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主页" sheetId="1" state="visible" r:id="rId3"/>
    <sheet name="使用说明" sheetId="2" state="visible" r:id="rId4"/>
    <sheet name="筐子对账单" sheetId="3" state="visible" r:id="rId5"/>
    <sheet name="自备筐对账单" sheetId="4" state="visible" r:id="rId6"/>
    <sheet name="水果对账单" sheetId="5" state="visible" r:id="rId7"/>
    <sheet name="公司购买果品对账单" sheetId="6" state="visible" r:id="rId8"/>
    <sheet name="果然鲜销售对账单" sheetId="7" state="visible" r:id="rId9"/>
    <sheet name="物料与筐子销售对账单" sheetId="8" state="visible" r:id="rId10"/>
    <sheet name="筐子库存汇总" sheetId="9" state="visible" r:id="rId11"/>
    <sheet name="应收应付汇总" sheetId="10" state="visible" r:id="rId12"/>
    <sheet name="对接源_01水果" sheetId="11" state="visible" r:id="rId13"/>
    <sheet name="对接源_02物料" sheetId="12" state="visible" r:id="rId14"/>
    <sheet name="_自动清单" sheetId="13" state="hidden" r:id="rId15"/>
  </sheets>
  <externalReferences>
    <externalReference r:id="rId16"/>
    <externalReference r:id="rId17"/>
  </externalReferences>
  <definedNames>
    <definedName function="false" hidden="false" localSheetId="5" name="_xlnm.Print_Area" vbProcedure="false">公司购买果品对账单!$A$1:$N$156</definedName>
    <definedName function="false" hidden="false" localSheetId="9" name="_xlnm.Print_Area" vbProcedure="false">应收应付汇总!$A$1:$L$18</definedName>
    <definedName function="false" hidden="false" localSheetId="6" name="_xlnm.Print_Titles" vbProcedure="false">果然鲜销售对账单!$5:$5</definedName>
    <definedName function="false" hidden="false" localSheetId="4" name="_xlnm.Print_Area" vbProcedure="false">水果对账单!$A$1:$N$312</definedName>
    <definedName function="false" hidden="false" localSheetId="7" name="_xlnm.Print_Area" vbProcedure="false">物料与筐子销售对账单!$A$1:$N$209</definedName>
    <definedName function="false" hidden="false" localSheetId="2" name="_xlnm.Print_Area" vbProcedure="false">筐子对账单!$A$1:$K$232</definedName>
    <definedName function="false" hidden="false" localSheetId="8" name="_xlnm.Print_Area" vbProcedure="false">筐子库存汇总!$A$1:$M$20</definedName>
    <definedName function="false" hidden="false" localSheetId="3" name="_xlnm.Print_Area" vbProcedure="false">自备筐对账单!$A$1:$M$209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<sst xmlns="http://schemas.openxmlformats.org/spreadsheetml/2006/main" count="425" uniqueCount="235">
  <si>
    <r>
      <rPr>
        <b val="true"/>
        <sz val="14"/>
        <color rgb="FFFFFFFF"/>
        <rFont val="Noto Sans CJK SC"/>
        <family val="0"/>
        <charset val="134"/>
      </rPr>
      <t xml:space="preserve">04</t>
    </r>
    <r>
      <rPr>
        <b val="true"/>
        <sz val="14"/>
        <color rgb="FFFFFFFF"/>
        <rFont val="WenQuanYi Zen Hei"/>
        <family val="2"/>
        <charset val="1"/>
      </rPr>
      <t xml:space="preserve">　综 合 查 询 对 账 单</t>
    </r>
  </si>
  <si>
    <r>
      <rPr>
        <sz val="9"/>
        <color rgb="FF808080"/>
        <rFont val="WenQuanYi Zen Hei"/>
        <family val="2"/>
        <charset val="1"/>
      </rPr>
      <t xml:space="preserve">所有对账单集中在这一本；数据全部来自《</t>
    </r>
    <r>
      <rPr>
        <sz val="9"/>
        <color rgb="FF808080"/>
        <rFont val="宋体"/>
        <family val="0"/>
        <charset val="134"/>
      </rPr>
      <t xml:space="preserve">01</t>
    </r>
    <r>
      <rPr>
        <sz val="9"/>
        <color rgb="FF808080"/>
        <rFont val="WenQuanYi Zen Hei"/>
        <family val="2"/>
        <charset val="1"/>
      </rPr>
      <t xml:space="preserve">》《</t>
    </r>
    <r>
      <rPr>
        <sz val="9"/>
        <color rgb="FF808080"/>
        <rFont val="宋体"/>
        <family val="0"/>
        <charset val="134"/>
      </rPr>
      <t xml:space="preserve">02</t>
    </r>
    <r>
      <rPr>
        <sz val="9"/>
        <color rgb="FF808080"/>
        <rFont val="WenQuanYi Zen Hei"/>
        <family val="2"/>
        <charset val="1"/>
      </rPr>
      <t xml:space="preserve">》，三个文件必须放同一个文件夹　｜　点蓝色表名可跳转</t>
    </r>
  </si>
  <si>
    <t xml:space="preserve">一、分类对账单（只填客户和起止日期）</t>
  </si>
  <si>
    <t xml:space="preserve">序号</t>
  </si>
  <si>
    <t xml:space="preserve">子表名称</t>
  </si>
  <si>
    <t xml:space="preserve">用途说明</t>
  </si>
  <si>
    <t xml:space="preserve">属性</t>
  </si>
  <si>
    <t xml:space="preserve">筐子对账单</t>
  </si>
  <si>
    <t xml:space="preserve">公司筐：出库／退回（负）／随筐入库（负），含未回库筐子（欠筐）</t>
  </si>
  <si>
    <r>
      <rPr>
        <sz val="9"/>
        <color rgb="FF006100"/>
        <rFont val="WenQuanYi Zen Hei"/>
        <family val="2"/>
        <charset val="1"/>
      </rPr>
      <t xml:space="preserve">录入</t>
    </r>
    <r>
      <rPr>
        <sz val="9"/>
        <color rgb="FF006100"/>
        <rFont val="宋体"/>
        <family val="0"/>
        <charset val="134"/>
      </rPr>
      <t xml:space="preserve">+</t>
    </r>
    <r>
      <rPr>
        <sz val="9"/>
        <color rgb="FF006100"/>
        <rFont val="WenQuanYi Zen Hei"/>
        <family val="2"/>
        <charset val="1"/>
      </rPr>
      <t xml:space="preserve">自动</t>
    </r>
  </si>
  <si>
    <t xml:space="preserve">自备筐对账单</t>
  </si>
  <si>
    <t xml:space="preserve">客户自备筐的入库、出库明细及汇总</t>
  </si>
  <si>
    <t xml:space="preserve">水果对账单</t>
  </si>
  <si>
    <r>
      <rPr>
        <sz val="9"/>
        <color rgb="FF000000"/>
        <rFont val="WenQuanYi Zen Hei"/>
        <family val="2"/>
        <charset val="1"/>
      </rPr>
      <t xml:space="preserve">原料入库</t>
    </r>
    <r>
      <rPr>
        <sz val="9"/>
        <color rgb="FF000000"/>
        <rFont val="宋体"/>
        <family val="0"/>
        <charset val="134"/>
      </rPr>
      <t xml:space="preserve">/</t>
    </r>
    <r>
      <rPr>
        <sz val="9"/>
        <color rgb="FF000000"/>
        <rFont val="WenQuanYi Zen Hei"/>
        <family val="2"/>
        <charset val="1"/>
      </rPr>
      <t xml:space="preserve">出库</t>
    </r>
    <r>
      <rPr>
        <sz val="9"/>
        <color rgb="FF000000"/>
        <rFont val="宋体"/>
        <family val="0"/>
        <charset val="134"/>
      </rPr>
      <t xml:space="preserve">/</t>
    </r>
    <r>
      <rPr>
        <sz val="9"/>
        <color rgb="FF000000"/>
        <rFont val="WenQuanYi Zen Hei"/>
        <family val="2"/>
        <charset val="1"/>
      </rPr>
      <t xml:space="preserve">结存 ＋ 成品出库，含进出库等级汇总</t>
    </r>
  </si>
  <si>
    <t xml:space="preserve">公司购买果品对账单</t>
  </si>
  <si>
    <t xml:space="preserve">★公司（果然鲜）买下客户果品的逐笔明细与应付金额</t>
  </si>
  <si>
    <t xml:space="preserve">物料与筐子销售对账单</t>
  </si>
  <si>
    <r>
      <rPr>
        <sz val="9"/>
        <color rgb="FF000000"/>
        <rFont val="WenQuanYi Zen Hei"/>
        <family val="2"/>
        <charset val="1"/>
      </rPr>
      <t xml:space="preserve">包装物料销售 ＋ 卖断筐子销售，含已收</t>
    </r>
    <r>
      <rPr>
        <sz val="9"/>
        <color rgb="FF000000"/>
        <rFont val="宋体"/>
        <family val="0"/>
        <charset val="134"/>
      </rPr>
      <t xml:space="preserve">/</t>
    </r>
    <r>
      <rPr>
        <sz val="9"/>
        <color rgb="FF000000"/>
        <rFont val="WenQuanYi Zen Hei"/>
        <family val="2"/>
        <charset val="1"/>
      </rPr>
      <t xml:space="preserve">未收</t>
    </r>
  </si>
  <si>
    <t xml:space="preserve">二、公用汇总</t>
  </si>
  <si>
    <t xml:space="preserve">筐子库存汇总</t>
  </si>
  <si>
    <t xml:space="preserve">公司自有各类型筐子的期初、采购、退回、发出、销售与在库结存</t>
  </si>
  <si>
    <t xml:space="preserve">自动</t>
  </si>
  <si>
    <t xml:space="preserve">应收应付汇总</t>
  </si>
  <si>
    <t xml:space="preserve">各往来单位的应收、应付与净往来</t>
  </si>
  <si>
    <t xml:space="preserve">三、跨册对接（自动取数，勿手工填）</t>
  </si>
  <si>
    <t xml:space="preserve">对接源_01水果</t>
  </si>
  <si>
    <r>
      <rPr>
        <sz val="9"/>
        <color rgb="FF000000"/>
        <rFont val="WenQuanYi Zen Hei"/>
        <family val="2"/>
        <charset val="1"/>
      </rPr>
      <t xml:space="preserve">跨文件取《</t>
    </r>
    <r>
      <rPr>
        <sz val="9"/>
        <color rgb="FF000000"/>
        <rFont val="宋体"/>
        <family val="0"/>
        <charset val="134"/>
      </rPr>
      <t xml:space="preserve">01</t>
    </r>
    <r>
      <rPr>
        <sz val="9"/>
        <color rgb="FF000000"/>
        <rFont val="WenQuanYi Zen Hei"/>
        <family val="2"/>
        <charset val="1"/>
      </rPr>
      <t xml:space="preserve">》对账明细接口（含筐子与采购字段）</t>
    </r>
  </si>
  <si>
    <t xml:space="preserve">对接源_02物料</t>
  </si>
  <si>
    <r>
      <rPr>
        <sz val="9"/>
        <color rgb="FF000000"/>
        <rFont val="WenQuanYi Zen Hei"/>
        <family val="2"/>
        <charset val="1"/>
      </rPr>
      <t xml:space="preserve">跨文件取《</t>
    </r>
    <r>
      <rPr>
        <sz val="9"/>
        <color rgb="FF000000"/>
        <rFont val="宋体"/>
        <family val="0"/>
        <charset val="134"/>
      </rPr>
      <t xml:space="preserve">02</t>
    </r>
    <r>
      <rPr>
        <sz val="9"/>
        <color rgb="FF000000"/>
        <rFont val="WenQuanYi Zen Hei"/>
        <family val="2"/>
        <charset val="1"/>
      </rPr>
      <t xml:space="preserve">》对账明细接口</t>
    </r>
  </si>
  <si>
    <r>
      <rPr>
        <sz val="10"/>
        <color rgb="FF595959"/>
        <rFont val="WenQuanYi Zen Hei"/>
        <family val="2"/>
        <charset val="1"/>
      </rPr>
      <t xml:space="preserve">图例：浅绿＝公式自动生成，请勿覆盖　｜　浅蓝＝需要手工录入　｜　浅黄＝码表</t>
    </r>
    <r>
      <rPr>
        <sz val="10"/>
        <color rgb="FF595959"/>
        <rFont val="Noto Sans CJK SC"/>
        <family val="0"/>
        <charset val="134"/>
      </rPr>
      <t xml:space="preserve">/</t>
    </r>
    <r>
      <rPr>
        <sz val="10"/>
        <color rgb="FF595959"/>
        <rFont val="WenQuanYi Zen Hei"/>
        <family val="2"/>
        <charset val="1"/>
      </rPr>
      <t xml:space="preserve">规则，偶尔维护</t>
    </r>
  </si>
  <si>
    <t xml:space="preserve">本 轮 新 增</t>
  </si>
  <si>
    <t xml:space="preserve">★按购买方出：卖了什么、多少钱、运费多少、收了多少、还欠多少</t>
  </si>
  <si>
    <r>
      <rPr>
        <sz val="10"/>
        <rFont val="WenQuanYi Zen Hei"/>
        <family val="2"/>
        <charset val="1"/>
      </rPr>
      <t xml:space="preserve">录入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  <charset val="1"/>
      </rPr>
      <t xml:space="preserve">自动</t>
    </r>
  </si>
  <si>
    <t xml:space="preserve">综 合 查 询 对 账 单  使 用 说 明</t>
  </si>
  <si>
    <r>
      <rPr>
        <sz val="9"/>
        <color rgb="FF808080"/>
        <rFont val="WenQuanYi Zen Hei"/>
        <family val="2"/>
        <charset val="1"/>
      </rPr>
      <t xml:space="preserve">本册只用来查询和打印对账单，不录任何数据；数据全部来自《</t>
    </r>
    <r>
      <rPr>
        <sz val="9"/>
        <color rgb="FF808080"/>
        <rFont val="宋体"/>
        <family val="0"/>
        <charset val="134"/>
      </rPr>
      <t xml:space="preserve">01 </t>
    </r>
    <r>
      <rPr>
        <sz val="9"/>
        <color rgb="FF808080"/>
        <rFont val="WenQuanYi Zen Hei"/>
        <family val="2"/>
        <charset val="1"/>
      </rPr>
      <t xml:space="preserve">水果进销存台账》和《</t>
    </r>
    <r>
      <rPr>
        <sz val="9"/>
        <color rgb="FF808080"/>
        <rFont val="宋体"/>
        <family val="0"/>
        <charset val="134"/>
      </rPr>
      <t xml:space="preserve">02 </t>
    </r>
    <r>
      <rPr>
        <sz val="9"/>
        <color rgb="FF808080"/>
        <rFont val="WenQuanYi Zen Hei"/>
        <family val="2"/>
        <charset val="1"/>
      </rPr>
      <t xml:space="preserve">物料与周转物台账》</t>
    </r>
  </si>
  <si>
    <t xml:space="preserve">一、四个文件放在同一个文件夹</t>
  </si>
  <si>
    <r>
      <rPr>
        <sz val="10"/>
        <color rgb="FF000000"/>
        <rFont val="WenQuanYi Zen Hei"/>
        <family val="2"/>
        <charset val="1"/>
      </rPr>
      <t xml:space="preserve">　</t>
    </r>
    <r>
      <rPr>
        <sz val="10"/>
        <color rgb="FF000000"/>
        <rFont val="宋体"/>
        <family val="0"/>
        <charset val="134"/>
      </rPr>
      <t xml:space="preserve">01_</t>
    </r>
    <r>
      <rPr>
        <sz val="10"/>
        <color rgb="FF000000"/>
        <rFont val="WenQuanYi Zen Hei"/>
        <family val="2"/>
        <charset val="1"/>
      </rPr>
      <t xml:space="preserve">水果进销存台账模板</t>
    </r>
    <r>
      <rPr>
        <sz val="10"/>
        <color rgb="FF000000"/>
        <rFont val="宋体"/>
        <family val="0"/>
        <charset val="134"/>
      </rPr>
      <t xml:space="preserve">.xlsx</t>
    </r>
  </si>
  <si>
    <r>
      <rPr>
        <sz val="10"/>
        <color rgb="FF000000"/>
        <rFont val="WenQuanYi Zen Hei"/>
        <family val="2"/>
        <charset val="1"/>
      </rPr>
      <t xml:space="preserve">　</t>
    </r>
    <r>
      <rPr>
        <sz val="10"/>
        <color rgb="FF000000"/>
        <rFont val="宋体"/>
        <family val="0"/>
        <charset val="134"/>
      </rPr>
      <t xml:space="preserve">02_</t>
    </r>
    <r>
      <rPr>
        <sz val="10"/>
        <color rgb="FF000000"/>
        <rFont val="WenQuanYi Zen Hei"/>
        <family val="2"/>
        <charset val="1"/>
      </rPr>
      <t xml:space="preserve">物料与周转物台账模板</t>
    </r>
    <r>
      <rPr>
        <sz val="10"/>
        <color rgb="FF000000"/>
        <rFont val="宋体"/>
        <family val="0"/>
        <charset val="134"/>
      </rPr>
      <t xml:space="preserve">.xlsx</t>
    </r>
  </si>
  <si>
    <r>
      <rPr>
        <sz val="10"/>
        <color rgb="FF000000"/>
        <rFont val="WenQuanYi Zen Hei"/>
        <family val="2"/>
        <charset val="1"/>
      </rPr>
      <t xml:space="preserve">　</t>
    </r>
    <r>
      <rPr>
        <sz val="10"/>
        <color rgb="FF000000"/>
        <rFont val="宋体"/>
        <family val="0"/>
        <charset val="134"/>
      </rPr>
      <t xml:space="preserve">03_</t>
    </r>
    <r>
      <rPr>
        <sz val="10"/>
        <color rgb="FF000000"/>
        <rFont val="WenQuanYi Zen Hei"/>
        <family val="2"/>
        <charset val="1"/>
      </rPr>
      <t xml:space="preserve">财务账套与报表模板</t>
    </r>
    <r>
      <rPr>
        <sz val="10"/>
        <color rgb="FF000000"/>
        <rFont val="宋体"/>
        <family val="0"/>
        <charset val="134"/>
      </rPr>
      <t xml:space="preserve">.xlsx</t>
    </r>
  </si>
  <si>
    <r>
      <rPr>
        <sz val="10"/>
        <color rgb="FF000000"/>
        <rFont val="WenQuanYi Zen Hei"/>
        <family val="2"/>
        <charset val="1"/>
      </rPr>
      <t xml:space="preserve">　</t>
    </r>
    <r>
      <rPr>
        <sz val="10"/>
        <color rgb="FF000000"/>
        <rFont val="宋体"/>
        <family val="0"/>
        <charset val="134"/>
      </rPr>
      <t xml:space="preserve">04_</t>
    </r>
    <r>
      <rPr>
        <sz val="10"/>
        <color rgb="FF000000"/>
        <rFont val="WenQuanYi Zen Hei"/>
        <family val="2"/>
        <charset val="1"/>
      </rPr>
      <t xml:space="preserve">综合查询对账单</t>
    </r>
    <r>
      <rPr>
        <sz val="10"/>
        <color rgb="FF000000"/>
        <rFont val="宋体"/>
        <family val="0"/>
        <charset val="134"/>
      </rPr>
      <t xml:space="preserve">.xlsx</t>
    </r>
    <r>
      <rPr>
        <sz val="10"/>
        <color rgb="FF000000"/>
        <rFont val="WenQuanYi Zen Hei"/>
        <family val="2"/>
        <charset val="1"/>
      </rPr>
      <t xml:space="preserve">（本文件）</t>
    </r>
  </si>
  <si>
    <r>
      <rPr>
        <sz val="10"/>
        <color rgb="FF000000"/>
        <rFont val="WenQuanYi Zen Hei"/>
        <family val="2"/>
        <charset val="1"/>
      </rPr>
      <t xml:space="preserve">　文件名一个字都不要改。打开本文件时如提示</t>
    </r>
    <r>
      <rPr>
        <sz val="10"/>
        <color rgb="FF000000"/>
        <rFont val="宋体"/>
        <family val="0"/>
        <charset val="134"/>
      </rPr>
      <t xml:space="preserve">"</t>
    </r>
    <r>
      <rPr>
        <sz val="10"/>
        <color rgb="FF000000"/>
        <rFont val="WenQuanYi Zen Hei"/>
        <family val="2"/>
        <charset val="1"/>
      </rPr>
      <t xml:space="preserve">是否更新链接</t>
    </r>
    <r>
      <rPr>
        <sz val="10"/>
        <color rgb="FF000000"/>
        <rFont val="宋体"/>
        <family val="0"/>
        <charset val="134"/>
      </rPr>
      <t xml:space="preserve">"</t>
    </r>
    <r>
      <rPr>
        <sz val="10"/>
        <color rgb="FF000000"/>
        <rFont val="WenQuanYi Zen Hei"/>
        <family val="2"/>
        <charset val="1"/>
      </rPr>
      <t xml:space="preserve">，请点【更新】。</t>
    </r>
  </si>
  <si>
    <t xml:space="preserve">二、怎么查对账单</t>
  </si>
  <si>
    <r>
      <rPr>
        <sz val="10"/>
        <color rgb="FF000000"/>
        <rFont val="WenQuanYi Zen Hei"/>
        <family val="2"/>
        <charset val="1"/>
      </rPr>
      <t xml:space="preserve">　打开【综合对账单】，第 </t>
    </r>
    <r>
      <rPr>
        <sz val="10"/>
        <color rgb="FF000000"/>
        <rFont val="宋体"/>
        <family val="0"/>
        <charset val="134"/>
      </rPr>
      <t xml:space="preserve">3 </t>
    </r>
    <r>
      <rPr>
        <sz val="10"/>
        <color rgb="FF000000"/>
        <rFont val="WenQuanYi Zen Hei"/>
        <family val="2"/>
        <charset val="1"/>
      </rPr>
      <t xml:space="preserve">行三个浅蓝格填一下：往来单位（下拉选）、开始日期、结束日期。</t>
    </r>
  </si>
  <si>
    <t xml:space="preserve">　日期留空＝不限时间。上面自动出八类业务的汇总，下面自动列出每一笔，按业务类别成组排列。</t>
  </si>
  <si>
    <t xml:space="preserve">　确认无误直接打印给客户签字即可。</t>
  </si>
  <si>
    <t xml:space="preserve">三、其他两张表</t>
  </si>
  <si>
    <r>
      <rPr>
        <sz val="10"/>
        <color rgb="FF000000"/>
        <rFont val="WenQuanYi Zen Hei"/>
        <family val="2"/>
        <charset val="1"/>
      </rPr>
      <t xml:space="preserve">　【筐子库存汇总】：公司每种筐子</t>
    </r>
    <r>
      <rPr>
        <sz val="10"/>
        <color rgb="FF000000"/>
        <rFont val="宋体"/>
        <family val="0"/>
        <charset val="134"/>
      </rPr>
      <t xml:space="preserve">/</t>
    </r>
    <r>
      <rPr>
        <sz val="10"/>
        <color rgb="FF000000"/>
        <rFont val="WenQuanYi Zen Hei"/>
        <family val="2"/>
        <charset val="1"/>
      </rPr>
      <t xml:space="preserve">托盘还剩多少、客户手上还有多少、公司筐总量是多少。</t>
    </r>
  </si>
  <si>
    <t xml:space="preserve">　【应收应付汇总】：一眼看清每家往来单位的业务金额、已收已付、还欠多少、谁欠谁。</t>
  </si>
  <si>
    <t xml:space="preserve">四、取不到数怎么办</t>
  </si>
  <si>
    <r>
      <rPr>
        <sz val="10"/>
        <color rgb="FF000000"/>
        <rFont val="WenQuanYi Zen Hei"/>
        <family val="2"/>
        <charset val="1"/>
      </rPr>
      <t xml:space="preserve">　两张【对接源】表最上面一行会显示</t>
    </r>
    <r>
      <rPr>
        <sz val="10"/>
        <color rgb="FF000000"/>
        <rFont val="宋体"/>
        <family val="0"/>
        <charset val="134"/>
      </rPr>
      <t xml:space="preserve">"✔ </t>
    </r>
    <r>
      <rPr>
        <sz val="10"/>
        <color rgb="FF000000"/>
        <rFont val="WenQuanYi Zen Hei"/>
        <family val="2"/>
        <charset val="1"/>
      </rPr>
      <t xml:space="preserve">链接正常</t>
    </r>
    <r>
      <rPr>
        <sz val="10"/>
        <color rgb="FF000000"/>
        <rFont val="宋体"/>
        <family val="0"/>
        <charset val="134"/>
      </rPr>
      <t xml:space="preserve">"</t>
    </r>
    <r>
      <rPr>
        <sz val="10"/>
        <color rgb="FF000000"/>
        <rFont val="WenQuanYi Zen Hei"/>
        <family val="2"/>
        <charset val="1"/>
      </rPr>
      <t xml:space="preserve">还是</t>
    </r>
    <r>
      <rPr>
        <sz val="10"/>
        <color rgb="FF000000"/>
        <rFont val="宋体"/>
        <family val="0"/>
        <charset val="134"/>
      </rPr>
      <t xml:space="preserve">"★★ </t>
    </r>
    <r>
      <rPr>
        <sz val="10"/>
        <color rgb="FF000000"/>
        <rFont val="WenQuanYi Zen Hei"/>
        <family val="2"/>
        <charset val="1"/>
      </rPr>
      <t xml:space="preserve">链接没接上</t>
    </r>
    <r>
      <rPr>
        <sz val="10"/>
        <color rgb="FF000000"/>
        <rFont val="宋体"/>
        <family val="0"/>
        <charset val="134"/>
      </rPr>
      <t xml:space="preserve">"</t>
    </r>
    <r>
      <rPr>
        <sz val="10"/>
        <color rgb="FF000000"/>
        <rFont val="WenQuanYi Zen Hei"/>
        <family val="2"/>
        <charset val="1"/>
      </rPr>
      <t xml:space="preserve">。</t>
    </r>
  </si>
  <si>
    <t xml:space="preserve">　修复：菜单【数据】→【编辑链接】→先点【立即更新值】；还取不到就点【更改源】重新指向那两个文件。</t>
  </si>
  <si>
    <t xml:space="preserve">　本册只是查询工具，取不到数就是空的，不会算错账，放心。</t>
  </si>
  <si>
    <r>
      <rPr>
        <b val="true"/>
        <sz val="11"/>
        <color rgb="FF1F4E79"/>
        <rFont val="WenQuanYi Zen Hei"/>
        <family val="2"/>
        <charset val="1"/>
      </rPr>
      <t xml:space="preserve">五、和《</t>
    </r>
    <r>
      <rPr>
        <b val="true"/>
        <sz val="11"/>
        <color rgb="FF1F4E79"/>
        <rFont val="宋体"/>
        <family val="0"/>
        <charset val="134"/>
      </rPr>
      <t xml:space="preserve">03 </t>
    </r>
    <r>
      <rPr>
        <b val="true"/>
        <sz val="11"/>
        <color rgb="FF1F4E79"/>
        <rFont val="WenQuanYi Zen Hei"/>
        <family val="2"/>
        <charset val="1"/>
      </rPr>
      <t xml:space="preserve">财务账套》的分工</t>
    </r>
  </si>
  <si>
    <t xml:space="preserve">　本册给业务和老板看：逐笔业务、筐子库存、谁欠谁。</t>
  </si>
  <si>
    <r>
      <rPr>
        <sz val="10"/>
        <color rgb="FF000000"/>
        <rFont val="WenQuanYi Zen Hei"/>
        <family val="2"/>
        <charset val="1"/>
      </rPr>
      <t xml:space="preserve">　《</t>
    </r>
    <r>
      <rPr>
        <sz val="10"/>
        <color rgb="FF000000"/>
        <rFont val="宋体"/>
        <family val="0"/>
        <charset val="134"/>
      </rPr>
      <t xml:space="preserve">03</t>
    </r>
    <r>
      <rPr>
        <sz val="10"/>
        <color rgb="FF000000"/>
        <rFont val="WenQuanYi Zen Hei"/>
        <family val="2"/>
        <charset val="1"/>
      </rPr>
      <t xml:space="preserve">》给会计看：会计科目、记账凭证、资产负债表和利润表。两边的应收口径可能略有差异——</t>
    </r>
  </si>
  <si>
    <r>
      <rPr>
        <sz val="10"/>
        <color rgb="FF000000"/>
        <rFont val="WenQuanYi Zen Hei"/>
        <family val="2"/>
        <charset val="1"/>
      </rPr>
      <t xml:space="preserve">　本册按业务台账的收付状态统计，《</t>
    </r>
    <r>
      <rPr>
        <sz val="10"/>
        <color rgb="FF000000"/>
        <rFont val="宋体"/>
        <family val="0"/>
        <charset val="134"/>
      </rPr>
      <t xml:space="preserve">03</t>
    </r>
    <r>
      <rPr>
        <sz val="10"/>
        <color rgb="FF000000"/>
        <rFont val="WenQuanYi Zen Hei"/>
        <family val="2"/>
        <charset val="1"/>
      </rPr>
      <t xml:space="preserve">》按资金日记账的实际收付统计，以《</t>
    </r>
    <r>
      <rPr>
        <sz val="10"/>
        <color rgb="FF000000"/>
        <rFont val="宋体"/>
        <family val="0"/>
        <charset val="134"/>
      </rPr>
      <t xml:space="preserve">03</t>
    </r>
    <r>
      <rPr>
        <sz val="10"/>
        <color rgb="FF000000"/>
        <rFont val="WenQuanYi Zen Hei"/>
        <family val="2"/>
        <charset val="1"/>
      </rPr>
      <t xml:space="preserve">》为准。</t>
    </r>
  </si>
  <si>
    <r>
      <rPr>
        <b val="true"/>
        <sz val="10"/>
        <color rgb="FFFFFFFF"/>
        <rFont val="WenQuanYi Zen Hei"/>
        <family val="2"/>
        <charset val="1"/>
      </rPr>
      <t xml:space="preserve">★ 本 次 更 新（</t>
    </r>
    <r>
      <rPr>
        <b val="true"/>
        <sz val="10"/>
        <color rgb="FFFFFFFF"/>
        <rFont val="Noto Sans CJK SC"/>
        <family val="0"/>
        <charset val="134"/>
      </rPr>
      <t xml:space="preserve">2026-09</t>
    </r>
    <r>
      <rPr>
        <b val="true"/>
        <sz val="10"/>
        <color rgb="FFFFFFFF"/>
        <rFont val="WenQuanYi Zen Hei"/>
        <family val="2"/>
        <charset val="1"/>
      </rPr>
      <t xml:space="preserve">）</t>
    </r>
  </si>
  <si>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  <charset val="1"/>
      </rPr>
      <t xml:space="preserve">、原「综合对账单」拆成 </t>
    </r>
    <r>
      <rPr>
        <sz val="10"/>
        <color rgb="FF1F3864"/>
        <rFont val="宋体"/>
        <family val="0"/>
        <charset val="134"/>
      </rPr>
      <t xml:space="preserve">4 </t>
    </r>
    <r>
      <rPr>
        <sz val="10"/>
        <color rgb="FF1F3864"/>
        <rFont val="WenQuanYi Zen Hei"/>
        <family val="2"/>
        <charset val="1"/>
      </rPr>
      <t xml:space="preserve">张分类对账单：【筐子对账单】【自备筐对账单】【水果对账单】【物料与筐子销售对账单】；原综合对账单保留，想看全部业务时用它。</t>
    </r>
  </si>
  <si>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  <charset val="1"/>
      </rPr>
      <t xml:space="preserve">、四张对账单版式统一：抬头＋客户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  <charset val="1"/>
      </rPr>
      <t xml:space="preserve">起止日期筛选，黄条显示各段总数，右侧小盒显示汇总；只填 </t>
    </r>
    <r>
      <rPr>
        <sz val="10"/>
        <color rgb="FF1F3864"/>
        <rFont val="宋体"/>
        <family val="0"/>
        <charset val="134"/>
      </rPr>
      <t xml:space="preserve">B2 </t>
    </r>
    <r>
      <rPr>
        <sz val="10"/>
        <color rgb="FF1F3864"/>
        <rFont val="WenQuanYi Zen Hei"/>
        <family val="2"/>
        <charset val="1"/>
      </rPr>
      <t xml:space="preserve">客户与 </t>
    </r>
    <r>
      <rPr>
        <sz val="10"/>
        <color rgb="FF1F3864"/>
        <rFont val="宋体"/>
        <family val="0"/>
        <charset val="134"/>
      </rPr>
      <t xml:space="preserve">F2/H2 </t>
    </r>
    <r>
      <rPr>
        <sz val="10"/>
        <color rgb="FF1F3864"/>
        <rFont val="WenQuanYi Zen Hei"/>
        <family val="2"/>
        <charset val="1"/>
      </rPr>
      <t xml:space="preserve">起止日期，其余全自动。</t>
    </r>
  </si>
  <si>
    <r>
      <rPr>
        <sz val="10"/>
        <color rgb="FF1F3864"/>
        <rFont val="宋体"/>
        <family val="0"/>
        <charset val="134"/>
      </rPr>
      <t xml:space="preserve">3</t>
    </r>
    <r>
      <rPr>
        <sz val="10"/>
        <color rgb="FF1F3864"/>
        <rFont val="WenQuanYi Zen Hei"/>
        <family val="2"/>
        <charset val="1"/>
      </rPr>
      <t xml:space="preserve">、【筐子对账单】只统计公司筐（筐子类型不以「自备」开头）：发出＝原料出库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  <charset val="1"/>
      </rPr>
      <t xml:space="preserve">成品出库带走＋周转筐出库销售；退回＝客户退回的空筐；入库＝随原料入库带回来的筐；未回库筐子（欠筐子数）＝发出−退回−入库（负数表示对方送回来的比我们发出的多）。</t>
    </r>
  </si>
  <si>
    <r>
      <rPr>
        <sz val="10"/>
        <color rgb="FF1F3864"/>
        <rFont val="宋体"/>
        <family val="0"/>
        <charset val="134"/>
      </rPr>
      <t xml:space="preserve">4</t>
    </r>
    <r>
      <rPr>
        <sz val="10"/>
        <color rgb="FF1F3864"/>
        <rFont val="WenQuanYi Zen Hei"/>
        <family val="2"/>
        <charset val="1"/>
      </rPr>
      <t xml:space="preserve">、【自备筐对账单】＝《</t>
    </r>
    <r>
      <rPr>
        <sz val="10"/>
        <color rgb="FF1F3864"/>
        <rFont val="宋体"/>
        <family val="0"/>
        <charset val="134"/>
      </rPr>
      <t xml:space="preserve">01</t>
    </r>
    <r>
      <rPr>
        <sz val="10"/>
        <color rgb="FF1F3864"/>
        <rFont val="WenQuanYi Zen Hei"/>
        <family val="2"/>
        <charset val="1"/>
      </rPr>
      <t xml:space="preserve">》三张明细里筐子类型以「自备」开头的随货筐数 ＋《</t>
    </r>
    <r>
      <rPr>
        <sz val="10"/>
        <color rgb="FF1F3864"/>
        <rFont val="宋体"/>
        <family val="0"/>
        <charset val="134"/>
      </rPr>
      <t xml:space="preserve">02</t>
    </r>
    <r>
      <rPr>
        <sz val="10"/>
        <color rgb="FF1F3864"/>
        <rFont val="WenQuanYi Zen Hei"/>
        <family val="2"/>
        <charset val="1"/>
      </rPr>
      <t xml:space="preserve">》客户自备加工筐明细，表外备查。</t>
    </r>
  </si>
  <si>
    <r>
      <rPr>
        <sz val="10"/>
        <color rgb="FF1F3864"/>
        <rFont val="宋体"/>
        <family val="0"/>
        <charset val="134"/>
      </rPr>
      <t xml:space="preserve">5</t>
    </r>
    <r>
      <rPr>
        <sz val="10"/>
        <color rgb="FF1F3864"/>
        <rFont val="WenQuanYi Zen Hei"/>
        <family val="2"/>
        <charset val="1"/>
      </rPr>
      <t xml:space="preserve">、【水果对账单】右侧「入库等级汇总」按下方入库明细自动分等级合计数量与总毛重。</t>
    </r>
  </si>
  <si>
    <r>
      <rPr>
        <sz val="10"/>
        <color rgb="FF1F3864"/>
        <rFont val="宋体"/>
        <family val="0"/>
        <charset val="134"/>
      </rPr>
      <t xml:space="preserve">6</t>
    </r>
    <r>
      <rPr>
        <sz val="10"/>
        <color rgb="FF1F3864"/>
        <rFont val="WenQuanYi Zen Hei"/>
        <family val="2"/>
        <charset val="1"/>
      </rPr>
      <t xml:space="preserve">、【物料与筐子销售对账单】单价＝金额</t>
    </r>
    <r>
      <rPr>
        <sz val="10"/>
        <color rgb="FF1F3864"/>
        <rFont val="宋体"/>
        <family val="0"/>
        <charset val="134"/>
      </rPr>
      <t xml:space="preserve">÷</t>
    </r>
    <r>
      <rPr>
        <sz val="10"/>
        <color rgb="FF1F3864"/>
        <rFont val="WenQuanYi Zen Hei"/>
        <family val="2"/>
        <charset val="1"/>
      </rPr>
      <t xml:space="preserve">数量自动算，右侧显示物料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  <charset val="1"/>
      </rPr>
      <t xml:space="preserve">筐子销售金额与已收未收。</t>
    </r>
  </si>
  <si>
    <r>
      <rPr>
        <b val="true"/>
        <sz val="10"/>
        <color rgb="FFFFFFFF"/>
        <rFont val="WenQuanYi Zen Hei"/>
        <family val="2"/>
        <charset val="1"/>
      </rPr>
      <t xml:space="preserve">★ 本 次 更 新（</t>
    </r>
    <r>
      <rPr>
        <b val="true"/>
        <sz val="10"/>
        <color rgb="FFFFFFFF"/>
        <rFont val="Noto Sans CJK SC"/>
        <family val="0"/>
        <charset val="134"/>
      </rPr>
      <t xml:space="preserve">2026-09 · </t>
    </r>
    <r>
      <rPr>
        <b val="true"/>
        <sz val="10"/>
        <color rgb="FFFFFFFF"/>
        <rFont val="WenQuanYi Zen Hei"/>
        <family val="2"/>
        <charset val="1"/>
      </rPr>
      <t xml:space="preserve">第三版）</t>
    </r>
  </si>
  <si>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  <charset val="1"/>
      </rPr>
      <t xml:space="preserve">、【筐子对账单】改成周转筐出入库的样式：日期｜票据单号｜筐子类型｜数量｜车牌号，依次显示 出库 → 退回（负数）→ 随筐入库（负数）三段，右侧汇总含「未回库筐子（欠筐）」＝出库＋退回＋随筐入库。</t>
    </r>
  </si>
  <si>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  <charset val="1"/>
      </rPr>
      <t xml:space="preserve">、【水果对账单】右侧汇总去掉了「出库总毛重」和「结存毛重」，并在「入库等级汇总」下面新增「出库等级汇总」，按等级自动合计出库数量与总毛重。</t>
    </r>
  </si>
  <si>
    <r>
      <rPr>
        <sz val="10"/>
        <color rgb="FF1F3864"/>
        <rFont val="宋体"/>
        <family val="0"/>
        <charset val="134"/>
      </rPr>
      <t xml:space="preserve">3</t>
    </r>
    <r>
      <rPr>
        <sz val="10"/>
        <color rgb="FF1F3864"/>
        <rFont val="WenQuanYi Zen Hei"/>
        <family val="2"/>
        <charset val="1"/>
      </rPr>
      <t xml:space="preserve">、四张对账单都只填 </t>
    </r>
    <r>
      <rPr>
        <sz val="10"/>
        <color rgb="FF1F3864"/>
        <rFont val="宋体"/>
        <family val="0"/>
        <charset val="134"/>
      </rPr>
      <t xml:space="preserve">B2 </t>
    </r>
    <r>
      <rPr>
        <sz val="10"/>
        <color rgb="FF1F3864"/>
        <rFont val="WenQuanYi Zen Hei"/>
        <family val="2"/>
        <charset val="1"/>
      </rPr>
      <t xml:space="preserve">客户 与 </t>
    </r>
    <r>
      <rPr>
        <sz val="10"/>
        <color rgb="FF1F3864"/>
        <rFont val="宋体"/>
        <family val="0"/>
        <charset val="134"/>
      </rPr>
      <t xml:space="preserve">F2/H2 </t>
    </r>
    <r>
      <rPr>
        <sz val="10"/>
        <color rgb="FF1F3864"/>
        <rFont val="WenQuanYi Zen Hei"/>
        <family val="2"/>
        <charset val="1"/>
      </rPr>
      <t xml:space="preserve">起止日期，可跨 </t>
    </r>
    <r>
      <rPr>
        <sz val="10"/>
        <color rgb="FF1F3864"/>
        <rFont val="宋体"/>
        <family val="0"/>
        <charset val="134"/>
      </rPr>
      <t xml:space="preserve">2026—2027 </t>
    </r>
    <r>
      <rPr>
        <sz val="10"/>
        <color rgb="FF1F3864"/>
        <rFont val="WenQuanYi Zen Hei"/>
        <family val="2"/>
        <charset val="1"/>
      </rPr>
      <t xml:space="preserve">两年任意区间查询。</t>
    </r>
  </si>
  <si>
    <r>
      <rPr>
        <b val="true"/>
        <sz val="10"/>
        <color rgb="FFFFFFFF"/>
        <rFont val="WenQuanYi Zen Hei"/>
        <family val="2"/>
        <charset val="1"/>
      </rPr>
      <t xml:space="preserve">★ 本 次 更 新（</t>
    </r>
    <r>
      <rPr>
        <b val="true"/>
        <sz val="10"/>
        <color rgb="FFFFFFFF"/>
        <rFont val="Noto Sans CJK SC"/>
        <family val="0"/>
        <charset val="134"/>
      </rPr>
      <t xml:space="preserve">2026-09 · </t>
    </r>
    <r>
      <rPr>
        <b val="true"/>
        <sz val="10"/>
        <color rgb="FFFFFFFF"/>
        <rFont val="WenQuanYi Zen Hei"/>
        <family val="2"/>
        <charset val="1"/>
      </rPr>
      <t xml:space="preserve">第八版）</t>
    </r>
  </si>
  <si>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  <charset val="1"/>
      </rPr>
      <t xml:space="preserve">、新增【公司购买果品对账单】：列出《</t>
    </r>
    <r>
      <rPr>
        <sz val="10"/>
        <color rgb="FF1F3864"/>
        <rFont val="宋体"/>
        <family val="0"/>
        <charset val="134"/>
      </rPr>
      <t xml:space="preserve">01 </t>
    </r>
    <r>
      <rPr>
        <sz val="10"/>
        <color rgb="FF1F3864"/>
        <rFont val="WenQuanYi Zen Hei"/>
        <family val="2"/>
        <charset val="1"/>
      </rPr>
      <t xml:space="preserve">成品出库明细》里填了「采购单价」的每一笔 ——也就是公司（果然鲜）从这位货主手里买下的果品，右侧汇总显示采购总数量、总金额、已付、未付（应付）。</t>
    </r>
  </si>
  <si>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  <charset val="1"/>
      </rPr>
      <t xml:space="preserve">、这张单的汇总数会自动进《</t>
    </r>
    <r>
      <rPr>
        <sz val="10"/>
        <color rgb="FF1F3864"/>
        <rFont val="宋体"/>
        <family val="0"/>
        <charset val="134"/>
      </rPr>
      <t xml:space="preserve">03 </t>
    </r>
    <r>
      <rPr>
        <sz val="10"/>
        <color rgb="FF1F3864"/>
        <rFont val="WenQuanYi Zen Hei"/>
        <family val="2"/>
        <charset val="1"/>
      </rPr>
      <t xml:space="preserve">往来对账单》，作为负数抵扣该客户的应收，不用手工加减。</t>
    </r>
  </si>
  <si>
    <t xml:space="preserve">新疆果然鲜仓储有限公司</t>
  </si>
  <si>
    <t xml:space="preserve">对账单</t>
  </si>
  <si>
    <r>
      <rPr>
        <b val="true"/>
        <sz val="11"/>
        <color rgb="FF1F3864"/>
        <rFont val="WenQuanYi Zen Hei"/>
        <family val="2"/>
        <charset val="1"/>
      </rPr>
      <t xml:space="preserve">客　户</t>
    </r>
    <r>
      <rPr>
        <b val="true"/>
        <sz val="11"/>
        <color rgb="FF1F3864"/>
        <rFont val="宋体"/>
        <family val="0"/>
        <charset val="134"/>
      </rPr>
      <t xml:space="preserve">:</t>
    </r>
  </si>
  <si>
    <t xml:space="preserve">王照雪</t>
  </si>
  <si>
    <r>
      <rPr>
        <sz val="9"/>
        <color rgb="FF595959"/>
        <rFont val="WenQuanYi Zen Hei"/>
        <family val="2"/>
        <charset val="1"/>
      </rPr>
      <t xml:space="preserve">开始日期</t>
    </r>
    <r>
      <rPr>
        <sz val="9"/>
        <color rgb="FF595959"/>
        <rFont val="宋体"/>
        <family val="0"/>
        <charset val="134"/>
      </rPr>
      <t xml:space="preserve">:</t>
    </r>
  </si>
  <si>
    <r>
      <rPr>
        <sz val="9"/>
        <color rgb="FF595959"/>
        <rFont val="WenQuanYi Zen Hei"/>
        <family val="2"/>
        <charset val="1"/>
      </rPr>
      <t xml:space="preserve">结束日期</t>
    </r>
    <r>
      <rPr>
        <sz val="9"/>
        <color rgb="FF595959"/>
        <rFont val="宋体"/>
        <family val="0"/>
        <charset val="134"/>
      </rPr>
      <t xml:space="preserve">:</t>
    </r>
  </si>
  <si>
    <t xml:space="preserve">筐 子 汇 总</t>
  </si>
  <si>
    <r>
      <rPr>
        <b val="true"/>
        <sz val="10"/>
        <color rgb="FF7F6000"/>
        <rFont val="WenQuanYi Zen Hei"/>
        <family val="2"/>
        <charset val="1"/>
      </rPr>
      <t xml:space="preserve">★ 只填 </t>
    </r>
    <r>
      <rPr>
        <b val="true"/>
        <sz val="10"/>
        <color rgb="FF7F6000"/>
        <rFont val="Noto Sans CJK SC"/>
        <family val="0"/>
        <charset val="134"/>
      </rPr>
      <t xml:space="preserve">B2 </t>
    </r>
    <r>
      <rPr>
        <b val="true"/>
        <sz val="10"/>
        <color rgb="FF7F6000"/>
        <rFont val="WenQuanYi Zen Hei"/>
        <family val="2"/>
        <charset val="1"/>
      </rPr>
      <t xml:space="preserve">客户与起止日期。公司筐口径：出库＝原料出库</t>
    </r>
    <r>
      <rPr>
        <b val="true"/>
        <sz val="10"/>
        <color rgb="FF7F6000"/>
        <rFont val="Noto Sans CJK SC"/>
        <family val="0"/>
        <charset val="134"/>
      </rPr>
      <t xml:space="preserve">/</t>
    </r>
    <r>
      <rPr>
        <b val="true"/>
        <sz val="10"/>
        <color rgb="FF7F6000"/>
        <rFont val="WenQuanYi Zen Hei"/>
        <family val="2"/>
        <charset val="1"/>
      </rPr>
      <t xml:space="preserve">成品出库带走＋周转筐领用出库；退回＝客户退回的空筐（显示为负数）；随筐入库＝随原料入库带回来的筐（显示为负数）。未回库筐子（欠筐子数）＝出库 ＋ 退回 ＋ 随筐入库。自备筐请看《自备筐对账单》。</t>
    </r>
  </si>
  <si>
    <t xml:space="preserve">出库筐子</t>
  </si>
  <si>
    <t xml:space="preserve">出库筐子总数</t>
  </si>
  <si>
    <r>
      <rPr>
        <b val="true"/>
        <sz val="10"/>
        <color rgb="FFC00000"/>
        <rFont val="WenQuanYi Zen Hei"/>
        <family val="2"/>
        <charset val="1"/>
      </rPr>
      <t xml:space="preserve">退回筐子</t>
    </r>
    <r>
      <rPr>
        <b val="true"/>
        <sz val="10"/>
        <color rgb="FFC00000"/>
        <rFont val="宋体"/>
        <family val="0"/>
        <charset val="134"/>
      </rPr>
      <t xml:space="preserve">(</t>
    </r>
    <r>
      <rPr>
        <b val="true"/>
        <sz val="10"/>
        <color rgb="FFC00000"/>
        <rFont val="WenQuanYi Zen Hei"/>
        <family val="2"/>
        <charset val="1"/>
      </rPr>
      <t xml:space="preserve">空筐</t>
    </r>
    <r>
      <rPr>
        <b val="true"/>
        <sz val="10"/>
        <color rgb="FFC00000"/>
        <rFont val="宋体"/>
        <family val="0"/>
        <charset val="134"/>
      </rPr>
      <t xml:space="preserve">)</t>
    </r>
  </si>
  <si>
    <t xml:space="preserve">日　期</t>
  </si>
  <si>
    <t xml:space="preserve">票据单号</t>
  </si>
  <si>
    <t xml:space="preserve">筐子类型</t>
  </si>
  <si>
    <t xml:space="preserve">数　量</t>
  </si>
  <si>
    <t xml:space="preserve">车牌号</t>
  </si>
  <si>
    <t xml:space="preserve">来源册</t>
  </si>
  <si>
    <t xml:space="preserve">备　注</t>
  </si>
  <si>
    <t xml:space="preserve">随筐入库</t>
  </si>
  <si>
    <r>
      <rPr>
        <b val="true"/>
        <sz val="10"/>
        <color rgb="FFC00000"/>
        <rFont val="WenQuanYi Zen Hei"/>
        <family val="2"/>
        <charset val="1"/>
      </rPr>
      <t xml:space="preserve">未回库筐子</t>
    </r>
    <r>
      <rPr>
        <b val="true"/>
        <sz val="10"/>
        <color rgb="FFC00000"/>
        <rFont val="宋体"/>
        <family val="0"/>
        <charset val="134"/>
      </rPr>
      <t xml:space="preserve">(</t>
    </r>
    <r>
      <rPr>
        <b val="true"/>
        <sz val="10"/>
        <color rgb="FFC00000"/>
        <rFont val="WenQuanYi Zen Hei"/>
        <family val="2"/>
        <charset val="1"/>
      </rPr>
      <t xml:space="preserve">欠筐</t>
    </r>
    <r>
      <rPr>
        <b val="true"/>
        <sz val="10"/>
        <color rgb="FFC00000"/>
        <rFont val="宋体"/>
        <family val="0"/>
        <charset val="134"/>
      </rPr>
      <t xml:space="preserve">)</t>
    </r>
  </si>
  <si>
    <r>
      <rPr>
        <b val="true"/>
        <sz val="12"/>
        <color rgb="FFC00000"/>
        <rFont val="WenQuanYi Zen Hei"/>
        <family val="2"/>
        <charset val="1"/>
      </rPr>
      <t xml:space="preserve">退回筐子总数（客户退回的空筐 </t>
    </r>
    <r>
      <rPr>
        <b val="true"/>
        <sz val="12"/>
        <color rgb="FFC00000"/>
        <rFont val="黑体"/>
        <family val="0"/>
        <charset val="134"/>
      </rPr>
      <t xml:space="preserve">· </t>
    </r>
    <r>
      <rPr>
        <b val="true"/>
        <sz val="12"/>
        <color rgb="FFC00000"/>
        <rFont val="WenQuanYi Zen Hei"/>
        <family val="2"/>
        <charset val="1"/>
      </rPr>
      <t xml:space="preserve">负数）</t>
    </r>
  </si>
  <si>
    <t xml:space="preserve">退回数量</t>
  </si>
  <si>
    <r>
      <rPr>
        <b val="true"/>
        <sz val="12"/>
        <color rgb="FFC00000"/>
        <rFont val="WenQuanYi Zen Hei"/>
        <family val="2"/>
        <charset val="1"/>
      </rPr>
      <t xml:space="preserve">随筐入库总数（随原料入库带回 </t>
    </r>
    <r>
      <rPr>
        <b val="true"/>
        <sz val="12"/>
        <color rgb="FFC00000"/>
        <rFont val="黑体"/>
        <family val="0"/>
        <charset val="134"/>
      </rPr>
      <t xml:space="preserve">· </t>
    </r>
    <r>
      <rPr>
        <b val="true"/>
        <sz val="12"/>
        <color rgb="FFC00000"/>
        <rFont val="WenQuanYi Zen Hei"/>
        <family val="2"/>
        <charset val="1"/>
      </rPr>
      <t xml:space="preserve">负数）</t>
    </r>
  </si>
  <si>
    <t xml:space="preserve">入库数量</t>
  </si>
  <si>
    <t xml:space="preserve">贾建国</t>
  </si>
  <si>
    <t xml:space="preserve">自 备 筐 汇 总</t>
  </si>
  <si>
    <r>
      <rPr>
        <b val="true"/>
        <sz val="10"/>
        <color rgb="FF7F6000"/>
        <rFont val="WenQuanYi Zen Hei"/>
        <family val="2"/>
        <charset val="1"/>
      </rPr>
      <t xml:space="preserve">★ 客户自己带来的筐（筐子类型以「自备」开头）＋《</t>
    </r>
    <r>
      <rPr>
        <b val="true"/>
        <sz val="10"/>
        <color rgb="FF7F6000"/>
        <rFont val="Noto Sans CJK SC"/>
        <family val="0"/>
        <charset val="134"/>
      </rPr>
      <t xml:space="preserve">02</t>
    </r>
    <r>
      <rPr>
        <b val="true"/>
        <sz val="10"/>
        <color rgb="FF7F6000"/>
        <rFont val="WenQuanYi Zen Hei"/>
        <family val="2"/>
        <charset val="1"/>
      </rPr>
      <t xml:space="preserve">》客户自备加工筐明细。表外备查，不进公司资产。</t>
    </r>
  </si>
  <si>
    <t xml:space="preserve">自备筐入库</t>
  </si>
  <si>
    <t xml:space="preserve">自备筐入库总数</t>
  </si>
  <si>
    <t xml:space="preserve">自备筐出库</t>
  </si>
  <si>
    <t xml:space="preserve">客　户</t>
  </si>
  <si>
    <t xml:space="preserve">承运人车牌号</t>
  </si>
  <si>
    <t xml:space="preserve">业务类别</t>
  </si>
  <si>
    <t xml:space="preserve">剩余在我库</t>
  </si>
  <si>
    <r>
      <rPr>
        <b val="true"/>
        <sz val="12"/>
        <color rgb="FFC00000"/>
        <rFont val="WenQuanYi Zen Hei"/>
        <family val="2"/>
        <charset val="1"/>
      </rPr>
      <t xml:space="preserve">自备筐出库（随货带走</t>
    </r>
    <r>
      <rPr>
        <b val="true"/>
        <sz val="12"/>
        <color rgb="FFC00000"/>
        <rFont val="黑体"/>
        <family val="0"/>
        <charset val="134"/>
      </rPr>
      <t xml:space="preserve">/</t>
    </r>
    <r>
      <rPr>
        <b val="true"/>
        <sz val="12"/>
        <color rgb="FFC00000"/>
        <rFont val="WenQuanYi Zen Hei"/>
        <family val="2"/>
        <charset val="1"/>
      </rPr>
      <t xml:space="preserve">退还）总数</t>
    </r>
  </si>
  <si>
    <t xml:space="preserve">出库数量</t>
  </si>
  <si>
    <t xml:space="preserve">水 果 进 出 汇 总</t>
  </si>
  <si>
    <r>
      <rPr>
        <b val="true"/>
        <sz val="10"/>
        <color rgb="FF7F6000"/>
        <rFont val="WenQuanYi Zen Hei"/>
        <family val="2"/>
        <charset val="1"/>
      </rPr>
      <t xml:space="preserve">★ 水果原料入库 → 原料出库 → 库存结存，以及成品出库明细。右侧「等级汇总」按下方入库明细自动分等级合计。　★ 注意单位：原料入库</t>
    </r>
    <r>
      <rPr>
        <b val="true"/>
        <sz val="10"/>
        <color rgb="FF7F6000"/>
        <rFont val="Noto Sans CJK SC"/>
        <family val="0"/>
        <charset val="134"/>
      </rPr>
      <t xml:space="preserve">/</t>
    </r>
    <r>
      <rPr>
        <b val="true"/>
        <sz val="10"/>
        <color rgb="FF7F6000"/>
        <rFont val="WenQuanYi Zen Hei"/>
        <family val="2"/>
        <charset val="1"/>
      </rPr>
      <t xml:space="preserve">出库</t>
    </r>
    <r>
      <rPr>
        <b val="true"/>
        <sz val="10"/>
        <color rgb="FF7F6000"/>
        <rFont val="Noto Sans CJK SC"/>
        <family val="0"/>
        <charset val="134"/>
      </rPr>
      <t xml:space="preserve">/</t>
    </r>
    <r>
      <rPr>
        <b val="true"/>
        <sz val="10"/>
        <color rgb="FF7F6000"/>
        <rFont val="WenQuanYi Zen Hei"/>
        <family val="2"/>
        <charset val="1"/>
      </rPr>
      <t xml:space="preserve">结存是「筐」，成品出库是「箱」，两边不能直接相减；结存数量＝入库筐数−出库筐数，跟成品出库箱数没有加减关系。</t>
    </r>
  </si>
  <si>
    <t xml:space="preserve">入库总数量（筐）</t>
  </si>
  <si>
    <r>
      <rPr>
        <b val="true"/>
        <sz val="12"/>
        <color rgb="FFC00000"/>
        <rFont val="WenQuanYi Zen Hei"/>
        <family val="2"/>
        <charset val="1"/>
      </rPr>
      <t xml:space="preserve">入库总筐数 </t>
    </r>
    <r>
      <rPr>
        <b val="true"/>
        <sz val="12"/>
        <color rgb="FFC00000"/>
        <rFont val="黑体"/>
        <family val="0"/>
        <charset val="134"/>
      </rPr>
      <t xml:space="preserve">/ </t>
    </r>
    <r>
      <rPr>
        <b val="true"/>
        <sz val="12"/>
        <color rgb="FFC00000"/>
        <rFont val="WenQuanYi Zen Hei"/>
        <family val="2"/>
        <charset val="1"/>
      </rPr>
      <t xml:space="preserve">总毛重</t>
    </r>
  </si>
  <si>
    <r>
      <rPr>
        <b val="true"/>
        <sz val="10"/>
        <color rgb="FF1F3864"/>
        <rFont val="WenQuanYi Zen Hei"/>
        <family val="2"/>
        <charset val="1"/>
      </rPr>
      <t xml:space="preserve">入库总毛重</t>
    </r>
    <r>
      <rPr>
        <b val="true"/>
        <sz val="10"/>
        <color rgb="FF1F3864"/>
        <rFont val="宋体"/>
        <family val="0"/>
        <charset val="134"/>
      </rPr>
      <t xml:space="preserve">KG</t>
    </r>
  </si>
  <si>
    <t xml:space="preserve">品　名</t>
  </si>
  <si>
    <t xml:space="preserve">等　级</t>
  </si>
  <si>
    <t xml:space="preserve">单位</t>
  </si>
  <si>
    <r>
      <rPr>
        <b val="true"/>
        <sz val="10"/>
        <color rgb="FFFFFFFF"/>
        <rFont val="WenQuanYi Zen Hei"/>
        <family val="2"/>
        <charset val="1"/>
      </rPr>
      <t xml:space="preserve">总毛重</t>
    </r>
    <r>
      <rPr>
        <b val="true"/>
        <sz val="10"/>
        <color rgb="FFFFFFFF"/>
        <rFont val="黑体"/>
        <family val="0"/>
        <charset val="134"/>
      </rPr>
      <t xml:space="preserve">KG</t>
    </r>
  </si>
  <si>
    <r>
      <rPr>
        <b val="true"/>
        <sz val="10"/>
        <color rgb="FFFFFFFF"/>
        <rFont val="WenQuanYi Zen Hei"/>
        <family val="2"/>
        <charset val="1"/>
      </rPr>
      <t xml:space="preserve">货主</t>
    </r>
    <r>
      <rPr>
        <b val="true"/>
        <sz val="10"/>
        <color rgb="FFFFFFFF"/>
        <rFont val="黑体"/>
        <family val="0"/>
        <charset val="134"/>
      </rPr>
      <t xml:space="preserve">/</t>
    </r>
    <r>
      <rPr>
        <b val="true"/>
        <sz val="10"/>
        <color rgb="FFFFFFFF"/>
        <rFont val="WenQuanYi Zen Hei"/>
        <family val="2"/>
        <charset val="1"/>
      </rPr>
      <t xml:space="preserve">存放人</t>
    </r>
  </si>
  <si>
    <t xml:space="preserve">出库总数量（筐）</t>
  </si>
  <si>
    <t xml:space="preserve">结存数量（筐）</t>
  </si>
  <si>
    <t xml:space="preserve">成品出库数量（箱）</t>
  </si>
  <si>
    <t xml:space="preserve">成品出库金额</t>
  </si>
  <si>
    <t xml:space="preserve">成品出库数量（筐等）</t>
  </si>
  <si>
    <t xml:space="preserve">入 库 等 级 汇 总</t>
  </si>
  <si>
    <t xml:space="preserve">数量</t>
  </si>
  <si>
    <r>
      <rPr>
        <b val="true"/>
        <sz val="10"/>
        <color rgb="FFFFFFFF"/>
        <rFont val="WenQuanYi Zen Hei"/>
        <family val="2"/>
        <charset val="1"/>
      </rPr>
      <t xml:space="preserve">总毛重</t>
    </r>
    <r>
      <rPr>
        <b val="true"/>
        <sz val="10"/>
        <color rgb="FFFFFFFF"/>
        <rFont val="黑体"/>
        <family val="0"/>
        <charset val="134"/>
      </rPr>
      <t xml:space="preserve">/KG</t>
    </r>
  </si>
  <si>
    <t xml:space="preserve">合　计</t>
  </si>
  <si>
    <t xml:space="preserve">出 库 等 级 汇 总</t>
  </si>
  <si>
    <r>
      <rPr>
        <b val="true"/>
        <sz val="12"/>
        <color rgb="FFC00000"/>
        <rFont val="WenQuanYi Zen Hei"/>
        <family val="2"/>
        <charset val="1"/>
      </rPr>
      <t xml:space="preserve">出库总筐数 </t>
    </r>
    <r>
      <rPr>
        <b val="true"/>
        <sz val="12"/>
        <color rgb="FFC00000"/>
        <rFont val="黑体"/>
        <family val="0"/>
        <charset val="134"/>
      </rPr>
      <t xml:space="preserve">/ </t>
    </r>
    <r>
      <rPr>
        <b val="true"/>
        <sz val="12"/>
        <color rgb="FFC00000"/>
        <rFont val="WenQuanYi Zen Hei"/>
        <family val="2"/>
        <charset val="1"/>
      </rPr>
      <t xml:space="preserve">总毛重</t>
    </r>
  </si>
  <si>
    <t xml:space="preserve">出库类别</t>
  </si>
  <si>
    <r>
      <rPr>
        <b val="true"/>
        <sz val="12"/>
        <color rgb="FFC00000"/>
        <rFont val="WenQuanYi Zen Hei"/>
        <family val="2"/>
        <charset val="1"/>
      </rPr>
      <t xml:space="preserve">成品出库总数 </t>
    </r>
    <r>
      <rPr>
        <b val="true"/>
        <sz val="12"/>
        <color rgb="FFC00000"/>
        <rFont val="黑体"/>
        <family val="0"/>
        <charset val="134"/>
      </rPr>
      <t xml:space="preserve">/ </t>
    </r>
    <r>
      <rPr>
        <b val="true"/>
        <sz val="12"/>
        <color rgb="FFC00000"/>
        <rFont val="WenQuanYi Zen Hei"/>
        <family val="2"/>
        <charset val="1"/>
      </rPr>
      <t xml:space="preserve">应收合计</t>
    </r>
  </si>
  <si>
    <t xml:space="preserve">金额（元）</t>
  </si>
  <si>
    <t xml:space="preserve">收款状态</t>
  </si>
  <si>
    <t xml:space="preserve">果然鲜</t>
  </si>
  <si>
    <t xml:space="preserve">采 购 汇 总</t>
  </si>
  <si>
    <r>
      <rPr>
        <b val="true"/>
        <sz val="10"/>
        <color rgb="FF7F6000"/>
        <rFont val="WenQuanYi Zen Hei"/>
        <family val="2"/>
        <charset val="1"/>
      </rPr>
      <t xml:space="preserve">★ 只填 </t>
    </r>
    <r>
      <rPr>
        <b val="true"/>
        <sz val="10"/>
        <color rgb="FF7F6000"/>
        <rFont val="Noto Sans CJK SC"/>
        <family val="0"/>
        <charset val="134"/>
      </rPr>
      <t xml:space="preserve">B2 </t>
    </r>
    <r>
      <rPr>
        <b val="true"/>
        <sz val="10"/>
        <color rgb="FF7F6000"/>
        <rFont val="WenQuanYi Zen Hei"/>
        <family val="2"/>
        <charset val="1"/>
      </rPr>
      <t xml:space="preserve">货主</t>
    </r>
    <r>
      <rPr>
        <b val="true"/>
        <sz val="10"/>
        <color rgb="FF7F6000"/>
        <rFont val="Noto Sans CJK SC"/>
        <family val="0"/>
        <charset val="134"/>
      </rPr>
      <t xml:space="preserve">/</t>
    </r>
    <r>
      <rPr>
        <b val="true"/>
        <sz val="10"/>
        <color rgb="FF7F6000"/>
        <rFont val="WenQuanYi Zen Hei"/>
        <family val="2"/>
        <charset val="1"/>
      </rPr>
      <t xml:space="preserve">客户与起止日期。这里列的是【</t>
    </r>
    <r>
      <rPr>
        <b val="true"/>
        <sz val="10"/>
        <color rgb="FF7F6000"/>
        <rFont val="Noto Sans CJK SC"/>
        <family val="0"/>
        <charset val="134"/>
      </rPr>
      <t xml:space="preserve">01 </t>
    </r>
    <r>
      <rPr>
        <b val="true"/>
        <sz val="10"/>
        <color rgb="FF7F6000"/>
        <rFont val="WenQuanYi Zen Hei"/>
        <family val="2"/>
        <charset val="1"/>
      </rPr>
      <t xml:space="preserve">成品出库明细】里填了「采购单价」的行 —— 也就是公司（果然鲜）从这位货主手里买下的果品，金额是我们要付给他的钱（应付），在《</t>
    </r>
    <r>
      <rPr>
        <b val="true"/>
        <sz val="10"/>
        <color rgb="FF7F6000"/>
        <rFont val="Noto Sans CJK SC"/>
        <family val="0"/>
        <charset val="134"/>
      </rPr>
      <t xml:space="preserve">03 </t>
    </r>
    <r>
      <rPr>
        <b val="true"/>
        <sz val="10"/>
        <color rgb="FF7F6000"/>
        <rFont val="WenQuanYi Zen Hei"/>
        <family val="2"/>
        <charset val="1"/>
      </rPr>
      <t xml:space="preserve">往来对账单》里会作为负数抵扣应收。</t>
    </r>
  </si>
  <si>
    <t xml:space="preserve">采购总数量</t>
  </si>
  <si>
    <t xml:space="preserve">公司购买客户果品（应付）总金额</t>
  </si>
  <si>
    <t xml:space="preserve">采购总金额</t>
  </si>
  <si>
    <t xml:space="preserve">采购单价</t>
  </si>
  <si>
    <t xml:space="preserve">采购金额（应付）</t>
  </si>
  <si>
    <t xml:space="preserve">付款状态</t>
  </si>
  <si>
    <t xml:space="preserve">已付金额</t>
  </si>
  <si>
    <t xml:space="preserve">未付金额（应付）</t>
  </si>
  <si>
    <r>
      <rPr>
        <b val="true"/>
        <sz val="10"/>
        <rFont val="WenQuanYi Zen Hei"/>
        <family val="2"/>
        <charset val="1"/>
      </rPr>
      <t xml:space="preserve">购 买 方</t>
    </r>
    <r>
      <rPr>
        <b val="true"/>
        <sz val="10"/>
        <rFont val="微软雅黑"/>
        <family val="0"/>
        <charset val="1"/>
      </rPr>
      <t xml:space="preserve">:</t>
    </r>
  </si>
  <si>
    <r>
      <rPr>
        <b val="true"/>
        <sz val="10"/>
        <rFont val="WenQuanYi Zen Hei"/>
        <family val="2"/>
        <charset val="1"/>
      </rPr>
      <t xml:space="preserve">开始日期</t>
    </r>
    <r>
      <rPr>
        <b val="true"/>
        <sz val="10"/>
        <rFont val="微软雅黑"/>
        <family val="0"/>
        <charset val="1"/>
      </rPr>
      <t xml:space="preserve">:</t>
    </r>
  </si>
  <si>
    <r>
      <rPr>
        <b val="true"/>
        <sz val="10"/>
        <rFont val="WenQuanYi Zen Hei"/>
        <family val="2"/>
        <charset val="1"/>
      </rPr>
      <t xml:space="preserve">结束日期</t>
    </r>
    <r>
      <rPr>
        <b val="true"/>
        <sz val="10"/>
        <rFont val="微软雅黑"/>
        <family val="0"/>
        <charset val="1"/>
      </rPr>
      <t xml:space="preserve">:</t>
    </r>
  </si>
  <si>
    <t xml:space="preserve">销 售 汇 总</t>
  </si>
  <si>
    <r>
      <rPr>
        <sz val="9"/>
        <color rgb="FF7F7F7F"/>
        <rFont val="WenQuanYi Zen Hei"/>
        <family val="2"/>
        <charset val="1"/>
      </rPr>
      <t xml:space="preserve">★ 只填 </t>
    </r>
    <r>
      <rPr>
        <sz val="9"/>
        <color rgb="FF7F7F7F"/>
        <rFont val="微软雅黑"/>
        <family val="0"/>
        <charset val="1"/>
      </rPr>
      <t xml:space="preserve">B2 </t>
    </r>
    <r>
      <rPr>
        <sz val="9"/>
        <color rgb="FF7F7F7F"/>
        <rFont val="WenQuanYi Zen Hei"/>
        <family val="2"/>
        <charset val="1"/>
      </rPr>
      <t xml:space="preserve">购买方与起止日期。这里列的是【</t>
    </r>
    <r>
      <rPr>
        <sz val="9"/>
        <color rgb="FF7F7F7F"/>
        <rFont val="微软雅黑"/>
        <family val="0"/>
        <charset val="1"/>
      </rPr>
      <t xml:space="preserve">01 </t>
    </r>
    <r>
      <rPr>
        <sz val="9"/>
        <color rgb="FF7F7F7F"/>
        <rFont val="WenQuanYi Zen Hei"/>
        <family val="2"/>
        <charset val="1"/>
      </rPr>
      <t xml:space="preserve">成品出库明细】里填了「销售单价 </t>
    </r>
    <r>
      <rPr>
        <sz val="9"/>
        <color rgb="FF7F7F7F"/>
        <rFont val="微软雅黑"/>
        <family val="0"/>
        <charset val="1"/>
      </rPr>
      <t xml:space="preserve">/ </t>
    </r>
    <r>
      <rPr>
        <sz val="9"/>
        <color rgb="FF7F7F7F"/>
        <rFont val="WenQuanYi Zen Hei"/>
        <family val="2"/>
        <charset val="1"/>
      </rPr>
      <t xml:space="preserve">销售金额」的行 —— 也就是公司（果然鲜）卖给这位客户的果品，金额是他要付给我们的钱（应收）。运费分「自结运费」和「代发运费」两列，都已经含在销售金额里。</t>
    </r>
  </si>
  <si>
    <t xml:space="preserve">销售总数量（箱）</t>
  </si>
  <si>
    <t xml:space="preserve">客户欠我方（应收）总金额</t>
  </si>
  <si>
    <t xml:space="preserve">销售金额（应收）</t>
  </si>
  <si>
    <t xml:space="preserve">销售单价</t>
  </si>
  <si>
    <t xml:space="preserve">自结运费</t>
  </si>
  <si>
    <t xml:space="preserve">代发运费</t>
  </si>
  <si>
    <r>
      <rPr>
        <b val="true"/>
        <sz val="10"/>
        <rFont val="WenQuanYi Zen Hei"/>
        <family val="2"/>
        <charset val="1"/>
      </rPr>
      <t xml:space="preserve">其中</t>
    </r>
    <r>
      <rPr>
        <b val="true"/>
        <sz val="10"/>
        <rFont val="微软雅黑"/>
        <family val="0"/>
        <charset val="1"/>
      </rPr>
      <t xml:space="preserve">·</t>
    </r>
    <r>
      <rPr>
        <b val="true"/>
        <sz val="10"/>
        <rFont val="WenQuanYi Zen Hei"/>
        <family val="2"/>
        <charset val="1"/>
      </rPr>
      <t xml:space="preserve">自结运费</t>
    </r>
  </si>
  <si>
    <r>
      <rPr>
        <b val="true"/>
        <sz val="10"/>
        <rFont val="WenQuanYi Zen Hei"/>
        <family val="2"/>
        <charset val="1"/>
      </rPr>
      <t xml:space="preserve">其中</t>
    </r>
    <r>
      <rPr>
        <b val="true"/>
        <sz val="10"/>
        <rFont val="微软雅黑"/>
        <family val="0"/>
        <charset val="1"/>
      </rPr>
      <t xml:space="preserve">·</t>
    </r>
    <r>
      <rPr>
        <b val="true"/>
        <sz val="10"/>
        <rFont val="WenQuanYi Zen Hei"/>
        <family val="2"/>
        <charset val="1"/>
      </rPr>
      <t xml:space="preserve">代发运费</t>
    </r>
  </si>
  <si>
    <t xml:space="preserve">已收金额</t>
  </si>
  <si>
    <t xml:space="preserve">未收金额（应收）</t>
  </si>
  <si>
    <t xml:space="preserve">合  计</t>
  </si>
  <si>
    <r>
      <rPr>
        <b val="true"/>
        <sz val="10"/>
        <rFont val="WenQuanYi Zen Hei"/>
        <family val="2"/>
        <charset val="1"/>
      </rPr>
      <t xml:space="preserve">合计金额</t>
    </r>
    <r>
      <rPr>
        <b val="true"/>
        <sz val="10"/>
        <rFont val="微软雅黑"/>
        <family val="0"/>
        <charset val="1"/>
      </rPr>
      <t xml:space="preserve">:</t>
    </r>
  </si>
  <si>
    <r>
      <rPr>
        <b val="true"/>
        <sz val="10"/>
        <rFont val="WenQuanYi Zen Hei"/>
        <family val="2"/>
        <charset val="1"/>
      </rPr>
      <t xml:space="preserve">已 收 款</t>
    </r>
    <r>
      <rPr>
        <b val="true"/>
        <sz val="10"/>
        <rFont val="微软雅黑"/>
        <family val="0"/>
        <charset val="1"/>
      </rPr>
      <t xml:space="preserve">:</t>
    </r>
  </si>
  <si>
    <r>
      <rPr>
        <b val="true"/>
        <sz val="10"/>
        <rFont val="WenQuanYi Zen Hei"/>
        <family val="2"/>
        <charset val="1"/>
      </rPr>
      <t xml:space="preserve">应 收 款</t>
    </r>
    <r>
      <rPr>
        <b val="true"/>
        <sz val="10"/>
        <rFont val="微软雅黑"/>
        <family val="0"/>
        <charset val="1"/>
      </rPr>
      <t xml:space="preserve">:</t>
    </r>
  </si>
  <si>
    <t xml:space="preserve">麦麦提</t>
  </si>
  <si>
    <t xml:space="preserve">销 售 金 额 汇 总</t>
  </si>
  <si>
    <r>
      <rPr>
        <b val="true"/>
        <sz val="10"/>
        <color rgb="FF7F6000"/>
        <rFont val="WenQuanYi Zen Hei"/>
        <family val="2"/>
        <charset val="1"/>
      </rPr>
      <t xml:space="preserve">★ 包装物料的出入库销售明细 ＋ 卖断给客户的筐子明细。单价＝金额</t>
    </r>
    <r>
      <rPr>
        <b val="true"/>
        <sz val="10"/>
        <color rgb="FF7F6000"/>
        <rFont val="Noto Sans CJK SC"/>
        <family val="0"/>
        <charset val="134"/>
      </rPr>
      <t xml:space="preserve">÷</t>
    </r>
    <r>
      <rPr>
        <b val="true"/>
        <sz val="10"/>
        <color rgb="FF7F6000"/>
        <rFont val="WenQuanYi Zen Hei"/>
        <family val="2"/>
        <charset val="1"/>
      </rPr>
      <t xml:space="preserve">数量，自动计算。</t>
    </r>
  </si>
  <si>
    <t xml:space="preserve">物料金额</t>
  </si>
  <si>
    <r>
      <rPr>
        <b val="true"/>
        <sz val="12"/>
        <color rgb="FFC00000"/>
        <rFont val="WenQuanYi Zen Hei"/>
        <family val="2"/>
        <charset val="1"/>
      </rPr>
      <t xml:space="preserve">物料销售 </t>
    </r>
    <r>
      <rPr>
        <b val="true"/>
        <sz val="12"/>
        <color rgb="FFC00000"/>
        <rFont val="黑体"/>
        <family val="0"/>
        <charset val="134"/>
      </rPr>
      <t xml:space="preserve">/ </t>
    </r>
    <r>
      <rPr>
        <b val="true"/>
        <sz val="12"/>
        <color rgb="FFC00000"/>
        <rFont val="WenQuanYi Zen Hei"/>
        <family val="2"/>
        <charset val="1"/>
      </rPr>
      <t xml:space="preserve">领用总金额</t>
    </r>
  </si>
  <si>
    <t xml:space="preserve">筐子金额</t>
  </si>
  <si>
    <t xml:space="preserve">物料名称</t>
  </si>
  <si>
    <t xml:space="preserve">规　格</t>
  </si>
  <si>
    <t xml:space="preserve">单　价</t>
  </si>
  <si>
    <t xml:space="preserve">收付状态</t>
  </si>
  <si>
    <t xml:space="preserve">合计金额</t>
  </si>
  <si>
    <t xml:space="preserve">未收金额</t>
  </si>
  <si>
    <t xml:space="preserve">筐子销售总金额</t>
  </si>
  <si>
    <r>
      <rPr>
        <b val="true"/>
        <sz val="14"/>
        <color rgb="FFFFFFFF"/>
        <rFont val="WenQuanYi Zen Hei"/>
        <family val="2"/>
        <charset val="1"/>
      </rPr>
      <t xml:space="preserve">筐 子 </t>
    </r>
    <r>
      <rPr>
        <b val="true"/>
        <sz val="14"/>
        <color rgb="FFFFFFFF"/>
        <rFont val="Noto Sans CJK SC"/>
        <family val="0"/>
        <charset val="134"/>
      </rPr>
      <t xml:space="preserve">/ </t>
    </r>
    <r>
      <rPr>
        <b val="true"/>
        <sz val="14"/>
        <color rgb="FFFFFFFF"/>
        <rFont val="WenQuanYi Zen Hei"/>
        <family val="2"/>
        <charset val="1"/>
      </rPr>
      <t xml:space="preserve">托 盘 库 存 汇 总（公司自有筐子还剩多少 </t>
    </r>
    <r>
      <rPr>
        <b val="true"/>
        <sz val="14"/>
        <color rgb="FFFFFFFF"/>
        <rFont val="Noto Sans CJK SC"/>
        <family val="0"/>
        <charset val="134"/>
      </rPr>
      <t xml:space="preserve">· </t>
    </r>
    <r>
      <rPr>
        <b val="true"/>
        <sz val="14"/>
        <color rgb="FFFFFFFF"/>
        <rFont val="WenQuanYi Zen Hei"/>
        <family val="2"/>
        <charset val="1"/>
      </rPr>
      <t xml:space="preserve">取自《</t>
    </r>
    <r>
      <rPr>
        <b val="true"/>
        <sz val="14"/>
        <color rgb="FFFFFFFF"/>
        <rFont val="Noto Sans CJK SC"/>
        <family val="0"/>
        <charset val="134"/>
      </rPr>
      <t xml:space="preserve">02</t>
    </r>
    <r>
      <rPr>
        <b val="true"/>
        <sz val="14"/>
        <color rgb="FFFFFFFF"/>
        <rFont val="WenQuanYi Zen Hei"/>
        <family val="2"/>
        <charset val="1"/>
      </rPr>
      <t xml:space="preserve">》）</t>
    </r>
  </si>
  <si>
    <r>
      <rPr>
        <b val="true"/>
        <sz val="10"/>
        <color rgb="FFFFFFFF"/>
        <rFont val="WenQuanYi Zen Hei"/>
        <family val="2"/>
        <charset val="1"/>
      </rPr>
      <t xml:space="preserve">筐子 </t>
    </r>
    <r>
      <rPr>
        <b val="true"/>
        <sz val="10"/>
        <color rgb="FFFFFFFF"/>
        <rFont val="Noto Sans CJK SC"/>
        <family val="0"/>
        <charset val="134"/>
      </rPr>
      <t xml:space="preserve">/ </t>
    </r>
    <r>
      <rPr>
        <b val="true"/>
        <sz val="10"/>
        <color rgb="FFFFFFFF"/>
        <rFont val="WenQuanYi Zen Hei"/>
        <family val="2"/>
        <charset val="1"/>
      </rPr>
      <t xml:space="preserve">托盘类型</t>
    </r>
  </si>
  <si>
    <t xml:space="preserve">期初库存</t>
  </si>
  <si>
    <t xml:space="preserve">采购入库</t>
  </si>
  <si>
    <t xml:space="preserve">客户退回入库（显示为负）</t>
  </si>
  <si>
    <t xml:space="preserve">发出出库</t>
  </si>
  <si>
    <t xml:space="preserve">销售出库</t>
  </si>
  <si>
    <r>
      <rPr>
        <b val="true"/>
        <sz val="10"/>
        <color rgb="FFFFFFFF"/>
        <rFont val="WenQuanYi Zen Hei"/>
        <family val="2"/>
        <charset val="1"/>
      </rPr>
      <t xml:space="preserve">报损</t>
    </r>
    <r>
      <rPr>
        <b val="true"/>
        <sz val="10"/>
        <color rgb="FFFFFFFF"/>
        <rFont val="Noto Sans CJK SC"/>
        <family val="0"/>
        <charset val="134"/>
      </rPr>
      <t xml:space="preserve">/</t>
    </r>
    <r>
      <rPr>
        <b val="true"/>
        <sz val="10"/>
        <color rgb="FFFFFFFF"/>
        <rFont val="WenQuanYi Zen Hei"/>
        <family val="2"/>
        <charset val="1"/>
      </rPr>
      <t xml:space="preserve">调拨</t>
    </r>
  </si>
  <si>
    <t xml:space="preserve">公司在库结存</t>
  </si>
  <si>
    <r>
      <rPr>
        <b val="true"/>
        <sz val="10"/>
        <color rgb="FFFFFFFF"/>
        <rFont val="WenQuanYi Zen Hei"/>
        <family val="2"/>
        <charset val="1"/>
      </rPr>
      <t xml:space="preserve">客户未回库</t>
    </r>
    <r>
      <rPr>
        <b val="true"/>
        <sz val="10"/>
        <color rgb="FFFFFFFF"/>
        <rFont val="Noto Sans CJK SC"/>
        <family val="0"/>
        <charset val="134"/>
      </rPr>
      <t xml:space="preserve">(02</t>
    </r>
    <r>
      <rPr>
        <b val="true"/>
        <sz val="10"/>
        <color rgb="FFFFFFFF"/>
        <rFont val="WenQuanYi Zen Hei"/>
        <family val="2"/>
        <charset val="1"/>
      </rPr>
      <t xml:space="preserve">册</t>
    </r>
    <r>
      <rPr>
        <b val="true"/>
        <sz val="10"/>
        <color rgb="FFFFFFFF"/>
        <rFont val="Noto Sans CJK SC"/>
        <family val="0"/>
        <charset val="134"/>
      </rPr>
      <t xml:space="preserve">)</t>
    </r>
  </si>
  <si>
    <r>
      <rPr>
        <b val="true"/>
        <sz val="10"/>
        <color rgb="FFFFFFFF"/>
        <rFont val="WenQuanYi Zen Hei"/>
        <family val="2"/>
        <charset val="1"/>
      </rPr>
      <t xml:space="preserve">客户未回库</t>
    </r>
    <r>
      <rPr>
        <b val="true"/>
        <sz val="10"/>
        <color rgb="FFFFFFFF"/>
        <rFont val="Noto Sans CJK SC"/>
        <family val="0"/>
        <charset val="134"/>
      </rPr>
      <t xml:space="preserve">(01</t>
    </r>
    <r>
      <rPr>
        <b val="true"/>
        <sz val="10"/>
        <color rgb="FFFFFFFF"/>
        <rFont val="WenQuanYi Zen Hei"/>
        <family val="2"/>
        <charset val="1"/>
      </rPr>
      <t xml:space="preserve">水果册</t>
    </r>
    <r>
      <rPr>
        <b val="true"/>
        <sz val="10"/>
        <color rgb="FFFFFFFF"/>
        <rFont val="Noto Sans CJK SC"/>
        <family val="0"/>
        <charset val="134"/>
      </rPr>
      <t xml:space="preserve">)</t>
    </r>
  </si>
  <si>
    <t xml:space="preserve">公司筐总量</t>
  </si>
  <si>
    <t xml:space="preserve">备注</t>
  </si>
  <si>
    <t xml:space="preserve">合计</t>
  </si>
  <si>
    <r>
      <rPr>
        <b val="true"/>
        <sz val="14"/>
        <color rgb="FFFFFFFF"/>
        <rFont val="WenQuanYi Zen Hei"/>
        <family val="2"/>
        <charset val="1"/>
      </rPr>
      <t xml:space="preserve">应 收 应 付 汇 总（按往来单位 </t>
    </r>
    <r>
      <rPr>
        <b val="true"/>
        <sz val="14"/>
        <color rgb="FFFFFFFF"/>
        <rFont val="Noto Sans CJK SC"/>
        <family val="0"/>
        <charset val="134"/>
      </rPr>
      <t xml:space="preserve">· </t>
    </r>
    <r>
      <rPr>
        <b val="true"/>
        <sz val="14"/>
        <color rgb="FFFFFFFF"/>
        <rFont val="WenQuanYi Zen Hei"/>
        <family val="2"/>
        <charset val="1"/>
      </rPr>
      <t xml:space="preserve">两册业务合并 </t>
    </r>
    <r>
      <rPr>
        <b val="true"/>
        <sz val="14"/>
        <color rgb="FFFFFFFF"/>
        <rFont val="Noto Sans CJK SC"/>
        <family val="0"/>
        <charset val="134"/>
      </rPr>
      <t xml:space="preserve">· </t>
    </r>
    <r>
      <rPr>
        <b val="true"/>
        <sz val="14"/>
        <color rgb="FFFFFFFF"/>
        <rFont val="WenQuanYi Zen Hei"/>
        <family val="2"/>
        <charset val="1"/>
      </rPr>
      <t xml:space="preserve">全自动）</t>
    </r>
  </si>
  <si>
    <t xml:space="preserve">往来单位</t>
  </si>
  <si>
    <t xml:space="preserve">水果成品出库</t>
  </si>
  <si>
    <t xml:space="preserve">其他代存</t>
  </si>
  <si>
    <t xml:space="preserve">包装物料</t>
  </si>
  <si>
    <t xml:space="preserve">周转筐</t>
  </si>
  <si>
    <r>
      <rPr>
        <b val="true"/>
        <sz val="10"/>
        <color rgb="FFFFFFFF"/>
        <rFont val="WenQuanYi Zen Hei"/>
        <family val="2"/>
        <charset val="1"/>
      </rPr>
      <t xml:space="preserve">次果筐</t>
    </r>
    <r>
      <rPr>
        <b val="true"/>
        <sz val="10"/>
        <color rgb="FFFFFFFF"/>
        <rFont val="Noto Sans CJK SC"/>
        <family val="0"/>
        <charset val="134"/>
      </rPr>
      <t xml:space="preserve">/</t>
    </r>
    <r>
      <rPr>
        <b val="true"/>
        <sz val="10"/>
        <color rgb="FFFFFFFF"/>
        <rFont val="WenQuanYi Zen Hei"/>
        <family val="2"/>
        <charset val="1"/>
      </rPr>
      <t xml:space="preserve">托盘</t>
    </r>
  </si>
  <si>
    <t xml:space="preserve">业务金额合计</t>
  </si>
  <si>
    <r>
      <rPr>
        <b val="true"/>
        <sz val="10"/>
        <color rgb="FFFFFFFF"/>
        <rFont val="WenQuanYi Zen Hei"/>
        <family val="2"/>
        <charset val="1"/>
      </rPr>
      <t xml:space="preserve">已收</t>
    </r>
    <r>
      <rPr>
        <b val="true"/>
        <sz val="10"/>
        <color rgb="FFFFFFFF"/>
        <rFont val="Noto Sans CJK SC"/>
        <family val="0"/>
        <charset val="134"/>
      </rPr>
      <t xml:space="preserve">/</t>
    </r>
    <r>
      <rPr>
        <b val="true"/>
        <sz val="10"/>
        <color rgb="FFFFFFFF"/>
        <rFont val="WenQuanYi Zen Hei"/>
        <family val="2"/>
        <charset val="1"/>
      </rPr>
      <t xml:space="preserve">已付</t>
    </r>
  </si>
  <si>
    <r>
      <rPr>
        <b val="true"/>
        <sz val="10"/>
        <color rgb="FFFFFFFF"/>
        <rFont val="WenQuanYi Zen Hei"/>
        <family val="2"/>
        <charset val="1"/>
      </rPr>
      <t xml:space="preserve">未收</t>
    </r>
    <r>
      <rPr>
        <b val="true"/>
        <sz val="10"/>
        <color rgb="FFFFFFFF"/>
        <rFont val="Noto Sans CJK SC"/>
        <family val="0"/>
        <charset val="134"/>
      </rPr>
      <t xml:space="preserve">/</t>
    </r>
    <r>
      <rPr>
        <b val="true"/>
        <sz val="10"/>
        <color rgb="FFFFFFFF"/>
        <rFont val="WenQuanYi Zen Hei"/>
        <family val="2"/>
        <charset val="1"/>
      </rPr>
      <t xml:space="preserve">未付</t>
    </r>
  </si>
  <si>
    <t xml:space="preserve">欠款方向</t>
  </si>
  <si>
    <r>
      <rPr>
        <b val="true"/>
        <sz val="14"/>
        <color rgb="FFFFFFFF"/>
        <rFont val="WenQuanYi Zen Hei"/>
        <family val="2"/>
        <charset val="1"/>
      </rPr>
      <t xml:space="preserve">对 接 源 </t>
    </r>
    <r>
      <rPr>
        <b val="true"/>
        <sz val="14"/>
        <color rgb="FFFFFFFF"/>
        <rFont val="Noto Sans CJK SC"/>
        <family val="0"/>
        <charset val="134"/>
      </rPr>
      <t xml:space="preserve">· 01 </t>
    </r>
    <r>
      <rPr>
        <b val="true"/>
        <sz val="14"/>
        <color rgb="FFFFFFFF"/>
        <rFont val="WenQuanYi Zen Hei"/>
        <family val="2"/>
        <charset val="1"/>
      </rPr>
      <t xml:space="preserve">水果进销存台账（跨文件自动取数 </t>
    </r>
    <r>
      <rPr>
        <b val="true"/>
        <sz val="14"/>
        <color rgb="FFFFFFFF"/>
        <rFont val="Noto Sans CJK SC"/>
        <family val="0"/>
        <charset val="134"/>
      </rPr>
      <t xml:space="preserve">· </t>
    </r>
    <r>
      <rPr>
        <b val="true"/>
        <sz val="14"/>
        <color rgb="FFFFFFFF"/>
        <rFont val="WenQuanYi Zen Hei"/>
        <family val="2"/>
        <charset val="1"/>
      </rPr>
      <t xml:space="preserve">全部公式，勿手工填）</t>
    </r>
  </si>
  <si>
    <t xml:space="preserve">有效笔数</t>
  </si>
  <si>
    <t xml:space="preserve">链接探针</t>
  </si>
  <si>
    <t xml:space="preserve">源行</t>
  </si>
  <si>
    <t xml:space="preserve">日期</t>
  </si>
  <si>
    <t xml:space="preserve">品名</t>
  </si>
  <si>
    <r>
      <rPr>
        <b val="true"/>
        <sz val="10"/>
        <color rgb="FFFFFFFF"/>
        <rFont val="WenQuanYi Zen Hei"/>
        <family val="2"/>
        <charset val="1"/>
      </rPr>
      <t xml:space="preserve">规格</t>
    </r>
    <r>
      <rPr>
        <b val="true"/>
        <sz val="10"/>
        <color rgb="FFFFFFFF"/>
        <rFont val="Noto Sans CJK SC"/>
        <family val="0"/>
        <charset val="134"/>
      </rPr>
      <t xml:space="preserve">/</t>
    </r>
    <r>
      <rPr>
        <b val="true"/>
        <sz val="10"/>
        <color rgb="FFFFFFFF"/>
        <rFont val="WenQuanYi Zen Hei"/>
        <family val="2"/>
        <charset val="1"/>
      </rPr>
      <t xml:space="preserve">等级</t>
    </r>
  </si>
  <si>
    <r>
      <rPr>
        <b val="true"/>
        <sz val="10"/>
        <color rgb="FFFFFFFF"/>
        <rFont val="WenQuanYi Zen Hei"/>
        <family val="2"/>
        <charset val="1"/>
      </rPr>
      <t xml:space="preserve">重量</t>
    </r>
    <r>
      <rPr>
        <b val="true"/>
        <sz val="10"/>
        <color rgb="FFFFFFFF"/>
        <rFont val="Noto Sans CJK SC"/>
        <family val="0"/>
        <charset val="134"/>
      </rPr>
      <t xml:space="preserve">KG</t>
    </r>
  </si>
  <si>
    <t xml:space="preserve">金额</t>
  </si>
  <si>
    <t xml:space="preserve">有效</t>
  </si>
  <si>
    <t xml:space="preserve">累计</t>
  </si>
  <si>
    <t xml:space="preserve">已取行数</t>
  </si>
  <si>
    <t xml:space="preserve">发出筐数</t>
  </si>
  <si>
    <t xml:space="preserve">退回筐数</t>
  </si>
  <si>
    <t xml:space="preserve">入库筐数</t>
  </si>
  <si>
    <t xml:space="preserve">筐子归属</t>
  </si>
  <si>
    <t xml:space="preserve">采购货主</t>
  </si>
  <si>
    <t xml:space="preserve">购买方</t>
  </si>
  <si>
    <t xml:space="preserve">采购代发运费</t>
  </si>
  <si>
    <t xml:space="preserve">销售类型</t>
  </si>
  <si>
    <t xml:space="preserve">链接可用</t>
  </si>
  <si>
    <r>
      <rPr>
        <b val="true"/>
        <sz val="14"/>
        <color rgb="FFFFFFFF"/>
        <rFont val="WenQuanYi Zen Hei"/>
        <family val="2"/>
        <charset val="1"/>
      </rPr>
      <t xml:space="preserve">对 接 源 </t>
    </r>
    <r>
      <rPr>
        <b val="true"/>
        <sz val="14"/>
        <color rgb="FFFFFFFF"/>
        <rFont val="Noto Sans CJK SC"/>
        <family val="0"/>
        <charset val="134"/>
      </rPr>
      <t xml:space="preserve">· 02 </t>
    </r>
    <r>
      <rPr>
        <b val="true"/>
        <sz val="14"/>
        <color rgb="FFFFFFFF"/>
        <rFont val="WenQuanYi Zen Hei"/>
        <family val="2"/>
        <charset val="1"/>
      </rPr>
      <t xml:space="preserve">物料与周转物台账（跨文件自动取数 </t>
    </r>
    <r>
      <rPr>
        <b val="true"/>
        <sz val="14"/>
        <color rgb="FFFFFFFF"/>
        <rFont val="Noto Sans CJK SC"/>
        <family val="0"/>
        <charset val="134"/>
      </rPr>
      <t xml:space="preserve">· </t>
    </r>
    <r>
      <rPr>
        <b val="true"/>
        <sz val="14"/>
        <color rgb="FFFFFFFF"/>
        <rFont val="WenQuanYi Zen Hei"/>
        <family val="2"/>
        <charset val="1"/>
      </rPr>
      <t xml:space="preserve">全部公式，勿手工填）</t>
    </r>
  </si>
  <si>
    <r>
      <rPr>
        <b val="true"/>
        <sz val="9"/>
        <color rgb="FFC00000"/>
        <rFont val="WenQuanYi Zen Hei"/>
        <family val="2"/>
        <charset val="1"/>
      </rPr>
      <t xml:space="preserve">辅助表：</t>
    </r>
    <r>
      <rPr>
        <b val="true"/>
        <sz val="9"/>
        <color rgb="FFC00000"/>
        <rFont val="宋体"/>
        <family val="0"/>
        <charset val="134"/>
      </rPr>
      <t xml:space="preserve">K/L/M/N </t>
    </r>
    <r>
      <rPr>
        <b val="true"/>
        <sz val="9"/>
        <color rgb="FFC00000"/>
        <rFont val="WenQuanYi Zen Hei"/>
        <family val="2"/>
        <charset val="1"/>
      </rPr>
      <t xml:space="preserve">第</t>
    </r>
    <r>
      <rPr>
        <b val="true"/>
        <sz val="9"/>
        <color rgb="FFC00000"/>
        <rFont val="宋体"/>
        <family val="0"/>
        <charset val="134"/>
      </rPr>
      <t xml:space="preserve">1~3</t>
    </r>
    <r>
      <rPr>
        <b val="true"/>
        <sz val="9"/>
        <color rgb="FFC00000"/>
        <rFont val="WenQuanYi Zen Hei"/>
        <family val="2"/>
        <charset val="1"/>
      </rPr>
      <t xml:space="preserve">行＝各对账单的 客户</t>
    </r>
    <r>
      <rPr>
        <b val="true"/>
        <sz val="9"/>
        <color rgb="FFC00000"/>
        <rFont val="宋体"/>
        <family val="0"/>
        <charset val="134"/>
      </rPr>
      <t xml:space="preserve">/</t>
    </r>
    <r>
      <rPr>
        <b val="true"/>
        <sz val="9"/>
        <color rgb="FFC00000"/>
        <rFont val="WenQuanYi Zen Hei"/>
        <family val="2"/>
        <charset val="1"/>
      </rPr>
      <t xml:space="preserve">开始日期</t>
    </r>
    <r>
      <rPr>
        <b val="true"/>
        <sz val="9"/>
        <color rgb="FFC00000"/>
        <rFont val="宋体"/>
        <family val="0"/>
        <charset val="134"/>
      </rPr>
      <t xml:space="preserve">/</t>
    </r>
    <r>
      <rPr>
        <b val="true"/>
        <sz val="9"/>
        <color rgb="FFC00000"/>
        <rFont val="WenQuanYi Zen Hei"/>
        <family val="2"/>
        <charset val="1"/>
      </rPr>
      <t xml:space="preserve">结束日期，请勿改动</t>
    </r>
  </si>
  <si>
    <t xml:space="preserve">本表由公式自动维护，供综合对账单取数，请勿手工修改或删除。</t>
  </si>
  <si>
    <t xml:space="preserve">首次</t>
  </si>
  <si>
    <r>
      <rPr>
        <b val="true"/>
        <sz val="9"/>
        <color rgb="FF1F4E79"/>
        <rFont val="WenQuanYi Zen Hei"/>
        <family val="2"/>
        <charset val="1"/>
      </rPr>
      <t xml:space="preserve">往来单位</t>
    </r>
    <r>
      <rPr>
        <b val="true"/>
        <sz val="9"/>
        <color rgb="FF1F4E79"/>
        <rFont val="宋体"/>
        <family val="0"/>
        <charset val="134"/>
      </rPr>
      <t xml:space="preserve">(</t>
    </r>
    <r>
      <rPr>
        <b val="true"/>
        <sz val="9"/>
        <color rgb="FF1F4E79"/>
        <rFont val="WenQuanYi Zen Hei"/>
        <family val="2"/>
        <charset val="1"/>
      </rPr>
      <t xml:space="preserve">紧凑</t>
    </r>
    <r>
      <rPr>
        <b val="true"/>
        <sz val="9"/>
        <color rgb="FF1F4E79"/>
        <rFont val="宋体"/>
        <family val="0"/>
        <charset val="134"/>
      </rPr>
      <t xml:space="preserve">)</t>
    </r>
  </si>
  <si>
    <r>
      <rPr>
        <b val="true"/>
        <sz val="9"/>
        <color rgb="FF1F4E79"/>
        <rFont val="WenQuanYi Zen Hei"/>
        <family val="2"/>
        <charset val="1"/>
      </rPr>
      <t xml:space="preserve">筐子</t>
    </r>
    <r>
      <rPr>
        <b val="true"/>
        <sz val="9"/>
        <color rgb="FF1F4E79"/>
        <rFont val="宋体"/>
        <family val="0"/>
        <charset val="134"/>
      </rPr>
      <t xml:space="preserve">-</t>
    </r>
    <r>
      <rPr>
        <b val="true"/>
        <sz val="9"/>
        <color rgb="FF1F4E79"/>
        <rFont val="WenQuanYi Zen Hei"/>
        <family val="2"/>
        <charset val="1"/>
      </rPr>
      <t xml:space="preserve">发出</t>
    </r>
  </si>
  <si>
    <r>
      <rPr>
        <b val="true"/>
        <sz val="9"/>
        <color rgb="FF1F4E79"/>
        <rFont val="WenQuanYi Zen Hei"/>
        <family val="2"/>
        <charset val="1"/>
      </rPr>
      <t xml:space="preserve">筐子</t>
    </r>
    <r>
      <rPr>
        <b val="true"/>
        <sz val="9"/>
        <color rgb="FF1F4E79"/>
        <rFont val="宋体"/>
        <family val="0"/>
        <charset val="134"/>
      </rPr>
      <t xml:space="preserve">-</t>
    </r>
    <r>
      <rPr>
        <b val="true"/>
        <sz val="9"/>
        <color rgb="FF1F4E79"/>
        <rFont val="WenQuanYi Zen Hei"/>
        <family val="2"/>
        <charset val="1"/>
      </rPr>
      <t xml:space="preserve">退回</t>
    </r>
  </si>
  <si>
    <r>
      <rPr>
        <b val="true"/>
        <sz val="9"/>
        <color rgb="FF1F4E79"/>
        <rFont val="WenQuanYi Zen Hei"/>
        <family val="2"/>
        <charset val="1"/>
      </rPr>
      <t xml:space="preserve">筐子</t>
    </r>
    <r>
      <rPr>
        <b val="true"/>
        <sz val="9"/>
        <color rgb="FF1F4E79"/>
        <rFont val="宋体"/>
        <family val="0"/>
        <charset val="134"/>
      </rPr>
      <t xml:space="preserve">-</t>
    </r>
    <r>
      <rPr>
        <b val="true"/>
        <sz val="9"/>
        <color rgb="FF1F4E79"/>
        <rFont val="WenQuanYi Zen Hei"/>
        <family val="2"/>
        <charset val="1"/>
      </rPr>
      <t xml:space="preserve">入库</t>
    </r>
  </si>
  <si>
    <r>
      <rPr>
        <b val="true"/>
        <sz val="9"/>
        <color rgb="FF1F4E79"/>
        <rFont val="WenQuanYi Zen Hei"/>
        <family val="2"/>
        <charset val="1"/>
      </rPr>
      <t xml:space="preserve">自备筐</t>
    </r>
    <r>
      <rPr>
        <b val="true"/>
        <sz val="9"/>
        <color rgb="FF1F4E79"/>
        <rFont val="宋体"/>
        <family val="0"/>
        <charset val="134"/>
      </rPr>
      <t xml:space="preserve">-</t>
    </r>
    <r>
      <rPr>
        <b val="true"/>
        <sz val="9"/>
        <color rgb="FF1F4E79"/>
        <rFont val="WenQuanYi Zen Hei"/>
        <family val="2"/>
        <charset val="1"/>
      </rPr>
      <t xml:space="preserve">入库</t>
    </r>
  </si>
  <si>
    <r>
      <rPr>
        <b val="true"/>
        <sz val="9"/>
        <color rgb="FF1F4E79"/>
        <rFont val="WenQuanYi Zen Hei"/>
        <family val="2"/>
        <charset val="1"/>
      </rPr>
      <t xml:space="preserve">自备筐</t>
    </r>
    <r>
      <rPr>
        <b val="true"/>
        <sz val="9"/>
        <color rgb="FF1F4E79"/>
        <rFont val="宋体"/>
        <family val="0"/>
        <charset val="134"/>
      </rPr>
      <t xml:space="preserve">-</t>
    </r>
    <r>
      <rPr>
        <b val="true"/>
        <sz val="9"/>
        <color rgb="FF1F4E79"/>
        <rFont val="WenQuanYi Zen Hei"/>
        <family val="2"/>
        <charset val="1"/>
      </rPr>
      <t xml:space="preserve">出库</t>
    </r>
  </si>
  <si>
    <r>
      <rPr>
        <b val="true"/>
        <sz val="9"/>
        <color rgb="FF1F4E79"/>
        <rFont val="WenQuanYi Zen Hei"/>
        <family val="2"/>
        <charset val="1"/>
      </rPr>
      <t xml:space="preserve">水果</t>
    </r>
    <r>
      <rPr>
        <b val="true"/>
        <sz val="9"/>
        <color rgb="FF1F4E79"/>
        <rFont val="宋体"/>
        <family val="0"/>
        <charset val="134"/>
      </rPr>
      <t xml:space="preserve">-</t>
    </r>
    <r>
      <rPr>
        <b val="true"/>
        <sz val="9"/>
        <color rgb="FF1F4E79"/>
        <rFont val="WenQuanYi Zen Hei"/>
        <family val="2"/>
        <charset val="1"/>
      </rPr>
      <t xml:space="preserve">原料入库</t>
    </r>
  </si>
  <si>
    <r>
      <rPr>
        <b val="true"/>
        <sz val="9"/>
        <color rgb="FF1F4E79"/>
        <rFont val="WenQuanYi Zen Hei"/>
        <family val="2"/>
        <charset val="1"/>
      </rPr>
      <t xml:space="preserve">水果</t>
    </r>
    <r>
      <rPr>
        <b val="true"/>
        <sz val="9"/>
        <color rgb="FF1F4E79"/>
        <rFont val="宋体"/>
        <family val="0"/>
        <charset val="134"/>
      </rPr>
      <t xml:space="preserve">-</t>
    </r>
    <r>
      <rPr>
        <b val="true"/>
        <sz val="9"/>
        <color rgb="FF1F4E79"/>
        <rFont val="WenQuanYi Zen Hei"/>
        <family val="2"/>
        <charset val="1"/>
      </rPr>
      <t xml:space="preserve">原料出库</t>
    </r>
  </si>
  <si>
    <r>
      <rPr>
        <b val="true"/>
        <sz val="9"/>
        <color rgb="FF1F4E79"/>
        <rFont val="WenQuanYi Zen Hei"/>
        <family val="2"/>
        <charset val="1"/>
      </rPr>
      <t xml:space="preserve">水果</t>
    </r>
    <r>
      <rPr>
        <b val="true"/>
        <sz val="9"/>
        <color rgb="FF1F4E79"/>
        <rFont val="宋体"/>
        <family val="0"/>
        <charset val="134"/>
      </rPr>
      <t xml:space="preserve">-</t>
    </r>
    <r>
      <rPr>
        <b val="true"/>
        <sz val="9"/>
        <color rgb="FF1F4E79"/>
        <rFont val="WenQuanYi Zen Hei"/>
        <family val="2"/>
        <charset val="1"/>
      </rPr>
      <t xml:space="preserve">成品出库</t>
    </r>
  </si>
  <si>
    <t xml:space="preserve">物料销售</t>
  </si>
  <si>
    <r>
      <rPr>
        <b val="true"/>
        <sz val="10"/>
        <rFont val="WenQuanYi Zen Hei"/>
        <family val="2"/>
        <charset val="1"/>
      </rPr>
      <t xml:space="preserve">购买方</t>
    </r>
    <r>
      <rPr>
        <b val="true"/>
        <sz val="10"/>
        <rFont val="微软雅黑"/>
        <family val="0"/>
        <charset val="1"/>
      </rPr>
      <t xml:space="preserve">(</t>
    </r>
    <r>
      <rPr>
        <b val="true"/>
        <sz val="10"/>
        <rFont val="WenQuanYi Zen Hei"/>
        <family val="2"/>
        <charset val="1"/>
      </rPr>
      <t xml:space="preserve">紧凑</t>
    </r>
    <r>
      <rPr>
        <b val="true"/>
        <sz val="10"/>
        <rFont val="微软雅黑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</si>
</sst>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\-d"/>
    <numFmt numFmtId="166" formatCode="#,##0;[RED]\-#,##0;\-"/>
    <numFmt numFmtId="167" formatCode="General"/>
    <numFmt numFmtId="168" formatCode="[RED]\-#,##0;[RED]\-#,##0;\-"/>
    <numFmt numFmtId="169" formatCode="#,##0.00;[RED]\-#,##0.00;\-"/>
    <numFmt numFmtId="170" formatCode="yyyy\-mm\-dd"/>
    <numFmt numFmtId="171" formatCode="#,##0"/>
    <numFmt numFmtId="172" formatCode="#,##0.00"/>
  </numFmts>
  <fonts count="6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0"/>
      <charset val="134"/>
    </font>
    <font>
      <b val="true"/>
      <sz val="14"/>
      <color rgb="FFFFFFFF"/>
      <name val="WenQuanYi Zen Hei"/>
      <family val="2"/>
      <charset val="1"/>
    </font>
    <font>
      <sz val="9"/>
      <color rgb="FF808080"/>
      <name val="WenQuanYi Zen Hei"/>
      <family val="2"/>
      <charset val="1"/>
    </font>
    <font>
      <sz val="9"/>
      <color rgb="FF808080"/>
      <name val="宋体"/>
      <family val="0"/>
      <charset val="134"/>
    </font>
    <font>
      <b val="true"/>
      <sz val="10"/>
      <color rgb="FF00610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9"/>
      <color rgb="FF1F4E79"/>
      <name val="WenQuanYi Zen Hei"/>
      <family val="2"/>
      <charset val="1"/>
    </font>
    <font>
      <sz val="9"/>
      <color rgb="FF000000"/>
      <name val="宋体"/>
      <family val="0"/>
      <charset val="134"/>
    </font>
    <font>
      <b val="true"/>
      <u val="single"/>
      <sz val="10"/>
      <color rgb="FF0563C1"/>
      <name val="WenQuanYi Zen Hei"/>
      <family val="2"/>
      <charset val="1"/>
    </font>
    <font>
      <sz val="9"/>
      <color rgb="FF000000"/>
      <name val="WenQuanYi Zen Hei"/>
      <family val="2"/>
      <charset val="1"/>
    </font>
    <font>
      <sz val="9"/>
      <color rgb="FF006100"/>
      <name val="WenQuanYi Zen Hei"/>
      <family val="2"/>
      <charset val="1"/>
    </font>
    <font>
      <sz val="9"/>
      <color rgb="FF006100"/>
      <name val="宋体"/>
      <family val="0"/>
      <charset val="134"/>
    </font>
    <font>
      <sz val="10"/>
      <color rgb="FF595959"/>
      <name val="WenQuanYi Zen Hei"/>
      <family val="2"/>
      <charset val="1"/>
    </font>
    <font>
      <sz val="10"/>
      <color rgb="FF595959"/>
      <name val="Noto Sans CJK SC"/>
      <family val="0"/>
      <charset val="134"/>
    </font>
    <font>
      <b val="true"/>
      <sz val="10"/>
      <name val="WenQuanYi Zen Hei"/>
      <family val="2"/>
      <charset val="1"/>
    </font>
    <font>
      <sz val="10"/>
      <name val="微软雅黑"/>
      <family val="0"/>
      <charset val="1"/>
    </font>
    <font>
      <sz val="10"/>
      <name val="WenQuanYi Zen Hei"/>
      <family val="2"/>
      <charset val="1"/>
    </font>
    <font>
      <b val="true"/>
      <sz val="11"/>
      <color rgb="FF1F4E79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00"/>
      <name val="宋体"/>
      <family val="0"/>
      <charset val="134"/>
    </font>
    <font>
      <sz val="10"/>
      <color rgb="FF008000"/>
      <name val="WenQuanYi Zen Hei"/>
      <family val="2"/>
      <charset val="1"/>
    </font>
    <font>
      <b val="true"/>
      <sz val="11"/>
      <color rgb="FF1F4E79"/>
      <name val="宋体"/>
      <family val="0"/>
      <charset val="134"/>
    </font>
    <font>
      <b val="true"/>
      <sz val="10"/>
      <color rgb="FFFFFFFF"/>
      <name val="Noto Sans CJK SC"/>
      <family val="0"/>
      <charset val="134"/>
    </font>
    <font>
      <sz val="10"/>
      <color rgb="FF1F3864"/>
      <name val="宋体"/>
      <family val="0"/>
      <charset val="134"/>
    </font>
    <font>
      <sz val="10"/>
      <color rgb="FF1F3864"/>
      <name val="WenQuanYi Zen Hei"/>
      <family val="2"/>
      <charset val="1"/>
    </font>
    <font>
      <b val="true"/>
      <sz val="22"/>
      <color rgb="FFFFFFFF"/>
      <name val="WenQuanYi Zen Hei"/>
      <family val="2"/>
      <charset val="1"/>
    </font>
    <font>
      <b val="true"/>
      <sz val="16"/>
      <color rgb="FF275C70"/>
      <name val="WenQuanYi Zen Hei"/>
      <family val="2"/>
      <charset val="1"/>
    </font>
    <font>
      <sz val="8"/>
      <color rgb="FFBFBFBF"/>
      <name val="宋体"/>
      <family val="0"/>
      <charset val="134"/>
    </font>
    <font>
      <b val="true"/>
      <sz val="11"/>
      <color rgb="FF1F3864"/>
      <name val="WenQuanYi Zen Hei"/>
      <family val="2"/>
      <charset val="1"/>
    </font>
    <font>
      <b val="true"/>
      <sz val="11"/>
      <color rgb="FF1F3864"/>
      <name val="宋体"/>
      <family val="0"/>
      <charset val="134"/>
    </font>
    <font>
      <b val="true"/>
      <sz val="12"/>
      <color rgb="FF1F4E79"/>
      <name val="WenQuanYi Zen Hei"/>
      <family val="2"/>
      <charset val="1"/>
    </font>
    <font>
      <sz val="9"/>
      <color rgb="FF595959"/>
      <name val="WenQuanYi Zen Hei"/>
      <family val="2"/>
      <charset val="1"/>
    </font>
    <font>
      <sz val="9"/>
      <color rgb="FF595959"/>
      <name val="宋体"/>
      <family val="0"/>
      <charset val="134"/>
    </font>
    <font>
      <sz val="10"/>
      <color rgb="FF1F4E79"/>
      <name val="宋体"/>
      <family val="0"/>
      <charset val="134"/>
    </font>
    <font>
      <b val="true"/>
      <sz val="13"/>
      <color rgb="FF1F3864"/>
      <name val="WenQuanYi Zen Hei"/>
      <family val="2"/>
      <charset val="1"/>
    </font>
    <font>
      <b val="true"/>
      <sz val="10"/>
      <color rgb="FF7F6000"/>
      <name val="WenQuanYi Zen Hei"/>
      <family val="2"/>
      <charset val="1"/>
    </font>
    <font>
      <b val="true"/>
      <sz val="10"/>
      <color rgb="FF7F6000"/>
      <name val="Noto Sans CJK SC"/>
      <family val="0"/>
      <charset val="134"/>
    </font>
    <font>
      <b val="true"/>
      <sz val="10"/>
      <color rgb="FF1F3864"/>
      <name val="WenQuanYi Zen Hei"/>
      <family val="2"/>
      <charset val="1"/>
    </font>
    <font>
      <b val="true"/>
      <sz val="12"/>
      <color rgb="FFC00000"/>
      <name val="WenQuanYi Zen Hei"/>
      <family val="2"/>
      <charset val="1"/>
    </font>
    <font>
      <b val="true"/>
      <sz val="12"/>
      <color rgb="FFC00000"/>
      <name val="黑体"/>
      <family val="0"/>
      <charset val="134"/>
    </font>
    <font>
      <b val="true"/>
      <sz val="10"/>
      <color rgb="FFC00000"/>
      <name val="WenQuanYi Zen Hei"/>
      <family val="2"/>
      <charset val="1"/>
    </font>
    <font>
      <b val="true"/>
      <sz val="10"/>
      <color rgb="FFC00000"/>
      <name val="宋体"/>
      <family val="0"/>
      <charset val="134"/>
    </font>
    <font>
      <b val="true"/>
      <sz val="11"/>
      <color rgb="FFC00000"/>
      <name val="宋体"/>
      <family val="0"/>
      <charset val="134"/>
    </font>
    <font>
      <b val="true"/>
      <sz val="10"/>
      <color rgb="FF1F3864"/>
      <name val="宋体"/>
      <family val="0"/>
      <charset val="134"/>
    </font>
    <font>
      <b val="true"/>
      <sz val="10"/>
      <color rgb="FFFFFFFF"/>
      <name val="黑体"/>
      <family val="0"/>
      <charset val="134"/>
    </font>
    <font>
      <b val="true"/>
      <sz val="12"/>
      <color rgb="FF1F3864"/>
      <name val="WenQuanYi Zen Hei"/>
      <family val="2"/>
      <charset val="1"/>
    </font>
    <font>
      <sz val="10"/>
      <color rgb="FF006100"/>
      <name val="WenQuanYi Zen Hei"/>
      <family val="2"/>
      <charset val="1"/>
    </font>
    <font>
      <sz val="10"/>
      <color rgb="FF006100"/>
      <name val="宋体"/>
      <family val="0"/>
      <charset val="134"/>
    </font>
    <font>
      <b val="true"/>
      <sz val="14"/>
      <color rgb="FF1F3864"/>
      <name val="WenQuanYi Zen Hei"/>
      <family val="2"/>
      <charset val="1"/>
    </font>
    <font>
      <sz val="9"/>
      <color rgb="FF7F7F7F"/>
      <name val="微软雅黑"/>
      <family val="0"/>
      <charset val="1"/>
    </font>
    <font>
      <b val="true"/>
      <sz val="10"/>
      <name val="微软雅黑"/>
      <family val="0"/>
      <charset val="1"/>
    </font>
    <font>
      <sz val="10"/>
      <color rgb="FF0000C0"/>
      <name val="WenQuanYi Zen Hei"/>
      <family val="2"/>
      <charset val="1"/>
    </font>
    <font>
      <sz val="10"/>
      <color rgb="FF0000C0"/>
      <name val="微软雅黑"/>
      <family val="0"/>
      <charset val="1"/>
    </font>
    <font>
      <sz val="9"/>
      <color rgb="FF7F7F7F"/>
      <name val="WenQuanYi Zen Hei"/>
      <family val="2"/>
      <charset val="1"/>
    </font>
    <font>
      <sz val="10"/>
      <color rgb="FF1F4E79"/>
      <name val="微软雅黑"/>
      <family val="0"/>
      <charset val="1"/>
    </font>
    <font>
      <sz val="10"/>
      <color rgb="FFC00000"/>
      <name val="宋体"/>
      <family val="0"/>
      <charset val="134"/>
    </font>
    <font>
      <b val="true"/>
      <sz val="10"/>
      <color rgb="FFFFFFFF"/>
      <name val="宋体"/>
      <family val="0"/>
      <charset val="134"/>
    </font>
    <font>
      <sz val="8"/>
      <color rgb="FF006100"/>
      <name val="宋体"/>
      <family val="0"/>
      <charset val="134"/>
    </font>
    <font>
      <b val="true"/>
      <sz val="9"/>
      <color rgb="FFC00000"/>
      <name val="WenQuanYi Zen Hei"/>
      <family val="2"/>
      <charset val="1"/>
    </font>
    <font>
      <b val="true"/>
      <sz val="9"/>
      <color rgb="FFC00000"/>
      <name val="宋体"/>
      <family val="0"/>
      <charset val="134"/>
    </font>
    <font>
      <sz val="11"/>
      <color theme="1"/>
      <name val="WenQuanYi Zen Hei"/>
      <family val="2"/>
      <charset val="1"/>
    </font>
    <font>
      <b val="true"/>
      <sz val="9"/>
      <color rgb="FF1F4E79"/>
      <name val="宋体"/>
      <family val="0"/>
      <charset val="134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275C70"/>
      </patternFill>
    </fill>
    <fill>
      <patternFill patternType="solid">
        <fgColor rgb="FFE2EFDA"/>
        <bgColor rgb="FFEBF3E6"/>
      </patternFill>
    </fill>
    <fill>
      <patternFill patternType="solid">
        <fgColor rgb="FF2E75B6"/>
        <bgColor rgb="FF2F5597"/>
      </patternFill>
    </fill>
    <fill>
      <patternFill patternType="solid">
        <fgColor rgb="FFF2F2F2"/>
        <bgColor rgb="FFEBF3E6"/>
      </patternFill>
    </fill>
    <fill>
      <patternFill patternType="solid">
        <fgColor rgb="FFD6E4F0"/>
        <bgColor rgb="FFDDEBF7"/>
      </patternFill>
    </fill>
    <fill>
      <patternFill patternType="solid">
        <fgColor rgb="FF2F5597"/>
        <bgColor rgb="FF1F4E79"/>
      </patternFill>
    </fill>
    <fill>
      <patternFill patternType="solid">
        <fgColor rgb="FF548235"/>
        <bgColor rgb="FF595959"/>
      </patternFill>
    </fill>
    <fill>
      <patternFill patternType="solid">
        <fgColor rgb="FF275C70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EBF3E6"/>
      </patternFill>
    </fill>
    <fill>
      <patternFill patternType="solid">
        <fgColor rgb="FFFFFF00"/>
        <bgColor rgb="FFFFFF00"/>
      </patternFill>
    </fill>
    <fill>
      <patternFill patternType="solid">
        <fgColor rgb="FFEBF3E6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4" fillId="1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3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1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3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7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7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7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7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7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33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7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7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5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5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5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9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3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0" fontId="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5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56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5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5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5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5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5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5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1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5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0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5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宋体"/>
        <charset val="1"/>
        <family val="0"/>
        <b val="1"/>
        <color rgb="FFC00000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C0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75C70"/>
      <rgbColor rgb="FFBFBFBF"/>
      <rgbColor rgb="FF808080"/>
      <rgbColor rgb="FF7F7F7F"/>
      <rgbColor rgb="FF993366"/>
      <rgbColor rgb="FFFFF2CC"/>
      <rgbColor rgb="FFDDEBF7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E6"/>
      <rgbColor rgb="FFE2EFDA"/>
      <rgbColor rgb="FFF2F2F2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8EA9C1"/>
      <rgbColor rgb="FF1F3864"/>
      <rgbColor rgb="FF548235"/>
      <rgbColor rgb="FF006100"/>
      <rgbColor rgb="FF333300"/>
      <rgbColor rgb="FF993300"/>
      <rgbColor rgb="FF993366"/>
      <rgbColor rgb="FF1F4E79"/>
      <rgbColor rgb="FF2F559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externalLink" Target="externalLinks/externalLink1.xml"/><Relationship Id="rId17" Type="http://schemas.openxmlformats.org/officeDocument/2006/relationships/externalLink" Target="externalLinks/externalLink2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02_&#29289;&#26009;&#19982;&#21608;&#36716;&#29289;&#21488;&#36134;&#27169;&#26495;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对接源_01水果筐数"/>
      <sheetName val="周转筐出入库明细"/>
      <sheetName val="包装物料出入库明细"/>
      <sheetName val="客户自备加工筐明细"/>
      <sheetName val="次果筐明细"/>
      <sheetName val="物料库存结余"/>
      <sheetName val="筐子库存汇总"/>
      <sheetName val="筐子往来汇总"/>
      <sheetName val="筐子采购汇总"/>
      <sheetName val="筐子销售汇总"/>
      <sheetName val="自备筐汇总"/>
      <sheetName val="次果筐汇总"/>
      <sheetName val="押金汇总"/>
      <sheetName val="客户领用物料汇总"/>
      <sheetName val="实盘库存盘点"/>
      <sheetName val="收入结算汇总"/>
      <sheetName val="对账明细接口"/>
      <sheetName val="财务取数接口"/>
      <sheetName val="字段对照"/>
      <sheetName val="_自动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4">
            <v>1</v>
          </cell>
          <cell r="B4" t="str">
            <v>公司一次性筐</v>
          </cell>
          <cell r="C4">
            <v>69840</v>
          </cell>
          <cell r="D4">
            <v>0</v>
          </cell>
          <cell r="E4">
            <v>1</v>
          </cell>
          <cell r="F4">
            <v>5214</v>
          </cell>
          <cell r="G4">
            <v>0</v>
          </cell>
          <cell r="H4">
            <v>0</v>
          </cell>
          <cell r="I4">
            <v>64627</v>
          </cell>
          <cell r="J4">
            <v>5213</v>
          </cell>
          <cell r="K4">
            <v>-1619</v>
          </cell>
          <cell r="L4">
            <v>68221</v>
          </cell>
        </row>
        <row r="5">
          <cell r="A5">
            <v>2</v>
          </cell>
          <cell r="B5" t="str">
            <v>公司杂周转筐</v>
          </cell>
          <cell r="C5">
            <v>35928</v>
          </cell>
          <cell r="D5">
            <v>0</v>
          </cell>
          <cell r="E5">
            <v>81</v>
          </cell>
          <cell r="F5">
            <v>6607</v>
          </cell>
          <cell r="G5">
            <v>0</v>
          </cell>
          <cell r="H5">
            <v>0</v>
          </cell>
          <cell r="I5">
            <v>29402</v>
          </cell>
          <cell r="J5">
            <v>6526</v>
          </cell>
          <cell r="K5">
            <v>-3565</v>
          </cell>
          <cell r="L5">
            <v>32363</v>
          </cell>
        </row>
        <row r="6">
          <cell r="A6">
            <v>3</v>
          </cell>
          <cell r="B6" t="str">
            <v>公司新周转筐</v>
          </cell>
          <cell r="C6">
            <v>58032</v>
          </cell>
          <cell r="D6">
            <v>0</v>
          </cell>
          <cell r="E6">
            <v>0</v>
          </cell>
          <cell r="F6">
            <v>1011</v>
          </cell>
          <cell r="G6">
            <v>0</v>
          </cell>
          <cell r="H6">
            <v>0</v>
          </cell>
          <cell r="I6">
            <v>57021</v>
          </cell>
          <cell r="J6">
            <v>1011</v>
          </cell>
          <cell r="K6">
            <v>-74</v>
          </cell>
          <cell r="L6">
            <v>57958</v>
          </cell>
        </row>
        <row r="7">
          <cell r="A7">
            <v>4</v>
          </cell>
          <cell r="B7" t="str">
            <v>公司白周转筐</v>
          </cell>
          <cell r="C7">
            <v>13968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13968</v>
          </cell>
          <cell r="J7">
            <v>0</v>
          </cell>
          <cell r="K7">
            <v>0</v>
          </cell>
          <cell r="L7">
            <v>13968</v>
          </cell>
        </row>
        <row r="8">
          <cell r="A8">
            <v>5</v>
          </cell>
          <cell r="B8" t="str">
            <v>公司红周转筐</v>
          </cell>
          <cell r="C8">
            <v>0</v>
          </cell>
          <cell r="D8">
            <v>17472</v>
          </cell>
          <cell r="E8">
            <v>0</v>
          </cell>
          <cell r="F8">
            <v>16512</v>
          </cell>
          <cell r="G8">
            <v>960</v>
          </cell>
          <cell r="H8">
            <v>0</v>
          </cell>
          <cell r="I8">
            <v>0</v>
          </cell>
          <cell r="J8">
            <v>16512</v>
          </cell>
          <cell r="K8">
            <v>-8796</v>
          </cell>
          <cell r="L8">
            <v>7716</v>
          </cell>
        </row>
        <row r="9">
          <cell r="A9">
            <v>6</v>
          </cell>
          <cell r="B9" t="str">
            <v>自备一次性筐</v>
          </cell>
        </row>
        <row r="9">
          <cell r="M9" t="str">
            <v>客户自备筐，不计公司资产，见【自备筐汇总】</v>
          </cell>
        </row>
        <row r="10">
          <cell r="A10">
            <v>7</v>
          </cell>
          <cell r="B10" t="str">
            <v>自备杂周转筐</v>
          </cell>
        </row>
        <row r="10">
          <cell r="M10" t="str">
            <v>客户自备筐，不计公司资产，见【自备筐汇总】</v>
          </cell>
        </row>
        <row r="11">
          <cell r="A11">
            <v>8</v>
          </cell>
          <cell r="B11" t="str">
            <v>纸箱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46266</v>
          </cell>
          <cell r="C4" t="str">
            <v>果然鲜</v>
          </cell>
          <cell r="D4" t="str">
            <v>包装物料－期初库存</v>
          </cell>
        </row>
        <row r="4">
          <cell r="F4" t="str">
            <v>气泡垫</v>
          </cell>
          <cell r="G4" t="str">
            <v>*1000</v>
          </cell>
          <cell r="H4">
            <v>13800</v>
          </cell>
          <cell r="I4" t="str">
            <v>片</v>
          </cell>
        </row>
        <row r="5">
          <cell r="B5">
            <v>46266</v>
          </cell>
          <cell r="C5" t="str">
            <v>果然鲜</v>
          </cell>
          <cell r="D5" t="str">
            <v>包装物料－期初库存</v>
          </cell>
        </row>
        <row r="5">
          <cell r="F5" t="str">
            <v>无纺布</v>
          </cell>
          <cell r="G5" t="str">
            <v>*400</v>
          </cell>
          <cell r="H5">
            <v>2400</v>
          </cell>
          <cell r="I5" t="str">
            <v>个</v>
          </cell>
        </row>
        <row r="6">
          <cell r="B6">
            <v>46266</v>
          </cell>
          <cell r="C6" t="str">
            <v>果然鲜</v>
          </cell>
          <cell r="D6" t="str">
            <v>包装物料－期初库存</v>
          </cell>
        </row>
        <row r="6">
          <cell r="F6" t="str">
            <v>纸垫板</v>
          </cell>
          <cell r="G6" t="str">
            <v>*100张</v>
          </cell>
          <cell r="H6">
            <v>8700</v>
          </cell>
          <cell r="I6" t="str">
            <v>张</v>
          </cell>
        </row>
        <row r="7">
          <cell r="B7">
            <v>46266</v>
          </cell>
          <cell r="C7" t="str">
            <v>果然鲜</v>
          </cell>
          <cell r="D7" t="str">
            <v>包装物料－期初库存</v>
          </cell>
        </row>
        <row r="7">
          <cell r="F7" t="str">
            <v>香梨纸</v>
          </cell>
          <cell r="G7" t="str">
            <v>*捆</v>
          </cell>
          <cell r="H7">
            <v>48</v>
          </cell>
          <cell r="I7" t="str">
            <v>捆</v>
          </cell>
        </row>
        <row r="8">
          <cell r="B8">
            <v>46266</v>
          </cell>
          <cell r="C8" t="str">
            <v>果然鲜</v>
          </cell>
          <cell r="D8" t="str">
            <v>包装物料－期初库存</v>
          </cell>
        </row>
        <row r="8">
          <cell r="F8" t="str">
            <v>冷煤/氟利昂</v>
          </cell>
          <cell r="G8" t="str">
            <v>*瓶</v>
          </cell>
          <cell r="H8">
            <v>23</v>
          </cell>
          <cell r="I8" t="str">
            <v>瓶</v>
          </cell>
        </row>
        <row r="9">
          <cell r="B9">
            <v>46266</v>
          </cell>
          <cell r="C9" t="str">
            <v>果然鲜</v>
          </cell>
          <cell r="D9" t="str">
            <v>包装物料－期初库存</v>
          </cell>
        </row>
        <row r="9">
          <cell r="F9" t="str">
            <v>胶带</v>
          </cell>
          <cell r="G9" t="str">
            <v>*30卷</v>
          </cell>
          <cell r="H9">
            <v>2</v>
          </cell>
          <cell r="I9" t="str">
            <v>卷</v>
          </cell>
        </row>
        <row r="10">
          <cell r="B10">
            <v>46266</v>
          </cell>
          <cell r="C10" t="str">
            <v>新顺发泡网</v>
          </cell>
          <cell r="D10" t="str">
            <v>包装物料－采购入库</v>
          </cell>
          <cell r="E10" t="str">
            <v>NO:0000743</v>
          </cell>
          <cell r="F10" t="str">
            <v>香梨网</v>
          </cell>
          <cell r="G10" t="str">
            <v>*包</v>
          </cell>
          <cell r="H10">
            <v>644</v>
          </cell>
          <cell r="I10" t="str">
            <v>包</v>
          </cell>
        </row>
        <row r="10">
          <cell r="K10">
            <v>23828</v>
          </cell>
          <cell r="L10" t="str">
            <v>已付款</v>
          </cell>
          <cell r="M10" t="str">
            <v>12#</v>
          </cell>
        </row>
        <row r="10">
          <cell r="R10" t="str">
            <v>新Q*48887</v>
          </cell>
        </row>
        <row r="11">
          <cell r="B11">
            <v>46267</v>
          </cell>
          <cell r="C11" t="str">
            <v>吐尔洪</v>
          </cell>
          <cell r="D11" t="str">
            <v>包装物料－领用出库</v>
          </cell>
          <cell r="E11" t="str">
            <v>NO:0001067</v>
          </cell>
          <cell r="F11" t="str">
            <v>香梨网</v>
          </cell>
          <cell r="G11" t="str">
            <v>*包</v>
          </cell>
          <cell r="H11">
            <v>24</v>
          </cell>
          <cell r="I11" t="str">
            <v>包</v>
          </cell>
        </row>
        <row r="11">
          <cell r="K11">
            <v>1080</v>
          </cell>
          <cell r="L11" t="str">
            <v>未付款</v>
          </cell>
        </row>
        <row r="11">
          <cell r="R11" t="str">
            <v>新N*X8S48</v>
          </cell>
        </row>
        <row r="12">
          <cell r="B12">
            <v>46268</v>
          </cell>
          <cell r="C12" t="str">
            <v>热合曼</v>
          </cell>
          <cell r="D12" t="str">
            <v>包装物料－领用出库</v>
          </cell>
          <cell r="E12" t="str">
            <v>NO:0001069</v>
          </cell>
          <cell r="F12" t="str">
            <v>香梨网</v>
          </cell>
          <cell r="G12" t="str">
            <v>*包</v>
          </cell>
          <cell r="H12">
            <v>44</v>
          </cell>
          <cell r="I12" t="str">
            <v>包</v>
          </cell>
        </row>
        <row r="12">
          <cell r="K12">
            <v>1980</v>
          </cell>
          <cell r="L12" t="str">
            <v>未付款</v>
          </cell>
        </row>
        <row r="12">
          <cell r="R12" t="str">
            <v>新A*G0544</v>
          </cell>
        </row>
        <row r="13">
          <cell r="B13">
            <v>46268</v>
          </cell>
          <cell r="C13" t="str">
            <v>麦麦提</v>
          </cell>
          <cell r="D13" t="str">
            <v>包装物料－领用出库</v>
          </cell>
          <cell r="E13" t="str">
            <v>NO:0001070</v>
          </cell>
          <cell r="F13" t="str">
            <v>香梨纸</v>
          </cell>
          <cell r="G13" t="str">
            <v>*捆</v>
          </cell>
          <cell r="H13">
            <v>2</v>
          </cell>
          <cell r="I13" t="str">
            <v>捆</v>
          </cell>
        </row>
        <row r="13">
          <cell r="K13">
            <v>96</v>
          </cell>
          <cell r="L13" t="str">
            <v>已收讫</v>
          </cell>
        </row>
        <row r="13">
          <cell r="R13" t="str">
            <v>自提</v>
          </cell>
        </row>
        <row r="14">
          <cell r="B14">
            <v>46268</v>
          </cell>
          <cell r="C14" t="str">
            <v>热合曼</v>
          </cell>
          <cell r="D14" t="str">
            <v>包装物料－领用出库</v>
          </cell>
          <cell r="E14" t="str">
            <v>NO:0001071</v>
          </cell>
          <cell r="F14" t="str">
            <v>香梨纸</v>
          </cell>
          <cell r="G14" t="str">
            <v>*捆</v>
          </cell>
          <cell r="H14">
            <v>2</v>
          </cell>
          <cell r="I14" t="str">
            <v>捆</v>
          </cell>
        </row>
        <row r="14">
          <cell r="K14">
            <v>96</v>
          </cell>
          <cell r="L14" t="str">
            <v>已收讫</v>
          </cell>
        </row>
        <row r="14">
          <cell r="R14" t="str">
            <v>自提</v>
          </cell>
        </row>
        <row r="15">
          <cell r="B15">
            <v>46268</v>
          </cell>
          <cell r="C15" t="str">
            <v>麦麦提</v>
          </cell>
          <cell r="D15" t="str">
            <v>包装物料－领用出库</v>
          </cell>
          <cell r="E15" t="str">
            <v>NO:0001074</v>
          </cell>
          <cell r="F15" t="str">
            <v>香梨网</v>
          </cell>
          <cell r="G15" t="str">
            <v>*包</v>
          </cell>
          <cell r="H15">
            <v>44</v>
          </cell>
          <cell r="I15" t="str">
            <v>包</v>
          </cell>
        </row>
        <row r="15">
          <cell r="K15">
            <v>1980</v>
          </cell>
          <cell r="L15" t="str">
            <v>未付款</v>
          </cell>
        </row>
        <row r="15">
          <cell r="R15" t="str">
            <v>新A*G0544</v>
          </cell>
        </row>
        <row r="16">
          <cell r="B16">
            <v>46269</v>
          </cell>
          <cell r="C16" t="str">
            <v>荆建君</v>
          </cell>
          <cell r="D16" t="str">
            <v>包装物料－领用出库</v>
          </cell>
          <cell r="E16" t="str">
            <v>NO:0001079</v>
          </cell>
          <cell r="F16" t="str">
            <v>香梨网</v>
          </cell>
          <cell r="G16" t="str">
            <v>*包</v>
          </cell>
          <cell r="H16">
            <v>64</v>
          </cell>
          <cell r="I16" t="str">
            <v>包</v>
          </cell>
        </row>
        <row r="16">
          <cell r="K16">
            <v>2880</v>
          </cell>
          <cell r="L16" t="str">
            <v>未付款</v>
          </cell>
        </row>
        <row r="16">
          <cell r="R16" t="str">
            <v>豫A*2737K</v>
          </cell>
        </row>
        <row r="17">
          <cell r="B17">
            <v>46269</v>
          </cell>
          <cell r="C17" t="str">
            <v>努尔敦</v>
          </cell>
          <cell r="D17" t="str">
            <v>包装物料－领用出库</v>
          </cell>
          <cell r="E17" t="str">
            <v>NO:0001080</v>
          </cell>
          <cell r="F17" t="str">
            <v>香梨网</v>
          </cell>
          <cell r="G17" t="str">
            <v>*包</v>
          </cell>
          <cell r="H17">
            <v>120</v>
          </cell>
          <cell r="I17" t="str">
            <v>包</v>
          </cell>
        </row>
        <row r="17">
          <cell r="K17">
            <v>5400</v>
          </cell>
          <cell r="L17" t="str">
            <v>未付款</v>
          </cell>
        </row>
        <row r="17">
          <cell r="R17" t="str">
            <v>新F*75240</v>
          </cell>
        </row>
        <row r="18">
          <cell r="B18">
            <v>46270</v>
          </cell>
          <cell r="C18" t="str">
            <v>热合曼</v>
          </cell>
          <cell r="D18" t="str">
            <v>包装物料－领用出库</v>
          </cell>
          <cell r="E18" t="str">
            <v>NO:0001084</v>
          </cell>
          <cell r="F18" t="str">
            <v>香梨纸</v>
          </cell>
          <cell r="G18" t="str">
            <v>*捆</v>
          </cell>
          <cell r="H18">
            <v>10</v>
          </cell>
          <cell r="I18" t="str">
            <v>捆</v>
          </cell>
        </row>
        <row r="18">
          <cell r="K18">
            <v>560</v>
          </cell>
          <cell r="L18" t="str">
            <v>未付款</v>
          </cell>
        </row>
        <row r="18">
          <cell r="R18" t="str">
            <v>新N*FJ0676</v>
          </cell>
        </row>
        <row r="19">
          <cell r="B19">
            <v>46272</v>
          </cell>
          <cell r="C19" t="str">
            <v>麦麦提</v>
          </cell>
          <cell r="D19" t="str">
            <v>包装物料－领用出库</v>
          </cell>
          <cell r="E19" t="str">
            <v>NO:0001089</v>
          </cell>
          <cell r="F19" t="str">
            <v>香梨网</v>
          </cell>
          <cell r="G19" t="str">
            <v>*包</v>
          </cell>
          <cell r="H19">
            <v>48</v>
          </cell>
          <cell r="I19" t="str">
            <v>包</v>
          </cell>
        </row>
        <row r="19">
          <cell r="K19">
            <v>2160</v>
          </cell>
          <cell r="L19" t="str">
            <v>未付款</v>
          </cell>
        </row>
        <row r="19">
          <cell r="R19" t="str">
            <v>新A*G0544</v>
          </cell>
        </row>
        <row r="20">
          <cell r="B20">
            <v>46272</v>
          </cell>
          <cell r="C20" t="str">
            <v>贾建国</v>
          </cell>
          <cell r="D20" t="str">
            <v>包装物料－领用出库</v>
          </cell>
          <cell r="E20" t="str">
            <v>NO:0001092</v>
          </cell>
          <cell r="F20" t="str">
            <v>香梨网</v>
          </cell>
          <cell r="G20" t="str">
            <v>*包</v>
          </cell>
          <cell r="H20">
            <v>32</v>
          </cell>
          <cell r="I20" t="str">
            <v>包</v>
          </cell>
        </row>
        <row r="20">
          <cell r="K20">
            <v>1440</v>
          </cell>
          <cell r="L20" t="str">
            <v>未付款</v>
          </cell>
        </row>
        <row r="20">
          <cell r="R20" t="str">
            <v>豫Q*H5591</v>
          </cell>
        </row>
        <row r="21">
          <cell r="B21">
            <v>46272</v>
          </cell>
          <cell r="C21" t="str">
            <v>贾建国</v>
          </cell>
          <cell r="D21" t="str">
            <v>包装物料－领用出库</v>
          </cell>
          <cell r="E21" t="str">
            <v>NO:0001092</v>
          </cell>
          <cell r="F21" t="str">
            <v>无纺布</v>
          </cell>
          <cell r="G21" t="str">
            <v>*400</v>
          </cell>
          <cell r="H21">
            <v>800</v>
          </cell>
          <cell r="I21" t="str">
            <v>个</v>
          </cell>
        </row>
        <row r="21">
          <cell r="K21">
            <v>400</v>
          </cell>
          <cell r="L21" t="str">
            <v>未付款</v>
          </cell>
        </row>
        <row r="21">
          <cell r="R21" t="str">
            <v>豫Q*H5591</v>
          </cell>
        </row>
        <row r="22">
          <cell r="B22">
            <v>46272</v>
          </cell>
          <cell r="C22" t="str">
            <v>热合曼</v>
          </cell>
          <cell r="D22" t="str">
            <v>包装物料－领用出库</v>
          </cell>
          <cell r="E22" t="str">
            <v>NO:0001094</v>
          </cell>
          <cell r="F22" t="str">
            <v>香梨网</v>
          </cell>
          <cell r="G22" t="str">
            <v>*包</v>
          </cell>
          <cell r="H22">
            <v>48</v>
          </cell>
          <cell r="I22" t="str">
            <v>包</v>
          </cell>
        </row>
        <row r="22">
          <cell r="K22">
            <v>2160</v>
          </cell>
          <cell r="L22" t="str">
            <v>未付款</v>
          </cell>
        </row>
        <row r="22">
          <cell r="R22" t="str">
            <v>新A*G0544</v>
          </cell>
        </row>
        <row r="23">
          <cell r="B23">
            <v>46273</v>
          </cell>
          <cell r="C23" t="str">
            <v>贾建国</v>
          </cell>
          <cell r="D23" t="str">
            <v>包装物料－退回入库</v>
          </cell>
          <cell r="E23" t="str">
            <v>NO:0000760</v>
          </cell>
          <cell r="F23" t="str">
            <v>无纺布</v>
          </cell>
          <cell r="G23" t="str">
            <v>*400</v>
          </cell>
          <cell r="H23">
            <v>800</v>
          </cell>
          <cell r="I23" t="str">
            <v>个</v>
          </cell>
        </row>
        <row r="23">
          <cell r="K23">
            <v>-400</v>
          </cell>
          <cell r="L23" t="str">
            <v>无需付款</v>
          </cell>
        </row>
        <row r="23">
          <cell r="R23" t="str">
            <v>豫Q*H5591</v>
          </cell>
        </row>
        <row r="24">
          <cell r="B24">
            <v>46274</v>
          </cell>
          <cell r="C24" t="str">
            <v>吐尔逊</v>
          </cell>
          <cell r="D24" t="str">
            <v>包装物料－领用出库</v>
          </cell>
          <cell r="E24" t="str">
            <v>NO:0001099</v>
          </cell>
          <cell r="F24" t="str">
            <v>香梨网</v>
          </cell>
          <cell r="G24" t="str">
            <v>*包</v>
          </cell>
          <cell r="H24">
            <v>16</v>
          </cell>
          <cell r="I24" t="str">
            <v>包</v>
          </cell>
        </row>
        <row r="24">
          <cell r="K24">
            <v>720</v>
          </cell>
          <cell r="L24" t="str">
            <v>未付款</v>
          </cell>
        </row>
        <row r="24">
          <cell r="R24" t="str">
            <v>新M*87613</v>
          </cell>
        </row>
        <row r="25">
          <cell r="B25">
            <v>46274</v>
          </cell>
          <cell r="C25" t="str">
            <v>吐尔逊</v>
          </cell>
          <cell r="D25" t="str">
            <v>包装物料－领用出库</v>
          </cell>
          <cell r="E25" t="str">
            <v>NO:0001099</v>
          </cell>
          <cell r="F25" t="str">
            <v>香梨纸</v>
          </cell>
          <cell r="G25" t="str">
            <v>*捆</v>
          </cell>
          <cell r="H25">
            <v>2</v>
          </cell>
          <cell r="I25" t="str">
            <v>捆</v>
          </cell>
        </row>
        <row r="25">
          <cell r="K25">
            <v>120</v>
          </cell>
          <cell r="L25" t="str">
            <v>未付款</v>
          </cell>
        </row>
        <row r="25">
          <cell r="R25" t="str">
            <v>新M*87613</v>
          </cell>
        </row>
        <row r="26">
          <cell r="B26">
            <v>46274</v>
          </cell>
          <cell r="C26" t="str">
            <v>吐尔洪</v>
          </cell>
          <cell r="D26" t="str">
            <v>包装物料－领用出库</v>
          </cell>
          <cell r="E26" t="str">
            <v>NO:0001100</v>
          </cell>
          <cell r="F26" t="str">
            <v>香梨网</v>
          </cell>
          <cell r="G26" t="str">
            <v>*包</v>
          </cell>
          <cell r="H26">
            <v>12</v>
          </cell>
          <cell r="I26" t="str">
            <v>包</v>
          </cell>
        </row>
        <row r="26">
          <cell r="K26">
            <v>540</v>
          </cell>
          <cell r="L26" t="str">
            <v>未付款</v>
          </cell>
        </row>
        <row r="26">
          <cell r="R26" t="str">
            <v>新N*X8S48</v>
          </cell>
        </row>
        <row r="27">
          <cell r="B27">
            <v>46274</v>
          </cell>
          <cell r="C27" t="str">
            <v>荆建君</v>
          </cell>
          <cell r="D27" t="str">
            <v>包装物料－领用出库</v>
          </cell>
          <cell r="E27" t="str">
            <v>NO:0001105</v>
          </cell>
          <cell r="F27" t="str">
            <v>香梨网</v>
          </cell>
          <cell r="G27" t="str">
            <v>*包</v>
          </cell>
          <cell r="H27">
            <v>48</v>
          </cell>
          <cell r="I27" t="str">
            <v>包</v>
          </cell>
        </row>
        <row r="27">
          <cell r="K27">
            <v>2160</v>
          </cell>
          <cell r="L27" t="str">
            <v>未付款</v>
          </cell>
        </row>
        <row r="27">
          <cell r="R27" t="str">
            <v>豫A*2737K</v>
          </cell>
        </row>
        <row r="28">
          <cell r="B28">
            <v>46274</v>
          </cell>
          <cell r="C28" t="str">
            <v>麦麦提</v>
          </cell>
          <cell r="D28" t="str">
            <v>包装物料－领用出库</v>
          </cell>
          <cell r="E28" t="str">
            <v>NO:0001106</v>
          </cell>
          <cell r="F28" t="str">
            <v>香梨网</v>
          </cell>
          <cell r="G28" t="str">
            <v>*包</v>
          </cell>
          <cell r="H28">
            <v>48</v>
          </cell>
          <cell r="I28" t="str">
            <v>包</v>
          </cell>
        </row>
        <row r="28">
          <cell r="K28">
            <v>2160</v>
          </cell>
          <cell r="L28" t="str">
            <v>未付款</v>
          </cell>
        </row>
        <row r="28">
          <cell r="R28" t="str">
            <v>新A*G0544</v>
          </cell>
        </row>
        <row r="29">
          <cell r="B29">
            <v>46276</v>
          </cell>
          <cell r="C29" t="str">
            <v>新顺发泡网</v>
          </cell>
          <cell r="D29" t="str">
            <v>包装物料－采购入库</v>
          </cell>
          <cell r="E29" t="str">
            <v>NO:0000777</v>
          </cell>
          <cell r="F29" t="str">
            <v>香梨网</v>
          </cell>
          <cell r="G29" t="str">
            <v>*包</v>
          </cell>
          <cell r="H29">
            <v>120</v>
          </cell>
          <cell r="I29" t="str">
            <v>包</v>
          </cell>
        </row>
        <row r="29">
          <cell r="K29">
            <v>4440</v>
          </cell>
          <cell r="L29" t="str">
            <v>未付款</v>
          </cell>
          <cell r="M29" t="str">
            <v>12#</v>
          </cell>
        </row>
        <row r="29">
          <cell r="R29" t="str">
            <v>皖L*SD929</v>
          </cell>
        </row>
        <row r="30">
          <cell r="B30">
            <v>46276</v>
          </cell>
          <cell r="C30" t="str">
            <v>麦麦提</v>
          </cell>
          <cell r="D30" t="str">
            <v>包装物料－领用出库</v>
          </cell>
          <cell r="E30" t="str">
            <v>NO:0001113</v>
          </cell>
          <cell r="F30" t="str">
            <v>香梨网</v>
          </cell>
          <cell r="G30" t="str">
            <v>*包</v>
          </cell>
          <cell r="H30">
            <v>48</v>
          </cell>
          <cell r="I30" t="str">
            <v>包</v>
          </cell>
        </row>
        <row r="30">
          <cell r="K30">
            <v>2160</v>
          </cell>
          <cell r="L30" t="str">
            <v>未付款</v>
          </cell>
        </row>
        <row r="30">
          <cell r="R30" t="str">
            <v>新A*G0544</v>
          </cell>
        </row>
        <row r="31">
          <cell r="B31">
            <v>46276</v>
          </cell>
          <cell r="C31" t="str">
            <v>新顺发泡网</v>
          </cell>
          <cell r="D31" t="str">
            <v>包装物料－采购入库</v>
          </cell>
          <cell r="E31" t="str">
            <v>NO:0000779</v>
          </cell>
          <cell r="F31" t="str">
            <v>香梨网</v>
          </cell>
          <cell r="G31" t="str">
            <v>*包</v>
          </cell>
          <cell r="H31">
            <v>120</v>
          </cell>
          <cell r="I31" t="str">
            <v>包</v>
          </cell>
        </row>
        <row r="31">
          <cell r="K31">
            <v>4440</v>
          </cell>
          <cell r="L31" t="str">
            <v>未付款</v>
          </cell>
          <cell r="M31" t="str">
            <v>12#</v>
          </cell>
        </row>
        <row r="31">
          <cell r="R31" t="str">
            <v>皖L*KW876</v>
          </cell>
        </row>
        <row r="32">
          <cell r="B32">
            <v>46276</v>
          </cell>
          <cell r="C32" t="str">
            <v>吐尔洪</v>
          </cell>
          <cell r="D32" t="str">
            <v>包装物料－领用出库</v>
          </cell>
          <cell r="E32" t="str">
            <v>NO:0001117</v>
          </cell>
          <cell r="F32" t="str">
            <v>香梨网</v>
          </cell>
          <cell r="G32" t="str">
            <v>*包</v>
          </cell>
          <cell r="H32">
            <v>3</v>
          </cell>
          <cell r="I32" t="str">
            <v>包</v>
          </cell>
        </row>
        <row r="32">
          <cell r="K32">
            <v>135</v>
          </cell>
          <cell r="L32" t="str">
            <v>未付款</v>
          </cell>
        </row>
        <row r="32">
          <cell r="R32" t="str">
            <v>新N*Z0305</v>
          </cell>
        </row>
        <row r="33">
          <cell r="B33">
            <v>46276</v>
          </cell>
          <cell r="C33" t="str">
            <v>热合曼</v>
          </cell>
          <cell r="D33" t="str">
            <v>包装物料－领用出库</v>
          </cell>
          <cell r="E33" t="str">
            <v>NO:0001120</v>
          </cell>
          <cell r="F33" t="str">
            <v>香梨网</v>
          </cell>
          <cell r="G33" t="str">
            <v>*包</v>
          </cell>
          <cell r="H33">
            <v>48</v>
          </cell>
          <cell r="I33" t="str">
            <v>包</v>
          </cell>
        </row>
        <row r="33">
          <cell r="K33">
            <v>2160</v>
          </cell>
          <cell r="L33" t="str">
            <v>未付款</v>
          </cell>
        </row>
        <row r="33">
          <cell r="R33" t="str">
            <v>新A*G0544</v>
          </cell>
        </row>
        <row r="34">
          <cell r="B34">
            <v>46276</v>
          </cell>
          <cell r="C34" t="str">
            <v>吐尔洪</v>
          </cell>
          <cell r="D34" t="str">
            <v>包装物料－领用出库</v>
          </cell>
          <cell r="E34" t="str">
            <v>NO:0001121</v>
          </cell>
          <cell r="F34" t="str">
            <v>香梨网</v>
          </cell>
          <cell r="G34" t="str">
            <v>*包</v>
          </cell>
          <cell r="H34">
            <v>12</v>
          </cell>
          <cell r="I34" t="str">
            <v>包</v>
          </cell>
        </row>
        <row r="34">
          <cell r="K34">
            <v>540</v>
          </cell>
          <cell r="L34" t="str">
            <v>未付款</v>
          </cell>
        </row>
        <row r="34">
          <cell r="R34" t="str">
            <v>新N*X8S48</v>
          </cell>
        </row>
        <row r="35">
          <cell r="B35">
            <v>46277</v>
          </cell>
          <cell r="C35" t="str">
            <v>新顺发泡网</v>
          </cell>
          <cell r="D35" t="str">
            <v>包装物料－采购入库</v>
          </cell>
          <cell r="E35" t="str">
            <v>NO:0000791</v>
          </cell>
          <cell r="F35" t="str">
            <v>香梨网</v>
          </cell>
          <cell r="G35" t="str">
            <v>*包</v>
          </cell>
          <cell r="H35">
            <v>120</v>
          </cell>
          <cell r="I35" t="str">
            <v>包</v>
          </cell>
        </row>
        <row r="35">
          <cell r="K35">
            <v>4440</v>
          </cell>
          <cell r="L35" t="str">
            <v>未付款</v>
          </cell>
          <cell r="M35" t="str">
            <v>12#</v>
          </cell>
        </row>
        <row r="35">
          <cell r="R35" t="str">
            <v>皖L*SD929</v>
          </cell>
        </row>
        <row r="36">
          <cell r="B36">
            <v>46277</v>
          </cell>
          <cell r="C36" t="str">
            <v>麦麦提</v>
          </cell>
          <cell r="D36" t="str">
            <v>包装物料－领用出库</v>
          </cell>
          <cell r="E36" t="str">
            <v>NO:0001125</v>
          </cell>
          <cell r="F36" t="str">
            <v>香梨网</v>
          </cell>
          <cell r="G36" t="str">
            <v>*包</v>
          </cell>
          <cell r="H36">
            <v>48</v>
          </cell>
          <cell r="I36" t="str">
            <v>包</v>
          </cell>
        </row>
        <row r="36">
          <cell r="K36">
            <v>2160</v>
          </cell>
          <cell r="L36" t="str">
            <v>未付款</v>
          </cell>
        </row>
        <row r="36">
          <cell r="R36" t="str">
            <v>新A*G0544</v>
          </cell>
        </row>
        <row r="37">
          <cell r="B37">
            <v>46278</v>
          </cell>
          <cell r="C37" t="str">
            <v>荆建君</v>
          </cell>
          <cell r="D37" t="str">
            <v>包装物料－领用出库</v>
          </cell>
          <cell r="E37" t="str">
            <v>NO:0001126</v>
          </cell>
          <cell r="F37" t="str">
            <v>香梨网</v>
          </cell>
          <cell r="G37" t="str">
            <v>*包</v>
          </cell>
          <cell r="H37">
            <v>120</v>
          </cell>
          <cell r="I37" t="str">
            <v>包</v>
          </cell>
        </row>
        <row r="37">
          <cell r="K37">
            <v>5400</v>
          </cell>
          <cell r="L37" t="str">
            <v>未付款</v>
          </cell>
        </row>
        <row r="37">
          <cell r="R37" t="str">
            <v>豫A*2737K</v>
          </cell>
        </row>
        <row r="38">
          <cell r="B38">
            <v>46278</v>
          </cell>
          <cell r="C38" t="str">
            <v>吐尔洪</v>
          </cell>
          <cell r="D38" t="str">
            <v>包装物料－领用出库</v>
          </cell>
          <cell r="E38" t="str">
            <v>NO:0001132</v>
          </cell>
          <cell r="F38" t="str">
            <v>香梨网</v>
          </cell>
          <cell r="G38" t="str">
            <v>*包</v>
          </cell>
          <cell r="H38">
            <v>24</v>
          </cell>
          <cell r="I38" t="str">
            <v>包</v>
          </cell>
        </row>
        <row r="38">
          <cell r="K38">
            <v>1080</v>
          </cell>
          <cell r="L38" t="str">
            <v>未付款</v>
          </cell>
        </row>
        <row r="38">
          <cell r="R38" t="str">
            <v>新N*X8S48</v>
          </cell>
        </row>
        <row r="39">
          <cell r="B39">
            <v>46278</v>
          </cell>
          <cell r="C39" t="str">
            <v>努尔敦</v>
          </cell>
          <cell r="D39" t="str">
            <v>包装物料－领用出库</v>
          </cell>
          <cell r="E39" t="str">
            <v>NO:0001133</v>
          </cell>
          <cell r="F39" t="str">
            <v>香梨网</v>
          </cell>
          <cell r="G39" t="str">
            <v>*包</v>
          </cell>
          <cell r="H39">
            <v>120</v>
          </cell>
          <cell r="I39" t="str">
            <v>包</v>
          </cell>
        </row>
        <row r="39">
          <cell r="K39">
            <v>5400</v>
          </cell>
          <cell r="L39" t="str">
            <v>未付款</v>
          </cell>
        </row>
        <row r="39">
          <cell r="R39" t="str">
            <v>新F*75240</v>
          </cell>
        </row>
        <row r="40">
          <cell r="B40">
            <v>46279</v>
          </cell>
          <cell r="C40" t="str">
            <v>新顺发泡网</v>
          </cell>
          <cell r="D40" t="str">
            <v>包装物料－采购入库</v>
          </cell>
          <cell r="E40" t="str">
            <v>NO:0000856</v>
          </cell>
          <cell r="F40" t="str">
            <v>香梨网</v>
          </cell>
          <cell r="G40" t="str">
            <v>*包</v>
          </cell>
          <cell r="H40">
            <v>100</v>
          </cell>
          <cell r="I40" t="str">
            <v>包</v>
          </cell>
        </row>
        <row r="40">
          <cell r="K40">
            <v>3700</v>
          </cell>
          <cell r="L40" t="str">
            <v>未付款</v>
          </cell>
          <cell r="M40" t="str">
            <v>12#</v>
          </cell>
        </row>
        <row r="40">
          <cell r="R40" t="str">
            <v>新N*2698H</v>
          </cell>
        </row>
        <row r="41">
          <cell r="B41">
            <v>46245</v>
          </cell>
          <cell r="C41" t="str">
            <v>王照雪</v>
          </cell>
          <cell r="D41" t="str">
            <v>周转筐－领用出库</v>
          </cell>
          <cell r="E41" t="str">
            <v>NO:0001015</v>
          </cell>
          <cell r="F41" t="str">
            <v>公司杂周转筐</v>
          </cell>
        </row>
        <row r="41">
          <cell r="H41">
            <v>351</v>
          </cell>
          <cell r="I41" t="str">
            <v>个</v>
          </cell>
        </row>
        <row r="41">
          <cell r="N41" t="str">
            <v>公司杂周转筐</v>
          </cell>
          <cell r="O41">
            <v>351</v>
          </cell>
        </row>
        <row r="41">
          <cell r="R41" t="str">
            <v>豫L*88X19</v>
          </cell>
          <cell r="S41" t="str">
            <v>公司筐</v>
          </cell>
        </row>
        <row r="42">
          <cell r="B42">
            <v>46255</v>
          </cell>
          <cell r="C42" t="str">
            <v>王照雪</v>
          </cell>
          <cell r="D42" t="str">
            <v>周转筐－领用出库</v>
          </cell>
          <cell r="E42" t="str">
            <v>NO:0001022</v>
          </cell>
          <cell r="F42" t="str">
            <v>公司杂周转筐</v>
          </cell>
        </row>
        <row r="42">
          <cell r="H42">
            <v>432</v>
          </cell>
          <cell r="I42" t="str">
            <v>个</v>
          </cell>
        </row>
        <row r="42">
          <cell r="N42" t="str">
            <v>公司杂周转筐</v>
          </cell>
          <cell r="O42">
            <v>432</v>
          </cell>
        </row>
        <row r="42">
          <cell r="R42" t="str">
            <v>豫L*88X19</v>
          </cell>
          <cell r="S42" t="str">
            <v>公司筐</v>
          </cell>
        </row>
        <row r="43">
          <cell r="B43">
            <v>46258</v>
          </cell>
          <cell r="C43" t="str">
            <v>王照雪</v>
          </cell>
          <cell r="D43" t="str">
            <v>周转筐－领用出库</v>
          </cell>
          <cell r="E43" t="str">
            <v>NO:0001031</v>
          </cell>
          <cell r="F43" t="str">
            <v>公司杂周转筐</v>
          </cell>
        </row>
        <row r="43">
          <cell r="H43">
            <v>282</v>
          </cell>
          <cell r="I43" t="str">
            <v>个</v>
          </cell>
        </row>
        <row r="43">
          <cell r="N43" t="str">
            <v>公司杂周转筐</v>
          </cell>
          <cell r="O43">
            <v>282</v>
          </cell>
        </row>
        <row r="43">
          <cell r="R43" t="str">
            <v>豫L*88X19</v>
          </cell>
          <cell r="S43" t="str">
            <v>公司筐</v>
          </cell>
        </row>
        <row r="44">
          <cell r="B44">
            <v>46260</v>
          </cell>
          <cell r="C44" t="str">
            <v>王照雪</v>
          </cell>
          <cell r="D44" t="str">
            <v>周转筐－领用出库</v>
          </cell>
          <cell r="E44" t="str">
            <v>NO:0001037</v>
          </cell>
          <cell r="F44" t="str">
            <v>公司杂周转筐</v>
          </cell>
        </row>
        <row r="44">
          <cell r="H44">
            <v>144</v>
          </cell>
          <cell r="I44" t="str">
            <v>个</v>
          </cell>
        </row>
        <row r="44">
          <cell r="N44" t="str">
            <v>公司杂周转筐</v>
          </cell>
          <cell r="O44">
            <v>144</v>
          </cell>
        </row>
        <row r="44">
          <cell r="R44" t="str">
            <v>豫L*88X19</v>
          </cell>
          <cell r="S44" t="str">
            <v>公司筐</v>
          </cell>
        </row>
        <row r="45">
          <cell r="B45">
            <v>46258</v>
          </cell>
          <cell r="C45" t="str">
            <v>王照雪</v>
          </cell>
          <cell r="D45" t="str">
            <v>周转筐－退回入库</v>
          </cell>
          <cell r="E45" t="str">
            <v>NO:0000721</v>
          </cell>
          <cell r="F45" t="str">
            <v>公司杂周转筐</v>
          </cell>
        </row>
        <row r="45">
          <cell r="H45">
            <v>4</v>
          </cell>
          <cell r="I45" t="str">
            <v>个</v>
          </cell>
        </row>
        <row r="45">
          <cell r="N45" t="str">
            <v>公司杂周转筐</v>
          </cell>
        </row>
        <row r="45">
          <cell r="P45">
            <v>4</v>
          </cell>
        </row>
        <row r="45">
          <cell r="R45" t="str">
            <v>豫L*88X19</v>
          </cell>
          <cell r="S45" t="str">
            <v>公司筐</v>
          </cell>
        </row>
        <row r="46">
          <cell r="B46">
            <v>46265</v>
          </cell>
          <cell r="C46" t="str">
            <v>王浩</v>
          </cell>
          <cell r="D46" t="str">
            <v>周转筐－领用出库</v>
          </cell>
          <cell r="E46" t="str">
            <v>NO:0001057</v>
          </cell>
          <cell r="F46" t="str">
            <v>公司一次性筐</v>
          </cell>
        </row>
        <row r="46">
          <cell r="H46">
            <v>2040</v>
          </cell>
          <cell r="I46" t="str">
            <v>个</v>
          </cell>
        </row>
        <row r="46">
          <cell r="N46" t="str">
            <v>公司一次性筐</v>
          </cell>
          <cell r="O46">
            <v>2040</v>
          </cell>
        </row>
        <row r="46">
          <cell r="R46" t="str">
            <v>新Q*67674</v>
          </cell>
          <cell r="S46" t="str">
            <v>公司筐</v>
          </cell>
        </row>
        <row r="47">
          <cell r="B47">
            <v>46266</v>
          </cell>
          <cell r="C47" t="str">
            <v>马锦祥</v>
          </cell>
          <cell r="D47" t="str">
            <v>周转筐－领用出库</v>
          </cell>
          <cell r="E47" t="str">
            <v>NO:0001061</v>
          </cell>
          <cell r="F47" t="str">
            <v>公司杂周转筐</v>
          </cell>
        </row>
        <row r="47">
          <cell r="H47">
            <v>588</v>
          </cell>
          <cell r="I47" t="str">
            <v>个</v>
          </cell>
        </row>
        <row r="47">
          <cell r="N47" t="str">
            <v>公司杂周转筐</v>
          </cell>
          <cell r="O47">
            <v>588</v>
          </cell>
        </row>
        <row r="47">
          <cell r="R47" t="str">
            <v>新N*K7V85</v>
          </cell>
          <cell r="S47" t="str">
            <v>公司筐</v>
          </cell>
        </row>
        <row r="48">
          <cell r="B48">
            <v>46266</v>
          </cell>
          <cell r="C48" t="str">
            <v>王照雪</v>
          </cell>
          <cell r="D48" t="str">
            <v>周转筐－退回入库</v>
          </cell>
          <cell r="E48" t="str">
            <v>NO:0000742</v>
          </cell>
          <cell r="F48" t="str">
            <v>公司杂周转筐</v>
          </cell>
        </row>
        <row r="48">
          <cell r="H48">
            <v>30</v>
          </cell>
          <cell r="I48" t="str">
            <v>个</v>
          </cell>
        </row>
        <row r="48">
          <cell r="N48" t="str">
            <v>公司杂周转筐</v>
          </cell>
        </row>
        <row r="48">
          <cell r="P48">
            <v>30</v>
          </cell>
        </row>
        <row r="48">
          <cell r="R48" t="str">
            <v>新N*D1W48</v>
          </cell>
          <cell r="S48" t="str">
            <v>公司筐</v>
          </cell>
        </row>
        <row r="49">
          <cell r="B49">
            <v>46267</v>
          </cell>
          <cell r="C49" t="str">
            <v>全修塑业</v>
          </cell>
          <cell r="D49" t="str">
            <v>周转筐－采购入库</v>
          </cell>
          <cell r="E49" t="str">
            <v>NO:0000744</v>
          </cell>
          <cell r="F49" t="str">
            <v>公司红周转筐</v>
          </cell>
        </row>
        <row r="49">
          <cell r="H49">
            <v>315</v>
          </cell>
          <cell r="I49" t="str">
            <v>个</v>
          </cell>
        </row>
        <row r="49">
          <cell r="K49">
            <v>3150</v>
          </cell>
          <cell r="L49" t="str">
            <v>未付款</v>
          </cell>
          <cell r="M49" t="str">
            <v>NO:2745225</v>
          </cell>
          <cell r="N49" t="str">
            <v>公司红周转筐</v>
          </cell>
        </row>
        <row r="49">
          <cell r="Q49">
            <v>315</v>
          </cell>
          <cell r="R49" t="str">
            <v>新N*X8S48</v>
          </cell>
          <cell r="S49" t="str">
            <v>公司筐</v>
          </cell>
        </row>
        <row r="50">
          <cell r="B50">
            <v>46267</v>
          </cell>
          <cell r="C50" t="str">
            <v>吐尔洪</v>
          </cell>
          <cell r="D50" t="str">
            <v>周转筐－领用出库</v>
          </cell>
          <cell r="E50" t="str">
            <v>NO:0001067</v>
          </cell>
          <cell r="F50" t="str">
            <v>公司红周转筐</v>
          </cell>
        </row>
        <row r="50">
          <cell r="H50">
            <v>315</v>
          </cell>
          <cell r="I50" t="str">
            <v>个</v>
          </cell>
        </row>
        <row r="50">
          <cell r="N50" t="str">
            <v>公司红周转筐</v>
          </cell>
          <cell r="O50">
            <v>315</v>
          </cell>
        </row>
        <row r="50">
          <cell r="R50" t="str">
            <v>新N*X8S48</v>
          </cell>
          <cell r="S50" t="str">
            <v>公司筐</v>
          </cell>
        </row>
        <row r="51">
          <cell r="B51">
            <v>46268</v>
          </cell>
          <cell r="C51" t="str">
            <v>全修塑业</v>
          </cell>
          <cell r="D51" t="str">
            <v>周转筐－采购入库</v>
          </cell>
          <cell r="E51" t="str">
            <v>NO:0000745</v>
          </cell>
          <cell r="F51" t="str">
            <v>公司红周转筐</v>
          </cell>
        </row>
        <row r="51">
          <cell r="H51">
            <v>315</v>
          </cell>
          <cell r="I51" t="str">
            <v>个</v>
          </cell>
        </row>
        <row r="51">
          <cell r="K51">
            <v>3150</v>
          </cell>
          <cell r="L51" t="str">
            <v>未付款</v>
          </cell>
          <cell r="M51" t="str">
            <v>NO:2745241</v>
          </cell>
          <cell r="N51" t="str">
            <v>公司红周转筐</v>
          </cell>
        </row>
        <row r="51">
          <cell r="Q51">
            <v>315</v>
          </cell>
          <cell r="R51" t="str">
            <v>新N*X8S48</v>
          </cell>
          <cell r="S51" t="str">
            <v>公司筐</v>
          </cell>
        </row>
        <row r="52">
          <cell r="B52">
            <v>46268</v>
          </cell>
          <cell r="C52" t="str">
            <v>吐尔洪</v>
          </cell>
          <cell r="D52" t="str">
            <v>周转筐－领用出库</v>
          </cell>
          <cell r="E52" t="str">
            <v>NO:0001068</v>
          </cell>
          <cell r="F52" t="str">
            <v>公司红周转筐</v>
          </cell>
        </row>
        <row r="52">
          <cell r="H52">
            <v>315</v>
          </cell>
          <cell r="I52" t="str">
            <v>个</v>
          </cell>
        </row>
        <row r="52">
          <cell r="N52" t="str">
            <v>公司红周转筐</v>
          </cell>
          <cell r="O52">
            <v>315</v>
          </cell>
        </row>
        <row r="52">
          <cell r="R52" t="str">
            <v>新N*X8S48</v>
          </cell>
          <cell r="S52" t="str">
            <v>公司筐</v>
          </cell>
        </row>
        <row r="53">
          <cell r="B53">
            <v>46268</v>
          </cell>
          <cell r="C53" t="str">
            <v>全修塑业</v>
          </cell>
          <cell r="D53" t="str">
            <v>周转筐－采购入库</v>
          </cell>
          <cell r="E53" t="str">
            <v>NO:0000746</v>
          </cell>
          <cell r="F53" t="str">
            <v>公司红周转筐</v>
          </cell>
        </row>
        <row r="53">
          <cell r="H53">
            <v>846</v>
          </cell>
          <cell r="I53" t="str">
            <v>个</v>
          </cell>
        </row>
        <row r="53">
          <cell r="K53">
            <v>8460</v>
          </cell>
          <cell r="L53" t="str">
            <v>未付款</v>
          </cell>
          <cell r="M53" t="str">
            <v>NO:2745242</v>
          </cell>
          <cell r="N53" t="str">
            <v>公司红周转筐</v>
          </cell>
        </row>
        <row r="53">
          <cell r="Q53">
            <v>846</v>
          </cell>
          <cell r="R53" t="str">
            <v>新A*G0554</v>
          </cell>
          <cell r="S53" t="str">
            <v>公司筐</v>
          </cell>
        </row>
        <row r="54">
          <cell r="B54">
            <v>46268</v>
          </cell>
          <cell r="C54" t="str">
            <v>热合曼</v>
          </cell>
          <cell r="D54" t="str">
            <v>周转筐－领用出库</v>
          </cell>
          <cell r="E54" t="str">
            <v>NO:0001069</v>
          </cell>
          <cell r="F54" t="str">
            <v>公司红周转筐</v>
          </cell>
        </row>
        <row r="54">
          <cell r="H54">
            <v>846</v>
          </cell>
          <cell r="I54" t="str">
            <v>个</v>
          </cell>
        </row>
        <row r="54">
          <cell r="N54" t="str">
            <v>公司红周转筐</v>
          </cell>
          <cell r="O54">
            <v>846</v>
          </cell>
        </row>
        <row r="54">
          <cell r="R54" t="str">
            <v>新A*G0554</v>
          </cell>
          <cell r="S54" t="str">
            <v>公司筐</v>
          </cell>
        </row>
        <row r="55">
          <cell r="B55">
            <v>46268</v>
          </cell>
          <cell r="C55" t="str">
            <v>全修塑业</v>
          </cell>
          <cell r="D55" t="str">
            <v>周转筐－采购入库</v>
          </cell>
          <cell r="E55" t="str">
            <v>NO:0000747</v>
          </cell>
          <cell r="F55" t="str">
            <v>公司红周转筐</v>
          </cell>
        </row>
        <row r="55">
          <cell r="H55">
            <v>960</v>
          </cell>
          <cell r="I55" t="str">
            <v>个</v>
          </cell>
        </row>
        <row r="55">
          <cell r="K55">
            <v>9600</v>
          </cell>
          <cell r="L55" t="str">
            <v>未付款</v>
          </cell>
          <cell r="M55" t="str">
            <v>NO:2745243</v>
          </cell>
          <cell r="N55" t="str">
            <v>公司红周转筐</v>
          </cell>
        </row>
        <row r="55">
          <cell r="Q55">
            <v>960</v>
          </cell>
          <cell r="R55" t="str">
            <v>新N*49209</v>
          </cell>
          <cell r="S55" t="str">
            <v>公司筐</v>
          </cell>
        </row>
        <row r="56">
          <cell r="B56">
            <v>46268</v>
          </cell>
          <cell r="C56" t="str">
            <v>王灵云</v>
          </cell>
          <cell r="D56" t="str">
            <v>周转筐－领用出库</v>
          </cell>
          <cell r="E56" t="str">
            <v>NO:0001072</v>
          </cell>
          <cell r="F56" t="str">
            <v>公司红周转筐</v>
          </cell>
        </row>
        <row r="56">
          <cell r="H56">
            <v>960</v>
          </cell>
          <cell r="I56" t="str">
            <v>个</v>
          </cell>
        </row>
        <row r="56">
          <cell r="N56" t="str">
            <v>公司红周转筐</v>
          </cell>
          <cell r="O56">
            <v>960</v>
          </cell>
        </row>
        <row r="56">
          <cell r="R56" t="str">
            <v>新N*49209</v>
          </cell>
          <cell r="S56" t="str">
            <v>公司筐</v>
          </cell>
        </row>
        <row r="57">
          <cell r="B57">
            <v>46268</v>
          </cell>
          <cell r="C57" t="str">
            <v>全修塑业</v>
          </cell>
          <cell r="D57" t="str">
            <v>周转筐－采购入库</v>
          </cell>
          <cell r="E57" t="str">
            <v>NO:0000748</v>
          </cell>
          <cell r="F57" t="str">
            <v>公司红周转筐</v>
          </cell>
        </row>
        <row r="57">
          <cell r="H57">
            <v>846</v>
          </cell>
          <cell r="I57" t="str">
            <v>个</v>
          </cell>
        </row>
        <row r="57">
          <cell r="K57">
            <v>8460</v>
          </cell>
          <cell r="L57" t="str">
            <v>未付款</v>
          </cell>
          <cell r="M57" t="str">
            <v>NO:2745244</v>
          </cell>
          <cell r="N57" t="str">
            <v>公司红周转筐</v>
          </cell>
        </row>
        <row r="57">
          <cell r="Q57">
            <v>846</v>
          </cell>
          <cell r="R57" t="str">
            <v>新A*G0554</v>
          </cell>
          <cell r="S57" t="str">
            <v>公司筐</v>
          </cell>
        </row>
        <row r="58">
          <cell r="B58">
            <v>46268</v>
          </cell>
          <cell r="C58" t="str">
            <v>麦麦提</v>
          </cell>
          <cell r="D58" t="str">
            <v>周转筐－领用出库</v>
          </cell>
          <cell r="E58" t="str">
            <v>NO:0001074</v>
          </cell>
          <cell r="F58" t="str">
            <v>公司红周转筐</v>
          </cell>
        </row>
        <row r="58">
          <cell r="H58">
            <v>846</v>
          </cell>
          <cell r="I58" t="str">
            <v>个</v>
          </cell>
        </row>
        <row r="58">
          <cell r="N58" t="str">
            <v>公司红周转筐</v>
          </cell>
          <cell r="O58">
            <v>846</v>
          </cell>
        </row>
        <row r="58">
          <cell r="R58" t="str">
            <v>新A*G0554</v>
          </cell>
          <cell r="S58" t="str">
            <v>公司筐</v>
          </cell>
        </row>
        <row r="59">
          <cell r="B59">
            <v>46268</v>
          </cell>
          <cell r="C59" t="str">
            <v>全修塑业</v>
          </cell>
          <cell r="D59" t="str">
            <v>周转筐－采购入库</v>
          </cell>
          <cell r="E59" t="str">
            <v>NO:0000749</v>
          </cell>
          <cell r="F59" t="str">
            <v>公司红周转筐</v>
          </cell>
        </row>
        <row r="59">
          <cell r="H59">
            <v>936</v>
          </cell>
          <cell r="I59" t="str">
            <v>个</v>
          </cell>
        </row>
        <row r="59">
          <cell r="K59">
            <v>9360</v>
          </cell>
          <cell r="L59" t="str">
            <v>未付款</v>
          </cell>
          <cell r="M59" t="str">
            <v>NO:2745245</v>
          </cell>
          <cell r="N59" t="str">
            <v>公司红周转筐</v>
          </cell>
        </row>
        <row r="59">
          <cell r="Q59">
            <v>936</v>
          </cell>
          <cell r="R59" t="str">
            <v>新F*75240</v>
          </cell>
          <cell r="S59" t="str">
            <v>公司筐</v>
          </cell>
        </row>
        <row r="60">
          <cell r="B60">
            <v>46268</v>
          </cell>
          <cell r="C60" t="str">
            <v>努尔敦</v>
          </cell>
          <cell r="D60" t="str">
            <v>周转筐－领用出库</v>
          </cell>
          <cell r="E60" t="str">
            <v>NO:0001075</v>
          </cell>
          <cell r="F60" t="str">
            <v>公司红周转筐</v>
          </cell>
        </row>
        <row r="60">
          <cell r="H60">
            <v>936</v>
          </cell>
          <cell r="I60" t="str">
            <v>个</v>
          </cell>
        </row>
        <row r="60">
          <cell r="N60" t="str">
            <v>公司红周转筐</v>
          </cell>
          <cell r="O60">
            <v>936</v>
          </cell>
        </row>
        <row r="60">
          <cell r="R60" t="str">
            <v>新F*75240</v>
          </cell>
          <cell r="S60" t="str">
            <v>公司筐</v>
          </cell>
        </row>
        <row r="61">
          <cell r="B61">
            <v>46269</v>
          </cell>
          <cell r="C61" t="str">
            <v>全修塑业</v>
          </cell>
          <cell r="D61" t="str">
            <v>周转筐－采购入库</v>
          </cell>
          <cell r="E61" t="str">
            <v>NO:0000750</v>
          </cell>
          <cell r="F61" t="str">
            <v>公司红周转筐</v>
          </cell>
        </row>
        <row r="61">
          <cell r="H61">
            <v>960</v>
          </cell>
          <cell r="I61" t="str">
            <v>个</v>
          </cell>
        </row>
        <row r="61">
          <cell r="K61">
            <v>9600</v>
          </cell>
          <cell r="L61" t="str">
            <v>未付款</v>
          </cell>
          <cell r="M61" t="str">
            <v>NO:2745247</v>
          </cell>
          <cell r="N61" t="str">
            <v>公司红周转筐</v>
          </cell>
        </row>
        <row r="61">
          <cell r="Q61">
            <v>960</v>
          </cell>
          <cell r="R61" t="str">
            <v>豫A*2737K</v>
          </cell>
          <cell r="S61" t="str">
            <v>公司筐</v>
          </cell>
        </row>
        <row r="62">
          <cell r="B62">
            <v>46269</v>
          </cell>
          <cell r="C62" t="str">
            <v>荆建君</v>
          </cell>
          <cell r="D62" t="str">
            <v>周转筐－领用出库</v>
          </cell>
          <cell r="E62" t="str">
            <v>NO:0001077</v>
          </cell>
          <cell r="F62" t="str">
            <v>公司红周转筐</v>
          </cell>
        </row>
        <row r="62">
          <cell r="H62">
            <v>960</v>
          </cell>
          <cell r="I62" t="str">
            <v>个</v>
          </cell>
        </row>
        <row r="62">
          <cell r="N62" t="str">
            <v>公司红周转筐</v>
          </cell>
          <cell r="O62">
            <v>960</v>
          </cell>
        </row>
        <row r="62">
          <cell r="R62" t="str">
            <v>豫A*2737K</v>
          </cell>
          <cell r="S62" t="str">
            <v>公司筐</v>
          </cell>
        </row>
        <row r="63">
          <cell r="B63">
            <v>46269</v>
          </cell>
          <cell r="C63" t="str">
            <v>马锦祥</v>
          </cell>
          <cell r="D63" t="str">
            <v>周转筐－领用出库</v>
          </cell>
          <cell r="E63" t="str">
            <v>NO:0001076</v>
          </cell>
          <cell r="F63" t="str">
            <v>公司杂周转筐</v>
          </cell>
        </row>
        <row r="63">
          <cell r="H63">
            <v>574</v>
          </cell>
          <cell r="I63" t="str">
            <v>个</v>
          </cell>
        </row>
        <row r="63">
          <cell r="N63" t="str">
            <v>公司杂周转筐</v>
          </cell>
          <cell r="O63">
            <v>574</v>
          </cell>
        </row>
        <row r="63">
          <cell r="R63" t="str">
            <v>新N*K7V85</v>
          </cell>
          <cell r="S63" t="str">
            <v>公司筐</v>
          </cell>
        </row>
        <row r="64">
          <cell r="B64">
            <v>46269</v>
          </cell>
          <cell r="C64" t="str">
            <v>全修塑业</v>
          </cell>
          <cell r="D64" t="str">
            <v>周转筐－采购入库</v>
          </cell>
          <cell r="E64" t="str">
            <v>NO:0000751</v>
          </cell>
          <cell r="F64" t="str">
            <v>公司红周转筐</v>
          </cell>
        </row>
        <row r="64">
          <cell r="H64">
            <v>936</v>
          </cell>
          <cell r="I64" t="str">
            <v>个</v>
          </cell>
        </row>
        <row r="64">
          <cell r="K64">
            <v>9360</v>
          </cell>
          <cell r="L64" t="str">
            <v>未付款</v>
          </cell>
          <cell r="M64" t="str">
            <v>NO:2745248</v>
          </cell>
          <cell r="N64" t="str">
            <v>公司红周转筐</v>
          </cell>
        </row>
        <row r="64">
          <cell r="Q64">
            <v>936</v>
          </cell>
          <cell r="R64" t="str">
            <v>新F*75240</v>
          </cell>
          <cell r="S64" t="str">
            <v>公司筐</v>
          </cell>
        </row>
        <row r="65">
          <cell r="B65">
            <v>46269</v>
          </cell>
          <cell r="C65" t="str">
            <v>努尔敦</v>
          </cell>
          <cell r="D65" t="str">
            <v>周转筐－领用出库</v>
          </cell>
          <cell r="E65" t="str">
            <v>NO:0001078</v>
          </cell>
          <cell r="F65" t="str">
            <v>公司红周转筐</v>
          </cell>
        </row>
        <row r="65">
          <cell r="H65">
            <v>936</v>
          </cell>
          <cell r="I65" t="str">
            <v>个</v>
          </cell>
        </row>
        <row r="65">
          <cell r="N65" t="str">
            <v>公司红周转筐</v>
          </cell>
          <cell r="O65">
            <v>936</v>
          </cell>
        </row>
        <row r="65">
          <cell r="R65" t="str">
            <v>新F*75240</v>
          </cell>
          <cell r="S65" t="str">
            <v>公司筐</v>
          </cell>
        </row>
        <row r="66">
          <cell r="B66">
            <v>46269</v>
          </cell>
          <cell r="C66" t="str">
            <v>全修塑业</v>
          </cell>
          <cell r="D66" t="str">
            <v>周转筐－采购入库</v>
          </cell>
          <cell r="E66" t="str">
            <v>NO:0000753</v>
          </cell>
          <cell r="F66" t="str">
            <v>公司红周转筐</v>
          </cell>
        </row>
        <row r="66">
          <cell r="H66">
            <v>582</v>
          </cell>
          <cell r="I66" t="str">
            <v>个</v>
          </cell>
        </row>
        <row r="66">
          <cell r="K66">
            <v>5820</v>
          </cell>
          <cell r="L66" t="str">
            <v>未付款</v>
          </cell>
          <cell r="M66" t="str">
            <v>NO:2745249</v>
          </cell>
          <cell r="N66" t="str">
            <v>公司红周转筐</v>
          </cell>
        </row>
        <row r="66">
          <cell r="Q66">
            <v>582</v>
          </cell>
          <cell r="R66" t="str">
            <v>豫A*2737K</v>
          </cell>
          <cell r="S66" t="str">
            <v>公司筐</v>
          </cell>
        </row>
        <row r="67">
          <cell r="B67">
            <v>46269</v>
          </cell>
          <cell r="C67" t="str">
            <v>荆建君</v>
          </cell>
          <cell r="D67" t="str">
            <v>周转筐－领用出库</v>
          </cell>
          <cell r="E67" t="str">
            <v>NO:0001079</v>
          </cell>
          <cell r="F67" t="str">
            <v>公司红周转筐</v>
          </cell>
        </row>
        <row r="67">
          <cell r="H67">
            <v>582</v>
          </cell>
          <cell r="I67" t="str">
            <v>个</v>
          </cell>
        </row>
        <row r="67">
          <cell r="N67" t="str">
            <v>公司红周转筐</v>
          </cell>
          <cell r="O67">
            <v>582</v>
          </cell>
        </row>
        <row r="67">
          <cell r="R67" t="str">
            <v>豫A*2737K</v>
          </cell>
          <cell r="S67" t="str">
            <v>公司筐</v>
          </cell>
        </row>
        <row r="68">
          <cell r="B68">
            <v>46270</v>
          </cell>
          <cell r="C68" t="str">
            <v>王浩</v>
          </cell>
          <cell r="D68" t="str">
            <v>周转筐－领用出库</v>
          </cell>
          <cell r="E68" t="str">
            <v>NO:0001086</v>
          </cell>
          <cell r="F68" t="str">
            <v>公司一次性筐</v>
          </cell>
        </row>
        <row r="68">
          <cell r="H68">
            <v>1320</v>
          </cell>
          <cell r="I68" t="str">
            <v>个</v>
          </cell>
        </row>
        <row r="68">
          <cell r="N68" t="str">
            <v>公司一次性筐</v>
          </cell>
          <cell r="O68">
            <v>1320</v>
          </cell>
        </row>
        <row r="68">
          <cell r="R68" t="str">
            <v>新M*79997</v>
          </cell>
          <cell r="S68" t="str">
            <v>公司筐</v>
          </cell>
        </row>
        <row r="69">
          <cell r="B69">
            <v>46271</v>
          </cell>
          <cell r="C69" t="str">
            <v>贾建国</v>
          </cell>
          <cell r="D69" t="str">
            <v>周转筐－领用出库</v>
          </cell>
          <cell r="E69" t="str">
            <v>NO:0001087</v>
          </cell>
          <cell r="F69" t="str">
            <v>公司新周转筐</v>
          </cell>
        </row>
        <row r="69">
          <cell r="H69">
            <v>252</v>
          </cell>
          <cell r="I69" t="str">
            <v>个</v>
          </cell>
        </row>
        <row r="69">
          <cell r="N69" t="str">
            <v>公司新周转筐</v>
          </cell>
          <cell r="O69">
            <v>252</v>
          </cell>
        </row>
        <row r="69">
          <cell r="R69" t="str">
            <v>新N*56508</v>
          </cell>
          <cell r="S69" t="str">
            <v>公司筐</v>
          </cell>
        </row>
        <row r="70">
          <cell r="B70">
            <v>46272</v>
          </cell>
          <cell r="C70" t="str">
            <v>全修塑业</v>
          </cell>
          <cell r="D70" t="str">
            <v>周转筐－采购入库</v>
          </cell>
          <cell r="E70" t="str">
            <v>NO:0000755</v>
          </cell>
          <cell r="F70" t="str">
            <v>公司红周转筐</v>
          </cell>
        </row>
        <row r="70">
          <cell r="H70">
            <v>846</v>
          </cell>
          <cell r="I70" t="str">
            <v>个</v>
          </cell>
        </row>
        <row r="70">
          <cell r="K70">
            <v>8460</v>
          </cell>
          <cell r="L70" t="str">
            <v>未付款</v>
          </cell>
          <cell r="M70" t="str">
            <v>NO:2745250</v>
          </cell>
          <cell r="N70" t="str">
            <v>公司红周转筐</v>
          </cell>
        </row>
        <row r="70">
          <cell r="Q70">
            <v>846</v>
          </cell>
          <cell r="R70" t="str">
            <v>新A*G0554</v>
          </cell>
          <cell r="S70" t="str">
            <v>公司筐</v>
          </cell>
        </row>
        <row r="71">
          <cell r="B71">
            <v>46272</v>
          </cell>
          <cell r="C71" t="str">
            <v>麦麦提</v>
          </cell>
          <cell r="D71" t="str">
            <v>周转筐－领用出库</v>
          </cell>
          <cell r="E71" t="str">
            <v>NO:0001089</v>
          </cell>
          <cell r="F71" t="str">
            <v>公司红周转筐</v>
          </cell>
        </row>
        <row r="71">
          <cell r="H71">
            <v>846</v>
          </cell>
          <cell r="I71" t="str">
            <v>个</v>
          </cell>
        </row>
        <row r="71">
          <cell r="N71" t="str">
            <v>公司红周转筐</v>
          </cell>
          <cell r="O71">
            <v>846</v>
          </cell>
        </row>
        <row r="71">
          <cell r="R71" t="str">
            <v>新A*G0554</v>
          </cell>
          <cell r="S71" t="str">
            <v>公司筐</v>
          </cell>
        </row>
        <row r="72">
          <cell r="B72">
            <v>46272</v>
          </cell>
          <cell r="C72" t="str">
            <v>全修塑业</v>
          </cell>
          <cell r="D72" t="str">
            <v>周转筐－采购入库</v>
          </cell>
          <cell r="E72" t="str">
            <v>NO:0000759</v>
          </cell>
          <cell r="F72" t="str">
            <v>公司红周转筐</v>
          </cell>
        </row>
        <row r="72">
          <cell r="H72">
            <v>846</v>
          </cell>
          <cell r="I72" t="str">
            <v>个</v>
          </cell>
        </row>
        <row r="72">
          <cell r="K72">
            <v>8460</v>
          </cell>
          <cell r="L72" t="str">
            <v>未付款</v>
          </cell>
          <cell r="M72" t="str">
            <v>NO:2745251</v>
          </cell>
          <cell r="N72" t="str">
            <v>公司红周转筐</v>
          </cell>
        </row>
        <row r="72">
          <cell r="Q72">
            <v>846</v>
          </cell>
          <cell r="R72" t="str">
            <v>新A*G0554</v>
          </cell>
          <cell r="S72" t="str">
            <v>公司筐</v>
          </cell>
        </row>
        <row r="73">
          <cell r="B73">
            <v>46272</v>
          </cell>
          <cell r="C73" t="str">
            <v>马锦祥</v>
          </cell>
          <cell r="D73" t="str">
            <v>周转筐－领用出库</v>
          </cell>
          <cell r="E73" t="str">
            <v>NO:0001090</v>
          </cell>
          <cell r="F73" t="str">
            <v>公司杂周转筐</v>
          </cell>
        </row>
        <row r="73">
          <cell r="H73">
            <v>588</v>
          </cell>
          <cell r="I73" t="str">
            <v>个</v>
          </cell>
        </row>
        <row r="73">
          <cell r="N73" t="str">
            <v>公司杂周转筐</v>
          </cell>
          <cell r="O73">
            <v>588</v>
          </cell>
        </row>
        <row r="73">
          <cell r="R73" t="str">
            <v>新N*K7V85</v>
          </cell>
          <cell r="S73" t="str">
            <v>公司筐</v>
          </cell>
        </row>
        <row r="74">
          <cell r="B74">
            <v>46272</v>
          </cell>
          <cell r="C74" t="str">
            <v>贾建国</v>
          </cell>
          <cell r="D74" t="str">
            <v>周转筐－领用出库</v>
          </cell>
          <cell r="E74" t="str">
            <v>NO:0001092</v>
          </cell>
          <cell r="F74" t="str">
            <v>公司新周转筐</v>
          </cell>
        </row>
        <row r="74">
          <cell r="H74">
            <v>759</v>
          </cell>
          <cell r="I74" t="str">
            <v>个</v>
          </cell>
        </row>
        <row r="74">
          <cell r="N74" t="str">
            <v>公司新周转筐</v>
          </cell>
          <cell r="O74">
            <v>759</v>
          </cell>
        </row>
        <row r="74">
          <cell r="R74" t="str">
            <v>豫Q*H5591</v>
          </cell>
          <cell r="S74" t="str">
            <v>公司筐</v>
          </cell>
        </row>
        <row r="75">
          <cell r="B75">
            <v>46272</v>
          </cell>
          <cell r="C75" t="str">
            <v>热合曼</v>
          </cell>
          <cell r="D75" t="str">
            <v>周转筐－领用出库</v>
          </cell>
          <cell r="E75" t="str">
            <v>NO:0001094</v>
          </cell>
          <cell r="F75" t="str">
            <v>公司红周转筐</v>
          </cell>
        </row>
        <row r="75">
          <cell r="H75">
            <v>846</v>
          </cell>
          <cell r="I75" t="str">
            <v>个</v>
          </cell>
        </row>
        <row r="75">
          <cell r="N75" t="str">
            <v>公司红周转筐</v>
          </cell>
          <cell r="O75">
            <v>846</v>
          </cell>
        </row>
        <row r="75">
          <cell r="R75" t="str">
            <v>新A*G0554</v>
          </cell>
          <cell r="S75" t="str">
            <v>公司筐</v>
          </cell>
        </row>
        <row r="76">
          <cell r="B76">
            <v>46273</v>
          </cell>
          <cell r="C76" t="str">
            <v>王照雪</v>
          </cell>
          <cell r="D76" t="str">
            <v>周转筐－退回入库</v>
          </cell>
          <cell r="E76" t="str">
            <v>NO:000761</v>
          </cell>
          <cell r="F76" t="str">
            <v>公司杂周转筐</v>
          </cell>
        </row>
        <row r="76">
          <cell r="H76">
            <v>2</v>
          </cell>
          <cell r="I76" t="str">
            <v>个</v>
          </cell>
        </row>
        <row r="76">
          <cell r="M76" t="str">
            <v>装扎伤退回</v>
          </cell>
          <cell r="N76" t="str">
            <v>公司杂周转筐</v>
          </cell>
        </row>
        <row r="76">
          <cell r="P76">
            <v>2</v>
          </cell>
        </row>
        <row r="76">
          <cell r="S76" t="str">
            <v>公司筐</v>
          </cell>
        </row>
        <row r="77">
          <cell r="B77">
            <v>46274</v>
          </cell>
          <cell r="C77" t="str">
            <v>王照雪</v>
          </cell>
          <cell r="D77" t="str">
            <v>周转筐－领用出库</v>
          </cell>
          <cell r="E77" t="str">
            <v>NO:0001098</v>
          </cell>
          <cell r="F77" t="str">
            <v>公司一次性筐</v>
          </cell>
        </row>
        <row r="77">
          <cell r="H77">
            <v>423</v>
          </cell>
          <cell r="I77" t="str">
            <v>个</v>
          </cell>
        </row>
        <row r="77">
          <cell r="N77" t="str">
            <v>公司一次性筐</v>
          </cell>
          <cell r="O77">
            <v>423</v>
          </cell>
        </row>
        <row r="77">
          <cell r="R77" t="str">
            <v>豫L*88X19</v>
          </cell>
          <cell r="S77" t="str">
            <v>公司筐</v>
          </cell>
        </row>
        <row r="78">
          <cell r="B78">
            <v>46274</v>
          </cell>
          <cell r="C78" t="str">
            <v>吐尔逊</v>
          </cell>
          <cell r="D78" t="str">
            <v>周转筐－领用出库</v>
          </cell>
          <cell r="E78" t="str">
            <v>NO:0001099</v>
          </cell>
          <cell r="F78" t="str">
            <v>公司一次性筐</v>
          </cell>
        </row>
        <row r="78">
          <cell r="H78">
            <v>1008</v>
          </cell>
          <cell r="I78" t="str">
            <v>个</v>
          </cell>
        </row>
        <row r="78">
          <cell r="N78" t="str">
            <v>公司一次性筐</v>
          </cell>
          <cell r="O78">
            <v>1008</v>
          </cell>
        </row>
        <row r="78">
          <cell r="R78" t="str">
            <v>新M*87613</v>
          </cell>
          <cell r="S78" t="str">
            <v>公司筐</v>
          </cell>
        </row>
        <row r="79">
          <cell r="B79">
            <v>46274</v>
          </cell>
          <cell r="C79" t="str">
            <v>全修塑业</v>
          </cell>
          <cell r="D79" t="str">
            <v>周转筐－采购入库</v>
          </cell>
          <cell r="E79" t="str">
            <v>NO:0000763</v>
          </cell>
          <cell r="F79" t="str">
            <v>公司红周转筐</v>
          </cell>
        </row>
        <row r="79">
          <cell r="H79">
            <v>378</v>
          </cell>
          <cell r="I79" t="str">
            <v>个</v>
          </cell>
        </row>
        <row r="79">
          <cell r="K79">
            <v>3780</v>
          </cell>
          <cell r="L79" t="str">
            <v>未付款</v>
          </cell>
          <cell r="M79" t="str">
            <v>NO:2745254</v>
          </cell>
          <cell r="N79" t="str">
            <v>公司红周转筐</v>
          </cell>
        </row>
        <row r="79">
          <cell r="Q79">
            <v>378</v>
          </cell>
          <cell r="R79" t="str">
            <v>新N*X8S48</v>
          </cell>
          <cell r="S79" t="str">
            <v>公司筐</v>
          </cell>
        </row>
        <row r="80">
          <cell r="B80">
            <v>46274</v>
          </cell>
          <cell r="C80" t="str">
            <v>全修塑业</v>
          </cell>
          <cell r="D80" t="str">
            <v>周转筐－采购入库</v>
          </cell>
          <cell r="E80" t="str">
            <v>NO:0000765</v>
          </cell>
          <cell r="F80" t="str">
            <v>公司红周转筐</v>
          </cell>
        </row>
        <row r="80">
          <cell r="H80">
            <v>759</v>
          </cell>
          <cell r="I80" t="str">
            <v>个</v>
          </cell>
        </row>
        <row r="80">
          <cell r="K80">
            <v>7590</v>
          </cell>
          <cell r="L80" t="str">
            <v>未付款</v>
          </cell>
          <cell r="M80" t="str">
            <v>NO:0017201</v>
          </cell>
          <cell r="N80" t="str">
            <v>公司红周转筐</v>
          </cell>
        </row>
        <row r="80">
          <cell r="Q80">
            <v>759</v>
          </cell>
          <cell r="R80" t="str">
            <v>豫A*2737K</v>
          </cell>
          <cell r="S80" t="str">
            <v>公司筐</v>
          </cell>
        </row>
        <row r="81">
          <cell r="B81">
            <v>46274</v>
          </cell>
          <cell r="C81" t="str">
            <v>全修塑业</v>
          </cell>
          <cell r="D81" t="str">
            <v>周转筐－采购入库</v>
          </cell>
          <cell r="E81" t="str">
            <v>NO:0000766</v>
          </cell>
          <cell r="F81" t="str">
            <v>公司红周转筐</v>
          </cell>
        </row>
        <row r="81">
          <cell r="H81">
            <v>846</v>
          </cell>
          <cell r="I81" t="str">
            <v>个</v>
          </cell>
        </row>
        <row r="81">
          <cell r="K81">
            <v>8460</v>
          </cell>
          <cell r="L81" t="str">
            <v>未付款</v>
          </cell>
          <cell r="M81" t="str">
            <v>NO:0017203</v>
          </cell>
          <cell r="N81" t="str">
            <v>公司红周转筐</v>
          </cell>
        </row>
        <row r="81">
          <cell r="Q81">
            <v>846</v>
          </cell>
          <cell r="R81" t="str">
            <v>新A*G0554</v>
          </cell>
          <cell r="S81" t="str">
            <v>公司筐</v>
          </cell>
        </row>
        <row r="82">
          <cell r="B82">
            <v>46274</v>
          </cell>
          <cell r="C82" t="str">
            <v>吐尔洪</v>
          </cell>
          <cell r="D82" t="str">
            <v>周转筐－领用出库</v>
          </cell>
          <cell r="E82" t="str">
            <v>NO:0001102</v>
          </cell>
          <cell r="F82" t="str">
            <v>公司红周转筐</v>
          </cell>
        </row>
        <row r="82">
          <cell r="H82">
            <v>378</v>
          </cell>
          <cell r="I82" t="str">
            <v>个</v>
          </cell>
        </row>
        <row r="82">
          <cell r="N82" t="str">
            <v>公司红周转筐</v>
          </cell>
          <cell r="O82">
            <v>378</v>
          </cell>
        </row>
        <row r="82">
          <cell r="R82" t="str">
            <v>新N*X8S48</v>
          </cell>
          <cell r="S82" t="str">
            <v>公司筐</v>
          </cell>
        </row>
        <row r="83">
          <cell r="B83">
            <v>46274</v>
          </cell>
          <cell r="C83" t="str">
            <v>荆建君</v>
          </cell>
          <cell r="D83" t="str">
            <v>周转筐－领用出库</v>
          </cell>
          <cell r="E83" t="str">
            <v>NO:0001105</v>
          </cell>
          <cell r="F83" t="str">
            <v>公司红周转筐</v>
          </cell>
        </row>
        <row r="83">
          <cell r="H83">
            <v>759</v>
          </cell>
          <cell r="I83" t="str">
            <v>个</v>
          </cell>
        </row>
        <row r="83">
          <cell r="N83" t="str">
            <v>公司红周转筐</v>
          </cell>
          <cell r="O83">
            <v>759</v>
          </cell>
        </row>
        <row r="83">
          <cell r="R83" t="str">
            <v>豫A*2737K</v>
          </cell>
          <cell r="S83" t="str">
            <v>公司筐</v>
          </cell>
        </row>
        <row r="84">
          <cell r="B84">
            <v>46274</v>
          </cell>
          <cell r="C84" t="str">
            <v>麦麦提</v>
          </cell>
          <cell r="D84" t="str">
            <v>周转筐－领用出库</v>
          </cell>
          <cell r="E84" t="str">
            <v>NO:0001106</v>
          </cell>
          <cell r="F84" t="str">
            <v>公司红周转筐</v>
          </cell>
        </row>
        <row r="84">
          <cell r="H84">
            <v>846</v>
          </cell>
          <cell r="I84" t="str">
            <v>个</v>
          </cell>
        </row>
        <row r="84">
          <cell r="N84" t="str">
            <v>公司红周转筐</v>
          </cell>
          <cell r="O84">
            <v>846</v>
          </cell>
        </row>
        <row r="84">
          <cell r="R84" t="str">
            <v>新A*G0554</v>
          </cell>
          <cell r="S84" t="str">
            <v>公司筐</v>
          </cell>
        </row>
        <row r="85">
          <cell r="B85">
            <v>46275</v>
          </cell>
          <cell r="C85" t="str">
            <v>王照雪</v>
          </cell>
          <cell r="D85" t="str">
            <v>周转筐－领用出库</v>
          </cell>
          <cell r="E85" t="str">
            <v>NO:0001107</v>
          </cell>
          <cell r="F85" t="str">
            <v>公司一次性筐</v>
          </cell>
        </row>
        <row r="85">
          <cell r="H85">
            <v>423</v>
          </cell>
          <cell r="I85" t="str">
            <v>个</v>
          </cell>
        </row>
        <row r="85">
          <cell r="N85" t="str">
            <v>公司一次性筐</v>
          </cell>
          <cell r="O85">
            <v>423</v>
          </cell>
        </row>
        <row r="85">
          <cell r="R85" t="str">
            <v>豫L*88X19</v>
          </cell>
          <cell r="S85" t="str">
            <v>公司筐</v>
          </cell>
        </row>
        <row r="86">
          <cell r="B86">
            <v>46275</v>
          </cell>
          <cell r="C86" t="str">
            <v>全修塑业</v>
          </cell>
          <cell r="D86" t="str">
            <v>周转筐－采购入库</v>
          </cell>
          <cell r="E86" t="str">
            <v>NO:0000771</v>
          </cell>
          <cell r="F86" t="str">
            <v>公司红周转筐</v>
          </cell>
        </row>
        <row r="86">
          <cell r="H86">
            <v>960</v>
          </cell>
          <cell r="I86" t="str">
            <v>个</v>
          </cell>
        </row>
        <row r="86">
          <cell r="K86">
            <v>9600</v>
          </cell>
          <cell r="L86" t="str">
            <v>未付款</v>
          </cell>
          <cell r="M86" t="str">
            <v>NO:0017204</v>
          </cell>
          <cell r="N86" t="str">
            <v>公司红周转筐</v>
          </cell>
        </row>
        <row r="86">
          <cell r="Q86">
            <v>960</v>
          </cell>
          <cell r="R86" t="str">
            <v>新N*49209</v>
          </cell>
          <cell r="S86" t="str">
            <v>公司筐</v>
          </cell>
        </row>
        <row r="87">
          <cell r="B87">
            <v>46275</v>
          </cell>
          <cell r="C87" t="str">
            <v>王灵云</v>
          </cell>
          <cell r="D87" t="str">
            <v>周转筐－领用出库</v>
          </cell>
          <cell r="E87" t="str">
            <v>NO:0001108</v>
          </cell>
          <cell r="F87" t="str">
            <v>公司红周转筐</v>
          </cell>
        </row>
        <row r="87">
          <cell r="H87">
            <v>960</v>
          </cell>
          <cell r="I87" t="str">
            <v>个</v>
          </cell>
        </row>
        <row r="87">
          <cell r="N87" t="str">
            <v>公司红周转筐</v>
          </cell>
          <cell r="O87">
            <v>960</v>
          </cell>
        </row>
        <row r="87">
          <cell r="R87" t="str">
            <v>新N*49209</v>
          </cell>
          <cell r="S87" t="str">
            <v>公司筐</v>
          </cell>
        </row>
        <row r="88">
          <cell r="B88">
            <v>46275</v>
          </cell>
          <cell r="C88" t="str">
            <v>全修塑业</v>
          </cell>
          <cell r="D88" t="str">
            <v>周转筐－采购入库</v>
          </cell>
          <cell r="E88" t="str">
            <v>NO:0000774</v>
          </cell>
          <cell r="F88" t="str">
            <v>公司红周转筐</v>
          </cell>
        </row>
        <row r="88">
          <cell r="H88">
            <v>369</v>
          </cell>
          <cell r="I88" t="str">
            <v>个</v>
          </cell>
        </row>
        <row r="88">
          <cell r="K88">
            <v>3690</v>
          </cell>
          <cell r="L88" t="str">
            <v>未付款</v>
          </cell>
          <cell r="M88" t="str">
            <v>NO:0017205</v>
          </cell>
          <cell r="N88" t="str">
            <v>公司红周转筐</v>
          </cell>
        </row>
        <row r="88">
          <cell r="Q88">
            <v>369</v>
          </cell>
          <cell r="R88" t="str">
            <v>新N*X8S48</v>
          </cell>
          <cell r="S88" t="str">
            <v>公司筐</v>
          </cell>
        </row>
        <row r="89">
          <cell r="B89">
            <v>46275</v>
          </cell>
          <cell r="C89" t="str">
            <v>吐尔洪</v>
          </cell>
          <cell r="D89" t="str">
            <v>周转筐－领用出库</v>
          </cell>
          <cell r="E89" t="str">
            <v>NO:0001110</v>
          </cell>
          <cell r="F89" t="str">
            <v>公司红周转筐</v>
          </cell>
        </row>
        <row r="89">
          <cell r="H89">
            <v>369</v>
          </cell>
          <cell r="I89" t="str">
            <v>个</v>
          </cell>
        </row>
        <row r="89">
          <cell r="N89" t="str">
            <v>公司红周转筐</v>
          </cell>
          <cell r="O89">
            <v>369</v>
          </cell>
        </row>
        <row r="89">
          <cell r="R89" t="str">
            <v>新N*X8S48</v>
          </cell>
          <cell r="S89" t="str">
            <v>公司筐</v>
          </cell>
        </row>
        <row r="90">
          <cell r="B90">
            <v>46276</v>
          </cell>
          <cell r="C90" t="str">
            <v>全修塑业</v>
          </cell>
          <cell r="D90" t="str">
            <v>周转筐－采购入库</v>
          </cell>
          <cell r="E90" t="str">
            <v>NO:0000778</v>
          </cell>
          <cell r="F90" t="str">
            <v>公司红周转筐</v>
          </cell>
        </row>
        <row r="90">
          <cell r="H90">
            <v>846</v>
          </cell>
          <cell r="I90" t="str">
            <v>个</v>
          </cell>
        </row>
        <row r="90">
          <cell r="K90">
            <v>8460</v>
          </cell>
          <cell r="L90" t="str">
            <v>未付款</v>
          </cell>
          <cell r="M90" t="str">
            <v>NO:0017207</v>
          </cell>
          <cell r="N90" t="str">
            <v>公司红周转筐</v>
          </cell>
        </row>
        <row r="90">
          <cell r="Q90">
            <v>846</v>
          </cell>
          <cell r="R90" t="str">
            <v>新A*G0554</v>
          </cell>
          <cell r="S90" t="str">
            <v>公司筐</v>
          </cell>
        </row>
        <row r="91">
          <cell r="B91">
            <v>46276</v>
          </cell>
          <cell r="C91" t="str">
            <v>麦麦提</v>
          </cell>
          <cell r="D91" t="str">
            <v>周转筐－领用出库</v>
          </cell>
          <cell r="E91" t="str">
            <v>NO:0001113</v>
          </cell>
          <cell r="F91" t="str">
            <v>公司红周转筐</v>
          </cell>
        </row>
        <row r="91">
          <cell r="H91">
            <v>846</v>
          </cell>
          <cell r="I91" t="str">
            <v>个</v>
          </cell>
        </row>
        <row r="91">
          <cell r="N91" t="str">
            <v>公司红周转筐</v>
          </cell>
          <cell r="O91">
            <v>846</v>
          </cell>
        </row>
        <row r="91">
          <cell r="R91" t="str">
            <v>新A*G0554</v>
          </cell>
          <cell r="S91" t="str">
            <v>公司筐</v>
          </cell>
        </row>
        <row r="92">
          <cell r="B92">
            <v>46276</v>
          </cell>
          <cell r="C92" t="str">
            <v>全修塑业</v>
          </cell>
          <cell r="D92" t="str">
            <v>周转筐－采购入库</v>
          </cell>
          <cell r="E92" t="str">
            <v>NO:0000784</v>
          </cell>
          <cell r="F92" t="str">
            <v>公司红周转筐</v>
          </cell>
        </row>
        <row r="92">
          <cell r="H92">
            <v>936</v>
          </cell>
          <cell r="I92" t="str">
            <v>个</v>
          </cell>
        </row>
        <row r="92">
          <cell r="K92">
            <v>9360</v>
          </cell>
          <cell r="L92" t="str">
            <v>未付款</v>
          </cell>
          <cell r="M92" t="str">
            <v>NO:0017209</v>
          </cell>
          <cell r="N92" t="str">
            <v>公司红周转筐</v>
          </cell>
        </row>
        <row r="92">
          <cell r="Q92">
            <v>936</v>
          </cell>
          <cell r="R92" t="str">
            <v>新F*75240</v>
          </cell>
          <cell r="S92" t="str">
            <v>公司筐</v>
          </cell>
        </row>
        <row r="93">
          <cell r="B93">
            <v>46276</v>
          </cell>
          <cell r="C93" t="str">
            <v>马锦祥</v>
          </cell>
          <cell r="D93" t="str">
            <v>周转筐－领用出库</v>
          </cell>
          <cell r="E93" t="str">
            <v>NO:0001114</v>
          </cell>
          <cell r="F93" t="str">
            <v>公司杂周转筐</v>
          </cell>
        </row>
        <row r="93">
          <cell r="H93">
            <v>588</v>
          </cell>
          <cell r="I93" t="str">
            <v>个</v>
          </cell>
        </row>
        <row r="93">
          <cell r="N93" t="str">
            <v>公司杂周转筐</v>
          </cell>
          <cell r="O93">
            <v>588</v>
          </cell>
        </row>
        <row r="93">
          <cell r="R93" t="str">
            <v>新N*K7V85</v>
          </cell>
          <cell r="S93" t="str">
            <v>公司筐</v>
          </cell>
        </row>
        <row r="94">
          <cell r="B94">
            <v>46276</v>
          </cell>
          <cell r="C94" t="str">
            <v>王照雪</v>
          </cell>
          <cell r="D94" t="str">
            <v>周转筐－领用出库</v>
          </cell>
          <cell r="E94" t="str">
            <v>NO:0001115</v>
          </cell>
          <cell r="F94" t="str">
            <v>公司杂周转筐</v>
          </cell>
        </row>
        <row r="94">
          <cell r="H94">
            <v>213</v>
          </cell>
          <cell r="I94" t="str">
            <v>个</v>
          </cell>
        </row>
        <row r="94">
          <cell r="N94" t="str">
            <v>公司杂周转筐</v>
          </cell>
          <cell r="O94">
            <v>213</v>
          </cell>
        </row>
        <row r="94">
          <cell r="R94" t="str">
            <v>豫L*88X19</v>
          </cell>
          <cell r="S94" t="str">
            <v>公司筐</v>
          </cell>
        </row>
        <row r="95">
          <cell r="B95">
            <v>46276</v>
          </cell>
          <cell r="C95" t="str">
            <v>王照雪</v>
          </cell>
          <cell r="D95" t="str">
            <v>周转筐－领用出库</v>
          </cell>
          <cell r="E95" t="str">
            <v>NO:0001116</v>
          </cell>
          <cell r="F95" t="str">
            <v>公司杂周转筐</v>
          </cell>
        </row>
        <row r="95">
          <cell r="H95">
            <v>423</v>
          </cell>
          <cell r="I95" t="str">
            <v>个</v>
          </cell>
        </row>
        <row r="95">
          <cell r="N95" t="str">
            <v>公司杂周转筐</v>
          </cell>
          <cell r="O95">
            <v>423</v>
          </cell>
        </row>
        <row r="95">
          <cell r="R95" t="str">
            <v>豫L*88X19</v>
          </cell>
          <cell r="S95" t="str">
            <v>公司筐</v>
          </cell>
        </row>
        <row r="96">
          <cell r="B96">
            <v>46276</v>
          </cell>
          <cell r="C96" t="str">
            <v>努尔敦</v>
          </cell>
          <cell r="D96" t="str">
            <v>周转筐－领用出库</v>
          </cell>
          <cell r="E96" t="str">
            <v>NO:0001118</v>
          </cell>
          <cell r="F96" t="str">
            <v>公司红周转筐</v>
          </cell>
        </row>
        <row r="96">
          <cell r="H96">
            <v>936</v>
          </cell>
          <cell r="I96" t="str">
            <v>个</v>
          </cell>
        </row>
        <row r="96">
          <cell r="N96" t="str">
            <v>公司红周转筐</v>
          </cell>
          <cell r="O96">
            <v>936</v>
          </cell>
        </row>
        <row r="96">
          <cell r="R96" t="str">
            <v>新F*75240</v>
          </cell>
          <cell r="S96" t="str">
            <v>公司筐</v>
          </cell>
        </row>
        <row r="97">
          <cell r="B97">
            <v>46276</v>
          </cell>
          <cell r="C97" t="str">
            <v>全修塑业</v>
          </cell>
          <cell r="D97" t="str">
            <v>周转筐－采购入库</v>
          </cell>
          <cell r="E97" t="str">
            <v>NO:0000785</v>
          </cell>
          <cell r="F97" t="str">
            <v>公司红周转筐</v>
          </cell>
        </row>
        <row r="97">
          <cell r="H97">
            <v>846</v>
          </cell>
          <cell r="I97" t="str">
            <v>个</v>
          </cell>
        </row>
        <row r="97">
          <cell r="K97">
            <v>8460</v>
          </cell>
          <cell r="L97" t="str">
            <v>未付款</v>
          </cell>
          <cell r="M97" t="str">
            <v>NO:0017211</v>
          </cell>
          <cell r="N97" t="str">
            <v>公司红周转筐</v>
          </cell>
        </row>
        <row r="97">
          <cell r="Q97">
            <v>846</v>
          </cell>
          <cell r="R97" t="str">
            <v>新A*G0554</v>
          </cell>
          <cell r="S97" t="str">
            <v>公司筐</v>
          </cell>
        </row>
        <row r="98">
          <cell r="B98">
            <v>46276</v>
          </cell>
          <cell r="C98" t="str">
            <v>热合曼</v>
          </cell>
          <cell r="D98" t="str">
            <v>周转筐－领用出库</v>
          </cell>
          <cell r="E98" t="str">
            <v>NO:0001120</v>
          </cell>
          <cell r="F98" t="str">
            <v>公司红周转筐</v>
          </cell>
        </row>
        <row r="98">
          <cell r="H98">
            <v>846</v>
          </cell>
          <cell r="I98" t="str">
            <v>个</v>
          </cell>
        </row>
        <row r="98">
          <cell r="N98" t="str">
            <v>公司红周转筐</v>
          </cell>
          <cell r="O98">
            <v>846</v>
          </cell>
        </row>
        <row r="98">
          <cell r="R98" t="str">
            <v>新A*G0554</v>
          </cell>
          <cell r="S98" t="str">
            <v>公司筐</v>
          </cell>
        </row>
        <row r="99">
          <cell r="B99">
            <v>46276</v>
          </cell>
          <cell r="C99" t="str">
            <v>全修塑业</v>
          </cell>
          <cell r="D99" t="str">
            <v>周转筐－采购入库</v>
          </cell>
          <cell r="E99" t="str">
            <v>NO:0000788</v>
          </cell>
          <cell r="F99" t="str">
            <v>公司红周转筐</v>
          </cell>
        </row>
        <row r="99">
          <cell r="H99">
            <v>378</v>
          </cell>
          <cell r="I99" t="str">
            <v>个</v>
          </cell>
        </row>
        <row r="99">
          <cell r="K99">
            <v>3780</v>
          </cell>
          <cell r="L99" t="str">
            <v>未付款</v>
          </cell>
          <cell r="M99" t="str">
            <v>NO:0017212</v>
          </cell>
          <cell r="N99" t="str">
            <v>公司红周转筐</v>
          </cell>
        </row>
        <row r="99">
          <cell r="Q99">
            <v>378</v>
          </cell>
          <cell r="R99" t="str">
            <v>新N*X8S48</v>
          </cell>
          <cell r="S99" t="str">
            <v>公司筐</v>
          </cell>
        </row>
        <row r="100">
          <cell r="B100">
            <v>46276</v>
          </cell>
          <cell r="C100" t="str">
            <v>吐尔洪</v>
          </cell>
          <cell r="D100" t="str">
            <v>周转筐－领用出库</v>
          </cell>
          <cell r="E100" t="str">
            <v>NO:0001122</v>
          </cell>
          <cell r="F100" t="str">
            <v>公司红周转筐</v>
          </cell>
        </row>
        <row r="100">
          <cell r="H100">
            <v>378</v>
          </cell>
          <cell r="I100" t="str">
            <v>个</v>
          </cell>
        </row>
        <row r="100">
          <cell r="N100" t="str">
            <v>公司红周转筐</v>
          </cell>
          <cell r="O100">
            <v>378</v>
          </cell>
        </row>
        <row r="100">
          <cell r="R100" t="str">
            <v>新N*X8S48</v>
          </cell>
          <cell r="S100" t="str">
            <v>公司筐</v>
          </cell>
        </row>
        <row r="101">
          <cell r="B101">
            <v>46277</v>
          </cell>
          <cell r="C101" t="str">
            <v>王照雪</v>
          </cell>
          <cell r="D101" t="str">
            <v>周转筐－退回入库</v>
          </cell>
          <cell r="E101" t="str">
            <v>NO:0000789</v>
          </cell>
          <cell r="F101" t="str">
            <v>公司一次性筐</v>
          </cell>
        </row>
        <row r="101">
          <cell r="H101">
            <v>1</v>
          </cell>
          <cell r="I101" t="str">
            <v>个</v>
          </cell>
        </row>
        <row r="101">
          <cell r="N101" t="str">
            <v>公司一次性筐</v>
          </cell>
        </row>
        <row r="101">
          <cell r="P101">
            <v>1</v>
          </cell>
        </row>
        <row r="101">
          <cell r="R101" t="str">
            <v>豫L*88X19</v>
          </cell>
          <cell r="S101" t="str">
            <v>公司筐</v>
          </cell>
        </row>
        <row r="102">
          <cell r="B102">
            <v>46277</v>
          </cell>
          <cell r="C102" t="str">
            <v>王照雪</v>
          </cell>
          <cell r="D102" t="str">
            <v>周转筐－退回入库</v>
          </cell>
          <cell r="E102" t="str">
            <v>NO:0000792</v>
          </cell>
          <cell r="F102" t="str">
            <v>公司杂周转筐</v>
          </cell>
        </row>
        <row r="102">
          <cell r="H102">
            <v>45</v>
          </cell>
          <cell r="I102" t="str">
            <v>个</v>
          </cell>
        </row>
        <row r="102">
          <cell r="N102" t="str">
            <v>公司杂周转筐</v>
          </cell>
        </row>
        <row r="102">
          <cell r="P102">
            <v>45</v>
          </cell>
        </row>
        <row r="102">
          <cell r="R102" t="str">
            <v>豫L*88X19</v>
          </cell>
          <cell r="S102" t="str">
            <v>公司筐</v>
          </cell>
        </row>
        <row r="103">
          <cell r="B103">
            <v>46277</v>
          </cell>
          <cell r="C103" t="str">
            <v>全修塑业</v>
          </cell>
          <cell r="D103" t="str">
            <v>周转筐－采购入库</v>
          </cell>
          <cell r="E103" t="str">
            <v>NO:0000795</v>
          </cell>
          <cell r="F103" t="str">
            <v>公司红周转筐</v>
          </cell>
        </row>
        <row r="103">
          <cell r="H103">
            <v>846</v>
          </cell>
          <cell r="I103" t="str">
            <v>个</v>
          </cell>
        </row>
        <row r="103">
          <cell r="K103">
            <v>8460</v>
          </cell>
          <cell r="L103" t="str">
            <v>未付款</v>
          </cell>
          <cell r="M103" t="str">
            <v>NO:0017213</v>
          </cell>
          <cell r="N103" t="str">
            <v>公司红周转筐</v>
          </cell>
        </row>
        <row r="103">
          <cell r="Q103">
            <v>846</v>
          </cell>
          <cell r="R103" t="str">
            <v>新A*G0554</v>
          </cell>
          <cell r="S103" t="str">
            <v>公司筐</v>
          </cell>
        </row>
        <row r="104">
          <cell r="B104">
            <v>46277</v>
          </cell>
          <cell r="C104" t="str">
            <v>麦麦提</v>
          </cell>
          <cell r="D104" t="str">
            <v>周转筐－领用出库</v>
          </cell>
          <cell r="E104" t="str">
            <v>NO:0001125</v>
          </cell>
          <cell r="F104" t="str">
            <v>公司红周转筐</v>
          </cell>
        </row>
        <row r="104">
          <cell r="H104">
            <v>846</v>
          </cell>
          <cell r="I104" t="str">
            <v>个</v>
          </cell>
        </row>
        <row r="104">
          <cell r="N104" t="str">
            <v>公司红周转筐</v>
          </cell>
          <cell r="O104">
            <v>846</v>
          </cell>
        </row>
        <row r="104">
          <cell r="R104" t="str">
            <v>新A*G0555</v>
          </cell>
          <cell r="S104" t="str">
            <v>公司筐</v>
          </cell>
        </row>
        <row r="105">
          <cell r="B105">
            <v>46278</v>
          </cell>
          <cell r="C105" t="str">
            <v>全修塑业</v>
          </cell>
          <cell r="D105" t="str">
            <v>周转筐－采购入库</v>
          </cell>
          <cell r="E105" t="str">
            <v>NO:0000798</v>
          </cell>
          <cell r="F105" t="str">
            <v>公司红周转筐</v>
          </cell>
        </row>
        <row r="105">
          <cell r="H105">
            <v>960</v>
          </cell>
          <cell r="I105" t="str">
            <v>个</v>
          </cell>
        </row>
        <row r="105">
          <cell r="K105">
            <v>9600</v>
          </cell>
          <cell r="L105" t="str">
            <v>未付款</v>
          </cell>
          <cell r="M105" t="str">
            <v>NO:0017215</v>
          </cell>
          <cell r="N105" t="str">
            <v>公司红周转筐</v>
          </cell>
        </row>
        <row r="105">
          <cell r="Q105">
            <v>960</v>
          </cell>
          <cell r="R105" t="str">
            <v>新N*49209</v>
          </cell>
          <cell r="S105" t="str">
            <v>公司筐</v>
          </cell>
        </row>
        <row r="106">
          <cell r="B106">
            <v>46278</v>
          </cell>
          <cell r="C106" t="str">
            <v>王照雪</v>
          </cell>
          <cell r="D106" t="str">
            <v>周转筐－领用出库</v>
          </cell>
          <cell r="E106" t="str">
            <v>NO:0001129</v>
          </cell>
          <cell r="F106" t="str">
            <v>公司杂周转筐</v>
          </cell>
        </row>
        <row r="106">
          <cell r="H106">
            <v>423</v>
          </cell>
          <cell r="I106" t="str">
            <v>个</v>
          </cell>
        </row>
        <row r="106">
          <cell r="N106" t="str">
            <v>公司杂周转筐</v>
          </cell>
          <cell r="O106">
            <v>423</v>
          </cell>
        </row>
        <row r="106">
          <cell r="R106" t="str">
            <v>豫L*88X19</v>
          </cell>
          <cell r="S106" t="str">
            <v>公司筐</v>
          </cell>
        </row>
        <row r="107">
          <cell r="B107">
            <v>46278</v>
          </cell>
          <cell r="C107" t="str">
            <v>王灵云</v>
          </cell>
          <cell r="D107" t="str">
            <v>周转筐－领用出库</v>
          </cell>
          <cell r="E107" t="str">
            <v>NO:0001130</v>
          </cell>
          <cell r="F107" t="str">
            <v>公司红周转筐</v>
          </cell>
        </row>
        <row r="107">
          <cell r="H107">
            <v>960</v>
          </cell>
          <cell r="I107" t="str">
            <v>个</v>
          </cell>
        </row>
        <row r="107">
          <cell r="N107" t="str">
            <v>公司红周转筐</v>
          </cell>
          <cell r="O107">
            <v>960</v>
          </cell>
        </row>
        <row r="107">
          <cell r="R107" t="str">
            <v>新N*49209</v>
          </cell>
          <cell r="S107" t="str">
            <v>公司筐</v>
          </cell>
        </row>
        <row r="108">
          <cell r="B108">
            <v>46278</v>
          </cell>
          <cell r="C108" t="str">
            <v>马锦祥</v>
          </cell>
          <cell r="D108" t="str">
            <v>周转筐－领用出库</v>
          </cell>
          <cell r="E108" t="str">
            <v>NO:0001131</v>
          </cell>
          <cell r="F108" t="str">
            <v>公司杂周转筐</v>
          </cell>
        </row>
        <row r="108">
          <cell r="H108">
            <v>588</v>
          </cell>
          <cell r="I108" t="str">
            <v>个</v>
          </cell>
        </row>
        <row r="108">
          <cell r="N108" t="str">
            <v>公司杂周转筐</v>
          </cell>
          <cell r="O108">
            <v>588</v>
          </cell>
        </row>
        <row r="108">
          <cell r="R108" t="str">
            <v>新N*K7V85</v>
          </cell>
          <cell r="S108" t="str">
            <v>公司筐</v>
          </cell>
        </row>
        <row r="109">
          <cell r="B109">
            <v>46278</v>
          </cell>
          <cell r="C109" t="str">
            <v>全修塑业</v>
          </cell>
          <cell r="D109" t="str">
            <v>周转筐－采购入库</v>
          </cell>
          <cell r="E109" t="str">
            <v>NO:0000853</v>
          </cell>
          <cell r="F109" t="str">
            <v>公司红周转筐</v>
          </cell>
        </row>
        <row r="109">
          <cell r="H109">
            <v>960</v>
          </cell>
          <cell r="I109" t="str">
            <v>个</v>
          </cell>
        </row>
        <row r="109">
          <cell r="K109">
            <v>9600</v>
          </cell>
          <cell r="L109" t="str">
            <v>未付款</v>
          </cell>
          <cell r="M109" t="str">
            <v>NO:0017217</v>
          </cell>
          <cell r="N109" t="str">
            <v>公司红周转筐</v>
          </cell>
        </row>
        <row r="109">
          <cell r="Q109">
            <v>960</v>
          </cell>
          <cell r="R109" t="str">
            <v>新N*49209</v>
          </cell>
          <cell r="S109" t="str">
            <v>公司筐</v>
          </cell>
        </row>
        <row r="110">
          <cell r="B110">
            <v>46278</v>
          </cell>
          <cell r="C110" t="str">
            <v>王灵云</v>
          </cell>
          <cell r="D110" t="str">
            <v>周转筐－领用出库</v>
          </cell>
          <cell r="E110" t="str">
            <v>NO:0001135</v>
          </cell>
          <cell r="F110" t="str">
            <v>公司红周转筐</v>
          </cell>
        </row>
        <row r="110">
          <cell r="H110">
            <v>960</v>
          </cell>
          <cell r="I110" t="str">
            <v>个</v>
          </cell>
        </row>
        <row r="110">
          <cell r="N110" t="str">
            <v>公司红周转筐</v>
          </cell>
          <cell r="O110">
            <v>960</v>
          </cell>
        </row>
        <row r="110">
          <cell r="R110" t="str">
            <v>新N*49209</v>
          </cell>
          <cell r="S110" t="str">
            <v>公司筐</v>
          </cell>
        </row>
        <row r="111">
          <cell r="B111">
            <v>46278</v>
          </cell>
          <cell r="C111" t="str">
            <v>王照雪</v>
          </cell>
          <cell r="D111" t="str">
            <v>周转筐－领用出库</v>
          </cell>
          <cell r="E111" t="str">
            <v>NO:0001137</v>
          </cell>
          <cell r="F111" t="str">
            <v>公司杂周转筐</v>
          </cell>
        </row>
        <row r="111">
          <cell r="H111">
            <v>711</v>
          </cell>
          <cell r="I111" t="str">
            <v>个</v>
          </cell>
        </row>
        <row r="111">
          <cell r="M111" t="str">
            <v>李现东</v>
          </cell>
          <cell r="N111" t="str">
            <v>公司杂周转筐</v>
          </cell>
          <cell r="O111">
            <v>711</v>
          </cell>
        </row>
        <row r="111">
          <cell r="R111" t="str">
            <v>新N*53045</v>
          </cell>
          <cell r="S111" t="str">
            <v>公司筐</v>
          </cell>
        </row>
        <row r="112">
          <cell r="B112">
            <v>46277</v>
          </cell>
          <cell r="C112" t="str">
            <v>王照雪</v>
          </cell>
          <cell r="D112" t="str">
            <v>客户自备筐－拉扎伤果</v>
          </cell>
        </row>
        <row r="112">
          <cell r="F112" t="str">
            <v>自备一次性筐</v>
          </cell>
        </row>
        <row r="112">
          <cell r="H112">
            <v>1012</v>
          </cell>
          <cell r="I112" t="str">
            <v>个</v>
          </cell>
        </row>
        <row r="112">
          <cell r="N112" t="str">
            <v>自备一次性筐</v>
          </cell>
          <cell r="O112">
            <v>12</v>
          </cell>
        </row>
        <row r="112">
          <cell r="Q112">
            <v>1000</v>
          </cell>
        </row>
        <row r="112">
          <cell r="S112" t="str">
            <v>自备筐</v>
          </cell>
        </row>
        <row r="113">
          <cell r="C113" t="str">
            <v>王照雪</v>
          </cell>
          <cell r="D113" t="str">
            <v>次果筐/托盘－领用出库</v>
          </cell>
        </row>
        <row r="113">
          <cell r="F113" t="str">
            <v>公司杂周转筐</v>
          </cell>
        </row>
        <row r="113">
          <cell r="I113" t="str">
            <v>个</v>
          </cell>
        </row>
        <row r="113">
          <cell r="K113">
            <v>0</v>
          </cell>
        </row>
        <row r="113">
          <cell r="N113" t="str">
            <v>公司杂周转筐</v>
          </cell>
        </row>
        <row r="113">
          <cell r="S113" t="str">
            <v>公司筐</v>
          </cell>
        </row>
      </sheetData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库存总结余"/>
      <sheetName val="入库吨位汇总"/>
      <sheetName val="成品出库吨位汇总"/>
      <sheetName val="果然鲜采购明细"/>
      <sheetName val="果然鲜销售明细"/>
      <sheetName val="果然鲜销售汇总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  <sheetName val="库存等级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4">
            <v>46245</v>
          </cell>
          <cell r="C4" t="str">
            <v>聂新平</v>
          </cell>
          <cell r="D4" t="str">
            <v>原料入库</v>
          </cell>
          <cell r="E4" t="str">
            <v>NO0000756</v>
          </cell>
          <cell r="F4" t="str">
            <v>苹果</v>
          </cell>
          <cell r="G4" t="str">
            <v>嘎啦85#</v>
          </cell>
          <cell r="H4">
            <v>35</v>
          </cell>
          <cell r="I4" t="str">
            <v>筐</v>
          </cell>
          <cell r="J4">
            <v>763</v>
          </cell>
        </row>
        <row r="4">
          <cell r="N4" t="str">
            <v>自备一次性筐</v>
          </cell>
        </row>
        <row r="4">
          <cell r="Q4">
            <v>35</v>
          </cell>
          <cell r="R4" t="str">
            <v>苏M*7G796</v>
          </cell>
          <cell r="S4" t="str">
            <v>自备筐</v>
          </cell>
        </row>
        <row r="5">
          <cell r="B5">
            <v>46245</v>
          </cell>
          <cell r="C5" t="str">
            <v>聂新平</v>
          </cell>
          <cell r="D5" t="str">
            <v>原料入库</v>
          </cell>
          <cell r="E5" t="str">
            <v>NO0000756</v>
          </cell>
          <cell r="F5" t="str">
            <v>苹果</v>
          </cell>
          <cell r="G5" t="str">
            <v>嘎啦100#</v>
          </cell>
          <cell r="H5">
            <v>20</v>
          </cell>
          <cell r="I5" t="str">
            <v>筐</v>
          </cell>
          <cell r="J5">
            <v>436</v>
          </cell>
        </row>
        <row r="5">
          <cell r="N5" t="str">
            <v>自备一次性筐</v>
          </cell>
        </row>
        <row r="5">
          <cell r="Q5">
            <v>20</v>
          </cell>
          <cell r="R5" t="str">
            <v>苏M*7G796</v>
          </cell>
          <cell r="S5" t="str">
            <v>自备筐</v>
          </cell>
        </row>
        <row r="6">
          <cell r="B6">
            <v>46246</v>
          </cell>
          <cell r="C6" t="str">
            <v>聂新平</v>
          </cell>
          <cell r="D6" t="str">
            <v>原料入库</v>
          </cell>
          <cell r="E6" t="str">
            <v>NO0000758</v>
          </cell>
          <cell r="F6" t="str">
            <v>苹果</v>
          </cell>
          <cell r="G6" t="str">
            <v>嘎啦85#</v>
          </cell>
          <cell r="H6">
            <v>53</v>
          </cell>
          <cell r="I6" t="str">
            <v>筐</v>
          </cell>
          <cell r="J6">
            <v>1155.4</v>
          </cell>
        </row>
        <row r="6">
          <cell r="N6" t="str">
            <v>自备一次性筐</v>
          </cell>
        </row>
        <row r="6">
          <cell r="Q6">
            <v>53</v>
          </cell>
          <cell r="R6" t="str">
            <v>苏M*7G796</v>
          </cell>
          <cell r="S6" t="str">
            <v>自备筐</v>
          </cell>
        </row>
        <row r="7">
          <cell r="B7">
            <v>46246</v>
          </cell>
          <cell r="C7" t="str">
            <v>聂新平</v>
          </cell>
          <cell r="D7" t="str">
            <v>原料入库</v>
          </cell>
          <cell r="E7" t="str">
            <v>NO0000758</v>
          </cell>
          <cell r="F7" t="str">
            <v>苹果</v>
          </cell>
          <cell r="G7" t="str">
            <v>嘎啦100#</v>
          </cell>
          <cell r="H7">
            <v>7</v>
          </cell>
          <cell r="I7" t="str">
            <v>筐</v>
          </cell>
          <cell r="J7">
            <v>152.6</v>
          </cell>
        </row>
        <row r="7">
          <cell r="N7" t="str">
            <v>自备一次性筐</v>
          </cell>
        </row>
        <row r="7">
          <cell r="Q7">
            <v>7</v>
          </cell>
          <cell r="R7" t="str">
            <v>苏M*7G796</v>
          </cell>
          <cell r="S7" t="str">
            <v>自备筐</v>
          </cell>
        </row>
        <row r="8">
          <cell r="B8">
            <v>46246</v>
          </cell>
          <cell r="C8" t="str">
            <v>聂新平</v>
          </cell>
          <cell r="D8" t="str">
            <v>原料入库</v>
          </cell>
          <cell r="E8" t="str">
            <v>NO0000759</v>
          </cell>
          <cell r="F8" t="str">
            <v>苹果</v>
          </cell>
          <cell r="G8" t="str">
            <v>嘎啦85#</v>
          </cell>
          <cell r="H8">
            <v>20</v>
          </cell>
          <cell r="I8" t="str">
            <v>筐</v>
          </cell>
          <cell r="J8">
            <v>436</v>
          </cell>
        </row>
        <row r="8">
          <cell r="N8" t="str">
            <v>自备一次性筐</v>
          </cell>
        </row>
        <row r="8">
          <cell r="Q8">
            <v>20</v>
          </cell>
          <cell r="R8" t="str">
            <v>苏M*7G796</v>
          </cell>
          <cell r="S8" t="str">
            <v>自备筐</v>
          </cell>
        </row>
        <row r="9">
          <cell r="B9">
            <v>46246</v>
          </cell>
          <cell r="C9" t="str">
            <v>聂新平</v>
          </cell>
          <cell r="D9" t="str">
            <v>原料入库</v>
          </cell>
          <cell r="E9" t="str">
            <v>NO0000759</v>
          </cell>
          <cell r="F9" t="str">
            <v>苹果</v>
          </cell>
          <cell r="G9" t="str">
            <v>嘎啦100#</v>
          </cell>
          <cell r="H9">
            <v>28</v>
          </cell>
          <cell r="I9" t="str">
            <v>筐</v>
          </cell>
          <cell r="J9">
            <v>610.4</v>
          </cell>
        </row>
        <row r="9">
          <cell r="N9" t="str">
            <v>自备一次性筐</v>
          </cell>
        </row>
        <row r="9">
          <cell r="Q9">
            <v>28</v>
          </cell>
          <cell r="R9" t="str">
            <v>苏M*7G796</v>
          </cell>
          <cell r="S9" t="str">
            <v>自备筐</v>
          </cell>
        </row>
        <row r="10">
          <cell r="B10">
            <v>46246</v>
          </cell>
          <cell r="C10" t="str">
            <v>聂新平</v>
          </cell>
          <cell r="D10" t="str">
            <v>原料入库</v>
          </cell>
          <cell r="E10" t="str">
            <v>NO0000760</v>
          </cell>
          <cell r="F10" t="str">
            <v>苹果</v>
          </cell>
          <cell r="G10" t="str">
            <v>嘎啦85#</v>
          </cell>
          <cell r="H10">
            <v>19</v>
          </cell>
          <cell r="I10" t="str">
            <v>筐</v>
          </cell>
          <cell r="J10">
            <v>414.2</v>
          </cell>
        </row>
        <row r="10">
          <cell r="N10" t="str">
            <v>自备一次性筐</v>
          </cell>
        </row>
        <row r="10">
          <cell r="Q10">
            <v>19</v>
          </cell>
          <cell r="R10" t="str">
            <v>苏M*7G796</v>
          </cell>
          <cell r="S10" t="str">
            <v>自备筐</v>
          </cell>
        </row>
        <row r="11">
          <cell r="B11">
            <v>46246</v>
          </cell>
          <cell r="C11" t="str">
            <v>聂新平</v>
          </cell>
          <cell r="D11" t="str">
            <v>原料入库</v>
          </cell>
          <cell r="E11" t="str">
            <v>NO0000760</v>
          </cell>
          <cell r="F11" t="str">
            <v>苹果</v>
          </cell>
          <cell r="G11" t="str">
            <v>嘎啦100#</v>
          </cell>
          <cell r="H11">
            <v>14</v>
          </cell>
          <cell r="I11" t="str">
            <v>筐</v>
          </cell>
          <cell r="J11">
            <v>305.2</v>
          </cell>
        </row>
        <row r="11">
          <cell r="N11" t="str">
            <v>自备一次性筐</v>
          </cell>
        </row>
        <row r="11">
          <cell r="Q11">
            <v>14</v>
          </cell>
          <cell r="R11" t="str">
            <v>苏M*7G796</v>
          </cell>
          <cell r="S11" t="str">
            <v>自备筐</v>
          </cell>
        </row>
        <row r="12">
          <cell r="B12">
            <v>46247</v>
          </cell>
          <cell r="C12" t="str">
            <v>聂新平</v>
          </cell>
          <cell r="D12" t="str">
            <v>原料入库</v>
          </cell>
          <cell r="E12" t="str">
            <v>NO0000761</v>
          </cell>
          <cell r="F12" t="str">
            <v>苹果</v>
          </cell>
          <cell r="G12" t="str">
            <v>嘎啦85#</v>
          </cell>
          <cell r="H12">
            <v>17</v>
          </cell>
          <cell r="I12" t="str">
            <v>筐</v>
          </cell>
          <cell r="J12">
            <v>370.6</v>
          </cell>
        </row>
        <row r="12">
          <cell r="N12" t="str">
            <v>自备一次性筐</v>
          </cell>
        </row>
        <row r="12">
          <cell r="Q12">
            <v>17</v>
          </cell>
          <cell r="R12" t="str">
            <v>苏M*7G796</v>
          </cell>
          <cell r="S12" t="str">
            <v>自备筐</v>
          </cell>
        </row>
        <row r="13">
          <cell r="B13">
            <v>46247</v>
          </cell>
          <cell r="C13" t="str">
            <v>聂新平</v>
          </cell>
          <cell r="D13" t="str">
            <v>原料入库</v>
          </cell>
          <cell r="E13" t="str">
            <v>NO0000761</v>
          </cell>
          <cell r="F13" t="str">
            <v>苹果</v>
          </cell>
          <cell r="G13" t="str">
            <v>嘎啦100#</v>
          </cell>
          <cell r="H13">
            <v>43</v>
          </cell>
          <cell r="I13" t="str">
            <v>筐</v>
          </cell>
          <cell r="J13">
            <v>937.4</v>
          </cell>
        </row>
        <row r="13">
          <cell r="N13" t="str">
            <v>自备一次性筐</v>
          </cell>
        </row>
        <row r="13">
          <cell r="Q13">
            <v>43</v>
          </cell>
          <cell r="R13" t="str">
            <v>苏M*7G796</v>
          </cell>
          <cell r="S13" t="str">
            <v>自备筐</v>
          </cell>
        </row>
        <row r="14">
          <cell r="B14">
            <v>46247</v>
          </cell>
          <cell r="C14" t="str">
            <v>聂新平</v>
          </cell>
          <cell r="D14" t="str">
            <v>原料入库</v>
          </cell>
          <cell r="E14" t="str">
            <v>NO0000762</v>
          </cell>
          <cell r="F14" t="str">
            <v>苹果</v>
          </cell>
          <cell r="G14" t="str">
            <v>嘎啦85#</v>
          </cell>
          <cell r="H14">
            <v>20</v>
          </cell>
          <cell r="I14" t="str">
            <v>筐</v>
          </cell>
          <cell r="J14">
            <v>436</v>
          </cell>
        </row>
        <row r="14">
          <cell r="N14" t="str">
            <v>自备一次性筐</v>
          </cell>
        </row>
        <row r="14">
          <cell r="Q14">
            <v>20</v>
          </cell>
          <cell r="R14" t="str">
            <v>苏M*7G796</v>
          </cell>
          <cell r="S14" t="str">
            <v>自备筐</v>
          </cell>
        </row>
        <row r="15">
          <cell r="B15">
            <v>46247</v>
          </cell>
          <cell r="C15" t="str">
            <v>聂新平</v>
          </cell>
          <cell r="D15" t="str">
            <v>原料入库</v>
          </cell>
          <cell r="E15" t="str">
            <v>NO0000762</v>
          </cell>
          <cell r="F15" t="str">
            <v>苹果</v>
          </cell>
          <cell r="G15" t="str">
            <v>嘎啦100#</v>
          </cell>
          <cell r="H15">
            <v>31</v>
          </cell>
          <cell r="I15" t="str">
            <v>筐</v>
          </cell>
          <cell r="J15">
            <v>675.8</v>
          </cell>
        </row>
        <row r="15">
          <cell r="N15" t="str">
            <v>自备一次性筐</v>
          </cell>
        </row>
        <row r="15">
          <cell r="Q15">
            <v>31</v>
          </cell>
          <cell r="R15" t="str">
            <v>苏M*7G796</v>
          </cell>
          <cell r="S15" t="str">
            <v>自备筐</v>
          </cell>
        </row>
        <row r="16">
          <cell r="B16">
            <v>46247</v>
          </cell>
          <cell r="C16" t="str">
            <v>聂新平</v>
          </cell>
          <cell r="D16" t="str">
            <v>原料入库</v>
          </cell>
          <cell r="E16" t="str">
            <v>NO0000764</v>
          </cell>
          <cell r="F16" t="str">
            <v>苹果</v>
          </cell>
          <cell r="G16" t="str">
            <v>嘎啦85#</v>
          </cell>
          <cell r="H16">
            <v>10</v>
          </cell>
          <cell r="I16" t="str">
            <v>筐</v>
          </cell>
          <cell r="J16">
            <v>218</v>
          </cell>
        </row>
        <row r="16">
          <cell r="N16" t="str">
            <v>自备一次性筐</v>
          </cell>
        </row>
        <row r="16">
          <cell r="Q16">
            <v>10</v>
          </cell>
          <cell r="R16" t="str">
            <v>苏M*7G796</v>
          </cell>
          <cell r="S16" t="str">
            <v>自备筐</v>
          </cell>
        </row>
        <row r="17">
          <cell r="B17">
            <v>46247</v>
          </cell>
          <cell r="C17" t="str">
            <v>聂新平</v>
          </cell>
          <cell r="D17" t="str">
            <v>原料入库</v>
          </cell>
          <cell r="E17" t="str">
            <v>NO0000764</v>
          </cell>
          <cell r="F17" t="str">
            <v>苹果</v>
          </cell>
          <cell r="G17" t="str">
            <v>嘎啦100#</v>
          </cell>
          <cell r="H17">
            <v>7</v>
          </cell>
          <cell r="I17" t="str">
            <v>筐</v>
          </cell>
          <cell r="J17">
            <v>152.6</v>
          </cell>
        </row>
        <row r="17">
          <cell r="N17" t="str">
            <v>自备一次性筐</v>
          </cell>
        </row>
        <row r="17">
          <cell r="Q17">
            <v>7</v>
          </cell>
          <cell r="R17" t="str">
            <v>苏M*7G796</v>
          </cell>
          <cell r="S17" t="str">
            <v>自备筐</v>
          </cell>
        </row>
        <row r="18">
          <cell r="B18">
            <v>46247</v>
          </cell>
          <cell r="C18" t="str">
            <v>王照雪</v>
          </cell>
          <cell r="D18" t="str">
            <v>原料入库</v>
          </cell>
          <cell r="E18" t="str">
            <v>NO0000765</v>
          </cell>
          <cell r="F18" t="str">
            <v>苹果</v>
          </cell>
          <cell r="G18" t="str">
            <v>华硕一级</v>
          </cell>
          <cell r="H18">
            <v>187</v>
          </cell>
          <cell r="I18" t="str">
            <v>筐</v>
          </cell>
          <cell r="J18">
            <v>3235.1</v>
          </cell>
        </row>
        <row r="18">
          <cell r="N18" t="str">
            <v>公司杂周转筐</v>
          </cell>
        </row>
        <row r="18">
          <cell r="Q18">
            <v>187</v>
          </cell>
          <cell r="R18" t="str">
            <v>豫L*88X19</v>
          </cell>
          <cell r="S18" t="str">
            <v>公司筐</v>
          </cell>
        </row>
        <row r="19">
          <cell r="B19">
            <v>46247</v>
          </cell>
          <cell r="C19" t="str">
            <v>王照雪</v>
          </cell>
          <cell r="D19" t="str">
            <v>原料入库</v>
          </cell>
          <cell r="E19" t="str">
            <v>NO0000765</v>
          </cell>
          <cell r="F19" t="str">
            <v>苹果</v>
          </cell>
          <cell r="G19" t="str">
            <v>华硕二级</v>
          </cell>
          <cell r="H19">
            <v>49</v>
          </cell>
          <cell r="I19" t="str">
            <v>筐</v>
          </cell>
          <cell r="J19">
            <v>798.7</v>
          </cell>
        </row>
        <row r="19">
          <cell r="N19" t="str">
            <v>公司杂周转筐</v>
          </cell>
        </row>
        <row r="19">
          <cell r="Q19">
            <v>49</v>
          </cell>
          <cell r="R19" t="str">
            <v>豫L*88X19</v>
          </cell>
          <cell r="S19" t="str">
            <v>公司筐</v>
          </cell>
        </row>
        <row r="20">
          <cell r="B20">
            <v>46247</v>
          </cell>
          <cell r="C20" t="str">
            <v>王照雪</v>
          </cell>
          <cell r="D20" t="str">
            <v>原料入库</v>
          </cell>
          <cell r="E20" t="str">
            <v>NO0000765</v>
          </cell>
          <cell r="F20" t="str">
            <v>苹果</v>
          </cell>
          <cell r="G20" t="str">
            <v>华硕高次</v>
          </cell>
          <cell r="H20">
            <v>11</v>
          </cell>
          <cell r="I20" t="str">
            <v>筐</v>
          </cell>
          <cell r="J20">
            <v>190.3</v>
          </cell>
        </row>
        <row r="20">
          <cell r="N20" t="str">
            <v>公司杂周转筐</v>
          </cell>
        </row>
        <row r="20">
          <cell r="Q20">
            <v>11</v>
          </cell>
          <cell r="R20" t="str">
            <v>豫L*88X19</v>
          </cell>
          <cell r="S20" t="str">
            <v>公司筐</v>
          </cell>
        </row>
        <row r="21">
          <cell r="B21">
            <v>46248</v>
          </cell>
          <cell r="C21" t="str">
            <v>聂新平</v>
          </cell>
          <cell r="D21" t="str">
            <v>原料入库</v>
          </cell>
          <cell r="E21" t="str">
            <v>NO0000766</v>
          </cell>
          <cell r="F21" t="str">
            <v>苹果</v>
          </cell>
          <cell r="G21" t="str">
            <v>嘎啦85#</v>
          </cell>
          <cell r="H21">
            <v>40</v>
          </cell>
          <cell r="I21" t="str">
            <v>筐</v>
          </cell>
          <cell r="J21">
            <v>872</v>
          </cell>
        </row>
        <row r="21">
          <cell r="N21" t="str">
            <v>自备一次性筐</v>
          </cell>
        </row>
        <row r="21">
          <cell r="Q21">
            <v>40</v>
          </cell>
          <cell r="R21" t="str">
            <v>苏M*7G796</v>
          </cell>
          <cell r="S21" t="str">
            <v>自备筐</v>
          </cell>
        </row>
        <row r="22">
          <cell r="B22">
            <v>46248</v>
          </cell>
          <cell r="C22" t="str">
            <v>聂新平</v>
          </cell>
          <cell r="D22" t="str">
            <v>原料入库</v>
          </cell>
          <cell r="E22" t="str">
            <v>NO0000766</v>
          </cell>
          <cell r="F22" t="str">
            <v>苹果</v>
          </cell>
          <cell r="G22" t="str">
            <v>嘎啦100#</v>
          </cell>
          <cell r="H22">
            <v>74</v>
          </cell>
          <cell r="I22" t="str">
            <v>筐</v>
          </cell>
          <cell r="J22">
            <v>1613.2</v>
          </cell>
        </row>
        <row r="22">
          <cell r="N22" t="str">
            <v>自备一次性筐</v>
          </cell>
        </row>
        <row r="22">
          <cell r="Q22">
            <v>74</v>
          </cell>
          <cell r="R22" t="str">
            <v>苏M*7G796</v>
          </cell>
          <cell r="S22" t="str">
            <v>自备筐</v>
          </cell>
        </row>
        <row r="23">
          <cell r="B23">
            <v>46248</v>
          </cell>
          <cell r="C23" t="str">
            <v>伍元虎</v>
          </cell>
          <cell r="D23" t="str">
            <v>原料入库</v>
          </cell>
          <cell r="E23" t="str">
            <v>NO0000767</v>
          </cell>
          <cell r="F23" t="str">
            <v>苹果</v>
          </cell>
          <cell r="G23" t="str">
            <v>海棠果</v>
          </cell>
          <cell r="H23">
            <v>24</v>
          </cell>
          <cell r="I23" t="str">
            <v>筐</v>
          </cell>
          <cell r="J23">
            <v>540</v>
          </cell>
        </row>
        <row r="23">
          <cell r="N23" t="str">
            <v>自备一次性筐</v>
          </cell>
        </row>
        <row r="23">
          <cell r="Q23">
            <v>24</v>
          </cell>
          <cell r="R23" t="str">
            <v>三轮车</v>
          </cell>
          <cell r="S23" t="str">
            <v>自备筐</v>
          </cell>
        </row>
        <row r="24">
          <cell r="B24">
            <v>46248</v>
          </cell>
          <cell r="C24" t="str">
            <v>王照雪</v>
          </cell>
          <cell r="D24" t="str">
            <v>原料入库</v>
          </cell>
          <cell r="E24" t="str">
            <v>NO0000768</v>
          </cell>
          <cell r="F24" t="str">
            <v>李子</v>
          </cell>
          <cell r="G24" t="str">
            <v>樱桃李</v>
          </cell>
          <cell r="H24">
            <v>317</v>
          </cell>
          <cell r="I24" t="str">
            <v>筐</v>
          </cell>
          <cell r="J24">
            <v>5167.1</v>
          </cell>
        </row>
        <row r="24">
          <cell r="N24" t="str">
            <v>自备一次性筐</v>
          </cell>
        </row>
        <row r="24">
          <cell r="Q24">
            <v>317</v>
          </cell>
          <cell r="R24" t="str">
            <v>豫L*88X19</v>
          </cell>
          <cell r="S24" t="str">
            <v>自备筐</v>
          </cell>
        </row>
        <row r="25">
          <cell r="B25">
            <v>46249</v>
          </cell>
          <cell r="C25" t="str">
            <v>伍元虎</v>
          </cell>
          <cell r="D25" t="str">
            <v>原料入库</v>
          </cell>
          <cell r="E25" t="str">
            <v>NO0000769</v>
          </cell>
          <cell r="F25" t="str">
            <v>苹果</v>
          </cell>
          <cell r="G25" t="str">
            <v>海棠果</v>
          </cell>
          <cell r="H25">
            <v>34</v>
          </cell>
          <cell r="I25" t="str">
            <v>筐</v>
          </cell>
          <cell r="J25">
            <v>765</v>
          </cell>
        </row>
        <row r="25">
          <cell r="N25" t="str">
            <v>自备一次性筐</v>
          </cell>
        </row>
        <row r="25">
          <cell r="Q25">
            <v>34</v>
          </cell>
          <cell r="R25" t="str">
            <v>三轮车</v>
          </cell>
          <cell r="S25" t="str">
            <v>自备筐</v>
          </cell>
        </row>
        <row r="26">
          <cell r="B26">
            <v>46249</v>
          </cell>
          <cell r="C26" t="str">
            <v>聂新平</v>
          </cell>
          <cell r="D26" t="str">
            <v>原料入库</v>
          </cell>
          <cell r="E26" t="str">
            <v>NO0000770</v>
          </cell>
          <cell r="F26" t="str">
            <v>苹果</v>
          </cell>
          <cell r="G26" t="str">
            <v>嘎啦85#</v>
          </cell>
          <cell r="H26">
            <v>34</v>
          </cell>
          <cell r="I26" t="str">
            <v>筐</v>
          </cell>
          <cell r="J26">
            <v>741.2</v>
          </cell>
        </row>
        <row r="26">
          <cell r="N26" t="str">
            <v>自备一次性筐</v>
          </cell>
        </row>
        <row r="26">
          <cell r="Q26">
            <v>34</v>
          </cell>
          <cell r="R26" t="str">
            <v>苏M*7G796</v>
          </cell>
          <cell r="S26" t="str">
            <v>自备筐</v>
          </cell>
        </row>
        <row r="27">
          <cell r="B27">
            <v>46249</v>
          </cell>
          <cell r="C27" t="str">
            <v>聂新平</v>
          </cell>
          <cell r="D27" t="str">
            <v>原料入库</v>
          </cell>
          <cell r="E27" t="str">
            <v>NO0000770</v>
          </cell>
          <cell r="F27" t="str">
            <v>苹果</v>
          </cell>
          <cell r="G27" t="str">
            <v>嘎啦100#</v>
          </cell>
          <cell r="H27">
            <v>64</v>
          </cell>
          <cell r="I27" t="str">
            <v>筐</v>
          </cell>
          <cell r="J27">
            <v>1395.2</v>
          </cell>
        </row>
        <row r="27">
          <cell r="N27" t="str">
            <v>自备一次性筐</v>
          </cell>
        </row>
        <row r="27">
          <cell r="Q27">
            <v>64</v>
          </cell>
          <cell r="R27" t="str">
            <v>苏M*7G796</v>
          </cell>
          <cell r="S27" t="str">
            <v>自备筐</v>
          </cell>
        </row>
        <row r="28">
          <cell r="B28">
            <v>46249</v>
          </cell>
          <cell r="C28" t="str">
            <v>王照雪</v>
          </cell>
          <cell r="D28" t="str">
            <v>原料入库</v>
          </cell>
          <cell r="E28" t="str">
            <v>NO0000771</v>
          </cell>
          <cell r="F28" t="str">
            <v>李子</v>
          </cell>
          <cell r="G28" t="str">
            <v>樱桃李</v>
          </cell>
          <cell r="H28">
            <v>105</v>
          </cell>
          <cell r="I28" t="str">
            <v>筐</v>
          </cell>
          <cell r="J28">
            <v>1711.5</v>
          </cell>
        </row>
        <row r="28">
          <cell r="N28" t="str">
            <v>自备一次性筐</v>
          </cell>
        </row>
        <row r="28">
          <cell r="Q28">
            <v>105</v>
          </cell>
          <cell r="R28" t="str">
            <v>豫L*88X19</v>
          </cell>
          <cell r="S28" t="str">
            <v>自备筐</v>
          </cell>
        </row>
        <row r="29">
          <cell r="B29">
            <v>46250</v>
          </cell>
          <cell r="C29" t="str">
            <v>聂新平</v>
          </cell>
          <cell r="D29" t="str">
            <v>原料入库</v>
          </cell>
          <cell r="E29" t="str">
            <v>NO0000772</v>
          </cell>
          <cell r="F29" t="str">
            <v>苹果</v>
          </cell>
          <cell r="G29" t="str">
            <v>嘎啦85#</v>
          </cell>
          <cell r="H29">
            <v>10</v>
          </cell>
          <cell r="I29" t="str">
            <v>筐</v>
          </cell>
          <cell r="J29">
            <v>218</v>
          </cell>
        </row>
        <row r="29">
          <cell r="N29" t="str">
            <v>自备一次性筐</v>
          </cell>
        </row>
        <row r="29">
          <cell r="Q29">
            <v>10</v>
          </cell>
          <cell r="R29" t="str">
            <v>苏M*7G796</v>
          </cell>
          <cell r="S29" t="str">
            <v>自备筐</v>
          </cell>
        </row>
        <row r="30">
          <cell r="B30">
            <v>46250</v>
          </cell>
          <cell r="C30" t="str">
            <v>聂新平</v>
          </cell>
          <cell r="D30" t="str">
            <v>原料入库</v>
          </cell>
          <cell r="E30" t="str">
            <v>NO0000772</v>
          </cell>
          <cell r="F30" t="str">
            <v>苹果</v>
          </cell>
          <cell r="G30" t="str">
            <v>嘎啦100#</v>
          </cell>
          <cell r="H30">
            <v>28</v>
          </cell>
          <cell r="I30" t="str">
            <v>筐</v>
          </cell>
          <cell r="J30">
            <v>610.4</v>
          </cell>
        </row>
        <row r="30">
          <cell r="N30" t="str">
            <v>自备一次性筐</v>
          </cell>
        </row>
        <row r="30">
          <cell r="Q30">
            <v>28</v>
          </cell>
          <cell r="R30" t="str">
            <v>苏M*7G796</v>
          </cell>
          <cell r="S30" t="str">
            <v>自备筐</v>
          </cell>
        </row>
        <row r="31">
          <cell r="B31">
            <v>46251</v>
          </cell>
          <cell r="C31" t="str">
            <v>伍元虎</v>
          </cell>
          <cell r="D31" t="str">
            <v>原料入库</v>
          </cell>
          <cell r="E31" t="str">
            <v>NO0000773</v>
          </cell>
          <cell r="F31" t="str">
            <v>苹果</v>
          </cell>
          <cell r="G31" t="str">
            <v>海棠果</v>
          </cell>
          <cell r="H31">
            <v>29</v>
          </cell>
          <cell r="I31" t="str">
            <v>筐</v>
          </cell>
          <cell r="J31">
            <v>652.5</v>
          </cell>
        </row>
        <row r="31">
          <cell r="N31" t="str">
            <v>自备一次性筐</v>
          </cell>
        </row>
        <row r="31">
          <cell r="Q31">
            <v>29</v>
          </cell>
          <cell r="R31" t="str">
            <v>三轮车</v>
          </cell>
          <cell r="S31" t="str">
            <v>自备筐</v>
          </cell>
        </row>
        <row r="32">
          <cell r="B32">
            <v>46252</v>
          </cell>
          <cell r="C32" t="str">
            <v>聂新平</v>
          </cell>
          <cell r="D32" t="str">
            <v>原料入库</v>
          </cell>
          <cell r="E32" t="str">
            <v>NO0000774</v>
          </cell>
          <cell r="F32" t="str">
            <v>苹果</v>
          </cell>
          <cell r="G32" t="str">
            <v>嘎啦85#</v>
          </cell>
          <cell r="H32">
            <v>1</v>
          </cell>
          <cell r="I32" t="str">
            <v>筐</v>
          </cell>
          <cell r="J32">
            <v>21.8</v>
          </cell>
        </row>
        <row r="32">
          <cell r="N32" t="str">
            <v>自备一次性筐</v>
          </cell>
        </row>
        <row r="32">
          <cell r="Q32">
            <v>1</v>
          </cell>
          <cell r="R32" t="str">
            <v>苏M*7G796</v>
          </cell>
          <cell r="S32" t="str">
            <v>自备筐</v>
          </cell>
        </row>
        <row r="33">
          <cell r="B33">
            <v>46252</v>
          </cell>
          <cell r="C33" t="str">
            <v>聂新平</v>
          </cell>
          <cell r="D33" t="str">
            <v>原料入库</v>
          </cell>
          <cell r="E33" t="str">
            <v>NO0000774</v>
          </cell>
          <cell r="F33" t="str">
            <v>苹果</v>
          </cell>
          <cell r="G33" t="str">
            <v>嘎啦100#</v>
          </cell>
          <cell r="H33">
            <v>11</v>
          </cell>
          <cell r="I33" t="str">
            <v>筐</v>
          </cell>
          <cell r="J33">
            <v>239.8</v>
          </cell>
        </row>
        <row r="33">
          <cell r="N33" t="str">
            <v>自备一次性筐</v>
          </cell>
        </row>
        <row r="33">
          <cell r="Q33">
            <v>11</v>
          </cell>
          <cell r="R33" t="str">
            <v>苏M*7G796</v>
          </cell>
          <cell r="S33" t="str">
            <v>自备筐</v>
          </cell>
        </row>
        <row r="34">
          <cell r="B34">
            <v>46253</v>
          </cell>
          <cell r="C34" t="str">
            <v>聂新平</v>
          </cell>
          <cell r="D34" t="str">
            <v>原料入库</v>
          </cell>
          <cell r="E34" t="str">
            <v>NO0000702</v>
          </cell>
          <cell r="F34" t="str">
            <v>苹果</v>
          </cell>
          <cell r="G34" t="str">
            <v>嘎啦85#</v>
          </cell>
          <cell r="H34">
            <v>8</v>
          </cell>
          <cell r="I34" t="str">
            <v>筐</v>
          </cell>
          <cell r="J34">
            <v>174.4</v>
          </cell>
        </row>
        <row r="34">
          <cell r="N34" t="str">
            <v>自备一次性筐</v>
          </cell>
        </row>
        <row r="34">
          <cell r="Q34">
            <v>8</v>
          </cell>
          <cell r="R34" t="str">
            <v>苏M*7G796</v>
          </cell>
          <cell r="S34" t="str">
            <v>自备筐</v>
          </cell>
        </row>
        <row r="35">
          <cell r="B35">
            <v>46253</v>
          </cell>
          <cell r="C35" t="str">
            <v>聂新平</v>
          </cell>
          <cell r="D35" t="str">
            <v>原料入库</v>
          </cell>
          <cell r="E35" t="str">
            <v>NO0000702</v>
          </cell>
          <cell r="F35" t="str">
            <v>苹果</v>
          </cell>
          <cell r="G35" t="str">
            <v>嘎啦100#</v>
          </cell>
          <cell r="H35">
            <v>16</v>
          </cell>
          <cell r="I35" t="str">
            <v>筐</v>
          </cell>
          <cell r="J35">
            <v>348.8</v>
          </cell>
        </row>
        <row r="35">
          <cell r="N35" t="str">
            <v>自备一次性筐</v>
          </cell>
        </row>
        <row r="35">
          <cell r="Q35">
            <v>16</v>
          </cell>
          <cell r="R35" t="str">
            <v>苏M*7G796</v>
          </cell>
          <cell r="S35" t="str">
            <v>自备筐</v>
          </cell>
        </row>
        <row r="36">
          <cell r="B36">
            <v>46254</v>
          </cell>
          <cell r="C36" t="str">
            <v>聂新平</v>
          </cell>
          <cell r="D36" t="str">
            <v>原料入库</v>
          </cell>
          <cell r="E36" t="str">
            <v>NO0000708</v>
          </cell>
          <cell r="F36" t="str">
            <v>苹果</v>
          </cell>
          <cell r="G36" t="str">
            <v>嘎啦85#</v>
          </cell>
          <cell r="H36">
            <v>9</v>
          </cell>
          <cell r="I36" t="str">
            <v>筐</v>
          </cell>
          <cell r="J36">
            <v>196.2</v>
          </cell>
        </row>
        <row r="36">
          <cell r="N36" t="str">
            <v>自备一次性筐</v>
          </cell>
        </row>
        <row r="36">
          <cell r="Q36">
            <v>9</v>
          </cell>
          <cell r="R36" t="str">
            <v>苏M*7G796</v>
          </cell>
          <cell r="S36" t="str">
            <v>自备筐</v>
          </cell>
        </row>
        <row r="37">
          <cell r="B37">
            <v>46255</v>
          </cell>
          <cell r="C37" t="str">
            <v>王照雪</v>
          </cell>
          <cell r="D37" t="str">
            <v>原料入库</v>
          </cell>
          <cell r="E37" t="str">
            <v>NO0000710</v>
          </cell>
          <cell r="F37" t="str">
            <v>苹果</v>
          </cell>
          <cell r="G37" t="str">
            <v>华硕一级</v>
          </cell>
          <cell r="H37">
            <v>57</v>
          </cell>
          <cell r="I37" t="str">
            <v>筐</v>
          </cell>
          <cell r="J37">
            <v>986.1</v>
          </cell>
        </row>
        <row r="37">
          <cell r="N37" t="str">
            <v>公司杂周转筐</v>
          </cell>
        </row>
        <row r="37">
          <cell r="Q37">
            <v>57</v>
          </cell>
          <cell r="R37" t="str">
            <v>豫L*88X19</v>
          </cell>
          <cell r="S37" t="str">
            <v>公司筐</v>
          </cell>
        </row>
        <row r="38">
          <cell r="B38">
            <v>46255</v>
          </cell>
          <cell r="C38" t="str">
            <v>王照雪</v>
          </cell>
          <cell r="D38" t="str">
            <v>原料入库</v>
          </cell>
          <cell r="E38" t="str">
            <v>NO0000710</v>
          </cell>
          <cell r="F38" t="str">
            <v>苹果</v>
          </cell>
          <cell r="G38" t="str">
            <v>华硕二级</v>
          </cell>
          <cell r="H38">
            <v>18</v>
          </cell>
          <cell r="I38" t="str">
            <v>筐</v>
          </cell>
          <cell r="J38">
            <v>293.4</v>
          </cell>
        </row>
        <row r="38">
          <cell r="N38" t="str">
            <v>公司杂周转筐</v>
          </cell>
        </row>
        <row r="38">
          <cell r="Q38">
            <v>18</v>
          </cell>
          <cell r="R38" t="str">
            <v>豫L*88X19</v>
          </cell>
          <cell r="S38" t="str">
            <v>公司筐</v>
          </cell>
        </row>
        <row r="39">
          <cell r="B39">
            <v>46255</v>
          </cell>
          <cell r="C39" t="str">
            <v>王照雪</v>
          </cell>
          <cell r="D39" t="str">
            <v>原料入库</v>
          </cell>
          <cell r="E39" t="str">
            <v>NO0000710</v>
          </cell>
          <cell r="F39" t="str">
            <v>苹果</v>
          </cell>
          <cell r="G39" t="str">
            <v>华硕高次</v>
          </cell>
          <cell r="H39">
            <v>18</v>
          </cell>
          <cell r="I39" t="str">
            <v>筐</v>
          </cell>
          <cell r="J39">
            <v>311.4</v>
          </cell>
        </row>
        <row r="39">
          <cell r="N39" t="str">
            <v>公司杂周转筐</v>
          </cell>
        </row>
        <row r="39">
          <cell r="Q39">
            <v>18</v>
          </cell>
          <cell r="R39" t="str">
            <v>豫L*88X19</v>
          </cell>
          <cell r="S39" t="str">
            <v>公司筐</v>
          </cell>
        </row>
        <row r="40">
          <cell r="B40">
            <v>46256</v>
          </cell>
          <cell r="C40" t="str">
            <v>聂新平</v>
          </cell>
          <cell r="D40" t="str">
            <v>原料入库</v>
          </cell>
          <cell r="E40" t="str">
            <v>NO0000713</v>
          </cell>
          <cell r="F40" t="str">
            <v>苹果</v>
          </cell>
          <cell r="G40" t="str">
            <v>嘎啦100#</v>
          </cell>
          <cell r="H40">
            <v>92</v>
          </cell>
          <cell r="I40" t="str">
            <v>筐</v>
          </cell>
          <cell r="J40">
            <v>2005.6</v>
          </cell>
        </row>
        <row r="40">
          <cell r="N40" t="str">
            <v>自备一次性筐</v>
          </cell>
        </row>
        <row r="40">
          <cell r="Q40">
            <v>92</v>
          </cell>
          <cell r="R40" t="str">
            <v>新N*9F701</v>
          </cell>
          <cell r="S40" t="str">
            <v>自备筐</v>
          </cell>
        </row>
        <row r="41">
          <cell r="B41">
            <v>46256</v>
          </cell>
          <cell r="C41" t="str">
            <v>聂新平</v>
          </cell>
          <cell r="D41" t="str">
            <v>原料入库</v>
          </cell>
          <cell r="E41" t="str">
            <v>NO0000715</v>
          </cell>
          <cell r="F41" t="str">
            <v>苹果</v>
          </cell>
          <cell r="G41" t="str">
            <v>嘎啦100#</v>
          </cell>
          <cell r="H41">
            <v>55</v>
          </cell>
          <cell r="I41" t="str">
            <v>筐</v>
          </cell>
          <cell r="J41">
            <v>1199</v>
          </cell>
        </row>
        <row r="41">
          <cell r="N41" t="str">
            <v>自备一次性筐</v>
          </cell>
        </row>
        <row r="41">
          <cell r="Q41">
            <v>55</v>
          </cell>
          <cell r="R41" t="str">
            <v>苏M*7G796</v>
          </cell>
          <cell r="S41" t="str">
            <v>自备筐</v>
          </cell>
        </row>
        <row r="42">
          <cell r="B42">
            <v>46258</v>
          </cell>
          <cell r="C42" t="str">
            <v>聂新平</v>
          </cell>
          <cell r="D42" t="str">
            <v>原料入库</v>
          </cell>
          <cell r="E42" t="str">
            <v>NO0000718</v>
          </cell>
          <cell r="F42" t="str">
            <v>苹果</v>
          </cell>
          <cell r="G42" t="str">
            <v>嘎啦85#</v>
          </cell>
          <cell r="H42">
            <v>10</v>
          </cell>
          <cell r="I42" t="str">
            <v>筐</v>
          </cell>
          <cell r="J42">
            <v>218</v>
          </cell>
        </row>
        <row r="42">
          <cell r="N42" t="str">
            <v>自备一次性筐</v>
          </cell>
        </row>
        <row r="42">
          <cell r="Q42">
            <v>10</v>
          </cell>
          <cell r="R42" t="str">
            <v>苏M*7G796</v>
          </cell>
          <cell r="S42" t="str">
            <v>自备筐</v>
          </cell>
        </row>
        <row r="43">
          <cell r="B43">
            <v>46258</v>
          </cell>
          <cell r="C43" t="str">
            <v>聂新平</v>
          </cell>
          <cell r="D43" t="str">
            <v>原料入库</v>
          </cell>
          <cell r="E43" t="str">
            <v>NO0000718</v>
          </cell>
          <cell r="F43" t="str">
            <v>苹果</v>
          </cell>
          <cell r="G43" t="str">
            <v>嘎啦100#</v>
          </cell>
          <cell r="H43">
            <v>19</v>
          </cell>
          <cell r="I43" t="str">
            <v>筐</v>
          </cell>
          <cell r="J43">
            <v>414.2</v>
          </cell>
        </row>
        <row r="43">
          <cell r="N43" t="str">
            <v>自备一次性筐</v>
          </cell>
        </row>
        <row r="43">
          <cell r="Q43">
            <v>19</v>
          </cell>
          <cell r="R43" t="str">
            <v>苏M*7G796</v>
          </cell>
          <cell r="S43" t="str">
            <v>自备筐</v>
          </cell>
        </row>
        <row r="44">
          <cell r="B44">
            <v>46258</v>
          </cell>
          <cell r="C44" t="str">
            <v>聂新平</v>
          </cell>
          <cell r="D44" t="str">
            <v>原料入库</v>
          </cell>
          <cell r="E44" t="str">
            <v>NO0000719</v>
          </cell>
          <cell r="F44" t="str">
            <v>苹果</v>
          </cell>
          <cell r="G44" t="str">
            <v>嘎啦85#</v>
          </cell>
          <cell r="H44">
            <v>141</v>
          </cell>
          <cell r="I44" t="str">
            <v>筐</v>
          </cell>
          <cell r="J44">
            <v>3073.8</v>
          </cell>
        </row>
        <row r="44">
          <cell r="N44" t="str">
            <v>自备一次性筐</v>
          </cell>
        </row>
        <row r="44">
          <cell r="Q44">
            <v>141</v>
          </cell>
          <cell r="R44" t="str">
            <v>新N*E3V16</v>
          </cell>
          <cell r="S44" t="str">
            <v>自备筐</v>
          </cell>
        </row>
        <row r="45">
          <cell r="B45">
            <v>46258</v>
          </cell>
          <cell r="C45" t="str">
            <v>聂新平</v>
          </cell>
          <cell r="D45" t="str">
            <v>原料入库</v>
          </cell>
          <cell r="E45" t="str">
            <v>NO0000719</v>
          </cell>
          <cell r="F45" t="str">
            <v>苹果</v>
          </cell>
          <cell r="G45" t="str">
            <v>嘎啦100#</v>
          </cell>
          <cell r="H45">
            <v>233</v>
          </cell>
          <cell r="I45" t="str">
            <v>筐</v>
          </cell>
          <cell r="J45">
            <v>5079.4</v>
          </cell>
        </row>
        <row r="45">
          <cell r="N45" t="str">
            <v>自备一次性筐</v>
          </cell>
        </row>
        <row r="45">
          <cell r="Q45">
            <v>233</v>
          </cell>
          <cell r="R45" t="str">
            <v>新N*E3V16</v>
          </cell>
          <cell r="S45" t="str">
            <v>自备筐</v>
          </cell>
        </row>
        <row r="46">
          <cell r="B46">
            <v>46258</v>
          </cell>
          <cell r="C46" t="str">
            <v>王照雪</v>
          </cell>
          <cell r="D46" t="str">
            <v>原料入库</v>
          </cell>
          <cell r="E46" t="str">
            <v>NO0000721</v>
          </cell>
          <cell r="F46" t="str">
            <v>苹果</v>
          </cell>
          <cell r="G46" t="str">
            <v>华硕一级</v>
          </cell>
          <cell r="H46">
            <v>136</v>
          </cell>
          <cell r="I46" t="str">
            <v>筐</v>
          </cell>
          <cell r="J46">
            <v>2352.8</v>
          </cell>
        </row>
        <row r="46">
          <cell r="N46" t="str">
            <v>公司杂周转筐</v>
          </cell>
        </row>
        <row r="46">
          <cell r="Q46">
            <v>136</v>
          </cell>
          <cell r="R46" t="str">
            <v>豫L*88X19</v>
          </cell>
          <cell r="S46" t="str">
            <v>公司筐</v>
          </cell>
        </row>
        <row r="47">
          <cell r="B47">
            <v>46258</v>
          </cell>
          <cell r="C47" t="str">
            <v>王照雪</v>
          </cell>
          <cell r="D47" t="str">
            <v>原料入库</v>
          </cell>
          <cell r="E47" t="str">
            <v>NO0000721</v>
          </cell>
          <cell r="F47" t="str">
            <v>苹果</v>
          </cell>
          <cell r="G47" t="str">
            <v>华硕二级</v>
          </cell>
          <cell r="H47">
            <v>66</v>
          </cell>
          <cell r="I47" t="str">
            <v>筐</v>
          </cell>
          <cell r="J47">
            <v>1075.8</v>
          </cell>
        </row>
        <row r="47">
          <cell r="N47" t="str">
            <v>公司杂周转筐</v>
          </cell>
        </row>
        <row r="47">
          <cell r="Q47">
            <v>66</v>
          </cell>
          <cell r="R47" t="str">
            <v>豫L*88X19</v>
          </cell>
          <cell r="S47" t="str">
            <v>公司筐</v>
          </cell>
        </row>
        <row r="48">
          <cell r="B48">
            <v>46258</v>
          </cell>
          <cell r="C48" t="str">
            <v>王照雪</v>
          </cell>
          <cell r="D48" t="str">
            <v>原料入库</v>
          </cell>
          <cell r="E48" t="str">
            <v>NO0000721</v>
          </cell>
          <cell r="F48" t="str">
            <v>苹果</v>
          </cell>
          <cell r="G48" t="str">
            <v>华硕高次</v>
          </cell>
          <cell r="H48">
            <v>48</v>
          </cell>
          <cell r="I48" t="str">
            <v>筐</v>
          </cell>
          <cell r="J48">
            <v>830.4</v>
          </cell>
        </row>
        <row r="48">
          <cell r="N48" t="str">
            <v>公司杂周转筐</v>
          </cell>
        </row>
        <row r="48">
          <cell r="Q48">
            <v>48</v>
          </cell>
          <cell r="R48" t="str">
            <v>豫L*88X19</v>
          </cell>
          <cell r="S48" t="str">
            <v>公司筐</v>
          </cell>
        </row>
        <row r="49">
          <cell r="B49">
            <v>46259</v>
          </cell>
          <cell r="C49" t="str">
            <v>马锦祥</v>
          </cell>
          <cell r="D49" t="str">
            <v>原料入库</v>
          </cell>
          <cell r="E49" t="str">
            <v>NO0000727</v>
          </cell>
          <cell r="F49" t="str">
            <v>苹果</v>
          </cell>
          <cell r="G49" t="str">
            <v>海棠果</v>
          </cell>
          <cell r="H49">
            <v>68</v>
          </cell>
          <cell r="I49" t="str">
            <v>筐</v>
          </cell>
          <cell r="J49">
            <v>204</v>
          </cell>
        </row>
        <row r="49">
          <cell r="N49" t="str">
            <v>自备一次性筐</v>
          </cell>
        </row>
        <row r="49">
          <cell r="Q49">
            <v>68</v>
          </cell>
          <cell r="R49" t="str">
            <v>新N*B6R39</v>
          </cell>
          <cell r="S49" t="str">
            <v>自备筐</v>
          </cell>
        </row>
        <row r="50">
          <cell r="B50">
            <v>46260</v>
          </cell>
          <cell r="C50" t="str">
            <v>聂新平</v>
          </cell>
          <cell r="D50" t="str">
            <v>原料入库</v>
          </cell>
          <cell r="E50" t="str">
            <v>NO0000729</v>
          </cell>
          <cell r="F50" t="str">
            <v>苹果</v>
          </cell>
          <cell r="G50" t="str">
            <v>嘎啦85#</v>
          </cell>
          <cell r="H50">
            <v>80</v>
          </cell>
          <cell r="I50" t="str">
            <v>筐</v>
          </cell>
          <cell r="J50">
            <v>1744</v>
          </cell>
        </row>
        <row r="50">
          <cell r="N50" t="str">
            <v>自备一次性筐</v>
          </cell>
        </row>
        <row r="50">
          <cell r="Q50">
            <v>80</v>
          </cell>
          <cell r="R50" t="str">
            <v>新N*E3V16</v>
          </cell>
          <cell r="S50" t="str">
            <v>自备筐</v>
          </cell>
        </row>
        <row r="51">
          <cell r="B51">
            <v>46260</v>
          </cell>
          <cell r="C51" t="str">
            <v>聂新平</v>
          </cell>
          <cell r="D51" t="str">
            <v>原料入库</v>
          </cell>
          <cell r="E51" t="str">
            <v>NO0000729</v>
          </cell>
          <cell r="F51" t="str">
            <v>苹果</v>
          </cell>
          <cell r="G51" t="str">
            <v>嘎啦100#</v>
          </cell>
          <cell r="H51">
            <v>132</v>
          </cell>
          <cell r="I51" t="str">
            <v>筐</v>
          </cell>
          <cell r="J51">
            <v>2877.6</v>
          </cell>
        </row>
        <row r="51">
          <cell r="N51" t="str">
            <v>自备一次性筐</v>
          </cell>
        </row>
        <row r="51">
          <cell r="Q51">
            <v>132</v>
          </cell>
          <cell r="R51" t="str">
            <v>新N*E3V16</v>
          </cell>
          <cell r="S51" t="str">
            <v>自备筐</v>
          </cell>
        </row>
        <row r="52">
          <cell r="B52">
            <v>46260</v>
          </cell>
          <cell r="C52" t="str">
            <v>王照雪</v>
          </cell>
          <cell r="D52" t="str">
            <v>原料入库</v>
          </cell>
          <cell r="E52" t="str">
            <v>NO0000732</v>
          </cell>
          <cell r="F52" t="str">
            <v>苹果</v>
          </cell>
          <cell r="G52" t="str">
            <v>华硕一级</v>
          </cell>
          <cell r="H52">
            <v>174</v>
          </cell>
          <cell r="I52" t="str">
            <v>筐</v>
          </cell>
          <cell r="J52">
            <v>3010.2</v>
          </cell>
        </row>
        <row r="52">
          <cell r="N52" t="str">
            <v>公司杂周转筐</v>
          </cell>
        </row>
        <row r="52">
          <cell r="Q52">
            <v>174</v>
          </cell>
          <cell r="R52" t="str">
            <v>豫L*88X19</v>
          </cell>
          <cell r="S52" t="str">
            <v>公司筐</v>
          </cell>
        </row>
        <row r="53">
          <cell r="B53">
            <v>46260</v>
          </cell>
          <cell r="C53" t="str">
            <v>王照雪</v>
          </cell>
          <cell r="D53" t="str">
            <v>原料入库</v>
          </cell>
          <cell r="E53" t="str">
            <v>NO0000732</v>
          </cell>
          <cell r="F53" t="str">
            <v>苹果</v>
          </cell>
          <cell r="G53" t="str">
            <v>华硕二级</v>
          </cell>
          <cell r="H53">
            <v>88</v>
          </cell>
          <cell r="I53" t="str">
            <v>筐</v>
          </cell>
          <cell r="J53">
            <v>1434.4</v>
          </cell>
        </row>
        <row r="53">
          <cell r="N53" t="str">
            <v>公司杂周转筐</v>
          </cell>
        </row>
        <row r="53">
          <cell r="Q53">
            <v>88</v>
          </cell>
          <cell r="R53" t="str">
            <v>豫L*88X19</v>
          </cell>
          <cell r="S53" t="str">
            <v>公司筐</v>
          </cell>
        </row>
        <row r="54">
          <cell r="B54">
            <v>46260</v>
          </cell>
          <cell r="C54" t="str">
            <v>王照雪</v>
          </cell>
          <cell r="D54" t="str">
            <v>原料入库</v>
          </cell>
          <cell r="E54" t="str">
            <v>NO0000732</v>
          </cell>
          <cell r="F54" t="str">
            <v>苹果</v>
          </cell>
          <cell r="G54" t="str">
            <v>华硕高次</v>
          </cell>
          <cell r="H54">
            <v>64</v>
          </cell>
          <cell r="I54" t="str">
            <v>筐</v>
          </cell>
          <cell r="J54">
            <v>1107.2</v>
          </cell>
        </row>
        <row r="54">
          <cell r="N54" t="str">
            <v>公司杂周转筐</v>
          </cell>
        </row>
        <row r="54">
          <cell r="Q54">
            <v>64</v>
          </cell>
          <cell r="R54" t="str">
            <v>豫L*88X19</v>
          </cell>
          <cell r="S54" t="str">
            <v>公司筐</v>
          </cell>
        </row>
        <row r="55">
          <cell r="B55">
            <v>46262</v>
          </cell>
          <cell r="C55" t="str">
            <v>聂新平</v>
          </cell>
          <cell r="D55" t="str">
            <v>原料入库</v>
          </cell>
          <cell r="E55" t="str">
            <v>NO0000737</v>
          </cell>
          <cell r="F55" t="str">
            <v>苹果</v>
          </cell>
          <cell r="G55" t="str">
            <v>嘎啦85#</v>
          </cell>
          <cell r="H55">
            <v>69</v>
          </cell>
          <cell r="I55" t="str">
            <v>筐</v>
          </cell>
          <cell r="J55">
            <v>1504.2</v>
          </cell>
        </row>
        <row r="55">
          <cell r="N55" t="str">
            <v>自备一次性筐</v>
          </cell>
        </row>
        <row r="55">
          <cell r="Q55">
            <v>69</v>
          </cell>
          <cell r="R55" t="str">
            <v>新N*E3V16</v>
          </cell>
          <cell r="S55" t="str">
            <v>自备筐</v>
          </cell>
        </row>
        <row r="56">
          <cell r="B56">
            <v>46262</v>
          </cell>
          <cell r="C56" t="str">
            <v>聂新平</v>
          </cell>
          <cell r="D56" t="str">
            <v>原料入库</v>
          </cell>
          <cell r="E56" t="str">
            <v>NO0000737</v>
          </cell>
          <cell r="F56" t="str">
            <v>苹果</v>
          </cell>
          <cell r="G56" t="str">
            <v>嘎啦100#</v>
          </cell>
          <cell r="H56">
            <v>175</v>
          </cell>
          <cell r="I56" t="str">
            <v>筐</v>
          </cell>
          <cell r="J56">
            <v>3815</v>
          </cell>
        </row>
        <row r="56">
          <cell r="N56" t="str">
            <v>自备一次性筐</v>
          </cell>
        </row>
        <row r="56">
          <cell r="Q56">
            <v>175</v>
          </cell>
          <cell r="R56" t="str">
            <v>新N*E3V16</v>
          </cell>
          <cell r="S56" t="str">
            <v>自备筐</v>
          </cell>
        </row>
        <row r="57">
          <cell r="B57">
            <v>46262</v>
          </cell>
          <cell r="C57" t="str">
            <v>聂新平</v>
          </cell>
          <cell r="D57" t="str">
            <v>原料入库</v>
          </cell>
          <cell r="E57" t="str">
            <v>NO0000738</v>
          </cell>
          <cell r="F57" t="str">
            <v>苹果</v>
          </cell>
          <cell r="G57" t="str">
            <v>嘎啦85#</v>
          </cell>
          <cell r="H57">
            <v>20</v>
          </cell>
          <cell r="I57" t="str">
            <v>筐</v>
          </cell>
          <cell r="J57">
            <v>436</v>
          </cell>
        </row>
        <row r="57">
          <cell r="N57" t="str">
            <v>自备一次性筐</v>
          </cell>
        </row>
        <row r="57">
          <cell r="Q57">
            <v>20</v>
          </cell>
          <cell r="R57" t="str">
            <v>苏M*7G796</v>
          </cell>
          <cell r="S57" t="str">
            <v>自备筐</v>
          </cell>
        </row>
        <row r="58">
          <cell r="B58">
            <v>46262</v>
          </cell>
          <cell r="C58" t="str">
            <v>王照雪</v>
          </cell>
          <cell r="D58" t="str">
            <v>原料入库</v>
          </cell>
          <cell r="E58" t="str">
            <v>NO0000739</v>
          </cell>
          <cell r="F58" t="str">
            <v>苹果</v>
          </cell>
          <cell r="G58" t="str">
            <v>华硕一级</v>
          </cell>
          <cell r="H58">
            <v>103</v>
          </cell>
          <cell r="I58" t="str">
            <v>筐</v>
          </cell>
          <cell r="J58">
            <v>1781.9</v>
          </cell>
        </row>
        <row r="58">
          <cell r="N58" t="str">
            <v>公司杂周转筐</v>
          </cell>
        </row>
        <row r="58">
          <cell r="Q58">
            <v>103</v>
          </cell>
          <cell r="R58" t="str">
            <v>豫L*88X19</v>
          </cell>
          <cell r="S58" t="str">
            <v>公司筐</v>
          </cell>
        </row>
        <row r="59">
          <cell r="B59">
            <v>46262</v>
          </cell>
          <cell r="C59" t="str">
            <v>王照雪</v>
          </cell>
          <cell r="D59" t="str">
            <v>原料入库</v>
          </cell>
          <cell r="E59" t="str">
            <v>NO0000739</v>
          </cell>
          <cell r="F59" t="str">
            <v>苹果</v>
          </cell>
          <cell r="G59" t="str">
            <v>华硕二级</v>
          </cell>
          <cell r="H59">
            <v>81</v>
          </cell>
          <cell r="I59" t="str">
            <v>筐</v>
          </cell>
          <cell r="J59">
            <v>1320.3</v>
          </cell>
        </row>
        <row r="59">
          <cell r="N59" t="str">
            <v>公司杂周转筐</v>
          </cell>
        </row>
        <row r="59">
          <cell r="Q59">
            <v>81</v>
          </cell>
          <cell r="R59" t="str">
            <v>豫L*88X19</v>
          </cell>
          <cell r="S59" t="str">
            <v>公司筐</v>
          </cell>
        </row>
        <row r="60">
          <cell r="B60">
            <v>46262</v>
          </cell>
          <cell r="C60" t="str">
            <v>王照雪</v>
          </cell>
          <cell r="D60" t="str">
            <v>原料入库</v>
          </cell>
          <cell r="E60" t="str">
            <v>NO0000739</v>
          </cell>
          <cell r="F60" t="str">
            <v>苹果</v>
          </cell>
          <cell r="G60" t="str">
            <v>华硕高次</v>
          </cell>
          <cell r="H60">
            <v>20</v>
          </cell>
          <cell r="I60" t="str">
            <v>筐</v>
          </cell>
          <cell r="J60">
            <v>346</v>
          </cell>
        </row>
        <row r="60">
          <cell r="N60" t="str">
            <v>公司杂周转筐</v>
          </cell>
        </row>
        <row r="60">
          <cell r="Q60">
            <v>20</v>
          </cell>
          <cell r="R60" t="str">
            <v>豫L*88X19</v>
          </cell>
          <cell r="S60" t="str">
            <v>公司筐</v>
          </cell>
        </row>
        <row r="61">
          <cell r="B61">
            <v>46263</v>
          </cell>
          <cell r="C61" t="str">
            <v>聂新平</v>
          </cell>
          <cell r="D61" t="str">
            <v>原料入库</v>
          </cell>
          <cell r="E61" t="str">
            <v>NO0000740</v>
          </cell>
          <cell r="F61" t="str">
            <v>苹果</v>
          </cell>
          <cell r="G61" t="str">
            <v>嘎啦85#</v>
          </cell>
          <cell r="H61">
            <v>22</v>
          </cell>
          <cell r="I61" t="str">
            <v>筐</v>
          </cell>
          <cell r="J61">
            <v>479.6</v>
          </cell>
        </row>
        <row r="61">
          <cell r="N61" t="str">
            <v>自备一次性筐</v>
          </cell>
        </row>
        <row r="61">
          <cell r="Q61">
            <v>22</v>
          </cell>
          <cell r="R61" t="str">
            <v>新N*E3V16</v>
          </cell>
          <cell r="S61" t="str">
            <v>自备筐</v>
          </cell>
        </row>
        <row r="62">
          <cell r="B62">
            <v>46263</v>
          </cell>
          <cell r="C62" t="str">
            <v>聂新平</v>
          </cell>
          <cell r="D62" t="str">
            <v>原料入库</v>
          </cell>
          <cell r="E62" t="str">
            <v>NO0000740</v>
          </cell>
          <cell r="F62" t="str">
            <v>苹果</v>
          </cell>
          <cell r="G62" t="str">
            <v>嘎啦100#</v>
          </cell>
          <cell r="H62">
            <v>48</v>
          </cell>
          <cell r="I62" t="str">
            <v>筐</v>
          </cell>
          <cell r="J62">
            <v>1046.4</v>
          </cell>
        </row>
        <row r="62">
          <cell r="N62" t="str">
            <v>自备一次性筐</v>
          </cell>
        </row>
        <row r="62">
          <cell r="Q62">
            <v>48</v>
          </cell>
          <cell r="R62" t="str">
            <v>新N*E3V16</v>
          </cell>
          <cell r="S62" t="str">
            <v>自备筐</v>
          </cell>
        </row>
        <row r="63">
          <cell r="B63">
            <v>46266</v>
          </cell>
          <cell r="C63" t="str">
            <v>聂新平</v>
          </cell>
          <cell r="D63" t="str">
            <v>原料入库</v>
          </cell>
          <cell r="E63" t="str">
            <v>NO0000741</v>
          </cell>
          <cell r="F63" t="str">
            <v>苹果</v>
          </cell>
          <cell r="G63" t="str">
            <v>嘎啦85#</v>
          </cell>
          <cell r="H63">
            <v>14</v>
          </cell>
          <cell r="I63" t="str">
            <v>筐</v>
          </cell>
          <cell r="J63">
            <v>305.2</v>
          </cell>
        </row>
        <row r="63">
          <cell r="N63" t="str">
            <v>自备一次性筐</v>
          </cell>
        </row>
        <row r="63">
          <cell r="Q63">
            <v>14</v>
          </cell>
          <cell r="R63" t="str">
            <v>苏M*7G796</v>
          </cell>
          <cell r="S63" t="str">
            <v>自备筐</v>
          </cell>
        </row>
        <row r="64">
          <cell r="B64">
            <v>46266</v>
          </cell>
          <cell r="C64" t="str">
            <v>王照雪</v>
          </cell>
          <cell r="D64" t="str">
            <v>原料入库</v>
          </cell>
          <cell r="E64" t="str">
            <v>NO0000742</v>
          </cell>
          <cell r="F64" t="str">
            <v>苹果</v>
          </cell>
          <cell r="G64" t="str">
            <v>华硕一级</v>
          </cell>
          <cell r="H64">
            <v>13</v>
          </cell>
          <cell r="I64" t="str">
            <v>筐</v>
          </cell>
          <cell r="J64">
            <v>224.9</v>
          </cell>
        </row>
        <row r="64">
          <cell r="N64" t="str">
            <v>公司杂周转筐</v>
          </cell>
        </row>
        <row r="64">
          <cell r="Q64">
            <v>13</v>
          </cell>
          <cell r="R64" t="str">
            <v>新N*D1W48</v>
          </cell>
          <cell r="S64" t="str">
            <v>公司筐</v>
          </cell>
        </row>
        <row r="65">
          <cell r="B65">
            <v>46266</v>
          </cell>
          <cell r="C65" t="str">
            <v>王照雪</v>
          </cell>
          <cell r="D65" t="str">
            <v>原料入库</v>
          </cell>
          <cell r="E65" t="str">
            <v>NO0000742</v>
          </cell>
          <cell r="F65" t="str">
            <v>苹果</v>
          </cell>
          <cell r="G65" t="str">
            <v>华硕二级</v>
          </cell>
          <cell r="H65">
            <v>27</v>
          </cell>
          <cell r="I65" t="str">
            <v>筐</v>
          </cell>
          <cell r="J65">
            <v>440.1</v>
          </cell>
        </row>
        <row r="65">
          <cell r="N65" t="str">
            <v>公司杂周转筐</v>
          </cell>
        </row>
        <row r="65">
          <cell r="Q65">
            <v>27</v>
          </cell>
          <cell r="R65" t="str">
            <v>新N*D1W48</v>
          </cell>
          <cell r="S65" t="str">
            <v>公司筐</v>
          </cell>
        </row>
        <row r="66">
          <cell r="B66">
            <v>46266</v>
          </cell>
          <cell r="C66" t="str">
            <v>王照雪</v>
          </cell>
          <cell r="D66" t="str">
            <v>原料入库</v>
          </cell>
          <cell r="E66" t="str">
            <v>NO0000742</v>
          </cell>
          <cell r="F66" t="str">
            <v>苹果</v>
          </cell>
          <cell r="G66" t="str">
            <v>华硕高次</v>
          </cell>
          <cell r="H66">
            <v>13</v>
          </cell>
          <cell r="I66" t="str">
            <v>筐</v>
          </cell>
          <cell r="J66">
            <v>224.9</v>
          </cell>
        </row>
        <row r="66">
          <cell r="N66" t="str">
            <v>公司杂周转筐</v>
          </cell>
        </row>
        <row r="66">
          <cell r="Q66">
            <v>13</v>
          </cell>
          <cell r="R66" t="str">
            <v>新N*D1W48</v>
          </cell>
          <cell r="S66" t="str">
            <v>公司筐</v>
          </cell>
        </row>
        <row r="67">
          <cell r="B67">
            <v>46252</v>
          </cell>
          <cell r="C67" t="str">
            <v>聂新平</v>
          </cell>
          <cell r="D67" t="str">
            <v>原料入库</v>
          </cell>
          <cell r="E67" t="str">
            <v>NO:0000775</v>
          </cell>
          <cell r="F67" t="str">
            <v>西梅</v>
          </cell>
          <cell r="G67" t="str">
            <v>西梅二级</v>
          </cell>
          <cell r="H67">
            <v>336</v>
          </cell>
          <cell r="I67" t="str">
            <v>筐</v>
          </cell>
          <cell r="J67">
            <v>672</v>
          </cell>
        </row>
        <row r="67">
          <cell r="N67" t="str">
            <v>自备一次性筐</v>
          </cell>
        </row>
        <row r="67">
          <cell r="Q67">
            <v>336</v>
          </cell>
          <cell r="R67" t="str">
            <v>苏M*7G796</v>
          </cell>
          <cell r="S67" t="str">
            <v>自备筐</v>
          </cell>
        </row>
        <row r="68">
          <cell r="B68">
            <v>46252</v>
          </cell>
          <cell r="C68" t="str">
            <v>聂新平</v>
          </cell>
          <cell r="D68" t="str">
            <v>原料入库</v>
          </cell>
          <cell r="E68" t="str">
            <v>NO:0000775</v>
          </cell>
          <cell r="F68" t="str">
            <v>西梅</v>
          </cell>
          <cell r="G68" t="str">
            <v>西梅三级</v>
          </cell>
          <cell r="H68">
            <v>96</v>
          </cell>
          <cell r="I68" t="str">
            <v>筐</v>
          </cell>
          <cell r="J68">
            <v>192</v>
          </cell>
        </row>
        <row r="68">
          <cell r="N68" t="str">
            <v>自备一次性筐</v>
          </cell>
        </row>
        <row r="68">
          <cell r="Q68">
            <v>96</v>
          </cell>
          <cell r="R68" t="str">
            <v>苏M*7G796</v>
          </cell>
          <cell r="S68" t="str">
            <v>自备筐</v>
          </cell>
        </row>
        <row r="69">
          <cell r="B69">
            <v>46252</v>
          </cell>
          <cell r="C69" t="str">
            <v>聂新平</v>
          </cell>
          <cell r="D69" t="str">
            <v>原料入库</v>
          </cell>
          <cell r="E69" t="str">
            <v>NO:0000701</v>
          </cell>
          <cell r="F69" t="str">
            <v>西梅</v>
          </cell>
          <cell r="G69" t="str">
            <v>西梅一级</v>
          </cell>
          <cell r="H69">
            <v>41</v>
          </cell>
          <cell r="I69" t="str">
            <v>筐</v>
          </cell>
          <cell r="J69">
            <v>287</v>
          </cell>
        </row>
        <row r="69">
          <cell r="N69" t="str">
            <v>自备一次性筐</v>
          </cell>
        </row>
        <row r="69">
          <cell r="Q69">
            <v>41</v>
          </cell>
          <cell r="R69" t="str">
            <v>苏M*7G796</v>
          </cell>
          <cell r="S69" t="str">
            <v>自备筐</v>
          </cell>
        </row>
        <row r="70">
          <cell r="B70">
            <v>46252</v>
          </cell>
          <cell r="C70" t="str">
            <v>聂新平</v>
          </cell>
          <cell r="D70" t="str">
            <v>原料入库</v>
          </cell>
          <cell r="E70" t="str">
            <v>NO:0000701</v>
          </cell>
          <cell r="F70" t="str">
            <v>西梅</v>
          </cell>
          <cell r="G70" t="str">
            <v>西梅二级</v>
          </cell>
          <cell r="H70">
            <v>71</v>
          </cell>
          <cell r="I70" t="str">
            <v>筐</v>
          </cell>
          <cell r="J70">
            <v>142</v>
          </cell>
        </row>
        <row r="70">
          <cell r="N70" t="str">
            <v>自备一次性筐</v>
          </cell>
        </row>
        <row r="70">
          <cell r="Q70">
            <v>71</v>
          </cell>
          <cell r="R70" t="str">
            <v>苏M*7G796</v>
          </cell>
          <cell r="S70" t="str">
            <v>自备筐</v>
          </cell>
        </row>
        <row r="71">
          <cell r="B71">
            <v>46252</v>
          </cell>
          <cell r="C71" t="str">
            <v>聂新平</v>
          </cell>
          <cell r="D71" t="str">
            <v>原料入库</v>
          </cell>
          <cell r="E71" t="str">
            <v>NO:0000701</v>
          </cell>
          <cell r="F71" t="str">
            <v>西梅</v>
          </cell>
          <cell r="G71" t="str">
            <v>西梅三级</v>
          </cell>
          <cell r="H71">
            <v>54</v>
          </cell>
          <cell r="I71" t="str">
            <v>筐</v>
          </cell>
          <cell r="J71">
            <v>108</v>
          </cell>
        </row>
        <row r="71">
          <cell r="N71" t="str">
            <v>自备一次性筐</v>
          </cell>
        </row>
        <row r="71">
          <cell r="Q71">
            <v>54</v>
          </cell>
          <cell r="R71" t="str">
            <v>苏M*7G796</v>
          </cell>
          <cell r="S71" t="str">
            <v>自备筐</v>
          </cell>
        </row>
        <row r="72">
          <cell r="B72">
            <v>46253</v>
          </cell>
          <cell r="C72" t="str">
            <v>聂新平</v>
          </cell>
          <cell r="D72" t="str">
            <v>原料入库</v>
          </cell>
          <cell r="E72" t="str">
            <v>NO:0000703</v>
          </cell>
          <cell r="F72" t="str">
            <v>西梅</v>
          </cell>
          <cell r="G72" t="str">
            <v>西梅二级</v>
          </cell>
          <cell r="H72">
            <v>432</v>
          </cell>
          <cell r="I72" t="str">
            <v>筐</v>
          </cell>
          <cell r="J72">
            <v>864</v>
          </cell>
        </row>
        <row r="72">
          <cell r="N72" t="str">
            <v>自备一次性筐</v>
          </cell>
        </row>
        <row r="72">
          <cell r="Q72">
            <v>432</v>
          </cell>
          <cell r="R72" t="str">
            <v>苏M*7G796</v>
          </cell>
          <cell r="S72" t="str">
            <v>自备筐</v>
          </cell>
        </row>
        <row r="73">
          <cell r="B73">
            <v>46253</v>
          </cell>
          <cell r="C73" t="str">
            <v>聂新平</v>
          </cell>
          <cell r="D73" t="str">
            <v>原料入库</v>
          </cell>
          <cell r="E73" t="str">
            <v>NO:0000703</v>
          </cell>
          <cell r="F73" t="str">
            <v>西梅</v>
          </cell>
          <cell r="G73" t="str">
            <v>西梅三级</v>
          </cell>
          <cell r="H73">
            <v>36</v>
          </cell>
          <cell r="I73" t="str">
            <v>筐</v>
          </cell>
          <cell r="J73">
            <v>72</v>
          </cell>
        </row>
        <row r="73">
          <cell r="N73" t="str">
            <v>自备一次性筐</v>
          </cell>
        </row>
        <row r="73">
          <cell r="Q73">
            <v>36</v>
          </cell>
          <cell r="R73" t="str">
            <v>苏M*7G796</v>
          </cell>
          <cell r="S73" t="str">
            <v>自备筐</v>
          </cell>
        </row>
        <row r="74">
          <cell r="B74">
            <v>46253</v>
          </cell>
          <cell r="C74" t="str">
            <v>聂新平</v>
          </cell>
          <cell r="D74" t="str">
            <v>原料入库</v>
          </cell>
          <cell r="E74" t="str">
            <v>NO:0000704</v>
          </cell>
          <cell r="F74" t="str">
            <v>西梅</v>
          </cell>
          <cell r="G74" t="str">
            <v>西梅二级</v>
          </cell>
          <cell r="H74">
            <v>305</v>
          </cell>
          <cell r="I74" t="str">
            <v>筐</v>
          </cell>
          <cell r="J74">
            <v>610</v>
          </cell>
        </row>
        <row r="74">
          <cell r="N74" t="str">
            <v>自备一次性筐</v>
          </cell>
        </row>
        <row r="74">
          <cell r="Q74">
            <v>305</v>
          </cell>
          <cell r="R74" t="str">
            <v>苏M*7G796</v>
          </cell>
          <cell r="S74" t="str">
            <v>自备筐</v>
          </cell>
        </row>
        <row r="75">
          <cell r="B75">
            <v>46253</v>
          </cell>
          <cell r="C75" t="str">
            <v>聂新平</v>
          </cell>
          <cell r="D75" t="str">
            <v>原料入库</v>
          </cell>
          <cell r="E75" t="str">
            <v>NO:0000704</v>
          </cell>
          <cell r="F75" t="str">
            <v>西梅</v>
          </cell>
          <cell r="G75" t="str">
            <v>西梅三级</v>
          </cell>
          <cell r="H75">
            <v>163</v>
          </cell>
          <cell r="I75" t="str">
            <v>筐</v>
          </cell>
          <cell r="J75">
            <v>326</v>
          </cell>
        </row>
        <row r="75">
          <cell r="N75" t="str">
            <v>自备一次性筐</v>
          </cell>
        </row>
        <row r="75">
          <cell r="Q75">
            <v>163</v>
          </cell>
          <cell r="R75" t="str">
            <v>苏M*7G796</v>
          </cell>
          <cell r="S75" t="str">
            <v>自备筐</v>
          </cell>
        </row>
        <row r="76">
          <cell r="B76">
            <v>46253</v>
          </cell>
          <cell r="C76" t="str">
            <v>聂新平</v>
          </cell>
          <cell r="D76" t="str">
            <v>原料入库</v>
          </cell>
          <cell r="E76" t="str">
            <v>NO:0000705</v>
          </cell>
          <cell r="F76" t="str">
            <v>西梅</v>
          </cell>
          <cell r="G76" t="str">
            <v>西梅一级</v>
          </cell>
          <cell r="H76">
            <v>105</v>
          </cell>
          <cell r="I76" t="str">
            <v>筐</v>
          </cell>
          <cell r="J76">
            <v>735</v>
          </cell>
        </row>
        <row r="76">
          <cell r="N76" t="str">
            <v>自备一次性筐</v>
          </cell>
        </row>
        <row r="76">
          <cell r="Q76">
            <v>105</v>
          </cell>
          <cell r="R76" t="str">
            <v>苏M*7G796</v>
          </cell>
          <cell r="S76" t="str">
            <v>自备筐</v>
          </cell>
        </row>
        <row r="77">
          <cell r="B77">
            <v>46253</v>
          </cell>
          <cell r="C77" t="str">
            <v>聂新平</v>
          </cell>
          <cell r="D77" t="str">
            <v>原料入库</v>
          </cell>
          <cell r="E77" t="str">
            <v>NO:0000705</v>
          </cell>
          <cell r="F77" t="str">
            <v>西梅</v>
          </cell>
          <cell r="G77" t="str">
            <v>西梅二级</v>
          </cell>
          <cell r="H77">
            <v>147</v>
          </cell>
          <cell r="I77" t="str">
            <v>筐</v>
          </cell>
          <cell r="J77">
            <v>294</v>
          </cell>
        </row>
        <row r="77">
          <cell r="N77" t="str">
            <v>自备一次性筐</v>
          </cell>
        </row>
        <row r="77">
          <cell r="Q77">
            <v>147</v>
          </cell>
          <cell r="R77" t="str">
            <v>苏M*7G796</v>
          </cell>
          <cell r="S77" t="str">
            <v>自备筐</v>
          </cell>
        </row>
        <row r="78">
          <cell r="B78">
            <v>46253</v>
          </cell>
          <cell r="C78" t="str">
            <v>聂新平</v>
          </cell>
          <cell r="D78" t="str">
            <v>原料入库</v>
          </cell>
          <cell r="E78" t="str">
            <v>NO:0000705</v>
          </cell>
          <cell r="F78" t="str">
            <v>西梅</v>
          </cell>
          <cell r="G78" t="str">
            <v>西梅三级</v>
          </cell>
          <cell r="H78">
            <v>107</v>
          </cell>
          <cell r="I78" t="str">
            <v>筐</v>
          </cell>
          <cell r="J78">
            <v>214</v>
          </cell>
        </row>
        <row r="78">
          <cell r="N78" t="str">
            <v>自备一次性筐</v>
          </cell>
        </row>
        <row r="78">
          <cell r="Q78">
            <v>107</v>
          </cell>
          <cell r="R78" t="str">
            <v>苏M*7G796</v>
          </cell>
          <cell r="S78" t="str">
            <v>自备筐</v>
          </cell>
        </row>
        <row r="79">
          <cell r="B79">
            <v>46254</v>
          </cell>
          <cell r="C79" t="str">
            <v>聂新平</v>
          </cell>
          <cell r="D79" t="str">
            <v>原料入库</v>
          </cell>
          <cell r="E79" t="str">
            <v>NO:0000706</v>
          </cell>
          <cell r="F79" t="str">
            <v>西梅</v>
          </cell>
          <cell r="G79" t="str">
            <v>西梅二级</v>
          </cell>
          <cell r="H79">
            <v>283</v>
          </cell>
          <cell r="I79" t="str">
            <v>筐</v>
          </cell>
          <cell r="J79">
            <v>566</v>
          </cell>
        </row>
        <row r="79">
          <cell r="N79" t="str">
            <v>自备一次性筐</v>
          </cell>
        </row>
        <row r="79">
          <cell r="Q79">
            <v>283</v>
          </cell>
          <cell r="R79" t="str">
            <v>苏M*7G796</v>
          </cell>
          <cell r="S79" t="str">
            <v>自备筐</v>
          </cell>
        </row>
        <row r="80">
          <cell r="B80">
            <v>46254</v>
          </cell>
          <cell r="C80" t="str">
            <v>聂新平</v>
          </cell>
          <cell r="D80" t="str">
            <v>原料入库</v>
          </cell>
          <cell r="E80" t="str">
            <v>NO:0000706</v>
          </cell>
          <cell r="F80" t="str">
            <v>西梅</v>
          </cell>
          <cell r="G80" t="str">
            <v>西梅三级</v>
          </cell>
          <cell r="H80">
            <v>185</v>
          </cell>
          <cell r="I80" t="str">
            <v>筐</v>
          </cell>
          <cell r="J80">
            <v>370</v>
          </cell>
        </row>
        <row r="80">
          <cell r="N80" t="str">
            <v>自备一次性筐</v>
          </cell>
        </row>
        <row r="80">
          <cell r="Q80">
            <v>185</v>
          </cell>
          <cell r="R80" t="str">
            <v>苏M*7G796</v>
          </cell>
          <cell r="S80" t="str">
            <v>自备筐</v>
          </cell>
        </row>
        <row r="81">
          <cell r="B81">
            <v>46254</v>
          </cell>
          <cell r="C81" t="str">
            <v>聂新平</v>
          </cell>
          <cell r="D81" t="str">
            <v>原料入库</v>
          </cell>
          <cell r="E81" t="str">
            <v>NO:0000707</v>
          </cell>
          <cell r="F81" t="str">
            <v>西梅</v>
          </cell>
          <cell r="G81" t="str">
            <v>西梅一级</v>
          </cell>
          <cell r="H81">
            <v>16</v>
          </cell>
          <cell r="I81" t="str">
            <v>筐</v>
          </cell>
          <cell r="J81">
            <v>112</v>
          </cell>
        </row>
        <row r="81">
          <cell r="N81" t="str">
            <v>自备一次性筐</v>
          </cell>
        </row>
        <row r="81">
          <cell r="Q81">
            <v>16</v>
          </cell>
          <cell r="R81" t="str">
            <v>苏M*7G796</v>
          </cell>
          <cell r="S81" t="str">
            <v>自备筐</v>
          </cell>
        </row>
        <row r="82">
          <cell r="B82">
            <v>46254</v>
          </cell>
          <cell r="C82" t="str">
            <v>聂新平</v>
          </cell>
          <cell r="D82" t="str">
            <v>原料入库</v>
          </cell>
          <cell r="E82" t="str">
            <v>NO:0000707</v>
          </cell>
          <cell r="F82" t="str">
            <v>西梅</v>
          </cell>
          <cell r="G82" t="str">
            <v>西梅三级</v>
          </cell>
          <cell r="H82">
            <v>28</v>
          </cell>
          <cell r="I82" t="str">
            <v>筐</v>
          </cell>
          <cell r="J82">
            <v>56</v>
          </cell>
        </row>
        <row r="82">
          <cell r="N82" t="str">
            <v>自备一次性筐</v>
          </cell>
        </row>
        <row r="82">
          <cell r="Q82">
            <v>28</v>
          </cell>
          <cell r="R82" t="str">
            <v>苏M*7G796</v>
          </cell>
          <cell r="S82" t="str">
            <v>自备筐</v>
          </cell>
        </row>
        <row r="83">
          <cell r="B83">
            <v>46254</v>
          </cell>
          <cell r="C83" t="str">
            <v>聂新平</v>
          </cell>
          <cell r="D83" t="str">
            <v>原料入库</v>
          </cell>
          <cell r="E83" t="str">
            <v>NO:0000707</v>
          </cell>
          <cell r="F83" t="str">
            <v>西梅</v>
          </cell>
          <cell r="G83" t="str">
            <v>西梅二级</v>
          </cell>
          <cell r="H83">
            <v>133</v>
          </cell>
          <cell r="I83" t="str">
            <v>筐</v>
          </cell>
          <cell r="J83">
            <v>1197</v>
          </cell>
        </row>
        <row r="83">
          <cell r="N83" t="str">
            <v>自备一次性筐</v>
          </cell>
        </row>
        <row r="83">
          <cell r="Q83">
            <v>133</v>
          </cell>
          <cell r="R83" t="str">
            <v>苏M*7G796</v>
          </cell>
          <cell r="S83" t="str">
            <v>自备筐</v>
          </cell>
        </row>
        <row r="84">
          <cell r="B84">
            <v>46254</v>
          </cell>
          <cell r="C84" t="str">
            <v>聂新平</v>
          </cell>
          <cell r="D84" t="str">
            <v>原料入库</v>
          </cell>
          <cell r="E84" t="str">
            <v>NO:0000708</v>
          </cell>
          <cell r="F84" t="str">
            <v>西梅</v>
          </cell>
          <cell r="G84" t="str">
            <v>西梅一级</v>
          </cell>
          <cell r="H84">
            <v>60</v>
          </cell>
          <cell r="I84" t="str">
            <v>筐</v>
          </cell>
          <cell r="J84">
            <v>420</v>
          </cell>
        </row>
        <row r="84">
          <cell r="N84" t="str">
            <v>自备一次性筐</v>
          </cell>
        </row>
        <row r="84">
          <cell r="Q84">
            <v>60</v>
          </cell>
          <cell r="R84" t="str">
            <v>苏M*7G796</v>
          </cell>
          <cell r="S84" t="str">
            <v>自备筐</v>
          </cell>
        </row>
        <row r="85">
          <cell r="B85">
            <v>46254</v>
          </cell>
          <cell r="C85" t="str">
            <v>聂新平</v>
          </cell>
          <cell r="D85" t="str">
            <v>原料入库</v>
          </cell>
          <cell r="E85" t="str">
            <v>NO:0000708</v>
          </cell>
          <cell r="F85" t="str">
            <v>西梅</v>
          </cell>
          <cell r="G85" t="str">
            <v>西梅二级</v>
          </cell>
          <cell r="H85">
            <v>185</v>
          </cell>
          <cell r="I85" t="str">
            <v>筐</v>
          </cell>
          <cell r="J85">
            <v>370</v>
          </cell>
        </row>
        <row r="85">
          <cell r="N85" t="str">
            <v>自备一次性筐</v>
          </cell>
        </row>
        <row r="85">
          <cell r="Q85">
            <v>185</v>
          </cell>
          <cell r="R85" t="str">
            <v>苏M*7G796</v>
          </cell>
          <cell r="S85" t="str">
            <v>自备筐</v>
          </cell>
        </row>
        <row r="86">
          <cell r="B86">
            <v>46254</v>
          </cell>
          <cell r="C86" t="str">
            <v>聂新平</v>
          </cell>
          <cell r="D86" t="str">
            <v>原料入库</v>
          </cell>
          <cell r="E86" t="str">
            <v>NO:0000708</v>
          </cell>
          <cell r="F86" t="str">
            <v>西梅</v>
          </cell>
          <cell r="G86" t="str">
            <v>西梅三级</v>
          </cell>
          <cell r="H86">
            <v>115</v>
          </cell>
          <cell r="I86" t="str">
            <v>筐</v>
          </cell>
          <cell r="J86">
            <v>230</v>
          </cell>
        </row>
        <row r="86">
          <cell r="N86" t="str">
            <v>自备一次性筐</v>
          </cell>
        </row>
        <row r="86">
          <cell r="Q86">
            <v>115</v>
          </cell>
          <cell r="R86" t="str">
            <v>苏M*7G796</v>
          </cell>
          <cell r="S86" t="str">
            <v>自备筐</v>
          </cell>
        </row>
        <row r="87">
          <cell r="B87">
            <v>46255</v>
          </cell>
          <cell r="C87" t="str">
            <v>聂新平</v>
          </cell>
          <cell r="D87" t="str">
            <v>原料入库</v>
          </cell>
          <cell r="E87" t="str">
            <v>NO:0000709</v>
          </cell>
          <cell r="F87" t="str">
            <v>西梅</v>
          </cell>
          <cell r="G87" t="str">
            <v>西梅一级</v>
          </cell>
          <cell r="H87">
            <v>50</v>
          </cell>
          <cell r="I87" t="str">
            <v>筐</v>
          </cell>
          <cell r="J87">
            <v>350</v>
          </cell>
        </row>
        <row r="87">
          <cell r="N87" t="str">
            <v>自备一次性筐</v>
          </cell>
        </row>
        <row r="87">
          <cell r="Q87">
            <v>50</v>
          </cell>
          <cell r="R87" t="str">
            <v>苏M*7G796</v>
          </cell>
          <cell r="S87" t="str">
            <v>自备筐</v>
          </cell>
        </row>
        <row r="88">
          <cell r="B88">
            <v>46255</v>
          </cell>
          <cell r="C88" t="str">
            <v>聂新平</v>
          </cell>
          <cell r="D88" t="str">
            <v>原料入库</v>
          </cell>
          <cell r="E88" t="str">
            <v>NO:0000709</v>
          </cell>
          <cell r="F88" t="str">
            <v>西梅</v>
          </cell>
          <cell r="G88" t="str">
            <v>西梅二级</v>
          </cell>
          <cell r="H88">
            <v>28</v>
          </cell>
          <cell r="I88" t="str">
            <v>筐</v>
          </cell>
          <cell r="J88">
            <v>252</v>
          </cell>
        </row>
        <row r="88">
          <cell r="N88" t="str">
            <v>自备一次性筐</v>
          </cell>
        </row>
        <row r="88">
          <cell r="Q88">
            <v>28</v>
          </cell>
          <cell r="R88" t="str">
            <v>苏M*7G796</v>
          </cell>
          <cell r="S88" t="str">
            <v>自备筐</v>
          </cell>
        </row>
        <row r="89">
          <cell r="B89">
            <v>46255</v>
          </cell>
          <cell r="C89" t="str">
            <v>聂新平</v>
          </cell>
          <cell r="D89" t="str">
            <v>原料入库</v>
          </cell>
          <cell r="E89" t="str">
            <v>NO:0000709</v>
          </cell>
          <cell r="F89" t="str">
            <v>西梅</v>
          </cell>
          <cell r="G89" t="str">
            <v>西梅二级</v>
          </cell>
          <cell r="H89">
            <v>70</v>
          </cell>
          <cell r="I89" t="str">
            <v>筐</v>
          </cell>
          <cell r="J89">
            <v>140</v>
          </cell>
        </row>
        <row r="89">
          <cell r="N89" t="str">
            <v>自备一次性筐</v>
          </cell>
        </row>
        <row r="89">
          <cell r="Q89">
            <v>70</v>
          </cell>
          <cell r="R89" t="str">
            <v>苏M*7G796</v>
          </cell>
          <cell r="S89" t="str">
            <v>自备筐</v>
          </cell>
        </row>
        <row r="90">
          <cell r="B90">
            <v>46255</v>
          </cell>
          <cell r="C90" t="str">
            <v>聂新平</v>
          </cell>
          <cell r="D90" t="str">
            <v>原料入库</v>
          </cell>
          <cell r="E90" t="str">
            <v>NO:0000709</v>
          </cell>
          <cell r="F90" t="str">
            <v>西梅</v>
          </cell>
          <cell r="G90" t="str">
            <v>西梅三级</v>
          </cell>
          <cell r="H90">
            <v>182</v>
          </cell>
          <cell r="I90" t="str">
            <v>筐</v>
          </cell>
          <cell r="J90">
            <v>364</v>
          </cell>
        </row>
        <row r="90">
          <cell r="N90" t="str">
            <v>自备一次性筐</v>
          </cell>
        </row>
        <row r="90">
          <cell r="Q90">
            <v>182</v>
          </cell>
          <cell r="R90" t="str">
            <v>苏M*7G796</v>
          </cell>
          <cell r="S90" t="str">
            <v>自备筐</v>
          </cell>
        </row>
        <row r="91">
          <cell r="B91">
            <v>46255</v>
          </cell>
          <cell r="C91" t="str">
            <v>聂新平</v>
          </cell>
          <cell r="D91" t="str">
            <v>原料入库</v>
          </cell>
          <cell r="E91" t="str">
            <v>NO:0000711</v>
          </cell>
          <cell r="F91" t="str">
            <v>西梅</v>
          </cell>
          <cell r="G91" t="str">
            <v>西梅一级</v>
          </cell>
          <cell r="H91">
            <v>95</v>
          </cell>
          <cell r="I91" t="str">
            <v>筐</v>
          </cell>
          <cell r="J91">
            <v>665</v>
          </cell>
        </row>
        <row r="91">
          <cell r="N91" t="str">
            <v>自备一次性筐</v>
          </cell>
        </row>
        <row r="91">
          <cell r="Q91">
            <v>95</v>
          </cell>
          <cell r="R91" t="str">
            <v>新N*SQ607</v>
          </cell>
          <cell r="S91" t="str">
            <v>自备筐</v>
          </cell>
        </row>
        <row r="92">
          <cell r="B92">
            <v>46255</v>
          </cell>
          <cell r="C92" t="str">
            <v>聂新平</v>
          </cell>
          <cell r="D92" t="str">
            <v>原料入库</v>
          </cell>
          <cell r="E92" t="str">
            <v>NO:0000711</v>
          </cell>
          <cell r="F92" t="str">
            <v>西梅</v>
          </cell>
          <cell r="G92" t="str">
            <v>西梅二级</v>
          </cell>
          <cell r="H92">
            <v>35</v>
          </cell>
          <cell r="I92" t="str">
            <v>筐</v>
          </cell>
          <cell r="J92">
            <v>315</v>
          </cell>
        </row>
        <row r="92">
          <cell r="N92" t="str">
            <v>自备一次性筐</v>
          </cell>
        </row>
        <row r="92">
          <cell r="Q92">
            <v>35</v>
          </cell>
          <cell r="R92" t="str">
            <v>新N*SQ607</v>
          </cell>
          <cell r="S92" t="str">
            <v>自备筐</v>
          </cell>
        </row>
        <row r="93">
          <cell r="B93">
            <v>46255</v>
          </cell>
          <cell r="C93" t="str">
            <v>聂新平</v>
          </cell>
          <cell r="D93" t="str">
            <v>原料入库</v>
          </cell>
          <cell r="E93" t="str">
            <v>NO:0000711</v>
          </cell>
          <cell r="F93" t="str">
            <v>西梅</v>
          </cell>
          <cell r="G93" t="str">
            <v>西梅二级</v>
          </cell>
          <cell r="H93">
            <v>783</v>
          </cell>
          <cell r="I93" t="str">
            <v>筐</v>
          </cell>
          <cell r="J93">
            <v>1566</v>
          </cell>
        </row>
        <row r="93">
          <cell r="N93" t="str">
            <v>自备一次性筐</v>
          </cell>
        </row>
        <row r="93">
          <cell r="Q93">
            <v>783</v>
          </cell>
          <cell r="R93" t="str">
            <v>新N*SQ607</v>
          </cell>
          <cell r="S93" t="str">
            <v>自备筐</v>
          </cell>
        </row>
        <row r="94">
          <cell r="B94">
            <v>46255</v>
          </cell>
          <cell r="C94" t="str">
            <v>聂新平</v>
          </cell>
          <cell r="D94" t="str">
            <v>原料入库</v>
          </cell>
          <cell r="E94" t="str">
            <v>NO:0000711</v>
          </cell>
          <cell r="F94" t="str">
            <v>西梅</v>
          </cell>
          <cell r="G94" t="str">
            <v>西梅三级</v>
          </cell>
          <cell r="H94">
            <v>264</v>
          </cell>
          <cell r="I94" t="str">
            <v>筐</v>
          </cell>
          <cell r="J94">
            <v>528</v>
          </cell>
        </row>
        <row r="94">
          <cell r="N94" t="str">
            <v>自备一次性筐</v>
          </cell>
        </row>
        <row r="94">
          <cell r="Q94">
            <v>264</v>
          </cell>
          <cell r="R94" t="str">
            <v>新N*SQ607</v>
          </cell>
          <cell r="S94" t="str">
            <v>自备筐</v>
          </cell>
        </row>
        <row r="95">
          <cell r="B95">
            <v>46256</v>
          </cell>
          <cell r="C95" t="str">
            <v>聂新平</v>
          </cell>
          <cell r="D95" t="str">
            <v>原料入库</v>
          </cell>
          <cell r="E95" t="str">
            <v>NO:0000712</v>
          </cell>
          <cell r="F95" t="str">
            <v>西梅</v>
          </cell>
          <cell r="G95" t="str">
            <v>西梅一级</v>
          </cell>
          <cell r="H95">
            <v>27</v>
          </cell>
          <cell r="I95" t="str">
            <v>筐</v>
          </cell>
          <cell r="J95">
            <v>189</v>
          </cell>
        </row>
        <row r="95">
          <cell r="N95" t="str">
            <v>自备一次性筐</v>
          </cell>
        </row>
        <row r="95">
          <cell r="Q95">
            <v>27</v>
          </cell>
          <cell r="R95" t="str">
            <v>苏M*7G796</v>
          </cell>
          <cell r="S95" t="str">
            <v>自备筐</v>
          </cell>
        </row>
        <row r="96">
          <cell r="B96">
            <v>46256</v>
          </cell>
          <cell r="C96" t="str">
            <v>聂新平</v>
          </cell>
          <cell r="D96" t="str">
            <v>原料入库</v>
          </cell>
          <cell r="E96" t="str">
            <v>NO:0000712</v>
          </cell>
          <cell r="F96" t="str">
            <v>西梅</v>
          </cell>
          <cell r="G96" t="str">
            <v>西梅二级</v>
          </cell>
          <cell r="H96">
            <v>78</v>
          </cell>
          <cell r="I96" t="str">
            <v>筐</v>
          </cell>
          <cell r="J96">
            <v>936</v>
          </cell>
        </row>
        <row r="96">
          <cell r="N96" t="str">
            <v>自备一次性筐</v>
          </cell>
        </row>
        <row r="96">
          <cell r="Q96">
            <v>78</v>
          </cell>
          <cell r="R96" t="str">
            <v>苏M*7G796</v>
          </cell>
          <cell r="S96" t="str">
            <v>自备筐</v>
          </cell>
        </row>
        <row r="97">
          <cell r="B97">
            <v>46256</v>
          </cell>
          <cell r="C97" t="str">
            <v>聂新平</v>
          </cell>
          <cell r="D97" t="str">
            <v>原料入库</v>
          </cell>
          <cell r="E97" t="str">
            <v>NO:0000714</v>
          </cell>
          <cell r="F97" t="str">
            <v>西梅</v>
          </cell>
          <cell r="G97" t="str">
            <v>西梅一级</v>
          </cell>
          <cell r="H97">
            <v>189</v>
          </cell>
          <cell r="I97" t="str">
            <v>筐</v>
          </cell>
          <cell r="J97">
            <v>1323</v>
          </cell>
        </row>
        <row r="97">
          <cell r="N97" t="str">
            <v>自备一次性筐</v>
          </cell>
        </row>
        <row r="97">
          <cell r="Q97">
            <v>189</v>
          </cell>
          <cell r="R97" t="str">
            <v>新N*SQ607</v>
          </cell>
          <cell r="S97" t="str">
            <v>自备筐</v>
          </cell>
        </row>
        <row r="98">
          <cell r="B98">
            <v>46256</v>
          </cell>
          <cell r="C98" t="str">
            <v>聂新平</v>
          </cell>
          <cell r="D98" t="str">
            <v>原料入库</v>
          </cell>
          <cell r="E98" t="str">
            <v>NO:0000714</v>
          </cell>
          <cell r="F98" t="str">
            <v>西梅</v>
          </cell>
          <cell r="G98" t="str">
            <v>西梅二级</v>
          </cell>
          <cell r="H98">
            <v>111</v>
          </cell>
          <cell r="I98" t="str">
            <v>筐</v>
          </cell>
          <cell r="J98">
            <v>1332</v>
          </cell>
        </row>
        <row r="98">
          <cell r="N98" t="str">
            <v>自备一次性筐</v>
          </cell>
        </row>
        <row r="98">
          <cell r="Q98">
            <v>111</v>
          </cell>
          <cell r="R98" t="str">
            <v>新N*SQ607</v>
          </cell>
          <cell r="S98" t="str">
            <v>自备筐</v>
          </cell>
        </row>
        <row r="99">
          <cell r="B99">
            <v>46256</v>
          </cell>
          <cell r="C99" t="str">
            <v>聂新平</v>
          </cell>
          <cell r="D99" t="str">
            <v>原料入库</v>
          </cell>
          <cell r="E99" t="str">
            <v>NO:0000714</v>
          </cell>
          <cell r="F99" t="str">
            <v>西梅</v>
          </cell>
          <cell r="G99" t="str">
            <v>西梅二级</v>
          </cell>
          <cell r="H99">
            <v>253</v>
          </cell>
          <cell r="I99" t="str">
            <v>筐</v>
          </cell>
          <cell r="J99">
            <v>506</v>
          </cell>
        </row>
        <row r="99">
          <cell r="N99" t="str">
            <v>自备一次性筐</v>
          </cell>
        </row>
        <row r="99">
          <cell r="Q99">
            <v>253</v>
          </cell>
          <cell r="R99" t="str">
            <v>新N*SQ607</v>
          </cell>
          <cell r="S99" t="str">
            <v>自备筐</v>
          </cell>
        </row>
        <row r="100">
          <cell r="B100">
            <v>46256</v>
          </cell>
          <cell r="C100" t="str">
            <v>聂新平</v>
          </cell>
          <cell r="D100" t="str">
            <v>原料入库</v>
          </cell>
          <cell r="E100" t="str">
            <v>NO:0000714</v>
          </cell>
          <cell r="F100" t="str">
            <v>西梅</v>
          </cell>
          <cell r="G100" t="str">
            <v>西梅三级</v>
          </cell>
          <cell r="H100">
            <v>408</v>
          </cell>
          <cell r="I100" t="str">
            <v>筐</v>
          </cell>
          <cell r="J100">
            <v>816</v>
          </cell>
        </row>
        <row r="100">
          <cell r="N100" t="str">
            <v>自备一次性筐</v>
          </cell>
        </row>
        <row r="100">
          <cell r="Q100">
            <v>408</v>
          </cell>
          <cell r="R100" t="str">
            <v>新N*SQ607</v>
          </cell>
          <cell r="S100" t="str">
            <v>自备筐</v>
          </cell>
        </row>
        <row r="101">
          <cell r="B101">
            <v>46257</v>
          </cell>
          <cell r="C101" t="str">
            <v>聂新平</v>
          </cell>
          <cell r="D101" t="str">
            <v>原料入库</v>
          </cell>
          <cell r="E101" t="str">
            <v>NO:0000716</v>
          </cell>
          <cell r="F101" t="str">
            <v>西梅</v>
          </cell>
          <cell r="G101" t="str">
            <v>西梅一级</v>
          </cell>
          <cell r="H101">
            <v>81</v>
          </cell>
          <cell r="I101" t="str">
            <v>筐</v>
          </cell>
          <cell r="J101">
            <v>567</v>
          </cell>
        </row>
        <row r="101">
          <cell r="N101" t="str">
            <v>自备一次性筐</v>
          </cell>
        </row>
        <row r="101">
          <cell r="Q101">
            <v>81</v>
          </cell>
          <cell r="R101" t="str">
            <v>苏M*7G796</v>
          </cell>
          <cell r="S101" t="str">
            <v>自备筐</v>
          </cell>
        </row>
        <row r="102">
          <cell r="B102">
            <v>46257</v>
          </cell>
          <cell r="C102" t="str">
            <v>聂新平</v>
          </cell>
          <cell r="D102" t="str">
            <v>原料入库</v>
          </cell>
          <cell r="E102" t="str">
            <v>NO:0000716</v>
          </cell>
          <cell r="F102" t="str">
            <v>西梅</v>
          </cell>
          <cell r="G102" t="str">
            <v>西梅二级</v>
          </cell>
          <cell r="H102">
            <v>36</v>
          </cell>
          <cell r="I102" t="str">
            <v>筐</v>
          </cell>
          <cell r="J102">
            <v>432</v>
          </cell>
        </row>
        <row r="102">
          <cell r="N102" t="str">
            <v>自备一次性筐</v>
          </cell>
        </row>
        <row r="102">
          <cell r="Q102">
            <v>36</v>
          </cell>
          <cell r="R102" t="str">
            <v>苏M*7G796</v>
          </cell>
          <cell r="S102" t="str">
            <v>自备筐</v>
          </cell>
        </row>
        <row r="103">
          <cell r="B103">
            <v>46257</v>
          </cell>
          <cell r="C103" t="str">
            <v>聂新平</v>
          </cell>
          <cell r="D103" t="str">
            <v>原料入库</v>
          </cell>
          <cell r="E103" t="str">
            <v>NO:0000716</v>
          </cell>
          <cell r="F103" t="str">
            <v>西梅</v>
          </cell>
          <cell r="G103" t="str">
            <v>西梅三级</v>
          </cell>
          <cell r="H103">
            <v>13</v>
          </cell>
          <cell r="I103" t="str">
            <v>筐</v>
          </cell>
          <cell r="J103">
            <v>26</v>
          </cell>
        </row>
        <row r="103">
          <cell r="N103" t="str">
            <v>自备一次性筐</v>
          </cell>
        </row>
        <row r="103">
          <cell r="Q103">
            <v>13</v>
          </cell>
          <cell r="R103" t="str">
            <v>苏M*7G796</v>
          </cell>
          <cell r="S103" t="str">
            <v>自备筐</v>
          </cell>
        </row>
        <row r="104">
          <cell r="B104">
            <v>46257</v>
          </cell>
          <cell r="C104" t="str">
            <v>聂新平</v>
          </cell>
          <cell r="D104" t="str">
            <v>原料入库</v>
          </cell>
          <cell r="E104" t="str">
            <v>NO:0000717</v>
          </cell>
          <cell r="F104" t="str">
            <v>西梅</v>
          </cell>
          <cell r="G104" t="str">
            <v>西梅一级</v>
          </cell>
          <cell r="H104">
            <v>73</v>
          </cell>
          <cell r="I104" t="str">
            <v>筐</v>
          </cell>
          <cell r="J104">
            <v>511</v>
          </cell>
        </row>
        <row r="104">
          <cell r="N104" t="str">
            <v>自备一次性筐</v>
          </cell>
        </row>
        <row r="104">
          <cell r="Q104">
            <v>73</v>
          </cell>
          <cell r="R104" t="str">
            <v>新N*SQ607</v>
          </cell>
          <cell r="S104" t="str">
            <v>自备筐</v>
          </cell>
        </row>
        <row r="105">
          <cell r="B105">
            <v>46257</v>
          </cell>
          <cell r="C105" t="str">
            <v>聂新平</v>
          </cell>
          <cell r="D105" t="str">
            <v>原料入库</v>
          </cell>
          <cell r="E105" t="str">
            <v>NO:0000717</v>
          </cell>
          <cell r="F105" t="str">
            <v>西梅</v>
          </cell>
          <cell r="G105" t="str">
            <v>西梅二级</v>
          </cell>
          <cell r="H105">
            <v>140</v>
          </cell>
          <cell r="I105" t="str">
            <v>筐</v>
          </cell>
          <cell r="J105">
            <v>1680</v>
          </cell>
        </row>
        <row r="105">
          <cell r="N105" t="str">
            <v>自备一次性筐</v>
          </cell>
        </row>
        <row r="105">
          <cell r="Q105">
            <v>140</v>
          </cell>
          <cell r="R105" t="str">
            <v>新N*SQ607</v>
          </cell>
          <cell r="S105" t="str">
            <v>自备筐</v>
          </cell>
        </row>
        <row r="106">
          <cell r="B106">
            <v>46257</v>
          </cell>
          <cell r="C106" t="str">
            <v>聂新平</v>
          </cell>
          <cell r="D106" t="str">
            <v>原料入库</v>
          </cell>
          <cell r="E106" t="str">
            <v>NO:0000717</v>
          </cell>
          <cell r="F106" t="str">
            <v>西梅</v>
          </cell>
          <cell r="G106" t="str">
            <v>西梅三级</v>
          </cell>
          <cell r="H106">
            <v>354</v>
          </cell>
          <cell r="I106" t="str">
            <v>筐</v>
          </cell>
          <cell r="J106">
            <v>708</v>
          </cell>
        </row>
        <row r="106">
          <cell r="N106" t="str">
            <v>自备一次性筐</v>
          </cell>
        </row>
        <row r="106">
          <cell r="Q106">
            <v>354</v>
          </cell>
          <cell r="R106" t="str">
            <v>新N*SQ607</v>
          </cell>
          <cell r="S106" t="str">
            <v>自备筐</v>
          </cell>
        </row>
        <row r="107">
          <cell r="B107">
            <v>46258</v>
          </cell>
          <cell r="C107" t="str">
            <v>聂新平</v>
          </cell>
          <cell r="D107" t="str">
            <v>原料入库</v>
          </cell>
          <cell r="E107" t="str">
            <v>NO:0000720</v>
          </cell>
          <cell r="F107" t="str">
            <v>西梅</v>
          </cell>
          <cell r="G107" t="str">
            <v>西梅一级</v>
          </cell>
          <cell r="H107">
            <v>81</v>
          </cell>
          <cell r="I107" t="str">
            <v>筐</v>
          </cell>
          <cell r="J107">
            <v>567</v>
          </cell>
        </row>
        <row r="107">
          <cell r="N107" t="str">
            <v>自备一次性筐</v>
          </cell>
        </row>
        <row r="107">
          <cell r="Q107">
            <v>81</v>
          </cell>
          <cell r="R107" t="str">
            <v>苏M*7G796</v>
          </cell>
          <cell r="S107" t="str">
            <v>自备筐</v>
          </cell>
        </row>
        <row r="108">
          <cell r="B108">
            <v>46258</v>
          </cell>
          <cell r="C108" t="str">
            <v>聂新平</v>
          </cell>
          <cell r="D108" t="str">
            <v>原料入库</v>
          </cell>
          <cell r="E108" t="str">
            <v>NO:0000720</v>
          </cell>
          <cell r="F108" t="str">
            <v>西梅</v>
          </cell>
          <cell r="G108" t="str">
            <v>西梅二级</v>
          </cell>
          <cell r="H108">
            <v>43</v>
          </cell>
          <cell r="I108" t="str">
            <v>筐</v>
          </cell>
          <cell r="J108">
            <v>516</v>
          </cell>
        </row>
        <row r="108">
          <cell r="N108" t="str">
            <v>自备一次性筐</v>
          </cell>
        </row>
        <row r="108">
          <cell r="Q108">
            <v>43</v>
          </cell>
          <cell r="R108" t="str">
            <v>苏M*7G796</v>
          </cell>
          <cell r="S108" t="str">
            <v>自备筐</v>
          </cell>
        </row>
        <row r="109">
          <cell r="B109">
            <v>46258</v>
          </cell>
          <cell r="C109" t="str">
            <v>聂新平</v>
          </cell>
          <cell r="D109" t="str">
            <v>原料入库</v>
          </cell>
          <cell r="E109" t="str">
            <v>NO:0000722</v>
          </cell>
          <cell r="F109" t="str">
            <v>西梅</v>
          </cell>
          <cell r="G109" t="str">
            <v>西梅二级</v>
          </cell>
          <cell r="H109">
            <v>96</v>
          </cell>
          <cell r="I109" t="str">
            <v>筐</v>
          </cell>
          <cell r="J109">
            <v>1152</v>
          </cell>
        </row>
        <row r="109">
          <cell r="N109" t="str">
            <v>自备一次性筐</v>
          </cell>
        </row>
        <row r="109">
          <cell r="Q109">
            <v>96</v>
          </cell>
          <cell r="R109" t="str">
            <v>苏M*7G796</v>
          </cell>
          <cell r="S109" t="str">
            <v>自备筐</v>
          </cell>
        </row>
        <row r="110">
          <cell r="B110">
            <v>46258</v>
          </cell>
          <cell r="C110" t="str">
            <v>聂新平</v>
          </cell>
          <cell r="D110" t="str">
            <v>原料入库</v>
          </cell>
          <cell r="E110" t="str">
            <v>NO:0000722</v>
          </cell>
          <cell r="F110" t="str">
            <v>西梅</v>
          </cell>
          <cell r="G110" t="str">
            <v>西梅三级</v>
          </cell>
          <cell r="H110">
            <v>35</v>
          </cell>
          <cell r="I110" t="str">
            <v>筐</v>
          </cell>
          <cell r="J110">
            <v>70</v>
          </cell>
        </row>
        <row r="110">
          <cell r="N110" t="str">
            <v>自备一次性筐</v>
          </cell>
        </row>
        <row r="110">
          <cell r="Q110">
            <v>35</v>
          </cell>
          <cell r="R110" t="str">
            <v>苏M*7G796</v>
          </cell>
          <cell r="S110" t="str">
            <v>自备筐</v>
          </cell>
        </row>
        <row r="111">
          <cell r="B111">
            <v>46258</v>
          </cell>
          <cell r="C111" t="str">
            <v>聂新平</v>
          </cell>
          <cell r="D111" t="str">
            <v>原料入库</v>
          </cell>
          <cell r="E111" t="str">
            <v>NO:0000723</v>
          </cell>
          <cell r="F111" t="str">
            <v>西梅</v>
          </cell>
          <cell r="G111" t="str">
            <v>西梅一级</v>
          </cell>
          <cell r="H111">
            <v>112</v>
          </cell>
          <cell r="I111" t="str">
            <v>筐</v>
          </cell>
          <cell r="J111">
            <v>784</v>
          </cell>
        </row>
        <row r="111">
          <cell r="N111" t="str">
            <v>自备一次性筐</v>
          </cell>
        </row>
        <row r="111">
          <cell r="Q111">
            <v>112</v>
          </cell>
          <cell r="R111" t="str">
            <v>苏M*7G796</v>
          </cell>
          <cell r="S111" t="str">
            <v>自备筐</v>
          </cell>
        </row>
        <row r="112">
          <cell r="B112">
            <v>46258</v>
          </cell>
          <cell r="C112" t="str">
            <v>聂新平</v>
          </cell>
          <cell r="D112" t="str">
            <v>原料入库</v>
          </cell>
          <cell r="E112" t="str">
            <v>NO:0000723</v>
          </cell>
          <cell r="F112" t="str">
            <v>西梅</v>
          </cell>
          <cell r="G112" t="str">
            <v>西梅二级</v>
          </cell>
          <cell r="H112">
            <v>30</v>
          </cell>
          <cell r="I112" t="str">
            <v>筐</v>
          </cell>
          <cell r="J112">
            <v>360</v>
          </cell>
        </row>
        <row r="112">
          <cell r="N112" t="str">
            <v>自备一次性筐</v>
          </cell>
        </row>
        <row r="112">
          <cell r="Q112">
            <v>30</v>
          </cell>
          <cell r="R112" t="str">
            <v>苏M*7G796</v>
          </cell>
          <cell r="S112" t="str">
            <v>自备筐</v>
          </cell>
        </row>
        <row r="113">
          <cell r="B113">
            <v>46259</v>
          </cell>
          <cell r="C113" t="str">
            <v>聂新平</v>
          </cell>
          <cell r="D113" t="str">
            <v>原料入库</v>
          </cell>
          <cell r="E113" t="str">
            <v>NO:0000724</v>
          </cell>
          <cell r="F113" t="str">
            <v>西梅</v>
          </cell>
          <cell r="G113" t="str">
            <v>西梅二级</v>
          </cell>
          <cell r="H113">
            <v>97</v>
          </cell>
          <cell r="I113" t="str">
            <v>筐</v>
          </cell>
          <cell r="J113">
            <v>194</v>
          </cell>
        </row>
        <row r="113">
          <cell r="N113" t="str">
            <v>自备一次性筐</v>
          </cell>
        </row>
        <row r="113">
          <cell r="Q113">
            <v>97</v>
          </cell>
          <cell r="R113" t="str">
            <v>苏M*7G796</v>
          </cell>
          <cell r="S113" t="str">
            <v>自备筐</v>
          </cell>
        </row>
        <row r="114">
          <cell r="B114">
            <v>46259</v>
          </cell>
          <cell r="C114" t="str">
            <v>聂新平</v>
          </cell>
          <cell r="D114" t="str">
            <v>原料入库</v>
          </cell>
          <cell r="E114" t="str">
            <v>NO:0000724</v>
          </cell>
          <cell r="F114" t="str">
            <v>西梅</v>
          </cell>
          <cell r="G114" t="str">
            <v>西梅三级</v>
          </cell>
          <cell r="H114">
            <v>371</v>
          </cell>
          <cell r="I114" t="str">
            <v>筐</v>
          </cell>
          <cell r="J114">
            <v>742</v>
          </cell>
        </row>
        <row r="114">
          <cell r="N114" t="str">
            <v>自备一次性筐</v>
          </cell>
        </row>
        <row r="114">
          <cell r="Q114">
            <v>371</v>
          </cell>
          <cell r="R114" t="str">
            <v>苏M*7G796</v>
          </cell>
          <cell r="S114" t="str">
            <v>自备筐</v>
          </cell>
        </row>
        <row r="115">
          <cell r="B115">
            <v>46259</v>
          </cell>
          <cell r="C115" t="str">
            <v>聂新平</v>
          </cell>
          <cell r="D115" t="str">
            <v>原料入库</v>
          </cell>
          <cell r="E115" t="str">
            <v>NO:0000724</v>
          </cell>
          <cell r="F115" t="str">
            <v>西梅</v>
          </cell>
          <cell r="G115" t="str">
            <v>西梅二级</v>
          </cell>
          <cell r="H115">
            <v>4</v>
          </cell>
          <cell r="I115" t="str">
            <v>筐</v>
          </cell>
          <cell r="J115">
            <v>48</v>
          </cell>
        </row>
        <row r="115">
          <cell r="N115" t="str">
            <v>自备一次性筐</v>
          </cell>
        </row>
        <row r="115">
          <cell r="Q115">
            <v>4</v>
          </cell>
          <cell r="R115" t="str">
            <v>苏M*7G796</v>
          </cell>
          <cell r="S115" t="str">
            <v>自备筐</v>
          </cell>
        </row>
        <row r="116">
          <cell r="B116">
            <v>46259</v>
          </cell>
          <cell r="C116" t="str">
            <v>聂新平</v>
          </cell>
          <cell r="D116" t="str">
            <v>原料入库</v>
          </cell>
          <cell r="E116" t="str">
            <v>NO:0000725</v>
          </cell>
          <cell r="F116" t="str">
            <v>西梅</v>
          </cell>
          <cell r="G116" t="str">
            <v>西梅一级</v>
          </cell>
          <cell r="H116">
            <v>72</v>
          </cell>
          <cell r="I116" t="str">
            <v>筐</v>
          </cell>
          <cell r="J116">
            <v>504</v>
          </cell>
        </row>
        <row r="116">
          <cell r="N116" t="str">
            <v>自备一次性筐</v>
          </cell>
        </row>
        <row r="116">
          <cell r="Q116">
            <v>72</v>
          </cell>
          <cell r="R116" t="str">
            <v>苏M*7G796</v>
          </cell>
          <cell r="S116" t="str">
            <v>自备筐</v>
          </cell>
        </row>
        <row r="117">
          <cell r="B117">
            <v>46259</v>
          </cell>
          <cell r="C117" t="str">
            <v>聂新平</v>
          </cell>
          <cell r="D117" t="str">
            <v>原料入库</v>
          </cell>
          <cell r="E117" t="str">
            <v>NO:0000725</v>
          </cell>
          <cell r="F117" t="str">
            <v>西梅</v>
          </cell>
          <cell r="G117" t="str">
            <v>西梅二级</v>
          </cell>
          <cell r="H117">
            <v>238</v>
          </cell>
          <cell r="I117" t="str">
            <v>筐</v>
          </cell>
          <cell r="J117">
            <v>476</v>
          </cell>
        </row>
        <row r="117">
          <cell r="N117" t="str">
            <v>自备一次性筐</v>
          </cell>
        </row>
        <row r="117">
          <cell r="Q117">
            <v>238</v>
          </cell>
          <cell r="R117" t="str">
            <v>苏M*7G796</v>
          </cell>
          <cell r="S117" t="str">
            <v>自备筐</v>
          </cell>
        </row>
        <row r="118">
          <cell r="B118">
            <v>46259</v>
          </cell>
          <cell r="C118" t="str">
            <v>聂新平</v>
          </cell>
          <cell r="D118" t="str">
            <v>原料入库</v>
          </cell>
          <cell r="E118" t="str">
            <v>NO:0000726</v>
          </cell>
          <cell r="F118" t="str">
            <v>西梅</v>
          </cell>
          <cell r="G118" t="str">
            <v>西梅一级</v>
          </cell>
          <cell r="H118">
            <v>50</v>
          </cell>
          <cell r="I118" t="str">
            <v>筐</v>
          </cell>
          <cell r="J118">
            <v>350</v>
          </cell>
        </row>
        <row r="118">
          <cell r="N118" t="str">
            <v>自备一次性筐</v>
          </cell>
        </row>
        <row r="118">
          <cell r="Q118">
            <v>50</v>
          </cell>
          <cell r="R118" t="str">
            <v>苏M*7G796</v>
          </cell>
          <cell r="S118" t="str">
            <v>自备筐</v>
          </cell>
        </row>
        <row r="119">
          <cell r="B119">
            <v>46259</v>
          </cell>
          <cell r="C119" t="str">
            <v>聂新平</v>
          </cell>
          <cell r="D119" t="str">
            <v>原料入库</v>
          </cell>
          <cell r="E119" t="str">
            <v>NO:0000726</v>
          </cell>
          <cell r="F119" t="str">
            <v>西梅</v>
          </cell>
          <cell r="G119" t="str">
            <v>西梅二级</v>
          </cell>
          <cell r="H119">
            <v>22</v>
          </cell>
          <cell r="I119" t="str">
            <v>筐</v>
          </cell>
          <cell r="J119">
            <v>264</v>
          </cell>
        </row>
        <row r="119">
          <cell r="N119" t="str">
            <v>自备一次性筐</v>
          </cell>
        </row>
        <row r="119">
          <cell r="Q119">
            <v>22</v>
          </cell>
          <cell r="R119" t="str">
            <v>苏M*7G796</v>
          </cell>
          <cell r="S119" t="str">
            <v>自备筐</v>
          </cell>
        </row>
        <row r="120">
          <cell r="B120">
            <v>46259</v>
          </cell>
          <cell r="C120" t="str">
            <v>聂新平</v>
          </cell>
          <cell r="D120" t="str">
            <v>原料入库</v>
          </cell>
          <cell r="E120" t="str">
            <v>NO:0000726</v>
          </cell>
          <cell r="F120" t="str">
            <v>西梅</v>
          </cell>
          <cell r="G120" t="str">
            <v>西梅二级</v>
          </cell>
          <cell r="H120">
            <v>288</v>
          </cell>
          <cell r="I120" t="str">
            <v>筐</v>
          </cell>
          <cell r="J120">
            <v>576</v>
          </cell>
        </row>
        <row r="120">
          <cell r="N120" t="str">
            <v>自备一次性筐</v>
          </cell>
        </row>
        <row r="120">
          <cell r="Q120">
            <v>288</v>
          </cell>
          <cell r="R120" t="str">
            <v>苏M*7G796</v>
          </cell>
          <cell r="S120" t="str">
            <v>自备筐</v>
          </cell>
        </row>
        <row r="121">
          <cell r="B121">
            <v>46259</v>
          </cell>
          <cell r="C121" t="str">
            <v>聂新平</v>
          </cell>
          <cell r="D121" t="str">
            <v>原料入库</v>
          </cell>
          <cell r="E121" t="str">
            <v>NO:0000726</v>
          </cell>
          <cell r="F121" t="str">
            <v>西梅</v>
          </cell>
          <cell r="G121" t="str">
            <v>西梅三级</v>
          </cell>
          <cell r="H121">
            <v>68</v>
          </cell>
          <cell r="I121" t="str">
            <v>筐</v>
          </cell>
          <cell r="J121">
            <v>136</v>
          </cell>
        </row>
        <row r="121">
          <cell r="N121" t="str">
            <v>自备一次性筐</v>
          </cell>
        </row>
        <row r="121">
          <cell r="Q121">
            <v>68</v>
          </cell>
          <cell r="R121" t="str">
            <v>苏M*7G796</v>
          </cell>
          <cell r="S121" t="str">
            <v>自备筐</v>
          </cell>
        </row>
        <row r="122">
          <cell r="B122">
            <v>46259</v>
          </cell>
          <cell r="C122" t="str">
            <v>聂新平</v>
          </cell>
          <cell r="D122" t="str">
            <v>原料入库</v>
          </cell>
          <cell r="E122" t="str">
            <v>NO:0000728</v>
          </cell>
          <cell r="F122" t="str">
            <v>西梅</v>
          </cell>
          <cell r="G122" t="str">
            <v>西梅一级</v>
          </cell>
          <cell r="H122">
            <v>50</v>
          </cell>
          <cell r="I122" t="str">
            <v>筐</v>
          </cell>
          <cell r="J122">
            <v>350</v>
          </cell>
        </row>
        <row r="122">
          <cell r="N122" t="str">
            <v>自备一次性筐</v>
          </cell>
        </row>
        <row r="122">
          <cell r="Q122">
            <v>50</v>
          </cell>
          <cell r="R122" t="str">
            <v>苏M*7G796</v>
          </cell>
          <cell r="S122" t="str">
            <v>自备筐</v>
          </cell>
        </row>
        <row r="123">
          <cell r="B123">
            <v>46259</v>
          </cell>
          <cell r="C123" t="str">
            <v>聂新平</v>
          </cell>
          <cell r="D123" t="str">
            <v>原料入库</v>
          </cell>
          <cell r="E123" t="str">
            <v>NO:0000728</v>
          </cell>
          <cell r="F123" t="str">
            <v>西梅</v>
          </cell>
          <cell r="G123" t="str">
            <v>西梅二级</v>
          </cell>
          <cell r="H123">
            <v>12</v>
          </cell>
          <cell r="I123" t="str">
            <v>筐</v>
          </cell>
          <cell r="J123">
            <v>144</v>
          </cell>
        </row>
        <row r="123">
          <cell r="N123" t="str">
            <v>自备一次性筐</v>
          </cell>
        </row>
        <row r="123">
          <cell r="Q123">
            <v>12</v>
          </cell>
          <cell r="R123" t="str">
            <v>苏M*7G796</v>
          </cell>
          <cell r="S123" t="str">
            <v>自备筐</v>
          </cell>
        </row>
        <row r="124">
          <cell r="B124">
            <v>46259</v>
          </cell>
          <cell r="C124" t="str">
            <v>聂新平</v>
          </cell>
          <cell r="D124" t="str">
            <v>原料入库</v>
          </cell>
          <cell r="E124" t="str">
            <v>NO:0000728</v>
          </cell>
          <cell r="F124" t="str">
            <v>西梅</v>
          </cell>
          <cell r="G124" t="str">
            <v>西梅二级</v>
          </cell>
          <cell r="H124">
            <v>312</v>
          </cell>
          <cell r="I124" t="str">
            <v>筐</v>
          </cell>
          <cell r="J124">
            <v>624</v>
          </cell>
        </row>
        <row r="124">
          <cell r="N124" t="str">
            <v>自备一次性筐</v>
          </cell>
        </row>
        <row r="124">
          <cell r="Q124">
            <v>312</v>
          </cell>
          <cell r="R124" t="str">
            <v>苏M*7G796</v>
          </cell>
          <cell r="S124" t="str">
            <v>自备筐</v>
          </cell>
        </row>
        <row r="125">
          <cell r="B125">
            <v>46260</v>
          </cell>
          <cell r="C125" t="str">
            <v>聂新平</v>
          </cell>
          <cell r="D125" t="str">
            <v>原料入库</v>
          </cell>
          <cell r="E125" t="str">
            <v>NO:0000730</v>
          </cell>
          <cell r="F125" t="str">
            <v>西梅</v>
          </cell>
          <cell r="G125" t="str">
            <v>西梅一级</v>
          </cell>
          <cell r="H125">
            <v>20</v>
          </cell>
          <cell r="I125" t="str">
            <v>筐</v>
          </cell>
          <cell r="J125">
            <v>140</v>
          </cell>
        </row>
        <row r="125">
          <cell r="N125" t="str">
            <v>自备一次性筐</v>
          </cell>
        </row>
        <row r="125">
          <cell r="Q125">
            <v>20</v>
          </cell>
          <cell r="R125" t="str">
            <v>苏M*7G796</v>
          </cell>
          <cell r="S125" t="str">
            <v>自备筐</v>
          </cell>
        </row>
        <row r="126">
          <cell r="B126">
            <v>46260</v>
          </cell>
          <cell r="C126" t="str">
            <v>聂新平</v>
          </cell>
          <cell r="D126" t="str">
            <v>原料入库</v>
          </cell>
          <cell r="E126" t="str">
            <v>NO:0000730</v>
          </cell>
          <cell r="F126" t="str">
            <v>西梅</v>
          </cell>
          <cell r="G126" t="str">
            <v>西梅二级</v>
          </cell>
          <cell r="H126">
            <v>222</v>
          </cell>
          <cell r="I126" t="str">
            <v>筐</v>
          </cell>
          <cell r="J126">
            <v>444</v>
          </cell>
        </row>
        <row r="126">
          <cell r="N126" t="str">
            <v>自备一次性筐</v>
          </cell>
        </row>
        <row r="126">
          <cell r="Q126">
            <v>222</v>
          </cell>
          <cell r="R126" t="str">
            <v>苏M*7G796</v>
          </cell>
          <cell r="S126" t="str">
            <v>自备筐</v>
          </cell>
        </row>
        <row r="127">
          <cell r="B127">
            <v>46260</v>
          </cell>
          <cell r="C127" t="str">
            <v>聂新平</v>
          </cell>
          <cell r="D127" t="str">
            <v>原料入库</v>
          </cell>
          <cell r="E127" t="str">
            <v>NO:0000730</v>
          </cell>
          <cell r="F127" t="str">
            <v>西梅</v>
          </cell>
          <cell r="G127" t="str">
            <v>西梅三级</v>
          </cell>
          <cell r="H127">
            <v>243</v>
          </cell>
          <cell r="I127" t="str">
            <v>筐</v>
          </cell>
          <cell r="J127">
            <v>486</v>
          </cell>
        </row>
        <row r="127">
          <cell r="N127" t="str">
            <v>自备一次性筐</v>
          </cell>
        </row>
        <row r="127">
          <cell r="Q127">
            <v>243</v>
          </cell>
          <cell r="R127" t="str">
            <v>苏M*7G796</v>
          </cell>
          <cell r="S127" t="str">
            <v>自备筐</v>
          </cell>
        </row>
        <row r="128">
          <cell r="B128">
            <v>46260</v>
          </cell>
          <cell r="C128" t="str">
            <v>聂新平</v>
          </cell>
          <cell r="D128" t="str">
            <v>原料入库</v>
          </cell>
          <cell r="E128" t="str">
            <v>NO:0000731</v>
          </cell>
          <cell r="F128" t="str">
            <v>西梅</v>
          </cell>
          <cell r="G128" t="str">
            <v>西梅一级</v>
          </cell>
          <cell r="H128">
            <v>101</v>
          </cell>
          <cell r="I128" t="str">
            <v>筐</v>
          </cell>
          <cell r="J128">
            <v>707</v>
          </cell>
        </row>
        <row r="128">
          <cell r="N128" t="str">
            <v>自备一次性筐</v>
          </cell>
        </row>
        <row r="128">
          <cell r="Q128">
            <v>101</v>
          </cell>
          <cell r="R128" t="str">
            <v>苏M*7G796</v>
          </cell>
          <cell r="S128" t="str">
            <v>自备筐</v>
          </cell>
        </row>
        <row r="129">
          <cell r="B129">
            <v>46260</v>
          </cell>
          <cell r="C129" t="str">
            <v>聂新平</v>
          </cell>
          <cell r="D129" t="str">
            <v>原料入库</v>
          </cell>
          <cell r="E129" t="str">
            <v>NO:0000731</v>
          </cell>
          <cell r="F129" t="str">
            <v>西梅</v>
          </cell>
          <cell r="G129" t="str">
            <v>西梅二级</v>
          </cell>
          <cell r="H129">
            <v>24</v>
          </cell>
          <cell r="I129" t="str">
            <v>筐</v>
          </cell>
          <cell r="J129">
            <v>288</v>
          </cell>
        </row>
        <row r="129">
          <cell r="N129" t="str">
            <v>自备一次性筐</v>
          </cell>
        </row>
        <row r="129">
          <cell r="Q129">
            <v>24</v>
          </cell>
          <cell r="R129" t="str">
            <v>苏M*7G796</v>
          </cell>
          <cell r="S129" t="str">
            <v>自备筐</v>
          </cell>
        </row>
        <row r="130">
          <cell r="B130">
            <v>46260</v>
          </cell>
          <cell r="C130" t="str">
            <v>聂新平</v>
          </cell>
          <cell r="D130" t="str">
            <v>原料入库</v>
          </cell>
          <cell r="E130" t="str">
            <v>NO:0000731</v>
          </cell>
          <cell r="F130" t="str">
            <v>西梅</v>
          </cell>
          <cell r="G130" t="str">
            <v>西梅二级</v>
          </cell>
          <cell r="H130">
            <v>60</v>
          </cell>
          <cell r="I130" t="str">
            <v>筐</v>
          </cell>
          <cell r="J130">
            <v>120</v>
          </cell>
        </row>
        <row r="130">
          <cell r="N130" t="str">
            <v>自备一次性筐</v>
          </cell>
        </row>
        <row r="130">
          <cell r="Q130">
            <v>60</v>
          </cell>
          <cell r="R130" t="str">
            <v>苏M*7G796</v>
          </cell>
          <cell r="S130" t="str">
            <v>自备筐</v>
          </cell>
        </row>
        <row r="131">
          <cell r="B131">
            <v>46260</v>
          </cell>
          <cell r="C131" t="str">
            <v>聂新平</v>
          </cell>
          <cell r="D131" t="str">
            <v>原料入库</v>
          </cell>
          <cell r="E131" t="str">
            <v>NO:0000733</v>
          </cell>
          <cell r="F131" t="str">
            <v>西梅</v>
          </cell>
          <cell r="G131" t="str">
            <v>西梅一级</v>
          </cell>
          <cell r="H131">
            <v>86</v>
          </cell>
          <cell r="I131" t="str">
            <v>筐</v>
          </cell>
          <cell r="J131">
            <v>602</v>
          </cell>
        </row>
        <row r="131">
          <cell r="N131" t="str">
            <v>自备一次性筐</v>
          </cell>
        </row>
        <row r="131">
          <cell r="Q131">
            <v>86</v>
          </cell>
          <cell r="R131" t="str">
            <v>苏M*7G796</v>
          </cell>
          <cell r="S131" t="str">
            <v>自备筐</v>
          </cell>
        </row>
        <row r="132">
          <cell r="B132">
            <v>46260</v>
          </cell>
          <cell r="C132" t="str">
            <v>聂新平</v>
          </cell>
          <cell r="D132" t="str">
            <v>原料入库</v>
          </cell>
          <cell r="E132" t="str">
            <v>NO:0000733</v>
          </cell>
          <cell r="F132" t="str">
            <v>西梅</v>
          </cell>
          <cell r="G132" t="str">
            <v>西梅二级</v>
          </cell>
          <cell r="H132">
            <v>54</v>
          </cell>
          <cell r="I132" t="str">
            <v>筐</v>
          </cell>
          <cell r="J132">
            <v>648</v>
          </cell>
        </row>
        <row r="132">
          <cell r="N132" t="str">
            <v>自备一次性筐</v>
          </cell>
        </row>
        <row r="132">
          <cell r="Q132">
            <v>54</v>
          </cell>
          <cell r="R132" t="str">
            <v>苏M*7G796</v>
          </cell>
          <cell r="S132" t="str">
            <v>自备筐</v>
          </cell>
        </row>
        <row r="133">
          <cell r="B133">
            <v>46260</v>
          </cell>
          <cell r="C133" t="str">
            <v>聂新平</v>
          </cell>
          <cell r="D133" t="str">
            <v>原料入库</v>
          </cell>
          <cell r="E133" t="str">
            <v>NO:0000733</v>
          </cell>
          <cell r="F133" t="str">
            <v>西梅</v>
          </cell>
          <cell r="G133" t="str">
            <v>西梅三级</v>
          </cell>
          <cell r="H133">
            <v>53</v>
          </cell>
          <cell r="I133" t="str">
            <v>筐</v>
          </cell>
          <cell r="J133">
            <v>106</v>
          </cell>
        </row>
        <row r="133">
          <cell r="N133" t="str">
            <v>自备一次性筐</v>
          </cell>
        </row>
        <row r="133">
          <cell r="Q133">
            <v>53</v>
          </cell>
          <cell r="R133" t="str">
            <v>苏M*7G796</v>
          </cell>
          <cell r="S133" t="str">
            <v>自备筐</v>
          </cell>
        </row>
        <row r="134">
          <cell r="B134">
            <v>46260</v>
          </cell>
          <cell r="C134" t="str">
            <v>聂新平</v>
          </cell>
          <cell r="D134" t="str">
            <v>原料入库</v>
          </cell>
          <cell r="E134" t="str">
            <v>NO:0000734</v>
          </cell>
          <cell r="F134" t="str">
            <v>西梅</v>
          </cell>
          <cell r="G134" t="str">
            <v>西梅二级</v>
          </cell>
          <cell r="H134">
            <v>21</v>
          </cell>
          <cell r="I134" t="str">
            <v>筐</v>
          </cell>
          <cell r="J134">
            <v>252</v>
          </cell>
        </row>
        <row r="134">
          <cell r="N134" t="str">
            <v>自备一次性筐</v>
          </cell>
        </row>
        <row r="134">
          <cell r="Q134">
            <v>21</v>
          </cell>
          <cell r="R134" t="str">
            <v>苏M*7G796</v>
          </cell>
          <cell r="S134" t="str">
            <v>自备筐</v>
          </cell>
        </row>
        <row r="135">
          <cell r="B135">
            <v>46260</v>
          </cell>
          <cell r="C135" t="str">
            <v>聂新平</v>
          </cell>
          <cell r="D135" t="str">
            <v>原料入库</v>
          </cell>
          <cell r="E135" t="str">
            <v>NO:0000734</v>
          </cell>
          <cell r="F135" t="str">
            <v>西梅</v>
          </cell>
          <cell r="G135" t="str">
            <v>西梅二级</v>
          </cell>
          <cell r="H135">
            <v>216</v>
          </cell>
          <cell r="I135" t="str">
            <v>筐</v>
          </cell>
          <cell r="J135">
            <v>432</v>
          </cell>
        </row>
        <row r="135">
          <cell r="N135" t="str">
            <v>自备一次性筐</v>
          </cell>
        </row>
        <row r="135">
          <cell r="Q135">
            <v>216</v>
          </cell>
          <cell r="R135" t="str">
            <v>苏M*7G796</v>
          </cell>
          <cell r="S135" t="str">
            <v>自备筐</v>
          </cell>
        </row>
        <row r="136">
          <cell r="B136">
            <v>46260</v>
          </cell>
          <cell r="C136" t="str">
            <v>聂新平</v>
          </cell>
          <cell r="D136" t="str">
            <v>原料入库</v>
          </cell>
          <cell r="E136" t="str">
            <v>NO:0000734</v>
          </cell>
          <cell r="F136" t="str">
            <v>西梅</v>
          </cell>
          <cell r="G136" t="str">
            <v>西梅三级</v>
          </cell>
          <cell r="H136">
            <v>153</v>
          </cell>
          <cell r="I136" t="str">
            <v>筐</v>
          </cell>
          <cell r="J136">
            <v>306</v>
          </cell>
        </row>
        <row r="136">
          <cell r="N136" t="str">
            <v>自备一次性筐</v>
          </cell>
        </row>
        <row r="136">
          <cell r="Q136">
            <v>153</v>
          </cell>
          <cell r="R136" t="str">
            <v>苏M*7G796</v>
          </cell>
          <cell r="S136" t="str">
            <v>自备筐</v>
          </cell>
        </row>
        <row r="137">
          <cell r="B137">
            <v>46261</v>
          </cell>
          <cell r="C137" t="str">
            <v>聂新平</v>
          </cell>
          <cell r="D137" t="str">
            <v>原料入库</v>
          </cell>
          <cell r="E137" t="str">
            <v>NO:0000735</v>
          </cell>
          <cell r="F137" t="str">
            <v>西梅</v>
          </cell>
          <cell r="G137" t="str">
            <v>西梅一级</v>
          </cell>
          <cell r="H137">
            <v>100</v>
          </cell>
          <cell r="I137" t="str">
            <v>筐</v>
          </cell>
          <cell r="J137">
            <v>700</v>
          </cell>
        </row>
        <row r="137">
          <cell r="N137" t="str">
            <v>自备一次性筐</v>
          </cell>
        </row>
        <row r="137">
          <cell r="Q137">
            <v>100</v>
          </cell>
          <cell r="R137" t="str">
            <v>苏M*7G796</v>
          </cell>
          <cell r="S137" t="str">
            <v>自备筐</v>
          </cell>
        </row>
        <row r="138">
          <cell r="B138">
            <v>46261</v>
          </cell>
          <cell r="C138" t="str">
            <v>聂新平</v>
          </cell>
          <cell r="D138" t="str">
            <v>原料入库</v>
          </cell>
          <cell r="E138" t="str">
            <v>NO:0000735</v>
          </cell>
          <cell r="F138" t="str">
            <v>西梅</v>
          </cell>
          <cell r="G138" t="str">
            <v>西梅二级</v>
          </cell>
          <cell r="H138">
            <v>42</v>
          </cell>
          <cell r="I138" t="str">
            <v>筐</v>
          </cell>
          <cell r="J138">
            <v>504</v>
          </cell>
        </row>
        <row r="138">
          <cell r="N138" t="str">
            <v>自备一次性筐</v>
          </cell>
        </row>
        <row r="138">
          <cell r="Q138">
            <v>42</v>
          </cell>
          <cell r="R138" t="str">
            <v>苏M*7G796</v>
          </cell>
          <cell r="S138" t="str">
            <v>自备筐</v>
          </cell>
        </row>
        <row r="139">
          <cell r="B139">
            <v>46261</v>
          </cell>
          <cell r="C139" t="str">
            <v>聂新平</v>
          </cell>
          <cell r="D139" t="str">
            <v>原料入库</v>
          </cell>
          <cell r="E139" t="str">
            <v>NO:0000736</v>
          </cell>
          <cell r="F139" t="str">
            <v>西梅</v>
          </cell>
          <cell r="G139" t="str">
            <v>西梅一级</v>
          </cell>
          <cell r="H139">
            <v>1</v>
          </cell>
          <cell r="I139" t="str">
            <v>筐</v>
          </cell>
          <cell r="J139">
            <v>7</v>
          </cell>
        </row>
        <row r="139">
          <cell r="N139" t="str">
            <v>自备一次性筐</v>
          </cell>
        </row>
        <row r="139">
          <cell r="Q139">
            <v>1</v>
          </cell>
          <cell r="R139" t="str">
            <v>苏M*7G796</v>
          </cell>
          <cell r="S139" t="str">
            <v>自备筐</v>
          </cell>
        </row>
        <row r="140">
          <cell r="B140">
            <v>46261</v>
          </cell>
          <cell r="C140" t="str">
            <v>聂新平</v>
          </cell>
          <cell r="D140" t="str">
            <v>原料入库</v>
          </cell>
          <cell r="E140" t="str">
            <v>NO:0000736</v>
          </cell>
          <cell r="F140" t="str">
            <v>西梅</v>
          </cell>
          <cell r="G140" t="str">
            <v>西梅二级</v>
          </cell>
          <cell r="H140">
            <v>40</v>
          </cell>
          <cell r="I140" t="str">
            <v>筐</v>
          </cell>
          <cell r="J140">
            <v>480</v>
          </cell>
        </row>
        <row r="140">
          <cell r="N140" t="str">
            <v>自备一次性筐</v>
          </cell>
        </row>
        <row r="140">
          <cell r="Q140">
            <v>40</v>
          </cell>
          <cell r="R140" t="str">
            <v>苏M*7G796</v>
          </cell>
          <cell r="S140" t="str">
            <v>自备筐</v>
          </cell>
        </row>
        <row r="141">
          <cell r="B141">
            <v>46261</v>
          </cell>
          <cell r="C141" t="str">
            <v>聂新平</v>
          </cell>
          <cell r="D141" t="str">
            <v>原料入库</v>
          </cell>
          <cell r="E141" t="str">
            <v>NO:0000736</v>
          </cell>
          <cell r="F141" t="str">
            <v>西梅</v>
          </cell>
          <cell r="G141" t="str">
            <v>西梅三级</v>
          </cell>
          <cell r="H141">
            <v>107</v>
          </cell>
          <cell r="I141" t="str">
            <v>筐</v>
          </cell>
          <cell r="J141">
            <v>214</v>
          </cell>
        </row>
        <row r="141">
          <cell r="N141" t="str">
            <v>自备一次性筐</v>
          </cell>
        </row>
        <row r="141">
          <cell r="Q141">
            <v>107</v>
          </cell>
          <cell r="R141" t="str">
            <v>苏M*7G796</v>
          </cell>
          <cell r="S141" t="str">
            <v>自备筐</v>
          </cell>
        </row>
        <row r="142">
          <cell r="B142">
            <v>46269</v>
          </cell>
          <cell r="C142" t="str">
            <v>马锦祥</v>
          </cell>
          <cell r="D142" t="str">
            <v>原料入库</v>
          </cell>
          <cell r="E142" t="str">
            <v>NO:0000752</v>
          </cell>
          <cell r="F142" t="str">
            <v>香梨</v>
          </cell>
          <cell r="G142" t="str">
            <v>香梨一级</v>
          </cell>
          <cell r="H142">
            <v>266</v>
          </cell>
          <cell r="I142" t="str">
            <v>筐</v>
          </cell>
          <cell r="J142">
            <v>4867.8</v>
          </cell>
        </row>
        <row r="142">
          <cell r="N142" t="str">
            <v>公司杂周转筐</v>
          </cell>
        </row>
        <row r="142">
          <cell r="Q142">
            <v>266</v>
          </cell>
          <cell r="R142" t="str">
            <v>新N*K7V85</v>
          </cell>
          <cell r="S142" t="str">
            <v>公司筐</v>
          </cell>
        </row>
        <row r="143">
          <cell r="B143">
            <v>46269</v>
          </cell>
          <cell r="C143" t="str">
            <v>马锦祥</v>
          </cell>
          <cell r="D143" t="str">
            <v>原料入库</v>
          </cell>
          <cell r="E143" t="str">
            <v>NO:0000752</v>
          </cell>
          <cell r="F143" t="str">
            <v>香梨</v>
          </cell>
          <cell r="G143" t="str">
            <v>香梨二级</v>
          </cell>
          <cell r="H143">
            <v>70</v>
          </cell>
          <cell r="I143" t="str">
            <v>筐</v>
          </cell>
          <cell r="J143">
            <v>1561</v>
          </cell>
        </row>
        <row r="143">
          <cell r="N143" t="str">
            <v>公司杂周转筐</v>
          </cell>
        </row>
        <row r="143">
          <cell r="Q143">
            <v>70</v>
          </cell>
          <cell r="R143" t="str">
            <v>新N*K7V85</v>
          </cell>
          <cell r="S143" t="str">
            <v>公司筐</v>
          </cell>
        </row>
        <row r="144">
          <cell r="B144">
            <v>46269</v>
          </cell>
          <cell r="C144" t="str">
            <v>马锦祥</v>
          </cell>
          <cell r="D144" t="str">
            <v>原料入库</v>
          </cell>
          <cell r="E144" t="str">
            <v>NO:0000752</v>
          </cell>
          <cell r="F144" t="str">
            <v>香梨</v>
          </cell>
          <cell r="G144" t="str">
            <v>香梨副特</v>
          </cell>
          <cell r="H144">
            <v>21</v>
          </cell>
          <cell r="I144" t="str">
            <v>筐</v>
          </cell>
          <cell r="J144">
            <v>384.3</v>
          </cell>
        </row>
        <row r="144">
          <cell r="N144" t="str">
            <v>公司杂周转筐</v>
          </cell>
        </row>
        <row r="144">
          <cell r="Q144">
            <v>21</v>
          </cell>
          <cell r="R144" t="str">
            <v>新N*K7V85</v>
          </cell>
          <cell r="S144" t="str">
            <v>公司筐</v>
          </cell>
        </row>
        <row r="145">
          <cell r="B145">
            <v>46271</v>
          </cell>
          <cell r="C145" t="str">
            <v>麦麦提</v>
          </cell>
          <cell r="D145" t="str">
            <v>原料入库</v>
          </cell>
          <cell r="E145" t="str">
            <v>NO:0000754</v>
          </cell>
          <cell r="F145" t="str">
            <v>香梨</v>
          </cell>
          <cell r="G145" t="str">
            <v>香梨特级</v>
          </cell>
          <cell r="H145">
            <v>280</v>
          </cell>
          <cell r="I145" t="str">
            <v>筐</v>
          </cell>
          <cell r="J145">
            <v>5124</v>
          </cell>
        </row>
        <row r="145">
          <cell r="N145" t="str">
            <v>公司红周转筐</v>
          </cell>
        </row>
        <row r="145">
          <cell r="Q145">
            <v>280</v>
          </cell>
          <cell r="R145" t="str">
            <v>新A*G0554</v>
          </cell>
          <cell r="S145" t="str">
            <v>公司筐</v>
          </cell>
        </row>
        <row r="146">
          <cell r="B146">
            <v>46271</v>
          </cell>
          <cell r="C146" t="str">
            <v>麦麦提</v>
          </cell>
          <cell r="D146" t="str">
            <v>原料入库</v>
          </cell>
          <cell r="E146" t="str">
            <v>NO:0000754</v>
          </cell>
          <cell r="F146" t="str">
            <v>香梨</v>
          </cell>
          <cell r="G146" t="str">
            <v>香梨一级</v>
          </cell>
          <cell r="H146">
            <v>194</v>
          </cell>
          <cell r="I146" t="str">
            <v>筐</v>
          </cell>
          <cell r="J146">
            <v>3550.2</v>
          </cell>
        </row>
        <row r="146">
          <cell r="N146" t="str">
            <v>公司红周转筐</v>
          </cell>
        </row>
        <row r="146">
          <cell r="Q146">
            <v>194</v>
          </cell>
          <cell r="R146" t="str">
            <v>新A*G0554</v>
          </cell>
          <cell r="S146" t="str">
            <v>公司筐</v>
          </cell>
        </row>
        <row r="147">
          <cell r="B147">
            <v>46271</v>
          </cell>
          <cell r="C147" t="str">
            <v>麦麦提</v>
          </cell>
          <cell r="D147" t="str">
            <v>原料入库</v>
          </cell>
          <cell r="E147" t="str">
            <v>NO:0000754</v>
          </cell>
          <cell r="F147" t="str">
            <v>香梨</v>
          </cell>
          <cell r="G147" t="str">
            <v>香梨二级</v>
          </cell>
          <cell r="H147">
            <v>152</v>
          </cell>
          <cell r="I147" t="str">
            <v>筐</v>
          </cell>
          <cell r="J147">
            <v>3389.6</v>
          </cell>
        </row>
        <row r="147">
          <cell r="N147" t="str">
            <v>公司红周转筐</v>
          </cell>
        </row>
        <row r="147">
          <cell r="Q147">
            <v>152</v>
          </cell>
          <cell r="R147" t="str">
            <v>新A*G0554</v>
          </cell>
          <cell r="S147" t="str">
            <v>公司筐</v>
          </cell>
        </row>
        <row r="148">
          <cell r="B148">
            <v>46272</v>
          </cell>
          <cell r="C148" t="str">
            <v>吐尔洪</v>
          </cell>
          <cell r="D148" t="str">
            <v>原料入库</v>
          </cell>
          <cell r="E148" t="str">
            <v>NO:0000756</v>
          </cell>
          <cell r="F148" t="str">
            <v>香梨</v>
          </cell>
          <cell r="G148" t="str">
            <v>香梨特级</v>
          </cell>
          <cell r="H148">
            <v>110</v>
          </cell>
          <cell r="I148" t="str">
            <v>筐</v>
          </cell>
          <cell r="J148">
            <v>2013</v>
          </cell>
        </row>
        <row r="148">
          <cell r="N148" t="str">
            <v>公司红周转筐</v>
          </cell>
        </row>
        <row r="148">
          <cell r="Q148">
            <v>110</v>
          </cell>
          <cell r="R148" t="str">
            <v>新N*X8S48</v>
          </cell>
          <cell r="S148" t="str">
            <v>公司筐</v>
          </cell>
        </row>
        <row r="149">
          <cell r="B149">
            <v>46272</v>
          </cell>
          <cell r="C149" t="str">
            <v>吐尔洪</v>
          </cell>
          <cell r="D149" t="str">
            <v>原料入库</v>
          </cell>
          <cell r="E149" t="str">
            <v>NO:0000756</v>
          </cell>
          <cell r="F149" t="str">
            <v>香梨</v>
          </cell>
          <cell r="G149" t="str">
            <v>香梨二级</v>
          </cell>
          <cell r="H149">
            <v>21</v>
          </cell>
          <cell r="I149" t="str">
            <v>筐</v>
          </cell>
          <cell r="J149">
            <v>384.3</v>
          </cell>
        </row>
        <row r="149">
          <cell r="N149" t="str">
            <v>公司红周转筐</v>
          </cell>
        </row>
        <row r="149">
          <cell r="Q149">
            <v>21</v>
          </cell>
          <cell r="R149" t="str">
            <v>新N*X8S48</v>
          </cell>
          <cell r="S149" t="str">
            <v>公司筐</v>
          </cell>
        </row>
        <row r="150">
          <cell r="B150">
            <v>46272</v>
          </cell>
          <cell r="C150" t="str">
            <v>吐尔洪</v>
          </cell>
          <cell r="D150" t="str">
            <v>原料入库</v>
          </cell>
          <cell r="E150" t="str">
            <v>NO:0000756</v>
          </cell>
          <cell r="F150" t="str">
            <v>香梨</v>
          </cell>
          <cell r="G150" t="str">
            <v>香梨二级</v>
          </cell>
          <cell r="H150">
            <v>67</v>
          </cell>
          <cell r="I150" t="str">
            <v>筐</v>
          </cell>
          <cell r="J150">
            <v>1494.1</v>
          </cell>
        </row>
        <row r="150">
          <cell r="N150" t="str">
            <v>公司红周转筐</v>
          </cell>
        </row>
        <row r="150">
          <cell r="Q150">
            <v>67</v>
          </cell>
          <cell r="R150" t="str">
            <v>新N*X8S48</v>
          </cell>
          <cell r="S150" t="str">
            <v>公司筐</v>
          </cell>
        </row>
        <row r="151">
          <cell r="B151">
            <v>46272</v>
          </cell>
          <cell r="C151" t="str">
            <v>马锦祥</v>
          </cell>
          <cell r="D151" t="str">
            <v>原料入库</v>
          </cell>
          <cell r="E151" t="str">
            <v>NO:0000757</v>
          </cell>
          <cell r="F151" t="str">
            <v>香梨</v>
          </cell>
          <cell r="G151" t="str">
            <v>香梨一级</v>
          </cell>
          <cell r="H151">
            <v>320</v>
          </cell>
          <cell r="I151" t="str">
            <v>筐</v>
          </cell>
          <cell r="J151">
            <v>5856</v>
          </cell>
        </row>
        <row r="151">
          <cell r="N151" t="str">
            <v>公司杂周转筐</v>
          </cell>
        </row>
        <row r="151">
          <cell r="Q151">
            <v>320</v>
          </cell>
          <cell r="R151" t="str">
            <v>新N*K7V85</v>
          </cell>
          <cell r="S151" t="str">
            <v>公司筐</v>
          </cell>
        </row>
        <row r="152">
          <cell r="B152">
            <v>46272</v>
          </cell>
          <cell r="C152" t="str">
            <v>马锦祥</v>
          </cell>
          <cell r="D152" t="str">
            <v>原料入库</v>
          </cell>
          <cell r="E152" t="str">
            <v>NO:0000757</v>
          </cell>
          <cell r="F152" t="str">
            <v>香梨</v>
          </cell>
          <cell r="G152" t="str">
            <v>香梨二级</v>
          </cell>
          <cell r="H152">
            <v>64</v>
          </cell>
          <cell r="I152" t="str">
            <v>筐</v>
          </cell>
          <cell r="J152">
            <v>1427.2</v>
          </cell>
        </row>
        <row r="152">
          <cell r="N152" t="str">
            <v>公司杂周转筐</v>
          </cell>
        </row>
        <row r="152">
          <cell r="Q152">
            <v>64</v>
          </cell>
          <cell r="R152" t="str">
            <v>新N*K7V85</v>
          </cell>
          <cell r="S152" t="str">
            <v>公司筐</v>
          </cell>
        </row>
        <row r="153">
          <cell r="B153">
            <v>46272</v>
          </cell>
          <cell r="C153" t="str">
            <v>马锦祥</v>
          </cell>
          <cell r="D153" t="str">
            <v>原料入库</v>
          </cell>
          <cell r="E153" t="str">
            <v>NO:0000757</v>
          </cell>
          <cell r="F153" t="str">
            <v>香梨</v>
          </cell>
          <cell r="G153" t="str">
            <v>香梨副特</v>
          </cell>
          <cell r="H153">
            <v>16</v>
          </cell>
          <cell r="I153" t="str">
            <v>筐</v>
          </cell>
          <cell r="J153">
            <v>292.8</v>
          </cell>
        </row>
        <row r="153">
          <cell r="N153" t="str">
            <v>公司杂周转筐</v>
          </cell>
        </row>
        <row r="153">
          <cell r="Q153">
            <v>16</v>
          </cell>
          <cell r="R153" t="str">
            <v>新N*K7V85</v>
          </cell>
          <cell r="S153" t="str">
            <v>公司筐</v>
          </cell>
        </row>
        <row r="154">
          <cell r="B154">
            <v>46272</v>
          </cell>
          <cell r="C154" t="str">
            <v>热合曼</v>
          </cell>
          <cell r="D154" t="str">
            <v>原料入库</v>
          </cell>
          <cell r="E154" t="str">
            <v>NO:0000758</v>
          </cell>
          <cell r="F154" t="str">
            <v>香梨</v>
          </cell>
          <cell r="G154" t="str">
            <v>香梨一级</v>
          </cell>
          <cell r="H154">
            <v>129</v>
          </cell>
          <cell r="I154" t="str">
            <v>筐</v>
          </cell>
          <cell r="J154">
            <v>2360.7</v>
          </cell>
        </row>
        <row r="154">
          <cell r="N154" t="str">
            <v>公司红周转筐</v>
          </cell>
        </row>
        <row r="154">
          <cell r="Q154">
            <v>129</v>
          </cell>
          <cell r="R154" t="str">
            <v>新A*G0554</v>
          </cell>
          <cell r="S154" t="str">
            <v>公司筐</v>
          </cell>
        </row>
        <row r="155">
          <cell r="B155">
            <v>46272</v>
          </cell>
          <cell r="C155" t="str">
            <v>热合曼</v>
          </cell>
          <cell r="D155" t="str">
            <v>原料入库</v>
          </cell>
          <cell r="E155" t="str">
            <v>NO:0000758</v>
          </cell>
          <cell r="F155" t="str">
            <v>香梨</v>
          </cell>
          <cell r="G155" t="str">
            <v>香梨二级</v>
          </cell>
          <cell r="H155">
            <v>119</v>
          </cell>
          <cell r="I155" t="str">
            <v>筐</v>
          </cell>
          <cell r="J155">
            <v>2653.7</v>
          </cell>
        </row>
        <row r="155">
          <cell r="N155" t="str">
            <v>公司红周转筐</v>
          </cell>
        </row>
        <row r="155">
          <cell r="Q155">
            <v>119</v>
          </cell>
          <cell r="R155" t="str">
            <v>新A*G0554</v>
          </cell>
          <cell r="S155" t="str">
            <v>公司筐</v>
          </cell>
        </row>
        <row r="156">
          <cell r="B156">
            <v>46272</v>
          </cell>
          <cell r="C156" t="str">
            <v>热合曼</v>
          </cell>
          <cell r="D156" t="str">
            <v>原料入库</v>
          </cell>
          <cell r="E156" t="str">
            <v>NO:0000758</v>
          </cell>
          <cell r="F156" t="str">
            <v>香梨</v>
          </cell>
          <cell r="G156" t="str">
            <v>香梨副特</v>
          </cell>
          <cell r="H156">
            <v>262</v>
          </cell>
          <cell r="I156" t="str">
            <v>筐</v>
          </cell>
          <cell r="J156">
            <v>5056.6</v>
          </cell>
        </row>
        <row r="156">
          <cell r="N156" t="str">
            <v>公司红周转筐</v>
          </cell>
        </row>
        <row r="156">
          <cell r="Q156">
            <v>262</v>
          </cell>
          <cell r="R156" t="str">
            <v>新A*G0554</v>
          </cell>
          <cell r="S156" t="str">
            <v>公司筐</v>
          </cell>
        </row>
        <row r="157">
          <cell r="B157">
            <v>46273</v>
          </cell>
          <cell r="C157" t="str">
            <v>贾建国</v>
          </cell>
          <cell r="D157" t="str">
            <v>原料入库</v>
          </cell>
          <cell r="E157" t="str">
            <v>NO:0000760</v>
          </cell>
          <cell r="F157" t="str">
            <v>香梨</v>
          </cell>
          <cell r="G157" t="str">
            <v>香梨副特</v>
          </cell>
          <cell r="H157">
            <v>144</v>
          </cell>
          <cell r="I157" t="str">
            <v>筐</v>
          </cell>
          <cell r="J157">
            <v>2779.2</v>
          </cell>
        </row>
        <row r="157">
          <cell r="N157" t="str">
            <v>自备一次性筐</v>
          </cell>
        </row>
        <row r="157">
          <cell r="Q157">
            <v>144</v>
          </cell>
          <cell r="R157" t="str">
            <v>豫Q*H5591</v>
          </cell>
          <cell r="S157" t="str">
            <v>自备筐</v>
          </cell>
        </row>
        <row r="158">
          <cell r="B158">
            <v>46273</v>
          </cell>
          <cell r="C158" t="str">
            <v>贾建国</v>
          </cell>
          <cell r="D158" t="str">
            <v>原料入库</v>
          </cell>
          <cell r="E158" t="str">
            <v>NO:0000760</v>
          </cell>
          <cell r="F158" t="str">
            <v>香梨</v>
          </cell>
          <cell r="G158" t="str">
            <v>香梨二级</v>
          </cell>
          <cell r="H158">
            <v>24</v>
          </cell>
          <cell r="I158" t="str">
            <v>筐</v>
          </cell>
          <cell r="J158">
            <v>540</v>
          </cell>
        </row>
        <row r="158">
          <cell r="N158" t="str">
            <v>自备杂周转筐</v>
          </cell>
        </row>
        <row r="158">
          <cell r="Q158">
            <v>24</v>
          </cell>
          <cell r="R158" t="str">
            <v>豫Q*H5591</v>
          </cell>
          <cell r="S158" t="str">
            <v>自备筐</v>
          </cell>
        </row>
        <row r="159">
          <cell r="B159">
            <v>46274</v>
          </cell>
          <cell r="C159" t="str">
            <v>吐尔洪</v>
          </cell>
          <cell r="D159" t="str">
            <v>原料入库</v>
          </cell>
          <cell r="E159" t="str">
            <v>NO:0000762</v>
          </cell>
          <cell r="F159" t="str">
            <v>香梨</v>
          </cell>
          <cell r="G159" t="str">
            <v>香梨特级</v>
          </cell>
          <cell r="H159">
            <v>91</v>
          </cell>
          <cell r="I159" t="str">
            <v>筐</v>
          </cell>
          <cell r="J159">
            <v>1665.3</v>
          </cell>
        </row>
        <row r="159">
          <cell r="N159" t="str">
            <v>公司红周转筐</v>
          </cell>
        </row>
        <row r="159">
          <cell r="Q159">
            <v>91</v>
          </cell>
          <cell r="R159" t="str">
            <v>新N*X8S48</v>
          </cell>
          <cell r="S159" t="str">
            <v>公司筐</v>
          </cell>
        </row>
        <row r="160">
          <cell r="B160">
            <v>46274</v>
          </cell>
          <cell r="C160" t="str">
            <v>吐尔洪</v>
          </cell>
          <cell r="D160" t="str">
            <v>原料入库</v>
          </cell>
          <cell r="E160" t="str">
            <v>NO:0000762</v>
          </cell>
          <cell r="F160" t="str">
            <v>香梨</v>
          </cell>
          <cell r="G160" t="str">
            <v>香梨一级</v>
          </cell>
          <cell r="H160">
            <v>79</v>
          </cell>
          <cell r="I160" t="str">
            <v>筐</v>
          </cell>
          <cell r="J160">
            <v>1445.7</v>
          </cell>
        </row>
        <row r="160">
          <cell r="N160" t="str">
            <v>公司红周转筐</v>
          </cell>
        </row>
        <row r="160">
          <cell r="Q160">
            <v>79</v>
          </cell>
          <cell r="R160" t="str">
            <v>新N*X8S48</v>
          </cell>
          <cell r="S160" t="str">
            <v>公司筐</v>
          </cell>
        </row>
        <row r="161">
          <cell r="B161">
            <v>46274</v>
          </cell>
          <cell r="C161" t="str">
            <v>吐尔洪</v>
          </cell>
          <cell r="D161" t="str">
            <v>原料入库</v>
          </cell>
          <cell r="E161" t="str">
            <v>NO:0000762</v>
          </cell>
          <cell r="F161" t="str">
            <v>香梨</v>
          </cell>
          <cell r="G161" t="str">
            <v>香梨二级</v>
          </cell>
          <cell r="H161">
            <v>72</v>
          </cell>
          <cell r="I161" t="str">
            <v>筐</v>
          </cell>
          <cell r="J161">
            <v>1605.6</v>
          </cell>
        </row>
        <row r="161">
          <cell r="N161" t="str">
            <v>公司红周转筐</v>
          </cell>
        </row>
        <row r="161">
          <cell r="Q161">
            <v>72</v>
          </cell>
          <cell r="R161" t="str">
            <v>新N*X8S48</v>
          </cell>
          <cell r="S161" t="str">
            <v>公司筐</v>
          </cell>
        </row>
        <row r="162">
          <cell r="B162">
            <v>46274</v>
          </cell>
          <cell r="C162" t="str">
            <v>麦麦提</v>
          </cell>
          <cell r="D162" t="str">
            <v>原料入库</v>
          </cell>
          <cell r="E162" t="str">
            <v>NO:0000764</v>
          </cell>
          <cell r="F162" t="str">
            <v>香梨</v>
          </cell>
          <cell r="G162" t="str">
            <v>香梨特级</v>
          </cell>
          <cell r="H162">
            <v>264</v>
          </cell>
          <cell r="I162" t="str">
            <v>筐</v>
          </cell>
          <cell r="J162">
            <v>4831.2</v>
          </cell>
        </row>
        <row r="162">
          <cell r="N162" t="str">
            <v>公司红周转筐</v>
          </cell>
        </row>
        <row r="162">
          <cell r="Q162">
            <v>264</v>
          </cell>
          <cell r="R162" t="str">
            <v>新A*G0554</v>
          </cell>
          <cell r="S162" t="str">
            <v>公司筐</v>
          </cell>
        </row>
        <row r="163">
          <cell r="B163">
            <v>46274</v>
          </cell>
          <cell r="C163" t="str">
            <v>麦麦提</v>
          </cell>
          <cell r="D163" t="str">
            <v>原料入库</v>
          </cell>
          <cell r="E163" t="str">
            <v>NO:0000764</v>
          </cell>
          <cell r="F163" t="str">
            <v>香梨</v>
          </cell>
          <cell r="G163" t="str">
            <v>香梨一级</v>
          </cell>
          <cell r="H163">
            <v>191</v>
          </cell>
          <cell r="I163" t="str">
            <v>筐</v>
          </cell>
          <cell r="J163">
            <v>3495.3</v>
          </cell>
        </row>
        <row r="163">
          <cell r="N163" t="str">
            <v>公司红周转筐</v>
          </cell>
        </row>
        <row r="163">
          <cell r="Q163">
            <v>191</v>
          </cell>
          <cell r="R163" t="str">
            <v>新A*G0554</v>
          </cell>
          <cell r="S163" t="str">
            <v>公司筐</v>
          </cell>
        </row>
        <row r="164">
          <cell r="B164">
            <v>46274</v>
          </cell>
          <cell r="C164" t="str">
            <v>麦麦提</v>
          </cell>
          <cell r="D164" t="str">
            <v>原料入库</v>
          </cell>
          <cell r="E164" t="str">
            <v>NO:0000764</v>
          </cell>
          <cell r="F164" t="str">
            <v>香梨</v>
          </cell>
          <cell r="G164" t="str">
            <v>香梨二级</v>
          </cell>
          <cell r="H164">
            <v>177</v>
          </cell>
          <cell r="I164" t="str">
            <v>筐</v>
          </cell>
          <cell r="J164">
            <v>3947.1</v>
          </cell>
        </row>
        <row r="164">
          <cell r="N164" t="str">
            <v>公司红周转筐</v>
          </cell>
        </row>
        <row r="164">
          <cell r="Q164">
            <v>177</v>
          </cell>
          <cell r="R164" t="str">
            <v>新A*G0554</v>
          </cell>
          <cell r="S164" t="str">
            <v>公司筐</v>
          </cell>
        </row>
        <row r="165">
          <cell r="B165">
            <v>46274</v>
          </cell>
          <cell r="C165" t="str">
            <v>贾建国</v>
          </cell>
          <cell r="D165" t="str">
            <v>原料入库</v>
          </cell>
          <cell r="E165" t="str">
            <v>NO:0000767</v>
          </cell>
          <cell r="F165" t="str">
            <v>香梨</v>
          </cell>
          <cell r="G165" t="str">
            <v>香梨二级</v>
          </cell>
          <cell r="H165">
            <v>170</v>
          </cell>
          <cell r="I165" t="str">
            <v>筐</v>
          </cell>
          <cell r="J165">
            <v>3825</v>
          </cell>
        </row>
        <row r="165">
          <cell r="M165" t="str">
            <v>二黄</v>
          </cell>
          <cell r="N165" t="str">
            <v>自备杂周转筐</v>
          </cell>
        </row>
        <row r="165">
          <cell r="Q165">
            <v>170</v>
          </cell>
          <cell r="R165" t="str">
            <v>豫Q*H5591</v>
          </cell>
          <cell r="S165" t="str">
            <v>自备筐</v>
          </cell>
        </row>
        <row r="166">
          <cell r="B166">
            <v>46274</v>
          </cell>
          <cell r="C166" t="str">
            <v>贾建国</v>
          </cell>
          <cell r="D166" t="str">
            <v>原料入库</v>
          </cell>
          <cell r="E166" t="str">
            <v>NO:0000767</v>
          </cell>
          <cell r="F166" t="str">
            <v>香梨</v>
          </cell>
          <cell r="G166" t="str">
            <v>香梨副特</v>
          </cell>
          <cell r="H166">
            <v>28</v>
          </cell>
          <cell r="I166" t="str">
            <v>筐</v>
          </cell>
          <cell r="J166">
            <v>540.4</v>
          </cell>
        </row>
        <row r="166">
          <cell r="M166" t="str">
            <v>二黄</v>
          </cell>
          <cell r="N166" t="str">
            <v>自备一次性筐</v>
          </cell>
        </row>
        <row r="166">
          <cell r="Q166">
            <v>28</v>
          </cell>
          <cell r="R166" t="str">
            <v>豫Q*H5591</v>
          </cell>
          <cell r="S166" t="str">
            <v>自备筐</v>
          </cell>
        </row>
        <row r="167">
          <cell r="B167">
            <v>46275</v>
          </cell>
          <cell r="C167" t="str">
            <v>王灵云</v>
          </cell>
          <cell r="D167" t="str">
            <v>原料入库</v>
          </cell>
          <cell r="E167" t="str">
            <v>NO:0000768</v>
          </cell>
          <cell r="F167" t="str">
            <v>香梨</v>
          </cell>
          <cell r="G167" t="str">
            <v>香梨一级</v>
          </cell>
          <cell r="H167">
            <v>195</v>
          </cell>
          <cell r="I167" t="str">
            <v>筐</v>
          </cell>
          <cell r="J167">
            <v>3568.5</v>
          </cell>
        </row>
        <row r="167">
          <cell r="N167" t="str">
            <v>公司红周转筐</v>
          </cell>
        </row>
        <row r="167">
          <cell r="Q167">
            <v>195</v>
          </cell>
          <cell r="R167" t="str">
            <v>新N*49209</v>
          </cell>
          <cell r="S167" t="str">
            <v>公司筐</v>
          </cell>
        </row>
        <row r="168">
          <cell r="B168">
            <v>46275</v>
          </cell>
          <cell r="C168" t="str">
            <v>王灵云</v>
          </cell>
          <cell r="D168" t="str">
            <v>原料入库</v>
          </cell>
          <cell r="E168" t="str">
            <v>NO:0000768</v>
          </cell>
          <cell r="F168" t="str">
            <v>香梨</v>
          </cell>
          <cell r="G168" t="str">
            <v>香梨副特</v>
          </cell>
          <cell r="H168">
            <v>134</v>
          </cell>
          <cell r="I168" t="str">
            <v>筐</v>
          </cell>
          <cell r="J168">
            <v>2452.2</v>
          </cell>
        </row>
        <row r="168">
          <cell r="N168" t="str">
            <v>公司红周转筐</v>
          </cell>
        </row>
        <row r="168">
          <cell r="Q168">
            <v>134</v>
          </cell>
          <cell r="R168" t="str">
            <v>新N*49209</v>
          </cell>
          <cell r="S168" t="str">
            <v>公司筐</v>
          </cell>
        </row>
        <row r="169">
          <cell r="B169">
            <v>46275</v>
          </cell>
          <cell r="C169" t="str">
            <v>王灵云</v>
          </cell>
          <cell r="D169" t="str">
            <v>原料入库</v>
          </cell>
          <cell r="E169" t="str">
            <v>NO:0000768</v>
          </cell>
          <cell r="F169" t="str">
            <v>香梨</v>
          </cell>
          <cell r="G169" t="str">
            <v>香梨二级</v>
          </cell>
          <cell r="H169">
            <v>64</v>
          </cell>
          <cell r="I169" t="str">
            <v>筐</v>
          </cell>
          <cell r="J169">
            <v>1491.2</v>
          </cell>
        </row>
        <row r="169">
          <cell r="M169" t="str">
            <v>押金3000元已退还</v>
          </cell>
          <cell r="N169" t="str">
            <v>公司红周转筐</v>
          </cell>
        </row>
        <row r="169">
          <cell r="Q169">
            <v>64</v>
          </cell>
          <cell r="R169" t="str">
            <v>新N*49209</v>
          </cell>
          <cell r="S169" t="str">
            <v>公司筐</v>
          </cell>
        </row>
        <row r="170">
          <cell r="B170">
            <v>46275</v>
          </cell>
          <cell r="C170" t="str">
            <v>杨艳玲</v>
          </cell>
          <cell r="D170" t="str">
            <v>原料入库</v>
          </cell>
          <cell r="E170" t="str">
            <v>NO:0000769</v>
          </cell>
          <cell r="F170" t="str">
            <v>香梨</v>
          </cell>
          <cell r="G170" t="str">
            <v>香梨玉露</v>
          </cell>
          <cell r="H170">
            <v>104</v>
          </cell>
          <cell r="I170" t="str">
            <v>筐</v>
          </cell>
          <cell r="J170">
            <v>1799.2</v>
          </cell>
        </row>
        <row r="170">
          <cell r="N170" t="str">
            <v>自备一次性筐</v>
          </cell>
        </row>
        <row r="170">
          <cell r="Q170">
            <v>104</v>
          </cell>
          <cell r="R170" t="str">
            <v>新N*E3H01</v>
          </cell>
          <cell r="S170" t="str">
            <v>自备筐</v>
          </cell>
        </row>
        <row r="171">
          <cell r="B171">
            <v>46275</v>
          </cell>
          <cell r="C171" t="str">
            <v>荆建君</v>
          </cell>
          <cell r="D171" t="str">
            <v>原料入库</v>
          </cell>
          <cell r="E171" t="str">
            <v>NO:0000770</v>
          </cell>
          <cell r="F171" t="str">
            <v>香梨</v>
          </cell>
          <cell r="G171" t="str">
            <v>香梨一级</v>
          </cell>
          <cell r="H171">
            <v>239</v>
          </cell>
          <cell r="I171" t="str">
            <v>筐</v>
          </cell>
          <cell r="J171">
            <v>4373.7</v>
          </cell>
        </row>
        <row r="171">
          <cell r="N171" t="str">
            <v>公司红周转筐</v>
          </cell>
        </row>
        <row r="171">
          <cell r="Q171">
            <v>239</v>
          </cell>
          <cell r="R171" t="str">
            <v>豫A*2737K</v>
          </cell>
          <cell r="S171" t="str">
            <v>公司筐</v>
          </cell>
        </row>
        <row r="172">
          <cell r="B172">
            <v>46275</v>
          </cell>
          <cell r="C172" t="str">
            <v>荆建君</v>
          </cell>
          <cell r="D172" t="str">
            <v>原料入库</v>
          </cell>
          <cell r="E172" t="str">
            <v>NO:0000770</v>
          </cell>
          <cell r="F172" t="str">
            <v>香梨</v>
          </cell>
          <cell r="G172" t="str">
            <v>香梨二级</v>
          </cell>
          <cell r="H172">
            <v>329</v>
          </cell>
          <cell r="I172" t="str">
            <v>筐</v>
          </cell>
          <cell r="J172">
            <v>6020.7</v>
          </cell>
        </row>
        <row r="172">
          <cell r="N172" t="str">
            <v>公司红周转筐</v>
          </cell>
        </row>
        <row r="172">
          <cell r="Q172">
            <v>329</v>
          </cell>
          <cell r="R172" t="str">
            <v>豫A*2737K</v>
          </cell>
          <cell r="S172" t="str">
            <v>公司筐</v>
          </cell>
        </row>
        <row r="173">
          <cell r="B173">
            <v>46275</v>
          </cell>
          <cell r="C173" t="str">
            <v>贾建国</v>
          </cell>
          <cell r="D173" t="str">
            <v>原料入库</v>
          </cell>
          <cell r="E173" t="str">
            <v>NO:0000772</v>
          </cell>
          <cell r="F173" t="str">
            <v>香梨</v>
          </cell>
          <cell r="G173" t="str">
            <v>香梨副特</v>
          </cell>
          <cell r="H173">
            <v>74</v>
          </cell>
          <cell r="I173" t="str">
            <v>筐</v>
          </cell>
          <cell r="J173">
            <v>1665</v>
          </cell>
        </row>
        <row r="173">
          <cell r="N173" t="str">
            <v>公司新周转筐</v>
          </cell>
        </row>
        <row r="173">
          <cell r="Q173">
            <v>74</v>
          </cell>
          <cell r="R173" t="str">
            <v>新N*56508</v>
          </cell>
          <cell r="S173" t="str">
            <v>公司筐</v>
          </cell>
        </row>
        <row r="174">
          <cell r="B174">
            <v>46275</v>
          </cell>
          <cell r="C174" t="str">
            <v>吐尔洪</v>
          </cell>
          <cell r="D174" t="str">
            <v>原料入库</v>
          </cell>
          <cell r="E174" t="str">
            <v>NO:0000773</v>
          </cell>
          <cell r="F174" t="str">
            <v>香梨</v>
          </cell>
          <cell r="G174" t="str">
            <v>香梨特级</v>
          </cell>
          <cell r="H174">
            <v>108</v>
          </cell>
          <cell r="I174" t="str">
            <v>筐</v>
          </cell>
          <cell r="J174">
            <v>1976.4</v>
          </cell>
        </row>
        <row r="174">
          <cell r="N174" t="str">
            <v>公司红周转筐</v>
          </cell>
        </row>
        <row r="174">
          <cell r="Q174">
            <v>108</v>
          </cell>
          <cell r="R174" t="str">
            <v>新N*X8S48</v>
          </cell>
          <cell r="S174" t="str">
            <v>公司筐</v>
          </cell>
        </row>
        <row r="175">
          <cell r="B175">
            <v>46275</v>
          </cell>
          <cell r="C175" t="str">
            <v>吐尔洪</v>
          </cell>
          <cell r="D175" t="str">
            <v>原料入库</v>
          </cell>
          <cell r="E175" t="str">
            <v>NO:0000773</v>
          </cell>
          <cell r="F175" t="str">
            <v>香梨</v>
          </cell>
          <cell r="G175" t="str">
            <v>香梨一级</v>
          </cell>
          <cell r="H175">
            <v>38</v>
          </cell>
          <cell r="I175" t="str">
            <v>筐</v>
          </cell>
          <cell r="J175">
            <v>695.4</v>
          </cell>
        </row>
        <row r="175">
          <cell r="N175" t="str">
            <v>公司红周转筐</v>
          </cell>
        </row>
        <row r="175">
          <cell r="Q175">
            <v>38</v>
          </cell>
          <cell r="R175" t="str">
            <v>新N*X8S48</v>
          </cell>
          <cell r="S175" t="str">
            <v>公司筐</v>
          </cell>
        </row>
        <row r="176">
          <cell r="B176">
            <v>46275</v>
          </cell>
          <cell r="C176" t="str">
            <v>吐尔洪</v>
          </cell>
          <cell r="D176" t="str">
            <v>原料入库</v>
          </cell>
          <cell r="E176" t="str">
            <v>NO:0000773</v>
          </cell>
          <cell r="F176" t="str">
            <v>香梨</v>
          </cell>
          <cell r="G176" t="str">
            <v>香梨二级</v>
          </cell>
          <cell r="H176">
            <v>106</v>
          </cell>
          <cell r="I176" t="str">
            <v>筐</v>
          </cell>
          <cell r="J176">
            <v>2363.8</v>
          </cell>
        </row>
        <row r="176">
          <cell r="N176" t="str">
            <v>公司红周转筐</v>
          </cell>
        </row>
        <row r="176">
          <cell r="Q176">
            <v>106</v>
          </cell>
          <cell r="R176" t="str">
            <v>新N*X8S48</v>
          </cell>
          <cell r="S176" t="str">
            <v>公司筐</v>
          </cell>
        </row>
        <row r="177">
          <cell r="B177">
            <v>46275</v>
          </cell>
          <cell r="C177" t="str">
            <v>王照雪</v>
          </cell>
          <cell r="D177" t="str">
            <v>原料入库</v>
          </cell>
          <cell r="E177" t="str">
            <v>NO:0000775</v>
          </cell>
          <cell r="F177" t="str">
            <v>香梨</v>
          </cell>
          <cell r="G177" t="str">
            <v>香梨一级</v>
          </cell>
          <cell r="H177">
            <v>196</v>
          </cell>
          <cell r="I177" t="str">
            <v>筐</v>
          </cell>
          <cell r="J177">
            <v>3626</v>
          </cell>
        </row>
        <row r="177">
          <cell r="N177" t="str">
            <v>公司一次性筐</v>
          </cell>
        </row>
        <row r="177">
          <cell r="Q177">
            <v>196</v>
          </cell>
          <cell r="R177" t="str">
            <v>豫L*88X19</v>
          </cell>
          <cell r="S177" t="str">
            <v>公司筐</v>
          </cell>
        </row>
        <row r="178">
          <cell r="B178">
            <v>46275</v>
          </cell>
          <cell r="C178" t="str">
            <v>王照雪</v>
          </cell>
          <cell r="D178" t="str">
            <v>原料入库</v>
          </cell>
          <cell r="E178" t="str">
            <v>NO:0000775</v>
          </cell>
          <cell r="F178" t="str">
            <v>香梨</v>
          </cell>
          <cell r="G178" t="str">
            <v>香梨副特</v>
          </cell>
          <cell r="H178">
            <v>133</v>
          </cell>
          <cell r="I178" t="str">
            <v>筐</v>
          </cell>
          <cell r="J178">
            <v>2460.5</v>
          </cell>
        </row>
        <row r="178">
          <cell r="N178" t="str">
            <v>公司一次性筐</v>
          </cell>
        </row>
        <row r="178">
          <cell r="Q178">
            <v>133</v>
          </cell>
          <cell r="R178" t="str">
            <v>豫L*88X19</v>
          </cell>
          <cell r="S178" t="str">
            <v>公司筐</v>
          </cell>
        </row>
        <row r="179">
          <cell r="B179">
            <v>46275</v>
          </cell>
          <cell r="C179" t="str">
            <v>热合曼</v>
          </cell>
          <cell r="D179" t="str">
            <v>原料入库</v>
          </cell>
          <cell r="E179" t="str">
            <v>NO:0000776</v>
          </cell>
          <cell r="F179" t="str">
            <v>香梨</v>
          </cell>
          <cell r="G179" t="str">
            <v>香梨一级</v>
          </cell>
          <cell r="H179">
            <v>220</v>
          </cell>
          <cell r="I179" t="str">
            <v>筐</v>
          </cell>
          <cell r="J179">
            <v>4026</v>
          </cell>
        </row>
        <row r="179">
          <cell r="N179" t="str">
            <v>公司红周转筐</v>
          </cell>
        </row>
        <row r="179">
          <cell r="Q179">
            <v>220</v>
          </cell>
          <cell r="R179" t="str">
            <v>新A*G0554</v>
          </cell>
          <cell r="S179" t="str">
            <v>公司筐</v>
          </cell>
        </row>
        <row r="180">
          <cell r="B180">
            <v>46275</v>
          </cell>
          <cell r="C180" t="str">
            <v>热合曼</v>
          </cell>
          <cell r="D180" t="str">
            <v>原料入库</v>
          </cell>
          <cell r="E180" t="str">
            <v>NO:0000776</v>
          </cell>
          <cell r="F180" t="str">
            <v>香梨</v>
          </cell>
          <cell r="G180" t="str">
            <v>香梨二级</v>
          </cell>
          <cell r="H180">
            <v>54</v>
          </cell>
          <cell r="I180" t="str">
            <v>筐</v>
          </cell>
          <cell r="J180">
            <v>1204.2</v>
          </cell>
        </row>
        <row r="180">
          <cell r="N180" t="str">
            <v>公司红周转筐</v>
          </cell>
        </row>
        <row r="180">
          <cell r="Q180">
            <v>54</v>
          </cell>
          <cell r="R180" t="str">
            <v>新A*G0554</v>
          </cell>
          <cell r="S180" t="str">
            <v>公司筐</v>
          </cell>
        </row>
        <row r="181">
          <cell r="B181">
            <v>46275</v>
          </cell>
          <cell r="C181" t="str">
            <v>热合曼</v>
          </cell>
          <cell r="D181" t="str">
            <v>原料入库</v>
          </cell>
          <cell r="E181" t="str">
            <v>NO:0000776</v>
          </cell>
          <cell r="F181" t="str">
            <v>香梨</v>
          </cell>
          <cell r="G181" t="str">
            <v>香梨副特</v>
          </cell>
          <cell r="H181">
            <v>305</v>
          </cell>
          <cell r="I181" t="str">
            <v>筐</v>
          </cell>
          <cell r="J181">
            <v>5886.5</v>
          </cell>
        </row>
        <row r="181">
          <cell r="N181" t="str">
            <v>公司红周转筐</v>
          </cell>
        </row>
        <row r="181">
          <cell r="Q181">
            <v>305</v>
          </cell>
          <cell r="R181" t="str">
            <v>新A*G0554</v>
          </cell>
          <cell r="S181" t="str">
            <v>公司筐</v>
          </cell>
        </row>
        <row r="182">
          <cell r="B182">
            <v>46276</v>
          </cell>
          <cell r="C182" t="str">
            <v>马锦祥</v>
          </cell>
          <cell r="D182" t="str">
            <v>原料入库</v>
          </cell>
          <cell r="E182" t="str">
            <v>NO:0000780</v>
          </cell>
          <cell r="F182" t="str">
            <v>香梨</v>
          </cell>
          <cell r="G182" t="str">
            <v>香梨一级</v>
          </cell>
          <cell r="H182">
            <v>320</v>
          </cell>
          <cell r="I182" t="str">
            <v>筐</v>
          </cell>
          <cell r="J182">
            <v>5856</v>
          </cell>
        </row>
        <row r="182">
          <cell r="N182" t="str">
            <v>公司杂周转筐</v>
          </cell>
        </row>
        <row r="182">
          <cell r="Q182">
            <v>320</v>
          </cell>
          <cell r="R182" t="str">
            <v>新N*K7V85</v>
          </cell>
          <cell r="S182" t="str">
            <v>公司筐</v>
          </cell>
        </row>
        <row r="183">
          <cell r="B183">
            <v>46276</v>
          </cell>
          <cell r="C183" t="str">
            <v>马锦祥</v>
          </cell>
          <cell r="D183" t="str">
            <v>原料入库</v>
          </cell>
          <cell r="E183" t="str">
            <v>NO:0000780</v>
          </cell>
          <cell r="F183" t="str">
            <v>香梨</v>
          </cell>
          <cell r="G183" t="str">
            <v>香梨二级</v>
          </cell>
          <cell r="H183">
            <v>64</v>
          </cell>
          <cell r="I183" t="str">
            <v>筐</v>
          </cell>
          <cell r="J183">
            <v>1427.2</v>
          </cell>
        </row>
        <row r="183">
          <cell r="N183" t="str">
            <v>公司杂周转筐</v>
          </cell>
        </row>
        <row r="183">
          <cell r="Q183">
            <v>64</v>
          </cell>
          <cell r="R183" t="str">
            <v>新N*K7V85</v>
          </cell>
          <cell r="S183" t="str">
            <v>公司筐</v>
          </cell>
        </row>
        <row r="184">
          <cell r="B184">
            <v>46276</v>
          </cell>
          <cell r="C184" t="str">
            <v>马锦祥</v>
          </cell>
          <cell r="D184" t="str">
            <v>原料入库</v>
          </cell>
          <cell r="E184" t="str">
            <v>NO:0000780</v>
          </cell>
          <cell r="F184" t="str">
            <v>香梨</v>
          </cell>
          <cell r="G184" t="str">
            <v>香梨副特</v>
          </cell>
          <cell r="H184">
            <v>16</v>
          </cell>
          <cell r="I184" t="str">
            <v>筐</v>
          </cell>
          <cell r="J184">
            <v>292.8</v>
          </cell>
        </row>
        <row r="184">
          <cell r="N184" t="str">
            <v>公司杂周转筐</v>
          </cell>
        </row>
        <row r="184">
          <cell r="Q184">
            <v>16</v>
          </cell>
          <cell r="R184" t="str">
            <v>新N*K7V85</v>
          </cell>
          <cell r="S184" t="str">
            <v>公司筐</v>
          </cell>
        </row>
        <row r="185">
          <cell r="B185">
            <v>46276</v>
          </cell>
          <cell r="C185" t="str">
            <v>努尔敦</v>
          </cell>
          <cell r="D185" t="str">
            <v>原料入库</v>
          </cell>
          <cell r="E185" t="str">
            <v>NO:0000781</v>
          </cell>
          <cell r="F185" t="str">
            <v>香梨</v>
          </cell>
          <cell r="G185" t="str">
            <v>香梨特级</v>
          </cell>
          <cell r="H185">
            <v>160</v>
          </cell>
          <cell r="I185" t="str">
            <v>筐</v>
          </cell>
          <cell r="J185">
            <v>2928</v>
          </cell>
        </row>
        <row r="185">
          <cell r="M185" t="str">
            <v>有标签</v>
          </cell>
          <cell r="N185" t="str">
            <v>公司红周转筐</v>
          </cell>
        </row>
        <row r="185">
          <cell r="Q185">
            <v>160</v>
          </cell>
          <cell r="R185" t="str">
            <v>新F*75240</v>
          </cell>
          <cell r="S185" t="str">
            <v>公司筐</v>
          </cell>
        </row>
        <row r="186">
          <cell r="B186">
            <v>46276</v>
          </cell>
          <cell r="C186" t="str">
            <v>努尔敦</v>
          </cell>
          <cell r="D186" t="str">
            <v>原料入库</v>
          </cell>
          <cell r="E186" t="str">
            <v>NO:0000781</v>
          </cell>
          <cell r="F186" t="str">
            <v>香梨</v>
          </cell>
          <cell r="G186" t="str">
            <v>香梨一级</v>
          </cell>
          <cell r="H186">
            <v>232</v>
          </cell>
          <cell r="I186" t="str">
            <v>筐</v>
          </cell>
          <cell r="J186">
            <v>4245.6</v>
          </cell>
        </row>
        <row r="186">
          <cell r="N186" t="str">
            <v>公司红周转筐</v>
          </cell>
        </row>
        <row r="186">
          <cell r="Q186">
            <v>232</v>
          </cell>
          <cell r="R186" t="str">
            <v>新F*75240</v>
          </cell>
          <cell r="S186" t="str">
            <v>公司筐</v>
          </cell>
        </row>
        <row r="187">
          <cell r="B187">
            <v>46276</v>
          </cell>
          <cell r="C187" t="str">
            <v>努尔敦</v>
          </cell>
          <cell r="D187" t="str">
            <v>原料入库</v>
          </cell>
          <cell r="E187" t="str">
            <v>NO:0000781</v>
          </cell>
          <cell r="F187" t="str">
            <v>香梨</v>
          </cell>
          <cell r="G187" t="str">
            <v>香梨二级</v>
          </cell>
          <cell r="H187">
            <v>248</v>
          </cell>
          <cell r="I187" t="str">
            <v>筐</v>
          </cell>
          <cell r="J187">
            <v>5530.4</v>
          </cell>
        </row>
        <row r="187">
          <cell r="N187" t="str">
            <v>公司红周转筐</v>
          </cell>
        </row>
        <row r="187">
          <cell r="Q187">
            <v>248</v>
          </cell>
          <cell r="R187" t="str">
            <v>新F*75240</v>
          </cell>
          <cell r="S187" t="str">
            <v>公司筐</v>
          </cell>
        </row>
        <row r="188">
          <cell r="B188">
            <v>46276</v>
          </cell>
          <cell r="C188" t="str">
            <v>麦麦提</v>
          </cell>
          <cell r="D188" t="str">
            <v>原料入库</v>
          </cell>
          <cell r="E188" t="str">
            <v>NO:0000782</v>
          </cell>
          <cell r="F188" t="str">
            <v>香梨</v>
          </cell>
          <cell r="G188" t="str">
            <v>香梨特级</v>
          </cell>
          <cell r="H188">
            <v>322</v>
          </cell>
          <cell r="I188" t="str">
            <v>筐</v>
          </cell>
          <cell r="J188">
            <v>5892.6</v>
          </cell>
        </row>
        <row r="188">
          <cell r="N188" t="str">
            <v>公司红周转筐</v>
          </cell>
        </row>
        <row r="188">
          <cell r="Q188">
            <v>322</v>
          </cell>
          <cell r="R188" t="str">
            <v>新A*G0554</v>
          </cell>
          <cell r="S188" t="str">
            <v>公司筐</v>
          </cell>
        </row>
        <row r="189">
          <cell r="B189">
            <v>46276</v>
          </cell>
          <cell r="C189" t="str">
            <v>麦麦提</v>
          </cell>
          <cell r="D189" t="str">
            <v>原料入库</v>
          </cell>
          <cell r="E189" t="str">
            <v>NO:0000782</v>
          </cell>
          <cell r="F189" t="str">
            <v>香梨</v>
          </cell>
          <cell r="G189" t="str">
            <v>香梨一级</v>
          </cell>
          <cell r="H189">
            <v>158</v>
          </cell>
          <cell r="I189" t="str">
            <v>筐</v>
          </cell>
          <cell r="J189">
            <v>2891.4</v>
          </cell>
        </row>
        <row r="189">
          <cell r="N189" t="str">
            <v>公司红周转筐</v>
          </cell>
        </row>
        <row r="189">
          <cell r="Q189">
            <v>158</v>
          </cell>
          <cell r="R189" t="str">
            <v>新A*G0554</v>
          </cell>
          <cell r="S189" t="str">
            <v>公司筐</v>
          </cell>
        </row>
        <row r="190">
          <cell r="B190">
            <v>46276</v>
          </cell>
          <cell r="C190" t="str">
            <v>麦麦提</v>
          </cell>
          <cell r="D190" t="str">
            <v>原料入库</v>
          </cell>
          <cell r="E190" t="str">
            <v>NO:0000782</v>
          </cell>
          <cell r="F190" t="str">
            <v>香梨</v>
          </cell>
          <cell r="G190" t="str">
            <v>香梨二级</v>
          </cell>
          <cell r="H190">
            <v>146</v>
          </cell>
          <cell r="I190" t="str">
            <v>筐</v>
          </cell>
          <cell r="J190">
            <v>3255.8</v>
          </cell>
        </row>
        <row r="190">
          <cell r="N190" t="str">
            <v>公司红周转筐</v>
          </cell>
        </row>
        <row r="190">
          <cell r="Q190">
            <v>146</v>
          </cell>
          <cell r="R190" t="str">
            <v>新A*G0554</v>
          </cell>
          <cell r="S190" t="str">
            <v>公司筐</v>
          </cell>
        </row>
        <row r="191">
          <cell r="B191">
            <v>46276</v>
          </cell>
          <cell r="C191" t="str">
            <v>王浩</v>
          </cell>
          <cell r="D191" t="str">
            <v>原料入库</v>
          </cell>
          <cell r="E191" t="str">
            <v>NO:0000783</v>
          </cell>
          <cell r="F191" t="str">
            <v>香梨</v>
          </cell>
          <cell r="G191" t="str">
            <v>香梨一级</v>
          </cell>
          <cell r="H191">
            <v>1184</v>
          </cell>
          <cell r="I191" t="str">
            <v>筐</v>
          </cell>
          <cell r="J191">
            <v>21667.2</v>
          </cell>
        </row>
        <row r="191">
          <cell r="N191" t="str">
            <v>公司一次性筐</v>
          </cell>
        </row>
        <row r="191">
          <cell r="Q191">
            <v>1184</v>
          </cell>
          <cell r="R191" t="str">
            <v>新M*65781</v>
          </cell>
          <cell r="S191" t="str">
            <v>公司筐</v>
          </cell>
        </row>
        <row r="192">
          <cell r="B192">
            <v>46276</v>
          </cell>
          <cell r="C192" t="str">
            <v>吐尔洪</v>
          </cell>
          <cell r="D192" t="str">
            <v>原料入库</v>
          </cell>
          <cell r="E192" t="str">
            <v>NO:0000786</v>
          </cell>
          <cell r="F192" t="str">
            <v>香梨</v>
          </cell>
          <cell r="G192" t="str">
            <v>香梨特级</v>
          </cell>
          <cell r="H192">
            <v>88</v>
          </cell>
          <cell r="I192" t="str">
            <v>筐</v>
          </cell>
          <cell r="J192">
            <v>1610.4</v>
          </cell>
        </row>
        <row r="192">
          <cell r="N192" t="str">
            <v>公司红周转筐</v>
          </cell>
        </row>
        <row r="192">
          <cell r="Q192">
            <v>88</v>
          </cell>
          <cell r="R192" t="str">
            <v>新N*X8S48</v>
          </cell>
          <cell r="S192" t="str">
            <v>公司筐</v>
          </cell>
        </row>
        <row r="193">
          <cell r="B193">
            <v>46276</v>
          </cell>
          <cell r="C193" t="str">
            <v>吐尔洪</v>
          </cell>
          <cell r="D193" t="str">
            <v>原料入库</v>
          </cell>
          <cell r="E193" t="str">
            <v>NO:0000786</v>
          </cell>
          <cell r="F193" t="str">
            <v>香梨</v>
          </cell>
          <cell r="G193" t="str">
            <v>香梨一级</v>
          </cell>
          <cell r="H193">
            <v>43</v>
          </cell>
          <cell r="I193" t="str">
            <v>筐</v>
          </cell>
          <cell r="J193">
            <v>786.9</v>
          </cell>
        </row>
        <row r="193">
          <cell r="N193" t="str">
            <v>公司红周转筐</v>
          </cell>
        </row>
        <row r="193">
          <cell r="Q193">
            <v>43</v>
          </cell>
          <cell r="R193" t="str">
            <v>新N*X8S48</v>
          </cell>
          <cell r="S193" t="str">
            <v>公司筐</v>
          </cell>
        </row>
        <row r="194">
          <cell r="B194">
            <v>46276</v>
          </cell>
          <cell r="C194" t="str">
            <v>吐尔洪</v>
          </cell>
          <cell r="D194" t="str">
            <v>原料入库</v>
          </cell>
          <cell r="E194" t="str">
            <v>NO:0000786</v>
          </cell>
          <cell r="F194" t="str">
            <v>香梨</v>
          </cell>
          <cell r="G194" t="str">
            <v>香梨二级</v>
          </cell>
          <cell r="H194">
            <v>88</v>
          </cell>
          <cell r="I194" t="str">
            <v>筐</v>
          </cell>
          <cell r="J194">
            <v>1962.4</v>
          </cell>
        </row>
        <row r="194">
          <cell r="N194" t="str">
            <v>公司红周转筐</v>
          </cell>
        </row>
        <row r="194">
          <cell r="Q194">
            <v>88</v>
          </cell>
          <cell r="R194" t="str">
            <v>新N*X8S48</v>
          </cell>
          <cell r="S194" t="str">
            <v>公司筐</v>
          </cell>
        </row>
        <row r="195">
          <cell r="B195">
            <v>46276</v>
          </cell>
          <cell r="C195" t="str">
            <v>贾建国</v>
          </cell>
          <cell r="D195" t="str">
            <v>原料入库</v>
          </cell>
          <cell r="E195" t="str">
            <v>NO:0000787</v>
          </cell>
          <cell r="F195" t="str">
            <v>香梨</v>
          </cell>
          <cell r="G195" t="str">
            <v>香梨副特</v>
          </cell>
          <cell r="H195">
            <v>393</v>
          </cell>
          <cell r="I195" t="str">
            <v>筐</v>
          </cell>
          <cell r="J195">
            <v>7584.9</v>
          </cell>
        </row>
        <row r="195">
          <cell r="N195" t="str">
            <v>自备一次性筐</v>
          </cell>
        </row>
        <row r="195">
          <cell r="Q195">
            <v>393</v>
          </cell>
          <cell r="R195" t="str">
            <v>豫Q*H5591</v>
          </cell>
          <cell r="S195" t="str">
            <v>自备筐</v>
          </cell>
        </row>
        <row r="196">
          <cell r="B196">
            <v>46276</v>
          </cell>
          <cell r="C196" t="str">
            <v>贾建国</v>
          </cell>
          <cell r="D196" t="str">
            <v>原料入库</v>
          </cell>
          <cell r="E196" t="str">
            <v>NO:0000787</v>
          </cell>
          <cell r="F196" t="str">
            <v>香梨</v>
          </cell>
          <cell r="G196" t="str">
            <v>香梨副特</v>
          </cell>
          <cell r="H196">
            <v>3</v>
          </cell>
          <cell r="I196" t="str">
            <v>筐</v>
          </cell>
          <cell r="J196">
            <v>57.9</v>
          </cell>
        </row>
        <row r="196">
          <cell r="N196" t="str">
            <v>公司一次性筐</v>
          </cell>
        </row>
        <row r="196">
          <cell r="Q196">
            <v>3</v>
          </cell>
          <cell r="R196" t="str">
            <v>豫Q*H5591</v>
          </cell>
          <cell r="S196" t="str">
            <v>公司筐</v>
          </cell>
        </row>
        <row r="197">
          <cell r="B197">
            <v>46277</v>
          </cell>
          <cell r="C197" t="str">
            <v>王照雪</v>
          </cell>
          <cell r="D197" t="str">
            <v>原料入库</v>
          </cell>
          <cell r="E197" t="str">
            <v>NO:0000789</v>
          </cell>
          <cell r="F197" t="str">
            <v>香梨</v>
          </cell>
          <cell r="G197" t="str">
            <v>香梨一级</v>
          </cell>
          <cell r="H197">
            <v>99</v>
          </cell>
          <cell r="I197" t="str">
            <v>筐</v>
          </cell>
          <cell r="J197">
            <v>1831.5</v>
          </cell>
        </row>
        <row r="197">
          <cell r="N197" t="str">
            <v>公司一次性筐</v>
          </cell>
        </row>
        <row r="197">
          <cell r="Q197">
            <v>99</v>
          </cell>
          <cell r="R197" t="str">
            <v>豫L*88X19</v>
          </cell>
          <cell r="S197" t="str">
            <v>公司筐</v>
          </cell>
        </row>
        <row r="198">
          <cell r="B198">
            <v>46277</v>
          </cell>
          <cell r="C198" t="str">
            <v>王照雪</v>
          </cell>
          <cell r="D198" t="str">
            <v>原料入库</v>
          </cell>
          <cell r="E198" t="str">
            <v>NO:0000789</v>
          </cell>
          <cell r="F198" t="str">
            <v>香梨</v>
          </cell>
          <cell r="G198" t="str">
            <v>香梨二级</v>
          </cell>
          <cell r="H198">
            <v>26</v>
          </cell>
          <cell r="I198" t="str">
            <v>筐</v>
          </cell>
          <cell r="J198">
            <v>585</v>
          </cell>
        </row>
        <row r="198">
          <cell r="N198" t="str">
            <v>公司一次性筐</v>
          </cell>
        </row>
        <row r="198">
          <cell r="Q198">
            <v>26</v>
          </cell>
          <cell r="R198" t="str">
            <v>豫L*88X19</v>
          </cell>
          <cell r="S198" t="str">
            <v>公司筐</v>
          </cell>
        </row>
        <row r="199">
          <cell r="B199">
            <v>46277</v>
          </cell>
          <cell r="C199" t="str">
            <v>王照雪</v>
          </cell>
          <cell r="D199" t="str">
            <v>原料入库</v>
          </cell>
          <cell r="E199" t="str">
            <v>NO:0000789</v>
          </cell>
          <cell r="F199" t="str">
            <v>香梨</v>
          </cell>
          <cell r="G199" t="str">
            <v>香梨副特</v>
          </cell>
          <cell r="H199">
            <v>89</v>
          </cell>
          <cell r="I199" t="str">
            <v>筐</v>
          </cell>
          <cell r="J199">
            <v>1646.5</v>
          </cell>
        </row>
        <row r="199">
          <cell r="N199" t="str">
            <v>公司一次性筐</v>
          </cell>
        </row>
        <row r="199">
          <cell r="Q199">
            <v>89</v>
          </cell>
          <cell r="R199" t="str">
            <v>豫L*88X19</v>
          </cell>
          <cell r="S199" t="str">
            <v>公司筐</v>
          </cell>
        </row>
        <row r="200">
          <cell r="B200">
            <v>46277</v>
          </cell>
          <cell r="C200" t="str">
            <v>马锦祥</v>
          </cell>
          <cell r="D200" t="str">
            <v>原料入库</v>
          </cell>
          <cell r="E200" t="str">
            <v>NO:0000790</v>
          </cell>
          <cell r="F200" t="str">
            <v>香梨</v>
          </cell>
          <cell r="G200" t="str">
            <v>香梨一级</v>
          </cell>
          <cell r="H200">
            <v>312</v>
          </cell>
          <cell r="I200" t="str">
            <v>筐</v>
          </cell>
          <cell r="J200">
            <v>5709.6</v>
          </cell>
        </row>
        <row r="200">
          <cell r="N200" t="str">
            <v>公司杂周转筐</v>
          </cell>
        </row>
        <row r="200">
          <cell r="Q200">
            <v>312</v>
          </cell>
          <cell r="R200" t="str">
            <v>新N*K7V85</v>
          </cell>
          <cell r="S200" t="str">
            <v>公司筐</v>
          </cell>
        </row>
        <row r="201">
          <cell r="B201">
            <v>46277</v>
          </cell>
          <cell r="C201" t="str">
            <v>马锦祥</v>
          </cell>
          <cell r="D201" t="str">
            <v>原料入库</v>
          </cell>
          <cell r="E201" t="str">
            <v>NO:0000790</v>
          </cell>
          <cell r="F201" t="str">
            <v>香梨</v>
          </cell>
          <cell r="G201" t="str">
            <v>香梨二级</v>
          </cell>
          <cell r="H201">
            <v>53</v>
          </cell>
          <cell r="I201" t="str">
            <v>筐</v>
          </cell>
          <cell r="J201">
            <v>1181.9</v>
          </cell>
        </row>
        <row r="201">
          <cell r="N201" t="str">
            <v>公司杂周转筐</v>
          </cell>
        </row>
        <row r="201">
          <cell r="Q201">
            <v>53</v>
          </cell>
          <cell r="R201" t="str">
            <v>新N*K7V85</v>
          </cell>
          <cell r="S201" t="str">
            <v>公司筐</v>
          </cell>
        </row>
        <row r="202">
          <cell r="B202">
            <v>46277</v>
          </cell>
          <cell r="C202" t="str">
            <v>马锦祥</v>
          </cell>
          <cell r="D202" t="str">
            <v>原料入库</v>
          </cell>
          <cell r="E202" t="str">
            <v>NO:0000790</v>
          </cell>
          <cell r="F202" t="str">
            <v>香梨</v>
          </cell>
          <cell r="G202" t="str">
            <v>香梨副特</v>
          </cell>
          <cell r="H202">
            <v>35</v>
          </cell>
          <cell r="I202" t="str">
            <v>筐</v>
          </cell>
          <cell r="J202">
            <v>640.5</v>
          </cell>
        </row>
        <row r="202">
          <cell r="N202" t="str">
            <v>公司杂周转筐</v>
          </cell>
        </row>
        <row r="202">
          <cell r="Q202">
            <v>35</v>
          </cell>
          <cell r="R202" t="str">
            <v>新N*K7V85</v>
          </cell>
          <cell r="S202" t="str">
            <v>公司筐</v>
          </cell>
        </row>
        <row r="203">
          <cell r="B203">
            <v>46277</v>
          </cell>
          <cell r="C203" t="str">
            <v>王照雪</v>
          </cell>
          <cell r="D203" t="str">
            <v>原料入库</v>
          </cell>
          <cell r="E203" t="str">
            <v>NO:0000792</v>
          </cell>
          <cell r="F203" t="str">
            <v>苹果</v>
          </cell>
          <cell r="G203" t="str">
            <v>新世纪一级</v>
          </cell>
          <cell r="H203">
            <v>110</v>
          </cell>
          <cell r="I203" t="str">
            <v>筐</v>
          </cell>
          <cell r="J203">
            <v>1903</v>
          </cell>
        </row>
        <row r="203">
          <cell r="N203" t="str">
            <v>公司杂周转筐</v>
          </cell>
        </row>
        <row r="203">
          <cell r="Q203">
            <v>110</v>
          </cell>
          <cell r="R203" t="str">
            <v>豫L*88X19</v>
          </cell>
          <cell r="S203" t="str">
            <v>公司筐</v>
          </cell>
        </row>
        <row r="204">
          <cell r="B204">
            <v>46277</v>
          </cell>
          <cell r="C204" t="str">
            <v>王照雪</v>
          </cell>
          <cell r="D204" t="str">
            <v>原料入库</v>
          </cell>
          <cell r="E204" t="str">
            <v>NO:0000792</v>
          </cell>
          <cell r="F204" t="str">
            <v>苹果</v>
          </cell>
          <cell r="G204" t="str">
            <v>新世纪二级</v>
          </cell>
          <cell r="H204">
            <v>58</v>
          </cell>
          <cell r="I204" t="str">
            <v>筐</v>
          </cell>
          <cell r="J204">
            <v>1293.4</v>
          </cell>
        </row>
        <row r="204">
          <cell r="N204" t="str">
            <v>公司杂周转筐</v>
          </cell>
        </row>
        <row r="204">
          <cell r="Q204">
            <v>58</v>
          </cell>
          <cell r="R204" t="str">
            <v>豫L*88X19</v>
          </cell>
          <cell r="S204" t="str">
            <v>公司筐</v>
          </cell>
        </row>
        <row r="205">
          <cell r="B205">
            <v>46277</v>
          </cell>
          <cell r="C205" t="str">
            <v>麦麦提</v>
          </cell>
          <cell r="D205" t="str">
            <v>原料入库</v>
          </cell>
          <cell r="E205" t="str">
            <v>NO:0000793</v>
          </cell>
          <cell r="F205" t="str">
            <v>香梨</v>
          </cell>
          <cell r="G205" t="str">
            <v>香梨特级</v>
          </cell>
          <cell r="H205">
            <v>291</v>
          </cell>
          <cell r="I205" t="str">
            <v>筐</v>
          </cell>
          <cell r="J205">
            <v>5325.3</v>
          </cell>
        </row>
        <row r="205">
          <cell r="N205" t="str">
            <v>公司红周转筐</v>
          </cell>
        </row>
        <row r="205">
          <cell r="Q205">
            <v>291</v>
          </cell>
          <cell r="R205" t="str">
            <v>新A*G0554</v>
          </cell>
          <cell r="S205" t="str">
            <v>公司筐</v>
          </cell>
        </row>
        <row r="206">
          <cell r="B206">
            <v>46277</v>
          </cell>
          <cell r="C206" t="str">
            <v>麦麦提</v>
          </cell>
          <cell r="D206" t="str">
            <v>原料入库</v>
          </cell>
          <cell r="E206" t="str">
            <v>NO:0000793</v>
          </cell>
          <cell r="F206" t="str">
            <v>香梨</v>
          </cell>
          <cell r="G206" t="str">
            <v>香梨一级</v>
          </cell>
          <cell r="H206">
            <v>194</v>
          </cell>
          <cell r="I206" t="str">
            <v>筐</v>
          </cell>
          <cell r="J206">
            <v>3550.2</v>
          </cell>
        </row>
        <row r="206">
          <cell r="N206" t="str">
            <v>公司红周转筐</v>
          </cell>
        </row>
        <row r="206">
          <cell r="Q206">
            <v>194</v>
          </cell>
          <cell r="R206" t="str">
            <v>新A*G0554</v>
          </cell>
          <cell r="S206" t="str">
            <v>公司筐</v>
          </cell>
        </row>
        <row r="207">
          <cell r="B207">
            <v>46277</v>
          </cell>
          <cell r="C207" t="str">
            <v>麦麦提</v>
          </cell>
          <cell r="D207" t="str">
            <v>原料入库</v>
          </cell>
          <cell r="E207" t="str">
            <v>NO:0000793</v>
          </cell>
          <cell r="F207" t="str">
            <v>香梨</v>
          </cell>
          <cell r="G207" t="str">
            <v>香梨二级</v>
          </cell>
          <cell r="H207">
            <v>168</v>
          </cell>
          <cell r="I207" t="str">
            <v>筐</v>
          </cell>
          <cell r="J207">
            <v>3746.4</v>
          </cell>
        </row>
        <row r="207">
          <cell r="N207" t="str">
            <v>公司红周转筐</v>
          </cell>
        </row>
        <row r="207">
          <cell r="Q207">
            <v>168</v>
          </cell>
          <cell r="R207" t="str">
            <v>新A*G0554</v>
          </cell>
          <cell r="S207" t="str">
            <v>公司筐</v>
          </cell>
        </row>
        <row r="208">
          <cell r="B208">
            <v>46277</v>
          </cell>
          <cell r="C208" t="str">
            <v>王灵云</v>
          </cell>
          <cell r="D208" t="str">
            <v>原料入库</v>
          </cell>
          <cell r="E208" t="str">
            <v>NO:0000794</v>
          </cell>
          <cell r="F208" t="str">
            <v>香梨</v>
          </cell>
          <cell r="G208" t="str">
            <v>香梨一级</v>
          </cell>
          <cell r="H208">
            <v>384</v>
          </cell>
          <cell r="I208" t="str">
            <v>筐</v>
          </cell>
          <cell r="J208">
            <v>7027.2</v>
          </cell>
        </row>
        <row r="208">
          <cell r="N208" t="str">
            <v>公司红周转筐</v>
          </cell>
        </row>
        <row r="208">
          <cell r="Q208">
            <v>384</v>
          </cell>
          <cell r="R208" t="str">
            <v>新N*49209</v>
          </cell>
          <cell r="S208" t="str">
            <v>公司筐</v>
          </cell>
        </row>
        <row r="209">
          <cell r="B209">
            <v>46277</v>
          </cell>
          <cell r="C209" t="str">
            <v>王灵云</v>
          </cell>
          <cell r="D209" t="str">
            <v>原料入库</v>
          </cell>
          <cell r="E209" t="str">
            <v>NO:0000794</v>
          </cell>
          <cell r="F209" t="str">
            <v>香梨</v>
          </cell>
          <cell r="G209" t="str">
            <v>香梨二级</v>
          </cell>
          <cell r="H209">
            <v>52</v>
          </cell>
          <cell r="I209" t="str">
            <v>筐</v>
          </cell>
          <cell r="J209">
            <v>1211.6</v>
          </cell>
        </row>
        <row r="209">
          <cell r="N209" t="str">
            <v>公司红周转筐</v>
          </cell>
        </row>
        <row r="209">
          <cell r="Q209">
            <v>52</v>
          </cell>
          <cell r="R209" t="str">
            <v>新N*49209</v>
          </cell>
          <cell r="S209" t="str">
            <v>公司筐</v>
          </cell>
        </row>
        <row r="210">
          <cell r="B210">
            <v>46277</v>
          </cell>
          <cell r="C210" t="str">
            <v>王灵云</v>
          </cell>
          <cell r="D210" t="str">
            <v>原料入库</v>
          </cell>
          <cell r="E210" t="str">
            <v>NO:0000794</v>
          </cell>
          <cell r="F210" t="str">
            <v>香梨</v>
          </cell>
          <cell r="G210" t="str">
            <v>香梨副特</v>
          </cell>
          <cell r="H210">
            <v>208</v>
          </cell>
          <cell r="I210" t="str">
            <v>筐</v>
          </cell>
          <cell r="J210">
            <v>3806.4</v>
          </cell>
        </row>
        <row r="210">
          <cell r="N210" t="str">
            <v>公司红周转筐</v>
          </cell>
        </row>
        <row r="210">
          <cell r="Q210">
            <v>208</v>
          </cell>
          <cell r="R210" t="str">
            <v>新N*49209</v>
          </cell>
          <cell r="S210" t="str">
            <v>公司筐</v>
          </cell>
        </row>
        <row r="211">
          <cell r="B211">
            <v>46278</v>
          </cell>
          <cell r="C211" t="str">
            <v>贾建国</v>
          </cell>
          <cell r="D211" t="str">
            <v>原料入库</v>
          </cell>
          <cell r="E211" t="str">
            <v>NO:0000797</v>
          </cell>
          <cell r="F211" t="str">
            <v>香梨</v>
          </cell>
          <cell r="G211" t="str">
            <v>香梨二级</v>
          </cell>
          <cell r="H211">
            <v>160</v>
          </cell>
          <cell r="I211" t="str">
            <v>筐</v>
          </cell>
          <cell r="J211">
            <v>3600</v>
          </cell>
        </row>
        <row r="211">
          <cell r="N211" t="str">
            <v>自备杂周转筐</v>
          </cell>
        </row>
        <row r="211">
          <cell r="Q211">
            <v>160</v>
          </cell>
          <cell r="R211" t="str">
            <v>豫Q*H5591</v>
          </cell>
          <cell r="S211" t="str">
            <v>自备筐</v>
          </cell>
        </row>
        <row r="212">
          <cell r="B212">
            <v>46278</v>
          </cell>
          <cell r="C212" t="str">
            <v>贾建国</v>
          </cell>
          <cell r="D212" t="str">
            <v>原料入库</v>
          </cell>
          <cell r="E212" t="str">
            <v>NO:0000797</v>
          </cell>
          <cell r="F212" t="str">
            <v>香梨</v>
          </cell>
          <cell r="G212" t="str">
            <v>香梨副特</v>
          </cell>
          <cell r="H212">
            <v>267</v>
          </cell>
          <cell r="I212" t="str">
            <v>筐</v>
          </cell>
          <cell r="J212">
            <v>5153.1</v>
          </cell>
        </row>
        <row r="212">
          <cell r="N212" t="str">
            <v>自备一次性筐</v>
          </cell>
        </row>
        <row r="212">
          <cell r="Q212">
            <v>267</v>
          </cell>
          <cell r="R212" t="str">
            <v>豫Q*H5591</v>
          </cell>
          <cell r="S212" t="str">
            <v>自备筐</v>
          </cell>
        </row>
        <row r="213">
          <cell r="B213">
            <v>46278</v>
          </cell>
          <cell r="C213" t="str">
            <v>贾建国</v>
          </cell>
          <cell r="D213" t="str">
            <v>原料入库</v>
          </cell>
          <cell r="E213" t="str">
            <v>NO:0000797</v>
          </cell>
          <cell r="F213" t="str">
            <v>香梨</v>
          </cell>
          <cell r="G213" t="str">
            <v>香梨副特</v>
          </cell>
          <cell r="H213">
            <v>2</v>
          </cell>
          <cell r="I213" t="str">
            <v>筐</v>
          </cell>
          <cell r="J213">
            <v>38.6</v>
          </cell>
        </row>
        <row r="213">
          <cell r="N213" t="str">
            <v>公司一次性筐</v>
          </cell>
        </row>
        <row r="213">
          <cell r="Q213">
            <v>2</v>
          </cell>
          <cell r="R213" t="str">
            <v>豫Q*H5591</v>
          </cell>
          <cell r="S213" t="str">
            <v>公司筐</v>
          </cell>
        </row>
        <row r="214">
          <cell r="B214">
            <v>46278</v>
          </cell>
          <cell r="C214" t="str">
            <v>吐尔洪</v>
          </cell>
          <cell r="D214" t="str">
            <v>原料入库</v>
          </cell>
          <cell r="E214" t="str">
            <v>NO:0000799</v>
          </cell>
          <cell r="F214" t="str">
            <v>香梨</v>
          </cell>
          <cell r="G214" t="str">
            <v>香梨特级</v>
          </cell>
          <cell r="H214">
            <v>133</v>
          </cell>
          <cell r="I214" t="str">
            <v>筐</v>
          </cell>
          <cell r="J214">
            <v>2433.9</v>
          </cell>
        </row>
        <row r="214">
          <cell r="N214" t="str">
            <v>公司红周转筐</v>
          </cell>
        </row>
        <row r="214">
          <cell r="Q214">
            <v>133</v>
          </cell>
          <cell r="R214" t="str">
            <v>新N*X8S48</v>
          </cell>
          <cell r="S214" t="str">
            <v>公司筐</v>
          </cell>
        </row>
        <row r="215">
          <cell r="B215">
            <v>46278</v>
          </cell>
          <cell r="C215" t="str">
            <v>吐尔洪</v>
          </cell>
          <cell r="D215" t="str">
            <v>原料入库</v>
          </cell>
          <cell r="E215" t="str">
            <v>NO:0000799</v>
          </cell>
          <cell r="F215" t="str">
            <v>香梨</v>
          </cell>
          <cell r="G215" t="str">
            <v>香梨一级</v>
          </cell>
          <cell r="H215">
            <v>50</v>
          </cell>
          <cell r="I215" t="str">
            <v>筐</v>
          </cell>
          <cell r="J215">
            <v>915</v>
          </cell>
        </row>
        <row r="215">
          <cell r="N215" t="str">
            <v>公司红周转筐</v>
          </cell>
        </row>
        <row r="215">
          <cell r="Q215">
            <v>50</v>
          </cell>
          <cell r="R215" t="str">
            <v>新N*X8S48</v>
          </cell>
          <cell r="S215" t="str">
            <v>公司筐</v>
          </cell>
        </row>
        <row r="216">
          <cell r="B216">
            <v>46278</v>
          </cell>
          <cell r="C216" t="str">
            <v>吐尔洪</v>
          </cell>
          <cell r="D216" t="str">
            <v>原料入库</v>
          </cell>
          <cell r="E216" t="str">
            <v>NO:0000799</v>
          </cell>
          <cell r="F216" t="str">
            <v>香梨</v>
          </cell>
          <cell r="G216" t="str">
            <v>香梨二级</v>
          </cell>
          <cell r="H216">
            <v>101</v>
          </cell>
          <cell r="I216" t="str">
            <v>筐</v>
          </cell>
          <cell r="J216">
            <v>2252.3</v>
          </cell>
        </row>
        <row r="216">
          <cell r="N216" t="str">
            <v>公司红周转筐</v>
          </cell>
        </row>
        <row r="216">
          <cell r="Q216">
            <v>101</v>
          </cell>
          <cell r="R216" t="str">
            <v>新N*X8S48</v>
          </cell>
          <cell r="S216" t="str">
            <v>公司筐</v>
          </cell>
        </row>
        <row r="217">
          <cell r="B217">
            <v>46278</v>
          </cell>
          <cell r="C217" t="str">
            <v>热合曼</v>
          </cell>
          <cell r="D217" t="str">
            <v>原料入库</v>
          </cell>
          <cell r="E217" t="str">
            <v>NO:0000800</v>
          </cell>
          <cell r="F217" t="str">
            <v>香梨</v>
          </cell>
          <cell r="G217" t="str">
            <v>香梨副特</v>
          </cell>
          <cell r="H217">
            <v>232</v>
          </cell>
          <cell r="I217" t="str">
            <v>筐</v>
          </cell>
          <cell r="J217">
            <v>4477.6</v>
          </cell>
        </row>
        <row r="217">
          <cell r="N217" t="str">
            <v>公司红周转筐</v>
          </cell>
        </row>
        <row r="217">
          <cell r="Q217">
            <v>232</v>
          </cell>
          <cell r="R217" t="str">
            <v>新A*G0554</v>
          </cell>
          <cell r="S217" t="str">
            <v>公司筐</v>
          </cell>
        </row>
        <row r="218">
          <cell r="B218">
            <v>46278</v>
          </cell>
          <cell r="C218" t="str">
            <v>热合曼</v>
          </cell>
          <cell r="D218" t="str">
            <v>原料入库</v>
          </cell>
          <cell r="E218" t="str">
            <v>NO:0000800</v>
          </cell>
          <cell r="F218" t="str">
            <v>香梨</v>
          </cell>
          <cell r="G218" t="str">
            <v>香梨一级</v>
          </cell>
          <cell r="H218">
            <v>170</v>
          </cell>
          <cell r="I218" t="str">
            <v>筐</v>
          </cell>
          <cell r="J218">
            <v>3111</v>
          </cell>
        </row>
        <row r="218">
          <cell r="N218" t="str">
            <v>公司红周转筐</v>
          </cell>
        </row>
        <row r="218">
          <cell r="Q218">
            <v>170</v>
          </cell>
          <cell r="R218" t="str">
            <v>新A*G0554</v>
          </cell>
          <cell r="S218" t="str">
            <v>公司筐</v>
          </cell>
        </row>
        <row r="219">
          <cell r="B219">
            <v>46278</v>
          </cell>
          <cell r="C219" t="str">
            <v>热合曼</v>
          </cell>
          <cell r="D219" t="str">
            <v>原料入库</v>
          </cell>
          <cell r="E219" t="str">
            <v>NO:0000800</v>
          </cell>
          <cell r="F219" t="str">
            <v>香梨</v>
          </cell>
          <cell r="G219" t="str">
            <v>香梨二级</v>
          </cell>
          <cell r="H219">
            <v>30</v>
          </cell>
          <cell r="I219" t="str">
            <v>筐</v>
          </cell>
          <cell r="J219">
            <v>669</v>
          </cell>
        </row>
        <row r="219">
          <cell r="N219" t="str">
            <v>公司红周转筐</v>
          </cell>
        </row>
        <row r="219">
          <cell r="Q219">
            <v>30</v>
          </cell>
          <cell r="R219" t="str">
            <v>新A*G0554</v>
          </cell>
          <cell r="S219" t="str">
            <v>公司筐</v>
          </cell>
        </row>
        <row r="220">
          <cell r="B220">
            <v>46278</v>
          </cell>
          <cell r="C220" t="str">
            <v>努尔敦</v>
          </cell>
          <cell r="D220" t="str">
            <v>原料入库</v>
          </cell>
          <cell r="E220" t="str">
            <v>NO:0000851</v>
          </cell>
          <cell r="F220" t="str">
            <v>香梨</v>
          </cell>
          <cell r="G220" t="str">
            <v>香梨特级</v>
          </cell>
          <cell r="H220">
            <v>162</v>
          </cell>
          <cell r="I220" t="str">
            <v>筐</v>
          </cell>
          <cell r="J220">
            <v>2964.6</v>
          </cell>
        </row>
        <row r="220">
          <cell r="N220" t="str">
            <v>公司红周转筐</v>
          </cell>
        </row>
        <row r="220">
          <cell r="Q220">
            <v>162</v>
          </cell>
          <cell r="R220" t="str">
            <v>新F*75240</v>
          </cell>
          <cell r="S220" t="str">
            <v>公司筐</v>
          </cell>
        </row>
        <row r="221">
          <cell r="B221">
            <v>46278</v>
          </cell>
          <cell r="C221" t="str">
            <v>努尔敦</v>
          </cell>
          <cell r="D221" t="str">
            <v>原料入库</v>
          </cell>
          <cell r="E221" t="str">
            <v>NO:0000851</v>
          </cell>
          <cell r="F221" t="str">
            <v>香梨</v>
          </cell>
          <cell r="G221" t="str">
            <v>香梨一级</v>
          </cell>
          <cell r="H221">
            <v>300</v>
          </cell>
          <cell r="I221" t="str">
            <v>筐</v>
          </cell>
          <cell r="J221">
            <v>5490</v>
          </cell>
        </row>
        <row r="221">
          <cell r="N221" t="str">
            <v>公司红周转筐</v>
          </cell>
        </row>
        <row r="221">
          <cell r="Q221">
            <v>300</v>
          </cell>
          <cell r="R221" t="str">
            <v>新F*75240</v>
          </cell>
          <cell r="S221" t="str">
            <v>公司筐</v>
          </cell>
        </row>
        <row r="222">
          <cell r="B222">
            <v>46278</v>
          </cell>
          <cell r="C222" t="str">
            <v>努尔敦</v>
          </cell>
          <cell r="D222" t="str">
            <v>原料入库</v>
          </cell>
          <cell r="E222" t="str">
            <v>NO:0000851</v>
          </cell>
          <cell r="F222" t="str">
            <v>香梨</v>
          </cell>
          <cell r="G222" t="str">
            <v>香梨二级</v>
          </cell>
          <cell r="H222">
            <v>188</v>
          </cell>
          <cell r="I222" t="str">
            <v>筐</v>
          </cell>
          <cell r="J222">
            <v>4192.4</v>
          </cell>
        </row>
        <row r="222">
          <cell r="N222" t="str">
            <v>公司红周转筐</v>
          </cell>
        </row>
        <row r="222">
          <cell r="Q222">
            <v>188</v>
          </cell>
          <cell r="R222" t="str">
            <v>新F*75240</v>
          </cell>
          <cell r="S222" t="str">
            <v>公司筐</v>
          </cell>
        </row>
        <row r="223">
          <cell r="B223">
            <v>46278</v>
          </cell>
          <cell r="C223" t="str">
            <v>马锦祥</v>
          </cell>
          <cell r="D223" t="str">
            <v>原料入库</v>
          </cell>
          <cell r="E223" t="str">
            <v>NO:0000852</v>
          </cell>
          <cell r="F223" t="str">
            <v>香梨</v>
          </cell>
          <cell r="G223" t="str">
            <v>香梨一级</v>
          </cell>
          <cell r="H223">
            <v>294</v>
          </cell>
          <cell r="I223" t="str">
            <v>筐</v>
          </cell>
          <cell r="J223">
            <v>5380.2</v>
          </cell>
        </row>
        <row r="223">
          <cell r="N223" t="str">
            <v>公司杂周转筐</v>
          </cell>
        </row>
        <row r="223">
          <cell r="Q223">
            <v>294</v>
          </cell>
          <cell r="R223" t="str">
            <v>新N*K7V85</v>
          </cell>
          <cell r="S223" t="str">
            <v>公司筐</v>
          </cell>
        </row>
        <row r="224">
          <cell r="B224">
            <v>46278</v>
          </cell>
          <cell r="C224" t="str">
            <v>马锦祥</v>
          </cell>
          <cell r="D224" t="str">
            <v>原料入库</v>
          </cell>
          <cell r="E224" t="str">
            <v>NO:0000852</v>
          </cell>
          <cell r="F224" t="str">
            <v>香梨</v>
          </cell>
          <cell r="G224" t="str">
            <v>香梨二级</v>
          </cell>
          <cell r="H224">
            <v>42</v>
          </cell>
          <cell r="I224" t="str">
            <v>筐</v>
          </cell>
          <cell r="J224">
            <v>936.6</v>
          </cell>
        </row>
        <row r="224">
          <cell r="N224" t="str">
            <v>公司杂周转筐</v>
          </cell>
        </row>
        <row r="224">
          <cell r="Q224">
            <v>42</v>
          </cell>
          <cell r="R224" t="str">
            <v>新N*K7V85</v>
          </cell>
          <cell r="S224" t="str">
            <v>公司筐</v>
          </cell>
        </row>
        <row r="225">
          <cell r="B225">
            <v>46278</v>
          </cell>
          <cell r="C225" t="str">
            <v>马锦祥</v>
          </cell>
          <cell r="D225" t="str">
            <v>原料入库</v>
          </cell>
          <cell r="E225" t="str">
            <v>NO:0000852</v>
          </cell>
          <cell r="F225" t="str">
            <v>香梨</v>
          </cell>
          <cell r="G225" t="str">
            <v>香梨副特</v>
          </cell>
          <cell r="H225">
            <v>7</v>
          </cell>
          <cell r="I225" t="str">
            <v>筐</v>
          </cell>
          <cell r="J225">
            <v>128.1</v>
          </cell>
        </row>
        <row r="225">
          <cell r="N225" t="str">
            <v>公司杂周转筐</v>
          </cell>
        </row>
        <row r="225">
          <cell r="Q225">
            <v>7</v>
          </cell>
          <cell r="R225" t="str">
            <v>新N*K7V85</v>
          </cell>
          <cell r="S225" t="str">
            <v>公司筐</v>
          </cell>
        </row>
        <row r="226">
          <cell r="B226">
            <v>46278</v>
          </cell>
          <cell r="C226" t="str">
            <v>荆建君</v>
          </cell>
          <cell r="D226" t="str">
            <v>原料入库</v>
          </cell>
          <cell r="E226" t="str">
            <v>NO:0000854</v>
          </cell>
          <cell r="F226" t="str">
            <v>香梨</v>
          </cell>
          <cell r="G226" t="str">
            <v>香梨一级</v>
          </cell>
          <cell r="H226">
            <v>383</v>
          </cell>
          <cell r="I226" t="str">
            <v>筐</v>
          </cell>
          <cell r="J226">
            <v>7008.9</v>
          </cell>
        </row>
        <row r="226">
          <cell r="N226" t="str">
            <v>公司红周转筐</v>
          </cell>
        </row>
        <row r="226">
          <cell r="Q226">
            <v>383</v>
          </cell>
          <cell r="R226" t="str">
            <v>豫A*2737K</v>
          </cell>
          <cell r="S226" t="str">
            <v>公司筐</v>
          </cell>
        </row>
        <row r="227">
          <cell r="B227">
            <v>46278</v>
          </cell>
          <cell r="C227" t="str">
            <v>荆建君</v>
          </cell>
          <cell r="D227" t="str">
            <v>原料入库</v>
          </cell>
          <cell r="E227" t="str">
            <v>NO:0000854</v>
          </cell>
          <cell r="F227" t="str">
            <v>香梨</v>
          </cell>
          <cell r="G227" t="str">
            <v>香梨二级</v>
          </cell>
          <cell r="H227">
            <v>265</v>
          </cell>
          <cell r="I227" t="str">
            <v>筐</v>
          </cell>
          <cell r="J227">
            <v>4849.5</v>
          </cell>
        </row>
        <row r="227">
          <cell r="N227" t="str">
            <v>公司红周转筐</v>
          </cell>
        </row>
        <row r="227">
          <cell r="Q227">
            <v>265</v>
          </cell>
          <cell r="R227" t="str">
            <v>豫A*2737K</v>
          </cell>
          <cell r="S227" t="str">
            <v>公司筐</v>
          </cell>
        </row>
        <row r="228">
          <cell r="B228">
            <v>46278</v>
          </cell>
          <cell r="C228" t="str">
            <v>王照雪</v>
          </cell>
          <cell r="D228" t="str">
            <v>原料入库</v>
          </cell>
          <cell r="E228" t="str">
            <v>NO:0000855</v>
          </cell>
          <cell r="F228" t="str">
            <v>苹果</v>
          </cell>
          <cell r="G228" t="str">
            <v>新世纪特级</v>
          </cell>
          <cell r="H228">
            <v>73</v>
          </cell>
          <cell r="I228" t="str">
            <v>筐</v>
          </cell>
          <cell r="J228">
            <v>1262.9</v>
          </cell>
        </row>
        <row r="228">
          <cell r="N228" t="str">
            <v>公司杂周转筐</v>
          </cell>
        </row>
        <row r="228">
          <cell r="Q228">
            <v>73</v>
          </cell>
          <cell r="R228" t="str">
            <v>豫L*88X19</v>
          </cell>
          <cell r="S228" t="str">
            <v>公司筐</v>
          </cell>
        </row>
        <row r="229">
          <cell r="B229">
            <v>46278</v>
          </cell>
          <cell r="C229" t="str">
            <v>王照雪</v>
          </cell>
          <cell r="D229" t="str">
            <v>原料入库</v>
          </cell>
          <cell r="E229" t="str">
            <v>NO:0000855</v>
          </cell>
          <cell r="F229" t="str">
            <v>苹果</v>
          </cell>
          <cell r="G229" t="str">
            <v>新世纪一级</v>
          </cell>
          <cell r="H229">
            <v>182</v>
          </cell>
          <cell r="I229" t="str">
            <v>筐</v>
          </cell>
          <cell r="J229">
            <v>3148.6</v>
          </cell>
        </row>
        <row r="229">
          <cell r="N229" t="str">
            <v>公司杂周转筐</v>
          </cell>
        </row>
        <row r="229">
          <cell r="Q229">
            <v>182</v>
          </cell>
          <cell r="R229" t="str">
            <v>豫L*88X19</v>
          </cell>
          <cell r="S229" t="str">
            <v>公司筐</v>
          </cell>
        </row>
        <row r="230">
          <cell r="B230">
            <v>46278</v>
          </cell>
          <cell r="C230" t="str">
            <v>王照雪</v>
          </cell>
          <cell r="D230" t="str">
            <v>原料入库</v>
          </cell>
          <cell r="E230" t="str">
            <v>NO:0000855</v>
          </cell>
          <cell r="F230" t="str">
            <v>苹果</v>
          </cell>
          <cell r="G230" t="str">
            <v>新世纪二级</v>
          </cell>
          <cell r="H230">
            <v>74</v>
          </cell>
          <cell r="I230" t="str">
            <v>筐</v>
          </cell>
          <cell r="J230">
            <v>1650.2</v>
          </cell>
        </row>
        <row r="230">
          <cell r="N230" t="str">
            <v>公司杂周转筐</v>
          </cell>
        </row>
        <row r="230">
          <cell r="Q230">
            <v>74</v>
          </cell>
          <cell r="R230" t="str">
            <v>豫L*88X19</v>
          </cell>
          <cell r="S230" t="str">
            <v>公司筐</v>
          </cell>
        </row>
        <row r="231">
          <cell r="B231">
            <v>46250</v>
          </cell>
          <cell r="C231" t="str">
            <v>王照雪</v>
          </cell>
          <cell r="D231" t="str">
            <v>原料出库－原筐出库</v>
          </cell>
          <cell r="E231" t="str">
            <v>NO:0001018</v>
          </cell>
          <cell r="F231" t="str">
            <v>李子</v>
          </cell>
          <cell r="G231" t="str">
            <v>樱桃李</v>
          </cell>
          <cell r="H231">
            <v>402</v>
          </cell>
          <cell r="I231" t="str">
            <v>筐</v>
          </cell>
          <cell r="J231">
            <v>6552.6</v>
          </cell>
        </row>
        <row r="231">
          <cell r="N231" t="str">
            <v>自备一次性筐</v>
          </cell>
          <cell r="O231">
            <v>402</v>
          </cell>
        </row>
        <row r="231">
          <cell r="R231" t="str">
            <v>苏C*HB310</v>
          </cell>
          <cell r="S231" t="str">
            <v>自备筐</v>
          </cell>
        </row>
        <row r="232">
          <cell r="B232">
            <v>46251</v>
          </cell>
          <cell r="C232" t="str">
            <v>王照雪</v>
          </cell>
          <cell r="D232" t="str">
            <v>原料出库－公司购买</v>
          </cell>
          <cell r="E232" t="str">
            <v>NO:0000140</v>
          </cell>
          <cell r="F232" t="str">
            <v>李子</v>
          </cell>
          <cell r="G232" t="str">
            <v>樱桃李</v>
          </cell>
          <cell r="H232">
            <v>1</v>
          </cell>
          <cell r="I232" t="str">
            <v>筐</v>
          </cell>
          <cell r="J232">
            <v>16.3</v>
          </cell>
        </row>
        <row r="232">
          <cell r="N232" t="str">
            <v>自备一次性筐</v>
          </cell>
          <cell r="O232">
            <v>1</v>
          </cell>
        </row>
        <row r="232">
          <cell r="S232" t="str">
            <v>自备筐</v>
          </cell>
        </row>
        <row r="233">
          <cell r="B233">
            <v>46255</v>
          </cell>
          <cell r="C233" t="str">
            <v>伍元虎</v>
          </cell>
          <cell r="D233" t="str">
            <v>原料出库－原筐出库</v>
          </cell>
          <cell r="E233" t="str">
            <v>NO:0001021</v>
          </cell>
          <cell r="F233" t="str">
            <v>苹果</v>
          </cell>
          <cell r="G233" t="str">
            <v>海棠果</v>
          </cell>
          <cell r="H233">
            <v>87</v>
          </cell>
          <cell r="I233" t="str">
            <v>筐</v>
          </cell>
          <cell r="J233">
            <v>1957.5</v>
          </cell>
        </row>
        <row r="233">
          <cell r="M233" t="str">
            <v>出库完毕</v>
          </cell>
          <cell r="N233" t="str">
            <v>自备一次性筐</v>
          </cell>
          <cell r="O233">
            <v>87</v>
          </cell>
        </row>
        <row r="233">
          <cell r="R233" t="str">
            <v>新N*4377B</v>
          </cell>
          <cell r="S233" t="str">
            <v>自备筐</v>
          </cell>
        </row>
        <row r="234">
          <cell r="B234">
            <v>46255</v>
          </cell>
          <cell r="C234" t="str">
            <v>聂新平</v>
          </cell>
          <cell r="D234" t="str">
            <v>原料出库－原筐出库</v>
          </cell>
          <cell r="E234" t="str">
            <v>NO:0001024</v>
          </cell>
          <cell r="F234" t="str">
            <v>苹果</v>
          </cell>
          <cell r="G234" t="str">
            <v>嘎啦85#</v>
          </cell>
          <cell r="H234">
            <v>212</v>
          </cell>
          <cell r="I234" t="str">
            <v>筐</v>
          </cell>
          <cell r="J234">
            <v>4621.6</v>
          </cell>
        </row>
        <row r="234">
          <cell r="N234" t="str">
            <v>自备一次性筐</v>
          </cell>
          <cell r="O234">
            <v>212</v>
          </cell>
        </row>
        <row r="234">
          <cell r="R234" t="str">
            <v>晋M*H8582</v>
          </cell>
          <cell r="S234" t="str">
            <v>自备筐</v>
          </cell>
        </row>
        <row r="235">
          <cell r="B235">
            <v>46255</v>
          </cell>
          <cell r="C235" t="str">
            <v>聂新平</v>
          </cell>
          <cell r="D235" t="str">
            <v>原料出库－原筐出库</v>
          </cell>
          <cell r="E235" t="str">
            <v>NO:0001024</v>
          </cell>
          <cell r="F235" t="str">
            <v>苹果</v>
          </cell>
          <cell r="G235" t="str">
            <v>嘎啦100#</v>
          </cell>
          <cell r="H235">
            <v>240</v>
          </cell>
          <cell r="I235" t="str">
            <v>筐</v>
          </cell>
          <cell r="J235">
            <v>5232</v>
          </cell>
        </row>
        <row r="235">
          <cell r="N235" t="str">
            <v>自备一次性筐</v>
          </cell>
          <cell r="O235">
            <v>240</v>
          </cell>
        </row>
        <row r="235">
          <cell r="R235" t="str">
            <v>晋M*H8582</v>
          </cell>
          <cell r="S235" t="str">
            <v>自备筐</v>
          </cell>
        </row>
        <row r="236">
          <cell r="B236">
            <v>46258</v>
          </cell>
          <cell r="C236" t="str">
            <v>王照雪</v>
          </cell>
          <cell r="D236" t="str">
            <v>原料出库－原筐出库</v>
          </cell>
          <cell r="E236" t="str">
            <v>NO:0001032</v>
          </cell>
          <cell r="F236" t="str">
            <v>苹果</v>
          </cell>
          <cell r="G236" t="str">
            <v>华硕高次</v>
          </cell>
          <cell r="H236">
            <v>1</v>
          </cell>
          <cell r="I236" t="str">
            <v>筐</v>
          </cell>
          <cell r="J236">
            <v>17.3</v>
          </cell>
        </row>
        <row r="236">
          <cell r="M236" t="str">
            <v>主播拿走</v>
          </cell>
          <cell r="N236" t="str">
            <v>公司杂周转筐</v>
          </cell>
          <cell r="O236">
            <v>1</v>
          </cell>
        </row>
        <row r="236">
          <cell r="S236" t="str">
            <v>公司筐</v>
          </cell>
        </row>
        <row r="237">
          <cell r="B237">
            <v>46259</v>
          </cell>
          <cell r="C237" t="str">
            <v>王照雪</v>
          </cell>
          <cell r="D237" t="str">
            <v>原料出库－出库加工</v>
          </cell>
          <cell r="E237" t="str">
            <v>NO:0001034</v>
          </cell>
          <cell r="F237" t="str">
            <v>苹果</v>
          </cell>
          <cell r="G237" t="str">
            <v>华硕一级</v>
          </cell>
          <cell r="H237">
            <v>44</v>
          </cell>
          <cell r="I237" t="str">
            <v>筐</v>
          </cell>
        </row>
        <row r="238">
          <cell r="B238">
            <v>46261</v>
          </cell>
          <cell r="C238" t="str">
            <v>王照雪</v>
          </cell>
          <cell r="D238" t="str">
            <v>原料出库－出库加工</v>
          </cell>
          <cell r="E238" t="str">
            <v>NO:0001038</v>
          </cell>
          <cell r="F238" t="str">
            <v>苹果</v>
          </cell>
          <cell r="G238" t="str">
            <v>华硕一级</v>
          </cell>
          <cell r="H238">
            <v>78</v>
          </cell>
          <cell r="I238" t="str">
            <v>筐</v>
          </cell>
        </row>
        <row r="239">
          <cell r="B239">
            <v>46261</v>
          </cell>
          <cell r="C239" t="str">
            <v>王照雪</v>
          </cell>
          <cell r="D239" t="str">
            <v>原料出库－出库加工</v>
          </cell>
          <cell r="E239" t="str">
            <v>NO:0001038</v>
          </cell>
          <cell r="F239" t="str">
            <v>苹果</v>
          </cell>
          <cell r="G239" t="str">
            <v>华硕高次</v>
          </cell>
          <cell r="H239">
            <v>44</v>
          </cell>
          <cell r="I239" t="str">
            <v>筐</v>
          </cell>
        </row>
        <row r="240">
          <cell r="B240">
            <v>46262</v>
          </cell>
          <cell r="C240" t="str">
            <v>马锦祥</v>
          </cell>
          <cell r="D240" t="str">
            <v>原料出库－原筐出库</v>
          </cell>
          <cell r="E240" t="str">
            <v>NO:0001042</v>
          </cell>
          <cell r="F240" t="str">
            <v>苹果</v>
          </cell>
          <cell r="G240" t="str">
            <v>海棠果</v>
          </cell>
          <cell r="H240">
            <v>2</v>
          </cell>
          <cell r="I240" t="str">
            <v>筐</v>
          </cell>
          <cell r="J240">
            <v>6</v>
          </cell>
        </row>
        <row r="240">
          <cell r="M240" t="str">
            <v>司机老王拿</v>
          </cell>
          <cell r="N240" t="str">
            <v>自备一次性筐</v>
          </cell>
          <cell r="O240">
            <v>2</v>
          </cell>
        </row>
        <row r="240">
          <cell r="S240" t="str">
            <v>自备筐</v>
          </cell>
        </row>
        <row r="241">
          <cell r="B241">
            <v>46263</v>
          </cell>
          <cell r="C241" t="str">
            <v>聂新平</v>
          </cell>
          <cell r="D241" t="str">
            <v>原料出库－出库加工</v>
          </cell>
          <cell r="E241" t="str">
            <v>NO:0001044</v>
          </cell>
          <cell r="F241" t="str">
            <v>苹果</v>
          </cell>
          <cell r="G241" t="str">
            <v>嘎啦100#</v>
          </cell>
          <cell r="H241">
            <v>80</v>
          </cell>
          <cell r="I241" t="str">
            <v>筐</v>
          </cell>
        </row>
        <row r="242">
          <cell r="B242">
            <v>46263</v>
          </cell>
          <cell r="C242" t="str">
            <v>王照雪</v>
          </cell>
          <cell r="D242" t="str">
            <v>原料出库－出库加工</v>
          </cell>
          <cell r="E242" t="str">
            <v>NO:0001045</v>
          </cell>
          <cell r="F242" t="str">
            <v>苹果</v>
          </cell>
          <cell r="G242" t="str">
            <v>华硕一级</v>
          </cell>
          <cell r="H242">
            <v>240</v>
          </cell>
          <cell r="I242" t="str">
            <v>筐</v>
          </cell>
        </row>
        <row r="243">
          <cell r="B243">
            <v>46263</v>
          </cell>
          <cell r="C243" t="str">
            <v>聂新平</v>
          </cell>
          <cell r="D243" t="str">
            <v>原料出库－出库加工</v>
          </cell>
          <cell r="E243" t="str">
            <v>NO:0001047</v>
          </cell>
          <cell r="F243" t="str">
            <v>苹果</v>
          </cell>
          <cell r="G243" t="str">
            <v>嘎啦100#</v>
          </cell>
          <cell r="H243">
            <v>240</v>
          </cell>
          <cell r="I243" t="str">
            <v>筐</v>
          </cell>
        </row>
        <row r="244">
          <cell r="B244">
            <v>46264</v>
          </cell>
          <cell r="C244" t="str">
            <v>王照雪</v>
          </cell>
          <cell r="D244" t="str">
            <v>原料出库－出库加工</v>
          </cell>
          <cell r="E244" t="str">
            <v>NO:0001050</v>
          </cell>
          <cell r="F244" t="str">
            <v>苹果</v>
          </cell>
          <cell r="G244" t="str">
            <v>华硕二级</v>
          </cell>
          <cell r="H244">
            <v>302</v>
          </cell>
          <cell r="I244" t="str">
            <v>筐</v>
          </cell>
        </row>
        <row r="245">
          <cell r="B245">
            <v>46264</v>
          </cell>
          <cell r="C245" t="str">
            <v>王照雪</v>
          </cell>
          <cell r="D245" t="str">
            <v>原料出库－出库加工</v>
          </cell>
          <cell r="E245" t="str">
            <v>NO:0001050</v>
          </cell>
          <cell r="F245" t="str">
            <v>苹果</v>
          </cell>
          <cell r="G245" t="str">
            <v>华硕一级</v>
          </cell>
          <cell r="H245">
            <v>27</v>
          </cell>
          <cell r="I245" t="str">
            <v>筐</v>
          </cell>
        </row>
        <row r="246">
          <cell r="B246">
            <v>46264</v>
          </cell>
          <cell r="C246" t="str">
            <v>聂新平</v>
          </cell>
          <cell r="D246" t="str">
            <v>原料出库－出库加工</v>
          </cell>
          <cell r="E246" t="str">
            <v>NO:0001051</v>
          </cell>
          <cell r="F246" t="str">
            <v>苹果</v>
          </cell>
          <cell r="G246" t="str">
            <v>嘎啦100#</v>
          </cell>
          <cell r="H246">
            <v>336</v>
          </cell>
          <cell r="I246" t="str">
            <v>筐</v>
          </cell>
        </row>
        <row r="247">
          <cell r="B247">
            <v>46265</v>
          </cell>
          <cell r="C247" t="str">
            <v>王照雪</v>
          </cell>
          <cell r="D247" t="str">
            <v>原料出库－出库加工</v>
          </cell>
          <cell r="E247" t="str">
            <v>NO:0001054</v>
          </cell>
          <cell r="F247" t="str">
            <v>苹果</v>
          </cell>
          <cell r="G247" t="str">
            <v>华硕一级</v>
          </cell>
          <cell r="H247">
            <v>117</v>
          </cell>
          <cell r="I247" t="str">
            <v>筐</v>
          </cell>
        </row>
        <row r="248">
          <cell r="B248">
            <v>46265</v>
          </cell>
          <cell r="C248" t="str">
            <v>聂新平</v>
          </cell>
          <cell r="D248" t="str">
            <v>原料出库－出库加工</v>
          </cell>
          <cell r="E248" t="str">
            <v>NO:0001056</v>
          </cell>
          <cell r="F248" t="str">
            <v>苹果</v>
          </cell>
          <cell r="G248" t="str">
            <v>嘎啦100#</v>
          </cell>
          <cell r="H248">
            <v>201</v>
          </cell>
          <cell r="I248" t="str">
            <v>筐</v>
          </cell>
        </row>
        <row r="249">
          <cell r="B249">
            <v>46265</v>
          </cell>
          <cell r="C249" t="str">
            <v>聂新平</v>
          </cell>
          <cell r="D249" t="str">
            <v>原料出库－出库加工</v>
          </cell>
          <cell r="E249" t="str">
            <v>NO:0001056</v>
          </cell>
          <cell r="F249" t="str">
            <v>苹果</v>
          </cell>
          <cell r="G249" t="str">
            <v>嘎啦85#</v>
          </cell>
          <cell r="H249">
            <v>166</v>
          </cell>
          <cell r="I249" t="str">
            <v>筐</v>
          </cell>
        </row>
        <row r="250">
          <cell r="B250">
            <v>46266</v>
          </cell>
          <cell r="C250" t="str">
            <v>聂新平</v>
          </cell>
          <cell r="D250" t="str">
            <v>原料出库－出库加工</v>
          </cell>
          <cell r="E250" t="str">
            <v>NO:0001059</v>
          </cell>
          <cell r="F250" t="str">
            <v>苹果</v>
          </cell>
          <cell r="G250" t="str">
            <v>嘎啦85#</v>
          </cell>
          <cell r="H250">
            <v>254</v>
          </cell>
          <cell r="I250" t="str">
            <v>筐</v>
          </cell>
        </row>
        <row r="250">
          <cell r="M250" t="str">
            <v>嘎啦原料全部出库</v>
          </cell>
        </row>
        <row r="251">
          <cell r="B251">
            <v>46266</v>
          </cell>
          <cell r="C251" t="str">
            <v>王照雪</v>
          </cell>
          <cell r="D251" t="str">
            <v>原料出库－出库加工</v>
          </cell>
          <cell r="E251" t="str">
            <v>NO:0001060</v>
          </cell>
          <cell r="F251" t="str">
            <v>苹果</v>
          </cell>
          <cell r="G251" t="str">
            <v>华硕一级</v>
          </cell>
          <cell r="H251">
            <v>164</v>
          </cell>
          <cell r="I251" t="str">
            <v>筐</v>
          </cell>
        </row>
        <row r="252">
          <cell r="B252">
            <v>46266</v>
          </cell>
          <cell r="C252" t="str">
            <v>王照雪</v>
          </cell>
          <cell r="D252" t="str">
            <v>原料出库－出库加工</v>
          </cell>
          <cell r="E252" t="str">
            <v>NO:0001060</v>
          </cell>
          <cell r="F252" t="str">
            <v>苹果</v>
          </cell>
          <cell r="G252" t="str">
            <v>华硕二级</v>
          </cell>
          <cell r="H252">
            <v>27</v>
          </cell>
          <cell r="I252" t="str">
            <v>筐</v>
          </cell>
        </row>
        <row r="253">
          <cell r="B253">
            <v>46255</v>
          </cell>
          <cell r="C253" t="str">
            <v>聂新平</v>
          </cell>
          <cell r="D253" t="str">
            <v>原料出库－原筐出库</v>
          </cell>
          <cell r="E253" t="str">
            <v>NO:0001023</v>
          </cell>
          <cell r="F253" t="str">
            <v>西梅</v>
          </cell>
          <cell r="G253" t="str">
            <v>西梅三级</v>
          </cell>
          <cell r="H253">
            <v>784</v>
          </cell>
          <cell r="I253" t="str">
            <v>筐</v>
          </cell>
          <cell r="J253">
            <v>1568</v>
          </cell>
        </row>
        <row r="253">
          <cell r="N253" t="str">
            <v>自备一次性筐</v>
          </cell>
          <cell r="O253">
            <v>784</v>
          </cell>
        </row>
        <row r="253">
          <cell r="R253" t="str">
            <v>晋M*H8582</v>
          </cell>
          <cell r="S253" t="str">
            <v>自备筐</v>
          </cell>
        </row>
        <row r="254">
          <cell r="B254">
            <v>46255</v>
          </cell>
          <cell r="C254" t="str">
            <v>聂新平</v>
          </cell>
          <cell r="D254" t="str">
            <v>原料出库－原筐出库</v>
          </cell>
          <cell r="E254" t="str">
            <v>NO:0001023</v>
          </cell>
          <cell r="F254" t="str">
            <v>西梅</v>
          </cell>
          <cell r="G254" t="str">
            <v>西梅二级</v>
          </cell>
          <cell r="H254">
            <v>1759</v>
          </cell>
          <cell r="I254" t="str">
            <v>筐</v>
          </cell>
          <cell r="J254">
            <v>3518</v>
          </cell>
        </row>
        <row r="254">
          <cell r="N254" t="str">
            <v>自备一次性筐</v>
          </cell>
          <cell r="O254">
            <v>1759</v>
          </cell>
        </row>
        <row r="254">
          <cell r="R254" t="str">
            <v>晋M*H8582</v>
          </cell>
          <cell r="S254" t="str">
            <v>自备筐</v>
          </cell>
        </row>
        <row r="255">
          <cell r="B255">
            <v>46255</v>
          </cell>
          <cell r="C255" t="str">
            <v>聂新平</v>
          </cell>
          <cell r="D255" t="str">
            <v>原料出库－原筐出库</v>
          </cell>
          <cell r="E255" t="str">
            <v>NO:0001023</v>
          </cell>
          <cell r="F255" t="str">
            <v>西梅</v>
          </cell>
          <cell r="G255" t="str">
            <v>西梅一级</v>
          </cell>
          <cell r="H255">
            <v>216</v>
          </cell>
          <cell r="I255" t="str">
            <v>筐</v>
          </cell>
          <cell r="J255">
            <v>1512</v>
          </cell>
        </row>
        <row r="255">
          <cell r="N255" t="str">
            <v>自备一次性筐</v>
          </cell>
          <cell r="O255">
            <v>216</v>
          </cell>
        </row>
        <row r="255">
          <cell r="R255" t="str">
            <v>晋M*H8582</v>
          </cell>
          <cell r="S255" t="str">
            <v>自备筐</v>
          </cell>
        </row>
        <row r="256">
          <cell r="B256">
            <v>46255</v>
          </cell>
          <cell r="C256" t="str">
            <v>聂新平</v>
          </cell>
          <cell r="D256" t="str">
            <v>原料出库－原筐出库</v>
          </cell>
          <cell r="E256" t="str">
            <v>NO:0001023</v>
          </cell>
          <cell r="F256" t="str">
            <v>西梅</v>
          </cell>
          <cell r="G256" t="str">
            <v>西梅二级</v>
          </cell>
          <cell r="H256">
            <v>132</v>
          </cell>
          <cell r="I256" t="str">
            <v>筐</v>
          </cell>
          <cell r="J256">
            <v>1188</v>
          </cell>
        </row>
        <row r="256">
          <cell r="N256" t="str">
            <v>自备一次性筐</v>
          </cell>
          <cell r="O256">
            <v>132</v>
          </cell>
        </row>
        <row r="256">
          <cell r="R256" t="str">
            <v>晋M*H8582</v>
          </cell>
          <cell r="S256" t="str">
            <v>自备筐</v>
          </cell>
        </row>
        <row r="257">
          <cell r="B257">
            <v>46263</v>
          </cell>
          <cell r="C257" t="str">
            <v>聂新平</v>
          </cell>
          <cell r="D257" t="str">
            <v>原料出库－原筐出库</v>
          </cell>
          <cell r="E257" t="str">
            <v>NO:0001049</v>
          </cell>
          <cell r="F257" t="str">
            <v>西梅</v>
          </cell>
          <cell r="G257" t="str">
            <v>西梅一级</v>
          </cell>
          <cell r="H257">
            <v>773</v>
          </cell>
          <cell r="I257" t="str">
            <v>筐</v>
          </cell>
          <cell r="J257">
            <v>5411</v>
          </cell>
        </row>
        <row r="257">
          <cell r="N257" t="str">
            <v>自备一次性筐</v>
          </cell>
          <cell r="O257">
            <v>773</v>
          </cell>
        </row>
        <row r="257">
          <cell r="R257" t="str">
            <v>鲁G*BJ206</v>
          </cell>
          <cell r="S257" t="str">
            <v>自备筐</v>
          </cell>
        </row>
        <row r="258">
          <cell r="B258">
            <v>46263</v>
          </cell>
          <cell r="C258" t="str">
            <v>聂新平</v>
          </cell>
          <cell r="D258" t="str">
            <v>原料出库－原筐出库</v>
          </cell>
          <cell r="E258" t="str">
            <v>NO:0001049</v>
          </cell>
          <cell r="F258" t="str">
            <v>西梅</v>
          </cell>
          <cell r="G258" t="str">
            <v>西梅二级</v>
          </cell>
          <cell r="H258">
            <v>423</v>
          </cell>
          <cell r="I258" t="str">
            <v>筐</v>
          </cell>
          <cell r="J258">
            <v>5076</v>
          </cell>
        </row>
        <row r="258">
          <cell r="N258" t="str">
            <v>自备一次性筐</v>
          </cell>
          <cell r="O258">
            <v>423</v>
          </cell>
        </row>
        <row r="258">
          <cell r="R258" t="str">
            <v>鲁G*BJ206</v>
          </cell>
          <cell r="S258" t="str">
            <v>自备筐</v>
          </cell>
        </row>
        <row r="259">
          <cell r="B259">
            <v>46272</v>
          </cell>
          <cell r="C259" t="str">
            <v>王照雪</v>
          </cell>
          <cell r="D259" t="str">
            <v>原料出库－原筐出库</v>
          </cell>
          <cell r="E259" t="str">
            <v>NO:0001091</v>
          </cell>
          <cell r="F259" t="str">
            <v>李子</v>
          </cell>
          <cell r="G259" t="str">
            <v>樱桃李</v>
          </cell>
          <cell r="H259">
            <v>19</v>
          </cell>
          <cell r="I259" t="str">
            <v>筐</v>
          </cell>
          <cell r="J259">
            <v>309.7</v>
          </cell>
        </row>
        <row r="259">
          <cell r="M259" t="str">
            <v>樱桃李全部出库</v>
          </cell>
          <cell r="N259" t="str">
            <v>自备一次性筐</v>
          </cell>
          <cell r="O259">
            <v>19</v>
          </cell>
        </row>
        <row r="259">
          <cell r="R259" t="str">
            <v>自提</v>
          </cell>
          <cell r="S259" t="str">
            <v>自备筐</v>
          </cell>
        </row>
        <row r="260">
          <cell r="B260">
            <v>46273</v>
          </cell>
          <cell r="C260" t="str">
            <v>聂新平</v>
          </cell>
          <cell r="D260" t="str">
            <v>原料出库－原筐出库</v>
          </cell>
          <cell r="E260" t="str">
            <v>NO:0001096</v>
          </cell>
          <cell r="F260" t="str">
            <v>西梅</v>
          </cell>
          <cell r="G260" t="str">
            <v>西梅二级</v>
          </cell>
          <cell r="H260">
            <v>64</v>
          </cell>
          <cell r="I260" t="str">
            <v>筐</v>
          </cell>
          <cell r="J260">
            <v>576</v>
          </cell>
        </row>
        <row r="260">
          <cell r="N260" t="str">
            <v>自备一次性筐</v>
          </cell>
          <cell r="O260">
            <v>64</v>
          </cell>
        </row>
        <row r="260">
          <cell r="R260" t="str">
            <v>吉A*ZM856</v>
          </cell>
          <cell r="S260" t="str">
            <v>自备筐</v>
          </cell>
        </row>
        <row r="261">
          <cell r="B261">
            <v>46273</v>
          </cell>
          <cell r="C261" t="str">
            <v>聂新平</v>
          </cell>
          <cell r="D261" t="str">
            <v>原料出库－原筐出库</v>
          </cell>
          <cell r="E261" t="str">
            <v>NO:0001096</v>
          </cell>
          <cell r="F261" t="str">
            <v>西梅</v>
          </cell>
          <cell r="G261" t="str">
            <v>西梅一级</v>
          </cell>
          <cell r="H261">
            <v>421</v>
          </cell>
          <cell r="I261" t="str">
            <v>筐</v>
          </cell>
          <cell r="J261">
            <v>2947</v>
          </cell>
        </row>
        <row r="261">
          <cell r="N261" t="str">
            <v>自备一次性筐</v>
          </cell>
          <cell r="O261">
            <v>421</v>
          </cell>
        </row>
        <row r="261">
          <cell r="R261" t="str">
            <v>吉A*ZM856</v>
          </cell>
          <cell r="S261" t="str">
            <v>自备筐</v>
          </cell>
        </row>
        <row r="262">
          <cell r="B262">
            <v>46273</v>
          </cell>
          <cell r="C262" t="str">
            <v>聂新平</v>
          </cell>
          <cell r="D262" t="str">
            <v>原料出库－原筐出库</v>
          </cell>
          <cell r="E262" t="str">
            <v>NO:0001096</v>
          </cell>
          <cell r="F262" t="str">
            <v>西梅</v>
          </cell>
          <cell r="G262" t="str">
            <v>西梅二级</v>
          </cell>
          <cell r="H262">
            <v>330</v>
          </cell>
          <cell r="I262" t="str">
            <v>筐</v>
          </cell>
          <cell r="J262">
            <v>3960</v>
          </cell>
        </row>
        <row r="262">
          <cell r="N262" t="str">
            <v>自备一次性筐</v>
          </cell>
          <cell r="O262">
            <v>330</v>
          </cell>
        </row>
        <row r="262">
          <cell r="R262" t="str">
            <v>吉A*ZM856</v>
          </cell>
          <cell r="S262" t="str">
            <v>自备筐</v>
          </cell>
        </row>
        <row r="263">
          <cell r="B263">
            <v>46273</v>
          </cell>
          <cell r="C263" t="str">
            <v>聂新平</v>
          </cell>
          <cell r="D263" t="str">
            <v>原料出库－原筐出库</v>
          </cell>
          <cell r="E263" t="str">
            <v>NO:0001096</v>
          </cell>
          <cell r="F263" t="str">
            <v>西梅</v>
          </cell>
          <cell r="G263" t="str">
            <v>西梅二级</v>
          </cell>
          <cell r="H263">
            <v>2538</v>
          </cell>
          <cell r="I263" t="str">
            <v>筐</v>
          </cell>
          <cell r="J263">
            <v>5076</v>
          </cell>
        </row>
        <row r="263">
          <cell r="N263" t="str">
            <v>自备一次性筐</v>
          </cell>
          <cell r="O263">
            <v>2538</v>
          </cell>
        </row>
        <row r="263">
          <cell r="R263" t="str">
            <v>吉A*ZM856</v>
          </cell>
          <cell r="S263" t="str">
            <v>自备筐</v>
          </cell>
        </row>
        <row r="264">
          <cell r="B264">
            <v>46273</v>
          </cell>
          <cell r="C264" t="str">
            <v>聂新平</v>
          </cell>
          <cell r="D264" t="str">
            <v>原料出库－原筐出库</v>
          </cell>
          <cell r="E264" t="str">
            <v>NO:0001096</v>
          </cell>
          <cell r="F264" t="str">
            <v>西梅</v>
          </cell>
          <cell r="G264" t="str">
            <v>西梅三级</v>
          </cell>
          <cell r="H264">
            <v>1238</v>
          </cell>
          <cell r="I264" t="str">
            <v>筐</v>
          </cell>
          <cell r="J264">
            <v>2476</v>
          </cell>
        </row>
        <row r="264">
          <cell r="N264" t="str">
            <v>自备一次性筐</v>
          </cell>
          <cell r="O264">
            <v>1238</v>
          </cell>
        </row>
        <row r="264">
          <cell r="R264" t="str">
            <v>吉A*ZM856</v>
          </cell>
          <cell r="S264" t="str">
            <v>自备筐</v>
          </cell>
        </row>
        <row r="265">
          <cell r="B265">
            <v>46274</v>
          </cell>
          <cell r="C265" t="str">
            <v>王照雪</v>
          </cell>
          <cell r="D265" t="str">
            <v>原料出库－出库加工</v>
          </cell>
          <cell r="E265" t="str">
            <v>NO:0001101</v>
          </cell>
          <cell r="F265" t="str">
            <v>苹果</v>
          </cell>
          <cell r="G265" t="str">
            <v>华硕高次</v>
          </cell>
          <cell r="H265">
            <v>129</v>
          </cell>
          <cell r="I265" t="str">
            <v>筐</v>
          </cell>
        </row>
        <row r="265">
          <cell r="M265" t="str">
            <v>华硕原料全部出库</v>
          </cell>
        </row>
        <row r="266">
          <cell r="B266">
            <v>46274</v>
          </cell>
          <cell r="C266" t="str">
            <v>麦麦提</v>
          </cell>
          <cell r="D266" t="str">
            <v>原料出库－公司购买</v>
          </cell>
          <cell r="E266" t="str">
            <v>NO:0001103</v>
          </cell>
          <cell r="F266" t="str">
            <v>香梨</v>
          </cell>
          <cell r="G266" t="str">
            <v>香梨特级</v>
          </cell>
          <cell r="H266">
            <v>2</v>
          </cell>
          <cell r="I266" t="str">
            <v>筐</v>
          </cell>
        </row>
        <row r="267">
          <cell r="B267">
            <v>46275</v>
          </cell>
          <cell r="C267" t="str">
            <v>聂新平</v>
          </cell>
          <cell r="D267" t="str">
            <v>原料出库－原筐出库</v>
          </cell>
          <cell r="E267" t="str">
            <v>NO:0001112</v>
          </cell>
          <cell r="F267" t="str">
            <v>西梅</v>
          </cell>
          <cell r="G267" t="str">
            <v>西梅三级</v>
          </cell>
          <cell r="H267">
            <v>1013</v>
          </cell>
          <cell r="I267" t="str">
            <v>筐</v>
          </cell>
          <cell r="J267">
            <v>2026</v>
          </cell>
        </row>
        <row r="267">
          <cell r="M267" t="str">
            <v>西梅出库完毕</v>
          </cell>
          <cell r="N267" t="str">
            <v>自备一次性筐</v>
          </cell>
          <cell r="O267">
            <v>1013</v>
          </cell>
        </row>
        <row r="267">
          <cell r="R267" t="str">
            <v>新A*H0050</v>
          </cell>
          <cell r="S267" t="str">
            <v>自备筐</v>
          </cell>
        </row>
        <row r="268">
          <cell r="B268">
            <v>46277</v>
          </cell>
          <cell r="C268" t="str">
            <v>王照雪</v>
          </cell>
          <cell r="D268" t="str">
            <v>原料出库－出库加工</v>
          </cell>
          <cell r="E268" t="str">
            <v>NO:0001123</v>
          </cell>
          <cell r="F268" t="str">
            <v>香梨</v>
          </cell>
          <cell r="G268" t="str">
            <v>香梨一级</v>
          </cell>
          <cell r="H268">
            <v>2</v>
          </cell>
          <cell r="I268" t="str">
            <v>筐</v>
          </cell>
        </row>
        <row r="269">
          <cell r="B269">
            <v>46278</v>
          </cell>
          <cell r="C269" t="str">
            <v>王照雪</v>
          </cell>
          <cell r="D269" t="str">
            <v>原料出库－出库加工</v>
          </cell>
          <cell r="E269" t="str">
            <v>NO:0001127</v>
          </cell>
          <cell r="F269" t="str">
            <v>苹果</v>
          </cell>
          <cell r="G269" t="str">
            <v>新世纪一级</v>
          </cell>
          <cell r="H269">
            <v>110</v>
          </cell>
          <cell r="I269" t="str">
            <v>筐</v>
          </cell>
        </row>
        <row r="270">
          <cell r="B270">
            <v>46279</v>
          </cell>
          <cell r="C270" t="str">
            <v>王照雪</v>
          </cell>
          <cell r="D270" t="str">
            <v>原料出库－出库加工</v>
          </cell>
          <cell r="E270" t="str">
            <v>NO:0001139</v>
          </cell>
          <cell r="F270" t="str">
            <v>苹果</v>
          </cell>
          <cell r="G270" t="str">
            <v>新世纪特级</v>
          </cell>
          <cell r="H270">
            <v>73</v>
          </cell>
          <cell r="I270" t="str">
            <v>筐</v>
          </cell>
        </row>
        <row r="271">
          <cell r="B271">
            <v>46279</v>
          </cell>
          <cell r="C271" t="str">
            <v>王照雪</v>
          </cell>
          <cell r="D271" t="str">
            <v>原料出库－出库加工</v>
          </cell>
          <cell r="E271" t="str">
            <v>NO:0001139</v>
          </cell>
          <cell r="F271" t="str">
            <v>苹果</v>
          </cell>
          <cell r="G271" t="str">
            <v>新世纪一级</v>
          </cell>
          <cell r="H271">
            <v>86</v>
          </cell>
          <cell r="I271" t="str">
            <v>筐</v>
          </cell>
        </row>
        <row r="272">
          <cell r="B272">
            <v>46279</v>
          </cell>
          <cell r="C272" t="str">
            <v>王照雪</v>
          </cell>
          <cell r="D272" t="str">
            <v>原料出库－出库加工</v>
          </cell>
          <cell r="E272" t="str">
            <v>NO:0001139</v>
          </cell>
          <cell r="F272" t="str">
            <v>香梨</v>
          </cell>
          <cell r="G272" t="str">
            <v>香梨一级</v>
          </cell>
          <cell r="H272">
            <v>1</v>
          </cell>
          <cell r="I272" t="str">
            <v>筐</v>
          </cell>
        </row>
        <row r="273">
          <cell r="B273">
            <v>46259</v>
          </cell>
          <cell r="C273" t="str">
            <v>王照雪</v>
          </cell>
          <cell r="D273" t="str">
            <v>成品出库－成品出库</v>
          </cell>
          <cell r="E273" t="str">
            <v>NO:0001035</v>
          </cell>
          <cell r="F273" t="str">
            <v>苹果</v>
          </cell>
          <cell r="G273" t="str">
            <v>华硕一级</v>
          </cell>
          <cell r="H273">
            <v>74</v>
          </cell>
          <cell r="I273" t="str">
            <v>箱</v>
          </cell>
          <cell r="J273">
            <v>370</v>
          </cell>
        </row>
        <row r="273">
          <cell r="N273" t="str">
            <v>纸箱</v>
          </cell>
        </row>
        <row r="273">
          <cell r="R273" t="str">
            <v>新N*622UR</v>
          </cell>
          <cell r="S273" t="str">
            <v>公司筐</v>
          </cell>
          <cell r="T273" t="str">
            <v>王照雪</v>
          </cell>
        </row>
        <row r="273">
          <cell r="X273" t="str">
            <v>电商/主播</v>
          </cell>
        </row>
        <row r="273">
          <cell r="AD273" t="str">
            <v>成品出库</v>
          </cell>
        </row>
        <row r="274">
          <cell r="B274">
            <v>46259</v>
          </cell>
          <cell r="C274" t="str">
            <v>王照雪</v>
          </cell>
          <cell r="D274" t="str">
            <v>成品出库－成品出库</v>
          </cell>
          <cell r="E274" t="str">
            <v>NO:0001035</v>
          </cell>
          <cell r="F274" t="str">
            <v>苹果</v>
          </cell>
          <cell r="G274" t="str">
            <v>华硕一级</v>
          </cell>
          <cell r="H274">
            <v>13</v>
          </cell>
          <cell r="I274" t="str">
            <v>箱</v>
          </cell>
          <cell r="J274">
            <v>32.5</v>
          </cell>
        </row>
        <row r="274">
          <cell r="N274" t="str">
            <v>纸箱</v>
          </cell>
        </row>
        <row r="274">
          <cell r="R274" t="str">
            <v>新N*622UR</v>
          </cell>
          <cell r="S274" t="str">
            <v>公司筐</v>
          </cell>
          <cell r="T274" t="str">
            <v>王照雪</v>
          </cell>
        </row>
        <row r="274">
          <cell r="X274" t="str">
            <v>电商/主播</v>
          </cell>
        </row>
        <row r="274">
          <cell r="AD274" t="str">
            <v>成品出库</v>
          </cell>
        </row>
        <row r="275">
          <cell r="B275">
            <v>46261</v>
          </cell>
          <cell r="C275" t="str">
            <v>王照雪</v>
          </cell>
          <cell r="D275" t="str">
            <v>成品出库－成品出库</v>
          </cell>
          <cell r="E275" t="str">
            <v>NO:0001040</v>
          </cell>
          <cell r="F275" t="str">
            <v>苹果</v>
          </cell>
          <cell r="G275" t="str">
            <v>华硕一级</v>
          </cell>
          <cell r="H275">
            <v>63</v>
          </cell>
          <cell r="I275" t="str">
            <v>箱</v>
          </cell>
          <cell r="J275">
            <v>321.3</v>
          </cell>
        </row>
        <row r="275">
          <cell r="N275" t="str">
            <v>纸箱</v>
          </cell>
        </row>
        <row r="275">
          <cell r="R275" t="str">
            <v>豫N*P269J</v>
          </cell>
          <cell r="S275" t="str">
            <v>公司筐</v>
          </cell>
          <cell r="T275" t="str">
            <v>王照雪</v>
          </cell>
        </row>
        <row r="275">
          <cell r="X275" t="str">
            <v>电商/主播</v>
          </cell>
        </row>
        <row r="275">
          <cell r="AD275" t="str">
            <v>成品出库</v>
          </cell>
        </row>
        <row r="276">
          <cell r="B276">
            <v>46261</v>
          </cell>
          <cell r="C276" t="str">
            <v>王照雪</v>
          </cell>
          <cell r="D276" t="str">
            <v>成品出库－成品出库</v>
          </cell>
          <cell r="E276" t="str">
            <v>NO:0001040</v>
          </cell>
          <cell r="F276" t="str">
            <v>苹果</v>
          </cell>
          <cell r="G276" t="str">
            <v>华硕一级</v>
          </cell>
          <cell r="H276">
            <v>26</v>
          </cell>
          <cell r="I276" t="str">
            <v>箱</v>
          </cell>
          <cell r="J276">
            <v>67.6</v>
          </cell>
        </row>
        <row r="276">
          <cell r="N276" t="str">
            <v>纸箱</v>
          </cell>
        </row>
        <row r="276">
          <cell r="R276" t="str">
            <v>豫N*P269J</v>
          </cell>
          <cell r="S276" t="str">
            <v>公司筐</v>
          </cell>
          <cell r="T276" t="str">
            <v>王照雪</v>
          </cell>
        </row>
        <row r="276">
          <cell r="X276" t="str">
            <v>电商/主播</v>
          </cell>
        </row>
        <row r="276">
          <cell r="AD276" t="str">
            <v>成品出库</v>
          </cell>
        </row>
        <row r="277">
          <cell r="B277">
            <v>46262</v>
          </cell>
          <cell r="C277" t="str">
            <v>王照雪</v>
          </cell>
          <cell r="D277" t="str">
            <v>成品出库－成品出库</v>
          </cell>
          <cell r="E277" t="str">
            <v>NO:0001043</v>
          </cell>
          <cell r="F277" t="str">
            <v>苹果</v>
          </cell>
          <cell r="G277" t="str">
            <v>华硕一级</v>
          </cell>
          <cell r="H277">
            <v>29</v>
          </cell>
          <cell r="I277" t="str">
            <v>箱</v>
          </cell>
          <cell r="J277">
            <v>147.9</v>
          </cell>
        </row>
        <row r="277">
          <cell r="N277" t="str">
            <v>纸箱</v>
          </cell>
        </row>
        <row r="277">
          <cell r="R277" t="str">
            <v>豫N*P269J</v>
          </cell>
          <cell r="S277" t="str">
            <v>公司筐</v>
          </cell>
          <cell r="T277" t="str">
            <v>王照雪</v>
          </cell>
        </row>
        <row r="277">
          <cell r="X277" t="str">
            <v>电商/主播</v>
          </cell>
        </row>
        <row r="277">
          <cell r="AD277" t="str">
            <v>成品出库</v>
          </cell>
        </row>
        <row r="278">
          <cell r="B278">
            <v>46262</v>
          </cell>
          <cell r="C278" t="str">
            <v>王照雪</v>
          </cell>
          <cell r="D278" t="str">
            <v>成品出库－成品出库</v>
          </cell>
          <cell r="E278" t="str">
            <v>NO:0001043</v>
          </cell>
          <cell r="F278" t="str">
            <v>苹果</v>
          </cell>
          <cell r="G278" t="str">
            <v>华硕一级</v>
          </cell>
          <cell r="H278">
            <v>12</v>
          </cell>
          <cell r="I278" t="str">
            <v>箱</v>
          </cell>
          <cell r="J278">
            <v>31.2</v>
          </cell>
        </row>
        <row r="278">
          <cell r="N278" t="str">
            <v>纸箱</v>
          </cell>
        </row>
        <row r="278">
          <cell r="R278" t="str">
            <v>豫N*P269J</v>
          </cell>
          <cell r="S278" t="str">
            <v>公司筐</v>
          </cell>
          <cell r="T278" t="str">
            <v>王照雪</v>
          </cell>
        </row>
        <row r="278">
          <cell r="X278" t="str">
            <v>电商/主播</v>
          </cell>
        </row>
        <row r="278">
          <cell r="AD278" t="str">
            <v>成品出库</v>
          </cell>
        </row>
        <row r="279">
          <cell r="B279">
            <v>46263</v>
          </cell>
          <cell r="C279" t="str">
            <v>王照雪</v>
          </cell>
          <cell r="D279" t="str">
            <v>成品出库－成品出库</v>
          </cell>
          <cell r="E279" t="str">
            <v>NO:0001048</v>
          </cell>
          <cell r="F279" t="str">
            <v>苹果</v>
          </cell>
          <cell r="G279" t="str">
            <v>华硕一级</v>
          </cell>
          <cell r="H279">
            <v>68</v>
          </cell>
          <cell r="I279" t="str">
            <v>箱</v>
          </cell>
          <cell r="J279">
            <v>346.8</v>
          </cell>
        </row>
        <row r="279">
          <cell r="N279" t="str">
            <v>纸箱</v>
          </cell>
        </row>
        <row r="279">
          <cell r="R279" t="str">
            <v>豫N*P269J</v>
          </cell>
          <cell r="S279" t="str">
            <v>公司筐</v>
          </cell>
          <cell r="T279" t="str">
            <v>王照雪</v>
          </cell>
        </row>
        <row r="279">
          <cell r="X279" t="str">
            <v>电商/主播</v>
          </cell>
        </row>
        <row r="279">
          <cell r="AD279" t="str">
            <v>成品出库</v>
          </cell>
        </row>
        <row r="280">
          <cell r="B280">
            <v>46263</v>
          </cell>
          <cell r="C280" t="str">
            <v>王照雪</v>
          </cell>
          <cell r="D280" t="str">
            <v>成品出库－成品出库</v>
          </cell>
          <cell r="E280" t="str">
            <v>NO:0001048</v>
          </cell>
          <cell r="F280" t="str">
            <v>苹果</v>
          </cell>
          <cell r="G280" t="str">
            <v>华硕一级</v>
          </cell>
          <cell r="H280">
            <v>22</v>
          </cell>
          <cell r="I280" t="str">
            <v>箱</v>
          </cell>
          <cell r="J280">
            <v>57.2</v>
          </cell>
        </row>
        <row r="280">
          <cell r="N280" t="str">
            <v>纸箱</v>
          </cell>
        </row>
        <row r="280">
          <cell r="R280" t="str">
            <v>豫N*P269J</v>
          </cell>
          <cell r="S280" t="str">
            <v>公司筐</v>
          </cell>
          <cell r="T280" t="str">
            <v>王照雪</v>
          </cell>
        </row>
        <row r="280">
          <cell r="X280" t="str">
            <v>电商/主播</v>
          </cell>
        </row>
        <row r="280">
          <cell r="AD280" t="str">
            <v>成品出库</v>
          </cell>
        </row>
        <row r="281">
          <cell r="B281">
            <v>46264</v>
          </cell>
          <cell r="C281" t="str">
            <v>王照雪</v>
          </cell>
          <cell r="D281" t="str">
            <v>成品出库－成品出库</v>
          </cell>
          <cell r="E281" t="str">
            <v>NO:0001052</v>
          </cell>
          <cell r="F281" t="str">
            <v>苹果</v>
          </cell>
          <cell r="G281" t="str">
            <v>华硕一级</v>
          </cell>
          <cell r="H281">
            <v>484</v>
          </cell>
          <cell r="I281" t="str">
            <v>箱</v>
          </cell>
          <cell r="J281">
            <v>2468.4</v>
          </cell>
        </row>
        <row r="281">
          <cell r="N281" t="str">
            <v>纸箱</v>
          </cell>
        </row>
        <row r="281">
          <cell r="R281" t="str">
            <v>豫N*P269J</v>
          </cell>
          <cell r="S281" t="str">
            <v>公司筐</v>
          </cell>
          <cell r="T281" t="str">
            <v>王照雪</v>
          </cell>
        </row>
        <row r="281">
          <cell r="X281" t="str">
            <v>电商/主播</v>
          </cell>
        </row>
        <row r="281">
          <cell r="AD281" t="str">
            <v>成品出库</v>
          </cell>
        </row>
        <row r="282">
          <cell r="B282">
            <v>46264</v>
          </cell>
          <cell r="C282" t="str">
            <v>王照雪</v>
          </cell>
          <cell r="D282" t="str">
            <v>成品出库－成品出库</v>
          </cell>
          <cell r="E282" t="str">
            <v>NO:0001053</v>
          </cell>
          <cell r="F282" t="str">
            <v>苹果</v>
          </cell>
          <cell r="G282" t="str">
            <v>华硕一级</v>
          </cell>
          <cell r="H282">
            <v>320</v>
          </cell>
          <cell r="I282" t="str">
            <v>箱</v>
          </cell>
          <cell r="J282">
            <v>1632</v>
          </cell>
        </row>
        <row r="282">
          <cell r="N282" t="str">
            <v>纸箱</v>
          </cell>
        </row>
        <row r="282">
          <cell r="R282" t="str">
            <v>豫N*P269J</v>
          </cell>
          <cell r="S282" t="str">
            <v>公司筐</v>
          </cell>
          <cell r="T282" t="str">
            <v>王照雪</v>
          </cell>
        </row>
        <row r="282">
          <cell r="X282" t="str">
            <v>电商/主播</v>
          </cell>
        </row>
        <row r="282">
          <cell r="AD282" t="str">
            <v>成品出库</v>
          </cell>
        </row>
        <row r="283">
          <cell r="B283">
            <v>46265</v>
          </cell>
          <cell r="C283" t="str">
            <v>王照雪</v>
          </cell>
          <cell r="D283" t="str">
            <v>成品出库－成品出库</v>
          </cell>
          <cell r="E283" t="str">
            <v>NO:0001058</v>
          </cell>
          <cell r="F283" t="str">
            <v>苹果</v>
          </cell>
          <cell r="G283" t="str">
            <v>华硕一级</v>
          </cell>
          <cell r="H283">
            <v>307</v>
          </cell>
          <cell r="I283" t="str">
            <v>箱</v>
          </cell>
          <cell r="J283">
            <v>1565.7</v>
          </cell>
        </row>
        <row r="283">
          <cell r="N283" t="str">
            <v>纸箱</v>
          </cell>
        </row>
        <row r="283">
          <cell r="R283" t="str">
            <v>豫N*P269J</v>
          </cell>
          <cell r="S283" t="str">
            <v>公司筐</v>
          </cell>
          <cell r="T283" t="str">
            <v>王照雪</v>
          </cell>
        </row>
        <row r="283">
          <cell r="X283" t="str">
            <v>电商/主播</v>
          </cell>
        </row>
        <row r="283">
          <cell r="AD283" t="str">
            <v>成品出库</v>
          </cell>
        </row>
        <row r="284">
          <cell r="B284">
            <v>46265</v>
          </cell>
          <cell r="C284" t="str">
            <v>王照雪</v>
          </cell>
          <cell r="D284" t="str">
            <v>成品出库－成品出库</v>
          </cell>
          <cell r="E284" t="str">
            <v>NO:0001058</v>
          </cell>
          <cell r="F284" t="str">
            <v>苹果</v>
          </cell>
          <cell r="G284" t="str">
            <v>华硕一级</v>
          </cell>
          <cell r="H284">
            <v>1</v>
          </cell>
          <cell r="I284" t="str">
            <v>箱</v>
          </cell>
          <cell r="J284">
            <v>2.6</v>
          </cell>
        </row>
        <row r="284">
          <cell r="N284" t="str">
            <v>纸箱</v>
          </cell>
        </row>
        <row r="284">
          <cell r="R284" t="str">
            <v>豫N*P269J</v>
          </cell>
          <cell r="S284" t="str">
            <v>公司筐</v>
          </cell>
          <cell r="T284" t="str">
            <v>王照雪</v>
          </cell>
        </row>
        <row r="284">
          <cell r="X284" t="str">
            <v>电商/主播</v>
          </cell>
        </row>
        <row r="284">
          <cell r="AD284" t="str">
            <v>成品出库</v>
          </cell>
        </row>
        <row r="285">
          <cell r="B285">
            <v>46266</v>
          </cell>
          <cell r="C285" t="str">
            <v>王照雪</v>
          </cell>
          <cell r="D285" t="str">
            <v>成品出库－成品出库</v>
          </cell>
          <cell r="E285" t="str">
            <v>NO:0001062</v>
          </cell>
          <cell r="F285" t="str">
            <v>苹果</v>
          </cell>
          <cell r="G285" t="str">
            <v>华硕一级</v>
          </cell>
          <cell r="H285">
            <v>346</v>
          </cell>
          <cell r="I285" t="str">
            <v>箱</v>
          </cell>
          <cell r="J285">
            <v>1764.6</v>
          </cell>
        </row>
        <row r="285">
          <cell r="N285" t="str">
            <v>纸箱</v>
          </cell>
        </row>
        <row r="285">
          <cell r="R285" t="str">
            <v>豫N*P269J</v>
          </cell>
          <cell r="S285" t="str">
            <v>公司筐</v>
          </cell>
          <cell r="T285" t="str">
            <v>王照雪</v>
          </cell>
        </row>
        <row r="285">
          <cell r="X285" t="str">
            <v>电商/主播</v>
          </cell>
        </row>
        <row r="285">
          <cell r="AD285" t="str">
            <v>成品出库</v>
          </cell>
        </row>
        <row r="286">
          <cell r="B286">
            <v>46267</v>
          </cell>
          <cell r="C286" t="str">
            <v>王照雪</v>
          </cell>
          <cell r="D286" t="str">
            <v>成品出库－成品出库</v>
          </cell>
          <cell r="E286" t="str">
            <v>NO:0001063</v>
          </cell>
          <cell r="F286" t="str">
            <v>苹果</v>
          </cell>
          <cell r="G286" t="str">
            <v>苹果扎伤</v>
          </cell>
          <cell r="H286">
            <v>1</v>
          </cell>
          <cell r="I286" t="str">
            <v>筐</v>
          </cell>
          <cell r="J286">
            <v>17.3</v>
          </cell>
        </row>
        <row r="286">
          <cell r="N286" t="str">
            <v>公司杂周转筐</v>
          </cell>
          <cell r="O286">
            <v>1</v>
          </cell>
        </row>
        <row r="286">
          <cell r="R286" t="str">
            <v>自提</v>
          </cell>
          <cell r="S286" t="str">
            <v>公司筐</v>
          </cell>
          <cell r="T286" t="str">
            <v>王照雪</v>
          </cell>
        </row>
        <row r="286">
          <cell r="X286" t="str">
            <v>王照雪</v>
          </cell>
        </row>
        <row r="286">
          <cell r="AD286" t="str">
            <v>成品出库</v>
          </cell>
        </row>
        <row r="287">
          <cell r="B287">
            <v>46267</v>
          </cell>
          <cell r="C287" t="str">
            <v>王照雪</v>
          </cell>
          <cell r="D287" t="str">
            <v>成品出库－成品出库</v>
          </cell>
          <cell r="E287" t="str">
            <v>NO:0001065</v>
          </cell>
          <cell r="F287" t="str">
            <v>苹果</v>
          </cell>
          <cell r="G287" t="str">
            <v>华硕一级</v>
          </cell>
          <cell r="H287">
            <v>242</v>
          </cell>
          <cell r="I287" t="str">
            <v>箱</v>
          </cell>
          <cell r="J287">
            <v>1234.2</v>
          </cell>
        </row>
        <row r="287">
          <cell r="N287" t="str">
            <v>纸箱</v>
          </cell>
        </row>
        <row r="287">
          <cell r="R287" t="str">
            <v>豫N*P269J</v>
          </cell>
          <cell r="S287" t="str">
            <v>公司筐</v>
          </cell>
          <cell r="T287" t="str">
            <v>王照雪</v>
          </cell>
        </row>
        <row r="287">
          <cell r="X287" t="str">
            <v>电商/主播</v>
          </cell>
        </row>
        <row r="287">
          <cell r="AD287" t="str">
            <v>成品出库</v>
          </cell>
        </row>
        <row r="288">
          <cell r="B288">
            <v>46267</v>
          </cell>
          <cell r="C288" t="str">
            <v>王照雪</v>
          </cell>
          <cell r="D288" t="str">
            <v>成品出库－成品出库</v>
          </cell>
          <cell r="E288" t="str">
            <v>NO:0001065</v>
          </cell>
          <cell r="F288" t="str">
            <v>苹果</v>
          </cell>
          <cell r="G288" t="str">
            <v>华硕一级</v>
          </cell>
          <cell r="H288">
            <v>28</v>
          </cell>
          <cell r="I288" t="str">
            <v>箱</v>
          </cell>
          <cell r="J288">
            <v>72.8</v>
          </cell>
        </row>
        <row r="288">
          <cell r="N288" t="str">
            <v>纸箱</v>
          </cell>
        </row>
        <row r="288">
          <cell r="R288" t="str">
            <v>豫N*P269J</v>
          </cell>
          <cell r="S288" t="str">
            <v>公司筐</v>
          </cell>
          <cell r="T288" t="str">
            <v>王照雪</v>
          </cell>
        </row>
        <row r="288">
          <cell r="X288" t="str">
            <v>电商/主播</v>
          </cell>
        </row>
        <row r="288">
          <cell r="AD288" t="str">
            <v>成品出库</v>
          </cell>
        </row>
        <row r="289">
          <cell r="B289">
            <v>46269</v>
          </cell>
          <cell r="C289" t="str">
            <v>聂新平</v>
          </cell>
          <cell r="D289" t="str">
            <v>成品出库－成品出库</v>
          </cell>
          <cell r="E289" t="str">
            <v>NO:0001081</v>
          </cell>
          <cell r="F289" t="str">
            <v>苹果</v>
          </cell>
          <cell r="G289" t="str">
            <v>苹果扎伤</v>
          </cell>
          <cell r="H289">
            <v>113</v>
          </cell>
          <cell r="I289" t="str">
            <v>筐</v>
          </cell>
          <cell r="J289">
            <v>2440.8</v>
          </cell>
        </row>
        <row r="289">
          <cell r="N289" t="str">
            <v>公司一次性筐</v>
          </cell>
          <cell r="O289">
            <v>113</v>
          </cell>
        </row>
        <row r="289">
          <cell r="R289" t="str">
            <v>新Q*61781</v>
          </cell>
          <cell r="S289" t="str">
            <v>公司筐</v>
          </cell>
          <cell r="T289" t="str">
            <v>聂新平</v>
          </cell>
        </row>
        <row r="289">
          <cell r="X289" t="str">
            <v>伍元虎</v>
          </cell>
        </row>
        <row r="289">
          <cell r="AD289" t="str">
            <v>成品出库</v>
          </cell>
        </row>
        <row r="290">
          <cell r="B290">
            <v>46269</v>
          </cell>
          <cell r="C290" t="str">
            <v>王照雪</v>
          </cell>
          <cell r="D290" t="str">
            <v>成品出库－成品出库</v>
          </cell>
          <cell r="E290" t="str">
            <v>NO:0001082</v>
          </cell>
          <cell r="F290" t="str">
            <v>苹果</v>
          </cell>
          <cell r="G290" t="str">
            <v>苹果扎伤</v>
          </cell>
          <cell r="H290">
            <v>81</v>
          </cell>
          <cell r="I290" t="str">
            <v>箱</v>
          </cell>
          <cell r="J290">
            <v>599.4</v>
          </cell>
        </row>
        <row r="290">
          <cell r="N290" t="str">
            <v>纸箱</v>
          </cell>
        </row>
        <row r="290">
          <cell r="R290" t="str">
            <v>新Q*61781</v>
          </cell>
          <cell r="S290" t="str">
            <v>公司筐</v>
          </cell>
          <cell r="T290" t="str">
            <v>王照雪</v>
          </cell>
        </row>
        <row r="290">
          <cell r="X290" t="str">
            <v>王照雪</v>
          </cell>
        </row>
        <row r="290">
          <cell r="AD290" t="str">
            <v>成品出库</v>
          </cell>
        </row>
        <row r="291">
          <cell r="B291">
            <v>46269</v>
          </cell>
          <cell r="C291" t="str">
            <v>王照雪</v>
          </cell>
          <cell r="D291" t="str">
            <v>成品出库－成品出库</v>
          </cell>
          <cell r="E291" t="str">
            <v>NO:0001083</v>
          </cell>
          <cell r="F291" t="str">
            <v>苹果</v>
          </cell>
          <cell r="G291" t="str">
            <v>华硕一级</v>
          </cell>
          <cell r="H291">
            <v>9</v>
          </cell>
          <cell r="I291" t="str">
            <v>箱</v>
          </cell>
          <cell r="J291">
            <v>45.9</v>
          </cell>
        </row>
        <row r="291">
          <cell r="N291" t="str">
            <v>纸箱</v>
          </cell>
        </row>
        <row r="291">
          <cell r="R291" t="str">
            <v>豫N*P269J</v>
          </cell>
          <cell r="S291" t="str">
            <v>公司筐</v>
          </cell>
          <cell r="T291" t="str">
            <v>王照雪</v>
          </cell>
        </row>
        <row r="291">
          <cell r="X291" t="str">
            <v>电商/主播</v>
          </cell>
        </row>
        <row r="291">
          <cell r="AD291" t="str">
            <v>成品出库</v>
          </cell>
        </row>
        <row r="292">
          <cell r="B292">
            <v>46269</v>
          </cell>
          <cell r="C292" t="str">
            <v>王照雪</v>
          </cell>
          <cell r="D292" t="str">
            <v>成品出库－成品出库</v>
          </cell>
          <cell r="E292" t="str">
            <v>NO:0001083</v>
          </cell>
          <cell r="F292" t="str">
            <v>苹果</v>
          </cell>
          <cell r="G292" t="str">
            <v>华硕一级</v>
          </cell>
          <cell r="H292">
            <v>4</v>
          </cell>
          <cell r="I292" t="str">
            <v>箱</v>
          </cell>
          <cell r="J292">
            <v>10.4</v>
          </cell>
        </row>
        <row r="292">
          <cell r="N292" t="str">
            <v>纸箱</v>
          </cell>
        </row>
        <row r="292">
          <cell r="R292" t="str">
            <v>豫N*P269J</v>
          </cell>
          <cell r="S292" t="str">
            <v>公司筐</v>
          </cell>
          <cell r="T292" t="str">
            <v>王照雪</v>
          </cell>
        </row>
        <row r="292">
          <cell r="X292" t="str">
            <v>电商/主播</v>
          </cell>
        </row>
        <row r="292">
          <cell r="AD292" t="str">
            <v>成品出库</v>
          </cell>
        </row>
        <row r="293">
          <cell r="B293">
            <v>46269</v>
          </cell>
          <cell r="C293" t="str">
            <v>王照雪</v>
          </cell>
          <cell r="D293" t="str">
            <v>成品出库－成品出库</v>
          </cell>
          <cell r="E293" t="str">
            <v>NO:0001083</v>
          </cell>
          <cell r="F293" t="str">
            <v>苹果</v>
          </cell>
          <cell r="G293" t="str">
            <v>苹果扎伤</v>
          </cell>
          <cell r="H293">
            <v>3</v>
          </cell>
          <cell r="I293" t="str">
            <v>筐</v>
          </cell>
          <cell r="J293">
            <v>51.9</v>
          </cell>
        </row>
        <row r="293">
          <cell r="N293" t="str">
            <v>公司杂周转筐</v>
          </cell>
          <cell r="O293">
            <v>3</v>
          </cell>
        </row>
        <row r="293">
          <cell r="R293" t="str">
            <v>豫N*P269J</v>
          </cell>
          <cell r="S293" t="str">
            <v>公司筐</v>
          </cell>
          <cell r="T293" t="str">
            <v>王照雪</v>
          </cell>
        </row>
        <row r="293">
          <cell r="X293" t="str">
            <v>王照雪</v>
          </cell>
        </row>
        <row r="293">
          <cell r="AD293" t="str">
            <v>成品出库</v>
          </cell>
        </row>
        <row r="294">
          <cell r="B294">
            <v>46269</v>
          </cell>
          <cell r="C294" t="str">
            <v>王照雪</v>
          </cell>
          <cell r="D294" t="str">
            <v>成品出库－成品出库</v>
          </cell>
          <cell r="E294" t="str">
            <v>NO:0001085</v>
          </cell>
          <cell r="F294" t="str">
            <v>苹果</v>
          </cell>
          <cell r="G294" t="str">
            <v>华硕一级</v>
          </cell>
          <cell r="H294">
            <v>93</v>
          </cell>
          <cell r="I294" t="str">
            <v>箱</v>
          </cell>
          <cell r="J294">
            <v>474.3</v>
          </cell>
        </row>
        <row r="294">
          <cell r="N294" t="str">
            <v>纸箱</v>
          </cell>
        </row>
        <row r="294">
          <cell r="R294" t="str">
            <v>豫N*P269J</v>
          </cell>
          <cell r="S294" t="str">
            <v>公司筐</v>
          </cell>
          <cell r="T294" t="str">
            <v>王照雪</v>
          </cell>
        </row>
        <row r="294">
          <cell r="X294" t="str">
            <v>电商/主播</v>
          </cell>
        </row>
        <row r="294">
          <cell r="AD294" t="str">
            <v>成品出库</v>
          </cell>
        </row>
        <row r="295">
          <cell r="B295">
            <v>46270</v>
          </cell>
          <cell r="C295" t="str">
            <v>王照雪</v>
          </cell>
          <cell r="D295" t="str">
            <v>成品出库－成品出库</v>
          </cell>
          <cell r="E295" t="str">
            <v>NO:0001085</v>
          </cell>
          <cell r="F295" t="str">
            <v>苹果</v>
          </cell>
          <cell r="G295" t="str">
            <v>华硕一级</v>
          </cell>
          <cell r="H295">
            <v>3</v>
          </cell>
          <cell r="I295" t="str">
            <v>箱</v>
          </cell>
          <cell r="J295">
            <v>7.8</v>
          </cell>
        </row>
        <row r="295">
          <cell r="N295" t="str">
            <v>纸箱</v>
          </cell>
        </row>
        <row r="295">
          <cell r="R295" t="str">
            <v>豫N*P269J</v>
          </cell>
          <cell r="S295" t="str">
            <v>公司筐</v>
          </cell>
          <cell r="T295" t="str">
            <v>王照雪</v>
          </cell>
        </row>
        <row r="295">
          <cell r="X295" t="str">
            <v>电商/主播</v>
          </cell>
        </row>
        <row r="295">
          <cell r="AD295" t="str">
            <v>成品出库</v>
          </cell>
        </row>
        <row r="296">
          <cell r="B296">
            <v>46271</v>
          </cell>
          <cell r="C296" t="str">
            <v>王照雪</v>
          </cell>
          <cell r="D296" t="str">
            <v>成品出库－成品出库</v>
          </cell>
          <cell r="E296" t="str">
            <v>NO:0001088</v>
          </cell>
          <cell r="F296" t="str">
            <v>苹果</v>
          </cell>
          <cell r="G296" t="str">
            <v>华硕一级</v>
          </cell>
          <cell r="H296">
            <v>105</v>
          </cell>
          <cell r="I296" t="str">
            <v>箱</v>
          </cell>
          <cell r="J296">
            <v>535.5</v>
          </cell>
        </row>
        <row r="296">
          <cell r="N296" t="str">
            <v>纸箱</v>
          </cell>
        </row>
        <row r="296">
          <cell r="R296" t="str">
            <v>豫N*P269J</v>
          </cell>
          <cell r="S296" t="str">
            <v>公司筐</v>
          </cell>
          <cell r="T296" t="str">
            <v>王照雪</v>
          </cell>
        </row>
        <row r="296">
          <cell r="X296" t="str">
            <v>电商/主播</v>
          </cell>
        </row>
        <row r="296">
          <cell r="AD296" t="str">
            <v>成品出库</v>
          </cell>
        </row>
        <row r="297">
          <cell r="B297">
            <v>46272</v>
          </cell>
          <cell r="C297" t="str">
            <v>王照雪</v>
          </cell>
          <cell r="D297" t="str">
            <v>成品出库－成品出库</v>
          </cell>
          <cell r="E297" t="str">
            <v>NO:0001093</v>
          </cell>
          <cell r="F297" t="str">
            <v>苹果</v>
          </cell>
          <cell r="G297" t="str">
            <v>华硕一级</v>
          </cell>
          <cell r="H297">
            <v>150</v>
          </cell>
          <cell r="I297" t="str">
            <v>箱</v>
          </cell>
          <cell r="J297">
            <v>765</v>
          </cell>
        </row>
        <row r="297">
          <cell r="N297" t="str">
            <v>纸箱</v>
          </cell>
        </row>
        <row r="297">
          <cell r="R297" t="str">
            <v>豫N*P269J</v>
          </cell>
          <cell r="S297" t="str">
            <v>公司筐</v>
          </cell>
          <cell r="T297" t="str">
            <v>王照雪</v>
          </cell>
        </row>
        <row r="297">
          <cell r="X297" t="str">
            <v>电商/主播</v>
          </cell>
        </row>
        <row r="297">
          <cell r="AD297" t="str">
            <v>成品出库</v>
          </cell>
        </row>
        <row r="298">
          <cell r="B298">
            <v>46273</v>
          </cell>
          <cell r="C298" t="str">
            <v>王照雪</v>
          </cell>
          <cell r="D298" t="str">
            <v>成品出库－成品出库</v>
          </cell>
          <cell r="E298" t="str">
            <v>NO:0001095</v>
          </cell>
          <cell r="F298" t="str">
            <v>苹果</v>
          </cell>
          <cell r="G298" t="str">
            <v>华硕一级</v>
          </cell>
          <cell r="H298">
            <v>296</v>
          </cell>
          <cell r="I298" t="str">
            <v>箱</v>
          </cell>
          <cell r="J298">
            <v>1509.6</v>
          </cell>
        </row>
        <row r="298">
          <cell r="N298" t="str">
            <v>纸箱</v>
          </cell>
        </row>
        <row r="298">
          <cell r="R298" t="str">
            <v>豫N*P269J</v>
          </cell>
          <cell r="S298" t="str">
            <v>公司筐</v>
          </cell>
          <cell r="T298" t="str">
            <v>王照雪</v>
          </cell>
        </row>
        <row r="298">
          <cell r="X298" t="str">
            <v>电商/主播</v>
          </cell>
        </row>
        <row r="298">
          <cell r="AD298" t="str">
            <v>成品出库</v>
          </cell>
        </row>
        <row r="299">
          <cell r="B299">
            <v>46273</v>
          </cell>
          <cell r="C299" t="str">
            <v>王照雪</v>
          </cell>
          <cell r="D299" t="str">
            <v>成品出库－成品出库</v>
          </cell>
          <cell r="E299" t="str">
            <v>NO:0001095</v>
          </cell>
          <cell r="F299" t="str">
            <v>苹果</v>
          </cell>
          <cell r="G299" t="str">
            <v>华硕一级</v>
          </cell>
          <cell r="H299">
            <v>16</v>
          </cell>
          <cell r="I299" t="str">
            <v>箱</v>
          </cell>
          <cell r="J299">
            <v>41.6</v>
          </cell>
        </row>
        <row r="299">
          <cell r="N299" t="str">
            <v>纸箱</v>
          </cell>
        </row>
        <row r="299">
          <cell r="R299" t="str">
            <v>豫N*P269J</v>
          </cell>
          <cell r="S299" t="str">
            <v>公司筐</v>
          </cell>
          <cell r="T299" t="str">
            <v>王照雪</v>
          </cell>
        </row>
        <row r="299">
          <cell r="X299" t="str">
            <v>电商/主播</v>
          </cell>
        </row>
        <row r="299">
          <cell r="AD299" t="str">
            <v>成品出库</v>
          </cell>
        </row>
        <row r="300">
          <cell r="B300">
            <v>46273</v>
          </cell>
          <cell r="C300" t="str">
            <v>聂新平</v>
          </cell>
          <cell r="D300" t="str">
            <v>成品出库－成品出库</v>
          </cell>
          <cell r="E300" t="str">
            <v>NO:0001097</v>
          </cell>
          <cell r="F300" t="str">
            <v>苹果</v>
          </cell>
          <cell r="G300" t="str">
            <v>嘎啦100#</v>
          </cell>
          <cell r="H300">
            <v>90</v>
          </cell>
          <cell r="I300" t="str">
            <v>筐</v>
          </cell>
          <cell r="J300">
            <v>1800</v>
          </cell>
        </row>
        <row r="300">
          <cell r="N300" t="str">
            <v>自备一次性筐</v>
          </cell>
          <cell r="O300">
            <v>90</v>
          </cell>
        </row>
        <row r="300">
          <cell r="R300" t="str">
            <v>吉A*ZM856</v>
          </cell>
          <cell r="S300" t="str">
            <v>自备筐</v>
          </cell>
          <cell r="T300" t="str">
            <v>聂新平</v>
          </cell>
        </row>
        <row r="300">
          <cell r="X300" t="str">
            <v>聂新平</v>
          </cell>
        </row>
        <row r="300">
          <cell r="AD300" t="str">
            <v>成品出库</v>
          </cell>
        </row>
        <row r="301">
          <cell r="B301">
            <v>46274</v>
          </cell>
          <cell r="C301" t="str">
            <v>王照雪</v>
          </cell>
          <cell r="D301" t="str">
            <v>成品出库－成品出库</v>
          </cell>
          <cell r="E301" t="str">
            <v>NO:0001104</v>
          </cell>
          <cell r="F301" t="str">
            <v>苹果</v>
          </cell>
          <cell r="G301" t="str">
            <v>华硕一级</v>
          </cell>
          <cell r="H301">
            <v>27</v>
          </cell>
          <cell r="I301" t="str">
            <v>箱</v>
          </cell>
          <cell r="J301">
            <v>137.7</v>
          </cell>
        </row>
        <row r="301">
          <cell r="N301" t="str">
            <v>纸箱</v>
          </cell>
        </row>
        <row r="301">
          <cell r="R301" t="str">
            <v>豫N*P269J</v>
          </cell>
          <cell r="S301" t="str">
            <v>公司筐</v>
          </cell>
          <cell r="T301" t="str">
            <v>王照雪</v>
          </cell>
        </row>
        <row r="301">
          <cell r="X301" t="str">
            <v>电商/主播</v>
          </cell>
        </row>
        <row r="301">
          <cell r="AD301" t="str">
            <v>成品出库</v>
          </cell>
        </row>
        <row r="302">
          <cell r="B302">
            <v>46275</v>
          </cell>
          <cell r="C302" t="str">
            <v>王照雪</v>
          </cell>
          <cell r="D302" t="str">
            <v>成品出库－成品出库</v>
          </cell>
          <cell r="E302" t="str">
            <v>NO:0001109</v>
          </cell>
          <cell r="F302" t="str">
            <v>苹果</v>
          </cell>
          <cell r="G302" t="str">
            <v>华硕一级</v>
          </cell>
          <cell r="H302">
            <v>132</v>
          </cell>
          <cell r="I302" t="str">
            <v>箱</v>
          </cell>
          <cell r="J302">
            <v>673.2</v>
          </cell>
        </row>
        <row r="302">
          <cell r="N302" t="str">
            <v>纸箱</v>
          </cell>
        </row>
        <row r="302">
          <cell r="R302" t="str">
            <v>新N*2865J</v>
          </cell>
          <cell r="S302" t="str">
            <v>公司筐</v>
          </cell>
          <cell r="T302" t="str">
            <v>王照雪</v>
          </cell>
        </row>
        <row r="302">
          <cell r="X302" t="str">
            <v>电商/主播</v>
          </cell>
        </row>
        <row r="302">
          <cell r="AD302" t="str">
            <v>成品出库</v>
          </cell>
        </row>
        <row r="303">
          <cell r="B303">
            <v>46275</v>
          </cell>
          <cell r="C303" t="str">
            <v>王照雪</v>
          </cell>
          <cell r="D303" t="str">
            <v>成品出库－成品出库</v>
          </cell>
          <cell r="E303" t="str">
            <v>NO:0001109</v>
          </cell>
          <cell r="F303" t="str">
            <v>苹果</v>
          </cell>
          <cell r="G303" t="str">
            <v>华硕一级</v>
          </cell>
          <cell r="H303">
            <v>17</v>
          </cell>
          <cell r="I303" t="str">
            <v>箱</v>
          </cell>
          <cell r="J303">
            <v>44.2</v>
          </cell>
        </row>
        <row r="303">
          <cell r="N303" t="str">
            <v>纸箱</v>
          </cell>
        </row>
        <row r="303">
          <cell r="R303" t="str">
            <v>新N*2865J</v>
          </cell>
          <cell r="S303" t="str">
            <v>公司筐</v>
          </cell>
          <cell r="T303" t="str">
            <v>王照雪</v>
          </cell>
        </row>
        <row r="303">
          <cell r="X303" t="str">
            <v>电商/主播</v>
          </cell>
        </row>
        <row r="303">
          <cell r="AD303" t="str">
            <v>成品出库</v>
          </cell>
        </row>
        <row r="304">
          <cell r="B304">
            <v>46275</v>
          </cell>
          <cell r="C304" t="str">
            <v>聂新平</v>
          </cell>
          <cell r="D304" t="str">
            <v>成品出库－成品出库</v>
          </cell>
          <cell r="E304" t="str">
            <v>NO:0001112</v>
          </cell>
          <cell r="F304" t="str">
            <v>苹果</v>
          </cell>
          <cell r="G304" t="str">
            <v>嘎啦85#</v>
          </cell>
          <cell r="H304">
            <v>736</v>
          </cell>
          <cell r="I304" t="str">
            <v>筐</v>
          </cell>
          <cell r="J304">
            <v>14720</v>
          </cell>
        </row>
        <row r="304">
          <cell r="N304" t="str">
            <v>自备一次性筐</v>
          </cell>
          <cell r="O304">
            <v>736</v>
          </cell>
        </row>
        <row r="304">
          <cell r="R304" t="str">
            <v>新A*H0050</v>
          </cell>
          <cell r="S304" t="str">
            <v>自备筐</v>
          </cell>
          <cell r="T304" t="str">
            <v>聂新平</v>
          </cell>
        </row>
        <row r="304">
          <cell r="X304" t="str">
            <v>聂新平</v>
          </cell>
        </row>
        <row r="304">
          <cell r="AD304" t="str">
            <v>成品出库</v>
          </cell>
        </row>
        <row r="305">
          <cell r="B305">
            <v>46275</v>
          </cell>
          <cell r="C305" t="str">
            <v>聂新平</v>
          </cell>
          <cell r="D305" t="str">
            <v>成品出库－成品出库</v>
          </cell>
          <cell r="E305" t="str">
            <v>NO:0001112</v>
          </cell>
          <cell r="F305" t="str">
            <v>苹果</v>
          </cell>
          <cell r="G305" t="str">
            <v>嘎啦100#</v>
          </cell>
          <cell r="H305">
            <v>434</v>
          </cell>
          <cell r="I305" t="str">
            <v>筐</v>
          </cell>
          <cell r="J305">
            <v>8680</v>
          </cell>
        </row>
        <row r="305">
          <cell r="N305" t="str">
            <v>自备一次性筐</v>
          </cell>
          <cell r="O305">
            <v>434</v>
          </cell>
        </row>
        <row r="305">
          <cell r="R305" t="str">
            <v>新A*H0050</v>
          </cell>
          <cell r="S305" t="str">
            <v>自备筐</v>
          </cell>
          <cell r="T305" t="str">
            <v>聂新平</v>
          </cell>
        </row>
        <row r="305">
          <cell r="X305" t="str">
            <v>聂新平</v>
          </cell>
        </row>
        <row r="305">
          <cell r="AD305" t="str">
            <v>成品出库</v>
          </cell>
        </row>
        <row r="306">
          <cell r="B306">
            <v>46276</v>
          </cell>
          <cell r="C306" t="str">
            <v>王照雪</v>
          </cell>
          <cell r="D306" t="str">
            <v>成品出库－成品出库</v>
          </cell>
          <cell r="E306" t="str">
            <v>NO:0001119</v>
          </cell>
          <cell r="F306" t="str">
            <v>苹果</v>
          </cell>
          <cell r="G306" t="str">
            <v>华硕一级</v>
          </cell>
          <cell r="H306">
            <v>228</v>
          </cell>
          <cell r="I306" t="str">
            <v>箱</v>
          </cell>
          <cell r="J306">
            <v>1162.8</v>
          </cell>
        </row>
        <row r="306">
          <cell r="N306" t="str">
            <v>纸箱</v>
          </cell>
        </row>
        <row r="306">
          <cell r="R306" t="str">
            <v>豫N*P269J</v>
          </cell>
          <cell r="S306" t="str">
            <v>公司筐</v>
          </cell>
          <cell r="T306" t="str">
            <v>王照雪</v>
          </cell>
        </row>
        <row r="306">
          <cell r="X306" t="str">
            <v>电商/主播</v>
          </cell>
        </row>
        <row r="306">
          <cell r="AD306" t="str">
            <v>成品出库</v>
          </cell>
        </row>
        <row r="307">
          <cell r="B307">
            <v>46276</v>
          </cell>
          <cell r="C307" t="str">
            <v>王照雪</v>
          </cell>
          <cell r="D307" t="str">
            <v>成品出库－成品出库</v>
          </cell>
          <cell r="E307" t="str">
            <v>NO:0001119</v>
          </cell>
          <cell r="F307" t="str">
            <v>苹果</v>
          </cell>
          <cell r="G307" t="str">
            <v>华硕一级</v>
          </cell>
          <cell r="H307">
            <v>6</v>
          </cell>
          <cell r="I307" t="str">
            <v>箱</v>
          </cell>
          <cell r="J307">
            <v>15.6</v>
          </cell>
        </row>
        <row r="307">
          <cell r="N307" t="str">
            <v>纸箱</v>
          </cell>
        </row>
        <row r="307">
          <cell r="R307" t="str">
            <v>豫N*P269J</v>
          </cell>
          <cell r="S307" t="str">
            <v>公司筐</v>
          </cell>
          <cell r="T307" t="str">
            <v>王照雪</v>
          </cell>
        </row>
        <row r="307">
          <cell r="X307" t="str">
            <v>电商/主播</v>
          </cell>
        </row>
        <row r="307">
          <cell r="AD307" t="str">
            <v>成品出库</v>
          </cell>
        </row>
        <row r="308">
          <cell r="B308">
            <v>46277</v>
          </cell>
          <cell r="C308" t="str">
            <v>王照雪</v>
          </cell>
          <cell r="D308" t="str">
            <v>成品出库－成品出库</v>
          </cell>
          <cell r="E308" t="str">
            <v>NO:0001124</v>
          </cell>
          <cell r="F308" t="str">
            <v>苹果</v>
          </cell>
          <cell r="G308" t="str">
            <v>华硕一级</v>
          </cell>
          <cell r="H308">
            <v>220</v>
          </cell>
          <cell r="I308" t="str">
            <v>箱</v>
          </cell>
          <cell r="J308">
            <v>1122</v>
          </cell>
        </row>
        <row r="308">
          <cell r="N308" t="str">
            <v>纸箱</v>
          </cell>
        </row>
        <row r="308">
          <cell r="R308" t="str">
            <v>豫N*P269J</v>
          </cell>
          <cell r="S308" t="str">
            <v>公司筐</v>
          </cell>
          <cell r="T308" t="str">
            <v>王照雪</v>
          </cell>
        </row>
        <row r="308">
          <cell r="X308" t="str">
            <v>电商/主播</v>
          </cell>
        </row>
        <row r="308">
          <cell r="AD308" t="str">
            <v>成品出库</v>
          </cell>
        </row>
        <row r="309">
          <cell r="B309">
            <v>46277</v>
          </cell>
          <cell r="C309" t="str">
            <v>王照雪</v>
          </cell>
          <cell r="D309" t="str">
            <v>成品出库－成品出库</v>
          </cell>
          <cell r="E309" t="str">
            <v>NO:0001124</v>
          </cell>
          <cell r="F309" t="str">
            <v>苹果</v>
          </cell>
          <cell r="G309" t="str">
            <v>华硕一级</v>
          </cell>
          <cell r="H309">
            <v>3</v>
          </cell>
          <cell r="I309" t="str">
            <v>箱</v>
          </cell>
          <cell r="J309">
            <v>7.8</v>
          </cell>
        </row>
        <row r="309">
          <cell r="N309" t="str">
            <v>纸箱</v>
          </cell>
        </row>
        <row r="309">
          <cell r="R309" t="str">
            <v>豫N*P269J</v>
          </cell>
          <cell r="S309" t="str">
            <v>公司筐</v>
          </cell>
          <cell r="T309" t="str">
            <v>王照雪</v>
          </cell>
        </row>
        <row r="309">
          <cell r="X309" t="str">
            <v>电商/主播</v>
          </cell>
        </row>
        <row r="309">
          <cell r="AD309" t="str">
            <v>成品出库</v>
          </cell>
        </row>
        <row r="310">
          <cell r="B310">
            <v>46277</v>
          </cell>
          <cell r="C310" t="str">
            <v>王照雪</v>
          </cell>
          <cell r="D310" t="str">
            <v>成品出库－成品出库</v>
          </cell>
          <cell r="E310" t="str">
            <v>NO:0001124</v>
          </cell>
          <cell r="F310" t="str">
            <v>香梨</v>
          </cell>
          <cell r="G310" t="str">
            <v>香梨一级</v>
          </cell>
          <cell r="H310">
            <v>7</v>
          </cell>
          <cell r="I310" t="str">
            <v>箱</v>
          </cell>
          <cell r="J310">
            <v>35.7</v>
          </cell>
        </row>
        <row r="310">
          <cell r="N310" t="str">
            <v>纸箱</v>
          </cell>
        </row>
        <row r="310">
          <cell r="R310" t="str">
            <v>豫N*P269J</v>
          </cell>
          <cell r="S310" t="str">
            <v>公司筐</v>
          </cell>
          <cell r="T310" t="str">
            <v>王照雪</v>
          </cell>
        </row>
        <row r="310">
          <cell r="X310" t="str">
            <v>电商/主播</v>
          </cell>
        </row>
        <row r="310">
          <cell r="AD310" t="str">
            <v>成品出库</v>
          </cell>
        </row>
        <row r="311">
          <cell r="B311">
            <v>46278</v>
          </cell>
          <cell r="C311" t="str">
            <v>王照雪</v>
          </cell>
          <cell r="D311" t="str">
            <v>成品出库－成品出库</v>
          </cell>
          <cell r="E311" t="str">
            <v>NO:0001134</v>
          </cell>
          <cell r="F311" t="str">
            <v>苹果</v>
          </cell>
          <cell r="G311" t="str">
            <v>苹果扎伤</v>
          </cell>
          <cell r="H311">
            <v>60</v>
          </cell>
          <cell r="I311" t="str">
            <v>箱</v>
          </cell>
          <cell r="J311">
            <v>979.8</v>
          </cell>
        </row>
        <row r="311">
          <cell r="N311" t="str">
            <v>纸箱</v>
          </cell>
        </row>
        <row r="311">
          <cell r="R311" t="str">
            <v>新R*45654</v>
          </cell>
          <cell r="S311" t="str">
            <v>公司筐</v>
          </cell>
          <cell r="T311" t="str">
            <v>王照雪</v>
          </cell>
        </row>
        <row r="311">
          <cell r="X311" t="str">
            <v>王照雪</v>
          </cell>
        </row>
        <row r="311">
          <cell r="AD311" t="str">
            <v>成品出库</v>
          </cell>
        </row>
        <row r="312">
          <cell r="B312">
            <v>46278</v>
          </cell>
          <cell r="C312" t="str">
            <v>王照雪</v>
          </cell>
          <cell r="D312" t="str">
            <v>成品出库－成品出库</v>
          </cell>
          <cell r="E312" t="str">
            <v>NO:0001136</v>
          </cell>
          <cell r="F312" t="str">
            <v>苹果</v>
          </cell>
          <cell r="G312" t="str">
            <v>华硕一级</v>
          </cell>
          <cell r="H312">
            <v>151</v>
          </cell>
          <cell r="I312" t="str">
            <v>箱</v>
          </cell>
          <cell r="J312">
            <v>770.1</v>
          </cell>
        </row>
        <row r="312">
          <cell r="N312" t="str">
            <v>纸箱</v>
          </cell>
        </row>
        <row r="312">
          <cell r="R312" t="str">
            <v>豫N*P269J</v>
          </cell>
          <cell r="S312" t="str">
            <v>公司筐</v>
          </cell>
          <cell r="T312" t="str">
            <v>王照雪</v>
          </cell>
        </row>
        <row r="312">
          <cell r="X312" t="str">
            <v>电商/主播</v>
          </cell>
        </row>
        <row r="312">
          <cell r="AD312" t="str">
            <v>成品出库</v>
          </cell>
        </row>
        <row r="313">
          <cell r="B313">
            <v>46278</v>
          </cell>
          <cell r="C313" t="str">
            <v>王照雪</v>
          </cell>
          <cell r="D313" t="str">
            <v>成品出库－成品出库</v>
          </cell>
          <cell r="E313" t="str">
            <v>NO:0001136</v>
          </cell>
          <cell r="F313" t="str">
            <v>苹果</v>
          </cell>
          <cell r="G313" t="str">
            <v>华硕一级</v>
          </cell>
          <cell r="H313">
            <v>11</v>
          </cell>
          <cell r="I313" t="str">
            <v>箱</v>
          </cell>
          <cell r="J313">
            <v>28.6</v>
          </cell>
        </row>
        <row r="313">
          <cell r="N313" t="str">
            <v>纸箱</v>
          </cell>
        </row>
        <row r="313">
          <cell r="R313" t="str">
            <v>豫N*P269J</v>
          </cell>
          <cell r="S313" t="str">
            <v>公司筐</v>
          </cell>
          <cell r="T313" t="str">
            <v>王照雪</v>
          </cell>
        </row>
        <row r="313">
          <cell r="X313" t="str">
            <v>电商/主播</v>
          </cell>
        </row>
        <row r="313">
          <cell r="AD313" t="str">
            <v>成品出库</v>
          </cell>
        </row>
        <row r="314">
          <cell r="B314">
            <v>46278</v>
          </cell>
          <cell r="C314" t="str">
            <v>王照雪</v>
          </cell>
          <cell r="D314" t="str">
            <v>成品出库－成品出库</v>
          </cell>
          <cell r="E314" t="str">
            <v>NO:0001136</v>
          </cell>
          <cell r="F314" t="str">
            <v>香梨</v>
          </cell>
          <cell r="G314" t="str">
            <v>香梨一级</v>
          </cell>
          <cell r="H314">
            <v>3</v>
          </cell>
          <cell r="I314" t="str">
            <v>箱</v>
          </cell>
          <cell r="J314">
            <v>15.3</v>
          </cell>
        </row>
        <row r="314">
          <cell r="N314" t="str">
            <v>纸箱</v>
          </cell>
        </row>
        <row r="314">
          <cell r="R314" t="str">
            <v>豫N*P269J</v>
          </cell>
          <cell r="S314" t="str">
            <v>公司筐</v>
          </cell>
          <cell r="T314" t="str">
            <v>王照雪</v>
          </cell>
        </row>
        <row r="314">
          <cell r="X314" t="str">
            <v>电商/主播</v>
          </cell>
        </row>
        <row r="314">
          <cell r="AD314" t="str">
            <v>成品出库</v>
          </cell>
        </row>
      </sheetData>
      <sheetData sheetId="2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62"/>
    <col collapsed="false" customWidth="true" hidden="false" outlineLevel="0" max="4" min="4" style="1" width="16"/>
  </cols>
  <sheetData>
    <row r="1" customFormat="false" ht="37.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3" customFormat="false" ht="24" hidden="false" customHeight="true" outlineLevel="0" collapsed="false">
      <c r="A3" s="4" t="str">
        <f aca="false">IF(N(对接源_01水果!$R$1)+N(对接源_02物料!$R$1)=0,"联动状态：★★ 两本业务册的数据都没接进来 —— 请打开对接源表按提示修复链接",IF(N(对接源_01水果!$R$4)*N(对接源_02物料!$R$4)=0,"联动状态：⚠ 有业务册没接上（不是实时数）—— 01水果 "&amp;N(对接源_01水果!$R$1)&amp;" 笔，02物料 "&amp;N(对接源_02物料!$R$1)&amp;" 笔，请尽快修复链接","联动状态：✔ 正常 —— 01水果 "&amp;N(对接源_01水果!$R$1)&amp;" 笔 ＋ 02物料 "&amp;N(对接源_02物料!$R$1)&amp;" 笔已自动接入"))</f>
        <v>联动状态：✔ 正常 —— 01水果 311 笔 ＋ 02物料 110 笔已自动接入</v>
      </c>
      <c r="B3" s="4"/>
      <c r="C3" s="4"/>
      <c r="D3" s="4"/>
    </row>
    <row r="5" customFormat="false" ht="24" hidden="false" customHeight="true" outlineLevel="0" collapsed="false">
      <c r="A5" s="5" t="s">
        <v>2</v>
      </c>
      <c r="B5" s="5"/>
      <c r="C5" s="5"/>
      <c r="D5" s="5"/>
    </row>
    <row r="6" customFormat="false" ht="19.5" hidden="false" customHeight="true" outlineLevel="0" collapsed="false">
      <c r="A6" s="6" t="s">
        <v>3</v>
      </c>
      <c r="B6" s="6" t="s">
        <v>4</v>
      </c>
      <c r="C6" s="6" t="s">
        <v>5</v>
      </c>
      <c r="D6" s="6" t="s">
        <v>6</v>
      </c>
    </row>
    <row r="7" customFormat="false" ht="18.75" hidden="false" customHeight="true" outlineLevel="0" collapsed="false">
      <c r="A7" s="7" t="n">
        <v>1</v>
      </c>
      <c r="B7" s="8" t="s">
        <v>7</v>
      </c>
      <c r="C7" s="9" t="s">
        <v>8</v>
      </c>
      <c r="D7" s="10" t="s">
        <v>9</v>
      </c>
    </row>
    <row r="8" customFormat="false" ht="18.75" hidden="false" customHeight="true" outlineLevel="0" collapsed="false">
      <c r="A8" s="7" t="n">
        <v>2</v>
      </c>
      <c r="B8" s="8" t="s">
        <v>10</v>
      </c>
      <c r="C8" s="9" t="s">
        <v>11</v>
      </c>
      <c r="D8" s="10" t="s">
        <v>9</v>
      </c>
    </row>
    <row r="9" customFormat="false" ht="18.75" hidden="false" customHeight="true" outlineLevel="0" collapsed="false">
      <c r="A9" s="7" t="n">
        <v>3</v>
      </c>
      <c r="B9" s="8" t="s">
        <v>12</v>
      </c>
      <c r="C9" s="9" t="s">
        <v>13</v>
      </c>
      <c r="D9" s="10" t="s">
        <v>9</v>
      </c>
    </row>
    <row r="10" customFormat="false" ht="18.75" hidden="false" customHeight="true" outlineLevel="0" collapsed="false">
      <c r="A10" s="7" t="n">
        <v>4</v>
      </c>
      <c r="B10" s="8" t="s">
        <v>14</v>
      </c>
      <c r="C10" s="9" t="s">
        <v>15</v>
      </c>
      <c r="D10" s="10" t="s">
        <v>9</v>
      </c>
    </row>
    <row r="11" customFormat="false" ht="18.75" hidden="false" customHeight="true" outlineLevel="0" collapsed="false">
      <c r="A11" s="7" t="n">
        <v>5</v>
      </c>
      <c r="B11" s="8" t="s">
        <v>16</v>
      </c>
      <c r="C11" s="9" t="s">
        <v>17</v>
      </c>
      <c r="D11" s="10" t="s">
        <v>9</v>
      </c>
    </row>
    <row r="13" customFormat="false" ht="24" hidden="false" customHeight="true" outlineLevel="0" collapsed="false">
      <c r="A13" s="5" t="s">
        <v>18</v>
      </c>
      <c r="B13" s="5"/>
      <c r="C13" s="5"/>
      <c r="D13" s="5"/>
    </row>
    <row r="14" customFormat="false" ht="19.5" hidden="false" customHeight="true" outlineLevel="0" collapsed="false">
      <c r="A14" s="6" t="s">
        <v>3</v>
      </c>
      <c r="B14" s="6" t="s">
        <v>4</v>
      </c>
      <c r="C14" s="6" t="s">
        <v>5</v>
      </c>
      <c r="D14" s="6" t="s">
        <v>6</v>
      </c>
    </row>
    <row r="15" customFormat="false" ht="18.75" hidden="false" customHeight="true" outlineLevel="0" collapsed="false">
      <c r="A15" s="7" t="n">
        <v>6</v>
      </c>
      <c r="B15" s="8" t="s">
        <v>19</v>
      </c>
      <c r="C15" s="9" t="s">
        <v>20</v>
      </c>
      <c r="D15" s="10" t="s">
        <v>21</v>
      </c>
    </row>
    <row r="16" customFormat="false" ht="18.75" hidden="false" customHeight="true" outlineLevel="0" collapsed="false">
      <c r="A16" s="7" t="n">
        <v>7</v>
      </c>
      <c r="B16" s="8" t="s">
        <v>22</v>
      </c>
      <c r="C16" s="9" t="s">
        <v>23</v>
      </c>
      <c r="D16" s="10" t="s">
        <v>21</v>
      </c>
    </row>
    <row r="18" customFormat="false" ht="24" hidden="false" customHeight="true" outlineLevel="0" collapsed="false">
      <c r="A18" s="5" t="s">
        <v>24</v>
      </c>
      <c r="B18" s="5"/>
      <c r="C18" s="5"/>
      <c r="D18" s="5"/>
    </row>
    <row r="19" customFormat="false" ht="19.5" hidden="false" customHeight="true" outlineLevel="0" collapsed="false">
      <c r="A19" s="6" t="s">
        <v>3</v>
      </c>
      <c r="B19" s="6" t="s">
        <v>4</v>
      </c>
      <c r="C19" s="6" t="s">
        <v>5</v>
      </c>
      <c r="D19" s="6" t="s">
        <v>6</v>
      </c>
    </row>
    <row r="20" customFormat="false" ht="18.75" hidden="false" customHeight="true" outlineLevel="0" collapsed="false">
      <c r="A20" s="7" t="n">
        <v>8</v>
      </c>
      <c r="B20" s="8" t="s">
        <v>25</v>
      </c>
      <c r="C20" s="9" t="s">
        <v>26</v>
      </c>
      <c r="D20" s="10" t="s">
        <v>21</v>
      </c>
    </row>
    <row r="21" customFormat="false" ht="18.75" hidden="false" customHeight="true" outlineLevel="0" collapsed="false">
      <c r="A21" s="7" t="n">
        <v>9</v>
      </c>
      <c r="B21" s="8" t="s">
        <v>27</v>
      </c>
      <c r="C21" s="9" t="s">
        <v>28</v>
      </c>
      <c r="D21" s="10" t="s">
        <v>21</v>
      </c>
    </row>
    <row r="23" customFormat="false" ht="19.5" hidden="false" customHeight="true" outlineLevel="0" collapsed="false">
      <c r="A23" s="11" t="s">
        <v>29</v>
      </c>
      <c r="B23" s="11"/>
      <c r="C23" s="11"/>
      <c r="D23" s="11"/>
    </row>
    <row r="25" customFormat="false" ht="19.5" hidden="false" customHeight="true" outlineLevel="0" collapsed="false">
      <c r="A25" s="12" t="s">
        <v>30</v>
      </c>
      <c r="B25" s="12"/>
      <c r="C25" s="12"/>
      <c r="D25" s="12"/>
    </row>
    <row r="26" customFormat="false" ht="19.5" hidden="false" customHeight="true" outlineLevel="0" collapsed="false">
      <c r="A26" s="13" t="s">
        <v>3</v>
      </c>
      <c r="B26" s="13" t="s">
        <v>4</v>
      </c>
      <c r="C26" s="13" t="s">
        <v>5</v>
      </c>
      <c r="D26" s="13" t="s">
        <v>6</v>
      </c>
    </row>
    <row r="27" customFormat="false" ht="18" hidden="false" customHeight="true" outlineLevel="0" collapsed="false">
      <c r="A27" s="14" t="n">
        <v>1</v>
      </c>
      <c r="B27" s="15" t="str">
        <f aca="false">HYPERLINK("#'果然鲜销售对账单'!A1","果然鲜销售对账单")</f>
        <v>果然鲜销售对账单</v>
      </c>
      <c r="C27" s="16" t="s">
        <v>31</v>
      </c>
      <c r="D27" s="17" t="s">
        <v>32</v>
      </c>
    </row>
  </sheetData>
  <mergeCells count="8">
    <mergeCell ref="A1:D1"/>
    <mergeCell ref="A2:D2"/>
    <mergeCell ref="A3:D3"/>
    <mergeCell ref="A5:D5"/>
    <mergeCell ref="A13:D13"/>
    <mergeCell ref="A18:D18"/>
    <mergeCell ref="A23:D23"/>
    <mergeCell ref="A25:D25"/>
  </mergeCells>
  <conditionalFormatting sqref="A3">
    <cfRule type="expression" priority="2" aboveAverage="0" equalAverage="0" bottom="0" percent="0" rank="0" text="" dxfId="0">
      <formula>LEFT(A3,7)&lt;&gt;"联动状态：✔"</formula>
    </cfRule>
  </conditionalFormatting>
  <hyperlinks>
    <hyperlink ref="B7" location="'筐子对账单'!A1" display="筐子对账单"/>
    <hyperlink ref="B8" location="'自备筐对账单'!A1" display="自备筐对账单"/>
    <hyperlink ref="B9" location="'水果对账单'!A1" display="水果对账单"/>
    <hyperlink ref="B10" location="'公司购买果品对账单'!A1" display="公司购买果品对账单"/>
    <hyperlink ref="B11" location="'物料与筐子销售对账单'!A1" display="物料与筐子销售对账单"/>
    <hyperlink ref="B15" location="'筐子库存汇总'!A1" display="筐子库存汇总"/>
    <hyperlink ref="B16" location="'应收应付汇总'!A1" display="应收应付汇总"/>
    <hyperlink ref="B20" location="'对接源_01水果'!A1" display="对接源_01水果"/>
    <hyperlink ref="B21" location="'对接源_02物料'!A1" display="对接源_02物料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1" width="2"/>
    <col collapsed="false" customWidth="true" hidden="false" outlineLevel="0" max="8" min="2" style="1" width="16"/>
  </cols>
  <sheetData>
    <row r="1" customFormat="false" ht="30" hidden="false" customHeight="true" outlineLevel="0" collapsed="false">
      <c r="A1" s="18" t="s">
        <v>33</v>
      </c>
      <c r="B1" s="18"/>
      <c r="C1" s="18"/>
      <c r="D1" s="18"/>
      <c r="E1" s="18"/>
      <c r="F1" s="18"/>
      <c r="G1" s="18"/>
      <c r="H1" s="18"/>
    </row>
    <row r="2" customFormat="false" ht="18" hidden="false" customHeight="true" outlineLevel="0" collapsed="false">
      <c r="A2" s="3" t="s">
        <v>34</v>
      </c>
      <c r="B2" s="3"/>
      <c r="C2" s="3"/>
      <c r="D2" s="3"/>
      <c r="E2" s="3"/>
      <c r="F2" s="3"/>
      <c r="G2" s="3"/>
      <c r="H2" s="3"/>
    </row>
    <row r="4" customFormat="false" ht="18" hidden="false" customHeight="true" outlineLevel="0" collapsed="false">
      <c r="B4" s="19" t="s">
        <v>35</v>
      </c>
      <c r="C4" s="19"/>
      <c r="D4" s="19"/>
      <c r="E4" s="19"/>
      <c r="F4" s="19"/>
      <c r="G4" s="19"/>
      <c r="H4" s="19"/>
    </row>
    <row r="6" customFormat="false" ht="18" hidden="false" customHeight="true" outlineLevel="0" collapsed="false">
      <c r="B6" s="20" t="s">
        <v>36</v>
      </c>
      <c r="C6" s="20"/>
      <c r="D6" s="20"/>
      <c r="E6" s="20"/>
      <c r="F6" s="20"/>
      <c r="G6" s="20"/>
      <c r="H6" s="20"/>
    </row>
    <row r="7" customFormat="false" ht="18" hidden="false" customHeight="true" outlineLevel="0" collapsed="false">
      <c r="B7" s="20" t="s">
        <v>37</v>
      </c>
      <c r="C7" s="20"/>
      <c r="D7" s="20"/>
      <c r="E7" s="20"/>
      <c r="F7" s="20"/>
      <c r="G7" s="20"/>
      <c r="H7" s="20"/>
    </row>
    <row r="8" customFormat="false" ht="18" hidden="false" customHeight="true" outlineLevel="0" collapsed="false">
      <c r="B8" s="20" t="s">
        <v>38</v>
      </c>
      <c r="C8" s="20"/>
      <c r="D8" s="20"/>
      <c r="E8" s="20"/>
      <c r="F8" s="20"/>
      <c r="G8" s="20"/>
      <c r="H8" s="20"/>
    </row>
    <row r="9" customFormat="false" ht="18" hidden="false" customHeight="true" outlineLevel="0" collapsed="false">
      <c r="B9" s="20" t="s">
        <v>39</v>
      </c>
      <c r="C9" s="20"/>
      <c r="D9" s="20"/>
      <c r="E9" s="20"/>
      <c r="F9" s="20"/>
      <c r="G9" s="20"/>
      <c r="H9" s="20"/>
    </row>
    <row r="10" customFormat="false" ht="18" hidden="false" customHeight="true" outlineLevel="0" collapsed="false">
      <c r="B10" s="20" t="s">
        <v>40</v>
      </c>
      <c r="C10" s="20"/>
      <c r="D10" s="20"/>
      <c r="E10" s="20"/>
      <c r="F10" s="20"/>
      <c r="G10" s="20"/>
      <c r="H10" s="20"/>
    </row>
    <row r="12" customFormat="false" ht="18" hidden="false" customHeight="true" outlineLevel="0" collapsed="false">
      <c r="B12" s="19" t="s">
        <v>41</v>
      </c>
      <c r="C12" s="19"/>
      <c r="D12" s="19"/>
      <c r="E12" s="19"/>
      <c r="F12" s="19"/>
      <c r="G12" s="19"/>
      <c r="H12" s="19"/>
    </row>
    <row r="14" customFormat="false" ht="18" hidden="false" customHeight="true" outlineLevel="0" collapsed="false">
      <c r="B14" s="20" t="s">
        <v>42</v>
      </c>
      <c r="C14" s="20"/>
      <c r="D14" s="20"/>
      <c r="E14" s="20"/>
      <c r="F14" s="20"/>
      <c r="G14" s="20"/>
      <c r="H14" s="20"/>
    </row>
    <row r="15" customFormat="false" ht="18" hidden="false" customHeight="true" outlineLevel="0" collapsed="false">
      <c r="B15" s="20" t="s">
        <v>43</v>
      </c>
      <c r="C15" s="20"/>
      <c r="D15" s="20"/>
      <c r="E15" s="20"/>
      <c r="F15" s="20"/>
      <c r="G15" s="20"/>
      <c r="H15" s="20"/>
    </row>
    <row r="16" customFormat="false" ht="18" hidden="false" customHeight="true" outlineLevel="0" collapsed="false">
      <c r="B16" s="20" t="s">
        <v>44</v>
      </c>
      <c r="C16" s="20"/>
      <c r="D16" s="20"/>
      <c r="E16" s="20"/>
      <c r="F16" s="20"/>
      <c r="G16" s="20"/>
      <c r="H16" s="20"/>
    </row>
    <row r="18" customFormat="false" ht="18" hidden="false" customHeight="true" outlineLevel="0" collapsed="false">
      <c r="B18" s="19" t="s">
        <v>45</v>
      </c>
      <c r="C18" s="19"/>
      <c r="D18" s="19"/>
      <c r="E18" s="19"/>
      <c r="F18" s="19"/>
      <c r="G18" s="19"/>
      <c r="H18" s="19"/>
    </row>
    <row r="20" customFormat="false" ht="18" hidden="false" customHeight="true" outlineLevel="0" collapsed="false">
      <c r="B20" s="20" t="s">
        <v>46</v>
      </c>
      <c r="C20" s="20"/>
      <c r="D20" s="20"/>
      <c r="E20" s="20"/>
      <c r="F20" s="20"/>
      <c r="G20" s="20"/>
      <c r="H20" s="20"/>
    </row>
    <row r="21" customFormat="false" ht="18" hidden="false" customHeight="true" outlineLevel="0" collapsed="false">
      <c r="B21" s="20" t="s">
        <v>47</v>
      </c>
      <c r="C21" s="20"/>
      <c r="D21" s="20"/>
      <c r="E21" s="20"/>
      <c r="F21" s="20"/>
      <c r="G21" s="20"/>
      <c r="H21" s="20"/>
    </row>
    <row r="23" customFormat="false" ht="18" hidden="false" customHeight="true" outlineLevel="0" collapsed="false">
      <c r="B23" s="19" t="s">
        <v>48</v>
      </c>
      <c r="C23" s="19"/>
      <c r="D23" s="19"/>
      <c r="E23" s="19"/>
      <c r="F23" s="19"/>
      <c r="G23" s="19"/>
      <c r="H23" s="19"/>
    </row>
    <row r="25" customFormat="false" ht="18" hidden="false" customHeight="true" outlineLevel="0" collapsed="false">
      <c r="B25" s="20" t="s">
        <v>49</v>
      </c>
      <c r="C25" s="20"/>
      <c r="D25" s="20"/>
      <c r="E25" s="20"/>
      <c r="F25" s="20"/>
      <c r="G25" s="20"/>
      <c r="H25" s="20"/>
    </row>
    <row r="26" customFormat="false" ht="18" hidden="false" customHeight="true" outlineLevel="0" collapsed="false">
      <c r="B26" s="20" t="s">
        <v>50</v>
      </c>
      <c r="C26" s="20"/>
      <c r="D26" s="20"/>
      <c r="E26" s="20"/>
      <c r="F26" s="20"/>
      <c r="G26" s="20"/>
      <c r="H26" s="20"/>
    </row>
    <row r="27" customFormat="false" ht="18" hidden="false" customHeight="true" outlineLevel="0" collapsed="false">
      <c r="B27" s="21" t="s">
        <v>51</v>
      </c>
      <c r="C27" s="21"/>
      <c r="D27" s="21"/>
      <c r="E27" s="21"/>
      <c r="F27" s="21"/>
      <c r="G27" s="21"/>
      <c r="H27" s="21"/>
    </row>
    <row r="29" customFormat="false" ht="18" hidden="false" customHeight="true" outlineLevel="0" collapsed="false">
      <c r="B29" s="19" t="s">
        <v>52</v>
      </c>
      <c r="C29" s="19"/>
      <c r="D29" s="19"/>
      <c r="E29" s="19"/>
      <c r="F29" s="19"/>
      <c r="G29" s="19"/>
      <c r="H29" s="19"/>
    </row>
    <row r="31" customFormat="false" ht="18" hidden="false" customHeight="true" outlineLevel="0" collapsed="false">
      <c r="B31" s="20" t="s">
        <v>53</v>
      </c>
      <c r="C31" s="20"/>
      <c r="D31" s="20"/>
      <c r="E31" s="20"/>
      <c r="F31" s="20"/>
      <c r="G31" s="20"/>
      <c r="H31" s="20"/>
    </row>
    <row r="32" customFormat="false" ht="18" hidden="false" customHeight="true" outlineLevel="0" collapsed="false">
      <c r="B32" s="20" t="s">
        <v>54</v>
      </c>
      <c r="C32" s="20"/>
      <c r="D32" s="20"/>
      <c r="E32" s="20"/>
      <c r="F32" s="20"/>
      <c r="G32" s="20"/>
      <c r="H32" s="20"/>
    </row>
    <row r="33" customFormat="false" ht="18" hidden="false" customHeight="true" outlineLevel="0" collapsed="false">
      <c r="B33" s="20" t="s">
        <v>55</v>
      </c>
      <c r="C33" s="20"/>
      <c r="D33" s="20"/>
      <c r="E33" s="20"/>
      <c r="F33" s="20"/>
      <c r="G33" s="20"/>
      <c r="H33" s="20"/>
    </row>
    <row r="35" customFormat="false" ht="19.5" hidden="false" customHeight="true" outlineLevel="0" collapsed="false">
      <c r="A35" s="5" t="s">
        <v>56</v>
      </c>
      <c r="B35" s="5"/>
      <c r="C35" s="5"/>
      <c r="D35" s="5"/>
      <c r="E35" s="5"/>
      <c r="F35" s="5"/>
      <c r="G35" s="5"/>
      <c r="H35" s="5"/>
    </row>
    <row r="36" customFormat="false" ht="30" hidden="false" customHeight="true" outlineLevel="0" collapsed="false">
      <c r="A36" s="22" t="s">
        <v>57</v>
      </c>
      <c r="B36" s="22"/>
      <c r="C36" s="22"/>
      <c r="D36" s="22"/>
      <c r="E36" s="22"/>
      <c r="F36" s="22"/>
      <c r="G36" s="22"/>
      <c r="H36" s="22"/>
    </row>
    <row r="37" customFormat="false" ht="30" hidden="false" customHeight="true" outlineLevel="0" collapsed="false">
      <c r="A37" s="22" t="s">
        <v>58</v>
      </c>
      <c r="B37" s="22"/>
      <c r="C37" s="22"/>
      <c r="D37" s="22"/>
      <c r="E37" s="22"/>
      <c r="F37" s="22"/>
      <c r="G37" s="22"/>
      <c r="H37" s="22"/>
    </row>
    <row r="38" customFormat="false" ht="30" hidden="false" customHeight="true" outlineLevel="0" collapsed="false">
      <c r="A38" s="22" t="s">
        <v>59</v>
      </c>
      <c r="B38" s="22"/>
      <c r="C38" s="22"/>
      <c r="D38" s="22"/>
      <c r="E38" s="22"/>
      <c r="F38" s="22"/>
      <c r="G38" s="22"/>
      <c r="H38" s="22"/>
    </row>
    <row r="39" customFormat="false" ht="30" hidden="false" customHeight="true" outlineLevel="0" collapsed="false">
      <c r="A39" s="22" t="s">
        <v>60</v>
      </c>
      <c r="B39" s="22"/>
      <c r="C39" s="22"/>
      <c r="D39" s="22"/>
      <c r="E39" s="22"/>
      <c r="F39" s="22"/>
      <c r="G39" s="22"/>
      <c r="H39" s="22"/>
    </row>
    <row r="40" customFormat="false" ht="30" hidden="false" customHeight="true" outlineLevel="0" collapsed="false">
      <c r="A40" s="22" t="s">
        <v>61</v>
      </c>
      <c r="B40" s="22"/>
      <c r="C40" s="22"/>
      <c r="D40" s="22"/>
      <c r="E40" s="22"/>
      <c r="F40" s="22"/>
      <c r="G40" s="22"/>
      <c r="H40" s="22"/>
    </row>
    <row r="41" customFormat="false" ht="30" hidden="false" customHeight="true" outlineLevel="0" collapsed="false">
      <c r="A41" s="22" t="s">
        <v>62</v>
      </c>
      <c r="B41" s="22"/>
      <c r="C41" s="22"/>
      <c r="D41" s="22"/>
      <c r="E41" s="22"/>
      <c r="F41" s="22"/>
      <c r="G41" s="22"/>
      <c r="H41" s="22"/>
    </row>
    <row r="43" customFormat="false" ht="19.5" hidden="false" customHeight="true" outlineLevel="0" collapsed="false">
      <c r="A43" s="5" t="s">
        <v>63</v>
      </c>
      <c r="B43" s="5"/>
      <c r="C43" s="5"/>
      <c r="D43" s="5"/>
      <c r="E43" s="5"/>
      <c r="F43" s="5"/>
      <c r="G43" s="5"/>
      <c r="H43" s="5"/>
    </row>
    <row r="44" customFormat="false" ht="31.5" hidden="false" customHeight="true" outlineLevel="0" collapsed="false">
      <c r="A44" s="22" t="s">
        <v>64</v>
      </c>
      <c r="B44" s="22"/>
      <c r="C44" s="22"/>
      <c r="D44" s="22"/>
      <c r="E44" s="22"/>
      <c r="F44" s="22"/>
      <c r="G44" s="22"/>
      <c r="H44" s="22"/>
    </row>
    <row r="45" customFormat="false" ht="31.5" hidden="false" customHeight="true" outlineLevel="0" collapsed="false">
      <c r="A45" s="22" t="s">
        <v>65</v>
      </c>
      <c r="B45" s="22"/>
      <c r="C45" s="22"/>
      <c r="D45" s="22"/>
      <c r="E45" s="22"/>
      <c r="F45" s="22"/>
      <c r="G45" s="22"/>
      <c r="H45" s="22"/>
    </row>
    <row r="46" customFormat="false" ht="31.5" hidden="false" customHeight="true" outlineLevel="0" collapsed="false">
      <c r="A46" s="22" t="s">
        <v>66</v>
      </c>
      <c r="B46" s="22"/>
      <c r="C46" s="22"/>
      <c r="D46" s="22"/>
      <c r="E46" s="22"/>
      <c r="F46" s="22"/>
      <c r="G46" s="22"/>
      <c r="H46" s="22"/>
    </row>
    <row r="48" customFormat="false" ht="19.5" hidden="false" customHeight="true" outlineLevel="0" collapsed="false">
      <c r="A48" s="23" t="s">
        <v>67</v>
      </c>
      <c r="B48" s="23"/>
      <c r="C48" s="23"/>
      <c r="D48" s="23"/>
      <c r="E48" s="23"/>
      <c r="F48" s="23"/>
      <c r="G48" s="23"/>
      <c r="H48" s="23"/>
    </row>
    <row r="49" customFormat="false" ht="33.75" hidden="false" customHeight="true" outlineLevel="0" collapsed="false">
      <c r="A49" s="22" t="s">
        <v>68</v>
      </c>
      <c r="B49" s="22"/>
      <c r="C49" s="22"/>
      <c r="D49" s="22"/>
      <c r="E49" s="22"/>
      <c r="F49" s="22"/>
      <c r="G49" s="22"/>
      <c r="H49" s="22"/>
    </row>
    <row r="50" customFormat="false" ht="33.75" hidden="false" customHeight="true" outlineLevel="0" collapsed="false">
      <c r="A50" s="22" t="s">
        <v>69</v>
      </c>
      <c r="B50" s="22"/>
      <c r="C50" s="22"/>
      <c r="D50" s="22"/>
      <c r="E50" s="22"/>
      <c r="F50" s="22"/>
      <c r="G50" s="22"/>
      <c r="H50" s="22"/>
    </row>
  </sheetData>
  <mergeCells count="37">
    <mergeCell ref="A1:H1"/>
    <mergeCell ref="A2:H2"/>
    <mergeCell ref="B4:H4"/>
    <mergeCell ref="B6:H6"/>
    <mergeCell ref="B7:H7"/>
    <mergeCell ref="B8:H8"/>
    <mergeCell ref="B9:H9"/>
    <mergeCell ref="B10:H10"/>
    <mergeCell ref="B12:H12"/>
    <mergeCell ref="B14:H14"/>
    <mergeCell ref="B15:H15"/>
    <mergeCell ref="B16:H16"/>
    <mergeCell ref="B18:H18"/>
    <mergeCell ref="B20:H20"/>
    <mergeCell ref="B21:H21"/>
    <mergeCell ref="B23:H23"/>
    <mergeCell ref="B25:H25"/>
    <mergeCell ref="B26:H26"/>
    <mergeCell ref="B27:H27"/>
    <mergeCell ref="B29:H29"/>
    <mergeCell ref="B31:H31"/>
    <mergeCell ref="B32:H32"/>
    <mergeCell ref="B33:H33"/>
    <mergeCell ref="A35:H35"/>
    <mergeCell ref="A36:H36"/>
    <mergeCell ref="A37:H37"/>
    <mergeCell ref="A38:H38"/>
    <mergeCell ref="A39:H39"/>
    <mergeCell ref="A40:H40"/>
    <mergeCell ref="A41:H41"/>
    <mergeCell ref="A43:H43"/>
    <mergeCell ref="A44:H44"/>
    <mergeCell ref="A45:H45"/>
    <mergeCell ref="A46:H46"/>
    <mergeCell ref="A48:H48"/>
    <mergeCell ref="A49:H49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5C70"/>
    <pageSetUpPr fitToPage="false"/>
  </sheetPr>
  <dimension ref="A1:AG2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2" activeCellId="0" sqref="B2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1"/>
    <col collapsed="false" customWidth="true" hidden="false" outlineLevel="0" max="7" min="7" style="1" width="22"/>
    <col collapsed="false" customWidth="true" hidden="false" outlineLevel="0" max="8" min="8" style="1" width="2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2"/>
    <col collapsed="false" customWidth="true" hidden="false" outlineLevel="0" max="16" min="16" style="1" width="12"/>
  </cols>
  <sheetData>
    <row r="1" customFormat="false" ht="49.5" hidden="false" customHeight="true" outlineLevel="0" collapsed="false">
      <c r="A1" s="24" t="s">
        <v>70</v>
      </c>
      <c r="B1" s="24"/>
      <c r="C1" s="24"/>
      <c r="D1" s="24"/>
      <c r="E1" s="24"/>
      <c r="F1" s="25" t="s">
        <v>71</v>
      </c>
      <c r="G1" s="25"/>
      <c r="P1" s="26" t="n">
        <f aca="false">IF($F$2="",DATE(1900,1,1),$F$2)</f>
        <v>2</v>
      </c>
    </row>
    <row r="2" customFormat="false" ht="25.5" hidden="false" customHeight="true" outlineLevel="0" collapsed="false">
      <c r="A2" s="27" t="s">
        <v>72</v>
      </c>
      <c r="B2" s="28" t="s">
        <v>73</v>
      </c>
      <c r="C2" s="28"/>
      <c r="E2" s="29" t="s">
        <v>74</v>
      </c>
      <c r="F2" s="30"/>
      <c r="G2" s="29" t="s">
        <v>75</v>
      </c>
      <c r="H2" s="30"/>
      <c r="I2" s="31" t="s">
        <v>76</v>
      </c>
      <c r="J2" s="31"/>
      <c r="K2" s="31"/>
      <c r="P2" s="26" t="n">
        <f aca="false">IF($H$2="",DATE(2999,12,31),$H$2)</f>
        <v>401768</v>
      </c>
    </row>
    <row r="3" customFormat="false" ht="19.5" hidden="false" customHeight="true" outlineLevel="0" collapsed="false">
      <c r="A3" s="32" t="s">
        <v>77</v>
      </c>
      <c r="B3" s="32"/>
      <c r="C3" s="32"/>
      <c r="D3" s="32"/>
      <c r="E3" s="32"/>
      <c r="F3" s="32"/>
      <c r="G3" s="32"/>
      <c r="I3" s="33" t="s">
        <v>78</v>
      </c>
      <c r="J3" s="33"/>
      <c r="K3" s="34" t="n">
        <f aca="false"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3830</v>
      </c>
    </row>
    <row r="4" customFormat="false" ht="24" hidden="false" customHeight="true" outlineLevel="0" collapsed="false">
      <c r="A4" s="35" t="s">
        <v>79</v>
      </c>
      <c r="B4" s="35"/>
      <c r="C4" s="35"/>
      <c r="D4" s="35"/>
      <c r="E4" s="36" t="n">
        <f aca="false"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3830</v>
      </c>
      <c r="F4" s="36"/>
      <c r="G4" s="36"/>
      <c r="I4" s="37" t="s">
        <v>80</v>
      </c>
      <c r="J4" s="37"/>
      <c r="K4" s="38" t="n">
        <f aca="false"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-82</v>
      </c>
    </row>
    <row r="5" customFormat="false" ht="30" hidden="false" customHeight="true" outlineLevel="0" collapsed="false">
      <c r="A5" s="39" t="s">
        <v>81</v>
      </c>
      <c r="B5" s="39" t="s">
        <v>82</v>
      </c>
      <c r="C5" s="39" t="s">
        <v>83</v>
      </c>
      <c r="D5" s="39" t="s">
        <v>84</v>
      </c>
      <c r="E5" s="39" t="s">
        <v>85</v>
      </c>
      <c r="F5" s="39" t="s">
        <v>86</v>
      </c>
      <c r="G5" s="39" t="s">
        <v>87</v>
      </c>
      <c r="I5" s="37" t="s">
        <v>88</v>
      </c>
      <c r="J5" s="37"/>
      <c r="K5" s="38" t="n">
        <f aca="false"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-2213</v>
      </c>
    </row>
    <row r="6" customFormat="false" ht="18" hidden="false" customHeight="true" outlineLevel="0" collapsed="false">
      <c r="A6" s="40" t="n">
        <f aca="false">IF($AE6="","",IF($AE6&lt;=1200,IF(INDEX(对接源_01水果!$B$4:$B$1203,$AE6)=0,"",INDEX(对接源_01水果!$B$4:$B$1203,$AE6)),IF(INDEX(对接源_02物料!$B$4:$B$1203,$AE6-1200)=0,"",INDEX(对接源_02物料!$B$4:$B$1203,$AE6-1200))))</f>
        <v>46258</v>
      </c>
      <c r="B6" s="41" t="str">
        <f aca="false">IF($AE6="","",IF($AE6&lt;=1200,IF(INDEX(对接源_01水果!$E$4:$E$1203,$AE6)=0,"",INDEX(对接源_01水果!$E$4:$E$1203,$AE6)),IF(INDEX(对接源_02物料!$E$4:$E$1203,$AE6-1200)=0,"",INDEX(对接源_02物料!$E$4:$E$1203,$AE6-1200))))</f>
        <v>NO:0001032</v>
      </c>
      <c r="C6" s="42" t="str">
        <f aca="false">IF($AE6="","",IF($AE6&lt;=1200,IF(INDEX(对接源_01水果!$S$4:$S$1203,$AE6)=0,"",INDEX(对接源_01水果!$S$4:$S$1203,$AE6)),IF(INDEX(对接源_02物料!$S$4:$S$1203,$AE6-1200)=0,"",INDEX(对接源_02物料!$S$4:$S$1203,$AE6-1200))))</f>
        <v>公司杂周转筐</v>
      </c>
      <c r="D6" s="43" t="n">
        <f aca="false">IF($AE6="","",IF($AE6&lt;=1200,IF(INDEX(对接源_01水果!$T$4:$T$1203,$AE6)=0,"",INDEX(对接源_01水果!$T$4:$T$1203,$AE6)),IF(INDEX(对接源_02物料!$T$4:$T$1203,$AE6-1200)=0,"",INDEX(对接源_02物料!$T$4:$T$1203,$AE6-1200))))</f>
        <v>1</v>
      </c>
      <c r="E6" s="41" t="str">
        <f aca="false">IF($AE6="","",IF($AE6&lt;=1200,IF(INDEX(对接源_01水果!$W$4:$W$1203,$AE6)=0,"",INDEX(对接源_01水果!$W$4:$W$1203,$AE6)),IF(INDEX(对接源_02物料!$W$4:$W$1203,$AE6-1200)=0,"",INDEX(对接源_02物料!$W$4:$W$1203,$AE6-1200))))</f>
        <v/>
      </c>
      <c r="F6" s="41" t="str">
        <f aca="false">IF($AE6="","",IF($AE6&lt;=1200,"01水果册","02物料册"))</f>
        <v>01水果册</v>
      </c>
      <c r="G6" s="42" t="str">
        <f aca="false">IF($AE6="","",IF($AE6&lt;=1200,IF(INDEX(对接源_01水果!$M$4:$M$1203,$AE6)=0,"",INDEX(对接源_01水果!$M$4:$M$1203,$AE6)),IF(INDEX(对接源_02物料!$M$4:$M$1203,$AE6-1200)=0,"",INDEX(对接源_02物料!$M$4:$M$1203,$AE6-1200))))</f>
        <v>主播拿走</v>
      </c>
      <c r="I6" s="37" t="s">
        <v>89</v>
      </c>
      <c r="J6" s="37"/>
      <c r="K6" s="38" t="n">
        <f aca="false">ROUND(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)-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)-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),0)</f>
        <v>1535</v>
      </c>
      <c r="AE6" s="44" t="n">
        <f aca="false">IFERROR(MATCH(1,_自动清单!$Q$4:$Q$2403,0),"")</f>
        <v>233</v>
      </c>
    </row>
    <row r="7" customFormat="false" ht="18" hidden="false" customHeight="true" outlineLevel="0" collapsed="false">
      <c r="A7" s="45" t="n">
        <f aca="false">IF($AE7="","",IF($AE7&lt;=1200,IF(INDEX(对接源_01水果!$B$4:$B$1203,$AE7)=0,"",INDEX(对接源_01水果!$B$4:$B$1203,$AE7)),IF(INDEX(对接源_02物料!$B$4:$B$1203,$AE7-1200)=0,"",INDEX(对接源_02物料!$B$4:$B$1203,$AE7-1200))))</f>
        <v>46267</v>
      </c>
      <c r="B7" s="46" t="str">
        <f aca="false">IF($AE7="","",IF($AE7&lt;=1200,IF(INDEX(对接源_01水果!$E$4:$E$1203,$AE7)=0,"",INDEX(对接源_01水果!$E$4:$E$1203,$AE7)),IF(INDEX(对接源_02物料!$E$4:$E$1203,$AE7-1200)=0,"",INDEX(对接源_02物料!$E$4:$E$1203,$AE7-1200))))</f>
        <v>NO:0001063</v>
      </c>
      <c r="C7" s="47" t="str">
        <f aca="false">IF($AE7="","",IF($AE7&lt;=1200,IF(INDEX(对接源_01水果!$S$4:$S$1203,$AE7)=0,"",INDEX(对接源_01水果!$S$4:$S$1203,$AE7)),IF(INDEX(对接源_02物料!$S$4:$S$1203,$AE7-1200)=0,"",INDEX(对接源_02物料!$S$4:$S$1203,$AE7-1200))))</f>
        <v>公司杂周转筐</v>
      </c>
      <c r="D7" s="48" t="n">
        <f aca="false">IF($AE7="","",IF($AE7&lt;=1200,IF(INDEX(对接源_01水果!$T$4:$T$1203,$AE7)=0,"",INDEX(对接源_01水果!$T$4:$T$1203,$AE7)),IF(INDEX(对接源_02物料!$T$4:$T$1203,$AE7-1200)=0,"",INDEX(对接源_02物料!$T$4:$T$1203,$AE7-1200))))</f>
        <v>1</v>
      </c>
      <c r="E7" s="46" t="str">
        <f aca="false">IF($AE7="","",IF($AE7&lt;=1200,IF(INDEX(对接源_01水果!$W$4:$W$1203,$AE7)=0,"",INDEX(对接源_01水果!$W$4:$W$1203,$AE7)),IF(INDEX(对接源_02物料!$W$4:$W$1203,$AE7-1200)=0,"",INDEX(对接源_02物料!$W$4:$W$1203,$AE7-1200))))</f>
        <v>自提</v>
      </c>
      <c r="F7" s="46" t="str">
        <f aca="false">IF($AE7="","",IF($AE7&lt;=1200,"01水果册","02物料册"))</f>
        <v>01水果册</v>
      </c>
      <c r="G7" s="47" t="str">
        <f aca="false"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44" t="n">
        <f aca="false">IFERROR(MATCH(2,_自动清单!$Q$4:$Q$2403,0),"")</f>
        <v>283</v>
      </c>
    </row>
    <row r="8" customFormat="false" ht="18" hidden="false" customHeight="true" outlineLevel="0" collapsed="false">
      <c r="A8" s="40" t="n">
        <f aca="false">IF($AE8="","",IF($AE8&lt;=1200,IF(INDEX(对接源_01水果!$B$4:$B$1203,$AE8)=0,"",INDEX(对接源_01水果!$B$4:$B$1203,$AE8)),IF(INDEX(对接源_02物料!$B$4:$B$1203,$AE8-1200)=0,"",INDEX(对接源_02物料!$B$4:$B$1203,$AE8-1200))))</f>
        <v>46269</v>
      </c>
      <c r="B8" s="41" t="str">
        <f aca="false">IF($AE8="","",IF($AE8&lt;=1200,IF(INDEX(对接源_01水果!$E$4:$E$1203,$AE8)=0,"",INDEX(对接源_01水果!$E$4:$E$1203,$AE8)),IF(INDEX(对接源_02物料!$E$4:$E$1203,$AE8-1200)=0,"",INDEX(对接源_02物料!$E$4:$E$1203,$AE8-1200))))</f>
        <v>NO:0001083</v>
      </c>
      <c r="C8" s="42" t="str">
        <f aca="false">IF($AE8="","",IF($AE8&lt;=1200,IF(INDEX(对接源_01水果!$S$4:$S$1203,$AE8)=0,"",INDEX(对接源_01水果!$S$4:$S$1203,$AE8)),IF(INDEX(对接源_02物料!$S$4:$S$1203,$AE8-1200)=0,"",INDEX(对接源_02物料!$S$4:$S$1203,$AE8-1200))))</f>
        <v>公司杂周转筐</v>
      </c>
      <c r="D8" s="43" t="n">
        <f aca="false">IF($AE8="","",IF($AE8&lt;=1200,IF(INDEX(对接源_01水果!$T$4:$T$1203,$AE8)=0,"",INDEX(对接源_01水果!$T$4:$T$1203,$AE8)),IF(INDEX(对接源_02物料!$T$4:$T$1203,$AE8-1200)=0,"",INDEX(对接源_02物料!$T$4:$T$1203,$AE8-1200))))</f>
        <v>3</v>
      </c>
      <c r="E8" s="41" t="str">
        <f aca="false">IF($AE8="","",IF($AE8&lt;=1200,IF(INDEX(对接源_01水果!$W$4:$W$1203,$AE8)=0,"",INDEX(对接源_01水果!$W$4:$W$1203,$AE8)),IF(INDEX(对接源_02物料!$W$4:$W$1203,$AE8-1200)=0,"",INDEX(对接源_02物料!$W$4:$W$1203,$AE8-1200))))</f>
        <v>豫N*P269J</v>
      </c>
      <c r="F8" s="41" t="str">
        <f aca="false">IF($AE8="","",IF($AE8&lt;=1200,"01水果册","02物料册"))</f>
        <v>01水果册</v>
      </c>
      <c r="G8" s="42" t="str">
        <f aca="false"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44" t="n">
        <f aca="false">IFERROR(MATCH(3,_自动清单!$Q$4:$Q$2403,0),"")</f>
        <v>290</v>
      </c>
    </row>
    <row r="9" customFormat="false" ht="18" hidden="false" customHeight="true" outlineLevel="0" collapsed="false">
      <c r="A9" s="45" t="n">
        <f aca="false">IF($AE9="","",IF($AE9&lt;=1200,IF(INDEX(对接源_01水果!$B$4:$B$1203,$AE9)=0,"",INDEX(对接源_01水果!$B$4:$B$1203,$AE9)),IF(INDEX(对接源_02物料!$B$4:$B$1203,$AE9-1200)=0,"",INDEX(对接源_02物料!$B$4:$B$1203,$AE9-1200))))</f>
        <v>46245</v>
      </c>
      <c r="B9" s="46" t="str">
        <f aca="false">IF($AE9="","",IF($AE9&lt;=1200,IF(INDEX(对接源_01水果!$E$4:$E$1203,$AE9)=0,"",INDEX(对接源_01水果!$E$4:$E$1203,$AE9)),IF(INDEX(对接源_02物料!$E$4:$E$1203,$AE9-1200)=0,"",INDEX(对接源_02物料!$E$4:$E$1203,$AE9-1200))))</f>
        <v>NO:0001015</v>
      </c>
      <c r="C9" s="47" t="str">
        <f aca="false">IF($AE9="","",IF($AE9&lt;=1200,IF(INDEX(对接源_01水果!$S$4:$S$1203,$AE9)=0,"",INDEX(对接源_01水果!$S$4:$S$1203,$AE9)),IF(INDEX(对接源_02物料!$S$4:$S$1203,$AE9-1200)=0,"",INDEX(对接源_02物料!$S$4:$S$1203,$AE9-1200))))</f>
        <v>公司杂周转筐</v>
      </c>
      <c r="D9" s="48" t="n">
        <f aca="false">IF($AE9="","",IF($AE9&lt;=1200,IF(INDEX(对接源_01水果!$T$4:$T$1203,$AE9)=0,"",INDEX(对接源_01水果!$T$4:$T$1203,$AE9)),IF(INDEX(对接源_02物料!$T$4:$T$1203,$AE9-1200)=0,"",INDEX(对接源_02物料!$T$4:$T$1203,$AE9-1200))))</f>
        <v>351</v>
      </c>
      <c r="E9" s="46" t="str">
        <f aca="false">IF($AE9="","",IF($AE9&lt;=1200,IF(INDEX(对接源_01水果!$W$4:$W$1203,$AE9)=0,"",INDEX(对接源_01水果!$W$4:$W$1203,$AE9)),IF(INDEX(对接源_02物料!$W$4:$W$1203,$AE9-1200)=0,"",INDEX(对接源_02物料!$W$4:$W$1203,$AE9-1200))))</f>
        <v>豫L*88X19</v>
      </c>
      <c r="F9" s="46" t="str">
        <f aca="false">IF($AE9="","",IF($AE9&lt;=1200,"01水果册","02物料册"))</f>
        <v>02物料册</v>
      </c>
      <c r="G9" s="47" t="str">
        <f aca="false"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44" t="n">
        <f aca="false">IFERROR(MATCH(4,_自动清单!$Q$4:$Q$2403,0),"")</f>
        <v>1238</v>
      </c>
    </row>
    <row r="10" customFormat="false" ht="18" hidden="false" customHeight="true" outlineLevel="0" collapsed="false">
      <c r="A10" s="40" t="n">
        <f aca="false">IF($AE10="","",IF($AE10&lt;=1200,IF(INDEX(对接源_01水果!$B$4:$B$1203,$AE10)=0,"",INDEX(对接源_01水果!$B$4:$B$1203,$AE10)),IF(INDEX(对接源_02物料!$B$4:$B$1203,$AE10-1200)=0,"",INDEX(对接源_02物料!$B$4:$B$1203,$AE10-1200))))</f>
        <v>46255</v>
      </c>
      <c r="B10" s="41" t="str">
        <f aca="false">IF($AE10="","",IF($AE10&lt;=1200,IF(INDEX(对接源_01水果!$E$4:$E$1203,$AE10)=0,"",INDEX(对接源_01水果!$E$4:$E$1203,$AE10)),IF(INDEX(对接源_02物料!$E$4:$E$1203,$AE10-1200)=0,"",INDEX(对接源_02物料!$E$4:$E$1203,$AE10-1200))))</f>
        <v>NO:0001022</v>
      </c>
      <c r="C10" s="42" t="str">
        <f aca="false">IF($AE10="","",IF($AE10&lt;=1200,IF(INDEX(对接源_01水果!$S$4:$S$1203,$AE10)=0,"",INDEX(对接源_01水果!$S$4:$S$1203,$AE10)),IF(INDEX(对接源_02物料!$S$4:$S$1203,$AE10-1200)=0,"",INDEX(对接源_02物料!$S$4:$S$1203,$AE10-1200))))</f>
        <v>公司杂周转筐</v>
      </c>
      <c r="D10" s="43" t="n">
        <f aca="false">IF($AE10="","",IF($AE10&lt;=1200,IF(INDEX(对接源_01水果!$T$4:$T$1203,$AE10)=0,"",INDEX(对接源_01水果!$T$4:$T$1203,$AE10)),IF(INDEX(对接源_02物料!$T$4:$T$1203,$AE10-1200)=0,"",INDEX(对接源_02物料!$T$4:$T$1203,$AE10-1200))))</f>
        <v>432</v>
      </c>
      <c r="E10" s="41" t="str">
        <f aca="false">IF($AE10="","",IF($AE10&lt;=1200,IF(INDEX(对接源_01水果!$W$4:$W$1203,$AE10)=0,"",INDEX(对接源_01水果!$W$4:$W$1203,$AE10)),IF(INDEX(对接源_02物料!$W$4:$W$1203,$AE10-1200)=0,"",INDEX(对接源_02物料!$W$4:$W$1203,$AE10-1200))))</f>
        <v>豫L*88X19</v>
      </c>
      <c r="F10" s="41" t="str">
        <f aca="false">IF($AE10="","",IF($AE10&lt;=1200,"01水果册","02物料册"))</f>
        <v>02物料册</v>
      </c>
      <c r="G10" s="42" t="str">
        <f aca="false"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44" t="n">
        <f aca="false">IFERROR(MATCH(5,_自动清单!$Q$4:$Q$2403,0),"")</f>
        <v>1239</v>
      </c>
    </row>
    <row r="11" customFormat="false" ht="18" hidden="false" customHeight="true" outlineLevel="0" collapsed="false">
      <c r="A11" s="45" t="n">
        <f aca="false">IF($AE11="","",IF($AE11&lt;=1200,IF(INDEX(对接源_01水果!$B$4:$B$1203,$AE11)=0,"",INDEX(对接源_01水果!$B$4:$B$1203,$AE11)),IF(INDEX(对接源_02物料!$B$4:$B$1203,$AE11-1200)=0,"",INDEX(对接源_02物料!$B$4:$B$1203,$AE11-1200))))</f>
        <v>46258</v>
      </c>
      <c r="B11" s="46" t="str">
        <f aca="false">IF($AE11="","",IF($AE11&lt;=1200,IF(INDEX(对接源_01水果!$E$4:$E$1203,$AE11)=0,"",INDEX(对接源_01水果!$E$4:$E$1203,$AE11)),IF(INDEX(对接源_02物料!$E$4:$E$1203,$AE11-1200)=0,"",INDEX(对接源_02物料!$E$4:$E$1203,$AE11-1200))))</f>
        <v>NO:0001031</v>
      </c>
      <c r="C11" s="47" t="str">
        <f aca="false">IF($AE11="","",IF($AE11&lt;=1200,IF(INDEX(对接源_01水果!$S$4:$S$1203,$AE11)=0,"",INDEX(对接源_01水果!$S$4:$S$1203,$AE11)),IF(INDEX(对接源_02物料!$S$4:$S$1203,$AE11-1200)=0,"",INDEX(对接源_02物料!$S$4:$S$1203,$AE11-1200))))</f>
        <v>公司杂周转筐</v>
      </c>
      <c r="D11" s="48" t="n">
        <f aca="false">IF($AE11="","",IF($AE11&lt;=1200,IF(INDEX(对接源_01水果!$T$4:$T$1203,$AE11)=0,"",INDEX(对接源_01水果!$T$4:$T$1203,$AE11)),IF(INDEX(对接源_02物料!$T$4:$T$1203,$AE11-1200)=0,"",INDEX(对接源_02物料!$T$4:$T$1203,$AE11-1200))))</f>
        <v>282</v>
      </c>
      <c r="E11" s="46" t="str">
        <f aca="false">IF($AE11="","",IF($AE11&lt;=1200,IF(INDEX(对接源_01水果!$W$4:$W$1203,$AE11)=0,"",INDEX(对接源_01水果!$W$4:$W$1203,$AE11)),IF(INDEX(对接源_02物料!$W$4:$W$1203,$AE11-1200)=0,"",INDEX(对接源_02物料!$W$4:$W$1203,$AE11-1200))))</f>
        <v>豫L*88X19</v>
      </c>
      <c r="F11" s="46" t="str">
        <f aca="false">IF($AE11="","",IF($AE11&lt;=1200,"01水果册","02物料册"))</f>
        <v>02物料册</v>
      </c>
      <c r="G11" s="47" t="str">
        <f aca="false"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44" t="n">
        <f aca="false">IFERROR(MATCH(6,_自动清单!$Q$4:$Q$2403,0),"")</f>
        <v>1240</v>
      </c>
    </row>
    <row r="12" customFormat="false" ht="18" hidden="false" customHeight="true" outlineLevel="0" collapsed="false">
      <c r="A12" s="40" t="n">
        <f aca="false">IF($AE12="","",IF($AE12&lt;=1200,IF(INDEX(对接源_01水果!$B$4:$B$1203,$AE12)=0,"",INDEX(对接源_01水果!$B$4:$B$1203,$AE12)),IF(INDEX(对接源_02物料!$B$4:$B$1203,$AE12-1200)=0,"",INDEX(对接源_02物料!$B$4:$B$1203,$AE12-1200))))</f>
        <v>46260</v>
      </c>
      <c r="B12" s="41" t="str">
        <f aca="false">IF($AE12="","",IF($AE12&lt;=1200,IF(INDEX(对接源_01水果!$E$4:$E$1203,$AE12)=0,"",INDEX(对接源_01水果!$E$4:$E$1203,$AE12)),IF(INDEX(对接源_02物料!$E$4:$E$1203,$AE12-1200)=0,"",INDEX(对接源_02物料!$E$4:$E$1203,$AE12-1200))))</f>
        <v>NO:0001037</v>
      </c>
      <c r="C12" s="42" t="str">
        <f aca="false">IF($AE12="","",IF($AE12&lt;=1200,IF(INDEX(对接源_01水果!$S$4:$S$1203,$AE12)=0,"",INDEX(对接源_01水果!$S$4:$S$1203,$AE12)),IF(INDEX(对接源_02物料!$S$4:$S$1203,$AE12-1200)=0,"",INDEX(对接源_02物料!$S$4:$S$1203,$AE12-1200))))</f>
        <v>公司杂周转筐</v>
      </c>
      <c r="D12" s="43" t="n">
        <f aca="false">IF($AE12="","",IF($AE12&lt;=1200,IF(INDEX(对接源_01水果!$T$4:$T$1203,$AE12)=0,"",INDEX(对接源_01水果!$T$4:$T$1203,$AE12)),IF(INDEX(对接源_02物料!$T$4:$T$1203,$AE12-1200)=0,"",INDEX(对接源_02物料!$T$4:$T$1203,$AE12-1200))))</f>
        <v>144</v>
      </c>
      <c r="E12" s="41" t="str">
        <f aca="false">IF($AE12="","",IF($AE12&lt;=1200,IF(INDEX(对接源_01水果!$W$4:$W$1203,$AE12)=0,"",INDEX(对接源_01水果!$W$4:$W$1203,$AE12)),IF(INDEX(对接源_02物料!$W$4:$W$1203,$AE12-1200)=0,"",INDEX(对接源_02物料!$W$4:$W$1203,$AE12-1200))))</f>
        <v>豫L*88X19</v>
      </c>
      <c r="F12" s="41" t="str">
        <f aca="false">IF($AE12="","",IF($AE12&lt;=1200,"01水果册","02物料册"))</f>
        <v>02物料册</v>
      </c>
      <c r="G12" s="42" t="str">
        <f aca="false"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44" t="n">
        <f aca="false">IFERROR(MATCH(7,_自动清单!$Q$4:$Q$2403,0),"")</f>
        <v>1241</v>
      </c>
    </row>
    <row r="13" customFormat="false" ht="18" hidden="false" customHeight="true" outlineLevel="0" collapsed="false">
      <c r="A13" s="45" t="n">
        <f aca="false">IF($AE13="","",IF($AE13&lt;=1200,IF(INDEX(对接源_01水果!$B$4:$B$1203,$AE13)=0,"",INDEX(对接源_01水果!$B$4:$B$1203,$AE13)),IF(INDEX(对接源_02物料!$B$4:$B$1203,$AE13-1200)=0,"",INDEX(对接源_02物料!$B$4:$B$1203,$AE13-1200))))</f>
        <v>46274</v>
      </c>
      <c r="B13" s="46" t="str">
        <f aca="false">IF($AE13="","",IF($AE13&lt;=1200,IF(INDEX(对接源_01水果!$E$4:$E$1203,$AE13)=0,"",INDEX(对接源_01水果!$E$4:$E$1203,$AE13)),IF(INDEX(对接源_02物料!$E$4:$E$1203,$AE13-1200)=0,"",INDEX(对接源_02物料!$E$4:$E$1203,$AE13-1200))))</f>
        <v>NO:0001098</v>
      </c>
      <c r="C13" s="47" t="str">
        <f aca="false">IF($AE13="","",IF($AE13&lt;=1200,IF(INDEX(对接源_01水果!$S$4:$S$1203,$AE13)=0,"",INDEX(对接源_01水果!$S$4:$S$1203,$AE13)),IF(INDEX(对接源_02物料!$S$4:$S$1203,$AE13-1200)=0,"",INDEX(对接源_02物料!$S$4:$S$1203,$AE13-1200))))</f>
        <v>公司一次性筐</v>
      </c>
      <c r="D13" s="48" t="n">
        <f aca="false">IF($AE13="","",IF($AE13&lt;=1200,IF(INDEX(对接源_01水果!$T$4:$T$1203,$AE13)=0,"",INDEX(对接源_01水果!$T$4:$T$1203,$AE13)),IF(INDEX(对接源_02物料!$T$4:$T$1203,$AE13-1200)=0,"",INDEX(对接源_02物料!$T$4:$T$1203,$AE13-1200))))</f>
        <v>423</v>
      </c>
      <c r="E13" s="46" t="str">
        <f aca="false">IF($AE13="","",IF($AE13&lt;=1200,IF(INDEX(对接源_01水果!$W$4:$W$1203,$AE13)=0,"",INDEX(对接源_01水果!$W$4:$W$1203,$AE13)),IF(INDEX(对接源_02物料!$W$4:$W$1203,$AE13-1200)=0,"",INDEX(对接源_02物料!$W$4:$W$1203,$AE13-1200))))</f>
        <v>豫L*88X19</v>
      </c>
      <c r="F13" s="46" t="str">
        <f aca="false">IF($AE13="","",IF($AE13&lt;=1200,"01水果册","02物料册"))</f>
        <v>02物料册</v>
      </c>
      <c r="G13" s="47" t="str">
        <f aca="false"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44" t="n">
        <f aca="false">IFERROR(MATCH(8,_自动清单!$Q$4:$Q$2403,0),"")</f>
        <v>1274</v>
      </c>
    </row>
    <row r="14" customFormat="false" ht="18" hidden="false" customHeight="true" outlineLevel="0" collapsed="false">
      <c r="A14" s="40" t="n">
        <f aca="false">IF($AE14="","",IF($AE14&lt;=1200,IF(INDEX(对接源_01水果!$B$4:$B$1203,$AE14)=0,"",INDEX(对接源_01水果!$B$4:$B$1203,$AE14)),IF(INDEX(对接源_02物料!$B$4:$B$1203,$AE14-1200)=0,"",INDEX(对接源_02物料!$B$4:$B$1203,$AE14-1200))))</f>
        <v>46275</v>
      </c>
      <c r="B14" s="41" t="str">
        <f aca="false">IF($AE14="","",IF($AE14&lt;=1200,IF(INDEX(对接源_01水果!$E$4:$E$1203,$AE14)=0,"",INDEX(对接源_01水果!$E$4:$E$1203,$AE14)),IF(INDEX(对接源_02物料!$E$4:$E$1203,$AE14-1200)=0,"",INDEX(对接源_02物料!$E$4:$E$1203,$AE14-1200))))</f>
        <v>NO:0001107</v>
      </c>
      <c r="C14" s="42" t="str">
        <f aca="false">IF($AE14="","",IF($AE14&lt;=1200,IF(INDEX(对接源_01水果!$S$4:$S$1203,$AE14)=0,"",INDEX(对接源_01水果!$S$4:$S$1203,$AE14)),IF(INDEX(对接源_02物料!$S$4:$S$1203,$AE14-1200)=0,"",INDEX(对接源_02物料!$S$4:$S$1203,$AE14-1200))))</f>
        <v>公司一次性筐</v>
      </c>
      <c r="D14" s="43" t="n">
        <f aca="false">IF($AE14="","",IF($AE14&lt;=1200,IF(INDEX(对接源_01水果!$T$4:$T$1203,$AE14)=0,"",INDEX(对接源_01水果!$T$4:$T$1203,$AE14)),IF(INDEX(对接源_02物料!$T$4:$T$1203,$AE14-1200)=0,"",INDEX(对接源_02物料!$T$4:$T$1203,$AE14-1200))))</f>
        <v>423</v>
      </c>
      <c r="E14" s="41" t="str">
        <f aca="false">IF($AE14="","",IF($AE14&lt;=1200,IF(INDEX(对接源_01水果!$W$4:$W$1203,$AE14)=0,"",INDEX(对接源_01水果!$W$4:$W$1203,$AE14)),IF(INDEX(对接源_02物料!$W$4:$W$1203,$AE14-1200)=0,"",INDEX(对接源_02物料!$W$4:$W$1203,$AE14-1200))))</f>
        <v>豫L*88X19</v>
      </c>
      <c r="F14" s="41" t="str">
        <f aca="false">IF($AE14="","",IF($AE14&lt;=1200,"01水果册","02物料册"))</f>
        <v>02物料册</v>
      </c>
      <c r="G14" s="42" t="str">
        <f aca="false"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44" t="n">
        <f aca="false">IFERROR(MATCH(9,_自动清单!$Q$4:$Q$2403,0),"")</f>
        <v>1282</v>
      </c>
    </row>
    <row r="15" customFormat="false" ht="18" hidden="false" customHeight="true" outlineLevel="0" collapsed="false">
      <c r="A15" s="45" t="n">
        <f aca="false">IF($AE15="","",IF($AE15&lt;=1200,IF(INDEX(对接源_01水果!$B$4:$B$1203,$AE15)=0,"",INDEX(对接源_01水果!$B$4:$B$1203,$AE15)),IF(INDEX(对接源_02物料!$B$4:$B$1203,$AE15-1200)=0,"",INDEX(对接源_02物料!$B$4:$B$1203,$AE15-1200))))</f>
        <v>46276</v>
      </c>
      <c r="B15" s="46" t="str">
        <f aca="false">IF($AE15="","",IF($AE15&lt;=1200,IF(INDEX(对接源_01水果!$E$4:$E$1203,$AE15)=0,"",INDEX(对接源_01水果!$E$4:$E$1203,$AE15)),IF(INDEX(对接源_02物料!$E$4:$E$1203,$AE15-1200)=0,"",INDEX(对接源_02物料!$E$4:$E$1203,$AE15-1200))))</f>
        <v>NO:0001115</v>
      </c>
      <c r="C15" s="47" t="str">
        <f aca="false">IF($AE15="","",IF($AE15&lt;=1200,IF(INDEX(对接源_01水果!$S$4:$S$1203,$AE15)=0,"",INDEX(对接源_01水果!$S$4:$S$1203,$AE15)),IF(INDEX(对接源_02物料!$S$4:$S$1203,$AE15-1200)=0,"",INDEX(对接源_02物料!$S$4:$S$1203,$AE15-1200))))</f>
        <v>公司杂周转筐</v>
      </c>
      <c r="D15" s="48" t="n">
        <f aca="false">IF($AE15="","",IF($AE15&lt;=1200,IF(INDEX(对接源_01水果!$T$4:$T$1203,$AE15)=0,"",INDEX(对接源_01水果!$T$4:$T$1203,$AE15)),IF(INDEX(对接源_02物料!$T$4:$T$1203,$AE15-1200)=0,"",INDEX(对接源_02物料!$T$4:$T$1203,$AE15-1200))))</f>
        <v>213</v>
      </c>
      <c r="E15" s="46" t="str">
        <f aca="false">IF($AE15="","",IF($AE15&lt;=1200,IF(INDEX(对接源_01水果!$W$4:$W$1203,$AE15)=0,"",INDEX(对接源_01水果!$W$4:$W$1203,$AE15)),IF(INDEX(对接源_02物料!$W$4:$W$1203,$AE15-1200)=0,"",INDEX(对接源_02物料!$W$4:$W$1203,$AE15-1200))))</f>
        <v>豫L*88X19</v>
      </c>
      <c r="F15" s="46" t="str">
        <f aca="false">IF($AE15="","",IF($AE15&lt;=1200,"01水果册","02物料册"))</f>
        <v>02物料册</v>
      </c>
      <c r="G15" s="47" t="str">
        <f aca="false"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44" t="n">
        <f aca="false">IFERROR(MATCH(10,_自动清单!$Q$4:$Q$2403,0),"")</f>
        <v>1291</v>
      </c>
    </row>
    <row r="16" customFormat="false" ht="18" hidden="false" customHeight="true" outlineLevel="0" collapsed="false">
      <c r="A16" s="40" t="n">
        <f aca="false">IF($AE16="","",IF($AE16&lt;=1200,IF(INDEX(对接源_01水果!$B$4:$B$1203,$AE16)=0,"",INDEX(对接源_01水果!$B$4:$B$1203,$AE16)),IF(INDEX(对接源_02物料!$B$4:$B$1203,$AE16-1200)=0,"",INDEX(对接源_02物料!$B$4:$B$1203,$AE16-1200))))</f>
        <v>46276</v>
      </c>
      <c r="B16" s="41" t="str">
        <f aca="false">IF($AE16="","",IF($AE16&lt;=1200,IF(INDEX(对接源_01水果!$E$4:$E$1203,$AE16)=0,"",INDEX(对接源_01水果!$E$4:$E$1203,$AE16)),IF(INDEX(对接源_02物料!$E$4:$E$1203,$AE16-1200)=0,"",INDEX(对接源_02物料!$E$4:$E$1203,$AE16-1200))))</f>
        <v>NO:0001116</v>
      </c>
      <c r="C16" s="42" t="str">
        <f aca="false">IF($AE16="","",IF($AE16&lt;=1200,IF(INDEX(对接源_01水果!$S$4:$S$1203,$AE16)=0,"",INDEX(对接源_01水果!$S$4:$S$1203,$AE16)),IF(INDEX(对接源_02物料!$S$4:$S$1203,$AE16-1200)=0,"",INDEX(对接源_02物料!$S$4:$S$1203,$AE16-1200))))</f>
        <v>公司杂周转筐</v>
      </c>
      <c r="D16" s="43" t="n">
        <f aca="false">IF($AE16="","",IF($AE16&lt;=1200,IF(INDEX(对接源_01水果!$T$4:$T$1203,$AE16)=0,"",INDEX(对接源_01水果!$T$4:$T$1203,$AE16)),IF(INDEX(对接源_02物料!$T$4:$T$1203,$AE16-1200)=0,"",INDEX(对接源_02物料!$T$4:$T$1203,$AE16-1200))))</f>
        <v>423</v>
      </c>
      <c r="E16" s="41" t="str">
        <f aca="false">IF($AE16="","",IF($AE16&lt;=1200,IF(INDEX(对接源_01水果!$W$4:$W$1203,$AE16)=0,"",INDEX(对接源_01水果!$W$4:$W$1203,$AE16)),IF(INDEX(对接源_02物料!$W$4:$W$1203,$AE16-1200)=0,"",INDEX(对接源_02物料!$W$4:$W$1203,$AE16-1200))))</f>
        <v>豫L*88X19</v>
      </c>
      <c r="F16" s="41" t="str">
        <f aca="false">IF($AE16="","",IF($AE16&lt;=1200,"01水果册","02物料册"))</f>
        <v>02物料册</v>
      </c>
      <c r="G16" s="42" t="str">
        <f aca="false"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44" t="n">
        <f aca="false">IFERROR(MATCH(11,_自动清单!$Q$4:$Q$2403,0),"")</f>
        <v>1292</v>
      </c>
    </row>
    <row r="17" customFormat="false" ht="18" hidden="false" customHeight="true" outlineLevel="0" collapsed="false">
      <c r="A17" s="45" t="n">
        <f aca="false">IF($AE17="","",IF($AE17&lt;=1200,IF(INDEX(对接源_01水果!$B$4:$B$1203,$AE17)=0,"",INDEX(对接源_01水果!$B$4:$B$1203,$AE17)),IF(INDEX(对接源_02物料!$B$4:$B$1203,$AE17-1200)=0,"",INDEX(对接源_02物料!$B$4:$B$1203,$AE17-1200))))</f>
        <v>46278</v>
      </c>
      <c r="B17" s="46" t="str">
        <f aca="false">IF($AE17="","",IF($AE17&lt;=1200,IF(INDEX(对接源_01水果!$E$4:$E$1203,$AE17)=0,"",INDEX(对接源_01水果!$E$4:$E$1203,$AE17)),IF(INDEX(对接源_02物料!$E$4:$E$1203,$AE17-1200)=0,"",INDEX(对接源_02物料!$E$4:$E$1203,$AE17-1200))))</f>
        <v>NO:0001129</v>
      </c>
      <c r="C17" s="47" t="str">
        <f aca="false">IF($AE17="","",IF($AE17&lt;=1200,IF(INDEX(对接源_01水果!$S$4:$S$1203,$AE17)=0,"",INDEX(对接源_01水果!$S$4:$S$1203,$AE17)),IF(INDEX(对接源_02物料!$S$4:$S$1203,$AE17-1200)=0,"",INDEX(对接源_02物料!$S$4:$S$1203,$AE17-1200))))</f>
        <v>公司杂周转筐</v>
      </c>
      <c r="D17" s="48" t="n">
        <f aca="false">IF($AE17="","",IF($AE17&lt;=1200,IF(INDEX(对接源_01水果!$T$4:$T$1203,$AE17)=0,"",INDEX(对接源_01水果!$T$4:$T$1203,$AE17)),IF(INDEX(对接源_02物料!$T$4:$T$1203,$AE17-1200)=0,"",INDEX(对接源_02物料!$T$4:$T$1203,$AE17-1200))))</f>
        <v>423</v>
      </c>
      <c r="E17" s="46" t="str">
        <f aca="false">IF($AE17="","",IF($AE17&lt;=1200,IF(INDEX(对接源_01水果!$W$4:$W$1203,$AE17)=0,"",INDEX(对接源_01水果!$W$4:$W$1203,$AE17)),IF(INDEX(对接源_02物料!$W$4:$W$1203,$AE17-1200)=0,"",INDEX(对接源_02物料!$W$4:$W$1203,$AE17-1200))))</f>
        <v>豫L*88X19</v>
      </c>
      <c r="F17" s="46" t="str">
        <f aca="false">IF($AE17="","",IF($AE17&lt;=1200,"01水果册","02物料册"))</f>
        <v>02物料册</v>
      </c>
      <c r="G17" s="47" t="str">
        <f aca="false"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44" t="n">
        <f aca="false">IFERROR(MATCH(12,_自动清单!$Q$4:$Q$2403,0),"")</f>
        <v>1303</v>
      </c>
    </row>
    <row r="18" customFormat="false" ht="18" hidden="false" customHeight="true" outlineLevel="0" collapsed="false">
      <c r="A18" s="40" t="n">
        <f aca="false">IF($AE18="","",IF($AE18&lt;=1200,IF(INDEX(对接源_01水果!$B$4:$B$1203,$AE18)=0,"",INDEX(对接源_01水果!$B$4:$B$1203,$AE18)),IF(INDEX(对接源_02物料!$B$4:$B$1203,$AE18-1200)=0,"",INDEX(对接源_02物料!$B$4:$B$1203,$AE18-1200))))</f>
        <v>46278</v>
      </c>
      <c r="B18" s="41" t="str">
        <f aca="false">IF($AE18="","",IF($AE18&lt;=1200,IF(INDEX(对接源_01水果!$E$4:$E$1203,$AE18)=0,"",INDEX(对接源_01水果!$E$4:$E$1203,$AE18)),IF(INDEX(对接源_02物料!$E$4:$E$1203,$AE18-1200)=0,"",INDEX(对接源_02物料!$E$4:$E$1203,$AE18-1200))))</f>
        <v>NO:0001137</v>
      </c>
      <c r="C18" s="42" t="str">
        <f aca="false">IF($AE18="","",IF($AE18&lt;=1200,IF(INDEX(对接源_01水果!$S$4:$S$1203,$AE18)=0,"",INDEX(对接源_01水果!$S$4:$S$1203,$AE18)),IF(INDEX(对接源_02物料!$S$4:$S$1203,$AE18-1200)=0,"",INDEX(对接源_02物料!$S$4:$S$1203,$AE18-1200))))</f>
        <v>公司杂周转筐</v>
      </c>
      <c r="D18" s="43" t="n">
        <f aca="false">IF($AE18="","",IF($AE18&lt;=1200,IF(INDEX(对接源_01水果!$T$4:$T$1203,$AE18)=0,"",INDEX(对接源_01水果!$T$4:$T$1203,$AE18)),IF(INDEX(对接源_02物料!$T$4:$T$1203,$AE18-1200)=0,"",INDEX(对接源_02物料!$T$4:$T$1203,$AE18-1200))))</f>
        <v>711</v>
      </c>
      <c r="E18" s="41" t="str">
        <f aca="false">IF($AE18="","",IF($AE18&lt;=1200,IF(INDEX(对接源_01水果!$W$4:$W$1203,$AE18)=0,"",INDEX(对接源_01水果!$W$4:$W$1203,$AE18)),IF(INDEX(对接源_02物料!$W$4:$W$1203,$AE18-1200)=0,"",INDEX(对接源_02物料!$W$4:$W$1203,$AE18-1200))))</f>
        <v>新N*53045</v>
      </c>
      <c r="F18" s="41" t="str">
        <f aca="false">IF($AE18="","",IF($AE18&lt;=1200,"01水果册","02物料册"))</f>
        <v>02物料册</v>
      </c>
      <c r="G18" s="42" t="str">
        <f aca="false">IF($AE18="","",IF($AE18&lt;=1200,IF(INDEX(对接源_01水果!$M$4:$M$1203,$AE18)=0,"",INDEX(对接源_01水果!$M$4:$M$1203,$AE18)),IF(INDEX(对接源_02物料!$M$4:$M$1203,$AE18-1200)=0,"",INDEX(对接源_02物料!$M$4:$M$1203,$AE18-1200))))</f>
        <v>李现东</v>
      </c>
      <c r="AE18" s="44" t="n">
        <f aca="false">IFERROR(MATCH(13,_自动清单!$Q$4:$Q$2403,0),"")</f>
        <v>1308</v>
      </c>
    </row>
    <row r="19" customFormat="false" ht="18" hidden="false" customHeight="true" outlineLevel="0" collapsed="false">
      <c r="A19" s="45" t="str">
        <f aca="false"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46" t="str">
        <f aca="false"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47" t="str">
        <f aca="false">IF($AE19="","",IF($AE19&lt;=1200,IF(INDEX(对接源_01水果!$S$4:$S$1203,$AE19)=0,"",INDEX(对接源_01水果!$S$4:$S$1203,$AE19)),IF(INDEX(对接源_02物料!$S$4:$S$1203,$AE19-1200)=0,"",INDEX(对接源_02物料!$S$4:$S$1203,$AE19-1200))))</f>
        <v/>
      </c>
      <c r="D19" s="48" t="str">
        <f aca="false">IF($AE19="","",IF($AE19&lt;=1200,IF(INDEX(对接源_01水果!$T$4:$T$1203,$AE19)=0,"",INDEX(对接源_01水果!$T$4:$T$1203,$AE19)),IF(INDEX(对接源_02物料!$T$4:$T$1203,$AE19-1200)=0,"",INDEX(对接源_02物料!$T$4:$T$1203,$AE19-1200))))</f>
        <v/>
      </c>
      <c r="E19" s="46" t="str">
        <f aca="false">IF($AE19="","",IF($AE19&lt;=1200,IF(INDEX(对接源_01水果!$W$4:$W$1203,$AE19)=0,"",INDEX(对接源_01水果!$W$4:$W$1203,$AE19)),IF(INDEX(对接源_02物料!$W$4:$W$1203,$AE19-1200)=0,"",INDEX(对接源_02物料!$W$4:$W$1203,$AE19-1200))))</f>
        <v/>
      </c>
      <c r="F19" s="46" t="str">
        <f aca="false">IF($AE19="","",IF($AE19&lt;=1200,"01水果册","02物料册"))</f>
        <v/>
      </c>
      <c r="G19" s="47" t="str">
        <f aca="false"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44" t="str">
        <f aca="false">IFERROR(MATCH(14,_自动清单!$Q$4:$Q$2403,0),"")</f>
        <v/>
      </c>
    </row>
    <row r="20" customFormat="false" ht="18" hidden="false" customHeight="true" outlineLevel="0" collapsed="false">
      <c r="A20" s="40" t="str">
        <f aca="false"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41" t="str">
        <f aca="false"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42" t="str">
        <f aca="false"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D20" s="43" t="str">
        <f aca="false">IF($AE20="","",IF($AE20&lt;=1200,IF(INDEX(对接源_01水果!$T$4:$T$1203,$AE20)=0,"",INDEX(对接源_01水果!$T$4:$T$1203,$AE20)),IF(INDEX(对接源_02物料!$T$4:$T$1203,$AE20-1200)=0,"",INDEX(对接源_02物料!$T$4:$T$1203,$AE20-1200))))</f>
        <v/>
      </c>
      <c r="E20" s="41" t="str">
        <f aca="false"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F20" s="41" t="str">
        <f aca="false">IF($AE20="","",IF($AE20&lt;=1200,"01水果册","02物料册"))</f>
        <v/>
      </c>
      <c r="G20" s="42" t="str">
        <f aca="false"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44" t="str">
        <f aca="false">IFERROR(MATCH(15,_自动清单!$Q$4:$Q$2403,0),"")</f>
        <v/>
      </c>
    </row>
    <row r="21" customFormat="false" ht="18" hidden="false" customHeight="true" outlineLevel="0" collapsed="false">
      <c r="A21" s="45" t="str">
        <f aca="false"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46" t="str">
        <f aca="false"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47" t="str">
        <f aca="false"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D21" s="48" t="str">
        <f aca="false">IF($AE21="","",IF($AE21&lt;=1200,IF(INDEX(对接源_01水果!$T$4:$T$1203,$AE21)=0,"",INDEX(对接源_01水果!$T$4:$T$1203,$AE21)),IF(INDEX(对接源_02物料!$T$4:$T$1203,$AE21-1200)=0,"",INDEX(对接源_02物料!$T$4:$T$1203,$AE21-1200))))</f>
        <v/>
      </c>
      <c r="E21" s="46" t="str">
        <f aca="false"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F21" s="46" t="str">
        <f aca="false">IF($AE21="","",IF($AE21&lt;=1200,"01水果册","02物料册"))</f>
        <v/>
      </c>
      <c r="G21" s="47" t="str">
        <f aca="false"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44" t="str">
        <f aca="false">IFERROR(MATCH(16,_自动清单!$Q$4:$Q$2403,0),"")</f>
        <v/>
      </c>
    </row>
    <row r="22" customFormat="false" ht="18" hidden="false" customHeight="true" outlineLevel="0" collapsed="false">
      <c r="A22" s="40" t="str">
        <f aca="false"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41" t="str">
        <f aca="false"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42" t="str">
        <f aca="false"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D22" s="43" t="str">
        <f aca="false">IF($AE22="","",IF($AE22&lt;=1200,IF(INDEX(对接源_01水果!$T$4:$T$1203,$AE22)=0,"",INDEX(对接源_01水果!$T$4:$T$1203,$AE22)),IF(INDEX(对接源_02物料!$T$4:$T$1203,$AE22-1200)=0,"",INDEX(对接源_02物料!$T$4:$T$1203,$AE22-1200))))</f>
        <v/>
      </c>
      <c r="E22" s="41" t="str">
        <f aca="false"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F22" s="41" t="str">
        <f aca="false">IF($AE22="","",IF($AE22&lt;=1200,"01水果册","02物料册"))</f>
        <v/>
      </c>
      <c r="G22" s="42" t="str">
        <f aca="false"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44" t="str">
        <f aca="false">IFERROR(MATCH(17,_自动清单!$Q$4:$Q$2403,0),"")</f>
        <v/>
      </c>
    </row>
    <row r="23" customFormat="false" ht="18" hidden="false" customHeight="true" outlineLevel="0" collapsed="false">
      <c r="A23" s="45" t="str">
        <f aca="false"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46" t="str">
        <f aca="false"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47" t="str">
        <f aca="false"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D23" s="48" t="str">
        <f aca="false">IF($AE23="","",IF($AE23&lt;=1200,IF(INDEX(对接源_01水果!$T$4:$T$1203,$AE23)=0,"",INDEX(对接源_01水果!$T$4:$T$1203,$AE23)),IF(INDEX(对接源_02物料!$T$4:$T$1203,$AE23-1200)=0,"",INDEX(对接源_02物料!$T$4:$T$1203,$AE23-1200))))</f>
        <v/>
      </c>
      <c r="E23" s="46" t="str">
        <f aca="false"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F23" s="46" t="str">
        <f aca="false">IF($AE23="","",IF($AE23&lt;=1200,"01水果册","02物料册"))</f>
        <v/>
      </c>
      <c r="G23" s="47" t="str">
        <f aca="false"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44" t="str">
        <f aca="false">IFERROR(MATCH(18,_自动清单!$Q$4:$Q$2403,0),"")</f>
        <v/>
      </c>
    </row>
    <row r="24" customFormat="false" ht="18" hidden="false" customHeight="true" outlineLevel="0" collapsed="false">
      <c r="A24" s="40" t="str">
        <f aca="false"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41" t="str">
        <f aca="false"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42" t="str">
        <f aca="false"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D24" s="43" t="str">
        <f aca="false">IF($AE24="","",IF($AE24&lt;=1200,IF(INDEX(对接源_01水果!$T$4:$T$1203,$AE24)=0,"",INDEX(对接源_01水果!$T$4:$T$1203,$AE24)),IF(INDEX(对接源_02物料!$T$4:$T$1203,$AE24-1200)=0,"",INDEX(对接源_02物料!$T$4:$T$1203,$AE24-1200))))</f>
        <v/>
      </c>
      <c r="E24" s="41" t="str">
        <f aca="false"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F24" s="41" t="str">
        <f aca="false">IF($AE24="","",IF($AE24&lt;=1200,"01水果册","02物料册"))</f>
        <v/>
      </c>
      <c r="G24" s="42" t="str">
        <f aca="false"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44" t="str">
        <f aca="false">IFERROR(MATCH(19,_自动清单!$Q$4:$Q$2403,0),"")</f>
        <v/>
      </c>
    </row>
    <row r="25" customFormat="false" ht="18" hidden="false" customHeight="true" outlineLevel="0" collapsed="false">
      <c r="A25" s="45" t="str">
        <f aca="false"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46" t="str">
        <f aca="false"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47" t="str">
        <f aca="false"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D25" s="48" t="str">
        <f aca="false">IF($AE25="","",IF($AE25&lt;=1200,IF(INDEX(对接源_01水果!$T$4:$T$1203,$AE25)=0,"",INDEX(对接源_01水果!$T$4:$T$1203,$AE25)),IF(INDEX(对接源_02物料!$T$4:$T$1203,$AE25-1200)=0,"",INDEX(对接源_02物料!$T$4:$T$1203,$AE25-1200))))</f>
        <v/>
      </c>
      <c r="E25" s="46" t="str">
        <f aca="false"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F25" s="46" t="str">
        <f aca="false">IF($AE25="","",IF($AE25&lt;=1200,"01水果册","02物料册"))</f>
        <v/>
      </c>
      <c r="G25" s="47" t="str">
        <f aca="false"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44" t="str">
        <f aca="false">IFERROR(MATCH(20,_自动清单!$Q$4:$Q$2403,0),"")</f>
        <v/>
      </c>
    </row>
    <row r="26" customFormat="false" ht="18" hidden="false" customHeight="true" outlineLevel="0" collapsed="false">
      <c r="A26" s="40" t="str">
        <f aca="false"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41" t="str">
        <f aca="false"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42" t="str">
        <f aca="false"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D26" s="43" t="str">
        <f aca="false">IF($AE26="","",IF($AE26&lt;=1200,IF(INDEX(对接源_01水果!$T$4:$T$1203,$AE26)=0,"",INDEX(对接源_01水果!$T$4:$T$1203,$AE26)),IF(INDEX(对接源_02物料!$T$4:$T$1203,$AE26-1200)=0,"",INDEX(对接源_02物料!$T$4:$T$1203,$AE26-1200))))</f>
        <v/>
      </c>
      <c r="E26" s="41" t="str">
        <f aca="false"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F26" s="41" t="str">
        <f aca="false">IF($AE26="","",IF($AE26&lt;=1200,"01水果册","02物料册"))</f>
        <v/>
      </c>
      <c r="G26" s="42" t="str">
        <f aca="false"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44" t="str">
        <f aca="false">IFERROR(MATCH(21,_自动清单!$Q$4:$Q$2403,0),"")</f>
        <v/>
      </c>
    </row>
    <row r="27" customFormat="false" ht="18" hidden="false" customHeight="true" outlineLevel="0" collapsed="false">
      <c r="A27" s="45" t="str">
        <f aca="false"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46" t="str">
        <f aca="false"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47" t="str">
        <f aca="false"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D27" s="48" t="str">
        <f aca="false">IF($AE27="","",IF($AE27&lt;=1200,IF(INDEX(对接源_01水果!$T$4:$T$1203,$AE27)=0,"",INDEX(对接源_01水果!$T$4:$T$1203,$AE27)),IF(INDEX(对接源_02物料!$T$4:$T$1203,$AE27-1200)=0,"",INDEX(对接源_02物料!$T$4:$T$1203,$AE27-1200))))</f>
        <v/>
      </c>
      <c r="E27" s="46" t="str">
        <f aca="false"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F27" s="46" t="str">
        <f aca="false">IF($AE27="","",IF($AE27&lt;=1200,"01水果册","02物料册"))</f>
        <v/>
      </c>
      <c r="G27" s="47" t="str">
        <f aca="false"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44" t="str">
        <f aca="false">IFERROR(MATCH(22,_自动清单!$Q$4:$Q$2403,0),"")</f>
        <v/>
      </c>
    </row>
    <row r="28" customFormat="false" ht="18" hidden="false" customHeight="true" outlineLevel="0" collapsed="false">
      <c r="A28" s="40" t="str">
        <f aca="false"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41" t="str">
        <f aca="false"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42" t="str">
        <f aca="false"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D28" s="43" t="str">
        <f aca="false">IF($AE28="","",IF($AE28&lt;=1200,IF(INDEX(对接源_01水果!$T$4:$T$1203,$AE28)=0,"",INDEX(对接源_01水果!$T$4:$T$1203,$AE28)),IF(INDEX(对接源_02物料!$T$4:$T$1203,$AE28-1200)=0,"",INDEX(对接源_02物料!$T$4:$T$1203,$AE28-1200))))</f>
        <v/>
      </c>
      <c r="E28" s="41" t="str">
        <f aca="false"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F28" s="41" t="str">
        <f aca="false">IF($AE28="","",IF($AE28&lt;=1200,"01水果册","02物料册"))</f>
        <v/>
      </c>
      <c r="G28" s="42" t="str">
        <f aca="false"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44" t="str">
        <f aca="false">IFERROR(MATCH(23,_自动清单!$Q$4:$Q$2403,0),"")</f>
        <v/>
      </c>
    </row>
    <row r="29" customFormat="false" ht="18" hidden="false" customHeight="true" outlineLevel="0" collapsed="false">
      <c r="A29" s="45" t="str">
        <f aca="false"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46" t="str">
        <f aca="false"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47" t="str">
        <f aca="false"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D29" s="48" t="str">
        <f aca="false">IF($AE29="","",IF($AE29&lt;=1200,IF(INDEX(对接源_01水果!$T$4:$T$1203,$AE29)=0,"",INDEX(对接源_01水果!$T$4:$T$1203,$AE29)),IF(INDEX(对接源_02物料!$T$4:$T$1203,$AE29-1200)=0,"",INDEX(对接源_02物料!$T$4:$T$1203,$AE29-1200))))</f>
        <v/>
      </c>
      <c r="E29" s="46" t="str">
        <f aca="false"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F29" s="46" t="str">
        <f aca="false">IF($AE29="","",IF($AE29&lt;=1200,"01水果册","02物料册"))</f>
        <v/>
      </c>
      <c r="G29" s="47" t="str">
        <f aca="false"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44" t="str">
        <f aca="false">IFERROR(MATCH(24,_自动清单!$Q$4:$Q$2403,0),"")</f>
        <v/>
      </c>
    </row>
    <row r="30" customFormat="false" ht="18" hidden="false" customHeight="true" outlineLevel="0" collapsed="false">
      <c r="A30" s="40" t="str">
        <f aca="false"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41" t="str">
        <f aca="false"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42" t="str">
        <f aca="false"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D30" s="43" t="str">
        <f aca="false">IF($AE30="","",IF($AE30&lt;=1200,IF(INDEX(对接源_01水果!$T$4:$T$1203,$AE30)=0,"",INDEX(对接源_01水果!$T$4:$T$1203,$AE30)),IF(INDEX(对接源_02物料!$T$4:$T$1203,$AE30-1200)=0,"",INDEX(对接源_02物料!$T$4:$T$1203,$AE30-1200))))</f>
        <v/>
      </c>
      <c r="E30" s="41" t="str">
        <f aca="false"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F30" s="41" t="str">
        <f aca="false">IF($AE30="","",IF($AE30&lt;=1200,"01水果册","02物料册"))</f>
        <v/>
      </c>
      <c r="G30" s="42" t="str">
        <f aca="false"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44" t="str">
        <f aca="false">IFERROR(MATCH(25,_自动清单!$Q$4:$Q$2403,0),"")</f>
        <v/>
      </c>
    </row>
    <row r="31" customFormat="false" ht="18" hidden="false" customHeight="true" outlineLevel="0" collapsed="false">
      <c r="A31" s="45" t="str">
        <f aca="false"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46" t="str">
        <f aca="false"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47" t="str">
        <f aca="false"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D31" s="48" t="str">
        <f aca="false">IF($AE31="","",IF($AE31&lt;=1200,IF(INDEX(对接源_01水果!$T$4:$T$1203,$AE31)=0,"",INDEX(对接源_01水果!$T$4:$T$1203,$AE31)),IF(INDEX(对接源_02物料!$T$4:$T$1203,$AE31-1200)=0,"",INDEX(对接源_02物料!$T$4:$T$1203,$AE31-1200))))</f>
        <v/>
      </c>
      <c r="E31" s="46" t="str">
        <f aca="false"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F31" s="46" t="str">
        <f aca="false">IF($AE31="","",IF($AE31&lt;=1200,"01水果册","02物料册"))</f>
        <v/>
      </c>
      <c r="G31" s="47" t="str">
        <f aca="false"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44" t="str">
        <f aca="false">IFERROR(MATCH(26,_自动清单!$Q$4:$Q$2403,0),"")</f>
        <v/>
      </c>
    </row>
    <row r="32" customFormat="false" ht="18" hidden="false" customHeight="true" outlineLevel="0" collapsed="false">
      <c r="A32" s="40" t="str">
        <f aca="false"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41" t="str">
        <f aca="false"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42" t="str">
        <f aca="false"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D32" s="43" t="str">
        <f aca="false">IF($AE32="","",IF($AE32&lt;=1200,IF(INDEX(对接源_01水果!$T$4:$T$1203,$AE32)=0,"",INDEX(对接源_01水果!$T$4:$T$1203,$AE32)),IF(INDEX(对接源_02物料!$T$4:$T$1203,$AE32-1200)=0,"",INDEX(对接源_02物料!$T$4:$T$1203,$AE32-1200))))</f>
        <v/>
      </c>
      <c r="E32" s="41" t="str">
        <f aca="false"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F32" s="41" t="str">
        <f aca="false">IF($AE32="","",IF($AE32&lt;=1200,"01水果册","02物料册"))</f>
        <v/>
      </c>
      <c r="G32" s="42" t="str">
        <f aca="false"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44" t="str">
        <f aca="false">IFERROR(MATCH(27,_自动清单!$Q$4:$Q$2403,0),"")</f>
        <v/>
      </c>
    </row>
    <row r="33" customFormat="false" ht="18" hidden="false" customHeight="true" outlineLevel="0" collapsed="false">
      <c r="A33" s="45" t="str">
        <f aca="false"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46" t="str">
        <f aca="false"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47" t="str">
        <f aca="false"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D33" s="48" t="str">
        <f aca="false">IF($AE33="","",IF($AE33&lt;=1200,IF(INDEX(对接源_01水果!$T$4:$T$1203,$AE33)=0,"",INDEX(对接源_01水果!$T$4:$T$1203,$AE33)),IF(INDEX(对接源_02物料!$T$4:$T$1203,$AE33-1200)=0,"",INDEX(对接源_02物料!$T$4:$T$1203,$AE33-1200))))</f>
        <v/>
      </c>
      <c r="E33" s="46" t="str">
        <f aca="false"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F33" s="46" t="str">
        <f aca="false">IF($AE33="","",IF($AE33&lt;=1200,"01水果册","02物料册"))</f>
        <v/>
      </c>
      <c r="G33" s="47" t="str">
        <f aca="false"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44" t="str">
        <f aca="false">IFERROR(MATCH(28,_自动清单!$Q$4:$Q$2403,0),"")</f>
        <v/>
      </c>
    </row>
    <row r="34" customFormat="false" ht="18" hidden="false" customHeight="true" outlineLevel="0" collapsed="false">
      <c r="A34" s="40" t="str">
        <f aca="false"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41" t="str">
        <f aca="false"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42" t="str">
        <f aca="false"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D34" s="43" t="str">
        <f aca="false">IF($AE34="","",IF($AE34&lt;=1200,IF(INDEX(对接源_01水果!$T$4:$T$1203,$AE34)=0,"",INDEX(对接源_01水果!$T$4:$T$1203,$AE34)),IF(INDEX(对接源_02物料!$T$4:$T$1203,$AE34-1200)=0,"",INDEX(对接源_02物料!$T$4:$T$1203,$AE34-1200))))</f>
        <v/>
      </c>
      <c r="E34" s="41" t="str">
        <f aca="false"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F34" s="41" t="str">
        <f aca="false">IF($AE34="","",IF($AE34&lt;=1200,"01水果册","02物料册"))</f>
        <v/>
      </c>
      <c r="G34" s="42" t="str">
        <f aca="false"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44" t="str">
        <f aca="false">IFERROR(MATCH(29,_自动清单!$Q$4:$Q$2403,0),"")</f>
        <v/>
      </c>
    </row>
    <row r="35" customFormat="false" ht="18" hidden="false" customHeight="true" outlineLevel="0" collapsed="false">
      <c r="A35" s="45" t="str">
        <f aca="false"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46" t="str">
        <f aca="false"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47" t="str">
        <f aca="false"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D35" s="48" t="str">
        <f aca="false">IF($AE35="","",IF($AE35&lt;=1200,IF(INDEX(对接源_01水果!$T$4:$T$1203,$AE35)=0,"",INDEX(对接源_01水果!$T$4:$T$1203,$AE35)),IF(INDEX(对接源_02物料!$T$4:$T$1203,$AE35-1200)=0,"",INDEX(对接源_02物料!$T$4:$T$1203,$AE35-1200))))</f>
        <v/>
      </c>
      <c r="E35" s="46" t="str">
        <f aca="false"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F35" s="46" t="str">
        <f aca="false">IF($AE35="","",IF($AE35&lt;=1200,"01水果册","02物料册"))</f>
        <v/>
      </c>
      <c r="G35" s="47" t="str">
        <f aca="false"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44" t="str">
        <f aca="false">IFERROR(MATCH(30,_自动清单!$Q$4:$Q$2403,0),"")</f>
        <v/>
      </c>
    </row>
    <row r="36" customFormat="false" ht="18" hidden="false" customHeight="true" outlineLevel="0" collapsed="false">
      <c r="A36" s="40" t="str">
        <f aca="false"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41" t="str">
        <f aca="false"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42" t="str">
        <f aca="false"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D36" s="43" t="str">
        <f aca="false">IF($AE36="","",IF($AE36&lt;=1200,IF(INDEX(对接源_01水果!$T$4:$T$1203,$AE36)=0,"",INDEX(对接源_01水果!$T$4:$T$1203,$AE36)),IF(INDEX(对接源_02物料!$T$4:$T$1203,$AE36-1200)=0,"",INDEX(对接源_02物料!$T$4:$T$1203,$AE36-1200))))</f>
        <v/>
      </c>
      <c r="E36" s="41" t="str">
        <f aca="false"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F36" s="41" t="str">
        <f aca="false">IF($AE36="","",IF($AE36&lt;=1200,"01水果册","02物料册"))</f>
        <v/>
      </c>
      <c r="G36" s="42" t="str">
        <f aca="false"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44" t="str">
        <f aca="false">IFERROR(MATCH(31,_自动清单!$Q$4:$Q$2403,0),"")</f>
        <v/>
      </c>
    </row>
    <row r="37" customFormat="false" ht="18" hidden="false" customHeight="true" outlineLevel="0" collapsed="false">
      <c r="A37" s="45" t="str">
        <f aca="false"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46" t="str">
        <f aca="false"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47" t="str">
        <f aca="false"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D37" s="48" t="str">
        <f aca="false">IF($AE37="","",IF($AE37&lt;=1200,IF(INDEX(对接源_01水果!$T$4:$T$1203,$AE37)=0,"",INDEX(对接源_01水果!$T$4:$T$1203,$AE37)),IF(INDEX(对接源_02物料!$T$4:$T$1203,$AE37-1200)=0,"",INDEX(对接源_02物料!$T$4:$T$1203,$AE37-1200))))</f>
        <v/>
      </c>
      <c r="E37" s="46" t="str">
        <f aca="false"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F37" s="46" t="str">
        <f aca="false">IF($AE37="","",IF($AE37&lt;=1200,"01水果册","02物料册"))</f>
        <v/>
      </c>
      <c r="G37" s="47" t="str">
        <f aca="false"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44" t="str">
        <f aca="false">IFERROR(MATCH(32,_自动清单!$Q$4:$Q$2403,0),"")</f>
        <v/>
      </c>
    </row>
    <row r="38" customFormat="false" ht="18" hidden="false" customHeight="true" outlineLevel="0" collapsed="false">
      <c r="A38" s="40" t="str">
        <f aca="false"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41" t="str">
        <f aca="false"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42" t="str">
        <f aca="false"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D38" s="43" t="str">
        <f aca="false">IF($AE38="","",IF($AE38&lt;=1200,IF(INDEX(对接源_01水果!$T$4:$T$1203,$AE38)=0,"",INDEX(对接源_01水果!$T$4:$T$1203,$AE38)),IF(INDEX(对接源_02物料!$T$4:$T$1203,$AE38-1200)=0,"",INDEX(对接源_02物料!$T$4:$T$1203,$AE38-1200))))</f>
        <v/>
      </c>
      <c r="E38" s="41" t="str">
        <f aca="false"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F38" s="41" t="str">
        <f aca="false">IF($AE38="","",IF($AE38&lt;=1200,"01水果册","02物料册"))</f>
        <v/>
      </c>
      <c r="G38" s="42" t="str">
        <f aca="false"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44" t="str">
        <f aca="false">IFERROR(MATCH(33,_自动清单!$Q$4:$Q$2403,0),"")</f>
        <v/>
      </c>
    </row>
    <row r="39" customFormat="false" ht="18" hidden="false" customHeight="true" outlineLevel="0" collapsed="false">
      <c r="A39" s="45" t="str">
        <f aca="false"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46" t="str">
        <f aca="false"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47" t="str">
        <f aca="false"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D39" s="48" t="str">
        <f aca="false">IF($AE39="","",IF($AE39&lt;=1200,IF(INDEX(对接源_01水果!$T$4:$T$1203,$AE39)=0,"",INDEX(对接源_01水果!$T$4:$T$1203,$AE39)),IF(INDEX(对接源_02物料!$T$4:$T$1203,$AE39-1200)=0,"",INDEX(对接源_02物料!$T$4:$T$1203,$AE39-1200))))</f>
        <v/>
      </c>
      <c r="E39" s="46" t="str">
        <f aca="false"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F39" s="46" t="str">
        <f aca="false">IF($AE39="","",IF($AE39&lt;=1200,"01水果册","02物料册"))</f>
        <v/>
      </c>
      <c r="G39" s="47" t="str">
        <f aca="false"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44" t="str">
        <f aca="false">IFERROR(MATCH(34,_自动清单!$Q$4:$Q$2403,0),"")</f>
        <v/>
      </c>
    </row>
    <row r="40" customFormat="false" ht="18" hidden="false" customHeight="true" outlineLevel="0" collapsed="false">
      <c r="A40" s="40" t="str">
        <f aca="false"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41" t="str">
        <f aca="false"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42" t="str">
        <f aca="false"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D40" s="43" t="str">
        <f aca="false">IF($AE40="","",IF($AE40&lt;=1200,IF(INDEX(对接源_01水果!$T$4:$T$1203,$AE40)=0,"",INDEX(对接源_01水果!$T$4:$T$1203,$AE40)),IF(INDEX(对接源_02物料!$T$4:$T$1203,$AE40-1200)=0,"",INDEX(对接源_02物料!$T$4:$T$1203,$AE40-1200))))</f>
        <v/>
      </c>
      <c r="E40" s="41" t="str">
        <f aca="false"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F40" s="41" t="str">
        <f aca="false">IF($AE40="","",IF($AE40&lt;=1200,"01水果册","02物料册"))</f>
        <v/>
      </c>
      <c r="G40" s="42" t="str">
        <f aca="false"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44" t="str">
        <f aca="false">IFERROR(MATCH(35,_自动清单!$Q$4:$Q$2403,0),"")</f>
        <v/>
      </c>
    </row>
    <row r="41" customFormat="false" ht="18" hidden="false" customHeight="true" outlineLevel="0" collapsed="false">
      <c r="A41" s="45" t="str">
        <f aca="false"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46" t="str">
        <f aca="false"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47" t="str">
        <f aca="false"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D41" s="48" t="str">
        <f aca="false">IF($AE41="","",IF($AE41&lt;=1200,IF(INDEX(对接源_01水果!$T$4:$T$1203,$AE41)=0,"",INDEX(对接源_01水果!$T$4:$T$1203,$AE41)),IF(INDEX(对接源_02物料!$T$4:$T$1203,$AE41-1200)=0,"",INDEX(对接源_02物料!$T$4:$T$1203,$AE41-1200))))</f>
        <v/>
      </c>
      <c r="E41" s="46" t="str">
        <f aca="false"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F41" s="46" t="str">
        <f aca="false">IF($AE41="","",IF($AE41&lt;=1200,"01水果册","02物料册"))</f>
        <v/>
      </c>
      <c r="G41" s="47" t="str">
        <f aca="false"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44" t="str">
        <f aca="false">IFERROR(MATCH(36,_自动清单!$Q$4:$Q$2403,0),"")</f>
        <v/>
      </c>
    </row>
    <row r="42" customFormat="false" ht="18" hidden="false" customHeight="true" outlineLevel="0" collapsed="false">
      <c r="A42" s="40" t="str">
        <f aca="false"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41" t="str">
        <f aca="false"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42" t="str">
        <f aca="false"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D42" s="43" t="str">
        <f aca="false">IF($AE42="","",IF($AE42&lt;=1200,IF(INDEX(对接源_01水果!$T$4:$T$1203,$AE42)=0,"",INDEX(对接源_01水果!$T$4:$T$1203,$AE42)),IF(INDEX(对接源_02物料!$T$4:$T$1203,$AE42-1200)=0,"",INDEX(对接源_02物料!$T$4:$T$1203,$AE42-1200))))</f>
        <v/>
      </c>
      <c r="E42" s="41" t="str">
        <f aca="false"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F42" s="41" t="str">
        <f aca="false">IF($AE42="","",IF($AE42&lt;=1200,"01水果册","02物料册"))</f>
        <v/>
      </c>
      <c r="G42" s="42" t="str">
        <f aca="false"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44" t="str">
        <f aca="false">IFERROR(MATCH(37,_自动清单!$Q$4:$Q$2403,0),"")</f>
        <v/>
      </c>
    </row>
    <row r="43" customFormat="false" ht="18" hidden="false" customHeight="true" outlineLevel="0" collapsed="false">
      <c r="A43" s="45" t="str">
        <f aca="false"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46" t="str">
        <f aca="false"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47" t="str">
        <f aca="false"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D43" s="48" t="str">
        <f aca="false">IF($AE43="","",IF($AE43&lt;=1200,IF(INDEX(对接源_01水果!$T$4:$T$1203,$AE43)=0,"",INDEX(对接源_01水果!$T$4:$T$1203,$AE43)),IF(INDEX(对接源_02物料!$T$4:$T$1203,$AE43-1200)=0,"",INDEX(对接源_02物料!$T$4:$T$1203,$AE43-1200))))</f>
        <v/>
      </c>
      <c r="E43" s="46" t="str">
        <f aca="false"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F43" s="46" t="str">
        <f aca="false">IF($AE43="","",IF($AE43&lt;=1200,"01水果册","02物料册"))</f>
        <v/>
      </c>
      <c r="G43" s="47" t="str">
        <f aca="false"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44" t="str">
        <f aca="false">IFERROR(MATCH(38,_自动清单!$Q$4:$Q$2403,0),"")</f>
        <v/>
      </c>
    </row>
    <row r="44" customFormat="false" ht="18" hidden="false" customHeight="true" outlineLevel="0" collapsed="false">
      <c r="A44" s="40" t="str">
        <f aca="false"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41" t="str">
        <f aca="false"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42" t="str">
        <f aca="false"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D44" s="43" t="str">
        <f aca="false">IF($AE44="","",IF($AE44&lt;=1200,IF(INDEX(对接源_01水果!$T$4:$T$1203,$AE44)=0,"",INDEX(对接源_01水果!$T$4:$T$1203,$AE44)),IF(INDEX(对接源_02物料!$T$4:$T$1203,$AE44-1200)=0,"",INDEX(对接源_02物料!$T$4:$T$1203,$AE44-1200))))</f>
        <v/>
      </c>
      <c r="E44" s="41" t="str">
        <f aca="false"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F44" s="41" t="str">
        <f aca="false">IF($AE44="","",IF($AE44&lt;=1200,"01水果册","02物料册"))</f>
        <v/>
      </c>
      <c r="G44" s="42" t="str">
        <f aca="false"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44" t="str">
        <f aca="false">IFERROR(MATCH(39,_自动清单!$Q$4:$Q$2403,0),"")</f>
        <v/>
      </c>
    </row>
    <row r="45" customFormat="false" ht="18" hidden="false" customHeight="true" outlineLevel="0" collapsed="false">
      <c r="A45" s="45" t="str">
        <f aca="false"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46" t="str">
        <f aca="false"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47" t="str">
        <f aca="false"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D45" s="48" t="str">
        <f aca="false">IF($AE45="","",IF($AE45&lt;=1200,IF(INDEX(对接源_01水果!$T$4:$T$1203,$AE45)=0,"",INDEX(对接源_01水果!$T$4:$T$1203,$AE45)),IF(INDEX(对接源_02物料!$T$4:$T$1203,$AE45-1200)=0,"",INDEX(对接源_02物料!$T$4:$T$1203,$AE45-1200))))</f>
        <v/>
      </c>
      <c r="E45" s="46" t="str">
        <f aca="false"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F45" s="46" t="str">
        <f aca="false">IF($AE45="","",IF($AE45&lt;=1200,"01水果册","02物料册"))</f>
        <v/>
      </c>
      <c r="G45" s="47" t="str">
        <f aca="false"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44" t="str">
        <f aca="false">IFERROR(MATCH(40,_自动清单!$Q$4:$Q$2403,0),"")</f>
        <v/>
      </c>
    </row>
    <row r="46" customFormat="false" ht="18" hidden="false" customHeight="true" outlineLevel="0" collapsed="false">
      <c r="A46" s="40" t="str">
        <f aca="false"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41" t="str">
        <f aca="false"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42" t="str">
        <f aca="false"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D46" s="43" t="str">
        <f aca="false">IF($AE46="","",IF($AE46&lt;=1200,IF(INDEX(对接源_01水果!$T$4:$T$1203,$AE46)=0,"",INDEX(对接源_01水果!$T$4:$T$1203,$AE46)),IF(INDEX(对接源_02物料!$T$4:$T$1203,$AE46-1200)=0,"",INDEX(对接源_02物料!$T$4:$T$1203,$AE46-1200))))</f>
        <v/>
      </c>
      <c r="E46" s="41" t="str">
        <f aca="false"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F46" s="41" t="str">
        <f aca="false">IF($AE46="","",IF($AE46&lt;=1200,"01水果册","02物料册"))</f>
        <v/>
      </c>
      <c r="G46" s="42" t="str">
        <f aca="false"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44" t="str">
        <f aca="false">IFERROR(MATCH(41,_自动清单!$Q$4:$Q$2403,0),"")</f>
        <v/>
      </c>
    </row>
    <row r="47" customFormat="false" ht="18" hidden="false" customHeight="true" outlineLevel="0" collapsed="false">
      <c r="A47" s="45" t="str">
        <f aca="false"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46" t="str">
        <f aca="false"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47" t="str">
        <f aca="false"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D47" s="48" t="str">
        <f aca="false">IF($AE47="","",IF($AE47&lt;=1200,IF(INDEX(对接源_01水果!$T$4:$T$1203,$AE47)=0,"",INDEX(对接源_01水果!$T$4:$T$1203,$AE47)),IF(INDEX(对接源_02物料!$T$4:$T$1203,$AE47-1200)=0,"",INDEX(对接源_02物料!$T$4:$T$1203,$AE47-1200))))</f>
        <v/>
      </c>
      <c r="E47" s="46" t="str">
        <f aca="false"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F47" s="46" t="str">
        <f aca="false">IF($AE47="","",IF($AE47&lt;=1200,"01水果册","02物料册"))</f>
        <v/>
      </c>
      <c r="G47" s="47" t="str">
        <f aca="false"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44" t="str">
        <f aca="false">IFERROR(MATCH(42,_自动清单!$Q$4:$Q$2403,0),"")</f>
        <v/>
      </c>
    </row>
    <row r="48" customFormat="false" ht="18" hidden="false" customHeight="true" outlineLevel="0" collapsed="false">
      <c r="A48" s="40" t="str">
        <f aca="false"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41" t="str">
        <f aca="false"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42" t="str">
        <f aca="false"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D48" s="43" t="str">
        <f aca="false">IF($AE48="","",IF($AE48&lt;=1200,IF(INDEX(对接源_01水果!$T$4:$T$1203,$AE48)=0,"",INDEX(对接源_01水果!$T$4:$T$1203,$AE48)),IF(INDEX(对接源_02物料!$T$4:$T$1203,$AE48-1200)=0,"",INDEX(对接源_02物料!$T$4:$T$1203,$AE48-1200))))</f>
        <v/>
      </c>
      <c r="E48" s="41" t="str">
        <f aca="false"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F48" s="41" t="str">
        <f aca="false">IF($AE48="","",IF($AE48&lt;=1200,"01水果册","02物料册"))</f>
        <v/>
      </c>
      <c r="G48" s="42" t="str">
        <f aca="false"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44" t="str">
        <f aca="false">IFERROR(MATCH(43,_自动清单!$Q$4:$Q$2403,0),"")</f>
        <v/>
      </c>
    </row>
    <row r="49" customFormat="false" ht="18" hidden="false" customHeight="true" outlineLevel="0" collapsed="false">
      <c r="A49" s="45" t="str">
        <f aca="false"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46" t="str">
        <f aca="false"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47" t="str">
        <f aca="false"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D49" s="48" t="str">
        <f aca="false">IF($AE49="","",IF($AE49&lt;=1200,IF(INDEX(对接源_01水果!$T$4:$T$1203,$AE49)=0,"",INDEX(对接源_01水果!$T$4:$T$1203,$AE49)),IF(INDEX(对接源_02物料!$T$4:$T$1203,$AE49-1200)=0,"",INDEX(对接源_02物料!$T$4:$T$1203,$AE49-1200))))</f>
        <v/>
      </c>
      <c r="E49" s="46" t="str">
        <f aca="false"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F49" s="46" t="str">
        <f aca="false">IF($AE49="","",IF($AE49&lt;=1200,"01水果册","02物料册"))</f>
        <v/>
      </c>
      <c r="G49" s="47" t="str">
        <f aca="false"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44" t="str">
        <f aca="false">IFERROR(MATCH(44,_自动清单!$Q$4:$Q$2403,0),"")</f>
        <v/>
      </c>
    </row>
    <row r="50" customFormat="false" ht="18" hidden="false" customHeight="true" outlineLevel="0" collapsed="false">
      <c r="A50" s="40" t="str">
        <f aca="false"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41" t="str">
        <f aca="false"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42" t="str">
        <f aca="false"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D50" s="43" t="str">
        <f aca="false">IF($AE50="","",IF($AE50&lt;=1200,IF(INDEX(对接源_01水果!$T$4:$T$1203,$AE50)=0,"",INDEX(对接源_01水果!$T$4:$T$1203,$AE50)),IF(INDEX(对接源_02物料!$T$4:$T$1203,$AE50-1200)=0,"",INDEX(对接源_02物料!$T$4:$T$1203,$AE50-1200))))</f>
        <v/>
      </c>
      <c r="E50" s="41" t="str">
        <f aca="false"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F50" s="41" t="str">
        <f aca="false">IF($AE50="","",IF($AE50&lt;=1200,"01水果册","02物料册"))</f>
        <v/>
      </c>
      <c r="G50" s="42" t="str">
        <f aca="false"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44" t="str">
        <f aca="false">IFERROR(MATCH(45,_自动清单!$Q$4:$Q$2403,0),"")</f>
        <v/>
      </c>
    </row>
    <row r="51" customFormat="false" ht="18" hidden="false" customHeight="true" outlineLevel="0" collapsed="false">
      <c r="A51" s="45" t="str">
        <f aca="false"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46" t="str">
        <f aca="false"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47" t="str">
        <f aca="false"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D51" s="48" t="str">
        <f aca="false">IF($AE51="","",IF($AE51&lt;=1200,IF(INDEX(对接源_01水果!$T$4:$T$1203,$AE51)=0,"",INDEX(对接源_01水果!$T$4:$T$1203,$AE51)),IF(INDEX(对接源_02物料!$T$4:$T$1203,$AE51-1200)=0,"",INDEX(对接源_02物料!$T$4:$T$1203,$AE51-1200))))</f>
        <v/>
      </c>
      <c r="E51" s="46" t="str">
        <f aca="false"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F51" s="46" t="str">
        <f aca="false">IF($AE51="","",IF($AE51&lt;=1200,"01水果册","02物料册"))</f>
        <v/>
      </c>
      <c r="G51" s="47" t="str">
        <f aca="false"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44" t="str">
        <f aca="false">IFERROR(MATCH(46,_自动清单!$Q$4:$Q$2403,0),"")</f>
        <v/>
      </c>
    </row>
    <row r="52" customFormat="false" ht="18" hidden="false" customHeight="true" outlineLevel="0" collapsed="false">
      <c r="A52" s="40" t="str">
        <f aca="false"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41" t="str">
        <f aca="false"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42" t="str">
        <f aca="false"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D52" s="43" t="str">
        <f aca="false">IF($AE52="","",IF($AE52&lt;=1200,IF(INDEX(对接源_01水果!$T$4:$T$1203,$AE52)=0,"",INDEX(对接源_01水果!$T$4:$T$1203,$AE52)),IF(INDEX(对接源_02物料!$T$4:$T$1203,$AE52-1200)=0,"",INDEX(对接源_02物料!$T$4:$T$1203,$AE52-1200))))</f>
        <v/>
      </c>
      <c r="E52" s="41" t="str">
        <f aca="false"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F52" s="41" t="str">
        <f aca="false">IF($AE52="","",IF($AE52&lt;=1200,"01水果册","02物料册"))</f>
        <v/>
      </c>
      <c r="G52" s="42" t="str">
        <f aca="false"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44" t="str">
        <f aca="false">IFERROR(MATCH(47,_自动清单!$Q$4:$Q$2403,0),"")</f>
        <v/>
      </c>
    </row>
    <row r="53" customFormat="false" ht="18" hidden="false" customHeight="true" outlineLevel="0" collapsed="false">
      <c r="A53" s="45" t="str">
        <f aca="false"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46" t="str">
        <f aca="false"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47" t="str">
        <f aca="false"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D53" s="48" t="str">
        <f aca="false">IF($AE53="","",IF($AE53&lt;=1200,IF(INDEX(对接源_01水果!$T$4:$T$1203,$AE53)=0,"",INDEX(对接源_01水果!$T$4:$T$1203,$AE53)),IF(INDEX(对接源_02物料!$T$4:$T$1203,$AE53-1200)=0,"",INDEX(对接源_02物料!$T$4:$T$1203,$AE53-1200))))</f>
        <v/>
      </c>
      <c r="E53" s="46" t="str">
        <f aca="false"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F53" s="46" t="str">
        <f aca="false">IF($AE53="","",IF($AE53&lt;=1200,"01水果册","02物料册"))</f>
        <v/>
      </c>
      <c r="G53" s="47" t="str">
        <f aca="false"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44" t="str">
        <f aca="false">IFERROR(MATCH(48,_自动清单!$Q$4:$Q$2403,0),"")</f>
        <v/>
      </c>
    </row>
    <row r="54" customFormat="false" ht="18" hidden="false" customHeight="true" outlineLevel="0" collapsed="false">
      <c r="A54" s="40" t="str">
        <f aca="false"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41" t="str">
        <f aca="false"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42" t="str">
        <f aca="false"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D54" s="43" t="str">
        <f aca="false">IF($AE54="","",IF($AE54&lt;=1200,IF(INDEX(对接源_01水果!$T$4:$T$1203,$AE54)=0,"",INDEX(对接源_01水果!$T$4:$T$1203,$AE54)),IF(INDEX(对接源_02物料!$T$4:$T$1203,$AE54-1200)=0,"",INDEX(对接源_02物料!$T$4:$T$1203,$AE54-1200))))</f>
        <v/>
      </c>
      <c r="E54" s="41" t="str">
        <f aca="false"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F54" s="41" t="str">
        <f aca="false">IF($AE54="","",IF($AE54&lt;=1200,"01水果册","02物料册"))</f>
        <v/>
      </c>
      <c r="G54" s="42" t="str">
        <f aca="false"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44" t="str">
        <f aca="false">IFERROR(MATCH(49,_自动清单!$Q$4:$Q$2403,0),"")</f>
        <v/>
      </c>
    </row>
    <row r="55" customFormat="false" ht="18" hidden="false" customHeight="true" outlineLevel="0" collapsed="false">
      <c r="A55" s="45" t="str">
        <f aca="false"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46" t="str">
        <f aca="false"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47" t="str">
        <f aca="false"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D55" s="48" t="str">
        <f aca="false">IF($AE55="","",IF($AE55&lt;=1200,IF(INDEX(对接源_01水果!$T$4:$T$1203,$AE55)=0,"",INDEX(对接源_01水果!$T$4:$T$1203,$AE55)),IF(INDEX(对接源_02物料!$T$4:$T$1203,$AE55-1200)=0,"",INDEX(对接源_02物料!$T$4:$T$1203,$AE55-1200))))</f>
        <v/>
      </c>
      <c r="E55" s="46" t="str">
        <f aca="false"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F55" s="46" t="str">
        <f aca="false">IF($AE55="","",IF($AE55&lt;=1200,"01水果册","02物料册"))</f>
        <v/>
      </c>
      <c r="G55" s="47" t="str">
        <f aca="false"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44" t="str">
        <f aca="false">IFERROR(MATCH(50,_自动清单!$Q$4:$Q$2403,0),"")</f>
        <v/>
      </c>
    </row>
    <row r="56" customFormat="false" ht="18" hidden="false" customHeight="true" outlineLevel="0" collapsed="false">
      <c r="A56" s="40" t="str">
        <f aca="false"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41" t="str">
        <f aca="false"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42" t="str">
        <f aca="false"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D56" s="43" t="str">
        <f aca="false">IF($AE56="","",IF($AE56&lt;=1200,IF(INDEX(对接源_01水果!$T$4:$T$1203,$AE56)=0,"",INDEX(对接源_01水果!$T$4:$T$1203,$AE56)),IF(INDEX(对接源_02物料!$T$4:$T$1203,$AE56-1200)=0,"",INDEX(对接源_02物料!$T$4:$T$1203,$AE56-1200))))</f>
        <v/>
      </c>
      <c r="E56" s="41" t="str">
        <f aca="false"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F56" s="41" t="str">
        <f aca="false">IF($AE56="","",IF($AE56&lt;=1200,"01水果册","02物料册"))</f>
        <v/>
      </c>
      <c r="G56" s="42" t="str">
        <f aca="false"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44" t="str">
        <f aca="false">IFERROR(MATCH(51,_自动清单!$Q$4:$Q$2403,0),"")</f>
        <v/>
      </c>
    </row>
    <row r="57" customFormat="false" ht="18" hidden="false" customHeight="true" outlineLevel="0" collapsed="false">
      <c r="A57" s="45" t="str">
        <f aca="false"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46" t="str">
        <f aca="false"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47" t="str">
        <f aca="false"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D57" s="48" t="str">
        <f aca="false">IF($AE57="","",IF($AE57&lt;=1200,IF(INDEX(对接源_01水果!$T$4:$T$1203,$AE57)=0,"",INDEX(对接源_01水果!$T$4:$T$1203,$AE57)),IF(INDEX(对接源_02物料!$T$4:$T$1203,$AE57-1200)=0,"",INDEX(对接源_02物料!$T$4:$T$1203,$AE57-1200))))</f>
        <v/>
      </c>
      <c r="E57" s="46" t="str">
        <f aca="false"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F57" s="46" t="str">
        <f aca="false">IF($AE57="","",IF($AE57&lt;=1200,"01水果册","02物料册"))</f>
        <v/>
      </c>
      <c r="G57" s="47" t="str">
        <f aca="false"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44" t="str">
        <f aca="false">IFERROR(MATCH(52,_自动清单!$Q$4:$Q$2403,0),"")</f>
        <v/>
      </c>
    </row>
    <row r="58" customFormat="false" ht="18" hidden="false" customHeight="true" outlineLevel="0" collapsed="false">
      <c r="A58" s="40" t="str">
        <f aca="false"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41" t="str">
        <f aca="false"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42" t="str">
        <f aca="false"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D58" s="43" t="str">
        <f aca="false">IF($AE58="","",IF($AE58&lt;=1200,IF(INDEX(对接源_01水果!$T$4:$T$1203,$AE58)=0,"",INDEX(对接源_01水果!$T$4:$T$1203,$AE58)),IF(INDEX(对接源_02物料!$T$4:$T$1203,$AE58-1200)=0,"",INDEX(对接源_02物料!$T$4:$T$1203,$AE58-1200))))</f>
        <v/>
      </c>
      <c r="E58" s="41" t="str">
        <f aca="false"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F58" s="41" t="str">
        <f aca="false">IF($AE58="","",IF($AE58&lt;=1200,"01水果册","02物料册"))</f>
        <v/>
      </c>
      <c r="G58" s="42" t="str">
        <f aca="false"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44" t="str">
        <f aca="false">IFERROR(MATCH(53,_自动清单!$Q$4:$Q$2403,0),"")</f>
        <v/>
      </c>
    </row>
    <row r="59" customFormat="false" ht="18" hidden="false" customHeight="true" outlineLevel="0" collapsed="false">
      <c r="A59" s="45" t="str">
        <f aca="false"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46" t="str">
        <f aca="false"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47" t="str">
        <f aca="false"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D59" s="48" t="str">
        <f aca="false">IF($AE59="","",IF($AE59&lt;=1200,IF(INDEX(对接源_01水果!$T$4:$T$1203,$AE59)=0,"",INDEX(对接源_01水果!$T$4:$T$1203,$AE59)),IF(INDEX(对接源_02物料!$T$4:$T$1203,$AE59-1200)=0,"",INDEX(对接源_02物料!$T$4:$T$1203,$AE59-1200))))</f>
        <v/>
      </c>
      <c r="E59" s="46" t="str">
        <f aca="false"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F59" s="46" t="str">
        <f aca="false">IF($AE59="","",IF($AE59&lt;=1200,"01水果册","02物料册"))</f>
        <v/>
      </c>
      <c r="G59" s="47" t="str">
        <f aca="false"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44" t="str">
        <f aca="false">IFERROR(MATCH(54,_自动清单!$Q$4:$Q$2403,0),"")</f>
        <v/>
      </c>
    </row>
    <row r="60" customFormat="false" ht="18" hidden="false" customHeight="true" outlineLevel="0" collapsed="false">
      <c r="A60" s="40" t="str">
        <f aca="false"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41" t="str">
        <f aca="false"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42" t="str">
        <f aca="false"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D60" s="43" t="str">
        <f aca="false">IF($AE60="","",IF($AE60&lt;=1200,IF(INDEX(对接源_01水果!$T$4:$T$1203,$AE60)=0,"",INDEX(对接源_01水果!$T$4:$T$1203,$AE60)),IF(INDEX(对接源_02物料!$T$4:$T$1203,$AE60-1200)=0,"",INDEX(对接源_02物料!$T$4:$T$1203,$AE60-1200))))</f>
        <v/>
      </c>
      <c r="E60" s="41" t="str">
        <f aca="false"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F60" s="41" t="str">
        <f aca="false">IF($AE60="","",IF($AE60&lt;=1200,"01水果册","02物料册"))</f>
        <v/>
      </c>
      <c r="G60" s="42" t="str">
        <f aca="false"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44" t="str">
        <f aca="false">IFERROR(MATCH(55,_自动清单!$Q$4:$Q$2403,0),"")</f>
        <v/>
      </c>
    </row>
    <row r="61" customFormat="false" ht="18" hidden="false" customHeight="true" outlineLevel="0" collapsed="false">
      <c r="A61" s="45" t="str">
        <f aca="false"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46" t="str">
        <f aca="false"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47" t="str">
        <f aca="false"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D61" s="48" t="str">
        <f aca="false">IF($AE61="","",IF($AE61&lt;=1200,IF(INDEX(对接源_01水果!$T$4:$T$1203,$AE61)=0,"",INDEX(对接源_01水果!$T$4:$T$1203,$AE61)),IF(INDEX(对接源_02物料!$T$4:$T$1203,$AE61-1200)=0,"",INDEX(对接源_02物料!$T$4:$T$1203,$AE61-1200))))</f>
        <v/>
      </c>
      <c r="E61" s="46" t="str">
        <f aca="false"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F61" s="46" t="str">
        <f aca="false">IF($AE61="","",IF($AE61&lt;=1200,"01水果册","02物料册"))</f>
        <v/>
      </c>
      <c r="G61" s="47" t="str">
        <f aca="false"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44" t="str">
        <f aca="false">IFERROR(MATCH(56,_自动清单!$Q$4:$Q$2403,0),"")</f>
        <v/>
      </c>
    </row>
    <row r="62" customFormat="false" ht="18" hidden="false" customHeight="true" outlineLevel="0" collapsed="false">
      <c r="A62" s="40" t="str">
        <f aca="false"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41" t="str">
        <f aca="false"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42" t="str">
        <f aca="false"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D62" s="43" t="str">
        <f aca="false">IF($AE62="","",IF($AE62&lt;=1200,IF(INDEX(对接源_01水果!$T$4:$T$1203,$AE62)=0,"",INDEX(对接源_01水果!$T$4:$T$1203,$AE62)),IF(INDEX(对接源_02物料!$T$4:$T$1203,$AE62-1200)=0,"",INDEX(对接源_02物料!$T$4:$T$1203,$AE62-1200))))</f>
        <v/>
      </c>
      <c r="E62" s="41" t="str">
        <f aca="false"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F62" s="41" t="str">
        <f aca="false">IF($AE62="","",IF($AE62&lt;=1200,"01水果册","02物料册"))</f>
        <v/>
      </c>
      <c r="G62" s="42" t="str">
        <f aca="false"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44" t="str">
        <f aca="false">IFERROR(MATCH(57,_自动清单!$Q$4:$Q$2403,0),"")</f>
        <v/>
      </c>
    </row>
    <row r="63" customFormat="false" ht="18" hidden="false" customHeight="true" outlineLevel="0" collapsed="false">
      <c r="A63" s="45" t="str">
        <f aca="false"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46" t="str">
        <f aca="false"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47" t="str">
        <f aca="false"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D63" s="48" t="str">
        <f aca="false">IF($AE63="","",IF($AE63&lt;=1200,IF(INDEX(对接源_01水果!$T$4:$T$1203,$AE63)=0,"",INDEX(对接源_01水果!$T$4:$T$1203,$AE63)),IF(INDEX(对接源_02物料!$T$4:$T$1203,$AE63-1200)=0,"",INDEX(对接源_02物料!$T$4:$T$1203,$AE63-1200))))</f>
        <v/>
      </c>
      <c r="E63" s="46" t="str">
        <f aca="false"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F63" s="46" t="str">
        <f aca="false">IF($AE63="","",IF($AE63&lt;=1200,"01水果册","02物料册"))</f>
        <v/>
      </c>
      <c r="G63" s="47" t="str">
        <f aca="false"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44" t="str">
        <f aca="false">IFERROR(MATCH(58,_自动清单!$Q$4:$Q$2403,0),"")</f>
        <v/>
      </c>
    </row>
    <row r="64" customFormat="false" ht="18" hidden="false" customHeight="true" outlineLevel="0" collapsed="false">
      <c r="A64" s="40" t="str">
        <f aca="false"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41" t="str">
        <f aca="false"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42" t="str">
        <f aca="false"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D64" s="43" t="str">
        <f aca="false">IF($AE64="","",IF($AE64&lt;=1200,IF(INDEX(对接源_01水果!$T$4:$T$1203,$AE64)=0,"",INDEX(对接源_01水果!$T$4:$T$1203,$AE64)),IF(INDEX(对接源_02物料!$T$4:$T$1203,$AE64-1200)=0,"",INDEX(对接源_02物料!$T$4:$T$1203,$AE64-1200))))</f>
        <v/>
      </c>
      <c r="E64" s="41" t="str">
        <f aca="false"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F64" s="41" t="str">
        <f aca="false">IF($AE64="","",IF($AE64&lt;=1200,"01水果册","02物料册"))</f>
        <v/>
      </c>
      <c r="G64" s="42" t="str">
        <f aca="false"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44" t="str">
        <f aca="false">IFERROR(MATCH(59,_自动清单!$Q$4:$Q$2403,0),"")</f>
        <v/>
      </c>
    </row>
    <row r="65" customFormat="false" ht="18" hidden="false" customHeight="true" outlineLevel="0" collapsed="false">
      <c r="A65" s="45" t="str">
        <f aca="false"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46" t="str">
        <f aca="false"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47" t="str">
        <f aca="false"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D65" s="48" t="str">
        <f aca="false">IF($AE65="","",IF($AE65&lt;=1200,IF(INDEX(对接源_01水果!$T$4:$T$1203,$AE65)=0,"",INDEX(对接源_01水果!$T$4:$T$1203,$AE65)),IF(INDEX(对接源_02物料!$T$4:$T$1203,$AE65-1200)=0,"",INDEX(对接源_02物料!$T$4:$T$1203,$AE65-1200))))</f>
        <v/>
      </c>
      <c r="E65" s="46" t="str">
        <f aca="false"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F65" s="46" t="str">
        <f aca="false">IF($AE65="","",IF($AE65&lt;=1200,"01水果册","02物料册"))</f>
        <v/>
      </c>
      <c r="G65" s="47" t="str">
        <f aca="false"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44" t="str">
        <f aca="false">IFERROR(MATCH(60,_自动清单!$Q$4:$Q$2403,0),"")</f>
        <v/>
      </c>
    </row>
    <row r="66" customFormat="false" ht="18" hidden="false" customHeight="true" outlineLevel="0" collapsed="false">
      <c r="A66" s="40" t="str">
        <f aca="false"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41" t="str">
        <f aca="false"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42" t="str">
        <f aca="false"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D66" s="43" t="str">
        <f aca="false">IF($AE66="","",IF($AE66&lt;=1200,IF(INDEX(对接源_01水果!$T$4:$T$1203,$AE66)=0,"",INDEX(对接源_01水果!$T$4:$T$1203,$AE66)),IF(INDEX(对接源_02物料!$T$4:$T$1203,$AE66-1200)=0,"",INDEX(对接源_02物料!$T$4:$T$1203,$AE66-1200))))</f>
        <v/>
      </c>
      <c r="E66" s="41" t="str">
        <f aca="false"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F66" s="41" t="str">
        <f aca="false">IF($AE66="","",IF($AE66&lt;=1200,"01水果册","02物料册"))</f>
        <v/>
      </c>
      <c r="G66" s="42" t="str">
        <f aca="false"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44" t="str">
        <f aca="false">IFERROR(MATCH(61,_自动清单!$Q$4:$Q$2403,0),"")</f>
        <v/>
      </c>
    </row>
    <row r="67" customFormat="false" ht="18" hidden="false" customHeight="true" outlineLevel="0" collapsed="false">
      <c r="A67" s="45" t="str">
        <f aca="false"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46" t="str">
        <f aca="false"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47" t="str">
        <f aca="false"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D67" s="48" t="str">
        <f aca="false">IF($AE67="","",IF($AE67&lt;=1200,IF(INDEX(对接源_01水果!$T$4:$T$1203,$AE67)=0,"",INDEX(对接源_01水果!$T$4:$T$1203,$AE67)),IF(INDEX(对接源_02物料!$T$4:$T$1203,$AE67-1200)=0,"",INDEX(对接源_02物料!$T$4:$T$1203,$AE67-1200))))</f>
        <v/>
      </c>
      <c r="E67" s="46" t="str">
        <f aca="false"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F67" s="46" t="str">
        <f aca="false">IF($AE67="","",IF($AE67&lt;=1200,"01水果册","02物料册"))</f>
        <v/>
      </c>
      <c r="G67" s="47" t="str">
        <f aca="false"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44" t="str">
        <f aca="false">IFERROR(MATCH(62,_自动清单!$Q$4:$Q$2403,0),"")</f>
        <v/>
      </c>
    </row>
    <row r="68" customFormat="false" ht="18" hidden="false" customHeight="true" outlineLevel="0" collapsed="false">
      <c r="A68" s="40" t="str">
        <f aca="false"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41" t="str">
        <f aca="false"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42" t="str">
        <f aca="false"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D68" s="43" t="str">
        <f aca="false">IF($AE68="","",IF($AE68&lt;=1200,IF(INDEX(对接源_01水果!$T$4:$T$1203,$AE68)=0,"",INDEX(对接源_01水果!$T$4:$T$1203,$AE68)),IF(INDEX(对接源_02物料!$T$4:$T$1203,$AE68-1200)=0,"",INDEX(对接源_02物料!$T$4:$T$1203,$AE68-1200))))</f>
        <v/>
      </c>
      <c r="E68" s="41" t="str">
        <f aca="false"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F68" s="41" t="str">
        <f aca="false">IF($AE68="","",IF($AE68&lt;=1200,"01水果册","02物料册"))</f>
        <v/>
      </c>
      <c r="G68" s="42" t="str">
        <f aca="false"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44" t="str">
        <f aca="false">IFERROR(MATCH(63,_自动清单!$Q$4:$Q$2403,0),"")</f>
        <v/>
      </c>
    </row>
    <row r="69" customFormat="false" ht="18" hidden="false" customHeight="true" outlineLevel="0" collapsed="false">
      <c r="A69" s="45" t="str">
        <f aca="false"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46" t="str">
        <f aca="false"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47" t="str">
        <f aca="false"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D69" s="48" t="str">
        <f aca="false">IF($AE69="","",IF($AE69&lt;=1200,IF(INDEX(对接源_01水果!$T$4:$T$1203,$AE69)=0,"",INDEX(对接源_01水果!$T$4:$T$1203,$AE69)),IF(INDEX(对接源_02物料!$T$4:$T$1203,$AE69-1200)=0,"",INDEX(对接源_02物料!$T$4:$T$1203,$AE69-1200))))</f>
        <v/>
      </c>
      <c r="E69" s="46" t="str">
        <f aca="false"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F69" s="46" t="str">
        <f aca="false">IF($AE69="","",IF($AE69&lt;=1200,"01水果册","02物料册"))</f>
        <v/>
      </c>
      <c r="G69" s="47" t="str">
        <f aca="false"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44" t="str">
        <f aca="false">IFERROR(MATCH(64,_自动清单!$Q$4:$Q$2403,0),"")</f>
        <v/>
      </c>
    </row>
    <row r="70" customFormat="false" ht="18" hidden="false" customHeight="true" outlineLevel="0" collapsed="false">
      <c r="A70" s="40" t="str">
        <f aca="false"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41" t="str">
        <f aca="false"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42" t="str">
        <f aca="false"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D70" s="43" t="str">
        <f aca="false">IF($AE70="","",IF($AE70&lt;=1200,IF(INDEX(对接源_01水果!$T$4:$T$1203,$AE70)=0,"",INDEX(对接源_01水果!$T$4:$T$1203,$AE70)),IF(INDEX(对接源_02物料!$T$4:$T$1203,$AE70-1200)=0,"",INDEX(对接源_02物料!$T$4:$T$1203,$AE70-1200))))</f>
        <v/>
      </c>
      <c r="E70" s="41" t="str">
        <f aca="false"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F70" s="41" t="str">
        <f aca="false">IF($AE70="","",IF($AE70&lt;=1200,"01水果册","02物料册"))</f>
        <v/>
      </c>
      <c r="G70" s="42" t="str">
        <f aca="false"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44" t="str">
        <f aca="false">IFERROR(MATCH(65,_自动清单!$Q$4:$Q$2403,0),"")</f>
        <v/>
      </c>
    </row>
    <row r="71" customFormat="false" ht="18" hidden="false" customHeight="true" outlineLevel="0" collapsed="false">
      <c r="A71" s="45" t="str">
        <f aca="false"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46" t="str">
        <f aca="false"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47" t="str">
        <f aca="false"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D71" s="48" t="str">
        <f aca="false">IF($AE71="","",IF($AE71&lt;=1200,IF(INDEX(对接源_01水果!$T$4:$T$1203,$AE71)=0,"",INDEX(对接源_01水果!$T$4:$T$1203,$AE71)),IF(INDEX(对接源_02物料!$T$4:$T$1203,$AE71-1200)=0,"",INDEX(对接源_02物料!$T$4:$T$1203,$AE71-1200))))</f>
        <v/>
      </c>
      <c r="E71" s="46" t="str">
        <f aca="false"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F71" s="46" t="str">
        <f aca="false">IF($AE71="","",IF($AE71&lt;=1200,"01水果册","02物料册"))</f>
        <v/>
      </c>
      <c r="G71" s="47" t="str">
        <f aca="false"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44" t="str">
        <f aca="false">IFERROR(MATCH(66,_自动清单!$Q$4:$Q$2403,0),"")</f>
        <v/>
      </c>
    </row>
    <row r="72" customFormat="false" ht="18" hidden="false" customHeight="true" outlineLevel="0" collapsed="false">
      <c r="A72" s="40" t="str">
        <f aca="false"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41" t="str">
        <f aca="false"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42" t="str">
        <f aca="false"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D72" s="43" t="str">
        <f aca="false">IF($AE72="","",IF($AE72&lt;=1200,IF(INDEX(对接源_01水果!$T$4:$T$1203,$AE72)=0,"",INDEX(对接源_01水果!$T$4:$T$1203,$AE72)),IF(INDEX(对接源_02物料!$T$4:$T$1203,$AE72-1200)=0,"",INDEX(对接源_02物料!$T$4:$T$1203,$AE72-1200))))</f>
        <v/>
      </c>
      <c r="E72" s="41" t="str">
        <f aca="false"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F72" s="41" t="str">
        <f aca="false">IF($AE72="","",IF($AE72&lt;=1200,"01水果册","02物料册"))</f>
        <v/>
      </c>
      <c r="G72" s="42" t="str">
        <f aca="false"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44" t="str">
        <f aca="false">IFERROR(MATCH(67,_自动清单!$Q$4:$Q$2403,0),"")</f>
        <v/>
      </c>
    </row>
    <row r="73" customFormat="false" ht="18" hidden="false" customHeight="true" outlineLevel="0" collapsed="false">
      <c r="A73" s="45" t="str">
        <f aca="false"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46" t="str">
        <f aca="false"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47" t="str">
        <f aca="false"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D73" s="48" t="str">
        <f aca="false">IF($AE73="","",IF($AE73&lt;=1200,IF(INDEX(对接源_01水果!$T$4:$T$1203,$AE73)=0,"",INDEX(对接源_01水果!$T$4:$T$1203,$AE73)),IF(INDEX(对接源_02物料!$T$4:$T$1203,$AE73-1200)=0,"",INDEX(对接源_02物料!$T$4:$T$1203,$AE73-1200))))</f>
        <v/>
      </c>
      <c r="E73" s="46" t="str">
        <f aca="false"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F73" s="46" t="str">
        <f aca="false">IF($AE73="","",IF($AE73&lt;=1200,"01水果册","02物料册"))</f>
        <v/>
      </c>
      <c r="G73" s="47" t="str">
        <f aca="false"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44" t="str">
        <f aca="false">IFERROR(MATCH(68,_自动清单!$Q$4:$Q$2403,0),"")</f>
        <v/>
      </c>
    </row>
    <row r="74" customFormat="false" ht="18" hidden="false" customHeight="true" outlineLevel="0" collapsed="false">
      <c r="A74" s="40" t="str">
        <f aca="false"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41" t="str">
        <f aca="false"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42" t="str">
        <f aca="false"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D74" s="43" t="str">
        <f aca="false">IF($AE74="","",IF($AE74&lt;=1200,IF(INDEX(对接源_01水果!$T$4:$T$1203,$AE74)=0,"",INDEX(对接源_01水果!$T$4:$T$1203,$AE74)),IF(INDEX(对接源_02物料!$T$4:$T$1203,$AE74-1200)=0,"",INDEX(对接源_02物料!$T$4:$T$1203,$AE74-1200))))</f>
        <v/>
      </c>
      <c r="E74" s="41" t="str">
        <f aca="false"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F74" s="41" t="str">
        <f aca="false">IF($AE74="","",IF($AE74&lt;=1200,"01水果册","02物料册"))</f>
        <v/>
      </c>
      <c r="G74" s="42" t="str">
        <f aca="false"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44" t="str">
        <f aca="false">IFERROR(MATCH(69,_自动清单!$Q$4:$Q$2403,0),"")</f>
        <v/>
      </c>
    </row>
    <row r="75" customFormat="false" ht="18" hidden="false" customHeight="true" outlineLevel="0" collapsed="false">
      <c r="A75" s="45" t="str">
        <f aca="false"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46" t="str">
        <f aca="false"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47" t="str">
        <f aca="false"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D75" s="48" t="str">
        <f aca="false">IF($AE75="","",IF($AE75&lt;=1200,IF(INDEX(对接源_01水果!$T$4:$T$1203,$AE75)=0,"",INDEX(对接源_01水果!$T$4:$T$1203,$AE75)),IF(INDEX(对接源_02物料!$T$4:$T$1203,$AE75-1200)=0,"",INDEX(对接源_02物料!$T$4:$T$1203,$AE75-1200))))</f>
        <v/>
      </c>
      <c r="E75" s="46" t="str">
        <f aca="false"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F75" s="46" t="str">
        <f aca="false">IF($AE75="","",IF($AE75&lt;=1200,"01水果册","02物料册"))</f>
        <v/>
      </c>
      <c r="G75" s="47" t="str">
        <f aca="false"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44" t="str">
        <f aca="false">IFERROR(MATCH(70,_自动清单!$Q$4:$Q$2403,0),"")</f>
        <v/>
      </c>
    </row>
    <row r="76" customFormat="false" ht="18" hidden="false" customHeight="true" outlineLevel="0" collapsed="false">
      <c r="A76" s="40" t="str">
        <f aca="false"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41" t="str">
        <f aca="false"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42" t="str">
        <f aca="false"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D76" s="43" t="str">
        <f aca="false">IF($AE76="","",IF($AE76&lt;=1200,IF(INDEX(对接源_01水果!$T$4:$T$1203,$AE76)=0,"",INDEX(对接源_01水果!$T$4:$T$1203,$AE76)),IF(INDEX(对接源_02物料!$T$4:$T$1203,$AE76-1200)=0,"",INDEX(对接源_02物料!$T$4:$T$1203,$AE76-1200))))</f>
        <v/>
      </c>
      <c r="E76" s="41" t="str">
        <f aca="false"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F76" s="41" t="str">
        <f aca="false">IF($AE76="","",IF($AE76&lt;=1200,"01水果册","02物料册"))</f>
        <v/>
      </c>
      <c r="G76" s="42" t="str">
        <f aca="false"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44" t="str">
        <f aca="false">IFERROR(MATCH(71,_自动清单!$Q$4:$Q$2403,0),"")</f>
        <v/>
      </c>
    </row>
    <row r="77" customFormat="false" ht="18" hidden="false" customHeight="true" outlineLevel="0" collapsed="false">
      <c r="A77" s="45" t="str">
        <f aca="false"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46" t="str">
        <f aca="false"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47" t="str">
        <f aca="false"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D77" s="48" t="str">
        <f aca="false">IF($AE77="","",IF($AE77&lt;=1200,IF(INDEX(对接源_01水果!$T$4:$T$1203,$AE77)=0,"",INDEX(对接源_01水果!$T$4:$T$1203,$AE77)),IF(INDEX(对接源_02物料!$T$4:$T$1203,$AE77-1200)=0,"",INDEX(对接源_02物料!$T$4:$T$1203,$AE77-1200))))</f>
        <v/>
      </c>
      <c r="E77" s="46" t="str">
        <f aca="false"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F77" s="46" t="str">
        <f aca="false">IF($AE77="","",IF($AE77&lt;=1200,"01水果册","02物料册"))</f>
        <v/>
      </c>
      <c r="G77" s="47" t="str">
        <f aca="false"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44" t="str">
        <f aca="false">IFERROR(MATCH(72,_自动清单!$Q$4:$Q$2403,0),"")</f>
        <v/>
      </c>
    </row>
    <row r="78" customFormat="false" ht="18" hidden="false" customHeight="true" outlineLevel="0" collapsed="false">
      <c r="A78" s="40" t="str">
        <f aca="false"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41" t="str">
        <f aca="false"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42" t="str">
        <f aca="false"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D78" s="43" t="str">
        <f aca="false">IF($AE78="","",IF($AE78&lt;=1200,IF(INDEX(对接源_01水果!$T$4:$T$1203,$AE78)=0,"",INDEX(对接源_01水果!$T$4:$T$1203,$AE78)),IF(INDEX(对接源_02物料!$T$4:$T$1203,$AE78-1200)=0,"",INDEX(对接源_02物料!$T$4:$T$1203,$AE78-1200))))</f>
        <v/>
      </c>
      <c r="E78" s="41" t="str">
        <f aca="false"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F78" s="41" t="str">
        <f aca="false">IF($AE78="","",IF($AE78&lt;=1200,"01水果册","02物料册"))</f>
        <v/>
      </c>
      <c r="G78" s="42" t="str">
        <f aca="false"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44" t="str">
        <f aca="false">IFERROR(MATCH(73,_自动清单!$Q$4:$Q$2403,0),"")</f>
        <v/>
      </c>
    </row>
    <row r="79" customFormat="false" ht="18" hidden="false" customHeight="true" outlineLevel="0" collapsed="false">
      <c r="A79" s="45" t="str">
        <f aca="false"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46" t="str">
        <f aca="false"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47" t="str">
        <f aca="false"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D79" s="48" t="str">
        <f aca="false">IF($AE79="","",IF($AE79&lt;=1200,IF(INDEX(对接源_01水果!$T$4:$T$1203,$AE79)=0,"",INDEX(对接源_01水果!$T$4:$T$1203,$AE79)),IF(INDEX(对接源_02物料!$T$4:$T$1203,$AE79-1200)=0,"",INDEX(对接源_02物料!$T$4:$T$1203,$AE79-1200))))</f>
        <v/>
      </c>
      <c r="E79" s="46" t="str">
        <f aca="false"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F79" s="46" t="str">
        <f aca="false">IF($AE79="","",IF($AE79&lt;=1200,"01水果册","02物料册"))</f>
        <v/>
      </c>
      <c r="G79" s="47" t="str">
        <f aca="false"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44" t="str">
        <f aca="false">IFERROR(MATCH(74,_自动清单!$Q$4:$Q$2403,0),"")</f>
        <v/>
      </c>
    </row>
    <row r="80" customFormat="false" ht="18" hidden="false" customHeight="true" outlineLevel="0" collapsed="false">
      <c r="A80" s="40" t="str">
        <f aca="false"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41" t="str">
        <f aca="false"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42" t="str">
        <f aca="false"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D80" s="43" t="str">
        <f aca="false">IF($AE80="","",IF($AE80&lt;=1200,IF(INDEX(对接源_01水果!$T$4:$T$1203,$AE80)=0,"",INDEX(对接源_01水果!$T$4:$T$1203,$AE80)),IF(INDEX(对接源_02物料!$T$4:$T$1203,$AE80-1200)=0,"",INDEX(对接源_02物料!$T$4:$T$1203,$AE80-1200))))</f>
        <v/>
      </c>
      <c r="E80" s="41" t="str">
        <f aca="false"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F80" s="41" t="str">
        <f aca="false">IF($AE80="","",IF($AE80&lt;=1200,"01水果册","02物料册"))</f>
        <v/>
      </c>
      <c r="G80" s="42" t="str">
        <f aca="false"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44" t="str">
        <f aca="false">IFERROR(MATCH(75,_自动清单!$Q$4:$Q$2403,0),"")</f>
        <v/>
      </c>
    </row>
    <row r="81" customFormat="false" ht="18" hidden="false" customHeight="true" outlineLevel="0" collapsed="false">
      <c r="A81" s="45" t="str">
        <f aca="false"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46" t="str">
        <f aca="false"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47" t="str">
        <f aca="false"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D81" s="48" t="str">
        <f aca="false">IF($AE81="","",IF($AE81&lt;=1200,IF(INDEX(对接源_01水果!$T$4:$T$1203,$AE81)=0,"",INDEX(对接源_01水果!$T$4:$T$1203,$AE81)),IF(INDEX(对接源_02物料!$T$4:$T$1203,$AE81-1200)=0,"",INDEX(对接源_02物料!$T$4:$T$1203,$AE81-1200))))</f>
        <v/>
      </c>
      <c r="E81" s="46" t="str">
        <f aca="false"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F81" s="46" t="str">
        <f aca="false">IF($AE81="","",IF($AE81&lt;=1200,"01水果册","02物料册"))</f>
        <v/>
      </c>
      <c r="G81" s="47" t="str">
        <f aca="false"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44" t="str">
        <f aca="false">IFERROR(MATCH(76,_自动清单!$Q$4:$Q$2403,0),"")</f>
        <v/>
      </c>
    </row>
    <row r="82" customFormat="false" ht="18" hidden="false" customHeight="true" outlineLevel="0" collapsed="false">
      <c r="A82" s="40" t="str">
        <f aca="false"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41" t="str">
        <f aca="false"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42" t="str">
        <f aca="false"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D82" s="43" t="str">
        <f aca="false">IF($AE82="","",IF($AE82&lt;=1200,IF(INDEX(对接源_01水果!$T$4:$T$1203,$AE82)=0,"",INDEX(对接源_01水果!$T$4:$T$1203,$AE82)),IF(INDEX(对接源_02物料!$T$4:$T$1203,$AE82-1200)=0,"",INDEX(对接源_02物料!$T$4:$T$1203,$AE82-1200))))</f>
        <v/>
      </c>
      <c r="E82" s="41" t="str">
        <f aca="false"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F82" s="41" t="str">
        <f aca="false">IF($AE82="","",IF($AE82&lt;=1200,"01水果册","02物料册"))</f>
        <v/>
      </c>
      <c r="G82" s="42" t="str">
        <f aca="false"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44" t="str">
        <f aca="false">IFERROR(MATCH(77,_自动清单!$Q$4:$Q$2403,0),"")</f>
        <v/>
      </c>
    </row>
    <row r="83" customFormat="false" ht="18" hidden="false" customHeight="true" outlineLevel="0" collapsed="false">
      <c r="A83" s="45" t="str">
        <f aca="false"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46" t="str">
        <f aca="false"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47" t="str">
        <f aca="false"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D83" s="48" t="str">
        <f aca="false">IF($AE83="","",IF($AE83&lt;=1200,IF(INDEX(对接源_01水果!$T$4:$T$1203,$AE83)=0,"",INDEX(对接源_01水果!$T$4:$T$1203,$AE83)),IF(INDEX(对接源_02物料!$T$4:$T$1203,$AE83-1200)=0,"",INDEX(对接源_02物料!$T$4:$T$1203,$AE83-1200))))</f>
        <v/>
      </c>
      <c r="E83" s="46" t="str">
        <f aca="false"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F83" s="46" t="str">
        <f aca="false">IF($AE83="","",IF($AE83&lt;=1200,"01水果册","02物料册"))</f>
        <v/>
      </c>
      <c r="G83" s="47" t="str">
        <f aca="false"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44" t="str">
        <f aca="false">IFERROR(MATCH(78,_自动清单!$Q$4:$Q$2403,0),"")</f>
        <v/>
      </c>
    </row>
    <row r="84" customFormat="false" ht="18" hidden="false" customHeight="true" outlineLevel="0" collapsed="false">
      <c r="A84" s="40" t="str">
        <f aca="false"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41" t="str">
        <f aca="false"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42" t="str">
        <f aca="false"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D84" s="43" t="str">
        <f aca="false">IF($AE84="","",IF($AE84&lt;=1200,IF(INDEX(对接源_01水果!$T$4:$T$1203,$AE84)=0,"",INDEX(对接源_01水果!$T$4:$T$1203,$AE84)),IF(INDEX(对接源_02物料!$T$4:$T$1203,$AE84-1200)=0,"",INDEX(对接源_02物料!$T$4:$T$1203,$AE84-1200))))</f>
        <v/>
      </c>
      <c r="E84" s="41" t="str">
        <f aca="false"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F84" s="41" t="str">
        <f aca="false">IF($AE84="","",IF($AE84&lt;=1200,"01水果册","02物料册"))</f>
        <v/>
      </c>
      <c r="G84" s="42" t="str">
        <f aca="false"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44" t="str">
        <f aca="false">IFERROR(MATCH(79,_自动清单!$Q$4:$Q$2403,0),"")</f>
        <v/>
      </c>
    </row>
    <row r="85" customFormat="false" ht="18" hidden="false" customHeight="true" outlineLevel="0" collapsed="false">
      <c r="A85" s="45" t="str">
        <f aca="false"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46" t="str">
        <f aca="false"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47" t="str">
        <f aca="false"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D85" s="48" t="str">
        <f aca="false">IF($AE85="","",IF($AE85&lt;=1200,IF(INDEX(对接源_01水果!$T$4:$T$1203,$AE85)=0,"",INDEX(对接源_01水果!$T$4:$T$1203,$AE85)),IF(INDEX(对接源_02物料!$T$4:$T$1203,$AE85-1200)=0,"",INDEX(对接源_02物料!$T$4:$T$1203,$AE85-1200))))</f>
        <v/>
      </c>
      <c r="E85" s="46" t="str">
        <f aca="false"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F85" s="46" t="str">
        <f aca="false">IF($AE85="","",IF($AE85&lt;=1200,"01水果册","02物料册"))</f>
        <v/>
      </c>
      <c r="G85" s="47" t="str">
        <f aca="false"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44" t="str">
        <f aca="false">IFERROR(MATCH(80,_自动清单!$Q$4:$Q$2403,0),"")</f>
        <v/>
      </c>
    </row>
    <row r="86" customFormat="false" ht="18" hidden="false" customHeight="true" outlineLevel="0" collapsed="false">
      <c r="A86" s="40" t="str">
        <f aca="false"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41" t="str">
        <f aca="false"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42" t="str">
        <f aca="false"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D86" s="43" t="str">
        <f aca="false">IF($AE86="","",IF($AE86&lt;=1200,IF(INDEX(对接源_01水果!$T$4:$T$1203,$AE86)=0,"",INDEX(对接源_01水果!$T$4:$T$1203,$AE86)),IF(INDEX(对接源_02物料!$T$4:$T$1203,$AE86-1200)=0,"",INDEX(对接源_02物料!$T$4:$T$1203,$AE86-1200))))</f>
        <v/>
      </c>
      <c r="E86" s="41" t="str">
        <f aca="false"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F86" s="41" t="str">
        <f aca="false">IF($AE86="","",IF($AE86&lt;=1200,"01水果册","02物料册"))</f>
        <v/>
      </c>
      <c r="G86" s="42" t="str">
        <f aca="false"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44" t="str">
        <f aca="false">IFERROR(MATCH(81,_自动清单!$Q$4:$Q$2403,0),"")</f>
        <v/>
      </c>
    </row>
    <row r="87" customFormat="false" ht="18" hidden="false" customHeight="true" outlineLevel="0" collapsed="false">
      <c r="A87" s="45" t="str">
        <f aca="false"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46" t="str">
        <f aca="false"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47" t="str">
        <f aca="false"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D87" s="48" t="str">
        <f aca="false">IF($AE87="","",IF($AE87&lt;=1200,IF(INDEX(对接源_01水果!$T$4:$T$1203,$AE87)=0,"",INDEX(对接源_01水果!$T$4:$T$1203,$AE87)),IF(INDEX(对接源_02物料!$T$4:$T$1203,$AE87-1200)=0,"",INDEX(对接源_02物料!$T$4:$T$1203,$AE87-1200))))</f>
        <v/>
      </c>
      <c r="E87" s="46" t="str">
        <f aca="false"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F87" s="46" t="str">
        <f aca="false">IF($AE87="","",IF($AE87&lt;=1200,"01水果册","02物料册"))</f>
        <v/>
      </c>
      <c r="G87" s="47" t="str">
        <f aca="false"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44" t="str">
        <f aca="false">IFERROR(MATCH(82,_自动清单!$Q$4:$Q$2403,0),"")</f>
        <v/>
      </c>
    </row>
    <row r="88" customFormat="false" ht="18" hidden="false" customHeight="true" outlineLevel="0" collapsed="false">
      <c r="A88" s="40" t="str">
        <f aca="false"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41" t="str">
        <f aca="false"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42" t="str">
        <f aca="false"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D88" s="43" t="str">
        <f aca="false">IF($AE88="","",IF($AE88&lt;=1200,IF(INDEX(对接源_01水果!$T$4:$T$1203,$AE88)=0,"",INDEX(对接源_01水果!$T$4:$T$1203,$AE88)),IF(INDEX(对接源_02物料!$T$4:$T$1203,$AE88-1200)=0,"",INDEX(对接源_02物料!$T$4:$T$1203,$AE88-1200))))</f>
        <v/>
      </c>
      <c r="E88" s="41" t="str">
        <f aca="false"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F88" s="41" t="str">
        <f aca="false">IF($AE88="","",IF($AE88&lt;=1200,"01水果册","02物料册"))</f>
        <v/>
      </c>
      <c r="G88" s="42" t="str">
        <f aca="false"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44" t="str">
        <f aca="false">IFERROR(MATCH(83,_自动清单!$Q$4:$Q$2403,0),"")</f>
        <v/>
      </c>
    </row>
    <row r="89" customFormat="false" ht="18" hidden="false" customHeight="true" outlineLevel="0" collapsed="false">
      <c r="A89" s="45" t="str">
        <f aca="false"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46" t="str">
        <f aca="false"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47" t="str">
        <f aca="false"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D89" s="48" t="str">
        <f aca="false">IF($AE89="","",IF($AE89&lt;=1200,IF(INDEX(对接源_01水果!$T$4:$T$1203,$AE89)=0,"",INDEX(对接源_01水果!$T$4:$T$1203,$AE89)),IF(INDEX(对接源_02物料!$T$4:$T$1203,$AE89-1200)=0,"",INDEX(对接源_02物料!$T$4:$T$1203,$AE89-1200))))</f>
        <v/>
      </c>
      <c r="E89" s="46" t="str">
        <f aca="false"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F89" s="46" t="str">
        <f aca="false">IF($AE89="","",IF($AE89&lt;=1200,"01水果册","02物料册"))</f>
        <v/>
      </c>
      <c r="G89" s="47" t="str">
        <f aca="false"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44" t="str">
        <f aca="false">IFERROR(MATCH(84,_自动清单!$Q$4:$Q$2403,0),"")</f>
        <v/>
      </c>
    </row>
    <row r="90" customFormat="false" ht="18" hidden="false" customHeight="true" outlineLevel="0" collapsed="false">
      <c r="A90" s="40" t="str">
        <f aca="false"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41" t="str">
        <f aca="false"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42" t="str">
        <f aca="false"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D90" s="43" t="str">
        <f aca="false">IF($AE90="","",IF($AE90&lt;=1200,IF(INDEX(对接源_01水果!$T$4:$T$1203,$AE90)=0,"",INDEX(对接源_01水果!$T$4:$T$1203,$AE90)),IF(INDEX(对接源_02物料!$T$4:$T$1203,$AE90-1200)=0,"",INDEX(对接源_02物料!$T$4:$T$1203,$AE90-1200))))</f>
        <v/>
      </c>
      <c r="E90" s="41" t="str">
        <f aca="false"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F90" s="41" t="str">
        <f aca="false">IF($AE90="","",IF($AE90&lt;=1200,"01水果册","02物料册"))</f>
        <v/>
      </c>
      <c r="G90" s="42" t="str">
        <f aca="false"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44" t="str">
        <f aca="false">IFERROR(MATCH(85,_自动清单!$Q$4:$Q$2403,0),"")</f>
        <v/>
      </c>
    </row>
    <row r="91" customFormat="false" ht="18" hidden="false" customHeight="true" outlineLevel="0" collapsed="false">
      <c r="A91" s="45" t="str">
        <f aca="false"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46" t="str">
        <f aca="false"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47" t="str">
        <f aca="false"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D91" s="48" t="str">
        <f aca="false">IF($AE91="","",IF($AE91&lt;=1200,IF(INDEX(对接源_01水果!$T$4:$T$1203,$AE91)=0,"",INDEX(对接源_01水果!$T$4:$T$1203,$AE91)),IF(INDEX(对接源_02物料!$T$4:$T$1203,$AE91-1200)=0,"",INDEX(对接源_02物料!$T$4:$T$1203,$AE91-1200))))</f>
        <v/>
      </c>
      <c r="E91" s="46" t="str">
        <f aca="false"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F91" s="46" t="str">
        <f aca="false">IF($AE91="","",IF($AE91&lt;=1200,"01水果册","02物料册"))</f>
        <v/>
      </c>
      <c r="G91" s="47" t="str">
        <f aca="false"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44" t="str">
        <f aca="false">IFERROR(MATCH(86,_自动清单!$Q$4:$Q$2403,0),"")</f>
        <v/>
      </c>
    </row>
    <row r="92" customFormat="false" ht="18" hidden="false" customHeight="true" outlineLevel="0" collapsed="false">
      <c r="A92" s="40" t="str">
        <f aca="false"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41" t="str">
        <f aca="false"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42" t="str">
        <f aca="false"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D92" s="43" t="str">
        <f aca="false">IF($AE92="","",IF($AE92&lt;=1200,IF(INDEX(对接源_01水果!$T$4:$T$1203,$AE92)=0,"",INDEX(对接源_01水果!$T$4:$T$1203,$AE92)),IF(INDEX(对接源_02物料!$T$4:$T$1203,$AE92-1200)=0,"",INDEX(对接源_02物料!$T$4:$T$1203,$AE92-1200))))</f>
        <v/>
      </c>
      <c r="E92" s="41" t="str">
        <f aca="false"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F92" s="41" t="str">
        <f aca="false">IF($AE92="","",IF($AE92&lt;=1200,"01水果册","02物料册"))</f>
        <v/>
      </c>
      <c r="G92" s="42" t="str">
        <f aca="false"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44" t="str">
        <f aca="false">IFERROR(MATCH(87,_自动清单!$Q$4:$Q$2403,0),"")</f>
        <v/>
      </c>
    </row>
    <row r="93" customFormat="false" ht="18" hidden="false" customHeight="true" outlineLevel="0" collapsed="false">
      <c r="A93" s="45" t="str">
        <f aca="false"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46" t="str">
        <f aca="false"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47" t="str">
        <f aca="false"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D93" s="48" t="str">
        <f aca="false">IF($AE93="","",IF($AE93&lt;=1200,IF(INDEX(对接源_01水果!$T$4:$T$1203,$AE93)=0,"",INDEX(对接源_01水果!$T$4:$T$1203,$AE93)),IF(INDEX(对接源_02物料!$T$4:$T$1203,$AE93-1200)=0,"",INDEX(对接源_02物料!$T$4:$T$1203,$AE93-1200))))</f>
        <v/>
      </c>
      <c r="E93" s="46" t="str">
        <f aca="false"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F93" s="46" t="str">
        <f aca="false">IF($AE93="","",IF($AE93&lt;=1200,"01水果册","02物料册"))</f>
        <v/>
      </c>
      <c r="G93" s="47" t="str">
        <f aca="false"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44" t="str">
        <f aca="false">IFERROR(MATCH(88,_自动清单!$Q$4:$Q$2403,0),"")</f>
        <v/>
      </c>
    </row>
    <row r="94" customFormat="false" ht="18" hidden="false" customHeight="true" outlineLevel="0" collapsed="false">
      <c r="A94" s="40" t="str">
        <f aca="false"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41" t="str">
        <f aca="false"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42" t="str">
        <f aca="false"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D94" s="43" t="str">
        <f aca="false">IF($AE94="","",IF($AE94&lt;=1200,IF(INDEX(对接源_01水果!$T$4:$T$1203,$AE94)=0,"",INDEX(对接源_01水果!$T$4:$T$1203,$AE94)),IF(INDEX(对接源_02物料!$T$4:$T$1203,$AE94-1200)=0,"",INDEX(对接源_02物料!$T$4:$T$1203,$AE94-1200))))</f>
        <v/>
      </c>
      <c r="E94" s="41" t="str">
        <f aca="false"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F94" s="41" t="str">
        <f aca="false">IF($AE94="","",IF($AE94&lt;=1200,"01水果册","02物料册"))</f>
        <v/>
      </c>
      <c r="G94" s="42" t="str">
        <f aca="false"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44" t="str">
        <f aca="false">IFERROR(MATCH(89,_自动清单!$Q$4:$Q$2403,0),"")</f>
        <v/>
      </c>
    </row>
    <row r="95" customFormat="false" ht="18" hidden="false" customHeight="true" outlineLevel="0" collapsed="false">
      <c r="A95" s="45" t="str">
        <f aca="false"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46" t="str">
        <f aca="false"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47" t="str">
        <f aca="false"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D95" s="48" t="str">
        <f aca="false">IF($AE95="","",IF($AE95&lt;=1200,IF(INDEX(对接源_01水果!$T$4:$T$1203,$AE95)=0,"",INDEX(对接源_01水果!$T$4:$T$1203,$AE95)),IF(INDEX(对接源_02物料!$T$4:$T$1203,$AE95-1200)=0,"",INDEX(对接源_02物料!$T$4:$T$1203,$AE95-1200))))</f>
        <v/>
      </c>
      <c r="E95" s="46" t="str">
        <f aca="false"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F95" s="46" t="str">
        <f aca="false">IF($AE95="","",IF($AE95&lt;=1200,"01水果册","02物料册"))</f>
        <v/>
      </c>
      <c r="G95" s="47" t="str">
        <f aca="false"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44" t="str">
        <f aca="false">IFERROR(MATCH(90,_自动清单!$Q$4:$Q$2403,0),"")</f>
        <v/>
      </c>
    </row>
    <row r="96" customFormat="false" ht="18" hidden="false" customHeight="true" outlineLevel="0" collapsed="false">
      <c r="A96" s="40" t="str">
        <f aca="false"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41" t="str">
        <f aca="false"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42" t="str">
        <f aca="false"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D96" s="43" t="str">
        <f aca="false">IF($AE96="","",IF($AE96&lt;=1200,IF(INDEX(对接源_01水果!$T$4:$T$1203,$AE96)=0,"",INDEX(对接源_01水果!$T$4:$T$1203,$AE96)),IF(INDEX(对接源_02物料!$T$4:$T$1203,$AE96-1200)=0,"",INDEX(对接源_02物料!$T$4:$T$1203,$AE96-1200))))</f>
        <v/>
      </c>
      <c r="E96" s="41" t="str">
        <f aca="false"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F96" s="41" t="str">
        <f aca="false">IF($AE96="","",IF($AE96&lt;=1200,"01水果册","02物料册"))</f>
        <v/>
      </c>
      <c r="G96" s="42" t="str">
        <f aca="false"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44" t="str">
        <f aca="false">IFERROR(MATCH(91,_自动清单!$Q$4:$Q$2403,0),"")</f>
        <v/>
      </c>
    </row>
    <row r="97" customFormat="false" ht="18" hidden="false" customHeight="true" outlineLevel="0" collapsed="false">
      <c r="A97" s="45" t="str">
        <f aca="false"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46" t="str">
        <f aca="false"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47" t="str">
        <f aca="false"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D97" s="48" t="str">
        <f aca="false">IF($AE97="","",IF($AE97&lt;=1200,IF(INDEX(对接源_01水果!$T$4:$T$1203,$AE97)=0,"",INDEX(对接源_01水果!$T$4:$T$1203,$AE97)),IF(INDEX(对接源_02物料!$T$4:$T$1203,$AE97-1200)=0,"",INDEX(对接源_02物料!$T$4:$T$1203,$AE97-1200))))</f>
        <v/>
      </c>
      <c r="E97" s="46" t="str">
        <f aca="false"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F97" s="46" t="str">
        <f aca="false">IF($AE97="","",IF($AE97&lt;=1200,"01水果册","02物料册"))</f>
        <v/>
      </c>
      <c r="G97" s="47" t="str">
        <f aca="false"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44" t="str">
        <f aca="false">IFERROR(MATCH(92,_自动清单!$Q$4:$Q$2403,0),"")</f>
        <v/>
      </c>
    </row>
    <row r="98" customFormat="false" ht="18" hidden="false" customHeight="true" outlineLevel="0" collapsed="false">
      <c r="A98" s="40" t="str">
        <f aca="false"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41" t="str">
        <f aca="false"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42" t="str">
        <f aca="false"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D98" s="43" t="str">
        <f aca="false">IF($AE98="","",IF($AE98&lt;=1200,IF(INDEX(对接源_01水果!$T$4:$T$1203,$AE98)=0,"",INDEX(对接源_01水果!$T$4:$T$1203,$AE98)),IF(INDEX(对接源_02物料!$T$4:$T$1203,$AE98-1200)=0,"",INDEX(对接源_02物料!$T$4:$T$1203,$AE98-1200))))</f>
        <v/>
      </c>
      <c r="E98" s="41" t="str">
        <f aca="false"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F98" s="41" t="str">
        <f aca="false">IF($AE98="","",IF($AE98&lt;=1200,"01水果册","02物料册"))</f>
        <v/>
      </c>
      <c r="G98" s="42" t="str">
        <f aca="false"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44" t="str">
        <f aca="false">IFERROR(MATCH(93,_自动清单!$Q$4:$Q$2403,0),"")</f>
        <v/>
      </c>
    </row>
    <row r="99" customFormat="false" ht="18" hidden="false" customHeight="true" outlineLevel="0" collapsed="false">
      <c r="A99" s="45" t="str">
        <f aca="false"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46" t="str">
        <f aca="false"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47" t="str">
        <f aca="false"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D99" s="48" t="str">
        <f aca="false">IF($AE99="","",IF($AE99&lt;=1200,IF(INDEX(对接源_01水果!$T$4:$T$1203,$AE99)=0,"",INDEX(对接源_01水果!$T$4:$T$1203,$AE99)),IF(INDEX(对接源_02物料!$T$4:$T$1203,$AE99-1200)=0,"",INDEX(对接源_02物料!$T$4:$T$1203,$AE99-1200))))</f>
        <v/>
      </c>
      <c r="E99" s="46" t="str">
        <f aca="false"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F99" s="46" t="str">
        <f aca="false">IF($AE99="","",IF($AE99&lt;=1200,"01水果册","02物料册"))</f>
        <v/>
      </c>
      <c r="G99" s="47" t="str">
        <f aca="false"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44" t="str">
        <f aca="false">IFERROR(MATCH(94,_自动清单!$Q$4:$Q$2403,0),"")</f>
        <v/>
      </c>
    </row>
    <row r="100" customFormat="false" ht="18" hidden="false" customHeight="true" outlineLevel="0" collapsed="false">
      <c r="A100" s="40" t="str">
        <f aca="false"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41" t="str">
        <f aca="false"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42" t="str">
        <f aca="false"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D100" s="43" t="str">
        <f aca="false">IF($AE100="","",IF($AE100&lt;=1200,IF(INDEX(对接源_01水果!$T$4:$T$1203,$AE100)=0,"",INDEX(对接源_01水果!$T$4:$T$1203,$AE100)),IF(INDEX(对接源_02物料!$T$4:$T$1203,$AE100-1200)=0,"",INDEX(对接源_02物料!$T$4:$T$1203,$AE100-1200))))</f>
        <v/>
      </c>
      <c r="E100" s="41" t="str">
        <f aca="false"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F100" s="41" t="str">
        <f aca="false">IF($AE100="","",IF($AE100&lt;=1200,"01水果册","02物料册"))</f>
        <v/>
      </c>
      <c r="G100" s="42" t="str">
        <f aca="false"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44" t="str">
        <f aca="false">IFERROR(MATCH(95,_自动清单!$Q$4:$Q$2403,0),"")</f>
        <v/>
      </c>
    </row>
    <row r="101" customFormat="false" ht="18" hidden="false" customHeight="true" outlineLevel="0" collapsed="false">
      <c r="A101" s="45" t="str">
        <f aca="false"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46" t="str">
        <f aca="false"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47" t="str">
        <f aca="false"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D101" s="48" t="str">
        <f aca="false">IF($AE101="","",IF($AE101&lt;=1200,IF(INDEX(对接源_01水果!$T$4:$T$1203,$AE101)=0,"",INDEX(对接源_01水果!$T$4:$T$1203,$AE101)),IF(INDEX(对接源_02物料!$T$4:$T$1203,$AE101-1200)=0,"",INDEX(对接源_02物料!$T$4:$T$1203,$AE101-1200))))</f>
        <v/>
      </c>
      <c r="E101" s="46" t="str">
        <f aca="false"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F101" s="46" t="str">
        <f aca="false">IF($AE101="","",IF($AE101&lt;=1200,"01水果册","02物料册"))</f>
        <v/>
      </c>
      <c r="G101" s="47" t="str">
        <f aca="false"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44" t="str">
        <f aca="false">IFERROR(MATCH(96,_自动清单!$Q$4:$Q$2403,0),"")</f>
        <v/>
      </c>
    </row>
    <row r="102" customFormat="false" ht="18" hidden="false" customHeight="true" outlineLevel="0" collapsed="false">
      <c r="A102" s="40" t="str">
        <f aca="false"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41" t="str">
        <f aca="false"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42" t="str">
        <f aca="false"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D102" s="43" t="str">
        <f aca="false">IF($AE102="","",IF($AE102&lt;=1200,IF(INDEX(对接源_01水果!$T$4:$T$1203,$AE102)=0,"",INDEX(对接源_01水果!$T$4:$T$1203,$AE102)),IF(INDEX(对接源_02物料!$T$4:$T$1203,$AE102-1200)=0,"",INDEX(对接源_02物料!$T$4:$T$1203,$AE102-1200))))</f>
        <v/>
      </c>
      <c r="E102" s="41" t="str">
        <f aca="false"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F102" s="41" t="str">
        <f aca="false">IF($AE102="","",IF($AE102&lt;=1200,"01水果册","02物料册"))</f>
        <v/>
      </c>
      <c r="G102" s="42" t="str">
        <f aca="false"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44" t="str">
        <f aca="false">IFERROR(MATCH(97,_自动清单!$Q$4:$Q$2403,0),"")</f>
        <v/>
      </c>
    </row>
    <row r="103" customFormat="false" ht="18" hidden="false" customHeight="true" outlineLevel="0" collapsed="false">
      <c r="A103" s="45" t="str">
        <f aca="false"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46" t="str">
        <f aca="false"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47" t="str">
        <f aca="false"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D103" s="48" t="str">
        <f aca="false">IF($AE103="","",IF($AE103&lt;=1200,IF(INDEX(对接源_01水果!$T$4:$T$1203,$AE103)=0,"",INDEX(对接源_01水果!$T$4:$T$1203,$AE103)),IF(INDEX(对接源_02物料!$T$4:$T$1203,$AE103-1200)=0,"",INDEX(对接源_02物料!$T$4:$T$1203,$AE103-1200))))</f>
        <v/>
      </c>
      <c r="E103" s="46" t="str">
        <f aca="false"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F103" s="46" t="str">
        <f aca="false">IF($AE103="","",IF($AE103&lt;=1200,"01水果册","02物料册"))</f>
        <v/>
      </c>
      <c r="G103" s="47" t="str">
        <f aca="false"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44" t="str">
        <f aca="false">IFERROR(MATCH(98,_自动清单!$Q$4:$Q$2403,0),"")</f>
        <v/>
      </c>
    </row>
    <row r="104" customFormat="false" ht="18" hidden="false" customHeight="true" outlineLevel="0" collapsed="false">
      <c r="A104" s="40" t="str">
        <f aca="false"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41" t="str">
        <f aca="false"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42" t="str">
        <f aca="false"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D104" s="43" t="str">
        <f aca="false">IF($AE104="","",IF($AE104&lt;=1200,IF(INDEX(对接源_01水果!$T$4:$T$1203,$AE104)=0,"",INDEX(对接源_01水果!$T$4:$T$1203,$AE104)),IF(INDEX(对接源_02物料!$T$4:$T$1203,$AE104-1200)=0,"",INDEX(对接源_02物料!$T$4:$T$1203,$AE104-1200))))</f>
        <v/>
      </c>
      <c r="E104" s="41" t="str">
        <f aca="false"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F104" s="41" t="str">
        <f aca="false">IF($AE104="","",IF($AE104&lt;=1200,"01水果册","02物料册"))</f>
        <v/>
      </c>
      <c r="G104" s="42" t="str">
        <f aca="false"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44" t="str">
        <f aca="false">IFERROR(MATCH(99,_自动清单!$Q$4:$Q$2403,0),"")</f>
        <v/>
      </c>
    </row>
    <row r="105" customFormat="false" ht="18" hidden="false" customHeight="true" outlineLevel="0" collapsed="false">
      <c r="A105" s="45" t="str">
        <f aca="false"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46" t="str">
        <f aca="false"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47" t="str">
        <f aca="false"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D105" s="48" t="str">
        <f aca="false">IF($AE105="","",IF($AE105&lt;=1200,IF(INDEX(对接源_01水果!$T$4:$T$1203,$AE105)=0,"",INDEX(对接源_01水果!$T$4:$T$1203,$AE105)),IF(INDEX(对接源_02物料!$T$4:$T$1203,$AE105-1200)=0,"",INDEX(对接源_02物料!$T$4:$T$1203,$AE105-1200))))</f>
        <v/>
      </c>
      <c r="E105" s="46" t="str">
        <f aca="false"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F105" s="46" t="str">
        <f aca="false">IF($AE105="","",IF($AE105&lt;=1200,"01水果册","02物料册"))</f>
        <v/>
      </c>
      <c r="G105" s="47" t="str">
        <f aca="false"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44" t="str">
        <f aca="false">IFERROR(MATCH(100,_自动清单!$Q$4:$Q$2403,0),"")</f>
        <v/>
      </c>
    </row>
    <row r="107" customFormat="false" ht="24" hidden="false" customHeight="true" outlineLevel="0" collapsed="false">
      <c r="A107" s="35" t="s">
        <v>90</v>
      </c>
      <c r="B107" s="35"/>
      <c r="C107" s="35"/>
      <c r="D107" s="35"/>
      <c r="E107" s="36" t="n">
        <f aca="false"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-82</v>
      </c>
      <c r="F107" s="36"/>
      <c r="G107" s="36"/>
    </row>
    <row r="108" customFormat="false" ht="30" hidden="false" customHeight="true" outlineLevel="0" collapsed="false">
      <c r="A108" s="39" t="s">
        <v>81</v>
      </c>
      <c r="B108" s="39" t="s">
        <v>82</v>
      </c>
      <c r="C108" s="39" t="s">
        <v>83</v>
      </c>
      <c r="D108" s="39" t="s">
        <v>91</v>
      </c>
      <c r="E108" s="39" t="s">
        <v>85</v>
      </c>
      <c r="F108" s="39" t="s">
        <v>86</v>
      </c>
      <c r="G108" s="39" t="s">
        <v>87</v>
      </c>
    </row>
    <row r="109" customFormat="false" ht="18" hidden="false" customHeight="true" outlineLevel="0" collapsed="false">
      <c r="A109" s="40" t="n">
        <f aca="false">IF($AF109="","",IF($AF109&lt;=1200,IF(INDEX(对接源_01水果!$B$4:$B$1203,$AF109)=0,"",INDEX(对接源_01水果!$B$4:$B$1203,$AF109)),IF(INDEX(对接源_02物料!$B$4:$B$1203,$AF109-1200)=0,"",INDEX(对接源_02物料!$B$4:$B$1203,$AF109-1200))))</f>
        <v>46258</v>
      </c>
      <c r="B109" s="41" t="str">
        <f aca="false">IF($AF109="","",IF($AF109&lt;=1200,IF(INDEX(对接源_01水果!$E$4:$E$1203,$AF109)=0,"",INDEX(对接源_01水果!$E$4:$E$1203,$AF109)),IF(INDEX(对接源_02物料!$E$4:$E$1203,$AF109-1200)=0,"",INDEX(对接源_02物料!$E$4:$E$1203,$AF109-1200))))</f>
        <v>NO:0000721</v>
      </c>
      <c r="C109" s="42" t="str">
        <f aca="false">IF($AF109="","",IF($AF109&lt;=1200,IF(INDEX(对接源_01水果!$S$4:$S$1203,$AF109)=0,"",INDEX(对接源_01水果!$S$4:$S$1203,$AF109)),IF(INDEX(对接源_02物料!$S$4:$S$1203,$AF109-1200)=0,"",INDEX(对接源_02物料!$S$4:$S$1203,$AF109-1200))))</f>
        <v>公司杂周转筐</v>
      </c>
      <c r="D109" s="49" t="n">
        <f aca="false">IF($AF109="","",IF($AF109&lt;=1200,IF(INDEX(对接源_01水果!$U$4:$U$1203,$AF109)=0,"",INDEX(对接源_01水果!$U$4:$U$1203,$AF109)),IF(INDEX(对接源_02物料!$U$4:$U$1203,$AF109-1200)=0,"",INDEX(对接源_02物料!$U$4:$U$1203,$AF109-1200))))</f>
        <v>4</v>
      </c>
      <c r="E109" s="41" t="str">
        <f aca="false">IF($AF109="","",IF($AF109&lt;=1200,IF(INDEX(对接源_01水果!$W$4:$W$1203,$AF109)=0,"",INDEX(对接源_01水果!$W$4:$W$1203,$AF109)),IF(INDEX(对接源_02物料!$W$4:$W$1203,$AF109-1200)=0,"",INDEX(对接源_02物料!$W$4:$W$1203,$AF109-1200))))</f>
        <v>豫L*88X19</v>
      </c>
      <c r="F109" s="41" t="str">
        <f aca="false">IF($AF109="","",IF($AF109&lt;=1200,"01水果册","02物料册"))</f>
        <v>02物料册</v>
      </c>
      <c r="G109" s="42" t="str">
        <f aca="false"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44" t="n">
        <f aca="false">IFERROR(MATCH(1,_自动清单!$S$4:$S$2403,0),"")</f>
        <v>1242</v>
      </c>
    </row>
    <row r="110" customFormat="false" ht="18" hidden="false" customHeight="true" outlineLevel="0" collapsed="false">
      <c r="A110" s="45" t="n">
        <f aca="false">IF($AF110="","",IF($AF110&lt;=1200,IF(INDEX(对接源_01水果!$B$4:$B$1203,$AF110)=0,"",INDEX(对接源_01水果!$B$4:$B$1203,$AF110)),IF(INDEX(对接源_02物料!$B$4:$B$1203,$AF110-1200)=0,"",INDEX(对接源_02物料!$B$4:$B$1203,$AF110-1200))))</f>
        <v>46266</v>
      </c>
      <c r="B110" s="46" t="str">
        <f aca="false">IF($AF110="","",IF($AF110&lt;=1200,IF(INDEX(对接源_01水果!$E$4:$E$1203,$AF110)=0,"",INDEX(对接源_01水果!$E$4:$E$1203,$AF110)),IF(INDEX(对接源_02物料!$E$4:$E$1203,$AF110-1200)=0,"",INDEX(对接源_02物料!$E$4:$E$1203,$AF110-1200))))</f>
        <v>NO:0000742</v>
      </c>
      <c r="C110" s="47" t="str">
        <f aca="false">IF($AF110="","",IF($AF110&lt;=1200,IF(INDEX(对接源_01水果!$S$4:$S$1203,$AF110)=0,"",INDEX(对接源_01水果!$S$4:$S$1203,$AF110)),IF(INDEX(对接源_02物料!$S$4:$S$1203,$AF110-1200)=0,"",INDEX(对接源_02物料!$S$4:$S$1203,$AF110-1200))))</f>
        <v>公司杂周转筐</v>
      </c>
      <c r="D110" s="50" t="n">
        <f aca="false">IF($AF110="","",IF($AF110&lt;=1200,IF(INDEX(对接源_01水果!$U$4:$U$1203,$AF110)=0,"",INDEX(对接源_01水果!$U$4:$U$1203,$AF110)),IF(INDEX(对接源_02物料!$U$4:$U$1203,$AF110-1200)=0,"",INDEX(对接源_02物料!$U$4:$U$1203,$AF110-1200))))</f>
        <v>30</v>
      </c>
      <c r="E110" s="46" t="str">
        <f aca="false">IF($AF110="","",IF($AF110&lt;=1200,IF(INDEX(对接源_01水果!$W$4:$W$1203,$AF110)=0,"",INDEX(对接源_01水果!$W$4:$W$1203,$AF110)),IF(INDEX(对接源_02物料!$W$4:$W$1203,$AF110-1200)=0,"",INDEX(对接源_02物料!$W$4:$W$1203,$AF110-1200))))</f>
        <v>新N*D1W48</v>
      </c>
      <c r="F110" s="46" t="str">
        <f aca="false">IF($AF110="","",IF($AF110&lt;=1200,"01水果册","02物料册"))</f>
        <v>02物料册</v>
      </c>
      <c r="G110" s="47" t="str">
        <f aca="false"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44" t="n">
        <f aca="false">IFERROR(MATCH(2,_自动清单!$S$4:$S$2403,0),"")</f>
        <v>1245</v>
      </c>
    </row>
    <row r="111" customFormat="false" ht="18" hidden="false" customHeight="true" outlineLevel="0" collapsed="false">
      <c r="A111" s="40" t="n">
        <f aca="false">IF($AF111="","",IF($AF111&lt;=1200,IF(INDEX(对接源_01水果!$B$4:$B$1203,$AF111)=0,"",INDEX(对接源_01水果!$B$4:$B$1203,$AF111)),IF(INDEX(对接源_02物料!$B$4:$B$1203,$AF111-1200)=0,"",INDEX(对接源_02物料!$B$4:$B$1203,$AF111-1200))))</f>
        <v>46273</v>
      </c>
      <c r="B111" s="41" t="str">
        <f aca="false">IF($AF111="","",IF($AF111&lt;=1200,IF(INDEX(对接源_01水果!$E$4:$E$1203,$AF111)=0,"",INDEX(对接源_01水果!$E$4:$E$1203,$AF111)),IF(INDEX(对接源_02物料!$E$4:$E$1203,$AF111-1200)=0,"",INDEX(对接源_02物料!$E$4:$E$1203,$AF111-1200))))</f>
        <v>NO:000761</v>
      </c>
      <c r="C111" s="42" t="str">
        <f aca="false">IF($AF111="","",IF($AF111&lt;=1200,IF(INDEX(对接源_01水果!$S$4:$S$1203,$AF111)=0,"",INDEX(对接源_01水果!$S$4:$S$1203,$AF111)),IF(INDEX(对接源_02物料!$S$4:$S$1203,$AF111-1200)=0,"",INDEX(对接源_02物料!$S$4:$S$1203,$AF111-1200))))</f>
        <v>公司杂周转筐</v>
      </c>
      <c r="D111" s="49" t="n">
        <f aca="false">IF($AF111="","",IF($AF111&lt;=1200,IF(INDEX(对接源_01水果!$U$4:$U$1203,$AF111)=0,"",INDEX(对接源_01水果!$U$4:$U$1203,$AF111)),IF(INDEX(对接源_02物料!$U$4:$U$1203,$AF111-1200)=0,"",INDEX(对接源_02物料!$U$4:$U$1203,$AF111-1200))))</f>
        <v>2</v>
      </c>
      <c r="E111" s="41" t="str">
        <f aca="false"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F111" s="41" t="str">
        <f aca="false">IF($AF111="","",IF($AF111&lt;=1200,"01水果册","02物料册"))</f>
        <v>02物料册</v>
      </c>
      <c r="G111" s="42" t="str">
        <f aca="false">IF($AF111="","",IF($AF111&lt;=1200,IF(INDEX(对接源_01水果!$M$4:$M$1203,$AF111)=0,"",INDEX(对接源_01水果!$M$4:$M$1203,$AF111)),IF(INDEX(对接源_02物料!$M$4:$M$1203,$AF111-1200)=0,"",INDEX(对接源_02物料!$M$4:$M$1203,$AF111-1200))))</f>
        <v>装扎伤退回</v>
      </c>
      <c r="AF111" s="44" t="n">
        <f aca="false">IFERROR(MATCH(3,_自动清单!$S$4:$S$2403,0),"")</f>
        <v>1273</v>
      </c>
    </row>
    <row r="112" customFormat="false" ht="18" hidden="false" customHeight="true" outlineLevel="0" collapsed="false">
      <c r="A112" s="45" t="n">
        <f aca="false">IF($AF112="","",IF($AF112&lt;=1200,IF(INDEX(对接源_01水果!$B$4:$B$1203,$AF112)=0,"",INDEX(对接源_01水果!$B$4:$B$1203,$AF112)),IF(INDEX(对接源_02物料!$B$4:$B$1203,$AF112-1200)=0,"",INDEX(对接源_02物料!$B$4:$B$1203,$AF112-1200))))</f>
        <v>46277</v>
      </c>
      <c r="B112" s="46" t="str">
        <f aca="false">IF($AF112="","",IF($AF112&lt;=1200,IF(INDEX(对接源_01水果!$E$4:$E$1203,$AF112)=0,"",INDEX(对接源_01水果!$E$4:$E$1203,$AF112)),IF(INDEX(对接源_02物料!$E$4:$E$1203,$AF112-1200)=0,"",INDEX(对接源_02物料!$E$4:$E$1203,$AF112-1200))))</f>
        <v>NO:0000789</v>
      </c>
      <c r="C112" s="47" t="str">
        <f aca="false">IF($AF112="","",IF($AF112&lt;=1200,IF(INDEX(对接源_01水果!$S$4:$S$1203,$AF112)=0,"",INDEX(对接源_01水果!$S$4:$S$1203,$AF112)),IF(INDEX(对接源_02物料!$S$4:$S$1203,$AF112-1200)=0,"",INDEX(对接源_02物料!$S$4:$S$1203,$AF112-1200))))</f>
        <v>公司一次性筐</v>
      </c>
      <c r="D112" s="50" t="n">
        <f aca="false">IF($AF112="","",IF($AF112&lt;=1200,IF(INDEX(对接源_01水果!$U$4:$U$1203,$AF112)=0,"",INDEX(对接源_01水果!$U$4:$U$1203,$AF112)),IF(INDEX(对接源_02物料!$U$4:$U$1203,$AF112-1200)=0,"",INDEX(对接源_02物料!$U$4:$U$1203,$AF112-1200))))</f>
        <v>1</v>
      </c>
      <c r="E112" s="46" t="str">
        <f aca="false">IF($AF112="","",IF($AF112&lt;=1200,IF(INDEX(对接源_01水果!$W$4:$W$1203,$AF112)=0,"",INDEX(对接源_01水果!$W$4:$W$1203,$AF112)),IF(INDEX(对接源_02物料!$W$4:$W$1203,$AF112-1200)=0,"",INDEX(对接源_02物料!$W$4:$W$1203,$AF112-1200))))</f>
        <v>豫L*88X19</v>
      </c>
      <c r="F112" s="46" t="str">
        <f aca="false">IF($AF112="","",IF($AF112&lt;=1200,"01水果册","02物料册"))</f>
        <v>02物料册</v>
      </c>
      <c r="G112" s="47" t="str">
        <f aca="false"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44" t="n">
        <f aca="false">IFERROR(MATCH(4,_自动清单!$S$4:$S$2403,0),"")</f>
        <v>1298</v>
      </c>
    </row>
    <row r="113" customFormat="false" ht="18" hidden="false" customHeight="true" outlineLevel="0" collapsed="false">
      <c r="A113" s="40" t="n">
        <f aca="false">IF($AF113="","",IF($AF113&lt;=1200,IF(INDEX(对接源_01水果!$B$4:$B$1203,$AF113)=0,"",INDEX(对接源_01水果!$B$4:$B$1203,$AF113)),IF(INDEX(对接源_02物料!$B$4:$B$1203,$AF113-1200)=0,"",INDEX(对接源_02物料!$B$4:$B$1203,$AF113-1200))))</f>
        <v>46277</v>
      </c>
      <c r="B113" s="41" t="str">
        <f aca="false">IF($AF113="","",IF($AF113&lt;=1200,IF(INDEX(对接源_01水果!$E$4:$E$1203,$AF113)=0,"",INDEX(对接源_01水果!$E$4:$E$1203,$AF113)),IF(INDEX(对接源_02物料!$E$4:$E$1203,$AF113-1200)=0,"",INDEX(对接源_02物料!$E$4:$E$1203,$AF113-1200))))</f>
        <v>NO:0000792</v>
      </c>
      <c r="C113" s="42" t="str">
        <f aca="false">IF($AF113="","",IF($AF113&lt;=1200,IF(INDEX(对接源_01水果!$S$4:$S$1203,$AF113)=0,"",INDEX(对接源_01水果!$S$4:$S$1203,$AF113)),IF(INDEX(对接源_02物料!$S$4:$S$1203,$AF113-1200)=0,"",INDEX(对接源_02物料!$S$4:$S$1203,$AF113-1200))))</f>
        <v>公司杂周转筐</v>
      </c>
      <c r="D113" s="49" t="n">
        <f aca="false">IF($AF113="","",IF($AF113&lt;=1200,IF(INDEX(对接源_01水果!$U$4:$U$1203,$AF113)=0,"",INDEX(对接源_01水果!$U$4:$U$1203,$AF113)),IF(INDEX(对接源_02物料!$U$4:$U$1203,$AF113-1200)=0,"",INDEX(对接源_02物料!$U$4:$U$1203,$AF113-1200))))</f>
        <v>45</v>
      </c>
      <c r="E113" s="41" t="str">
        <f aca="false">IF($AF113="","",IF($AF113&lt;=1200,IF(INDEX(对接源_01水果!$W$4:$W$1203,$AF113)=0,"",INDEX(对接源_01水果!$W$4:$W$1203,$AF113)),IF(INDEX(对接源_02物料!$W$4:$W$1203,$AF113-1200)=0,"",INDEX(对接源_02物料!$W$4:$W$1203,$AF113-1200))))</f>
        <v>豫L*88X19</v>
      </c>
      <c r="F113" s="41" t="str">
        <f aca="false">IF($AF113="","",IF($AF113&lt;=1200,"01水果册","02物料册"))</f>
        <v>02物料册</v>
      </c>
      <c r="G113" s="42" t="str">
        <f aca="false"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44" t="n">
        <f aca="false">IFERROR(MATCH(5,_自动清单!$S$4:$S$2403,0),"")</f>
        <v>1299</v>
      </c>
    </row>
    <row r="114" customFormat="false" ht="18" hidden="false" customHeight="true" outlineLevel="0" collapsed="false">
      <c r="A114" s="45" t="str">
        <f aca="false"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46" t="str">
        <f aca="false"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C114" s="47" t="str">
        <f aca="false"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D114" s="50" t="str">
        <f aca="false">IF($AF114="","",IF($AF114&lt;=1200,IF(INDEX(对接源_01水果!$U$4:$U$1203,$AF114)=0,"",INDEX(对接源_01水果!$U$4:$U$1203,$AF114)),IF(INDEX(对接源_02物料!$U$4:$U$1203,$AF114-1200)=0,"",INDEX(对接源_02物料!$U$4:$U$1203,$AF114-1200))))</f>
        <v/>
      </c>
      <c r="E114" s="46" t="str">
        <f aca="false"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F114" s="46" t="str">
        <f aca="false">IF($AF114="","",IF($AF114&lt;=1200,"01水果册","02物料册"))</f>
        <v/>
      </c>
      <c r="G114" s="47" t="str">
        <f aca="false"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44" t="str">
        <f aca="false">IFERROR(MATCH(6,_自动清单!$S$4:$S$2403,0),"")</f>
        <v/>
      </c>
    </row>
    <row r="115" customFormat="false" ht="18" hidden="false" customHeight="true" outlineLevel="0" collapsed="false">
      <c r="A115" s="40" t="str">
        <f aca="false"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41" t="str">
        <f aca="false"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C115" s="42" t="str">
        <f aca="false"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D115" s="49" t="str">
        <f aca="false">IF($AF115="","",IF($AF115&lt;=1200,IF(INDEX(对接源_01水果!$U$4:$U$1203,$AF115)=0,"",INDEX(对接源_01水果!$U$4:$U$1203,$AF115)),IF(INDEX(对接源_02物料!$U$4:$U$1203,$AF115-1200)=0,"",INDEX(对接源_02物料!$U$4:$U$1203,$AF115-1200))))</f>
        <v/>
      </c>
      <c r="E115" s="41" t="str">
        <f aca="false"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F115" s="41" t="str">
        <f aca="false">IF($AF115="","",IF($AF115&lt;=1200,"01水果册","02物料册"))</f>
        <v/>
      </c>
      <c r="G115" s="42" t="str">
        <f aca="false"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44" t="str">
        <f aca="false">IFERROR(MATCH(7,_自动清单!$S$4:$S$2403,0),"")</f>
        <v/>
      </c>
    </row>
    <row r="116" customFormat="false" ht="18" hidden="false" customHeight="true" outlineLevel="0" collapsed="false">
      <c r="A116" s="45" t="str">
        <f aca="false"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46" t="str">
        <f aca="false"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C116" s="47" t="str">
        <f aca="false"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D116" s="50" t="str">
        <f aca="false">IF($AF116="","",IF($AF116&lt;=1200,IF(INDEX(对接源_01水果!$U$4:$U$1203,$AF116)=0,"",INDEX(对接源_01水果!$U$4:$U$1203,$AF116)),IF(INDEX(对接源_02物料!$U$4:$U$1203,$AF116-1200)=0,"",INDEX(对接源_02物料!$U$4:$U$1203,$AF116-1200))))</f>
        <v/>
      </c>
      <c r="E116" s="46" t="str">
        <f aca="false"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F116" s="46" t="str">
        <f aca="false">IF($AF116="","",IF($AF116&lt;=1200,"01水果册","02物料册"))</f>
        <v/>
      </c>
      <c r="G116" s="47" t="str">
        <f aca="false"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44" t="str">
        <f aca="false">IFERROR(MATCH(8,_自动清单!$S$4:$S$2403,0),"")</f>
        <v/>
      </c>
    </row>
    <row r="117" customFormat="false" ht="18" hidden="false" customHeight="true" outlineLevel="0" collapsed="false">
      <c r="A117" s="40" t="str">
        <f aca="false"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41" t="str">
        <f aca="false"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C117" s="42" t="str">
        <f aca="false"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D117" s="49" t="str">
        <f aca="false">IF($AF117="","",IF($AF117&lt;=1200,IF(INDEX(对接源_01水果!$U$4:$U$1203,$AF117)=0,"",INDEX(对接源_01水果!$U$4:$U$1203,$AF117)),IF(INDEX(对接源_02物料!$U$4:$U$1203,$AF117-1200)=0,"",INDEX(对接源_02物料!$U$4:$U$1203,$AF117-1200))))</f>
        <v/>
      </c>
      <c r="E117" s="41" t="str">
        <f aca="false"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F117" s="41" t="str">
        <f aca="false">IF($AF117="","",IF($AF117&lt;=1200,"01水果册","02物料册"))</f>
        <v/>
      </c>
      <c r="G117" s="42" t="str">
        <f aca="false"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44" t="str">
        <f aca="false">IFERROR(MATCH(9,_自动清单!$S$4:$S$2403,0),"")</f>
        <v/>
      </c>
    </row>
    <row r="118" customFormat="false" ht="18" hidden="false" customHeight="true" outlineLevel="0" collapsed="false">
      <c r="A118" s="45" t="str">
        <f aca="false"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46" t="str">
        <f aca="false"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C118" s="47" t="str">
        <f aca="false"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D118" s="50" t="str">
        <f aca="false">IF($AF118="","",IF($AF118&lt;=1200,IF(INDEX(对接源_01水果!$U$4:$U$1203,$AF118)=0,"",INDEX(对接源_01水果!$U$4:$U$1203,$AF118)),IF(INDEX(对接源_02物料!$U$4:$U$1203,$AF118-1200)=0,"",INDEX(对接源_02物料!$U$4:$U$1203,$AF118-1200))))</f>
        <v/>
      </c>
      <c r="E118" s="46" t="str">
        <f aca="false"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F118" s="46" t="str">
        <f aca="false">IF($AF118="","",IF($AF118&lt;=1200,"01水果册","02物料册"))</f>
        <v/>
      </c>
      <c r="G118" s="47" t="str">
        <f aca="false"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44" t="str">
        <f aca="false">IFERROR(MATCH(10,_自动清单!$S$4:$S$2403,0),"")</f>
        <v/>
      </c>
    </row>
    <row r="119" customFormat="false" ht="18" hidden="false" customHeight="true" outlineLevel="0" collapsed="false">
      <c r="A119" s="40" t="str">
        <f aca="false"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41" t="str">
        <f aca="false"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C119" s="42" t="str">
        <f aca="false"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D119" s="49" t="str">
        <f aca="false">IF($AF119="","",IF($AF119&lt;=1200,IF(INDEX(对接源_01水果!$U$4:$U$1203,$AF119)=0,"",INDEX(对接源_01水果!$U$4:$U$1203,$AF119)),IF(INDEX(对接源_02物料!$U$4:$U$1203,$AF119-1200)=0,"",INDEX(对接源_02物料!$U$4:$U$1203,$AF119-1200))))</f>
        <v/>
      </c>
      <c r="E119" s="41" t="str">
        <f aca="false"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F119" s="41" t="str">
        <f aca="false">IF($AF119="","",IF($AF119&lt;=1200,"01水果册","02物料册"))</f>
        <v/>
      </c>
      <c r="G119" s="42" t="str">
        <f aca="false"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44" t="str">
        <f aca="false">IFERROR(MATCH(11,_自动清单!$S$4:$S$2403,0),"")</f>
        <v/>
      </c>
    </row>
    <row r="120" customFormat="false" ht="18" hidden="false" customHeight="true" outlineLevel="0" collapsed="false">
      <c r="A120" s="45" t="str">
        <f aca="false"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46" t="str">
        <f aca="false"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C120" s="47" t="str">
        <f aca="false"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D120" s="50" t="str">
        <f aca="false">IF($AF120="","",IF($AF120&lt;=1200,IF(INDEX(对接源_01水果!$U$4:$U$1203,$AF120)=0,"",INDEX(对接源_01水果!$U$4:$U$1203,$AF120)),IF(INDEX(对接源_02物料!$U$4:$U$1203,$AF120-1200)=0,"",INDEX(对接源_02物料!$U$4:$U$1203,$AF120-1200))))</f>
        <v/>
      </c>
      <c r="E120" s="46" t="str">
        <f aca="false"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F120" s="46" t="str">
        <f aca="false">IF($AF120="","",IF($AF120&lt;=1200,"01水果册","02物料册"))</f>
        <v/>
      </c>
      <c r="G120" s="47" t="str">
        <f aca="false"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44" t="str">
        <f aca="false">IFERROR(MATCH(12,_自动清单!$S$4:$S$2403,0),"")</f>
        <v/>
      </c>
    </row>
    <row r="121" customFormat="false" ht="18" hidden="false" customHeight="true" outlineLevel="0" collapsed="false">
      <c r="A121" s="40" t="str">
        <f aca="false"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41" t="str">
        <f aca="false"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C121" s="42" t="str">
        <f aca="false"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D121" s="49" t="str">
        <f aca="false">IF($AF121="","",IF($AF121&lt;=1200,IF(INDEX(对接源_01水果!$U$4:$U$1203,$AF121)=0,"",INDEX(对接源_01水果!$U$4:$U$1203,$AF121)),IF(INDEX(对接源_02物料!$U$4:$U$1203,$AF121-1200)=0,"",INDEX(对接源_02物料!$U$4:$U$1203,$AF121-1200))))</f>
        <v/>
      </c>
      <c r="E121" s="41" t="str">
        <f aca="false"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F121" s="41" t="str">
        <f aca="false">IF($AF121="","",IF($AF121&lt;=1200,"01水果册","02物料册"))</f>
        <v/>
      </c>
      <c r="G121" s="42" t="str">
        <f aca="false"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44" t="str">
        <f aca="false">IFERROR(MATCH(13,_自动清单!$S$4:$S$2403,0),"")</f>
        <v/>
      </c>
    </row>
    <row r="122" customFormat="false" ht="18" hidden="false" customHeight="true" outlineLevel="0" collapsed="false">
      <c r="A122" s="45" t="str">
        <f aca="false"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46" t="str">
        <f aca="false"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C122" s="47" t="str">
        <f aca="false"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D122" s="50" t="str">
        <f aca="false">IF($AF122="","",IF($AF122&lt;=1200,IF(INDEX(对接源_01水果!$U$4:$U$1203,$AF122)=0,"",INDEX(对接源_01水果!$U$4:$U$1203,$AF122)),IF(INDEX(对接源_02物料!$U$4:$U$1203,$AF122-1200)=0,"",INDEX(对接源_02物料!$U$4:$U$1203,$AF122-1200))))</f>
        <v/>
      </c>
      <c r="E122" s="46" t="str">
        <f aca="false"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F122" s="46" t="str">
        <f aca="false">IF($AF122="","",IF($AF122&lt;=1200,"01水果册","02物料册"))</f>
        <v/>
      </c>
      <c r="G122" s="47" t="str">
        <f aca="false"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44" t="str">
        <f aca="false">IFERROR(MATCH(14,_自动清单!$S$4:$S$2403,0),"")</f>
        <v/>
      </c>
    </row>
    <row r="123" customFormat="false" ht="18" hidden="false" customHeight="true" outlineLevel="0" collapsed="false">
      <c r="A123" s="40" t="str">
        <f aca="false"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41" t="str">
        <f aca="false"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C123" s="42" t="str">
        <f aca="false"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D123" s="49" t="str">
        <f aca="false">IF($AF123="","",IF($AF123&lt;=1200,IF(INDEX(对接源_01水果!$U$4:$U$1203,$AF123)=0,"",INDEX(对接源_01水果!$U$4:$U$1203,$AF123)),IF(INDEX(对接源_02物料!$U$4:$U$1203,$AF123-1200)=0,"",INDEX(对接源_02物料!$U$4:$U$1203,$AF123-1200))))</f>
        <v/>
      </c>
      <c r="E123" s="41" t="str">
        <f aca="false"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F123" s="41" t="str">
        <f aca="false">IF($AF123="","",IF($AF123&lt;=1200,"01水果册","02物料册"))</f>
        <v/>
      </c>
      <c r="G123" s="42" t="str">
        <f aca="false"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44" t="str">
        <f aca="false">IFERROR(MATCH(15,_自动清单!$S$4:$S$2403,0),"")</f>
        <v/>
      </c>
    </row>
    <row r="124" customFormat="false" ht="18" hidden="false" customHeight="true" outlineLevel="0" collapsed="false">
      <c r="A124" s="45" t="str">
        <f aca="false"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46" t="str">
        <f aca="false"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C124" s="47" t="str">
        <f aca="false"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D124" s="50" t="str">
        <f aca="false">IF($AF124="","",IF($AF124&lt;=1200,IF(INDEX(对接源_01水果!$U$4:$U$1203,$AF124)=0,"",INDEX(对接源_01水果!$U$4:$U$1203,$AF124)),IF(INDEX(对接源_02物料!$U$4:$U$1203,$AF124-1200)=0,"",INDEX(对接源_02物料!$U$4:$U$1203,$AF124-1200))))</f>
        <v/>
      </c>
      <c r="E124" s="46" t="str">
        <f aca="false"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F124" s="46" t="str">
        <f aca="false">IF($AF124="","",IF($AF124&lt;=1200,"01水果册","02物料册"))</f>
        <v/>
      </c>
      <c r="G124" s="47" t="str">
        <f aca="false"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44" t="str">
        <f aca="false">IFERROR(MATCH(16,_自动清单!$S$4:$S$2403,0),"")</f>
        <v/>
      </c>
    </row>
    <row r="125" customFormat="false" ht="18" hidden="false" customHeight="true" outlineLevel="0" collapsed="false">
      <c r="A125" s="40" t="str">
        <f aca="false"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41" t="str">
        <f aca="false"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C125" s="42" t="str">
        <f aca="false"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D125" s="49" t="str">
        <f aca="false">IF($AF125="","",IF($AF125&lt;=1200,IF(INDEX(对接源_01水果!$U$4:$U$1203,$AF125)=0,"",INDEX(对接源_01水果!$U$4:$U$1203,$AF125)),IF(INDEX(对接源_02物料!$U$4:$U$1203,$AF125-1200)=0,"",INDEX(对接源_02物料!$U$4:$U$1203,$AF125-1200))))</f>
        <v/>
      </c>
      <c r="E125" s="41" t="str">
        <f aca="false"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F125" s="41" t="str">
        <f aca="false">IF($AF125="","",IF($AF125&lt;=1200,"01水果册","02物料册"))</f>
        <v/>
      </c>
      <c r="G125" s="42" t="str">
        <f aca="false"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44" t="str">
        <f aca="false">IFERROR(MATCH(17,_自动清单!$S$4:$S$2403,0),"")</f>
        <v/>
      </c>
    </row>
    <row r="126" customFormat="false" ht="18" hidden="false" customHeight="true" outlineLevel="0" collapsed="false">
      <c r="A126" s="45" t="str">
        <f aca="false"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46" t="str">
        <f aca="false"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C126" s="47" t="str">
        <f aca="false"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D126" s="50" t="str">
        <f aca="false">IF($AF126="","",IF($AF126&lt;=1200,IF(INDEX(对接源_01水果!$U$4:$U$1203,$AF126)=0,"",INDEX(对接源_01水果!$U$4:$U$1203,$AF126)),IF(INDEX(对接源_02物料!$U$4:$U$1203,$AF126-1200)=0,"",INDEX(对接源_02物料!$U$4:$U$1203,$AF126-1200))))</f>
        <v/>
      </c>
      <c r="E126" s="46" t="str">
        <f aca="false"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F126" s="46" t="str">
        <f aca="false">IF($AF126="","",IF($AF126&lt;=1200,"01水果册","02物料册"))</f>
        <v/>
      </c>
      <c r="G126" s="47" t="str">
        <f aca="false"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44" t="str">
        <f aca="false">IFERROR(MATCH(18,_自动清单!$S$4:$S$2403,0),"")</f>
        <v/>
      </c>
    </row>
    <row r="127" customFormat="false" ht="18" hidden="false" customHeight="true" outlineLevel="0" collapsed="false">
      <c r="A127" s="40" t="str">
        <f aca="false"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41" t="str">
        <f aca="false"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C127" s="42" t="str">
        <f aca="false"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D127" s="49" t="str">
        <f aca="false">IF($AF127="","",IF($AF127&lt;=1200,IF(INDEX(对接源_01水果!$U$4:$U$1203,$AF127)=0,"",INDEX(对接源_01水果!$U$4:$U$1203,$AF127)),IF(INDEX(对接源_02物料!$U$4:$U$1203,$AF127-1200)=0,"",INDEX(对接源_02物料!$U$4:$U$1203,$AF127-1200))))</f>
        <v/>
      </c>
      <c r="E127" s="41" t="str">
        <f aca="false"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F127" s="41" t="str">
        <f aca="false">IF($AF127="","",IF($AF127&lt;=1200,"01水果册","02物料册"))</f>
        <v/>
      </c>
      <c r="G127" s="42" t="str">
        <f aca="false"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44" t="str">
        <f aca="false">IFERROR(MATCH(19,_自动清单!$S$4:$S$2403,0),"")</f>
        <v/>
      </c>
    </row>
    <row r="128" customFormat="false" ht="18" hidden="false" customHeight="true" outlineLevel="0" collapsed="false">
      <c r="A128" s="45" t="str">
        <f aca="false"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46" t="str">
        <f aca="false"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C128" s="47" t="str">
        <f aca="false"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D128" s="50" t="str">
        <f aca="false">IF($AF128="","",IF($AF128&lt;=1200,IF(INDEX(对接源_01水果!$U$4:$U$1203,$AF128)=0,"",INDEX(对接源_01水果!$U$4:$U$1203,$AF128)),IF(INDEX(对接源_02物料!$U$4:$U$1203,$AF128-1200)=0,"",INDEX(对接源_02物料!$U$4:$U$1203,$AF128-1200))))</f>
        <v/>
      </c>
      <c r="E128" s="46" t="str">
        <f aca="false"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F128" s="46" t="str">
        <f aca="false">IF($AF128="","",IF($AF128&lt;=1200,"01水果册","02物料册"))</f>
        <v/>
      </c>
      <c r="G128" s="47" t="str">
        <f aca="false"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44" t="str">
        <f aca="false">IFERROR(MATCH(20,_自动清单!$S$4:$S$2403,0),"")</f>
        <v/>
      </c>
    </row>
    <row r="129" customFormat="false" ht="18" hidden="false" customHeight="true" outlineLevel="0" collapsed="false">
      <c r="A129" s="40" t="str">
        <f aca="false"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41" t="str">
        <f aca="false"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42" t="str">
        <f aca="false"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D129" s="49" t="str">
        <f aca="false">IF($AF129="","",IF($AF129&lt;=1200,IF(INDEX(对接源_01水果!$U$4:$U$1203,$AF129)=0,"",INDEX(对接源_01水果!$U$4:$U$1203,$AF129)),IF(INDEX(对接源_02物料!$U$4:$U$1203,$AF129-1200)=0,"",INDEX(对接源_02物料!$U$4:$U$1203,$AF129-1200))))</f>
        <v/>
      </c>
      <c r="E129" s="41" t="str">
        <f aca="false"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F129" s="41" t="str">
        <f aca="false">IF($AF129="","",IF($AF129&lt;=1200,"01水果册","02物料册"))</f>
        <v/>
      </c>
      <c r="G129" s="42" t="str">
        <f aca="false"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44" t="str">
        <f aca="false">IFERROR(MATCH(21,_自动清单!$S$4:$S$2403,0),"")</f>
        <v/>
      </c>
    </row>
    <row r="130" customFormat="false" ht="18" hidden="false" customHeight="true" outlineLevel="0" collapsed="false">
      <c r="A130" s="45" t="str">
        <f aca="false"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46" t="str">
        <f aca="false"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47" t="str">
        <f aca="false"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D130" s="50" t="str">
        <f aca="false">IF($AF130="","",IF($AF130&lt;=1200,IF(INDEX(对接源_01水果!$U$4:$U$1203,$AF130)=0,"",INDEX(对接源_01水果!$U$4:$U$1203,$AF130)),IF(INDEX(对接源_02物料!$U$4:$U$1203,$AF130-1200)=0,"",INDEX(对接源_02物料!$U$4:$U$1203,$AF130-1200))))</f>
        <v/>
      </c>
      <c r="E130" s="46" t="str">
        <f aca="false"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F130" s="46" t="str">
        <f aca="false">IF($AF130="","",IF($AF130&lt;=1200,"01水果册","02物料册"))</f>
        <v/>
      </c>
      <c r="G130" s="47" t="str">
        <f aca="false"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44" t="str">
        <f aca="false">IFERROR(MATCH(22,_自动清单!$S$4:$S$2403,0),"")</f>
        <v/>
      </c>
    </row>
    <row r="131" customFormat="false" ht="18" hidden="false" customHeight="true" outlineLevel="0" collapsed="false">
      <c r="A131" s="40" t="str">
        <f aca="false"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41" t="str">
        <f aca="false"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42" t="str">
        <f aca="false"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D131" s="49" t="str">
        <f aca="false">IF($AF131="","",IF($AF131&lt;=1200,IF(INDEX(对接源_01水果!$U$4:$U$1203,$AF131)=0,"",INDEX(对接源_01水果!$U$4:$U$1203,$AF131)),IF(INDEX(对接源_02物料!$U$4:$U$1203,$AF131-1200)=0,"",INDEX(对接源_02物料!$U$4:$U$1203,$AF131-1200))))</f>
        <v/>
      </c>
      <c r="E131" s="41" t="str">
        <f aca="false"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F131" s="41" t="str">
        <f aca="false">IF($AF131="","",IF($AF131&lt;=1200,"01水果册","02物料册"))</f>
        <v/>
      </c>
      <c r="G131" s="42" t="str">
        <f aca="false"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44" t="str">
        <f aca="false">IFERROR(MATCH(23,_自动清单!$S$4:$S$2403,0),"")</f>
        <v/>
      </c>
    </row>
    <row r="132" customFormat="false" ht="18" hidden="false" customHeight="true" outlineLevel="0" collapsed="false">
      <c r="A132" s="45" t="str">
        <f aca="false"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46" t="str">
        <f aca="false"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47" t="str">
        <f aca="false"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D132" s="50" t="str">
        <f aca="false">IF($AF132="","",IF($AF132&lt;=1200,IF(INDEX(对接源_01水果!$U$4:$U$1203,$AF132)=0,"",INDEX(对接源_01水果!$U$4:$U$1203,$AF132)),IF(INDEX(对接源_02物料!$U$4:$U$1203,$AF132-1200)=0,"",INDEX(对接源_02物料!$U$4:$U$1203,$AF132-1200))))</f>
        <v/>
      </c>
      <c r="E132" s="46" t="str">
        <f aca="false"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F132" s="46" t="str">
        <f aca="false">IF($AF132="","",IF($AF132&lt;=1200,"01水果册","02物料册"))</f>
        <v/>
      </c>
      <c r="G132" s="47" t="str">
        <f aca="false"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44" t="str">
        <f aca="false">IFERROR(MATCH(24,_自动清单!$S$4:$S$2403,0),"")</f>
        <v/>
      </c>
    </row>
    <row r="133" customFormat="false" ht="18" hidden="false" customHeight="true" outlineLevel="0" collapsed="false">
      <c r="A133" s="40" t="str">
        <f aca="false"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41" t="str">
        <f aca="false"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42" t="str">
        <f aca="false"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D133" s="49" t="str">
        <f aca="false">IF($AF133="","",IF($AF133&lt;=1200,IF(INDEX(对接源_01水果!$U$4:$U$1203,$AF133)=0,"",INDEX(对接源_01水果!$U$4:$U$1203,$AF133)),IF(INDEX(对接源_02物料!$U$4:$U$1203,$AF133-1200)=0,"",INDEX(对接源_02物料!$U$4:$U$1203,$AF133-1200))))</f>
        <v/>
      </c>
      <c r="E133" s="41" t="str">
        <f aca="false"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F133" s="41" t="str">
        <f aca="false">IF($AF133="","",IF($AF133&lt;=1200,"01水果册","02物料册"))</f>
        <v/>
      </c>
      <c r="G133" s="42" t="str">
        <f aca="false"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44" t="str">
        <f aca="false">IFERROR(MATCH(25,_自动清单!$S$4:$S$2403,0),"")</f>
        <v/>
      </c>
    </row>
    <row r="134" customFormat="false" ht="18" hidden="false" customHeight="true" outlineLevel="0" collapsed="false">
      <c r="A134" s="45" t="str">
        <f aca="false"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46" t="str">
        <f aca="false"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47" t="str">
        <f aca="false"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D134" s="50" t="str">
        <f aca="false">IF($AF134="","",IF($AF134&lt;=1200,IF(INDEX(对接源_01水果!$U$4:$U$1203,$AF134)=0,"",INDEX(对接源_01水果!$U$4:$U$1203,$AF134)),IF(INDEX(对接源_02物料!$U$4:$U$1203,$AF134-1200)=0,"",INDEX(对接源_02物料!$U$4:$U$1203,$AF134-1200))))</f>
        <v/>
      </c>
      <c r="E134" s="46" t="str">
        <f aca="false"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F134" s="46" t="str">
        <f aca="false">IF($AF134="","",IF($AF134&lt;=1200,"01水果册","02物料册"))</f>
        <v/>
      </c>
      <c r="G134" s="47" t="str">
        <f aca="false"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44" t="str">
        <f aca="false">IFERROR(MATCH(26,_自动清单!$S$4:$S$2403,0),"")</f>
        <v/>
      </c>
    </row>
    <row r="135" customFormat="false" ht="18" hidden="false" customHeight="true" outlineLevel="0" collapsed="false">
      <c r="A135" s="40" t="str">
        <f aca="false"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41" t="str">
        <f aca="false"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42" t="str">
        <f aca="false"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D135" s="49" t="str">
        <f aca="false">IF($AF135="","",IF($AF135&lt;=1200,IF(INDEX(对接源_01水果!$U$4:$U$1203,$AF135)=0,"",INDEX(对接源_01水果!$U$4:$U$1203,$AF135)),IF(INDEX(对接源_02物料!$U$4:$U$1203,$AF135-1200)=0,"",INDEX(对接源_02物料!$U$4:$U$1203,$AF135-1200))))</f>
        <v/>
      </c>
      <c r="E135" s="41" t="str">
        <f aca="false"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F135" s="41" t="str">
        <f aca="false">IF($AF135="","",IF($AF135&lt;=1200,"01水果册","02物料册"))</f>
        <v/>
      </c>
      <c r="G135" s="42" t="str">
        <f aca="false"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44" t="str">
        <f aca="false">IFERROR(MATCH(27,_自动清单!$S$4:$S$2403,0),"")</f>
        <v/>
      </c>
    </row>
    <row r="136" customFormat="false" ht="18" hidden="false" customHeight="true" outlineLevel="0" collapsed="false">
      <c r="A136" s="45" t="str">
        <f aca="false"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46" t="str">
        <f aca="false"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47" t="str">
        <f aca="false"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D136" s="50" t="str">
        <f aca="false">IF($AF136="","",IF($AF136&lt;=1200,IF(INDEX(对接源_01水果!$U$4:$U$1203,$AF136)=0,"",INDEX(对接源_01水果!$U$4:$U$1203,$AF136)),IF(INDEX(对接源_02物料!$U$4:$U$1203,$AF136-1200)=0,"",INDEX(对接源_02物料!$U$4:$U$1203,$AF136-1200))))</f>
        <v/>
      </c>
      <c r="E136" s="46" t="str">
        <f aca="false"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F136" s="46" t="str">
        <f aca="false">IF($AF136="","",IF($AF136&lt;=1200,"01水果册","02物料册"))</f>
        <v/>
      </c>
      <c r="G136" s="47" t="str">
        <f aca="false"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44" t="str">
        <f aca="false">IFERROR(MATCH(28,_自动清单!$S$4:$S$2403,0),"")</f>
        <v/>
      </c>
    </row>
    <row r="137" customFormat="false" ht="18" hidden="false" customHeight="true" outlineLevel="0" collapsed="false">
      <c r="A137" s="40" t="str">
        <f aca="false"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41" t="str">
        <f aca="false"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42" t="str">
        <f aca="false"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D137" s="49" t="str">
        <f aca="false">IF($AF137="","",IF($AF137&lt;=1200,IF(INDEX(对接源_01水果!$U$4:$U$1203,$AF137)=0,"",INDEX(对接源_01水果!$U$4:$U$1203,$AF137)),IF(INDEX(对接源_02物料!$U$4:$U$1203,$AF137-1200)=0,"",INDEX(对接源_02物料!$U$4:$U$1203,$AF137-1200))))</f>
        <v/>
      </c>
      <c r="E137" s="41" t="str">
        <f aca="false"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F137" s="41" t="str">
        <f aca="false">IF($AF137="","",IF($AF137&lt;=1200,"01水果册","02物料册"))</f>
        <v/>
      </c>
      <c r="G137" s="42" t="str">
        <f aca="false"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44" t="str">
        <f aca="false">IFERROR(MATCH(29,_自动清单!$S$4:$S$2403,0),"")</f>
        <v/>
      </c>
    </row>
    <row r="138" customFormat="false" ht="18" hidden="false" customHeight="true" outlineLevel="0" collapsed="false">
      <c r="A138" s="45" t="str">
        <f aca="false"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46" t="str">
        <f aca="false"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47" t="str">
        <f aca="false"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D138" s="50" t="str">
        <f aca="false">IF($AF138="","",IF($AF138&lt;=1200,IF(INDEX(对接源_01水果!$U$4:$U$1203,$AF138)=0,"",INDEX(对接源_01水果!$U$4:$U$1203,$AF138)),IF(INDEX(对接源_02物料!$U$4:$U$1203,$AF138-1200)=0,"",INDEX(对接源_02物料!$U$4:$U$1203,$AF138-1200))))</f>
        <v/>
      </c>
      <c r="E138" s="46" t="str">
        <f aca="false"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F138" s="46" t="str">
        <f aca="false">IF($AF138="","",IF($AF138&lt;=1200,"01水果册","02物料册"))</f>
        <v/>
      </c>
      <c r="G138" s="47" t="str">
        <f aca="false"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44" t="str">
        <f aca="false">IFERROR(MATCH(30,_自动清单!$S$4:$S$2403,0),"")</f>
        <v/>
      </c>
    </row>
    <row r="139" customFormat="false" ht="18" hidden="false" customHeight="true" outlineLevel="0" collapsed="false">
      <c r="A139" s="40" t="str">
        <f aca="false"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41" t="str">
        <f aca="false"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42" t="str">
        <f aca="false"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D139" s="49" t="str">
        <f aca="false">IF($AF139="","",IF($AF139&lt;=1200,IF(INDEX(对接源_01水果!$U$4:$U$1203,$AF139)=0,"",INDEX(对接源_01水果!$U$4:$U$1203,$AF139)),IF(INDEX(对接源_02物料!$U$4:$U$1203,$AF139-1200)=0,"",INDEX(对接源_02物料!$U$4:$U$1203,$AF139-1200))))</f>
        <v/>
      </c>
      <c r="E139" s="41" t="str">
        <f aca="false"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F139" s="41" t="str">
        <f aca="false">IF($AF139="","",IF($AF139&lt;=1200,"01水果册","02物料册"))</f>
        <v/>
      </c>
      <c r="G139" s="42" t="str">
        <f aca="false"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44" t="str">
        <f aca="false">IFERROR(MATCH(31,_自动清单!$S$4:$S$2403,0),"")</f>
        <v/>
      </c>
    </row>
    <row r="140" customFormat="false" ht="18" hidden="false" customHeight="true" outlineLevel="0" collapsed="false">
      <c r="A140" s="45" t="str">
        <f aca="false"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46" t="str">
        <f aca="false"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47" t="str">
        <f aca="false"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D140" s="50" t="str">
        <f aca="false">IF($AF140="","",IF($AF140&lt;=1200,IF(INDEX(对接源_01水果!$U$4:$U$1203,$AF140)=0,"",INDEX(对接源_01水果!$U$4:$U$1203,$AF140)),IF(INDEX(对接源_02物料!$U$4:$U$1203,$AF140-1200)=0,"",INDEX(对接源_02物料!$U$4:$U$1203,$AF140-1200))))</f>
        <v/>
      </c>
      <c r="E140" s="46" t="str">
        <f aca="false"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F140" s="46" t="str">
        <f aca="false">IF($AF140="","",IF($AF140&lt;=1200,"01水果册","02物料册"))</f>
        <v/>
      </c>
      <c r="G140" s="47" t="str">
        <f aca="false"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44" t="str">
        <f aca="false">IFERROR(MATCH(32,_自动清单!$S$4:$S$2403,0),"")</f>
        <v/>
      </c>
    </row>
    <row r="141" customFormat="false" ht="18" hidden="false" customHeight="true" outlineLevel="0" collapsed="false">
      <c r="A141" s="40" t="str">
        <f aca="false"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41" t="str">
        <f aca="false"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42" t="str">
        <f aca="false"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D141" s="49" t="str">
        <f aca="false">IF($AF141="","",IF($AF141&lt;=1200,IF(INDEX(对接源_01水果!$U$4:$U$1203,$AF141)=0,"",INDEX(对接源_01水果!$U$4:$U$1203,$AF141)),IF(INDEX(对接源_02物料!$U$4:$U$1203,$AF141-1200)=0,"",INDEX(对接源_02物料!$U$4:$U$1203,$AF141-1200))))</f>
        <v/>
      </c>
      <c r="E141" s="41" t="str">
        <f aca="false"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F141" s="41" t="str">
        <f aca="false">IF($AF141="","",IF($AF141&lt;=1200,"01水果册","02物料册"))</f>
        <v/>
      </c>
      <c r="G141" s="42" t="str">
        <f aca="false"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44" t="str">
        <f aca="false">IFERROR(MATCH(33,_自动清单!$S$4:$S$2403,0),"")</f>
        <v/>
      </c>
    </row>
    <row r="142" customFormat="false" ht="18" hidden="false" customHeight="true" outlineLevel="0" collapsed="false">
      <c r="A142" s="45" t="str">
        <f aca="false"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46" t="str">
        <f aca="false"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47" t="str">
        <f aca="false"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D142" s="50" t="str">
        <f aca="false">IF($AF142="","",IF($AF142&lt;=1200,IF(INDEX(对接源_01水果!$U$4:$U$1203,$AF142)=0,"",INDEX(对接源_01水果!$U$4:$U$1203,$AF142)),IF(INDEX(对接源_02物料!$U$4:$U$1203,$AF142-1200)=0,"",INDEX(对接源_02物料!$U$4:$U$1203,$AF142-1200))))</f>
        <v/>
      </c>
      <c r="E142" s="46" t="str">
        <f aca="false"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F142" s="46" t="str">
        <f aca="false">IF($AF142="","",IF($AF142&lt;=1200,"01水果册","02物料册"))</f>
        <v/>
      </c>
      <c r="G142" s="47" t="str">
        <f aca="false"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44" t="str">
        <f aca="false">IFERROR(MATCH(34,_自动清单!$S$4:$S$2403,0),"")</f>
        <v/>
      </c>
    </row>
    <row r="143" customFormat="false" ht="18" hidden="false" customHeight="true" outlineLevel="0" collapsed="false">
      <c r="A143" s="40" t="str">
        <f aca="false"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41" t="str">
        <f aca="false"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42" t="str">
        <f aca="false"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D143" s="49" t="str">
        <f aca="false">IF($AF143="","",IF($AF143&lt;=1200,IF(INDEX(对接源_01水果!$U$4:$U$1203,$AF143)=0,"",INDEX(对接源_01水果!$U$4:$U$1203,$AF143)),IF(INDEX(对接源_02物料!$U$4:$U$1203,$AF143-1200)=0,"",INDEX(对接源_02物料!$U$4:$U$1203,$AF143-1200))))</f>
        <v/>
      </c>
      <c r="E143" s="41" t="str">
        <f aca="false"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F143" s="41" t="str">
        <f aca="false">IF($AF143="","",IF($AF143&lt;=1200,"01水果册","02物料册"))</f>
        <v/>
      </c>
      <c r="G143" s="42" t="str">
        <f aca="false"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44" t="str">
        <f aca="false">IFERROR(MATCH(35,_自动清单!$S$4:$S$2403,0),"")</f>
        <v/>
      </c>
    </row>
    <row r="144" customFormat="false" ht="18" hidden="false" customHeight="true" outlineLevel="0" collapsed="false">
      <c r="A144" s="45" t="str">
        <f aca="false"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46" t="str">
        <f aca="false"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47" t="str">
        <f aca="false"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D144" s="50" t="str">
        <f aca="false">IF($AF144="","",IF($AF144&lt;=1200,IF(INDEX(对接源_01水果!$U$4:$U$1203,$AF144)=0,"",INDEX(对接源_01水果!$U$4:$U$1203,$AF144)),IF(INDEX(对接源_02物料!$U$4:$U$1203,$AF144-1200)=0,"",INDEX(对接源_02物料!$U$4:$U$1203,$AF144-1200))))</f>
        <v/>
      </c>
      <c r="E144" s="46" t="str">
        <f aca="false"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F144" s="46" t="str">
        <f aca="false">IF($AF144="","",IF($AF144&lt;=1200,"01水果册","02物料册"))</f>
        <v/>
      </c>
      <c r="G144" s="47" t="str">
        <f aca="false"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44" t="str">
        <f aca="false">IFERROR(MATCH(36,_自动清单!$S$4:$S$2403,0),"")</f>
        <v/>
      </c>
    </row>
    <row r="145" customFormat="false" ht="18" hidden="false" customHeight="true" outlineLevel="0" collapsed="false">
      <c r="A145" s="40" t="str">
        <f aca="false"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41" t="str">
        <f aca="false"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42" t="str">
        <f aca="false"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D145" s="49" t="str">
        <f aca="false">IF($AF145="","",IF($AF145&lt;=1200,IF(INDEX(对接源_01水果!$U$4:$U$1203,$AF145)=0,"",INDEX(对接源_01水果!$U$4:$U$1203,$AF145)),IF(INDEX(对接源_02物料!$U$4:$U$1203,$AF145-1200)=0,"",INDEX(对接源_02物料!$U$4:$U$1203,$AF145-1200))))</f>
        <v/>
      </c>
      <c r="E145" s="41" t="str">
        <f aca="false"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F145" s="41" t="str">
        <f aca="false">IF($AF145="","",IF($AF145&lt;=1200,"01水果册","02物料册"))</f>
        <v/>
      </c>
      <c r="G145" s="42" t="str">
        <f aca="false"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44" t="str">
        <f aca="false">IFERROR(MATCH(37,_自动清单!$S$4:$S$2403,0),"")</f>
        <v/>
      </c>
    </row>
    <row r="146" customFormat="false" ht="18" hidden="false" customHeight="true" outlineLevel="0" collapsed="false">
      <c r="A146" s="45" t="str">
        <f aca="false"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46" t="str">
        <f aca="false"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47" t="str">
        <f aca="false"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D146" s="50" t="str">
        <f aca="false">IF($AF146="","",IF($AF146&lt;=1200,IF(INDEX(对接源_01水果!$U$4:$U$1203,$AF146)=0,"",INDEX(对接源_01水果!$U$4:$U$1203,$AF146)),IF(INDEX(对接源_02物料!$U$4:$U$1203,$AF146-1200)=0,"",INDEX(对接源_02物料!$U$4:$U$1203,$AF146-1200))))</f>
        <v/>
      </c>
      <c r="E146" s="46" t="str">
        <f aca="false"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F146" s="46" t="str">
        <f aca="false">IF($AF146="","",IF($AF146&lt;=1200,"01水果册","02物料册"))</f>
        <v/>
      </c>
      <c r="G146" s="47" t="str">
        <f aca="false"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44" t="str">
        <f aca="false">IFERROR(MATCH(38,_自动清单!$S$4:$S$2403,0),"")</f>
        <v/>
      </c>
    </row>
    <row r="147" customFormat="false" ht="18" hidden="false" customHeight="true" outlineLevel="0" collapsed="false">
      <c r="A147" s="40" t="str">
        <f aca="false"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41" t="str">
        <f aca="false"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42" t="str">
        <f aca="false"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D147" s="49" t="str">
        <f aca="false">IF($AF147="","",IF($AF147&lt;=1200,IF(INDEX(对接源_01水果!$U$4:$U$1203,$AF147)=0,"",INDEX(对接源_01水果!$U$4:$U$1203,$AF147)),IF(INDEX(对接源_02物料!$U$4:$U$1203,$AF147-1200)=0,"",INDEX(对接源_02物料!$U$4:$U$1203,$AF147-1200))))</f>
        <v/>
      </c>
      <c r="E147" s="41" t="str">
        <f aca="false"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F147" s="41" t="str">
        <f aca="false">IF($AF147="","",IF($AF147&lt;=1200,"01水果册","02物料册"))</f>
        <v/>
      </c>
      <c r="G147" s="42" t="str">
        <f aca="false"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44" t="str">
        <f aca="false">IFERROR(MATCH(39,_自动清单!$S$4:$S$2403,0),"")</f>
        <v/>
      </c>
    </row>
    <row r="148" customFormat="false" ht="18" hidden="false" customHeight="true" outlineLevel="0" collapsed="false">
      <c r="A148" s="45" t="str">
        <f aca="false"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46" t="str">
        <f aca="false"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47" t="str">
        <f aca="false"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D148" s="50" t="str">
        <f aca="false">IF($AF148="","",IF($AF148&lt;=1200,IF(INDEX(对接源_01水果!$U$4:$U$1203,$AF148)=0,"",INDEX(对接源_01水果!$U$4:$U$1203,$AF148)),IF(INDEX(对接源_02物料!$U$4:$U$1203,$AF148-1200)=0,"",INDEX(对接源_02物料!$U$4:$U$1203,$AF148-1200))))</f>
        <v/>
      </c>
      <c r="E148" s="46" t="str">
        <f aca="false"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F148" s="46" t="str">
        <f aca="false">IF($AF148="","",IF($AF148&lt;=1200,"01水果册","02物料册"))</f>
        <v/>
      </c>
      <c r="G148" s="47" t="str">
        <f aca="false"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44" t="str">
        <f aca="false">IFERROR(MATCH(40,_自动清单!$S$4:$S$2403,0),"")</f>
        <v/>
      </c>
    </row>
    <row r="149" customFormat="false" ht="18" hidden="false" customHeight="true" outlineLevel="0" collapsed="false">
      <c r="A149" s="40" t="str">
        <f aca="false"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41" t="str">
        <f aca="false"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42" t="str">
        <f aca="false"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D149" s="49" t="str">
        <f aca="false">IF($AF149="","",IF($AF149&lt;=1200,IF(INDEX(对接源_01水果!$U$4:$U$1203,$AF149)=0,"",INDEX(对接源_01水果!$U$4:$U$1203,$AF149)),IF(INDEX(对接源_02物料!$U$4:$U$1203,$AF149-1200)=0,"",INDEX(对接源_02物料!$U$4:$U$1203,$AF149-1200))))</f>
        <v/>
      </c>
      <c r="E149" s="41" t="str">
        <f aca="false"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F149" s="41" t="str">
        <f aca="false">IF($AF149="","",IF($AF149&lt;=1200,"01水果册","02物料册"))</f>
        <v/>
      </c>
      <c r="G149" s="42" t="str">
        <f aca="false"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44" t="str">
        <f aca="false">IFERROR(MATCH(41,_自动清单!$S$4:$S$2403,0),"")</f>
        <v/>
      </c>
    </row>
    <row r="150" customFormat="false" ht="18" hidden="false" customHeight="true" outlineLevel="0" collapsed="false">
      <c r="A150" s="45" t="str">
        <f aca="false"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46" t="str">
        <f aca="false"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47" t="str">
        <f aca="false"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D150" s="50" t="str">
        <f aca="false">IF($AF150="","",IF($AF150&lt;=1200,IF(INDEX(对接源_01水果!$U$4:$U$1203,$AF150)=0,"",INDEX(对接源_01水果!$U$4:$U$1203,$AF150)),IF(INDEX(对接源_02物料!$U$4:$U$1203,$AF150-1200)=0,"",INDEX(对接源_02物料!$U$4:$U$1203,$AF150-1200))))</f>
        <v/>
      </c>
      <c r="E150" s="46" t="str">
        <f aca="false"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F150" s="46" t="str">
        <f aca="false">IF($AF150="","",IF($AF150&lt;=1200,"01水果册","02物料册"))</f>
        <v/>
      </c>
      <c r="G150" s="47" t="str">
        <f aca="false"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44" t="str">
        <f aca="false">IFERROR(MATCH(42,_自动清单!$S$4:$S$2403,0),"")</f>
        <v/>
      </c>
    </row>
    <row r="151" customFormat="false" ht="18" hidden="false" customHeight="true" outlineLevel="0" collapsed="false">
      <c r="A151" s="40" t="str">
        <f aca="false"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41" t="str">
        <f aca="false"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42" t="str">
        <f aca="false"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D151" s="49" t="str">
        <f aca="false">IF($AF151="","",IF($AF151&lt;=1200,IF(INDEX(对接源_01水果!$U$4:$U$1203,$AF151)=0,"",INDEX(对接源_01水果!$U$4:$U$1203,$AF151)),IF(INDEX(对接源_02物料!$U$4:$U$1203,$AF151-1200)=0,"",INDEX(对接源_02物料!$U$4:$U$1203,$AF151-1200))))</f>
        <v/>
      </c>
      <c r="E151" s="41" t="str">
        <f aca="false"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F151" s="41" t="str">
        <f aca="false">IF($AF151="","",IF($AF151&lt;=1200,"01水果册","02物料册"))</f>
        <v/>
      </c>
      <c r="G151" s="42" t="str">
        <f aca="false"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44" t="str">
        <f aca="false">IFERROR(MATCH(43,_自动清单!$S$4:$S$2403,0),"")</f>
        <v/>
      </c>
    </row>
    <row r="152" customFormat="false" ht="18" hidden="false" customHeight="true" outlineLevel="0" collapsed="false">
      <c r="A152" s="45" t="str">
        <f aca="false"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46" t="str">
        <f aca="false"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47" t="str">
        <f aca="false"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D152" s="50" t="str">
        <f aca="false">IF($AF152="","",IF($AF152&lt;=1200,IF(INDEX(对接源_01水果!$U$4:$U$1203,$AF152)=0,"",INDEX(对接源_01水果!$U$4:$U$1203,$AF152)),IF(INDEX(对接源_02物料!$U$4:$U$1203,$AF152-1200)=0,"",INDEX(对接源_02物料!$U$4:$U$1203,$AF152-1200))))</f>
        <v/>
      </c>
      <c r="E152" s="46" t="str">
        <f aca="false"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F152" s="46" t="str">
        <f aca="false">IF($AF152="","",IF($AF152&lt;=1200,"01水果册","02物料册"))</f>
        <v/>
      </c>
      <c r="G152" s="47" t="str">
        <f aca="false"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44" t="str">
        <f aca="false">IFERROR(MATCH(44,_自动清单!$S$4:$S$2403,0),"")</f>
        <v/>
      </c>
    </row>
    <row r="153" customFormat="false" ht="18" hidden="false" customHeight="true" outlineLevel="0" collapsed="false">
      <c r="A153" s="40" t="str">
        <f aca="false"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41" t="str">
        <f aca="false"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42" t="str">
        <f aca="false"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D153" s="49" t="str">
        <f aca="false">IF($AF153="","",IF($AF153&lt;=1200,IF(INDEX(对接源_01水果!$U$4:$U$1203,$AF153)=0,"",INDEX(对接源_01水果!$U$4:$U$1203,$AF153)),IF(INDEX(对接源_02物料!$U$4:$U$1203,$AF153-1200)=0,"",INDEX(对接源_02物料!$U$4:$U$1203,$AF153-1200))))</f>
        <v/>
      </c>
      <c r="E153" s="41" t="str">
        <f aca="false"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F153" s="41" t="str">
        <f aca="false">IF($AF153="","",IF($AF153&lt;=1200,"01水果册","02物料册"))</f>
        <v/>
      </c>
      <c r="G153" s="42" t="str">
        <f aca="false"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44" t="str">
        <f aca="false">IFERROR(MATCH(45,_自动清单!$S$4:$S$2403,0),"")</f>
        <v/>
      </c>
    </row>
    <row r="154" customFormat="false" ht="18" hidden="false" customHeight="true" outlineLevel="0" collapsed="false">
      <c r="A154" s="45" t="str">
        <f aca="false"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46" t="str">
        <f aca="false"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47" t="str">
        <f aca="false"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D154" s="50" t="str">
        <f aca="false">IF($AF154="","",IF($AF154&lt;=1200,IF(INDEX(对接源_01水果!$U$4:$U$1203,$AF154)=0,"",INDEX(对接源_01水果!$U$4:$U$1203,$AF154)),IF(INDEX(对接源_02物料!$U$4:$U$1203,$AF154-1200)=0,"",INDEX(对接源_02物料!$U$4:$U$1203,$AF154-1200))))</f>
        <v/>
      </c>
      <c r="E154" s="46" t="str">
        <f aca="false"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F154" s="46" t="str">
        <f aca="false">IF($AF154="","",IF($AF154&lt;=1200,"01水果册","02物料册"))</f>
        <v/>
      </c>
      <c r="G154" s="47" t="str">
        <f aca="false"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44" t="str">
        <f aca="false">IFERROR(MATCH(46,_自动清单!$S$4:$S$2403,0),"")</f>
        <v/>
      </c>
    </row>
    <row r="155" customFormat="false" ht="18" hidden="false" customHeight="true" outlineLevel="0" collapsed="false">
      <c r="A155" s="40" t="str">
        <f aca="false"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41" t="str">
        <f aca="false"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42" t="str">
        <f aca="false"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D155" s="49" t="str">
        <f aca="false">IF($AF155="","",IF($AF155&lt;=1200,IF(INDEX(对接源_01水果!$U$4:$U$1203,$AF155)=0,"",INDEX(对接源_01水果!$U$4:$U$1203,$AF155)),IF(INDEX(对接源_02物料!$U$4:$U$1203,$AF155-1200)=0,"",INDEX(对接源_02物料!$U$4:$U$1203,$AF155-1200))))</f>
        <v/>
      </c>
      <c r="E155" s="41" t="str">
        <f aca="false"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F155" s="41" t="str">
        <f aca="false">IF($AF155="","",IF($AF155&lt;=1200,"01水果册","02物料册"))</f>
        <v/>
      </c>
      <c r="G155" s="42" t="str">
        <f aca="false"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44" t="str">
        <f aca="false">IFERROR(MATCH(47,_自动清单!$S$4:$S$2403,0),"")</f>
        <v/>
      </c>
    </row>
    <row r="156" customFormat="false" ht="18" hidden="false" customHeight="true" outlineLevel="0" collapsed="false">
      <c r="A156" s="45" t="str">
        <f aca="false"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46" t="str">
        <f aca="false"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47" t="str">
        <f aca="false"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D156" s="50" t="str">
        <f aca="false">IF($AF156="","",IF($AF156&lt;=1200,IF(INDEX(对接源_01水果!$U$4:$U$1203,$AF156)=0,"",INDEX(对接源_01水果!$U$4:$U$1203,$AF156)),IF(INDEX(对接源_02物料!$U$4:$U$1203,$AF156-1200)=0,"",INDEX(对接源_02物料!$U$4:$U$1203,$AF156-1200))))</f>
        <v/>
      </c>
      <c r="E156" s="46" t="str">
        <f aca="false"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F156" s="46" t="str">
        <f aca="false">IF($AF156="","",IF($AF156&lt;=1200,"01水果册","02物料册"))</f>
        <v/>
      </c>
      <c r="G156" s="47" t="str">
        <f aca="false"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44" t="str">
        <f aca="false">IFERROR(MATCH(48,_自动清单!$S$4:$S$2403,0),"")</f>
        <v/>
      </c>
    </row>
    <row r="157" customFormat="false" ht="18" hidden="false" customHeight="true" outlineLevel="0" collapsed="false">
      <c r="A157" s="40" t="str">
        <f aca="false"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41" t="str">
        <f aca="false"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42" t="str">
        <f aca="false"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D157" s="49" t="str">
        <f aca="false">IF($AF157="","",IF($AF157&lt;=1200,IF(INDEX(对接源_01水果!$U$4:$U$1203,$AF157)=0,"",INDEX(对接源_01水果!$U$4:$U$1203,$AF157)),IF(INDEX(对接源_02物料!$U$4:$U$1203,$AF157-1200)=0,"",INDEX(对接源_02物料!$U$4:$U$1203,$AF157-1200))))</f>
        <v/>
      </c>
      <c r="E157" s="41" t="str">
        <f aca="false"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F157" s="41" t="str">
        <f aca="false">IF($AF157="","",IF($AF157&lt;=1200,"01水果册","02物料册"))</f>
        <v/>
      </c>
      <c r="G157" s="42" t="str">
        <f aca="false"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44" t="str">
        <f aca="false">IFERROR(MATCH(49,_自动清单!$S$4:$S$2403,0),"")</f>
        <v/>
      </c>
    </row>
    <row r="158" customFormat="false" ht="18" hidden="false" customHeight="true" outlineLevel="0" collapsed="false">
      <c r="A158" s="45" t="str">
        <f aca="false"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46" t="str">
        <f aca="false"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47" t="str">
        <f aca="false"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D158" s="50" t="str">
        <f aca="false">IF($AF158="","",IF($AF158&lt;=1200,IF(INDEX(对接源_01水果!$U$4:$U$1203,$AF158)=0,"",INDEX(对接源_01水果!$U$4:$U$1203,$AF158)),IF(INDEX(对接源_02物料!$U$4:$U$1203,$AF158-1200)=0,"",INDEX(对接源_02物料!$U$4:$U$1203,$AF158-1200))))</f>
        <v/>
      </c>
      <c r="E158" s="46" t="str">
        <f aca="false"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F158" s="46" t="str">
        <f aca="false">IF($AF158="","",IF($AF158&lt;=1200,"01水果册","02物料册"))</f>
        <v/>
      </c>
      <c r="G158" s="47" t="str">
        <f aca="false"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44" t="str">
        <f aca="false">IFERROR(MATCH(50,_自动清单!$S$4:$S$2403,0),"")</f>
        <v/>
      </c>
    </row>
    <row r="159" customFormat="false" ht="18" hidden="false" customHeight="true" outlineLevel="0" collapsed="false">
      <c r="A159" s="40" t="str">
        <f aca="false"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41" t="str">
        <f aca="false"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42" t="str">
        <f aca="false"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D159" s="49" t="str">
        <f aca="false">IF($AF159="","",IF($AF159&lt;=1200,IF(INDEX(对接源_01水果!$U$4:$U$1203,$AF159)=0,"",INDEX(对接源_01水果!$U$4:$U$1203,$AF159)),IF(INDEX(对接源_02物料!$U$4:$U$1203,$AF159-1200)=0,"",INDEX(对接源_02物料!$U$4:$U$1203,$AF159-1200))))</f>
        <v/>
      </c>
      <c r="E159" s="41" t="str">
        <f aca="false"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F159" s="41" t="str">
        <f aca="false">IF($AF159="","",IF($AF159&lt;=1200,"01水果册","02物料册"))</f>
        <v/>
      </c>
      <c r="G159" s="42" t="str">
        <f aca="false"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44" t="str">
        <f aca="false">IFERROR(MATCH(51,_自动清单!$S$4:$S$2403,0),"")</f>
        <v/>
      </c>
    </row>
    <row r="160" customFormat="false" ht="18" hidden="false" customHeight="true" outlineLevel="0" collapsed="false">
      <c r="A160" s="45" t="str">
        <f aca="false"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46" t="str">
        <f aca="false"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47" t="str">
        <f aca="false"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D160" s="50" t="str">
        <f aca="false">IF($AF160="","",IF($AF160&lt;=1200,IF(INDEX(对接源_01水果!$U$4:$U$1203,$AF160)=0,"",INDEX(对接源_01水果!$U$4:$U$1203,$AF160)),IF(INDEX(对接源_02物料!$U$4:$U$1203,$AF160-1200)=0,"",INDEX(对接源_02物料!$U$4:$U$1203,$AF160-1200))))</f>
        <v/>
      </c>
      <c r="E160" s="46" t="str">
        <f aca="false"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F160" s="46" t="str">
        <f aca="false">IF($AF160="","",IF($AF160&lt;=1200,"01水果册","02物料册"))</f>
        <v/>
      </c>
      <c r="G160" s="47" t="str">
        <f aca="false"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44" t="str">
        <f aca="false">IFERROR(MATCH(52,_自动清单!$S$4:$S$2403,0),"")</f>
        <v/>
      </c>
    </row>
    <row r="161" customFormat="false" ht="18" hidden="false" customHeight="true" outlineLevel="0" collapsed="false">
      <c r="A161" s="40" t="str">
        <f aca="false"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41" t="str">
        <f aca="false"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42" t="str">
        <f aca="false"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D161" s="49" t="str">
        <f aca="false">IF($AF161="","",IF($AF161&lt;=1200,IF(INDEX(对接源_01水果!$U$4:$U$1203,$AF161)=0,"",INDEX(对接源_01水果!$U$4:$U$1203,$AF161)),IF(INDEX(对接源_02物料!$U$4:$U$1203,$AF161-1200)=0,"",INDEX(对接源_02物料!$U$4:$U$1203,$AF161-1200))))</f>
        <v/>
      </c>
      <c r="E161" s="41" t="str">
        <f aca="false"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F161" s="41" t="str">
        <f aca="false">IF($AF161="","",IF($AF161&lt;=1200,"01水果册","02物料册"))</f>
        <v/>
      </c>
      <c r="G161" s="42" t="str">
        <f aca="false"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44" t="str">
        <f aca="false">IFERROR(MATCH(53,_自动清单!$S$4:$S$2403,0),"")</f>
        <v/>
      </c>
    </row>
    <row r="162" customFormat="false" ht="18" hidden="false" customHeight="true" outlineLevel="0" collapsed="false">
      <c r="A162" s="45" t="str">
        <f aca="false"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46" t="str">
        <f aca="false"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47" t="str">
        <f aca="false"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D162" s="50" t="str">
        <f aca="false">IF($AF162="","",IF($AF162&lt;=1200,IF(INDEX(对接源_01水果!$U$4:$U$1203,$AF162)=0,"",INDEX(对接源_01水果!$U$4:$U$1203,$AF162)),IF(INDEX(对接源_02物料!$U$4:$U$1203,$AF162-1200)=0,"",INDEX(对接源_02物料!$U$4:$U$1203,$AF162-1200))))</f>
        <v/>
      </c>
      <c r="E162" s="46" t="str">
        <f aca="false"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F162" s="46" t="str">
        <f aca="false">IF($AF162="","",IF($AF162&lt;=1200,"01水果册","02物料册"))</f>
        <v/>
      </c>
      <c r="G162" s="47" t="str">
        <f aca="false"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44" t="str">
        <f aca="false">IFERROR(MATCH(54,_自动清单!$S$4:$S$2403,0),"")</f>
        <v/>
      </c>
    </row>
    <row r="163" customFormat="false" ht="18" hidden="false" customHeight="true" outlineLevel="0" collapsed="false">
      <c r="A163" s="40" t="str">
        <f aca="false"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41" t="str">
        <f aca="false"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42" t="str">
        <f aca="false"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D163" s="49" t="str">
        <f aca="false">IF($AF163="","",IF($AF163&lt;=1200,IF(INDEX(对接源_01水果!$U$4:$U$1203,$AF163)=0,"",INDEX(对接源_01水果!$U$4:$U$1203,$AF163)),IF(INDEX(对接源_02物料!$U$4:$U$1203,$AF163-1200)=0,"",INDEX(对接源_02物料!$U$4:$U$1203,$AF163-1200))))</f>
        <v/>
      </c>
      <c r="E163" s="41" t="str">
        <f aca="false"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F163" s="41" t="str">
        <f aca="false">IF($AF163="","",IF($AF163&lt;=1200,"01水果册","02物料册"))</f>
        <v/>
      </c>
      <c r="G163" s="42" t="str">
        <f aca="false"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44" t="str">
        <f aca="false">IFERROR(MATCH(55,_自动清单!$S$4:$S$2403,0),"")</f>
        <v/>
      </c>
    </row>
    <row r="164" customFormat="false" ht="18" hidden="false" customHeight="true" outlineLevel="0" collapsed="false">
      <c r="A164" s="45" t="str">
        <f aca="false"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46" t="str">
        <f aca="false"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47" t="str">
        <f aca="false"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D164" s="50" t="str">
        <f aca="false">IF($AF164="","",IF($AF164&lt;=1200,IF(INDEX(对接源_01水果!$U$4:$U$1203,$AF164)=0,"",INDEX(对接源_01水果!$U$4:$U$1203,$AF164)),IF(INDEX(对接源_02物料!$U$4:$U$1203,$AF164-1200)=0,"",INDEX(对接源_02物料!$U$4:$U$1203,$AF164-1200))))</f>
        <v/>
      </c>
      <c r="E164" s="46" t="str">
        <f aca="false"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F164" s="46" t="str">
        <f aca="false">IF($AF164="","",IF($AF164&lt;=1200,"01水果册","02物料册"))</f>
        <v/>
      </c>
      <c r="G164" s="47" t="str">
        <f aca="false"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44" t="str">
        <f aca="false">IFERROR(MATCH(56,_自动清单!$S$4:$S$2403,0),"")</f>
        <v/>
      </c>
    </row>
    <row r="165" customFormat="false" ht="18" hidden="false" customHeight="true" outlineLevel="0" collapsed="false">
      <c r="A165" s="40" t="str">
        <f aca="false"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41" t="str">
        <f aca="false"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42" t="str">
        <f aca="false"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D165" s="49" t="str">
        <f aca="false">IF($AF165="","",IF($AF165&lt;=1200,IF(INDEX(对接源_01水果!$U$4:$U$1203,$AF165)=0,"",INDEX(对接源_01水果!$U$4:$U$1203,$AF165)),IF(INDEX(对接源_02物料!$U$4:$U$1203,$AF165-1200)=0,"",INDEX(对接源_02物料!$U$4:$U$1203,$AF165-1200))))</f>
        <v/>
      </c>
      <c r="E165" s="41" t="str">
        <f aca="false"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F165" s="41" t="str">
        <f aca="false">IF($AF165="","",IF($AF165&lt;=1200,"01水果册","02物料册"))</f>
        <v/>
      </c>
      <c r="G165" s="42" t="str">
        <f aca="false"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44" t="str">
        <f aca="false">IFERROR(MATCH(57,_自动清单!$S$4:$S$2403,0),"")</f>
        <v/>
      </c>
    </row>
    <row r="166" customFormat="false" ht="18" hidden="false" customHeight="true" outlineLevel="0" collapsed="false">
      <c r="A166" s="45" t="str">
        <f aca="false"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46" t="str">
        <f aca="false"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47" t="str">
        <f aca="false"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D166" s="50" t="str">
        <f aca="false">IF($AF166="","",IF($AF166&lt;=1200,IF(INDEX(对接源_01水果!$U$4:$U$1203,$AF166)=0,"",INDEX(对接源_01水果!$U$4:$U$1203,$AF166)),IF(INDEX(对接源_02物料!$U$4:$U$1203,$AF166-1200)=0,"",INDEX(对接源_02物料!$U$4:$U$1203,$AF166-1200))))</f>
        <v/>
      </c>
      <c r="E166" s="46" t="str">
        <f aca="false"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F166" s="46" t="str">
        <f aca="false">IF($AF166="","",IF($AF166&lt;=1200,"01水果册","02物料册"))</f>
        <v/>
      </c>
      <c r="G166" s="47" t="str">
        <f aca="false"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44" t="str">
        <f aca="false">IFERROR(MATCH(58,_自动清单!$S$4:$S$2403,0),"")</f>
        <v/>
      </c>
    </row>
    <row r="167" customFormat="false" ht="18" hidden="false" customHeight="true" outlineLevel="0" collapsed="false">
      <c r="A167" s="40" t="str">
        <f aca="false"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41" t="str">
        <f aca="false"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42" t="str">
        <f aca="false"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D167" s="49" t="str">
        <f aca="false">IF($AF167="","",IF($AF167&lt;=1200,IF(INDEX(对接源_01水果!$U$4:$U$1203,$AF167)=0,"",INDEX(对接源_01水果!$U$4:$U$1203,$AF167)),IF(INDEX(对接源_02物料!$U$4:$U$1203,$AF167-1200)=0,"",INDEX(对接源_02物料!$U$4:$U$1203,$AF167-1200))))</f>
        <v/>
      </c>
      <c r="E167" s="41" t="str">
        <f aca="false"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F167" s="41" t="str">
        <f aca="false">IF($AF167="","",IF($AF167&lt;=1200,"01水果册","02物料册"))</f>
        <v/>
      </c>
      <c r="G167" s="42" t="str">
        <f aca="false"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44" t="str">
        <f aca="false">IFERROR(MATCH(59,_自动清单!$S$4:$S$2403,0),"")</f>
        <v/>
      </c>
    </row>
    <row r="168" customFormat="false" ht="18" hidden="false" customHeight="true" outlineLevel="0" collapsed="false">
      <c r="A168" s="45" t="str">
        <f aca="false"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46" t="str">
        <f aca="false"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47" t="str">
        <f aca="false"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D168" s="50" t="str">
        <f aca="false">IF($AF168="","",IF($AF168&lt;=1200,IF(INDEX(对接源_01水果!$U$4:$U$1203,$AF168)=0,"",INDEX(对接源_01水果!$U$4:$U$1203,$AF168)),IF(INDEX(对接源_02物料!$U$4:$U$1203,$AF168-1200)=0,"",INDEX(对接源_02物料!$U$4:$U$1203,$AF168-1200))))</f>
        <v/>
      </c>
      <c r="E168" s="46" t="str">
        <f aca="false"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F168" s="46" t="str">
        <f aca="false">IF($AF168="","",IF($AF168&lt;=1200,"01水果册","02物料册"))</f>
        <v/>
      </c>
      <c r="G168" s="47" t="str">
        <f aca="false"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44" t="str">
        <f aca="false">IFERROR(MATCH(60,_自动清单!$S$4:$S$2403,0),"")</f>
        <v/>
      </c>
    </row>
    <row r="170" customFormat="false" ht="24" hidden="false" customHeight="true" outlineLevel="0" collapsed="false">
      <c r="A170" s="35" t="s">
        <v>92</v>
      </c>
      <c r="B170" s="35"/>
      <c r="C170" s="35"/>
      <c r="D170" s="35"/>
      <c r="E170" s="36" t="n">
        <f aca="false"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-2213</v>
      </c>
      <c r="F170" s="36"/>
      <c r="G170" s="36"/>
    </row>
    <row r="171" customFormat="false" ht="30" hidden="false" customHeight="true" outlineLevel="0" collapsed="false">
      <c r="A171" s="39" t="s">
        <v>81</v>
      </c>
      <c r="B171" s="39" t="s">
        <v>82</v>
      </c>
      <c r="C171" s="39" t="s">
        <v>83</v>
      </c>
      <c r="D171" s="39" t="s">
        <v>93</v>
      </c>
      <c r="E171" s="39" t="s">
        <v>85</v>
      </c>
      <c r="F171" s="39" t="s">
        <v>86</v>
      </c>
      <c r="G171" s="39" t="s">
        <v>87</v>
      </c>
    </row>
    <row r="172" customFormat="false" ht="18" hidden="false" customHeight="true" outlineLevel="0" collapsed="false">
      <c r="A172" s="40" t="n">
        <f aca="false">IF($AG172="","",IF($AG172&lt;=1200,IF(INDEX(对接源_01水果!$B$4:$B$1203,$AG172)=0,"",INDEX(对接源_01水果!$B$4:$B$1203,$AG172)),IF(INDEX(对接源_02物料!$B$4:$B$1203,$AG172-1200)=0,"",INDEX(对接源_02物料!$B$4:$B$1203,$AG172-1200))))</f>
        <v>46247</v>
      </c>
      <c r="B172" s="41" t="str">
        <f aca="false">IF($AG172="","",IF($AG172&lt;=1200,IF(INDEX(对接源_01水果!$E$4:$E$1203,$AG172)=0,"",INDEX(对接源_01水果!$E$4:$E$1203,$AG172)),IF(INDEX(对接源_02物料!$E$4:$E$1203,$AG172-1200)=0,"",INDEX(对接源_02物料!$E$4:$E$1203,$AG172-1200))))</f>
        <v>NO0000765</v>
      </c>
      <c r="C172" s="42" t="str">
        <f aca="false">IF($AG172="","",IF($AG172&lt;=1200,IF(INDEX(对接源_01水果!$S$4:$S$1203,$AG172)=0,"",INDEX(对接源_01水果!$S$4:$S$1203,$AG172)),IF(INDEX(对接源_02物料!$S$4:$S$1203,$AG172-1200)=0,"",INDEX(对接源_02物料!$S$4:$S$1203,$AG172-1200))))</f>
        <v>公司杂周转筐</v>
      </c>
      <c r="D172" s="49" t="n">
        <f aca="false">IF($AG172="","",IF($AG172&lt;=1200,IF(INDEX(对接源_01水果!$V$4:$V$1203,$AG172)=0,"",INDEX(对接源_01水果!$V$4:$V$1203,$AG172)),IF(INDEX(对接源_02物料!$V$4:$V$1203,$AG172-1200)=0,"",INDEX(对接源_02物料!$V$4:$V$1203,$AG172-1200))))</f>
        <v>187</v>
      </c>
      <c r="E172" s="41" t="str">
        <f aca="false">IF($AG172="","",IF($AG172&lt;=1200,IF(INDEX(对接源_01水果!$W$4:$W$1203,$AG172)=0,"",INDEX(对接源_01水果!$W$4:$W$1203,$AG172)),IF(INDEX(对接源_02物料!$W$4:$W$1203,$AG172-1200)=0,"",INDEX(对接源_02物料!$W$4:$W$1203,$AG172-1200))))</f>
        <v>豫L*88X19</v>
      </c>
      <c r="F172" s="41" t="str">
        <f aca="false">IF($AG172="","",IF($AG172&lt;=1200,"01水果册","02物料册"))</f>
        <v>01水果册</v>
      </c>
      <c r="G172" s="42" t="str">
        <f aca="false">IF($AG172="","",IF($AG172&lt;=1200,IF(INDEX(对接源_01水果!$M$4:$M$1203,$AG172)=0,"",INDEX(对接源_01水果!$M$4:$M$1203,$AG172)),IF(INDEX(对接源_02物料!$M$4:$M$1203,$AG172-1200)=0,"",INDEX(对接源_02物料!$M$4:$M$1203,$AG172-1200))))</f>
        <v/>
      </c>
      <c r="AG172" s="44" t="n">
        <f aca="false">IFERROR(MATCH(1,_自动清单!$U$4:$U$2403,0),"")</f>
        <v>15</v>
      </c>
    </row>
    <row r="173" customFormat="false" ht="18" hidden="false" customHeight="true" outlineLevel="0" collapsed="false">
      <c r="A173" s="45" t="n">
        <f aca="false">IF($AG173="","",IF($AG173&lt;=1200,IF(INDEX(对接源_01水果!$B$4:$B$1203,$AG173)=0,"",INDEX(对接源_01水果!$B$4:$B$1203,$AG173)),IF(INDEX(对接源_02物料!$B$4:$B$1203,$AG173-1200)=0,"",INDEX(对接源_02物料!$B$4:$B$1203,$AG173-1200))))</f>
        <v>46247</v>
      </c>
      <c r="B173" s="46" t="str">
        <f aca="false">IF($AG173="","",IF($AG173&lt;=1200,IF(INDEX(对接源_01水果!$E$4:$E$1203,$AG173)=0,"",INDEX(对接源_01水果!$E$4:$E$1203,$AG173)),IF(INDEX(对接源_02物料!$E$4:$E$1203,$AG173-1200)=0,"",INDEX(对接源_02物料!$E$4:$E$1203,$AG173-1200))))</f>
        <v>NO0000765</v>
      </c>
      <c r="C173" s="47" t="str">
        <f aca="false">IF($AG173="","",IF($AG173&lt;=1200,IF(INDEX(对接源_01水果!$S$4:$S$1203,$AG173)=0,"",INDEX(对接源_01水果!$S$4:$S$1203,$AG173)),IF(INDEX(对接源_02物料!$S$4:$S$1203,$AG173-1200)=0,"",INDEX(对接源_02物料!$S$4:$S$1203,$AG173-1200))))</f>
        <v>公司杂周转筐</v>
      </c>
      <c r="D173" s="50" t="n">
        <f aca="false">IF($AG173="","",IF($AG173&lt;=1200,IF(INDEX(对接源_01水果!$V$4:$V$1203,$AG173)=0,"",INDEX(对接源_01水果!$V$4:$V$1203,$AG173)),IF(INDEX(对接源_02物料!$V$4:$V$1203,$AG173-1200)=0,"",INDEX(对接源_02物料!$V$4:$V$1203,$AG173-1200))))</f>
        <v>49</v>
      </c>
      <c r="E173" s="46" t="str">
        <f aca="false">IF($AG173="","",IF($AG173&lt;=1200,IF(INDEX(对接源_01水果!$W$4:$W$1203,$AG173)=0,"",INDEX(对接源_01水果!$W$4:$W$1203,$AG173)),IF(INDEX(对接源_02物料!$W$4:$W$1203,$AG173-1200)=0,"",INDEX(对接源_02物料!$W$4:$W$1203,$AG173-1200))))</f>
        <v>豫L*88X19</v>
      </c>
      <c r="F173" s="46" t="str">
        <f aca="false">IF($AG173="","",IF($AG173&lt;=1200,"01水果册","02物料册"))</f>
        <v>01水果册</v>
      </c>
      <c r="G173" s="47" t="str">
        <f aca="false">IF($AG173="","",IF($AG173&lt;=1200,IF(INDEX(对接源_01水果!$M$4:$M$1203,$AG173)=0,"",INDEX(对接源_01水果!$M$4:$M$1203,$AG173)),IF(INDEX(对接源_02物料!$M$4:$M$1203,$AG173-1200)=0,"",INDEX(对接源_02物料!$M$4:$M$1203,$AG173-1200))))</f>
        <v/>
      </c>
      <c r="AG173" s="44" t="n">
        <f aca="false">IFERROR(MATCH(2,_自动清单!$U$4:$U$2403,0),"")</f>
        <v>16</v>
      </c>
    </row>
    <row r="174" customFormat="false" ht="18" hidden="false" customHeight="true" outlineLevel="0" collapsed="false">
      <c r="A174" s="40" t="n">
        <f aca="false">IF($AG174="","",IF($AG174&lt;=1200,IF(INDEX(对接源_01水果!$B$4:$B$1203,$AG174)=0,"",INDEX(对接源_01水果!$B$4:$B$1203,$AG174)),IF(INDEX(对接源_02物料!$B$4:$B$1203,$AG174-1200)=0,"",INDEX(对接源_02物料!$B$4:$B$1203,$AG174-1200))))</f>
        <v>46247</v>
      </c>
      <c r="B174" s="41" t="str">
        <f aca="false">IF($AG174="","",IF($AG174&lt;=1200,IF(INDEX(对接源_01水果!$E$4:$E$1203,$AG174)=0,"",INDEX(对接源_01水果!$E$4:$E$1203,$AG174)),IF(INDEX(对接源_02物料!$E$4:$E$1203,$AG174-1200)=0,"",INDEX(对接源_02物料!$E$4:$E$1203,$AG174-1200))))</f>
        <v>NO0000765</v>
      </c>
      <c r="C174" s="42" t="str">
        <f aca="false">IF($AG174="","",IF($AG174&lt;=1200,IF(INDEX(对接源_01水果!$S$4:$S$1203,$AG174)=0,"",INDEX(对接源_01水果!$S$4:$S$1203,$AG174)),IF(INDEX(对接源_02物料!$S$4:$S$1203,$AG174-1200)=0,"",INDEX(对接源_02物料!$S$4:$S$1203,$AG174-1200))))</f>
        <v>公司杂周转筐</v>
      </c>
      <c r="D174" s="49" t="n">
        <f aca="false">IF($AG174="","",IF($AG174&lt;=1200,IF(INDEX(对接源_01水果!$V$4:$V$1203,$AG174)=0,"",INDEX(对接源_01水果!$V$4:$V$1203,$AG174)),IF(INDEX(对接源_02物料!$V$4:$V$1203,$AG174-1200)=0,"",INDEX(对接源_02物料!$V$4:$V$1203,$AG174-1200))))</f>
        <v>11</v>
      </c>
      <c r="E174" s="41" t="str">
        <f aca="false">IF($AG174="","",IF($AG174&lt;=1200,IF(INDEX(对接源_01水果!$W$4:$W$1203,$AG174)=0,"",INDEX(对接源_01水果!$W$4:$W$1203,$AG174)),IF(INDEX(对接源_02物料!$W$4:$W$1203,$AG174-1200)=0,"",INDEX(对接源_02物料!$W$4:$W$1203,$AG174-1200))))</f>
        <v>豫L*88X19</v>
      </c>
      <c r="F174" s="41" t="str">
        <f aca="false">IF($AG174="","",IF($AG174&lt;=1200,"01水果册","02物料册"))</f>
        <v>01水果册</v>
      </c>
      <c r="G174" s="42" t="str">
        <f aca="false">IF($AG174="","",IF($AG174&lt;=1200,IF(INDEX(对接源_01水果!$M$4:$M$1203,$AG174)=0,"",INDEX(对接源_01水果!$M$4:$M$1203,$AG174)),IF(INDEX(对接源_02物料!$M$4:$M$1203,$AG174-1200)=0,"",INDEX(对接源_02物料!$M$4:$M$1203,$AG174-1200))))</f>
        <v/>
      </c>
      <c r="AG174" s="44" t="n">
        <f aca="false">IFERROR(MATCH(3,_自动清单!$U$4:$U$2403,0),"")</f>
        <v>17</v>
      </c>
    </row>
    <row r="175" customFormat="false" ht="18" hidden="false" customHeight="true" outlineLevel="0" collapsed="false">
      <c r="A175" s="45" t="n">
        <f aca="false">IF($AG175="","",IF($AG175&lt;=1200,IF(INDEX(对接源_01水果!$B$4:$B$1203,$AG175)=0,"",INDEX(对接源_01水果!$B$4:$B$1203,$AG175)),IF(INDEX(对接源_02物料!$B$4:$B$1203,$AG175-1200)=0,"",INDEX(对接源_02物料!$B$4:$B$1203,$AG175-1200))))</f>
        <v>46255</v>
      </c>
      <c r="B175" s="46" t="str">
        <f aca="false">IF($AG175="","",IF($AG175&lt;=1200,IF(INDEX(对接源_01水果!$E$4:$E$1203,$AG175)=0,"",INDEX(对接源_01水果!$E$4:$E$1203,$AG175)),IF(INDEX(对接源_02物料!$E$4:$E$1203,$AG175-1200)=0,"",INDEX(对接源_02物料!$E$4:$E$1203,$AG175-1200))))</f>
        <v>NO0000710</v>
      </c>
      <c r="C175" s="47" t="str">
        <f aca="false">IF($AG175="","",IF($AG175&lt;=1200,IF(INDEX(对接源_01水果!$S$4:$S$1203,$AG175)=0,"",INDEX(对接源_01水果!$S$4:$S$1203,$AG175)),IF(INDEX(对接源_02物料!$S$4:$S$1203,$AG175-1200)=0,"",INDEX(对接源_02物料!$S$4:$S$1203,$AG175-1200))))</f>
        <v>公司杂周转筐</v>
      </c>
      <c r="D175" s="50" t="n">
        <f aca="false">IF($AG175="","",IF($AG175&lt;=1200,IF(INDEX(对接源_01水果!$V$4:$V$1203,$AG175)=0,"",INDEX(对接源_01水果!$V$4:$V$1203,$AG175)),IF(INDEX(对接源_02物料!$V$4:$V$1203,$AG175-1200)=0,"",INDEX(对接源_02物料!$V$4:$V$1203,$AG175-1200))))</f>
        <v>57</v>
      </c>
      <c r="E175" s="46" t="str">
        <f aca="false">IF($AG175="","",IF($AG175&lt;=1200,IF(INDEX(对接源_01水果!$W$4:$W$1203,$AG175)=0,"",INDEX(对接源_01水果!$W$4:$W$1203,$AG175)),IF(INDEX(对接源_02物料!$W$4:$W$1203,$AG175-1200)=0,"",INDEX(对接源_02物料!$W$4:$W$1203,$AG175-1200))))</f>
        <v>豫L*88X19</v>
      </c>
      <c r="F175" s="46" t="str">
        <f aca="false">IF($AG175="","",IF($AG175&lt;=1200,"01水果册","02物料册"))</f>
        <v>01水果册</v>
      </c>
      <c r="G175" s="47" t="str">
        <f aca="false">IF($AG175="","",IF($AG175&lt;=1200,IF(INDEX(对接源_01水果!$M$4:$M$1203,$AG175)=0,"",INDEX(对接源_01水果!$M$4:$M$1203,$AG175)),IF(INDEX(对接源_02物料!$M$4:$M$1203,$AG175-1200)=0,"",INDEX(对接源_02物料!$M$4:$M$1203,$AG175-1200))))</f>
        <v/>
      </c>
      <c r="AG175" s="44" t="n">
        <f aca="false">IFERROR(MATCH(4,_自动清单!$U$4:$U$2403,0),"")</f>
        <v>34</v>
      </c>
    </row>
    <row r="176" customFormat="false" ht="18" hidden="false" customHeight="true" outlineLevel="0" collapsed="false">
      <c r="A176" s="40" t="n">
        <f aca="false">IF($AG176="","",IF($AG176&lt;=1200,IF(INDEX(对接源_01水果!$B$4:$B$1203,$AG176)=0,"",INDEX(对接源_01水果!$B$4:$B$1203,$AG176)),IF(INDEX(对接源_02物料!$B$4:$B$1203,$AG176-1200)=0,"",INDEX(对接源_02物料!$B$4:$B$1203,$AG176-1200))))</f>
        <v>46255</v>
      </c>
      <c r="B176" s="41" t="str">
        <f aca="false">IF($AG176="","",IF($AG176&lt;=1200,IF(INDEX(对接源_01水果!$E$4:$E$1203,$AG176)=0,"",INDEX(对接源_01水果!$E$4:$E$1203,$AG176)),IF(INDEX(对接源_02物料!$E$4:$E$1203,$AG176-1200)=0,"",INDEX(对接源_02物料!$E$4:$E$1203,$AG176-1200))))</f>
        <v>NO0000710</v>
      </c>
      <c r="C176" s="42" t="str">
        <f aca="false">IF($AG176="","",IF($AG176&lt;=1200,IF(INDEX(对接源_01水果!$S$4:$S$1203,$AG176)=0,"",INDEX(对接源_01水果!$S$4:$S$1203,$AG176)),IF(INDEX(对接源_02物料!$S$4:$S$1203,$AG176-1200)=0,"",INDEX(对接源_02物料!$S$4:$S$1203,$AG176-1200))))</f>
        <v>公司杂周转筐</v>
      </c>
      <c r="D176" s="49" t="n">
        <f aca="false">IF($AG176="","",IF($AG176&lt;=1200,IF(INDEX(对接源_01水果!$V$4:$V$1203,$AG176)=0,"",INDEX(对接源_01水果!$V$4:$V$1203,$AG176)),IF(INDEX(对接源_02物料!$V$4:$V$1203,$AG176-1200)=0,"",INDEX(对接源_02物料!$V$4:$V$1203,$AG176-1200))))</f>
        <v>18</v>
      </c>
      <c r="E176" s="41" t="str">
        <f aca="false">IF($AG176="","",IF($AG176&lt;=1200,IF(INDEX(对接源_01水果!$W$4:$W$1203,$AG176)=0,"",INDEX(对接源_01水果!$W$4:$W$1203,$AG176)),IF(INDEX(对接源_02物料!$W$4:$W$1203,$AG176-1200)=0,"",INDEX(对接源_02物料!$W$4:$W$1203,$AG176-1200))))</f>
        <v>豫L*88X19</v>
      </c>
      <c r="F176" s="41" t="str">
        <f aca="false">IF($AG176="","",IF($AG176&lt;=1200,"01水果册","02物料册"))</f>
        <v>01水果册</v>
      </c>
      <c r="G176" s="42" t="str">
        <f aca="false">IF($AG176="","",IF($AG176&lt;=1200,IF(INDEX(对接源_01水果!$M$4:$M$1203,$AG176)=0,"",INDEX(对接源_01水果!$M$4:$M$1203,$AG176)),IF(INDEX(对接源_02物料!$M$4:$M$1203,$AG176-1200)=0,"",INDEX(对接源_02物料!$M$4:$M$1203,$AG176-1200))))</f>
        <v/>
      </c>
      <c r="AG176" s="44" t="n">
        <f aca="false">IFERROR(MATCH(5,_自动清单!$U$4:$U$2403,0),"")</f>
        <v>35</v>
      </c>
    </row>
    <row r="177" customFormat="false" ht="18" hidden="false" customHeight="true" outlineLevel="0" collapsed="false">
      <c r="A177" s="45" t="n">
        <f aca="false">IF($AG177="","",IF($AG177&lt;=1200,IF(INDEX(对接源_01水果!$B$4:$B$1203,$AG177)=0,"",INDEX(对接源_01水果!$B$4:$B$1203,$AG177)),IF(INDEX(对接源_02物料!$B$4:$B$1203,$AG177-1200)=0,"",INDEX(对接源_02物料!$B$4:$B$1203,$AG177-1200))))</f>
        <v>46255</v>
      </c>
      <c r="B177" s="46" t="str">
        <f aca="false">IF($AG177="","",IF($AG177&lt;=1200,IF(INDEX(对接源_01水果!$E$4:$E$1203,$AG177)=0,"",INDEX(对接源_01水果!$E$4:$E$1203,$AG177)),IF(INDEX(对接源_02物料!$E$4:$E$1203,$AG177-1200)=0,"",INDEX(对接源_02物料!$E$4:$E$1203,$AG177-1200))))</f>
        <v>NO0000710</v>
      </c>
      <c r="C177" s="47" t="str">
        <f aca="false">IF($AG177="","",IF($AG177&lt;=1200,IF(INDEX(对接源_01水果!$S$4:$S$1203,$AG177)=0,"",INDEX(对接源_01水果!$S$4:$S$1203,$AG177)),IF(INDEX(对接源_02物料!$S$4:$S$1203,$AG177-1200)=0,"",INDEX(对接源_02物料!$S$4:$S$1203,$AG177-1200))))</f>
        <v>公司杂周转筐</v>
      </c>
      <c r="D177" s="50" t="n">
        <f aca="false">IF($AG177="","",IF($AG177&lt;=1200,IF(INDEX(对接源_01水果!$V$4:$V$1203,$AG177)=0,"",INDEX(对接源_01水果!$V$4:$V$1203,$AG177)),IF(INDEX(对接源_02物料!$V$4:$V$1203,$AG177-1200)=0,"",INDEX(对接源_02物料!$V$4:$V$1203,$AG177-1200))))</f>
        <v>18</v>
      </c>
      <c r="E177" s="46" t="str">
        <f aca="false">IF($AG177="","",IF($AG177&lt;=1200,IF(INDEX(对接源_01水果!$W$4:$W$1203,$AG177)=0,"",INDEX(对接源_01水果!$W$4:$W$1203,$AG177)),IF(INDEX(对接源_02物料!$W$4:$W$1203,$AG177-1200)=0,"",INDEX(对接源_02物料!$W$4:$W$1203,$AG177-1200))))</f>
        <v>豫L*88X19</v>
      </c>
      <c r="F177" s="46" t="str">
        <f aca="false">IF($AG177="","",IF($AG177&lt;=1200,"01水果册","02物料册"))</f>
        <v>01水果册</v>
      </c>
      <c r="G177" s="47" t="str">
        <f aca="false">IF($AG177="","",IF($AG177&lt;=1200,IF(INDEX(对接源_01水果!$M$4:$M$1203,$AG177)=0,"",INDEX(对接源_01水果!$M$4:$M$1203,$AG177)),IF(INDEX(对接源_02物料!$M$4:$M$1203,$AG177-1200)=0,"",INDEX(对接源_02物料!$M$4:$M$1203,$AG177-1200))))</f>
        <v/>
      </c>
      <c r="AG177" s="44" t="n">
        <f aca="false">IFERROR(MATCH(6,_自动清单!$U$4:$U$2403,0),"")</f>
        <v>36</v>
      </c>
    </row>
    <row r="178" customFormat="false" ht="18" hidden="false" customHeight="true" outlineLevel="0" collapsed="false">
      <c r="A178" s="40" t="n">
        <f aca="false">IF($AG178="","",IF($AG178&lt;=1200,IF(INDEX(对接源_01水果!$B$4:$B$1203,$AG178)=0,"",INDEX(对接源_01水果!$B$4:$B$1203,$AG178)),IF(INDEX(对接源_02物料!$B$4:$B$1203,$AG178-1200)=0,"",INDEX(对接源_02物料!$B$4:$B$1203,$AG178-1200))))</f>
        <v>46258</v>
      </c>
      <c r="B178" s="41" t="str">
        <f aca="false">IF($AG178="","",IF($AG178&lt;=1200,IF(INDEX(对接源_01水果!$E$4:$E$1203,$AG178)=0,"",INDEX(对接源_01水果!$E$4:$E$1203,$AG178)),IF(INDEX(对接源_02物料!$E$4:$E$1203,$AG178-1200)=0,"",INDEX(对接源_02物料!$E$4:$E$1203,$AG178-1200))))</f>
        <v>NO0000721</v>
      </c>
      <c r="C178" s="42" t="str">
        <f aca="false">IF($AG178="","",IF($AG178&lt;=1200,IF(INDEX(对接源_01水果!$S$4:$S$1203,$AG178)=0,"",INDEX(对接源_01水果!$S$4:$S$1203,$AG178)),IF(INDEX(对接源_02物料!$S$4:$S$1203,$AG178-1200)=0,"",INDEX(对接源_02物料!$S$4:$S$1203,$AG178-1200))))</f>
        <v>公司杂周转筐</v>
      </c>
      <c r="D178" s="49" t="n">
        <f aca="false">IF($AG178="","",IF($AG178&lt;=1200,IF(INDEX(对接源_01水果!$V$4:$V$1203,$AG178)=0,"",INDEX(对接源_01水果!$V$4:$V$1203,$AG178)),IF(INDEX(对接源_02物料!$V$4:$V$1203,$AG178-1200)=0,"",INDEX(对接源_02物料!$V$4:$V$1203,$AG178-1200))))</f>
        <v>136</v>
      </c>
      <c r="E178" s="41" t="str">
        <f aca="false">IF($AG178="","",IF($AG178&lt;=1200,IF(INDEX(对接源_01水果!$W$4:$W$1203,$AG178)=0,"",INDEX(对接源_01水果!$W$4:$W$1203,$AG178)),IF(INDEX(对接源_02物料!$W$4:$W$1203,$AG178-1200)=0,"",INDEX(对接源_02物料!$W$4:$W$1203,$AG178-1200))))</f>
        <v>豫L*88X19</v>
      </c>
      <c r="F178" s="41" t="str">
        <f aca="false">IF($AG178="","",IF($AG178&lt;=1200,"01水果册","02物料册"))</f>
        <v>01水果册</v>
      </c>
      <c r="G178" s="42" t="str">
        <f aca="false">IF($AG178="","",IF($AG178&lt;=1200,IF(INDEX(对接源_01水果!$M$4:$M$1203,$AG178)=0,"",INDEX(对接源_01水果!$M$4:$M$1203,$AG178)),IF(INDEX(对接源_02物料!$M$4:$M$1203,$AG178-1200)=0,"",INDEX(对接源_02物料!$M$4:$M$1203,$AG178-1200))))</f>
        <v/>
      </c>
      <c r="AG178" s="44" t="n">
        <f aca="false">IFERROR(MATCH(7,_自动清单!$U$4:$U$2403,0),"")</f>
        <v>43</v>
      </c>
    </row>
    <row r="179" customFormat="false" ht="18" hidden="false" customHeight="true" outlineLevel="0" collapsed="false">
      <c r="A179" s="45" t="n">
        <f aca="false">IF($AG179="","",IF($AG179&lt;=1200,IF(INDEX(对接源_01水果!$B$4:$B$1203,$AG179)=0,"",INDEX(对接源_01水果!$B$4:$B$1203,$AG179)),IF(INDEX(对接源_02物料!$B$4:$B$1203,$AG179-1200)=0,"",INDEX(对接源_02物料!$B$4:$B$1203,$AG179-1200))))</f>
        <v>46258</v>
      </c>
      <c r="B179" s="46" t="str">
        <f aca="false">IF($AG179="","",IF($AG179&lt;=1200,IF(INDEX(对接源_01水果!$E$4:$E$1203,$AG179)=0,"",INDEX(对接源_01水果!$E$4:$E$1203,$AG179)),IF(INDEX(对接源_02物料!$E$4:$E$1203,$AG179-1200)=0,"",INDEX(对接源_02物料!$E$4:$E$1203,$AG179-1200))))</f>
        <v>NO0000721</v>
      </c>
      <c r="C179" s="47" t="str">
        <f aca="false">IF($AG179="","",IF($AG179&lt;=1200,IF(INDEX(对接源_01水果!$S$4:$S$1203,$AG179)=0,"",INDEX(对接源_01水果!$S$4:$S$1203,$AG179)),IF(INDEX(对接源_02物料!$S$4:$S$1203,$AG179-1200)=0,"",INDEX(对接源_02物料!$S$4:$S$1203,$AG179-1200))))</f>
        <v>公司杂周转筐</v>
      </c>
      <c r="D179" s="50" t="n">
        <f aca="false">IF($AG179="","",IF($AG179&lt;=1200,IF(INDEX(对接源_01水果!$V$4:$V$1203,$AG179)=0,"",INDEX(对接源_01水果!$V$4:$V$1203,$AG179)),IF(INDEX(对接源_02物料!$V$4:$V$1203,$AG179-1200)=0,"",INDEX(对接源_02物料!$V$4:$V$1203,$AG179-1200))))</f>
        <v>66</v>
      </c>
      <c r="E179" s="46" t="str">
        <f aca="false">IF($AG179="","",IF($AG179&lt;=1200,IF(INDEX(对接源_01水果!$W$4:$W$1203,$AG179)=0,"",INDEX(对接源_01水果!$W$4:$W$1203,$AG179)),IF(INDEX(对接源_02物料!$W$4:$W$1203,$AG179-1200)=0,"",INDEX(对接源_02物料!$W$4:$W$1203,$AG179-1200))))</f>
        <v>豫L*88X19</v>
      </c>
      <c r="F179" s="46" t="str">
        <f aca="false">IF($AG179="","",IF($AG179&lt;=1200,"01水果册","02物料册"))</f>
        <v>01水果册</v>
      </c>
      <c r="G179" s="47" t="str">
        <f aca="false">IF($AG179="","",IF($AG179&lt;=1200,IF(INDEX(对接源_01水果!$M$4:$M$1203,$AG179)=0,"",INDEX(对接源_01水果!$M$4:$M$1203,$AG179)),IF(INDEX(对接源_02物料!$M$4:$M$1203,$AG179-1200)=0,"",INDEX(对接源_02物料!$M$4:$M$1203,$AG179-1200))))</f>
        <v/>
      </c>
      <c r="AG179" s="44" t="n">
        <f aca="false">IFERROR(MATCH(8,_自动清单!$U$4:$U$2403,0),"")</f>
        <v>44</v>
      </c>
    </row>
    <row r="180" customFormat="false" ht="18" hidden="false" customHeight="true" outlineLevel="0" collapsed="false">
      <c r="A180" s="40" t="n">
        <f aca="false">IF($AG180="","",IF($AG180&lt;=1200,IF(INDEX(对接源_01水果!$B$4:$B$1203,$AG180)=0,"",INDEX(对接源_01水果!$B$4:$B$1203,$AG180)),IF(INDEX(对接源_02物料!$B$4:$B$1203,$AG180-1200)=0,"",INDEX(对接源_02物料!$B$4:$B$1203,$AG180-1200))))</f>
        <v>46258</v>
      </c>
      <c r="B180" s="41" t="str">
        <f aca="false">IF($AG180="","",IF($AG180&lt;=1200,IF(INDEX(对接源_01水果!$E$4:$E$1203,$AG180)=0,"",INDEX(对接源_01水果!$E$4:$E$1203,$AG180)),IF(INDEX(对接源_02物料!$E$4:$E$1203,$AG180-1200)=0,"",INDEX(对接源_02物料!$E$4:$E$1203,$AG180-1200))))</f>
        <v>NO0000721</v>
      </c>
      <c r="C180" s="42" t="str">
        <f aca="false">IF($AG180="","",IF($AG180&lt;=1200,IF(INDEX(对接源_01水果!$S$4:$S$1203,$AG180)=0,"",INDEX(对接源_01水果!$S$4:$S$1203,$AG180)),IF(INDEX(对接源_02物料!$S$4:$S$1203,$AG180-1200)=0,"",INDEX(对接源_02物料!$S$4:$S$1203,$AG180-1200))))</f>
        <v>公司杂周转筐</v>
      </c>
      <c r="D180" s="49" t="n">
        <f aca="false">IF($AG180="","",IF($AG180&lt;=1200,IF(INDEX(对接源_01水果!$V$4:$V$1203,$AG180)=0,"",INDEX(对接源_01水果!$V$4:$V$1203,$AG180)),IF(INDEX(对接源_02物料!$V$4:$V$1203,$AG180-1200)=0,"",INDEX(对接源_02物料!$V$4:$V$1203,$AG180-1200))))</f>
        <v>48</v>
      </c>
      <c r="E180" s="41" t="str">
        <f aca="false">IF($AG180="","",IF($AG180&lt;=1200,IF(INDEX(对接源_01水果!$W$4:$W$1203,$AG180)=0,"",INDEX(对接源_01水果!$W$4:$W$1203,$AG180)),IF(INDEX(对接源_02物料!$W$4:$W$1203,$AG180-1200)=0,"",INDEX(对接源_02物料!$W$4:$W$1203,$AG180-1200))))</f>
        <v>豫L*88X19</v>
      </c>
      <c r="F180" s="41" t="str">
        <f aca="false">IF($AG180="","",IF($AG180&lt;=1200,"01水果册","02物料册"))</f>
        <v>01水果册</v>
      </c>
      <c r="G180" s="42" t="str">
        <f aca="false">IF($AG180="","",IF($AG180&lt;=1200,IF(INDEX(对接源_01水果!$M$4:$M$1203,$AG180)=0,"",INDEX(对接源_01水果!$M$4:$M$1203,$AG180)),IF(INDEX(对接源_02物料!$M$4:$M$1203,$AG180-1200)=0,"",INDEX(对接源_02物料!$M$4:$M$1203,$AG180-1200))))</f>
        <v/>
      </c>
      <c r="AG180" s="44" t="n">
        <f aca="false">IFERROR(MATCH(9,_自动清单!$U$4:$U$2403,0),"")</f>
        <v>45</v>
      </c>
    </row>
    <row r="181" customFormat="false" ht="18" hidden="false" customHeight="true" outlineLevel="0" collapsed="false">
      <c r="A181" s="45" t="n">
        <f aca="false">IF($AG181="","",IF($AG181&lt;=1200,IF(INDEX(对接源_01水果!$B$4:$B$1203,$AG181)=0,"",INDEX(对接源_01水果!$B$4:$B$1203,$AG181)),IF(INDEX(对接源_02物料!$B$4:$B$1203,$AG181-1200)=0,"",INDEX(对接源_02物料!$B$4:$B$1203,$AG181-1200))))</f>
        <v>46260</v>
      </c>
      <c r="B181" s="46" t="str">
        <f aca="false">IF($AG181="","",IF($AG181&lt;=1200,IF(INDEX(对接源_01水果!$E$4:$E$1203,$AG181)=0,"",INDEX(对接源_01水果!$E$4:$E$1203,$AG181)),IF(INDEX(对接源_02物料!$E$4:$E$1203,$AG181-1200)=0,"",INDEX(对接源_02物料!$E$4:$E$1203,$AG181-1200))))</f>
        <v>NO0000732</v>
      </c>
      <c r="C181" s="47" t="str">
        <f aca="false">IF($AG181="","",IF($AG181&lt;=1200,IF(INDEX(对接源_01水果!$S$4:$S$1203,$AG181)=0,"",INDEX(对接源_01水果!$S$4:$S$1203,$AG181)),IF(INDEX(对接源_02物料!$S$4:$S$1203,$AG181-1200)=0,"",INDEX(对接源_02物料!$S$4:$S$1203,$AG181-1200))))</f>
        <v>公司杂周转筐</v>
      </c>
      <c r="D181" s="50" t="n">
        <f aca="false">IF($AG181="","",IF($AG181&lt;=1200,IF(INDEX(对接源_01水果!$V$4:$V$1203,$AG181)=0,"",INDEX(对接源_01水果!$V$4:$V$1203,$AG181)),IF(INDEX(对接源_02物料!$V$4:$V$1203,$AG181-1200)=0,"",INDEX(对接源_02物料!$V$4:$V$1203,$AG181-1200))))</f>
        <v>174</v>
      </c>
      <c r="E181" s="46" t="str">
        <f aca="false">IF($AG181="","",IF($AG181&lt;=1200,IF(INDEX(对接源_01水果!$W$4:$W$1203,$AG181)=0,"",INDEX(对接源_01水果!$W$4:$W$1203,$AG181)),IF(INDEX(对接源_02物料!$W$4:$W$1203,$AG181-1200)=0,"",INDEX(对接源_02物料!$W$4:$W$1203,$AG181-1200))))</f>
        <v>豫L*88X19</v>
      </c>
      <c r="F181" s="46" t="str">
        <f aca="false">IF($AG181="","",IF($AG181&lt;=1200,"01水果册","02物料册"))</f>
        <v>01水果册</v>
      </c>
      <c r="G181" s="47" t="str">
        <f aca="false">IF($AG181="","",IF($AG181&lt;=1200,IF(INDEX(对接源_01水果!$M$4:$M$1203,$AG181)=0,"",INDEX(对接源_01水果!$M$4:$M$1203,$AG181)),IF(INDEX(对接源_02物料!$M$4:$M$1203,$AG181-1200)=0,"",INDEX(对接源_02物料!$M$4:$M$1203,$AG181-1200))))</f>
        <v/>
      </c>
      <c r="AG181" s="44" t="n">
        <f aca="false">IFERROR(MATCH(10,_自动清单!$U$4:$U$2403,0),"")</f>
        <v>49</v>
      </c>
    </row>
    <row r="182" customFormat="false" ht="18" hidden="false" customHeight="true" outlineLevel="0" collapsed="false">
      <c r="A182" s="40" t="n">
        <f aca="false">IF($AG182="","",IF($AG182&lt;=1200,IF(INDEX(对接源_01水果!$B$4:$B$1203,$AG182)=0,"",INDEX(对接源_01水果!$B$4:$B$1203,$AG182)),IF(INDEX(对接源_02物料!$B$4:$B$1203,$AG182-1200)=0,"",INDEX(对接源_02物料!$B$4:$B$1203,$AG182-1200))))</f>
        <v>46260</v>
      </c>
      <c r="B182" s="41" t="str">
        <f aca="false">IF($AG182="","",IF($AG182&lt;=1200,IF(INDEX(对接源_01水果!$E$4:$E$1203,$AG182)=0,"",INDEX(对接源_01水果!$E$4:$E$1203,$AG182)),IF(INDEX(对接源_02物料!$E$4:$E$1203,$AG182-1200)=0,"",INDEX(对接源_02物料!$E$4:$E$1203,$AG182-1200))))</f>
        <v>NO0000732</v>
      </c>
      <c r="C182" s="42" t="str">
        <f aca="false">IF($AG182="","",IF($AG182&lt;=1200,IF(INDEX(对接源_01水果!$S$4:$S$1203,$AG182)=0,"",INDEX(对接源_01水果!$S$4:$S$1203,$AG182)),IF(INDEX(对接源_02物料!$S$4:$S$1203,$AG182-1200)=0,"",INDEX(对接源_02物料!$S$4:$S$1203,$AG182-1200))))</f>
        <v>公司杂周转筐</v>
      </c>
      <c r="D182" s="49" t="n">
        <f aca="false">IF($AG182="","",IF($AG182&lt;=1200,IF(INDEX(对接源_01水果!$V$4:$V$1203,$AG182)=0,"",INDEX(对接源_01水果!$V$4:$V$1203,$AG182)),IF(INDEX(对接源_02物料!$V$4:$V$1203,$AG182-1200)=0,"",INDEX(对接源_02物料!$V$4:$V$1203,$AG182-1200))))</f>
        <v>88</v>
      </c>
      <c r="E182" s="41" t="str">
        <f aca="false">IF($AG182="","",IF($AG182&lt;=1200,IF(INDEX(对接源_01水果!$W$4:$W$1203,$AG182)=0,"",INDEX(对接源_01水果!$W$4:$W$1203,$AG182)),IF(INDEX(对接源_02物料!$W$4:$W$1203,$AG182-1200)=0,"",INDEX(对接源_02物料!$W$4:$W$1203,$AG182-1200))))</f>
        <v>豫L*88X19</v>
      </c>
      <c r="F182" s="41" t="str">
        <f aca="false">IF($AG182="","",IF($AG182&lt;=1200,"01水果册","02物料册"))</f>
        <v>01水果册</v>
      </c>
      <c r="G182" s="42" t="str">
        <f aca="false">IF($AG182="","",IF($AG182&lt;=1200,IF(INDEX(对接源_01水果!$M$4:$M$1203,$AG182)=0,"",INDEX(对接源_01水果!$M$4:$M$1203,$AG182)),IF(INDEX(对接源_02物料!$M$4:$M$1203,$AG182-1200)=0,"",INDEX(对接源_02物料!$M$4:$M$1203,$AG182-1200))))</f>
        <v/>
      </c>
      <c r="AG182" s="44" t="n">
        <f aca="false">IFERROR(MATCH(11,_自动清单!$U$4:$U$2403,0),"")</f>
        <v>50</v>
      </c>
    </row>
    <row r="183" customFormat="false" ht="18" hidden="false" customHeight="true" outlineLevel="0" collapsed="false">
      <c r="A183" s="45" t="n">
        <f aca="false">IF($AG183="","",IF($AG183&lt;=1200,IF(INDEX(对接源_01水果!$B$4:$B$1203,$AG183)=0,"",INDEX(对接源_01水果!$B$4:$B$1203,$AG183)),IF(INDEX(对接源_02物料!$B$4:$B$1203,$AG183-1200)=0,"",INDEX(对接源_02物料!$B$4:$B$1203,$AG183-1200))))</f>
        <v>46260</v>
      </c>
      <c r="B183" s="46" t="str">
        <f aca="false">IF($AG183="","",IF($AG183&lt;=1200,IF(INDEX(对接源_01水果!$E$4:$E$1203,$AG183)=0,"",INDEX(对接源_01水果!$E$4:$E$1203,$AG183)),IF(INDEX(对接源_02物料!$E$4:$E$1203,$AG183-1200)=0,"",INDEX(对接源_02物料!$E$4:$E$1203,$AG183-1200))))</f>
        <v>NO0000732</v>
      </c>
      <c r="C183" s="47" t="str">
        <f aca="false">IF($AG183="","",IF($AG183&lt;=1200,IF(INDEX(对接源_01水果!$S$4:$S$1203,$AG183)=0,"",INDEX(对接源_01水果!$S$4:$S$1203,$AG183)),IF(INDEX(对接源_02物料!$S$4:$S$1203,$AG183-1200)=0,"",INDEX(对接源_02物料!$S$4:$S$1203,$AG183-1200))))</f>
        <v>公司杂周转筐</v>
      </c>
      <c r="D183" s="50" t="n">
        <f aca="false">IF($AG183="","",IF($AG183&lt;=1200,IF(INDEX(对接源_01水果!$V$4:$V$1203,$AG183)=0,"",INDEX(对接源_01水果!$V$4:$V$1203,$AG183)),IF(INDEX(对接源_02物料!$V$4:$V$1203,$AG183-1200)=0,"",INDEX(对接源_02物料!$V$4:$V$1203,$AG183-1200))))</f>
        <v>64</v>
      </c>
      <c r="E183" s="46" t="str">
        <f aca="false">IF($AG183="","",IF($AG183&lt;=1200,IF(INDEX(对接源_01水果!$W$4:$W$1203,$AG183)=0,"",INDEX(对接源_01水果!$W$4:$W$1203,$AG183)),IF(INDEX(对接源_02物料!$W$4:$W$1203,$AG183-1200)=0,"",INDEX(对接源_02物料!$W$4:$W$1203,$AG183-1200))))</f>
        <v>豫L*88X19</v>
      </c>
      <c r="F183" s="46" t="str">
        <f aca="false">IF($AG183="","",IF($AG183&lt;=1200,"01水果册","02物料册"))</f>
        <v>01水果册</v>
      </c>
      <c r="G183" s="47" t="str">
        <f aca="false">IF($AG183="","",IF($AG183&lt;=1200,IF(INDEX(对接源_01水果!$M$4:$M$1203,$AG183)=0,"",INDEX(对接源_01水果!$M$4:$M$1203,$AG183)),IF(INDEX(对接源_02物料!$M$4:$M$1203,$AG183-1200)=0,"",INDEX(对接源_02物料!$M$4:$M$1203,$AG183-1200))))</f>
        <v/>
      </c>
      <c r="AG183" s="44" t="n">
        <f aca="false">IFERROR(MATCH(12,_自动清单!$U$4:$U$2403,0),"")</f>
        <v>51</v>
      </c>
    </row>
    <row r="184" customFormat="false" ht="18" hidden="false" customHeight="true" outlineLevel="0" collapsed="false">
      <c r="A184" s="40" t="n">
        <f aca="false">IF($AG184="","",IF($AG184&lt;=1200,IF(INDEX(对接源_01水果!$B$4:$B$1203,$AG184)=0,"",INDEX(对接源_01水果!$B$4:$B$1203,$AG184)),IF(INDEX(对接源_02物料!$B$4:$B$1203,$AG184-1200)=0,"",INDEX(对接源_02物料!$B$4:$B$1203,$AG184-1200))))</f>
        <v>46262</v>
      </c>
      <c r="B184" s="41" t="str">
        <f aca="false">IF($AG184="","",IF($AG184&lt;=1200,IF(INDEX(对接源_01水果!$E$4:$E$1203,$AG184)=0,"",INDEX(对接源_01水果!$E$4:$E$1203,$AG184)),IF(INDEX(对接源_02物料!$E$4:$E$1203,$AG184-1200)=0,"",INDEX(对接源_02物料!$E$4:$E$1203,$AG184-1200))))</f>
        <v>NO0000739</v>
      </c>
      <c r="C184" s="42" t="str">
        <f aca="false">IF($AG184="","",IF($AG184&lt;=1200,IF(INDEX(对接源_01水果!$S$4:$S$1203,$AG184)=0,"",INDEX(对接源_01水果!$S$4:$S$1203,$AG184)),IF(INDEX(对接源_02物料!$S$4:$S$1203,$AG184-1200)=0,"",INDEX(对接源_02物料!$S$4:$S$1203,$AG184-1200))))</f>
        <v>公司杂周转筐</v>
      </c>
      <c r="D184" s="49" t="n">
        <f aca="false">IF($AG184="","",IF($AG184&lt;=1200,IF(INDEX(对接源_01水果!$V$4:$V$1203,$AG184)=0,"",INDEX(对接源_01水果!$V$4:$V$1203,$AG184)),IF(INDEX(对接源_02物料!$V$4:$V$1203,$AG184-1200)=0,"",INDEX(对接源_02物料!$V$4:$V$1203,$AG184-1200))))</f>
        <v>103</v>
      </c>
      <c r="E184" s="41" t="str">
        <f aca="false">IF($AG184="","",IF($AG184&lt;=1200,IF(INDEX(对接源_01水果!$W$4:$W$1203,$AG184)=0,"",INDEX(对接源_01水果!$W$4:$W$1203,$AG184)),IF(INDEX(对接源_02物料!$W$4:$W$1203,$AG184-1200)=0,"",INDEX(对接源_02物料!$W$4:$W$1203,$AG184-1200))))</f>
        <v>豫L*88X19</v>
      </c>
      <c r="F184" s="41" t="str">
        <f aca="false">IF($AG184="","",IF($AG184&lt;=1200,"01水果册","02物料册"))</f>
        <v>01水果册</v>
      </c>
      <c r="G184" s="42" t="str">
        <f aca="false">IF($AG184="","",IF($AG184&lt;=1200,IF(INDEX(对接源_01水果!$M$4:$M$1203,$AG184)=0,"",INDEX(对接源_01水果!$M$4:$M$1203,$AG184)),IF(INDEX(对接源_02物料!$M$4:$M$1203,$AG184-1200)=0,"",INDEX(对接源_02物料!$M$4:$M$1203,$AG184-1200))))</f>
        <v/>
      </c>
      <c r="AG184" s="44" t="n">
        <f aca="false">IFERROR(MATCH(13,_自动清单!$U$4:$U$2403,0),"")</f>
        <v>55</v>
      </c>
    </row>
    <row r="185" customFormat="false" ht="18" hidden="false" customHeight="true" outlineLevel="0" collapsed="false">
      <c r="A185" s="45" t="n">
        <f aca="false">IF($AG185="","",IF($AG185&lt;=1200,IF(INDEX(对接源_01水果!$B$4:$B$1203,$AG185)=0,"",INDEX(对接源_01水果!$B$4:$B$1203,$AG185)),IF(INDEX(对接源_02物料!$B$4:$B$1203,$AG185-1200)=0,"",INDEX(对接源_02物料!$B$4:$B$1203,$AG185-1200))))</f>
        <v>46262</v>
      </c>
      <c r="B185" s="46" t="str">
        <f aca="false">IF($AG185="","",IF($AG185&lt;=1200,IF(INDEX(对接源_01水果!$E$4:$E$1203,$AG185)=0,"",INDEX(对接源_01水果!$E$4:$E$1203,$AG185)),IF(INDEX(对接源_02物料!$E$4:$E$1203,$AG185-1200)=0,"",INDEX(对接源_02物料!$E$4:$E$1203,$AG185-1200))))</f>
        <v>NO0000739</v>
      </c>
      <c r="C185" s="47" t="str">
        <f aca="false">IF($AG185="","",IF($AG185&lt;=1200,IF(INDEX(对接源_01水果!$S$4:$S$1203,$AG185)=0,"",INDEX(对接源_01水果!$S$4:$S$1203,$AG185)),IF(INDEX(对接源_02物料!$S$4:$S$1203,$AG185-1200)=0,"",INDEX(对接源_02物料!$S$4:$S$1203,$AG185-1200))))</f>
        <v>公司杂周转筐</v>
      </c>
      <c r="D185" s="50" t="n">
        <f aca="false">IF($AG185="","",IF($AG185&lt;=1200,IF(INDEX(对接源_01水果!$V$4:$V$1203,$AG185)=0,"",INDEX(对接源_01水果!$V$4:$V$1203,$AG185)),IF(INDEX(对接源_02物料!$V$4:$V$1203,$AG185-1200)=0,"",INDEX(对接源_02物料!$V$4:$V$1203,$AG185-1200))))</f>
        <v>81</v>
      </c>
      <c r="E185" s="46" t="str">
        <f aca="false">IF($AG185="","",IF($AG185&lt;=1200,IF(INDEX(对接源_01水果!$W$4:$W$1203,$AG185)=0,"",INDEX(对接源_01水果!$W$4:$W$1203,$AG185)),IF(INDEX(对接源_02物料!$W$4:$W$1203,$AG185-1200)=0,"",INDEX(对接源_02物料!$W$4:$W$1203,$AG185-1200))))</f>
        <v>豫L*88X19</v>
      </c>
      <c r="F185" s="46" t="str">
        <f aca="false">IF($AG185="","",IF($AG185&lt;=1200,"01水果册","02物料册"))</f>
        <v>01水果册</v>
      </c>
      <c r="G185" s="47" t="str">
        <f aca="false">IF($AG185="","",IF($AG185&lt;=1200,IF(INDEX(对接源_01水果!$M$4:$M$1203,$AG185)=0,"",INDEX(对接源_01水果!$M$4:$M$1203,$AG185)),IF(INDEX(对接源_02物料!$M$4:$M$1203,$AG185-1200)=0,"",INDEX(对接源_02物料!$M$4:$M$1203,$AG185-1200))))</f>
        <v/>
      </c>
      <c r="AG185" s="44" t="n">
        <f aca="false">IFERROR(MATCH(14,_自动清单!$U$4:$U$2403,0),"")</f>
        <v>56</v>
      </c>
    </row>
    <row r="186" customFormat="false" ht="18" hidden="false" customHeight="true" outlineLevel="0" collapsed="false">
      <c r="A186" s="40" t="n">
        <f aca="false">IF($AG186="","",IF($AG186&lt;=1200,IF(INDEX(对接源_01水果!$B$4:$B$1203,$AG186)=0,"",INDEX(对接源_01水果!$B$4:$B$1203,$AG186)),IF(INDEX(对接源_02物料!$B$4:$B$1203,$AG186-1200)=0,"",INDEX(对接源_02物料!$B$4:$B$1203,$AG186-1200))))</f>
        <v>46262</v>
      </c>
      <c r="B186" s="41" t="str">
        <f aca="false">IF($AG186="","",IF($AG186&lt;=1200,IF(INDEX(对接源_01水果!$E$4:$E$1203,$AG186)=0,"",INDEX(对接源_01水果!$E$4:$E$1203,$AG186)),IF(INDEX(对接源_02物料!$E$4:$E$1203,$AG186-1200)=0,"",INDEX(对接源_02物料!$E$4:$E$1203,$AG186-1200))))</f>
        <v>NO0000739</v>
      </c>
      <c r="C186" s="42" t="str">
        <f aca="false">IF($AG186="","",IF($AG186&lt;=1200,IF(INDEX(对接源_01水果!$S$4:$S$1203,$AG186)=0,"",INDEX(对接源_01水果!$S$4:$S$1203,$AG186)),IF(INDEX(对接源_02物料!$S$4:$S$1203,$AG186-1200)=0,"",INDEX(对接源_02物料!$S$4:$S$1203,$AG186-1200))))</f>
        <v>公司杂周转筐</v>
      </c>
      <c r="D186" s="49" t="n">
        <f aca="false">IF($AG186="","",IF($AG186&lt;=1200,IF(INDEX(对接源_01水果!$V$4:$V$1203,$AG186)=0,"",INDEX(对接源_01水果!$V$4:$V$1203,$AG186)),IF(INDEX(对接源_02物料!$V$4:$V$1203,$AG186-1200)=0,"",INDEX(对接源_02物料!$V$4:$V$1203,$AG186-1200))))</f>
        <v>20</v>
      </c>
      <c r="E186" s="41" t="str">
        <f aca="false">IF($AG186="","",IF($AG186&lt;=1200,IF(INDEX(对接源_01水果!$W$4:$W$1203,$AG186)=0,"",INDEX(对接源_01水果!$W$4:$W$1203,$AG186)),IF(INDEX(对接源_02物料!$W$4:$W$1203,$AG186-1200)=0,"",INDEX(对接源_02物料!$W$4:$W$1203,$AG186-1200))))</f>
        <v>豫L*88X19</v>
      </c>
      <c r="F186" s="41" t="str">
        <f aca="false">IF($AG186="","",IF($AG186&lt;=1200,"01水果册","02物料册"))</f>
        <v>01水果册</v>
      </c>
      <c r="G186" s="42" t="str">
        <f aca="false">IF($AG186="","",IF($AG186&lt;=1200,IF(INDEX(对接源_01水果!$M$4:$M$1203,$AG186)=0,"",INDEX(对接源_01水果!$M$4:$M$1203,$AG186)),IF(INDEX(对接源_02物料!$M$4:$M$1203,$AG186-1200)=0,"",INDEX(对接源_02物料!$M$4:$M$1203,$AG186-1200))))</f>
        <v/>
      </c>
      <c r="AG186" s="44" t="n">
        <f aca="false">IFERROR(MATCH(15,_自动清单!$U$4:$U$2403,0),"")</f>
        <v>57</v>
      </c>
    </row>
    <row r="187" customFormat="false" ht="18" hidden="false" customHeight="true" outlineLevel="0" collapsed="false">
      <c r="A187" s="45" t="n">
        <f aca="false">IF($AG187="","",IF($AG187&lt;=1200,IF(INDEX(对接源_01水果!$B$4:$B$1203,$AG187)=0,"",INDEX(对接源_01水果!$B$4:$B$1203,$AG187)),IF(INDEX(对接源_02物料!$B$4:$B$1203,$AG187-1200)=0,"",INDEX(对接源_02物料!$B$4:$B$1203,$AG187-1200))))</f>
        <v>46266</v>
      </c>
      <c r="B187" s="46" t="str">
        <f aca="false">IF($AG187="","",IF($AG187&lt;=1200,IF(INDEX(对接源_01水果!$E$4:$E$1203,$AG187)=0,"",INDEX(对接源_01水果!$E$4:$E$1203,$AG187)),IF(INDEX(对接源_02物料!$E$4:$E$1203,$AG187-1200)=0,"",INDEX(对接源_02物料!$E$4:$E$1203,$AG187-1200))))</f>
        <v>NO0000742</v>
      </c>
      <c r="C187" s="47" t="str">
        <f aca="false">IF($AG187="","",IF($AG187&lt;=1200,IF(INDEX(对接源_01水果!$S$4:$S$1203,$AG187)=0,"",INDEX(对接源_01水果!$S$4:$S$1203,$AG187)),IF(INDEX(对接源_02物料!$S$4:$S$1203,$AG187-1200)=0,"",INDEX(对接源_02物料!$S$4:$S$1203,$AG187-1200))))</f>
        <v>公司杂周转筐</v>
      </c>
      <c r="D187" s="50" t="n">
        <f aca="false">IF($AG187="","",IF($AG187&lt;=1200,IF(INDEX(对接源_01水果!$V$4:$V$1203,$AG187)=0,"",INDEX(对接源_01水果!$V$4:$V$1203,$AG187)),IF(INDEX(对接源_02物料!$V$4:$V$1203,$AG187-1200)=0,"",INDEX(对接源_02物料!$V$4:$V$1203,$AG187-1200))))</f>
        <v>13</v>
      </c>
      <c r="E187" s="46" t="str">
        <f aca="false">IF($AG187="","",IF($AG187&lt;=1200,IF(INDEX(对接源_01水果!$W$4:$W$1203,$AG187)=0,"",INDEX(对接源_01水果!$W$4:$W$1203,$AG187)),IF(INDEX(对接源_02物料!$W$4:$W$1203,$AG187-1200)=0,"",INDEX(对接源_02物料!$W$4:$W$1203,$AG187-1200))))</f>
        <v>新N*D1W48</v>
      </c>
      <c r="F187" s="46" t="str">
        <f aca="false">IF($AG187="","",IF($AG187&lt;=1200,"01水果册","02物料册"))</f>
        <v>01水果册</v>
      </c>
      <c r="G187" s="47" t="str">
        <f aca="false">IF($AG187="","",IF($AG187&lt;=1200,IF(INDEX(对接源_01水果!$M$4:$M$1203,$AG187)=0,"",INDEX(对接源_01水果!$M$4:$M$1203,$AG187)),IF(INDEX(对接源_02物料!$M$4:$M$1203,$AG187-1200)=0,"",INDEX(对接源_02物料!$M$4:$M$1203,$AG187-1200))))</f>
        <v/>
      </c>
      <c r="AG187" s="44" t="n">
        <f aca="false">IFERROR(MATCH(16,_自动清单!$U$4:$U$2403,0),"")</f>
        <v>61</v>
      </c>
    </row>
    <row r="188" customFormat="false" ht="18" hidden="false" customHeight="true" outlineLevel="0" collapsed="false">
      <c r="A188" s="40" t="n">
        <f aca="false">IF($AG188="","",IF($AG188&lt;=1200,IF(INDEX(对接源_01水果!$B$4:$B$1203,$AG188)=0,"",INDEX(对接源_01水果!$B$4:$B$1203,$AG188)),IF(INDEX(对接源_02物料!$B$4:$B$1203,$AG188-1200)=0,"",INDEX(对接源_02物料!$B$4:$B$1203,$AG188-1200))))</f>
        <v>46266</v>
      </c>
      <c r="B188" s="41" t="str">
        <f aca="false">IF($AG188="","",IF($AG188&lt;=1200,IF(INDEX(对接源_01水果!$E$4:$E$1203,$AG188)=0,"",INDEX(对接源_01水果!$E$4:$E$1203,$AG188)),IF(INDEX(对接源_02物料!$E$4:$E$1203,$AG188-1200)=0,"",INDEX(对接源_02物料!$E$4:$E$1203,$AG188-1200))))</f>
        <v>NO0000742</v>
      </c>
      <c r="C188" s="42" t="str">
        <f aca="false">IF($AG188="","",IF($AG188&lt;=1200,IF(INDEX(对接源_01水果!$S$4:$S$1203,$AG188)=0,"",INDEX(对接源_01水果!$S$4:$S$1203,$AG188)),IF(INDEX(对接源_02物料!$S$4:$S$1203,$AG188-1200)=0,"",INDEX(对接源_02物料!$S$4:$S$1203,$AG188-1200))))</f>
        <v>公司杂周转筐</v>
      </c>
      <c r="D188" s="49" t="n">
        <f aca="false">IF($AG188="","",IF($AG188&lt;=1200,IF(INDEX(对接源_01水果!$V$4:$V$1203,$AG188)=0,"",INDEX(对接源_01水果!$V$4:$V$1203,$AG188)),IF(INDEX(对接源_02物料!$V$4:$V$1203,$AG188-1200)=0,"",INDEX(对接源_02物料!$V$4:$V$1203,$AG188-1200))))</f>
        <v>27</v>
      </c>
      <c r="E188" s="41" t="str">
        <f aca="false">IF($AG188="","",IF($AG188&lt;=1200,IF(INDEX(对接源_01水果!$W$4:$W$1203,$AG188)=0,"",INDEX(对接源_01水果!$W$4:$W$1203,$AG188)),IF(INDEX(对接源_02物料!$W$4:$W$1203,$AG188-1200)=0,"",INDEX(对接源_02物料!$W$4:$W$1203,$AG188-1200))))</f>
        <v>新N*D1W48</v>
      </c>
      <c r="F188" s="41" t="str">
        <f aca="false">IF($AG188="","",IF($AG188&lt;=1200,"01水果册","02物料册"))</f>
        <v>01水果册</v>
      </c>
      <c r="G188" s="42" t="str">
        <f aca="false">IF($AG188="","",IF($AG188&lt;=1200,IF(INDEX(对接源_01水果!$M$4:$M$1203,$AG188)=0,"",INDEX(对接源_01水果!$M$4:$M$1203,$AG188)),IF(INDEX(对接源_02物料!$M$4:$M$1203,$AG188-1200)=0,"",INDEX(对接源_02物料!$M$4:$M$1203,$AG188-1200))))</f>
        <v/>
      </c>
      <c r="AG188" s="44" t="n">
        <f aca="false">IFERROR(MATCH(17,_自动清单!$U$4:$U$2403,0),"")</f>
        <v>62</v>
      </c>
    </row>
    <row r="189" customFormat="false" ht="18" hidden="false" customHeight="true" outlineLevel="0" collapsed="false">
      <c r="A189" s="45" t="n">
        <f aca="false">IF($AG189="","",IF($AG189&lt;=1200,IF(INDEX(对接源_01水果!$B$4:$B$1203,$AG189)=0,"",INDEX(对接源_01水果!$B$4:$B$1203,$AG189)),IF(INDEX(对接源_02物料!$B$4:$B$1203,$AG189-1200)=0,"",INDEX(对接源_02物料!$B$4:$B$1203,$AG189-1200))))</f>
        <v>46266</v>
      </c>
      <c r="B189" s="46" t="str">
        <f aca="false">IF($AG189="","",IF($AG189&lt;=1200,IF(INDEX(对接源_01水果!$E$4:$E$1203,$AG189)=0,"",INDEX(对接源_01水果!$E$4:$E$1203,$AG189)),IF(INDEX(对接源_02物料!$E$4:$E$1203,$AG189-1200)=0,"",INDEX(对接源_02物料!$E$4:$E$1203,$AG189-1200))))</f>
        <v>NO0000742</v>
      </c>
      <c r="C189" s="47" t="str">
        <f aca="false">IF($AG189="","",IF($AG189&lt;=1200,IF(INDEX(对接源_01水果!$S$4:$S$1203,$AG189)=0,"",INDEX(对接源_01水果!$S$4:$S$1203,$AG189)),IF(INDEX(对接源_02物料!$S$4:$S$1203,$AG189-1200)=0,"",INDEX(对接源_02物料!$S$4:$S$1203,$AG189-1200))))</f>
        <v>公司杂周转筐</v>
      </c>
      <c r="D189" s="50" t="n">
        <f aca="false">IF($AG189="","",IF($AG189&lt;=1200,IF(INDEX(对接源_01水果!$V$4:$V$1203,$AG189)=0,"",INDEX(对接源_01水果!$V$4:$V$1203,$AG189)),IF(INDEX(对接源_02物料!$V$4:$V$1203,$AG189-1200)=0,"",INDEX(对接源_02物料!$V$4:$V$1203,$AG189-1200))))</f>
        <v>13</v>
      </c>
      <c r="E189" s="46" t="str">
        <f aca="false">IF($AG189="","",IF($AG189&lt;=1200,IF(INDEX(对接源_01水果!$W$4:$W$1203,$AG189)=0,"",INDEX(对接源_01水果!$W$4:$W$1203,$AG189)),IF(INDEX(对接源_02物料!$W$4:$W$1203,$AG189-1200)=0,"",INDEX(对接源_02物料!$W$4:$W$1203,$AG189-1200))))</f>
        <v>新N*D1W48</v>
      </c>
      <c r="F189" s="46" t="str">
        <f aca="false">IF($AG189="","",IF($AG189&lt;=1200,"01水果册","02物料册"))</f>
        <v>01水果册</v>
      </c>
      <c r="G189" s="47" t="str">
        <f aca="false">IF($AG189="","",IF($AG189&lt;=1200,IF(INDEX(对接源_01水果!$M$4:$M$1203,$AG189)=0,"",INDEX(对接源_01水果!$M$4:$M$1203,$AG189)),IF(INDEX(对接源_02物料!$M$4:$M$1203,$AG189-1200)=0,"",INDEX(对接源_02物料!$M$4:$M$1203,$AG189-1200))))</f>
        <v/>
      </c>
      <c r="AG189" s="44" t="n">
        <f aca="false">IFERROR(MATCH(18,_自动清单!$U$4:$U$2403,0),"")</f>
        <v>63</v>
      </c>
    </row>
    <row r="190" customFormat="false" ht="18" hidden="false" customHeight="true" outlineLevel="0" collapsed="false">
      <c r="A190" s="40" t="n">
        <f aca="false">IF($AG190="","",IF($AG190&lt;=1200,IF(INDEX(对接源_01水果!$B$4:$B$1203,$AG190)=0,"",INDEX(对接源_01水果!$B$4:$B$1203,$AG190)),IF(INDEX(对接源_02物料!$B$4:$B$1203,$AG190-1200)=0,"",INDEX(对接源_02物料!$B$4:$B$1203,$AG190-1200))))</f>
        <v>46275</v>
      </c>
      <c r="B190" s="41" t="str">
        <f aca="false">IF($AG190="","",IF($AG190&lt;=1200,IF(INDEX(对接源_01水果!$E$4:$E$1203,$AG190)=0,"",INDEX(对接源_01水果!$E$4:$E$1203,$AG190)),IF(INDEX(对接源_02物料!$E$4:$E$1203,$AG190-1200)=0,"",INDEX(对接源_02物料!$E$4:$E$1203,$AG190-1200))))</f>
        <v>NO:0000775</v>
      </c>
      <c r="C190" s="42" t="str">
        <f aca="false">IF($AG190="","",IF($AG190&lt;=1200,IF(INDEX(对接源_01水果!$S$4:$S$1203,$AG190)=0,"",INDEX(对接源_01水果!$S$4:$S$1203,$AG190)),IF(INDEX(对接源_02物料!$S$4:$S$1203,$AG190-1200)=0,"",INDEX(对接源_02物料!$S$4:$S$1203,$AG190-1200))))</f>
        <v>公司一次性筐</v>
      </c>
      <c r="D190" s="49" t="n">
        <f aca="false">IF($AG190="","",IF($AG190&lt;=1200,IF(INDEX(对接源_01水果!$V$4:$V$1203,$AG190)=0,"",INDEX(对接源_01水果!$V$4:$V$1203,$AG190)),IF(INDEX(对接源_02物料!$V$4:$V$1203,$AG190-1200)=0,"",INDEX(对接源_02物料!$V$4:$V$1203,$AG190-1200))))</f>
        <v>196</v>
      </c>
      <c r="E190" s="41" t="str">
        <f aca="false">IF($AG190="","",IF($AG190&lt;=1200,IF(INDEX(对接源_01水果!$W$4:$W$1203,$AG190)=0,"",INDEX(对接源_01水果!$W$4:$W$1203,$AG190)),IF(INDEX(对接源_02物料!$W$4:$W$1203,$AG190-1200)=0,"",INDEX(对接源_02物料!$W$4:$W$1203,$AG190-1200))))</f>
        <v>豫L*88X19</v>
      </c>
      <c r="F190" s="41" t="str">
        <f aca="false">IF($AG190="","",IF($AG190&lt;=1200,"01水果册","02物料册"))</f>
        <v>01水果册</v>
      </c>
      <c r="G190" s="42" t="str">
        <f aca="false">IF($AG190="","",IF($AG190&lt;=1200,IF(INDEX(对接源_01水果!$M$4:$M$1203,$AG190)=0,"",INDEX(对接源_01水果!$M$4:$M$1203,$AG190)),IF(INDEX(对接源_02物料!$M$4:$M$1203,$AG190-1200)=0,"",INDEX(对接源_02物料!$M$4:$M$1203,$AG190-1200))))</f>
        <v/>
      </c>
      <c r="AG190" s="44" t="n">
        <f aca="false">IFERROR(MATCH(19,_自动清单!$U$4:$U$2403,0),"")</f>
        <v>174</v>
      </c>
    </row>
    <row r="191" customFormat="false" ht="18" hidden="false" customHeight="true" outlineLevel="0" collapsed="false">
      <c r="A191" s="45" t="n">
        <f aca="false">IF($AG191="","",IF($AG191&lt;=1200,IF(INDEX(对接源_01水果!$B$4:$B$1203,$AG191)=0,"",INDEX(对接源_01水果!$B$4:$B$1203,$AG191)),IF(INDEX(对接源_02物料!$B$4:$B$1203,$AG191-1200)=0,"",INDEX(对接源_02物料!$B$4:$B$1203,$AG191-1200))))</f>
        <v>46275</v>
      </c>
      <c r="B191" s="46" t="str">
        <f aca="false">IF($AG191="","",IF($AG191&lt;=1200,IF(INDEX(对接源_01水果!$E$4:$E$1203,$AG191)=0,"",INDEX(对接源_01水果!$E$4:$E$1203,$AG191)),IF(INDEX(对接源_02物料!$E$4:$E$1203,$AG191-1200)=0,"",INDEX(对接源_02物料!$E$4:$E$1203,$AG191-1200))))</f>
        <v>NO:0000775</v>
      </c>
      <c r="C191" s="47" t="str">
        <f aca="false">IF($AG191="","",IF($AG191&lt;=1200,IF(INDEX(对接源_01水果!$S$4:$S$1203,$AG191)=0,"",INDEX(对接源_01水果!$S$4:$S$1203,$AG191)),IF(INDEX(对接源_02物料!$S$4:$S$1203,$AG191-1200)=0,"",INDEX(对接源_02物料!$S$4:$S$1203,$AG191-1200))))</f>
        <v>公司一次性筐</v>
      </c>
      <c r="D191" s="50" t="n">
        <f aca="false">IF($AG191="","",IF($AG191&lt;=1200,IF(INDEX(对接源_01水果!$V$4:$V$1203,$AG191)=0,"",INDEX(对接源_01水果!$V$4:$V$1203,$AG191)),IF(INDEX(对接源_02物料!$V$4:$V$1203,$AG191-1200)=0,"",INDEX(对接源_02物料!$V$4:$V$1203,$AG191-1200))))</f>
        <v>133</v>
      </c>
      <c r="E191" s="46" t="str">
        <f aca="false">IF($AG191="","",IF($AG191&lt;=1200,IF(INDEX(对接源_01水果!$W$4:$W$1203,$AG191)=0,"",INDEX(对接源_01水果!$W$4:$W$1203,$AG191)),IF(INDEX(对接源_02物料!$W$4:$W$1203,$AG191-1200)=0,"",INDEX(对接源_02物料!$W$4:$W$1203,$AG191-1200))))</f>
        <v>豫L*88X19</v>
      </c>
      <c r="F191" s="46" t="str">
        <f aca="false">IF($AG191="","",IF($AG191&lt;=1200,"01水果册","02物料册"))</f>
        <v>01水果册</v>
      </c>
      <c r="G191" s="47" t="str">
        <f aca="false">IF($AG191="","",IF($AG191&lt;=1200,IF(INDEX(对接源_01水果!$M$4:$M$1203,$AG191)=0,"",INDEX(对接源_01水果!$M$4:$M$1203,$AG191)),IF(INDEX(对接源_02物料!$M$4:$M$1203,$AG191-1200)=0,"",INDEX(对接源_02物料!$M$4:$M$1203,$AG191-1200))))</f>
        <v/>
      </c>
      <c r="AG191" s="44" t="n">
        <f aca="false">IFERROR(MATCH(20,_自动清单!$U$4:$U$2403,0),"")</f>
        <v>175</v>
      </c>
    </row>
    <row r="192" customFormat="false" ht="18" hidden="false" customHeight="true" outlineLevel="0" collapsed="false">
      <c r="A192" s="40" t="n">
        <f aca="false">IF($AG192="","",IF($AG192&lt;=1200,IF(INDEX(对接源_01水果!$B$4:$B$1203,$AG192)=0,"",INDEX(对接源_01水果!$B$4:$B$1203,$AG192)),IF(INDEX(对接源_02物料!$B$4:$B$1203,$AG192-1200)=0,"",INDEX(对接源_02物料!$B$4:$B$1203,$AG192-1200))))</f>
        <v>46277</v>
      </c>
      <c r="B192" s="41" t="str">
        <f aca="false">IF($AG192="","",IF($AG192&lt;=1200,IF(INDEX(对接源_01水果!$E$4:$E$1203,$AG192)=0,"",INDEX(对接源_01水果!$E$4:$E$1203,$AG192)),IF(INDEX(对接源_02物料!$E$4:$E$1203,$AG192-1200)=0,"",INDEX(对接源_02物料!$E$4:$E$1203,$AG192-1200))))</f>
        <v>NO:0000789</v>
      </c>
      <c r="C192" s="42" t="str">
        <f aca="false">IF($AG192="","",IF($AG192&lt;=1200,IF(INDEX(对接源_01水果!$S$4:$S$1203,$AG192)=0,"",INDEX(对接源_01水果!$S$4:$S$1203,$AG192)),IF(INDEX(对接源_02物料!$S$4:$S$1203,$AG192-1200)=0,"",INDEX(对接源_02物料!$S$4:$S$1203,$AG192-1200))))</f>
        <v>公司一次性筐</v>
      </c>
      <c r="D192" s="49" t="n">
        <f aca="false">IF($AG192="","",IF($AG192&lt;=1200,IF(INDEX(对接源_01水果!$V$4:$V$1203,$AG192)=0,"",INDEX(对接源_01水果!$V$4:$V$1203,$AG192)),IF(INDEX(对接源_02物料!$V$4:$V$1203,$AG192-1200)=0,"",INDEX(对接源_02物料!$V$4:$V$1203,$AG192-1200))))</f>
        <v>99</v>
      </c>
      <c r="E192" s="41" t="str">
        <f aca="false">IF($AG192="","",IF($AG192&lt;=1200,IF(INDEX(对接源_01水果!$W$4:$W$1203,$AG192)=0,"",INDEX(对接源_01水果!$W$4:$W$1203,$AG192)),IF(INDEX(对接源_02物料!$W$4:$W$1203,$AG192-1200)=0,"",INDEX(对接源_02物料!$W$4:$W$1203,$AG192-1200))))</f>
        <v>豫L*88X19</v>
      </c>
      <c r="F192" s="41" t="str">
        <f aca="false">IF($AG192="","",IF($AG192&lt;=1200,"01水果册","02物料册"))</f>
        <v>01水果册</v>
      </c>
      <c r="G192" s="42" t="str">
        <f aca="false">IF($AG192="","",IF($AG192&lt;=1200,IF(INDEX(对接源_01水果!$M$4:$M$1203,$AG192)=0,"",INDEX(对接源_01水果!$M$4:$M$1203,$AG192)),IF(INDEX(对接源_02物料!$M$4:$M$1203,$AG192-1200)=0,"",INDEX(对接源_02物料!$M$4:$M$1203,$AG192-1200))))</f>
        <v/>
      </c>
      <c r="AG192" s="44" t="n">
        <f aca="false">IFERROR(MATCH(21,_自动清单!$U$4:$U$2403,0),"")</f>
        <v>194</v>
      </c>
    </row>
    <row r="193" customFormat="false" ht="18" hidden="false" customHeight="true" outlineLevel="0" collapsed="false">
      <c r="A193" s="45" t="n">
        <f aca="false">IF($AG193="","",IF($AG193&lt;=1200,IF(INDEX(对接源_01水果!$B$4:$B$1203,$AG193)=0,"",INDEX(对接源_01水果!$B$4:$B$1203,$AG193)),IF(INDEX(对接源_02物料!$B$4:$B$1203,$AG193-1200)=0,"",INDEX(对接源_02物料!$B$4:$B$1203,$AG193-1200))))</f>
        <v>46277</v>
      </c>
      <c r="B193" s="46" t="str">
        <f aca="false">IF($AG193="","",IF($AG193&lt;=1200,IF(INDEX(对接源_01水果!$E$4:$E$1203,$AG193)=0,"",INDEX(对接源_01水果!$E$4:$E$1203,$AG193)),IF(INDEX(对接源_02物料!$E$4:$E$1203,$AG193-1200)=0,"",INDEX(对接源_02物料!$E$4:$E$1203,$AG193-1200))))</f>
        <v>NO:0000789</v>
      </c>
      <c r="C193" s="47" t="str">
        <f aca="false">IF($AG193="","",IF($AG193&lt;=1200,IF(INDEX(对接源_01水果!$S$4:$S$1203,$AG193)=0,"",INDEX(对接源_01水果!$S$4:$S$1203,$AG193)),IF(INDEX(对接源_02物料!$S$4:$S$1203,$AG193-1200)=0,"",INDEX(对接源_02物料!$S$4:$S$1203,$AG193-1200))))</f>
        <v>公司一次性筐</v>
      </c>
      <c r="D193" s="50" t="n">
        <f aca="false">IF($AG193="","",IF($AG193&lt;=1200,IF(INDEX(对接源_01水果!$V$4:$V$1203,$AG193)=0,"",INDEX(对接源_01水果!$V$4:$V$1203,$AG193)),IF(INDEX(对接源_02物料!$V$4:$V$1203,$AG193-1200)=0,"",INDEX(对接源_02物料!$V$4:$V$1203,$AG193-1200))))</f>
        <v>26</v>
      </c>
      <c r="E193" s="46" t="str">
        <f aca="false">IF($AG193="","",IF($AG193&lt;=1200,IF(INDEX(对接源_01水果!$W$4:$W$1203,$AG193)=0,"",INDEX(对接源_01水果!$W$4:$W$1203,$AG193)),IF(INDEX(对接源_02物料!$W$4:$W$1203,$AG193-1200)=0,"",INDEX(对接源_02物料!$W$4:$W$1203,$AG193-1200))))</f>
        <v>豫L*88X19</v>
      </c>
      <c r="F193" s="46" t="str">
        <f aca="false">IF($AG193="","",IF($AG193&lt;=1200,"01水果册","02物料册"))</f>
        <v>01水果册</v>
      </c>
      <c r="G193" s="47" t="str">
        <f aca="false">IF($AG193="","",IF($AG193&lt;=1200,IF(INDEX(对接源_01水果!$M$4:$M$1203,$AG193)=0,"",INDEX(对接源_01水果!$M$4:$M$1203,$AG193)),IF(INDEX(对接源_02物料!$M$4:$M$1203,$AG193-1200)=0,"",INDEX(对接源_02物料!$M$4:$M$1203,$AG193-1200))))</f>
        <v/>
      </c>
      <c r="AG193" s="44" t="n">
        <f aca="false">IFERROR(MATCH(22,_自动清单!$U$4:$U$2403,0),"")</f>
        <v>195</v>
      </c>
    </row>
    <row r="194" customFormat="false" ht="18" hidden="false" customHeight="true" outlineLevel="0" collapsed="false">
      <c r="A194" s="40" t="n">
        <f aca="false">IF($AG194="","",IF($AG194&lt;=1200,IF(INDEX(对接源_01水果!$B$4:$B$1203,$AG194)=0,"",INDEX(对接源_01水果!$B$4:$B$1203,$AG194)),IF(INDEX(对接源_02物料!$B$4:$B$1203,$AG194-1200)=0,"",INDEX(对接源_02物料!$B$4:$B$1203,$AG194-1200))))</f>
        <v>46277</v>
      </c>
      <c r="B194" s="41" t="str">
        <f aca="false">IF($AG194="","",IF($AG194&lt;=1200,IF(INDEX(对接源_01水果!$E$4:$E$1203,$AG194)=0,"",INDEX(对接源_01水果!$E$4:$E$1203,$AG194)),IF(INDEX(对接源_02物料!$E$4:$E$1203,$AG194-1200)=0,"",INDEX(对接源_02物料!$E$4:$E$1203,$AG194-1200))))</f>
        <v>NO:0000789</v>
      </c>
      <c r="C194" s="42" t="str">
        <f aca="false">IF($AG194="","",IF($AG194&lt;=1200,IF(INDEX(对接源_01水果!$S$4:$S$1203,$AG194)=0,"",INDEX(对接源_01水果!$S$4:$S$1203,$AG194)),IF(INDEX(对接源_02物料!$S$4:$S$1203,$AG194-1200)=0,"",INDEX(对接源_02物料!$S$4:$S$1203,$AG194-1200))))</f>
        <v>公司一次性筐</v>
      </c>
      <c r="D194" s="49" t="n">
        <f aca="false">IF($AG194="","",IF($AG194&lt;=1200,IF(INDEX(对接源_01水果!$V$4:$V$1203,$AG194)=0,"",INDEX(对接源_01水果!$V$4:$V$1203,$AG194)),IF(INDEX(对接源_02物料!$V$4:$V$1203,$AG194-1200)=0,"",INDEX(对接源_02物料!$V$4:$V$1203,$AG194-1200))))</f>
        <v>89</v>
      </c>
      <c r="E194" s="41" t="str">
        <f aca="false">IF($AG194="","",IF($AG194&lt;=1200,IF(INDEX(对接源_01水果!$W$4:$W$1203,$AG194)=0,"",INDEX(对接源_01水果!$W$4:$W$1203,$AG194)),IF(INDEX(对接源_02物料!$W$4:$W$1203,$AG194-1200)=0,"",INDEX(对接源_02物料!$W$4:$W$1203,$AG194-1200))))</f>
        <v>豫L*88X19</v>
      </c>
      <c r="F194" s="41" t="str">
        <f aca="false">IF($AG194="","",IF($AG194&lt;=1200,"01水果册","02物料册"))</f>
        <v>01水果册</v>
      </c>
      <c r="G194" s="42" t="str">
        <f aca="false">IF($AG194="","",IF($AG194&lt;=1200,IF(INDEX(对接源_01水果!$M$4:$M$1203,$AG194)=0,"",INDEX(对接源_01水果!$M$4:$M$1203,$AG194)),IF(INDEX(对接源_02物料!$M$4:$M$1203,$AG194-1200)=0,"",INDEX(对接源_02物料!$M$4:$M$1203,$AG194-1200))))</f>
        <v/>
      </c>
      <c r="AG194" s="44" t="n">
        <f aca="false">IFERROR(MATCH(23,_自动清单!$U$4:$U$2403,0),"")</f>
        <v>196</v>
      </c>
    </row>
    <row r="195" customFormat="false" ht="18" hidden="false" customHeight="true" outlineLevel="0" collapsed="false">
      <c r="A195" s="45" t="n">
        <f aca="false">IF($AG195="","",IF($AG195&lt;=1200,IF(INDEX(对接源_01水果!$B$4:$B$1203,$AG195)=0,"",INDEX(对接源_01水果!$B$4:$B$1203,$AG195)),IF(INDEX(对接源_02物料!$B$4:$B$1203,$AG195-1200)=0,"",INDEX(对接源_02物料!$B$4:$B$1203,$AG195-1200))))</f>
        <v>46277</v>
      </c>
      <c r="B195" s="46" t="str">
        <f aca="false">IF($AG195="","",IF($AG195&lt;=1200,IF(INDEX(对接源_01水果!$E$4:$E$1203,$AG195)=0,"",INDEX(对接源_01水果!$E$4:$E$1203,$AG195)),IF(INDEX(对接源_02物料!$E$4:$E$1203,$AG195-1200)=0,"",INDEX(对接源_02物料!$E$4:$E$1203,$AG195-1200))))</f>
        <v>NO:0000792</v>
      </c>
      <c r="C195" s="47" t="str">
        <f aca="false">IF($AG195="","",IF($AG195&lt;=1200,IF(INDEX(对接源_01水果!$S$4:$S$1203,$AG195)=0,"",INDEX(对接源_01水果!$S$4:$S$1203,$AG195)),IF(INDEX(对接源_02物料!$S$4:$S$1203,$AG195-1200)=0,"",INDEX(对接源_02物料!$S$4:$S$1203,$AG195-1200))))</f>
        <v>公司杂周转筐</v>
      </c>
      <c r="D195" s="50" t="n">
        <f aca="false">IF($AG195="","",IF($AG195&lt;=1200,IF(INDEX(对接源_01水果!$V$4:$V$1203,$AG195)=0,"",INDEX(对接源_01水果!$V$4:$V$1203,$AG195)),IF(INDEX(对接源_02物料!$V$4:$V$1203,$AG195-1200)=0,"",INDEX(对接源_02物料!$V$4:$V$1203,$AG195-1200))))</f>
        <v>110</v>
      </c>
      <c r="E195" s="46" t="str">
        <f aca="false">IF($AG195="","",IF($AG195&lt;=1200,IF(INDEX(对接源_01水果!$W$4:$W$1203,$AG195)=0,"",INDEX(对接源_01水果!$W$4:$W$1203,$AG195)),IF(INDEX(对接源_02物料!$W$4:$W$1203,$AG195-1200)=0,"",INDEX(对接源_02物料!$W$4:$W$1203,$AG195-1200))))</f>
        <v>豫L*88X19</v>
      </c>
      <c r="F195" s="46" t="str">
        <f aca="false">IF($AG195="","",IF($AG195&lt;=1200,"01水果册","02物料册"))</f>
        <v>01水果册</v>
      </c>
      <c r="G195" s="47" t="str">
        <f aca="false">IF($AG195="","",IF($AG195&lt;=1200,IF(INDEX(对接源_01水果!$M$4:$M$1203,$AG195)=0,"",INDEX(对接源_01水果!$M$4:$M$1203,$AG195)),IF(INDEX(对接源_02物料!$M$4:$M$1203,$AG195-1200)=0,"",INDEX(对接源_02物料!$M$4:$M$1203,$AG195-1200))))</f>
        <v/>
      </c>
      <c r="AG195" s="44" t="n">
        <f aca="false">IFERROR(MATCH(24,_自动清单!$U$4:$U$2403,0),"")</f>
        <v>200</v>
      </c>
    </row>
    <row r="196" customFormat="false" ht="18" hidden="false" customHeight="true" outlineLevel="0" collapsed="false">
      <c r="A196" s="40" t="n">
        <f aca="false">IF($AG196="","",IF($AG196&lt;=1200,IF(INDEX(对接源_01水果!$B$4:$B$1203,$AG196)=0,"",INDEX(对接源_01水果!$B$4:$B$1203,$AG196)),IF(INDEX(对接源_02物料!$B$4:$B$1203,$AG196-1200)=0,"",INDEX(对接源_02物料!$B$4:$B$1203,$AG196-1200))))</f>
        <v>46277</v>
      </c>
      <c r="B196" s="41" t="str">
        <f aca="false">IF($AG196="","",IF($AG196&lt;=1200,IF(INDEX(对接源_01水果!$E$4:$E$1203,$AG196)=0,"",INDEX(对接源_01水果!$E$4:$E$1203,$AG196)),IF(INDEX(对接源_02物料!$E$4:$E$1203,$AG196-1200)=0,"",INDEX(对接源_02物料!$E$4:$E$1203,$AG196-1200))))</f>
        <v>NO:0000792</v>
      </c>
      <c r="C196" s="42" t="str">
        <f aca="false">IF($AG196="","",IF($AG196&lt;=1200,IF(INDEX(对接源_01水果!$S$4:$S$1203,$AG196)=0,"",INDEX(对接源_01水果!$S$4:$S$1203,$AG196)),IF(INDEX(对接源_02物料!$S$4:$S$1203,$AG196-1200)=0,"",INDEX(对接源_02物料!$S$4:$S$1203,$AG196-1200))))</f>
        <v>公司杂周转筐</v>
      </c>
      <c r="D196" s="49" t="n">
        <f aca="false">IF($AG196="","",IF($AG196&lt;=1200,IF(INDEX(对接源_01水果!$V$4:$V$1203,$AG196)=0,"",INDEX(对接源_01水果!$V$4:$V$1203,$AG196)),IF(INDEX(对接源_02物料!$V$4:$V$1203,$AG196-1200)=0,"",INDEX(对接源_02物料!$V$4:$V$1203,$AG196-1200))))</f>
        <v>58</v>
      </c>
      <c r="E196" s="41" t="str">
        <f aca="false">IF($AG196="","",IF($AG196&lt;=1200,IF(INDEX(对接源_01水果!$W$4:$W$1203,$AG196)=0,"",INDEX(对接源_01水果!$W$4:$W$1203,$AG196)),IF(INDEX(对接源_02物料!$W$4:$W$1203,$AG196-1200)=0,"",INDEX(对接源_02物料!$W$4:$W$1203,$AG196-1200))))</f>
        <v>豫L*88X19</v>
      </c>
      <c r="F196" s="41" t="str">
        <f aca="false">IF($AG196="","",IF($AG196&lt;=1200,"01水果册","02物料册"))</f>
        <v>01水果册</v>
      </c>
      <c r="G196" s="42" t="str">
        <f aca="false">IF($AG196="","",IF($AG196&lt;=1200,IF(INDEX(对接源_01水果!$M$4:$M$1203,$AG196)=0,"",INDEX(对接源_01水果!$M$4:$M$1203,$AG196)),IF(INDEX(对接源_02物料!$M$4:$M$1203,$AG196-1200)=0,"",INDEX(对接源_02物料!$M$4:$M$1203,$AG196-1200))))</f>
        <v/>
      </c>
      <c r="AG196" s="44" t="n">
        <f aca="false">IFERROR(MATCH(25,_自动清单!$U$4:$U$2403,0),"")</f>
        <v>201</v>
      </c>
    </row>
    <row r="197" customFormat="false" ht="18" hidden="false" customHeight="true" outlineLevel="0" collapsed="false">
      <c r="A197" s="45" t="n">
        <f aca="false">IF($AG197="","",IF($AG197&lt;=1200,IF(INDEX(对接源_01水果!$B$4:$B$1203,$AG197)=0,"",INDEX(对接源_01水果!$B$4:$B$1203,$AG197)),IF(INDEX(对接源_02物料!$B$4:$B$1203,$AG197-1200)=0,"",INDEX(对接源_02物料!$B$4:$B$1203,$AG197-1200))))</f>
        <v>46278</v>
      </c>
      <c r="B197" s="46" t="str">
        <f aca="false">IF($AG197="","",IF($AG197&lt;=1200,IF(INDEX(对接源_01水果!$E$4:$E$1203,$AG197)=0,"",INDEX(对接源_01水果!$E$4:$E$1203,$AG197)),IF(INDEX(对接源_02物料!$E$4:$E$1203,$AG197-1200)=0,"",INDEX(对接源_02物料!$E$4:$E$1203,$AG197-1200))))</f>
        <v>NO:0000855</v>
      </c>
      <c r="C197" s="47" t="str">
        <f aca="false">IF($AG197="","",IF($AG197&lt;=1200,IF(INDEX(对接源_01水果!$S$4:$S$1203,$AG197)=0,"",INDEX(对接源_01水果!$S$4:$S$1203,$AG197)),IF(INDEX(对接源_02物料!$S$4:$S$1203,$AG197-1200)=0,"",INDEX(对接源_02物料!$S$4:$S$1203,$AG197-1200))))</f>
        <v>公司杂周转筐</v>
      </c>
      <c r="D197" s="50" t="n">
        <f aca="false">IF($AG197="","",IF($AG197&lt;=1200,IF(INDEX(对接源_01水果!$V$4:$V$1203,$AG197)=0,"",INDEX(对接源_01水果!$V$4:$V$1203,$AG197)),IF(INDEX(对接源_02物料!$V$4:$V$1203,$AG197-1200)=0,"",INDEX(对接源_02物料!$V$4:$V$1203,$AG197-1200))))</f>
        <v>73</v>
      </c>
      <c r="E197" s="46" t="str">
        <f aca="false">IF($AG197="","",IF($AG197&lt;=1200,IF(INDEX(对接源_01水果!$W$4:$W$1203,$AG197)=0,"",INDEX(对接源_01水果!$W$4:$W$1203,$AG197)),IF(INDEX(对接源_02物料!$W$4:$W$1203,$AG197-1200)=0,"",INDEX(对接源_02物料!$W$4:$W$1203,$AG197-1200))))</f>
        <v>豫L*88X19</v>
      </c>
      <c r="F197" s="46" t="str">
        <f aca="false">IF($AG197="","",IF($AG197&lt;=1200,"01水果册","02物料册"))</f>
        <v>01水果册</v>
      </c>
      <c r="G197" s="47" t="str">
        <f aca="false">IF($AG197="","",IF($AG197&lt;=1200,IF(INDEX(对接源_01水果!$M$4:$M$1203,$AG197)=0,"",INDEX(对接源_01水果!$M$4:$M$1203,$AG197)),IF(INDEX(对接源_02物料!$M$4:$M$1203,$AG197-1200)=0,"",INDEX(对接源_02物料!$M$4:$M$1203,$AG197-1200))))</f>
        <v/>
      </c>
      <c r="AG197" s="44" t="n">
        <f aca="false">IFERROR(MATCH(26,_自动清单!$U$4:$U$2403,0),"")</f>
        <v>225</v>
      </c>
    </row>
    <row r="198" customFormat="false" ht="18" hidden="false" customHeight="true" outlineLevel="0" collapsed="false">
      <c r="A198" s="40" t="n">
        <f aca="false">IF($AG198="","",IF($AG198&lt;=1200,IF(INDEX(对接源_01水果!$B$4:$B$1203,$AG198)=0,"",INDEX(对接源_01水果!$B$4:$B$1203,$AG198)),IF(INDEX(对接源_02物料!$B$4:$B$1203,$AG198-1200)=0,"",INDEX(对接源_02物料!$B$4:$B$1203,$AG198-1200))))</f>
        <v>46278</v>
      </c>
      <c r="B198" s="41" t="str">
        <f aca="false">IF($AG198="","",IF($AG198&lt;=1200,IF(INDEX(对接源_01水果!$E$4:$E$1203,$AG198)=0,"",INDEX(对接源_01水果!$E$4:$E$1203,$AG198)),IF(INDEX(对接源_02物料!$E$4:$E$1203,$AG198-1200)=0,"",INDEX(对接源_02物料!$E$4:$E$1203,$AG198-1200))))</f>
        <v>NO:0000855</v>
      </c>
      <c r="C198" s="42" t="str">
        <f aca="false">IF($AG198="","",IF($AG198&lt;=1200,IF(INDEX(对接源_01水果!$S$4:$S$1203,$AG198)=0,"",INDEX(对接源_01水果!$S$4:$S$1203,$AG198)),IF(INDEX(对接源_02物料!$S$4:$S$1203,$AG198-1200)=0,"",INDEX(对接源_02物料!$S$4:$S$1203,$AG198-1200))))</f>
        <v>公司杂周转筐</v>
      </c>
      <c r="D198" s="49" t="n">
        <f aca="false">IF($AG198="","",IF($AG198&lt;=1200,IF(INDEX(对接源_01水果!$V$4:$V$1203,$AG198)=0,"",INDEX(对接源_01水果!$V$4:$V$1203,$AG198)),IF(INDEX(对接源_02物料!$V$4:$V$1203,$AG198-1200)=0,"",INDEX(对接源_02物料!$V$4:$V$1203,$AG198-1200))))</f>
        <v>182</v>
      </c>
      <c r="E198" s="41" t="str">
        <f aca="false">IF($AG198="","",IF($AG198&lt;=1200,IF(INDEX(对接源_01水果!$W$4:$W$1203,$AG198)=0,"",INDEX(对接源_01水果!$W$4:$W$1203,$AG198)),IF(INDEX(对接源_02物料!$W$4:$W$1203,$AG198-1200)=0,"",INDEX(对接源_02物料!$W$4:$W$1203,$AG198-1200))))</f>
        <v>豫L*88X19</v>
      </c>
      <c r="F198" s="41" t="str">
        <f aca="false">IF($AG198="","",IF($AG198&lt;=1200,"01水果册","02物料册"))</f>
        <v>01水果册</v>
      </c>
      <c r="G198" s="42" t="str">
        <f aca="false">IF($AG198="","",IF($AG198&lt;=1200,IF(INDEX(对接源_01水果!$M$4:$M$1203,$AG198)=0,"",INDEX(对接源_01水果!$M$4:$M$1203,$AG198)),IF(INDEX(对接源_02物料!$M$4:$M$1203,$AG198-1200)=0,"",INDEX(对接源_02物料!$M$4:$M$1203,$AG198-1200))))</f>
        <v/>
      </c>
      <c r="AG198" s="44" t="n">
        <f aca="false">IFERROR(MATCH(27,_自动清单!$U$4:$U$2403,0),"")</f>
        <v>226</v>
      </c>
    </row>
    <row r="199" customFormat="false" ht="18" hidden="false" customHeight="true" outlineLevel="0" collapsed="false">
      <c r="A199" s="45" t="n">
        <f aca="false">IF($AG199="","",IF($AG199&lt;=1200,IF(INDEX(对接源_01水果!$B$4:$B$1203,$AG199)=0,"",INDEX(对接源_01水果!$B$4:$B$1203,$AG199)),IF(INDEX(对接源_02物料!$B$4:$B$1203,$AG199-1200)=0,"",INDEX(对接源_02物料!$B$4:$B$1203,$AG199-1200))))</f>
        <v>46278</v>
      </c>
      <c r="B199" s="46" t="str">
        <f aca="false">IF($AG199="","",IF($AG199&lt;=1200,IF(INDEX(对接源_01水果!$E$4:$E$1203,$AG199)=0,"",INDEX(对接源_01水果!$E$4:$E$1203,$AG199)),IF(INDEX(对接源_02物料!$E$4:$E$1203,$AG199-1200)=0,"",INDEX(对接源_02物料!$E$4:$E$1203,$AG199-1200))))</f>
        <v>NO:0000855</v>
      </c>
      <c r="C199" s="47" t="str">
        <f aca="false">IF($AG199="","",IF($AG199&lt;=1200,IF(INDEX(对接源_01水果!$S$4:$S$1203,$AG199)=0,"",INDEX(对接源_01水果!$S$4:$S$1203,$AG199)),IF(INDEX(对接源_02物料!$S$4:$S$1203,$AG199-1200)=0,"",INDEX(对接源_02物料!$S$4:$S$1203,$AG199-1200))))</f>
        <v>公司杂周转筐</v>
      </c>
      <c r="D199" s="50" t="n">
        <f aca="false">IF($AG199="","",IF($AG199&lt;=1200,IF(INDEX(对接源_01水果!$V$4:$V$1203,$AG199)=0,"",INDEX(对接源_01水果!$V$4:$V$1203,$AG199)),IF(INDEX(对接源_02物料!$V$4:$V$1203,$AG199-1200)=0,"",INDEX(对接源_02物料!$V$4:$V$1203,$AG199-1200))))</f>
        <v>74</v>
      </c>
      <c r="E199" s="46" t="str">
        <f aca="false">IF($AG199="","",IF($AG199&lt;=1200,IF(INDEX(对接源_01水果!$W$4:$W$1203,$AG199)=0,"",INDEX(对接源_01水果!$W$4:$W$1203,$AG199)),IF(INDEX(对接源_02物料!$W$4:$W$1203,$AG199-1200)=0,"",INDEX(对接源_02物料!$W$4:$W$1203,$AG199-1200))))</f>
        <v>豫L*88X19</v>
      </c>
      <c r="F199" s="46" t="str">
        <f aca="false">IF($AG199="","",IF($AG199&lt;=1200,"01水果册","02物料册"))</f>
        <v>01水果册</v>
      </c>
      <c r="G199" s="47" t="str">
        <f aca="false">IF($AG199="","",IF($AG199&lt;=1200,IF(INDEX(对接源_01水果!$M$4:$M$1203,$AG199)=0,"",INDEX(对接源_01水果!$M$4:$M$1203,$AG199)),IF(INDEX(对接源_02物料!$M$4:$M$1203,$AG199-1200)=0,"",INDEX(对接源_02物料!$M$4:$M$1203,$AG199-1200))))</f>
        <v/>
      </c>
      <c r="AG199" s="44" t="n">
        <f aca="false">IFERROR(MATCH(28,_自动清单!$U$4:$U$2403,0),"")</f>
        <v>227</v>
      </c>
    </row>
    <row r="200" customFormat="false" ht="18" hidden="false" customHeight="true" outlineLevel="0" collapsed="false">
      <c r="A200" s="40" t="str">
        <f aca="false">IF($AG200="","",IF($AG200&lt;=1200,IF(INDEX(对接源_01水果!$B$4:$B$1203,$AG200)=0,"",INDEX(对接源_01水果!$B$4:$B$1203,$AG200)),IF(INDEX(对接源_02物料!$B$4:$B$1203,$AG200-1200)=0,"",INDEX(对接源_02物料!$B$4:$B$1203,$AG200-1200))))</f>
        <v/>
      </c>
      <c r="B200" s="41" t="str">
        <f aca="false">IF($AG200="","",IF($AG200&lt;=1200,IF(INDEX(对接源_01水果!$E$4:$E$1203,$AG200)=0,"",INDEX(对接源_01水果!$E$4:$E$1203,$AG200)),IF(INDEX(对接源_02物料!$E$4:$E$1203,$AG200-1200)=0,"",INDEX(对接源_02物料!$E$4:$E$1203,$AG200-1200))))</f>
        <v/>
      </c>
      <c r="C200" s="42" t="str">
        <f aca="false">IF($AG200="","",IF($AG200&lt;=1200,IF(INDEX(对接源_01水果!$S$4:$S$1203,$AG200)=0,"",INDEX(对接源_01水果!$S$4:$S$1203,$AG200)),IF(INDEX(对接源_02物料!$S$4:$S$1203,$AG200-1200)=0,"",INDEX(对接源_02物料!$S$4:$S$1203,$AG200-1200))))</f>
        <v/>
      </c>
      <c r="D200" s="49" t="str">
        <f aca="false">IF($AG200="","",IF($AG200&lt;=1200,IF(INDEX(对接源_01水果!$V$4:$V$1203,$AG200)=0,"",INDEX(对接源_01水果!$V$4:$V$1203,$AG200)),IF(INDEX(对接源_02物料!$V$4:$V$1203,$AG200-1200)=0,"",INDEX(对接源_02物料!$V$4:$V$1203,$AG200-1200))))</f>
        <v/>
      </c>
      <c r="E200" s="41" t="str">
        <f aca="false">IF($AG200="","",IF($AG200&lt;=1200,IF(INDEX(对接源_01水果!$W$4:$W$1203,$AG200)=0,"",INDEX(对接源_01水果!$W$4:$W$1203,$AG200)),IF(INDEX(对接源_02物料!$W$4:$W$1203,$AG200-1200)=0,"",INDEX(对接源_02物料!$W$4:$W$1203,$AG200-1200))))</f>
        <v/>
      </c>
      <c r="F200" s="41" t="str">
        <f aca="false">IF($AG200="","",IF($AG200&lt;=1200,"01水果册","02物料册"))</f>
        <v/>
      </c>
      <c r="G200" s="42" t="str">
        <f aca="false">IF($AG200="","",IF($AG200&lt;=1200,IF(INDEX(对接源_01水果!$M$4:$M$1203,$AG200)=0,"",INDEX(对接源_01水果!$M$4:$M$1203,$AG200)),IF(INDEX(对接源_02物料!$M$4:$M$1203,$AG200-1200)=0,"",INDEX(对接源_02物料!$M$4:$M$1203,$AG200-1200))))</f>
        <v/>
      </c>
      <c r="AG200" s="44" t="str">
        <f aca="false">IFERROR(MATCH(29,_自动清单!$U$4:$U$2403,0),"")</f>
        <v/>
      </c>
    </row>
    <row r="201" customFormat="false" ht="18" hidden="false" customHeight="true" outlineLevel="0" collapsed="false">
      <c r="A201" s="45" t="str">
        <f aca="false">IF($AG201="","",IF($AG201&lt;=1200,IF(INDEX(对接源_01水果!$B$4:$B$1203,$AG201)=0,"",INDEX(对接源_01水果!$B$4:$B$1203,$AG201)),IF(INDEX(对接源_02物料!$B$4:$B$1203,$AG201-1200)=0,"",INDEX(对接源_02物料!$B$4:$B$1203,$AG201-1200))))</f>
        <v/>
      </c>
      <c r="B201" s="46" t="str">
        <f aca="false">IF($AG201="","",IF($AG201&lt;=1200,IF(INDEX(对接源_01水果!$E$4:$E$1203,$AG201)=0,"",INDEX(对接源_01水果!$E$4:$E$1203,$AG201)),IF(INDEX(对接源_02物料!$E$4:$E$1203,$AG201-1200)=0,"",INDEX(对接源_02物料!$E$4:$E$1203,$AG201-1200))))</f>
        <v/>
      </c>
      <c r="C201" s="47" t="str">
        <f aca="false">IF($AG201="","",IF($AG201&lt;=1200,IF(INDEX(对接源_01水果!$S$4:$S$1203,$AG201)=0,"",INDEX(对接源_01水果!$S$4:$S$1203,$AG201)),IF(INDEX(对接源_02物料!$S$4:$S$1203,$AG201-1200)=0,"",INDEX(对接源_02物料!$S$4:$S$1203,$AG201-1200))))</f>
        <v/>
      </c>
      <c r="D201" s="50" t="str">
        <f aca="false">IF($AG201="","",IF($AG201&lt;=1200,IF(INDEX(对接源_01水果!$V$4:$V$1203,$AG201)=0,"",INDEX(对接源_01水果!$V$4:$V$1203,$AG201)),IF(INDEX(对接源_02物料!$V$4:$V$1203,$AG201-1200)=0,"",INDEX(对接源_02物料!$V$4:$V$1203,$AG201-1200))))</f>
        <v/>
      </c>
      <c r="E201" s="46" t="str">
        <f aca="false">IF($AG201="","",IF($AG201&lt;=1200,IF(INDEX(对接源_01水果!$W$4:$W$1203,$AG201)=0,"",INDEX(对接源_01水果!$W$4:$W$1203,$AG201)),IF(INDEX(对接源_02物料!$W$4:$W$1203,$AG201-1200)=0,"",INDEX(对接源_02物料!$W$4:$W$1203,$AG201-1200))))</f>
        <v/>
      </c>
      <c r="F201" s="46" t="str">
        <f aca="false">IF($AG201="","",IF($AG201&lt;=1200,"01水果册","02物料册"))</f>
        <v/>
      </c>
      <c r="G201" s="47" t="str">
        <f aca="false">IF($AG201="","",IF($AG201&lt;=1200,IF(INDEX(对接源_01水果!$M$4:$M$1203,$AG201)=0,"",INDEX(对接源_01水果!$M$4:$M$1203,$AG201)),IF(INDEX(对接源_02物料!$M$4:$M$1203,$AG201-1200)=0,"",INDEX(对接源_02物料!$M$4:$M$1203,$AG201-1200))))</f>
        <v/>
      </c>
      <c r="AG201" s="44" t="str">
        <f aca="false">IFERROR(MATCH(30,_自动清单!$U$4:$U$2403,0),"")</f>
        <v/>
      </c>
    </row>
    <row r="202" customFormat="false" ht="18" hidden="false" customHeight="true" outlineLevel="0" collapsed="false">
      <c r="A202" s="40" t="str">
        <f aca="false">IF($AG202="","",IF($AG202&lt;=1200,IF(INDEX(对接源_01水果!$B$4:$B$1203,$AG202)=0,"",INDEX(对接源_01水果!$B$4:$B$1203,$AG202)),IF(INDEX(对接源_02物料!$B$4:$B$1203,$AG202-1200)=0,"",INDEX(对接源_02物料!$B$4:$B$1203,$AG202-1200))))</f>
        <v/>
      </c>
      <c r="B202" s="41" t="str">
        <f aca="false">IF($AG202="","",IF($AG202&lt;=1200,IF(INDEX(对接源_01水果!$E$4:$E$1203,$AG202)=0,"",INDEX(对接源_01水果!$E$4:$E$1203,$AG202)),IF(INDEX(对接源_02物料!$E$4:$E$1203,$AG202-1200)=0,"",INDEX(对接源_02物料!$E$4:$E$1203,$AG202-1200))))</f>
        <v/>
      </c>
      <c r="C202" s="42" t="str">
        <f aca="false">IF($AG202="","",IF($AG202&lt;=1200,IF(INDEX(对接源_01水果!$S$4:$S$1203,$AG202)=0,"",INDEX(对接源_01水果!$S$4:$S$1203,$AG202)),IF(INDEX(对接源_02物料!$S$4:$S$1203,$AG202-1200)=0,"",INDEX(对接源_02物料!$S$4:$S$1203,$AG202-1200))))</f>
        <v/>
      </c>
      <c r="D202" s="49" t="str">
        <f aca="false">IF($AG202="","",IF($AG202&lt;=1200,IF(INDEX(对接源_01水果!$V$4:$V$1203,$AG202)=0,"",INDEX(对接源_01水果!$V$4:$V$1203,$AG202)),IF(INDEX(对接源_02物料!$V$4:$V$1203,$AG202-1200)=0,"",INDEX(对接源_02物料!$V$4:$V$1203,$AG202-1200))))</f>
        <v/>
      </c>
      <c r="E202" s="41" t="str">
        <f aca="false">IF($AG202="","",IF($AG202&lt;=1200,IF(INDEX(对接源_01水果!$W$4:$W$1203,$AG202)=0,"",INDEX(对接源_01水果!$W$4:$W$1203,$AG202)),IF(INDEX(对接源_02物料!$W$4:$W$1203,$AG202-1200)=0,"",INDEX(对接源_02物料!$W$4:$W$1203,$AG202-1200))))</f>
        <v/>
      </c>
      <c r="F202" s="41" t="str">
        <f aca="false">IF($AG202="","",IF($AG202&lt;=1200,"01水果册","02物料册"))</f>
        <v/>
      </c>
      <c r="G202" s="42" t="str">
        <f aca="false">IF($AG202="","",IF($AG202&lt;=1200,IF(INDEX(对接源_01水果!$M$4:$M$1203,$AG202)=0,"",INDEX(对接源_01水果!$M$4:$M$1203,$AG202)),IF(INDEX(对接源_02物料!$M$4:$M$1203,$AG202-1200)=0,"",INDEX(对接源_02物料!$M$4:$M$1203,$AG202-1200))))</f>
        <v/>
      </c>
      <c r="AG202" s="44" t="str">
        <f aca="false">IFERROR(MATCH(31,_自动清单!$U$4:$U$2403,0),"")</f>
        <v/>
      </c>
    </row>
    <row r="203" customFormat="false" ht="18" hidden="false" customHeight="true" outlineLevel="0" collapsed="false">
      <c r="A203" s="45" t="str">
        <f aca="false">IF($AG203="","",IF($AG203&lt;=1200,IF(INDEX(对接源_01水果!$B$4:$B$1203,$AG203)=0,"",INDEX(对接源_01水果!$B$4:$B$1203,$AG203)),IF(INDEX(对接源_02物料!$B$4:$B$1203,$AG203-1200)=0,"",INDEX(对接源_02物料!$B$4:$B$1203,$AG203-1200))))</f>
        <v/>
      </c>
      <c r="B203" s="46" t="str">
        <f aca="false">IF($AG203="","",IF($AG203&lt;=1200,IF(INDEX(对接源_01水果!$E$4:$E$1203,$AG203)=0,"",INDEX(对接源_01水果!$E$4:$E$1203,$AG203)),IF(INDEX(对接源_02物料!$E$4:$E$1203,$AG203-1200)=0,"",INDEX(对接源_02物料!$E$4:$E$1203,$AG203-1200))))</f>
        <v/>
      </c>
      <c r="C203" s="47" t="str">
        <f aca="false">IF($AG203="","",IF($AG203&lt;=1200,IF(INDEX(对接源_01水果!$S$4:$S$1203,$AG203)=0,"",INDEX(对接源_01水果!$S$4:$S$1203,$AG203)),IF(INDEX(对接源_02物料!$S$4:$S$1203,$AG203-1200)=0,"",INDEX(对接源_02物料!$S$4:$S$1203,$AG203-1200))))</f>
        <v/>
      </c>
      <c r="D203" s="50" t="str">
        <f aca="false">IF($AG203="","",IF($AG203&lt;=1200,IF(INDEX(对接源_01水果!$V$4:$V$1203,$AG203)=0,"",INDEX(对接源_01水果!$V$4:$V$1203,$AG203)),IF(INDEX(对接源_02物料!$V$4:$V$1203,$AG203-1200)=0,"",INDEX(对接源_02物料!$V$4:$V$1203,$AG203-1200))))</f>
        <v/>
      </c>
      <c r="E203" s="46" t="str">
        <f aca="false">IF($AG203="","",IF($AG203&lt;=1200,IF(INDEX(对接源_01水果!$W$4:$W$1203,$AG203)=0,"",INDEX(对接源_01水果!$W$4:$W$1203,$AG203)),IF(INDEX(对接源_02物料!$W$4:$W$1203,$AG203-1200)=0,"",INDEX(对接源_02物料!$W$4:$W$1203,$AG203-1200))))</f>
        <v/>
      </c>
      <c r="F203" s="46" t="str">
        <f aca="false">IF($AG203="","",IF($AG203&lt;=1200,"01水果册","02物料册"))</f>
        <v/>
      </c>
      <c r="G203" s="47" t="str">
        <f aca="false">IF($AG203="","",IF($AG203&lt;=1200,IF(INDEX(对接源_01水果!$M$4:$M$1203,$AG203)=0,"",INDEX(对接源_01水果!$M$4:$M$1203,$AG203)),IF(INDEX(对接源_02物料!$M$4:$M$1203,$AG203-1200)=0,"",INDEX(对接源_02物料!$M$4:$M$1203,$AG203-1200))))</f>
        <v/>
      </c>
      <c r="AG203" s="44" t="str">
        <f aca="false">IFERROR(MATCH(32,_自动清单!$U$4:$U$2403,0),"")</f>
        <v/>
      </c>
    </row>
    <row r="204" customFormat="false" ht="18" hidden="false" customHeight="true" outlineLevel="0" collapsed="false">
      <c r="A204" s="40" t="str">
        <f aca="false">IF($AG204="","",IF($AG204&lt;=1200,IF(INDEX(对接源_01水果!$B$4:$B$1203,$AG204)=0,"",INDEX(对接源_01水果!$B$4:$B$1203,$AG204)),IF(INDEX(对接源_02物料!$B$4:$B$1203,$AG204-1200)=0,"",INDEX(对接源_02物料!$B$4:$B$1203,$AG204-1200))))</f>
        <v/>
      </c>
      <c r="B204" s="41" t="str">
        <f aca="false">IF($AG204="","",IF($AG204&lt;=1200,IF(INDEX(对接源_01水果!$E$4:$E$1203,$AG204)=0,"",INDEX(对接源_01水果!$E$4:$E$1203,$AG204)),IF(INDEX(对接源_02物料!$E$4:$E$1203,$AG204-1200)=0,"",INDEX(对接源_02物料!$E$4:$E$1203,$AG204-1200))))</f>
        <v/>
      </c>
      <c r="C204" s="42" t="str">
        <f aca="false">IF($AG204="","",IF($AG204&lt;=1200,IF(INDEX(对接源_01水果!$S$4:$S$1203,$AG204)=0,"",INDEX(对接源_01水果!$S$4:$S$1203,$AG204)),IF(INDEX(对接源_02物料!$S$4:$S$1203,$AG204-1200)=0,"",INDEX(对接源_02物料!$S$4:$S$1203,$AG204-1200))))</f>
        <v/>
      </c>
      <c r="D204" s="49" t="str">
        <f aca="false">IF($AG204="","",IF($AG204&lt;=1200,IF(INDEX(对接源_01水果!$V$4:$V$1203,$AG204)=0,"",INDEX(对接源_01水果!$V$4:$V$1203,$AG204)),IF(INDEX(对接源_02物料!$V$4:$V$1203,$AG204-1200)=0,"",INDEX(对接源_02物料!$V$4:$V$1203,$AG204-1200))))</f>
        <v/>
      </c>
      <c r="E204" s="41" t="str">
        <f aca="false">IF($AG204="","",IF($AG204&lt;=1200,IF(INDEX(对接源_01水果!$W$4:$W$1203,$AG204)=0,"",INDEX(对接源_01水果!$W$4:$W$1203,$AG204)),IF(INDEX(对接源_02物料!$W$4:$W$1203,$AG204-1200)=0,"",INDEX(对接源_02物料!$W$4:$W$1203,$AG204-1200))))</f>
        <v/>
      </c>
      <c r="F204" s="41" t="str">
        <f aca="false">IF($AG204="","",IF($AG204&lt;=1200,"01水果册","02物料册"))</f>
        <v/>
      </c>
      <c r="G204" s="42" t="str">
        <f aca="false">IF($AG204="","",IF($AG204&lt;=1200,IF(INDEX(对接源_01水果!$M$4:$M$1203,$AG204)=0,"",INDEX(对接源_01水果!$M$4:$M$1203,$AG204)),IF(INDEX(对接源_02物料!$M$4:$M$1203,$AG204-1200)=0,"",INDEX(对接源_02物料!$M$4:$M$1203,$AG204-1200))))</f>
        <v/>
      </c>
      <c r="AG204" s="44" t="str">
        <f aca="false">IFERROR(MATCH(33,_自动清单!$U$4:$U$2403,0),"")</f>
        <v/>
      </c>
    </row>
    <row r="205" customFormat="false" ht="18" hidden="false" customHeight="true" outlineLevel="0" collapsed="false">
      <c r="A205" s="45" t="str">
        <f aca="false">IF($AG205="","",IF($AG205&lt;=1200,IF(INDEX(对接源_01水果!$B$4:$B$1203,$AG205)=0,"",INDEX(对接源_01水果!$B$4:$B$1203,$AG205)),IF(INDEX(对接源_02物料!$B$4:$B$1203,$AG205-1200)=0,"",INDEX(对接源_02物料!$B$4:$B$1203,$AG205-1200))))</f>
        <v/>
      </c>
      <c r="B205" s="46" t="str">
        <f aca="false">IF($AG205="","",IF($AG205&lt;=1200,IF(INDEX(对接源_01水果!$E$4:$E$1203,$AG205)=0,"",INDEX(对接源_01水果!$E$4:$E$1203,$AG205)),IF(INDEX(对接源_02物料!$E$4:$E$1203,$AG205-1200)=0,"",INDEX(对接源_02物料!$E$4:$E$1203,$AG205-1200))))</f>
        <v/>
      </c>
      <c r="C205" s="47" t="str">
        <f aca="false">IF($AG205="","",IF($AG205&lt;=1200,IF(INDEX(对接源_01水果!$S$4:$S$1203,$AG205)=0,"",INDEX(对接源_01水果!$S$4:$S$1203,$AG205)),IF(INDEX(对接源_02物料!$S$4:$S$1203,$AG205-1200)=0,"",INDEX(对接源_02物料!$S$4:$S$1203,$AG205-1200))))</f>
        <v/>
      </c>
      <c r="D205" s="50" t="str">
        <f aca="false">IF($AG205="","",IF($AG205&lt;=1200,IF(INDEX(对接源_01水果!$V$4:$V$1203,$AG205)=0,"",INDEX(对接源_01水果!$V$4:$V$1203,$AG205)),IF(INDEX(对接源_02物料!$V$4:$V$1203,$AG205-1200)=0,"",INDEX(对接源_02物料!$V$4:$V$1203,$AG205-1200))))</f>
        <v/>
      </c>
      <c r="E205" s="46" t="str">
        <f aca="false">IF($AG205="","",IF($AG205&lt;=1200,IF(INDEX(对接源_01水果!$W$4:$W$1203,$AG205)=0,"",INDEX(对接源_01水果!$W$4:$W$1203,$AG205)),IF(INDEX(对接源_02物料!$W$4:$W$1203,$AG205-1200)=0,"",INDEX(对接源_02物料!$W$4:$W$1203,$AG205-1200))))</f>
        <v/>
      </c>
      <c r="F205" s="46" t="str">
        <f aca="false">IF($AG205="","",IF($AG205&lt;=1200,"01水果册","02物料册"))</f>
        <v/>
      </c>
      <c r="G205" s="47" t="str">
        <f aca="false">IF($AG205="","",IF($AG205&lt;=1200,IF(INDEX(对接源_01水果!$M$4:$M$1203,$AG205)=0,"",INDEX(对接源_01水果!$M$4:$M$1203,$AG205)),IF(INDEX(对接源_02物料!$M$4:$M$1203,$AG205-1200)=0,"",INDEX(对接源_02物料!$M$4:$M$1203,$AG205-1200))))</f>
        <v/>
      </c>
      <c r="AG205" s="44" t="str">
        <f aca="false">IFERROR(MATCH(34,_自动清单!$U$4:$U$2403,0),"")</f>
        <v/>
      </c>
    </row>
    <row r="206" customFormat="false" ht="18" hidden="false" customHeight="true" outlineLevel="0" collapsed="false">
      <c r="A206" s="40" t="str">
        <f aca="false">IF($AG206="","",IF($AG206&lt;=1200,IF(INDEX(对接源_01水果!$B$4:$B$1203,$AG206)=0,"",INDEX(对接源_01水果!$B$4:$B$1203,$AG206)),IF(INDEX(对接源_02物料!$B$4:$B$1203,$AG206-1200)=0,"",INDEX(对接源_02物料!$B$4:$B$1203,$AG206-1200))))</f>
        <v/>
      </c>
      <c r="B206" s="41" t="str">
        <f aca="false">IF($AG206="","",IF($AG206&lt;=1200,IF(INDEX(对接源_01水果!$E$4:$E$1203,$AG206)=0,"",INDEX(对接源_01水果!$E$4:$E$1203,$AG206)),IF(INDEX(对接源_02物料!$E$4:$E$1203,$AG206-1200)=0,"",INDEX(对接源_02物料!$E$4:$E$1203,$AG206-1200))))</f>
        <v/>
      </c>
      <c r="C206" s="42" t="str">
        <f aca="false">IF($AG206="","",IF($AG206&lt;=1200,IF(INDEX(对接源_01水果!$S$4:$S$1203,$AG206)=0,"",INDEX(对接源_01水果!$S$4:$S$1203,$AG206)),IF(INDEX(对接源_02物料!$S$4:$S$1203,$AG206-1200)=0,"",INDEX(对接源_02物料!$S$4:$S$1203,$AG206-1200))))</f>
        <v/>
      </c>
      <c r="D206" s="49" t="str">
        <f aca="false">IF($AG206="","",IF($AG206&lt;=1200,IF(INDEX(对接源_01水果!$V$4:$V$1203,$AG206)=0,"",INDEX(对接源_01水果!$V$4:$V$1203,$AG206)),IF(INDEX(对接源_02物料!$V$4:$V$1203,$AG206-1200)=0,"",INDEX(对接源_02物料!$V$4:$V$1203,$AG206-1200))))</f>
        <v/>
      </c>
      <c r="E206" s="41" t="str">
        <f aca="false">IF($AG206="","",IF($AG206&lt;=1200,IF(INDEX(对接源_01水果!$W$4:$W$1203,$AG206)=0,"",INDEX(对接源_01水果!$W$4:$W$1203,$AG206)),IF(INDEX(对接源_02物料!$W$4:$W$1203,$AG206-1200)=0,"",INDEX(对接源_02物料!$W$4:$W$1203,$AG206-1200))))</f>
        <v/>
      </c>
      <c r="F206" s="41" t="str">
        <f aca="false">IF($AG206="","",IF($AG206&lt;=1200,"01水果册","02物料册"))</f>
        <v/>
      </c>
      <c r="G206" s="42" t="str">
        <f aca="false">IF($AG206="","",IF($AG206&lt;=1200,IF(INDEX(对接源_01水果!$M$4:$M$1203,$AG206)=0,"",INDEX(对接源_01水果!$M$4:$M$1203,$AG206)),IF(INDEX(对接源_02物料!$M$4:$M$1203,$AG206-1200)=0,"",INDEX(对接源_02物料!$M$4:$M$1203,$AG206-1200))))</f>
        <v/>
      </c>
      <c r="AG206" s="44" t="str">
        <f aca="false">IFERROR(MATCH(35,_自动清单!$U$4:$U$2403,0),"")</f>
        <v/>
      </c>
    </row>
    <row r="207" customFormat="false" ht="18" hidden="false" customHeight="true" outlineLevel="0" collapsed="false">
      <c r="A207" s="45" t="str">
        <f aca="false">IF($AG207="","",IF($AG207&lt;=1200,IF(INDEX(对接源_01水果!$B$4:$B$1203,$AG207)=0,"",INDEX(对接源_01水果!$B$4:$B$1203,$AG207)),IF(INDEX(对接源_02物料!$B$4:$B$1203,$AG207-1200)=0,"",INDEX(对接源_02物料!$B$4:$B$1203,$AG207-1200))))</f>
        <v/>
      </c>
      <c r="B207" s="46" t="str">
        <f aca="false">IF($AG207="","",IF($AG207&lt;=1200,IF(INDEX(对接源_01水果!$E$4:$E$1203,$AG207)=0,"",INDEX(对接源_01水果!$E$4:$E$1203,$AG207)),IF(INDEX(对接源_02物料!$E$4:$E$1203,$AG207-1200)=0,"",INDEX(对接源_02物料!$E$4:$E$1203,$AG207-1200))))</f>
        <v/>
      </c>
      <c r="C207" s="47" t="str">
        <f aca="false">IF($AG207="","",IF($AG207&lt;=1200,IF(INDEX(对接源_01水果!$S$4:$S$1203,$AG207)=0,"",INDEX(对接源_01水果!$S$4:$S$1203,$AG207)),IF(INDEX(对接源_02物料!$S$4:$S$1203,$AG207-1200)=0,"",INDEX(对接源_02物料!$S$4:$S$1203,$AG207-1200))))</f>
        <v/>
      </c>
      <c r="D207" s="50" t="str">
        <f aca="false">IF($AG207="","",IF($AG207&lt;=1200,IF(INDEX(对接源_01水果!$V$4:$V$1203,$AG207)=0,"",INDEX(对接源_01水果!$V$4:$V$1203,$AG207)),IF(INDEX(对接源_02物料!$V$4:$V$1203,$AG207-1200)=0,"",INDEX(对接源_02物料!$V$4:$V$1203,$AG207-1200))))</f>
        <v/>
      </c>
      <c r="E207" s="46" t="str">
        <f aca="false">IF($AG207="","",IF($AG207&lt;=1200,IF(INDEX(对接源_01水果!$W$4:$W$1203,$AG207)=0,"",INDEX(对接源_01水果!$W$4:$W$1203,$AG207)),IF(INDEX(对接源_02物料!$W$4:$W$1203,$AG207-1200)=0,"",INDEX(对接源_02物料!$W$4:$W$1203,$AG207-1200))))</f>
        <v/>
      </c>
      <c r="F207" s="46" t="str">
        <f aca="false">IF($AG207="","",IF($AG207&lt;=1200,"01水果册","02物料册"))</f>
        <v/>
      </c>
      <c r="G207" s="47" t="str">
        <f aca="false">IF($AG207="","",IF($AG207&lt;=1200,IF(INDEX(对接源_01水果!$M$4:$M$1203,$AG207)=0,"",INDEX(对接源_01水果!$M$4:$M$1203,$AG207)),IF(INDEX(对接源_02物料!$M$4:$M$1203,$AG207-1200)=0,"",INDEX(对接源_02物料!$M$4:$M$1203,$AG207-1200))))</f>
        <v/>
      </c>
      <c r="AG207" s="44" t="str">
        <f aca="false">IFERROR(MATCH(36,_自动清单!$U$4:$U$2403,0),"")</f>
        <v/>
      </c>
    </row>
    <row r="208" customFormat="false" ht="18" hidden="false" customHeight="true" outlineLevel="0" collapsed="false">
      <c r="A208" s="40" t="str">
        <f aca="false">IF($AG208="","",IF($AG208&lt;=1200,IF(INDEX(对接源_01水果!$B$4:$B$1203,$AG208)=0,"",INDEX(对接源_01水果!$B$4:$B$1203,$AG208)),IF(INDEX(对接源_02物料!$B$4:$B$1203,$AG208-1200)=0,"",INDEX(对接源_02物料!$B$4:$B$1203,$AG208-1200))))</f>
        <v/>
      </c>
      <c r="B208" s="41" t="str">
        <f aca="false">IF($AG208="","",IF($AG208&lt;=1200,IF(INDEX(对接源_01水果!$E$4:$E$1203,$AG208)=0,"",INDEX(对接源_01水果!$E$4:$E$1203,$AG208)),IF(INDEX(对接源_02物料!$E$4:$E$1203,$AG208-1200)=0,"",INDEX(对接源_02物料!$E$4:$E$1203,$AG208-1200))))</f>
        <v/>
      </c>
      <c r="C208" s="42" t="str">
        <f aca="false">IF($AG208="","",IF($AG208&lt;=1200,IF(INDEX(对接源_01水果!$S$4:$S$1203,$AG208)=0,"",INDEX(对接源_01水果!$S$4:$S$1203,$AG208)),IF(INDEX(对接源_02物料!$S$4:$S$1203,$AG208-1200)=0,"",INDEX(对接源_02物料!$S$4:$S$1203,$AG208-1200))))</f>
        <v/>
      </c>
      <c r="D208" s="49" t="str">
        <f aca="false">IF($AG208="","",IF($AG208&lt;=1200,IF(INDEX(对接源_01水果!$V$4:$V$1203,$AG208)=0,"",INDEX(对接源_01水果!$V$4:$V$1203,$AG208)),IF(INDEX(对接源_02物料!$V$4:$V$1203,$AG208-1200)=0,"",INDEX(对接源_02物料!$V$4:$V$1203,$AG208-1200))))</f>
        <v/>
      </c>
      <c r="E208" s="41" t="str">
        <f aca="false">IF($AG208="","",IF($AG208&lt;=1200,IF(INDEX(对接源_01水果!$W$4:$W$1203,$AG208)=0,"",INDEX(对接源_01水果!$W$4:$W$1203,$AG208)),IF(INDEX(对接源_02物料!$W$4:$W$1203,$AG208-1200)=0,"",INDEX(对接源_02物料!$W$4:$W$1203,$AG208-1200))))</f>
        <v/>
      </c>
      <c r="F208" s="41" t="str">
        <f aca="false">IF($AG208="","",IF($AG208&lt;=1200,"01水果册","02物料册"))</f>
        <v/>
      </c>
      <c r="G208" s="42" t="str">
        <f aca="false">IF($AG208="","",IF($AG208&lt;=1200,IF(INDEX(对接源_01水果!$M$4:$M$1203,$AG208)=0,"",INDEX(对接源_01水果!$M$4:$M$1203,$AG208)),IF(INDEX(对接源_02物料!$M$4:$M$1203,$AG208-1200)=0,"",INDEX(对接源_02物料!$M$4:$M$1203,$AG208-1200))))</f>
        <v/>
      </c>
      <c r="AG208" s="44" t="str">
        <f aca="false">IFERROR(MATCH(37,_自动清单!$U$4:$U$2403,0),"")</f>
        <v/>
      </c>
    </row>
    <row r="209" customFormat="false" ht="18" hidden="false" customHeight="true" outlineLevel="0" collapsed="false">
      <c r="A209" s="45" t="str">
        <f aca="false">IF($AG209="","",IF($AG209&lt;=1200,IF(INDEX(对接源_01水果!$B$4:$B$1203,$AG209)=0,"",INDEX(对接源_01水果!$B$4:$B$1203,$AG209)),IF(INDEX(对接源_02物料!$B$4:$B$1203,$AG209-1200)=0,"",INDEX(对接源_02物料!$B$4:$B$1203,$AG209-1200))))</f>
        <v/>
      </c>
      <c r="B209" s="46" t="str">
        <f aca="false">IF($AG209="","",IF($AG209&lt;=1200,IF(INDEX(对接源_01水果!$E$4:$E$1203,$AG209)=0,"",INDEX(对接源_01水果!$E$4:$E$1203,$AG209)),IF(INDEX(对接源_02物料!$E$4:$E$1203,$AG209-1200)=0,"",INDEX(对接源_02物料!$E$4:$E$1203,$AG209-1200))))</f>
        <v/>
      </c>
      <c r="C209" s="47" t="str">
        <f aca="false">IF($AG209="","",IF($AG209&lt;=1200,IF(INDEX(对接源_01水果!$S$4:$S$1203,$AG209)=0,"",INDEX(对接源_01水果!$S$4:$S$1203,$AG209)),IF(INDEX(对接源_02物料!$S$4:$S$1203,$AG209-1200)=0,"",INDEX(对接源_02物料!$S$4:$S$1203,$AG209-1200))))</f>
        <v/>
      </c>
      <c r="D209" s="50" t="str">
        <f aca="false">IF($AG209="","",IF($AG209&lt;=1200,IF(INDEX(对接源_01水果!$V$4:$V$1203,$AG209)=0,"",INDEX(对接源_01水果!$V$4:$V$1203,$AG209)),IF(INDEX(对接源_02物料!$V$4:$V$1203,$AG209-1200)=0,"",INDEX(对接源_02物料!$V$4:$V$1203,$AG209-1200))))</f>
        <v/>
      </c>
      <c r="E209" s="46" t="str">
        <f aca="false">IF($AG209="","",IF($AG209&lt;=1200,IF(INDEX(对接源_01水果!$W$4:$W$1203,$AG209)=0,"",INDEX(对接源_01水果!$W$4:$W$1203,$AG209)),IF(INDEX(对接源_02物料!$W$4:$W$1203,$AG209-1200)=0,"",INDEX(对接源_02物料!$W$4:$W$1203,$AG209-1200))))</f>
        <v/>
      </c>
      <c r="F209" s="46" t="str">
        <f aca="false">IF($AG209="","",IF($AG209&lt;=1200,"01水果册","02物料册"))</f>
        <v/>
      </c>
      <c r="G209" s="47" t="str">
        <f aca="false">IF($AG209="","",IF($AG209&lt;=1200,IF(INDEX(对接源_01水果!$M$4:$M$1203,$AG209)=0,"",INDEX(对接源_01水果!$M$4:$M$1203,$AG209)),IF(INDEX(对接源_02物料!$M$4:$M$1203,$AG209-1200)=0,"",INDEX(对接源_02物料!$M$4:$M$1203,$AG209-1200))))</f>
        <v/>
      </c>
      <c r="AG209" s="44" t="str">
        <f aca="false">IFERROR(MATCH(38,_自动清单!$U$4:$U$2403,0),"")</f>
        <v/>
      </c>
    </row>
    <row r="210" customFormat="false" ht="18" hidden="false" customHeight="true" outlineLevel="0" collapsed="false">
      <c r="A210" s="40" t="str">
        <f aca="false">IF($AG210="","",IF($AG210&lt;=1200,IF(INDEX(对接源_01水果!$B$4:$B$1203,$AG210)=0,"",INDEX(对接源_01水果!$B$4:$B$1203,$AG210)),IF(INDEX(对接源_02物料!$B$4:$B$1203,$AG210-1200)=0,"",INDEX(对接源_02物料!$B$4:$B$1203,$AG210-1200))))</f>
        <v/>
      </c>
      <c r="B210" s="41" t="str">
        <f aca="false">IF($AG210="","",IF($AG210&lt;=1200,IF(INDEX(对接源_01水果!$E$4:$E$1203,$AG210)=0,"",INDEX(对接源_01水果!$E$4:$E$1203,$AG210)),IF(INDEX(对接源_02物料!$E$4:$E$1203,$AG210-1200)=0,"",INDEX(对接源_02物料!$E$4:$E$1203,$AG210-1200))))</f>
        <v/>
      </c>
      <c r="C210" s="42" t="str">
        <f aca="false">IF($AG210="","",IF($AG210&lt;=1200,IF(INDEX(对接源_01水果!$S$4:$S$1203,$AG210)=0,"",INDEX(对接源_01水果!$S$4:$S$1203,$AG210)),IF(INDEX(对接源_02物料!$S$4:$S$1203,$AG210-1200)=0,"",INDEX(对接源_02物料!$S$4:$S$1203,$AG210-1200))))</f>
        <v/>
      </c>
      <c r="D210" s="49" t="str">
        <f aca="false">IF($AG210="","",IF($AG210&lt;=1200,IF(INDEX(对接源_01水果!$V$4:$V$1203,$AG210)=0,"",INDEX(对接源_01水果!$V$4:$V$1203,$AG210)),IF(INDEX(对接源_02物料!$V$4:$V$1203,$AG210-1200)=0,"",INDEX(对接源_02物料!$V$4:$V$1203,$AG210-1200))))</f>
        <v/>
      </c>
      <c r="E210" s="41" t="str">
        <f aca="false">IF($AG210="","",IF($AG210&lt;=1200,IF(INDEX(对接源_01水果!$W$4:$W$1203,$AG210)=0,"",INDEX(对接源_01水果!$W$4:$W$1203,$AG210)),IF(INDEX(对接源_02物料!$W$4:$W$1203,$AG210-1200)=0,"",INDEX(对接源_02物料!$W$4:$W$1203,$AG210-1200))))</f>
        <v/>
      </c>
      <c r="F210" s="41" t="str">
        <f aca="false">IF($AG210="","",IF($AG210&lt;=1200,"01水果册","02物料册"))</f>
        <v/>
      </c>
      <c r="G210" s="42" t="str">
        <f aca="false">IF($AG210="","",IF($AG210&lt;=1200,IF(INDEX(对接源_01水果!$M$4:$M$1203,$AG210)=0,"",INDEX(对接源_01水果!$M$4:$M$1203,$AG210)),IF(INDEX(对接源_02物料!$M$4:$M$1203,$AG210-1200)=0,"",INDEX(对接源_02物料!$M$4:$M$1203,$AG210-1200))))</f>
        <v/>
      </c>
      <c r="AG210" s="44" t="str">
        <f aca="false">IFERROR(MATCH(39,_自动清单!$U$4:$U$2403,0),"")</f>
        <v/>
      </c>
    </row>
    <row r="211" customFormat="false" ht="18" hidden="false" customHeight="true" outlineLevel="0" collapsed="false">
      <c r="A211" s="45" t="str">
        <f aca="false">IF($AG211="","",IF($AG211&lt;=1200,IF(INDEX(对接源_01水果!$B$4:$B$1203,$AG211)=0,"",INDEX(对接源_01水果!$B$4:$B$1203,$AG211)),IF(INDEX(对接源_02物料!$B$4:$B$1203,$AG211-1200)=0,"",INDEX(对接源_02物料!$B$4:$B$1203,$AG211-1200))))</f>
        <v/>
      </c>
      <c r="B211" s="46" t="str">
        <f aca="false">IF($AG211="","",IF($AG211&lt;=1200,IF(INDEX(对接源_01水果!$E$4:$E$1203,$AG211)=0,"",INDEX(对接源_01水果!$E$4:$E$1203,$AG211)),IF(INDEX(对接源_02物料!$E$4:$E$1203,$AG211-1200)=0,"",INDEX(对接源_02物料!$E$4:$E$1203,$AG211-1200))))</f>
        <v/>
      </c>
      <c r="C211" s="47" t="str">
        <f aca="false">IF($AG211="","",IF($AG211&lt;=1200,IF(INDEX(对接源_01水果!$S$4:$S$1203,$AG211)=0,"",INDEX(对接源_01水果!$S$4:$S$1203,$AG211)),IF(INDEX(对接源_02物料!$S$4:$S$1203,$AG211-1200)=0,"",INDEX(对接源_02物料!$S$4:$S$1203,$AG211-1200))))</f>
        <v/>
      </c>
      <c r="D211" s="50" t="str">
        <f aca="false">IF($AG211="","",IF($AG211&lt;=1200,IF(INDEX(对接源_01水果!$V$4:$V$1203,$AG211)=0,"",INDEX(对接源_01水果!$V$4:$V$1203,$AG211)),IF(INDEX(对接源_02物料!$V$4:$V$1203,$AG211-1200)=0,"",INDEX(对接源_02物料!$V$4:$V$1203,$AG211-1200))))</f>
        <v/>
      </c>
      <c r="E211" s="46" t="str">
        <f aca="false">IF($AG211="","",IF($AG211&lt;=1200,IF(INDEX(对接源_01水果!$W$4:$W$1203,$AG211)=0,"",INDEX(对接源_01水果!$W$4:$W$1203,$AG211)),IF(INDEX(对接源_02物料!$W$4:$W$1203,$AG211-1200)=0,"",INDEX(对接源_02物料!$W$4:$W$1203,$AG211-1200))))</f>
        <v/>
      </c>
      <c r="F211" s="46" t="str">
        <f aca="false">IF($AG211="","",IF($AG211&lt;=1200,"01水果册","02物料册"))</f>
        <v/>
      </c>
      <c r="G211" s="47" t="str">
        <f aca="false">IF($AG211="","",IF($AG211&lt;=1200,IF(INDEX(对接源_01水果!$M$4:$M$1203,$AG211)=0,"",INDEX(对接源_01水果!$M$4:$M$1203,$AG211)),IF(INDEX(对接源_02物料!$M$4:$M$1203,$AG211-1200)=0,"",INDEX(对接源_02物料!$M$4:$M$1203,$AG211-1200))))</f>
        <v/>
      </c>
      <c r="AG211" s="44" t="str">
        <f aca="false">IFERROR(MATCH(40,_自动清单!$U$4:$U$2403,0),"")</f>
        <v/>
      </c>
    </row>
    <row r="212" customFormat="false" ht="18" hidden="false" customHeight="true" outlineLevel="0" collapsed="false">
      <c r="A212" s="40" t="str">
        <f aca="false">IF($AG212="","",IF($AG212&lt;=1200,IF(INDEX(对接源_01水果!$B$4:$B$1203,$AG212)=0,"",INDEX(对接源_01水果!$B$4:$B$1203,$AG212)),IF(INDEX(对接源_02物料!$B$4:$B$1203,$AG212-1200)=0,"",INDEX(对接源_02物料!$B$4:$B$1203,$AG212-1200))))</f>
        <v/>
      </c>
      <c r="B212" s="41" t="str">
        <f aca="false">IF($AG212="","",IF($AG212&lt;=1200,IF(INDEX(对接源_01水果!$E$4:$E$1203,$AG212)=0,"",INDEX(对接源_01水果!$E$4:$E$1203,$AG212)),IF(INDEX(对接源_02物料!$E$4:$E$1203,$AG212-1200)=0,"",INDEX(对接源_02物料!$E$4:$E$1203,$AG212-1200))))</f>
        <v/>
      </c>
      <c r="C212" s="42" t="str">
        <f aca="false">IF($AG212="","",IF($AG212&lt;=1200,IF(INDEX(对接源_01水果!$S$4:$S$1203,$AG212)=0,"",INDEX(对接源_01水果!$S$4:$S$1203,$AG212)),IF(INDEX(对接源_02物料!$S$4:$S$1203,$AG212-1200)=0,"",INDEX(对接源_02物料!$S$4:$S$1203,$AG212-1200))))</f>
        <v/>
      </c>
      <c r="D212" s="49" t="str">
        <f aca="false">IF($AG212="","",IF($AG212&lt;=1200,IF(INDEX(对接源_01水果!$V$4:$V$1203,$AG212)=0,"",INDEX(对接源_01水果!$V$4:$V$1203,$AG212)),IF(INDEX(对接源_02物料!$V$4:$V$1203,$AG212-1200)=0,"",INDEX(对接源_02物料!$V$4:$V$1203,$AG212-1200))))</f>
        <v/>
      </c>
      <c r="E212" s="41" t="str">
        <f aca="false">IF($AG212="","",IF($AG212&lt;=1200,IF(INDEX(对接源_01水果!$W$4:$W$1203,$AG212)=0,"",INDEX(对接源_01水果!$W$4:$W$1203,$AG212)),IF(INDEX(对接源_02物料!$W$4:$W$1203,$AG212-1200)=0,"",INDEX(对接源_02物料!$W$4:$W$1203,$AG212-1200))))</f>
        <v/>
      </c>
      <c r="F212" s="41" t="str">
        <f aca="false">IF($AG212="","",IF($AG212&lt;=1200,"01水果册","02物料册"))</f>
        <v/>
      </c>
      <c r="G212" s="42" t="str">
        <f aca="false"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44" t="str">
        <f aca="false">IFERROR(MATCH(41,_自动清单!$U$4:$U$2403,0),"")</f>
        <v/>
      </c>
    </row>
    <row r="213" customFormat="false" ht="18" hidden="false" customHeight="true" outlineLevel="0" collapsed="false">
      <c r="A213" s="45" t="str">
        <f aca="false">IF($AG213="","",IF($AG213&lt;=1200,IF(INDEX(对接源_01水果!$B$4:$B$1203,$AG213)=0,"",INDEX(对接源_01水果!$B$4:$B$1203,$AG213)),IF(INDEX(对接源_02物料!$B$4:$B$1203,$AG213-1200)=0,"",INDEX(对接源_02物料!$B$4:$B$1203,$AG213-1200))))</f>
        <v/>
      </c>
      <c r="B213" s="46" t="str">
        <f aca="false">IF($AG213="","",IF($AG213&lt;=1200,IF(INDEX(对接源_01水果!$E$4:$E$1203,$AG213)=0,"",INDEX(对接源_01水果!$E$4:$E$1203,$AG213)),IF(INDEX(对接源_02物料!$E$4:$E$1203,$AG213-1200)=0,"",INDEX(对接源_02物料!$E$4:$E$1203,$AG213-1200))))</f>
        <v/>
      </c>
      <c r="C213" s="47" t="str">
        <f aca="false">IF($AG213="","",IF($AG213&lt;=1200,IF(INDEX(对接源_01水果!$S$4:$S$1203,$AG213)=0,"",INDEX(对接源_01水果!$S$4:$S$1203,$AG213)),IF(INDEX(对接源_02物料!$S$4:$S$1203,$AG213-1200)=0,"",INDEX(对接源_02物料!$S$4:$S$1203,$AG213-1200))))</f>
        <v/>
      </c>
      <c r="D213" s="50" t="str">
        <f aca="false">IF($AG213="","",IF($AG213&lt;=1200,IF(INDEX(对接源_01水果!$V$4:$V$1203,$AG213)=0,"",INDEX(对接源_01水果!$V$4:$V$1203,$AG213)),IF(INDEX(对接源_02物料!$V$4:$V$1203,$AG213-1200)=0,"",INDEX(对接源_02物料!$V$4:$V$1203,$AG213-1200))))</f>
        <v/>
      </c>
      <c r="E213" s="46" t="str">
        <f aca="false">IF($AG213="","",IF($AG213&lt;=1200,IF(INDEX(对接源_01水果!$W$4:$W$1203,$AG213)=0,"",INDEX(对接源_01水果!$W$4:$W$1203,$AG213)),IF(INDEX(对接源_02物料!$W$4:$W$1203,$AG213-1200)=0,"",INDEX(对接源_02物料!$W$4:$W$1203,$AG213-1200))))</f>
        <v/>
      </c>
      <c r="F213" s="46" t="str">
        <f aca="false">IF($AG213="","",IF($AG213&lt;=1200,"01水果册","02物料册"))</f>
        <v/>
      </c>
      <c r="G213" s="47" t="str">
        <f aca="false"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44" t="str">
        <f aca="false">IFERROR(MATCH(42,_自动清单!$U$4:$U$2403,0),"")</f>
        <v/>
      </c>
    </row>
    <row r="214" customFormat="false" ht="18" hidden="false" customHeight="true" outlineLevel="0" collapsed="false">
      <c r="A214" s="40" t="str">
        <f aca="false">IF($AG214="","",IF($AG214&lt;=1200,IF(INDEX(对接源_01水果!$B$4:$B$1203,$AG214)=0,"",INDEX(对接源_01水果!$B$4:$B$1203,$AG214)),IF(INDEX(对接源_02物料!$B$4:$B$1203,$AG214-1200)=0,"",INDEX(对接源_02物料!$B$4:$B$1203,$AG214-1200))))</f>
        <v/>
      </c>
      <c r="B214" s="41" t="str">
        <f aca="false">IF($AG214="","",IF($AG214&lt;=1200,IF(INDEX(对接源_01水果!$E$4:$E$1203,$AG214)=0,"",INDEX(对接源_01水果!$E$4:$E$1203,$AG214)),IF(INDEX(对接源_02物料!$E$4:$E$1203,$AG214-1200)=0,"",INDEX(对接源_02物料!$E$4:$E$1203,$AG214-1200))))</f>
        <v/>
      </c>
      <c r="C214" s="42" t="str">
        <f aca="false">IF($AG214="","",IF($AG214&lt;=1200,IF(INDEX(对接源_01水果!$S$4:$S$1203,$AG214)=0,"",INDEX(对接源_01水果!$S$4:$S$1203,$AG214)),IF(INDEX(对接源_02物料!$S$4:$S$1203,$AG214-1200)=0,"",INDEX(对接源_02物料!$S$4:$S$1203,$AG214-1200))))</f>
        <v/>
      </c>
      <c r="D214" s="49" t="str">
        <f aca="false">IF($AG214="","",IF($AG214&lt;=1200,IF(INDEX(对接源_01水果!$V$4:$V$1203,$AG214)=0,"",INDEX(对接源_01水果!$V$4:$V$1203,$AG214)),IF(INDEX(对接源_02物料!$V$4:$V$1203,$AG214-1200)=0,"",INDEX(对接源_02物料!$V$4:$V$1203,$AG214-1200))))</f>
        <v/>
      </c>
      <c r="E214" s="41" t="str">
        <f aca="false">IF($AG214="","",IF($AG214&lt;=1200,IF(INDEX(对接源_01水果!$W$4:$W$1203,$AG214)=0,"",INDEX(对接源_01水果!$W$4:$W$1203,$AG214)),IF(INDEX(对接源_02物料!$W$4:$W$1203,$AG214-1200)=0,"",INDEX(对接源_02物料!$W$4:$W$1203,$AG214-1200))))</f>
        <v/>
      </c>
      <c r="F214" s="41" t="str">
        <f aca="false">IF($AG214="","",IF($AG214&lt;=1200,"01水果册","02物料册"))</f>
        <v/>
      </c>
      <c r="G214" s="42" t="str">
        <f aca="false"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44" t="str">
        <f aca="false">IFERROR(MATCH(43,_自动清单!$U$4:$U$2403,0),"")</f>
        <v/>
      </c>
    </row>
    <row r="215" customFormat="false" ht="18" hidden="false" customHeight="true" outlineLevel="0" collapsed="false">
      <c r="A215" s="45" t="str">
        <f aca="false">IF($AG215="","",IF($AG215&lt;=1200,IF(INDEX(对接源_01水果!$B$4:$B$1203,$AG215)=0,"",INDEX(对接源_01水果!$B$4:$B$1203,$AG215)),IF(INDEX(对接源_02物料!$B$4:$B$1203,$AG215-1200)=0,"",INDEX(对接源_02物料!$B$4:$B$1203,$AG215-1200))))</f>
        <v/>
      </c>
      <c r="B215" s="46" t="str">
        <f aca="false">IF($AG215="","",IF($AG215&lt;=1200,IF(INDEX(对接源_01水果!$E$4:$E$1203,$AG215)=0,"",INDEX(对接源_01水果!$E$4:$E$1203,$AG215)),IF(INDEX(对接源_02物料!$E$4:$E$1203,$AG215-1200)=0,"",INDEX(对接源_02物料!$E$4:$E$1203,$AG215-1200))))</f>
        <v/>
      </c>
      <c r="C215" s="47" t="str">
        <f aca="false">IF($AG215="","",IF($AG215&lt;=1200,IF(INDEX(对接源_01水果!$S$4:$S$1203,$AG215)=0,"",INDEX(对接源_01水果!$S$4:$S$1203,$AG215)),IF(INDEX(对接源_02物料!$S$4:$S$1203,$AG215-1200)=0,"",INDEX(对接源_02物料!$S$4:$S$1203,$AG215-1200))))</f>
        <v/>
      </c>
      <c r="D215" s="50" t="str">
        <f aca="false">IF($AG215="","",IF($AG215&lt;=1200,IF(INDEX(对接源_01水果!$V$4:$V$1203,$AG215)=0,"",INDEX(对接源_01水果!$V$4:$V$1203,$AG215)),IF(INDEX(对接源_02物料!$V$4:$V$1203,$AG215-1200)=0,"",INDEX(对接源_02物料!$V$4:$V$1203,$AG215-1200))))</f>
        <v/>
      </c>
      <c r="E215" s="46" t="str">
        <f aca="false">IF($AG215="","",IF($AG215&lt;=1200,IF(INDEX(对接源_01水果!$W$4:$W$1203,$AG215)=0,"",INDEX(对接源_01水果!$W$4:$W$1203,$AG215)),IF(INDEX(对接源_02物料!$W$4:$W$1203,$AG215-1200)=0,"",INDEX(对接源_02物料!$W$4:$W$1203,$AG215-1200))))</f>
        <v/>
      </c>
      <c r="F215" s="46" t="str">
        <f aca="false">IF($AG215="","",IF($AG215&lt;=1200,"01水果册","02物料册"))</f>
        <v/>
      </c>
      <c r="G215" s="47" t="str">
        <f aca="false"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44" t="str">
        <f aca="false">IFERROR(MATCH(44,_自动清单!$U$4:$U$2403,0),"")</f>
        <v/>
      </c>
    </row>
    <row r="216" customFormat="false" ht="18" hidden="false" customHeight="true" outlineLevel="0" collapsed="false">
      <c r="A216" s="40" t="str">
        <f aca="false">IF($AG216="","",IF($AG216&lt;=1200,IF(INDEX(对接源_01水果!$B$4:$B$1203,$AG216)=0,"",INDEX(对接源_01水果!$B$4:$B$1203,$AG216)),IF(INDEX(对接源_02物料!$B$4:$B$1203,$AG216-1200)=0,"",INDEX(对接源_02物料!$B$4:$B$1203,$AG216-1200))))</f>
        <v/>
      </c>
      <c r="B216" s="41" t="str">
        <f aca="false">IF($AG216="","",IF($AG216&lt;=1200,IF(INDEX(对接源_01水果!$E$4:$E$1203,$AG216)=0,"",INDEX(对接源_01水果!$E$4:$E$1203,$AG216)),IF(INDEX(对接源_02物料!$E$4:$E$1203,$AG216-1200)=0,"",INDEX(对接源_02物料!$E$4:$E$1203,$AG216-1200))))</f>
        <v/>
      </c>
      <c r="C216" s="42" t="str">
        <f aca="false">IF($AG216="","",IF($AG216&lt;=1200,IF(INDEX(对接源_01水果!$S$4:$S$1203,$AG216)=0,"",INDEX(对接源_01水果!$S$4:$S$1203,$AG216)),IF(INDEX(对接源_02物料!$S$4:$S$1203,$AG216-1200)=0,"",INDEX(对接源_02物料!$S$4:$S$1203,$AG216-1200))))</f>
        <v/>
      </c>
      <c r="D216" s="49" t="str">
        <f aca="false">IF($AG216="","",IF($AG216&lt;=1200,IF(INDEX(对接源_01水果!$V$4:$V$1203,$AG216)=0,"",INDEX(对接源_01水果!$V$4:$V$1203,$AG216)),IF(INDEX(对接源_02物料!$V$4:$V$1203,$AG216-1200)=0,"",INDEX(对接源_02物料!$V$4:$V$1203,$AG216-1200))))</f>
        <v/>
      </c>
      <c r="E216" s="41" t="str">
        <f aca="false">IF($AG216="","",IF($AG216&lt;=1200,IF(INDEX(对接源_01水果!$W$4:$W$1203,$AG216)=0,"",INDEX(对接源_01水果!$W$4:$W$1203,$AG216)),IF(INDEX(对接源_02物料!$W$4:$W$1203,$AG216-1200)=0,"",INDEX(对接源_02物料!$W$4:$W$1203,$AG216-1200))))</f>
        <v/>
      </c>
      <c r="F216" s="41" t="str">
        <f aca="false">IF($AG216="","",IF($AG216&lt;=1200,"01水果册","02物料册"))</f>
        <v/>
      </c>
      <c r="G216" s="42" t="str">
        <f aca="false"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44" t="str">
        <f aca="false">IFERROR(MATCH(45,_自动清单!$U$4:$U$2403,0),"")</f>
        <v/>
      </c>
    </row>
    <row r="217" customFormat="false" ht="18" hidden="false" customHeight="true" outlineLevel="0" collapsed="false">
      <c r="A217" s="45" t="str">
        <f aca="false">IF($AG217="","",IF($AG217&lt;=1200,IF(INDEX(对接源_01水果!$B$4:$B$1203,$AG217)=0,"",INDEX(对接源_01水果!$B$4:$B$1203,$AG217)),IF(INDEX(对接源_02物料!$B$4:$B$1203,$AG217-1200)=0,"",INDEX(对接源_02物料!$B$4:$B$1203,$AG217-1200))))</f>
        <v/>
      </c>
      <c r="B217" s="46" t="str">
        <f aca="false">IF($AG217="","",IF($AG217&lt;=1200,IF(INDEX(对接源_01水果!$E$4:$E$1203,$AG217)=0,"",INDEX(对接源_01水果!$E$4:$E$1203,$AG217)),IF(INDEX(对接源_02物料!$E$4:$E$1203,$AG217-1200)=0,"",INDEX(对接源_02物料!$E$4:$E$1203,$AG217-1200))))</f>
        <v/>
      </c>
      <c r="C217" s="47" t="str">
        <f aca="false">IF($AG217="","",IF($AG217&lt;=1200,IF(INDEX(对接源_01水果!$S$4:$S$1203,$AG217)=0,"",INDEX(对接源_01水果!$S$4:$S$1203,$AG217)),IF(INDEX(对接源_02物料!$S$4:$S$1203,$AG217-1200)=0,"",INDEX(对接源_02物料!$S$4:$S$1203,$AG217-1200))))</f>
        <v/>
      </c>
      <c r="D217" s="50" t="str">
        <f aca="false">IF($AG217="","",IF($AG217&lt;=1200,IF(INDEX(对接源_01水果!$V$4:$V$1203,$AG217)=0,"",INDEX(对接源_01水果!$V$4:$V$1203,$AG217)),IF(INDEX(对接源_02物料!$V$4:$V$1203,$AG217-1200)=0,"",INDEX(对接源_02物料!$V$4:$V$1203,$AG217-1200))))</f>
        <v/>
      </c>
      <c r="E217" s="46" t="str">
        <f aca="false">IF($AG217="","",IF($AG217&lt;=1200,IF(INDEX(对接源_01水果!$W$4:$W$1203,$AG217)=0,"",INDEX(对接源_01水果!$W$4:$W$1203,$AG217)),IF(INDEX(对接源_02物料!$W$4:$W$1203,$AG217-1200)=0,"",INDEX(对接源_02物料!$W$4:$W$1203,$AG217-1200))))</f>
        <v/>
      </c>
      <c r="F217" s="46" t="str">
        <f aca="false">IF($AG217="","",IF($AG217&lt;=1200,"01水果册","02物料册"))</f>
        <v/>
      </c>
      <c r="G217" s="47" t="str">
        <f aca="false"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44" t="str">
        <f aca="false">IFERROR(MATCH(46,_自动清单!$U$4:$U$2403,0),"")</f>
        <v/>
      </c>
    </row>
    <row r="218" customFormat="false" ht="18" hidden="false" customHeight="true" outlineLevel="0" collapsed="false">
      <c r="A218" s="40" t="str">
        <f aca="false">IF($AG218="","",IF($AG218&lt;=1200,IF(INDEX(对接源_01水果!$B$4:$B$1203,$AG218)=0,"",INDEX(对接源_01水果!$B$4:$B$1203,$AG218)),IF(INDEX(对接源_02物料!$B$4:$B$1203,$AG218-1200)=0,"",INDEX(对接源_02物料!$B$4:$B$1203,$AG218-1200))))</f>
        <v/>
      </c>
      <c r="B218" s="41" t="str">
        <f aca="false">IF($AG218="","",IF($AG218&lt;=1200,IF(INDEX(对接源_01水果!$E$4:$E$1203,$AG218)=0,"",INDEX(对接源_01水果!$E$4:$E$1203,$AG218)),IF(INDEX(对接源_02物料!$E$4:$E$1203,$AG218-1200)=0,"",INDEX(对接源_02物料!$E$4:$E$1203,$AG218-1200))))</f>
        <v/>
      </c>
      <c r="C218" s="42" t="str">
        <f aca="false">IF($AG218="","",IF($AG218&lt;=1200,IF(INDEX(对接源_01水果!$S$4:$S$1203,$AG218)=0,"",INDEX(对接源_01水果!$S$4:$S$1203,$AG218)),IF(INDEX(对接源_02物料!$S$4:$S$1203,$AG218-1200)=0,"",INDEX(对接源_02物料!$S$4:$S$1203,$AG218-1200))))</f>
        <v/>
      </c>
      <c r="D218" s="49" t="str">
        <f aca="false">IF($AG218="","",IF($AG218&lt;=1200,IF(INDEX(对接源_01水果!$V$4:$V$1203,$AG218)=0,"",INDEX(对接源_01水果!$V$4:$V$1203,$AG218)),IF(INDEX(对接源_02物料!$V$4:$V$1203,$AG218-1200)=0,"",INDEX(对接源_02物料!$V$4:$V$1203,$AG218-1200))))</f>
        <v/>
      </c>
      <c r="E218" s="41" t="str">
        <f aca="false">IF($AG218="","",IF($AG218&lt;=1200,IF(INDEX(对接源_01水果!$W$4:$W$1203,$AG218)=0,"",INDEX(对接源_01水果!$W$4:$W$1203,$AG218)),IF(INDEX(对接源_02物料!$W$4:$W$1203,$AG218-1200)=0,"",INDEX(对接源_02物料!$W$4:$W$1203,$AG218-1200))))</f>
        <v/>
      </c>
      <c r="F218" s="41" t="str">
        <f aca="false">IF($AG218="","",IF($AG218&lt;=1200,"01水果册","02物料册"))</f>
        <v/>
      </c>
      <c r="G218" s="42" t="str">
        <f aca="false"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44" t="str">
        <f aca="false">IFERROR(MATCH(47,_自动清单!$U$4:$U$2403,0),"")</f>
        <v/>
      </c>
    </row>
    <row r="219" customFormat="false" ht="18" hidden="false" customHeight="true" outlineLevel="0" collapsed="false">
      <c r="A219" s="45" t="str">
        <f aca="false">IF($AG219="","",IF($AG219&lt;=1200,IF(INDEX(对接源_01水果!$B$4:$B$1203,$AG219)=0,"",INDEX(对接源_01水果!$B$4:$B$1203,$AG219)),IF(INDEX(对接源_02物料!$B$4:$B$1203,$AG219-1200)=0,"",INDEX(对接源_02物料!$B$4:$B$1203,$AG219-1200))))</f>
        <v/>
      </c>
      <c r="B219" s="46" t="str">
        <f aca="false">IF($AG219="","",IF($AG219&lt;=1200,IF(INDEX(对接源_01水果!$E$4:$E$1203,$AG219)=0,"",INDEX(对接源_01水果!$E$4:$E$1203,$AG219)),IF(INDEX(对接源_02物料!$E$4:$E$1203,$AG219-1200)=0,"",INDEX(对接源_02物料!$E$4:$E$1203,$AG219-1200))))</f>
        <v/>
      </c>
      <c r="C219" s="47" t="str">
        <f aca="false">IF($AG219="","",IF($AG219&lt;=1200,IF(INDEX(对接源_01水果!$S$4:$S$1203,$AG219)=0,"",INDEX(对接源_01水果!$S$4:$S$1203,$AG219)),IF(INDEX(对接源_02物料!$S$4:$S$1203,$AG219-1200)=0,"",INDEX(对接源_02物料!$S$4:$S$1203,$AG219-1200))))</f>
        <v/>
      </c>
      <c r="D219" s="50" t="str">
        <f aca="false">IF($AG219="","",IF($AG219&lt;=1200,IF(INDEX(对接源_01水果!$V$4:$V$1203,$AG219)=0,"",INDEX(对接源_01水果!$V$4:$V$1203,$AG219)),IF(INDEX(对接源_02物料!$V$4:$V$1203,$AG219-1200)=0,"",INDEX(对接源_02物料!$V$4:$V$1203,$AG219-1200))))</f>
        <v/>
      </c>
      <c r="E219" s="46" t="str">
        <f aca="false">IF($AG219="","",IF($AG219&lt;=1200,IF(INDEX(对接源_01水果!$W$4:$W$1203,$AG219)=0,"",INDEX(对接源_01水果!$W$4:$W$1203,$AG219)),IF(INDEX(对接源_02物料!$W$4:$W$1203,$AG219-1200)=0,"",INDEX(对接源_02物料!$W$4:$W$1203,$AG219-1200))))</f>
        <v/>
      </c>
      <c r="F219" s="46" t="str">
        <f aca="false">IF($AG219="","",IF($AG219&lt;=1200,"01水果册","02物料册"))</f>
        <v/>
      </c>
      <c r="G219" s="47" t="str">
        <f aca="false"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44" t="str">
        <f aca="false">IFERROR(MATCH(48,_自动清单!$U$4:$U$2403,0),"")</f>
        <v/>
      </c>
    </row>
    <row r="220" customFormat="false" ht="18" hidden="false" customHeight="true" outlineLevel="0" collapsed="false">
      <c r="A220" s="40" t="str">
        <f aca="false">IF($AG220="","",IF($AG220&lt;=1200,IF(INDEX(对接源_01水果!$B$4:$B$1203,$AG220)=0,"",INDEX(对接源_01水果!$B$4:$B$1203,$AG220)),IF(INDEX(对接源_02物料!$B$4:$B$1203,$AG220-1200)=0,"",INDEX(对接源_02物料!$B$4:$B$1203,$AG220-1200))))</f>
        <v/>
      </c>
      <c r="B220" s="41" t="str">
        <f aca="false">IF($AG220="","",IF($AG220&lt;=1200,IF(INDEX(对接源_01水果!$E$4:$E$1203,$AG220)=0,"",INDEX(对接源_01水果!$E$4:$E$1203,$AG220)),IF(INDEX(对接源_02物料!$E$4:$E$1203,$AG220-1200)=0,"",INDEX(对接源_02物料!$E$4:$E$1203,$AG220-1200))))</f>
        <v/>
      </c>
      <c r="C220" s="42" t="str">
        <f aca="false">IF($AG220="","",IF($AG220&lt;=1200,IF(INDEX(对接源_01水果!$S$4:$S$1203,$AG220)=0,"",INDEX(对接源_01水果!$S$4:$S$1203,$AG220)),IF(INDEX(对接源_02物料!$S$4:$S$1203,$AG220-1200)=0,"",INDEX(对接源_02物料!$S$4:$S$1203,$AG220-1200))))</f>
        <v/>
      </c>
      <c r="D220" s="49" t="str">
        <f aca="false">IF($AG220="","",IF($AG220&lt;=1200,IF(INDEX(对接源_01水果!$V$4:$V$1203,$AG220)=0,"",INDEX(对接源_01水果!$V$4:$V$1203,$AG220)),IF(INDEX(对接源_02物料!$V$4:$V$1203,$AG220-1200)=0,"",INDEX(对接源_02物料!$V$4:$V$1203,$AG220-1200))))</f>
        <v/>
      </c>
      <c r="E220" s="41" t="str">
        <f aca="false">IF($AG220="","",IF($AG220&lt;=1200,IF(INDEX(对接源_01水果!$W$4:$W$1203,$AG220)=0,"",INDEX(对接源_01水果!$W$4:$W$1203,$AG220)),IF(INDEX(对接源_02物料!$W$4:$W$1203,$AG220-1200)=0,"",INDEX(对接源_02物料!$W$4:$W$1203,$AG220-1200))))</f>
        <v/>
      </c>
      <c r="F220" s="41" t="str">
        <f aca="false">IF($AG220="","",IF($AG220&lt;=1200,"01水果册","02物料册"))</f>
        <v/>
      </c>
      <c r="G220" s="42" t="str">
        <f aca="false"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44" t="str">
        <f aca="false">IFERROR(MATCH(49,_自动清单!$U$4:$U$2403,0),"")</f>
        <v/>
      </c>
    </row>
    <row r="221" customFormat="false" ht="18" hidden="false" customHeight="true" outlineLevel="0" collapsed="false">
      <c r="A221" s="45" t="str">
        <f aca="false">IF($AG221="","",IF($AG221&lt;=1200,IF(INDEX(对接源_01水果!$B$4:$B$1203,$AG221)=0,"",INDEX(对接源_01水果!$B$4:$B$1203,$AG221)),IF(INDEX(对接源_02物料!$B$4:$B$1203,$AG221-1200)=0,"",INDEX(对接源_02物料!$B$4:$B$1203,$AG221-1200))))</f>
        <v/>
      </c>
      <c r="B221" s="46" t="str">
        <f aca="false">IF($AG221="","",IF($AG221&lt;=1200,IF(INDEX(对接源_01水果!$E$4:$E$1203,$AG221)=0,"",INDEX(对接源_01水果!$E$4:$E$1203,$AG221)),IF(INDEX(对接源_02物料!$E$4:$E$1203,$AG221-1200)=0,"",INDEX(对接源_02物料!$E$4:$E$1203,$AG221-1200))))</f>
        <v/>
      </c>
      <c r="C221" s="47" t="str">
        <f aca="false">IF($AG221="","",IF($AG221&lt;=1200,IF(INDEX(对接源_01水果!$S$4:$S$1203,$AG221)=0,"",INDEX(对接源_01水果!$S$4:$S$1203,$AG221)),IF(INDEX(对接源_02物料!$S$4:$S$1203,$AG221-1200)=0,"",INDEX(对接源_02物料!$S$4:$S$1203,$AG221-1200))))</f>
        <v/>
      </c>
      <c r="D221" s="50" t="str">
        <f aca="false">IF($AG221="","",IF($AG221&lt;=1200,IF(INDEX(对接源_01水果!$V$4:$V$1203,$AG221)=0,"",INDEX(对接源_01水果!$V$4:$V$1203,$AG221)),IF(INDEX(对接源_02物料!$V$4:$V$1203,$AG221-1200)=0,"",INDEX(对接源_02物料!$V$4:$V$1203,$AG221-1200))))</f>
        <v/>
      </c>
      <c r="E221" s="46" t="str">
        <f aca="false">IF($AG221="","",IF($AG221&lt;=1200,IF(INDEX(对接源_01水果!$W$4:$W$1203,$AG221)=0,"",INDEX(对接源_01水果!$W$4:$W$1203,$AG221)),IF(INDEX(对接源_02物料!$W$4:$W$1203,$AG221-1200)=0,"",INDEX(对接源_02物料!$W$4:$W$1203,$AG221-1200))))</f>
        <v/>
      </c>
      <c r="F221" s="46" t="str">
        <f aca="false">IF($AG221="","",IF($AG221&lt;=1200,"01水果册","02物料册"))</f>
        <v/>
      </c>
      <c r="G221" s="47" t="str">
        <f aca="false"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44" t="str">
        <f aca="false">IFERROR(MATCH(50,_自动清单!$U$4:$U$2403,0),"")</f>
        <v/>
      </c>
    </row>
    <row r="222" customFormat="false" ht="18" hidden="false" customHeight="true" outlineLevel="0" collapsed="false">
      <c r="A222" s="40" t="str">
        <f aca="false">IF($AG222="","",IF($AG222&lt;=1200,IF(INDEX(对接源_01水果!$B$4:$B$1203,$AG222)=0,"",INDEX(对接源_01水果!$B$4:$B$1203,$AG222)),IF(INDEX(对接源_02物料!$B$4:$B$1203,$AG222-1200)=0,"",INDEX(对接源_02物料!$B$4:$B$1203,$AG222-1200))))</f>
        <v/>
      </c>
      <c r="B222" s="41" t="str">
        <f aca="false">IF($AG222="","",IF($AG222&lt;=1200,IF(INDEX(对接源_01水果!$E$4:$E$1203,$AG222)=0,"",INDEX(对接源_01水果!$E$4:$E$1203,$AG222)),IF(INDEX(对接源_02物料!$E$4:$E$1203,$AG222-1200)=0,"",INDEX(对接源_02物料!$E$4:$E$1203,$AG222-1200))))</f>
        <v/>
      </c>
      <c r="C222" s="42" t="str">
        <f aca="false">IF($AG222="","",IF($AG222&lt;=1200,IF(INDEX(对接源_01水果!$S$4:$S$1203,$AG222)=0,"",INDEX(对接源_01水果!$S$4:$S$1203,$AG222)),IF(INDEX(对接源_02物料!$S$4:$S$1203,$AG222-1200)=0,"",INDEX(对接源_02物料!$S$4:$S$1203,$AG222-1200))))</f>
        <v/>
      </c>
      <c r="D222" s="49" t="str">
        <f aca="false">IF($AG222="","",IF($AG222&lt;=1200,IF(INDEX(对接源_01水果!$V$4:$V$1203,$AG222)=0,"",INDEX(对接源_01水果!$V$4:$V$1203,$AG222)),IF(INDEX(对接源_02物料!$V$4:$V$1203,$AG222-1200)=0,"",INDEX(对接源_02物料!$V$4:$V$1203,$AG222-1200))))</f>
        <v/>
      </c>
      <c r="E222" s="41" t="str">
        <f aca="false">IF($AG222="","",IF($AG222&lt;=1200,IF(INDEX(对接源_01水果!$W$4:$W$1203,$AG222)=0,"",INDEX(对接源_01水果!$W$4:$W$1203,$AG222)),IF(INDEX(对接源_02物料!$W$4:$W$1203,$AG222-1200)=0,"",INDEX(对接源_02物料!$W$4:$W$1203,$AG222-1200))))</f>
        <v/>
      </c>
      <c r="F222" s="41" t="str">
        <f aca="false">IF($AG222="","",IF($AG222&lt;=1200,"01水果册","02物料册"))</f>
        <v/>
      </c>
      <c r="G222" s="42" t="str">
        <f aca="false"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44" t="str">
        <f aca="false">IFERROR(MATCH(51,_自动清单!$U$4:$U$2403,0),"")</f>
        <v/>
      </c>
    </row>
    <row r="223" customFormat="false" ht="18" hidden="false" customHeight="true" outlineLevel="0" collapsed="false">
      <c r="A223" s="45" t="str">
        <f aca="false">IF($AG223="","",IF($AG223&lt;=1200,IF(INDEX(对接源_01水果!$B$4:$B$1203,$AG223)=0,"",INDEX(对接源_01水果!$B$4:$B$1203,$AG223)),IF(INDEX(对接源_02物料!$B$4:$B$1203,$AG223-1200)=0,"",INDEX(对接源_02物料!$B$4:$B$1203,$AG223-1200))))</f>
        <v/>
      </c>
      <c r="B223" s="46" t="str">
        <f aca="false">IF($AG223="","",IF($AG223&lt;=1200,IF(INDEX(对接源_01水果!$E$4:$E$1203,$AG223)=0,"",INDEX(对接源_01水果!$E$4:$E$1203,$AG223)),IF(INDEX(对接源_02物料!$E$4:$E$1203,$AG223-1200)=0,"",INDEX(对接源_02物料!$E$4:$E$1203,$AG223-1200))))</f>
        <v/>
      </c>
      <c r="C223" s="47" t="str">
        <f aca="false">IF($AG223="","",IF($AG223&lt;=1200,IF(INDEX(对接源_01水果!$S$4:$S$1203,$AG223)=0,"",INDEX(对接源_01水果!$S$4:$S$1203,$AG223)),IF(INDEX(对接源_02物料!$S$4:$S$1203,$AG223-1200)=0,"",INDEX(对接源_02物料!$S$4:$S$1203,$AG223-1200))))</f>
        <v/>
      </c>
      <c r="D223" s="50" t="str">
        <f aca="false">IF($AG223="","",IF($AG223&lt;=1200,IF(INDEX(对接源_01水果!$V$4:$V$1203,$AG223)=0,"",INDEX(对接源_01水果!$V$4:$V$1203,$AG223)),IF(INDEX(对接源_02物料!$V$4:$V$1203,$AG223-1200)=0,"",INDEX(对接源_02物料!$V$4:$V$1203,$AG223-1200))))</f>
        <v/>
      </c>
      <c r="E223" s="46" t="str">
        <f aca="false">IF($AG223="","",IF($AG223&lt;=1200,IF(INDEX(对接源_01水果!$W$4:$W$1203,$AG223)=0,"",INDEX(对接源_01水果!$W$4:$W$1203,$AG223)),IF(INDEX(对接源_02物料!$W$4:$W$1203,$AG223-1200)=0,"",INDEX(对接源_02物料!$W$4:$W$1203,$AG223-1200))))</f>
        <v/>
      </c>
      <c r="F223" s="46" t="str">
        <f aca="false">IF($AG223="","",IF($AG223&lt;=1200,"01水果册","02物料册"))</f>
        <v/>
      </c>
      <c r="G223" s="47" t="str">
        <f aca="false"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44" t="str">
        <f aca="false">IFERROR(MATCH(52,_自动清单!$U$4:$U$2403,0),"")</f>
        <v/>
      </c>
    </row>
    <row r="224" customFormat="false" ht="18" hidden="false" customHeight="true" outlineLevel="0" collapsed="false">
      <c r="A224" s="40" t="str">
        <f aca="false">IF($AG224="","",IF($AG224&lt;=1200,IF(INDEX(对接源_01水果!$B$4:$B$1203,$AG224)=0,"",INDEX(对接源_01水果!$B$4:$B$1203,$AG224)),IF(INDEX(对接源_02物料!$B$4:$B$1203,$AG224-1200)=0,"",INDEX(对接源_02物料!$B$4:$B$1203,$AG224-1200))))</f>
        <v/>
      </c>
      <c r="B224" s="41" t="str">
        <f aca="false">IF($AG224="","",IF($AG224&lt;=1200,IF(INDEX(对接源_01水果!$E$4:$E$1203,$AG224)=0,"",INDEX(对接源_01水果!$E$4:$E$1203,$AG224)),IF(INDEX(对接源_02物料!$E$4:$E$1203,$AG224-1200)=0,"",INDEX(对接源_02物料!$E$4:$E$1203,$AG224-1200))))</f>
        <v/>
      </c>
      <c r="C224" s="42" t="str">
        <f aca="false">IF($AG224="","",IF($AG224&lt;=1200,IF(INDEX(对接源_01水果!$S$4:$S$1203,$AG224)=0,"",INDEX(对接源_01水果!$S$4:$S$1203,$AG224)),IF(INDEX(对接源_02物料!$S$4:$S$1203,$AG224-1200)=0,"",INDEX(对接源_02物料!$S$4:$S$1203,$AG224-1200))))</f>
        <v/>
      </c>
      <c r="D224" s="49" t="str">
        <f aca="false">IF($AG224="","",IF($AG224&lt;=1200,IF(INDEX(对接源_01水果!$V$4:$V$1203,$AG224)=0,"",INDEX(对接源_01水果!$V$4:$V$1203,$AG224)),IF(INDEX(对接源_02物料!$V$4:$V$1203,$AG224-1200)=0,"",INDEX(对接源_02物料!$V$4:$V$1203,$AG224-1200))))</f>
        <v/>
      </c>
      <c r="E224" s="41" t="str">
        <f aca="false">IF($AG224="","",IF($AG224&lt;=1200,IF(INDEX(对接源_01水果!$W$4:$W$1203,$AG224)=0,"",INDEX(对接源_01水果!$W$4:$W$1203,$AG224)),IF(INDEX(对接源_02物料!$W$4:$W$1203,$AG224-1200)=0,"",INDEX(对接源_02物料!$W$4:$W$1203,$AG224-1200))))</f>
        <v/>
      </c>
      <c r="F224" s="41" t="str">
        <f aca="false">IF($AG224="","",IF($AG224&lt;=1200,"01水果册","02物料册"))</f>
        <v/>
      </c>
      <c r="G224" s="42" t="str">
        <f aca="false"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44" t="str">
        <f aca="false">IFERROR(MATCH(53,_自动清单!$U$4:$U$2403,0),"")</f>
        <v/>
      </c>
    </row>
    <row r="225" customFormat="false" ht="18" hidden="false" customHeight="true" outlineLevel="0" collapsed="false">
      <c r="A225" s="45" t="str">
        <f aca="false">IF($AG225="","",IF($AG225&lt;=1200,IF(INDEX(对接源_01水果!$B$4:$B$1203,$AG225)=0,"",INDEX(对接源_01水果!$B$4:$B$1203,$AG225)),IF(INDEX(对接源_02物料!$B$4:$B$1203,$AG225-1200)=0,"",INDEX(对接源_02物料!$B$4:$B$1203,$AG225-1200))))</f>
        <v/>
      </c>
      <c r="B225" s="46" t="str">
        <f aca="false">IF($AG225="","",IF($AG225&lt;=1200,IF(INDEX(对接源_01水果!$E$4:$E$1203,$AG225)=0,"",INDEX(对接源_01水果!$E$4:$E$1203,$AG225)),IF(INDEX(对接源_02物料!$E$4:$E$1203,$AG225-1200)=0,"",INDEX(对接源_02物料!$E$4:$E$1203,$AG225-1200))))</f>
        <v/>
      </c>
      <c r="C225" s="47" t="str">
        <f aca="false">IF($AG225="","",IF($AG225&lt;=1200,IF(INDEX(对接源_01水果!$S$4:$S$1203,$AG225)=0,"",INDEX(对接源_01水果!$S$4:$S$1203,$AG225)),IF(INDEX(对接源_02物料!$S$4:$S$1203,$AG225-1200)=0,"",INDEX(对接源_02物料!$S$4:$S$1203,$AG225-1200))))</f>
        <v/>
      </c>
      <c r="D225" s="50" t="str">
        <f aca="false">IF($AG225="","",IF($AG225&lt;=1200,IF(INDEX(对接源_01水果!$V$4:$V$1203,$AG225)=0,"",INDEX(对接源_01水果!$V$4:$V$1203,$AG225)),IF(INDEX(对接源_02物料!$V$4:$V$1203,$AG225-1200)=0,"",INDEX(对接源_02物料!$V$4:$V$1203,$AG225-1200))))</f>
        <v/>
      </c>
      <c r="E225" s="46" t="str">
        <f aca="false">IF($AG225="","",IF($AG225&lt;=1200,IF(INDEX(对接源_01水果!$W$4:$W$1203,$AG225)=0,"",INDEX(对接源_01水果!$W$4:$W$1203,$AG225)),IF(INDEX(对接源_02物料!$W$4:$W$1203,$AG225-1200)=0,"",INDEX(对接源_02物料!$W$4:$W$1203,$AG225-1200))))</f>
        <v/>
      </c>
      <c r="F225" s="46" t="str">
        <f aca="false">IF($AG225="","",IF($AG225&lt;=1200,"01水果册","02物料册"))</f>
        <v/>
      </c>
      <c r="G225" s="47" t="str">
        <f aca="false"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44" t="str">
        <f aca="false">IFERROR(MATCH(54,_自动清单!$U$4:$U$2403,0),"")</f>
        <v/>
      </c>
    </row>
    <row r="226" customFormat="false" ht="18" hidden="false" customHeight="true" outlineLevel="0" collapsed="false">
      <c r="A226" s="40" t="str">
        <f aca="false">IF($AG226="","",IF($AG226&lt;=1200,IF(INDEX(对接源_01水果!$B$4:$B$1203,$AG226)=0,"",INDEX(对接源_01水果!$B$4:$B$1203,$AG226)),IF(INDEX(对接源_02物料!$B$4:$B$1203,$AG226-1200)=0,"",INDEX(对接源_02物料!$B$4:$B$1203,$AG226-1200))))</f>
        <v/>
      </c>
      <c r="B226" s="41" t="str">
        <f aca="false">IF($AG226="","",IF($AG226&lt;=1200,IF(INDEX(对接源_01水果!$E$4:$E$1203,$AG226)=0,"",INDEX(对接源_01水果!$E$4:$E$1203,$AG226)),IF(INDEX(对接源_02物料!$E$4:$E$1203,$AG226-1200)=0,"",INDEX(对接源_02物料!$E$4:$E$1203,$AG226-1200))))</f>
        <v/>
      </c>
      <c r="C226" s="42" t="str">
        <f aca="false">IF($AG226="","",IF($AG226&lt;=1200,IF(INDEX(对接源_01水果!$S$4:$S$1203,$AG226)=0,"",INDEX(对接源_01水果!$S$4:$S$1203,$AG226)),IF(INDEX(对接源_02物料!$S$4:$S$1203,$AG226-1200)=0,"",INDEX(对接源_02物料!$S$4:$S$1203,$AG226-1200))))</f>
        <v/>
      </c>
      <c r="D226" s="49" t="str">
        <f aca="false">IF($AG226="","",IF($AG226&lt;=1200,IF(INDEX(对接源_01水果!$V$4:$V$1203,$AG226)=0,"",INDEX(对接源_01水果!$V$4:$V$1203,$AG226)),IF(INDEX(对接源_02物料!$V$4:$V$1203,$AG226-1200)=0,"",INDEX(对接源_02物料!$V$4:$V$1203,$AG226-1200))))</f>
        <v/>
      </c>
      <c r="E226" s="41" t="str">
        <f aca="false">IF($AG226="","",IF($AG226&lt;=1200,IF(INDEX(对接源_01水果!$W$4:$W$1203,$AG226)=0,"",INDEX(对接源_01水果!$W$4:$W$1203,$AG226)),IF(INDEX(对接源_02物料!$W$4:$W$1203,$AG226-1200)=0,"",INDEX(对接源_02物料!$W$4:$W$1203,$AG226-1200))))</f>
        <v/>
      </c>
      <c r="F226" s="41" t="str">
        <f aca="false">IF($AG226="","",IF($AG226&lt;=1200,"01水果册","02物料册"))</f>
        <v/>
      </c>
      <c r="G226" s="42" t="str">
        <f aca="false"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44" t="str">
        <f aca="false">IFERROR(MATCH(55,_自动清单!$U$4:$U$2403,0),"")</f>
        <v/>
      </c>
    </row>
    <row r="227" customFormat="false" ht="18" hidden="false" customHeight="true" outlineLevel="0" collapsed="false">
      <c r="A227" s="45" t="str">
        <f aca="false">IF($AG227="","",IF($AG227&lt;=1200,IF(INDEX(对接源_01水果!$B$4:$B$1203,$AG227)=0,"",INDEX(对接源_01水果!$B$4:$B$1203,$AG227)),IF(INDEX(对接源_02物料!$B$4:$B$1203,$AG227-1200)=0,"",INDEX(对接源_02物料!$B$4:$B$1203,$AG227-1200))))</f>
        <v/>
      </c>
      <c r="B227" s="46" t="str">
        <f aca="false">IF($AG227="","",IF($AG227&lt;=1200,IF(INDEX(对接源_01水果!$E$4:$E$1203,$AG227)=0,"",INDEX(对接源_01水果!$E$4:$E$1203,$AG227)),IF(INDEX(对接源_02物料!$E$4:$E$1203,$AG227-1200)=0,"",INDEX(对接源_02物料!$E$4:$E$1203,$AG227-1200))))</f>
        <v/>
      </c>
      <c r="C227" s="47" t="str">
        <f aca="false">IF($AG227="","",IF($AG227&lt;=1200,IF(INDEX(对接源_01水果!$S$4:$S$1203,$AG227)=0,"",INDEX(对接源_01水果!$S$4:$S$1203,$AG227)),IF(INDEX(对接源_02物料!$S$4:$S$1203,$AG227-1200)=0,"",INDEX(对接源_02物料!$S$4:$S$1203,$AG227-1200))))</f>
        <v/>
      </c>
      <c r="D227" s="50" t="str">
        <f aca="false">IF($AG227="","",IF($AG227&lt;=1200,IF(INDEX(对接源_01水果!$V$4:$V$1203,$AG227)=0,"",INDEX(对接源_01水果!$V$4:$V$1203,$AG227)),IF(INDEX(对接源_02物料!$V$4:$V$1203,$AG227-1200)=0,"",INDEX(对接源_02物料!$V$4:$V$1203,$AG227-1200))))</f>
        <v/>
      </c>
      <c r="E227" s="46" t="str">
        <f aca="false">IF($AG227="","",IF($AG227&lt;=1200,IF(INDEX(对接源_01水果!$W$4:$W$1203,$AG227)=0,"",INDEX(对接源_01水果!$W$4:$W$1203,$AG227)),IF(INDEX(对接源_02物料!$W$4:$W$1203,$AG227-1200)=0,"",INDEX(对接源_02物料!$W$4:$W$1203,$AG227-1200))))</f>
        <v/>
      </c>
      <c r="F227" s="46" t="str">
        <f aca="false">IF($AG227="","",IF($AG227&lt;=1200,"01水果册","02物料册"))</f>
        <v/>
      </c>
      <c r="G227" s="47" t="str">
        <f aca="false"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44" t="str">
        <f aca="false">IFERROR(MATCH(56,_自动清单!$U$4:$U$2403,0),"")</f>
        <v/>
      </c>
    </row>
    <row r="228" customFormat="false" ht="18" hidden="false" customHeight="true" outlineLevel="0" collapsed="false">
      <c r="A228" s="40" t="str">
        <f aca="false">IF($AG228="","",IF($AG228&lt;=1200,IF(INDEX(对接源_01水果!$B$4:$B$1203,$AG228)=0,"",INDEX(对接源_01水果!$B$4:$B$1203,$AG228)),IF(INDEX(对接源_02物料!$B$4:$B$1203,$AG228-1200)=0,"",INDEX(对接源_02物料!$B$4:$B$1203,$AG228-1200))))</f>
        <v/>
      </c>
      <c r="B228" s="41" t="str">
        <f aca="false">IF($AG228="","",IF($AG228&lt;=1200,IF(INDEX(对接源_01水果!$E$4:$E$1203,$AG228)=0,"",INDEX(对接源_01水果!$E$4:$E$1203,$AG228)),IF(INDEX(对接源_02物料!$E$4:$E$1203,$AG228-1200)=0,"",INDEX(对接源_02物料!$E$4:$E$1203,$AG228-1200))))</f>
        <v/>
      </c>
      <c r="C228" s="42" t="str">
        <f aca="false">IF($AG228="","",IF($AG228&lt;=1200,IF(INDEX(对接源_01水果!$S$4:$S$1203,$AG228)=0,"",INDEX(对接源_01水果!$S$4:$S$1203,$AG228)),IF(INDEX(对接源_02物料!$S$4:$S$1203,$AG228-1200)=0,"",INDEX(对接源_02物料!$S$4:$S$1203,$AG228-1200))))</f>
        <v/>
      </c>
      <c r="D228" s="49" t="str">
        <f aca="false">IF($AG228="","",IF($AG228&lt;=1200,IF(INDEX(对接源_01水果!$V$4:$V$1203,$AG228)=0,"",INDEX(对接源_01水果!$V$4:$V$1203,$AG228)),IF(INDEX(对接源_02物料!$V$4:$V$1203,$AG228-1200)=0,"",INDEX(对接源_02物料!$V$4:$V$1203,$AG228-1200))))</f>
        <v/>
      </c>
      <c r="E228" s="41" t="str">
        <f aca="false">IF($AG228="","",IF($AG228&lt;=1200,IF(INDEX(对接源_01水果!$W$4:$W$1203,$AG228)=0,"",INDEX(对接源_01水果!$W$4:$W$1203,$AG228)),IF(INDEX(对接源_02物料!$W$4:$W$1203,$AG228-1200)=0,"",INDEX(对接源_02物料!$W$4:$W$1203,$AG228-1200))))</f>
        <v/>
      </c>
      <c r="F228" s="41" t="str">
        <f aca="false">IF($AG228="","",IF($AG228&lt;=1200,"01水果册","02物料册"))</f>
        <v/>
      </c>
      <c r="G228" s="42" t="str">
        <f aca="false"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44" t="str">
        <f aca="false">IFERROR(MATCH(57,_自动清单!$U$4:$U$2403,0),"")</f>
        <v/>
      </c>
    </row>
    <row r="229" customFormat="false" ht="18" hidden="false" customHeight="true" outlineLevel="0" collapsed="false">
      <c r="A229" s="45" t="str">
        <f aca="false">IF($AG229="","",IF($AG229&lt;=1200,IF(INDEX(对接源_01水果!$B$4:$B$1203,$AG229)=0,"",INDEX(对接源_01水果!$B$4:$B$1203,$AG229)),IF(INDEX(对接源_02物料!$B$4:$B$1203,$AG229-1200)=0,"",INDEX(对接源_02物料!$B$4:$B$1203,$AG229-1200))))</f>
        <v/>
      </c>
      <c r="B229" s="46" t="str">
        <f aca="false">IF($AG229="","",IF($AG229&lt;=1200,IF(INDEX(对接源_01水果!$E$4:$E$1203,$AG229)=0,"",INDEX(对接源_01水果!$E$4:$E$1203,$AG229)),IF(INDEX(对接源_02物料!$E$4:$E$1203,$AG229-1200)=0,"",INDEX(对接源_02物料!$E$4:$E$1203,$AG229-1200))))</f>
        <v/>
      </c>
      <c r="C229" s="47" t="str">
        <f aca="false">IF($AG229="","",IF($AG229&lt;=1200,IF(INDEX(对接源_01水果!$S$4:$S$1203,$AG229)=0,"",INDEX(对接源_01水果!$S$4:$S$1203,$AG229)),IF(INDEX(对接源_02物料!$S$4:$S$1203,$AG229-1200)=0,"",INDEX(对接源_02物料!$S$4:$S$1203,$AG229-1200))))</f>
        <v/>
      </c>
      <c r="D229" s="50" t="str">
        <f aca="false">IF($AG229="","",IF($AG229&lt;=1200,IF(INDEX(对接源_01水果!$V$4:$V$1203,$AG229)=0,"",INDEX(对接源_01水果!$V$4:$V$1203,$AG229)),IF(INDEX(对接源_02物料!$V$4:$V$1203,$AG229-1200)=0,"",INDEX(对接源_02物料!$V$4:$V$1203,$AG229-1200))))</f>
        <v/>
      </c>
      <c r="E229" s="46" t="str">
        <f aca="false">IF($AG229="","",IF($AG229&lt;=1200,IF(INDEX(对接源_01水果!$W$4:$W$1203,$AG229)=0,"",INDEX(对接源_01水果!$W$4:$W$1203,$AG229)),IF(INDEX(对接源_02物料!$W$4:$W$1203,$AG229-1200)=0,"",INDEX(对接源_02物料!$W$4:$W$1203,$AG229-1200))))</f>
        <v/>
      </c>
      <c r="F229" s="46" t="str">
        <f aca="false">IF($AG229="","",IF($AG229&lt;=1200,"01水果册","02物料册"))</f>
        <v/>
      </c>
      <c r="G229" s="47" t="str">
        <f aca="false"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44" t="str">
        <f aca="false">IFERROR(MATCH(58,_自动清单!$U$4:$U$2403,0),"")</f>
        <v/>
      </c>
    </row>
    <row r="230" customFormat="false" ht="18" hidden="false" customHeight="true" outlineLevel="0" collapsed="false">
      <c r="A230" s="40" t="str">
        <f aca="false">IF($AG230="","",IF($AG230&lt;=1200,IF(INDEX(对接源_01水果!$B$4:$B$1203,$AG230)=0,"",INDEX(对接源_01水果!$B$4:$B$1203,$AG230)),IF(INDEX(对接源_02物料!$B$4:$B$1203,$AG230-1200)=0,"",INDEX(对接源_02物料!$B$4:$B$1203,$AG230-1200))))</f>
        <v/>
      </c>
      <c r="B230" s="41" t="str">
        <f aca="false">IF($AG230="","",IF($AG230&lt;=1200,IF(INDEX(对接源_01水果!$E$4:$E$1203,$AG230)=0,"",INDEX(对接源_01水果!$E$4:$E$1203,$AG230)),IF(INDEX(对接源_02物料!$E$4:$E$1203,$AG230-1200)=0,"",INDEX(对接源_02物料!$E$4:$E$1203,$AG230-1200))))</f>
        <v/>
      </c>
      <c r="C230" s="42" t="str">
        <f aca="false">IF($AG230="","",IF($AG230&lt;=1200,IF(INDEX(对接源_01水果!$S$4:$S$1203,$AG230)=0,"",INDEX(对接源_01水果!$S$4:$S$1203,$AG230)),IF(INDEX(对接源_02物料!$S$4:$S$1203,$AG230-1200)=0,"",INDEX(对接源_02物料!$S$4:$S$1203,$AG230-1200))))</f>
        <v/>
      </c>
      <c r="D230" s="49" t="str">
        <f aca="false">IF($AG230="","",IF($AG230&lt;=1200,IF(INDEX(对接源_01水果!$V$4:$V$1203,$AG230)=0,"",INDEX(对接源_01水果!$V$4:$V$1203,$AG230)),IF(INDEX(对接源_02物料!$V$4:$V$1203,$AG230-1200)=0,"",INDEX(对接源_02物料!$V$4:$V$1203,$AG230-1200))))</f>
        <v/>
      </c>
      <c r="E230" s="41" t="str">
        <f aca="false">IF($AG230="","",IF($AG230&lt;=1200,IF(INDEX(对接源_01水果!$W$4:$W$1203,$AG230)=0,"",INDEX(对接源_01水果!$W$4:$W$1203,$AG230)),IF(INDEX(对接源_02物料!$W$4:$W$1203,$AG230-1200)=0,"",INDEX(对接源_02物料!$W$4:$W$1203,$AG230-1200))))</f>
        <v/>
      </c>
      <c r="F230" s="41" t="str">
        <f aca="false">IF($AG230="","",IF($AG230&lt;=1200,"01水果册","02物料册"))</f>
        <v/>
      </c>
      <c r="G230" s="42" t="str">
        <f aca="false"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44" t="str">
        <f aca="false">IFERROR(MATCH(59,_自动清单!$U$4:$U$2403,0),"")</f>
        <v/>
      </c>
    </row>
    <row r="231" customFormat="false" ht="18" hidden="false" customHeight="true" outlineLevel="0" collapsed="false">
      <c r="A231" s="45" t="str">
        <f aca="false">IF($AG231="","",IF($AG231&lt;=1200,IF(INDEX(对接源_01水果!$B$4:$B$1203,$AG231)=0,"",INDEX(对接源_01水果!$B$4:$B$1203,$AG231)),IF(INDEX(对接源_02物料!$B$4:$B$1203,$AG231-1200)=0,"",INDEX(对接源_02物料!$B$4:$B$1203,$AG231-1200))))</f>
        <v/>
      </c>
      <c r="B231" s="46" t="str">
        <f aca="false">IF($AG231="","",IF($AG231&lt;=1200,IF(INDEX(对接源_01水果!$E$4:$E$1203,$AG231)=0,"",INDEX(对接源_01水果!$E$4:$E$1203,$AG231)),IF(INDEX(对接源_02物料!$E$4:$E$1203,$AG231-1200)=0,"",INDEX(对接源_02物料!$E$4:$E$1203,$AG231-1200))))</f>
        <v/>
      </c>
      <c r="C231" s="47" t="str">
        <f aca="false">IF($AG231="","",IF($AG231&lt;=1200,IF(INDEX(对接源_01水果!$S$4:$S$1203,$AG231)=0,"",INDEX(对接源_01水果!$S$4:$S$1203,$AG231)),IF(INDEX(对接源_02物料!$S$4:$S$1203,$AG231-1200)=0,"",INDEX(对接源_02物料!$S$4:$S$1203,$AG231-1200))))</f>
        <v/>
      </c>
      <c r="D231" s="50" t="str">
        <f aca="false">IF($AG231="","",IF($AG231&lt;=1200,IF(INDEX(对接源_01水果!$V$4:$V$1203,$AG231)=0,"",INDEX(对接源_01水果!$V$4:$V$1203,$AG231)),IF(INDEX(对接源_02物料!$V$4:$V$1203,$AG231-1200)=0,"",INDEX(对接源_02物料!$V$4:$V$1203,$AG231-1200))))</f>
        <v/>
      </c>
      <c r="E231" s="46" t="str">
        <f aca="false">IF($AG231="","",IF($AG231&lt;=1200,IF(INDEX(对接源_01水果!$W$4:$W$1203,$AG231)=0,"",INDEX(对接源_01水果!$W$4:$W$1203,$AG231)),IF(INDEX(对接源_02物料!$W$4:$W$1203,$AG231-1200)=0,"",INDEX(对接源_02物料!$W$4:$W$1203,$AG231-1200))))</f>
        <v/>
      </c>
      <c r="F231" s="46" t="str">
        <f aca="false">IF($AG231="","",IF($AG231&lt;=1200,"01水果册","02物料册"))</f>
        <v/>
      </c>
      <c r="G231" s="47" t="str">
        <f aca="false"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44" t="str">
        <f aca="false">IFERROR(MATCH(60,_自动清单!$U$4:$U$2403,0),"")</f>
        <v/>
      </c>
    </row>
  </sheetData>
  <mergeCells count="15">
    <mergeCell ref="A1:E1"/>
    <mergeCell ref="F1:G1"/>
    <mergeCell ref="B2:C2"/>
    <mergeCell ref="I2:K2"/>
    <mergeCell ref="A3:G3"/>
    <mergeCell ref="I3:J3"/>
    <mergeCell ref="A4:D4"/>
    <mergeCell ref="E4:G4"/>
    <mergeCell ref="I4:J4"/>
    <mergeCell ref="I5:J5"/>
    <mergeCell ref="I6:J6"/>
    <mergeCell ref="A107:D107"/>
    <mergeCell ref="E107:G107"/>
    <mergeCell ref="A170:D170"/>
    <mergeCell ref="E170:G170"/>
  </mergeCells>
  <dataValidations count="1">
    <dataValidation allowBlank="true" errorStyle="stop" operator="between" showDropDown="false" showErrorMessage="false" showInputMessage="false" sqref="B2" type="list">
      <formula1>_自动清单!$E$4:$E$203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5C70"/>
    <pageSetUpPr fitToPage="false"/>
  </sheetPr>
  <dimension ref="A1:AF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M11" activeCellId="0" sqref="M11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11"/>
    <col collapsed="false" customWidth="true" hidden="false" outlineLevel="0" max="6" min="5" style="1" width="15"/>
    <col collapsed="false" customWidth="true" hidden="false" outlineLevel="0" max="7" min="7" style="1" width="22"/>
    <col collapsed="false" customWidth="true" hidden="false" outlineLevel="0" max="8" min="8" style="1" width="10"/>
    <col collapsed="false" customWidth="true" hidden="false" outlineLevel="0" max="9" min="9" style="1" width="20"/>
    <col collapsed="false" customWidth="true" hidden="false" outlineLevel="0" max="10" min="10" style="1" width="2"/>
    <col collapsed="false" customWidth="true" hidden="false" outlineLevel="0" max="13" min="13" style="1" width="11"/>
    <col collapsed="false" customWidth="true" hidden="false" outlineLevel="0" max="14" min="14" style="1" width="2"/>
    <col collapsed="false" customWidth="true" hidden="false" outlineLevel="0" max="16" min="16" style="1" width="12"/>
  </cols>
  <sheetData>
    <row r="1" customFormat="false" ht="49.5" hidden="false" customHeight="true" outlineLevel="0" collapsed="false">
      <c r="A1" s="24" t="s">
        <v>70</v>
      </c>
      <c r="B1" s="24"/>
      <c r="C1" s="24"/>
      <c r="D1" s="24"/>
      <c r="E1" s="24"/>
      <c r="F1" s="24"/>
      <c r="G1" s="24"/>
      <c r="H1" s="51" t="s">
        <v>71</v>
      </c>
      <c r="I1" s="52"/>
      <c r="P1" s="26" t="n">
        <f aca="false">IF($F$2="",DATE(1900,1,1),$F$2)</f>
        <v>2</v>
      </c>
    </row>
    <row r="2" customFormat="false" ht="25.5" hidden="false" customHeight="true" outlineLevel="0" collapsed="false">
      <c r="A2" s="27" t="s">
        <v>72</v>
      </c>
      <c r="B2" s="28" t="s">
        <v>94</v>
      </c>
      <c r="C2" s="28"/>
      <c r="E2" s="29" t="s">
        <v>74</v>
      </c>
      <c r="F2" s="30"/>
      <c r="G2" s="29" t="s">
        <v>75</v>
      </c>
      <c r="H2" s="30"/>
      <c r="K2" s="31" t="s">
        <v>95</v>
      </c>
      <c r="L2" s="31"/>
      <c r="M2" s="31"/>
      <c r="P2" s="26" t="n">
        <f aca="false">IF($H$2="",DATE(2999,12,31),$H$2)</f>
        <v>401768</v>
      </c>
    </row>
    <row r="3" customFormat="false" ht="19.5" hidden="false" customHeight="true" outlineLevel="0" collapsed="false">
      <c r="A3" s="32" t="s">
        <v>96</v>
      </c>
      <c r="B3" s="32"/>
      <c r="C3" s="32"/>
      <c r="D3" s="32"/>
      <c r="E3" s="32"/>
      <c r="F3" s="32"/>
      <c r="G3" s="32"/>
      <c r="H3" s="32"/>
      <c r="I3" s="32"/>
      <c r="K3" s="33" t="s">
        <v>97</v>
      </c>
      <c r="L3" s="33"/>
      <c r="M3" s="34" t="n">
        <f aca="false"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1186</v>
      </c>
    </row>
    <row r="4" customFormat="false" ht="24" hidden="false" customHeight="true" outlineLevel="0" collapsed="false">
      <c r="A4" s="35" t="s">
        <v>98</v>
      </c>
      <c r="B4" s="35"/>
      <c r="C4" s="35"/>
      <c r="D4" s="35"/>
      <c r="E4" s="35"/>
      <c r="F4" s="35"/>
      <c r="G4" s="36" t="n">
        <f aca="false"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1186</v>
      </c>
      <c r="H4" s="36"/>
      <c r="I4" s="36"/>
      <c r="K4" s="33" t="s">
        <v>99</v>
      </c>
      <c r="L4" s="33"/>
      <c r="M4" s="34" t="n">
        <f aca="false"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</row>
    <row r="5" customFormat="false" ht="30" hidden="false" customHeight="true" outlineLevel="0" collapsed="false">
      <c r="A5" s="39" t="s">
        <v>81</v>
      </c>
      <c r="B5" s="39" t="s">
        <v>83</v>
      </c>
      <c r="C5" s="39" t="s">
        <v>82</v>
      </c>
      <c r="D5" s="39" t="s">
        <v>93</v>
      </c>
      <c r="E5" s="39" t="s">
        <v>100</v>
      </c>
      <c r="F5" s="39" t="s">
        <v>101</v>
      </c>
      <c r="G5" s="39" t="s">
        <v>102</v>
      </c>
      <c r="H5" s="39" t="s">
        <v>86</v>
      </c>
      <c r="I5" s="39" t="s">
        <v>87</v>
      </c>
      <c r="K5" s="37" t="s">
        <v>103</v>
      </c>
      <c r="L5" s="37"/>
      <c r="M5" s="38" t="n">
        <f aca="false">ROUND(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)-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),0)</f>
        <v>1186</v>
      </c>
    </row>
    <row r="6" customFormat="false" ht="18" hidden="false" customHeight="true" outlineLevel="0" collapsed="false">
      <c r="A6" s="40" t="n">
        <f aca="false">IF($AE6="","",IF($AE6&lt;=1200,IF(INDEX(对接源_01水果!$B$4:$B$1203,$AE6)=0,"",INDEX(对接源_01水果!$B$4:$B$1203,$AE6)),IF(INDEX(对接源_02物料!$B$4:$B$1203,$AE6-1200)=0,"",INDEX(对接源_02物料!$B$4:$B$1203,$AE6-1200))))</f>
        <v>46273</v>
      </c>
      <c r="B6" s="42" t="str">
        <f aca="false">IF($AE6="","",IF($AE6&lt;=1200,IF(INDEX(对接源_01水果!$S$4:$S$1203,$AE6)=0,"",INDEX(对接源_01水果!$S$4:$S$1203,$AE6)),IF(INDEX(对接源_02物料!$S$4:$S$1203,$AE6-1200)=0,"",INDEX(对接源_02物料!$S$4:$S$1203,$AE6-1200))))</f>
        <v>自备一次性筐</v>
      </c>
      <c r="C6" s="41" t="str">
        <f aca="false">IF($AE6="","",IF($AE6&lt;=1200,IF(INDEX(对接源_01水果!$E$4:$E$1203,$AE6)=0,"",INDEX(对接源_01水果!$E$4:$E$1203,$AE6)),IF(INDEX(对接源_02物料!$E$4:$E$1203,$AE6-1200)=0,"",INDEX(对接源_02物料!$E$4:$E$1203,$AE6-1200))))</f>
        <v>NO:0000760</v>
      </c>
      <c r="D6" s="43" t="n">
        <f aca="false">IF($AE6="","",IF($AE6&lt;=1200,IF(INDEX(对接源_01水果!$V$4:$V$1203,$AE6)=0,"",INDEX(对接源_01水果!$V$4:$V$1203,$AE6)),IF(INDEX(对接源_02物料!$V$4:$V$1203,$AE6-1200)=0,"",INDEX(对接源_02物料!$V$4:$V$1203,$AE6-1200))))</f>
        <v>144</v>
      </c>
      <c r="E6" s="42" t="str">
        <f aca="false">IF($AE6="","",IF($AE6&lt;=1200,IF(INDEX(对接源_01水果!$C$4:$C$1203,$AE6)=0,"",INDEX(对接源_01水果!$C$4:$C$1203,$AE6)),IF(INDEX(对接源_02物料!$C$4:$C$1203,$AE6-1200)=0,"",INDEX(对接源_02物料!$C$4:$C$1203,$AE6-1200))))</f>
        <v>贾建国</v>
      </c>
      <c r="F6" s="41" t="str">
        <f aca="false">IF($AE6="","",IF($AE6&lt;=1200,IF(INDEX(对接源_01水果!$W$4:$W$1203,$AE6)=0,"",INDEX(对接源_01水果!$W$4:$W$1203,$AE6)),IF(INDEX(对接源_02物料!$W$4:$W$1203,$AE6-1200)=0,"",INDEX(对接源_02物料!$W$4:$W$1203,$AE6-1200))))</f>
        <v>豫Q*H5591</v>
      </c>
      <c r="G6" s="42" t="str">
        <f aca="false">IF($AE6="","",IF($AE6&lt;=1200,IF(INDEX(对接源_01水果!$D$4:$D$1203,$AE6)=0,"",INDEX(对接源_01水果!$D$4:$D$1203,$AE6)),IF(INDEX(对接源_02物料!$D$4:$D$1203,$AE6-1200)=0,"",INDEX(对接源_02物料!$D$4:$D$1203,$AE6-1200))))</f>
        <v>原料入库</v>
      </c>
      <c r="H6" s="41" t="str">
        <f aca="false">IF($AE6="","",IF($AE6&lt;=1200,"01水果册","02物料册"))</f>
        <v>01水果册</v>
      </c>
      <c r="I6" s="42" t="str">
        <f aca="false">IF($AE6="","",IF($AE6&lt;=1200,IF(INDEX(对接源_01水果!$M$4:$M$1203,$AE6)=0,"",INDEX(对接源_01水果!$M$4:$M$1203,$AE6)),IF(INDEX(对接源_02物料!$M$4:$M$1203,$AE6-1200)=0,"",INDEX(对接源_02物料!$M$4:$M$1203,$AE6-1200))))</f>
        <v/>
      </c>
      <c r="AE6" s="44" t="n">
        <f aca="false">IFERROR(MATCH(1,_自动清单!$W$4:$W$2403,0),"")</f>
        <v>154</v>
      </c>
    </row>
    <row r="7" customFormat="false" ht="18" hidden="false" customHeight="true" outlineLevel="0" collapsed="false">
      <c r="A7" s="45" t="n">
        <f aca="false">IF($AE7="","",IF($AE7&lt;=1200,IF(INDEX(对接源_01水果!$B$4:$B$1203,$AE7)=0,"",INDEX(对接源_01水果!$B$4:$B$1203,$AE7)),IF(INDEX(对接源_02物料!$B$4:$B$1203,$AE7-1200)=0,"",INDEX(对接源_02物料!$B$4:$B$1203,$AE7-1200))))</f>
        <v>46273</v>
      </c>
      <c r="B7" s="47" t="str">
        <f aca="false">IF($AE7="","",IF($AE7&lt;=1200,IF(INDEX(对接源_01水果!$S$4:$S$1203,$AE7)=0,"",INDEX(对接源_01水果!$S$4:$S$1203,$AE7)),IF(INDEX(对接源_02物料!$S$4:$S$1203,$AE7-1200)=0,"",INDEX(对接源_02物料!$S$4:$S$1203,$AE7-1200))))</f>
        <v>自备杂周转筐</v>
      </c>
      <c r="C7" s="46" t="str">
        <f aca="false">IF($AE7="","",IF($AE7&lt;=1200,IF(INDEX(对接源_01水果!$E$4:$E$1203,$AE7)=0,"",INDEX(对接源_01水果!$E$4:$E$1203,$AE7)),IF(INDEX(对接源_02物料!$E$4:$E$1203,$AE7-1200)=0,"",INDEX(对接源_02物料!$E$4:$E$1203,$AE7-1200))))</f>
        <v>NO:0000760</v>
      </c>
      <c r="D7" s="48" t="n">
        <f aca="false">IF($AE7="","",IF($AE7&lt;=1200,IF(INDEX(对接源_01水果!$V$4:$V$1203,$AE7)=0,"",INDEX(对接源_01水果!$V$4:$V$1203,$AE7)),IF(INDEX(对接源_02物料!$V$4:$V$1203,$AE7-1200)=0,"",INDEX(对接源_02物料!$V$4:$V$1203,$AE7-1200))))</f>
        <v>24</v>
      </c>
      <c r="E7" s="47" t="str">
        <f aca="false">IF($AE7="","",IF($AE7&lt;=1200,IF(INDEX(对接源_01水果!$C$4:$C$1203,$AE7)=0,"",INDEX(对接源_01水果!$C$4:$C$1203,$AE7)),IF(INDEX(对接源_02物料!$C$4:$C$1203,$AE7-1200)=0,"",INDEX(对接源_02物料!$C$4:$C$1203,$AE7-1200))))</f>
        <v>贾建国</v>
      </c>
      <c r="F7" s="46" t="str">
        <f aca="false">IF($AE7="","",IF($AE7&lt;=1200,IF(INDEX(对接源_01水果!$W$4:$W$1203,$AE7)=0,"",INDEX(对接源_01水果!$W$4:$W$1203,$AE7)),IF(INDEX(对接源_02物料!$W$4:$W$1203,$AE7-1200)=0,"",INDEX(对接源_02物料!$W$4:$W$1203,$AE7-1200))))</f>
        <v>豫Q*H5591</v>
      </c>
      <c r="G7" s="47" t="str">
        <f aca="false">IF($AE7="","",IF($AE7&lt;=1200,IF(INDEX(对接源_01水果!$D$4:$D$1203,$AE7)=0,"",INDEX(对接源_01水果!$D$4:$D$1203,$AE7)),IF(INDEX(对接源_02物料!$D$4:$D$1203,$AE7-1200)=0,"",INDEX(对接源_02物料!$D$4:$D$1203,$AE7-1200))))</f>
        <v>原料入库</v>
      </c>
      <c r="H7" s="46" t="str">
        <f aca="false">IF($AE7="","",IF($AE7&lt;=1200,"01水果册","02物料册"))</f>
        <v>01水果册</v>
      </c>
      <c r="I7" s="47" t="str">
        <f aca="false"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44" t="n">
        <f aca="false">IFERROR(MATCH(2,_自动清单!$W$4:$W$2403,0),"")</f>
        <v>155</v>
      </c>
    </row>
    <row r="8" customFormat="false" ht="18" hidden="false" customHeight="true" outlineLevel="0" collapsed="false">
      <c r="A8" s="40" t="n">
        <f aca="false">IF($AE8="","",IF($AE8&lt;=1200,IF(INDEX(对接源_01水果!$B$4:$B$1203,$AE8)=0,"",INDEX(对接源_01水果!$B$4:$B$1203,$AE8)),IF(INDEX(对接源_02物料!$B$4:$B$1203,$AE8-1200)=0,"",INDEX(对接源_02物料!$B$4:$B$1203,$AE8-1200))))</f>
        <v>46274</v>
      </c>
      <c r="B8" s="42" t="str">
        <f aca="false">IF($AE8="","",IF($AE8&lt;=1200,IF(INDEX(对接源_01水果!$S$4:$S$1203,$AE8)=0,"",INDEX(对接源_01水果!$S$4:$S$1203,$AE8)),IF(INDEX(对接源_02物料!$S$4:$S$1203,$AE8-1200)=0,"",INDEX(对接源_02物料!$S$4:$S$1203,$AE8-1200))))</f>
        <v>自备杂周转筐</v>
      </c>
      <c r="C8" s="41" t="str">
        <f aca="false">IF($AE8="","",IF($AE8&lt;=1200,IF(INDEX(对接源_01水果!$E$4:$E$1203,$AE8)=0,"",INDEX(对接源_01水果!$E$4:$E$1203,$AE8)),IF(INDEX(对接源_02物料!$E$4:$E$1203,$AE8-1200)=0,"",INDEX(对接源_02物料!$E$4:$E$1203,$AE8-1200))))</f>
        <v>NO:0000767</v>
      </c>
      <c r="D8" s="43" t="n">
        <f aca="false">IF($AE8="","",IF($AE8&lt;=1200,IF(INDEX(对接源_01水果!$V$4:$V$1203,$AE8)=0,"",INDEX(对接源_01水果!$V$4:$V$1203,$AE8)),IF(INDEX(对接源_02物料!$V$4:$V$1203,$AE8-1200)=0,"",INDEX(对接源_02物料!$V$4:$V$1203,$AE8-1200))))</f>
        <v>170</v>
      </c>
      <c r="E8" s="42" t="str">
        <f aca="false">IF($AE8="","",IF($AE8&lt;=1200,IF(INDEX(对接源_01水果!$C$4:$C$1203,$AE8)=0,"",INDEX(对接源_01水果!$C$4:$C$1203,$AE8)),IF(INDEX(对接源_02物料!$C$4:$C$1203,$AE8-1200)=0,"",INDEX(对接源_02物料!$C$4:$C$1203,$AE8-1200))))</f>
        <v>贾建国</v>
      </c>
      <c r="F8" s="41" t="str">
        <f aca="false">IF($AE8="","",IF($AE8&lt;=1200,IF(INDEX(对接源_01水果!$W$4:$W$1203,$AE8)=0,"",INDEX(对接源_01水果!$W$4:$W$1203,$AE8)),IF(INDEX(对接源_02物料!$W$4:$W$1203,$AE8-1200)=0,"",INDEX(对接源_02物料!$W$4:$W$1203,$AE8-1200))))</f>
        <v>豫Q*H5591</v>
      </c>
      <c r="G8" s="42" t="str">
        <f aca="false">IF($AE8="","",IF($AE8&lt;=1200,IF(INDEX(对接源_01水果!$D$4:$D$1203,$AE8)=0,"",INDEX(对接源_01水果!$D$4:$D$1203,$AE8)),IF(INDEX(对接源_02物料!$D$4:$D$1203,$AE8-1200)=0,"",INDEX(对接源_02物料!$D$4:$D$1203,$AE8-1200))))</f>
        <v>原料入库</v>
      </c>
      <c r="H8" s="41" t="str">
        <f aca="false">IF($AE8="","",IF($AE8&lt;=1200,"01水果册","02物料册"))</f>
        <v>01水果册</v>
      </c>
      <c r="I8" s="42" t="str">
        <f aca="false">IF($AE8="","",IF($AE8&lt;=1200,IF(INDEX(对接源_01水果!$M$4:$M$1203,$AE8)=0,"",INDEX(对接源_01水果!$M$4:$M$1203,$AE8)),IF(INDEX(对接源_02物料!$M$4:$M$1203,$AE8-1200)=0,"",INDEX(对接源_02物料!$M$4:$M$1203,$AE8-1200))))</f>
        <v>二黄</v>
      </c>
      <c r="AE8" s="44" t="n">
        <f aca="false">IFERROR(MATCH(3,_自动清单!$W$4:$W$2403,0),"")</f>
        <v>162</v>
      </c>
    </row>
    <row r="9" customFormat="false" ht="18" hidden="false" customHeight="true" outlineLevel="0" collapsed="false">
      <c r="A9" s="45" t="n">
        <f aca="false"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47" t="str">
        <f aca="false">IF($AE9="","",IF($AE9&lt;=1200,IF(INDEX(对接源_01水果!$S$4:$S$1203,$AE9)=0,"",INDEX(对接源_01水果!$S$4:$S$1203,$AE9)),IF(INDEX(对接源_02物料!$S$4:$S$1203,$AE9-1200)=0,"",INDEX(对接源_02物料!$S$4:$S$1203,$AE9-1200))))</f>
        <v>自备一次性筐</v>
      </c>
      <c r="C9" s="46" t="str">
        <f aca="false">IF($AE9="","",IF($AE9&lt;=1200,IF(INDEX(对接源_01水果!$E$4:$E$1203,$AE9)=0,"",INDEX(对接源_01水果!$E$4:$E$1203,$AE9)),IF(INDEX(对接源_02物料!$E$4:$E$1203,$AE9-1200)=0,"",INDEX(对接源_02物料!$E$4:$E$1203,$AE9-1200))))</f>
        <v>NO:0000767</v>
      </c>
      <c r="D9" s="48" t="n">
        <f aca="false">IF($AE9="","",IF($AE9&lt;=1200,IF(INDEX(对接源_01水果!$V$4:$V$1203,$AE9)=0,"",INDEX(对接源_01水果!$V$4:$V$1203,$AE9)),IF(INDEX(对接源_02物料!$V$4:$V$1203,$AE9-1200)=0,"",INDEX(对接源_02物料!$V$4:$V$1203,$AE9-1200))))</f>
        <v>28</v>
      </c>
      <c r="E9" s="47" t="str">
        <f aca="false">IF($AE9="","",IF($AE9&lt;=1200,IF(INDEX(对接源_01水果!$C$4:$C$1203,$AE9)=0,"",INDEX(对接源_01水果!$C$4:$C$1203,$AE9)),IF(INDEX(对接源_02物料!$C$4:$C$1203,$AE9-1200)=0,"",INDEX(对接源_02物料!$C$4:$C$1203,$AE9-1200))))</f>
        <v>贾建国</v>
      </c>
      <c r="F9" s="46" t="str">
        <f aca="false">IF($AE9="","",IF($AE9&lt;=1200,IF(INDEX(对接源_01水果!$W$4:$W$1203,$AE9)=0,"",INDEX(对接源_01水果!$W$4:$W$1203,$AE9)),IF(INDEX(对接源_02物料!$W$4:$W$1203,$AE9-1200)=0,"",INDEX(对接源_02物料!$W$4:$W$1203,$AE9-1200))))</f>
        <v>豫Q*H5591</v>
      </c>
      <c r="G9" s="47" t="str">
        <f aca="false">IF($AE9="","",IF($AE9&lt;=1200,IF(INDEX(对接源_01水果!$D$4:$D$1203,$AE9)=0,"",INDEX(对接源_01水果!$D$4:$D$1203,$AE9)),IF(INDEX(对接源_02物料!$D$4:$D$1203,$AE9-1200)=0,"",INDEX(对接源_02物料!$D$4:$D$1203,$AE9-1200))))</f>
        <v>原料入库</v>
      </c>
      <c r="H9" s="46" t="str">
        <f aca="false">IF($AE9="","",IF($AE9&lt;=1200,"01水果册","02物料册"))</f>
        <v>01水果册</v>
      </c>
      <c r="I9" s="47" t="str">
        <f aca="false">IF($AE9="","",IF($AE9&lt;=1200,IF(INDEX(对接源_01水果!$M$4:$M$1203,$AE9)=0,"",INDEX(对接源_01水果!$M$4:$M$1203,$AE9)),IF(INDEX(对接源_02物料!$M$4:$M$1203,$AE9-1200)=0,"",INDEX(对接源_02物料!$M$4:$M$1203,$AE9-1200))))</f>
        <v>二黄</v>
      </c>
      <c r="AE9" s="44" t="n">
        <f aca="false">IFERROR(MATCH(4,_自动清单!$W$4:$W$2403,0),"")</f>
        <v>163</v>
      </c>
    </row>
    <row r="10" customFormat="false" ht="18" hidden="false" customHeight="true" outlineLevel="0" collapsed="false">
      <c r="A10" s="40" t="n">
        <f aca="false">IF($AE10="","",IF($AE10&lt;=1200,IF(INDEX(对接源_01水果!$B$4:$B$1203,$AE10)=0,"",INDEX(对接源_01水果!$B$4:$B$1203,$AE10)),IF(INDEX(对接源_02物料!$B$4:$B$1203,$AE10-1200)=0,"",INDEX(对接源_02物料!$B$4:$B$1203,$AE10-1200))))</f>
        <v>46276</v>
      </c>
      <c r="B10" s="42" t="str">
        <f aca="false">IF($AE10="","",IF($AE10&lt;=1200,IF(INDEX(对接源_01水果!$S$4:$S$1203,$AE10)=0,"",INDEX(对接源_01水果!$S$4:$S$1203,$AE10)),IF(INDEX(对接源_02物料!$S$4:$S$1203,$AE10-1200)=0,"",INDEX(对接源_02物料!$S$4:$S$1203,$AE10-1200))))</f>
        <v>自备一次性筐</v>
      </c>
      <c r="C10" s="41" t="str">
        <f aca="false">IF($AE10="","",IF($AE10&lt;=1200,IF(INDEX(对接源_01水果!$E$4:$E$1203,$AE10)=0,"",INDEX(对接源_01水果!$E$4:$E$1203,$AE10)),IF(INDEX(对接源_02物料!$E$4:$E$1203,$AE10-1200)=0,"",INDEX(对接源_02物料!$E$4:$E$1203,$AE10-1200))))</f>
        <v>NO:0000787</v>
      </c>
      <c r="D10" s="43" t="n">
        <f aca="false">IF($AE10="","",IF($AE10&lt;=1200,IF(INDEX(对接源_01水果!$V$4:$V$1203,$AE10)=0,"",INDEX(对接源_01水果!$V$4:$V$1203,$AE10)),IF(INDEX(对接源_02物料!$V$4:$V$1203,$AE10-1200)=0,"",INDEX(对接源_02物料!$V$4:$V$1203,$AE10-1200))))</f>
        <v>393</v>
      </c>
      <c r="E10" s="42" t="str">
        <f aca="false">IF($AE10="","",IF($AE10&lt;=1200,IF(INDEX(对接源_01水果!$C$4:$C$1203,$AE10)=0,"",INDEX(对接源_01水果!$C$4:$C$1203,$AE10)),IF(INDEX(对接源_02物料!$C$4:$C$1203,$AE10-1200)=0,"",INDEX(对接源_02物料!$C$4:$C$1203,$AE10-1200))))</f>
        <v>贾建国</v>
      </c>
      <c r="F10" s="41" t="str">
        <f aca="false">IF($AE10="","",IF($AE10&lt;=1200,IF(INDEX(对接源_01水果!$W$4:$W$1203,$AE10)=0,"",INDEX(对接源_01水果!$W$4:$W$1203,$AE10)),IF(INDEX(对接源_02物料!$W$4:$W$1203,$AE10-1200)=0,"",INDEX(对接源_02物料!$W$4:$W$1203,$AE10-1200))))</f>
        <v>豫Q*H5591</v>
      </c>
      <c r="G10" s="42" t="str">
        <f aca="false">IF($AE10="","",IF($AE10&lt;=1200,IF(INDEX(对接源_01水果!$D$4:$D$1203,$AE10)=0,"",INDEX(对接源_01水果!$D$4:$D$1203,$AE10)),IF(INDEX(对接源_02物料!$D$4:$D$1203,$AE10-1200)=0,"",INDEX(对接源_02物料!$D$4:$D$1203,$AE10-1200))))</f>
        <v>原料入库</v>
      </c>
      <c r="H10" s="41" t="str">
        <f aca="false">IF($AE10="","",IF($AE10&lt;=1200,"01水果册","02物料册"))</f>
        <v>01水果册</v>
      </c>
      <c r="I10" s="42" t="str">
        <f aca="false"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44" t="n">
        <f aca="false">IFERROR(MATCH(5,_自动清单!$W$4:$W$2403,0),"")</f>
        <v>192</v>
      </c>
    </row>
    <row r="11" customFormat="false" ht="18" hidden="false" customHeight="true" outlineLevel="0" collapsed="false">
      <c r="A11" s="45" t="n">
        <f aca="false">IF($AE11="","",IF($AE11&lt;=1200,IF(INDEX(对接源_01水果!$B$4:$B$1203,$AE11)=0,"",INDEX(对接源_01水果!$B$4:$B$1203,$AE11)),IF(INDEX(对接源_02物料!$B$4:$B$1203,$AE11-1200)=0,"",INDEX(对接源_02物料!$B$4:$B$1203,$AE11-1200))))</f>
        <v>46278</v>
      </c>
      <c r="B11" s="47" t="str">
        <f aca="false">IF($AE11="","",IF($AE11&lt;=1200,IF(INDEX(对接源_01水果!$S$4:$S$1203,$AE11)=0,"",INDEX(对接源_01水果!$S$4:$S$1203,$AE11)),IF(INDEX(对接源_02物料!$S$4:$S$1203,$AE11-1200)=0,"",INDEX(对接源_02物料!$S$4:$S$1203,$AE11-1200))))</f>
        <v>自备杂周转筐</v>
      </c>
      <c r="C11" s="46" t="str">
        <f aca="false">IF($AE11="","",IF($AE11&lt;=1200,IF(INDEX(对接源_01水果!$E$4:$E$1203,$AE11)=0,"",INDEX(对接源_01水果!$E$4:$E$1203,$AE11)),IF(INDEX(对接源_02物料!$E$4:$E$1203,$AE11-1200)=0,"",INDEX(对接源_02物料!$E$4:$E$1203,$AE11-1200))))</f>
        <v>NO:0000797</v>
      </c>
      <c r="D11" s="48" t="n">
        <f aca="false">IF($AE11="","",IF($AE11&lt;=1200,IF(INDEX(对接源_01水果!$V$4:$V$1203,$AE11)=0,"",INDEX(对接源_01水果!$V$4:$V$1203,$AE11)),IF(INDEX(对接源_02物料!$V$4:$V$1203,$AE11-1200)=0,"",INDEX(对接源_02物料!$V$4:$V$1203,$AE11-1200))))</f>
        <v>160</v>
      </c>
      <c r="E11" s="47" t="str">
        <f aca="false">IF($AE11="","",IF($AE11&lt;=1200,IF(INDEX(对接源_01水果!$C$4:$C$1203,$AE11)=0,"",INDEX(对接源_01水果!$C$4:$C$1203,$AE11)),IF(INDEX(对接源_02物料!$C$4:$C$1203,$AE11-1200)=0,"",INDEX(对接源_02物料!$C$4:$C$1203,$AE11-1200))))</f>
        <v>贾建国</v>
      </c>
      <c r="F11" s="46" t="str">
        <f aca="false">IF($AE11="","",IF($AE11&lt;=1200,IF(INDEX(对接源_01水果!$W$4:$W$1203,$AE11)=0,"",INDEX(对接源_01水果!$W$4:$W$1203,$AE11)),IF(INDEX(对接源_02物料!$W$4:$W$1203,$AE11-1200)=0,"",INDEX(对接源_02物料!$W$4:$W$1203,$AE11-1200))))</f>
        <v>豫Q*H5591</v>
      </c>
      <c r="G11" s="47" t="str">
        <f aca="false">IF($AE11="","",IF($AE11&lt;=1200,IF(INDEX(对接源_01水果!$D$4:$D$1203,$AE11)=0,"",INDEX(对接源_01水果!$D$4:$D$1203,$AE11)),IF(INDEX(对接源_02物料!$D$4:$D$1203,$AE11-1200)=0,"",INDEX(对接源_02物料!$D$4:$D$1203,$AE11-1200))))</f>
        <v>原料入库</v>
      </c>
      <c r="H11" s="46" t="str">
        <f aca="false">IF($AE11="","",IF($AE11&lt;=1200,"01水果册","02物料册"))</f>
        <v>01水果册</v>
      </c>
      <c r="I11" s="47" t="str">
        <f aca="false"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44" t="n">
        <f aca="false">IFERROR(MATCH(6,_自动清单!$W$4:$W$2403,0),"")</f>
        <v>208</v>
      </c>
    </row>
    <row r="12" customFormat="false" ht="18" hidden="false" customHeight="true" outlineLevel="0" collapsed="false">
      <c r="A12" s="40" t="n">
        <f aca="false">IF($AE12="","",IF($AE12&lt;=1200,IF(INDEX(对接源_01水果!$B$4:$B$1203,$AE12)=0,"",INDEX(对接源_01水果!$B$4:$B$1203,$AE12)),IF(INDEX(对接源_02物料!$B$4:$B$1203,$AE12-1200)=0,"",INDEX(对接源_02物料!$B$4:$B$1203,$AE12-1200))))</f>
        <v>46278</v>
      </c>
      <c r="B12" s="42" t="str">
        <f aca="false">IF($AE12="","",IF($AE12&lt;=1200,IF(INDEX(对接源_01水果!$S$4:$S$1203,$AE12)=0,"",INDEX(对接源_01水果!$S$4:$S$1203,$AE12)),IF(INDEX(对接源_02物料!$S$4:$S$1203,$AE12-1200)=0,"",INDEX(对接源_02物料!$S$4:$S$1203,$AE12-1200))))</f>
        <v>自备一次性筐</v>
      </c>
      <c r="C12" s="41" t="str">
        <f aca="false">IF($AE12="","",IF($AE12&lt;=1200,IF(INDEX(对接源_01水果!$E$4:$E$1203,$AE12)=0,"",INDEX(对接源_01水果!$E$4:$E$1203,$AE12)),IF(INDEX(对接源_02物料!$E$4:$E$1203,$AE12-1200)=0,"",INDEX(对接源_02物料!$E$4:$E$1203,$AE12-1200))))</f>
        <v>NO:0000797</v>
      </c>
      <c r="D12" s="43" t="n">
        <f aca="false">IF($AE12="","",IF($AE12&lt;=1200,IF(INDEX(对接源_01水果!$V$4:$V$1203,$AE12)=0,"",INDEX(对接源_01水果!$V$4:$V$1203,$AE12)),IF(INDEX(对接源_02物料!$V$4:$V$1203,$AE12-1200)=0,"",INDEX(对接源_02物料!$V$4:$V$1203,$AE12-1200))))</f>
        <v>267</v>
      </c>
      <c r="E12" s="42" t="str">
        <f aca="false">IF($AE12="","",IF($AE12&lt;=1200,IF(INDEX(对接源_01水果!$C$4:$C$1203,$AE12)=0,"",INDEX(对接源_01水果!$C$4:$C$1203,$AE12)),IF(INDEX(对接源_02物料!$C$4:$C$1203,$AE12-1200)=0,"",INDEX(对接源_02物料!$C$4:$C$1203,$AE12-1200))))</f>
        <v>贾建国</v>
      </c>
      <c r="F12" s="41" t="str">
        <f aca="false">IF($AE12="","",IF($AE12&lt;=1200,IF(INDEX(对接源_01水果!$W$4:$W$1203,$AE12)=0,"",INDEX(对接源_01水果!$W$4:$W$1203,$AE12)),IF(INDEX(对接源_02物料!$W$4:$W$1203,$AE12-1200)=0,"",INDEX(对接源_02物料!$W$4:$W$1203,$AE12-1200))))</f>
        <v>豫Q*H5591</v>
      </c>
      <c r="G12" s="42" t="str">
        <f aca="false">IF($AE12="","",IF($AE12&lt;=1200,IF(INDEX(对接源_01水果!$D$4:$D$1203,$AE12)=0,"",INDEX(对接源_01水果!$D$4:$D$1203,$AE12)),IF(INDEX(对接源_02物料!$D$4:$D$1203,$AE12-1200)=0,"",INDEX(对接源_02物料!$D$4:$D$1203,$AE12-1200))))</f>
        <v>原料入库</v>
      </c>
      <c r="H12" s="41" t="str">
        <f aca="false">IF($AE12="","",IF($AE12&lt;=1200,"01水果册","02物料册"))</f>
        <v>01水果册</v>
      </c>
      <c r="I12" s="42" t="str">
        <f aca="false"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44" t="n">
        <f aca="false">IFERROR(MATCH(7,_自动清单!$W$4:$W$2403,0),"")</f>
        <v>209</v>
      </c>
    </row>
    <row r="13" customFormat="false" ht="18" hidden="false" customHeight="true" outlineLevel="0" collapsed="false">
      <c r="A13" s="45" t="str">
        <f aca="false">IF($AE13="","",IF($AE13&lt;=1200,IF(INDEX(对接源_01水果!$B$4:$B$1203,$AE13)=0,"",INDEX(对接源_01水果!$B$4:$B$1203,$AE13)),IF(INDEX(对接源_02物料!$B$4:$B$1203,$AE13-1200)=0,"",INDEX(对接源_02物料!$B$4:$B$1203,$AE13-1200))))</f>
        <v/>
      </c>
      <c r="B13" s="47" t="str">
        <f aca="false">IF($AE13="","",IF($AE13&lt;=1200,IF(INDEX(对接源_01水果!$S$4:$S$1203,$AE13)=0,"",INDEX(对接源_01水果!$S$4:$S$1203,$AE13)),IF(INDEX(对接源_02物料!$S$4:$S$1203,$AE13-1200)=0,"",INDEX(对接源_02物料!$S$4:$S$1203,$AE13-1200))))</f>
        <v/>
      </c>
      <c r="C13" s="46" t="str">
        <f aca="false">IF($AE13="","",IF($AE13&lt;=1200,IF(INDEX(对接源_01水果!$E$4:$E$1203,$AE13)=0,"",INDEX(对接源_01水果!$E$4:$E$1203,$AE13)),IF(INDEX(对接源_02物料!$E$4:$E$1203,$AE13-1200)=0,"",INDEX(对接源_02物料!$E$4:$E$1203,$AE13-1200))))</f>
        <v/>
      </c>
      <c r="D13" s="48" t="str">
        <f aca="false">IF($AE13="","",IF($AE13&lt;=1200,IF(INDEX(对接源_01水果!$V$4:$V$1203,$AE13)=0,"",INDEX(对接源_01水果!$V$4:$V$1203,$AE13)),IF(INDEX(对接源_02物料!$V$4:$V$1203,$AE13-1200)=0,"",INDEX(对接源_02物料!$V$4:$V$1203,$AE13-1200))))</f>
        <v/>
      </c>
      <c r="E13" s="47" t="str">
        <f aca="false">IF($AE13="","",IF($AE13&lt;=1200,IF(INDEX(对接源_01水果!$C$4:$C$1203,$AE13)=0,"",INDEX(对接源_01水果!$C$4:$C$1203,$AE13)),IF(INDEX(对接源_02物料!$C$4:$C$1203,$AE13-1200)=0,"",INDEX(对接源_02物料!$C$4:$C$1203,$AE13-1200))))</f>
        <v/>
      </c>
      <c r="F13" s="46" t="str">
        <f aca="false">IF($AE13="","",IF($AE13&lt;=1200,IF(INDEX(对接源_01水果!$W$4:$W$1203,$AE13)=0,"",INDEX(对接源_01水果!$W$4:$W$1203,$AE13)),IF(INDEX(对接源_02物料!$W$4:$W$1203,$AE13-1200)=0,"",INDEX(对接源_02物料!$W$4:$W$1203,$AE13-1200))))</f>
        <v/>
      </c>
      <c r="G13" s="47" t="str">
        <f aca="false">IF($AE13="","",IF($AE13&lt;=1200,IF(INDEX(对接源_01水果!$D$4:$D$1203,$AE13)=0,"",INDEX(对接源_01水果!$D$4:$D$1203,$AE13)),IF(INDEX(对接源_02物料!$D$4:$D$1203,$AE13-1200)=0,"",INDEX(对接源_02物料!$D$4:$D$1203,$AE13-1200))))</f>
        <v/>
      </c>
      <c r="H13" s="46" t="str">
        <f aca="false">IF($AE13="","",IF($AE13&lt;=1200,"01水果册","02物料册"))</f>
        <v/>
      </c>
      <c r="I13" s="47" t="str">
        <f aca="false"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44" t="str">
        <f aca="false">IFERROR(MATCH(8,_自动清单!$W$4:$W$2403,0),"")</f>
        <v/>
      </c>
    </row>
    <row r="14" customFormat="false" ht="18" hidden="false" customHeight="true" outlineLevel="0" collapsed="false">
      <c r="A14" s="40" t="str">
        <f aca="false"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42" t="str">
        <f aca="false">IF($AE14="","",IF($AE14&lt;=1200,IF(INDEX(对接源_01水果!$S$4:$S$1203,$AE14)=0,"",INDEX(对接源_01水果!$S$4:$S$1203,$AE14)),IF(INDEX(对接源_02物料!$S$4:$S$1203,$AE14-1200)=0,"",INDEX(对接源_02物料!$S$4:$S$1203,$AE14-1200))))</f>
        <v/>
      </c>
      <c r="C14" s="41" t="str">
        <f aca="false"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D14" s="43" t="str">
        <f aca="false">IF($AE14="","",IF($AE14&lt;=1200,IF(INDEX(对接源_01水果!$V$4:$V$1203,$AE14)=0,"",INDEX(对接源_01水果!$V$4:$V$1203,$AE14)),IF(INDEX(对接源_02物料!$V$4:$V$1203,$AE14-1200)=0,"",INDEX(对接源_02物料!$V$4:$V$1203,$AE14-1200))))</f>
        <v/>
      </c>
      <c r="E14" s="42" t="str">
        <f aca="false">IF($AE14="","",IF($AE14&lt;=1200,IF(INDEX(对接源_01水果!$C$4:$C$1203,$AE14)=0,"",INDEX(对接源_01水果!$C$4:$C$1203,$AE14)),IF(INDEX(对接源_02物料!$C$4:$C$1203,$AE14-1200)=0,"",INDEX(对接源_02物料!$C$4:$C$1203,$AE14-1200))))</f>
        <v/>
      </c>
      <c r="F14" s="41" t="str">
        <f aca="false">IF($AE14="","",IF($AE14&lt;=1200,IF(INDEX(对接源_01水果!$W$4:$W$1203,$AE14)=0,"",INDEX(对接源_01水果!$W$4:$W$1203,$AE14)),IF(INDEX(对接源_02物料!$W$4:$W$1203,$AE14-1200)=0,"",INDEX(对接源_02物料!$W$4:$W$1203,$AE14-1200))))</f>
        <v/>
      </c>
      <c r="G14" s="42" t="str">
        <f aca="false">IF($AE14="","",IF($AE14&lt;=1200,IF(INDEX(对接源_01水果!$D$4:$D$1203,$AE14)=0,"",INDEX(对接源_01水果!$D$4:$D$1203,$AE14)),IF(INDEX(对接源_02物料!$D$4:$D$1203,$AE14-1200)=0,"",INDEX(对接源_02物料!$D$4:$D$1203,$AE14-1200))))</f>
        <v/>
      </c>
      <c r="H14" s="41" t="str">
        <f aca="false">IF($AE14="","",IF($AE14&lt;=1200,"01水果册","02物料册"))</f>
        <v/>
      </c>
      <c r="I14" s="42" t="str">
        <f aca="false"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44" t="str">
        <f aca="false">IFERROR(MATCH(9,_自动清单!$W$4:$W$2403,0),"")</f>
        <v/>
      </c>
    </row>
    <row r="15" customFormat="false" ht="18" hidden="false" customHeight="true" outlineLevel="0" collapsed="false">
      <c r="A15" s="45" t="str">
        <f aca="false"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47" t="str">
        <f aca="false">IF($AE15="","",IF($AE15&lt;=1200,IF(INDEX(对接源_01水果!$S$4:$S$1203,$AE15)=0,"",INDEX(对接源_01水果!$S$4:$S$1203,$AE15)),IF(INDEX(对接源_02物料!$S$4:$S$1203,$AE15-1200)=0,"",INDEX(对接源_02物料!$S$4:$S$1203,$AE15-1200))))</f>
        <v/>
      </c>
      <c r="C15" s="46" t="str">
        <f aca="false"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D15" s="48" t="str">
        <f aca="false">IF($AE15="","",IF($AE15&lt;=1200,IF(INDEX(对接源_01水果!$V$4:$V$1203,$AE15)=0,"",INDEX(对接源_01水果!$V$4:$V$1203,$AE15)),IF(INDEX(对接源_02物料!$V$4:$V$1203,$AE15-1200)=0,"",INDEX(对接源_02物料!$V$4:$V$1203,$AE15-1200))))</f>
        <v/>
      </c>
      <c r="E15" s="47" t="str">
        <f aca="false">IF($AE15="","",IF($AE15&lt;=1200,IF(INDEX(对接源_01水果!$C$4:$C$1203,$AE15)=0,"",INDEX(对接源_01水果!$C$4:$C$1203,$AE15)),IF(INDEX(对接源_02物料!$C$4:$C$1203,$AE15-1200)=0,"",INDEX(对接源_02物料!$C$4:$C$1203,$AE15-1200))))</f>
        <v/>
      </c>
      <c r="F15" s="46" t="str">
        <f aca="false">IF($AE15="","",IF($AE15&lt;=1200,IF(INDEX(对接源_01水果!$W$4:$W$1203,$AE15)=0,"",INDEX(对接源_01水果!$W$4:$W$1203,$AE15)),IF(INDEX(对接源_02物料!$W$4:$W$1203,$AE15-1200)=0,"",INDEX(对接源_02物料!$W$4:$W$1203,$AE15-1200))))</f>
        <v/>
      </c>
      <c r="G15" s="47" t="str">
        <f aca="false">IF($AE15="","",IF($AE15&lt;=1200,IF(INDEX(对接源_01水果!$D$4:$D$1203,$AE15)=0,"",INDEX(对接源_01水果!$D$4:$D$1203,$AE15)),IF(INDEX(对接源_02物料!$D$4:$D$1203,$AE15-1200)=0,"",INDEX(对接源_02物料!$D$4:$D$1203,$AE15-1200))))</f>
        <v/>
      </c>
      <c r="H15" s="46" t="str">
        <f aca="false">IF($AE15="","",IF($AE15&lt;=1200,"01水果册","02物料册"))</f>
        <v/>
      </c>
      <c r="I15" s="47" t="str">
        <f aca="false"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44" t="str">
        <f aca="false">IFERROR(MATCH(10,_自动清单!$W$4:$W$2403,0),"")</f>
        <v/>
      </c>
    </row>
    <row r="16" customFormat="false" ht="18" hidden="false" customHeight="true" outlineLevel="0" collapsed="false">
      <c r="A16" s="40" t="str">
        <f aca="false"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42" t="str">
        <f aca="false">IF($AE16="","",IF($AE16&lt;=1200,IF(INDEX(对接源_01水果!$S$4:$S$1203,$AE16)=0,"",INDEX(对接源_01水果!$S$4:$S$1203,$AE16)),IF(INDEX(对接源_02物料!$S$4:$S$1203,$AE16-1200)=0,"",INDEX(对接源_02物料!$S$4:$S$1203,$AE16-1200))))</f>
        <v/>
      </c>
      <c r="C16" s="41" t="str">
        <f aca="false"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D16" s="43" t="str">
        <f aca="false">IF($AE16="","",IF($AE16&lt;=1200,IF(INDEX(对接源_01水果!$V$4:$V$1203,$AE16)=0,"",INDEX(对接源_01水果!$V$4:$V$1203,$AE16)),IF(INDEX(对接源_02物料!$V$4:$V$1203,$AE16-1200)=0,"",INDEX(对接源_02物料!$V$4:$V$1203,$AE16-1200))))</f>
        <v/>
      </c>
      <c r="E16" s="42" t="str">
        <f aca="false">IF($AE16="","",IF($AE16&lt;=1200,IF(INDEX(对接源_01水果!$C$4:$C$1203,$AE16)=0,"",INDEX(对接源_01水果!$C$4:$C$1203,$AE16)),IF(INDEX(对接源_02物料!$C$4:$C$1203,$AE16-1200)=0,"",INDEX(对接源_02物料!$C$4:$C$1203,$AE16-1200))))</f>
        <v/>
      </c>
      <c r="F16" s="41" t="str">
        <f aca="false">IF($AE16="","",IF($AE16&lt;=1200,IF(INDEX(对接源_01水果!$W$4:$W$1203,$AE16)=0,"",INDEX(对接源_01水果!$W$4:$W$1203,$AE16)),IF(INDEX(对接源_02物料!$W$4:$W$1203,$AE16-1200)=0,"",INDEX(对接源_02物料!$W$4:$W$1203,$AE16-1200))))</f>
        <v/>
      </c>
      <c r="G16" s="42" t="str">
        <f aca="false">IF($AE16="","",IF($AE16&lt;=1200,IF(INDEX(对接源_01水果!$D$4:$D$1203,$AE16)=0,"",INDEX(对接源_01水果!$D$4:$D$1203,$AE16)),IF(INDEX(对接源_02物料!$D$4:$D$1203,$AE16-1200)=0,"",INDEX(对接源_02物料!$D$4:$D$1203,$AE16-1200))))</f>
        <v/>
      </c>
      <c r="H16" s="41" t="str">
        <f aca="false">IF($AE16="","",IF($AE16&lt;=1200,"01水果册","02物料册"))</f>
        <v/>
      </c>
      <c r="I16" s="42" t="str">
        <f aca="false"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44" t="str">
        <f aca="false">IFERROR(MATCH(11,_自动清单!$W$4:$W$2403,0),"")</f>
        <v/>
      </c>
    </row>
    <row r="17" customFormat="false" ht="18" hidden="false" customHeight="true" outlineLevel="0" collapsed="false">
      <c r="A17" s="45" t="str">
        <f aca="false"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47" t="str">
        <f aca="false">IF($AE17="","",IF($AE17&lt;=1200,IF(INDEX(对接源_01水果!$S$4:$S$1203,$AE17)=0,"",INDEX(对接源_01水果!$S$4:$S$1203,$AE17)),IF(INDEX(对接源_02物料!$S$4:$S$1203,$AE17-1200)=0,"",INDEX(对接源_02物料!$S$4:$S$1203,$AE17-1200))))</f>
        <v/>
      </c>
      <c r="C17" s="46" t="str">
        <f aca="false"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D17" s="48" t="str">
        <f aca="false">IF($AE17="","",IF($AE17&lt;=1200,IF(INDEX(对接源_01水果!$V$4:$V$1203,$AE17)=0,"",INDEX(对接源_01水果!$V$4:$V$1203,$AE17)),IF(INDEX(对接源_02物料!$V$4:$V$1203,$AE17-1200)=0,"",INDEX(对接源_02物料!$V$4:$V$1203,$AE17-1200))))</f>
        <v/>
      </c>
      <c r="E17" s="47" t="str">
        <f aca="false">IF($AE17="","",IF($AE17&lt;=1200,IF(INDEX(对接源_01水果!$C$4:$C$1203,$AE17)=0,"",INDEX(对接源_01水果!$C$4:$C$1203,$AE17)),IF(INDEX(对接源_02物料!$C$4:$C$1203,$AE17-1200)=0,"",INDEX(对接源_02物料!$C$4:$C$1203,$AE17-1200))))</f>
        <v/>
      </c>
      <c r="F17" s="46" t="str">
        <f aca="false">IF($AE17="","",IF($AE17&lt;=1200,IF(INDEX(对接源_01水果!$W$4:$W$1203,$AE17)=0,"",INDEX(对接源_01水果!$W$4:$W$1203,$AE17)),IF(INDEX(对接源_02物料!$W$4:$W$1203,$AE17-1200)=0,"",INDEX(对接源_02物料!$W$4:$W$1203,$AE17-1200))))</f>
        <v/>
      </c>
      <c r="G17" s="47" t="str">
        <f aca="false">IF($AE17="","",IF($AE17&lt;=1200,IF(INDEX(对接源_01水果!$D$4:$D$1203,$AE17)=0,"",INDEX(对接源_01水果!$D$4:$D$1203,$AE17)),IF(INDEX(对接源_02物料!$D$4:$D$1203,$AE17-1200)=0,"",INDEX(对接源_02物料!$D$4:$D$1203,$AE17-1200))))</f>
        <v/>
      </c>
      <c r="H17" s="46" t="str">
        <f aca="false">IF($AE17="","",IF($AE17&lt;=1200,"01水果册","02物料册"))</f>
        <v/>
      </c>
      <c r="I17" s="47" t="str">
        <f aca="false"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44" t="str">
        <f aca="false">IFERROR(MATCH(12,_自动清单!$W$4:$W$2403,0),"")</f>
        <v/>
      </c>
    </row>
    <row r="18" customFormat="false" ht="18" hidden="false" customHeight="true" outlineLevel="0" collapsed="false">
      <c r="A18" s="40" t="str">
        <f aca="false"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42" t="str">
        <f aca="false">IF($AE18="","",IF($AE18&lt;=1200,IF(INDEX(对接源_01水果!$S$4:$S$1203,$AE18)=0,"",INDEX(对接源_01水果!$S$4:$S$1203,$AE18)),IF(INDEX(对接源_02物料!$S$4:$S$1203,$AE18-1200)=0,"",INDEX(对接源_02物料!$S$4:$S$1203,$AE18-1200))))</f>
        <v/>
      </c>
      <c r="C18" s="41" t="str">
        <f aca="false"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D18" s="43" t="str">
        <f aca="false">IF($AE18="","",IF($AE18&lt;=1200,IF(INDEX(对接源_01水果!$V$4:$V$1203,$AE18)=0,"",INDEX(对接源_01水果!$V$4:$V$1203,$AE18)),IF(INDEX(对接源_02物料!$V$4:$V$1203,$AE18-1200)=0,"",INDEX(对接源_02物料!$V$4:$V$1203,$AE18-1200))))</f>
        <v/>
      </c>
      <c r="E18" s="42" t="str">
        <f aca="false">IF($AE18="","",IF($AE18&lt;=1200,IF(INDEX(对接源_01水果!$C$4:$C$1203,$AE18)=0,"",INDEX(对接源_01水果!$C$4:$C$1203,$AE18)),IF(INDEX(对接源_02物料!$C$4:$C$1203,$AE18-1200)=0,"",INDEX(对接源_02物料!$C$4:$C$1203,$AE18-1200))))</f>
        <v/>
      </c>
      <c r="F18" s="41" t="str">
        <f aca="false">IF($AE18="","",IF($AE18&lt;=1200,IF(INDEX(对接源_01水果!$W$4:$W$1203,$AE18)=0,"",INDEX(对接源_01水果!$W$4:$W$1203,$AE18)),IF(INDEX(对接源_02物料!$W$4:$W$1203,$AE18-1200)=0,"",INDEX(对接源_02物料!$W$4:$W$1203,$AE18-1200))))</f>
        <v/>
      </c>
      <c r="G18" s="42" t="str">
        <f aca="false">IF($AE18="","",IF($AE18&lt;=1200,IF(INDEX(对接源_01水果!$D$4:$D$1203,$AE18)=0,"",INDEX(对接源_01水果!$D$4:$D$1203,$AE18)),IF(INDEX(对接源_02物料!$D$4:$D$1203,$AE18-1200)=0,"",INDEX(对接源_02物料!$D$4:$D$1203,$AE18-1200))))</f>
        <v/>
      </c>
      <c r="H18" s="41" t="str">
        <f aca="false">IF($AE18="","",IF($AE18&lt;=1200,"01水果册","02物料册"))</f>
        <v/>
      </c>
      <c r="I18" s="42" t="str">
        <f aca="false"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44" t="str">
        <f aca="false">IFERROR(MATCH(13,_自动清单!$W$4:$W$2403,0),"")</f>
        <v/>
      </c>
    </row>
    <row r="19" customFormat="false" ht="18" hidden="false" customHeight="true" outlineLevel="0" collapsed="false">
      <c r="A19" s="45" t="str">
        <f aca="false"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47" t="str">
        <f aca="false">IF($AE19="","",IF($AE19&lt;=1200,IF(INDEX(对接源_01水果!$S$4:$S$1203,$AE19)=0,"",INDEX(对接源_01水果!$S$4:$S$1203,$AE19)),IF(INDEX(对接源_02物料!$S$4:$S$1203,$AE19-1200)=0,"",INDEX(对接源_02物料!$S$4:$S$1203,$AE19-1200))))</f>
        <v/>
      </c>
      <c r="C19" s="46" t="str">
        <f aca="false"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D19" s="48" t="str">
        <f aca="false">IF($AE19="","",IF($AE19&lt;=1200,IF(INDEX(对接源_01水果!$V$4:$V$1203,$AE19)=0,"",INDEX(对接源_01水果!$V$4:$V$1203,$AE19)),IF(INDEX(对接源_02物料!$V$4:$V$1203,$AE19-1200)=0,"",INDEX(对接源_02物料!$V$4:$V$1203,$AE19-1200))))</f>
        <v/>
      </c>
      <c r="E19" s="47" t="str">
        <f aca="false">IF($AE19="","",IF($AE19&lt;=1200,IF(INDEX(对接源_01水果!$C$4:$C$1203,$AE19)=0,"",INDEX(对接源_01水果!$C$4:$C$1203,$AE19)),IF(INDEX(对接源_02物料!$C$4:$C$1203,$AE19-1200)=0,"",INDEX(对接源_02物料!$C$4:$C$1203,$AE19-1200))))</f>
        <v/>
      </c>
      <c r="F19" s="46" t="str">
        <f aca="false">IF($AE19="","",IF($AE19&lt;=1200,IF(INDEX(对接源_01水果!$W$4:$W$1203,$AE19)=0,"",INDEX(对接源_01水果!$W$4:$W$1203,$AE19)),IF(INDEX(对接源_02物料!$W$4:$W$1203,$AE19-1200)=0,"",INDEX(对接源_02物料!$W$4:$W$1203,$AE19-1200))))</f>
        <v/>
      </c>
      <c r="G19" s="47" t="str">
        <f aca="false">IF($AE19="","",IF($AE19&lt;=1200,IF(INDEX(对接源_01水果!$D$4:$D$1203,$AE19)=0,"",INDEX(对接源_01水果!$D$4:$D$1203,$AE19)),IF(INDEX(对接源_02物料!$D$4:$D$1203,$AE19-1200)=0,"",INDEX(对接源_02物料!$D$4:$D$1203,$AE19-1200))))</f>
        <v/>
      </c>
      <c r="H19" s="46" t="str">
        <f aca="false">IF($AE19="","",IF($AE19&lt;=1200,"01水果册","02物料册"))</f>
        <v/>
      </c>
      <c r="I19" s="47" t="str">
        <f aca="false"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44" t="str">
        <f aca="false">IFERROR(MATCH(14,_自动清单!$W$4:$W$2403,0),"")</f>
        <v/>
      </c>
    </row>
    <row r="20" customFormat="false" ht="18" hidden="false" customHeight="true" outlineLevel="0" collapsed="false">
      <c r="A20" s="40" t="str">
        <f aca="false"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42" t="str">
        <f aca="false"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C20" s="41" t="str">
        <f aca="false"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D20" s="43" t="str">
        <f aca="false">IF($AE20="","",IF($AE20&lt;=1200,IF(INDEX(对接源_01水果!$V$4:$V$1203,$AE20)=0,"",INDEX(对接源_01水果!$V$4:$V$1203,$AE20)),IF(INDEX(对接源_02物料!$V$4:$V$1203,$AE20-1200)=0,"",INDEX(对接源_02物料!$V$4:$V$1203,$AE20-1200))))</f>
        <v/>
      </c>
      <c r="E20" s="42" t="str">
        <f aca="false">IF($AE20="","",IF($AE20&lt;=1200,IF(INDEX(对接源_01水果!$C$4:$C$1203,$AE20)=0,"",INDEX(对接源_01水果!$C$4:$C$1203,$AE20)),IF(INDEX(对接源_02物料!$C$4:$C$1203,$AE20-1200)=0,"",INDEX(对接源_02物料!$C$4:$C$1203,$AE20-1200))))</f>
        <v/>
      </c>
      <c r="F20" s="41" t="str">
        <f aca="false"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G20" s="42" t="str">
        <f aca="false">IF($AE20="","",IF($AE20&lt;=1200,IF(INDEX(对接源_01水果!$D$4:$D$1203,$AE20)=0,"",INDEX(对接源_01水果!$D$4:$D$1203,$AE20)),IF(INDEX(对接源_02物料!$D$4:$D$1203,$AE20-1200)=0,"",INDEX(对接源_02物料!$D$4:$D$1203,$AE20-1200))))</f>
        <v/>
      </c>
      <c r="H20" s="41" t="str">
        <f aca="false">IF($AE20="","",IF($AE20&lt;=1200,"01水果册","02物料册"))</f>
        <v/>
      </c>
      <c r="I20" s="42" t="str">
        <f aca="false"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44" t="str">
        <f aca="false">IFERROR(MATCH(15,_自动清单!$W$4:$W$2403,0),"")</f>
        <v/>
      </c>
    </row>
    <row r="21" customFormat="false" ht="18" hidden="false" customHeight="true" outlineLevel="0" collapsed="false">
      <c r="A21" s="45" t="str">
        <f aca="false"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47" t="str">
        <f aca="false"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C21" s="46" t="str">
        <f aca="false"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D21" s="48" t="str">
        <f aca="false">IF($AE21="","",IF($AE21&lt;=1200,IF(INDEX(对接源_01水果!$V$4:$V$1203,$AE21)=0,"",INDEX(对接源_01水果!$V$4:$V$1203,$AE21)),IF(INDEX(对接源_02物料!$V$4:$V$1203,$AE21-1200)=0,"",INDEX(对接源_02物料!$V$4:$V$1203,$AE21-1200))))</f>
        <v/>
      </c>
      <c r="E21" s="47" t="str">
        <f aca="false">IF($AE21="","",IF($AE21&lt;=1200,IF(INDEX(对接源_01水果!$C$4:$C$1203,$AE21)=0,"",INDEX(对接源_01水果!$C$4:$C$1203,$AE21)),IF(INDEX(对接源_02物料!$C$4:$C$1203,$AE21-1200)=0,"",INDEX(对接源_02物料!$C$4:$C$1203,$AE21-1200))))</f>
        <v/>
      </c>
      <c r="F21" s="46" t="str">
        <f aca="false"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G21" s="47" t="str">
        <f aca="false">IF($AE21="","",IF($AE21&lt;=1200,IF(INDEX(对接源_01水果!$D$4:$D$1203,$AE21)=0,"",INDEX(对接源_01水果!$D$4:$D$1203,$AE21)),IF(INDEX(对接源_02物料!$D$4:$D$1203,$AE21-1200)=0,"",INDEX(对接源_02物料!$D$4:$D$1203,$AE21-1200))))</f>
        <v/>
      </c>
      <c r="H21" s="46" t="str">
        <f aca="false">IF($AE21="","",IF($AE21&lt;=1200,"01水果册","02物料册"))</f>
        <v/>
      </c>
      <c r="I21" s="47" t="str">
        <f aca="false"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44" t="str">
        <f aca="false">IFERROR(MATCH(16,_自动清单!$W$4:$W$2403,0),"")</f>
        <v/>
      </c>
    </row>
    <row r="22" customFormat="false" ht="18" hidden="false" customHeight="true" outlineLevel="0" collapsed="false">
      <c r="A22" s="40" t="str">
        <f aca="false"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42" t="str">
        <f aca="false"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C22" s="41" t="str">
        <f aca="false"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D22" s="43" t="str">
        <f aca="false">IF($AE22="","",IF($AE22&lt;=1200,IF(INDEX(对接源_01水果!$V$4:$V$1203,$AE22)=0,"",INDEX(对接源_01水果!$V$4:$V$1203,$AE22)),IF(INDEX(对接源_02物料!$V$4:$V$1203,$AE22-1200)=0,"",INDEX(对接源_02物料!$V$4:$V$1203,$AE22-1200))))</f>
        <v/>
      </c>
      <c r="E22" s="42" t="str">
        <f aca="false">IF($AE22="","",IF($AE22&lt;=1200,IF(INDEX(对接源_01水果!$C$4:$C$1203,$AE22)=0,"",INDEX(对接源_01水果!$C$4:$C$1203,$AE22)),IF(INDEX(对接源_02物料!$C$4:$C$1203,$AE22-1200)=0,"",INDEX(对接源_02物料!$C$4:$C$1203,$AE22-1200))))</f>
        <v/>
      </c>
      <c r="F22" s="41" t="str">
        <f aca="false"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G22" s="42" t="str">
        <f aca="false">IF($AE22="","",IF($AE22&lt;=1200,IF(INDEX(对接源_01水果!$D$4:$D$1203,$AE22)=0,"",INDEX(对接源_01水果!$D$4:$D$1203,$AE22)),IF(INDEX(对接源_02物料!$D$4:$D$1203,$AE22-1200)=0,"",INDEX(对接源_02物料!$D$4:$D$1203,$AE22-1200))))</f>
        <v/>
      </c>
      <c r="H22" s="41" t="str">
        <f aca="false">IF($AE22="","",IF($AE22&lt;=1200,"01水果册","02物料册"))</f>
        <v/>
      </c>
      <c r="I22" s="42" t="str">
        <f aca="false"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44" t="str">
        <f aca="false">IFERROR(MATCH(17,_自动清单!$W$4:$W$2403,0),"")</f>
        <v/>
      </c>
    </row>
    <row r="23" customFormat="false" ht="18" hidden="false" customHeight="true" outlineLevel="0" collapsed="false">
      <c r="A23" s="45" t="str">
        <f aca="false"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47" t="str">
        <f aca="false"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C23" s="46" t="str">
        <f aca="false"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D23" s="48" t="str">
        <f aca="false">IF($AE23="","",IF($AE23&lt;=1200,IF(INDEX(对接源_01水果!$V$4:$V$1203,$AE23)=0,"",INDEX(对接源_01水果!$V$4:$V$1203,$AE23)),IF(INDEX(对接源_02物料!$V$4:$V$1203,$AE23-1200)=0,"",INDEX(对接源_02物料!$V$4:$V$1203,$AE23-1200))))</f>
        <v/>
      </c>
      <c r="E23" s="47" t="str">
        <f aca="false">IF($AE23="","",IF($AE23&lt;=1200,IF(INDEX(对接源_01水果!$C$4:$C$1203,$AE23)=0,"",INDEX(对接源_01水果!$C$4:$C$1203,$AE23)),IF(INDEX(对接源_02物料!$C$4:$C$1203,$AE23-1200)=0,"",INDEX(对接源_02物料!$C$4:$C$1203,$AE23-1200))))</f>
        <v/>
      </c>
      <c r="F23" s="46" t="str">
        <f aca="false"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G23" s="47" t="str">
        <f aca="false">IF($AE23="","",IF($AE23&lt;=1200,IF(INDEX(对接源_01水果!$D$4:$D$1203,$AE23)=0,"",INDEX(对接源_01水果!$D$4:$D$1203,$AE23)),IF(INDEX(对接源_02物料!$D$4:$D$1203,$AE23-1200)=0,"",INDEX(对接源_02物料!$D$4:$D$1203,$AE23-1200))))</f>
        <v/>
      </c>
      <c r="H23" s="46" t="str">
        <f aca="false">IF($AE23="","",IF($AE23&lt;=1200,"01水果册","02物料册"))</f>
        <v/>
      </c>
      <c r="I23" s="47" t="str">
        <f aca="false"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44" t="str">
        <f aca="false">IFERROR(MATCH(18,_自动清单!$W$4:$W$2403,0),"")</f>
        <v/>
      </c>
    </row>
    <row r="24" customFormat="false" ht="18" hidden="false" customHeight="true" outlineLevel="0" collapsed="false">
      <c r="A24" s="40" t="str">
        <f aca="false"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42" t="str">
        <f aca="false"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C24" s="41" t="str">
        <f aca="false"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D24" s="43" t="str">
        <f aca="false">IF($AE24="","",IF($AE24&lt;=1200,IF(INDEX(对接源_01水果!$V$4:$V$1203,$AE24)=0,"",INDEX(对接源_01水果!$V$4:$V$1203,$AE24)),IF(INDEX(对接源_02物料!$V$4:$V$1203,$AE24-1200)=0,"",INDEX(对接源_02物料!$V$4:$V$1203,$AE24-1200))))</f>
        <v/>
      </c>
      <c r="E24" s="42" t="str">
        <f aca="false">IF($AE24="","",IF($AE24&lt;=1200,IF(INDEX(对接源_01水果!$C$4:$C$1203,$AE24)=0,"",INDEX(对接源_01水果!$C$4:$C$1203,$AE24)),IF(INDEX(对接源_02物料!$C$4:$C$1203,$AE24-1200)=0,"",INDEX(对接源_02物料!$C$4:$C$1203,$AE24-1200))))</f>
        <v/>
      </c>
      <c r="F24" s="41" t="str">
        <f aca="false"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G24" s="42" t="str">
        <f aca="false">IF($AE24="","",IF($AE24&lt;=1200,IF(INDEX(对接源_01水果!$D$4:$D$1203,$AE24)=0,"",INDEX(对接源_01水果!$D$4:$D$1203,$AE24)),IF(INDEX(对接源_02物料!$D$4:$D$1203,$AE24-1200)=0,"",INDEX(对接源_02物料!$D$4:$D$1203,$AE24-1200))))</f>
        <v/>
      </c>
      <c r="H24" s="41" t="str">
        <f aca="false">IF($AE24="","",IF($AE24&lt;=1200,"01水果册","02物料册"))</f>
        <v/>
      </c>
      <c r="I24" s="42" t="str">
        <f aca="false"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44" t="str">
        <f aca="false">IFERROR(MATCH(19,_自动清单!$W$4:$W$2403,0),"")</f>
        <v/>
      </c>
    </row>
    <row r="25" customFormat="false" ht="18" hidden="false" customHeight="true" outlineLevel="0" collapsed="false">
      <c r="A25" s="45" t="str">
        <f aca="false"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47" t="str">
        <f aca="false"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C25" s="46" t="str">
        <f aca="false"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D25" s="48" t="str">
        <f aca="false">IF($AE25="","",IF($AE25&lt;=1200,IF(INDEX(对接源_01水果!$V$4:$V$1203,$AE25)=0,"",INDEX(对接源_01水果!$V$4:$V$1203,$AE25)),IF(INDEX(对接源_02物料!$V$4:$V$1203,$AE25-1200)=0,"",INDEX(对接源_02物料!$V$4:$V$1203,$AE25-1200))))</f>
        <v/>
      </c>
      <c r="E25" s="47" t="str">
        <f aca="false">IF($AE25="","",IF($AE25&lt;=1200,IF(INDEX(对接源_01水果!$C$4:$C$1203,$AE25)=0,"",INDEX(对接源_01水果!$C$4:$C$1203,$AE25)),IF(INDEX(对接源_02物料!$C$4:$C$1203,$AE25-1200)=0,"",INDEX(对接源_02物料!$C$4:$C$1203,$AE25-1200))))</f>
        <v/>
      </c>
      <c r="F25" s="46" t="str">
        <f aca="false"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G25" s="47" t="str">
        <f aca="false">IF($AE25="","",IF($AE25&lt;=1200,IF(INDEX(对接源_01水果!$D$4:$D$1203,$AE25)=0,"",INDEX(对接源_01水果!$D$4:$D$1203,$AE25)),IF(INDEX(对接源_02物料!$D$4:$D$1203,$AE25-1200)=0,"",INDEX(对接源_02物料!$D$4:$D$1203,$AE25-1200))))</f>
        <v/>
      </c>
      <c r="H25" s="46" t="str">
        <f aca="false">IF($AE25="","",IF($AE25&lt;=1200,"01水果册","02物料册"))</f>
        <v/>
      </c>
      <c r="I25" s="47" t="str">
        <f aca="false"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44" t="str">
        <f aca="false">IFERROR(MATCH(20,_自动清单!$W$4:$W$2403,0),"")</f>
        <v/>
      </c>
    </row>
    <row r="26" customFormat="false" ht="18" hidden="false" customHeight="true" outlineLevel="0" collapsed="false">
      <c r="A26" s="40" t="str">
        <f aca="false"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42" t="str">
        <f aca="false"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C26" s="41" t="str">
        <f aca="false"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D26" s="43" t="str">
        <f aca="false">IF($AE26="","",IF($AE26&lt;=1200,IF(INDEX(对接源_01水果!$V$4:$V$1203,$AE26)=0,"",INDEX(对接源_01水果!$V$4:$V$1203,$AE26)),IF(INDEX(对接源_02物料!$V$4:$V$1203,$AE26-1200)=0,"",INDEX(对接源_02物料!$V$4:$V$1203,$AE26-1200))))</f>
        <v/>
      </c>
      <c r="E26" s="42" t="str">
        <f aca="false">IF($AE26="","",IF($AE26&lt;=1200,IF(INDEX(对接源_01水果!$C$4:$C$1203,$AE26)=0,"",INDEX(对接源_01水果!$C$4:$C$1203,$AE26)),IF(INDEX(对接源_02物料!$C$4:$C$1203,$AE26-1200)=0,"",INDEX(对接源_02物料!$C$4:$C$1203,$AE26-1200))))</f>
        <v/>
      </c>
      <c r="F26" s="41" t="str">
        <f aca="false"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G26" s="42" t="str">
        <f aca="false">IF($AE26="","",IF($AE26&lt;=1200,IF(INDEX(对接源_01水果!$D$4:$D$1203,$AE26)=0,"",INDEX(对接源_01水果!$D$4:$D$1203,$AE26)),IF(INDEX(对接源_02物料!$D$4:$D$1203,$AE26-1200)=0,"",INDEX(对接源_02物料!$D$4:$D$1203,$AE26-1200))))</f>
        <v/>
      </c>
      <c r="H26" s="41" t="str">
        <f aca="false">IF($AE26="","",IF($AE26&lt;=1200,"01水果册","02物料册"))</f>
        <v/>
      </c>
      <c r="I26" s="42" t="str">
        <f aca="false"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44" t="str">
        <f aca="false">IFERROR(MATCH(21,_自动清单!$W$4:$W$2403,0),"")</f>
        <v/>
      </c>
    </row>
    <row r="27" customFormat="false" ht="18" hidden="false" customHeight="true" outlineLevel="0" collapsed="false">
      <c r="A27" s="45" t="str">
        <f aca="false"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47" t="str">
        <f aca="false"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C27" s="46" t="str">
        <f aca="false"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D27" s="48" t="str">
        <f aca="false">IF($AE27="","",IF($AE27&lt;=1200,IF(INDEX(对接源_01水果!$V$4:$V$1203,$AE27)=0,"",INDEX(对接源_01水果!$V$4:$V$1203,$AE27)),IF(INDEX(对接源_02物料!$V$4:$V$1203,$AE27-1200)=0,"",INDEX(对接源_02物料!$V$4:$V$1203,$AE27-1200))))</f>
        <v/>
      </c>
      <c r="E27" s="47" t="str">
        <f aca="false">IF($AE27="","",IF($AE27&lt;=1200,IF(INDEX(对接源_01水果!$C$4:$C$1203,$AE27)=0,"",INDEX(对接源_01水果!$C$4:$C$1203,$AE27)),IF(INDEX(对接源_02物料!$C$4:$C$1203,$AE27-1200)=0,"",INDEX(对接源_02物料!$C$4:$C$1203,$AE27-1200))))</f>
        <v/>
      </c>
      <c r="F27" s="46" t="str">
        <f aca="false"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G27" s="47" t="str">
        <f aca="false">IF($AE27="","",IF($AE27&lt;=1200,IF(INDEX(对接源_01水果!$D$4:$D$1203,$AE27)=0,"",INDEX(对接源_01水果!$D$4:$D$1203,$AE27)),IF(INDEX(对接源_02物料!$D$4:$D$1203,$AE27-1200)=0,"",INDEX(对接源_02物料!$D$4:$D$1203,$AE27-1200))))</f>
        <v/>
      </c>
      <c r="H27" s="46" t="str">
        <f aca="false">IF($AE27="","",IF($AE27&lt;=1200,"01水果册","02物料册"))</f>
        <v/>
      </c>
      <c r="I27" s="47" t="str">
        <f aca="false"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44" t="str">
        <f aca="false">IFERROR(MATCH(22,_自动清单!$W$4:$W$2403,0),"")</f>
        <v/>
      </c>
    </row>
    <row r="28" customFormat="false" ht="18" hidden="false" customHeight="true" outlineLevel="0" collapsed="false">
      <c r="A28" s="40" t="str">
        <f aca="false"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42" t="str">
        <f aca="false"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C28" s="41" t="str">
        <f aca="false"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D28" s="43" t="str">
        <f aca="false">IF($AE28="","",IF($AE28&lt;=1200,IF(INDEX(对接源_01水果!$V$4:$V$1203,$AE28)=0,"",INDEX(对接源_01水果!$V$4:$V$1203,$AE28)),IF(INDEX(对接源_02物料!$V$4:$V$1203,$AE28-1200)=0,"",INDEX(对接源_02物料!$V$4:$V$1203,$AE28-1200))))</f>
        <v/>
      </c>
      <c r="E28" s="42" t="str">
        <f aca="false">IF($AE28="","",IF($AE28&lt;=1200,IF(INDEX(对接源_01水果!$C$4:$C$1203,$AE28)=0,"",INDEX(对接源_01水果!$C$4:$C$1203,$AE28)),IF(INDEX(对接源_02物料!$C$4:$C$1203,$AE28-1200)=0,"",INDEX(对接源_02物料!$C$4:$C$1203,$AE28-1200))))</f>
        <v/>
      </c>
      <c r="F28" s="41" t="str">
        <f aca="false"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G28" s="42" t="str">
        <f aca="false">IF($AE28="","",IF($AE28&lt;=1200,IF(INDEX(对接源_01水果!$D$4:$D$1203,$AE28)=0,"",INDEX(对接源_01水果!$D$4:$D$1203,$AE28)),IF(INDEX(对接源_02物料!$D$4:$D$1203,$AE28-1200)=0,"",INDEX(对接源_02物料!$D$4:$D$1203,$AE28-1200))))</f>
        <v/>
      </c>
      <c r="H28" s="41" t="str">
        <f aca="false">IF($AE28="","",IF($AE28&lt;=1200,"01水果册","02物料册"))</f>
        <v/>
      </c>
      <c r="I28" s="42" t="str">
        <f aca="false"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44" t="str">
        <f aca="false">IFERROR(MATCH(23,_自动清单!$W$4:$W$2403,0),"")</f>
        <v/>
      </c>
    </row>
    <row r="29" customFormat="false" ht="18" hidden="false" customHeight="true" outlineLevel="0" collapsed="false">
      <c r="A29" s="45" t="str">
        <f aca="false"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47" t="str">
        <f aca="false"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C29" s="46" t="str">
        <f aca="false"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D29" s="48" t="str">
        <f aca="false">IF($AE29="","",IF($AE29&lt;=1200,IF(INDEX(对接源_01水果!$V$4:$V$1203,$AE29)=0,"",INDEX(对接源_01水果!$V$4:$V$1203,$AE29)),IF(INDEX(对接源_02物料!$V$4:$V$1203,$AE29-1200)=0,"",INDEX(对接源_02物料!$V$4:$V$1203,$AE29-1200))))</f>
        <v/>
      </c>
      <c r="E29" s="47" t="str">
        <f aca="false">IF($AE29="","",IF($AE29&lt;=1200,IF(INDEX(对接源_01水果!$C$4:$C$1203,$AE29)=0,"",INDEX(对接源_01水果!$C$4:$C$1203,$AE29)),IF(INDEX(对接源_02物料!$C$4:$C$1203,$AE29-1200)=0,"",INDEX(对接源_02物料!$C$4:$C$1203,$AE29-1200))))</f>
        <v/>
      </c>
      <c r="F29" s="46" t="str">
        <f aca="false"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G29" s="47" t="str">
        <f aca="false">IF($AE29="","",IF($AE29&lt;=1200,IF(INDEX(对接源_01水果!$D$4:$D$1203,$AE29)=0,"",INDEX(对接源_01水果!$D$4:$D$1203,$AE29)),IF(INDEX(对接源_02物料!$D$4:$D$1203,$AE29-1200)=0,"",INDEX(对接源_02物料!$D$4:$D$1203,$AE29-1200))))</f>
        <v/>
      </c>
      <c r="H29" s="46" t="str">
        <f aca="false">IF($AE29="","",IF($AE29&lt;=1200,"01水果册","02物料册"))</f>
        <v/>
      </c>
      <c r="I29" s="47" t="str">
        <f aca="false"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44" t="str">
        <f aca="false">IFERROR(MATCH(24,_自动清单!$W$4:$W$2403,0),"")</f>
        <v/>
      </c>
    </row>
    <row r="30" customFormat="false" ht="18" hidden="false" customHeight="true" outlineLevel="0" collapsed="false">
      <c r="A30" s="40" t="str">
        <f aca="false"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42" t="str">
        <f aca="false"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C30" s="41" t="str">
        <f aca="false"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D30" s="43" t="str">
        <f aca="false">IF($AE30="","",IF($AE30&lt;=1200,IF(INDEX(对接源_01水果!$V$4:$V$1203,$AE30)=0,"",INDEX(对接源_01水果!$V$4:$V$1203,$AE30)),IF(INDEX(对接源_02物料!$V$4:$V$1203,$AE30-1200)=0,"",INDEX(对接源_02物料!$V$4:$V$1203,$AE30-1200))))</f>
        <v/>
      </c>
      <c r="E30" s="42" t="str">
        <f aca="false">IF($AE30="","",IF($AE30&lt;=1200,IF(INDEX(对接源_01水果!$C$4:$C$1203,$AE30)=0,"",INDEX(对接源_01水果!$C$4:$C$1203,$AE30)),IF(INDEX(对接源_02物料!$C$4:$C$1203,$AE30-1200)=0,"",INDEX(对接源_02物料!$C$4:$C$1203,$AE30-1200))))</f>
        <v/>
      </c>
      <c r="F30" s="41" t="str">
        <f aca="false"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G30" s="42" t="str">
        <f aca="false">IF($AE30="","",IF($AE30&lt;=1200,IF(INDEX(对接源_01水果!$D$4:$D$1203,$AE30)=0,"",INDEX(对接源_01水果!$D$4:$D$1203,$AE30)),IF(INDEX(对接源_02物料!$D$4:$D$1203,$AE30-1200)=0,"",INDEX(对接源_02物料!$D$4:$D$1203,$AE30-1200))))</f>
        <v/>
      </c>
      <c r="H30" s="41" t="str">
        <f aca="false">IF($AE30="","",IF($AE30&lt;=1200,"01水果册","02物料册"))</f>
        <v/>
      </c>
      <c r="I30" s="42" t="str">
        <f aca="false"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44" t="str">
        <f aca="false">IFERROR(MATCH(25,_自动清单!$W$4:$W$2403,0),"")</f>
        <v/>
      </c>
    </row>
    <row r="31" customFormat="false" ht="18" hidden="false" customHeight="true" outlineLevel="0" collapsed="false">
      <c r="A31" s="45" t="str">
        <f aca="false"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47" t="str">
        <f aca="false"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C31" s="46" t="str">
        <f aca="false"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D31" s="48" t="str">
        <f aca="false">IF($AE31="","",IF($AE31&lt;=1200,IF(INDEX(对接源_01水果!$V$4:$V$1203,$AE31)=0,"",INDEX(对接源_01水果!$V$4:$V$1203,$AE31)),IF(INDEX(对接源_02物料!$V$4:$V$1203,$AE31-1200)=0,"",INDEX(对接源_02物料!$V$4:$V$1203,$AE31-1200))))</f>
        <v/>
      </c>
      <c r="E31" s="47" t="str">
        <f aca="false">IF($AE31="","",IF($AE31&lt;=1200,IF(INDEX(对接源_01水果!$C$4:$C$1203,$AE31)=0,"",INDEX(对接源_01水果!$C$4:$C$1203,$AE31)),IF(INDEX(对接源_02物料!$C$4:$C$1203,$AE31-1200)=0,"",INDEX(对接源_02物料!$C$4:$C$1203,$AE31-1200))))</f>
        <v/>
      </c>
      <c r="F31" s="46" t="str">
        <f aca="false"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G31" s="47" t="str">
        <f aca="false">IF($AE31="","",IF($AE31&lt;=1200,IF(INDEX(对接源_01水果!$D$4:$D$1203,$AE31)=0,"",INDEX(对接源_01水果!$D$4:$D$1203,$AE31)),IF(INDEX(对接源_02物料!$D$4:$D$1203,$AE31-1200)=0,"",INDEX(对接源_02物料!$D$4:$D$1203,$AE31-1200))))</f>
        <v/>
      </c>
      <c r="H31" s="46" t="str">
        <f aca="false">IF($AE31="","",IF($AE31&lt;=1200,"01水果册","02物料册"))</f>
        <v/>
      </c>
      <c r="I31" s="47" t="str">
        <f aca="false"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44" t="str">
        <f aca="false">IFERROR(MATCH(26,_自动清单!$W$4:$W$2403,0),"")</f>
        <v/>
      </c>
    </row>
    <row r="32" customFormat="false" ht="18" hidden="false" customHeight="true" outlineLevel="0" collapsed="false">
      <c r="A32" s="40" t="str">
        <f aca="false"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42" t="str">
        <f aca="false"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C32" s="41" t="str">
        <f aca="false"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D32" s="43" t="str">
        <f aca="false">IF($AE32="","",IF($AE32&lt;=1200,IF(INDEX(对接源_01水果!$V$4:$V$1203,$AE32)=0,"",INDEX(对接源_01水果!$V$4:$V$1203,$AE32)),IF(INDEX(对接源_02物料!$V$4:$V$1203,$AE32-1200)=0,"",INDEX(对接源_02物料!$V$4:$V$1203,$AE32-1200))))</f>
        <v/>
      </c>
      <c r="E32" s="42" t="str">
        <f aca="false">IF($AE32="","",IF($AE32&lt;=1200,IF(INDEX(对接源_01水果!$C$4:$C$1203,$AE32)=0,"",INDEX(对接源_01水果!$C$4:$C$1203,$AE32)),IF(INDEX(对接源_02物料!$C$4:$C$1203,$AE32-1200)=0,"",INDEX(对接源_02物料!$C$4:$C$1203,$AE32-1200))))</f>
        <v/>
      </c>
      <c r="F32" s="41" t="str">
        <f aca="false"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G32" s="42" t="str">
        <f aca="false">IF($AE32="","",IF($AE32&lt;=1200,IF(INDEX(对接源_01水果!$D$4:$D$1203,$AE32)=0,"",INDEX(对接源_01水果!$D$4:$D$1203,$AE32)),IF(INDEX(对接源_02物料!$D$4:$D$1203,$AE32-1200)=0,"",INDEX(对接源_02物料!$D$4:$D$1203,$AE32-1200))))</f>
        <v/>
      </c>
      <c r="H32" s="41" t="str">
        <f aca="false">IF($AE32="","",IF($AE32&lt;=1200,"01水果册","02物料册"))</f>
        <v/>
      </c>
      <c r="I32" s="42" t="str">
        <f aca="false"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44" t="str">
        <f aca="false">IFERROR(MATCH(27,_自动清单!$W$4:$W$2403,0),"")</f>
        <v/>
      </c>
    </row>
    <row r="33" customFormat="false" ht="18" hidden="false" customHeight="true" outlineLevel="0" collapsed="false">
      <c r="A33" s="45" t="str">
        <f aca="false"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47" t="str">
        <f aca="false"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C33" s="46" t="str">
        <f aca="false"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D33" s="48" t="str">
        <f aca="false">IF($AE33="","",IF($AE33&lt;=1200,IF(INDEX(对接源_01水果!$V$4:$V$1203,$AE33)=0,"",INDEX(对接源_01水果!$V$4:$V$1203,$AE33)),IF(INDEX(对接源_02物料!$V$4:$V$1203,$AE33-1200)=0,"",INDEX(对接源_02物料!$V$4:$V$1203,$AE33-1200))))</f>
        <v/>
      </c>
      <c r="E33" s="47" t="str">
        <f aca="false">IF($AE33="","",IF($AE33&lt;=1200,IF(INDEX(对接源_01水果!$C$4:$C$1203,$AE33)=0,"",INDEX(对接源_01水果!$C$4:$C$1203,$AE33)),IF(INDEX(对接源_02物料!$C$4:$C$1203,$AE33-1200)=0,"",INDEX(对接源_02物料!$C$4:$C$1203,$AE33-1200))))</f>
        <v/>
      </c>
      <c r="F33" s="46" t="str">
        <f aca="false"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G33" s="47" t="str">
        <f aca="false">IF($AE33="","",IF($AE33&lt;=1200,IF(INDEX(对接源_01水果!$D$4:$D$1203,$AE33)=0,"",INDEX(对接源_01水果!$D$4:$D$1203,$AE33)),IF(INDEX(对接源_02物料!$D$4:$D$1203,$AE33-1200)=0,"",INDEX(对接源_02物料!$D$4:$D$1203,$AE33-1200))))</f>
        <v/>
      </c>
      <c r="H33" s="46" t="str">
        <f aca="false">IF($AE33="","",IF($AE33&lt;=1200,"01水果册","02物料册"))</f>
        <v/>
      </c>
      <c r="I33" s="47" t="str">
        <f aca="false"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44" t="str">
        <f aca="false">IFERROR(MATCH(28,_自动清单!$W$4:$W$2403,0),"")</f>
        <v/>
      </c>
    </row>
    <row r="34" customFormat="false" ht="18" hidden="false" customHeight="true" outlineLevel="0" collapsed="false">
      <c r="A34" s="40" t="str">
        <f aca="false"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42" t="str">
        <f aca="false"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C34" s="41" t="str">
        <f aca="false"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D34" s="43" t="str">
        <f aca="false">IF($AE34="","",IF($AE34&lt;=1200,IF(INDEX(对接源_01水果!$V$4:$V$1203,$AE34)=0,"",INDEX(对接源_01水果!$V$4:$V$1203,$AE34)),IF(INDEX(对接源_02物料!$V$4:$V$1203,$AE34-1200)=0,"",INDEX(对接源_02物料!$V$4:$V$1203,$AE34-1200))))</f>
        <v/>
      </c>
      <c r="E34" s="42" t="str">
        <f aca="false">IF($AE34="","",IF($AE34&lt;=1200,IF(INDEX(对接源_01水果!$C$4:$C$1203,$AE34)=0,"",INDEX(对接源_01水果!$C$4:$C$1203,$AE34)),IF(INDEX(对接源_02物料!$C$4:$C$1203,$AE34-1200)=0,"",INDEX(对接源_02物料!$C$4:$C$1203,$AE34-1200))))</f>
        <v/>
      </c>
      <c r="F34" s="41" t="str">
        <f aca="false"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G34" s="42" t="str">
        <f aca="false">IF($AE34="","",IF($AE34&lt;=1200,IF(INDEX(对接源_01水果!$D$4:$D$1203,$AE34)=0,"",INDEX(对接源_01水果!$D$4:$D$1203,$AE34)),IF(INDEX(对接源_02物料!$D$4:$D$1203,$AE34-1200)=0,"",INDEX(对接源_02物料!$D$4:$D$1203,$AE34-1200))))</f>
        <v/>
      </c>
      <c r="H34" s="41" t="str">
        <f aca="false">IF($AE34="","",IF($AE34&lt;=1200,"01水果册","02物料册"))</f>
        <v/>
      </c>
      <c r="I34" s="42" t="str">
        <f aca="false"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44" t="str">
        <f aca="false">IFERROR(MATCH(29,_自动清单!$W$4:$W$2403,0),"")</f>
        <v/>
      </c>
    </row>
    <row r="35" customFormat="false" ht="18" hidden="false" customHeight="true" outlineLevel="0" collapsed="false">
      <c r="A35" s="45" t="str">
        <f aca="false"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47" t="str">
        <f aca="false"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C35" s="46" t="str">
        <f aca="false"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D35" s="48" t="str">
        <f aca="false">IF($AE35="","",IF($AE35&lt;=1200,IF(INDEX(对接源_01水果!$V$4:$V$1203,$AE35)=0,"",INDEX(对接源_01水果!$V$4:$V$1203,$AE35)),IF(INDEX(对接源_02物料!$V$4:$V$1203,$AE35-1200)=0,"",INDEX(对接源_02物料!$V$4:$V$1203,$AE35-1200))))</f>
        <v/>
      </c>
      <c r="E35" s="47" t="str">
        <f aca="false">IF($AE35="","",IF($AE35&lt;=1200,IF(INDEX(对接源_01水果!$C$4:$C$1203,$AE35)=0,"",INDEX(对接源_01水果!$C$4:$C$1203,$AE35)),IF(INDEX(对接源_02物料!$C$4:$C$1203,$AE35-1200)=0,"",INDEX(对接源_02物料!$C$4:$C$1203,$AE35-1200))))</f>
        <v/>
      </c>
      <c r="F35" s="46" t="str">
        <f aca="false"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G35" s="47" t="str">
        <f aca="false">IF($AE35="","",IF($AE35&lt;=1200,IF(INDEX(对接源_01水果!$D$4:$D$1203,$AE35)=0,"",INDEX(对接源_01水果!$D$4:$D$1203,$AE35)),IF(INDEX(对接源_02物料!$D$4:$D$1203,$AE35-1200)=0,"",INDEX(对接源_02物料!$D$4:$D$1203,$AE35-1200))))</f>
        <v/>
      </c>
      <c r="H35" s="46" t="str">
        <f aca="false">IF($AE35="","",IF($AE35&lt;=1200,"01水果册","02物料册"))</f>
        <v/>
      </c>
      <c r="I35" s="47" t="str">
        <f aca="false"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44" t="str">
        <f aca="false">IFERROR(MATCH(30,_自动清单!$W$4:$W$2403,0),"")</f>
        <v/>
      </c>
    </row>
    <row r="36" customFormat="false" ht="18" hidden="false" customHeight="true" outlineLevel="0" collapsed="false">
      <c r="A36" s="40" t="str">
        <f aca="false"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42" t="str">
        <f aca="false"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C36" s="41" t="str">
        <f aca="false"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D36" s="43" t="str">
        <f aca="false">IF($AE36="","",IF($AE36&lt;=1200,IF(INDEX(对接源_01水果!$V$4:$V$1203,$AE36)=0,"",INDEX(对接源_01水果!$V$4:$V$1203,$AE36)),IF(INDEX(对接源_02物料!$V$4:$V$1203,$AE36-1200)=0,"",INDEX(对接源_02物料!$V$4:$V$1203,$AE36-1200))))</f>
        <v/>
      </c>
      <c r="E36" s="42" t="str">
        <f aca="false"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F36" s="41" t="str">
        <f aca="false"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G36" s="42" t="str">
        <f aca="false">IF($AE36="","",IF($AE36&lt;=1200,IF(INDEX(对接源_01水果!$D$4:$D$1203,$AE36)=0,"",INDEX(对接源_01水果!$D$4:$D$1203,$AE36)),IF(INDEX(对接源_02物料!$D$4:$D$1203,$AE36-1200)=0,"",INDEX(对接源_02物料!$D$4:$D$1203,$AE36-1200))))</f>
        <v/>
      </c>
      <c r="H36" s="41" t="str">
        <f aca="false">IF($AE36="","",IF($AE36&lt;=1200,"01水果册","02物料册"))</f>
        <v/>
      </c>
      <c r="I36" s="42" t="str">
        <f aca="false"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44" t="str">
        <f aca="false">IFERROR(MATCH(31,_自动清单!$W$4:$W$2403,0),"")</f>
        <v/>
      </c>
    </row>
    <row r="37" customFormat="false" ht="18" hidden="false" customHeight="true" outlineLevel="0" collapsed="false">
      <c r="A37" s="45" t="str">
        <f aca="false"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47" t="str">
        <f aca="false"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C37" s="46" t="str">
        <f aca="false"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D37" s="48" t="str">
        <f aca="false">IF($AE37="","",IF($AE37&lt;=1200,IF(INDEX(对接源_01水果!$V$4:$V$1203,$AE37)=0,"",INDEX(对接源_01水果!$V$4:$V$1203,$AE37)),IF(INDEX(对接源_02物料!$V$4:$V$1203,$AE37-1200)=0,"",INDEX(对接源_02物料!$V$4:$V$1203,$AE37-1200))))</f>
        <v/>
      </c>
      <c r="E37" s="47" t="str">
        <f aca="false"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F37" s="46" t="str">
        <f aca="false"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G37" s="47" t="str">
        <f aca="false">IF($AE37="","",IF($AE37&lt;=1200,IF(INDEX(对接源_01水果!$D$4:$D$1203,$AE37)=0,"",INDEX(对接源_01水果!$D$4:$D$1203,$AE37)),IF(INDEX(对接源_02物料!$D$4:$D$1203,$AE37-1200)=0,"",INDEX(对接源_02物料!$D$4:$D$1203,$AE37-1200))))</f>
        <v/>
      </c>
      <c r="H37" s="46" t="str">
        <f aca="false">IF($AE37="","",IF($AE37&lt;=1200,"01水果册","02物料册"))</f>
        <v/>
      </c>
      <c r="I37" s="47" t="str">
        <f aca="false"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44" t="str">
        <f aca="false">IFERROR(MATCH(32,_自动清单!$W$4:$W$2403,0),"")</f>
        <v/>
      </c>
    </row>
    <row r="38" customFormat="false" ht="18" hidden="false" customHeight="true" outlineLevel="0" collapsed="false">
      <c r="A38" s="40" t="str">
        <f aca="false"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42" t="str">
        <f aca="false"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C38" s="41" t="str">
        <f aca="false"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D38" s="43" t="str">
        <f aca="false">IF($AE38="","",IF($AE38&lt;=1200,IF(INDEX(对接源_01水果!$V$4:$V$1203,$AE38)=0,"",INDEX(对接源_01水果!$V$4:$V$1203,$AE38)),IF(INDEX(对接源_02物料!$V$4:$V$1203,$AE38-1200)=0,"",INDEX(对接源_02物料!$V$4:$V$1203,$AE38-1200))))</f>
        <v/>
      </c>
      <c r="E38" s="42" t="str">
        <f aca="false"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F38" s="41" t="str">
        <f aca="false"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G38" s="42" t="str">
        <f aca="false">IF($AE38="","",IF($AE38&lt;=1200,IF(INDEX(对接源_01水果!$D$4:$D$1203,$AE38)=0,"",INDEX(对接源_01水果!$D$4:$D$1203,$AE38)),IF(INDEX(对接源_02物料!$D$4:$D$1203,$AE38-1200)=0,"",INDEX(对接源_02物料!$D$4:$D$1203,$AE38-1200))))</f>
        <v/>
      </c>
      <c r="H38" s="41" t="str">
        <f aca="false">IF($AE38="","",IF($AE38&lt;=1200,"01水果册","02物料册"))</f>
        <v/>
      </c>
      <c r="I38" s="42" t="str">
        <f aca="false"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44" t="str">
        <f aca="false">IFERROR(MATCH(33,_自动清单!$W$4:$W$2403,0),"")</f>
        <v/>
      </c>
    </row>
    <row r="39" customFormat="false" ht="18" hidden="false" customHeight="true" outlineLevel="0" collapsed="false">
      <c r="A39" s="45" t="str">
        <f aca="false"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47" t="str">
        <f aca="false"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C39" s="46" t="str">
        <f aca="false"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D39" s="48" t="str">
        <f aca="false">IF($AE39="","",IF($AE39&lt;=1200,IF(INDEX(对接源_01水果!$V$4:$V$1203,$AE39)=0,"",INDEX(对接源_01水果!$V$4:$V$1203,$AE39)),IF(INDEX(对接源_02物料!$V$4:$V$1203,$AE39-1200)=0,"",INDEX(对接源_02物料!$V$4:$V$1203,$AE39-1200))))</f>
        <v/>
      </c>
      <c r="E39" s="47" t="str">
        <f aca="false"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F39" s="46" t="str">
        <f aca="false"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G39" s="47" t="str">
        <f aca="false">IF($AE39="","",IF($AE39&lt;=1200,IF(INDEX(对接源_01水果!$D$4:$D$1203,$AE39)=0,"",INDEX(对接源_01水果!$D$4:$D$1203,$AE39)),IF(INDEX(对接源_02物料!$D$4:$D$1203,$AE39-1200)=0,"",INDEX(对接源_02物料!$D$4:$D$1203,$AE39-1200))))</f>
        <v/>
      </c>
      <c r="H39" s="46" t="str">
        <f aca="false">IF($AE39="","",IF($AE39&lt;=1200,"01水果册","02物料册"))</f>
        <v/>
      </c>
      <c r="I39" s="47" t="str">
        <f aca="false"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44" t="str">
        <f aca="false">IFERROR(MATCH(34,_自动清单!$W$4:$W$2403,0),"")</f>
        <v/>
      </c>
    </row>
    <row r="40" customFormat="false" ht="18" hidden="false" customHeight="true" outlineLevel="0" collapsed="false">
      <c r="A40" s="40" t="str">
        <f aca="false"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42" t="str">
        <f aca="false"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C40" s="41" t="str">
        <f aca="false"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D40" s="43" t="str">
        <f aca="false">IF($AE40="","",IF($AE40&lt;=1200,IF(INDEX(对接源_01水果!$V$4:$V$1203,$AE40)=0,"",INDEX(对接源_01水果!$V$4:$V$1203,$AE40)),IF(INDEX(对接源_02物料!$V$4:$V$1203,$AE40-1200)=0,"",INDEX(对接源_02物料!$V$4:$V$1203,$AE40-1200))))</f>
        <v/>
      </c>
      <c r="E40" s="42" t="str">
        <f aca="false"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F40" s="41" t="str">
        <f aca="false"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G40" s="42" t="str">
        <f aca="false">IF($AE40="","",IF($AE40&lt;=1200,IF(INDEX(对接源_01水果!$D$4:$D$1203,$AE40)=0,"",INDEX(对接源_01水果!$D$4:$D$1203,$AE40)),IF(INDEX(对接源_02物料!$D$4:$D$1203,$AE40-1200)=0,"",INDEX(对接源_02物料!$D$4:$D$1203,$AE40-1200))))</f>
        <v/>
      </c>
      <c r="H40" s="41" t="str">
        <f aca="false">IF($AE40="","",IF($AE40&lt;=1200,"01水果册","02物料册"))</f>
        <v/>
      </c>
      <c r="I40" s="42" t="str">
        <f aca="false"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44" t="str">
        <f aca="false">IFERROR(MATCH(35,_自动清单!$W$4:$W$2403,0),"")</f>
        <v/>
      </c>
    </row>
    <row r="41" customFormat="false" ht="18" hidden="false" customHeight="true" outlineLevel="0" collapsed="false">
      <c r="A41" s="45" t="str">
        <f aca="false"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47" t="str">
        <f aca="false"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C41" s="46" t="str">
        <f aca="false"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D41" s="48" t="str">
        <f aca="false">IF($AE41="","",IF($AE41&lt;=1200,IF(INDEX(对接源_01水果!$V$4:$V$1203,$AE41)=0,"",INDEX(对接源_01水果!$V$4:$V$1203,$AE41)),IF(INDEX(对接源_02物料!$V$4:$V$1203,$AE41-1200)=0,"",INDEX(对接源_02物料!$V$4:$V$1203,$AE41-1200))))</f>
        <v/>
      </c>
      <c r="E41" s="47" t="str">
        <f aca="false"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F41" s="46" t="str">
        <f aca="false"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G41" s="47" t="str">
        <f aca="false">IF($AE41="","",IF($AE41&lt;=1200,IF(INDEX(对接源_01水果!$D$4:$D$1203,$AE41)=0,"",INDEX(对接源_01水果!$D$4:$D$1203,$AE41)),IF(INDEX(对接源_02物料!$D$4:$D$1203,$AE41-1200)=0,"",INDEX(对接源_02物料!$D$4:$D$1203,$AE41-1200))))</f>
        <v/>
      </c>
      <c r="H41" s="46" t="str">
        <f aca="false">IF($AE41="","",IF($AE41&lt;=1200,"01水果册","02物料册"))</f>
        <v/>
      </c>
      <c r="I41" s="47" t="str">
        <f aca="false"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44" t="str">
        <f aca="false">IFERROR(MATCH(36,_自动清单!$W$4:$W$2403,0),"")</f>
        <v/>
      </c>
    </row>
    <row r="42" customFormat="false" ht="18" hidden="false" customHeight="true" outlineLevel="0" collapsed="false">
      <c r="A42" s="40" t="str">
        <f aca="false"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42" t="str">
        <f aca="false"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C42" s="41" t="str">
        <f aca="false"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D42" s="43" t="str">
        <f aca="false">IF($AE42="","",IF($AE42&lt;=1200,IF(INDEX(对接源_01水果!$V$4:$V$1203,$AE42)=0,"",INDEX(对接源_01水果!$V$4:$V$1203,$AE42)),IF(INDEX(对接源_02物料!$V$4:$V$1203,$AE42-1200)=0,"",INDEX(对接源_02物料!$V$4:$V$1203,$AE42-1200))))</f>
        <v/>
      </c>
      <c r="E42" s="42" t="str">
        <f aca="false"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F42" s="41" t="str">
        <f aca="false"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G42" s="42" t="str">
        <f aca="false">IF($AE42="","",IF($AE42&lt;=1200,IF(INDEX(对接源_01水果!$D$4:$D$1203,$AE42)=0,"",INDEX(对接源_01水果!$D$4:$D$1203,$AE42)),IF(INDEX(对接源_02物料!$D$4:$D$1203,$AE42-1200)=0,"",INDEX(对接源_02物料!$D$4:$D$1203,$AE42-1200))))</f>
        <v/>
      </c>
      <c r="H42" s="41" t="str">
        <f aca="false">IF($AE42="","",IF($AE42&lt;=1200,"01水果册","02物料册"))</f>
        <v/>
      </c>
      <c r="I42" s="42" t="str">
        <f aca="false"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44" t="str">
        <f aca="false">IFERROR(MATCH(37,_自动清单!$W$4:$W$2403,0),"")</f>
        <v/>
      </c>
    </row>
    <row r="43" customFormat="false" ht="18" hidden="false" customHeight="true" outlineLevel="0" collapsed="false">
      <c r="A43" s="45" t="str">
        <f aca="false"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47" t="str">
        <f aca="false"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C43" s="46" t="str">
        <f aca="false"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D43" s="48" t="str">
        <f aca="false">IF($AE43="","",IF($AE43&lt;=1200,IF(INDEX(对接源_01水果!$V$4:$V$1203,$AE43)=0,"",INDEX(对接源_01水果!$V$4:$V$1203,$AE43)),IF(INDEX(对接源_02物料!$V$4:$V$1203,$AE43-1200)=0,"",INDEX(对接源_02物料!$V$4:$V$1203,$AE43-1200))))</f>
        <v/>
      </c>
      <c r="E43" s="47" t="str">
        <f aca="false"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F43" s="46" t="str">
        <f aca="false"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G43" s="47" t="str">
        <f aca="false">IF($AE43="","",IF($AE43&lt;=1200,IF(INDEX(对接源_01水果!$D$4:$D$1203,$AE43)=0,"",INDEX(对接源_01水果!$D$4:$D$1203,$AE43)),IF(INDEX(对接源_02物料!$D$4:$D$1203,$AE43-1200)=0,"",INDEX(对接源_02物料!$D$4:$D$1203,$AE43-1200))))</f>
        <v/>
      </c>
      <c r="H43" s="46" t="str">
        <f aca="false">IF($AE43="","",IF($AE43&lt;=1200,"01水果册","02物料册"))</f>
        <v/>
      </c>
      <c r="I43" s="47" t="str">
        <f aca="false"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44" t="str">
        <f aca="false">IFERROR(MATCH(38,_自动清单!$W$4:$W$2403,0),"")</f>
        <v/>
      </c>
    </row>
    <row r="44" customFormat="false" ht="18" hidden="false" customHeight="true" outlineLevel="0" collapsed="false">
      <c r="A44" s="40" t="str">
        <f aca="false"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42" t="str">
        <f aca="false"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C44" s="41" t="str">
        <f aca="false"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D44" s="43" t="str">
        <f aca="false">IF($AE44="","",IF($AE44&lt;=1200,IF(INDEX(对接源_01水果!$V$4:$V$1203,$AE44)=0,"",INDEX(对接源_01水果!$V$4:$V$1203,$AE44)),IF(INDEX(对接源_02物料!$V$4:$V$1203,$AE44-1200)=0,"",INDEX(对接源_02物料!$V$4:$V$1203,$AE44-1200))))</f>
        <v/>
      </c>
      <c r="E44" s="42" t="str">
        <f aca="false"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F44" s="41" t="str">
        <f aca="false"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G44" s="42" t="str">
        <f aca="false">IF($AE44="","",IF($AE44&lt;=1200,IF(INDEX(对接源_01水果!$D$4:$D$1203,$AE44)=0,"",INDEX(对接源_01水果!$D$4:$D$1203,$AE44)),IF(INDEX(对接源_02物料!$D$4:$D$1203,$AE44-1200)=0,"",INDEX(对接源_02物料!$D$4:$D$1203,$AE44-1200))))</f>
        <v/>
      </c>
      <c r="H44" s="41" t="str">
        <f aca="false">IF($AE44="","",IF($AE44&lt;=1200,"01水果册","02物料册"))</f>
        <v/>
      </c>
      <c r="I44" s="42" t="str">
        <f aca="false"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44" t="str">
        <f aca="false">IFERROR(MATCH(39,_自动清单!$W$4:$W$2403,0),"")</f>
        <v/>
      </c>
    </row>
    <row r="45" customFormat="false" ht="18" hidden="false" customHeight="true" outlineLevel="0" collapsed="false">
      <c r="A45" s="45" t="str">
        <f aca="false"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47" t="str">
        <f aca="false"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C45" s="46" t="str">
        <f aca="false"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D45" s="48" t="str">
        <f aca="false">IF($AE45="","",IF($AE45&lt;=1200,IF(INDEX(对接源_01水果!$V$4:$V$1203,$AE45)=0,"",INDEX(对接源_01水果!$V$4:$V$1203,$AE45)),IF(INDEX(对接源_02物料!$V$4:$V$1203,$AE45-1200)=0,"",INDEX(对接源_02物料!$V$4:$V$1203,$AE45-1200))))</f>
        <v/>
      </c>
      <c r="E45" s="47" t="str">
        <f aca="false"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F45" s="46" t="str">
        <f aca="false"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G45" s="47" t="str">
        <f aca="false">IF($AE45="","",IF($AE45&lt;=1200,IF(INDEX(对接源_01水果!$D$4:$D$1203,$AE45)=0,"",INDEX(对接源_01水果!$D$4:$D$1203,$AE45)),IF(INDEX(对接源_02物料!$D$4:$D$1203,$AE45-1200)=0,"",INDEX(对接源_02物料!$D$4:$D$1203,$AE45-1200))))</f>
        <v/>
      </c>
      <c r="H45" s="46" t="str">
        <f aca="false">IF($AE45="","",IF($AE45&lt;=1200,"01水果册","02物料册"))</f>
        <v/>
      </c>
      <c r="I45" s="47" t="str">
        <f aca="false"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44" t="str">
        <f aca="false">IFERROR(MATCH(40,_自动清单!$W$4:$W$2403,0),"")</f>
        <v/>
      </c>
    </row>
    <row r="46" customFormat="false" ht="18" hidden="false" customHeight="true" outlineLevel="0" collapsed="false">
      <c r="A46" s="40" t="str">
        <f aca="false"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42" t="str">
        <f aca="false"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C46" s="41" t="str">
        <f aca="false"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D46" s="43" t="str">
        <f aca="false">IF($AE46="","",IF($AE46&lt;=1200,IF(INDEX(对接源_01水果!$V$4:$V$1203,$AE46)=0,"",INDEX(对接源_01水果!$V$4:$V$1203,$AE46)),IF(INDEX(对接源_02物料!$V$4:$V$1203,$AE46-1200)=0,"",INDEX(对接源_02物料!$V$4:$V$1203,$AE46-1200))))</f>
        <v/>
      </c>
      <c r="E46" s="42" t="str">
        <f aca="false"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F46" s="41" t="str">
        <f aca="false"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G46" s="42" t="str">
        <f aca="false">IF($AE46="","",IF($AE46&lt;=1200,IF(INDEX(对接源_01水果!$D$4:$D$1203,$AE46)=0,"",INDEX(对接源_01水果!$D$4:$D$1203,$AE46)),IF(INDEX(对接源_02物料!$D$4:$D$1203,$AE46-1200)=0,"",INDEX(对接源_02物料!$D$4:$D$1203,$AE46-1200))))</f>
        <v/>
      </c>
      <c r="H46" s="41" t="str">
        <f aca="false">IF($AE46="","",IF($AE46&lt;=1200,"01水果册","02物料册"))</f>
        <v/>
      </c>
      <c r="I46" s="42" t="str">
        <f aca="false"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44" t="str">
        <f aca="false">IFERROR(MATCH(41,_自动清单!$W$4:$W$2403,0),"")</f>
        <v/>
      </c>
    </row>
    <row r="47" customFormat="false" ht="18" hidden="false" customHeight="true" outlineLevel="0" collapsed="false">
      <c r="A47" s="45" t="str">
        <f aca="false"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47" t="str">
        <f aca="false"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C47" s="46" t="str">
        <f aca="false"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D47" s="48" t="str">
        <f aca="false">IF($AE47="","",IF($AE47&lt;=1200,IF(INDEX(对接源_01水果!$V$4:$V$1203,$AE47)=0,"",INDEX(对接源_01水果!$V$4:$V$1203,$AE47)),IF(INDEX(对接源_02物料!$V$4:$V$1203,$AE47-1200)=0,"",INDEX(对接源_02物料!$V$4:$V$1203,$AE47-1200))))</f>
        <v/>
      </c>
      <c r="E47" s="47" t="str">
        <f aca="false"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F47" s="46" t="str">
        <f aca="false"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G47" s="47" t="str">
        <f aca="false">IF($AE47="","",IF($AE47&lt;=1200,IF(INDEX(对接源_01水果!$D$4:$D$1203,$AE47)=0,"",INDEX(对接源_01水果!$D$4:$D$1203,$AE47)),IF(INDEX(对接源_02物料!$D$4:$D$1203,$AE47-1200)=0,"",INDEX(对接源_02物料!$D$4:$D$1203,$AE47-1200))))</f>
        <v/>
      </c>
      <c r="H47" s="46" t="str">
        <f aca="false">IF($AE47="","",IF($AE47&lt;=1200,"01水果册","02物料册"))</f>
        <v/>
      </c>
      <c r="I47" s="47" t="str">
        <f aca="false"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44" t="str">
        <f aca="false">IFERROR(MATCH(42,_自动清单!$W$4:$W$2403,0),"")</f>
        <v/>
      </c>
    </row>
    <row r="48" customFormat="false" ht="18" hidden="false" customHeight="true" outlineLevel="0" collapsed="false">
      <c r="A48" s="40" t="str">
        <f aca="false"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42" t="str">
        <f aca="false"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C48" s="41" t="str">
        <f aca="false"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D48" s="43" t="str">
        <f aca="false">IF($AE48="","",IF($AE48&lt;=1200,IF(INDEX(对接源_01水果!$V$4:$V$1203,$AE48)=0,"",INDEX(对接源_01水果!$V$4:$V$1203,$AE48)),IF(INDEX(对接源_02物料!$V$4:$V$1203,$AE48-1200)=0,"",INDEX(对接源_02物料!$V$4:$V$1203,$AE48-1200))))</f>
        <v/>
      </c>
      <c r="E48" s="42" t="str">
        <f aca="false"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F48" s="41" t="str">
        <f aca="false"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G48" s="42" t="str">
        <f aca="false">IF($AE48="","",IF($AE48&lt;=1200,IF(INDEX(对接源_01水果!$D$4:$D$1203,$AE48)=0,"",INDEX(对接源_01水果!$D$4:$D$1203,$AE48)),IF(INDEX(对接源_02物料!$D$4:$D$1203,$AE48-1200)=0,"",INDEX(对接源_02物料!$D$4:$D$1203,$AE48-1200))))</f>
        <v/>
      </c>
      <c r="H48" s="41" t="str">
        <f aca="false">IF($AE48="","",IF($AE48&lt;=1200,"01水果册","02物料册"))</f>
        <v/>
      </c>
      <c r="I48" s="42" t="str">
        <f aca="false"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44" t="str">
        <f aca="false">IFERROR(MATCH(43,_自动清单!$W$4:$W$2403,0),"")</f>
        <v/>
      </c>
    </row>
    <row r="49" customFormat="false" ht="18" hidden="false" customHeight="true" outlineLevel="0" collapsed="false">
      <c r="A49" s="45" t="str">
        <f aca="false"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47" t="str">
        <f aca="false"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C49" s="46" t="str">
        <f aca="false"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D49" s="48" t="str">
        <f aca="false">IF($AE49="","",IF($AE49&lt;=1200,IF(INDEX(对接源_01水果!$V$4:$V$1203,$AE49)=0,"",INDEX(对接源_01水果!$V$4:$V$1203,$AE49)),IF(INDEX(对接源_02物料!$V$4:$V$1203,$AE49-1200)=0,"",INDEX(对接源_02物料!$V$4:$V$1203,$AE49-1200))))</f>
        <v/>
      </c>
      <c r="E49" s="47" t="str">
        <f aca="false"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F49" s="46" t="str">
        <f aca="false"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G49" s="47" t="str">
        <f aca="false">IF($AE49="","",IF($AE49&lt;=1200,IF(INDEX(对接源_01水果!$D$4:$D$1203,$AE49)=0,"",INDEX(对接源_01水果!$D$4:$D$1203,$AE49)),IF(INDEX(对接源_02物料!$D$4:$D$1203,$AE49-1200)=0,"",INDEX(对接源_02物料!$D$4:$D$1203,$AE49-1200))))</f>
        <v/>
      </c>
      <c r="H49" s="46" t="str">
        <f aca="false">IF($AE49="","",IF($AE49&lt;=1200,"01水果册","02物料册"))</f>
        <v/>
      </c>
      <c r="I49" s="47" t="str">
        <f aca="false"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44" t="str">
        <f aca="false">IFERROR(MATCH(44,_自动清单!$W$4:$W$2403,0),"")</f>
        <v/>
      </c>
    </row>
    <row r="50" customFormat="false" ht="18" hidden="false" customHeight="true" outlineLevel="0" collapsed="false">
      <c r="A50" s="40" t="str">
        <f aca="false"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42" t="str">
        <f aca="false"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C50" s="41" t="str">
        <f aca="false"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D50" s="43" t="str">
        <f aca="false">IF($AE50="","",IF($AE50&lt;=1200,IF(INDEX(对接源_01水果!$V$4:$V$1203,$AE50)=0,"",INDEX(对接源_01水果!$V$4:$V$1203,$AE50)),IF(INDEX(对接源_02物料!$V$4:$V$1203,$AE50-1200)=0,"",INDEX(对接源_02物料!$V$4:$V$1203,$AE50-1200))))</f>
        <v/>
      </c>
      <c r="E50" s="42" t="str">
        <f aca="false"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F50" s="41" t="str">
        <f aca="false"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G50" s="42" t="str">
        <f aca="false">IF($AE50="","",IF($AE50&lt;=1200,IF(INDEX(对接源_01水果!$D$4:$D$1203,$AE50)=0,"",INDEX(对接源_01水果!$D$4:$D$1203,$AE50)),IF(INDEX(对接源_02物料!$D$4:$D$1203,$AE50-1200)=0,"",INDEX(对接源_02物料!$D$4:$D$1203,$AE50-1200))))</f>
        <v/>
      </c>
      <c r="H50" s="41" t="str">
        <f aca="false">IF($AE50="","",IF($AE50&lt;=1200,"01水果册","02物料册"))</f>
        <v/>
      </c>
      <c r="I50" s="42" t="str">
        <f aca="false"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44" t="str">
        <f aca="false">IFERROR(MATCH(45,_自动清单!$W$4:$W$2403,0),"")</f>
        <v/>
      </c>
    </row>
    <row r="51" customFormat="false" ht="18" hidden="false" customHeight="true" outlineLevel="0" collapsed="false">
      <c r="A51" s="45" t="str">
        <f aca="false"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47" t="str">
        <f aca="false"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C51" s="46" t="str">
        <f aca="false"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D51" s="48" t="str">
        <f aca="false">IF($AE51="","",IF($AE51&lt;=1200,IF(INDEX(对接源_01水果!$V$4:$V$1203,$AE51)=0,"",INDEX(对接源_01水果!$V$4:$V$1203,$AE51)),IF(INDEX(对接源_02物料!$V$4:$V$1203,$AE51-1200)=0,"",INDEX(对接源_02物料!$V$4:$V$1203,$AE51-1200))))</f>
        <v/>
      </c>
      <c r="E51" s="47" t="str">
        <f aca="false"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F51" s="46" t="str">
        <f aca="false"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G51" s="47" t="str">
        <f aca="false">IF($AE51="","",IF($AE51&lt;=1200,IF(INDEX(对接源_01水果!$D$4:$D$1203,$AE51)=0,"",INDEX(对接源_01水果!$D$4:$D$1203,$AE51)),IF(INDEX(对接源_02物料!$D$4:$D$1203,$AE51-1200)=0,"",INDEX(对接源_02物料!$D$4:$D$1203,$AE51-1200))))</f>
        <v/>
      </c>
      <c r="H51" s="46" t="str">
        <f aca="false">IF($AE51="","",IF($AE51&lt;=1200,"01水果册","02物料册"))</f>
        <v/>
      </c>
      <c r="I51" s="47" t="str">
        <f aca="false"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44" t="str">
        <f aca="false">IFERROR(MATCH(46,_自动清单!$W$4:$W$2403,0),"")</f>
        <v/>
      </c>
    </row>
    <row r="52" customFormat="false" ht="18" hidden="false" customHeight="true" outlineLevel="0" collapsed="false">
      <c r="A52" s="40" t="str">
        <f aca="false"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42" t="str">
        <f aca="false"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C52" s="41" t="str">
        <f aca="false"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D52" s="43" t="str">
        <f aca="false">IF($AE52="","",IF($AE52&lt;=1200,IF(INDEX(对接源_01水果!$V$4:$V$1203,$AE52)=0,"",INDEX(对接源_01水果!$V$4:$V$1203,$AE52)),IF(INDEX(对接源_02物料!$V$4:$V$1203,$AE52-1200)=0,"",INDEX(对接源_02物料!$V$4:$V$1203,$AE52-1200))))</f>
        <v/>
      </c>
      <c r="E52" s="42" t="str">
        <f aca="false"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F52" s="41" t="str">
        <f aca="false"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G52" s="42" t="str">
        <f aca="false">IF($AE52="","",IF($AE52&lt;=1200,IF(INDEX(对接源_01水果!$D$4:$D$1203,$AE52)=0,"",INDEX(对接源_01水果!$D$4:$D$1203,$AE52)),IF(INDEX(对接源_02物料!$D$4:$D$1203,$AE52-1200)=0,"",INDEX(对接源_02物料!$D$4:$D$1203,$AE52-1200))))</f>
        <v/>
      </c>
      <c r="H52" s="41" t="str">
        <f aca="false">IF($AE52="","",IF($AE52&lt;=1200,"01水果册","02物料册"))</f>
        <v/>
      </c>
      <c r="I52" s="42" t="str">
        <f aca="false"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44" t="str">
        <f aca="false">IFERROR(MATCH(47,_自动清单!$W$4:$W$2403,0),"")</f>
        <v/>
      </c>
    </row>
    <row r="53" customFormat="false" ht="18" hidden="false" customHeight="true" outlineLevel="0" collapsed="false">
      <c r="A53" s="45" t="str">
        <f aca="false"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47" t="str">
        <f aca="false"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C53" s="46" t="str">
        <f aca="false"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D53" s="48" t="str">
        <f aca="false">IF($AE53="","",IF($AE53&lt;=1200,IF(INDEX(对接源_01水果!$V$4:$V$1203,$AE53)=0,"",INDEX(对接源_01水果!$V$4:$V$1203,$AE53)),IF(INDEX(对接源_02物料!$V$4:$V$1203,$AE53-1200)=0,"",INDEX(对接源_02物料!$V$4:$V$1203,$AE53-1200))))</f>
        <v/>
      </c>
      <c r="E53" s="47" t="str">
        <f aca="false"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F53" s="46" t="str">
        <f aca="false"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G53" s="47" t="str">
        <f aca="false">IF($AE53="","",IF($AE53&lt;=1200,IF(INDEX(对接源_01水果!$D$4:$D$1203,$AE53)=0,"",INDEX(对接源_01水果!$D$4:$D$1203,$AE53)),IF(INDEX(对接源_02物料!$D$4:$D$1203,$AE53-1200)=0,"",INDEX(对接源_02物料!$D$4:$D$1203,$AE53-1200))))</f>
        <v/>
      </c>
      <c r="H53" s="46" t="str">
        <f aca="false">IF($AE53="","",IF($AE53&lt;=1200,"01水果册","02物料册"))</f>
        <v/>
      </c>
      <c r="I53" s="47" t="str">
        <f aca="false"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44" t="str">
        <f aca="false">IFERROR(MATCH(48,_自动清单!$W$4:$W$2403,0),"")</f>
        <v/>
      </c>
    </row>
    <row r="54" customFormat="false" ht="18" hidden="false" customHeight="true" outlineLevel="0" collapsed="false">
      <c r="A54" s="40" t="str">
        <f aca="false"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42" t="str">
        <f aca="false"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C54" s="41" t="str">
        <f aca="false"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D54" s="43" t="str">
        <f aca="false">IF($AE54="","",IF($AE54&lt;=1200,IF(INDEX(对接源_01水果!$V$4:$V$1203,$AE54)=0,"",INDEX(对接源_01水果!$V$4:$V$1203,$AE54)),IF(INDEX(对接源_02物料!$V$4:$V$1203,$AE54-1200)=0,"",INDEX(对接源_02物料!$V$4:$V$1203,$AE54-1200))))</f>
        <v/>
      </c>
      <c r="E54" s="42" t="str">
        <f aca="false"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F54" s="41" t="str">
        <f aca="false"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G54" s="42" t="str">
        <f aca="false">IF($AE54="","",IF($AE54&lt;=1200,IF(INDEX(对接源_01水果!$D$4:$D$1203,$AE54)=0,"",INDEX(对接源_01水果!$D$4:$D$1203,$AE54)),IF(INDEX(对接源_02物料!$D$4:$D$1203,$AE54-1200)=0,"",INDEX(对接源_02物料!$D$4:$D$1203,$AE54-1200))))</f>
        <v/>
      </c>
      <c r="H54" s="41" t="str">
        <f aca="false">IF($AE54="","",IF($AE54&lt;=1200,"01水果册","02物料册"))</f>
        <v/>
      </c>
      <c r="I54" s="42" t="str">
        <f aca="false"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44" t="str">
        <f aca="false">IFERROR(MATCH(49,_自动清单!$W$4:$W$2403,0),"")</f>
        <v/>
      </c>
    </row>
    <row r="55" customFormat="false" ht="18" hidden="false" customHeight="true" outlineLevel="0" collapsed="false">
      <c r="A55" s="45" t="str">
        <f aca="false"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47" t="str">
        <f aca="false"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C55" s="46" t="str">
        <f aca="false"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D55" s="48" t="str">
        <f aca="false">IF($AE55="","",IF($AE55&lt;=1200,IF(INDEX(对接源_01水果!$V$4:$V$1203,$AE55)=0,"",INDEX(对接源_01水果!$V$4:$V$1203,$AE55)),IF(INDEX(对接源_02物料!$V$4:$V$1203,$AE55-1200)=0,"",INDEX(对接源_02物料!$V$4:$V$1203,$AE55-1200))))</f>
        <v/>
      </c>
      <c r="E55" s="47" t="str">
        <f aca="false"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F55" s="46" t="str">
        <f aca="false"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G55" s="47" t="str">
        <f aca="false">IF($AE55="","",IF($AE55&lt;=1200,IF(INDEX(对接源_01水果!$D$4:$D$1203,$AE55)=0,"",INDEX(对接源_01水果!$D$4:$D$1203,$AE55)),IF(INDEX(对接源_02物料!$D$4:$D$1203,$AE55-1200)=0,"",INDEX(对接源_02物料!$D$4:$D$1203,$AE55-1200))))</f>
        <v/>
      </c>
      <c r="H55" s="46" t="str">
        <f aca="false">IF($AE55="","",IF($AE55&lt;=1200,"01水果册","02物料册"))</f>
        <v/>
      </c>
      <c r="I55" s="47" t="str">
        <f aca="false"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44" t="str">
        <f aca="false">IFERROR(MATCH(50,_自动清单!$W$4:$W$2403,0),"")</f>
        <v/>
      </c>
    </row>
    <row r="56" customFormat="false" ht="18" hidden="false" customHeight="true" outlineLevel="0" collapsed="false">
      <c r="A56" s="40" t="str">
        <f aca="false"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42" t="str">
        <f aca="false"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C56" s="41" t="str">
        <f aca="false"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D56" s="43" t="str">
        <f aca="false">IF($AE56="","",IF($AE56&lt;=1200,IF(INDEX(对接源_01水果!$V$4:$V$1203,$AE56)=0,"",INDEX(对接源_01水果!$V$4:$V$1203,$AE56)),IF(INDEX(对接源_02物料!$V$4:$V$1203,$AE56-1200)=0,"",INDEX(对接源_02物料!$V$4:$V$1203,$AE56-1200))))</f>
        <v/>
      </c>
      <c r="E56" s="42" t="str">
        <f aca="false"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F56" s="41" t="str">
        <f aca="false"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G56" s="42" t="str">
        <f aca="false">IF($AE56="","",IF($AE56&lt;=1200,IF(INDEX(对接源_01水果!$D$4:$D$1203,$AE56)=0,"",INDEX(对接源_01水果!$D$4:$D$1203,$AE56)),IF(INDEX(对接源_02物料!$D$4:$D$1203,$AE56-1200)=0,"",INDEX(对接源_02物料!$D$4:$D$1203,$AE56-1200))))</f>
        <v/>
      </c>
      <c r="H56" s="41" t="str">
        <f aca="false">IF($AE56="","",IF($AE56&lt;=1200,"01水果册","02物料册"))</f>
        <v/>
      </c>
      <c r="I56" s="42" t="str">
        <f aca="false"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44" t="str">
        <f aca="false">IFERROR(MATCH(51,_自动清单!$W$4:$W$2403,0),"")</f>
        <v/>
      </c>
    </row>
    <row r="57" customFormat="false" ht="18" hidden="false" customHeight="true" outlineLevel="0" collapsed="false">
      <c r="A57" s="45" t="str">
        <f aca="false"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47" t="str">
        <f aca="false"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C57" s="46" t="str">
        <f aca="false"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D57" s="48" t="str">
        <f aca="false">IF($AE57="","",IF($AE57&lt;=1200,IF(INDEX(对接源_01水果!$V$4:$V$1203,$AE57)=0,"",INDEX(对接源_01水果!$V$4:$V$1203,$AE57)),IF(INDEX(对接源_02物料!$V$4:$V$1203,$AE57-1200)=0,"",INDEX(对接源_02物料!$V$4:$V$1203,$AE57-1200))))</f>
        <v/>
      </c>
      <c r="E57" s="47" t="str">
        <f aca="false"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F57" s="46" t="str">
        <f aca="false"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G57" s="47" t="str">
        <f aca="false">IF($AE57="","",IF($AE57&lt;=1200,IF(INDEX(对接源_01水果!$D$4:$D$1203,$AE57)=0,"",INDEX(对接源_01水果!$D$4:$D$1203,$AE57)),IF(INDEX(对接源_02物料!$D$4:$D$1203,$AE57-1200)=0,"",INDEX(对接源_02物料!$D$4:$D$1203,$AE57-1200))))</f>
        <v/>
      </c>
      <c r="H57" s="46" t="str">
        <f aca="false">IF($AE57="","",IF($AE57&lt;=1200,"01水果册","02物料册"))</f>
        <v/>
      </c>
      <c r="I57" s="47" t="str">
        <f aca="false"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44" t="str">
        <f aca="false">IFERROR(MATCH(52,_自动清单!$W$4:$W$2403,0),"")</f>
        <v/>
      </c>
    </row>
    <row r="58" customFormat="false" ht="18" hidden="false" customHeight="true" outlineLevel="0" collapsed="false">
      <c r="A58" s="40" t="str">
        <f aca="false"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42" t="str">
        <f aca="false"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C58" s="41" t="str">
        <f aca="false"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D58" s="43" t="str">
        <f aca="false">IF($AE58="","",IF($AE58&lt;=1200,IF(INDEX(对接源_01水果!$V$4:$V$1203,$AE58)=0,"",INDEX(对接源_01水果!$V$4:$V$1203,$AE58)),IF(INDEX(对接源_02物料!$V$4:$V$1203,$AE58-1200)=0,"",INDEX(对接源_02物料!$V$4:$V$1203,$AE58-1200))))</f>
        <v/>
      </c>
      <c r="E58" s="42" t="str">
        <f aca="false"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F58" s="41" t="str">
        <f aca="false"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G58" s="42" t="str">
        <f aca="false">IF($AE58="","",IF($AE58&lt;=1200,IF(INDEX(对接源_01水果!$D$4:$D$1203,$AE58)=0,"",INDEX(对接源_01水果!$D$4:$D$1203,$AE58)),IF(INDEX(对接源_02物料!$D$4:$D$1203,$AE58-1200)=0,"",INDEX(对接源_02物料!$D$4:$D$1203,$AE58-1200))))</f>
        <v/>
      </c>
      <c r="H58" s="41" t="str">
        <f aca="false">IF($AE58="","",IF($AE58&lt;=1200,"01水果册","02物料册"))</f>
        <v/>
      </c>
      <c r="I58" s="42" t="str">
        <f aca="false"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44" t="str">
        <f aca="false">IFERROR(MATCH(53,_自动清单!$W$4:$W$2403,0),"")</f>
        <v/>
      </c>
    </row>
    <row r="59" customFormat="false" ht="18" hidden="false" customHeight="true" outlineLevel="0" collapsed="false">
      <c r="A59" s="45" t="str">
        <f aca="false"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47" t="str">
        <f aca="false"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C59" s="46" t="str">
        <f aca="false"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D59" s="48" t="str">
        <f aca="false">IF($AE59="","",IF($AE59&lt;=1200,IF(INDEX(对接源_01水果!$V$4:$V$1203,$AE59)=0,"",INDEX(对接源_01水果!$V$4:$V$1203,$AE59)),IF(INDEX(对接源_02物料!$V$4:$V$1203,$AE59-1200)=0,"",INDEX(对接源_02物料!$V$4:$V$1203,$AE59-1200))))</f>
        <v/>
      </c>
      <c r="E59" s="47" t="str">
        <f aca="false"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F59" s="46" t="str">
        <f aca="false"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G59" s="47" t="str">
        <f aca="false">IF($AE59="","",IF($AE59&lt;=1200,IF(INDEX(对接源_01水果!$D$4:$D$1203,$AE59)=0,"",INDEX(对接源_01水果!$D$4:$D$1203,$AE59)),IF(INDEX(对接源_02物料!$D$4:$D$1203,$AE59-1200)=0,"",INDEX(对接源_02物料!$D$4:$D$1203,$AE59-1200))))</f>
        <v/>
      </c>
      <c r="H59" s="46" t="str">
        <f aca="false">IF($AE59="","",IF($AE59&lt;=1200,"01水果册","02物料册"))</f>
        <v/>
      </c>
      <c r="I59" s="47" t="str">
        <f aca="false"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44" t="str">
        <f aca="false">IFERROR(MATCH(54,_自动清单!$W$4:$W$2403,0),"")</f>
        <v/>
      </c>
    </row>
    <row r="60" customFormat="false" ht="18" hidden="false" customHeight="true" outlineLevel="0" collapsed="false">
      <c r="A60" s="40" t="str">
        <f aca="false"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42" t="str">
        <f aca="false"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C60" s="41" t="str">
        <f aca="false"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D60" s="43" t="str">
        <f aca="false">IF($AE60="","",IF($AE60&lt;=1200,IF(INDEX(对接源_01水果!$V$4:$V$1203,$AE60)=0,"",INDEX(对接源_01水果!$V$4:$V$1203,$AE60)),IF(INDEX(对接源_02物料!$V$4:$V$1203,$AE60-1200)=0,"",INDEX(对接源_02物料!$V$4:$V$1203,$AE60-1200))))</f>
        <v/>
      </c>
      <c r="E60" s="42" t="str">
        <f aca="false"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F60" s="41" t="str">
        <f aca="false"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G60" s="42" t="str">
        <f aca="false">IF($AE60="","",IF($AE60&lt;=1200,IF(INDEX(对接源_01水果!$D$4:$D$1203,$AE60)=0,"",INDEX(对接源_01水果!$D$4:$D$1203,$AE60)),IF(INDEX(对接源_02物料!$D$4:$D$1203,$AE60-1200)=0,"",INDEX(对接源_02物料!$D$4:$D$1203,$AE60-1200))))</f>
        <v/>
      </c>
      <c r="H60" s="41" t="str">
        <f aca="false">IF($AE60="","",IF($AE60&lt;=1200,"01水果册","02物料册"))</f>
        <v/>
      </c>
      <c r="I60" s="42" t="str">
        <f aca="false"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44" t="str">
        <f aca="false">IFERROR(MATCH(55,_自动清单!$W$4:$W$2403,0),"")</f>
        <v/>
      </c>
    </row>
    <row r="61" customFormat="false" ht="18" hidden="false" customHeight="true" outlineLevel="0" collapsed="false">
      <c r="A61" s="45" t="str">
        <f aca="false"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47" t="str">
        <f aca="false"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C61" s="46" t="str">
        <f aca="false"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D61" s="48" t="str">
        <f aca="false">IF($AE61="","",IF($AE61&lt;=1200,IF(INDEX(对接源_01水果!$V$4:$V$1203,$AE61)=0,"",INDEX(对接源_01水果!$V$4:$V$1203,$AE61)),IF(INDEX(对接源_02物料!$V$4:$V$1203,$AE61-1200)=0,"",INDEX(对接源_02物料!$V$4:$V$1203,$AE61-1200))))</f>
        <v/>
      </c>
      <c r="E61" s="47" t="str">
        <f aca="false"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F61" s="46" t="str">
        <f aca="false"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G61" s="47" t="str">
        <f aca="false">IF($AE61="","",IF($AE61&lt;=1200,IF(INDEX(对接源_01水果!$D$4:$D$1203,$AE61)=0,"",INDEX(对接源_01水果!$D$4:$D$1203,$AE61)),IF(INDEX(对接源_02物料!$D$4:$D$1203,$AE61-1200)=0,"",INDEX(对接源_02物料!$D$4:$D$1203,$AE61-1200))))</f>
        <v/>
      </c>
      <c r="H61" s="46" t="str">
        <f aca="false">IF($AE61="","",IF($AE61&lt;=1200,"01水果册","02物料册"))</f>
        <v/>
      </c>
      <c r="I61" s="47" t="str">
        <f aca="false"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44" t="str">
        <f aca="false">IFERROR(MATCH(56,_自动清单!$W$4:$W$2403,0),"")</f>
        <v/>
      </c>
    </row>
    <row r="62" customFormat="false" ht="18" hidden="false" customHeight="true" outlineLevel="0" collapsed="false">
      <c r="A62" s="40" t="str">
        <f aca="false"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42" t="str">
        <f aca="false"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C62" s="41" t="str">
        <f aca="false"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D62" s="43" t="str">
        <f aca="false">IF($AE62="","",IF($AE62&lt;=1200,IF(INDEX(对接源_01水果!$V$4:$V$1203,$AE62)=0,"",INDEX(对接源_01水果!$V$4:$V$1203,$AE62)),IF(INDEX(对接源_02物料!$V$4:$V$1203,$AE62-1200)=0,"",INDEX(对接源_02物料!$V$4:$V$1203,$AE62-1200))))</f>
        <v/>
      </c>
      <c r="E62" s="42" t="str">
        <f aca="false"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F62" s="41" t="str">
        <f aca="false"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G62" s="42" t="str">
        <f aca="false">IF($AE62="","",IF($AE62&lt;=1200,IF(INDEX(对接源_01水果!$D$4:$D$1203,$AE62)=0,"",INDEX(对接源_01水果!$D$4:$D$1203,$AE62)),IF(INDEX(对接源_02物料!$D$4:$D$1203,$AE62-1200)=0,"",INDEX(对接源_02物料!$D$4:$D$1203,$AE62-1200))))</f>
        <v/>
      </c>
      <c r="H62" s="41" t="str">
        <f aca="false">IF($AE62="","",IF($AE62&lt;=1200,"01水果册","02物料册"))</f>
        <v/>
      </c>
      <c r="I62" s="42" t="str">
        <f aca="false"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44" t="str">
        <f aca="false">IFERROR(MATCH(57,_自动清单!$W$4:$W$2403,0),"")</f>
        <v/>
      </c>
    </row>
    <row r="63" customFormat="false" ht="18" hidden="false" customHeight="true" outlineLevel="0" collapsed="false">
      <c r="A63" s="45" t="str">
        <f aca="false"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47" t="str">
        <f aca="false"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C63" s="46" t="str">
        <f aca="false"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D63" s="48" t="str">
        <f aca="false">IF($AE63="","",IF($AE63&lt;=1200,IF(INDEX(对接源_01水果!$V$4:$V$1203,$AE63)=0,"",INDEX(对接源_01水果!$V$4:$V$1203,$AE63)),IF(INDEX(对接源_02物料!$V$4:$V$1203,$AE63-1200)=0,"",INDEX(对接源_02物料!$V$4:$V$1203,$AE63-1200))))</f>
        <v/>
      </c>
      <c r="E63" s="47" t="str">
        <f aca="false"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F63" s="46" t="str">
        <f aca="false"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G63" s="47" t="str">
        <f aca="false">IF($AE63="","",IF($AE63&lt;=1200,IF(INDEX(对接源_01水果!$D$4:$D$1203,$AE63)=0,"",INDEX(对接源_01水果!$D$4:$D$1203,$AE63)),IF(INDEX(对接源_02物料!$D$4:$D$1203,$AE63-1200)=0,"",INDEX(对接源_02物料!$D$4:$D$1203,$AE63-1200))))</f>
        <v/>
      </c>
      <c r="H63" s="46" t="str">
        <f aca="false">IF($AE63="","",IF($AE63&lt;=1200,"01水果册","02物料册"))</f>
        <v/>
      </c>
      <c r="I63" s="47" t="str">
        <f aca="false"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44" t="str">
        <f aca="false">IFERROR(MATCH(58,_自动清单!$W$4:$W$2403,0),"")</f>
        <v/>
      </c>
    </row>
    <row r="64" customFormat="false" ht="18" hidden="false" customHeight="true" outlineLevel="0" collapsed="false">
      <c r="A64" s="40" t="str">
        <f aca="false"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42" t="str">
        <f aca="false"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C64" s="41" t="str">
        <f aca="false"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D64" s="43" t="str">
        <f aca="false">IF($AE64="","",IF($AE64&lt;=1200,IF(INDEX(对接源_01水果!$V$4:$V$1203,$AE64)=0,"",INDEX(对接源_01水果!$V$4:$V$1203,$AE64)),IF(INDEX(对接源_02物料!$V$4:$V$1203,$AE64-1200)=0,"",INDEX(对接源_02物料!$V$4:$V$1203,$AE64-1200))))</f>
        <v/>
      </c>
      <c r="E64" s="42" t="str">
        <f aca="false"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F64" s="41" t="str">
        <f aca="false"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G64" s="42" t="str">
        <f aca="false">IF($AE64="","",IF($AE64&lt;=1200,IF(INDEX(对接源_01水果!$D$4:$D$1203,$AE64)=0,"",INDEX(对接源_01水果!$D$4:$D$1203,$AE64)),IF(INDEX(对接源_02物料!$D$4:$D$1203,$AE64-1200)=0,"",INDEX(对接源_02物料!$D$4:$D$1203,$AE64-1200))))</f>
        <v/>
      </c>
      <c r="H64" s="41" t="str">
        <f aca="false">IF($AE64="","",IF($AE64&lt;=1200,"01水果册","02物料册"))</f>
        <v/>
      </c>
      <c r="I64" s="42" t="str">
        <f aca="false"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44" t="str">
        <f aca="false">IFERROR(MATCH(59,_自动清单!$W$4:$W$2403,0),"")</f>
        <v/>
      </c>
    </row>
    <row r="65" customFormat="false" ht="18" hidden="false" customHeight="true" outlineLevel="0" collapsed="false">
      <c r="A65" s="45" t="str">
        <f aca="false"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47" t="str">
        <f aca="false"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C65" s="46" t="str">
        <f aca="false"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D65" s="48" t="str">
        <f aca="false">IF($AE65="","",IF($AE65&lt;=1200,IF(INDEX(对接源_01水果!$V$4:$V$1203,$AE65)=0,"",INDEX(对接源_01水果!$V$4:$V$1203,$AE65)),IF(INDEX(对接源_02物料!$V$4:$V$1203,$AE65-1200)=0,"",INDEX(对接源_02物料!$V$4:$V$1203,$AE65-1200))))</f>
        <v/>
      </c>
      <c r="E65" s="47" t="str">
        <f aca="false"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F65" s="46" t="str">
        <f aca="false"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G65" s="47" t="str">
        <f aca="false">IF($AE65="","",IF($AE65&lt;=1200,IF(INDEX(对接源_01水果!$D$4:$D$1203,$AE65)=0,"",INDEX(对接源_01水果!$D$4:$D$1203,$AE65)),IF(INDEX(对接源_02物料!$D$4:$D$1203,$AE65-1200)=0,"",INDEX(对接源_02物料!$D$4:$D$1203,$AE65-1200))))</f>
        <v/>
      </c>
      <c r="H65" s="46" t="str">
        <f aca="false">IF($AE65="","",IF($AE65&lt;=1200,"01水果册","02物料册"))</f>
        <v/>
      </c>
      <c r="I65" s="47" t="str">
        <f aca="false"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44" t="str">
        <f aca="false">IFERROR(MATCH(60,_自动清单!$W$4:$W$2403,0),"")</f>
        <v/>
      </c>
    </row>
    <row r="66" customFormat="false" ht="18" hidden="false" customHeight="true" outlineLevel="0" collapsed="false">
      <c r="A66" s="40" t="str">
        <f aca="false"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42" t="str">
        <f aca="false"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C66" s="41" t="str">
        <f aca="false"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D66" s="43" t="str">
        <f aca="false">IF($AE66="","",IF($AE66&lt;=1200,IF(INDEX(对接源_01水果!$V$4:$V$1203,$AE66)=0,"",INDEX(对接源_01水果!$V$4:$V$1203,$AE66)),IF(INDEX(对接源_02物料!$V$4:$V$1203,$AE66-1200)=0,"",INDEX(对接源_02物料!$V$4:$V$1203,$AE66-1200))))</f>
        <v/>
      </c>
      <c r="E66" s="42" t="str">
        <f aca="false"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F66" s="41" t="str">
        <f aca="false"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G66" s="42" t="str">
        <f aca="false">IF($AE66="","",IF($AE66&lt;=1200,IF(INDEX(对接源_01水果!$D$4:$D$1203,$AE66)=0,"",INDEX(对接源_01水果!$D$4:$D$1203,$AE66)),IF(INDEX(对接源_02物料!$D$4:$D$1203,$AE66-1200)=0,"",INDEX(对接源_02物料!$D$4:$D$1203,$AE66-1200))))</f>
        <v/>
      </c>
      <c r="H66" s="41" t="str">
        <f aca="false">IF($AE66="","",IF($AE66&lt;=1200,"01水果册","02物料册"))</f>
        <v/>
      </c>
      <c r="I66" s="42" t="str">
        <f aca="false"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44" t="str">
        <f aca="false">IFERROR(MATCH(61,_自动清单!$W$4:$W$2403,0),"")</f>
        <v/>
      </c>
    </row>
    <row r="67" customFormat="false" ht="18" hidden="false" customHeight="true" outlineLevel="0" collapsed="false">
      <c r="A67" s="45" t="str">
        <f aca="false"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47" t="str">
        <f aca="false"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C67" s="46" t="str">
        <f aca="false"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D67" s="48" t="str">
        <f aca="false">IF($AE67="","",IF($AE67&lt;=1200,IF(INDEX(对接源_01水果!$V$4:$V$1203,$AE67)=0,"",INDEX(对接源_01水果!$V$4:$V$1203,$AE67)),IF(INDEX(对接源_02物料!$V$4:$V$1203,$AE67-1200)=0,"",INDEX(对接源_02物料!$V$4:$V$1203,$AE67-1200))))</f>
        <v/>
      </c>
      <c r="E67" s="47" t="str">
        <f aca="false"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F67" s="46" t="str">
        <f aca="false"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G67" s="47" t="str">
        <f aca="false">IF($AE67="","",IF($AE67&lt;=1200,IF(INDEX(对接源_01水果!$D$4:$D$1203,$AE67)=0,"",INDEX(对接源_01水果!$D$4:$D$1203,$AE67)),IF(INDEX(对接源_02物料!$D$4:$D$1203,$AE67-1200)=0,"",INDEX(对接源_02物料!$D$4:$D$1203,$AE67-1200))))</f>
        <v/>
      </c>
      <c r="H67" s="46" t="str">
        <f aca="false">IF($AE67="","",IF($AE67&lt;=1200,"01水果册","02物料册"))</f>
        <v/>
      </c>
      <c r="I67" s="47" t="str">
        <f aca="false"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44" t="str">
        <f aca="false">IFERROR(MATCH(62,_自动清单!$W$4:$W$2403,0),"")</f>
        <v/>
      </c>
    </row>
    <row r="68" customFormat="false" ht="18" hidden="false" customHeight="true" outlineLevel="0" collapsed="false">
      <c r="A68" s="40" t="str">
        <f aca="false"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42" t="str">
        <f aca="false"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C68" s="41" t="str">
        <f aca="false"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D68" s="43" t="str">
        <f aca="false">IF($AE68="","",IF($AE68&lt;=1200,IF(INDEX(对接源_01水果!$V$4:$V$1203,$AE68)=0,"",INDEX(对接源_01水果!$V$4:$V$1203,$AE68)),IF(INDEX(对接源_02物料!$V$4:$V$1203,$AE68-1200)=0,"",INDEX(对接源_02物料!$V$4:$V$1203,$AE68-1200))))</f>
        <v/>
      </c>
      <c r="E68" s="42" t="str">
        <f aca="false"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F68" s="41" t="str">
        <f aca="false"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G68" s="42" t="str">
        <f aca="false">IF($AE68="","",IF($AE68&lt;=1200,IF(INDEX(对接源_01水果!$D$4:$D$1203,$AE68)=0,"",INDEX(对接源_01水果!$D$4:$D$1203,$AE68)),IF(INDEX(对接源_02物料!$D$4:$D$1203,$AE68-1200)=0,"",INDEX(对接源_02物料!$D$4:$D$1203,$AE68-1200))))</f>
        <v/>
      </c>
      <c r="H68" s="41" t="str">
        <f aca="false">IF($AE68="","",IF($AE68&lt;=1200,"01水果册","02物料册"))</f>
        <v/>
      </c>
      <c r="I68" s="42" t="str">
        <f aca="false"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44" t="str">
        <f aca="false">IFERROR(MATCH(63,_自动清单!$W$4:$W$2403,0),"")</f>
        <v/>
      </c>
    </row>
    <row r="69" customFormat="false" ht="18" hidden="false" customHeight="true" outlineLevel="0" collapsed="false">
      <c r="A69" s="45" t="str">
        <f aca="false"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47" t="str">
        <f aca="false"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C69" s="46" t="str">
        <f aca="false"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D69" s="48" t="str">
        <f aca="false">IF($AE69="","",IF($AE69&lt;=1200,IF(INDEX(对接源_01水果!$V$4:$V$1203,$AE69)=0,"",INDEX(对接源_01水果!$V$4:$V$1203,$AE69)),IF(INDEX(对接源_02物料!$V$4:$V$1203,$AE69-1200)=0,"",INDEX(对接源_02物料!$V$4:$V$1203,$AE69-1200))))</f>
        <v/>
      </c>
      <c r="E69" s="47" t="str">
        <f aca="false"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F69" s="46" t="str">
        <f aca="false"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G69" s="47" t="str">
        <f aca="false">IF($AE69="","",IF($AE69&lt;=1200,IF(INDEX(对接源_01水果!$D$4:$D$1203,$AE69)=0,"",INDEX(对接源_01水果!$D$4:$D$1203,$AE69)),IF(INDEX(对接源_02物料!$D$4:$D$1203,$AE69-1200)=0,"",INDEX(对接源_02物料!$D$4:$D$1203,$AE69-1200))))</f>
        <v/>
      </c>
      <c r="H69" s="46" t="str">
        <f aca="false">IF($AE69="","",IF($AE69&lt;=1200,"01水果册","02物料册"))</f>
        <v/>
      </c>
      <c r="I69" s="47" t="str">
        <f aca="false"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44" t="str">
        <f aca="false">IFERROR(MATCH(64,_自动清单!$W$4:$W$2403,0),"")</f>
        <v/>
      </c>
    </row>
    <row r="70" customFormat="false" ht="18" hidden="false" customHeight="true" outlineLevel="0" collapsed="false">
      <c r="A70" s="40" t="str">
        <f aca="false"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42" t="str">
        <f aca="false"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C70" s="41" t="str">
        <f aca="false"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D70" s="43" t="str">
        <f aca="false">IF($AE70="","",IF($AE70&lt;=1200,IF(INDEX(对接源_01水果!$V$4:$V$1203,$AE70)=0,"",INDEX(对接源_01水果!$V$4:$V$1203,$AE70)),IF(INDEX(对接源_02物料!$V$4:$V$1203,$AE70-1200)=0,"",INDEX(对接源_02物料!$V$4:$V$1203,$AE70-1200))))</f>
        <v/>
      </c>
      <c r="E70" s="42" t="str">
        <f aca="false"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F70" s="41" t="str">
        <f aca="false"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G70" s="42" t="str">
        <f aca="false">IF($AE70="","",IF($AE70&lt;=1200,IF(INDEX(对接源_01水果!$D$4:$D$1203,$AE70)=0,"",INDEX(对接源_01水果!$D$4:$D$1203,$AE70)),IF(INDEX(对接源_02物料!$D$4:$D$1203,$AE70-1200)=0,"",INDEX(对接源_02物料!$D$4:$D$1203,$AE70-1200))))</f>
        <v/>
      </c>
      <c r="H70" s="41" t="str">
        <f aca="false">IF($AE70="","",IF($AE70&lt;=1200,"01水果册","02物料册"))</f>
        <v/>
      </c>
      <c r="I70" s="42" t="str">
        <f aca="false"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44" t="str">
        <f aca="false">IFERROR(MATCH(65,_自动清单!$W$4:$W$2403,0),"")</f>
        <v/>
      </c>
    </row>
    <row r="71" customFormat="false" ht="18" hidden="false" customHeight="true" outlineLevel="0" collapsed="false">
      <c r="A71" s="45" t="str">
        <f aca="false"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47" t="str">
        <f aca="false"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C71" s="46" t="str">
        <f aca="false"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D71" s="48" t="str">
        <f aca="false">IF($AE71="","",IF($AE71&lt;=1200,IF(INDEX(对接源_01水果!$V$4:$V$1203,$AE71)=0,"",INDEX(对接源_01水果!$V$4:$V$1203,$AE71)),IF(INDEX(对接源_02物料!$V$4:$V$1203,$AE71-1200)=0,"",INDEX(对接源_02物料!$V$4:$V$1203,$AE71-1200))))</f>
        <v/>
      </c>
      <c r="E71" s="47" t="str">
        <f aca="false"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F71" s="46" t="str">
        <f aca="false"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G71" s="47" t="str">
        <f aca="false">IF($AE71="","",IF($AE71&lt;=1200,IF(INDEX(对接源_01水果!$D$4:$D$1203,$AE71)=0,"",INDEX(对接源_01水果!$D$4:$D$1203,$AE71)),IF(INDEX(对接源_02物料!$D$4:$D$1203,$AE71-1200)=0,"",INDEX(对接源_02物料!$D$4:$D$1203,$AE71-1200))))</f>
        <v/>
      </c>
      <c r="H71" s="46" t="str">
        <f aca="false">IF($AE71="","",IF($AE71&lt;=1200,"01水果册","02物料册"))</f>
        <v/>
      </c>
      <c r="I71" s="47" t="str">
        <f aca="false"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44" t="str">
        <f aca="false">IFERROR(MATCH(66,_自动清单!$W$4:$W$2403,0),"")</f>
        <v/>
      </c>
    </row>
    <row r="72" customFormat="false" ht="18" hidden="false" customHeight="true" outlineLevel="0" collapsed="false">
      <c r="A72" s="40" t="str">
        <f aca="false"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42" t="str">
        <f aca="false"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C72" s="41" t="str">
        <f aca="false"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D72" s="43" t="str">
        <f aca="false">IF($AE72="","",IF($AE72&lt;=1200,IF(INDEX(对接源_01水果!$V$4:$V$1203,$AE72)=0,"",INDEX(对接源_01水果!$V$4:$V$1203,$AE72)),IF(INDEX(对接源_02物料!$V$4:$V$1203,$AE72-1200)=0,"",INDEX(对接源_02物料!$V$4:$V$1203,$AE72-1200))))</f>
        <v/>
      </c>
      <c r="E72" s="42" t="str">
        <f aca="false"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F72" s="41" t="str">
        <f aca="false"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G72" s="42" t="str">
        <f aca="false">IF($AE72="","",IF($AE72&lt;=1200,IF(INDEX(对接源_01水果!$D$4:$D$1203,$AE72)=0,"",INDEX(对接源_01水果!$D$4:$D$1203,$AE72)),IF(INDEX(对接源_02物料!$D$4:$D$1203,$AE72-1200)=0,"",INDEX(对接源_02物料!$D$4:$D$1203,$AE72-1200))))</f>
        <v/>
      </c>
      <c r="H72" s="41" t="str">
        <f aca="false">IF($AE72="","",IF($AE72&lt;=1200,"01水果册","02物料册"))</f>
        <v/>
      </c>
      <c r="I72" s="42" t="str">
        <f aca="false"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44" t="str">
        <f aca="false">IFERROR(MATCH(67,_自动清单!$W$4:$W$2403,0),"")</f>
        <v/>
      </c>
    </row>
    <row r="73" customFormat="false" ht="18" hidden="false" customHeight="true" outlineLevel="0" collapsed="false">
      <c r="A73" s="45" t="str">
        <f aca="false"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47" t="str">
        <f aca="false"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C73" s="46" t="str">
        <f aca="false"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D73" s="48" t="str">
        <f aca="false">IF($AE73="","",IF($AE73&lt;=1200,IF(INDEX(对接源_01水果!$V$4:$V$1203,$AE73)=0,"",INDEX(对接源_01水果!$V$4:$V$1203,$AE73)),IF(INDEX(对接源_02物料!$V$4:$V$1203,$AE73-1200)=0,"",INDEX(对接源_02物料!$V$4:$V$1203,$AE73-1200))))</f>
        <v/>
      </c>
      <c r="E73" s="47" t="str">
        <f aca="false"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F73" s="46" t="str">
        <f aca="false"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G73" s="47" t="str">
        <f aca="false">IF($AE73="","",IF($AE73&lt;=1200,IF(INDEX(对接源_01水果!$D$4:$D$1203,$AE73)=0,"",INDEX(对接源_01水果!$D$4:$D$1203,$AE73)),IF(INDEX(对接源_02物料!$D$4:$D$1203,$AE73-1200)=0,"",INDEX(对接源_02物料!$D$4:$D$1203,$AE73-1200))))</f>
        <v/>
      </c>
      <c r="H73" s="46" t="str">
        <f aca="false">IF($AE73="","",IF($AE73&lt;=1200,"01水果册","02物料册"))</f>
        <v/>
      </c>
      <c r="I73" s="47" t="str">
        <f aca="false"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44" t="str">
        <f aca="false">IFERROR(MATCH(68,_自动清单!$W$4:$W$2403,0),"")</f>
        <v/>
      </c>
    </row>
    <row r="74" customFormat="false" ht="18" hidden="false" customHeight="true" outlineLevel="0" collapsed="false">
      <c r="A74" s="40" t="str">
        <f aca="false"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42" t="str">
        <f aca="false"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C74" s="41" t="str">
        <f aca="false"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D74" s="43" t="str">
        <f aca="false">IF($AE74="","",IF($AE74&lt;=1200,IF(INDEX(对接源_01水果!$V$4:$V$1203,$AE74)=0,"",INDEX(对接源_01水果!$V$4:$V$1203,$AE74)),IF(INDEX(对接源_02物料!$V$4:$V$1203,$AE74-1200)=0,"",INDEX(对接源_02物料!$V$4:$V$1203,$AE74-1200))))</f>
        <v/>
      </c>
      <c r="E74" s="42" t="str">
        <f aca="false"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F74" s="41" t="str">
        <f aca="false"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G74" s="42" t="str">
        <f aca="false">IF($AE74="","",IF($AE74&lt;=1200,IF(INDEX(对接源_01水果!$D$4:$D$1203,$AE74)=0,"",INDEX(对接源_01水果!$D$4:$D$1203,$AE74)),IF(INDEX(对接源_02物料!$D$4:$D$1203,$AE74-1200)=0,"",INDEX(对接源_02物料!$D$4:$D$1203,$AE74-1200))))</f>
        <v/>
      </c>
      <c r="H74" s="41" t="str">
        <f aca="false">IF($AE74="","",IF($AE74&lt;=1200,"01水果册","02物料册"))</f>
        <v/>
      </c>
      <c r="I74" s="42" t="str">
        <f aca="false"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44" t="str">
        <f aca="false">IFERROR(MATCH(69,_自动清单!$W$4:$W$2403,0),"")</f>
        <v/>
      </c>
    </row>
    <row r="75" customFormat="false" ht="18" hidden="false" customHeight="true" outlineLevel="0" collapsed="false">
      <c r="A75" s="45" t="str">
        <f aca="false"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47" t="str">
        <f aca="false"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C75" s="46" t="str">
        <f aca="false"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D75" s="48" t="str">
        <f aca="false">IF($AE75="","",IF($AE75&lt;=1200,IF(INDEX(对接源_01水果!$V$4:$V$1203,$AE75)=0,"",INDEX(对接源_01水果!$V$4:$V$1203,$AE75)),IF(INDEX(对接源_02物料!$V$4:$V$1203,$AE75-1200)=0,"",INDEX(对接源_02物料!$V$4:$V$1203,$AE75-1200))))</f>
        <v/>
      </c>
      <c r="E75" s="47" t="str">
        <f aca="false"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F75" s="46" t="str">
        <f aca="false"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G75" s="47" t="str">
        <f aca="false">IF($AE75="","",IF($AE75&lt;=1200,IF(INDEX(对接源_01水果!$D$4:$D$1203,$AE75)=0,"",INDEX(对接源_01水果!$D$4:$D$1203,$AE75)),IF(INDEX(对接源_02物料!$D$4:$D$1203,$AE75-1200)=0,"",INDEX(对接源_02物料!$D$4:$D$1203,$AE75-1200))))</f>
        <v/>
      </c>
      <c r="H75" s="46" t="str">
        <f aca="false">IF($AE75="","",IF($AE75&lt;=1200,"01水果册","02物料册"))</f>
        <v/>
      </c>
      <c r="I75" s="47" t="str">
        <f aca="false"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44" t="str">
        <f aca="false">IFERROR(MATCH(70,_自动清单!$W$4:$W$2403,0),"")</f>
        <v/>
      </c>
    </row>
    <row r="76" customFormat="false" ht="18" hidden="false" customHeight="true" outlineLevel="0" collapsed="false">
      <c r="A76" s="40" t="str">
        <f aca="false"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42" t="str">
        <f aca="false"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C76" s="41" t="str">
        <f aca="false"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D76" s="43" t="str">
        <f aca="false">IF($AE76="","",IF($AE76&lt;=1200,IF(INDEX(对接源_01水果!$V$4:$V$1203,$AE76)=0,"",INDEX(对接源_01水果!$V$4:$V$1203,$AE76)),IF(INDEX(对接源_02物料!$V$4:$V$1203,$AE76-1200)=0,"",INDEX(对接源_02物料!$V$4:$V$1203,$AE76-1200))))</f>
        <v/>
      </c>
      <c r="E76" s="42" t="str">
        <f aca="false"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F76" s="41" t="str">
        <f aca="false"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G76" s="42" t="str">
        <f aca="false">IF($AE76="","",IF($AE76&lt;=1200,IF(INDEX(对接源_01水果!$D$4:$D$1203,$AE76)=0,"",INDEX(对接源_01水果!$D$4:$D$1203,$AE76)),IF(INDEX(对接源_02物料!$D$4:$D$1203,$AE76-1200)=0,"",INDEX(对接源_02物料!$D$4:$D$1203,$AE76-1200))))</f>
        <v/>
      </c>
      <c r="H76" s="41" t="str">
        <f aca="false">IF($AE76="","",IF($AE76&lt;=1200,"01水果册","02物料册"))</f>
        <v/>
      </c>
      <c r="I76" s="42" t="str">
        <f aca="false"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44" t="str">
        <f aca="false">IFERROR(MATCH(71,_自动清单!$W$4:$W$2403,0),"")</f>
        <v/>
      </c>
    </row>
    <row r="77" customFormat="false" ht="18" hidden="false" customHeight="true" outlineLevel="0" collapsed="false">
      <c r="A77" s="45" t="str">
        <f aca="false"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47" t="str">
        <f aca="false"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C77" s="46" t="str">
        <f aca="false"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D77" s="48" t="str">
        <f aca="false">IF($AE77="","",IF($AE77&lt;=1200,IF(INDEX(对接源_01水果!$V$4:$V$1203,$AE77)=0,"",INDEX(对接源_01水果!$V$4:$V$1203,$AE77)),IF(INDEX(对接源_02物料!$V$4:$V$1203,$AE77-1200)=0,"",INDEX(对接源_02物料!$V$4:$V$1203,$AE77-1200))))</f>
        <v/>
      </c>
      <c r="E77" s="47" t="str">
        <f aca="false"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F77" s="46" t="str">
        <f aca="false"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G77" s="47" t="str">
        <f aca="false">IF($AE77="","",IF($AE77&lt;=1200,IF(INDEX(对接源_01水果!$D$4:$D$1203,$AE77)=0,"",INDEX(对接源_01水果!$D$4:$D$1203,$AE77)),IF(INDEX(对接源_02物料!$D$4:$D$1203,$AE77-1200)=0,"",INDEX(对接源_02物料!$D$4:$D$1203,$AE77-1200))))</f>
        <v/>
      </c>
      <c r="H77" s="46" t="str">
        <f aca="false">IF($AE77="","",IF($AE77&lt;=1200,"01水果册","02物料册"))</f>
        <v/>
      </c>
      <c r="I77" s="47" t="str">
        <f aca="false"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44" t="str">
        <f aca="false">IFERROR(MATCH(72,_自动清单!$W$4:$W$2403,0),"")</f>
        <v/>
      </c>
    </row>
    <row r="78" customFormat="false" ht="18" hidden="false" customHeight="true" outlineLevel="0" collapsed="false">
      <c r="A78" s="40" t="str">
        <f aca="false"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42" t="str">
        <f aca="false"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C78" s="41" t="str">
        <f aca="false"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D78" s="43" t="str">
        <f aca="false">IF($AE78="","",IF($AE78&lt;=1200,IF(INDEX(对接源_01水果!$V$4:$V$1203,$AE78)=0,"",INDEX(对接源_01水果!$V$4:$V$1203,$AE78)),IF(INDEX(对接源_02物料!$V$4:$V$1203,$AE78-1200)=0,"",INDEX(对接源_02物料!$V$4:$V$1203,$AE78-1200))))</f>
        <v/>
      </c>
      <c r="E78" s="42" t="str">
        <f aca="false"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F78" s="41" t="str">
        <f aca="false"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G78" s="42" t="str">
        <f aca="false">IF($AE78="","",IF($AE78&lt;=1200,IF(INDEX(对接源_01水果!$D$4:$D$1203,$AE78)=0,"",INDEX(对接源_01水果!$D$4:$D$1203,$AE78)),IF(INDEX(对接源_02物料!$D$4:$D$1203,$AE78-1200)=0,"",INDEX(对接源_02物料!$D$4:$D$1203,$AE78-1200))))</f>
        <v/>
      </c>
      <c r="H78" s="41" t="str">
        <f aca="false">IF($AE78="","",IF($AE78&lt;=1200,"01水果册","02物料册"))</f>
        <v/>
      </c>
      <c r="I78" s="42" t="str">
        <f aca="false"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44" t="str">
        <f aca="false">IFERROR(MATCH(73,_自动清单!$W$4:$W$2403,0),"")</f>
        <v/>
      </c>
    </row>
    <row r="79" customFormat="false" ht="18" hidden="false" customHeight="true" outlineLevel="0" collapsed="false">
      <c r="A79" s="45" t="str">
        <f aca="false"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47" t="str">
        <f aca="false"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C79" s="46" t="str">
        <f aca="false"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D79" s="48" t="str">
        <f aca="false">IF($AE79="","",IF($AE79&lt;=1200,IF(INDEX(对接源_01水果!$V$4:$V$1203,$AE79)=0,"",INDEX(对接源_01水果!$V$4:$V$1203,$AE79)),IF(INDEX(对接源_02物料!$V$4:$V$1203,$AE79-1200)=0,"",INDEX(对接源_02物料!$V$4:$V$1203,$AE79-1200))))</f>
        <v/>
      </c>
      <c r="E79" s="47" t="str">
        <f aca="false"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F79" s="46" t="str">
        <f aca="false"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G79" s="47" t="str">
        <f aca="false">IF($AE79="","",IF($AE79&lt;=1200,IF(INDEX(对接源_01水果!$D$4:$D$1203,$AE79)=0,"",INDEX(对接源_01水果!$D$4:$D$1203,$AE79)),IF(INDEX(对接源_02物料!$D$4:$D$1203,$AE79-1200)=0,"",INDEX(对接源_02物料!$D$4:$D$1203,$AE79-1200))))</f>
        <v/>
      </c>
      <c r="H79" s="46" t="str">
        <f aca="false">IF($AE79="","",IF($AE79&lt;=1200,"01水果册","02物料册"))</f>
        <v/>
      </c>
      <c r="I79" s="47" t="str">
        <f aca="false"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44" t="str">
        <f aca="false">IFERROR(MATCH(74,_自动清单!$W$4:$W$2403,0),"")</f>
        <v/>
      </c>
    </row>
    <row r="80" customFormat="false" ht="18" hidden="false" customHeight="true" outlineLevel="0" collapsed="false">
      <c r="A80" s="40" t="str">
        <f aca="false"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42" t="str">
        <f aca="false"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C80" s="41" t="str">
        <f aca="false"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D80" s="43" t="str">
        <f aca="false">IF($AE80="","",IF($AE80&lt;=1200,IF(INDEX(对接源_01水果!$V$4:$V$1203,$AE80)=0,"",INDEX(对接源_01水果!$V$4:$V$1203,$AE80)),IF(INDEX(对接源_02物料!$V$4:$V$1203,$AE80-1200)=0,"",INDEX(对接源_02物料!$V$4:$V$1203,$AE80-1200))))</f>
        <v/>
      </c>
      <c r="E80" s="42" t="str">
        <f aca="false"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F80" s="41" t="str">
        <f aca="false"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G80" s="42" t="str">
        <f aca="false">IF($AE80="","",IF($AE80&lt;=1200,IF(INDEX(对接源_01水果!$D$4:$D$1203,$AE80)=0,"",INDEX(对接源_01水果!$D$4:$D$1203,$AE80)),IF(INDEX(对接源_02物料!$D$4:$D$1203,$AE80-1200)=0,"",INDEX(对接源_02物料!$D$4:$D$1203,$AE80-1200))))</f>
        <v/>
      </c>
      <c r="H80" s="41" t="str">
        <f aca="false">IF($AE80="","",IF($AE80&lt;=1200,"01水果册","02物料册"))</f>
        <v/>
      </c>
      <c r="I80" s="42" t="str">
        <f aca="false"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44" t="str">
        <f aca="false">IFERROR(MATCH(75,_自动清单!$W$4:$W$2403,0),"")</f>
        <v/>
      </c>
    </row>
    <row r="81" customFormat="false" ht="18" hidden="false" customHeight="true" outlineLevel="0" collapsed="false">
      <c r="A81" s="45" t="str">
        <f aca="false"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47" t="str">
        <f aca="false"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C81" s="46" t="str">
        <f aca="false"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D81" s="48" t="str">
        <f aca="false">IF($AE81="","",IF($AE81&lt;=1200,IF(INDEX(对接源_01水果!$V$4:$V$1203,$AE81)=0,"",INDEX(对接源_01水果!$V$4:$V$1203,$AE81)),IF(INDEX(对接源_02物料!$V$4:$V$1203,$AE81-1200)=0,"",INDEX(对接源_02物料!$V$4:$V$1203,$AE81-1200))))</f>
        <v/>
      </c>
      <c r="E81" s="47" t="str">
        <f aca="false"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F81" s="46" t="str">
        <f aca="false"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G81" s="47" t="str">
        <f aca="false">IF($AE81="","",IF($AE81&lt;=1200,IF(INDEX(对接源_01水果!$D$4:$D$1203,$AE81)=0,"",INDEX(对接源_01水果!$D$4:$D$1203,$AE81)),IF(INDEX(对接源_02物料!$D$4:$D$1203,$AE81-1200)=0,"",INDEX(对接源_02物料!$D$4:$D$1203,$AE81-1200))))</f>
        <v/>
      </c>
      <c r="H81" s="46" t="str">
        <f aca="false">IF($AE81="","",IF($AE81&lt;=1200,"01水果册","02物料册"))</f>
        <v/>
      </c>
      <c r="I81" s="47" t="str">
        <f aca="false"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44" t="str">
        <f aca="false">IFERROR(MATCH(76,_自动清单!$W$4:$W$2403,0),"")</f>
        <v/>
      </c>
    </row>
    <row r="82" customFormat="false" ht="18" hidden="false" customHeight="true" outlineLevel="0" collapsed="false">
      <c r="A82" s="40" t="str">
        <f aca="false"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42" t="str">
        <f aca="false"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C82" s="41" t="str">
        <f aca="false"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D82" s="43" t="str">
        <f aca="false">IF($AE82="","",IF($AE82&lt;=1200,IF(INDEX(对接源_01水果!$V$4:$V$1203,$AE82)=0,"",INDEX(对接源_01水果!$V$4:$V$1203,$AE82)),IF(INDEX(对接源_02物料!$V$4:$V$1203,$AE82-1200)=0,"",INDEX(对接源_02物料!$V$4:$V$1203,$AE82-1200))))</f>
        <v/>
      </c>
      <c r="E82" s="42" t="str">
        <f aca="false"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F82" s="41" t="str">
        <f aca="false"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G82" s="42" t="str">
        <f aca="false">IF($AE82="","",IF($AE82&lt;=1200,IF(INDEX(对接源_01水果!$D$4:$D$1203,$AE82)=0,"",INDEX(对接源_01水果!$D$4:$D$1203,$AE82)),IF(INDEX(对接源_02物料!$D$4:$D$1203,$AE82-1200)=0,"",INDEX(对接源_02物料!$D$4:$D$1203,$AE82-1200))))</f>
        <v/>
      </c>
      <c r="H82" s="41" t="str">
        <f aca="false">IF($AE82="","",IF($AE82&lt;=1200,"01水果册","02物料册"))</f>
        <v/>
      </c>
      <c r="I82" s="42" t="str">
        <f aca="false"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44" t="str">
        <f aca="false">IFERROR(MATCH(77,_自动清单!$W$4:$W$2403,0),"")</f>
        <v/>
      </c>
    </row>
    <row r="83" customFormat="false" ht="18" hidden="false" customHeight="true" outlineLevel="0" collapsed="false">
      <c r="A83" s="45" t="str">
        <f aca="false"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47" t="str">
        <f aca="false"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C83" s="46" t="str">
        <f aca="false"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D83" s="48" t="str">
        <f aca="false">IF($AE83="","",IF($AE83&lt;=1200,IF(INDEX(对接源_01水果!$V$4:$V$1203,$AE83)=0,"",INDEX(对接源_01水果!$V$4:$V$1203,$AE83)),IF(INDEX(对接源_02物料!$V$4:$V$1203,$AE83-1200)=0,"",INDEX(对接源_02物料!$V$4:$V$1203,$AE83-1200))))</f>
        <v/>
      </c>
      <c r="E83" s="47" t="str">
        <f aca="false"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F83" s="46" t="str">
        <f aca="false"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G83" s="47" t="str">
        <f aca="false">IF($AE83="","",IF($AE83&lt;=1200,IF(INDEX(对接源_01水果!$D$4:$D$1203,$AE83)=0,"",INDEX(对接源_01水果!$D$4:$D$1203,$AE83)),IF(INDEX(对接源_02物料!$D$4:$D$1203,$AE83-1200)=0,"",INDEX(对接源_02物料!$D$4:$D$1203,$AE83-1200))))</f>
        <v/>
      </c>
      <c r="H83" s="46" t="str">
        <f aca="false">IF($AE83="","",IF($AE83&lt;=1200,"01水果册","02物料册"))</f>
        <v/>
      </c>
      <c r="I83" s="47" t="str">
        <f aca="false"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44" t="str">
        <f aca="false">IFERROR(MATCH(78,_自动清单!$W$4:$W$2403,0),"")</f>
        <v/>
      </c>
    </row>
    <row r="84" customFormat="false" ht="18" hidden="false" customHeight="true" outlineLevel="0" collapsed="false">
      <c r="A84" s="40" t="str">
        <f aca="false"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42" t="str">
        <f aca="false"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C84" s="41" t="str">
        <f aca="false"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D84" s="43" t="str">
        <f aca="false">IF($AE84="","",IF($AE84&lt;=1200,IF(INDEX(对接源_01水果!$V$4:$V$1203,$AE84)=0,"",INDEX(对接源_01水果!$V$4:$V$1203,$AE84)),IF(INDEX(对接源_02物料!$V$4:$V$1203,$AE84-1200)=0,"",INDEX(对接源_02物料!$V$4:$V$1203,$AE84-1200))))</f>
        <v/>
      </c>
      <c r="E84" s="42" t="str">
        <f aca="false"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F84" s="41" t="str">
        <f aca="false"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G84" s="42" t="str">
        <f aca="false">IF($AE84="","",IF($AE84&lt;=1200,IF(INDEX(对接源_01水果!$D$4:$D$1203,$AE84)=0,"",INDEX(对接源_01水果!$D$4:$D$1203,$AE84)),IF(INDEX(对接源_02物料!$D$4:$D$1203,$AE84-1200)=0,"",INDEX(对接源_02物料!$D$4:$D$1203,$AE84-1200))))</f>
        <v/>
      </c>
      <c r="H84" s="41" t="str">
        <f aca="false">IF($AE84="","",IF($AE84&lt;=1200,"01水果册","02物料册"))</f>
        <v/>
      </c>
      <c r="I84" s="42" t="str">
        <f aca="false"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44" t="str">
        <f aca="false">IFERROR(MATCH(79,_自动清单!$W$4:$W$2403,0),"")</f>
        <v/>
      </c>
    </row>
    <row r="85" customFormat="false" ht="18" hidden="false" customHeight="true" outlineLevel="0" collapsed="false">
      <c r="A85" s="45" t="str">
        <f aca="false"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47" t="str">
        <f aca="false"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C85" s="46" t="str">
        <f aca="false"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D85" s="48" t="str">
        <f aca="false">IF($AE85="","",IF($AE85&lt;=1200,IF(INDEX(对接源_01水果!$V$4:$V$1203,$AE85)=0,"",INDEX(对接源_01水果!$V$4:$V$1203,$AE85)),IF(INDEX(对接源_02物料!$V$4:$V$1203,$AE85-1200)=0,"",INDEX(对接源_02物料!$V$4:$V$1203,$AE85-1200))))</f>
        <v/>
      </c>
      <c r="E85" s="47" t="str">
        <f aca="false"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F85" s="46" t="str">
        <f aca="false"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G85" s="47" t="str">
        <f aca="false">IF($AE85="","",IF($AE85&lt;=1200,IF(INDEX(对接源_01水果!$D$4:$D$1203,$AE85)=0,"",INDEX(对接源_01水果!$D$4:$D$1203,$AE85)),IF(INDEX(对接源_02物料!$D$4:$D$1203,$AE85-1200)=0,"",INDEX(对接源_02物料!$D$4:$D$1203,$AE85-1200))))</f>
        <v/>
      </c>
      <c r="H85" s="46" t="str">
        <f aca="false">IF($AE85="","",IF($AE85&lt;=1200,"01水果册","02物料册"))</f>
        <v/>
      </c>
      <c r="I85" s="47" t="str">
        <f aca="false"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44" t="str">
        <f aca="false">IFERROR(MATCH(80,_自动清单!$W$4:$W$2403,0),"")</f>
        <v/>
      </c>
    </row>
    <row r="86" customFormat="false" ht="18" hidden="false" customHeight="true" outlineLevel="0" collapsed="false">
      <c r="A86" s="40" t="str">
        <f aca="false"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42" t="str">
        <f aca="false"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C86" s="41" t="str">
        <f aca="false"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D86" s="43" t="str">
        <f aca="false">IF($AE86="","",IF($AE86&lt;=1200,IF(INDEX(对接源_01水果!$V$4:$V$1203,$AE86)=0,"",INDEX(对接源_01水果!$V$4:$V$1203,$AE86)),IF(INDEX(对接源_02物料!$V$4:$V$1203,$AE86-1200)=0,"",INDEX(对接源_02物料!$V$4:$V$1203,$AE86-1200))))</f>
        <v/>
      </c>
      <c r="E86" s="42" t="str">
        <f aca="false"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F86" s="41" t="str">
        <f aca="false"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G86" s="42" t="str">
        <f aca="false">IF($AE86="","",IF($AE86&lt;=1200,IF(INDEX(对接源_01水果!$D$4:$D$1203,$AE86)=0,"",INDEX(对接源_01水果!$D$4:$D$1203,$AE86)),IF(INDEX(对接源_02物料!$D$4:$D$1203,$AE86-1200)=0,"",INDEX(对接源_02物料!$D$4:$D$1203,$AE86-1200))))</f>
        <v/>
      </c>
      <c r="H86" s="41" t="str">
        <f aca="false">IF($AE86="","",IF($AE86&lt;=1200,"01水果册","02物料册"))</f>
        <v/>
      </c>
      <c r="I86" s="42" t="str">
        <f aca="false"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44" t="str">
        <f aca="false">IFERROR(MATCH(81,_自动清单!$W$4:$W$2403,0),"")</f>
        <v/>
      </c>
    </row>
    <row r="87" customFormat="false" ht="18" hidden="false" customHeight="true" outlineLevel="0" collapsed="false">
      <c r="A87" s="45" t="str">
        <f aca="false"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47" t="str">
        <f aca="false"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C87" s="46" t="str">
        <f aca="false"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D87" s="48" t="str">
        <f aca="false">IF($AE87="","",IF($AE87&lt;=1200,IF(INDEX(对接源_01水果!$V$4:$V$1203,$AE87)=0,"",INDEX(对接源_01水果!$V$4:$V$1203,$AE87)),IF(INDEX(对接源_02物料!$V$4:$V$1203,$AE87-1200)=0,"",INDEX(对接源_02物料!$V$4:$V$1203,$AE87-1200))))</f>
        <v/>
      </c>
      <c r="E87" s="47" t="str">
        <f aca="false"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F87" s="46" t="str">
        <f aca="false"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G87" s="47" t="str">
        <f aca="false">IF($AE87="","",IF($AE87&lt;=1200,IF(INDEX(对接源_01水果!$D$4:$D$1203,$AE87)=0,"",INDEX(对接源_01水果!$D$4:$D$1203,$AE87)),IF(INDEX(对接源_02物料!$D$4:$D$1203,$AE87-1200)=0,"",INDEX(对接源_02物料!$D$4:$D$1203,$AE87-1200))))</f>
        <v/>
      </c>
      <c r="H87" s="46" t="str">
        <f aca="false">IF($AE87="","",IF($AE87&lt;=1200,"01水果册","02物料册"))</f>
        <v/>
      </c>
      <c r="I87" s="47" t="str">
        <f aca="false"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44" t="str">
        <f aca="false">IFERROR(MATCH(82,_自动清单!$W$4:$W$2403,0),"")</f>
        <v/>
      </c>
    </row>
    <row r="88" customFormat="false" ht="18" hidden="false" customHeight="true" outlineLevel="0" collapsed="false">
      <c r="A88" s="40" t="str">
        <f aca="false"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42" t="str">
        <f aca="false"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C88" s="41" t="str">
        <f aca="false"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D88" s="43" t="str">
        <f aca="false">IF($AE88="","",IF($AE88&lt;=1200,IF(INDEX(对接源_01水果!$V$4:$V$1203,$AE88)=0,"",INDEX(对接源_01水果!$V$4:$V$1203,$AE88)),IF(INDEX(对接源_02物料!$V$4:$V$1203,$AE88-1200)=0,"",INDEX(对接源_02物料!$V$4:$V$1203,$AE88-1200))))</f>
        <v/>
      </c>
      <c r="E88" s="42" t="str">
        <f aca="false"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F88" s="41" t="str">
        <f aca="false"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G88" s="42" t="str">
        <f aca="false">IF($AE88="","",IF($AE88&lt;=1200,IF(INDEX(对接源_01水果!$D$4:$D$1203,$AE88)=0,"",INDEX(对接源_01水果!$D$4:$D$1203,$AE88)),IF(INDEX(对接源_02物料!$D$4:$D$1203,$AE88-1200)=0,"",INDEX(对接源_02物料!$D$4:$D$1203,$AE88-1200))))</f>
        <v/>
      </c>
      <c r="H88" s="41" t="str">
        <f aca="false">IF($AE88="","",IF($AE88&lt;=1200,"01水果册","02物料册"))</f>
        <v/>
      </c>
      <c r="I88" s="42" t="str">
        <f aca="false"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44" t="str">
        <f aca="false">IFERROR(MATCH(83,_自动清单!$W$4:$W$2403,0),"")</f>
        <v/>
      </c>
    </row>
    <row r="89" customFormat="false" ht="18" hidden="false" customHeight="true" outlineLevel="0" collapsed="false">
      <c r="A89" s="45" t="str">
        <f aca="false"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47" t="str">
        <f aca="false"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C89" s="46" t="str">
        <f aca="false"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D89" s="48" t="str">
        <f aca="false">IF($AE89="","",IF($AE89&lt;=1200,IF(INDEX(对接源_01水果!$V$4:$V$1203,$AE89)=0,"",INDEX(对接源_01水果!$V$4:$V$1203,$AE89)),IF(INDEX(对接源_02物料!$V$4:$V$1203,$AE89-1200)=0,"",INDEX(对接源_02物料!$V$4:$V$1203,$AE89-1200))))</f>
        <v/>
      </c>
      <c r="E89" s="47" t="str">
        <f aca="false"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F89" s="46" t="str">
        <f aca="false"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G89" s="47" t="str">
        <f aca="false">IF($AE89="","",IF($AE89&lt;=1200,IF(INDEX(对接源_01水果!$D$4:$D$1203,$AE89)=0,"",INDEX(对接源_01水果!$D$4:$D$1203,$AE89)),IF(INDEX(对接源_02物料!$D$4:$D$1203,$AE89-1200)=0,"",INDEX(对接源_02物料!$D$4:$D$1203,$AE89-1200))))</f>
        <v/>
      </c>
      <c r="H89" s="46" t="str">
        <f aca="false">IF($AE89="","",IF($AE89&lt;=1200,"01水果册","02物料册"))</f>
        <v/>
      </c>
      <c r="I89" s="47" t="str">
        <f aca="false"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44" t="str">
        <f aca="false">IFERROR(MATCH(84,_自动清单!$W$4:$W$2403,0),"")</f>
        <v/>
      </c>
    </row>
    <row r="90" customFormat="false" ht="18" hidden="false" customHeight="true" outlineLevel="0" collapsed="false">
      <c r="A90" s="40" t="str">
        <f aca="false"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42" t="str">
        <f aca="false"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C90" s="41" t="str">
        <f aca="false"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D90" s="43" t="str">
        <f aca="false">IF($AE90="","",IF($AE90&lt;=1200,IF(INDEX(对接源_01水果!$V$4:$V$1203,$AE90)=0,"",INDEX(对接源_01水果!$V$4:$V$1203,$AE90)),IF(INDEX(对接源_02物料!$V$4:$V$1203,$AE90-1200)=0,"",INDEX(对接源_02物料!$V$4:$V$1203,$AE90-1200))))</f>
        <v/>
      </c>
      <c r="E90" s="42" t="str">
        <f aca="false"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F90" s="41" t="str">
        <f aca="false"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G90" s="42" t="str">
        <f aca="false">IF($AE90="","",IF($AE90&lt;=1200,IF(INDEX(对接源_01水果!$D$4:$D$1203,$AE90)=0,"",INDEX(对接源_01水果!$D$4:$D$1203,$AE90)),IF(INDEX(对接源_02物料!$D$4:$D$1203,$AE90-1200)=0,"",INDEX(对接源_02物料!$D$4:$D$1203,$AE90-1200))))</f>
        <v/>
      </c>
      <c r="H90" s="41" t="str">
        <f aca="false">IF($AE90="","",IF($AE90&lt;=1200,"01水果册","02物料册"))</f>
        <v/>
      </c>
      <c r="I90" s="42" t="str">
        <f aca="false"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44" t="str">
        <f aca="false">IFERROR(MATCH(85,_自动清单!$W$4:$W$2403,0),"")</f>
        <v/>
      </c>
    </row>
    <row r="91" customFormat="false" ht="18" hidden="false" customHeight="true" outlineLevel="0" collapsed="false">
      <c r="A91" s="45" t="str">
        <f aca="false"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47" t="str">
        <f aca="false"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C91" s="46" t="str">
        <f aca="false"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D91" s="48" t="str">
        <f aca="false">IF($AE91="","",IF($AE91&lt;=1200,IF(INDEX(对接源_01水果!$V$4:$V$1203,$AE91)=0,"",INDEX(对接源_01水果!$V$4:$V$1203,$AE91)),IF(INDEX(对接源_02物料!$V$4:$V$1203,$AE91-1200)=0,"",INDEX(对接源_02物料!$V$4:$V$1203,$AE91-1200))))</f>
        <v/>
      </c>
      <c r="E91" s="47" t="str">
        <f aca="false"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F91" s="46" t="str">
        <f aca="false"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G91" s="47" t="str">
        <f aca="false">IF($AE91="","",IF($AE91&lt;=1200,IF(INDEX(对接源_01水果!$D$4:$D$1203,$AE91)=0,"",INDEX(对接源_01水果!$D$4:$D$1203,$AE91)),IF(INDEX(对接源_02物料!$D$4:$D$1203,$AE91-1200)=0,"",INDEX(对接源_02物料!$D$4:$D$1203,$AE91-1200))))</f>
        <v/>
      </c>
      <c r="H91" s="46" t="str">
        <f aca="false">IF($AE91="","",IF($AE91&lt;=1200,"01水果册","02物料册"))</f>
        <v/>
      </c>
      <c r="I91" s="47" t="str">
        <f aca="false"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44" t="str">
        <f aca="false">IFERROR(MATCH(86,_自动清单!$W$4:$W$2403,0),"")</f>
        <v/>
      </c>
    </row>
    <row r="92" customFormat="false" ht="18" hidden="false" customHeight="true" outlineLevel="0" collapsed="false">
      <c r="A92" s="40" t="str">
        <f aca="false"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42" t="str">
        <f aca="false"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C92" s="41" t="str">
        <f aca="false"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D92" s="43" t="str">
        <f aca="false">IF($AE92="","",IF($AE92&lt;=1200,IF(INDEX(对接源_01水果!$V$4:$V$1203,$AE92)=0,"",INDEX(对接源_01水果!$V$4:$V$1203,$AE92)),IF(INDEX(对接源_02物料!$V$4:$V$1203,$AE92-1200)=0,"",INDEX(对接源_02物料!$V$4:$V$1203,$AE92-1200))))</f>
        <v/>
      </c>
      <c r="E92" s="42" t="str">
        <f aca="false"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F92" s="41" t="str">
        <f aca="false"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G92" s="42" t="str">
        <f aca="false">IF($AE92="","",IF($AE92&lt;=1200,IF(INDEX(对接源_01水果!$D$4:$D$1203,$AE92)=0,"",INDEX(对接源_01水果!$D$4:$D$1203,$AE92)),IF(INDEX(对接源_02物料!$D$4:$D$1203,$AE92-1200)=0,"",INDEX(对接源_02物料!$D$4:$D$1203,$AE92-1200))))</f>
        <v/>
      </c>
      <c r="H92" s="41" t="str">
        <f aca="false">IF($AE92="","",IF($AE92&lt;=1200,"01水果册","02物料册"))</f>
        <v/>
      </c>
      <c r="I92" s="42" t="str">
        <f aca="false"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44" t="str">
        <f aca="false">IFERROR(MATCH(87,_自动清单!$W$4:$W$2403,0),"")</f>
        <v/>
      </c>
    </row>
    <row r="93" customFormat="false" ht="18" hidden="false" customHeight="true" outlineLevel="0" collapsed="false">
      <c r="A93" s="45" t="str">
        <f aca="false"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47" t="str">
        <f aca="false"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C93" s="46" t="str">
        <f aca="false"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D93" s="48" t="str">
        <f aca="false">IF($AE93="","",IF($AE93&lt;=1200,IF(INDEX(对接源_01水果!$V$4:$V$1203,$AE93)=0,"",INDEX(对接源_01水果!$V$4:$V$1203,$AE93)),IF(INDEX(对接源_02物料!$V$4:$V$1203,$AE93-1200)=0,"",INDEX(对接源_02物料!$V$4:$V$1203,$AE93-1200))))</f>
        <v/>
      </c>
      <c r="E93" s="47" t="str">
        <f aca="false"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F93" s="46" t="str">
        <f aca="false"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G93" s="47" t="str">
        <f aca="false">IF($AE93="","",IF($AE93&lt;=1200,IF(INDEX(对接源_01水果!$D$4:$D$1203,$AE93)=0,"",INDEX(对接源_01水果!$D$4:$D$1203,$AE93)),IF(INDEX(对接源_02物料!$D$4:$D$1203,$AE93-1200)=0,"",INDEX(对接源_02物料!$D$4:$D$1203,$AE93-1200))))</f>
        <v/>
      </c>
      <c r="H93" s="46" t="str">
        <f aca="false">IF($AE93="","",IF($AE93&lt;=1200,"01水果册","02物料册"))</f>
        <v/>
      </c>
      <c r="I93" s="47" t="str">
        <f aca="false"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44" t="str">
        <f aca="false">IFERROR(MATCH(88,_自动清单!$W$4:$W$2403,0),"")</f>
        <v/>
      </c>
    </row>
    <row r="94" customFormat="false" ht="18" hidden="false" customHeight="true" outlineLevel="0" collapsed="false">
      <c r="A94" s="40" t="str">
        <f aca="false"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42" t="str">
        <f aca="false"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C94" s="41" t="str">
        <f aca="false"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D94" s="43" t="str">
        <f aca="false">IF($AE94="","",IF($AE94&lt;=1200,IF(INDEX(对接源_01水果!$V$4:$V$1203,$AE94)=0,"",INDEX(对接源_01水果!$V$4:$V$1203,$AE94)),IF(INDEX(对接源_02物料!$V$4:$V$1203,$AE94-1200)=0,"",INDEX(对接源_02物料!$V$4:$V$1203,$AE94-1200))))</f>
        <v/>
      </c>
      <c r="E94" s="42" t="str">
        <f aca="false"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F94" s="41" t="str">
        <f aca="false"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G94" s="42" t="str">
        <f aca="false">IF($AE94="","",IF($AE94&lt;=1200,IF(INDEX(对接源_01水果!$D$4:$D$1203,$AE94)=0,"",INDEX(对接源_01水果!$D$4:$D$1203,$AE94)),IF(INDEX(对接源_02物料!$D$4:$D$1203,$AE94-1200)=0,"",INDEX(对接源_02物料!$D$4:$D$1203,$AE94-1200))))</f>
        <v/>
      </c>
      <c r="H94" s="41" t="str">
        <f aca="false">IF($AE94="","",IF($AE94&lt;=1200,"01水果册","02物料册"))</f>
        <v/>
      </c>
      <c r="I94" s="42" t="str">
        <f aca="false"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44" t="str">
        <f aca="false">IFERROR(MATCH(89,_自动清单!$W$4:$W$2403,0),"")</f>
        <v/>
      </c>
    </row>
    <row r="95" customFormat="false" ht="18" hidden="false" customHeight="true" outlineLevel="0" collapsed="false">
      <c r="A95" s="45" t="str">
        <f aca="false"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47" t="str">
        <f aca="false"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C95" s="46" t="str">
        <f aca="false"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D95" s="48" t="str">
        <f aca="false">IF($AE95="","",IF($AE95&lt;=1200,IF(INDEX(对接源_01水果!$V$4:$V$1203,$AE95)=0,"",INDEX(对接源_01水果!$V$4:$V$1203,$AE95)),IF(INDEX(对接源_02物料!$V$4:$V$1203,$AE95-1200)=0,"",INDEX(对接源_02物料!$V$4:$V$1203,$AE95-1200))))</f>
        <v/>
      </c>
      <c r="E95" s="47" t="str">
        <f aca="false"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F95" s="46" t="str">
        <f aca="false"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G95" s="47" t="str">
        <f aca="false">IF($AE95="","",IF($AE95&lt;=1200,IF(INDEX(对接源_01水果!$D$4:$D$1203,$AE95)=0,"",INDEX(对接源_01水果!$D$4:$D$1203,$AE95)),IF(INDEX(对接源_02物料!$D$4:$D$1203,$AE95-1200)=0,"",INDEX(对接源_02物料!$D$4:$D$1203,$AE95-1200))))</f>
        <v/>
      </c>
      <c r="H95" s="46" t="str">
        <f aca="false">IF($AE95="","",IF($AE95&lt;=1200,"01水果册","02物料册"))</f>
        <v/>
      </c>
      <c r="I95" s="47" t="str">
        <f aca="false"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44" t="str">
        <f aca="false">IFERROR(MATCH(90,_自动清单!$W$4:$W$2403,0),"")</f>
        <v/>
      </c>
    </row>
    <row r="96" customFormat="false" ht="18" hidden="false" customHeight="true" outlineLevel="0" collapsed="false">
      <c r="A96" s="40" t="str">
        <f aca="false"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42" t="str">
        <f aca="false"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C96" s="41" t="str">
        <f aca="false"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D96" s="43" t="str">
        <f aca="false">IF($AE96="","",IF($AE96&lt;=1200,IF(INDEX(对接源_01水果!$V$4:$V$1203,$AE96)=0,"",INDEX(对接源_01水果!$V$4:$V$1203,$AE96)),IF(INDEX(对接源_02物料!$V$4:$V$1203,$AE96-1200)=0,"",INDEX(对接源_02物料!$V$4:$V$1203,$AE96-1200))))</f>
        <v/>
      </c>
      <c r="E96" s="42" t="str">
        <f aca="false"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F96" s="41" t="str">
        <f aca="false"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G96" s="42" t="str">
        <f aca="false">IF($AE96="","",IF($AE96&lt;=1200,IF(INDEX(对接源_01水果!$D$4:$D$1203,$AE96)=0,"",INDEX(对接源_01水果!$D$4:$D$1203,$AE96)),IF(INDEX(对接源_02物料!$D$4:$D$1203,$AE96-1200)=0,"",INDEX(对接源_02物料!$D$4:$D$1203,$AE96-1200))))</f>
        <v/>
      </c>
      <c r="H96" s="41" t="str">
        <f aca="false">IF($AE96="","",IF($AE96&lt;=1200,"01水果册","02物料册"))</f>
        <v/>
      </c>
      <c r="I96" s="42" t="str">
        <f aca="false"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44" t="str">
        <f aca="false">IFERROR(MATCH(91,_自动清单!$W$4:$W$2403,0),"")</f>
        <v/>
      </c>
    </row>
    <row r="97" customFormat="false" ht="18" hidden="false" customHeight="true" outlineLevel="0" collapsed="false">
      <c r="A97" s="45" t="str">
        <f aca="false"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47" t="str">
        <f aca="false"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C97" s="46" t="str">
        <f aca="false"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D97" s="48" t="str">
        <f aca="false">IF($AE97="","",IF($AE97&lt;=1200,IF(INDEX(对接源_01水果!$V$4:$V$1203,$AE97)=0,"",INDEX(对接源_01水果!$V$4:$V$1203,$AE97)),IF(INDEX(对接源_02物料!$V$4:$V$1203,$AE97-1200)=0,"",INDEX(对接源_02物料!$V$4:$V$1203,$AE97-1200))))</f>
        <v/>
      </c>
      <c r="E97" s="47" t="str">
        <f aca="false"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F97" s="46" t="str">
        <f aca="false"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G97" s="47" t="str">
        <f aca="false">IF($AE97="","",IF($AE97&lt;=1200,IF(INDEX(对接源_01水果!$D$4:$D$1203,$AE97)=0,"",INDEX(对接源_01水果!$D$4:$D$1203,$AE97)),IF(INDEX(对接源_02物料!$D$4:$D$1203,$AE97-1200)=0,"",INDEX(对接源_02物料!$D$4:$D$1203,$AE97-1200))))</f>
        <v/>
      </c>
      <c r="H97" s="46" t="str">
        <f aca="false">IF($AE97="","",IF($AE97&lt;=1200,"01水果册","02物料册"))</f>
        <v/>
      </c>
      <c r="I97" s="47" t="str">
        <f aca="false"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44" t="str">
        <f aca="false">IFERROR(MATCH(92,_自动清单!$W$4:$W$2403,0),"")</f>
        <v/>
      </c>
    </row>
    <row r="98" customFormat="false" ht="18" hidden="false" customHeight="true" outlineLevel="0" collapsed="false">
      <c r="A98" s="40" t="str">
        <f aca="false"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42" t="str">
        <f aca="false"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C98" s="41" t="str">
        <f aca="false"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D98" s="43" t="str">
        <f aca="false">IF($AE98="","",IF($AE98&lt;=1200,IF(INDEX(对接源_01水果!$V$4:$V$1203,$AE98)=0,"",INDEX(对接源_01水果!$V$4:$V$1203,$AE98)),IF(INDEX(对接源_02物料!$V$4:$V$1203,$AE98-1200)=0,"",INDEX(对接源_02物料!$V$4:$V$1203,$AE98-1200))))</f>
        <v/>
      </c>
      <c r="E98" s="42" t="str">
        <f aca="false"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F98" s="41" t="str">
        <f aca="false"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G98" s="42" t="str">
        <f aca="false">IF($AE98="","",IF($AE98&lt;=1200,IF(INDEX(对接源_01水果!$D$4:$D$1203,$AE98)=0,"",INDEX(对接源_01水果!$D$4:$D$1203,$AE98)),IF(INDEX(对接源_02物料!$D$4:$D$1203,$AE98-1200)=0,"",INDEX(对接源_02物料!$D$4:$D$1203,$AE98-1200))))</f>
        <v/>
      </c>
      <c r="H98" s="41" t="str">
        <f aca="false">IF($AE98="","",IF($AE98&lt;=1200,"01水果册","02物料册"))</f>
        <v/>
      </c>
      <c r="I98" s="42" t="str">
        <f aca="false"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44" t="str">
        <f aca="false">IFERROR(MATCH(93,_自动清单!$W$4:$W$2403,0),"")</f>
        <v/>
      </c>
    </row>
    <row r="99" customFormat="false" ht="18" hidden="false" customHeight="true" outlineLevel="0" collapsed="false">
      <c r="A99" s="45" t="str">
        <f aca="false"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47" t="str">
        <f aca="false"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C99" s="46" t="str">
        <f aca="false"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D99" s="48" t="str">
        <f aca="false">IF($AE99="","",IF($AE99&lt;=1200,IF(INDEX(对接源_01水果!$V$4:$V$1203,$AE99)=0,"",INDEX(对接源_01水果!$V$4:$V$1203,$AE99)),IF(INDEX(对接源_02物料!$V$4:$V$1203,$AE99-1200)=0,"",INDEX(对接源_02物料!$V$4:$V$1203,$AE99-1200))))</f>
        <v/>
      </c>
      <c r="E99" s="47" t="str">
        <f aca="false"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F99" s="46" t="str">
        <f aca="false"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G99" s="47" t="str">
        <f aca="false">IF($AE99="","",IF($AE99&lt;=1200,IF(INDEX(对接源_01水果!$D$4:$D$1203,$AE99)=0,"",INDEX(对接源_01水果!$D$4:$D$1203,$AE99)),IF(INDEX(对接源_02物料!$D$4:$D$1203,$AE99-1200)=0,"",INDEX(对接源_02物料!$D$4:$D$1203,$AE99-1200))))</f>
        <v/>
      </c>
      <c r="H99" s="46" t="str">
        <f aca="false">IF($AE99="","",IF($AE99&lt;=1200,"01水果册","02物料册"))</f>
        <v/>
      </c>
      <c r="I99" s="47" t="str">
        <f aca="false"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44" t="str">
        <f aca="false">IFERROR(MATCH(94,_自动清单!$W$4:$W$2403,0),"")</f>
        <v/>
      </c>
    </row>
    <row r="100" customFormat="false" ht="18" hidden="false" customHeight="true" outlineLevel="0" collapsed="false">
      <c r="A100" s="40" t="str">
        <f aca="false"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42" t="str">
        <f aca="false"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C100" s="41" t="str">
        <f aca="false"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D100" s="43" t="str">
        <f aca="false">IF($AE100="","",IF($AE100&lt;=1200,IF(INDEX(对接源_01水果!$V$4:$V$1203,$AE100)=0,"",INDEX(对接源_01水果!$V$4:$V$1203,$AE100)),IF(INDEX(对接源_02物料!$V$4:$V$1203,$AE100-1200)=0,"",INDEX(对接源_02物料!$V$4:$V$1203,$AE100-1200))))</f>
        <v/>
      </c>
      <c r="E100" s="42" t="str">
        <f aca="false"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F100" s="41" t="str">
        <f aca="false"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G100" s="42" t="str">
        <f aca="false">IF($AE100="","",IF($AE100&lt;=1200,IF(INDEX(对接源_01水果!$D$4:$D$1203,$AE100)=0,"",INDEX(对接源_01水果!$D$4:$D$1203,$AE100)),IF(INDEX(对接源_02物料!$D$4:$D$1203,$AE100-1200)=0,"",INDEX(对接源_02物料!$D$4:$D$1203,$AE100-1200))))</f>
        <v/>
      </c>
      <c r="H100" s="41" t="str">
        <f aca="false">IF($AE100="","",IF($AE100&lt;=1200,"01水果册","02物料册"))</f>
        <v/>
      </c>
      <c r="I100" s="42" t="str">
        <f aca="false"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44" t="str">
        <f aca="false">IFERROR(MATCH(95,_自动清单!$W$4:$W$2403,0),"")</f>
        <v/>
      </c>
    </row>
    <row r="101" customFormat="false" ht="18" hidden="false" customHeight="true" outlineLevel="0" collapsed="false">
      <c r="A101" s="45" t="str">
        <f aca="false"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47" t="str">
        <f aca="false"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C101" s="46" t="str">
        <f aca="false"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D101" s="48" t="str">
        <f aca="false">IF($AE101="","",IF($AE101&lt;=1200,IF(INDEX(对接源_01水果!$V$4:$V$1203,$AE101)=0,"",INDEX(对接源_01水果!$V$4:$V$1203,$AE101)),IF(INDEX(对接源_02物料!$V$4:$V$1203,$AE101-1200)=0,"",INDEX(对接源_02物料!$V$4:$V$1203,$AE101-1200))))</f>
        <v/>
      </c>
      <c r="E101" s="47" t="str">
        <f aca="false"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F101" s="46" t="str">
        <f aca="false"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G101" s="47" t="str">
        <f aca="false">IF($AE101="","",IF($AE101&lt;=1200,IF(INDEX(对接源_01水果!$D$4:$D$1203,$AE101)=0,"",INDEX(对接源_01水果!$D$4:$D$1203,$AE101)),IF(INDEX(对接源_02物料!$D$4:$D$1203,$AE101-1200)=0,"",INDEX(对接源_02物料!$D$4:$D$1203,$AE101-1200))))</f>
        <v/>
      </c>
      <c r="H101" s="46" t="str">
        <f aca="false">IF($AE101="","",IF($AE101&lt;=1200,"01水果册","02物料册"))</f>
        <v/>
      </c>
      <c r="I101" s="47" t="str">
        <f aca="false"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44" t="str">
        <f aca="false">IFERROR(MATCH(96,_自动清单!$W$4:$W$2403,0),"")</f>
        <v/>
      </c>
    </row>
    <row r="102" customFormat="false" ht="18" hidden="false" customHeight="true" outlineLevel="0" collapsed="false">
      <c r="A102" s="40" t="str">
        <f aca="false"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42" t="str">
        <f aca="false"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C102" s="41" t="str">
        <f aca="false"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D102" s="43" t="str">
        <f aca="false">IF($AE102="","",IF($AE102&lt;=1200,IF(INDEX(对接源_01水果!$V$4:$V$1203,$AE102)=0,"",INDEX(对接源_01水果!$V$4:$V$1203,$AE102)),IF(INDEX(对接源_02物料!$V$4:$V$1203,$AE102-1200)=0,"",INDEX(对接源_02物料!$V$4:$V$1203,$AE102-1200))))</f>
        <v/>
      </c>
      <c r="E102" s="42" t="str">
        <f aca="false"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F102" s="41" t="str">
        <f aca="false"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G102" s="42" t="str">
        <f aca="false">IF($AE102="","",IF($AE102&lt;=1200,IF(INDEX(对接源_01水果!$D$4:$D$1203,$AE102)=0,"",INDEX(对接源_01水果!$D$4:$D$1203,$AE102)),IF(INDEX(对接源_02物料!$D$4:$D$1203,$AE102-1200)=0,"",INDEX(对接源_02物料!$D$4:$D$1203,$AE102-1200))))</f>
        <v/>
      </c>
      <c r="H102" s="41" t="str">
        <f aca="false">IF($AE102="","",IF($AE102&lt;=1200,"01水果册","02物料册"))</f>
        <v/>
      </c>
      <c r="I102" s="42" t="str">
        <f aca="false"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44" t="str">
        <f aca="false">IFERROR(MATCH(97,_自动清单!$W$4:$W$2403,0),"")</f>
        <v/>
      </c>
    </row>
    <row r="103" customFormat="false" ht="18" hidden="false" customHeight="true" outlineLevel="0" collapsed="false">
      <c r="A103" s="45" t="str">
        <f aca="false"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47" t="str">
        <f aca="false"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C103" s="46" t="str">
        <f aca="false"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D103" s="48" t="str">
        <f aca="false">IF($AE103="","",IF($AE103&lt;=1200,IF(INDEX(对接源_01水果!$V$4:$V$1203,$AE103)=0,"",INDEX(对接源_01水果!$V$4:$V$1203,$AE103)),IF(INDEX(对接源_02物料!$V$4:$V$1203,$AE103-1200)=0,"",INDEX(对接源_02物料!$V$4:$V$1203,$AE103-1200))))</f>
        <v/>
      </c>
      <c r="E103" s="47" t="str">
        <f aca="false"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F103" s="46" t="str">
        <f aca="false"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G103" s="47" t="str">
        <f aca="false">IF($AE103="","",IF($AE103&lt;=1200,IF(INDEX(对接源_01水果!$D$4:$D$1203,$AE103)=0,"",INDEX(对接源_01水果!$D$4:$D$1203,$AE103)),IF(INDEX(对接源_02物料!$D$4:$D$1203,$AE103-1200)=0,"",INDEX(对接源_02物料!$D$4:$D$1203,$AE103-1200))))</f>
        <v/>
      </c>
      <c r="H103" s="46" t="str">
        <f aca="false">IF($AE103="","",IF($AE103&lt;=1200,"01水果册","02物料册"))</f>
        <v/>
      </c>
      <c r="I103" s="47" t="str">
        <f aca="false"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44" t="str">
        <f aca="false">IFERROR(MATCH(98,_自动清单!$W$4:$W$2403,0),"")</f>
        <v/>
      </c>
    </row>
    <row r="104" customFormat="false" ht="18" hidden="false" customHeight="true" outlineLevel="0" collapsed="false">
      <c r="A104" s="40" t="str">
        <f aca="false"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42" t="str">
        <f aca="false"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C104" s="41" t="str">
        <f aca="false"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D104" s="43" t="str">
        <f aca="false">IF($AE104="","",IF($AE104&lt;=1200,IF(INDEX(对接源_01水果!$V$4:$V$1203,$AE104)=0,"",INDEX(对接源_01水果!$V$4:$V$1203,$AE104)),IF(INDEX(对接源_02物料!$V$4:$V$1203,$AE104-1200)=0,"",INDEX(对接源_02物料!$V$4:$V$1203,$AE104-1200))))</f>
        <v/>
      </c>
      <c r="E104" s="42" t="str">
        <f aca="false"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F104" s="41" t="str">
        <f aca="false"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G104" s="42" t="str">
        <f aca="false">IF($AE104="","",IF($AE104&lt;=1200,IF(INDEX(对接源_01水果!$D$4:$D$1203,$AE104)=0,"",INDEX(对接源_01水果!$D$4:$D$1203,$AE104)),IF(INDEX(对接源_02物料!$D$4:$D$1203,$AE104-1200)=0,"",INDEX(对接源_02物料!$D$4:$D$1203,$AE104-1200))))</f>
        <v/>
      </c>
      <c r="H104" s="41" t="str">
        <f aca="false">IF($AE104="","",IF($AE104&lt;=1200,"01水果册","02物料册"))</f>
        <v/>
      </c>
      <c r="I104" s="42" t="str">
        <f aca="false"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44" t="str">
        <f aca="false">IFERROR(MATCH(99,_自动清单!$W$4:$W$2403,0),"")</f>
        <v/>
      </c>
    </row>
    <row r="105" customFormat="false" ht="18" hidden="false" customHeight="true" outlineLevel="0" collapsed="false">
      <c r="A105" s="45" t="str">
        <f aca="false"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47" t="str">
        <f aca="false"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C105" s="46" t="str">
        <f aca="false"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D105" s="48" t="str">
        <f aca="false">IF($AE105="","",IF($AE105&lt;=1200,IF(INDEX(对接源_01水果!$V$4:$V$1203,$AE105)=0,"",INDEX(对接源_01水果!$V$4:$V$1203,$AE105)),IF(INDEX(对接源_02物料!$V$4:$V$1203,$AE105-1200)=0,"",INDEX(对接源_02物料!$V$4:$V$1203,$AE105-1200))))</f>
        <v/>
      </c>
      <c r="E105" s="47" t="str">
        <f aca="false"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F105" s="46" t="str">
        <f aca="false"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G105" s="47" t="str">
        <f aca="false">IF($AE105="","",IF($AE105&lt;=1200,IF(INDEX(对接源_01水果!$D$4:$D$1203,$AE105)=0,"",INDEX(对接源_01水果!$D$4:$D$1203,$AE105)),IF(INDEX(对接源_02物料!$D$4:$D$1203,$AE105-1200)=0,"",INDEX(对接源_02物料!$D$4:$D$1203,$AE105-1200))))</f>
        <v/>
      </c>
      <c r="H105" s="46" t="str">
        <f aca="false">IF($AE105="","",IF($AE105&lt;=1200,"01水果册","02物料册"))</f>
        <v/>
      </c>
      <c r="I105" s="47" t="str">
        <f aca="false"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44" t="str">
        <f aca="false">IFERROR(MATCH(100,_自动清单!$W$4:$W$2403,0),"")</f>
        <v/>
      </c>
    </row>
    <row r="107" customFormat="false" ht="24" hidden="false" customHeight="true" outlineLevel="0" collapsed="false">
      <c r="A107" s="35" t="s">
        <v>104</v>
      </c>
      <c r="B107" s="35"/>
      <c r="C107" s="35"/>
      <c r="D107" s="35"/>
      <c r="E107" s="35"/>
      <c r="F107" s="35"/>
      <c r="G107" s="36" t="n">
        <f aca="false"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  <c r="H107" s="36"/>
      <c r="I107" s="36"/>
    </row>
    <row r="108" customFormat="false" ht="30" hidden="false" customHeight="true" outlineLevel="0" collapsed="false">
      <c r="A108" s="39" t="s">
        <v>81</v>
      </c>
      <c r="B108" s="39" t="s">
        <v>83</v>
      </c>
      <c r="C108" s="39" t="s">
        <v>82</v>
      </c>
      <c r="D108" s="39" t="s">
        <v>105</v>
      </c>
      <c r="E108" s="39" t="s">
        <v>100</v>
      </c>
      <c r="F108" s="39" t="s">
        <v>101</v>
      </c>
      <c r="G108" s="39" t="s">
        <v>102</v>
      </c>
      <c r="H108" s="39" t="s">
        <v>86</v>
      </c>
      <c r="I108" s="39" t="s">
        <v>87</v>
      </c>
    </row>
    <row r="109" customFormat="false" ht="18" hidden="false" customHeight="true" outlineLevel="0" collapsed="false">
      <c r="A109" s="40" t="str">
        <f aca="false">IF($AF109="","",IF($AF109&lt;=1200,IF(INDEX(对接源_01水果!$B$4:$B$1203,$AF109)=0,"",INDEX(对接源_01水果!$B$4:$B$1203,$AF109)),IF(INDEX(对接源_02物料!$B$4:$B$1203,$AF109-1200)=0,"",INDEX(对接源_02物料!$B$4:$B$1203,$AF109-1200))))</f>
        <v/>
      </c>
      <c r="B109" s="42" t="str">
        <f aca="false"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C109" s="41" t="str">
        <f aca="false">IF($AF109="","",IF($AF109&lt;=1200,IF(INDEX(对接源_01水果!$E$4:$E$1203,$AF109)=0,"",INDEX(对接源_01水果!$E$4:$E$1203,$AF109)),IF(INDEX(对接源_02物料!$E$4:$E$1203,$AF109-1200)=0,"",INDEX(对接源_02物料!$E$4:$E$1203,$AF109-1200))))</f>
        <v/>
      </c>
      <c r="D109" s="43" t="str">
        <f aca="false">IF($AF109="","",IF($AF109&lt;=1200,IF(INDEX(对接源_01水果!$T$4:$T$1203,$AF109)=0,"",INDEX(对接源_01水果!$T$4:$T$1203,$AF109)),IF(INDEX(对接源_02物料!$T$4:$T$1203,$AF109-1200)=0,"",INDEX(对接源_02物料!$T$4:$T$1203,$AF109-1200))))</f>
        <v/>
      </c>
      <c r="E109" s="42" t="str">
        <f aca="false">IF($AF109="","",IF($AF109&lt;=1200,IF(INDEX(对接源_01水果!$C$4:$C$1203,$AF109)=0,"",INDEX(对接源_01水果!$C$4:$C$1203,$AF109)),IF(INDEX(对接源_02物料!$C$4:$C$1203,$AF109-1200)=0,"",INDEX(对接源_02物料!$C$4:$C$1203,$AF109-1200))))</f>
        <v/>
      </c>
      <c r="F109" s="41" t="str">
        <f aca="false">IF($AF109="","",IF($AF109&lt;=1200,IF(INDEX(对接源_01水果!$W$4:$W$1203,$AF109)=0,"",INDEX(对接源_01水果!$W$4:$W$1203,$AF109)),IF(INDEX(对接源_02物料!$W$4:$W$1203,$AF109-1200)=0,"",INDEX(对接源_02物料!$W$4:$W$1203,$AF109-1200))))</f>
        <v/>
      </c>
      <c r="G109" s="42" t="str">
        <f aca="false">IF($AF109="","",IF($AF109&lt;=1200,IF(INDEX(对接源_01水果!$D$4:$D$1203,$AF109)=0,"",INDEX(对接源_01水果!$D$4:$D$1203,$AF109)),IF(INDEX(对接源_02物料!$D$4:$D$1203,$AF109-1200)=0,"",INDEX(对接源_02物料!$D$4:$D$1203,$AF109-1200))))</f>
        <v/>
      </c>
      <c r="H109" s="41" t="str">
        <f aca="false">IF($AF109="","",IF($AF109&lt;=1200,"01水果册","02物料册"))</f>
        <v/>
      </c>
      <c r="I109" s="42" t="str">
        <f aca="false"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44" t="str">
        <f aca="false">IFERROR(MATCH(1,_自动清单!$Y$4:$Y$2403,0),"")</f>
        <v/>
      </c>
    </row>
    <row r="110" customFormat="false" ht="18" hidden="false" customHeight="true" outlineLevel="0" collapsed="false">
      <c r="A110" s="45" t="str">
        <f aca="false"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47" t="str">
        <f aca="false"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C110" s="46" t="str">
        <f aca="false"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D110" s="48" t="str">
        <f aca="false">IF($AF110="","",IF($AF110&lt;=1200,IF(INDEX(对接源_01水果!$T$4:$T$1203,$AF110)=0,"",INDEX(对接源_01水果!$T$4:$T$1203,$AF110)),IF(INDEX(对接源_02物料!$T$4:$T$1203,$AF110-1200)=0,"",INDEX(对接源_02物料!$T$4:$T$1203,$AF110-1200))))</f>
        <v/>
      </c>
      <c r="E110" s="47" t="str">
        <f aca="false">IF($AF110="","",IF($AF110&lt;=1200,IF(INDEX(对接源_01水果!$C$4:$C$1203,$AF110)=0,"",INDEX(对接源_01水果!$C$4:$C$1203,$AF110)),IF(INDEX(对接源_02物料!$C$4:$C$1203,$AF110-1200)=0,"",INDEX(对接源_02物料!$C$4:$C$1203,$AF110-1200))))</f>
        <v/>
      </c>
      <c r="F110" s="46" t="str">
        <f aca="false">IF($AF110="","",IF($AF110&lt;=1200,IF(INDEX(对接源_01水果!$W$4:$W$1203,$AF110)=0,"",INDEX(对接源_01水果!$W$4:$W$1203,$AF110)),IF(INDEX(对接源_02物料!$W$4:$W$1203,$AF110-1200)=0,"",INDEX(对接源_02物料!$W$4:$W$1203,$AF110-1200))))</f>
        <v/>
      </c>
      <c r="G110" s="47" t="str">
        <f aca="false">IF($AF110="","",IF($AF110&lt;=1200,IF(INDEX(对接源_01水果!$D$4:$D$1203,$AF110)=0,"",INDEX(对接源_01水果!$D$4:$D$1203,$AF110)),IF(INDEX(对接源_02物料!$D$4:$D$1203,$AF110-1200)=0,"",INDEX(对接源_02物料!$D$4:$D$1203,$AF110-1200))))</f>
        <v/>
      </c>
      <c r="H110" s="46" t="str">
        <f aca="false">IF($AF110="","",IF($AF110&lt;=1200,"01水果册","02物料册"))</f>
        <v/>
      </c>
      <c r="I110" s="47" t="str">
        <f aca="false"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44" t="str">
        <f aca="false">IFERROR(MATCH(2,_自动清单!$Y$4:$Y$2403,0),"")</f>
        <v/>
      </c>
    </row>
    <row r="111" customFormat="false" ht="18" hidden="false" customHeight="true" outlineLevel="0" collapsed="false">
      <c r="A111" s="40" t="str">
        <f aca="false"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42" t="str">
        <f aca="false"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C111" s="41" t="str">
        <f aca="false"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D111" s="43" t="str">
        <f aca="false">IF($AF111="","",IF($AF111&lt;=1200,IF(INDEX(对接源_01水果!$T$4:$T$1203,$AF111)=0,"",INDEX(对接源_01水果!$T$4:$T$1203,$AF111)),IF(INDEX(对接源_02物料!$T$4:$T$1203,$AF111-1200)=0,"",INDEX(对接源_02物料!$T$4:$T$1203,$AF111-1200))))</f>
        <v/>
      </c>
      <c r="E111" s="42" t="str">
        <f aca="false">IF($AF111="","",IF($AF111&lt;=1200,IF(INDEX(对接源_01水果!$C$4:$C$1203,$AF111)=0,"",INDEX(对接源_01水果!$C$4:$C$1203,$AF111)),IF(INDEX(对接源_02物料!$C$4:$C$1203,$AF111-1200)=0,"",INDEX(对接源_02物料!$C$4:$C$1203,$AF111-1200))))</f>
        <v/>
      </c>
      <c r="F111" s="41" t="str">
        <f aca="false"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G111" s="42" t="str">
        <f aca="false">IF($AF111="","",IF($AF111&lt;=1200,IF(INDEX(对接源_01水果!$D$4:$D$1203,$AF111)=0,"",INDEX(对接源_01水果!$D$4:$D$1203,$AF111)),IF(INDEX(对接源_02物料!$D$4:$D$1203,$AF111-1200)=0,"",INDEX(对接源_02物料!$D$4:$D$1203,$AF111-1200))))</f>
        <v/>
      </c>
      <c r="H111" s="41" t="str">
        <f aca="false">IF($AF111="","",IF($AF111&lt;=1200,"01水果册","02物料册"))</f>
        <v/>
      </c>
      <c r="I111" s="42" t="str">
        <f aca="false"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44" t="str">
        <f aca="false">IFERROR(MATCH(3,_自动清单!$Y$4:$Y$2403,0),"")</f>
        <v/>
      </c>
    </row>
    <row r="112" customFormat="false" ht="18" hidden="false" customHeight="true" outlineLevel="0" collapsed="false">
      <c r="A112" s="45" t="str">
        <f aca="false"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47" t="str">
        <f aca="false"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C112" s="46" t="str">
        <f aca="false"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D112" s="48" t="str">
        <f aca="false">IF($AF112="","",IF($AF112&lt;=1200,IF(INDEX(对接源_01水果!$T$4:$T$1203,$AF112)=0,"",INDEX(对接源_01水果!$T$4:$T$1203,$AF112)),IF(INDEX(对接源_02物料!$T$4:$T$1203,$AF112-1200)=0,"",INDEX(对接源_02物料!$T$4:$T$1203,$AF112-1200))))</f>
        <v/>
      </c>
      <c r="E112" s="47" t="str">
        <f aca="false">IF($AF112="","",IF($AF112&lt;=1200,IF(INDEX(对接源_01水果!$C$4:$C$1203,$AF112)=0,"",INDEX(对接源_01水果!$C$4:$C$1203,$AF112)),IF(INDEX(对接源_02物料!$C$4:$C$1203,$AF112-1200)=0,"",INDEX(对接源_02物料!$C$4:$C$1203,$AF112-1200))))</f>
        <v/>
      </c>
      <c r="F112" s="46" t="str">
        <f aca="false">IF($AF112="","",IF($AF112&lt;=1200,IF(INDEX(对接源_01水果!$W$4:$W$1203,$AF112)=0,"",INDEX(对接源_01水果!$W$4:$W$1203,$AF112)),IF(INDEX(对接源_02物料!$W$4:$W$1203,$AF112-1200)=0,"",INDEX(对接源_02物料!$W$4:$W$1203,$AF112-1200))))</f>
        <v/>
      </c>
      <c r="G112" s="47" t="str">
        <f aca="false">IF($AF112="","",IF($AF112&lt;=1200,IF(INDEX(对接源_01水果!$D$4:$D$1203,$AF112)=0,"",INDEX(对接源_01水果!$D$4:$D$1203,$AF112)),IF(INDEX(对接源_02物料!$D$4:$D$1203,$AF112-1200)=0,"",INDEX(对接源_02物料!$D$4:$D$1203,$AF112-1200))))</f>
        <v/>
      </c>
      <c r="H112" s="46" t="str">
        <f aca="false">IF($AF112="","",IF($AF112&lt;=1200,"01水果册","02物料册"))</f>
        <v/>
      </c>
      <c r="I112" s="47" t="str">
        <f aca="false"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44" t="str">
        <f aca="false">IFERROR(MATCH(4,_自动清单!$Y$4:$Y$2403,0),"")</f>
        <v/>
      </c>
    </row>
    <row r="113" customFormat="false" ht="18" hidden="false" customHeight="true" outlineLevel="0" collapsed="false">
      <c r="A113" s="40" t="str">
        <f aca="false"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42" t="str">
        <f aca="false"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C113" s="41" t="str">
        <f aca="false"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D113" s="43" t="str">
        <f aca="false">IF($AF113="","",IF($AF113&lt;=1200,IF(INDEX(对接源_01水果!$T$4:$T$1203,$AF113)=0,"",INDEX(对接源_01水果!$T$4:$T$1203,$AF113)),IF(INDEX(对接源_02物料!$T$4:$T$1203,$AF113-1200)=0,"",INDEX(对接源_02物料!$T$4:$T$1203,$AF113-1200))))</f>
        <v/>
      </c>
      <c r="E113" s="42" t="str">
        <f aca="false">IF($AF113="","",IF($AF113&lt;=1200,IF(INDEX(对接源_01水果!$C$4:$C$1203,$AF113)=0,"",INDEX(对接源_01水果!$C$4:$C$1203,$AF113)),IF(INDEX(对接源_02物料!$C$4:$C$1203,$AF113-1200)=0,"",INDEX(对接源_02物料!$C$4:$C$1203,$AF113-1200))))</f>
        <v/>
      </c>
      <c r="F113" s="41" t="str">
        <f aca="false">IF($AF113="","",IF($AF113&lt;=1200,IF(INDEX(对接源_01水果!$W$4:$W$1203,$AF113)=0,"",INDEX(对接源_01水果!$W$4:$W$1203,$AF113)),IF(INDEX(对接源_02物料!$W$4:$W$1203,$AF113-1200)=0,"",INDEX(对接源_02物料!$W$4:$W$1203,$AF113-1200))))</f>
        <v/>
      </c>
      <c r="G113" s="42" t="str">
        <f aca="false">IF($AF113="","",IF($AF113&lt;=1200,IF(INDEX(对接源_01水果!$D$4:$D$1203,$AF113)=0,"",INDEX(对接源_01水果!$D$4:$D$1203,$AF113)),IF(INDEX(对接源_02物料!$D$4:$D$1203,$AF113-1200)=0,"",INDEX(对接源_02物料!$D$4:$D$1203,$AF113-1200))))</f>
        <v/>
      </c>
      <c r="H113" s="41" t="str">
        <f aca="false">IF($AF113="","",IF($AF113&lt;=1200,"01水果册","02物料册"))</f>
        <v/>
      </c>
      <c r="I113" s="42" t="str">
        <f aca="false"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44" t="str">
        <f aca="false">IFERROR(MATCH(5,_自动清单!$Y$4:$Y$2403,0),"")</f>
        <v/>
      </c>
    </row>
    <row r="114" customFormat="false" ht="18" hidden="false" customHeight="true" outlineLevel="0" collapsed="false">
      <c r="A114" s="45" t="str">
        <f aca="false"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47" t="str">
        <f aca="false"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C114" s="46" t="str">
        <f aca="false"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D114" s="48" t="str">
        <f aca="false">IF($AF114="","",IF($AF114&lt;=1200,IF(INDEX(对接源_01水果!$T$4:$T$1203,$AF114)=0,"",INDEX(对接源_01水果!$T$4:$T$1203,$AF114)),IF(INDEX(对接源_02物料!$T$4:$T$1203,$AF114-1200)=0,"",INDEX(对接源_02物料!$T$4:$T$1203,$AF114-1200))))</f>
        <v/>
      </c>
      <c r="E114" s="47" t="str">
        <f aca="false">IF($AF114="","",IF($AF114&lt;=1200,IF(INDEX(对接源_01水果!$C$4:$C$1203,$AF114)=0,"",INDEX(对接源_01水果!$C$4:$C$1203,$AF114)),IF(INDEX(对接源_02物料!$C$4:$C$1203,$AF114-1200)=0,"",INDEX(对接源_02物料!$C$4:$C$1203,$AF114-1200))))</f>
        <v/>
      </c>
      <c r="F114" s="46" t="str">
        <f aca="false"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G114" s="47" t="str">
        <f aca="false">IF($AF114="","",IF($AF114&lt;=1200,IF(INDEX(对接源_01水果!$D$4:$D$1203,$AF114)=0,"",INDEX(对接源_01水果!$D$4:$D$1203,$AF114)),IF(INDEX(对接源_02物料!$D$4:$D$1203,$AF114-1200)=0,"",INDEX(对接源_02物料!$D$4:$D$1203,$AF114-1200))))</f>
        <v/>
      </c>
      <c r="H114" s="46" t="str">
        <f aca="false">IF($AF114="","",IF($AF114&lt;=1200,"01水果册","02物料册"))</f>
        <v/>
      </c>
      <c r="I114" s="47" t="str">
        <f aca="false"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44" t="str">
        <f aca="false">IFERROR(MATCH(6,_自动清单!$Y$4:$Y$2403,0),"")</f>
        <v/>
      </c>
    </row>
    <row r="115" customFormat="false" ht="18" hidden="false" customHeight="true" outlineLevel="0" collapsed="false">
      <c r="A115" s="40" t="str">
        <f aca="false"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42" t="str">
        <f aca="false"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C115" s="41" t="str">
        <f aca="false"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D115" s="43" t="str">
        <f aca="false">IF($AF115="","",IF($AF115&lt;=1200,IF(INDEX(对接源_01水果!$T$4:$T$1203,$AF115)=0,"",INDEX(对接源_01水果!$T$4:$T$1203,$AF115)),IF(INDEX(对接源_02物料!$T$4:$T$1203,$AF115-1200)=0,"",INDEX(对接源_02物料!$T$4:$T$1203,$AF115-1200))))</f>
        <v/>
      </c>
      <c r="E115" s="42" t="str">
        <f aca="false">IF($AF115="","",IF($AF115&lt;=1200,IF(INDEX(对接源_01水果!$C$4:$C$1203,$AF115)=0,"",INDEX(对接源_01水果!$C$4:$C$1203,$AF115)),IF(INDEX(对接源_02物料!$C$4:$C$1203,$AF115-1200)=0,"",INDEX(对接源_02物料!$C$4:$C$1203,$AF115-1200))))</f>
        <v/>
      </c>
      <c r="F115" s="41" t="str">
        <f aca="false"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G115" s="42" t="str">
        <f aca="false">IF($AF115="","",IF($AF115&lt;=1200,IF(INDEX(对接源_01水果!$D$4:$D$1203,$AF115)=0,"",INDEX(对接源_01水果!$D$4:$D$1203,$AF115)),IF(INDEX(对接源_02物料!$D$4:$D$1203,$AF115-1200)=0,"",INDEX(对接源_02物料!$D$4:$D$1203,$AF115-1200))))</f>
        <v/>
      </c>
      <c r="H115" s="41" t="str">
        <f aca="false">IF($AF115="","",IF($AF115&lt;=1200,"01水果册","02物料册"))</f>
        <v/>
      </c>
      <c r="I115" s="42" t="str">
        <f aca="false"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44" t="str">
        <f aca="false">IFERROR(MATCH(7,_自动清单!$Y$4:$Y$2403,0),"")</f>
        <v/>
      </c>
    </row>
    <row r="116" customFormat="false" ht="18" hidden="false" customHeight="true" outlineLevel="0" collapsed="false">
      <c r="A116" s="45" t="str">
        <f aca="false"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47" t="str">
        <f aca="false"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C116" s="46" t="str">
        <f aca="false"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D116" s="48" t="str">
        <f aca="false">IF($AF116="","",IF($AF116&lt;=1200,IF(INDEX(对接源_01水果!$T$4:$T$1203,$AF116)=0,"",INDEX(对接源_01水果!$T$4:$T$1203,$AF116)),IF(INDEX(对接源_02物料!$T$4:$T$1203,$AF116-1200)=0,"",INDEX(对接源_02物料!$T$4:$T$1203,$AF116-1200))))</f>
        <v/>
      </c>
      <c r="E116" s="47" t="str">
        <f aca="false">IF($AF116="","",IF($AF116&lt;=1200,IF(INDEX(对接源_01水果!$C$4:$C$1203,$AF116)=0,"",INDEX(对接源_01水果!$C$4:$C$1203,$AF116)),IF(INDEX(对接源_02物料!$C$4:$C$1203,$AF116-1200)=0,"",INDEX(对接源_02物料!$C$4:$C$1203,$AF116-1200))))</f>
        <v/>
      </c>
      <c r="F116" s="46" t="str">
        <f aca="false"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G116" s="47" t="str">
        <f aca="false">IF($AF116="","",IF($AF116&lt;=1200,IF(INDEX(对接源_01水果!$D$4:$D$1203,$AF116)=0,"",INDEX(对接源_01水果!$D$4:$D$1203,$AF116)),IF(INDEX(对接源_02物料!$D$4:$D$1203,$AF116-1200)=0,"",INDEX(对接源_02物料!$D$4:$D$1203,$AF116-1200))))</f>
        <v/>
      </c>
      <c r="H116" s="46" t="str">
        <f aca="false">IF($AF116="","",IF($AF116&lt;=1200,"01水果册","02物料册"))</f>
        <v/>
      </c>
      <c r="I116" s="47" t="str">
        <f aca="false"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44" t="str">
        <f aca="false">IFERROR(MATCH(8,_自动清单!$Y$4:$Y$2403,0),"")</f>
        <v/>
      </c>
    </row>
    <row r="117" customFormat="false" ht="18" hidden="false" customHeight="true" outlineLevel="0" collapsed="false">
      <c r="A117" s="40" t="str">
        <f aca="false"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42" t="str">
        <f aca="false"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C117" s="41" t="str">
        <f aca="false"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D117" s="43" t="str">
        <f aca="false">IF($AF117="","",IF($AF117&lt;=1200,IF(INDEX(对接源_01水果!$T$4:$T$1203,$AF117)=0,"",INDEX(对接源_01水果!$T$4:$T$1203,$AF117)),IF(INDEX(对接源_02物料!$T$4:$T$1203,$AF117-1200)=0,"",INDEX(对接源_02物料!$T$4:$T$1203,$AF117-1200))))</f>
        <v/>
      </c>
      <c r="E117" s="42" t="str">
        <f aca="false">IF($AF117="","",IF($AF117&lt;=1200,IF(INDEX(对接源_01水果!$C$4:$C$1203,$AF117)=0,"",INDEX(对接源_01水果!$C$4:$C$1203,$AF117)),IF(INDEX(对接源_02物料!$C$4:$C$1203,$AF117-1200)=0,"",INDEX(对接源_02物料!$C$4:$C$1203,$AF117-1200))))</f>
        <v/>
      </c>
      <c r="F117" s="41" t="str">
        <f aca="false"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G117" s="42" t="str">
        <f aca="false">IF($AF117="","",IF($AF117&lt;=1200,IF(INDEX(对接源_01水果!$D$4:$D$1203,$AF117)=0,"",INDEX(对接源_01水果!$D$4:$D$1203,$AF117)),IF(INDEX(对接源_02物料!$D$4:$D$1203,$AF117-1200)=0,"",INDEX(对接源_02物料!$D$4:$D$1203,$AF117-1200))))</f>
        <v/>
      </c>
      <c r="H117" s="41" t="str">
        <f aca="false">IF($AF117="","",IF($AF117&lt;=1200,"01水果册","02物料册"))</f>
        <v/>
      </c>
      <c r="I117" s="42" t="str">
        <f aca="false"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44" t="str">
        <f aca="false">IFERROR(MATCH(9,_自动清单!$Y$4:$Y$2403,0),"")</f>
        <v/>
      </c>
    </row>
    <row r="118" customFormat="false" ht="18" hidden="false" customHeight="true" outlineLevel="0" collapsed="false">
      <c r="A118" s="45" t="str">
        <f aca="false"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47" t="str">
        <f aca="false"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C118" s="46" t="str">
        <f aca="false"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D118" s="48" t="str">
        <f aca="false">IF($AF118="","",IF($AF118&lt;=1200,IF(INDEX(对接源_01水果!$T$4:$T$1203,$AF118)=0,"",INDEX(对接源_01水果!$T$4:$T$1203,$AF118)),IF(INDEX(对接源_02物料!$T$4:$T$1203,$AF118-1200)=0,"",INDEX(对接源_02物料!$T$4:$T$1203,$AF118-1200))))</f>
        <v/>
      </c>
      <c r="E118" s="47" t="str">
        <f aca="false">IF($AF118="","",IF($AF118&lt;=1200,IF(INDEX(对接源_01水果!$C$4:$C$1203,$AF118)=0,"",INDEX(对接源_01水果!$C$4:$C$1203,$AF118)),IF(INDEX(对接源_02物料!$C$4:$C$1203,$AF118-1200)=0,"",INDEX(对接源_02物料!$C$4:$C$1203,$AF118-1200))))</f>
        <v/>
      </c>
      <c r="F118" s="46" t="str">
        <f aca="false"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G118" s="47" t="str">
        <f aca="false">IF($AF118="","",IF($AF118&lt;=1200,IF(INDEX(对接源_01水果!$D$4:$D$1203,$AF118)=0,"",INDEX(对接源_01水果!$D$4:$D$1203,$AF118)),IF(INDEX(对接源_02物料!$D$4:$D$1203,$AF118-1200)=0,"",INDEX(对接源_02物料!$D$4:$D$1203,$AF118-1200))))</f>
        <v/>
      </c>
      <c r="H118" s="46" t="str">
        <f aca="false">IF($AF118="","",IF($AF118&lt;=1200,"01水果册","02物料册"))</f>
        <v/>
      </c>
      <c r="I118" s="47" t="str">
        <f aca="false"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44" t="str">
        <f aca="false">IFERROR(MATCH(10,_自动清单!$Y$4:$Y$2403,0),"")</f>
        <v/>
      </c>
    </row>
    <row r="119" customFormat="false" ht="18" hidden="false" customHeight="true" outlineLevel="0" collapsed="false">
      <c r="A119" s="40" t="str">
        <f aca="false"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42" t="str">
        <f aca="false"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C119" s="41" t="str">
        <f aca="false"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D119" s="43" t="str">
        <f aca="false">IF($AF119="","",IF($AF119&lt;=1200,IF(INDEX(对接源_01水果!$T$4:$T$1203,$AF119)=0,"",INDEX(对接源_01水果!$T$4:$T$1203,$AF119)),IF(INDEX(对接源_02物料!$T$4:$T$1203,$AF119-1200)=0,"",INDEX(对接源_02物料!$T$4:$T$1203,$AF119-1200))))</f>
        <v/>
      </c>
      <c r="E119" s="42" t="str">
        <f aca="false">IF($AF119="","",IF($AF119&lt;=1200,IF(INDEX(对接源_01水果!$C$4:$C$1203,$AF119)=0,"",INDEX(对接源_01水果!$C$4:$C$1203,$AF119)),IF(INDEX(对接源_02物料!$C$4:$C$1203,$AF119-1200)=0,"",INDEX(对接源_02物料!$C$4:$C$1203,$AF119-1200))))</f>
        <v/>
      </c>
      <c r="F119" s="41" t="str">
        <f aca="false"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G119" s="42" t="str">
        <f aca="false">IF($AF119="","",IF($AF119&lt;=1200,IF(INDEX(对接源_01水果!$D$4:$D$1203,$AF119)=0,"",INDEX(对接源_01水果!$D$4:$D$1203,$AF119)),IF(INDEX(对接源_02物料!$D$4:$D$1203,$AF119-1200)=0,"",INDEX(对接源_02物料!$D$4:$D$1203,$AF119-1200))))</f>
        <v/>
      </c>
      <c r="H119" s="41" t="str">
        <f aca="false">IF($AF119="","",IF($AF119&lt;=1200,"01水果册","02物料册"))</f>
        <v/>
      </c>
      <c r="I119" s="42" t="str">
        <f aca="false"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44" t="str">
        <f aca="false">IFERROR(MATCH(11,_自动清单!$Y$4:$Y$2403,0),"")</f>
        <v/>
      </c>
    </row>
    <row r="120" customFormat="false" ht="18" hidden="false" customHeight="true" outlineLevel="0" collapsed="false">
      <c r="A120" s="45" t="str">
        <f aca="false"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47" t="str">
        <f aca="false"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C120" s="46" t="str">
        <f aca="false"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D120" s="48" t="str">
        <f aca="false">IF($AF120="","",IF($AF120&lt;=1200,IF(INDEX(对接源_01水果!$T$4:$T$1203,$AF120)=0,"",INDEX(对接源_01水果!$T$4:$T$1203,$AF120)),IF(INDEX(对接源_02物料!$T$4:$T$1203,$AF120-1200)=0,"",INDEX(对接源_02物料!$T$4:$T$1203,$AF120-1200))))</f>
        <v/>
      </c>
      <c r="E120" s="47" t="str">
        <f aca="false">IF($AF120="","",IF($AF120&lt;=1200,IF(INDEX(对接源_01水果!$C$4:$C$1203,$AF120)=0,"",INDEX(对接源_01水果!$C$4:$C$1203,$AF120)),IF(INDEX(对接源_02物料!$C$4:$C$1203,$AF120-1200)=0,"",INDEX(对接源_02物料!$C$4:$C$1203,$AF120-1200))))</f>
        <v/>
      </c>
      <c r="F120" s="46" t="str">
        <f aca="false"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G120" s="47" t="str">
        <f aca="false">IF($AF120="","",IF($AF120&lt;=1200,IF(INDEX(对接源_01水果!$D$4:$D$1203,$AF120)=0,"",INDEX(对接源_01水果!$D$4:$D$1203,$AF120)),IF(INDEX(对接源_02物料!$D$4:$D$1203,$AF120-1200)=0,"",INDEX(对接源_02物料!$D$4:$D$1203,$AF120-1200))))</f>
        <v/>
      </c>
      <c r="H120" s="46" t="str">
        <f aca="false">IF($AF120="","",IF($AF120&lt;=1200,"01水果册","02物料册"))</f>
        <v/>
      </c>
      <c r="I120" s="47" t="str">
        <f aca="false"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44" t="str">
        <f aca="false">IFERROR(MATCH(12,_自动清单!$Y$4:$Y$2403,0),"")</f>
        <v/>
      </c>
    </row>
    <row r="121" customFormat="false" ht="18" hidden="false" customHeight="true" outlineLevel="0" collapsed="false">
      <c r="A121" s="40" t="str">
        <f aca="false"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42" t="str">
        <f aca="false"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C121" s="41" t="str">
        <f aca="false"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D121" s="43" t="str">
        <f aca="false">IF($AF121="","",IF($AF121&lt;=1200,IF(INDEX(对接源_01水果!$T$4:$T$1203,$AF121)=0,"",INDEX(对接源_01水果!$T$4:$T$1203,$AF121)),IF(INDEX(对接源_02物料!$T$4:$T$1203,$AF121-1200)=0,"",INDEX(对接源_02物料!$T$4:$T$1203,$AF121-1200))))</f>
        <v/>
      </c>
      <c r="E121" s="42" t="str">
        <f aca="false">IF($AF121="","",IF($AF121&lt;=1200,IF(INDEX(对接源_01水果!$C$4:$C$1203,$AF121)=0,"",INDEX(对接源_01水果!$C$4:$C$1203,$AF121)),IF(INDEX(对接源_02物料!$C$4:$C$1203,$AF121-1200)=0,"",INDEX(对接源_02物料!$C$4:$C$1203,$AF121-1200))))</f>
        <v/>
      </c>
      <c r="F121" s="41" t="str">
        <f aca="false"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G121" s="42" t="str">
        <f aca="false">IF($AF121="","",IF($AF121&lt;=1200,IF(INDEX(对接源_01水果!$D$4:$D$1203,$AF121)=0,"",INDEX(对接源_01水果!$D$4:$D$1203,$AF121)),IF(INDEX(对接源_02物料!$D$4:$D$1203,$AF121-1200)=0,"",INDEX(对接源_02物料!$D$4:$D$1203,$AF121-1200))))</f>
        <v/>
      </c>
      <c r="H121" s="41" t="str">
        <f aca="false">IF($AF121="","",IF($AF121&lt;=1200,"01水果册","02物料册"))</f>
        <v/>
      </c>
      <c r="I121" s="42" t="str">
        <f aca="false"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44" t="str">
        <f aca="false">IFERROR(MATCH(13,_自动清单!$Y$4:$Y$2403,0),"")</f>
        <v/>
      </c>
    </row>
    <row r="122" customFormat="false" ht="18" hidden="false" customHeight="true" outlineLevel="0" collapsed="false">
      <c r="A122" s="45" t="str">
        <f aca="false"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47" t="str">
        <f aca="false"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C122" s="46" t="str">
        <f aca="false"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D122" s="48" t="str">
        <f aca="false">IF($AF122="","",IF($AF122&lt;=1200,IF(INDEX(对接源_01水果!$T$4:$T$1203,$AF122)=0,"",INDEX(对接源_01水果!$T$4:$T$1203,$AF122)),IF(INDEX(对接源_02物料!$T$4:$T$1203,$AF122-1200)=0,"",INDEX(对接源_02物料!$T$4:$T$1203,$AF122-1200))))</f>
        <v/>
      </c>
      <c r="E122" s="47" t="str">
        <f aca="false">IF($AF122="","",IF($AF122&lt;=1200,IF(INDEX(对接源_01水果!$C$4:$C$1203,$AF122)=0,"",INDEX(对接源_01水果!$C$4:$C$1203,$AF122)),IF(INDEX(对接源_02物料!$C$4:$C$1203,$AF122-1200)=0,"",INDEX(对接源_02物料!$C$4:$C$1203,$AF122-1200))))</f>
        <v/>
      </c>
      <c r="F122" s="46" t="str">
        <f aca="false"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G122" s="47" t="str">
        <f aca="false">IF($AF122="","",IF($AF122&lt;=1200,IF(INDEX(对接源_01水果!$D$4:$D$1203,$AF122)=0,"",INDEX(对接源_01水果!$D$4:$D$1203,$AF122)),IF(INDEX(对接源_02物料!$D$4:$D$1203,$AF122-1200)=0,"",INDEX(对接源_02物料!$D$4:$D$1203,$AF122-1200))))</f>
        <v/>
      </c>
      <c r="H122" s="46" t="str">
        <f aca="false">IF($AF122="","",IF($AF122&lt;=1200,"01水果册","02物料册"))</f>
        <v/>
      </c>
      <c r="I122" s="47" t="str">
        <f aca="false"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44" t="str">
        <f aca="false">IFERROR(MATCH(14,_自动清单!$Y$4:$Y$2403,0),"")</f>
        <v/>
      </c>
    </row>
    <row r="123" customFormat="false" ht="18" hidden="false" customHeight="true" outlineLevel="0" collapsed="false">
      <c r="A123" s="40" t="str">
        <f aca="false"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42" t="str">
        <f aca="false"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C123" s="41" t="str">
        <f aca="false"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D123" s="43" t="str">
        <f aca="false">IF($AF123="","",IF($AF123&lt;=1200,IF(INDEX(对接源_01水果!$T$4:$T$1203,$AF123)=0,"",INDEX(对接源_01水果!$T$4:$T$1203,$AF123)),IF(INDEX(对接源_02物料!$T$4:$T$1203,$AF123-1200)=0,"",INDEX(对接源_02物料!$T$4:$T$1203,$AF123-1200))))</f>
        <v/>
      </c>
      <c r="E123" s="42" t="str">
        <f aca="false">IF($AF123="","",IF($AF123&lt;=1200,IF(INDEX(对接源_01水果!$C$4:$C$1203,$AF123)=0,"",INDEX(对接源_01水果!$C$4:$C$1203,$AF123)),IF(INDEX(对接源_02物料!$C$4:$C$1203,$AF123-1200)=0,"",INDEX(对接源_02物料!$C$4:$C$1203,$AF123-1200))))</f>
        <v/>
      </c>
      <c r="F123" s="41" t="str">
        <f aca="false"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G123" s="42" t="str">
        <f aca="false">IF($AF123="","",IF($AF123&lt;=1200,IF(INDEX(对接源_01水果!$D$4:$D$1203,$AF123)=0,"",INDEX(对接源_01水果!$D$4:$D$1203,$AF123)),IF(INDEX(对接源_02物料!$D$4:$D$1203,$AF123-1200)=0,"",INDEX(对接源_02物料!$D$4:$D$1203,$AF123-1200))))</f>
        <v/>
      </c>
      <c r="H123" s="41" t="str">
        <f aca="false">IF($AF123="","",IF($AF123&lt;=1200,"01水果册","02物料册"))</f>
        <v/>
      </c>
      <c r="I123" s="42" t="str">
        <f aca="false"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44" t="str">
        <f aca="false">IFERROR(MATCH(15,_自动清单!$Y$4:$Y$2403,0),"")</f>
        <v/>
      </c>
    </row>
    <row r="124" customFormat="false" ht="18" hidden="false" customHeight="true" outlineLevel="0" collapsed="false">
      <c r="A124" s="45" t="str">
        <f aca="false"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47" t="str">
        <f aca="false"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C124" s="46" t="str">
        <f aca="false"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D124" s="48" t="str">
        <f aca="false">IF($AF124="","",IF($AF124&lt;=1200,IF(INDEX(对接源_01水果!$T$4:$T$1203,$AF124)=0,"",INDEX(对接源_01水果!$T$4:$T$1203,$AF124)),IF(INDEX(对接源_02物料!$T$4:$T$1203,$AF124-1200)=0,"",INDEX(对接源_02物料!$T$4:$T$1203,$AF124-1200))))</f>
        <v/>
      </c>
      <c r="E124" s="47" t="str">
        <f aca="false">IF($AF124="","",IF($AF124&lt;=1200,IF(INDEX(对接源_01水果!$C$4:$C$1203,$AF124)=0,"",INDEX(对接源_01水果!$C$4:$C$1203,$AF124)),IF(INDEX(对接源_02物料!$C$4:$C$1203,$AF124-1200)=0,"",INDEX(对接源_02物料!$C$4:$C$1203,$AF124-1200))))</f>
        <v/>
      </c>
      <c r="F124" s="46" t="str">
        <f aca="false"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G124" s="47" t="str">
        <f aca="false">IF($AF124="","",IF($AF124&lt;=1200,IF(INDEX(对接源_01水果!$D$4:$D$1203,$AF124)=0,"",INDEX(对接源_01水果!$D$4:$D$1203,$AF124)),IF(INDEX(对接源_02物料!$D$4:$D$1203,$AF124-1200)=0,"",INDEX(对接源_02物料!$D$4:$D$1203,$AF124-1200))))</f>
        <v/>
      </c>
      <c r="H124" s="46" t="str">
        <f aca="false">IF($AF124="","",IF($AF124&lt;=1200,"01水果册","02物料册"))</f>
        <v/>
      </c>
      <c r="I124" s="47" t="str">
        <f aca="false"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44" t="str">
        <f aca="false">IFERROR(MATCH(16,_自动清单!$Y$4:$Y$2403,0),"")</f>
        <v/>
      </c>
    </row>
    <row r="125" customFormat="false" ht="18" hidden="false" customHeight="true" outlineLevel="0" collapsed="false">
      <c r="A125" s="40" t="str">
        <f aca="false"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42" t="str">
        <f aca="false"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C125" s="41" t="str">
        <f aca="false"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D125" s="43" t="str">
        <f aca="false">IF($AF125="","",IF($AF125&lt;=1200,IF(INDEX(对接源_01水果!$T$4:$T$1203,$AF125)=0,"",INDEX(对接源_01水果!$T$4:$T$1203,$AF125)),IF(INDEX(对接源_02物料!$T$4:$T$1203,$AF125-1200)=0,"",INDEX(对接源_02物料!$T$4:$T$1203,$AF125-1200))))</f>
        <v/>
      </c>
      <c r="E125" s="42" t="str">
        <f aca="false">IF($AF125="","",IF($AF125&lt;=1200,IF(INDEX(对接源_01水果!$C$4:$C$1203,$AF125)=0,"",INDEX(对接源_01水果!$C$4:$C$1203,$AF125)),IF(INDEX(对接源_02物料!$C$4:$C$1203,$AF125-1200)=0,"",INDEX(对接源_02物料!$C$4:$C$1203,$AF125-1200))))</f>
        <v/>
      </c>
      <c r="F125" s="41" t="str">
        <f aca="false"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G125" s="42" t="str">
        <f aca="false">IF($AF125="","",IF($AF125&lt;=1200,IF(INDEX(对接源_01水果!$D$4:$D$1203,$AF125)=0,"",INDEX(对接源_01水果!$D$4:$D$1203,$AF125)),IF(INDEX(对接源_02物料!$D$4:$D$1203,$AF125-1200)=0,"",INDEX(对接源_02物料!$D$4:$D$1203,$AF125-1200))))</f>
        <v/>
      </c>
      <c r="H125" s="41" t="str">
        <f aca="false">IF($AF125="","",IF($AF125&lt;=1200,"01水果册","02物料册"))</f>
        <v/>
      </c>
      <c r="I125" s="42" t="str">
        <f aca="false"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44" t="str">
        <f aca="false">IFERROR(MATCH(17,_自动清单!$Y$4:$Y$2403,0),"")</f>
        <v/>
      </c>
    </row>
    <row r="126" customFormat="false" ht="18" hidden="false" customHeight="true" outlineLevel="0" collapsed="false">
      <c r="A126" s="45" t="str">
        <f aca="false"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47" t="str">
        <f aca="false"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C126" s="46" t="str">
        <f aca="false"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D126" s="48" t="str">
        <f aca="false">IF($AF126="","",IF($AF126&lt;=1200,IF(INDEX(对接源_01水果!$T$4:$T$1203,$AF126)=0,"",INDEX(对接源_01水果!$T$4:$T$1203,$AF126)),IF(INDEX(对接源_02物料!$T$4:$T$1203,$AF126-1200)=0,"",INDEX(对接源_02物料!$T$4:$T$1203,$AF126-1200))))</f>
        <v/>
      </c>
      <c r="E126" s="47" t="str">
        <f aca="false">IF($AF126="","",IF($AF126&lt;=1200,IF(INDEX(对接源_01水果!$C$4:$C$1203,$AF126)=0,"",INDEX(对接源_01水果!$C$4:$C$1203,$AF126)),IF(INDEX(对接源_02物料!$C$4:$C$1203,$AF126-1200)=0,"",INDEX(对接源_02物料!$C$4:$C$1203,$AF126-1200))))</f>
        <v/>
      </c>
      <c r="F126" s="46" t="str">
        <f aca="false"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G126" s="47" t="str">
        <f aca="false">IF($AF126="","",IF($AF126&lt;=1200,IF(INDEX(对接源_01水果!$D$4:$D$1203,$AF126)=0,"",INDEX(对接源_01水果!$D$4:$D$1203,$AF126)),IF(INDEX(对接源_02物料!$D$4:$D$1203,$AF126-1200)=0,"",INDEX(对接源_02物料!$D$4:$D$1203,$AF126-1200))))</f>
        <v/>
      </c>
      <c r="H126" s="46" t="str">
        <f aca="false">IF($AF126="","",IF($AF126&lt;=1200,"01水果册","02物料册"))</f>
        <v/>
      </c>
      <c r="I126" s="47" t="str">
        <f aca="false"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44" t="str">
        <f aca="false">IFERROR(MATCH(18,_自动清单!$Y$4:$Y$2403,0),"")</f>
        <v/>
      </c>
    </row>
    <row r="127" customFormat="false" ht="18" hidden="false" customHeight="true" outlineLevel="0" collapsed="false">
      <c r="A127" s="40" t="str">
        <f aca="false"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42" t="str">
        <f aca="false"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C127" s="41" t="str">
        <f aca="false"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D127" s="43" t="str">
        <f aca="false">IF($AF127="","",IF($AF127&lt;=1200,IF(INDEX(对接源_01水果!$T$4:$T$1203,$AF127)=0,"",INDEX(对接源_01水果!$T$4:$T$1203,$AF127)),IF(INDEX(对接源_02物料!$T$4:$T$1203,$AF127-1200)=0,"",INDEX(对接源_02物料!$T$4:$T$1203,$AF127-1200))))</f>
        <v/>
      </c>
      <c r="E127" s="42" t="str">
        <f aca="false">IF($AF127="","",IF($AF127&lt;=1200,IF(INDEX(对接源_01水果!$C$4:$C$1203,$AF127)=0,"",INDEX(对接源_01水果!$C$4:$C$1203,$AF127)),IF(INDEX(对接源_02物料!$C$4:$C$1203,$AF127-1200)=0,"",INDEX(对接源_02物料!$C$4:$C$1203,$AF127-1200))))</f>
        <v/>
      </c>
      <c r="F127" s="41" t="str">
        <f aca="false"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G127" s="42" t="str">
        <f aca="false">IF($AF127="","",IF($AF127&lt;=1200,IF(INDEX(对接源_01水果!$D$4:$D$1203,$AF127)=0,"",INDEX(对接源_01水果!$D$4:$D$1203,$AF127)),IF(INDEX(对接源_02物料!$D$4:$D$1203,$AF127-1200)=0,"",INDEX(对接源_02物料!$D$4:$D$1203,$AF127-1200))))</f>
        <v/>
      </c>
      <c r="H127" s="41" t="str">
        <f aca="false">IF($AF127="","",IF($AF127&lt;=1200,"01水果册","02物料册"))</f>
        <v/>
      </c>
      <c r="I127" s="42" t="str">
        <f aca="false"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44" t="str">
        <f aca="false">IFERROR(MATCH(19,_自动清单!$Y$4:$Y$2403,0),"")</f>
        <v/>
      </c>
    </row>
    <row r="128" customFormat="false" ht="18" hidden="false" customHeight="true" outlineLevel="0" collapsed="false">
      <c r="A128" s="45" t="str">
        <f aca="false"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47" t="str">
        <f aca="false"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C128" s="46" t="str">
        <f aca="false"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D128" s="48" t="str">
        <f aca="false">IF($AF128="","",IF($AF128&lt;=1200,IF(INDEX(对接源_01水果!$T$4:$T$1203,$AF128)=0,"",INDEX(对接源_01水果!$T$4:$T$1203,$AF128)),IF(INDEX(对接源_02物料!$T$4:$T$1203,$AF128-1200)=0,"",INDEX(对接源_02物料!$T$4:$T$1203,$AF128-1200))))</f>
        <v/>
      </c>
      <c r="E128" s="47" t="str">
        <f aca="false">IF($AF128="","",IF($AF128&lt;=1200,IF(INDEX(对接源_01水果!$C$4:$C$1203,$AF128)=0,"",INDEX(对接源_01水果!$C$4:$C$1203,$AF128)),IF(INDEX(对接源_02物料!$C$4:$C$1203,$AF128-1200)=0,"",INDEX(对接源_02物料!$C$4:$C$1203,$AF128-1200))))</f>
        <v/>
      </c>
      <c r="F128" s="46" t="str">
        <f aca="false"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G128" s="47" t="str">
        <f aca="false">IF($AF128="","",IF($AF128&lt;=1200,IF(INDEX(对接源_01水果!$D$4:$D$1203,$AF128)=0,"",INDEX(对接源_01水果!$D$4:$D$1203,$AF128)),IF(INDEX(对接源_02物料!$D$4:$D$1203,$AF128-1200)=0,"",INDEX(对接源_02物料!$D$4:$D$1203,$AF128-1200))))</f>
        <v/>
      </c>
      <c r="H128" s="46" t="str">
        <f aca="false">IF($AF128="","",IF($AF128&lt;=1200,"01水果册","02物料册"))</f>
        <v/>
      </c>
      <c r="I128" s="47" t="str">
        <f aca="false"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44" t="str">
        <f aca="false">IFERROR(MATCH(20,_自动清单!$Y$4:$Y$2403,0),"")</f>
        <v/>
      </c>
    </row>
    <row r="129" customFormat="false" ht="18" hidden="false" customHeight="true" outlineLevel="0" collapsed="false">
      <c r="A129" s="40" t="str">
        <f aca="false"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42" t="str">
        <f aca="false"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C129" s="41" t="str">
        <f aca="false"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D129" s="43" t="str">
        <f aca="false">IF($AF129="","",IF($AF129&lt;=1200,IF(INDEX(对接源_01水果!$T$4:$T$1203,$AF129)=0,"",INDEX(对接源_01水果!$T$4:$T$1203,$AF129)),IF(INDEX(对接源_02物料!$T$4:$T$1203,$AF129-1200)=0,"",INDEX(对接源_02物料!$T$4:$T$1203,$AF129-1200))))</f>
        <v/>
      </c>
      <c r="E129" s="42" t="str">
        <f aca="false">IF($AF129="","",IF($AF129&lt;=1200,IF(INDEX(对接源_01水果!$C$4:$C$1203,$AF129)=0,"",INDEX(对接源_01水果!$C$4:$C$1203,$AF129)),IF(INDEX(对接源_02物料!$C$4:$C$1203,$AF129-1200)=0,"",INDEX(对接源_02物料!$C$4:$C$1203,$AF129-1200))))</f>
        <v/>
      </c>
      <c r="F129" s="41" t="str">
        <f aca="false"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G129" s="42" t="str">
        <f aca="false"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H129" s="41" t="str">
        <f aca="false">IF($AF129="","",IF($AF129&lt;=1200,"01水果册","02物料册"))</f>
        <v/>
      </c>
      <c r="I129" s="42" t="str">
        <f aca="false"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44" t="str">
        <f aca="false">IFERROR(MATCH(21,_自动清单!$Y$4:$Y$2403,0),"")</f>
        <v/>
      </c>
    </row>
    <row r="130" customFormat="false" ht="18" hidden="false" customHeight="true" outlineLevel="0" collapsed="false">
      <c r="A130" s="45" t="str">
        <f aca="false"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47" t="str">
        <f aca="false"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C130" s="46" t="str">
        <f aca="false"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D130" s="48" t="str">
        <f aca="false">IF($AF130="","",IF($AF130&lt;=1200,IF(INDEX(对接源_01水果!$T$4:$T$1203,$AF130)=0,"",INDEX(对接源_01水果!$T$4:$T$1203,$AF130)),IF(INDEX(对接源_02物料!$T$4:$T$1203,$AF130-1200)=0,"",INDEX(对接源_02物料!$T$4:$T$1203,$AF130-1200))))</f>
        <v/>
      </c>
      <c r="E130" s="47" t="str">
        <f aca="false">IF($AF130="","",IF($AF130&lt;=1200,IF(INDEX(对接源_01水果!$C$4:$C$1203,$AF130)=0,"",INDEX(对接源_01水果!$C$4:$C$1203,$AF130)),IF(INDEX(对接源_02物料!$C$4:$C$1203,$AF130-1200)=0,"",INDEX(对接源_02物料!$C$4:$C$1203,$AF130-1200))))</f>
        <v/>
      </c>
      <c r="F130" s="46" t="str">
        <f aca="false"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G130" s="47" t="str">
        <f aca="false"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H130" s="46" t="str">
        <f aca="false">IF($AF130="","",IF($AF130&lt;=1200,"01水果册","02物料册"))</f>
        <v/>
      </c>
      <c r="I130" s="47" t="str">
        <f aca="false"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44" t="str">
        <f aca="false">IFERROR(MATCH(22,_自动清单!$Y$4:$Y$2403,0),"")</f>
        <v/>
      </c>
    </row>
    <row r="131" customFormat="false" ht="18" hidden="false" customHeight="true" outlineLevel="0" collapsed="false">
      <c r="A131" s="40" t="str">
        <f aca="false"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42" t="str">
        <f aca="false"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C131" s="41" t="str">
        <f aca="false"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D131" s="43" t="str">
        <f aca="false">IF($AF131="","",IF($AF131&lt;=1200,IF(INDEX(对接源_01水果!$T$4:$T$1203,$AF131)=0,"",INDEX(对接源_01水果!$T$4:$T$1203,$AF131)),IF(INDEX(对接源_02物料!$T$4:$T$1203,$AF131-1200)=0,"",INDEX(对接源_02物料!$T$4:$T$1203,$AF131-1200))))</f>
        <v/>
      </c>
      <c r="E131" s="42" t="str">
        <f aca="false">IF($AF131="","",IF($AF131&lt;=1200,IF(INDEX(对接源_01水果!$C$4:$C$1203,$AF131)=0,"",INDEX(对接源_01水果!$C$4:$C$1203,$AF131)),IF(INDEX(对接源_02物料!$C$4:$C$1203,$AF131-1200)=0,"",INDEX(对接源_02物料!$C$4:$C$1203,$AF131-1200))))</f>
        <v/>
      </c>
      <c r="F131" s="41" t="str">
        <f aca="false"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G131" s="42" t="str">
        <f aca="false"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H131" s="41" t="str">
        <f aca="false">IF($AF131="","",IF($AF131&lt;=1200,"01水果册","02物料册"))</f>
        <v/>
      </c>
      <c r="I131" s="42" t="str">
        <f aca="false"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44" t="str">
        <f aca="false">IFERROR(MATCH(23,_自动清单!$Y$4:$Y$2403,0),"")</f>
        <v/>
      </c>
    </row>
    <row r="132" customFormat="false" ht="18" hidden="false" customHeight="true" outlineLevel="0" collapsed="false">
      <c r="A132" s="45" t="str">
        <f aca="false"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47" t="str">
        <f aca="false"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C132" s="46" t="str">
        <f aca="false"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D132" s="48" t="str">
        <f aca="false">IF($AF132="","",IF($AF132&lt;=1200,IF(INDEX(对接源_01水果!$T$4:$T$1203,$AF132)=0,"",INDEX(对接源_01水果!$T$4:$T$1203,$AF132)),IF(INDEX(对接源_02物料!$T$4:$T$1203,$AF132-1200)=0,"",INDEX(对接源_02物料!$T$4:$T$1203,$AF132-1200))))</f>
        <v/>
      </c>
      <c r="E132" s="47" t="str">
        <f aca="false">IF($AF132="","",IF($AF132&lt;=1200,IF(INDEX(对接源_01水果!$C$4:$C$1203,$AF132)=0,"",INDEX(对接源_01水果!$C$4:$C$1203,$AF132)),IF(INDEX(对接源_02物料!$C$4:$C$1203,$AF132-1200)=0,"",INDEX(对接源_02物料!$C$4:$C$1203,$AF132-1200))))</f>
        <v/>
      </c>
      <c r="F132" s="46" t="str">
        <f aca="false"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G132" s="47" t="str">
        <f aca="false"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H132" s="46" t="str">
        <f aca="false">IF($AF132="","",IF($AF132&lt;=1200,"01水果册","02物料册"))</f>
        <v/>
      </c>
      <c r="I132" s="47" t="str">
        <f aca="false"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44" t="str">
        <f aca="false">IFERROR(MATCH(24,_自动清单!$Y$4:$Y$2403,0),"")</f>
        <v/>
      </c>
    </row>
    <row r="133" customFormat="false" ht="18" hidden="false" customHeight="true" outlineLevel="0" collapsed="false">
      <c r="A133" s="40" t="str">
        <f aca="false"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42" t="str">
        <f aca="false"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C133" s="41" t="str">
        <f aca="false"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D133" s="43" t="str">
        <f aca="false">IF($AF133="","",IF($AF133&lt;=1200,IF(INDEX(对接源_01水果!$T$4:$T$1203,$AF133)=0,"",INDEX(对接源_01水果!$T$4:$T$1203,$AF133)),IF(INDEX(对接源_02物料!$T$4:$T$1203,$AF133-1200)=0,"",INDEX(对接源_02物料!$T$4:$T$1203,$AF133-1200))))</f>
        <v/>
      </c>
      <c r="E133" s="42" t="str">
        <f aca="false">IF($AF133="","",IF($AF133&lt;=1200,IF(INDEX(对接源_01水果!$C$4:$C$1203,$AF133)=0,"",INDEX(对接源_01水果!$C$4:$C$1203,$AF133)),IF(INDEX(对接源_02物料!$C$4:$C$1203,$AF133-1200)=0,"",INDEX(对接源_02物料!$C$4:$C$1203,$AF133-1200))))</f>
        <v/>
      </c>
      <c r="F133" s="41" t="str">
        <f aca="false"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G133" s="42" t="str">
        <f aca="false"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H133" s="41" t="str">
        <f aca="false">IF($AF133="","",IF($AF133&lt;=1200,"01水果册","02物料册"))</f>
        <v/>
      </c>
      <c r="I133" s="42" t="str">
        <f aca="false"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44" t="str">
        <f aca="false">IFERROR(MATCH(25,_自动清单!$Y$4:$Y$2403,0),"")</f>
        <v/>
      </c>
    </row>
    <row r="134" customFormat="false" ht="18" hidden="false" customHeight="true" outlineLevel="0" collapsed="false">
      <c r="A134" s="45" t="str">
        <f aca="false"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47" t="str">
        <f aca="false"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C134" s="46" t="str">
        <f aca="false"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D134" s="48" t="str">
        <f aca="false">IF($AF134="","",IF($AF134&lt;=1200,IF(INDEX(对接源_01水果!$T$4:$T$1203,$AF134)=0,"",INDEX(对接源_01水果!$T$4:$T$1203,$AF134)),IF(INDEX(对接源_02物料!$T$4:$T$1203,$AF134-1200)=0,"",INDEX(对接源_02物料!$T$4:$T$1203,$AF134-1200))))</f>
        <v/>
      </c>
      <c r="E134" s="47" t="str">
        <f aca="false">IF($AF134="","",IF($AF134&lt;=1200,IF(INDEX(对接源_01水果!$C$4:$C$1203,$AF134)=0,"",INDEX(对接源_01水果!$C$4:$C$1203,$AF134)),IF(INDEX(对接源_02物料!$C$4:$C$1203,$AF134-1200)=0,"",INDEX(对接源_02物料!$C$4:$C$1203,$AF134-1200))))</f>
        <v/>
      </c>
      <c r="F134" s="46" t="str">
        <f aca="false"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G134" s="47" t="str">
        <f aca="false"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H134" s="46" t="str">
        <f aca="false">IF($AF134="","",IF($AF134&lt;=1200,"01水果册","02物料册"))</f>
        <v/>
      </c>
      <c r="I134" s="47" t="str">
        <f aca="false"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44" t="str">
        <f aca="false">IFERROR(MATCH(26,_自动清单!$Y$4:$Y$2403,0),"")</f>
        <v/>
      </c>
    </row>
    <row r="135" customFormat="false" ht="18" hidden="false" customHeight="true" outlineLevel="0" collapsed="false">
      <c r="A135" s="40" t="str">
        <f aca="false"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42" t="str">
        <f aca="false"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C135" s="41" t="str">
        <f aca="false"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D135" s="43" t="str">
        <f aca="false">IF($AF135="","",IF($AF135&lt;=1200,IF(INDEX(对接源_01水果!$T$4:$T$1203,$AF135)=0,"",INDEX(对接源_01水果!$T$4:$T$1203,$AF135)),IF(INDEX(对接源_02物料!$T$4:$T$1203,$AF135-1200)=0,"",INDEX(对接源_02物料!$T$4:$T$1203,$AF135-1200))))</f>
        <v/>
      </c>
      <c r="E135" s="42" t="str">
        <f aca="false">IF($AF135="","",IF($AF135&lt;=1200,IF(INDEX(对接源_01水果!$C$4:$C$1203,$AF135)=0,"",INDEX(对接源_01水果!$C$4:$C$1203,$AF135)),IF(INDEX(对接源_02物料!$C$4:$C$1203,$AF135-1200)=0,"",INDEX(对接源_02物料!$C$4:$C$1203,$AF135-1200))))</f>
        <v/>
      </c>
      <c r="F135" s="41" t="str">
        <f aca="false"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G135" s="42" t="str">
        <f aca="false"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H135" s="41" t="str">
        <f aca="false">IF($AF135="","",IF($AF135&lt;=1200,"01水果册","02物料册"))</f>
        <v/>
      </c>
      <c r="I135" s="42" t="str">
        <f aca="false"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44" t="str">
        <f aca="false">IFERROR(MATCH(27,_自动清单!$Y$4:$Y$2403,0),"")</f>
        <v/>
      </c>
    </row>
    <row r="136" customFormat="false" ht="18" hidden="false" customHeight="true" outlineLevel="0" collapsed="false">
      <c r="A136" s="45" t="str">
        <f aca="false"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47" t="str">
        <f aca="false"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C136" s="46" t="str">
        <f aca="false"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D136" s="48" t="str">
        <f aca="false">IF($AF136="","",IF($AF136&lt;=1200,IF(INDEX(对接源_01水果!$T$4:$T$1203,$AF136)=0,"",INDEX(对接源_01水果!$T$4:$T$1203,$AF136)),IF(INDEX(对接源_02物料!$T$4:$T$1203,$AF136-1200)=0,"",INDEX(对接源_02物料!$T$4:$T$1203,$AF136-1200))))</f>
        <v/>
      </c>
      <c r="E136" s="47" t="str">
        <f aca="false">IF($AF136="","",IF($AF136&lt;=1200,IF(INDEX(对接源_01水果!$C$4:$C$1203,$AF136)=0,"",INDEX(对接源_01水果!$C$4:$C$1203,$AF136)),IF(INDEX(对接源_02物料!$C$4:$C$1203,$AF136-1200)=0,"",INDEX(对接源_02物料!$C$4:$C$1203,$AF136-1200))))</f>
        <v/>
      </c>
      <c r="F136" s="46" t="str">
        <f aca="false"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G136" s="47" t="str">
        <f aca="false"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H136" s="46" t="str">
        <f aca="false">IF($AF136="","",IF($AF136&lt;=1200,"01水果册","02物料册"))</f>
        <v/>
      </c>
      <c r="I136" s="47" t="str">
        <f aca="false"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44" t="str">
        <f aca="false">IFERROR(MATCH(28,_自动清单!$Y$4:$Y$2403,0),"")</f>
        <v/>
      </c>
    </row>
    <row r="137" customFormat="false" ht="18" hidden="false" customHeight="true" outlineLevel="0" collapsed="false">
      <c r="A137" s="40" t="str">
        <f aca="false"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42" t="str">
        <f aca="false"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C137" s="41" t="str">
        <f aca="false"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D137" s="43" t="str">
        <f aca="false">IF($AF137="","",IF($AF137&lt;=1200,IF(INDEX(对接源_01水果!$T$4:$T$1203,$AF137)=0,"",INDEX(对接源_01水果!$T$4:$T$1203,$AF137)),IF(INDEX(对接源_02物料!$T$4:$T$1203,$AF137-1200)=0,"",INDEX(对接源_02物料!$T$4:$T$1203,$AF137-1200))))</f>
        <v/>
      </c>
      <c r="E137" s="42" t="str">
        <f aca="false">IF($AF137="","",IF($AF137&lt;=1200,IF(INDEX(对接源_01水果!$C$4:$C$1203,$AF137)=0,"",INDEX(对接源_01水果!$C$4:$C$1203,$AF137)),IF(INDEX(对接源_02物料!$C$4:$C$1203,$AF137-1200)=0,"",INDEX(对接源_02物料!$C$4:$C$1203,$AF137-1200))))</f>
        <v/>
      </c>
      <c r="F137" s="41" t="str">
        <f aca="false"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G137" s="42" t="str">
        <f aca="false"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H137" s="41" t="str">
        <f aca="false">IF($AF137="","",IF($AF137&lt;=1200,"01水果册","02物料册"))</f>
        <v/>
      </c>
      <c r="I137" s="42" t="str">
        <f aca="false"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44" t="str">
        <f aca="false">IFERROR(MATCH(29,_自动清单!$Y$4:$Y$2403,0),"")</f>
        <v/>
      </c>
    </row>
    <row r="138" customFormat="false" ht="18" hidden="false" customHeight="true" outlineLevel="0" collapsed="false">
      <c r="A138" s="45" t="str">
        <f aca="false"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47" t="str">
        <f aca="false"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C138" s="46" t="str">
        <f aca="false"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D138" s="48" t="str">
        <f aca="false">IF($AF138="","",IF($AF138&lt;=1200,IF(INDEX(对接源_01水果!$T$4:$T$1203,$AF138)=0,"",INDEX(对接源_01水果!$T$4:$T$1203,$AF138)),IF(INDEX(对接源_02物料!$T$4:$T$1203,$AF138-1200)=0,"",INDEX(对接源_02物料!$T$4:$T$1203,$AF138-1200))))</f>
        <v/>
      </c>
      <c r="E138" s="47" t="str">
        <f aca="false">IF($AF138="","",IF($AF138&lt;=1200,IF(INDEX(对接源_01水果!$C$4:$C$1203,$AF138)=0,"",INDEX(对接源_01水果!$C$4:$C$1203,$AF138)),IF(INDEX(对接源_02物料!$C$4:$C$1203,$AF138-1200)=0,"",INDEX(对接源_02物料!$C$4:$C$1203,$AF138-1200))))</f>
        <v/>
      </c>
      <c r="F138" s="46" t="str">
        <f aca="false"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G138" s="47" t="str">
        <f aca="false"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H138" s="46" t="str">
        <f aca="false">IF($AF138="","",IF($AF138&lt;=1200,"01水果册","02物料册"))</f>
        <v/>
      </c>
      <c r="I138" s="47" t="str">
        <f aca="false"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44" t="str">
        <f aca="false">IFERROR(MATCH(30,_自动清单!$Y$4:$Y$2403,0),"")</f>
        <v/>
      </c>
    </row>
    <row r="139" customFormat="false" ht="18" hidden="false" customHeight="true" outlineLevel="0" collapsed="false">
      <c r="A139" s="40" t="str">
        <f aca="false"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42" t="str">
        <f aca="false"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C139" s="41" t="str">
        <f aca="false"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D139" s="43" t="str">
        <f aca="false">IF($AF139="","",IF($AF139&lt;=1200,IF(INDEX(对接源_01水果!$T$4:$T$1203,$AF139)=0,"",INDEX(对接源_01水果!$T$4:$T$1203,$AF139)),IF(INDEX(对接源_02物料!$T$4:$T$1203,$AF139-1200)=0,"",INDEX(对接源_02物料!$T$4:$T$1203,$AF139-1200))))</f>
        <v/>
      </c>
      <c r="E139" s="42" t="str">
        <f aca="false">IF($AF139="","",IF($AF139&lt;=1200,IF(INDEX(对接源_01水果!$C$4:$C$1203,$AF139)=0,"",INDEX(对接源_01水果!$C$4:$C$1203,$AF139)),IF(INDEX(对接源_02物料!$C$4:$C$1203,$AF139-1200)=0,"",INDEX(对接源_02物料!$C$4:$C$1203,$AF139-1200))))</f>
        <v/>
      </c>
      <c r="F139" s="41" t="str">
        <f aca="false"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G139" s="42" t="str">
        <f aca="false"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H139" s="41" t="str">
        <f aca="false">IF($AF139="","",IF($AF139&lt;=1200,"01水果册","02物料册"))</f>
        <v/>
      </c>
      <c r="I139" s="42" t="str">
        <f aca="false"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44" t="str">
        <f aca="false">IFERROR(MATCH(31,_自动清单!$Y$4:$Y$2403,0),"")</f>
        <v/>
      </c>
    </row>
    <row r="140" customFormat="false" ht="18" hidden="false" customHeight="true" outlineLevel="0" collapsed="false">
      <c r="A140" s="45" t="str">
        <f aca="false"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47" t="str">
        <f aca="false"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C140" s="46" t="str">
        <f aca="false"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D140" s="48" t="str">
        <f aca="false">IF($AF140="","",IF($AF140&lt;=1200,IF(INDEX(对接源_01水果!$T$4:$T$1203,$AF140)=0,"",INDEX(对接源_01水果!$T$4:$T$1203,$AF140)),IF(INDEX(对接源_02物料!$T$4:$T$1203,$AF140-1200)=0,"",INDEX(对接源_02物料!$T$4:$T$1203,$AF140-1200))))</f>
        <v/>
      </c>
      <c r="E140" s="47" t="str">
        <f aca="false">IF($AF140="","",IF($AF140&lt;=1200,IF(INDEX(对接源_01水果!$C$4:$C$1203,$AF140)=0,"",INDEX(对接源_01水果!$C$4:$C$1203,$AF140)),IF(INDEX(对接源_02物料!$C$4:$C$1203,$AF140-1200)=0,"",INDEX(对接源_02物料!$C$4:$C$1203,$AF140-1200))))</f>
        <v/>
      </c>
      <c r="F140" s="46" t="str">
        <f aca="false"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G140" s="47" t="str">
        <f aca="false"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H140" s="46" t="str">
        <f aca="false">IF($AF140="","",IF($AF140&lt;=1200,"01水果册","02物料册"))</f>
        <v/>
      </c>
      <c r="I140" s="47" t="str">
        <f aca="false"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44" t="str">
        <f aca="false">IFERROR(MATCH(32,_自动清单!$Y$4:$Y$2403,0),"")</f>
        <v/>
      </c>
    </row>
    <row r="141" customFormat="false" ht="18" hidden="false" customHeight="true" outlineLevel="0" collapsed="false">
      <c r="A141" s="40" t="str">
        <f aca="false"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42" t="str">
        <f aca="false"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C141" s="41" t="str">
        <f aca="false"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D141" s="43" t="str">
        <f aca="false">IF($AF141="","",IF($AF141&lt;=1200,IF(INDEX(对接源_01水果!$T$4:$T$1203,$AF141)=0,"",INDEX(对接源_01水果!$T$4:$T$1203,$AF141)),IF(INDEX(对接源_02物料!$T$4:$T$1203,$AF141-1200)=0,"",INDEX(对接源_02物料!$T$4:$T$1203,$AF141-1200))))</f>
        <v/>
      </c>
      <c r="E141" s="42" t="str">
        <f aca="false">IF($AF141="","",IF($AF141&lt;=1200,IF(INDEX(对接源_01水果!$C$4:$C$1203,$AF141)=0,"",INDEX(对接源_01水果!$C$4:$C$1203,$AF141)),IF(INDEX(对接源_02物料!$C$4:$C$1203,$AF141-1200)=0,"",INDEX(对接源_02物料!$C$4:$C$1203,$AF141-1200))))</f>
        <v/>
      </c>
      <c r="F141" s="41" t="str">
        <f aca="false"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G141" s="42" t="str">
        <f aca="false"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H141" s="41" t="str">
        <f aca="false">IF($AF141="","",IF($AF141&lt;=1200,"01水果册","02物料册"))</f>
        <v/>
      </c>
      <c r="I141" s="42" t="str">
        <f aca="false"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44" t="str">
        <f aca="false">IFERROR(MATCH(33,_自动清单!$Y$4:$Y$2403,0),"")</f>
        <v/>
      </c>
    </row>
    <row r="142" customFormat="false" ht="18" hidden="false" customHeight="true" outlineLevel="0" collapsed="false">
      <c r="A142" s="45" t="str">
        <f aca="false"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47" t="str">
        <f aca="false"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C142" s="46" t="str">
        <f aca="false"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D142" s="48" t="str">
        <f aca="false">IF($AF142="","",IF($AF142&lt;=1200,IF(INDEX(对接源_01水果!$T$4:$T$1203,$AF142)=0,"",INDEX(对接源_01水果!$T$4:$T$1203,$AF142)),IF(INDEX(对接源_02物料!$T$4:$T$1203,$AF142-1200)=0,"",INDEX(对接源_02物料!$T$4:$T$1203,$AF142-1200))))</f>
        <v/>
      </c>
      <c r="E142" s="47" t="str">
        <f aca="false">IF($AF142="","",IF($AF142&lt;=1200,IF(INDEX(对接源_01水果!$C$4:$C$1203,$AF142)=0,"",INDEX(对接源_01水果!$C$4:$C$1203,$AF142)),IF(INDEX(对接源_02物料!$C$4:$C$1203,$AF142-1200)=0,"",INDEX(对接源_02物料!$C$4:$C$1203,$AF142-1200))))</f>
        <v/>
      </c>
      <c r="F142" s="46" t="str">
        <f aca="false"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G142" s="47" t="str">
        <f aca="false"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H142" s="46" t="str">
        <f aca="false">IF($AF142="","",IF($AF142&lt;=1200,"01水果册","02物料册"))</f>
        <v/>
      </c>
      <c r="I142" s="47" t="str">
        <f aca="false"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44" t="str">
        <f aca="false">IFERROR(MATCH(34,_自动清单!$Y$4:$Y$2403,0),"")</f>
        <v/>
      </c>
    </row>
    <row r="143" customFormat="false" ht="18" hidden="false" customHeight="true" outlineLevel="0" collapsed="false">
      <c r="A143" s="40" t="str">
        <f aca="false"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42" t="str">
        <f aca="false"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C143" s="41" t="str">
        <f aca="false"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D143" s="43" t="str">
        <f aca="false">IF($AF143="","",IF($AF143&lt;=1200,IF(INDEX(对接源_01水果!$T$4:$T$1203,$AF143)=0,"",INDEX(对接源_01水果!$T$4:$T$1203,$AF143)),IF(INDEX(对接源_02物料!$T$4:$T$1203,$AF143-1200)=0,"",INDEX(对接源_02物料!$T$4:$T$1203,$AF143-1200))))</f>
        <v/>
      </c>
      <c r="E143" s="42" t="str">
        <f aca="false">IF($AF143="","",IF($AF143&lt;=1200,IF(INDEX(对接源_01水果!$C$4:$C$1203,$AF143)=0,"",INDEX(对接源_01水果!$C$4:$C$1203,$AF143)),IF(INDEX(对接源_02物料!$C$4:$C$1203,$AF143-1200)=0,"",INDEX(对接源_02物料!$C$4:$C$1203,$AF143-1200))))</f>
        <v/>
      </c>
      <c r="F143" s="41" t="str">
        <f aca="false"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G143" s="42" t="str">
        <f aca="false"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H143" s="41" t="str">
        <f aca="false">IF($AF143="","",IF($AF143&lt;=1200,"01水果册","02物料册"))</f>
        <v/>
      </c>
      <c r="I143" s="42" t="str">
        <f aca="false"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44" t="str">
        <f aca="false">IFERROR(MATCH(35,_自动清单!$Y$4:$Y$2403,0),"")</f>
        <v/>
      </c>
    </row>
    <row r="144" customFormat="false" ht="18" hidden="false" customHeight="true" outlineLevel="0" collapsed="false">
      <c r="A144" s="45" t="str">
        <f aca="false"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47" t="str">
        <f aca="false"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C144" s="46" t="str">
        <f aca="false"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D144" s="48" t="str">
        <f aca="false">IF($AF144="","",IF($AF144&lt;=1200,IF(INDEX(对接源_01水果!$T$4:$T$1203,$AF144)=0,"",INDEX(对接源_01水果!$T$4:$T$1203,$AF144)),IF(INDEX(对接源_02物料!$T$4:$T$1203,$AF144-1200)=0,"",INDEX(对接源_02物料!$T$4:$T$1203,$AF144-1200))))</f>
        <v/>
      </c>
      <c r="E144" s="47" t="str">
        <f aca="false">IF($AF144="","",IF($AF144&lt;=1200,IF(INDEX(对接源_01水果!$C$4:$C$1203,$AF144)=0,"",INDEX(对接源_01水果!$C$4:$C$1203,$AF144)),IF(INDEX(对接源_02物料!$C$4:$C$1203,$AF144-1200)=0,"",INDEX(对接源_02物料!$C$4:$C$1203,$AF144-1200))))</f>
        <v/>
      </c>
      <c r="F144" s="46" t="str">
        <f aca="false"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G144" s="47" t="str">
        <f aca="false"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H144" s="46" t="str">
        <f aca="false">IF($AF144="","",IF($AF144&lt;=1200,"01水果册","02物料册"))</f>
        <v/>
      </c>
      <c r="I144" s="47" t="str">
        <f aca="false"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44" t="str">
        <f aca="false">IFERROR(MATCH(36,_自动清单!$Y$4:$Y$2403,0),"")</f>
        <v/>
      </c>
    </row>
    <row r="145" customFormat="false" ht="18" hidden="false" customHeight="true" outlineLevel="0" collapsed="false">
      <c r="A145" s="40" t="str">
        <f aca="false"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42" t="str">
        <f aca="false"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C145" s="41" t="str">
        <f aca="false"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D145" s="43" t="str">
        <f aca="false">IF($AF145="","",IF($AF145&lt;=1200,IF(INDEX(对接源_01水果!$T$4:$T$1203,$AF145)=0,"",INDEX(对接源_01水果!$T$4:$T$1203,$AF145)),IF(INDEX(对接源_02物料!$T$4:$T$1203,$AF145-1200)=0,"",INDEX(对接源_02物料!$T$4:$T$1203,$AF145-1200))))</f>
        <v/>
      </c>
      <c r="E145" s="42" t="str">
        <f aca="false">IF($AF145="","",IF($AF145&lt;=1200,IF(INDEX(对接源_01水果!$C$4:$C$1203,$AF145)=0,"",INDEX(对接源_01水果!$C$4:$C$1203,$AF145)),IF(INDEX(对接源_02物料!$C$4:$C$1203,$AF145-1200)=0,"",INDEX(对接源_02物料!$C$4:$C$1203,$AF145-1200))))</f>
        <v/>
      </c>
      <c r="F145" s="41" t="str">
        <f aca="false"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G145" s="42" t="str">
        <f aca="false"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H145" s="41" t="str">
        <f aca="false">IF($AF145="","",IF($AF145&lt;=1200,"01水果册","02物料册"))</f>
        <v/>
      </c>
      <c r="I145" s="42" t="str">
        <f aca="false"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44" t="str">
        <f aca="false">IFERROR(MATCH(37,_自动清单!$Y$4:$Y$2403,0),"")</f>
        <v/>
      </c>
    </row>
    <row r="146" customFormat="false" ht="18" hidden="false" customHeight="true" outlineLevel="0" collapsed="false">
      <c r="A146" s="45" t="str">
        <f aca="false"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47" t="str">
        <f aca="false"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C146" s="46" t="str">
        <f aca="false"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D146" s="48" t="str">
        <f aca="false">IF($AF146="","",IF($AF146&lt;=1200,IF(INDEX(对接源_01水果!$T$4:$T$1203,$AF146)=0,"",INDEX(对接源_01水果!$T$4:$T$1203,$AF146)),IF(INDEX(对接源_02物料!$T$4:$T$1203,$AF146-1200)=0,"",INDEX(对接源_02物料!$T$4:$T$1203,$AF146-1200))))</f>
        <v/>
      </c>
      <c r="E146" s="47" t="str">
        <f aca="false">IF($AF146="","",IF($AF146&lt;=1200,IF(INDEX(对接源_01水果!$C$4:$C$1203,$AF146)=0,"",INDEX(对接源_01水果!$C$4:$C$1203,$AF146)),IF(INDEX(对接源_02物料!$C$4:$C$1203,$AF146-1200)=0,"",INDEX(对接源_02物料!$C$4:$C$1203,$AF146-1200))))</f>
        <v/>
      </c>
      <c r="F146" s="46" t="str">
        <f aca="false"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G146" s="47" t="str">
        <f aca="false"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H146" s="46" t="str">
        <f aca="false">IF($AF146="","",IF($AF146&lt;=1200,"01水果册","02物料册"))</f>
        <v/>
      </c>
      <c r="I146" s="47" t="str">
        <f aca="false"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44" t="str">
        <f aca="false">IFERROR(MATCH(38,_自动清单!$Y$4:$Y$2403,0),"")</f>
        <v/>
      </c>
    </row>
    <row r="147" customFormat="false" ht="18" hidden="false" customHeight="true" outlineLevel="0" collapsed="false">
      <c r="A147" s="40" t="str">
        <f aca="false"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42" t="str">
        <f aca="false"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C147" s="41" t="str">
        <f aca="false"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D147" s="43" t="str">
        <f aca="false">IF($AF147="","",IF($AF147&lt;=1200,IF(INDEX(对接源_01水果!$T$4:$T$1203,$AF147)=0,"",INDEX(对接源_01水果!$T$4:$T$1203,$AF147)),IF(INDEX(对接源_02物料!$T$4:$T$1203,$AF147-1200)=0,"",INDEX(对接源_02物料!$T$4:$T$1203,$AF147-1200))))</f>
        <v/>
      </c>
      <c r="E147" s="42" t="str">
        <f aca="false">IF($AF147="","",IF($AF147&lt;=1200,IF(INDEX(对接源_01水果!$C$4:$C$1203,$AF147)=0,"",INDEX(对接源_01水果!$C$4:$C$1203,$AF147)),IF(INDEX(对接源_02物料!$C$4:$C$1203,$AF147-1200)=0,"",INDEX(对接源_02物料!$C$4:$C$1203,$AF147-1200))))</f>
        <v/>
      </c>
      <c r="F147" s="41" t="str">
        <f aca="false"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G147" s="42" t="str">
        <f aca="false"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H147" s="41" t="str">
        <f aca="false">IF($AF147="","",IF($AF147&lt;=1200,"01水果册","02物料册"))</f>
        <v/>
      </c>
      <c r="I147" s="42" t="str">
        <f aca="false"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44" t="str">
        <f aca="false">IFERROR(MATCH(39,_自动清单!$Y$4:$Y$2403,0),"")</f>
        <v/>
      </c>
    </row>
    <row r="148" customFormat="false" ht="18" hidden="false" customHeight="true" outlineLevel="0" collapsed="false">
      <c r="A148" s="45" t="str">
        <f aca="false"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47" t="str">
        <f aca="false"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C148" s="46" t="str">
        <f aca="false"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D148" s="48" t="str">
        <f aca="false">IF($AF148="","",IF($AF148&lt;=1200,IF(INDEX(对接源_01水果!$T$4:$T$1203,$AF148)=0,"",INDEX(对接源_01水果!$T$4:$T$1203,$AF148)),IF(INDEX(对接源_02物料!$T$4:$T$1203,$AF148-1200)=0,"",INDEX(对接源_02物料!$T$4:$T$1203,$AF148-1200))))</f>
        <v/>
      </c>
      <c r="E148" s="47" t="str">
        <f aca="false">IF($AF148="","",IF($AF148&lt;=1200,IF(INDEX(对接源_01水果!$C$4:$C$1203,$AF148)=0,"",INDEX(对接源_01水果!$C$4:$C$1203,$AF148)),IF(INDEX(对接源_02物料!$C$4:$C$1203,$AF148-1200)=0,"",INDEX(对接源_02物料!$C$4:$C$1203,$AF148-1200))))</f>
        <v/>
      </c>
      <c r="F148" s="46" t="str">
        <f aca="false"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G148" s="47" t="str">
        <f aca="false"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H148" s="46" t="str">
        <f aca="false">IF($AF148="","",IF($AF148&lt;=1200,"01水果册","02物料册"))</f>
        <v/>
      </c>
      <c r="I148" s="47" t="str">
        <f aca="false"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44" t="str">
        <f aca="false">IFERROR(MATCH(40,_自动清单!$Y$4:$Y$2403,0),"")</f>
        <v/>
      </c>
    </row>
    <row r="149" customFormat="false" ht="18" hidden="false" customHeight="true" outlineLevel="0" collapsed="false">
      <c r="A149" s="40" t="str">
        <f aca="false"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42" t="str">
        <f aca="false"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C149" s="41" t="str">
        <f aca="false"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D149" s="43" t="str">
        <f aca="false">IF($AF149="","",IF($AF149&lt;=1200,IF(INDEX(对接源_01水果!$T$4:$T$1203,$AF149)=0,"",INDEX(对接源_01水果!$T$4:$T$1203,$AF149)),IF(INDEX(对接源_02物料!$T$4:$T$1203,$AF149-1200)=0,"",INDEX(对接源_02物料!$T$4:$T$1203,$AF149-1200))))</f>
        <v/>
      </c>
      <c r="E149" s="42" t="str">
        <f aca="false">IF($AF149="","",IF($AF149&lt;=1200,IF(INDEX(对接源_01水果!$C$4:$C$1203,$AF149)=0,"",INDEX(对接源_01水果!$C$4:$C$1203,$AF149)),IF(INDEX(对接源_02物料!$C$4:$C$1203,$AF149-1200)=0,"",INDEX(对接源_02物料!$C$4:$C$1203,$AF149-1200))))</f>
        <v/>
      </c>
      <c r="F149" s="41" t="str">
        <f aca="false"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G149" s="42" t="str">
        <f aca="false"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H149" s="41" t="str">
        <f aca="false">IF($AF149="","",IF($AF149&lt;=1200,"01水果册","02物料册"))</f>
        <v/>
      </c>
      <c r="I149" s="42" t="str">
        <f aca="false"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44" t="str">
        <f aca="false">IFERROR(MATCH(41,_自动清单!$Y$4:$Y$2403,0),"")</f>
        <v/>
      </c>
    </row>
    <row r="150" customFormat="false" ht="18" hidden="false" customHeight="true" outlineLevel="0" collapsed="false">
      <c r="A150" s="45" t="str">
        <f aca="false"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47" t="str">
        <f aca="false"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C150" s="46" t="str">
        <f aca="false"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D150" s="48" t="str">
        <f aca="false">IF($AF150="","",IF($AF150&lt;=1200,IF(INDEX(对接源_01水果!$T$4:$T$1203,$AF150)=0,"",INDEX(对接源_01水果!$T$4:$T$1203,$AF150)),IF(INDEX(对接源_02物料!$T$4:$T$1203,$AF150-1200)=0,"",INDEX(对接源_02物料!$T$4:$T$1203,$AF150-1200))))</f>
        <v/>
      </c>
      <c r="E150" s="47" t="str">
        <f aca="false">IF($AF150="","",IF($AF150&lt;=1200,IF(INDEX(对接源_01水果!$C$4:$C$1203,$AF150)=0,"",INDEX(对接源_01水果!$C$4:$C$1203,$AF150)),IF(INDEX(对接源_02物料!$C$4:$C$1203,$AF150-1200)=0,"",INDEX(对接源_02物料!$C$4:$C$1203,$AF150-1200))))</f>
        <v/>
      </c>
      <c r="F150" s="46" t="str">
        <f aca="false"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G150" s="47" t="str">
        <f aca="false"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H150" s="46" t="str">
        <f aca="false">IF($AF150="","",IF($AF150&lt;=1200,"01水果册","02物料册"))</f>
        <v/>
      </c>
      <c r="I150" s="47" t="str">
        <f aca="false"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44" t="str">
        <f aca="false">IFERROR(MATCH(42,_自动清单!$Y$4:$Y$2403,0),"")</f>
        <v/>
      </c>
    </row>
    <row r="151" customFormat="false" ht="18" hidden="false" customHeight="true" outlineLevel="0" collapsed="false">
      <c r="A151" s="40" t="str">
        <f aca="false"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42" t="str">
        <f aca="false"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C151" s="41" t="str">
        <f aca="false"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D151" s="43" t="str">
        <f aca="false">IF($AF151="","",IF($AF151&lt;=1200,IF(INDEX(对接源_01水果!$T$4:$T$1203,$AF151)=0,"",INDEX(对接源_01水果!$T$4:$T$1203,$AF151)),IF(INDEX(对接源_02物料!$T$4:$T$1203,$AF151-1200)=0,"",INDEX(对接源_02物料!$T$4:$T$1203,$AF151-1200))))</f>
        <v/>
      </c>
      <c r="E151" s="42" t="str">
        <f aca="false">IF($AF151="","",IF($AF151&lt;=1200,IF(INDEX(对接源_01水果!$C$4:$C$1203,$AF151)=0,"",INDEX(对接源_01水果!$C$4:$C$1203,$AF151)),IF(INDEX(对接源_02物料!$C$4:$C$1203,$AF151-1200)=0,"",INDEX(对接源_02物料!$C$4:$C$1203,$AF151-1200))))</f>
        <v/>
      </c>
      <c r="F151" s="41" t="str">
        <f aca="false"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G151" s="42" t="str">
        <f aca="false"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H151" s="41" t="str">
        <f aca="false">IF($AF151="","",IF($AF151&lt;=1200,"01水果册","02物料册"))</f>
        <v/>
      </c>
      <c r="I151" s="42" t="str">
        <f aca="false"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44" t="str">
        <f aca="false">IFERROR(MATCH(43,_自动清单!$Y$4:$Y$2403,0),"")</f>
        <v/>
      </c>
    </row>
    <row r="152" customFormat="false" ht="18" hidden="false" customHeight="true" outlineLevel="0" collapsed="false">
      <c r="A152" s="45" t="str">
        <f aca="false"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47" t="str">
        <f aca="false"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C152" s="46" t="str">
        <f aca="false"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D152" s="48" t="str">
        <f aca="false">IF($AF152="","",IF($AF152&lt;=1200,IF(INDEX(对接源_01水果!$T$4:$T$1203,$AF152)=0,"",INDEX(对接源_01水果!$T$4:$T$1203,$AF152)),IF(INDEX(对接源_02物料!$T$4:$T$1203,$AF152-1200)=0,"",INDEX(对接源_02物料!$T$4:$T$1203,$AF152-1200))))</f>
        <v/>
      </c>
      <c r="E152" s="47" t="str">
        <f aca="false">IF($AF152="","",IF($AF152&lt;=1200,IF(INDEX(对接源_01水果!$C$4:$C$1203,$AF152)=0,"",INDEX(对接源_01水果!$C$4:$C$1203,$AF152)),IF(INDEX(对接源_02物料!$C$4:$C$1203,$AF152-1200)=0,"",INDEX(对接源_02物料!$C$4:$C$1203,$AF152-1200))))</f>
        <v/>
      </c>
      <c r="F152" s="46" t="str">
        <f aca="false"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G152" s="47" t="str">
        <f aca="false"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H152" s="46" t="str">
        <f aca="false">IF($AF152="","",IF($AF152&lt;=1200,"01水果册","02物料册"))</f>
        <v/>
      </c>
      <c r="I152" s="47" t="str">
        <f aca="false"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44" t="str">
        <f aca="false">IFERROR(MATCH(44,_自动清单!$Y$4:$Y$2403,0),"")</f>
        <v/>
      </c>
    </row>
    <row r="153" customFormat="false" ht="18" hidden="false" customHeight="true" outlineLevel="0" collapsed="false">
      <c r="A153" s="40" t="str">
        <f aca="false"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42" t="str">
        <f aca="false"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C153" s="41" t="str">
        <f aca="false"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D153" s="43" t="str">
        <f aca="false">IF($AF153="","",IF($AF153&lt;=1200,IF(INDEX(对接源_01水果!$T$4:$T$1203,$AF153)=0,"",INDEX(对接源_01水果!$T$4:$T$1203,$AF153)),IF(INDEX(对接源_02物料!$T$4:$T$1203,$AF153-1200)=0,"",INDEX(对接源_02物料!$T$4:$T$1203,$AF153-1200))))</f>
        <v/>
      </c>
      <c r="E153" s="42" t="str">
        <f aca="false">IF($AF153="","",IF($AF153&lt;=1200,IF(INDEX(对接源_01水果!$C$4:$C$1203,$AF153)=0,"",INDEX(对接源_01水果!$C$4:$C$1203,$AF153)),IF(INDEX(对接源_02物料!$C$4:$C$1203,$AF153-1200)=0,"",INDEX(对接源_02物料!$C$4:$C$1203,$AF153-1200))))</f>
        <v/>
      </c>
      <c r="F153" s="41" t="str">
        <f aca="false"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G153" s="42" t="str">
        <f aca="false"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H153" s="41" t="str">
        <f aca="false">IF($AF153="","",IF($AF153&lt;=1200,"01水果册","02物料册"))</f>
        <v/>
      </c>
      <c r="I153" s="42" t="str">
        <f aca="false"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44" t="str">
        <f aca="false">IFERROR(MATCH(45,_自动清单!$Y$4:$Y$2403,0),"")</f>
        <v/>
      </c>
    </row>
    <row r="154" customFormat="false" ht="18" hidden="false" customHeight="true" outlineLevel="0" collapsed="false">
      <c r="A154" s="45" t="str">
        <f aca="false"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47" t="str">
        <f aca="false"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C154" s="46" t="str">
        <f aca="false"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D154" s="48" t="str">
        <f aca="false">IF($AF154="","",IF($AF154&lt;=1200,IF(INDEX(对接源_01水果!$T$4:$T$1203,$AF154)=0,"",INDEX(对接源_01水果!$T$4:$T$1203,$AF154)),IF(INDEX(对接源_02物料!$T$4:$T$1203,$AF154-1200)=0,"",INDEX(对接源_02物料!$T$4:$T$1203,$AF154-1200))))</f>
        <v/>
      </c>
      <c r="E154" s="47" t="str">
        <f aca="false">IF($AF154="","",IF($AF154&lt;=1200,IF(INDEX(对接源_01水果!$C$4:$C$1203,$AF154)=0,"",INDEX(对接源_01水果!$C$4:$C$1203,$AF154)),IF(INDEX(对接源_02物料!$C$4:$C$1203,$AF154-1200)=0,"",INDEX(对接源_02物料!$C$4:$C$1203,$AF154-1200))))</f>
        <v/>
      </c>
      <c r="F154" s="46" t="str">
        <f aca="false"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G154" s="47" t="str">
        <f aca="false"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H154" s="46" t="str">
        <f aca="false">IF($AF154="","",IF($AF154&lt;=1200,"01水果册","02物料册"))</f>
        <v/>
      </c>
      <c r="I154" s="47" t="str">
        <f aca="false"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44" t="str">
        <f aca="false">IFERROR(MATCH(46,_自动清单!$Y$4:$Y$2403,0),"")</f>
        <v/>
      </c>
    </row>
    <row r="155" customFormat="false" ht="18" hidden="false" customHeight="true" outlineLevel="0" collapsed="false">
      <c r="A155" s="40" t="str">
        <f aca="false"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42" t="str">
        <f aca="false"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C155" s="41" t="str">
        <f aca="false"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D155" s="43" t="str">
        <f aca="false">IF($AF155="","",IF($AF155&lt;=1200,IF(INDEX(对接源_01水果!$T$4:$T$1203,$AF155)=0,"",INDEX(对接源_01水果!$T$4:$T$1203,$AF155)),IF(INDEX(对接源_02物料!$T$4:$T$1203,$AF155-1200)=0,"",INDEX(对接源_02物料!$T$4:$T$1203,$AF155-1200))))</f>
        <v/>
      </c>
      <c r="E155" s="42" t="str">
        <f aca="false">IF($AF155="","",IF($AF155&lt;=1200,IF(INDEX(对接源_01水果!$C$4:$C$1203,$AF155)=0,"",INDEX(对接源_01水果!$C$4:$C$1203,$AF155)),IF(INDEX(对接源_02物料!$C$4:$C$1203,$AF155-1200)=0,"",INDEX(对接源_02物料!$C$4:$C$1203,$AF155-1200))))</f>
        <v/>
      </c>
      <c r="F155" s="41" t="str">
        <f aca="false"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G155" s="42" t="str">
        <f aca="false"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H155" s="41" t="str">
        <f aca="false">IF($AF155="","",IF($AF155&lt;=1200,"01水果册","02物料册"))</f>
        <v/>
      </c>
      <c r="I155" s="42" t="str">
        <f aca="false"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44" t="str">
        <f aca="false">IFERROR(MATCH(47,_自动清单!$Y$4:$Y$2403,0),"")</f>
        <v/>
      </c>
    </row>
    <row r="156" customFormat="false" ht="18" hidden="false" customHeight="true" outlineLevel="0" collapsed="false">
      <c r="A156" s="45" t="str">
        <f aca="false"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47" t="str">
        <f aca="false"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C156" s="46" t="str">
        <f aca="false"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D156" s="48" t="str">
        <f aca="false">IF($AF156="","",IF($AF156&lt;=1200,IF(INDEX(对接源_01水果!$T$4:$T$1203,$AF156)=0,"",INDEX(对接源_01水果!$T$4:$T$1203,$AF156)),IF(INDEX(对接源_02物料!$T$4:$T$1203,$AF156-1200)=0,"",INDEX(对接源_02物料!$T$4:$T$1203,$AF156-1200))))</f>
        <v/>
      </c>
      <c r="E156" s="47" t="str">
        <f aca="false">IF($AF156="","",IF($AF156&lt;=1200,IF(INDEX(对接源_01水果!$C$4:$C$1203,$AF156)=0,"",INDEX(对接源_01水果!$C$4:$C$1203,$AF156)),IF(INDEX(对接源_02物料!$C$4:$C$1203,$AF156-1200)=0,"",INDEX(对接源_02物料!$C$4:$C$1203,$AF156-1200))))</f>
        <v/>
      </c>
      <c r="F156" s="46" t="str">
        <f aca="false"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G156" s="47" t="str">
        <f aca="false"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H156" s="46" t="str">
        <f aca="false">IF($AF156="","",IF($AF156&lt;=1200,"01水果册","02物料册"))</f>
        <v/>
      </c>
      <c r="I156" s="47" t="str">
        <f aca="false"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44" t="str">
        <f aca="false">IFERROR(MATCH(48,_自动清单!$Y$4:$Y$2403,0),"")</f>
        <v/>
      </c>
    </row>
    <row r="157" customFormat="false" ht="18" hidden="false" customHeight="true" outlineLevel="0" collapsed="false">
      <c r="A157" s="40" t="str">
        <f aca="false"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42" t="str">
        <f aca="false"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C157" s="41" t="str">
        <f aca="false"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D157" s="43" t="str">
        <f aca="false">IF($AF157="","",IF($AF157&lt;=1200,IF(INDEX(对接源_01水果!$T$4:$T$1203,$AF157)=0,"",INDEX(对接源_01水果!$T$4:$T$1203,$AF157)),IF(INDEX(对接源_02物料!$T$4:$T$1203,$AF157-1200)=0,"",INDEX(对接源_02物料!$T$4:$T$1203,$AF157-1200))))</f>
        <v/>
      </c>
      <c r="E157" s="42" t="str">
        <f aca="false">IF($AF157="","",IF($AF157&lt;=1200,IF(INDEX(对接源_01水果!$C$4:$C$1203,$AF157)=0,"",INDEX(对接源_01水果!$C$4:$C$1203,$AF157)),IF(INDEX(对接源_02物料!$C$4:$C$1203,$AF157-1200)=0,"",INDEX(对接源_02物料!$C$4:$C$1203,$AF157-1200))))</f>
        <v/>
      </c>
      <c r="F157" s="41" t="str">
        <f aca="false"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G157" s="42" t="str">
        <f aca="false"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H157" s="41" t="str">
        <f aca="false">IF($AF157="","",IF($AF157&lt;=1200,"01水果册","02物料册"))</f>
        <v/>
      </c>
      <c r="I157" s="42" t="str">
        <f aca="false"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44" t="str">
        <f aca="false">IFERROR(MATCH(49,_自动清单!$Y$4:$Y$2403,0),"")</f>
        <v/>
      </c>
    </row>
    <row r="158" customFormat="false" ht="18" hidden="false" customHeight="true" outlineLevel="0" collapsed="false">
      <c r="A158" s="45" t="str">
        <f aca="false"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47" t="str">
        <f aca="false"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C158" s="46" t="str">
        <f aca="false"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D158" s="48" t="str">
        <f aca="false">IF($AF158="","",IF($AF158&lt;=1200,IF(INDEX(对接源_01水果!$T$4:$T$1203,$AF158)=0,"",INDEX(对接源_01水果!$T$4:$T$1203,$AF158)),IF(INDEX(对接源_02物料!$T$4:$T$1203,$AF158-1200)=0,"",INDEX(对接源_02物料!$T$4:$T$1203,$AF158-1200))))</f>
        <v/>
      </c>
      <c r="E158" s="47" t="str">
        <f aca="false">IF($AF158="","",IF($AF158&lt;=1200,IF(INDEX(对接源_01水果!$C$4:$C$1203,$AF158)=0,"",INDEX(对接源_01水果!$C$4:$C$1203,$AF158)),IF(INDEX(对接源_02物料!$C$4:$C$1203,$AF158-1200)=0,"",INDEX(对接源_02物料!$C$4:$C$1203,$AF158-1200))))</f>
        <v/>
      </c>
      <c r="F158" s="46" t="str">
        <f aca="false"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G158" s="47" t="str">
        <f aca="false"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H158" s="46" t="str">
        <f aca="false">IF($AF158="","",IF($AF158&lt;=1200,"01水果册","02物料册"))</f>
        <v/>
      </c>
      <c r="I158" s="47" t="str">
        <f aca="false"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44" t="str">
        <f aca="false">IFERROR(MATCH(50,_自动清单!$Y$4:$Y$2403,0),"")</f>
        <v/>
      </c>
    </row>
    <row r="159" customFormat="false" ht="18" hidden="false" customHeight="true" outlineLevel="0" collapsed="false">
      <c r="A159" s="40" t="str">
        <f aca="false"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42" t="str">
        <f aca="false"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C159" s="41" t="str">
        <f aca="false"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D159" s="43" t="str">
        <f aca="false">IF($AF159="","",IF($AF159&lt;=1200,IF(INDEX(对接源_01水果!$T$4:$T$1203,$AF159)=0,"",INDEX(对接源_01水果!$T$4:$T$1203,$AF159)),IF(INDEX(对接源_02物料!$T$4:$T$1203,$AF159-1200)=0,"",INDEX(对接源_02物料!$T$4:$T$1203,$AF159-1200))))</f>
        <v/>
      </c>
      <c r="E159" s="42" t="str">
        <f aca="false">IF($AF159="","",IF($AF159&lt;=1200,IF(INDEX(对接源_01水果!$C$4:$C$1203,$AF159)=0,"",INDEX(对接源_01水果!$C$4:$C$1203,$AF159)),IF(INDEX(对接源_02物料!$C$4:$C$1203,$AF159-1200)=0,"",INDEX(对接源_02物料!$C$4:$C$1203,$AF159-1200))))</f>
        <v/>
      </c>
      <c r="F159" s="41" t="str">
        <f aca="false"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G159" s="42" t="str">
        <f aca="false"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H159" s="41" t="str">
        <f aca="false">IF($AF159="","",IF($AF159&lt;=1200,"01水果册","02物料册"))</f>
        <v/>
      </c>
      <c r="I159" s="42" t="str">
        <f aca="false"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44" t="str">
        <f aca="false">IFERROR(MATCH(51,_自动清单!$Y$4:$Y$2403,0),"")</f>
        <v/>
      </c>
    </row>
    <row r="160" customFormat="false" ht="18" hidden="false" customHeight="true" outlineLevel="0" collapsed="false">
      <c r="A160" s="45" t="str">
        <f aca="false"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47" t="str">
        <f aca="false"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C160" s="46" t="str">
        <f aca="false"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D160" s="48" t="str">
        <f aca="false">IF($AF160="","",IF($AF160&lt;=1200,IF(INDEX(对接源_01水果!$T$4:$T$1203,$AF160)=0,"",INDEX(对接源_01水果!$T$4:$T$1203,$AF160)),IF(INDEX(对接源_02物料!$T$4:$T$1203,$AF160-1200)=0,"",INDEX(对接源_02物料!$T$4:$T$1203,$AF160-1200))))</f>
        <v/>
      </c>
      <c r="E160" s="47" t="str">
        <f aca="false">IF($AF160="","",IF($AF160&lt;=1200,IF(INDEX(对接源_01水果!$C$4:$C$1203,$AF160)=0,"",INDEX(对接源_01水果!$C$4:$C$1203,$AF160)),IF(INDEX(对接源_02物料!$C$4:$C$1203,$AF160-1200)=0,"",INDEX(对接源_02物料!$C$4:$C$1203,$AF160-1200))))</f>
        <v/>
      </c>
      <c r="F160" s="46" t="str">
        <f aca="false"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G160" s="47" t="str">
        <f aca="false"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H160" s="46" t="str">
        <f aca="false">IF($AF160="","",IF($AF160&lt;=1200,"01水果册","02物料册"))</f>
        <v/>
      </c>
      <c r="I160" s="47" t="str">
        <f aca="false"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44" t="str">
        <f aca="false">IFERROR(MATCH(52,_自动清单!$Y$4:$Y$2403,0),"")</f>
        <v/>
      </c>
    </row>
    <row r="161" customFormat="false" ht="18" hidden="false" customHeight="true" outlineLevel="0" collapsed="false">
      <c r="A161" s="40" t="str">
        <f aca="false"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42" t="str">
        <f aca="false"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C161" s="41" t="str">
        <f aca="false"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D161" s="43" t="str">
        <f aca="false">IF($AF161="","",IF($AF161&lt;=1200,IF(INDEX(对接源_01水果!$T$4:$T$1203,$AF161)=0,"",INDEX(对接源_01水果!$T$4:$T$1203,$AF161)),IF(INDEX(对接源_02物料!$T$4:$T$1203,$AF161-1200)=0,"",INDEX(对接源_02物料!$T$4:$T$1203,$AF161-1200))))</f>
        <v/>
      </c>
      <c r="E161" s="42" t="str">
        <f aca="false">IF($AF161="","",IF($AF161&lt;=1200,IF(INDEX(对接源_01水果!$C$4:$C$1203,$AF161)=0,"",INDEX(对接源_01水果!$C$4:$C$1203,$AF161)),IF(INDEX(对接源_02物料!$C$4:$C$1203,$AF161-1200)=0,"",INDEX(对接源_02物料!$C$4:$C$1203,$AF161-1200))))</f>
        <v/>
      </c>
      <c r="F161" s="41" t="str">
        <f aca="false"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G161" s="42" t="str">
        <f aca="false"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H161" s="41" t="str">
        <f aca="false">IF($AF161="","",IF($AF161&lt;=1200,"01水果册","02物料册"))</f>
        <v/>
      </c>
      <c r="I161" s="42" t="str">
        <f aca="false"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44" t="str">
        <f aca="false">IFERROR(MATCH(53,_自动清单!$Y$4:$Y$2403,0),"")</f>
        <v/>
      </c>
    </row>
    <row r="162" customFormat="false" ht="18" hidden="false" customHeight="true" outlineLevel="0" collapsed="false">
      <c r="A162" s="45" t="str">
        <f aca="false"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47" t="str">
        <f aca="false"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C162" s="46" t="str">
        <f aca="false"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D162" s="48" t="str">
        <f aca="false">IF($AF162="","",IF($AF162&lt;=1200,IF(INDEX(对接源_01水果!$T$4:$T$1203,$AF162)=0,"",INDEX(对接源_01水果!$T$4:$T$1203,$AF162)),IF(INDEX(对接源_02物料!$T$4:$T$1203,$AF162-1200)=0,"",INDEX(对接源_02物料!$T$4:$T$1203,$AF162-1200))))</f>
        <v/>
      </c>
      <c r="E162" s="47" t="str">
        <f aca="false">IF($AF162="","",IF($AF162&lt;=1200,IF(INDEX(对接源_01水果!$C$4:$C$1203,$AF162)=0,"",INDEX(对接源_01水果!$C$4:$C$1203,$AF162)),IF(INDEX(对接源_02物料!$C$4:$C$1203,$AF162-1200)=0,"",INDEX(对接源_02物料!$C$4:$C$1203,$AF162-1200))))</f>
        <v/>
      </c>
      <c r="F162" s="46" t="str">
        <f aca="false"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G162" s="47" t="str">
        <f aca="false"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H162" s="46" t="str">
        <f aca="false">IF($AF162="","",IF($AF162&lt;=1200,"01水果册","02物料册"))</f>
        <v/>
      </c>
      <c r="I162" s="47" t="str">
        <f aca="false"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44" t="str">
        <f aca="false">IFERROR(MATCH(54,_自动清单!$Y$4:$Y$2403,0),"")</f>
        <v/>
      </c>
    </row>
    <row r="163" customFormat="false" ht="18" hidden="false" customHeight="true" outlineLevel="0" collapsed="false">
      <c r="A163" s="40" t="str">
        <f aca="false"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42" t="str">
        <f aca="false"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C163" s="41" t="str">
        <f aca="false"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D163" s="43" t="str">
        <f aca="false">IF($AF163="","",IF($AF163&lt;=1200,IF(INDEX(对接源_01水果!$T$4:$T$1203,$AF163)=0,"",INDEX(对接源_01水果!$T$4:$T$1203,$AF163)),IF(INDEX(对接源_02物料!$T$4:$T$1203,$AF163-1200)=0,"",INDEX(对接源_02物料!$T$4:$T$1203,$AF163-1200))))</f>
        <v/>
      </c>
      <c r="E163" s="42" t="str">
        <f aca="false">IF($AF163="","",IF($AF163&lt;=1200,IF(INDEX(对接源_01水果!$C$4:$C$1203,$AF163)=0,"",INDEX(对接源_01水果!$C$4:$C$1203,$AF163)),IF(INDEX(对接源_02物料!$C$4:$C$1203,$AF163-1200)=0,"",INDEX(对接源_02物料!$C$4:$C$1203,$AF163-1200))))</f>
        <v/>
      </c>
      <c r="F163" s="41" t="str">
        <f aca="false"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G163" s="42" t="str">
        <f aca="false"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H163" s="41" t="str">
        <f aca="false">IF($AF163="","",IF($AF163&lt;=1200,"01水果册","02物料册"))</f>
        <v/>
      </c>
      <c r="I163" s="42" t="str">
        <f aca="false"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44" t="str">
        <f aca="false">IFERROR(MATCH(55,_自动清单!$Y$4:$Y$2403,0),"")</f>
        <v/>
      </c>
    </row>
    <row r="164" customFormat="false" ht="18" hidden="false" customHeight="true" outlineLevel="0" collapsed="false">
      <c r="A164" s="45" t="str">
        <f aca="false"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47" t="str">
        <f aca="false"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C164" s="46" t="str">
        <f aca="false"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D164" s="48" t="str">
        <f aca="false">IF($AF164="","",IF($AF164&lt;=1200,IF(INDEX(对接源_01水果!$T$4:$T$1203,$AF164)=0,"",INDEX(对接源_01水果!$T$4:$T$1203,$AF164)),IF(INDEX(对接源_02物料!$T$4:$T$1203,$AF164-1200)=0,"",INDEX(对接源_02物料!$T$4:$T$1203,$AF164-1200))))</f>
        <v/>
      </c>
      <c r="E164" s="47" t="str">
        <f aca="false">IF($AF164="","",IF($AF164&lt;=1200,IF(INDEX(对接源_01水果!$C$4:$C$1203,$AF164)=0,"",INDEX(对接源_01水果!$C$4:$C$1203,$AF164)),IF(INDEX(对接源_02物料!$C$4:$C$1203,$AF164-1200)=0,"",INDEX(对接源_02物料!$C$4:$C$1203,$AF164-1200))))</f>
        <v/>
      </c>
      <c r="F164" s="46" t="str">
        <f aca="false"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G164" s="47" t="str">
        <f aca="false"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H164" s="46" t="str">
        <f aca="false">IF($AF164="","",IF($AF164&lt;=1200,"01水果册","02物料册"))</f>
        <v/>
      </c>
      <c r="I164" s="47" t="str">
        <f aca="false"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44" t="str">
        <f aca="false">IFERROR(MATCH(56,_自动清单!$Y$4:$Y$2403,0),"")</f>
        <v/>
      </c>
    </row>
    <row r="165" customFormat="false" ht="18" hidden="false" customHeight="true" outlineLevel="0" collapsed="false">
      <c r="A165" s="40" t="str">
        <f aca="false"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42" t="str">
        <f aca="false"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C165" s="41" t="str">
        <f aca="false"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D165" s="43" t="str">
        <f aca="false">IF($AF165="","",IF($AF165&lt;=1200,IF(INDEX(对接源_01水果!$T$4:$T$1203,$AF165)=0,"",INDEX(对接源_01水果!$T$4:$T$1203,$AF165)),IF(INDEX(对接源_02物料!$T$4:$T$1203,$AF165-1200)=0,"",INDEX(对接源_02物料!$T$4:$T$1203,$AF165-1200))))</f>
        <v/>
      </c>
      <c r="E165" s="42" t="str">
        <f aca="false">IF($AF165="","",IF($AF165&lt;=1200,IF(INDEX(对接源_01水果!$C$4:$C$1203,$AF165)=0,"",INDEX(对接源_01水果!$C$4:$C$1203,$AF165)),IF(INDEX(对接源_02物料!$C$4:$C$1203,$AF165-1200)=0,"",INDEX(对接源_02物料!$C$4:$C$1203,$AF165-1200))))</f>
        <v/>
      </c>
      <c r="F165" s="41" t="str">
        <f aca="false"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G165" s="42" t="str">
        <f aca="false"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H165" s="41" t="str">
        <f aca="false">IF($AF165="","",IF($AF165&lt;=1200,"01水果册","02物料册"))</f>
        <v/>
      </c>
      <c r="I165" s="42" t="str">
        <f aca="false"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44" t="str">
        <f aca="false">IFERROR(MATCH(57,_自动清单!$Y$4:$Y$2403,0),"")</f>
        <v/>
      </c>
    </row>
    <row r="166" customFormat="false" ht="18" hidden="false" customHeight="true" outlineLevel="0" collapsed="false">
      <c r="A166" s="45" t="str">
        <f aca="false"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47" t="str">
        <f aca="false"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C166" s="46" t="str">
        <f aca="false"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D166" s="48" t="str">
        <f aca="false">IF($AF166="","",IF($AF166&lt;=1200,IF(INDEX(对接源_01水果!$T$4:$T$1203,$AF166)=0,"",INDEX(对接源_01水果!$T$4:$T$1203,$AF166)),IF(INDEX(对接源_02物料!$T$4:$T$1203,$AF166-1200)=0,"",INDEX(对接源_02物料!$T$4:$T$1203,$AF166-1200))))</f>
        <v/>
      </c>
      <c r="E166" s="47" t="str">
        <f aca="false">IF($AF166="","",IF($AF166&lt;=1200,IF(INDEX(对接源_01水果!$C$4:$C$1203,$AF166)=0,"",INDEX(对接源_01水果!$C$4:$C$1203,$AF166)),IF(INDEX(对接源_02物料!$C$4:$C$1203,$AF166-1200)=0,"",INDEX(对接源_02物料!$C$4:$C$1203,$AF166-1200))))</f>
        <v/>
      </c>
      <c r="F166" s="46" t="str">
        <f aca="false"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G166" s="47" t="str">
        <f aca="false"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H166" s="46" t="str">
        <f aca="false">IF($AF166="","",IF($AF166&lt;=1200,"01水果册","02物料册"))</f>
        <v/>
      </c>
      <c r="I166" s="47" t="str">
        <f aca="false"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44" t="str">
        <f aca="false">IFERROR(MATCH(58,_自动清单!$Y$4:$Y$2403,0),"")</f>
        <v/>
      </c>
    </row>
    <row r="167" customFormat="false" ht="18" hidden="false" customHeight="true" outlineLevel="0" collapsed="false">
      <c r="A167" s="40" t="str">
        <f aca="false"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42" t="str">
        <f aca="false"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C167" s="41" t="str">
        <f aca="false"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D167" s="43" t="str">
        <f aca="false">IF($AF167="","",IF($AF167&lt;=1200,IF(INDEX(对接源_01水果!$T$4:$T$1203,$AF167)=0,"",INDEX(对接源_01水果!$T$4:$T$1203,$AF167)),IF(INDEX(对接源_02物料!$T$4:$T$1203,$AF167-1200)=0,"",INDEX(对接源_02物料!$T$4:$T$1203,$AF167-1200))))</f>
        <v/>
      </c>
      <c r="E167" s="42" t="str">
        <f aca="false">IF($AF167="","",IF($AF167&lt;=1200,IF(INDEX(对接源_01水果!$C$4:$C$1203,$AF167)=0,"",INDEX(对接源_01水果!$C$4:$C$1203,$AF167)),IF(INDEX(对接源_02物料!$C$4:$C$1203,$AF167-1200)=0,"",INDEX(对接源_02物料!$C$4:$C$1203,$AF167-1200))))</f>
        <v/>
      </c>
      <c r="F167" s="41" t="str">
        <f aca="false"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G167" s="42" t="str">
        <f aca="false"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H167" s="41" t="str">
        <f aca="false">IF($AF167="","",IF($AF167&lt;=1200,"01水果册","02物料册"))</f>
        <v/>
      </c>
      <c r="I167" s="42" t="str">
        <f aca="false"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44" t="str">
        <f aca="false">IFERROR(MATCH(59,_自动清单!$Y$4:$Y$2403,0),"")</f>
        <v/>
      </c>
    </row>
    <row r="168" customFormat="false" ht="18" hidden="false" customHeight="true" outlineLevel="0" collapsed="false">
      <c r="A168" s="45" t="str">
        <f aca="false"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47" t="str">
        <f aca="false"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C168" s="46" t="str">
        <f aca="false"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D168" s="48" t="str">
        <f aca="false">IF($AF168="","",IF($AF168&lt;=1200,IF(INDEX(对接源_01水果!$T$4:$T$1203,$AF168)=0,"",INDEX(对接源_01水果!$T$4:$T$1203,$AF168)),IF(INDEX(对接源_02物料!$T$4:$T$1203,$AF168-1200)=0,"",INDEX(对接源_02物料!$T$4:$T$1203,$AF168-1200))))</f>
        <v/>
      </c>
      <c r="E168" s="47" t="str">
        <f aca="false">IF($AF168="","",IF($AF168&lt;=1200,IF(INDEX(对接源_01水果!$C$4:$C$1203,$AF168)=0,"",INDEX(对接源_01水果!$C$4:$C$1203,$AF168)),IF(INDEX(对接源_02物料!$C$4:$C$1203,$AF168-1200)=0,"",INDEX(对接源_02物料!$C$4:$C$1203,$AF168-1200))))</f>
        <v/>
      </c>
      <c r="F168" s="46" t="str">
        <f aca="false"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G168" s="47" t="str">
        <f aca="false"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H168" s="46" t="str">
        <f aca="false">IF($AF168="","",IF($AF168&lt;=1200,"01水果册","02物料册"))</f>
        <v/>
      </c>
      <c r="I168" s="47" t="str">
        <f aca="false"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44" t="str">
        <f aca="false">IFERROR(MATCH(60,_自动清单!$Y$4:$Y$2403,0),"")</f>
        <v/>
      </c>
    </row>
    <row r="169" customFormat="false" ht="18" hidden="false" customHeight="true" outlineLevel="0" collapsed="false">
      <c r="A169" s="40" t="str">
        <f aca="false"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42" t="str">
        <f aca="false">IF($AF169="","",IF($AF169&lt;=1200,IF(INDEX(对接源_01水果!$S$4:$S$1203,$AF169)=0,"",INDEX(对接源_01水果!$S$4:$S$1203,$AF169)),IF(INDEX(对接源_02物料!$S$4:$S$1203,$AF169-1200)=0,"",INDEX(对接源_02物料!$S$4:$S$1203,$AF169-1200))))</f>
        <v/>
      </c>
      <c r="C169" s="41" t="str">
        <f aca="false"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D169" s="43" t="str">
        <f aca="false">IF($AF169="","",IF($AF169&lt;=1200,IF(INDEX(对接源_01水果!$T$4:$T$1203,$AF169)=0,"",INDEX(对接源_01水果!$T$4:$T$1203,$AF169)),IF(INDEX(对接源_02物料!$T$4:$T$1203,$AF169-1200)=0,"",INDEX(对接源_02物料!$T$4:$T$1203,$AF169-1200))))</f>
        <v/>
      </c>
      <c r="E169" s="42" t="str">
        <f aca="false">IF($AF169="","",IF($AF169&lt;=1200,IF(INDEX(对接源_01水果!$C$4:$C$1203,$AF169)=0,"",INDEX(对接源_01水果!$C$4:$C$1203,$AF169)),IF(INDEX(对接源_02物料!$C$4:$C$1203,$AF169-1200)=0,"",INDEX(对接源_02物料!$C$4:$C$1203,$AF169-1200))))</f>
        <v/>
      </c>
      <c r="F169" s="41" t="str">
        <f aca="false"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G169" s="42" t="str">
        <f aca="false"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H169" s="41" t="str">
        <f aca="false">IF($AF169="","",IF($AF169&lt;=1200,"01水果册","02物料册"))</f>
        <v/>
      </c>
      <c r="I169" s="42" t="str">
        <f aca="false"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44" t="str">
        <f aca="false">IFERROR(MATCH(61,_自动清单!$Y$4:$Y$2403,0),"")</f>
        <v/>
      </c>
    </row>
    <row r="170" customFormat="false" ht="18" hidden="false" customHeight="true" outlineLevel="0" collapsed="false">
      <c r="A170" s="45" t="str">
        <f aca="false"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47" t="str">
        <f aca="false">IF($AF170="","",IF($AF170&lt;=1200,IF(INDEX(对接源_01水果!$S$4:$S$1203,$AF170)=0,"",INDEX(对接源_01水果!$S$4:$S$1203,$AF170)),IF(INDEX(对接源_02物料!$S$4:$S$1203,$AF170-1200)=0,"",INDEX(对接源_02物料!$S$4:$S$1203,$AF170-1200))))</f>
        <v/>
      </c>
      <c r="C170" s="46" t="str">
        <f aca="false"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D170" s="48" t="str">
        <f aca="false">IF($AF170="","",IF($AF170&lt;=1200,IF(INDEX(对接源_01水果!$T$4:$T$1203,$AF170)=0,"",INDEX(对接源_01水果!$T$4:$T$1203,$AF170)),IF(INDEX(对接源_02物料!$T$4:$T$1203,$AF170-1200)=0,"",INDEX(对接源_02物料!$T$4:$T$1203,$AF170-1200))))</f>
        <v/>
      </c>
      <c r="E170" s="47" t="str">
        <f aca="false">IF($AF170="","",IF($AF170&lt;=1200,IF(INDEX(对接源_01水果!$C$4:$C$1203,$AF170)=0,"",INDEX(对接源_01水果!$C$4:$C$1203,$AF170)),IF(INDEX(对接源_02物料!$C$4:$C$1203,$AF170-1200)=0,"",INDEX(对接源_02物料!$C$4:$C$1203,$AF170-1200))))</f>
        <v/>
      </c>
      <c r="F170" s="46" t="str">
        <f aca="false"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G170" s="47" t="str">
        <f aca="false"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H170" s="46" t="str">
        <f aca="false">IF($AF170="","",IF($AF170&lt;=1200,"01水果册","02物料册"))</f>
        <v/>
      </c>
      <c r="I170" s="47" t="str">
        <f aca="false"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44" t="str">
        <f aca="false">IFERROR(MATCH(62,_自动清单!$Y$4:$Y$2403,0),"")</f>
        <v/>
      </c>
    </row>
    <row r="171" customFormat="false" ht="18" hidden="false" customHeight="true" outlineLevel="0" collapsed="false">
      <c r="A171" s="40" t="str">
        <f aca="false"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42" t="str">
        <f aca="false">IF($AF171="","",IF($AF171&lt;=1200,IF(INDEX(对接源_01水果!$S$4:$S$1203,$AF171)=0,"",INDEX(对接源_01水果!$S$4:$S$1203,$AF171)),IF(INDEX(对接源_02物料!$S$4:$S$1203,$AF171-1200)=0,"",INDEX(对接源_02物料!$S$4:$S$1203,$AF171-1200))))</f>
        <v/>
      </c>
      <c r="C171" s="41" t="str">
        <f aca="false"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D171" s="43" t="str">
        <f aca="false">IF($AF171="","",IF($AF171&lt;=1200,IF(INDEX(对接源_01水果!$T$4:$T$1203,$AF171)=0,"",INDEX(对接源_01水果!$T$4:$T$1203,$AF171)),IF(INDEX(对接源_02物料!$T$4:$T$1203,$AF171-1200)=0,"",INDEX(对接源_02物料!$T$4:$T$1203,$AF171-1200))))</f>
        <v/>
      </c>
      <c r="E171" s="42" t="str">
        <f aca="false">IF($AF171="","",IF($AF171&lt;=1200,IF(INDEX(对接源_01水果!$C$4:$C$1203,$AF171)=0,"",INDEX(对接源_01水果!$C$4:$C$1203,$AF171)),IF(INDEX(对接源_02物料!$C$4:$C$1203,$AF171-1200)=0,"",INDEX(对接源_02物料!$C$4:$C$1203,$AF171-1200))))</f>
        <v/>
      </c>
      <c r="F171" s="41" t="str">
        <f aca="false"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G171" s="42" t="str">
        <f aca="false"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H171" s="41" t="str">
        <f aca="false">IF($AF171="","",IF($AF171&lt;=1200,"01水果册","02物料册"))</f>
        <v/>
      </c>
      <c r="I171" s="42" t="str">
        <f aca="false"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44" t="str">
        <f aca="false">IFERROR(MATCH(63,_自动清单!$Y$4:$Y$2403,0),"")</f>
        <v/>
      </c>
    </row>
    <row r="172" customFormat="false" ht="18" hidden="false" customHeight="true" outlineLevel="0" collapsed="false">
      <c r="A172" s="45" t="str">
        <f aca="false"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47" t="str">
        <f aca="false">IF($AF172="","",IF($AF172&lt;=1200,IF(INDEX(对接源_01水果!$S$4:$S$1203,$AF172)=0,"",INDEX(对接源_01水果!$S$4:$S$1203,$AF172)),IF(INDEX(对接源_02物料!$S$4:$S$1203,$AF172-1200)=0,"",INDEX(对接源_02物料!$S$4:$S$1203,$AF172-1200))))</f>
        <v/>
      </c>
      <c r="C172" s="46" t="str">
        <f aca="false"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D172" s="48" t="str">
        <f aca="false">IF($AF172="","",IF($AF172&lt;=1200,IF(INDEX(对接源_01水果!$T$4:$T$1203,$AF172)=0,"",INDEX(对接源_01水果!$T$4:$T$1203,$AF172)),IF(INDEX(对接源_02物料!$T$4:$T$1203,$AF172-1200)=0,"",INDEX(对接源_02物料!$T$4:$T$1203,$AF172-1200))))</f>
        <v/>
      </c>
      <c r="E172" s="47" t="str">
        <f aca="false">IF($AF172="","",IF($AF172&lt;=1200,IF(INDEX(对接源_01水果!$C$4:$C$1203,$AF172)=0,"",INDEX(对接源_01水果!$C$4:$C$1203,$AF172)),IF(INDEX(对接源_02物料!$C$4:$C$1203,$AF172-1200)=0,"",INDEX(对接源_02物料!$C$4:$C$1203,$AF172-1200))))</f>
        <v/>
      </c>
      <c r="F172" s="46" t="str">
        <f aca="false"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G172" s="47" t="str">
        <f aca="false"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H172" s="46" t="str">
        <f aca="false">IF($AF172="","",IF($AF172&lt;=1200,"01水果册","02物料册"))</f>
        <v/>
      </c>
      <c r="I172" s="47" t="str">
        <f aca="false"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44" t="str">
        <f aca="false">IFERROR(MATCH(64,_自动清单!$Y$4:$Y$2403,0),"")</f>
        <v/>
      </c>
    </row>
    <row r="173" customFormat="false" ht="18" hidden="false" customHeight="true" outlineLevel="0" collapsed="false">
      <c r="A173" s="40" t="str">
        <f aca="false"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42" t="str">
        <f aca="false">IF($AF173="","",IF($AF173&lt;=1200,IF(INDEX(对接源_01水果!$S$4:$S$1203,$AF173)=0,"",INDEX(对接源_01水果!$S$4:$S$1203,$AF173)),IF(INDEX(对接源_02物料!$S$4:$S$1203,$AF173-1200)=0,"",INDEX(对接源_02物料!$S$4:$S$1203,$AF173-1200))))</f>
        <v/>
      </c>
      <c r="C173" s="41" t="str">
        <f aca="false"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D173" s="43" t="str">
        <f aca="false">IF($AF173="","",IF($AF173&lt;=1200,IF(INDEX(对接源_01水果!$T$4:$T$1203,$AF173)=0,"",INDEX(对接源_01水果!$T$4:$T$1203,$AF173)),IF(INDEX(对接源_02物料!$T$4:$T$1203,$AF173-1200)=0,"",INDEX(对接源_02物料!$T$4:$T$1203,$AF173-1200))))</f>
        <v/>
      </c>
      <c r="E173" s="42" t="str">
        <f aca="false">IF($AF173="","",IF($AF173&lt;=1200,IF(INDEX(对接源_01水果!$C$4:$C$1203,$AF173)=0,"",INDEX(对接源_01水果!$C$4:$C$1203,$AF173)),IF(INDEX(对接源_02物料!$C$4:$C$1203,$AF173-1200)=0,"",INDEX(对接源_02物料!$C$4:$C$1203,$AF173-1200))))</f>
        <v/>
      </c>
      <c r="F173" s="41" t="str">
        <f aca="false"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G173" s="42" t="str">
        <f aca="false"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H173" s="41" t="str">
        <f aca="false">IF($AF173="","",IF($AF173&lt;=1200,"01水果册","02物料册"))</f>
        <v/>
      </c>
      <c r="I173" s="42" t="str">
        <f aca="false"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44" t="str">
        <f aca="false">IFERROR(MATCH(65,_自动清单!$Y$4:$Y$2403,0),"")</f>
        <v/>
      </c>
    </row>
    <row r="174" customFormat="false" ht="18" hidden="false" customHeight="true" outlineLevel="0" collapsed="false">
      <c r="A174" s="45" t="str">
        <f aca="false"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47" t="str">
        <f aca="false">IF($AF174="","",IF($AF174&lt;=1200,IF(INDEX(对接源_01水果!$S$4:$S$1203,$AF174)=0,"",INDEX(对接源_01水果!$S$4:$S$1203,$AF174)),IF(INDEX(对接源_02物料!$S$4:$S$1203,$AF174-1200)=0,"",INDEX(对接源_02物料!$S$4:$S$1203,$AF174-1200))))</f>
        <v/>
      </c>
      <c r="C174" s="46" t="str">
        <f aca="false"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D174" s="48" t="str">
        <f aca="false">IF($AF174="","",IF($AF174&lt;=1200,IF(INDEX(对接源_01水果!$T$4:$T$1203,$AF174)=0,"",INDEX(对接源_01水果!$T$4:$T$1203,$AF174)),IF(INDEX(对接源_02物料!$T$4:$T$1203,$AF174-1200)=0,"",INDEX(对接源_02物料!$T$4:$T$1203,$AF174-1200))))</f>
        <v/>
      </c>
      <c r="E174" s="47" t="str">
        <f aca="false">IF($AF174="","",IF($AF174&lt;=1200,IF(INDEX(对接源_01水果!$C$4:$C$1203,$AF174)=0,"",INDEX(对接源_01水果!$C$4:$C$1203,$AF174)),IF(INDEX(对接源_02物料!$C$4:$C$1203,$AF174-1200)=0,"",INDEX(对接源_02物料!$C$4:$C$1203,$AF174-1200))))</f>
        <v/>
      </c>
      <c r="F174" s="46" t="str">
        <f aca="false"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G174" s="47" t="str">
        <f aca="false"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H174" s="46" t="str">
        <f aca="false">IF($AF174="","",IF($AF174&lt;=1200,"01水果册","02物料册"))</f>
        <v/>
      </c>
      <c r="I174" s="47" t="str">
        <f aca="false"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44" t="str">
        <f aca="false">IFERROR(MATCH(66,_自动清单!$Y$4:$Y$2403,0),"")</f>
        <v/>
      </c>
    </row>
    <row r="175" customFormat="false" ht="18" hidden="false" customHeight="true" outlineLevel="0" collapsed="false">
      <c r="A175" s="40" t="str">
        <f aca="false"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42" t="str">
        <f aca="false">IF($AF175="","",IF($AF175&lt;=1200,IF(INDEX(对接源_01水果!$S$4:$S$1203,$AF175)=0,"",INDEX(对接源_01水果!$S$4:$S$1203,$AF175)),IF(INDEX(对接源_02物料!$S$4:$S$1203,$AF175-1200)=0,"",INDEX(对接源_02物料!$S$4:$S$1203,$AF175-1200))))</f>
        <v/>
      </c>
      <c r="C175" s="41" t="str">
        <f aca="false"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D175" s="43" t="str">
        <f aca="false">IF($AF175="","",IF($AF175&lt;=1200,IF(INDEX(对接源_01水果!$T$4:$T$1203,$AF175)=0,"",INDEX(对接源_01水果!$T$4:$T$1203,$AF175)),IF(INDEX(对接源_02物料!$T$4:$T$1203,$AF175-1200)=0,"",INDEX(对接源_02物料!$T$4:$T$1203,$AF175-1200))))</f>
        <v/>
      </c>
      <c r="E175" s="42" t="str">
        <f aca="false">IF($AF175="","",IF($AF175&lt;=1200,IF(INDEX(对接源_01水果!$C$4:$C$1203,$AF175)=0,"",INDEX(对接源_01水果!$C$4:$C$1203,$AF175)),IF(INDEX(对接源_02物料!$C$4:$C$1203,$AF175-1200)=0,"",INDEX(对接源_02物料!$C$4:$C$1203,$AF175-1200))))</f>
        <v/>
      </c>
      <c r="F175" s="41" t="str">
        <f aca="false"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G175" s="42" t="str">
        <f aca="false"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H175" s="41" t="str">
        <f aca="false">IF($AF175="","",IF($AF175&lt;=1200,"01水果册","02物料册"))</f>
        <v/>
      </c>
      <c r="I175" s="42" t="str">
        <f aca="false"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44" t="str">
        <f aca="false">IFERROR(MATCH(67,_自动清单!$Y$4:$Y$2403,0),"")</f>
        <v/>
      </c>
    </row>
    <row r="176" customFormat="false" ht="18" hidden="false" customHeight="true" outlineLevel="0" collapsed="false">
      <c r="A176" s="45" t="str">
        <f aca="false"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47" t="str">
        <f aca="false">IF($AF176="","",IF($AF176&lt;=1200,IF(INDEX(对接源_01水果!$S$4:$S$1203,$AF176)=0,"",INDEX(对接源_01水果!$S$4:$S$1203,$AF176)),IF(INDEX(对接源_02物料!$S$4:$S$1203,$AF176-1200)=0,"",INDEX(对接源_02物料!$S$4:$S$1203,$AF176-1200))))</f>
        <v/>
      </c>
      <c r="C176" s="46" t="str">
        <f aca="false"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D176" s="48" t="str">
        <f aca="false">IF($AF176="","",IF($AF176&lt;=1200,IF(INDEX(对接源_01水果!$T$4:$T$1203,$AF176)=0,"",INDEX(对接源_01水果!$T$4:$T$1203,$AF176)),IF(INDEX(对接源_02物料!$T$4:$T$1203,$AF176-1200)=0,"",INDEX(对接源_02物料!$T$4:$T$1203,$AF176-1200))))</f>
        <v/>
      </c>
      <c r="E176" s="47" t="str">
        <f aca="false">IF($AF176="","",IF($AF176&lt;=1200,IF(INDEX(对接源_01水果!$C$4:$C$1203,$AF176)=0,"",INDEX(对接源_01水果!$C$4:$C$1203,$AF176)),IF(INDEX(对接源_02物料!$C$4:$C$1203,$AF176-1200)=0,"",INDEX(对接源_02物料!$C$4:$C$1203,$AF176-1200))))</f>
        <v/>
      </c>
      <c r="F176" s="46" t="str">
        <f aca="false"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G176" s="47" t="str">
        <f aca="false"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H176" s="46" t="str">
        <f aca="false">IF($AF176="","",IF($AF176&lt;=1200,"01水果册","02物料册"))</f>
        <v/>
      </c>
      <c r="I176" s="47" t="str">
        <f aca="false"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44" t="str">
        <f aca="false">IFERROR(MATCH(68,_自动清单!$Y$4:$Y$2403,0),"")</f>
        <v/>
      </c>
    </row>
    <row r="177" customFormat="false" ht="18" hidden="false" customHeight="true" outlineLevel="0" collapsed="false">
      <c r="A177" s="40" t="str">
        <f aca="false"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42" t="str">
        <f aca="false">IF($AF177="","",IF($AF177&lt;=1200,IF(INDEX(对接源_01水果!$S$4:$S$1203,$AF177)=0,"",INDEX(对接源_01水果!$S$4:$S$1203,$AF177)),IF(INDEX(对接源_02物料!$S$4:$S$1203,$AF177-1200)=0,"",INDEX(对接源_02物料!$S$4:$S$1203,$AF177-1200))))</f>
        <v/>
      </c>
      <c r="C177" s="41" t="str">
        <f aca="false"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D177" s="43" t="str">
        <f aca="false">IF($AF177="","",IF($AF177&lt;=1200,IF(INDEX(对接源_01水果!$T$4:$T$1203,$AF177)=0,"",INDEX(对接源_01水果!$T$4:$T$1203,$AF177)),IF(INDEX(对接源_02物料!$T$4:$T$1203,$AF177-1200)=0,"",INDEX(对接源_02物料!$T$4:$T$1203,$AF177-1200))))</f>
        <v/>
      </c>
      <c r="E177" s="42" t="str">
        <f aca="false">IF($AF177="","",IF($AF177&lt;=1200,IF(INDEX(对接源_01水果!$C$4:$C$1203,$AF177)=0,"",INDEX(对接源_01水果!$C$4:$C$1203,$AF177)),IF(INDEX(对接源_02物料!$C$4:$C$1203,$AF177-1200)=0,"",INDEX(对接源_02物料!$C$4:$C$1203,$AF177-1200))))</f>
        <v/>
      </c>
      <c r="F177" s="41" t="str">
        <f aca="false"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G177" s="42" t="str">
        <f aca="false"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H177" s="41" t="str">
        <f aca="false">IF($AF177="","",IF($AF177&lt;=1200,"01水果册","02物料册"))</f>
        <v/>
      </c>
      <c r="I177" s="42" t="str">
        <f aca="false"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44" t="str">
        <f aca="false">IFERROR(MATCH(69,_自动清单!$Y$4:$Y$2403,0),"")</f>
        <v/>
      </c>
    </row>
    <row r="178" customFormat="false" ht="18" hidden="false" customHeight="true" outlineLevel="0" collapsed="false">
      <c r="A178" s="45" t="str">
        <f aca="false"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47" t="str">
        <f aca="false">IF($AF178="","",IF($AF178&lt;=1200,IF(INDEX(对接源_01水果!$S$4:$S$1203,$AF178)=0,"",INDEX(对接源_01水果!$S$4:$S$1203,$AF178)),IF(INDEX(对接源_02物料!$S$4:$S$1203,$AF178-1200)=0,"",INDEX(对接源_02物料!$S$4:$S$1203,$AF178-1200))))</f>
        <v/>
      </c>
      <c r="C178" s="46" t="str">
        <f aca="false"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D178" s="48" t="str">
        <f aca="false">IF($AF178="","",IF($AF178&lt;=1200,IF(INDEX(对接源_01水果!$T$4:$T$1203,$AF178)=0,"",INDEX(对接源_01水果!$T$4:$T$1203,$AF178)),IF(INDEX(对接源_02物料!$T$4:$T$1203,$AF178-1200)=0,"",INDEX(对接源_02物料!$T$4:$T$1203,$AF178-1200))))</f>
        <v/>
      </c>
      <c r="E178" s="47" t="str">
        <f aca="false">IF($AF178="","",IF($AF178&lt;=1200,IF(INDEX(对接源_01水果!$C$4:$C$1203,$AF178)=0,"",INDEX(对接源_01水果!$C$4:$C$1203,$AF178)),IF(INDEX(对接源_02物料!$C$4:$C$1203,$AF178-1200)=0,"",INDEX(对接源_02物料!$C$4:$C$1203,$AF178-1200))))</f>
        <v/>
      </c>
      <c r="F178" s="46" t="str">
        <f aca="false"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G178" s="47" t="str">
        <f aca="false"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H178" s="46" t="str">
        <f aca="false">IF($AF178="","",IF($AF178&lt;=1200,"01水果册","02物料册"))</f>
        <v/>
      </c>
      <c r="I178" s="47" t="str">
        <f aca="false"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44" t="str">
        <f aca="false">IFERROR(MATCH(70,_自动清单!$Y$4:$Y$2403,0),"")</f>
        <v/>
      </c>
    </row>
    <row r="179" customFormat="false" ht="18" hidden="false" customHeight="true" outlineLevel="0" collapsed="false">
      <c r="A179" s="40" t="str">
        <f aca="false"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42" t="str">
        <f aca="false">IF($AF179="","",IF($AF179&lt;=1200,IF(INDEX(对接源_01水果!$S$4:$S$1203,$AF179)=0,"",INDEX(对接源_01水果!$S$4:$S$1203,$AF179)),IF(INDEX(对接源_02物料!$S$4:$S$1203,$AF179-1200)=0,"",INDEX(对接源_02物料!$S$4:$S$1203,$AF179-1200))))</f>
        <v/>
      </c>
      <c r="C179" s="41" t="str">
        <f aca="false"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D179" s="43" t="str">
        <f aca="false">IF($AF179="","",IF($AF179&lt;=1200,IF(INDEX(对接源_01水果!$T$4:$T$1203,$AF179)=0,"",INDEX(对接源_01水果!$T$4:$T$1203,$AF179)),IF(INDEX(对接源_02物料!$T$4:$T$1203,$AF179-1200)=0,"",INDEX(对接源_02物料!$T$4:$T$1203,$AF179-1200))))</f>
        <v/>
      </c>
      <c r="E179" s="42" t="str">
        <f aca="false">IF($AF179="","",IF($AF179&lt;=1200,IF(INDEX(对接源_01水果!$C$4:$C$1203,$AF179)=0,"",INDEX(对接源_01水果!$C$4:$C$1203,$AF179)),IF(INDEX(对接源_02物料!$C$4:$C$1203,$AF179-1200)=0,"",INDEX(对接源_02物料!$C$4:$C$1203,$AF179-1200))))</f>
        <v/>
      </c>
      <c r="F179" s="41" t="str">
        <f aca="false"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G179" s="42" t="str">
        <f aca="false"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H179" s="41" t="str">
        <f aca="false">IF($AF179="","",IF($AF179&lt;=1200,"01水果册","02物料册"))</f>
        <v/>
      </c>
      <c r="I179" s="42" t="str">
        <f aca="false"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44" t="str">
        <f aca="false">IFERROR(MATCH(71,_自动清单!$Y$4:$Y$2403,0),"")</f>
        <v/>
      </c>
    </row>
    <row r="180" customFormat="false" ht="18" hidden="false" customHeight="true" outlineLevel="0" collapsed="false">
      <c r="A180" s="45" t="str">
        <f aca="false"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47" t="str">
        <f aca="false">IF($AF180="","",IF($AF180&lt;=1200,IF(INDEX(对接源_01水果!$S$4:$S$1203,$AF180)=0,"",INDEX(对接源_01水果!$S$4:$S$1203,$AF180)),IF(INDEX(对接源_02物料!$S$4:$S$1203,$AF180-1200)=0,"",INDEX(对接源_02物料!$S$4:$S$1203,$AF180-1200))))</f>
        <v/>
      </c>
      <c r="C180" s="46" t="str">
        <f aca="false"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D180" s="48" t="str">
        <f aca="false">IF($AF180="","",IF($AF180&lt;=1200,IF(INDEX(对接源_01水果!$T$4:$T$1203,$AF180)=0,"",INDEX(对接源_01水果!$T$4:$T$1203,$AF180)),IF(INDEX(对接源_02物料!$T$4:$T$1203,$AF180-1200)=0,"",INDEX(对接源_02物料!$T$4:$T$1203,$AF180-1200))))</f>
        <v/>
      </c>
      <c r="E180" s="47" t="str">
        <f aca="false">IF($AF180="","",IF($AF180&lt;=1200,IF(INDEX(对接源_01水果!$C$4:$C$1203,$AF180)=0,"",INDEX(对接源_01水果!$C$4:$C$1203,$AF180)),IF(INDEX(对接源_02物料!$C$4:$C$1203,$AF180-1200)=0,"",INDEX(对接源_02物料!$C$4:$C$1203,$AF180-1200))))</f>
        <v/>
      </c>
      <c r="F180" s="46" t="str">
        <f aca="false"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G180" s="47" t="str">
        <f aca="false"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H180" s="46" t="str">
        <f aca="false">IF($AF180="","",IF($AF180&lt;=1200,"01水果册","02物料册"))</f>
        <v/>
      </c>
      <c r="I180" s="47" t="str">
        <f aca="false"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44" t="str">
        <f aca="false">IFERROR(MATCH(72,_自动清单!$Y$4:$Y$2403,0),"")</f>
        <v/>
      </c>
    </row>
    <row r="181" customFormat="false" ht="18" hidden="false" customHeight="true" outlineLevel="0" collapsed="false">
      <c r="A181" s="40" t="str">
        <f aca="false"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42" t="str">
        <f aca="false">IF($AF181="","",IF($AF181&lt;=1200,IF(INDEX(对接源_01水果!$S$4:$S$1203,$AF181)=0,"",INDEX(对接源_01水果!$S$4:$S$1203,$AF181)),IF(INDEX(对接源_02物料!$S$4:$S$1203,$AF181-1200)=0,"",INDEX(对接源_02物料!$S$4:$S$1203,$AF181-1200))))</f>
        <v/>
      </c>
      <c r="C181" s="41" t="str">
        <f aca="false"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D181" s="43" t="str">
        <f aca="false">IF($AF181="","",IF($AF181&lt;=1200,IF(INDEX(对接源_01水果!$T$4:$T$1203,$AF181)=0,"",INDEX(对接源_01水果!$T$4:$T$1203,$AF181)),IF(INDEX(对接源_02物料!$T$4:$T$1203,$AF181-1200)=0,"",INDEX(对接源_02物料!$T$4:$T$1203,$AF181-1200))))</f>
        <v/>
      </c>
      <c r="E181" s="42" t="str">
        <f aca="false">IF($AF181="","",IF($AF181&lt;=1200,IF(INDEX(对接源_01水果!$C$4:$C$1203,$AF181)=0,"",INDEX(对接源_01水果!$C$4:$C$1203,$AF181)),IF(INDEX(对接源_02物料!$C$4:$C$1203,$AF181-1200)=0,"",INDEX(对接源_02物料!$C$4:$C$1203,$AF181-1200))))</f>
        <v/>
      </c>
      <c r="F181" s="41" t="str">
        <f aca="false"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G181" s="42" t="str">
        <f aca="false"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H181" s="41" t="str">
        <f aca="false">IF($AF181="","",IF($AF181&lt;=1200,"01水果册","02物料册"))</f>
        <v/>
      </c>
      <c r="I181" s="42" t="str">
        <f aca="false"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44" t="str">
        <f aca="false">IFERROR(MATCH(73,_自动清单!$Y$4:$Y$2403,0),"")</f>
        <v/>
      </c>
    </row>
    <row r="182" customFormat="false" ht="18" hidden="false" customHeight="true" outlineLevel="0" collapsed="false">
      <c r="A182" s="45" t="str">
        <f aca="false"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47" t="str">
        <f aca="false">IF($AF182="","",IF($AF182&lt;=1200,IF(INDEX(对接源_01水果!$S$4:$S$1203,$AF182)=0,"",INDEX(对接源_01水果!$S$4:$S$1203,$AF182)),IF(INDEX(对接源_02物料!$S$4:$S$1203,$AF182-1200)=0,"",INDEX(对接源_02物料!$S$4:$S$1203,$AF182-1200))))</f>
        <v/>
      </c>
      <c r="C182" s="46" t="str">
        <f aca="false"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D182" s="48" t="str">
        <f aca="false">IF($AF182="","",IF($AF182&lt;=1200,IF(INDEX(对接源_01水果!$T$4:$T$1203,$AF182)=0,"",INDEX(对接源_01水果!$T$4:$T$1203,$AF182)),IF(INDEX(对接源_02物料!$T$4:$T$1203,$AF182-1200)=0,"",INDEX(对接源_02物料!$T$4:$T$1203,$AF182-1200))))</f>
        <v/>
      </c>
      <c r="E182" s="47" t="str">
        <f aca="false">IF($AF182="","",IF($AF182&lt;=1200,IF(INDEX(对接源_01水果!$C$4:$C$1203,$AF182)=0,"",INDEX(对接源_01水果!$C$4:$C$1203,$AF182)),IF(INDEX(对接源_02物料!$C$4:$C$1203,$AF182-1200)=0,"",INDEX(对接源_02物料!$C$4:$C$1203,$AF182-1200))))</f>
        <v/>
      </c>
      <c r="F182" s="46" t="str">
        <f aca="false"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G182" s="47" t="str">
        <f aca="false"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H182" s="46" t="str">
        <f aca="false">IF($AF182="","",IF($AF182&lt;=1200,"01水果册","02物料册"))</f>
        <v/>
      </c>
      <c r="I182" s="47" t="str">
        <f aca="false"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44" t="str">
        <f aca="false">IFERROR(MATCH(74,_自动清单!$Y$4:$Y$2403,0),"")</f>
        <v/>
      </c>
    </row>
    <row r="183" customFormat="false" ht="18" hidden="false" customHeight="true" outlineLevel="0" collapsed="false">
      <c r="A183" s="40" t="str">
        <f aca="false"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42" t="str">
        <f aca="false">IF($AF183="","",IF($AF183&lt;=1200,IF(INDEX(对接源_01水果!$S$4:$S$1203,$AF183)=0,"",INDEX(对接源_01水果!$S$4:$S$1203,$AF183)),IF(INDEX(对接源_02物料!$S$4:$S$1203,$AF183-1200)=0,"",INDEX(对接源_02物料!$S$4:$S$1203,$AF183-1200))))</f>
        <v/>
      </c>
      <c r="C183" s="41" t="str">
        <f aca="false"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D183" s="43" t="str">
        <f aca="false">IF($AF183="","",IF($AF183&lt;=1200,IF(INDEX(对接源_01水果!$T$4:$T$1203,$AF183)=0,"",INDEX(对接源_01水果!$T$4:$T$1203,$AF183)),IF(INDEX(对接源_02物料!$T$4:$T$1203,$AF183-1200)=0,"",INDEX(对接源_02物料!$T$4:$T$1203,$AF183-1200))))</f>
        <v/>
      </c>
      <c r="E183" s="42" t="str">
        <f aca="false">IF($AF183="","",IF($AF183&lt;=1200,IF(INDEX(对接源_01水果!$C$4:$C$1203,$AF183)=0,"",INDEX(对接源_01水果!$C$4:$C$1203,$AF183)),IF(INDEX(对接源_02物料!$C$4:$C$1203,$AF183-1200)=0,"",INDEX(对接源_02物料!$C$4:$C$1203,$AF183-1200))))</f>
        <v/>
      </c>
      <c r="F183" s="41" t="str">
        <f aca="false"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G183" s="42" t="str">
        <f aca="false"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H183" s="41" t="str">
        <f aca="false">IF($AF183="","",IF($AF183&lt;=1200,"01水果册","02物料册"))</f>
        <v/>
      </c>
      <c r="I183" s="42" t="str">
        <f aca="false"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44" t="str">
        <f aca="false">IFERROR(MATCH(75,_自动清单!$Y$4:$Y$2403,0),"")</f>
        <v/>
      </c>
    </row>
    <row r="184" customFormat="false" ht="18" hidden="false" customHeight="true" outlineLevel="0" collapsed="false">
      <c r="A184" s="45" t="str">
        <f aca="false"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47" t="str">
        <f aca="false">IF($AF184="","",IF($AF184&lt;=1200,IF(INDEX(对接源_01水果!$S$4:$S$1203,$AF184)=0,"",INDEX(对接源_01水果!$S$4:$S$1203,$AF184)),IF(INDEX(对接源_02物料!$S$4:$S$1203,$AF184-1200)=0,"",INDEX(对接源_02物料!$S$4:$S$1203,$AF184-1200))))</f>
        <v/>
      </c>
      <c r="C184" s="46" t="str">
        <f aca="false"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D184" s="48" t="str">
        <f aca="false">IF($AF184="","",IF($AF184&lt;=1200,IF(INDEX(对接源_01水果!$T$4:$T$1203,$AF184)=0,"",INDEX(对接源_01水果!$T$4:$T$1203,$AF184)),IF(INDEX(对接源_02物料!$T$4:$T$1203,$AF184-1200)=0,"",INDEX(对接源_02物料!$T$4:$T$1203,$AF184-1200))))</f>
        <v/>
      </c>
      <c r="E184" s="47" t="str">
        <f aca="false">IF($AF184="","",IF($AF184&lt;=1200,IF(INDEX(对接源_01水果!$C$4:$C$1203,$AF184)=0,"",INDEX(对接源_01水果!$C$4:$C$1203,$AF184)),IF(INDEX(对接源_02物料!$C$4:$C$1203,$AF184-1200)=0,"",INDEX(对接源_02物料!$C$4:$C$1203,$AF184-1200))))</f>
        <v/>
      </c>
      <c r="F184" s="46" t="str">
        <f aca="false"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G184" s="47" t="str">
        <f aca="false"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H184" s="46" t="str">
        <f aca="false">IF($AF184="","",IF($AF184&lt;=1200,"01水果册","02物料册"))</f>
        <v/>
      </c>
      <c r="I184" s="47" t="str">
        <f aca="false"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44" t="str">
        <f aca="false">IFERROR(MATCH(76,_自动清单!$Y$4:$Y$2403,0),"")</f>
        <v/>
      </c>
    </row>
    <row r="185" customFormat="false" ht="18" hidden="false" customHeight="true" outlineLevel="0" collapsed="false">
      <c r="A185" s="40" t="str">
        <f aca="false"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42" t="str">
        <f aca="false">IF($AF185="","",IF($AF185&lt;=1200,IF(INDEX(对接源_01水果!$S$4:$S$1203,$AF185)=0,"",INDEX(对接源_01水果!$S$4:$S$1203,$AF185)),IF(INDEX(对接源_02物料!$S$4:$S$1203,$AF185-1200)=0,"",INDEX(对接源_02物料!$S$4:$S$1203,$AF185-1200))))</f>
        <v/>
      </c>
      <c r="C185" s="41" t="str">
        <f aca="false"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D185" s="43" t="str">
        <f aca="false">IF($AF185="","",IF($AF185&lt;=1200,IF(INDEX(对接源_01水果!$T$4:$T$1203,$AF185)=0,"",INDEX(对接源_01水果!$T$4:$T$1203,$AF185)),IF(INDEX(对接源_02物料!$T$4:$T$1203,$AF185-1200)=0,"",INDEX(对接源_02物料!$T$4:$T$1203,$AF185-1200))))</f>
        <v/>
      </c>
      <c r="E185" s="42" t="str">
        <f aca="false">IF($AF185="","",IF($AF185&lt;=1200,IF(INDEX(对接源_01水果!$C$4:$C$1203,$AF185)=0,"",INDEX(对接源_01水果!$C$4:$C$1203,$AF185)),IF(INDEX(对接源_02物料!$C$4:$C$1203,$AF185-1200)=0,"",INDEX(对接源_02物料!$C$4:$C$1203,$AF185-1200))))</f>
        <v/>
      </c>
      <c r="F185" s="41" t="str">
        <f aca="false"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G185" s="42" t="str">
        <f aca="false"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H185" s="41" t="str">
        <f aca="false">IF($AF185="","",IF($AF185&lt;=1200,"01水果册","02物料册"))</f>
        <v/>
      </c>
      <c r="I185" s="42" t="str">
        <f aca="false"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44" t="str">
        <f aca="false">IFERROR(MATCH(77,_自动清单!$Y$4:$Y$2403,0),"")</f>
        <v/>
      </c>
    </row>
    <row r="186" customFormat="false" ht="18" hidden="false" customHeight="true" outlineLevel="0" collapsed="false">
      <c r="A186" s="45" t="str">
        <f aca="false"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47" t="str">
        <f aca="false">IF($AF186="","",IF($AF186&lt;=1200,IF(INDEX(对接源_01水果!$S$4:$S$1203,$AF186)=0,"",INDEX(对接源_01水果!$S$4:$S$1203,$AF186)),IF(INDEX(对接源_02物料!$S$4:$S$1203,$AF186-1200)=0,"",INDEX(对接源_02物料!$S$4:$S$1203,$AF186-1200))))</f>
        <v/>
      </c>
      <c r="C186" s="46" t="str">
        <f aca="false"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D186" s="48" t="str">
        <f aca="false">IF($AF186="","",IF($AF186&lt;=1200,IF(INDEX(对接源_01水果!$T$4:$T$1203,$AF186)=0,"",INDEX(对接源_01水果!$T$4:$T$1203,$AF186)),IF(INDEX(对接源_02物料!$T$4:$T$1203,$AF186-1200)=0,"",INDEX(对接源_02物料!$T$4:$T$1203,$AF186-1200))))</f>
        <v/>
      </c>
      <c r="E186" s="47" t="str">
        <f aca="false">IF($AF186="","",IF($AF186&lt;=1200,IF(INDEX(对接源_01水果!$C$4:$C$1203,$AF186)=0,"",INDEX(对接源_01水果!$C$4:$C$1203,$AF186)),IF(INDEX(对接源_02物料!$C$4:$C$1203,$AF186-1200)=0,"",INDEX(对接源_02物料!$C$4:$C$1203,$AF186-1200))))</f>
        <v/>
      </c>
      <c r="F186" s="46" t="str">
        <f aca="false"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G186" s="47" t="str">
        <f aca="false"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H186" s="46" t="str">
        <f aca="false">IF($AF186="","",IF($AF186&lt;=1200,"01水果册","02物料册"))</f>
        <v/>
      </c>
      <c r="I186" s="47" t="str">
        <f aca="false"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44" t="str">
        <f aca="false">IFERROR(MATCH(78,_自动清单!$Y$4:$Y$2403,0),"")</f>
        <v/>
      </c>
    </row>
    <row r="187" customFormat="false" ht="18" hidden="false" customHeight="true" outlineLevel="0" collapsed="false">
      <c r="A187" s="40" t="str">
        <f aca="false"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42" t="str">
        <f aca="false">IF($AF187="","",IF($AF187&lt;=1200,IF(INDEX(对接源_01水果!$S$4:$S$1203,$AF187)=0,"",INDEX(对接源_01水果!$S$4:$S$1203,$AF187)),IF(INDEX(对接源_02物料!$S$4:$S$1203,$AF187-1200)=0,"",INDEX(对接源_02物料!$S$4:$S$1203,$AF187-1200))))</f>
        <v/>
      </c>
      <c r="C187" s="41" t="str">
        <f aca="false"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D187" s="43" t="str">
        <f aca="false">IF($AF187="","",IF($AF187&lt;=1200,IF(INDEX(对接源_01水果!$T$4:$T$1203,$AF187)=0,"",INDEX(对接源_01水果!$T$4:$T$1203,$AF187)),IF(INDEX(对接源_02物料!$T$4:$T$1203,$AF187-1200)=0,"",INDEX(对接源_02物料!$T$4:$T$1203,$AF187-1200))))</f>
        <v/>
      </c>
      <c r="E187" s="42" t="str">
        <f aca="false">IF($AF187="","",IF($AF187&lt;=1200,IF(INDEX(对接源_01水果!$C$4:$C$1203,$AF187)=0,"",INDEX(对接源_01水果!$C$4:$C$1203,$AF187)),IF(INDEX(对接源_02物料!$C$4:$C$1203,$AF187-1200)=0,"",INDEX(对接源_02物料!$C$4:$C$1203,$AF187-1200))))</f>
        <v/>
      </c>
      <c r="F187" s="41" t="str">
        <f aca="false"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G187" s="42" t="str">
        <f aca="false"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H187" s="41" t="str">
        <f aca="false">IF($AF187="","",IF($AF187&lt;=1200,"01水果册","02物料册"))</f>
        <v/>
      </c>
      <c r="I187" s="42" t="str">
        <f aca="false"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44" t="str">
        <f aca="false">IFERROR(MATCH(79,_自动清单!$Y$4:$Y$2403,0),"")</f>
        <v/>
      </c>
    </row>
    <row r="188" customFormat="false" ht="18" hidden="false" customHeight="true" outlineLevel="0" collapsed="false">
      <c r="A188" s="45" t="str">
        <f aca="false"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47" t="str">
        <f aca="false">IF($AF188="","",IF($AF188&lt;=1200,IF(INDEX(对接源_01水果!$S$4:$S$1203,$AF188)=0,"",INDEX(对接源_01水果!$S$4:$S$1203,$AF188)),IF(INDEX(对接源_02物料!$S$4:$S$1203,$AF188-1200)=0,"",INDEX(对接源_02物料!$S$4:$S$1203,$AF188-1200))))</f>
        <v/>
      </c>
      <c r="C188" s="46" t="str">
        <f aca="false"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D188" s="48" t="str">
        <f aca="false">IF($AF188="","",IF($AF188&lt;=1200,IF(INDEX(对接源_01水果!$T$4:$T$1203,$AF188)=0,"",INDEX(对接源_01水果!$T$4:$T$1203,$AF188)),IF(INDEX(对接源_02物料!$T$4:$T$1203,$AF188-1200)=0,"",INDEX(对接源_02物料!$T$4:$T$1203,$AF188-1200))))</f>
        <v/>
      </c>
      <c r="E188" s="47" t="str">
        <f aca="false">IF($AF188="","",IF($AF188&lt;=1200,IF(INDEX(对接源_01水果!$C$4:$C$1203,$AF188)=0,"",INDEX(对接源_01水果!$C$4:$C$1203,$AF188)),IF(INDEX(对接源_02物料!$C$4:$C$1203,$AF188-1200)=0,"",INDEX(对接源_02物料!$C$4:$C$1203,$AF188-1200))))</f>
        <v/>
      </c>
      <c r="F188" s="46" t="str">
        <f aca="false"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G188" s="47" t="str">
        <f aca="false"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H188" s="46" t="str">
        <f aca="false">IF($AF188="","",IF($AF188&lt;=1200,"01水果册","02物料册"))</f>
        <v/>
      </c>
      <c r="I188" s="47" t="str">
        <f aca="false"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44" t="str">
        <f aca="false">IFERROR(MATCH(80,_自动清单!$Y$4:$Y$2403,0),"")</f>
        <v/>
      </c>
    </row>
    <row r="189" customFormat="false" ht="18" hidden="false" customHeight="true" outlineLevel="0" collapsed="false">
      <c r="A189" s="40" t="str">
        <f aca="false"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42" t="str">
        <f aca="false">IF($AF189="","",IF($AF189&lt;=1200,IF(INDEX(对接源_01水果!$S$4:$S$1203,$AF189)=0,"",INDEX(对接源_01水果!$S$4:$S$1203,$AF189)),IF(INDEX(对接源_02物料!$S$4:$S$1203,$AF189-1200)=0,"",INDEX(对接源_02物料!$S$4:$S$1203,$AF189-1200))))</f>
        <v/>
      </c>
      <c r="C189" s="41" t="str">
        <f aca="false"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D189" s="43" t="str">
        <f aca="false">IF($AF189="","",IF($AF189&lt;=1200,IF(INDEX(对接源_01水果!$T$4:$T$1203,$AF189)=0,"",INDEX(对接源_01水果!$T$4:$T$1203,$AF189)),IF(INDEX(对接源_02物料!$T$4:$T$1203,$AF189-1200)=0,"",INDEX(对接源_02物料!$T$4:$T$1203,$AF189-1200))))</f>
        <v/>
      </c>
      <c r="E189" s="42" t="str">
        <f aca="false">IF($AF189="","",IF($AF189&lt;=1200,IF(INDEX(对接源_01水果!$C$4:$C$1203,$AF189)=0,"",INDEX(对接源_01水果!$C$4:$C$1203,$AF189)),IF(INDEX(对接源_02物料!$C$4:$C$1203,$AF189-1200)=0,"",INDEX(对接源_02物料!$C$4:$C$1203,$AF189-1200))))</f>
        <v/>
      </c>
      <c r="F189" s="41" t="str">
        <f aca="false"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G189" s="42" t="str">
        <f aca="false"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H189" s="41" t="str">
        <f aca="false">IF($AF189="","",IF($AF189&lt;=1200,"01水果册","02物料册"))</f>
        <v/>
      </c>
      <c r="I189" s="42" t="str">
        <f aca="false"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44" t="str">
        <f aca="false">IFERROR(MATCH(81,_自动清单!$Y$4:$Y$2403,0),"")</f>
        <v/>
      </c>
    </row>
    <row r="190" customFormat="false" ht="18" hidden="false" customHeight="true" outlineLevel="0" collapsed="false">
      <c r="A190" s="45" t="str">
        <f aca="false"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47" t="str">
        <f aca="false">IF($AF190="","",IF($AF190&lt;=1200,IF(INDEX(对接源_01水果!$S$4:$S$1203,$AF190)=0,"",INDEX(对接源_01水果!$S$4:$S$1203,$AF190)),IF(INDEX(对接源_02物料!$S$4:$S$1203,$AF190-1200)=0,"",INDEX(对接源_02物料!$S$4:$S$1203,$AF190-1200))))</f>
        <v/>
      </c>
      <c r="C190" s="46" t="str">
        <f aca="false"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D190" s="48" t="str">
        <f aca="false">IF($AF190="","",IF($AF190&lt;=1200,IF(INDEX(对接源_01水果!$T$4:$T$1203,$AF190)=0,"",INDEX(对接源_01水果!$T$4:$T$1203,$AF190)),IF(INDEX(对接源_02物料!$T$4:$T$1203,$AF190-1200)=0,"",INDEX(对接源_02物料!$T$4:$T$1203,$AF190-1200))))</f>
        <v/>
      </c>
      <c r="E190" s="47" t="str">
        <f aca="false">IF($AF190="","",IF($AF190&lt;=1200,IF(INDEX(对接源_01水果!$C$4:$C$1203,$AF190)=0,"",INDEX(对接源_01水果!$C$4:$C$1203,$AF190)),IF(INDEX(对接源_02物料!$C$4:$C$1203,$AF190-1200)=0,"",INDEX(对接源_02物料!$C$4:$C$1203,$AF190-1200))))</f>
        <v/>
      </c>
      <c r="F190" s="46" t="str">
        <f aca="false"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G190" s="47" t="str">
        <f aca="false"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H190" s="46" t="str">
        <f aca="false">IF($AF190="","",IF($AF190&lt;=1200,"01水果册","02物料册"))</f>
        <v/>
      </c>
      <c r="I190" s="47" t="str">
        <f aca="false"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44" t="str">
        <f aca="false">IFERROR(MATCH(82,_自动清单!$Y$4:$Y$2403,0),"")</f>
        <v/>
      </c>
    </row>
    <row r="191" customFormat="false" ht="18" hidden="false" customHeight="true" outlineLevel="0" collapsed="false">
      <c r="A191" s="40" t="str">
        <f aca="false"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42" t="str">
        <f aca="false">IF($AF191="","",IF($AF191&lt;=1200,IF(INDEX(对接源_01水果!$S$4:$S$1203,$AF191)=0,"",INDEX(对接源_01水果!$S$4:$S$1203,$AF191)),IF(INDEX(对接源_02物料!$S$4:$S$1203,$AF191-1200)=0,"",INDEX(对接源_02物料!$S$4:$S$1203,$AF191-1200))))</f>
        <v/>
      </c>
      <c r="C191" s="41" t="str">
        <f aca="false"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D191" s="43" t="str">
        <f aca="false">IF($AF191="","",IF($AF191&lt;=1200,IF(INDEX(对接源_01水果!$T$4:$T$1203,$AF191)=0,"",INDEX(对接源_01水果!$T$4:$T$1203,$AF191)),IF(INDEX(对接源_02物料!$T$4:$T$1203,$AF191-1200)=0,"",INDEX(对接源_02物料!$T$4:$T$1203,$AF191-1200))))</f>
        <v/>
      </c>
      <c r="E191" s="42" t="str">
        <f aca="false">IF($AF191="","",IF($AF191&lt;=1200,IF(INDEX(对接源_01水果!$C$4:$C$1203,$AF191)=0,"",INDEX(对接源_01水果!$C$4:$C$1203,$AF191)),IF(INDEX(对接源_02物料!$C$4:$C$1203,$AF191-1200)=0,"",INDEX(对接源_02物料!$C$4:$C$1203,$AF191-1200))))</f>
        <v/>
      </c>
      <c r="F191" s="41" t="str">
        <f aca="false"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G191" s="42" t="str">
        <f aca="false"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H191" s="41" t="str">
        <f aca="false">IF($AF191="","",IF($AF191&lt;=1200,"01水果册","02物料册"))</f>
        <v/>
      </c>
      <c r="I191" s="42" t="str">
        <f aca="false"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44" t="str">
        <f aca="false">IFERROR(MATCH(83,_自动清单!$Y$4:$Y$2403,0),"")</f>
        <v/>
      </c>
    </row>
    <row r="192" customFormat="false" ht="18" hidden="false" customHeight="true" outlineLevel="0" collapsed="false">
      <c r="A192" s="45" t="str">
        <f aca="false"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47" t="str">
        <f aca="false">IF($AF192="","",IF($AF192&lt;=1200,IF(INDEX(对接源_01水果!$S$4:$S$1203,$AF192)=0,"",INDEX(对接源_01水果!$S$4:$S$1203,$AF192)),IF(INDEX(对接源_02物料!$S$4:$S$1203,$AF192-1200)=0,"",INDEX(对接源_02物料!$S$4:$S$1203,$AF192-1200))))</f>
        <v/>
      </c>
      <c r="C192" s="46" t="str">
        <f aca="false"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D192" s="48" t="str">
        <f aca="false">IF($AF192="","",IF($AF192&lt;=1200,IF(INDEX(对接源_01水果!$T$4:$T$1203,$AF192)=0,"",INDEX(对接源_01水果!$T$4:$T$1203,$AF192)),IF(INDEX(对接源_02物料!$T$4:$T$1203,$AF192-1200)=0,"",INDEX(对接源_02物料!$T$4:$T$1203,$AF192-1200))))</f>
        <v/>
      </c>
      <c r="E192" s="47" t="str">
        <f aca="false">IF($AF192="","",IF($AF192&lt;=1200,IF(INDEX(对接源_01水果!$C$4:$C$1203,$AF192)=0,"",INDEX(对接源_01水果!$C$4:$C$1203,$AF192)),IF(INDEX(对接源_02物料!$C$4:$C$1203,$AF192-1200)=0,"",INDEX(对接源_02物料!$C$4:$C$1203,$AF192-1200))))</f>
        <v/>
      </c>
      <c r="F192" s="46" t="str">
        <f aca="false"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G192" s="47" t="str">
        <f aca="false"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H192" s="46" t="str">
        <f aca="false">IF($AF192="","",IF($AF192&lt;=1200,"01水果册","02物料册"))</f>
        <v/>
      </c>
      <c r="I192" s="47" t="str">
        <f aca="false"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44" t="str">
        <f aca="false">IFERROR(MATCH(84,_自动清单!$Y$4:$Y$2403,0),"")</f>
        <v/>
      </c>
    </row>
    <row r="193" customFormat="false" ht="18" hidden="false" customHeight="true" outlineLevel="0" collapsed="false">
      <c r="A193" s="40" t="str">
        <f aca="false"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42" t="str">
        <f aca="false">IF($AF193="","",IF($AF193&lt;=1200,IF(INDEX(对接源_01水果!$S$4:$S$1203,$AF193)=0,"",INDEX(对接源_01水果!$S$4:$S$1203,$AF193)),IF(INDEX(对接源_02物料!$S$4:$S$1203,$AF193-1200)=0,"",INDEX(对接源_02物料!$S$4:$S$1203,$AF193-1200))))</f>
        <v/>
      </c>
      <c r="C193" s="41" t="str">
        <f aca="false"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D193" s="43" t="str">
        <f aca="false">IF($AF193="","",IF($AF193&lt;=1200,IF(INDEX(对接源_01水果!$T$4:$T$1203,$AF193)=0,"",INDEX(对接源_01水果!$T$4:$T$1203,$AF193)),IF(INDEX(对接源_02物料!$T$4:$T$1203,$AF193-1200)=0,"",INDEX(对接源_02物料!$T$4:$T$1203,$AF193-1200))))</f>
        <v/>
      </c>
      <c r="E193" s="42" t="str">
        <f aca="false">IF($AF193="","",IF($AF193&lt;=1200,IF(INDEX(对接源_01水果!$C$4:$C$1203,$AF193)=0,"",INDEX(对接源_01水果!$C$4:$C$1203,$AF193)),IF(INDEX(对接源_02物料!$C$4:$C$1203,$AF193-1200)=0,"",INDEX(对接源_02物料!$C$4:$C$1203,$AF193-1200))))</f>
        <v/>
      </c>
      <c r="F193" s="41" t="str">
        <f aca="false"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G193" s="42" t="str">
        <f aca="false"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H193" s="41" t="str">
        <f aca="false">IF($AF193="","",IF($AF193&lt;=1200,"01水果册","02物料册"))</f>
        <v/>
      </c>
      <c r="I193" s="42" t="str">
        <f aca="false"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44" t="str">
        <f aca="false">IFERROR(MATCH(85,_自动清单!$Y$4:$Y$2403,0),"")</f>
        <v/>
      </c>
    </row>
    <row r="194" customFormat="false" ht="18" hidden="false" customHeight="true" outlineLevel="0" collapsed="false">
      <c r="A194" s="45" t="str">
        <f aca="false"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47" t="str">
        <f aca="false">IF($AF194="","",IF($AF194&lt;=1200,IF(INDEX(对接源_01水果!$S$4:$S$1203,$AF194)=0,"",INDEX(对接源_01水果!$S$4:$S$1203,$AF194)),IF(INDEX(对接源_02物料!$S$4:$S$1203,$AF194-1200)=0,"",INDEX(对接源_02物料!$S$4:$S$1203,$AF194-1200))))</f>
        <v/>
      </c>
      <c r="C194" s="46" t="str">
        <f aca="false"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D194" s="48" t="str">
        <f aca="false">IF($AF194="","",IF($AF194&lt;=1200,IF(INDEX(对接源_01水果!$T$4:$T$1203,$AF194)=0,"",INDEX(对接源_01水果!$T$4:$T$1203,$AF194)),IF(INDEX(对接源_02物料!$T$4:$T$1203,$AF194-1200)=0,"",INDEX(对接源_02物料!$T$4:$T$1203,$AF194-1200))))</f>
        <v/>
      </c>
      <c r="E194" s="47" t="str">
        <f aca="false">IF($AF194="","",IF($AF194&lt;=1200,IF(INDEX(对接源_01水果!$C$4:$C$1203,$AF194)=0,"",INDEX(对接源_01水果!$C$4:$C$1203,$AF194)),IF(INDEX(对接源_02物料!$C$4:$C$1203,$AF194-1200)=0,"",INDEX(对接源_02物料!$C$4:$C$1203,$AF194-1200))))</f>
        <v/>
      </c>
      <c r="F194" s="46" t="str">
        <f aca="false"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G194" s="47" t="str">
        <f aca="false"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H194" s="46" t="str">
        <f aca="false">IF($AF194="","",IF($AF194&lt;=1200,"01水果册","02物料册"))</f>
        <v/>
      </c>
      <c r="I194" s="47" t="str">
        <f aca="false"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44" t="str">
        <f aca="false">IFERROR(MATCH(86,_自动清单!$Y$4:$Y$2403,0),"")</f>
        <v/>
      </c>
    </row>
    <row r="195" customFormat="false" ht="18" hidden="false" customHeight="true" outlineLevel="0" collapsed="false">
      <c r="A195" s="40" t="str">
        <f aca="false"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42" t="str">
        <f aca="false">IF($AF195="","",IF($AF195&lt;=1200,IF(INDEX(对接源_01水果!$S$4:$S$1203,$AF195)=0,"",INDEX(对接源_01水果!$S$4:$S$1203,$AF195)),IF(INDEX(对接源_02物料!$S$4:$S$1203,$AF195-1200)=0,"",INDEX(对接源_02物料!$S$4:$S$1203,$AF195-1200))))</f>
        <v/>
      </c>
      <c r="C195" s="41" t="str">
        <f aca="false"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D195" s="43" t="str">
        <f aca="false">IF($AF195="","",IF($AF195&lt;=1200,IF(INDEX(对接源_01水果!$T$4:$T$1203,$AF195)=0,"",INDEX(对接源_01水果!$T$4:$T$1203,$AF195)),IF(INDEX(对接源_02物料!$T$4:$T$1203,$AF195-1200)=0,"",INDEX(对接源_02物料!$T$4:$T$1203,$AF195-1200))))</f>
        <v/>
      </c>
      <c r="E195" s="42" t="str">
        <f aca="false">IF($AF195="","",IF($AF195&lt;=1200,IF(INDEX(对接源_01水果!$C$4:$C$1203,$AF195)=0,"",INDEX(对接源_01水果!$C$4:$C$1203,$AF195)),IF(INDEX(对接源_02物料!$C$4:$C$1203,$AF195-1200)=0,"",INDEX(对接源_02物料!$C$4:$C$1203,$AF195-1200))))</f>
        <v/>
      </c>
      <c r="F195" s="41" t="str">
        <f aca="false"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G195" s="42" t="str">
        <f aca="false"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H195" s="41" t="str">
        <f aca="false">IF($AF195="","",IF($AF195&lt;=1200,"01水果册","02物料册"))</f>
        <v/>
      </c>
      <c r="I195" s="42" t="str">
        <f aca="false"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44" t="str">
        <f aca="false">IFERROR(MATCH(87,_自动清单!$Y$4:$Y$2403,0),"")</f>
        <v/>
      </c>
    </row>
    <row r="196" customFormat="false" ht="18" hidden="false" customHeight="true" outlineLevel="0" collapsed="false">
      <c r="A196" s="45" t="str">
        <f aca="false"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47" t="str">
        <f aca="false">IF($AF196="","",IF($AF196&lt;=1200,IF(INDEX(对接源_01水果!$S$4:$S$1203,$AF196)=0,"",INDEX(对接源_01水果!$S$4:$S$1203,$AF196)),IF(INDEX(对接源_02物料!$S$4:$S$1203,$AF196-1200)=0,"",INDEX(对接源_02物料!$S$4:$S$1203,$AF196-1200))))</f>
        <v/>
      </c>
      <c r="C196" s="46" t="str">
        <f aca="false"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D196" s="48" t="str">
        <f aca="false">IF($AF196="","",IF($AF196&lt;=1200,IF(INDEX(对接源_01水果!$T$4:$T$1203,$AF196)=0,"",INDEX(对接源_01水果!$T$4:$T$1203,$AF196)),IF(INDEX(对接源_02物料!$T$4:$T$1203,$AF196-1200)=0,"",INDEX(对接源_02物料!$T$4:$T$1203,$AF196-1200))))</f>
        <v/>
      </c>
      <c r="E196" s="47" t="str">
        <f aca="false">IF($AF196="","",IF($AF196&lt;=1200,IF(INDEX(对接源_01水果!$C$4:$C$1203,$AF196)=0,"",INDEX(对接源_01水果!$C$4:$C$1203,$AF196)),IF(INDEX(对接源_02物料!$C$4:$C$1203,$AF196-1200)=0,"",INDEX(对接源_02物料!$C$4:$C$1203,$AF196-1200))))</f>
        <v/>
      </c>
      <c r="F196" s="46" t="str">
        <f aca="false"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G196" s="47" t="str">
        <f aca="false"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H196" s="46" t="str">
        <f aca="false">IF($AF196="","",IF($AF196&lt;=1200,"01水果册","02物料册"))</f>
        <v/>
      </c>
      <c r="I196" s="47" t="str">
        <f aca="false"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44" t="str">
        <f aca="false">IFERROR(MATCH(88,_自动清单!$Y$4:$Y$2403,0),"")</f>
        <v/>
      </c>
    </row>
    <row r="197" customFormat="false" ht="18" hidden="false" customHeight="true" outlineLevel="0" collapsed="false">
      <c r="A197" s="40" t="str">
        <f aca="false"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42" t="str">
        <f aca="false">IF($AF197="","",IF($AF197&lt;=1200,IF(INDEX(对接源_01水果!$S$4:$S$1203,$AF197)=0,"",INDEX(对接源_01水果!$S$4:$S$1203,$AF197)),IF(INDEX(对接源_02物料!$S$4:$S$1203,$AF197-1200)=0,"",INDEX(对接源_02物料!$S$4:$S$1203,$AF197-1200))))</f>
        <v/>
      </c>
      <c r="C197" s="41" t="str">
        <f aca="false"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D197" s="43" t="str">
        <f aca="false">IF($AF197="","",IF($AF197&lt;=1200,IF(INDEX(对接源_01水果!$T$4:$T$1203,$AF197)=0,"",INDEX(对接源_01水果!$T$4:$T$1203,$AF197)),IF(INDEX(对接源_02物料!$T$4:$T$1203,$AF197-1200)=0,"",INDEX(对接源_02物料!$T$4:$T$1203,$AF197-1200))))</f>
        <v/>
      </c>
      <c r="E197" s="42" t="str">
        <f aca="false">IF($AF197="","",IF($AF197&lt;=1200,IF(INDEX(对接源_01水果!$C$4:$C$1203,$AF197)=0,"",INDEX(对接源_01水果!$C$4:$C$1203,$AF197)),IF(INDEX(对接源_02物料!$C$4:$C$1203,$AF197-1200)=0,"",INDEX(对接源_02物料!$C$4:$C$1203,$AF197-1200))))</f>
        <v/>
      </c>
      <c r="F197" s="41" t="str">
        <f aca="false"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G197" s="42" t="str">
        <f aca="false"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H197" s="41" t="str">
        <f aca="false">IF($AF197="","",IF($AF197&lt;=1200,"01水果册","02物料册"))</f>
        <v/>
      </c>
      <c r="I197" s="42" t="str">
        <f aca="false"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44" t="str">
        <f aca="false">IFERROR(MATCH(89,_自动清单!$Y$4:$Y$2403,0),"")</f>
        <v/>
      </c>
    </row>
    <row r="198" customFormat="false" ht="18" hidden="false" customHeight="true" outlineLevel="0" collapsed="false">
      <c r="A198" s="45" t="str">
        <f aca="false"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47" t="str">
        <f aca="false">IF($AF198="","",IF($AF198&lt;=1200,IF(INDEX(对接源_01水果!$S$4:$S$1203,$AF198)=0,"",INDEX(对接源_01水果!$S$4:$S$1203,$AF198)),IF(INDEX(对接源_02物料!$S$4:$S$1203,$AF198-1200)=0,"",INDEX(对接源_02物料!$S$4:$S$1203,$AF198-1200))))</f>
        <v/>
      </c>
      <c r="C198" s="46" t="str">
        <f aca="false"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D198" s="48" t="str">
        <f aca="false">IF($AF198="","",IF($AF198&lt;=1200,IF(INDEX(对接源_01水果!$T$4:$T$1203,$AF198)=0,"",INDEX(对接源_01水果!$T$4:$T$1203,$AF198)),IF(INDEX(对接源_02物料!$T$4:$T$1203,$AF198-1200)=0,"",INDEX(对接源_02物料!$T$4:$T$1203,$AF198-1200))))</f>
        <v/>
      </c>
      <c r="E198" s="47" t="str">
        <f aca="false">IF($AF198="","",IF($AF198&lt;=1200,IF(INDEX(对接源_01水果!$C$4:$C$1203,$AF198)=0,"",INDEX(对接源_01水果!$C$4:$C$1203,$AF198)),IF(INDEX(对接源_02物料!$C$4:$C$1203,$AF198-1200)=0,"",INDEX(对接源_02物料!$C$4:$C$1203,$AF198-1200))))</f>
        <v/>
      </c>
      <c r="F198" s="46" t="str">
        <f aca="false"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G198" s="47" t="str">
        <f aca="false"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H198" s="46" t="str">
        <f aca="false">IF($AF198="","",IF($AF198&lt;=1200,"01水果册","02物料册"))</f>
        <v/>
      </c>
      <c r="I198" s="47" t="str">
        <f aca="false"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44" t="str">
        <f aca="false">IFERROR(MATCH(90,_自动清单!$Y$4:$Y$2403,0),"")</f>
        <v/>
      </c>
    </row>
    <row r="199" customFormat="false" ht="18" hidden="false" customHeight="true" outlineLevel="0" collapsed="false">
      <c r="A199" s="40" t="str">
        <f aca="false"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42" t="str">
        <f aca="false">IF($AF199="","",IF($AF199&lt;=1200,IF(INDEX(对接源_01水果!$S$4:$S$1203,$AF199)=0,"",INDEX(对接源_01水果!$S$4:$S$1203,$AF199)),IF(INDEX(对接源_02物料!$S$4:$S$1203,$AF199-1200)=0,"",INDEX(对接源_02物料!$S$4:$S$1203,$AF199-1200))))</f>
        <v/>
      </c>
      <c r="C199" s="41" t="str">
        <f aca="false"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D199" s="43" t="str">
        <f aca="false">IF($AF199="","",IF($AF199&lt;=1200,IF(INDEX(对接源_01水果!$T$4:$T$1203,$AF199)=0,"",INDEX(对接源_01水果!$T$4:$T$1203,$AF199)),IF(INDEX(对接源_02物料!$T$4:$T$1203,$AF199-1200)=0,"",INDEX(对接源_02物料!$T$4:$T$1203,$AF199-1200))))</f>
        <v/>
      </c>
      <c r="E199" s="42" t="str">
        <f aca="false">IF($AF199="","",IF($AF199&lt;=1200,IF(INDEX(对接源_01水果!$C$4:$C$1203,$AF199)=0,"",INDEX(对接源_01水果!$C$4:$C$1203,$AF199)),IF(INDEX(对接源_02物料!$C$4:$C$1203,$AF199-1200)=0,"",INDEX(对接源_02物料!$C$4:$C$1203,$AF199-1200))))</f>
        <v/>
      </c>
      <c r="F199" s="41" t="str">
        <f aca="false"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G199" s="42" t="str">
        <f aca="false"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H199" s="41" t="str">
        <f aca="false">IF($AF199="","",IF($AF199&lt;=1200,"01水果册","02物料册"))</f>
        <v/>
      </c>
      <c r="I199" s="42" t="str">
        <f aca="false"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44" t="str">
        <f aca="false">IFERROR(MATCH(91,_自动清单!$Y$4:$Y$2403,0),"")</f>
        <v/>
      </c>
    </row>
    <row r="200" customFormat="false" ht="18" hidden="false" customHeight="true" outlineLevel="0" collapsed="false">
      <c r="A200" s="45" t="str">
        <f aca="false"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47" t="str">
        <f aca="false">IF($AF200="","",IF($AF200&lt;=1200,IF(INDEX(对接源_01水果!$S$4:$S$1203,$AF200)=0,"",INDEX(对接源_01水果!$S$4:$S$1203,$AF200)),IF(INDEX(对接源_02物料!$S$4:$S$1203,$AF200-1200)=0,"",INDEX(对接源_02物料!$S$4:$S$1203,$AF200-1200))))</f>
        <v/>
      </c>
      <c r="C200" s="46" t="str">
        <f aca="false"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D200" s="48" t="str">
        <f aca="false">IF($AF200="","",IF($AF200&lt;=1200,IF(INDEX(对接源_01水果!$T$4:$T$1203,$AF200)=0,"",INDEX(对接源_01水果!$T$4:$T$1203,$AF200)),IF(INDEX(对接源_02物料!$T$4:$T$1203,$AF200-1200)=0,"",INDEX(对接源_02物料!$T$4:$T$1203,$AF200-1200))))</f>
        <v/>
      </c>
      <c r="E200" s="47" t="str">
        <f aca="false">IF($AF200="","",IF($AF200&lt;=1200,IF(INDEX(对接源_01水果!$C$4:$C$1203,$AF200)=0,"",INDEX(对接源_01水果!$C$4:$C$1203,$AF200)),IF(INDEX(对接源_02物料!$C$4:$C$1203,$AF200-1200)=0,"",INDEX(对接源_02物料!$C$4:$C$1203,$AF200-1200))))</f>
        <v/>
      </c>
      <c r="F200" s="46" t="str">
        <f aca="false"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G200" s="47" t="str">
        <f aca="false"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H200" s="46" t="str">
        <f aca="false">IF($AF200="","",IF($AF200&lt;=1200,"01水果册","02物料册"))</f>
        <v/>
      </c>
      <c r="I200" s="47" t="str">
        <f aca="false"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44" t="str">
        <f aca="false">IFERROR(MATCH(92,_自动清单!$Y$4:$Y$2403,0),"")</f>
        <v/>
      </c>
    </row>
    <row r="201" customFormat="false" ht="18" hidden="false" customHeight="true" outlineLevel="0" collapsed="false">
      <c r="A201" s="40" t="str">
        <f aca="false"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42" t="str">
        <f aca="false">IF($AF201="","",IF($AF201&lt;=1200,IF(INDEX(对接源_01水果!$S$4:$S$1203,$AF201)=0,"",INDEX(对接源_01水果!$S$4:$S$1203,$AF201)),IF(INDEX(对接源_02物料!$S$4:$S$1203,$AF201-1200)=0,"",INDEX(对接源_02物料!$S$4:$S$1203,$AF201-1200))))</f>
        <v/>
      </c>
      <c r="C201" s="41" t="str">
        <f aca="false"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D201" s="43" t="str">
        <f aca="false">IF($AF201="","",IF($AF201&lt;=1200,IF(INDEX(对接源_01水果!$T$4:$T$1203,$AF201)=0,"",INDEX(对接源_01水果!$T$4:$T$1203,$AF201)),IF(INDEX(对接源_02物料!$T$4:$T$1203,$AF201-1200)=0,"",INDEX(对接源_02物料!$T$4:$T$1203,$AF201-1200))))</f>
        <v/>
      </c>
      <c r="E201" s="42" t="str">
        <f aca="false">IF($AF201="","",IF($AF201&lt;=1200,IF(INDEX(对接源_01水果!$C$4:$C$1203,$AF201)=0,"",INDEX(对接源_01水果!$C$4:$C$1203,$AF201)),IF(INDEX(对接源_02物料!$C$4:$C$1203,$AF201-1200)=0,"",INDEX(对接源_02物料!$C$4:$C$1203,$AF201-1200))))</f>
        <v/>
      </c>
      <c r="F201" s="41" t="str">
        <f aca="false"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G201" s="42" t="str">
        <f aca="false"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H201" s="41" t="str">
        <f aca="false">IF($AF201="","",IF($AF201&lt;=1200,"01水果册","02物料册"))</f>
        <v/>
      </c>
      <c r="I201" s="42" t="str">
        <f aca="false"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44" t="str">
        <f aca="false">IFERROR(MATCH(93,_自动清单!$Y$4:$Y$2403,0),"")</f>
        <v/>
      </c>
    </row>
    <row r="202" customFormat="false" ht="18" hidden="false" customHeight="true" outlineLevel="0" collapsed="false">
      <c r="A202" s="45" t="str">
        <f aca="false"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47" t="str">
        <f aca="false">IF($AF202="","",IF($AF202&lt;=1200,IF(INDEX(对接源_01水果!$S$4:$S$1203,$AF202)=0,"",INDEX(对接源_01水果!$S$4:$S$1203,$AF202)),IF(INDEX(对接源_02物料!$S$4:$S$1203,$AF202-1200)=0,"",INDEX(对接源_02物料!$S$4:$S$1203,$AF202-1200))))</f>
        <v/>
      </c>
      <c r="C202" s="46" t="str">
        <f aca="false"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D202" s="48" t="str">
        <f aca="false">IF($AF202="","",IF($AF202&lt;=1200,IF(INDEX(对接源_01水果!$T$4:$T$1203,$AF202)=0,"",INDEX(对接源_01水果!$T$4:$T$1203,$AF202)),IF(INDEX(对接源_02物料!$T$4:$T$1203,$AF202-1200)=0,"",INDEX(对接源_02物料!$T$4:$T$1203,$AF202-1200))))</f>
        <v/>
      </c>
      <c r="E202" s="47" t="str">
        <f aca="false">IF($AF202="","",IF($AF202&lt;=1200,IF(INDEX(对接源_01水果!$C$4:$C$1203,$AF202)=0,"",INDEX(对接源_01水果!$C$4:$C$1203,$AF202)),IF(INDEX(对接源_02物料!$C$4:$C$1203,$AF202-1200)=0,"",INDEX(对接源_02物料!$C$4:$C$1203,$AF202-1200))))</f>
        <v/>
      </c>
      <c r="F202" s="46" t="str">
        <f aca="false"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G202" s="47" t="str">
        <f aca="false"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H202" s="46" t="str">
        <f aca="false">IF($AF202="","",IF($AF202&lt;=1200,"01水果册","02物料册"))</f>
        <v/>
      </c>
      <c r="I202" s="47" t="str">
        <f aca="false"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44" t="str">
        <f aca="false">IFERROR(MATCH(94,_自动清单!$Y$4:$Y$2403,0),"")</f>
        <v/>
      </c>
    </row>
    <row r="203" customFormat="false" ht="18" hidden="false" customHeight="true" outlineLevel="0" collapsed="false">
      <c r="A203" s="40" t="str">
        <f aca="false"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42" t="str">
        <f aca="false">IF($AF203="","",IF($AF203&lt;=1200,IF(INDEX(对接源_01水果!$S$4:$S$1203,$AF203)=0,"",INDEX(对接源_01水果!$S$4:$S$1203,$AF203)),IF(INDEX(对接源_02物料!$S$4:$S$1203,$AF203-1200)=0,"",INDEX(对接源_02物料!$S$4:$S$1203,$AF203-1200))))</f>
        <v/>
      </c>
      <c r="C203" s="41" t="str">
        <f aca="false"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D203" s="43" t="str">
        <f aca="false">IF($AF203="","",IF($AF203&lt;=1200,IF(INDEX(对接源_01水果!$T$4:$T$1203,$AF203)=0,"",INDEX(对接源_01水果!$T$4:$T$1203,$AF203)),IF(INDEX(对接源_02物料!$T$4:$T$1203,$AF203-1200)=0,"",INDEX(对接源_02物料!$T$4:$T$1203,$AF203-1200))))</f>
        <v/>
      </c>
      <c r="E203" s="42" t="str">
        <f aca="false">IF($AF203="","",IF($AF203&lt;=1200,IF(INDEX(对接源_01水果!$C$4:$C$1203,$AF203)=0,"",INDEX(对接源_01水果!$C$4:$C$1203,$AF203)),IF(INDEX(对接源_02物料!$C$4:$C$1203,$AF203-1200)=0,"",INDEX(对接源_02物料!$C$4:$C$1203,$AF203-1200))))</f>
        <v/>
      </c>
      <c r="F203" s="41" t="str">
        <f aca="false"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G203" s="42" t="str">
        <f aca="false"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H203" s="41" t="str">
        <f aca="false">IF($AF203="","",IF($AF203&lt;=1200,"01水果册","02物料册"))</f>
        <v/>
      </c>
      <c r="I203" s="42" t="str">
        <f aca="false"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44" t="str">
        <f aca="false">IFERROR(MATCH(95,_自动清单!$Y$4:$Y$2403,0),"")</f>
        <v/>
      </c>
    </row>
    <row r="204" customFormat="false" ht="18" hidden="false" customHeight="true" outlineLevel="0" collapsed="false">
      <c r="A204" s="45" t="str">
        <f aca="false"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47" t="str">
        <f aca="false">IF($AF204="","",IF($AF204&lt;=1200,IF(INDEX(对接源_01水果!$S$4:$S$1203,$AF204)=0,"",INDEX(对接源_01水果!$S$4:$S$1203,$AF204)),IF(INDEX(对接源_02物料!$S$4:$S$1203,$AF204-1200)=0,"",INDEX(对接源_02物料!$S$4:$S$1203,$AF204-1200))))</f>
        <v/>
      </c>
      <c r="C204" s="46" t="str">
        <f aca="false"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D204" s="48" t="str">
        <f aca="false">IF($AF204="","",IF($AF204&lt;=1200,IF(INDEX(对接源_01水果!$T$4:$T$1203,$AF204)=0,"",INDEX(对接源_01水果!$T$4:$T$1203,$AF204)),IF(INDEX(对接源_02物料!$T$4:$T$1203,$AF204-1200)=0,"",INDEX(对接源_02物料!$T$4:$T$1203,$AF204-1200))))</f>
        <v/>
      </c>
      <c r="E204" s="47" t="str">
        <f aca="false">IF($AF204="","",IF($AF204&lt;=1200,IF(INDEX(对接源_01水果!$C$4:$C$1203,$AF204)=0,"",INDEX(对接源_01水果!$C$4:$C$1203,$AF204)),IF(INDEX(对接源_02物料!$C$4:$C$1203,$AF204-1200)=0,"",INDEX(对接源_02物料!$C$4:$C$1203,$AF204-1200))))</f>
        <v/>
      </c>
      <c r="F204" s="46" t="str">
        <f aca="false"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G204" s="47" t="str">
        <f aca="false"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H204" s="46" t="str">
        <f aca="false">IF($AF204="","",IF($AF204&lt;=1200,"01水果册","02物料册"))</f>
        <v/>
      </c>
      <c r="I204" s="47" t="str">
        <f aca="false"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44" t="str">
        <f aca="false">IFERROR(MATCH(96,_自动清单!$Y$4:$Y$2403,0),"")</f>
        <v/>
      </c>
    </row>
    <row r="205" customFormat="false" ht="18" hidden="false" customHeight="true" outlineLevel="0" collapsed="false">
      <c r="A205" s="40" t="str">
        <f aca="false"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42" t="str">
        <f aca="false">IF($AF205="","",IF($AF205&lt;=1200,IF(INDEX(对接源_01水果!$S$4:$S$1203,$AF205)=0,"",INDEX(对接源_01水果!$S$4:$S$1203,$AF205)),IF(INDEX(对接源_02物料!$S$4:$S$1203,$AF205-1200)=0,"",INDEX(对接源_02物料!$S$4:$S$1203,$AF205-1200))))</f>
        <v/>
      </c>
      <c r="C205" s="41" t="str">
        <f aca="false"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D205" s="43" t="str">
        <f aca="false">IF($AF205="","",IF($AF205&lt;=1200,IF(INDEX(对接源_01水果!$T$4:$T$1203,$AF205)=0,"",INDEX(对接源_01水果!$T$4:$T$1203,$AF205)),IF(INDEX(对接源_02物料!$T$4:$T$1203,$AF205-1200)=0,"",INDEX(对接源_02物料!$T$4:$T$1203,$AF205-1200))))</f>
        <v/>
      </c>
      <c r="E205" s="42" t="str">
        <f aca="false">IF($AF205="","",IF($AF205&lt;=1200,IF(INDEX(对接源_01水果!$C$4:$C$1203,$AF205)=0,"",INDEX(对接源_01水果!$C$4:$C$1203,$AF205)),IF(INDEX(对接源_02物料!$C$4:$C$1203,$AF205-1200)=0,"",INDEX(对接源_02物料!$C$4:$C$1203,$AF205-1200))))</f>
        <v/>
      </c>
      <c r="F205" s="41" t="str">
        <f aca="false"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G205" s="42" t="str">
        <f aca="false"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H205" s="41" t="str">
        <f aca="false">IF($AF205="","",IF($AF205&lt;=1200,"01水果册","02物料册"))</f>
        <v/>
      </c>
      <c r="I205" s="42" t="str">
        <f aca="false"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44" t="str">
        <f aca="false">IFERROR(MATCH(97,_自动清单!$Y$4:$Y$2403,0),"")</f>
        <v/>
      </c>
    </row>
    <row r="206" customFormat="false" ht="18" hidden="false" customHeight="true" outlineLevel="0" collapsed="false">
      <c r="A206" s="45" t="str">
        <f aca="false"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47" t="str">
        <f aca="false">IF($AF206="","",IF($AF206&lt;=1200,IF(INDEX(对接源_01水果!$S$4:$S$1203,$AF206)=0,"",INDEX(对接源_01水果!$S$4:$S$1203,$AF206)),IF(INDEX(对接源_02物料!$S$4:$S$1203,$AF206-1200)=0,"",INDEX(对接源_02物料!$S$4:$S$1203,$AF206-1200))))</f>
        <v/>
      </c>
      <c r="C206" s="46" t="str">
        <f aca="false"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D206" s="48" t="str">
        <f aca="false">IF($AF206="","",IF($AF206&lt;=1200,IF(INDEX(对接源_01水果!$T$4:$T$1203,$AF206)=0,"",INDEX(对接源_01水果!$T$4:$T$1203,$AF206)),IF(INDEX(对接源_02物料!$T$4:$T$1203,$AF206-1200)=0,"",INDEX(对接源_02物料!$T$4:$T$1203,$AF206-1200))))</f>
        <v/>
      </c>
      <c r="E206" s="47" t="str">
        <f aca="false">IF($AF206="","",IF($AF206&lt;=1200,IF(INDEX(对接源_01水果!$C$4:$C$1203,$AF206)=0,"",INDEX(对接源_01水果!$C$4:$C$1203,$AF206)),IF(INDEX(对接源_02物料!$C$4:$C$1203,$AF206-1200)=0,"",INDEX(对接源_02物料!$C$4:$C$1203,$AF206-1200))))</f>
        <v/>
      </c>
      <c r="F206" s="46" t="str">
        <f aca="false"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G206" s="47" t="str">
        <f aca="false"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H206" s="46" t="str">
        <f aca="false">IF($AF206="","",IF($AF206&lt;=1200,"01水果册","02物料册"))</f>
        <v/>
      </c>
      <c r="I206" s="47" t="str">
        <f aca="false"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44" t="str">
        <f aca="false">IFERROR(MATCH(98,_自动清单!$Y$4:$Y$2403,0),"")</f>
        <v/>
      </c>
    </row>
    <row r="207" customFormat="false" ht="18" hidden="false" customHeight="true" outlineLevel="0" collapsed="false">
      <c r="A207" s="40" t="str">
        <f aca="false"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42" t="str">
        <f aca="false">IF($AF207="","",IF($AF207&lt;=1200,IF(INDEX(对接源_01水果!$S$4:$S$1203,$AF207)=0,"",INDEX(对接源_01水果!$S$4:$S$1203,$AF207)),IF(INDEX(对接源_02物料!$S$4:$S$1203,$AF207-1200)=0,"",INDEX(对接源_02物料!$S$4:$S$1203,$AF207-1200))))</f>
        <v/>
      </c>
      <c r="C207" s="41" t="str">
        <f aca="false"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D207" s="43" t="str">
        <f aca="false">IF($AF207="","",IF($AF207&lt;=1200,IF(INDEX(对接源_01水果!$T$4:$T$1203,$AF207)=0,"",INDEX(对接源_01水果!$T$4:$T$1203,$AF207)),IF(INDEX(对接源_02物料!$T$4:$T$1203,$AF207-1200)=0,"",INDEX(对接源_02物料!$T$4:$T$1203,$AF207-1200))))</f>
        <v/>
      </c>
      <c r="E207" s="42" t="str">
        <f aca="false">IF($AF207="","",IF($AF207&lt;=1200,IF(INDEX(对接源_01水果!$C$4:$C$1203,$AF207)=0,"",INDEX(对接源_01水果!$C$4:$C$1203,$AF207)),IF(INDEX(对接源_02物料!$C$4:$C$1203,$AF207-1200)=0,"",INDEX(对接源_02物料!$C$4:$C$1203,$AF207-1200))))</f>
        <v/>
      </c>
      <c r="F207" s="41" t="str">
        <f aca="false"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G207" s="42" t="str">
        <f aca="false"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H207" s="41" t="str">
        <f aca="false">IF($AF207="","",IF($AF207&lt;=1200,"01水果册","02物料册"))</f>
        <v/>
      </c>
      <c r="I207" s="42" t="str">
        <f aca="false"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44" t="str">
        <f aca="false">IFERROR(MATCH(99,_自动清单!$Y$4:$Y$2403,0),"")</f>
        <v/>
      </c>
    </row>
    <row r="208" customFormat="false" ht="18" hidden="false" customHeight="true" outlineLevel="0" collapsed="false">
      <c r="A208" s="45" t="str">
        <f aca="false"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47" t="str">
        <f aca="false">IF($AF208="","",IF($AF208&lt;=1200,IF(INDEX(对接源_01水果!$S$4:$S$1203,$AF208)=0,"",INDEX(对接源_01水果!$S$4:$S$1203,$AF208)),IF(INDEX(对接源_02物料!$S$4:$S$1203,$AF208-1200)=0,"",INDEX(对接源_02物料!$S$4:$S$1203,$AF208-1200))))</f>
        <v/>
      </c>
      <c r="C208" s="46" t="str">
        <f aca="false"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D208" s="48" t="str">
        <f aca="false">IF($AF208="","",IF($AF208&lt;=1200,IF(INDEX(对接源_01水果!$T$4:$T$1203,$AF208)=0,"",INDEX(对接源_01水果!$T$4:$T$1203,$AF208)),IF(INDEX(对接源_02物料!$T$4:$T$1203,$AF208-1200)=0,"",INDEX(对接源_02物料!$T$4:$T$1203,$AF208-1200))))</f>
        <v/>
      </c>
      <c r="E208" s="47" t="str">
        <f aca="false">IF($AF208="","",IF($AF208&lt;=1200,IF(INDEX(对接源_01水果!$C$4:$C$1203,$AF208)=0,"",INDEX(对接源_01水果!$C$4:$C$1203,$AF208)),IF(INDEX(对接源_02物料!$C$4:$C$1203,$AF208-1200)=0,"",INDEX(对接源_02物料!$C$4:$C$1203,$AF208-1200))))</f>
        <v/>
      </c>
      <c r="F208" s="46" t="str">
        <f aca="false"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G208" s="47" t="str">
        <f aca="false"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H208" s="46" t="str">
        <f aca="false">IF($AF208="","",IF($AF208&lt;=1200,"01水果册","02物料册"))</f>
        <v/>
      </c>
      <c r="I208" s="47" t="str">
        <f aca="false"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44" t="str">
        <f aca="false">IFERROR(MATCH(100,_自动清单!$Y$4:$Y$2403,0),"")</f>
        <v/>
      </c>
    </row>
  </sheetData>
  <mergeCells count="11">
    <mergeCell ref="A1:G1"/>
    <mergeCell ref="B2:C2"/>
    <mergeCell ref="K2:M2"/>
    <mergeCell ref="A3:I3"/>
    <mergeCell ref="K3:L3"/>
    <mergeCell ref="A4:F4"/>
    <mergeCell ref="G4:I4"/>
    <mergeCell ref="K4:L4"/>
    <mergeCell ref="K5:L5"/>
    <mergeCell ref="A107:F107"/>
    <mergeCell ref="G107:I107"/>
  </mergeCells>
  <dataValidations count="1">
    <dataValidation allowBlank="true" errorStyle="stop" operator="between" showDropDown="false" showErrorMessage="false" showInputMessage="false" sqref="B2" type="list">
      <formula1>_自动清单!$E$4:$E$203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5C70"/>
    <pageSetUpPr fitToPage="false"/>
  </sheetPr>
  <dimension ref="A1:AN311"/>
  <sheetViews>
    <sheetView showFormulas="false" showGridLines="false" showRowColHeaders="true" showZeros="true" rightToLeft="false" tabSelected="true" showOutlineSymbols="true" defaultGridColor="true" view="normal" topLeftCell="B1" colorId="64" zoomScale="120" zoomScaleNormal="120" zoomScalePageLayoutView="100" workbookViewId="0">
      <pane xSplit="0" ySplit="3" topLeftCell="A8" activePane="bottomLeft" state="frozen"/>
      <selection pane="topLeft" activeCell="B1" activeCellId="0" sqref="B1"/>
      <selection pane="bottomLeft" activeCell="R18" activeCellId="0" sqref="R18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7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53" width="15"/>
    <col collapsed="false" customWidth="true" hidden="false" outlineLevel="0" max="10" min="10" style="1" width="18"/>
    <col collapsed="false" customWidth="true" hidden="false" outlineLevel="0" max="11" min="11" style="1" width="2"/>
    <col collapsed="false" customWidth="true" hidden="false" outlineLevel="0" max="12" min="12" style="1" width="13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5" min="15" style="1" width="2"/>
    <col collapsed="false" customWidth="true" hidden="false" outlineLevel="0" max="16" min="16" style="1" width="12"/>
  </cols>
  <sheetData>
    <row r="1" customFormat="false" ht="49.5" hidden="false" customHeight="true" outlineLevel="0" collapsed="false">
      <c r="A1" s="24" t="s">
        <v>70</v>
      </c>
      <c r="B1" s="24"/>
      <c r="C1" s="24"/>
      <c r="D1" s="24"/>
      <c r="E1" s="24"/>
      <c r="F1" s="24"/>
      <c r="G1" s="24"/>
      <c r="H1" s="24"/>
      <c r="I1" s="51" t="s">
        <v>71</v>
      </c>
      <c r="J1" s="52"/>
      <c r="P1" s="26" t="n">
        <f aca="false">IF($F$2="",DATE(1900,1,1),$F$2)</f>
        <v>2</v>
      </c>
    </row>
    <row r="2" customFormat="false" ht="25.5" hidden="false" customHeight="true" outlineLevel="0" collapsed="false">
      <c r="A2" s="27" t="s">
        <v>72</v>
      </c>
      <c r="B2" s="28" t="s">
        <v>73</v>
      </c>
      <c r="C2" s="28"/>
      <c r="E2" s="29" t="s">
        <v>74</v>
      </c>
      <c r="F2" s="30"/>
      <c r="G2" s="29" t="s">
        <v>75</v>
      </c>
      <c r="H2" s="30"/>
      <c r="L2" s="31" t="s">
        <v>106</v>
      </c>
      <c r="M2" s="31"/>
      <c r="N2" s="31"/>
      <c r="P2" s="26" t="n">
        <f aca="false">IF($H$2="",DATE(2999,12,31),$H$2)</f>
        <v>401768</v>
      </c>
    </row>
    <row r="3" customFormat="false" ht="19.5" hidden="false" customHeight="true" outlineLevel="0" collapsed="false">
      <c r="A3" s="32" t="s">
        <v>107</v>
      </c>
      <c r="B3" s="32"/>
      <c r="C3" s="32"/>
      <c r="D3" s="32"/>
      <c r="E3" s="32"/>
      <c r="F3" s="32"/>
      <c r="G3" s="32"/>
      <c r="H3" s="32"/>
      <c r="I3" s="32"/>
      <c r="J3" s="32"/>
      <c r="L3" s="33" t="s">
        <v>108</v>
      </c>
      <c r="M3" s="33"/>
      <c r="N3" s="34" t="n">
        <f aca="false"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</f>
        <v>2635</v>
      </c>
    </row>
    <row r="4" customFormat="false" ht="24" hidden="false" customHeight="true" outlineLevel="0" collapsed="false">
      <c r="A4" s="35" t="s">
        <v>109</v>
      </c>
      <c r="B4" s="35"/>
      <c r="C4" s="35"/>
      <c r="D4" s="35"/>
      <c r="E4" s="35"/>
      <c r="F4" s="35"/>
      <c r="G4" s="35"/>
      <c r="H4" s="36" t="str">
        <f aca="false"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&amp;"　筐（件）　｜　总毛重 "&amp;TEXT(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,"#,##0.00")&amp;" KG"</f>
        <v>2635　筐（件）　｜　总毛重 46,250.10 KG</v>
      </c>
      <c r="I4" s="36"/>
      <c r="J4" s="36"/>
      <c r="L4" s="33" t="s">
        <v>110</v>
      </c>
      <c r="M4" s="33"/>
      <c r="N4" s="54" t="n">
        <f aca="false">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</f>
        <v>46250.1</v>
      </c>
    </row>
    <row r="5" customFormat="false" ht="30" hidden="false" customHeight="true" outlineLevel="0" collapsed="false">
      <c r="A5" s="39" t="s">
        <v>81</v>
      </c>
      <c r="B5" s="39" t="s">
        <v>82</v>
      </c>
      <c r="C5" s="39" t="s">
        <v>111</v>
      </c>
      <c r="D5" s="39" t="s">
        <v>112</v>
      </c>
      <c r="E5" s="39" t="s">
        <v>93</v>
      </c>
      <c r="F5" s="39" t="s">
        <v>113</v>
      </c>
      <c r="G5" s="39" t="s">
        <v>114</v>
      </c>
      <c r="H5" s="39" t="s">
        <v>85</v>
      </c>
      <c r="I5" s="39" t="s">
        <v>115</v>
      </c>
      <c r="J5" s="39" t="s">
        <v>87</v>
      </c>
      <c r="L5" s="33" t="s">
        <v>116</v>
      </c>
      <c r="M5" s="33"/>
      <c r="N5" s="34" t="n">
        <f aca="false"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</f>
        <v>1867</v>
      </c>
    </row>
    <row r="6" customFormat="false" ht="18" hidden="false" customHeight="true" outlineLevel="0" collapsed="false">
      <c r="A6" s="40" t="n">
        <f aca="false">IF($AE6="","",IF($AE6&lt;=1200,IF(INDEX(对接源_01水果!$B$4:$B$1203,$AE6)=0,"",INDEX(对接源_01水果!$B$4:$B$1203,$AE6)),IF(INDEX(对接源_02物料!$B$4:$B$1203,$AE6-1200)=0,"",INDEX(对接源_02物料!$B$4:$B$1203,$AE6-1200))))</f>
        <v>46247</v>
      </c>
      <c r="B6" s="41" t="str">
        <f aca="false">IF($AE6="","",IF($AE6&lt;=1200,IF(INDEX(对接源_01水果!$E$4:$E$1203,$AE6)=0,"",INDEX(对接源_01水果!$E$4:$E$1203,$AE6)),IF(INDEX(对接源_02物料!$E$4:$E$1203,$AE6-1200)=0,"",INDEX(对接源_02物料!$E$4:$E$1203,$AE6-1200))))</f>
        <v>NO0000765</v>
      </c>
      <c r="C6" s="41" t="str">
        <f aca="false">IF($AE6="","",IF($AE6&lt;=1200,IF(INDEX(对接源_01水果!$F$4:$F$1203,$AE6)=0,"",INDEX(对接源_01水果!$F$4:$F$1203,$AE6)),IF(INDEX(对接源_02物料!$F$4:$F$1203,$AE6-1200)=0,"",INDEX(对接源_02物料!$F$4:$F$1203,$AE6-1200))))</f>
        <v>苹果</v>
      </c>
      <c r="D6" s="41" t="str">
        <f aca="false">IF($AE6="","",IF($AE6&lt;=1200,IF(INDEX(对接源_01水果!$G$4:$G$1203,$AE6)=0,"",INDEX(对接源_01水果!$G$4:$G$1203,$AE6)),IF(INDEX(对接源_02物料!$G$4:$G$1203,$AE6-1200)=0,"",INDEX(对接源_02物料!$G$4:$G$1203,$AE6-1200))))</f>
        <v>华硕一级</v>
      </c>
      <c r="E6" s="43" t="n">
        <f aca="false">IF($AE6="","",IF($AE6&lt;=1200,IF(INDEX(对接源_01水果!$H$4:$H$1203,$AE6)=0,"",INDEX(对接源_01水果!$H$4:$H$1203,$AE6)),IF(INDEX(对接源_02物料!$H$4:$H$1203,$AE6-1200)=0,"",INDEX(对接源_02物料!$H$4:$H$1203,$AE6-1200))))</f>
        <v>187</v>
      </c>
      <c r="F6" s="41" t="str">
        <f aca="false">IF($AE6="","",IF($AE6&lt;=1200,IF(INDEX(对接源_01水果!$I$4:$I$1203,$AE6)=0,"",INDEX(对接源_01水果!$I$4:$I$1203,$AE6)),IF(INDEX(对接源_02物料!$I$4:$I$1203,$AE6-1200)=0,"",INDEX(对接源_02物料!$I$4:$I$1203,$AE6-1200))))</f>
        <v>筐</v>
      </c>
      <c r="G6" s="55" t="n">
        <f aca="false">IF($AE6="","",IF($AE6&lt;=1200,IF(INDEX(对接源_01水果!$J$4:$J$1203,$AE6)=0,"",INDEX(对接源_01水果!$J$4:$J$1203,$AE6)),IF(INDEX(对接源_02物料!$J$4:$J$1203,$AE6-1200)=0,"",INDEX(对接源_02物料!$J$4:$J$1203,$AE6-1200))))</f>
        <v>3235.1</v>
      </c>
      <c r="H6" s="41" t="str">
        <f aca="false">IF($AE6="","",IF($AE6&lt;=1200,IF(INDEX(对接源_01水果!$W$4:$W$1203,$AE6)=0,"",INDEX(对接源_01水果!$W$4:$W$1203,$AE6)),IF(INDEX(对接源_02物料!$W$4:$W$1203,$AE6-1200)=0,"",INDEX(对接源_02物料!$W$4:$W$1203,$AE6-1200))))</f>
        <v>豫L*88X19</v>
      </c>
      <c r="I6" s="41" t="str">
        <f aca="false">IF($AE6="","",IF($AE6&lt;=1200,IF(INDEX(对接源_01水果!$C$4:$C$1203,$AE6)=0,"",INDEX(对接源_01水果!$C$4:$C$1203,$AE6)),IF(INDEX(对接源_02物料!$C$4:$C$1203,$AE6-1200)=0,"",INDEX(对接源_02物料!$C$4:$C$1203,$AE6-1200))))</f>
        <v>王照雪</v>
      </c>
      <c r="J6" s="42" t="str">
        <f aca="false"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37" t="s">
        <v>117</v>
      </c>
      <c r="M6" s="37"/>
      <c r="N6" s="38" t="n">
        <f aca="false">ROUND(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)-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),0)</f>
        <v>768</v>
      </c>
      <c r="AE6" s="44" t="n">
        <f aca="false">IFERROR(MATCH(1,_自动清单!$AA$4:$AA$2403,0),"")</f>
        <v>15</v>
      </c>
      <c r="AI6" s="44" t="str">
        <f aca="false">IF($D6="","",$D6)</f>
        <v>华硕一级</v>
      </c>
      <c r="AJ6" s="44" t="n">
        <f aca="false">IF(AI6="",0,IF(MATCH(AI6,AI$6:AI$125,0)=1,1,0))</f>
        <v>1</v>
      </c>
      <c r="AK6" s="44" t="n">
        <f aca="false">N(AK5)+AJ6</f>
        <v>1</v>
      </c>
    </row>
    <row r="7" customFormat="false" ht="18" hidden="false" customHeight="true" outlineLevel="0" collapsed="false">
      <c r="A7" s="45" t="n">
        <f aca="false">IF($AE7="","",IF($AE7&lt;=1200,IF(INDEX(对接源_01水果!$B$4:$B$1203,$AE7)=0,"",INDEX(对接源_01水果!$B$4:$B$1203,$AE7)),IF(INDEX(对接源_02物料!$B$4:$B$1203,$AE7-1200)=0,"",INDEX(对接源_02物料!$B$4:$B$1203,$AE7-1200))))</f>
        <v>46247</v>
      </c>
      <c r="B7" s="46" t="str">
        <f aca="false">IF($AE7="","",IF($AE7&lt;=1200,IF(INDEX(对接源_01水果!$E$4:$E$1203,$AE7)=0,"",INDEX(对接源_01水果!$E$4:$E$1203,$AE7)),IF(INDEX(对接源_02物料!$E$4:$E$1203,$AE7-1200)=0,"",INDEX(对接源_02物料!$E$4:$E$1203,$AE7-1200))))</f>
        <v>NO0000765</v>
      </c>
      <c r="C7" s="46" t="str">
        <f aca="false">IF($AE7="","",IF($AE7&lt;=1200,IF(INDEX(对接源_01水果!$F$4:$F$1203,$AE7)=0,"",INDEX(对接源_01水果!$F$4:$F$1203,$AE7)),IF(INDEX(对接源_02物料!$F$4:$F$1203,$AE7-1200)=0,"",INDEX(对接源_02物料!$F$4:$F$1203,$AE7-1200))))</f>
        <v>苹果</v>
      </c>
      <c r="D7" s="46" t="str">
        <f aca="false">IF($AE7="","",IF($AE7&lt;=1200,IF(INDEX(对接源_01水果!$G$4:$G$1203,$AE7)=0,"",INDEX(对接源_01水果!$G$4:$G$1203,$AE7)),IF(INDEX(对接源_02物料!$G$4:$G$1203,$AE7-1200)=0,"",INDEX(对接源_02物料!$G$4:$G$1203,$AE7-1200))))</f>
        <v>华硕二级</v>
      </c>
      <c r="E7" s="48" t="n">
        <f aca="false">IF($AE7="","",IF($AE7&lt;=1200,IF(INDEX(对接源_01水果!$H$4:$H$1203,$AE7)=0,"",INDEX(对接源_01水果!$H$4:$H$1203,$AE7)),IF(INDEX(对接源_02物料!$H$4:$H$1203,$AE7-1200)=0,"",INDEX(对接源_02物料!$H$4:$H$1203,$AE7-1200))))</f>
        <v>49</v>
      </c>
      <c r="F7" s="46" t="str">
        <f aca="false">IF($AE7="","",IF($AE7&lt;=1200,IF(INDEX(对接源_01水果!$I$4:$I$1203,$AE7)=0,"",INDEX(对接源_01水果!$I$4:$I$1203,$AE7)),IF(INDEX(对接源_02物料!$I$4:$I$1203,$AE7-1200)=0,"",INDEX(对接源_02物料!$I$4:$I$1203,$AE7-1200))))</f>
        <v>筐</v>
      </c>
      <c r="G7" s="56" t="n">
        <f aca="false">IF($AE7="","",IF($AE7&lt;=1200,IF(INDEX(对接源_01水果!$J$4:$J$1203,$AE7)=0,"",INDEX(对接源_01水果!$J$4:$J$1203,$AE7)),IF(INDEX(对接源_02物料!$J$4:$J$1203,$AE7-1200)=0,"",INDEX(对接源_02物料!$J$4:$J$1203,$AE7-1200))))</f>
        <v>798.7</v>
      </c>
      <c r="H7" s="46" t="str">
        <f aca="false">IF($AE7="","",IF($AE7&lt;=1200,IF(INDEX(对接源_01水果!$W$4:$W$1203,$AE7)=0,"",INDEX(对接源_01水果!$W$4:$W$1203,$AE7)),IF(INDEX(对接源_02物料!$W$4:$W$1203,$AE7-1200)=0,"",INDEX(对接源_02物料!$W$4:$W$1203,$AE7-1200))))</f>
        <v>豫L*88X19</v>
      </c>
      <c r="I7" s="46" t="str">
        <f aca="false">IF($AE7="","",IF($AE7&lt;=1200,IF(INDEX(对接源_01水果!$C$4:$C$1203,$AE7)=0,"",INDEX(对接源_01水果!$C$4:$C$1203,$AE7)),IF(INDEX(对接源_02物料!$C$4:$C$1203,$AE7-1200)=0,"",INDEX(对接源_02物料!$C$4:$C$1203,$AE7-1200))))</f>
        <v>王照雪</v>
      </c>
      <c r="J7" s="47" t="str">
        <f aca="false">IF($AE7="","",IF($AE7&lt;=1200,IF(INDEX(对接源_01水果!$M$4:$M$1203,$AE7)=0,"",INDEX(对接源_01水果!$M$4:$M$1203,$AE7)),IF(INDEX(对接源_02物料!$M$4:$M$1203,$AE7-1200)=0,"",INDEX(对接源_02物料!$M$4:$M$1203,$AE7-1200))))</f>
        <v/>
      </c>
      <c r="L7" s="33" t="s">
        <v>118</v>
      </c>
      <c r="M7" s="33"/>
      <c r="N7" s="34" t="n">
        <f aca="false">ROUND(SUMIFS(对接源_01水果!$H$4:$H$1203,对接源_01水果!$C$4:$C$1203,$B$2,对接源_01水果!$B$4:$B$1203,"&gt;="&amp;$P$1,对接源_01水果!$B$4:$B$1203,"&lt;="&amp;$P$2,对接源_01水果!$D$4:$D$1203,"成品出库*",对接源_01水果!$I$4:$I$1203,"箱")+SUMIFS(对接源_02物料!$H$4:$H$1203,对接源_02物料!$C$4:$C$1203,$B$2,对接源_02物料!$B$4:$B$1203,"&gt;="&amp;$P$1,对接源_02物料!$B$4:$B$1203,"&lt;="&amp;$P$2,对接源_02物料!$D$4:$D$1203,"成品出库*",对接源_02物料!$I$4:$I$1203,"箱"),0)</f>
        <v>3657</v>
      </c>
      <c r="AE7" s="44" t="n">
        <f aca="false">IFERROR(MATCH(2,_自动清单!$AA$4:$AA$2403,0),"")</f>
        <v>16</v>
      </c>
      <c r="AI7" s="44" t="str">
        <f aca="false">IF($D7="","",$D7)</f>
        <v>华硕二级</v>
      </c>
      <c r="AJ7" s="44" t="n">
        <f aca="false">IF(AI7="",0,IF(MATCH(AI7,AI$6:AI$125,0)=2,1,0))</f>
        <v>1</v>
      </c>
      <c r="AK7" s="44" t="n">
        <f aca="false">N(AK6)+AJ7</f>
        <v>2</v>
      </c>
    </row>
    <row r="8" customFormat="false" ht="18" hidden="false" customHeight="true" outlineLevel="0" collapsed="false">
      <c r="A8" s="40" t="n">
        <f aca="false">IF($AE8="","",IF($AE8&lt;=1200,IF(INDEX(对接源_01水果!$B$4:$B$1203,$AE8)=0,"",INDEX(对接源_01水果!$B$4:$B$1203,$AE8)),IF(INDEX(对接源_02物料!$B$4:$B$1203,$AE8-1200)=0,"",INDEX(对接源_02物料!$B$4:$B$1203,$AE8-1200))))</f>
        <v>46247</v>
      </c>
      <c r="B8" s="41" t="str">
        <f aca="false">IF($AE8="","",IF($AE8&lt;=1200,IF(INDEX(对接源_01水果!$E$4:$E$1203,$AE8)=0,"",INDEX(对接源_01水果!$E$4:$E$1203,$AE8)),IF(INDEX(对接源_02物料!$E$4:$E$1203,$AE8-1200)=0,"",INDEX(对接源_02物料!$E$4:$E$1203,$AE8-1200))))</f>
        <v>NO0000765</v>
      </c>
      <c r="C8" s="41" t="str">
        <f aca="false">IF($AE8="","",IF($AE8&lt;=1200,IF(INDEX(对接源_01水果!$F$4:$F$1203,$AE8)=0,"",INDEX(对接源_01水果!$F$4:$F$1203,$AE8)),IF(INDEX(对接源_02物料!$F$4:$F$1203,$AE8-1200)=0,"",INDEX(对接源_02物料!$F$4:$F$1203,$AE8-1200))))</f>
        <v>苹果</v>
      </c>
      <c r="D8" s="41" t="str">
        <f aca="false">IF($AE8="","",IF($AE8&lt;=1200,IF(INDEX(对接源_01水果!$G$4:$G$1203,$AE8)=0,"",INDEX(对接源_01水果!$G$4:$G$1203,$AE8)),IF(INDEX(对接源_02物料!$G$4:$G$1203,$AE8-1200)=0,"",INDEX(对接源_02物料!$G$4:$G$1203,$AE8-1200))))</f>
        <v>华硕高次</v>
      </c>
      <c r="E8" s="43" t="n">
        <f aca="false">IF($AE8="","",IF($AE8&lt;=1200,IF(INDEX(对接源_01水果!$H$4:$H$1203,$AE8)=0,"",INDEX(对接源_01水果!$H$4:$H$1203,$AE8)),IF(INDEX(对接源_02物料!$H$4:$H$1203,$AE8-1200)=0,"",INDEX(对接源_02物料!$H$4:$H$1203,$AE8-1200))))</f>
        <v>11</v>
      </c>
      <c r="F8" s="41" t="str">
        <f aca="false">IF($AE8="","",IF($AE8&lt;=1200,IF(INDEX(对接源_01水果!$I$4:$I$1203,$AE8)=0,"",INDEX(对接源_01水果!$I$4:$I$1203,$AE8)),IF(INDEX(对接源_02物料!$I$4:$I$1203,$AE8-1200)=0,"",INDEX(对接源_02物料!$I$4:$I$1203,$AE8-1200))))</f>
        <v>筐</v>
      </c>
      <c r="G8" s="55" t="n">
        <f aca="false">IF($AE8="","",IF($AE8&lt;=1200,IF(INDEX(对接源_01水果!$J$4:$J$1203,$AE8)=0,"",INDEX(对接源_01水果!$J$4:$J$1203,$AE8)),IF(INDEX(对接源_02物料!$J$4:$J$1203,$AE8-1200)=0,"",INDEX(对接源_02物料!$J$4:$J$1203,$AE8-1200))))</f>
        <v>190.3</v>
      </c>
      <c r="H8" s="41" t="str">
        <f aca="false">IF($AE8="","",IF($AE8&lt;=1200,IF(INDEX(对接源_01水果!$W$4:$W$1203,$AE8)=0,"",INDEX(对接源_01水果!$W$4:$W$1203,$AE8)),IF(INDEX(对接源_02物料!$W$4:$W$1203,$AE8-1200)=0,"",INDEX(对接源_02物料!$W$4:$W$1203,$AE8-1200))))</f>
        <v>豫L*88X19</v>
      </c>
      <c r="I8" s="41" t="str">
        <f aca="false">IF($AE8="","",IF($AE8&lt;=1200,IF(INDEX(对接源_01水果!$C$4:$C$1203,$AE8)=0,"",INDEX(对接源_01水果!$C$4:$C$1203,$AE8)),IF(INDEX(对接源_02物料!$C$4:$C$1203,$AE8-1200)=0,"",INDEX(对接源_02物料!$C$4:$C$1203,$AE8-1200))))</f>
        <v>王照雪</v>
      </c>
      <c r="J8" s="42" t="str">
        <f aca="false">IF($AE8="","",IF($AE8&lt;=1200,IF(INDEX(对接源_01水果!$M$4:$M$1203,$AE8)=0,"",INDEX(对接源_01水果!$M$4:$M$1203,$AE8)),IF(INDEX(对接源_02物料!$M$4:$M$1203,$AE8-1200)=0,"",INDEX(对接源_02物料!$M$4:$M$1203,$AE8-1200))))</f>
        <v/>
      </c>
      <c r="L8" s="33" t="s">
        <v>119</v>
      </c>
      <c r="M8" s="33"/>
      <c r="N8" s="54" t="n">
        <f aca="false">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</f>
        <v>0</v>
      </c>
      <c r="AE8" s="44" t="n">
        <f aca="false">IFERROR(MATCH(3,_自动清单!$AA$4:$AA$2403,0),"")</f>
        <v>17</v>
      </c>
      <c r="AI8" s="44" t="str">
        <f aca="false">IF($D8="","",$D8)</f>
        <v>华硕高次</v>
      </c>
      <c r="AJ8" s="44" t="n">
        <f aca="false">IF(AI8="",0,IF(MATCH(AI8,AI$6:AI$125,0)=3,1,0))</f>
        <v>1</v>
      </c>
      <c r="AK8" s="44" t="n">
        <f aca="false">N(AK7)+AJ8</f>
        <v>3</v>
      </c>
    </row>
    <row r="9" customFormat="false" ht="18" hidden="false" customHeight="true" outlineLevel="0" collapsed="false">
      <c r="A9" s="45" t="n">
        <f aca="false">IF($AE9="","",IF($AE9&lt;=1200,IF(INDEX(对接源_01水果!$B$4:$B$1203,$AE9)=0,"",INDEX(对接源_01水果!$B$4:$B$1203,$AE9)),IF(INDEX(对接源_02物料!$B$4:$B$1203,$AE9-1200)=0,"",INDEX(对接源_02物料!$B$4:$B$1203,$AE9-1200))))</f>
        <v>46248</v>
      </c>
      <c r="B9" s="46" t="str">
        <f aca="false">IF($AE9="","",IF($AE9&lt;=1200,IF(INDEX(对接源_01水果!$E$4:$E$1203,$AE9)=0,"",INDEX(对接源_01水果!$E$4:$E$1203,$AE9)),IF(INDEX(对接源_02物料!$E$4:$E$1203,$AE9-1200)=0,"",INDEX(对接源_02物料!$E$4:$E$1203,$AE9-1200))))</f>
        <v>NO0000768</v>
      </c>
      <c r="C9" s="46" t="str">
        <f aca="false">IF($AE9="","",IF($AE9&lt;=1200,IF(INDEX(对接源_01水果!$F$4:$F$1203,$AE9)=0,"",INDEX(对接源_01水果!$F$4:$F$1203,$AE9)),IF(INDEX(对接源_02物料!$F$4:$F$1203,$AE9-1200)=0,"",INDEX(对接源_02物料!$F$4:$F$1203,$AE9-1200))))</f>
        <v>李子</v>
      </c>
      <c r="D9" s="46" t="str">
        <f aca="false">IF($AE9="","",IF($AE9&lt;=1200,IF(INDEX(对接源_01水果!$G$4:$G$1203,$AE9)=0,"",INDEX(对接源_01水果!$G$4:$G$1203,$AE9)),IF(INDEX(对接源_02物料!$G$4:$G$1203,$AE9-1200)=0,"",INDEX(对接源_02物料!$G$4:$G$1203,$AE9-1200))))</f>
        <v>樱桃李</v>
      </c>
      <c r="E9" s="48" t="n">
        <f aca="false">IF($AE9="","",IF($AE9&lt;=1200,IF(INDEX(对接源_01水果!$H$4:$H$1203,$AE9)=0,"",INDEX(对接源_01水果!$H$4:$H$1203,$AE9)),IF(INDEX(对接源_02物料!$H$4:$H$1203,$AE9-1200)=0,"",INDEX(对接源_02物料!$H$4:$H$1203,$AE9-1200))))</f>
        <v>317</v>
      </c>
      <c r="F9" s="46" t="str">
        <f aca="false">IF($AE9="","",IF($AE9&lt;=1200,IF(INDEX(对接源_01水果!$I$4:$I$1203,$AE9)=0,"",INDEX(对接源_01水果!$I$4:$I$1203,$AE9)),IF(INDEX(对接源_02物料!$I$4:$I$1203,$AE9-1200)=0,"",INDEX(对接源_02物料!$I$4:$I$1203,$AE9-1200))))</f>
        <v>筐</v>
      </c>
      <c r="G9" s="56" t="n">
        <f aca="false">IF($AE9="","",IF($AE9&lt;=1200,IF(INDEX(对接源_01水果!$J$4:$J$1203,$AE9)=0,"",INDEX(对接源_01水果!$J$4:$J$1203,$AE9)),IF(INDEX(对接源_02物料!$J$4:$J$1203,$AE9-1200)=0,"",INDEX(对接源_02物料!$J$4:$J$1203,$AE9-1200))))</f>
        <v>5167.1</v>
      </c>
      <c r="H9" s="46" t="str">
        <f aca="false">IF($AE9="","",IF($AE9&lt;=1200,IF(INDEX(对接源_01水果!$W$4:$W$1203,$AE9)=0,"",INDEX(对接源_01水果!$W$4:$W$1203,$AE9)),IF(INDEX(对接源_02物料!$W$4:$W$1203,$AE9-1200)=0,"",INDEX(对接源_02物料!$W$4:$W$1203,$AE9-1200))))</f>
        <v>豫L*88X19</v>
      </c>
      <c r="I9" s="46" t="str">
        <f aca="false">IF($AE9="","",IF($AE9&lt;=1200,IF(INDEX(对接源_01水果!$C$4:$C$1203,$AE9)=0,"",INDEX(对接源_01水果!$C$4:$C$1203,$AE9)),IF(INDEX(对接源_02物料!$C$4:$C$1203,$AE9-1200)=0,"",INDEX(对接源_02物料!$C$4:$C$1203,$AE9-1200))))</f>
        <v>王照雪</v>
      </c>
      <c r="J9" s="47" t="str">
        <f aca="false">IF($AE9="","",IF($AE9&lt;=1200,IF(INDEX(对接源_01水果!$M$4:$M$1203,$AE9)=0,"",INDEX(对接源_01水果!$M$4:$M$1203,$AE9)),IF(INDEX(对接源_02物料!$M$4:$M$1203,$AE9-1200)=0,"",INDEX(对接源_02物料!$M$4:$M$1203,$AE9-1200))))</f>
        <v/>
      </c>
      <c r="L9" s="33" t="s">
        <v>120</v>
      </c>
      <c r="N9" s="34" t="n">
        <f aca="false">ROUND(SUMIFS(对接源_01水果!$H$4:$H$1203,对接源_01水果!$C$4:$C$1203,$B$2,对接源_01水果!$B$4:$B$1203,"&gt;="&amp;$P$1,对接源_01水果!$B$4:$B$1203,"&lt;="&amp;$P$2,对接源_01水果!$D$4:$D$1203,"成品出库*",对接源_01水果!$I$4:$I$1203,"&lt;&gt;箱")+SUMIFS(对接源_02物料!$H$4:$H$1203,对接源_02物料!$C$4:$C$1203,$B$2,对接源_02物料!$B$4:$B$1203,"&gt;="&amp;$P$1,对接源_02物料!$B$4:$B$1203,"&lt;="&amp;$P$2,对接源_02物料!$D$4:$D$1203,"成品出库*",对接源_02物料!$I$4:$I$1203,"&lt;&gt;箱"),0)</f>
        <v>4</v>
      </c>
      <c r="AE9" s="44" t="n">
        <f aca="false">IFERROR(MATCH(4,_自动清单!$AA$4:$AA$2403,0),"")</f>
        <v>21</v>
      </c>
      <c r="AI9" s="44" t="str">
        <f aca="false">IF($D9="","",$D9)</f>
        <v>樱桃李</v>
      </c>
      <c r="AJ9" s="44" t="n">
        <f aca="false">IF(AI9="",0,IF(MATCH(AI9,AI$6:AI$125,0)=4,1,0))</f>
        <v>1</v>
      </c>
      <c r="AK9" s="44" t="n">
        <f aca="false">N(AK8)+AJ9</f>
        <v>4</v>
      </c>
    </row>
    <row r="10" customFormat="false" ht="18" hidden="false" customHeight="true" outlineLevel="0" collapsed="false">
      <c r="A10" s="40" t="n">
        <f aca="false">IF($AE10="","",IF($AE10&lt;=1200,IF(INDEX(对接源_01水果!$B$4:$B$1203,$AE10)=0,"",INDEX(对接源_01水果!$B$4:$B$1203,$AE10)),IF(INDEX(对接源_02物料!$B$4:$B$1203,$AE10-1200)=0,"",INDEX(对接源_02物料!$B$4:$B$1203,$AE10-1200))))</f>
        <v>46249</v>
      </c>
      <c r="B10" s="41" t="str">
        <f aca="false">IF($AE10="","",IF($AE10&lt;=1200,IF(INDEX(对接源_01水果!$E$4:$E$1203,$AE10)=0,"",INDEX(对接源_01水果!$E$4:$E$1203,$AE10)),IF(INDEX(对接源_02物料!$E$4:$E$1203,$AE10-1200)=0,"",INDEX(对接源_02物料!$E$4:$E$1203,$AE10-1200))))</f>
        <v>NO0000771</v>
      </c>
      <c r="C10" s="41" t="str">
        <f aca="false">IF($AE10="","",IF($AE10&lt;=1200,IF(INDEX(对接源_01水果!$F$4:$F$1203,$AE10)=0,"",INDEX(对接源_01水果!$F$4:$F$1203,$AE10)),IF(INDEX(对接源_02物料!$F$4:$F$1203,$AE10-1200)=0,"",INDEX(对接源_02物料!$F$4:$F$1203,$AE10-1200))))</f>
        <v>李子</v>
      </c>
      <c r="D10" s="41" t="str">
        <f aca="false">IF($AE10="","",IF($AE10&lt;=1200,IF(INDEX(对接源_01水果!$G$4:$G$1203,$AE10)=0,"",INDEX(对接源_01水果!$G$4:$G$1203,$AE10)),IF(INDEX(对接源_02物料!$G$4:$G$1203,$AE10-1200)=0,"",INDEX(对接源_02物料!$G$4:$G$1203,$AE10-1200))))</f>
        <v>樱桃李</v>
      </c>
      <c r="E10" s="43" t="n">
        <f aca="false">IF($AE10="","",IF($AE10&lt;=1200,IF(INDEX(对接源_01水果!$H$4:$H$1203,$AE10)=0,"",INDEX(对接源_01水果!$H$4:$H$1203,$AE10)),IF(INDEX(对接源_02物料!$H$4:$H$1203,$AE10-1200)=0,"",INDEX(对接源_02物料!$H$4:$H$1203,$AE10-1200))))</f>
        <v>105</v>
      </c>
      <c r="F10" s="41" t="str">
        <f aca="false">IF($AE10="","",IF($AE10&lt;=1200,IF(INDEX(对接源_01水果!$I$4:$I$1203,$AE10)=0,"",INDEX(对接源_01水果!$I$4:$I$1203,$AE10)),IF(INDEX(对接源_02物料!$I$4:$I$1203,$AE10-1200)=0,"",INDEX(对接源_02物料!$I$4:$I$1203,$AE10-1200))))</f>
        <v>筐</v>
      </c>
      <c r="G10" s="55" t="n">
        <f aca="false">IF($AE10="","",IF($AE10&lt;=1200,IF(INDEX(对接源_01水果!$J$4:$J$1203,$AE10)=0,"",INDEX(对接源_01水果!$J$4:$J$1203,$AE10)),IF(INDEX(对接源_02物料!$J$4:$J$1203,$AE10-1200)=0,"",INDEX(对接源_02物料!$J$4:$J$1203,$AE10-1200))))</f>
        <v>1711.5</v>
      </c>
      <c r="H10" s="41" t="str">
        <f aca="false">IF($AE10="","",IF($AE10&lt;=1200,IF(INDEX(对接源_01水果!$W$4:$W$1203,$AE10)=0,"",INDEX(对接源_01水果!$W$4:$W$1203,$AE10)),IF(INDEX(对接源_02物料!$W$4:$W$1203,$AE10-1200)=0,"",INDEX(对接源_02物料!$W$4:$W$1203,$AE10-1200))))</f>
        <v>豫L*88X19</v>
      </c>
      <c r="I10" s="41" t="str">
        <f aca="false">IF($AE10="","",IF($AE10&lt;=1200,IF(INDEX(对接源_01水果!$C$4:$C$1203,$AE10)=0,"",INDEX(对接源_01水果!$C$4:$C$1203,$AE10)),IF(INDEX(对接源_02物料!$C$4:$C$1203,$AE10-1200)=0,"",INDEX(对接源_02物料!$C$4:$C$1203,$AE10-1200))))</f>
        <v>王照雪</v>
      </c>
      <c r="J10" s="42" t="str">
        <f aca="false"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L10" s="57" t="s">
        <v>121</v>
      </c>
      <c r="M10" s="57"/>
      <c r="N10" s="57"/>
      <c r="AE10" s="44" t="n">
        <f aca="false">IFERROR(MATCH(5,_自动清单!$AA$4:$AA$2403,0),"")</f>
        <v>25</v>
      </c>
      <c r="AI10" s="44" t="str">
        <f aca="false">IF($D10="","",$D10)</f>
        <v>樱桃李</v>
      </c>
      <c r="AJ10" s="44" t="n">
        <f aca="false">IF(AI10="",0,IF(MATCH(AI10,AI$6:AI$125,0)=5,1,0))</f>
        <v>0</v>
      </c>
      <c r="AK10" s="44" t="n">
        <f aca="false">N(AK9)+AJ10</f>
        <v>4</v>
      </c>
    </row>
    <row r="11" customFormat="false" ht="18" hidden="false" customHeight="true" outlineLevel="0" collapsed="false">
      <c r="A11" s="45" t="n">
        <f aca="false">IF($AE11="","",IF($AE11&lt;=1200,IF(INDEX(对接源_01水果!$B$4:$B$1203,$AE11)=0,"",INDEX(对接源_01水果!$B$4:$B$1203,$AE11)),IF(INDEX(对接源_02物料!$B$4:$B$1203,$AE11-1200)=0,"",INDEX(对接源_02物料!$B$4:$B$1203,$AE11-1200))))</f>
        <v>46255</v>
      </c>
      <c r="B11" s="46" t="str">
        <f aca="false">IF($AE11="","",IF($AE11&lt;=1200,IF(INDEX(对接源_01水果!$E$4:$E$1203,$AE11)=0,"",INDEX(对接源_01水果!$E$4:$E$1203,$AE11)),IF(INDEX(对接源_02物料!$E$4:$E$1203,$AE11-1200)=0,"",INDEX(对接源_02物料!$E$4:$E$1203,$AE11-1200))))</f>
        <v>NO0000710</v>
      </c>
      <c r="C11" s="46" t="str">
        <f aca="false">IF($AE11="","",IF($AE11&lt;=1200,IF(INDEX(对接源_01水果!$F$4:$F$1203,$AE11)=0,"",INDEX(对接源_01水果!$F$4:$F$1203,$AE11)),IF(INDEX(对接源_02物料!$F$4:$F$1203,$AE11-1200)=0,"",INDEX(对接源_02物料!$F$4:$F$1203,$AE11-1200))))</f>
        <v>苹果</v>
      </c>
      <c r="D11" s="46" t="str">
        <f aca="false">IF($AE11="","",IF($AE11&lt;=1200,IF(INDEX(对接源_01水果!$G$4:$G$1203,$AE11)=0,"",INDEX(对接源_01水果!$G$4:$G$1203,$AE11)),IF(INDEX(对接源_02物料!$G$4:$G$1203,$AE11-1200)=0,"",INDEX(对接源_02物料!$G$4:$G$1203,$AE11-1200))))</f>
        <v>华硕一级</v>
      </c>
      <c r="E11" s="48" t="n">
        <f aca="false">IF($AE11="","",IF($AE11&lt;=1200,IF(INDEX(对接源_01水果!$H$4:$H$1203,$AE11)=0,"",INDEX(对接源_01水果!$H$4:$H$1203,$AE11)),IF(INDEX(对接源_02物料!$H$4:$H$1203,$AE11-1200)=0,"",INDEX(对接源_02物料!$H$4:$H$1203,$AE11-1200))))</f>
        <v>57</v>
      </c>
      <c r="F11" s="46" t="str">
        <f aca="false">IF($AE11="","",IF($AE11&lt;=1200,IF(INDEX(对接源_01水果!$I$4:$I$1203,$AE11)=0,"",INDEX(对接源_01水果!$I$4:$I$1203,$AE11)),IF(INDEX(对接源_02物料!$I$4:$I$1203,$AE11-1200)=0,"",INDEX(对接源_02物料!$I$4:$I$1203,$AE11-1200))))</f>
        <v>筐</v>
      </c>
      <c r="G11" s="56" t="n">
        <f aca="false">IF($AE11="","",IF($AE11&lt;=1200,IF(INDEX(对接源_01水果!$J$4:$J$1203,$AE11)=0,"",INDEX(对接源_01水果!$J$4:$J$1203,$AE11)),IF(INDEX(对接源_02物料!$J$4:$J$1203,$AE11-1200)=0,"",INDEX(对接源_02物料!$J$4:$J$1203,$AE11-1200))))</f>
        <v>986.1</v>
      </c>
      <c r="H11" s="46" t="str">
        <f aca="false">IF($AE11="","",IF($AE11&lt;=1200,IF(INDEX(对接源_01水果!$W$4:$W$1203,$AE11)=0,"",INDEX(对接源_01水果!$W$4:$W$1203,$AE11)),IF(INDEX(对接源_02物料!$W$4:$W$1203,$AE11-1200)=0,"",INDEX(对接源_02物料!$W$4:$W$1203,$AE11-1200))))</f>
        <v>豫L*88X19</v>
      </c>
      <c r="I11" s="46" t="str">
        <f aca="false">IF($AE11="","",IF($AE11&lt;=1200,IF(INDEX(对接源_01水果!$C$4:$C$1203,$AE11)=0,"",INDEX(对接源_01水果!$C$4:$C$1203,$AE11)),IF(INDEX(对接源_02物料!$C$4:$C$1203,$AE11-1200)=0,"",INDEX(对接源_02物料!$C$4:$C$1203,$AE11-1200))))</f>
        <v>王照雪</v>
      </c>
      <c r="J11" s="47" t="str">
        <f aca="false"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L11" s="58" t="s">
        <v>112</v>
      </c>
      <c r="M11" s="58" t="s">
        <v>122</v>
      </c>
      <c r="N11" s="58" t="s">
        <v>123</v>
      </c>
      <c r="AE11" s="44" t="n">
        <f aca="false">IFERROR(MATCH(6,_自动清单!$AA$4:$AA$2403,0),"")</f>
        <v>34</v>
      </c>
      <c r="AI11" s="44" t="str">
        <f aca="false">IF($D11="","",$D11)</f>
        <v>华硕一级</v>
      </c>
      <c r="AJ11" s="44" t="n">
        <f aca="false">IF(AI11="",0,IF(MATCH(AI11,AI$6:AI$125,0)=6,1,0))</f>
        <v>0</v>
      </c>
      <c r="AK11" s="44" t="n">
        <f aca="false">N(AK10)+AJ11</f>
        <v>4</v>
      </c>
    </row>
    <row r="12" customFormat="false" ht="18" hidden="false" customHeight="true" outlineLevel="0" collapsed="false">
      <c r="A12" s="40" t="n">
        <f aca="false">IF($AE12="","",IF($AE12&lt;=1200,IF(INDEX(对接源_01水果!$B$4:$B$1203,$AE12)=0,"",INDEX(对接源_01水果!$B$4:$B$1203,$AE12)),IF(INDEX(对接源_02物料!$B$4:$B$1203,$AE12-1200)=0,"",INDEX(对接源_02物料!$B$4:$B$1203,$AE12-1200))))</f>
        <v>46255</v>
      </c>
      <c r="B12" s="41" t="str">
        <f aca="false">IF($AE12="","",IF($AE12&lt;=1200,IF(INDEX(对接源_01水果!$E$4:$E$1203,$AE12)=0,"",INDEX(对接源_01水果!$E$4:$E$1203,$AE12)),IF(INDEX(对接源_02物料!$E$4:$E$1203,$AE12-1200)=0,"",INDEX(对接源_02物料!$E$4:$E$1203,$AE12-1200))))</f>
        <v>NO0000710</v>
      </c>
      <c r="C12" s="41" t="str">
        <f aca="false">IF($AE12="","",IF($AE12&lt;=1200,IF(INDEX(对接源_01水果!$F$4:$F$1203,$AE12)=0,"",INDEX(对接源_01水果!$F$4:$F$1203,$AE12)),IF(INDEX(对接源_02物料!$F$4:$F$1203,$AE12-1200)=0,"",INDEX(对接源_02物料!$F$4:$F$1203,$AE12-1200))))</f>
        <v>苹果</v>
      </c>
      <c r="D12" s="41" t="str">
        <f aca="false">IF($AE12="","",IF($AE12&lt;=1200,IF(INDEX(对接源_01水果!$G$4:$G$1203,$AE12)=0,"",INDEX(对接源_01水果!$G$4:$G$1203,$AE12)),IF(INDEX(对接源_02物料!$G$4:$G$1203,$AE12-1200)=0,"",INDEX(对接源_02物料!$G$4:$G$1203,$AE12-1200))))</f>
        <v>华硕二级</v>
      </c>
      <c r="E12" s="43" t="n">
        <f aca="false">IF($AE12="","",IF($AE12&lt;=1200,IF(INDEX(对接源_01水果!$H$4:$H$1203,$AE12)=0,"",INDEX(对接源_01水果!$H$4:$H$1203,$AE12)),IF(INDEX(对接源_02物料!$H$4:$H$1203,$AE12-1200)=0,"",INDEX(对接源_02物料!$H$4:$H$1203,$AE12-1200))))</f>
        <v>18</v>
      </c>
      <c r="F12" s="41" t="str">
        <f aca="false">IF($AE12="","",IF($AE12&lt;=1200,IF(INDEX(对接源_01水果!$I$4:$I$1203,$AE12)=0,"",INDEX(对接源_01水果!$I$4:$I$1203,$AE12)),IF(INDEX(对接源_02物料!$I$4:$I$1203,$AE12-1200)=0,"",INDEX(对接源_02物料!$I$4:$I$1203,$AE12-1200))))</f>
        <v>筐</v>
      </c>
      <c r="G12" s="55" t="n">
        <f aca="false">IF($AE12="","",IF($AE12&lt;=1200,IF(INDEX(对接源_01水果!$J$4:$J$1203,$AE12)=0,"",INDEX(对接源_01水果!$J$4:$J$1203,$AE12)),IF(INDEX(对接源_02物料!$J$4:$J$1203,$AE12-1200)=0,"",INDEX(对接源_02物料!$J$4:$J$1203,$AE12-1200))))</f>
        <v>293.4</v>
      </c>
      <c r="H12" s="41" t="str">
        <f aca="false">IF($AE12="","",IF($AE12&lt;=1200,IF(INDEX(对接源_01水果!$W$4:$W$1203,$AE12)=0,"",INDEX(对接源_01水果!$W$4:$W$1203,$AE12)),IF(INDEX(对接源_02物料!$W$4:$W$1203,$AE12-1200)=0,"",INDEX(对接源_02物料!$W$4:$W$1203,$AE12-1200))))</f>
        <v>豫L*88X19</v>
      </c>
      <c r="I12" s="41" t="str">
        <f aca="false">IF($AE12="","",IF($AE12&lt;=1200,IF(INDEX(对接源_01水果!$C$4:$C$1203,$AE12)=0,"",INDEX(对接源_01水果!$C$4:$C$1203,$AE12)),IF(INDEX(对接源_02物料!$C$4:$C$1203,$AE12-1200)=0,"",INDEX(对接源_02物料!$C$4:$C$1203,$AE12-1200))))</f>
        <v>王照雪</v>
      </c>
      <c r="J12" s="42" t="str">
        <f aca="false"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L12" s="59" t="str">
        <f aca="false">IFERROR(INDEX($D$6:$D$125,MATCH(1,AK$6:AK$125,0)),"")</f>
        <v>华硕一级</v>
      </c>
      <c r="M12" s="60" t="n">
        <f aca="false">IF($L12="","",SUMIF($D$6:$D$125,$L12,$E$6:$E$125))</f>
        <v>670</v>
      </c>
      <c r="N12" s="61" t="n">
        <f aca="false">IF($L12="","",ROUND(SUMIF($D$6:$D$125,$L12,$G$6:$G$125),2))</f>
        <v>11591</v>
      </c>
      <c r="AE12" s="44" t="n">
        <f aca="false">IFERROR(MATCH(7,_自动清单!$AA$4:$AA$2403,0),"")</f>
        <v>35</v>
      </c>
      <c r="AI12" s="44" t="str">
        <f aca="false">IF($D12="","",$D12)</f>
        <v>华硕二级</v>
      </c>
      <c r="AJ12" s="44" t="n">
        <f aca="false">IF(AI12="",0,IF(MATCH(AI12,AI$6:AI$125,0)=7,1,0))</f>
        <v>0</v>
      </c>
      <c r="AK12" s="44" t="n">
        <f aca="false">N(AK11)+AJ12</f>
        <v>4</v>
      </c>
    </row>
    <row r="13" customFormat="false" ht="18" hidden="false" customHeight="true" outlineLevel="0" collapsed="false">
      <c r="A13" s="45" t="n">
        <f aca="false">IF($AE13="","",IF($AE13&lt;=1200,IF(INDEX(对接源_01水果!$B$4:$B$1203,$AE13)=0,"",INDEX(对接源_01水果!$B$4:$B$1203,$AE13)),IF(INDEX(对接源_02物料!$B$4:$B$1203,$AE13-1200)=0,"",INDEX(对接源_02物料!$B$4:$B$1203,$AE13-1200))))</f>
        <v>46255</v>
      </c>
      <c r="B13" s="46" t="str">
        <f aca="false">IF($AE13="","",IF($AE13&lt;=1200,IF(INDEX(对接源_01水果!$E$4:$E$1203,$AE13)=0,"",INDEX(对接源_01水果!$E$4:$E$1203,$AE13)),IF(INDEX(对接源_02物料!$E$4:$E$1203,$AE13-1200)=0,"",INDEX(对接源_02物料!$E$4:$E$1203,$AE13-1200))))</f>
        <v>NO0000710</v>
      </c>
      <c r="C13" s="46" t="str">
        <f aca="false">IF($AE13="","",IF($AE13&lt;=1200,IF(INDEX(对接源_01水果!$F$4:$F$1203,$AE13)=0,"",INDEX(对接源_01水果!$F$4:$F$1203,$AE13)),IF(INDEX(对接源_02物料!$F$4:$F$1203,$AE13-1200)=0,"",INDEX(对接源_02物料!$F$4:$F$1203,$AE13-1200))))</f>
        <v>苹果</v>
      </c>
      <c r="D13" s="46" t="str">
        <f aca="false">IF($AE13="","",IF($AE13&lt;=1200,IF(INDEX(对接源_01水果!$G$4:$G$1203,$AE13)=0,"",INDEX(对接源_01水果!$G$4:$G$1203,$AE13)),IF(INDEX(对接源_02物料!$G$4:$G$1203,$AE13-1200)=0,"",INDEX(对接源_02物料!$G$4:$G$1203,$AE13-1200))))</f>
        <v>华硕高次</v>
      </c>
      <c r="E13" s="48" t="n">
        <f aca="false">IF($AE13="","",IF($AE13&lt;=1200,IF(INDEX(对接源_01水果!$H$4:$H$1203,$AE13)=0,"",INDEX(对接源_01水果!$H$4:$H$1203,$AE13)),IF(INDEX(对接源_02物料!$H$4:$H$1203,$AE13-1200)=0,"",INDEX(对接源_02物料!$H$4:$H$1203,$AE13-1200))))</f>
        <v>18</v>
      </c>
      <c r="F13" s="46" t="str">
        <f aca="false">IF($AE13="","",IF($AE13&lt;=1200,IF(INDEX(对接源_01水果!$I$4:$I$1203,$AE13)=0,"",INDEX(对接源_01水果!$I$4:$I$1203,$AE13)),IF(INDEX(对接源_02物料!$I$4:$I$1203,$AE13-1200)=0,"",INDEX(对接源_02物料!$I$4:$I$1203,$AE13-1200))))</f>
        <v>筐</v>
      </c>
      <c r="G13" s="56" t="n">
        <f aca="false">IF($AE13="","",IF($AE13&lt;=1200,IF(INDEX(对接源_01水果!$J$4:$J$1203,$AE13)=0,"",INDEX(对接源_01水果!$J$4:$J$1203,$AE13)),IF(INDEX(对接源_02物料!$J$4:$J$1203,$AE13-1200)=0,"",INDEX(对接源_02物料!$J$4:$J$1203,$AE13-1200))))</f>
        <v>311.4</v>
      </c>
      <c r="H13" s="46" t="str">
        <f aca="false">IF($AE13="","",IF($AE13&lt;=1200,IF(INDEX(对接源_01水果!$W$4:$W$1203,$AE13)=0,"",INDEX(对接源_01水果!$W$4:$W$1203,$AE13)),IF(INDEX(对接源_02物料!$W$4:$W$1203,$AE13-1200)=0,"",INDEX(对接源_02物料!$W$4:$W$1203,$AE13-1200))))</f>
        <v>豫L*88X19</v>
      </c>
      <c r="I13" s="46" t="str">
        <f aca="false">IF($AE13="","",IF($AE13&lt;=1200,IF(INDEX(对接源_01水果!$C$4:$C$1203,$AE13)=0,"",INDEX(对接源_01水果!$C$4:$C$1203,$AE13)),IF(INDEX(对接源_02物料!$C$4:$C$1203,$AE13-1200)=0,"",INDEX(对接源_02物料!$C$4:$C$1203,$AE13-1200))))</f>
        <v>王照雪</v>
      </c>
      <c r="J13" s="47" t="str">
        <f aca="false"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L13" s="59" t="str">
        <f aca="false">IFERROR(INDEX($D$6:$D$125,MATCH(2,AK$6:AK$125,0)),"")</f>
        <v>华硕二级</v>
      </c>
      <c r="M13" s="60" t="n">
        <f aca="false">IF($L13="","",SUMIF($D$6:$D$125,$L13,$E$6:$E$125))</f>
        <v>329</v>
      </c>
      <c r="N13" s="61" t="n">
        <f aca="false">IF($L13="","",ROUND(SUMIF($D$6:$D$125,$L13,$G$6:$G$125),2))</f>
        <v>5362.7</v>
      </c>
      <c r="AE13" s="44" t="n">
        <f aca="false">IFERROR(MATCH(8,_自动清单!$AA$4:$AA$2403,0),"")</f>
        <v>36</v>
      </c>
      <c r="AI13" s="44" t="str">
        <f aca="false">IF($D13="","",$D13)</f>
        <v>华硕高次</v>
      </c>
      <c r="AJ13" s="44" t="n">
        <f aca="false">IF(AI13="",0,IF(MATCH(AI13,AI$6:AI$125,0)=8,1,0))</f>
        <v>0</v>
      </c>
      <c r="AK13" s="44" t="n">
        <f aca="false">N(AK12)+AJ13</f>
        <v>4</v>
      </c>
    </row>
    <row r="14" customFormat="false" ht="18" hidden="false" customHeight="true" outlineLevel="0" collapsed="false">
      <c r="A14" s="40" t="n">
        <f aca="false">IF($AE14="","",IF($AE14&lt;=1200,IF(INDEX(对接源_01水果!$B$4:$B$1203,$AE14)=0,"",INDEX(对接源_01水果!$B$4:$B$1203,$AE14)),IF(INDEX(对接源_02物料!$B$4:$B$1203,$AE14-1200)=0,"",INDEX(对接源_02物料!$B$4:$B$1203,$AE14-1200))))</f>
        <v>46258</v>
      </c>
      <c r="B14" s="41" t="str">
        <f aca="false">IF($AE14="","",IF($AE14&lt;=1200,IF(INDEX(对接源_01水果!$E$4:$E$1203,$AE14)=0,"",INDEX(对接源_01水果!$E$4:$E$1203,$AE14)),IF(INDEX(对接源_02物料!$E$4:$E$1203,$AE14-1200)=0,"",INDEX(对接源_02物料!$E$4:$E$1203,$AE14-1200))))</f>
        <v>NO0000721</v>
      </c>
      <c r="C14" s="41" t="str">
        <f aca="false">IF($AE14="","",IF($AE14&lt;=1200,IF(INDEX(对接源_01水果!$F$4:$F$1203,$AE14)=0,"",INDEX(对接源_01水果!$F$4:$F$1203,$AE14)),IF(INDEX(对接源_02物料!$F$4:$F$1203,$AE14-1200)=0,"",INDEX(对接源_02物料!$F$4:$F$1203,$AE14-1200))))</f>
        <v>苹果</v>
      </c>
      <c r="D14" s="41" t="str">
        <f aca="false">IF($AE14="","",IF($AE14&lt;=1200,IF(INDEX(对接源_01水果!$G$4:$G$1203,$AE14)=0,"",INDEX(对接源_01水果!$G$4:$G$1203,$AE14)),IF(INDEX(对接源_02物料!$G$4:$G$1203,$AE14-1200)=0,"",INDEX(对接源_02物料!$G$4:$G$1203,$AE14-1200))))</f>
        <v>华硕一级</v>
      </c>
      <c r="E14" s="43" t="n">
        <f aca="false">IF($AE14="","",IF($AE14&lt;=1200,IF(INDEX(对接源_01水果!$H$4:$H$1203,$AE14)=0,"",INDEX(对接源_01水果!$H$4:$H$1203,$AE14)),IF(INDEX(对接源_02物料!$H$4:$H$1203,$AE14-1200)=0,"",INDEX(对接源_02物料!$H$4:$H$1203,$AE14-1200))))</f>
        <v>136</v>
      </c>
      <c r="F14" s="41" t="str">
        <f aca="false">IF($AE14="","",IF($AE14&lt;=1200,IF(INDEX(对接源_01水果!$I$4:$I$1203,$AE14)=0,"",INDEX(对接源_01水果!$I$4:$I$1203,$AE14)),IF(INDEX(对接源_02物料!$I$4:$I$1203,$AE14-1200)=0,"",INDEX(对接源_02物料!$I$4:$I$1203,$AE14-1200))))</f>
        <v>筐</v>
      </c>
      <c r="G14" s="55" t="n">
        <f aca="false">IF($AE14="","",IF($AE14&lt;=1200,IF(INDEX(对接源_01水果!$J$4:$J$1203,$AE14)=0,"",INDEX(对接源_01水果!$J$4:$J$1203,$AE14)),IF(INDEX(对接源_02物料!$J$4:$J$1203,$AE14-1200)=0,"",INDEX(对接源_02物料!$J$4:$J$1203,$AE14-1200))))</f>
        <v>2352.8</v>
      </c>
      <c r="H14" s="41" t="str">
        <f aca="false">IF($AE14="","",IF($AE14&lt;=1200,IF(INDEX(对接源_01水果!$W$4:$W$1203,$AE14)=0,"",INDEX(对接源_01水果!$W$4:$W$1203,$AE14)),IF(INDEX(对接源_02物料!$W$4:$W$1203,$AE14-1200)=0,"",INDEX(对接源_02物料!$W$4:$W$1203,$AE14-1200))))</f>
        <v>豫L*88X19</v>
      </c>
      <c r="I14" s="41" t="str">
        <f aca="false">IF($AE14="","",IF($AE14&lt;=1200,IF(INDEX(对接源_01水果!$C$4:$C$1203,$AE14)=0,"",INDEX(对接源_01水果!$C$4:$C$1203,$AE14)),IF(INDEX(对接源_02物料!$C$4:$C$1203,$AE14-1200)=0,"",INDEX(对接源_02物料!$C$4:$C$1203,$AE14-1200))))</f>
        <v>王照雪</v>
      </c>
      <c r="J14" s="42" t="str">
        <f aca="false"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L14" s="59" t="str">
        <f aca="false">IFERROR(INDEX($D$6:$D$125,MATCH(3,AK$6:AK$125,0)),"")</f>
        <v>华硕高次</v>
      </c>
      <c r="M14" s="60" t="n">
        <f aca="false">IF($L14="","",SUMIF($D$6:$D$125,$L14,$E$6:$E$125))</f>
        <v>174</v>
      </c>
      <c r="N14" s="61" t="n">
        <f aca="false">IF($L14="","",ROUND(SUMIF($D$6:$D$125,$L14,$G$6:$G$125),2))</f>
        <v>3010.2</v>
      </c>
      <c r="AE14" s="44" t="n">
        <f aca="false">IFERROR(MATCH(9,_自动清单!$AA$4:$AA$2403,0),"")</f>
        <v>43</v>
      </c>
      <c r="AI14" s="44" t="str">
        <f aca="false">IF($D14="","",$D14)</f>
        <v>华硕一级</v>
      </c>
      <c r="AJ14" s="44" t="n">
        <f aca="false">IF(AI14="",0,IF(MATCH(AI14,AI$6:AI$125,0)=9,1,0))</f>
        <v>0</v>
      </c>
      <c r="AK14" s="44" t="n">
        <f aca="false">N(AK13)+AJ14</f>
        <v>4</v>
      </c>
    </row>
    <row r="15" customFormat="false" ht="18" hidden="false" customHeight="true" outlineLevel="0" collapsed="false">
      <c r="A15" s="45" t="n">
        <f aca="false">IF($AE15="","",IF($AE15&lt;=1200,IF(INDEX(对接源_01水果!$B$4:$B$1203,$AE15)=0,"",INDEX(对接源_01水果!$B$4:$B$1203,$AE15)),IF(INDEX(对接源_02物料!$B$4:$B$1203,$AE15-1200)=0,"",INDEX(对接源_02物料!$B$4:$B$1203,$AE15-1200))))</f>
        <v>46258</v>
      </c>
      <c r="B15" s="46" t="str">
        <f aca="false">IF($AE15="","",IF($AE15&lt;=1200,IF(INDEX(对接源_01水果!$E$4:$E$1203,$AE15)=0,"",INDEX(对接源_01水果!$E$4:$E$1203,$AE15)),IF(INDEX(对接源_02物料!$E$4:$E$1203,$AE15-1200)=0,"",INDEX(对接源_02物料!$E$4:$E$1203,$AE15-1200))))</f>
        <v>NO0000721</v>
      </c>
      <c r="C15" s="46" t="str">
        <f aca="false">IF($AE15="","",IF($AE15&lt;=1200,IF(INDEX(对接源_01水果!$F$4:$F$1203,$AE15)=0,"",INDEX(对接源_01水果!$F$4:$F$1203,$AE15)),IF(INDEX(对接源_02物料!$F$4:$F$1203,$AE15-1200)=0,"",INDEX(对接源_02物料!$F$4:$F$1203,$AE15-1200))))</f>
        <v>苹果</v>
      </c>
      <c r="D15" s="46" t="str">
        <f aca="false">IF($AE15="","",IF($AE15&lt;=1200,IF(INDEX(对接源_01水果!$G$4:$G$1203,$AE15)=0,"",INDEX(对接源_01水果!$G$4:$G$1203,$AE15)),IF(INDEX(对接源_02物料!$G$4:$G$1203,$AE15-1200)=0,"",INDEX(对接源_02物料!$G$4:$G$1203,$AE15-1200))))</f>
        <v>华硕二级</v>
      </c>
      <c r="E15" s="48" t="n">
        <f aca="false">IF($AE15="","",IF($AE15&lt;=1200,IF(INDEX(对接源_01水果!$H$4:$H$1203,$AE15)=0,"",INDEX(对接源_01水果!$H$4:$H$1203,$AE15)),IF(INDEX(对接源_02物料!$H$4:$H$1203,$AE15-1200)=0,"",INDEX(对接源_02物料!$H$4:$H$1203,$AE15-1200))))</f>
        <v>66</v>
      </c>
      <c r="F15" s="46" t="str">
        <f aca="false">IF($AE15="","",IF($AE15&lt;=1200,IF(INDEX(对接源_01水果!$I$4:$I$1203,$AE15)=0,"",INDEX(对接源_01水果!$I$4:$I$1203,$AE15)),IF(INDEX(对接源_02物料!$I$4:$I$1203,$AE15-1200)=0,"",INDEX(对接源_02物料!$I$4:$I$1203,$AE15-1200))))</f>
        <v>筐</v>
      </c>
      <c r="G15" s="56" t="n">
        <f aca="false">IF($AE15="","",IF($AE15&lt;=1200,IF(INDEX(对接源_01水果!$J$4:$J$1203,$AE15)=0,"",INDEX(对接源_01水果!$J$4:$J$1203,$AE15)),IF(INDEX(对接源_02物料!$J$4:$J$1203,$AE15-1200)=0,"",INDEX(对接源_02物料!$J$4:$J$1203,$AE15-1200))))</f>
        <v>1075.8</v>
      </c>
      <c r="H15" s="46" t="str">
        <f aca="false">IF($AE15="","",IF($AE15&lt;=1200,IF(INDEX(对接源_01水果!$W$4:$W$1203,$AE15)=0,"",INDEX(对接源_01水果!$W$4:$W$1203,$AE15)),IF(INDEX(对接源_02物料!$W$4:$W$1203,$AE15-1200)=0,"",INDEX(对接源_02物料!$W$4:$W$1203,$AE15-1200))))</f>
        <v>豫L*88X19</v>
      </c>
      <c r="I15" s="46" t="str">
        <f aca="false">IF($AE15="","",IF($AE15&lt;=1200,IF(INDEX(对接源_01水果!$C$4:$C$1203,$AE15)=0,"",INDEX(对接源_01水果!$C$4:$C$1203,$AE15)),IF(INDEX(对接源_02物料!$C$4:$C$1203,$AE15-1200)=0,"",INDEX(对接源_02物料!$C$4:$C$1203,$AE15-1200))))</f>
        <v>王照雪</v>
      </c>
      <c r="J15" s="47" t="str">
        <f aca="false"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L15" s="59" t="str">
        <f aca="false">IFERROR(INDEX($D$6:$D$125,MATCH(4,AK$6:AK$125,0)),"")</f>
        <v>樱桃李</v>
      </c>
      <c r="M15" s="60" t="n">
        <f aca="false">IF($L15="","",SUMIF($D$6:$D$125,$L15,$E$6:$E$125))</f>
        <v>422</v>
      </c>
      <c r="N15" s="61" t="n">
        <f aca="false">IF($L15="","",ROUND(SUMIF($D$6:$D$125,$L15,$G$6:$G$125),2))</f>
        <v>6878.6</v>
      </c>
      <c r="AE15" s="44" t="n">
        <f aca="false">IFERROR(MATCH(10,_自动清单!$AA$4:$AA$2403,0),"")</f>
        <v>44</v>
      </c>
      <c r="AI15" s="44" t="str">
        <f aca="false">IF($D15="","",$D15)</f>
        <v>华硕二级</v>
      </c>
      <c r="AJ15" s="44" t="n">
        <f aca="false">IF(AI15="",0,IF(MATCH(AI15,AI$6:AI$125,0)=10,1,0))</f>
        <v>0</v>
      </c>
      <c r="AK15" s="44" t="n">
        <f aca="false">N(AK14)+AJ15</f>
        <v>4</v>
      </c>
    </row>
    <row r="16" customFormat="false" ht="18" hidden="false" customHeight="true" outlineLevel="0" collapsed="false">
      <c r="A16" s="40" t="n">
        <f aca="false">IF($AE16="","",IF($AE16&lt;=1200,IF(INDEX(对接源_01水果!$B$4:$B$1203,$AE16)=0,"",INDEX(对接源_01水果!$B$4:$B$1203,$AE16)),IF(INDEX(对接源_02物料!$B$4:$B$1203,$AE16-1200)=0,"",INDEX(对接源_02物料!$B$4:$B$1203,$AE16-1200))))</f>
        <v>46258</v>
      </c>
      <c r="B16" s="41" t="str">
        <f aca="false">IF($AE16="","",IF($AE16&lt;=1200,IF(INDEX(对接源_01水果!$E$4:$E$1203,$AE16)=0,"",INDEX(对接源_01水果!$E$4:$E$1203,$AE16)),IF(INDEX(对接源_02物料!$E$4:$E$1203,$AE16-1200)=0,"",INDEX(对接源_02物料!$E$4:$E$1203,$AE16-1200))))</f>
        <v>NO0000721</v>
      </c>
      <c r="C16" s="41" t="str">
        <f aca="false">IF($AE16="","",IF($AE16&lt;=1200,IF(INDEX(对接源_01水果!$F$4:$F$1203,$AE16)=0,"",INDEX(对接源_01水果!$F$4:$F$1203,$AE16)),IF(INDEX(对接源_02物料!$F$4:$F$1203,$AE16-1200)=0,"",INDEX(对接源_02物料!$F$4:$F$1203,$AE16-1200))))</f>
        <v>苹果</v>
      </c>
      <c r="D16" s="41" t="str">
        <f aca="false">IF($AE16="","",IF($AE16&lt;=1200,IF(INDEX(对接源_01水果!$G$4:$G$1203,$AE16)=0,"",INDEX(对接源_01水果!$G$4:$G$1203,$AE16)),IF(INDEX(对接源_02物料!$G$4:$G$1203,$AE16-1200)=0,"",INDEX(对接源_02物料!$G$4:$G$1203,$AE16-1200))))</f>
        <v>华硕高次</v>
      </c>
      <c r="E16" s="43" t="n">
        <f aca="false">IF($AE16="","",IF($AE16&lt;=1200,IF(INDEX(对接源_01水果!$H$4:$H$1203,$AE16)=0,"",INDEX(对接源_01水果!$H$4:$H$1203,$AE16)),IF(INDEX(对接源_02物料!$H$4:$H$1203,$AE16-1200)=0,"",INDEX(对接源_02物料!$H$4:$H$1203,$AE16-1200))))</f>
        <v>48</v>
      </c>
      <c r="F16" s="41" t="str">
        <f aca="false">IF($AE16="","",IF($AE16&lt;=1200,IF(INDEX(对接源_01水果!$I$4:$I$1203,$AE16)=0,"",INDEX(对接源_01水果!$I$4:$I$1203,$AE16)),IF(INDEX(对接源_02物料!$I$4:$I$1203,$AE16-1200)=0,"",INDEX(对接源_02物料!$I$4:$I$1203,$AE16-1200))))</f>
        <v>筐</v>
      </c>
      <c r="G16" s="55" t="n">
        <f aca="false">IF($AE16="","",IF($AE16&lt;=1200,IF(INDEX(对接源_01水果!$J$4:$J$1203,$AE16)=0,"",INDEX(对接源_01水果!$J$4:$J$1203,$AE16)),IF(INDEX(对接源_02物料!$J$4:$J$1203,$AE16-1200)=0,"",INDEX(对接源_02物料!$J$4:$J$1203,$AE16-1200))))</f>
        <v>830.4</v>
      </c>
      <c r="H16" s="41" t="str">
        <f aca="false">IF($AE16="","",IF($AE16&lt;=1200,IF(INDEX(对接源_01水果!$W$4:$W$1203,$AE16)=0,"",INDEX(对接源_01水果!$W$4:$W$1203,$AE16)),IF(INDEX(对接源_02物料!$W$4:$W$1203,$AE16-1200)=0,"",INDEX(对接源_02物料!$W$4:$W$1203,$AE16-1200))))</f>
        <v>豫L*88X19</v>
      </c>
      <c r="I16" s="41" t="str">
        <f aca="false">IF($AE16="","",IF($AE16&lt;=1200,IF(INDEX(对接源_01水果!$C$4:$C$1203,$AE16)=0,"",INDEX(对接源_01水果!$C$4:$C$1203,$AE16)),IF(INDEX(对接源_02物料!$C$4:$C$1203,$AE16-1200)=0,"",INDEX(对接源_02物料!$C$4:$C$1203,$AE16-1200))))</f>
        <v>王照雪</v>
      </c>
      <c r="J16" s="42" t="str">
        <f aca="false"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L16" s="59" t="str">
        <f aca="false">IFERROR(INDEX($D$6:$D$125,MATCH(5,AK$6:AK$125,0)),"")</f>
        <v>香梨一级</v>
      </c>
      <c r="M16" s="60" t="n">
        <f aca="false">IF($L16="","",SUMIF($D$6:$D$125,$L16,$E$6:$E$125))</f>
        <v>295</v>
      </c>
      <c r="N16" s="61" t="n">
        <f aca="false">IF($L16="","",ROUND(SUMIF($D$6:$D$125,$L16,$G$6:$G$125),2))</f>
        <v>5457.5</v>
      </c>
      <c r="AE16" s="44" t="n">
        <f aca="false">IFERROR(MATCH(11,_自动清单!$AA$4:$AA$2403,0),"")</f>
        <v>45</v>
      </c>
      <c r="AI16" s="44" t="str">
        <f aca="false">IF($D16="","",$D16)</f>
        <v>华硕高次</v>
      </c>
      <c r="AJ16" s="44" t="n">
        <f aca="false">IF(AI16="",0,IF(MATCH(AI16,AI$6:AI$125,0)=11,1,0))</f>
        <v>0</v>
      </c>
      <c r="AK16" s="44" t="n">
        <f aca="false">N(AK15)+AJ16</f>
        <v>4</v>
      </c>
    </row>
    <row r="17" customFormat="false" ht="18" hidden="false" customHeight="true" outlineLevel="0" collapsed="false">
      <c r="A17" s="45" t="n">
        <f aca="false">IF($AE17="","",IF($AE17&lt;=1200,IF(INDEX(对接源_01水果!$B$4:$B$1203,$AE17)=0,"",INDEX(对接源_01水果!$B$4:$B$1203,$AE17)),IF(INDEX(对接源_02物料!$B$4:$B$1203,$AE17-1200)=0,"",INDEX(对接源_02物料!$B$4:$B$1203,$AE17-1200))))</f>
        <v>46260</v>
      </c>
      <c r="B17" s="46" t="str">
        <f aca="false">IF($AE17="","",IF($AE17&lt;=1200,IF(INDEX(对接源_01水果!$E$4:$E$1203,$AE17)=0,"",INDEX(对接源_01水果!$E$4:$E$1203,$AE17)),IF(INDEX(对接源_02物料!$E$4:$E$1203,$AE17-1200)=0,"",INDEX(对接源_02物料!$E$4:$E$1203,$AE17-1200))))</f>
        <v>NO0000732</v>
      </c>
      <c r="C17" s="46" t="str">
        <f aca="false">IF($AE17="","",IF($AE17&lt;=1200,IF(INDEX(对接源_01水果!$F$4:$F$1203,$AE17)=0,"",INDEX(对接源_01水果!$F$4:$F$1203,$AE17)),IF(INDEX(对接源_02物料!$F$4:$F$1203,$AE17-1200)=0,"",INDEX(对接源_02物料!$F$4:$F$1203,$AE17-1200))))</f>
        <v>苹果</v>
      </c>
      <c r="D17" s="46" t="str">
        <f aca="false">IF($AE17="","",IF($AE17&lt;=1200,IF(INDEX(对接源_01水果!$G$4:$G$1203,$AE17)=0,"",INDEX(对接源_01水果!$G$4:$G$1203,$AE17)),IF(INDEX(对接源_02物料!$G$4:$G$1203,$AE17-1200)=0,"",INDEX(对接源_02物料!$G$4:$G$1203,$AE17-1200))))</f>
        <v>华硕一级</v>
      </c>
      <c r="E17" s="48" t="n">
        <f aca="false">IF($AE17="","",IF($AE17&lt;=1200,IF(INDEX(对接源_01水果!$H$4:$H$1203,$AE17)=0,"",INDEX(对接源_01水果!$H$4:$H$1203,$AE17)),IF(INDEX(对接源_02物料!$H$4:$H$1203,$AE17-1200)=0,"",INDEX(对接源_02物料!$H$4:$H$1203,$AE17-1200))))</f>
        <v>174</v>
      </c>
      <c r="F17" s="46" t="str">
        <f aca="false">IF($AE17="","",IF($AE17&lt;=1200,IF(INDEX(对接源_01水果!$I$4:$I$1203,$AE17)=0,"",INDEX(对接源_01水果!$I$4:$I$1203,$AE17)),IF(INDEX(对接源_02物料!$I$4:$I$1203,$AE17-1200)=0,"",INDEX(对接源_02物料!$I$4:$I$1203,$AE17-1200))))</f>
        <v>筐</v>
      </c>
      <c r="G17" s="56" t="n">
        <f aca="false">IF($AE17="","",IF($AE17&lt;=1200,IF(INDEX(对接源_01水果!$J$4:$J$1203,$AE17)=0,"",INDEX(对接源_01水果!$J$4:$J$1203,$AE17)),IF(INDEX(对接源_02物料!$J$4:$J$1203,$AE17-1200)=0,"",INDEX(对接源_02物料!$J$4:$J$1203,$AE17-1200))))</f>
        <v>3010.2</v>
      </c>
      <c r="H17" s="46" t="str">
        <f aca="false">IF($AE17="","",IF($AE17&lt;=1200,IF(INDEX(对接源_01水果!$W$4:$W$1203,$AE17)=0,"",INDEX(对接源_01水果!$W$4:$W$1203,$AE17)),IF(INDEX(对接源_02物料!$W$4:$W$1203,$AE17-1200)=0,"",INDEX(对接源_02物料!$W$4:$W$1203,$AE17-1200))))</f>
        <v>豫L*88X19</v>
      </c>
      <c r="I17" s="46" t="str">
        <f aca="false">IF($AE17="","",IF($AE17&lt;=1200,IF(INDEX(对接源_01水果!$C$4:$C$1203,$AE17)=0,"",INDEX(对接源_01水果!$C$4:$C$1203,$AE17)),IF(INDEX(对接源_02物料!$C$4:$C$1203,$AE17-1200)=0,"",INDEX(对接源_02物料!$C$4:$C$1203,$AE17-1200))))</f>
        <v>王照雪</v>
      </c>
      <c r="J17" s="47" t="str">
        <f aca="false"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L17" s="59" t="str">
        <f aca="false">IFERROR(INDEX($D$6:$D$125,MATCH(6,AK$6:AK$125,0)),"")</f>
        <v>香梨副特</v>
      </c>
      <c r="M17" s="60" t="n">
        <f aca="false">IF($L17="","",SUMIF($D$6:$D$125,$L17,$E$6:$E$125))</f>
        <v>222</v>
      </c>
      <c r="N17" s="61" t="n">
        <f aca="false">IF($L17="","",ROUND(SUMIF($D$6:$D$125,$L17,$G$6:$G$125),2))</f>
        <v>4107</v>
      </c>
      <c r="AE17" s="44" t="n">
        <f aca="false">IFERROR(MATCH(12,_自动清单!$AA$4:$AA$2403,0),"")</f>
        <v>49</v>
      </c>
      <c r="AI17" s="44" t="str">
        <f aca="false">IF($D17="","",$D17)</f>
        <v>华硕一级</v>
      </c>
      <c r="AJ17" s="44" t="n">
        <f aca="false">IF(AI17="",0,IF(MATCH(AI17,AI$6:AI$125,0)=12,1,0))</f>
        <v>0</v>
      </c>
      <c r="AK17" s="44" t="n">
        <f aca="false">N(AK16)+AJ17</f>
        <v>4</v>
      </c>
    </row>
    <row r="18" customFormat="false" ht="18" hidden="false" customHeight="true" outlineLevel="0" collapsed="false">
      <c r="A18" s="40" t="n">
        <f aca="false">IF($AE18="","",IF($AE18&lt;=1200,IF(INDEX(对接源_01水果!$B$4:$B$1203,$AE18)=0,"",INDEX(对接源_01水果!$B$4:$B$1203,$AE18)),IF(INDEX(对接源_02物料!$B$4:$B$1203,$AE18-1200)=0,"",INDEX(对接源_02物料!$B$4:$B$1203,$AE18-1200))))</f>
        <v>46260</v>
      </c>
      <c r="B18" s="41" t="str">
        <f aca="false">IF($AE18="","",IF($AE18&lt;=1200,IF(INDEX(对接源_01水果!$E$4:$E$1203,$AE18)=0,"",INDEX(对接源_01水果!$E$4:$E$1203,$AE18)),IF(INDEX(对接源_02物料!$E$4:$E$1203,$AE18-1200)=0,"",INDEX(对接源_02物料!$E$4:$E$1203,$AE18-1200))))</f>
        <v>NO0000732</v>
      </c>
      <c r="C18" s="41" t="str">
        <f aca="false">IF($AE18="","",IF($AE18&lt;=1200,IF(INDEX(对接源_01水果!$F$4:$F$1203,$AE18)=0,"",INDEX(对接源_01水果!$F$4:$F$1203,$AE18)),IF(INDEX(对接源_02物料!$F$4:$F$1203,$AE18-1200)=0,"",INDEX(对接源_02物料!$F$4:$F$1203,$AE18-1200))))</f>
        <v>苹果</v>
      </c>
      <c r="D18" s="41" t="str">
        <f aca="false">IF($AE18="","",IF($AE18&lt;=1200,IF(INDEX(对接源_01水果!$G$4:$G$1203,$AE18)=0,"",INDEX(对接源_01水果!$G$4:$G$1203,$AE18)),IF(INDEX(对接源_02物料!$G$4:$G$1203,$AE18-1200)=0,"",INDEX(对接源_02物料!$G$4:$G$1203,$AE18-1200))))</f>
        <v>华硕二级</v>
      </c>
      <c r="E18" s="43" t="n">
        <f aca="false">IF($AE18="","",IF($AE18&lt;=1200,IF(INDEX(对接源_01水果!$H$4:$H$1203,$AE18)=0,"",INDEX(对接源_01水果!$H$4:$H$1203,$AE18)),IF(INDEX(对接源_02物料!$H$4:$H$1203,$AE18-1200)=0,"",INDEX(对接源_02物料!$H$4:$H$1203,$AE18-1200))))</f>
        <v>88</v>
      </c>
      <c r="F18" s="41" t="str">
        <f aca="false">IF($AE18="","",IF($AE18&lt;=1200,IF(INDEX(对接源_01水果!$I$4:$I$1203,$AE18)=0,"",INDEX(对接源_01水果!$I$4:$I$1203,$AE18)),IF(INDEX(对接源_02物料!$I$4:$I$1203,$AE18-1200)=0,"",INDEX(对接源_02物料!$I$4:$I$1203,$AE18-1200))))</f>
        <v>筐</v>
      </c>
      <c r="G18" s="55" t="n">
        <f aca="false">IF($AE18="","",IF($AE18&lt;=1200,IF(INDEX(对接源_01水果!$J$4:$J$1203,$AE18)=0,"",INDEX(对接源_01水果!$J$4:$J$1203,$AE18)),IF(INDEX(对接源_02物料!$J$4:$J$1203,$AE18-1200)=0,"",INDEX(对接源_02物料!$J$4:$J$1203,$AE18-1200))))</f>
        <v>1434.4</v>
      </c>
      <c r="H18" s="41" t="str">
        <f aca="false">IF($AE18="","",IF($AE18&lt;=1200,IF(INDEX(对接源_01水果!$W$4:$W$1203,$AE18)=0,"",INDEX(对接源_01水果!$W$4:$W$1203,$AE18)),IF(INDEX(对接源_02物料!$W$4:$W$1203,$AE18-1200)=0,"",INDEX(对接源_02物料!$W$4:$W$1203,$AE18-1200))))</f>
        <v>豫L*88X19</v>
      </c>
      <c r="I18" s="41" t="str">
        <f aca="false">IF($AE18="","",IF($AE18&lt;=1200,IF(INDEX(对接源_01水果!$C$4:$C$1203,$AE18)=0,"",INDEX(对接源_01水果!$C$4:$C$1203,$AE18)),IF(INDEX(对接源_02物料!$C$4:$C$1203,$AE18-1200)=0,"",INDEX(对接源_02物料!$C$4:$C$1203,$AE18-1200))))</f>
        <v>王照雪</v>
      </c>
      <c r="J18" s="42" t="str">
        <f aca="false"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L18" s="59" t="str">
        <f aca="false">IFERROR(INDEX($D$6:$D$125,MATCH(7,AK$6:AK$125,0)),"")</f>
        <v>香梨二级</v>
      </c>
      <c r="M18" s="60" t="n">
        <f aca="false">IF($L18="","",SUMIF($D$6:$D$125,$L18,$E$6:$E$125))</f>
        <v>26</v>
      </c>
      <c r="N18" s="61" t="n">
        <f aca="false">IF($L18="","",ROUND(SUMIF($D$6:$D$125,$L18,$G$6:$G$125),2))</f>
        <v>585</v>
      </c>
      <c r="AE18" s="44" t="n">
        <f aca="false">IFERROR(MATCH(13,_自动清单!$AA$4:$AA$2403,0),"")</f>
        <v>50</v>
      </c>
      <c r="AI18" s="44" t="str">
        <f aca="false">IF($D18="","",$D18)</f>
        <v>华硕二级</v>
      </c>
      <c r="AJ18" s="44" t="n">
        <f aca="false">IF(AI18="",0,IF(MATCH(AI18,AI$6:AI$125,0)=13,1,0))</f>
        <v>0</v>
      </c>
      <c r="AK18" s="44" t="n">
        <f aca="false">N(AK17)+AJ18</f>
        <v>4</v>
      </c>
    </row>
    <row r="19" customFormat="false" ht="18" hidden="false" customHeight="true" outlineLevel="0" collapsed="false">
      <c r="A19" s="45" t="n">
        <f aca="false">IF($AE19="","",IF($AE19&lt;=1200,IF(INDEX(对接源_01水果!$B$4:$B$1203,$AE19)=0,"",INDEX(对接源_01水果!$B$4:$B$1203,$AE19)),IF(INDEX(对接源_02物料!$B$4:$B$1203,$AE19-1200)=0,"",INDEX(对接源_02物料!$B$4:$B$1203,$AE19-1200))))</f>
        <v>46260</v>
      </c>
      <c r="B19" s="46" t="str">
        <f aca="false">IF($AE19="","",IF($AE19&lt;=1200,IF(INDEX(对接源_01水果!$E$4:$E$1203,$AE19)=0,"",INDEX(对接源_01水果!$E$4:$E$1203,$AE19)),IF(INDEX(对接源_02物料!$E$4:$E$1203,$AE19-1200)=0,"",INDEX(对接源_02物料!$E$4:$E$1203,$AE19-1200))))</f>
        <v>NO0000732</v>
      </c>
      <c r="C19" s="46" t="str">
        <f aca="false">IF($AE19="","",IF($AE19&lt;=1200,IF(INDEX(对接源_01水果!$F$4:$F$1203,$AE19)=0,"",INDEX(对接源_01水果!$F$4:$F$1203,$AE19)),IF(INDEX(对接源_02物料!$F$4:$F$1203,$AE19-1200)=0,"",INDEX(对接源_02物料!$F$4:$F$1203,$AE19-1200))))</f>
        <v>苹果</v>
      </c>
      <c r="D19" s="46" t="str">
        <f aca="false">IF($AE19="","",IF($AE19&lt;=1200,IF(INDEX(对接源_01水果!$G$4:$G$1203,$AE19)=0,"",INDEX(对接源_01水果!$G$4:$G$1203,$AE19)),IF(INDEX(对接源_02物料!$G$4:$G$1203,$AE19-1200)=0,"",INDEX(对接源_02物料!$G$4:$G$1203,$AE19-1200))))</f>
        <v>华硕高次</v>
      </c>
      <c r="E19" s="48" t="n">
        <f aca="false">IF($AE19="","",IF($AE19&lt;=1200,IF(INDEX(对接源_01水果!$H$4:$H$1203,$AE19)=0,"",INDEX(对接源_01水果!$H$4:$H$1203,$AE19)),IF(INDEX(对接源_02物料!$H$4:$H$1203,$AE19-1200)=0,"",INDEX(对接源_02物料!$H$4:$H$1203,$AE19-1200))))</f>
        <v>64</v>
      </c>
      <c r="F19" s="46" t="str">
        <f aca="false">IF($AE19="","",IF($AE19&lt;=1200,IF(INDEX(对接源_01水果!$I$4:$I$1203,$AE19)=0,"",INDEX(对接源_01水果!$I$4:$I$1203,$AE19)),IF(INDEX(对接源_02物料!$I$4:$I$1203,$AE19-1200)=0,"",INDEX(对接源_02物料!$I$4:$I$1203,$AE19-1200))))</f>
        <v>筐</v>
      </c>
      <c r="G19" s="56" t="n">
        <f aca="false">IF($AE19="","",IF($AE19&lt;=1200,IF(INDEX(对接源_01水果!$J$4:$J$1203,$AE19)=0,"",INDEX(对接源_01水果!$J$4:$J$1203,$AE19)),IF(INDEX(对接源_02物料!$J$4:$J$1203,$AE19-1200)=0,"",INDEX(对接源_02物料!$J$4:$J$1203,$AE19-1200))))</f>
        <v>1107.2</v>
      </c>
      <c r="H19" s="46" t="str">
        <f aca="false">IF($AE19="","",IF($AE19&lt;=1200,IF(INDEX(对接源_01水果!$W$4:$W$1203,$AE19)=0,"",INDEX(对接源_01水果!$W$4:$W$1203,$AE19)),IF(INDEX(对接源_02物料!$W$4:$W$1203,$AE19-1200)=0,"",INDEX(对接源_02物料!$W$4:$W$1203,$AE19-1200))))</f>
        <v>豫L*88X19</v>
      </c>
      <c r="I19" s="46" t="str">
        <f aca="false">IF($AE19="","",IF($AE19&lt;=1200,IF(INDEX(对接源_01水果!$C$4:$C$1203,$AE19)=0,"",INDEX(对接源_01水果!$C$4:$C$1203,$AE19)),IF(INDEX(对接源_02物料!$C$4:$C$1203,$AE19-1200)=0,"",INDEX(对接源_02物料!$C$4:$C$1203,$AE19-1200))))</f>
        <v>王照雪</v>
      </c>
      <c r="J19" s="47" t="str">
        <f aca="false"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L19" s="59" t="str">
        <f aca="false">IFERROR(INDEX($D$6:$D$125,MATCH(8,AK$6:AK$125,0)),"")</f>
        <v>新世纪一级</v>
      </c>
      <c r="M19" s="60" t="n">
        <f aca="false">IF($L19="","",SUMIF($D$6:$D$125,$L19,$E$6:$E$125))</f>
        <v>292</v>
      </c>
      <c r="N19" s="61" t="n">
        <f aca="false">IF($L19="","",ROUND(SUMIF($D$6:$D$125,$L19,$G$6:$G$125),2))</f>
        <v>5051.6</v>
      </c>
      <c r="AE19" s="44" t="n">
        <f aca="false">IFERROR(MATCH(14,_自动清单!$AA$4:$AA$2403,0),"")</f>
        <v>51</v>
      </c>
      <c r="AI19" s="44" t="str">
        <f aca="false">IF($D19="","",$D19)</f>
        <v>华硕高次</v>
      </c>
      <c r="AJ19" s="44" t="n">
        <f aca="false">IF(AI19="",0,IF(MATCH(AI19,AI$6:AI$125,0)=14,1,0))</f>
        <v>0</v>
      </c>
      <c r="AK19" s="44" t="n">
        <f aca="false">N(AK18)+AJ19</f>
        <v>4</v>
      </c>
    </row>
    <row r="20" customFormat="false" ht="18" hidden="false" customHeight="true" outlineLevel="0" collapsed="false">
      <c r="A20" s="40" t="n">
        <f aca="false">IF($AE20="","",IF($AE20&lt;=1200,IF(INDEX(对接源_01水果!$B$4:$B$1203,$AE20)=0,"",INDEX(对接源_01水果!$B$4:$B$1203,$AE20)),IF(INDEX(对接源_02物料!$B$4:$B$1203,$AE20-1200)=0,"",INDEX(对接源_02物料!$B$4:$B$1203,$AE20-1200))))</f>
        <v>46262</v>
      </c>
      <c r="B20" s="41" t="str">
        <f aca="false">IF($AE20="","",IF($AE20&lt;=1200,IF(INDEX(对接源_01水果!$E$4:$E$1203,$AE20)=0,"",INDEX(对接源_01水果!$E$4:$E$1203,$AE20)),IF(INDEX(对接源_02物料!$E$4:$E$1203,$AE20-1200)=0,"",INDEX(对接源_02物料!$E$4:$E$1203,$AE20-1200))))</f>
        <v>NO0000739</v>
      </c>
      <c r="C20" s="41" t="str">
        <f aca="false">IF($AE20="","",IF($AE20&lt;=1200,IF(INDEX(对接源_01水果!$F$4:$F$1203,$AE20)=0,"",INDEX(对接源_01水果!$F$4:$F$1203,$AE20)),IF(INDEX(对接源_02物料!$F$4:$F$1203,$AE20-1200)=0,"",INDEX(对接源_02物料!$F$4:$F$1203,$AE20-1200))))</f>
        <v>苹果</v>
      </c>
      <c r="D20" s="41" t="str">
        <f aca="false">IF($AE20="","",IF($AE20&lt;=1200,IF(INDEX(对接源_01水果!$G$4:$G$1203,$AE20)=0,"",INDEX(对接源_01水果!$G$4:$G$1203,$AE20)),IF(INDEX(对接源_02物料!$G$4:$G$1203,$AE20-1200)=0,"",INDEX(对接源_02物料!$G$4:$G$1203,$AE20-1200))))</f>
        <v>华硕一级</v>
      </c>
      <c r="E20" s="43" t="n">
        <f aca="false">IF($AE20="","",IF($AE20&lt;=1200,IF(INDEX(对接源_01水果!$H$4:$H$1203,$AE20)=0,"",INDEX(对接源_01水果!$H$4:$H$1203,$AE20)),IF(INDEX(对接源_02物料!$H$4:$H$1203,$AE20-1200)=0,"",INDEX(对接源_02物料!$H$4:$H$1203,$AE20-1200))))</f>
        <v>103</v>
      </c>
      <c r="F20" s="41" t="str">
        <f aca="false">IF($AE20="","",IF($AE20&lt;=1200,IF(INDEX(对接源_01水果!$I$4:$I$1203,$AE20)=0,"",INDEX(对接源_01水果!$I$4:$I$1203,$AE20)),IF(INDEX(对接源_02物料!$I$4:$I$1203,$AE20-1200)=0,"",INDEX(对接源_02物料!$I$4:$I$1203,$AE20-1200))))</f>
        <v>筐</v>
      </c>
      <c r="G20" s="55" t="n">
        <f aca="false">IF($AE20="","",IF($AE20&lt;=1200,IF(INDEX(对接源_01水果!$J$4:$J$1203,$AE20)=0,"",INDEX(对接源_01水果!$J$4:$J$1203,$AE20)),IF(INDEX(对接源_02物料!$J$4:$J$1203,$AE20-1200)=0,"",INDEX(对接源_02物料!$J$4:$J$1203,$AE20-1200))))</f>
        <v>1781.9</v>
      </c>
      <c r="H20" s="41" t="str">
        <f aca="false">IF($AE20="","",IF($AE20&lt;=1200,IF(INDEX(对接源_01水果!$W$4:$W$1203,$AE20)=0,"",INDEX(对接源_01水果!$W$4:$W$1203,$AE20)),IF(INDEX(对接源_02物料!$W$4:$W$1203,$AE20-1200)=0,"",INDEX(对接源_02物料!$W$4:$W$1203,$AE20-1200))))</f>
        <v>豫L*88X19</v>
      </c>
      <c r="I20" s="41" t="str">
        <f aca="false">IF($AE20="","",IF($AE20&lt;=1200,IF(INDEX(对接源_01水果!$C$4:$C$1203,$AE20)=0,"",INDEX(对接源_01水果!$C$4:$C$1203,$AE20)),IF(INDEX(对接源_02物料!$C$4:$C$1203,$AE20-1200)=0,"",INDEX(对接源_02物料!$C$4:$C$1203,$AE20-1200))))</f>
        <v>王照雪</v>
      </c>
      <c r="J20" s="42" t="str">
        <f aca="false"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L20" s="59" t="str">
        <f aca="false">IFERROR(INDEX($D$6:$D$125,MATCH(9,AK$6:AK$125,0)),"")</f>
        <v>新世纪二级</v>
      </c>
      <c r="M20" s="60" t="n">
        <f aca="false">IF($L20="","",SUMIF($D$6:$D$125,$L20,$E$6:$E$125))</f>
        <v>132</v>
      </c>
      <c r="N20" s="61" t="n">
        <f aca="false">IF($L20="","",ROUND(SUMIF($D$6:$D$125,$L20,$G$6:$G$125),2))</f>
        <v>2943.6</v>
      </c>
      <c r="AE20" s="44" t="n">
        <f aca="false">IFERROR(MATCH(15,_自动清单!$AA$4:$AA$2403,0),"")</f>
        <v>55</v>
      </c>
      <c r="AI20" s="44" t="str">
        <f aca="false">IF($D20="","",$D20)</f>
        <v>华硕一级</v>
      </c>
      <c r="AJ20" s="44" t="n">
        <f aca="false">IF(AI20="",0,IF(MATCH(AI20,AI$6:AI$125,0)=15,1,0))</f>
        <v>0</v>
      </c>
      <c r="AK20" s="44" t="n">
        <f aca="false">N(AK19)+AJ20</f>
        <v>4</v>
      </c>
    </row>
    <row r="21" customFormat="false" ht="18" hidden="false" customHeight="true" outlineLevel="0" collapsed="false">
      <c r="A21" s="45" t="n">
        <f aca="false">IF($AE21="","",IF($AE21&lt;=1200,IF(INDEX(对接源_01水果!$B$4:$B$1203,$AE21)=0,"",INDEX(对接源_01水果!$B$4:$B$1203,$AE21)),IF(INDEX(对接源_02物料!$B$4:$B$1203,$AE21-1200)=0,"",INDEX(对接源_02物料!$B$4:$B$1203,$AE21-1200))))</f>
        <v>46262</v>
      </c>
      <c r="B21" s="46" t="str">
        <f aca="false">IF($AE21="","",IF($AE21&lt;=1200,IF(INDEX(对接源_01水果!$E$4:$E$1203,$AE21)=0,"",INDEX(对接源_01水果!$E$4:$E$1203,$AE21)),IF(INDEX(对接源_02物料!$E$4:$E$1203,$AE21-1200)=0,"",INDEX(对接源_02物料!$E$4:$E$1203,$AE21-1200))))</f>
        <v>NO0000739</v>
      </c>
      <c r="C21" s="46" t="str">
        <f aca="false">IF($AE21="","",IF($AE21&lt;=1200,IF(INDEX(对接源_01水果!$F$4:$F$1203,$AE21)=0,"",INDEX(对接源_01水果!$F$4:$F$1203,$AE21)),IF(INDEX(对接源_02物料!$F$4:$F$1203,$AE21-1200)=0,"",INDEX(对接源_02物料!$F$4:$F$1203,$AE21-1200))))</f>
        <v>苹果</v>
      </c>
      <c r="D21" s="46" t="str">
        <f aca="false">IF($AE21="","",IF($AE21&lt;=1200,IF(INDEX(对接源_01水果!$G$4:$G$1203,$AE21)=0,"",INDEX(对接源_01水果!$G$4:$G$1203,$AE21)),IF(INDEX(对接源_02物料!$G$4:$G$1203,$AE21-1200)=0,"",INDEX(对接源_02物料!$G$4:$G$1203,$AE21-1200))))</f>
        <v>华硕二级</v>
      </c>
      <c r="E21" s="48" t="n">
        <f aca="false">IF($AE21="","",IF($AE21&lt;=1200,IF(INDEX(对接源_01水果!$H$4:$H$1203,$AE21)=0,"",INDEX(对接源_01水果!$H$4:$H$1203,$AE21)),IF(INDEX(对接源_02物料!$H$4:$H$1203,$AE21-1200)=0,"",INDEX(对接源_02物料!$H$4:$H$1203,$AE21-1200))))</f>
        <v>81</v>
      </c>
      <c r="F21" s="46" t="str">
        <f aca="false">IF($AE21="","",IF($AE21&lt;=1200,IF(INDEX(对接源_01水果!$I$4:$I$1203,$AE21)=0,"",INDEX(对接源_01水果!$I$4:$I$1203,$AE21)),IF(INDEX(对接源_02物料!$I$4:$I$1203,$AE21-1200)=0,"",INDEX(对接源_02物料!$I$4:$I$1203,$AE21-1200))))</f>
        <v>筐</v>
      </c>
      <c r="G21" s="56" t="n">
        <f aca="false">IF($AE21="","",IF($AE21&lt;=1200,IF(INDEX(对接源_01水果!$J$4:$J$1203,$AE21)=0,"",INDEX(对接源_01水果!$J$4:$J$1203,$AE21)),IF(INDEX(对接源_02物料!$J$4:$J$1203,$AE21-1200)=0,"",INDEX(对接源_02物料!$J$4:$J$1203,$AE21-1200))))</f>
        <v>1320.3</v>
      </c>
      <c r="H21" s="46" t="str">
        <f aca="false">IF($AE21="","",IF($AE21&lt;=1200,IF(INDEX(对接源_01水果!$W$4:$W$1203,$AE21)=0,"",INDEX(对接源_01水果!$W$4:$W$1203,$AE21)),IF(INDEX(对接源_02物料!$W$4:$W$1203,$AE21-1200)=0,"",INDEX(对接源_02物料!$W$4:$W$1203,$AE21-1200))))</f>
        <v>豫L*88X19</v>
      </c>
      <c r="I21" s="46" t="str">
        <f aca="false">IF($AE21="","",IF($AE21&lt;=1200,IF(INDEX(对接源_01水果!$C$4:$C$1203,$AE21)=0,"",INDEX(对接源_01水果!$C$4:$C$1203,$AE21)),IF(INDEX(对接源_02物料!$C$4:$C$1203,$AE21-1200)=0,"",INDEX(对接源_02物料!$C$4:$C$1203,$AE21-1200))))</f>
        <v>王照雪</v>
      </c>
      <c r="J21" s="47" t="str">
        <f aca="false"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L21" s="59" t="str">
        <f aca="false">IFERROR(INDEX($D$6:$D$125,MATCH(10,AK$6:AK$125,0)),"")</f>
        <v>新世纪特级</v>
      </c>
      <c r="M21" s="60" t="n">
        <f aca="false">IF($L21="","",SUMIF($D$6:$D$125,$L21,$E$6:$E$125))</f>
        <v>73</v>
      </c>
      <c r="N21" s="61" t="n">
        <f aca="false">IF($L21="","",ROUND(SUMIF($D$6:$D$125,$L21,$G$6:$G$125),2))</f>
        <v>1262.9</v>
      </c>
      <c r="AE21" s="44" t="n">
        <f aca="false">IFERROR(MATCH(16,_自动清单!$AA$4:$AA$2403,0),"")</f>
        <v>56</v>
      </c>
      <c r="AI21" s="44" t="str">
        <f aca="false">IF($D21="","",$D21)</f>
        <v>华硕二级</v>
      </c>
      <c r="AJ21" s="44" t="n">
        <f aca="false">IF(AI21="",0,IF(MATCH(AI21,AI$6:AI$125,0)=16,1,0))</f>
        <v>0</v>
      </c>
      <c r="AK21" s="44" t="n">
        <f aca="false">N(AK20)+AJ21</f>
        <v>4</v>
      </c>
    </row>
    <row r="22" customFormat="false" ht="18" hidden="false" customHeight="true" outlineLevel="0" collapsed="false">
      <c r="A22" s="40" t="n">
        <f aca="false">IF($AE22="","",IF($AE22&lt;=1200,IF(INDEX(对接源_01水果!$B$4:$B$1203,$AE22)=0,"",INDEX(对接源_01水果!$B$4:$B$1203,$AE22)),IF(INDEX(对接源_02物料!$B$4:$B$1203,$AE22-1200)=0,"",INDEX(对接源_02物料!$B$4:$B$1203,$AE22-1200))))</f>
        <v>46262</v>
      </c>
      <c r="B22" s="41" t="str">
        <f aca="false">IF($AE22="","",IF($AE22&lt;=1200,IF(INDEX(对接源_01水果!$E$4:$E$1203,$AE22)=0,"",INDEX(对接源_01水果!$E$4:$E$1203,$AE22)),IF(INDEX(对接源_02物料!$E$4:$E$1203,$AE22-1200)=0,"",INDEX(对接源_02物料!$E$4:$E$1203,$AE22-1200))))</f>
        <v>NO0000739</v>
      </c>
      <c r="C22" s="41" t="str">
        <f aca="false">IF($AE22="","",IF($AE22&lt;=1200,IF(INDEX(对接源_01水果!$F$4:$F$1203,$AE22)=0,"",INDEX(对接源_01水果!$F$4:$F$1203,$AE22)),IF(INDEX(对接源_02物料!$F$4:$F$1203,$AE22-1200)=0,"",INDEX(对接源_02物料!$F$4:$F$1203,$AE22-1200))))</f>
        <v>苹果</v>
      </c>
      <c r="D22" s="41" t="str">
        <f aca="false">IF($AE22="","",IF($AE22&lt;=1200,IF(INDEX(对接源_01水果!$G$4:$G$1203,$AE22)=0,"",INDEX(对接源_01水果!$G$4:$G$1203,$AE22)),IF(INDEX(对接源_02物料!$G$4:$G$1203,$AE22-1200)=0,"",INDEX(对接源_02物料!$G$4:$G$1203,$AE22-1200))))</f>
        <v>华硕高次</v>
      </c>
      <c r="E22" s="43" t="n">
        <f aca="false">IF($AE22="","",IF($AE22&lt;=1200,IF(INDEX(对接源_01水果!$H$4:$H$1203,$AE22)=0,"",INDEX(对接源_01水果!$H$4:$H$1203,$AE22)),IF(INDEX(对接源_02物料!$H$4:$H$1203,$AE22-1200)=0,"",INDEX(对接源_02物料!$H$4:$H$1203,$AE22-1200))))</f>
        <v>20</v>
      </c>
      <c r="F22" s="41" t="str">
        <f aca="false">IF($AE22="","",IF($AE22&lt;=1200,IF(INDEX(对接源_01水果!$I$4:$I$1203,$AE22)=0,"",INDEX(对接源_01水果!$I$4:$I$1203,$AE22)),IF(INDEX(对接源_02物料!$I$4:$I$1203,$AE22-1200)=0,"",INDEX(对接源_02物料!$I$4:$I$1203,$AE22-1200))))</f>
        <v>筐</v>
      </c>
      <c r="G22" s="55" t="n">
        <f aca="false">IF($AE22="","",IF($AE22&lt;=1200,IF(INDEX(对接源_01水果!$J$4:$J$1203,$AE22)=0,"",INDEX(对接源_01水果!$J$4:$J$1203,$AE22)),IF(INDEX(对接源_02物料!$J$4:$J$1203,$AE22-1200)=0,"",INDEX(对接源_02物料!$J$4:$J$1203,$AE22-1200))))</f>
        <v>346</v>
      </c>
      <c r="H22" s="41" t="str">
        <f aca="false">IF($AE22="","",IF($AE22&lt;=1200,IF(INDEX(对接源_01水果!$W$4:$W$1203,$AE22)=0,"",INDEX(对接源_01水果!$W$4:$W$1203,$AE22)),IF(INDEX(对接源_02物料!$W$4:$W$1203,$AE22-1200)=0,"",INDEX(对接源_02物料!$W$4:$W$1203,$AE22-1200))))</f>
        <v>豫L*88X19</v>
      </c>
      <c r="I22" s="41" t="str">
        <f aca="false">IF($AE22="","",IF($AE22&lt;=1200,IF(INDEX(对接源_01水果!$C$4:$C$1203,$AE22)=0,"",INDEX(对接源_01水果!$C$4:$C$1203,$AE22)),IF(INDEX(对接源_02物料!$C$4:$C$1203,$AE22-1200)=0,"",INDEX(对接源_02物料!$C$4:$C$1203,$AE22-1200))))</f>
        <v>王照雪</v>
      </c>
      <c r="J22" s="42" t="str">
        <f aca="false"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L22" s="59" t="str">
        <f aca="false">IFERROR(INDEX($D$6:$D$125,MATCH(11,AK$6:AK$125,0)),"")</f>
        <v/>
      </c>
      <c r="M22" s="60" t="str">
        <f aca="false">IF($L22="","",SUMIF($D$6:$D$125,$L22,$E$6:$E$125))</f>
        <v/>
      </c>
      <c r="N22" s="61" t="str">
        <f aca="false">IF($L22="","",ROUND(SUMIF($D$6:$D$125,$L22,$G$6:$G$125),2))</f>
        <v/>
      </c>
      <c r="AE22" s="44" t="n">
        <f aca="false">IFERROR(MATCH(17,_自动清单!$AA$4:$AA$2403,0),"")</f>
        <v>57</v>
      </c>
      <c r="AI22" s="44" t="str">
        <f aca="false">IF($D22="","",$D22)</f>
        <v>华硕高次</v>
      </c>
      <c r="AJ22" s="44" t="n">
        <f aca="false">IF(AI22="",0,IF(MATCH(AI22,AI$6:AI$125,0)=17,1,0))</f>
        <v>0</v>
      </c>
      <c r="AK22" s="44" t="n">
        <f aca="false">N(AK21)+AJ22</f>
        <v>4</v>
      </c>
    </row>
    <row r="23" customFormat="false" ht="18" hidden="false" customHeight="true" outlineLevel="0" collapsed="false">
      <c r="A23" s="45" t="n">
        <f aca="false">IF($AE23="","",IF($AE23&lt;=1200,IF(INDEX(对接源_01水果!$B$4:$B$1203,$AE23)=0,"",INDEX(对接源_01水果!$B$4:$B$1203,$AE23)),IF(INDEX(对接源_02物料!$B$4:$B$1203,$AE23-1200)=0,"",INDEX(对接源_02物料!$B$4:$B$1203,$AE23-1200))))</f>
        <v>46266</v>
      </c>
      <c r="B23" s="46" t="str">
        <f aca="false">IF($AE23="","",IF($AE23&lt;=1200,IF(INDEX(对接源_01水果!$E$4:$E$1203,$AE23)=0,"",INDEX(对接源_01水果!$E$4:$E$1203,$AE23)),IF(INDEX(对接源_02物料!$E$4:$E$1203,$AE23-1200)=0,"",INDEX(对接源_02物料!$E$4:$E$1203,$AE23-1200))))</f>
        <v>NO0000742</v>
      </c>
      <c r="C23" s="46" t="str">
        <f aca="false">IF($AE23="","",IF($AE23&lt;=1200,IF(INDEX(对接源_01水果!$F$4:$F$1203,$AE23)=0,"",INDEX(对接源_01水果!$F$4:$F$1203,$AE23)),IF(INDEX(对接源_02物料!$F$4:$F$1203,$AE23-1200)=0,"",INDEX(对接源_02物料!$F$4:$F$1203,$AE23-1200))))</f>
        <v>苹果</v>
      </c>
      <c r="D23" s="46" t="str">
        <f aca="false">IF($AE23="","",IF($AE23&lt;=1200,IF(INDEX(对接源_01水果!$G$4:$G$1203,$AE23)=0,"",INDEX(对接源_01水果!$G$4:$G$1203,$AE23)),IF(INDEX(对接源_02物料!$G$4:$G$1203,$AE23-1200)=0,"",INDEX(对接源_02物料!$G$4:$G$1203,$AE23-1200))))</f>
        <v>华硕一级</v>
      </c>
      <c r="E23" s="48" t="n">
        <f aca="false">IF($AE23="","",IF($AE23&lt;=1200,IF(INDEX(对接源_01水果!$H$4:$H$1203,$AE23)=0,"",INDEX(对接源_01水果!$H$4:$H$1203,$AE23)),IF(INDEX(对接源_02物料!$H$4:$H$1203,$AE23-1200)=0,"",INDEX(对接源_02物料!$H$4:$H$1203,$AE23-1200))))</f>
        <v>13</v>
      </c>
      <c r="F23" s="46" t="str">
        <f aca="false">IF($AE23="","",IF($AE23&lt;=1200,IF(INDEX(对接源_01水果!$I$4:$I$1203,$AE23)=0,"",INDEX(对接源_01水果!$I$4:$I$1203,$AE23)),IF(INDEX(对接源_02物料!$I$4:$I$1203,$AE23-1200)=0,"",INDEX(对接源_02物料!$I$4:$I$1203,$AE23-1200))))</f>
        <v>筐</v>
      </c>
      <c r="G23" s="56" t="n">
        <f aca="false">IF($AE23="","",IF($AE23&lt;=1200,IF(INDEX(对接源_01水果!$J$4:$J$1203,$AE23)=0,"",INDEX(对接源_01水果!$J$4:$J$1203,$AE23)),IF(INDEX(对接源_02物料!$J$4:$J$1203,$AE23-1200)=0,"",INDEX(对接源_02物料!$J$4:$J$1203,$AE23-1200))))</f>
        <v>224.9</v>
      </c>
      <c r="H23" s="46" t="str">
        <f aca="false">IF($AE23="","",IF($AE23&lt;=1200,IF(INDEX(对接源_01水果!$W$4:$W$1203,$AE23)=0,"",INDEX(对接源_01水果!$W$4:$W$1203,$AE23)),IF(INDEX(对接源_02物料!$W$4:$W$1203,$AE23-1200)=0,"",INDEX(对接源_02物料!$W$4:$W$1203,$AE23-1200))))</f>
        <v>新N*D1W48</v>
      </c>
      <c r="I23" s="46" t="str">
        <f aca="false">IF($AE23="","",IF($AE23&lt;=1200,IF(INDEX(对接源_01水果!$C$4:$C$1203,$AE23)=0,"",INDEX(对接源_01水果!$C$4:$C$1203,$AE23)),IF(INDEX(对接源_02物料!$C$4:$C$1203,$AE23-1200)=0,"",INDEX(对接源_02物料!$C$4:$C$1203,$AE23-1200))))</f>
        <v>王照雪</v>
      </c>
      <c r="J23" s="47" t="str">
        <f aca="false"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L23" s="59" t="str">
        <f aca="false">IFERROR(INDEX($D$6:$D$125,MATCH(12,AK$6:AK$125,0)),"")</f>
        <v/>
      </c>
      <c r="M23" s="60" t="str">
        <f aca="false">IF($L23="","",SUMIF($D$6:$D$125,$L23,$E$6:$E$125))</f>
        <v/>
      </c>
      <c r="N23" s="61" t="str">
        <f aca="false">IF($L23="","",ROUND(SUMIF($D$6:$D$125,$L23,$G$6:$G$125),2))</f>
        <v/>
      </c>
      <c r="AE23" s="44" t="n">
        <f aca="false">IFERROR(MATCH(18,_自动清单!$AA$4:$AA$2403,0),"")</f>
        <v>61</v>
      </c>
      <c r="AI23" s="44" t="str">
        <f aca="false">IF($D23="","",$D23)</f>
        <v>华硕一级</v>
      </c>
      <c r="AJ23" s="44" t="n">
        <f aca="false">IF(AI23="",0,IF(MATCH(AI23,AI$6:AI$125,0)=18,1,0))</f>
        <v>0</v>
      </c>
      <c r="AK23" s="44" t="n">
        <f aca="false">N(AK22)+AJ23</f>
        <v>4</v>
      </c>
    </row>
    <row r="24" customFormat="false" ht="18" hidden="false" customHeight="true" outlineLevel="0" collapsed="false">
      <c r="A24" s="40" t="n">
        <f aca="false">IF($AE24="","",IF($AE24&lt;=1200,IF(INDEX(对接源_01水果!$B$4:$B$1203,$AE24)=0,"",INDEX(对接源_01水果!$B$4:$B$1203,$AE24)),IF(INDEX(对接源_02物料!$B$4:$B$1203,$AE24-1200)=0,"",INDEX(对接源_02物料!$B$4:$B$1203,$AE24-1200))))</f>
        <v>46266</v>
      </c>
      <c r="B24" s="41" t="str">
        <f aca="false">IF($AE24="","",IF($AE24&lt;=1200,IF(INDEX(对接源_01水果!$E$4:$E$1203,$AE24)=0,"",INDEX(对接源_01水果!$E$4:$E$1203,$AE24)),IF(INDEX(对接源_02物料!$E$4:$E$1203,$AE24-1200)=0,"",INDEX(对接源_02物料!$E$4:$E$1203,$AE24-1200))))</f>
        <v>NO0000742</v>
      </c>
      <c r="C24" s="41" t="str">
        <f aca="false">IF($AE24="","",IF($AE24&lt;=1200,IF(INDEX(对接源_01水果!$F$4:$F$1203,$AE24)=0,"",INDEX(对接源_01水果!$F$4:$F$1203,$AE24)),IF(INDEX(对接源_02物料!$F$4:$F$1203,$AE24-1200)=0,"",INDEX(对接源_02物料!$F$4:$F$1203,$AE24-1200))))</f>
        <v>苹果</v>
      </c>
      <c r="D24" s="41" t="str">
        <f aca="false">IF($AE24="","",IF($AE24&lt;=1200,IF(INDEX(对接源_01水果!$G$4:$G$1203,$AE24)=0,"",INDEX(对接源_01水果!$G$4:$G$1203,$AE24)),IF(INDEX(对接源_02物料!$G$4:$G$1203,$AE24-1200)=0,"",INDEX(对接源_02物料!$G$4:$G$1203,$AE24-1200))))</f>
        <v>华硕二级</v>
      </c>
      <c r="E24" s="43" t="n">
        <f aca="false">IF($AE24="","",IF($AE24&lt;=1200,IF(INDEX(对接源_01水果!$H$4:$H$1203,$AE24)=0,"",INDEX(对接源_01水果!$H$4:$H$1203,$AE24)),IF(INDEX(对接源_02物料!$H$4:$H$1203,$AE24-1200)=0,"",INDEX(对接源_02物料!$H$4:$H$1203,$AE24-1200))))</f>
        <v>27</v>
      </c>
      <c r="F24" s="41" t="str">
        <f aca="false">IF($AE24="","",IF($AE24&lt;=1200,IF(INDEX(对接源_01水果!$I$4:$I$1203,$AE24)=0,"",INDEX(对接源_01水果!$I$4:$I$1203,$AE24)),IF(INDEX(对接源_02物料!$I$4:$I$1203,$AE24-1200)=0,"",INDEX(对接源_02物料!$I$4:$I$1203,$AE24-1200))))</f>
        <v>筐</v>
      </c>
      <c r="G24" s="55" t="n">
        <f aca="false">IF($AE24="","",IF($AE24&lt;=1200,IF(INDEX(对接源_01水果!$J$4:$J$1203,$AE24)=0,"",INDEX(对接源_01水果!$J$4:$J$1203,$AE24)),IF(INDEX(对接源_02物料!$J$4:$J$1203,$AE24-1200)=0,"",INDEX(对接源_02物料!$J$4:$J$1203,$AE24-1200))))</f>
        <v>440.1</v>
      </c>
      <c r="H24" s="41" t="str">
        <f aca="false">IF($AE24="","",IF($AE24&lt;=1200,IF(INDEX(对接源_01水果!$W$4:$W$1203,$AE24)=0,"",INDEX(对接源_01水果!$W$4:$W$1203,$AE24)),IF(INDEX(对接源_02物料!$W$4:$W$1203,$AE24-1200)=0,"",INDEX(对接源_02物料!$W$4:$W$1203,$AE24-1200))))</f>
        <v>新N*D1W48</v>
      </c>
      <c r="I24" s="41" t="str">
        <f aca="false">IF($AE24="","",IF($AE24&lt;=1200,IF(INDEX(对接源_01水果!$C$4:$C$1203,$AE24)=0,"",INDEX(对接源_01水果!$C$4:$C$1203,$AE24)),IF(INDEX(对接源_02物料!$C$4:$C$1203,$AE24-1200)=0,"",INDEX(对接源_02物料!$C$4:$C$1203,$AE24-1200))))</f>
        <v>王照雪</v>
      </c>
      <c r="J24" s="42" t="str">
        <f aca="false"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L24" s="59" t="str">
        <f aca="false">IFERROR(INDEX($D$6:$D$125,MATCH(13,AK$6:AK$125,0)),"")</f>
        <v/>
      </c>
      <c r="M24" s="60" t="str">
        <f aca="false">IF($L24="","",SUMIF($D$6:$D$125,$L24,$E$6:$E$125))</f>
        <v/>
      </c>
      <c r="N24" s="61" t="str">
        <f aca="false">IF($L24="","",ROUND(SUMIF($D$6:$D$125,$L24,$G$6:$G$125),2))</f>
        <v/>
      </c>
      <c r="AE24" s="44" t="n">
        <f aca="false">IFERROR(MATCH(19,_自动清单!$AA$4:$AA$2403,0),"")</f>
        <v>62</v>
      </c>
      <c r="AI24" s="44" t="str">
        <f aca="false">IF($D24="","",$D24)</f>
        <v>华硕二级</v>
      </c>
      <c r="AJ24" s="44" t="n">
        <f aca="false">IF(AI24="",0,IF(MATCH(AI24,AI$6:AI$125,0)=19,1,0))</f>
        <v>0</v>
      </c>
      <c r="AK24" s="44" t="n">
        <f aca="false">N(AK23)+AJ24</f>
        <v>4</v>
      </c>
    </row>
    <row r="25" customFormat="false" ht="18" hidden="false" customHeight="true" outlineLevel="0" collapsed="false">
      <c r="A25" s="45" t="n">
        <f aca="false">IF($AE25="","",IF($AE25&lt;=1200,IF(INDEX(对接源_01水果!$B$4:$B$1203,$AE25)=0,"",INDEX(对接源_01水果!$B$4:$B$1203,$AE25)),IF(INDEX(对接源_02物料!$B$4:$B$1203,$AE25-1200)=0,"",INDEX(对接源_02物料!$B$4:$B$1203,$AE25-1200))))</f>
        <v>46266</v>
      </c>
      <c r="B25" s="46" t="str">
        <f aca="false">IF($AE25="","",IF($AE25&lt;=1200,IF(INDEX(对接源_01水果!$E$4:$E$1203,$AE25)=0,"",INDEX(对接源_01水果!$E$4:$E$1203,$AE25)),IF(INDEX(对接源_02物料!$E$4:$E$1203,$AE25-1200)=0,"",INDEX(对接源_02物料!$E$4:$E$1203,$AE25-1200))))</f>
        <v>NO0000742</v>
      </c>
      <c r="C25" s="46" t="str">
        <f aca="false">IF($AE25="","",IF($AE25&lt;=1200,IF(INDEX(对接源_01水果!$F$4:$F$1203,$AE25)=0,"",INDEX(对接源_01水果!$F$4:$F$1203,$AE25)),IF(INDEX(对接源_02物料!$F$4:$F$1203,$AE25-1200)=0,"",INDEX(对接源_02物料!$F$4:$F$1203,$AE25-1200))))</f>
        <v>苹果</v>
      </c>
      <c r="D25" s="46" t="str">
        <f aca="false">IF($AE25="","",IF($AE25&lt;=1200,IF(INDEX(对接源_01水果!$G$4:$G$1203,$AE25)=0,"",INDEX(对接源_01水果!$G$4:$G$1203,$AE25)),IF(INDEX(对接源_02物料!$G$4:$G$1203,$AE25-1200)=0,"",INDEX(对接源_02物料!$G$4:$G$1203,$AE25-1200))))</f>
        <v>华硕高次</v>
      </c>
      <c r="E25" s="48" t="n">
        <f aca="false">IF($AE25="","",IF($AE25&lt;=1200,IF(INDEX(对接源_01水果!$H$4:$H$1203,$AE25)=0,"",INDEX(对接源_01水果!$H$4:$H$1203,$AE25)),IF(INDEX(对接源_02物料!$H$4:$H$1203,$AE25-1200)=0,"",INDEX(对接源_02物料!$H$4:$H$1203,$AE25-1200))))</f>
        <v>13</v>
      </c>
      <c r="F25" s="46" t="str">
        <f aca="false">IF($AE25="","",IF($AE25&lt;=1200,IF(INDEX(对接源_01水果!$I$4:$I$1203,$AE25)=0,"",INDEX(对接源_01水果!$I$4:$I$1203,$AE25)),IF(INDEX(对接源_02物料!$I$4:$I$1203,$AE25-1200)=0,"",INDEX(对接源_02物料!$I$4:$I$1203,$AE25-1200))))</f>
        <v>筐</v>
      </c>
      <c r="G25" s="56" t="n">
        <f aca="false">IF($AE25="","",IF($AE25&lt;=1200,IF(INDEX(对接源_01水果!$J$4:$J$1203,$AE25)=0,"",INDEX(对接源_01水果!$J$4:$J$1203,$AE25)),IF(INDEX(对接源_02物料!$J$4:$J$1203,$AE25-1200)=0,"",INDEX(对接源_02物料!$J$4:$J$1203,$AE25-1200))))</f>
        <v>224.9</v>
      </c>
      <c r="H25" s="46" t="str">
        <f aca="false">IF($AE25="","",IF($AE25&lt;=1200,IF(INDEX(对接源_01水果!$W$4:$W$1203,$AE25)=0,"",INDEX(对接源_01水果!$W$4:$W$1203,$AE25)),IF(INDEX(对接源_02物料!$W$4:$W$1203,$AE25-1200)=0,"",INDEX(对接源_02物料!$W$4:$W$1203,$AE25-1200))))</f>
        <v>新N*D1W48</v>
      </c>
      <c r="I25" s="46" t="str">
        <f aca="false">IF($AE25="","",IF($AE25&lt;=1200,IF(INDEX(对接源_01水果!$C$4:$C$1203,$AE25)=0,"",INDEX(对接源_01水果!$C$4:$C$1203,$AE25)),IF(INDEX(对接源_02物料!$C$4:$C$1203,$AE25-1200)=0,"",INDEX(对接源_02物料!$C$4:$C$1203,$AE25-1200))))</f>
        <v>王照雪</v>
      </c>
      <c r="J25" s="47" t="str">
        <f aca="false"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L25" s="59" t="str">
        <f aca="false">IFERROR(INDEX($D$6:$D$125,MATCH(14,AK$6:AK$125,0)),"")</f>
        <v/>
      </c>
      <c r="M25" s="60" t="str">
        <f aca="false">IF($L25="","",SUMIF($D$6:$D$125,$L25,$E$6:$E$125))</f>
        <v/>
      </c>
      <c r="N25" s="61" t="str">
        <f aca="false">IF($L25="","",ROUND(SUMIF($D$6:$D$125,$L25,$G$6:$G$125),2))</f>
        <v/>
      </c>
      <c r="AE25" s="44" t="n">
        <f aca="false">IFERROR(MATCH(20,_自动清单!$AA$4:$AA$2403,0),"")</f>
        <v>63</v>
      </c>
      <c r="AI25" s="44" t="str">
        <f aca="false">IF($D25="","",$D25)</f>
        <v>华硕高次</v>
      </c>
      <c r="AJ25" s="44" t="n">
        <f aca="false">IF(AI25="",0,IF(MATCH(AI25,AI$6:AI$125,0)=20,1,0))</f>
        <v>0</v>
      </c>
      <c r="AK25" s="44" t="n">
        <f aca="false">N(AK24)+AJ25</f>
        <v>4</v>
      </c>
    </row>
    <row r="26" customFormat="false" ht="18" hidden="false" customHeight="true" outlineLevel="0" collapsed="false">
      <c r="A26" s="40" t="n">
        <f aca="false">IF($AE26="","",IF($AE26&lt;=1200,IF(INDEX(对接源_01水果!$B$4:$B$1203,$AE26)=0,"",INDEX(对接源_01水果!$B$4:$B$1203,$AE26)),IF(INDEX(对接源_02物料!$B$4:$B$1203,$AE26-1200)=0,"",INDEX(对接源_02物料!$B$4:$B$1203,$AE26-1200))))</f>
        <v>46275</v>
      </c>
      <c r="B26" s="41" t="str">
        <f aca="false">IF($AE26="","",IF($AE26&lt;=1200,IF(INDEX(对接源_01水果!$E$4:$E$1203,$AE26)=0,"",INDEX(对接源_01水果!$E$4:$E$1203,$AE26)),IF(INDEX(对接源_02物料!$E$4:$E$1203,$AE26-1200)=0,"",INDEX(对接源_02物料!$E$4:$E$1203,$AE26-1200))))</f>
        <v>NO:0000775</v>
      </c>
      <c r="C26" s="41" t="str">
        <f aca="false">IF($AE26="","",IF($AE26&lt;=1200,IF(INDEX(对接源_01水果!$F$4:$F$1203,$AE26)=0,"",INDEX(对接源_01水果!$F$4:$F$1203,$AE26)),IF(INDEX(对接源_02物料!$F$4:$F$1203,$AE26-1200)=0,"",INDEX(对接源_02物料!$F$4:$F$1203,$AE26-1200))))</f>
        <v>香梨</v>
      </c>
      <c r="D26" s="41" t="str">
        <f aca="false">IF($AE26="","",IF($AE26&lt;=1200,IF(INDEX(对接源_01水果!$G$4:$G$1203,$AE26)=0,"",INDEX(对接源_01水果!$G$4:$G$1203,$AE26)),IF(INDEX(对接源_02物料!$G$4:$G$1203,$AE26-1200)=0,"",INDEX(对接源_02物料!$G$4:$G$1203,$AE26-1200))))</f>
        <v>香梨一级</v>
      </c>
      <c r="E26" s="43" t="n">
        <f aca="false">IF($AE26="","",IF($AE26&lt;=1200,IF(INDEX(对接源_01水果!$H$4:$H$1203,$AE26)=0,"",INDEX(对接源_01水果!$H$4:$H$1203,$AE26)),IF(INDEX(对接源_02物料!$H$4:$H$1203,$AE26-1200)=0,"",INDEX(对接源_02物料!$H$4:$H$1203,$AE26-1200))))</f>
        <v>196</v>
      </c>
      <c r="F26" s="41" t="str">
        <f aca="false">IF($AE26="","",IF($AE26&lt;=1200,IF(INDEX(对接源_01水果!$I$4:$I$1203,$AE26)=0,"",INDEX(对接源_01水果!$I$4:$I$1203,$AE26)),IF(INDEX(对接源_02物料!$I$4:$I$1203,$AE26-1200)=0,"",INDEX(对接源_02物料!$I$4:$I$1203,$AE26-1200))))</f>
        <v>筐</v>
      </c>
      <c r="G26" s="55" t="n">
        <f aca="false">IF($AE26="","",IF($AE26&lt;=1200,IF(INDEX(对接源_01水果!$J$4:$J$1203,$AE26)=0,"",INDEX(对接源_01水果!$J$4:$J$1203,$AE26)),IF(INDEX(对接源_02物料!$J$4:$J$1203,$AE26-1200)=0,"",INDEX(对接源_02物料!$J$4:$J$1203,$AE26-1200))))</f>
        <v>3626</v>
      </c>
      <c r="H26" s="41" t="str">
        <f aca="false">IF($AE26="","",IF($AE26&lt;=1200,IF(INDEX(对接源_01水果!$W$4:$W$1203,$AE26)=0,"",INDEX(对接源_01水果!$W$4:$W$1203,$AE26)),IF(INDEX(对接源_02物料!$W$4:$W$1203,$AE26-1200)=0,"",INDEX(对接源_02物料!$W$4:$W$1203,$AE26-1200))))</f>
        <v>豫L*88X19</v>
      </c>
      <c r="I26" s="41" t="str">
        <f aca="false">IF($AE26="","",IF($AE26&lt;=1200,IF(INDEX(对接源_01水果!$C$4:$C$1203,$AE26)=0,"",INDEX(对接源_01水果!$C$4:$C$1203,$AE26)),IF(INDEX(对接源_02物料!$C$4:$C$1203,$AE26-1200)=0,"",INDEX(对接源_02物料!$C$4:$C$1203,$AE26-1200))))</f>
        <v>王照雪</v>
      </c>
      <c r="J26" s="42" t="str">
        <f aca="false"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L26" s="59" t="str">
        <f aca="false">IFERROR(INDEX($D$6:$D$125,MATCH(15,AK$6:AK$125,0)),"")</f>
        <v/>
      </c>
      <c r="M26" s="60" t="str">
        <f aca="false">IF($L26="","",SUMIF($D$6:$D$125,$L26,$E$6:$E$125))</f>
        <v/>
      </c>
      <c r="N26" s="61" t="str">
        <f aca="false">IF($L26="","",ROUND(SUMIF($D$6:$D$125,$L26,$G$6:$G$125),2))</f>
        <v/>
      </c>
      <c r="AE26" s="44" t="n">
        <f aca="false">IFERROR(MATCH(21,_自动清单!$AA$4:$AA$2403,0),"")</f>
        <v>174</v>
      </c>
      <c r="AI26" s="44" t="str">
        <f aca="false">IF($D26="","",$D26)</f>
        <v>香梨一级</v>
      </c>
      <c r="AJ26" s="44" t="n">
        <f aca="false">IF(AI26="",0,IF(MATCH(AI26,AI$6:AI$125,0)=21,1,0))</f>
        <v>1</v>
      </c>
      <c r="AK26" s="44" t="n">
        <f aca="false">N(AK25)+AJ26</f>
        <v>5</v>
      </c>
    </row>
    <row r="27" customFormat="false" ht="18" hidden="false" customHeight="true" outlineLevel="0" collapsed="false">
      <c r="A27" s="45" t="n">
        <f aca="false">IF($AE27="","",IF($AE27&lt;=1200,IF(INDEX(对接源_01水果!$B$4:$B$1203,$AE27)=0,"",INDEX(对接源_01水果!$B$4:$B$1203,$AE27)),IF(INDEX(对接源_02物料!$B$4:$B$1203,$AE27-1200)=0,"",INDEX(对接源_02物料!$B$4:$B$1203,$AE27-1200))))</f>
        <v>46275</v>
      </c>
      <c r="B27" s="46" t="str">
        <f aca="false">IF($AE27="","",IF($AE27&lt;=1200,IF(INDEX(对接源_01水果!$E$4:$E$1203,$AE27)=0,"",INDEX(对接源_01水果!$E$4:$E$1203,$AE27)),IF(INDEX(对接源_02物料!$E$4:$E$1203,$AE27-1200)=0,"",INDEX(对接源_02物料!$E$4:$E$1203,$AE27-1200))))</f>
        <v>NO:0000775</v>
      </c>
      <c r="C27" s="46" t="str">
        <f aca="false">IF($AE27="","",IF($AE27&lt;=1200,IF(INDEX(对接源_01水果!$F$4:$F$1203,$AE27)=0,"",INDEX(对接源_01水果!$F$4:$F$1203,$AE27)),IF(INDEX(对接源_02物料!$F$4:$F$1203,$AE27-1200)=0,"",INDEX(对接源_02物料!$F$4:$F$1203,$AE27-1200))))</f>
        <v>香梨</v>
      </c>
      <c r="D27" s="46" t="str">
        <f aca="false">IF($AE27="","",IF($AE27&lt;=1200,IF(INDEX(对接源_01水果!$G$4:$G$1203,$AE27)=0,"",INDEX(对接源_01水果!$G$4:$G$1203,$AE27)),IF(INDEX(对接源_02物料!$G$4:$G$1203,$AE27-1200)=0,"",INDEX(对接源_02物料!$G$4:$G$1203,$AE27-1200))))</f>
        <v>香梨副特</v>
      </c>
      <c r="E27" s="48" t="n">
        <f aca="false">IF($AE27="","",IF($AE27&lt;=1200,IF(INDEX(对接源_01水果!$H$4:$H$1203,$AE27)=0,"",INDEX(对接源_01水果!$H$4:$H$1203,$AE27)),IF(INDEX(对接源_02物料!$H$4:$H$1203,$AE27-1200)=0,"",INDEX(对接源_02物料!$H$4:$H$1203,$AE27-1200))))</f>
        <v>133</v>
      </c>
      <c r="F27" s="46" t="str">
        <f aca="false">IF($AE27="","",IF($AE27&lt;=1200,IF(INDEX(对接源_01水果!$I$4:$I$1203,$AE27)=0,"",INDEX(对接源_01水果!$I$4:$I$1203,$AE27)),IF(INDEX(对接源_02物料!$I$4:$I$1203,$AE27-1200)=0,"",INDEX(对接源_02物料!$I$4:$I$1203,$AE27-1200))))</f>
        <v>筐</v>
      </c>
      <c r="G27" s="56" t="n">
        <f aca="false">IF($AE27="","",IF($AE27&lt;=1200,IF(INDEX(对接源_01水果!$J$4:$J$1203,$AE27)=0,"",INDEX(对接源_01水果!$J$4:$J$1203,$AE27)),IF(INDEX(对接源_02物料!$J$4:$J$1203,$AE27-1200)=0,"",INDEX(对接源_02物料!$J$4:$J$1203,$AE27-1200))))</f>
        <v>2460.5</v>
      </c>
      <c r="H27" s="46" t="str">
        <f aca="false">IF($AE27="","",IF($AE27&lt;=1200,IF(INDEX(对接源_01水果!$W$4:$W$1203,$AE27)=0,"",INDEX(对接源_01水果!$W$4:$W$1203,$AE27)),IF(INDEX(对接源_02物料!$W$4:$W$1203,$AE27-1200)=0,"",INDEX(对接源_02物料!$W$4:$W$1203,$AE27-1200))))</f>
        <v>豫L*88X19</v>
      </c>
      <c r="I27" s="46" t="str">
        <f aca="false">IF($AE27="","",IF($AE27&lt;=1200,IF(INDEX(对接源_01水果!$C$4:$C$1203,$AE27)=0,"",INDEX(对接源_01水果!$C$4:$C$1203,$AE27)),IF(INDEX(对接源_02物料!$C$4:$C$1203,$AE27-1200)=0,"",INDEX(对接源_02物料!$C$4:$C$1203,$AE27-1200))))</f>
        <v>王照雪</v>
      </c>
      <c r="J27" s="47" t="str">
        <f aca="false"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L27" s="59" t="str">
        <f aca="false">IFERROR(INDEX($D$6:$D$125,MATCH(16,AK$6:AK$125,0)),"")</f>
        <v/>
      </c>
      <c r="M27" s="60" t="str">
        <f aca="false">IF($L27="","",SUMIF($D$6:$D$125,$L27,$E$6:$E$125))</f>
        <v/>
      </c>
      <c r="N27" s="61" t="str">
        <f aca="false">IF($L27="","",ROUND(SUMIF($D$6:$D$125,$L27,$G$6:$G$125),2))</f>
        <v/>
      </c>
      <c r="AE27" s="44" t="n">
        <f aca="false">IFERROR(MATCH(22,_自动清单!$AA$4:$AA$2403,0),"")</f>
        <v>175</v>
      </c>
      <c r="AI27" s="44" t="str">
        <f aca="false">IF($D27="","",$D27)</f>
        <v>香梨副特</v>
      </c>
      <c r="AJ27" s="44" t="n">
        <f aca="false">IF(AI27="",0,IF(MATCH(AI27,AI$6:AI$125,0)=22,1,0))</f>
        <v>1</v>
      </c>
      <c r="AK27" s="44" t="n">
        <f aca="false">N(AK26)+AJ27</f>
        <v>6</v>
      </c>
    </row>
    <row r="28" customFormat="false" ht="18" hidden="false" customHeight="true" outlineLevel="0" collapsed="false">
      <c r="A28" s="40" t="n">
        <f aca="false">IF($AE28="","",IF($AE28&lt;=1200,IF(INDEX(对接源_01水果!$B$4:$B$1203,$AE28)=0,"",INDEX(对接源_01水果!$B$4:$B$1203,$AE28)),IF(INDEX(对接源_02物料!$B$4:$B$1203,$AE28-1200)=0,"",INDEX(对接源_02物料!$B$4:$B$1203,$AE28-1200))))</f>
        <v>46277</v>
      </c>
      <c r="B28" s="41" t="str">
        <f aca="false">IF($AE28="","",IF($AE28&lt;=1200,IF(INDEX(对接源_01水果!$E$4:$E$1203,$AE28)=0,"",INDEX(对接源_01水果!$E$4:$E$1203,$AE28)),IF(INDEX(对接源_02物料!$E$4:$E$1203,$AE28-1200)=0,"",INDEX(对接源_02物料!$E$4:$E$1203,$AE28-1200))))</f>
        <v>NO:0000789</v>
      </c>
      <c r="C28" s="41" t="str">
        <f aca="false">IF($AE28="","",IF($AE28&lt;=1200,IF(INDEX(对接源_01水果!$F$4:$F$1203,$AE28)=0,"",INDEX(对接源_01水果!$F$4:$F$1203,$AE28)),IF(INDEX(对接源_02物料!$F$4:$F$1203,$AE28-1200)=0,"",INDEX(对接源_02物料!$F$4:$F$1203,$AE28-1200))))</f>
        <v>香梨</v>
      </c>
      <c r="D28" s="41" t="str">
        <f aca="false">IF($AE28="","",IF($AE28&lt;=1200,IF(INDEX(对接源_01水果!$G$4:$G$1203,$AE28)=0,"",INDEX(对接源_01水果!$G$4:$G$1203,$AE28)),IF(INDEX(对接源_02物料!$G$4:$G$1203,$AE28-1200)=0,"",INDEX(对接源_02物料!$G$4:$G$1203,$AE28-1200))))</f>
        <v>香梨一级</v>
      </c>
      <c r="E28" s="43" t="n">
        <f aca="false">IF($AE28="","",IF($AE28&lt;=1200,IF(INDEX(对接源_01水果!$H$4:$H$1203,$AE28)=0,"",INDEX(对接源_01水果!$H$4:$H$1203,$AE28)),IF(INDEX(对接源_02物料!$H$4:$H$1203,$AE28-1200)=0,"",INDEX(对接源_02物料!$H$4:$H$1203,$AE28-1200))))</f>
        <v>99</v>
      </c>
      <c r="F28" s="41" t="str">
        <f aca="false">IF($AE28="","",IF($AE28&lt;=1200,IF(INDEX(对接源_01水果!$I$4:$I$1203,$AE28)=0,"",INDEX(对接源_01水果!$I$4:$I$1203,$AE28)),IF(INDEX(对接源_02物料!$I$4:$I$1203,$AE28-1200)=0,"",INDEX(对接源_02物料!$I$4:$I$1203,$AE28-1200))))</f>
        <v>筐</v>
      </c>
      <c r="G28" s="55" t="n">
        <f aca="false">IF($AE28="","",IF($AE28&lt;=1200,IF(INDEX(对接源_01水果!$J$4:$J$1203,$AE28)=0,"",INDEX(对接源_01水果!$J$4:$J$1203,$AE28)),IF(INDEX(对接源_02物料!$J$4:$J$1203,$AE28-1200)=0,"",INDEX(对接源_02物料!$J$4:$J$1203,$AE28-1200))))</f>
        <v>1831.5</v>
      </c>
      <c r="H28" s="41" t="str">
        <f aca="false">IF($AE28="","",IF($AE28&lt;=1200,IF(INDEX(对接源_01水果!$W$4:$W$1203,$AE28)=0,"",INDEX(对接源_01水果!$W$4:$W$1203,$AE28)),IF(INDEX(对接源_02物料!$W$4:$W$1203,$AE28-1200)=0,"",INDEX(对接源_02物料!$W$4:$W$1203,$AE28-1200))))</f>
        <v>豫L*88X19</v>
      </c>
      <c r="I28" s="41" t="str">
        <f aca="false">IF($AE28="","",IF($AE28&lt;=1200,IF(INDEX(对接源_01水果!$C$4:$C$1203,$AE28)=0,"",INDEX(对接源_01水果!$C$4:$C$1203,$AE28)),IF(INDEX(对接源_02物料!$C$4:$C$1203,$AE28-1200)=0,"",INDEX(对接源_02物料!$C$4:$C$1203,$AE28-1200))))</f>
        <v>王照雪</v>
      </c>
      <c r="J28" s="42" t="str">
        <f aca="false"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L28" s="59" t="str">
        <f aca="false">IFERROR(INDEX($D$6:$D$125,MATCH(17,AK$6:AK$125,0)),"")</f>
        <v/>
      </c>
      <c r="M28" s="60" t="str">
        <f aca="false">IF($L28="","",SUMIF($D$6:$D$125,$L28,$E$6:$E$125))</f>
        <v/>
      </c>
      <c r="N28" s="61" t="str">
        <f aca="false">IF($L28="","",ROUND(SUMIF($D$6:$D$125,$L28,$G$6:$G$125),2))</f>
        <v/>
      </c>
      <c r="AE28" s="44" t="n">
        <f aca="false">IFERROR(MATCH(23,_自动清单!$AA$4:$AA$2403,0),"")</f>
        <v>194</v>
      </c>
      <c r="AI28" s="44" t="str">
        <f aca="false">IF($D28="","",$D28)</f>
        <v>香梨一级</v>
      </c>
      <c r="AJ28" s="44" t="n">
        <f aca="false">IF(AI28="",0,IF(MATCH(AI28,AI$6:AI$125,0)=23,1,0))</f>
        <v>0</v>
      </c>
      <c r="AK28" s="44" t="n">
        <f aca="false">N(AK27)+AJ28</f>
        <v>6</v>
      </c>
    </row>
    <row r="29" customFormat="false" ht="18" hidden="false" customHeight="true" outlineLevel="0" collapsed="false">
      <c r="A29" s="45" t="n">
        <f aca="false">IF($AE29="","",IF($AE29&lt;=1200,IF(INDEX(对接源_01水果!$B$4:$B$1203,$AE29)=0,"",INDEX(对接源_01水果!$B$4:$B$1203,$AE29)),IF(INDEX(对接源_02物料!$B$4:$B$1203,$AE29-1200)=0,"",INDEX(对接源_02物料!$B$4:$B$1203,$AE29-1200))))</f>
        <v>46277</v>
      </c>
      <c r="B29" s="46" t="str">
        <f aca="false">IF($AE29="","",IF($AE29&lt;=1200,IF(INDEX(对接源_01水果!$E$4:$E$1203,$AE29)=0,"",INDEX(对接源_01水果!$E$4:$E$1203,$AE29)),IF(INDEX(对接源_02物料!$E$4:$E$1203,$AE29-1200)=0,"",INDEX(对接源_02物料!$E$4:$E$1203,$AE29-1200))))</f>
        <v>NO:0000789</v>
      </c>
      <c r="C29" s="46" t="str">
        <f aca="false">IF($AE29="","",IF($AE29&lt;=1200,IF(INDEX(对接源_01水果!$F$4:$F$1203,$AE29)=0,"",INDEX(对接源_01水果!$F$4:$F$1203,$AE29)),IF(INDEX(对接源_02物料!$F$4:$F$1203,$AE29-1200)=0,"",INDEX(对接源_02物料!$F$4:$F$1203,$AE29-1200))))</f>
        <v>香梨</v>
      </c>
      <c r="D29" s="46" t="str">
        <f aca="false">IF($AE29="","",IF($AE29&lt;=1200,IF(INDEX(对接源_01水果!$G$4:$G$1203,$AE29)=0,"",INDEX(对接源_01水果!$G$4:$G$1203,$AE29)),IF(INDEX(对接源_02物料!$G$4:$G$1203,$AE29-1200)=0,"",INDEX(对接源_02物料!$G$4:$G$1203,$AE29-1200))))</f>
        <v>香梨二级</v>
      </c>
      <c r="E29" s="48" t="n">
        <f aca="false">IF($AE29="","",IF($AE29&lt;=1200,IF(INDEX(对接源_01水果!$H$4:$H$1203,$AE29)=0,"",INDEX(对接源_01水果!$H$4:$H$1203,$AE29)),IF(INDEX(对接源_02物料!$H$4:$H$1203,$AE29-1200)=0,"",INDEX(对接源_02物料!$H$4:$H$1203,$AE29-1200))))</f>
        <v>26</v>
      </c>
      <c r="F29" s="46" t="str">
        <f aca="false">IF($AE29="","",IF($AE29&lt;=1200,IF(INDEX(对接源_01水果!$I$4:$I$1203,$AE29)=0,"",INDEX(对接源_01水果!$I$4:$I$1203,$AE29)),IF(INDEX(对接源_02物料!$I$4:$I$1203,$AE29-1200)=0,"",INDEX(对接源_02物料!$I$4:$I$1203,$AE29-1200))))</f>
        <v>筐</v>
      </c>
      <c r="G29" s="56" t="n">
        <f aca="false">IF($AE29="","",IF($AE29&lt;=1200,IF(INDEX(对接源_01水果!$J$4:$J$1203,$AE29)=0,"",INDEX(对接源_01水果!$J$4:$J$1203,$AE29)),IF(INDEX(对接源_02物料!$J$4:$J$1203,$AE29-1200)=0,"",INDEX(对接源_02物料!$J$4:$J$1203,$AE29-1200))))</f>
        <v>585</v>
      </c>
      <c r="H29" s="46" t="str">
        <f aca="false">IF($AE29="","",IF($AE29&lt;=1200,IF(INDEX(对接源_01水果!$W$4:$W$1203,$AE29)=0,"",INDEX(对接源_01水果!$W$4:$W$1203,$AE29)),IF(INDEX(对接源_02物料!$W$4:$W$1203,$AE29-1200)=0,"",INDEX(对接源_02物料!$W$4:$W$1203,$AE29-1200))))</f>
        <v>豫L*88X19</v>
      </c>
      <c r="I29" s="46" t="str">
        <f aca="false">IF($AE29="","",IF($AE29&lt;=1200,IF(INDEX(对接源_01水果!$C$4:$C$1203,$AE29)=0,"",INDEX(对接源_01水果!$C$4:$C$1203,$AE29)),IF(INDEX(对接源_02物料!$C$4:$C$1203,$AE29-1200)=0,"",INDEX(对接源_02物料!$C$4:$C$1203,$AE29-1200))))</f>
        <v>王照雪</v>
      </c>
      <c r="J29" s="47" t="str">
        <f aca="false"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L29" s="59" t="str">
        <f aca="false">IFERROR(INDEX($D$6:$D$125,MATCH(18,AK$6:AK$125,0)),"")</f>
        <v/>
      </c>
      <c r="M29" s="60" t="str">
        <f aca="false">IF($L29="","",SUMIF($D$6:$D$125,$L29,$E$6:$E$125))</f>
        <v/>
      </c>
      <c r="N29" s="61" t="str">
        <f aca="false">IF($L29="","",ROUND(SUMIF($D$6:$D$125,$L29,$G$6:$G$125),2))</f>
        <v/>
      </c>
      <c r="AE29" s="44" t="n">
        <f aca="false">IFERROR(MATCH(24,_自动清单!$AA$4:$AA$2403,0),"")</f>
        <v>195</v>
      </c>
      <c r="AI29" s="44" t="str">
        <f aca="false">IF($D29="","",$D29)</f>
        <v>香梨二级</v>
      </c>
      <c r="AJ29" s="44" t="n">
        <f aca="false">IF(AI29="",0,IF(MATCH(AI29,AI$6:AI$125,0)=24,1,0))</f>
        <v>1</v>
      </c>
      <c r="AK29" s="44" t="n">
        <f aca="false">N(AK28)+AJ29</f>
        <v>7</v>
      </c>
    </row>
    <row r="30" customFormat="false" ht="18" hidden="false" customHeight="true" outlineLevel="0" collapsed="false">
      <c r="A30" s="40" t="n">
        <f aca="false">IF($AE30="","",IF($AE30&lt;=1200,IF(INDEX(对接源_01水果!$B$4:$B$1203,$AE30)=0,"",INDEX(对接源_01水果!$B$4:$B$1203,$AE30)),IF(INDEX(对接源_02物料!$B$4:$B$1203,$AE30-1200)=0,"",INDEX(对接源_02物料!$B$4:$B$1203,$AE30-1200))))</f>
        <v>46277</v>
      </c>
      <c r="B30" s="41" t="str">
        <f aca="false">IF($AE30="","",IF($AE30&lt;=1200,IF(INDEX(对接源_01水果!$E$4:$E$1203,$AE30)=0,"",INDEX(对接源_01水果!$E$4:$E$1203,$AE30)),IF(INDEX(对接源_02物料!$E$4:$E$1203,$AE30-1200)=0,"",INDEX(对接源_02物料!$E$4:$E$1203,$AE30-1200))))</f>
        <v>NO:0000789</v>
      </c>
      <c r="C30" s="41" t="str">
        <f aca="false">IF($AE30="","",IF($AE30&lt;=1200,IF(INDEX(对接源_01水果!$F$4:$F$1203,$AE30)=0,"",INDEX(对接源_01水果!$F$4:$F$1203,$AE30)),IF(INDEX(对接源_02物料!$F$4:$F$1203,$AE30-1200)=0,"",INDEX(对接源_02物料!$F$4:$F$1203,$AE30-1200))))</f>
        <v>香梨</v>
      </c>
      <c r="D30" s="41" t="str">
        <f aca="false">IF($AE30="","",IF($AE30&lt;=1200,IF(INDEX(对接源_01水果!$G$4:$G$1203,$AE30)=0,"",INDEX(对接源_01水果!$G$4:$G$1203,$AE30)),IF(INDEX(对接源_02物料!$G$4:$G$1203,$AE30-1200)=0,"",INDEX(对接源_02物料!$G$4:$G$1203,$AE30-1200))))</f>
        <v>香梨副特</v>
      </c>
      <c r="E30" s="43" t="n">
        <f aca="false">IF($AE30="","",IF($AE30&lt;=1200,IF(INDEX(对接源_01水果!$H$4:$H$1203,$AE30)=0,"",INDEX(对接源_01水果!$H$4:$H$1203,$AE30)),IF(INDEX(对接源_02物料!$H$4:$H$1203,$AE30-1200)=0,"",INDEX(对接源_02物料!$H$4:$H$1203,$AE30-1200))))</f>
        <v>89</v>
      </c>
      <c r="F30" s="41" t="str">
        <f aca="false">IF($AE30="","",IF($AE30&lt;=1200,IF(INDEX(对接源_01水果!$I$4:$I$1203,$AE30)=0,"",INDEX(对接源_01水果!$I$4:$I$1203,$AE30)),IF(INDEX(对接源_02物料!$I$4:$I$1203,$AE30-1200)=0,"",INDEX(对接源_02物料!$I$4:$I$1203,$AE30-1200))))</f>
        <v>筐</v>
      </c>
      <c r="G30" s="55" t="n">
        <f aca="false">IF($AE30="","",IF($AE30&lt;=1200,IF(INDEX(对接源_01水果!$J$4:$J$1203,$AE30)=0,"",INDEX(对接源_01水果!$J$4:$J$1203,$AE30)),IF(INDEX(对接源_02物料!$J$4:$J$1203,$AE30-1200)=0,"",INDEX(对接源_02物料!$J$4:$J$1203,$AE30-1200))))</f>
        <v>1646.5</v>
      </c>
      <c r="H30" s="41" t="str">
        <f aca="false">IF($AE30="","",IF($AE30&lt;=1200,IF(INDEX(对接源_01水果!$W$4:$W$1203,$AE30)=0,"",INDEX(对接源_01水果!$W$4:$W$1203,$AE30)),IF(INDEX(对接源_02物料!$W$4:$W$1203,$AE30-1200)=0,"",INDEX(对接源_02物料!$W$4:$W$1203,$AE30-1200))))</f>
        <v>豫L*88X19</v>
      </c>
      <c r="I30" s="41" t="str">
        <f aca="false">IF($AE30="","",IF($AE30&lt;=1200,IF(INDEX(对接源_01水果!$C$4:$C$1203,$AE30)=0,"",INDEX(对接源_01水果!$C$4:$C$1203,$AE30)),IF(INDEX(对接源_02物料!$C$4:$C$1203,$AE30-1200)=0,"",INDEX(对接源_02物料!$C$4:$C$1203,$AE30-1200))))</f>
        <v>王照雪</v>
      </c>
      <c r="J30" s="42" t="str">
        <f aca="false"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L30" s="62" t="s">
        <v>124</v>
      </c>
      <c r="M30" s="63" t="n">
        <f aca="false">ROUND(SUM(M12:M29),0)</f>
        <v>2635</v>
      </c>
      <c r="N30" s="64" t="n">
        <f aca="false">ROUND(SUM(N12:N29),2)</f>
        <v>46250.1</v>
      </c>
      <c r="AE30" s="44" t="n">
        <f aca="false">IFERROR(MATCH(25,_自动清单!$AA$4:$AA$2403,0),"")</f>
        <v>196</v>
      </c>
      <c r="AI30" s="44" t="str">
        <f aca="false">IF($D30="","",$D30)</f>
        <v>香梨副特</v>
      </c>
      <c r="AJ30" s="44" t="n">
        <f aca="false">IF(AI30="",0,IF(MATCH(AI30,AI$6:AI$125,0)=25,1,0))</f>
        <v>0</v>
      </c>
      <c r="AK30" s="44" t="n">
        <f aca="false">N(AK29)+AJ30</f>
        <v>7</v>
      </c>
    </row>
    <row r="31" customFormat="false" ht="18" hidden="false" customHeight="true" outlineLevel="0" collapsed="false">
      <c r="A31" s="45" t="n">
        <f aca="false">IF($AE31="","",IF($AE31&lt;=1200,IF(INDEX(对接源_01水果!$B$4:$B$1203,$AE31)=0,"",INDEX(对接源_01水果!$B$4:$B$1203,$AE31)),IF(INDEX(对接源_02物料!$B$4:$B$1203,$AE31-1200)=0,"",INDEX(对接源_02物料!$B$4:$B$1203,$AE31-1200))))</f>
        <v>46277</v>
      </c>
      <c r="B31" s="46" t="str">
        <f aca="false">IF($AE31="","",IF($AE31&lt;=1200,IF(INDEX(对接源_01水果!$E$4:$E$1203,$AE31)=0,"",INDEX(对接源_01水果!$E$4:$E$1203,$AE31)),IF(INDEX(对接源_02物料!$E$4:$E$1203,$AE31-1200)=0,"",INDEX(对接源_02物料!$E$4:$E$1203,$AE31-1200))))</f>
        <v>NO:0000792</v>
      </c>
      <c r="C31" s="46" t="str">
        <f aca="false">IF($AE31="","",IF($AE31&lt;=1200,IF(INDEX(对接源_01水果!$F$4:$F$1203,$AE31)=0,"",INDEX(对接源_01水果!$F$4:$F$1203,$AE31)),IF(INDEX(对接源_02物料!$F$4:$F$1203,$AE31-1200)=0,"",INDEX(对接源_02物料!$F$4:$F$1203,$AE31-1200))))</f>
        <v>苹果</v>
      </c>
      <c r="D31" s="46" t="str">
        <f aca="false">IF($AE31="","",IF($AE31&lt;=1200,IF(INDEX(对接源_01水果!$G$4:$G$1203,$AE31)=0,"",INDEX(对接源_01水果!$G$4:$G$1203,$AE31)),IF(INDEX(对接源_02物料!$G$4:$G$1203,$AE31-1200)=0,"",INDEX(对接源_02物料!$G$4:$G$1203,$AE31-1200))))</f>
        <v>新世纪一级</v>
      </c>
      <c r="E31" s="48" t="n">
        <f aca="false">IF($AE31="","",IF($AE31&lt;=1200,IF(INDEX(对接源_01水果!$H$4:$H$1203,$AE31)=0,"",INDEX(对接源_01水果!$H$4:$H$1203,$AE31)),IF(INDEX(对接源_02物料!$H$4:$H$1203,$AE31-1200)=0,"",INDEX(对接源_02物料!$H$4:$H$1203,$AE31-1200))))</f>
        <v>110</v>
      </c>
      <c r="F31" s="46" t="str">
        <f aca="false">IF($AE31="","",IF($AE31&lt;=1200,IF(INDEX(对接源_01水果!$I$4:$I$1203,$AE31)=0,"",INDEX(对接源_01水果!$I$4:$I$1203,$AE31)),IF(INDEX(对接源_02物料!$I$4:$I$1203,$AE31-1200)=0,"",INDEX(对接源_02物料!$I$4:$I$1203,$AE31-1200))))</f>
        <v>筐</v>
      </c>
      <c r="G31" s="56" t="n">
        <f aca="false">IF($AE31="","",IF($AE31&lt;=1200,IF(INDEX(对接源_01水果!$J$4:$J$1203,$AE31)=0,"",INDEX(对接源_01水果!$J$4:$J$1203,$AE31)),IF(INDEX(对接源_02物料!$J$4:$J$1203,$AE31-1200)=0,"",INDEX(对接源_02物料!$J$4:$J$1203,$AE31-1200))))</f>
        <v>1903</v>
      </c>
      <c r="H31" s="46" t="str">
        <f aca="false">IF($AE31="","",IF($AE31&lt;=1200,IF(INDEX(对接源_01水果!$W$4:$W$1203,$AE31)=0,"",INDEX(对接源_01水果!$W$4:$W$1203,$AE31)),IF(INDEX(对接源_02物料!$W$4:$W$1203,$AE31-1200)=0,"",INDEX(对接源_02物料!$W$4:$W$1203,$AE31-1200))))</f>
        <v>豫L*88X19</v>
      </c>
      <c r="I31" s="46" t="str">
        <f aca="false">IF($AE31="","",IF($AE31&lt;=1200,IF(INDEX(对接源_01水果!$C$4:$C$1203,$AE31)=0,"",INDEX(对接源_01水果!$C$4:$C$1203,$AE31)),IF(INDEX(对接源_02物料!$C$4:$C$1203,$AE31-1200)=0,"",INDEX(对接源_02物料!$C$4:$C$1203,$AE31-1200))))</f>
        <v>王照雪</v>
      </c>
      <c r="J31" s="47" t="str">
        <f aca="false"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L31" s="65"/>
      <c r="M31" s="66"/>
      <c r="N31" s="67"/>
      <c r="AE31" s="44" t="n">
        <f aca="false">IFERROR(MATCH(26,_自动清单!$AA$4:$AA$2403,0),"")</f>
        <v>200</v>
      </c>
      <c r="AI31" s="44" t="str">
        <f aca="false">IF($D31="","",$D31)</f>
        <v>新世纪一级</v>
      </c>
      <c r="AJ31" s="44" t="n">
        <f aca="false">IF(AI31="",0,IF(MATCH(AI31,AI$6:AI$125,0)=26,1,0))</f>
        <v>1</v>
      </c>
      <c r="AK31" s="44" t="n">
        <f aca="false">N(AK30)+AJ31</f>
        <v>8</v>
      </c>
    </row>
    <row r="32" customFormat="false" ht="18" hidden="false" customHeight="true" outlineLevel="0" collapsed="false">
      <c r="A32" s="40" t="n">
        <f aca="false">IF($AE32="","",IF($AE32&lt;=1200,IF(INDEX(对接源_01水果!$B$4:$B$1203,$AE32)=0,"",INDEX(对接源_01水果!$B$4:$B$1203,$AE32)),IF(INDEX(对接源_02物料!$B$4:$B$1203,$AE32-1200)=0,"",INDEX(对接源_02物料!$B$4:$B$1203,$AE32-1200))))</f>
        <v>46277</v>
      </c>
      <c r="B32" s="41" t="str">
        <f aca="false">IF($AE32="","",IF($AE32&lt;=1200,IF(INDEX(对接源_01水果!$E$4:$E$1203,$AE32)=0,"",INDEX(对接源_01水果!$E$4:$E$1203,$AE32)),IF(INDEX(对接源_02物料!$E$4:$E$1203,$AE32-1200)=0,"",INDEX(对接源_02物料!$E$4:$E$1203,$AE32-1200))))</f>
        <v>NO:0000792</v>
      </c>
      <c r="C32" s="41" t="str">
        <f aca="false">IF($AE32="","",IF($AE32&lt;=1200,IF(INDEX(对接源_01水果!$F$4:$F$1203,$AE32)=0,"",INDEX(对接源_01水果!$F$4:$F$1203,$AE32)),IF(INDEX(对接源_02物料!$F$4:$F$1203,$AE32-1200)=0,"",INDEX(对接源_02物料!$F$4:$F$1203,$AE32-1200))))</f>
        <v>苹果</v>
      </c>
      <c r="D32" s="41" t="str">
        <f aca="false">IF($AE32="","",IF($AE32&lt;=1200,IF(INDEX(对接源_01水果!$G$4:$G$1203,$AE32)=0,"",INDEX(对接源_01水果!$G$4:$G$1203,$AE32)),IF(INDEX(对接源_02物料!$G$4:$G$1203,$AE32-1200)=0,"",INDEX(对接源_02物料!$G$4:$G$1203,$AE32-1200))))</f>
        <v>新世纪二级</v>
      </c>
      <c r="E32" s="43" t="n">
        <f aca="false">IF($AE32="","",IF($AE32&lt;=1200,IF(INDEX(对接源_01水果!$H$4:$H$1203,$AE32)=0,"",INDEX(对接源_01水果!$H$4:$H$1203,$AE32)),IF(INDEX(对接源_02物料!$H$4:$H$1203,$AE32-1200)=0,"",INDEX(对接源_02物料!$H$4:$H$1203,$AE32-1200))))</f>
        <v>58</v>
      </c>
      <c r="F32" s="41" t="str">
        <f aca="false">IF($AE32="","",IF($AE32&lt;=1200,IF(INDEX(对接源_01水果!$I$4:$I$1203,$AE32)=0,"",INDEX(对接源_01水果!$I$4:$I$1203,$AE32)),IF(INDEX(对接源_02物料!$I$4:$I$1203,$AE32-1200)=0,"",INDEX(对接源_02物料!$I$4:$I$1203,$AE32-1200))))</f>
        <v>筐</v>
      </c>
      <c r="G32" s="55" t="n">
        <f aca="false">IF($AE32="","",IF($AE32&lt;=1200,IF(INDEX(对接源_01水果!$J$4:$J$1203,$AE32)=0,"",INDEX(对接源_01水果!$J$4:$J$1203,$AE32)),IF(INDEX(对接源_02物料!$J$4:$J$1203,$AE32-1200)=0,"",INDEX(对接源_02物料!$J$4:$J$1203,$AE32-1200))))</f>
        <v>1293.4</v>
      </c>
      <c r="H32" s="41" t="str">
        <f aca="false">IF($AE32="","",IF($AE32&lt;=1200,IF(INDEX(对接源_01水果!$W$4:$W$1203,$AE32)=0,"",INDEX(对接源_01水果!$W$4:$W$1203,$AE32)),IF(INDEX(对接源_02物料!$W$4:$W$1203,$AE32-1200)=0,"",INDEX(对接源_02物料!$W$4:$W$1203,$AE32-1200))))</f>
        <v>豫L*88X19</v>
      </c>
      <c r="I32" s="41" t="str">
        <f aca="false">IF($AE32="","",IF($AE32&lt;=1200,IF(INDEX(对接源_01水果!$C$4:$C$1203,$AE32)=0,"",INDEX(对接源_01水果!$C$4:$C$1203,$AE32)),IF(INDEX(对接源_02物料!$C$4:$C$1203,$AE32-1200)=0,"",INDEX(对接源_02物料!$C$4:$C$1203,$AE32-1200))))</f>
        <v>王照雪</v>
      </c>
      <c r="J32" s="42" t="str">
        <f aca="false"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L32" s="57" t="s">
        <v>125</v>
      </c>
      <c r="M32" s="57"/>
      <c r="N32" s="57"/>
      <c r="AE32" s="44" t="n">
        <f aca="false">IFERROR(MATCH(27,_自动清单!$AA$4:$AA$2403,0),"")</f>
        <v>201</v>
      </c>
      <c r="AI32" s="44" t="str">
        <f aca="false">IF($D32="","",$D32)</f>
        <v>新世纪二级</v>
      </c>
      <c r="AJ32" s="44" t="n">
        <f aca="false">IF(AI32="",0,IF(MATCH(AI32,AI$6:AI$125,0)=27,1,0))</f>
        <v>1</v>
      </c>
      <c r="AK32" s="44" t="n">
        <f aca="false">N(AK31)+AJ32</f>
        <v>9</v>
      </c>
    </row>
    <row r="33" customFormat="false" ht="18" hidden="false" customHeight="true" outlineLevel="0" collapsed="false">
      <c r="A33" s="45" t="n">
        <f aca="false">IF($AE33="","",IF($AE33&lt;=1200,IF(INDEX(对接源_01水果!$B$4:$B$1203,$AE33)=0,"",INDEX(对接源_01水果!$B$4:$B$1203,$AE33)),IF(INDEX(对接源_02物料!$B$4:$B$1203,$AE33-1200)=0,"",INDEX(对接源_02物料!$B$4:$B$1203,$AE33-1200))))</f>
        <v>46278</v>
      </c>
      <c r="B33" s="46" t="str">
        <f aca="false">IF($AE33="","",IF($AE33&lt;=1200,IF(INDEX(对接源_01水果!$E$4:$E$1203,$AE33)=0,"",INDEX(对接源_01水果!$E$4:$E$1203,$AE33)),IF(INDEX(对接源_02物料!$E$4:$E$1203,$AE33-1200)=0,"",INDEX(对接源_02物料!$E$4:$E$1203,$AE33-1200))))</f>
        <v>NO:0000855</v>
      </c>
      <c r="C33" s="46" t="str">
        <f aca="false">IF($AE33="","",IF($AE33&lt;=1200,IF(INDEX(对接源_01水果!$F$4:$F$1203,$AE33)=0,"",INDEX(对接源_01水果!$F$4:$F$1203,$AE33)),IF(INDEX(对接源_02物料!$F$4:$F$1203,$AE33-1200)=0,"",INDEX(对接源_02物料!$F$4:$F$1203,$AE33-1200))))</f>
        <v>苹果</v>
      </c>
      <c r="D33" s="46" t="str">
        <f aca="false">IF($AE33="","",IF($AE33&lt;=1200,IF(INDEX(对接源_01水果!$G$4:$G$1203,$AE33)=0,"",INDEX(对接源_01水果!$G$4:$G$1203,$AE33)),IF(INDEX(对接源_02物料!$G$4:$G$1203,$AE33-1200)=0,"",INDEX(对接源_02物料!$G$4:$G$1203,$AE33-1200))))</f>
        <v>新世纪特级</v>
      </c>
      <c r="E33" s="48" t="n">
        <f aca="false">IF($AE33="","",IF($AE33&lt;=1200,IF(INDEX(对接源_01水果!$H$4:$H$1203,$AE33)=0,"",INDEX(对接源_01水果!$H$4:$H$1203,$AE33)),IF(INDEX(对接源_02物料!$H$4:$H$1203,$AE33-1200)=0,"",INDEX(对接源_02物料!$H$4:$H$1203,$AE33-1200))))</f>
        <v>73</v>
      </c>
      <c r="F33" s="46" t="str">
        <f aca="false">IF($AE33="","",IF($AE33&lt;=1200,IF(INDEX(对接源_01水果!$I$4:$I$1203,$AE33)=0,"",INDEX(对接源_01水果!$I$4:$I$1203,$AE33)),IF(INDEX(对接源_02物料!$I$4:$I$1203,$AE33-1200)=0,"",INDEX(对接源_02物料!$I$4:$I$1203,$AE33-1200))))</f>
        <v>筐</v>
      </c>
      <c r="G33" s="56" t="n">
        <f aca="false">IF($AE33="","",IF($AE33&lt;=1200,IF(INDEX(对接源_01水果!$J$4:$J$1203,$AE33)=0,"",INDEX(对接源_01水果!$J$4:$J$1203,$AE33)),IF(INDEX(对接源_02物料!$J$4:$J$1203,$AE33-1200)=0,"",INDEX(对接源_02物料!$J$4:$J$1203,$AE33-1200))))</f>
        <v>1262.9</v>
      </c>
      <c r="H33" s="46" t="str">
        <f aca="false">IF($AE33="","",IF($AE33&lt;=1200,IF(INDEX(对接源_01水果!$W$4:$W$1203,$AE33)=0,"",INDEX(对接源_01水果!$W$4:$W$1203,$AE33)),IF(INDEX(对接源_02物料!$W$4:$W$1203,$AE33-1200)=0,"",INDEX(对接源_02物料!$W$4:$W$1203,$AE33-1200))))</f>
        <v>豫L*88X19</v>
      </c>
      <c r="I33" s="46" t="str">
        <f aca="false">IF($AE33="","",IF($AE33&lt;=1200,IF(INDEX(对接源_01水果!$C$4:$C$1203,$AE33)=0,"",INDEX(对接源_01水果!$C$4:$C$1203,$AE33)),IF(INDEX(对接源_02物料!$C$4:$C$1203,$AE33-1200)=0,"",INDEX(对接源_02物料!$C$4:$C$1203,$AE33-1200))))</f>
        <v>王照雪</v>
      </c>
      <c r="J33" s="47" t="str">
        <f aca="false"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L33" s="58" t="s">
        <v>112</v>
      </c>
      <c r="M33" s="68" t="s">
        <v>122</v>
      </c>
      <c r="N33" s="69" t="s">
        <v>123</v>
      </c>
      <c r="AE33" s="44" t="n">
        <f aca="false">IFERROR(MATCH(28,_自动清单!$AA$4:$AA$2403,0),"")</f>
        <v>225</v>
      </c>
      <c r="AI33" s="44" t="str">
        <f aca="false">IF($D33="","",$D33)</f>
        <v>新世纪特级</v>
      </c>
      <c r="AJ33" s="44" t="n">
        <f aca="false">IF(AI33="",0,IF(MATCH(AI33,AI$6:AI$125,0)=28,1,0))</f>
        <v>1</v>
      </c>
      <c r="AK33" s="44" t="n">
        <f aca="false">N(AK32)+AJ33</f>
        <v>10</v>
      </c>
    </row>
    <row r="34" customFormat="false" ht="18" hidden="false" customHeight="true" outlineLevel="0" collapsed="false">
      <c r="A34" s="40" t="n">
        <f aca="false">IF($AE34="","",IF($AE34&lt;=1200,IF(INDEX(对接源_01水果!$B$4:$B$1203,$AE34)=0,"",INDEX(对接源_01水果!$B$4:$B$1203,$AE34)),IF(INDEX(对接源_02物料!$B$4:$B$1203,$AE34-1200)=0,"",INDEX(对接源_02物料!$B$4:$B$1203,$AE34-1200))))</f>
        <v>46278</v>
      </c>
      <c r="B34" s="41" t="str">
        <f aca="false">IF($AE34="","",IF($AE34&lt;=1200,IF(INDEX(对接源_01水果!$E$4:$E$1203,$AE34)=0,"",INDEX(对接源_01水果!$E$4:$E$1203,$AE34)),IF(INDEX(对接源_02物料!$E$4:$E$1203,$AE34-1200)=0,"",INDEX(对接源_02物料!$E$4:$E$1203,$AE34-1200))))</f>
        <v>NO:0000855</v>
      </c>
      <c r="C34" s="41" t="str">
        <f aca="false">IF($AE34="","",IF($AE34&lt;=1200,IF(INDEX(对接源_01水果!$F$4:$F$1203,$AE34)=0,"",INDEX(对接源_01水果!$F$4:$F$1203,$AE34)),IF(INDEX(对接源_02物料!$F$4:$F$1203,$AE34-1200)=0,"",INDEX(对接源_02物料!$F$4:$F$1203,$AE34-1200))))</f>
        <v>苹果</v>
      </c>
      <c r="D34" s="41" t="str">
        <f aca="false">IF($AE34="","",IF($AE34&lt;=1200,IF(INDEX(对接源_01水果!$G$4:$G$1203,$AE34)=0,"",INDEX(对接源_01水果!$G$4:$G$1203,$AE34)),IF(INDEX(对接源_02物料!$G$4:$G$1203,$AE34-1200)=0,"",INDEX(对接源_02物料!$G$4:$G$1203,$AE34-1200))))</f>
        <v>新世纪一级</v>
      </c>
      <c r="E34" s="43" t="n">
        <f aca="false">IF($AE34="","",IF($AE34&lt;=1200,IF(INDEX(对接源_01水果!$H$4:$H$1203,$AE34)=0,"",INDEX(对接源_01水果!$H$4:$H$1203,$AE34)),IF(INDEX(对接源_02物料!$H$4:$H$1203,$AE34-1200)=0,"",INDEX(对接源_02物料!$H$4:$H$1203,$AE34-1200))))</f>
        <v>182</v>
      </c>
      <c r="F34" s="41" t="str">
        <f aca="false">IF($AE34="","",IF($AE34&lt;=1200,IF(INDEX(对接源_01水果!$I$4:$I$1203,$AE34)=0,"",INDEX(对接源_01水果!$I$4:$I$1203,$AE34)),IF(INDEX(对接源_02物料!$I$4:$I$1203,$AE34-1200)=0,"",INDEX(对接源_02物料!$I$4:$I$1203,$AE34-1200))))</f>
        <v>筐</v>
      </c>
      <c r="G34" s="55" t="n">
        <f aca="false">IF($AE34="","",IF($AE34&lt;=1200,IF(INDEX(对接源_01水果!$J$4:$J$1203,$AE34)=0,"",INDEX(对接源_01水果!$J$4:$J$1203,$AE34)),IF(INDEX(对接源_02物料!$J$4:$J$1203,$AE34-1200)=0,"",INDEX(对接源_02物料!$J$4:$J$1203,$AE34-1200))))</f>
        <v>3148.6</v>
      </c>
      <c r="H34" s="41" t="str">
        <f aca="false">IF($AE34="","",IF($AE34&lt;=1200,IF(INDEX(对接源_01水果!$W$4:$W$1203,$AE34)=0,"",INDEX(对接源_01水果!$W$4:$W$1203,$AE34)),IF(INDEX(对接源_02物料!$W$4:$W$1203,$AE34-1200)=0,"",INDEX(对接源_02物料!$W$4:$W$1203,$AE34-1200))))</f>
        <v>豫L*88X19</v>
      </c>
      <c r="I34" s="41" t="str">
        <f aca="false">IF($AE34="","",IF($AE34&lt;=1200,IF(INDEX(对接源_01水果!$C$4:$C$1203,$AE34)=0,"",INDEX(对接源_01水果!$C$4:$C$1203,$AE34)),IF(INDEX(对接源_02物料!$C$4:$C$1203,$AE34-1200)=0,"",INDEX(对接源_02物料!$C$4:$C$1203,$AE34-1200))))</f>
        <v>王照雪</v>
      </c>
      <c r="J34" s="42" t="str">
        <f aca="false"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L34" s="59" t="str">
        <f aca="false">IFERROR(INDEX($D$129:$D$208,MATCH(1,AN$129:AN$208,0)),"")</f>
        <v>樱桃李</v>
      </c>
      <c r="M34" s="60" t="n">
        <f aca="false">IF($L34="","",SUMIF($D$129:$D$208,$L34,$E$129:$E$208))</f>
        <v>422</v>
      </c>
      <c r="N34" s="61" t="n">
        <f aca="false">IF($L34="","",ROUND(SUMIF($D$129:$D$208,$L34,$G$129:$G$208),2))</f>
        <v>6878.6</v>
      </c>
      <c r="AE34" s="44" t="n">
        <f aca="false">IFERROR(MATCH(29,_自动清单!$AA$4:$AA$2403,0),"")</f>
        <v>226</v>
      </c>
      <c r="AI34" s="44" t="str">
        <f aca="false">IF($D34="","",$D34)</f>
        <v>新世纪一级</v>
      </c>
      <c r="AJ34" s="44" t="n">
        <f aca="false">IF(AI34="",0,IF(MATCH(AI34,AI$6:AI$125,0)=29,1,0))</f>
        <v>0</v>
      </c>
      <c r="AK34" s="44" t="n">
        <f aca="false">N(AK33)+AJ34</f>
        <v>10</v>
      </c>
    </row>
    <row r="35" customFormat="false" ht="18" hidden="false" customHeight="true" outlineLevel="0" collapsed="false">
      <c r="A35" s="45" t="n">
        <f aca="false">IF($AE35="","",IF($AE35&lt;=1200,IF(INDEX(对接源_01水果!$B$4:$B$1203,$AE35)=0,"",INDEX(对接源_01水果!$B$4:$B$1203,$AE35)),IF(INDEX(对接源_02物料!$B$4:$B$1203,$AE35-1200)=0,"",INDEX(对接源_02物料!$B$4:$B$1203,$AE35-1200))))</f>
        <v>46278</v>
      </c>
      <c r="B35" s="46" t="str">
        <f aca="false">IF($AE35="","",IF($AE35&lt;=1200,IF(INDEX(对接源_01水果!$E$4:$E$1203,$AE35)=0,"",INDEX(对接源_01水果!$E$4:$E$1203,$AE35)),IF(INDEX(对接源_02物料!$E$4:$E$1203,$AE35-1200)=0,"",INDEX(对接源_02物料!$E$4:$E$1203,$AE35-1200))))</f>
        <v>NO:0000855</v>
      </c>
      <c r="C35" s="46" t="str">
        <f aca="false">IF($AE35="","",IF($AE35&lt;=1200,IF(INDEX(对接源_01水果!$F$4:$F$1203,$AE35)=0,"",INDEX(对接源_01水果!$F$4:$F$1203,$AE35)),IF(INDEX(对接源_02物料!$F$4:$F$1203,$AE35-1200)=0,"",INDEX(对接源_02物料!$F$4:$F$1203,$AE35-1200))))</f>
        <v>苹果</v>
      </c>
      <c r="D35" s="46" t="str">
        <f aca="false">IF($AE35="","",IF($AE35&lt;=1200,IF(INDEX(对接源_01水果!$G$4:$G$1203,$AE35)=0,"",INDEX(对接源_01水果!$G$4:$G$1203,$AE35)),IF(INDEX(对接源_02物料!$G$4:$G$1203,$AE35-1200)=0,"",INDEX(对接源_02物料!$G$4:$G$1203,$AE35-1200))))</f>
        <v>新世纪二级</v>
      </c>
      <c r="E35" s="48" t="n">
        <f aca="false">IF($AE35="","",IF($AE35&lt;=1200,IF(INDEX(对接源_01水果!$H$4:$H$1203,$AE35)=0,"",INDEX(对接源_01水果!$H$4:$H$1203,$AE35)),IF(INDEX(对接源_02物料!$H$4:$H$1203,$AE35-1200)=0,"",INDEX(对接源_02物料!$H$4:$H$1203,$AE35-1200))))</f>
        <v>74</v>
      </c>
      <c r="F35" s="46" t="str">
        <f aca="false">IF($AE35="","",IF($AE35&lt;=1200,IF(INDEX(对接源_01水果!$I$4:$I$1203,$AE35)=0,"",INDEX(对接源_01水果!$I$4:$I$1203,$AE35)),IF(INDEX(对接源_02物料!$I$4:$I$1203,$AE35-1200)=0,"",INDEX(对接源_02物料!$I$4:$I$1203,$AE35-1200))))</f>
        <v>筐</v>
      </c>
      <c r="G35" s="56" t="n">
        <f aca="false">IF($AE35="","",IF($AE35&lt;=1200,IF(INDEX(对接源_01水果!$J$4:$J$1203,$AE35)=0,"",INDEX(对接源_01水果!$J$4:$J$1203,$AE35)),IF(INDEX(对接源_02物料!$J$4:$J$1203,$AE35-1200)=0,"",INDEX(对接源_02物料!$J$4:$J$1203,$AE35-1200))))</f>
        <v>1650.2</v>
      </c>
      <c r="H35" s="46" t="str">
        <f aca="false">IF($AE35="","",IF($AE35&lt;=1200,IF(INDEX(对接源_01水果!$W$4:$W$1203,$AE35)=0,"",INDEX(对接源_01水果!$W$4:$W$1203,$AE35)),IF(INDEX(对接源_02物料!$W$4:$W$1203,$AE35-1200)=0,"",INDEX(对接源_02物料!$W$4:$W$1203,$AE35-1200))))</f>
        <v>豫L*88X19</v>
      </c>
      <c r="I35" s="46" t="str">
        <f aca="false">IF($AE35="","",IF($AE35&lt;=1200,IF(INDEX(对接源_01水果!$C$4:$C$1203,$AE35)=0,"",INDEX(对接源_01水果!$C$4:$C$1203,$AE35)),IF(INDEX(对接源_02物料!$C$4:$C$1203,$AE35-1200)=0,"",INDEX(对接源_02物料!$C$4:$C$1203,$AE35-1200))))</f>
        <v>王照雪</v>
      </c>
      <c r="J35" s="47" t="str">
        <f aca="false"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L35" s="59" t="str">
        <f aca="false">IFERROR(INDEX($D$129:$D$208,MATCH(2,AN$129:AN$208,0)),"")</f>
        <v>华硕高次</v>
      </c>
      <c r="M35" s="60" t="n">
        <f aca="false">IF($L35="","",SUMIF($D$129:$D$208,$L35,$E$129:$E$208))</f>
        <v>174</v>
      </c>
      <c r="N35" s="61" t="n">
        <f aca="false">IF($L35="","",ROUND(SUMIF($D$129:$D$208,$L35,$G$129:$G$208),2))</f>
        <v>17.3</v>
      </c>
      <c r="AE35" s="44" t="n">
        <f aca="false">IFERROR(MATCH(30,_自动清单!$AA$4:$AA$2403,0),"")</f>
        <v>227</v>
      </c>
      <c r="AI35" s="44" t="str">
        <f aca="false">IF($D35="","",$D35)</f>
        <v>新世纪二级</v>
      </c>
      <c r="AJ35" s="44" t="n">
        <f aca="false">IF(AI35="",0,IF(MATCH(AI35,AI$6:AI$125,0)=30,1,0))</f>
        <v>0</v>
      </c>
      <c r="AK35" s="44" t="n">
        <f aca="false">N(AK34)+AJ35</f>
        <v>10</v>
      </c>
    </row>
    <row r="36" customFormat="false" ht="18" hidden="false" customHeight="true" outlineLevel="0" collapsed="false">
      <c r="A36" s="40" t="str">
        <f aca="false"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41" t="str">
        <f aca="false"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41" t="str">
        <f aca="false"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41" t="str">
        <f aca="false">IF($AE36="","",IF($AE36&lt;=1200,IF(INDEX(对接源_01水果!$G$4:$G$1203,$AE36)=0,"",INDEX(对接源_01水果!$G$4:$G$1203,$AE36)),IF(INDEX(对接源_02物料!$G$4:$G$1203,$AE36-1200)=0,"",INDEX(对接源_02物料!$G$4:$G$1203,$AE36-1200))))</f>
        <v/>
      </c>
      <c r="E36" s="43" t="str">
        <f aca="false"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41" t="str">
        <f aca="false"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55" t="str">
        <f aca="false">IF($AE36="","",IF($AE36&lt;=1200,IF(INDEX(对接源_01水果!$J$4:$J$1203,$AE36)=0,"",INDEX(对接源_01水果!$J$4:$J$1203,$AE36)),IF(INDEX(对接源_02物料!$J$4:$J$1203,$AE36-1200)=0,"",INDEX(对接源_02物料!$J$4:$J$1203,$AE36-1200))))</f>
        <v/>
      </c>
      <c r="H36" s="41" t="str">
        <f aca="false"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I36" s="41" t="str">
        <f aca="false"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J36" s="42" t="str">
        <f aca="false"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L36" s="59" t="str">
        <f aca="false">IFERROR(INDEX($D$129:$D$208,MATCH(3,AN$129:AN$208,0)),"")</f>
        <v>华硕一级</v>
      </c>
      <c r="M36" s="60" t="n">
        <f aca="false">IF($L36="","",SUMIF($D$129:$D$208,$L36,$E$129:$E$208))</f>
        <v>670</v>
      </c>
      <c r="N36" s="61" t="n">
        <f aca="false">IF($L36="","",ROUND(SUMIF($D$129:$D$208,$L36,$G$129:$G$208),2))</f>
        <v>0</v>
      </c>
      <c r="AE36" s="44" t="str">
        <f aca="false">IFERROR(MATCH(31,_自动清单!$AA$4:$AA$2403,0),"")</f>
        <v/>
      </c>
      <c r="AI36" s="44" t="str">
        <f aca="false">IF($D36="","",$D36)</f>
        <v/>
      </c>
      <c r="AJ36" s="44" t="n">
        <f aca="false">IF(AI36="",0,IF(MATCH(AI36,AI$6:AI$125,0)=31,1,0))</f>
        <v>0</v>
      </c>
      <c r="AK36" s="44" t="n">
        <f aca="false">N(AK35)+AJ36</f>
        <v>10</v>
      </c>
    </row>
    <row r="37" customFormat="false" ht="18" hidden="false" customHeight="true" outlineLevel="0" collapsed="false">
      <c r="A37" s="45" t="str">
        <f aca="false"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46" t="str">
        <f aca="false"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46" t="str">
        <f aca="false"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46" t="str">
        <f aca="false"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48" t="str">
        <f aca="false"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46" t="str">
        <f aca="false"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56" t="str">
        <f aca="false">IF($AE37="","",IF($AE37&lt;=1200,IF(INDEX(对接源_01水果!$J$4:$J$1203,$AE37)=0,"",INDEX(对接源_01水果!$J$4:$J$1203,$AE37)),IF(INDEX(对接源_02物料!$J$4:$J$1203,$AE37-1200)=0,"",INDEX(对接源_02物料!$J$4:$J$1203,$AE37-1200))))</f>
        <v/>
      </c>
      <c r="H37" s="46" t="str">
        <f aca="false"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I37" s="46" t="str">
        <f aca="false"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J37" s="47" t="str">
        <f aca="false"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L37" s="59" t="str">
        <f aca="false">IFERROR(INDEX($D$129:$D$208,MATCH(4,AN$129:AN$208,0)),"")</f>
        <v>华硕二级</v>
      </c>
      <c r="M37" s="60" t="n">
        <f aca="false">IF($L37="","",SUMIF($D$129:$D$208,$L37,$E$129:$E$208))</f>
        <v>329</v>
      </c>
      <c r="N37" s="61" t="n">
        <f aca="false">IF($L37="","",ROUND(SUMIF($D$129:$D$208,$L37,$G$129:$G$208),2))</f>
        <v>0</v>
      </c>
      <c r="AE37" s="44" t="str">
        <f aca="false">IFERROR(MATCH(32,_自动清单!$AA$4:$AA$2403,0),"")</f>
        <v/>
      </c>
      <c r="AI37" s="44" t="str">
        <f aca="false">IF($D37="","",$D37)</f>
        <v/>
      </c>
      <c r="AJ37" s="44" t="n">
        <f aca="false">IF(AI37="",0,IF(MATCH(AI37,AI$6:AI$125,0)=32,1,0))</f>
        <v>0</v>
      </c>
      <c r="AK37" s="44" t="n">
        <f aca="false">N(AK36)+AJ37</f>
        <v>10</v>
      </c>
    </row>
    <row r="38" customFormat="false" ht="18" hidden="false" customHeight="true" outlineLevel="0" collapsed="false">
      <c r="A38" s="40" t="str">
        <f aca="false"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41" t="str">
        <f aca="false"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41" t="str">
        <f aca="false"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41" t="str">
        <f aca="false"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43" t="str">
        <f aca="false"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41" t="str">
        <f aca="false"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5" t="str">
        <f aca="false">IF($AE38="","",IF($AE38&lt;=1200,IF(INDEX(对接源_01水果!$J$4:$J$1203,$AE38)=0,"",INDEX(对接源_01水果!$J$4:$J$1203,$AE38)),IF(INDEX(对接源_02物料!$J$4:$J$1203,$AE38-1200)=0,"",INDEX(对接源_02物料!$J$4:$J$1203,$AE38-1200))))</f>
        <v/>
      </c>
      <c r="H38" s="41" t="str">
        <f aca="false"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I38" s="41" t="str">
        <f aca="false"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J38" s="42" t="str">
        <f aca="false"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L38" s="59" t="str">
        <f aca="false">IFERROR(INDEX($D$129:$D$208,MATCH(5,AN$129:AN$208,0)),"")</f>
        <v>香梨一级</v>
      </c>
      <c r="M38" s="60" t="n">
        <f aca="false">IF($L38="","",SUMIF($D$129:$D$208,$L38,$E$129:$E$208))</f>
        <v>3</v>
      </c>
      <c r="N38" s="61" t="n">
        <f aca="false">IF($L38="","",ROUND(SUMIF($D$129:$D$208,$L38,$G$129:$G$208),2))</f>
        <v>0</v>
      </c>
      <c r="AE38" s="44" t="str">
        <f aca="false">IFERROR(MATCH(33,_自动清单!$AA$4:$AA$2403,0),"")</f>
        <v/>
      </c>
      <c r="AI38" s="44" t="str">
        <f aca="false">IF($D38="","",$D38)</f>
        <v/>
      </c>
      <c r="AJ38" s="44" t="n">
        <f aca="false">IF(AI38="",0,IF(MATCH(AI38,AI$6:AI$125,0)=33,1,0))</f>
        <v>0</v>
      </c>
      <c r="AK38" s="44" t="n">
        <f aca="false">N(AK37)+AJ38</f>
        <v>10</v>
      </c>
    </row>
    <row r="39" customFormat="false" ht="18" hidden="false" customHeight="true" outlineLevel="0" collapsed="false">
      <c r="A39" s="45" t="str">
        <f aca="false"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46" t="str">
        <f aca="false"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46" t="str">
        <f aca="false"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46" t="str">
        <f aca="false">IF($AE39="","",IF($AE39&lt;=1200,IF(INDEX(对接源_01水果!$G$4:$G$1203,$AE39)=0,"",INDEX(对接源_01水果!$G$4:$G$1203,$AE39)),IF(INDEX(对接源_02物料!$G$4:$G$1203,$AE39-1200)=0,"",INDEX(对接源_02物料!$G$4:$G$1203,$AE39-1200))))</f>
        <v/>
      </c>
      <c r="E39" s="48" t="str">
        <f aca="false"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46" t="str">
        <f aca="false"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56" t="str">
        <f aca="false">IF($AE39="","",IF($AE39&lt;=1200,IF(INDEX(对接源_01水果!$J$4:$J$1203,$AE39)=0,"",INDEX(对接源_01水果!$J$4:$J$1203,$AE39)),IF(INDEX(对接源_02物料!$J$4:$J$1203,$AE39-1200)=0,"",INDEX(对接源_02物料!$J$4:$J$1203,$AE39-1200))))</f>
        <v/>
      </c>
      <c r="H39" s="46" t="str">
        <f aca="false"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I39" s="46" t="str">
        <f aca="false"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J39" s="47" t="str">
        <f aca="false"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L39" s="59" t="str">
        <f aca="false">IFERROR(INDEX($D$129:$D$208,MATCH(6,AN$129:AN$208,0)),"")</f>
        <v>新世纪一级</v>
      </c>
      <c r="M39" s="60" t="n">
        <f aca="false">IF($L39="","",SUMIF($D$129:$D$208,$L39,$E$129:$E$208))</f>
        <v>196</v>
      </c>
      <c r="N39" s="61" t="n">
        <f aca="false">IF($L39="","",ROUND(SUMIF($D$129:$D$208,$L39,$G$129:$G$208),2))</f>
        <v>0</v>
      </c>
      <c r="AE39" s="44" t="str">
        <f aca="false">IFERROR(MATCH(34,_自动清单!$AA$4:$AA$2403,0),"")</f>
        <v/>
      </c>
      <c r="AI39" s="44" t="str">
        <f aca="false">IF($D39="","",$D39)</f>
        <v/>
      </c>
      <c r="AJ39" s="44" t="n">
        <f aca="false">IF(AI39="",0,IF(MATCH(AI39,AI$6:AI$125,0)=34,1,0))</f>
        <v>0</v>
      </c>
      <c r="AK39" s="44" t="n">
        <f aca="false">N(AK38)+AJ39</f>
        <v>10</v>
      </c>
    </row>
    <row r="40" customFormat="false" ht="18" hidden="false" customHeight="true" outlineLevel="0" collapsed="false">
      <c r="A40" s="40" t="str">
        <f aca="false"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41" t="str">
        <f aca="false"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41" t="str">
        <f aca="false"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41" t="str">
        <f aca="false"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43" t="str">
        <f aca="false"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41" t="str">
        <f aca="false"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5" t="str">
        <f aca="false">IF($AE40="","",IF($AE40&lt;=1200,IF(INDEX(对接源_01水果!$J$4:$J$1203,$AE40)=0,"",INDEX(对接源_01水果!$J$4:$J$1203,$AE40)),IF(INDEX(对接源_02物料!$J$4:$J$1203,$AE40-1200)=0,"",INDEX(对接源_02物料!$J$4:$J$1203,$AE40-1200))))</f>
        <v/>
      </c>
      <c r="H40" s="41" t="str">
        <f aca="false"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I40" s="41" t="str">
        <f aca="false"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J40" s="42" t="str">
        <f aca="false"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L40" s="59" t="str">
        <f aca="false">IFERROR(INDEX($D$129:$D$208,MATCH(7,AN$129:AN$208,0)),"")</f>
        <v>新世纪特级</v>
      </c>
      <c r="M40" s="60" t="n">
        <f aca="false">IF($L40="","",SUMIF($D$129:$D$208,$L40,$E$129:$E$208))</f>
        <v>73</v>
      </c>
      <c r="N40" s="61" t="n">
        <f aca="false">IF($L40="","",ROUND(SUMIF($D$129:$D$208,$L40,$G$129:$G$208),2))</f>
        <v>0</v>
      </c>
      <c r="AE40" s="44" t="str">
        <f aca="false">IFERROR(MATCH(35,_自动清单!$AA$4:$AA$2403,0),"")</f>
        <v/>
      </c>
      <c r="AI40" s="44" t="str">
        <f aca="false">IF($D40="","",$D40)</f>
        <v/>
      </c>
      <c r="AJ40" s="44" t="n">
        <f aca="false">IF(AI40="",0,IF(MATCH(AI40,AI$6:AI$125,0)=35,1,0))</f>
        <v>0</v>
      </c>
      <c r="AK40" s="44" t="n">
        <f aca="false">N(AK39)+AJ40</f>
        <v>10</v>
      </c>
    </row>
    <row r="41" customFormat="false" ht="18" hidden="false" customHeight="true" outlineLevel="0" collapsed="false">
      <c r="A41" s="45" t="str">
        <f aca="false"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46" t="str">
        <f aca="false"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46" t="str">
        <f aca="false"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46" t="str">
        <f aca="false"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48" t="str">
        <f aca="false"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46" t="str">
        <f aca="false"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56" t="str">
        <f aca="false">IF($AE41="","",IF($AE41&lt;=1200,IF(INDEX(对接源_01水果!$J$4:$J$1203,$AE41)=0,"",INDEX(对接源_01水果!$J$4:$J$1203,$AE41)),IF(INDEX(对接源_02物料!$J$4:$J$1203,$AE41-1200)=0,"",INDEX(对接源_02物料!$J$4:$J$1203,$AE41-1200))))</f>
        <v/>
      </c>
      <c r="H41" s="46" t="str">
        <f aca="false"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I41" s="46" t="str">
        <f aca="false"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J41" s="47" t="str">
        <f aca="false"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L41" s="59" t="str">
        <f aca="false">IFERROR(INDEX($D$129:$D$208,MATCH(8,AN$129:AN$208,0)),"")</f>
        <v/>
      </c>
      <c r="M41" s="60" t="str">
        <f aca="false">IF($L41="","",SUMIF($D$129:$D$208,$L41,$E$129:$E$208))</f>
        <v/>
      </c>
      <c r="N41" s="61" t="str">
        <f aca="false">IF($L41="","",ROUND(SUMIF($D$129:$D$208,$L41,$G$129:$G$208),2))</f>
        <v/>
      </c>
      <c r="AE41" s="44" t="str">
        <f aca="false">IFERROR(MATCH(36,_自动清单!$AA$4:$AA$2403,0),"")</f>
        <v/>
      </c>
      <c r="AI41" s="44" t="str">
        <f aca="false">IF($D41="","",$D41)</f>
        <v/>
      </c>
      <c r="AJ41" s="44" t="n">
        <f aca="false">IF(AI41="",0,IF(MATCH(AI41,AI$6:AI$125,0)=36,1,0))</f>
        <v>0</v>
      </c>
      <c r="AK41" s="44" t="n">
        <f aca="false">N(AK40)+AJ41</f>
        <v>10</v>
      </c>
    </row>
    <row r="42" customFormat="false" ht="18" hidden="false" customHeight="true" outlineLevel="0" collapsed="false">
      <c r="A42" s="40" t="str">
        <f aca="false"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41" t="str">
        <f aca="false"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41" t="str">
        <f aca="false"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41" t="str">
        <f aca="false">IF($AE42="","",IF($AE42&lt;=1200,IF(INDEX(对接源_01水果!$G$4:$G$1203,$AE42)=0,"",INDEX(对接源_01水果!$G$4:$G$1203,$AE42)),IF(INDEX(对接源_02物料!$G$4:$G$1203,$AE42-1200)=0,"",INDEX(对接源_02物料!$G$4:$G$1203,$AE42-1200))))</f>
        <v/>
      </c>
      <c r="E42" s="43" t="str">
        <f aca="false"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41" t="str">
        <f aca="false"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55" t="str">
        <f aca="false">IF($AE42="","",IF($AE42&lt;=1200,IF(INDEX(对接源_01水果!$J$4:$J$1203,$AE42)=0,"",INDEX(对接源_01水果!$J$4:$J$1203,$AE42)),IF(INDEX(对接源_02物料!$J$4:$J$1203,$AE42-1200)=0,"",INDEX(对接源_02物料!$J$4:$J$1203,$AE42-1200))))</f>
        <v/>
      </c>
      <c r="H42" s="41" t="str">
        <f aca="false"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I42" s="41" t="str">
        <f aca="false"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J42" s="42" t="str">
        <f aca="false"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L42" s="59" t="str">
        <f aca="false">IFERROR(INDEX($D$129:$D$208,MATCH(9,AN$129:AN$208,0)),"")</f>
        <v/>
      </c>
      <c r="M42" s="60" t="str">
        <f aca="false">IF($L42="","",SUMIF($D$129:$D$208,$L42,$E$129:$E$208))</f>
        <v/>
      </c>
      <c r="N42" s="61" t="str">
        <f aca="false">IF($L42="","",ROUND(SUMIF($D$129:$D$208,$L42,$G$129:$G$208),2))</f>
        <v/>
      </c>
      <c r="AE42" s="44" t="str">
        <f aca="false">IFERROR(MATCH(37,_自动清单!$AA$4:$AA$2403,0),"")</f>
        <v/>
      </c>
      <c r="AI42" s="44" t="str">
        <f aca="false">IF($D42="","",$D42)</f>
        <v/>
      </c>
      <c r="AJ42" s="44" t="n">
        <f aca="false">IF(AI42="",0,IF(MATCH(AI42,AI$6:AI$125,0)=37,1,0))</f>
        <v>0</v>
      </c>
      <c r="AK42" s="44" t="n">
        <f aca="false">N(AK41)+AJ42</f>
        <v>10</v>
      </c>
    </row>
    <row r="43" customFormat="false" ht="18" hidden="false" customHeight="true" outlineLevel="0" collapsed="false">
      <c r="A43" s="45" t="str">
        <f aca="false"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46" t="str">
        <f aca="false"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46" t="str">
        <f aca="false"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46" t="str">
        <f aca="false"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48" t="str">
        <f aca="false"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46" t="str">
        <f aca="false"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56" t="str">
        <f aca="false">IF($AE43="","",IF($AE43&lt;=1200,IF(INDEX(对接源_01水果!$J$4:$J$1203,$AE43)=0,"",INDEX(对接源_01水果!$J$4:$J$1203,$AE43)),IF(INDEX(对接源_02物料!$J$4:$J$1203,$AE43-1200)=0,"",INDEX(对接源_02物料!$J$4:$J$1203,$AE43-1200))))</f>
        <v/>
      </c>
      <c r="H43" s="46" t="str">
        <f aca="false"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I43" s="46" t="str">
        <f aca="false"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J43" s="47" t="str">
        <f aca="false"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L43" s="59" t="str">
        <f aca="false">IFERROR(INDEX($D$129:$D$208,MATCH(10,AN$129:AN$208,0)),"")</f>
        <v/>
      </c>
      <c r="M43" s="60" t="str">
        <f aca="false">IF($L43="","",SUMIF($D$129:$D$208,$L43,$E$129:$E$208))</f>
        <v/>
      </c>
      <c r="N43" s="61" t="str">
        <f aca="false">IF($L43="","",ROUND(SUMIF($D$129:$D$208,$L43,$G$129:$G$208),2))</f>
        <v/>
      </c>
      <c r="AE43" s="44" t="str">
        <f aca="false">IFERROR(MATCH(38,_自动清单!$AA$4:$AA$2403,0),"")</f>
        <v/>
      </c>
      <c r="AI43" s="44" t="str">
        <f aca="false">IF($D43="","",$D43)</f>
        <v/>
      </c>
      <c r="AJ43" s="44" t="n">
        <f aca="false">IF(AI43="",0,IF(MATCH(AI43,AI$6:AI$125,0)=38,1,0))</f>
        <v>0</v>
      </c>
      <c r="AK43" s="44" t="n">
        <f aca="false">N(AK42)+AJ43</f>
        <v>10</v>
      </c>
    </row>
    <row r="44" customFormat="false" ht="18" hidden="false" customHeight="true" outlineLevel="0" collapsed="false">
      <c r="A44" s="40" t="str">
        <f aca="false"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41" t="str">
        <f aca="false"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41" t="str">
        <f aca="false"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41" t="str">
        <f aca="false"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43" t="str">
        <f aca="false"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41" t="str">
        <f aca="false"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5" t="str">
        <f aca="false">IF($AE44="","",IF($AE44&lt;=1200,IF(INDEX(对接源_01水果!$J$4:$J$1203,$AE44)=0,"",INDEX(对接源_01水果!$J$4:$J$1203,$AE44)),IF(INDEX(对接源_02物料!$J$4:$J$1203,$AE44-1200)=0,"",INDEX(对接源_02物料!$J$4:$J$1203,$AE44-1200))))</f>
        <v/>
      </c>
      <c r="H44" s="41" t="str">
        <f aca="false"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I44" s="41" t="str">
        <f aca="false"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J44" s="42" t="str">
        <f aca="false"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L44" s="59" t="str">
        <f aca="false">IFERROR(INDEX($D$129:$D$208,MATCH(11,AN$129:AN$208,0)),"")</f>
        <v/>
      </c>
      <c r="M44" s="60" t="str">
        <f aca="false">IF($L44="","",SUMIF($D$129:$D$208,$L44,$E$129:$E$208))</f>
        <v/>
      </c>
      <c r="N44" s="61" t="str">
        <f aca="false">IF($L44="","",ROUND(SUMIF($D$129:$D$208,$L44,$G$129:$G$208),2))</f>
        <v/>
      </c>
      <c r="AE44" s="44" t="str">
        <f aca="false">IFERROR(MATCH(39,_自动清单!$AA$4:$AA$2403,0),"")</f>
        <v/>
      </c>
      <c r="AI44" s="44" t="str">
        <f aca="false">IF($D44="","",$D44)</f>
        <v/>
      </c>
      <c r="AJ44" s="44" t="n">
        <f aca="false">IF(AI44="",0,IF(MATCH(AI44,AI$6:AI$125,0)=39,1,0))</f>
        <v>0</v>
      </c>
      <c r="AK44" s="44" t="n">
        <f aca="false">N(AK43)+AJ44</f>
        <v>10</v>
      </c>
    </row>
    <row r="45" customFormat="false" ht="18" hidden="false" customHeight="true" outlineLevel="0" collapsed="false">
      <c r="A45" s="45" t="str">
        <f aca="false"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46" t="str">
        <f aca="false"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46" t="str">
        <f aca="false"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46" t="str">
        <f aca="false">IF($AE45="","",IF($AE45&lt;=1200,IF(INDEX(对接源_01水果!$G$4:$G$1203,$AE45)=0,"",INDEX(对接源_01水果!$G$4:$G$1203,$AE45)),IF(INDEX(对接源_02物料!$G$4:$G$1203,$AE45-1200)=0,"",INDEX(对接源_02物料!$G$4:$G$1203,$AE45-1200))))</f>
        <v/>
      </c>
      <c r="E45" s="48" t="str">
        <f aca="false"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46" t="str">
        <f aca="false"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56" t="str">
        <f aca="false">IF($AE45="","",IF($AE45&lt;=1200,IF(INDEX(对接源_01水果!$J$4:$J$1203,$AE45)=0,"",INDEX(对接源_01水果!$J$4:$J$1203,$AE45)),IF(INDEX(对接源_02物料!$J$4:$J$1203,$AE45-1200)=0,"",INDEX(对接源_02物料!$J$4:$J$1203,$AE45-1200))))</f>
        <v/>
      </c>
      <c r="H45" s="46" t="str">
        <f aca="false"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I45" s="46" t="str">
        <f aca="false"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J45" s="47" t="str">
        <f aca="false"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L45" s="59" t="str">
        <f aca="false">IFERROR(INDEX($D$129:$D$208,MATCH(12,AN$129:AN$208,0)),"")</f>
        <v/>
      </c>
      <c r="M45" s="60" t="str">
        <f aca="false">IF($L45="","",SUMIF($D$129:$D$208,$L45,$E$129:$E$208))</f>
        <v/>
      </c>
      <c r="N45" s="61" t="str">
        <f aca="false">IF($L45="","",ROUND(SUMIF($D$129:$D$208,$L45,$G$129:$G$208),2))</f>
        <v/>
      </c>
      <c r="AE45" s="44" t="str">
        <f aca="false">IFERROR(MATCH(40,_自动清单!$AA$4:$AA$2403,0),"")</f>
        <v/>
      </c>
      <c r="AI45" s="44" t="str">
        <f aca="false">IF($D45="","",$D45)</f>
        <v/>
      </c>
      <c r="AJ45" s="44" t="n">
        <f aca="false">IF(AI45="",0,IF(MATCH(AI45,AI$6:AI$125,0)=40,1,0))</f>
        <v>0</v>
      </c>
      <c r="AK45" s="44" t="n">
        <f aca="false">N(AK44)+AJ45</f>
        <v>10</v>
      </c>
    </row>
    <row r="46" customFormat="false" ht="18" hidden="false" customHeight="true" outlineLevel="0" collapsed="false">
      <c r="A46" s="40" t="str">
        <f aca="false"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41" t="str">
        <f aca="false"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41" t="str">
        <f aca="false"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41" t="str">
        <f aca="false"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43" t="str">
        <f aca="false"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41" t="str">
        <f aca="false"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5" t="str">
        <f aca="false">IF($AE46="","",IF($AE46&lt;=1200,IF(INDEX(对接源_01水果!$J$4:$J$1203,$AE46)=0,"",INDEX(对接源_01水果!$J$4:$J$1203,$AE46)),IF(INDEX(对接源_02物料!$J$4:$J$1203,$AE46-1200)=0,"",INDEX(对接源_02物料!$J$4:$J$1203,$AE46-1200))))</f>
        <v/>
      </c>
      <c r="H46" s="41" t="str">
        <f aca="false"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I46" s="41" t="str">
        <f aca="false"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J46" s="42" t="str">
        <f aca="false"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L46" s="59" t="str">
        <f aca="false">IFERROR(INDEX($D$129:$D$208,MATCH(13,AN$129:AN$208,0)),"")</f>
        <v/>
      </c>
      <c r="M46" s="60" t="str">
        <f aca="false">IF($L46="","",SUMIF($D$129:$D$208,$L46,$E$129:$E$208))</f>
        <v/>
      </c>
      <c r="N46" s="61" t="str">
        <f aca="false">IF($L46="","",ROUND(SUMIF($D$129:$D$208,$L46,$G$129:$G$208),2))</f>
        <v/>
      </c>
      <c r="AE46" s="44" t="str">
        <f aca="false">IFERROR(MATCH(41,_自动清单!$AA$4:$AA$2403,0),"")</f>
        <v/>
      </c>
      <c r="AI46" s="44" t="str">
        <f aca="false">IF($D46="","",$D46)</f>
        <v/>
      </c>
      <c r="AJ46" s="44" t="n">
        <f aca="false">IF(AI46="",0,IF(MATCH(AI46,AI$6:AI$125,0)=41,1,0))</f>
        <v>0</v>
      </c>
      <c r="AK46" s="44" t="n">
        <f aca="false">N(AK45)+AJ46</f>
        <v>10</v>
      </c>
    </row>
    <row r="47" customFormat="false" ht="18" hidden="false" customHeight="true" outlineLevel="0" collapsed="false">
      <c r="A47" s="45" t="str">
        <f aca="false"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46" t="str">
        <f aca="false"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46" t="str">
        <f aca="false"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46" t="str">
        <f aca="false"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48" t="str">
        <f aca="false"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46" t="str">
        <f aca="false"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56" t="str">
        <f aca="false">IF($AE47="","",IF($AE47&lt;=1200,IF(INDEX(对接源_01水果!$J$4:$J$1203,$AE47)=0,"",INDEX(对接源_01水果!$J$4:$J$1203,$AE47)),IF(INDEX(对接源_02物料!$J$4:$J$1203,$AE47-1200)=0,"",INDEX(对接源_02物料!$J$4:$J$1203,$AE47-1200))))</f>
        <v/>
      </c>
      <c r="H47" s="46" t="str">
        <f aca="false"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I47" s="46" t="str">
        <f aca="false"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J47" s="47" t="str">
        <f aca="false"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L47" s="59" t="str">
        <f aca="false">IFERROR(INDEX($D$129:$D$208,MATCH(14,AN$129:AN$208,0)),"")</f>
        <v/>
      </c>
      <c r="M47" s="60" t="str">
        <f aca="false">IF($L47="","",SUMIF($D$129:$D$208,$L47,$E$129:$E$208))</f>
        <v/>
      </c>
      <c r="N47" s="61" t="str">
        <f aca="false">IF($L47="","",ROUND(SUMIF($D$129:$D$208,$L47,$G$129:$G$208),2))</f>
        <v/>
      </c>
      <c r="AE47" s="44" t="str">
        <f aca="false">IFERROR(MATCH(42,_自动清单!$AA$4:$AA$2403,0),"")</f>
        <v/>
      </c>
      <c r="AI47" s="44" t="str">
        <f aca="false">IF($D47="","",$D47)</f>
        <v/>
      </c>
      <c r="AJ47" s="44" t="n">
        <f aca="false">IF(AI47="",0,IF(MATCH(AI47,AI$6:AI$125,0)=42,1,0))</f>
        <v>0</v>
      </c>
      <c r="AK47" s="44" t="n">
        <f aca="false">N(AK46)+AJ47</f>
        <v>10</v>
      </c>
    </row>
    <row r="48" customFormat="false" ht="18" hidden="false" customHeight="true" outlineLevel="0" collapsed="false">
      <c r="A48" s="40" t="str">
        <f aca="false"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41" t="str">
        <f aca="false"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41" t="str">
        <f aca="false"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41" t="str">
        <f aca="false">IF($AE48="","",IF($AE48&lt;=1200,IF(INDEX(对接源_01水果!$G$4:$G$1203,$AE48)=0,"",INDEX(对接源_01水果!$G$4:$G$1203,$AE48)),IF(INDEX(对接源_02物料!$G$4:$G$1203,$AE48-1200)=0,"",INDEX(对接源_02物料!$G$4:$G$1203,$AE48-1200))))</f>
        <v/>
      </c>
      <c r="E48" s="43" t="str">
        <f aca="false"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41" t="str">
        <f aca="false"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55" t="str">
        <f aca="false">IF($AE48="","",IF($AE48&lt;=1200,IF(INDEX(对接源_01水果!$J$4:$J$1203,$AE48)=0,"",INDEX(对接源_01水果!$J$4:$J$1203,$AE48)),IF(INDEX(对接源_02物料!$J$4:$J$1203,$AE48-1200)=0,"",INDEX(对接源_02物料!$J$4:$J$1203,$AE48-1200))))</f>
        <v/>
      </c>
      <c r="H48" s="41" t="str">
        <f aca="false"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I48" s="41" t="str">
        <f aca="false"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J48" s="42" t="str">
        <f aca="false"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L48" s="59" t="str">
        <f aca="false">IFERROR(INDEX($D$129:$D$208,MATCH(15,AN$129:AN$208,0)),"")</f>
        <v/>
      </c>
      <c r="M48" s="60" t="str">
        <f aca="false">IF($L48="","",SUMIF($D$129:$D$208,$L48,$E$129:$E$208))</f>
        <v/>
      </c>
      <c r="N48" s="61" t="str">
        <f aca="false">IF($L48="","",ROUND(SUMIF($D$129:$D$208,$L48,$G$129:$G$208),2))</f>
        <v/>
      </c>
      <c r="AE48" s="44" t="str">
        <f aca="false">IFERROR(MATCH(43,_自动清单!$AA$4:$AA$2403,0),"")</f>
        <v/>
      </c>
      <c r="AI48" s="44" t="str">
        <f aca="false">IF($D48="","",$D48)</f>
        <v/>
      </c>
      <c r="AJ48" s="44" t="n">
        <f aca="false">IF(AI48="",0,IF(MATCH(AI48,AI$6:AI$125,0)=43,1,0))</f>
        <v>0</v>
      </c>
      <c r="AK48" s="44" t="n">
        <f aca="false">N(AK47)+AJ48</f>
        <v>10</v>
      </c>
    </row>
    <row r="49" customFormat="false" ht="18" hidden="false" customHeight="true" outlineLevel="0" collapsed="false">
      <c r="A49" s="45" t="str">
        <f aca="false"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46" t="str">
        <f aca="false"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46" t="str">
        <f aca="false"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46" t="str">
        <f aca="false"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48" t="str">
        <f aca="false"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46" t="str">
        <f aca="false"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56" t="str">
        <f aca="false">IF($AE49="","",IF($AE49&lt;=1200,IF(INDEX(对接源_01水果!$J$4:$J$1203,$AE49)=0,"",INDEX(对接源_01水果!$J$4:$J$1203,$AE49)),IF(INDEX(对接源_02物料!$J$4:$J$1203,$AE49-1200)=0,"",INDEX(对接源_02物料!$J$4:$J$1203,$AE49-1200))))</f>
        <v/>
      </c>
      <c r="H49" s="46" t="str">
        <f aca="false"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I49" s="46" t="str">
        <f aca="false"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J49" s="47" t="str">
        <f aca="false"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L49" s="59" t="str">
        <f aca="false">IFERROR(INDEX($D$129:$D$208,MATCH(16,AN$129:AN$208,0)),"")</f>
        <v/>
      </c>
      <c r="M49" s="60" t="str">
        <f aca="false">IF($L49="","",SUMIF($D$129:$D$208,$L49,$E$129:$E$208))</f>
        <v/>
      </c>
      <c r="N49" s="61" t="str">
        <f aca="false">IF($L49="","",ROUND(SUMIF($D$129:$D$208,$L49,$G$129:$G$208),2))</f>
        <v/>
      </c>
      <c r="AE49" s="44" t="str">
        <f aca="false">IFERROR(MATCH(44,_自动清单!$AA$4:$AA$2403,0),"")</f>
        <v/>
      </c>
      <c r="AI49" s="44" t="str">
        <f aca="false">IF($D49="","",$D49)</f>
        <v/>
      </c>
      <c r="AJ49" s="44" t="n">
        <f aca="false">IF(AI49="",0,IF(MATCH(AI49,AI$6:AI$125,0)=44,1,0))</f>
        <v>0</v>
      </c>
      <c r="AK49" s="44" t="n">
        <f aca="false">N(AK48)+AJ49</f>
        <v>10</v>
      </c>
    </row>
    <row r="50" customFormat="false" ht="18" hidden="false" customHeight="true" outlineLevel="0" collapsed="false">
      <c r="A50" s="40" t="str">
        <f aca="false"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41" t="str">
        <f aca="false"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41" t="str">
        <f aca="false"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41" t="str">
        <f aca="false"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43" t="str">
        <f aca="false"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41" t="str">
        <f aca="false"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5" t="str">
        <f aca="false">IF($AE50="","",IF($AE50&lt;=1200,IF(INDEX(对接源_01水果!$J$4:$J$1203,$AE50)=0,"",INDEX(对接源_01水果!$J$4:$J$1203,$AE50)),IF(INDEX(对接源_02物料!$J$4:$J$1203,$AE50-1200)=0,"",INDEX(对接源_02物料!$J$4:$J$1203,$AE50-1200))))</f>
        <v/>
      </c>
      <c r="H50" s="41" t="str">
        <f aca="false"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I50" s="41" t="str">
        <f aca="false"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J50" s="42" t="str">
        <f aca="false"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L50" s="59" t="str">
        <f aca="false">IFERROR(INDEX($D$129:$D$208,MATCH(17,AN$129:AN$208,0)),"")</f>
        <v/>
      </c>
      <c r="M50" s="60" t="str">
        <f aca="false">IF($L50="","",SUMIF($D$129:$D$208,$L50,$E$129:$E$208))</f>
        <v/>
      </c>
      <c r="N50" s="61" t="str">
        <f aca="false">IF($L50="","",ROUND(SUMIF($D$129:$D$208,$L50,$G$129:$G$208),2))</f>
        <v/>
      </c>
      <c r="AE50" s="44" t="str">
        <f aca="false">IFERROR(MATCH(45,_自动清单!$AA$4:$AA$2403,0),"")</f>
        <v/>
      </c>
      <c r="AI50" s="44" t="str">
        <f aca="false">IF($D50="","",$D50)</f>
        <v/>
      </c>
      <c r="AJ50" s="44" t="n">
        <f aca="false">IF(AI50="",0,IF(MATCH(AI50,AI$6:AI$125,0)=45,1,0))</f>
        <v>0</v>
      </c>
      <c r="AK50" s="44" t="n">
        <f aca="false">N(AK49)+AJ50</f>
        <v>10</v>
      </c>
    </row>
    <row r="51" customFormat="false" ht="18" hidden="false" customHeight="true" outlineLevel="0" collapsed="false">
      <c r="A51" s="45" t="str">
        <f aca="false"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46" t="str">
        <f aca="false"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46" t="str">
        <f aca="false"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46" t="str">
        <f aca="false">IF($AE51="","",IF($AE51&lt;=1200,IF(INDEX(对接源_01水果!$G$4:$G$1203,$AE51)=0,"",INDEX(对接源_01水果!$G$4:$G$1203,$AE51)),IF(INDEX(对接源_02物料!$G$4:$G$1203,$AE51-1200)=0,"",INDEX(对接源_02物料!$G$4:$G$1203,$AE51-1200))))</f>
        <v/>
      </c>
      <c r="E51" s="48" t="str">
        <f aca="false"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46" t="str">
        <f aca="false"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56" t="str">
        <f aca="false">IF($AE51="","",IF($AE51&lt;=1200,IF(INDEX(对接源_01水果!$J$4:$J$1203,$AE51)=0,"",INDEX(对接源_01水果!$J$4:$J$1203,$AE51)),IF(INDEX(对接源_02物料!$J$4:$J$1203,$AE51-1200)=0,"",INDEX(对接源_02物料!$J$4:$J$1203,$AE51-1200))))</f>
        <v/>
      </c>
      <c r="H51" s="46" t="str">
        <f aca="false"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I51" s="46" t="str">
        <f aca="false"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J51" s="47" t="str">
        <f aca="false"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L51" s="59" t="str">
        <f aca="false">IFERROR(INDEX($D$129:$D$208,MATCH(18,AN$129:AN$208,0)),"")</f>
        <v/>
      </c>
      <c r="M51" s="60" t="str">
        <f aca="false">IF($L51="","",SUMIF($D$129:$D$208,$L51,$E$129:$E$208))</f>
        <v/>
      </c>
      <c r="N51" s="61" t="str">
        <f aca="false">IF($L51="","",ROUND(SUMIF($D$129:$D$208,$L51,$G$129:$G$208),2))</f>
        <v/>
      </c>
      <c r="AE51" s="44" t="str">
        <f aca="false">IFERROR(MATCH(46,_自动清单!$AA$4:$AA$2403,0),"")</f>
        <v/>
      </c>
      <c r="AI51" s="44" t="str">
        <f aca="false">IF($D51="","",$D51)</f>
        <v/>
      </c>
      <c r="AJ51" s="44" t="n">
        <f aca="false">IF(AI51="",0,IF(MATCH(AI51,AI$6:AI$125,0)=46,1,0))</f>
        <v>0</v>
      </c>
      <c r="AK51" s="44" t="n">
        <f aca="false">N(AK50)+AJ51</f>
        <v>10</v>
      </c>
    </row>
    <row r="52" customFormat="false" ht="18" hidden="false" customHeight="true" outlineLevel="0" collapsed="false">
      <c r="A52" s="40" t="str">
        <f aca="false"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41" t="str">
        <f aca="false"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41" t="str">
        <f aca="false"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41" t="str">
        <f aca="false"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43" t="str">
        <f aca="false"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41" t="str">
        <f aca="false"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5" t="str">
        <f aca="false">IF($AE52="","",IF($AE52&lt;=1200,IF(INDEX(对接源_01水果!$J$4:$J$1203,$AE52)=0,"",INDEX(对接源_01水果!$J$4:$J$1203,$AE52)),IF(INDEX(对接源_02物料!$J$4:$J$1203,$AE52-1200)=0,"",INDEX(对接源_02物料!$J$4:$J$1203,$AE52-1200))))</f>
        <v/>
      </c>
      <c r="H52" s="41" t="str">
        <f aca="false"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I52" s="41" t="str">
        <f aca="false"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J52" s="42" t="str">
        <f aca="false"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L52" s="62" t="s">
        <v>124</v>
      </c>
      <c r="M52" s="63" t="n">
        <f aca="false">ROUND(SUM(M34:M51),0)</f>
        <v>1867</v>
      </c>
      <c r="N52" s="64" t="n">
        <f aca="false">ROUND(SUM(N34:N51),2)</f>
        <v>6895.9</v>
      </c>
      <c r="AE52" s="44" t="str">
        <f aca="false">IFERROR(MATCH(47,_自动清单!$AA$4:$AA$2403,0),"")</f>
        <v/>
      </c>
      <c r="AI52" s="44" t="str">
        <f aca="false">IF($D52="","",$D52)</f>
        <v/>
      </c>
      <c r="AJ52" s="44" t="n">
        <f aca="false">IF(AI52="",0,IF(MATCH(AI52,AI$6:AI$125,0)=47,1,0))</f>
        <v>0</v>
      </c>
      <c r="AK52" s="44" t="n">
        <f aca="false">N(AK51)+AJ52</f>
        <v>10</v>
      </c>
    </row>
    <row r="53" customFormat="false" ht="18" hidden="false" customHeight="true" outlineLevel="0" collapsed="false">
      <c r="A53" s="45" t="str">
        <f aca="false"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46" t="str">
        <f aca="false"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46" t="str">
        <f aca="false"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46" t="str">
        <f aca="false"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48" t="str">
        <f aca="false"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46" t="str">
        <f aca="false"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56" t="str">
        <f aca="false">IF($AE53="","",IF($AE53&lt;=1200,IF(INDEX(对接源_01水果!$J$4:$J$1203,$AE53)=0,"",INDEX(对接源_01水果!$J$4:$J$1203,$AE53)),IF(INDEX(对接源_02物料!$J$4:$J$1203,$AE53-1200)=0,"",INDEX(对接源_02物料!$J$4:$J$1203,$AE53-1200))))</f>
        <v/>
      </c>
      <c r="H53" s="46" t="str">
        <f aca="false"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I53" s="46" t="str">
        <f aca="false"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J53" s="47" t="str">
        <f aca="false"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44" t="str">
        <f aca="false">IFERROR(MATCH(48,_自动清单!$AA$4:$AA$2403,0),"")</f>
        <v/>
      </c>
      <c r="AI53" s="44" t="str">
        <f aca="false">IF($D53="","",$D53)</f>
        <v/>
      </c>
      <c r="AJ53" s="44" t="n">
        <f aca="false">IF(AI53="",0,IF(MATCH(AI53,AI$6:AI$125,0)=48,1,0))</f>
        <v>0</v>
      </c>
      <c r="AK53" s="44" t="n">
        <f aca="false">N(AK52)+AJ53</f>
        <v>10</v>
      </c>
    </row>
    <row r="54" customFormat="false" ht="18" hidden="false" customHeight="true" outlineLevel="0" collapsed="false">
      <c r="A54" s="40" t="str">
        <f aca="false"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41" t="str">
        <f aca="false"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41" t="str">
        <f aca="false"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41" t="str">
        <f aca="false">IF($AE54="","",IF($AE54&lt;=1200,IF(INDEX(对接源_01水果!$G$4:$G$1203,$AE54)=0,"",INDEX(对接源_01水果!$G$4:$G$1203,$AE54)),IF(INDEX(对接源_02物料!$G$4:$G$1203,$AE54-1200)=0,"",INDEX(对接源_02物料!$G$4:$G$1203,$AE54-1200))))</f>
        <v/>
      </c>
      <c r="E54" s="43" t="str">
        <f aca="false"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41" t="str">
        <f aca="false"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55" t="str">
        <f aca="false">IF($AE54="","",IF($AE54&lt;=1200,IF(INDEX(对接源_01水果!$J$4:$J$1203,$AE54)=0,"",INDEX(对接源_01水果!$J$4:$J$1203,$AE54)),IF(INDEX(对接源_02物料!$J$4:$J$1203,$AE54-1200)=0,"",INDEX(对接源_02物料!$J$4:$J$1203,$AE54-1200))))</f>
        <v/>
      </c>
      <c r="H54" s="41" t="str">
        <f aca="false"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I54" s="41" t="str">
        <f aca="false"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J54" s="42" t="str">
        <f aca="false"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44" t="str">
        <f aca="false">IFERROR(MATCH(49,_自动清单!$AA$4:$AA$2403,0),"")</f>
        <v/>
      </c>
      <c r="AI54" s="44" t="str">
        <f aca="false">IF($D54="","",$D54)</f>
        <v/>
      </c>
      <c r="AJ54" s="44" t="n">
        <f aca="false">IF(AI54="",0,IF(MATCH(AI54,AI$6:AI$125,0)=49,1,0))</f>
        <v>0</v>
      </c>
      <c r="AK54" s="44" t="n">
        <f aca="false">N(AK53)+AJ54</f>
        <v>10</v>
      </c>
    </row>
    <row r="55" customFormat="false" ht="18" hidden="false" customHeight="true" outlineLevel="0" collapsed="false">
      <c r="A55" s="45" t="str">
        <f aca="false"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46" t="str">
        <f aca="false"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46" t="str">
        <f aca="false"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46" t="str">
        <f aca="false"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48" t="str">
        <f aca="false"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46" t="str">
        <f aca="false"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56" t="str">
        <f aca="false">IF($AE55="","",IF($AE55&lt;=1200,IF(INDEX(对接源_01水果!$J$4:$J$1203,$AE55)=0,"",INDEX(对接源_01水果!$J$4:$J$1203,$AE55)),IF(INDEX(对接源_02物料!$J$4:$J$1203,$AE55-1200)=0,"",INDEX(对接源_02物料!$J$4:$J$1203,$AE55-1200))))</f>
        <v/>
      </c>
      <c r="H55" s="46" t="str">
        <f aca="false"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I55" s="46" t="str">
        <f aca="false"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J55" s="47" t="str">
        <f aca="false"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44" t="str">
        <f aca="false">IFERROR(MATCH(50,_自动清单!$AA$4:$AA$2403,0),"")</f>
        <v/>
      </c>
      <c r="AI55" s="44" t="str">
        <f aca="false">IF($D55="","",$D55)</f>
        <v/>
      </c>
      <c r="AJ55" s="44" t="n">
        <f aca="false">IF(AI55="",0,IF(MATCH(AI55,AI$6:AI$125,0)=50,1,0))</f>
        <v>0</v>
      </c>
      <c r="AK55" s="44" t="n">
        <f aca="false">N(AK54)+AJ55</f>
        <v>10</v>
      </c>
    </row>
    <row r="56" customFormat="false" ht="18" hidden="false" customHeight="true" outlineLevel="0" collapsed="false">
      <c r="A56" s="40" t="str">
        <f aca="false"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41" t="str">
        <f aca="false"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41" t="str">
        <f aca="false"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41" t="str">
        <f aca="false"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43" t="str">
        <f aca="false"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41" t="str">
        <f aca="false"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5" t="str">
        <f aca="false">IF($AE56="","",IF($AE56&lt;=1200,IF(INDEX(对接源_01水果!$J$4:$J$1203,$AE56)=0,"",INDEX(对接源_01水果!$J$4:$J$1203,$AE56)),IF(INDEX(对接源_02物料!$J$4:$J$1203,$AE56-1200)=0,"",INDEX(对接源_02物料!$J$4:$J$1203,$AE56-1200))))</f>
        <v/>
      </c>
      <c r="H56" s="41" t="str">
        <f aca="false"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I56" s="41" t="str">
        <f aca="false"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J56" s="42" t="str">
        <f aca="false"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44" t="str">
        <f aca="false">IFERROR(MATCH(51,_自动清单!$AA$4:$AA$2403,0),"")</f>
        <v/>
      </c>
      <c r="AI56" s="44" t="str">
        <f aca="false">IF($D56="","",$D56)</f>
        <v/>
      </c>
      <c r="AJ56" s="44" t="n">
        <f aca="false">IF(AI56="",0,IF(MATCH(AI56,AI$6:AI$125,0)=51,1,0))</f>
        <v>0</v>
      </c>
      <c r="AK56" s="44" t="n">
        <f aca="false">N(AK55)+AJ56</f>
        <v>10</v>
      </c>
    </row>
    <row r="57" customFormat="false" ht="18" hidden="false" customHeight="true" outlineLevel="0" collapsed="false">
      <c r="A57" s="45" t="str">
        <f aca="false"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46" t="str">
        <f aca="false"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46" t="str">
        <f aca="false"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46" t="str">
        <f aca="false">IF($AE57="","",IF($AE57&lt;=1200,IF(INDEX(对接源_01水果!$G$4:$G$1203,$AE57)=0,"",INDEX(对接源_01水果!$G$4:$G$1203,$AE57)),IF(INDEX(对接源_02物料!$G$4:$G$1203,$AE57-1200)=0,"",INDEX(对接源_02物料!$G$4:$G$1203,$AE57-1200))))</f>
        <v/>
      </c>
      <c r="E57" s="48" t="str">
        <f aca="false"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46" t="str">
        <f aca="false"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56" t="str">
        <f aca="false">IF($AE57="","",IF($AE57&lt;=1200,IF(INDEX(对接源_01水果!$J$4:$J$1203,$AE57)=0,"",INDEX(对接源_01水果!$J$4:$J$1203,$AE57)),IF(INDEX(对接源_02物料!$J$4:$J$1203,$AE57-1200)=0,"",INDEX(对接源_02物料!$J$4:$J$1203,$AE57-1200))))</f>
        <v/>
      </c>
      <c r="H57" s="46" t="str">
        <f aca="false"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I57" s="46" t="str">
        <f aca="false"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J57" s="47" t="str">
        <f aca="false"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44" t="str">
        <f aca="false">IFERROR(MATCH(52,_自动清单!$AA$4:$AA$2403,0),"")</f>
        <v/>
      </c>
      <c r="AI57" s="44" t="str">
        <f aca="false">IF($D57="","",$D57)</f>
        <v/>
      </c>
      <c r="AJ57" s="44" t="n">
        <f aca="false">IF(AI57="",0,IF(MATCH(AI57,AI$6:AI$125,0)=52,1,0))</f>
        <v>0</v>
      </c>
      <c r="AK57" s="44" t="n">
        <f aca="false">N(AK56)+AJ57</f>
        <v>10</v>
      </c>
    </row>
    <row r="58" customFormat="false" ht="18" hidden="false" customHeight="true" outlineLevel="0" collapsed="false">
      <c r="A58" s="40" t="str">
        <f aca="false"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41" t="str">
        <f aca="false"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41" t="str">
        <f aca="false"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41" t="str">
        <f aca="false"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43" t="str">
        <f aca="false"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41" t="str">
        <f aca="false"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5" t="str">
        <f aca="false">IF($AE58="","",IF($AE58&lt;=1200,IF(INDEX(对接源_01水果!$J$4:$J$1203,$AE58)=0,"",INDEX(对接源_01水果!$J$4:$J$1203,$AE58)),IF(INDEX(对接源_02物料!$J$4:$J$1203,$AE58-1200)=0,"",INDEX(对接源_02物料!$J$4:$J$1203,$AE58-1200))))</f>
        <v/>
      </c>
      <c r="H58" s="41" t="str">
        <f aca="false"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I58" s="41" t="str">
        <f aca="false"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J58" s="42" t="str">
        <f aca="false"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44" t="str">
        <f aca="false">IFERROR(MATCH(53,_自动清单!$AA$4:$AA$2403,0),"")</f>
        <v/>
      </c>
      <c r="AI58" s="44" t="str">
        <f aca="false">IF($D58="","",$D58)</f>
        <v/>
      </c>
      <c r="AJ58" s="44" t="n">
        <f aca="false">IF(AI58="",0,IF(MATCH(AI58,AI$6:AI$125,0)=53,1,0))</f>
        <v>0</v>
      </c>
      <c r="AK58" s="44" t="n">
        <f aca="false">N(AK57)+AJ58</f>
        <v>10</v>
      </c>
    </row>
    <row r="59" customFormat="false" ht="18" hidden="false" customHeight="true" outlineLevel="0" collapsed="false">
      <c r="A59" s="45" t="str">
        <f aca="false"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46" t="str">
        <f aca="false"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46" t="str">
        <f aca="false"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46" t="str">
        <f aca="false"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48" t="str">
        <f aca="false"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46" t="str">
        <f aca="false"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56" t="str">
        <f aca="false">IF($AE59="","",IF($AE59&lt;=1200,IF(INDEX(对接源_01水果!$J$4:$J$1203,$AE59)=0,"",INDEX(对接源_01水果!$J$4:$J$1203,$AE59)),IF(INDEX(对接源_02物料!$J$4:$J$1203,$AE59-1200)=0,"",INDEX(对接源_02物料!$J$4:$J$1203,$AE59-1200))))</f>
        <v/>
      </c>
      <c r="H59" s="46" t="str">
        <f aca="false"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I59" s="46" t="str">
        <f aca="false"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J59" s="47" t="str">
        <f aca="false"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44" t="str">
        <f aca="false">IFERROR(MATCH(54,_自动清单!$AA$4:$AA$2403,0),"")</f>
        <v/>
      </c>
      <c r="AI59" s="44" t="str">
        <f aca="false">IF($D59="","",$D59)</f>
        <v/>
      </c>
      <c r="AJ59" s="44" t="n">
        <f aca="false">IF(AI59="",0,IF(MATCH(AI59,AI$6:AI$125,0)=54,1,0))</f>
        <v>0</v>
      </c>
      <c r="AK59" s="44" t="n">
        <f aca="false">N(AK58)+AJ59</f>
        <v>10</v>
      </c>
    </row>
    <row r="60" customFormat="false" ht="18" hidden="false" customHeight="true" outlineLevel="0" collapsed="false">
      <c r="A60" s="40" t="str">
        <f aca="false"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41" t="str">
        <f aca="false"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41" t="str">
        <f aca="false"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41" t="str">
        <f aca="false"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43" t="str">
        <f aca="false"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41" t="str">
        <f aca="false"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5" t="str">
        <f aca="false">IF($AE60="","",IF($AE60&lt;=1200,IF(INDEX(对接源_01水果!$J$4:$J$1203,$AE60)=0,"",INDEX(对接源_01水果!$J$4:$J$1203,$AE60)),IF(INDEX(对接源_02物料!$J$4:$J$1203,$AE60-1200)=0,"",INDEX(对接源_02物料!$J$4:$J$1203,$AE60-1200))))</f>
        <v/>
      </c>
      <c r="H60" s="41" t="str">
        <f aca="false"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I60" s="41" t="str">
        <f aca="false"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J60" s="42" t="str">
        <f aca="false"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44" t="str">
        <f aca="false">IFERROR(MATCH(55,_自动清单!$AA$4:$AA$2403,0),"")</f>
        <v/>
      </c>
      <c r="AI60" s="44" t="str">
        <f aca="false">IF($D60="","",$D60)</f>
        <v/>
      </c>
      <c r="AJ60" s="44" t="n">
        <f aca="false">IF(AI60="",0,IF(MATCH(AI60,AI$6:AI$125,0)=55,1,0))</f>
        <v>0</v>
      </c>
      <c r="AK60" s="44" t="n">
        <f aca="false">N(AK59)+AJ60</f>
        <v>10</v>
      </c>
    </row>
    <row r="61" customFormat="false" ht="18" hidden="false" customHeight="true" outlineLevel="0" collapsed="false">
      <c r="A61" s="45" t="str">
        <f aca="false"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46" t="str">
        <f aca="false"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46" t="str">
        <f aca="false"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46" t="str">
        <f aca="false">IF($AE61="","",IF($AE61&lt;=1200,IF(INDEX(对接源_01水果!$G$4:$G$1203,$AE61)=0,"",INDEX(对接源_01水果!$G$4:$G$1203,$AE61)),IF(INDEX(对接源_02物料!$G$4:$G$1203,$AE61-1200)=0,"",INDEX(对接源_02物料!$G$4:$G$1203,$AE61-1200))))</f>
        <v/>
      </c>
      <c r="E61" s="48" t="str">
        <f aca="false"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46" t="str">
        <f aca="false"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56" t="str">
        <f aca="false">IF($AE61="","",IF($AE61&lt;=1200,IF(INDEX(对接源_01水果!$J$4:$J$1203,$AE61)=0,"",INDEX(对接源_01水果!$J$4:$J$1203,$AE61)),IF(INDEX(对接源_02物料!$J$4:$J$1203,$AE61-1200)=0,"",INDEX(对接源_02物料!$J$4:$J$1203,$AE61-1200))))</f>
        <v/>
      </c>
      <c r="H61" s="46" t="str">
        <f aca="false"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I61" s="46" t="str">
        <f aca="false"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J61" s="47" t="str">
        <f aca="false"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44" t="str">
        <f aca="false">IFERROR(MATCH(56,_自动清单!$AA$4:$AA$2403,0),"")</f>
        <v/>
      </c>
      <c r="AI61" s="44" t="str">
        <f aca="false">IF($D61="","",$D61)</f>
        <v/>
      </c>
      <c r="AJ61" s="44" t="n">
        <f aca="false">IF(AI61="",0,IF(MATCH(AI61,AI$6:AI$125,0)=56,1,0))</f>
        <v>0</v>
      </c>
      <c r="AK61" s="44" t="n">
        <f aca="false">N(AK60)+AJ61</f>
        <v>10</v>
      </c>
    </row>
    <row r="62" customFormat="false" ht="18" hidden="false" customHeight="true" outlineLevel="0" collapsed="false">
      <c r="A62" s="40" t="str">
        <f aca="false"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41" t="str">
        <f aca="false"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41" t="str">
        <f aca="false"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41" t="str">
        <f aca="false"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43" t="str">
        <f aca="false"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41" t="str">
        <f aca="false"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5" t="str">
        <f aca="false">IF($AE62="","",IF($AE62&lt;=1200,IF(INDEX(对接源_01水果!$J$4:$J$1203,$AE62)=0,"",INDEX(对接源_01水果!$J$4:$J$1203,$AE62)),IF(INDEX(对接源_02物料!$J$4:$J$1203,$AE62-1200)=0,"",INDEX(对接源_02物料!$J$4:$J$1203,$AE62-1200))))</f>
        <v/>
      </c>
      <c r="H62" s="41" t="str">
        <f aca="false"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I62" s="41" t="str">
        <f aca="false"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J62" s="42" t="str">
        <f aca="false"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44" t="str">
        <f aca="false">IFERROR(MATCH(57,_自动清单!$AA$4:$AA$2403,0),"")</f>
        <v/>
      </c>
      <c r="AI62" s="44" t="str">
        <f aca="false">IF($D62="","",$D62)</f>
        <v/>
      </c>
      <c r="AJ62" s="44" t="n">
        <f aca="false">IF(AI62="",0,IF(MATCH(AI62,AI$6:AI$125,0)=57,1,0))</f>
        <v>0</v>
      </c>
      <c r="AK62" s="44" t="n">
        <f aca="false">N(AK61)+AJ62</f>
        <v>10</v>
      </c>
    </row>
    <row r="63" customFormat="false" ht="18" hidden="false" customHeight="true" outlineLevel="0" collapsed="false">
      <c r="A63" s="45" t="str">
        <f aca="false"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46" t="str">
        <f aca="false"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46" t="str">
        <f aca="false"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46" t="str">
        <f aca="false"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48" t="str">
        <f aca="false"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46" t="str">
        <f aca="false"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56" t="str">
        <f aca="false">IF($AE63="","",IF($AE63&lt;=1200,IF(INDEX(对接源_01水果!$J$4:$J$1203,$AE63)=0,"",INDEX(对接源_01水果!$J$4:$J$1203,$AE63)),IF(INDEX(对接源_02物料!$J$4:$J$1203,$AE63-1200)=0,"",INDEX(对接源_02物料!$J$4:$J$1203,$AE63-1200))))</f>
        <v/>
      </c>
      <c r="H63" s="46" t="str">
        <f aca="false"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I63" s="46" t="str">
        <f aca="false"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J63" s="47" t="str">
        <f aca="false"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44" t="str">
        <f aca="false">IFERROR(MATCH(58,_自动清单!$AA$4:$AA$2403,0),"")</f>
        <v/>
      </c>
      <c r="AI63" s="44" t="str">
        <f aca="false">IF($D63="","",$D63)</f>
        <v/>
      </c>
      <c r="AJ63" s="44" t="n">
        <f aca="false">IF(AI63="",0,IF(MATCH(AI63,AI$6:AI$125,0)=58,1,0))</f>
        <v>0</v>
      </c>
      <c r="AK63" s="44" t="n">
        <f aca="false">N(AK62)+AJ63</f>
        <v>10</v>
      </c>
    </row>
    <row r="64" customFormat="false" ht="18" hidden="false" customHeight="true" outlineLevel="0" collapsed="false">
      <c r="A64" s="40" t="str">
        <f aca="false"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41" t="str">
        <f aca="false"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41" t="str">
        <f aca="false"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41" t="str">
        <f aca="false"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43" t="str">
        <f aca="false"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41" t="str">
        <f aca="false"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5" t="str">
        <f aca="false">IF($AE64="","",IF($AE64&lt;=1200,IF(INDEX(对接源_01水果!$J$4:$J$1203,$AE64)=0,"",INDEX(对接源_01水果!$J$4:$J$1203,$AE64)),IF(INDEX(对接源_02物料!$J$4:$J$1203,$AE64-1200)=0,"",INDEX(对接源_02物料!$J$4:$J$1203,$AE64-1200))))</f>
        <v/>
      </c>
      <c r="H64" s="41" t="str">
        <f aca="false"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I64" s="41" t="str">
        <f aca="false"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J64" s="42" t="str">
        <f aca="false"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44" t="str">
        <f aca="false">IFERROR(MATCH(59,_自动清单!$AA$4:$AA$2403,0),"")</f>
        <v/>
      </c>
      <c r="AI64" s="44" t="str">
        <f aca="false">IF($D64="","",$D64)</f>
        <v/>
      </c>
      <c r="AJ64" s="44" t="n">
        <f aca="false">IF(AI64="",0,IF(MATCH(AI64,AI$6:AI$125,0)=59,1,0))</f>
        <v>0</v>
      </c>
      <c r="AK64" s="44" t="n">
        <f aca="false">N(AK63)+AJ64</f>
        <v>10</v>
      </c>
    </row>
    <row r="65" customFormat="false" ht="18" hidden="false" customHeight="true" outlineLevel="0" collapsed="false">
      <c r="A65" s="45" t="str">
        <f aca="false"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46" t="str">
        <f aca="false"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46" t="str">
        <f aca="false"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46" t="str">
        <f aca="false">IF($AE65="","",IF($AE65&lt;=1200,IF(INDEX(对接源_01水果!$G$4:$G$1203,$AE65)=0,"",INDEX(对接源_01水果!$G$4:$G$1203,$AE65)),IF(INDEX(对接源_02物料!$G$4:$G$1203,$AE65-1200)=0,"",INDEX(对接源_02物料!$G$4:$G$1203,$AE65-1200))))</f>
        <v/>
      </c>
      <c r="E65" s="48" t="str">
        <f aca="false"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46" t="str">
        <f aca="false"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56" t="str">
        <f aca="false">IF($AE65="","",IF($AE65&lt;=1200,IF(INDEX(对接源_01水果!$J$4:$J$1203,$AE65)=0,"",INDEX(对接源_01水果!$J$4:$J$1203,$AE65)),IF(INDEX(对接源_02物料!$J$4:$J$1203,$AE65-1200)=0,"",INDEX(对接源_02物料!$J$4:$J$1203,$AE65-1200))))</f>
        <v/>
      </c>
      <c r="H65" s="46" t="str">
        <f aca="false"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I65" s="46" t="str">
        <f aca="false"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J65" s="47" t="str">
        <f aca="false"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44" t="str">
        <f aca="false">IFERROR(MATCH(60,_自动清单!$AA$4:$AA$2403,0),"")</f>
        <v/>
      </c>
      <c r="AI65" s="44" t="str">
        <f aca="false">IF($D65="","",$D65)</f>
        <v/>
      </c>
      <c r="AJ65" s="44" t="n">
        <f aca="false">IF(AI65="",0,IF(MATCH(AI65,AI$6:AI$125,0)=60,1,0))</f>
        <v>0</v>
      </c>
      <c r="AK65" s="44" t="n">
        <f aca="false">N(AK64)+AJ65</f>
        <v>10</v>
      </c>
    </row>
    <row r="66" customFormat="false" ht="18" hidden="false" customHeight="true" outlineLevel="0" collapsed="false">
      <c r="A66" s="40" t="str">
        <f aca="false"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41" t="str">
        <f aca="false"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41" t="str">
        <f aca="false"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41" t="str">
        <f aca="false"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43" t="str">
        <f aca="false"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41" t="str">
        <f aca="false"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5" t="str">
        <f aca="false">IF($AE66="","",IF($AE66&lt;=1200,IF(INDEX(对接源_01水果!$J$4:$J$1203,$AE66)=0,"",INDEX(对接源_01水果!$J$4:$J$1203,$AE66)),IF(INDEX(对接源_02物料!$J$4:$J$1203,$AE66-1200)=0,"",INDEX(对接源_02物料!$J$4:$J$1203,$AE66-1200))))</f>
        <v/>
      </c>
      <c r="H66" s="41" t="str">
        <f aca="false"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I66" s="41" t="str">
        <f aca="false"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J66" s="42" t="str">
        <f aca="false"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44" t="str">
        <f aca="false">IFERROR(MATCH(61,_自动清单!$AA$4:$AA$2403,0),"")</f>
        <v/>
      </c>
      <c r="AI66" s="44" t="str">
        <f aca="false">IF($D66="","",$D66)</f>
        <v/>
      </c>
      <c r="AJ66" s="44" t="n">
        <f aca="false">IF(AI66="",0,IF(MATCH(AI66,AI$6:AI$125,0)=61,1,0))</f>
        <v>0</v>
      </c>
      <c r="AK66" s="44" t="n">
        <f aca="false">N(AK65)+AJ66</f>
        <v>10</v>
      </c>
    </row>
    <row r="67" customFormat="false" ht="18" hidden="false" customHeight="true" outlineLevel="0" collapsed="false">
      <c r="A67" s="45" t="str">
        <f aca="false"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46" t="str">
        <f aca="false"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46" t="str">
        <f aca="false"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46" t="str">
        <f aca="false"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48" t="str">
        <f aca="false"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46" t="str">
        <f aca="false"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56" t="str">
        <f aca="false">IF($AE67="","",IF($AE67&lt;=1200,IF(INDEX(对接源_01水果!$J$4:$J$1203,$AE67)=0,"",INDEX(对接源_01水果!$J$4:$J$1203,$AE67)),IF(INDEX(对接源_02物料!$J$4:$J$1203,$AE67-1200)=0,"",INDEX(对接源_02物料!$J$4:$J$1203,$AE67-1200))))</f>
        <v/>
      </c>
      <c r="H67" s="46" t="str">
        <f aca="false"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I67" s="46" t="str">
        <f aca="false"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J67" s="47" t="str">
        <f aca="false"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44" t="str">
        <f aca="false">IFERROR(MATCH(62,_自动清单!$AA$4:$AA$2403,0),"")</f>
        <v/>
      </c>
      <c r="AI67" s="44" t="str">
        <f aca="false">IF($D67="","",$D67)</f>
        <v/>
      </c>
      <c r="AJ67" s="44" t="n">
        <f aca="false">IF(AI67="",0,IF(MATCH(AI67,AI$6:AI$125,0)=62,1,0))</f>
        <v>0</v>
      </c>
      <c r="AK67" s="44" t="n">
        <f aca="false">N(AK66)+AJ67</f>
        <v>10</v>
      </c>
    </row>
    <row r="68" customFormat="false" ht="18" hidden="false" customHeight="true" outlineLevel="0" collapsed="false">
      <c r="A68" s="40" t="str">
        <f aca="false"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41" t="str">
        <f aca="false"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41" t="str">
        <f aca="false"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41" t="str">
        <f aca="false"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43" t="str">
        <f aca="false"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41" t="str">
        <f aca="false"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5" t="str">
        <f aca="false">IF($AE68="","",IF($AE68&lt;=1200,IF(INDEX(对接源_01水果!$J$4:$J$1203,$AE68)=0,"",INDEX(对接源_01水果!$J$4:$J$1203,$AE68)),IF(INDEX(对接源_02物料!$J$4:$J$1203,$AE68-1200)=0,"",INDEX(对接源_02物料!$J$4:$J$1203,$AE68-1200))))</f>
        <v/>
      </c>
      <c r="H68" s="41" t="str">
        <f aca="false"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I68" s="41" t="str">
        <f aca="false"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J68" s="42" t="str">
        <f aca="false"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44" t="str">
        <f aca="false">IFERROR(MATCH(63,_自动清单!$AA$4:$AA$2403,0),"")</f>
        <v/>
      </c>
      <c r="AI68" s="44" t="str">
        <f aca="false">IF($D68="","",$D68)</f>
        <v/>
      </c>
      <c r="AJ68" s="44" t="n">
        <f aca="false">IF(AI68="",0,IF(MATCH(AI68,AI$6:AI$125,0)=63,1,0))</f>
        <v>0</v>
      </c>
      <c r="AK68" s="44" t="n">
        <f aca="false">N(AK67)+AJ68</f>
        <v>10</v>
      </c>
    </row>
    <row r="69" customFormat="false" ht="18" hidden="false" customHeight="true" outlineLevel="0" collapsed="false">
      <c r="A69" s="45" t="str">
        <f aca="false"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46" t="str">
        <f aca="false"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46" t="str">
        <f aca="false"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46" t="str">
        <f aca="false">IF($AE69="","",IF($AE69&lt;=1200,IF(INDEX(对接源_01水果!$G$4:$G$1203,$AE69)=0,"",INDEX(对接源_01水果!$G$4:$G$1203,$AE69)),IF(INDEX(对接源_02物料!$G$4:$G$1203,$AE69-1200)=0,"",INDEX(对接源_02物料!$G$4:$G$1203,$AE69-1200))))</f>
        <v/>
      </c>
      <c r="E69" s="48" t="str">
        <f aca="false"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46" t="str">
        <f aca="false"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56" t="str">
        <f aca="false">IF($AE69="","",IF($AE69&lt;=1200,IF(INDEX(对接源_01水果!$J$4:$J$1203,$AE69)=0,"",INDEX(对接源_01水果!$J$4:$J$1203,$AE69)),IF(INDEX(对接源_02物料!$J$4:$J$1203,$AE69-1200)=0,"",INDEX(对接源_02物料!$J$4:$J$1203,$AE69-1200))))</f>
        <v/>
      </c>
      <c r="H69" s="46" t="str">
        <f aca="false"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I69" s="46" t="str">
        <f aca="false"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J69" s="47" t="str">
        <f aca="false"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44" t="str">
        <f aca="false">IFERROR(MATCH(64,_自动清单!$AA$4:$AA$2403,0),"")</f>
        <v/>
      </c>
      <c r="AI69" s="44" t="str">
        <f aca="false">IF($D69="","",$D69)</f>
        <v/>
      </c>
      <c r="AJ69" s="44" t="n">
        <f aca="false">IF(AI69="",0,IF(MATCH(AI69,AI$6:AI$125,0)=64,1,0))</f>
        <v>0</v>
      </c>
      <c r="AK69" s="44" t="n">
        <f aca="false">N(AK68)+AJ69</f>
        <v>10</v>
      </c>
    </row>
    <row r="70" customFormat="false" ht="18" hidden="false" customHeight="true" outlineLevel="0" collapsed="false">
      <c r="A70" s="40" t="str">
        <f aca="false"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41" t="str">
        <f aca="false"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41" t="str">
        <f aca="false"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41" t="str">
        <f aca="false"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43" t="str">
        <f aca="false"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41" t="str">
        <f aca="false"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5" t="str">
        <f aca="false">IF($AE70="","",IF($AE70&lt;=1200,IF(INDEX(对接源_01水果!$J$4:$J$1203,$AE70)=0,"",INDEX(对接源_01水果!$J$4:$J$1203,$AE70)),IF(INDEX(对接源_02物料!$J$4:$J$1203,$AE70-1200)=0,"",INDEX(对接源_02物料!$J$4:$J$1203,$AE70-1200))))</f>
        <v/>
      </c>
      <c r="H70" s="41" t="str">
        <f aca="false"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I70" s="41" t="str">
        <f aca="false"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J70" s="42" t="str">
        <f aca="false"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44" t="str">
        <f aca="false">IFERROR(MATCH(65,_自动清单!$AA$4:$AA$2403,0),"")</f>
        <v/>
      </c>
      <c r="AI70" s="44" t="str">
        <f aca="false">IF($D70="","",$D70)</f>
        <v/>
      </c>
      <c r="AJ70" s="44" t="n">
        <f aca="false">IF(AI70="",0,IF(MATCH(AI70,AI$6:AI$125,0)=65,1,0))</f>
        <v>0</v>
      </c>
      <c r="AK70" s="44" t="n">
        <f aca="false">N(AK69)+AJ70</f>
        <v>10</v>
      </c>
    </row>
    <row r="71" customFormat="false" ht="18" hidden="false" customHeight="true" outlineLevel="0" collapsed="false">
      <c r="A71" s="45" t="str">
        <f aca="false"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46" t="str">
        <f aca="false"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46" t="str">
        <f aca="false"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46" t="str">
        <f aca="false"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48" t="str">
        <f aca="false"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46" t="str">
        <f aca="false"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56" t="str">
        <f aca="false">IF($AE71="","",IF($AE71&lt;=1200,IF(INDEX(对接源_01水果!$J$4:$J$1203,$AE71)=0,"",INDEX(对接源_01水果!$J$4:$J$1203,$AE71)),IF(INDEX(对接源_02物料!$J$4:$J$1203,$AE71-1200)=0,"",INDEX(对接源_02物料!$J$4:$J$1203,$AE71-1200))))</f>
        <v/>
      </c>
      <c r="H71" s="46" t="str">
        <f aca="false"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I71" s="46" t="str">
        <f aca="false"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J71" s="47" t="str">
        <f aca="false"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44" t="str">
        <f aca="false">IFERROR(MATCH(66,_自动清单!$AA$4:$AA$2403,0),"")</f>
        <v/>
      </c>
      <c r="AI71" s="44" t="str">
        <f aca="false">IF($D71="","",$D71)</f>
        <v/>
      </c>
      <c r="AJ71" s="44" t="n">
        <f aca="false">IF(AI71="",0,IF(MATCH(AI71,AI$6:AI$125,0)=66,1,0))</f>
        <v>0</v>
      </c>
      <c r="AK71" s="44" t="n">
        <f aca="false">N(AK70)+AJ71</f>
        <v>10</v>
      </c>
    </row>
    <row r="72" customFormat="false" ht="18" hidden="false" customHeight="true" outlineLevel="0" collapsed="false">
      <c r="A72" s="40" t="str">
        <f aca="false"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41" t="str">
        <f aca="false"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41" t="str">
        <f aca="false"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41" t="str">
        <f aca="false"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43" t="str">
        <f aca="false"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41" t="str">
        <f aca="false"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5" t="str">
        <f aca="false">IF($AE72="","",IF($AE72&lt;=1200,IF(INDEX(对接源_01水果!$J$4:$J$1203,$AE72)=0,"",INDEX(对接源_01水果!$J$4:$J$1203,$AE72)),IF(INDEX(对接源_02物料!$J$4:$J$1203,$AE72-1200)=0,"",INDEX(对接源_02物料!$J$4:$J$1203,$AE72-1200))))</f>
        <v/>
      </c>
      <c r="H72" s="41" t="str">
        <f aca="false"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I72" s="41" t="str">
        <f aca="false"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J72" s="42" t="str">
        <f aca="false"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44" t="str">
        <f aca="false">IFERROR(MATCH(67,_自动清单!$AA$4:$AA$2403,0),"")</f>
        <v/>
      </c>
      <c r="AI72" s="44" t="str">
        <f aca="false">IF($D72="","",$D72)</f>
        <v/>
      </c>
      <c r="AJ72" s="44" t="n">
        <f aca="false">IF(AI72="",0,IF(MATCH(AI72,AI$6:AI$125,0)=67,1,0))</f>
        <v>0</v>
      </c>
      <c r="AK72" s="44" t="n">
        <f aca="false">N(AK71)+AJ72</f>
        <v>10</v>
      </c>
    </row>
    <row r="73" customFormat="false" ht="18" hidden="false" customHeight="true" outlineLevel="0" collapsed="false">
      <c r="A73" s="45" t="str">
        <f aca="false"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46" t="str">
        <f aca="false"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46" t="str">
        <f aca="false"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46" t="str">
        <f aca="false">IF($AE73="","",IF($AE73&lt;=1200,IF(INDEX(对接源_01水果!$G$4:$G$1203,$AE73)=0,"",INDEX(对接源_01水果!$G$4:$G$1203,$AE73)),IF(INDEX(对接源_02物料!$G$4:$G$1203,$AE73-1200)=0,"",INDEX(对接源_02物料!$G$4:$G$1203,$AE73-1200))))</f>
        <v/>
      </c>
      <c r="E73" s="48" t="str">
        <f aca="false"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46" t="str">
        <f aca="false"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56" t="str">
        <f aca="false">IF($AE73="","",IF($AE73&lt;=1200,IF(INDEX(对接源_01水果!$J$4:$J$1203,$AE73)=0,"",INDEX(对接源_01水果!$J$4:$J$1203,$AE73)),IF(INDEX(对接源_02物料!$J$4:$J$1203,$AE73-1200)=0,"",INDEX(对接源_02物料!$J$4:$J$1203,$AE73-1200))))</f>
        <v/>
      </c>
      <c r="H73" s="46" t="str">
        <f aca="false"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I73" s="46" t="str">
        <f aca="false"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J73" s="47" t="str">
        <f aca="false"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44" t="str">
        <f aca="false">IFERROR(MATCH(68,_自动清单!$AA$4:$AA$2403,0),"")</f>
        <v/>
      </c>
      <c r="AI73" s="44" t="str">
        <f aca="false">IF($D73="","",$D73)</f>
        <v/>
      </c>
      <c r="AJ73" s="44" t="n">
        <f aca="false">IF(AI73="",0,IF(MATCH(AI73,AI$6:AI$125,0)=68,1,0))</f>
        <v>0</v>
      </c>
      <c r="AK73" s="44" t="n">
        <f aca="false">N(AK72)+AJ73</f>
        <v>10</v>
      </c>
    </row>
    <row r="74" customFormat="false" ht="18" hidden="false" customHeight="true" outlineLevel="0" collapsed="false">
      <c r="A74" s="40" t="str">
        <f aca="false"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41" t="str">
        <f aca="false"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41" t="str">
        <f aca="false"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41" t="str">
        <f aca="false"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43" t="str">
        <f aca="false"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41" t="str">
        <f aca="false"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5" t="str">
        <f aca="false">IF($AE74="","",IF($AE74&lt;=1200,IF(INDEX(对接源_01水果!$J$4:$J$1203,$AE74)=0,"",INDEX(对接源_01水果!$J$4:$J$1203,$AE74)),IF(INDEX(对接源_02物料!$J$4:$J$1203,$AE74-1200)=0,"",INDEX(对接源_02物料!$J$4:$J$1203,$AE74-1200))))</f>
        <v/>
      </c>
      <c r="H74" s="41" t="str">
        <f aca="false"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I74" s="41" t="str">
        <f aca="false"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J74" s="42" t="str">
        <f aca="false"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44" t="str">
        <f aca="false">IFERROR(MATCH(69,_自动清单!$AA$4:$AA$2403,0),"")</f>
        <v/>
      </c>
      <c r="AI74" s="44" t="str">
        <f aca="false">IF($D74="","",$D74)</f>
        <v/>
      </c>
      <c r="AJ74" s="44" t="n">
        <f aca="false">IF(AI74="",0,IF(MATCH(AI74,AI$6:AI$125,0)=69,1,0))</f>
        <v>0</v>
      </c>
      <c r="AK74" s="44" t="n">
        <f aca="false">N(AK73)+AJ74</f>
        <v>10</v>
      </c>
    </row>
    <row r="75" customFormat="false" ht="18" hidden="false" customHeight="true" outlineLevel="0" collapsed="false">
      <c r="A75" s="45" t="str">
        <f aca="false"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46" t="str">
        <f aca="false"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46" t="str">
        <f aca="false"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46" t="str">
        <f aca="false"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48" t="str">
        <f aca="false"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46" t="str">
        <f aca="false"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56" t="str">
        <f aca="false">IF($AE75="","",IF($AE75&lt;=1200,IF(INDEX(对接源_01水果!$J$4:$J$1203,$AE75)=0,"",INDEX(对接源_01水果!$J$4:$J$1203,$AE75)),IF(INDEX(对接源_02物料!$J$4:$J$1203,$AE75-1200)=0,"",INDEX(对接源_02物料!$J$4:$J$1203,$AE75-1200))))</f>
        <v/>
      </c>
      <c r="H75" s="46" t="str">
        <f aca="false"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I75" s="46" t="str">
        <f aca="false"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J75" s="47" t="str">
        <f aca="false"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44" t="str">
        <f aca="false">IFERROR(MATCH(70,_自动清单!$AA$4:$AA$2403,0),"")</f>
        <v/>
      </c>
      <c r="AI75" s="44" t="str">
        <f aca="false">IF($D75="","",$D75)</f>
        <v/>
      </c>
      <c r="AJ75" s="44" t="n">
        <f aca="false">IF(AI75="",0,IF(MATCH(AI75,AI$6:AI$125,0)=70,1,0))</f>
        <v>0</v>
      </c>
      <c r="AK75" s="44" t="n">
        <f aca="false">N(AK74)+AJ75</f>
        <v>10</v>
      </c>
    </row>
    <row r="76" customFormat="false" ht="18" hidden="false" customHeight="true" outlineLevel="0" collapsed="false">
      <c r="A76" s="40" t="str">
        <f aca="false"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41" t="str">
        <f aca="false"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41" t="str">
        <f aca="false"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41" t="str">
        <f aca="false"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43" t="str">
        <f aca="false"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41" t="str">
        <f aca="false"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5" t="str">
        <f aca="false">IF($AE76="","",IF($AE76&lt;=1200,IF(INDEX(对接源_01水果!$J$4:$J$1203,$AE76)=0,"",INDEX(对接源_01水果!$J$4:$J$1203,$AE76)),IF(INDEX(对接源_02物料!$J$4:$J$1203,$AE76-1200)=0,"",INDEX(对接源_02物料!$J$4:$J$1203,$AE76-1200))))</f>
        <v/>
      </c>
      <c r="H76" s="41" t="str">
        <f aca="false"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I76" s="41" t="str">
        <f aca="false"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J76" s="42" t="str">
        <f aca="false"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44" t="str">
        <f aca="false">IFERROR(MATCH(71,_自动清单!$AA$4:$AA$2403,0),"")</f>
        <v/>
      </c>
      <c r="AI76" s="44" t="str">
        <f aca="false">IF($D76="","",$D76)</f>
        <v/>
      </c>
      <c r="AJ76" s="44" t="n">
        <f aca="false">IF(AI76="",0,IF(MATCH(AI76,AI$6:AI$125,0)=71,1,0))</f>
        <v>0</v>
      </c>
      <c r="AK76" s="44" t="n">
        <f aca="false">N(AK75)+AJ76</f>
        <v>10</v>
      </c>
    </row>
    <row r="77" customFormat="false" ht="18" hidden="false" customHeight="true" outlineLevel="0" collapsed="false">
      <c r="A77" s="45" t="str">
        <f aca="false"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46" t="str">
        <f aca="false"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46" t="str">
        <f aca="false"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46" t="str">
        <f aca="false">IF($AE77="","",IF($AE77&lt;=1200,IF(INDEX(对接源_01水果!$G$4:$G$1203,$AE77)=0,"",INDEX(对接源_01水果!$G$4:$G$1203,$AE77)),IF(INDEX(对接源_02物料!$G$4:$G$1203,$AE77-1200)=0,"",INDEX(对接源_02物料!$G$4:$G$1203,$AE77-1200))))</f>
        <v/>
      </c>
      <c r="E77" s="48" t="str">
        <f aca="false"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46" t="str">
        <f aca="false"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56" t="str">
        <f aca="false">IF($AE77="","",IF($AE77&lt;=1200,IF(INDEX(对接源_01水果!$J$4:$J$1203,$AE77)=0,"",INDEX(对接源_01水果!$J$4:$J$1203,$AE77)),IF(INDEX(对接源_02物料!$J$4:$J$1203,$AE77-1200)=0,"",INDEX(对接源_02物料!$J$4:$J$1203,$AE77-1200))))</f>
        <v/>
      </c>
      <c r="H77" s="46" t="str">
        <f aca="false"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I77" s="46" t="str">
        <f aca="false"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J77" s="47" t="str">
        <f aca="false"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44" t="str">
        <f aca="false">IFERROR(MATCH(72,_自动清单!$AA$4:$AA$2403,0),"")</f>
        <v/>
      </c>
      <c r="AI77" s="44" t="str">
        <f aca="false">IF($D77="","",$D77)</f>
        <v/>
      </c>
      <c r="AJ77" s="44" t="n">
        <f aca="false">IF(AI77="",0,IF(MATCH(AI77,AI$6:AI$125,0)=72,1,0))</f>
        <v>0</v>
      </c>
      <c r="AK77" s="44" t="n">
        <f aca="false">N(AK76)+AJ77</f>
        <v>10</v>
      </c>
    </row>
    <row r="78" customFormat="false" ht="18" hidden="false" customHeight="true" outlineLevel="0" collapsed="false">
      <c r="A78" s="40" t="str">
        <f aca="false"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41" t="str">
        <f aca="false"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41" t="str">
        <f aca="false"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41" t="str">
        <f aca="false"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43" t="str">
        <f aca="false"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41" t="str">
        <f aca="false"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5" t="str">
        <f aca="false">IF($AE78="","",IF($AE78&lt;=1200,IF(INDEX(对接源_01水果!$J$4:$J$1203,$AE78)=0,"",INDEX(对接源_01水果!$J$4:$J$1203,$AE78)),IF(INDEX(对接源_02物料!$J$4:$J$1203,$AE78-1200)=0,"",INDEX(对接源_02物料!$J$4:$J$1203,$AE78-1200))))</f>
        <v/>
      </c>
      <c r="H78" s="41" t="str">
        <f aca="false"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I78" s="41" t="str">
        <f aca="false"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J78" s="42" t="str">
        <f aca="false"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44" t="str">
        <f aca="false">IFERROR(MATCH(73,_自动清单!$AA$4:$AA$2403,0),"")</f>
        <v/>
      </c>
      <c r="AI78" s="44" t="str">
        <f aca="false">IF($D78="","",$D78)</f>
        <v/>
      </c>
      <c r="AJ78" s="44" t="n">
        <f aca="false">IF(AI78="",0,IF(MATCH(AI78,AI$6:AI$125,0)=73,1,0))</f>
        <v>0</v>
      </c>
      <c r="AK78" s="44" t="n">
        <f aca="false">N(AK77)+AJ78</f>
        <v>10</v>
      </c>
    </row>
    <row r="79" customFormat="false" ht="18" hidden="false" customHeight="true" outlineLevel="0" collapsed="false">
      <c r="A79" s="45" t="str">
        <f aca="false"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46" t="str">
        <f aca="false"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46" t="str">
        <f aca="false"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46" t="str">
        <f aca="false"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48" t="str">
        <f aca="false"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46" t="str">
        <f aca="false"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56" t="str">
        <f aca="false">IF($AE79="","",IF($AE79&lt;=1200,IF(INDEX(对接源_01水果!$J$4:$J$1203,$AE79)=0,"",INDEX(对接源_01水果!$J$4:$J$1203,$AE79)),IF(INDEX(对接源_02物料!$J$4:$J$1203,$AE79-1200)=0,"",INDEX(对接源_02物料!$J$4:$J$1203,$AE79-1200))))</f>
        <v/>
      </c>
      <c r="H79" s="46" t="str">
        <f aca="false"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I79" s="46" t="str">
        <f aca="false"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J79" s="47" t="str">
        <f aca="false"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44" t="str">
        <f aca="false">IFERROR(MATCH(74,_自动清单!$AA$4:$AA$2403,0),"")</f>
        <v/>
      </c>
      <c r="AI79" s="44" t="str">
        <f aca="false">IF($D79="","",$D79)</f>
        <v/>
      </c>
      <c r="AJ79" s="44" t="n">
        <f aca="false">IF(AI79="",0,IF(MATCH(AI79,AI$6:AI$125,0)=74,1,0))</f>
        <v>0</v>
      </c>
      <c r="AK79" s="44" t="n">
        <f aca="false">N(AK78)+AJ79</f>
        <v>10</v>
      </c>
    </row>
    <row r="80" customFormat="false" ht="18" hidden="false" customHeight="true" outlineLevel="0" collapsed="false">
      <c r="A80" s="40" t="str">
        <f aca="false"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41" t="str">
        <f aca="false"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41" t="str">
        <f aca="false"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41" t="str">
        <f aca="false"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43" t="str">
        <f aca="false"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41" t="str">
        <f aca="false"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5" t="str">
        <f aca="false">IF($AE80="","",IF($AE80&lt;=1200,IF(INDEX(对接源_01水果!$J$4:$J$1203,$AE80)=0,"",INDEX(对接源_01水果!$J$4:$J$1203,$AE80)),IF(INDEX(对接源_02物料!$J$4:$J$1203,$AE80-1200)=0,"",INDEX(对接源_02物料!$J$4:$J$1203,$AE80-1200))))</f>
        <v/>
      </c>
      <c r="H80" s="41" t="str">
        <f aca="false"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I80" s="41" t="str">
        <f aca="false"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J80" s="42" t="str">
        <f aca="false"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44" t="str">
        <f aca="false">IFERROR(MATCH(75,_自动清单!$AA$4:$AA$2403,0),"")</f>
        <v/>
      </c>
      <c r="AI80" s="44" t="str">
        <f aca="false">IF($D80="","",$D80)</f>
        <v/>
      </c>
      <c r="AJ80" s="44" t="n">
        <f aca="false">IF(AI80="",0,IF(MATCH(AI80,AI$6:AI$125,0)=75,1,0))</f>
        <v>0</v>
      </c>
      <c r="AK80" s="44" t="n">
        <f aca="false">N(AK79)+AJ80</f>
        <v>10</v>
      </c>
    </row>
    <row r="81" customFormat="false" ht="18" hidden="false" customHeight="true" outlineLevel="0" collapsed="false">
      <c r="A81" s="45" t="str">
        <f aca="false"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46" t="str">
        <f aca="false"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46" t="str">
        <f aca="false"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46" t="str">
        <f aca="false">IF($AE81="","",IF($AE81&lt;=1200,IF(INDEX(对接源_01水果!$G$4:$G$1203,$AE81)=0,"",INDEX(对接源_01水果!$G$4:$G$1203,$AE81)),IF(INDEX(对接源_02物料!$G$4:$G$1203,$AE81-1200)=0,"",INDEX(对接源_02物料!$G$4:$G$1203,$AE81-1200))))</f>
        <v/>
      </c>
      <c r="E81" s="48" t="str">
        <f aca="false"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46" t="str">
        <f aca="false"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56" t="str">
        <f aca="false">IF($AE81="","",IF($AE81&lt;=1200,IF(INDEX(对接源_01水果!$J$4:$J$1203,$AE81)=0,"",INDEX(对接源_01水果!$J$4:$J$1203,$AE81)),IF(INDEX(对接源_02物料!$J$4:$J$1203,$AE81-1200)=0,"",INDEX(对接源_02物料!$J$4:$J$1203,$AE81-1200))))</f>
        <v/>
      </c>
      <c r="H81" s="46" t="str">
        <f aca="false"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I81" s="46" t="str">
        <f aca="false"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J81" s="47" t="str">
        <f aca="false"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44" t="str">
        <f aca="false">IFERROR(MATCH(76,_自动清单!$AA$4:$AA$2403,0),"")</f>
        <v/>
      </c>
      <c r="AI81" s="44" t="str">
        <f aca="false">IF($D81="","",$D81)</f>
        <v/>
      </c>
      <c r="AJ81" s="44" t="n">
        <f aca="false">IF(AI81="",0,IF(MATCH(AI81,AI$6:AI$125,0)=76,1,0))</f>
        <v>0</v>
      </c>
      <c r="AK81" s="44" t="n">
        <f aca="false">N(AK80)+AJ81</f>
        <v>10</v>
      </c>
    </row>
    <row r="82" customFormat="false" ht="18" hidden="false" customHeight="true" outlineLevel="0" collapsed="false">
      <c r="A82" s="40" t="str">
        <f aca="false"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41" t="str">
        <f aca="false"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41" t="str">
        <f aca="false"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41" t="str">
        <f aca="false"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43" t="str">
        <f aca="false"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41" t="str">
        <f aca="false"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5" t="str">
        <f aca="false">IF($AE82="","",IF($AE82&lt;=1200,IF(INDEX(对接源_01水果!$J$4:$J$1203,$AE82)=0,"",INDEX(对接源_01水果!$J$4:$J$1203,$AE82)),IF(INDEX(对接源_02物料!$J$4:$J$1203,$AE82-1200)=0,"",INDEX(对接源_02物料!$J$4:$J$1203,$AE82-1200))))</f>
        <v/>
      </c>
      <c r="H82" s="41" t="str">
        <f aca="false"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I82" s="41" t="str">
        <f aca="false"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J82" s="42" t="str">
        <f aca="false"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44" t="str">
        <f aca="false">IFERROR(MATCH(77,_自动清单!$AA$4:$AA$2403,0),"")</f>
        <v/>
      </c>
      <c r="AI82" s="44" t="str">
        <f aca="false">IF($D82="","",$D82)</f>
        <v/>
      </c>
      <c r="AJ82" s="44" t="n">
        <f aca="false">IF(AI82="",0,IF(MATCH(AI82,AI$6:AI$125,0)=77,1,0))</f>
        <v>0</v>
      </c>
      <c r="AK82" s="44" t="n">
        <f aca="false">N(AK81)+AJ82</f>
        <v>10</v>
      </c>
    </row>
    <row r="83" customFormat="false" ht="18" hidden="false" customHeight="true" outlineLevel="0" collapsed="false">
      <c r="A83" s="45" t="str">
        <f aca="false"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46" t="str">
        <f aca="false"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46" t="str">
        <f aca="false"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46" t="str">
        <f aca="false"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48" t="str">
        <f aca="false"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46" t="str">
        <f aca="false"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56" t="str">
        <f aca="false">IF($AE83="","",IF($AE83&lt;=1200,IF(INDEX(对接源_01水果!$J$4:$J$1203,$AE83)=0,"",INDEX(对接源_01水果!$J$4:$J$1203,$AE83)),IF(INDEX(对接源_02物料!$J$4:$J$1203,$AE83-1200)=0,"",INDEX(对接源_02物料!$J$4:$J$1203,$AE83-1200))))</f>
        <v/>
      </c>
      <c r="H83" s="46" t="str">
        <f aca="false"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I83" s="46" t="str">
        <f aca="false"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J83" s="47" t="str">
        <f aca="false"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44" t="str">
        <f aca="false">IFERROR(MATCH(78,_自动清单!$AA$4:$AA$2403,0),"")</f>
        <v/>
      </c>
      <c r="AI83" s="44" t="str">
        <f aca="false">IF($D83="","",$D83)</f>
        <v/>
      </c>
      <c r="AJ83" s="44" t="n">
        <f aca="false">IF(AI83="",0,IF(MATCH(AI83,AI$6:AI$125,0)=78,1,0))</f>
        <v>0</v>
      </c>
      <c r="AK83" s="44" t="n">
        <f aca="false">N(AK82)+AJ83</f>
        <v>10</v>
      </c>
    </row>
    <row r="84" customFormat="false" ht="18" hidden="false" customHeight="true" outlineLevel="0" collapsed="false">
      <c r="A84" s="40" t="str">
        <f aca="false"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41" t="str">
        <f aca="false"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41" t="str">
        <f aca="false"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41" t="str">
        <f aca="false"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43" t="str">
        <f aca="false"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41" t="str">
        <f aca="false"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5" t="str">
        <f aca="false">IF($AE84="","",IF($AE84&lt;=1200,IF(INDEX(对接源_01水果!$J$4:$J$1203,$AE84)=0,"",INDEX(对接源_01水果!$J$4:$J$1203,$AE84)),IF(INDEX(对接源_02物料!$J$4:$J$1203,$AE84-1200)=0,"",INDEX(对接源_02物料!$J$4:$J$1203,$AE84-1200))))</f>
        <v/>
      </c>
      <c r="H84" s="41" t="str">
        <f aca="false"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I84" s="41" t="str">
        <f aca="false"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J84" s="42" t="str">
        <f aca="false"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44" t="str">
        <f aca="false">IFERROR(MATCH(79,_自动清单!$AA$4:$AA$2403,0),"")</f>
        <v/>
      </c>
      <c r="AI84" s="44" t="str">
        <f aca="false">IF($D84="","",$D84)</f>
        <v/>
      </c>
      <c r="AJ84" s="44" t="n">
        <f aca="false">IF(AI84="",0,IF(MATCH(AI84,AI$6:AI$125,0)=79,1,0))</f>
        <v>0</v>
      </c>
      <c r="AK84" s="44" t="n">
        <f aca="false">N(AK83)+AJ84</f>
        <v>10</v>
      </c>
    </row>
    <row r="85" customFormat="false" ht="18" hidden="false" customHeight="true" outlineLevel="0" collapsed="false">
      <c r="A85" s="45" t="str">
        <f aca="false"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46" t="str">
        <f aca="false"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46" t="str">
        <f aca="false"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46" t="str">
        <f aca="false">IF($AE85="","",IF($AE85&lt;=1200,IF(INDEX(对接源_01水果!$G$4:$G$1203,$AE85)=0,"",INDEX(对接源_01水果!$G$4:$G$1203,$AE85)),IF(INDEX(对接源_02物料!$G$4:$G$1203,$AE85-1200)=0,"",INDEX(对接源_02物料!$G$4:$G$1203,$AE85-1200))))</f>
        <v/>
      </c>
      <c r="E85" s="48" t="str">
        <f aca="false"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46" t="str">
        <f aca="false"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56" t="str">
        <f aca="false">IF($AE85="","",IF($AE85&lt;=1200,IF(INDEX(对接源_01水果!$J$4:$J$1203,$AE85)=0,"",INDEX(对接源_01水果!$J$4:$J$1203,$AE85)),IF(INDEX(对接源_02物料!$J$4:$J$1203,$AE85-1200)=0,"",INDEX(对接源_02物料!$J$4:$J$1203,$AE85-1200))))</f>
        <v/>
      </c>
      <c r="H85" s="46" t="str">
        <f aca="false"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I85" s="46" t="str">
        <f aca="false"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J85" s="47" t="str">
        <f aca="false"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44" t="str">
        <f aca="false">IFERROR(MATCH(80,_自动清单!$AA$4:$AA$2403,0),"")</f>
        <v/>
      </c>
      <c r="AI85" s="44" t="str">
        <f aca="false">IF($D85="","",$D85)</f>
        <v/>
      </c>
      <c r="AJ85" s="44" t="n">
        <f aca="false">IF(AI85="",0,IF(MATCH(AI85,AI$6:AI$125,0)=80,1,0))</f>
        <v>0</v>
      </c>
      <c r="AK85" s="44" t="n">
        <f aca="false">N(AK84)+AJ85</f>
        <v>10</v>
      </c>
    </row>
    <row r="86" customFormat="false" ht="18" hidden="false" customHeight="true" outlineLevel="0" collapsed="false">
      <c r="A86" s="40" t="str">
        <f aca="false"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41" t="str">
        <f aca="false"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41" t="str">
        <f aca="false"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41" t="str">
        <f aca="false"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43" t="str">
        <f aca="false"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41" t="str">
        <f aca="false"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5" t="str">
        <f aca="false">IF($AE86="","",IF($AE86&lt;=1200,IF(INDEX(对接源_01水果!$J$4:$J$1203,$AE86)=0,"",INDEX(对接源_01水果!$J$4:$J$1203,$AE86)),IF(INDEX(对接源_02物料!$J$4:$J$1203,$AE86-1200)=0,"",INDEX(对接源_02物料!$J$4:$J$1203,$AE86-1200))))</f>
        <v/>
      </c>
      <c r="H86" s="41" t="str">
        <f aca="false"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I86" s="41" t="str">
        <f aca="false"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J86" s="42" t="str">
        <f aca="false"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44" t="str">
        <f aca="false">IFERROR(MATCH(81,_自动清单!$AA$4:$AA$2403,0),"")</f>
        <v/>
      </c>
      <c r="AI86" s="44" t="str">
        <f aca="false">IF($D86="","",$D86)</f>
        <v/>
      </c>
      <c r="AJ86" s="44" t="n">
        <f aca="false">IF(AI86="",0,IF(MATCH(AI86,AI$6:AI$125,0)=81,1,0))</f>
        <v>0</v>
      </c>
      <c r="AK86" s="44" t="n">
        <f aca="false">N(AK85)+AJ86</f>
        <v>10</v>
      </c>
    </row>
    <row r="87" customFormat="false" ht="18" hidden="false" customHeight="true" outlineLevel="0" collapsed="false">
      <c r="A87" s="45" t="str">
        <f aca="false"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46" t="str">
        <f aca="false"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46" t="str">
        <f aca="false"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46" t="str">
        <f aca="false"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48" t="str">
        <f aca="false"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46" t="str">
        <f aca="false"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56" t="str">
        <f aca="false">IF($AE87="","",IF($AE87&lt;=1200,IF(INDEX(对接源_01水果!$J$4:$J$1203,$AE87)=0,"",INDEX(对接源_01水果!$J$4:$J$1203,$AE87)),IF(INDEX(对接源_02物料!$J$4:$J$1203,$AE87-1200)=0,"",INDEX(对接源_02物料!$J$4:$J$1203,$AE87-1200))))</f>
        <v/>
      </c>
      <c r="H87" s="46" t="str">
        <f aca="false"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I87" s="46" t="str">
        <f aca="false"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J87" s="47" t="str">
        <f aca="false"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44" t="str">
        <f aca="false">IFERROR(MATCH(82,_自动清单!$AA$4:$AA$2403,0),"")</f>
        <v/>
      </c>
      <c r="AI87" s="44" t="str">
        <f aca="false">IF($D87="","",$D87)</f>
        <v/>
      </c>
      <c r="AJ87" s="44" t="n">
        <f aca="false">IF(AI87="",0,IF(MATCH(AI87,AI$6:AI$125,0)=82,1,0))</f>
        <v>0</v>
      </c>
      <c r="AK87" s="44" t="n">
        <f aca="false">N(AK86)+AJ87</f>
        <v>10</v>
      </c>
    </row>
    <row r="88" customFormat="false" ht="18" hidden="false" customHeight="true" outlineLevel="0" collapsed="false">
      <c r="A88" s="40" t="str">
        <f aca="false"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41" t="str">
        <f aca="false"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41" t="str">
        <f aca="false"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41" t="str">
        <f aca="false"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43" t="str">
        <f aca="false"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41" t="str">
        <f aca="false"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5" t="str">
        <f aca="false">IF($AE88="","",IF($AE88&lt;=1200,IF(INDEX(对接源_01水果!$J$4:$J$1203,$AE88)=0,"",INDEX(对接源_01水果!$J$4:$J$1203,$AE88)),IF(INDEX(对接源_02物料!$J$4:$J$1203,$AE88-1200)=0,"",INDEX(对接源_02物料!$J$4:$J$1203,$AE88-1200))))</f>
        <v/>
      </c>
      <c r="H88" s="41" t="str">
        <f aca="false"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I88" s="41" t="str">
        <f aca="false"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J88" s="42" t="str">
        <f aca="false"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44" t="str">
        <f aca="false">IFERROR(MATCH(83,_自动清单!$AA$4:$AA$2403,0),"")</f>
        <v/>
      </c>
      <c r="AI88" s="44" t="str">
        <f aca="false">IF($D88="","",$D88)</f>
        <v/>
      </c>
      <c r="AJ88" s="44" t="n">
        <f aca="false">IF(AI88="",0,IF(MATCH(AI88,AI$6:AI$125,0)=83,1,0))</f>
        <v>0</v>
      </c>
      <c r="AK88" s="44" t="n">
        <f aca="false">N(AK87)+AJ88</f>
        <v>10</v>
      </c>
    </row>
    <row r="89" customFormat="false" ht="18" hidden="false" customHeight="true" outlineLevel="0" collapsed="false">
      <c r="A89" s="45" t="str">
        <f aca="false"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46" t="str">
        <f aca="false"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46" t="str">
        <f aca="false"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46" t="str">
        <f aca="false">IF($AE89="","",IF($AE89&lt;=1200,IF(INDEX(对接源_01水果!$G$4:$G$1203,$AE89)=0,"",INDEX(对接源_01水果!$G$4:$G$1203,$AE89)),IF(INDEX(对接源_02物料!$G$4:$G$1203,$AE89-1200)=0,"",INDEX(对接源_02物料!$G$4:$G$1203,$AE89-1200))))</f>
        <v/>
      </c>
      <c r="E89" s="48" t="str">
        <f aca="false"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46" t="str">
        <f aca="false"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56" t="str">
        <f aca="false">IF($AE89="","",IF($AE89&lt;=1200,IF(INDEX(对接源_01水果!$J$4:$J$1203,$AE89)=0,"",INDEX(对接源_01水果!$J$4:$J$1203,$AE89)),IF(INDEX(对接源_02物料!$J$4:$J$1203,$AE89-1200)=0,"",INDEX(对接源_02物料!$J$4:$J$1203,$AE89-1200))))</f>
        <v/>
      </c>
      <c r="H89" s="46" t="str">
        <f aca="false"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I89" s="46" t="str">
        <f aca="false"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J89" s="47" t="str">
        <f aca="false"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44" t="str">
        <f aca="false">IFERROR(MATCH(84,_自动清单!$AA$4:$AA$2403,0),"")</f>
        <v/>
      </c>
      <c r="AI89" s="44" t="str">
        <f aca="false">IF($D89="","",$D89)</f>
        <v/>
      </c>
      <c r="AJ89" s="44" t="n">
        <f aca="false">IF(AI89="",0,IF(MATCH(AI89,AI$6:AI$125,0)=84,1,0))</f>
        <v>0</v>
      </c>
      <c r="AK89" s="44" t="n">
        <f aca="false">N(AK88)+AJ89</f>
        <v>10</v>
      </c>
    </row>
    <row r="90" customFormat="false" ht="18" hidden="false" customHeight="true" outlineLevel="0" collapsed="false">
      <c r="A90" s="40" t="str">
        <f aca="false"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41" t="str">
        <f aca="false"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41" t="str">
        <f aca="false"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41" t="str">
        <f aca="false"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43" t="str">
        <f aca="false"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41" t="str">
        <f aca="false"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5" t="str">
        <f aca="false">IF($AE90="","",IF($AE90&lt;=1200,IF(INDEX(对接源_01水果!$J$4:$J$1203,$AE90)=0,"",INDEX(对接源_01水果!$J$4:$J$1203,$AE90)),IF(INDEX(对接源_02物料!$J$4:$J$1203,$AE90-1200)=0,"",INDEX(对接源_02物料!$J$4:$J$1203,$AE90-1200))))</f>
        <v/>
      </c>
      <c r="H90" s="41" t="str">
        <f aca="false"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I90" s="41" t="str">
        <f aca="false"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J90" s="42" t="str">
        <f aca="false"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44" t="str">
        <f aca="false">IFERROR(MATCH(85,_自动清单!$AA$4:$AA$2403,0),"")</f>
        <v/>
      </c>
      <c r="AI90" s="44" t="str">
        <f aca="false">IF($D90="","",$D90)</f>
        <v/>
      </c>
      <c r="AJ90" s="44" t="n">
        <f aca="false">IF(AI90="",0,IF(MATCH(AI90,AI$6:AI$125,0)=85,1,0))</f>
        <v>0</v>
      </c>
      <c r="AK90" s="44" t="n">
        <f aca="false">N(AK89)+AJ90</f>
        <v>10</v>
      </c>
    </row>
    <row r="91" customFormat="false" ht="18" hidden="false" customHeight="true" outlineLevel="0" collapsed="false">
      <c r="A91" s="45" t="str">
        <f aca="false"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46" t="str">
        <f aca="false"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46" t="str">
        <f aca="false"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46" t="str">
        <f aca="false"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48" t="str">
        <f aca="false"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46" t="str">
        <f aca="false"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56" t="str">
        <f aca="false">IF($AE91="","",IF($AE91&lt;=1200,IF(INDEX(对接源_01水果!$J$4:$J$1203,$AE91)=0,"",INDEX(对接源_01水果!$J$4:$J$1203,$AE91)),IF(INDEX(对接源_02物料!$J$4:$J$1203,$AE91-1200)=0,"",INDEX(对接源_02物料!$J$4:$J$1203,$AE91-1200))))</f>
        <v/>
      </c>
      <c r="H91" s="46" t="str">
        <f aca="false"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I91" s="46" t="str">
        <f aca="false"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J91" s="47" t="str">
        <f aca="false"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44" t="str">
        <f aca="false">IFERROR(MATCH(86,_自动清单!$AA$4:$AA$2403,0),"")</f>
        <v/>
      </c>
      <c r="AI91" s="44" t="str">
        <f aca="false">IF($D91="","",$D91)</f>
        <v/>
      </c>
      <c r="AJ91" s="44" t="n">
        <f aca="false">IF(AI91="",0,IF(MATCH(AI91,AI$6:AI$125,0)=86,1,0))</f>
        <v>0</v>
      </c>
      <c r="AK91" s="44" t="n">
        <f aca="false">N(AK90)+AJ91</f>
        <v>10</v>
      </c>
    </row>
    <row r="92" customFormat="false" ht="18" hidden="false" customHeight="true" outlineLevel="0" collapsed="false">
      <c r="A92" s="40" t="str">
        <f aca="false"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41" t="str">
        <f aca="false"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41" t="str">
        <f aca="false"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41" t="str">
        <f aca="false"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43" t="str">
        <f aca="false"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41" t="str">
        <f aca="false"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5" t="str">
        <f aca="false">IF($AE92="","",IF($AE92&lt;=1200,IF(INDEX(对接源_01水果!$J$4:$J$1203,$AE92)=0,"",INDEX(对接源_01水果!$J$4:$J$1203,$AE92)),IF(INDEX(对接源_02物料!$J$4:$J$1203,$AE92-1200)=0,"",INDEX(对接源_02物料!$J$4:$J$1203,$AE92-1200))))</f>
        <v/>
      </c>
      <c r="H92" s="41" t="str">
        <f aca="false"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I92" s="41" t="str">
        <f aca="false"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J92" s="42" t="str">
        <f aca="false"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44" t="str">
        <f aca="false">IFERROR(MATCH(87,_自动清单!$AA$4:$AA$2403,0),"")</f>
        <v/>
      </c>
      <c r="AI92" s="44" t="str">
        <f aca="false">IF($D92="","",$D92)</f>
        <v/>
      </c>
      <c r="AJ92" s="44" t="n">
        <f aca="false">IF(AI92="",0,IF(MATCH(AI92,AI$6:AI$125,0)=87,1,0))</f>
        <v>0</v>
      </c>
      <c r="AK92" s="44" t="n">
        <f aca="false">N(AK91)+AJ92</f>
        <v>10</v>
      </c>
    </row>
    <row r="93" customFormat="false" ht="18" hidden="false" customHeight="true" outlineLevel="0" collapsed="false">
      <c r="A93" s="45" t="str">
        <f aca="false"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46" t="str">
        <f aca="false"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46" t="str">
        <f aca="false"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46" t="str">
        <f aca="false">IF($AE93="","",IF($AE93&lt;=1200,IF(INDEX(对接源_01水果!$G$4:$G$1203,$AE93)=0,"",INDEX(对接源_01水果!$G$4:$G$1203,$AE93)),IF(INDEX(对接源_02物料!$G$4:$G$1203,$AE93-1200)=0,"",INDEX(对接源_02物料!$G$4:$G$1203,$AE93-1200))))</f>
        <v/>
      </c>
      <c r="E93" s="48" t="str">
        <f aca="false"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46" t="str">
        <f aca="false"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56" t="str">
        <f aca="false">IF($AE93="","",IF($AE93&lt;=1200,IF(INDEX(对接源_01水果!$J$4:$J$1203,$AE93)=0,"",INDEX(对接源_01水果!$J$4:$J$1203,$AE93)),IF(INDEX(对接源_02物料!$J$4:$J$1203,$AE93-1200)=0,"",INDEX(对接源_02物料!$J$4:$J$1203,$AE93-1200))))</f>
        <v/>
      </c>
      <c r="H93" s="46" t="str">
        <f aca="false"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I93" s="46" t="str">
        <f aca="false"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J93" s="47" t="str">
        <f aca="false"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44" t="str">
        <f aca="false">IFERROR(MATCH(88,_自动清单!$AA$4:$AA$2403,0),"")</f>
        <v/>
      </c>
      <c r="AI93" s="44" t="str">
        <f aca="false">IF($D93="","",$D93)</f>
        <v/>
      </c>
      <c r="AJ93" s="44" t="n">
        <f aca="false">IF(AI93="",0,IF(MATCH(AI93,AI$6:AI$125,0)=88,1,0))</f>
        <v>0</v>
      </c>
      <c r="AK93" s="44" t="n">
        <f aca="false">N(AK92)+AJ93</f>
        <v>10</v>
      </c>
    </row>
    <row r="94" customFormat="false" ht="18" hidden="false" customHeight="true" outlineLevel="0" collapsed="false">
      <c r="A94" s="40" t="str">
        <f aca="false"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41" t="str">
        <f aca="false"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41" t="str">
        <f aca="false"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41" t="str">
        <f aca="false"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43" t="str">
        <f aca="false"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41" t="str">
        <f aca="false"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5" t="str">
        <f aca="false">IF($AE94="","",IF($AE94&lt;=1200,IF(INDEX(对接源_01水果!$J$4:$J$1203,$AE94)=0,"",INDEX(对接源_01水果!$J$4:$J$1203,$AE94)),IF(INDEX(对接源_02物料!$J$4:$J$1203,$AE94-1200)=0,"",INDEX(对接源_02物料!$J$4:$J$1203,$AE94-1200))))</f>
        <v/>
      </c>
      <c r="H94" s="41" t="str">
        <f aca="false"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I94" s="41" t="str">
        <f aca="false"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J94" s="42" t="str">
        <f aca="false"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44" t="str">
        <f aca="false">IFERROR(MATCH(89,_自动清单!$AA$4:$AA$2403,0),"")</f>
        <v/>
      </c>
      <c r="AI94" s="44" t="str">
        <f aca="false">IF($D94="","",$D94)</f>
        <v/>
      </c>
      <c r="AJ94" s="44" t="n">
        <f aca="false">IF(AI94="",0,IF(MATCH(AI94,AI$6:AI$125,0)=89,1,0))</f>
        <v>0</v>
      </c>
      <c r="AK94" s="44" t="n">
        <f aca="false">N(AK93)+AJ94</f>
        <v>10</v>
      </c>
    </row>
    <row r="95" customFormat="false" ht="18" hidden="false" customHeight="true" outlineLevel="0" collapsed="false">
      <c r="A95" s="45" t="str">
        <f aca="false"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46" t="str">
        <f aca="false"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46" t="str">
        <f aca="false"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46" t="str">
        <f aca="false"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48" t="str">
        <f aca="false"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46" t="str">
        <f aca="false"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56" t="str">
        <f aca="false">IF($AE95="","",IF($AE95&lt;=1200,IF(INDEX(对接源_01水果!$J$4:$J$1203,$AE95)=0,"",INDEX(对接源_01水果!$J$4:$J$1203,$AE95)),IF(INDEX(对接源_02物料!$J$4:$J$1203,$AE95-1200)=0,"",INDEX(对接源_02物料!$J$4:$J$1203,$AE95-1200))))</f>
        <v/>
      </c>
      <c r="H95" s="46" t="str">
        <f aca="false"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I95" s="46" t="str">
        <f aca="false"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J95" s="47" t="str">
        <f aca="false"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44" t="str">
        <f aca="false">IFERROR(MATCH(90,_自动清单!$AA$4:$AA$2403,0),"")</f>
        <v/>
      </c>
      <c r="AI95" s="44" t="str">
        <f aca="false">IF($D95="","",$D95)</f>
        <v/>
      </c>
      <c r="AJ95" s="44" t="n">
        <f aca="false">IF(AI95="",0,IF(MATCH(AI95,AI$6:AI$125,0)=90,1,0))</f>
        <v>0</v>
      </c>
      <c r="AK95" s="44" t="n">
        <f aca="false">N(AK94)+AJ95</f>
        <v>10</v>
      </c>
    </row>
    <row r="96" customFormat="false" ht="18" hidden="false" customHeight="true" outlineLevel="0" collapsed="false">
      <c r="A96" s="40" t="str">
        <f aca="false"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41" t="str">
        <f aca="false"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41" t="str">
        <f aca="false"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41" t="str">
        <f aca="false"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43" t="str">
        <f aca="false"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41" t="str">
        <f aca="false"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5" t="str">
        <f aca="false">IF($AE96="","",IF($AE96&lt;=1200,IF(INDEX(对接源_01水果!$J$4:$J$1203,$AE96)=0,"",INDEX(对接源_01水果!$J$4:$J$1203,$AE96)),IF(INDEX(对接源_02物料!$J$4:$J$1203,$AE96-1200)=0,"",INDEX(对接源_02物料!$J$4:$J$1203,$AE96-1200))))</f>
        <v/>
      </c>
      <c r="H96" s="41" t="str">
        <f aca="false"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I96" s="41" t="str">
        <f aca="false"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J96" s="42" t="str">
        <f aca="false"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44" t="str">
        <f aca="false">IFERROR(MATCH(91,_自动清单!$AA$4:$AA$2403,0),"")</f>
        <v/>
      </c>
      <c r="AI96" s="44" t="str">
        <f aca="false">IF($D96="","",$D96)</f>
        <v/>
      </c>
      <c r="AJ96" s="44" t="n">
        <f aca="false">IF(AI96="",0,IF(MATCH(AI96,AI$6:AI$125,0)=91,1,0))</f>
        <v>0</v>
      </c>
      <c r="AK96" s="44" t="n">
        <f aca="false">N(AK95)+AJ96</f>
        <v>10</v>
      </c>
    </row>
    <row r="97" customFormat="false" ht="18" hidden="false" customHeight="true" outlineLevel="0" collapsed="false">
      <c r="A97" s="45" t="str">
        <f aca="false"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46" t="str">
        <f aca="false"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46" t="str">
        <f aca="false"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46" t="str">
        <f aca="false">IF($AE97="","",IF($AE97&lt;=1200,IF(INDEX(对接源_01水果!$G$4:$G$1203,$AE97)=0,"",INDEX(对接源_01水果!$G$4:$G$1203,$AE97)),IF(INDEX(对接源_02物料!$G$4:$G$1203,$AE97-1200)=0,"",INDEX(对接源_02物料!$G$4:$G$1203,$AE97-1200))))</f>
        <v/>
      </c>
      <c r="E97" s="48" t="str">
        <f aca="false"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46" t="str">
        <f aca="false"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56" t="str">
        <f aca="false">IF($AE97="","",IF($AE97&lt;=1200,IF(INDEX(对接源_01水果!$J$4:$J$1203,$AE97)=0,"",INDEX(对接源_01水果!$J$4:$J$1203,$AE97)),IF(INDEX(对接源_02物料!$J$4:$J$1203,$AE97-1200)=0,"",INDEX(对接源_02物料!$J$4:$J$1203,$AE97-1200))))</f>
        <v/>
      </c>
      <c r="H97" s="46" t="str">
        <f aca="false"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I97" s="46" t="str">
        <f aca="false"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J97" s="47" t="str">
        <f aca="false"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44" t="str">
        <f aca="false">IFERROR(MATCH(92,_自动清单!$AA$4:$AA$2403,0),"")</f>
        <v/>
      </c>
      <c r="AI97" s="44" t="str">
        <f aca="false">IF($D97="","",$D97)</f>
        <v/>
      </c>
      <c r="AJ97" s="44" t="n">
        <f aca="false">IF(AI97="",0,IF(MATCH(AI97,AI$6:AI$125,0)=92,1,0))</f>
        <v>0</v>
      </c>
      <c r="AK97" s="44" t="n">
        <f aca="false">N(AK96)+AJ97</f>
        <v>10</v>
      </c>
    </row>
    <row r="98" customFormat="false" ht="18" hidden="false" customHeight="true" outlineLevel="0" collapsed="false">
      <c r="A98" s="40" t="str">
        <f aca="false"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41" t="str">
        <f aca="false"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41" t="str">
        <f aca="false"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41" t="str">
        <f aca="false"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43" t="str">
        <f aca="false"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41" t="str">
        <f aca="false"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5" t="str">
        <f aca="false">IF($AE98="","",IF($AE98&lt;=1200,IF(INDEX(对接源_01水果!$J$4:$J$1203,$AE98)=0,"",INDEX(对接源_01水果!$J$4:$J$1203,$AE98)),IF(INDEX(对接源_02物料!$J$4:$J$1203,$AE98-1200)=0,"",INDEX(对接源_02物料!$J$4:$J$1203,$AE98-1200))))</f>
        <v/>
      </c>
      <c r="H98" s="41" t="str">
        <f aca="false"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I98" s="41" t="str">
        <f aca="false"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J98" s="42" t="str">
        <f aca="false"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44" t="str">
        <f aca="false">IFERROR(MATCH(93,_自动清单!$AA$4:$AA$2403,0),"")</f>
        <v/>
      </c>
      <c r="AI98" s="44" t="str">
        <f aca="false">IF($D98="","",$D98)</f>
        <v/>
      </c>
      <c r="AJ98" s="44" t="n">
        <f aca="false">IF(AI98="",0,IF(MATCH(AI98,AI$6:AI$125,0)=93,1,0))</f>
        <v>0</v>
      </c>
      <c r="AK98" s="44" t="n">
        <f aca="false">N(AK97)+AJ98</f>
        <v>10</v>
      </c>
    </row>
    <row r="99" customFormat="false" ht="18" hidden="false" customHeight="true" outlineLevel="0" collapsed="false">
      <c r="A99" s="45" t="str">
        <f aca="false"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46" t="str">
        <f aca="false"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46" t="str">
        <f aca="false"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46" t="str">
        <f aca="false"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48" t="str">
        <f aca="false"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46" t="str">
        <f aca="false"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56" t="str">
        <f aca="false">IF($AE99="","",IF($AE99&lt;=1200,IF(INDEX(对接源_01水果!$J$4:$J$1203,$AE99)=0,"",INDEX(对接源_01水果!$J$4:$J$1203,$AE99)),IF(INDEX(对接源_02物料!$J$4:$J$1203,$AE99-1200)=0,"",INDEX(对接源_02物料!$J$4:$J$1203,$AE99-1200))))</f>
        <v/>
      </c>
      <c r="H99" s="46" t="str">
        <f aca="false"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I99" s="46" t="str">
        <f aca="false"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J99" s="47" t="str">
        <f aca="false"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44" t="str">
        <f aca="false">IFERROR(MATCH(94,_自动清单!$AA$4:$AA$2403,0),"")</f>
        <v/>
      </c>
      <c r="AI99" s="44" t="str">
        <f aca="false">IF($D99="","",$D99)</f>
        <v/>
      </c>
      <c r="AJ99" s="44" t="n">
        <f aca="false">IF(AI99="",0,IF(MATCH(AI99,AI$6:AI$125,0)=94,1,0))</f>
        <v>0</v>
      </c>
      <c r="AK99" s="44" t="n">
        <f aca="false">N(AK98)+AJ99</f>
        <v>10</v>
      </c>
    </row>
    <row r="100" customFormat="false" ht="18" hidden="false" customHeight="true" outlineLevel="0" collapsed="false">
      <c r="A100" s="40" t="str">
        <f aca="false"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41" t="str">
        <f aca="false"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41" t="str">
        <f aca="false"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41" t="str">
        <f aca="false"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43" t="str">
        <f aca="false"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41" t="str">
        <f aca="false"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5" t="str">
        <f aca="false">IF($AE100="","",IF($AE100&lt;=1200,IF(INDEX(对接源_01水果!$J$4:$J$1203,$AE100)=0,"",INDEX(对接源_01水果!$J$4:$J$1203,$AE100)),IF(INDEX(对接源_02物料!$J$4:$J$1203,$AE100-1200)=0,"",INDEX(对接源_02物料!$J$4:$J$1203,$AE100-1200))))</f>
        <v/>
      </c>
      <c r="H100" s="41" t="str">
        <f aca="false"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I100" s="41" t="str">
        <f aca="false"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J100" s="42" t="str">
        <f aca="false"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44" t="str">
        <f aca="false">IFERROR(MATCH(95,_自动清单!$AA$4:$AA$2403,0),"")</f>
        <v/>
      </c>
      <c r="AI100" s="44" t="str">
        <f aca="false">IF($D100="","",$D100)</f>
        <v/>
      </c>
      <c r="AJ100" s="44" t="n">
        <f aca="false">IF(AI100="",0,IF(MATCH(AI100,AI$6:AI$125,0)=95,1,0))</f>
        <v>0</v>
      </c>
      <c r="AK100" s="44" t="n">
        <f aca="false">N(AK99)+AJ100</f>
        <v>10</v>
      </c>
    </row>
    <row r="101" customFormat="false" ht="18" hidden="false" customHeight="true" outlineLevel="0" collapsed="false">
      <c r="A101" s="45" t="str">
        <f aca="false"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46" t="str">
        <f aca="false"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46" t="str">
        <f aca="false"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46" t="str">
        <f aca="false">IF($AE101="","",IF($AE101&lt;=1200,IF(INDEX(对接源_01水果!$G$4:$G$1203,$AE101)=0,"",INDEX(对接源_01水果!$G$4:$G$1203,$AE101)),IF(INDEX(对接源_02物料!$G$4:$G$1203,$AE101-1200)=0,"",INDEX(对接源_02物料!$G$4:$G$1203,$AE101-1200))))</f>
        <v/>
      </c>
      <c r="E101" s="48" t="str">
        <f aca="false"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46" t="str">
        <f aca="false"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56" t="str">
        <f aca="false">IF($AE101="","",IF($AE101&lt;=1200,IF(INDEX(对接源_01水果!$J$4:$J$1203,$AE101)=0,"",INDEX(对接源_01水果!$J$4:$J$1203,$AE101)),IF(INDEX(对接源_02物料!$J$4:$J$1203,$AE101-1200)=0,"",INDEX(对接源_02物料!$J$4:$J$1203,$AE101-1200))))</f>
        <v/>
      </c>
      <c r="H101" s="46" t="str">
        <f aca="false"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I101" s="46" t="str">
        <f aca="false"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J101" s="47" t="str">
        <f aca="false"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44" t="str">
        <f aca="false">IFERROR(MATCH(96,_自动清单!$AA$4:$AA$2403,0),"")</f>
        <v/>
      </c>
      <c r="AI101" s="44" t="str">
        <f aca="false">IF($D101="","",$D101)</f>
        <v/>
      </c>
      <c r="AJ101" s="44" t="n">
        <f aca="false">IF(AI101="",0,IF(MATCH(AI101,AI$6:AI$125,0)=96,1,0))</f>
        <v>0</v>
      </c>
      <c r="AK101" s="44" t="n">
        <f aca="false">N(AK100)+AJ101</f>
        <v>10</v>
      </c>
    </row>
    <row r="102" customFormat="false" ht="18" hidden="false" customHeight="true" outlineLevel="0" collapsed="false">
      <c r="A102" s="40" t="str">
        <f aca="false"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41" t="str">
        <f aca="false"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41" t="str">
        <f aca="false"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41" t="str">
        <f aca="false"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43" t="str">
        <f aca="false"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41" t="str">
        <f aca="false"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5" t="str">
        <f aca="false">IF($AE102="","",IF($AE102&lt;=1200,IF(INDEX(对接源_01水果!$J$4:$J$1203,$AE102)=0,"",INDEX(对接源_01水果!$J$4:$J$1203,$AE102)),IF(INDEX(对接源_02物料!$J$4:$J$1203,$AE102-1200)=0,"",INDEX(对接源_02物料!$J$4:$J$1203,$AE102-1200))))</f>
        <v/>
      </c>
      <c r="H102" s="41" t="str">
        <f aca="false"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I102" s="41" t="str">
        <f aca="false"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J102" s="42" t="str">
        <f aca="false"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44" t="str">
        <f aca="false">IFERROR(MATCH(97,_自动清单!$AA$4:$AA$2403,0),"")</f>
        <v/>
      </c>
      <c r="AI102" s="44" t="str">
        <f aca="false">IF($D102="","",$D102)</f>
        <v/>
      </c>
      <c r="AJ102" s="44" t="n">
        <f aca="false">IF(AI102="",0,IF(MATCH(AI102,AI$6:AI$125,0)=97,1,0))</f>
        <v>0</v>
      </c>
      <c r="AK102" s="44" t="n">
        <f aca="false">N(AK101)+AJ102</f>
        <v>10</v>
      </c>
    </row>
    <row r="103" customFormat="false" ht="18" hidden="false" customHeight="true" outlineLevel="0" collapsed="false">
      <c r="A103" s="45" t="str">
        <f aca="false"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46" t="str">
        <f aca="false"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46" t="str">
        <f aca="false"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46" t="str">
        <f aca="false"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48" t="str">
        <f aca="false"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46" t="str">
        <f aca="false"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56" t="str">
        <f aca="false">IF($AE103="","",IF($AE103&lt;=1200,IF(INDEX(对接源_01水果!$J$4:$J$1203,$AE103)=0,"",INDEX(对接源_01水果!$J$4:$J$1203,$AE103)),IF(INDEX(对接源_02物料!$J$4:$J$1203,$AE103-1200)=0,"",INDEX(对接源_02物料!$J$4:$J$1203,$AE103-1200))))</f>
        <v/>
      </c>
      <c r="H103" s="46" t="str">
        <f aca="false"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I103" s="46" t="str">
        <f aca="false"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J103" s="47" t="str">
        <f aca="false"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44" t="str">
        <f aca="false">IFERROR(MATCH(98,_自动清单!$AA$4:$AA$2403,0),"")</f>
        <v/>
      </c>
      <c r="AI103" s="44" t="str">
        <f aca="false">IF($D103="","",$D103)</f>
        <v/>
      </c>
      <c r="AJ103" s="44" t="n">
        <f aca="false">IF(AI103="",0,IF(MATCH(AI103,AI$6:AI$125,0)=98,1,0))</f>
        <v>0</v>
      </c>
      <c r="AK103" s="44" t="n">
        <f aca="false">N(AK102)+AJ103</f>
        <v>10</v>
      </c>
    </row>
    <row r="104" customFormat="false" ht="18" hidden="false" customHeight="true" outlineLevel="0" collapsed="false">
      <c r="A104" s="40" t="str">
        <f aca="false"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41" t="str">
        <f aca="false"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41" t="str">
        <f aca="false"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41" t="str">
        <f aca="false"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43" t="str">
        <f aca="false"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41" t="str">
        <f aca="false"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5" t="str">
        <f aca="false">IF($AE104="","",IF($AE104&lt;=1200,IF(INDEX(对接源_01水果!$J$4:$J$1203,$AE104)=0,"",INDEX(对接源_01水果!$J$4:$J$1203,$AE104)),IF(INDEX(对接源_02物料!$J$4:$J$1203,$AE104-1200)=0,"",INDEX(对接源_02物料!$J$4:$J$1203,$AE104-1200))))</f>
        <v/>
      </c>
      <c r="H104" s="41" t="str">
        <f aca="false"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I104" s="41" t="str">
        <f aca="false"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J104" s="42" t="str">
        <f aca="false"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44" t="str">
        <f aca="false">IFERROR(MATCH(99,_自动清单!$AA$4:$AA$2403,0),"")</f>
        <v/>
      </c>
      <c r="AI104" s="44" t="str">
        <f aca="false">IF($D104="","",$D104)</f>
        <v/>
      </c>
      <c r="AJ104" s="44" t="n">
        <f aca="false">IF(AI104="",0,IF(MATCH(AI104,AI$6:AI$125,0)=99,1,0))</f>
        <v>0</v>
      </c>
      <c r="AK104" s="44" t="n">
        <f aca="false">N(AK103)+AJ104</f>
        <v>10</v>
      </c>
    </row>
    <row r="105" customFormat="false" ht="18" hidden="false" customHeight="true" outlineLevel="0" collapsed="false">
      <c r="A105" s="45" t="str">
        <f aca="false"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46" t="str">
        <f aca="false"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46" t="str">
        <f aca="false"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46" t="str">
        <f aca="false">IF($AE105="","",IF($AE105&lt;=1200,IF(INDEX(对接源_01水果!$G$4:$G$1203,$AE105)=0,"",INDEX(对接源_01水果!$G$4:$G$1203,$AE105)),IF(INDEX(对接源_02物料!$G$4:$G$1203,$AE105-1200)=0,"",INDEX(对接源_02物料!$G$4:$G$1203,$AE105-1200))))</f>
        <v/>
      </c>
      <c r="E105" s="48" t="str">
        <f aca="false"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46" t="str">
        <f aca="false"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56" t="str">
        <f aca="false">IF($AE105="","",IF($AE105&lt;=1200,IF(INDEX(对接源_01水果!$J$4:$J$1203,$AE105)=0,"",INDEX(对接源_01水果!$J$4:$J$1203,$AE105)),IF(INDEX(对接源_02物料!$J$4:$J$1203,$AE105-1200)=0,"",INDEX(对接源_02物料!$J$4:$J$1203,$AE105-1200))))</f>
        <v/>
      </c>
      <c r="H105" s="46" t="str">
        <f aca="false"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I105" s="46" t="str">
        <f aca="false"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J105" s="47" t="str">
        <f aca="false"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44" t="str">
        <f aca="false">IFERROR(MATCH(100,_自动清单!$AA$4:$AA$2403,0),"")</f>
        <v/>
      </c>
      <c r="AI105" s="44" t="str">
        <f aca="false">IF($D105="","",$D105)</f>
        <v/>
      </c>
      <c r="AJ105" s="44" t="n">
        <f aca="false">IF(AI105="",0,IF(MATCH(AI105,AI$6:AI$125,0)=100,1,0))</f>
        <v>0</v>
      </c>
      <c r="AK105" s="44" t="n">
        <f aca="false">N(AK104)+AJ105</f>
        <v>10</v>
      </c>
    </row>
    <row r="106" customFormat="false" ht="18" hidden="false" customHeight="true" outlineLevel="0" collapsed="false">
      <c r="A106" s="40" t="str">
        <f aca="false"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41" t="str">
        <f aca="false"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41" t="str">
        <f aca="false"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41" t="str">
        <f aca="false">IF($AE106="","",IF($AE106&lt;=1200,IF(INDEX(对接源_01水果!$G$4:$G$1203,$AE106)=0,"",INDEX(对接源_01水果!$G$4:$G$1203,$AE106)),IF(INDEX(对接源_02物料!$G$4:$G$1203,$AE106-1200)=0,"",INDEX(对接源_02物料!$G$4:$G$1203,$AE106-1200))))</f>
        <v/>
      </c>
      <c r="E106" s="43" t="str">
        <f aca="false"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41" t="str">
        <f aca="false"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55" t="str">
        <f aca="false">IF($AE106="","",IF($AE106&lt;=1200,IF(INDEX(对接源_01水果!$J$4:$J$1203,$AE106)=0,"",INDEX(对接源_01水果!$J$4:$J$1203,$AE106)),IF(INDEX(对接源_02物料!$J$4:$J$1203,$AE106-1200)=0,"",INDEX(对接源_02物料!$J$4:$J$1203,$AE106-1200))))</f>
        <v/>
      </c>
      <c r="H106" s="41" t="str">
        <f aca="false">IF($AE106="","",IF($AE106&lt;=1200,IF(INDEX(对接源_01水果!$W$4:$W$1203,$AE106)=0,"",INDEX(对接源_01水果!$W$4:$W$1203,$AE106)),IF(INDEX(对接源_02物料!$W$4:$W$1203,$AE106-1200)=0,"",INDEX(对接源_02物料!$W$4:$W$1203,$AE106-1200))))</f>
        <v/>
      </c>
      <c r="I106" s="41" t="str">
        <f aca="false">IF($AE106="","",IF($AE106&lt;=1200,IF(INDEX(对接源_01水果!$C$4:$C$1203,$AE106)=0,"",INDEX(对接源_01水果!$C$4:$C$1203,$AE106)),IF(INDEX(对接源_02物料!$C$4:$C$1203,$AE106-1200)=0,"",INDEX(对接源_02物料!$C$4:$C$1203,$AE106-1200))))</f>
        <v/>
      </c>
      <c r="J106" s="42" t="str">
        <f aca="false"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44" t="str">
        <f aca="false">IFERROR(MATCH(101,_自动清单!$AA$4:$AA$2403,0),"")</f>
        <v/>
      </c>
      <c r="AI106" s="44" t="str">
        <f aca="false">IF($D106="","",$D106)</f>
        <v/>
      </c>
      <c r="AJ106" s="44" t="n">
        <f aca="false">IF(AI106="",0,IF(MATCH(AI106,AI$6:AI$125,0)=101,1,0))</f>
        <v>0</v>
      </c>
      <c r="AK106" s="44" t="n">
        <f aca="false">N(AK105)+AJ106</f>
        <v>10</v>
      </c>
    </row>
    <row r="107" customFormat="false" ht="18" hidden="false" customHeight="true" outlineLevel="0" collapsed="false">
      <c r="A107" s="45" t="str">
        <f aca="false"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46" t="str">
        <f aca="false"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46" t="str">
        <f aca="false"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46" t="str">
        <f aca="false">IF($AE107="","",IF($AE107&lt;=1200,IF(INDEX(对接源_01水果!$G$4:$G$1203,$AE107)=0,"",INDEX(对接源_01水果!$G$4:$G$1203,$AE107)),IF(INDEX(对接源_02物料!$G$4:$G$1203,$AE107-1200)=0,"",INDEX(对接源_02物料!$G$4:$G$1203,$AE107-1200))))</f>
        <v/>
      </c>
      <c r="E107" s="48" t="str">
        <f aca="false"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46" t="str">
        <f aca="false"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56" t="str">
        <f aca="false">IF($AE107="","",IF($AE107&lt;=1200,IF(INDEX(对接源_01水果!$J$4:$J$1203,$AE107)=0,"",INDEX(对接源_01水果!$J$4:$J$1203,$AE107)),IF(INDEX(对接源_02物料!$J$4:$J$1203,$AE107-1200)=0,"",INDEX(对接源_02物料!$J$4:$J$1203,$AE107-1200))))</f>
        <v/>
      </c>
      <c r="H107" s="46" t="str">
        <f aca="false">IF($AE107="","",IF($AE107&lt;=1200,IF(INDEX(对接源_01水果!$W$4:$W$1203,$AE107)=0,"",INDEX(对接源_01水果!$W$4:$W$1203,$AE107)),IF(INDEX(对接源_02物料!$W$4:$W$1203,$AE107-1200)=0,"",INDEX(对接源_02物料!$W$4:$W$1203,$AE107-1200))))</f>
        <v/>
      </c>
      <c r="I107" s="46" t="str">
        <f aca="false">IF($AE107="","",IF($AE107&lt;=1200,IF(INDEX(对接源_01水果!$C$4:$C$1203,$AE107)=0,"",INDEX(对接源_01水果!$C$4:$C$1203,$AE107)),IF(INDEX(对接源_02物料!$C$4:$C$1203,$AE107-1200)=0,"",INDEX(对接源_02物料!$C$4:$C$1203,$AE107-1200))))</f>
        <v/>
      </c>
      <c r="J107" s="47" t="str">
        <f aca="false"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44" t="str">
        <f aca="false">IFERROR(MATCH(102,_自动清单!$AA$4:$AA$2403,0),"")</f>
        <v/>
      </c>
      <c r="AI107" s="44" t="str">
        <f aca="false">IF($D107="","",$D107)</f>
        <v/>
      </c>
      <c r="AJ107" s="44" t="n">
        <f aca="false">IF(AI107="",0,IF(MATCH(AI107,AI$6:AI$125,0)=102,1,0))</f>
        <v>0</v>
      </c>
      <c r="AK107" s="44" t="n">
        <f aca="false">N(AK106)+AJ107</f>
        <v>10</v>
      </c>
    </row>
    <row r="108" customFormat="false" ht="18" hidden="false" customHeight="true" outlineLevel="0" collapsed="false">
      <c r="A108" s="40" t="str">
        <f aca="false"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41" t="str">
        <f aca="false"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41" t="str">
        <f aca="false"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41" t="str">
        <f aca="false">IF($AE108="","",IF($AE108&lt;=1200,IF(INDEX(对接源_01水果!$G$4:$G$1203,$AE108)=0,"",INDEX(对接源_01水果!$G$4:$G$1203,$AE108)),IF(INDEX(对接源_02物料!$G$4:$G$1203,$AE108-1200)=0,"",INDEX(对接源_02物料!$G$4:$G$1203,$AE108-1200))))</f>
        <v/>
      </c>
      <c r="E108" s="43" t="str">
        <f aca="false"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41" t="str">
        <f aca="false"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55" t="str">
        <f aca="false">IF($AE108="","",IF($AE108&lt;=1200,IF(INDEX(对接源_01水果!$J$4:$J$1203,$AE108)=0,"",INDEX(对接源_01水果!$J$4:$J$1203,$AE108)),IF(INDEX(对接源_02物料!$J$4:$J$1203,$AE108-1200)=0,"",INDEX(对接源_02物料!$J$4:$J$1203,$AE108-1200))))</f>
        <v/>
      </c>
      <c r="H108" s="41" t="str">
        <f aca="false">IF($AE108="","",IF($AE108&lt;=1200,IF(INDEX(对接源_01水果!$W$4:$W$1203,$AE108)=0,"",INDEX(对接源_01水果!$W$4:$W$1203,$AE108)),IF(INDEX(对接源_02物料!$W$4:$W$1203,$AE108-1200)=0,"",INDEX(对接源_02物料!$W$4:$W$1203,$AE108-1200))))</f>
        <v/>
      </c>
      <c r="I108" s="41" t="str">
        <f aca="false">IF($AE108="","",IF($AE108&lt;=1200,IF(INDEX(对接源_01水果!$C$4:$C$1203,$AE108)=0,"",INDEX(对接源_01水果!$C$4:$C$1203,$AE108)),IF(INDEX(对接源_02物料!$C$4:$C$1203,$AE108-1200)=0,"",INDEX(对接源_02物料!$C$4:$C$1203,$AE108-1200))))</f>
        <v/>
      </c>
      <c r="J108" s="42" t="str">
        <f aca="false"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44" t="str">
        <f aca="false">IFERROR(MATCH(103,_自动清单!$AA$4:$AA$2403,0),"")</f>
        <v/>
      </c>
      <c r="AI108" s="44" t="str">
        <f aca="false">IF($D108="","",$D108)</f>
        <v/>
      </c>
      <c r="AJ108" s="44" t="n">
        <f aca="false">IF(AI108="",0,IF(MATCH(AI108,AI$6:AI$125,0)=103,1,0))</f>
        <v>0</v>
      </c>
      <c r="AK108" s="44" t="n">
        <f aca="false">N(AK107)+AJ108</f>
        <v>10</v>
      </c>
    </row>
    <row r="109" customFormat="false" ht="18" hidden="false" customHeight="true" outlineLevel="0" collapsed="false">
      <c r="A109" s="45" t="str">
        <f aca="false">IF($AE109="","",IF($AE109&lt;=1200,IF(INDEX(对接源_01水果!$B$4:$B$1203,$AE109)=0,"",INDEX(对接源_01水果!$B$4:$B$1203,$AE109)),IF(INDEX(对接源_02物料!$B$4:$B$1203,$AE109-1200)=0,"",INDEX(对接源_02物料!$B$4:$B$1203,$AE109-1200))))</f>
        <v/>
      </c>
      <c r="B109" s="46" t="str">
        <f aca="false">IF($AE109="","",IF($AE109&lt;=1200,IF(INDEX(对接源_01水果!$E$4:$E$1203,$AE109)=0,"",INDEX(对接源_01水果!$E$4:$E$1203,$AE109)),IF(INDEX(对接源_02物料!$E$4:$E$1203,$AE109-1200)=0,"",INDEX(对接源_02物料!$E$4:$E$1203,$AE109-1200))))</f>
        <v/>
      </c>
      <c r="C109" s="46" t="str">
        <f aca="false">IF($AE109="","",IF($AE109&lt;=1200,IF(INDEX(对接源_01水果!$F$4:$F$1203,$AE109)=0,"",INDEX(对接源_01水果!$F$4:$F$1203,$AE109)),IF(INDEX(对接源_02物料!$F$4:$F$1203,$AE109-1200)=0,"",INDEX(对接源_02物料!$F$4:$F$1203,$AE109-1200))))</f>
        <v/>
      </c>
      <c r="D109" s="46" t="str">
        <f aca="false">IF($AE109="","",IF($AE109&lt;=1200,IF(INDEX(对接源_01水果!$G$4:$G$1203,$AE109)=0,"",INDEX(对接源_01水果!$G$4:$G$1203,$AE109)),IF(INDEX(对接源_02物料!$G$4:$G$1203,$AE109-1200)=0,"",INDEX(对接源_02物料!$G$4:$G$1203,$AE109-1200))))</f>
        <v/>
      </c>
      <c r="E109" s="48" t="str">
        <f aca="false">IF($AE109="","",IF($AE109&lt;=1200,IF(INDEX(对接源_01水果!$H$4:$H$1203,$AE109)=0,"",INDEX(对接源_01水果!$H$4:$H$1203,$AE109)),IF(INDEX(对接源_02物料!$H$4:$H$1203,$AE109-1200)=0,"",INDEX(对接源_02物料!$H$4:$H$1203,$AE109-1200))))</f>
        <v/>
      </c>
      <c r="F109" s="46" t="str">
        <f aca="false">IF($AE109="","",IF($AE109&lt;=1200,IF(INDEX(对接源_01水果!$I$4:$I$1203,$AE109)=0,"",INDEX(对接源_01水果!$I$4:$I$1203,$AE109)),IF(INDEX(对接源_02物料!$I$4:$I$1203,$AE109-1200)=0,"",INDEX(对接源_02物料!$I$4:$I$1203,$AE109-1200))))</f>
        <v/>
      </c>
      <c r="G109" s="56" t="str">
        <f aca="false">IF($AE109="","",IF($AE109&lt;=1200,IF(INDEX(对接源_01水果!$J$4:$J$1203,$AE109)=0,"",INDEX(对接源_01水果!$J$4:$J$1203,$AE109)),IF(INDEX(对接源_02物料!$J$4:$J$1203,$AE109-1200)=0,"",INDEX(对接源_02物料!$J$4:$J$1203,$AE109-1200))))</f>
        <v/>
      </c>
      <c r="H109" s="46" t="str">
        <f aca="false">IF($AE109="","",IF($AE109&lt;=1200,IF(INDEX(对接源_01水果!$W$4:$W$1203,$AE109)=0,"",INDEX(对接源_01水果!$W$4:$W$1203,$AE109)),IF(INDEX(对接源_02物料!$W$4:$W$1203,$AE109-1200)=0,"",INDEX(对接源_02物料!$W$4:$W$1203,$AE109-1200))))</f>
        <v/>
      </c>
      <c r="I109" s="46" t="str">
        <f aca="false">IF($AE109="","",IF($AE109&lt;=1200,IF(INDEX(对接源_01水果!$C$4:$C$1203,$AE109)=0,"",INDEX(对接源_01水果!$C$4:$C$1203,$AE109)),IF(INDEX(对接源_02物料!$C$4:$C$1203,$AE109-1200)=0,"",INDEX(对接源_02物料!$C$4:$C$1203,$AE109-1200))))</f>
        <v/>
      </c>
      <c r="J109" s="47" t="str">
        <f aca="false"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44" t="str">
        <f aca="false">IFERROR(MATCH(104,_自动清单!$AA$4:$AA$2403,0),"")</f>
        <v/>
      </c>
      <c r="AI109" s="44" t="str">
        <f aca="false">IF($D109="","",$D109)</f>
        <v/>
      </c>
      <c r="AJ109" s="44" t="n">
        <f aca="false">IF(AI109="",0,IF(MATCH(AI109,AI$6:AI$125,0)=104,1,0))</f>
        <v>0</v>
      </c>
      <c r="AK109" s="44" t="n">
        <f aca="false">N(AK108)+AJ109</f>
        <v>10</v>
      </c>
    </row>
    <row r="110" customFormat="false" ht="18" hidden="false" customHeight="true" outlineLevel="0" collapsed="false">
      <c r="A110" s="40" t="str">
        <f aca="false"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41" t="str">
        <f aca="false"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41" t="str">
        <f aca="false"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41" t="str">
        <f aca="false">IF($AE110="","",IF($AE110&lt;=1200,IF(INDEX(对接源_01水果!$G$4:$G$1203,$AE110)=0,"",INDEX(对接源_01水果!$G$4:$G$1203,$AE110)),IF(INDEX(对接源_02物料!$G$4:$G$1203,$AE110-1200)=0,"",INDEX(对接源_02物料!$G$4:$G$1203,$AE110-1200))))</f>
        <v/>
      </c>
      <c r="E110" s="43" t="str">
        <f aca="false"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41" t="str">
        <f aca="false"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55" t="str">
        <f aca="false">IF($AE110="","",IF($AE110&lt;=1200,IF(INDEX(对接源_01水果!$J$4:$J$1203,$AE110)=0,"",INDEX(对接源_01水果!$J$4:$J$1203,$AE110)),IF(INDEX(对接源_02物料!$J$4:$J$1203,$AE110-1200)=0,"",INDEX(对接源_02物料!$J$4:$J$1203,$AE110-1200))))</f>
        <v/>
      </c>
      <c r="H110" s="41" t="str">
        <f aca="false">IF($AE110="","",IF($AE110&lt;=1200,IF(INDEX(对接源_01水果!$W$4:$W$1203,$AE110)=0,"",INDEX(对接源_01水果!$W$4:$W$1203,$AE110)),IF(INDEX(对接源_02物料!$W$4:$W$1203,$AE110-1200)=0,"",INDEX(对接源_02物料!$W$4:$W$1203,$AE110-1200))))</f>
        <v/>
      </c>
      <c r="I110" s="41" t="str">
        <f aca="false">IF($AE110="","",IF($AE110&lt;=1200,IF(INDEX(对接源_01水果!$C$4:$C$1203,$AE110)=0,"",INDEX(对接源_01水果!$C$4:$C$1203,$AE110)),IF(INDEX(对接源_02物料!$C$4:$C$1203,$AE110-1200)=0,"",INDEX(对接源_02物料!$C$4:$C$1203,$AE110-1200))))</f>
        <v/>
      </c>
      <c r="J110" s="42" t="str">
        <f aca="false"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44" t="str">
        <f aca="false">IFERROR(MATCH(105,_自动清单!$AA$4:$AA$2403,0),"")</f>
        <v/>
      </c>
      <c r="AI110" s="44" t="str">
        <f aca="false">IF($D110="","",$D110)</f>
        <v/>
      </c>
      <c r="AJ110" s="44" t="n">
        <f aca="false">IF(AI110="",0,IF(MATCH(AI110,AI$6:AI$125,0)=105,1,0))</f>
        <v>0</v>
      </c>
      <c r="AK110" s="44" t="n">
        <f aca="false">N(AK109)+AJ110</f>
        <v>10</v>
      </c>
    </row>
    <row r="111" customFormat="false" ht="18" hidden="false" customHeight="true" outlineLevel="0" collapsed="false">
      <c r="A111" s="45" t="str">
        <f aca="false"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46" t="str">
        <f aca="false"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46" t="str">
        <f aca="false"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46" t="str">
        <f aca="false">IF($AE111="","",IF($AE111&lt;=1200,IF(INDEX(对接源_01水果!$G$4:$G$1203,$AE111)=0,"",INDEX(对接源_01水果!$G$4:$G$1203,$AE111)),IF(INDEX(对接源_02物料!$G$4:$G$1203,$AE111-1200)=0,"",INDEX(对接源_02物料!$G$4:$G$1203,$AE111-1200))))</f>
        <v/>
      </c>
      <c r="E111" s="48" t="str">
        <f aca="false"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46" t="str">
        <f aca="false"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56" t="str">
        <f aca="false">IF($AE111="","",IF($AE111&lt;=1200,IF(INDEX(对接源_01水果!$J$4:$J$1203,$AE111)=0,"",INDEX(对接源_01水果!$J$4:$J$1203,$AE111)),IF(INDEX(对接源_02物料!$J$4:$J$1203,$AE111-1200)=0,"",INDEX(对接源_02物料!$J$4:$J$1203,$AE111-1200))))</f>
        <v/>
      </c>
      <c r="H111" s="46" t="str">
        <f aca="false">IF($AE111="","",IF($AE111&lt;=1200,IF(INDEX(对接源_01水果!$W$4:$W$1203,$AE111)=0,"",INDEX(对接源_01水果!$W$4:$W$1203,$AE111)),IF(INDEX(对接源_02物料!$W$4:$W$1203,$AE111-1200)=0,"",INDEX(对接源_02物料!$W$4:$W$1203,$AE111-1200))))</f>
        <v/>
      </c>
      <c r="I111" s="46" t="str">
        <f aca="false">IF($AE111="","",IF($AE111&lt;=1200,IF(INDEX(对接源_01水果!$C$4:$C$1203,$AE111)=0,"",INDEX(对接源_01水果!$C$4:$C$1203,$AE111)),IF(INDEX(对接源_02物料!$C$4:$C$1203,$AE111-1200)=0,"",INDEX(对接源_02物料!$C$4:$C$1203,$AE111-1200))))</f>
        <v/>
      </c>
      <c r="J111" s="47" t="str">
        <f aca="false"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44" t="str">
        <f aca="false">IFERROR(MATCH(106,_自动清单!$AA$4:$AA$2403,0),"")</f>
        <v/>
      </c>
      <c r="AI111" s="44" t="str">
        <f aca="false">IF($D111="","",$D111)</f>
        <v/>
      </c>
      <c r="AJ111" s="44" t="n">
        <f aca="false">IF(AI111="",0,IF(MATCH(AI111,AI$6:AI$125,0)=106,1,0))</f>
        <v>0</v>
      </c>
      <c r="AK111" s="44" t="n">
        <f aca="false">N(AK110)+AJ111</f>
        <v>10</v>
      </c>
    </row>
    <row r="112" customFormat="false" ht="18" hidden="false" customHeight="true" outlineLevel="0" collapsed="false">
      <c r="A112" s="40" t="str">
        <f aca="false"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41" t="str">
        <f aca="false"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41" t="str">
        <f aca="false"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41" t="str">
        <f aca="false">IF($AE112="","",IF($AE112&lt;=1200,IF(INDEX(对接源_01水果!$G$4:$G$1203,$AE112)=0,"",INDEX(对接源_01水果!$G$4:$G$1203,$AE112)),IF(INDEX(对接源_02物料!$G$4:$G$1203,$AE112-1200)=0,"",INDEX(对接源_02物料!$G$4:$G$1203,$AE112-1200))))</f>
        <v/>
      </c>
      <c r="E112" s="43" t="str">
        <f aca="false"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41" t="str">
        <f aca="false"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55" t="str">
        <f aca="false">IF($AE112="","",IF($AE112&lt;=1200,IF(INDEX(对接源_01水果!$J$4:$J$1203,$AE112)=0,"",INDEX(对接源_01水果!$J$4:$J$1203,$AE112)),IF(INDEX(对接源_02物料!$J$4:$J$1203,$AE112-1200)=0,"",INDEX(对接源_02物料!$J$4:$J$1203,$AE112-1200))))</f>
        <v/>
      </c>
      <c r="H112" s="41" t="str">
        <f aca="false">IF($AE112="","",IF($AE112&lt;=1200,IF(INDEX(对接源_01水果!$W$4:$W$1203,$AE112)=0,"",INDEX(对接源_01水果!$W$4:$W$1203,$AE112)),IF(INDEX(对接源_02物料!$W$4:$W$1203,$AE112-1200)=0,"",INDEX(对接源_02物料!$W$4:$W$1203,$AE112-1200))))</f>
        <v/>
      </c>
      <c r="I112" s="41" t="str">
        <f aca="false">IF($AE112="","",IF($AE112&lt;=1200,IF(INDEX(对接源_01水果!$C$4:$C$1203,$AE112)=0,"",INDEX(对接源_01水果!$C$4:$C$1203,$AE112)),IF(INDEX(对接源_02物料!$C$4:$C$1203,$AE112-1200)=0,"",INDEX(对接源_02物料!$C$4:$C$1203,$AE112-1200))))</f>
        <v/>
      </c>
      <c r="J112" s="42" t="str">
        <f aca="false"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44" t="str">
        <f aca="false">IFERROR(MATCH(107,_自动清单!$AA$4:$AA$2403,0),"")</f>
        <v/>
      </c>
      <c r="AI112" s="44" t="str">
        <f aca="false">IF($D112="","",$D112)</f>
        <v/>
      </c>
      <c r="AJ112" s="44" t="n">
        <f aca="false">IF(AI112="",0,IF(MATCH(AI112,AI$6:AI$125,0)=107,1,0))</f>
        <v>0</v>
      </c>
      <c r="AK112" s="44" t="n">
        <f aca="false">N(AK111)+AJ112</f>
        <v>10</v>
      </c>
    </row>
    <row r="113" customFormat="false" ht="18" hidden="false" customHeight="true" outlineLevel="0" collapsed="false">
      <c r="A113" s="45" t="str">
        <f aca="false">IF($AE113="","",IF($AE113&lt;=1200,IF(INDEX(对接源_01水果!$B$4:$B$1203,$AE113)=0,"",INDEX(对接源_01水果!$B$4:$B$1203,$AE113)),IF(INDEX(对接源_02物料!$B$4:$B$1203,$AE113-1200)=0,"",INDEX(对接源_02物料!$B$4:$B$1203,$AE113-1200))))</f>
        <v/>
      </c>
      <c r="B113" s="46" t="str">
        <f aca="false">IF($AE113="","",IF($AE113&lt;=1200,IF(INDEX(对接源_01水果!$E$4:$E$1203,$AE113)=0,"",INDEX(对接源_01水果!$E$4:$E$1203,$AE113)),IF(INDEX(对接源_02物料!$E$4:$E$1203,$AE113-1200)=0,"",INDEX(对接源_02物料!$E$4:$E$1203,$AE113-1200))))</f>
        <v/>
      </c>
      <c r="C113" s="46" t="str">
        <f aca="false">IF($AE113="","",IF($AE113&lt;=1200,IF(INDEX(对接源_01水果!$F$4:$F$1203,$AE113)=0,"",INDEX(对接源_01水果!$F$4:$F$1203,$AE113)),IF(INDEX(对接源_02物料!$F$4:$F$1203,$AE113-1200)=0,"",INDEX(对接源_02物料!$F$4:$F$1203,$AE113-1200))))</f>
        <v/>
      </c>
      <c r="D113" s="46" t="str">
        <f aca="false">IF($AE113="","",IF($AE113&lt;=1200,IF(INDEX(对接源_01水果!$G$4:$G$1203,$AE113)=0,"",INDEX(对接源_01水果!$G$4:$G$1203,$AE113)),IF(INDEX(对接源_02物料!$G$4:$G$1203,$AE113-1200)=0,"",INDEX(对接源_02物料!$G$4:$G$1203,$AE113-1200))))</f>
        <v/>
      </c>
      <c r="E113" s="48" t="str">
        <f aca="false">IF($AE113="","",IF($AE113&lt;=1200,IF(INDEX(对接源_01水果!$H$4:$H$1203,$AE113)=0,"",INDEX(对接源_01水果!$H$4:$H$1203,$AE113)),IF(INDEX(对接源_02物料!$H$4:$H$1203,$AE113-1200)=0,"",INDEX(对接源_02物料!$H$4:$H$1203,$AE113-1200))))</f>
        <v/>
      </c>
      <c r="F113" s="46" t="str">
        <f aca="false">IF($AE113="","",IF($AE113&lt;=1200,IF(INDEX(对接源_01水果!$I$4:$I$1203,$AE113)=0,"",INDEX(对接源_01水果!$I$4:$I$1203,$AE113)),IF(INDEX(对接源_02物料!$I$4:$I$1203,$AE113-1200)=0,"",INDEX(对接源_02物料!$I$4:$I$1203,$AE113-1200))))</f>
        <v/>
      </c>
      <c r="G113" s="56" t="str">
        <f aca="false">IF($AE113="","",IF($AE113&lt;=1200,IF(INDEX(对接源_01水果!$J$4:$J$1203,$AE113)=0,"",INDEX(对接源_01水果!$J$4:$J$1203,$AE113)),IF(INDEX(对接源_02物料!$J$4:$J$1203,$AE113-1200)=0,"",INDEX(对接源_02物料!$J$4:$J$1203,$AE113-1200))))</f>
        <v/>
      </c>
      <c r="H113" s="46" t="str">
        <f aca="false">IF($AE113="","",IF($AE113&lt;=1200,IF(INDEX(对接源_01水果!$W$4:$W$1203,$AE113)=0,"",INDEX(对接源_01水果!$W$4:$W$1203,$AE113)),IF(INDEX(对接源_02物料!$W$4:$W$1203,$AE113-1200)=0,"",INDEX(对接源_02物料!$W$4:$W$1203,$AE113-1200))))</f>
        <v/>
      </c>
      <c r="I113" s="46" t="str">
        <f aca="false">IF($AE113="","",IF($AE113&lt;=1200,IF(INDEX(对接源_01水果!$C$4:$C$1203,$AE113)=0,"",INDEX(对接源_01水果!$C$4:$C$1203,$AE113)),IF(INDEX(对接源_02物料!$C$4:$C$1203,$AE113-1200)=0,"",INDEX(对接源_02物料!$C$4:$C$1203,$AE113-1200))))</f>
        <v/>
      </c>
      <c r="J113" s="47" t="str">
        <f aca="false"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44" t="str">
        <f aca="false">IFERROR(MATCH(108,_自动清单!$AA$4:$AA$2403,0),"")</f>
        <v/>
      </c>
      <c r="AI113" s="44" t="str">
        <f aca="false">IF($D113="","",$D113)</f>
        <v/>
      </c>
      <c r="AJ113" s="44" t="n">
        <f aca="false">IF(AI113="",0,IF(MATCH(AI113,AI$6:AI$125,0)=108,1,0))</f>
        <v>0</v>
      </c>
      <c r="AK113" s="44" t="n">
        <f aca="false">N(AK112)+AJ113</f>
        <v>10</v>
      </c>
    </row>
    <row r="114" customFormat="false" ht="18" hidden="false" customHeight="true" outlineLevel="0" collapsed="false">
      <c r="A114" s="40" t="str">
        <f aca="false"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41" t="str">
        <f aca="false"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41" t="str">
        <f aca="false"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41" t="str">
        <f aca="false">IF($AE114="","",IF($AE114&lt;=1200,IF(INDEX(对接源_01水果!$G$4:$G$1203,$AE114)=0,"",INDEX(对接源_01水果!$G$4:$G$1203,$AE114)),IF(INDEX(对接源_02物料!$G$4:$G$1203,$AE114-1200)=0,"",INDEX(对接源_02物料!$G$4:$G$1203,$AE114-1200))))</f>
        <v/>
      </c>
      <c r="E114" s="43" t="str">
        <f aca="false"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41" t="str">
        <f aca="false"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55" t="str">
        <f aca="false">IF($AE114="","",IF($AE114&lt;=1200,IF(INDEX(对接源_01水果!$J$4:$J$1203,$AE114)=0,"",INDEX(对接源_01水果!$J$4:$J$1203,$AE114)),IF(INDEX(对接源_02物料!$J$4:$J$1203,$AE114-1200)=0,"",INDEX(对接源_02物料!$J$4:$J$1203,$AE114-1200))))</f>
        <v/>
      </c>
      <c r="H114" s="41" t="str">
        <f aca="false">IF($AE114="","",IF($AE114&lt;=1200,IF(INDEX(对接源_01水果!$W$4:$W$1203,$AE114)=0,"",INDEX(对接源_01水果!$W$4:$W$1203,$AE114)),IF(INDEX(对接源_02物料!$W$4:$W$1203,$AE114-1200)=0,"",INDEX(对接源_02物料!$W$4:$W$1203,$AE114-1200))))</f>
        <v/>
      </c>
      <c r="I114" s="41" t="str">
        <f aca="false">IF($AE114="","",IF($AE114&lt;=1200,IF(INDEX(对接源_01水果!$C$4:$C$1203,$AE114)=0,"",INDEX(对接源_01水果!$C$4:$C$1203,$AE114)),IF(INDEX(对接源_02物料!$C$4:$C$1203,$AE114-1200)=0,"",INDEX(对接源_02物料!$C$4:$C$1203,$AE114-1200))))</f>
        <v/>
      </c>
      <c r="J114" s="42" t="str">
        <f aca="false"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44" t="str">
        <f aca="false">IFERROR(MATCH(109,_自动清单!$AA$4:$AA$2403,0),"")</f>
        <v/>
      </c>
      <c r="AI114" s="44" t="str">
        <f aca="false">IF($D114="","",$D114)</f>
        <v/>
      </c>
      <c r="AJ114" s="44" t="n">
        <f aca="false">IF(AI114="",0,IF(MATCH(AI114,AI$6:AI$125,0)=109,1,0))</f>
        <v>0</v>
      </c>
      <c r="AK114" s="44" t="n">
        <f aca="false">N(AK113)+AJ114</f>
        <v>10</v>
      </c>
    </row>
    <row r="115" customFormat="false" ht="18" hidden="false" customHeight="true" outlineLevel="0" collapsed="false">
      <c r="A115" s="45" t="str">
        <f aca="false"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46" t="str">
        <f aca="false"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46" t="str">
        <f aca="false"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46" t="str">
        <f aca="false">IF($AE115="","",IF($AE115&lt;=1200,IF(INDEX(对接源_01水果!$G$4:$G$1203,$AE115)=0,"",INDEX(对接源_01水果!$G$4:$G$1203,$AE115)),IF(INDEX(对接源_02物料!$G$4:$G$1203,$AE115-1200)=0,"",INDEX(对接源_02物料!$G$4:$G$1203,$AE115-1200))))</f>
        <v/>
      </c>
      <c r="E115" s="48" t="str">
        <f aca="false"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46" t="str">
        <f aca="false"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56" t="str">
        <f aca="false">IF($AE115="","",IF($AE115&lt;=1200,IF(INDEX(对接源_01水果!$J$4:$J$1203,$AE115)=0,"",INDEX(对接源_01水果!$J$4:$J$1203,$AE115)),IF(INDEX(对接源_02物料!$J$4:$J$1203,$AE115-1200)=0,"",INDEX(对接源_02物料!$J$4:$J$1203,$AE115-1200))))</f>
        <v/>
      </c>
      <c r="H115" s="46" t="str">
        <f aca="false">IF($AE115="","",IF($AE115&lt;=1200,IF(INDEX(对接源_01水果!$W$4:$W$1203,$AE115)=0,"",INDEX(对接源_01水果!$W$4:$W$1203,$AE115)),IF(INDEX(对接源_02物料!$W$4:$W$1203,$AE115-1200)=0,"",INDEX(对接源_02物料!$W$4:$W$1203,$AE115-1200))))</f>
        <v/>
      </c>
      <c r="I115" s="46" t="str">
        <f aca="false">IF($AE115="","",IF($AE115&lt;=1200,IF(INDEX(对接源_01水果!$C$4:$C$1203,$AE115)=0,"",INDEX(对接源_01水果!$C$4:$C$1203,$AE115)),IF(INDEX(对接源_02物料!$C$4:$C$1203,$AE115-1200)=0,"",INDEX(对接源_02物料!$C$4:$C$1203,$AE115-1200))))</f>
        <v/>
      </c>
      <c r="J115" s="47" t="str">
        <f aca="false"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44" t="str">
        <f aca="false">IFERROR(MATCH(110,_自动清单!$AA$4:$AA$2403,0),"")</f>
        <v/>
      </c>
      <c r="AI115" s="44" t="str">
        <f aca="false">IF($D115="","",$D115)</f>
        <v/>
      </c>
      <c r="AJ115" s="44" t="n">
        <f aca="false">IF(AI115="",0,IF(MATCH(AI115,AI$6:AI$125,0)=110,1,0))</f>
        <v>0</v>
      </c>
      <c r="AK115" s="44" t="n">
        <f aca="false">N(AK114)+AJ115</f>
        <v>10</v>
      </c>
    </row>
    <row r="116" customFormat="false" ht="18" hidden="false" customHeight="true" outlineLevel="0" collapsed="false">
      <c r="A116" s="40" t="str">
        <f aca="false"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41" t="str">
        <f aca="false"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41" t="str">
        <f aca="false"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41" t="str">
        <f aca="false">IF($AE116="","",IF($AE116&lt;=1200,IF(INDEX(对接源_01水果!$G$4:$G$1203,$AE116)=0,"",INDEX(对接源_01水果!$G$4:$G$1203,$AE116)),IF(INDEX(对接源_02物料!$G$4:$G$1203,$AE116-1200)=0,"",INDEX(对接源_02物料!$G$4:$G$1203,$AE116-1200))))</f>
        <v/>
      </c>
      <c r="E116" s="43" t="str">
        <f aca="false"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41" t="str">
        <f aca="false"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55" t="str">
        <f aca="false">IF($AE116="","",IF($AE116&lt;=1200,IF(INDEX(对接源_01水果!$J$4:$J$1203,$AE116)=0,"",INDEX(对接源_01水果!$J$4:$J$1203,$AE116)),IF(INDEX(对接源_02物料!$J$4:$J$1203,$AE116-1200)=0,"",INDEX(对接源_02物料!$J$4:$J$1203,$AE116-1200))))</f>
        <v/>
      </c>
      <c r="H116" s="41" t="str">
        <f aca="false">IF($AE116="","",IF($AE116&lt;=1200,IF(INDEX(对接源_01水果!$W$4:$W$1203,$AE116)=0,"",INDEX(对接源_01水果!$W$4:$W$1203,$AE116)),IF(INDEX(对接源_02物料!$W$4:$W$1203,$AE116-1200)=0,"",INDEX(对接源_02物料!$W$4:$W$1203,$AE116-1200))))</f>
        <v/>
      </c>
      <c r="I116" s="41" t="str">
        <f aca="false">IF($AE116="","",IF($AE116&lt;=1200,IF(INDEX(对接源_01水果!$C$4:$C$1203,$AE116)=0,"",INDEX(对接源_01水果!$C$4:$C$1203,$AE116)),IF(INDEX(对接源_02物料!$C$4:$C$1203,$AE116-1200)=0,"",INDEX(对接源_02物料!$C$4:$C$1203,$AE116-1200))))</f>
        <v/>
      </c>
      <c r="J116" s="42" t="str">
        <f aca="false"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44" t="str">
        <f aca="false">IFERROR(MATCH(111,_自动清单!$AA$4:$AA$2403,0),"")</f>
        <v/>
      </c>
      <c r="AI116" s="44" t="str">
        <f aca="false">IF($D116="","",$D116)</f>
        <v/>
      </c>
      <c r="AJ116" s="44" t="n">
        <f aca="false">IF(AI116="",0,IF(MATCH(AI116,AI$6:AI$125,0)=111,1,0))</f>
        <v>0</v>
      </c>
      <c r="AK116" s="44" t="n">
        <f aca="false">N(AK115)+AJ116</f>
        <v>10</v>
      </c>
    </row>
    <row r="117" customFormat="false" ht="18" hidden="false" customHeight="true" outlineLevel="0" collapsed="false">
      <c r="A117" s="45" t="str">
        <f aca="false">IF($AE117="","",IF($AE117&lt;=1200,IF(INDEX(对接源_01水果!$B$4:$B$1203,$AE117)=0,"",INDEX(对接源_01水果!$B$4:$B$1203,$AE117)),IF(INDEX(对接源_02物料!$B$4:$B$1203,$AE117-1200)=0,"",INDEX(对接源_02物料!$B$4:$B$1203,$AE117-1200))))</f>
        <v/>
      </c>
      <c r="B117" s="46" t="str">
        <f aca="false">IF($AE117="","",IF($AE117&lt;=1200,IF(INDEX(对接源_01水果!$E$4:$E$1203,$AE117)=0,"",INDEX(对接源_01水果!$E$4:$E$1203,$AE117)),IF(INDEX(对接源_02物料!$E$4:$E$1203,$AE117-1200)=0,"",INDEX(对接源_02物料!$E$4:$E$1203,$AE117-1200))))</f>
        <v/>
      </c>
      <c r="C117" s="46" t="str">
        <f aca="false">IF($AE117="","",IF($AE117&lt;=1200,IF(INDEX(对接源_01水果!$F$4:$F$1203,$AE117)=0,"",INDEX(对接源_01水果!$F$4:$F$1203,$AE117)),IF(INDEX(对接源_02物料!$F$4:$F$1203,$AE117-1200)=0,"",INDEX(对接源_02物料!$F$4:$F$1203,$AE117-1200))))</f>
        <v/>
      </c>
      <c r="D117" s="46" t="str">
        <f aca="false">IF($AE117="","",IF($AE117&lt;=1200,IF(INDEX(对接源_01水果!$G$4:$G$1203,$AE117)=0,"",INDEX(对接源_01水果!$G$4:$G$1203,$AE117)),IF(INDEX(对接源_02物料!$G$4:$G$1203,$AE117-1200)=0,"",INDEX(对接源_02物料!$G$4:$G$1203,$AE117-1200))))</f>
        <v/>
      </c>
      <c r="E117" s="48" t="str">
        <f aca="false">IF($AE117="","",IF($AE117&lt;=1200,IF(INDEX(对接源_01水果!$H$4:$H$1203,$AE117)=0,"",INDEX(对接源_01水果!$H$4:$H$1203,$AE117)),IF(INDEX(对接源_02物料!$H$4:$H$1203,$AE117-1200)=0,"",INDEX(对接源_02物料!$H$4:$H$1203,$AE117-1200))))</f>
        <v/>
      </c>
      <c r="F117" s="46" t="str">
        <f aca="false">IF($AE117="","",IF($AE117&lt;=1200,IF(INDEX(对接源_01水果!$I$4:$I$1203,$AE117)=0,"",INDEX(对接源_01水果!$I$4:$I$1203,$AE117)),IF(INDEX(对接源_02物料!$I$4:$I$1203,$AE117-1200)=0,"",INDEX(对接源_02物料!$I$4:$I$1203,$AE117-1200))))</f>
        <v/>
      </c>
      <c r="G117" s="56" t="str">
        <f aca="false">IF($AE117="","",IF($AE117&lt;=1200,IF(INDEX(对接源_01水果!$J$4:$J$1203,$AE117)=0,"",INDEX(对接源_01水果!$J$4:$J$1203,$AE117)),IF(INDEX(对接源_02物料!$J$4:$J$1203,$AE117-1200)=0,"",INDEX(对接源_02物料!$J$4:$J$1203,$AE117-1200))))</f>
        <v/>
      </c>
      <c r="H117" s="46" t="str">
        <f aca="false">IF($AE117="","",IF($AE117&lt;=1200,IF(INDEX(对接源_01水果!$W$4:$W$1203,$AE117)=0,"",INDEX(对接源_01水果!$W$4:$W$1203,$AE117)),IF(INDEX(对接源_02物料!$W$4:$W$1203,$AE117-1200)=0,"",INDEX(对接源_02物料!$W$4:$W$1203,$AE117-1200))))</f>
        <v/>
      </c>
      <c r="I117" s="46" t="str">
        <f aca="false">IF($AE117="","",IF($AE117&lt;=1200,IF(INDEX(对接源_01水果!$C$4:$C$1203,$AE117)=0,"",INDEX(对接源_01水果!$C$4:$C$1203,$AE117)),IF(INDEX(对接源_02物料!$C$4:$C$1203,$AE117-1200)=0,"",INDEX(对接源_02物料!$C$4:$C$1203,$AE117-1200))))</f>
        <v/>
      </c>
      <c r="J117" s="47" t="str">
        <f aca="false"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44" t="str">
        <f aca="false">IFERROR(MATCH(112,_自动清单!$AA$4:$AA$2403,0),"")</f>
        <v/>
      </c>
      <c r="AI117" s="44" t="str">
        <f aca="false">IF($D117="","",$D117)</f>
        <v/>
      </c>
      <c r="AJ117" s="44" t="n">
        <f aca="false">IF(AI117="",0,IF(MATCH(AI117,AI$6:AI$125,0)=112,1,0))</f>
        <v>0</v>
      </c>
      <c r="AK117" s="44" t="n">
        <f aca="false">N(AK116)+AJ117</f>
        <v>10</v>
      </c>
    </row>
    <row r="118" customFormat="false" ht="18" hidden="false" customHeight="true" outlineLevel="0" collapsed="false">
      <c r="A118" s="40" t="str">
        <f aca="false"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41" t="str">
        <f aca="false"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41" t="str">
        <f aca="false"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41" t="str">
        <f aca="false">IF($AE118="","",IF($AE118&lt;=1200,IF(INDEX(对接源_01水果!$G$4:$G$1203,$AE118)=0,"",INDEX(对接源_01水果!$G$4:$G$1203,$AE118)),IF(INDEX(对接源_02物料!$G$4:$G$1203,$AE118-1200)=0,"",INDEX(对接源_02物料!$G$4:$G$1203,$AE118-1200))))</f>
        <v/>
      </c>
      <c r="E118" s="43" t="str">
        <f aca="false"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41" t="str">
        <f aca="false"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55" t="str">
        <f aca="false">IF($AE118="","",IF($AE118&lt;=1200,IF(INDEX(对接源_01水果!$J$4:$J$1203,$AE118)=0,"",INDEX(对接源_01水果!$J$4:$J$1203,$AE118)),IF(INDEX(对接源_02物料!$J$4:$J$1203,$AE118-1200)=0,"",INDEX(对接源_02物料!$J$4:$J$1203,$AE118-1200))))</f>
        <v/>
      </c>
      <c r="H118" s="41" t="str">
        <f aca="false">IF($AE118="","",IF($AE118&lt;=1200,IF(INDEX(对接源_01水果!$W$4:$W$1203,$AE118)=0,"",INDEX(对接源_01水果!$W$4:$W$1203,$AE118)),IF(INDEX(对接源_02物料!$W$4:$W$1203,$AE118-1200)=0,"",INDEX(对接源_02物料!$W$4:$W$1203,$AE118-1200))))</f>
        <v/>
      </c>
      <c r="I118" s="41" t="str">
        <f aca="false">IF($AE118="","",IF($AE118&lt;=1200,IF(INDEX(对接源_01水果!$C$4:$C$1203,$AE118)=0,"",INDEX(对接源_01水果!$C$4:$C$1203,$AE118)),IF(INDEX(对接源_02物料!$C$4:$C$1203,$AE118-1200)=0,"",INDEX(对接源_02物料!$C$4:$C$1203,$AE118-1200))))</f>
        <v/>
      </c>
      <c r="J118" s="42" t="str">
        <f aca="false"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44" t="str">
        <f aca="false">IFERROR(MATCH(113,_自动清单!$AA$4:$AA$2403,0),"")</f>
        <v/>
      </c>
      <c r="AI118" s="44" t="str">
        <f aca="false">IF($D118="","",$D118)</f>
        <v/>
      </c>
      <c r="AJ118" s="44" t="n">
        <f aca="false">IF(AI118="",0,IF(MATCH(AI118,AI$6:AI$125,0)=113,1,0))</f>
        <v>0</v>
      </c>
      <c r="AK118" s="44" t="n">
        <f aca="false">N(AK117)+AJ118</f>
        <v>10</v>
      </c>
    </row>
    <row r="119" customFormat="false" ht="18" hidden="false" customHeight="true" outlineLevel="0" collapsed="false">
      <c r="A119" s="45" t="str">
        <f aca="false"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46" t="str">
        <f aca="false"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46" t="str">
        <f aca="false"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46" t="str">
        <f aca="false">IF($AE119="","",IF($AE119&lt;=1200,IF(INDEX(对接源_01水果!$G$4:$G$1203,$AE119)=0,"",INDEX(对接源_01水果!$G$4:$G$1203,$AE119)),IF(INDEX(对接源_02物料!$G$4:$G$1203,$AE119-1200)=0,"",INDEX(对接源_02物料!$G$4:$G$1203,$AE119-1200))))</f>
        <v/>
      </c>
      <c r="E119" s="48" t="str">
        <f aca="false"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46" t="str">
        <f aca="false"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56" t="str">
        <f aca="false">IF($AE119="","",IF($AE119&lt;=1200,IF(INDEX(对接源_01水果!$J$4:$J$1203,$AE119)=0,"",INDEX(对接源_01水果!$J$4:$J$1203,$AE119)),IF(INDEX(对接源_02物料!$J$4:$J$1203,$AE119-1200)=0,"",INDEX(对接源_02物料!$J$4:$J$1203,$AE119-1200))))</f>
        <v/>
      </c>
      <c r="H119" s="46" t="str">
        <f aca="false">IF($AE119="","",IF($AE119&lt;=1200,IF(INDEX(对接源_01水果!$W$4:$W$1203,$AE119)=0,"",INDEX(对接源_01水果!$W$4:$W$1203,$AE119)),IF(INDEX(对接源_02物料!$W$4:$W$1203,$AE119-1200)=0,"",INDEX(对接源_02物料!$W$4:$W$1203,$AE119-1200))))</f>
        <v/>
      </c>
      <c r="I119" s="46" t="str">
        <f aca="false">IF($AE119="","",IF($AE119&lt;=1200,IF(INDEX(对接源_01水果!$C$4:$C$1203,$AE119)=0,"",INDEX(对接源_01水果!$C$4:$C$1203,$AE119)),IF(INDEX(对接源_02物料!$C$4:$C$1203,$AE119-1200)=0,"",INDEX(对接源_02物料!$C$4:$C$1203,$AE119-1200))))</f>
        <v/>
      </c>
      <c r="J119" s="47" t="str">
        <f aca="false"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44" t="str">
        <f aca="false">IFERROR(MATCH(114,_自动清单!$AA$4:$AA$2403,0),"")</f>
        <v/>
      </c>
      <c r="AI119" s="44" t="str">
        <f aca="false">IF($D119="","",$D119)</f>
        <v/>
      </c>
      <c r="AJ119" s="44" t="n">
        <f aca="false">IF(AI119="",0,IF(MATCH(AI119,AI$6:AI$125,0)=114,1,0))</f>
        <v>0</v>
      </c>
      <c r="AK119" s="44" t="n">
        <f aca="false">N(AK118)+AJ119</f>
        <v>10</v>
      </c>
    </row>
    <row r="120" customFormat="false" ht="18" hidden="false" customHeight="true" outlineLevel="0" collapsed="false">
      <c r="A120" s="40" t="str">
        <f aca="false"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41" t="str">
        <f aca="false"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41" t="str">
        <f aca="false"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41" t="str">
        <f aca="false">IF($AE120="","",IF($AE120&lt;=1200,IF(INDEX(对接源_01水果!$G$4:$G$1203,$AE120)=0,"",INDEX(对接源_01水果!$G$4:$G$1203,$AE120)),IF(INDEX(对接源_02物料!$G$4:$G$1203,$AE120-1200)=0,"",INDEX(对接源_02物料!$G$4:$G$1203,$AE120-1200))))</f>
        <v/>
      </c>
      <c r="E120" s="43" t="str">
        <f aca="false"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41" t="str">
        <f aca="false"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55" t="str">
        <f aca="false">IF($AE120="","",IF($AE120&lt;=1200,IF(INDEX(对接源_01水果!$J$4:$J$1203,$AE120)=0,"",INDEX(对接源_01水果!$J$4:$J$1203,$AE120)),IF(INDEX(对接源_02物料!$J$4:$J$1203,$AE120-1200)=0,"",INDEX(对接源_02物料!$J$4:$J$1203,$AE120-1200))))</f>
        <v/>
      </c>
      <c r="H120" s="41" t="str">
        <f aca="false">IF($AE120="","",IF($AE120&lt;=1200,IF(INDEX(对接源_01水果!$W$4:$W$1203,$AE120)=0,"",INDEX(对接源_01水果!$W$4:$W$1203,$AE120)),IF(INDEX(对接源_02物料!$W$4:$W$1203,$AE120-1200)=0,"",INDEX(对接源_02物料!$W$4:$W$1203,$AE120-1200))))</f>
        <v/>
      </c>
      <c r="I120" s="41" t="str">
        <f aca="false">IF($AE120="","",IF($AE120&lt;=1200,IF(INDEX(对接源_01水果!$C$4:$C$1203,$AE120)=0,"",INDEX(对接源_01水果!$C$4:$C$1203,$AE120)),IF(INDEX(对接源_02物料!$C$4:$C$1203,$AE120-1200)=0,"",INDEX(对接源_02物料!$C$4:$C$1203,$AE120-1200))))</f>
        <v/>
      </c>
      <c r="J120" s="42" t="str">
        <f aca="false"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44" t="str">
        <f aca="false">IFERROR(MATCH(115,_自动清单!$AA$4:$AA$2403,0),"")</f>
        <v/>
      </c>
      <c r="AI120" s="44" t="str">
        <f aca="false">IF($D120="","",$D120)</f>
        <v/>
      </c>
      <c r="AJ120" s="44" t="n">
        <f aca="false">IF(AI120="",0,IF(MATCH(AI120,AI$6:AI$125,0)=115,1,0))</f>
        <v>0</v>
      </c>
      <c r="AK120" s="44" t="n">
        <f aca="false">N(AK119)+AJ120</f>
        <v>10</v>
      </c>
    </row>
    <row r="121" customFormat="false" ht="18" hidden="false" customHeight="true" outlineLevel="0" collapsed="false">
      <c r="A121" s="45" t="str">
        <f aca="false">IF($AE121="","",IF($AE121&lt;=1200,IF(INDEX(对接源_01水果!$B$4:$B$1203,$AE121)=0,"",INDEX(对接源_01水果!$B$4:$B$1203,$AE121)),IF(INDEX(对接源_02物料!$B$4:$B$1203,$AE121-1200)=0,"",INDEX(对接源_02物料!$B$4:$B$1203,$AE121-1200))))</f>
        <v/>
      </c>
      <c r="B121" s="46" t="str">
        <f aca="false">IF($AE121="","",IF($AE121&lt;=1200,IF(INDEX(对接源_01水果!$E$4:$E$1203,$AE121)=0,"",INDEX(对接源_01水果!$E$4:$E$1203,$AE121)),IF(INDEX(对接源_02物料!$E$4:$E$1203,$AE121-1200)=0,"",INDEX(对接源_02物料!$E$4:$E$1203,$AE121-1200))))</f>
        <v/>
      </c>
      <c r="C121" s="46" t="str">
        <f aca="false">IF($AE121="","",IF($AE121&lt;=1200,IF(INDEX(对接源_01水果!$F$4:$F$1203,$AE121)=0,"",INDEX(对接源_01水果!$F$4:$F$1203,$AE121)),IF(INDEX(对接源_02物料!$F$4:$F$1203,$AE121-1200)=0,"",INDEX(对接源_02物料!$F$4:$F$1203,$AE121-1200))))</f>
        <v/>
      </c>
      <c r="D121" s="46" t="str">
        <f aca="false">IF($AE121="","",IF($AE121&lt;=1200,IF(INDEX(对接源_01水果!$G$4:$G$1203,$AE121)=0,"",INDEX(对接源_01水果!$G$4:$G$1203,$AE121)),IF(INDEX(对接源_02物料!$G$4:$G$1203,$AE121-1200)=0,"",INDEX(对接源_02物料!$G$4:$G$1203,$AE121-1200))))</f>
        <v/>
      </c>
      <c r="E121" s="48" t="str">
        <f aca="false">IF($AE121="","",IF($AE121&lt;=1200,IF(INDEX(对接源_01水果!$H$4:$H$1203,$AE121)=0,"",INDEX(对接源_01水果!$H$4:$H$1203,$AE121)),IF(INDEX(对接源_02物料!$H$4:$H$1203,$AE121-1200)=0,"",INDEX(对接源_02物料!$H$4:$H$1203,$AE121-1200))))</f>
        <v/>
      </c>
      <c r="F121" s="46" t="str">
        <f aca="false">IF($AE121="","",IF($AE121&lt;=1200,IF(INDEX(对接源_01水果!$I$4:$I$1203,$AE121)=0,"",INDEX(对接源_01水果!$I$4:$I$1203,$AE121)),IF(INDEX(对接源_02物料!$I$4:$I$1203,$AE121-1200)=0,"",INDEX(对接源_02物料!$I$4:$I$1203,$AE121-1200))))</f>
        <v/>
      </c>
      <c r="G121" s="56" t="str">
        <f aca="false">IF($AE121="","",IF($AE121&lt;=1200,IF(INDEX(对接源_01水果!$J$4:$J$1203,$AE121)=0,"",INDEX(对接源_01水果!$J$4:$J$1203,$AE121)),IF(INDEX(对接源_02物料!$J$4:$J$1203,$AE121-1200)=0,"",INDEX(对接源_02物料!$J$4:$J$1203,$AE121-1200))))</f>
        <v/>
      </c>
      <c r="H121" s="46" t="str">
        <f aca="false">IF($AE121="","",IF($AE121&lt;=1200,IF(INDEX(对接源_01水果!$W$4:$W$1203,$AE121)=0,"",INDEX(对接源_01水果!$W$4:$W$1203,$AE121)),IF(INDEX(对接源_02物料!$W$4:$W$1203,$AE121-1200)=0,"",INDEX(对接源_02物料!$W$4:$W$1203,$AE121-1200))))</f>
        <v/>
      </c>
      <c r="I121" s="46" t="str">
        <f aca="false">IF($AE121="","",IF($AE121&lt;=1200,IF(INDEX(对接源_01水果!$C$4:$C$1203,$AE121)=0,"",INDEX(对接源_01水果!$C$4:$C$1203,$AE121)),IF(INDEX(对接源_02物料!$C$4:$C$1203,$AE121-1200)=0,"",INDEX(对接源_02物料!$C$4:$C$1203,$AE121-1200))))</f>
        <v/>
      </c>
      <c r="J121" s="47" t="str">
        <f aca="false"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44" t="str">
        <f aca="false">IFERROR(MATCH(116,_自动清单!$AA$4:$AA$2403,0),"")</f>
        <v/>
      </c>
      <c r="AI121" s="44" t="str">
        <f aca="false">IF($D121="","",$D121)</f>
        <v/>
      </c>
      <c r="AJ121" s="44" t="n">
        <f aca="false">IF(AI121="",0,IF(MATCH(AI121,AI$6:AI$125,0)=116,1,0))</f>
        <v>0</v>
      </c>
      <c r="AK121" s="44" t="n">
        <f aca="false">N(AK120)+AJ121</f>
        <v>10</v>
      </c>
    </row>
    <row r="122" customFormat="false" ht="18" hidden="false" customHeight="true" outlineLevel="0" collapsed="false">
      <c r="A122" s="40" t="str">
        <f aca="false"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41" t="str">
        <f aca="false"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41" t="str">
        <f aca="false"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41" t="str">
        <f aca="false">IF($AE122="","",IF($AE122&lt;=1200,IF(INDEX(对接源_01水果!$G$4:$G$1203,$AE122)=0,"",INDEX(对接源_01水果!$G$4:$G$1203,$AE122)),IF(INDEX(对接源_02物料!$G$4:$G$1203,$AE122-1200)=0,"",INDEX(对接源_02物料!$G$4:$G$1203,$AE122-1200))))</f>
        <v/>
      </c>
      <c r="E122" s="43" t="str">
        <f aca="false"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41" t="str">
        <f aca="false"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55" t="str">
        <f aca="false">IF($AE122="","",IF($AE122&lt;=1200,IF(INDEX(对接源_01水果!$J$4:$J$1203,$AE122)=0,"",INDEX(对接源_01水果!$J$4:$J$1203,$AE122)),IF(INDEX(对接源_02物料!$J$4:$J$1203,$AE122-1200)=0,"",INDEX(对接源_02物料!$J$4:$J$1203,$AE122-1200))))</f>
        <v/>
      </c>
      <c r="H122" s="41" t="str">
        <f aca="false">IF($AE122="","",IF($AE122&lt;=1200,IF(INDEX(对接源_01水果!$W$4:$W$1203,$AE122)=0,"",INDEX(对接源_01水果!$W$4:$W$1203,$AE122)),IF(INDEX(对接源_02物料!$W$4:$W$1203,$AE122-1200)=0,"",INDEX(对接源_02物料!$W$4:$W$1203,$AE122-1200))))</f>
        <v/>
      </c>
      <c r="I122" s="41" t="str">
        <f aca="false">IF($AE122="","",IF($AE122&lt;=1200,IF(INDEX(对接源_01水果!$C$4:$C$1203,$AE122)=0,"",INDEX(对接源_01水果!$C$4:$C$1203,$AE122)),IF(INDEX(对接源_02物料!$C$4:$C$1203,$AE122-1200)=0,"",INDEX(对接源_02物料!$C$4:$C$1203,$AE122-1200))))</f>
        <v/>
      </c>
      <c r="J122" s="42" t="str">
        <f aca="false"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44" t="str">
        <f aca="false">IFERROR(MATCH(117,_自动清单!$AA$4:$AA$2403,0),"")</f>
        <v/>
      </c>
      <c r="AI122" s="44" t="str">
        <f aca="false">IF($D122="","",$D122)</f>
        <v/>
      </c>
      <c r="AJ122" s="44" t="n">
        <f aca="false">IF(AI122="",0,IF(MATCH(AI122,AI$6:AI$125,0)=117,1,0))</f>
        <v>0</v>
      </c>
      <c r="AK122" s="44" t="n">
        <f aca="false">N(AK121)+AJ122</f>
        <v>10</v>
      </c>
    </row>
    <row r="123" customFormat="false" ht="18" hidden="false" customHeight="true" outlineLevel="0" collapsed="false">
      <c r="A123" s="45" t="str">
        <f aca="false"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46" t="str">
        <f aca="false"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46" t="str">
        <f aca="false"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46" t="str">
        <f aca="false">IF($AE123="","",IF($AE123&lt;=1200,IF(INDEX(对接源_01水果!$G$4:$G$1203,$AE123)=0,"",INDEX(对接源_01水果!$G$4:$G$1203,$AE123)),IF(INDEX(对接源_02物料!$G$4:$G$1203,$AE123-1200)=0,"",INDEX(对接源_02物料!$G$4:$G$1203,$AE123-1200))))</f>
        <v/>
      </c>
      <c r="E123" s="48" t="str">
        <f aca="false"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46" t="str">
        <f aca="false"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56" t="str">
        <f aca="false">IF($AE123="","",IF($AE123&lt;=1200,IF(INDEX(对接源_01水果!$J$4:$J$1203,$AE123)=0,"",INDEX(对接源_01水果!$J$4:$J$1203,$AE123)),IF(INDEX(对接源_02物料!$J$4:$J$1203,$AE123-1200)=0,"",INDEX(对接源_02物料!$J$4:$J$1203,$AE123-1200))))</f>
        <v/>
      </c>
      <c r="H123" s="46" t="str">
        <f aca="false">IF($AE123="","",IF($AE123&lt;=1200,IF(INDEX(对接源_01水果!$W$4:$W$1203,$AE123)=0,"",INDEX(对接源_01水果!$W$4:$W$1203,$AE123)),IF(INDEX(对接源_02物料!$W$4:$W$1203,$AE123-1200)=0,"",INDEX(对接源_02物料!$W$4:$W$1203,$AE123-1200))))</f>
        <v/>
      </c>
      <c r="I123" s="46" t="str">
        <f aca="false">IF($AE123="","",IF($AE123&lt;=1200,IF(INDEX(对接源_01水果!$C$4:$C$1203,$AE123)=0,"",INDEX(对接源_01水果!$C$4:$C$1203,$AE123)),IF(INDEX(对接源_02物料!$C$4:$C$1203,$AE123-1200)=0,"",INDEX(对接源_02物料!$C$4:$C$1203,$AE123-1200))))</f>
        <v/>
      </c>
      <c r="J123" s="47" t="str">
        <f aca="false"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44" t="str">
        <f aca="false">IFERROR(MATCH(118,_自动清单!$AA$4:$AA$2403,0),"")</f>
        <v/>
      </c>
      <c r="AI123" s="44" t="str">
        <f aca="false">IF($D123="","",$D123)</f>
        <v/>
      </c>
      <c r="AJ123" s="44" t="n">
        <f aca="false">IF(AI123="",0,IF(MATCH(AI123,AI$6:AI$125,0)=118,1,0))</f>
        <v>0</v>
      </c>
      <c r="AK123" s="44" t="n">
        <f aca="false">N(AK122)+AJ123</f>
        <v>10</v>
      </c>
    </row>
    <row r="124" customFormat="false" ht="18" hidden="false" customHeight="true" outlineLevel="0" collapsed="false">
      <c r="A124" s="40" t="str">
        <f aca="false"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41" t="str">
        <f aca="false"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41" t="str">
        <f aca="false"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41" t="str">
        <f aca="false">IF($AE124="","",IF($AE124&lt;=1200,IF(INDEX(对接源_01水果!$G$4:$G$1203,$AE124)=0,"",INDEX(对接源_01水果!$G$4:$G$1203,$AE124)),IF(INDEX(对接源_02物料!$G$4:$G$1203,$AE124-1200)=0,"",INDEX(对接源_02物料!$G$4:$G$1203,$AE124-1200))))</f>
        <v/>
      </c>
      <c r="E124" s="43" t="str">
        <f aca="false"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41" t="str">
        <f aca="false"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55" t="str">
        <f aca="false">IF($AE124="","",IF($AE124&lt;=1200,IF(INDEX(对接源_01水果!$J$4:$J$1203,$AE124)=0,"",INDEX(对接源_01水果!$J$4:$J$1203,$AE124)),IF(INDEX(对接源_02物料!$J$4:$J$1203,$AE124-1200)=0,"",INDEX(对接源_02物料!$J$4:$J$1203,$AE124-1200))))</f>
        <v/>
      </c>
      <c r="H124" s="41" t="str">
        <f aca="false">IF($AE124="","",IF($AE124&lt;=1200,IF(INDEX(对接源_01水果!$W$4:$W$1203,$AE124)=0,"",INDEX(对接源_01水果!$W$4:$W$1203,$AE124)),IF(INDEX(对接源_02物料!$W$4:$W$1203,$AE124-1200)=0,"",INDEX(对接源_02物料!$W$4:$W$1203,$AE124-1200))))</f>
        <v/>
      </c>
      <c r="I124" s="41" t="str">
        <f aca="false">IF($AE124="","",IF($AE124&lt;=1200,IF(INDEX(对接源_01水果!$C$4:$C$1203,$AE124)=0,"",INDEX(对接源_01水果!$C$4:$C$1203,$AE124)),IF(INDEX(对接源_02物料!$C$4:$C$1203,$AE124-1200)=0,"",INDEX(对接源_02物料!$C$4:$C$1203,$AE124-1200))))</f>
        <v/>
      </c>
      <c r="J124" s="42" t="str">
        <f aca="false"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44" t="str">
        <f aca="false">IFERROR(MATCH(119,_自动清单!$AA$4:$AA$2403,0),"")</f>
        <v/>
      </c>
      <c r="AI124" s="44" t="str">
        <f aca="false">IF($D124="","",$D124)</f>
        <v/>
      </c>
      <c r="AJ124" s="44" t="n">
        <f aca="false">IF(AI124="",0,IF(MATCH(AI124,AI$6:AI$125,0)=119,1,0))</f>
        <v>0</v>
      </c>
      <c r="AK124" s="44" t="n">
        <f aca="false">N(AK123)+AJ124</f>
        <v>10</v>
      </c>
    </row>
    <row r="125" customFormat="false" ht="18" hidden="false" customHeight="true" outlineLevel="0" collapsed="false">
      <c r="A125" s="45" t="str">
        <f aca="false"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46" t="str">
        <f aca="false"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46" t="str">
        <f aca="false"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46" t="str">
        <f aca="false">IF($AE125="","",IF($AE125&lt;=1200,IF(INDEX(对接源_01水果!$G$4:$G$1203,$AE125)=0,"",INDEX(对接源_01水果!$G$4:$G$1203,$AE125)),IF(INDEX(对接源_02物料!$G$4:$G$1203,$AE125-1200)=0,"",INDEX(对接源_02物料!$G$4:$G$1203,$AE125-1200))))</f>
        <v/>
      </c>
      <c r="E125" s="48" t="str">
        <f aca="false"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46" t="str">
        <f aca="false"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56" t="str">
        <f aca="false">IF($AE125="","",IF($AE125&lt;=1200,IF(INDEX(对接源_01水果!$J$4:$J$1203,$AE125)=0,"",INDEX(对接源_01水果!$J$4:$J$1203,$AE125)),IF(INDEX(对接源_02物料!$J$4:$J$1203,$AE125-1200)=0,"",INDEX(对接源_02物料!$J$4:$J$1203,$AE125-1200))))</f>
        <v/>
      </c>
      <c r="H125" s="46" t="str">
        <f aca="false">IF($AE125="","",IF($AE125&lt;=1200,IF(INDEX(对接源_01水果!$W$4:$W$1203,$AE125)=0,"",INDEX(对接源_01水果!$W$4:$W$1203,$AE125)),IF(INDEX(对接源_02物料!$W$4:$W$1203,$AE125-1200)=0,"",INDEX(对接源_02物料!$W$4:$W$1203,$AE125-1200))))</f>
        <v/>
      </c>
      <c r="I125" s="46" t="str">
        <f aca="false">IF($AE125="","",IF($AE125&lt;=1200,IF(INDEX(对接源_01水果!$C$4:$C$1203,$AE125)=0,"",INDEX(对接源_01水果!$C$4:$C$1203,$AE125)),IF(INDEX(对接源_02物料!$C$4:$C$1203,$AE125-1200)=0,"",INDEX(对接源_02物料!$C$4:$C$1203,$AE125-1200))))</f>
        <v/>
      </c>
      <c r="J125" s="47" t="str">
        <f aca="false"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44" t="str">
        <f aca="false">IFERROR(MATCH(120,_自动清单!$AA$4:$AA$2403,0),"")</f>
        <v/>
      </c>
      <c r="AI125" s="44" t="str">
        <f aca="false">IF($D125="","",$D125)</f>
        <v/>
      </c>
      <c r="AJ125" s="44" t="n">
        <f aca="false">IF(AI125="",0,IF(MATCH(AI125,AI$6:AI$125,0)=120,1,0))</f>
        <v>0</v>
      </c>
      <c r="AK125" s="44" t="n">
        <f aca="false">N(AK124)+AJ125</f>
        <v>10</v>
      </c>
    </row>
    <row r="127" customFormat="false" ht="24" hidden="false" customHeight="true" outlineLevel="0" collapsed="false">
      <c r="A127" s="35" t="s">
        <v>126</v>
      </c>
      <c r="B127" s="35"/>
      <c r="C127" s="35"/>
      <c r="D127" s="35"/>
      <c r="E127" s="35"/>
      <c r="F127" s="35"/>
      <c r="G127" s="35"/>
      <c r="H127" s="36" t="str">
        <f aca="false"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&amp;"　筐（件）　｜　总毛重 "&amp;TEXT(ROUND(SUMIFS(对接源_01水果!$J$4:$J$1203,对接源_01水果!$C$4:$C$1203,$B$2,对接源_01水果!$B$4:$B$1203,"&gt;="&amp;$P$1,对接源_01水果!$B$4:$B$1203,"&lt;="&amp;$P$2,对接源_01水果!$D$4:$D$1203,"原料出库*")+SUMIFS(对接源_02物料!$J$4:$J$1203,对接源_02物料!$C$4:$C$1203,$B$2,对接源_02物料!$B$4:$B$1203,"&gt;="&amp;$P$1,对接源_02物料!$B$4:$B$1203,"&lt;="&amp;$P$2,对接源_02物料!$D$4:$D$1203,"原料出库*"),2),"#,##0.00")&amp;" KG"</f>
        <v>1867　筐（件）　｜　总毛重 6,895.90 KG</v>
      </c>
      <c r="I127" s="36"/>
      <c r="J127" s="36"/>
    </row>
    <row r="128" customFormat="false" ht="30" hidden="false" customHeight="true" outlineLevel="0" collapsed="false">
      <c r="A128" s="39" t="s">
        <v>81</v>
      </c>
      <c r="B128" s="39" t="s">
        <v>82</v>
      </c>
      <c r="C128" s="39" t="s">
        <v>111</v>
      </c>
      <c r="D128" s="39" t="s">
        <v>112</v>
      </c>
      <c r="E128" s="39" t="s">
        <v>105</v>
      </c>
      <c r="F128" s="39" t="s">
        <v>113</v>
      </c>
      <c r="G128" s="39" t="s">
        <v>114</v>
      </c>
      <c r="H128" s="39" t="s">
        <v>85</v>
      </c>
      <c r="I128" s="39" t="s">
        <v>127</v>
      </c>
      <c r="J128" s="39" t="s">
        <v>87</v>
      </c>
    </row>
    <row r="129" customFormat="false" ht="18" hidden="false" customHeight="true" outlineLevel="0" collapsed="false">
      <c r="A129" s="40" t="n">
        <f aca="false">IF($AF129="","",IF($AF129&lt;=1200,IF(INDEX(对接源_01水果!$B$4:$B$1203,$AF129)=0,"",INDEX(对接源_01水果!$B$4:$B$1203,$AF129)),IF(INDEX(对接源_02物料!$B$4:$B$1203,$AF129-1200)=0,"",INDEX(对接源_02物料!$B$4:$B$1203,$AF129-1200))))</f>
        <v>46250</v>
      </c>
      <c r="B129" s="41" t="str">
        <f aca="false">IF($AF129="","",IF($AF129&lt;=1200,IF(INDEX(对接源_01水果!$E$4:$E$1203,$AF129)=0,"",INDEX(对接源_01水果!$E$4:$E$1203,$AF129)),IF(INDEX(对接源_02物料!$E$4:$E$1203,$AF129-1200)=0,"",INDEX(对接源_02物料!$E$4:$E$1203,$AF129-1200))))</f>
        <v>NO:0001018</v>
      </c>
      <c r="C129" s="41" t="str">
        <f aca="false">IF($AF129="","",IF($AF129&lt;=1200,IF(INDEX(对接源_01水果!$F$4:$F$1203,$AF129)=0,"",INDEX(对接源_01水果!$F$4:$F$1203,$AF129)),IF(INDEX(对接源_02物料!$F$4:$F$1203,$AF129-1200)=0,"",INDEX(对接源_02物料!$F$4:$F$1203,$AF129-1200))))</f>
        <v>李子</v>
      </c>
      <c r="D129" s="41" t="str">
        <f aca="false">IF($AF129="","",IF($AF129&lt;=1200,IF(INDEX(对接源_01水果!$G$4:$G$1203,$AF129)=0,"",INDEX(对接源_01水果!$G$4:$G$1203,$AF129)),IF(INDEX(对接源_02物料!$G$4:$G$1203,$AF129-1200)=0,"",INDEX(对接源_02物料!$G$4:$G$1203,$AF129-1200))))</f>
        <v>樱桃李</v>
      </c>
      <c r="E129" s="43" t="n">
        <f aca="false">IF($AF129="","",IF($AF129&lt;=1200,IF(INDEX(对接源_01水果!$H$4:$H$1203,$AF129)=0,"",INDEX(对接源_01水果!$H$4:$H$1203,$AF129)),IF(INDEX(对接源_02物料!$H$4:$H$1203,$AF129-1200)=0,"",INDEX(对接源_02物料!$H$4:$H$1203,$AF129-1200))))</f>
        <v>402</v>
      </c>
      <c r="F129" s="41" t="str">
        <f aca="false">IF($AF129="","",IF($AF129&lt;=1200,IF(INDEX(对接源_01水果!$I$4:$I$1203,$AF129)=0,"",INDEX(对接源_01水果!$I$4:$I$1203,$AF129)),IF(INDEX(对接源_02物料!$I$4:$I$1203,$AF129-1200)=0,"",INDEX(对接源_02物料!$I$4:$I$1203,$AF129-1200))))</f>
        <v>筐</v>
      </c>
      <c r="G129" s="55" t="n">
        <f aca="false">IF($AF129="","",IF($AF129&lt;=1200,IF(INDEX(对接源_01水果!$J$4:$J$1203,$AF129)=0,"",INDEX(对接源_01水果!$J$4:$J$1203,$AF129)),IF(INDEX(对接源_02物料!$J$4:$J$1203,$AF129-1200)=0,"",INDEX(对接源_02物料!$J$4:$J$1203,$AF129-1200))))</f>
        <v>6552.6</v>
      </c>
      <c r="H129" s="41" t="str">
        <f aca="false">IF($AF129="","",IF($AF129&lt;=1200,IF(INDEX(对接源_01水果!$W$4:$W$1203,$AF129)=0,"",INDEX(对接源_01水果!$W$4:$W$1203,$AF129)),IF(INDEX(对接源_02物料!$W$4:$W$1203,$AF129-1200)=0,"",INDEX(对接源_02物料!$W$4:$W$1203,$AF129-1200))))</f>
        <v>苏C*HB310</v>
      </c>
      <c r="I129" s="41" t="str">
        <f aca="false">IF($AF129="","",IF($AF129&lt;=1200,IF(INDEX(对接源_01水果!$D$4:$D$1203,$AF129)=0,"",INDEX(对接源_01水果!$D$4:$D$1203,$AF129)),IF(INDEX(对接源_02物料!$D$4:$D$1203,$AF129-1200)=0,"",INDEX(对接源_02物料!$D$4:$D$1203,$AF129-1200))))</f>
        <v>原料出库－原筐出库</v>
      </c>
      <c r="J129" s="42" t="str">
        <f aca="false"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44" t="n">
        <f aca="false">IFERROR(MATCH(1,_自动清单!$AC$4:$AC$2403,0),"")</f>
        <v>228</v>
      </c>
      <c r="AL129" s="44" t="str">
        <f aca="false">IF($D129="","",$D129)</f>
        <v>樱桃李</v>
      </c>
      <c r="AM129" s="44" t="n">
        <f aca="false">IF(AL129="",0,IF(MATCH(AL129,AL$129:AL$208,0)=1,1,0))</f>
        <v>1</v>
      </c>
      <c r="AN129" s="44" t="n">
        <f aca="false">N(AN128)+AM129</f>
        <v>1</v>
      </c>
    </row>
    <row r="130" customFormat="false" ht="18" hidden="false" customHeight="true" outlineLevel="0" collapsed="false">
      <c r="A130" s="45" t="n">
        <f aca="false">IF($AF130="","",IF($AF130&lt;=1200,IF(INDEX(对接源_01水果!$B$4:$B$1203,$AF130)=0,"",INDEX(对接源_01水果!$B$4:$B$1203,$AF130)),IF(INDEX(对接源_02物料!$B$4:$B$1203,$AF130-1200)=0,"",INDEX(对接源_02物料!$B$4:$B$1203,$AF130-1200))))</f>
        <v>46251</v>
      </c>
      <c r="B130" s="46" t="str">
        <f aca="false">IF($AF130="","",IF($AF130&lt;=1200,IF(INDEX(对接源_01水果!$E$4:$E$1203,$AF130)=0,"",INDEX(对接源_01水果!$E$4:$E$1203,$AF130)),IF(INDEX(对接源_02物料!$E$4:$E$1203,$AF130-1200)=0,"",INDEX(对接源_02物料!$E$4:$E$1203,$AF130-1200))))</f>
        <v>NO:0000140</v>
      </c>
      <c r="C130" s="46" t="str">
        <f aca="false">IF($AF130="","",IF($AF130&lt;=1200,IF(INDEX(对接源_01水果!$F$4:$F$1203,$AF130)=0,"",INDEX(对接源_01水果!$F$4:$F$1203,$AF130)),IF(INDEX(对接源_02物料!$F$4:$F$1203,$AF130-1200)=0,"",INDEX(对接源_02物料!$F$4:$F$1203,$AF130-1200))))</f>
        <v>李子</v>
      </c>
      <c r="D130" s="46" t="str">
        <f aca="false">IF($AF130="","",IF($AF130&lt;=1200,IF(INDEX(对接源_01水果!$G$4:$G$1203,$AF130)=0,"",INDEX(对接源_01水果!$G$4:$G$1203,$AF130)),IF(INDEX(对接源_02物料!$G$4:$G$1203,$AF130-1200)=0,"",INDEX(对接源_02物料!$G$4:$G$1203,$AF130-1200))))</f>
        <v>樱桃李</v>
      </c>
      <c r="E130" s="48" t="n">
        <f aca="false">IF($AF130="","",IF($AF130&lt;=1200,IF(INDEX(对接源_01水果!$H$4:$H$1203,$AF130)=0,"",INDEX(对接源_01水果!$H$4:$H$1203,$AF130)),IF(INDEX(对接源_02物料!$H$4:$H$1203,$AF130-1200)=0,"",INDEX(对接源_02物料!$H$4:$H$1203,$AF130-1200))))</f>
        <v>1</v>
      </c>
      <c r="F130" s="46" t="str">
        <f aca="false">IF($AF130="","",IF($AF130&lt;=1200,IF(INDEX(对接源_01水果!$I$4:$I$1203,$AF130)=0,"",INDEX(对接源_01水果!$I$4:$I$1203,$AF130)),IF(INDEX(对接源_02物料!$I$4:$I$1203,$AF130-1200)=0,"",INDEX(对接源_02物料!$I$4:$I$1203,$AF130-1200))))</f>
        <v>筐</v>
      </c>
      <c r="G130" s="56" t="n">
        <f aca="false">IF($AF130="","",IF($AF130&lt;=1200,IF(INDEX(对接源_01水果!$J$4:$J$1203,$AF130)=0,"",INDEX(对接源_01水果!$J$4:$J$1203,$AF130)),IF(INDEX(对接源_02物料!$J$4:$J$1203,$AF130-1200)=0,"",INDEX(对接源_02物料!$J$4:$J$1203,$AF130-1200))))</f>
        <v>16.3</v>
      </c>
      <c r="H130" s="46" t="str">
        <f aca="false"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I130" s="46" t="str">
        <f aca="false">IF($AF130="","",IF($AF130&lt;=1200,IF(INDEX(对接源_01水果!$D$4:$D$1203,$AF130)=0,"",INDEX(对接源_01水果!$D$4:$D$1203,$AF130)),IF(INDEX(对接源_02物料!$D$4:$D$1203,$AF130-1200)=0,"",INDEX(对接源_02物料!$D$4:$D$1203,$AF130-1200))))</f>
        <v>原料出库－公司购买</v>
      </c>
      <c r="J130" s="47" t="str">
        <f aca="false"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44" t="n">
        <f aca="false">IFERROR(MATCH(2,_自动清单!$AC$4:$AC$2403,0),"")</f>
        <v>229</v>
      </c>
      <c r="AL130" s="44" t="str">
        <f aca="false">IF($D130="","",$D130)</f>
        <v>樱桃李</v>
      </c>
      <c r="AM130" s="44" t="n">
        <f aca="false">IF(AL130="",0,IF(MATCH(AL130,AL$129:AL$208,0)=2,1,0))</f>
        <v>0</v>
      </c>
      <c r="AN130" s="44" t="n">
        <f aca="false">N(AN129)+AM130</f>
        <v>1</v>
      </c>
    </row>
    <row r="131" customFormat="false" ht="18" hidden="false" customHeight="true" outlineLevel="0" collapsed="false">
      <c r="A131" s="40" t="n">
        <f aca="false">IF($AF131="","",IF($AF131&lt;=1200,IF(INDEX(对接源_01水果!$B$4:$B$1203,$AF131)=0,"",INDEX(对接源_01水果!$B$4:$B$1203,$AF131)),IF(INDEX(对接源_02物料!$B$4:$B$1203,$AF131-1200)=0,"",INDEX(对接源_02物料!$B$4:$B$1203,$AF131-1200))))</f>
        <v>46258</v>
      </c>
      <c r="B131" s="41" t="str">
        <f aca="false">IF($AF131="","",IF($AF131&lt;=1200,IF(INDEX(对接源_01水果!$E$4:$E$1203,$AF131)=0,"",INDEX(对接源_01水果!$E$4:$E$1203,$AF131)),IF(INDEX(对接源_02物料!$E$4:$E$1203,$AF131-1200)=0,"",INDEX(对接源_02物料!$E$4:$E$1203,$AF131-1200))))</f>
        <v>NO:0001032</v>
      </c>
      <c r="C131" s="41" t="str">
        <f aca="false">IF($AF131="","",IF($AF131&lt;=1200,IF(INDEX(对接源_01水果!$F$4:$F$1203,$AF131)=0,"",INDEX(对接源_01水果!$F$4:$F$1203,$AF131)),IF(INDEX(对接源_02物料!$F$4:$F$1203,$AF131-1200)=0,"",INDEX(对接源_02物料!$F$4:$F$1203,$AF131-1200))))</f>
        <v>苹果</v>
      </c>
      <c r="D131" s="41" t="str">
        <f aca="false">IF($AF131="","",IF($AF131&lt;=1200,IF(INDEX(对接源_01水果!$G$4:$G$1203,$AF131)=0,"",INDEX(对接源_01水果!$G$4:$G$1203,$AF131)),IF(INDEX(对接源_02物料!$G$4:$G$1203,$AF131-1200)=0,"",INDEX(对接源_02物料!$G$4:$G$1203,$AF131-1200))))</f>
        <v>华硕高次</v>
      </c>
      <c r="E131" s="43" t="n">
        <f aca="false">IF($AF131="","",IF($AF131&lt;=1200,IF(INDEX(对接源_01水果!$H$4:$H$1203,$AF131)=0,"",INDEX(对接源_01水果!$H$4:$H$1203,$AF131)),IF(INDEX(对接源_02物料!$H$4:$H$1203,$AF131-1200)=0,"",INDEX(对接源_02物料!$H$4:$H$1203,$AF131-1200))))</f>
        <v>1</v>
      </c>
      <c r="F131" s="41" t="str">
        <f aca="false">IF($AF131="","",IF($AF131&lt;=1200,IF(INDEX(对接源_01水果!$I$4:$I$1203,$AF131)=0,"",INDEX(对接源_01水果!$I$4:$I$1203,$AF131)),IF(INDEX(对接源_02物料!$I$4:$I$1203,$AF131-1200)=0,"",INDEX(对接源_02物料!$I$4:$I$1203,$AF131-1200))))</f>
        <v>筐</v>
      </c>
      <c r="G131" s="55" t="n">
        <f aca="false">IF($AF131="","",IF($AF131&lt;=1200,IF(INDEX(对接源_01水果!$J$4:$J$1203,$AF131)=0,"",INDEX(对接源_01水果!$J$4:$J$1203,$AF131)),IF(INDEX(对接源_02物料!$J$4:$J$1203,$AF131-1200)=0,"",INDEX(对接源_02物料!$J$4:$J$1203,$AF131-1200))))</f>
        <v>17.3</v>
      </c>
      <c r="H131" s="41" t="str">
        <f aca="false"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I131" s="41" t="str">
        <f aca="false">IF($AF131="","",IF($AF131&lt;=1200,IF(INDEX(对接源_01水果!$D$4:$D$1203,$AF131)=0,"",INDEX(对接源_01水果!$D$4:$D$1203,$AF131)),IF(INDEX(对接源_02物料!$D$4:$D$1203,$AF131-1200)=0,"",INDEX(对接源_02物料!$D$4:$D$1203,$AF131-1200))))</f>
        <v>原料出库－原筐出库</v>
      </c>
      <c r="J131" s="42" t="str">
        <f aca="false">IF($AF131="","",IF($AF131&lt;=1200,IF(INDEX(对接源_01水果!$M$4:$M$1203,$AF131)=0,"",INDEX(对接源_01水果!$M$4:$M$1203,$AF131)),IF(INDEX(对接源_02物料!$M$4:$M$1203,$AF131-1200)=0,"",INDEX(对接源_02物料!$M$4:$M$1203,$AF131-1200))))</f>
        <v>主播拿走</v>
      </c>
      <c r="AF131" s="44" t="n">
        <f aca="false">IFERROR(MATCH(3,_自动清单!$AC$4:$AC$2403,0),"")</f>
        <v>233</v>
      </c>
      <c r="AL131" s="44" t="str">
        <f aca="false">IF($D131="","",$D131)</f>
        <v>华硕高次</v>
      </c>
      <c r="AM131" s="44" t="n">
        <f aca="false">IF(AL131="",0,IF(MATCH(AL131,AL$129:AL$208,0)=3,1,0))</f>
        <v>1</v>
      </c>
      <c r="AN131" s="44" t="n">
        <f aca="false">N(AN130)+AM131</f>
        <v>2</v>
      </c>
    </row>
    <row r="132" customFormat="false" ht="18" hidden="false" customHeight="true" outlineLevel="0" collapsed="false">
      <c r="A132" s="45" t="n">
        <f aca="false">IF($AF132="","",IF($AF132&lt;=1200,IF(INDEX(对接源_01水果!$B$4:$B$1203,$AF132)=0,"",INDEX(对接源_01水果!$B$4:$B$1203,$AF132)),IF(INDEX(对接源_02物料!$B$4:$B$1203,$AF132-1200)=0,"",INDEX(对接源_02物料!$B$4:$B$1203,$AF132-1200))))</f>
        <v>46259</v>
      </c>
      <c r="B132" s="46" t="str">
        <f aca="false">IF($AF132="","",IF($AF132&lt;=1200,IF(INDEX(对接源_01水果!$E$4:$E$1203,$AF132)=0,"",INDEX(对接源_01水果!$E$4:$E$1203,$AF132)),IF(INDEX(对接源_02物料!$E$4:$E$1203,$AF132-1200)=0,"",INDEX(对接源_02物料!$E$4:$E$1203,$AF132-1200))))</f>
        <v>NO:0001034</v>
      </c>
      <c r="C132" s="46" t="str">
        <f aca="false">IF($AF132="","",IF($AF132&lt;=1200,IF(INDEX(对接源_01水果!$F$4:$F$1203,$AF132)=0,"",INDEX(对接源_01水果!$F$4:$F$1203,$AF132)),IF(INDEX(对接源_02物料!$F$4:$F$1203,$AF132-1200)=0,"",INDEX(对接源_02物料!$F$4:$F$1203,$AF132-1200))))</f>
        <v>苹果</v>
      </c>
      <c r="D132" s="46" t="str">
        <f aca="false">IF($AF132="","",IF($AF132&lt;=1200,IF(INDEX(对接源_01水果!$G$4:$G$1203,$AF132)=0,"",INDEX(对接源_01水果!$G$4:$G$1203,$AF132)),IF(INDEX(对接源_02物料!$G$4:$G$1203,$AF132-1200)=0,"",INDEX(对接源_02物料!$G$4:$G$1203,$AF132-1200))))</f>
        <v>华硕一级</v>
      </c>
      <c r="E132" s="48" t="n">
        <f aca="false">IF($AF132="","",IF($AF132&lt;=1200,IF(INDEX(对接源_01水果!$H$4:$H$1203,$AF132)=0,"",INDEX(对接源_01水果!$H$4:$H$1203,$AF132)),IF(INDEX(对接源_02物料!$H$4:$H$1203,$AF132-1200)=0,"",INDEX(对接源_02物料!$H$4:$H$1203,$AF132-1200))))</f>
        <v>44</v>
      </c>
      <c r="F132" s="46" t="str">
        <f aca="false">IF($AF132="","",IF($AF132&lt;=1200,IF(INDEX(对接源_01水果!$I$4:$I$1203,$AF132)=0,"",INDEX(对接源_01水果!$I$4:$I$1203,$AF132)),IF(INDEX(对接源_02物料!$I$4:$I$1203,$AF132-1200)=0,"",INDEX(对接源_02物料!$I$4:$I$1203,$AF132-1200))))</f>
        <v>筐</v>
      </c>
      <c r="G132" s="56" t="str">
        <f aca="false">IF($AF132="","",IF($AF132&lt;=1200,IF(INDEX(对接源_01水果!$J$4:$J$1203,$AF132)=0,"",INDEX(对接源_01水果!$J$4:$J$1203,$AF132)),IF(INDEX(对接源_02物料!$J$4:$J$1203,$AF132-1200)=0,"",INDEX(对接源_02物料!$J$4:$J$1203,$AF132-1200))))</f>
        <v/>
      </c>
      <c r="H132" s="46" t="str">
        <f aca="false"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I132" s="46" t="str">
        <f aca="false">IF($AF132="","",IF($AF132&lt;=1200,IF(INDEX(对接源_01水果!$D$4:$D$1203,$AF132)=0,"",INDEX(对接源_01水果!$D$4:$D$1203,$AF132)),IF(INDEX(对接源_02物料!$D$4:$D$1203,$AF132-1200)=0,"",INDEX(对接源_02物料!$D$4:$D$1203,$AF132-1200))))</f>
        <v>原料出库－出库加工</v>
      </c>
      <c r="J132" s="47" t="str">
        <f aca="false"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44" t="n">
        <f aca="false">IFERROR(MATCH(4,_自动清单!$AC$4:$AC$2403,0),"")</f>
        <v>234</v>
      </c>
      <c r="AL132" s="44" t="str">
        <f aca="false">IF($D132="","",$D132)</f>
        <v>华硕一级</v>
      </c>
      <c r="AM132" s="44" t="n">
        <f aca="false">IF(AL132="",0,IF(MATCH(AL132,AL$129:AL$208,0)=4,1,0))</f>
        <v>1</v>
      </c>
      <c r="AN132" s="44" t="n">
        <f aca="false">N(AN131)+AM132</f>
        <v>3</v>
      </c>
    </row>
    <row r="133" customFormat="false" ht="18" hidden="false" customHeight="true" outlineLevel="0" collapsed="false">
      <c r="A133" s="40" t="n">
        <f aca="false">IF($AF133="","",IF($AF133&lt;=1200,IF(INDEX(对接源_01水果!$B$4:$B$1203,$AF133)=0,"",INDEX(对接源_01水果!$B$4:$B$1203,$AF133)),IF(INDEX(对接源_02物料!$B$4:$B$1203,$AF133-1200)=0,"",INDEX(对接源_02物料!$B$4:$B$1203,$AF133-1200))))</f>
        <v>46261</v>
      </c>
      <c r="B133" s="41" t="str">
        <f aca="false">IF($AF133="","",IF($AF133&lt;=1200,IF(INDEX(对接源_01水果!$E$4:$E$1203,$AF133)=0,"",INDEX(对接源_01水果!$E$4:$E$1203,$AF133)),IF(INDEX(对接源_02物料!$E$4:$E$1203,$AF133-1200)=0,"",INDEX(对接源_02物料!$E$4:$E$1203,$AF133-1200))))</f>
        <v>NO:0001038</v>
      </c>
      <c r="C133" s="41" t="str">
        <f aca="false">IF($AF133="","",IF($AF133&lt;=1200,IF(INDEX(对接源_01水果!$F$4:$F$1203,$AF133)=0,"",INDEX(对接源_01水果!$F$4:$F$1203,$AF133)),IF(INDEX(对接源_02物料!$F$4:$F$1203,$AF133-1200)=0,"",INDEX(对接源_02物料!$F$4:$F$1203,$AF133-1200))))</f>
        <v>苹果</v>
      </c>
      <c r="D133" s="41" t="str">
        <f aca="false">IF($AF133="","",IF($AF133&lt;=1200,IF(INDEX(对接源_01水果!$G$4:$G$1203,$AF133)=0,"",INDEX(对接源_01水果!$G$4:$G$1203,$AF133)),IF(INDEX(对接源_02物料!$G$4:$G$1203,$AF133-1200)=0,"",INDEX(对接源_02物料!$G$4:$G$1203,$AF133-1200))))</f>
        <v>华硕一级</v>
      </c>
      <c r="E133" s="43" t="n">
        <f aca="false">IF($AF133="","",IF($AF133&lt;=1200,IF(INDEX(对接源_01水果!$H$4:$H$1203,$AF133)=0,"",INDEX(对接源_01水果!$H$4:$H$1203,$AF133)),IF(INDEX(对接源_02物料!$H$4:$H$1203,$AF133-1200)=0,"",INDEX(对接源_02物料!$H$4:$H$1203,$AF133-1200))))</f>
        <v>78</v>
      </c>
      <c r="F133" s="41" t="str">
        <f aca="false">IF($AF133="","",IF($AF133&lt;=1200,IF(INDEX(对接源_01水果!$I$4:$I$1203,$AF133)=0,"",INDEX(对接源_01水果!$I$4:$I$1203,$AF133)),IF(INDEX(对接源_02物料!$I$4:$I$1203,$AF133-1200)=0,"",INDEX(对接源_02物料!$I$4:$I$1203,$AF133-1200))))</f>
        <v>筐</v>
      </c>
      <c r="G133" s="55" t="str">
        <f aca="false">IF($AF133="","",IF($AF133&lt;=1200,IF(INDEX(对接源_01水果!$J$4:$J$1203,$AF133)=0,"",INDEX(对接源_01水果!$J$4:$J$1203,$AF133)),IF(INDEX(对接源_02物料!$J$4:$J$1203,$AF133-1200)=0,"",INDEX(对接源_02物料!$J$4:$J$1203,$AF133-1200))))</f>
        <v/>
      </c>
      <c r="H133" s="41" t="str">
        <f aca="false"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I133" s="41" t="str">
        <f aca="false">IF($AF133="","",IF($AF133&lt;=1200,IF(INDEX(对接源_01水果!$D$4:$D$1203,$AF133)=0,"",INDEX(对接源_01水果!$D$4:$D$1203,$AF133)),IF(INDEX(对接源_02物料!$D$4:$D$1203,$AF133-1200)=0,"",INDEX(对接源_02物料!$D$4:$D$1203,$AF133-1200))))</f>
        <v>原料出库－出库加工</v>
      </c>
      <c r="J133" s="42" t="str">
        <f aca="false"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44" t="n">
        <f aca="false">IFERROR(MATCH(5,_自动清单!$AC$4:$AC$2403,0),"")</f>
        <v>235</v>
      </c>
      <c r="AL133" s="44" t="str">
        <f aca="false">IF($D133="","",$D133)</f>
        <v>华硕一级</v>
      </c>
      <c r="AM133" s="44" t="n">
        <f aca="false">IF(AL133="",0,IF(MATCH(AL133,AL$129:AL$208,0)=5,1,0))</f>
        <v>0</v>
      </c>
      <c r="AN133" s="44" t="n">
        <f aca="false">N(AN132)+AM133</f>
        <v>3</v>
      </c>
    </row>
    <row r="134" customFormat="false" ht="18" hidden="false" customHeight="true" outlineLevel="0" collapsed="false">
      <c r="A134" s="45" t="n">
        <f aca="false">IF($AF134="","",IF($AF134&lt;=1200,IF(INDEX(对接源_01水果!$B$4:$B$1203,$AF134)=0,"",INDEX(对接源_01水果!$B$4:$B$1203,$AF134)),IF(INDEX(对接源_02物料!$B$4:$B$1203,$AF134-1200)=0,"",INDEX(对接源_02物料!$B$4:$B$1203,$AF134-1200))))</f>
        <v>46261</v>
      </c>
      <c r="B134" s="46" t="str">
        <f aca="false">IF($AF134="","",IF($AF134&lt;=1200,IF(INDEX(对接源_01水果!$E$4:$E$1203,$AF134)=0,"",INDEX(对接源_01水果!$E$4:$E$1203,$AF134)),IF(INDEX(对接源_02物料!$E$4:$E$1203,$AF134-1200)=0,"",INDEX(对接源_02物料!$E$4:$E$1203,$AF134-1200))))</f>
        <v>NO:0001038</v>
      </c>
      <c r="C134" s="46" t="str">
        <f aca="false">IF($AF134="","",IF($AF134&lt;=1200,IF(INDEX(对接源_01水果!$F$4:$F$1203,$AF134)=0,"",INDEX(对接源_01水果!$F$4:$F$1203,$AF134)),IF(INDEX(对接源_02物料!$F$4:$F$1203,$AF134-1200)=0,"",INDEX(对接源_02物料!$F$4:$F$1203,$AF134-1200))))</f>
        <v>苹果</v>
      </c>
      <c r="D134" s="46" t="str">
        <f aca="false">IF($AF134="","",IF($AF134&lt;=1200,IF(INDEX(对接源_01水果!$G$4:$G$1203,$AF134)=0,"",INDEX(对接源_01水果!$G$4:$G$1203,$AF134)),IF(INDEX(对接源_02物料!$G$4:$G$1203,$AF134-1200)=0,"",INDEX(对接源_02物料!$G$4:$G$1203,$AF134-1200))))</f>
        <v>华硕高次</v>
      </c>
      <c r="E134" s="48" t="n">
        <f aca="false">IF($AF134="","",IF($AF134&lt;=1200,IF(INDEX(对接源_01水果!$H$4:$H$1203,$AF134)=0,"",INDEX(对接源_01水果!$H$4:$H$1203,$AF134)),IF(INDEX(对接源_02物料!$H$4:$H$1203,$AF134-1200)=0,"",INDEX(对接源_02物料!$H$4:$H$1203,$AF134-1200))))</f>
        <v>44</v>
      </c>
      <c r="F134" s="46" t="str">
        <f aca="false">IF($AF134="","",IF($AF134&lt;=1200,IF(INDEX(对接源_01水果!$I$4:$I$1203,$AF134)=0,"",INDEX(对接源_01水果!$I$4:$I$1203,$AF134)),IF(INDEX(对接源_02物料!$I$4:$I$1203,$AF134-1200)=0,"",INDEX(对接源_02物料!$I$4:$I$1203,$AF134-1200))))</f>
        <v>筐</v>
      </c>
      <c r="G134" s="56" t="str">
        <f aca="false">IF($AF134="","",IF($AF134&lt;=1200,IF(INDEX(对接源_01水果!$J$4:$J$1203,$AF134)=0,"",INDEX(对接源_01水果!$J$4:$J$1203,$AF134)),IF(INDEX(对接源_02物料!$J$4:$J$1203,$AF134-1200)=0,"",INDEX(对接源_02物料!$J$4:$J$1203,$AF134-1200))))</f>
        <v/>
      </c>
      <c r="H134" s="46" t="str">
        <f aca="false"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I134" s="46" t="str">
        <f aca="false">IF($AF134="","",IF($AF134&lt;=1200,IF(INDEX(对接源_01水果!$D$4:$D$1203,$AF134)=0,"",INDEX(对接源_01水果!$D$4:$D$1203,$AF134)),IF(INDEX(对接源_02物料!$D$4:$D$1203,$AF134-1200)=0,"",INDEX(对接源_02物料!$D$4:$D$1203,$AF134-1200))))</f>
        <v>原料出库－出库加工</v>
      </c>
      <c r="J134" s="47" t="str">
        <f aca="false"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44" t="n">
        <f aca="false">IFERROR(MATCH(6,_自动清单!$AC$4:$AC$2403,0),"")</f>
        <v>236</v>
      </c>
      <c r="AL134" s="44" t="str">
        <f aca="false">IF($D134="","",$D134)</f>
        <v>华硕高次</v>
      </c>
      <c r="AM134" s="44" t="n">
        <f aca="false">IF(AL134="",0,IF(MATCH(AL134,AL$129:AL$208,0)=6,1,0))</f>
        <v>0</v>
      </c>
      <c r="AN134" s="44" t="n">
        <f aca="false">N(AN133)+AM134</f>
        <v>3</v>
      </c>
    </row>
    <row r="135" customFormat="false" ht="18" hidden="false" customHeight="true" outlineLevel="0" collapsed="false">
      <c r="A135" s="40" t="n">
        <f aca="false">IF($AF135="","",IF($AF135&lt;=1200,IF(INDEX(对接源_01水果!$B$4:$B$1203,$AF135)=0,"",INDEX(对接源_01水果!$B$4:$B$1203,$AF135)),IF(INDEX(对接源_02物料!$B$4:$B$1203,$AF135-1200)=0,"",INDEX(对接源_02物料!$B$4:$B$1203,$AF135-1200))))</f>
        <v>46263</v>
      </c>
      <c r="B135" s="41" t="str">
        <f aca="false">IF($AF135="","",IF($AF135&lt;=1200,IF(INDEX(对接源_01水果!$E$4:$E$1203,$AF135)=0,"",INDEX(对接源_01水果!$E$4:$E$1203,$AF135)),IF(INDEX(对接源_02物料!$E$4:$E$1203,$AF135-1200)=0,"",INDEX(对接源_02物料!$E$4:$E$1203,$AF135-1200))))</f>
        <v>NO:0001045</v>
      </c>
      <c r="C135" s="41" t="str">
        <f aca="false">IF($AF135="","",IF($AF135&lt;=1200,IF(INDEX(对接源_01水果!$F$4:$F$1203,$AF135)=0,"",INDEX(对接源_01水果!$F$4:$F$1203,$AF135)),IF(INDEX(对接源_02物料!$F$4:$F$1203,$AF135-1200)=0,"",INDEX(对接源_02物料!$F$4:$F$1203,$AF135-1200))))</f>
        <v>苹果</v>
      </c>
      <c r="D135" s="41" t="str">
        <f aca="false">IF($AF135="","",IF($AF135&lt;=1200,IF(INDEX(对接源_01水果!$G$4:$G$1203,$AF135)=0,"",INDEX(对接源_01水果!$G$4:$G$1203,$AF135)),IF(INDEX(对接源_02物料!$G$4:$G$1203,$AF135-1200)=0,"",INDEX(对接源_02物料!$G$4:$G$1203,$AF135-1200))))</f>
        <v>华硕一级</v>
      </c>
      <c r="E135" s="43" t="n">
        <f aca="false">IF($AF135="","",IF($AF135&lt;=1200,IF(INDEX(对接源_01水果!$H$4:$H$1203,$AF135)=0,"",INDEX(对接源_01水果!$H$4:$H$1203,$AF135)),IF(INDEX(对接源_02物料!$H$4:$H$1203,$AF135-1200)=0,"",INDEX(对接源_02物料!$H$4:$H$1203,$AF135-1200))))</f>
        <v>240</v>
      </c>
      <c r="F135" s="41" t="str">
        <f aca="false">IF($AF135="","",IF($AF135&lt;=1200,IF(INDEX(对接源_01水果!$I$4:$I$1203,$AF135)=0,"",INDEX(对接源_01水果!$I$4:$I$1203,$AF135)),IF(INDEX(对接源_02物料!$I$4:$I$1203,$AF135-1200)=0,"",INDEX(对接源_02物料!$I$4:$I$1203,$AF135-1200))))</f>
        <v>筐</v>
      </c>
      <c r="G135" s="55" t="str">
        <f aca="false">IF($AF135="","",IF($AF135&lt;=1200,IF(INDEX(对接源_01水果!$J$4:$J$1203,$AF135)=0,"",INDEX(对接源_01水果!$J$4:$J$1203,$AF135)),IF(INDEX(对接源_02物料!$J$4:$J$1203,$AF135-1200)=0,"",INDEX(对接源_02物料!$J$4:$J$1203,$AF135-1200))))</f>
        <v/>
      </c>
      <c r="H135" s="41" t="str">
        <f aca="false"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I135" s="41" t="str">
        <f aca="false">IF($AF135="","",IF($AF135&lt;=1200,IF(INDEX(对接源_01水果!$D$4:$D$1203,$AF135)=0,"",INDEX(对接源_01水果!$D$4:$D$1203,$AF135)),IF(INDEX(对接源_02物料!$D$4:$D$1203,$AF135-1200)=0,"",INDEX(对接源_02物料!$D$4:$D$1203,$AF135-1200))))</f>
        <v>原料出库－出库加工</v>
      </c>
      <c r="J135" s="42" t="str">
        <f aca="false"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44" t="n">
        <f aca="false">IFERROR(MATCH(7,_自动清单!$AC$4:$AC$2403,0),"")</f>
        <v>239</v>
      </c>
      <c r="AL135" s="44" t="str">
        <f aca="false">IF($D135="","",$D135)</f>
        <v>华硕一级</v>
      </c>
      <c r="AM135" s="44" t="n">
        <f aca="false">IF(AL135="",0,IF(MATCH(AL135,AL$129:AL$208,0)=7,1,0))</f>
        <v>0</v>
      </c>
      <c r="AN135" s="44" t="n">
        <f aca="false">N(AN134)+AM135</f>
        <v>3</v>
      </c>
    </row>
    <row r="136" customFormat="false" ht="18" hidden="false" customHeight="true" outlineLevel="0" collapsed="false">
      <c r="A136" s="45" t="n">
        <f aca="false">IF($AF136="","",IF($AF136&lt;=1200,IF(INDEX(对接源_01水果!$B$4:$B$1203,$AF136)=0,"",INDEX(对接源_01水果!$B$4:$B$1203,$AF136)),IF(INDEX(对接源_02物料!$B$4:$B$1203,$AF136-1200)=0,"",INDEX(对接源_02物料!$B$4:$B$1203,$AF136-1200))))</f>
        <v>46264</v>
      </c>
      <c r="B136" s="46" t="str">
        <f aca="false">IF($AF136="","",IF($AF136&lt;=1200,IF(INDEX(对接源_01水果!$E$4:$E$1203,$AF136)=0,"",INDEX(对接源_01水果!$E$4:$E$1203,$AF136)),IF(INDEX(对接源_02物料!$E$4:$E$1203,$AF136-1200)=0,"",INDEX(对接源_02物料!$E$4:$E$1203,$AF136-1200))))</f>
        <v>NO:0001050</v>
      </c>
      <c r="C136" s="46" t="str">
        <f aca="false">IF($AF136="","",IF($AF136&lt;=1200,IF(INDEX(对接源_01水果!$F$4:$F$1203,$AF136)=0,"",INDEX(对接源_01水果!$F$4:$F$1203,$AF136)),IF(INDEX(对接源_02物料!$F$4:$F$1203,$AF136-1200)=0,"",INDEX(对接源_02物料!$F$4:$F$1203,$AF136-1200))))</f>
        <v>苹果</v>
      </c>
      <c r="D136" s="46" t="str">
        <f aca="false">IF($AF136="","",IF($AF136&lt;=1200,IF(INDEX(对接源_01水果!$G$4:$G$1203,$AF136)=0,"",INDEX(对接源_01水果!$G$4:$G$1203,$AF136)),IF(INDEX(对接源_02物料!$G$4:$G$1203,$AF136-1200)=0,"",INDEX(对接源_02物料!$G$4:$G$1203,$AF136-1200))))</f>
        <v>华硕二级</v>
      </c>
      <c r="E136" s="48" t="n">
        <f aca="false">IF($AF136="","",IF($AF136&lt;=1200,IF(INDEX(对接源_01水果!$H$4:$H$1203,$AF136)=0,"",INDEX(对接源_01水果!$H$4:$H$1203,$AF136)),IF(INDEX(对接源_02物料!$H$4:$H$1203,$AF136-1200)=0,"",INDEX(对接源_02物料!$H$4:$H$1203,$AF136-1200))))</f>
        <v>302</v>
      </c>
      <c r="F136" s="46" t="str">
        <f aca="false">IF($AF136="","",IF($AF136&lt;=1200,IF(INDEX(对接源_01水果!$I$4:$I$1203,$AF136)=0,"",INDEX(对接源_01水果!$I$4:$I$1203,$AF136)),IF(INDEX(对接源_02物料!$I$4:$I$1203,$AF136-1200)=0,"",INDEX(对接源_02物料!$I$4:$I$1203,$AF136-1200))))</f>
        <v>筐</v>
      </c>
      <c r="G136" s="56" t="str">
        <f aca="false">IF($AF136="","",IF($AF136&lt;=1200,IF(INDEX(对接源_01水果!$J$4:$J$1203,$AF136)=0,"",INDEX(对接源_01水果!$J$4:$J$1203,$AF136)),IF(INDEX(对接源_02物料!$J$4:$J$1203,$AF136-1200)=0,"",INDEX(对接源_02物料!$J$4:$J$1203,$AF136-1200))))</f>
        <v/>
      </c>
      <c r="H136" s="46" t="str">
        <f aca="false"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I136" s="46" t="str">
        <f aca="false">IF($AF136="","",IF($AF136&lt;=1200,IF(INDEX(对接源_01水果!$D$4:$D$1203,$AF136)=0,"",INDEX(对接源_01水果!$D$4:$D$1203,$AF136)),IF(INDEX(对接源_02物料!$D$4:$D$1203,$AF136-1200)=0,"",INDEX(对接源_02物料!$D$4:$D$1203,$AF136-1200))))</f>
        <v>原料出库－出库加工</v>
      </c>
      <c r="J136" s="47" t="str">
        <f aca="false"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44" t="n">
        <f aca="false">IFERROR(MATCH(8,_自动清单!$AC$4:$AC$2403,0),"")</f>
        <v>241</v>
      </c>
      <c r="AL136" s="44" t="str">
        <f aca="false">IF($D136="","",$D136)</f>
        <v>华硕二级</v>
      </c>
      <c r="AM136" s="44" t="n">
        <f aca="false">IF(AL136="",0,IF(MATCH(AL136,AL$129:AL$208,0)=8,1,0))</f>
        <v>1</v>
      </c>
      <c r="AN136" s="44" t="n">
        <f aca="false">N(AN135)+AM136</f>
        <v>4</v>
      </c>
    </row>
    <row r="137" customFormat="false" ht="18" hidden="false" customHeight="true" outlineLevel="0" collapsed="false">
      <c r="A137" s="40" t="n">
        <f aca="false">IF($AF137="","",IF($AF137&lt;=1200,IF(INDEX(对接源_01水果!$B$4:$B$1203,$AF137)=0,"",INDEX(对接源_01水果!$B$4:$B$1203,$AF137)),IF(INDEX(对接源_02物料!$B$4:$B$1203,$AF137-1200)=0,"",INDEX(对接源_02物料!$B$4:$B$1203,$AF137-1200))))</f>
        <v>46264</v>
      </c>
      <c r="B137" s="41" t="str">
        <f aca="false">IF($AF137="","",IF($AF137&lt;=1200,IF(INDEX(对接源_01水果!$E$4:$E$1203,$AF137)=0,"",INDEX(对接源_01水果!$E$4:$E$1203,$AF137)),IF(INDEX(对接源_02物料!$E$4:$E$1203,$AF137-1200)=0,"",INDEX(对接源_02物料!$E$4:$E$1203,$AF137-1200))))</f>
        <v>NO:0001050</v>
      </c>
      <c r="C137" s="41" t="str">
        <f aca="false">IF($AF137="","",IF($AF137&lt;=1200,IF(INDEX(对接源_01水果!$F$4:$F$1203,$AF137)=0,"",INDEX(对接源_01水果!$F$4:$F$1203,$AF137)),IF(INDEX(对接源_02物料!$F$4:$F$1203,$AF137-1200)=0,"",INDEX(对接源_02物料!$F$4:$F$1203,$AF137-1200))))</f>
        <v>苹果</v>
      </c>
      <c r="D137" s="41" t="str">
        <f aca="false">IF($AF137="","",IF($AF137&lt;=1200,IF(INDEX(对接源_01水果!$G$4:$G$1203,$AF137)=0,"",INDEX(对接源_01水果!$G$4:$G$1203,$AF137)),IF(INDEX(对接源_02物料!$G$4:$G$1203,$AF137-1200)=0,"",INDEX(对接源_02物料!$G$4:$G$1203,$AF137-1200))))</f>
        <v>华硕一级</v>
      </c>
      <c r="E137" s="43" t="n">
        <f aca="false">IF($AF137="","",IF($AF137&lt;=1200,IF(INDEX(对接源_01水果!$H$4:$H$1203,$AF137)=0,"",INDEX(对接源_01水果!$H$4:$H$1203,$AF137)),IF(INDEX(对接源_02物料!$H$4:$H$1203,$AF137-1200)=0,"",INDEX(对接源_02物料!$H$4:$H$1203,$AF137-1200))))</f>
        <v>27</v>
      </c>
      <c r="F137" s="41" t="str">
        <f aca="false">IF($AF137="","",IF($AF137&lt;=1200,IF(INDEX(对接源_01水果!$I$4:$I$1203,$AF137)=0,"",INDEX(对接源_01水果!$I$4:$I$1203,$AF137)),IF(INDEX(对接源_02物料!$I$4:$I$1203,$AF137-1200)=0,"",INDEX(对接源_02物料!$I$4:$I$1203,$AF137-1200))))</f>
        <v>筐</v>
      </c>
      <c r="G137" s="55" t="str">
        <f aca="false">IF($AF137="","",IF($AF137&lt;=1200,IF(INDEX(对接源_01水果!$J$4:$J$1203,$AF137)=0,"",INDEX(对接源_01水果!$J$4:$J$1203,$AF137)),IF(INDEX(对接源_02物料!$J$4:$J$1203,$AF137-1200)=0,"",INDEX(对接源_02物料!$J$4:$J$1203,$AF137-1200))))</f>
        <v/>
      </c>
      <c r="H137" s="41" t="str">
        <f aca="false"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I137" s="41" t="str">
        <f aca="false">IF($AF137="","",IF($AF137&lt;=1200,IF(INDEX(对接源_01水果!$D$4:$D$1203,$AF137)=0,"",INDEX(对接源_01水果!$D$4:$D$1203,$AF137)),IF(INDEX(对接源_02物料!$D$4:$D$1203,$AF137-1200)=0,"",INDEX(对接源_02物料!$D$4:$D$1203,$AF137-1200))))</f>
        <v>原料出库－出库加工</v>
      </c>
      <c r="J137" s="42" t="str">
        <f aca="false"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44" t="n">
        <f aca="false">IFERROR(MATCH(9,_自动清单!$AC$4:$AC$2403,0),"")</f>
        <v>242</v>
      </c>
      <c r="AL137" s="44" t="str">
        <f aca="false">IF($D137="","",$D137)</f>
        <v>华硕一级</v>
      </c>
      <c r="AM137" s="44" t="n">
        <f aca="false">IF(AL137="",0,IF(MATCH(AL137,AL$129:AL$208,0)=9,1,0))</f>
        <v>0</v>
      </c>
      <c r="AN137" s="44" t="n">
        <f aca="false">N(AN136)+AM137</f>
        <v>4</v>
      </c>
    </row>
    <row r="138" customFormat="false" ht="18" hidden="false" customHeight="true" outlineLevel="0" collapsed="false">
      <c r="A138" s="45" t="n">
        <f aca="false">IF($AF138="","",IF($AF138&lt;=1200,IF(INDEX(对接源_01水果!$B$4:$B$1203,$AF138)=0,"",INDEX(对接源_01水果!$B$4:$B$1203,$AF138)),IF(INDEX(对接源_02物料!$B$4:$B$1203,$AF138-1200)=0,"",INDEX(对接源_02物料!$B$4:$B$1203,$AF138-1200))))</f>
        <v>46265</v>
      </c>
      <c r="B138" s="46" t="str">
        <f aca="false">IF($AF138="","",IF($AF138&lt;=1200,IF(INDEX(对接源_01水果!$E$4:$E$1203,$AF138)=0,"",INDEX(对接源_01水果!$E$4:$E$1203,$AF138)),IF(INDEX(对接源_02物料!$E$4:$E$1203,$AF138-1200)=0,"",INDEX(对接源_02物料!$E$4:$E$1203,$AF138-1200))))</f>
        <v>NO:0001054</v>
      </c>
      <c r="C138" s="46" t="str">
        <f aca="false">IF($AF138="","",IF($AF138&lt;=1200,IF(INDEX(对接源_01水果!$F$4:$F$1203,$AF138)=0,"",INDEX(对接源_01水果!$F$4:$F$1203,$AF138)),IF(INDEX(对接源_02物料!$F$4:$F$1203,$AF138-1200)=0,"",INDEX(对接源_02物料!$F$4:$F$1203,$AF138-1200))))</f>
        <v>苹果</v>
      </c>
      <c r="D138" s="46" t="str">
        <f aca="false">IF($AF138="","",IF($AF138&lt;=1200,IF(INDEX(对接源_01水果!$G$4:$G$1203,$AF138)=0,"",INDEX(对接源_01水果!$G$4:$G$1203,$AF138)),IF(INDEX(对接源_02物料!$G$4:$G$1203,$AF138-1200)=0,"",INDEX(对接源_02物料!$G$4:$G$1203,$AF138-1200))))</f>
        <v>华硕一级</v>
      </c>
      <c r="E138" s="48" t="n">
        <f aca="false">IF($AF138="","",IF($AF138&lt;=1200,IF(INDEX(对接源_01水果!$H$4:$H$1203,$AF138)=0,"",INDEX(对接源_01水果!$H$4:$H$1203,$AF138)),IF(INDEX(对接源_02物料!$H$4:$H$1203,$AF138-1200)=0,"",INDEX(对接源_02物料!$H$4:$H$1203,$AF138-1200))))</f>
        <v>117</v>
      </c>
      <c r="F138" s="46" t="str">
        <f aca="false">IF($AF138="","",IF($AF138&lt;=1200,IF(INDEX(对接源_01水果!$I$4:$I$1203,$AF138)=0,"",INDEX(对接源_01水果!$I$4:$I$1203,$AF138)),IF(INDEX(对接源_02物料!$I$4:$I$1203,$AF138-1200)=0,"",INDEX(对接源_02物料!$I$4:$I$1203,$AF138-1200))))</f>
        <v>筐</v>
      </c>
      <c r="G138" s="56" t="str">
        <f aca="false">IF($AF138="","",IF($AF138&lt;=1200,IF(INDEX(对接源_01水果!$J$4:$J$1203,$AF138)=0,"",INDEX(对接源_01水果!$J$4:$J$1203,$AF138)),IF(INDEX(对接源_02物料!$J$4:$J$1203,$AF138-1200)=0,"",INDEX(对接源_02物料!$J$4:$J$1203,$AF138-1200))))</f>
        <v/>
      </c>
      <c r="H138" s="46" t="str">
        <f aca="false"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I138" s="46" t="str">
        <f aca="false">IF($AF138="","",IF($AF138&lt;=1200,IF(INDEX(对接源_01水果!$D$4:$D$1203,$AF138)=0,"",INDEX(对接源_01水果!$D$4:$D$1203,$AF138)),IF(INDEX(对接源_02物料!$D$4:$D$1203,$AF138-1200)=0,"",INDEX(对接源_02物料!$D$4:$D$1203,$AF138-1200))))</f>
        <v>原料出库－出库加工</v>
      </c>
      <c r="J138" s="47" t="str">
        <f aca="false"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44" t="n">
        <f aca="false">IFERROR(MATCH(10,_自动清单!$AC$4:$AC$2403,0),"")</f>
        <v>244</v>
      </c>
      <c r="AL138" s="44" t="str">
        <f aca="false">IF($D138="","",$D138)</f>
        <v>华硕一级</v>
      </c>
      <c r="AM138" s="44" t="n">
        <f aca="false">IF(AL138="",0,IF(MATCH(AL138,AL$129:AL$208,0)=10,1,0))</f>
        <v>0</v>
      </c>
      <c r="AN138" s="44" t="n">
        <f aca="false">N(AN137)+AM138</f>
        <v>4</v>
      </c>
    </row>
    <row r="139" customFormat="false" ht="18" hidden="false" customHeight="true" outlineLevel="0" collapsed="false">
      <c r="A139" s="40" t="n">
        <f aca="false">IF($AF139="","",IF($AF139&lt;=1200,IF(INDEX(对接源_01水果!$B$4:$B$1203,$AF139)=0,"",INDEX(对接源_01水果!$B$4:$B$1203,$AF139)),IF(INDEX(对接源_02物料!$B$4:$B$1203,$AF139-1200)=0,"",INDEX(对接源_02物料!$B$4:$B$1203,$AF139-1200))))</f>
        <v>46266</v>
      </c>
      <c r="B139" s="41" t="str">
        <f aca="false">IF($AF139="","",IF($AF139&lt;=1200,IF(INDEX(对接源_01水果!$E$4:$E$1203,$AF139)=0,"",INDEX(对接源_01水果!$E$4:$E$1203,$AF139)),IF(INDEX(对接源_02物料!$E$4:$E$1203,$AF139-1200)=0,"",INDEX(对接源_02物料!$E$4:$E$1203,$AF139-1200))))</f>
        <v>NO:0001060</v>
      </c>
      <c r="C139" s="41" t="str">
        <f aca="false">IF($AF139="","",IF($AF139&lt;=1200,IF(INDEX(对接源_01水果!$F$4:$F$1203,$AF139)=0,"",INDEX(对接源_01水果!$F$4:$F$1203,$AF139)),IF(INDEX(对接源_02物料!$F$4:$F$1203,$AF139-1200)=0,"",INDEX(对接源_02物料!$F$4:$F$1203,$AF139-1200))))</f>
        <v>苹果</v>
      </c>
      <c r="D139" s="41" t="str">
        <f aca="false">IF($AF139="","",IF($AF139&lt;=1200,IF(INDEX(对接源_01水果!$G$4:$G$1203,$AF139)=0,"",INDEX(对接源_01水果!$G$4:$G$1203,$AF139)),IF(INDEX(对接源_02物料!$G$4:$G$1203,$AF139-1200)=0,"",INDEX(对接源_02物料!$G$4:$G$1203,$AF139-1200))))</f>
        <v>华硕一级</v>
      </c>
      <c r="E139" s="43" t="n">
        <f aca="false">IF($AF139="","",IF($AF139&lt;=1200,IF(INDEX(对接源_01水果!$H$4:$H$1203,$AF139)=0,"",INDEX(对接源_01水果!$H$4:$H$1203,$AF139)),IF(INDEX(对接源_02物料!$H$4:$H$1203,$AF139-1200)=0,"",INDEX(对接源_02物料!$H$4:$H$1203,$AF139-1200))))</f>
        <v>164</v>
      </c>
      <c r="F139" s="41" t="str">
        <f aca="false">IF($AF139="","",IF($AF139&lt;=1200,IF(INDEX(对接源_01水果!$I$4:$I$1203,$AF139)=0,"",INDEX(对接源_01水果!$I$4:$I$1203,$AF139)),IF(INDEX(对接源_02物料!$I$4:$I$1203,$AF139-1200)=0,"",INDEX(对接源_02物料!$I$4:$I$1203,$AF139-1200))))</f>
        <v>筐</v>
      </c>
      <c r="G139" s="55" t="str">
        <f aca="false">IF($AF139="","",IF($AF139&lt;=1200,IF(INDEX(对接源_01水果!$J$4:$J$1203,$AF139)=0,"",INDEX(对接源_01水果!$J$4:$J$1203,$AF139)),IF(INDEX(对接源_02物料!$J$4:$J$1203,$AF139-1200)=0,"",INDEX(对接源_02物料!$J$4:$J$1203,$AF139-1200))))</f>
        <v/>
      </c>
      <c r="H139" s="41" t="str">
        <f aca="false"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I139" s="41" t="str">
        <f aca="false">IF($AF139="","",IF($AF139&lt;=1200,IF(INDEX(对接源_01水果!$D$4:$D$1203,$AF139)=0,"",INDEX(对接源_01水果!$D$4:$D$1203,$AF139)),IF(INDEX(对接源_02物料!$D$4:$D$1203,$AF139-1200)=0,"",INDEX(对接源_02物料!$D$4:$D$1203,$AF139-1200))))</f>
        <v>原料出库－出库加工</v>
      </c>
      <c r="J139" s="42" t="str">
        <f aca="false"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44" t="n">
        <f aca="false">IFERROR(MATCH(11,_自动清单!$AC$4:$AC$2403,0),"")</f>
        <v>248</v>
      </c>
      <c r="AL139" s="44" t="str">
        <f aca="false">IF($D139="","",$D139)</f>
        <v>华硕一级</v>
      </c>
      <c r="AM139" s="44" t="n">
        <f aca="false">IF(AL139="",0,IF(MATCH(AL139,AL$129:AL$208,0)=11,1,0))</f>
        <v>0</v>
      </c>
      <c r="AN139" s="44" t="n">
        <f aca="false">N(AN138)+AM139</f>
        <v>4</v>
      </c>
    </row>
    <row r="140" customFormat="false" ht="18" hidden="false" customHeight="true" outlineLevel="0" collapsed="false">
      <c r="A140" s="45" t="n">
        <f aca="false">IF($AF140="","",IF($AF140&lt;=1200,IF(INDEX(对接源_01水果!$B$4:$B$1203,$AF140)=0,"",INDEX(对接源_01水果!$B$4:$B$1203,$AF140)),IF(INDEX(对接源_02物料!$B$4:$B$1203,$AF140-1200)=0,"",INDEX(对接源_02物料!$B$4:$B$1203,$AF140-1200))))</f>
        <v>46266</v>
      </c>
      <c r="B140" s="46" t="str">
        <f aca="false">IF($AF140="","",IF($AF140&lt;=1200,IF(INDEX(对接源_01水果!$E$4:$E$1203,$AF140)=0,"",INDEX(对接源_01水果!$E$4:$E$1203,$AF140)),IF(INDEX(对接源_02物料!$E$4:$E$1203,$AF140-1200)=0,"",INDEX(对接源_02物料!$E$4:$E$1203,$AF140-1200))))</f>
        <v>NO:0001060</v>
      </c>
      <c r="C140" s="46" t="str">
        <f aca="false">IF($AF140="","",IF($AF140&lt;=1200,IF(INDEX(对接源_01水果!$F$4:$F$1203,$AF140)=0,"",INDEX(对接源_01水果!$F$4:$F$1203,$AF140)),IF(INDEX(对接源_02物料!$F$4:$F$1203,$AF140-1200)=0,"",INDEX(对接源_02物料!$F$4:$F$1203,$AF140-1200))))</f>
        <v>苹果</v>
      </c>
      <c r="D140" s="46" t="str">
        <f aca="false">IF($AF140="","",IF($AF140&lt;=1200,IF(INDEX(对接源_01水果!$G$4:$G$1203,$AF140)=0,"",INDEX(对接源_01水果!$G$4:$G$1203,$AF140)),IF(INDEX(对接源_02物料!$G$4:$G$1203,$AF140-1200)=0,"",INDEX(对接源_02物料!$G$4:$G$1203,$AF140-1200))))</f>
        <v>华硕二级</v>
      </c>
      <c r="E140" s="48" t="n">
        <f aca="false">IF($AF140="","",IF($AF140&lt;=1200,IF(INDEX(对接源_01水果!$H$4:$H$1203,$AF140)=0,"",INDEX(对接源_01水果!$H$4:$H$1203,$AF140)),IF(INDEX(对接源_02物料!$H$4:$H$1203,$AF140-1200)=0,"",INDEX(对接源_02物料!$H$4:$H$1203,$AF140-1200))))</f>
        <v>27</v>
      </c>
      <c r="F140" s="46" t="str">
        <f aca="false">IF($AF140="","",IF($AF140&lt;=1200,IF(INDEX(对接源_01水果!$I$4:$I$1203,$AF140)=0,"",INDEX(对接源_01水果!$I$4:$I$1203,$AF140)),IF(INDEX(对接源_02物料!$I$4:$I$1203,$AF140-1200)=0,"",INDEX(对接源_02物料!$I$4:$I$1203,$AF140-1200))))</f>
        <v>筐</v>
      </c>
      <c r="G140" s="56" t="str">
        <f aca="false">IF($AF140="","",IF($AF140&lt;=1200,IF(INDEX(对接源_01水果!$J$4:$J$1203,$AF140)=0,"",INDEX(对接源_01水果!$J$4:$J$1203,$AF140)),IF(INDEX(对接源_02物料!$J$4:$J$1203,$AF140-1200)=0,"",INDEX(对接源_02物料!$J$4:$J$1203,$AF140-1200))))</f>
        <v/>
      </c>
      <c r="H140" s="46" t="str">
        <f aca="false"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I140" s="46" t="str">
        <f aca="false">IF($AF140="","",IF($AF140&lt;=1200,IF(INDEX(对接源_01水果!$D$4:$D$1203,$AF140)=0,"",INDEX(对接源_01水果!$D$4:$D$1203,$AF140)),IF(INDEX(对接源_02物料!$D$4:$D$1203,$AF140-1200)=0,"",INDEX(对接源_02物料!$D$4:$D$1203,$AF140-1200))))</f>
        <v>原料出库－出库加工</v>
      </c>
      <c r="J140" s="47" t="str">
        <f aca="false"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44" t="n">
        <f aca="false">IFERROR(MATCH(12,_自动清单!$AC$4:$AC$2403,0),"")</f>
        <v>249</v>
      </c>
      <c r="AL140" s="44" t="str">
        <f aca="false">IF($D140="","",$D140)</f>
        <v>华硕二级</v>
      </c>
      <c r="AM140" s="44" t="n">
        <f aca="false">IF(AL140="",0,IF(MATCH(AL140,AL$129:AL$208,0)=12,1,0))</f>
        <v>0</v>
      </c>
      <c r="AN140" s="44" t="n">
        <f aca="false">N(AN139)+AM140</f>
        <v>4</v>
      </c>
    </row>
    <row r="141" customFormat="false" ht="18" hidden="false" customHeight="true" outlineLevel="0" collapsed="false">
      <c r="A141" s="40" t="n">
        <f aca="false">IF($AF141="","",IF($AF141&lt;=1200,IF(INDEX(对接源_01水果!$B$4:$B$1203,$AF141)=0,"",INDEX(对接源_01水果!$B$4:$B$1203,$AF141)),IF(INDEX(对接源_02物料!$B$4:$B$1203,$AF141-1200)=0,"",INDEX(对接源_02物料!$B$4:$B$1203,$AF141-1200))))</f>
        <v>46272</v>
      </c>
      <c r="B141" s="41" t="str">
        <f aca="false">IF($AF141="","",IF($AF141&lt;=1200,IF(INDEX(对接源_01水果!$E$4:$E$1203,$AF141)=0,"",INDEX(对接源_01水果!$E$4:$E$1203,$AF141)),IF(INDEX(对接源_02物料!$E$4:$E$1203,$AF141-1200)=0,"",INDEX(对接源_02物料!$E$4:$E$1203,$AF141-1200))))</f>
        <v>NO:0001091</v>
      </c>
      <c r="C141" s="41" t="str">
        <f aca="false">IF($AF141="","",IF($AF141&lt;=1200,IF(INDEX(对接源_01水果!$F$4:$F$1203,$AF141)=0,"",INDEX(对接源_01水果!$F$4:$F$1203,$AF141)),IF(INDEX(对接源_02物料!$F$4:$F$1203,$AF141-1200)=0,"",INDEX(对接源_02物料!$F$4:$F$1203,$AF141-1200))))</f>
        <v>李子</v>
      </c>
      <c r="D141" s="41" t="str">
        <f aca="false">IF($AF141="","",IF($AF141&lt;=1200,IF(INDEX(对接源_01水果!$G$4:$G$1203,$AF141)=0,"",INDEX(对接源_01水果!$G$4:$G$1203,$AF141)),IF(INDEX(对接源_02物料!$G$4:$G$1203,$AF141-1200)=0,"",INDEX(对接源_02物料!$G$4:$G$1203,$AF141-1200))))</f>
        <v>樱桃李</v>
      </c>
      <c r="E141" s="43" t="n">
        <f aca="false">IF($AF141="","",IF($AF141&lt;=1200,IF(INDEX(对接源_01水果!$H$4:$H$1203,$AF141)=0,"",INDEX(对接源_01水果!$H$4:$H$1203,$AF141)),IF(INDEX(对接源_02物料!$H$4:$H$1203,$AF141-1200)=0,"",INDEX(对接源_02物料!$H$4:$H$1203,$AF141-1200))))</f>
        <v>19</v>
      </c>
      <c r="F141" s="41" t="str">
        <f aca="false">IF($AF141="","",IF($AF141&lt;=1200,IF(INDEX(对接源_01水果!$I$4:$I$1203,$AF141)=0,"",INDEX(对接源_01水果!$I$4:$I$1203,$AF141)),IF(INDEX(对接源_02物料!$I$4:$I$1203,$AF141-1200)=0,"",INDEX(对接源_02物料!$I$4:$I$1203,$AF141-1200))))</f>
        <v>筐</v>
      </c>
      <c r="G141" s="55" t="n">
        <f aca="false">IF($AF141="","",IF($AF141&lt;=1200,IF(INDEX(对接源_01水果!$J$4:$J$1203,$AF141)=0,"",INDEX(对接源_01水果!$J$4:$J$1203,$AF141)),IF(INDEX(对接源_02物料!$J$4:$J$1203,$AF141-1200)=0,"",INDEX(对接源_02物料!$J$4:$J$1203,$AF141-1200))))</f>
        <v>309.7</v>
      </c>
      <c r="H141" s="41" t="str">
        <f aca="false">IF($AF141="","",IF($AF141&lt;=1200,IF(INDEX(对接源_01水果!$W$4:$W$1203,$AF141)=0,"",INDEX(对接源_01水果!$W$4:$W$1203,$AF141)),IF(INDEX(对接源_02物料!$W$4:$W$1203,$AF141-1200)=0,"",INDEX(对接源_02物料!$W$4:$W$1203,$AF141-1200))))</f>
        <v>自提</v>
      </c>
      <c r="I141" s="41" t="str">
        <f aca="false">IF($AF141="","",IF($AF141&lt;=1200,IF(INDEX(对接源_01水果!$D$4:$D$1203,$AF141)=0,"",INDEX(对接源_01水果!$D$4:$D$1203,$AF141)),IF(INDEX(对接源_02物料!$D$4:$D$1203,$AF141-1200)=0,"",INDEX(对接源_02物料!$D$4:$D$1203,$AF141-1200))))</f>
        <v>原料出库－原筐出库</v>
      </c>
      <c r="J141" s="42" t="str">
        <f aca="false">IF($AF141="","",IF($AF141&lt;=1200,IF(INDEX(对接源_01水果!$M$4:$M$1203,$AF141)=0,"",INDEX(对接源_01水果!$M$4:$M$1203,$AF141)),IF(INDEX(对接源_02物料!$M$4:$M$1203,$AF141-1200)=0,"",INDEX(对接源_02物料!$M$4:$M$1203,$AF141-1200))))</f>
        <v>樱桃李全部出库</v>
      </c>
      <c r="AF141" s="44" t="n">
        <f aca="false">IFERROR(MATCH(13,_自动清单!$AC$4:$AC$2403,0),"")</f>
        <v>256</v>
      </c>
      <c r="AL141" s="44" t="str">
        <f aca="false">IF($D141="","",$D141)</f>
        <v>樱桃李</v>
      </c>
      <c r="AM141" s="44" t="n">
        <f aca="false">IF(AL141="",0,IF(MATCH(AL141,AL$129:AL$208,0)=13,1,0))</f>
        <v>0</v>
      </c>
      <c r="AN141" s="44" t="n">
        <f aca="false">N(AN140)+AM141</f>
        <v>4</v>
      </c>
    </row>
    <row r="142" customFormat="false" ht="18" hidden="false" customHeight="true" outlineLevel="0" collapsed="false">
      <c r="A142" s="45" t="n">
        <f aca="false">IF($AF142="","",IF($AF142&lt;=1200,IF(INDEX(对接源_01水果!$B$4:$B$1203,$AF142)=0,"",INDEX(对接源_01水果!$B$4:$B$1203,$AF142)),IF(INDEX(对接源_02物料!$B$4:$B$1203,$AF142-1200)=0,"",INDEX(对接源_02物料!$B$4:$B$1203,$AF142-1200))))</f>
        <v>46274</v>
      </c>
      <c r="B142" s="46" t="str">
        <f aca="false">IF($AF142="","",IF($AF142&lt;=1200,IF(INDEX(对接源_01水果!$E$4:$E$1203,$AF142)=0,"",INDEX(对接源_01水果!$E$4:$E$1203,$AF142)),IF(INDEX(对接源_02物料!$E$4:$E$1203,$AF142-1200)=0,"",INDEX(对接源_02物料!$E$4:$E$1203,$AF142-1200))))</f>
        <v>NO:0001101</v>
      </c>
      <c r="C142" s="46" t="str">
        <f aca="false">IF($AF142="","",IF($AF142&lt;=1200,IF(INDEX(对接源_01水果!$F$4:$F$1203,$AF142)=0,"",INDEX(对接源_01水果!$F$4:$F$1203,$AF142)),IF(INDEX(对接源_02物料!$F$4:$F$1203,$AF142-1200)=0,"",INDEX(对接源_02物料!$F$4:$F$1203,$AF142-1200))))</f>
        <v>苹果</v>
      </c>
      <c r="D142" s="46" t="str">
        <f aca="false">IF($AF142="","",IF($AF142&lt;=1200,IF(INDEX(对接源_01水果!$G$4:$G$1203,$AF142)=0,"",INDEX(对接源_01水果!$G$4:$G$1203,$AF142)),IF(INDEX(对接源_02物料!$G$4:$G$1203,$AF142-1200)=0,"",INDEX(对接源_02物料!$G$4:$G$1203,$AF142-1200))))</f>
        <v>华硕高次</v>
      </c>
      <c r="E142" s="48" t="n">
        <f aca="false">IF($AF142="","",IF($AF142&lt;=1200,IF(INDEX(对接源_01水果!$H$4:$H$1203,$AF142)=0,"",INDEX(对接源_01水果!$H$4:$H$1203,$AF142)),IF(INDEX(对接源_02物料!$H$4:$H$1203,$AF142-1200)=0,"",INDEX(对接源_02物料!$H$4:$H$1203,$AF142-1200))))</f>
        <v>129</v>
      </c>
      <c r="F142" s="46" t="str">
        <f aca="false">IF($AF142="","",IF($AF142&lt;=1200,IF(INDEX(对接源_01水果!$I$4:$I$1203,$AF142)=0,"",INDEX(对接源_01水果!$I$4:$I$1203,$AF142)),IF(INDEX(对接源_02物料!$I$4:$I$1203,$AF142-1200)=0,"",INDEX(对接源_02物料!$I$4:$I$1203,$AF142-1200))))</f>
        <v>筐</v>
      </c>
      <c r="G142" s="56" t="str">
        <f aca="false">IF($AF142="","",IF($AF142&lt;=1200,IF(INDEX(对接源_01水果!$J$4:$J$1203,$AF142)=0,"",INDEX(对接源_01水果!$J$4:$J$1203,$AF142)),IF(INDEX(对接源_02物料!$J$4:$J$1203,$AF142-1200)=0,"",INDEX(对接源_02物料!$J$4:$J$1203,$AF142-1200))))</f>
        <v/>
      </c>
      <c r="H142" s="46" t="str">
        <f aca="false"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I142" s="46" t="str">
        <f aca="false">IF($AF142="","",IF($AF142&lt;=1200,IF(INDEX(对接源_01水果!$D$4:$D$1203,$AF142)=0,"",INDEX(对接源_01水果!$D$4:$D$1203,$AF142)),IF(INDEX(对接源_02物料!$D$4:$D$1203,$AF142-1200)=0,"",INDEX(对接源_02物料!$D$4:$D$1203,$AF142-1200))))</f>
        <v>原料出库－出库加工</v>
      </c>
      <c r="J142" s="47" t="str">
        <f aca="false">IF($AF142="","",IF($AF142&lt;=1200,IF(INDEX(对接源_01水果!$M$4:$M$1203,$AF142)=0,"",INDEX(对接源_01水果!$M$4:$M$1203,$AF142)),IF(INDEX(对接源_02物料!$M$4:$M$1203,$AF142-1200)=0,"",INDEX(对接源_02物料!$M$4:$M$1203,$AF142-1200))))</f>
        <v>华硕原料全部出库</v>
      </c>
      <c r="AF142" s="44" t="n">
        <f aca="false">IFERROR(MATCH(14,_自动清单!$AC$4:$AC$2403,0),"")</f>
        <v>262</v>
      </c>
      <c r="AL142" s="44" t="str">
        <f aca="false">IF($D142="","",$D142)</f>
        <v>华硕高次</v>
      </c>
      <c r="AM142" s="44" t="n">
        <f aca="false">IF(AL142="",0,IF(MATCH(AL142,AL$129:AL$208,0)=14,1,0))</f>
        <v>0</v>
      </c>
      <c r="AN142" s="44" t="n">
        <f aca="false">N(AN141)+AM142</f>
        <v>4</v>
      </c>
    </row>
    <row r="143" customFormat="false" ht="18" hidden="false" customHeight="true" outlineLevel="0" collapsed="false">
      <c r="A143" s="40" t="n">
        <f aca="false">IF($AF143="","",IF($AF143&lt;=1200,IF(INDEX(对接源_01水果!$B$4:$B$1203,$AF143)=0,"",INDEX(对接源_01水果!$B$4:$B$1203,$AF143)),IF(INDEX(对接源_02物料!$B$4:$B$1203,$AF143-1200)=0,"",INDEX(对接源_02物料!$B$4:$B$1203,$AF143-1200))))</f>
        <v>46277</v>
      </c>
      <c r="B143" s="41" t="str">
        <f aca="false">IF($AF143="","",IF($AF143&lt;=1200,IF(INDEX(对接源_01水果!$E$4:$E$1203,$AF143)=0,"",INDEX(对接源_01水果!$E$4:$E$1203,$AF143)),IF(INDEX(对接源_02物料!$E$4:$E$1203,$AF143-1200)=0,"",INDEX(对接源_02物料!$E$4:$E$1203,$AF143-1200))))</f>
        <v>NO:0001123</v>
      </c>
      <c r="C143" s="41" t="str">
        <f aca="false">IF($AF143="","",IF($AF143&lt;=1200,IF(INDEX(对接源_01水果!$F$4:$F$1203,$AF143)=0,"",INDEX(对接源_01水果!$F$4:$F$1203,$AF143)),IF(INDEX(对接源_02物料!$F$4:$F$1203,$AF143-1200)=0,"",INDEX(对接源_02物料!$F$4:$F$1203,$AF143-1200))))</f>
        <v>香梨</v>
      </c>
      <c r="D143" s="41" t="str">
        <f aca="false">IF($AF143="","",IF($AF143&lt;=1200,IF(INDEX(对接源_01水果!$G$4:$G$1203,$AF143)=0,"",INDEX(对接源_01水果!$G$4:$G$1203,$AF143)),IF(INDEX(对接源_02物料!$G$4:$G$1203,$AF143-1200)=0,"",INDEX(对接源_02物料!$G$4:$G$1203,$AF143-1200))))</f>
        <v>香梨一级</v>
      </c>
      <c r="E143" s="43" t="n">
        <f aca="false">IF($AF143="","",IF($AF143&lt;=1200,IF(INDEX(对接源_01水果!$H$4:$H$1203,$AF143)=0,"",INDEX(对接源_01水果!$H$4:$H$1203,$AF143)),IF(INDEX(对接源_02物料!$H$4:$H$1203,$AF143-1200)=0,"",INDEX(对接源_02物料!$H$4:$H$1203,$AF143-1200))))</f>
        <v>2</v>
      </c>
      <c r="F143" s="41" t="str">
        <f aca="false">IF($AF143="","",IF($AF143&lt;=1200,IF(INDEX(对接源_01水果!$I$4:$I$1203,$AF143)=0,"",INDEX(对接源_01水果!$I$4:$I$1203,$AF143)),IF(INDEX(对接源_02物料!$I$4:$I$1203,$AF143-1200)=0,"",INDEX(对接源_02物料!$I$4:$I$1203,$AF143-1200))))</f>
        <v>筐</v>
      </c>
      <c r="G143" s="55" t="str">
        <f aca="false">IF($AF143="","",IF($AF143&lt;=1200,IF(INDEX(对接源_01水果!$J$4:$J$1203,$AF143)=0,"",INDEX(对接源_01水果!$J$4:$J$1203,$AF143)),IF(INDEX(对接源_02物料!$J$4:$J$1203,$AF143-1200)=0,"",INDEX(对接源_02物料!$J$4:$J$1203,$AF143-1200))))</f>
        <v/>
      </c>
      <c r="H143" s="41" t="str">
        <f aca="false"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I143" s="41" t="str">
        <f aca="false">IF($AF143="","",IF($AF143&lt;=1200,IF(INDEX(对接源_01水果!$D$4:$D$1203,$AF143)=0,"",INDEX(对接源_01水果!$D$4:$D$1203,$AF143)),IF(INDEX(对接源_02物料!$D$4:$D$1203,$AF143-1200)=0,"",INDEX(对接源_02物料!$D$4:$D$1203,$AF143-1200))))</f>
        <v>原料出库－出库加工</v>
      </c>
      <c r="J143" s="42" t="str">
        <f aca="false"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44" t="n">
        <f aca="false">IFERROR(MATCH(15,_自动清单!$AC$4:$AC$2403,0),"")</f>
        <v>265</v>
      </c>
      <c r="AL143" s="44" t="str">
        <f aca="false">IF($D143="","",$D143)</f>
        <v>香梨一级</v>
      </c>
      <c r="AM143" s="44" t="n">
        <f aca="false">IF(AL143="",0,IF(MATCH(AL143,AL$129:AL$208,0)=15,1,0))</f>
        <v>1</v>
      </c>
      <c r="AN143" s="44" t="n">
        <f aca="false">N(AN142)+AM143</f>
        <v>5</v>
      </c>
    </row>
    <row r="144" customFormat="false" ht="18" hidden="false" customHeight="true" outlineLevel="0" collapsed="false">
      <c r="A144" s="45" t="n">
        <f aca="false">IF($AF144="","",IF($AF144&lt;=1200,IF(INDEX(对接源_01水果!$B$4:$B$1203,$AF144)=0,"",INDEX(对接源_01水果!$B$4:$B$1203,$AF144)),IF(INDEX(对接源_02物料!$B$4:$B$1203,$AF144-1200)=0,"",INDEX(对接源_02物料!$B$4:$B$1203,$AF144-1200))))</f>
        <v>46278</v>
      </c>
      <c r="B144" s="46" t="str">
        <f aca="false">IF($AF144="","",IF($AF144&lt;=1200,IF(INDEX(对接源_01水果!$E$4:$E$1203,$AF144)=0,"",INDEX(对接源_01水果!$E$4:$E$1203,$AF144)),IF(INDEX(对接源_02物料!$E$4:$E$1203,$AF144-1200)=0,"",INDEX(对接源_02物料!$E$4:$E$1203,$AF144-1200))))</f>
        <v>NO:0001127</v>
      </c>
      <c r="C144" s="46" t="str">
        <f aca="false">IF($AF144="","",IF($AF144&lt;=1200,IF(INDEX(对接源_01水果!$F$4:$F$1203,$AF144)=0,"",INDEX(对接源_01水果!$F$4:$F$1203,$AF144)),IF(INDEX(对接源_02物料!$F$4:$F$1203,$AF144-1200)=0,"",INDEX(对接源_02物料!$F$4:$F$1203,$AF144-1200))))</f>
        <v>苹果</v>
      </c>
      <c r="D144" s="46" t="str">
        <f aca="false">IF($AF144="","",IF($AF144&lt;=1200,IF(INDEX(对接源_01水果!$G$4:$G$1203,$AF144)=0,"",INDEX(对接源_01水果!$G$4:$G$1203,$AF144)),IF(INDEX(对接源_02物料!$G$4:$G$1203,$AF144-1200)=0,"",INDEX(对接源_02物料!$G$4:$G$1203,$AF144-1200))))</f>
        <v>新世纪一级</v>
      </c>
      <c r="E144" s="48" t="n">
        <f aca="false">IF($AF144="","",IF($AF144&lt;=1200,IF(INDEX(对接源_01水果!$H$4:$H$1203,$AF144)=0,"",INDEX(对接源_01水果!$H$4:$H$1203,$AF144)),IF(INDEX(对接源_02物料!$H$4:$H$1203,$AF144-1200)=0,"",INDEX(对接源_02物料!$H$4:$H$1203,$AF144-1200))))</f>
        <v>110</v>
      </c>
      <c r="F144" s="46" t="str">
        <f aca="false">IF($AF144="","",IF($AF144&lt;=1200,IF(INDEX(对接源_01水果!$I$4:$I$1203,$AF144)=0,"",INDEX(对接源_01水果!$I$4:$I$1203,$AF144)),IF(INDEX(对接源_02物料!$I$4:$I$1203,$AF144-1200)=0,"",INDEX(对接源_02物料!$I$4:$I$1203,$AF144-1200))))</f>
        <v>筐</v>
      </c>
      <c r="G144" s="56" t="str">
        <f aca="false">IF($AF144="","",IF($AF144&lt;=1200,IF(INDEX(对接源_01水果!$J$4:$J$1203,$AF144)=0,"",INDEX(对接源_01水果!$J$4:$J$1203,$AF144)),IF(INDEX(对接源_02物料!$J$4:$J$1203,$AF144-1200)=0,"",INDEX(对接源_02物料!$J$4:$J$1203,$AF144-1200))))</f>
        <v/>
      </c>
      <c r="H144" s="46" t="str">
        <f aca="false"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I144" s="46" t="str">
        <f aca="false">IF($AF144="","",IF($AF144&lt;=1200,IF(INDEX(对接源_01水果!$D$4:$D$1203,$AF144)=0,"",INDEX(对接源_01水果!$D$4:$D$1203,$AF144)),IF(INDEX(对接源_02物料!$D$4:$D$1203,$AF144-1200)=0,"",INDEX(对接源_02物料!$D$4:$D$1203,$AF144-1200))))</f>
        <v>原料出库－出库加工</v>
      </c>
      <c r="J144" s="47" t="str">
        <f aca="false"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44" t="n">
        <f aca="false">IFERROR(MATCH(16,_自动清单!$AC$4:$AC$2403,0),"")</f>
        <v>266</v>
      </c>
      <c r="AL144" s="44" t="str">
        <f aca="false">IF($D144="","",$D144)</f>
        <v>新世纪一级</v>
      </c>
      <c r="AM144" s="44" t="n">
        <f aca="false">IF(AL144="",0,IF(MATCH(AL144,AL$129:AL$208,0)=16,1,0))</f>
        <v>1</v>
      </c>
      <c r="AN144" s="44" t="n">
        <f aca="false">N(AN143)+AM144</f>
        <v>6</v>
      </c>
    </row>
    <row r="145" customFormat="false" ht="18" hidden="false" customHeight="true" outlineLevel="0" collapsed="false">
      <c r="A145" s="40" t="n">
        <f aca="false">IF($AF145="","",IF($AF145&lt;=1200,IF(INDEX(对接源_01水果!$B$4:$B$1203,$AF145)=0,"",INDEX(对接源_01水果!$B$4:$B$1203,$AF145)),IF(INDEX(对接源_02物料!$B$4:$B$1203,$AF145-1200)=0,"",INDEX(对接源_02物料!$B$4:$B$1203,$AF145-1200))))</f>
        <v>46279</v>
      </c>
      <c r="B145" s="41" t="str">
        <f aca="false">IF($AF145="","",IF($AF145&lt;=1200,IF(INDEX(对接源_01水果!$E$4:$E$1203,$AF145)=0,"",INDEX(对接源_01水果!$E$4:$E$1203,$AF145)),IF(INDEX(对接源_02物料!$E$4:$E$1203,$AF145-1200)=0,"",INDEX(对接源_02物料!$E$4:$E$1203,$AF145-1200))))</f>
        <v>NO:0001139</v>
      </c>
      <c r="C145" s="41" t="str">
        <f aca="false">IF($AF145="","",IF($AF145&lt;=1200,IF(INDEX(对接源_01水果!$F$4:$F$1203,$AF145)=0,"",INDEX(对接源_01水果!$F$4:$F$1203,$AF145)),IF(INDEX(对接源_02物料!$F$4:$F$1203,$AF145-1200)=0,"",INDEX(对接源_02物料!$F$4:$F$1203,$AF145-1200))))</f>
        <v>苹果</v>
      </c>
      <c r="D145" s="41" t="str">
        <f aca="false">IF($AF145="","",IF($AF145&lt;=1200,IF(INDEX(对接源_01水果!$G$4:$G$1203,$AF145)=0,"",INDEX(对接源_01水果!$G$4:$G$1203,$AF145)),IF(INDEX(对接源_02物料!$G$4:$G$1203,$AF145-1200)=0,"",INDEX(对接源_02物料!$G$4:$G$1203,$AF145-1200))))</f>
        <v>新世纪特级</v>
      </c>
      <c r="E145" s="43" t="n">
        <f aca="false">IF($AF145="","",IF($AF145&lt;=1200,IF(INDEX(对接源_01水果!$H$4:$H$1203,$AF145)=0,"",INDEX(对接源_01水果!$H$4:$H$1203,$AF145)),IF(INDEX(对接源_02物料!$H$4:$H$1203,$AF145-1200)=0,"",INDEX(对接源_02物料!$H$4:$H$1203,$AF145-1200))))</f>
        <v>73</v>
      </c>
      <c r="F145" s="41" t="str">
        <f aca="false">IF($AF145="","",IF($AF145&lt;=1200,IF(INDEX(对接源_01水果!$I$4:$I$1203,$AF145)=0,"",INDEX(对接源_01水果!$I$4:$I$1203,$AF145)),IF(INDEX(对接源_02物料!$I$4:$I$1203,$AF145-1200)=0,"",INDEX(对接源_02物料!$I$4:$I$1203,$AF145-1200))))</f>
        <v>筐</v>
      </c>
      <c r="G145" s="55" t="str">
        <f aca="false">IF($AF145="","",IF($AF145&lt;=1200,IF(INDEX(对接源_01水果!$J$4:$J$1203,$AF145)=0,"",INDEX(对接源_01水果!$J$4:$J$1203,$AF145)),IF(INDEX(对接源_02物料!$J$4:$J$1203,$AF145-1200)=0,"",INDEX(对接源_02物料!$J$4:$J$1203,$AF145-1200))))</f>
        <v/>
      </c>
      <c r="H145" s="41" t="str">
        <f aca="false"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I145" s="41" t="str">
        <f aca="false">IF($AF145="","",IF($AF145&lt;=1200,IF(INDEX(对接源_01水果!$D$4:$D$1203,$AF145)=0,"",INDEX(对接源_01水果!$D$4:$D$1203,$AF145)),IF(INDEX(对接源_02物料!$D$4:$D$1203,$AF145-1200)=0,"",INDEX(对接源_02物料!$D$4:$D$1203,$AF145-1200))))</f>
        <v>原料出库－出库加工</v>
      </c>
      <c r="J145" s="42" t="str">
        <f aca="false"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44" t="n">
        <f aca="false">IFERROR(MATCH(17,_自动清单!$AC$4:$AC$2403,0),"")</f>
        <v>267</v>
      </c>
      <c r="AL145" s="44" t="str">
        <f aca="false">IF($D145="","",$D145)</f>
        <v>新世纪特级</v>
      </c>
      <c r="AM145" s="44" t="n">
        <f aca="false">IF(AL145="",0,IF(MATCH(AL145,AL$129:AL$208,0)=17,1,0))</f>
        <v>1</v>
      </c>
      <c r="AN145" s="44" t="n">
        <f aca="false">N(AN144)+AM145</f>
        <v>7</v>
      </c>
    </row>
    <row r="146" customFormat="false" ht="18" hidden="false" customHeight="true" outlineLevel="0" collapsed="false">
      <c r="A146" s="45" t="n">
        <f aca="false">IF($AF146="","",IF($AF146&lt;=1200,IF(INDEX(对接源_01水果!$B$4:$B$1203,$AF146)=0,"",INDEX(对接源_01水果!$B$4:$B$1203,$AF146)),IF(INDEX(对接源_02物料!$B$4:$B$1203,$AF146-1200)=0,"",INDEX(对接源_02物料!$B$4:$B$1203,$AF146-1200))))</f>
        <v>46279</v>
      </c>
      <c r="B146" s="46" t="str">
        <f aca="false">IF($AF146="","",IF($AF146&lt;=1200,IF(INDEX(对接源_01水果!$E$4:$E$1203,$AF146)=0,"",INDEX(对接源_01水果!$E$4:$E$1203,$AF146)),IF(INDEX(对接源_02物料!$E$4:$E$1203,$AF146-1200)=0,"",INDEX(对接源_02物料!$E$4:$E$1203,$AF146-1200))))</f>
        <v>NO:0001139</v>
      </c>
      <c r="C146" s="46" t="str">
        <f aca="false">IF($AF146="","",IF($AF146&lt;=1200,IF(INDEX(对接源_01水果!$F$4:$F$1203,$AF146)=0,"",INDEX(对接源_01水果!$F$4:$F$1203,$AF146)),IF(INDEX(对接源_02物料!$F$4:$F$1203,$AF146-1200)=0,"",INDEX(对接源_02物料!$F$4:$F$1203,$AF146-1200))))</f>
        <v>苹果</v>
      </c>
      <c r="D146" s="46" t="str">
        <f aca="false">IF($AF146="","",IF($AF146&lt;=1200,IF(INDEX(对接源_01水果!$G$4:$G$1203,$AF146)=0,"",INDEX(对接源_01水果!$G$4:$G$1203,$AF146)),IF(INDEX(对接源_02物料!$G$4:$G$1203,$AF146-1200)=0,"",INDEX(对接源_02物料!$G$4:$G$1203,$AF146-1200))))</f>
        <v>新世纪一级</v>
      </c>
      <c r="E146" s="48" t="n">
        <f aca="false">IF($AF146="","",IF($AF146&lt;=1200,IF(INDEX(对接源_01水果!$H$4:$H$1203,$AF146)=0,"",INDEX(对接源_01水果!$H$4:$H$1203,$AF146)),IF(INDEX(对接源_02物料!$H$4:$H$1203,$AF146-1200)=0,"",INDEX(对接源_02物料!$H$4:$H$1203,$AF146-1200))))</f>
        <v>86</v>
      </c>
      <c r="F146" s="46" t="str">
        <f aca="false">IF($AF146="","",IF($AF146&lt;=1200,IF(INDEX(对接源_01水果!$I$4:$I$1203,$AF146)=0,"",INDEX(对接源_01水果!$I$4:$I$1203,$AF146)),IF(INDEX(对接源_02物料!$I$4:$I$1203,$AF146-1200)=0,"",INDEX(对接源_02物料!$I$4:$I$1203,$AF146-1200))))</f>
        <v>筐</v>
      </c>
      <c r="G146" s="56" t="str">
        <f aca="false">IF($AF146="","",IF($AF146&lt;=1200,IF(INDEX(对接源_01水果!$J$4:$J$1203,$AF146)=0,"",INDEX(对接源_01水果!$J$4:$J$1203,$AF146)),IF(INDEX(对接源_02物料!$J$4:$J$1203,$AF146-1200)=0,"",INDEX(对接源_02物料!$J$4:$J$1203,$AF146-1200))))</f>
        <v/>
      </c>
      <c r="H146" s="46" t="str">
        <f aca="false"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I146" s="46" t="str">
        <f aca="false">IF($AF146="","",IF($AF146&lt;=1200,IF(INDEX(对接源_01水果!$D$4:$D$1203,$AF146)=0,"",INDEX(对接源_01水果!$D$4:$D$1203,$AF146)),IF(INDEX(对接源_02物料!$D$4:$D$1203,$AF146-1200)=0,"",INDEX(对接源_02物料!$D$4:$D$1203,$AF146-1200))))</f>
        <v>原料出库－出库加工</v>
      </c>
      <c r="J146" s="47" t="str">
        <f aca="false"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44" t="n">
        <f aca="false">IFERROR(MATCH(18,_自动清单!$AC$4:$AC$2403,0),"")</f>
        <v>268</v>
      </c>
      <c r="AL146" s="44" t="str">
        <f aca="false">IF($D146="","",$D146)</f>
        <v>新世纪一级</v>
      </c>
      <c r="AM146" s="44" t="n">
        <f aca="false">IF(AL146="",0,IF(MATCH(AL146,AL$129:AL$208,0)=18,1,0))</f>
        <v>0</v>
      </c>
      <c r="AN146" s="44" t="n">
        <f aca="false">N(AN145)+AM146</f>
        <v>7</v>
      </c>
    </row>
    <row r="147" customFormat="false" ht="18" hidden="false" customHeight="true" outlineLevel="0" collapsed="false">
      <c r="A147" s="40" t="n">
        <f aca="false">IF($AF147="","",IF($AF147&lt;=1200,IF(INDEX(对接源_01水果!$B$4:$B$1203,$AF147)=0,"",INDEX(对接源_01水果!$B$4:$B$1203,$AF147)),IF(INDEX(对接源_02物料!$B$4:$B$1203,$AF147-1200)=0,"",INDEX(对接源_02物料!$B$4:$B$1203,$AF147-1200))))</f>
        <v>46279</v>
      </c>
      <c r="B147" s="41" t="str">
        <f aca="false">IF($AF147="","",IF($AF147&lt;=1200,IF(INDEX(对接源_01水果!$E$4:$E$1203,$AF147)=0,"",INDEX(对接源_01水果!$E$4:$E$1203,$AF147)),IF(INDEX(对接源_02物料!$E$4:$E$1203,$AF147-1200)=0,"",INDEX(对接源_02物料!$E$4:$E$1203,$AF147-1200))))</f>
        <v>NO:0001139</v>
      </c>
      <c r="C147" s="41" t="str">
        <f aca="false">IF($AF147="","",IF($AF147&lt;=1200,IF(INDEX(对接源_01水果!$F$4:$F$1203,$AF147)=0,"",INDEX(对接源_01水果!$F$4:$F$1203,$AF147)),IF(INDEX(对接源_02物料!$F$4:$F$1203,$AF147-1200)=0,"",INDEX(对接源_02物料!$F$4:$F$1203,$AF147-1200))))</f>
        <v>香梨</v>
      </c>
      <c r="D147" s="41" t="str">
        <f aca="false">IF($AF147="","",IF($AF147&lt;=1200,IF(INDEX(对接源_01水果!$G$4:$G$1203,$AF147)=0,"",INDEX(对接源_01水果!$G$4:$G$1203,$AF147)),IF(INDEX(对接源_02物料!$G$4:$G$1203,$AF147-1200)=0,"",INDEX(对接源_02物料!$G$4:$G$1203,$AF147-1200))))</f>
        <v>香梨一级</v>
      </c>
      <c r="E147" s="43" t="n">
        <f aca="false">IF($AF147="","",IF($AF147&lt;=1200,IF(INDEX(对接源_01水果!$H$4:$H$1203,$AF147)=0,"",INDEX(对接源_01水果!$H$4:$H$1203,$AF147)),IF(INDEX(对接源_02物料!$H$4:$H$1203,$AF147-1200)=0,"",INDEX(对接源_02物料!$H$4:$H$1203,$AF147-1200))))</f>
        <v>1</v>
      </c>
      <c r="F147" s="41" t="str">
        <f aca="false">IF($AF147="","",IF($AF147&lt;=1200,IF(INDEX(对接源_01水果!$I$4:$I$1203,$AF147)=0,"",INDEX(对接源_01水果!$I$4:$I$1203,$AF147)),IF(INDEX(对接源_02物料!$I$4:$I$1203,$AF147-1200)=0,"",INDEX(对接源_02物料!$I$4:$I$1203,$AF147-1200))))</f>
        <v>筐</v>
      </c>
      <c r="G147" s="55" t="str">
        <f aca="false">IF($AF147="","",IF($AF147&lt;=1200,IF(INDEX(对接源_01水果!$J$4:$J$1203,$AF147)=0,"",INDEX(对接源_01水果!$J$4:$J$1203,$AF147)),IF(INDEX(对接源_02物料!$J$4:$J$1203,$AF147-1200)=0,"",INDEX(对接源_02物料!$J$4:$J$1203,$AF147-1200))))</f>
        <v/>
      </c>
      <c r="H147" s="41" t="str">
        <f aca="false"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I147" s="41" t="str">
        <f aca="false">IF($AF147="","",IF($AF147&lt;=1200,IF(INDEX(对接源_01水果!$D$4:$D$1203,$AF147)=0,"",INDEX(对接源_01水果!$D$4:$D$1203,$AF147)),IF(INDEX(对接源_02物料!$D$4:$D$1203,$AF147-1200)=0,"",INDEX(对接源_02物料!$D$4:$D$1203,$AF147-1200))))</f>
        <v>原料出库－出库加工</v>
      </c>
      <c r="J147" s="42" t="str">
        <f aca="false"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44" t="n">
        <f aca="false">IFERROR(MATCH(19,_自动清单!$AC$4:$AC$2403,0),"")</f>
        <v>269</v>
      </c>
      <c r="AL147" s="44" t="str">
        <f aca="false">IF($D147="","",$D147)</f>
        <v>香梨一级</v>
      </c>
      <c r="AM147" s="44" t="n">
        <f aca="false">IF(AL147="",0,IF(MATCH(AL147,AL$129:AL$208,0)=19,1,0))</f>
        <v>0</v>
      </c>
      <c r="AN147" s="44" t="n">
        <f aca="false">N(AN146)+AM147</f>
        <v>7</v>
      </c>
    </row>
    <row r="148" customFormat="false" ht="18" hidden="false" customHeight="true" outlineLevel="0" collapsed="false">
      <c r="A148" s="45" t="str">
        <f aca="false"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46" t="str">
        <f aca="false"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46" t="str">
        <f aca="false">IF($AF148="","",IF($AF148&lt;=1200,IF(INDEX(对接源_01水果!$F$4:$F$1203,$AF148)=0,"",INDEX(对接源_01水果!$F$4:$F$1203,$AF148)),IF(INDEX(对接源_02物料!$F$4:$F$1203,$AF148-1200)=0,"",INDEX(对接源_02物料!$F$4:$F$1203,$AF148-1200))))</f>
        <v/>
      </c>
      <c r="D148" s="46" t="str">
        <f aca="false">IF($AF148="","",IF($AF148&lt;=1200,IF(INDEX(对接源_01水果!$G$4:$G$1203,$AF148)=0,"",INDEX(对接源_01水果!$G$4:$G$1203,$AF148)),IF(INDEX(对接源_02物料!$G$4:$G$1203,$AF148-1200)=0,"",INDEX(对接源_02物料!$G$4:$G$1203,$AF148-1200))))</f>
        <v/>
      </c>
      <c r="E148" s="48" t="str">
        <f aca="false">IF($AF148="","",IF($AF148&lt;=1200,IF(INDEX(对接源_01水果!$H$4:$H$1203,$AF148)=0,"",INDEX(对接源_01水果!$H$4:$H$1203,$AF148)),IF(INDEX(对接源_02物料!$H$4:$H$1203,$AF148-1200)=0,"",INDEX(对接源_02物料!$H$4:$H$1203,$AF148-1200))))</f>
        <v/>
      </c>
      <c r="F148" s="46" t="str">
        <f aca="false">IF($AF148="","",IF($AF148&lt;=1200,IF(INDEX(对接源_01水果!$I$4:$I$1203,$AF148)=0,"",INDEX(对接源_01水果!$I$4:$I$1203,$AF148)),IF(INDEX(对接源_02物料!$I$4:$I$1203,$AF148-1200)=0,"",INDEX(对接源_02物料!$I$4:$I$1203,$AF148-1200))))</f>
        <v/>
      </c>
      <c r="G148" s="56" t="str">
        <f aca="false">IF($AF148="","",IF($AF148&lt;=1200,IF(INDEX(对接源_01水果!$J$4:$J$1203,$AF148)=0,"",INDEX(对接源_01水果!$J$4:$J$1203,$AF148)),IF(INDEX(对接源_02物料!$J$4:$J$1203,$AF148-1200)=0,"",INDEX(对接源_02物料!$J$4:$J$1203,$AF148-1200))))</f>
        <v/>
      </c>
      <c r="H148" s="46" t="str">
        <f aca="false"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I148" s="46" t="str">
        <f aca="false"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J148" s="47" t="str">
        <f aca="false"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44" t="str">
        <f aca="false">IFERROR(MATCH(20,_自动清单!$AC$4:$AC$2403,0),"")</f>
        <v/>
      </c>
      <c r="AL148" s="44" t="str">
        <f aca="false">IF($D148="","",$D148)</f>
        <v/>
      </c>
      <c r="AM148" s="44" t="n">
        <f aca="false">IF(AL148="",0,IF(MATCH(AL148,AL$129:AL$208,0)=20,1,0))</f>
        <v>0</v>
      </c>
      <c r="AN148" s="44" t="n">
        <f aca="false">N(AN147)+AM148</f>
        <v>7</v>
      </c>
    </row>
    <row r="149" customFormat="false" ht="18" hidden="false" customHeight="true" outlineLevel="0" collapsed="false">
      <c r="A149" s="40" t="str">
        <f aca="false"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41" t="str">
        <f aca="false"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41" t="str">
        <f aca="false">IF($AF149="","",IF($AF149&lt;=1200,IF(INDEX(对接源_01水果!$F$4:$F$1203,$AF149)=0,"",INDEX(对接源_01水果!$F$4:$F$1203,$AF149)),IF(INDEX(对接源_02物料!$F$4:$F$1203,$AF149-1200)=0,"",INDEX(对接源_02物料!$F$4:$F$1203,$AF149-1200))))</f>
        <v/>
      </c>
      <c r="D149" s="41" t="str">
        <f aca="false">IF($AF149="","",IF($AF149&lt;=1200,IF(INDEX(对接源_01水果!$G$4:$G$1203,$AF149)=0,"",INDEX(对接源_01水果!$G$4:$G$1203,$AF149)),IF(INDEX(对接源_02物料!$G$4:$G$1203,$AF149-1200)=0,"",INDEX(对接源_02物料!$G$4:$G$1203,$AF149-1200))))</f>
        <v/>
      </c>
      <c r="E149" s="43" t="str">
        <f aca="false">IF($AF149="","",IF($AF149&lt;=1200,IF(INDEX(对接源_01水果!$H$4:$H$1203,$AF149)=0,"",INDEX(对接源_01水果!$H$4:$H$1203,$AF149)),IF(INDEX(对接源_02物料!$H$4:$H$1203,$AF149-1200)=0,"",INDEX(对接源_02物料!$H$4:$H$1203,$AF149-1200))))</f>
        <v/>
      </c>
      <c r="F149" s="41" t="str">
        <f aca="false">IF($AF149="","",IF($AF149&lt;=1200,IF(INDEX(对接源_01水果!$I$4:$I$1203,$AF149)=0,"",INDEX(对接源_01水果!$I$4:$I$1203,$AF149)),IF(INDEX(对接源_02物料!$I$4:$I$1203,$AF149-1200)=0,"",INDEX(对接源_02物料!$I$4:$I$1203,$AF149-1200))))</f>
        <v/>
      </c>
      <c r="G149" s="55" t="str">
        <f aca="false">IF($AF149="","",IF($AF149&lt;=1200,IF(INDEX(对接源_01水果!$J$4:$J$1203,$AF149)=0,"",INDEX(对接源_01水果!$J$4:$J$1203,$AF149)),IF(INDEX(对接源_02物料!$J$4:$J$1203,$AF149-1200)=0,"",INDEX(对接源_02物料!$J$4:$J$1203,$AF149-1200))))</f>
        <v/>
      </c>
      <c r="H149" s="41" t="str">
        <f aca="false"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I149" s="41" t="str">
        <f aca="false"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J149" s="42" t="str">
        <f aca="false"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44" t="str">
        <f aca="false">IFERROR(MATCH(21,_自动清单!$AC$4:$AC$2403,0),"")</f>
        <v/>
      </c>
      <c r="AL149" s="44" t="str">
        <f aca="false">IF($D149="","",$D149)</f>
        <v/>
      </c>
      <c r="AM149" s="44" t="n">
        <f aca="false">IF(AL149="",0,IF(MATCH(AL149,AL$129:AL$208,0)=21,1,0))</f>
        <v>0</v>
      </c>
      <c r="AN149" s="44" t="n">
        <f aca="false">N(AN148)+AM149</f>
        <v>7</v>
      </c>
    </row>
    <row r="150" customFormat="false" ht="18" hidden="false" customHeight="true" outlineLevel="0" collapsed="false">
      <c r="A150" s="45" t="str">
        <f aca="false"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46" t="str">
        <f aca="false"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46" t="str">
        <f aca="false">IF($AF150="","",IF($AF150&lt;=1200,IF(INDEX(对接源_01水果!$F$4:$F$1203,$AF150)=0,"",INDEX(对接源_01水果!$F$4:$F$1203,$AF150)),IF(INDEX(对接源_02物料!$F$4:$F$1203,$AF150-1200)=0,"",INDEX(对接源_02物料!$F$4:$F$1203,$AF150-1200))))</f>
        <v/>
      </c>
      <c r="D150" s="46" t="str">
        <f aca="false">IF($AF150="","",IF($AF150&lt;=1200,IF(INDEX(对接源_01水果!$G$4:$G$1203,$AF150)=0,"",INDEX(对接源_01水果!$G$4:$G$1203,$AF150)),IF(INDEX(对接源_02物料!$G$4:$G$1203,$AF150-1200)=0,"",INDEX(对接源_02物料!$G$4:$G$1203,$AF150-1200))))</f>
        <v/>
      </c>
      <c r="E150" s="48" t="str">
        <f aca="false">IF($AF150="","",IF($AF150&lt;=1200,IF(INDEX(对接源_01水果!$H$4:$H$1203,$AF150)=0,"",INDEX(对接源_01水果!$H$4:$H$1203,$AF150)),IF(INDEX(对接源_02物料!$H$4:$H$1203,$AF150-1200)=0,"",INDEX(对接源_02物料!$H$4:$H$1203,$AF150-1200))))</f>
        <v/>
      </c>
      <c r="F150" s="46" t="str">
        <f aca="false">IF($AF150="","",IF($AF150&lt;=1200,IF(INDEX(对接源_01水果!$I$4:$I$1203,$AF150)=0,"",INDEX(对接源_01水果!$I$4:$I$1203,$AF150)),IF(INDEX(对接源_02物料!$I$4:$I$1203,$AF150-1200)=0,"",INDEX(对接源_02物料!$I$4:$I$1203,$AF150-1200))))</f>
        <v/>
      </c>
      <c r="G150" s="56" t="str">
        <f aca="false">IF($AF150="","",IF($AF150&lt;=1200,IF(INDEX(对接源_01水果!$J$4:$J$1203,$AF150)=0,"",INDEX(对接源_01水果!$J$4:$J$1203,$AF150)),IF(INDEX(对接源_02物料!$J$4:$J$1203,$AF150-1200)=0,"",INDEX(对接源_02物料!$J$4:$J$1203,$AF150-1200))))</f>
        <v/>
      </c>
      <c r="H150" s="46" t="str">
        <f aca="false"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I150" s="46" t="str">
        <f aca="false"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J150" s="47" t="str">
        <f aca="false"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44" t="str">
        <f aca="false">IFERROR(MATCH(22,_自动清单!$AC$4:$AC$2403,0),"")</f>
        <v/>
      </c>
      <c r="AL150" s="44" t="str">
        <f aca="false">IF($D150="","",$D150)</f>
        <v/>
      </c>
      <c r="AM150" s="44" t="n">
        <f aca="false">IF(AL150="",0,IF(MATCH(AL150,AL$129:AL$208,0)=22,1,0))</f>
        <v>0</v>
      </c>
      <c r="AN150" s="44" t="n">
        <f aca="false">N(AN149)+AM150</f>
        <v>7</v>
      </c>
    </row>
    <row r="151" customFormat="false" ht="18" hidden="false" customHeight="true" outlineLevel="0" collapsed="false">
      <c r="A151" s="40" t="str">
        <f aca="false"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41" t="str">
        <f aca="false"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41" t="str">
        <f aca="false">IF($AF151="","",IF($AF151&lt;=1200,IF(INDEX(对接源_01水果!$F$4:$F$1203,$AF151)=0,"",INDEX(对接源_01水果!$F$4:$F$1203,$AF151)),IF(INDEX(对接源_02物料!$F$4:$F$1203,$AF151-1200)=0,"",INDEX(对接源_02物料!$F$4:$F$1203,$AF151-1200))))</f>
        <v/>
      </c>
      <c r="D151" s="41" t="str">
        <f aca="false">IF($AF151="","",IF($AF151&lt;=1200,IF(INDEX(对接源_01水果!$G$4:$G$1203,$AF151)=0,"",INDEX(对接源_01水果!$G$4:$G$1203,$AF151)),IF(INDEX(对接源_02物料!$G$4:$G$1203,$AF151-1200)=0,"",INDEX(对接源_02物料!$G$4:$G$1203,$AF151-1200))))</f>
        <v/>
      </c>
      <c r="E151" s="43" t="str">
        <f aca="false">IF($AF151="","",IF($AF151&lt;=1200,IF(INDEX(对接源_01水果!$H$4:$H$1203,$AF151)=0,"",INDEX(对接源_01水果!$H$4:$H$1203,$AF151)),IF(INDEX(对接源_02物料!$H$4:$H$1203,$AF151-1200)=0,"",INDEX(对接源_02物料!$H$4:$H$1203,$AF151-1200))))</f>
        <v/>
      </c>
      <c r="F151" s="41" t="str">
        <f aca="false">IF($AF151="","",IF($AF151&lt;=1200,IF(INDEX(对接源_01水果!$I$4:$I$1203,$AF151)=0,"",INDEX(对接源_01水果!$I$4:$I$1203,$AF151)),IF(INDEX(对接源_02物料!$I$4:$I$1203,$AF151-1200)=0,"",INDEX(对接源_02物料!$I$4:$I$1203,$AF151-1200))))</f>
        <v/>
      </c>
      <c r="G151" s="55" t="str">
        <f aca="false">IF($AF151="","",IF($AF151&lt;=1200,IF(INDEX(对接源_01水果!$J$4:$J$1203,$AF151)=0,"",INDEX(对接源_01水果!$J$4:$J$1203,$AF151)),IF(INDEX(对接源_02物料!$J$4:$J$1203,$AF151-1200)=0,"",INDEX(对接源_02物料!$J$4:$J$1203,$AF151-1200))))</f>
        <v/>
      </c>
      <c r="H151" s="41" t="str">
        <f aca="false"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I151" s="41" t="str">
        <f aca="false"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J151" s="42" t="str">
        <f aca="false"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44" t="str">
        <f aca="false">IFERROR(MATCH(23,_自动清单!$AC$4:$AC$2403,0),"")</f>
        <v/>
      </c>
      <c r="AL151" s="44" t="str">
        <f aca="false">IF($D151="","",$D151)</f>
        <v/>
      </c>
      <c r="AM151" s="44" t="n">
        <f aca="false">IF(AL151="",0,IF(MATCH(AL151,AL$129:AL$208,0)=23,1,0))</f>
        <v>0</v>
      </c>
      <c r="AN151" s="44" t="n">
        <f aca="false">N(AN150)+AM151</f>
        <v>7</v>
      </c>
    </row>
    <row r="152" customFormat="false" ht="18" hidden="false" customHeight="true" outlineLevel="0" collapsed="false">
      <c r="A152" s="45" t="str">
        <f aca="false"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46" t="str">
        <f aca="false"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46" t="str">
        <f aca="false">IF($AF152="","",IF($AF152&lt;=1200,IF(INDEX(对接源_01水果!$F$4:$F$1203,$AF152)=0,"",INDEX(对接源_01水果!$F$4:$F$1203,$AF152)),IF(INDEX(对接源_02物料!$F$4:$F$1203,$AF152-1200)=0,"",INDEX(对接源_02物料!$F$4:$F$1203,$AF152-1200))))</f>
        <v/>
      </c>
      <c r="D152" s="46" t="str">
        <f aca="false">IF($AF152="","",IF($AF152&lt;=1200,IF(INDEX(对接源_01水果!$G$4:$G$1203,$AF152)=0,"",INDEX(对接源_01水果!$G$4:$G$1203,$AF152)),IF(INDEX(对接源_02物料!$G$4:$G$1203,$AF152-1200)=0,"",INDEX(对接源_02物料!$G$4:$G$1203,$AF152-1200))))</f>
        <v/>
      </c>
      <c r="E152" s="48" t="str">
        <f aca="false">IF($AF152="","",IF($AF152&lt;=1200,IF(INDEX(对接源_01水果!$H$4:$H$1203,$AF152)=0,"",INDEX(对接源_01水果!$H$4:$H$1203,$AF152)),IF(INDEX(对接源_02物料!$H$4:$H$1203,$AF152-1200)=0,"",INDEX(对接源_02物料!$H$4:$H$1203,$AF152-1200))))</f>
        <v/>
      </c>
      <c r="F152" s="46" t="str">
        <f aca="false">IF($AF152="","",IF($AF152&lt;=1200,IF(INDEX(对接源_01水果!$I$4:$I$1203,$AF152)=0,"",INDEX(对接源_01水果!$I$4:$I$1203,$AF152)),IF(INDEX(对接源_02物料!$I$4:$I$1203,$AF152-1200)=0,"",INDEX(对接源_02物料!$I$4:$I$1203,$AF152-1200))))</f>
        <v/>
      </c>
      <c r="G152" s="56" t="str">
        <f aca="false">IF($AF152="","",IF($AF152&lt;=1200,IF(INDEX(对接源_01水果!$J$4:$J$1203,$AF152)=0,"",INDEX(对接源_01水果!$J$4:$J$1203,$AF152)),IF(INDEX(对接源_02物料!$J$4:$J$1203,$AF152-1200)=0,"",INDEX(对接源_02物料!$J$4:$J$1203,$AF152-1200))))</f>
        <v/>
      </c>
      <c r="H152" s="46" t="str">
        <f aca="false"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I152" s="46" t="str">
        <f aca="false"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J152" s="47" t="str">
        <f aca="false"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44" t="str">
        <f aca="false">IFERROR(MATCH(24,_自动清单!$AC$4:$AC$2403,0),"")</f>
        <v/>
      </c>
      <c r="AL152" s="44" t="str">
        <f aca="false">IF($D152="","",$D152)</f>
        <v/>
      </c>
      <c r="AM152" s="44" t="n">
        <f aca="false">IF(AL152="",0,IF(MATCH(AL152,AL$129:AL$208,0)=24,1,0))</f>
        <v>0</v>
      </c>
      <c r="AN152" s="44" t="n">
        <f aca="false">N(AN151)+AM152</f>
        <v>7</v>
      </c>
    </row>
    <row r="153" customFormat="false" ht="18" hidden="false" customHeight="true" outlineLevel="0" collapsed="false">
      <c r="A153" s="40" t="str">
        <f aca="false"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41" t="str">
        <f aca="false"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41" t="str">
        <f aca="false">IF($AF153="","",IF($AF153&lt;=1200,IF(INDEX(对接源_01水果!$F$4:$F$1203,$AF153)=0,"",INDEX(对接源_01水果!$F$4:$F$1203,$AF153)),IF(INDEX(对接源_02物料!$F$4:$F$1203,$AF153-1200)=0,"",INDEX(对接源_02物料!$F$4:$F$1203,$AF153-1200))))</f>
        <v/>
      </c>
      <c r="D153" s="41" t="str">
        <f aca="false">IF($AF153="","",IF($AF153&lt;=1200,IF(INDEX(对接源_01水果!$G$4:$G$1203,$AF153)=0,"",INDEX(对接源_01水果!$G$4:$G$1203,$AF153)),IF(INDEX(对接源_02物料!$G$4:$G$1203,$AF153-1200)=0,"",INDEX(对接源_02物料!$G$4:$G$1203,$AF153-1200))))</f>
        <v/>
      </c>
      <c r="E153" s="43" t="str">
        <f aca="false">IF($AF153="","",IF($AF153&lt;=1200,IF(INDEX(对接源_01水果!$H$4:$H$1203,$AF153)=0,"",INDEX(对接源_01水果!$H$4:$H$1203,$AF153)),IF(INDEX(对接源_02物料!$H$4:$H$1203,$AF153-1200)=0,"",INDEX(对接源_02物料!$H$4:$H$1203,$AF153-1200))))</f>
        <v/>
      </c>
      <c r="F153" s="41" t="str">
        <f aca="false">IF($AF153="","",IF($AF153&lt;=1200,IF(INDEX(对接源_01水果!$I$4:$I$1203,$AF153)=0,"",INDEX(对接源_01水果!$I$4:$I$1203,$AF153)),IF(INDEX(对接源_02物料!$I$4:$I$1203,$AF153-1200)=0,"",INDEX(对接源_02物料!$I$4:$I$1203,$AF153-1200))))</f>
        <v/>
      </c>
      <c r="G153" s="55" t="str">
        <f aca="false">IF($AF153="","",IF($AF153&lt;=1200,IF(INDEX(对接源_01水果!$J$4:$J$1203,$AF153)=0,"",INDEX(对接源_01水果!$J$4:$J$1203,$AF153)),IF(INDEX(对接源_02物料!$J$4:$J$1203,$AF153-1200)=0,"",INDEX(对接源_02物料!$J$4:$J$1203,$AF153-1200))))</f>
        <v/>
      </c>
      <c r="H153" s="41" t="str">
        <f aca="false"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I153" s="41" t="str">
        <f aca="false"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J153" s="42" t="str">
        <f aca="false"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44" t="str">
        <f aca="false">IFERROR(MATCH(25,_自动清单!$AC$4:$AC$2403,0),"")</f>
        <v/>
      </c>
      <c r="AL153" s="44" t="str">
        <f aca="false">IF($D153="","",$D153)</f>
        <v/>
      </c>
      <c r="AM153" s="44" t="n">
        <f aca="false">IF(AL153="",0,IF(MATCH(AL153,AL$129:AL$208,0)=25,1,0))</f>
        <v>0</v>
      </c>
      <c r="AN153" s="44" t="n">
        <f aca="false">N(AN152)+AM153</f>
        <v>7</v>
      </c>
    </row>
    <row r="154" customFormat="false" ht="18" hidden="false" customHeight="true" outlineLevel="0" collapsed="false">
      <c r="A154" s="45" t="str">
        <f aca="false"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46" t="str">
        <f aca="false"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46" t="str">
        <f aca="false">IF($AF154="","",IF($AF154&lt;=1200,IF(INDEX(对接源_01水果!$F$4:$F$1203,$AF154)=0,"",INDEX(对接源_01水果!$F$4:$F$1203,$AF154)),IF(INDEX(对接源_02物料!$F$4:$F$1203,$AF154-1200)=0,"",INDEX(对接源_02物料!$F$4:$F$1203,$AF154-1200))))</f>
        <v/>
      </c>
      <c r="D154" s="46" t="str">
        <f aca="false">IF($AF154="","",IF($AF154&lt;=1200,IF(INDEX(对接源_01水果!$G$4:$G$1203,$AF154)=0,"",INDEX(对接源_01水果!$G$4:$G$1203,$AF154)),IF(INDEX(对接源_02物料!$G$4:$G$1203,$AF154-1200)=0,"",INDEX(对接源_02物料!$G$4:$G$1203,$AF154-1200))))</f>
        <v/>
      </c>
      <c r="E154" s="48" t="str">
        <f aca="false">IF($AF154="","",IF($AF154&lt;=1200,IF(INDEX(对接源_01水果!$H$4:$H$1203,$AF154)=0,"",INDEX(对接源_01水果!$H$4:$H$1203,$AF154)),IF(INDEX(对接源_02物料!$H$4:$H$1203,$AF154-1200)=0,"",INDEX(对接源_02物料!$H$4:$H$1203,$AF154-1200))))</f>
        <v/>
      </c>
      <c r="F154" s="46" t="str">
        <f aca="false">IF($AF154="","",IF($AF154&lt;=1200,IF(INDEX(对接源_01水果!$I$4:$I$1203,$AF154)=0,"",INDEX(对接源_01水果!$I$4:$I$1203,$AF154)),IF(INDEX(对接源_02物料!$I$4:$I$1203,$AF154-1200)=0,"",INDEX(对接源_02物料!$I$4:$I$1203,$AF154-1200))))</f>
        <v/>
      </c>
      <c r="G154" s="56" t="str">
        <f aca="false">IF($AF154="","",IF($AF154&lt;=1200,IF(INDEX(对接源_01水果!$J$4:$J$1203,$AF154)=0,"",INDEX(对接源_01水果!$J$4:$J$1203,$AF154)),IF(INDEX(对接源_02物料!$J$4:$J$1203,$AF154-1200)=0,"",INDEX(对接源_02物料!$J$4:$J$1203,$AF154-1200))))</f>
        <v/>
      </c>
      <c r="H154" s="46" t="str">
        <f aca="false"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I154" s="46" t="str">
        <f aca="false"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J154" s="47" t="str">
        <f aca="false"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44" t="str">
        <f aca="false">IFERROR(MATCH(26,_自动清单!$AC$4:$AC$2403,0),"")</f>
        <v/>
      </c>
      <c r="AL154" s="44" t="str">
        <f aca="false">IF($D154="","",$D154)</f>
        <v/>
      </c>
      <c r="AM154" s="44" t="n">
        <f aca="false">IF(AL154="",0,IF(MATCH(AL154,AL$129:AL$208,0)=26,1,0))</f>
        <v>0</v>
      </c>
      <c r="AN154" s="44" t="n">
        <f aca="false">N(AN153)+AM154</f>
        <v>7</v>
      </c>
    </row>
    <row r="155" customFormat="false" ht="18" hidden="false" customHeight="true" outlineLevel="0" collapsed="false">
      <c r="A155" s="40" t="str">
        <f aca="false"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41" t="str">
        <f aca="false"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41" t="str">
        <f aca="false">IF($AF155="","",IF($AF155&lt;=1200,IF(INDEX(对接源_01水果!$F$4:$F$1203,$AF155)=0,"",INDEX(对接源_01水果!$F$4:$F$1203,$AF155)),IF(INDEX(对接源_02物料!$F$4:$F$1203,$AF155-1200)=0,"",INDEX(对接源_02物料!$F$4:$F$1203,$AF155-1200))))</f>
        <v/>
      </c>
      <c r="D155" s="41" t="str">
        <f aca="false">IF($AF155="","",IF($AF155&lt;=1200,IF(INDEX(对接源_01水果!$G$4:$G$1203,$AF155)=0,"",INDEX(对接源_01水果!$G$4:$G$1203,$AF155)),IF(INDEX(对接源_02物料!$G$4:$G$1203,$AF155-1200)=0,"",INDEX(对接源_02物料!$G$4:$G$1203,$AF155-1200))))</f>
        <v/>
      </c>
      <c r="E155" s="43" t="str">
        <f aca="false">IF($AF155="","",IF($AF155&lt;=1200,IF(INDEX(对接源_01水果!$H$4:$H$1203,$AF155)=0,"",INDEX(对接源_01水果!$H$4:$H$1203,$AF155)),IF(INDEX(对接源_02物料!$H$4:$H$1203,$AF155-1200)=0,"",INDEX(对接源_02物料!$H$4:$H$1203,$AF155-1200))))</f>
        <v/>
      </c>
      <c r="F155" s="41" t="str">
        <f aca="false">IF($AF155="","",IF($AF155&lt;=1200,IF(INDEX(对接源_01水果!$I$4:$I$1203,$AF155)=0,"",INDEX(对接源_01水果!$I$4:$I$1203,$AF155)),IF(INDEX(对接源_02物料!$I$4:$I$1203,$AF155-1200)=0,"",INDEX(对接源_02物料!$I$4:$I$1203,$AF155-1200))))</f>
        <v/>
      </c>
      <c r="G155" s="55" t="str">
        <f aca="false">IF($AF155="","",IF($AF155&lt;=1200,IF(INDEX(对接源_01水果!$J$4:$J$1203,$AF155)=0,"",INDEX(对接源_01水果!$J$4:$J$1203,$AF155)),IF(INDEX(对接源_02物料!$J$4:$J$1203,$AF155-1200)=0,"",INDEX(对接源_02物料!$J$4:$J$1203,$AF155-1200))))</f>
        <v/>
      </c>
      <c r="H155" s="41" t="str">
        <f aca="false"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I155" s="41" t="str">
        <f aca="false"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J155" s="42" t="str">
        <f aca="false"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44" t="str">
        <f aca="false">IFERROR(MATCH(27,_自动清单!$AC$4:$AC$2403,0),"")</f>
        <v/>
      </c>
      <c r="AL155" s="44" t="str">
        <f aca="false">IF($D155="","",$D155)</f>
        <v/>
      </c>
      <c r="AM155" s="44" t="n">
        <f aca="false">IF(AL155="",0,IF(MATCH(AL155,AL$129:AL$208,0)=27,1,0))</f>
        <v>0</v>
      </c>
      <c r="AN155" s="44" t="n">
        <f aca="false">N(AN154)+AM155</f>
        <v>7</v>
      </c>
    </row>
    <row r="156" customFormat="false" ht="18" hidden="false" customHeight="true" outlineLevel="0" collapsed="false">
      <c r="A156" s="45" t="str">
        <f aca="false"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46" t="str">
        <f aca="false"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46" t="str">
        <f aca="false">IF($AF156="","",IF($AF156&lt;=1200,IF(INDEX(对接源_01水果!$F$4:$F$1203,$AF156)=0,"",INDEX(对接源_01水果!$F$4:$F$1203,$AF156)),IF(INDEX(对接源_02物料!$F$4:$F$1203,$AF156-1200)=0,"",INDEX(对接源_02物料!$F$4:$F$1203,$AF156-1200))))</f>
        <v/>
      </c>
      <c r="D156" s="46" t="str">
        <f aca="false">IF($AF156="","",IF($AF156&lt;=1200,IF(INDEX(对接源_01水果!$G$4:$G$1203,$AF156)=0,"",INDEX(对接源_01水果!$G$4:$G$1203,$AF156)),IF(INDEX(对接源_02物料!$G$4:$G$1203,$AF156-1200)=0,"",INDEX(对接源_02物料!$G$4:$G$1203,$AF156-1200))))</f>
        <v/>
      </c>
      <c r="E156" s="48" t="str">
        <f aca="false">IF($AF156="","",IF($AF156&lt;=1200,IF(INDEX(对接源_01水果!$H$4:$H$1203,$AF156)=0,"",INDEX(对接源_01水果!$H$4:$H$1203,$AF156)),IF(INDEX(对接源_02物料!$H$4:$H$1203,$AF156-1200)=0,"",INDEX(对接源_02物料!$H$4:$H$1203,$AF156-1200))))</f>
        <v/>
      </c>
      <c r="F156" s="46" t="str">
        <f aca="false">IF($AF156="","",IF($AF156&lt;=1200,IF(INDEX(对接源_01水果!$I$4:$I$1203,$AF156)=0,"",INDEX(对接源_01水果!$I$4:$I$1203,$AF156)),IF(INDEX(对接源_02物料!$I$4:$I$1203,$AF156-1200)=0,"",INDEX(对接源_02物料!$I$4:$I$1203,$AF156-1200))))</f>
        <v/>
      </c>
      <c r="G156" s="56" t="str">
        <f aca="false">IF($AF156="","",IF($AF156&lt;=1200,IF(INDEX(对接源_01水果!$J$4:$J$1203,$AF156)=0,"",INDEX(对接源_01水果!$J$4:$J$1203,$AF156)),IF(INDEX(对接源_02物料!$J$4:$J$1203,$AF156-1200)=0,"",INDEX(对接源_02物料!$J$4:$J$1203,$AF156-1200))))</f>
        <v/>
      </c>
      <c r="H156" s="46" t="str">
        <f aca="false"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I156" s="46" t="str">
        <f aca="false"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J156" s="47" t="str">
        <f aca="false"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44" t="str">
        <f aca="false">IFERROR(MATCH(28,_自动清单!$AC$4:$AC$2403,0),"")</f>
        <v/>
      </c>
      <c r="AL156" s="44" t="str">
        <f aca="false">IF($D156="","",$D156)</f>
        <v/>
      </c>
      <c r="AM156" s="44" t="n">
        <f aca="false">IF(AL156="",0,IF(MATCH(AL156,AL$129:AL$208,0)=28,1,0))</f>
        <v>0</v>
      </c>
      <c r="AN156" s="44" t="n">
        <f aca="false">N(AN155)+AM156</f>
        <v>7</v>
      </c>
    </row>
    <row r="157" customFormat="false" ht="18" hidden="false" customHeight="true" outlineLevel="0" collapsed="false">
      <c r="A157" s="40" t="str">
        <f aca="false"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41" t="str">
        <f aca="false"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41" t="str">
        <f aca="false">IF($AF157="","",IF($AF157&lt;=1200,IF(INDEX(对接源_01水果!$F$4:$F$1203,$AF157)=0,"",INDEX(对接源_01水果!$F$4:$F$1203,$AF157)),IF(INDEX(对接源_02物料!$F$4:$F$1203,$AF157-1200)=0,"",INDEX(对接源_02物料!$F$4:$F$1203,$AF157-1200))))</f>
        <v/>
      </c>
      <c r="D157" s="41" t="str">
        <f aca="false">IF($AF157="","",IF($AF157&lt;=1200,IF(INDEX(对接源_01水果!$G$4:$G$1203,$AF157)=0,"",INDEX(对接源_01水果!$G$4:$G$1203,$AF157)),IF(INDEX(对接源_02物料!$G$4:$G$1203,$AF157-1200)=0,"",INDEX(对接源_02物料!$G$4:$G$1203,$AF157-1200))))</f>
        <v/>
      </c>
      <c r="E157" s="43" t="str">
        <f aca="false">IF($AF157="","",IF($AF157&lt;=1200,IF(INDEX(对接源_01水果!$H$4:$H$1203,$AF157)=0,"",INDEX(对接源_01水果!$H$4:$H$1203,$AF157)),IF(INDEX(对接源_02物料!$H$4:$H$1203,$AF157-1200)=0,"",INDEX(对接源_02物料!$H$4:$H$1203,$AF157-1200))))</f>
        <v/>
      </c>
      <c r="F157" s="41" t="str">
        <f aca="false">IF($AF157="","",IF($AF157&lt;=1200,IF(INDEX(对接源_01水果!$I$4:$I$1203,$AF157)=0,"",INDEX(对接源_01水果!$I$4:$I$1203,$AF157)),IF(INDEX(对接源_02物料!$I$4:$I$1203,$AF157-1200)=0,"",INDEX(对接源_02物料!$I$4:$I$1203,$AF157-1200))))</f>
        <v/>
      </c>
      <c r="G157" s="55" t="str">
        <f aca="false">IF($AF157="","",IF($AF157&lt;=1200,IF(INDEX(对接源_01水果!$J$4:$J$1203,$AF157)=0,"",INDEX(对接源_01水果!$J$4:$J$1203,$AF157)),IF(INDEX(对接源_02物料!$J$4:$J$1203,$AF157-1200)=0,"",INDEX(对接源_02物料!$J$4:$J$1203,$AF157-1200))))</f>
        <v/>
      </c>
      <c r="H157" s="41" t="str">
        <f aca="false"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I157" s="41" t="str">
        <f aca="false"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J157" s="42" t="str">
        <f aca="false"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44" t="str">
        <f aca="false">IFERROR(MATCH(29,_自动清单!$AC$4:$AC$2403,0),"")</f>
        <v/>
      </c>
      <c r="AL157" s="44" t="str">
        <f aca="false">IF($D157="","",$D157)</f>
        <v/>
      </c>
      <c r="AM157" s="44" t="n">
        <f aca="false">IF(AL157="",0,IF(MATCH(AL157,AL$129:AL$208,0)=29,1,0))</f>
        <v>0</v>
      </c>
      <c r="AN157" s="44" t="n">
        <f aca="false">N(AN156)+AM157</f>
        <v>7</v>
      </c>
    </row>
    <row r="158" customFormat="false" ht="18" hidden="false" customHeight="true" outlineLevel="0" collapsed="false">
      <c r="A158" s="45" t="str">
        <f aca="false"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46" t="str">
        <f aca="false"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46" t="str">
        <f aca="false">IF($AF158="","",IF($AF158&lt;=1200,IF(INDEX(对接源_01水果!$F$4:$F$1203,$AF158)=0,"",INDEX(对接源_01水果!$F$4:$F$1203,$AF158)),IF(INDEX(对接源_02物料!$F$4:$F$1203,$AF158-1200)=0,"",INDEX(对接源_02物料!$F$4:$F$1203,$AF158-1200))))</f>
        <v/>
      </c>
      <c r="D158" s="46" t="str">
        <f aca="false">IF($AF158="","",IF($AF158&lt;=1200,IF(INDEX(对接源_01水果!$G$4:$G$1203,$AF158)=0,"",INDEX(对接源_01水果!$G$4:$G$1203,$AF158)),IF(INDEX(对接源_02物料!$G$4:$G$1203,$AF158-1200)=0,"",INDEX(对接源_02物料!$G$4:$G$1203,$AF158-1200))))</f>
        <v/>
      </c>
      <c r="E158" s="48" t="str">
        <f aca="false">IF($AF158="","",IF($AF158&lt;=1200,IF(INDEX(对接源_01水果!$H$4:$H$1203,$AF158)=0,"",INDEX(对接源_01水果!$H$4:$H$1203,$AF158)),IF(INDEX(对接源_02物料!$H$4:$H$1203,$AF158-1200)=0,"",INDEX(对接源_02物料!$H$4:$H$1203,$AF158-1200))))</f>
        <v/>
      </c>
      <c r="F158" s="46" t="str">
        <f aca="false">IF($AF158="","",IF($AF158&lt;=1200,IF(INDEX(对接源_01水果!$I$4:$I$1203,$AF158)=0,"",INDEX(对接源_01水果!$I$4:$I$1203,$AF158)),IF(INDEX(对接源_02物料!$I$4:$I$1203,$AF158-1200)=0,"",INDEX(对接源_02物料!$I$4:$I$1203,$AF158-1200))))</f>
        <v/>
      </c>
      <c r="G158" s="56" t="str">
        <f aca="false">IF($AF158="","",IF($AF158&lt;=1200,IF(INDEX(对接源_01水果!$J$4:$J$1203,$AF158)=0,"",INDEX(对接源_01水果!$J$4:$J$1203,$AF158)),IF(INDEX(对接源_02物料!$J$4:$J$1203,$AF158-1200)=0,"",INDEX(对接源_02物料!$J$4:$J$1203,$AF158-1200))))</f>
        <v/>
      </c>
      <c r="H158" s="46" t="str">
        <f aca="false"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I158" s="46" t="str">
        <f aca="false"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J158" s="47" t="str">
        <f aca="false"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44" t="str">
        <f aca="false">IFERROR(MATCH(30,_自动清单!$AC$4:$AC$2403,0),"")</f>
        <v/>
      </c>
      <c r="AL158" s="44" t="str">
        <f aca="false">IF($D158="","",$D158)</f>
        <v/>
      </c>
      <c r="AM158" s="44" t="n">
        <f aca="false">IF(AL158="",0,IF(MATCH(AL158,AL$129:AL$208,0)=30,1,0))</f>
        <v>0</v>
      </c>
      <c r="AN158" s="44" t="n">
        <f aca="false">N(AN157)+AM158</f>
        <v>7</v>
      </c>
    </row>
    <row r="159" customFormat="false" ht="18" hidden="false" customHeight="true" outlineLevel="0" collapsed="false">
      <c r="A159" s="40" t="str">
        <f aca="false"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41" t="str">
        <f aca="false"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41" t="str">
        <f aca="false">IF($AF159="","",IF($AF159&lt;=1200,IF(INDEX(对接源_01水果!$F$4:$F$1203,$AF159)=0,"",INDEX(对接源_01水果!$F$4:$F$1203,$AF159)),IF(INDEX(对接源_02物料!$F$4:$F$1203,$AF159-1200)=0,"",INDEX(对接源_02物料!$F$4:$F$1203,$AF159-1200))))</f>
        <v/>
      </c>
      <c r="D159" s="41" t="str">
        <f aca="false">IF($AF159="","",IF($AF159&lt;=1200,IF(INDEX(对接源_01水果!$G$4:$G$1203,$AF159)=0,"",INDEX(对接源_01水果!$G$4:$G$1203,$AF159)),IF(INDEX(对接源_02物料!$G$4:$G$1203,$AF159-1200)=0,"",INDEX(对接源_02物料!$G$4:$G$1203,$AF159-1200))))</f>
        <v/>
      </c>
      <c r="E159" s="43" t="str">
        <f aca="false">IF($AF159="","",IF($AF159&lt;=1200,IF(INDEX(对接源_01水果!$H$4:$H$1203,$AF159)=0,"",INDEX(对接源_01水果!$H$4:$H$1203,$AF159)),IF(INDEX(对接源_02物料!$H$4:$H$1203,$AF159-1200)=0,"",INDEX(对接源_02物料!$H$4:$H$1203,$AF159-1200))))</f>
        <v/>
      </c>
      <c r="F159" s="41" t="str">
        <f aca="false">IF($AF159="","",IF($AF159&lt;=1200,IF(INDEX(对接源_01水果!$I$4:$I$1203,$AF159)=0,"",INDEX(对接源_01水果!$I$4:$I$1203,$AF159)),IF(INDEX(对接源_02物料!$I$4:$I$1203,$AF159-1200)=0,"",INDEX(对接源_02物料!$I$4:$I$1203,$AF159-1200))))</f>
        <v/>
      </c>
      <c r="G159" s="55" t="str">
        <f aca="false">IF($AF159="","",IF($AF159&lt;=1200,IF(INDEX(对接源_01水果!$J$4:$J$1203,$AF159)=0,"",INDEX(对接源_01水果!$J$4:$J$1203,$AF159)),IF(INDEX(对接源_02物料!$J$4:$J$1203,$AF159-1200)=0,"",INDEX(对接源_02物料!$J$4:$J$1203,$AF159-1200))))</f>
        <v/>
      </c>
      <c r="H159" s="41" t="str">
        <f aca="false"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I159" s="41" t="str">
        <f aca="false"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J159" s="42" t="str">
        <f aca="false"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44" t="str">
        <f aca="false">IFERROR(MATCH(31,_自动清单!$AC$4:$AC$2403,0),"")</f>
        <v/>
      </c>
      <c r="AL159" s="44" t="str">
        <f aca="false">IF($D159="","",$D159)</f>
        <v/>
      </c>
      <c r="AM159" s="44" t="n">
        <f aca="false">IF(AL159="",0,IF(MATCH(AL159,AL$129:AL$208,0)=31,1,0))</f>
        <v>0</v>
      </c>
      <c r="AN159" s="44" t="n">
        <f aca="false">N(AN158)+AM159</f>
        <v>7</v>
      </c>
    </row>
    <row r="160" customFormat="false" ht="18" hidden="false" customHeight="true" outlineLevel="0" collapsed="false">
      <c r="A160" s="45" t="str">
        <f aca="false"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46" t="str">
        <f aca="false"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46" t="str">
        <f aca="false">IF($AF160="","",IF($AF160&lt;=1200,IF(INDEX(对接源_01水果!$F$4:$F$1203,$AF160)=0,"",INDEX(对接源_01水果!$F$4:$F$1203,$AF160)),IF(INDEX(对接源_02物料!$F$4:$F$1203,$AF160-1200)=0,"",INDEX(对接源_02物料!$F$4:$F$1203,$AF160-1200))))</f>
        <v/>
      </c>
      <c r="D160" s="46" t="str">
        <f aca="false">IF($AF160="","",IF($AF160&lt;=1200,IF(INDEX(对接源_01水果!$G$4:$G$1203,$AF160)=0,"",INDEX(对接源_01水果!$G$4:$G$1203,$AF160)),IF(INDEX(对接源_02物料!$G$4:$G$1203,$AF160-1200)=0,"",INDEX(对接源_02物料!$G$4:$G$1203,$AF160-1200))))</f>
        <v/>
      </c>
      <c r="E160" s="48" t="str">
        <f aca="false">IF($AF160="","",IF($AF160&lt;=1200,IF(INDEX(对接源_01水果!$H$4:$H$1203,$AF160)=0,"",INDEX(对接源_01水果!$H$4:$H$1203,$AF160)),IF(INDEX(对接源_02物料!$H$4:$H$1203,$AF160-1200)=0,"",INDEX(对接源_02物料!$H$4:$H$1203,$AF160-1200))))</f>
        <v/>
      </c>
      <c r="F160" s="46" t="str">
        <f aca="false">IF($AF160="","",IF($AF160&lt;=1200,IF(INDEX(对接源_01水果!$I$4:$I$1203,$AF160)=0,"",INDEX(对接源_01水果!$I$4:$I$1203,$AF160)),IF(INDEX(对接源_02物料!$I$4:$I$1203,$AF160-1200)=0,"",INDEX(对接源_02物料!$I$4:$I$1203,$AF160-1200))))</f>
        <v/>
      </c>
      <c r="G160" s="56" t="str">
        <f aca="false">IF($AF160="","",IF($AF160&lt;=1200,IF(INDEX(对接源_01水果!$J$4:$J$1203,$AF160)=0,"",INDEX(对接源_01水果!$J$4:$J$1203,$AF160)),IF(INDEX(对接源_02物料!$J$4:$J$1203,$AF160-1200)=0,"",INDEX(对接源_02物料!$J$4:$J$1203,$AF160-1200))))</f>
        <v/>
      </c>
      <c r="H160" s="46" t="str">
        <f aca="false"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I160" s="46" t="str">
        <f aca="false"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J160" s="47" t="str">
        <f aca="false"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44" t="str">
        <f aca="false">IFERROR(MATCH(32,_自动清单!$AC$4:$AC$2403,0),"")</f>
        <v/>
      </c>
      <c r="AL160" s="44" t="str">
        <f aca="false">IF($D160="","",$D160)</f>
        <v/>
      </c>
      <c r="AM160" s="44" t="n">
        <f aca="false">IF(AL160="",0,IF(MATCH(AL160,AL$129:AL$208,0)=32,1,0))</f>
        <v>0</v>
      </c>
      <c r="AN160" s="44" t="n">
        <f aca="false">N(AN159)+AM160</f>
        <v>7</v>
      </c>
    </row>
    <row r="161" customFormat="false" ht="18" hidden="false" customHeight="true" outlineLevel="0" collapsed="false">
      <c r="A161" s="40" t="str">
        <f aca="false"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41" t="str">
        <f aca="false"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41" t="str">
        <f aca="false">IF($AF161="","",IF($AF161&lt;=1200,IF(INDEX(对接源_01水果!$F$4:$F$1203,$AF161)=0,"",INDEX(对接源_01水果!$F$4:$F$1203,$AF161)),IF(INDEX(对接源_02物料!$F$4:$F$1203,$AF161-1200)=0,"",INDEX(对接源_02物料!$F$4:$F$1203,$AF161-1200))))</f>
        <v/>
      </c>
      <c r="D161" s="41" t="str">
        <f aca="false">IF($AF161="","",IF($AF161&lt;=1200,IF(INDEX(对接源_01水果!$G$4:$G$1203,$AF161)=0,"",INDEX(对接源_01水果!$G$4:$G$1203,$AF161)),IF(INDEX(对接源_02物料!$G$4:$G$1203,$AF161-1200)=0,"",INDEX(对接源_02物料!$G$4:$G$1203,$AF161-1200))))</f>
        <v/>
      </c>
      <c r="E161" s="43" t="str">
        <f aca="false">IF($AF161="","",IF($AF161&lt;=1200,IF(INDEX(对接源_01水果!$H$4:$H$1203,$AF161)=0,"",INDEX(对接源_01水果!$H$4:$H$1203,$AF161)),IF(INDEX(对接源_02物料!$H$4:$H$1203,$AF161-1200)=0,"",INDEX(对接源_02物料!$H$4:$H$1203,$AF161-1200))))</f>
        <v/>
      </c>
      <c r="F161" s="41" t="str">
        <f aca="false">IF($AF161="","",IF($AF161&lt;=1200,IF(INDEX(对接源_01水果!$I$4:$I$1203,$AF161)=0,"",INDEX(对接源_01水果!$I$4:$I$1203,$AF161)),IF(INDEX(对接源_02物料!$I$4:$I$1203,$AF161-1200)=0,"",INDEX(对接源_02物料!$I$4:$I$1203,$AF161-1200))))</f>
        <v/>
      </c>
      <c r="G161" s="55" t="str">
        <f aca="false">IF($AF161="","",IF($AF161&lt;=1200,IF(INDEX(对接源_01水果!$J$4:$J$1203,$AF161)=0,"",INDEX(对接源_01水果!$J$4:$J$1203,$AF161)),IF(INDEX(对接源_02物料!$J$4:$J$1203,$AF161-1200)=0,"",INDEX(对接源_02物料!$J$4:$J$1203,$AF161-1200))))</f>
        <v/>
      </c>
      <c r="H161" s="41" t="str">
        <f aca="false"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I161" s="41" t="str">
        <f aca="false"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J161" s="42" t="str">
        <f aca="false"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44" t="str">
        <f aca="false">IFERROR(MATCH(33,_自动清单!$AC$4:$AC$2403,0),"")</f>
        <v/>
      </c>
      <c r="AL161" s="44" t="str">
        <f aca="false">IF($D161="","",$D161)</f>
        <v/>
      </c>
      <c r="AM161" s="44" t="n">
        <f aca="false">IF(AL161="",0,IF(MATCH(AL161,AL$129:AL$208,0)=33,1,0))</f>
        <v>0</v>
      </c>
      <c r="AN161" s="44" t="n">
        <f aca="false">N(AN160)+AM161</f>
        <v>7</v>
      </c>
    </row>
    <row r="162" customFormat="false" ht="18" hidden="false" customHeight="true" outlineLevel="0" collapsed="false">
      <c r="A162" s="45" t="str">
        <f aca="false"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46" t="str">
        <f aca="false"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46" t="str">
        <f aca="false">IF($AF162="","",IF($AF162&lt;=1200,IF(INDEX(对接源_01水果!$F$4:$F$1203,$AF162)=0,"",INDEX(对接源_01水果!$F$4:$F$1203,$AF162)),IF(INDEX(对接源_02物料!$F$4:$F$1203,$AF162-1200)=0,"",INDEX(对接源_02物料!$F$4:$F$1203,$AF162-1200))))</f>
        <v/>
      </c>
      <c r="D162" s="46" t="str">
        <f aca="false">IF($AF162="","",IF($AF162&lt;=1200,IF(INDEX(对接源_01水果!$G$4:$G$1203,$AF162)=0,"",INDEX(对接源_01水果!$G$4:$G$1203,$AF162)),IF(INDEX(对接源_02物料!$G$4:$G$1203,$AF162-1200)=0,"",INDEX(对接源_02物料!$G$4:$G$1203,$AF162-1200))))</f>
        <v/>
      </c>
      <c r="E162" s="48" t="str">
        <f aca="false">IF($AF162="","",IF($AF162&lt;=1200,IF(INDEX(对接源_01水果!$H$4:$H$1203,$AF162)=0,"",INDEX(对接源_01水果!$H$4:$H$1203,$AF162)),IF(INDEX(对接源_02物料!$H$4:$H$1203,$AF162-1200)=0,"",INDEX(对接源_02物料!$H$4:$H$1203,$AF162-1200))))</f>
        <v/>
      </c>
      <c r="F162" s="46" t="str">
        <f aca="false">IF($AF162="","",IF($AF162&lt;=1200,IF(INDEX(对接源_01水果!$I$4:$I$1203,$AF162)=0,"",INDEX(对接源_01水果!$I$4:$I$1203,$AF162)),IF(INDEX(对接源_02物料!$I$4:$I$1203,$AF162-1200)=0,"",INDEX(对接源_02物料!$I$4:$I$1203,$AF162-1200))))</f>
        <v/>
      </c>
      <c r="G162" s="56" t="str">
        <f aca="false">IF($AF162="","",IF($AF162&lt;=1200,IF(INDEX(对接源_01水果!$J$4:$J$1203,$AF162)=0,"",INDEX(对接源_01水果!$J$4:$J$1203,$AF162)),IF(INDEX(对接源_02物料!$J$4:$J$1203,$AF162-1200)=0,"",INDEX(对接源_02物料!$J$4:$J$1203,$AF162-1200))))</f>
        <v/>
      </c>
      <c r="H162" s="46" t="str">
        <f aca="false"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I162" s="46" t="str">
        <f aca="false"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J162" s="47" t="str">
        <f aca="false"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44" t="str">
        <f aca="false">IFERROR(MATCH(34,_自动清单!$AC$4:$AC$2403,0),"")</f>
        <v/>
      </c>
      <c r="AL162" s="44" t="str">
        <f aca="false">IF($D162="","",$D162)</f>
        <v/>
      </c>
      <c r="AM162" s="44" t="n">
        <f aca="false">IF(AL162="",0,IF(MATCH(AL162,AL$129:AL$208,0)=34,1,0))</f>
        <v>0</v>
      </c>
      <c r="AN162" s="44" t="n">
        <f aca="false">N(AN161)+AM162</f>
        <v>7</v>
      </c>
    </row>
    <row r="163" customFormat="false" ht="18" hidden="false" customHeight="true" outlineLevel="0" collapsed="false">
      <c r="A163" s="40" t="str">
        <f aca="false"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41" t="str">
        <f aca="false"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41" t="str">
        <f aca="false">IF($AF163="","",IF($AF163&lt;=1200,IF(INDEX(对接源_01水果!$F$4:$F$1203,$AF163)=0,"",INDEX(对接源_01水果!$F$4:$F$1203,$AF163)),IF(INDEX(对接源_02物料!$F$4:$F$1203,$AF163-1200)=0,"",INDEX(对接源_02物料!$F$4:$F$1203,$AF163-1200))))</f>
        <v/>
      </c>
      <c r="D163" s="41" t="str">
        <f aca="false">IF($AF163="","",IF($AF163&lt;=1200,IF(INDEX(对接源_01水果!$G$4:$G$1203,$AF163)=0,"",INDEX(对接源_01水果!$G$4:$G$1203,$AF163)),IF(INDEX(对接源_02物料!$G$4:$G$1203,$AF163-1200)=0,"",INDEX(对接源_02物料!$G$4:$G$1203,$AF163-1200))))</f>
        <v/>
      </c>
      <c r="E163" s="43" t="str">
        <f aca="false">IF($AF163="","",IF($AF163&lt;=1200,IF(INDEX(对接源_01水果!$H$4:$H$1203,$AF163)=0,"",INDEX(对接源_01水果!$H$4:$H$1203,$AF163)),IF(INDEX(对接源_02物料!$H$4:$H$1203,$AF163-1200)=0,"",INDEX(对接源_02物料!$H$4:$H$1203,$AF163-1200))))</f>
        <v/>
      </c>
      <c r="F163" s="41" t="str">
        <f aca="false">IF($AF163="","",IF($AF163&lt;=1200,IF(INDEX(对接源_01水果!$I$4:$I$1203,$AF163)=0,"",INDEX(对接源_01水果!$I$4:$I$1203,$AF163)),IF(INDEX(对接源_02物料!$I$4:$I$1203,$AF163-1200)=0,"",INDEX(对接源_02物料!$I$4:$I$1203,$AF163-1200))))</f>
        <v/>
      </c>
      <c r="G163" s="55" t="str">
        <f aca="false">IF($AF163="","",IF($AF163&lt;=1200,IF(INDEX(对接源_01水果!$J$4:$J$1203,$AF163)=0,"",INDEX(对接源_01水果!$J$4:$J$1203,$AF163)),IF(INDEX(对接源_02物料!$J$4:$J$1203,$AF163-1200)=0,"",INDEX(对接源_02物料!$J$4:$J$1203,$AF163-1200))))</f>
        <v/>
      </c>
      <c r="H163" s="41" t="str">
        <f aca="false"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I163" s="41" t="str">
        <f aca="false"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J163" s="42" t="str">
        <f aca="false"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44" t="str">
        <f aca="false">IFERROR(MATCH(35,_自动清单!$AC$4:$AC$2403,0),"")</f>
        <v/>
      </c>
      <c r="AL163" s="44" t="str">
        <f aca="false">IF($D163="","",$D163)</f>
        <v/>
      </c>
      <c r="AM163" s="44" t="n">
        <f aca="false">IF(AL163="",0,IF(MATCH(AL163,AL$129:AL$208,0)=35,1,0))</f>
        <v>0</v>
      </c>
      <c r="AN163" s="44" t="n">
        <f aca="false">N(AN162)+AM163</f>
        <v>7</v>
      </c>
    </row>
    <row r="164" customFormat="false" ht="18" hidden="false" customHeight="true" outlineLevel="0" collapsed="false">
      <c r="A164" s="45" t="str">
        <f aca="false"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46" t="str">
        <f aca="false"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46" t="str">
        <f aca="false">IF($AF164="","",IF($AF164&lt;=1200,IF(INDEX(对接源_01水果!$F$4:$F$1203,$AF164)=0,"",INDEX(对接源_01水果!$F$4:$F$1203,$AF164)),IF(INDEX(对接源_02物料!$F$4:$F$1203,$AF164-1200)=0,"",INDEX(对接源_02物料!$F$4:$F$1203,$AF164-1200))))</f>
        <v/>
      </c>
      <c r="D164" s="46" t="str">
        <f aca="false">IF($AF164="","",IF($AF164&lt;=1200,IF(INDEX(对接源_01水果!$G$4:$G$1203,$AF164)=0,"",INDEX(对接源_01水果!$G$4:$G$1203,$AF164)),IF(INDEX(对接源_02物料!$G$4:$G$1203,$AF164-1200)=0,"",INDEX(对接源_02物料!$G$4:$G$1203,$AF164-1200))))</f>
        <v/>
      </c>
      <c r="E164" s="48" t="str">
        <f aca="false">IF($AF164="","",IF($AF164&lt;=1200,IF(INDEX(对接源_01水果!$H$4:$H$1203,$AF164)=0,"",INDEX(对接源_01水果!$H$4:$H$1203,$AF164)),IF(INDEX(对接源_02物料!$H$4:$H$1203,$AF164-1200)=0,"",INDEX(对接源_02物料!$H$4:$H$1203,$AF164-1200))))</f>
        <v/>
      </c>
      <c r="F164" s="46" t="str">
        <f aca="false">IF($AF164="","",IF($AF164&lt;=1200,IF(INDEX(对接源_01水果!$I$4:$I$1203,$AF164)=0,"",INDEX(对接源_01水果!$I$4:$I$1203,$AF164)),IF(INDEX(对接源_02物料!$I$4:$I$1203,$AF164-1200)=0,"",INDEX(对接源_02物料!$I$4:$I$1203,$AF164-1200))))</f>
        <v/>
      </c>
      <c r="G164" s="56" t="str">
        <f aca="false">IF($AF164="","",IF($AF164&lt;=1200,IF(INDEX(对接源_01水果!$J$4:$J$1203,$AF164)=0,"",INDEX(对接源_01水果!$J$4:$J$1203,$AF164)),IF(INDEX(对接源_02物料!$J$4:$J$1203,$AF164-1200)=0,"",INDEX(对接源_02物料!$J$4:$J$1203,$AF164-1200))))</f>
        <v/>
      </c>
      <c r="H164" s="46" t="str">
        <f aca="false"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I164" s="46" t="str">
        <f aca="false"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J164" s="47" t="str">
        <f aca="false"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44" t="str">
        <f aca="false">IFERROR(MATCH(36,_自动清单!$AC$4:$AC$2403,0),"")</f>
        <v/>
      </c>
      <c r="AL164" s="44" t="str">
        <f aca="false">IF($D164="","",$D164)</f>
        <v/>
      </c>
      <c r="AM164" s="44" t="n">
        <f aca="false">IF(AL164="",0,IF(MATCH(AL164,AL$129:AL$208,0)=36,1,0))</f>
        <v>0</v>
      </c>
      <c r="AN164" s="44" t="n">
        <f aca="false">N(AN163)+AM164</f>
        <v>7</v>
      </c>
    </row>
    <row r="165" customFormat="false" ht="18" hidden="false" customHeight="true" outlineLevel="0" collapsed="false">
      <c r="A165" s="40" t="str">
        <f aca="false"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41" t="str">
        <f aca="false"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41" t="str">
        <f aca="false">IF($AF165="","",IF($AF165&lt;=1200,IF(INDEX(对接源_01水果!$F$4:$F$1203,$AF165)=0,"",INDEX(对接源_01水果!$F$4:$F$1203,$AF165)),IF(INDEX(对接源_02物料!$F$4:$F$1203,$AF165-1200)=0,"",INDEX(对接源_02物料!$F$4:$F$1203,$AF165-1200))))</f>
        <v/>
      </c>
      <c r="D165" s="41" t="str">
        <f aca="false">IF($AF165="","",IF($AF165&lt;=1200,IF(INDEX(对接源_01水果!$G$4:$G$1203,$AF165)=0,"",INDEX(对接源_01水果!$G$4:$G$1203,$AF165)),IF(INDEX(对接源_02物料!$G$4:$G$1203,$AF165-1200)=0,"",INDEX(对接源_02物料!$G$4:$G$1203,$AF165-1200))))</f>
        <v/>
      </c>
      <c r="E165" s="43" t="str">
        <f aca="false">IF($AF165="","",IF($AF165&lt;=1200,IF(INDEX(对接源_01水果!$H$4:$H$1203,$AF165)=0,"",INDEX(对接源_01水果!$H$4:$H$1203,$AF165)),IF(INDEX(对接源_02物料!$H$4:$H$1203,$AF165-1200)=0,"",INDEX(对接源_02物料!$H$4:$H$1203,$AF165-1200))))</f>
        <v/>
      </c>
      <c r="F165" s="41" t="str">
        <f aca="false">IF($AF165="","",IF($AF165&lt;=1200,IF(INDEX(对接源_01水果!$I$4:$I$1203,$AF165)=0,"",INDEX(对接源_01水果!$I$4:$I$1203,$AF165)),IF(INDEX(对接源_02物料!$I$4:$I$1203,$AF165-1200)=0,"",INDEX(对接源_02物料!$I$4:$I$1203,$AF165-1200))))</f>
        <v/>
      </c>
      <c r="G165" s="55" t="str">
        <f aca="false">IF($AF165="","",IF($AF165&lt;=1200,IF(INDEX(对接源_01水果!$J$4:$J$1203,$AF165)=0,"",INDEX(对接源_01水果!$J$4:$J$1203,$AF165)),IF(INDEX(对接源_02物料!$J$4:$J$1203,$AF165-1200)=0,"",INDEX(对接源_02物料!$J$4:$J$1203,$AF165-1200))))</f>
        <v/>
      </c>
      <c r="H165" s="41" t="str">
        <f aca="false"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I165" s="41" t="str">
        <f aca="false"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J165" s="42" t="str">
        <f aca="false"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44" t="str">
        <f aca="false">IFERROR(MATCH(37,_自动清单!$AC$4:$AC$2403,0),"")</f>
        <v/>
      </c>
      <c r="AL165" s="44" t="str">
        <f aca="false">IF($D165="","",$D165)</f>
        <v/>
      </c>
      <c r="AM165" s="44" t="n">
        <f aca="false">IF(AL165="",0,IF(MATCH(AL165,AL$129:AL$208,0)=37,1,0))</f>
        <v>0</v>
      </c>
      <c r="AN165" s="44" t="n">
        <f aca="false">N(AN164)+AM165</f>
        <v>7</v>
      </c>
    </row>
    <row r="166" customFormat="false" ht="18" hidden="false" customHeight="true" outlineLevel="0" collapsed="false">
      <c r="A166" s="45" t="str">
        <f aca="false"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46" t="str">
        <f aca="false"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46" t="str">
        <f aca="false">IF($AF166="","",IF($AF166&lt;=1200,IF(INDEX(对接源_01水果!$F$4:$F$1203,$AF166)=0,"",INDEX(对接源_01水果!$F$4:$F$1203,$AF166)),IF(INDEX(对接源_02物料!$F$4:$F$1203,$AF166-1200)=0,"",INDEX(对接源_02物料!$F$4:$F$1203,$AF166-1200))))</f>
        <v/>
      </c>
      <c r="D166" s="46" t="str">
        <f aca="false">IF($AF166="","",IF($AF166&lt;=1200,IF(INDEX(对接源_01水果!$G$4:$G$1203,$AF166)=0,"",INDEX(对接源_01水果!$G$4:$G$1203,$AF166)),IF(INDEX(对接源_02物料!$G$4:$G$1203,$AF166-1200)=0,"",INDEX(对接源_02物料!$G$4:$G$1203,$AF166-1200))))</f>
        <v/>
      </c>
      <c r="E166" s="48" t="str">
        <f aca="false">IF($AF166="","",IF($AF166&lt;=1200,IF(INDEX(对接源_01水果!$H$4:$H$1203,$AF166)=0,"",INDEX(对接源_01水果!$H$4:$H$1203,$AF166)),IF(INDEX(对接源_02物料!$H$4:$H$1203,$AF166-1200)=0,"",INDEX(对接源_02物料!$H$4:$H$1203,$AF166-1200))))</f>
        <v/>
      </c>
      <c r="F166" s="46" t="str">
        <f aca="false">IF($AF166="","",IF($AF166&lt;=1200,IF(INDEX(对接源_01水果!$I$4:$I$1203,$AF166)=0,"",INDEX(对接源_01水果!$I$4:$I$1203,$AF166)),IF(INDEX(对接源_02物料!$I$4:$I$1203,$AF166-1200)=0,"",INDEX(对接源_02物料!$I$4:$I$1203,$AF166-1200))))</f>
        <v/>
      </c>
      <c r="G166" s="56" t="str">
        <f aca="false">IF($AF166="","",IF($AF166&lt;=1200,IF(INDEX(对接源_01水果!$J$4:$J$1203,$AF166)=0,"",INDEX(对接源_01水果!$J$4:$J$1203,$AF166)),IF(INDEX(对接源_02物料!$J$4:$J$1203,$AF166-1200)=0,"",INDEX(对接源_02物料!$J$4:$J$1203,$AF166-1200))))</f>
        <v/>
      </c>
      <c r="H166" s="46" t="str">
        <f aca="false"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I166" s="46" t="str">
        <f aca="false"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J166" s="47" t="str">
        <f aca="false"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44" t="str">
        <f aca="false">IFERROR(MATCH(38,_自动清单!$AC$4:$AC$2403,0),"")</f>
        <v/>
      </c>
      <c r="AL166" s="44" t="str">
        <f aca="false">IF($D166="","",$D166)</f>
        <v/>
      </c>
      <c r="AM166" s="44" t="n">
        <f aca="false">IF(AL166="",0,IF(MATCH(AL166,AL$129:AL$208,0)=38,1,0))</f>
        <v>0</v>
      </c>
      <c r="AN166" s="44" t="n">
        <f aca="false">N(AN165)+AM166</f>
        <v>7</v>
      </c>
    </row>
    <row r="167" customFormat="false" ht="18" hidden="false" customHeight="true" outlineLevel="0" collapsed="false">
      <c r="A167" s="40" t="str">
        <f aca="false"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41" t="str">
        <f aca="false"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41" t="str">
        <f aca="false">IF($AF167="","",IF($AF167&lt;=1200,IF(INDEX(对接源_01水果!$F$4:$F$1203,$AF167)=0,"",INDEX(对接源_01水果!$F$4:$F$1203,$AF167)),IF(INDEX(对接源_02物料!$F$4:$F$1203,$AF167-1200)=0,"",INDEX(对接源_02物料!$F$4:$F$1203,$AF167-1200))))</f>
        <v/>
      </c>
      <c r="D167" s="41" t="str">
        <f aca="false">IF($AF167="","",IF($AF167&lt;=1200,IF(INDEX(对接源_01水果!$G$4:$G$1203,$AF167)=0,"",INDEX(对接源_01水果!$G$4:$G$1203,$AF167)),IF(INDEX(对接源_02物料!$G$4:$G$1203,$AF167-1200)=0,"",INDEX(对接源_02物料!$G$4:$G$1203,$AF167-1200))))</f>
        <v/>
      </c>
      <c r="E167" s="43" t="str">
        <f aca="false">IF($AF167="","",IF($AF167&lt;=1200,IF(INDEX(对接源_01水果!$H$4:$H$1203,$AF167)=0,"",INDEX(对接源_01水果!$H$4:$H$1203,$AF167)),IF(INDEX(对接源_02物料!$H$4:$H$1203,$AF167-1200)=0,"",INDEX(对接源_02物料!$H$4:$H$1203,$AF167-1200))))</f>
        <v/>
      </c>
      <c r="F167" s="41" t="str">
        <f aca="false">IF($AF167="","",IF($AF167&lt;=1200,IF(INDEX(对接源_01水果!$I$4:$I$1203,$AF167)=0,"",INDEX(对接源_01水果!$I$4:$I$1203,$AF167)),IF(INDEX(对接源_02物料!$I$4:$I$1203,$AF167-1200)=0,"",INDEX(对接源_02物料!$I$4:$I$1203,$AF167-1200))))</f>
        <v/>
      </c>
      <c r="G167" s="55" t="str">
        <f aca="false">IF($AF167="","",IF($AF167&lt;=1200,IF(INDEX(对接源_01水果!$J$4:$J$1203,$AF167)=0,"",INDEX(对接源_01水果!$J$4:$J$1203,$AF167)),IF(INDEX(对接源_02物料!$J$4:$J$1203,$AF167-1200)=0,"",INDEX(对接源_02物料!$J$4:$J$1203,$AF167-1200))))</f>
        <v/>
      </c>
      <c r="H167" s="41" t="str">
        <f aca="false"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I167" s="41" t="str">
        <f aca="false"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J167" s="42" t="str">
        <f aca="false"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44" t="str">
        <f aca="false">IFERROR(MATCH(39,_自动清单!$AC$4:$AC$2403,0),"")</f>
        <v/>
      </c>
      <c r="AL167" s="44" t="str">
        <f aca="false">IF($D167="","",$D167)</f>
        <v/>
      </c>
      <c r="AM167" s="44" t="n">
        <f aca="false">IF(AL167="",0,IF(MATCH(AL167,AL$129:AL$208,0)=39,1,0))</f>
        <v>0</v>
      </c>
      <c r="AN167" s="44" t="n">
        <f aca="false">N(AN166)+AM167</f>
        <v>7</v>
      </c>
    </row>
    <row r="168" customFormat="false" ht="18" hidden="false" customHeight="true" outlineLevel="0" collapsed="false">
      <c r="A168" s="45" t="str">
        <f aca="false"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46" t="str">
        <f aca="false"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46" t="str">
        <f aca="false">IF($AF168="","",IF($AF168&lt;=1200,IF(INDEX(对接源_01水果!$F$4:$F$1203,$AF168)=0,"",INDEX(对接源_01水果!$F$4:$F$1203,$AF168)),IF(INDEX(对接源_02物料!$F$4:$F$1203,$AF168-1200)=0,"",INDEX(对接源_02物料!$F$4:$F$1203,$AF168-1200))))</f>
        <v/>
      </c>
      <c r="D168" s="46" t="str">
        <f aca="false">IF($AF168="","",IF($AF168&lt;=1200,IF(INDEX(对接源_01水果!$G$4:$G$1203,$AF168)=0,"",INDEX(对接源_01水果!$G$4:$G$1203,$AF168)),IF(INDEX(对接源_02物料!$G$4:$G$1203,$AF168-1200)=0,"",INDEX(对接源_02物料!$G$4:$G$1203,$AF168-1200))))</f>
        <v/>
      </c>
      <c r="E168" s="48" t="str">
        <f aca="false">IF($AF168="","",IF($AF168&lt;=1200,IF(INDEX(对接源_01水果!$H$4:$H$1203,$AF168)=0,"",INDEX(对接源_01水果!$H$4:$H$1203,$AF168)),IF(INDEX(对接源_02物料!$H$4:$H$1203,$AF168-1200)=0,"",INDEX(对接源_02物料!$H$4:$H$1203,$AF168-1200))))</f>
        <v/>
      </c>
      <c r="F168" s="46" t="str">
        <f aca="false">IF($AF168="","",IF($AF168&lt;=1200,IF(INDEX(对接源_01水果!$I$4:$I$1203,$AF168)=0,"",INDEX(对接源_01水果!$I$4:$I$1203,$AF168)),IF(INDEX(对接源_02物料!$I$4:$I$1203,$AF168-1200)=0,"",INDEX(对接源_02物料!$I$4:$I$1203,$AF168-1200))))</f>
        <v/>
      </c>
      <c r="G168" s="56" t="str">
        <f aca="false">IF($AF168="","",IF($AF168&lt;=1200,IF(INDEX(对接源_01水果!$J$4:$J$1203,$AF168)=0,"",INDEX(对接源_01水果!$J$4:$J$1203,$AF168)),IF(INDEX(对接源_02物料!$J$4:$J$1203,$AF168-1200)=0,"",INDEX(对接源_02物料!$J$4:$J$1203,$AF168-1200))))</f>
        <v/>
      </c>
      <c r="H168" s="46" t="str">
        <f aca="false"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I168" s="46" t="str">
        <f aca="false"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J168" s="47" t="str">
        <f aca="false"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44" t="str">
        <f aca="false">IFERROR(MATCH(40,_自动清单!$AC$4:$AC$2403,0),"")</f>
        <v/>
      </c>
      <c r="AL168" s="44" t="str">
        <f aca="false">IF($D168="","",$D168)</f>
        <v/>
      </c>
      <c r="AM168" s="44" t="n">
        <f aca="false">IF(AL168="",0,IF(MATCH(AL168,AL$129:AL$208,0)=40,1,0))</f>
        <v>0</v>
      </c>
      <c r="AN168" s="44" t="n">
        <f aca="false">N(AN167)+AM168</f>
        <v>7</v>
      </c>
    </row>
    <row r="169" customFormat="false" ht="18" hidden="false" customHeight="true" outlineLevel="0" collapsed="false">
      <c r="A169" s="40" t="str">
        <f aca="false"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41" t="str">
        <f aca="false"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C169" s="41" t="str">
        <f aca="false">IF($AF169="","",IF($AF169&lt;=1200,IF(INDEX(对接源_01水果!$F$4:$F$1203,$AF169)=0,"",INDEX(对接源_01水果!$F$4:$F$1203,$AF169)),IF(INDEX(对接源_02物料!$F$4:$F$1203,$AF169-1200)=0,"",INDEX(对接源_02物料!$F$4:$F$1203,$AF169-1200))))</f>
        <v/>
      </c>
      <c r="D169" s="41" t="str">
        <f aca="false">IF($AF169="","",IF($AF169&lt;=1200,IF(INDEX(对接源_01水果!$G$4:$G$1203,$AF169)=0,"",INDEX(对接源_01水果!$G$4:$G$1203,$AF169)),IF(INDEX(对接源_02物料!$G$4:$G$1203,$AF169-1200)=0,"",INDEX(对接源_02物料!$G$4:$G$1203,$AF169-1200))))</f>
        <v/>
      </c>
      <c r="E169" s="43" t="str">
        <f aca="false">IF($AF169="","",IF($AF169&lt;=1200,IF(INDEX(对接源_01水果!$H$4:$H$1203,$AF169)=0,"",INDEX(对接源_01水果!$H$4:$H$1203,$AF169)),IF(INDEX(对接源_02物料!$H$4:$H$1203,$AF169-1200)=0,"",INDEX(对接源_02物料!$H$4:$H$1203,$AF169-1200))))</f>
        <v/>
      </c>
      <c r="F169" s="41" t="str">
        <f aca="false">IF($AF169="","",IF($AF169&lt;=1200,IF(INDEX(对接源_01水果!$I$4:$I$1203,$AF169)=0,"",INDEX(对接源_01水果!$I$4:$I$1203,$AF169)),IF(INDEX(对接源_02物料!$I$4:$I$1203,$AF169-1200)=0,"",INDEX(对接源_02物料!$I$4:$I$1203,$AF169-1200))))</f>
        <v/>
      </c>
      <c r="G169" s="55" t="str">
        <f aca="false">IF($AF169="","",IF($AF169&lt;=1200,IF(INDEX(对接源_01水果!$J$4:$J$1203,$AF169)=0,"",INDEX(对接源_01水果!$J$4:$J$1203,$AF169)),IF(INDEX(对接源_02物料!$J$4:$J$1203,$AF169-1200)=0,"",INDEX(对接源_02物料!$J$4:$J$1203,$AF169-1200))))</f>
        <v/>
      </c>
      <c r="H169" s="41" t="str">
        <f aca="false"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I169" s="41" t="str">
        <f aca="false"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J169" s="42" t="str">
        <f aca="false"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44" t="str">
        <f aca="false">IFERROR(MATCH(41,_自动清单!$AC$4:$AC$2403,0),"")</f>
        <v/>
      </c>
      <c r="AL169" s="44" t="str">
        <f aca="false">IF($D169="","",$D169)</f>
        <v/>
      </c>
      <c r="AM169" s="44" t="n">
        <f aca="false">IF(AL169="",0,IF(MATCH(AL169,AL$129:AL$208,0)=41,1,0))</f>
        <v>0</v>
      </c>
      <c r="AN169" s="44" t="n">
        <f aca="false">N(AN168)+AM169</f>
        <v>7</v>
      </c>
    </row>
    <row r="170" customFormat="false" ht="18" hidden="false" customHeight="true" outlineLevel="0" collapsed="false">
      <c r="A170" s="45" t="str">
        <f aca="false"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46" t="str">
        <f aca="false"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C170" s="46" t="str">
        <f aca="false">IF($AF170="","",IF($AF170&lt;=1200,IF(INDEX(对接源_01水果!$F$4:$F$1203,$AF170)=0,"",INDEX(对接源_01水果!$F$4:$F$1203,$AF170)),IF(INDEX(对接源_02物料!$F$4:$F$1203,$AF170-1200)=0,"",INDEX(对接源_02物料!$F$4:$F$1203,$AF170-1200))))</f>
        <v/>
      </c>
      <c r="D170" s="46" t="str">
        <f aca="false">IF($AF170="","",IF($AF170&lt;=1200,IF(INDEX(对接源_01水果!$G$4:$G$1203,$AF170)=0,"",INDEX(对接源_01水果!$G$4:$G$1203,$AF170)),IF(INDEX(对接源_02物料!$G$4:$G$1203,$AF170-1200)=0,"",INDEX(对接源_02物料!$G$4:$G$1203,$AF170-1200))))</f>
        <v/>
      </c>
      <c r="E170" s="48" t="str">
        <f aca="false">IF($AF170="","",IF($AF170&lt;=1200,IF(INDEX(对接源_01水果!$H$4:$H$1203,$AF170)=0,"",INDEX(对接源_01水果!$H$4:$H$1203,$AF170)),IF(INDEX(对接源_02物料!$H$4:$H$1203,$AF170-1200)=0,"",INDEX(对接源_02物料!$H$4:$H$1203,$AF170-1200))))</f>
        <v/>
      </c>
      <c r="F170" s="46" t="str">
        <f aca="false">IF($AF170="","",IF($AF170&lt;=1200,IF(INDEX(对接源_01水果!$I$4:$I$1203,$AF170)=0,"",INDEX(对接源_01水果!$I$4:$I$1203,$AF170)),IF(INDEX(对接源_02物料!$I$4:$I$1203,$AF170-1200)=0,"",INDEX(对接源_02物料!$I$4:$I$1203,$AF170-1200))))</f>
        <v/>
      </c>
      <c r="G170" s="56" t="str">
        <f aca="false">IF($AF170="","",IF($AF170&lt;=1200,IF(INDEX(对接源_01水果!$J$4:$J$1203,$AF170)=0,"",INDEX(对接源_01水果!$J$4:$J$1203,$AF170)),IF(INDEX(对接源_02物料!$J$4:$J$1203,$AF170-1200)=0,"",INDEX(对接源_02物料!$J$4:$J$1203,$AF170-1200))))</f>
        <v/>
      </c>
      <c r="H170" s="46" t="str">
        <f aca="false"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I170" s="46" t="str">
        <f aca="false"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J170" s="47" t="str">
        <f aca="false"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44" t="str">
        <f aca="false">IFERROR(MATCH(42,_自动清单!$AC$4:$AC$2403,0),"")</f>
        <v/>
      </c>
      <c r="AL170" s="44" t="str">
        <f aca="false">IF($D170="","",$D170)</f>
        <v/>
      </c>
      <c r="AM170" s="44" t="n">
        <f aca="false">IF(AL170="",0,IF(MATCH(AL170,AL$129:AL$208,0)=42,1,0))</f>
        <v>0</v>
      </c>
      <c r="AN170" s="44" t="n">
        <f aca="false">N(AN169)+AM170</f>
        <v>7</v>
      </c>
    </row>
    <row r="171" customFormat="false" ht="18" hidden="false" customHeight="true" outlineLevel="0" collapsed="false">
      <c r="A171" s="40" t="str">
        <f aca="false"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41" t="str">
        <f aca="false"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C171" s="41" t="str">
        <f aca="false">IF($AF171="","",IF($AF171&lt;=1200,IF(INDEX(对接源_01水果!$F$4:$F$1203,$AF171)=0,"",INDEX(对接源_01水果!$F$4:$F$1203,$AF171)),IF(INDEX(对接源_02物料!$F$4:$F$1203,$AF171-1200)=0,"",INDEX(对接源_02物料!$F$4:$F$1203,$AF171-1200))))</f>
        <v/>
      </c>
      <c r="D171" s="41" t="str">
        <f aca="false">IF($AF171="","",IF($AF171&lt;=1200,IF(INDEX(对接源_01水果!$G$4:$G$1203,$AF171)=0,"",INDEX(对接源_01水果!$G$4:$G$1203,$AF171)),IF(INDEX(对接源_02物料!$G$4:$G$1203,$AF171-1200)=0,"",INDEX(对接源_02物料!$G$4:$G$1203,$AF171-1200))))</f>
        <v/>
      </c>
      <c r="E171" s="43" t="str">
        <f aca="false">IF($AF171="","",IF($AF171&lt;=1200,IF(INDEX(对接源_01水果!$H$4:$H$1203,$AF171)=0,"",INDEX(对接源_01水果!$H$4:$H$1203,$AF171)),IF(INDEX(对接源_02物料!$H$4:$H$1203,$AF171-1200)=0,"",INDEX(对接源_02物料!$H$4:$H$1203,$AF171-1200))))</f>
        <v/>
      </c>
      <c r="F171" s="41" t="str">
        <f aca="false">IF($AF171="","",IF($AF171&lt;=1200,IF(INDEX(对接源_01水果!$I$4:$I$1203,$AF171)=0,"",INDEX(对接源_01水果!$I$4:$I$1203,$AF171)),IF(INDEX(对接源_02物料!$I$4:$I$1203,$AF171-1200)=0,"",INDEX(对接源_02物料!$I$4:$I$1203,$AF171-1200))))</f>
        <v/>
      </c>
      <c r="G171" s="55" t="str">
        <f aca="false">IF($AF171="","",IF($AF171&lt;=1200,IF(INDEX(对接源_01水果!$J$4:$J$1203,$AF171)=0,"",INDEX(对接源_01水果!$J$4:$J$1203,$AF171)),IF(INDEX(对接源_02物料!$J$4:$J$1203,$AF171-1200)=0,"",INDEX(对接源_02物料!$J$4:$J$1203,$AF171-1200))))</f>
        <v/>
      </c>
      <c r="H171" s="41" t="str">
        <f aca="false"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I171" s="41" t="str">
        <f aca="false"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J171" s="42" t="str">
        <f aca="false"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44" t="str">
        <f aca="false">IFERROR(MATCH(43,_自动清单!$AC$4:$AC$2403,0),"")</f>
        <v/>
      </c>
      <c r="AL171" s="44" t="str">
        <f aca="false">IF($D171="","",$D171)</f>
        <v/>
      </c>
      <c r="AM171" s="44" t="n">
        <f aca="false">IF(AL171="",0,IF(MATCH(AL171,AL$129:AL$208,0)=43,1,0))</f>
        <v>0</v>
      </c>
      <c r="AN171" s="44" t="n">
        <f aca="false">N(AN170)+AM171</f>
        <v>7</v>
      </c>
    </row>
    <row r="172" customFormat="false" ht="18" hidden="false" customHeight="true" outlineLevel="0" collapsed="false">
      <c r="A172" s="45" t="str">
        <f aca="false"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46" t="str">
        <f aca="false"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C172" s="46" t="str">
        <f aca="false">IF($AF172="","",IF($AF172&lt;=1200,IF(INDEX(对接源_01水果!$F$4:$F$1203,$AF172)=0,"",INDEX(对接源_01水果!$F$4:$F$1203,$AF172)),IF(INDEX(对接源_02物料!$F$4:$F$1203,$AF172-1200)=0,"",INDEX(对接源_02物料!$F$4:$F$1203,$AF172-1200))))</f>
        <v/>
      </c>
      <c r="D172" s="46" t="str">
        <f aca="false">IF($AF172="","",IF($AF172&lt;=1200,IF(INDEX(对接源_01水果!$G$4:$G$1203,$AF172)=0,"",INDEX(对接源_01水果!$G$4:$G$1203,$AF172)),IF(INDEX(对接源_02物料!$G$4:$G$1203,$AF172-1200)=0,"",INDEX(对接源_02物料!$G$4:$G$1203,$AF172-1200))))</f>
        <v/>
      </c>
      <c r="E172" s="48" t="str">
        <f aca="false">IF($AF172="","",IF($AF172&lt;=1200,IF(INDEX(对接源_01水果!$H$4:$H$1203,$AF172)=0,"",INDEX(对接源_01水果!$H$4:$H$1203,$AF172)),IF(INDEX(对接源_02物料!$H$4:$H$1203,$AF172-1200)=0,"",INDEX(对接源_02物料!$H$4:$H$1203,$AF172-1200))))</f>
        <v/>
      </c>
      <c r="F172" s="46" t="str">
        <f aca="false">IF($AF172="","",IF($AF172&lt;=1200,IF(INDEX(对接源_01水果!$I$4:$I$1203,$AF172)=0,"",INDEX(对接源_01水果!$I$4:$I$1203,$AF172)),IF(INDEX(对接源_02物料!$I$4:$I$1203,$AF172-1200)=0,"",INDEX(对接源_02物料!$I$4:$I$1203,$AF172-1200))))</f>
        <v/>
      </c>
      <c r="G172" s="56" t="str">
        <f aca="false">IF($AF172="","",IF($AF172&lt;=1200,IF(INDEX(对接源_01水果!$J$4:$J$1203,$AF172)=0,"",INDEX(对接源_01水果!$J$4:$J$1203,$AF172)),IF(INDEX(对接源_02物料!$J$4:$J$1203,$AF172-1200)=0,"",INDEX(对接源_02物料!$J$4:$J$1203,$AF172-1200))))</f>
        <v/>
      </c>
      <c r="H172" s="46" t="str">
        <f aca="false"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I172" s="46" t="str">
        <f aca="false"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J172" s="47" t="str">
        <f aca="false"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44" t="str">
        <f aca="false">IFERROR(MATCH(44,_自动清单!$AC$4:$AC$2403,0),"")</f>
        <v/>
      </c>
      <c r="AL172" s="44" t="str">
        <f aca="false">IF($D172="","",$D172)</f>
        <v/>
      </c>
      <c r="AM172" s="44" t="n">
        <f aca="false">IF(AL172="",0,IF(MATCH(AL172,AL$129:AL$208,0)=44,1,0))</f>
        <v>0</v>
      </c>
      <c r="AN172" s="44" t="n">
        <f aca="false">N(AN171)+AM172</f>
        <v>7</v>
      </c>
    </row>
    <row r="173" customFormat="false" ht="18" hidden="false" customHeight="true" outlineLevel="0" collapsed="false">
      <c r="A173" s="40" t="str">
        <f aca="false"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41" t="str">
        <f aca="false"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C173" s="41" t="str">
        <f aca="false">IF($AF173="","",IF($AF173&lt;=1200,IF(INDEX(对接源_01水果!$F$4:$F$1203,$AF173)=0,"",INDEX(对接源_01水果!$F$4:$F$1203,$AF173)),IF(INDEX(对接源_02物料!$F$4:$F$1203,$AF173-1200)=0,"",INDEX(对接源_02物料!$F$4:$F$1203,$AF173-1200))))</f>
        <v/>
      </c>
      <c r="D173" s="41" t="str">
        <f aca="false">IF($AF173="","",IF($AF173&lt;=1200,IF(INDEX(对接源_01水果!$G$4:$G$1203,$AF173)=0,"",INDEX(对接源_01水果!$G$4:$G$1203,$AF173)),IF(INDEX(对接源_02物料!$G$4:$G$1203,$AF173-1200)=0,"",INDEX(对接源_02物料!$G$4:$G$1203,$AF173-1200))))</f>
        <v/>
      </c>
      <c r="E173" s="43" t="str">
        <f aca="false">IF($AF173="","",IF($AF173&lt;=1200,IF(INDEX(对接源_01水果!$H$4:$H$1203,$AF173)=0,"",INDEX(对接源_01水果!$H$4:$H$1203,$AF173)),IF(INDEX(对接源_02物料!$H$4:$H$1203,$AF173-1200)=0,"",INDEX(对接源_02物料!$H$4:$H$1203,$AF173-1200))))</f>
        <v/>
      </c>
      <c r="F173" s="41" t="str">
        <f aca="false">IF($AF173="","",IF($AF173&lt;=1200,IF(INDEX(对接源_01水果!$I$4:$I$1203,$AF173)=0,"",INDEX(对接源_01水果!$I$4:$I$1203,$AF173)),IF(INDEX(对接源_02物料!$I$4:$I$1203,$AF173-1200)=0,"",INDEX(对接源_02物料!$I$4:$I$1203,$AF173-1200))))</f>
        <v/>
      </c>
      <c r="G173" s="55" t="str">
        <f aca="false">IF($AF173="","",IF($AF173&lt;=1200,IF(INDEX(对接源_01水果!$J$4:$J$1203,$AF173)=0,"",INDEX(对接源_01水果!$J$4:$J$1203,$AF173)),IF(INDEX(对接源_02物料!$J$4:$J$1203,$AF173-1200)=0,"",INDEX(对接源_02物料!$J$4:$J$1203,$AF173-1200))))</f>
        <v/>
      </c>
      <c r="H173" s="41" t="str">
        <f aca="false"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I173" s="41" t="str">
        <f aca="false"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J173" s="42" t="str">
        <f aca="false"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44" t="str">
        <f aca="false">IFERROR(MATCH(45,_自动清单!$AC$4:$AC$2403,0),"")</f>
        <v/>
      </c>
      <c r="AL173" s="44" t="str">
        <f aca="false">IF($D173="","",$D173)</f>
        <v/>
      </c>
      <c r="AM173" s="44" t="n">
        <f aca="false">IF(AL173="",0,IF(MATCH(AL173,AL$129:AL$208,0)=45,1,0))</f>
        <v>0</v>
      </c>
      <c r="AN173" s="44" t="n">
        <f aca="false">N(AN172)+AM173</f>
        <v>7</v>
      </c>
    </row>
    <row r="174" customFormat="false" ht="18" hidden="false" customHeight="true" outlineLevel="0" collapsed="false">
      <c r="A174" s="45" t="str">
        <f aca="false"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46" t="str">
        <f aca="false"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C174" s="46" t="str">
        <f aca="false">IF($AF174="","",IF($AF174&lt;=1200,IF(INDEX(对接源_01水果!$F$4:$F$1203,$AF174)=0,"",INDEX(对接源_01水果!$F$4:$F$1203,$AF174)),IF(INDEX(对接源_02物料!$F$4:$F$1203,$AF174-1200)=0,"",INDEX(对接源_02物料!$F$4:$F$1203,$AF174-1200))))</f>
        <v/>
      </c>
      <c r="D174" s="46" t="str">
        <f aca="false">IF($AF174="","",IF($AF174&lt;=1200,IF(INDEX(对接源_01水果!$G$4:$G$1203,$AF174)=0,"",INDEX(对接源_01水果!$G$4:$G$1203,$AF174)),IF(INDEX(对接源_02物料!$G$4:$G$1203,$AF174-1200)=0,"",INDEX(对接源_02物料!$G$4:$G$1203,$AF174-1200))))</f>
        <v/>
      </c>
      <c r="E174" s="48" t="str">
        <f aca="false">IF($AF174="","",IF($AF174&lt;=1200,IF(INDEX(对接源_01水果!$H$4:$H$1203,$AF174)=0,"",INDEX(对接源_01水果!$H$4:$H$1203,$AF174)),IF(INDEX(对接源_02物料!$H$4:$H$1203,$AF174-1200)=0,"",INDEX(对接源_02物料!$H$4:$H$1203,$AF174-1200))))</f>
        <v/>
      </c>
      <c r="F174" s="46" t="str">
        <f aca="false">IF($AF174="","",IF($AF174&lt;=1200,IF(INDEX(对接源_01水果!$I$4:$I$1203,$AF174)=0,"",INDEX(对接源_01水果!$I$4:$I$1203,$AF174)),IF(INDEX(对接源_02物料!$I$4:$I$1203,$AF174-1200)=0,"",INDEX(对接源_02物料!$I$4:$I$1203,$AF174-1200))))</f>
        <v/>
      </c>
      <c r="G174" s="56" t="str">
        <f aca="false">IF($AF174="","",IF($AF174&lt;=1200,IF(INDEX(对接源_01水果!$J$4:$J$1203,$AF174)=0,"",INDEX(对接源_01水果!$J$4:$J$1203,$AF174)),IF(INDEX(对接源_02物料!$J$4:$J$1203,$AF174-1200)=0,"",INDEX(对接源_02物料!$J$4:$J$1203,$AF174-1200))))</f>
        <v/>
      </c>
      <c r="H174" s="46" t="str">
        <f aca="false"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I174" s="46" t="str">
        <f aca="false"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J174" s="47" t="str">
        <f aca="false"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44" t="str">
        <f aca="false">IFERROR(MATCH(46,_自动清单!$AC$4:$AC$2403,0),"")</f>
        <v/>
      </c>
      <c r="AL174" s="44" t="str">
        <f aca="false">IF($D174="","",$D174)</f>
        <v/>
      </c>
      <c r="AM174" s="44" t="n">
        <f aca="false">IF(AL174="",0,IF(MATCH(AL174,AL$129:AL$208,0)=46,1,0))</f>
        <v>0</v>
      </c>
      <c r="AN174" s="44" t="n">
        <f aca="false">N(AN173)+AM174</f>
        <v>7</v>
      </c>
    </row>
    <row r="175" customFormat="false" ht="18" hidden="false" customHeight="true" outlineLevel="0" collapsed="false">
      <c r="A175" s="40" t="str">
        <f aca="false"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41" t="str">
        <f aca="false"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C175" s="41" t="str">
        <f aca="false">IF($AF175="","",IF($AF175&lt;=1200,IF(INDEX(对接源_01水果!$F$4:$F$1203,$AF175)=0,"",INDEX(对接源_01水果!$F$4:$F$1203,$AF175)),IF(INDEX(对接源_02物料!$F$4:$F$1203,$AF175-1200)=0,"",INDEX(对接源_02物料!$F$4:$F$1203,$AF175-1200))))</f>
        <v/>
      </c>
      <c r="D175" s="41" t="str">
        <f aca="false">IF($AF175="","",IF($AF175&lt;=1200,IF(INDEX(对接源_01水果!$G$4:$G$1203,$AF175)=0,"",INDEX(对接源_01水果!$G$4:$G$1203,$AF175)),IF(INDEX(对接源_02物料!$G$4:$G$1203,$AF175-1200)=0,"",INDEX(对接源_02物料!$G$4:$G$1203,$AF175-1200))))</f>
        <v/>
      </c>
      <c r="E175" s="43" t="str">
        <f aca="false">IF($AF175="","",IF($AF175&lt;=1200,IF(INDEX(对接源_01水果!$H$4:$H$1203,$AF175)=0,"",INDEX(对接源_01水果!$H$4:$H$1203,$AF175)),IF(INDEX(对接源_02物料!$H$4:$H$1203,$AF175-1200)=0,"",INDEX(对接源_02物料!$H$4:$H$1203,$AF175-1200))))</f>
        <v/>
      </c>
      <c r="F175" s="41" t="str">
        <f aca="false">IF($AF175="","",IF($AF175&lt;=1200,IF(INDEX(对接源_01水果!$I$4:$I$1203,$AF175)=0,"",INDEX(对接源_01水果!$I$4:$I$1203,$AF175)),IF(INDEX(对接源_02物料!$I$4:$I$1203,$AF175-1200)=0,"",INDEX(对接源_02物料!$I$4:$I$1203,$AF175-1200))))</f>
        <v/>
      </c>
      <c r="G175" s="55" t="str">
        <f aca="false">IF($AF175="","",IF($AF175&lt;=1200,IF(INDEX(对接源_01水果!$J$4:$J$1203,$AF175)=0,"",INDEX(对接源_01水果!$J$4:$J$1203,$AF175)),IF(INDEX(对接源_02物料!$J$4:$J$1203,$AF175-1200)=0,"",INDEX(对接源_02物料!$J$4:$J$1203,$AF175-1200))))</f>
        <v/>
      </c>
      <c r="H175" s="41" t="str">
        <f aca="false"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I175" s="41" t="str">
        <f aca="false"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J175" s="42" t="str">
        <f aca="false"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44" t="str">
        <f aca="false">IFERROR(MATCH(47,_自动清单!$AC$4:$AC$2403,0),"")</f>
        <v/>
      </c>
      <c r="AL175" s="44" t="str">
        <f aca="false">IF($D175="","",$D175)</f>
        <v/>
      </c>
      <c r="AM175" s="44" t="n">
        <f aca="false">IF(AL175="",0,IF(MATCH(AL175,AL$129:AL$208,0)=47,1,0))</f>
        <v>0</v>
      </c>
      <c r="AN175" s="44" t="n">
        <f aca="false">N(AN174)+AM175</f>
        <v>7</v>
      </c>
    </row>
    <row r="176" customFormat="false" ht="18" hidden="false" customHeight="true" outlineLevel="0" collapsed="false">
      <c r="A176" s="45" t="str">
        <f aca="false"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46" t="str">
        <f aca="false"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C176" s="46" t="str">
        <f aca="false">IF($AF176="","",IF($AF176&lt;=1200,IF(INDEX(对接源_01水果!$F$4:$F$1203,$AF176)=0,"",INDEX(对接源_01水果!$F$4:$F$1203,$AF176)),IF(INDEX(对接源_02物料!$F$4:$F$1203,$AF176-1200)=0,"",INDEX(对接源_02物料!$F$4:$F$1203,$AF176-1200))))</f>
        <v/>
      </c>
      <c r="D176" s="46" t="str">
        <f aca="false">IF($AF176="","",IF($AF176&lt;=1200,IF(INDEX(对接源_01水果!$G$4:$G$1203,$AF176)=0,"",INDEX(对接源_01水果!$G$4:$G$1203,$AF176)),IF(INDEX(对接源_02物料!$G$4:$G$1203,$AF176-1200)=0,"",INDEX(对接源_02物料!$G$4:$G$1203,$AF176-1200))))</f>
        <v/>
      </c>
      <c r="E176" s="48" t="str">
        <f aca="false">IF($AF176="","",IF($AF176&lt;=1200,IF(INDEX(对接源_01水果!$H$4:$H$1203,$AF176)=0,"",INDEX(对接源_01水果!$H$4:$H$1203,$AF176)),IF(INDEX(对接源_02物料!$H$4:$H$1203,$AF176-1200)=0,"",INDEX(对接源_02物料!$H$4:$H$1203,$AF176-1200))))</f>
        <v/>
      </c>
      <c r="F176" s="46" t="str">
        <f aca="false">IF($AF176="","",IF($AF176&lt;=1200,IF(INDEX(对接源_01水果!$I$4:$I$1203,$AF176)=0,"",INDEX(对接源_01水果!$I$4:$I$1203,$AF176)),IF(INDEX(对接源_02物料!$I$4:$I$1203,$AF176-1200)=0,"",INDEX(对接源_02物料!$I$4:$I$1203,$AF176-1200))))</f>
        <v/>
      </c>
      <c r="G176" s="56" t="str">
        <f aca="false">IF($AF176="","",IF($AF176&lt;=1200,IF(INDEX(对接源_01水果!$J$4:$J$1203,$AF176)=0,"",INDEX(对接源_01水果!$J$4:$J$1203,$AF176)),IF(INDEX(对接源_02物料!$J$4:$J$1203,$AF176-1200)=0,"",INDEX(对接源_02物料!$J$4:$J$1203,$AF176-1200))))</f>
        <v/>
      </c>
      <c r="H176" s="46" t="str">
        <f aca="false"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I176" s="46" t="str">
        <f aca="false"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J176" s="47" t="str">
        <f aca="false"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44" t="str">
        <f aca="false">IFERROR(MATCH(48,_自动清单!$AC$4:$AC$2403,0),"")</f>
        <v/>
      </c>
      <c r="AL176" s="44" t="str">
        <f aca="false">IF($D176="","",$D176)</f>
        <v/>
      </c>
      <c r="AM176" s="44" t="n">
        <f aca="false">IF(AL176="",0,IF(MATCH(AL176,AL$129:AL$208,0)=48,1,0))</f>
        <v>0</v>
      </c>
      <c r="AN176" s="44" t="n">
        <f aca="false">N(AN175)+AM176</f>
        <v>7</v>
      </c>
    </row>
    <row r="177" customFormat="false" ht="18" hidden="false" customHeight="true" outlineLevel="0" collapsed="false">
      <c r="A177" s="40" t="str">
        <f aca="false"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41" t="str">
        <f aca="false"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C177" s="41" t="str">
        <f aca="false">IF($AF177="","",IF($AF177&lt;=1200,IF(INDEX(对接源_01水果!$F$4:$F$1203,$AF177)=0,"",INDEX(对接源_01水果!$F$4:$F$1203,$AF177)),IF(INDEX(对接源_02物料!$F$4:$F$1203,$AF177-1200)=0,"",INDEX(对接源_02物料!$F$4:$F$1203,$AF177-1200))))</f>
        <v/>
      </c>
      <c r="D177" s="41" t="str">
        <f aca="false">IF($AF177="","",IF($AF177&lt;=1200,IF(INDEX(对接源_01水果!$G$4:$G$1203,$AF177)=0,"",INDEX(对接源_01水果!$G$4:$G$1203,$AF177)),IF(INDEX(对接源_02物料!$G$4:$G$1203,$AF177-1200)=0,"",INDEX(对接源_02物料!$G$4:$G$1203,$AF177-1200))))</f>
        <v/>
      </c>
      <c r="E177" s="43" t="str">
        <f aca="false">IF($AF177="","",IF($AF177&lt;=1200,IF(INDEX(对接源_01水果!$H$4:$H$1203,$AF177)=0,"",INDEX(对接源_01水果!$H$4:$H$1203,$AF177)),IF(INDEX(对接源_02物料!$H$4:$H$1203,$AF177-1200)=0,"",INDEX(对接源_02物料!$H$4:$H$1203,$AF177-1200))))</f>
        <v/>
      </c>
      <c r="F177" s="41" t="str">
        <f aca="false">IF($AF177="","",IF($AF177&lt;=1200,IF(INDEX(对接源_01水果!$I$4:$I$1203,$AF177)=0,"",INDEX(对接源_01水果!$I$4:$I$1203,$AF177)),IF(INDEX(对接源_02物料!$I$4:$I$1203,$AF177-1200)=0,"",INDEX(对接源_02物料!$I$4:$I$1203,$AF177-1200))))</f>
        <v/>
      </c>
      <c r="G177" s="55" t="str">
        <f aca="false">IF($AF177="","",IF($AF177&lt;=1200,IF(INDEX(对接源_01水果!$J$4:$J$1203,$AF177)=0,"",INDEX(对接源_01水果!$J$4:$J$1203,$AF177)),IF(INDEX(对接源_02物料!$J$4:$J$1203,$AF177-1200)=0,"",INDEX(对接源_02物料!$J$4:$J$1203,$AF177-1200))))</f>
        <v/>
      </c>
      <c r="H177" s="41" t="str">
        <f aca="false"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I177" s="41" t="str">
        <f aca="false"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J177" s="42" t="str">
        <f aca="false"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44" t="str">
        <f aca="false">IFERROR(MATCH(49,_自动清单!$AC$4:$AC$2403,0),"")</f>
        <v/>
      </c>
      <c r="AL177" s="44" t="str">
        <f aca="false">IF($D177="","",$D177)</f>
        <v/>
      </c>
      <c r="AM177" s="44" t="n">
        <f aca="false">IF(AL177="",0,IF(MATCH(AL177,AL$129:AL$208,0)=49,1,0))</f>
        <v>0</v>
      </c>
      <c r="AN177" s="44" t="n">
        <f aca="false">N(AN176)+AM177</f>
        <v>7</v>
      </c>
    </row>
    <row r="178" customFormat="false" ht="18" hidden="false" customHeight="true" outlineLevel="0" collapsed="false">
      <c r="A178" s="45" t="str">
        <f aca="false"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46" t="str">
        <f aca="false"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C178" s="46" t="str">
        <f aca="false">IF($AF178="","",IF($AF178&lt;=1200,IF(INDEX(对接源_01水果!$F$4:$F$1203,$AF178)=0,"",INDEX(对接源_01水果!$F$4:$F$1203,$AF178)),IF(INDEX(对接源_02物料!$F$4:$F$1203,$AF178-1200)=0,"",INDEX(对接源_02物料!$F$4:$F$1203,$AF178-1200))))</f>
        <v/>
      </c>
      <c r="D178" s="46" t="str">
        <f aca="false">IF($AF178="","",IF($AF178&lt;=1200,IF(INDEX(对接源_01水果!$G$4:$G$1203,$AF178)=0,"",INDEX(对接源_01水果!$G$4:$G$1203,$AF178)),IF(INDEX(对接源_02物料!$G$4:$G$1203,$AF178-1200)=0,"",INDEX(对接源_02物料!$G$4:$G$1203,$AF178-1200))))</f>
        <v/>
      </c>
      <c r="E178" s="48" t="str">
        <f aca="false">IF($AF178="","",IF($AF178&lt;=1200,IF(INDEX(对接源_01水果!$H$4:$H$1203,$AF178)=0,"",INDEX(对接源_01水果!$H$4:$H$1203,$AF178)),IF(INDEX(对接源_02物料!$H$4:$H$1203,$AF178-1200)=0,"",INDEX(对接源_02物料!$H$4:$H$1203,$AF178-1200))))</f>
        <v/>
      </c>
      <c r="F178" s="46" t="str">
        <f aca="false">IF($AF178="","",IF($AF178&lt;=1200,IF(INDEX(对接源_01水果!$I$4:$I$1203,$AF178)=0,"",INDEX(对接源_01水果!$I$4:$I$1203,$AF178)),IF(INDEX(对接源_02物料!$I$4:$I$1203,$AF178-1200)=0,"",INDEX(对接源_02物料!$I$4:$I$1203,$AF178-1200))))</f>
        <v/>
      </c>
      <c r="G178" s="56" t="str">
        <f aca="false">IF($AF178="","",IF($AF178&lt;=1200,IF(INDEX(对接源_01水果!$J$4:$J$1203,$AF178)=0,"",INDEX(对接源_01水果!$J$4:$J$1203,$AF178)),IF(INDEX(对接源_02物料!$J$4:$J$1203,$AF178-1200)=0,"",INDEX(对接源_02物料!$J$4:$J$1203,$AF178-1200))))</f>
        <v/>
      </c>
      <c r="H178" s="46" t="str">
        <f aca="false"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I178" s="46" t="str">
        <f aca="false"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J178" s="47" t="str">
        <f aca="false"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44" t="str">
        <f aca="false">IFERROR(MATCH(50,_自动清单!$AC$4:$AC$2403,0),"")</f>
        <v/>
      </c>
      <c r="AL178" s="44" t="str">
        <f aca="false">IF($D178="","",$D178)</f>
        <v/>
      </c>
      <c r="AM178" s="44" t="n">
        <f aca="false">IF(AL178="",0,IF(MATCH(AL178,AL$129:AL$208,0)=50,1,0))</f>
        <v>0</v>
      </c>
      <c r="AN178" s="44" t="n">
        <f aca="false">N(AN177)+AM178</f>
        <v>7</v>
      </c>
    </row>
    <row r="179" customFormat="false" ht="18" hidden="false" customHeight="true" outlineLevel="0" collapsed="false">
      <c r="A179" s="40" t="str">
        <f aca="false"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41" t="str">
        <f aca="false"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C179" s="41" t="str">
        <f aca="false">IF($AF179="","",IF($AF179&lt;=1200,IF(INDEX(对接源_01水果!$F$4:$F$1203,$AF179)=0,"",INDEX(对接源_01水果!$F$4:$F$1203,$AF179)),IF(INDEX(对接源_02物料!$F$4:$F$1203,$AF179-1200)=0,"",INDEX(对接源_02物料!$F$4:$F$1203,$AF179-1200))))</f>
        <v/>
      </c>
      <c r="D179" s="41" t="str">
        <f aca="false">IF($AF179="","",IF($AF179&lt;=1200,IF(INDEX(对接源_01水果!$G$4:$G$1203,$AF179)=0,"",INDEX(对接源_01水果!$G$4:$G$1203,$AF179)),IF(INDEX(对接源_02物料!$G$4:$G$1203,$AF179-1200)=0,"",INDEX(对接源_02物料!$G$4:$G$1203,$AF179-1200))))</f>
        <v/>
      </c>
      <c r="E179" s="43" t="str">
        <f aca="false">IF($AF179="","",IF($AF179&lt;=1200,IF(INDEX(对接源_01水果!$H$4:$H$1203,$AF179)=0,"",INDEX(对接源_01水果!$H$4:$H$1203,$AF179)),IF(INDEX(对接源_02物料!$H$4:$H$1203,$AF179-1200)=0,"",INDEX(对接源_02物料!$H$4:$H$1203,$AF179-1200))))</f>
        <v/>
      </c>
      <c r="F179" s="41" t="str">
        <f aca="false">IF($AF179="","",IF($AF179&lt;=1200,IF(INDEX(对接源_01水果!$I$4:$I$1203,$AF179)=0,"",INDEX(对接源_01水果!$I$4:$I$1203,$AF179)),IF(INDEX(对接源_02物料!$I$4:$I$1203,$AF179-1200)=0,"",INDEX(对接源_02物料!$I$4:$I$1203,$AF179-1200))))</f>
        <v/>
      </c>
      <c r="G179" s="55" t="str">
        <f aca="false">IF($AF179="","",IF($AF179&lt;=1200,IF(INDEX(对接源_01水果!$J$4:$J$1203,$AF179)=0,"",INDEX(对接源_01水果!$J$4:$J$1203,$AF179)),IF(INDEX(对接源_02物料!$J$4:$J$1203,$AF179-1200)=0,"",INDEX(对接源_02物料!$J$4:$J$1203,$AF179-1200))))</f>
        <v/>
      </c>
      <c r="H179" s="41" t="str">
        <f aca="false"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I179" s="41" t="str">
        <f aca="false"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J179" s="42" t="str">
        <f aca="false"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44" t="str">
        <f aca="false">IFERROR(MATCH(51,_自动清单!$AC$4:$AC$2403,0),"")</f>
        <v/>
      </c>
      <c r="AL179" s="44" t="str">
        <f aca="false">IF($D179="","",$D179)</f>
        <v/>
      </c>
      <c r="AM179" s="44" t="n">
        <f aca="false">IF(AL179="",0,IF(MATCH(AL179,AL$129:AL$208,0)=51,1,0))</f>
        <v>0</v>
      </c>
      <c r="AN179" s="44" t="n">
        <f aca="false">N(AN178)+AM179</f>
        <v>7</v>
      </c>
    </row>
    <row r="180" customFormat="false" ht="18" hidden="false" customHeight="true" outlineLevel="0" collapsed="false">
      <c r="A180" s="45" t="str">
        <f aca="false"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46" t="str">
        <f aca="false"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C180" s="46" t="str">
        <f aca="false">IF($AF180="","",IF($AF180&lt;=1200,IF(INDEX(对接源_01水果!$F$4:$F$1203,$AF180)=0,"",INDEX(对接源_01水果!$F$4:$F$1203,$AF180)),IF(INDEX(对接源_02物料!$F$4:$F$1203,$AF180-1200)=0,"",INDEX(对接源_02物料!$F$4:$F$1203,$AF180-1200))))</f>
        <v/>
      </c>
      <c r="D180" s="46" t="str">
        <f aca="false">IF($AF180="","",IF($AF180&lt;=1200,IF(INDEX(对接源_01水果!$G$4:$G$1203,$AF180)=0,"",INDEX(对接源_01水果!$G$4:$G$1203,$AF180)),IF(INDEX(对接源_02物料!$G$4:$G$1203,$AF180-1200)=0,"",INDEX(对接源_02物料!$G$4:$G$1203,$AF180-1200))))</f>
        <v/>
      </c>
      <c r="E180" s="48" t="str">
        <f aca="false">IF($AF180="","",IF($AF180&lt;=1200,IF(INDEX(对接源_01水果!$H$4:$H$1203,$AF180)=0,"",INDEX(对接源_01水果!$H$4:$H$1203,$AF180)),IF(INDEX(对接源_02物料!$H$4:$H$1203,$AF180-1200)=0,"",INDEX(对接源_02物料!$H$4:$H$1203,$AF180-1200))))</f>
        <v/>
      </c>
      <c r="F180" s="46" t="str">
        <f aca="false">IF($AF180="","",IF($AF180&lt;=1200,IF(INDEX(对接源_01水果!$I$4:$I$1203,$AF180)=0,"",INDEX(对接源_01水果!$I$4:$I$1203,$AF180)),IF(INDEX(对接源_02物料!$I$4:$I$1203,$AF180-1200)=0,"",INDEX(对接源_02物料!$I$4:$I$1203,$AF180-1200))))</f>
        <v/>
      </c>
      <c r="G180" s="56" t="str">
        <f aca="false">IF($AF180="","",IF($AF180&lt;=1200,IF(INDEX(对接源_01水果!$J$4:$J$1203,$AF180)=0,"",INDEX(对接源_01水果!$J$4:$J$1203,$AF180)),IF(INDEX(对接源_02物料!$J$4:$J$1203,$AF180-1200)=0,"",INDEX(对接源_02物料!$J$4:$J$1203,$AF180-1200))))</f>
        <v/>
      </c>
      <c r="H180" s="46" t="str">
        <f aca="false"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I180" s="46" t="str">
        <f aca="false"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J180" s="47" t="str">
        <f aca="false"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44" t="str">
        <f aca="false">IFERROR(MATCH(52,_自动清单!$AC$4:$AC$2403,0),"")</f>
        <v/>
      </c>
      <c r="AL180" s="44" t="str">
        <f aca="false">IF($D180="","",$D180)</f>
        <v/>
      </c>
      <c r="AM180" s="44" t="n">
        <f aca="false">IF(AL180="",0,IF(MATCH(AL180,AL$129:AL$208,0)=52,1,0))</f>
        <v>0</v>
      </c>
      <c r="AN180" s="44" t="n">
        <f aca="false">N(AN179)+AM180</f>
        <v>7</v>
      </c>
    </row>
    <row r="181" customFormat="false" ht="18" hidden="false" customHeight="true" outlineLevel="0" collapsed="false">
      <c r="A181" s="40" t="str">
        <f aca="false"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41" t="str">
        <f aca="false"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C181" s="41" t="str">
        <f aca="false">IF($AF181="","",IF($AF181&lt;=1200,IF(INDEX(对接源_01水果!$F$4:$F$1203,$AF181)=0,"",INDEX(对接源_01水果!$F$4:$F$1203,$AF181)),IF(INDEX(对接源_02物料!$F$4:$F$1203,$AF181-1200)=0,"",INDEX(对接源_02物料!$F$4:$F$1203,$AF181-1200))))</f>
        <v/>
      </c>
      <c r="D181" s="41" t="str">
        <f aca="false">IF($AF181="","",IF($AF181&lt;=1200,IF(INDEX(对接源_01水果!$G$4:$G$1203,$AF181)=0,"",INDEX(对接源_01水果!$G$4:$G$1203,$AF181)),IF(INDEX(对接源_02物料!$G$4:$G$1203,$AF181-1200)=0,"",INDEX(对接源_02物料!$G$4:$G$1203,$AF181-1200))))</f>
        <v/>
      </c>
      <c r="E181" s="43" t="str">
        <f aca="false">IF($AF181="","",IF($AF181&lt;=1200,IF(INDEX(对接源_01水果!$H$4:$H$1203,$AF181)=0,"",INDEX(对接源_01水果!$H$4:$H$1203,$AF181)),IF(INDEX(对接源_02物料!$H$4:$H$1203,$AF181-1200)=0,"",INDEX(对接源_02物料!$H$4:$H$1203,$AF181-1200))))</f>
        <v/>
      </c>
      <c r="F181" s="41" t="str">
        <f aca="false">IF($AF181="","",IF($AF181&lt;=1200,IF(INDEX(对接源_01水果!$I$4:$I$1203,$AF181)=0,"",INDEX(对接源_01水果!$I$4:$I$1203,$AF181)),IF(INDEX(对接源_02物料!$I$4:$I$1203,$AF181-1200)=0,"",INDEX(对接源_02物料!$I$4:$I$1203,$AF181-1200))))</f>
        <v/>
      </c>
      <c r="G181" s="55" t="str">
        <f aca="false">IF($AF181="","",IF($AF181&lt;=1200,IF(INDEX(对接源_01水果!$J$4:$J$1203,$AF181)=0,"",INDEX(对接源_01水果!$J$4:$J$1203,$AF181)),IF(INDEX(对接源_02物料!$J$4:$J$1203,$AF181-1200)=0,"",INDEX(对接源_02物料!$J$4:$J$1203,$AF181-1200))))</f>
        <v/>
      </c>
      <c r="H181" s="41" t="str">
        <f aca="false"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I181" s="41" t="str">
        <f aca="false"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J181" s="42" t="str">
        <f aca="false"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44" t="str">
        <f aca="false">IFERROR(MATCH(53,_自动清单!$AC$4:$AC$2403,0),"")</f>
        <v/>
      </c>
      <c r="AL181" s="44" t="str">
        <f aca="false">IF($D181="","",$D181)</f>
        <v/>
      </c>
      <c r="AM181" s="44" t="n">
        <f aca="false">IF(AL181="",0,IF(MATCH(AL181,AL$129:AL$208,0)=53,1,0))</f>
        <v>0</v>
      </c>
      <c r="AN181" s="44" t="n">
        <f aca="false">N(AN180)+AM181</f>
        <v>7</v>
      </c>
    </row>
    <row r="182" customFormat="false" ht="18" hidden="false" customHeight="true" outlineLevel="0" collapsed="false">
      <c r="A182" s="45" t="str">
        <f aca="false"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46" t="str">
        <f aca="false"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C182" s="46" t="str">
        <f aca="false">IF($AF182="","",IF($AF182&lt;=1200,IF(INDEX(对接源_01水果!$F$4:$F$1203,$AF182)=0,"",INDEX(对接源_01水果!$F$4:$F$1203,$AF182)),IF(INDEX(对接源_02物料!$F$4:$F$1203,$AF182-1200)=0,"",INDEX(对接源_02物料!$F$4:$F$1203,$AF182-1200))))</f>
        <v/>
      </c>
      <c r="D182" s="46" t="str">
        <f aca="false">IF($AF182="","",IF($AF182&lt;=1200,IF(INDEX(对接源_01水果!$G$4:$G$1203,$AF182)=0,"",INDEX(对接源_01水果!$G$4:$G$1203,$AF182)),IF(INDEX(对接源_02物料!$G$4:$G$1203,$AF182-1200)=0,"",INDEX(对接源_02物料!$G$4:$G$1203,$AF182-1200))))</f>
        <v/>
      </c>
      <c r="E182" s="48" t="str">
        <f aca="false">IF($AF182="","",IF($AF182&lt;=1200,IF(INDEX(对接源_01水果!$H$4:$H$1203,$AF182)=0,"",INDEX(对接源_01水果!$H$4:$H$1203,$AF182)),IF(INDEX(对接源_02物料!$H$4:$H$1203,$AF182-1200)=0,"",INDEX(对接源_02物料!$H$4:$H$1203,$AF182-1200))))</f>
        <v/>
      </c>
      <c r="F182" s="46" t="str">
        <f aca="false">IF($AF182="","",IF($AF182&lt;=1200,IF(INDEX(对接源_01水果!$I$4:$I$1203,$AF182)=0,"",INDEX(对接源_01水果!$I$4:$I$1203,$AF182)),IF(INDEX(对接源_02物料!$I$4:$I$1203,$AF182-1200)=0,"",INDEX(对接源_02物料!$I$4:$I$1203,$AF182-1200))))</f>
        <v/>
      </c>
      <c r="G182" s="56" t="str">
        <f aca="false">IF($AF182="","",IF($AF182&lt;=1200,IF(INDEX(对接源_01水果!$J$4:$J$1203,$AF182)=0,"",INDEX(对接源_01水果!$J$4:$J$1203,$AF182)),IF(INDEX(对接源_02物料!$J$4:$J$1203,$AF182-1200)=0,"",INDEX(对接源_02物料!$J$4:$J$1203,$AF182-1200))))</f>
        <v/>
      </c>
      <c r="H182" s="46" t="str">
        <f aca="false"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I182" s="46" t="str">
        <f aca="false"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J182" s="47" t="str">
        <f aca="false"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44" t="str">
        <f aca="false">IFERROR(MATCH(54,_自动清单!$AC$4:$AC$2403,0),"")</f>
        <v/>
      </c>
      <c r="AL182" s="44" t="str">
        <f aca="false">IF($D182="","",$D182)</f>
        <v/>
      </c>
      <c r="AM182" s="44" t="n">
        <f aca="false">IF(AL182="",0,IF(MATCH(AL182,AL$129:AL$208,0)=54,1,0))</f>
        <v>0</v>
      </c>
      <c r="AN182" s="44" t="n">
        <f aca="false">N(AN181)+AM182</f>
        <v>7</v>
      </c>
    </row>
    <row r="183" customFormat="false" ht="18" hidden="false" customHeight="true" outlineLevel="0" collapsed="false">
      <c r="A183" s="40" t="str">
        <f aca="false"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41" t="str">
        <f aca="false"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C183" s="41" t="str">
        <f aca="false">IF($AF183="","",IF($AF183&lt;=1200,IF(INDEX(对接源_01水果!$F$4:$F$1203,$AF183)=0,"",INDEX(对接源_01水果!$F$4:$F$1203,$AF183)),IF(INDEX(对接源_02物料!$F$4:$F$1203,$AF183-1200)=0,"",INDEX(对接源_02物料!$F$4:$F$1203,$AF183-1200))))</f>
        <v/>
      </c>
      <c r="D183" s="41" t="str">
        <f aca="false">IF($AF183="","",IF($AF183&lt;=1200,IF(INDEX(对接源_01水果!$G$4:$G$1203,$AF183)=0,"",INDEX(对接源_01水果!$G$4:$G$1203,$AF183)),IF(INDEX(对接源_02物料!$G$4:$G$1203,$AF183-1200)=0,"",INDEX(对接源_02物料!$G$4:$G$1203,$AF183-1200))))</f>
        <v/>
      </c>
      <c r="E183" s="43" t="str">
        <f aca="false">IF($AF183="","",IF($AF183&lt;=1200,IF(INDEX(对接源_01水果!$H$4:$H$1203,$AF183)=0,"",INDEX(对接源_01水果!$H$4:$H$1203,$AF183)),IF(INDEX(对接源_02物料!$H$4:$H$1203,$AF183-1200)=0,"",INDEX(对接源_02物料!$H$4:$H$1203,$AF183-1200))))</f>
        <v/>
      </c>
      <c r="F183" s="41" t="str">
        <f aca="false">IF($AF183="","",IF($AF183&lt;=1200,IF(INDEX(对接源_01水果!$I$4:$I$1203,$AF183)=0,"",INDEX(对接源_01水果!$I$4:$I$1203,$AF183)),IF(INDEX(对接源_02物料!$I$4:$I$1203,$AF183-1200)=0,"",INDEX(对接源_02物料!$I$4:$I$1203,$AF183-1200))))</f>
        <v/>
      </c>
      <c r="G183" s="55" t="str">
        <f aca="false">IF($AF183="","",IF($AF183&lt;=1200,IF(INDEX(对接源_01水果!$J$4:$J$1203,$AF183)=0,"",INDEX(对接源_01水果!$J$4:$J$1203,$AF183)),IF(INDEX(对接源_02物料!$J$4:$J$1203,$AF183-1200)=0,"",INDEX(对接源_02物料!$J$4:$J$1203,$AF183-1200))))</f>
        <v/>
      </c>
      <c r="H183" s="41" t="str">
        <f aca="false"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I183" s="41" t="str">
        <f aca="false"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J183" s="42" t="str">
        <f aca="false"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44" t="str">
        <f aca="false">IFERROR(MATCH(55,_自动清单!$AC$4:$AC$2403,0),"")</f>
        <v/>
      </c>
      <c r="AL183" s="44" t="str">
        <f aca="false">IF($D183="","",$D183)</f>
        <v/>
      </c>
      <c r="AM183" s="44" t="n">
        <f aca="false">IF(AL183="",0,IF(MATCH(AL183,AL$129:AL$208,0)=55,1,0))</f>
        <v>0</v>
      </c>
      <c r="AN183" s="44" t="n">
        <f aca="false">N(AN182)+AM183</f>
        <v>7</v>
      </c>
    </row>
    <row r="184" customFormat="false" ht="18" hidden="false" customHeight="true" outlineLevel="0" collapsed="false">
      <c r="A184" s="45" t="str">
        <f aca="false"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46" t="str">
        <f aca="false"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C184" s="46" t="str">
        <f aca="false">IF($AF184="","",IF($AF184&lt;=1200,IF(INDEX(对接源_01水果!$F$4:$F$1203,$AF184)=0,"",INDEX(对接源_01水果!$F$4:$F$1203,$AF184)),IF(INDEX(对接源_02物料!$F$4:$F$1203,$AF184-1200)=0,"",INDEX(对接源_02物料!$F$4:$F$1203,$AF184-1200))))</f>
        <v/>
      </c>
      <c r="D184" s="46" t="str">
        <f aca="false">IF($AF184="","",IF($AF184&lt;=1200,IF(INDEX(对接源_01水果!$G$4:$G$1203,$AF184)=0,"",INDEX(对接源_01水果!$G$4:$G$1203,$AF184)),IF(INDEX(对接源_02物料!$G$4:$G$1203,$AF184-1200)=0,"",INDEX(对接源_02物料!$G$4:$G$1203,$AF184-1200))))</f>
        <v/>
      </c>
      <c r="E184" s="48" t="str">
        <f aca="false">IF($AF184="","",IF($AF184&lt;=1200,IF(INDEX(对接源_01水果!$H$4:$H$1203,$AF184)=0,"",INDEX(对接源_01水果!$H$4:$H$1203,$AF184)),IF(INDEX(对接源_02物料!$H$4:$H$1203,$AF184-1200)=0,"",INDEX(对接源_02物料!$H$4:$H$1203,$AF184-1200))))</f>
        <v/>
      </c>
      <c r="F184" s="46" t="str">
        <f aca="false">IF($AF184="","",IF($AF184&lt;=1200,IF(INDEX(对接源_01水果!$I$4:$I$1203,$AF184)=0,"",INDEX(对接源_01水果!$I$4:$I$1203,$AF184)),IF(INDEX(对接源_02物料!$I$4:$I$1203,$AF184-1200)=0,"",INDEX(对接源_02物料!$I$4:$I$1203,$AF184-1200))))</f>
        <v/>
      </c>
      <c r="G184" s="56" t="str">
        <f aca="false">IF($AF184="","",IF($AF184&lt;=1200,IF(INDEX(对接源_01水果!$J$4:$J$1203,$AF184)=0,"",INDEX(对接源_01水果!$J$4:$J$1203,$AF184)),IF(INDEX(对接源_02物料!$J$4:$J$1203,$AF184-1200)=0,"",INDEX(对接源_02物料!$J$4:$J$1203,$AF184-1200))))</f>
        <v/>
      </c>
      <c r="H184" s="46" t="str">
        <f aca="false"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I184" s="46" t="str">
        <f aca="false"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J184" s="47" t="str">
        <f aca="false"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44" t="str">
        <f aca="false">IFERROR(MATCH(56,_自动清单!$AC$4:$AC$2403,0),"")</f>
        <v/>
      </c>
      <c r="AL184" s="44" t="str">
        <f aca="false">IF($D184="","",$D184)</f>
        <v/>
      </c>
      <c r="AM184" s="44" t="n">
        <f aca="false">IF(AL184="",0,IF(MATCH(AL184,AL$129:AL$208,0)=56,1,0))</f>
        <v>0</v>
      </c>
      <c r="AN184" s="44" t="n">
        <f aca="false">N(AN183)+AM184</f>
        <v>7</v>
      </c>
    </row>
    <row r="185" customFormat="false" ht="18" hidden="false" customHeight="true" outlineLevel="0" collapsed="false">
      <c r="A185" s="40" t="str">
        <f aca="false"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41" t="str">
        <f aca="false"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C185" s="41" t="str">
        <f aca="false">IF($AF185="","",IF($AF185&lt;=1200,IF(INDEX(对接源_01水果!$F$4:$F$1203,$AF185)=0,"",INDEX(对接源_01水果!$F$4:$F$1203,$AF185)),IF(INDEX(对接源_02物料!$F$4:$F$1203,$AF185-1200)=0,"",INDEX(对接源_02物料!$F$4:$F$1203,$AF185-1200))))</f>
        <v/>
      </c>
      <c r="D185" s="41" t="str">
        <f aca="false">IF($AF185="","",IF($AF185&lt;=1200,IF(INDEX(对接源_01水果!$G$4:$G$1203,$AF185)=0,"",INDEX(对接源_01水果!$G$4:$G$1203,$AF185)),IF(INDEX(对接源_02物料!$G$4:$G$1203,$AF185-1200)=0,"",INDEX(对接源_02物料!$G$4:$G$1203,$AF185-1200))))</f>
        <v/>
      </c>
      <c r="E185" s="43" t="str">
        <f aca="false">IF($AF185="","",IF($AF185&lt;=1200,IF(INDEX(对接源_01水果!$H$4:$H$1203,$AF185)=0,"",INDEX(对接源_01水果!$H$4:$H$1203,$AF185)),IF(INDEX(对接源_02物料!$H$4:$H$1203,$AF185-1200)=0,"",INDEX(对接源_02物料!$H$4:$H$1203,$AF185-1200))))</f>
        <v/>
      </c>
      <c r="F185" s="41" t="str">
        <f aca="false">IF($AF185="","",IF($AF185&lt;=1200,IF(INDEX(对接源_01水果!$I$4:$I$1203,$AF185)=0,"",INDEX(对接源_01水果!$I$4:$I$1203,$AF185)),IF(INDEX(对接源_02物料!$I$4:$I$1203,$AF185-1200)=0,"",INDEX(对接源_02物料!$I$4:$I$1203,$AF185-1200))))</f>
        <v/>
      </c>
      <c r="G185" s="55" t="str">
        <f aca="false">IF($AF185="","",IF($AF185&lt;=1200,IF(INDEX(对接源_01水果!$J$4:$J$1203,$AF185)=0,"",INDEX(对接源_01水果!$J$4:$J$1203,$AF185)),IF(INDEX(对接源_02物料!$J$4:$J$1203,$AF185-1200)=0,"",INDEX(对接源_02物料!$J$4:$J$1203,$AF185-1200))))</f>
        <v/>
      </c>
      <c r="H185" s="41" t="str">
        <f aca="false"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I185" s="41" t="str">
        <f aca="false"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J185" s="42" t="str">
        <f aca="false"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44" t="str">
        <f aca="false">IFERROR(MATCH(57,_自动清单!$AC$4:$AC$2403,0),"")</f>
        <v/>
      </c>
      <c r="AL185" s="44" t="str">
        <f aca="false">IF($D185="","",$D185)</f>
        <v/>
      </c>
      <c r="AM185" s="44" t="n">
        <f aca="false">IF(AL185="",0,IF(MATCH(AL185,AL$129:AL$208,0)=57,1,0))</f>
        <v>0</v>
      </c>
      <c r="AN185" s="44" t="n">
        <f aca="false">N(AN184)+AM185</f>
        <v>7</v>
      </c>
    </row>
    <row r="186" customFormat="false" ht="18" hidden="false" customHeight="true" outlineLevel="0" collapsed="false">
      <c r="A186" s="45" t="str">
        <f aca="false"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46" t="str">
        <f aca="false"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C186" s="46" t="str">
        <f aca="false">IF($AF186="","",IF($AF186&lt;=1200,IF(INDEX(对接源_01水果!$F$4:$F$1203,$AF186)=0,"",INDEX(对接源_01水果!$F$4:$F$1203,$AF186)),IF(INDEX(对接源_02物料!$F$4:$F$1203,$AF186-1200)=0,"",INDEX(对接源_02物料!$F$4:$F$1203,$AF186-1200))))</f>
        <v/>
      </c>
      <c r="D186" s="46" t="str">
        <f aca="false">IF($AF186="","",IF($AF186&lt;=1200,IF(INDEX(对接源_01水果!$G$4:$G$1203,$AF186)=0,"",INDEX(对接源_01水果!$G$4:$G$1203,$AF186)),IF(INDEX(对接源_02物料!$G$4:$G$1203,$AF186-1200)=0,"",INDEX(对接源_02物料!$G$4:$G$1203,$AF186-1200))))</f>
        <v/>
      </c>
      <c r="E186" s="48" t="str">
        <f aca="false">IF($AF186="","",IF($AF186&lt;=1200,IF(INDEX(对接源_01水果!$H$4:$H$1203,$AF186)=0,"",INDEX(对接源_01水果!$H$4:$H$1203,$AF186)),IF(INDEX(对接源_02物料!$H$4:$H$1203,$AF186-1200)=0,"",INDEX(对接源_02物料!$H$4:$H$1203,$AF186-1200))))</f>
        <v/>
      </c>
      <c r="F186" s="46" t="str">
        <f aca="false">IF($AF186="","",IF($AF186&lt;=1200,IF(INDEX(对接源_01水果!$I$4:$I$1203,$AF186)=0,"",INDEX(对接源_01水果!$I$4:$I$1203,$AF186)),IF(INDEX(对接源_02物料!$I$4:$I$1203,$AF186-1200)=0,"",INDEX(对接源_02物料!$I$4:$I$1203,$AF186-1200))))</f>
        <v/>
      </c>
      <c r="G186" s="56" t="str">
        <f aca="false">IF($AF186="","",IF($AF186&lt;=1200,IF(INDEX(对接源_01水果!$J$4:$J$1203,$AF186)=0,"",INDEX(对接源_01水果!$J$4:$J$1203,$AF186)),IF(INDEX(对接源_02物料!$J$4:$J$1203,$AF186-1200)=0,"",INDEX(对接源_02物料!$J$4:$J$1203,$AF186-1200))))</f>
        <v/>
      </c>
      <c r="H186" s="46" t="str">
        <f aca="false"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I186" s="46" t="str">
        <f aca="false"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J186" s="47" t="str">
        <f aca="false"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44" t="str">
        <f aca="false">IFERROR(MATCH(58,_自动清单!$AC$4:$AC$2403,0),"")</f>
        <v/>
      </c>
      <c r="AL186" s="44" t="str">
        <f aca="false">IF($D186="","",$D186)</f>
        <v/>
      </c>
      <c r="AM186" s="44" t="n">
        <f aca="false">IF(AL186="",0,IF(MATCH(AL186,AL$129:AL$208,0)=58,1,0))</f>
        <v>0</v>
      </c>
      <c r="AN186" s="44" t="n">
        <f aca="false">N(AN185)+AM186</f>
        <v>7</v>
      </c>
    </row>
    <row r="187" customFormat="false" ht="18" hidden="false" customHeight="true" outlineLevel="0" collapsed="false">
      <c r="A187" s="40" t="str">
        <f aca="false"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41" t="str">
        <f aca="false"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C187" s="41" t="str">
        <f aca="false">IF($AF187="","",IF($AF187&lt;=1200,IF(INDEX(对接源_01水果!$F$4:$F$1203,$AF187)=0,"",INDEX(对接源_01水果!$F$4:$F$1203,$AF187)),IF(INDEX(对接源_02物料!$F$4:$F$1203,$AF187-1200)=0,"",INDEX(对接源_02物料!$F$4:$F$1203,$AF187-1200))))</f>
        <v/>
      </c>
      <c r="D187" s="41" t="str">
        <f aca="false">IF($AF187="","",IF($AF187&lt;=1200,IF(INDEX(对接源_01水果!$G$4:$G$1203,$AF187)=0,"",INDEX(对接源_01水果!$G$4:$G$1203,$AF187)),IF(INDEX(对接源_02物料!$G$4:$G$1203,$AF187-1200)=0,"",INDEX(对接源_02物料!$G$4:$G$1203,$AF187-1200))))</f>
        <v/>
      </c>
      <c r="E187" s="43" t="str">
        <f aca="false">IF($AF187="","",IF($AF187&lt;=1200,IF(INDEX(对接源_01水果!$H$4:$H$1203,$AF187)=0,"",INDEX(对接源_01水果!$H$4:$H$1203,$AF187)),IF(INDEX(对接源_02物料!$H$4:$H$1203,$AF187-1200)=0,"",INDEX(对接源_02物料!$H$4:$H$1203,$AF187-1200))))</f>
        <v/>
      </c>
      <c r="F187" s="41" t="str">
        <f aca="false">IF($AF187="","",IF($AF187&lt;=1200,IF(INDEX(对接源_01水果!$I$4:$I$1203,$AF187)=0,"",INDEX(对接源_01水果!$I$4:$I$1203,$AF187)),IF(INDEX(对接源_02物料!$I$4:$I$1203,$AF187-1200)=0,"",INDEX(对接源_02物料!$I$4:$I$1203,$AF187-1200))))</f>
        <v/>
      </c>
      <c r="G187" s="55" t="str">
        <f aca="false">IF($AF187="","",IF($AF187&lt;=1200,IF(INDEX(对接源_01水果!$J$4:$J$1203,$AF187)=0,"",INDEX(对接源_01水果!$J$4:$J$1203,$AF187)),IF(INDEX(对接源_02物料!$J$4:$J$1203,$AF187-1200)=0,"",INDEX(对接源_02物料!$J$4:$J$1203,$AF187-1200))))</f>
        <v/>
      </c>
      <c r="H187" s="41" t="str">
        <f aca="false"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I187" s="41" t="str">
        <f aca="false"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J187" s="42" t="str">
        <f aca="false"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44" t="str">
        <f aca="false">IFERROR(MATCH(59,_自动清单!$AC$4:$AC$2403,0),"")</f>
        <v/>
      </c>
      <c r="AL187" s="44" t="str">
        <f aca="false">IF($D187="","",$D187)</f>
        <v/>
      </c>
      <c r="AM187" s="44" t="n">
        <f aca="false">IF(AL187="",0,IF(MATCH(AL187,AL$129:AL$208,0)=59,1,0))</f>
        <v>0</v>
      </c>
      <c r="AN187" s="44" t="n">
        <f aca="false">N(AN186)+AM187</f>
        <v>7</v>
      </c>
    </row>
    <row r="188" customFormat="false" ht="18" hidden="false" customHeight="true" outlineLevel="0" collapsed="false">
      <c r="A188" s="45" t="str">
        <f aca="false"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46" t="str">
        <f aca="false"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C188" s="46" t="str">
        <f aca="false">IF($AF188="","",IF($AF188&lt;=1200,IF(INDEX(对接源_01水果!$F$4:$F$1203,$AF188)=0,"",INDEX(对接源_01水果!$F$4:$F$1203,$AF188)),IF(INDEX(对接源_02物料!$F$4:$F$1203,$AF188-1200)=0,"",INDEX(对接源_02物料!$F$4:$F$1203,$AF188-1200))))</f>
        <v/>
      </c>
      <c r="D188" s="46" t="str">
        <f aca="false">IF($AF188="","",IF($AF188&lt;=1200,IF(INDEX(对接源_01水果!$G$4:$G$1203,$AF188)=0,"",INDEX(对接源_01水果!$G$4:$G$1203,$AF188)),IF(INDEX(对接源_02物料!$G$4:$G$1203,$AF188-1200)=0,"",INDEX(对接源_02物料!$G$4:$G$1203,$AF188-1200))))</f>
        <v/>
      </c>
      <c r="E188" s="48" t="str">
        <f aca="false">IF($AF188="","",IF($AF188&lt;=1200,IF(INDEX(对接源_01水果!$H$4:$H$1203,$AF188)=0,"",INDEX(对接源_01水果!$H$4:$H$1203,$AF188)),IF(INDEX(对接源_02物料!$H$4:$H$1203,$AF188-1200)=0,"",INDEX(对接源_02物料!$H$4:$H$1203,$AF188-1200))))</f>
        <v/>
      </c>
      <c r="F188" s="46" t="str">
        <f aca="false">IF($AF188="","",IF($AF188&lt;=1200,IF(INDEX(对接源_01水果!$I$4:$I$1203,$AF188)=0,"",INDEX(对接源_01水果!$I$4:$I$1203,$AF188)),IF(INDEX(对接源_02物料!$I$4:$I$1203,$AF188-1200)=0,"",INDEX(对接源_02物料!$I$4:$I$1203,$AF188-1200))))</f>
        <v/>
      </c>
      <c r="G188" s="56" t="str">
        <f aca="false">IF($AF188="","",IF($AF188&lt;=1200,IF(INDEX(对接源_01水果!$J$4:$J$1203,$AF188)=0,"",INDEX(对接源_01水果!$J$4:$J$1203,$AF188)),IF(INDEX(对接源_02物料!$J$4:$J$1203,$AF188-1200)=0,"",INDEX(对接源_02物料!$J$4:$J$1203,$AF188-1200))))</f>
        <v/>
      </c>
      <c r="H188" s="46" t="str">
        <f aca="false"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I188" s="46" t="str">
        <f aca="false"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J188" s="47" t="str">
        <f aca="false"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44" t="str">
        <f aca="false">IFERROR(MATCH(60,_自动清单!$AC$4:$AC$2403,0),"")</f>
        <v/>
      </c>
      <c r="AL188" s="44" t="str">
        <f aca="false">IF($D188="","",$D188)</f>
        <v/>
      </c>
      <c r="AM188" s="44" t="n">
        <f aca="false">IF(AL188="",0,IF(MATCH(AL188,AL$129:AL$208,0)=60,1,0))</f>
        <v>0</v>
      </c>
      <c r="AN188" s="44" t="n">
        <f aca="false">N(AN187)+AM188</f>
        <v>7</v>
      </c>
    </row>
    <row r="189" customFormat="false" ht="18" hidden="false" customHeight="true" outlineLevel="0" collapsed="false">
      <c r="A189" s="40" t="str">
        <f aca="false"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41" t="str">
        <f aca="false"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C189" s="41" t="str">
        <f aca="false">IF($AF189="","",IF($AF189&lt;=1200,IF(INDEX(对接源_01水果!$F$4:$F$1203,$AF189)=0,"",INDEX(对接源_01水果!$F$4:$F$1203,$AF189)),IF(INDEX(对接源_02物料!$F$4:$F$1203,$AF189-1200)=0,"",INDEX(对接源_02物料!$F$4:$F$1203,$AF189-1200))))</f>
        <v/>
      </c>
      <c r="D189" s="41" t="str">
        <f aca="false">IF($AF189="","",IF($AF189&lt;=1200,IF(INDEX(对接源_01水果!$G$4:$G$1203,$AF189)=0,"",INDEX(对接源_01水果!$G$4:$G$1203,$AF189)),IF(INDEX(对接源_02物料!$G$4:$G$1203,$AF189-1200)=0,"",INDEX(对接源_02物料!$G$4:$G$1203,$AF189-1200))))</f>
        <v/>
      </c>
      <c r="E189" s="43" t="str">
        <f aca="false">IF($AF189="","",IF($AF189&lt;=1200,IF(INDEX(对接源_01水果!$H$4:$H$1203,$AF189)=0,"",INDEX(对接源_01水果!$H$4:$H$1203,$AF189)),IF(INDEX(对接源_02物料!$H$4:$H$1203,$AF189-1200)=0,"",INDEX(对接源_02物料!$H$4:$H$1203,$AF189-1200))))</f>
        <v/>
      </c>
      <c r="F189" s="41" t="str">
        <f aca="false">IF($AF189="","",IF($AF189&lt;=1200,IF(INDEX(对接源_01水果!$I$4:$I$1203,$AF189)=0,"",INDEX(对接源_01水果!$I$4:$I$1203,$AF189)),IF(INDEX(对接源_02物料!$I$4:$I$1203,$AF189-1200)=0,"",INDEX(对接源_02物料!$I$4:$I$1203,$AF189-1200))))</f>
        <v/>
      </c>
      <c r="G189" s="55" t="str">
        <f aca="false">IF($AF189="","",IF($AF189&lt;=1200,IF(INDEX(对接源_01水果!$J$4:$J$1203,$AF189)=0,"",INDEX(对接源_01水果!$J$4:$J$1203,$AF189)),IF(INDEX(对接源_02物料!$J$4:$J$1203,$AF189-1200)=0,"",INDEX(对接源_02物料!$J$4:$J$1203,$AF189-1200))))</f>
        <v/>
      </c>
      <c r="H189" s="41" t="str">
        <f aca="false"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I189" s="41" t="str">
        <f aca="false"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J189" s="42" t="str">
        <f aca="false"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44" t="str">
        <f aca="false">IFERROR(MATCH(61,_自动清单!$AC$4:$AC$2403,0),"")</f>
        <v/>
      </c>
      <c r="AL189" s="44" t="str">
        <f aca="false">IF($D189="","",$D189)</f>
        <v/>
      </c>
      <c r="AM189" s="44" t="n">
        <f aca="false">IF(AL189="",0,IF(MATCH(AL189,AL$129:AL$208,0)=61,1,0))</f>
        <v>0</v>
      </c>
      <c r="AN189" s="44" t="n">
        <f aca="false">N(AN188)+AM189</f>
        <v>7</v>
      </c>
    </row>
    <row r="190" customFormat="false" ht="18" hidden="false" customHeight="true" outlineLevel="0" collapsed="false">
      <c r="A190" s="45" t="str">
        <f aca="false"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46" t="str">
        <f aca="false"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C190" s="46" t="str">
        <f aca="false">IF($AF190="","",IF($AF190&lt;=1200,IF(INDEX(对接源_01水果!$F$4:$F$1203,$AF190)=0,"",INDEX(对接源_01水果!$F$4:$F$1203,$AF190)),IF(INDEX(对接源_02物料!$F$4:$F$1203,$AF190-1200)=0,"",INDEX(对接源_02物料!$F$4:$F$1203,$AF190-1200))))</f>
        <v/>
      </c>
      <c r="D190" s="46" t="str">
        <f aca="false">IF($AF190="","",IF($AF190&lt;=1200,IF(INDEX(对接源_01水果!$G$4:$G$1203,$AF190)=0,"",INDEX(对接源_01水果!$G$4:$G$1203,$AF190)),IF(INDEX(对接源_02物料!$G$4:$G$1203,$AF190-1200)=0,"",INDEX(对接源_02物料!$G$4:$G$1203,$AF190-1200))))</f>
        <v/>
      </c>
      <c r="E190" s="48" t="str">
        <f aca="false">IF($AF190="","",IF($AF190&lt;=1200,IF(INDEX(对接源_01水果!$H$4:$H$1203,$AF190)=0,"",INDEX(对接源_01水果!$H$4:$H$1203,$AF190)),IF(INDEX(对接源_02物料!$H$4:$H$1203,$AF190-1200)=0,"",INDEX(对接源_02物料!$H$4:$H$1203,$AF190-1200))))</f>
        <v/>
      </c>
      <c r="F190" s="46" t="str">
        <f aca="false">IF($AF190="","",IF($AF190&lt;=1200,IF(INDEX(对接源_01水果!$I$4:$I$1203,$AF190)=0,"",INDEX(对接源_01水果!$I$4:$I$1203,$AF190)),IF(INDEX(对接源_02物料!$I$4:$I$1203,$AF190-1200)=0,"",INDEX(对接源_02物料!$I$4:$I$1203,$AF190-1200))))</f>
        <v/>
      </c>
      <c r="G190" s="56" t="str">
        <f aca="false">IF($AF190="","",IF($AF190&lt;=1200,IF(INDEX(对接源_01水果!$J$4:$J$1203,$AF190)=0,"",INDEX(对接源_01水果!$J$4:$J$1203,$AF190)),IF(INDEX(对接源_02物料!$J$4:$J$1203,$AF190-1200)=0,"",INDEX(对接源_02物料!$J$4:$J$1203,$AF190-1200))))</f>
        <v/>
      </c>
      <c r="H190" s="46" t="str">
        <f aca="false"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I190" s="46" t="str">
        <f aca="false"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J190" s="47" t="str">
        <f aca="false"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44" t="str">
        <f aca="false">IFERROR(MATCH(62,_自动清单!$AC$4:$AC$2403,0),"")</f>
        <v/>
      </c>
      <c r="AL190" s="44" t="str">
        <f aca="false">IF($D190="","",$D190)</f>
        <v/>
      </c>
      <c r="AM190" s="44" t="n">
        <f aca="false">IF(AL190="",0,IF(MATCH(AL190,AL$129:AL$208,0)=62,1,0))</f>
        <v>0</v>
      </c>
      <c r="AN190" s="44" t="n">
        <f aca="false">N(AN189)+AM190</f>
        <v>7</v>
      </c>
    </row>
    <row r="191" customFormat="false" ht="18" hidden="false" customHeight="true" outlineLevel="0" collapsed="false">
      <c r="A191" s="40" t="str">
        <f aca="false"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41" t="str">
        <f aca="false"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C191" s="41" t="str">
        <f aca="false">IF($AF191="","",IF($AF191&lt;=1200,IF(INDEX(对接源_01水果!$F$4:$F$1203,$AF191)=0,"",INDEX(对接源_01水果!$F$4:$F$1203,$AF191)),IF(INDEX(对接源_02物料!$F$4:$F$1203,$AF191-1200)=0,"",INDEX(对接源_02物料!$F$4:$F$1203,$AF191-1200))))</f>
        <v/>
      </c>
      <c r="D191" s="41" t="str">
        <f aca="false">IF($AF191="","",IF($AF191&lt;=1200,IF(INDEX(对接源_01水果!$G$4:$G$1203,$AF191)=0,"",INDEX(对接源_01水果!$G$4:$G$1203,$AF191)),IF(INDEX(对接源_02物料!$G$4:$G$1203,$AF191-1200)=0,"",INDEX(对接源_02物料!$G$4:$G$1203,$AF191-1200))))</f>
        <v/>
      </c>
      <c r="E191" s="43" t="str">
        <f aca="false">IF($AF191="","",IF($AF191&lt;=1200,IF(INDEX(对接源_01水果!$H$4:$H$1203,$AF191)=0,"",INDEX(对接源_01水果!$H$4:$H$1203,$AF191)),IF(INDEX(对接源_02物料!$H$4:$H$1203,$AF191-1200)=0,"",INDEX(对接源_02物料!$H$4:$H$1203,$AF191-1200))))</f>
        <v/>
      </c>
      <c r="F191" s="41" t="str">
        <f aca="false">IF($AF191="","",IF($AF191&lt;=1200,IF(INDEX(对接源_01水果!$I$4:$I$1203,$AF191)=0,"",INDEX(对接源_01水果!$I$4:$I$1203,$AF191)),IF(INDEX(对接源_02物料!$I$4:$I$1203,$AF191-1200)=0,"",INDEX(对接源_02物料!$I$4:$I$1203,$AF191-1200))))</f>
        <v/>
      </c>
      <c r="G191" s="55" t="str">
        <f aca="false">IF($AF191="","",IF($AF191&lt;=1200,IF(INDEX(对接源_01水果!$J$4:$J$1203,$AF191)=0,"",INDEX(对接源_01水果!$J$4:$J$1203,$AF191)),IF(INDEX(对接源_02物料!$J$4:$J$1203,$AF191-1200)=0,"",INDEX(对接源_02物料!$J$4:$J$1203,$AF191-1200))))</f>
        <v/>
      </c>
      <c r="H191" s="41" t="str">
        <f aca="false"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I191" s="41" t="str">
        <f aca="false"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J191" s="42" t="str">
        <f aca="false"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44" t="str">
        <f aca="false">IFERROR(MATCH(63,_自动清单!$AC$4:$AC$2403,0),"")</f>
        <v/>
      </c>
      <c r="AL191" s="44" t="str">
        <f aca="false">IF($D191="","",$D191)</f>
        <v/>
      </c>
      <c r="AM191" s="44" t="n">
        <f aca="false">IF(AL191="",0,IF(MATCH(AL191,AL$129:AL$208,0)=63,1,0))</f>
        <v>0</v>
      </c>
      <c r="AN191" s="44" t="n">
        <f aca="false">N(AN190)+AM191</f>
        <v>7</v>
      </c>
    </row>
    <row r="192" customFormat="false" ht="18" hidden="false" customHeight="true" outlineLevel="0" collapsed="false">
      <c r="A192" s="45" t="str">
        <f aca="false"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46" t="str">
        <f aca="false"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C192" s="46" t="str">
        <f aca="false">IF($AF192="","",IF($AF192&lt;=1200,IF(INDEX(对接源_01水果!$F$4:$F$1203,$AF192)=0,"",INDEX(对接源_01水果!$F$4:$F$1203,$AF192)),IF(INDEX(对接源_02物料!$F$4:$F$1203,$AF192-1200)=0,"",INDEX(对接源_02物料!$F$4:$F$1203,$AF192-1200))))</f>
        <v/>
      </c>
      <c r="D192" s="46" t="str">
        <f aca="false">IF($AF192="","",IF($AF192&lt;=1200,IF(INDEX(对接源_01水果!$G$4:$G$1203,$AF192)=0,"",INDEX(对接源_01水果!$G$4:$G$1203,$AF192)),IF(INDEX(对接源_02物料!$G$4:$G$1203,$AF192-1200)=0,"",INDEX(对接源_02物料!$G$4:$G$1203,$AF192-1200))))</f>
        <v/>
      </c>
      <c r="E192" s="48" t="str">
        <f aca="false">IF($AF192="","",IF($AF192&lt;=1200,IF(INDEX(对接源_01水果!$H$4:$H$1203,$AF192)=0,"",INDEX(对接源_01水果!$H$4:$H$1203,$AF192)),IF(INDEX(对接源_02物料!$H$4:$H$1203,$AF192-1200)=0,"",INDEX(对接源_02物料!$H$4:$H$1203,$AF192-1200))))</f>
        <v/>
      </c>
      <c r="F192" s="46" t="str">
        <f aca="false">IF($AF192="","",IF($AF192&lt;=1200,IF(INDEX(对接源_01水果!$I$4:$I$1203,$AF192)=0,"",INDEX(对接源_01水果!$I$4:$I$1203,$AF192)),IF(INDEX(对接源_02物料!$I$4:$I$1203,$AF192-1200)=0,"",INDEX(对接源_02物料!$I$4:$I$1203,$AF192-1200))))</f>
        <v/>
      </c>
      <c r="G192" s="56" t="str">
        <f aca="false">IF($AF192="","",IF($AF192&lt;=1200,IF(INDEX(对接源_01水果!$J$4:$J$1203,$AF192)=0,"",INDEX(对接源_01水果!$J$4:$J$1203,$AF192)),IF(INDEX(对接源_02物料!$J$4:$J$1203,$AF192-1200)=0,"",INDEX(对接源_02物料!$J$4:$J$1203,$AF192-1200))))</f>
        <v/>
      </c>
      <c r="H192" s="46" t="str">
        <f aca="false"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I192" s="46" t="str">
        <f aca="false"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J192" s="47" t="str">
        <f aca="false"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44" t="str">
        <f aca="false">IFERROR(MATCH(64,_自动清单!$AC$4:$AC$2403,0),"")</f>
        <v/>
      </c>
      <c r="AL192" s="44" t="str">
        <f aca="false">IF($D192="","",$D192)</f>
        <v/>
      </c>
      <c r="AM192" s="44" t="n">
        <f aca="false">IF(AL192="",0,IF(MATCH(AL192,AL$129:AL$208,0)=64,1,0))</f>
        <v>0</v>
      </c>
      <c r="AN192" s="44" t="n">
        <f aca="false">N(AN191)+AM192</f>
        <v>7</v>
      </c>
    </row>
    <row r="193" customFormat="false" ht="18" hidden="false" customHeight="true" outlineLevel="0" collapsed="false">
      <c r="A193" s="40" t="str">
        <f aca="false"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41" t="str">
        <f aca="false"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C193" s="41" t="str">
        <f aca="false">IF($AF193="","",IF($AF193&lt;=1200,IF(INDEX(对接源_01水果!$F$4:$F$1203,$AF193)=0,"",INDEX(对接源_01水果!$F$4:$F$1203,$AF193)),IF(INDEX(对接源_02物料!$F$4:$F$1203,$AF193-1200)=0,"",INDEX(对接源_02物料!$F$4:$F$1203,$AF193-1200))))</f>
        <v/>
      </c>
      <c r="D193" s="41" t="str">
        <f aca="false">IF($AF193="","",IF($AF193&lt;=1200,IF(INDEX(对接源_01水果!$G$4:$G$1203,$AF193)=0,"",INDEX(对接源_01水果!$G$4:$G$1203,$AF193)),IF(INDEX(对接源_02物料!$G$4:$G$1203,$AF193-1200)=0,"",INDEX(对接源_02物料!$G$4:$G$1203,$AF193-1200))))</f>
        <v/>
      </c>
      <c r="E193" s="43" t="str">
        <f aca="false">IF($AF193="","",IF($AF193&lt;=1200,IF(INDEX(对接源_01水果!$H$4:$H$1203,$AF193)=0,"",INDEX(对接源_01水果!$H$4:$H$1203,$AF193)),IF(INDEX(对接源_02物料!$H$4:$H$1203,$AF193-1200)=0,"",INDEX(对接源_02物料!$H$4:$H$1203,$AF193-1200))))</f>
        <v/>
      </c>
      <c r="F193" s="41" t="str">
        <f aca="false">IF($AF193="","",IF($AF193&lt;=1200,IF(INDEX(对接源_01水果!$I$4:$I$1203,$AF193)=0,"",INDEX(对接源_01水果!$I$4:$I$1203,$AF193)),IF(INDEX(对接源_02物料!$I$4:$I$1203,$AF193-1200)=0,"",INDEX(对接源_02物料!$I$4:$I$1203,$AF193-1200))))</f>
        <v/>
      </c>
      <c r="G193" s="55" t="str">
        <f aca="false">IF($AF193="","",IF($AF193&lt;=1200,IF(INDEX(对接源_01水果!$J$4:$J$1203,$AF193)=0,"",INDEX(对接源_01水果!$J$4:$J$1203,$AF193)),IF(INDEX(对接源_02物料!$J$4:$J$1203,$AF193-1200)=0,"",INDEX(对接源_02物料!$J$4:$J$1203,$AF193-1200))))</f>
        <v/>
      </c>
      <c r="H193" s="41" t="str">
        <f aca="false"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I193" s="41" t="str">
        <f aca="false"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J193" s="42" t="str">
        <f aca="false"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44" t="str">
        <f aca="false">IFERROR(MATCH(65,_自动清单!$AC$4:$AC$2403,0),"")</f>
        <v/>
      </c>
      <c r="AL193" s="44" t="str">
        <f aca="false">IF($D193="","",$D193)</f>
        <v/>
      </c>
      <c r="AM193" s="44" t="n">
        <f aca="false">IF(AL193="",0,IF(MATCH(AL193,AL$129:AL$208,0)=65,1,0))</f>
        <v>0</v>
      </c>
      <c r="AN193" s="44" t="n">
        <f aca="false">N(AN192)+AM193</f>
        <v>7</v>
      </c>
    </row>
    <row r="194" customFormat="false" ht="18" hidden="false" customHeight="true" outlineLevel="0" collapsed="false">
      <c r="A194" s="45" t="str">
        <f aca="false"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46" t="str">
        <f aca="false"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C194" s="46" t="str">
        <f aca="false">IF($AF194="","",IF($AF194&lt;=1200,IF(INDEX(对接源_01水果!$F$4:$F$1203,$AF194)=0,"",INDEX(对接源_01水果!$F$4:$F$1203,$AF194)),IF(INDEX(对接源_02物料!$F$4:$F$1203,$AF194-1200)=0,"",INDEX(对接源_02物料!$F$4:$F$1203,$AF194-1200))))</f>
        <v/>
      </c>
      <c r="D194" s="46" t="str">
        <f aca="false">IF($AF194="","",IF($AF194&lt;=1200,IF(INDEX(对接源_01水果!$G$4:$G$1203,$AF194)=0,"",INDEX(对接源_01水果!$G$4:$G$1203,$AF194)),IF(INDEX(对接源_02物料!$G$4:$G$1203,$AF194-1200)=0,"",INDEX(对接源_02物料!$G$4:$G$1203,$AF194-1200))))</f>
        <v/>
      </c>
      <c r="E194" s="48" t="str">
        <f aca="false">IF($AF194="","",IF($AF194&lt;=1200,IF(INDEX(对接源_01水果!$H$4:$H$1203,$AF194)=0,"",INDEX(对接源_01水果!$H$4:$H$1203,$AF194)),IF(INDEX(对接源_02物料!$H$4:$H$1203,$AF194-1200)=0,"",INDEX(对接源_02物料!$H$4:$H$1203,$AF194-1200))))</f>
        <v/>
      </c>
      <c r="F194" s="46" t="str">
        <f aca="false">IF($AF194="","",IF($AF194&lt;=1200,IF(INDEX(对接源_01水果!$I$4:$I$1203,$AF194)=0,"",INDEX(对接源_01水果!$I$4:$I$1203,$AF194)),IF(INDEX(对接源_02物料!$I$4:$I$1203,$AF194-1200)=0,"",INDEX(对接源_02物料!$I$4:$I$1203,$AF194-1200))))</f>
        <v/>
      </c>
      <c r="G194" s="56" t="str">
        <f aca="false">IF($AF194="","",IF($AF194&lt;=1200,IF(INDEX(对接源_01水果!$J$4:$J$1203,$AF194)=0,"",INDEX(对接源_01水果!$J$4:$J$1203,$AF194)),IF(INDEX(对接源_02物料!$J$4:$J$1203,$AF194-1200)=0,"",INDEX(对接源_02物料!$J$4:$J$1203,$AF194-1200))))</f>
        <v/>
      </c>
      <c r="H194" s="46" t="str">
        <f aca="false"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I194" s="46" t="str">
        <f aca="false"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J194" s="47" t="str">
        <f aca="false"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44" t="str">
        <f aca="false">IFERROR(MATCH(66,_自动清单!$AC$4:$AC$2403,0),"")</f>
        <v/>
      </c>
      <c r="AL194" s="44" t="str">
        <f aca="false">IF($D194="","",$D194)</f>
        <v/>
      </c>
      <c r="AM194" s="44" t="n">
        <f aca="false">IF(AL194="",0,IF(MATCH(AL194,AL$129:AL$208,0)=66,1,0))</f>
        <v>0</v>
      </c>
      <c r="AN194" s="44" t="n">
        <f aca="false">N(AN193)+AM194</f>
        <v>7</v>
      </c>
    </row>
    <row r="195" customFormat="false" ht="18" hidden="false" customHeight="true" outlineLevel="0" collapsed="false">
      <c r="A195" s="40" t="str">
        <f aca="false"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41" t="str">
        <f aca="false"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C195" s="41" t="str">
        <f aca="false">IF($AF195="","",IF($AF195&lt;=1200,IF(INDEX(对接源_01水果!$F$4:$F$1203,$AF195)=0,"",INDEX(对接源_01水果!$F$4:$F$1203,$AF195)),IF(INDEX(对接源_02物料!$F$4:$F$1203,$AF195-1200)=0,"",INDEX(对接源_02物料!$F$4:$F$1203,$AF195-1200))))</f>
        <v/>
      </c>
      <c r="D195" s="41" t="str">
        <f aca="false">IF($AF195="","",IF($AF195&lt;=1200,IF(INDEX(对接源_01水果!$G$4:$G$1203,$AF195)=0,"",INDEX(对接源_01水果!$G$4:$G$1203,$AF195)),IF(INDEX(对接源_02物料!$G$4:$G$1203,$AF195-1200)=0,"",INDEX(对接源_02物料!$G$4:$G$1203,$AF195-1200))))</f>
        <v/>
      </c>
      <c r="E195" s="43" t="str">
        <f aca="false">IF($AF195="","",IF($AF195&lt;=1200,IF(INDEX(对接源_01水果!$H$4:$H$1203,$AF195)=0,"",INDEX(对接源_01水果!$H$4:$H$1203,$AF195)),IF(INDEX(对接源_02物料!$H$4:$H$1203,$AF195-1200)=0,"",INDEX(对接源_02物料!$H$4:$H$1203,$AF195-1200))))</f>
        <v/>
      </c>
      <c r="F195" s="41" t="str">
        <f aca="false">IF($AF195="","",IF($AF195&lt;=1200,IF(INDEX(对接源_01水果!$I$4:$I$1203,$AF195)=0,"",INDEX(对接源_01水果!$I$4:$I$1203,$AF195)),IF(INDEX(对接源_02物料!$I$4:$I$1203,$AF195-1200)=0,"",INDEX(对接源_02物料!$I$4:$I$1203,$AF195-1200))))</f>
        <v/>
      </c>
      <c r="G195" s="55" t="str">
        <f aca="false">IF($AF195="","",IF($AF195&lt;=1200,IF(INDEX(对接源_01水果!$J$4:$J$1203,$AF195)=0,"",INDEX(对接源_01水果!$J$4:$J$1203,$AF195)),IF(INDEX(对接源_02物料!$J$4:$J$1203,$AF195-1200)=0,"",INDEX(对接源_02物料!$J$4:$J$1203,$AF195-1200))))</f>
        <v/>
      </c>
      <c r="H195" s="41" t="str">
        <f aca="false"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I195" s="41" t="str">
        <f aca="false"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J195" s="42" t="str">
        <f aca="false"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44" t="str">
        <f aca="false">IFERROR(MATCH(67,_自动清单!$AC$4:$AC$2403,0),"")</f>
        <v/>
      </c>
      <c r="AL195" s="44" t="str">
        <f aca="false">IF($D195="","",$D195)</f>
        <v/>
      </c>
      <c r="AM195" s="44" t="n">
        <f aca="false">IF(AL195="",0,IF(MATCH(AL195,AL$129:AL$208,0)=67,1,0))</f>
        <v>0</v>
      </c>
      <c r="AN195" s="44" t="n">
        <f aca="false">N(AN194)+AM195</f>
        <v>7</v>
      </c>
    </row>
    <row r="196" customFormat="false" ht="18" hidden="false" customHeight="true" outlineLevel="0" collapsed="false">
      <c r="A196" s="45" t="str">
        <f aca="false"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46" t="str">
        <f aca="false"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C196" s="46" t="str">
        <f aca="false">IF($AF196="","",IF($AF196&lt;=1200,IF(INDEX(对接源_01水果!$F$4:$F$1203,$AF196)=0,"",INDEX(对接源_01水果!$F$4:$F$1203,$AF196)),IF(INDEX(对接源_02物料!$F$4:$F$1203,$AF196-1200)=0,"",INDEX(对接源_02物料!$F$4:$F$1203,$AF196-1200))))</f>
        <v/>
      </c>
      <c r="D196" s="46" t="str">
        <f aca="false">IF($AF196="","",IF($AF196&lt;=1200,IF(INDEX(对接源_01水果!$G$4:$G$1203,$AF196)=0,"",INDEX(对接源_01水果!$G$4:$G$1203,$AF196)),IF(INDEX(对接源_02物料!$G$4:$G$1203,$AF196-1200)=0,"",INDEX(对接源_02物料!$G$4:$G$1203,$AF196-1200))))</f>
        <v/>
      </c>
      <c r="E196" s="48" t="str">
        <f aca="false">IF($AF196="","",IF($AF196&lt;=1200,IF(INDEX(对接源_01水果!$H$4:$H$1203,$AF196)=0,"",INDEX(对接源_01水果!$H$4:$H$1203,$AF196)),IF(INDEX(对接源_02物料!$H$4:$H$1203,$AF196-1200)=0,"",INDEX(对接源_02物料!$H$4:$H$1203,$AF196-1200))))</f>
        <v/>
      </c>
      <c r="F196" s="46" t="str">
        <f aca="false">IF($AF196="","",IF($AF196&lt;=1200,IF(INDEX(对接源_01水果!$I$4:$I$1203,$AF196)=0,"",INDEX(对接源_01水果!$I$4:$I$1203,$AF196)),IF(INDEX(对接源_02物料!$I$4:$I$1203,$AF196-1200)=0,"",INDEX(对接源_02物料!$I$4:$I$1203,$AF196-1200))))</f>
        <v/>
      </c>
      <c r="G196" s="56" t="str">
        <f aca="false">IF($AF196="","",IF($AF196&lt;=1200,IF(INDEX(对接源_01水果!$J$4:$J$1203,$AF196)=0,"",INDEX(对接源_01水果!$J$4:$J$1203,$AF196)),IF(INDEX(对接源_02物料!$J$4:$J$1203,$AF196-1200)=0,"",INDEX(对接源_02物料!$J$4:$J$1203,$AF196-1200))))</f>
        <v/>
      </c>
      <c r="H196" s="46" t="str">
        <f aca="false"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I196" s="46" t="str">
        <f aca="false"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J196" s="47" t="str">
        <f aca="false"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44" t="str">
        <f aca="false">IFERROR(MATCH(68,_自动清单!$AC$4:$AC$2403,0),"")</f>
        <v/>
      </c>
      <c r="AL196" s="44" t="str">
        <f aca="false">IF($D196="","",$D196)</f>
        <v/>
      </c>
      <c r="AM196" s="44" t="n">
        <f aca="false">IF(AL196="",0,IF(MATCH(AL196,AL$129:AL$208,0)=68,1,0))</f>
        <v>0</v>
      </c>
      <c r="AN196" s="44" t="n">
        <f aca="false">N(AN195)+AM196</f>
        <v>7</v>
      </c>
    </row>
    <row r="197" customFormat="false" ht="18" hidden="false" customHeight="true" outlineLevel="0" collapsed="false">
      <c r="A197" s="40" t="str">
        <f aca="false"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41" t="str">
        <f aca="false"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C197" s="41" t="str">
        <f aca="false">IF($AF197="","",IF($AF197&lt;=1200,IF(INDEX(对接源_01水果!$F$4:$F$1203,$AF197)=0,"",INDEX(对接源_01水果!$F$4:$F$1203,$AF197)),IF(INDEX(对接源_02物料!$F$4:$F$1203,$AF197-1200)=0,"",INDEX(对接源_02物料!$F$4:$F$1203,$AF197-1200))))</f>
        <v/>
      </c>
      <c r="D197" s="41" t="str">
        <f aca="false">IF($AF197="","",IF($AF197&lt;=1200,IF(INDEX(对接源_01水果!$G$4:$G$1203,$AF197)=0,"",INDEX(对接源_01水果!$G$4:$G$1203,$AF197)),IF(INDEX(对接源_02物料!$G$4:$G$1203,$AF197-1200)=0,"",INDEX(对接源_02物料!$G$4:$G$1203,$AF197-1200))))</f>
        <v/>
      </c>
      <c r="E197" s="43" t="str">
        <f aca="false">IF($AF197="","",IF($AF197&lt;=1200,IF(INDEX(对接源_01水果!$H$4:$H$1203,$AF197)=0,"",INDEX(对接源_01水果!$H$4:$H$1203,$AF197)),IF(INDEX(对接源_02物料!$H$4:$H$1203,$AF197-1200)=0,"",INDEX(对接源_02物料!$H$4:$H$1203,$AF197-1200))))</f>
        <v/>
      </c>
      <c r="F197" s="41" t="str">
        <f aca="false">IF($AF197="","",IF($AF197&lt;=1200,IF(INDEX(对接源_01水果!$I$4:$I$1203,$AF197)=0,"",INDEX(对接源_01水果!$I$4:$I$1203,$AF197)),IF(INDEX(对接源_02物料!$I$4:$I$1203,$AF197-1200)=0,"",INDEX(对接源_02物料!$I$4:$I$1203,$AF197-1200))))</f>
        <v/>
      </c>
      <c r="G197" s="55" t="str">
        <f aca="false">IF($AF197="","",IF($AF197&lt;=1200,IF(INDEX(对接源_01水果!$J$4:$J$1203,$AF197)=0,"",INDEX(对接源_01水果!$J$4:$J$1203,$AF197)),IF(INDEX(对接源_02物料!$J$4:$J$1203,$AF197-1200)=0,"",INDEX(对接源_02物料!$J$4:$J$1203,$AF197-1200))))</f>
        <v/>
      </c>
      <c r="H197" s="41" t="str">
        <f aca="false"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I197" s="41" t="str">
        <f aca="false"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J197" s="42" t="str">
        <f aca="false"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44" t="str">
        <f aca="false">IFERROR(MATCH(69,_自动清单!$AC$4:$AC$2403,0),"")</f>
        <v/>
      </c>
      <c r="AL197" s="44" t="str">
        <f aca="false">IF($D197="","",$D197)</f>
        <v/>
      </c>
      <c r="AM197" s="44" t="n">
        <f aca="false">IF(AL197="",0,IF(MATCH(AL197,AL$129:AL$208,0)=69,1,0))</f>
        <v>0</v>
      </c>
      <c r="AN197" s="44" t="n">
        <f aca="false">N(AN196)+AM197</f>
        <v>7</v>
      </c>
    </row>
    <row r="198" customFormat="false" ht="18" hidden="false" customHeight="true" outlineLevel="0" collapsed="false">
      <c r="A198" s="45" t="str">
        <f aca="false"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46" t="str">
        <f aca="false"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C198" s="46" t="str">
        <f aca="false">IF($AF198="","",IF($AF198&lt;=1200,IF(INDEX(对接源_01水果!$F$4:$F$1203,$AF198)=0,"",INDEX(对接源_01水果!$F$4:$F$1203,$AF198)),IF(INDEX(对接源_02物料!$F$4:$F$1203,$AF198-1200)=0,"",INDEX(对接源_02物料!$F$4:$F$1203,$AF198-1200))))</f>
        <v/>
      </c>
      <c r="D198" s="46" t="str">
        <f aca="false">IF($AF198="","",IF($AF198&lt;=1200,IF(INDEX(对接源_01水果!$G$4:$G$1203,$AF198)=0,"",INDEX(对接源_01水果!$G$4:$G$1203,$AF198)),IF(INDEX(对接源_02物料!$G$4:$G$1203,$AF198-1200)=0,"",INDEX(对接源_02物料!$G$4:$G$1203,$AF198-1200))))</f>
        <v/>
      </c>
      <c r="E198" s="48" t="str">
        <f aca="false">IF($AF198="","",IF($AF198&lt;=1200,IF(INDEX(对接源_01水果!$H$4:$H$1203,$AF198)=0,"",INDEX(对接源_01水果!$H$4:$H$1203,$AF198)),IF(INDEX(对接源_02物料!$H$4:$H$1203,$AF198-1200)=0,"",INDEX(对接源_02物料!$H$4:$H$1203,$AF198-1200))))</f>
        <v/>
      </c>
      <c r="F198" s="46" t="str">
        <f aca="false">IF($AF198="","",IF($AF198&lt;=1200,IF(INDEX(对接源_01水果!$I$4:$I$1203,$AF198)=0,"",INDEX(对接源_01水果!$I$4:$I$1203,$AF198)),IF(INDEX(对接源_02物料!$I$4:$I$1203,$AF198-1200)=0,"",INDEX(对接源_02物料!$I$4:$I$1203,$AF198-1200))))</f>
        <v/>
      </c>
      <c r="G198" s="56" t="str">
        <f aca="false">IF($AF198="","",IF($AF198&lt;=1200,IF(INDEX(对接源_01水果!$J$4:$J$1203,$AF198)=0,"",INDEX(对接源_01水果!$J$4:$J$1203,$AF198)),IF(INDEX(对接源_02物料!$J$4:$J$1203,$AF198-1200)=0,"",INDEX(对接源_02物料!$J$4:$J$1203,$AF198-1200))))</f>
        <v/>
      </c>
      <c r="H198" s="46" t="str">
        <f aca="false"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I198" s="46" t="str">
        <f aca="false"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J198" s="47" t="str">
        <f aca="false"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44" t="str">
        <f aca="false">IFERROR(MATCH(70,_自动清单!$AC$4:$AC$2403,0),"")</f>
        <v/>
      </c>
      <c r="AL198" s="44" t="str">
        <f aca="false">IF($D198="","",$D198)</f>
        <v/>
      </c>
      <c r="AM198" s="44" t="n">
        <f aca="false">IF(AL198="",0,IF(MATCH(AL198,AL$129:AL$208,0)=70,1,0))</f>
        <v>0</v>
      </c>
      <c r="AN198" s="44" t="n">
        <f aca="false">N(AN197)+AM198</f>
        <v>7</v>
      </c>
    </row>
    <row r="199" customFormat="false" ht="18" hidden="false" customHeight="true" outlineLevel="0" collapsed="false">
      <c r="A199" s="40" t="str">
        <f aca="false"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41" t="str">
        <f aca="false"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C199" s="41" t="str">
        <f aca="false">IF($AF199="","",IF($AF199&lt;=1200,IF(INDEX(对接源_01水果!$F$4:$F$1203,$AF199)=0,"",INDEX(对接源_01水果!$F$4:$F$1203,$AF199)),IF(INDEX(对接源_02物料!$F$4:$F$1203,$AF199-1200)=0,"",INDEX(对接源_02物料!$F$4:$F$1203,$AF199-1200))))</f>
        <v/>
      </c>
      <c r="D199" s="41" t="str">
        <f aca="false">IF($AF199="","",IF($AF199&lt;=1200,IF(INDEX(对接源_01水果!$G$4:$G$1203,$AF199)=0,"",INDEX(对接源_01水果!$G$4:$G$1203,$AF199)),IF(INDEX(对接源_02物料!$G$4:$G$1203,$AF199-1200)=0,"",INDEX(对接源_02物料!$G$4:$G$1203,$AF199-1200))))</f>
        <v/>
      </c>
      <c r="E199" s="43" t="str">
        <f aca="false">IF($AF199="","",IF($AF199&lt;=1200,IF(INDEX(对接源_01水果!$H$4:$H$1203,$AF199)=0,"",INDEX(对接源_01水果!$H$4:$H$1203,$AF199)),IF(INDEX(对接源_02物料!$H$4:$H$1203,$AF199-1200)=0,"",INDEX(对接源_02物料!$H$4:$H$1203,$AF199-1200))))</f>
        <v/>
      </c>
      <c r="F199" s="41" t="str">
        <f aca="false">IF($AF199="","",IF($AF199&lt;=1200,IF(INDEX(对接源_01水果!$I$4:$I$1203,$AF199)=0,"",INDEX(对接源_01水果!$I$4:$I$1203,$AF199)),IF(INDEX(对接源_02物料!$I$4:$I$1203,$AF199-1200)=0,"",INDEX(对接源_02物料!$I$4:$I$1203,$AF199-1200))))</f>
        <v/>
      </c>
      <c r="G199" s="55" t="str">
        <f aca="false">IF($AF199="","",IF($AF199&lt;=1200,IF(INDEX(对接源_01水果!$J$4:$J$1203,$AF199)=0,"",INDEX(对接源_01水果!$J$4:$J$1203,$AF199)),IF(INDEX(对接源_02物料!$J$4:$J$1203,$AF199-1200)=0,"",INDEX(对接源_02物料!$J$4:$J$1203,$AF199-1200))))</f>
        <v/>
      </c>
      <c r="H199" s="41" t="str">
        <f aca="false"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I199" s="41" t="str">
        <f aca="false"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J199" s="42" t="str">
        <f aca="false"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44" t="str">
        <f aca="false">IFERROR(MATCH(71,_自动清单!$AC$4:$AC$2403,0),"")</f>
        <v/>
      </c>
      <c r="AL199" s="44" t="str">
        <f aca="false">IF($D199="","",$D199)</f>
        <v/>
      </c>
      <c r="AM199" s="44" t="n">
        <f aca="false">IF(AL199="",0,IF(MATCH(AL199,AL$129:AL$208,0)=71,1,0))</f>
        <v>0</v>
      </c>
      <c r="AN199" s="44" t="n">
        <f aca="false">N(AN198)+AM199</f>
        <v>7</v>
      </c>
    </row>
    <row r="200" customFormat="false" ht="18" hidden="false" customHeight="true" outlineLevel="0" collapsed="false">
      <c r="A200" s="45" t="str">
        <f aca="false"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46" t="str">
        <f aca="false"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C200" s="46" t="str">
        <f aca="false">IF($AF200="","",IF($AF200&lt;=1200,IF(INDEX(对接源_01水果!$F$4:$F$1203,$AF200)=0,"",INDEX(对接源_01水果!$F$4:$F$1203,$AF200)),IF(INDEX(对接源_02物料!$F$4:$F$1203,$AF200-1200)=0,"",INDEX(对接源_02物料!$F$4:$F$1203,$AF200-1200))))</f>
        <v/>
      </c>
      <c r="D200" s="46" t="str">
        <f aca="false">IF($AF200="","",IF($AF200&lt;=1200,IF(INDEX(对接源_01水果!$G$4:$G$1203,$AF200)=0,"",INDEX(对接源_01水果!$G$4:$G$1203,$AF200)),IF(INDEX(对接源_02物料!$G$4:$G$1203,$AF200-1200)=0,"",INDEX(对接源_02物料!$G$4:$G$1203,$AF200-1200))))</f>
        <v/>
      </c>
      <c r="E200" s="48" t="str">
        <f aca="false">IF($AF200="","",IF($AF200&lt;=1200,IF(INDEX(对接源_01水果!$H$4:$H$1203,$AF200)=0,"",INDEX(对接源_01水果!$H$4:$H$1203,$AF200)),IF(INDEX(对接源_02物料!$H$4:$H$1203,$AF200-1200)=0,"",INDEX(对接源_02物料!$H$4:$H$1203,$AF200-1200))))</f>
        <v/>
      </c>
      <c r="F200" s="46" t="str">
        <f aca="false">IF($AF200="","",IF($AF200&lt;=1200,IF(INDEX(对接源_01水果!$I$4:$I$1203,$AF200)=0,"",INDEX(对接源_01水果!$I$4:$I$1203,$AF200)),IF(INDEX(对接源_02物料!$I$4:$I$1203,$AF200-1200)=0,"",INDEX(对接源_02物料!$I$4:$I$1203,$AF200-1200))))</f>
        <v/>
      </c>
      <c r="G200" s="56" t="str">
        <f aca="false">IF($AF200="","",IF($AF200&lt;=1200,IF(INDEX(对接源_01水果!$J$4:$J$1203,$AF200)=0,"",INDEX(对接源_01水果!$J$4:$J$1203,$AF200)),IF(INDEX(对接源_02物料!$J$4:$J$1203,$AF200-1200)=0,"",INDEX(对接源_02物料!$J$4:$J$1203,$AF200-1200))))</f>
        <v/>
      </c>
      <c r="H200" s="46" t="str">
        <f aca="false"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I200" s="46" t="str">
        <f aca="false"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J200" s="47" t="str">
        <f aca="false"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44" t="str">
        <f aca="false">IFERROR(MATCH(72,_自动清单!$AC$4:$AC$2403,0),"")</f>
        <v/>
      </c>
      <c r="AL200" s="44" t="str">
        <f aca="false">IF($D200="","",$D200)</f>
        <v/>
      </c>
      <c r="AM200" s="44" t="n">
        <f aca="false">IF(AL200="",0,IF(MATCH(AL200,AL$129:AL$208,0)=72,1,0))</f>
        <v>0</v>
      </c>
      <c r="AN200" s="44" t="n">
        <f aca="false">N(AN199)+AM200</f>
        <v>7</v>
      </c>
    </row>
    <row r="201" customFormat="false" ht="18" hidden="false" customHeight="true" outlineLevel="0" collapsed="false">
      <c r="A201" s="40" t="str">
        <f aca="false"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41" t="str">
        <f aca="false"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C201" s="41" t="str">
        <f aca="false">IF($AF201="","",IF($AF201&lt;=1200,IF(INDEX(对接源_01水果!$F$4:$F$1203,$AF201)=0,"",INDEX(对接源_01水果!$F$4:$F$1203,$AF201)),IF(INDEX(对接源_02物料!$F$4:$F$1203,$AF201-1200)=0,"",INDEX(对接源_02物料!$F$4:$F$1203,$AF201-1200))))</f>
        <v/>
      </c>
      <c r="D201" s="41" t="str">
        <f aca="false">IF($AF201="","",IF($AF201&lt;=1200,IF(INDEX(对接源_01水果!$G$4:$G$1203,$AF201)=0,"",INDEX(对接源_01水果!$G$4:$G$1203,$AF201)),IF(INDEX(对接源_02物料!$G$4:$G$1203,$AF201-1200)=0,"",INDEX(对接源_02物料!$G$4:$G$1203,$AF201-1200))))</f>
        <v/>
      </c>
      <c r="E201" s="43" t="str">
        <f aca="false">IF($AF201="","",IF($AF201&lt;=1200,IF(INDEX(对接源_01水果!$H$4:$H$1203,$AF201)=0,"",INDEX(对接源_01水果!$H$4:$H$1203,$AF201)),IF(INDEX(对接源_02物料!$H$4:$H$1203,$AF201-1200)=0,"",INDEX(对接源_02物料!$H$4:$H$1203,$AF201-1200))))</f>
        <v/>
      </c>
      <c r="F201" s="41" t="str">
        <f aca="false">IF($AF201="","",IF($AF201&lt;=1200,IF(INDEX(对接源_01水果!$I$4:$I$1203,$AF201)=0,"",INDEX(对接源_01水果!$I$4:$I$1203,$AF201)),IF(INDEX(对接源_02物料!$I$4:$I$1203,$AF201-1200)=0,"",INDEX(对接源_02物料!$I$4:$I$1203,$AF201-1200))))</f>
        <v/>
      </c>
      <c r="G201" s="55" t="str">
        <f aca="false">IF($AF201="","",IF($AF201&lt;=1200,IF(INDEX(对接源_01水果!$J$4:$J$1203,$AF201)=0,"",INDEX(对接源_01水果!$J$4:$J$1203,$AF201)),IF(INDEX(对接源_02物料!$J$4:$J$1203,$AF201-1200)=0,"",INDEX(对接源_02物料!$J$4:$J$1203,$AF201-1200))))</f>
        <v/>
      </c>
      <c r="H201" s="41" t="str">
        <f aca="false"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I201" s="41" t="str">
        <f aca="false"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J201" s="42" t="str">
        <f aca="false"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44" t="str">
        <f aca="false">IFERROR(MATCH(73,_自动清单!$AC$4:$AC$2403,0),"")</f>
        <v/>
      </c>
      <c r="AL201" s="44" t="str">
        <f aca="false">IF($D201="","",$D201)</f>
        <v/>
      </c>
      <c r="AM201" s="44" t="n">
        <f aca="false">IF(AL201="",0,IF(MATCH(AL201,AL$129:AL$208,0)=73,1,0))</f>
        <v>0</v>
      </c>
      <c r="AN201" s="44" t="n">
        <f aca="false">N(AN200)+AM201</f>
        <v>7</v>
      </c>
    </row>
    <row r="202" customFormat="false" ht="18" hidden="false" customHeight="true" outlineLevel="0" collapsed="false">
      <c r="A202" s="45" t="str">
        <f aca="false"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46" t="str">
        <f aca="false"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C202" s="46" t="str">
        <f aca="false">IF($AF202="","",IF($AF202&lt;=1200,IF(INDEX(对接源_01水果!$F$4:$F$1203,$AF202)=0,"",INDEX(对接源_01水果!$F$4:$F$1203,$AF202)),IF(INDEX(对接源_02物料!$F$4:$F$1203,$AF202-1200)=0,"",INDEX(对接源_02物料!$F$4:$F$1203,$AF202-1200))))</f>
        <v/>
      </c>
      <c r="D202" s="46" t="str">
        <f aca="false">IF($AF202="","",IF($AF202&lt;=1200,IF(INDEX(对接源_01水果!$G$4:$G$1203,$AF202)=0,"",INDEX(对接源_01水果!$G$4:$G$1203,$AF202)),IF(INDEX(对接源_02物料!$G$4:$G$1203,$AF202-1200)=0,"",INDEX(对接源_02物料!$G$4:$G$1203,$AF202-1200))))</f>
        <v/>
      </c>
      <c r="E202" s="48" t="str">
        <f aca="false">IF($AF202="","",IF($AF202&lt;=1200,IF(INDEX(对接源_01水果!$H$4:$H$1203,$AF202)=0,"",INDEX(对接源_01水果!$H$4:$H$1203,$AF202)),IF(INDEX(对接源_02物料!$H$4:$H$1203,$AF202-1200)=0,"",INDEX(对接源_02物料!$H$4:$H$1203,$AF202-1200))))</f>
        <v/>
      </c>
      <c r="F202" s="46" t="str">
        <f aca="false">IF($AF202="","",IF($AF202&lt;=1200,IF(INDEX(对接源_01水果!$I$4:$I$1203,$AF202)=0,"",INDEX(对接源_01水果!$I$4:$I$1203,$AF202)),IF(INDEX(对接源_02物料!$I$4:$I$1203,$AF202-1200)=0,"",INDEX(对接源_02物料!$I$4:$I$1203,$AF202-1200))))</f>
        <v/>
      </c>
      <c r="G202" s="56" t="str">
        <f aca="false">IF($AF202="","",IF($AF202&lt;=1200,IF(INDEX(对接源_01水果!$J$4:$J$1203,$AF202)=0,"",INDEX(对接源_01水果!$J$4:$J$1203,$AF202)),IF(INDEX(对接源_02物料!$J$4:$J$1203,$AF202-1200)=0,"",INDEX(对接源_02物料!$J$4:$J$1203,$AF202-1200))))</f>
        <v/>
      </c>
      <c r="H202" s="46" t="str">
        <f aca="false"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I202" s="46" t="str">
        <f aca="false"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J202" s="47" t="str">
        <f aca="false"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44" t="str">
        <f aca="false">IFERROR(MATCH(74,_自动清单!$AC$4:$AC$2403,0),"")</f>
        <v/>
      </c>
      <c r="AL202" s="44" t="str">
        <f aca="false">IF($D202="","",$D202)</f>
        <v/>
      </c>
      <c r="AM202" s="44" t="n">
        <f aca="false">IF(AL202="",0,IF(MATCH(AL202,AL$129:AL$208,0)=74,1,0))</f>
        <v>0</v>
      </c>
      <c r="AN202" s="44" t="n">
        <f aca="false">N(AN201)+AM202</f>
        <v>7</v>
      </c>
    </row>
    <row r="203" customFormat="false" ht="18" hidden="false" customHeight="true" outlineLevel="0" collapsed="false">
      <c r="A203" s="40" t="str">
        <f aca="false"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41" t="str">
        <f aca="false"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C203" s="41" t="str">
        <f aca="false">IF($AF203="","",IF($AF203&lt;=1200,IF(INDEX(对接源_01水果!$F$4:$F$1203,$AF203)=0,"",INDEX(对接源_01水果!$F$4:$F$1203,$AF203)),IF(INDEX(对接源_02物料!$F$4:$F$1203,$AF203-1200)=0,"",INDEX(对接源_02物料!$F$4:$F$1203,$AF203-1200))))</f>
        <v/>
      </c>
      <c r="D203" s="41" t="str">
        <f aca="false">IF($AF203="","",IF($AF203&lt;=1200,IF(INDEX(对接源_01水果!$G$4:$G$1203,$AF203)=0,"",INDEX(对接源_01水果!$G$4:$G$1203,$AF203)),IF(INDEX(对接源_02物料!$G$4:$G$1203,$AF203-1200)=0,"",INDEX(对接源_02物料!$G$4:$G$1203,$AF203-1200))))</f>
        <v/>
      </c>
      <c r="E203" s="43" t="str">
        <f aca="false">IF($AF203="","",IF($AF203&lt;=1200,IF(INDEX(对接源_01水果!$H$4:$H$1203,$AF203)=0,"",INDEX(对接源_01水果!$H$4:$H$1203,$AF203)),IF(INDEX(对接源_02物料!$H$4:$H$1203,$AF203-1200)=0,"",INDEX(对接源_02物料!$H$4:$H$1203,$AF203-1200))))</f>
        <v/>
      </c>
      <c r="F203" s="41" t="str">
        <f aca="false">IF($AF203="","",IF($AF203&lt;=1200,IF(INDEX(对接源_01水果!$I$4:$I$1203,$AF203)=0,"",INDEX(对接源_01水果!$I$4:$I$1203,$AF203)),IF(INDEX(对接源_02物料!$I$4:$I$1203,$AF203-1200)=0,"",INDEX(对接源_02物料!$I$4:$I$1203,$AF203-1200))))</f>
        <v/>
      </c>
      <c r="G203" s="55" t="str">
        <f aca="false">IF($AF203="","",IF($AF203&lt;=1200,IF(INDEX(对接源_01水果!$J$4:$J$1203,$AF203)=0,"",INDEX(对接源_01水果!$J$4:$J$1203,$AF203)),IF(INDEX(对接源_02物料!$J$4:$J$1203,$AF203-1200)=0,"",INDEX(对接源_02物料!$J$4:$J$1203,$AF203-1200))))</f>
        <v/>
      </c>
      <c r="H203" s="41" t="str">
        <f aca="false"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I203" s="41" t="str">
        <f aca="false"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J203" s="42" t="str">
        <f aca="false"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44" t="str">
        <f aca="false">IFERROR(MATCH(75,_自动清单!$AC$4:$AC$2403,0),"")</f>
        <v/>
      </c>
      <c r="AL203" s="44" t="str">
        <f aca="false">IF($D203="","",$D203)</f>
        <v/>
      </c>
      <c r="AM203" s="44" t="n">
        <f aca="false">IF(AL203="",0,IF(MATCH(AL203,AL$129:AL$208,0)=75,1,0))</f>
        <v>0</v>
      </c>
      <c r="AN203" s="44" t="n">
        <f aca="false">N(AN202)+AM203</f>
        <v>7</v>
      </c>
    </row>
    <row r="204" customFormat="false" ht="18" hidden="false" customHeight="true" outlineLevel="0" collapsed="false">
      <c r="A204" s="45" t="str">
        <f aca="false"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46" t="str">
        <f aca="false"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C204" s="46" t="str">
        <f aca="false">IF($AF204="","",IF($AF204&lt;=1200,IF(INDEX(对接源_01水果!$F$4:$F$1203,$AF204)=0,"",INDEX(对接源_01水果!$F$4:$F$1203,$AF204)),IF(INDEX(对接源_02物料!$F$4:$F$1203,$AF204-1200)=0,"",INDEX(对接源_02物料!$F$4:$F$1203,$AF204-1200))))</f>
        <v/>
      </c>
      <c r="D204" s="46" t="str">
        <f aca="false">IF($AF204="","",IF($AF204&lt;=1200,IF(INDEX(对接源_01水果!$G$4:$G$1203,$AF204)=0,"",INDEX(对接源_01水果!$G$4:$G$1203,$AF204)),IF(INDEX(对接源_02物料!$G$4:$G$1203,$AF204-1200)=0,"",INDEX(对接源_02物料!$G$4:$G$1203,$AF204-1200))))</f>
        <v/>
      </c>
      <c r="E204" s="48" t="str">
        <f aca="false">IF($AF204="","",IF($AF204&lt;=1200,IF(INDEX(对接源_01水果!$H$4:$H$1203,$AF204)=0,"",INDEX(对接源_01水果!$H$4:$H$1203,$AF204)),IF(INDEX(对接源_02物料!$H$4:$H$1203,$AF204-1200)=0,"",INDEX(对接源_02物料!$H$4:$H$1203,$AF204-1200))))</f>
        <v/>
      </c>
      <c r="F204" s="46" t="str">
        <f aca="false">IF($AF204="","",IF($AF204&lt;=1200,IF(INDEX(对接源_01水果!$I$4:$I$1203,$AF204)=0,"",INDEX(对接源_01水果!$I$4:$I$1203,$AF204)),IF(INDEX(对接源_02物料!$I$4:$I$1203,$AF204-1200)=0,"",INDEX(对接源_02物料!$I$4:$I$1203,$AF204-1200))))</f>
        <v/>
      </c>
      <c r="G204" s="56" t="str">
        <f aca="false">IF($AF204="","",IF($AF204&lt;=1200,IF(INDEX(对接源_01水果!$J$4:$J$1203,$AF204)=0,"",INDEX(对接源_01水果!$J$4:$J$1203,$AF204)),IF(INDEX(对接源_02物料!$J$4:$J$1203,$AF204-1200)=0,"",INDEX(对接源_02物料!$J$4:$J$1203,$AF204-1200))))</f>
        <v/>
      </c>
      <c r="H204" s="46" t="str">
        <f aca="false"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I204" s="46" t="str">
        <f aca="false"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J204" s="47" t="str">
        <f aca="false"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44" t="str">
        <f aca="false">IFERROR(MATCH(76,_自动清单!$AC$4:$AC$2403,0),"")</f>
        <v/>
      </c>
      <c r="AL204" s="44" t="str">
        <f aca="false">IF($D204="","",$D204)</f>
        <v/>
      </c>
      <c r="AM204" s="44" t="n">
        <f aca="false">IF(AL204="",0,IF(MATCH(AL204,AL$129:AL$208,0)=76,1,0))</f>
        <v>0</v>
      </c>
      <c r="AN204" s="44" t="n">
        <f aca="false">N(AN203)+AM204</f>
        <v>7</v>
      </c>
    </row>
    <row r="205" customFormat="false" ht="18" hidden="false" customHeight="true" outlineLevel="0" collapsed="false">
      <c r="A205" s="40" t="str">
        <f aca="false"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41" t="str">
        <f aca="false"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C205" s="41" t="str">
        <f aca="false">IF($AF205="","",IF($AF205&lt;=1200,IF(INDEX(对接源_01水果!$F$4:$F$1203,$AF205)=0,"",INDEX(对接源_01水果!$F$4:$F$1203,$AF205)),IF(INDEX(对接源_02物料!$F$4:$F$1203,$AF205-1200)=0,"",INDEX(对接源_02物料!$F$4:$F$1203,$AF205-1200))))</f>
        <v/>
      </c>
      <c r="D205" s="41" t="str">
        <f aca="false">IF($AF205="","",IF($AF205&lt;=1200,IF(INDEX(对接源_01水果!$G$4:$G$1203,$AF205)=0,"",INDEX(对接源_01水果!$G$4:$G$1203,$AF205)),IF(INDEX(对接源_02物料!$G$4:$G$1203,$AF205-1200)=0,"",INDEX(对接源_02物料!$G$4:$G$1203,$AF205-1200))))</f>
        <v/>
      </c>
      <c r="E205" s="43" t="str">
        <f aca="false">IF($AF205="","",IF($AF205&lt;=1200,IF(INDEX(对接源_01水果!$H$4:$H$1203,$AF205)=0,"",INDEX(对接源_01水果!$H$4:$H$1203,$AF205)),IF(INDEX(对接源_02物料!$H$4:$H$1203,$AF205-1200)=0,"",INDEX(对接源_02物料!$H$4:$H$1203,$AF205-1200))))</f>
        <v/>
      </c>
      <c r="F205" s="41" t="str">
        <f aca="false">IF($AF205="","",IF($AF205&lt;=1200,IF(INDEX(对接源_01水果!$I$4:$I$1203,$AF205)=0,"",INDEX(对接源_01水果!$I$4:$I$1203,$AF205)),IF(INDEX(对接源_02物料!$I$4:$I$1203,$AF205-1200)=0,"",INDEX(对接源_02物料!$I$4:$I$1203,$AF205-1200))))</f>
        <v/>
      </c>
      <c r="G205" s="55" t="str">
        <f aca="false">IF($AF205="","",IF($AF205&lt;=1200,IF(INDEX(对接源_01水果!$J$4:$J$1203,$AF205)=0,"",INDEX(对接源_01水果!$J$4:$J$1203,$AF205)),IF(INDEX(对接源_02物料!$J$4:$J$1203,$AF205-1200)=0,"",INDEX(对接源_02物料!$J$4:$J$1203,$AF205-1200))))</f>
        <v/>
      </c>
      <c r="H205" s="41" t="str">
        <f aca="false"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I205" s="41" t="str">
        <f aca="false"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J205" s="42" t="str">
        <f aca="false"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44" t="str">
        <f aca="false">IFERROR(MATCH(77,_自动清单!$AC$4:$AC$2403,0),"")</f>
        <v/>
      </c>
      <c r="AL205" s="44" t="str">
        <f aca="false">IF($D205="","",$D205)</f>
        <v/>
      </c>
      <c r="AM205" s="44" t="n">
        <f aca="false">IF(AL205="",0,IF(MATCH(AL205,AL$129:AL$208,0)=77,1,0))</f>
        <v>0</v>
      </c>
      <c r="AN205" s="44" t="n">
        <f aca="false">N(AN204)+AM205</f>
        <v>7</v>
      </c>
    </row>
    <row r="206" customFormat="false" ht="18" hidden="false" customHeight="true" outlineLevel="0" collapsed="false">
      <c r="A206" s="45" t="str">
        <f aca="false"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46" t="str">
        <f aca="false"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C206" s="46" t="str">
        <f aca="false">IF($AF206="","",IF($AF206&lt;=1200,IF(INDEX(对接源_01水果!$F$4:$F$1203,$AF206)=0,"",INDEX(对接源_01水果!$F$4:$F$1203,$AF206)),IF(INDEX(对接源_02物料!$F$4:$F$1203,$AF206-1200)=0,"",INDEX(对接源_02物料!$F$4:$F$1203,$AF206-1200))))</f>
        <v/>
      </c>
      <c r="D206" s="46" t="str">
        <f aca="false">IF($AF206="","",IF($AF206&lt;=1200,IF(INDEX(对接源_01水果!$G$4:$G$1203,$AF206)=0,"",INDEX(对接源_01水果!$G$4:$G$1203,$AF206)),IF(INDEX(对接源_02物料!$G$4:$G$1203,$AF206-1200)=0,"",INDEX(对接源_02物料!$G$4:$G$1203,$AF206-1200))))</f>
        <v/>
      </c>
      <c r="E206" s="48" t="str">
        <f aca="false">IF($AF206="","",IF($AF206&lt;=1200,IF(INDEX(对接源_01水果!$H$4:$H$1203,$AF206)=0,"",INDEX(对接源_01水果!$H$4:$H$1203,$AF206)),IF(INDEX(对接源_02物料!$H$4:$H$1203,$AF206-1200)=0,"",INDEX(对接源_02物料!$H$4:$H$1203,$AF206-1200))))</f>
        <v/>
      </c>
      <c r="F206" s="46" t="str">
        <f aca="false">IF($AF206="","",IF($AF206&lt;=1200,IF(INDEX(对接源_01水果!$I$4:$I$1203,$AF206)=0,"",INDEX(对接源_01水果!$I$4:$I$1203,$AF206)),IF(INDEX(对接源_02物料!$I$4:$I$1203,$AF206-1200)=0,"",INDEX(对接源_02物料!$I$4:$I$1203,$AF206-1200))))</f>
        <v/>
      </c>
      <c r="G206" s="56" t="str">
        <f aca="false">IF($AF206="","",IF($AF206&lt;=1200,IF(INDEX(对接源_01水果!$J$4:$J$1203,$AF206)=0,"",INDEX(对接源_01水果!$J$4:$J$1203,$AF206)),IF(INDEX(对接源_02物料!$J$4:$J$1203,$AF206-1200)=0,"",INDEX(对接源_02物料!$J$4:$J$1203,$AF206-1200))))</f>
        <v/>
      </c>
      <c r="H206" s="46" t="str">
        <f aca="false"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I206" s="46" t="str">
        <f aca="false"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J206" s="47" t="str">
        <f aca="false"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44" t="str">
        <f aca="false">IFERROR(MATCH(78,_自动清单!$AC$4:$AC$2403,0),"")</f>
        <v/>
      </c>
      <c r="AL206" s="44" t="str">
        <f aca="false">IF($D206="","",$D206)</f>
        <v/>
      </c>
      <c r="AM206" s="44" t="n">
        <f aca="false">IF(AL206="",0,IF(MATCH(AL206,AL$129:AL$208,0)=78,1,0))</f>
        <v>0</v>
      </c>
      <c r="AN206" s="44" t="n">
        <f aca="false">N(AN205)+AM206</f>
        <v>7</v>
      </c>
    </row>
    <row r="207" customFormat="false" ht="18" hidden="false" customHeight="true" outlineLevel="0" collapsed="false">
      <c r="A207" s="40" t="str">
        <f aca="false"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41" t="str">
        <f aca="false"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C207" s="41" t="str">
        <f aca="false">IF($AF207="","",IF($AF207&lt;=1200,IF(INDEX(对接源_01水果!$F$4:$F$1203,$AF207)=0,"",INDEX(对接源_01水果!$F$4:$F$1203,$AF207)),IF(INDEX(对接源_02物料!$F$4:$F$1203,$AF207-1200)=0,"",INDEX(对接源_02物料!$F$4:$F$1203,$AF207-1200))))</f>
        <v/>
      </c>
      <c r="D207" s="41" t="str">
        <f aca="false">IF($AF207="","",IF($AF207&lt;=1200,IF(INDEX(对接源_01水果!$G$4:$G$1203,$AF207)=0,"",INDEX(对接源_01水果!$G$4:$G$1203,$AF207)),IF(INDEX(对接源_02物料!$G$4:$G$1203,$AF207-1200)=0,"",INDEX(对接源_02物料!$G$4:$G$1203,$AF207-1200))))</f>
        <v/>
      </c>
      <c r="E207" s="43" t="str">
        <f aca="false">IF($AF207="","",IF($AF207&lt;=1200,IF(INDEX(对接源_01水果!$H$4:$H$1203,$AF207)=0,"",INDEX(对接源_01水果!$H$4:$H$1203,$AF207)),IF(INDEX(对接源_02物料!$H$4:$H$1203,$AF207-1200)=0,"",INDEX(对接源_02物料!$H$4:$H$1203,$AF207-1200))))</f>
        <v/>
      </c>
      <c r="F207" s="41" t="str">
        <f aca="false">IF($AF207="","",IF($AF207&lt;=1200,IF(INDEX(对接源_01水果!$I$4:$I$1203,$AF207)=0,"",INDEX(对接源_01水果!$I$4:$I$1203,$AF207)),IF(INDEX(对接源_02物料!$I$4:$I$1203,$AF207-1200)=0,"",INDEX(对接源_02物料!$I$4:$I$1203,$AF207-1200))))</f>
        <v/>
      </c>
      <c r="G207" s="55" t="str">
        <f aca="false">IF($AF207="","",IF($AF207&lt;=1200,IF(INDEX(对接源_01水果!$J$4:$J$1203,$AF207)=0,"",INDEX(对接源_01水果!$J$4:$J$1203,$AF207)),IF(INDEX(对接源_02物料!$J$4:$J$1203,$AF207-1200)=0,"",INDEX(对接源_02物料!$J$4:$J$1203,$AF207-1200))))</f>
        <v/>
      </c>
      <c r="H207" s="41" t="str">
        <f aca="false"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I207" s="41" t="str">
        <f aca="false"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J207" s="42" t="str">
        <f aca="false"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44" t="str">
        <f aca="false">IFERROR(MATCH(79,_自动清单!$AC$4:$AC$2403,0),"")</f>
        <v/>
      </c>
      <c r="AL207" s="44" t="str">
        <f aca="false">IF($D207="","",$D207)</f>
        <v/>
      </c>
      <c r="AM207" s="44" t="n">
        <f aca="false">IF(AL207="",0,IF(MATCH(AL207,AL$129:AL$208,0)=79,1,0))</f>
        <v>0</v>
      </c>
      <c r="AN207" s="44" t="n">
        <f aca="false">N(AN206)+AM207</f>
        <v>7</v>
      </c>
    </row>
    <row r="208" customFormat="false" ht="18" hidden="false" customHeight="true" outlineLevel="0" collapsed="false">
      <c r="A208" s="45" t="str">
        <f aca="false"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46" t="str">
        <f aca="false"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C208" s="46" t="str">
        <f aca="false">IF($AF208="","",IF($AF208&lt;=1200,IF(INDEX(对接源_01水果!$F$4:$F$1203,$AF208)=0,"",INDEX(对接源_01水果!$F$4:$F$1203,$AF208)),IF(INDEX(对接源_02物料!$F$4:$F$1203,$AF208-1200)=0,"",INDEX(对接源_02物料!$F$4:$F$1203,$AF208-1200))))</f>
        <v/>
      </c>
      <c r="D208" s="46" t="str">
        <f aca="false">IF($AF208="","",IF($AF208&lt;=1200,IF(INDEX(对接源_01水果!$G$4:$G$1203,$AF208)=0,"",INDEX(对接源_01水果!$G$4:$G$1203,$AF208)),IF(INDEX(对接源_02物料!$G$4:$G$1203,$AF208-1200)=0,"",INDEX(对接源_02物料!$G$4:$G$1203,$AF208-1200))))</f>
        <v/>
      </c>
      <c r="E208" s="48" t="str">
        <f aca="false">IF($AF208="","",IF($AF208&lt;=1200,IF(INDEX(对接源_01水果!$H$4:$H$1203,$AF208)=0,"",INDEX(对接源_01水果!$H$4:$H$1203,$AF208)),IF(INDEX(对接源_02物料!$H$4:$H$1203,$AF208-1200)=0,"",INDEX(对接源_02物料!$H$4:$H$1203,$AF208-1200))))</f>
        <v/>
      </c>
      <c r="F208" s="46" t="str">
        <f aca="false">IF($AF208="","",IF($AF208&lt;=1200,IF(INDEX(对接源_01水果!$I$4:$I$1203,$AF208)=0,"",INDEX(对接源_01水果!$I$4:$I$1203,$AF208)),IF(INDEX(对接源_02物料!$I$4:$I$1203,$AF208-1200)=0,"",INDEX(对接源_02物料!$I$4:$I$1203,$AF208-1200))))</f>
        <v/>
      </c>
      <c r="G208" s="56" t="str">
        <f aca="false">IF($AF208="","",IF($AF208&lt;=1200,IF(INDEX(对接源_01水果!$J$4:$J$1203,$AF208)=0,"",INDEX(对接源_01水果!$J$4:$J$1203,$AF208)),IF(INDEX(对接源_02物料!$J$4:$J$1203,$AF208-1200)=0,"",INDEX(对接源_02物料!$J$4:$J$1203,$AF208-1200))))</f>
        <v/>
      </c>
      <c r="H208" s="46" t="str">
        <f aca="false"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I208" s="46" t="str">
        <f aca="false"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J208" s="47" t="str">
        <f aca="false"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44" t="str">
        <f aca="false">IFERROR(MATCH(80,_自动清单!$AC$4:$AC$2403,0),"")</f>
        <v/>
      </c>
      <c r="AL208" s="44" t="str">
        <f aca="false">IF($D208="","",$D208)</f>
        <v/>
      </c>
      <c r="AM208" s="44" t="n">
        <f aca="false">IF(AL208="",0,IF(MATCH(AL208,AL$129:AL$208,0)=80,1,0))</f>
        <v>0</v>
      </c>
      <c r="AN208" s="44" t="n">
        <f aca="false">N(AN207)+AM208</f>
        <v>7</v>
      </c>
    </row>
    <row r="210" customFormat="false" ht="24" hidden="false" customHeight="true" outlineLevel="0" collapsed="false">
      <c r="A210" s="35" t="s">
        <v>128</v>
      </c>
      <c r="B210" s="35"/>
      <c r="C210" s="35"/>
      <c r="D210" s="35"/>
      <c r="E210" s="35"/>
      <c r="F210" s="35"/>
      <c r="G210" s="35"/>
      <c r="H210" s="70" t="str">
        <f aca="false">ROUND(SUMIFS(对接源_01水果!$H$4:$H$1203,对接源_01水果!$C$4:$C$1203,$B$2,对接源_01水果!$B$4:$B$1203,"&gt;="&amp;$P$1,对接源_01水果!$B$4:$B$1203,"&lt;="&amp;$P$2,对接源_01水果!$D$4:$D$1203,"成品出库*")+SUMIFS(对接源_02物料!$H$4:$H$1203,对接源_02物料!$C$4:$C$1203,$B$2,对接源_02物料!$B$4:$B$1203,"&gt;="&amp;$P$1,对接源_02物料!$B$4:$B$1203,"&lt;="&amp;$P$2,对接源_02物料!$D$4:$D$1203,"成品出库*"),0)&amp;"　件　｜　应收 "&amp;TEXT(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,"#,##0.00")&amp;" 元"</f>
        <v>3661　件　｜　应收 0.00 元</v>
      </c>
      <c r="I210" s="70"/>
      <c r="J210" s="70"/>
    </row>
    <row r="211" customFormat="false" ht="30" hidden="false" customHeight="true" outlineLevel="0" collapsed="false">
      <c r="A211" s="39" t="s">
        <v>81</v>
      </c>
      <c r="B211" s="39" t="s">
        <v>82</v>
      </c>
      <c r="C211" s="39" t="s">
        <v>111</v>
      </c>
      <c r="D211" s="39" t="s">
        <v>112</v>
      </c>
      <c r="E211" s="39" t="s">
        <v>105</v>
      </c>
      <c r="F211" s="39" t="s">
        <v>113</v>
      </c>
      <c r="G211" s="39" t="s">
        <v>114</v>
      </c>
      <c r="H211" s="39" t="s">
        <v>129</v>
      </c>
      <c r="I211" s="39" t="s">
        <v>130</v>
      </c>
      <c r="J211" s="39" t="s">
        <v>87</v>
      </c>
    </row>
    <row r="212" customFormat="false" ht="18" hidden="false" customHeight="true" outlineLevel="0" collapsed="false">
      <c r="A212" s="40" t="n">
        <f aca="false">IF($AG212="","",IF($AG212&lt;=1200,IF(INDEX(对接源_01水果!$B$4:$B$1203,$AG212)=0,"",INDEX(对接源_01水果!$B$4:$B$1203,$AG212)),IF(INDEX(对接源_02物料!$B$4:$B$1203,$AG212-1200)=0,"",INDEX(对接源_02物料!$B$4:$B$1203,$AG212-1200))))</f>
        <v>46259</v>
      </c>
      <c r="B212" s="41" t="str">
        <f aca="false">IF($AG212="","",IF($AG212&lt;=1200,IF(INDEX(对接源_01水果!$E$4:$E$1203,$AG212)=0,"",INDEX(对接源_01水果!$E$4:$E$1203,$AG212)),IF(INDEX(对接源_02物料!$E$4:$E$1203,$AG212-1200)=0,"",INDEX(对接源_02物料!$E$4:$E$1203,$AG212-1200))))</f>
        <v>NO:0001035</v>
      </c>
      <c r="C212" s="41" t="str">
        <f aca="false">IF($AG212="","",IF($AG212&lt;=1200,IF(INDEX(对接源_01水果!$F$4:$F$1203,$AG212)=0,"",INDEX(对接源_01水果!$F$4:$F$1203,$AG212)),IF(INDEX(对接源_02物料!$F$4:$F$1203,$AG212-1200)=0,"",INDEX(对接源_02物料!$F$4:$F$1203,$AG212-1200))))</f>
        <v>苹果</v>
      </c>
      <c r="D212" s="41" t="str">
        <f aca="false">IF($AG212="","",IF($AG212&lt;=1200,IF(INDEX(对接源_01水果!$G$4:$G$1203,$AG212)=0,"",INDEX(对接源_01水果!$G$4:$G$1203,$AG212)),IF(INDEX(对接源_02物料!$G$4:$G$1203,$AG212-1200)=0,"",INDEX(对接源_02物料!$G$4:$G$1203,$AG212-1200))))</f>
        <v>华硕一级</v>
      </c>
      <c r="E212" s="43" t="n">
        <f aca="false">IF($AG212="","",IF($AG212&lt;=1200,IF(INDEX(对接源_01水果!$H$4:$H$1203,$AG212)=0,"",INDEX(对接源_01水果!$H$4:$H$1203,$AG212)),IF(INDEX(对接源_02物料!$H$4:$H$1203,$AG212-1200)=0,"",INDEX(对接源_02物料!$H$4:$H$1203,$AG212-1200))))</f>
        <v>74</v>
      </c>
      <c r="F212" s="41" t="str">
        <f aca="false">IF($AG212="","",IF($AG212&lt;=1200,IF(INDEX(对接源_01水果!$I$4:$I$1203,$AG212)=0,"",INDEX(对接源_01水果!$I$4:$I$1203,$AG212)),IF(INDEX(对接源_02物料!$I$4:$I$1203,$AG212-1200)=0,"",INDEX(对接源_02物料!$I$4:$I$1203,$AG212-1200))))</f>
        <v>箱</v>
      </c>
      <c r="G212" s="55" t="n">
        <f aca="false">IF($AG212="","",IF($AG212&lt;=1200,IF(INDEX(对接源_01水果!$J$4:$J$1203,$AG212)=0,"",INDEX(对接源_01水果!$J$4:$J$1203,$AG212)),IF(INDEX(对接源_02物料!$J$4:$J$1203,$AG212-1200)=0,"",INDEX(对接源_02物料!$J$4:$J$1203,$AG212-1200))))</f>
        <v>370</v>
      </c>
      <c r="H212" s="55" t="str">
        <f aca="false">IF($AG212="","",IF($AG212&lt;=1200,IF(INDEX(对接源_01水果!$K$4:$K$1203,$AG212)=0,"",INDEX(对接源_01水果!$K$4:$K$1203,$AG212)),IF(INDEX(对接源_02物料!$K$4:$K$1203,$AG212-1200)=0,"",INDEX(对接源_02物料!$K$4:$K$1203,$AG212-1200))))</f>
        <v/>
      </c>
      <c r="I212" s="41" t="str">
        <f aca="false">IF($AG212="","",IF($AG212&lt;=1200,IF(INDEX(对接源_01水果!$L$4:$L$1203,$AG212)=0,"",INDEX(对接源_01水果!$L$4:$L$1203,$AG212)),IF(INDEX(对接源_02物料!$L$4:$L$1203,$AG212-1200)=0,"",INDEX(对接源_02物料!$L$4:$L$1203,$AG212-1200))))</f>
        <v/>
      </c>
      <c r="J212" s="42" t="str">
        <f aca="false"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44" t="n">
        <f aca="false">IFERROR(MATCH(1,_自动清单!$AE$4:$AE$2403,0),"")</f>
        <v>270</v>
      </c>
    </row>
    <row r="213" customFormat="false" ht="18" hidden="false" customHeight="true" outlineLevel="0" collapsed="false">
      <c r="A213" s="45" t="n">
        <f aca="false">IF($AG213="","",IF($AG213&lt;=1200,IF(INDEX(对接源_01水果!$B$4:$B$1203,$AG213)=0,"",INDEX(对接源_01水果!$B$4:$B$1203,$AG213)),IF(INDEX(对接源_02物料!$B$4:$B$1203,$AG213-1200)=0,"",INDEX(对接源_02物料!$B$4:$B$1203,$AG213-1200))))</f>
        <v>46259</v>
      </c>
      <c r="B213" s="46" t="str">
        <f aca="false">IF($AG213="","",IF($AG213&lt;=1200,IF(INDEX(对接源_01水果!$E$4:$E$1203,$AG213)=0,"",INDEX(对接源_01水果!$E$4:$E$1203,$AG213)),IF(INDEX(对接源_02物料!$E$4:$E$1203,$AG213-1200)=0,"",INDEX(对接源_02物料!$E$4:$E$1203,$AG213-1200))))</f>
        <v>NO:0001035</v>
      </c>
      <c r="C213" s="46" t="str">
        <f aca="false">IF($AG213="","",IF($AG213&lt;=1200,IF(INDEX(对接源_01水果!$F$4:$F$1203,$AG213)=0,"",INDEX(对接源_01水果!$F$4:$F$1203,$AG213)),IF(INDEX(对接源_02物料!$F$4:$F$1203,$AG213-1200)=0,"",INDEX(对接源_02物料!$F$4:$F$1203,$AG213-1200))))</f>
        <v>苹果</v>
      </c>
      <c r="D213" s="46" t="str">
        <f aca="false">IF($AG213="","",IF($AG213&lt;=1200,IF(INDEX(对接源_01水果!$G$4:$G$1203,$AG213)=0,"",INDEX(对接源_01水果!$G$4:$G$1203,$AG213)),IF(INDEX(对接源_02物料!$G$4:$G$1203,$AG213-1200)=0,"",INDEX(对接源_02物料!$G$4:$G$1203,$AG213-1200))))</f>
        <v>华硕一级</v>
      </c>
      <c r="E213" s="48" t="n">
        <f aca="false">IF($AG213="","",IF($AG213&lt;=1200,IF(INDEX(对接源_01水果!$H$4:$H$1203,$AG213)=0,"",INDEX(对接源_01水果!$H$4:$H$1203,$AG213)),IF(INDEX(对接源_02物料!$H$4:$H$1203,$AG213-1200)=0,"",INDEX(对接源_02物料!$H$4:$H$1203,$AG213-1200))))</f>
        <v>13</v>
      </c>
      <c r="F213" s="46" t="str">
        <f aca="false">IF($AG213="","",IF($AG213&lt;=1200,IF(INDEX(对接源_01水果!$I$4:$I$1203,$AG213)=0,"",INDEX(对接源_01水果!$I$4:$I$1203,$AG213)),IF(INDEX(对接源_02物料!$I$4:$I$1203,$AG213-1200)=0,"",INDEX(对接源_02物料!$I$4:$I$1203,$AG213-1200))))</f>
        <v>箱</v>
      </c>
      <c r="G213" s="56" t="n">
        <f aca="false">IF($AG213="","",IF($AG213&lt;=1200,IF(INDEX(对接源_01水果!$J$4:$J$1203,$AG213)=0,"",INDEX(对接源_01水果!$J$4:$J$1203,$AG213)),IF(INDEX(对接源_02物料!$J$4:$J$1203,$AG213-1200)=0,"",INDEX(对接源_02物料!$J$4:$J$1203,$AG213-1200))))</f>
        <v>32.5</v>
      </c>
      <c r="H213" s="56" t="str">
        <f aca="false">IF($AG213="","",IF($AG213&lt;=1200,IF(INDEX(对接源_01水果!$K$4:$K$1203,$AG213)=0,"",INDEX(对接源_01水果!$K$4:$K$1203,$AG213)),IF(INDEX(对接源_02物料!$K$4:$K$1203,$AG213-1200)=0,"",INDEX(对接源_02物料!$K$4:$K$1203,$AG213-1200))))</f>
        <v/>
      </c>
      <c r="I213" s="46" t="str">
        <f aca="false">IF($AG213="","",IF($AG213&lt;=1200,IF(INDEX(对接源_01水果!$L$4:$L$1203,$AG213)=0,"",INDEX(对接源_01水果!$L$4:$L$1203,$AG213)),IF(INDEX(对接源_02物料!$L$4:$L$1203,$AG213-1200)=0,"",INDEX(对接源_02物料!$L$4:$L$1203,$AG213-1200))))</f>
        <v/>
      </c>
      <c r="J213" s="47" t="str">
        <f aca="false"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44" t="n">
        <f aca="false">IFERROR(MATCH(2,_自动清单!$AE$4:$AE$2403,0),"")</f>
        <v>271</v>
      </c>
    </row>
    <row r="214" customFormat="false" ht="18" hidden="false" customHeight="true" outlineLevel="0" collapsed="false">
      <c r="A214" s="40" t="n">
        <f aca="false">IF($AG214="","",IF($AG214&lt;=1200,IF(INDEX(对接源_01水果!$B$4:$B$1203,$AG214)=0,"",INDEX(对接源_01水果!$B$4:$B$1203,$AG214)),IF(INDEX(对接源_02物料!$B$4:$B$1203,$AG214-1200)=0,"",INDEX(对接源_02物料!$B$4:$B$1203,$AG214-1200))))</f>
        <v>46261</v>
      </c>
      <c r="B214" s="41" t="str">
        <f aca="false">IF($AG214="","",IF($AG214&lt;=1200,IF(INDEX(对接源_01水果!$E$4:$E$1203,$AG214)=0,"",INDEX(对接源_01水果!$E$4:$E$1203,$AG214)),IF(INDEX(对接源_02物料!$E$4:$E$1203,$AG214-1200)=0,"",INDEX(对接源_02物料!$E$4:$E$1203,$AG214-1200))))</f>
        <v>NO:0001040</v>
      </c>
      <c r="C214" s="41" t="str">
        <f aca="false">IF($AG214="","",IF($AG214&lt;=1200,IF(INDEX(对接源_01水果!$F$4:$F$1203,$AG214)=0,"",INDEX(对接源_01水果!$F$4:$F$1203,$AG214)),IF(INDEX(对接源_02物料!$F$4:$F$1203,$AG214-1200)=0,"",INDEX(对接源_02物料!$F$4:$F$1203,$AG214-1200))))</f>
        <v>苹果</v>
      </c>
      <c r="D214" s="41" t="str">
        <f aca="false">IF($AG214="","",IF($AG214&lt;=1200,IF(INDEX(对接源_01水果!$G$4:$G$1203,$AG214)=0,"",INDEX(对接源_01水果!$G$4:$G$1203,$AG214)),IF(INDEX(对接源_02物料!$G$4:$G$1203,$AG214-1200)=0,"",INDEX(对接源_02物料!$G$4:$G$1203,$AG214-1200))))</f>
        <v>华硕一级</v>
      </c>
      <c r="E214" s="43" t="n">
        <f aca="false">IF($AG214="","",IF($AG214&lt;=1200,IF(INDEX(对接源_01水果!$H$4:$H$1203,$AG214)=0,"",INDEX(对接源_01水果!$H$4:$H$1203,$AG214)),IF(INDEX(对接源_02物料!$H$4:$H$1203,$AG214-1200)=0,"",INDEX(对接源_02物料!$H$4:$H$1203,$AG214-1200))))</f>
        <v>63</v>
      </c>
      <c r="F214" s="41" t="str">
        <f aca="false">IF($AG214="","",IF($AG214&lt;=1200,IF(INDEX(对接源_01水果!$I$4:$I$1203,$AG214)=0,"",INDEX(对接源_01水果!$I$4:$I$1203,$AG214)),IF(INDEX(对接源_02物料!$I$4:$I$1203,$AG214-1200)=0,"",INDEX(对接源_02物料!$I$4:$I$1203,$AG214-1200))))</f>
        <v>箱</v>
      </c>
      <c r="G214" s="55" t="n">
        <f aca="false">IF($AG214="","",IF($AG214&lt;=1200,IF(INDEX(对接源_01水果!$J$4:$J$1203,$AG214)=0,"",INDEX(对接源_01水果!$J$4:$J$1203,$AG214)),IF(INDEX(对接源_02物料!$J$4:$J$1203,$AG214-1200)=0,"",INDEX(对接源_02物料!$J$4:$J$1203,$AG214-1200))))</f>
        <v>321.3</v>
      </c>
      <c r="H214" s="55" t="str">
        <f aca="false">IF($AG214="","",IF($AG214&lt;=1200,IF(INDEX(对接源_01水果!$K$4:$K$1203,$AG214)=0,"",INDEX(对接源_01水果!$K$4:$K$1203,$AG214)),IF(INDEX(对接源_02物料!$K$4:$K$1203,$AG214-1200)=0,"",INDEX(对接源_02物料!$K$4:$K$1203,$AG214-1200))))</f>
        <v/>
      </c>
      <c r="I214" s="41" t="str">
        <f aca="false">IF($AG214="","",IF($AG214&lt;=1200,IF(INDEX(对接源_01水果!$L$4:$L$1203,$AG214)=0,"",INDEX(对接源_01水果!$L$4:$L$1203,$AG214)),IF(INDEX(对接源_02物料!$L$4:$L$1203,$AG214-1200)=0,"",INDEX(对接源_02物料!$L$4:$L$1203,$AG214-1200))))</f>
        <v/>
      </c>
      <c r="J214" s="42" t="str">
        <f aca="false"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44" t="n">
        <f aca="false">IFERROR(MATCH(3,_自动清单!$AE$4:$AE$2403,0),"")</f>
        <v>272</v>
      </c>
    </row>
    <row r="215" customFormat="false" ht="18" hidden="false" customHeight="true" outlineLevel="0" collapsed="false">
      <c r="A215" s="45" t="n">
        <f aca="false">IF($AG215="","",IF($AG215&lt;=1200,IF(INDEX(对接源_01水果!$B$4:$B$1203,$AG215)=0,"",INDEX(对接源_01水果!$B$4:$B$1203,$AG215)),IF(INDEX(对接源_02物料!$B$4:$B$1203,$AG215-1200)=0,"",INDEX(对接源_02物料!$B$4:$B$1203,$AG215-1200))))</f>
        <v>46261</v>
      </c>
      <c r="B215" s="46" t="str">
        <f aca="false">IF($AG215="","",IF($AG215&lt;=1200,IF(INDEX(对接源_01水果!$E$4:$E$1203,$AG215)=0,"",INDEX(对接源_01水果!$E$4:$E$1203,$AG215)),IF(INDEX(对接源_02物料!$E$4:$E$1203,$AG215-1200)=0,"",INDEX(对接源_02物料!$E$4:$E$1203,$AG215-1200))))</f>
        <v>NO:0001040</v>
      </c>
      <c r="C215" s="46" t="str">
        <f aca="false">IF($AG215="","",IF($AG215&lt;=1200,IF(INDEX(对接源_01水果!$F$4:$F$1203,$AG215)=0,"",INDEX(对接源_01水果!$F$4:$F$1203,$AG215)),IF(INDEX(对接源_02物料!$F$4:$F$1203,$AG215-1200)=0,"",INDEX(对接源_02物料!$F$4:$F$1203,$AG215-1200))))</f>
        <v>苹果</v>
      </c>
      <c r="D215" s="46" t="str">
        <f aca="false">IF($AG215="","",IF($AG215&lt;=1200,IF(INDEX(对接源_01水果!$G$4:$G$1203,$AG215)=0,"",INDEX(对接源_01水果!$G$4:$G$1203,$AG215)),IF(INDEX(对接源_02物料!$G$4:$G$1203,$AG215-1200)=0,"",INDEX(对接源_02物料!$G$4:$G$1203,$AG215-1200))))</f>
        <v>华硕一级</v>
      </c>
      <c r="E215" s="48" t="n">
        <f aca="false">IF($AG215="","",IF($AG215&lt;=1200,IF(INDEX(对接源_01水果!$H$4:$H$1203,$AG215)=0,"",INDEX(对接源_01水果!$H$4:$H$1203,$AG215)),IF(INDEX(对接源_02物料!$H$4:$H$1203,$AG215-1200)=0,"",INDEX(对接源_02物料!$H$4:$H$1203,$AG215-1200))))</f>
        <v>26</v>
      </c>
      <c r="F215" s="46" t="str">
        <f aca="false">IF($AG215="","",IF($AG215&lt;=1200,IF(INDEX(对接源_01水果!$I$4:$I$1203,$AG215)=0,"",INDEX(对接源_01水果!$I$4:$I$1203,$AG215)),IF(INDEX(对接源_02物料!$I$4:$I$1203,$AG215-1200)=0,"",INDEX(对接源_02物料!$I$4:$I$1203,$AG215-1200))))</f>
        <v>箱</v>
      </c>
      <c r="G215" s="56" t="n">
        <f aca="false">IF($AG215="","",IF($AG215&lt;=1200,IF(INDEX(对接源_01水果!$J$4:$J$1203,$AG215)=0,"",INDEX(对接源_01水果!$J$4:$J$1203,$AG215)),IF(INDEX(对接源_02物料!$J$4:$J$1203,$AG215-1200)=0,"",INDEX(对接源_02物料!$J$4:$J$1203,$AG215-1200))))</f>
        <v>67.6</v>
      </c>
      <c r="H215" s="56" t="str">
        <f aca="false">IF($AG215="","",IF($AG215&lt;=1200,IF(INDEX(对接源_01水果!$K$4:$K$1203,$AG215)=0,"",INDEX(对接源_01水果!$K$4:$K$1203,$AG215)),IF(INDEX(对接源_02物料!$K$4:$K$1203,$AG215-1200)=0,"",INDEX(对接源_02物料!$K$4:$K$1203,$AG215-1200))))</f>
        <v/>
      </c>
      <c r="I215" s="46" t="str">
        <f aca="false">IF($AG215="","",IF($AG215&lt;=1200,IF(INDEX(对接源_01水果!$L$4:$L$1203,$AG215)=0,"",INDEX(对接源_01水果!$L$4:$L$1203,$AG215)),IF(INDEX(对接源_02物料!$L$4:$L$1203,$AG215-1200)=0,"",INDEX(对接源_02物料!$L$4:$L$1203,$AG215-1200))))</f>
        <v/>
      </c>
      <c r="J215" s="47" t="str">
        <f aca="false"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44" t="n">
        <f aca="false">IFERROR(MATCH(4,_自动清单!$AE$4:$AE$2403,0),"")</f>
        <v>273</v>
      </c>
    </row>
    <row r="216" customFormat="false" ht="18" hidden="false" customHeight="true" outlineLevel="0" collapsed="false">
      <c r="A216" s="40" t="n">
        <f aca="false">IF($AG216="","",IF($AG216&lt;=1200,IF(INDEX(对接源_01水果!$B$4:$B$1203,$AG216)=0,"",INDEX(对接源_01水果!$B$4:$B$1203,$AG216)),IF(INDEX(对接源_02物料!$B$4:$B$1203,$AG216-1200)=0,"",INDEX(对接源_02物料!$B$4:$B$1203,$AG216-1200))))</f>
        <v>46262</v>
      </c>
      <c r="B216" s="41" t="str">
        <f aca="false">IF($AG216="","",IF($AG216&lt;=1200,IF(INDEX(对接源_01水果!$E$4:$E$1203,$AG216)=0,"",INDEX(对接源_01水果!$E$4:$E$1203,$AG216)),IF(INDEX(对接源_02物料!$E$4:$E$1203,$AG216-1200)=0,"",INDEX(对接源_02物料!$E$4:$E$1203,$AG216-1200))))</f>
        <v>NO:0001043</v>
      </c>
      <c r="C216" s="41" t="str">
        <f aca="false">IF($AG216="","",IF($AG216&lt;=1200,IF(INDEX(对接源_01水果!$F$4:$F$1203,$AG216)=0,"",INDEX(对接源_01水果!$F$4:$F$1203,$AG216)),IF(INDEX(对接源_02物料!$F$4:$F$1203,$AG216-1200)=0,"",INDEX(对接源_02物料!$F$4:$F$1203,$AG216-1200))))</f>
        <v>苹果</v>
      </c>
      <c r="D216" s="41" t="str">
        <f aca="false">IF($AG216="","",IF($AG216&lt;=1200,IF(INDEX(对接源_01水果!$G$4:$G$1203,$AG216)=0,"",INDEX(对接源_01水果!$G$4:$G$1203,$AG216)),IF(INDEX(对接源_02物料!$G$4:$G$1203,$AG216-1200)=0,"",INDEX(对接源_02物料!$G$4:$G$1203,$AG216-1200))))</f>
        <v>华硕一级</v>
      </c>
      <c r="E216" s="43" t="n">
        <f aca="false">IF($AG216="","",IF($AG216&lt;=1200,IF(INDEX(对接源_01水果!$H$4:$H$1203,$AG216)=0,"",INDEX(对接源_01水果!$H$4:$H$1203,$AG216)),IF(INDEX(对接源_02物料!$H$4:$H$1203,$AG216-1200)=0,"",INDEX(对接源_02物料!$H$4:$H$1203,$AG216-1200))))</f>
        <v>29</v>
      </c>
      <c r="F216" s="41" t="str">
        <f aca="false">IF($AG216="","",IF($AG216&lt;=1200,IF(INDEX(对接源_01水果!$I$4:$I$1203,$AG216)=0,"",INDEX(对接源_01水果!$I$4:$I$1203,$AG216)),IF(INDEX(对接源_02物料!$I$4:$I$1203,$AG216-1200)=0,"",INDEX(对接源_02物料!$I$4:$I$1203,$AG216-1200))))</f>
        <v>箱</v>
      </c>
      <c r="G216" s="55" t="n">
        <f aca="false">IF($AG216="","",IF($AG216&lt;=1200,IF(INDEX(对接源_01水果!$J$4:$J$1203,$AG216)=0,"",INDEX(对接源_01水果!$J$4:$J$1203,$AG216)),IF(INDEX(对接源_02物料!$J$4:$J$1203,$AG216-1200)=0,"",INDEX(对接源_02物料!$J$4:$J$1203,$AG216-1200))))</f>
        <v>147.9</v>
      </c>
      <c r="H216" s="55" t="str">
        <f aca="false">IF($AG216="","",IF($AG216&lt;=1200,IF(INDEX(对接源_01水果!$K$4:$K$1203,$AG216)=0,"",INDEX(对接源_01水果!$K$4:$K$1203,$AG216)),IF(INDEX(对接源_02物料!$K$4:$K$1203,$AG216-1200)=0,"",INDEX(对接源_02物料!$K$4:$K$1203,$AG216-1200))))</f>
        <v/>
      </c>
      <c r="I216" s="41" t="str">
        <f aca="false">IF($AG216="","",IF($AG216&lt;=1200,IF(INDEX(对接源_01水果!$L$4:$L$1203,$AG216)=0,"",INDEX(对接源_01水果!$L$4:$L$1203,$AG216)),IF(INDEX(对接源_02物料!$L$4:$L$1203,$AG216-1200)=0,"",INDEX(对接源_02物料!$L$4:$L$1203,$AG216-1200))))</f>
        <v/>
      </c>
      <c r="J216" s="42" t="str">
        <f aca="false"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44" t="n">
        <f aca="false">IFERROR(MATCH(5,_自动清单!$AE$4:$AE$2403,0),"")</f>
        <v>274</v>
      </c>
    </row>
    <row r="217" customFormat="false" ht="18" hidden="false" customHeight="true" outlineLevel="0" collapsed="false">
      <c r="A217" s="45" t="n">
        <f aca="false">IF($AG217="","",IF($AG217&lt;=1200,IF(INDEX(对接源_01水果!$B$4:$B$1203,$AG217)=0,"",INDEX(对接源_01水果!$B$4:$B$1203,$AG217)),IF(INDEX(对接源_02物料!$B$4:$B$1203,$AG217-1200)=0,"",INDEX(对接源_02物料!$B$4:$B$1203,$AG217-1200))))</f>
        <v>46262</v>
      </c>
      <c r="B217" s="46" t="str">
        <f aca="false">IF($AG217="","",IF($AG217&lt;=1200,IF(INDEX(对接源_01水果!$E$4:$E$1203,$AG217)=0,"",INDEX(对接源_01水果!$E$4:$E$1203,$AG217)),IF(INDEX(对接源_02物料!$E$4:$E$1203,$AG217-1200)=0,"",INDEX(对接源_02物料!$E$4:$E$1203,$AG217-1200))))</f>
        <v>NO:0001043</v>
      </c>
      <c r="C217" s="46" t="str">
        <f aca="false">IF($AG217="","",IF($AG217&lt;=1200,IF(INDEX(对接源_01水果!$F$4:$F$1203,$AG217)=0,"",INDEX(对接源_01水果!$F$4:$F$1203,$AG217)),IF(INDEX(对接源_02物料!$F$4:$F$1203,$AG217-1200)=0,"",INDEX(对接源_02物料!$F$4:$F$1203,$AG217-1200))))</f>
        <v>苹果</v>
      </c>
      <c r="D217" s="46" t="str">
        <f aca="false">IF($AG217="","",IF($AG217&lt;=1200,IF(INDEX(对接源_01水果!$G$4:$G$1203,$AG217)=0,"",INDEX(对接源_01水果!$G$4:$G$1203,$AG217)),IF(INDEX(对接源_02物料!$G$4:$G$1203,$AG217-1200)=0,"",INDEX(对接源_02物料!$G$4:$G$1203,$AG217-1200))))</f>
        <v>华硕一级</v>
      </c>
      <c r="E217" s="48" t="n">
        <f aca="false">IF($AG217="","",IF($AG217&lt;=1200,IF(INDEX(对接源_01水果!$H$4:$H$1203,$AG217)=0,"",INDEX(对接源_01水果!$H$4:$H$1203,$AG217)),IF(INDEX(对接源_02物料!$H$4:$H$1203,$AG217-1200)=0,"",INDEX(对接源_02物料!$H$4:$H$1203,$AG217-1200))))</f>
        <v>12</v>
      </c>
      <c r="F217" s="46" t="str">
        <f aca="false">IF($AG217="","",IF($AG217&lt;=1200,IF(INDEX(对接源_01水果!$I$4:$I$1203,$AG217)=0,"",INDEX(对接源_01水果!$I$4:$I$1203,$AG217)),IF(INDEX(对接源_02物料!$I$4:$I$1203,$AG217-1200)=0,"",INDEX(对接源_02物料!$I$4:$I$1203,$AG217-1200))))</f>
        <v>箱</v>
      </c>
      <c r="G217" s="56" t="n">
        <f aca="false">IF($AG217="","",IF($AG217&lt;=1200,IF(INDEX(对接源_01水果!$J$4:$J$1203,$AG217)=0,"",INDEX(对接源_01水果!$J$4:$J$1203,$AG217)),IF(INDEX(对接源_02物料!$J$4:$J$1203,$AG217-1200)=0,"",INDEX(对接源_02物料!$J$4:$J$1203,$AG217-1200))))</f>
        <v>31.2</v>
      </c>
      <c r="H217" s="56" t="str">
        <f aca="false">IF($AG217="","",IF($AG217&lt;=1200,IF(INDEX(对接源_01水果!$K$4:$K$1203,$AG217)=0,"",INDEX(对接源_01水果!$K$4:$K$1203,$AG217)),IF(INDEX(对接源_02物料!$K$4:$K$1203,$AG217-1200)=0,"",INDEX(对接源_02物料!$K$4:$K$1203,$AG217-1200))))</f>
        <v/>
      </c>
      <c r="I217" s="46" t="str">
        <f aca="false">IF($AG217="","",IF($AG217&lt;=1200,IF(INDEX(对接源_01水果!$L$4:$L$1203,$AG217)=0,"",INDEX(对接源_01水果!$L$4:$L$1203,$AG217)),IF(INDEX(对接源_02物料!$L$4:$L$1203,$AG217-1200)=0,"",INDEX(对接源_02物料!$L$4:$L$1203,$AG217-1200))))</f>
        <v/>
      </c>
      <c r="J217" s="47" t="str">
        <f aca="false"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44" t="n">
        <f aca="false">IFERROR(MATCH(6,_自动清单!$AE$4:$AE$2403,0),"")</f>
        <v>275</v>
      </c>
    </row>
    <row r="218" customFormat="false" ht="18" hidden="false" customHeight="true" outlineLevel="0" collapsed="false">
      <c r="A218" s="40" t="n">
        <f aca="false">IF($AG218="","",IF($AG218&lt;=1200,IF(INDEX(对接源_01水果!$B$4:$B$1203,$AG218)=0,"",INDEX(对接源_01水果!$B$4:$B$1203,$AG218)),IF(INDEX(对接源_02物料!$B$4:$B$1203,$AG218-1200)=0,"",INDEX(对接源_02物料!$B$4:$B$1203,$AG218-1200))))</f>
        <v>46263</v>
      </c>
      <c r="B218" s="41" t="str">
        <f aca="false">IF($AG218="","",IF($AG218&lt;=1200,IF(INDEX(对接源_01水果!$E$4:$E$1203,$AG218)=0,"",INDEX(对接源_01水果!$E$4:$E$1203,$AG218)),IF(INDEX(对接源_02物料!$E$4:$E$1203,$AG218-1200)=0,"",INDEX(对接源_02物料!$E$4:$E$1203,$AG218-1200))))</f>
        <v>NO:0001048</v>
      </c>
      <c r="C218" s="41" t="str">
        <f aca="false">IF($AG218="","",IF($AG218&lt;=1200,IF(INDEX(对接源_01水果!$F$4:$F$1203,$AG218)=0,"",INDEX(对接源_01水果!$F$4:$F$1203,$AG218)),IF(INDEX(对接源_02物料!$F$4:$F$1203,$AG218-1200)=0,"",INDEX(对接源_02物料!$F$4:$F$1203,$AG218-1200))))</f>
        <v>苹果</v>
      </c>
      <c r="D218" s="41" t="str">
        <f aca="false">IF($AG218="","",IF($AG218&lt;=1200,IF(INDEX(对接源_01水果!$G$4:$G$1203,$AG218)=0,"",INDEX(对接源_01水果!$G$4:$G$1203,$AG218)),IF(INDEX(对接源_02物料!$G$4:$G$1203,$AG218-1200)=0,"",INDEX(对接源_02物料!$G$4:$G$1203,$AG218-1200))))</f>
        <v>华硕一级</v>
      </c>
      <c r="E218" s="43" t="n">
        <f aca="false">IF($AG218="","",IF($AG218&lt;=1200,IF(INDEX(对接源_01水果!$H$4:$H$1203,$AG218)=0,"",INDEX(对接源_01水果!$H$4:$H$1203,$AG218)),IF(INDEX(对接源_02物料!$H$4:$H$1203,$AG218-1200)=0,"",INDEX(对接源_02物料!$H$4:$H$1203,$AG218-1200))))</f>
        <v>68</v>
      </c>
      <c r="F218" s="41" t="str">
        <f aca="false">IF($AG218="","",IF($AG218&lt;=1200,IF(INDEX(对接源_01水果!$I$4:$I$1203,$AG218)=0,"",INDEX(对接源_01水果!$I$4:$I$1203,$AG218)),IF(INDEX(对接源_02物料!$I$4:$I$1203,$AG218-1200)=0,"",INDEX(对接源_02物料!$I$4:$I$1203,$AG218-1200))))</f>
        <v>箱</v>
      </c>
      <c r="G218" s="55" t="n">
        <f aca="false">IF($AG218="","",IF($AG218&lt;=1200,IF(INDEX(对接源_01水果!$J$4:$J$1203,$AG218)=0,"",INDEX(对接源_01水果!$J$4:$J$1203,$AG218)),IF(INDEX(对接源_02物料!$J$4:$J$1203,$AG218-1200)=0,"",INDEX(对接源_02物料!$J$4:$J$1203,$AG218-1200))))</f>
        <v>346.8</v>
      </c>
      <c r="H218" s="55" t="str">
        <f aca="false">IF($AG218="","",IF($AG218&lt;=1200,IF(INDEX(对接源_01水果!$K$4:$K$1203,$AG218)=0,"",INDEX(对接源_01水果!$K$4:$K$1203,$AG218)),IF(INDEX(对接源_02物料!$K$4:$K$1203,$AG218-1200)=0,"",INDEX(对接源_02物料!$K$4:$K$1203,$AG218-1200))))</f>
        <v/>
      </c>
      <c r="I218" s="41" t="str">
        <f aca="false">IF($AG218="","",IF($AG218&lt;=1200,IF(INDEX(对接源_01水果!$L$4:$L$1203,$AG218)=0,"",INDEX(对接源_01水果!$L$4:$L$1203,$AG218)),IF(INDEX(对接源_02物料!$L$4:$L$1203,$AG218-1200)=0,"",INDEX(对接源_02物料!$L$4:$L$1203,$AG218-1200))))</f>
        <v/>
      </c>
      <c r="J218" s="42" t="str">
        <f aca="false"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44" t="n">
        <f aca="false">IFERROR(MATCH(7,_自动清单!$AE$4:$AE$2403,0),"")</f>
        <v>276</v>
      </c>
    </row>
    <row r="219" customFormat="false" ht="18" hidden="false" customHeight="true" outlineLevel="0" collapsed="false">
      <c r="A219" s="45" t="n">
        <f aca="false">IF($AG219="","",IF($AG219&lt;=1200,IF(INDEX(对接源_01水果!$B$4:$B$1203,$AG219)=0,"",INDEX(对接源_01水果!$B$4:$B$1203,$AG219)),IF(INDEX(对接源_02物料!$B$4:$B$1203,$AG219-1200)=0,"",INDEX(对接源_02物料!$B$4:$B$1203,$AG219-1200))))</f>
        <v>46263</v>
      </c>
      <c r="B219" s="46" t="str">
        <f aca="false">IF($AG219="","",IF($AG219&lt;=1200,IF(INDEX(对接源_01水果!$E$4:$E$1203,$AG219)=0,"",INDEX(对接源_01水果!$E$4:$E$1203,$AG219)),IF(INDEX(对接源_02物料!$E$4:$E$1203,$AG219-1200)=0,"",INDEX(对接源_02物料!$E$4:$E$1203,$AG219-1200))))</f>
        <v>NO:0001048</v>
      </c>
      <c r="C219" s="46" t="str">
        <f aca="false">IF($AG219="","",IF($AG219&lt;=1200,IF(INDEX(对接源_01水果!$F$4:$F$1203,$AG219)=0,"",INDEX(对接源_01水果!$F$4:$F$1203,$AG219)),IF(INDEX(对接源_02物料!$F$4:$F$1203,$AG219-1200)=0,"",INDEX(对接源_02物料!$F$4:$F$1203,$AG219-1200))))</f>
        <v>苹果</v>
      </c>
      <c r="D219" s="46" t="str">
        <f aca="false">IF($AG219="","",IF($AG219&lt;=1200,IF(INDEX(对接源_01水果!$G$4:$G$1203,$AG219)=0,"",INDEX(对接源_01水果!$G$4:$G$1203,$AG219)),IF(INDEX(对接源_02物料!$G$4:$G$1203,$AG219-1200)=0,"",INDEX(对接源_02物料!$G$4:$G$1203,$AG219-1200))))</f>
        <v>华硕一级</v>
      </c>
      <c r="E219" s="48" t="n">
        <f aca="false">IF($AG219="","",IF($AG219&lt;=1200,IF(INDEX(对接源_01水果!$H$4:$H$1203,$AG219)=0,"",INDEX(对接源_01水果!$H$4:$H$1203,$AG219)),IF(INDEX(对接源_02物料!$H$4:$H$1203,$AG219-1200)=0,"",INDEX(对接源_02物料!$H$4:$H$1203,$AG219-1200))))</f>
        <v>22</v>
      </c>
      <c r="F219" s="46" t="str">
        <f aca="false">IF($AG219="","",IF($AG219&lt;=1200,IF(INDEX(对接源_01水果!$I$4:$I$1203,$AG219)=0,"",INDEX(对接源_01水果!$I$4:$I$1203,$AG219)),IF(INDEX(对接源_02物料!$I$4:$I$1203,$AG219-1200)=0,"",INDEX(对接源_02物料!$I$4:$I$1203,$AG219-1200))))</f>
        <v>箱</v>
      </c>
      <c r="G219" s="56" t="n">
        <f aca="false">IF($AG219="","",IF($AG219&lt;=1200,IF(INDEX(对接源_01水果!$J$4:$J$1203,$AG219)=0,"",INDEX(对接源_01水果!$J$4:$J$1203,$AG219)),IF(INDEX(对接源_02物料!$J$4:$J$1203,$AG219-1200)=0,"",INDEX(对接源_02物料!$J$4:$J$1203,$AG219-1200))))</f>
        <v>57.2</v>
      </c>
      <c r="H219" s="56" t="str">
        <f aca="false">IF($AG219="","",IF($AG219&lt;=1200,IF(INDEX(对接源_01水果!$K$4:$K$1203,$AG219)=0,"",INDEX(对接源_01水果!$K$4:$K$1203,$AG219)),IF(INDEX(对接源_02物料!$K$4:$K$1203,$AG219-1200)=0,"",INDEX(对接源_02物料!$K$4:$K$1203,$AG219-1200))))</f>
        <v/>
      </c>
      <c r="I219" s="46" t="str">
        <f aca="false">IF($AG219="","",IF($AG219&lt;=1200,IF(INDEX(对接源_01水果!$L$4:$L$1203,$AG219)=0,"",INDEX(对接源_01水果!$L$4:$L$1203,$AG219)),IF(INDEX(对接源_02物料!$L$4:$L$1203,$AG219-1200)=0,"",INDEX(对接源_02物料!$L$4:$L$1203,$AG219-1200))))</f>
        <v/>
      </c>
      <c r="J219" s="47" t="str">
        <f aca="false"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44" t="n">
        <f aca="false">IFERROR(MATCH(8,_自动清单!$AE$4:$AE$2403,0),"")</f>
        <v>277</v>
      </c>
    </row>
    <row r="220" customFormat="false" ht="18" hidden="false" customHeight="true" outlineLevel="0" collapsed="false">
      <c r="A220" s="40" t="n">
        <f aca="false">IF($AG220="","",IF($AG220&lt;=1200,IF(INDEX(对接源_01水果!$B$4:$B$1203,$AG220)=0,"",INDEX(对接源_01水果!$B$4:$B$1203,$AG220)),IF(INDEX(对接源_02物料!$B$4:$B$1203,$AG220-1200)=0,"",INDEX(对接源_02物料!$B$4:$B$1203,$AG220-1200))))</f>
        <v>46264</v>
      </c>
      <c r="B220" s="41" t="str">
        <f aca="false">IF($AG220="","",IF($AG220&lt;=1200,IF(INDEX(对接源_01水果!$E$4:$E$1203,$AG220)=0,"",INDEX(对接源_01水果!$E$4:$E$1203,$AG220)),IF(INDEX(对接源_02物料!$E$4:$E$1203,$AG220-1200)=0,"",INDEX(对接源_02物料!$E$4:$E$1203,$AG220-1200))))</f>
        <v>NO:0001052</v>
      </c>
      <c r="C220" s="41" t="str">
        <f aca="false">IF($AG220="","",IF($AG220&lt;=1200,IF(INDEX(对接源_01水果!$F$4:$F$1203,$AG220)=0,"",INDEX(对接源_01水果!$F$4:$F$1203,$AG220)),IF(INDEX(对接源_02物料!$F$4:$F$1203,$AG220-1200)=0,"",INDEX(对接源_02物料!$F$4:$F$1203,$AG220-1200))))</f>
        <v>苹果</v>
      </c>
      <c r="D220" s="41" t="str">
        <f aca="false">IF($AG220="","",IF($AG220&lt;=1200,IF(INDEX(对接源_01水果!$G$4:$G$1203,$AG220)=0,"",INDEX(对接源_01水果!$G$4:$G$1203,$AG220)),IF(INDEX(对接源_02物料!$G$4:$G$1203,$AG220-1200)=0,"",INDEX(对接源_02物料!$G$4:$G$1203,$AG220-1200))))</f>
        <v>华硕一级</v>
      </c>
      <c r="E220" s="43" t="n">
        <f aca="false">IF($AG220="","",IF($AG220&lt;=1200,IF(INDEX(对接源_01水果!$H$4:$H$1203,$AG220)=0,"",INDEX(对接源_01水果!$H$4:$H$1203,$AG220)),IF(INDEX(对接源_02物料!$H$4:$H$1203,$AG220-1200)=0,"",INDEX(对接源_02物料!$H$4:$H$1203,$AG220-1200))))</f>
        <v>484</v>
      </c>
      <c r="F220" s="41" t="str">
        <f aca="false">IF($AG220="","",IF($AG220&lt;=1200,IF(INDEX(对接源_01水果!$I$4:$I$1203,$AG220)=0,"",INDEX(对接源_01水果!$I$4:$I$1203,$AG220)),IF(INDEX(对接源_02物料!$I$4:$I$1203,$AG220-1200)=0,"",INDEX(对接源_02物料!$I$4:$I$1203,$AG220-1200))))</f>
        <v>箱</v>
      </c>
      <c r="G220" s="55" t="n">
        <f aca="false">IF($AG220="","",IF($AG220&lt;=1200,IF(INDEX(对接源_01水果!$J$4:$J$1203,$AG220)=0,"",INDEX(对接源_01水果!$J$4:$J$1203,$AG220)),IF(INDEX(对接源_02物料!$J$4:$J$1203,$AG220-1200)=0,"",INDEX(对接源_02物料!$J$4:$J$1203,$AG220-1200))))</f>
        <v>2468.4</v>
      </c>
      <c r="H220" s="55" t="str">
        <f aca="false">IF($AG220="","",IF($AG220&lt;=1200,IF(INDEX(对接源_01水果!$K$4:$K$1203,$AG220)=0,"",INDEX(对接源_01水果!$K$4:$K$1203,$AG220)),IF(INDEX(对接源_02物料!$K$4:$K$1203,$AG220-1200)=0,"",INDEX(对接源_02物料!$K$4:$K$1203,$AG220-1200))))</f>
        <v/>
      </c>
      <c r="I220" s="41" t="str">
        <f aca="false">IF($AG220="","",IF($AG220&lt;=1200,IF(INDEX(对接源_01水果!$L$4:$L$1203,$AG220)=0,"",INDEX(对接源_01水果!$L$4:$L$1203,$AG220)),IF(INDEX(对接源_02物料!$L$4:$L$1203,$AG220-1200)=0,"",INDEX(对接源_02物料!$L$4:$L$1203,$AG220-1200))))</f>
        <v/>
      </c>
      <c r="J220" s="42" t="str">
        <f aca="false"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44" t="n">
        <f aca="false">IFERROR(MATCH(9,_自动清单!$AE$4:$AE$2403,0),"")</f>
        <v>278</v>
      </c>
    </row>
    <row r="221" customFormat="false" ht="18" hidden="false" customHeight="true" outlineLevel="0" collapsed="false">
      <c r="A221" s="45" t="n">
        <f aca="false">IF($AG221="","",IF($AG221&lt;=1200,IF(INDEX(对接源_01水果!$B$4:$B$1203,$AG221)=0,"",INDEX(对接源_01水果!$B$4:$B$1203,$AG221)),IF(INDEX(对接源_02物料!$B$4:$B$1203,$AG221-1200)=0,"",INDEX(对接源_02物料!$B$4:$B$1203,$AG221-1200))))</f>
        <v>46264</v>
      </c>
      <c r="B221" s="46" t="str">
        <f aca="false">IF($AG221="","",IF($AG221&lt;=1200,IF(INDEX(对接源_01水果!$E$4:$E$1203,$AG221)=0,"",INDEX(对接源_01水果!$E$4:$E$1203,$AG221)),IF(INDEX(对接源_02物料!$E$4:$E$1203,$AG221-1200)=0,"",INDEX(对接源_02物料!$E$4:$E$1203,$AG221-1200))))</f>
        <v>NO:0001053</v>
      </c>
      <c r="C221" s="46" t="str">
        <f aca="false">IF($AG221="","",IF($AG221&lt;=1200,IF(INDEX(对接源_01水果!$F$4:$F$1203,$AG221)=0,"",INDEX(对接源_01水果!$F$4:$F$1203,$AG221)),IF(INDEX(对接源_02物料!$F$4:$F$1203,$AG221-1200)=0,"",INDEX(对接源_02物料!$F$4:$F$1203,$AG221-1200))))</f>
        <v>苹果</v>
      </c>
      <c r="D221" s="46" t="str">
        <f aca="false">IF($AG221="","",IF($AG221&lt;=1200,IF(INDEX(对接源_01水果!$G$4:$G$1203,$AG221)=0,"",INDEX(对接源_01水果!$G$4:$G$1203,$AG221)),IF(INDEX(对接源_02物料!$G$4:$G$1203,$AG221-1200)=0,"",INDEX(对接源_02物料!$G$4:$G$1203,$AG221-1200))))</f>
        <v>华硕一级</v>
      </c>
      <c r="E221" s="48" t="n">
        <f aca="false">IF($AG221="","",IF($AG221&lt;=1200,IF(INDEX(对接源_01水果!$H$4:$H$1203,$AG221)=0,"",INDEX(对接源_01水果!$H$4:$H$1203,$AG221)),IF(INDEX(对接源_02物料!$H$4:$H$1203,$AG221-1200)=0,"",INDEX(对接源_02物料!$H$4:$H$1203,$AG221-1200))))</f>
        <v>320</v>
      </c>
      <c r="F221" s="46" t="str">
        <f aca="false">IF($AG221="","",IF($AG221&lt;=1200,IF(INDEX(对接源_01水果!$I$4:$I$1203,$AG221)=0,"",INDEX(对接源_01水果!$I$4:$I$1203,$AG221)),IF(INDEX(对接源_02物料!$I$4:$I$1203,$AG221-1200)=0,"",INDEX(对接源_02物料!$I$4:$I$1203,$AG221-1200))))</f>
        <v>箱</v>
      </c>
      <c r="G221" s="56" t="n">
        <f aca="false">IF($AG221="","",IF($AG221&lt;=1200,IF(INDEX(对接源_01水果!$J$4:$J$1203,$AG221)=0,"",INDEX(对接源_01水果!$J$4:$J$1203,$AG221)),IF(INDEX(对接源_02物料!$J$4:$J$1203,$AG221-1200)=0,"",INDEX(对接源_02物料!$J$4:$J$1203,$AG221-1200))))</f>
        <v>1632</v>
      </c>
      <c r="H221" s="56" t="str">
        <f aca="false">IF($AG221="","",IF($AG221&lt;=1200,IF(INDEX(对接源_01水果!$K$4:$K$1203,$AG221)=0,"",INDEX(对接源_01水果!$K$4:$K$1203,$AG221)),IF(INDEX(对接源_02物料!$K$4:$K$1203,$AG221-1200)=0,"",INDEX(对接源_02物料!$K$4:$K$1203,$AG221-1200))))</f>
        <v/>
      </c>
      <c r="I221" s="46" t="str">
        <f aca="false">IF($AG221="","",IF($AG221&lt;=1200,IF(INDEX(对接源_01水果!$L$4:$L$1203,$AG221)=0,"",INDEX(对接源_01水果!$L$4:$L$1203,$AG221)),IF(INDEX(对接源_02物料!$L$4:$L$1203,$AG221-1200)=0,"",INDEX(对接源_02物料!$L$4:$L$1203,$AG221-1200))))</f>
        <v/>
      </c>
      <c r="J221" s="47" t="str">
        <f aca="false"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44" t="n">
        <f aca="false">IFERROR(MATCH(10,_自动清单!$AE$4:$AE$2403,0),"")</f>
        <v>279</v>
      </c>
    </row>
    <row r="222" customFormat="false" ht="18" hidden="false" customHeight="true" outlineLevel="0" collapsed="false">
      <c r="A222" s="40" t="n">
        <f aca="false">IF($AG222="","",IF($AG222&lt;=1200,IF(INDEX(对接源_01水果!$B$4:$B$1203,$AG222)=0,"",INDEX(对接源_01水果!$B$4:$B$1203,$AG222)),IF(INDEX(对接源_02物料!$B$4:$B$1203,$AG222-1200)=0,"",INDEX(对接源_02物料!$B$4:$B$1203,$AG222-1200))))</f>
        <v>46265</v>
      </c>
      <c r="B222" s="41" t="str">
        <f aca="false">IF($AG222="","",IF($AG222&lt;=1200,IF(INDEX(对接源_01水果!$E$4:$E$1203,$AG222)=0,"",INDEX(对接源_01水果!$E$4:$E$1203,$AG222)),IF(INDEX(对接源_02物料!$E$4:$E$1203,$AG222-1200)=0,"",INDEX(对接源_02物料!$E$4:$E$1203,$AG222-1200))))</f>
        <v>NO:0001058</v>
      </c>
      <c r="C222" s="41" t="str">
        <f aca="false">IF($AG222="","",IF($AG222&lt;=1200,IF(INDEX(对接源_01水果!$F$4:$F$1203,$AG222)=0,"",INDEX(对接源_01水果!$F$4:$F$1203,$AG222)),IF(INDEX(对接源_02物料!$F$4:$F$1203,$AG222-1200)=0,"",INDEX(对接源_02物料!$F$4:$F$1203,$AG222-1200))))</f>
        <v>苹果</v>
      </c>
      <c r="D222" s="41" t="str">
        <f aca="false">IF($AG222="","",IF($AG222&lt;=1200,IF(INDEX(对接源_01水果!$G$4:$G$1203,$AG222)=0,"",INDEX(对接源_01水果!$G$4:$G$1203,$AG222)),IF(INDEX(对接源_02物料!$G$4:$G$1203,$AG222-1200)=0,"",INDEX(对接源_02物料!$G$4:$G$1203,$AG222-1200))))</f>
        <v>华硕一级</v>
      </c>
      <c r="E222" s="43" t="n">
        <f aca="false">IF($AG222="","",IF($AG222&lt;=1200,IF(INDEX(对接源_01水果!$H$4:$H$1203,$AG222)=0,"",INDEX(对接源_01水果!$H$4:$H$1203,$AG222)),IF(INDEX(对接源_02物料!$H$4:$H$1203,$AG222-1200)=0,"",INDEX(对接源_02物料!$H$4:$H$1203,$AG222-1200))))</f>
        <v>307</v>
      </c>
      <c r="F222" s="41" t="str">
        <f aca="false">IF($AG222="","",IF($AG222&lt;=1200,IF(INDEX(对接源_01水果!$I$4:$I$1203,$AG222)=0,"",INDEX(对接源_01水果!$I$4:$I$1203,$AG222)),IF(INDEX(对接源_02物料!$I$4:$I$1203,$AG222-1200)=0,"",INDEX(对接源_02物料!$I$4:$I$1203,$AG222-1200))))</f>
        <v>箱</v>
      </c>
      <c r="G222" s="55" t="n">
        <f aca="false">IF($AG222="","",IF($AG222&lt;=1200,IF(INDEX(对接源_01水果!$J$4:$J$1203,$AG222)=0,"",INDEX(对接源_01水果!$J$4:$J$1203,$AG222)),IF(INDEX(对接源_02物料!$J$4:$J$1203,$AG222-1200)=0,"",INDEX(对接源_02物料!$J$4:$J$1203,$AG222-1200))))</f>
        <v>1565.7</v>
      </c>
      <c r="H222" s="55" t="str">
        <f aca="false">IF($AG222="","",IF($AG222&lt;=1200,IF(INDEX(对接源_01水果!$K$4:$K$1203,$AG222)=0,"",INDEX(对接源_01水果!$K$4:$K$1203,$AG222)),IF(INDEX(对接源_02物料!$K$4:$K$1203,$AG222-1200)=0,"",INDEX(对接源_02物料!$K$4:$K$1203,$AG222-1200))))</f>
        <v/>
      </c>
      <c r="I222" s="41" t="str">
        <f aca="false">IF($AG222="","",IF($AG222&lt;=1200,IF(INDEX(对接源_01水果!$L$4:$L$1203,$AG222)=0,"",INDEX(对接源_01水果!$L$4:$L$1203,$AG222)),IF(INDEX(对接源_02物料!$L$4:$L$1203,$AG222-1200)=0,"",INDEX(对接源_02物料!$L$4:$L$1203,$AG222-1200))))</f>
        <v/>
      </c>
      <c r="J222" s="42" t="str">
        <f aca="false"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44" t="n">
        <f aca="false">IFERROR(MATCH(11,_自动清单!$AE$4:$AE$2403,0),"")</f>
        <v>280</v>
      </c>
    </row>
    <row r="223" customFormat="false" ht="18" hidden="false" customHeight="true" outlineLevel="0" collapsed="false">
      <c r="A223" s="45" t="n">
        <f aca="false">IF($AG223="","",IF($AG223&lt;=1200,IF(INDEX(对接源_01水果!$B$4:$B$1203,$AG223)=0,"",INDEX(对接源_01水果!$B$4:$B$1203,$AG223)),IF(INDEX(对接源_02物料!$B$4:$B$1203,$AG223-1200)=0,"",INDEX(对接源_02物料!$B$4:$B$1203,$AG223-1200))))</f>
        <v>46265</v>
      </c>
      <c r="B223" s="46" t="str">
        <f aca="false">IF($AG223="","",IF($AG223&lt;=1200,IF(INDEX(对接源_01水果!$E$4:$E$1203,$AG223)=0,"",INDEX(对接源_01水果!$E$4:$E$1203,$AG223)),IF(INDEX(对接源_02物料!$E$4:$E$1203,$AG223-1200)=0,"",INDEX(对接源_02物料!$E$4:$E$1203,$AG223-1200))))</f>
        <v>NO:0001058</v>
      </c>
      <c r="C223" s="46" t="str">
        <f aca="false">IF($AG223="","",IF($AG223&lt;=1200,IF(INDEX(对接源_01水果!$F$4:$F$1203,$AG223)=0,"",INDEX(对接源_01水果!$F$4:$F$1203,$AG223)),IF(INDEX(对接源_02物料!$F$4:$F$1203,$AG223-1200)=0,"",INDEX(对接源_02物料!$F$4:$F$1203,$AG223-1200))))</f>
        <v>苹果</v>
      </c>
      <c r="D223" s="46" t="str">
        <f aca="false">IF($AG223="","",IF($AG223&lt;=1200,IF(INDEX(对接源_01水果!$G$4:$G$1203,$AG223)=0,"",INDEX(对接源_01水果!$G$4:$G$1203,$AG223)),IF(INDEX(对接源_02物料!$G$4:$G$1203,$AG223-1200)=0,"",INDEX(对接源_02物料!$G$4:$G$1203,$AG223-1200))))</f>
        <v>华硕一级</v>
      </c>
      <c r="E223" s="48" t="n">
        <f aca="false">IF($AG223="","",IF($AG223&lt;=1200,IF(INDEX(对接源_01水果!$H$4:$H$1203,$AG223)=0,"",INDEX(对接源_01水果!$H$4:$H$1203,$AG223)),IF(INDEX(对接源_02物料!$H$4:$H$1203,$AG223-1200)=0,"",INDEX(对接源_02物料!$H$4:$H$1203,$AG223-1200))))</f>
        <v>1</v>
      </c>
      <c r="F223" s="46" t="str">
        <f aca="false">IF($AG223="","",IF($AG223&lt;=1200,IF(INDEX(对接源_01水果!$I$4:$I$1203,$AG223)=0,"",INDEX(对接源_01水果!$I$4:$I$1203,$AG223)),IF(INDEX(对接源_02物料!$I$4:$I$1203,$AG223-1200)=0,"",INDEX(对接源_02物料!$I$4:$I$1203,$AG223-1200))))</f>
        <v>箱</v>
      </c>
      <c r="G223" s="56" t="n">
        <f aca="false">IF($AG223="","",IF($AG223&lt;=1200,IF(INDEX(对接源_01水果!$J$4:$J$1203,$AG223)=0,"",INDEX(对接源_01水果!$J$4:$J$1203,$AG223)),IF(INDEX(对接源_02物料!$J$4:$J$1203,$AG223-1200)=0,"",INDEX(对接源_02物料!$J$4:$J$1203,$AG223-1200))))</f>
        <v>2.6</v>
      </c>
      <c r="H223" s="56" t="str">
        <f aca="false">IF($AG223="","",IF($AG223&lt;=1200,IF(INDEX(对接源_01水果!$K$4:$K$1203,$AG223)=0,"",INDEX(对接源_01水果!$K$4:$K$1203,$AG223)),IF(INDEX(对接源_02物料!$K$4:$K$1203,$AG223-1200)=0,"",INDEX(对接源_02物料!$K$4:$K$1203,$AG223-1200))))</f>
        <v/>
      </c>
      <c r="I223" s="46" t="str">
        <f aca="false">IF($AG223="","",IF($AG223&lt;=1200,IF(INDEX(对接源_01水果!$L$4:$L$1203,$AG223)=0,"",INDEX(对接源_01水果!$L$4:$L$1203,$AG223)),IF(INDEX(对接源_02物料!$L$4:$L$1203,$AG223-1200)=0,"",INDEX(对接源_02物料!$L$4:$L$1203,$AG223-1200))))</f>
        <v/>
      </c>
      <c r="J223" s="47" t="str">
        <f aca="false"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44" t="n">
        <f aca="false">IFERROR(MATCH(12,_自动清单!$AE$4:$AE$2403,0),"")</f>
        <v>281</v>
      </c>
    </row>
    <row r="224" customFormat="false" ht="18" hidden="false" customHeight="true" outlineLevel="0" collapsed="false">
      <c r="A224" s="40" t="n">
        <f aca="false">IF($AG224="","",IF($AG224&lt;=1200,IF(INDEX(对接源_01水果!$B$4:$B$1203,$AG224)=0,"",INDEX(对接源_01水果!$B$4:$B$1203,$AG224)),IF(INDEX(对接源_02物料!$B$4:$B$1203,$AG224-1200)=0,"",INDEX(对接源_02物料!$B$4:$B$1203,$AG224-1200))))</f>
        <v>46266</v>
      </c>
      <c r="B224" s="41" t="str">
        <f aca="false">IF($AG224="","",IF($AG224&lt;=1200,IF(INDEX(对接源_01水果!$E$4:$E$1203,$AG224)=0,"",INDEX(对接源_01水果!$E$4:$E$1203,$AG224)),IF(INDEX(对接源_02物料!$E$4:$E$1203,$AG224-1200)=0,"",INDEX(对接源_02物料!$E$4:$E$1203,$AG224-1200))))</f>
        <v>NO:0001062</v>
      </c>
      <c r="C224" s="41" t="str">
        <f aca="false">IF($AG224="","",IF($AG224&lt;=1200,IF(INDEX(对接源_01水果!$F$4:$F$1203,$AG224)=0,"",INDEX(对接源_01水果!$F$4:$F$1203,$AG224)),IF(INDEX(对接源_02物料!$F$4:$F$1203,$AG224-1200)=0,"",INDEX(对接源_02物料!$F$4:$F$1203,$AG224-1200))))</f>
        <v>苹果</v>
      </c>
      <c r="D224" s="41" t="str">
        <f aca="false">IF($AG224="","",IF($AG224&lt;=1200,IF(INDEX(对接源_01水果!$G$4:$G$1203,$AG224)=0,"",INDEX(对接源_01水果!$G$4:$G$1203,$AG224)),IF(INDEX(对接源_02物料!$G$4:$G$1203,$AG224-1200)=0,"",INDEX(对接源_02物料!$G$4:$G$1203,$AG224-1200))))</f>
        <v>华硕一级</v>
      </c>
      <c r="E224" s="43" t="n">
        <f aca="false">IF($AG224="","",IF($AG224&lt;=1200,IF(INDEX(对接源_01水果!$H$4:$H$1203,$AG224)=0,"",INDEX(对接源_01水果!$H$4:$H$1203,$AG224)),IF(INDEX(对接源_02物料!$H$4:$H$1203,$AG224-1200)=0,"",INDEX(对接源_02物料!$H$4:$H$1203,$AG224-1200))))</f>
        <v>346</v>
      </c>
      <c r="F224" s="41" t="str">
        <f aca="false">IF($AG224="","",IF($AG224&lt;=1200,IF(INDEX(对接源_01水果!$I$4:$I$1203,$AG224)=0,"",INDEX(对接源_01水果!$I$4:$I$1203,$AG224)),IF(INDEX(对接源_02物料!$I$4:$I$1203,$AG224-1200)=0,"",INDEX(对接源_02物料!$I$4:$I$1203,$AG224-1200))))</f>
        <v>箱</v>
      </c>
      <c r="G224" s="55" t="n">
        <f aca="false">IF($AG224="","",IF($AG224&lt;=1200,IF(INDEX(对接源_01水果!$J$4:$J$1203,$AG224)=0,"",INDEX(对接源_01水果!$J$4:$J$1203,$AG224)),IF(INDEX(对接源_02物料!$J$4:$J$1203,$AG224-1200)=0,"",INDEX(对接源_02物料!$J$4:$J$1203,$AG224-1200))))</f>
        <v>1764.6</v>
      </c>
      <c r="H224" s="55" t="str">
        <f aca="false">IF($AG224="","",IF($AG224&lt;=1200,IF(INDEX(对接源_01水果!$K$4:$K$1203,$AG224)=0,"",INDEX(对接源_01水果!$K$4:$K$1203,$AG224)),IF(INDEX(对接源_02物料!$K$4:$K$1203,$AG224-1200)=0,"",INDEX(对接源_02物料!$K$4:$K$1203,$AG224-1200))))</f>
        <v/>
      </c>
      <c r="I224" s="41" t="str">
        <f aca="false">IF($AG224="","",IF($AG224&lt;=1200,IF(INDEX(对接源_01水果!$L$4:$L$1203,$AG224)=0,"",INDEX(对接源_01水果!$L$4:$L$1203,$AG224)),IF(INDEX(对接源_02物料!$L$4:$L$1203,$AG224-1200)=0,"",INDEX(对接源_02物料!$L$4:$L$1203,$AG224-1200))))</f>
        <v/>
      </c>
      <c r="J224" s="42" t="str">
        <f aca="false"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44" t="n">
        <f aca="false">IFERROR(MATCH(13,_自动清单!$AE$4:$AE$2403,0),"")</f>
        <v>282</v>
      </c>
    </row>
    <row r="225" customFormat="false" ht="18" hidden="false" customHeight="true" outlineLevel="0" collapsed="false">
      <c r="A225" s="45" t="n">
        <f aca="false">IF($AG225="","",IF($AG225&lt;=1200,IF(INDEX(对接源_01水果!$B$4:$B$1203,$AG225)=0,"",INDEX(对接源_01水果!$B$4:$B$1203,$AG225)),IF(INDEX(对接源_02物料!$B$4:$B$1203,$AG225-1200)=0,"",INDEX(对接源_02物料!$B$4:$B$1203,$AG225-1200))))</f>
        <v>46267</v>
      </c>
      <c r="B225" s="46" t="str">
        <f aca="false">IF($AG225="","",IF($AG225&lt;=1200,IF(INDEX(对接源_01水果!$E$4:$E$1203,$AG225)=0,"",INDEX(对接源_01水果!$E$4:$E$1203,$AG225)),IF(INDEX(对接源_02物料!$E$4:$E$1203,$AG225-1200)=0,"",INDEX(对接源_02物料!$E$4:$E$1203,$AG225-1200))))</f>
        <v>NO:0001063</v>
      </c>
      <c r="C225" s="46" t="str">
        <f aca="false">IF($AG225="","",IF($AG225&lt;=1200,IF(INDEX(对接源_01水果!$F$4:$F$1203,$AG225)=0,"",INDEX(对接源_01水果!$F$4:$F$1203,$AG225)),IF(INDEX(对接源_02物料!$F$4:$F$1203,$AG225-1200)=0,"",INDEX(对接源_02物料!$F$4:$F$1203,$AG225-1200))))</f>
        <v>苹果</v>
      </c>
      <c r="D225" s="46" t="str">
        <f aca="false">IF($AG225="","",IF($AG225&lt;=1200,IF(INDEX(对接源_01水果!$G$4:$G$1203,$AG225)=0,"",INDEX(对接源_01水果!$G$4:$G$1203,$AG225)),IF(INDEX(对接源_02物料!$G$4:$G$1203,$AG225-1200)=0,"",INDEX(对接源_02物料!$G$4:$G$1203,$AG225-1200))))</f>
        <v>苹果扎伤</v>
      </c>
      <c r="E225" s="48" t="n">
        <f aca="false">IF($AG225="","",IF($AG225&lt;=1200,IF(INDEX(对接源_01水果!$H$4:$H$1203,$AG225)=0,"",INDEX(对接源_01水果!$H$4:$H$1203,$AG225)),IF(INDEX(对接源_02物料!$H$4:$H$1203,$AG225-1200)=0,"",INDEX(对接源_02物料!$H$4:$H$1203,$AG225-1200))))</f>
        <v>1</v>
      </c>
      <c r="F225" s="46" t="str">
        <f aca="false">IF($AG225="","",IF($AG225&lt;=1200,IF(INDEX(对接源_01水果!$I$4:$I$1203,$AG225)=0,"",INDEX(对接源_01水果!$I$4:$I$1203,$AG225)),IF(INDEX(对接源_02物料!$I$4:$I$1203,$AG225-1200)=0,"",INDEX(对接源_02物料!$I$4:$I$1203,$AG225-1200))))</f>
        <v>筐</v>
      </c>
      <c r="G225" s="56" t="n">
        <f aca="false">IF($AG225="","",IF($AG225&lt;=1200,IF(INDEX(对接源_01水果!$J$4:$J$1203,$AG225)=0,"",INDEX(对接源_01水果!$J$4:$J$1203,$AG225)),IF(INDEX(对接源_02物料!$J$4:$J$1203,$AG225-1200)=0,"",INDEX(对接源_02物料!$J$4:$J$1203,$AG225-1200))))</f>
        <v>17.3</v>
      </c>
      <c r="H225" s="56" t="str">
        <f aca="false">IF($AG225="","",IF($AG225&lt;=1200,IF(INDEX(对接源_01水果!$K$4:$K$1203,$AG225)=0,"",INDEX(对接源_01水果!$K$4:$K$1203,$AG225)),IF(INDEX(对接源_02物料!$K$4:$K$1203,$AG225-1200)=0,"",INDEX(对接源_02物料!$K$4:$K$1203,$AG225-1200))))</f>
        <v/>
      </c>
      <c r="I225" s="46" t="str">
        <f aca="false">IF($AG225="","",IF($AG225&lt;=1200,IF(INDEX(对接源_01水果!$L$4:$L$1203,$AG225)=0,"",INDEX(对接源_01水果!$L$4:$L$1203,$AG225)),IF(INDEX(对接源_02物料!$L$4:$L$1203,$AG225-1200)=0,"",INDEX(对接源_02物料!$L$4:$L$1203,$AG225-1200))))</f>
        <v/>
      </c>
      <c r="J225" s="47" t="str">
        <f aca="false"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44" t="n">
        <f aca="false">IFERROR(MATCH(14,_自动清单!$AE$4:$AE$2403,0),"")</f>
        <v>283</v>
      </c>
    </row>
    <row r="226" customFormat="false" ht="18" hidden="false" customHeight="true" outlineLevel="0" collapsed="false">
      <c r="A226" s="40" t="n">
        <f aca="false">IF($AG226="","",IF($AG226&lt;=1200,IF(INDEX(对接源_01水果!$B$4:$B$1203,$AG226)=0,"",INDEX(对接源_01水果!$B$4:$B$1203,$AG226)),IF(INDEX(对接源_02物料!$B$4:$B$1203,$AG226-1200)=0,"",INDEX(对接源_02物料!$B$4:$B$1203,$AG226-1200))))</f>
        <v>46267</v>
      </c>
      <c r="B226" s="41" t="str">
        <f aca="false">IF($AG226="","",IF($AG226&lt;=1200,IF(INDEX(对接源_01水果!$E$4:$E$1203,$AG226)=0,"",INDEX(对接源_01水果!$E$4:$E$1203,$AG226)),IF(INDEX(对接源_02物料!$E$4:$E$1203,$AG226-1200)=0,"",INDEX(对接源_02物料!$E$4:$E$1203,$AG226-1200))))</f>
        <v>NO:0001065</v>
      </c>
      <c r="C226" s="41" t="str">
        <f aca="false">IF($AG226="","",IF($AG226&lt;=1200,IF(INDEX(对接源_01水果!$F$4:$F$1203,$AG226)=0,"",INDEX(对接源_01水果!$F$4:$F$1203,$AG226)),IF(INDEX(对接源_02物料!$F$4:$F$1203,$AG226-1200)=0,"",INDEX(对接源_02物料!$F$4:$F$1203,$AG226-1200))))</f>
        <v>苹果</v>
      </c>
      <c r="D226" s="41" t="str">
        <f aca="false">IF($AG226="","",IF($AG226&lt;=1200,IF(INDEX(对接源_01水果!$G$4:$G$1203,$AG226)=0,"",INDEX(对接源_01水果!$G$4:$G$1203,$AG226)),IF(INDEX(对接源_02物料!$G$4:$G$1203,$AG226-1200)=0,"",INDEX(对接源_02物料!$G$4:$G$1203,$AG226-1200))))</f>
        <v>华硕一级</v>
      </c>
      <c r="E226" s="43" t="n">
        <f aca="false">IF($AG226="","",IF($AG226&lt;=1200,IF(INDEX(对接源_01水果!$H$4:$H$1203,$AG226)=0,"",INDEX(对接源_01水果!$H$4:$H$1203,$AG226)),IF(INDEX(对接源_02物料!$H$4:$H$1203,$AG226-1200)=0,"",INDEX(对接源_02物料!$H$4:$H$1203,$AG226-1200))))</f>
        <v>242</v>
      </c>
      <c r="F226" s="41" t="str">
        <f aca="false">IF($AG226="","",IF($AG226&lt;=1200,IF(INDEX(对接源_01水果!$I$4:$I$1203,$AG226)=0,"",INDEX(对接源_01水果!$I$4:$I$1203,$AG226)),IF(INDEX(对接源_02物料!$I$4:$I$1203,$AG226-1200)=0,"",INDEX(对接源_02物料!$I$4:$I$1203,$AG226-1200))))</f>
        <v>箱</v>
      </c>
      <c r="G226" s="55" t="n">
        <f aca="false">IF($AG226="","",IF($AG226&lt;=1200,IF(INDEX(对接源_01水果!$J$4:$J$1203,$AG226)=0,"",INDEX(对接源_01水果!$J$4:$J$1203,$AG226)),IF(INDEX(对接源_02物料!$J$4:$J$1203,$AG226-1200)=0,"",INDEX(对接源_02物料!$J$4:$J$1203,$AG226-1200))))</f>
        <v>1234.2</v>
      </c>
      <c r="H226" s="55" t="str">
        <f aca="false">IF($AG226="","",IF($AG226&lt;=1200,IF(INDEX(对接源_01水果!$K$4:$K$1203,$AG226)=0,"",INDEX(对接源_01水果!$K$4:$K$1203,$AG226)),IF(INDEX(对接源_02物料!$K$4:$K$1203,$AG226-1200)=0,"",INDEX(对接源_02物料!$K$4:$K$1203,$AG226-1200))))</f>
        <v/>
      </c>
      <c r="I226" s="41" t="str">
        <f aca="false">IF($AG226="","",IF($AG226&lt;=1200,IF(INDEX(对接源_01水果!$L$4:$L$1203,$AG226)=0,"",INDEX(对接源_01水果!$L$4:$L$1203,$AG226)),IF(INDEX(对接源_02物料!$L$4:$L$1203,$AG226-1200)=0,"",INDEX(对接源_02物料!$L$4:$L$1203,$AG226-1200))))</f>
        <v/>
      </c>
      <c r="J226" s="42" t="str">
        <f aca="false"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44" t="n">
        <f aca="false">IFERROR(MATCH(15,_自动清单!$AE$4:$AE$2403,0),"")</f>
        <v>284</v>
      </c>
    </row>
    <row r="227" customFormat="false" ht="18" hidden="false" customHeight="true" outlineLevel="0" collapsed="false">
      <c r="A227" s="45" t="n">
        <f aca="false">IF($AG227="","",IF($AG227&lt;=1200,IF(INDEX(对接源_01水果!$B$4:$B$1203,$AG227)=0,"",INDEX(对接源_01水果!$B$4:$B$1203,$AG227)),IF(INDEX(对接源_02物料!$B$4:$B$1203,$AG227-1200)=0,"",INDEX(对接源_02物料!$B$4:$B$1203,$AG227-1200))))</f>
        <v>46267</v>
      </c>
      <c r="B227" s="46" t="str">
        <f aca="false">IF($AG227="","",IF($AG227&lt;=1200,IF(INDEX(对接源_01水果!$E$4:$E$1203,$AG227)=0,"",INDEX(对接源_01水果!$E$4:$E$1203,$AG227)),IF(INDEX(对接源_02物料!$E$4:$E$1203,$AG227-1200)=0,"",INDEX(对接源_02物料!$E$4:$E$1203,$AG227-1200))))</f>
        <v>NO:0001065</v>
      </c>
      <c r="C227" s="46" t="str">
        <f aca="false">IF($AG227="","",IF($AG227&lt;=1200,IF(INDEX(对接源_01水果!$F$4:$F$1203,$AG227)=0,"",INDEX(对接源_01水果!$F$4:$F$1203,$AG227)),IF(INDEX(对接源_02物料!$F$4:$F$1203,$AG227-1200)=0,"",INDEX(对接源_02物料!$F$4:$F$1203,$AG227-1200))))</f>
        <v>苹果</v>
      </c>
      <c r="D227" s="46" t="str">
        <f aca="false">IF($AG227="","",IF($AG227&lt;=1200,IF(INDEX(对接源_01水果!$G$4:$G$1203,$AG227)=0,"",INDEX(对接源_01水果!$G$4:$G$1203,$AG227)),IF(INDEX(对接源_02物料!$G$4:$G$1203,$AG227-1200)=0,"",INDEX(对接源_02物料!$G$4:$G$1203,$AG227-1200))))</f>
        <v>华硕一级</v>
      </c>
      <c r="E227" s="48" t="n">
        <f aca="false">IF($AG227="","",IF($AG227&lt;=1200,IF(INDEX(对接源_01水果!$H$4:$H$1203,$AG227)=0,"",INDEX(对接源_01水果!$H$4:$H$1203,$AG227)),IF(INDEX(对接源_02物料!$H$4:$H$1203,$AG227-1200)=0,"",INDEX(对接源_02物料!$H$4:$H$1203,$AG227-1200))))</f>
        <v>28</v>
      </c>
      <c r="F227" s="46" t="str">
        <f aca="false">IF($AG227="","",IF($AG227&lt;=1200,IF(INDEX(对接源_01水果!$I$4:$I$1203,$AG227)=0,"",INDEX(对接源_01水果!$I$4:$I$1203,$AG227)),IF(INDEX(对接源_02物料!$I$4:$I$1203,$AG227-1200)=0,"",INDEX(对接源_02物料!$I$4:$I$1203,$AG227-1200))))</f>
        <v>箱</v>
      </c>
      <c r="G227" s="56" t="n">
        <f aca="false">IF($AG227="","",IF($AG227&lt;=1200,IF(INDEX(对接源_01水果!$J$4:$J$1203,$AG227)=0,"",INDEX(对接源_01水果!$J$4:$J$1203,$AG227)),IF(INDEX(对接源_02物料!$J$4:$J$1203,$AG227-1200)=0,"",INDEX(对接源_02物料!$J$4:$J$1203,$AG227-1200))))</f>
        <v>72.8</v>
      </c>
      <c r="H227" s="56" t="str">
        <f aca="false">IF($AG227="","",IF($AG227&lt;=1200,IF(INDEX(对接源_01水果!$K$4:$K$1203,$AG227)=0,"",INDEX(对接源_01水果!$K$4:$K$1203,$AG227)),IF(INDEX(对接源_02物料!$K$4:$K$1203,$AG227-1200)=0,"",INDEX(对接源_02物料!$K$4:$K$1203,$AG227-1200))))</f>
        <v/>
      </c>
      <c r="I227" s="46" t="str">
        <f aca="false">IF($AG227="","",IF($AG227&lt;=1200,IF(INDEX(对接源_01水果!$L$4:$L$1203,$AG227)=0,"",INDEX(对接源_01水果!$L$4:$L$1203,$AG227)),IF(INDEX(对接源_02物料!$L$4:$L$1203,$AG227-1200)=0,"",INDEX(对接源_02物料!$L$4:$L$1203,$AG227-1200))))</f>
        <v/>
      </c>
      <c r="J227" s="47" t="str">
        <f aca="false"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44" t="n">
        <f aca="false">IFERROR(MATCH(16,_自动清单!$AE$4:$AE$2403,0),"")</f>
        <v>285</v>
      </c>
    </row>
    <row r="228" customFormat="false" ht="18" hidden="false" customHeight="true" outlineLevel="0" collapsed="false">
      <c r="A228" s="40" t="n">
        <f aca="false">IF($AG228="","",IF($AG228&lt;=1200,IF(INDEX(对接源_01水果!$B$4:$B$1203,$AG228)=0,"",INDEX(对接源_01水果!$B$4:$B$1203,$AG228)),IF(INDEX(对接源_02物料!$B$4:$B$1203,$AG228-1200)=0,"",INDEX(对接源_02物料!$B$4:$B$1203,$AG228-1200))))</f>
        <v>46269</v>
      </c>
      <c r="B228" s="41" t="str">
        <f aca="false">IF($AG228="","",IF($AG228&lt;=1200,IF(INDEX(对接源_01水果!$E$4:$E$1203,$AG228)=0,"",INDEX(对接源_01水果!$E$4:$E$1203,$AG228)),IF(INDEX(对接源_02物料!$E$4:$E$1203,$AG228-1200)=0,"",INDEX(对接源_02物料!$E$4:$E$1203,$AG228-1200))))</f>
        <v>NO:0001082</v>
      </c>
      <c r="C228" s="41" t="str">
        <f aca="false">IF($AG228="","",IF($AG228&lt;=1200,IF(INDEX(对接源_01水果!$F$4:$F$1203,$AG228)=0,"",INDEX(对接源_01水果!$F$4:$F$1203,$AG228)),IF(INDEX(对接源_02物料!$F$4:$F$1203,$AG228-1200)=0,"",INDEX(对接源_02物料!$F$4:$F$1203,$AG228-1200))))</f>
        <v>苹果</v>
      </c>
      <c r="D228" s="41" t="str">
        <f aca="false">IF($AG228="","",IF($AG228&lt;=1200,IF(INDEX(对接源_01水果!$G$4:$G$1203,$AG228)=0,"",INDEX(对接源_01水果!$G$4:$G$1203,$AG228)),IF(INDEX(对接源_02物料!$G$4:$G$1203,$AG228-1200)=0,"",INDEX(对接源_02物料!$G$4:$G$1203,$AG228-1200))))</f>
        <v>苹果扎伤</v>
      </c>
      <c r="E228" s="43" t="n">
        <f aca="false">IF($AG228="","",IF($AG228&lt;=1200,IF(INDEX(对接源_01水果!$H$4:$H$1203,$AG228)=0,"",INDEX(对接源_01水果!$H$4:$H$1203,$AG228)),IF(INDEX(对接源_02物料!$H$4:$H$1203,$AG228-1200)=0,"",INDEX(对接源_02物料!$H$4:$H$1203,$AG228-1200))))</f>
        <v>81</v>
      </c>
      <c r="F228" s="41" t="str">
        <f aca="false">IF($AG228="","",IF($AG228&lt;=1200,IF(INDEX(对接源_01水果!$I$4:$I$1203,$AG228)=0,"",INDEX(对接源_01水果!$I$4:$I$1203,$AG228)),IF(INDEX(对接源_02物料!$I$4:$I$1203,$AG228-1200)=0,"",INDEX(对接源_02物料!$I$4:$I$1203,$AG228-1200))))</f>
        <v>箱</v>
      </c>
      <c r="G228" s="55" t="n">
        <f aca="false">IF($AG228="","",IF($AG228&lt;=1200,IF(INDEX(对接源_01水果!$J$4:$J$1203,$AG228)=0,"",INDEX(对接源_01水果!$J$4:$J$1203,$AG228)),IF(INDEX(对接源_02物料!$J$4:$J$1203,$AG228-1200)=0,"",INDEX(对接源_02物料!$J$4:$J$1203,$AG228-1200))))</f>
        <v>599.4</v>
      </c>
      <c r="H228" s="55" t="str">
        <f aca="false">IF($AG228="","",IF($AG228&lt;=1200,IF(INDEX(对接源_01水果!$K$4:$K$1203,$AG228)=0,"",INDEX(对接源_01水果!$K$4:$K$1203,$AG228)),IF(INDEX(对接源_02物料!$K$4:$K$1203,$AG228-1200)=0,"",INDEX(对接源_02物料!$K$4:$K$1203,$AG228-1200))))</f>
        <v/>
      </c>
      <c r="I228" s="41" t="str">
        <f aca="false">IF($AG228="","",IF($AG228&lt;=1200,IF(INDEX(对接源_01水果!$L$4:$L$1203,$AG228)=0,"",INDEX(对接源_01水果!$L$4:$L$1203,$AG228)),IF(INDEX(对接源_02物料!$L$4:$L$1203,$AG228-1200)=0,"",INDEX(对接源_02物料!$L$4:$L$1203,$AG228-1200))))</f>
        <v/>
      </c>
      <c r="J228" s="42" t="str">
        <f aca="false"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44" t="n">
        <f aca="false">IFERROR(MATCH(17,_自动清单!$AE$4:$AE$2403,0),"")</f>
        <v>287</v>
      </c>
    </row>
    <row r="229" customFormat="false" ht="18" hidden="false" customHeight="true" outlineLevel="0" collapsed="false">
      <c r="A229" s="45" t="n">
        <f aca="false">IF($AG229="","",IF($AG229&lt;=1200,IF(INDEX(对接源_01水果!$B$4:$B$1203,$AG229)=0,"",INDEX(对接源_01水果!$B$4:$B$1203,$AG229)),IF(INDEX(对接源_02物料!$B$4:$B$1203,$AG229-1200)=0,"",INDEX(对接源_02物料!$B$4:$B$1203,$AG229-1200))))</f>
        <v>46269</v>
      </c>
      <c r="B229" s="46" t="str">
        <f aca="false">IF($AG229="","",IF($AG229&lt;=1200,IF(INDEX(对接源_01水果!$E$4:$E$1203,$AG229)=0,"",INDEX(对接源_01水果!$E$4:$E$1203,$AG229)),IF(INDEX(对接源_02物料!$E$4:$E$1203,$AG229-1200)=0,"",INDEX(对接源_02物料!$E$4:$E$1203,$AG229-1200))))</f>
        <v>NO:0001083</v>
      </c>
      <c r="C229" s="46" t="str">
        <f aca="false">IF($AG229="","",IF($AG229&lt;=1200,IF(INDEX(对接源_01水果!$F$4:$F$1203,$AG229)=0,"",INDEX(对接源_01水果!$F$4:$F$1203,$AG229)),IF(INDEX(对接源_02物料!$F$4:$F$1203,$AG229-1200)=0,"",INDEX(对接源_02物料!$F$4:$F$1203,$AG229-1200))))</f>
        <v>苹果</v>
      </c>
      <c r="D229" s="46" t="str">
        <f aca="false">IF($AG229="","",IF($AG229&lt;=1200,IF(INDEX(对接源_01水果!$G$4:$G$1203,$AG229)=0,"",INDEX(对接源_01水果!$G$4:$G$1203,$AG229)),IF(INDEX(对接源_02物料!$G$4:$G$1203,$AG229-1200)=0,"",INDEX(对接源_02物料!$G$4:$G$1203,$AG229-1200))))</f>
        <v>华硕一级</v>
      </c>
      <c r="E229" s="48" t="n">
        <f aca="false">IF($AG229="","",IF($AG229&lt;=1200,IF(INDEX(对接源_01水果!$H$4:$H$1203,$AG229)=0,"",INDEX(对接源_01水果!$H$4:$H$1203,$AG229)),IF(INDEX(对接源_02物料!$H$4:$H$1203,$AG229-1200)=0,"",INDEX(对接源_02物料!$H$4:$H$1203,$AG229-1200))))</f>
        <v>9</v>
      </c>
      <c r="F229" s="46" t="str">
        <f aca="false">IF($AG229="","",IF($AG229&lt;=1200,IF(INDEX(对接源_01水果!$I$4:$I$1203,$AG229)=0,"",INDEX(对接源_01水果!$I$4:$I$1203,$AG229)),IF(INDEX(对接源_02物料!$I$4:$I$1203,$AG229-1200)=0,"",INDEX(对接源_02物料!$I$4:$I$1203,$AG229-1200))))</f>
        <v>箱</v>
      </c>
      <c r="G229" s="56" t="n">
        <f aca="false">IF($AG229="","",IF($AG229&lt;=1200,IF(INDEX(对接源_01水果!$J$4:$J$1203,$AG229)=0,"",INDEX(对接源_01水果!$J$4:$J$1203,$AG229)),IF(INDEX(对接源_02物料!$J$4:$J$1203,$AG229-1200)=0,"",INDEX(对接源_02物料!$J$4:$J$1203,$AG229-1200))))</f>
        <v>45.9</v>
      </c>
      <c r="H229" s="56" t="str">
        <f aca="false">IF($AG229="","",IF($AG229&lt;=1200,IF(INDEX(对接源_01水果!$K$4:$K$1203,$AG229)=0,"",INDEX(对接源_01水果!$K$4:$K$1203,$AG229)),IF(INDEX(对接源_02物料!$K$4:$K$1203,$AG229-1200)=0,"",INDEX(对接源_02物料!$K$4:$K$1203,$AG229-1200))))</f>
        <v/>
      </c>
      <c r="I229" s="46" t="str">
        <f aca="false">IF($AG229="","",IF($AG229&lt;=1200,IF(INDEX(对接源_01水果!$L$4:$L$1203,$AG229)=0,"",INDEX(对接源_01水果!$L$4:$L$1203,$AG229)),IF(INDEX(对接源_02物料!$L$4:$L$1203,$AG229-1200)=0,"",INDEX(对接源_02物料!$L$4:$L$1203,$AG229-1200))))</f>
        <v/>
      </c>
      <c r="J229" s="47" t="str">
        <f aca="false"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44" t="n">
        <f aca="false">IFERROR(MATCH(18,_自动清单!$AE$4:$AE$2403,0),"")</f>
        <v>288</v>
      </c>
    </row>
    <row r="230" customFormat="false" ht="18" hidden="false" customHeight="true" outlineLevel="0" collapsed="false">
      <c r="A230" s="40" t="n">
        <f aca="false">IF($AG230="","",IF($AG230&lt;=1200,IF(INDEX(对接源_01水果!$B$4:$B$1203,$AG230)=0,"",INDEX(对接源_01水果!$B$4:$B$1203,$AG230)),IF(INDEX(对接源_02物料!$B$4:$B$1203,$AG230-1200)=0,"",INDEX(对接源_02物料!$B$4:$B$1203,$AG230-1200))))</f>
        <v>46269</v>
      </c>
      <c r="B230" s="41" t="str">
        <f aca="false">IF($AG230="","",IF($AG230&lt;=1200,IF(INDEX(对接源_01水果!$E$4:$E$1203,$AG230)=0,"",INDEX(对接源_01水果!$E$4:$E$1203,$AG230)),IF(INDEX(对接源_02物料!$E$4:$E$1203,$AG230-1200)=0,"",INDEX(对接源_02物料!$E$4:$E$1203,$AG230-1200))))</f>
        <v>NO:0001083</v>
      </c>
      <c r="C230" s="41" t="str">
        <f aca="false">IF($AG230="","",IF($AG230&lt;=1200,IF(INDEX(对接源_01水果!$F$4:$F$1203,$AG230)=0,"",INDEX(对接源_01水果!$F$4:$F$1203,$AG230)),IF(INDEX(对接源_02物料!$F$4:$F$1203,$AG230-1200)=0,"",INDEX(对接源_02物料!$F$4:$F$1203,$AG230-1200))))</f>
        <v>苹果</v>
      </c>
      <c r="D230" s="41" t="str">
        <f aca="false">IF($AG230="","",IF($AG230&lt;=1200,IF(INDEX(对接源_01水果!$G$4:$G$1203,$AG230)=0,"",INDEX(对接源_01水果!$G$4:$G$1203,$AG230)),IF(INDEX(对接源_02物料!$G$4:$G$1203,$AG230-1200)=0,"",INDEX(对接源_02物料!$G$4:$G$1203,$AG230-1200))))</f>
        <v>华硕一级</v>
      </c>
      <c r="E230" s="43" t="n">
        <f aca="false">IF($AG230="","",IF($AG230&lt;=1200,IF(INDEX(对接源_01水果!$H$4:$H$1203,$AG230)=0,"",INDEX(对接源_01水果!$H$4:$H$1203,$AG230)),IF(INDEX(对接源_02物料!$H$4:$H$1203,$AG230-1200)=0,"",INDEX(对接源_02物料!$H$4:$H$1203,$AG230-1200))))</f>
        <v>4</v>
      </c>
      <c r="F230" s="41" t="str">
        <f aca="false">IF($AG230="","",IF($AG230&lt;=1200,IF(INDEX(对接源_01水果!$I$4:$I$1203,$AG230)=0,"",INDEX(对接源_01水果!$I$4:$I$1203,$AG230)),IF(INDEX(对接源_02物料!$I$4:$I$1203,$AG230-1200)=0,"",INDEX(对接源_02物料!$I$4:$I$1203,$AG230-1200))))</f>
        <v>箱</v>
      </c>
      <c r="G230" s="55" t="n">
        <f aca="false">IF($AG230="","",IF($AG230&lt;=1200,IF(INDEX(对接源_01水果!$J$4:$J$1203,$AG230)=0,"",INDEX(对接源_01水果!$J$4:$J$1203,$AG230)),IF(INDEX(对接源_02物料!$J$4:$J$1203,$AG230-1200)=0,"",INDEX(对接源_02物料!$J$4:$J$1203,$AG230-1200))))</f>
        <v>10.4</v>
      </c>
      <c r="H230" s="55" t="str">
        <f aca="false">IF($AG230="","",IF($AG230&lt;=1200,IF(INDEX(对接源_01水果!$K$4:$K$1203,$AG230)=0,"",INDEX(对接源_01水果!$K$4:$K$1203,$AG230)),IF(INDEX(对接源_02物料!$K$4:$K$1203,$AG230-1200)=0,"",INDEX(对接源_02物料!$K$4:$K$1203,$AG230-1200))))</f>
        <v/>
      </c>
      <c r="I230" s="41" t="str">
        <f aca="false">IF($AG230="","",IF($AG230&lt;=1200,IF(INDEX(对接源_01水果!$L$4:$L$1203,$AG230)=0,"",INDEX(对接源_01水果!$L$4:$L$1203,$AG230)),IF(INDEX(对接源_02物料!$L$4:$L$1203,$AG230-1200)=0,"",INDEX(对接源_02物料!$L$4:$L$1203,$AG230-1200))))</f>
        <v/>
      </c>
      <c r="J230" s="42" t="str">
        <f aca="false"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44" t="n">
        <f aca="false">IFERROR(MATCH(19,_自动清单!$AE$4:$AE$2403,0),"")</f>
        <v>289</v>
      </c>
    </row>
    <row r="231" customFormat="false" ht="18" hidden="false" customHeight="true" outlineLevel="0" collapsed="false">
      <c r="A231" s="45" t="n">
        <f aca="false">IF($AG231="","",IF($AG231&lt;=1200,IF(INDEX(对接源_01水果!$B$4:$B$1203,$AG231)=0,"",INDEX(对接源_01水果!$B$4:$B$1203,$AG231)),IF(INDEX(对接源_02物料!$B$4:$B$1203,$AG231-1200)=0,"",INDEX(对接源_02物料!$B$4:$B$1203,$AG231-1200))))</f>
        <v>46269</v>
      </c>
      <c r="B231" s="46" t="str">
        <f aca="false">IF($AG231="","",IF($AG231&lt;=1200,IF(INDEX(对接源_01水果!$E$4:$E$1203,$AG231)=0,"",INDEX(对接源_01水果!$E$4:$E$1203,$AG231)),IF(INDEX(对接源_02物料!$E$4:$E$1203,$AG231-1200)=0,"",INDEX(对接源_02物料!$E$4:$E$1203,$AG231-1200))))</f>
        <v>NO:0001083</v>
      </c>
      <c r="C231" s="46" t="str">
        <f aca="false">IF($AG231="","",IF($AG231&lt;=1200,IF(INDEX(对接源_01水果!$F$4:$F$1203,$AG231)=0,"",INDEX(对接源_01水果!$F$4:$F$1203,$AG231)),IF(INDEX(对接源_02物料!$F$4:$F$1203,$AG231-1200)=0,"",INDEX(对接源_02物料!$F$4:$F$1203,$AG231-1200))))</f>
        <v>苹果</v>
      </c>
      <c r="D231" s="46" t="str">
        <f aca="false">IF($AG231="","",IF($AG231&lt;=1200,IF(INDEX(对接源_01水果!$G$4:$G$1203,$AG231)=0,"",INDEX(对接源_01水果!$G$4:$G$1203,$AG231)),IF(INDEX(对接源_02物料!$G$4:$G$1203,$AG231-1200)=0,"",INDEX(对接源_02物料!$G$4:$G$1203,$AG231-1200))))</f>
        <v>苹果扎伤</v>
      </c>
      <c r="E231" s="48" t="n">
        <f aca="false">IF($AG231="","",IF($AG231&lt;=1200,IF(INDEX(对接源_01水果!$H$4:$H$1203,$AG231)=0,"",INDEX(对接源_01水果!$H$4:$H$1203,$AG231)),IF(INDEX(对接源_02物料!$H$4:$H$1203,$AG231-1200)=0,"",INDEX(对接源_02物料!$H$4:$H$1203,$AG231-1200))))</f>
        <v>3</v>
      </c>
      <c r="F231" s="46" t="str">
        <f aca="false">IF($AG231="","",IF($AG231&lt;=1200,IF(INDEX(对接源_01水果!$I$4:$I$1203,$AG231)=0,"",INDEX(对接源_01水果!$I$4:$I$1203,$AG231)),IF(INDEX(对接源_02物料!$I$4:$I$1203,$AG231-1200)=0,"",INDEX(对接源_02物料!$I$4:$I$1203,$AG231-1200))))</f>
        <v>筐</v>
      </c>
      <c r="G231" s="56" t="n">
        <f aca="false">IF($AG231="","",IF($AG231&lt;=1200,IF(INDEX(对接源_01水果!$J$4:$J$1203,$AG231)=0,"",INDEX(对接源_01水果!$J$4:$J$1203,$AG231)),IF(INDEX(对接源_02物料!$J$4:$J$1203,$AG231-1200)=0,"",INDEX(对接源_02物料!$J$4:$J$1203,$AG231-1200))))</f>
        <v>51.9</v>
      </c>
      <c r="H231" s="56" t="str">
        <f aca="false">IF($AG231="","",IF($AG231&lt;=1200,IF(INDEX(对接源_01水果!$K$4:$K$1203,$AG231)=0,"",INDEX(对接源_01水果!$K$4:$K$1203,$AG231)),IF(INDEX(对接源_02物料!$K$4:$K$1203,$AG231-1200)=0,"",INDEX(对接源_02物料!$K$4:$K$1203,$AG231-1200))))</f>
        <v/>
      </c>
      <c r="I231" s="46" t="str">
        <f aca="false">IF($AG231="","",IF($AG231&lt;=1200,IF(INDEX(对接源_01水果!$L$4:$L$1203,$AG231)=0,"",INDEX(对接源_01水果!$L$4:$L$1203,$AG231)),IF(INDEX(对接源_02物料!$L$4:$L$1203,$AG231-1200)=0,"",INDEX(对接源_02物料!$L$4:$L$1203,$AG231-1200))))</f>
        <v/>
      </c>
      <c r="J231" s="47" t="str">
        <f aca="false"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44" t="n">
        <f aca="false">IFERROR(MATCH(20,_自动清单!$AE$4:$AE$2403,0),"")</f>
        <v>290</v>
      </c>
    </row>
    <row r="232" customFormat="false" ht="18" hidden="false" customHeight="true" outlineLevel="0" collapsed="false">
      <c r="A232" s="40" t="n">
        <f aca="false">IF($AG232="","",IF($AG232&lt;=1200,IF(INDEX(对接源_01水果!$B$4:$B$1203,$AG232)=0,"",INDEX(对接源_01水果!$B$4:$B$1203,$AG232)),IF(INDEX(对接源_02物料!$B$4:$B$1203,$AG232-1200)=0,"",INDEX(对接源_02物料!$B$4:$B$1203,$AG232-1200))))</f>
        <v>46269</v>
      </c>
      <c r="B232" s="41" t="str">
        <f aca="false">IF($AG232="","",IF($AG232&lt;=1200,IF(INDEX(对接源_01水果!$E$4:$E$1203,$AG232)=0,"",INDEX(对接源_01水果!$E$4:$E$1203,$AG232)),IF(INDEX(对接源_02物料!$E$4:$E$1203,$AG232-1200)=0,"",INDEX(对接源_02物料!$E$4:$E$1203,$AG232-1200))))</f>
        <v>NO:0001085</v>
      </c>
      <c r="C232" s="41" t="str">
        <f aca="false">IF($AG232="","",IF($AG232&lt;=1200,IF(INDEX(对接源_01水果!$F$4:$F$1203,$AG232)=0,"",INDEX(对接源_01水果!$F$4:$F$1203,$AG232)),IF(INDEX(对接源_02物料!$F$4:$F$1203,$AG232-1200)=0,"",INDEX(对接源_02物料!$F$4:$F$1203,$AG232-1200))))</f>
        <v>苹果</v>
      </c>
      <c r="D232" s="41" t="str">
        <f aca="false">IF($AG232="","",IF($AG232&lt;=1200,IF(INDEX(对接源_01水果!$G$4:$G$1203,$AG232)=0,"",INDEX(对接源_01水果!$G$4:$G$1203,$AG232)),IF(INDEX(对接源_02物料!$G$4:$G$1203,$AG232-1200)=0,"",INDEX(对接源_02物料!$G$4:$G$1203,$AG232-1200))))</f>
        <v>华硕一级</v>
      </c>
      <c r="E232" s="43" t="n">
        <f aca="false">IF($AG232="","",IF($AG232&lt;=1200,IF(INDEX(对接源_01水果!$H$4:$H$1203,$AG232)=0,"",INDEX(对接源_01水果!$H$4:$H$1203,$AG232)),IF(INDEX(对接源_02物料!$H$4:$H$1203,$AG232-1200)=0,"",INDEX(对接源_02物料!$H$4:$H$1203,$AG232-1200))))</f>
        <v>93</v>
      </c>
      <c r="F232" s="41" t="str">
        <f aca="false">IF($AG232="","",IF($AG232&lt;=1200,IF(INDEX(对接源_01水果!$I$4:$I$1203,$AG232)=0,"",INDEX(对接源_01水果!$I$4:$I$1203,$AG232)),IF(INDEX(对接源_02物料!$I$4:$I$1203,$AG232-1200)=0,"",INDEX(对接源_02物料!$I$4:$I$1203,$AG232-1200))))</f>
        <v>箱</v>
      </c>
      <c r="G232" s="55" t="n">
        <f aca="false">IF($AG232="","",IF($AG232&lt;=1200,IF(INDEX(对接源_01水果!$J$4:$J$1203,$AG232)=0,"",INDEX(对接源_01水果!$J$4:$J$1203,$AG232)),IF(INDEX(对接源_02物料!$J$4:$J$1203,$AG232-1200)=0,"",INDEX(对接源_02物料!$J$4:$J$1203,$AG232-1200))))</f>
        <v>474.3</v>
      </c>
      <c r="H232" s="55" t="str">
        <f aca="false">IF($AG232="","",IF($AG232&lt;=1200,IF(INDEX(对接源_01水果!$K$4:$K$1203,$AG232)=0,"",INDEX(对接源_01水果!$K$4:$K$1203,$AG232)),IF(INDEX(对接源_02物料!$K$4:$K$1203,$AG232-1200)=0,"",INDEX(对接源_02物料!$K$4:$K$1203,$AG232-1200))))</f>
        <v/>
      </c>
      <c r="I232" s="41" t="str">
        <f aca="false">IF($AG232="","",IF($AG232&lt;=1200,IF(INDEX(对接源_01水果!$L$4:$L$1203,$AG232)=0,"",INDEX(对接源_01水果!$L$4:$L$1203,$AG232)),IF(INDEX(对接源_02物料!$L$4:$L$1203,$AG232-1200)=0,"",INDEX(对接源_02物料!$L$4:$L$1203,$AG232-1200))))</f>
        <v/>
      </c>
      <c r="J232" s="42" t="str">
        <f aca="false">IF($AG232="","",IF($AG232&lt;=1200,IF(INDEX(对接源_01水果!$M$4:$M$1203,$AG232)=0,"",INDEX(对接源_01水果!$M$4:$M$1203,$AG232)),IF(INDEX(对接源_02物料!$M$4:$M$1203,$AG232-1200)=0,"",INDEX(对接源_02物料!$M$4:$M$1203,$AG232-1200))))</f>
        <v/>
      </c>
      <c r="AG232" s="44" t="n">
        <f aca="false">IFERROR(MATCH(21,_自动清单!$AE$4:$AE$2403,0),"")</f>
        <v>291</v>
      </c>
    </row>
    <row r="233" customFormat="false" ht="18" hidden="false" customHeight="true" outlineLevel="0" collapsed="false">
      <c r="A233" s="45" t="n">
        <f aca="false">IF($AG233="","",IF($AG233&lt;=1200,IF(INDEX(对接源_01水果!$B$4:$B$1203,$AG233)=0,"",INDEX(对接源_01水果!$B$4:$B$1203,$AG233)),IF(INDEX(对接源_02物料!$B$4:$B$1203,$AG233-1200)=0,"",INDEX(对接源_02物料!$B$4:$B$1203,$AG233-1200))))</f>
        <v>46270</v>
      </c>
      <c r="B233" s="46" t="str">
        <f aca="false">IF($AG233="","",IF($AG233&lt;=1200,IF(INDEX(对接源_01水果!$E$4:$E$1203,$AG233)=0,"",INDEX(对接源_01水果!$E$4:$E$1203,$AG233)),IF(INDEX(对接源_02物料!$E$4:$E$1203,$AG233-1200)=0,"",INDEX(对接源_02物料!$E$4:$E$1203,$AG233-1200))))</f>
        <v>NO:0001085</v>
      </c>
      <c r="C233" s="46" t="str">
        <f aca="false">IF($AG233="","",IF($AG233&lt;=1200,IF(INDEX(对接源_01水果!$F$4:$F$1203,$AG233)=0,"",INDEX(对接源_01水果!$F$4:$F$1203,$AG233)),IF(INDEX(对接源_02物料!$F$4:$F$1203,$AG233-1200)=0,"",INDEX(对接源_02物料!$F$4:$F$1203,$AG233-1200))))</f>
        <v>苹果</v>
      </c>
      <c r="D233" s="46" t="str">
        <f aca="false">IF($AG233="","",IF($AG233&lt;=1200,IF(INDEX(对接源_01水果!$G$4:$G$1203,$AG233)=0,"",INDEX(对接源_01水果!$G$4:$G$1203,$AG233)),IF(INDEX(对接源_02物料!$G$4:$G$1203,$AG233-1200)=0,"",INDEX(对接源_02物料!$G$4:$G$1203,$AG233-1200))))</f>
        <v>华硕一级</v>
      </c>
      <c r="E233" s="48" t="n">
        <f aca="false">IF($AG233="","",IF($AG233&lt;=1200,IF(INDEX(对接源_01水果!$H$4:$H$1203,$AG233)=0,"",INDEX(对接源_01水果!$H$4:$H$1203,$AG233)),IF(INDEX(对接源_02物料!$H$4:$H$1203,$AG233-1200)=0,"",INDEX(对接源_02物料!$H$4:$H$1203,$AG233-1200))))</f>
        <v>3</v>
      </c>
      <c r="F233" s="46" t="str">
        <f aca="false">IF($AG233="","",IF($AG233&lt;=1200,IF(INDEX(对接源_01水果!$I$4:$I$1203,$AG233)=0,"",INDEX(对接源_01水果!$I$4:$I$1203,$AG233)),IF(INDEX(对接源_02物料!$I$4:$I$1203,$AG233-1200)=0,"",INDEX(对接源_02物料!$I$4:$I$1203,$AG233-1200))))</f>
        <v>箱</v>
      </c>
      <c r="G233" s="56" t="n">
        <f aca="false">IF($AG233="","",IF($AG233&lt;=1200,IF(INDEX(对接源_01水果!$J$4:$J$1203,$AG233)=0,"",INDEX(对接源_01水果!$J$4:$J$1203,$AG233)),IF(INDEX(对接源_02物料!$J$4:$J$1203,$AG233-1200)=0,"",INDEX(对接源_02物料!$J$4:$J$1203,$AG233-1200))))</f>
        <v>7.8</v>
      </c>
      <c r="H233" s="56" t="str">
        <f aca="false">IF($AG233="","",IF($AG233&lt;=1200,IF(INDEX(对接源_01水果!$K$4:$K$1203,$AG233)=0,"",INDEX(对接源_01水果!$K$4:$K$1203,$AG233)),IF(INDEX(对接源_02物料!$K$4:$K$1203,$AG233-1200)=0,"",INDEX(对接源_02物料!$K$4:$K$1203,$AG233-1200))))</f>
        <v/>
      </c>
      <c r="I233" s="46" t="str">
        <f aca="false">IF($AG233="","",IF($AG233&lt;=1200,IF(INDEX(对接源_01水果!$L$4:$L$1203,$AG233)=0,"",INDEX(对接源_01水果!$L$4:$L$1203,$AG233)),IF(INDEX(对接源_02物料!$L$4:$L$1203,$AG233-1200)=0,"",INDEX(对接源_02物料!$L$4:$L$1203,$AG233-1200))))</f>
        <v/>
      </c>
      <c r="J233" s="47" t="str">
        <f aca="false">IF($AG233="","",IF($AG233&lt;=1200,IF(INDEX(对接源_01水果!$M$4:$M$1203,$AG233)=0,"",INDEX(对接源_01水果!$M$4:$M$1203,$AG233)),IF(INDEX(对接源_02物料!$M$4:$M$1203,$AG233-1200)=0,"",INDEX(对接源_02物料!$M$4:$M$1203,$AG233-1200))))</f>
        <v/>
      </c>
      <c r="AG233" s="44" t="n">
        <f aca="false">IFERROR(MATCH(22,_自动清单!$AE$4:$AE$2403,0),"")</f>
        <v>292</v>
      </c>
    </row>
    <row r="234" customFormat="false" ht="18" hidden="false" customHeight="true" outlineLevel="0" collapsed="false">
      <c r="A234" s="40" t="n">
        <f aca="false">IF($AG234="","",IF($AG234&lt;=1200,IF(INDEX(对接源_01水果!$B$4:$B$1203,$AG234)=0,"",INDEX(对接源_01水果!$B$4:$B$1203,$AG234)),IF(INDEX(对接源_02物料!$B$4:$B$1203,$AG234-1200)=0,"",INDEX(对接源_02物料!$B$4:$B$1203,$AG234-1200))))</f>
        <v>46271</v>
      </c>
      <c r="B234" s="41" t="str">
        <f aca="false">IF($AG234="","",IF($AG234&lt;=1200,IF(INDEX(对接源_01水果!$E$4:$E$1203,$AG234)=0,"",INDEX(对接源_01水果!$E$4:$E$1203,$AG234)),IF(INDEX(对接源_02物料!$E$4:$E$1203,$AG234-1200)=0,"",INDEX(对接源_02物料!$E$4:$E$1203,$AG234-1200))))</f>
        <v>NO:0001088</v>
      </c>
      <c r="C234" s="41" t="str">
        <f aca="false">IF($AG234="","",IF($AG234&lt;=1200,IF(INDEX(对接源_01水果!$F$4:$F$1203,$AG234)=0,"",INDEX(对接源_01水果!$F$4:$F$1203,$AG234)),IF(INDEX(对接源_02物料!$F$4:$F$1203,$AG234-1200)=0,"",INDEX(对接源_02物料!$F$4:$F$1203,$AG234-1200))))</f>
        <v>苹果</v>
      </c>
      <c r="D234" s="41" t="str">
        <f aca="false">IF($AG234="","",IF($AG234&lt;=1200,IF(INDEX(对接源_01水果!$G$4:$G$1203,$AG234)=0,"",INDEX(对接源_01水果!$G$4:$G$1203,$AG234)),IF(INDEX(对接源_02物料!$G$4:$G$1203,$AG234-1200)=0,"",INDEX(对接源_02物料!$G$4:$G$1203,$AG234-1200))))</f>
        <v>华硕一级</v>
      </c>
      <c r="E234" s="43" t="n">
        <f aca="false">IF($AG234="","",IF($AG234&lt;=1200,IF(INDEX(对接源_01水果!$H$4:$H$1203,$AG234)=0,"",INDEX(对接源_01水果!$H$4:$H$1203,$AG234)),IF(INDEX(对接源_02物料!$H$4:$H$1203,$AG234-1200)=0,"",INDEX(对接源_02物料!$H$4:$H$1203,$AG234-1200))))</f>
        <v>105</v>
      </c>
      <c r="F234" s="41" t="str">
        <f aca="false">IF($AG234="","",IF($AG234&lt;=1200,IF(INDEX(对接源_01水果!$I$4:$I$1203,$AG234)=0,"",INDEX(对接源_01水果!$I$4:$I$1203,$AG234)),IF(INDEX(对接源_02物料!$I$4:$I$1203,$AG234-1200)=0,"",INDEX(对接源_02物料!$I$4:$I$1203,$AG234-1200))))</f>
        <v>箱</v>
      </c>
      <c r="G234" s="55" t="n">
        <f aca="false">IF($AG234="","",IF($AG234&lt;=1200,IF(INDEX(对接源_01水果!$J$4:$J$1203,$AG234)=0,"",INDEX(对接源_01水果!$J$4:$J$1203,$AG234)),IF(INDEX(对接源_02物料!$J$4:$J$1203,$AG234-1200)=0,"",INDEX(对接源_02物料!$J$4:$J$1203,$AG234-1200))))</f>
        <v>535.5</v>
      </c>
      <c r="H234" s="55" t="str">
        <f aca="false">IF($AG234="","",IF($AG234&lt;=1200,IF(INDEX(对接源_01水果!$K$4:$K$1203,$AG234)=0,"",INDEX(对接源_01水果!$K$4:$K$1203,$AG234)),IF(INDEX(对接源_02物料!$K$4:$K$1203,$AG234-1200)=0,"",INDEX(对接源_02物料!$K$4:$K$1203,$AG234-1200))))</f>
        <v/>
      </c>
      <c r="I234" s="41" t="str">
        <f aca="false">IF($AG234="","",IF($AG234&lt;=1200,IF(INDEX(对接源_01水果!$L$4:$L$1203,$AG234)=0,"",INDEX(对接源_01水果!$L$4:$L$1203,$AG234)),IF(INDEX(对接源_02物料!$L$4:$L$1203,$AG234-1200)=0,"",INDEX(对接源_02物料!$L$4:$L$1203,$AG234-1200))))</f>
        <v/>
      </c>
      <c r="J234" s="42" t="str">
        <f aca="false">IF($AG234="","",IF($AG234&lt;=1200,IF(INDEX(对接源_01水果!$M$4:$M$1203,$AG234)=0,"",INDEX(对接源_01水果!$M$4:$M$1203,$AG234)),IF(INDEX(对接源_02物料!$M$4:$M$1203,$AG234-1200)=0,"",INDEX(对接源_02物料!$M$4:$M$1203,$AG234-1200))))</f>
        <v/>
      </c>
      <c r="AG234" s="44" t="n">
        <f aca="false">IFERROR(MATCH(23,_自动清单!$AE$4:$AE$2403,0),"")</f>
        <v>293</v>
      </c>
    </row>
    <row r="235" customFormat="false" ht="18" hidden="false" customHeight="true" outlineLevel="0" collapsed="false">
      <c r="A235" s="45" t="n">
        <f aca="false">IF($AG235="","",IF($AG235&lt;=1200,IF(INDEX(对接源_01水果!$B$4:$B$1203,$AG235)=0,"",INDEX(对接源_01水果!$B$4:$B$1203,$AG235)),IF(INDEX(对接源_02物料!$B$4:$B$1203,$AG235-1200)=0,"",INDEX(对接源_02物料!$B$4:$B$1203,$AG235-1200))))</f>
        <v>46272</v>
      </c>
      <c r="B235" s="46" t="str">
        <f aca="false">IF($AG235="","",IF($AG235&lt;=1200,IF(INDEX(对接源_01水果!$E$4:$E$1203,$AG235)=0,"",INDEX(对接源_01水果!$E$4:$E$1203,$AG235)),IF(INDEX(对接源_02物料!$E$4:$E$1203,$AG235-1200)=0,"",INDEX(对接源_02物料!$E$4:$E$1203,$AG235-1200))))</f>
        <v>NO:0001093</v>
      </c>
      <c r="C235" s="46" t="str">
        <f aca="false">IF($AG235="","",IF($AG235&lt;=1200,IF(INDEX(对接源_01水果!$F$4:$F$1203,$AG235)=0,"",INDEX(对接源_01水果!$F$4:$F$1203,$AG235)),IF(INDEX(对接源_02物料!$F$4:$F$1203,$AG235-1200)=0,"",INDEX(对接源_02物料!$F$4:$F$1203,$AG235-1200))))</f>
        <v>苹果</v>
      </c>
      <c r="D235" s="46" t="str">
        <f aca="false">IF($AG235="","",IF($AG235&lt;=1200,IF(INDEX(对接源_01水果!$G$4:$G$1203,$AG235)=0,"",INDEX(对接源_01水果!$G$4:$G$1203,$AG235)),IF(INDEX(对接源_02物料!$G$4:$G$1203,$AG235-1200)=0,"",INDEX(对接源_02物料!$G$4:$G$1203,$AG235-1200))))</f>
        <v>华硕一级</v>
      </c>
      <c r="E235" s="48" t="n">
        <f aca="false">IF($AG235="","",IF($AG235&lt;=1200,IF(INDEX(对接源_01水果!$H$4:$H$1203,$AG235)=0,"",INDEX(对接源_01水果!$H$4:$H$1203,$AG235)),IF(INDEX(对接源_02物料!$H$4:$H$1203,$AG235-1200)=0,"",INDEX(对接源_02物料!$H$4:$H$1203,$AG235-1200))))</f>
        <v>150</v>
      </c>
      <c r="F235" s="46" t="str">
        <f aca="false">IF($AG235="","",IF($AG235&lt;=1200,IF(INDEX(对接源_01水果!$I$4:$I$1203,$AG235)=0,"",INDEX(对接源_01水果!$I$4:$I$1203,$AG235)),IF(INDEX(对接源_02物料!$I$4:$I$1203,$AG235-1200)=0,"",INDEX(对接源_02物料!$I$4:$I$1203,$AG235-1200))))</f>
        <v>箱</v>
      </c>
      <c r="G235" s="56" t="n">
        <f aca="false">IF($AG235="","",IF($AG235&lt;=1200,IF(INDEX(对接源_01水果!$J$4:$J$1203,$AG235)=0,"",INDEX(对接源_01水果!$J$4:$J$1203,$AG235)),IF(INDEX(对接源_02物料!$J$4:$J$1203,$AG235-1200)=0,"",INDEX(对接源_02物料!$J$4:$J$1203,$AG235-1200))))</f>
        <v>765</v>
      </c>
      <c r="H235" s="56" t="str">
        <f aca="false">IF($AG235="","",IF($AG235&lt;=1200,IF(INDEX(对接源_01水果!$K$4:$K$1203,$AG235)=0,"",INDEX(对接源_01水果!$K$4:$K$1203,$AG235)),IF(INDEX(对接源_02物料!$K$4:$K$1203,$AG235-1200)=0,"",INDEX(对接源_02物料!$K$4:$K$1203,$AG235-1200))))</f>
        <v/>
      </c>
      <c r="I235" s="46" t="str">
        <f aca="false">IF($AG235="","",IF($AG235&lt;=1200,IF(INDEX(对接源_01水果!$L$4:$L$1203,$AG235)=0,"",INDEX(对接源_01水果!$L$4:$L$1203,$AG235)),IF(INDEX(对接源_02物料!$L$4:$L$1203,$AG235-1200)=0,"",INDEX(对接源_02物料!$L$4:$L$1203,$AG235-1200))))</f>
        <v/>
      </c>
      <c r="J235" s="47" t="str">
        <f aca="false">IF($AG235="","",IF($AG235&lt;=1200,IF(INDEX(对接源_01水果!$M$4:$M$1203,$AG235)=0,"",INDEX(对接源_01水果!$M$4:$M$1203,$AG235)),IF(INDEX(对接源_02物料!$M$4:$M$1203,$AG235-1200)=0,"",INDEX(对接源_02物料!$M$4:$M$1203,$AG235-1200))))</f>
        <v/>
      </c>
      <c r="AG235" s="44" t="n">
        <f aca="false">IFERROR(MATCH(24,_自动清单!$AE$4:$AE$2403,0),"")</f>
        <v>294</v>
      </c>
    </row>
    <row r="236" customFormat="false" ht="18" hidden="false" customHeight="true" outlineLevel="0" collapsed="false">
      <c r="A236" s="40" t="n">
        <f aca="false">IF($AG236="","",IF($AG236&lt;=1200,IF(INDEX(对接源_01水果!$B$4:$B$1203,$AG236)=0,"",INDEX(对接源_01水果!$B$4:$B$1203,$AG236)),IF(INDEX(对接源_02物料!$B$4:$B$1203,$AG236-1200)=0,"",INDEX(对接源_02物料!$B$4:$B$1203,$AG236-1200))))</f>
        <v>46273</v>
      </c>
      <c r="B236" s="41" t="str">
        <f aca="false">IF($AG236="","",IF($AG236&lt;=1200,IF(INDEX(对接源_01水果!$E$4:$E$1203,$AG236)=0,"",INDEX(对接源_01水果!$E$4:$E$1203,$AG236)),IF(INDEX(对接源_02物料!$E$4:$E$1203,$AG236-1200)=0,"",INDEX(对接源_02物料!$E$4:$E$1203,$AG236-1200))))</f>
        <v>NO:0001095</v>
      </c>
      <c r="C236" s="41" t="str">
        <f aca="false">IF($AG236="","",IF($AG236&lt;=1200,IF(INDEX(对接源_01水果!$F$4:$F$1203,$AG236)=0,"",INDEX(对接源_01水果!$F$4:$F$1203,$AG236)),IF(INDEX(对接源_02物料!$F$4:$F$1203,$AG236-1200)=0,"",INDEX(对接源_02物料!$F$4:$F$1203,$AG236-1200))))</f>
        <v>苹果</v>
      </c>
      <c r="D236" s="41" t="str">
        <f aca="false">IF($AG236="","",IF($AG236&lt;=1200,IF(INDEX(对接源_01水果!$G$4:$G$1203,$AG236)=0,"",INDEX(对接源_01水果!$G$4:$G$1203,$AG236)),IF(INDEX(对接源_02物料!$G$4:$G$1203,$AG236-1200)=0,"",INDEX(对接源_02物料!$G$4:$G$1203,$AG236-1200))))</f>
        <v>华硕一级</v>
      </c>
      <c r="E236" s="43" t="n">
        <f aca="false">IF($AG236="","",IF($AG236&lt;=1200,IF(INDEX(对接源_01水果!$H$4:$H$1203,$AG236)=0,"",INDEX(对接源_01水果!$H$4:$H$1203,$AG236)),IF(INDEX(对接源_02物料!$H$4:$H$1203,$AG236-1200)=0,"",INDEX(对接源_02物料!$H$4:$H$1203,$AG236-1200))))</f>
        <v>296</v>
      </c>
      <c r="F236" s="41" t="str">
        <f aca="false">IF($AG236="","",IF($AG236&lt;=1200,IF(INDEX(对接源_01水果!$I$4:$I$1203,$AG236)=0,"",INDEX(对接源_01水果!$I$4:$I$1203,$AG236)),IF(INDEX(对接源_02物料!$I$4:$I$1203,$AG236-1200)=0,"",INDEX(对接源_02物料!$I$4:$I$1203,$AG236-1200))))</f>
        <v>箱</v>
      </c>
      <c r="G236" s="55" t="n">
        <f aca="false">IF($AG236="","",IF($AG236&lt;=1200,IF(INDEX(对接源_01水果!$J$4:$J$1203,$AG236)=0,"",INDEX(对接源_01水果!$J$4:$J$1203,$AG236)),IF(INDEX(对接源_02物料!$J$4:$J$1203,$AG236-1200)=0,"",INDEX(对接源_02物料!$J$4:$J$1203,$AG236-1200))))</f>
        <v>1509.6</v>
      </c>
      <c r="H236" s="55" t="str">
        <f aca="false">IF($AG236="","",IF($AG236&lt;=1200,IF(INDEX(对接源_01水果!$K$4:$K$1203,$AG236)=0,"",INDEX(对接源_01水果!$K$4:$K$1203,$AG236)),IF(INDEX(对接源_02物料!$K$4:$K$1203,$AG236-1200)=0,"",INDEX(对接源_02物料!$K$4:$K$1203,$AG236-1200))))</f>
        <v/>
      </c>
      <c r="I236" s="41" t="str">
        <f aca="false">IF($AG236="","",IF($AG236&lt;=1200,IF(INDEX(对接源_01水果!$L$4:$L$1203,$AG236)=0,"",INDEX(对接源_01水果!$L$4:$L$1203,$AG236)),IF(INDEX(对接源_02物料!$L$4:$L$1203,$AG236-1200)=0,"",INDEX(对接源_02物料!$L$4:$L$1203,$AG236-1200))))</f>
        <v/>
      </c>
      <c r="J236" s="42" t="str">
        <f aca="false">IF($AG236="","",IF($AG236&lt;=1200,IF(INDEX(对接源_01水果!$M$4:$M$1203,$AG236)=0,"",INDEX(对接源_01水果!$M$4:$M$1203,$AG236)),IF(INDEX(对接源_02物料!$M$4:$M$1203,$AG236-1200)=0,"",INDEX(对接源_02物料!$M$4:$M$1203,$AG236-1200))))</f>
        <v/>
      </c>
      <c r="AG236" s="44" t="n">
        <f aca="false">IFERROR(MATCH(25,_自动清单!$AE$4:$AE$2403,0),"")</f>
        <v>295</v>
      </c>
    </row>
    <row r="237" customFormat="false" ht="18" hidden="false" customHeight="true" outlineLevel="0" collapsed="false">
      <c r="A237" s="45" t="n">
        <f aca="false">IF($AG237="","",IF($AG237&lt;=1200,IF(INDEX(对接源_01水果!$B$4:$B$1203,$AG237)=0,"",INDEX(对接源_01水果!$B$4:$B$1203,$AG237)),IF(INDEX(对接源_02物料!$B$4:$B$1203,$AG237-1200)=0,"",INDEX(对接源_02物料!$B$4:$B$1203,$AG237-1200))))</f>
        <v>46273</v>
      </c>
      <c r="B237" s="46" t="str">
        <f aca="false">IF($AG237="","",IF($AG237&lt;=1200,IF(INDEX(对接源_01水果!$E$4:$E$1203,$AG237)=0,"",INDEX(对接源_01水果!$E$4:$E$1203,$AG237)),IF(INDEX(对接源_02物料!$E$4:$E$1203,$AG237-1200)=0,"",INDEX(对接源_02物料!$E$4:$E$1203,$AG237-1200))))</f>
        <v>NO:0001095</v>
      </c>
      <c r="C237" s="46" t="str">
        <f aca="false">IF($AG237="","",IF($AG237&lt;=1200,IF(INDEX(对接源_01水果!$F$4:$F$1203,$AG237)=0,"",INDEX(对接源_01水果!$F$4:$F$1203,$AG237)),IF(INDEX(对接源_02物料!$F$4:$F$1203,$AG237-1200)=0,"",INDEX(对接源_02物料!$F$4:$F$1203,$AG237-1200))))</f>
        <v>苹果</v>
      </c>
      <c r="D237" s="46" t="str">
        <f aca="false">IF($AG237="","",IF($AG237&lt;=1200,IF(INDEX(对接源_01水果!$G$4:$G$1203,$AG237)=0,"",INDEX(对接源_01水果!$G$4:$G$1203,$AG237)),IF(INDEX(对接源_02物料!$G$4:$G$1203,$AG237-1200)=0,"",INDEX(对接源_02物料!$G$4:$G$1203,$AG237-1200))))</f>
        <v>华硕一级</v>
      </c>
      <c r="E237" s="48" t="n">
        <f aca="false">IF($AG237="","",IF($AG237&lt;=1200,IF(INDEX(对接源_01水果!$H$4:$H$1203,$AG237)=0,"",INDEX(对接源_01水果!$H$4:$H$1203,$AG237)),IF(INDEX(对接源_02物料!$H$4:$H$1203,$AG237-1200)=0,"",INDEX(对接源_02物料!$H$4:$H$1203,$AG237-1200))))</f>
        <v>16</v>
      </c>
      <c r="F237" s="46" t="str">
        <f aca="false">IF($AG237="","",IF($AG237&lt;=1200,IF(INDEX(对接源_01水果!$I$4:$I$1203,$AG237)=0,"",INDEX(对接源_01水果!$I$4:$I$1203,$AG237)),IF(INDEX(对接源_02物料!$I$4:$I$1203,$AG237-1200)=0,"",INDEX(对接源_02物料!$I$4:$I$1203,$AG237-1200))))</f>
        <v>箱</v>
      </c>
      <c r="G237" s="56" t="n">
        <f aca="false">IF($AG237="","",IF($AG237&lt;=1200,IF(INDEX(对接源_01水果!$J$4:$J$1203,$AG237)=0,"",INDEX(对接源_01水果!$J$4:$J$1203,$AG237)),IF(INDEX(对接源_02物料!$J$4:$J$1203,$AG237-1200)=0,"",INDEX(对接源_02物料!$J$4:$J$1203,$AG237-1200))))</f>
        <v>41.6</v>
      </c>
      <c r="H237" s="56" t="str">
        <f aca="false">IF($AG237="","",IF($AG237&lt;=1200,IF(INDEX(对接源_01水果!$K$4:$K$1203,$AG237)=0,"",INDEX(对接源_01水果!$K$4:$K$1203,$AG237)),IF(INDEX(对接源_02物料!$K$4:$K$1203,$AG237-1200)=0,"",INDEX(对接源_02物料!$K$4:$K$1203,$AG237-1200))))</f>
        <v/>
      </c>
      <c r="I237" s="46" t="str">
        <f aca="false">IF($AG237="","",IF($AG237&lt;=1200,IF(INDEX(对接源_01水果!$L$4:$L$1203,$AG237)=0,"",INDEX(对接源_01水果!$L$4:$L$1203,$AG237)),IF(INDEX(对接源_02物料!$L$4:$L$1203,$AG237-1200)=0,"",INDEX(对接源_02物料!$L$4:$L$1203,$AG237-1200))))</f>
        <v/>
      </c>
      <c r="J237" s="47" t="str">
        <f aca="false">IF($AG237="","",IF($AG237&lt;=1200,IF(INDEX(对接源_01水果!$M$4:$M$1203,$AG237)=0,"",INDEX(对接源_01水果!$M$4:$M$1203,$AG237)),IF(INDEX(对接源_02物料!$M$4:$M$1203,$AG237-1200)=0,"",INDEX(对接源_02物料!$M$4:$M$1203,$AG237-1200))))</f>
        <v/>
      </c>
      <c r="AG237" s="44" t="n">
        <f aca="false">IFERROR(MATCH(26,_自动清单!$AE$4:$AE$2403,0),"")</f>
        <v>296</v>
      </c>
    </row>
    <row r="238" customFormat="false" ht="18" hidden="false" customHeight="true" outlineLevel="0" collapsed="false">
      <c r="A238" s="40" t="n">
        <f aca="false">IF($AG238="","",IF($AG238&lt;=1200,IF(INDEX(对接源_01水果!$B$4:$B$1203,$AG238)=0,"",INDEX(对接源_01水果!$B$4:$B$1203,$AG238)),IF(INDEX(对接源_02物料!$B$4:$B$1203,$AG238-1200)=0,"",INDEX(对接源_02物料!$B$4:$B$1203,$AG238-1200))))</f>
        <v>46274</v>
      </c>
      <c r="B238" s="41" t="str">
        <f aca="false">IF($AG238="","",IF($AG238&lt;=1200,IF(INDEX(对接源_01水果!$E$4:$E$1203,$AG238)=0,"",INDEX(对接源_01水果!$E$4:$E$1203,$AG238)),IF(INDEX(对接源_02物料!$E$4:$E$1203,$AG238-1200)=0,"",INDEX(对接源_02物料!$E$4:$E$1203,$AG238-1200))))</f>
        <v>NO:0001104</v>
      </c>
      <c r="C238" s="41" t="str">
        <f aca="false">IF($AG238="","",IF($AG238&lt;=1200,IF(INDEX(对接源_01水果!$F$4:$F$1203,$AG238)=0,"",INDEX(对接源_01水果!$F$4:$F$1203,$AG238)),IF(INDEX(对接源_02物料!$F$4:$F$1203,$AG238-1200)=0,"",INDEX(对接源_02物料!$F$4:$F$1203,$AG238-1200))))</f>
        <v>苹果</v>
      </c>
      <c r="D238" s="41" t="str">
        <f aca="false">IF($AG238="","",IF($AG238&lt;=1200,IF(INDEX(对接源_01水果!$G$4:$G$1203,$AG238)=0,"",INDEX(对接源_01水果!$G$4:$G$1203,$AG238)),IF(INDEX(对接源_02物料!$G$4:$G$1203,$AG238-1200)=0,"",INDEX(对接源_02物料!$G$4:$G$1203,$AG238-1200))))</f>
        <v>华硕一级</v>
      </c>
      <c r="E238" s="43" t="n">
        <f aca="false">IF($AG238="","",IF($AG238&lt;=1200,IF(INDEX(对接源_01水果!$H$4:$H$1203,$AG238)=0,"",INDEX(对接源_01水果!$H$4:$H$1203,$AG238)),IF(INDEX(对接源_02物料!$H$4:$H$1203,$AG238-1200)=0,"",INDEX(对接源_02物料!$H$4:$H$1203,$AG238-1200))))</f>
        <v>27</v>
      </c>
      <c r="F238" s="41" t="str">
        <f aca="false">IF($AG238="","",IF($AG238&lt;=1200,IF(INDEX(对接源_01水果!$I$4:$I$1203,$AG238)=0,"",INDEX(对接源_01水果!$I$4:$I$1203,$AG238)),IF(INDEX(对接源_02物料!$I$4:$I$1203,$AG238-1200)=0,"",INDEX(对接源_02物料!$I$4:$I$1203,$AG238-1200))))</f>
        <v>箱</v>
      </c>
      <c r="G238" s="55" t="n">
        <f aca="false">IF($AG238="","",IF($AG238&lt;=1200,IF(INDEX(对接源_01水果!$J$4:$J$1203,$AG238)=0,"",INDEX(对接源_01水果!$J$4:$J$1203,$AG238)),IF(INDEX(对接源_02物料!$J$4:$J$1203,$AG238-1200)=0,"",INDEX(对接源_02物料!$J$4:$J$1203,$AG238-1200))))</f>
        <v>137.7</v>
      </c>
      <c r="H238" s="55" t="str">
        <f aca="false">IF($AG238="","",IF($AG238&lt;=1200,IF(INDEX(对接源_01水果!$K$4:$K$1203,$AG238)=0,"",INDEX(对接源_01水果!$K$4:$K$1203,$AG238)),IF(INDEX(对接源_02物料!$K$4:$K$1203,$AG238-1200)=0,"",INDEX(对接源_02物料!$K$4:$K$1203,$AG238-1200))))</f>
        <v/>
      </c>
      <c r="I238" s="41" t="str">
        <f aca="false">IF($AG238="","",IF($AG238&lt;=1200,IF(INDEX(对接源_01水果!$L$4:$L$1203,$AG238)=0,"",INDEX(对接源_01水果!$L$4:$L$1203,$AG238)),IF(INDEX(对接源_02物料!$L$4:$L$1203,$AG238-1200)=0,"",INDEX(对接源_02物料!$L$4:$L$1203,$AG238-1200))))</f>
        <v/>
      </c>
      <c r="J238" s="42" t="str">
        <f aca="false">IF($AG238="","",IF($AG238&lt;=1200,IF(INDEX(对接源_01水果!$M$4:$M$1203,$AG238)=0,"",INDEX(对接源_01水果!$M$4:$M$1203,$AG238)),IF(INDEX(对接源_02物料!$M$4:$M$1203,$AG238-1200)=0,"",INDEX(对接源_02物料!$M$4:$M$1203,$AG238-1200))))</f>
        <v/>
      </c>
      <c r="AG238" s="44" t="n">
        <f aca="false">IFERROR(MATCH(27,_自动清单!$AE$4:$AE$2403,0),"")</f>
        <v>298</v>
      </c>
    </row>
    <row r="239" customFormat="false" ht="18" hidden="false" customHeight="true" outlineLevel="0" collapsed="false">
      <c r="A239" s="45" t="n">
        <f aca="false">IF($AG239="","",IF($AG239&lt;=1200,IF(INDEX(对接源_01水果!$B$4:$B$1203,$AG239)=0,"",INDEX(对接源_01水果!$B$4:$B$1203,$AG239)),IF(INDEX(对接源_02物料!$B$4:$B$1203,$AG239-1200)=0,"",INDEX(对接源_02物料!$B$4:$B$1203,$AG239-1200))))</f>
        <v>46275</v>
      </c>
      <c r="B239" s="46" t="str">
        <f aca="false">IF($AG239="","",IF($AG239&lt;=1200,IF(INDEX(对接源_01水果!$E$4:$E$1203,$AG239)=0,"",INDEX(对接源_01水果!$E$4:$E$1203,$AG239)),IF(INDEX(对接源_02物料!$E$4:$E$1203,$AG239-1200)=0,"",INDEX(对接源_02物料!$E$4:$E$1203,$AG239-1200))))</f>
        <v>NO:0001109</v>
      </c>
      <c r="C239" s="46" t="str">
        <f aca="false">IF($AG239="","",IF($AG239&lt;=1200,IF(INDEX(对接源_01水果!$F$4:$F$1203,$AG239)=0,"",INDEX(对接源_01水果!$F$4:$F$1203,$AG239)),IF(INDEX(对接源_02物料!$F$4:$F$1203,$AG239-1200)=0,"",INDEX(对接源_02物料!$F$4:$F$1203,$AG239-1200))))</f>
        <v>苹果</v>
      </c>
      <c r="D239" s="46" t="str">
        <f aca="false">IF($AG239="","",IF($AG239&lt;=1200,IF(INDEX(对接源_01水果!$G$4:$G$1203,$AG239)=0,"",INDEX(对接源_01水果!$G$4:$G$1203,$AG239)),IF(INDEX(对接源_02物料!$G$4:$G$1203,$AG239-1200)=0,"",INDEX(对接源_02物料!$G$4:$G$1203,$AG239-1200))))</f>
        <v>华硕一级</v>
      </c>
      <c r="E239" s="48" t="n">
        <f aca="false">IF($AG239="","",IF($AG239&lt;=1200,IF(INDEX(对接源_01水果!$H$4:$H$1203,$AG239)=0,"",INDEX(对接源_01水果!$H$4:$H$1203,$AG239)),IF(INDEX(对接源_02物料!$H$4:$H$1203,$AG239-1200)=0,"",INDEX(对接源_02物料!$H$4:$H$1203,$AG239-1200))))</f>
        <v>132</v>
      </c>
      <c r="F239" s="46" t="str">
        <f aca="false">IF($AG239="","",IF($AG239&lt;=1200,IF(INDEX(对接源_01水果!$I$4:$I$1203,$AG239)=0,"",INDEX(对接源_01水果!$I$4:$I$1203,$AG239)),IF(INDEX(对接源_02物料!$I$4:$I$1203,$AG239-1200)=0,"",INDEX(对接源_02物料!$I$4:$I$1203,$AG239-1200))))</f>
        <v>箱</v>
      </c>
      <c r="G239" s="56" t="n">
        <f aca="false">IF($AG239="","",IF($AG239&lt;=1200,IF(INDEX(对接源_01水果!$J$4:$J$1203,$AG239)=0,"",INDEX(对接源_01水果!$J$4:$J$1203,$AG239)),IF(INDEX(对接源_02物料!$J$4:$J$1203,$AG239-1200)=0,"",INDEX(对接源_02物料!$J$4:$J$1203,$AG239-1200))))</f>
        <v>673.2</v>
      </c>
      <c r="H239" s="56" t="str">
        <f aca="false">IF($AG239="","",IF($AG239&lt;=1200,IF(INDEX(对接源_01水果!$K$4:$K$1203,$AG239)=0,"",INDEX(对接源_01水果!$K$4:$K$1203,$AG239)),IF(INDEX(对接源_02物料!$K$4:$K$1203,$AG239-1200)=0,"",INDEX(对接源_02物料!$K$4:$K$1203,$AG239-1200))))</f>
        <v/>
      </c>
      <c r="I239" s="46" t="str">
        <f aca="false">IF($AG239="","",IF($AG239&lt;=1200,IF(INDEX(对接源_01水果!$L$4:$L$1203,$AG239)=0,"",INDEX(对接源_01水果!$L$4:$L$1203,$AG239)),IF(INDEX(对接源_02物料!$L$4:$L$1203,$AG239-1200)=0,"",INDEX(对接源_02物料!$L$4:$L$1203,$AG239-1200))))</f>
        <v/>
      </c>
      <c r="J239" s="47" t="str">
        <f aca="false">IF($AG239="","",IF($AG239&lt;=1200,IF(INDEX(对接源_01水果!$M$4:$M$1203,$AG239)=0,"",INDEX(对接源_01水果!$M$4:$M$1203,$AG239)),IF(INDEX(对接源_02物料!$M$4:$M$1203,$AG239-1200)=0,"",INDEX(对接源_02物料!$M$4:$M$1203,$AG239-1200))))</f>
        <v/>
      </c>
      <c r="AG239" s="44" t="n">
        <f aca="false">IFERROR(MATCH(28,_自动清单!$AE$4:$AE$2403,0),"")</f>
        <v>299</v>
      </c>
    </row>
    <row r="240" customFormat="false" ht="18" hidden="false" customHeight="true" outlineLevel="0" collapsed="false">
      <c r="A240" s="40" t="n">
        <f aca="false">IF($AG240="","",IF($AG240&lt;=1200,IF(INDEX(对接源_01水果!$B$4:$B$1203,$AG240)=0,"",INDEX(对接源_01水果!$B$4:$B$1203,$AG240)),IF(INDEX(对接源_02物料!$B$4:$B$1203,$AG240-1200)=0,"",INDEX(对接源_02物料!$B$4:$B$1203,$AG240-1200))))</f>
        <v>46275</v>
      </c>
      <c r="B240" s="41" t="str">
        <f aca="false">IF($AG240="","",IF($AG240&lt;=1200,IF(INDEX(对接源_01水果!$E$4:$E$1203,$AG240)=0,"",INDEX(对接源_01水果!$E$4:$E$1203,$AG240)),IF(INDEX(对接源_02物料!$E$4:$E$1203,$AG240-1200)=0,"",INDEX(对接源_02物料!$E$4:$E$1203,$AG240-1200))))</f>
        <v>NO:0001109</v>
      </c>
      <c r="C240" s="41" t="str">
        <f aca="false">IF($AG240="","",IF($AG240&lt;=1200,IF(INDEX(对接源_01水果!$F$4:$F$1203,$AG240)=0,"",INDEX(对接源_01水果!$F$4:$F$1203,$AG240)),IF(INDEX(对接源_02物料!$F$4:$F$1203,$AG240-1200)=0,"",INDEX(对接源_02物料!$F$4:$F$1203,$AG240-1200))))</f>
        <v>苹果</v>
      </c>
      <c r="D240" s="41" t="str">
        <f aca="false">IF($AG240="","",IF($AG240&lt;=1200,IF(INDEX(对接源_01水果!$G$4:$G$1203,$AG240)=0,"",INDEX(对接源_01水果!$G$4:$G$1203,$AG240)),IF(INDEX(对接源_02物料!$G$4:$G$1203,$AG240-1200)=0,"",INDEX(对接源_02物料!$G$4:$G$1203,$AG240-1200))))</f>
        <v>华硕一级</v>
      </c>
      <c r="E240" s="43" t="n">
        <f aca="false">IF($AG240="","",IF($AG240&lt;=1200,IF(INDEX(对接源_01水果!$H$4:$H$1203,$AG240)=0,"",INDEX(对接源_01水果!$H$4:$H$1203,$AG240)),IF(INDEX(对接源_02物料!$H$4:$H$1203,$AG240-1200)=0,"",INDEX(对接源_02物料!$H$4:$H$1203,$AG240-1200))))</f>
        <v>17</v>
      </c>
      <c r="F240" s="41" t="str">
        <f aca="false">IF($AG240="","",IF($AG240&lt;=1200,IF(INDEX(对接源_01水果!$I$4:$I$1203,$AG240)=0,"",INDEX(对接源_01水果!$I$4:$I$1203,$AG240)),IF(INDEX(对接源_02物料!$I$4:$I$1203,$AG240-1200)=0,"",INDEX(对接源_02物料!$I$4:$I$1203,$AG240-1200))))</f>
        <v>箱</v>
      </c>
      <c r="G240" s="55" t="n">
        <f aca="false">IF($AG240="","",IF($AG240&lt;=1200,IF(INDEX(对接源_01水果!$J$4:$J$1203,$AG240)=0,"",INDEX(对接源_01水果!$J$4:$J$1203,$AG240)),IF(INDEX(对接源_02物料!$J$4:$J$1203,$AG240-1200)=0,"",INDEX(对接源_02物料!$J$4:$J$1203,$AG240-1200))))</f>
        <v>44.2</v>
      </c>
      <c r="H240" s="55" t="str">
        <f aca="false">IF($AG240="","",IF($AG240&lt;=1200,IF(INDEX(对接源_01水果!$K$4:$K$1203,$AG240)=0,"",INDEX(对接源_01水果!$K$4:$K$1203,$AG240)),IF(INDEX(对接源_02物料!$K$4:$K$1203,$AG240-1200)=0,"",INDEX(对接源_02物料!$K$4:$K$1203,$AG240-1200))))</f>
        <v/>
      </c>
      <c r="I240" s="41" t="str">
        <f aca="false">IF($AG240="","",IF($AG240&lt;=1200,IF(INDEX(对接源_01水果!$L$4:$L$1203,$AG240)=0,"",INDEX(对接源_01水果!$L$4:$L$1203,$AG240)),IF(INDEX(对接源_02物料!$L$4:$L$1203,$AG240-1200)=0,"",INDEX(对接源_02物料!$L$4:$L$1203,$AG240-1200))))</f>
        <v/>
      </c>
      <c r="J240" s="42" t="str">
        <f aca="false">IF($AG240="","",IF($AG240&lt;=1200,IF(INDEX(对接源_01水果!$M$4:$M$1203,$AG240)=0,"",INDEX(对接源_01水果!$M$4:$M$1203,$AG240)),IF(INDEX(对接源_02物料!$M$4:$M$1203,$AG240-1200)=0,"",INDEX(对接源_02物料!$M$4:$M$1203,$AG240-1200))))</f>
        <v/>
      </c>
      <c r="AG240" s="44" t="n">
        <f aca="false">IFERROR(MATCH(29,_自动清单!$AE$4:$AE$2403,0),"")</f>
        <v>300</v>
      </c>
    </row>
    <row r="241" customFormat="false" ht="18" hidden="false" customHeight="true" outlineLevel="0" collapsed="false">
      <c r="A241" s="45" t="n">
        <f aca="false">IF($AG241="","",IF($AG241&lt;=1200,IF(INDEX(对接源_01水果!$B$4:$B$1203,$AG241)=0,"",INDEX(对接源_01水果!$B$4:$B$1203,$AG241)),IF(INDEX(对接源_02物料!$B$4:$B$1203,$AG241-1200)=0,"",INDEX(对接源_02物料!$B$4:$B$1203,$AG241-1200))))</f>
        <v>46276</v>
      </c>
      <c r="B241" s="46" t="str">
        <f aca="false">IF($AG241="","",IF($AG241&lt;=1200,IF(INDEX(对接源_01水果!$E$4:$E$1203,$AG241)=0,"",INDEX(对接源_01水果!$E$4:$E$1203,$AG241)),IF(INDEX(对接源_02物料!$E$4:$E$1203,$AG241-1200)=0,"",INDEX(对接源_02物料!$E$4:$E$1203,$AG241-1200))))</f>
        <v>NO:0001119</v>
      </c>
      <c r="C241" s="46" t="str">
        <f aca="false">IF($AG241="","",IF($AG241&lt;=1200,IF(INDEX(对接源_01水果!$F$4:$F$1203,$AG241)=0,"",INDEX(对接源_01水果!$F$4:$F$1203,$AG241)),IF(INDEX(对接源_02物料!$F$4:$F$1203,$AG241-1200)=0,"",INDEX(对接源_02物料!$F$4:$F$1203,$AG241-1200))))</f>
        <v>苹果</v>
      </c>
      <c r="D241" s="46" t="str">
        <f aca="false">IF($AG241="","",IF($AG241&lt;=1200,IF(INDEX(对接源_01水果!$G$4:$G$1203,$AG241)=0,"",INDEX(对接源_01水果!$G$4:$G$1203,$AG241)),IF(INDEX(对接源_02物料!$G$4:$G$1203,$AG241-1200)=0,"",INDEX(对接源_02物料!$G$4:$G$1203,$AG241-1200))))</f>
        <v>华硕一级</v>
      </c>
      <c r="E241" s="48" t="n">
        <f aca="false">IF($AG241="","",IF($AG241&lt;=1200,IF(INDEX(对接源_01水果!$H$4:$H$1203,$AG241)=0,"",INDEX(对接源_01水果!$H$4:$H$1203,$AG241)),IF(INDEX(对接源_02物料!$H$4:$H$1203,$AG241-1200)=0,"",INDEX(对接源_02物料!$H$4:$H$1203,$AG241-1200))))</f>
        <v>228</v>
      </c>
      <c r="F241" s="46" t="str">
        <f aca="false">IF($AG241="","",IF($AG241&lt;=1200,IF(INDEX(对接源_01水果!$I$4:$I$1203,$AG241)=0,"",INDEX(对接源_01水果!$I$4:$I$1203,$AG241)),IF(INDEX(对接源_02物料!$I$4:$I$1203,$AG241-1200)=0,"",INDEX(对接源_02物料!$I$4:$I$1203,$AG241-1200))))</f>
        <v>箱</v>
      </c>
      <c r="G241" s="56" t="n">
        <f aca="false">IF($AG241="","",IF($AG241&lt;=1200,IF(INDEX(对接源_01水果!$J$4:$J$1203,$AG241)=0,"",INDEX(对接源_01水果!$J$4:$J$1203,$AG241)),IF(INDEX(对接源_02物料!$J$4:$J$1203,$AG241-1200)=0,"",INDEX(对接源_02物料!$J$4:$J$1203,$AG241-1200))))</f>
        <v>1162.8</v>
      </c>
      <c r="H241" s="56" t="str">
        <f aca="false">IF($AG241="","",IF($AG241&lt;=1200,IF(INDEX(对接源_01水果!$K$4:$K$1203,$AG241)=0,"",INDEX(对接源_01水果!$K$4:$K$1203,$AG241)),IF(INDEX(对接源_02物料!$K$4:$K$1203,$AG241-1200)=0,"",INDEX(对接源_02物料!$K$4:$K$1203,$AG241-1200))))</f>
        <v/>
      </c>
      <c r="I241" s="46" t="str">
        <f aca="false">IF($AG241="","",IF($AG241&lt;=1200,IF(INDEX(对接源_01水果!$L$4:$L$1203,$AG241)=0,"",INDEX(对接源_01水果!$L$4:$L$1203,$AG241)),IF(INDEX(对接源_02物料!$L$4:$L$1203,$AG241-1200)=0,"",INDEX(对接源_02物料!$L$4:$L$1203,$AG241-1200))))</f>
        <v/>
      </c>
      <c r="J241" s="47" t="str">
        <f aca="false">IF($AG241="","",IF($AG241&lt;=1200,IF(INDEX(对接源_01水果!$M$4:$M$1203,$AG241)=0,"",INDEX(对接源_01水果!$M$4:$M$1203,$AG241)),IF(INDEX(对接源_02物料!$M$4:$M$1203,$AG241-1200)=0,"",INDEX(对接源_02物料!$M$4:$M$1203,$AG241-1200))))</f>
        <v/>
      </c>
      <c r="AG241" s="44" t="n">
        <f aca="false">IFERROR(MATCH(30,_自动清单!$AE$4:$AE$2403,0),"")</f>
        <v>303</v>
      </c>
    </row>
    <row r="242" customFormat="false" ht="18" hidden="false" customHeight="true" outlineLevel="0" collapsed="false">
      <c r="A242" s="40" t="n">
        <f aca="false">IF($AG242="","",IF($AG242&lt;=1200,IF(INDEX(对接源_01水果!$B$4:$B$1203,$AG242)=0,"",INDEX(对接源_01水果!$B$4:$B$1203,$AG242)),IF(INDEX(对接源_02物料!$B$4:$B$1203,$AG242-1200)=0,"",INDEX(对接源_02物料!$B$4:$B$1203,$AG242-1200))))</f>
        <v>46276</v>
      </c>
      <c r="B242" s="41" t="str">
        <f aca="false">IF($AG242="","",IF($AG242&lt;=1200,IF(INDEX(对接源_01水果!$E$4:$E$1203,$AG242)=0,"",INDEX(对接源_01水果!$E$4:$E$1203,$AG242)),IF(INDEX(对接源_02物料!$E$4:$E$1203,$AG242-1200)=0,"",INDEX(对接源_02物料!$E$4:$E$1203,$AG242-1200))))</f>
        <v>NO:0001119</v>
      </c>
      <c r="C242" s="41" t="str">
        <f aca="false">IF($AG242="","",IF($AG242&lt;=1200,IF(INDEX(对接源_01水果!$F$4:$F$1203,$AG242)=0,"",INDEX(对接源_01水果!$F$4:$F$1203,$AG242)),IF(INDEX(对接源_02物料!$F$4:$F$1203,$AG242-1200)=0,"",INDEX(对接源_02物料!$F$4:$F$1203,$AG242-1200))))</f>
        <v>苹果</v>
      </c>
      <c r="D242" s="41" t="str">
        <f aca="false">IF($AG242="","",IF($AG242&lt;=1200,IF(INDEX(对接源_01水果!$G$4:$G$1203,$AG242)=0,"",INDEX(对接源_01水果!$G$4:$G$1203,$AG242)),IF(INDEX(对接源_02物料!$G$4:$G$1203,$AG242-1200)=0,"",INDEX(对接源_02物料!$G$4:$G$1203,$AG242-1200))))</f>
        <v>华硕一级</v>
      </c>
      <c r="E242" s="43" t="n">
        <f aca="false">IF($AG242="","",IF($AG242&lt;=1200,IF(INDEX(对接源_01水果!$H$4:$H$1203,$AG242)=0,"",INDEX(对接源_01水果!$H$4:$H$1203,$AG242)),IF(INDEX(对接源_02物料!$H$4:$H$1203,$AG242-1200)=0,"",INDEX(对接源_02物料!$H$4:$H$1203,$AG242-1200))))</f>
        <v>6</v>
      </c>
      <c r="F242" s="41" t="str">
        <f aca="false">IF($AG242="","",IF($AG242&lt;=1200,IF(INDEX(对接源_01水果!$I$4:$I$1203,$AG242)=0,"",INDEX(对接源_01水果!$I$4:$I$1203,$AG242)),IF(INDEX(对接源_02物料!$I$4:$I$1203,$AG242-1200)=0,"",INDEX(对接源_02物料!$I$4:$I$1203,$AG242-1200))))</f>
        <v>箱</v>
      </c>
      <c r="G242" s="55" t="n">
        <f aca="false">IF($AG242="","",IF($AG242&lt;=1200,IF(INDEX(对接源_01水果!$J$4:$J$1203,$AG242)=0,"",INDEX(对接源_01水果!$J$4:$J$1203,$AG242)),IF(INDEX(对接源_02物料!$J$4:$J$1203,$AG242-1200)=0,"",INDEX(对接源_02物料!$J$4:$J$1203,$AG242-1200))))</f>
        <v>15.6</v>
      </c>
      <c r="H242" s="55" t="str">
        <f aca="false">IF($AG242="","",IF($AG242&lt;=1200,IF(INDEX(对接源_01水果!$K$4:$K$1203,$AG242)=0,"",INDEX(对接源_01水果!$K$4:$K$1203,$AG242)),IF(INDEX(对接源_02物料!$K$4:$K$1203,$AG242-1200)=0,"",INDEX(对接源_02物料!$K$4:$K$1203,$AG242-1200))))</f>
        <v/>
      </c>
      <c r="I242" s="41" t="str">
        <f aca="false">IF($AG242="","",IF($AG242&lt;=1200,IF(INDEX(对接源_01水果!$L$4:$L$1203,$AG242)=0,"",INDEX(对接源_01水果!$L$4:$L$1203,$AG242)),IF(INDEX(对接源_02物料!$L$4:$L$1203,$AG242-1200)=0,"",INDEX(对接源_02物料!$L$4:$L$1203,$AG242-1200))))</f>
        <v/>
      </c>
      <c r="J242" s="42" t="str">
        <f aca="false">IF($AG242="","",IF($AG242&lt;=1200,IF(INDEX(对接源_01水果!$M$4:$M$1203,$AG242)=0,"",INDEX(对接源_01水果!$M$4:$M$1203,$AG242)),IF(INDEX(对接源_02物料!$M$4:$M$1203,$AG242-1200)=0,"",INDEX(对接源_02物料!$M$4:$M$1203,$AG242-1200))))</f>
        <v/>
      </c>
      <c r="AG242" s="44" t="n">
        <f aca="false">IFERROR(MATCH(31,_自动清单!$AE$4:$AE$2403,0),"")</f>
        <v>304</v>
      </c>
    </row>
    <row r="243" customFormat="false" ht="18" hidden="false" customHeight="true" outlineLevel="0" collapsed="false">
      <c r="A243" s="45" t="n">
        <f aca="false">IF($AG243="","",IF($AG243&lt;=1200,IF(INDEX(对接源_01水果!$B$4:$B$1203,$AG243)=0,"",INDEX(对接源_01水果!$B$4:$B$1203,$AG243)),IF(INDEX(对接源_02物料!$B$4:$B$1203,$AG243-1200)=0,"",INDEX(对接源_02物料!$B$4:$B$1203,$AG243-1200))))</f>
        <v>46277</v>
      </c>
      <c r="B243" s="46" t="str">
        <f aca="false">IF($AG243="","",IF($AG243&lt;=1200,IF(INDEX(对接源_01水果!$E$4:$E$1203,$AG243)=0,"",INDEX(对接源_01水果!$E$4:$E$1203,$AG243)),IF(INDEX(对接源_02物料!$E$4:$E$1203,$AG243-1200)=0,"",INDEX(对接源_02物料!$E$4:$E$1203,$AG243-1200))))</f>
        <v>NO:0001124</v>
      </c>
      <c r="C243" s="46" t="str">
        <f aca="false">IF($AG243="","",IF($AG243&lt;=1200,IF(INDEX(对接源_01水果!$F$4:$F$1203,$AG243)=0,"",INDEX(对接源_01水果!$F$4:$F$1203,$AG243)),IF(INDEX(对接源_02物料!$F$4:$F$1203,$AG243-1200)=0,"",INDEX(对接源_02物料!$F$4:$F$1203,$AG243-1200))))</f>
        <v>苹果</v>
      </c>
      <c r="D243" s="46" t="str">
        <f aca="false">IF($AG243="","",IF($AG243&lt;=1200,IF(INDEX(对接源_01水果!$G$4:$G$1203,$AG243)=0,"",INDEX(对接源_01水果!$G$4:$G$1203,$AG243)),IF(INDEX(对接源_02物料!$G$4:$G$1203,$AG243-1200)=0,"",INDEX(对接源_02物料!$G$4:$G$1203,$AG243-1200))))</f>
        <v>华硕一级</v>
      </c>
      <c r="E243" s="48" t="n">
        <f aca="false">IF($AG243="","",IF($AG243&lt;=1200,IF(INDEX(对接源_01水果!$H$4:$H$1203,$AG243)=0,"",INDEX(对接源_01水果!$H$4:$H$1203,$AG243)),IF(INDEX(对接源_02物料!$H$4:$H$1203,$AG243-1200)=0,"",INDEX(对接源_02物料!$H$4:$H$1203,$AG243-1200))))</f>
        <v>220</v>
      </c>
      <c r="F243" s="46" t="str">
        <f aca="false">IF($AG243="","",IF($AG243&lt;=1200,IF(INDEX(对接源_01水果!$I$4:$I$1203,$AG243)=0,"",INDEX(对接源_01水果!$I$4:$I$1203,$AG243)),IF(INDEX(对接源_02物料!$I$4:$I$1203,$AG243-1200)=0,"",INDEX(对接源_02物料!$I$4:$I$1203,$AG243-1200))))</f>
        <v>箱</v>
      </c>
      <c r="G243" s="56" t="n">
        <f aca="false">IF($AG243="","",IF($AG243&lt;=1200,IF(INDEX(对接源_01水果!$J$4:$J$1203,$AG243)=0,"",INDEX(对接源_01水果!$J$4:$J$1203,$AG243)),IF(INDEX(对接源_02物料!$J$4:$J$1203,$AG243-1200)=0,"",INDEX(对接源_02物料!$J$4:$J$1203,$AG243-1200))))</f>
        <v>1122</v>
      </c>
      <c r="H243" s="56" t="str">
        <f aca="false">IF($AG243="","",IF($AG243&lt;=1200,IF(INDEX(对接源_01水果!$K$4:$K$1203,$AG243)=0,"",INDEX(对接源_01水果!$K$4:$K$1203,$AG243)),IF(INDEX(对接源_02物料!$K$4:$K$1203,$AG243-1200)=0,"",INDEX(对接源_02物料!$K$4:$K$1203,$AG243-1200))))</f>
        <v/>
      </c>
      <c r="I243" s="46" t="str">
        <f aca="false">IF($AG243="","",IF($AG243&lt;=1200,IF(INDEX(对接源_01水果!$L$4:$L$1203,$AG243)=0,"",INDEX(对接源_01水果!$L$4:$L$1203,$AG243)),IF(INDEX(对接源_02物料!$L$4:$L$1203,$AG243-1200)=0,"",INDEX(对接源_02物料!$L$4:$L$1203,$AG243-1200))))</f>
        <v/>
      </c>
      <c r="J243" s="47" t="str">
        <f aca="false">IF($AG243="","",IF($AG243&lt;=1200,IF(INDEX(对接源_01水果!$M$4:$M$1203,$AG243)=0,"",INDEX(对接源_01水果!$M$4:$M$1203,$AG243)),IF(INDEX(对接源_02物料!$M$4:$M$1203,$AG243-1200)=0,"",INDEX(对接源_02物料!$M$4:$M$1203,$AG243-1200))))</f>
        <v/>
      </c>
      <c r="AG243" s="44" t="n">
        <f aca="false">IFERROR(MATCH(32,_自动清单!$AE$4:$AE$2403,0),"")</f>
        <v>305</v>
      </c>
    </row>
    <row r="244" customFormat="false" ht="18" hidden="false" customHeight="true" outlineLevel="0" collapsed="false">
      <c r="A244" s="40" t="n">
        <f aca="false">IF($AG244="","",IF($AG244&lt;=1200,IF(INDEX(对接源_01水果!$B$4:$B$1203,$AG244)=0,"",INDEX(对接源_01水果!$B$4:$B$1203,$AG244)),IF(INDEX(对接源_02物料!$B$4:$B$1203,$AG244-1200)=0,"",INDEX(对接源_02物料!$B$4:$B$1203,$AG244-1200))))</f>
        <v>46277</v>
      </c>
      <c r="B244" s="41" t="str">
        <f aca="false">IF($AG244="","",IF($AG244&lt;=1200,IF(INDEX(对接源_01水果!$E$4:$E$1203,$AG244)=0,"",INDEX(对接源_01水果!$E$4:$E$1203,$AG244)),IF(INDEX(对接源_02物料!$E$4:$E$1203,$AG244-1200)=0,"",INDEX(对接源_02物料!$E$4:$E$1203,$AG244-1200))))</f>
        <v>NO:0001124</v>
      </c>
      <c r="C244" s="41" t="str">
        <f aca="false">IF($AG244="","",IF($AG244&lt;=1200,IF(INDEX(对接源_01水果!$F$4:$F$1203,$AG244)=0,"",INDEX(对接源_01水果!$F$4:$F$1203,$AG244)),IF(INDEX(对接源_02物料!$F$4:$F$1203,$AG244-1200)=0,"",INDEX(对接源_02物料!$F$4:$F$1203,$AG244-1200))))</f>
        <v>苹果</v>
      </c>
      <c r="D244" s="41" t="str">
        <f aca="false">IF($AG244="","",IF($AG244&lt;=1200,IF(INDEX(对接源_01水果!$G$4:$G$1203,$AG244)=0,"",INDEX(对接源_01水果!$G$4:$G$1203,$AG244)),IF(INDEX(对接源_02物料!$G$4:$G$1203,$AG244-1200)=0,"",INDEX(对接源_02物料!$G$4:$G$1203,$AG244-1200))))</f>
        <v>华硕一级</v>
      </c>
      <c r="E244" s="43" t="n">
        <f aca="false">IF($AG244="","",IF($AG244&lt;=1200,IF(INDEX(对接源_01水果!$H$4:$H$1203,$AG244)=0,"",INDEX(对接源_01水果!$H$4:$H$1203,$AG244)),IF(INDEX(对接源_02物料!$H$4:$H$1203,$AG244-1200)=0,"",INDEX(对接源_02物料!$H$4:$H$1203,$AG244-1200))))</f>
        <v>3</v>
      </c>
      <c r="F244" s="41" t="str">
        <f aca="false">IF($AG244="","",IF($AG244&lt;=1200,IF(INDEX(对接源_01水果!$I$4:$I$1203,$AG244)=0,"",INDEX(对接源_01水果!$I$4:$I$1203,$AG244)),IF(INDEX(对接源_02物料!$I$4:$I$1203,$AG244-1200)=0,"",INDEX(对接源_02物料!$I$4:$I$1203,$AG244-1200))))</f>
        <v>箱</v>
      </c>
      <c r="G244" s="55" t="n">
        <f aca="false">IF($AG244="","",IF($AG244&lt;=1200,IF(INDEX(对接源_01水果!$J$4:$J$1203,$AG244)=0,"",INDEX(对接源_01水果!$J$4:$J$1203,$AG244)),IF(INDEX(对接源_02物料!$J$4:$J$1203,$AG244-1200)=0,"",INDEX(对接源_02物料!$J$4:$J$1203,$AG244-1200))))</f>
        <v>7.8</v>
      </c>
      <c r="H244" s="55" t="str">
        <f aca="false">IF($AG244="","",IF($AG244&lt;=1200,IF(INDEX(对接源_01水果!$K$4:$K$1203,$AG244)=0,"",INDEX(对接源_01水果!$K$4:$K$1203,$AG244)),IF(INDEX(对接源_02物料!$K$4:$K$1203,$AG244-1200)=0,"",INDEX(对接源_02物料!$K$4:$K$1203,$AG244-1200))))</f>
        <v/>
      </c>
      <c r="I244" s="41" t="str">
        <f aca="false">IF($AG244="","",IF($AG244&lt;=1200,IF(INDEX(对接源_01水果!$L$4:$L$1203,$AG244)=0,"",INDEX(对接源_01水果!$L$4:$L$1203,$AG244)),IF(INDEX(对接源_02物料!$L$4:$L$1203,$AG244-1200)=0,"",INDEX(对接源_02物料!$L$4:$L$1203,$AG244-1200))))</f>
        <v/>
      </c>
      <c r="J244" s="42" t="str">
        <f aca="false">IF($AG244="","",IF($AG244&lt;=1200,IF(INDEX(对接源_01水果!$M$4:$M$1203,$AG244)=0,"",INDEX(对接源_01水果!$M$4:$M$1203,$AG244)),IF(INDEX(对接源_02物料!$M$4:$M$1203,$AG244-1200)=0,"",INDEX(对接源_02物料!$M$4:$M$1203,$AG244-1200))))</f>
        <v/>
      </c>
      <c r="AG244" s="44" t="n">
        <f aca="false">IFERROR(MATCH(33,_自动清单!$AE$4:$AE$2403,0),"")</f>
        <v>306</v>
      </c>
    </row>
    <row r="245" customFormat="false" ht="18" hidden="false" customHeight="true" outlineLevel="0" collapsed="false">
      <c r="A245" s="45" t="n">
        <f aca="false">IF($AG245="","",IF($AG245&lt;=1200,IF(INDEX(对接源_01水果!$B$4:$B$1203,$AG245)=0,"",INDEX(对接源_01水果!$B$4:$B$1203,$AG245)),IF(INDEX(对接源_02物料!$B$4:$B$1203,$AG245-1200)=0,"",INDEX(对接源_02物料!$B$4:$B$1203,$AG245-1200))))</f>
        <v>46277</v>
      </c>
      <c r="B245" s="46" t="str">
        <f aca="false">IF($AG245="","",IF($AG245&lt;=1200,IF(INDEX(对接源_01水果!$E$4:$E$1203,$AG245)=0,"",INDEX(对接源_01水果!$E$4:$E$1203,$AG245)),IF(INDEX(对接源_02物料!$E$4:$E$1203,$AG245-1200)=0,"",INDEX(对接源_02物料!$E$4:$E$1203,$AG245-1200))))</f>
        <v>NO:0001124</v>
      </c>
      <c r="C245" s="46" t="str">
        <f aca="false">IF($AG245="","",IF($AG245&lt;=1200,IF(INDEX(对接源_01水果!$F$4:$F$1203,$AG245)=0,"",INDEX(对接源_01水果!$F$4:$F$1203,$AG245)),IF(INDEX(对接源_02物料!$F$4:$F$1203,$AG245-1200)=0,"",INDEX(对接源_02物料!$F$4:$F$1203,$AG245-1200))))</f>
        <v>香梨</v>
      </c>
      <c r="D245" s="46" t="str">
        <f aca="false">IF($AG245="","",IF($AG245&lt;=1200,IF(INDEX(对接源_01水果!$G$4:$G$1203,$AG245)=0,"",INDEX(对接源_01水果!$G$4:$G$1203,$AG245)),IF(INDEX(对接源_02物料!$G$4:$G$1203,$AG245-1200)=0,"",INDEX(对接源_02物料!$G$4:$G$1203,$AG245-1200))))</f>
        <v>香梨一级</v>
      </c>
      <c r="E245" s="48" t="n">
        <f aca="false">IF($AG245="","",IF($AG245&lt;=1200,IF(INDEX(对接源_01水果!$H$4:$H$1203,$AG245)=0,"",INDEX(对接源_01水果!$H$4:$H$1203,$AG245)),IF(INDEX(对接源_02物料!$H$4:$H$1203,$AG245-1200)=0,"",INDEX(对接源_02物料!$H$4:$H$1203,$AG245-1200))))</f>
        <v>7</v>
      </c>
      <c r="F245" s="46" t="str">
        <f aca="false">IF($AG245="","",IF($AG245&lt;=1200,IF(INDEX(对接源_01水果!$I$4:$I$1203,$AG245)=0,"",INDEX(对接源_01水果!$I$4:$I$1203,$AG245)),IF(INDEX(对接源_02物料!$I$4:$I$1203,$AG245-1200)=0,"",INDEX(对接源_02物料!$I$4:$I$1203,$AG245-1200))))</f>
        <v>箱</v>
      </c>
      <c r="G245" s="56" t="n">
        <f aca="false">IF($AG245="","",IF($AG245&lt;=1200,IF(INDEX(对接源_01水果!$J$4:$J$1203,$AG245)=0,"",INDEX(对接源_01水果!$J$4:$J$1203,$AG245)),IF(INDEX(对接源_02物料!$J$4:$J$1203,$AG245-1200)=0,"",INDEX(对接源_02物料!$J$4:$J$1203,$AG245-1200))))</f>
        <v>35.7</v>
      </c>
      <c r="H245" s="56" t="str">
        <f aca="false">IF($AG245="","",IF($AG245&lt;=1200,IF(INDEX(对接源_01水果!$K$4:$K$1203,$AG245)=0,"",INDEX(对接源_01水果!$K$4:$K$1203,$AG245)),IF(INDEX(对接源_02物料!$K$4:$K$1203,$AG245-1200)=0,"",INDEX(对接源_02物料!$K$4:$K$1203,$AG245-1200))))</f>
        <v/>
      </c>
      <c r="I245" s="46" t="str">
        <f aca="false">IF($AG245="","",IF($AG245&lt;=1200,IF(INDEX(对接源_01水果!$L$4:$L$1203,$AG245)=0,"",INDEX(对接源_01水果!$L$4:$L$1203,$AG245)),IF(INDEX(对接源_02物料!$L$4:$L$1203,$AG245-1200)=0,"",INDEX(对接源_02物料!$L$4:$L$1203,$AG245-1200))))</f>
        <v/>
      </c>
      <c r="J245" s="47" t="str">
        <f aca="false">IF($AG245="","",IF($AG245&lt;=1200,IF(INDEX(对接源_01水果!$M$4:$M$1203,$AG245)=0,"",INDEX(对接源_01水果!$M$4:$M$1203,$AG245)),IF(INDEX(对接源_02物料!$M$4:$M$1203,$AG245-1200)=0,"",INDEX(对接源_02物料!$M$4:$M$1203,$AG245-1200))))</f>
        <v/>
      </c>
      <c r="AG245" s="44" t="n">
        <f aca="false">IFERROR(MATCH(34,_自动清单!$AE$4:$AE$2403,0),"")</f>
        <v>307</v>
      </c>
    </row>
    <row r="246" customFormat="false" ht="18" hidden="false" customHeight="true" outlineLevel="0" collapsed="false">
      <c r="A246" s="40" t="n">
        <f aca="false">IF($AG246="","",IF($AG246&lt;=1200,IF(INDEX(对接源_01水果!$B$4:$B$1203,$AG246)=0,"",INDEX(对接源_01水果!$B$4:$B$1203,$AG246)),IF(INDEX(对接源_02物料!$B$4:$B$1203,$AG246-1200)=0,"",INDEX(对接源_02物料!$B$4:$B$1203,$AG246-1200))))</f>
        <v>46278</v>
      </c>
      <c r="B246" s="41" t="str">
        <f aca="false">IF($AG246="","",IF($AG246&lt;=1200,IF(INDEX(对接源_01水果!$E$4:$E$1203,$AG246)=0,"",INDEX(对接源_01水果!$E$4:$E$1203,$AG246)),IF(INDEX(对接源_02物料!$E$4:$E$1203,$AG246-1200)=0,"",INDEX(对接源_02物料!$E$4:$E$1203,$AG246-1200))))</f>
        <v>NO:0001134</v>
      </c>
      <c r="C246" s="41" t="str">
        <f aca="false">IF($AG246="","",IF($AG246&lt;=1200,IF(INDEX(对接源_01水果!$F$4:$F$1203,$AG246)=0,"",INDEX(对接源_01水果!$F$4:$F$1203,$AG246)),IF(INDEX(对接源_02物料!$F$4:$F$1203,$AG246-1200)=0,"",INDEX(对接源_02物料!$F$4:$F$1203,$AG246-1200))))</f>
        <v>苹果</v>
      </c>
      <c r="D246" s="41" t="str">
        <f aca="false">IF($AG246="","",IF($AG246&lt;=1200,IF(INDEX(对接源_01水果!$G$4:$G$1203,$AG246)=0,"",INDEX(对接源_01水果!$G$4:$G$1203,$AG246)),IF(INDEX(对接源_02物料!$G$4:$G$1203,$AG246-1200)=0,"",INDEX(对接源_02物料!$G$4:$G$1203,$AG246-1200))))</f>
        <v>苹果扎伤</v>
      </c>
      <c r="E246" s="43" t="n">
        <f aca="false">IF($AG246="","",IF($AG246&lt;=1200,IF(INDEX(对接源_01水果!$H$4:$H$1203,$AG246)=0,"",INDEX(对接源_01水果!$H$4:$H$1203,$AG246)),IF(INDEX(对接源_02物料!$H$4:$H$1203,$AG246-1200)=0,"",INDEX(对接源_02物料!$H$4:$H$1203,$AG246-1200))))</f>
        <v>60</v>
      </c>
      <c r="F246" s="41" t="str">
        <f aca="false">IF($AG246="","",IF($AG246&lt;=1200,IF(INDEX(对接源_01水果!$I$4:$I$1203,$AG246)=0,"",INDEX(对接源_01水果!$I$4:$I$1203,$AG246)),IF(INDEX(对接源_02物料!$I$4:$I$1203,$AG246-1200)=0,"",INDEX(对接源_02物料!$I$4:$I$1203,$AG246-1200))))</f>
        <v>箱</v>
      </c>
      <c r="G246" s="55" t="n">
        <f aca="false">IF($AG246="","",IF($AG246&lt;=1200,IF(INDEX(对接源_01水果!$J$4:$J$1203,$AG246)=0,"",INDEX(对接源_01水果!$J$4:$J$1203,$AG246)),IF(INDEX(对接源_02物料!$J$4:$J$1203,$AG246-1200)=0,"",INDEX(对接源_02物料!$J$4:$J$1203,$AG246-1200))))</f>
        <v>979.8</v>
      </c>
      <c r="H246" s="55" t="str">
        <f aca="false">IF($AG246="","",IF($AG246&lt;=1200,IF(INDEX(对接源_01水果!$K$4:$K$1203,$AG246)=0,"",INDEX(对接源_01水果!$K$4:$K$1203,$AG246)),IF(INDEX(对接源_02物料!$K$4:$K$1203,$AG246-1200)=0,"",INDEX(对接源_02物料!$K$4:$K$1203,$AG246-1200))))</f>
        <v/>
      </c>
      <c r="I246" s="41" t="str">
        <f aca="false">IF($AG246="","",IF($AG246&lt;=1200,IF(INDEX(对接源_01水果!$L$4:$L$1203,$AG246)=0,"",INDEX(对接源_01水果!$L$4:$L$1203,$AG246)),IF(INDEX(对接源_02物料!$L$4:$L$1203,$AG246-1200)=0,"",INDEX(对接源_02物料!$L$4:$L$1203,$AG246-1200))))</f>
        <v/>
      </c>
      <c r="J246" s="42" t="str">
        <f aca="false">IF($AG246="","",IF($AG246&lt;=1200,IF(INDEX(对接源_01水果!$M$4:$M$1203,$AG246)=0,"",INDEX(对接源_01水果!$M$4:$M$1203,$AG246)),IF(INDEX(对接源_02物料!$M$4:$M$1203,$AG246-1200)=0,"",INDEX(对接源_02物料!$M$4:$M$1203,$AG246-1200))))</f>
        <v/>
      </c>
      <c r="AG246" s="44" t="n">
        <f aca="false">IFERROR(MATCH(35,_自动清单!$AE$4:$AE$2403,0),"")</f>
        <v>308</v>
      </c>
    </row>
    <row r="247" customFormat="false" ht="18" hidden="false" customHeight="true" outlineLevel="0" collapsed="false">
      <c r="A247" s="45" t="n">
        <f aca="false">IF($AG247="","",IF($AG247&lt;=1200,IF(INDEX(对接源_01水果!$B$4:$B$1203,$AG247)=0,"",INDEX(对接源_01水果!$B$4:$B$1203,$AG247)),IF(INDEX(对接源_02物料!$B$4:$B$1203,$AG247-1200)=0,"",INDEX(对接源_02物料!$B$4:$B$1203,$AG247-1200))))</f>
        <v>46278</v>
      </c>
      <c r="B247" s="46" t="str">
        <f aca="false">IF($AG247="","",IF($AG247&lt;=1200,IF(INDEX(对接源_01水果!$E$4:$E$1203,$AG247)=0,"",INDEX(对接源_01水果!$E$4:$E$1203,$AG247)),IF(INDEX(对接源_02物料!$E$4:$E$1203,$AG247-1200)=0,"",INDEX(对接源_02物料!$E$4:$E$1203,$AG247-1200))))</f>
        <v>NO:0001136</v>
      </c>
      <c r="C247" s="46" t="str">
        <f aca="false">IF($AG247="","",IF($AG247&lt;=1200,IF(INDEX(对接源_01水果!$F$4:$F$1203,$AG247)=0,"",INDEX(对接源_01水果!$F$4:$F$1203,$AG247)),IF(INDEX(对接源_02物料!$F$4:$F$1203,$AG247-1200)=0,"",INDEX(对接源_02物料!$F$4:$F$1203,$AG247-1200))))</f>
        <v>苹果</v>
      </c>
      <c r="D247" s="46" t="str">
        <f aca="false">IF($AG247="","",IF($AG247&lt;=1200,IF(INDEX(对接源_01水果!$G$4:$G$1203,$AG247)=0,"",INDEX(对接源_01水果!$G$4:$G$1203,$AG247)),IF(INDEX(对接源_02物料!$G$4:$G$1203,$AG247-1200)=0,"",INDEX(对接源_02物料!$G$4:$G$1203,$AG247-1200))))</f>
        <v>华硕一级</v>
      </c>
      <c r="E247" s="48" t="n">
        <f aca="false">IF($AG247="","",IF($AG247&lt;=1200,IF(INDEX(对接源_01水果!$H$4:$H$1203,$AG247)=0,"",INDEX(对接源_01水果!$H$4:$H$1203,$AG247)),IF(INDEX(对接源_02物料!$H$4:$H$1203,$AG247-1200)=0,"",INDEX(对接源_02物料!$H$4:$H$1203,$AG247-1200))))</f>
        <v>151</v>
      </c>
      <c r="F247" s="46" t="str">
        <f aca="false">IF($AG247="","",IF($AG247&lt;=1200,IF(INDEX(对接源_01水果!$I$4:$I$1203,$AG247)=0,"",INDEX(对接源_01水果!$I$4:$I$1203,$AG247)),IF(INDEX(对接源_02物料!$I$4:$I$1203,$AG247-1200)=0,"",INDEX(对接源_02物料!$I$4:$I$1203,$AG247-1200))))</f>
        <v>箱</v>
      </c>
      <c r="G247" s="56" t="n">
        <f aca="false">IF($AG247="","",IF($AG247&lt;=1200,IF(INDEX(对接源_01水果!$J$4:$J$1203,$AG247)=0,"",INDEX(对接源_01水果!$J$4:$J$1203,$AG247)),IF(INDEX(对接源_02物料!$J$4:$J$1203,$AG247-1200)=0,"",INDEX(对接源_02物料!$J$4:$J$1203,$AG247-1200))))</f>
        <v>770.1</v>
      </c>
      <c r="H247" s="56" t="str">
        <f aca="false">IF($AG247="","",IF($AG247&lt;=1200,IF(INDEX(对接源_01水果!$K$4:$K$1203,$AG247)=0,"",INDEX(对接源_01水果!$K$4:$K$1203,$AG247)),IF(INDEX(对接源_02物料!$K$4:$K$1203,$AG247-1200)=0,"",INDEX(对接源_02物料!$K$4:$K$1203,$AG247-1200))))</f>
        <v/>
      </c>
      <c r="I247" s="46" t="str">
        <f aca="false">IF($AG247="","",IF($AG247&lt;=1200,IF(INDEX(对接源_01水果!$L$4:$L$1203,$AG247)=0,"",INDEX(对接源_01水果!$L$4:$L$1203,$AG247)),IF(INDEX(对接源_02物料!$L$4:$L$1203,$AG247-1200)=0,"",INDEX(对接源_02物料!$L$4:$L$1203,$AG247-1200))))</f>
        <v/>
      </c>
      <c r="J247" s="47" t="str">
        <f aca="false">IF($AG247="","",IF($AG247&lt;=1200,IF(INDEX(对接源_01水果!$M$4:$M$1203,$AG247)=0,"",INDEX(对接源_01水果!$M$4:$M$1203,$AG247)),IF(INDEX(对接源_02物料!$M$4:$M$1203,$AG247-1200)=0,"",INDEX(对接源_02物料!$M$4:$M$1203,$AG247-1200))))</f>
        <v/>
      </c>
      <c r="AG247" s="44" t="n">
        <f aca="false">IFERROR(MATCH(36,_自动清单!$AE$4:$AE$2403,0),"")</f>
        <v>309</v>
      </c>
    </row>
    <row r="248" customFormat="false" ht="18" hidden="false" customHeight="true" outlineLevel="0" collapsed="false">
      <c r="A248" s="40" t="n">
        <f aca="false">IF($AG248="","",IF($AG248&lt;=1200,IF(INDEX(对接源_01水果!$B$4:$B$1203,$AG248)=0,"",INDEX(对接源_01水果!$B$4:$B$1203,$AG248)),IF(INDEX(对接源_02物料!$B$4:$B$1203,$AG248-1200)=0,"",INDEX(对接源_02物料!$B$4:$B$1203,$AG248-1200))))</f>
        <v>46278</v>
      </c>
      <c r="B248" s="41" t="str">
        <f aca="false">IF($AG248="","",IF($AG248&lt;=1200,IF(INDEX(对接源_01水果!$E$4:$E$1203,$AG248)=0,"",INDEX(对接源_01水果!$E$4:$E$1203,$AG248)),IF(INDEX(对接源_02物料!$E$4:$E$1203,$AG248-1200)=0,"",INDEX(对接源_02物料!$E$4:$E$1203,$AG248-1200))))</f>
        <v>NO:0001136</v>
      </c>
      <c r="C248" s="41" t="str">
        <f aca="false">IF($AG248="","",IF($AG248&lt;=1200,IF(INDEX(对接源_01水果!$F$4:$F$1203,$AG248)=0,"",INDEX(对接源_01水果!$F$4:$F$1203,$AG248)),IF(INDEX(对接源_02物料!$F$4:$F$1203,$AG248-1200)=0,"",INDEX(对接源_02物料!$F$4:$F$1203,$AG248-1200))))</f>
        <v>苹果</v>
      </c>
      <c r="D248" s="41" t="str">
        <f aca="false">IF($AG248="","",IF($AG248&lt;=1200,IF(INDEX(对接源_01水果!$G$4:$G$1203,$AG248)=0,"",INDEX(对接源_01水果!$G$4:$G$1203,$AG248)),IF(INDEX(对接源_02物料!$G$4:$G$1203,$AG248-1200)=0,"",INDEX(对接源_02物料!$G$4:$G$1203,$AG248-1200))))</f>
        <v>华硕一级</v>
      </c>
      <c r="E248" s="43" t="n">
        <f aca="false">IF($AG248="","",IF($AG248&lt;=1200,IF(INDEX(对接源_01水果!$H$4:$H$1203,$AG248)=0,"",INDEX(对接源_01水果!$H$4:$H$1203,$AG248)),IF(INDEX(对接源_02物料!$H$4:$H$1203,$AG248-1200)=0,"",INDEX(对接源_02物料!$H$4:$H$1203,$AG248-1200))))</f>
        <v>11</v>
      </c>
      <c r="F248" s="41" t="str">
        <f aca="false">IF($AG248="","",IF($AG248&lt;=1200,IF(INDEX(对接源_01水果!$I$4:$I$1203,$AG248)=0,"",INDEX(对接源_01水果!$I$4:$I$1203,$AG248)),IF(INDEX(对接源_02物料!$I$4:$I$1203,$AG248-1200)=0,"",INDEX(对接源_02物料!$I$4:$I$1203,$AG248-1200))))</f>
        <v>箱</v>
      </c>
      <c r="G248" s="55" t="n">
        <f aca="false">IF($AG248="","",IF($AG248&lt;=1200,IF(INDEX(对接源_01水果!$J$4:$J$1203,$AG248)=0,"",INDEX(对接源_01水果!$J$4:$J$1203,$AG248)),IF(INDEX(对接源_02物料!$J$4:$J$1203,$AG248-1200)=0,"",INDEX(对接源_02物料!$J$4:$J$1203,$AG248-1200))))</f>
        <v>28.6</v>
      </c>
      <c r="H248" s="55" t="str">
        <f aca="false">IF($AG248="","",IF($AG248&lt;=1200,IF(INDEX(对接源_01水果!$K$4:$K$1203,$AG248)=0,"",INDEX(对接源_01水果!$K$4:$K$1203,$AG248)),IF(INDEX(对接源_02物料!$K$4:$K$1203,$AG248-1200)=0,"",INDEX(对接源_02物料!$K$4:$K$1203,$AG248-1200))))</f>
        <v/>
      </c>
      <c r="I248" s="41" t="str">
        <f aca="false">IF($AG248="","",IF($AG248&lt;=1200,IF(INDEX(对接源_01水果!$L$4:$L$1203,$AG248)=0,"",INDEX(对接源_01水果!$L$4:$L$1203,$AG248)),IF(INDEX(对接源_02物料!$L$4:$L$1203,$AG248-1200)=0,"",INDEX(对接源_02物料!$L$4:$L$1203,$AG248-1200))))</f>
        <v/>
      </c>
      <c r="J248" s="42" t="str">
        <f aca="false">IF($AG248="","",IF($AG248&lt;=1200,IF(INDEX(对接源_01水果!$M$4:$M$1203,$AG248)=0,"",INDEX(对接源_01水果!$M$4:$M$1203,$AG248)),IF(INDEX(对接源_02物料!$M$4:$M$1203,$AG248-1200)=0,"",INDEX(对接源_02物料!$M$4:$M$1203,$AG248-1200))))</f>
        <v/>
      </c>
      <c r="AG248" s="44" t="n">
        <f aca="false">IFERROR(MATCH(37,_自动清单!$AE$4:$AE$2403,0),"")</f>
        <v>310</v>
      </c>
    </row>
    <row r="249" customFormat="false" ht="18" hidden="false" customHeight="true" outlineLevel="0" collapsed="false">
      <c r="A249" s="45" t="n">
        <f aca="false">IF($AG249="","",IF($AG249&lt;=1200,IF(INDEX(对接源_01水果!$B$4:$B$1203,$AG249)=0,"",INDEX(对接源_01水果!$B$4:$B$1203,$AG249)),IF(INDEX(对接源_02物料!$B$4:$B$1203,$AG249-1200)=0,"",INDEX(对接源_02物料!$B$4:$B$1203,$AG249-1200))))</f>
        <v>46278</v>
      </c>
      <c r="B249" s="46" t="str">
        <f aca="false">IF($AG249="","",IF($AG249&lt;=1200,IF(INDEX(对接源_01水果!$E$4:$E$1203,$AG249)=0,"",INDEX(对接源_01水果!$E$4:$E$1203,$AG249)),IF(INDEX(对接源_02物料!$E$4:$E$1203,$AG249-1200)=0,"",INDEX(对接源_02物料!$E$4:$E$1203,$AG249-1200))))</f>
        <v>NO:0001136</v>
      </c>
      <c r="C249" s="46" t="str">
        <f aca="false">IF($AG249="","",IF($AG249&lt;=1200,IF(INDEX(对接源_01水果!$F$4:$F$1203,$AG249)=0,"",INDEX(对接源_01水果!$F$4:$F$1203,$AG249)),IF(INDEX(对接源_02物料!$F$4:$F$1203,$AG249-1200)=0,"",INDEX(对接源_02物料!$F$4:$F$1203,$AG249-1200))))</f>
        <v>香梨</v>
      </c>
      <c r="D249" s="46" t="str">
        <f aca="false">IF($AG249="","",IF($AG249&lt;=1200,IF(INDEX(对接源_01水果!$G$4:$G$1203,$AG249)=0,"",INDEX(对接源_01水果!$G$4:$G$1203,$AG249)),IF(INDEX(对接源_02物料!$G$4:$G$1203,$AG249-1200)=0,"",INDEX(对接源_02物料!$G$4:$G$1203,$AG249-1200))))</f>
        <v>香梨一级</v>
      </c>
      <c r="E249" s="48" t="n">
        <f aca="false">IF($AG249="","",IF($AG249&lt;=1200,IF(INDEX(对接源_01水果!$H$4:$H$1203,$AG249)=0,"",INDEX(对接源_01水果!$H$4:$H$1203,$AG249)),IF(INDEX(对接源_02物料!$H$4:$H$1203,$AG249-1200)=0,"",INDEX(对接源_02物料!$H$4:$H$1203,$AG249-1200))))</f>
        <v>3</v>
      </c>
      <c r="F249" s="46" t="str">
        <f aca="false">IF($AG249="","",IF($AG249&lt;=1200,IF(INDEX(对接源_01水果!$I$4:$I$1203,$AG249)=0,"",INDEX(对接源_01水果!$I$4:$I$1203,$AG249)),IF(INDEX(对接源_02物料!$I$4:$I$1203,$AG249-1200)=0,"",INDEX(对接源_02物料!$I$4:$I$1203,$AG249-1200))))</f>
        <v>箱</v>
      </c>
      <c r="G249" s="56" t="n">
        <f aca="false">IF($AG249="","",IF($AG249&lt;=1200,IF(INDEX(对接源_01水果!$J$4:$J$1203,$AG249)=0,"",INDEX(对接源_01水果!$J$4:$J$1203,$AG249)),IF(INDEX(对接源_02物料!$J$4:$J$1203,$AG249-1200)=0,"",INDEX(对接源_02物料!$J$4:$J$1203,$AG249-1200))))</f>
        <v>15.3</v>
      </c>
      <c r="H249" s="56" t="str">
        <f aca="false">IF($AG249="","",IF($AG249&lt;=1200,IF(INDEX(对接源_01水果!$K$4:$K$1203,$AG249)=0,"",INDEX(对接源_01水果!$K$4:$K$1203,$AG249)),IF(INDEX(对接源_02物料!$K$4:$K$1203,$AG249-1200)=0,"",INDEX(对接源_02物料!$K$4:$K$1203,$AG249-1200))))</f>
        <v/>
      </c>
      <c r="I249" s="46" t="str">
        <f aca="false">IF($AG249="","",IF($AG249&lt;=1200,IF(INDEX(对接源_01水果!$L$4:$L$1203,$AG249)=0,"",INDEX(对接源_01水果!$L$4:$L$1203,$AG249)),IF(INDEX(对接源_02物料!$L$4:$L$1203,$AG249-1200)=0,"",INDEX(对接源_02物料!$L$4:$L$1203,$AG249-1200))))</f>
        <v/>
      </c>
      <c r="J249" s="47" t="str">
        <f aca="false">IF($AG249="","",IF($AG249&lt;=1200,IF(INDEX(对接源_01水果!$M$4:$M$1203,$AG249)=0,"",INDEX(对接源_01水果!$M$4:$M$1203,$AG249)),IF(INDEX(对接源_02物料!$M$4:$M$1203,$AG249-1200)=0,"",INDEX(对接源_02物料!$M$4:$M$1203,$AG249-1200))))</f>
        <v/>
      </c>
      <c r="AG249" s="44" t="n">
        <f aca="false">IFERROR(MATCH(38,_自动清单!$AE$4:$AE$2403,0),"")</f>
        <v>311</v>
      </c>
    </row>
    <row r="250" customFormat="false" ht="18" hidden="false" customHeight="true" outlineLevel="0" collapsed="false">
      <c r="A250" s="40" t="str">
        <f aca="false">IF($AG250="","",IF($AG250&lt;=1200,IF(INDEX(对接源_01水果!$B$4:$B$1203,$AG250)=0,"",INDEX(对接源_01水果!$B$4:$B$1203,$AG250)),IF(INDEX(对接源_02物料!$B$4:$B$1203,$AG250-1200)=0,"",INDEX(对接源_02物料!$B$4:$B$1203,$AG250-1200))))</f>
        <v/>
      </c>
      <c r="B250" s="41" t="str">
        <f aca="false">IF($AG250="","",IF($AG250&lt;=1200,IF(INDEX(对接源_01水果!$E$4:$E$1203,$AG250)=0,"",INDEX(对接源_01水果!$E$4:$E$1203,$AG250)),IF(INDEX(对接源_02物料!$E$4:$E$1203,$AG250-1200)=0,"",INDEX(对接源_02物料!$E$4:$E$1203,$AG250-1200))))</f>
        <v/>
      </c>
      <c r="C250" s="41" t="str">
        <f aca="false">IF($AG250="","",IF($AG250&lt;=1200,IF(INDEX(对接源_01水果!$F$4:$F$1203,$AG250)=0,"",INDEX(对接源_01水果!$F$4:$F$1203,$AG250)),IF(INDEX(对接源_02物料!$F$4:$F$1203,$AG250-1200)=0,"",INDEX(对接源_02物料!$F$4:$F$1203,$AG250-1200))))</f>
        <v/>
      </c>
      <c r="D250" s="41" t="str">
        <f aca="false">IF($AG250="","",IF($AG250&lt;=1200,IF(INDEX(对接源_01水果!$G$4:$G$1203,$AG250)=0,"",INDEX(对接源_01水果!$G$4:$G$1203,$AG250)),IF(INDEX(对接源_02物料!$G$4:$G$1203,$AG250-1200)=0,"",INDEX(对接源_02物料!$G$4:$G$1203,$AG250-1200))))</f>
        <v/>
      </c>
      <c r="E250" s="43" t="str">
        <f aca="false">IF($AG250="","",IF($AG250&lt;=1200,IF(INDEX(对接源_01水果!$H$4:$H$1203,$AG250)=0,"",INDEX(对接源_01水果!$H$4:$H$1203,$AG250)),IF(INDEX(对接源_02物料!$H$4:$H$1203,$AG250-1200)=0,"",INDEX(对接源_02物料!$H$4:$H$1203,$AG250-1200))))</f>
        <v/>
      </c>
      <c r="F250" s="41" t="str">
        <f aca="false">IF($AG250="","",IF($AG250&lt;=1200,IF(INDEX(对接源_01水果!$I$4:$I$1203,$AG250)=0,"",INDEX(对接源_01水果!$I$4:$I$1203,$AG250)),IF(INDEX(对接源_02物料!$I$4:$I$1203,$AG250-1200)=0,"",INDEX(对接源_02物料!$I$4:$I$1203,$AG250-1200))))</f>
        <v/>
      </c>
      <c r="G250" s="55" t="str">
        <f aca="false">IF($AG250="","",IF($AG250&lt;=1200,IF(INDEX(对接源_01水果!$J$4:$J$1203,$AG250)=0,"",INDEX(对接源_01水果!$J$4:$J$1203,$AG250)),IF(INDEX(对接源_02物料!$J$4:$J$1203,$AG250-1200)=0,"",INDEX(对接源_02物料!$J$4:$J$1203,$AG250-1200))))</f>
        <v/>
      </c>
      <c r="H250" s="55" t="str">
        <f aca="false">IF($AG250="","",IF($AG250&lt;=1200,IF(INDEX(对接源_01水果!$K$4:$K$1203,$AG250)=0,"",INDEX(对接源_01水果!$K$4:$K$1203,$AG250)),IF(INDEX(对接源_02物料!$K$4:$K$1203,$AG250-1200)=0,"",INDEX(对接源_02物料!$K$4:$K$1203,$AG250-1200))))</f>
        <v/>
      </c>
      <c r="I250" s="41" t="str">
        <f aca="false">IF($AG250="","",IF($AG250&lt;=1200,IF(INDEX(对接源_01水果!$L$4:$L$1203,$AG250)=0,"",INDEX(对接源_01水果!$L$4:$L$1203,$AG250)),IF(INDEX(对接源_02物料!$L$4:$L$1203,$AG250-1200)=0,"",INDEX(对接源_02物料!$L$4:$L$1203,$AG250-1200))))</f>
        <v/>
      </c>
      <c r="J250" s="42" t="str">
        <f aca="false">IF($AG250="","",IF($AG250&lt;=1200,IF(INDEX(对接源_01水果!$M$4:$M$1203,$AG250)=0,"",INDEX(对接源_01水果!$M$4:$M$1203,$AG250)),IF(INDEX(对接源_02物料!$M$4:$M$1203,$AG250-1200)=0,"",INDEX(对接源_02物料!$M$4:$M$1203,$AG250-1200))))</f>
        <v/>
      </c>
      <c r="AG250" s="44" t="str">
        <f aca="false">IFERROR(MATCH(39,_自动清单!$AE$4:$AE$2403,0),"")</f>
        <v/>
      </c>
    </row>
    <row r="251" customFormat="false" ht="18" hidden="false" customHeight="true" outlineLevel="0" collapsed="false">
      <c r="A251" s="45" t="str">
        <f aca="false">IF($AG251="","",IF($AG251&lt;=1200,IF(INDEX(对接源_01水果!$B$4:$B$1203,$AG251)=0,"",INDEX(对接源_01水果!$B$4:$B$1203,$AG251)),IF(INDEX(对接源_02物料!$B$4:$B$1203,$AG251-1200)=0,"",INDEX(对接源_02物料!$B$4:$B$1203,$AG251-1200))))</f>
        <v/>
      </c>
      <c r="B251" s="46" t="str">
        <f aca="false">IF($AG251="","",IF($AG251&lt;=1200,IF(INDEX(对接源_01水果!$E$4:$E$1203,$AG251)=0,"",INDEX(对接源_01水果!$E$4:$E$1203,$AG251)),IF(INDEX(对接源_02物料!$E$4:$E$1203,$AG251-1200)=0,"",INDEX(对接源_02物料!$E$4:$E$1203,$AG251-1200))))</f>
        <v/>
      </c>
      <c r="C251" s="46" t="str">
        <f aca="false">IF($AG251="","",IF($AG251&lt;=1200,IF(INDEX(对接源_01水果!$F$4:$F$1203,$AG251)=0,"",INDEX(对接源_01水果!$F$4:$F$1203,$AG251)),IF(INDEX(对接源_02物料!$F$4:$F$1203,$AG251-1200)=0,"",INDEX(对接源_02物料!$F$4:$F$1203,$AG251-1200))))</f>
        <v/>
      </c>
      <c r="D251" s="46" t="str">
        <f aca="false">IF($AG251="","",IF($AG251&lt;=1200,IF(INDEX(对接源_01水果!$G$4:$G$1203,$AG251)=0,"",INDEX(对接源_01水果!$G$4:$G$1203,$AG251)),IF(INDEX(对接源_02物料!$G$4:$G$1203,$AG251-1200)=0,"",INDEX(对接源_02物料!$G$4:$G$1203,$AG251-1200))))</f>
        <v/>
      </c>
      <c r="E251" s="48" t="str">
        <f aca="false">IF($AG251="","",IF($AG251&lt;=1200,IF(INDEX(对接源_01水果!$H$4:$H$1203,$AG251)=0,"",INDEX(对接源_01水果!$H$4:$H$1203,$AG251)),IF(INDEX(对接源_02物料!$H$4:$H$1203,$AG251-1200)=0,"",INDEX(对接源_02物料!$H$4:$H$1203,$AG251-1200))))</f>
        <v/>
      </c>
      <c r="F251" s="46" t="str">
        <f aca="false">IF($AG251="","",IF($AG251&lt;=1200,IF(INDEX(对接源_01水果!$I$4:$I$1203,$AG251)=0,"",INDEX(对接源_01水果!$I$4:$I$1203,$AG251)),IF(INDEX(对接源_02物料!$I$4:$I$1203,$AG251-1200)=0,"",INDEX(对接源_02物料!$I$4:$I$1203,$AG251-1200))))</f>
        <v/>
      </c>
      <c r="G251" s="56" t="str">
        <f aca="false">IF($AG251="","",IF($AG251&lt;=1200,IF(INDEX(对接源_01水果!$J$4:$J$1203,$AG251)=0,"",INDEX(对接源_01水果!$J$4:$J$1203,$AG251)),IF(INDEX(对接源_02物料!$J$4:$J$1203,$AG251-1200)=0,"",INDEX(对接源_02物料!$J$4:$J$1203,$AG251-1200))))</f>
        <v/>
      </c>
      <c r="H251" s="56" t="str">
        <f aca="false">IF($AG251="","",IF($AG251&lt;=1200,IF(INDEX(对接源_01水果!$K$4:$K$1203,$AG251)=0,"",INDEX(对接源_01水果!$K$4:$K$1203,$AG251)),IF(INDEX(对接源_02物料!$K$4:$K$1203,$AG251-1200)=0,"",INDEX(对接源_02物料!$K$4:$K$1203,$AG251-1200))))</f>
        <v/>
      </c>
      <c r="I251" s="46" t="str">
        <f aca="false">IF($AG251="","",IF($AG251&lt;=1200,IF(INDEX(对接源_01水果!$L$4:$L$1203,$AG251)=0,"",INDEX(对接源_01水果!$L$4:$L$1203,$AG251)),IF(INDEX(对接源_02物料!$L$4:$L$1203,$AG251-1200)=0,"",INDEX(对接源_02物料!$L$4:$L$1203,$AG251-1200))))</f>
        <v/>
      </c>
      <c r="J251" s="47" t="str">
        <f aca="false">IF($AG251="","",IF($AG251&lt;=1200,IF(INDEX(对接源_01水果!$M$4:$M$1203,$AG251)=0,"",INDEX(对接源_01水果!$M$4:$M$1203,$AG251)),IF(INDEX(对接源_02物料!$M$4:$M$1203,$AG251-1200)=0,"",INDEX(对接源_02物料!$M$4:$M$1203,$AG251-1200))))</f>
        <v/>
      </c>
      <c r="AG251" s="44" t="str">
        <f aca="false">IFERROR(MATCH(40,_自动清单!$AE$4:$AE$2403,0),"")</f>
        <v/>
      </c>
    </row>
    <row r="252" customFormat="false" ht="18" hidden="false" customHeight="true" outlineLevel="0" collapsed="false">
      <c r="A252" s="40" t="str">
        <f aca="false">IF($AG252="","",IF($AG252&lt;=1200,IF(INDEX(对接源_01水果!$B$4:$B$1203,$AG252)=0,"",INDEX(对接源_01水果!$B$4:$B$1203,$AG252)),IF(INDEX(对接源_02物料!$B$4:$B$1203,$AG252-1200)=0,"",INDEX(对接源_02物料!$B$4:$B$1203,$AG252-1200))))</f>
        <v/>
      </c>
      <c r="B252" s="41" t="str">
        <f aca="false">IF($AG252="","",IF($AG252&lt;=1200,IF(INDEX(对接源_01水果!$E$4:$E$1203,$AG252)=0,"",INDEX(对接源_01水果!$E$4:$E$1203,$AG252)),IF(INDEX(对接源_02物料!$E$4:$E$1203,$AG252-1200)=0,"",INDEX(对接源_02物料!$E$4:$E$1203,$AG252-1200))))</f>
        <v/>
      </c>
      <c r="C252" s="41" t="str">
        <f aca="false">IF($AG252="","",IF($AG252&lt;=1200,IF(INDEX(对接源_01水果!$F$4:$F$1203,$AG252)=0,"",INDEX(对接源_01水果!$F$4:$F$1203,$AG252)),IF(INDEX(对接源_02物料!$F$4:$F$1203,$AG252-1200)=0,"",INDEX(对接源_02物料!$F$4:$F$1203,$AG252-1200))))</f>
        <v/>
      </c>
      <c r="D252" s="41" t="str">
        <f aca="false">IF($AG252="","",IF($AG252&lt;=1200,IF(INDEX(对接源_01水果!$G$4:$G$1203,$AG252)=0,"",INDEX(对接源_01水果!$G$4:$G$1203,$AG252)),IF(INDEX(对接源_02物料!$G$4:$G$1203,$AG252-1200)=0,"",INDEX(对接源_02物料!$G$4:$G$1203,$AG252-1200))))</f>
        <v/>
      </c>
      <c r="E252" s="43" t="str">
        <f aca="false">IF($AG252="","",IF($AG252&lt;=1200,IF(INDEX(对接源_01水果!$H$4:$H$1203,$AG252)=0,"",INDEX(对接源_01水果!$H$4:$H$1203,$AG252)),IF(INDEX(对接源_02物料!$H$4:$H$1203,$AG252-1200)=0,"",INDEX(对接源_02物料!$H$4:$H$1203,$AG252-1200))))</f>
        <v/>
      </c>
      <c r="F252" s="41" t="str">
        <f aca="false">IF($AG252="","",IF($AG252&lt;=1200,IF(INDEX(对接源_01水果!$I$4:$I$1203,$AG252)=0,"",INDEX(对接源_01水果!$I$4:$I$1203,$AG252)),IF(INDEX(对接源_02物料!$I$4:$I$1203,$AG252-1200)=0,"",INDEX(对接源_02物料!$I$4:$I$1203,$AG252-1200))))</f>
        <v/>
      </c>
      <c r="G252" s="55" t="str">
        <f aca="false">IF($AG252="","",IF($AG252&lt;=1200,IF(INDEX(对接源_01水果!$J$4:$J$1203,$AG252)=0,"",INDEX(对接源_01水果!$J$4:$J$1203,$AG252)),IF(INDEX(对接源_02物料!$J$4:$J$1203,$AG252-1200)=0,"",INDEX(对接源_02物料!$J$4:$J$1203,$AG252-1200))))</f>
        <v/>
      </c>
      <c r="H252" s="55" t="str">
        <f aca="false">IF($AG252="","",IF($AG252&lt;=1200,IF(INDEX(对接源_01水果!$K$4:$K$1203,$AG252)=0,"",INDEX(对接源_01水果!$K$4:$K$1203,$AG252)),IF(INDEX(对接源_02物料!$K$4:$K$1203,$AG252-1200)=0,"",INDEX(对接源_02物料!$K$4:$K$1203,$AG252-1200))))</f>
        <v/>
      </c>
      <c r="I252" s="41" t="str">
        <f aca="false">IF($AG252="","",IF($AG252&lt;=1200,IF(INDEX(对接源_01水果!$L$4:$L$1203,$AG252)=0,"",INDEX(对接源_01水果!$L$4:$L$1203,$AG252)),IF(INDEX(对接源_02物料!$L$4:$L$1203,$AG252-1200)=0,"",INDEX(对接源_02物料!$L$4:$L$1203,$AG252-1200))))</f>
        <v/>
      </c>
      <c r="J252" s="42" t="str">
        <f aca="false">IF($AG252="","",IF($AG252&lt;=1200,IF(INDEX(对接源_01水果!$M$4:$M$1203,$AG252)=0,"",INDEX(对接源_01水果!$M$4:$M$1203,$AG252)),IF(INDEX(对接源_02物料!$M$4:$M$1203,$AG252-1200)=0,"",INDEX(对接源_02物料!$M$4:$M$1203,$AG252-1200))))</f>
        <v/>
      </c>
      <c r="AG252" s="44" t="str">
        <f aca="false">IFERROR(MATCH(41,_自动清单!$AE$4:$AE$2403,0),"")</f>
        <v/>
      </c>
    </row>
    <row r="253" customFormat="false" ht="18" hidden="false" customHeight="true" outlineLevel="0" collapsed="false">
      <c r="A253" s="45" t="str">
        <f aca="false">IF($AG253="","",IF($AG253&lt;=1200,IF(INDEX(对接源_01水果!$B$4:$B$1203,$AG253)=0,"",INDEX(对接源_01水果!$B$4:$B$1203,$AG253)),IF(INDEX(对接源_02物料!$B$4:$B$1203,$AG253-1200)=0,"",INDEX(对接源_02物料!$B$4:$B$1203,$AG253-1200))))</f>
        <v/>
      </c>
      <c r="B253" s="46" t="str">
        <f aca="false">IF($AG253="","",IF($AG253&lt;=1200,IF(INDEX(对接源_01水果!$E$4:$E$1203,$AG253)=0,"",INDEX(对接源_01水果!$E$4:$E$1203,$AG253)),IF(INDEX(对接源_02物料!$E$4:$E$1203,$AG253-1200)=0,"",INDEX(对接源_02物料!$E$4:$E$1203,$AG253-1200))))</f>
        <v/>
      </c>
      <c r="C253" s="46" t="str">
        <f aca="false">IF($AG253="","",IF($AG253&lt;=1200,IF(INDEX(对接源_01水果!$F$4:$F$1203,$AG253)=0,"",INDEX(对接源_01水果!$F$4:$F$1203,$AG253)),IF(INDEX(对接源_02物料!$F$4:$F$1203,$AG253-1200)=0,"",INDEX(对接源_02物料!$F$4:$F$1203,$AG253-1200))))</f>
        <v/>
      </c>
      <c r="D253" s="46" t="str">
        <f aca="false">IF($AG253="","",IF($AG253&lt;=1200,IF(INDEX(对接源_01水果!$G$4:$G$1203,$AG253)=0,"",INDEX(对接源_01水果!$G$4:$G$1203,$AG253)),IF(INDEX(对接源_02物料!$G$4:$G$1203,$AG253-1200)=0,"",INDEX(对接源_02物料!$G$4:$G$1203,$AG253-1200))))</f>
        <v/>
      </c>
      <c r="E253" s="48" t="str">
        <f aca="false">IF($AG253="","",IF($AG253&lt;=1200,IF(INDEX(对接源_01水果!$H$4:$H$1203,$AG253)=0,"",INDEX(对接源_01水果!$H$4:$H$1203,$AG253)),IF(INDEX(对接源_02物料!$H$4:$H$1203,$AG253-1200)=0,"",INDEX(对接源_02物料!$H$4:$H$1203,$AG253-1200))))</f>
        <v/>
      </c>
      <c r="F253" s="46" t="str">
        <f aca="false">IF($AG253="","",IF($AG253&lt;=1200,IF(INDEX(对接源_01水果!$I$4:$I$1203,$AG253)=0,"",INDEX(对接源_01水果!$I$4:$I$1203,$AG253)),IF(INDEX(对接源_02物料!$I$4:$I$1203,$AG253-1200)=0,"",INDEX(对接源_02物料!$I$4:$I$1203,$AG253-1200))))</f>
        <v/>
      </c>
      <c r="G253" s="56" t="str">
        <f aca="false">IF($AG253="","",IF($AG253&lt;=1200,IF(INDEX(对接源_01水果!$J$4:$J$1203,$AG253)=0,"",INDEX(对接源_01水果!$J$4:$J$1203,$AG253)),IF(INDEX(对接源_02物料!$J$4:$J$1203,$AG253-1200)=0,"",INDEX(对接源_02物料!$J$4:$J$1203,$AG253-1200))))</f>
        <v/>
      </c>
      <c r="H253" s="56" t="str">
        <f aca="false">IF($AG253="","",IF($AG253&lt;=1200,IF(INDEX(对接源_01水果!$K$4:$K$1203,$AG253)=0,"",INDEX(对接源_01水果!$K$4:$K$1203,$AG253)),IF(INDEX(对接源_02物料!$K$4:$K$1203,$AG253-1200)=0,"",INDEX(对接源_02物料!$K$4:$K$1203,$AG253-1200))))</f>
        <v/>
      </c>
      <c r="I253" s="46" t="str">
        <f aca="false">IF($AG253="","",IF($AG253&lt;=1200,IF(INDEX(对接源_01水果!$L$4:$L$1203,$AG253)=0,"",INDEX(对接源_01水果!$L$4:$L$1203,$AG253)),IF(INDEX(对接源_02物料!$L$4:$L$1203,$AG253-1200)=0,"",INDEX(对接源_02物料!$L$4:$L$1203,$AG253-1200))))</f>
        <v/>
      </c>
      <c r="J253" s="47" t="str">
        <f aca="false">IF($AG253="","",IF($AG253&lt;=1200,IF(INDEX(对接源_01水果!$M$4:$M$1203,$AG253)=0,"",INDEX(对接源_01水果!$M$4:$M$1203,$AG253)),IF(INDEX(对接源_02物料!$M$4:$M$1203,$AG253-1200)=0,"",INDEX(对接源_02物料!$M$4:$M$1203,$AG253-1200))))</f>
        <v/>
      </c>
      <c r="AG253" s="44" t="str">
        <f aca="false">IFERROR(MATCH(42,_自动清单!$AE$4:$AE$2403,0),"")</f>
        <v/>
      </c>
    </row>
    <row r="254" customFormat="false" ht="18" hidden="false" customHeight="true" outlineLevel="0" collapsed="false">
      <c r="A254" s="40" t="str">
        <f aca="false">IF($AG254="","",IF($AG254&lt;=1200,IF(INDEX(对接源_01水果!$B$4:$B$1203,$AG254)=0,"",INDEX(对接源_01水果!$B$4:$B$1203,$AG254)),IF(INDEX(对接源_02物料!$B$4:$B$1203,$AG254-1200)=0,"",INDEX(对接源_02物料!$B$4:$B$1203,$AG254-1200))))</f>
        <v/>
      </c>
      <c r="B254" s="41" t="str">
        <f aca="false">IF($AG254="","",IF($AG254&lt;=1200,IF(INDEX(对接源_01水果!$E$4:$E$1203,$AG254)=0,"",INDEX(对接源_01水果!$E$4:$E$1203,$AG254)),IF(INDEX(对接源_02物料!$E$4:$E$1203,$AG254-1200)=0,"",INDEX(对接源_02物料!$E$4:$E$1203,$AG254-1200))))</f>
        <v/>
      </c>
      <c r="C254" s="41" t="str">
        <f aca="false">IF($AG254="","",IF($AG254&lt;=1200,IF(INDEX(对接源_01水果!$F$4:$F$1203,$AG254)=0,"",INDEX(对接源_01水果!$F$4:$F$1203,$AG254)),IF(INDEX(对接源_02物料!$F$4:$F$1203,$AG254-1200)=0,"",INDEX(对接源_02物料!$F$4:$F$1203,$AG254-1200))))</f>
        <v/>
      </c>
      <c r="D254" s="41" t="str">
        <f aca="false">IF($AG254="","",IF($AG254&lt;=1200,IF(INDEX(对接源_01水果!$G$4:$G$1203,$AG254)=0,"",INDEX(对接源_01水果!$G$4:$G$1203,$AG254)),IF(INDEX(对接源_02物料!$G$4:$G$1203,$AG254-1200)=0,"",INDEX(对接源_02物料!$G$4:$G$1203,$AG254-1200))))</f>
        <v/>
      </c>
      <c r="E254" s="43" t="str">
        <f aca="false">IF($AG254="","",IF($AG254&lt;=1200,IF(INDEX(对接源_01水果!$H$4:$H$1203,$AG254)=0,"",INDEX(对接源_01水果!$H$4:$H$1203,$AG254)),IF(INDEX(对接源_02物料!$H$4:$H$1203,$AG254-1200)=0,"",INDEX(对接源_02物料!$H$4:$H$1203,$AG254-1200))))</f>
        <v/>
      </c>
      <c r="F254" s="41" t="str">
        <f aca="false">IF($AG254="","",IF($AG254&lt;=1200,IF(INDEX(对接源_01水果!$I$4:$I$1203,$AG254)=0,"",INDEX(对接源_01水果!$I$4:$I$1203,$AG254)),IF(INDEX(对接源_02物料!$I$4:$I$1203,$AG254-1200)=0,"",INDEX(对接源_02物料!$I$4:$I$1203,$AG254-1200))))</f>
        <v/>
      </c>
      <c r="G254" s="55" t="str">
        <f aca="false">IF($AG254="","",IF($AG254&lt;=1200,IF(INDEX(对接源_01水果!$J$4:$J$1203,$AG254)=0,"",INDEX(对接源_01水果!$J$4:$J$1203,$AG254)),IF(INDEX(对接源_02物料!$J$4:$J$1203,$AG254-1200)=0,"",INDEX(对接源_02物料!$J$4:$J$1203,$AG254-1200))))</f>
        <v/>
      </c>
      <c r="H254" s="55" t="str">
        <f aca="false">IF($AG254="","",IF($AG254&lt;=1200,IF(INDEX(对接源_01水果!$K$4:$K$1203,$AG254)=0,"",INDEX(对接源_01水果!$K$4:$K$1203,$AG254)),IF(INDEX(对接源_02物料!$K$4:$K$1203,$AG254-1200)=0,"",INDEX(对接源_02物料!$K$4:$K$1203,$AG254-1200))))</f>
        <v/>
      </c>
      <c r="I254" s="41" t="str">
        <f aca="false">IF($AG254="","",IF($AG254&lt;=1200,IF(INDEX(对接源_01水果!$L$4:$L$1203,$AG254)=0,"",INDEX(对接源_01水果!$L$4:$L$1203,$AG254)),IF(INDEX(对接源_02物料!$L$4:$L$1203,$AG254-1200)=0,"",INDEX(对接源_02物料!$L$4:$L$1203,$AG254-1200))))</f>
        <v/>
      </c>
      <c r="J254" s="42" t="str">
        <f aca="false">IF($AG254="","",IF($AG254&lt;=1200,IF(INDEX(对接源_01水果!$M$4:$M$1203,$AG254)=0,"",INDEX(对接源_01水果!$M$4:$M$1203,$AG254)),IF(INDEX(对接源_02物料!$M$4:$M$1203,$AG254-1200)=0,"",INDEX(对接源_02物料!$M$4:$M$1203,$AG254-1200))))</f>
        <v/>
      </c>
      <c r="AG254" s="44" t="str">
        <f aca="false">IFERROR(MATCH(43,_自动清单!$AE$4:$AE$2403,0),"")</f>
        <v/>
      </c>
    </row>
    <row r="255" customFormat="false" ht="18" hidden="false" customHeight="true" outlineLevel="0" collapsed="false">
      <c r="A255" s="45" t="str">
        <f aca="false">IF($AG255="","",IF($AG255&lt;=1200,IF(INDEX(对接源_01水果!$B$4:$B$1203,$AG255)=0,"",INDEX(对接源_01水果!$B$4:$B$1203,$AG255)),IF(INDEX(对接源_02物料!$B$4:$B$1203,$AG255-1200)=0,"",INDEX(对接源_02物料!$B$4:$B$1203,$AG255-1200))))</f>
        <v/>
      </c>
      <c r="B255" s="46" t="str">
        <f aca="false">IF($AG255="","",IF($AG255&lt;=1200,IF(INDEX(对接源_01水果!$E$4:$E$1203,$AG255)=0,"",INDEX(对接源_01水果!$E$4:$E$1203,$AG255)),IF(INDEX(对接源_02物料!$E$4:$E$1203,$AG255-1200)=0,"",INDEX(对接源_02物料!$E$4:$E$1203,$AG255-1200))))</f>
        <v/>
      </c>
      <c r="C255" s="46" t="str">
        <f aca="false">IF($AG255="","",IF($AG255&lt;=1200,IF(INDEX(对接源_01水果!$F$4:$F$1203,$AG255)=0,"",INDEX(对接源_01水果!$F$4:$F$1203,$AG255)),IF(INDEX(对接源_02物料!$F$4:$F$1203,$AG255-1200)=0,"",INDEX(对接源_02物料!$F$4:$F$1203,$AG255-1200))))</f>
        <v/>
      </c>
      <c r="D255" s="46" t="str">
        <f aca="false">IF($AG255="","",IF($AG255&lt;=1200,IF(INDEX(对接源_01水果!$G$4:$G$1203,$AG255)=0,"",INDEX(对接源_01水果!$G$4:$G$1203,$AG255)),IF(INDEX(对接源_02物料!$G$4:$G$1203,$AG255-1200)=0,"",INDEX(对接源_02物料!$G$4:$G$1203,$AG255-1200))))</f>
        <v/>
      </c>
      <c r="E255" s="48" t="str">
        <f aca="false">IF($AG255="","",IF($AG255&lt;=1200,IF(INDEX(对接源_01水果!$H$4:$H$1203,$AG255)=0,"",INDEX(对接源_01水果!$H$4:$H$1203,$AG255)),IF(INDEX(对接源_02物料!$H$4:$H$1203,$AG255-1200)=0,"",INDEX(对接源_02物料!$H$4:$H$1203,$AG255-1200))))</f>
        <v/>
      </c>
      <c r="F255" s="46" t="str">
        <f aca="false">IF($AG255="","",IF($AG255&lt;=1200,IF(INDEX(对接源_01水果!$I$4:$I$1203,$AG255)=0,"",INDEX(对接源_01水果!$I$4:$I$1203,$AG255)),IF(INDEX(对接源_02物料!$I$4:$I$1203,$AG255-1200)=0,"",INDEX(对接源_02物料!$I$4:$I$1203,$AG255-1200))))</f>
        <v/>
      </c>
      <c r="G255" s="56" t="str">
        <f aca="false">IF($AG255="","",IF($AG255&lt;=1200,IF(INDEX(对接源_01水果!$J$4:$J$1203,$AG255)=0,"",INDEX(对接源_01水果!$J$4:$J$1203,$AG255)),IF(INDEX(对接源_02物料!$J$4:$J$1203,$AG255-1200)=0,"",INDEX(对接源_02物料!$J$4:$J$1203,$AG255-1200))))</f>
        <v/>
      </c>
      <c r="H255" s="56" t="str">
        <f aca="false">IF($AG255="","",IF($AG255&lt;=1200,IF(INDEX(对接源_01水果!$K$4:$K$1203,$AG255)=0,"",INDEX(对接源_01水果!$K$4:$K$1203,$AG255)),IF(INDEX(对接源_02物料!$K$4:$K$1203,$AG255-1200)=0,"",INDEX(对接源_02物料!$K$4:$K$1203,$AG255-1200))))</f>
        <v/>
      </c>
      <c r="I255" s="46" t="str">
        <f aca="false">IF($AG255="","",IF($AG255&lt;=1200,IF(INDEX(对接源_01水果!$L$4:$L$1203,$AG255)=0,"",INDEX(对接源_01水果!$L$4:$L$1203,$AG255)),IF(INDEX(对接源_02物料!$L$4:$L$1203,$AG255-1200)=0,"",INDEX(对接源_02物料!$L$4:$L$1203,$AG255-1200))))</f>
        <v/>
      </c>
      <c r="J255" s="47" t="str">
        <f aca="false">IF($AG255="","",IF($AG255&lt;=1200,IF(INDEX(对接源_01水果!$M$4:$M$1203,$AG255)=0,"",INDEX(对接源_01水果!$M$4:$M$1203,$AG255)),IF(INDEX(对接源_02物料!$M$4:$M$1203,$AG255-1200)=0,"",INDEX(对接源_02物料!$M$4:$M$1203,$AG255-1200))))</f>
        <v/>
      </c>
      <c r="AG255" s="44" t="str">
        <f aca="false">IFERROR(MATCH(44,_自动清单!$AE$4:$AE$2403,0),"")</f>
        <v/>
      </c>
    </row>
    <row r="256" customFormat="false" ht="18" hidden="false" customHeight="true" outlineLevel="0" collapsed="false">
      <c r="A256" s="40" t="str">
        <f aca="false">IF($AG256="","",IF($AG256&lt;=1200,IF(INDEX(对接源_01水果!$B$4:$B$1203,$AG256)=0,"",INDEX(对接源_01水果!$B$4:$B$1203,$AG256)),IF(INDEX(对接源_02物料!$B$4:$B$1203,$AG256-1200)=0,"",INDEX(对接源_02物料!$B$4:$B$1203,$AG256-1200))))</f>
        <v/>
      </c>
      <c r="B256" s="41" t="str">
        <f aca="false">IF($AG256="","",IF($AG256&lt;=1200,IF(INDEX(对接源_01水果!$E$4:$E$1203,$AG256)=0,"",INDEX(对接源_01水果!$E$4:$E$1203,$AG256)),IF(INDEX(对接源_02物料!$E$4:$E$1203,$AG256-1200)=0,"",INDEX(对接源_02物料!$E$4:$E$1203,$AG256-1200))))</f>
        <v/>
      </c>
      <c r="C256" s="41" t="str">
        <f aca="false">IF($AG256="","",IF($AG256&lt;=1200,IF(INDEX(对接源_01水果!$F$4:$F$1203,$AG256)=0,"",INDEX(对接源_01水果!$F$4:$F$1203,$AG256)),IF(INDEX(对接源_02物料!$F$4:$F$1203,$AG256-1200)=0,"",INDEX(对接源_02物料!$F$4:$F$1203,$AG256-1200))))</f>
        <v/>
      </c>
      <c r="D256" s="41" t="str">
        <f aca="false">IF($AG256="","",IF($AG256&lt;=1200,IF(INDEX(对接源_01水果!$G$4:$G$1203,$AG256)=0,"",INDEX(对接源_01水果!$G$4:$G$1203,$AG256)),IF(INDEX(对接源_02物料!$G$4:$G$1203,$AG256-1200)=0,"",INDEX(对接源_02物料!$G$4:$G$1203,$AG256-1200))))</f>
        <v/>
      </c>
      <c r="E256" s="43" t="str">
        <f aca="false">IF($AG256="","",IF($AG256&lt;=1200,IF(INDEX(对接源_01水果!$H$4:$H$1203,$AG256)=0,"",INDEX(对接源_01水果!$H$4:$H$1203,$AG256)),IF(INDEX(对接源_02物料!$H$4:$H$1203,$AG256-1200)=0,"",INDEX(对接源_02物料!$H$4:$H$1203,$AG256-1200))))</f>
        <v/>
      </c>
      <c r="F256" s="41" t="str">
        <f aca="false">IF($AG256="","",IF($AG256&lt;=1200,IF(INDEX(对接源_01水果!$I$4:$I$1203,$AG256)=0,"",INDEX(对接源_01水果!$I$4:$I$1203,$AG256)),IF(INDEX(对接源_02物料!$I$4:$I$1203,$AG256-1200)=0,"",INDEX(对接源_02物料!$I$4:$I$1203,$AG256-1200))))</f>
        <v/>
      </c>
      <c r="G256" s="55" t="str">
        <f aca="false">IF($AG256="","",IF($AG256&lt;=1200,IF(INDEX(对接源_01水果!$J$4:$J$1203,$AG256)=0,"",INDEX(对接源_01水果!$J$4:$J$1203,$AG256)),IF(INDEX(对接源_02物料!$J$4:$J$1203,$AG256-1200)=0,"",INDEX(对接源_02物料!$J$4:$J$1203,$AG256-1200))))</f>
        <v/>
      </c>
      <c r="H256" s="55" t="str">
        <f aca="false">IF($AG256="","",IF($AG256&lt;=1200,IF(INDEX(对接源_01水果!$K$4:$K$1203,$AG256)=0,"",INDEX(对接源_01水果!$K$4:$K$1203,$AG256)),IF(INDEX(对接源_02物料!$K$4:$K$1203,$AG256-1200)=0,"",INDEX(对接源_02物料!$K$4:$K$1203,$AG256-1200))))</f>
        <v/>
      </c>
      <c r="I256" s="41" t="str">
        <f aca="false">IF($AG256="","",IF($AG256&lt;=1200,IF(INDEX(对接源_01水果!$L$4:$L$1203,$AG256)=0,"",INDEX(对接源_01水果!$L$4:$L$1203,$AG256)),IF(INDEX(对接源_02物料!$L$4:$L$1203,$AG256-1200)=0,"",INDEX(对接源_02物料!$L$4:$L$1203,$AG256-1200))))</f>
        <v/>
      </c>
      <c r="J256" s="42" t="str">
        <f aca="false">IF($AG256="","",IF($AG256&lt;=1200,IF(INDEX(对接源_01水果!$M$4:$M$1203,$AG256)=0,"",INDEX(对接源_01水果!$M$4:$M$1203,$AG256)),IF(INDEX(对接源_02物料!$M$4:$M$1203,$AG256-1200)=0,"",INDEX(对接源_02物料!$M$4:$M$1203,$AG256-1200))))</f>
        <v/>
      </c>
      <c r="AG256" s="44" t="str">
        <f aca="false">IFERROR(MATCH(45,_自动清单!$AE$4:$AE$2403,0),"")</f>
        <v/>
      </c>
    </row>
    <row r="257" customFormat="false" ht="18" hidden="false" customHeight="true" outlineLevel="0" collapsed="false">
      <c r="A257" s="45" t="str">
        <f aca="false">IF($AG257="","",IF($AG257&lt;=1200,IF(INDEX(对接源_01水果!$B$4:$B$1203,$AG257)=0,"",INDEX(对接源_01水果!$B$4:$B$1203,$AG257)),IF(INDEX(对接源_02物料!$B$4:$B$1203,$AG257-1200)=0,"",INDEX(对接源_02物料!$B$4:$B$1203,$AG257-1200))))</f>
        <v/>
      </c>
      <c r="B257" s="46" t="str">
        <f aca="false">IF($AG257="","",IF($AG257&lt;=1200,IF(INDEX(对接源_01水果!$E$4:$E$1203,$AG257)=0,"",INDEX(对接源_01水果!$E$4:$E$1203,$AG257)),IF(INDEX(对接源_02物料!$E$4:$E$1203,$AG257-1200)=0,"",INDEX(对接源_02物料!$E$4:$E$1203,$AG257-1200))))</f>
        <v/>
      </c>
      <c r="C257" s="46" t="str">
        <f aca="false">IF($AG257="","",IF($AG257&lt;=1200,IF(INDEX(对接源_01水果!$F$4:$F$1203,$AG257)=0,"",INDEX(对接源_01水果!$F$4:$F$1203,$AG257)),IF(INDEX(对接源_02物料!$F$4:$F$1203,$AG257-1200)=0,"",INDEX(对接源_02物料!$F$4:$F$1203,$AG257-1200))))</f>
        <v/>
      </c>
      <c r="D257" s="46" t="str">
        <f aca="false">IF($AG257="","",IF($AG257&lt;=1200,IF(INDEX(对接源_01水果!$G$4:$G$1203,$AG257)=0,"",INDEX(对接源_01水果!$G$4:$G$1203,$AG257)),IF(INDEX(对接源_02物料!$G$4:$G$1203,$AG257-1200)=0,"",INDEX(对接源_02物料!$G$4:$G$1203,$AG257-1200))))</f>
        <v/>
      </c>
      <c r="E257" s="48" t="str">
        <f aca="false">IF($AG257="","",IF($AG257&lt;=1200,IF(INDEX(对接源_01水果!$H$4:$H$1203,$AG257)=0,"",INDEX(对接源_01水果!$H$4:$H$1203,$AG257)),IF(INDEX(对接源_02物料!$H$4:$H$1203,$AG257-1200)=0,"",INDEX(对接源_02物料!$H$4:$H$1203,$AG257-1200))))</f>
        <v/>
      </c>
      <c r="F257" s="46" t="str">
        <f aca="false">IF($AG257="","",IF($AG257&lt;=1200,IF(INDEX(对接源_01水果!$I$4:$I$1203,$AG257)=0,"",INDEX(对接源_01水果!$I$4:$I$1203,$AG257)),IF(INDEX(对接源_02物料!$I$4:$I$1203,$AG257-1200)=0,"",INDEX(对接源_02物料!$I$4:$I$1203,$AG257-1200))))</f>
        <v/>
      </c>
      <c r="G257" s="56" t="str">
        <f aca="false">IF($AG257="","",IF($AG257&lt;=1200,IF(INDEX(对接源_01水果!$J$4:$J$1203,$AG257)=0,"",INDEX(对接源_01水果!$J$4:$J$1203,$AG257)),IF(INDEX(对接源_02物料!$J$4:$J$1203,$AG257-1200)=0,"",INDEX(对接源_02物料!$J$4:$J$1203,$AG257-1200))))</f>
        <v/>
      </c>
      <c r="H257" s="56" t="str">
        <f aca="false">IF($AG257="","",IF($AG257&lt;=1200,IF(INDEX(对接源_01水果!$K$4:$K$1203,$AG257)=0,"",INDEX(对接源_01水果!$K$4:$K$1203,$AG257)),IF(INDEX(对接源_02物料!$K$4:$K$1203,$AG257-1200)=0,"",INDEX(对接源_02物料!$K$4:$K$1203,$AG257-1200))))</f>
        <v/>
      </c>
      <c r="I257" s="46" t="str">
        <f aca="false">IF($AG257="","",IF($AG257&lt;=1200,IF(INDEX(对接源_01水果!$L$4:$L$1203,$AG257)=0,"",INDEX(对接源_01水果!$L$4:$L$1203,$AG257)),IF(INDEX(对接源_02物料!$L$4:$L$1203,$AG257-1200)=0,"",INDEX(对接源_02物料!$L$4:$L$1203,$AG257-1200))))</f>
        <v/>
      </c>
      <c r="J257" s="47" t="str">
        <f aca="false">IF($AG257="","",IF($AG257&lt;=1200,IF(INDEX(对接源_01水果!$M$4:$M$1203,$AG257)=0,"",INDEX(对接源_01水果!$M$4:$M$1203,$AG257)),IF(INDEX(对接源_02物料!$M$4:$M$1203,$AG257-1200)=0,"",INDEX(对接源_02物料!$M$4:$M$1203,$AG257-1200))))</f>
        <v/>
      </c>
      <c r="AG257" s="44" t="str">
        <f aca="false">IFERROR(MATCH(46,_自动清单!$AE$4:$AE$2403,0),"")</f>
        <v/>
      </c>
    </row>
    <row r="258" customFormat="false" ht="18" hidden="false" customHeight="true" outlineLevel="0" collapsed="false">
      <c r="A258" s="40" t="str">
        <f aca="false">IF($AG258="","",IF($AG258&lt;=1200,IF(INDEX(对接源_01水果!$B$4:$B$1203,$AG258)=0,"",INDEX(对接源_01水果!$B$4:$B$1203,$AG258)),IF(INDEX(对接源_02物料!$B$4:$B$1203,$AG258-1200)=0,"",INDEX(对接源_02物料!$B$4:$B$1203,$AG258-1200))))</f>
        <v/>
      </c>
      <c r="B258" s="41" t="str">
        <f aca="false">IF($AG258="","",IF($AG258&lt;=1200,IF(INDEX(对接源_01水果!$E$4:$E$1203,$AG258)=0,"",INDEX(对接源_01水果!$E$4:$E$1203,$AG258)),IF(INDEX(对接源_02物料!$E$4:$E$1203,$AG258-1200)=0,"",INDEX(对接源_02物料!$E$4:$E$1203,$AG258-1200))))</f>
        <v/>
      </c>
      <c r="C258" s="41" t="str">
        <f aca="false">IF($AG258="","",IF($AG258&lt;=1200,IF(INDEX(对接源_01水果!$F$4:$F$1203,$AG258)=0,"",INDEX(对接源_01水果!$F$4:$F$1203,$AG258)),IF(INDEX(对接源_02物料!$F$4:$F$1203,$AG258-1200)=0,"",INDEX(对接源_02物料!$F$4:$F$1203,$AG258-1200))))</f>
        <v/>
      </c>
      <c r="D258" s="41" t="str">
        <f aca="false">IF($AG258="","",IF($AG258&lt;=1200,IF(INDEX(对接源_01水果!$G$4:$G$1203,$AG258)=0,"",INDEX(对接源_01水果!$G$4:$G$1203,$AG258)),IF(INDEX(对接源_02物料!$G$4:$G$1203,$AG258-1200)=0,"",INDEX(对接源_02物料!$G$4:$G$1203,$AG258-1200))))</f>
        <v/>
      </c>
      <c r="E258" s="43" t="str">
        <f aca="false">IF($AG258="","",IF($AG258&lt;=1200,IF(INDEX(对接源_01水果!$H$4:$H$1203,$AG258)=0,"",INDEX(对接源_01水果!$H$4:$H$1203,$AG258)),IF(INDEX(对接源_02物料!$H$4:$H$1203,$AG258-1200)=0,"",INDEX(对接源_02物料!$H$4:$H$1203,$AG258-1200))))</f>
        <v/>
      </c>
      <c r="F258" s="41" t="str">
        <f aca="false">IF($AG258="","",IF($AG258&lt;=1200,IF(INDEX(对接源_01水果!$I$4:$I$1203,$AG258)=0,"",INDEX(对接源_01水果!$I$4:$I$1203,$AG258)),IF(INDEX(对接源_02物料!$I$4:$I$1203,$AG258-1200)=0,"",INDEX(对接源_02物料!$I$4:$I$1203,$AG258-1200))))</f>
        <v/>
      </c>
      <c r="G258" s="55" t="str">
        <f aca="false">IF($AG258="","",IF($AG258&lt;=1200,IF(INDEX(对接源_01水果!$J$4:$J$1203,$AG258)=0,"",INDEX(对接源_01水果!$J$4:$J$1203,$AG258)),IF(INDEX(对接源_02物料!$J$4:$J$1203,$AG258-1200)=0,"",INDEX(对接源_02物料!$J$4:$J$1203,$AG258-1200))))</f>
        <v/>
      </c>
      <c r="H258" s="55" t="str">
        <f aca="false">IF($AG258="","",IF($AG258&lt;=1200,IF(INDEX(对接源_01水果!$K$4:$K$1203,$AG258)=0,"",INDEX(对接源_01水果!$K$4:$K$1203,$AG258)),IF(INDEX(对接源_02物料!$K$4:$K$1203,$AG258-1200)=0,"",INDEX(对接源_02物料!$K$4:$K$1203,$AG258-1200))))</f>
        <v/>
      </c>
      <c r="I258" s="41" t="str">
        <f aca="false">IF($AG258="","",IF($AG258&lt;=1200,IF(INDEX(对接源_01水果!$L$4:$L$1203,$AG258)=0,"",INDEX(对接源_01水果!$L$4:$L$1203,$AG258)),IF(INDEX(对接源_02物料!$L$4:$L$1203,$AG258-1200)=0,"",INDEX(对接源_02物料!$L$4:$L$1203,$AG258-1200))))</f>
        <v/>
      </c>
      <c r="J258" s="42" t="str">
        <f aca="false">IF($AG258="","",IF($AG258&lt;=1200,IF(INDEX(对接源_01水果!$M$4:$M$1203,$AG258)=0,"",INDEX(对接源_01水果!$M$4:$M$1203,$AG258)),IF(INDEX(对接源_02物料!$M$4:$M$1203,$AG258-1200)=0,"",INDEX(对接源_02物料!$M$4:$M$1203,$AG258-1200))))</f>
        <v/>
      </c>
      <c r="AG258" s="44" t="str">
        <f aca="false">IFERROR(MATCH(47,_自动清单!$AE$4:$AE$2403,0),"")</f>
        <v/>
      </c>
    </row>
    <row r="259" customFormat="false" ht="18" hidden="false" customHeight="true" outlineLevel="0" collapsed="false">
      <c r="A259" s="45" t="str">
        <f aca="false">IF($AG259="","",IF($AG259&lt;=1200,IF(INDEX(对接源_01水果!$B$4:$B$1203,$AG259)=0,"",INDEX(对接源_01水果!$B$4:$B$1203,$AG259)),IF(INDEX(对接源_02物料!$B$4:$B$1203,$AG259-1200)=0,"",INDEX(对接源_02物料!$B$4:$B$1203,$AG259-1200))))</f>
        <v/>
      </c>
      <c r="B259" s="46" t="str">
        <f aca="false">IF($AG259="","",IF($AG259&lt;=1200,IF(INDEX(对接源_01水果!$E$4:$E$1203,$AG259)=0,"",INDEX(对接源_01水果!$E$4:$E$1203,$AG259)),IF(INDEX(对接源_02物料!$E$4:$E$1203,$AG259-1200)=0,"",INDEX(对接源_02物料!$E$4:$E$1203,$AG259-1200))))</f>
        <v/>
      </c>
      <c r="C259" s="46" t="str">
        <f aca="false">IF($AG259="","",IF($AG259&lt;=1200,IF(INDEX(对接源_01水果!$F$4:$F$1203,$AG259)=0,"",INDEX(对接源_01水果!$F$4:$F$1203,$AG259)),IF(INDEX(对接源_02物料!$F$4:$F$1203,$AG259-1200)=0,"",INDEX(对接源_02物料!$F$4:$F$1203,$AG259-1200))))</f>
        <v/>
      </c>
      <c r="D259" s="46" t="str">
        <f aca="false">IF($AG259="","",IF($AG259&lt;=1200,IF(INDEX(对接源_01水果!$G$4:$G$1203,$AG259)=0,"",INDEX(对接源_01水果!$G$4:$G$1203,$AG259)),IF(INDEX(对接源_02物料!$G$4:$G$1203,$AG259-1200)=0,"",INDEX(对接源_02物料!$G$4:$G$1203,$AG259-1200))))</f>
        <v/>
      </c>
      <c r="E259" s="48" t="str">
        <f aca="false">IF($AG259="","",IF($AG259&lt;=1200,IF(INDEX(对接源_01水果!$H$4:$H$1203,$AG259)=0,"",INDEX(对接源_01水果!$H$4:$H$1203,$AG259)),IF(INDEX(对接源_02物料!$H$4:$H$1203,$AG259-1200)=0,"",INDEX(对接源_02物料!$H$4:$H$1203,$AG259-1200))))</f>
        <v/>
      </c>
      <c r="F259" s="46" t="str">
        <f aca="false">IF($AG259="","",IF($AG259&lt;=1200,IF(INDEX(对接源_01水果!$I$4:$I$1203,$AG259)=0,"",INDEX(对接源_01水果!$I$4:$I$1203,$AG259)),IF(INDEX(对接源_02物料!$I$4:$I$1203,$AG259-1200)=0,"",INDEX(对接源_02物料!$I$4:$I$1203,$AG259-1200))))</f>
        <v/>
      </c>
      <c r="G259" s="56" t="str">
        <f aca="false">IF($AG259="","",IF($AG259&lt;=1200,IF(INDEX(对接源_01水果!$J$4:$J$1203,$AG259)=0,"",INDEX(对接源_01水果!$J$4:$J$1203,$AG259)),IF(INDEX(对接源_02物料!$J$4:$J$1203,$AG259-1200)=0,"",INDEX(对接源_02物料!$J$4:$J$1203,$AG259-1200))))</f>
        <v/>
      </c>
      <c r="H259" s="56" t="str">
        <f aca="false">IF($AG259="","",IF($AG259&lt;=1200,IF(INDEX(对接源_01水果!$K$4:$K$1203,$AG259)=0,"",INDEX(对接源_01水果!$K$4:$K$1203,$AG259)),IF(INDEX(对接源_02物料!$K$4:$K$1203,$AG259-1200)=0,"",INDEX(对接源_02物料!$K$4:$K$1203,$AG259-1200))))</f>
        <v/>
      </c>
      <c r="I259" s="46" t="str">
        <f aca="false">IF($AG259="","",IF($AG259&lt;=1200,IF(INDEX(对接源_01水果!$L$4:$L$1203,$AG259)=0,"",INDEX(对接源_01水果!$L$4:$L$1203,$AG259)),IF(INDEX(对接源_02物料!$L$4:$L$1203,$AG259-1200)=0,"",INDEX(对接源_02物料!$L$4:$L$1203,$AG259-1200))))</f>
        <v/>
      </c>
      <c r="J259" s="47" t="str">
        <f aca="false">IF($AG259="","",IF($AG259&lt;=1200,IF(INDEX(对接源_01水果!$M$4:$M$1203,$AG259)=0,"",INDEX(对接源_01水果!$M$4:$M$1203,$AG259)),IF(INDEX(对接源_02物料!$M$4:$M$1203,$AG259-1200)=0,"",INDEX(对接源_02物料!$M$4:$M$1203,$AG259-1200))))</f>
        <v/>
      </c>
      <c r="AG259" s="44" t="str">
        <f aca="false">IFERROR(MATCH(48,_自动清单!$AE$4:$AE$2403,0),"")</f>
        <v/>
      </c>
    </row>
    <row r="260" customFormat="false" ht="18" hidden="false" customHeight="true" outlineLevel="0" collapsed="false">
      <c r="A260" s="40" t="str">
        <f aca="false">IF($AG260="","",IF($AG260&lt;=1200,IF(INDEX(对接源_01水果!$B$4:$B$1203,$AG260)=0,"",INDEX(对接源_01水果!$B$4:$B$1203,$AG260)),IF(INDEX(对接源_02物料!$B$4:$B$1203,$AG260-1200)=0,"",INDEX(对接源_02物料!$B$4:$B$1203,$AG260-1200))))</f>
        <v/>
      </c>
      <c r="B260" s="41" t="str">
        <f aca="false">IF($AG260="","",IF($AG260&lt;=1200,IF(INDEX(对接源_01水果!$E$4:$E$1203,$AG260)=0,"",INDEX(对接源_01水果!$E$4:$E$1203,$AG260)),IF(INDEX(对接源_02物料!$E$4:$E$1203,$AG260-1200)=0,"",INDEX(对接源_02物料!$E$4:$E$1203,$AG260-1200))))</f>
        <v/>
      </c>
      <c r="C260" s="41" t="str">
        <f aca="false">IF($AG260="","",IF($AG260&lt;=1200,IF(INDEX(对接源_01水果!$F$4:$F$1203,$AG260)=0,"",INDEX(对接源_01水果!$F$4:$F$1203,$AG260)),IF(INDEX(对接源_02物料!$F$4:$F$1203,$AG260-1200)=0,"",INDEX(对接源_02物料!$F$4:$F$1203,$AG260-1200))))</f>
        <v/>
      </c>
      <c r="D260" s="41" t="str">
        <f aca="false">IF($AG260="","",IF($AG260&lt;=1200,IF(INDEX(对接源_01水果!$G$4:$G$1203,$AG260)=0,"",INDEX(对接源_01水果!$G$4:$G$1203,$AG260)),IF(INDEX(对接源_02物料!$G$4:$G$1203,$AG260-1200)=0,"",INDEX(对接源_02物料!$G$4:$G$1203,$AG260-1200))))</f>
        <v/>
      </c>
      <c r="E260" s="43" t="str">
        <f aca="false">IF($AG260="","",IF($AG260&lt;=1200,IF(INDEX(对接源_01水果!$H$4:$H$1203,$AG260)=0,"",INDEX(对接源_01水果!$H$4:$H$1203,$AG260)),IF(INDEX(对接源_02物料!$H$4:$H$1203,$AG260-1200)=0,"",INDEX(对接源_02物料!$H$4:$H$1203,$AG260-1200))))</f>
        <v/>
      </c>
      <c r="F260" s="41" t="str">
        <f aca="false">IF($AG260="","",IF($AG260&lt;=1200,IF(INDEX(对接源_01水果!$I$4:$I$1203,$AG260)=0,"",INDEX(对接源_01水果!$I$4:$I$1203,$AG260)),IF(INDEX(对接源_02物料!$I$4:$I$1203,$AG260-1200)=0,"",INDEX(对接源_02物料!$I$4:$I$1203,$AG260-1200))))</f>
        <v/>
      </c>
      <c r="G260" s="55" t="str">
        <f aca="false">IF($AG260="","",IF($AG260&lt;=1200,IF(INDEX(对接源_01水果!$J$4:$J$1203,$AG260)=0,"",INDEX(对接源_01水果!$J$4:$J$1203,$AG260)),IF(INDEX(对接源_02物料!$J$4:$J$1203,$AG260-1200)=0,"",INDEX(对接源_02物料!$J$4:$J$1203,$AG260-1200))))</f>
        <v/>
      </c>
      <c r="H260" s="55" t="str">
        <f aca="false">IF($AG260="","",IF($AG260&lt;=1200,IF(INDEX(对接源_01水果!$K$4:$K$1203,$AG260)=0,"",INDEX(对接源_01水果!$K$4:$K$1203,$AG260)),IF(INDEX(对接源_02物料!$K$4:$K$1203,$AG260-1200)=0,"",INDEX(对接源_02物料!$K$4:$K$1203,$AG260-1200))))</f>
        <v/>
      </c>
      <c r="I260" s="41" t="str">
        <f aca="false">IF($AG260="","",IF($AG260&lt;=1200,IF(INDEX(对接源_01水果!$L$4:$L$1203,$AG260)=0,"",INDEX(对接源_01水果!$L$4:$L$1203,$AG260)),IF(INDEX(对接源_02物料!$L$4:$L$1203,$AG260-1200)=0,"",INDEX(对接源_02物料!$L$4:$L$1203,$AG260-1200))))</f>
        <v/>
      </c>
      <c r="J260" s="42" t="str">
        <f aca="false">IF($AG260="","",IF($AG260&lt;=1200,IF(INDEX(对接源_01水果!$M$4:$M$1203,$AG260)=0,"",INDEX(对接源_01水果!$M$4:$M$1203,$AG260)),IF(INDEX(对接源_02物料!$M$4:$M$1203,$AG260-1200)=0,"",INDEX(对接源_02物料!$M$4:$M$1203,$AG260-1200))))</f>
        <v/>
      </c>
      <c r="AG260" s="44" t="str">
        <f aca="false">IFERROR(MATCH(49,_自动清单!$AE$4:$AE$2403,0),"")</f>
        <v/>
      </c>
    </row>
    <row r="261" customFormat="false" ht="18" hidden="false" customHeight="true" outlineLevel="0" collapsed="false">
      <c r="A261" s="45" t="str">
        <f aca="false">IF($AG261="","",IF($AG261&lt;=1200,IF(INDEX(对接源_01水果!$B$4:$B$1203,$AG261)=0,"",INDEX(对接源_01水果!$B$4:$B$1203,$AG261)),IF(INDEX(对接源_02物料!$B$4:$B$1203,$AG261-1200)=0,"",INDEX(对接源_02物料!$B$4:$B$1203,$AG261-1200))))</f>
        <v/>
      </c>
      <c r="B261" s="46" t="str">
        <f aca="false">IF($AG261="","",IF($AG261&lt;=1200,IF(INDEX(对接源_01水果!$E$4:$E$1203,$AG261)=0,"",INDEX(对接源_01水果!$E$4:$E$1203,$AG261)),IF(INDEX(对接源_02物料!$E$4:$E$1203,$AG261-1200)=0,"",INDEX(对接源_02物料!$E$4:$E$1203,$AG261-1200))))</f>
        <v/>
      </c>
      <c r="C261" s="46" t="str">
        <f aca="false">IF($AG261="","",IF($AG261&lt;=1200,IF(INDEX(对接源_01水果!$F$4:$F$1203,$AG261)=0,"",INDEX(对接源_01水果!$F$4:$F$1203,$AG261)),IF(INDEX(对接源_02物料!$F$4:$F$1203,$AG261-1200)=0,"",INDEX(对接源_02物料!$F$4:$F$1203,$AG261-1200))))</f>
        <v/>
      </c>
      <c r="D261" s="46" t="str">
        <f aca="false">IF($AG261="","",IF($AG261&lt;=1200,IF(INDEX(对接源_01水果!$G$4:$G$1203,$AG261)=0,"",INDEX(对接源_01水果!$G$4:$G$1203,$AG261)),IF(INDEX(对接源_02物料!$G$4:$G$1203,$AG261-1200)=0,"",INDEX(对接源_02物料!$G$4:$G$1203,$AG261-1200))))</f>
        <v/>
      </c>
      <c r="E261" s="48" t="str">
        <f aca="false">IF($AG261="","",IF($AG261&lt;=1200,IF(INDEX(对接源_01水果!$H$4:$H$1203,$AG261)=0,"",INDEX(对接源_01水果!$H$4:$H$1203,$AG261)),IF(INDEX(对接源_02物料!$H$4:$H$1203,$AG261-1200)=0,"",INDEX(对接源_02物料!$H$4:$H$1203,$AG261-1200))))</f>
        <v/>
      </c>
      <c r="F261" s="46" t="str">
        <f aca="false">IF($AG261="","",IF($AG261&lt;=1200,IF(INDEX(对接源_01水果!$I$4:$I$1203,$AG261)=0,"",INDEX(对接源_01水果!$I$4:$I$1203,$AG261)),IF(INDEX(对接源_02物料!$I$4:$I$1203,$AG261-1200)=0,"",INDEX(对接源_02物料!$I$4:$I$1203,$AG261-1200))))</f>
        <v/>
      </c>
      <c r="G261" s="56" t="str">
        <f aca="false">IF($AG261="","",IF($AG261&lt;=1200,IF(INDEX(对接源_01水果!$J$4:$J$1203,$AG261)=0,"",INDEX(对接源_01水果!$J$4:$J$1203,$AG261)),IF(INDEX(对接源_02物料!$J$4:$J$1203,$AG261-1200)=0,"",INDEX(对接源_02物料!$J$4:$J$1203,$AG261-1200))))</f>
        <v/>
      </c>
      <c r="H261" s="56" t="str">
        <f aca="false">IF($AG261="","",IF($AG261&lt;=1200,IF(INDEX(对接源_01水果!$K$4:$K$1203,$AG261)=0,"",INDEX(对接源_01水果!$K$4:$K$1203,$AG261)),IF(INDEX(对接源_02物料!$K$4:$K$1203,$AG261-1200)=0,"",INDEX(对接源_02物料!$K$4:$K$1203,$AG261-1200))))</f>
        <v/>
      </c>
      <c r="I261" s="46" t="str">
        <f aca="false">IF($AG261="","",IF($AG261&lt;=1200,IF(INDEX(对接源_01水果!$L$4:$L$1203,$AG261)=0,"",INDEX(对接源_01水果!$L$4:$L$1203,$AG261)),IF(INDEX(对接源_02物料!$L$4:$L$1203,$AG261-1200)=0,"",INDEX(对接源_02物料!$L$4:$L$1203,$AG261-1200))))</f>
        <v/>
      </c>
      <c r="J261" s="47" t="str">
        <f aca="false">IF($AG261="","",IF($AG261&lt;=1200,IF(INDEX(对接源_01水果!$M$4:$M$1203,$AG261)=0,"",INDEX(对接源_01水果!$M$4:$M$1203,$AG261)),IF(INDEX(对接源_02物料!$M$4:$M$1203,$AG261-1200)=0,"",INDEX(对接源_02物料!$M$4:$M$1203,$AG261-1200))))</f>
        <v/>
      </c>
      <c r="AG261" s="44" t="str">
        <f aca="false">IFERROR(MATCH(50,_自动清单!$AE$4:$AE$2403,0),"")</f>
        <v/>
      </c>
    </row>
    <row r="262" customFormat="false" ht="18" hidden="false" customHeight="true" outlineLevel="0" collapsed="false">
      <c r="A262" s="40" t="str">
        <f aca="false">IF($AG262="","",IF($AG262&lt;=1200,IF(INDEX(对接源_01水果!$B$4:$B$1203,$AG262)=0,"",INDEX(对接源_01水果!$B$4:$B$1203,$AG262)),IF(INDEX(对接源_02物料!$B$4:$B$1203,$AG262-1200)=0,"",INDEX(对接源_02物料!$B$4:$B$1203,$AG262-1200))))</f>
        <v/>
      </c>
      <c r="B262" s="41" t="str">
        <f aca="false">IF($AG262="","",IF($AG262&lt;=1200,IF(INDEX(对接源_01水果!$E$4:$E$1203,$AG262)=0,"",INDEX(对接源_01水果!$E$4:$E$1203,$AG262)),IF(INDEX(对接源_02物料!$E$4:$E$1203,$AG262-1200)=0,"",INDEX(对接源_02物料!$E$4:$E$1203,$AG262-1200))))</f>
        <v/>
      </c>
      <c r="C262" s="41" t="str">
        <f aca="false">IF($AG262="","",IF($AG262&lt;=1200,IF(INDEX(对接源_01水果!$F$4:$F$1203,$AG262)=0,"",INDEX(对接源_01水果!$F$4:$F$1203,$AG262)),IF(INDEX(对接源_02物料!$F$4:$F$1203,$AG262-1200)=0,"",INDEX(对接源_02物料!$F$4:$F$1203,$AG262-1200))))</f>
        <v/>
      </c>
      <c r="D262" s="41" t="str">
        <f aca="false">IF($AG262="","",IF($AG262&lt;=1200,IF(INDEX(对接源_01水果!$G$4:$G$1203,$AG262)=0,"",INDEX(对接源_01水果!$G$4:$G$1203,$AG262)),IF(INDEX(对接源_02物料!$G$4:$G$1203,$AG262-1200)=0,"",INDEX(对接源_02物料!$G$4:$G$1203,$AG262-1200))))</f>
        <v/>
      </c>
      <c r="E262" s="43" t="str">
        <f aca="false">IF($AG262="","",IF($AG262&lt;=1200,IF(INDEX(对接源_01水果!$H$4:$H$1203,$AG262)=0,"",INDEX(对接源_01水果!$H$4:$H$1203,$AG262)),IF(INDEX(对接源_02物料!$H$4:$H$1203,$AG262-1200)=0,"",INDEX(对接源_02物料!$H$4:$H$1203,$AG262-1200))))</f>
        <v/>
      </c>
      <c r="F262" s="41" t="str">
        <f aca="false">IF($AG262="","",IF($AG262&lt;=1200,IF(INDEX(对接源_01水果!$I$4:$I$1203,$AG262)=0,"",INDEX(对接源_01水果!$I$4:$I$1203,$AG262)),IF(INDEX(对接源_02物料!$I$4:$I$1203,$AG262-1200)=0,"",INDEX(对接源_02物料!$I$4:$I$1203,$AG262-1200))))</f>
        <v/>
      </c>
      <c r="G262" s="55" t="str">
        <f aca="false">IF($AG262="","",IF($AG262&lt;=1200,IF(INDEX(对接源_01水果!$J$4:$J$1203,$AG262)=0,"",INDEX(对接源_01水果!$J$4:$J$1203,$AG262)),IF(INDEX(对接源_02物料!$J$4:$J$1203,$AG262-1200)=0,"",INDEX(对接源_02物料!$J$4:$J$1203,$AG262-1200))))</f>
        <v/>
      </c>
      <c r="H262" s="55" t="str">
        <f aca="false">IF($AG262="","",IF($AG262&lt;=1200,IF(INDEX(对接源_01水果!$K$4:$K$1203,$AG262)=0,"",INDEX(对接源_01水果!$K$4:$K$1203,$AG262)),IF(INDEX(对接源_02物料!$K$4:$K$1203,$AG262-1200)=0,"",INDEX(对接源_02物料!$K$4:$K$1203,$AG262-1200))))</f>
        <v/>
      </c>
      <c r="I262" s="41" t="str">
        <f aca="false">IF($AG262="","",IF($AG262&lt;=1200,IF(INDEX(对接源_01水果!$L$4:$L$1203,$AG262)=0,"",INDEX(对接源_01水果!$L$4:$L$1203,$AG262)),IF(INDEX(对接源_02物料!$L$4:$L$1203,$AG262-1200)=0,"",INDEX(对接源_02物料!$L$4:$L$1203,$AG262-1200))))</f>
        <v/>
      </c>
      <c r="J262" s="42" t="str">
        <f aca="false">IF($AG262="","",IF($AG262&lt;=1200,IF(INDEX(对接源_01水果!$M$4:$M$1203,$AG262)=0,"",INDEX(对接源_01水果!$M$4:$M$1203,$AG262)),IF(INDEX(对接源_02物料!$M$4:$M$1203,$AG262-1200)=0,"",INDEX(对接源_02物料!$M$4:$M$1203,$AG262-1200))))</f>
        <v/>
      </c>
      <c r="AG262" s="44" t="str">
        <f aca="false">IFERROR(MATCH(51,_自动清单!$AE$4:$AE$2403,0),"")</f>
        <v/>
      </c>
    </row>
    <row r="263" customFormat="false" ht="18" hidden="false" customHeight="true" outlineLevel="0" collapsed="false">
      <c r="A263" s="45" t="str">
        <f aca="false">IF($AG263="","",IF($AG263&lt;=1200,IF(INDEX(对接源_01水果!$B$4:$B$1203,$AG263)=0,"",INDEX(对接源_01水果!$B$4:$B$1203,$AG263)),IF(INDEX(对接源_02物料!$B$4:$B$1203,$AG263-1200)=0,"",INDEX(对接源_02物料!$B$4:$B$1203,$AG263-1200))))</f>
        <v/>
      </c>
      <c r="B263" s="46" t="str">
        <f aca="false">IF($AG263="","",IF($AG263&lt;=1200,IF(INDEX(对接源_01水果!$E$4:$E$1203,$AG263)=0,"",INDEX(对接源_01水果!$E$4:$E$1203,$AG263)),IF(INDEX(对接源_02物料!$E$4:$E$1203,$AG263-1200)=0,"",INDEX(对接源_02物料!$E$4:$E$1203,$AG263-1200))))</f>
        <v/>
      </c>
      <c r="C263" s="46" t="str">
        <f aca="false">IF($AG263="","",IF($AG263&lt;=1200,IF(INDEX(对接源_01水果!$F$4:$F$1203,$AG263)=0,"",INDEX(对接源_01水果!$F$4:$F$1203,$AG263)),IF(INDEX(对接源_02物料!$F$4:$F$1203,$AG263-1200)=0,"",INDEX(对接源_02物料!$F$4:$F$1203,$AG263-1200))))</f>
        <v/>
      </c>
      <c r="D263" s="46" t="str">
        <f aca="false">IF($AG263="","",IF($AG263&lt;=1200,IF(INDEX(对接源_01水果!$G$4:$G$1203,$AG263)=0,"",INDEX(对接源_01水果!$G$4:$G$1203,$AG263)),IF(INDEX(对接源_02物料!$G$4:$G$1203,$AG263-1200)=0,"",INDEX(对接源_02物料!$G$4:$G$1203,$AG263-1200))))</f>
        <v/>
      </c>
      <c r="E263" s="48" t="str">
        <f aca="false">IF($AG263="","",IF($AG263&lt;=1200,IF(INDEX(对接源_01水果!$H$4:$H$1203,$AG263)=0,"",INDEX(对接源_01水果!$H$4:$H$1203,$AG263)),IF(INDEX(对接源_02物料!$H$4:$H$1203,$AG263-1200)=0,"",INDEX(对接源_02物料!$H$4:$H$1203,$AG263-1200))))</f>
        <v/>
      </c>
      <c r="F263" s="46" t="str">
        <f aca="false">IF($AG263="","",IF($AG263&lt;=1200,IF(INDEX(对接源_01水果!$I$4:$I$1203,$AG263)=0,"",INDEX(对接源_01水果!$I$4:$I$1203,$AG263)),IF(INDEX(对接源_02物料!$I$4:$I$1203,$AG263-1200)=0,"",INDEX(对接源_02物料!$I$4:$I$1203,$AG263-1200))))</f>
        <v/>
      </c>
      <c r="G263" s="56" t="str">
        <f aca="false">IF($AG263="","",IF($AG263&lt;=1200,IF(INDEX(对接源_01水果!$J$4:$J$1203,$AG263)=0,"",INDEX(对接源_01水果!$J$4:$J$1203,$AG263)),IF(INDEX(对接源_02物料!$J$4:$J$1203,$AG263-1200)=0,"",INDEX(对接源_02物料!$J$4:$J$1203,$AG263-1200))))</f>
        <v/>
      </c>
      <c r="H263" s="56" t="str">
        <f aca="false">IF($AG263="","",IF($AG263&lt;=1200,IF(INDEX(对接源_01水果!$K$4:$K$1203,$AG263)=0,"",INDEX(对接源_01水果!$K$4:$K$1203,$AG263)),IF(INDEX(对接源_02物料!$K$4:$K$1203,$AG263-1200)=0,"",INDEX(对接源_02物料!$K$4:$K$1203,$AG263-1200))))</f>
        <v/>
      </c>
      <c r="I263" s="46" t="str">
        <f aca="false">IF($AG263="","",IF($AG263&lt;=1200,IF(INDEX(对接源_01水果!$L$4:$L$1203,$AG263)=0,"",INDEX(对接源_01水果!$L$4:$L$1203,$AG263)),IF(INDEX(对接源_02物料!$L$4:$L$1203,$AG263-1200)=0,"",INDEX(对接源_02物料!$L$4:$L$1203,$AG263-1200))))</f>
        <v/>
      </c>
      <c r="J263" s="47" t="str">
        <f aca="false">IF($AG263="","",IF($AG263&lt;=1200,IF(INDEX(对接源_01水果!$M$4:$M$1203,$AG263)=0,"",INDEX(对接源_01水果!$M$4:$M$1203,$AG263)),IF(INDEX(对接源_02物料!$M$4:$M$1203,$AG263-1200)=0,"",INDEX(对接源_02物料!$M$4:$M$1203,$AG263-1200))))</f>
        <v/>
      </c>
      <c r="AG263" s="44" t="str">
        <f aca="false">IFERROR(MATCH(52,_自动清单!$AE$4:$AE$2403,0),"")</f>
        <v/>
      </c>
    </row>
    <row r="264" customFormat="false" ht="18" hidden="false" customHeight="true" outlineLevel="0" collapsed="false">
      <c r="A264" s="40" t="str">
        <f aca="false">IF($AG264="","",IF($AG264&lt;=1200,IF(INDEX(对接源_01水果!$B$4:$B$1203,$AG264)=0,"",INDEX(对接源_01水果!$B$4:$B$1203,$AG264)),IF(INDEX(对接源_02物料!$B$4:$B$1203,$AG264-1200)=0,"",INDEX(对接源_02物料!$B$4:$B$1203,$AG264-1200))))</f>
        <v/>
      </c>
      <c r="B264" s="41" t="str">
        <f aca="false">IF($AG264="","",IF($AG264&lt;=1200,IF(INDEX(对接源_01水果!$E$4:$E$1203,$AG264)=0,"",INDEX(对接源_01水果!$E$4:$E$1203,$AG264)),IF(INDEX(对接源_02物料!$E$4:$E$1203,$AG264-1200)=0,"",INDEX(对接源_02物料!$E$4:$E$1203,$AG264-1200))))</f>
        <v/>
      </c>
      <c r="C264" s="41" t="str">
        <f aca="false">IF($AG264="","",IF($AG264&lt;=1200,IF(INDEX(对接源_01水果!$F$4:$F$1203,$AG264)=0,"",INDEX(对接源_01水果!$F$4:$F$1203,$AG264)),IF(INDEX(对接源_02物料!$F$4:$F$1203,$AG264-1200)=0,"",INDEX(对接源_02物料!$F$4:$F$1203,$AG264-1200))))</f>
        <v/>
      </c>
      <c r="D264" s="41" t="str">
        <f aca="false">IF($AG264="","",IF($AG264&lt;=1200,IF(INDEX(对接源_01水果!$G$4:$G$1203,$AG264)=0,"",INDEX(对接源_01水果!$G$4:$G$1203,$AG264)),IF(INDEX(对接源_02物料!$G$4:$G$1203,$AG264-1200)=0,"",INDEX(对接源_02物料!$G$4:$G$1203,$AG264-1200))))</f>
        <v/>
      </c>
      <c r="E264" s="43" t="str">
        <f aca="false">IF($AG264="","",IF($AG264&lt;=1200,IF(INDEX(对接源_01水果!$H$4:$H$1203,$AG264)=0,"",INDEX(对接源_01水果!$H$4:$H$1203,$AG264)),IF(INDEX(对接源_02物料!$H$4:$H$1203,$AG264-1200)=0,"",INDEX(对接源_02物料!$H$4:$H$1203,$AG264-1200))))</f>
        <v/>
      </c>
      <c r="F264" s="41" t="str">
        <f aca="false">IF($AG264="","",IF($AG264&lt;=1200,IF(INDEX(对接源_01水果!$I$4:$I$1203,$AG264)=0,"",INDEX(对接源_01水果!$I$4:$I$1203,$AG264)),IF(INDEX(对接源_02物料!$I$4:$I$1203,$AG264-1200)=0,"",INDEX(对接源_02物料!$I$4:$I$1203,$AG264-1200))))</f>
        <v/>
      </c>
      <c r="G264" s="55" t="str">
        <f aca="false">IF($AG264="","",IF($AG264&lt;=1200,IF(INDEX(对接源_01水果!$J$4:$J$1203,$AG264)=0,"",INDEX(对接源_01水果!$J$4:$J$1203,$AG264)),IF(INDEX(对接源_02物料!$J$4:$J$1203,$AG264-1200)=0,"",INDEX(对接源_02物料!$J$4:$J$1203,$AG264-1200))))</f>
        <v/>
      </c>
      <c r="H264" s="55" t="str">
        <f aca="false">IF($AG264="","",IF($AG264&lt;=1200,IF(INDEX(对接源_01水果!$K$4:$K$1203,$AG264)=0,"",INDEX(对接源_01水果!$K$4:$K$1203,$AG264)),IF(INDEX(对接源_02物料!$K$4:$K$1203,$AG264-1200)=0,"",INDEX(对接源_02物料!$K$4:$K$1203,$AG264-1200))))</f>
        <v/>
      </c>
      <c r="I264" s="41" t="str">
        <f aca="false">IF($AG264="","",IF($AG264&lt;=1200,IF(INDEX(对接源_01水果!$L$4:$L$1203,$AG264)=0,"",INDEX(对接源_01水果!$L$4:$L$1203,$AG264)),IF(INDEX(对接源_02物料!$L$4:$L$1203,$AG264-1200)=0,"",INDEX(对接源_02物料!$L$4:$L$1203,$AG264-1200))))</f>
        <v/>
      </c>
      <c r="J264" s="42" t="str">
        <f aca="false">IF($AG264="","",IF($AG264&lt;=1200,IF(INDEX(对接源_01水果!$M$4:$M$1203,$AG264)=0,"",INDEX(对接源_01水果!$M$4:$M$1203,$AG264)),IF(INDEX(对接源_02物料!$M$4:$M$1203,$AG264-1200)=0,"",INDEX(对接源_02物料!$M$4:$M$1203,$AG264-1200))))</f>
        <v/>
      </c>
      <c r="AG264" s="44" t="str">
        <f aca="false">IFERROR(MATCH(53,_自动清单!$AE$4:$AE$2403,0),"")</f>
        <v/>
      </c>
    </row>
    <row r="265" customFormat="false" ht="18" hidden="false" customHeight="true" outlineLevel="0" collapsed="false">
      <c r="A265" s="45" t="str">
        <f aca="false">IF($AG265="","",IF($AG265&lt;=1200,IF(INDEX(对接源_01水果!$B$4:$B$1203,$AG265)=0,"",INDEX(对接源_01水果!$B$4:$B$1203,$AG265)),IF(INDEX(对接源_02物料!$B$4:$B$1203,$AG265-1200)=0,"",INDEX(对接源_02物料!$B$4:$B$1203,$AG265-1200))))</f>
        <v/>
      </c>
      <c r="B265" s="46" t="str">
        <f aca="false">IF($AG265="","",IF($AG265&lt;=1200,IF(INDEX(对接源_01水果!$E$4:$E$1203,$AG265)=0,"",INDEX(对接源_01水果!$E$4:$E$1203,$AG265)),IF(INDEX(对接源_02物料!$E$4:$E$1203,$AG265-1200)=0,"",INDEX(对接源_02物料!$E$4:$E$1203,$AG265-1200))))</f>
        <v/>
      </c>
      <c r="C265" s="46" t="str">
        <f aca="false">IF($AG265="","",IF($AG265&lt;=1200,IF(INDEX(对接源_01水果!$F$4:$F$1203,$AG265)=0,"",INDEX(对接源_01水果!$F$4:$F$1203,$AG265)),IF(INDEX(对接源_02物料!$F$4:$F$1203,$AG265-1200)=0,"",INDEX(对接源_02物料!$F$4:$F$1203,$AG265-1200))))</f>
        <v/>
      </c>
      <c r="D265" s="46" t="str">
        <f aca="false">IF($AG265="","",IF($AG265&lt;=1200,IF(INDEX(对接源_01水果!$G$4:$G$1203,$AG265)=0,"",INDEX(对接源_01水果!$G$4:$G$1203,$AG265)),IF(INDEX(对接源_02物料!$G$4:$G$1203,$AG265-1200)=0,"",INDEX(对接源_02物料!$G$4:$G$1203,$AG265-1200))))</f>
        <v/>
      </c>
      <c r="E265" s="48" t="str">
        <f aca="false">IF($AG265="","",IF($AG265&lt;=1200,IF(INDEX(对接源_01水果!$H$4:$H$1203,$AG265)=0,"",INDEX(对接源_01水果!$H$4:$H$1203,$AG265)),IF(INDEX(对接源_02物料!$H$4:$H$1203,$AG265-1200)=0,"",INDEX(对接源_02物料!$H$4:$H$1203,$AG265-1200))))</f>
        <v/>
      </c>
      <c r="F265" s="46" t="str">
        <f aca="false">IF($AG265="","",IF($AG265&lt;=1200,IF(INDEX(对接源_01水果!$I$4:$I$1203,$AG265)=0,"",INDEX(对接源_01水果!$I$4:$I$1203,$AG265)),IF(INDEX(对接源_02物料!$I$4:$I$1203,$AG265-1200)=0,"",INDEX(对接源_02物料!$I$4:$I$1203,$AG265-1200))))</f>
        <v/>
      </c>
      <c r="G265" s="56" t="str">
        <f aca="false">IF($AG265="","",IF($AG265&lt;=1200,IF(INDEX(对接源_01水果!$J$4:$J$1203,$AG265)=0,"",INDEX(对接源_01水果!$J$4:$J$1203,$AG265)),IF(INDEX(对接源_02物料!$J$4:$J$1203,$AG265-1200)=0,"",INDEX(对接源_02物料!$J$4:$J$1203,$AG265-1200))))</f>
        <v/>
      </c>
      <c r="H265" s="56" t="str">
        <f aca="false">IF($AG265="","",IF($AG265&lt;=1200,IF(INDEX(对接源_01水果!$K$4:$K$1203,$AG265)=0,"",INDEX(对接源_01水果!$K$4:$K$1203,$AG265)),IF(INDEX(对接源_02物料!$K$4:$K$1203,$AG265-1200)=0,"",INDEX(对接源_02物料!$K$4:$K$1203,$AG265-1200))))</f>
        <v/>
      </c>
      <c r="I265" s="46" t="str">
        <f aca="false">IF($AG265="","",IF($AG265&lt;=1200,IF(INDEX(对接源_01水果!$L$4:$L$1203,$AG265)=0,"",INDEX(对接源_01水果!$L$4:$L$1203,$AG265)),IF(INDEX(对接源_02物料!$L$4:$L$1203,$AG265-1200)=0,"",INDEX(对接源_02物料!$L$4:$L$1203,$AG265-1200))))</f>
        <v/>
      </c>
      <c r="J265" s="47" t="str">
        <f aca="false">IF($AG265="","",IF($AG265&lt;=1200,IF(INDEX(对接源_01水果!$M$4:$M$1203,$AG265)=0,"",INDEX(对接源_01水果!$M$4:$M$1203,$AG265)),IF(INDEX(对接源_02物料!$M$4:$M$1203,$AG265-1200)=0,"",INDEX(对接源_02物料!$M$4:$M$1203,$AG265-1200))))</f>
        <v/>
      </c>
      <c r="AG265" s="44" t="str">
        <f aca="false">IFERROR(MATCH(54,_自动清单!$AE$4:$AE$2403,0),"")</f>
        <v/>
      </c>
    </row>
    <row r="266" customFormat="false" ht="18" hidden="false" customHeight="true" outlineLevel="0" collapsed="false">
      <c r="A266" s="40" t="str">
        <f aca="false">IF($AG266="","",IF($AG266&lt;=1200,IF(INDEX(对接源_01水果!$B$4:$B$1203,$AG266)=0,"",INDEX(对接源_01水果!$B$4:$B$1203,$AG266)),IF(INDEX(对接源_02物料!$B$4:$B$1203,$AG266-1200)=0,"",INDEX(对接源_02物料!$B$4:$B$1203,$AG266-1200))))</f>
        <v/>
      </c>
      <c r="B266" s="41" t="str">
        <f aca="false">IF($AG266="","",IF($AG266&lt;=1200,IF(INDEX(对接源_01水果!$E$4:$E$1203,$AG266)=0,"",INDEX(对接源_01水果!$E$4:$E$1203,$AG266)),IF(INDEX(对接源_02物料!$E$4:$E$1203,$AG266-1200)=0,"",INDEX(对接源_02物料!$E$4:$E$1203,$AG266-1200))))</f>
        <v/>
      </c>
      <c r="C266" s="41" t="str">
        <f aca="false">IF($AG266="","",IF($AG266&lt;=1200,IF(INDEX(对接源_01水果!$F$4:$F$1203,$AG266)=0,"",INDEX(对接源_01水果!$F$4:$F$1203,$AG266)),IF(INDEX(对接源_02物料!$F$4:$F$1203,$AG266-1200)=0,"",INDEX(对接源_02物料!$F$4:$F$1203,$AG266-1200))))</f>
        <v/>
      </c>
      <c r="D266" s="41" t="str">
        <f aca="false">IF($AG266="","",IF($AG266&lt;=1200,IF(INDEX(对接源_01水果!$G$4:$G$1203,$AG266)=0,"",INDEX(对接源_01水果!$G$4:$G$1203,$AG266)),IF(INDEX(对接源_02物料!$G$4:$G$1203,$AG266-1200)=0,"",INDEX(对接源_02物料!$G$4:$G$1203,$AG266-1200))))</f>
        <v/>
      </c>
      <c r="E266" s="43" t="str">
        <f aca="false">IF($AG266="","",IF($AG266&lt;=1200,IF(INDEX(对接源_01水果!$H$4:$H$1203,$AG266)=0,"",INDEX(对接源_01水果!$H$4:$H$1203,$AG266)),IF(INDEX(对接源_02物料!$H$4:$H$1203,$AG266-1200)=0,"",INDEX(对接源_02物料!$H$4:$H$1203,$AG266-1200))))</f>
        <v/>
      </c>
      <c r="F266" s="41" t="str">
        <f aca="false">IF($AG266="","",IF($AG266&lt;=1200,IF(INDEX(对接源_01水果!$I$4:$I$1203,$AG266)=0,"",INDEX(对接源_01水果!$I$4:$I$1203,$AG266)),IF(INDEX(对接源_02物料!$I$4:$I$1203,$AG266-1200)=0,"",INDEX(对接源_02物料!$I$4:$I$1203,$AG266-1200))))</f>
        <v/>
      </c>
      <c r="G266" s="55" t="str">
        <f aca="false">IF($AG266="","",IF($AG266&lt;=1200,IF(INDEX(对接源_01水果!$J$4:$J$1203,$AG266)=0,"",INDEX(对接源_01水果!$J$4:$J$1203,$AG266)),IF(INDEX(对接源_02物料!$J$4:$J$1203,$AG266-1200)=0,"",INDEX(对接源_02物料!$J$4:$J$1203,$AG266-1200))))</f>
        <v/>
      </c>
      <c r="H266" s="55" t="str">
        <f aca="false">IF($AG266="","",IF($AG266&lt;=1200,IF(INDEX(对接源_01水果!$K$4:$K$1203,$AG266)=0,"",INDEX(对接源_01水果!$K$4:$K$1203,$AG266)),IF(INDEX(对接源_02物料!$K$4:$K$1203,$AG266-1200)=0,"",INDEX(对接源_02物料!$K$4:$K$1203,$AG266-1200))))</f>
        <v/>
      </c>
      <c r="I266" s="41" t="str">
        <f aca="false">IF($AG266="","",IF($AG266&lt;=1200,IF(INDEX(对接源_01水果!$L$4:$L$1203,$AG266)=0,"",INDEX(对接源_01水果!$L$4:$L$1203,$AG266)),IF(INDEX(对接源_02物料!$L$4:$L$1203,$AG266-1200)=0,"",INDEX(对接源_02物料!$L$4:$L$1203,$AG266-1200))))</f>
        <v/>
      </c>
      <c r="J266" s="42" t="str">
        <f aca="false">IF($AG266="","",IF($AG266&lt;=1200,IF(INDEX(对接源_01水果!$M$4:$M$1203,$AG266)=0,"",INDEX(对接源_01水果!$M$4:$M$1203,$AG266)),IF(INDEX(对接源_02物料!$M$4:$M$1203,$AG266-1200)=0,"",INDEX(对接源_02物料!$M$4:$M$1203,$AG266-1200))))</f>
        <v/>
      </c>
      <c r="AG266" s="44" t="str">
        <f aca="false">IFERROR(MATCH(55,_自动清单!$AE$4:$AE$2403,0),"")</f>
        <v/>
      </c>
    </row>
    <row r="267" customFormat="false" ht="18" hidden="false" customHeight="true" outlineLevel="0" collapsed="false">
      <c r="A267" s="45" t="str">
        <f aca="false">IF($AG267="","",IF($AG267&lt;=1200,IF(INDEX(对接源_01水果!$B$4:$B$1203,$AG267)=0,"",INDEX(对接源_01水果!$B$4:$B$1203,$AG267)),IF(INDEX(对接源_02物料!$B$4:$B$1203,$AG267-1200)=0,"",INDEX(对接源_02物料!$B$4:$B$1203,$AG267-1200))))</f>
        <v/>
      </c>
      <c r="B267" s="46" t="str">
        <f aca="false">IF($AG267="","",IF($AG267&lt;=1200,IF(INDEX(对接源_01水果!$E$4:$E$1203,$AG267)=0,"",INDEX(对接源_01水果!$E$4:$E$1203,$AG267)),IF(INDEX(对接源_02物料!$E$4:$E$1203,$AG267-1200)=0,"",INDEX(对接源_02物料!$E$4:$E$1203,$AG267-1200))))</f>
        <v/>
      </c>
      <c r="C267" s="46" t="str">
        <f aca="false">IF($AG267="","",IF($AG267&lt;=1200,IF(INDEX(对接源_01水果!$F$4:$F$1203,$AG267)=0,"",INDEX(对接源_01水果!$F$4:$F$1203,$AG267)),IF(INDEX(对接源_02物料!$F$4:$F$1203,$AG267-1200)=0,"",INDEX(对接源_02物料!$F$4:$F$1203,$AG267-1200))))</f>
        <v/>
      </c>
      <c r="D267" s="46" t="str">
        <f aca="false">IF($AG267="","",IF($AG267&lt;=1200,IF(INDEX(对接源_01水果!$G$4:$G$1203,$AG267)=0,"",INDEX(对接源_01水果!$G$4:$G$1203,$AG267)),IF(INDEX(对接源_02物料!$G$4:$G$1203,$AG267-1200)=0,"",INDEX(对接源_02物料!$G$4:$G$1203,$AG267-1200))))</f>
        <v/>
      </c>
      <c r="E267" s="48" t="str">
        <f aca="false">IF($AG267="","",IF($AG267&lt;=1200,IF(INDEX(对接源_01水果!$H$4:$H$1203,$AG267)=0,"",INDEX(对接源_01水果!$H$4:$H$1203,$AG267)),IF(INDEX(对接源_02物料!$H$4:$H$1203,$AG267-1200)=0,"",INDEX(对接源_02物料!$H$4:$H$1203,$AG267-1200))))</f>
        <v/>
      </c>
      <c r="F267" s="46" t="str">
        <f aca="false">IF($AG267="","",IF($AG267&lt;=1200,IF(INDEX(对接源_01水果!$I$4:$I$1203,$AG267)=0,"",INDEX(对接源_01水果!$I$4:$I$1203,$AG267)),IF(INDEX(对接源_02物料!$I$4:$I$1203,$AG267-1200)=0,"",INDEX(对接源_02物料!$I$4:$I$1203,$AG267-1200))))</f>
        <v/>
      </c>
      <c r="G267" s="56" t="str">
        <f aca="false">IF($AG267="","",IF($AG267&lt;=1200,IF(INDEX(对接源_01水果!$J$4:$J$1203,$AG267)=0,"",INDEX(对接源_01水果!$J$4:$J$1203,$AG267)),IF(INDEX(对接源_02物料!$J$4:$J$1203,$AG267-1200)=0,"",INDEX(对接源_02物料!$J$4:$J$1203,$AG267-1200))))</f>
        <v/>
      </c>
      <c r="H267" s="56" t="str">
        <f aca="false">IF($AG267="","",IF($AG267&lt;=1200,IF(INDEX(对接源_01水果!$K$4:$K$1203,$AG267)=0,"",INDEX(对接源_01水果!$K$4:$K$1203,$AG267)),IF(INDEX(对接源_02物料!$K$4:$K$1203,$AG267-1200)=0,"",INDEX(对接源_02物料!$K$4:$K$1203,$AG267-1200))))</f>
        <v/>
      </c>
      <c r="I267" s="46" t="str">
        <f aca="false">IF($AG267="","",IF($AG267&lt;=1200,IF(INDEX(对接源_01水果!$L$4:$L$1203,$AG267)=0,"",INDEX(对接源_01水果!$L$4:$L$1203,$AG267)),IF(INDEX(对接源_02物料!$L$4:$L$1203,$AG267-1200)=0,"",INDEX(对接源_02物料!$L$4:$L$1203,$AG267-1200))))</f>
        <v/>
      </c>
      <c r="J267" s="47" t="str">
        <f aca="false">IF($AG267="","",IF($AG267&lt;=1200,IF(INDEX(对接源_01水果!$M$4:$M$1203,$AG267)=0,"",INDEX(对接源_01水果!$M$4:$M$1203,$AG267)),IF(INDEX(对接源_02物料!$M$4:$M$1203,$AG267-1200)=0,"",INDEX(对接源_02物料!$M$4:$M$1203,$AG267-1200))))</f>
        <v/>
      </c>
      <c r="AG267" s="44" t="str">
        <f aca="false">IFERROR(MATCH(56,_自动清单!$AE$4:$AE$2403,0),"")</f>
        <v/>
      </c>
    </row>
    <row r="268" customFormat="false" ht="18" hidden="false" customHeight="true" outlineLevel="0" collapsed="false">
      <c r="A268" s="40" t="str">
        <f aca="false">IF($AG268="","",IF($AG268&lt;=1200,IF(INDEX(对接源_01水果!$B$4:$B$1203,$AG268)=0,"",INDEX(对接源_01水果!$B$4:$B$1203,$AG268)),IF(INDEX(对接源_02物料!$B$4:$B$1203,$AG268-1200)=0,"",INDEX(对接源_02物料!$B$4:$B$1203,$AG268-1200))))</f>
        <v/>
      </c>
      <c r="B268" s="41" t="str">
        <f aca="false">IF($AG268="","",IF($AG268&lt;=1200,IF(INDEX(对接源_01水果!$E$4:$E$1203,$AG268)=0,"",INDEX(对接源_01水果!$E$4:$E$1203,$AG268)),IF(INDEX(对接源_02物料!$E$4:$E$1203,$AG268-1200)=0,"",INDEX(对接源_02物料!$E$4:$E$1203,$AG268-1200))))</f>
        <v/>
      </c>
      <c r="C268" s="41" t="str">
        <f aca="false">IF($AG268="","",IF($AG268&lt;=1200,IF(INDEX(对接源_01水果!$F$4:$F$1203,$AG268)=0,"",INDEX(对接源_01水果!$F$4:$F$1203,$AG268)),IF(INDEX(对接源_02物料!$F$4:$F$1203,$AG268-1200)=0,"",INDEX(对接源_02物料!$F$4:$F$1203,$AG268-1200))))</f>
        <v/>
      </c>
      <c r="D268" s="41" t="str">
        <f aca="false">IF($AG268="","",IF($AG268&lt;=1200,IF(INDEX(对接源_01水果!$G$4:$G$1203,$AG268)=0,"",INDEX(对接源_01水果!$G$4:$G$1203,$AG268)),IF(INDEX(对接源_02物料!$G$4:$G$1203,$AG268-1200)=0,"",INDEX(对接源_02物料!$G$4:$G$1203,$AG268-1200))))</f>
        <v/>
      </c>
      <c r="E268" s="43" t="str">
        <f aca="false">IF($AG268="","",IF($AG268&lt;=1200,IF(INDEX(对接源_01水果!$H$4:$H$1203,$AG268)=0,"",INDEX(对接源_01水果!$H$4:$H$1203,$AG268)),IF(INDEX(对接源_02物料!$H$4:$H$1203,$AG268-1200)=0,"",INDEX(对接源_02物料!$H$4:$H$1203,$AG268-1200))))</f>
        <v/>
      </c>
      <c r="F268" s="41" t="str">
        <f aca="false">IF($AG268="","",IF($AG268&lt;=1200,IF(INDEX(对接源_01水果!$I$4:$I$1203,$AG268)=0,"",INDEX(对接源_01水果!$I$4:$I$1203,$AG268)),IF(INDEX(对接源_02物料!$I$4:$I$1203,$AG268-1200)=0,"",INDEX(对接源_02物料!$I$4:$I$1203,$AG268-1200))))</f>
        <v/>
      </c>
      <c r="G268" s="55" t="str">
        <f aca="false">IF($AG268="","",IF($AG268&lt;=1200,IF(INDEX(对接源_01水果!$J$4:$J$1203,$AG268)=0,"",INDEX(对接源_01水果!$J$4:$J$1203,$AG268)),IF(INDEX(对接源_02物料!$J$4:$J$1203,$AG268-1200)=0,"",INDEX(对接源_02物料!$J$4:$J$1203,$AG268-1200))))</f>
        <v/>
      </c>
      <c r="H268" s="55" t="str">
        <f aca="false">IF($AG268="","",IF($AG268&lt;=1200,IF(INDEX(对接源_01水果!$K$4:$K$1203,$AG268)=0,"",INDEX(对接源_01水果!$K$4:$K$1203,$AG268)),IF(INDEX(对接源_02物料!$K$4:$K$1203,$AG268-1200)=0,"",INDEX(对接源_02物料!$K$4:$K$1203,$AG268-1200))))</f>
        <v/>
      </c>
      <c r="I268" s="41" t="str">
        <f aca="false">IF($AG268="","",IF($AG268&lt;=1200,IF(INDEX(对接源_01水果!$L$4:$L$1203,$AG268)=0,"",INDEX(对接源_01水果!$L$4:$L$1203,$AG268)),IF(INDEX(对接源_02物料!$L$4:$L$1203,$AG268-1200)=0,"",INDEX(对接源_02物料!$L$4:$L$1203,$AG268-1200))))</f>
        <v/>
      </c>
      <c r="J268" s="42" t="str">
        <f aca="false">IF($AG268="","",IF($AG268&lt;=1200,IF(INDEX(对接源_01水果!$M$4:$M$1203,$AG268)=0,"",INDEX(对接源_01水果!$M$4:$M$1203,$AG268)),IF(INDEX(对接源_02物料!$M$4:$M$1203,$AG268-1200)=0,"",INDEX(对接源_02物料!$M$4:$M$1203,$AG268-1200))))</f>
        <v/>
      </c>
      <c r="AG268" s="44" t="str">
        <f aca="false">IFERROR(MATCH(57,_自动清单!$AE$4:$AE$2403,0),"")</f>
        <v/>
      </c>
    </row>
    <row r="269" customFormat="false" ht="18" hidden="false" customHeight="true" outlineLevel="0" collapsed="false">
      <c r="A269" s="45" t="str">
        <f aca="false">IF($AG269="","",IF($AG269&lt;=1200,IF(INDEX(对接源_01水果!$B$4:$B$1203,$AG269)=0,"",INDEX(对接源_01水果!$B$4:$B$1203,$AG269)),IF(INDEX(对接源_02物料!$B$4:$B$1203,$AG269-1200)=0,"",INDEX(对接源_02物料!$B$4:$B$1203,$AG269-1200))))</f>
        <v/>
      </c>
      <c r="B269" s="46" t="str">
        <f aca="false">IF($AG269="","",IF($AG269&lt;=1200,IF(INDEX(对接源_01水果!$E$4:$E$1203,$AG269)=0,"",INDEX(对接源_01水果!$E$4:$E$1203,$AG269)),IF(INDEX(对接源_02物料!$E$4:$E$1203,$AG269-1200)=0,"",INDEX(对接源_02物料!$E$4:$E$1203,$AG269-1200))))</f>
        <v/>
      </c>
      <c r="C269" s="46" t="str">
        <f aca="false">IF($AG269="","",IF($AG269&lt;=1200,IF(INDEX(对接源_01水果!$F$4:$F$1203,$AG269)=0,"",INDEX(对接源_01水果!$F$4:$F$1203,$AG269)),IF(INDEX(对接源_02物料!$F$4:$F$1203,$AG269-1200)=0,"",INDEX(对接源_02物料!$F$4:$F$1203,$AG269-1200))))</f>
        <v/>
      </c>
      <c r="D269" s="46" t="str">
        <f aca="false">IF($AG269="","",IF($AG269&lt;=1200,IF(INDEX(对接源_01水果!$G$4:$G$1203,$AG269)=0,"",INDEX(对接源_01水果!$G$4:$G$1203,$AG269)),IF(INDEX(对接源_02物料!$G$4:$G$1203,$AG269-1200)=0,"",INDEX(对接源_02物料!$G$4:$G$1203,$AG269-1200))))</f>
        <v/>
      </c>
      <c r="E269" s="48" t="str">
        <f aca="false">IF($AG269="","",IF($AG269&lt;=1200,IF(INDEX(对接源_01水果!$H$4:$H$1203,$AG269)=0,"",INDEX(对接源_01水果!$H$4:$H$1203,$AG269)),IF(INDEX(对接源_02物料!$H$4:$H$1203,$AG269-1200)=0,"",INDEX(对接源_02物料!$H$4:$H$1203,$AG269-1200))))</f>
        <v/>
      </c>
      <c r="F269" s="46" t="str">
        <f aca="false">IF($AG269="","",IF($AG269&lt;=1200,IF(INDEX(对接源_01水果!$I$4:$I$1203,$AG269)=0,"",INDEX(对接源_01水果!$I$4:$I$1203,$AG269)),IF(INDEX(对接源_02物料!$I$4:$I$1203,$AG269-1200)=0,"",INDEX(对接源_02物料!$I$4:$I$1203,$AG269-1200))))</f>
        <v/>
      </c>
      <c r="G269" s="56" t="str">
        <f aca="false">IF($AG269="","",IF($AG269&lt;=1200,IF(INDEX(对接源_01水果!$J$4:$J$1203,$AG269)=0,"",INDEX(对接源_01水果!$J$4:$J$1203,$AG269)),IF(INDEX(对接源_02物料!$J$4:$J$1203,$AG269-1200)=0,"",INDEX(对接源_02物料!$J$4:$J$1203,$AG269-1200))))</f>
        <v/>
      </c>
      <c r="H269" s="56" t="str">
        <f aca="false">IF($AG269="","",IF($AG269&lt;=1200,IF(INDEX(对接源_01水果!$K$4:$K$1203,$AG269)=0,"",INDEX(对接源_01水果!$K$4:$K$1203,$AG269)),IF(INDEX(对接源_02物料!$K$4:$K$1203,$AG269-1200)=0,"",INDEX(对接源_02物料!$K$4:$K$1203,$AG269-1200))))</f>
        <v/>
      </c>
      <c r="I269" s="46" t="str">
        <f aca="false">IF($AG269="","",IF($AG269&lt;=1200,IF(INDEX(对接源_01水果!$L$4:$L$1203,$AG269)=0,"",INDEX(对接源_01水果!$L$4:$L$1203,$AG269)),IF(INDEX(对接源_02物料!$L$4:$L$1203,$AG269-1200)=0,"",INDEX(对接源_02物料!$L$4:$L$1203,$AG269-1200))))</f>
        <v/>
      </c>
      <c r="J269" s="47" t="str">
        <f aca="false">IF($AG269="","",IF($AG269&lt;=1200,IF(INDEX(对接源_01水果!$M$4:$M$1203,$AG269)=0,"",INDEX(对接源_01水果!$M$4:$M$1203,$AG269)),IF(INDEX(对接源_02物料!$M$4:$M$1203,$AG269-1200)=0,"",INDEX(对接源_02物料!$M$4:$M$1203,$AG269-1200))))</f>
        <v/>
      </c>
      <c r="AG269" s="44" t="str">
        <f aca="false">IFERROR(MATCH(58,_自动清单!$AE$4:$AE$2403,0),"")</f>
        <v/>
      </c>
    </row>
    <row r="270" customFormat="false" ht="18" hidden="false" customHeight="true" outlineLevel="0" collapsed="false">
      <c r="A270" s="40" t="str">
        <f aca="false">IF($AG270="","",IF($AG270&lt;=1200,IF(INDEX(对接源_01水果!$B$4:$B$1203,$AG270)=0,"",INDEX(对接源_01水果!$B$4:$B$1203,$AG270)),IF(INDEX(对接源_02物料!$B$4:$B$1203,$AG270-1200)=0,"",INDEX(对接源_02物料!$B$4:$B$1203,$AG270-1200))))</f>
        <v/>
      </c>
      <c r="B270" s="41" t="str">
        <f aca="false">IF($AG270="","",IF($AG270&lt;=1200,IF(INDEX(对接源_01水果!$E$4:$E$1203,$AG270)=0,"",INDEX(对接源_01水果!$E$4:$E$1203,$AG270)),IF(INDEX(对接源_02物料!$E$4:$E$1203,$AG270-1200)=0,"",INDEX(对接源_02物料!$E$4:$E$1203,$AG270-1200))))</f>
        <v/>
      </c>
      <c r="C270" s="41" t="str">
        <f aca="false">IF($AG270="","",IF($AG270&lt;=1200,IF(INDEX(对接源_01水果!$F$4:$F$1203,$AG270)=0,"",INDEX(对接源_01水果!$F$4:$F$1203,$AG270)),IF(INDEX(对接源_02物料!$F$4:$F$1203,$AG270-1200)=0,"",INDEX(对接源_02物料!$F$4:$F$1203,$AG270-1200))))</f>
        <v/>
      </c>
      <c r="D270" s="41" t="str">
        <f aca="false">IF($AG270="","",IF($AG270&lt;=1200,IF(INDEX(对接源_01水果!$G$4:$G$1203,$AG270)=0,"",INDEX(对接源_01水果!$G$4:$G$1203,$AG270)),IF(INDEX(对接源_02物料!$G$4:$G$1203,$AG270-1200)=0,"",INDEX(对接源_02物料!$G$4:$G$1203,$AG270-1200))))</f>
        <v/>
      </c>
      <c r="E270" s="43" t="str">
        <f aca="false">IF($AG270="","",IF($AG270&lt;=1200,IF(INDEX(对接源_01水果!$H$4:$H$1203,$AG270)=0,"",INDEX(对接源_01水果!$H$4:$H$1203,$AG270)),IF(INDEX(对接源_02物料!$H$4:$H$1203,$AG270-1200)=0,"",INDEX(对接源_02物料!$H$4:$H$1203,$AG270-1200))))</f>
        <v/>
      </c>
      <c r="F270" s="41" t="str">
        <f aca="false">IF($AG270="","",IF($AG270&lt;=1200,IF(INDEX(对接源_01水果!$I$4:$I$1203,$AG270)=0,"",INDEX(对接源_01水果!$I$4:$I$1203,$AG270)),IF(INDEX(对接源_02物料!$I$4:$I$1203,$AG270-1200)=0,"",INDEX(对接源_02物料!$I$4:$I$1203,$AG270-1200))))</f>
        <v/>
      </c>
      <c r="G270" s="55" t="str">
        <f aca="false">IF($AG270="","",IF($AG270&lt;=1200,IF(INDEX(对接源_01水果!$J$4:$J$1203,$AG270)=0,"",INDEX(对接源_01水果!$J$4:$J$1203,$AG270)),IF(INDEX(对接源_02物料!$J$4:$J$1203,$AG270-1200)=0,"",INDEX(对接源_02物料!$J$4:$J$1203,$AG270-1200))))</f>
        <v/>
      </c>
      <c r="H270" s="55" t="str">
        <f aca="false">IF($AG270="","",IF($AG270&lt;=1200,IF(INDEX(对接源_01水果!$K$4:$K$1203,$AG270)=0,"",INDEX(对接源_01水果!$K$4:$K$1203,$AG270)),IF(INDEX(对接源_02物料!$K$4:$K$1203,$AG270-1200)=0,"",INDEX(对接源_02物料!$K$4:$K$1203,$AG270-1200))))</f>
        <v/>
      </c>
      <c r="I270" s="41" t="str">
        <f aca="false">IF($AG270="","",IF($AG270&lt;=1200,IF(INDEX(对接源_01水果!$L$4:$L$1203,$AG270)=0,"",INDEX(对接源_01水果!$L$4:$L$1203,$AG270)),IF(INDEX(对接源_02物料!$L$4:$L$1203,$AG270-1200)=0,"",INDEX(对接源_02物料!$L$4:$L$1203,$AG270-1200))))</f>
        <v/>
      </c>
      <c r="J270" s="42" t="str">
        <f aca="false">IF($AG270="","",IF($AG270&lt;=1200,IF(INDEX(对接源_01水果!$M$4:$M$1203,$AG270)=0,"",INDEX(对接源_01水果!$M$4:$M$1203,$AG270)),IF(INDEX(对接源_02物料!$M$4:$M$1203,$AG270-1200)=0,"",INDEX(对接源_02物料!$M$4:$M$1203,$AG270-1200))))</f>
        <v/>
      </c>
      <c r="AG270" s="44" t="str">
        <f aca="false">IFERROR(MATCH(59,_自动清单!$AE$4:$AE$2403,0),"")</f>
        <v/>
      </c>
    </row>
    <row r="271" customFormat="false" ht="18" hidden="false" customHeight="true" outlineLevel="0" collapsed="false">
      <c r="A271" s="45" t="str">
        <f aca="false">IF($AG271="","",IF($AG271&lt;=1200,IF(INDEX(对接源_01水果!$B$4:$B$1203,$AG271)=0,"",INDEX(对接源_01水果!$B$4:$B$1203,$AG271)),IF(INDEX(对接源_02物料!$B$4:$B$1203,$AG271-1200)=0,"",INDEX(对接源_02物料!$B$4:$B$1203,$AG271-1200))))</f>
        <v/>
      </c>
      <c r="B271" s="46" t="str">
        <f aca="false">IF($AG271="","",IF($AG271&lt;=1200,IF(INDEX(对接源_01水果!$E$4:$E$1203,$AG271)=0,"",INDEX(对接源_01水果!$E$4:$E$1203,$AG271)),IF(INDEX(对接源_02物料!$E$4:$E$1203,$AG271-1200)=0,"",INDEX(对接源_02物料!$E$4:$E$1203,$AG271-1200))))</f>
        <v/>
      </c>
      <c r="C271" s="46" t="str">
        <f aca="false">IF($AG271="","",IF($AG271&lt;=1200,IF(INDEX(对接源_01水果!$F$4:$F$1203,$AG271)=0,"",INDEX(对接源_01水果!$F$4:$F$1203,$AG271)),IF(INDEX(对接源_02物料!$F$4:$F$1203,$AG271-1200)=0,"",INDEX(对接源_02物料!$F$4:$F$1203,$AG271-1200))))</f>
        <v/>
      </c>
      <c r="D271" s="46" t="str">
        <f aca="false">IF($AG271="","",IF($AG271&lt;=1200,IF(INDEX(对接源_01水果!$G$4:$G$1203,$AG271)=0,"",INDEX(对接源_01水果!$G$4:$G$1203,$AG271)),IF(INDEX(对接源_02物料!$G$4:$G$1203,$AG271-1200)=0,"",INDEX(对接源_02物料!$G$4:$G$1203,$AG271-1200))))</f>
        <v/>
      </c>
      <c r="E271" s="48" t="str">
        <f aca="false">IF($AG271="","",IF($AG271&lt;=1200,IF(INDEX(对接源_01水果!$H$4:$H$1203,$AG271)=0,"",INDEX(对接源_01水果!$H$4:$H$1203,$AG271)),IF(INDEX(对接源_02物料!$H$4:$H$1203,$AG271-1200)=0,"",INDEX(对接源_02物料!$H$4:$H$1203,$AG271-1200))))</f>
        <v/>
      </c>
      <c r="F271" s="46" t="str">
        <f aca="false">IF($AG271="","",IF($AG271&lt;=1200,IF(INDEX(对接源_01水果!$I$4:$I$1203,$AG271)=0,"",INDEX(对接源_01水果!$I$4:$I$1203,$AG271)),IF(INDEX(对接源_02物料!$I$4:$I$1203,$AG271-1200)=0,"",INDEX(对接源_02物料!$I$4:$I$1203,$AG271-1200))))</f>
        <v/>
      </c>
      <c r="G271" s="56" t="str">
        <f aca="false">IF($AG271="","",IF($AG271&lt;=1200,IF(INDEX(对接源_01水果!$J$4:$J$1203,$AG271)=0,"",INDEX(对接源_01水果!$J$4:$J$1203,$AG271)),IF(INDEX(对接源_02物料!$J$4:$J$1203,$AG271-1200)=0,"",INDEX(对接源_02物料!$J$4:$J$1203,$AG271-1200))))</f>
        <v/>
      </c>
      <c r="H271" s="56" t="str">
        <f aca="false">IF($AG271="","",IF($AG271&lt;=1200,IF(INDEX(对接源_01水果!$K$4:$K$1203,$AG271)=0,"",INDEX(对接源_01水果!$K$4:$K$1203,$AG271)),IF(INDEX(对接源_02物料!$K$4:$K$1203,$AG271-1200)=0,"",INDEX(对接源_02物料!$K$4:$K$1203,$AG271-1200))))</f>
        <v/>
      </c>
      <c r="I271" s="46" t="str">
        <f aca="false">IF($AG271="","",IF($AG271&lt;=1200,IF(INDEX(对接源_01水果!$L$4:$L$1203,$AG271)=0,"",INDEX(对接源_01水果!$L$4:$L$1203,$AG271)),IF(INDEX(对接源_02物料!$L$4:$L$1203,$AG271-1200)=0,"",INDEX(对接源_02物料!$L$4:$L$1203,$AG271-1200))))</f>
        <v/>
      </c>
      <c r="J271" s="47" t="str">
        <f aca="false">IF($AG271="","",IF($AG271&lt;=1200,IF(INDEX(对接源_01水果!$M$4:$M$1203,$AG271)=0,"",INDEX(对接源_01水果!$M$4:$M$1203,$AG271)),IF(INDEX(对接源_02物料!$M$4:$M$1203,$AG271-1200)=0,"",INDEX(对接源_02物料!$M$4:$M$1203,$AG271-1200))))</f>
        <v/>
      </c>
      <c r="AG271" s="44" t="str">
        <f aca="false">IFERROR(MATCH(60,_自动清单!$AE$4:$AE$2403,0),"")</f>
        <v/>
      </c>
    </row>
    <row r="272" customFormat="false" ht="18" hidden="false" customHeight="true" outlineLevel="0" collapsed="false">
      <c r="A272" s="40" t="str">
        <f aca="false">IF($AG272="","",IF($AG272&lt;=1200,IF(INDEX(对接源_01水果!$B$4:$B$1203,$AG272)=0,"",INDEX(对接源_01水果!$B$4:$B$1203,$AG272)),IF(INDEX(对接源_02物料!$B$4:$B$1203,$AG272-1200)=0,"",INDEX(对接源_02物料!$B$4:$B$1203,$AG272-1200))))</f>
        <v/>
      </c>
      <c r="B272" s="41" t="str">
        <f aca="false">IF($AG272="","",IF($AG272&lt;=1200,IF(INDEX(对接源_01水果!$E$4:$E$1203,$AG272)=0,"",INDEX(对接源_01水果!$E$4:$E$1203,$AG272)),IF(INDEX(对接源_02物料!$E$4:$E$1203,$AG272-1200)=0,"",INDEX(对接源_02物料!$E$4:$E$1203,$AG272-1200))))</f>
        <v/>
      </c>
      <c r="C272" s="41" t="str">
        <f aca="false">IF($AG272="","",IF($AG272&lt;=1200,IF(INDEX(对接源_01水果!$F$4:$F$1203,$AG272)=0,"",INDEX(对接源_01水果!$F$4:$F$1203,$AG272)),IF(INDEX(对接源_02物料!$F$4:$F$1203,$AG272-1200)=0,"",INDEX(对接源_02物料!$F$4:$F$1203,$AG272-1200))))</f>
        <v/>
      </c>
      <c r="D272" s="41" t="str">
        <f aca="false">IF($AG272="","",IF($AG272&lt;=1200,IF(INDEX(对接源_01水果!$G$4:$G$1203,$AG272)=0,"",INDEX(对接源_01水果!$G$4:$G$1203,$AG272)),IF(INDEX(对接源_02物料!$G$4:$G$1203,$AG272-1200)=0,"",INDEX(对接源_02物料!$G$4:$G$1203,$AG272-1200))))</f>
        <v/>
      </c>
      <c r="E272" s="43" t="str">
        <f aca="false">IF($AG272="","",IF($AG272&lt;=1200,IF(INDEX(对接源_01水果!$H$4:$H$1203,$AG272)=0,"",INDEX(对接源_01水果!$H$4:$H$1203,$AG272)),IF(INDEX(对接源_02物料!$H$4:$H$1203,$AG272-1200)=0,"",INDEX(对接源_02物料!$H$4:$H$1203,$AG272-1200))))</f>
        <v/>
      </c>
      <c r="F272" s="41" t="str">
        <f aca="false">IF($AG272="","",IF($AG272&lt;=1200,IF(INDEX(对接源_01水果!$I$4:$I$1203,$AG272)=0,"",INDEX(对接源_01水果!$I$4:$I$1203,$AG272)),IF(INDEX(对接源_02物料!$I$4:$I$1203,$AG272-1200)=0,"",INDEX(对接源_02物料!$I$4:$I$1203,$AG272-1200))))</f>
        <v/>
      </c>
      <c r="G272" s="55" t="str">
        <f aca="false">IF($AG272="","",IF($AG272&lt;=1200,IF(INDEX(对接源_01水果!$J$4:$J$1203,$AG272)=0,"",INDEX(对接源_01水果!$J$4:$J$1203,$AG272)),IF(INDEX(对接源_02物料!$J$4:$J$1203,$AG272-1200)=0,"",INDEX(对接源_02物料!$J$4:$J$1203,$AG272-1200))))</f>
        <v/>
      </c>
      <c r="H272" s="55" t="str">
        <f aca="false">IF($AG272="","",IF($AG272&lt;=1200,IF(INDEX(对接源_01水果!$K$4:$K$1203,$AG272)=0,"",INDEX(对接源_01水果!$K$4:$K$1203,$AG272)),IF(INDEX(对接源_02物料!$K$4:$K$1203,$AG272-1200)=0,"",INDEX(对接源_02物料!$K$4:$K$1203,$AG272-1200))))</f>
        <v/>
      </c>
      <c r="I272" s="41" t="str">
        <f aca="false">IF($AG272="","",IF($AG272&lt;=1200,IF(INDEX(对接源_01水果!$L$4:$L$1203,$AG272)=0,"",INDEX(对接源_01水果!$L$4:$L$1203,$AG272)),IF(INDEX(对接源_02物料!$L$4:$L$1203,$AG272-1200)=0,"",INDEX(对接源_02物料!$L$4:$L$1203,$AG272-1200))))</f>
        <v/>
      </c>
      <c r="J272" s="42" t="str">
        <f aca="false">IF($AG272="","",IF($AG272&lt;=1200,IF(INDEX(对接源_01水果!$M$4:$M$1203,$AG272)=0,"",INDEX(对接源_01水果!$M$4:$M$1203,$AG272)),IF(INDEX(对接源_02物料!$M$4:$M$1203,$AG272-1200)=0,"",INDEX(对接源_02物料!$M$4:$M$1203,$AG272-1200))))</f>
        <v/>
      </c>
      <c r="AG272" s="44" t="str">
        <f aca="false">IFERROR(MATCH(61,_自动清单!$AE$4:$AE$2403,0),"")</f>
        <v/>
      </c>
    </row>
    <row r="273" customFormat="false" ht="18" hidden="false" customHeight="true" outlineLevel="0" collapsed="false">
      <c r="A273" s="45" t="str">
        <f aca="false">IF($AG273="","",IF($AG273&lt;=1200,IF(INDEX(对接源_01水果!$B$4:$B$1203,$AG273)=0,"",INDEX(对接源_01水果!$B$4:$B$1203,$AG273)),IF(INDEX(对接源_02物料!$B$4:$B$1203,$AG273-1200)=0,"",INDEX(对接源_02物料!$B$4:$B$1203,$AG273-1200))))</f>
        <v/>
      </c>
      <c r="B273" s="46" t="str">
        <f aca="false">IF($AG273="","",IF($AG273&lt;=1200,IF(INDEX(对接源_01水果!$E$4:$E$1203,$AG273)=0,"",INDEX(对接源_01水果!$E$4:$E$1203,$AG273)),IF(INDEX(对接源_02物料!$E$4:$E$1203,$AG273-1200)=0,"",INDEX(对接源_02物料!$E$4:$E$1203,$AG273-1200))))</f>
        <v/>
      </c>
      <c r="C273" s="46" t="str">
        <f aca="false">IF($AG273="","",IF($AG273&lt;=1200,IF(INDEX(对接源_01水果!$F$4:$F$1203,$AG273)=0,"",INDEX(对接源_01水果!$F$4:$F$1203,$AG273)),IF(INDEX(对接源_02物料!$F$4:$F$1203,$AG273-1200)=0,"",INDEX(对接源_02物料!$F$4:$F$1203,$AG273-1200))))</f>
        <v/>
      </c>
      <c r="D273" s="46" t="str">
        <f aca="false">IF($AG273="","",IF($AG273&lt;=1200,IF(INDEX(对接源_01水果!$G$4:$G$1203,$AG273)=0,"",INDEX(对接源_01水果!$G$4:$G$1203,$AG273)),IF(INDEX(对接源_02物料!$G$4:$G$1203,$AG273-1200)=0,"",INDEX(对接源_02物料!$G$4:$G$1203,$AG273-1200))))</f>
        <v/>
      </c>
      <c r="E273" s="48" t="str">
        <f aca="false">IF($AG273="","",IF($AG273&lt;=1200,IF(INDEX(对接源_01水果!$H$4:$H$1203,$AG273)=0,"",INDEX(对接源_01水果!$H$4:$H$1203,$AG273)),IF(INDEX(对接源_02物料!$H$4:$H$1203,$AG273-1200)=0,"",INDEX(对接源_02物料!$H$4:$H$1203,$AG273-1200))))</f>
        <v/>
      </c>
      <c r="F273" s="46" t="str">
        <f aca="false">IF($AG273="","",IF($AG273&lt;=1200,IF(INDEX(对接源_01水果!$I$4:$I$1203,$AG273)=0,"",INDEX(对接源_01水果!$I$4:$I$1203,$AG273)),IF(INDEX(对接源_02物料!$I$4:$I$1203,$AG273-1200)=0,"",INDEX(对接源_02物料!$I$4:$I$1203,$AG273-1200))))</f>
        <v/>
      </c>
      <c r="G273" s="56" t="str">
        <f aca="false">IF($AG273="","",IF($AG273&lt;=1200,IF(INDEX(对接源_01水果!$J$4:$J$1203,$AG273)=0,"",INDEX(对接源_01水果!$J$4:$J$1203,$AG273)),IF(INDEX(对接源_02物料!$J$4:$J$1203,$AG273-1200)=0,"",INDEX(对接源_02物料!$J$4:$J$1203,$AG273-1200))))</f>
        <v/>
      </c>
      <c r="H273" s="56" t="str">
        <f aca="false">IF($AG273="","",IF($AG273&lt;=1200,IF(INDEX(对接源_01水果!$K$4:$K$1203,$AG273)=0,"",INDEX(对接源_01水果!$K$4:$K$1203,$AG273)),IF(INDEX(对接源_02物料!$K$4:$K$1203,$AG273-1200)=0,"",INDEX(对接源_02物料!$K$4:$K$1203,$AG273-1200))))</f>
        <v/>
      </c>
      <c r="I273" s="46" t="str">
        <f aca="false">IF($AG273="","",IF($AG273&lt;=1200,IF(INDEX(对接源_01水果!$L$4:$L$1203,$AG273)=0,"",INDEX(对接源_01水果!$L$4:$L$1203,$AG273)),IF(INDEX(对接源_02物料!$L$4:$L$1203,$AG273-1200)=0,"",INDEX(对接源_02物料!$L$4:$L$1203,$AG273-1200))))</f>
        <v/>
      </c>
      <c r="J273" s="47" t="str">
        <f aca="false">IF($AG273="","",IF($AG273&lt;=1200,IF(INDEX(对接源_01水果!$M$4:$M$1203,$AG273)=0,"",INDEX(对接源_01水果!$M$4:$M$1203,$AG273)),IF(INDEX(对接源_02物料!$M$4:$M$1203,$AG273-1200)=0,"",INDEX(对接源_02物料!$M$4:$M$1203,$AG273-1200))))</f>
        <v/>
      </c>
      <c r="AG273" s="44" t="str">
        <f aca="false">IFERROR(MATCH(62,_自动清单!$AE$4:$AE$2403,0),"")</f>
        <v/>
      </c>
    </row>
    <row r="274" customFormat="false" ht="18" hidden="false" customHeight="true" outlineLevel="0" collapsed="false">
      <c r="A274" s="40" t="str">
        <f aca="false">IF($AG274="","",IF($AG274&lt;=1200,IF(INDEX(对接源_01水果!$B$4:$B$1203,$AG274)=0,"",INDEX(对接源_01水果!$B$4:$B$1203,$AG274)),IF(INDEX(对接源_02物料!$B$4:$B$1203,$AG274-1200)=0,"",INDEX(对接源_02物料!$B$4:$B$1203,$AG274-1200))))</f>
        <v/>
      </c>
      <c r="B274" s="41" t="str">
        <f aca="false">IF($AG274="","",IF($AG274&lt;=1200,IF(INDEX(对接源_01水果!$E$4:$E$1203,$AG274)=0,"",INDEX(对接源_01水果!$E$4:$E$1203,$AG274)),IF(INDEX(对接源_02物料!$E$4:$E$1203,$AG274-1200)=0,"",INDEX(对接源_02物料!$E$4:$E$1203,$AG274-1200))))</f>
        <v/>
      </c>
      <c r="C274" s="41" t="str">
        <f aca="false">IF($AG274="","",IF($AG274&lt;=1200,IF(INDEX(对接源_01水果!$F$4:$F$1203,$AG274)=0,"",INDEX(对接源_01水果!$F$4:$F$1203,$AG274)),IF(INDEX(对接源_02物料!$F$4:$F$1203,$AG274-1200)=0,"",INDEX(对接源_02物料!$F$4:$F$1203,$AG274-1200))))</f>
        <v/>
      </c>
      <c r="D274" s="41" t="str">
        <f aca="false">IF($AG274="","",IF($AG274&lt;=1200,IF(INDEX(对接源_01水果!$G$4:$G$1203,$AG274)=0,"",INDEX(对接源_01水果!$G$4:$G$1203,$AG274)),IF(INDEX(对接源_02物料!$G$4:$G$1203,$AG274-1200)=0,"",INDEX(对接源_02物料!$G$4:$G$1203,$AG274-1200))))</f>
        <v/>
      </c>
      <c r="E274" s="43" t="str">
        <f aca="false">IF($AG274="","",IF($AG274&lt;=1200,IF(INDEX(对接源_01水果!$H$4:$H$1203,$AG274)=0,"",INDEX(对接源_01水果!$H$4:$H$1203,$AG274)),IF(INDEX(对接源_02物料!$H$4:$H$1203,$AG274-1200)=0,"",INDEX(对接源_02物料!$H$4:$H$1203,$AG274-1200))))</f>
        <v/>
      </c>
      <c r="F274" s="41" t="str">
        <f aca="false">IF($AG274="","",IF($AG274&lt;=1200,IF(INDEX(对接源_01水果!$I$4:$I$1203,$AG274)=0,"",INDEX(对接源_01水果!$I$4:$I$1203,$AG274)),IF(INDEX(对接源_02物料!$I$4:$I$1203,$AG274-1200)=0,"",INDEX(对接源_02物料!$I$4:$I$1203,$AG274-1200))))</f>
        <v/>
      </c>
      <c r="G274" s="55" t="str">
        <f aca="false">IF($AG274="","",IF($AG274&lt;=1200,IF(INDEX(对接源_01水果!$J$4:$J$1203,$AG274)=0,"",INDEX(对接源_01水果!$J$4:$J$1203,$AG274)),IF(INDEX(对接源_02物料!$J$4:$J$1203,$AG274-1200)=0,"",INDEX(对接源_02物料!$J$4:$J$1203,$AG274-1200))))</f>
        <v/>
      </c>
      <c r="H274" s="55" t="str">
        <f aca="false">IF($AG274="","",IF($AG274&lt;=1200,IF(INDEX(对接源_01水果!$K$4:$K$1203,$AG274)=0,"",INDEX(对接源_01水果!$K$4:$K$1203,$AG274)),IF(INDEX(对接源_02物料!$K$4:$K$1203,$AG274-1200)=0,"",INDEX(对接源_02物料!$K$4:$K$1203,$AG274-1200))))</f>
        <v/>
      </c>
      <c r="I274" s="41" t="str">
        <f aca="false">IF($AG274="","",IF($AG274&lt;=1200,IF(INDEX(对接源_01水果!$L$4:$L$1203,$AG274)=0,"",INDEX(对接源_01水果!$L$4:$L$1203,$AG274)),IF(INDEX(对接源_02物料!$L$4:$L$1203,$AG274-1200)=0,"",INDEX(对接源_02物料!$L$4:$L$1203,$AG274-1200))))</f>
        <v/>
      </c>
      <c r="J274" s="42" t="str">
        <f aca="false">IF($AG274="","",IF($AG274&lt;=1200,IF(INDEX(对接源_01水果!$M$4:$M$1203,$AG274)=0,"",INDEX(对接源_01水果!$M$4:$M$1203,$AG274)),IF(INDEX(对接源_02物料!$M$4:$M$1203,$AG274-1200)=0,"",INDEX(对接源_02物料!$M$4:$M$1203,$AG274-1200))))</f>
        <v/>
      </c>
      <c r="AG274" s="44" t="str">
        <f aca="false">IFERROR(MATCH(63,_自动清单!$AE$4:$AE$2403,0),"")</f>
        <v/>
      </c>
    </row>
    <row r="275" customFormat="false" ht="18" hidden="false" customHeight="true" outlineLevel="0" collapsed="false">
      <c r="A275" s="45" t="str">
        <f aca="false">IF($AG275="","",IF($AG275&lt;=1200,IF(INDEX(对接源_01水果!$B$4:$B$1203,$AG275)=0,"",INDEX(对接源_01水果!$B$4:$B$1203,$AG275)),IF(INDEX(对接源_02物料!$B$4:$B$1203,$AG275-1200)=0,"",INDEX(对接源_02物料!$B$4:$B$1203,$AG275-1200))))</f>
        <v/>
      </c>
      <c r="B275" s="46" t="str">
        <f aca="false">IF($AG275="","",IF($AG275&lt;=1200,IF(INDEX(对接源_01水果!$E$4:$E$1203,$AG275)=0,"",INDEX(对接源_01水果!$E$4:$E$1203,$AG275)),IF(INDEX(对接源_02物料!$E$4:$E$1203,$AG275-1200)=0,"",INDEX(对接源_02物料!$E$4:$E$1203,$AG275-1200))))</f>
        <v/>
      </c>
      <c r="C275" s="46" t="str">
        <f aca="false">IF($AG275="","",IF($AG275&lt;=1200,IF(INDEX(对接源_01水果!$F$4:$F$1203,$AG275)=0,"",INDEX(对接源_01水果!$F$4:$F$1203,$AG275)),IF(INDEX(对接源_02物料!$F$4:$F$1203,$AG275-1200)=0,"",INDEX(对接源_02物料!$F$4:$F$1203,$AG275-1200))))</f>
        <v/>
      </c>
      <c r="D275" s="46" t="str">
        <f aca="false">IF($AG275="","",IF($AG275&lt;=1200,IF(INDEX(对接源_01水果!$G$4:$G$1203,$AG275)=0,"",INDEX(对接源_01水果!$G$4:$G$1203,$AG275)),IF(INDEX(对接源_02物料!$G$4:$G$1203,$AG275-1200)=0,"",INDEX(对接源_02物料!$G$4:$G$1203,$AG275-1200))))</f>
        <v/>
      </c>
      <c r="E275" s="48" t="str">
        <f aca="false">IF($AG275="","",IF($AG275&lt;=1200,IF(INDEX(对接源_01水果!$H$4:$H$1203,$AG275)=0,"",INDEX(对接源_01水果!$H$4:$H$1203,$AG275)),IF(INDEX(对接源_02物料!$H$4:$H$1203,$AG275-1200)=0,"",INDEX(对接源_02物料!$H$4:$H$1203,$AG275-1200))))</f>
        <v/>
      </c>
      <c r="F275" s="46" t="str">
        <f aca="false">IF($AG275="","",IF($AG275&lt;=1200,IF(INDEX(对接源_01水果!$I$4:$I$1203,$AG275)=0,"",INDEX(对接源_01水果!$I$4:$I$1203,$AG275)),IF(INDEX(对接源_02物料!$I$4:$I$1203,$AG275-1200)=0,"",INDEX(对接源_02物料!$I$4:$I$1203,$AG275-1200))))</f>
        <v/>
      </c>
      <c r="G275" s="56" t="str">
        <f aca="false">IF($AG275="","",IF($AG275&lt;=1200,IF(INDEX(对接源_01水果!$J$4:$J$1203,$AG275)=0,"",INDEX(对接源_01水果!$J$4:$J$1203,$AG275)),IF(INDEX(对接源_02物料!$J$4:$J$1203,$AG275-1200)=0,"",INDEX(对接源_02物料!$J$4:$J$1203,$AG275-1200))))</f>
        <v/>
      </c>
      <c r="H275" s="56" t="str">
        <f aca="false">IF($AG275="","",IF($AG275&lt;=1200,IF(INDEX(对接源_01水果!$K$4:$K$1203,$AG275)=0,"",INDEX(对接源_01水果!$K$4:$K$1203,$AG275)),IF(INDEX(对接源_02物料!$K$4:$K$1203,$AG275-1200)=0,"",INDEX(对接源_02物料!$K$4:$K$1203,$AG275-1200))))</f>
        <v/>
      </c>
      <c r="I275" s="46" t="str">
        <f aca="false">IF($AG275="","",IF($AG275&lt;=1200,IF(INDEX(对接源_01水果!$L$4:$L$1203,$AG275)=0,"",INDEX(对接源_01水果!$L$4:$L$1203,$AG275)),IF(INDEX(对接源_02物料!$L$4:$L$1203,$AG275-1200)=0,"",INDEX(对接源_02物料!$L$4:$L$1203,$AG275-1200))))</f>
        <v/>
      </c>
      <c r="J275" s="47" t="str">
        <f aca="false">IF($AG275="","",IF($AG275&lt;=1200,IF(INDEX(对接源_01水果!$M$4:$M$1203,$AG275)=0,"",INDEX(对接源_01水果!$M$4:$M$1203,$AG275)),IF(INDEX(对接源_02物料!$M$4:$M$1203,$AG275-1200)=0,"",INDEX(对接源_02物料!$M$4:$M$1203,$AG275-1200))))</f>
        <v/>
      </c>
      <c r="AG275" s="44" t="str">
        <f aca="false">IFERROR(MATCH(64,_自动清单!$AE$4:$AE$2403,0),"")</f>
        <v/>
      </c>
    </row>
    <row r="276" customFormat="false" ht="18" hidden="false" customHeight="true" outlineLevel="0" collapsed="false">
      <c r="A276" s="40" t="str">
        <f aca="false">IF($AG276="","",IF($AG276&lt;=1200,IF(INDEX(对接源_01水果!$B$4:$B$1203,$AG276)=0,"",INDEX(对接源_01水果!$B$4:$B$1203,$AG276)),IF(INDEX(对接源_02物料!$B$4:$B$1203,$AG276-1200)=0,"",INDEX(对接源_02物料!$B$4:$B$1203,$AG276-1200))))</f>
        <v/>
      </c>
      <c r="B276" s="41" t="str">
        <f aca="false">IF($AG276="","",IF($AG276&lt;=1200,IF(INDEX(对接源_01水果!$E$4:$E$1203,$AG276)=0,"",INDEX(对接源_01水果!$E$4:$E$1203,$AG276)),IF(INDEX(对接源_02物料!$E$4:$E$1203,$AG276-1200)=0,"",INDEX(对接源_02物料!$E$4:$E$1203,$AG276-1200))))</f>
        <v/>
      </c>
      <c r="C276" s="41" t="str">
        <f aca="false">IF($AG276="","",IF($AG276&lt;=1200,IF(INDEX(对接源_01水果!$F$4:$F$1203,$AG276)=0,"",INDEX(对接源_01水果!$F$4:$F$1203,$AG276)),IF(INDEX(对接源_02物料!$F$4:$F$1203,$AG276-1200)=0,"",INDEX(对接源_02物料!$F$4:$F$1203,$AG276-1200))))</f>
        <v/>
      </c>
      <c r="D276" s="41" t="str">
        <f aca="false">IF($AG276="","",IF($AG276&lt;=1200,IF(INDEX(对接源_01水果!$G$4:$G$1203,$AG276)=0,"",INDEX(对接源_01水果!$G$4:$G$1203,$AG276)),IF(INDEX(对接源_02物料!$G$4:$G$1203,$AG276-1200)=0,"",INDEX(对接源_02物料!$G$4:$G$1203,$AG276-1200))))</f>
        <v/>
      </c>
      <c r="E276" s="43" t="str">
        <f aca="false">IF($AG276="","",IF($AG276&lt;=1200,IF(INDEX(对接源_01水果!$H$4:$H$1203,$AG276)=0,"",INDEX(对接源_01水果!$H$4:$H$1203,$AG276)),IF(INDEX(对接源_02物料!$H$4:$H$1203,$AG276-1200)=0,"",INDEX(对接源_02物料!$H$4:$H$1203,$AG276-1200))))</f>
        <v/>
      </c>
      <c r="F276" s="41" t="str">
        <f aca="false">IF($AG276="","",IF($AG276&lt;=1200,IF(INDEX(对接源_01水果!$I$4:$I$1203,$AG276)=0,"",INDEX(对接源_01水果!$I$4:$I$1203,$AG276)),IF(INDEX(对接源_02物料!$I$4:$I$1203,$AG276-1200)=0,"",INDEX(对接源_02物料!$I$4:$I$1203,$AG276-1200))))</f>
        <v/>
      </c>
      <c r="G276" s="55" t="str">
        <f aca="false">IF($AG276="","",IF($AG276&lt;=1200,IF(INDEX(对接源_01水果!$J$4:$J$1203,$AG276)=0,"",INDEX(对接源_01水果!$J$4:$J$1203,$AG276)),IF(INDEX(对接源_02物料!$J$4:$J$1203,$AG276-1200)=0,"",INDEX(对接源_02物料!$J$4:$J$1203,$AG276-1200))))</f>
        <v/>
      </c>
      <c r="H276" s="55" t="str">
        <f aca="false">IF($AG276="","",IF($AG276&lt;=1200,IF(INDEX(对接源_01水果!$K$4:$K$1203,$AG276)=0,"",INDEX(对接源_01水果!$K$4:$K$1203,$AG276)),IF(INDEX(对接源_02物料!$K$4:$K$1203,$AG276-1200)=0,"",INDEX(对接源_02物料!$K$4:$K$1203,$AG276-1200))))</f>
        <v/>
      </c>
      <c r="I276" s="41" t="str">
        <f aca="false">IF($AG276="","",IF($AG276&lt;=1200,IF(INDEX(对接源_01水果!$L$4:$L$1203,$AG276)=0,"",INDEX(对接源_01水果!$L$4:$L$1203,$AG276)),IF(INDEX(对接源_02物料!$L$4:$L$1203,$AG276-1200)=0,"",INDEX(对接源_02物料!$L$4:$L$1203,$AG276-1200))))</f>
        <v/>
      </c>
      <c r="J276" s="42" t="str">
        <f aca="false">IF($AG276="","",IF($AG276&lt;=1200,IF(INDEX(对接源_01水果!$M$4:$M$1203,$AG276)=0,"",INDEX(对接源_01水果!$M$4:$M$1203,$AG276)),IF(INDEX(对接源_02物料!$M$4:$M$1203,$AG276-1200)=0,"",INDEX(对接源_02物料!$M$4:$M$1203,$AG276-1200))))</f>
        <v/>
      </c>
      <c r="AG276" s="44" t="str">
        <f aca="false">IFERROR(MATCH(65,_自动清单!$AE$4:$AE$2403,0),"")</f>
        <v/>
      </c>
    </row>
    <row r="277" customFormat="false" ht="18" hidden="false" customHeight="true" outlineLevel="0" collapsed="false">
      <c r="A277" s="45" t="str">
        <f aca="false">IF($AG277="","",IF($AG277&lt;=1200,IF(INDEX(对接源_01水果!$B$4:$B$1203,$AG277)=0,"",INDEX(对接源_01水果!$B$4:$B$1203,$AG277)),IF(INDEX(对接源_02物料!$B$4:$B$1203,$AG277-1200)=0,"",INDEX(对接源_02物料!$B$4:$B$1203,$AG277-1200))))</f>
        <v/>
      </c>
      <c r="B277" s="46" t="str">
        <f aca="false">IF($AG277="","",IF($AG277&lt;=1200,IF(INDEX(对接源_01水果!$E$4:$E$1203,$AG277)=0,"",INDEX(对接源_01水果!$E$4:$E$1203,$AG277)),IF(INDEX(对接源_02物料!$E$4:$E$1203,$AG277-1200)=0,"",INDEX(对接源_02物料!$E$4:$E$1203,$AG277-1200))))</f>
        <v/>
      </c>
      <c r="C277" s="46" t="str">
        <f aca="false">IF($AG277="","",IF($AG277&lt;=1200,IF(INDEX(对接源_01水果!$F$4:$F$1203,$AG277)=0,"",INDEX(对接源_01水果!$F$4:$F$1203,$AG277)),IF(INDEX(对接源_02物料!$F$4:$F$1203,$AG277-1200)=0,"",INDEX(对接源_02物料!$F$4:$F$1203,$AG277-1200))))</f>
        <v/>
      </c>
      <c r="D277" s="46" t="str">
        <f aca="false">IF($AG277="","",IF($AG277&lt;=1200,IF(INDEX(对接源_01水果!$G$4:$G$1203,$AG277)=0,"",INDEX(对接源_01水果!$G$4:$G$1203,$AG277)),IF(INDEX(对接源_02物料!$G$4:$G$1203,$AG277-1200)=0,"",INDEX(对接源_02物料!$G$4:$G$1203,$AG277-1200))))</f>
        <v/>
      </c>
      <c r="E277" s="48" t="str">
        <f aca="false">IF($AG277="","",IF($AG277&lt;=1200,IF(INDEX(对接源_01水果!$H$4:$H$1203,$AG277)=0,"",INDEX(对接源_01水果!$H$4:$H$1203,$AG277)),IF(INDEX(对接源_02物料!$H$4:$H$1203,$AG277-1200)=0,"",INDEX(对接源_02物料!$H$4:$H$1203,$AG277-1200))))</f>
        <v/>
      </c>
      <c r="F277" s="46" t="str">
        <f aca="false">IF($AG277="","",IF($AG277&lt;=1200,IF(INDEX(对接源_01水果!$I$4:$I$1203,$AG277)=0,"",INDEX(对接源_01水果!$I$4:$I$1203,$AG277)),IF(INDEX(对接源_02物料!$I$4:$I$1203,$AG277-1200)=0,"",INDEX(对接源_02物料!$I$4:$I$1203,$AG277-1200))))</f>
        <v/>
      </c>
      <c r="G277" s="56" t="str">
        <f aca="false">IF($AG277="","",IF($AG277&lt;=1200,IF(INDEX(对接源_01水果!$J$4:$J$1203,$AG277)=0,"",INDEX(对接源_01水果!$J$4:$J$1203,$AG277)),IF(INDEX(对接源_02物料!$J$4:$J$1203,$AG277-1200)=0,"",INDEX(对接源_02物料!$J$4:$J$1203,$AG277-1200))))</f>
        <v/>
      </c>
      <c r="H277" s="56" t="str">
        <f aca="false">IF($AG277="","",IF($AG277&lt;=1200,IF(INDEX(对接源_01水果!$K$4:$K$1203,$AG277)=0,"",INDEX(对接源_01水果!$K$4:$K$1203,$AG277)),IF(INDEX(对接源_02物料!$K$4:$K$1203,$AG277-1200)=0,"",INDEX(对接源_02物料!$K$4:$K$1203,$AG277-1200))))</f>
        <v/>
      </c>
      <c r="I277" s="46" t="str">
        <f aca="false">IF($AG277="","",IF($AG277&lt;=1200,IF(INDEX(对接源_01水果!$L$4:$L$1203,$AG277)=0,"",INDEX(对接源_01水果!$L$4:$L$1203,$AG277)),IF(INDEX(对接源_02物料!$L$4:$L$1203,$AG277-1200)=0,"",INDEX(对接源_02物料!$L$4:$L$1203,$AG277-1200))))</f>
        <v/>
      </c>
      <c r="J277" s="47" t="str">
        <f aca="false">IF($AG277="","",IF($AG277&lt;=1200,IF(INDEX(对接源_01水果!$M$4:$M$1203,$AG277)=0,"",INDEX(对接源_01水果!$M$4:$M$1203,$AG277)),IF(INDEX(对接源_02物料!$M$4:$M$1203,$AG277-1200)=0,"",INDEX(对接源_02物料!$M$4:$M$1203,$AG277-1200))))</f>
        <v/>
      </c>
      <c r="AG277" s="44" t="str">
        <f aca="false">IFERROR(MATCH(66,_自动清单!$AE$4:$AE$2403,0),"")</f>
        <v/>
      </c>
    </row>
    <row r="278" customFormat="false" ht="18" hidden="false" customHeight="true" outlineLevel="0" collapsed="false">
      <c r="A278" s="40" t="str">
        <f aca="false">IF($AG278="","",IF($AG278&lt;=1200,IF(INDEX(对接源_01水果!$B$4:$B$1203,$AG278)=0,"",INDEX(对接源_01水果!$B$4:$B$1203,$AG278)),IF(INDEX(对接源_02物料!$B$4:$B$1203,$AG278-1200)=0,"",INDEX(对接源_02物料!$B$4:$B$1203,$AG278-1200))))</f>
        <v/>
      </c>
      <c r="B278" s="41" t="str">
        <f aca="false">IF($AG278="","",IF($AG278&lt;=1200,IF(INDEX(对接源_01水果!$E$4:$E$1203,$AG278)=0,"",INDEX(对接源_01水果!$E$4:$E$1203,$AG278)),IF(INDEX(对接源_02物料!$E$4:$E$1203,$AG278-1200)=0,"",INDEX(对接源_02物料!$E$4:$E$1203,$AG278-1200))))</f>
        <v/>
      </c>
      <c r="C278" s="41" t="str">
        <f aca="false">IF($AG278="","",IF($AG278&lt;=1200,IF(INDEX(对接源_01水果!$F$4:$F$1203,$AG278)=0,"",INDEX(对接源_01水果!$F$4:$F$1203,$AG278)),IF(INDEX(对接源_02物料!$F$4:$F$1203,$AG278-1200)=0,"",INDEX(对接源_02物料!$F$4:$F$1203,$AG278-1200))))</f>
        <v/>
      </c>
      <c r="D278" s="41" t="str">
        <f aca="false">IF($AG278="","",IF($AG278&lt;=1200,IF(INDEX(对接源_01水果!$G$4:$G$1203,$AG278)=0,"",INDEX(对接源_01水果!$G$4:$G$1203,$AG278)),IF(INDEX(对接源_02物料!$G$4:$G$1203,$AG278-1200)=0,"",INDEX(对接源_02物料!$G$4:$G$1203,$AG278-1200))))</f>
        <v/>
      </c>
      <c r="E278" s="43" t="str">
        <f aca="false">IF($AG278="","",IF($AG278&lt;=1200,IF(INDEX(对接源_01水果!$H$4:$H$1203,$AG278)=0,"",INDEX(对接源_01水果!$H$4:$H$1203,$AG278)),IF(INDEX(对接源_02物料!$H$4:$H$1203,$AG278-1200)=0,"",INDEX(对接源_02物料!$H$4:$H$1203,$AG278-1200))))</f>
        <v/>
      </c>
      <c r="F278" s="41" t="str">
        <f aca="false">IF($AG278="","",IF($AG278&lt;=1200,IF(INDEX(对接源_01水果!$I$4:$I$1203,$AG278)=0,"",INDEX(对接源_01水果!$I$4:$I$1203,$AG278)),IF(INDEX(对接源_02物料!$I$4:$I$1203,$AG278-1200)=0,"",INDEX(对接源_02物料!$I$4:$I$1203,$AG278-1200))))</f>
        <v/>
      </c>
      <c r="G278" s="55" t="str">
        <f aca="false">IF($AG278="","",IF($AG278&lt;=1200,IF(INDEX(对接源_01水果!$J$4:$J$1203,$AG278)=0,"",INDEX(对接源_01水果!$J$4:$J$1203,$AG278)),IF(INDEX(对接源_02物料!$J$4:$J$1203,$AG278-1200)=0,"",INDEX(对接源_02物料!$J$4:$J$1203,$AG278-1200))))</f>
        <v/>
      </c>
      <c r="H278" s="55" t="str">
        <f aca="false">IF($AG278="","",IF($AG278&lt;=1200,IF(INDEX(对接源_01水果!$K$4:$K$1203,$AG278)=0,"",INDEX(对接源_01水果!$K$4:$K$1203,$AG278)),IF(INDEX(对接源_02物料!$K$4:$K$1203,$AG278-1200)=0,"",INDEX(对接源_02物料!$K$4:$K$1203,$AG278-1200))))</f>
        <v/>
      </c>
      <c r="I278" s="41" t="str">
        <f aca="false">IF($AG278="","",IF($AG278&lt;=1200,IF(INDEX(对接源_01水果!$L$4:$L$1203,$AG278)=0,"",INDEX(对接源_01水果!$L$4:$L$1203,$AG278)),IF(INDEX(对接源_02物料!$L$4:$L$1203,$AG278-1200)=0,"",INDEX(对接源_02物料!$L$4:$L$1203,$AG278-1200))))</f>
        <v/>
      </c>
      <c r="J278" s="42" t="str">
        <f aca="false">IF($AG278="","",IF($AG278&lt;=1200,IF(INDEX(对接源_01水果!$M$4:$M$1203,$AG278)=0,"",INDEX(对接源_01水果!$M$4:$M$1203,$AG278)),IF(INDEX(对接源_02物料!$M$4:$M$1203,$AG278-1200)=0,"",INDEX(对接源_02物料!$M$4:$M$1203,$AG278-1200))))</f>
        <v/>
      </c>
      <c r="AG278" s="44" t="str">
        <f aca="false">IFERROR(MATCH(67,_自动清单!$AE$4:$AE$2403,0),"")</f>
        <v/>
      </c>
    </row>
    <row r="279" customFormat="false" ht="18" hidden="false" customHeight="true" outlineLevel="0" collapsed="false">
      <c r="A279" s="45" t="str">
        <f aca="false">IF($AG279="","",IF($AG279&lt;=1200,IF(INDEX(对接源_01水果!$B$4:$B$1203,$AG279)=0,"",INDEX(对接源_01水果!$B$4:$B$1203,$AG279)),IF(INDEX(对接源_02物料!$B$4:$B$1203,$AG279-1200)=0,"",INDEX(对接源_02物料!$B$4:$B$1203,$AG279-1200))))</f>
        <v/>
      </c>
      <c r="B279" s="46" t="str">
        <f aca="false">IF($AG279="","",IF($AG279&lt;=1200,IF(INDEX(对接源_01水果!$E$4:$E$1203,$AG279)=0,"",INDEX(对接源_01水果!$E$4:$E$1203,$AG279)),IF(INDEX(对接源_02物料!$E$4:$E$1203,$AG279-1200)=0,"",INDEX(对接源_02物料!$E$4:$E$1203,$AG279-1200))))</f>
        <v/>
      </c>
      <c r="C279" s="46" t="str">
        <f aca="false">IF($AG279="","",IF($AG279&lt;=1200,IF(INDEX(对接源_01水果!$F$4:$F$1203,$AG279)=0,"",INDEX(对接源_01水果!$F$4:$F$1203,$AG279)),IF(INDEX(对接源_02物料!$F$4:$F$1203,$AG279-1200)=0,"",INDEX(对接源_02物料!$F$4:$F$1203,$AG279-1200))))</f>
        <v/>
      </c>
      <c r="D279" s="46" t="str">
        <f aca="false">IF($AG279="","",IF($AG279&lt;=1200,IF(INDEX(对接源_01水果!$G$4:$G$1203,$AG279)=0,"",INDEX(对接源_01水果!$G$4:$G$1203,$AG279)),IF(INDEX(对接源_02物料!$G$4:$G$1203,$AG279-1200)=0,"",INDEX(对接源_02物料!$G$4:$G$1203,$AG279-1200))))</f>
        <v/>
      </c>
      <c r="E279" s="48" t="str">
        <f aca="false">IF($AG279="","",IF($AG279&lt;=1200,IF(INDEX(对接源_01水果!$H$4:$H$1203,$AG279)=0,"",INDEX(对接源_01水果!$H$4:$H$1203,$AG279)),IF(INDEX(对接源_02物料!$H$4:$H$1203,$AG279-1200)=0,"",INDEX(对接源_02物料!$H$4:$H$1203,$AG279-1200))))</f>
        <v/>
      </c>
      <c r="F279" s="46" t="str">
        <f aca="false">IF($AG279="","",IF($AG279&lt;=1200,IF(INDEX(对接源_01水果!$I$4:$I$1203,$AG279)=0,"",INDEX(对接源_01水果!$I$4:$I$1203,$AG279)),IF(INDEX(对接源_02物料!$I$4:$I$1203,$AG279-1200)=0,"",INDEX(对接源_02物料!$I$4:$I$1203,$AG279-1200))))</f>
        <v/>
      </c>
      <c r="G279" s="56" t="str">
        <f aca="false">IF($AG279="","",IF($AG279&lt;=1200,IF(INDEX(对接源_01水果!$J$4:$J$1203,$AG279)=0,"",INDEX(对接源_01水果!$J$4:$J$1203,$AG279)),IF(INDEX(对接源_02物料!$J$4:$J$1203,$AG279-1200)=0,"",INDEX(对接源_02物料!$J$4:$J$1203,$AG279-1200))))</f>
        <v/>
      </c>
      <c r="H279" s="56" t="str">
        <f aca="false">IF($AG279="","",IF($AG279&lt;=1200,IF(INDEX(对接源_01水果!$K$4:$K$1203,$AG279)=0,"",INDEX(对接源_01水果!$K$4:$K$1203,$AG279)),IF(INDEX(对接源_02物料!$K$4:$K$1203,$AG279-1200)=0,"",INDEX(对接源_02物料!$K$4:$K$1203,$AG279-1200))))</f>
        <v/>
      </c>
      <c r="I279" s="46" t="str">
        <f aca="false">IF($AG279="","",IF($AG279&lt;=1200,IF(INDEX(对接源_01水果!$L$4:$L$1203,$AG279)=0,"",INDEX(对接源_01水果!$L$4:$L$1203,$AG279)),IF(INDEX(对接源_02物料!$L$4:$L$1203,$AG279-1200)=0,"",INDEX(对接源_02物料!$L$4:$L$1203,$AG279-1200))))</f>
        <v/>
      </c>
      <c r="J279" s="47" t="str">
        <f aca="false">IF($AG279="","",IF($AG279&lt;=1200,IF(INDEX(对接源_01水果!$M$4:$M$1203,$AG279)=0,"",INDEX(对接源_01水果!$M$4:$M$1203,$AG279)),IF(INDEX(对接源_02物料!$M$4:$M$1203,$AG279-1200)=0,"",INDEX(对接源_02物料!$M$4:$M$1203,$AG279-1200))))</f>
        <v/>
      </c>
      <c r="AG279" s="44" t="str">
        <f aca="false">IFERROR(MATCH(68,_自动清单!$AE$4:$AE$2403,0),"")</f>
        <v/>
      </c>
    </row>
    <row r="280" customFormat="false" ht="18" hidden="false" customHeight="true" outlineLevel="0" collapsed="false">
      <c r="A280" s="40" t="str">
        <f aca="false">IF($AG280="","",IF($AG280&lt;=1200,IF(INDEX(对接源_01水果!$B$4:$B$1203,$AG280)=0,"",INDEX(对接源_01水果!$B$4:$B$1203,$AG280)),IF(INDEX(对接源_02物料!$B$4:$B$1203,$AG280-1200)=0,"",INDEX(对接源_02物料!$B$4:$B$1203,$AG280-1200))))</f>
        <v/>
      </c>
      <c r="B280" s="41" t="str">
        <f aca="false">IF($AG280="","",IF($AG280&lt;=1200,IF(INDEX(对接源_01水果!$E$4:$E$1203,$AG280)=0,"",INDEX(对接源_01水果!$E$4:$E$1203,$AG280)),IF(INDEX(对接源_02物料!$E$4:$E$1203,$AG280-1200)=0,"",INDEX(对接源_02物料!$E$4:$E$1203,$AG280-1200))))</f>
        <v/>
      </c>
      <c r="C280" s="41" t="str">
        <f aca="false">IF($AG280="","",IF($AG280&lt;=1200,IF(INDEX(对接源_01水果!$F$4:$F$1203,$AG280)=0,"",INDEX(对接源_01水果!$F$4:$F$1203,$AG280)),IF(INDEX(对接源_02物料!$F$4:$F$1203,$AG280-1200)=0,"",INDEX(对接源_02物料!$F$4:$F$1203,$AG280-1200))))</f>
        <v/>
      </c>
      <c r="D280" s="41" t="str">
        <f aca="false">IF($AG280="","",IF($AG280&lt;=1200,IF(INDEX(对接源_01水果!$G$4:$G$1203,$AG280)=0,"",INDEX(对接源_01水果!$G$4:$G$1203,$AG280)),IF(INDEX(对接源_02物料!$G$4:$G$1203,$AG280-1200)=0,"",INDEX(对接源_02物料!$G$4:$G$1203,$AG280-1200))))</f>
        <v/>
      </c>
      <c r="E280" s="43" t="str">
        <f aca="false">IF($AG280="","",IF($AG280&lt;=1200,IF(INDEX(对接源_01水果!$H$4:$H$1203,$AG280)=0,"",INDEX(对接源_01水果!$H$4:$H$1203,$AG280)),IF(INDEX(对接源_02物料!$H$4:$H$1203,$AG280-1200)=0,"",INDEX(对接源_02物料!$H$4:$H$1203,$AG280-1200))))</f>
        <v/>
      </c>
      <c r="F280" s="41" t="str">
        <f aca="false">IF($AG280="","",IF($AG280&lt;=1200,IF(INDEX(对接源_01水果!$I$4:$I$1203,$AG280)=0,"",INDEX(对接源_01水果!$I$4:$I$1203,$AG280)),IF(INDEX(对接源_02物料!$I$4:$I$1203,$AG280-1200)=0,"",INDEX(对接源_02物料!$I$4:$I$1203,$AG280-1200))))</f>
        <v/>
      </c>
      <c r="G280" s="55" t="str">
        <f aca="false">IF($AG280="","",IF($AG280&lt;=1200,IF(INDEX(对接源_01水果!$J$4:$J$1203,$AG280)=0,"",INDEX(对接源_01水果!$J$4:$J$1203,$AG280)),IF(INDEX(对接源_02物料!$J$4:$J$1203,$AG280-1200)=0,"",INDEX(对接源_02物料!$J$4:$J$1203,$AG280-1200))))</f>
        <v/>
      </c>
      <c r="H280" s="55" t="str">
        <f aca="false">IF($AG280="","",IF($AG280&lt;=1200,IF(INDEX(对接源_01水果!$K$4:$K$1203,$AG280)=0,"",INDEX(对接源_01水果!$K$4:$K$1203,$AG280)),IF(INDEX(对接源_02物料!$K$4:$K$1203,$AG280-1200)=0,"",INDEX(对接源_02物料!$K$4:$K$1203,$AG280-1200))))</f>
        <v/>
      </c>
      <c r="I280" s="41" t="str">
        <f aca="false">IF($AG280="","",IF($AG280&lt;=1200,IF(INDEX(对接源_01水果!$L$4:$L$1203,$AG280)=0,"",INDEX(对接源_01水果!$L$4:$L$1203,$AG280)),IF(INDEX(对接源_02物料!$L$4:$L$1203,$AG280-1200)=0,"",INDEX(对接源_02物料!$L$4:$L$1203,$AG280-1200))))</f>
        <v/>
      </c>
      <c r="J280" s="42" t="str">
        <f aca="false">IF($AG280="","",IF($AG280&lt;=1200,IF(INDEX(对接源_01水果!$M$4:$M$1203,$AG280)=0,"",INDEX(对接源_01水果!$M$4:$M$1203,$AG280)),IF(INDEX(对接源_02物料!$M$4:$M$1203,$AG280-1200)=0,"",INDEX(对接源_02物料!$M$4:$M$1203,$AG280-1200))))</f>
        <v/>
      </c>
      <c r="AG280" s="44" t="str">
        <f aca="false">IFERROR(MATCH(69,_自动清单!$AE$4:$AE$2403,0),"")</f>
        <v/>
      </c>
    </row>
    <row r="281" customFormat="false" ht="18" hidden="false" customHeight="true" outlineLevel="0" collapsed="false">
      <c r="A281" s="45" t="str">
        <f aca="false">IF($AG281="","",IF($AG281&lt;=1200,IF(INDEX(对接源_01水果!$B$4:$B$1203,$AG281)=0,"",INDEX(对接源_01水果!$B$4:$B$1203,$AG281)),IF(INDEX(对接源_02物料!$B$4:$B$1203,$AG281-1200)=0,"",INDEX(对接源_02物料!$B$4:$B$1203,$AG281-1200))))</f>
        <v/>
      </c>
      <c r="B281" s="46" t="str">
        <f aca="false">IF($AG281="","",IF($AG281&lt;=1200,IF(INDEX(对接源_01水果!$E$4:$E$1203,$AG281)=0,"",INDEX(对接源_01水果!$E$4:$E$1203,$AG281)),IF(INDEX(对接源_02物料!$E$4:$E$1203,$AG281-1200)=0,"",INDEX(对接源_02物料!$E$4:$E$1203,$AG281-1200))))</f>
        <v/>
      </c>
      <c r="C281" s="46" t="str">
        <f aca="false">IF($AG281="","",IF($AG281&lt;=1200,IF(INDEX(对接源_01水果!$F$4:$F$1203,$AG281)=0,"",INDEX(对接源_01水果!$F$4:$F$1203,$AG281)),IF(INDEX(对接源_02物料!$F$4:$F$1203,$AG281-1200)=0,"",INDEX(对接源_02物料!$F$4:$F$1203,$AG281-1200))))</f>
        <v/>
      </c>
      <c r="D281" s="46" t="str">
        <f aca="false">IF($AG281="","",IF($AG281&lt;=1200,IF(INDEX(对接源_01水果!$G$4:$G$1203,$AG281)=0,"",INDEX(对接源_01水果!$G$4:$G$1203,$AG281)),IF(INDEX(对接源_02物料!$G$4:$G$1203,$AG281-1200)=0,"",INDEX(对接源_02物料!$G$4:$G$1203,$AG281-1200))))</f>
        <v/>
      </c>
      <c r="E281" s="48" t="str">
        <f aca="false">IF($AG281="","",IF($AG281&lt;=1200,IF(INDEX(对接源_01水果!$H$4:$H$1203,$AG281)=0,"",INDEX(对接源_01水果!$H$4:$H$1203,$AG281)),IF(INDEX(对接源_02物料!$H$4:$H$1203,$AG281-1200)=0,"",INDEX(对接源_02物料!$H$4:$H$1203,$AG281-1200))))</f>
        <v/>
      </c>
      <c r="F281" s="46" t="str">
        <f aca="false">IF($AG281="","",IF($AG281&lt;=1200,IF(INDEX(对接源_01水果!$I$4:$I$1203,$AG281)=0,"",INDEX(对接源_01水果!$I$4:$I$1203,$AG281)),IF(INDEX(对接源_02物料!$I$4:$I$1203,$AG281-1200)=0,"",INDEX(对接源_02物料!$I$4:$I$1203,$AG281-1200))))</f>
        <v/>
      </c>
      <c r="G281" s="56" t="str">
        <f aca="false">IF($AG281="","",IF($AG281&lt;=1200,IF(INDEX(对接源_01水果!$J$4:$J$1203,$AG281)=0,"",INDEX(对接源_01水果!$J$4:$J$1203,$AG281)),IF(INDEX(对接源_02物料!$J$4:$J$1203,$AG281-1200)=0,"",INDEX(对接源_02物料!$J$4:$J$1203,$AG281-1200))))</f>
        <v/>
      </c>
      <c r="H281" s="56" t="str">
        <f aca="false">IF($AG281="","",IF($AG281&lt;=1200,IF(INDEX(对接源_01水果!$K$4:$K$1203,$AG281)=0,"",INDEX(对接源_01水果!$K$4:$K$1203,$AG281)),IF(INDEX(对接源_02物料!$K$4:$K$1203,$AG281-1200)=0,"",INDEX(对接源_02物料!$K$4:$K$1203,$AG281-1200))))</f>
        <v/>
      </c>
      <c r="I281" s="46" t="str">
        <f aca="false">IF($AG281="","",IF($AG281&lt;=1200,IF(INDEX(对接源_01水果!$L$4:$L$1203,$AG281)=0,"",INDEX(对接源_01水果!$L$4:$L$1203,$AG281)),IF(INDEX(对接源_02物料!$L$4:$L$1203,$AG281-1200)=0,"",INDEX(对接源_02物料!$L$4:$L$1203,$AG281-1200))))</f>
        <v/>
      </c>
      <c r="J281" s="47" t="str">
        <f aca="false">IF($AG281="","",IF($AG281&lt;=1200,IF(INDEX(对接源_01水果!$M$4:$M$1203,$AG281)=0,"",INDEX(对接源_01水果!$M$4:$M$1203,$AG281)),IF(INDEX(对接源_02物料!$M$4:$M$1203,$AG281-1200)=0,"",INDEX(对接源_02物料!$M$4:$M$1203,$AG281-1200))))</f>
        <v/>
      </c>
      <c r="AG281" s="44" t="str">
        <f aca="false">IFERROR(MATCH(70,_自动清单!$AE$4:$AE$2403,0),"")</f>
        <v/>
      </c>
    </row>
    <row r="282" customFormat="false" ht="18" hidden="false" customHeight="true" outlineLevel="0" collapsed="false">
      <c r="A282" s="40" t="str">
        <f aca="false">IF($AG282="","",IF($AG282&lt;=1200,IF(INDEX(对接源_01水果!$B$4:$B$1203,$AG282)=0,"",INDEX(对接源_01水果!$B$4:$B$1203,$AG282)),IF(INDEX(对接源_02物料!$B$4:$B$1203,$AG282-1200)=0,"",INDEX(对接源_02物料!$B$4:$B$1203,$AG282-1200))))</f>
        <v/>
      </c>
      <c r="B282" s="41" t="str">
        <f aca="false">IF($AG282="","",IF($AG282&lt;=1200,IF(INDEX(对接源_01水果!$E$4:$E$1203,$AG282)=0,"",INDEX(对接源_01水果!$E$4:$E$1203,$AG282)),IF(INDEX(对接源_02物料!$E$4:$E$1203,$AG282-1200)=0,"",INDEX(对接源_02物料!$E$4:$E$1203,$AG282-1200))))</f>
        <v/>
      </c>
      <c r="C282" s="41" t="str">
        <f aca="false">IF($AG282="","",IF($AG282&lt;=1200,IF(INDEX(对接源_01水果!$F$4:$F$1203,$AG282)=0,"",INDEX(对接源_01水果!$F$4:$F$1203,$AG282)),IF(INDEX(对接源_02物料!$F$4:$F$1203,$AG282-1200)=0,"",INDEX(对接源_02物料!$F$4:$F$1203,$AG282-1200))))</f>
        <v/>
      </c>
      <c r="D282" s="41" t="str">
        <f aca="false">IF($AG282="","",IF($AG282&lt;=1200,IF(INDEX(对接源_01水果!$G$4:$G$1203,$AG282)=0,"",INDEX(对接源_01水果!$G$4:$G$1203,$AG282)),IF(INDEX(对接源_02物料!$G$4:$G$1203,$AG282-1200)=0,"",INDEX(对接源_02物料!$G$4:$G$1203,$AG282-1200))))</f>
        <v/>
      </c>
      <c r="E282" s="43" t="str">
        <f aca="false">IF($AG282="","",IF($AG282&lt;=1200,IF(INDEX(对接源_01水果!$H$4:$H$1203,$AG282)=0,"",INDEX(对接源_01水果!$H$4:$H$1203,$AG282)),IF(INDEX(对接源_02物料!$H$4:$H$1203,$AG282-1200)=0,"",INDEX(对接源_02物料!$H$4:$H$1203,$AG282-1200))))</f>
        <v/>
      </c>
      <c r="F282" s="41" t="str">
        <f aca="false">IF($AG282="","",IF($AG282&lt;=1200,IF(INDEX(对接源_01水果!$I$4:$I$1203,$AG282)=0,"",INDEX(对接源_01水果!$I$4:$I$1203,$AG282)),IF(INDEX(对接源_02物料!$I$4:$I$1203,$AG282-1200)=0,"",INDEX(对接源_02物料!$I$4:$I$1203,$AG282-1200))))</f>
        <v/>
      </c>
      <c r="G282" s="55" t="str">
        <f aca="false">IF($AG282="","",IF($AG282&lt;=1200,IF(INDEX(对接源_01水果!$J$4:$J$1203,$AG282)=0,"",INDEX(对接源_01水果!$J$4:$J$1203,$AG282)),IF(INDEX(对接源_02物料!$J$4:$J$1203,$AG282-1200)=0,"",INDEX(对接源_02物料!$J$4:$J$1203,$AG282-1200))))</f>
        <v/>
      </c>
      <c r="H282" s="55" t="str">
        <f aca="false">IF($AG282="","",IF($AG282&lt;=1200,IF(INDEX(对接源_01水果!$K$4:$K$1203,$AG282)=0,"",INDEX(对接源_01水果!$K$4:$K$1203,$AG282)),IF(INDEX(对接源_02物料!$K$4:$K$1203,$AG282-1200)=0,"",INDEX(对接源_02物料!$K$4:$K$1203,$AG282-1200))))</f>
        <v/>
      </c>
      <c r="I282" s="41" t="str">
        <f aca="false">IF($AG282="","",IF($AG282&lt;=1200,IF(INDEX(对接源_01水果!$L$4:$L$1203,$AG282)=0,"",INDEX(对接源_01水果!$L$4:$L$1203,$AG282)),IF(INDEX(对接源_02物料!$L$4:$L$1203,$AG282-1200)=0,"",INDEX(对接源_02物料!$L$4:$L$1203,$AG282-1200))))</f>
        <v/>
      </c>
      <c r="J282" s="42" t="str">
        <f aca="false">IF($AG282="","",IF($AG282&lt;=1200,IF(INDEX(对接源_01水果!$M$4:$M$1203,$AG282)=0,"",INDEX(对接源_01水果!$M$4:$M$1203,$AG282)),IF(INDEX(对接源_02物料!$M$4:$M$1203,$AG282-1200)=0,"",INDEX(对接源_02物料!$M$4:$M$1203,$AG282-1200))))</f>
        <v/>
      </c>
      <c r="AG282" s="44" t="str">
        <f aca="false">IFERROR(MATCH(71,_自动清单!$AE$4:$AE$2403,0),"")</f>
        <v/>
      </c>
    </row>
    <row r="283" customFormat="false" ht="18" hidden="false" customHeight="true" outlineLevel="0" collapsed="false">
      <c r="A283" s="45" t="str">
        <f aca="false">IF($AG283="","",IF($AG283&lt;=1200,IF(INDEX(对接源_01水果!$B$4:$B$1203,$AG283)=0,"",INDEX(对接源_01水果!$B$4:$B$1203,$AG283)),IF(INDEX(对接源_02物料!$B$4:$B$1203,$AG283-1200)=0,"",INDEX(对接源_02物料!$B$4:$B$1203,$AG283-1200))))</f>
        <v/>
      </c>
      <c r="B283" s="46" t="str">
        <f aca="false">IF($AG283="","",IF($AG283&lt;=1200,IF(INDEX(对接源_01水果!$E$4:$E$1203,$AG283)=0,"",INDEX(对接源_01水果!$E$4:$E$1203,$AG283)),IF(INDEX(对接源_02物料!$E$4:$E$1203,$AG283-1200)=0,"",INDEX(对接源_02物料!$E$4:$E$1203,$AG283-1200))))</f>
        <v/>
      </c>
      <c r="C283" s="46" t="str">
        <f aca="false">IF($AG283="","",IF($AG283&lt;=1200,IF(INDEX(对接源_01水果!$F$4:$F$1203,$AG283)=0,"",INDEX(对接源_01水果!$F$4:$F$1203,$AG283)),IF(INDEX(对接源_02物料!$F$4:$F$1203,$AG283-1200)=0,"",INDEX(对接源_02物料!$F$4:$F$1203,$AG283-1200))))</f>
        <v/>
      </c>
      <c r="D283" s="46" t="str">
        <f aca="false">IF($AG283="","",IF($AG283&lt;=1200,IF(INDEX(对接源_01水果!$G$4:$G$1203,$AG283)=0,"",INDEX(对接源_01水果!$G$4:$G$1203,$AG283)),IF(INDEX(对接源_02物料!$G$4:$G$1203,$AG283-1200)=0,"",INDEX(对接源_02物料!$G$4:$G$1203,$AG283-1200))))</f>
        <v/>
      </c>
      <c r="E283" s="48" t="str">
        <f aca="false">IF($AG283="","",IF($AG283&lt;=1200,IF(INDEX(对接源_01水果!$H$4:$H$1203,$AG283)=0,"",INDEX(对接源_01水果!$H$4:$H$1203,$AG283)),IF(INDEX(对接源_02物料!$H$4:$H$1203,$AG283-1200)=0,"",INDEX(对接源_02物料!$H$4:$H$1203,$AG283-1200))))</f>
        <v/>
      </c>
      <c r="F283" s="46" t="str">
        <f aca="false">IF($AG283="","",IF($AG283&lt;=1200,IF(INDEX(对接源_01水果!$I$4:$I$1203,$AG283)=0,"",INDEX(对接源_01水果!$I$4:$I$1203,$AG283)),IF(INDEX(对接源_02物料!$I$4:$I$1203,$AG283-1200)=0,"",INDEX(对接源_02物料!$I$4:$I$1203,$AG283-1200))))</f>
        <v/>
      </c>
      <c r="G283" s="56" t="str">
        <f aca="false">IF($AG283="","",IF($AG283&lt;=1200,IF(INDEX(对接源_01水果!$J$4:$J$1203,$AG283)=0,"",INDEX(对接源_01水果!$J$4:$J$1203,$AG283)),IF(INDEX(对接源_02物料!$J$4:$J$1203,$AG283-1200)=0,"",INDEX(对接源_02物料!$J$4:$J$1203,$AG283-1200))))</f>
        <v/>
      </c>
      <c r="H283" s="56" t="str">
        <f aca="false">IF($AG283="","",IF($AG283&lt;=1200,IF(INDEX(对接源_01水果!$K$4:$K$1203,$AG283)=0,"",INDEX(对接源_01水果!$K$4:$K$1203,$AG283)),IF(INDEX(对接源_02物料!$K$4:$K$1203,$AG283-1200)=0,"",INDEX(对接源_02物料!$K$4:$K$1203,$AG283-1200))))</f>
        <v/>
      </c>
      <c r="I283" s="46" t="str">
        <f aca="false">IF($AG283="","",IF($AG283&lt;=1200,IF(INDEX(对接源_01水果!$L$4:$L$1203,$AG283)=0,"",INDEX(对接源_01水果!$L$4:$L$1203,$AG283)),IF(INDEX(对接源_02物料!$L$4:$L$1203,$AG283-1200)=0,"",INDEX(对接源_02物料!$L$4:$L$1203,$AG283-1200))))</f>
        <v/>
      </c>
      <c r="J283" s="47" t="str">
        <f aca="false">IF($AG283="","",IF($AG283&lt;=1200,IF(INDEX(对接源_01水果!$M$4:$M$1203,$AG283)=0,"",INDEX(对接源_01水果!$M$4:$M$1203,$AG283)),IF(INDEX(对接源_02物料!$M$4:$M$1203,$AG283-1200)=0,"",INDEX(对接源_02物料!$M$4:$M$1203,$AG283-1200))))</f>
        <v/>
      </c>
      <c r="AG283" s="44" t="str">
        <f aca="false">IFERROR(MATCH(72,_自动清单!$AE$4:$AE$2403,0),"")</f>
        <v/>
      </c>
    </row>
    <row r="284" customFormat="false" ht="18" hidden="false" customHeight="true" outlineLevel="0" collapsed="false">
      <c r="A284" s="40" t="str">
        <f aca="false">IF($AG284="","",IF($AG284&lt;=1200,IF(INDEX(对接源_01水果!$B$4:$B$1203,$AG284)=0,"",INDEX(对接源_01水果!$B$4:$B$1203,$AG284)),IF(INDEX(对接源_02物料!$B$4:$B$1203,$AG284-1200)=0,"",INDEX(对接源_02物料!$B$4:$B$1203,$AG284-1200))))</f>
        <v/>
      </c>
      <c r="B284" s="41" t="str">
        <f aca="false">IF($AG284="","",IF($AG284&lt;=1200,IF(INDEX(对接源_01水果!$E$4:$E$1203,$AG284)=0,"",INDEX(对接源_01水果!$E$4:$E$1203,$AG284)),IF(INDEX(对接源_02物料!$E$4:$E$1203,$AG284-1200)=0,"",INDEX(对接源_02物料!$E$4:$E$1203,$AG284-1200))))</f>
        <v/>
      </c>
      <c r="C284" s="41" t="str">
        <f aca="false">IF($AG284="","",IF($AG284&lt;=1200,IF(INDEX(对接源_01水果!$F$4:$F$1203,$AG284)=0,"",INDEX(对接源_01水果!$F$4:$F$1203,$AG284)),IF(INDEX(对接源_02物料!$F$4:$F$1203,$AG284-1200)=0,"",INDEX(对接源_02物料!$F$4:$F$1203,$AG284-1200))))</f>
        <v/>
      </c>
      <c r="D284" s="41" t="str">
        <f aca="false">IF($AG284="","",IF($AG284&lt;=1200,IF(INDEX(对接源_01水果!$G$4:$G$1203,$AG284)=0,"",INDEX(对接源_01水果!$G$4:$G$1203,$AG284)),IF(INDEX(对接源_02物料!$G$4:$G$1203,$AG284-1200)=0,"",INDEX(对接源_02物料!$G$4:$G$1203,$AG284-1200))))</f>
        <v/>
      </c>
      <c r="E284" s="43" t="str">
        <f aca="false">IF($AG284="","",IF($AG284&lt;=1200,IF(INDEX(对接源_01水果!$H$4:$H$1203,$AG284)=0,"",INDEX(对接源_01水果!$H$4:$H$1203,$AG284)),IF(INDEX(对接源_02物料!$H$4:$H$1203,$AG284-1200)=0,"",INDEX(对接源_02物料!$H$4:$H$1203,$AG284-1200))))</f>
        <v/>
      </c>
      <c r="F284" s="41" t="str">
        <f aca="false">IF($AG284="","",IF($AG284&lt;=1200,IF(INDEX(对接源_01水果!$I$4:$I$1203,$AG284)=0,"",INDEX(对接源_01水果!$I$4:$I$1203,$AG284)),IF(INDEX(对接源_02物料!$I$4:$I$1203,$AG284-1200)=0,"",INDEX(对接源_02物料!$I$4:$I$1203,$AG284-1200))))</f>
        <v/>
      </c>
      <c r="G284" s="55" t="str">
        <f aca="false">IF($AG284="","",IF($AG284&lt;=1200,IF(INDEX(对接源_01水果!$J$4:$J$1203,$AG284)=0,"",INDEX(对接源_01水果!$J$4:$J$1203,$AG284)),IF(INDEX(对接源_02物料!$J$4:$J$1203,$AG284-1200)=0,"",INDEX(对接源_02物料!$J$4:$J$1203,$AG284-1200))))</f>
        <v/>
      </c>
      <c r="H284" s="55" t="str">
        <f aca="false">IF($AG284="","",IF($AG284&lt;=1200,IF(INDEX(对接源_01水果!$K$4:$K$1203,$AG284)=0,"",INDEX(对接源_01水果!$K$4:$K$1203,$AG284)),IF(INDEX(对接源_02物料!$K$4:$K$1203,$AG284-1200)=0,"",INDEX(对接源_02物料!$K$4:$K$1203,$AG284-1200))))</f>
        <v/>
      </c>
      <c r="I284" s="41" t="str">
        <f aca="false">IF($AG284="","",IF($AG284&lt;=1200,IF(INDEX(对接源_01水果!$L$4:$L$1203,$AG284)=0,"",INDEX(对接源_01水果!$L$4:$L$1203,$AG284)),IF(INDEX(对接源_02物料!$L$4:$L$1203,$AG284-1200)=0,"",INDEX(对接源_02物料!$L$4:$L$1203,$AG284-1200))))</f>
        <v/>
      </c>
      <c r="J284" s="42" t="str">
        <f aca="false">IF($AG284="","",IF($AG284&lt;=1200,IF(INDEX(对接源_01水果!$M$4:$M$1203,$AG284)=0,"",INDEX(对接源_01水果!$M$4:$M$1203,$AG284)),IF(INDEX(对接源_02物料!$M$4:$M$1203,$AG284-1200)=0,"",INDEX(对接源_02物料!$M$4:$M$1203,$AG284-1200))))</f>
        <v/>
      </c>
      <c r="AG284" s="44" t="str">
        <f aca="false">IFERROR(MATCH(73,_自动清单!$AE$4:$AE$2403,0),"")</f>
        <v/>
      </c>
    </row>
    <row r="285" customFormat="false" ht="18" hidden="false" customHeight="true" outlineLevel="0" collapsed="false">
      <c r="A285" s="45" t="str">
        <f aca="false">IF($AG285="","",IF($AG285&lt;=1200,IF(INDEX(对接源_01水果!$B$4:$B$1203,$AG285)=0,"",INDEX(对接源_01水果!$B$4:$B$1203,$AG285)),IF(INDEX(对接源_02物料!$B$4:$B$1203,$AG285-1200)=0,"",INDEX(对接源_02物料!$B$4:$B$1203,$AG285-1200))))</f>
        <v/>
      </c>
      <c r="B285" s="46" t="str">
        <f aca="false">IF($AG285="","",IF($AG285&lt;=1200,IF(INDEX(对接源_01水果!$E$4:$E$1203,$AG285)=0,"",INDEX(对接源_01水果!$E$4:$E$1203,$AG285)),IF(INDEX(对接源_02物料!$E$4:$E$1203,$AG285-1200)=0,"",INDEX(对接源_02物料!$E$4:$E$1203,$AG285-1200))))</f>
        <v/>
      </c>
      <c r="C285" s="46" t="str">
        <f aca="false">IF($AG285="","",IF($AG285&lt;=1200,IF(INDEX(对接源_01水果!$F$4:$F$1203,$AG285)=0,"",INDEX(对接源_01水果!$F$4:$F$1203,$AG285)),IF(INDEX(对接源_02物料!$F$4:$F$1203,$AG285-1200)=0,"",INDEX(对接源_02物料!$F$4:$F$1203,$AG285-1200))))</f>
        <v/>
      </c>
      <c r="D285" s="46" t="str">
        <f aca="false">IF($AG285="","",IF($AG285&lt;=1200,IF(INDEX(对接源_01水果!$G$4:$G$1203,$AG285)=0,"",INDEX(对接源_01水果!$G$4:$G$1203,$AG285)),IF(INDEX(对接源_02物料!$G$4:$G$1203,$AG285-1200)=0,"",INDEX(对接源_02物料!$G$4:$G$1203,$AG285-1200))))</f>
        <v/>
      </c>
      <c r="E285" s="48" t="str">
        <f aca="false">IF($AG285="","",IF($AG285&lt;=1200,IF(INDEX(对接源_01水果!$H$4:$H$1203,$AG285)=0,"",INDEX(对接源_01水果!$H$4:$H$1203,$AG285)),IF(INDEX(对接源_02物料!$H$4:$H$1203,$AG285-1200)=0,"",INDEX(对接源_02物料!$H$4:$H$1203,$AG285-1200))))</f>
        <v/>
      </c>
      <c r="F285" s="46" t="str">
        <f aca="false">IF($AG285="","",IF($AG285&lt;=1200,IF(INDEX(对接源_01水果!$I$4:$I$1203,$AG285)=0,"",INDEX(对接源_01水果!$I$4:$I$1203,$AG285)),IF(INDEX(对接源_02物料!$I$4:$I$1203,$AG285-1200)=0,"",INDEX(对接源_02物料!$I$4:$I$1203,$AG285-1200))))</f>
        <v/>
      </c>
      <c r="G285" s="56" t="str">
        <f aca="false">IF($AG285="","",IF($AG285&lt;=1200,IF(INDEX(对接源_01水果!$J$4:$J$1203,$AG285)=0,"",INDEX(对接源_01水果!$J$4:$J$1203,$AG285)),IF(INDEX(对接源_02物料!$J$4:$J$1203,$AG285-1200)=0,"",INDEX(对接源_02物料!$J$4:$J$1203,$AG285-1200))))</f>
        <v/>
      </c>
      <c r="H285" s="56" t="str">
        <f aca="false">IF($AG285="","",IF($AG285&lt;=1200,IF(INDEX(对接源_01水果!$K$4:$K$1203,$AG285)=0,"",INDEX(对接源_01水果!$K$4:$K$1203,$AG285)),IF(INDEX(对接源_02物料!$K$4:$K$1203,$AG285-1200)=0,"",INDEX(对接源_02物料!$K$4:$K$1203,$AG285-1200))))</f>
        <v/>
      </c>
      <c r="I285" s="46" t="str">
        <f aca="false">IF($AG285="","",IF($AG285&lt;=1200,IF(INDEX(对接源_01水果!$L$4:$L$1203,$AG285)=0,"",INDEX(对接源_01水果!$L$4:$L$1203,$AG285)),IF(INDEX(对接源_02物料!$L$4:$L$1203,$AG285-1200)=0,"",INDEX(对接源_02物料!$L$4:$L$1203,$AG285-1200))))</f>
        <v/>
      </c>
      <c r="J285" s="47" t="str">
        <f aca="false">IF($AG285="","",IF($AG285&lt;=1200,IF(INDEX(对接源_01水果!$M$4:$M$1203,$AG285)=0,"",INDEX(对接源_01水果!$M$4:$M$1203,$AG285)),IF(INDEX(对接源_02物料!$M$4:$M$1203,$AG285-1200)=0,"",INDEX(对接源_02物料!$M$4:$M$1203,$AG285-1200))))</f>
        <v/>
      </c>
      <c r="AG285" s="44" t="str">
        <f aca="false">IFERROR(MATCH(74,_自动清单!$AE$4:$AE$2403,0),"")</f>
        <v/>
      </c>
    </row>
    <row r="286" customFormat="false" ht="18" hidden="false" customHeight="true" outlineLevel="0" collapsed="false">
      <c r="A286" s="40" t="str">
        <f aca="false">IF($AG286="","",IF($AG286&lt;=1200,IF(INDEX(对接源_01水果!$B$4:$B$1203,$AG286)=0,"",INDEX(对接源_01水果!$B$4:$B$1203,$AG286)),IF(INDEX(对接源_02物料!$B$4:$B$1203,$AG286-1200)=0,"",INDEX(对接源_02物料!$B$4:$B$1203,$AG286-1200))))</f>
        <v/>
      </c>
      <c r="B286" s="41" t="str">
        <f aca="false">IF($AG286="","",IF($AG286&lt;=1200,IF(INDEX(对接源_01水果!$E$4:$E$1203,$AG286)=0,"",INDEX(对接源_01水果!$E$4:$E$1203,$AG286)),IF(INDEX(对接源_02物料!$E$4:$E$1203,$AG286-1200)=0,"",INDEX(对接源_02物料!$E$4:$E$1203,$AG286-1200))))</f>
        <v/>
      </c>
      <c r="C286" s="41" t="str">
        <f aca="false">IF($AG286="","",IF($AG286&lt;=1200,IF(INDEX(对接源_01水果!$F$4:$F$1203,$AG286)=0,"",INDEX(对接源_01水果!$F$4:$F$1203,$AG286)),IF(INDEX(对接源_02物料!$F$4:$F$1203,$AG286-1200)=0,"",INDEX(对接源_02物料!$F$4:$F$1203,$AG286-1200))))</f>
        <v/>
      </c>
      <c r="D286" s="41" t="str">
        <f aca="false">IF($AG286="","",IF($AG286&lt;=1200,IF(INDEX(对接源_01水果!$G$4:$G$1203,$AG286)=0,"",INDEX(对接源_01水果!$G$4:$G$1203,$AG286)),IF(INDEX(对接源_02物料!$G$4:$G$1203,$AG286-1200)=0,"",INDEX(对接源_02物料!$G$4:$G$1203,$AG286-1200))))</f>
        <v/>
      </c>
      <c r="E286" s="43" t="str">
        <f aca="false">IF($AG286="","",IF($AG286&lt;=1200,IF(INDEX(对接源_01水果!$H$4:$H$1203,$AG286)=0,"",INDEX(对接源_01水果!$H$4:$H$1203,$AG286)),IF(INDEX(对接源_02物料!$H$4:$H$1203,$AG286-1200)=0,"",INDEX(对接源_02物料!$H$4:$H$1203,$AG286-1200))))</f>
        <v/>
      </c>
      <c r="F286" s="41" t="str">
        <f aca="false">IF($AG286="","",IF($AG286&lt;=1200,IF(INDEX(对接源_01水果!$I$4:$I$1203,$AG286)=0,"",INDEX(对接源_01水果!$I$4:$I$1203,$AG286)),IF(INDEX(对接源_02物料!$I$4:$I$1203,$AG286-1200)=0,"",INDEX(对接源_02物料!$I$4:$I$1203,$AG286-1200))))</f>
        <v/>
      </c>
      <c r="G286" s="55" t="str">
        <f aca="false">IF($AG286="","",IF($AG286&lt;=1200,IF(INDEX(对接源_01水果!$J$4:$J$1203,$AG286)=0,"",INDEX(对接源_01水果!$J$4:$J$1203,$AG286)),IF(INDEX(对接源_02物料!$J$4:$J$1203,$AG286-1200)=0,"",INDEX(对接源_02物料!$J$4:$J$1203,$AG286-1200))))</f>
        <v/>
      </c>
      <c r="H286" s="55" t="str">
        <f aca="false">IF($AG286="","",IF($AG286&lt;=1200,IF(INDEX(对接源_01水果!$K$4:$K$1203,$AG286)=0,"",INDEX(对接源_01水果!$K$4:$K$1203,$AG286)),IF(INDEX(对接源_02物料!$K$4:$K$1203,$AG286-1200)=0,"",INDEX(对接源_02物料!$K$4:$K$1203,$AG286-1200))))</f>
        <v/>
      </c>
      <c r="I286" s="41" t="str">
        <f aca="false">IF($AG286="","",IF($AG286&lt;=1200,IF(INDEX(对接源_01水果!$L$4:$L$1203,$AG286)=0,"",INDEX(对接源_01水果!$L$4:$L$1203,$AG286)),IF(INDEX(对接源_02物料!$L$4:$L$1203,$AG286-1200)=0,"",INDEX(对接源_02物料!$L$4:$L$1203,$AG286-1200))))</f>
        <v/>
      </c>
      <c r="J286" s="42" t="str">
        <f aca="false">IF($AG286="","",IF($AG286&lt;=1200,IF(INDEX(对接源_01水果!$M$4:$M$1203,$AG286)=0,"",INDEX(对接源_01水果!$M$4:$M$1203,$AG286)),IF(INDEX(对接源_02物料!$M$4:$M$1203,$AG286-1200)=0,"",INDEX(对接源_02物料!$M$4:$M$1203,$AG286-1200))))</f>
        <v/>
      </c>
      <c r="AG286" s="44" t="str">
        <f aca="false">IFERROR(MATCH(75,_自动清单!$AE$4:$AE$2403,0),"")</f>
        <v/>
      </c>
    </row>
    <row r="287" customFormat="false" ht="18" hidden="false" customHeight="true" outlineLevel="0" collapsed="false">
      <c r="A287" s="45" t="str">
        <f aca="false">IF($AG287="","",IF($AG287&lt;=1200,IF(INDEX(对接源_01水果!$B$4:$B$1203,$AG287)=0,"",INDEX(对接源_01水果!$B$4:$B$1203,$AG287)),IF(INDEX(对接源_02物料!$B$4:$B$1203,$AG287-1200)=0,"",INDEX(对接源_02物料!$B$4:$B$1203,$AG287-1200))))</f>
        <v/>
      </c>
      <c r="B287" s="46" t="str">
        <f aca="false">IF($AG287="","",IF($AG287&lt;=1200,IF(INDEX(对接源_01水果!$E$4:$E$1203,$AG287)=0,"",INDEX(对接源_01水果!$E$4:$E$1203,$AG287)),IF(INDEX(对接源_02物料!$E$4:$E$1203,$AG287-1200)=0,"",INDEX(对接源_02物料!$E$4:$E$1203,$AG287-1200))))</f>
        <v/>
      </c>
      <c r="C287" s="46" t="str">
        <f aca="false">IF($AG287="","",IF($AG287&lt;=1200,IF(INDEX(对接源_01水果!$F$4:$F$1203,$AG287)=0,"",INDEX(对接源_01水果!$F$4:$F$1203,$AG287)),IF(INDEX(对接源_02物料!$F$4:$F$1203,$AG287-1200)=0,"",INDEX(对接源_02物料!$F$4:$F$1203,$AG287-1200))))</f>
        <v/>
      </c>
      <c r="D287" s="46" t="str">
        <f aca="false">IF($AG287="","",IF($AG287&lt;=1200,IF(INDEX(对接源_01水果!$G$4:$G$1203,$AG287)=0,"",INDEX(对接源_01水果!$G$4:$G$1203,$AG287)),IF(INDEX(对接源_02物料!$G$4:$G$1203,$AG287-1200)=0,"",INDEX(对接源_02物料!$G$4:$G$1203,$AG287-1200))))</f>
        <v/>
      </c>
      <c r="E287" s="48" t="str">
        <f aca="false">IF($AG287="","",IF($AG287&lt;=1200,IF(INDEX(对接源_01水果!$H$4:$H$1203,$AG287)=0,"",INDEX(对接源_01水果!$H$4:$H$1203,$AG287)),IF(INDEX(对接源_02物料!$H$4:$H$1203,$AG287-1200)=0,"",INDEX(对接源_02物料!$H$4:$H$1203,$AG287-1200))))</f>
        <v/>
      </c>
      <c r="F287" s="46" t="str">
        <f aca="false">IF($AG287="","",IF($AG287&lt;=1200,IF(INDEX(对接源_01水果!$I$4:$I$1203,$AG287)=0,"",INDEX(对接源_01水果!$I$4:$I$1203,$AG287)),IF(INDEX(对接源_02物料!$I$4:$I$1203,$AG287-1200)=0,"",INDEX(对接源_02物料!$I$4:$I$1203,$AG287-1200))))</f>
        <v/>
      </c>
      <c r="G287" s="56" t="str">
        <f aca="false">IF($AG287="","",IF($AG287&lt;=1200,IF(INDEX(对接源_01水果!$J$4:$J$1203,$AG287)=0,"",INDEX(对接源_01水果!$J$4:$J$1203,$AG287)),IF(INDEX(对接源_02物料!$J$4:$J$1203,$AG287-1200)=0,"",INDEX(对接源_02物料!$J$4:$J$1203,$AG287-1200))))</f>
        <v/>
      </c>
      <c r="H287" s="56" t="str">
        <f aca="false">IF($AG287="","",IF($AG287&lt;=1200,IF(INDEX(对接源_01水果!$K$4:$K$1203,$AG287)=0,"",INDEX(对接源_01水果!$K$4:$K$1203,$AG287)),IF(INDEX(对接源_02物料!$K$4:$K$1203,$AG287-1200)=0,"",INDEX(对接源_02物料!$K$4:$K$1203,$AG287-1200))))</f>
        <v/>
      </c>
      <c r="I287" s="46" t="str">
        <f aca="false">IF($AG287="","",IF($AG287&lt;=1200,IF(INDEX(对接源_01水果!$L$4:$L$1203,$AG287)=0,"",INDEX(对接源_01水果!$L$4:$L$1203,$AG287)),IF(INDEX(对接源_02物料!$L$4:$L$1203,$AG287-1200)=0,"",INDEX(对接源_02物料!$L$4:$L$1203,$AG287-1200))))</f>
        <v/>
      </c>
      <c r="J287" s="47" t="str">
        <f aca="false">IF($AG287="","",IF($AG287&lt;=1200,IF(INDEX(对接源_01水果!$M$4:$M$1203,$AG287)=0,"",INDEX(对接源_01水果!$M$4:$M$1203,$AG287)),IF(INDEX(对接源_02物料!$M$4:$M$1203,$AG287-1200)=0,"",INDEX(对接源_02物料!$M$4:$M$1203,$AG287-1200))))</f>
        <v/>
      </c>
      <c r="AG287" s="44" t="str">
        <f aca="false">IFERROR(MATCH(76,_自动清单!$AE$4:$AE$2403,0),"")</f>
        <v/>
      </c>
    </row>
    <row r="288" customFormat="false" ht="18" hidden="false" customHeight="true" outlineLevel="0" collapsed="false">
      <c r="A288" s="40" t="str">
        <f aca="false">IF($AG288="","",IF($AG288&lt;=1200,IF(INDEX(对接源_01水果!$B$4:$B$1203,$AG288)=0,"",INDEX(对接源_01水果!$B$4:$B$1203,$AG288)),IF(INDEX(对接源_02物料!$B$4:$B$1203,$AG288-1200)=0,"",INDEX(对接源_02物料!$B$4:$B$1203,$AG288-1200))))</f>
        <v/>
      </c>
      <c r="B288" s="41" t="str">
        <f aca="false">IF($AG288="","",IF($AG288&lt;=1200,IF(INDEX(对接源_01水果!$E$4:$E$1203,$AG288)=0,"",INDEX(对接源_01水果!$E$4:$E$1203,$AG288)),IF(INDEX(对接源_02物料!$E$4:$E$1203,$AG288-1200)=0,"",INDEX(对接源_02物料!$E$4:$E$1203,$AG288-1200))))</f>
        <v/>
      </c>
      <c r="C288" s="41" t="str">
        <f aca="false">IF($AG288="","",IF($AG288&lt;=1200,IF(INDEX(对接源_01水果!$F$4:$F$1203,$AG288)=0,"",INDEX(对接源_01水果!$F$4:$F$1203,$AG288)),IF(INDEX(对接源_02物料!$F$4:$F$1203,$AG288-1200)=0,"",INDEX(对接源_02物料!$F$4:$F$1203,$AG288-1200))))</f>
        <v/>
      </c>
      <c r="D288" s="41" t="str">
        <f aca="false">IF($AG288="","",IF($AG288&lt;=1200,IF(INDEX(对接源_01水果!$G$4:$G$1203,$AG288)=0,"",INDEX(对接源_01水果!$G$4:$G$1203,$AG288)),IF(INDEX(对接源_02物料!$G$4:$G$1203,$AG288-1200)=0,"",INDEX(对接源_02物料!$G$4:$G$1203,$AG288-1200))))</f>
        <v/>
      </c>
      <c r="E288" s="43" t="str">
        <f aca="false">IF($AG288="","",IF($AG288&lt;=1200,IF(INDEX(对接源_01水果!$H$4:$H$1203,$AG288)=0,"",INDEX(对接源_01水果!$H$4:$H$1203,$AG288)),IF(INDEX(对接源_02物料!$H$4:$H$1203,$AG288-1200)=0,"",INDEX(对接源_02物料!$H$4:$H$1203,$AG288-1200))))</f>
        <v/>
      </c>
      <c r="F288" s="41" t="str">
        <f aca="false">IF($AG288="","",IF($AG288&lt;=1200,IF(INDEX(对接源_01水果!$I$4:$I$1203,$AG288)=0,"",INDEX(对接源_01水果!$I$4:$I$1203,$AG288)),IF(INDEX(对接源_02物料!$I$4:$I$1203,$AG288-1200)=0,"",INDEX(对接源_02物料!$I$4:$I$1203,$AG288-1200))))</f>
        <v/>
      </c>
      <c r="G288" s="55" t="str">
        <f aca="false">IF($AG288="","",IF($AG288&lt;=1200,IF(INDEX(对接源_01水果!$J$4:$J$1203,$AG288)=0,"",INDEX(对接源_01水果!$J$4:$J$1203,$AG288)),IF(INDEX(对接源_02物料!$J$4:$J$1203,$AG288-1200)=0,"",INDEX(对接源_02物料!$J$4:$J$1203,$AG288-1200))))</f>
        <v/>
      </c>
      <c r="H288" s="55" t="str">
        <f aca="false">IF($AG288="","",IF($AG288&lt;=1200,IF(INDEX(对接源_01水果!$K$4:$K$1203,$AG288)=0,"",INDEX(对接源_01水果!$K$4:$K$1203,$AG288)),IF(INDEX(对接源_02物料!$K$4:$K$1203,$AG288-1200)=0,"",INDEX(对接源_02物料!$K$4:$K$1203,$AG288-1200))))</f>
        <v/>
      </c>
      <c r="I288" s="41" t="str">
        <f aca="false">IF($AG288="","",IF($AG288&lt;=1200,IF(INDEX(对接源_01水果!$L$4:$L$1203,$AG288)=0,"",INDEX(对接源_01水果!$L$4:$L$1203,$AG288)),IF(INDEX(对接源_02物料!$L$4:$L$1203,$AG288-1200)=0,"",INDEX(对接源_02物料!$L$4:$L$1203,$AG288-1200))))</f>
        <v/>
      </c>
      <c r="J288" s="42" t="str">
        <f aca="false">IF($AG288="","",IF($AG288&lt;=1200,IF(INDEX(对接源_01水果!$M$4:$M$1203,$AG288)=0,"",INDEX(对接源_01水果!$M$4:$M$1203,$AG288)),IF(INDEX(对接源_02物料!$M$4:$M$1203,$AG288-1200)=0,"",INDEX(对接源_02物料!$M$4:$M$1203,$AG288-1200))))</f>
        <v/>
      </c>
      <c r="AG288" s="44" t="str">
        <f aca="false">IFERROR(MATCH(77,_自动清单!$AE$4:$AE$2403,0),"")</f>
        <v/>
      </c>
    </row>
    <row r="289" customFormat="false" ht="18" hidden="false" customHeight="true" outlineLevel="0" collapsed="false">
      <c r="A289" s="45" t="str">
        <f aca="false">IF($AG289="","",IF($AG289&lt;=1200,IF(INDEX(对接源_01水果!$B$4:$B$1203,$AG289)=0,"",INDEX(对接源_01水果!$B$4:$B$1203,$AG289)),IF(INDEX(对接源_02物料!$B$4:$B$1203,$AG289-1200)=0,"",INDEX(对接源_02物料!$B$4:$B$1203,$AG289-1200))))</f>
        <v/>
      </c>
      <c r="B289" s="46" t="str">
        <f aca="false">IF($AG289="","",IF($AG289&lt;=1200,IF(INDEX(对接源_01水果!$E$4:$E$1203,$AG289)=0,"",INDEX(对接源_01水果!$E$4:$E$1203,$AG289)),IF(INDEX(对接源_02物料!$E$4:$E$1203,$AG289-1200)=0,"",INDEX(对接源_02物料!$E$4:$E$1203,$AG289-1200))))</f>
        <v/>
      </c>
      <c r="C289" s="46" t="str">
        <f aca="false">IF($AG289="","",IF($AG289&lt;=1200,IF(INDEX(对接源_01水果!$F$4:$F$1203,$AG289)=0,"",INDEX(对接源_01水果!$F$4:$F$1203,$AG289)),IF(INDEX(对接源_02物料!$F$4:$F$1203,$AG289-1200)=0,"",INDEX(对接源_02物料!$F$4:$F$1203,$AG289-1200))))</f>
        <v/>
      </c>
      <c r="D289" s="46" t="str">
        <f aca="false">IF($AG289="","",IF($AG289&lt;=1200,IF(INDEX(对接源_01水果!$G$4:$G$1203,$AG289)=0,"",INDEX(对接源_01水果!$G$4:$G$1203,$AG289)),IF(INDEX(对接源_02物料!$G$4:$G$1203,$AG289-1200)=0,"",INDEX(对接源_02物料!$G$4:$G$1203,$AG289-1200))))</f>
        <v/>
      </c>
      <c r="E289" s="48" t="str">
        <f aca="false">IF($AG289="","",IF($AG289&lt;=1200,IF(INDEX(对接源_01水果!$H$4:$H$1203,$AG289)=0,"",INDEX(对接源_01水果!$H$4:$H$1203,$AG289)),IF(INDEX(对接源_02物料!$H$4:$H$1203,$AG289-1200)=0,"",INDEX(对接源_02物料!$H$4:$H$1203,$AG289-1200))))</f>
        <v/>
      </c>
      <c r="F289" s="46" t="str">
        <f aca="false">IF($AG289="","",IF($AG289&lt;=1200,IF(INDEX(对接源_01水果!$I$4:$I$1203,$AG289)=0,"",INDEX(对接源_01水果!$I$4:$I$1203,$AG289)),IF(INDEX(对接源_02物料!$I$4:$I$1203,$AG289-1200)=0,"",INDEX(对接源_02物料!$I$4:$I$1203,$AG289-1200))))</f>
        <v/>
      </c>
      <c r="G289" s="56" t="str">
        <f aca="false">IF($AG289="","",IF($AG289&lt;=1200,IF(INDEX(对接源_01水果!$J$4:$J$1203,$AG289)=0,"",INDEX(对接源_01水果!$J$4:$J$1203,$AG289)),IF(INDEX(对接源_02物料!$J$4:$J$1203,$AG289-1200)=0,"",INDEX(对接源_02物料!$J$4:$J$1203,$AG289-1200))))</f>
        <v/>
      </c>
      <c r="H289" s="56" t="str">
        <f aca="false">IF($AG289="","",IF($AG289&lt;=1200,IF(INDEX(对接源_01水果!$K$4:$K$1203,$AG289)=0,"",INDEX(对接源_01水果!$K$4:$K$1203,$AG289)),IF(INDEX(对接源_02物料!$K$4:$K$1203,$AG289-1200)=0,"",INDEX(对接源_02物料!$K$4:$K$1203,$AG289-1200))))</f>
        <v/>
      </c>
      <c r="I289" s="46" t="str">
        <f aca="false">IF($AG289="","",IF($AG289&lt;=1200,IF(INDEX(对接源_01水果!$L$4:$L$1203,$AG289)=0,"",INDEX(对接源_01水果!$L$4:$L$1203,$AG289)),IF(INDEX(对接源_02物料!$L$4:$L$1203,$AG289-1200)=0,"",INDEX(对接源_02物料!$L$4:$L$1203,$AG289-1200))))</f>
        <v/>
      </c>
      <c r="J289" s="47" t="str">
        <f aca="false">IF($AG289="","",IF($AG289&lt;=1200,IF(INDEX(对接源_01水果!$M$4:$M$1203,$AG289)=0,"",INDEX(对接源_01水果!$M$4:$M$1203,$AG289)),IF(INDEX(对接源_02物料!$M$4:$M$1203,$AG289-1200)=0,"",INDEX(对接源_02物料!$M$4:$M$1203,$AG289-1200))))</f>
        <v/>
      </c>
      <c r="AG289" s="44" t="str">
        <f aca="false">IFERROR(MATCH(78,_自动清单!$AE$4:$AE$2403,0),"")</f>
        <v/>
      </c>
    </row>
    <row r="290" customFormat="false" ht="18" hidden="false" customHeight="true" outlineLevel="0" collapsed="false">
      <c r="A290" s="40" t="str">
        <f aca="false">IF($AG290="","",IF($AG290&lt;=1200,IF(INDEX(对接源_01水果!$B$4:$B$1203,$AG290)=0,"",INDEX(对接源_01水果!$B$4:$B$1203,$AG290)),IF(INDEX(对接源_02物料!$B$4:$B$1203,$AG290-1200)=0,"",INDEX(对接源_02物料!$B$4:$B$1203,$AG290-1200))))</f>
        <v/>
      </c>
      <c r="B290" s="41" t="str">
        <f aca="false">IF($AG290="","",IF($AG290&lt;=1200,IF(INDEX(对接源_01水果!$E$4:$E$1203,$AG290)=0,"",INDEX(对接源_01水果!$E$4:$E$1203,$AG290)),IF(INDEX(对接源_02物料!$E$4:$E$1203,$AG290-1200)=0,"",INDEX(对接源_02物料!$E$4:$E$1203,$AG290-1200))))</f>
        <v/>
      </c>
      <c r="C290" s="41" t="str">
        <f aca="false">IF($AG290="","",IF($AG290&lt;=1200,IF(INDEX(对接源_01水果!$F$4:$F$1203,$AG290)=0,"",INDEX(对接源_01水果!$F$4:$F$1203,$AG290)),IF(INDEX(对接源_02物料!$F$4:$F$1203,$AG290-1200)=0,"",INDEX(对接源_02物料!$F$4:$F$1203,$AG290-1200))))</f>
        <v/>
      </c>
      <c r="D290" s="41" t="str">
        <f aca="false">IF($AG290="","",IF($AG290&lt;=1200,IF(INDEX(对接源_01水果!$G$4:$G$1203,$AG290)=0,"",INDEX(对接源_01水果!$G$4:$G$1203,$AG290)),IF(INDEX(对接源_02物料!$G$4:$G$1203,$AG290-1200)=0,"",INDEX(对接源_02物料!$G$4:$G$1203,$AG290-1200))))</f>
        <v/>
      </c>
      <c r="E290" s="43" t="str">
        <f aca="false">IF($AG290="","",IF($AG290&lt;=1200,IF(INDEX(对接源_01水果!$H$4:$H$1203,$AG290)=0,"",INDEX(对接源_01水果!$H$4:$H$1203,$AG290)),IF(INDEX(对接源_02物料!$H$4:$H$1203,$AG290-1200)=0,"",INDEX(对接源_02物料!$H$4:$H$1203,$AG290-1200))))</f>
        <v/>
      </c>
      <c r="F290" s="41" t="str">
        <f aca="false">IF($AG290="","",IF($AG290&lt;=1200,IF(INDEX(对接源_01水果!$I$4:$I$1203,$AG290)=0,"",INDEX(对接源_01水果!$I$4:$I$1203,$AG290)),IF(INDEX(对接源_02物料!$I$4:$I$1203,$AG290-1200)=0,"",INDEX(对接源_02物料!$I$4:$I$1203,$AG290-1200))))</f>
        <v/>
      </c>
      <c r="G290" s="55" t="str">
        <f aca="false">IF($AG290="","",IF($AG290&lt;=1200,IF(INDEX(对接源_01水果!$J$4:$J$1203,$AG290)=0,"",INDEX(对接源_01水果!$J$4:$J$1203,$AG290)),IF(INDEX(对接源_02物料!$J$4:$J$1203,$AG290-1200)=0,"",INDEX(对接源_02物料!$J$4:$J$1203,$AG290-1200))))</f>
        <v/>
      </c>
      <c r="H290" s="55" t="str">
        <f aca="false">IF($AG290="","",IF($AG290&lt;=1200,IF(INDEX(对接源_01水果!$K$4:$K$1203,$AG290)=0,"",INDEX(对接源_01水果!$K$4:$K$1203,$AG290)),IF(INDEX(对接源_02物料!$K$4:$K$1203,$AG290-1200)=0,"",INDEX(对接源_02物料!$K$4:$K$1203,$AG290-1200))))</f>
        <v/>
      </c>
      <c r="I290" s="41" t="str">
        <f aca="false">IF($AG290="","",IF($AG290&lt;=1200,IF(INDEX(对接源_01水果!$L$4:$L$1203,$AG290)=0,"",INDEX(对接源_01水果!$L$4:$L$1203,$AG290)),IF(INDEX(对接源_02物料!$L$4:$L$1203,$AG290-1200)=0,"",INDEX(对接源_02物料!$L$4:$L$1203,$AG290-1200))))</f>
        <v/>
      </c>
      <c r="J290" s="42" t="str">
        <f aca="false">IF($AG290="","",IF($AG290&lt;=1200,IF(INDEX(对接源_01水果!$M$4:$M$1203,$AG290)=0,"",INDEX(对接源_01水果!$M$4:$M$1203,$AG290)),IF(INDEX(对接源_02物料!$M$4:$M$1203,$AG290-1200)=0,"",INDEX(对接源_02物料!$M$4:$M$1203,$AG290-1200))))</f>
        <v/>
      </c>
      <c r="AG290" s="44" t="str">
        <f aca="false">IFERROR(MATCH(79,_自动清单!$AE$4:$AE$2403,0),"")</f>
        <v/>
      </c>
    </row>
    <row r="291" customFormat="false" ht="18" hidden="false" customHeight="true" outlineLevel="0" collapsed="false">
      <c r="A291" s="45" t="str">
        <f aca="false">IF($AG291="","",IF($AG291&lt;=1200,IF(INDEX(对接源_01水果!$B$4:$B$1203,$AG291)=0,"",INDEX(对接源_01水果!$B$4:$B$1203,$AG291)),IF(INDEX(对接源_02物料!$B$4:$B$1203,$AG291-1200)=0,"",INDEX(对接源_02物料!$B$4:$B$1203,$AG291-1200))))</f>
        <v/>
      </c>
      <c r="B291" s="46" t="str">
        <f aca="false">IF($AG291="","",IF($AG291&lt;=1200,IF(INDEX(对接源_01水果!$E$4:$E$1203,$AG291)=0,"",INDEX(对接源_01水果!$E$4:$E$1203,$AG291)),IF(INDEX(对接源_02物料!$E$4:$E$1203,$AG291-1200)=0,"",INDEX(对接源_02物料!$E$4:$E$1203,$AG291-1200))))</f>
        <v/>
      </c>
      <c r="C291" s="46" t="str">
        <f aca="false">IF($AG291="","",IF($AG291&lt;=1200,IF(INDEX(对接源_01水果!$F$4:$F$1203,$AG291)=0,"",INDEX(对接源_01水果!$F$4:$F$1203,$AG291)),IF(INDEX(对接源_02物料!$F$4:$F$1203,$AG291-1200)=0,"",INDEX(对接源_02物料!$F$4:$F$1203,$AG291-1200))))</f>
        <v/>
      </c>
      <c r="D291" s="46" t="str">
        <f aca="false">IF($AG291="","",IF($AG291&lt;=1200,IF(INDEX(对接源_01水果!$G$4:$G$1203,$AG291)=0,"",INDEX(对接源_01水果!$G$4:$G$1203,$AG291)),IF(INDEX(对接源_02物料!$G$4:$G$1203,$AG291-1200)=0,"",INDEX(对接源_02物料!$G$4:$G$1203,$AG291-1200))))</f>
        <v/>
      </c>
      <c r="E291" s="48" t="str">
        <f aca="false">IF($AG291="","",IF($AG291&lt;=1200,IF(INDEX(对接源_01水果!$H$4:$H$1203,$AG291)=0,"",INDEX(对接源_01水果!$H$4:$H$1203,$AG291)),IF(INDEX(对接源_02物料!$H$4:$H$1203,$AG291-1200)=0,"",INDEX(对接源_02物料!$H$4:$H$1203,$AG291-1200))))</f>
        <v/>
      </c>
      <c r="F291" s="46" t="str">
        <f aca="false">IF($AG291="","",IF($AG291&lt;=1200,IF(INDEX(对接源_01水果!$I$4:$I$1203,$AG291)=0,"",INDEX(对接源_01水果!$I$4:$I$1203,$AG291)),IF(INDEX(对接源_02物料!$I$4:$I$1203,$AG291-1200)=0,"",INDEX(对接源_02物料!$I$4:$I$1203,$AG291-1200))))</f>
        <v/>
      </c>
      <c r="G291" s="56" t="str">
        <f aca="false">IF($AG291="","",IF($AG291&lt;=1200,IF(INDEX(对接源_01水果!$J$4:$J$1203,$AG291)=0,"",INDEX(对接源_01水果!$J$4:$J$1203,$AG291)),IF(INDEX(对接源_02物料!$J$4:$J$1203,$AG291-1200)=0,"",INDEX(对接源_02物料!$J$4:$J$1203,$AG291-1200))))</f>
        <v/>
      </c>
      <c r="H291" s="56" t="str">
        <f aca="false">IF($AG291="","",IF($AG291&lt;=1200,IF(INDEX(对接源_01水果!$K$4:$K$1203,$AG291)=0,"",INDEX(对接源_01水果!$K$4:$K$1203,$AG291)),IF(INDEX(对接源_02物料!$K$4:$K$1203,$AG291-1200)=0,"",INDEX(对接源_02物料!$K$4:$K$1203,$AG291-1200))))</f>
        <v/>
      </c>
      <c r="I291" s="46" t="str">
        <f aca="false">IF($AG291="","",IF($AG291&lt;=1200,IF(INDEX(对接源_01水果!$L$4:$L$1203,$AG291)=0,"",INDEX(对接源_01水果!$L$4:$L$1203,$AG291)),IF(INDEX(对接源_02物料!$L$4:$L$1203,$AG291-1200)=0,"",INDEX(对接源_02物料!$L$4:$L$1203,$AG291-1200))))</f>
        <v/>
      </c>
      <c r="J291" s="47" t="str">
        <f aca="false">IF($AG291="","",IF($AG291&lt;=1200,IF(INDEX(对接源_01水果!$M$4:$M$1203,$AG291)=0,"",INDEX(对接源_01水果!$M$4:$M$1203,$AG291)),IF(INDEX(对接源_02物料!$M$4:$M$1203,$AG291-1200)=0,"",INDEX(对接源_02物料!$M$4:$M$1203,$AG291-1200))))</f>
        <v/>
      </c>
      <c r="AG291" s="44" t="str">
        <f aca="false">IFERROR(MATCH(80,_自动清单!$AE$4:$AE$2403,0),"")</f>
        <v/>
      </c>
    </row>
    <row r="292" customFormat="false" ht="18" hidden="false" customHeight="true" outlineLevel="0" collapsed="false">
      <c r="A292" s="40" t="str">
        <f aca="false">IF($AG292="","",IF($AG292&lt;=1200,IF(INDEX(对接源_01水果!$B$4:$B$1203,$AG292)=0,"",INDEX(对接源_01水果!$B$4:$B$1203,$AG292)),IF(INDEX(对接源_02物料!$B$4:$B$1203,$AG292-1200)=0,"",INDEX(对接源_02物料!$B$4:$B$1203,$AG292-1200))))</f>
        <v/>
      </c>
      <c r="B292" s="41" t="str">
        <f aca="false">IF($AG292="","",IF($AG292&lt;=1200,IF(INDEX(对接源_01水果!$E$4:$E$1203,$AG292)=0,"",INDEX(对接源_01水果!$E$4:$E$1203,$AG292)),IF(INDEX(对接源_02物料!$E$4:$E$1203,$AG292-1200)=0,"",INDEX(对接源_02物料!$E$4:$E$1203,$AG292-1200))))</f>
        <v/>
      </c>
      <c r="C292" s="41" t="str">
        <f aca="false">IF($AG292="","",IF($AG292&lt;=1200,IF(INDEX(对接源_01水果!$F$4:$F$1203,$AG292)=0,"",INDEX(对接源_01水果!$F$4:$F$1203,$AG292)),IF(INDEX(对接源_02物料!$F$4:$F$1203,$AG292-1200)=0,"",INDEX(对接源_02物料!$F$4:$F$1203,$AG292-1200))))</f>
        <v/>
      </c>
      <c r="D292" s="41" t="str">
        <f aca="false">IF($AG292="","",IF($AG292&lt;=1200,IF(INDEX(对接源_01水果!$G$4:$G$1203,$AG292)=0,"",INDEX(对接源_01水果!$G$4:$G$1203,$AG292)),IF(INDEX(对接源_02物料!$G$4:$G$1203,$AG292-1200)=0,"",INDEX(对接源_02物料!$G$4:$G$1203,$AG292-1200))))</f>
        <v/>
      </c>
      <c r="E292" s="43" t="str">
        <f aca="false">IF($AG292="","",IF($AG292&lt;=1200,IF(INDEX(对接源_01水果!$H$4:$H$1203,$AG292)=0,"",INDEX(对接源_01水果!$H$4:$H$1203,$AG292)),IF(INDEX(对接源_02物料!$H$4:$H$1203,$AG292-1200)=0,"",INDEX(对接源_02物料!$H$4:$H$1203,$AG292-1200))))</f>
        <v/>
      </c>
      <c r="F292" s="41" t="str">
        <f aca="false">IF($AG292="","",IF($AG292&lt;=1200,IF(INDEX(对接源_01水果!$I$4:$I$1203,$AG292)=0,"",INDEX(对接源_01水果!$I$4:$I$1203,$AG292)),IF(INDEX(对接源_02物料!$I$4:$I$1203,$AG292-1200)=0,"",INDEX(对接源_02物料!$I$4:$I$1203,$AG292-1200))))</f>
        <v/>
      </c>
      <c r="G292" s="55" t="str">
        <f aca="false">IF($AG292="","",IF($AG292&lt;=1200,IF(INDEX(对接源_01水果!$J$4:$J$1203,$AG292)=0,"",INDEX(对接源_01水果!$J$4:$J$1203,$AG292)),IF(INDEX(对接源_02物料!$J$4:$J$1203,$AG292-1200)=0,"",INDEX(对接源_02物料!$J$4:$J$1203,$AG292-1200))))</f>
        <v/>
      </c>
      <c r="H292" s="55" t="str">
        <f aca="false">IF($AG292="","",IF($AG292&lt;=1200,IF(INDEX(对接源_01水果!$K$4:$K$1203,$AG292)=0,"",INDEX(对接源_01水果!$K$4:$K$1203,$AG292)),IF(INDEX(对接源_02物料!$K$4:$K$1203,$AG292-1200)=0,"",INDEX(对接源_02物料!$K$4:$K$1203,$AG292-1200))))</f>
        <v/>
      </c>
      <c r="I292" s="41" t="str">
        <f aca="false">IF($AG292="","",IF($AG292&lt;=1200,IF(INDEX(对接源_01水果!$L$4:$L$1203,$AG292)=0,"",INDEX(对接源_01水果!$L$4:$L$1203,$AG292)),IF(INDEX(对接源_02物料!$L$4:$L$1203,$AG292-1200)=0,"",INDEX(对接源_02物料!$L$4:$L$1203,$AG292-1200))))</f>
        <v/>
      </c>
      <c r="J292" s="42" t="str">
        <f aca="false">IF($AG292="","",IF($AG292&lt;=1200,IF(INDEX(对接源_01水果!$M$4:$M$1203,$AG292)=0,"",INDEX(对接源_01水果!$M$4:$M$1203,$AG292)),IF(INDEX(对接源_02物料!$M$4:$M$1203,$AG292-1200)=0,"",INDEX(对接源_02物料!$M$4:$M$1203,$AG292-1200))))</f>
        <v/>
      </c>
      <c r="AG292" s="44" t="str">
        <f aca="false">IFERROR(MATCH(81,_自动清单!$AE$4:$AE$2403,0),"")</f>
        <v/>
      </c>
    </row>
    <row r="293" customFormat="false" ht="18" hidden="false" customHeight="true" outlineLevel="0" collapsed="false">
      <c r="A293" s="45" t="str">
        <f aca="false">IF($AG293="","",IF($AG293&lt;=1200,IF(INDEX(对接源_01水果!$B$4:$B$1203,$AG293)=0,"",INDEX(对接源_01水果!$B$4:$B$1203,$AG293)),IF(INDEX(对接源_02物料!$B$4:$B$1203,$AG293-1200)=0,"",INDEX(对接源_02物料!$B$4:$B$1203,$AG293-1200))))</f>
        <v/>
      </c>
      <c r="B293" s="46" t="str">
        <f aca="false">IF($AG293="","",IF($AG293&lt;=1200,IF(INDEX(对接源_01水果!$E$4:$E$1203,$AG293)=0,"",INDEX(对接源_01水果!$E$4:$E$1203,$AG293)),IF(INDEX(对接源_02物料!$E$4:$E$1203,$AG293-1200)=0,"",INDEX(对接源_02物料!$E$4:$E$1203,$AG293-1200))))</f>
        <v/>
      </c>
      <c r="C293" s="46" t="str">
        <f aca="false">IF($AG293="","",IF($AG293&lt;=1200,IF(INDEX(对接源_01水果!$F$4:$F$1203,$AG293)=0,"",INDEX(对接源_01水果!$F$4:$F$1203,$AG293)),IF(INDEX(对接源_02物料!$F$4:$F$1203,$AG293-1200)=0,"",INDEX(对接源_02物料!$F$4:$F$1203,$AG293-1200))))</f>
        <v/>
      </c>
      <c r="D293" s="46" t="str">
        <f aca="false">IF($AG293="","",IF($AG293&lt;=1200,IF(INDEX(对接源_01水果!$G$4:$G$1203,$AG293)=0,"",INDEX(对接源_01水果!$G$4:$G$1203,$AG293)),IF(INDEX(对接源_02物料!$G$4:$G$1203,$AG293-1200)=0,"",INDEX(对接源_02物料!$G$4:$G$1203,$AG293-1200))))</f>
        <v/>
      </c>
      <c r="E293" s="48" t="str">
        <f aca="false">IF($AG293="","",IF($AG293&lt;=1200,IF(INDEX(对接源_01水果!$H$4:$H$1203,$AG293)=0,"",INDEX(对接源_01水果!$H$4:$H$1203,$AG293)),IF(INDEX(对接源_02物料!$H$4:$H$1203,$AG293-1200)=0,"",INDEX(对接源_02物料!$H$4:$H$1203,$AG293-1200))))</f>
        <v/>
      </c>
      <c r="F293" s="46" t="str">
        <f aca="false">IF($AG293="","",IF($AG293&lt;=1200,IF(INDEX(对接源_01水果!$I$4:$I$1203,$AG293)=0,"",INDEX(对接源_01水果!$I$4:$I$1203,$AG293)),IF(INDEX(对接源_02物料!$I$4:$I$1203,$AG293-1200)=0,"",INDEX(对接源_02物料!$I$4:$I$1203,$AG293-1200))))</f>
        <v/>
      </c>
      <c r="G293" s="56" t="str">
        <f aca="false">IF($AG293="","",IF($AG293&lt;=1200,IF(INDEX(对接源_01水果!$J$4:$J$1203,$AG293)=0,"",INDEX(对接源_01水果!$J$4:$J$1203,$AG293)),IF(INDEX(对接源_02物料!$J$4:$J$1203,$AG293-1200)=0,"",INDEX(对接源_02物料!$J$4:$J$1203,$AG293-1200))))</f>
        <v/>
      </c>
      <c r="H293" s="56" t="str">
        <f aca="false">IF($AG293="","",IF($AG293&lt;=1200,IF(INDEX(对接源_01水果!$K$4:$K$1203,$AG293)=0,"",INDEX(对接源_01水果!$K$4:$K$1203,$AG293)),IF(INDEX(对接源_02物料!$K$4:$K$1203,$AG293-1200)=0,"",INDEX(对接源_02物料!$K$4:$K$1203,$AG293-1200))))</f>
        <v/>
      </c>
      <c r="I293" s="46" t="str">
        <f aca="false">IF($AG293="","",IF($AG293&lt;=1200,IF(INDEX(对接源_01水果!$L$4:$L$1203,$AG293)=0,"",INDEX(对接源_01水果!$L$4:$L$1203,$AG293)),IF(INDEX(对接源_02物料!$L$4:$L$1203,$AG293-1200)=0,"",INDEX(对接源_02物料!$L$4:$L$1203,$AG293-1200))))</f>
        <v/>
      </c>
      <c r="J293" s="47" t="str">
        <f aca="false">IF($AG293="","",IF($AG293&lt;=1200,IF(INDEX(对接源_01水果!$M$4:$M$1203,$AG293)=0,"",INDEX(对接源_01水果!$M$4:$M$1203,$AG293)),IF(INDEX(对接源_02物料!$M$4:$M$1203,$AG293-1200)=0,"",INDEX(对接源_02物料!$M$4:$M$1203,$AG293-1200))))</f>
        <v/>
      </c>
      <c r="AG293" s="44" t="str">
        <f aca="false">IFERROR(MATCH(82,_自动清单!$AE$4:$AE$2403,0),"")</f>
        <v/>
      </c>
    </row>
    <row r="294" customFormat="false" ht="18" hidden="false" customHeight="true" outlineLevel="0" collapsed="false">
      <c r="A294" s="40" t="str">
        <f aca="false">IF($AG294="","",IF($AG294&lt;=1200,IF(INDEX(对接源_01水果!$B$4:$B$1203,$AG294)=0,"",INDEX(对接源_01水果!$B$4:$B$1203,$AG294)),IF(INDEX(对接源_02物料!$B$4:$B$1203,$AG294-1200)=0,"",INDEX(对接源_02物料!$B$4:$B$1203,$AG294-1200))))</f>
        <v/>
      </c>
      <c r="B294" s="41" t="str">
        <f aca="false">IF($AG294="","",IF($AG294&lt;=1200,IF(INDEX(对接源_01水果!$E$4:$E$1203,$AG294)=0,"",INDEX(对接源_01水果!$E$4:$E$1203,$AG294)),IF(INDEX(对接源_02物料!$E$4:$E$1203,$AG294-1200)=0,"",INDEX(对接源_02物料!$E$4:$E$1203,$AG294-1200))))</f>
        <v/>
      </c>
      <c r="C294" s="41" t="str">
        <f aca="false">IF($AG294="","",IF($AG294&lt;=1200,IF(INDEX(对接源_01水果!$F$4:$F$1203,$AG294)=0,"",INDEX(对接源_01水果!$F$4:$F$1203,$AG294)),IF(INDEX(对接源_02物料!$F$4:$F$1203,$AG294-1200)=0,"",INDEX(对接源_02物料!$F$4:$F$1203,$AG294-1200))))</f>
        <v/>
      </c>
      <c r="D294" s="41" t="str">
        <f aca="false">IF($AG294="","",IF($AG294&lt;=1200,IF(INDEX(对接源_01水果!$G$4:$G$1203,$AG294)=0,"",INDEX(对接源_01水果!$G$4:$G$1203,$AG294)),IF(INDEX(对接源_02物料!$G$4:$G$1203,$AG294-1200)=0,"",INDEX(对接源_02物料!$G$4:$G$1203,$AG294-1200))))</f>
        <v/>
      </c>
      <c r="E294" s="43" t="str">
        <f aca="false">IF($AG294="","",IF($AG294&lt;=1200,IF(INDEX(对接源_01水果!$H$4:$H$1203,$AG294)=0,"",INDEX(对接源_01水果!$H$4:$H$1203,$AG294)),IF(INDEX(对接源_02物料!$H$4:$H$1203,$AG294-1200)=0,"",INDEX(对接源_02物料!$H$4:$H$1203,$AG294-1200))))</f>
        <v/>
      </c>
      <c r="F294" s="41" t="str">
        <f aca="false">IF($AG294="","",IF($AG294&lt;=1200,IF(INDEX(对接源_01水果!$I$4:$I$1203,$AG294)=0,"",INDEX(对接源_01水果!$I$4:$I$1203,$AG294)),IF(INDEX(对接源_02物料!$I$4:$I$1203,$AG294-1200)=0,"",INDEX(对接源_02物料!$I$4:$I$1203,$AG294-1200))))</f>
        <v/>
      </c>
      <c r="G294" s="55" t="str">
        <f aca="false">IF($AG294="","",IF($AG294&lt;=1200,IF(INDEX(对接源_01水果!$J$4:$J$1203,$AG294)=0,"",INDEX(对接源_01水果!$J$4:$J$1203,$AG294)),IF(INDEX(对接源_02物料!$J$4:$J$1203,$AG294-1200)=0,"",INDEX(对接源_02物料!$J$4:$J$1203,$AG294-1200))))</f>
        <v/>
      </c>
      <c r="H294" s="55" t="str">
        <f aca="false">IF($AG294="","",IF($AG294&lt;=1200,IF(INDEX(对接源_01水果!$K$4:$K$1203,$AG294)=0,"",INDEX(对接源_01水果!$K$4:$K$1203,$AG294)),IF(INDEX(对接源_02物料!$K$4:$K$1203,$AG294-1200)=0,"",INDEX(对接源_02物料!$K$4:$K$1203,$AG294-1200))))</f>
        <v/>
      </c>
      <c r="I294" s="41" t="str">
        <f aca="false">IF($AG294="","",IF($AG294&lt;=1200,IF(INDEX(对接源_01水果!$L$4:$L$1203,$AG294)=0,"",INDEX(对接源_01水果!$L$4:$L$1203,$AG294)),IF(INDEX(对接源_02物料!$L$4:$L$1203,$AG294-1200)=0,"",INDEX(对接源_02物料!$L$4:$L$1203,$AG294-1200))))</f>
        <v/>
      </c>
      <c r="J294" s="42" t="str">
        <f aca="false">IF($AG294="","",IF($AG294&lt;=1200,IF(INDEX(对接源_01水果!$M$4:$M$1203,$AG294)=0,"",INDEX(对接源_01水果!$M$4:$M$1203,$AG294)),IF(INDEX(对接源_02物料!$M$4:$M$1203,$AG294-1200)=0,"",INDEX(对接源_02物料!$M$4:$M$1203,$AG294-1200))))</f>
        <v/>
      </c>
      <c r="AG294" s="44" t="str">
        <f aca="false">IFERROR(MATCH(83,_自动清单!$AE$4:$AE$2403,0),"")</f>
        <v/>
      </c>
    </row>
    <row r="295" customFormat="false" ht="18" hidden="false" customHeight="true" outlineLevel="0" collapsed="false">
      <c r="A295" s="45" t="str">
        <f aca="false">IF($AG295="","",IF($AG295&lt;=1200,IF(INDEX(对接源_01水果!$B$4:$B$1203,$AG295)=0,"",INDEX(对接源_01水果!$B$4:$B$1203,$AG295)),IF(INDEX(对接源_02物料!$B$4:$B$1203,$AG295-1200)=0,"",INDEX(对接源_02物料!$B$4:$B$1203,$AG295-1200))))</f>
        <v/>
      </c>
      <c r="B295" s="46" t="str">
        <f aca="false">IF($AG295="","",IF($AG295&lt;=1200,IF(INDEX(对接源_01水果!$E$4:$E$1203,$AG295)=0,"",INDEX(对接源_01水果!$E$4:$E$1203,$AG295)),IF(INDEX(对接源_02物料!$E$4:$E$1203,$AG295-1200)=0,"",INDEX(对接源_02物料!$E$4:$E$1203,$AG295-1200))))</f>
        <v/>
      </c>
      <c r="C295" s="46" t="str">
        <f aca="false">IF($AG295="","",IF($AG295&lt;=1200,IF(INDEX(对接源_01水果!$F$4:$F$1203,$AG295)=0,"",INDEX(对接源_01水果!$F$4:$F$1203,$AG295)),IF(INDEX(对接源_02物料!$F$4:$F$1203,$AG295-1200)=0,"",INDEX(对接源_02物料!$F$4:$F$1203,$AG295-1200))))</f>
        <v/>
      </c>
      <c r="D295" s="46" t="str">
        <f aca="false">IF($AG295="","",IF($AG295&lt;=1200,IF(INDEX(对接源_01水果!$G$4:$G$1203,$AG295)=0,"",INDEX(对接源_01水果!$G$4:$G$1203,$AG295)),IF(INDEX(对接源_02物料!$G$4:$G$1203,$AG295-1200)=0,"",INDEX(对接源_02物料!$G$4:$G$1203,$AG295-1200))))</f>
        <v/>
      </c>
      <c r="E295" s="48" t="str">
        <f aca="false">IF($AG295="","",IF($AG295&lt;=1200,IF(INDEX(对接源_01水果!$H$4:$H$1203,$AG295)=0,"",INDEX(对接源_01水果!$H$4:$H$1203,$AG295)),IF(INDEX(对接源_02物料!$H$4:$H$1203,$AG295-1200)=0,"",INDEX(对接源_02物料!$H$4:$H$1203,$AG295-1200))))</f>
        <v/>
      </c>
      <c r="F295" s="46" t="str">
        <f aca="false">IF($AG295="","",IF($AG295&lt;=1200,IF(INDEX(对接源_01水果!$I$4:$I$1203,$AG295)=0,"",INDEX(对接源_01水果!$I$4:$I$1203,$AG295)),IF(INDEX(对接源_02物料!$I$4:$I$1203,$AG295-1200)=0,"",INDEX(对接源_02物料!$I$4:$I$1203,$AG295-1200))))</f>
        <v/>
      </c>
      <c r="G295" s="56" t="str">
        <f aca="false">IF($AG295="","",IF($AG295&lt;=1200,IF(INDEX(对接源_01水果!$J$4:$J$1203,$AG295)=0,"",INDEX(对接源_01水果!$J$4:$J$1203,$AG295)),IF(INDEX(对接源_02物料!$J$4:$J$1203,$AG295-1200)=0,"",INDEX(对接源_02物料!$J$4:$J$1203,$AG295-1200))))</f>
        <v/>
      </c>
      <c r="H295" s="56" t="str">
        <f aca="false">IF($AG295="","",IF($AG295&lt;=1200,IF(INDEX(对接源_01水果!$K$4:$K$1203,$AG295)=0,"",INDEX(对接源_01水果!$K$4:$K$1203,$AG295)),IF(INDEX(对接源_02物料!$K$4:$K$1203,$AG295-1200)=0,"",INDEX(对接源_02物料!$K$4:$K$1203,$AG295-1200))))</f>
        <v/>
      </c>
      <c r="I295" s="46" t="str">
        <f aca="false">IF($AG295="","",IF($AG295&lt;=1200,IF(INDEX(对接源_01水果!$L$4:$L$1203,$AG295)=0,"",INDEX(对接源_01水果!$L$4:$L$1203,$AG295)),IF(INDEX(对接源_02物料!$L$4:$L$1203,$AG295-1200)=0,"",INDEX(对接源_02物料!$L$4:$L$1203,$AG295-1200))))</f>
        <v/>
      </c>
      <c r="J295" s="47" t="str">
        <f aca="false">IF($AG295="","",IF($AG295&lt;=1200,IF(INDEX(对接源_01水果!$M$4:$M$1203,$AG295)=0,"",INDEX(对接源_01水果!$M$4:$M$1203,$AG295)),IF(INDEX(对接源_02物料!$M$4:$M$1203,$AG295-1200)=0,"",INDEX(对接源_02物料!$M$4:$M$1203,$AG295-1200))))</f>
        <v/>
      </c>
      <c r="AG295" s="44" t="str">
        <f aca="false">IFERROR(MATCH(84,_自动清单!$AE$4:$AE$2403,0),"")</f>
        <v/>
      </c>
    </row>
    <row r="296" customFormat="false" ht="18" hidden="false" customHeight="true" outlineLevel="0" collapsed="false">
      <c r="A296" s="40" t="str">
        <f aca="false">IF($AG296="","",IF($AG296&lt;=1200,IF(INDEX(对接源_01水果!$B$4:$B$1203,$AG296)=0,"",INDEX(对接源_01水果!$B$4:$B$1203,$AG296)),IF(INDEX(对接源_02物料!$B$4:$B$1203,$AG296-1200)=0,"",INDEX(对接源_02物料!$B$4:$B$1203,$AG296-1200))))</f>
        <v/>
      </c>
      <c r="B296" s="41" t="str">
        <f aca="false">IF($AG296="","",IF($AG296&lt;=1200,IF(INDEX(对接源_01水果!$E$4:$E$1203,$AG296)=0,"",INDEX(对接源_01水果!$E$4:$E$1203,$AG296)),IF(INDEX(对接源_02物料!$E$4:$E$1203,$AG296-1200)=0,"",INDEX(对接源_02物料!$E$4:$E$1203,$AG296-1200))))</f>
        <v/>
      </c>
      <c r="C296" s="41" t="str">
        <f aca="false">IF($AG296="","",IF($AG296&lt;=1200,IF(INDEX(对接源_01水果!$F$4:$F$1203,$AG296)=0,"",INDEX(对接源_01水果!$F$4:$F$1203,$AG296)),IF(INDEX(对接源_02物料!$F$4:$F$1203,$AG296-1200)=0,"",INDEX(对接源_02物料!$F$4:$F$1203,$AG296-1200))))</f>
        <v/>
      </c>
      <c r="D296" s="41" t="str">
        <f aca="false">IF($AG296="","",IF($AG296&lt;=1200,IF(INDEX(对接源_01水果!$G$4:$G$1203,$AG296)=0,"",INDEX(对接源_01水果!$G$4:$G$1203,$AG296)),IF(INDEX(对接源_02物料!$G$4:$G$1203,$AG296-1200)=0,"",INDEX(对接源_02物料!$G$4:$G$1203,$AG296-1200))))</f>
        <v/>
      </c>
      <c r="E296" s="43" t="str">
        <f aca="false">IF($AG296="","",IF($AG296&lt;=1200,IF(INDEX(对接源_01水果!$H$4:$H$1203,$AG296)=0,"",INDEX(对接源_01水果!$H$4:$H$1203,$AG296)),IF(INDEX(对接源_02物料!$H$4:$H$1203,$AG296-1200)=0,"",INDEX(对接源_02物料!$H$4:$H$1203,$AG296-1200))))</f>
        <v/>
      </c>
      <c r="F296" s="41" t="str">
        <f aca="false">IF($AG296="","",IF($AG296&lt;=1200,IF(INDEX(对接源_01水果!$I$4:$I$1203,$AG296)=0,"",INDEX(对接源_01水果!$I$4:$I$1203,$AG296)),IF(INDEX(对接源_02物料!$I$4:$I$1203,$AG296-1200)=0,"",INDEX(对接源_02物料!$I$4:$I$1203,$AG296-1200))))</f>
        <v/>
      </c>
      <c r="G296" s="55" t="str">
        <f aca="false">IF($AG296="","",IF($AG296&lt;=1200,IF(INDEX(对接源_01水果!$J$4:$J$1203,$AG296)=0,"",INDEX(对接源_01水果!$J$4:$J$1203,$AG296)),IF(INDEX(对接源_02物料!$J$4:$J$1203,$AG296-1200)=0,"",INDEX(对接源_02物料!$J$4:$J$1203,$AG296-1200))))</f>
        <v/>
      </c>
      <c r="H296" s="55" t="str">
        <f aca="false">IF($AG296="","",IF($AG296&lt;=1200,IF(INDEX(对接源_01水果!$K$4:$K$1203,$AG296)=0,"",INDEX(对接源_01水果!$K$4:$K$1203,$AG296)),IF(INDEX(对接源_02物料!$K$4:$K$1203,$AG296-1200)=0,"",INDEX(对接源_02物料!$K$4:$K$1203,$AG296-1200))))</f>
        <v/>
      </c>
      <c r="I296" s="41" t="str">
        <f aca="false">IF($AG296="","",IF($AG296&lt;=1200,IF(INDEX(对接源_01水果!$L$4:$L$1203,$AG296)=0,"",INDEX(对接源_01水果!$L$4:$L$1203,$AG296)),IF(INDEX(对接源_02物料!$L$4:$L$1203,$AG296-1200)=0,"",INDEX(对接源_02物料!$L$4:$L$1203,$AG296-1200))))</f>
        <v/>
      </c>
      <c r="J296" s="42" t="str">
        <f aca="false">IF($AG296="","",IF($AG296&lt;=1200,IF(INDEX(对接源_01水果!$M$4:$M$1203,$AG296)=0,"",INDEX(对接源_01水果!$M$4:$M$1203,$AG296)),IF(INDEX(对接源_02物料!$M$4:$M$1203,$AG296-1200)=0,"",INDEX(对接源_02物料!$M$4:$M$1203,$AG296-1200))))</f>
        <v/>
      </c>
      <c r="AG296" s="44" t="str">
        <f aca="false">IFERROR(MATCH(85,_自动清单!$AE$4:$AE$2403,0),"")</f>
        <v/>
      </c>
    </row>
    <row r="297" customFormat="false" ht="18" hidden="false" customHeight="true" outlineLevel="0" collapsed="false">
      <c r="A297" s="45" t="str">
        <f aca="false">IF($AG297="","",IF($AG297&lt;=1200,IF(INDEX(对接源_01水果!$B$4:$B$1203,$AG297)=0,"",INDEX(对接源_01水果!$B$4:$B$1203,$AG297)),IF(INDEX(对接源_02物料!$B$4:$B$1203,$AG297-1200)=0,"",INDEX(对接源_02物料!$B$4:$B$1203,$AG297-1200))))</f>
        <v/>
      </c>
      <c r="B297" s="46" t="str">
        <f aca="false">IF($AG297="","",IF($AG297&lt;=1200,IF(INDEX(对接源_01水果!$E$4:$E$1203,$AG297)=0,"",INDEX(对接源_01水果!$E$4:$E$1203,$AG297)),IF(INDEX(对接源_02物料!$E$4:$E$1203,$AG297-1200)=0,"",INDEX(对接源_02物料!$E$4:$E$1203,$AG297-1200))))</f>
        <v/>
      </c>
      <c r="C297" s="46" t="str">
        <f aca="false">IF($AG297="","",IF($AG297&lt;=1200,IF(INDEX(对接源_01水果!$F$4:$F$1203,$AG297)=0,"",INDEX(对接源_01水果!$F$4:$F$1203,$AG297)),IF(INDEX(对接源_02物料!$F$4:$F$1203,$AG297-1200)=0,"",INDEX(对接源_02物料!$F$4:$F$1203,$AG297-1200))))</f>
        <v/>
      </c>
      <c r="D297" s="46" t="str">
        <f aca="false">IF($AG297="","",IF($AG297&lt;=1200,IF(INDEX(对接源_01水果!$G$4:$G$1203,$AG297)=0,"",INDEX(对接源_01水果!$G$4:$G$1203,$AG297)),IF(INDEX(对接源_02物料!$G$4:$G$1203,$AG297-1200)=0,"",INDEX(对接源_02物料!$G$4:$G$1203,$AG297-1200))))</f>
        <v/>
      </c>
      <c r="E297" s="48" t="str">
        <f aca="false">IF($AG297="","",IF($AG297&lt;=1200,IF(INDEX(对接源_01水果!$H$4:$H$1203,$AG297)=0,"",INDEX(对接源_01水果!$H$4:$H$1203,$AG297)),IF(INDEX(对接源_02物料!$H$4:$H$1203,$AG297-1200)=0,"",INDEX(对接源_02物料!$H$4:$H$1203,$AG297-1200))))</f>
        <v/>
      </c>
      <c r="F297" s="46" t="str">
        <f aca="false">IF($AG297="","",IF($AG297&lt;=1200,IF(INDEX(对接源_01水果!$I$4:$I$1203,$AG297)=0,"",INDEX(对接源_01水果!$I$4:$I$1203,$AG297)),IF(INDEX(对接源_02物料!$I$4:$I$1203,$AG297-1200)=0,"",INDEX(对接源_02物料!$I$4:$I$1203,$AG297-1200))))</f>
        <v/>
      </c>
      <c r="G297" s="56" t="str">
        <f aca="false">IF($AG297="","",IF($AG297&lt;=1200,IF(INDEX(对接源_01水果!$J$4:$J$1203,$AG297)=0,"",INDEX(对接源_01水果!$J$4:$J$1203,$AG297)),IF(INDEX(对接源_02物料!$J$4:$J$1203,$AG297-1200)=0,"",INDEX(对接源_02物料!$J$4:$J$1203,$AG297-1200))))</f>
        <v/>
      </c>
      <c r="H297" s="56" t="str">
        <f aca="false">IF($AG297="","",IF($AG297&lt;=1200,IF(INDEX(对接源_01水果!$K$4:$K$1203,$AG297)=0,"",INDEX(对接源_01水果!$K$4:$K$1203,$AG297)),IF(INDEX(对接源_02物料!$K$4:$K$1203,$AG297-1200)=0,"",INDEX(对接源_02物料!$K$4:$K$1203,$AG297-1200))))</f>
        <v/>
      </c>
      <c r="I297" s="46" t="str">
        <f aca="false">IF($AG297="","",IF($AG297&lt;=1200,IF(INDEX(对接源_01水果!$L$4:$L$1203,$AG297)=0,"",INDEX(对接源_01水果!$L$4:$L$1203,$AG297)),IF(INDEX(对接源_02物料!$L$4:$L$1203,$AG297-1200)=0,"",INDEX(对接源_02物料!$L$4:$L$1203,$AG297-1200))))</f>
        <v/>
      </c>
      <c r="J297" s="47" t="str">
        <f aca="false">IF($AG297="","",IF($AG297&lt;=1200,IF(INDEX(对接源_01水果!$M$4:$M$1203,$AG297)=0,"",INDEX(对接源_01水果!$M$4:$M$1203,$AG297)),IF(INDEX(对接源_02物料!$M$4:$M$1203,$AG297-1200)=0,"",INDEX(对接源_02物料!$M$4:$M$1203,$AG297-1200))))</f>
        <v/>
      </c>
      <c r="AG297" s="44" t="str">
        <f aca="false">IFERROR(MATCH(86,_自动清单!$AE$4:$AE$2403,0),"")</f>
        <v/>
      </c>
    </row>
    <row r="298" customFormat="false" ht="18" hidden="false" customHeight="true" outlineLevel="0" collapsed="false">
      <c r="A298" s="40" t="str">
        <f aca="false">IF($AG298="","",IF($AG298&lt;=1200,IF(INDEX(对接源_01水果!$B$4:$B$1203,$AG298)=0,"",INDEX(对接源_01水果!$B$4:$B$1203,$AG298)),IF(INDEX(对接源_02物料!$B$4:$B$1203,$AG298-1200)=0,"",INDEX(对接源_02物料!$B$4:$B$1203,$AG298-1200))))</f>
        <v/>
      </c>
      <c r="B298" s="41" t="str">
        <f aca="false">IF($AG298="","",IF($AG298&lt;=1200,IF(INDEX(对接源_01水果!$E$4:$E$1203,$AG298)=0,"",INDEX(对接源_01水果!$E$4:$E$1203,$AG298)),IF(INDEX(对接源_02物料!$E$4:$E$1203,$AG298-1200)=0,"",INDEX(对接源_02物料!$E$4:$E$1203,$AG298-1200))))</f>
        <v/>
      </c>
      <c r="C298" s="41" t="str">
        <f aca="false">IF($AG298="","",IF($AG298&lt;=1200,IF(INDEX(对接源_01水果!$F$4:$F$1203,$AG298)=0,"",INDEX(对接源_01水果!$F$4:$F$1203,$AG298)),IF(INDEX(对接源_02物料!$F$4:$F$1203,$AG298-1200)=0,"",INDEX(对接源_02物料!$F$4:$F$1203,$AG298-1200))))</f>
        <v/>
      </c>
      <c r="D298" s="41" t="str">
        <f aca="false">IF($AG298="","",IF($AG298&lt;=1200,IF(INDEX(对接源_01水果!$G$4:$G$1203,$AG298)=0,"",INDEX(对接源_01水果!$G$4:$G$1203,$AG298)),IF(INDEX(对接源_02物料!$G$4:$G$1203,$AG298-1200)=0,"",INDEX(对接源_02物料!$G$4:$G$1203,$AG298-1200))))</f>
        <v/>
      </c>
      <c r="E298" s="43" t="str">
        <f aca="false">IF($AG298="","",IF($AG298&lt;=1200,IF(INDEX(对接源_01水果!$H$4:$H$1203,$AG298)=0,"",INDEX(对接源_01水果!$H$4:$H$1203,$AG298)),IF(INDEX(对接源_02物料!$H$4:$H$1203,$AG298-1200)=0,"",INDEX(对接源_02物料!$H$4:$H$1203,$AG298-1200))))</f>
        <v/>
      </c>
      <c r="F298" s="41" t="str">
        <f aca="false">IF($AG298="","",IF($AG298&lt;=1200,IF(INDEX(对接源_01水果!$I$4:$I$1203,$AG298)=0,"",INDEX(对接源_01水果!$I$4:$I$1203,$AG298)),IF(INDEX(对接源_02物料!$I$4:$I$1203,$AG298-1200)=0,"",INDEX(对接源_02物料!$I$4:$I$1203,$AG298-1200))))</f>
        <v/>
      </c>
      <c r="G298" s="55" t="str">
        <f aca="false">IF($AG298="","",IF($AG298&lt;=1200,IF(INDEX(对接源_01水果!$J$4:$J$1203,$AG298)=0,"",INDEX(对接源_01水果!$J$4:$J$1203,$AG298)),IF(INDEX(对接源_02物料!$J$4:$J$1203,$AG298-1200)=0,"",INDEX(对接源_02物料!$J$4:$J$1203,$AG298-1200))))</f>
        <v/>
      </c>
      <c r="H298" s="55" t="str">
        <f aca="false">IF($AG298="","",IF($AG298&lt;=1200,IF(INDEX(对接源_01水果!$K$4:$K$1203,$AG298)=0,"",INDEX(对接源_01水果!$K$4:$K$1203,$AG298)),IF(INDEX(对接源_02物料!$K$4:$K$1203,$AG298-1200)=0,"",INDEX(对接源_02物料!$K$4:$K$1203,$AG298-1200))))</f>
        <v/>
      </c>
      <c r="I298" s="41" t="str">
        <f aca="false">IF($AG298="","",IF($AG298&lt;=1200,IF(INDEX(对接源_01水果!$L$4:$L$1203,$AG298)=0,"",INDEX(对接源_01水果!$L$4:$L$1203,$AG298)),IF(INDEX(对接源_02物料!$L$4:$L$1203,$AG298-1200)=0,"",INDEX(对接源_02物料!$L$4:$L$1203,$AG298-1200))))</f>
        <v/>
      </c>
      <c r="J298" s="42" t="str">
        <f aca="false">IF($AG298="","",IF($AG298&lt;=1200,IF(INDEX(对接源_01水果!$M$4:$M$1203,$AG298)=0,"",INDEX(对接源_01水果!$M$4:$M$1203,$AG298)),IF(INDEX(对接源_02物料!$M$4:$M$1203,$AG298-1200)=0,"",INDEX(对接源_02物料!$M$4:$M$1203,$AG298-1200))))</f>
        <v/>
      </c>
      <c r="AG298" s="44" t="str">
        <f aca="false">IFERROR(MATCH(87,_自动清单!$AE$4:$AE$2403,0),"")</f>
        <v/>
      </c>
    </row>
    <row r="299" customFormat="false" ht="18" hidden="false" customHeight="true" outlineLevel="0" collapsed="false">
      <c r="A299" s="45" t="str">
        <f aca="false">IF($AG299="","",IF($AG299&lt;=1200,IF(INDEX(对接源_01水果!$B$4:$B$1203,$AG299)=0,"",INDEX(对接源_01水果!$B$4:$B$1203,$AG299)),IF(INDEX(对接源_02物料!$B$4:$B$1203,$AG299-1200)=0,"",INDEX(对接源_02物料!$B$4:$B$1203,$AG299-1200))))</f>
        <v/>
      </c>
      <c r="B299" s="46" t="str">
        <f aca="false">IF($AG299="","",IF($AG299&lt;=1200,IF(INDEX(对接源_01水果!$E$4:$E$1203,$AG299)=0,"",INDEX(对接源_01水果!$E$4:$E$1203,$AG299)),IF(INDEX(对接源_02物料!$E$4:$E$1203,$AG299-1200)=0,"",INDEX(对接源_02物料!$E$4:$E$1203,$AG299-1200))))</f>
        <v/>
      </c>
      <c r="C299" s="46" t="str">
        <f aca="false">IF($AG299="","",IF($AG299&lt;=1200,IF(INDEX(对接源_01水果!$F$4:$F$1203,$AG299)=0,"",INDEX(对接源_01水果!$F$4:$F$1203,$AG299)),IF(INDEX(对接源_02物料!$F$4:$F$1203,$AG299-1200)=0,"",INDEX(对接源_02物料!$F$4:$F$1203,$AG299-1200))))</f>
        <v/>
      </c>
      <c r="D299" s="46" t="str">
        <f aca="false">IF($AG299="","",IF($AG299&lt;=1200,IF(INDEX(对接源_01水果!$G$4:$G$1203,$AG299)=0,"",INDEX(对接源_01水果!$G$4:$G$1203,$AG299)),IF(INDEX(对接源_02物料!$G$4:$G$1203,$AG299-1200)=0,"",INDEX(对接源_02物料!$G$4:$G$1203,$AG299-1200))))</f>
        <v/>
      </c>
      <c r="E299" s="48" t="str">
        <f aca="false">IF($AG299="","",IF($AG299&lt;=1200,IF(INDEX(对接源_01水果!$H$4:$H$1203,$AG299)=0,"",INDEX(对接源_01水果!$H$4:$H$1203,$AG299)),IF(INDEX(对接源_02物料!$H$4:$H$1203,$AG299-1200)=0,"",INDEX(对接源_02物料!$H$4:$H$1203,$AG299-1200))))</f>
        <v/>
      </c>
      <c r="F299" s="46" t="str">
        <f aca="false">IF($AG299="","",IF($AG299&lt;=1200,IF(INDEX(对接源_01水果!$I$4:$I$1203,$AG299)=0,"",INDEX(对接源_01水果!$I$4:$I$1203,$AG299)),IF(INDEX(对接源_02物料!$I$4:$I$1203,$AG299-1200)=0,"",INDEX(对接源_02物料!$I$4:$I$1203,$AG299-1200))))</f>
        <v/>
      </c>
      <c r="G299" s="56" t="str">
        <f aca="false">IF($AG299="","",IF($AG299&lt;=1200,IF(INDEX(对接源_01水果!$J$4:$J$1203,$AG299)=0,"",INDEX(对接源_01水果!$J$4:$J$1203,$AG299)),IF(INDEX(对接源_02物料!$J$4:$J$1203,$AG299-1200)=0,"",INDEX(对接源_02物料!$J$4:$J$1203,$AG299-1200))))</f>
        <v/>
      </c>
      <c r="H299" s="56" t="str">
        <f aca="false">IF($AG299="","",IF($AG299&lt;=1200,IF(INDEX(对接源_01水果!$K$4:$K$1203,$AG299)=0,"",INDEX(对接源_01水果!$K$4:$K$1203,$AG299)),IF(INDEX(对接源_02物料!$K$4:$K$1203,$AG299-1200)=0,"",INDEX(对接源_02物料!$K$4:$K$1203,$AG299-1200))))</f>
        <v/>
      </c>
      <c r="I299" s="46" t="str">
        <f aca="false">IF($AG299="","",IF($AG299&lt;=1200,IF(INDEX(对接源_01水果!$L$4:$L$1203,$AG299)=0,"",INDEX(对接源_01水果!$L$4:$L$1203,$AG299)),IF(INDEX(对接源_02物料!$L$4:$L$1203,$AG299-1200)=0,"",INDEX(对接源_02物料!$L$4:$L$1203,$AG299-1200))))</f>
        <v/>
      </c>
      <c r="J299" s="47" t="str">
        <f aca="false">IF($AG299="","",IF($AG299&lt;=1200,IF(INDEX(对接源_01水果!$M$4:$M$1203,$AG299)=0,"",INDEX(对接源_01水果!$M$4:$M$1203,$AG299)),IF(INDEX(对接源_02物料!$M$4:$M$1203,$AG299-1200)=0,"",INDEX(对接源_02物料!$M$4:$M$1203,$AG299-1200))))</f>
        <v/>
      </c>
      <c r="AG299" s="44" t="str">
        <f aca="false">IFERROR(MATCH(88,_自动清单!$AE$4:$AE$2403,0),"")</f>
        <v/>
      </c>
    </row>
    <row r="300" customFormat="false" ht="18" hidden="false" customHeight="true" outlineLevel="0" collapsed="false">
      <c r="A300" s="40" t="str">
        <f aca="false">IF($AG300="","",IF($AG300&lt;=1200,IF(INDEX(对接源_01水果!$B$4:$B$1203,$AG300)=0,"",INDEX(对接源_01水果!$B$4:$B$1203,$AG300)),IF(INDEX(对接源_02物料!$B$4:$B$1203,$AG300-1200)=0,"",INDEX(对接源_02物料!$B$4:$B$1203,$AG300-1200))))</f>
        <v/>
      </c>
      <c r="B300" s="41" t="str">
        <f aca="false">IF($AG300="","",IF($AG300&lt;=1200,IF(INDEX(对接源_01水果!$E$4:$E$1203,$AG300)=0,"",INDEX(对接源_01水果!$E$4:$E$1203,$AG300)),IF(INDEX(对接源_02物料!$E$4:$E$1203,$AG300-1200)=0,"",INDEX(对接源_02物料!$E$4:$E$1203,$AG300-1200))))</f>
        <v/>
      </c>
      <c r="C300" s="41" t="str">
        <f aca="false">IF($AG300="","",IF($AG300&lt;=1200,IF(INDEX(对接源_01水果!$F$4:$F$1203,$AG300)=0,"",INDEX(对接源_01水果!$F$4:$F$1203,$AG300)),IF(INDEX(对接源_02物料!$F$4:$F$1203,$AG300-1200)=0,"",INDEX(对接源_02物料!$F$4:$F$1203,$AG300-1200))))</f>
        <v/>
      </c>
      <c r="D300" s="41" t="str">
        <f aca="false">IF($AG300="","",IF($AG300&lt;=1200,IF(INDEX(对接源_01水果!$G$4:$G$1203,$AG300)=0,"",INDEX(对接源_01水果!$G$4:$G$1203,$AG300)),IF(INDEX(对接源_02物料!$G$4:$G$1203,$AG300-1200)=0,"",INDEX(对接源_02物料!$G$4:$G$1203,$AG300-1200))))</f>
        <v/>
      </c>
      <c r="E300" s="43" t="str">
        <f aca="false">IF($AG300="","",IF($AG300&lt;=1200,IF(INDEX(对接源_01水果!$H$4:$H$1203,$AG300)=0,"",INDEX(对接源_01水果!$H$4:$H$1203,$AG300)),IF(INDEX(对接源_02物料!$H$4:$H$1203,$AG300-1200)=0,"",INDEX(对接源_02物料!$H$4:$H$1203,$AG300-1200))))</f>
        <v/>
      </c>
      <c r="F300" s="41" t="str">
        <f aca="false">IF($AG300="","",IF($AG300&lt;=1200,IF(INDEX(对接源_01水果!$I$4:$I$1203,$AG300)=0,"",INDEX(对接源_01水果!$I$4:$I$1203,$AG300)),IF(INDEX(对接源_02物料!$I$4:$I$1203,$AG300-1200)=0,"",INDEX(对接源_02物料!$I$4:$I$1203,$AG300-1200))))</f>
        <v/>
      </c>
      <c r="G300" s="55" t="str">
        <f aca="false">IF($AG300="","",IF($AG300&lt;=1200,IF(INDEX(对接源_01水果!$J$4:$J$1203,$AG300)=0,"",INDEX(对接源_01水果!$J$4:$J$1203,$AG300)),IF(INDEX(对接源_02物料!$J$4:$J$1203,$AG300-1200)=0,"",INDEX(对接源_02物料!$J$4:$J$1203,$AG300-1200))))</f>
        <v/>
      </c>
      <c r="H300" s="55" t="str">
        <f aca="false">IF($AG300="","",IF($AG300&lt;=1200,IF(INDEX(对接源_01水果!$K$4:$K$1203,$AG300)=0,"",INDEX(对接源_01水果!$K$4:$K$1203,$AG300)),IF(INDEX(对接源_02物料!$K$4:$K$1203,$AG300-1200)=0,"",INDEX(对接源_02物料!$K$4:$K$1203,$AG300-1200))))</f>
        <v/>
      </c>
      <c r="I300" s="41" t="str">
        <f aca="false">IF($AG300="","",IF($AG300&lt;=1200,IF(INDEX(对接源_01水果!$L$4:$L$1203,$AG300)=0,"",INDEX(对接源_01水果!$L$4:$L$1203,$AG300)),IF(INDEX(对接源_02物料!$L$4:$L$1203,$AG300-1200)=0,"",INDEX(对接源_02物料!$L$4:$L$1203,$AG300-1200))))</f>
        <v/>
      </c>
      <c r="J300" s="42" t="str">
        <f aca="false">IF($AG300="","",IF($AG300&lt;=1200,IF(INDEX(对接源_01水果!$M$4:$M$1203,$AG300)=0,"",INDEX(对接源_01水果!$M$4:$M$1203,$AG300)),IF(INDEX(对接源_02物料!$M$4:$M$1203,$AG300-1200)=0,"",INDEX(对接源_02物料!$M$4:$M$1203,$AG300-1200))))</f>
        <v/>
      </c>
      <c r="AG300" s="44" t="str">
        <f aca="false">IFERROR(MATCH(89,_自动清单!$AE$4:$AE$2403,0),"")</f>
        <v/>
      </c>
    </row>
    <row r="301" customFormat="false" ht="18" hidden="false" customHeight="true" outlineLevel="0" collapsed="false">
      <c r="A301" s="45" t="str">
        <f aca="false">IF($AG301="","",IF($AG301&lt;=1200,IF(INDEX(对接源_01水果!$B$4:$B$1203,$AG301)=0,"",INDEX(对接源_01水果!$B$4:$B$1203,$AG301)),IF(INDEX(对接源_02物料!$B$4:$B$1203,$AG301-1200)=0,"",INDEX(对接源_02物料!$B$4:$B$1203,$AG301-1200))))</f>
        <v/>
      </c>
      <c r="B301" s="46" t="str">
        <f aca="false">IF($AG301="","",IF($AG301&lt;=1200,IF(INDEX(对接源_01水果!$E$4:$E$1203,$AG301)=0,"",INDEX(对接源_01水果!$E$4:$E$1203,$AG301)),IF(INDEX(对接源_02物料!$E$4:$E$1203,$AG301-1200)=0,"",INDEX(对接源_02物料!$E$4:$E$1203,$AG301-1200))))</f>
        <v/>
      </c>
      <c r="C301" s="46" t="str">
        <f aca="false">IF($AG301="","",IF($AG301&lt;=1200,IF(INDEX(对接源_01水果!$F$4:$F$1203,$AG301)=0,"",INDEX(对接源_01水果!$F$4:$F$1203,$AG301)),IF(INDEX(对接源_02物料!$F$4:$F$1203,$AG301-1200)=0,"",INDEX(对接源_02物料!$F$4:$F$1203,$AG301-1200))))</f>
        <v/>
      </c>
      <c r="D301" s="46" t="str">
        <f aca="false">IF($AG301="","",IF($AG301&lt;=1200,IF(INDEX(对接源_01水果!$G$4:$G$1203,$AG301)=0,"",INDEX(对接源_01水果!$G$4:$G$1203,$AG301)),IF(INDEX(对接源_02物料!$G$4:$G$1203,$AG301-1200)=0,"",INDEX(对接源_02物料!$G$4:$G$1203,$AG301-1200))))</f>
        <v/>
      </c>
      <c r="E301" s="48" t="str">
        <f aca="false">IF($AG301="","",IF($AG301&lt;=1200,IF(INDEX(对接源_01水果!$H$4:$H$1203,$AG301)=0,"",INDEX(对接源_01水果!$H$4:$H$1203,$AG301)),IF(INDEX(对接源_02物料!$H$4:$H$1203,$AG301-1200)=0,"",INDEX(对接源_02物料!$H$4:$H$1203,$AG301-1200))))</f>
        <v/>
      </c>
      <c r="F301" s="46" t="str">
        <f aca="false">IF($AG301="","",IF($AG301&lt;=1200,IF(INDEX(对接源_01水果!$I$4:$I$1203,$AG301)=0,"",INDEX(对接源_01水果!$I$4:$I$1203,$AG301)),IF(INDEX(对接源_02物料!$I$4:$I$1203,$AG301-1200)=0,"",INDEX(对接源_02物料!$I$4:$I$1203,$AG301-1200))))</f>
        <v/>
      </c>
      <c r="G301" s="56" t="str">
        <f aca="false">IF($AG301="","",IF($AG301&lt;=1200,IF(INDEX(对接源_01水果!$J$4:$J$1203,$AG301)=0,"",INDEX(对接源_01水果!$J$4:$J$1203,$AG301)),IF(INDEX(对接源_02物料!$J$4:$J$1203,$AG301-1200)=0,"",INDEX(对接源_02物料!$J$4:$J$1203,$AG301-1200))))</f>
        <v/>
      </c>
      <c r="H301" s="56" t="str">
        <f aca="false">IF($AG301="","",IF($AG301&lt;=1200,IF(INDEX(对接源_01水果!$K$4:$K$1203,$AG301)=0,"",INDEX(对接源_01水果!$K$4:$K$1203,$AG301)),IF(INDEX(对接源_02物料!$K$4:$K$1203,$AG301-1200)=0,"",INDEX(对接源_02物料!$K$4:$K$1203,$AG301-1200))))</f>
        <v/>
      </c>
      <c r="I301" s="46" t="str">
        <f aca="false">IF($AG301="","",IF($AG301&lt;=1200,IF(INDEX(对接源_01水果!$L$4:$L$1203,$AG301)=0,"",INDEX(对接源_01水果!$L$4:$L$1203,$AG301)),IF(INDEX(对接源_02物料!$L$4:$L$1203,$AG301-1200)=0,"",INDEX(对接源_02物料!$L$4:$L$1203,$AG301-1200))))</f>
        <v/>
      </c>
      <c r="J301" s="47" t="str">
        <f aca="false">IF($AG301="","",IF($AG301&lt;=1200,IF(INDEX(对接源_01水果!$M$4:$M$1203,$AG301)=0,"",INDEX(对接源_01水果!$M$4:$M$1203,$AG301)),IF(INDEX(对接源_02物料!$M$4:$M$1203,$AG301-1200)=0,"",INDEX(对接源_02物料!$M$4:$M$1203,$AG301-1200))))</f>
        <v/>
      </c>
      <c r="AG301" s="44" t="str">
        <f aca="false">IFERROR(MATCH(90,_自动清单!$AE$4:$AE$2403,0),"")</f>
        <v/>
      </c>
    </row>
    <row r="302" customFormat="false" ht="18" hidden="false" customHeight="true" outlineLevel="0" collapsed="false">
      <c r="A302" s="40" t="str">
        <f aca="false">IF($AG302="","",IF($AG302&lt;=1200,IF(INDEX(对接源_01水果!$B$4:$B$1203,$AG302)=0,"",INDEX(对接源_01水果!$B$4:$B$1203,$AG302)),IF(INDEX(对接源_02物料!$B$4:$B$1203,$AG302-1200)=0,"",INDEX(对接源_02物料!$B$4:$B$1203,$AG302-1200))))</f>
        <v/>
      </c>
      <c r="B302" s="41" t="str">
        <f aca="false">IF($AG302="","",IF($AG302&lt;=1200,IF(INDEX(对接源_01水果!$E$4:$E$1203,$AG302)=0,"",INDEX(对接源_01水果!$E$4:$E$1203,$AG302)),IF(INDEX(对接源_02物料!$E$4:$E$1203,$AG302-1200)=0,"",INDEX(对接源_02物料!$E$4:$E$1203,$AG302-1200))))</f>
        <v/>
      </c>
      <c r="C302" s="41" t="str">
        <f aca="false">IF($AG302="","",IF($AG302&lt;=1200,IF(INDEX(对接源_01水果!$F$4:$F$1203,$AG302)=0,"",INDEX(对接源_01水果!$F$4:$F$1203,$AG302)),IF(INDEX(对接源_02物料!$F$4:$F$1203,$AG302-1200)=0,"",INDEX(对接源_02物料!$F$4:$F$1203,$AG302-1200))))</f>
        <v/>
      </c>
      <c r="D302" s="41" t="str">
        <f aca="false">IF($AG302="","",IF($AG302&lt;=1200,IF(INDEX(对接源_01水果!$G$4:$G$1203,$AG302)=0,"",INDEX(对接源_01水果!$G$4:$G$1203,$AG302)),IF(INDEX(对接源_02物料!$G$4:$G$1203,$AG302-1200)=0,"",INDEX(对接源_02物料!$G$4:$G$1203,$AG302-1200))))</f>
        <v/>
      </c>
      <c r="E302" s="43" t="str">
        <f aca="false">IF($AG302="","",IF($AG302&lt;=1200,IF(INDEX(对接源_01水果!$H$4:$H$1203,$AG302)=0,"",INDEX(对接源_01水果!$H$4:$H$1203,$AG302)),IF(INDEX(对接源_02物料!$H$4:$H$1203,$AG302-1200)=0,"",INDEX(对接源_02物料!$H$4:$H$1203,$AG302-1200))))</f>
        <v/>
      </c>
      <c r="F302" s="41" t="str">
        <f aca="false">IF($AG302="","",IF($AG302&lt;=1200,IF(INDEX(对接源_01水果!$I$4:$I$1203,$AG302)=0,"",INDEX(对接源_01水果!$I$4:$I$1203,$AG302)),IF(INDEX(对接源_02物料!$I$4:$I$1203,$AG302-1200)=0,"",INDEX(对接源_02物料!$I$4:$I$1203,$AG302-1200))))</f>
        <v/>
      </c>
      <c r="G302" s="55" t="str">
        <f aca="false">IF($AG302="","",IF($AG302&lt;=1200,IF(INDEX(对接源_01水果!$J$4:$J$1203,$AG302)=0,"",INDEX(对接源_01水果!$J$4:$J$1203,$AG302)),IF(INDEX(对接源_02物料!$J$4:$J$1203,$AG302-1200)=0,"",INDEX(对接源_02物料!$J$4:$J$1203,$AG302-1200))))</f>
        <v/>
      </c>
      <c r="H302" s="55" t="str">
        <f aca="false">IF($AG302="","",IF($AG302&lt;=1200,IF(INDEX(对接源_01水果!$K$4:$K$1203,$AG302)=0,"",INDEX(对接源_01水果!$K$4:$K$1203,$AG302)),IF(INDEX(对接源_02物料!$K$4:$K$1203,$AG302-1200)=0,"",INDEX(对接源_02物料!$K$4:$K$1203,$AG302-1200))))</f>
        <v/>
      </c>
      <c r="I302" s="41" t="str">
        <f aca="false">IF($AG302="","",IF($AG302&lt;=1200,IF(INDEX(对接源_01水果!$L$4:$L$1203,$AG302)=0,"",INDEX(对接源_01水果!$L$4:$L$1203,$AG302)),IF(INDEX(对接源_02物料!$L$4:$L$1203,$AG302-1200)=0,"",INDEX(对接源_02物料!$L$4:$L$1203,$AG302-1200))))</f>
        <v/>
      </c>
      <c r="J302" s="42" t="str">
        <f aca="false">IF($AG302="","",IF($AG302&lt;=1200,IF(INDEX(对接源_01水果!$M$4:$M$1203,$AG302)=0,"",INDEX(对接源_01水果!$M$4:$M$1203,$AG302)),IF(INDEX(对接源_02物料!$M$4:$M$1203,$AG302-1200)=0,"",INDEX(对接源_02物料!$M$4:$M$1203,$AG302-1200))))</f>
        <v/>
      </c>
      <c r="AG302" s="44" t="str">
        <f aca="false">IFERROR(MATCH(91,_自动清单!$AE$4:$AE$2403,0),"")</f>
        <v/>
      </c>
    </row>
    <row r="303" customFormat="false" ht="18" hidden="false" customHeight="true" outlineLevel="0" collapsed="false">
      <c r="A303" s="45" t="str">
        <f aca="false">IF($AG303="","",IF($AG303&lt;=1200,IF(INDEX(对接源_01水果!$B$4:$B$1203,$AG303)=0,"",INDEX(对接源_01水果!$B$4:$B$1203,$AG303)),IF(INDEX(对接源_02物料!$B$4:$B$1203,$AG303-1200)=0,"",INDEX(对接源_02物料!$B$4:$B$1203,$AG303-1200))))</f>
        <v/>
      </c>
      <c r="B303" s="46" t="str">
        <f aca="false">IF($AG303="","",IF($AG303&lt;=1200,IF(INDEX(对接源_01水果!$E$4:$E$1203,$AG303)=0,"",INDEX(对接源_01水果!$E$4:$E$1203,$AG303)),IF(INDEX(对接源_02物料!$E$4:$E$1203,$AG303-1200)=0,"",INDEX(对接源_02物料!$E$4:$E$1203,$AG303-1200))))</f>
        <v/>
      </c>
      <c r="C303" s="46" t="str">
        <f aca="false">IF($AG303="","",IF($AG303&lt;=1200,IF(INDEX(对接源_01水果!$F$4:$F$1203,$AG303)=0,"",INDEX(对接源_01水果!$F$4:$F$1203,$AG303)),IF(INDEX(对接源_02物料!$F$4:$F$1203,$AG303-1200)=0,"",INDEX(对接源_02物料!$F$4:$F$1203,$AG303-1200))))</f>
        <v/>
      </c>
      <c r="D303" s="46" t="str">
        <f aca="false">IF($AG303="","",IF($AG303&lt;=1200,IF(INDEX(对接源_01水果!$G$4:$G$1203,$AG303)=0,"",INDEX(对接源_01水果!$G$4:$G$1203,$AG303)),IF(INDEX(对接源_02物料!$G$4:$G$1203,$AG303-1200)=0,"",INDEX(对接源_02物料!$G$4:$G$1203,$AG303-1200))))</f>
        <v/>
      </c>
      <c r="E303" s="48" t="str">
        <f aca="false">IF($AG303="","",IF($AG303&lt;=1200,IF(INDEX(对接源_01水果!$H$4:$H$1203,$AG303)=0,"",INDEX(对接源_01水果!$H$4:$H$1203,$AG303)),IF(INDEX(对接源_02物料!$H$4:$H$1203,$AG303-1200)=0,"",INDEX(对接源_02物料!$H$4:$H$1203,$AG303-1200))))</f>
        <v/>
      </c>
      <c r="F303" s="46" t="str">
        <f aca="false">IF($AG303="","",IF($AG303&lt;=1200,IF(INDEX(对接源_01水果!$I$4:$I$1203,$AG303)=0,"",INDEX(对接源_01水果!$I$4:$I$1203,$AG303)),IF(INDEX(对接源_02物料!$I$4:$I$1203,$AG303-1200)=0,"",INDEX(对接源_02物料!$I$4:$I$1203,$AG303-1200))))</f>
        <v/>
      </c>
      <c r="G303" s="56" t="str">
        <f aca="false">IF($AG303="","",IF($AG303&lt;=1200,IF(INDEX(对接源_01水果!$J$4:$J$1203,$AG303)=0,"",INDEX(对接源_01水果!$J$4:$J$1203,$AG303)),IF(INDEX(对接源_02物料!$J$4:$J$1203,$AG303-1200)=0,"",INDEX(对接源_02物料!$J$4:$J$1203,$AG303-1200))))</f>
        <v/>
      </c>
      <c r="H303" s="56" t="str">
        <f aca="false">IF($AG303="","",IF($AG303&lt;=1200,IF(INDEX(对接源_01水果!$K$4:$K$1203,$AG303)=0,"",INDEX(对接源_01水果!$K$4:$K$1203,$AG303)),IF(INDEX(对接源_02物料!$K$4:$K$1203,$AG303-1200)=0,"",INDEX(对接源_02物料!$K$4:$K$1203,$AG303-1200))))</f>
        <v/>
      </c>
      <c r="I303" s="46" t="str">
        <f aca="false">IF($AG303="","",IF($AG303&lt;=1200,IF(INDEX(对接源_01水果!$L$4:$L$1203,$AG303)=0,"",INDEX(对接源_01水果!$L$4:$L$1203,$AG303)),IF(INDEX(对接源_02物料!$L$4:$L$1203,$AG303-1200)=0,"",INDEX(对接源_02物料!$L$4:$L$1203,$AG303-1200))))</f>
        <v/>
      </c>
      <c r="J303" s="47" t="str">
        <f aca="false">IF($AG303="","",IF($AG303&lt;=1200,IF(INDEX(对接源_01水果!$M$4:$M$1203,$AG303)=0,"",INDEX(对接源_01水果!$M$4:$M$1203,$AG303)),IF(INDEX(对接源_02物料!$M$4:$M$1203,$AG303-1200)=0,"",INDEX(对接源_02物料!$M$4:$M$1203,$AG303-1200))))</f>
        <v/>
      </c>
      <c r="AG303" s="44" t="str">
        <f aca="false">IFERROR(MATCH(92,_自动清单!$AE$4:$AE$2403,0),"")</f>
        <v/>
      </c>
    </row>
    <row r="304" customFormat="false" ht="18" hidden="false" customHeight="true" outlineLevel="0" collapsed="false">
      <c r="A304" s="40" t="str">
        <f aca="false">IF($AG304="","",IF($AG304&lt;=1200,IF(INDEX(对接源_01水果!$B$4:$B$1203,$AG304)=0,"",INDEX(对接源_01水果!$B$4:$B$1203,$AG304)),IF(INDEX(对接源_02物料!$B$4:$B$1203,$AG304-1200)=0,"",INDEX(对接源_02物料!$B$4:$B$1203,$AG304-1200))))</f>
        <v/>
      </c>
      <c r="B304" s="41" t="str">
        <f aca="false">IF($AG304="","",IF($AG304&lt;=1200,IF(INDEX(对接源_01水果!$E$4:$E$1203,$AG304)=0,"",INDEX(对接源_01水果!$E$4:$E$1203,$AG304)),IF(INDEX(对接源_02物料!$E$4:$E$1203,$AG304-1200)=0,"",INDEX(对接源_02物料!$E$4:$E$1203,$AG304-1200))))</f>
        <v/>
      </c>
      <c r="C304" s="41" t="str">
        <f aca="false">IF($AG304="","",IF($AG304&lt;=1200,IF(INDEX(对接源_01水果!$F$4:$F$1203,$AG304)=0,"",INDEX(对接源_01水果!$F$4:$F$1203,$AG304)),IF(INDEX(对接源_02物料!$F$4:$F$1203,$AG304-1200)=0,"",INDEX(对接源_02物料!$F$4:$F$1203,$AG304-1200))))</f>
        <v/>
      </c>
      <c r="D304" s="41" t="str">
        <f aca="false">IF($AG304="","",IF($AG304&lt;=1200,IF(INDEX(对接源_01水果!$G$4:$G$1203,$AG304)=0,"",INDEX(对接源_01水果!$G$4:$G$1203,$AG304)),IF(INDEX(对接源_02物料!$G$4:$G$1203,$AG304-1200)=0,"",INDEX(对接源_02物料!$G$4:$G$1203,$AG304-1200))))</f>
        <v/>
      </c>
      <c r="E304" s="43" t="str">
        <f aca="false">IF($AG304="","",IF($AG304&lt;=1200,IF(INDEX(对接源_01水果!$H$4:$H$1203,$AG304)=0,"",INDEX(对接源_01水果!$H$4:$H$1203,$AG304)),IF(INDEX(对接源_02物料!$H$4:$H$1203,$AG304-1200)=0,"",INDEX(对接源_02物料!$H$4:$H$1203,$AG304-1200))))</f>
        <v/>
      </c>
      <c r="F304" s="41" t="str">
        <f aca="false">IF($AG304="","",IF($AG304&lt;=1200,IF(INDEX(对接源_01水果!$I$4:$I$1203,$AG304)=0,"",INDEX(对接源_01水果!$I$4:$I$1203,$AG304)),IF(INDEX(对接源_02物料!$I$4:$I$1203,$AG304-1200)=0,"",INDEX(对接源_02物料!$I$4:$I$1203,$AG304-1200))))</f>
        <v/>
      </c>
      <c r="G304" s="55" t="str">
        <f aca="false">IF($AG304="","",IF($AG304&lt;=1200,IF(INDEX(对接源_01水果!$J$4:$J$1203,$AG304)=0,"",INDEX(对接源_01水果!$J$4:$J$1203,$AG304)),IF(INDEX(对接源_02物料!$J$4:$J$1203,$AG304-1200)=0,"",INDEX(对接源_02物料!$J$4:$J$1203,$AG304-1200))))</f>
        <v/>
      </c>
      <c r="H304" s="55" t="str">
        <f aca="false">IF($AG304="","",IF($AG304&lt;=1200,IF(INDEX(对接源_01水果!$K$4:$K$1203,$AG304)=0,"",INDEX(对接源_01水果!$K$4:$K$1203,$AG304)),IF(INDEX(对接源_02物料!$K$4:$K$1203,$AG304-1200)=0,"",INDEX(对接源_02物料!$K$4:$K$1203,$AG304-1200))))</f>
        <v/>
      </c>
      <c r="I304" s="41" t="str">
        <f aca="false">IF($AG304="","",IF($AG304&lt;=1200,IF(INDEX(对接源_01水果!$L$4:$L$1203,$AG304)=0,"",INDEX(对接源_01水果!$L$4:$L$1203,$AG304)),IF(INDEX(对接源_02物料!$L$4:$L$1203,$AG304-1200)=0,"",INDEX(对接源_02物料!$L$4:$L$1203,$AG304-1200))))</f>
        <v/>
      </c>
      <c r="J304" s="42" t="str">
        <f aca="false">IF($AG304="","",IF($AG304&lt;=1200,IF(INDEX(对接源_01水果!$M$4:$M$1203,$AG304)=0,"",INDEX(对接源_01水果!$M$4:$M$1203,$AG304)),IF(INDEX(对接源_02物料!$M$4:$M$1203,$AG304-1200)=0,"",INDEX(对接源_02物料!$M$4:$M$1203,$AG304-1200))))</f>
        <v/>
      </c>
      <c r="AG304" s="44" t="str">
        <f aca="false">IFERROR(MATCH(93,_自动清单!$AE$4:$AE$2403,0),"")</f>
        <v/>
      </c>
    </row>
    <row r="305" customFormat="false" ht="18" hidden="false" customHeight="true" outlineLevel="0" collapsed="false">
      <c r="A305" s="45" t="str">
        <f aca="false">IF($AG305="","",IF($AG305&lt;=1200,IF(INDEX(对接源_01水果!$B$4:$B$1203,$AG305)=0,"",INDEX(对接源_01水果!$B$4:$B$1203,$AG305)),IF(INDEX(对接源_02物料!$B$4:$B$1203,$AG305-1200)=0,"",INDEX(对接源_02物料!$B$4:$B$1203,$AG305-1200))))</f>
        <v/>
      </c>
      <c r="B305" s="46" t="str">
        <f aca="false">IF($AG305="","",IF($AG305&lt;=1200,IF(INDEX(对接源_01水果!$E$4:$E$1203,$AG305)=0,"",INDEX(对接源_01水果!$E$4:$E$1203,$AG305)),IF(INDEX(对接源_02物料!$E$4:$E$1203,$AG305-1200)=0,"",INDEX(对接源_02物料!$E$4:$E$1203,$AG305-1200))))</f>
        <v/>
      </c>
      <c r="C305" s="46" t="str">
        <f aca="false">IF($AG305="","",IF($AG305&lt;=1200,IF(INDEX(对接源_01水果!$F$4:$F$1203,$AG305)=0,"",INDEX(对接源_01水果!$F$4:$F$1203,$AG305)),IF(INDEX(对接源_02物料!$F$4:$F$1203,$AG305-1200)=0,"",INDEX(对接源_02物料!$F$4:$F$1203,$AG305-1200))))</f>
        <v/>
      </c>
      <c r="D305" s="46" t="str">
        <f aca="false">IF($AG305="","",IF($AG305&lt;=1200,IF(INDEX(对接源_01水果!$G$4:$G$1203,$AG305)=0,"",INDEX(对接源_01水果!$G$4:$G$1203,$AG305)),IF(INDEX(对接源_02物料!$G$4:$G$1203,$AG305-1200)=0,"",INDEX(对接源_02物料!$G$4:$G$1203,$AG305-1200))))</f>
        <v/>
      </c>
      <c r="E305" s="48" t="str">
        <f aca="false">IF($AG305="","",IF($AG305&lt;=1200,IF(INDEX(对接源_01水果!$H$4:$H$1203,$AG305)=0,"",INDEX(对接源_01水果!$H$4:$H$1203,$AG305)),IF(INDEX(对接源_02物料!$H$4:$H$1203,$AG305-1200)=0,"",INDEX(对接源_02物料!$H$4:$H$1203,$AG305-1200))))</f>
        <v/>
      </c>
      <c r="F305" s="46" t="str">
        <f aca="false">IF($AG305="","",IF($AG305&lt;=1200,IF(INDEX(对接源_01水果!$I$4:$I$1203,$AG305)=0,"",INDEX(对接源_01水果!$I$4:$I$1203,$AG305)),IF(INDEX(对接源_02物料!$I$4:$I$1203,$AG305-1200)=0,"",INDEX(对接源_02物料!$I$4:$I$1203,$AG305-1200))))</f>
        <v/>
      </c>
      <c r="G305" s="56" t="str">
        <f aca="false">IF($AG305="","",IF($AG305&lt;=1200,IF(INDEX(对接源_01水果!$J$4:$J$1203,$AG305)=0,"",INDEX(对接源_01水果!$J$4:$J$1203,$AG305)),IF(INDEX(对接源_02物料!$J$4:$J$1203,$AG305-1200)=0,"",INDEX(对接源_02物料!$J$4:$J$1203,$AG305-1200))))</f>
        <v/>
      </c>
      <c r="H305" s="56" t="str">
        <f aca="false">IF($AG305="","",IF($AG305&lt;=1200,IF(INDEX(对接源_01水果!$K$4:$K$1203,$AG305)=0,"",INDEX(对接源_01水果!$K$4:$K$1203,$AG305)),IF(INDEX(对接源_02物料!$K$4:$K$1203,$AG305-1200)=0,"",INDEX(对接源_02物料!$K$4:$K$1203,$AG305-1200))))</f>
        <v/>
      </c>
      <c r="I305" s="46" t="str">
        <f aca="false">IF($AG305="","",IF($AG305&lt;=1200,IF(INDEX(对接源_01水果!$L$4:$L$1203,$AG305)=0,"",INDEX(对接源_01水果!$L$4:$L$1203,$AG305)),IF(INDEX(对接源_02物料!$L$4:$L$1203,$AG305-1200)=0,"",INDEX(对接源_02物料!$L$4:$L$1203,$AG305-1200))))</f>
        <v/>
      </c>
      <c r="J305" s="47" t="str">
        <f aca="false">IF($AG305="","",IF($AG305&lt;=1200,IF(INDEX(对接源_01水果!$M$4:$M$1203,$AG305)=0,"",INDEX(对接源_01水果!$M$4:$M$1203,$AG305)),IF(INDEX(对接源_02物料!$M$4:$M$1203,$AG305-1200)=0,"",INDEX(对接源_02物料!$M$4:$M$1203,$AG305-1200))))</f>
        <v/>
      </c>
      <c r="AG305" s="44" t="str">
        <f aca="false">IFERROR(MATCH(94,_自动清单!$AE$4:$AE$2403,0),"")</f>
        <v/>
      </c>
    </row>
    <row r="306" customFormat="false" ht="18" hidden="false" customHeight="true" outlineLevel="0" collapsed="false">
      <c r="A306" s="40" t="str">
        <f aca="false">IF($AG306="","",IF($AG306&lt;=1200,IF(INDEX(对接源_01水果!$B$4:$B$1203,$AG306)=0,"",INDEX(对接源_01水果!$B$4:$B$1203,$AG306)),IF(INDEX(对接源_02物料!$B$4:$B$1203,$AG306-1200)=0,"",INDEX(对接源_02物料!$B$4:$B$1203,$AG306-1200))))</f>
        <v/>
      </c>
      <c r="B306" s="41" t="str">
        <f aca="false">IF($AG306="","",IF($AG306&lt;=1200,IF(INDEX(对接源_01水果!$E$4:$E$1203,$AG306)=0,"",INDEX(对接源_01水果!$E$4:$E$1203,$AG306)),IF(INDEX(对接源_02物料!$E$4:$E$1203,$AG306-1200)=0,"",INDEX(对接源_02物料!$E$4:$E$1203,$AG306-1200))))</f>
        <v/>
      </c>
      <c r="C306" s="41" t="str">
        <f aca="false">IF($AG306="","",IF($AG306&lt;=1200,IF(INDEX(对接源_01水果!$F$4:$F$1203,$AG306)=0,"",INDEX(对接源_01水果!$F$4:$F$1203,$AG306)),IF(INDEX(对接源_02物料!$F$4:$F$1203,$AG306-1200)=0,"",INDEX(对接源_02物料!$F$4:$F$1203,$AG306-1200))))</f>
        <v/>
      </c>
      <c r="D306" s="41" t="str">
        <f aca="false">IF($AG306="","",IF($AG306&lt;=1200,IF(INDEX(对接源_01水果!$G$4:$G$1203,$AG306)=0,"",INDEX(对接源_01水果!$G$4:$G$1203,$AG306)),IF(INDEX(对接源_02物料!$G$4:$G$1203,$AG306-1200)=0,"",INDEX(对接源_02物料!$G$4:$G$1203,$AG306-1200))))</f>
        <v/>
      </c>
      <c r="E306" s="43" t="str">
        <f aca="false">IF($AG306="","",IF($AG306&lt;=1200,IF(INDEX(对接源_01水果!$H$4:$H$1203,$AG306)=0,"",INDEX(对接源_01水果!$H$4:$H$1203,$AG306)),IF(INDEX(对接源_02物料!$H$4:$H$1203,$AG306-1200)=0,"",INDEX(对接源_02物料!$H$4:$H$1203,$AG306-1200))))</f>
        <v/>
      </c>
      <c r="F306" s="41" t="str">
        <f aca="false">IF($AG306="","",IF($AG306&lt;=1200,IF(INDEX(对接源_01水果!$I$4:$I$1203,$AG306)=0,"",INDEX(对接源_01水果!$I$4:$I$1203,$AG306)),IF(INDEX(对接源_02物料!$I$4:$I$1203,$AG306-1200)=0,"",INDEX(对接源_02物料!$I$4:$I$1203,$AG306-1200))))</f>
        <v/>
      </c>
      <c r="G306" s="55" t="str">
        <f aca="false">IF($AG306="","",IF($AG306&lt;=1200,IF(INDEX(对接源_01水果!$J$4:$J$1203,$AG306)=0,"",INDEX(对接源_01水果!$J$4:$J$1203,$AG306)),IF(INDEX(对接源_02物料!$J$4:$J$1203,$AG306-1200)=0,"",INDEX(对接源_02物料!$J$4:$J$1203,$AG306-1200))))</f>
        <v/>
      </c>
      <c r="H306" s="55" t="str">
        <f aca="false">IF($AG306="","",IF($AG306&lt;=1200,IF(INDEX(对接源_01水果!$K$4:$K$1203,$AG306)=0,"",INDEX(对接源_01水果!$K$4:$K$1203,$AG306)),IF(INDEX(对接源_02物料!$K$4:$K$1203,$AG306-1200)=0,"",INDEX(对接源_02物料!$K$4:$K$1203,$AG306-1200))))</f>
        <v/>
      </c>
      <c r="I306" s="41" t="str">
        <f aca="false">IF($AG306="","",IF($AG306&lt;=1200,IF(INDEX(对接源_01水果!$L$4:$L$1203,$AG306)=0,"",INDEX(对接源_01水果!$L$4:$L$1203,$AG306)),IF(INDEX(对接源_02物料!$L$4:$L$1203,$AG306-1200)=0,"",INDEX(对接源_02物料!$L$4:$L$1203,$AG306-1200))))</f>
        <v/>
      </c>
      <c r="J306" s="42" t="str">
        <f aca="false">IF($AG306="","",IF($AG306&lt;=1200,IF(INDEX(对接源_01水果!$M$4:$M$1203,$AG306)=0,"",INDEX(对接源_01水果!$M$4:$M$1203,$AG306)),IF(INDEX(对接源_02物料!$M$4:$M$1203,$AG306-1200)=0,"",INDEX(对接源_02物料!$M$4:$M$1203,$AG306-1200))))</f>
        <v/>
      </c>
      <c r="AG306" s="44" t="str">
        <f aca="false">IFERROR(MATCH(95,_自动清单!$AE$4:$AE$2403,0),"")</f>
        <v/>
      </c>
    </row>
    <row r="307" customFormat="false" ht="18" hidden="false" customHeight="true" outlineLevel="0" collapsed="false">
      <c r="A307" s="45" t="str">
        <f aca="false">IF($AG307="","",IF($AG307&lt;=1200,IF(INDEX(对接源_01水果!$B$4:$B$1203,$AG307)=0,"",INDEX(对接源_01水果!$B$4:$B$1203,$AG307)),IF(INDEX(对接源_02物料!$B$4:$B$1203,$AG307-1200)=0,"",INDEX(对接源_02物料!$B$4:$B$1203,$AG307-1200))))</f>
        <v/>
      </c>
      <c r="B307" s="46" t="str">
        <f aca="false">IF($AG307="","",IF($AG307&lt;=1200,IF(INDEX(对接源_01水果!$E$4:$E$1203,$AG307)=0,"",INDEX(对接源_01水果!$E$4:$E$1203,$AG307)),IF(INDEX(对接源_02物料!$E$4:$E$1203,$AG307-1200)=0,"",INDEX(对接源_02物料!$E$4:$E$1203,$AG307-1200))))</f>
        <v/>
      </c>
      <c r="C307" s="46" t="str">
        <f aca="false">IF($AG307="","",IF($AG307&lt;=1200,IF(INDEX(对接源_01水果!$F$4:$F$1203,$AG307)=0,"",INDEX(对接源_01水果!$F$4:$F$1203,$AG307)),IF(INDEX(对接源_02物料!$F$4:$F$1203,$AG307-1200)=0,"",INDEX(对接源_02物料!$F$4:$F$1203,$AG307-1200))))</f>
        <v/>
      </c>
      <c r="D307" s="46" t="str">
        <f aca="false">IF($AG307="","",IF($AG307&lt;=1200,IF(INDEX(对接源_01水果!$G$4:$G$1203,$AG307)=0,"",INDEX(对接源_01水果!$G$4:$G$1203,$AG307)),IF(INDEX(对接源_02物料!$G$4:$G$1203,$AG307-1200)=0,"",INDEX(对接源_02物料!$G$4:$G$1203,$AG307-1200))))</f>
        <v/>
      </c>
      <c r="E307" s="48" t="str">
        <f aca="false">IF($AG307="","",IF($AG307&lt;=1200,IF(INDEX(对接源_01水果!$H$4:$H$1203,$AG307)=0,"",INDEX(对接源_01水果!$H$4:$H$1203,$AG307)),IF(INDEX(对接源_02物料!$H$4:$H$1203,$AG307-1200)=0,"",INDEX(对接源_02物料!$H$4:$H$1203,$AG307-1200))))</f>
        <v/>
      </c>
      <c r="F307" s="46" t="str">
        <f aca="false">IF($AG307="","",IF($AG307&lt;=1200,IF(INDEX(对接源_01水果!$I$4:$I$1203,$AG307)=0,"",INDEX(对接源_01水果!$I$4:$I$1203,$AG307)),IF(INDEX(对接源_02物料!$I$4:$I$1203,$AG307-1200)=0,"",INDEX(对接源_02物料!$I$4:$I$1203,$AG307-1200))))</f>
        <v/>
      </c>
      <c r="G307" s="56" t="str">
        <f aca="false">IF($AG307="","",IF($AG307&lt;=1200,IF(INDEX(对接源_01水果!$J$4:$J$1203,$AG307)=0,"",INDEX(对接源_01水果!$J$4:$J$1203,$AG307)),IF(INDEX(对接源_02物料!$J$4:$J$1203,$AG307-1200)=0,"",INDEX(对接源_02物料!$J$4:$J$1203,$AG307-1200))))</f>
        <v/>
      </c>
      <c r="H307" s="56" t="str">
        <f aca="false">IF($AG307="","",IF($AG307&lt;=1200,IF(INDEX(对接源_01水果!$K$4:$K$1203,$AG307)=0,"",INDEX(对接源_01水果!$K$4:$K$1203,$AG307)),IF(INDEX(对接源_02物料!$K$4:$K$1203,$AG307-1200)=0,"",INDEX(对接源_02物料!$K$4:$K$1203,$AG307-1200))))</f>
        <v/>
      </c>
      <c r="I307" s="46" t="str">
        <f aca="false">IF($AG307="","",IF($AG307&lt;=1200,IF(INDEX(对接源_01水果!$L$4:$L$1203,$AG307)=0,"",INDEX(对接源_01水果!$L$4:$L$1203,$AG307)),IF(INDEX(对接源_02物料!$L$4:$L$1203,$AG307-1200)=0,"",INDEX(对接源_02物料!$L$4:$L$1203,$AG307-1200))))</f>
        <v/>
      </c>
      <c r="J307" s="47" t="str">
        <f aca="false">IF($AG307="","",IF($AG307&lt;=1200,IF(INDEX(对接源_01水果!$M$4:$M$1203,$AG307)=0,"",INDEX(对接源_01水果!$M$4:$M$1203,$AG307)),IF(INDEX(对接源_02物料!$M$4:$M$1203,$AG307-1200)=0,"",INDEX(对接源_02物料!$M$4:$M$1203,$AG307-1200))))</f>
        <v/>
      </c>
      <c r="AG307" s="44" t="str">
        <f aca="false">IFERROR(MATCH(96,_自动清单!$AE$4:$AE$2403,0),"")</f>
        <v/>
      </c>
    </row>
    <row r="308" customFormat="false" ht="18" hidden="false" customHeight="true" outlineLevel="0" collapsed="false">
      <c r="A308" s="40" t="str">
        <f aca="false">IF($AG308="","",IF($AG308&lt;=1200,IF(INDEX(对接源_01水果!$B$4:$B$1203,$AG308)=0,"",INDEX(对接源_01水果!$B$4:$B$1203,$AG308)),IF(INDEX(对接源_02物料!$B$4:$B$1203,$AG308-1200)=0,"",INDEX(对接源_02物料!$B$4:$B$1203,$AG308-1200))))</f>
        <v/>
      </c>
      <c r="B308" s="41" t="str">
        <f aca="false">IF($AG308="","",IF($AG308&lt;=1200,IF(INDEX(对接源_01水果!$E$4:$E$1203,$AG308)=0,"",INDEX(对接源_01水果!$E$4:$E$1203,$AG308)),IF(INDEX(对接源_02物料!$E$4:$E$1203,$AG308-1200)=0,"",INDEX(对接源_02物料!$E$4:$E$1203,$AG308-1200))))</f>
        <v/>
      </c>
      <c r="C308" s="41" t="str">
        <f aca="false">IF($AG308="","",IF($AG308&lt;=1200,IF(INDEX(对接源_01水果!$F$4:$F$1203,$AG308)=0,"",INDEX(对接源_01水果!$F$4:$F$1203,$AG308)),IF(INDEX(对接源_02物料!$F$4:$F$1203,$AG308-1200)=0,"",INDEX(对接源_02物料!$F$4:$F$1203,$AG308-1200))))</f>
        <v/>
      </c>
      <c r="D308" s="41" t="str">
        <f aca="false">IF($AG308="","",IF($AG308&lt;=1200,IF(INDEX(对接源_01水果!$G$4:$G$1203,$AG308)=0,"",INDEX(对接源_01水果!$G$4:$G$1203,$AG308)),IF(INDEX(对接源_02物料!$G$4:$G$1203,$AG308-1200)=0,"",INDEX(对接源_02物料!$G$4:$G$1203,$AG308-1200))))</f>
        <v/>
      </c>
      <c r="E308" s="43" t="str">
        <f aca="false">IF($AG308="","",IF($AG308&lt;=1200,IF(INDEX(对接源_01水果!$H$4:$H$1203,$AG308)=0,"",INDEX(对接源_01水果!$H$4:$H$1203,$AG308)),IF(INDEX(对接源_02物料!$H$4:$H$1203,$AG308-1200)=0,"",INDEX(对接源_02物料!$H$4:$H$1203,$AG308-1200))))</f>
        <v/>
      </c>
      <c r="F308" s="41" t="str">
        <f aca="false">IF($AG308="","",IF($AG308&lt;=1200,IF(INDEX(对接源_01水果!$I$4:$I$1203,$AG308)=0,"",INDEX(对接源_01水果!$I$4:$I$1203,$AG308)),IF(INDEX(对接源_02物料!$I$4:$I$1203,$AG308-1200)=0,"",INDEX(对接源_02物料!$I$4:$I$1203,$AG308-1200))))</f>
        <v/>
      </c>
      <c r="G308" s="55" t="str">
        <f aca="false">IF($AG308="","",IF($AG308&lt;=1200,IF(INDEX(对接源_01水果!$J$4:$J$1203,$AG308)=0,"",INDEX(对接源_01水果!$J$4:$J$1203,$AG308)),IF(INDEX(对接源_02物料!$J$4:$J$1203,$AG308-1200)=0,"",INDEX(对接源_02物料!$J$4:$J$1203,$AG308-1200))))</f>
        <v/>
      </c>
      <c r="H308" s="55" t="str">
        <f aca="false">IF($AG308="","",IF($AG308&lt;=1200,IF(INDEX(对接源_01水果!$K$4:$K$1203,$AG308)=0,"",INDEX(对接源_01水果!$K$4:$K$1203,$AG308)),IF(INDEX(对接源_02物料!$K$4:$K$1203,$AG308-1200)=0,"",INDEX(对接源_02物料!$K$4:$K$1203,$AG308-1200))))</f>
        <v/>
      </c>
      <c r="I308" s="41" t="str">
        <f aca="false">IF($AG308="","",IF($AG308&lt;=1200,IF(INDEX(对接源_01水果!$L$4:$L$1203,$AG308)=0,"",INDEX(对接源_01水果!$L$4:$L$1203,$AG308)),IF(INDEX(对接源_02物料!$L$4:$L$1203,$AG308-1200)=0,"",INDEX(对接源_02物料!$L$4:$L$1203,$AG308-1200))))</f>
        <v/>
      </c>
      <c r="J308" s="42" t="str">
        <f aca="false">IF($AG308="","",IF($AG308&lt;=1200,IF(INDEX(对接源_01水果!$M$4:$M$1203,$AG308)=0,"",INDEX(对接源_01水果!$M$4:$M$1203,$AG308)),IF(INDEX(对接源_02物料!$M$4:$M$1203,$AG308-1200)=0,"",INDEX(对接源_02物料!$M$4:$M$1203,$AG308-1200))))</f>
        <v/>
      </c>
      <c r="AG308" s="44" t="str">
        <f aca="false">IFERROR(MATCH(97,_自动清单!$AE$4:$AE$2403,0),"")</f>
        <v/>
      </c>
    </row>
    <row r="309" customFormat="false" ht="18" hidden="false" customHeight="true" outlineLevel="0" collapsed="false">
      <c r="A309" s="45" t="str">
        <f aca="false">IF($AG309="","",IF($AG309&lt;=1200,IF(INDEX(对接源_01水果!$B$4:$B$1203,$AG309)=0,"",INDEX(对接源_01水果!$B$4:$B$1203,$AG309)),IF(INDEX(对接源_02物料!$B$4:$B$1203,$AG309-1200)=0,"",INDEX(对接源_02物料!$B$4:$B$1203,$AG309-1200))))</f>
        <v/>
      </c>
      <c r="B309" s="46" t="str">
        <f aca="false">IF($AG309="","",IF($AG309&lt;=1200,IF(INDEX(对接源_01水果!$E$4:$E$1203,$AG309)=0,"",INDEX(对接源_01水果!$E$4:$E$1203,$AG309)),IF(INDEX(对接源_02物料!$E$4:$E$1203,$AG309-1200)=0,"",INDEX(对接源_02物料!$E$4:$E$1203,$AG309-1200))))</f>
        <v/>
      </c>
      <c r="C309" s="46" t="str">
        <f aca="false">IF($AG309="","",IF($AG309&lt;=1200,IF(INDEX(对接源_01水果!$F$4:$F$1203,$AG309)=0,"",INDEX(对接源_01水果!$F$4:$F$1203,$AG309)),IF(INDEX(对接源_02物料!$F$4:$F$1203,$AG309-1200)=0,"",INDEX(对接源_02物料!$F$4:$F$1203,$AG309-1200))))</f>
        <v/>
      </c>
      <c r="D309" s="46" t="str">
        <f aca="false">IF($AG309="","",IF($AG309&lt;=1200,IF(INDEX(对接源_01水果!$G$4:$G$1203,$AG309)=0,"",INDEX(对接源_01水果!$G$4:$G$1203,$AG309)),IF(INDEX(对接源_02物料!$G$4:$G$1203,$AG309-1200)=0,"",INDEX(对接源_02物料!$G$4:$G$1203,$AG309-1200))))</f>
        <v/>
      </c>
      <c r="E309" s="48" t="str">
        <f aca="false">IF($AG309="","",IF($AG309&lt;=1200,IF(INDEX(对接源_01水果!$H$4:$H$1203,$AG309)=0,"",INDEX(对接源_01水果!$H$4:$H$1203,$AG309)),IF(INDEX(对接源_02物料!$H$4:$H$1203,$AG309-1200)=0,"",INDEX(对接源_02物料!$H$4:$H$1203,$AG309-1200))))</f>
        <v/>
      </c>
      <c r="F309" s="46" t="str">
        <f aca="false">IF($AG309="","",IF($AG309&lt;=1200,IF(INDEX(对接源_01水果!$I$4:$I$1203,$AG309)=0,"",INDEX(对接源_01水果!$I$4:$I$1203,$AG309)),IF(INDEX(对接源_02物料!$I$4:$I$1203,$AG309-1200)=0,"",INDEX(对接源_02物料!$I$4:$I$1203,$AG309-1200))))</f>
        <v/>
      </c>
      <c r="G309" s="56" t="str">
        <f aca="false">IF($AG309="","",IF($AG309&lt;=1200,IF(INDEX(对接源_01水果!$J$4:$J$1203,$AG309)=0,"",INDEX(对接源_01水果!$J$4:$J$1203,$AG309)),IF(INDEX(对接源_02物料!$J$4:$J$1203,$AG309-1200)=0,"",INDEX(对接源_02物料!$J$4:$J$1203,$AG309-1200))))</f>
        <v/>
      </c>
      <c r="H309" s="56" t="str">
        <f aca="false">IF($AG309="","",IF($AG309&lt;=1200,IF(INDEX(对接源_01水果!$K$4:$K$1203,$AG309)=0,"",INDEX(对接源_01水果!$K$4:$K$1203,$AG309)),IF(INDEX(对接源_02物料!$K$4:$K$1203,$AG309-1200)=0,"",INDEX(对接源_02物料!$K$4:$K$1203,$AG309-1200))))</f>
        <v/>
      </c>
      <c r="I309" s="46" t="str">
        <f aca="false">IF($AG309="","",IF($AG309&lt;=1200,IF(INDEX(对接源_01水果!$L$4:$L$1203,$AG309)=0,"",INDEX(对接源_01水果!$L$4:$L$1203,$AG309)),IF(INDEX(对接源_02物料!$L$4:$L$1203,$AG309-1200)=0,"",INDEX(对接源_02物料!$L$4:$L$1203,$AG309-1200))))</f>
        <v/>
      </c>
      <c r="J309" s="47" t="str">
        <f aca="false">IF($AG309="","",IF($AG309&lt;=1200,IF(INDEX(对接源_01水果!$M$4:$M$1203,$AG309)=0,"",INDEX(对接源_01水果!$M$4:$M$1203,$AG309)),IF(INDEX(对接源_02物料!$M$4:$M$1203,$AG309-1200)=0,"",INDEX(对接源_02物料!$M$4:$M$1203,$AG309-1200))))</f>
        <v/>
      </c>
      <c r="AG309" s="44" t="str">
        <f aca="false">IFERROR(MATCH(98,_自动清单!$AE$4:$AE$2403,0),"")</f>
        <v/>
      </c>
    </row>
    <row r="310" customFormat="false" ht="18" hidden="false" customHeight="true" outlineLevel="0" collapsed="false">
      <c r="A310" s="40" t="str">
        <f aca="false">IF($AG310="","",IF($AG310&lt;=1200,IF(INDEX(对接源_01水果!$B$4:$B$1203,$AG310)=0,"",INDEX(对接源_01水果!$B$4:$B$1203,$AG310)),IF(INDEX(对接源_02物料!$B$4:$B$1203,$AG310-1200)=0,"",INDEX(对接源_02物料!$B$4:$B$1203,$AG310-1200))))</f>
        <v/>
      </c>
      <c r="B310" s="41" t="str">
        <f aca="false">IF($AG310="","",IF($AG310&lt;=1200,IF(INDEX(对接源_01水果!$E$4:$E$1203,$AG310)=0,"",INDEX(对接源_01水果!$E$4:$E$1203,$AG310)),IF(INDEX(对接源_02物料!$E$4:$E$1203,$AG310-1200)=0,"",INDEX(对接源_02物料!$E$4:$E$1203,$AG310-1200))))</f>
        <v/>
      </c>
      <c r="C310" s="41" t="str">
        <f aca="false">IF($AG310="","",IF($AG310&lt;=1200,IF(INDEX(对接源_01水果!$F$4:$F$1203,$AG310)=0,"",INDEX(对接源_01水果!$F$4:$F$1203,$AG310)),IF(INDEX(对接源_02物料!$F$4:$F$1203,$AG310-1200)=0,"",INDEX(对接源_02物料!$F$4:$F$1203,$AG310-1200))))</f>
        <v/>
      </c>
      <c r="D310" s="41" t="str">
        <f aca="false">IF($AG310="","",IF($AG310&lt;=1200,IF(INDEX(对接源_01水果!$G$4:$G$1203,$AG310)=0,"",INDEX(对接源_01水果!$G$4:$G$1203,$AG310)),IF(INDEX(对接源_02物料!$G$4:$G$1203,$AG310-1200)=0,"",INDEX(对接源_02物料!$G$4:$G$1203,$AG310-1200))))</f>
        <v/>
      </c>
      <c r="E310" s="43" t="str">
        <f aca="false">IF($AG310="","",IF($AG310&lt;=1200,IF(INDEX(对接源_01水果!$H$4:$H$1203,$AG310)=0,"",INDEX(对接源_01水果!$H$4:$H$1203,$AG310)),IF(INDEX(对接源_02物料!$H$4:$H$1203,$AG310-1200)=0,"",INDEX(对接源_02物料!$H$4:$H$1203,$AG310-1200))))</f>
        <v/>
      </c>
      <c r="F310" s="41" t="str">
        <f aca="false">IF($AG310="","",IF($AG310&lt;=1200,IF(INDEX(对接源_01水果!$I$4:$I$1203,$AG310)=0,"",INDEX(对接源_01水果!$I$4:$I$1203,$AG310)),IF(INDEX(对接源_02物料!$I$4:$I$1203,$AG310-1200)=0,"",INDEX(对接源_02物料!$I$4:$I$1203,$AG310-1200))))</f>
        <v/>
      </c>
      <c r="G310" s="55" t="str">
        <f aca="false">IF($AG310="","",IF($AG310&lt;=1200,IF(INDEX(对接源_01水果!$J$4:$J$1203,$AG310)=0,"",INDEX(对接源_01水果!$J$4:$J$1203,$AG310)),IF(INDEX(对接源_02物料!$J$4:$J$1203,$AG310-1200)=0,"",INDEX(对接源_02物料!$J$4:$J$1203,$AG310-1200))))</f>
        <v/>
      </c>
      <c r="H310" s="55" t="str">
        <f aca="false">IF($AG310="","",IF($AG310&lt;=1200,IF(INDEX(对接源_01水果!$K$4:$K$1203,$AG310)=0,"",INDEX(对接源_01水果!$K$4:$K$1203,$AG310)),IF(INDEX(对接源_02物料!$K$4:$K$1203,$AG310-1200)=0,"",INDEX(对接源_02物料!$K$4:$K$1203,$AG310-1200))))</f>
        <v/>
      </c>
      <c r="I310" s="41" t="str">
        <f aca="false">IF($AG310="","",IF($AG310&lt;=1200,IF(INDEX(对接源_01水果!$L$4:$L$1203,$AG310)=0,"",INDEX(对接源_01水果!$L$4:$L$1203,$AG310)),IF(INDEX(对接源_02物料!$L$4:$L$1203,$AG310-1200)=0,"",INDEX(对接源_02物料!$L$4:$L$1203,$AG310-1200))))</f>
        <v/>
      </c>
      <c r="J310" s="42" t="str">
        <f aca="false">IF($AG310="","",IF($AG310&lt;=1200,IF(INDEX(对接源_01水果!$M$4:$M$1203,$AG310)=0,"",INDEX(对接源_01水果!$M$4:$M$1203,$AG310)),IF(INDEX(对接源_02物料!$M$4:$M$1203,$AG310-1200)=0,"",INDEX(对接源_02物料!$M$4:$M$1203,$AG310-1200))))</f>
        <v/>
      </c>
      <c r="AG310" s="44" t="str">
        <f aca="false">IFERROR(MATCH(99,_自动清单!$AE$4:$AE$2403,0),"")</f>
        <v/>
      </c>
    </row>
    <row r="311" customFormat="false" ht="18" hidden="false" customHeight="true" outlineLevel="0" collapsed="false">
      <c r="A311" s="45" t="str">
        <f aca="false">IF($AG311="","",IF($AG311&lt;=1200,IF(INDEX(对接源_01水果!$B$4:$B$1203,$AG311)=0,"",INDEX(对接源_01水果!$B$4:$B$1203,$AG311)),IF(INDEX(对接源_02物料!$B$4:$B$1203,$AG311-1200)=0,"",INDEX(对接源_02物料!$B$4:$B$1203,$AG311-1200))))</f>
        <v/>
      </c>
      <c r="B311" s="46" t="str">
        <f aca="false">IF($AG311="","",IF($AG311&lt;=1200,IF(INDEX(对接源_01水果!$E$4:$E$1203,$AG311)=0,"",INDEX(对接源_01水果!$E$4:$E$1203,$AG311)),IF(INDEX(对接源_02物料!$E$4:$E$1203,$AG311-1200)=0,"",INDEX(对接源_02物料!$E$4:$E$1203,$AG311-1200))))</f>
        <v/>
      </c>
      <c r="C311" s="46" t="str">
        <f aca="false">IF($AG311="","",IF($AG311&lt;=1200,IF(INDEX(对接源_01水果!$F$4:$F$1203,$AG311)=0,"",INDEX(对接源_01水果!$F$4:$F$1203,$AG311)),IF(INDEX(对接源_02物料!$F$4:$F$1203,$AG311-1200)=0,"",INDEX(对接源_02物料!$F$4:$F$1203,$AG311-1200))))</f>
        <v/>
      </c>
      <c r="D311" s="46" t="str">
        <f aca="false">IF($AG311="","",IF($AG311&lt;=1200,IF(INDEX(对接源_01水果!$G$4:$G$1203,$AG311)=0,"",INDEX(对接源_01水果!$G$4:$G$1203,$AG311)),IF(INDEX(对接源_02物料!$G$4:$G$1203,$AG311-1200)=0,"",INDEX(对接源_02物料!$G$4:$G$1203,$AG311-1200))))</f>
        <v/>
      </c>
      <c r="E311" s="48" t="str">
        <f aca="false">IF($AG311="","",IF($AG311&lt;=1200,IF(INDEX(对接源_01水果!$H$4:$H$1203,$AG311)=0,"",INDEX(对接源_01水果!$H$4:$H$1203,$AG311)),IF(INDEX(对接源_02物料!$H$4:$H$1203,$AG311-1200)=0,"",INDEX(对接源_02物料!$H$4:$H$1203,$AG311-1200))))</f>
        <v/>
      </c>
      <c r="F311" s="46" t="str">
        <f aca="false">IF($AG311="","",IF($AG311&lt;=1200,IF(INDEX(对接源_01水果!$I$4:$I$1203,$AG311)=0,"",INDEX(对接源_01水果!$I$4:$I$1203,$AG311)),IF(INDEX(对接源_02物料!$I$4:$I$1203,$AG311-1200)=0,"",INDEX(对接源_02物料!$I$4:$I$1203,$AG311-1200))))</f>
        <v/>
      </c>
      <c r="G311" s="56" t="str">
        <f aca="false">IF($AG311="","",IF($AG311&lt;=1200,IF(INDEX(对接源_01水果!$J$4:$J$1203,$AG311)=0,"",INDEX(对接源_01水果!$J$4:$J$1203,$AG311)),IF(INDEX(对接源_02物料!$J$4:$J$1203,$AG311-1200)=0,"",INDEX(对接源_02物料!$J$4:$J$1203,$AG311-1200))))</f>
        <v/>
      </c>
      <c r="H311" s="56" t="str">
        <f aca="false">IF($AG311="","",IF($AG311&lt;=1200,IF(INDEX(对接源_01水果!$K$4:$K$1203,$AG311)=0,"",INDEX(对接源_01水果!$K$4:$K$1203,$AG311)),IF(INDEX(对接源_02物料!$K$4:$K$1203,$AG311-1200)=0,"",INDEX(对接源_02物料!$K$4:$K$1203,$AG311-1200))))</f>
        <v/>
      </c>
      <c r="I311" s="46" t="str">
        <f aca="false">IF($AG311="","",IF($AG311&lt;=1200,IF(INDEX(对接源_01水果!$L$4:$L$1203,$AG311)=0,"",INDEX(对接源_01水果!$L$4:$L$1203,$AG311)),IF(INDEX(对接源_02物料!$L$4:$L$1203,$AG311-1200)=0,"",INDEX(对接源_02物料!$L$4:$L$1203,$AG311-1200))))</f>
        <v/>
      </c>
      <c r="J311" s="47" t="str">
        <f aca="false">IF($AG311="","",IF($AG311&lt;=1200,IF(INDEX(对接源_01水果!$M$4:$M$1203,$AG311)=0,"",INDEX(对接源_01水果!$M$4:$M$1203,$AG311)),IF(INDEX(对接源_02物料!$M$4:$M$1203,$AG311-1200)=0,"",INDEX(对接源_02物料!$M$4:$M$1203,$AG311-1200))))</f>
        <v/>
      </c>
      <c r="AG311" s="44" t="str">
        <f aca="false">IFERROR(MATCH(100,_自动清单!$AE$4:$AE$2403,0),"")</f>
        <v/>
      </c>
    </row>
  </sheetData>
  <mergeCells count="18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  <mergeCell ref="L8:M8"/>
    <mergeCell ref="L10:N10"/>
    <mergeCell ref="L32:N32"/>
    <mergeCell ref="A127:G127"/>
    <mergeCell ref="H127:J127"/>
    <mergeCell ref="A210:G210"/>
    <mergeCell ref="H210:J210"/>
  </mergeCells>
  <dataValidations count="1">
    <dataValidation allowBlank="true" errorStyle="stop" operator="between" showDropDown="false" showErrorMessage="false" showInputMessage="false" sqref="B2" type="list">
      <formula1>_自动清单!$E$4:$E$203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5C70"/>
    <pageSetUpPr fitToPage="false"/>
  </sheetPr>
  <dimension ref="A1:AE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N21" activeCellId="0" sqref="N21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7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0" min="10" style="1" width="18"/>
    <col collapsed="false" customWidth="true" hidden="false" outlineLevel="0" max="11" min="11" style="1" width="2"/>
    <col collapsed="false" customWidth="true" hidden="false" outlineLevel="0" max="12" min="12" style="1" width="16"/>
    <col collapsed="false" customWidth="true" hidden="false" outlineLevel="0" max="13" min="13" style="1" width="12"/>
    <col collapsed="false" customWidth="true" hidden="false" outlineLevel="0" max="14" min="14" style="1" width="13"/>
    <col collapsed="false" customWidth="true" hidden="false" outlineLevel="0" max="15" min="15" style="1" width="2"/>
    <col collapsed="false" customWidth="true" hidden="false" outlineLevel="0" max="16" min="16" style="1" width="12"/>
  </cols>
  <sheetData>
    <row r="1" customFormat="false" ht="49.5" hidden="false" customHeight="true" outlineLevel="0" collapsed="false">
      <c r="A1" s="24" t="s">
        <v>70</v>
      </c>
      <c r="B1" s="24"/>
      <c r="C1" s="24"/>
      <c r="D1" s="24"/>
      <c r="E1" s="24"/>
      <c r="F1" s="24"/>
      <c r="G1" s="24"/>
      <c r="H1" s="24"/>
      <c r="I1" s="25" t="s">
        <v>71</v>
      </c>
      <c r="J1" s="25"/>
      <c r="P1" s="26" t="n">
        <f aca="false">IF($F$2="",DATE(1900,1,1),$F$2)</f>
        <v>2</v>
      </c>
    </row>
    <row r="2" customFormat="false" ht="25.5" hidden="false" customHeight="true" outlineLevel="0" collapsed="false">
      <c r="A2" s="27" t="s">
        <v>72</v>
      </c>
      <c r="B2" s="28" t="s">
        <v>131</v>
      </c>
      <c r="C2" s="28"/>
      <c r="E2" s="29" t="s">
        <v>74</v>
      </c>
      <c r="F2" s="30"/>
      <c r="G2" s="29" t="s">
        <v>75</v>
      </c>
      <c r="H2" s="30"/>
      <c r="L2" s="31" t="s">
        <v>132</v>
      </c>
      <c r="M2" s="31"/>
      <c r="N2" s="31"/>
      <c r="P2" s="26" t="n">
        <f aca="false">IF($H$2="",DATE(2999,12,31),$H$2)</f>
        <v>401768</v>
      </c>
    </row>
    <row r="3" customFormat="false" ht="19.5" hidden="false" customHeight="true" outlineLevel="0" collapsed="false">
      <c r="A3" s="32" t="s">
        <v>133</v>
      </c>
      <c r="B3" s="32"/>
      <c r="C3" s="32"/>
      <c r="D3" s="32"/>
      <c r="E3" s="32"/>
      <c r="F3" s="32"/>
      <c r="G3" s="32"/>
      <c r="H3" s="32"/>
      <c r="I3" s="32"/>
      <c r="J3" s="32"/>
      <c r="L3" s="33" t="s">
        <v>134</v>
      </c>
      <c r="M3" s="33"/>
      <c r="N3" s="34" t="n">
        <f aca="false">ROUND(SUMIFS(对接源_01水果!$H$4:$H$1203,对接源_01水果!$Y$4:$Y$1203,$B$2,对接源_01水果!$B$4:$B$1203,"&gt;="&amp;$P$1,对接源_01水果!$B$4:$B$1203,"&lt;="&amp;$P$2),0)</f>
        <v>0</v>
      </c>
    </row>
    <row r="4" customFormat="false" ht="24" hidden="false" customHeight="true" outlineLevel="0" collapsed="false">
      <c r="A4" s="35" t="s">
        <v>135</v>
      </c>
      <c r="B4" s="35"/>
      <c r="C4" s="35"/>
      <c r="D4" s="35"/>
      <c r="E4" s="35"/>
      <c r="F4" s="35"/>
      <c r="G4" s="35"/>
      <c r="H4" s="70" t="n">
        <f aca="false">ROUND(SUMIFS(对接源_01水果!$AA$4:$AA$1203,对接源_01水果!$Y$4:$Y$1203,$B$2,对接源_01水果!$B$4:$B$1203,"&gt;="&amp;$P$1,对接源_01水果!$B$4:$B$1203,"&lt;="&amp;$P$2),2)</f>
        <v>0</v>
      </c>
      <c r="I4" s="70"/>
      <c r="J4" s="70"/>
      <c r="L4" s="33" t="s">
        <v>136</v>
      </c>
      <c r="M4" s="33"/>
      <c r="N4" s="54" t="n">
        <f aca="false">ROUND(SUMIFS(对接源_01水果!$AA$4:$AA$1203,对接源_01水果!$Y$4:$Y$1203,$B$2,对接源_01水果!$B$4:$B$1203,"&gt;="&amp;$P$1,对接源_01水果!$B$4:$B$1203,"&lt;="&amp;$P$2),2)</f>
        <v>0</v>
      </c>
    </row>
    <row r="5" customFormat="false" ht="30" hidden="false" customHeight="true" outlineLevel="0" collapsed="false">
      <c r="A5" s="39" t="s">
        <v>81</v>
      </c>
      <c r="B5" s="39" t="s">
        <v>82</v>
      </c>
      <c r="C5" s="39" t="s">
        <v>111</v>
      </c>
      <c r="D5" s="39" t="s">
        <v>112</v>
      </c>
      <c r="E5" s="39" t="s">
        <v>84</v>
      </c>
      <c r="F5" s="39" t="s">
        <v>113</v>
      </c>
      <c r="G5" s="39" t="s">
        <v>137</v>
      </c>
      <c r="H5" s="39" t="s">
        <v>138</v>
      </c>
      <c r="I5" s="39" t="s">
        <v>139</v>
      </c>
      <c r="J5" s="39" t="s">
        <v>87</v>
      </c>
      <c r="L5" s="33" t="s">
        <v>140</v>
      </c>
      <c r="M5" s="33"/>
      <c r="N5" s="54" t="n">
        <f aca="false">ROUND(SUMIFS(对接源_01水果!$AA$4:$AA$1203,对接源_01水果!$Y$4:$Y$1203,$B$2,对接源_01水果!$B$4:$B$1203,"&gt;="&amp;$P$1,对接源_01水果!$B$4:$B$1203,"&lt;="&amp;$P$2,对接源_01水果!$AB$4:$AB$1203,"已付清"),2)</f>
        <v>0</v>
      </c>
    </row>
    <row r="6" customFormat="false" ht="18" hidden="false" customHeight="true" outlineLevel="0" collapsed="false">
      <c r="A6" s="40" t="n">
        <f aca="false">IF($AE6="","",IF($AE6&lt;=1200,IF(INDEX(对接源_01水果!$B$4:$B$1203,$AE6)=0,"",INDEX(对接源_01水果!$B$4:$B$1203,$AE6)),IF(INDEX(对接源_02物料!$B$4:$B$1203,$AE6-1200)=0,"",INDEX(对接源_02物料!$B$4:$B$1203,$AE6-1200))))</f>
        <v>46279</v>
      </c>
      <c r="B6" s="41" t="str">
        <f aca="false">IF($AE6="","",IF($AE6&lt;=1200,IF(INDEX(对接源_01水果!$E$4:$E$1203,$AE6)=0,"",INDEX(对接源_01水果!$E$4:$E$1203,$AE6)),IF(INDEX(对接源_02物料!$E$4:$E$1203,$AE6-1200)=0,"",INDEX(对接源_02物料!$E$4:$E$1203,$AE6-1200))))</f>
        <v>NO:0001139</v>
      </c>
      <c r="C6" s="41" t="str">
        <f aca="false">IF($AE6="","",IF($AE6&lt;=1200,IF(INDEX(对接源_01水果!$F$4:$F$1203,$AE6)=0,"",INDEX(对接源_01水果!$F$4:$F$1203,$AE6)),IF(INDEX(对接源_02物料!$F$4:$F$1203,$AE6-1200)=0,"",INDEX(对接源_02物料!$F$4:$F$1203,$AE6-1200))))</f>
        <v>香梨</v>
      </c>
      <c r="D6" s="41" t="str">
        <f aca="false">IF($AE6="","",IF($AE6&lt;=1200,IF(INDEX(对接源_01水果!$G$4:$G$1203,$AE6)=0,"",INDEX(对接源_01水果!$G$4:$G$1203,$AE6)),IF(INDEX(对接源_02物料!$G$4:$G$1203,$AE6-1200)=0,"",INDEX(对接源_02物料!$G$4:$G$1203,$AE6-1200))))</f>
        <v>香梨一级</v>
      </c>
      <c r="E6" s="43" t="n">
        <f aca="false">IF($AE6="","",IF($AE6&lt;=1200,IF(INDEX(对接源_01水果!$H$4:$H$1203,$AE6)=0,"",INDEX(对接源_01水果!$H$4:$H$1203,$AE6)),IF(INDEX(对接源_02物料!$H$4:$H$1203,$AE6-1200)=0,"",INDEX(对接源_02物料!$H$4:$H$1203,$AE6-1200))))</f>
        <v>1</v>
      </c>
      <c r="F6" s="41" t="str">
        <f aca="false">IF($AE6="","",IF($AE6&lt;=1200,IF(INDEX(对接源_01水果!$I$4:$I$1203,$AE6)=0,"",INDEX(对接源_01水果!$I$4:$I$1203,$AE6)),IF(INDEX(对接源_02物料!$I$4:$I$1203,$AE6-1200)=0,"",INDEX(对接源_02物料!$I$4:$I$1203,$AE6-1200))))</f>
        <v>筐</v>
      </c>
      <c r="G6" s="55" t="str">
        <f aca="false">IF($AE6="","",IF($AE6&lt;=1200,IF(INDEX(对接源_01水果!$Z$4:$Z$1203,$AE6)=0,"",INDEX(对接源_01水果!$Z$4:$Z$1203,$AE6)),IF(INDEX(对接源_02物料!$Z$4:$Z$1203,$AE6-1200)=0,"",INDEX(对接源_02物料!$Z$4:$Z$1203,$AE6-1200))))</f>
        <v/>
      </c>
      <c r="H6" s="55" t="str">
        <f aca="false">IF($AE6="","",IF($AE6&lt;=1200,IF(INDEX(对接源_01水果!$AA$4:$AA$1203,$AE6)=0,"",INDEX(对接源_01水果!$AA$4:$AA$1203,$AE6)),IF(INDEX(对接源_02物料!$AA$4:$AA$1203,$AE6-1200)=0,"",INDEX(对接源_02物料!$AA$4:$AA$1203,$AE6-1200))))</f>
        <v/>
      </c>
      <c r="I6" s="41" t="str">
        <f aca="false">IF($AE6="","",IF($AE6&lt;=1200,IF(INDEX(对接源_01水果!$AB$4:$AB$1203,$AE6)=0,"",INDEX(对接源_01水果!$AB$4:$AB$1203,$AE6)),IF(INDEX(对接源_02物料!$AB$4:$AB$1203,$AE6-1200)=0,"",INDEX(对接源_02物料!$AB$4:$AB$1203,$AE6-1200))))</f>
        <v/>
      </c>
      <c r="J6" s="42" t="str">
        <f aca="false"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37" t="s">
        <v>141</v>
      </c>
      <c r="M6" s="37"/>
      <c r="N6" s="71" t="n">
        <f aca="false">ROUND((SUMIFS(对接源_01水果!$AA$4:$AA$1203,对接源_01水果!$Y$4:$Y$1203,$B$2,对接源_01水果!$B$4:$B$1203,"&gt;="&amp;$P$1,对接源_01水果!$B$4:$B$1203,"&lt;="&amp;$P$2))-(SUMIFS(对接源_01水果!$AA$4:$AA$1203,对接源_01水果!$Y$4:$Y$1203,$B$2,对接源_01水果!$B$4:$B$1203,"&gt;="&amp;$P$1,对接源_01水果!$B$4:$B$1203,"&lt;="&amp;$P$2,对接源_01水果!$AB$4:$AB$1203,"已付清")),2)</f>
        <v>0</v>
      </c>
      <c r="AE6" s="44" t="n">
        <f aca="false">IFERROR(MATCH(1,_自动清单!$AK$4:$AK$2403,0),"")</f>
        <v>269</v>
      </c>
    </row>
    <row r="7" customFormat="false" ht="18" hidden="false" customHeight="true" outlineLevel="0" collapsed="false">
      <c r="A7" s="45" t="n">
        <f aca="false">IF($AE7="","",IF($AE7&lt;=1200,IF(INDEX(对接源_01水果!$B$4:$B$1203,$AE7)=0,"",INDEX(对接源_01水果!$B$4:$B$1203,$AE7)),IF(INDEX(对接源_02物料!$B$4:$B$1203,$AE7-1200)=0,"",INDEX(对接源_02物料!$B$4:$B$1203,$AE7-1200))))</f>
        <v>46259</v>
      </c>
      <c r="B7" s="46" t="str">
        <f aca="false">IF($AE7="","",IF($AE7&lt;=1200,IF(INDEX(对接源_01水果!$E$4:$E$1203,$AE7)=0,"",INDEX(对接源_01水果!$E$4:$E$1203,$AE7)),IF(INDEX(对接源_02物料!$E$4:$E$1203,$AE7-1200)=0,"",INDEX(对接源_02物料!$E$4:$E$1203,$AE7-1200))))</f>
        <v>NO:0001035</v>
      </c>
      <c r="C7" s="46" t="str">
        <f aca="false">IF($AE7="","",IF($AE7&lt;=1200,IF(INDEX(对接源_01水果!$F$4:$F$1203,$AE7)=0,"",INDEX(对接源_01水果!$F$4:$F$1203,$AE7)),IF(INDEX(对接源_02物料!$F$4:$F$1203,$AE7-1200)=0,"",INDEX(对接源_02物料!$F$4:$F$1203,$AE7-1200))))</f>
        <v>苹果</v>
      </c>
      <c r="D7" s="46" t="str">
        <f aca="false">IF($AE7="","",IF($AE7&lt;=1200,IF(INDEX(对接源_01水果!$G$4:$G$1203,$AE7)=0,"",INDEX(对接源_01水果!$G$4:$G$1203,$AE7)),IF(INDEX(对接源_02物料!$G$4:$G$1203,$AE7-1200)=0,"",INDEX(对接源_02物料!$G$4:$G$1203,$AE7-1200))))</f>
        <v>华硕一级</v>
      </c>
      <c r="E7" s="48" t="n">
        <f aca="false">IF($AE7="","",IF($AE7&lt;=1200,IF(INDEX(对接源_01水果!$H$4:$H$1203,$AE7)=0,"",INDEX(对接源_01水果!$H$4:$H$1203,$AE7)),IF(INDEX(对接源_02物料!$H$4:$H$1203,$AE7-1200)=0,"",INDEX(对接源_02物料!$H$4:$H$1203,$AE7-1200))))</f>
        <v>74</v>
      </c>
      <c r="F7" s="46" t="str">
        <f aca="false">IF($AE7="","",IF($AE7&lt;=1200,IF(INDEX(对接源_01水果!$I$4:$I$1203,$AE7)=0,"",INDEX(对接源_01水果!$I$4:$I$1203,$AE7)),IF(INDEX(对接源_02物料!$I$4:$I$1203,$AE7-1200)=0,"",INDEX(对接源_02物料!$I$4:$I$1203,$AE7-1200))))</f>
        <v>箱</v>
      </c>
      <c r="G7" s="56" t="str">
        <f aca="false">IF($AE7="","",IF($AE7&lt;=1200,IF(INDEX(对接源_01水果!$Z$4:$Z$1203,$AE7)=0,"",INDEX(对接源_01水果!$Z$4:$Z$1203,$AE7)),IF(INDEX(对接源_02物料!$Z$4:$Z$1203,$AE7-1200)=0,"",INDEX(对接源_02物料!$Z$4:$Z$1203,$AE7-1200))))</f>
        <v/>
      </c>
      <c r="H7" s="56" t="str">
        <f aca="false">IF($AE7="","",IF($AE7&lt;=1200,IF(INDEX(对接源_01水果!$AA$4:$AA$1203,$AE7)=0,"",INDEX(对接源_01水果!$AA$4:$AA$1203,$AE7)),IF(INDEX(对接源_02物料!$AA$4:$AA$1203,$AE7-1200)=0,"",INDEX(对接源_02物料!$AA$4:$AA$1203,$AE7-1200))))</f>
        <v/>
      </c>
      <c r="I7" s="46" t="str">
        <f aca="false">IF($AE7="","",IF($AE7&lt;=1200,IF(INDEX(对接源_01水果!$AB$4:$AB$1203,$AE7)=0,"",INDEX(对接源_01水果!$AB$4:$AB$1203,$AE7)),IF(INDEX(对接源_02物料!$AB$4:$AB$1203,$AE7-1200)=0,"",INDEX(对接源_02物料!$AB$4:$AB$1203,$AE7-1200))))</f>
        <v/>
      </c>
      <c r="J7" s="47" t="str">
        <f aca="false"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44" t="n">
        <f aca="false">IFERROR(MATCH(2,_自动清单!$AK$4:$AK$2403,0),"")</f>
        <v>270</v>
      </c>
    </row>
    <row r="8" customFormat="false" ht="18" hidden="false" customHeight="true" outlineLevel="0" collapsed="false">
      <c r="A8" s="40" t="n">
        <f aca="false">IF($AE8="","",IF($AE8&lt;=1200,IF(INDEX(对接源_01水果!$B$4:$B$1203,$AE8)=0,"",INDEX(对接源_01水果!$B$4:$B$1203,$AE8)),IF(INDEX(对接源_02物料!$B$4:$B$1203,$AE8-1200)=0,"",INDEX(对接源_02物料!$B$4:$B$1203,$AE8-1200))))</f>
        <v>46259</v>
      </c>
      <c r="B8" s="41" t="str">
        <f aca="false">IF($AE8="","",IF($AE8&lt;=1200,IF(INDEX(对接源_01水果!$E$4:$E$1203,$AE8)=0,"",INDEX(对接源_01水果!$E$4:$E$1203,$AE8)),IF(INDEX(对接源_02物料!$E$4:$E$1203,$AE8-1200)=0,"",INDEX(对接源_02物料!$E$4:$E$1203,$AE8-1200))))</f>
        <v>NO:0001035</v>
      </c>
      <c r="C8" s="41" t="str">
        <f aca="false">IF($AE8="","",IF($AE8&lt;=1200,IF(INDEX(对接源_01水果!$F$4:$F$1203,$AE8)=0,"",INDEX(对接源_01水果!$F$4:$F$1203,$AE8)),IF(INDEX(对接源_02物料!$F$4:$F$1203,$AE8-1200)=0,"",INDEX(对接源_02物料!$F$4:$F$1203,$AE8-1200))))</f>
        <v>苹果</v>
      </c>
      <c r="D8" s="41" t="str">
        <f aca="false">IF($AE8="","",IF($AE8&lt;=1200,IF(INDEX(对接源_01水果!$G$4:$G$1203,$AE8)=0,"",INDEX(对接源_01水果!$G$4:$G$1203,$AE8)),IF(INDEX(对接源_02物料!$G$4:$G$1203,$AE8-1200)=0,"",INDEX(对接源_02物料!$G$4:$G$1203,$AE8-1200))))</f>
        <v>华硕一级</v>
      </c>
      <c r="E8" s="43" t="n">
        <f aca="false">IF($AE8="","",IF($AE8&lt;=1200,IF(INDEX(对接源_01水果!$H$4:$H$1203,$AE8)=0,"",INDEX(对接源_01水果!$H$4:$H$1203,$AE8)),IF(INDEX(对接源_02物料!$H$4:$H$1203,$AE8-1200)=0,"",INDEX(对接源_02物料!$H$4:$H$1203,$AE8-1200))))</f>
        <v>13</v>
      </c>
      <c r="F8" s="41" t="str">
        <f aca="false">IF($AE8="","",IF($AE8&lt;=1200,IF(INDEX(对接源_01水果!$I$4:$I$1203,$AE8)=0,"",INDEX(对接源_01水果!$I$4:$I$1203,$AE8)),IF(INDEX(对接源_02物料!$I$4:$I$1203,$AE8-1200)=0,"",INDEX(对接源_02物料!$I$4:$I$1203,$AE8-1200))))</f>
        <v>箱</v>
      </c>
      <c r="G8" s="55" t="str">
        <f aca="false">IF($AE8="","",IF($AE8&lt;=1200,IF(INDEX(对接源_01水果!$Z$4:$Z$1203,$AE8)=0,"",INDEX(对接源_01水果!$Z$4:$Z$1203,$AE8)),IF(INDEX(对接源_02物料!$Z$4:$Z$1203,$AE8-1200)=0,"",INDEX(对接源_02物料!$Z$4:$Z$1203,$AE8-1200))))</f>
        <v/>
      </c>
      <c r="H8" s="55" t="str">
        <f aca="false">IF($AE8="","",IF($AE8&lt;=1200,IF(INDEX(对接源_01水果!$AA$4:$AA$1203,$AE8)=0,"",INDEX(对接源_01水果!$AA$4:$AA$1203,$AE8)),IF(INDEX(对接源_02物料!$AA$4:$AA$1203,$AE8-1200)=0,"",INDEX(对接源_02物料!$AA$4:$AA$1203,$AE8-1200))))</f>
        <v/>
      </c>
      <c r="I8" s="41" t="str">
        <f aca="false">IF($AE8="","",IF($AE8&lt;=1200,IF(INDEX(对接源_01水果!$AB$4:$AB$1203,$AE8)=0,"",INDEX(对接源_01水果!$AB$4:$AB$1203,$AE8)),IF(INDEX(对接源_02物料!$AB$4:$AB$1203,$AE8-1200)=0,"",INDEX(对接源_02物料!$AB$4:$AB$1203,$AE8-1200))))</f>
        <v/>
      </c>
      <c r="J8" s="42" t="str">
        <f aca="false"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44" t="n">
        <f aca="false">IFERROR(MATCH(3,_自动清单!$AK$4:$AK$2403,0),"")</f>
        <v>271</v>
      </c>
    </row>
    <row r="9" customFormat="false" ht="18" hidden="false" customHeight="true" outlineLevel="0" collapsed="false">
      <c r="A9" s="45" t="n">
        <f aca="false">IF($AE9="","",IF($AE9&lt;=1200,IF(INDEX(对接源_01水果!$B$4:$B$1203,$AE9)=0,"",INDEX(对接源_01水果!$B$4:$B$1203,$AE9)),IF(INDEX(对接源_02物料!$B$4:$B$1203,$AE9-1200)=0,"",INDEX(对接源_02物料!$B$4:$B$1203,$AE9-1200))))</f>
        <v>46261</v>
      </c>
      <c r="B9" s="46" t="str">
        <f aca="false">IF($AE9="","",IF($AE9&lt;=1200,IF(INDEX(对接源_01水果!$E$4:$E$1203,$AE9)=0,"",INDEX(对接源_01水果!$E$4:$E$1203,$AE9)),IF(INDEX(对接源_02物料!$E$4:$E$1203,$AE9-1200)=0,"",INDEX(对接源_02物料!$E$4:$E$1203,$AE9-1200))))</f>
        <v>NO:0001040</v>
      </c>
      <c r="C9" s="46" t="str">
        <f aca="false">IF($AE9="","",IF($AE9&lt;=1200,IF(INDEX(对接源_01水果!$F$4:$F$1203,$AE9)=0,"",INDEX(对接源_01水果!$F$4:$F$1203,$AE9)),IF(INDEX(对接源_02物料!$F$4:$F$1203,$AE9-1200)=0,"",INDEX(对接源_02物料!$F$4:$F$1203,$AE9-1200))))</f>
        <v>苹果</v>
      </c>
      <c r="D9" s="46" t="str">
        <f aca="false">IF($AE9="","",IF($AE9&lt;=1200,IF(INDEX(对接源_01水果!$G$4:$G$1203,$AE9)=0,"",INDEX(对接源_01水果!$G$4:$G$1203,$AE9)),IF(INDEX(对接源_02物料!$G$4:$G$1203,$AE9-1200)=0,"",INDEX(对接源_02物料!$G$4:$G$1203,$AE9-1200))))</f>
        <v>华硕一级</v>
      </c>
      <c r="E9" s="48" t="n">
        <f aca="false">IF($AE9="","",IF($AE9&lt;=1200,IF(INDEX(对接源_01水果!$H$4:$H$1203,$AE9)=0,"",INDEX(对接源_01水果!$H$4:$H$1203,$AE9)),IF(INDEX(对接源_02物料!$H$4:$H$1203,$AE9-1200)=0,"",INDEX(对接源_02物料!$H$4:$H$1203,$AE9-1200))))</f>
        <v>63</v>
      </c>
      <c r="F9" s="46" t="str">
        <f aca="false">IF($AE9="","",IF($AE9&lt;=1200,IF(INDEX(对接源_01水果!$I$4:$I$1203,$AE9)=0,"",INDEX(对接源_01水果!$I$4:$I$1203,$AE9)),IF(INDEX(对接源_02物料!$I$4:$I$1203,$AE9-1200)=0,"",INDEX(对接源_02物料!$I$4:$I$1203,$AE9-1200))))</f>
        <v>箱</v>
      </c>
      <c r="G9" s="56" t="str">
        <f aca="false">IF($AE9="","",IF($AE9&lt;=1200,IF(INDEX(对接源_01水果!$Z$4:$Z$1203,$AE9)=0,"",INDEX(对接源_01水果!$Z$4:$Z$1203,$AE9)),IF(INDEX(对接源_02物料!$Z$4:$Z$1203,$AE9-1200)=0,"",INDEX(对接源_02物料!$Z$4:$Z$1203,$AE9-1200))))</f>
        <v/>
      </c>
      <c r="H9" s="56" t="str">
        <f aca="false">IF($AE9="","",IF($AE9&lt;=1200,IF(INDEX(对接源_01水果!$AA$4:$AA$1203,$AE9)=0,"",INDEX(对接源_01水果!$AA$4:$AA$1203,$AE9)),IF(INDEX(对接源_02物料!$AA$4:$AA$1203,$AE9-1200)=0,"",INDEX(对接源_02物料!$AA$4:$AA$1203,$AE9-1200))))</f>
        <v/>
      </c>
      <c r="I9" s="46" t="str">
        <f aca="false">IF($AE9="","",IF($AE9&lt;=1200,IF(INDEX(对接源_01水果!$AB$4:$AB$1203,$AE9)=0,"",INDEX(对接源_01水果!$AB$4:$AB$1203,$AE9)),IF(INDEX(对接源_02物料!$AB$4:$AB$1203,$AE9-1200)=0,"",INDEX(对接源_02物料!$AB$4:$AB$1203,$AE9-1200))))</f>
        <v/>
      </c>
      <c r="J9" s="47" t="str">
        <f aca="false"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44" t="n">
        <f aca="false">IFERROR(MATCH(4,_自动清单!$AK$4:$AK$2403,0),"")</f>
        <v>272</v>
      </c>
    </row>
    <row r="10" customFormat="false" ht="18" hidden="false" customHeight="true" outlineLevel="0" collapsed="false">
      <c r="A10" s="40" t="n">
        <f aca="false">IF($AE10="","",IF($AE10&lt;=1200,IF(INDEX(对接源_01水果!$B$4:$B$1203,$AE10)=0,"",INDEX(对接源_01水果!$B$4:$B$1203,$AE10)),IF(INDEX(对接源_02物料!$B$4:$B$1203,$AE10-1200)=0,"",INDEX(对接源_02物料!$B$4:$B$1203,$AE10-1200))))</f>
        <v>46261</v>
      </c>
      <c r="B10" s="41" t="str">
        <f aca="false">IF($AE10="","",IF($AE10&lt;=1200,IF(INDEX(对接源_01水果!$E$4:$E$1203,$AE10)=0,"",INDEX(对接源_01水果!$E$4:$E$1203,$AE10)),IF(INDEX(对接源_02物料!$E$4:$E$1203,$AE10-1200)=0,"",INDEX(对接源_02物料!$E$4:$E$1203,$AE10-1200))))</f>
        <v>NO:0001040</v>
      </c>
      <c r="C10" s="41" t="str">
        <f aca="false">IF($AE10="","",IF($AE10&lt;=1200,IF(INDEX(对接源_01水果!$F$4:$F$1203,$AE10)=0,"",INDEX(对接源_01水果!$F$4:$F$1203,$AE10)),IF(INDEX(对接源_02物料!$F$4:$F$1203,$AE10-1200)=0,"",INDEX(对接源_02物料!$F$4:$F$1203,$AE10-1200))))</f>
        <v>苹果</v>
      </c>
      <c r="D10" s="41" t="str">
        <f aca="false">IF($AE10="","",IF($AE10&lt;=1200,IF(INDEX(对接源_01水果!$G$4:$G$1203,$AE10)=0,"",INDEX(对接源_01水果!$G$4:$G$1203,$AE10)),IF(INDEX(对接源_02物料!$G$4:$G$1203,$AE10-1200)=0,"",INDEX(对接源_02物料!$G$4:$G$1203,$AE10-1200))))</f>
        <v>华硕一级</v>
      </c>
      <c r="E10" s="43" t="n">
        <f aca="false">IF($AE10="","",IF($AE10&lt;=1200,IF(INDEX(对接源_01水果!$H$4:$H$1203,$AE10)=0,"",INDEX(对接源_01水果!$H$4:$H$1203,$AE10)),IF(INDEX(对接源_02物料!$H$4:$H$1203,$AE10-1200)=0,"",INDEX(对接源_02物料!$H$4:$H$1203,$AE10-1200))))</f>
        <v>26</v>
      </c>
      <c r="F10" s="41" t="str">
        <f aca="false">IF($AE10="","",IF($AE10&lt;=1200,IF(INDEX(对接源_01水果!$I$4:$I$1203,$AE10)=0,"",INDEX(对接源_01水果!$I$4:$I$1203,$AE10)),IF(INDEX(对接源_02物料!$I$4:$I$1203,$AE10-1200)=0,"",INDEX(对接源_02物料!$I$4:$I$1203,$AE10-1200))))</f>
        <v>箱</v>
      </c>
      <c r="G10" s="55" t="str">
        <f aca="false">IF($AE10="","",IF($AE10&lt;=1200,IF(INDEX(对接源_01水果!$Z$4:$Z$1203,$AE10)=0,"",INDEX(对接源_01水果!$Z$4:$Z$1203,$AE10)),IF(INDEX(对接源_02物料!$Z$4:$Z$1203,$AE10-1200)=0,"",INDEX(对接源_02物料!$Z$4:$Z$1203,$AE10-1200))))</f>
        <v/>
      </c>
      <c r="H10" s="55" t="str">
        <f aca="false">IF($AE10="","",IF($AE10&lt;=1200,IF(INDEX(对接源_01水果!$AA$4:$AA$1203,$AE10)=0,"",INDEX(对接源_01水果!$AA$4:$AA$1203,$AE10)),IF(INDEX(对接源_02物料!$AA$4:$AA$1203,$AE10-1200)=0,"",INDEX(对接源_02物料!$AA$4:$AA$1203,$AE10-1200))))</f>
        <v/>
      </c>
      <c r="I10" s="41" t="str">
        <f aca="false">IF($AE10="","",IF($AE10&lt;=1200,IF(INDEX(对接源_01水果!$AB$4:$AB$1203,$AE10)=0,"",INDEX(对接源_01水果!$AB$4:$AB$1203,$AE10)),IF(INDEX(对接源_02物料!$AB$4:$AB$1203,$AE10-1200)=0,"",INDEX(对接源_02物料!$AB$4:$AB$1203,$AE10-1200))))</f>
        <v/>
      </c>
      <c r="J10" s="42" t="str">
        <f aca="false"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44" t="n">
        <f aca="false">IFERROR(MATCH(5,_自动清单!$AK$4:$AK$2403,0),"")</f>
        <v>273</v>
      </c>
    </row>
    <row r="11" customFormat="false" ht="18" hidden="false" customHeight="true" outlineLevel="0" collapsed="false">
      <c r="A11" s="45" t="n">
        <f aca="false">IF($AE11="","",IF($AE11&lt;=1200,IF(INDEX(对接源_01水果!$B$4:$B$1203,$AE11)=0,"",INDEX(对接源_01水果!$B$4:$B$1203,$AE11)),IF(INDEX(对接源_02物料!$B$4:$B$1203,$AE11-1200)=0,"",INDEX(对接源_02物料!$B$4:$B$1203,$AE11-1200))))</f>
        <v>46262</v>
      </c>
      <c r="B11" s="46" t="str">
        <f aca="false">IF($AE11="","",IF($AE11&lt;=1200,IF(INDEX(对接源_01水果!$E$4:$E$1203,$AE11)=0,"",INDEX(对接源_01水果!$E$4:$E$1203,$AE11)),IF(INDEX(对接源_02物料!$E$4:$E$1203,$AE11-1200)=0,"",INDEX(对接源_02物料!$E$4:$E$1203,$AE11-1200))))</f>
        <v>NO:0001043</v>
      </c>
      <c r="C11" s="46" t="str">
        <f aca="false">IF($AE11="","",IF($AE11&lt;=1200,IF(INDEX(对接源_01水果!$F$4:$F$1203,$AE11)=0,"",INDEX(对接源_01水果!$F$4:$F$1203,$AE11)),IF(INDEX(对接源_02物料!$F$4:$F$1203,$AE11-1200)=0,"",INDEX(对接源_02物料!$F$4:$F$1203,$AE11-1200))))</f>
        <v>苹果</v>
      </c>
      <c r="D11" s="46" t="str">
        <f aca="false">IF($AE11="","",IF($AE11&lt;=1200,IF(INDEX(对接源_01水果!$G$4:$G$1203,$AE11)=0,"",INDEX(对接源_01水果!$G$4:$G$1203,$AE11)),IF(INDEX(对接源_02物料!$G$4:$G$1203,$AE11-1200)=0,"",INDEX(对接源_02物料!$G$4:$G$1203,$AE11-1200))))</f>
        <v>华硕一级</v>
      </c>
      <c r="E11" s="48" t="n">
        <f aca="false">IF($AE11="","",IF($AE11&lt;=1200,IF(INDEX(对接源_01水果!$H$4:$H$1203,$AE11)=0,"",INDEX(对接源_01水果!$H$4:$H$1203,$AE11)),IF(INDEX(对接源_02物料!$H$4:$H$1203,$AE11-1200)=0,"",INDEX(对接源_02物料!$H$4:$H$1203,$AE11-1200))))</f>
        <v>29</v>
      </c>
      <c r="F11" s="46" t="str">
        <f aca="false">IF($AE11="","",IF($AE11&lt;=1200,IF(INDEX(对接源_01水果!$I$4:$I$1203,$AE11)=0,"",INDEX(对接源_01水果!$I$4:$I$1203,$AE11)),IF(INDEX(对接源_02物料!$I$4:$I$1203,$AE11-1200)=0,"",INDEX(对接源_02物料!$I$4:$I$1203,$AE11-1200))))</f>
        <v>箱</v>
      </c>
      <c r="G11" s="56" t="str">
        <f aca="false">IF($AE11="","",IF($AE11&lt;=1200,IF(INDEX(对接源_01水果!$Z$4:$Z$1203,$AE11)=0,"",INDEX(对接源_01水果!$Z$4:$Z$1203,$AE11)),IF(INDEX(对接源_02物料!$Z$4:$Z$1203,$AE11-1200)=0,"",INDEX(对接源_02物料!$Z$4:$Z$1203,$AE11-1200))))</f>
        <v/>
      </c>
      <c r="H11" s="56" t="str">
        <f aca="false">IF($AE11="","",IF($AE11&lt;=1200,IF(INDEX(对接源_01水果!$AA$4:$AA$1203,$AE11)=0,"",INDEX(对接源_01水果!$AA$4:$AA$1203,$AE11)),IF(INDEX(对接源_02物料!$AA$4:$AA$1203,$AE11-1200)=0,"",INDEX(对接源_02物料!$AA$4:$AA$1203,$AE11-1200))))</f>
        <v/>
      </c>
      <c r="I11" s="46" t="str">
        <f aca="false">IF($AE11="","",IF($AE11&lt;=1200,IF(INDEX(对接源_01水果!$AB$4:$AB$1203,$AE11)=0,"",INDEX(对接源_01水果!$AB$4:$AB$1203,$AE11)),IF(INDEX(对接源_02物料!$AB$4:$AB$1203,$AE11-1200)=0,"",INDEX(对接源_02物料!$AB$4:$AB$1203,$AE11-1200))))</f>
        <v/>
      </c>
      <c r="J11" s="47" t="str">
        <f aca="false"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44" t="n">
        <f aca="false">IFERROR(MATCH(6,_自动清单!$AK$4:$AK$2403,0),"")</f>
        <v>274</v>
      </c>
    </row>
    <row r="12" customFormat="false" ht="18" hidden="false" customHeight="true" outlineLevel="0" collapsed="false">
      <c r="A12" s="40" t="n">
        <f aca="false">IF($AE12="","",IF($AE12&lt;=1200,IF(INDEX(对接源_01水果!$B$4:$B$1203,$AE12)=0,"",INDEX(对接源_01水果!$B$4:$B$1203,$AE12)),IF(INDEX(对接源_02物料!$B$4:$B$1203,$AE12-1200)=0,"",INDEX(对接源_02物料!$B$4:$B$1203,$AE12-1200))))</f>
        <v>46262</v>
      </c>
      <c r="B12" s="41" t="str">
        <f aca="false">IF($AE12="","",IF($AE12&lt;=1200,IF(INDEX(对接源_01水果!$E$4:$E$1203,$AE12)=0,"",INDEX(对接源_01水果!$E$4:$E$1203,$AE12)),IF(INDEX(对接源_02物料!$E$4:$E$1203,$AE12-1200)=0,"",INDEX(对接源_02物料!$E$4:$E$1203,$AE12-1200))))</f>
        <v>NO:0001043</v>
      </c>
      <c r="C12" s="41" t="str">
        <f aca="false">IF($AE12="","",IF($AE12&lt;=1200,IF(INDEX(对接源_01水果!$F$4:$F$1203,$AE12)=0,"",INDEX(对接源_01水果!$F$4:$F$1203,$AE12)),IF(INDEX(对接源_02物料!$F$4:$F$1203,$AE12-1200)=0,"",INDEX(对接源_02物料!$F$4:$F$1203,$AE12-1200))))</f>
        <v>苹果</v>
      </c>
      <c r="D12" s="41" t="str">
        <f aca="false">IF($AE12="","",IF($AE12&lt;=1200,IF(INDEX(对接源_01水果!$G$4:$G$1203,$AE12)=0,"",INDEX(对接源_01水果!$G$4:$G$1203,$AE12)),IF(INDEX(对接源_02物料!$G$4:$G$1203,$AE12-1200)=0,"",INDEX(对接源_02物料!$G$4:$G$1203,$AE12-1200))))</f>
        <v>华硕一级</v>
      </c>
      <c r="E12" s="43" t="n">
        <f aca="false">IF($AE12="","",IF($AE12&lt;=1200,IF(INDEX(对接源_01水果!$H$4:$H$1203,$AE12)=0,"",INDEX(对接源_01水果!$H$4:$H$1203,$AE12)),IF(INDEX(对接源_02物料!$H$4:$H$1203,$AE12-1200)=0,"",INDEX(对接源_02物料!$H$4:$H$1203,$AE12-1200))))</f>
        <v>12</v>
      </c>
      <c r="F12" s="41" t="str">
        <f aca="false">IF($AE12="","",IF($AE12&lt;=1200,IF(INDEX(对接源_01水果!$I$4:$I$1203,$AE12)=0,"",INDEX(对接源_01水果!$I$4:$I$1203,$AE12)),IF(INDEX(对接源_02物料!$I$4:$I$1203,$AE12-1200)=0,"",INDEX(对接源_02物料!$I$4:$I$1203,$AE12-1200))))</f>
        <v>箱</v>
      </c>
      <c r="G12" s="55" t="str">
        <f aca="false">IF($AE12="","",IF($AE12&lt;=1200,IF(INDEX(对接源_01水果!$Z$4:$Z$1203,$AE12)=0,"",INDEX(对接源_01水果!$Z$4:$Z$1203,$AE12)),IF(INDEX(对接源_02物料!$Z$4:$Z$1203,$AE12-1200)=0,"",INDEX(对接源_02物料!$Z$4:$Z$1203,$AE12-1200))))</f>
        <v/>
      </c>
      <c r="H12" s="55" t="str">
        <f aca="false">IF($AE12="","",IF($AE12&lt;=1200,IF(INDEX(对接源_01水果!$AA$4:$AA$1203,$AE12)=0,"",INDEX(对接源_01水果!$AA$4:$AA$1203,$AE12)),IF(INDEX(对接源_02物料!$AA$4:$AA$1203,$AE12-1200)=0,"",INDEX(对接源_02物料!$AA$4:$AA$1203,$AE12-1200))))</f>
        <v/>
      </c>
      <c r="I12" s="41" t="str">
        <f aca="false">IF($AE12="","",IF($AE12&lt;=1200,IF(INDEX(对接源_01水果!$AB$4:$AB$1203,$AE12)=0,"",INDEX(对接源_01水果!$AB$4:$AB$1203,$AE12)),IF(INDEX(对接源_02物料!$AB$4:$AB$1203,$AE12-1200)=0,"",INDEX(对接源_02物料!$AB$4:$AB$1203,$AE12-1200))))</f>
        <v/>
      </c>
      <c r="J12" s="42" t="str">
        <f aca="false"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44" t="n">
        <f aca="false">IFERROR(MATCH(7,_自动清单!$AK$4:$AK$2403,0),"")</f>
        <v>275</v>
      </c>
    </row>
    <row r="13" customFormat="false" ht="18" hidden="false" customHeight="true" outlineLevel="0" collapsed="false">
      <c r="A13" s="45" t="n">
        <f aca="false">IF($AE13="","",IF($AE13&lt;=1200,IF(INDEX(对接源_01水果!$B$4:$B$1203,$AE13)=0,"",INDEX(对接源_01水果!$B$4:$B$1203,$AE13)),IF(INDEX(对接源_02物料!$B$4:$B$1203,$AE13-1200)=0,"",INDEX(对接源_02物料!$B$4:$B$1203,$AE13-1200))))</f>
        <v>46263</v>
      </c>
      <c r="B13" s="46" t="str">
        <f aca="false">IF($AE13="","",IF($AE13&lt;=1200,IF(INDEX(对接源_01水果!$E$4:$E$1203,$AE13)=0,"",INDEX(对接源_01水果!$E$4:$E$1203,$AE13)),IF(INDEX(对接源_02物料!$E$4:$E$1203,$AE13-1200)=0,"",INDEX(对接源_02物料!$E$4:$E$1203,$AE13-1200))))</f>
        <v>NO:0001048</v>
      </c>
      <c r="C13" s="46" t="str">
        <f aca="false">IF($AE13="","",IF($AE13&lt;=1200,IF(INDEX(对接源_01水果!$F$4:$F$1203,$AE13)=0,"",INDEX(对接源_01水果!$F$4:$F$1203,$AE13)),IF(INDEX(对接源_02物料!$F$4:$F$1203,$AE13-1200)=0,"",INDEX(对接源_02物料!$F$4:$F$1203,$AE13-1200))))</f>
        <v>苹果</v>
      </c>
      <c r="D13" s="46" t="str">
        <f aca="false">IF($AE13="","",IF($AE13&lt;=1200,IF(INDEX(对接源_01水果!$G$4:$G$1203,$AE13)=0,"",INDEX(对接源_01水果!$G$4:$G$1203,$AE13)),IF(INDEX(对接源_02物料!$G$4:$G$1203,$AE13-1200)=0,"",INDEX(对接源_02物料!$G$4:$G$1203,$AE13-1200))))</f>
        <v>华硕一级</v>
      </c>
      <c r="E13" s="48" t="n">
        <f aca="false">IF($AE13="","",IF($AE13&lt;=1200,IF(INDEX(对接源_01水果!$H$4:$H$1203,$AE13)=0,"",INDEX(对接源_01水果!$H$4:$H$1203,$AE13)),IF(INDEX(对接源_02物料!$H$4:$H$1203,$AE13-1200)=0,"",INDEX(对接源_02物料!$H$4:$H$1203,$AE13-1200))))</f>
        <v>68</v>
      </c>
      <c r="F13" s="46" t="str">
        <f aca="false">IF($AE13="","",IF($AE13&lt;=1200,IF(INDEX(对接源_01水果!$I$4:$I$1203,$AE13)=0,"",INDEX(对接源_01水果!$I$4:$I$1203,$AE13)),IF(INDEX(对接源_02物料!$I$4:$I$1203,$AE13-1200)=0,"",INDEX(对接源_02物料!$I$4:$I$1203,$AE13-1200))))</f>
        <v>箱</v>
      </c>
      <c r="G13" s="56" t="str">
        <f aca="false">IF($AE13="","",IF($AE13&lt;=1200,IF(INDEX(对接源_01水果!$Z$4:$Z$1203,$AE13)=0,"",INDEX(对接源_01水果!$Z$4:$Z$1203,$AE13)),IF(INDEX(对接源_02物料!$Z$4:$Z$1203,$AE13-1200)=0,"",INDEX(对接源_02物料!$Z$4:$Z$1203,$AE13-1200))))</f>
        <v/>
      </c>
      <c r="H13" s="56" t="str">
        <f aca="false">IF($AE13="","",IF($AE13&lt;=1200,IF(INDEX(对接源_01水果!$AA$4:$AA$1203,$AE13)=0,"",INDEX(对接源_01水果!$AA$4:$AA$1203,$AE13)),IF(INDEX(对接源_02物料!$AA$4:$AA$1203,$AE13-1200)=0,"",INDEX(对接源_02物料!$AA$4:$AA$1203,$AE13-1200))))</f>
        <v/>
      </c>
      <c r="I13" s="46" t="str">
        <f aca="false">IF($AE13="","",IF($AE13&lt;=1200,IF(INDEX(对接源_01水果!$AB$4:$AB$1203,$AE13)=0,"",INDEX(对接源_01水果!$AB$4:$AB$1203,$AE13)),IF(INDEX(对接源_02物料!$AB$4:$AB$1203,$AE13-1200)=0,"",INDEX(对接源_02物料!$AB$4:$AB$1203,$AE13-1200))))</f>
        <v/>
      </c>
      <c r="J13" s="47" t="str">
        <f aca="false"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44" t="n">
        <f aca="false">IFERROR(MATCH(8,_自动清单!$AK$4:$AK$2403,0),"")</f>
        <v>276</v>
      </c>
    </row>
    <row r="14" customFormat="false" ht="18" hidden="false" customHeight="true" outlineLevel="0" collapsed="false">
      <c r="A14" s="40" t="n">
        <f aca="false">IF($AE14="","",IF($AE14&lt;=1200,IF(INDEX(对接源_01水果!$B$4:$B$1203,$AE14)=0,"",INDEX(对接源_01水果!$B$4:$B$1203,$AE14)),IF(INDEX(对接源_02物料!$B$4:$B$1203,$AE14-1200)=0,"",INDEX(对接源_02物料!$B$4:$B$1203,$AE14-1200))))</f>
        <v>46263</v>
      </c>
      <c r="B14" s="41" t="str">
        <f aca="false">IF($AE14="","",IF($AE14&lt;=1200,IF(INDEX(对接源_01水果!$E$4:$E$1203,$AE14)=0,"",INDEX(对接源_01水果!$E$4:$E$1203,$AE14)),IF(INDEX(对接源_02物料!$E$4:$E$1203,$AE14-1200)=0,"",INDEX(对接源_02物料!$E$4:$E$1203,$AE14-1200))))</f>
        <v>NO:0001048</v>
      </c>
      <c r="C14" s="41" t="str">
        <f aca="false">IF($AE14="","",IF($AE14&lt;=1200,IF(INDEX(对接源_01水果!$F$4:$F$1203,$AE14)=0,"",INDEX(对接源_01水果!$F$4:$F$1203,$AE14)),IF(INDEX(对接源_02物料!$F$4:$F$1203,$AE14-1200)=0,"",INDEX(对接源_02物料!$F$4:$F$1203,$AE14-1200))))</f>
        <v>苹果</v>
      </c>
      <c r="D14" s="41" t="str">
        <f aca="false">IF($AE14="","",IF($AE14&lt;=1200,IF(INDEX(对接源_01水果!$G$4:$G$1203,$AE14)=0,"",INDEX(对接源_01水果!$G$4:$G$1203,$AE14)),IF(INDEX(对接源_02物料!$G$4:$G$1203,$AE14-1200)=0,"",INDEX(对接源_02物料!$G$4:$G$1203,$AE14-1200))))</f>
        <v>华硕一级</v>
      </c>
      <c r="E14" s="43" t="n">
        <f aca="false">IF($AE14="","",IF($AE14&lt;=1200,IF(INDEX(对接源_01水果!$H$4:$H$1203,$AE14)=0,"",INDEX(对接源_01水果!$H$4:$H$1203,$AE14)),IF(INDEX(对接源_02物料!$H$4:$H$1203,$AE14-1200)=0,"",INDEX(对接源_02物料!$H$4:$H$1203,$AE14-1200))))</f>
        <v>22</v>
      </c>
      <c r="F14" s="41" t="str">
        <f aca="false">IF($AE14="","",IF($AE14&lt;=1200,IF(INDEX(对接源_01水果!$I$4:$I$1203,$AE14)=0,"",INDEX(对接源_01水果!$I$4:$I$1203,$AE14)),IF(INDEX(对接源_02物料!$I$4:$I$1203,$AE14-1200)=0,"",INDEX(对接源_02物料!$I$4:$I$1203,$AE14-1200))))</f>
        <v>箱</v>
      </c>
      <c r="G14" s="55" t="str">
        <f aca="false">IF($AE14="","",IF($AE14&lt;=1200,IF(INDEX(对接源_01水果!$Z$4:$Z$1203,$AE14)=0,"",INDEX(对接源_01水果!$Z$4:$Z$1203,$AE14)),IF(INDEX(对接源_02物料!$Z$4:$Z$1203,$AE14-1200)=0,"",INDEX(对接源_02物料!$Z$4:$Z$1203,$AE14-1200))))</f>
        <v/>
      </c>
      <c r="H14" s="55" t="str">
        <f aca="false">IF($AE14="","",IF($AE14&lt;=1200,IF(INDEX(对接源_01水果!$AA$4:$AA$1203,$AE14)=0,"",INDEX(对接源_01水果!$AA$4:$AA$1203,$AE14)),IF(INDEX(对接源_02物料!$AA$4:$AA$1203,$AE14-1200)=0,"",INDEX(对接源_02物料!$AA$4:$AA$1203,$AE14-1200))))</f>
        <v/>
      </c>
      <c r="I14" s="41" t="str">
        <f aca="false">IF($AE14="","",IF($AE14&lt;=1200,IF(INDEX(对接源_01水果!$AB$4:$AB$1203,$AE14)=0,"",INDEX(对接源_01水果!$AB$4:$AB$1203,$AE14)),IF(INDEX(对接源_02物料!$AB$4:$AB$1203,$AE14-1200)=0,"",INDEX(对接源_02物料!$AB$4:$AB$1203,$AE14-1200))))</f>
        <v/>
      </c>
      <c r="J14" s="42" t="str">
        <f aca="false"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44" t="n">
        <f aca="false">IFERROR(MATCH(9,_自动清单!$AK$4:$AK$2403,0),"")</f>
        <v>277</v>
      </c>
    </row>
    <row r="15" customFormat="false" ht="18" hidden="false" customHeight="true" outlineLevel="0" collapsed="false">
      <c r="A15" s="45" t="n">
        <f aca="false">IF($AE15="","",IF($AE15&lt;=1200,IF(INDEX(对接源_01水果!$B$4:$B$1203,$AE15)=0,"",INDEX(对接源_01水果!$B$4:$B$1203,$AE15)),IF(INDEX(对接源_02物料!$B$4:$B$1203,$AE15-1200)=0,"",INDEX(对接源_02物料!$B$4:$B$1203,$AE15-1200))))</f>
        <v>46264</v>
      </c>
      <c r="B15" s="46" t="str">
        <f aca="false">IF($AE15="","",IF($AE15&lt;=1200,IF(INDEX(对接源_01水果!$E$4:$E$1203,$AE15)=0,"",INDEX(对接源_01水果!$E$4:$E$1203,$AE15)),IF(INDEX(对接源_02物料!$E$4:$E$1203,$AE15-1200)=0,"",INDEX(对接源_02物料!$E$4:$E$1203,$AE15-1200))))</f>
        <v>NO:0001052</v>
      </c>
      <c r="C15" s="46" t="str">
        <f aca="false">IF($AE15="","",IF($AE15&lt;=1200,IF(INDEX(对接源_01水果!$F$4:$F$1203,$AE15)=0,"",INDEX(对接源_01水果!$F$4:$F$1203,$AE15)),IF(INDEX(对接源_02物料!$F$4:$F$1203,$AE15-1200)=0,"",INDEX(对接源_02物料!$F$4:$F$1203,$AE15-1200))))</f>
        <v>苹果</v>
      </c>
      <c r="D15" s="46" t="str">
        <f aca="false">IF($AE15="","",IF($AE15&lt;=1200,IF(INDEX(对接源_01水果!$G$4:$G$1203,$AE15)=0,"",INDEX(对接源_01水果!$G$4:$G$1203,$AE15)),IF(INDEX(对接源_02物料!$G$4:$G$1203,$AE15-1200)=0,"",INDEX(对接源_02物料!$G$4:$G$1203,$AE15-1200))))</f>
        <v>华硕一级</v>
      </c>
      <c r="E15" s="48" t="n">
        <f aca="false">IF($AE15="","",IF($AE15&lt;=1200,IF(INDEX(对接源_01水果!$H$4:$H$1203,$AE15)=0,"",INDEX(对接源_01水果!$H$4:$H$1203,$AE15)),IF(INDEX(对接源_02物料!$H$4:$H$1203,$AE15-1200)=0,"",INDEX(对接源_02物料!$H$4:$H$1203,$AE15-1200))))</f>
        <v>484</v>
      </c>
      <c r="F15" s="46" t="str">
        <f aca="false">IF($AE15="","",IF($AE15&lt;=1200,IF(INDEX(对接源_01水果!$I$4:$I$1203,$AE15)=0,"",INDEX(对接源_01水果!$I$4:$I$1203,$AE15)),IF(INDEX(对接源_02物料!$I$4:$I$1203,$AE15-1200)=0,"",INDEX(对接源_02物料!$I$4:$I$1203,$AE15-1200))))</f>
        <v>箱</v>
      </c>
      <c r="G15" s="56" t="str">
        <f aca="false">IF($AE15="","",IF($AE15&lt;=1200,IF(INDEX(对接源_01水果!$Z$4:$Z$1203,$AE15)=0,"",INDEX(对接源_01水果!$Z$4:$Z$1203,$AE15)),IF(INDEX(对接源_02物料!$Z$4:$Z$1203,$AE15-1200)=0,"",INDEX(对接源_02物料!$Z$4:$Z$1203,$AE15-1200))))</f>
        <v/>
      </c>
      <c r="H15" s="56" t="str">
        <f aca="false">IF($AE15="","",IF($AE15&lt;=1200,IF(INDEX(对接源_01水果!$AA$4:$AA$1203,$AE15)=0,"",INDEX(对接源_01水果!$AA$4:$AA$1203,$AE15)),IF(INDEX(对接源_02物料!$AA$4:$AA$1203,$AE15-1200)=0,"",INDEX(对接源_02物料!$AA$4:$AA$1203,$AE15-1200))))</f>
        <v/>
      </c>
      <c r="I15" s="46" t="str">
        <f aca="false">IF($AE15="","",IF($AE15&lt;=1200,IF(INDEX(对接源_01水果!$AB$4:$AB$1203,$AE15)=0,"",INDEX(对接源_01水果!$AB$4:$AB$1203,$AE15)),IF(INDEX(对接源_02物料!$AB$4:$AB$1203,$AE15-1200)=0,"",INDEX(对接源_02物料!$AB$4:$AB$1203,$AE15-1200))))</f>
        <v/>
      </c>
      <c r="J15" s="47" t="str">
        <f aca="false"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44" t="n">
        <f aca="false">IFERROR(MATCH(10,_自动清单!$AK$4:$AK$2403,0),"")</f>
        <v>278</v>
      </c>
    </row>
    <row r="16" customFormat="false" ht="18" hidden="false" customHeight="true" outlineLevel="0" collapsed="false">
      <c r="A16" s="40" t="n">
        <f aca="false">IF($AE16="","",IF($AE16&lt;=1200,IF(INDEX(对接源_01水果!$B$4:$B$1203,$AE16)=0,"",INDEX(对接源_01水果!$B$4:$B$1203,$AE16)),IF(INDEX(对接源_02物料!$B$4:$B$1203,$AE16-1200)=0,"",INDEX(对接源_02物料!$B$4:$B$1203,$AE16-1200))))</f>
        <v>46264</v>
      </c>
      <c r="B16" s="41" t="str">
        <f aca="false">IF($AE16="","",IF($AE16&lt;=1200,IF(INDEX(对接源_01水果!$E$4:$E$1203,$AE16)=0,"",INDEX(对接源_01水果!$E$4:$E$1203,$AE16)),IF(INDEX(对接源_02物料!$E$4:$E$1203,$AE16-1200)=0,"",INDEX(对接源_02物料!$E$4:$E$1203,$AE16-1200))))</f>
        <v>NO:0001053</v>
      </c>
      <c r="C16" s="41" t="str">
        <f aca="false">IF($AE16="","",IF($AE16&lt;=1200,IF(INDEX(对接源_01水果!$F$4:$F$1203,$AE16)=0,"",INDEX(对接源_01水果!$F$4:$F$1203,$AE16)),IF(INDEX(对接源_02物料!$F$4:$F$1203,$AE16-1200)=0,"",INDEX(对接源_02物料!$F$4:$F$1203,$AE16-1200))))</f>
        <v>苹果</v>
      </c>
      <c r="D16" s="41" t="str">
        <f aca="false">IF($AE16="","",IF($AE16&lt;=1200,IF(INDEX(对接源_01水果!$G$4:$G$1203,$AE16)=0,"",INDEX(对接源_01水果!$G$4:$G$1203,$AE16)),IF(INDEX(对接源_02物料!$G$4:$G$1203,$AE16-1200)=0,"",INDEX(对接源_02物料!$G$4:$G$1203,$AE16-1200))))</f>
        <v>华硕一级</v>
      </c>
      <c r="E16" s="43" t="n">
        <f aca="false">IF($AE16="","",IF($AE16&lt;=1200,IF(INDEX(对接源_01水果!$H$4:$H$1203,$AE16)=0,"",INDEX(对接源_01水果!$H$4:$H$1203,$AE16)),IF(INDEX(对接源_02物料!$H$4:$H$1203,$AE16-1200)=0,"",INDEX(对接源_02物料!$H$4:$H$1203,$AE16-1200))))</f>
        <v>320</v>
      </c>
      <c r="F16" s="41" t="str">
        <f aca="false">IF($AE16="","",IF($AE16&lt;=1200,IF(INDEX(对接源_01水果!$I$4:$I$1203,$AE16)=0,"",INDEX(对接源_01水果!$I$4:$I$1203,$AE16)),IF(INDEX(对接源_02物料!$I$4:$I$1203,$AE16-1200)=0,"",INDEX(对接源_02物料!$I$4:$I$1203,$AE16-1200))))</f>
        <v>箱</v>
      </c>
      <c r="G16" s="55" t="str">
        <f aca="false">IF($AE16="","",IF($AE16&lt;=1200,IF(INDEX(对接源_01水果!$Z$4:$Z$1203,$AE16)=0,"",INDEX(对接源_01水果!$Z$4:$Z$1203,$AE16)),IF(INDEX(对接源_02物料!$Z$4:$Z$1203,$AE16-1200)=0,"",INDEX(对接源_02物料!$Z$4:$Z$1203,$AE16-1200))))</f>
        <v/>
      </c>
      <c r="H16" s="55" t="str">
        <f aca="false">IF($AE16="","",IF($AE16&lt;=1200,IF(INDEX(对接源_01水果!$AA$4:$AA$1203,$AE16)=0,"",INDEX(对接源_01水果!$AA$4:$AA$1203,$AE16)),IF(INDEX(对接源_02物料!$AA$4:$AA$1203,$AE16-1200)=0,"",INDEX(对接源_02物料!$AA$4:$AA$1203,$AE16-1200))))</f>
        <v/>
      </c>
      <c r="I16" s="41" t="str">
        <f aca="false">IF($AE16="","",IF($AE16&lt;=1200,IF(INDEX(对接源_01水果!$AB$4:$AB$1203,$AE16)=0,"",INDEX(对接源_01水果!$AB$4:$AB$1203,$AE16)),IF(INDEX(对接源_02物料!$AB$4:$AB$1203,$AE16-1200)=0,"",INDEX(对接源_02物料!$AB$4:$AB$1203,$AE16-1200))))</f>
        <v/>
      </c>
      <c r="J16" s="42" t="str">
        <f aca="false"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44" t="n">
        <f aca="false">IFERROR(MATCH(11,_自动清单!$AK$4:$AK$2403,0),"")</f>
        <v>279</v>
      </c>
    </row>
    <row r="17" customFormat="false" ht="18" hidden="false" customHeight="true" outlineLevel="0" collapsed="false">
      <c r="A17" s="45" t="n">
        <f aca="false">IF($AE17="","",IF($AE17&lt;=1200,IF(INDEX(对接源_01水果!$B$4:$B$1203,$AE17)=0,"",INDEX(对接源_01水果!$B$4:$B$1203,$AE17)),IF(INDEX(对接源_02物料!$B$4:$B$1203,$AE17-1200)=0,"",INDEX(对接源_02物料!$B$4:$B$1203,$AE17-1200))))</f>
        <v>46265</v>
      </c>
      <c r="B17" s="46" t="str">
        <f aca="false">IF($AE17="","",IF($AE17&lt;=1200,IF(INDEX(对接源_01水果!$E$4:$E$1203,$AE17)=0,"",INDEX(对接源_01水果!$E$4:$E$1203,$AE17)),IF(INDEX(对接源_02物料!$E$4:$E$1203,$AE17-1200)=0,"",INDEX(对接源_02物料!$E$4:$E$1203,$AE17-1200))))</f>
        <v>NO:0001058</v>
      </c>
      <c r="C17" s="46" t="str">
        <f aca="false">IF($AE17="","",IF($AE17&lt;=1200,IF(INDEX(对接源_01水果!$F$4:$F$1203,$AE17)=0,"",INDEX(对接源_01水果!$F$4:$F$1203,$AE17)),IF(INDEX(对接源_02物料!$F$4:$F$1203,$AE17-1200)=0,"",INDEX(对接源_02物料!$F$4:$F$1203,$AE17-1200))))</f>
        <v>苹果</v>
      </c>
      <c r="D17" s="46" t="str">
        <f aca="false">IF($AE17="","",IF($AE17&lt;=1200,IF(INDEX(对接源_01水果!$G$4:$G$1203,$AE17)=0,"",INDEX(对接源_01水果!$G$4:$G$1203,$AE17)),IF(INDEX(对接源_02物料!$G$4:$G$1203,$AE17-1200)=0,"",INDEX(对接源_02物料!$G$4:$G$1203,$AE17-1200))))</f>
        <v>华硕一级</v>
      </c>
      <c r="E17" s="48" t="n">
        <f aca="false">IF($AE17="","",IF($AE17&lt;=1200,IF(INDEX(对接源_01水果!$H$4:$H$1203,$AE17)=0,"",INDEX(对接源_01水果!$H$4:$H$1203,$AE17)),IF(INDEX(对接源_02物料!$H$4:$H$1203,$AE17-1200)=0,"",INDEX(对接源_02物料!$H$4:$H$1203,$AE17-1200))))</f>
        <v>307</v>
      </c>
      <c r="F17" s="46" t="str">
        <f aca="false">IF($AE17="","",IF($AE17&lt;=1200,IF(INDEX(对接源_01水果!$I$4:$I$1203,$AE17)=0,"",INDEX(对接源_01水果!$I$4:$I$1203,$AE17)),IF(INDEX(对接源_02物料!$I$4:$I$1203,$AE17-1200)=0,"",INDEX(对接源_02物料!$I$4:$I$1203,$AE17-1200))))</f>
        <v>箱</v>
      </c>
      <c r="G17" s="56" t="str">
        <f aca="false">IF($AE17="","",IF($AE17&lt;=1200,IF(INDEX(对接源_01水果!$Z$4:$Z$1203,$AE17)=0,"",INDEX(对接源_01水果!$Z$4:$Z$1203,$AE17)),IF(INDEX(对接源_02物料!$Z$4:$Z$1203,$AE17-1200)=0,"",INDEX(对接源_02物料!$Z$4:$Z$1203,$AE17-1200))))</f>
        <v/>
      </c>
      <c r="H17" s="56" t="str">
        <f aca="false">IF($AE17="","",IF($AE17&lt;=1200,IF(INDEX(对接源_01水果!$AA$4:$AA$1203,$AE17)=0,"",INDEX(对接源_01水果!$AA$4:$AA$1203,$AE17)),IF(INDEX(对接源_02物料!$AA$4:$AA$1203,$AE17-1200)=0,"",INDEX(对接源_02物料!$AA$4:$AA$1203,$AE17-1200))))</f>
        <v/>
      </c>
      <c r="I17" s="46" t="str">
        <f aca="false">IF($AE17="","",IF($AE17&lt;=1200,IF(INDEX(对接源_01水果!$AB$4:$AB$1203,$AE17)=0,"",INDEX(对接源_01水果!$AB$4:$AB$1203,$AE17)),IF(INDEX(对接源_02物料!$AB$4:$AB$1203,$AE17-1200)=0,"",INDEX(对接源_02物料!$AB$4:$AB$1203,$AE17-1200))))</f>
        <v/>
      </c>
      <c r="J17" s="47" t="str">
        <f aca="false"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44" t="n">
        <f aca="false">IFERROR(MATCH(12,_自动清单!$AK$4:$AK$2403,0),"")</f>
        <v>280</v>
      </c>
    </row>
    <row r="18" customFormat="false" ht="18" hidden="false" customHeight="true" outlineLevel="0" collapsed="false">
      <c r="A18" s="40" t="n">
        <f aca="false">IF($AE18="","",IF($AE18&lt;=1200,IF(INDEX(对接源_01水果!$B$4:$B$1203,$AE18)=0,"",INDEX(对接源_01水果!$B$4:$B$1203,$AE18)),IF(INDEX(对接源_02物料!$B$4:$B$1203,$AE18-1200)=0,"",INDEX(对接源_02物料!$B$4:$B$1203,$AE18-1200))))</f>
        <v>46265</v>
      </c>
      <c r="B18" s="41" t="str">
        <f aca="false">IF($AE18="","",IF($AE18&lt;=1200,IF(INDEX(对接源_01水果!$E$4:$E$1203,$AE18)=0,"",INDEX(对接源_01水果!$E$4:$E$1203,$AE18)),IF(INDEX(对接源_02物料!$E$4:$E$1203,$AE18-1200)=0,"",INDEX(对接源_02物料!$E$4:$E$1203,$AE18-1200))))</f>
        <v>NO:0001058</v>
      </c>
      <c r="C18" s="41" t="str">
        <f aca="false">IF($AE18="","",IF($AE18&lt;=1200,IF(INDEX(对接源_01水果!$F$4:$F$1203,$AE18)=0,"",INDEX(对接源_01水果!$F$4:$F$1203,$AE18)),IF(INDEX(对接源_02物料!$F$4:$F$1203,$AE18-1200)=0,"",INDEX(对接源_02物料!$F$4:$F$1203,$AE18-1200))))</f>
        <v>苹果</v>
      </c>
      <c r="D18" s="41" t="str">
        <f aca="false">IF($AE18="","",IF($AE18&lt;=1200,IF(INDEX(对接源_01水果!$G$4:$G$1203,$AE18)=0,"",INDEX(对接源_01水果!$G$4:$G$1203,$AE18)),IF(INDEX(对接源_02物料!$G$4:$G$1203,$AE18-1200)=0,"",INDEX(对接源_02物料!$G$4:$G$1203,$AE18-1200))))</f>
        <v>华硕一级</v>
      </c>
      <c r="E18" s="43" t="n">
        <f aca="false">IF($AE18="","",IF($AE18&lt;=1200,IF(INDEX(对接源_01水果!$H$4:$H$1203,$AE18)=0,"",INDEX(对接源_01水果!$H$4:$H$1203,$AE18)),IF(INDEX(对接源_02物料!$H$4:$H$1203,$AE18-1200)=0,"",INDEX(对接源_02物料!$H$4:$H$1203,$AE18-1200))))</f>
        <v>1</v>
      </c>
      <c r="F18" s="41" t="str">
        <f aca="false">IF($AE18="","",IF($AE18&lt;=1200,IF(INDEX(对接源_01水果!$I$4:$I$1203,$AE18)=0,"",INDEX(对接源_01水果!$I$4:$I$1203,$AE18)),IF(INDEX(对接源_02物料!$I$4:$I$1203,$AE18-1200)=0,"",INDEX(对接源_02物料!$I$4:$I$1203,$AE18-1200))))</f>
        <v>箱</v>
      </c>
      <c r="G18" s="55" t="str">
        <f aca="false">IF($AE18="","",IF($AE18&lt;=1200,IF(INDEX(对接源_01水果!$Z$4:$Z$1203,$AE18)=0,"",INDEX(对接源_01水果!$Z$4:$Z$1203,$AE18)),IF(INDEX(对接源_02物料!$Z$4:$Z$1203,$AE18-1200)=0,"",INDEX(对接源_02物料!$Z$4:$Z$1203,$AE18-1200))))</f>
        <v/>
      </c>
      <c r="H18" s="55" t="str">
        <f aca="false">IF($AE18="","",IF($AE18&lt;=1200,IF(INDEX(对接源_01水果!$AA$4:$AA$1203,$AE18)=0,"",INDEX(对接源_01水果!$AA$4:$AA$1203,$AE18)),IF(INDEX(对接源_02物料!$AA$4:$AA$1203,$AE18-1200)=0,"",INDEX(对接源_02物料!$AA$4:$AA$1203,$AE18-1200))))</f>
        <v/>
      </c>
      <c r="I18" s="41" t="str">
        <f aca="false">IF($AE18="","",IF($AE18&lt;=1200,IF(INDEX(对接源_01水果!$AB$4:$AB$1203,$AE18)=0,"",INDEX(对接源_01水果!$AB$4:$AB$1203,$AE18)),IF(INDEX(对接源_02物料!$AB$4:$AB$1203,$AE18-1200)=0,"",INDEX(对接源_02物料!$AB$4:$AB$1203,$AE18-1200))))</f>
        <v/>
      </c>
      <c r="J18" s="42" t="str">
        <f aca="false"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44" t="n">
        <f aca="false">IFERROR(MATCH(13,_自动清单!$AK$4:$AK$2403,0),"")</f>
        <v>281</v>
      </c>
    </row>
    <row r="19" customFormat="false" ht="18" hidden="false" customHeight="true" outlineLevel="0" collapsed="false">
      <c r="A19" s="45" t="str">
        <f aca="false"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46" t="str">
        <f aca="false"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46" t="str">
        <f aca="false">IF($AE19="","",IF($AE19&lt;=1200,IF(INDEX(对接源_01水果!$F$4:$F$1203,$AE19)=0,"",INDEX(对接源_01水果!$F$4:$F$1203,$AE19)),IF(INDEX(对接源_02物料!$F$4:$F$1203,$AE19-1200)=0,"",INDEX(对接源_02物料!$F$4:$F$1203,$AE19-1200))))</f>
        <v/>
      </c>
      <c r="D19" s="46" t="str">
        <f aca="false">IF($AE19="","",IF($AE19&lt;=1200,IF(INDEX(对接源_01水果!$G$4:$G$1203,$AE19)=0,"",INDEX(对接源_01水果!$G$4:$G$1203,$AE19)),IF(INDEX(对接源_02物料!$G$4:$G$1203,$AE19-1200)=0,"",INDEX(对接源_02物料!$G$4:$G$1203,$AE19-1200))))</f>
        <v/>
      </c>
      <c r="E19" s="48" t="str">
        <f aca="false">IF($AE19="","",IF($AE19&lt;=1200,IF(INDEX(对接源_01水果!$H$4:$H$1203,$AE19)=0,"",INDEX(对接源_01水果!$H$4:$H$1203,$AE19)),IF(INDEX(对接源_02物料!$H$4:$H$1203,$AE19-1200)=0,"",INDEX(对接源_02物料!$H$4:$H$1203,$AE19-1200))))</f>
        <v/>
      </c>
      <c r="F19" s="46" t="str">
        <f aca="false">IF($AE19="","",IF($AE19&lt;=1200,IF(INDEX(对接源_01水果!$I$4:$I$1203,$AE19)=0,"",INDEX(对接源_01水果!$I$4:$I$1203,$AE19)),IF(INDEX(对接源_02物料!$I$4:$I$1203,$AE19-1200)=0,"",INDEX(对接源_02物料!$I$4:$I$1203,$AE19-1200))))</f>
        <v/>
      </c>
      <c r="G19" s="56" t="str">
        <f aca="false">IF($AE19="","",IF($AE19&lt;=1200,IF(INDEX(对接源_01水果!$Z$4:$Z$1203,$AE19)=0,"",INDEX(对接源_01水果!$Z$4:$Z$1203,$AE19)),IF(INDEX(对接源_02物料!$Z$4:$Z$1203,$AE19-1200)=0,"",INDEX(对接源_02物料!$Z$4:$Z$1203,$AE19-1200))))</f>
        <v/>
      </c>
      <c r="H19" s="56" t="str">
        <f aca="false">IF($AE19="","",IF($AE19&lt;=1200,IF(INDEX(对接源_01水果!$AA$4:$AA$1203,$AE19)=0,"",INDEX(对接源_01水果!$AA$4:$AA$1203,$AE19)),IF(INDEX(对接源_02物料!$AA$4:$AA$1203,$AE19-1200)=0,"",INDEX(对接源_02物料!$AA$4:$AA$1203,$AE19-1200))))</f>
        <v/>
      </c>
      <c r="I19" s="46" t="str">
        <f aca="false">IF($AE19="","",IF($AE19&lt;=1200,IF(INDEX(对接源_01水果!$AB$4:$AB$1203,$AE19)=0,"",INDEX(对接源_01水果!$AB$4:$AB$1203,$AE19)),IF(INDEX(对接源_02物料!$AB$4:$AB$1203,$AE19-1200)=0,"",INDEX(对接源_02物料!$AB$4:$AB$1203,$AE19-1200))))</f>
        <v/>
      </c>
      <c r="J19" s="47" t="str">
        <f aca="false"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44" t="str">
        <f aca="false">IFERROR(MATCH(14,_自动清单!$AK$4:$AK$2403,0),"")</f>
        <v/>
      </c>
    </row>
    <row r="20" customFormat="false" ht="18" hidden="false" customHeight="true" outlineLevel="0" collapsed="false">
      <c r="A20" s="40" t="n">
        <f aca="false">IF($AE20="","",IF($AE20&lt;=1200,IF(INDEX(对接源_01水果!$B$4:$B$1203,$AE20)=0,"",INDEX(对接源_01水果!$B$4:$B$1203,$AE20)),IF(INDEX(对接源_02物料!$B$4:$B$1203,$AE20-1200)=0,"",INDEX(对接源_02物料!$B$4:$B$1203,$AE20-1200))))</f>
        <v>46266</v>
      </c>
      <c r="B20" s="41" t="str">
        <f aca="false">IF($AE20="","",IF($AE20&lt;=1200,IF(INDEX(对接源_01水果!$E$4:$E$1203,$AE20)=0,"",INDEX(对接源_01水果!$E$4:$E$1203,$AE20)),IF(INDEX(对接源_02物料!$E$4:$E$1203,$AE20-1200)=0,"",INDEX(对接源_02物料!$E$4:$E$1203,$AE20-1200))))</f>
        <v>NO:0001062</v>
      </c>
      <c r="C20" s="41" t="str">
        <f aca="false">IF($AE20="","",IF($AE20&lt;=1200,IF(INDEX(对接源_01水果!$F$4:$F$1203,$AE20)=0,"",INDEX(对接源_01水果!$F$4:$F$1203,$AE20)),IF(INDEX(对接源_02物料!$F$4:$F$1203,$AE20-1200)=0,"",INDEX(对接源_02物料!$F$4:$F$1203,$AE20-1200))))</f>
        <v>苹果</v>
      </c>
      <c r="D20" s="41" t="str">
        <f aca="false">IF($AE20="","",IF($AE20&lt;=1200,IF(INDEX(对接源_01水果!$G$4:$G$1203,$AE20)=0,"",INDEX(对接源_01水果!$G$4:$G$1203,$AE20)),IF(INDEX(对接源_02物料!$G$4:$G$1203,$AE20-1200)=0,"",INDEX(对接源_02物料!$G$4:$G$1203,$AE20-1200))))</f>
        <v>华硕一级</v>
      </c>
      <c r="E20" s="43" t="n">
        <f aca="false">IF($AE20="","",IF($AE20&lt;=1200,IF(INDEX(对接源_01水果!$H$4:$H$1203,$AE20)=0,"",INDEX(对接源_01水果!$H$4:$H$1203,$AE20)),IF(INDEX(对接源_02物料!$H$4:$H$1203,$AE20-1200)=0,"",INDEX(对接源_02物料!$H$4:$H$1203,$AE20-1200))))</f>
        <v>346</v>
      </c>
      <c r="F20" s="41" t="str">
        <f aca="false">IF($AE20="","",IF($AE20&lt;=1200,IF(INDEX(对接源_01水果!$I$4:$I$1203,$AE20)=0,"",INDEX(对接源_01水果!$I$4:$I$1203,$AE20)),IF(INDEX(对接源_02物料!$I$4:$I$1203,$AE20-1200)=0,"",INDEX(对接源_02物料!$I$4:$I$1203,$AE20-1200))))</f>
        <v>箱</v>
      </c>
      <c r="G20" s="55" t="str">
        <f aca="false">IF($AE20="","",IF($AE20&lt;=1200,IF(INDEX(对接源_01水果!$Z$4:$Z$1203,$AE20)=0,"",INDEX(对接源_01水果!$Z$4:$Z$1203,$AE20)),IF(INDEX(对接源_02物料!$Z$4:$Z$1203,$AE20-1200)=0,"",INDEX(对接源_02物料!$Z$4:$Z$1203,$AE20-1200))))</f>
        <v/>
      </c>
      <c r="H20" s="55" t="str">
        <f aca="false">IF($AE20="","",IF($AE20&lt;=1200,IF(INDEX(对接源_01水果!$AA$4:$AA$1203,$AE20)=0,"",INDEX(对接源_01水果!$AA$4:$AA$1203,$AE20)),IF(INDEX(对接源_02物料!$AA$4:$AA$1203,$AE20-1200)=0,"",INDEX(对接源_02物料!$AA$4:$AA$1203,$AE20-1200))))</f>
        <v/>
      </c>
      <c r="I20" s="41" t="str">
        <f aca="false">IF($AE20="","",IF($AE20&lt;=1200,IF(INDEX(对接源_01水果!$AB$4:$AB$1203,$AE20)=0,"",INDEX(对接源_01水果!$AB$4:$AB$1203,$AE20)),IF(INDEX(对接源_02物料!$AB$4:$AB$1203,$AE20-1200)=0,"",INDEX(对接源_02物料!$AB$4:$AB$1203,$AE20-1200))))</f>
        <v/>
      </c>
      <c r="J20" s="42" t="str">
        <f aca="false"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44" t="n">
        <f aca="false">IFERROR(MATCH(15,_自动清单!$AK$4:$AK$2403,0),"")</f>
        <v>282</v>
      </c>
    </row>
    <row r="21" customFormat="false" ht="18" hidden="false" customHeight="true" outlineLevel="0" collapsed="false">
      <c r="A21" s="45" t="str">
        <f aca="false"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46" t="str">
        <f aca="false"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46" t="str">
        <f aca="false">IF($AE21="","",IF($AE21&lt;=1200,IF(INDEX(对接源_01水果!$F$4:$F$1203,$AE21)=0,"",INDEX(对接源_01水果!$F$4:$F$1203,$AE21)),IF(INDEX(对接源_02物料!$F$4:$F$1203,$AE21-1200)=0,"",INDEX(对接源_02物料!$F$4:$F$1203,$AE21-1200))))</f>
        <v/>
      </c>
      <c r="D21" s="46" t="str">
        <f aca="false">IF($AE21="","",IF($AE21&lt;=1200,IF(INDEX(对接源_01水果!$G$4:$G$1203,$AE21)=0,"",INDEX(对接源_01水果!$G$4:$G$1203,$AE21)),IF(INDEX(对接源_02物料!$G$4:$G$1203,$AE21-1200)=0,"",INDEX(对接源_02物料!$G$4:$G$1203,$AE21-1200))))</f>
        <v/>
      </c>
      <c r="E21" s="48" t="str">
        <f aca="false">IF($AE21="","",IF($AE21&lt;=1200,IF(INDEX(对接源_01水果!$H$4:$H$1203,$AE21)=0,"",INDEX(对接源_01水果!$H$4:$H$1203,$AE21)),IF(INDEX(对接源_02物料!$H$4:$H$1203,$AE21-1200)=0,"",INDEX(对接源_02物料!$H$4:$H$1203,$AE21-1200))))</f>
        <v/>
      </c>
      <c r="F21" s="46" t="str">
        <f aca="false">IF($AE21="","",IF($AE21&lt;=1200,IF(INDEX(对接源_01水果!$I$4:$I$1203,$AE21)=0,"",INDEX(对接源_01水果!$I$4:$I$1203,$AE21)),IF(INDEX(对接源_02物料!$I$4:$I$1203,$AE21-1200)=0,"",INDEX(对接源_02物料!$I$4:$I$1203,$AE21-1200))))</f>
        <v/>
      </c>
      <c r="G21" s="56" t="str">
        <f aca="false">IF($AE21="","",IF($AE21&lt;=1200,IF(INDEX(对接源_01水果!$Z$4:$Z$1203,$AE21)=0,"",INDEX(对接源_01水果!$Z$4:$Z$1203,$AE21)),IF(INDEX(对接源_02物料!$Z$4:$Z$1203,$AE21-1200)=0,"",INDEX(对接源_02物料!$Z$4:$Z$1203,$AE21-1200))))</f>
        <v/>
      </c>
      <c r="H21" s="56" t="str">
        <f aca="false">IF($AE21="","",IF($AE21&lt;=1200,IF(INDEX(对接源_01水果!$AA$4:$AA$1203,$AE21)=0,"",INDEX(对接源_01水果!$AA$4:$AA$1203,$AE21)),IF(INDEX(对接源_02物料!$AA$4:$AA$1203,$AE21-1200)=0,"",INDEX(对接源_02物料!$AA$4:$AA$1203,$AE21-1200))))</f>
        <v/>
      </c>
      <c r="I21" s="46" t="str">
        <f aca="false">IF($AE21="","",IF($AE21&lt;=1200,IF(INDEX(对接源_01水果!$AB$4:$AB$1203,$AE21)=0,"",INDEX(对接源_01水果!$AB$4:$AB$1203,$AE21)),IF(INDEX(对接源_02物料!$AB$4:$AB$1203,$AE21-1200)=0,"",INDEX(对接源_02物料!$AB$4:$AB$1203,$AE21-1200))))</f>
        <v/>
      </c>
      <c r="J21" s="47" t="str">
        <f aca="false"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44" t="str">
        <f aca="false">IFERROR(MATCH(16,_自动清单!$AK$4:$AK$2403,0),"")</f>
        <v/>
      </c>
    </row>
    <row r="22" customFormat="false" ht="18" hidden="false" customHeight="true" outlineLevel="0" collapsed="false">
      <c r="A22" s="40" t="n">
        <f aca="false">IF($AE22="","",IF($AE22&lt;=1200,IF(INDEX(对接源_01水果!$B$4:$B$1203,$AE22)=0,"",INDEX(对接源_01水果!$B$4:$B$1203,$AE22)),IF(INDEX(对接源_02物料!$B$4:$B$1203,$AE22-1200)=0,"",INDEX(对接源_02物料!$B$4:$B$1203,$AE22-1200))))</f>
        <v>46267</v>
      </c>
      <c r="B22" s="41" t="str">
        <f aca="false">IF($AE22="","",IF($AE22&lt;=1200,IF(INDEX(对接源_01水果!$E$4:$E$1203,$AE22)=0,"",INDEX(对接源_01水果!$E$4:$E$1203,$AE22)),IF(INDEX(对接源_02物料!$E$4:$E$1203,$AE22-1200)=0,"",INDEX(对接源_02物料!$E$4:$E$1203,$AE22-1200))))</f>
        <v>NO:0001063</v>
      </c>
      <c r="C22" s="41" t="str">
        <f aca="false">IF($AE22="","",IF($AE22&lt;=1200,IF(INDEX(对接源_01水果!$F$4:$F$1203,$AE22)=0,"",INDEX(对接源_01水果!$F$4:$F$1203,$AE22)),IF(INDEX(对接源_02物料!$F$4:$F$1203,$AE22-1200)=0,"",INDEX(对接源_02物料!$F$4:$F$1203,$AE22-1200))))</f>
        <v>苹果</v>
      </c>
      <c r="D22" s="41" t="str">
        <f aca="false">IF($AE22="","",IF($AE22&lt;=1200,IF(INDEX(对接源_01水果!$G$4:$G$1203,$AE22)=0,"",INDEX(对接源_01水果!$G$4:$G$1203,$AE22)),IF(INDEX(对接源_02物料!$G$4:$G$1203,$AE22-1200)=0,"",INDEX(对接源_02物料!$G$4:$G$1203,$AE22-1200))))</f>
        <v>苹果扎伤</v>
      </c>
      <c r="E22" s="43" t="n">
        <f aca="false">IF($AE22="","",IF($AE22&lt;=1200,IF(INDEX(对接源_01水果!$H$4:$H$1203,$AE22)=0,"",INDEX(对接源_01水果!$H$4:$H$1203,$AE22)),IF(INDEX(对接源_02物料!$H$4:$H$1203,$AE22-1200)=0,"",INDEX(对接源_02物料!$H$4:$H$1203,$AE22-1200))))</f>
        <v>1</v>
      </c>
      <c r="F22" s="41" t="str">
        <f aca="false">IF($AE22="","",IF($AE22&lt;=1200,IF(INDEX(对接源_01水果!$I$4:$I$1203,$AE22)=0,"",INDEX(对接源_01水果!$I$4:$I$1203,$AE22)),IF(INDEX(对接源_02物料!$I$4:$I$1203,$AE22-1200)=0,"",INDEX(对接源_02物料!$I$4:$I$1203,$AE22-1200))))</f>
        <v>筐</v>
      </c>
      <c r="G22" s="55" t="str">
        <f aca="false">IF($AE22="","",IF($AE22&lt;=1200,IF(INDEX(对接源_01水果!$Z$4:$Z$1203,$AE22)=0,"",INDEX(对接源_01水果!$Z$4:$Z$1203,$AE22)),IF(INDEX(对接源_02物料!$Z$4:$Z$1203,$AE22-1200)=0,"",INDEX(对接源_02物料!$Z$4:$Z$1203,$AE22-1200))))</f>
        <v/>
      </c>
      <c r="H22" s="55" t="str">
        <f aca="false">IF($AE22="","",IF($AE22&lt;=1200,IF(INDEX(对接源_01水果!$AA$4:$AA$1203,$AE22)=0,"",INDEX(对接源_01水果!$AA$4:$AA$1203,$AE22)),IF(INDEX(对接源_02物料!$AA$4:$AA$1203,$AE22-1200)=0,"",INDEX(对接源_02物料!$AA$4:$AA$1203,$AE22-1200))))</f>
        <v/>
      </c>
      <c r="I22" s="41" t="str">
        <f aca="false">IF($AE22="","",IF($AE22&lt;=1200,IF(INDEX(对接源_01水果!$AB$4:$AB$1203,$AE22)=0,"",INDEX(对接源_01水果!$AB$4:$AB$1203,$AE22)),IF(INDEX(对接源_02物料!$AB$4:$AB$1203,$AE22-1200)=0,"",INDEX(对接源_02物料!$AB$4:$AB$1203,$AE22-1200))))</f>
        <v/>
      </c>
      <c r="J22" s="42" t="str">
        <f aca="false"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44" t="n">
        <f aca="false">IFERROR(MATCH(17,_自动清单!$AK$4:$AK$2403,0),"")</f>
        <v>283</v>
      </c>
    </row>
    <row r="23" customFormat="false" ht="18" hidden="false" customHeight="true" outlineLevel="0" collapsed="false">
      <c r="A23" s="45" t="str">
        <f aca="false"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46" t="str">
        <f aca="false"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46" t="str">
        <f aca="false">IF($AE23="","",IF($AE23&lt;=1200,IF(INDEX(对接源_01水果!$F$4:$F$1203,$AE23)=0,"",INDEX(对接源_01水果!$F$4:$F$1203,$AE23)),IF(INDEX(对接源_02物料!$F$4:$F$1203,$AE23-1200)=0,"",INDEX(对接源_02物料!$F$4:$F$1203,$AE23-1200))))</f>
        <v/>
      </c>
      <c r="D23" s="46" t="str">
        <f aca="false">IF($AE23="","",IF($AE23&lt;=1200,IF(INDEX(对接源_01水果!$G$4:$G$1203,$AE23)=0,"",INDEX(对接源_01水果!$G$4:$G$1203,$AE23)),IF(INDEX(对接源_02物料!$G$4:$G$1203,$AE23-1200)=0,"",INDEX(对接源_02物料!$G$4:$G$1203,$AE23-1200))))</f>
        <v/>
      </c>
      <c r="E23" s="48" t="str">
        <f aca="false">IF($AE23="","",IF($AE23&lt;=1200,IF(INDEX(对接源_01水果!$H$4:$H$1203,$AE23)=0,"",INDEX(对接源_01水果!$H$4:$H$1203,$AE23)),IF(INDEX(对接源_02物料!$H$4:$H$1203,$AE23-1200)=0,"",INDEX(对接源_02物料!$H$4:$H$1203,$AE23-1200))))</f>
        <v/>
      </c>
      <c r="F23" s="46" t="str">
        <f aca="false">IF($AE23="","",IF($AE23&lt;=1200,IF(INDEX(对接源_01水果!$I$4:$I$1203,$AE23)=0,"",INDEX(对接源_01水果!$I$4:$I$1203,$AE23)),IF(INDEX(对接源_02物料!$I$4:$I$1203,$AE23-1200)=0,"",INDEX(对接源_02物料!$I$4:$I$1203,$AE23-1200))))</f>
        <v/>
      </c>
      <c r="G23" s="56" t="str">
        <f aca="false">IF($AE23="","",IF($AE23&lt;=1200,IF(INDEX(对接源_01水果!$Z$4:$Z$1203,$AE23)=0,"",INDEX(对接源_01水果!$Z$4:$Z$1203,$AE23)),IF(INDEX(对接源_02物料!$Z$4:$Z$1203,$AE23-1200)=0,"",INDEX(对接源_02物料!$Z$4:$Z$1203,$AE23-1200))))</f>
        <v/>
      </c>
      <c r="H23" s="56" t="str">
        <f aca="false">IF($AE23="","",IF($AE23&lt;=1200,IF(INDEX(对接源_01水果!$AA$4:$AA$1203,$AE23)=0,"",INDEX(对接源_01水果!$AA$4:$AA$1203,$AE23)),IF(INDEX(对接源_02物料!$AA$4:$AA$1203,$AE23-1200)=0,"",INDEX(对接源_02物料!$AA$4:$AA$1203,$AE23-1200))))</f>
        <v/>
      </c>
      <c r="I23" s="46" t="str">
        <f aca="false">IF($AE23="","",IF($AE23&lt;=1200,IF(INDEX(对接源_01水果!$AB$4:$AB$1203,$AE23)=0,"",INDEX(对接源_01水果!$AB$4:$AB$1203,$AE23)),IF(INDEX(对接源_02物料!$AB$4:$AB$1203,$AE23-1200)=0,"",INDEX(对接源_02物料!$AB$4:$AB$1203,$AE23-1200))))</f>
        <v/>
      </c>
      <c r="J23" s="47" t="str">
        <f aca="false"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44" t="str">
        <f aca="false">IFERROR(MATCH(18,_自动清单!$AK$4:$AK$2403,0),"")</f>
        <v/>
      </c>
    </row>
    <row r="24" customFormat="false" ht="18" hidden="false" customHeight="true" outlineLevel="0" collapsed="false">
      <c r="A24" s="40" t="n">
        <f aca="false">IF($AE24="","",IF($AE24&lt;=1200,IF(INDEX(对接源_01水果!$B$4:$B$1203,$AE24)=0,"",INDEX(对接源_01水果!$B$4:$B$1203,$AE24)),IF(INDEX(对接源_02物料!$B$4:$B$1203,$AE24-1200)=0,"",INDEX(对接源_02物料!$B$4:$B$1203,$AE24-1200))))</f>
        <v>46267</v>
      </c>
      <c r="B24" s="41" t="str">
        <f aca="false">IF($AE24="","",IF($AE24&lt;=1200,IF(INDEX(对接源_01水果!$E$4:$E$1203,$AE24)=0,"",INDEX(对接源_01水果!$E$4:$E$1203,$AE24)),IF(INDEX(对接源_02物料!$E$4:$E$1203,$AE24-1200)=0,"",INDEX(对接源_02物料!$E$4:$E$1203,$AE24-1200))))</f>
        <v>NO:0001065</v>
      </c>
      <c r="C24" s="41" t="str">
        <f aca="false">IF($AE24="","",IF($AE24&lt;=1200,IF(INDEX(对接源_01水果!$F$4:$F$1203,$AE24)=0,"",INDEX(对接源_01水果!$F$4:$F$1203,$AE24)),IF(INDEX(对接源_02物料!$F$4:$F$1203,$AE24-1200)=0,"",INDEX(对接源_02物料!$F$4:$F$1203,$AE24-1200))))</f>
        <v>苹果</v>
      </c>
      <c r="D24" s="41" t="str">
        <f aca="false">IF($AE24="","",IF($AE24&lt;=1200,IF(INDEX(对接源_01水果!$G$4:$G$1203,$AE24)=0,"",INDEX(对接源_01水果!$G$4:$G$1203,$AE24)),IF(INDEX(对接源_02物料!$G$4:$G$1203,$AE24-1200)=0,"",INDEX(对接源_02物料!$G$4:$G$1203,$AE24-1200))))</f>
        <v>华硕一级</v>
      </c>
      <c r="E24" s="43" t="n">
        <f aca="false">IF($AE24="","",IF($AE24&lt;=1200,IF(INDEX(对接源_01水果!$H$4:$H$1203,$AE24)=0,"",INDEX(对接源_01水果!$H$4:$H$1203,$AE24)),IF(INDEX(对接源_02物料!$H$4:$H$1203,$AE24-1200)=0,"",INDEX(对接源_02物料!$H$4:$H$1203,$AE24-1200))))</f>
        <v>242</v>
      </c>
      <c r="F24" s="41" t="str">
        <f aca="false">IF($AE24="","",IF($AE24&lt;=1200,IF(INDEX(对接源_01水果!$I$4:$I$1203,$AE24)=0,"",INDEX(对接源_01水果!$I$4:$I$1203,$AE24)),IF(INDEX(对接源_02物料!$I$4:$I$1203,$AE24-1200)=0,"",INDEX(对接源_02物料!$I$4:$I$1203,$AE24-1200))))</f>
        <v>箱</v>
      </c>
      <c r="G24" s="55" t="str">
        <f aca="false">IF($AE24="","",IF($AE24&lt;=1200,IF(INDEX(对接源_01水果!$Z$4:$Z$1203,$AE24)=0,"",INDEX(对接源_01水果!$Z$4:$Z$1203,$AE24)),IF(INDEX(对接源_02物料!$Z$4:$Z$1203,$AE24-1200)=0,"",INDEX(对接源_02物料!$Z$4:$Z$1203,$AE24-1200))))</f>
        <v/>
      </c>
      <c r="H24" s="55" t="str">
        <f aca="false">IF($AE24="","",IF($AE24&lt;=1200,IF(INDEX(对接源_01水果!$AA$4:$AA$1203,$AE24)=0,"",INDEX(对接源_01水果!$AA$4:$AA$1203,$AE24)),IF(INDEX(对接源_02物料!$AA$4:$AA$1203,$AE24-1200)=0,"",INDEX(对接源_02物料!$AA$4:$AA$1203,$AE24-1200))))</f>
        <v/>
      </c>
      <c r="I24" s="41" t="str">
        <f aca="false">IF($AE24="","",IF($AE24&lt;=1200,IF(INDEX(对接源_01水果!$AB$4:$AB$1203,$AE24)=0,"",INDEX(对接源_01水果!$AB$4:$AB$1203,$AE24)),IF(INDEX(对接源_02物料!$AB$4:$AB$1203,$AE24-1200)=0,"",INDEX(对接源_02物料!$AB$4:$AB$1203,$AE24-1200))))</f>
        <v/>
      </c>
      <c r="J24" s="42" t="str">
        <f aca="false"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44" t="n">
        <f aca="false">IFERROR(MATCH(19,_自动清单!$AK$4:$AK$2403,0),"")</f>
        <v>284</v>
      </c>
    </row>
    <row r="25" customFormat="false" ht="18" hidden="false" customHeight="true" outlineLevel="0" collapsed="false">
      <c r="A25" s="45" t="str">
        <f aca="false"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46" t="str">
        <f aca="false"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46" t="str">
        <f aca="false">IF($AE25="","",IF($AE25&lt;=1200,IF(INDEX(对接源_01水果!$F$4:$F$1203,$AE25)=0,"",INDEX(对接源_01水果!$F$4:$F$1203,$AE25)),IF(INDEX(对接源_02物料!$F$4:$F$1203,$AE25-1200)=0,"",INDEX(对接源_02物料!$F$4:$F$1203,$AE25-1200))))</f>
        <v/>
      </c>
      <c r="D25" s="46" t="str">
        <f aca="false">IF($AE25="","",IF($AE25&lt;=1200,IF(INDEX(对接源_01水果!$G$4:$G$1203,$AE25)=0,"",INDEX(对接源_01水果!$G$4:$G$1203,$AE25)),IF(INDEX(对接源_02物料!$G$4:$G$1203,$AE25-1200)=0,"",INDEX(对接源_02物料!$G$4:$G$1203,$AE25-1200))))</f>
        <v/>
      </c>
      <c r="E25" s="48" t="str">
        <f aca="false">IF($AE25="","",IF($AE25&lt;=1200,IF(INDEX(对接源_01水果!$H$4:$H$1203,$AE25)=0,"",INDEX(对接源_01水果!$H$4:$H$1203,$AE25)),IF(INDEX(对接源_02物料!$H$4:$H$1203,$AE25-1200)=0,"",INDEX(对接源_02物料!$H$4:$H$1203,$AE25-1200))))</f>
        <v/>
      </c>
      <c r="F25" s="46" t="str">
        <f aca="false">IF($AE25="","",IF($AE25&lt;=1200,IF(INDEX(对接源_01水果!$I$4:$I$1203,$AE25)=0,"",INDEX(对接源_01水果!$I$4:$I$1203,$AE25)),IF(INDEX(对接源_02物料!$I$4:$I$1203,$AE25-1200)=0,"",INDEX(对接源_02物料!$I$4:$I$1203,$AE25-1200))))</f>
        <v/>
      </c>
      <c r="G25" s="56" t="str">
        <f aca="false">IF($AE25="","",IF($AE25&lt;=1200,IF(INDEX(对接源_01水果!$Z$4:$Z$1203,$AE25)=0,"",INDEX(对接源_01水果!$Z$4:$Z$1203,$AE25)),IF(INDEX(对接源_02物料!$Z$4:$Z$1203,$AE25-1200)=0,"",INDEX(对接源_02物料!$Z$4:$Z$1203,$AE25-1200))))</f>
        <v/>
      </c>
      <c r="H25" s="56" t="str">
        <f aca="false">IF($AE25="","",IF($AE25&lt;=1200,IF(INDEX(对接源_01水果!$AA$4:$AA$1203,$AE25)=0,"",INDEX(对接源_01水果!$AA$4:$AA$1203,$AE25)),IF(INDEX(对接源_02物料!$AA$4:$AA$1203,$AE25-1200)=0,"",INDEX(对接源_02物料!$AA$4:$AA$1203,$AE25-1200))))</f>
        <v/>
      </c>
      <c r="I25" s="46" t="str">
        <f aca="false">IF($AE25="","",IF($AE25&lt;=1200,IF(INDEX(对接源_01水果!$AB$4:$AB$1203,$AE25)=0,"",INDEX(对接源_01水果!$AB$4:$AB$1203,$AE25)),IF(INDEX(对接源_02物料!$AB$4:$AB$1203,$AE25-1200)=0,"",INDEX(对接源_02物料!$AB$4:$AB$1203,$AE25-1200))))</f>
        <v/>
      </c>
      <c r="J25" s="47" t="str">
        <f aca="false"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44" t="str">
        <f aca="false">IFERROR(MATCH(20,_自动清单!$AK$4:$AK$2403,0),"")</f>
        <v/>
      </c>
    </row>
    <row r="26" customFormat="false" ht="18" hidden="false" customHeight="true" outlineLevel="0" collapsed="false">
      <c r="A26" s="40" t="str">
        <f aca="false"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41" t="str">
        <f aca="false"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41" t="str">
        <f aca="false">IF($AE26="","",IF($AE26&lt;=1200,IF(INDEX(对接源_01水果!$F$4:$F$1203,$AE26)=0,"",INDEX(对接源_01水果!$F$4:$F$1203,$AE26)),IF(INDEX(对接源_02物料!$F$4:$F$1203,$AE26-1200)=0,"",INDEX(对接源_02物料!$F$4:$F$1203,$AE26-1200))))</f>
        <v/>
      </c>
      <c r="D26" s="41" t="str">
        <f aca="false">IF($AE26="","",IF($AE26&lt;=1200,IF(INDEX(对接源_01水果!$G$4:$G$1203,$AE26)=0,"",INDEX(对接源_01水果!$G$4:$G$1203,$AE26)),IF(INDEX(对接源_02物料!$G$4:$G$1203,$AE26-1200)=0,"",INDEX(对接源_02物料!$G$4:$G$1203,$AE26-1200))))</f>
        <v/>
      </c>
      <c r="E26" s="43" t="str">
        <f aca="false">IF($AE26="","",IF($AE26&lt;=1200,IF(INDEX(对接源_01水果!$H$4:$H$1203,$AE26)=0,"",INDEX(对接源_01水果!$H$4:$H$1203,$AE26)),IF(INDEX(对接源_02物料!$H$4:$H$1203,$AE26-1200)=0,"",INDEX(对接源_02物料!$H$4:$H$1203,$AE26-1200))))</f>
        <v/>
      </c>
      <c r="F26" s="41" t="str">
        <f aca="false">IF($AE26="","",IF($AE26&lt;=1200,IF(INDEX(对接源_01水果!$I$4:$I$1203,$AE26)=0,"",INDEX(对接源_01水果!$I$4:$I$1203,$AE26)),IF(INDEX(对接源_02物料!$I$4:$I$1203,$AE26-1200)=0,"",INDEX(对接源_02物料!$I$4:$I$1203,$AE26-1200))))</f>
        <v/>
      </c>
      <c r="G26" s="55" t="str">
        <f aca="false">IF($AE26="","",IF($AE26&lt;=1200,IF(INDEX(对接源_01水果!$Z$4:$Z$1203,$AE26)=0,"",INDEX(对接源_01水果!$Z$4:$Z$1203,$AE26)),IF(INDEX(对接源_02物料!$Z$4:$Z$1203,$AE26-1200)=0,"",INDEX(对接源_02物料!$Z$4:$Z$1203,$AE26-1200))))</f>
        <v/>
      </c>
      <c r="H26" s="55" t="str">
        <f aca="false">IF($AE26="","",IF($AE26&lt;=1200,IF(INDEX(对接源_01水果!$AA$4:$AA$1203,$AE26)=0,"",INDEX(对接源_01水果!$AA$4:$AA$1203,$AE26)),IF(INDEX(对接源_02物料!$AA$4:$AA$1203,$AE26-1200)=0,"",INDEX(对接源_02物料!$AA$4:$AA$1203,$AE26-1200))))</f>
        <v/>
      </c>
      <c r="I26" s="41" t="str">
        <f aca="false">IF($AE26="","",IF($AE26&lt;=1200,IF(INDEX(对接源_01水果!$AB$4:$AB$1203,$AE26)=0,"",INDEX(对接源_01水果!$AB$4:$AB$1203,$AE26)),IF(INDEX(对接源_02物料!$AB$4:$AB$1203,$AE26-1200)=0,"",INDEX(对接源_02物料!$AB$4:$AB$1203,$AE26-1200))))</f>
        <v/>
      </c>
      <c r="J26" s="42" t="str">
        <f aca="false"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44" t="str">
        <f aca="false">IFERROR(MATCH(21,_自动清单!$AK$4:$AK$2403,0),"")</f>
        <v/>
      </c>
    </row>
    <row r="27" customFormat="false" ht="18" hidden="false" customHeight="true" outlineLevel="0" collapsed="false">
      <c r="A27" s="45" t="n">
        <f aca="false">IF($AE27="","",IF($AE27&lt;=1200,IF(INDEX(对接源_01水果!$B$4:$B$1203,$AE27)=0,"",INDEX(对接源_01水果!$B$4:$B$1203,$AE27)),IF(INDEX(对接源_02物料!$B$4:$B$1203,$AE27-1200)=0,"",INDEX(对接源_02物料!$B$4:$B$1203,$AE27-1200))))</f>
        <v>46267</v>
      </c>
      <c r="B27" s="46" t="str">
        <f aca="false">IF($AE27="","",IF($AE27&lt;=1200,IF(INDEX(对接源_01水果!$E$4:$E$1203,$AE27)=0,"",INDEX(对接源_01水果!$E$4:$E$1203,$AE27)),IF(INDEX(对接源_02物料!$E$4:$E$1203,$AE27-1200)=0,"",INDEX(对接源_02物料!$E$4:$E$1203,$AE27-1200))))</f>
        <v>NO:0001065</v>
      </c>
      <c r="C27" s="46" t="str">
        <f aca="false">IF($AE27="","",IF($AE27&lt;=1200,IF(INDEX(对接源_01水果!$F$4:$F$1203,$AE27)=0,"",INDEX(对接源_01水果!$F$4:$F$1203,$AE27)),IF(INDEX(对接源_02物料!$F$4:$F$1203,$AE27-1200)=0,"",INDEX(对接源_02物料!$F$4:$F$1203,$AE27-1200))))</f>
        <v>苹果</v>
      </c>
      <c r="D27" s="46" t="str">
        <f aca="false">IF($AE27="","",IF($AE27&lt;=1200,IF(INDEX(对接源_01水果!$G$4:$G$1203,$AE27)=0,"",INDEX(对接源_01水果!$G$4:$G$1203,$AE27)),IF(INDEX(对接源_02物料!$G$4:$G$1203,$AE27-1200)=0,"",INDEX(对接源_02物料!$G$4:$G$1203,$AE27-1200))))</f>
        <v>华硕一级</v>
      </c>
      <c r="E27" s="48" t="n">
        <f aca="false">IF($AE27="","",IF($AE27&lt;=1200,IF(INDEX(对接源_01水果!$H$4:$H$1203,$AE27)=0,"",INDEX(对接源_01水果!$H$4:$H$1203,$AE27)),IF(INDEX(对接源_02物料!$H$4:$H$1203,$AE27-1200)=0,"",INDEX(对接源_02物料!$H$4:$H$1203,$AE27-1200))))</f>
        <v>28</v>
      </c>
      <c r="F27" s="46" t="str">
        <f aca="false">IF($AE27="","",IF($AE27&lt;=1200,IF(INDEX(对接源_01水果!$I$4:$I$1203,$AE27)=0,"",INDEX(对接源_01水果!$I$4:$I$1203,$AE27)),IF(INDEX(对接源_02物料!$I$4:$I$1203,$AE27-1200)=0,"",INDEX(对接源_02物料!$I$4:$I$1203,$AE27-1200))))</f>
        <v>箱</v>
      </c>
      <c r="G27" s="56" t="str">
        <f aca="false">IF($AE27="","",IF($AE27&lt;=1200,IF(INDEX(对接源_01水果!$Z$4:$Z$1203,$AE27)=0,"",INDEX(对接源_01水果!$Z$4:$Z$1203,$AE27)),IF(INDEX(对接源_02物料!$Z$4:$Z$1203,$AE27-1200)=0,"",INDEX(对接源_02物料!$Z$4:$Z$1203,$AE27-1200))))</f>
        <v/>
      </c>
      <c r="H27" s="56" t="str">
        <f aca="false">IF($AE27="","",IF($AE27&lt;=1200,IF(INDEX(对接源_01水果!$AA$4:$AA$1203,$AE27)=0,"",INDEX(对接源_01水果!$AA$4:$AA$1203,$AE27)),IF(INDEX(对接源_02物料!$AA$4:$AA$1203,$AE27-1200)=0,"",INDEX(对接源_02物料!$AA$4:$AA$1203,$AE27-1200))))</f>
        <v/>
      </c>
      <c r="I27" s="46" t="str">
        <f aca="false">IF($AE27="","",IF($AE27&lt;=1200,IF(INDEX(对接源_01水果!$AB$4:$AB$1203,$AE27)=0,"",INDEX(对接源_01水果!$AB$4:$AB$1203,$AE27)),IF(INDEX(对接源_02物料!$AB$4:$AB$1203,$AE27-1200)=0,"",INDEX(对接源_02物料!$AB$4:$AB$1203,$AE27-1200))))</f>
        <v/>
      </c>
      <c r="J27" s="47" t="str">
        <f aca="false"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44" t="n">
        <f aca="false">IFERROR(MATCH(22,_自动清单!$AK$4:$AK$2403,0),"")</f>
        <v>285</v>
      </c>
    </row>
    <row r="28" customFormat="false" ht="18" hidden="false" customHeight="true" outlineLevel="0" collapsed="false">
      <c r="A28" s="40" t="str">
        <f aca="false"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41" t="str">
        <f aca="false"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41" t="str">
        <f aca="false">IF($AE28="","",IF($AE28&lt;=1200,IF(INDEX(对接源_01水果!$F$4:$F$1203,$AE28)=0,"",INDEX(对接源_01水果!$F$4:$F$1203,$AE28)),IF(INDEX(对接源_02物料!$F$4:$F$1203,$AE28-1200)=0,"",INDEX(对接源_02物料!$F$4:$F$1203,$AE28-1200))))</f>
        <v/>
      </c>
      <c r="D28" s="41" t="str">
        <f aca="false">IF($AE28="","",IF($AE28&lt;=1200,IF(INDEX(对接源_01水果!$G$4:$G$1203,$AE28)=0,"",INDEX(对接源_01水果!$G$4:$G$1203,$AE28)),IF(INDEX(对接源_02物料!$G$4:$G$1203,$AE28-1200)=0,"",INDEX(对接源_02物料!$G$4:$G$1203,$AE28-1200))))</f>
        <v/>
      </c>
      <c r="E28" s="43" t="str">
        <f aca="false">IF($AE28="","",IF($AE28&lt;=1200,IF(INDEX(对接源_01水果!$H$4:$H$1203,$AE28)=0,"",INDEX(对接源_01水果!$H$4:$H$1203,$AE28)),IF(INDEX(对接源_02物料!$H$4:$H$1203,$AE28-1200)=0,"",INDEX(对接源_02物料!$H$4:$H$1203,$AE28-1200))))</f>
        <v/>
      </c>
      <c r="F28" s="41" t="str">
        <f aca="false">IF($AE28="","",IF($AE28&lt;=1200,IF(INDEX(对接源_01水果!$I$4:$I$1203,$AE28)=0,"",INDEX(对接源_01水果!$I$4:$I$1203,$AE28)),IF(INDEX(对接源_02物料!$I$4:$I$1203,$AE28-1200)=0,"",INDEX(对接源_02物料!$I$4:$I$1203,$AE28-1200))))</f>
        <v/>
      </c>
      <c r="G28" s="55" t="str">
        <f aca="false">IF($AE28="","",IF($AE28&lt;=1200,IF(INDEX(对接源_01水果!$Z$4:$Z$1203,$AE28)=0,"",INDEX(对接源_01水果!$Z$4:$Z$1203,$AE28)),IF(INDEX(对接源_02物料!$Z$4:$Z$1203,$AE28-1200)=0,"",INDEX(对接源_02物料!$Z$4:$Z$1203,$AE28-1200))))</f>
        <v/>
      </c>
      <c r="H28" s="55" t="str">
        <f aca="false">IF($AE28="","",IF($AE28&lt;=1200,IF(INDEX(对接源_01水果!$AA$4:$AA$1203,$AE28)=0,"",INDEX(对接源_01水果!$AA$4:$AA$1203,$AE28)),IF(INDEX(对接源_02物料!$AA$4:$AA$1203,$AE28-1200)=0,"",INDEX(对接源_02物料!$AA$4:$AA$1203,$AE28-1200))))</f>
        <v/>
      </c>
      <c r="I28" s="41" t="str">
        <f aca="false">IF($AE28="","",IF($AE28&lt;=1200,IF(INDEX(对接源_01水果!$AB$4:$AB$1203,$AE28)=0,"",INDEX(对接源_01水果!$AB$4:$AB$1203,$AE28)),IF(INDEX(对接源_02物料!$AB$4:$AB$1203,$AE28-1200)=0,"",INDEX(对接源_02物料!$AB$4:$AB$1203,$AE28-1200))))</f>
        <v/>
      </c>
      <c r="J28" s="42" t="str">
        <f aca="false"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44" t="str">
        <f aca="false">IFERROR(MATCH(23,_自动清单!$AK$4:$AK$2403,0),"")</f>
        <v/>
      </c>
    </row>
    <row r="29" customFormat="false" ht="18" hidden="false" customHeight="true" outlineLevel="0" collapsed="false">
      <c r="A29" s="45" t="str">
        <f aca="false"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46" t="str">
        <f aca="false"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46" t="str">
        <f aca="false">IF($AE29="","",IF($AE29&lt;=1200,IF(INDEX(对接源_01水果!$F$4:$F$1203,$AE29)=0,"",INDEX(对接源_01水果!$F$4:$F$1203,$AE29)),IF(INDEX(对接源_02物料!$F$4:$F$1203,$AE29-1200)=0,"",INDEX(对接源_02物料!$F$4:$F$1203,$AE29-1200))))</f>
        <v/>
      </c>
      <c r="D29" s="46" t="str">
        <f aca="false">IF($AE29="","",IF($AE29&lt;=1200,IF(INDEX(对接源_01水果!$G$4:$G$1203,$AE29)=0,"",INDEX(对接源_01水果!$G$4:$G$1203,$AE29)),IF(INDEX(对接源_02物料!$G$4:$G$1203,$AE29-1200)=0,"",INDEX(对接源_02物料!$G$4:$G$1203,$AE29-1200))))</f>
        <v/>
      </c>
      <c r="E29" s="48" t="str">
        <f aca="false">IF($AE29="","",IF($AE29&lt;=1200,IF(INDEX(对接源_01水果!$H$4:$H$1203,$AE29)=0,"",INDEX(对接源_01水果!$H$4:$H$1203,$AE29)),IF(INDEX(对接源_02物料!$H$4:$H$1203,$AE29-1200)=0,"",INDEX(对接源_02物料!$H$4:$H$1203,$AE29-1200))))</f>
        <v/>
      </c>
      <c r="F29" s="46" t="str">
        <f aca="false">IF($AE29="","",IF($AE29&lt;=1200,IF(INDEX(对接源_01水果!$I$4:$I$1203,$AE29)=0,"",INDEX(对接源_01水果!$I$4:$I$1203,$AE29)),IF(INDEX(对接源_02物料!$I$4:$I$1203,$AE29-1200)=0,"",INDEX(对接源_02物料!$I$4:$I$1203,$AE29-1200))))</f>
        <v/>
      </c>
      <c r="G29" s="56" t="str">
        <f aca="false">IF($AE29="","",IF($AE29&lt;=1200,IF(INDEX(对接源_01水果!$Z$4:$Z$1203,$AE29)=0,"",INDEX(对接源_01水果!$Z$4:$Z$1203,$AE29)),IF(INDEX(对接源_02物料!$Z$4:$Z$1203,$AE29-1200)=0,"",INDEX(对接源_02物料!$Z$4:$Z$1203,$AE29-1200))))</f>
        <v/>
      </c>
      <c r="H29" s="56" t="str">
        <f aca="false">IF($AE29="","",IF($AE29&lt;=1200,IF(INDEX(对接源_01水果!$AA$4:$AA$1203,$AE29)=0,"",INDEX(对接源_01水果!$AA$4:$AA$1203,$AE29)),IF(INDEX(对接源_02物料!$AA$4:$AA$1203,$AE29-1200)=0,"",INDEX(对接源_02物料!$AA$4:$AA$1203,$AE29-1200))))</f>
        <v/>
      </c>
      <c r="I29" s="46" t="str">
        <f aca="false">IF($AE29="","",IF($AE29&lt;=1200,IF(INDEX(对接源_01水果!$AB$4:$AB$1203,$AE29)=0,"",INDEX(对接源_01水果!$AB$4:$AB$1203,$AE29)),IF(INDEX(对接源_02物料!$AB$4:$AB$1203,$AE29-1200)=0,"",INDEX(对接源_02物料!$AB$4:$AB$1203,$AE29-1200))))</f>
        <v/>
      </c>
      <c r="J29" s="47" t="str">
        <f aca="false"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44" t="str">
        <f aca="false">IFERROR(MATCH(24,_自动清单!$AK$4:$AK$2403,0),"")</f>
        <v/>
      </c>
    </row>
    <row r="30" customFormat="false" ht="18" hidden="false" customHeight="true" outlineLevel="0" collapsed="false">
      <c r="A30" s="40" t="n">
        <f aca="false">IF($AE30="","",IF($AE30&lt;=1200,IF(INDEX(对接源_01水果!$B$4:$B$1203,$AE30)=0,"",INDEX(对接源_01水果!$B$4:$B$1203,$AE30)),IF(INDEX(对接源_02物料!$B$4:$B$1203,$AE30-1200)=0,"",INDEX(对接源_02物料!$B$4:$B$1203,$AE30-1200))))</f>
        <v>46269</v>
      </c>
      <c r="B30" s="41" t="str">
        <f aca="false">IF($AE30="","",IF($AE30&lt;=1200,IF(INDEX(对接源_01水果!$E$4:$E$1203,$AE30)=0,"",INDEX(对接源_01水果!$E$4:$E$1203,$AE30)),IF(INDEX(对接源_02物料!$E$4:$E$1203,$AE30-1200)=0,"",INDEX(对接源_02物料!$E$4:$E$1203,$AE30-1200))))</f>
        <v>NO:0001081</v>
      </c>
      <c r="C30" s="41" t="str">
        <f aca="false">IF($AE30="","",IF($AE30&lt;=1200,IF(INDEX(对接源_01水果!$F$4:$F$1203,$AE30)=0,"",INDEX(对接源_01水果!$F$4:$F$1203,$AE30)),IF(INDEX(对接源_02物料!$F$4:$F$1203,$AE30-1200)=0,"",INDEX(对接源_02物料!$F$4:$F$1203,$AE30-1200))))</f>
        <v>苹果</v>
      </c>
      <c r="D30" s="41" t="str">
        <f aca="false">IF($AE30="","",IF($AE30&lt;=1200,IF(INDEX(对接源_01水果!$G$4:$G$1203,$AE30)=0,"",INDEX(对接源_01水果!$G$4:$G$1203,$AE30)),IF(INDEX(对接源_02物料!$G$4:$G$1203,$AE30-1200)=0,"",INDEX(对接源_02物料!$G$4:$G$1203,$AE30-1200))))</f>
        <v>苹果扎伤</v>
      </c>
      <c r="E30" s="43" t="n">
        <f aca="false">IF($AE30="","",IF($AE30&lt;=1200,IF(INDEX(对接源_01水果!$H$4:$H$1203,$AE30)=0,"",INDEX(对接源_01水果!$H$4:$H$1203,$AE30)),IF(INDEX(对接源_02物料!$H$4:$H$1203,$AE30-1200)=0,"",INDEX(对接源_02物料!$H$4:$H$1203,$AE30-1200))))</f>
        <v>113</v>
      </c>
      <c r="F30" s="41" t="str">
        <f aca="false">IF($AE30="","",IF($AE30&lt;=1200,IF(INDEX(对接源_01水果!$I$4:$I$1203,$AE30)=0,"",INDEX(对接源_01水果!$I$4:$I$1203,$AE30)),IF(INDEX(对接源_02物料!$I$4:$I$1203,$AE30-1200)=0,"",INDEX(对接源_02物料!$I$4:$I$1203,$AE30-1200))))</f>
        <v>筐</v>
      </c>
      <c r="G30" s="55" t="str">
        <f aca="false">IF($AE30="","",IF($AE30&lt;=1200,IF(INDEX(对接源_01水果!$Z$4:$Z$1203,$AE30)=0,"",INDEX(对接源_01水果!$Z$4:$Z$1203,$AE30)),IF(INDEX(对接源_02物料!$Z$4:$Z$1203,$AE30-1200)=0,"",INDEX(对接源_02物料!$Z$4:$Z$1203,$AE30-1200))))</f>
        <v/>
      </c>
      <c r="H30" s="55" t="str">
        <f aca="false">IF($AE30="","",IF($AE30&lt;=1200,IF(INDEX(对接源_01水果!$AA$4:$AA$1203,$AE30)=0,"",INDEX(对接源_01水果!$AA$4:$AA$1203,$AE30)),IF(INDEX(对接源_02物料!$AA$4:$AA$1203,$AE30-1200)=0,"",INDEX(对接源_02物料!$AA$4:$AA$1203,$AE30-1200))))</f>
        <v/>
      </c>
      <c r="I30" s="41" t="str">
        <f aca="false">IF($AE30="","",IF($AE30&lt;=1200,IF(INDEX(对接源_01水果!$AB$4:$AB$1203,$AE30)=0,"",INDEX(对接源_01水果!$AB$4:$AB$1203,$AE30)),IF(INDEX(对接源_02物料!$AB$4:$AB$1203,$AE30-1200)=0,"",INDEX(对接源_02物料!$AB$4:$AB$1203,$AE30-1200))))</f>
        <v/>
      </c>
      <c r="J30" s="42" t="str">
        <f aca="false"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44" t="n">
        <f aca="false">IFERROR(MATCH(25,_自动清单!$AK$4:$AK$2403,0),"")</f>
        <v>286</v>
      </c>
    </row>
    <row r="31" customFormat="false" ht="18" hidden="false" customHeight="true" outlineLevel="0" collapsed="false">
      <c r="A31" s="45" t="str">
        <f aca="false"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46" t="str">
        <f aca="false"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46" t="str">
        <f aca="false"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46" t="str">
        <f aca="false">IF($AE31="","",IF($AE31&lt;=1200,IF(INDEX(对接源_01水果!$G$4:$G$1203,$AE31)=0,"",INDEX(对接源_01水果!$G$4:$G$1203,$AE31)),IF(INDEX(对接源_02物料!$G$4:$G$1203,$AE31-1200)=0,"",INDEX(对接源_02物料!$G$4:$G$1203,$AE31-1200))))</f>
        <v/>
      </c>
      <c r="E31" s="48" t="str">
        <f aca="false"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46" t="str">
        <f aca="false"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56" t="str">
        <f aca="false">IF($AE31="","",IF($AE31&lt;=1200,IF(INDEX(对接源_01水果!$Z$4:$Z$1203,$AE31)=0,"",INDEX(对接源_01水果!$Z$4:$Z$1203,$AE31)),IF(INDEX(对接源_02物料!$Z$4:$Z$1203,$AE31-1200)=0,"",INDEX(对接源_02物料!$Z$4:$Z$1203,$AE31-1200))))</f>
        <v/>
      </c>
      <c r="H31" s="56" t="str">
        <f aca="false">IF($AE31="","",IF($AE31&lt;=1200,IF(INDEX(对接源_01水果!$AA$4:$AA$1203,$AE31)=0,"",INDEX(对接源_01水果!$AA$4:$AA$1203,$AE31)),IF(INDEX(对接源_02物料!$AA$4:$AA$1203,$AE31-1200)=0,"",INDEX(对接源_02物料!$AA$4:$AA$1203,$AE31-1200))))</f>
        <v/>
      </c>
      <c r="I31" s="46" t="str">
        <f aca="false">IF($AE31="","",IF($AE31&lt;=1200,IF(INDEX(对接源_01水果!$AB$4:$AB$1203,$AE31)=0,"",INDEX(对接源_01水果!$AB$4:$AB$1203,$AE31)),IF(INDEX(对接源_02物料!$AB$4:$AB$1203,$AE31-1200)=0,"",INDEX(对接源_02物料!$AB$4:$AB$1203,$AE31-1200))))</f>
        <v/>
      </c>
      <c r="J31" s="47" t="str">
        <f aca="false"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44" t="str">
        <f aca="false">IFERROR(MATCH(26,_自动清单!$AK$4:$AK$2403,0),"")</f>
        <v/>
      </c>
    </row>
    <row r="32" customFormat="false" ht="18" hidden="false" customHeight="true" outlineLevel="0" collapsed="false">
      <c r="A32" s="40" t="str">
        <f aca="false"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41" t="str">
        <f aca="false"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41" t="str">
        <f aca="false"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41" t="str">
        <f aca="false">IF($AE32="","",IF($AE32&lt;=1200,IF(INDEX(对接源_01水果!$G$4:$G$1203,$AE32)=0,"",INDEX(对接源_01水果!$G$4:$G$1203,$AE32)),IF(INDEX(对接源_02物料!$G$4:$G$1203,$AE32-1200)=0,"",INDEX(对接源_02物料!$G$4:$G$1203,$AE32-1200))))</f>
        <v/>
      </c>
      <c r="E32" s="43" t="str">
        <f aca="false"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41" t="str">
        <f aca="false"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55" t="str">
        <f aca="false">IF($AE32="","",IF($AE32&lt;=1200,IF(INDEX(对接源_01水果!$Z$4:$Z$1203,$AE32)=0,"",INDEX(对接源_01水果!$Z$4:$Z$1203,$AE32)),IF(INDEX(对接源_02物料!$Z$4:$Z$1203,$AE32-1200)=0,"",INDEX(对接源_02物料!$Z$4:$Z$1203,$AE32-1200))))</f>
        <v/>
      </c>
      <c r="H32" s="55" t="str">
        <f aca="false">IF($AE32="","",IF($AE32&lt;=1200,IF(INDEX(对接源_01水果!$AA$4:$AA$1203,$AE32)=0,"",INDEX(对接源_01水果!$AA$4:$AA$1203,$AE32)),IF(INDEX(对接源_02物料!$AA$4:$AA$1203,$AE32-1200)=0,"",INDEX(对接源_02物料!$AA$4:$AA$1203,$AE32-1200))))</f>
        <v/>
      </c>
      <c r="I32" s="41" t="str">
        <f aca="false">IF($AE32="","",IF($AE32&lt;=1200,IF(INDEX(对接源_01水果!$AB$4:$AB$1203,$AE32)=0,"",INDEX(对接源_01水果!$AB$4:$AB$1203,$AE32)),IF(INDEX(对接源_02物料!$AB$4:$AB$1203,$AE32-1200)=0,"",INDEX(对接源_02物料!$AB$4:$AB$1203,$AE32-1200))))</f>
        <v/>
      </c>
      <c r="J32" s="42" t="str">
        <f aca="false"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44" t="str">
        <f aca="false">IFERROR(MATCH(27,_自动清单!$AK$4:$AK$2403,0),"")</f>
        <v/>
      </c>
    </row>
    <row r="33" customFormat="false" ht="18" hidden="false" customHeight="true" outlineLevel="0" collapsed="false">
      <c r="A33" s="45" t="n">
        <f aca="false">IF($AE33="","",IF($AE33&lt;=1200,IF(INDEX(对接源_01水果!$B$4:$B$1203,$AE33)=0,"",INDEX(对接源_01水果!$B$4:$B$1203,$AE33)),IF(INDEX(对接源_02物料!$B$4:$B$1203,$AE33-1200)=0,"",INDEX(对接源_02物料!$B$4:$B$1203,$AE33-1200))))</f>
        <v>46269</v>
      </c>
      <c r="B33" s="46" t="str">
        <f aca="false">IF($AE33="","",IF($AE33&lt;=1200,IF(INDEX(对接源_01水果!$E$4:$E$1203,$AE33)=0,"",INDEX(对接源_01水果!$E$4:$E$1203,$AE33)),IF(INDEX(对接源_02物料!$E$4:$E$1203,$AE33-1200)=0,"",INDEX(对接源_02物料!$E$4:$E$1203,$AE33-1200))))</f>
        <v>NO:0001082</v>
      </c>
      <c r="C33" s="46" t="str">
        <f aca="false">IF($AE33="","",IF($AE33&lt;=1200,IF(INDEX(对接源_01水果!$F$4:$F$1203,$AE33)=0,"",INDEX(对接源_01水果!$F$4:$F$1203,$AE33)),IF(INDEX(对接源_02物料!$F$4:$F$1203,$AE33-1200)=0,"",INDEX(对接源_02物料!$F$4:$F$1203,$AE33-1200))))</f>
        <v>苹果</v>
      </c>
      <c r="D33" s="46" t="str">
        <f aca="false">IF($AE33="","",IF($AE33&lt;=1200,IF(INDEX(对接源_01水果!$G$4:$G$1203,$AE33)=0,"",INDEX(对接源_01水果!$G$4:$G$1203,$AE33)),IF(INDEX(对接源_02物料!$G$4:$G$1203,$AE33-1200)=0,"",INDEX(对接源_02物料!$G$4:$G$1203,$AE33-1200))))</f>
        <v>苹果扎伤</v>
      </c>
      <c r="E33" s="48" t="n">
        <f aca="false">IF($AE33="","",IF($AE33&lt;=1200,IF(INDEX(对接源_01水果!$H$4:$H$1203,$AE33)=0,"",INDEX(对接源_01水果!$H$4:$H$1203,$AE33)),IF(INDEX(对接源_02物料!$H$4:$H$1203,$AE33-1200)=0,"",INDEX(对接源_02物料!$H$4:$H$1203,$AE33-1200))))</f>
        <v>81</v>
      </c>
      <c r="F33" s="46" t="str">
        <f aca="false">IF($AE33="","",IF($AE33&lt;=1200,IF(INDEX(对接源_01水果!$I$4:$I$1203,$AE33)=0,"",INDEX(对接源_01水果!$I$4:$I$1203,$AE33)),IF(INDEX(对接源_02物料!$I$4:$I$1203,$AE33-1200)=0,"",INDEX(对接源_02物料!$I$4:$I$1203,$AE33-1200))))</f>
        <v>箱</v>
      </c>
      <c r="G33" s="56" t="str">
        <f aca="false">IF($AE33="","",IF($AE33&lt;=1200,IF(INDEX(对接源_01水果!$Z$4:$Z$1203,$AE33)=0,"",INDEX(对接源_01水果!$Z$4:$Z$1203,$AE33)),IF(INDEX(对接源_02物料!$Z$4:$Z$1203,$AE33-1200)=0,"",INDEX(对接源_02物料!$Z$4:$Z$1203,$AE33-1200))))</f>
        <v/>
      </c>
      <c r="H33" s="56" t="str">
        <f aca="false">IF($AE33="","",IF($AE33&lt;=1200,IF(INDEX(对接源_01水果!$AA$4:$AA$1203,$AE33)=0,"",INDEX(对接源_01水果!$AA$4:$AA$1203,$AE33)),IF(INDEX(对接源_02物料!$AA$4:$AA$1203,$AE33-1200)=0,"",INDEX(对接源_02物料!$AA$4:$AA$1203,$AE33-1200))))</f>
        <v/>
      </c>
      <c r="I33" s="46" t="str">
        <f aca="false">IF($AE33="","",IF($AE33&lt;=1200,IF(INDEX(对接源_01水果!$AB$4:$AB$1203,$AE33)=0,"",INDEX(对接源_01水果!$AB$4:$AB$1203,$AE33)),IF(INDEX(对接源_02物料!$AB$4:$AB$1203,$AE33-1200)=0,"",INDEX(对接源_02物料!$AB$4:$AB$1203,$AE33-1200))))</f>
        <v/>
      </c>
      <c r="J33" s="47" t="str">
        <f aca="false"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44" t="n">
        <f aca="false">IFERROR(MATCH(28,_自动清单!$AK$4:$AK$2403,0),"")</f>
        <v>287</v>
      </c>
    </row>
    <row r="34" customFormat="false" ht="18" hidden="false" customHeight="true" outlineLevel="0" collapsed="false">
      <c r="A34" s="40" t="str">
        <f aca="false"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41" t="str">
        <f aca="false"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41" t="str">
        <f aca="false"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41" t="str">
        <f aca="false">IF($AE34="","",IF($AE34&lt;=1200,IF(INDEX(对接源_01水果!$G$4:$G$1203,$AE34)=0,"",INDEX(对接源_01水果!$G$4:$G$1203,$AE34)),IF(INDEX(对接源_02物料!$G$4:$G$1203,$AE34-1200)=0,"",INDEX(对接源_02物料!$G$4:$G$1203,$AE34-1200))))</f>
        <v/>
      </c>
      <c r="E34" s="43" t="str">
        <f aca="false"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41" t="str">
        <f aca="false"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55" t="str">
        <f aca="false">IF($AE34="","",IF($AE34&lt;=1200,IF(INDEX(对接源_01水果!$Z$4:$Z$1203,$AE34)=0,"",INDEX(对接源_01水果!$Z$4:$Z$1203,$AE34)),IF(INDEX(对接源_02物料!$Z$4:$Z$1203,$AE34-1200)=0,"",INDEX(对接源_02物料!$Z$4:$Z$1203,$AE34-1200))))</f>
        <v/>
      </c>
      <c r="H34" s="55" t="str">
        <f aca="false">IF($AE34="","",IF($AE34&lt;=1200,IF(INDEX(对接源_01水果!$AA$4:$AA$1203,$AE34)=0,"",INDEX(对接源_01水果!$AA$4:$AA$1203,$AE34)),IF(INDEX(对接源_02物料!$AA$4:$AA$1203,$AE34-1200)=0,"",INDEX(对接源_02物料!$AA$4:$AA$1203,$AE34-1200))))</f>
        <v/>
      </c>
      <c r="I34" s="41" t="str">
        <f aca="false">IF($AE34="","",IF($AE34&lt;=1200,IF(INDEX(对接源_01水果!$AB$4:$AB$1203,$AE34)=0,"",INDEX(对接源_01水果!$AB$4:$AB$1203,$AE34)),IF(INDEX(对接源_02物料!$AB$4:$AB$1203,$AE34-1200)=0,"",INDEX(对接源_02物料!$AB$4:$AB$1203,$AE34-1200))))</f>
        <v/>
      </c>
      <c r="J34" s="42" t="str">
        <f aca="false"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44" t="str">
        <f aca="false">IFERROR(MATCH(29,_自动清单!$AK$4:$AK$2403,0),"")</f>
        <v/>
      </c>
    </row>
    <row r="35" customFormat="false" ht="18" hidden="false" customHeight="true" outlineLevel="0" collapsed="false">
      <c r="A35" s="45" t="str">
        <f aca="false"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46" t="str">
        <f aca="false"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46" t="str">
        <f aca="false"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46" t="str">
        <f aca="false">IF($AE35="","",IF($AE35&lt;=1200,IF(INDEX(对接源_01水果!$G$4:$G$1203,$AE35)=0,"",INDEX(对接源_01水果!$G$4:$G$1203,$AE35)),IF(INDEX(对接源_02物料!$G$4:$G$1203,$AE35-1200)=0,"",INDEX(对接源_02物料!$G$4:$G$1203,$AE35-1200))))</f>
        <v/>
      </c>
      <c r="E35" s="48" t="str">
        <f aca="false"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46" t="str">
        <f aca="false"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56" t="str">
        <f aca="false">IF($AE35="","",IF($AE35&lt;=1200,IF(INDEX(对接源_01水果!$Z$4:$Z$1203,$AE35)=0,"",INDEX(对接源_01水果!$Z$4:$Z$1203,$AE35)),IF(INDEX(对接源_02物料!$Z$4:$Z$1203,$AE35-1200)=0,"",INDEX(对接源_02物料!$Z$4:$Z$1203,$AE35-1200))))</f>
        <v/>
      </c>
      <c r="H35" s="56" t="str">
        <f aca="false">IF($AE35="","",IF($AE35&lt;=1200,IF(INDEX(对接源_01水果!$AA$4:$AA$1203,$AE35)=0,"",INDEX(对接源_01水果!$AA$4:$AA$1203,$AE35)),IF(INDEX(对接源_02物料!$AA$4:$AA$1203,$AE35-1200)=0,"",INDEX(对接源_02物料!$AA$4:$AA$1203,$AE35-1200))))</f>
        <v/>
      </c>
      <c r="I35" s="46" t="str">
        <f aca="false">IF($AE35="","",IF($AE35&lt;=1200,IF(INDEX(对接源_01水果!$AB$4:$AB$1203,$AE35)=0,"",INDEX(对接源_01水果!$AB$4:$AB$1203,$AE35)),IF(INDEX(对接源_02物料!$AB$4:$AB$1203,$AE35-1200)=0,"",INDEX(对接源_02物料!$AB$4:$AB$1203,$AE35-1200))))</f>
        <v/>
      </c>
      <c r="J35" s="47" t="str">
        <f aca="false"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44" t="str">
        <f aca="false">IFERROR(MATCH(30,_自动清单!$AK$4:$AK$2403,0),"")</f>
        <v/>
      </c>
    </row>
    <row r="36" customFormat="false" ht="18" hidden="false" customHeight="true" outlineLevel="0" collapsed="false">
      <c r="A36" s="40" t="n">
        <f aca="false">IF($AE36="","",IF($AE36&lt;=1200,IF(INDEX(对接源_01水果!$B$4:$B$1203,$AE36)=0,"",INDEX(对接源_01水果!$B$4:$B$1203,$AE36)),IF(INDEX(对接源_02物料!$B$4:$B$1203,$AE36-1200)=0,"",INDEX(对接源_02物料!$B$4:$B$1203,$AE36-1200))))</f>
        <v>46269</v>
      </c>
      <c r="B36" s="41" t="str">
        <f aca="false">IF($AE36="","",IF($AE36&lt;=1200,IF(INDEX(对接源_01水果!$E$4:$E$1203,$AE36)=0,"",INDEX(对接源_01水果!$E$4:$E$1203,$AE36)),IF(INDEX(对接源_02物料!$E$4:$E$1203,$AE36-1200)=0,"",INDEX(对接源_02物料!$E$4:$E$1203,$AE36-1200))))</f>
        <v>NO:0001083</v>
      </c>
      <c r="C36" s="41" t="str">
        <f aca="false">IF($AE36="","",IF($AE36&lt;=1200,IF(INDEX(对接源_01水果!$F$4:$F$1203,$AE36)=0,"",INDEX(对接源_01水果!$F$4:$F$1203,$AE36)),IF(INDEX(对接源_02物料!$F$4:$F$1203,$AE36-1200)=0,"",INDEX(对接源_02物料!$F$4:$F$1203,$AE36-1200))))</f>
        <v>苹果</v>
      </c>
      <c r="D36" s="41" t="str">
        <f aca="false">IF($AE36="","",IF($AE36&lt;=1200,IF(INDEX(对接源_01水果!$G$4:$G$1203,$AE36)=0,"",INDEX(对接源_01水果!$G$4:$G$1203,$AE36)),IF(INDEX(对接源_02物料!$G$4:$G$1203,$AE36-1200)=0,"",INDEX(对接源_02物料!$G$4:$G$1203,$AE36-1200))))</f>
        <v>华硕一级</v>
      </c>
      <c r="E36" s="43" t="n">
        <f aca="false">IF($AE36="","",IF($AE36&lt;=1200,IF(INDEX(对接源_01水果!$H$4:$H$1203,$AE36)=0,"",INDEX(对接源_01水果!$H$4:$H$1203,$AE36)),IF(INDEX(对接源_02物料!$H$4:$H$1203,$AE36-1200)=0,"",INDEX(对接源_02物料!$H$4:$H$1203,$AE36-1200))))</f>
        <v>9</v>
      </c>
      <c r="F36" s="41" t="str">
        <f aca="false">IF($AE36="","",IF($AE36&lt;=1200,IF(INDEX(对接源_01水果!$I$4:$I$1203,$AE36)=0,"",INDEX(对接源_01水果!$I$4:$I$1203,$AE36)),IF(INDEX(对接源_02物料!$I$4:$I$1203,$AE36-1200)=0,"",INDEX(对接源_02物料!$I$4:$I$1203,$AE36-1200))))</f>
        <v>箱</v>
      </c>
      <c r="G36" s="55" t="str">
        <f aca="false">IF($AE36="","",IF($AE36&lt;=1200,IF(INDEX(对接源_01水果!$Z$4:$Z$1203,$AE36)=0,"",INDEX(对接源_01水果!$Z$4:$Z$1203,$AE36)),IF(INDEX(对接源_02物料!$Z$4:$Z$1203,$AE36-1200)=0,"",INDEX(对接源_02物料!$Z$4:$Z$1203,$AE36-1200))))</f>
        <v/>
      </c>
      <c r="H36" s="55" t="str">
        <f aca="false">IF($AE36="","",IF($AE36&lt;=1200,IF(INDEX(对接源_01水果!$AA$4:$AA$1203,$AE36)=0,"",INDEX(对接源_01水果!$AA$4:$AA$1203,$AE36)),IF(INDEX(对接源_02物料!$AA$4:$AA$1203,$AE36-1200)=0,"",INDEX(对接源_02物料!$AA$4:$AA$1203,$AE36-1200))))</f>
        <v/>
      </c>
      <c r="I36" s="41" t="str">
        <f aca="false">IF($AE36="","",IF($AE36&lt;=1200,IF(INDEX(对接源_01水果!$AB$4:$AB$1203,$AE36)=0,"",INDEX(对接源_01水果!$AB$4:$AB$1203,$AE36)),IF(INDEX(对接源_02物料!$AB$4:$AB$1203,$AE36-1200)=0,"",INDEX(对接源_02物料!$AB$4:$AB$1203,$AE36-1200))))</f>
        <v/>
      </c>
      <c r="J36" s="42" t="str">
        <f aca="false"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44" t="n">
        <f aca="false">IFERROR(MATCH(31,_自动清单!$AK$4:$AK$2403,0),"")</f>
        <v>288</v>
      </c>
    </row>
    <row r="37" customFormat="false" ht="18" hidden="false" customHeight="true" outlineLevel="0" collapsed="false">
      <c r="A37" s="45" t="str">
        <f aca="false"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46" t="str">
        <f aca="false"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46" t="str">
        <f aca="false"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46" t="str">
        <f aca="false"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48" t="str">
        <f aca="false"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46" t="str">
        <f aca="false"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56" t="str">
        <f aca="false">IF($AE37="","",IF($AE37&lt;=1200,IF(INDEX(对接源_01水果!$Z$4:$Z$1203,$AE37)=0,"",INDEX(对接源_01水果!$Z$4:$Z$1203,$AE37)),IF(INDEX(对接源_02物料!$Z$4:$Z$1203,$AE37-1200)=0,"",INDEX(对接源_02物料!$Z$4:$Z$1203,$AE37-1200))))</f>
        <v/>
      </c>
      <c r="H37" s="56" t="str">
        <f aca="false">IF($AE37="","",IF($AE37&lt;=1200,IF(INDEX(对接源_01水果!$AA$4:$AA$1203,$AE37)=0,"",INDEX(对接源_01水果!$AA$4:$AA$1203,$AE37)),IF(INDEX(对接源_02物料!$AA$4:$AA$1203,$AE37-1200)=0,"",INDEX(对接源_02物料!$AA$4:$AA$1203,$AE37-1200))))</f>
        <v/>
      </c>
      <c r="I37" s="46" t="str">
        <f aca="false">IF($AE37="","",IF($AE37&lt;=1200,IF(INDEX(对接源_01水果!$AB$4:$AB$1203,$AE37)=0,"",INDEX(对接源_01水果!$AB$4:$AB$1203,$AE37)),IF(INDEX(对接源_02物料!$AB$4:$AB$1203,$AE37-1200)=0,"",INDEX(对接源_02物料!$AB$4:$AB$1203,$AE37-1200))))</f>
        <v/>
      </c>
      <c r="J37" s="47" t="str">
        <f aca="false"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44" t="str">
        <f aca="false">IFERROR(MATCH(32,_自动清单!$AK$4:$AK$2403,0),"")</f>
        <v/>
      </c>
    </row>
    <row r="38" customFormat="false" ht="18" hidden="false" customHeight="true" outlineLevel="0" collapsed="false">
      <c r="A38" s="40" t="str">
        <f aca="false"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41" t="str">
        <f aca="false"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41" t="str">
        <f aca="false"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41" t="str">
        <f aca="false"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43" t="str">
        <f aca="false"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41" t="str">
        <f aca="false"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5" t="str">
        <f aca="false">IF($AE38="","",IF($AE38&lt;=1200,IF(INDEX(对接源_01水果!$Z$4:$Z$1203,$AE38)=0,"",INDEX(对接源_01水果!$Z$4:$Z$1203,$AE38)),IF(INDEX(对接源_02物料!$Z$4:$Z$1203,$AE38-1200)=0,"",INDEX(对接源_02物料!$Z$4:$Z$1203,$AE38-1200))))</f>
        <v/>
      </c>
      <c r="H38" s="55" t="str">
        <f aca="false">IF($AE38="","",IF($AE38&lt;=1200,IF(INDEX(对接源_01水果!$AA$4:$AA$1203,$AE38)=0,"",INDEX(对接源_01水果!$AA$4:$AA$1203,$AE38)),IF(INDEX(对接源_02物料!$AA$4:$AA$1203,$AE38-1200)=0,"",INDEX(对接源_02物料!$AA$4:$AA$1203,$AE38-1200))))</f>
        <v/>
      </c>
      <c r="I38" s="41" t="str">
        <f aca="false">IF($AE38="","",IF($AE38&lt;=1200,IF(INDEX(对接源_01水果!$AB$4:$AB$1203,$AE38)=0,"",INDEX(对接源_01水果!$AB$4:$AB$1203,$AE38)),IF(INDEX(对接源_02物料!$AB$4:$AB$1203,$AE38-1200)=0,"",INDEX(对接源_02物料!$AB$4:$AB$1203,$AE38-1200))))</f>
        <v/>
      </c>
      <c r="J38" s="42" t="str">
        <f aca="false"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44" t="str">
        <f aca="false">IFERROR(MATCH(33,_自动清单!$AK$4:$AK$2403,0),"")</f>
        <v/>
      </c>
    </row>
    <row r="39" customFormat="false" ht="18" hidden="false" customHeight="true" outlineLevel="0" collapsed="false">
      <c r="A39" s="45" t="n">
        <f aca="false">IF($AE39="","",IF($AE39&lt;=1200,IF(INDEX(对接源_01水果!$B$4:$B$1203,$AE39)=0,"",INDEX(对接源_01水果!$B$4:$B$1203,$AE39)),IF(INDEX(对接源_02物料!$B$4:$B$1203,$AE39-1200)=0,"",INDEX(对接源_02物料!$B$4:$B$1203,$AE39-1200))))</f>
        <v>46269</v>
      </c>
      <c r="B39" s="46" t="str">
        <f aca="false">IF($AE39="","",IF($AE39&lt;=1200,IF(INDEX(对接源_01水果!$E$4:$E$1203,$AE39)=0,"",INDEX(对接源_01水果!$E$4:$E$1203,$AE39)),IF(INDEX(对接源_02物料!$E$4:$E$1203,$AE39-1200)=0,"",INDEX(对接源_02物料!$E$4:$E$1203,$AE39-1200))))</f>
        <v>NO:0001083</v>
      </c>
      <c r="C39" s="46" t="str">
        <f aca="false">IF($AE39="","",IF($AE39&lt;=1200,IF(INDEX(对接源_01水果!$F$4:$F$1203,$AE39)=0,"",INDEX(对接源_01水果!$F$4:$F$1203,$AE39)),IF(INDEX(对接源_02物料!$F$4:$F$1203,$AE39-1200)=0,"",INDEX(对接源_02物料!$F$4:$F$1203,$AE39-1200))))</f>
        <v>苹果</v>
      </c>
      <c r="D39" s="46" t="str">
        <f aca="false">IF($AE39="","",IF($AE39&lt;=1200,IF(INDEX(对接源_01水果!$G$4:$G$1203,$AE39)=0,"",INDEX(对接源_01水果!$G$4:$G$1203,$AE39)),IF(INDEX(对接源_02物料!$G$4:$G$1203,$AE39-1200)=0,"",INDEX(对接源_02物料!$G$4:$G$1203,$AE39-1200))))</f>
        <v>华硕一级</v>
      </c>
      <c r="E39" s="48" t="n">
        <f aca="false">IF($AE39="","",IF($AE39&lt;=1200,IF(INDEX(对接源_01水果!$H$4:$H$1203,$AE39)=0,"",INDEX(对接源_01水果!$H$4:$H$1203,$AE39)),IF(INDEX(对接源_02物料!$H$4:$H$1203,$AE39-1200)=0,"",INDEX(对接源_02物料!$H$4:$H$1203,$AE39-1200))))</f>
        <v>4</v>
      </c>
      <c r="F39" s="46" t="str">
        <f aca="false">IF($AE39="","",IF($AE39&lt;=1200,IF(INDEX(对接源_01水果!$I$4:$I$1203,$AE39)=0,"",INDEX(对接源_01水果!$I$4:$I$1203,$AE39)),IF(INDEX(对接源_02物料!$I$4:$I$1203,$AE39-1200)=0,"",INDEX(对接源_02物料!$I$4:$I$1203,$AE39-1200))))</f>
        <v>箱</v>
      </c>
      <c r="G39" s="56" t="str">
        <f aca="false">IF($AE39="","",IF($AE39&lt;=1200,IF(INDEX(对接源_01水果!$Z$4:$Z$1203,$AE39)=0,"",INDEX(对接源_01水果!$Z$4:$Z$1203,$AE39)),IF(INDEX(对接源_02物料!$Z$4:$Z$1203,$AE39-1200)=0,"",INDEX(对接源_02物料!$Z$4:$Z$1203,$AE39-1200))))</f>
        <v/>
      </c>
      <c r="H39" s="56" t="str">
        <f aca="false">IF($AE39="","",IF($AE39&lt;=1200,IF(INDEX(对接源_01水果!$AA$4:$AA$1203,$AE39)=0,"",INDEX(对接源_01水果!$AA$4:$AA$1203,$AE39)),IF(INDEX(对接源_02物料!$AA$4:$AA$1203,$AE39-1200)=0,"",INDEX(对接源_02物料!$AA$4:$AA$1203,$AE39-1200))))</f>
        <v/>
      </c>
      <c r="I39" s="46" t="str">
        <f aca="false">IF($AE39="","",IF($AE39&lt;=1200,IF(INDEX(对接源_01水果!$AB$4:$AB$1203,$AE39)=0,"",INDEX(对接源_01水果!$AB$4:$AB$1203,$AE39)),IF(INDEX(对接源_02物料!$AB$4:$AB$1203,$AE39-1200)=0,"",INDEX(对接源_02物料!$AB$4:$AB$1203,$AE39-1200))))</f>
        <v/>
      </c>
      <c r="J39" s="47" t="str">
        <f aca="false"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44" t="n">
        <f aca="false">IFERROR(MATCH(34,_自动清单!$AK$4:$AK$2403,0),"")</f>
        <v>289</v>
      </c>
    </row>
    <row r="40" customFormat="false" ht="18" hidden="false" customHeight="true" outlineLevel="0" collapsed="false">
      <c r="A40" s="40" t="str">
        <f aca="false"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41" t="str">
        <f aca="false"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41" t="str">
        <f aca="false"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41" t="str">
        <f aca="false"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43" t="str">
        <f aca="false"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41" t="str">
        <f aca="false"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5" t="str">
        <f aca="false">IF($AE40="","",IF($AE40&lt;=1200,IF(INDEX(对接源_01水果!$Z$4:$Z$1203,$AE40)=0,"",INDEX(对接源_01水果!$Z$4:$Z$1203,$AE40)),IF(INDEX(对接源_02物料!$Z$4:$Z$1203,$AE40-1200)=0,"",INDEX(对接源_02物料!$Z$4:$Z$1203,$AE40-1200))))</f>
        <v/>
      </c>
      <c r="H40" s="55" t="str">
        <f aca="false">IF($AE40="","",IF($AE40&lt;=1200,IF(INDEX(对接源_01水果!$AA$4:$AA$1203,$AE40)=0,"",INDEX(对接源_01水果!$AA$4:$AA$1203,$AE40)),IF(INDEX(对接源_02物料!$AA$4:$AA$1203,$AE40-1200)=0,"",INDEX(对接源_02物料!$AA$4:$AA$1203,$AE40-1200))))</f>
        <v/>
      </c>
      <c r="I40" s="41" t="str">
        <f aca="false">IF($AE40="","",IF($AE40&lt;=1200,IF(INDEX(对接源_01水果!$AB$4:$AB$1203,$AE40)=0,"",INDEX(对接源_01水果!$AB$4:$AB$1203,$AE40)),IF(INDEX(对接源_02物料!$AB$4:$AB$1203,$AE40-1200)=0,"",INDEX(对接源_02物料!$AB$4:$AB$1203,$AE40-1200))))</f>
        <v/>
      </c>
      <c r="J40" s="42" t="str">
        <f aca="false"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44" t="str">
        <f aca="false">IFERROR(MATCH(35,_自动清单!$AK$4:$AK$2403,0),"")</f>
        <v/>
      </c>
    </row>
    <row r="41" customFormat="false" ht="18" hidden="false" customHeight="true" outlineLevel="0" collapsed="false">
      <c r="A41" s="45" t="str">
        <f aca="false"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46" t="str">
        <f aca="false"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46" t="str">
        <f aca="false"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46" t="str">
        <f aca="false"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48" t="str">
        <f aca="false"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46" t="str">
        <f aca="false"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56" t="str">
        <f aca="false">IF($AE41="","",IF($AE41&lt;=1200,IF(INDEX(对接源_01水果!$Z$4:$Z$1203,$AE41)=0,"",INDEX(对接源_01水果!$Z$4:$Z$1203,$AE41)),IF(INDEX(对接源_02物料!$Z$4:$Z$1203,$AE41-1200)=0,"",INDEX(对接源_02物料!$Z$4:$Z$1203,$AE41-1200))))</f>
        <v/>
      </c>
      <c r="H41" s="56" t="str">
        <f aca="false">IF($AE41="","",IF($AE41&lt;=1200,IF(INDEX(对接源_01水果!$AA$4:$AA$1203,$AE41)=0,"",INDEX(对接源_01水果!$AA$4:$AA$1203,$AE41)),IF(INDEX(对接源_02物料!$AA$4:$AA$1203,$AE41-1200)=0,"",INDEX(对接源_02物料!$AA$4:$AA$1203,$AE41-1200))))</f>
        <v/>
      </c>
      <c r="I41" s="46" t="str">
        <f aca="false">IF($AE41="","",IF($AE41&lt;=1200,IF(INDEX(对接源_01水果!$AB$4:$AB$1203,$AE41)=0,"",INDEX(对接源_01水果!$AB$4:$AB$1203,$AE41)),IF(INDEX(对接源_02物料!$AB$4:$AB$1203,$AE41-1200)=0,"",INDEX(对接源_02物料!$AB$4:$AB$1203,$AE41-1200))))</f>
        <v/>
      </c>
      <c r="J41" s="47" t="str">
        <f aca="false"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44" t="str">
        <f aca="false">IFERROR(MATCH(36,_自动清单!$AK$4:$AK$2403,0),"")</f>
        <v/>
      </c>
    </row>
    <row r="42" customFormat="false" ht="18" hidden="false" customHeight="true" outlineLevel="0" collapsed="false">
      <c r="A42" s="40" t="n">
        <f aca="false">IF($AE42="","",IF($AE42&lt;=1200,IF(INDEX(对接源_01水果!$B$4:$B$1203,$AE42)=0,"",INDEX(对接源_01水果!$B$4:$B$1203,$AE42)),IF(INDEX(对接源_02物料!$B$4:$B$1203,$AE42-1200)=0,"",INDEX(对接源_02物料!$B$4:$B$1203,$AE42-1200))))</f>
        <v>46269</v>
      </c>
      <c r="B42" s="41" t="str">
        <f aca="false">IF($AE42="","",IF($AE42&lt;=1200,IF(INDEX(对接源_01水果!$E$4:$E$1203,$AE42)=0,"",INDEX(对接源_01水果!$E$4:$E$1203,$AE42)),IF(INDEX(对接源_02物料!$E$4:$E$1203,$AE42-1200)=0,"",INDEX(对接源_02物料!$E$4:$E$1203,$AE42-1200))))</f>
        <v>NO:0001083</v>
      </c>
      <c r="C42" s="41" t="str">
        <f aca="false">IF($AE42="","",IF($AE42&lt;=1200,IF(INDEX(对接源_01水果!$F$4:$F$1203,$AE42)=0,"",INDEX(对接源_01水果!$F$4:$F$1203,$AE42)),IF(INDEX(对接源_02物料!$F$4:$F$1203,$AE42-1200)=0,"",INDEX(对接源_02物料!$F$4:$F$1203,$AE42-1200))))</f>
        <v>苹果</v>
      </c>
      <c r="D42" s="41" t="str">
        <f aca="false">IF($AE42="","",IF($AE42&lt;=1200,IF(INDEX(对接源_01水果!$G$4:$G$1203,$AE42)=0,"",INDEX(对接源_01水果!$G$4:$G$1203,$AE42)),IF(INDEX(对接源_02物料!$G$4:$G$1203,$AE42-1200)=0,"",INDEX(对接源_02物料!$G$4:$G$1203,$AE42-1200))))</f>
        <v>苹果扎伤</v>
      </c>
      <c r="E42" s="43" t="n">
        <f aca="false">IF($AE42="","",IF($AE42&lt;=1200,IF(INDEX(对接源_01水果!$H$4:$H$1203,$AE42)=0,"",INDEX(对接源_01水果!$H$4:$H$1203,$AE42)),IF(INDEX(对接源_02物料!$H$4:$H$1203,$AE42-1200)=0,"",INDEX(对接源_02物料!$H$4:$H$1203,$AE42-1200))))</f>
        <v>3</v>
      </c>
      <c r="F42" s="41" t="str">
        <f aca="false">IF($AE42="","",IF($AE42&lt;=1200,IF(INDEX(对接源_01水果!$I$4:$I$1203,$AE42)=0,"",INDEX(对接源_01水果!$I$4:$I$1203,$AE42)),IF(INDEX(对接源_02物料!$I$4:$I$1203,$AE42-1200)=0,"",INDEX(对接源_02物料!$I$4:$I$1203,$AE42-1200))))</f>
        <v>筐</v>
      </c>
      <c r="G42" s="55" t="str">
        <f aca="false">IF($AE42="","",IF($AE42&lt;=1200,IF(INDEX(对接源_01水果!$Z$4:$Z$1203,$AE42)=0,"",INDEX(对接源_01水果!$Z$4:$Z$1203,$AE42)),IF(INDEX(对接源_02物料!$Z$4:$Z$1203,$AE42-1200)=0,"",INDEX(对接源_02物料!$Z$4:$Z$1203,$AE42-1200))))</f>
        <v/>
      </c>
      <c r="H42" s="55" t="str">
        <f aca="false">IF($AE42="","",IF($AE42&lt;=1200,IF(INDEX(对接源_01水果!$AA$4:$AA$1203,$AE42)=0,"",INDEX(对接源_01水果!$AA$4:$AA$1203,$AE42)),IF(INDEX(对接源_02物料!$AA$4:$AA$1203,$AE42-1200)=0,"",INDEX(对接源_02物料!$AA$4:$AA$1203,$AE42-1200))))</f>
        <v/>
      </c>
      <c r="I42" s="41" t="str">
        <f aca="false">IF($AE42="","",IF($AE42&lt;=1200,IF(INDEX(对接源_01水果!$AB$4:$AB$1203,$AE42)=0,"",INDEX(对接源_01水果!$AB$4:$AB$1203,$AE42)),IF(INDEX(对接源_02物料!$AB$4:$AB$1203,$AE42-1200)=0,"",INDEX(对接源_02物料!$AB$4:$AB$1203,$AE42-1200))))</f>
        <v/>
      </c>
      <c r="J42" s="42" t="str">
        <f aca="false"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44" t="n">
        <f aca="false">IFERROR(MATCH(37,_自动清单!$AK$4:$AK$2403,0),"")</f>
        <v>290</v>
      </c>
    </row>
    <row r="43" customFormat="false" ht="18" hidden="false" customHeight="true" outlineLevel="0" collapsed="false">
      <c r="A43" s="45" t="str">
        <f aca="false"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46" t="str">
        <f aca="false"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46" t="str">
        <f aca="false"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46" t="str">
        <f aca="false"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48" t="str">
        <f aca="false"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46" t="str">
        <f aca="false"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56" t="str">
        <f aca="false">IF($AE43="","",IF($AE43&lt;=1200,IF(INDEX(对接源_01水果!$Z$4:$Z$1203,$AE43)=0,"",INDEX(对接源_01水果!$Z$4:$Z$1203,$AE43)),IF(INDEX(对接源_02物料!$Z$4:$Z$1203,$AE43-1200)=0,"",INDEX(对接源_02物料!$Z$4:$Z$1203,$AE43-1200))))</f>
        <v/>
      </c>
      <c r="H43" s="56" t="str">
        <f aca="false">IF($AE43="","",IF($AE43&lt;=1200,IF(INDEX(对接源_01水果!$AA$4:$AA$1203,$AE43)=0,"",INDEX(对接源_01水果!$AA$4:$AA$1203,$AE43)),IF(INDEX(对接源_02物料!$AA$4:$AA$1203,$AE43-1200)=0,"",INDEX(对接源_02物料!$AA$4:$AA$1203,$AE43-1200))))</f>
        <v/>
      </c>
      <c r="I43" s="46" t="str">
        <f aca="false">IF($AE43="","",IF($AE43&lt;=1200,IF(INDEX(对接源_01水果!$AB$4:$AB$1203,$AE43)=0,"",INDEX(对接源_01水果!$AB$4:$AB$1203,$AE43)),IF(INDEX(对接源_02物料!$AB$4:$AB$1203,$AE43-1200)=0,"",INDEX(对接源_02物料!$AB$4:$AB$1203,$AE43-1200))))</f>
        <v/>
      </c>
      <c r="J43" s="47" t="str">
        <f aca="false"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44" t="str">
        <f aca="false">IFERROR(MATCH(38,_自动清单!$AK$4:$AK$2403,0),"")</f>
        <v/>
      </c>
    </row>
    <row r="44" customFormat="false" ht="18" hidden="false" customHeight="true" outlineLevel="0" collapsed="false">
      <c r="A44" s="40" t="str">
        <f aca="false"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41" t="str">
        <f aca="false"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41" t="str">
        <f aca="false"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41" t="str">
        <f aca="false"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43" t="str">
        <f aca="false"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41" t="str">
        <f aca="false"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5" t="str">
        <f aca="false">IF($AE44="","",IF($AE44&lt;=1200,IF(INDEX(对接源_01水果!$Z$4:$Z$1203,$AE44)=0,"",INDEX(对接源_01水果!$Z$4:$Z$1203,$AE44)),IF(INDEX(对接源_02物料!$Z$4:$Z$1203,$AE44-1200)=0,"",INDEX(对接源_02物料!$Z$4:$Z$1203,$AE44-1200))))</f>
        <v/>
      </c>
      <c r="H44" s="55" t="str">
        <f aca="false">IF($AE44="","",IF($AE44&lt;=1200,IF(INDEX(对接源_01水果!$AA$4:$AA$1203,$AE44)=0,"",INDEX(对接源_01水果!$AA$4:$AA$1203,$AE44)),IF(INDEX(对接源_02物料!$AA$4:$AA$1203,$AE44-1200)=0,"",INDEX(对接源_02物料!$AA$4:$AA$1203,$AE44-1200))))</f>
        <v/>
      </c>
      <c r="I44" s="41" t="str">
        <f aca="false">IF($AE44="","",IF($AE44&lt;=1200,IF(INDEX(对接源_01水果!$AB$4:$AB$1203,$AE44)=0,"",INDEX(对接源_01水果!$AB$4:$AB$1203,$AE44)),IF(INDEX(对接源_02物料!$AB$4:$AB$1203,$AE44-1200)=0,"",INDEX(对接源_02物料!$AB$4:$AB$1203,$AE44-1200))))</f>
        <v/>
      </c>
      <c r="J44" s="42" t="str">
        <f aca="false"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44" t="str">
        <f aca="false">IFERROR(MATCH(39,_自动清单!$AK$4:$AK$2403,0),"")</f>
        <v/>
      </c>
    </row>
    <row r="45" customFormat="false" ht="18" hidden="false" customHeight="true" outlineLevel="0" collapsed="false">
      <c r="A45" s="45" t="n">
        <f aca="false">IF($AE45="","",IF($AE45&lt;=1200,IF(INDEX(对接源_01水果!$B$4:$B$1203,$AE45)=0,"",INDEX(对接源_01水果!$B$4:$B$1203,$AE45)),IF(INDEX(对接源_02物料!$B$4:$B$1203,$AE45-1200)=0,"",INDEX(对接源_02物料!$B$4:$B$1203,$AE45-1200))))</f>
        <v>46269</v>
      </c>
      <c r="B45" s="46" t="str">
        <f aca="false">IF($AE45="","",IF($AE45&lt;=1200,IF(INDEX(对接源_01水果!$E$4:$E$1203,$AE45)=0,"",INDEX(对接源_01水果!$E$4:$E$1203,$AE45)),IF(INDEX(对接源_02物料!$E$4:$E$1203,$AE45-1200)=0,"",INDEX(对接源_02物料!$E$4:$E$1203,$AE45-1200))))</f>
        <v>NO:0001085</v>
      </c>
      <c r="C45" s="46" t="str">
        <f aca="false">IF($AE45="","",IF($AE45&lt;=1200,IF(INDEX(对接源_01水果!$F$4:$F$1203,$AE45)=0,"",INDEX(对接源_01水果!$F$4:$F$1203,$AE45)),IF(INDEX(对接源_02物料!$F$4:$F$1203,$AE45-1200)=0,"",INDEX(对接源_02物料!$F$4:$F$1203,$AE45-1200))))</f>
        <v>苹果</v>
      </c>
      <c r="D45" s="46" t="str">
        <f aca="false">IF($AE45="","",IF($AE45&lt;=1200,IF(INDEX(对接源_01水果!$G$4:$G$1203,$AE45)=0,"",INDEX(对接源_01水果!$G$4:$G$1203,$AE45)),IF(INDEX(对接源_02物料!$G$4:$G$1203,$AE45-1200)=0,"",INDEX(对接源_02物料!$G$4:$G$1203,$AE45-1200))))</f>
        <v>华硕一级</v>
      </c>
      <c r="E45" s="48" t="n">
        <f aca="false">IF($AE45="","",IF($AE45&lt;=1200,IF(INDEX(对接源_01水果!$H$4:$H$1203,$AE45)=0,"",INDEX(对接源_01水果!$H$4:$H$1203,$AE45)),IF(INDEX(对接源_02物料!$H$4:$H$1203,$AE45-1200)=0,"",INDEX(对接源_02物料!$H$4:$H$1203,$AE45-1200))))</f>
        <v>93</v>
      </c>
      <c r="F45" s="46" t="str">
        <f aca="false">IF($AE45="","",IF($AE45&lt;=1200,IF(INDEX(对接源_01水果!$I$4:$I$1203,$AE45)=0,"",INDEX(对接源_01水果!$I$4:$I$1203,$AE45)),IF(INDEX(对接源_02物料!$I$4:$I$1203,$AE45-1200)=0,"",INDEX(对接源_02物料!$I$4:$I$1203,$AE45-1200))))</f>
        <v>箱</v>
      </c>
      <c r="G45" s="56" t="str">
        <f aca="false">IF($AE45="","",IF($AE45&lt;=1200,IF(INDEX(对接源_01水果!$Z$4:$Z$1203,$AE45)=0,"",INDEX(对接源_01水果!$Z$4:$Z$1203,$AE45)),IF(INDEX(对接源_02物料!$Z$4:$Z$1203,$AE45-1200)=0,"",INDEX(对接源_02物料!$Z$4:$Z$1203,$AE45-1200))))</f>
        <v/>
      </c>
      <c r="H45" s="56" t="str">
        <f aca="false">IF($AE45="","",IF($AE45&lt;=1200,IF(INDEX(对接源_01水果!$AA$4:$AA$1203,$AE45)=0,"",INDEX(对接源_01水果!$AA$4:$AA$1203,$AE45)),IF(INDEX(对接源_02物料!$AA$4:$AA$1203,$AE45-1200)=0,"",INDEX(对接源_02物料!$AA$4:$AA$1203,$AE45-1200))))</f>
        <v/>
      </c>
      <c r="I45" s="46" t="str">
        <f aca="false">IF($AE45="","",IF($AE45&lt;=1200,IF(INDEX(对接源_01水果!$AB$4:$AB$1203,$AE45)=0,"",INDEX(对接源_01水果!$AB$4:$AB$1203,$AE45)),IF(INDEX(对接源_02物料!$AB$4:$AB$1203,$AE45-1200)=0,"",INDEX(对接源_02物料!$AB$4:$AB$1203,$AE45-1200))))</f>
        <v/>
      </c>
      <c r="J45" s="47" t="str">
        <f aca="false"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44" t="n">
        <f aca="false">IFERROR(MATCH(40,_自动清单!$AK$4:$AK$2403,0),"")</f>
        <v>291</v>
      </c>
    </row>
    <row r="46" customFormat="false" ht="18" hidden="false" customHeight="true" outlineLevel="0" collapsed="false">
      <c r="A46" s="40" t="str">
        <f aca="false"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41" t="str">
        <f aca="false"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41" t="str">
        <f aca="false"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41" t="str">
        <f aca="false"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43" t="str">
        <f aca="false"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41" t="str">
        <f aca="false"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5" t="str">
        <f aca="false">IF($AE46="","",IF($AE46&lt;=1200,IF(INDEX(对接源_01水果!$Z$4:$Z$1203,$AE46)=0,"",INDEX(对接源_01水果!$Z$4:$Z$1203,$AE46)),IF(INDEX(对接源_02物料!$Z$4:$Z$1203,$AE46-1200)=0,"",INDEX(对接源_02物料!$Z$4:$Z$1203,$AE46-1200))))</f>
        <v/>
      </c>
      <c r="H46" s="55" t="str">
        <f aca="false">IF($AE46="","",IF($AE46&lt;=1200,IF(INDEX(对接源_01水果!$AA$4:$AA$1203,$AE46)=0,"",INDEX(对接源_01水果!$AA$4:$AA$1203,$AE46)),IF(INDEX(对接源_02物料!$AA$4:$AA$1203,$AE46-1200)=0,"",INDEX(对接源_02物料!$AA$4:$AA$1203,$AE46-1200))))</f>
        <v/>
      </c>
      <c r="I46" s="41" t="str">
        <f aca="false">IF($AE46="","",IF($AE46&lt;=1200,IF(INDEX(对接源_01水果!$AB$4:$AB$1203,$AE46)=0,"",INDEX(对接源_01水果!$AB$4:$AB$1203,$AE46)),IF(INDEX(对接源_02物料!$AB$4:$AB$1203,$AE46-1200)=0,"",INDEX(对接源_02物料!$AB$4:$AB$1203,$AE46-1200))))</f>
        <v/>
      </c>
      <c r="J46" s="42" t="str">
        <f aca="false"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44" t="str">
        <f aca="false">IFERROR(MATCH(41,_自动清单!$AK$4:$AK$2403,0),"")</f>
        <v/>
      </c>
    </row>
    <row r="47" customFormat="false" ht="18" hidden="false" customHeight="true" outlineLevel="0" collapsed="false">
      <c r="A47" s="45" t="str">
        <f aca="false"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46" t="str">
        <f aca="false"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46" t="str">
        <f aca="false"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46" t="str">
        <f aca="false"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48" t="str">
        <f aca="false"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46" t="str">
        <f aca="false"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56" t="str">
        <f aca="false">IF($AE47="","",IF($AE47&lt;=1200,IF(INDEX(对接源_01水果!$Z$4:$Z$1203,$AE47)=0,"",INDEX(对接源_01水果!$Z$4:$Z$1203,$AE47)),IF(INDEX(对接源_02物料!$Z$4:$Z$1203,$AE47-1200)=0,"",INDEX(对接源_02物料!$Z$4:$Z$1203,$AE47-1200))))</f>
        <v/>
      </c>
      <c r="H47" s="56" t="str">
        <f aca="false">IF($AE47="","",IF($AE47&lt;=1200,IF(INDEX(对接源_01水果!$AA$4:$AA$1203,$AE47)=0,"",INDEX(对接源_01水果!$AA$4:$AA$1203,$AE47)),IF(INDEX(对接源_02物料!$AA$4:$AA$1203,$AE47-1200)=0,"",INDEX(对接源_02物料!$AA$4:$AA$1203,$AE47-1200))))</f>
        <v/>
      </c>
      <c r="I47" s="46" t="str">
        <f aca="false">IF($AE47="","",IF($AE47&lt;=1200,IF(INDEX(对接源_01水果!$AB$4:$AB$1203,$AE47)=0,"",INDEX(对接源_01水果!$AB$4:$AB$1203,$AE47)),IF(INDEX(对接源_02物料!$AB$4:$AB$1203,$AE47-1200)=0,"",INDEX(对接源_02物料!$AB$4:$AB$1203,$AE47-1200))))</f>
        <v/>
      </c>
      <c r="J47" s="47" t="str">
        <f aca="false"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44" t="str">
        <f aca="false">IFERROR(MATCH(42,_自动清单!$AK$4:$AK$2403,0),"")</f>
        <v/>
      </c>
    </row>
    <row r="48" customFormat="false" ht="18" hidden="false" customHeight="true" outlineLevel="0" collapsed="false">
      <c r="A48" s="40" t="n">
        <f aca="false">IF($AE48="","",IF($AE48&lt;=1200,IF(INDEX(对接源_01水果!$B$4:$B$1203,$AE48)=0,"",INDEX(对接源_01水果!$B$4:$B$1203,$AE48)),IF(INDEX(对接源_02物料!$B$4:$B$1203,$AE48-1200)=0,"",INDEX(对接源_02物料!$B$4:$B$1203,$AE48-1200))))</f>
        <v>46270</v>
      </c>
      <c r="B48" s="41" t="str">
        <f aca="false">IF($AE48="","",IF($AE48&lt;=1200,IF(INDEX(对接源_01水果!$E$4:$E$1203,$AE48)=0,"",INDEX(对接源_01水果!$E$4:$E$1203,$AE48)),IF(INDEX(对接源_02物料!$E$4:$E$1203,$AE48-1200)=0,"",INDEX(对接源_02物料!$E$4:$E$1203,$AE48-1200))))</f>
        <v>NO:0001085</v>
      </c>
      <c r="C48" s="41" t="str">
        <f aca="false">IF($AE48="","",IF($AE48&lt;=1200,IF(INDEX(对接源_01水果!$F$4:$F$1203,$AE48)=0,"",INDEX(对接源_01水果!$F$4:$F$1203,$AE48)),IF(INDEX(对接源_02物料!$F$4:$F$1203,$AE48-1200)=0,"",INDEX(对接源_02物料!$F$4:$F$1203,$AE48-1200))))</f>
        <v>苹果</v>
      </c>
      <c r="D48" s="41" t="str">
        <f aca="false">IF($AE48="","",IF($AE48&lt;=1200,IF(INDEX(对接源_01水果!$G$4:$G$1203,$AE48)=0,"",INDEX(对接源_01水果!$G$4:$G$1203,$AE48)),IF(INDEX(对接源_02物料!$G$4:$G$1203,$AE48-1200)=0,"",INDEX(对接源_02物料!$G$4:$G$1203,$AE48-1200))))</f>
        <v>华硕一级</v>
      </c>
      <c r="E48" s="43" t="n">
        <f aca="false">IF($AE48="","",IF($AE48&lt;=1200,IF(INDEX(对接源_01水果!$H$4:$H$1203,$AE48)=0,"",INDEX(对接源_01水果!$H$4:$H$1203,$AE48)),IF(INDEX(对接源_02物料!$H$4:$H$1203,$AE48-1200)=0,"",INDEX(对接源_02物料!$H$4:$H$1203,$AE48-1200))))</f>
        <v>3</v>
      </c>
      <c r="F48" s="41" t="str">
        <f aca="false">IF($AE48="","",IF($AE48&lt;=1200,IF(INDEX(对接源_01水果!$I$4:$I$1203,$AE48)=0,"",INDEX(对接源_01水果!$I$4:$I$1203,$AE48)),IF(INDEX(对接源_02物料!$I$4:$I$1203,$AE48-1200)=0,"",INDEX(对接源_02物料!$I$4:$I$1203,$AE48-1200))))</f>
        <v>箱</v>
      </c>
      <c r="G48" s="55" t="str">
        <f aca="false">IF($AE48="","",IF($AE48&lt;=1200,IF(INDEX(对接源_01水果!$Z$4:$Z$1203,$AE48)=0,"",INDEX(对接源_01水果!$Z$4:$Z$1203,$AE48)),IF(INDEX(对接源_02物料!$Z$4:$Z$1203,$AE48-1200)=0,"",INDEX(对接源_02物料!$Z$4:$Z$1203,$AE48-1200))))</f>
        <v/>
      </c>
      <c r="H48" s="55" t="str">
        <f aca="false">IF($AE48="","",IF($AE48&lt;=1200,IF(INDEX(对接源_01水果!$AA$4:$AA$1203,$AE48)=0,"",INDEX(对接源_01水果!$AA$4:$AA$1203,$AE48)),IF(INDEX(对接源_02物料!$AA$4:$AA$1203,$AE48-1200)=0,"",INDEX(对接源_02物料!$AA$4:$AA$1203,$AE48-1200))))</f>
        <v/>
      </c>
      <c r="I48" s="41" t="str">
        <f aca="false">IF($AE48="","",IF($AE48&lt;=1200,IF(INDEX(对接源_01水果!$AB$4:$AB$1203,$AE48)=0,"",INDEX(对接源_01水果!$AB$4:$AB$1203,$AE48)),IF(INDEX(对接源_02物料!$AB$4:$AB$1203,$AE48-1200)=0,"",INDEX(对接源_02物料!$AB$4:$AB$1203,$AE48-1200))))</f>
        <v/>
      </c>
      <c r="J48" s="42" t="str">
        <f aca="false"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44" t="n">
        <f aca="false">IFERROR(MATCH(43,_自动清单!$AK$4:$AK$2403,0),"")</f>
        <v>292</v>
      </c>
    </row>
    <row r="49" customFormat="false" ht="18" hidden="false" customHeight="true" outlineLevel="0" collapsed="false">
      <c r="A49" s="45" t="str">
        <f aca="false"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46" t="str">
        <f aca="false"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46" t="str">
        <f aca="false"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46" t="str">
        <f aca="false"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48" t="str">
        <f aca="false"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46" t="str">
        <f aca="false"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56" t="str">
        <f aca="false">IF($AE49="","",IF($AE49&lt;=1200,IF(INDEX(对接源_01水果!$Z$4:$Z$1203,$AE49)=0,"",INDEX(对接源_01水果!$Z$4:$Z$1203,$AE49)),IF(INDEX(对接源_02物料!$Z$4:$Z$1203,$AE49-1200)=0,"",INDEX(对接源_02物料!$Z$4:$Z$1203,$AE49-1200))))</f>
        <v/>
      </c>
      <c r="H49" s="56" t="str">
        <f aca="false">IF($AE49="","",IF($AE49&lt;=1200,IF(INDEX(对接源_01水果!$AA$4:$AA$1203,$AE49)=0,"",INDEX(对接源_01水果!$AA$4:$AA$1203,$AE49)),IF(INDEX(对接源_02物料!$AA$4:$AA$1203,$AE49-1200)=0,"",INDEX(对接源_02物料!$AA$4:$AA$1203,$AE49-1200))))</f>
        <v/>
      </c>
      <c r="I49" s="46" t="str">
        <f aca="false">IF($AE49="","",IF($AE49&lt;=1200,IF(INDEX(对接源_01水果!$AB$4:$AB$1203,$AE49)=0,"",INDEX(对接源_01水果!$AB$4:$AB$1203,$AE49)),IF(INDEX(对接源_02物料!$AB$4:$AB$1203,$AE49-1200)=0,"",INDEX(对接源_02物料!$AB$4:$AB$1203,$AE49-1200))))</f>
        <v/>
      </c>
      <c r="J49" s="47" t="str">
        <f aca="false"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44" t="str">
        <f aca="false">IFERROR(MATCH(44,_自动清单!$AK$4:$AK$2403,0),"")</f>
        <v/>
      </c>
    </row>
    <row r="50" customFormat="false" ht="18" hidden="false" customHeight="true" outlineLevel="0" collapsed="false">
      <c r="A50" s="40" t="str">
        <f aca="false"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41" t="str">
        <f aca="false"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41" t="str">
        <f aca="false"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41" t="str">
        <f aca="false"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43" t="str">
        <f aca="false"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41" t="str">
        <f aca="false"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5" t="str">
        <f aca="false">IF($AE50="","",IF($AE50&lt;=1200,IF(INDEX(对接源_01水果!$Z$4:$Z$1203,$AE50)=0,"",INDEX(对接源_01水果!$Z$4:$Z$1203,$AE50)),IF(INDEX(对接源_02物料!$Z$4:$Z$1203,$AE50-1200)=0,"",INDEX(对接源_02物料!$Z$4:$Z$1203,$AE50-1200))))</f>
        <v/>
      </c>
      <c r="H50" s="55" t="str">
        <f aca="false">IF($AE50="","",IF($AE50&lt;=1200,IF(INDEX(对接源_01水果!$AA$4:$AA$1203,$AE50)=0,"",INDEX(对接源_01水果!$AA$4:$AA$1203,$AE50)),IF(INDEX(对接源_02物料!$AA$4:$AA$1203,$AE50-1200)=0,"",INDEX(对接源_02物料!$AA$4:$AA$1203,$AE50-1200))))</f>
        <v/>
      </c>
      <c r="I50" s="41" t="str">
        <f aca="false">IF($AE50="","",IF($AE50&lt;=1200,IF(INDEX(对接源_01水果!$AB$4:$AB$1203,$AE50)=0,"",INDEX(对接源_01水果!$AB$4:$AB$1203,$AE50)),IF(INDEX(对接源_02物料!$AB$4:$AB$1203,$AE50-1200)=0,"",INDEX(对接源_02物料!$AB$4:$AB$1203,$AE50-1200))))</f>
        <v/>
      </c>
      <c r="J50" s="42" t="str">
        <f aca="false"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44" t="str">
        <f aca="false">IFERROR(MATCH(45,_自动清单!$AK$4:$AK$2403,0),"")</f>
        <v/>
      </c>
    </row>
    <row r="51" customFormat="false" ht="18" hidden="false" customHeight="true" outlineLevel="0" collapsed="false">
      <c r="A51" s="45" t="n">
        <f aca="false">IF($AE51="","",IF($AE51&lt;=1200,IF(INDEX(对接源_01水果!$B$4:$B$1203,$AE51)=0,"",INDEX(对接源_01水果!$B$4:$B$1203,$AE51)),IF(INDEX(对接源_02物料!$B$4:$B$1203,$AE51-1200)=0,"",INDEX(对接源_02物料!$B$4:$B$1203,$AE51-1200))))</f>
        <v>46271</v>
      </c>
      <c r="B51" s="46" t="str">
        <f aca="false">IF($AE51="","",IF($AE51&lt;=1200,IF(INDEX(对接源_01水果!$E$4:$E$1203,$AE51)=0,"",INDEX(对接源_01水果!$E$4:$E$1203,$AE51)),IF(INDEX(对接源_02物料!$E$4:$E$1203,$AE51-1200)=0,"",INDEX(对接源_02物料!$E$4:$E$1203,$AE51-1200))))</f>
        <v>NO:0001088</v>
      </c>
      <c r="C51" s="46" t="str">
        <f aca="false">IF($AE51="","",IF($AE51&lt;=1200,IF(INDEX(对接源_01水果!$F$4:$F$1203,$AE51)=0,"",INDEX(对接源_01水果!$F$4:$F$1203,$AE51)),IF(INDEX(对接源_02物料!$F$4:$F$1203,$AE51-1200)=0,"",INDEX(对接源_02物料!$F$4:$F$1203,$AE51-1200))))</f>
        <v>苹果</v>
      </c>
      <c r="D51" s="46" t="str">
        <f aca="false">IF($AE51="","",IF($AE51&lt;=1200,IF(INDEX(对接源_01水果!$G$4:$G$1203,$AE51)=0,"",INDEX(对接源_01水果!$G$4:$G$1203,$AE51)),IF(INDEX(对接源_02物料!$G$4:$G$1203,$AE51-1200)=0,"",INDEX(对接源_02物料!$G$4:$G$1203,$AE51-1200))))</f>
        <v>华硕一级</v>
      </c>
      <c r="E51" s="48" t="n">
        <f aca="false">IF($AE51="","",IF($AE51&lt;=1200,IF(INDEX(对接源_01水果!$H$4:$H$1203,$AE51)=0,"",INDEX(对接源_01水果!$H$4:$H$1203,$AE51)),IF(INDEX(对接源_02物料!$H$4:$H$1203,$AE51-1200)=0,"",INDEX(对接源_02物料!$H$4:$H$1203,$AE51-1200))))</f>
        <v>105</v>
      </c>
      <c r="F51" s="46" t="str">
        <f aca="false">IF($AE51="","",IF($AE51&lt;=1200,IF(INDEX(对接源_01水果!$I$4:$I$1203,$AE51)=0,"",INDEX(对接源_01水果!$I$4:$I$1203,$AE51)),IF(INDEX(对接源_02物料!$I$4:$I$1203,$AE51-1200)=0,"",INDEX(对接源_02物料!$I$4:$I$1203,$AE51-1200))))</f>
        <v>箱</v>
      </c>
      <c r="G51" s="56" t="str">
        <f aca="false">IF($AE51="","",IF($AE51&lt;=1200,IF(INDEX(对接源_01水果!$Z$4:$Z$1203,$AE51)=0,"",INDEX(对接源_01水果!$Z$4:$Z$1203,$AE51)),IF(INDEX(对接源_02物料!$Z$4:$Z$1203,$AE51-1200)=0,"",INDEX(对接源_02物料!$Z$4:$Z$1203,$AE51-1200))))</f>
        <v/>
      </c>
      <c r="H51" s="56" t="str">
        <f aca="false">IF($AE51="","",IF($AE51&lt;=1200,IF(INDEX(对接源_01水果!$AA$4:$AA$1203,$AE51)=0,"",INDEX(对接源_01水果!$AA$4:$AA$1203,$AE51)),IF(INDEX(对接源_02物料!$AA$4:$AA$1203,$AE51-1200)=0,"",INDEX(对接源_02物料!$AA$4:$AA$1203,$AE51-1200))))</f>
        <v/>
      </c>
      <c r="I51" s="46" t="str">
        <f aca="false">IF($AE51="","",IF($AE51&lt;=1200,IF(INDEX(对接源_01水果!$AB$4:$AB$1203,$AE51)=0,"",INDEX(对接源_01水果!$AB$4:$AB$1203,$AE51)),IF(INDEX(对接源_02物料!$AB$4:$AB$1203,$AE51-1200)=0,"",INDEX(对接源_02物料!$AB$4:$AB$1203,$AE51-1200))))</f>
        <v/>
      </c>
      <c r="J51" s="47" t="str">
        <f aca="false"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44" t="n">
        <f aca="false">IFERROR(MATCH(46,_自动清单!$AK$4:$AK$2403,0),"")</f>
        <v>293</v>
      </c>
    </row>
    <row r="52" customFormat="false" ht="18" hidden="false" customHeight="true" outlineLevel="0" collapsed="false">
      <c r="A52" s="40" t="str">
        <f aca="false"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41" t="str">
        <f aca="false"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41" t="str">
        <f aca="false"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41" t="str">
        <f aca="false"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43" t="str">
        <f aca="false"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41" t="str">
        <f aca="false"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5" t="str">
        <f aca="false">IF($AE52="","",IF($AE52&lt;=1200,IF(INDEX(对接源_01水果!$Z$4:$Z$1203,$AE52)=0,"",INDEX(对接源_01水果!$Z$4:$Z$1203,$AE52)),IF(INDEX(对接源_02物料!$Z$4:$Z$1203,$AE52-1200)=0,"",INDEX(对接源_02物料!$Z$4:$Z$1203,$AE52-1200))))</f>
        <v/>
      </c>
      <c r="H52" s="55" t="str">
        <f aca="false">IF($AE52="","",IF($AE52&lt;=1200,IF(INDEX(对接源_01水果!$AA$4:$AA$1203,$AE52)=0,"",INDEX(对接源_01水果!$AA$4:$AA$1203,$AE52)),IF(INDEX(对接源_02物料!$AA$4:$AA$1203,$AE52-1200)=0,"",INDEX(对接源_02物料!$AA$4:$AA$1203,$AE52-1200))))</f>
        <v/>
      </c>
      <c r="I52" s="41" t="str">
        <f aca="false">IF($AE52="","",IF($AE52&lt;=1200,IF(INDEX(对接源_01水果!$AB$4:$AB$1203,$AE52)=0,"",INDEX(对接源_01水果!$AB$4:$AB$1203,$AE52)),IF(INDEX(对接源_02物料!$AB$4:$AB$1203,$AE52-1200)=0,"",INDEX(对接源_02物料!$AB$4:$AB$1203,$AE52-1200))))</f>
        <v/>
      </c>
      <c r="J52" s="42" t="str">
        <f aca="false"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44" t="str">
        <f aca="false">IFERROR(MATCH(47,_自动清单!$AK$4:$AK$2403,0),"")</f>
        <v/>
      </c>
    </row>
    <row r="53" customFormat="false" ht="18" hidden="false" customHeight="true" outlineLevel="0" collapsed="false">
      <c r="A53" s="45" t="str">
        <f aca="false"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46" t="str">
        <f aca="false"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46" t="str">
        <f aca="false"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46" t="str">
        <f aca="false"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48" t="str">
        <f aca="false"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46" t="str">
        <f aca="false"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56" t="str">
        <f aca="false">IF($AE53="","",IF($AE53&lt;=1200,IF(INDEX(对接源_01水果!$Z$4:$Z$1203,$AE53)=0,"",INDEX(对接源_01水果!$Z$4:$Z$1203,$AE53)),IF(INDEX(对接源_02物料!$Z$4:$Z$1203,$AE53-1200)=0,"",INDEX(对接源_02物料!$Z$4:$Z$1203,$AE53-1200))))</f>
        <v/>
      </c>
      <c r="H53" s="56" t="str">
        <f aca="false">IF($AE53="","",IF($AE53&lt;=1200,IF(INDEX(对接源_01水果!$AA$4:$AA$1203,$AE53)=0,"",INDEX(对接源_01水果!$AA$4:$AA$1203,$AE53)),IF(INDEX(对接源_02物料!$AA$4:$AA$1203,$AE53-1200)=0,"",INDEX(对接源_02物料!$AA$4:$AA$1203,$AE53-1200))))</f>
        <v/>
      </c>
      <c r="I53" s="46" t="str">
        <f aca="false">IF($AE53="","",IF($AE53&lt;=1200,IF(INDEX(对接源_01水果!$AB$4:$AB$1203,$AE53)=0,"",INDEX(对接源_01水果!$AB$4:$AB$1203,$AE53)),IF(INDEX(对接源_02物料!$AB$4:$AB$1203,$AE53-1200)=0,"",INDEX(对接源_02物料!$AB$4:$AB$1203,$AE53-1200))))</f>
        <v/>
      </c>
      <c r="J53" s="47" t="str">
        <f aca="false"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44" t="str">
        <f aca="false">IFERROR(MATCH(48,_自动清单!$AK$4:$AK$2403,0),"")</f>
        <v/>
      </c>
    </row>
    <row r="54" customFormat="false" ht="18" hidden="false" customHeight="true" outlineLevel="0" collapsed="false">
      <c r="A54" s="40" t="n">
        <f aca="false">IF($AE54="","",IF($AE54&lt;=1200,IF(INDEX(对接源_01水果!$B$4:$B$1203,$AE54)=0,"",INDEX(对接源_01水果!$B$4:$B$1203,$AE54)),IF(INDEX(对接源_02物料!$B$4:$B$1203,$AE54-1200)=0,"",INDEX(对接源_02物料!$B$4:$B$1203,$AE54-1200))))</f>
        <v>46272</v>
      </c>
      <c r="B54" s="41" t="str">
        <f aca="false">IF($AE54="","",IF($AE54&lt;=1200,IF(INDEX(对接源_01水果!$E$4:$E$1203,$AE54)=0,"",INDEX(对接源_01水果!$E$4:$E$1203,$AE54)),IF(INDEX(对接源_02物料!$E$4:$E$1203,$AE54-1200)=0,"",INDEX(对接源_02物料!$E$4:$E$1203,$AE54-1200))))</f>
        <v>NO:0001093</v>
      </c>
      <c r="C54" s="41" t="str">
        <f aca="false">IF($AE54="","",IF($AE54&lt;=1200,IF(INDEX(对接源_01水果!$F$4:$F$1203,$AE54)=0,"",INDEX(对接源_01水果!$F$4:$F$1203,$AE54)),IF(INDEX(对接源_02物料!$F$4:$F$1203,$AE54-1200)=0,"",INDEX(对接源_02物料!$F$4:$F$1203,$AE54-1200))))</f>
        <v>苹果</v>
      </c>
      <c r="D54" s="41" t="str">
        <f aca="false">IF($AE54="","",IF($AE54&lt;=1200,IF(INDEX(对接源_01水果!$G$4:$G$1203,$AE54)=0,"",INDEX(对接源_01水果!$G$4:$G$1203,$AE54)),IF(INDEX(对接源_02物料!$G$4:$G$1203,$AE54-1200)=0,"",INDEX(对接源_02物料!$G$4:$G$1203,$AE54-1200))))</f>
        <v>华硕一级</v>
      </c>
      <c r="E54" s="43" t="n">
        <f aca="false">IF($AE54="","",IF($AE54&lt;=1200,IF(INDEX(对接源_01水果!$H$4:$H$1203,$AE54)=0,"",INDEX(对接源_01水果!$H$4:$H$1203,$AE54)),IF(INDEX(对接源_02物料!$H$4:$H$1203,$AE54-1200)=0,"",INDEX(对接源_02物料!$H$4:$H$1203,$AE54-1200))))</f>
        <v>150</v>
      </c>
      <c r="F54" s="41" t="str">
        <f aca="false">IF($AE54="","",IF($AE54&lt;=1200,IF(INDEX(对接源_01水果!$I$4:$I$1203,$AE54)=0,"",INDEX(对接源_01水果!$I$4:$I$1203,$AE54)),IF(INDEX(对接源_02物料!$I$4:$I$1203,$AE54-1200)=0,"",INDEX(对接源_02物料!$I$4:$I$1203,$AE54-1200))))</f>
        <v>箱</v>
      </c>
      <c r="G54" s="55" t="str">
        <f aca="false">IF($AE54="","",IF($AE54&lt;=1200,IF(INDEX(对接源_01水果!$Z$4:$Z$1203,$AE54)=0,"",INDEX(对接源_01水果!$Z$4:$Z$1203,$AE54)),IF(INDEX(对接源_02物料!$Z$4:$Z$1203,$AE54-1200)=0,"",INDEX(对接源_02物料!$Z$4:$Z$1203,$AE54-1200))))</f>
        <v/>
      </c>
      <c r="H54" s="55" t="str">
        <f aca="false">IF($AE54="","",IF($AE54&lt;=1200,IF(INDEX(对接源_01水果!$AA$4:$AA$1203,$AE54)=0,"",INDEX(对接源_01水果!$AA$4:$AA$1203,$AE54)),IF(INDEX(对接源_02物料!$AA$4:$AA$1203,$AE54-1200)=0,"",INDEX(对接源_02物料!$AA$4:$AA$1203,$AE54-1200))))</f>
        <v/>
      </c>
      <c r="I54" s="41" t="str">
        <f aca="false">IF($AE54="","",IF($AE54&lt;=1200,IF(INDEX(对接源_01水果!$AB$4:$AB$1203,$AE54)=0,"",INDEX(对接源_01水果!$AB$4:$AB$1203,$AE54)),IF(INDEX(对接源_02物料!$AB$4:$AB$1203,$AE54-1200)=0,"",INDEX(对接源_02物料!$AB$4:$AB$1203,$AE54-1200))))</f>
        <v/>
      </c>
      <c r="J54" s="42" t="str">
        <f aca="false"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44" t="n">
        <f aca="false">IFERROR(MATCH(49,_自动清单!$AK$4:$AK$2403,0),"")</f>
        <v>294</v>
      </c>
    </row>
    <row r="55" customFormat="false" ht="18" hidden="false" customHeight="true" outlineLevel="0" collapsed="false">
      <c r="A55" s="45" t="str">
        <f aca="false"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46" t="str">
        <f aca="false"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46" t="str">
        <f aca="false"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46" t="str">
        <f aca="false"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48" t="str">
        <f aca="false"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46" t="str">
        <f aca="false"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56" t="str">
        <f aca="false">IF($AE55="","",IF($AE55&lt;=1200,IF(INDEX(对接源_01水果!$Z$4:$Z$1203,$AE55)=0,"",INDEX(对接源_01水果!$Z$4:$Z$1203,$AE55)),IF(INDEX(对接源_02物料!$Z$4:$Z$1203,$AE55-1200)=0,"",INDEX(对接源_02物料!$Z$4:$Z$1203,$AE55-1200))))</f>
        <v/>
      </c>
      <c r="H55" s="56" t="str">
        <f aca="false">IF($AE55="","",IF($AE55&lt;=1200,IF(INDEX(对接源_01水果!$AA$4:$AA$1203,$AE55)=0,"",INDEX(对接源_01水果!$AA$4:$AA$1203,$AE55)),IF(INDEX(对接源_02物料!$AA$4:$AA$1203,$AE55-1200)=0,"",INDEX(对接源_02物料!$AA$4:$AA$1203,$AE55-1200))))</f>
        <v/>
      </c>
      <c r="I55" s="46" t="str">
        <f aca="false">IF($AE55="","",IF($AE55&lt;=1200,IF(INDEX(对接源_01水果!$AB$4:$AB$1203,$AE55)=0,"",INDEX(对接源_01水果!$AB$4:$AB$1203,$AE55)),IF(INDEX(对接源_02物料!$AB$4:$AB$1203,$AE55-1200)=0,"",INDEX(对接源_02物料!$AB$4:$AB$1203,$AE55-1200))))</f>
        <v/>
      </c>
      <c r="J55" s="47" t="str">
        <f aca="false"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44" t="str">
        <f aca="false">IFERROR(MATCH(50,_自动清单!$AK$4:$AK$2403,0),"")</f>
        <v/>
      </c>
    </row>
    <row r="56" customFormat="false" ht="18" hidden="false" customHeight="true" outlineLevel="0" collapsed="false">
      <c r="A56" s="40" t="str">
        <f aca="false"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41" t="str">
        <f aca="false"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41" t="str">
        <f aca="false"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41" t="str">
        <f aca="false"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43" t="str">
        <f aca="false"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41" t="str">
        <f aca="false"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5" t="str">
        <f aca="false">IF($AE56="","",IF($AE56&lt;=1200,IF(INDEX(对接源_01水果!$Z$4:$Z$1203,$AE56)=0,"",INDEX(对接源_01水果!$Z$4:$Z$1203,$AE56)),IF(INDEX(对接源_02物料!$Z$4:$Z$1203,$AE56-1200)=0,"",INDEX(对接源_02物料!$Z$4:$Z$1203,$AE56-1200))))</f>
        <v/>
      </c>
      <c r="H56" s="55" t="str">
        <f aca="false">IF($AE56="","",IF($AE56&lt;=1200,IF(INDEX(对接源_01水果!$AA$4:$AA$1203,$AE56)=0,"",INDEX(对接源_01水果!$AA$4:$AA$1203,$AE56)),IF(INDEX(对接源_02物料!$AA$4:$AA$1203,$AE56-1200)=0,"",INDEX(对接源_02物料!$AA$4:$AA$1203,$AE56-1200))))</f>
        <v/>
      </c>
      <c r="I56" s="41" t="str">
        <f aca="false">IF($AE56="","",IF($AE56&lt;=1200,IF(INDEX(对接源_01水果!$AB$4:$AB$1203,$AE56)=0,"",INDEX(对接源_01水果!$AB$4:$AB$1203,$AE56)),IF(INDEX(对接源_02物料!$AB$4:$AB$1203,$AE56-1200)=0,"",INDEX(对接源_02物料!$AB$4:$AB$1203,$AE56-1200))))</f>
        <v/>
      </c>
      <c r="J56" s="42" t="str">
        <f aca="false"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44" t="str">
        <f aca="false">IFERROR(MATCH(51,_自动清单!$AK$4:$AK$2403,0),"")</f>
        <v/>
      </c>
    </row>
    <row r="57" customFormat="false" ht="18" hidden="false" customHeight="true" outlineLevel="0" collapsed="false">
      <c r="A57" s="45" t="n">
        <f aca="false">IF($AE57="","",IF($AE57&lt;=1200,IF(INDEX(对接源_01水果!$B$4:$B$1203,$AE57)=0,"",INDEX(对接源_01水果!$B$4:$B$1203,$AE57)),IF(INDEX(对接源_02物料!$B$4:$B$1203,$AE57-1200)=0,"",INDEX(对接源_02物料!$B$4:$B$1203,$AE57-1200))))</f>
        <v>46273</v>
      </c>
      <c r="B57" s="46" t="str">
        <f aca="false">IF($AE57="","",IF($AE57&lt;=1200,IF(INDEX(对接源_01水果!$E$4:$E$1203,$AE57)=0,"",INDEX(对接源_01水果!$E$4:$E$1203,$AE57)),IF(INDEX(对接源_02物料!$E$4:$E$1203,$AE57-1200)=0,"",INDEX(对接源_02物料!$E$4:$E$1203,$AE57-1200))))</f>
        <v>NO:0001095</v>
      </c>
      <c r="C57" s="46" t="str">
        <f aca="false">IF($AE57="","",IF($AE57&lt;=1200,IF(INDEX(对接源_01水果!$F$4:$F$1203,$AE57)=0,"",INDEX(对接源_01水果!$F$4:$F$1203,$AE57)),IF(INDEX(对接源_02物料!$F$4:$F$1203,$AE57-1200)=0,"",INDEX(对接源_02物料!$F$4:$F$1203,$AE57-1200))))</f>
        <v>苹果</v>
      </c>
      <c r="D57" s="46" t="str">
        <f aca="false">IF($AE57="","",IF($AE57&lt;=1200,IF(INDEX(对接源_01水果!$G$4:$G$1203,$AE57)=0,"",INDEX(对接源_01水果!$G$4:$G$1203,$AE57)),IF(INDEX(对接源_02物料!$G$4:$G$1203,$AE57-1200)=0,"",INDEX(对接源_02物料!$G$4:$G$1203,$AE57-1200))))</f>
        <v>华硕一级</v>
      </c>
      <c r="E57" s="48" t="n">
        <f aca="false">IF($AE57="","",IF($AE57&lt;=1200,IF(INDEX(对接源_01水果!$H$4:$H$1203,$AE57)=0,"",INDEX(对接源_01水果!$H$4:$H$1203,$AE57)),IF(INDEX(对接源_02物料!$H$4:$H$1203,$AE57-1200)=0,"",INDEX(对接源_02物料!$H$4:$H$1203,$AE57-1200))))</f>
        <v>296</v>
      </c>
      <c r="F57" s="46" t="str">
        <f aca="false">IF($AE57="","",IF($AE57&lt;=1200,IF(INDEX(对接源_01水果!$I$4:$I$1203,$AE57)=0,"",INDEX(对接源_01水果!$I$4:$I$1203,$AE57)),IF(INDEX(对接源_02物料!$I$4:$I$1203,$AE57-1200)=0,"",INDEX(对接源_02物料!$I$4:$I$1203,$AE57-1200))))</f>
        <v>箱</v>
      </c>
      <c r="G57" s="56" t="str">
        <f aca="false">IF($AE57="","",IF($AE57&lt;=1200,IF(INDEX(对接源_01水果!$Z$4:$Z$1203,$AE57)=0,"",INDEX(对接源_01水果!$Z$4:$Z$1203,$AE57)),IF(INDEX(对接源_02物料!$Z$4:$Z$1203,$AE57-1200)=0,"",INDEX(对接源_02物料!$Z$4:$Z$1203,$AE57-1200))))</f>
        <v/>
      </c>
      <c r="H57" s="56" t="str">
        <f aca="false">IF($AE57="","",IF($AE57&lt;=1200,IF(INDEX(对接源_01水果!$AA$4:$AA$1203,$AE57)=0,"",INDEX(对接源_01水果!$AA$4:$AA$1203,$AE57)),IF(INDEX(对接源_02物料!$AA$4:$AA$1203,$AE57-1200)=0,"",INDEX(对接源_02物料!$AA$4:$AA$1203,$AE57-1200))))</f>
        <v/>
      </c>
      <c r="I57" s="46" t="str">
        <f aca="false">IF($AE57="","",IF($AE57&lt;=1200,IF(INDEX(对接源_01水果!$AB$4:$AB$1203,$AE57)=0,"",INDEX(对接源_01水果!$AB$4:$AB$1203,$AE57)),IF(INDEX(对接源_02物料!$AB$4:$AB$1203,$AE57-1200)=0,"",INDEX(对接源_02物料!$AB$4:$AB$1203,$AE57-1200))))</f>
        <v/>
      </c>
      <c r="J57" s="47" t="str">
        <f aca="false"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44" t="n">
        <f aca="false">IFERROR(MATCH(52,_自动清单!$AK$4:$AK$2403,0),"")</f>
        <v>295</v>
      </c>
    </row>
    <row r="58" customFormat="false" ht="18" hidden="false" customHeight="true" outlineLevel="0" collapsed="false">
      <c r="A58" s="40" t="str">
        <f aca="false"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41" t="str">
        <f aca="false"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41" t="str">
        <f aca="false"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41" t="str">
        <f aca="false"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43" t="str">
        <f aca="false"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41" t="str">
        <f aca="false"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5" t="str">
        <f aca="false">IF($AE58="","",IF($AE58&lt;=1200,IF(INDEX(对接源_01水果!$Z$4:$Z$1203,$AE58)=0,"",INDEX(对接源_01水果!$Z$4:$Z$1203,$AE58)),IF(INDEX(对接源_02物料!$Z$4:$Z$1203,$AE58-1200)=0,"",INDEX(对接源_02物料!$Z$4:$Z$1203,$AE58-1200))))</f>
        <v/>
      </c>
      <c r="H58" s="55" t="str">
        <f aca="false">IF($AE58="","",IF($AE58&lt;=1200,IF(INDEX(对接源_01水果!$AA$4:$AA$1203,$AE58)=0,"",INDEX(对接源_01水果!$AA$4:$AA$1203,$AE58)),IF(INDEX(对接源_02物料!$AA$4:$AA$1203,$AE58-1200)=0,"",INDEX(对接源_02物料!$AA$4:$AA$1203,$AE58-1200))))</f>
        <v/>
      </c>
      <c r="I58" s="41" t="str">
        <f aca="false">IF($AE58="","",IF($AE58&lt;=1200,IF(INDEX(对接源_01水果!$AB$4:$AB$1203,$AE58)=0,"",INDEX(对接源_01水果!$AB$4:$AB$1203,$AE58)),IF(INDEX(对接源_02物料!$AB$4:$AB$1203,$AE58-1200)=0,"",INDEX(对接源_02物料!$AB$4:$AB$1203,$AE58-1200))))</f>
        <v/>
      </c>
      <c r="J58" s="42" t="str">
        <f aca="false"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44" t="str">
        <f aca="false">IFERROR(MATCH(53,_自动清单!$AK$4:$AK$2403,0),"")</f>
        <v/>
      </c>
    </row>
    <row r="59" customFormat="false" ht="18" hidden="false" customHeight="true" outlineLevel="0" collapsed="false">
      <c r="A59" s="45" t="str">
        <f aca="false"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46" t="str">
        <f aca="false"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46" t="str">
        <f aca="false"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46" t="str">
        <f aca="false"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48" t="str">
        <f aca="false"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46" t="str">
        <f aca="false"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56" t="str">
        <f aca="false">IF($AE59="","",IF($AE59&lt;=1200,IF(INDEX(对接源_01水果!$Z$4:$Z$1203,$AE59)=0,"",INDEX(对接源_01水果!$Z$4:$Z$1203,$AE59)),IF(INDEX(对接源_02物料!$Z$4:$Z$1203,$AE59-1200)=0,"",INDEX(对接源_02物料!$Z$4:$Z$1203,$AE59-1200))))</f>
        <v/>
      </c>
      <c r="H59" s="56" t="str">
        <f aca="false">IF($AE59="","",IF($AE59&lt;=1200,IF(INDEX(对接源_01水果!$AA$4:$AA$1203,$AE59)=0,"",INDEX(对接源_01水果!$AA$4:$AA$1203,$AE59)),IF(INDEX(对接源_02物料!$AA$4:$AA$1203,$AE59-1200)=0,"",INDEX(对接源_02物料!$AA$4:$AA$1203,$AE59-1200))))</f>
        <v/>
      </c>
      <c r="I59" s="46" t="str">
        <f aca="false">IF($AE59="","",IF($AE59&lt;=1200,IF(INDEX(对接源_01水果!$AB$4:$AB$1203,$AE59)=0,"",INDEX(对接源_01水果!$AB$4:$AB$1203,$AE59)),IF(INDEX(对接源_02物料!$AB$4:$AB$1203,$AE59-1200)=0,"",INDEX(对接源_02物料!$AB$4:$AB$1203,$AE59-1200))))</f>
        <v/>
      </c>
      <c r="J59" s="47" t="str">
        <f aca="false"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44" t="str">
        <f aca="false">IFERROR(MATCH(54,_自动清单!$AK$4:$AK$2403,0),"")</f>
        <v/>
      </c>
    </row>
    <row r="60" customFormat="false" ht="18" hidden="false" customHeight="true" outlineLevel="0" collapsed="false">
      <c r="A60" s="40" t="str">
        <f aca="false"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41" t="str">
        <f aca="false"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41" t="str">
        <f aca="false"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41" t="str">
        <f aca="false"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43" t="str">
        <f aca="false"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41" t="str">
        <f aca="false"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5" t="str">
        <f aca="false">IF($AE60="","",IF($AE60&lt;=1200,IF(INDEX(对接源_01水果!$Z$4:$Z$1203,$AE60)=0,"",INDEX(对接源_01水果!$Z$4:$Z$1203,$AE60)),IF(INDEX(对接源_02物料!$Z$4:$Z$1203,$AE60-1200)=0,"",INDEX(对接源_02物料!$Z$4:$Z$1203,$AE60-1200))))</f>
        <v/>
      </c>
      <c r="H60" s="55" t="str">
        <f aca="false">IF($AE60="","",IF($AE60&lt;=1200,IF(INDEX(对接源_01水果!$AA$4:$AA$1203,$AE60)=0,"",INDEX(对接源_01水果!$AA$4:$AA$1203,$AE60)),IF(INDEX(对接源_02物料!$AA$4:$AA$1203,$AE60-1200)=0,"",INDEX(对接源_02物料!$AA$4:$AA$1203,$AE60-1200))))</f>
        <v/>
      </c>
      <c r="I60" s="41" t="str">
        <f aca="false">IF($AE60="","",IF($AE60&lt;=1200,IF(INDEX(对接源_01水果!$AB$4:$AB$1203,$AE60)=0,"",INDEX(对接源_01水果!$AB$4:$AB$1203,$AE60)),IF(INDEX(对接源_02物料!$AB$4:$AB$1203,$AE60-1200)=0,"",INDEX(对接源_02物料!$AB$4:$AB$1203,$AE60-1200))))</f>
        <v/>
      </c>
      <c r="J60" s="42" t="str">
        <f aca="false"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44" t="str">
        <f aca="false">IFERROR(MATCH(55,_自动清单!$AK$4:$AK$2403,0),"")</f>
        <v/>
      </c>
    </row>
    <row r="61" customFormat="false" ht="18" hidden="false" customHeight="true" outlineLevel="0" collapsed="false">
      <c r="A61" s="45" t="n">
        <f aca="false">IF($AE61="","",IF($AE61&lt;=1200,IF(INDEX(对接源_01水果!$B$4:$B$1203,$AE61)=0,"",INDEX(对接源_01水果!$B$4:$B$1203,$AE61)),IF(INDEX(对接源_02物料!$B$4:$B$1203,$AE61-1200)=0,"",INDEX(对接源_02物料!$B$4:$B$1203,$AE61-1200))))</f>
        <v>46273</v>
      </c>
      <c r="B61" s="46" t="str">
        <f aca="false">IF($AE61="","",IF($AE61&lt;=1200,IF(INDEX(对接源_01水果!$E$4:$E$1203,$AE61)=0,"",INDEX(对接源_01水果!$E$4:$E$1203,$AE61)),IF(INDEX(对接源_02物料!$E$4:$E$1203,$AE61-1200)=0,"",INDEX(对接源_02物料!$E$4:$E$1203,$AE61-1200))))</f>
        <v>NO:0001095</v>
      </c>
      <c r="C61" s="46" t="str">
        <f aca="false">IF($AE61="","",IF($AE61&lt;=1200,IF(INDEX(对接源_01水果!$F$4:$F$1203,$AE61)=0,"",INDEX(对接源_01水果!$F$4:$F$1203,$AE61)),IF(INDEX(对接源_02物料!$F$4:$F$1203,$AE61-1200)=0,"",INDEX(对接源_02物料!$F$4:$F$1203,$AE61-1200))))</f>
        <v>苹果</v>
      </c>
      <c r="D61" s="46" t="str">
        <f aca="false">IF($AE61="","",IF($AE61&lt;=1200,IF(INDEX(对接源_01水果!$G$4:$G$1203,$AE61)=0,"",INDEX(对接源_01水果!$G$4:$G$1203,$AE61)),IF(INDEX(对接源_02物料!$G$4:$G$1203,$AE61-1200)=0,"",INDEX(对接源_02物料!$G$4:$G$1203,$AE61-1200))))</f>
        <v>华硕一级</v>
      </c>
      <c r="E61" s="48" t="n">
        <f aca="false">IF($AE61="","",IF($AE61&lt;=1200,IF(INDEX(对接源_01水果!$H$4:$H$1203,$AE61)=0,"",INDEX(对接源_01水果!$H$4:$H$1203,$AE61)),IF(INDEX(对接源_02物料!$H$4:$H$1203,$AE61-1200)=0,"",INDEX(对接源_02物料!$H$4:$H$1203,$AE61-1200))))</f>
        <v>16</v>
      </c>
      <c r="F61" s="46" t="str">
        <f aca="false">IF($AE61="","",IF($AE61&lt;=1200,IF(INDEX(对接源_01水果!$I$4:$I$1203,$AE61)=0,"",INDEX(对接源_01水果!$I$4:$I$1203,$AE61)),IF(INDEX(对接源_02物料!$I$4:$I$1203,$AE61-1200)=0,"",INDEX(对接源_02物料!$I$4:$I$1203,$AE61-1200))))</f>
        <v>箱</v>
      </c>
      <c r="G61" s="56" t="str">
        <f aca="false">IF($AE61="","",IF($AE61&lt;=1200,IF(INDEX(对接源_01水果!$Z$4:$Z$1203,$AE61)=0,"",INDEX(对接源_01水果!$Z$4:$Z$1203,$AE61)),IF(INDEX(对接源_02物料!$Z$4:$Z$1203,$AE61-1200)=0,"",INDEX(对接源_02物料!$Z$4:$Z$1203,$AE61-1200))))</f>
        <v/>
      </c>
      <c r="H61" s="56" t="str">
        <f aca="false">IF($AE61="","",IF($AE61&lt;=1200,IF(INDEX(对接源_01水果!$AA$4:$AA$1203,$AE61)=0,"",INDEX(对接源_01水果!$AA$4:$AA$1203,$AE61)),IF(INDEX(对接源_02物料!$AA$4:$AA$1203,$AE61-1200)=0,"",INDEX(对接源_02物料!$AA$4:$AA$1203,$AE61-1200))))</f>
        <v/>
      </c>
      <c r="I61" s="46" t="str">
        <f aca="false">IF($AE61="","",IF($AE61&lt;=1200,IF(INDEX(对接源_01水果!$AB$4:$AB$1203,$AE61)=0,"",INDEX(对接源_01水果!$AB$4:$AB$1203,$AE61)),IF(INDEX(对接源_02物料!$AB$4:$AB$1203,$AE61-1200)=0,"",INDEX(对接源_02物料!$AB$4:$AB$1203,$AE61-1200))))</f>
        <v/>
      </c>
      <c r="J61" s="47" t="str">
        <f aca="false"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44" t="n">
        <f aca="false">IFERROR(MATCH(56,_自动清单!$AK$4:$AK$2403,0),"")</f>
        <v>296</v>
      </c>
    </row>
    <row r="62" customFormat="false" ht="18" hidden="false" customHeight="true" outlineLevel="0" collapsed="false">
      <c r="A62" s="40" t="str">
        <f aca="false"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41" t="str">
        <f aca="false"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41" t="str">
        <f aca="false"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41" t="str">
        <f aca="false"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43" t="str">
        <f aca="false"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41" t="str">
        <f aca="false"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5" t="str">
        <f aca="false">IF($AE62="","",IF($AE62&lt;=1200,IF(INDEX(对接源_01水果!$Z$4:$Z$1203,$AE62)=0,"",INDEX(对接源_01水果!$Z$4:$Z$1203,$AE62)),IF(INDEX(对接源_02物料!$Z$4:$Z$1203,$AE62-1200)=0,"",INDEX(对接源_02物料!$Z$4:$Z$1203,$AE62-1200))))</f>
        <v/>
      </c>
      <c r="H62" s="55" t="str">
        <f aca="false">IF($AE62="","",IF($AE62&lt;=1200,IF(INDEX(对接源_01水果!$AA$4:$AA$1203,$AE62)=0,"",INDEX(对接源_01水果!$AA$4:$AA$1203,$AE62)),IF(INDEX(对接源_02物料!$AA$4:$AA$1203,$AE62-1200)=0,"",INDEX(对接源_02物料!$AA$4:$AA$1203,$AE62-1200))))</f>
        <v/>
      </c>
      <c r="I62" s="41" t="str">
        <f aca="false">IF($AE62="","",IF($AE62&lt;=1200,IF(INDEX(对接源_01水果!$AB$4:$AB$1203,$AE62)=0,"",INDEX(对接源_01水果!$AB$4:$AB$1203,$AE62)),IF(INDEX(对接源_02物料!$AB$4:$AB$1203,$AE62-1200)=0,"",INDEX(对接源_02物料!$AB$4:$AB$1203,$AE62-1200))))</f>
        <v/>
      </c>
      <c r="J62" s="42" t="str">
        <f aca="false"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44" t="str">
        <f aca="false">IFERROR(MATCH(57,_自动清单!$AK$4:$AK$2403,0),"")</f>
        <v/>
      </c>
    </row>
    <row r="63" customFormat="false" ht="18" hidden="false" customHeight="true" outlineLevel="0" collapsed="false">
      <c r="A63" s="45" t="str">
        <f aca="false"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46" t="str">
        <f aca="false"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46" t="str">
        <f aca="false"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46" t="str">
        <f aca="false"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48" t="str">
        <f aca="false"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46" t="str">
        <f aca="false"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56" t="str">
        <f aca="false">IF($AE63="","",IF($AE63&lt;=1200,IF(INDEX(对接源_01水果!$Z$4:$Z$1203,$AE63)=0,"",INDEX(对接源_01水果!$Z$4:$Z$1203,$AE63)),IF(INDEX(对接源_02物料!$Z$4:$Z$1203,$AE63-1200)=0,"",INDEX(对接源_02物料!$Z$4:$Z$1203,$AE63-1200))))</f>
        <v/>
      </c>
      <c r="H63" s="56" t="str">
        <f aca="false">IF($AE63="","",IF($AE63&lt;=1200,IF(INDEX(对接源_01水果!$AA$4:$AA$1203,$AE63)=0,"",INDEX(对接源_01水果!$AA$4:$AA$1203,$AE63)),IF(INDEX(对接源_02物料!$AA$4:$AA$1203,$AE63-1200)=0,"",INDEX(对接源_02物料!$AA$4:$AA$1203,$AE63-1200))))</f>
        <v/>
      </c>
      <c r="I63" s="46" t="str">
        <f aca="false">IF($AE63="","",IF($AE63&lt;=1200,IF(INDEX(对接源_01水果!$AB$4:$AB$1203,$AE63)=0,"",INDEX(对接源_01水果!$AB$4:$AB$1203,$AE63)),IF(INDEX(对接源_02物料!$AB$4:$AB$1203,$AE63-1200)=0,"",INDEX(对接源_02物料!$AB$4:$AB$1203,$AE63-1200))))</f>
        <v/>
      </c>
      <c r="J63" s="47" t="str">
        <f aca="false"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44" t="str">
        <f aca="false">IFERROR(MATCH(58,_自动清单!$AK$4:$AK$2403,0),"")</f>
        <v/>
      </c>
    </row>
    <row r="64" customFormat="false" ht="18" hidden="false" customHeight="true" outlineLevel="0" collapsed="false">
      <c r="A64" s="40" t="str">
        <f aca="false"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41" t="str">
        <f aca="false"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41" t="str">
        <f aca="false"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41" t="str">
        <f aca="false"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43" t="str">
        <f aca="false"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41" t="str">
        <f aca="false"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5" t="str">
        <f aca="false">IF($AE64="","",IF($AE64&lt;=1200,IF(INDEX(对接源_01水果!$Z$4:$Z$1203,$AE64)=0,"",INDEX(对接源_01水果!$Z$4:$Z$1203,$AE64)),IF(INDEX(对接源_02物料!$Z$4:$Z$1203,$AE64-1200)=0,"",INDEX(对接源_02物料!$Z$4:$Z$1203,$AE64-1200))))</f>
        <v/>
      </c>
      <c r="H64" s="55" t="str">
        <f aca="false">IF($AE64="","",IF($AE64&lt;=1200,IF(INDEX(对接源_01水果!$AA$4:$AA$1203,$AE64)=0,"",INDEX(对接源_01水果!$AA$4:$AA$1203,$AE64)),IF(INDEX(对接源_02物料!$AA$4:$AA$1203,$AE64-1200)=0,"",INDEX(对接源_02物料!$AA$4:$AA$1203,$AE64-1200))))</f>
        <v/>
      </c>
      <c r="I64" s="41" t="str">
        <f aca="false">IF($AE64="","",IF($AE64&lt;=1200,IF(INDEX(对接源_01水果!$AB$4:$AB$1203,$AE64)=0,"",INDEX(对接源_01水果!$AB$4:$AB$1203,$AE64)),IF(INDEX(对接源_02物料!$AB$4:$AB$1203,$AE64-1200)=0,"",INDEX(对接源_02物料!$AB$4:$AB$1203,$AE64-1200))))</f>
        <v/>
      </c>
      <c r="J64" s="42" t="str">
        <f aca="false"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44" t="str">
        <f aca="false">IFERROR(MATCH(59,_自动清单!$AK$4:$AK$2403,0),"")</f>
        <v/>
      </c>
    </row>
    <row r="65" customFormat="false" ht="18" hidden="false" customHeight="true" outlineLevel="0" collapsed="false">
      <c r="A65" s="45" t="n">
        <f aca="false">IF($AE65="","",IF($AE65&lt;=1200,IF(INDEX(对接源_01水果!$B$4:$B$1203,$AE65)=0,"",INDEX(对接源_01水果!$B$4:$B$1203,$AE65)),IF(INDEX(对接源_02物料!$B$4:$B$1203,$AE65-1200)=0,"",INDEX(对接源_02物料!$B$4:$B$1203,$AE65-1200))))</f>
        <v>46273</v>
      </c>
      <c r="B65" s="46" t="str">
        <f aca="false">IF($AE65="","",IF($AE65&lt;=1200,IF(INDEX(对接源_01水果!$E$4:$E$1203,$AE65)=0,"",INDEX(对接源_01水果!$E$4:$E$1203,$AE65)),IF(INDEX(对接源_02物料!$E$4:$E$1203,$AE65-1200)=0,"",INDEX(对接源_02物料!$E$4:$E$1203,$AE65-1200))))</f>
        <v>NO:0001097</v>
      </c>
      <c r="C65" s="46" t="str">
        <f aca="false">IF($AE65="","",IF($AE65&lt;=1200,IF(INDEX(对接源_01水果!$F$4:$F$1203,$AE65)=0,"",INDEX(对接源_01水果!$F$4:$F$1203,$AE65)),IF(INDEX(对接源_02物料!$F$4:$F$1203,$AE65-1200)=0,"",INDEX(对接源_02物料!$F$4:$F$1203,$AE65-1200))))</f>
        <v>苹果</v>
      </c>
      <c r="D65" s="46" t="str">
        <f aca="false">IF($AE65="","",IF($AE65&lt;=1200,IF(INDEX(对接源_01水果!$G$4:$G$1203,$AE65)=0,"",INDEX(对接源_01水果!$G$4:$G$1203,$AE65)),IF(INDEX(对接源_02物料!$G$4:$G$1203,$AE65-1200)=0,"",INDEX(对接源_02物料!$G$4:$G$1203,$AE65-1200))))</f>
        <v>嘎啦100#</v>
      </c>
      <c r="E65" s="48" t="n">
        <f aca="false">IF($AE65="","",IF($AE65&lt;=1200,IF(INDEX(对接源_01水果!$H$4:$H$1203,$AE65)=0,"",INDEX(对接源_01水果!$H$4:$H$1203,$AE65)),IF(INDEX(对接源_02物料!$H$4:$H$1203,$AE65-1200)=0,"",INDEX(对接源_02物料!$H$4:$H$1203,$AE65-1200))))</f>
        <v>90</v>
      </c>
      <c r="F65" s="46" t="str">
        <f aca="false">IF($AE65="","",IF($AE65&lt;=1200,IF(INDEX(对接源_01水果!$I$4:$I$1203,$AE65)=0,"",INDEX(对接源_01水果!$I$4:$I$1203,$AE65)),IF(INDEX(对接源_02物料!$I$4:$I$1203,$AE65-1200)=0,"",INDEX(对接源_02物料!$I$4:$I$1203,$AE65-1200))))</f>
        <v>筐</v>
      </c>
      <c r="G65" s="56" t="str">
        <f aca="false">IF($AE65="","",IF($AE65&lt;=1200,IF(INDEX(对接源_01水果!$Z$4:$Z$1203,$AE65)=0,"",INDEX(对接源_01水果!$Z$4:$Z$1203,$AE65)),IF(INDEX(对接源_02物料!$Z$4:$Z$1203,$AE65-1200)=0,"",INDEX(对接源_02物料!$Z$4:$Z$1203,$AE65-1200))))</f>
        <v/>
      </c>
      <c r="H65" s="56" t="str">
        <f aca="false">IF($AE65="","",IF($AE65&lt;=1200,IF(INDEX(对接源_01水果!$AA$4:$AA$1203,$AE65)=0,"",INDEX(对接源_01水果!$AA$4:$AA$1203,$AE65)),IF(INDEX(对接源_02物料!$AA$4:$AA$1203,$AE65-1200)=0,"",INDEX(对接源_02物料!$AA$4:$AA$1203,$AE65-1200))))</f>
        <v/>
      </c>
      <c r="I65" s="46" t="str">
        <f aca="false">IF($AE65="","",IF($AE65&lt;=1200,IF(INDEX(对接源_01水果!$AB$4:$AB$1203,$AE65)=0,"",INDEX(对接源_01水果!$AB$4:$AB$1203,$AE65)),IF(INDEX(对接源_02物料!$AB$4:$AB$1203,$AE65-1200)=0,"",INDEX(对接源_02物料!$AB$4:$AB$1203,$AE65-1200))))</f>
        <v/>
      </c>
      <c r="J65" s="47" t="str">
        <f aca="false"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44" t="n">
        <f aca="false">IFERROR(MATCH(60,_自动清单!$AK$4:$AK$2403,0),"")</f>
        <v>297</v>
      </c>
    </row>
    <row r="66" customFormat="false" ht="18" hidden="false" customHeight="true" outlineLevel="0" collapsed="false">
      <c r="A66" s="40" t="str">
        <f aca="false"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41" t="str">
        <f aca="false"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41" t="str">
        <f aca="false"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41" t="str">
        <f aca="false"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43" t="str">
        <f aca="false"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41" t="str">
        <f aca="false"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5" t="str">
        <f aca="false">IF($AE66="","",IF($AE66&lt;=1200,IF(INDEX(对接源_01水果!$Z$4:$Z$1203,$AE66)=0,"",INDEX(对接源_01水果!$Z$4:$Z$1203,$AE66)),IF(INDEX(对接源_02物料!$Z$4:$Z$1203,$AE66-1200)=0,"",INDEX(对接源_02物料!$Z$4:$Z$1203,$AE66-1200))))</f>
        <v/>
      </c>
      <c r="H66" s="55" t="str">
        <f aca="false">IF($AE66="","",IF($AE66&lt;=1200,IF(INDEX(对接源_01水果!$AA$4:$AA$1203,$AE66)=0,"",INDEX(对接源_01水果!$AA$4:$AA$1203,$AE66)),IF(INDEX(对接源_02物料!$AA$4:$AA$1203,$AE66-1200)=0,"",INDEX(对接源_02物料!$AA$4:$AA$1203,$AE66-1200))))</f>
        <v/>
      </c>
      <c r="I66" s="41" t="str">
        <f aca="false">IF($AE66="","",IF($AE66&lt;=1200,IF(INDEX(对接源_01水果!$AB$4:$AB$1203,$AE66)=0,"",INDEX(对接源_01水果!$AB$4:$AB$1203,$AE66)),IF(INDEX(对接源_02物料!$AB$4:$AB$1203,$AE66-1200)=0,"",INDEX(对接源_02物料!$AB$4:$AB$1203,$AE66-1200))))</f>
        <v/>
      </c>
      <c r="J66" s="42" t="str">
        <f aca="false"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44" t="str">
        <f aca="false">IFERROR(MATCH(61,_自动清单!$AK$4:$AK$2403,0),"")</f>
        <v/>
      </c>
    </row>
    <row r="67" customFormat="false" ht="18" hidden="false" customHeight="true" outlineLevel="0" collapsed="false">
      <c r="A67" s="45" t="str">
        <f aca="false"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46" t="str">
        <f aca="false"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46" t="str">
        <f aca="false"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46" t="str">
        <f aca="false"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48" t="str">
        <f aca="false"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46" t="str">
        <f aca="false"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56" t="str">
        <f aca="false">IF($AE67="","",IF($AE67&lt;=1200,IF(INDEX(对接源_01水果!$Z$4:$Z$1203,$AE67)=0,"",INDEX(对接源_01水果!$Z$4:$Z$1203,$AE67)),IF(INDEX(对接源_02物料!$Z$4:$Z$1203,$AE67-1200)=0,"",INDEX(对接源_02物料!$Z$4:$Z$1203,$AE67-1200))))</f>
        <v/>
      </c>
      <c r="H67" s="56" t="str">
        <f aca="false">IF($AE67="","",IF($AE67&lt;=1200,IF(INDEX(对接源_01水果!$AA$4:$AA$1203,$AE67)=0,"",INDEX(对接源_01水果!$AA$4:$AA$1203,$AE67)),IF(INDEX(对接源_02物料!$AA$4:$AA$1203,$AE67-1200)=0,"",INDEX(对接源_02物料!$AA$4:$AA$1203,$AE67-1200))))</f>
        <v/>
      </c>
      <c r="I67" s="46" t="str">
        <f aca="false">IF($AE67="","",IF($AE67&lt;=1200,IF(INDEX(对接源_01水果!$AB$4:$AB$1203,$AE67)=0,"",INDEX(对接源_01水果!$AB$4:$AB$1203,$AE67)),IF(INDEX(对接源_02物料!$AB$4:$AB$1203,$AE67-1200)=0,"",INDEX(对接源_02物料!$AB$4:$AB$1203,$AE67-1200))))</f>
        <v/>
      </c>
      <c r="J67" s="47" t="str">
        <f aca="false"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44" t="str">
        <f aca="false">IFERROR(MATCH(62,_自动清单!$AK$4:$AK$2403,0),"")</f>
        <v/>
      </c>
    </row>
    <row r="68" customFormat="false" ht="18" hidden="false" customHeight="true" outlineLevel="0" collapsed="false">
      <c r="A68" s="40" t="str">
        <f aca="false"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41" t="str">
        <f aca="false"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41" t="str">
        <f aca="false"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41" t="str">
        <f aca="false"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43" t="str">
        <f aca="false"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41" t="str">
        <f aca="false"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5" t="str">
        <f aca="false">IF($AE68="","",IF($AE68&lt;=1200,IF(INDEX(对接源_01水果!$Z$4:$Z$1203,$AE68)=0,"",INDEX(对接源_01水果!$Z$4:$Z$1203,$AE68)),IF(INDEX(对接源_02物料!$Z$4:$Z$1203,$AE68-1200)=0,"",INDEX(对接源_02物料!$Z$4:$Z$1203,$AE68-1200))))</f>
        <v/>
      </c>
      <c r="H68" s="55" t="str">
        <f aca="false">IF($AE68="","",IF($AE68&lt;=1200,IF(INDEX(对接源_01水果!$AA$4:$AA$1203,$AE68)=0,"",INDEX(对接源_01水果!$AA$4:$AA$1203,$AE68)),IF(INDEX(对接源_02物料!$AA$4:$AA$1203,$AE68-1200)=0,"",INDEX(对接源_02物料!$AA$4:$AA$1203,$AE68-1200))))</f>
        <v/>
      </c>
      <c r="I68" s="41" t="str">
        <f aca="false">IF($AE68="","",IF($AE68&lt;=1200,IF(INDEX(对接源_01水果!$AB$4:$AB$1203,$AE68)=0,"",INDEX(对接源_01水果!$AB$4:$AB$1203,$AE68)),IF(INDEX(对接源_02物料!$AB$4:$AB$1203,$AE68-1200)=0,"",INDEX(对接源_02物料!$AB$4:$AB$1203,$AE68-1200))))</f>
        <v/>
      </c>
      <c r="J68" s="42" t="str">
        <f aca="false"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44" t="str">
        <f aca="false">IFERROR(MATCH(63,_自动清单!$AK$4:$AK$2403,0),"")</f>
        <v/>
      </c>
    </row>
    <row r="69" customFormat="false" ht="18" hidden="false" customHeight="true" outlineLevel="0" collapsed="false">
      <c r="A69" s="45" t="n">
        <f aca="false">IF($AE69="","",IF($AE69&lt;=1200,IF(INDEX(对接源_01水果!$B$4:$B$1203,$AE69)=0,"",INDEX(对接源_01水果!$B$4:$B$1203,$AE69)),IF(INDEX(对接源_02物料!$B$4:$B$1203,$AE69-1200)=0,"",INDEX(对接源_02物料!$B$4:$B$1203,$AE69-1200))))</f>
        <v>46274</v>
      </c>
      <c r="B69" s="46" t="str">
        <f aca="false">IF($AE69="","",IF($AE69&lt;=1200,IF(INDEX(对接源_01水果!$E$4:$E$1203,$AE69)=0,"",INDEX(对接源_01水果!$E$4:$E$1203,$AE69)),IF(INDEX(对接源_02物料!$E$4:$E$1203,$AE69-1200)=0,"",INDEX(对接源_02物料!$E$4:$E$1203,$AE69-1200))))</f>
        <v>NO:0001104</v>
      </c>
      <c r="C69" s="46" t="str">
        <f aca="false">IF($AE69="","",IF($AE69&lt;=1200,IF(INDEX(对接源_01水果!$F$4:$F$1203,$AE69)=0,"",INDEX(对接源_01水果!$F$4:$F$1203,$AE69)),IF(INDEX(对接源_02物料!$F$4:$F$1203,$AE69-1200)=0,"",INDEX(对接源_02物料!$F$4:$F$1203,$AE69-1200))))</f>
        <v>苹果</v>
      </c>
      <c r="D69" s="46" t="str">
        <f aca="false">IF($AE69="","",IF($AE69&lt;=1200,IF(INDEX(对接源_01水果!$G$4:$G$1203,$AE69)=0,"",INDEX(对接源_01水果!$G$4:$G$1203,$AE69)),IF(INDEX(对接源_02物料!$G$4:$G$1203,$AE69-1200)=0,"",INDEX(对接源_02物料!$G$4:$G$1203,$AE69-1200))))</f>
        <v>华硕一级</v>
      </c>
      <c r="E69" s="48" t="n">
        <f aca="false">IF($AE69="","",IF($AE69&lt;=1200,IF(INDEX(对接源_01水果!$H$4:$H$1203,$AE69)=0,"",INDEX(对接源_01水果!$H$4:$H$1203,$AE69)),IF(INDEX(对接源_02物料!$H$4:$H$1203,$AE69-1200)=0,"",INDEX(对接源_02物料!$H$4:$H$1203,$AE69-1200))))</f>
        <v>27</v>
      </c>
      <c r="F69" s="46" t="str">
        <f aca="false">IF($AE69="","",IF($AE69&lt;=1200,IF(INDEX(对接源_01水果!$I$4:$I$1203,$AE69)=0,"",INDEX(对接源_01水果!$I$4:$I$1203,$AE69)),IF(INDEX(对接源_02物料!$I$4:$I$1203,$AE69-1200)=0,"",INDEX(对接源_02物料!$I$4:$I$1203,$AE69-1200))))</f>
        <v>箱</v>
      </c>
      <c r="G69" s="56" t="str">
        <f aca="false">IF($AE69="","",IF($AE69&lt;=1200,IF(INDEX(对接源_01水果!$Z$4:$Z$1203,$AE69)=0,"",INDEX(对接源_01水果!$Z$4:$Z$1203,$AE69)),IF(INDEX(对接源_02物料!$Z$4:$Z$1203,$AE69-1200)=0,"",INDEX(对接源_02物料!$Z$4:$Z$1203,$AE69-1200))))</f>
        <v/>
      </c>
      <c r="H69" s="56" t="str">
        <f aca="false">IF($AE69="","",IF($AE69&lt;=1200,IF(INDEX(对接源_01水果!$AA$4:$AA$1203,$AE69)=0,"",INDEX(对接源_01水果!$AA$4:$AA$1203,$AE69)),IF(INDEX(对接源_02物料!$AA$4:$AA$1203,$AE69-1200)=0,"",INDEX(对接源_02物料!$AA$4:$AA$1203,$AE69-1200))))</f>
        <v/>
      </c>
      <c r="I69" s="46" t="str">
        <f aca="false">IF($AE69="","",IF($AE69&lt;=1200,IF(INDEX(对接源_01水果!$AB$4:$AB$1203,$AE69)=0,"",INDEX(对接源_01水果!$AB$4:$AB$1203,$AE69)),IF(INDEX(对接源_02物料!$AB$4:$AB$1203,$AE69-1200)=0,"",INDEX(对接源_02物料!$AB$4:$AB$1203,$AE69-1200))))</f>
        <v/>
      </c>
      <c r="J69" s="47" t="str">
        <f aca="false"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44" t="n">
        <f aca="false">IFERROR(MATCH(64,_自动清单!$AK$4:$AK$2403,0),"")</f>
        <v>298</v>
      </c>
    </row>
    <row r="70" customFormat="false" ht="18" hidden="false" customHeight="true" outlineLevel="0" collapsed="false">
      <c r="A70" s="40" t="str">
        <f aca="false"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41" t="str">
        <f aca="false"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41" t="str">
        <f aca="false"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41" t="str">
        <f aca="false"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43" t="str">
        <f aca="false"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41" t="str">
        <f aca="false"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5" t="str">
        <f aca="false">IF($AE70="","",IF($AE70&lt;=1200,IF(INDEX(对接源_01水果!$Z$4:$Z$1203,$AE70)=0,"",INDEX(对接源_01水果!$Z$4:$Z$1203,$AE70)),IF(INDEX(对接源_02物料!$Z$4:$Z$1203,$AE70-1200)=0,"",INDEX(对接源_02物料!$Z$4:$Z$1203,$AE70-1200))))</f>
        <v/>
      </c>
      <c r="H70" s="55" t="str">
        <f aca="false">IF($AE70="","",IF($AE70&lt;=1200,IF(INDEX(对接源_01水果!$AA$4:$AA$1203,$AE70)=0,"",INDEX(对接源_01水果!$AA$4:$AA$1203,$AE70)),IF(INDEX(对接源_02物料!$AA$4:$AA$1203,$AE70-1200)=0,"",INDEX(对接源_02物料!$AA$4:$AA$1203,$AE70-1200))))</f>
        <v/>
      </c>
      <c r="I70" s="41" t="str">
        <f aca="false">IF($AE70="","",IF($AE70&lt;=1200,IF(INDEX(对接源_01水果!$AB$4:$AB$1203,$AE70)=0,"",INDEX(对接源_01水果!$AB$4:$AB$1203,$AE70)),IF(INDEX(对接源_02物料!$AB$4:$AB$1203,$AE70-1200)=0,"",INDEX(对接源_02物料!$AB$4:$AB$1203,$AE70-1200))))</f>
        <v/>
      </c>
      <c r="J70" s="42" t="str">
        <f aca="false"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44" t="str">
        <f aca="false">IFERROR(MATCH(65,_自动清单!$AK$4:$AK$2403,0),"")</f>
        <v/>
      </c>
    </row>
    <row r="71" customFormat="false" ht="18" hidden="false" customHeight="true" outlineLevel="0" collapsed="false">
      <c r="A71" s="45" t="str">
        <f aca="false"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46" t="str">
        <f aca="false"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46" t="str">
        <f aca="false"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46" t="str">
        <f aca="false"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48" t="str">
        <f aca="false"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46" t="str">
        <f aca="false"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56" t="str">
        <f aca="false">IF($AE71="","",IF($AE71&lt;=1200,IF(INDEX(对接源_01水果!$Z$4:$Z$1203,$AE71)=0,"",INDEX(对接源_01水果!$Z$4:$Z$1203,$AE71)),IF(INDEX(对接源_02物料!$Z$4:$Z$1203,$AE71-1200)=0,"",INDEX(对接源_02物料!$Z$4:$Z$1203,$AE71-1200))))</f>
        <v/>
      </c>
      <c r="H71" s="56" t="str">
        <f aca="false">IF($AE71="","",IF($AE71&lt;=1200,IF(INDEX(对接源_01水果!$AA$4:$AA$1203,$AE71)=0,"",INDEX(对接源_01水果!$AA$4:$AA$1203,$AE71)),IF(INDEX(对接源_02物料!$AA$4:$AA$1203,$AE71-1200)=0,"",INDEX(对接源_02物料!$AA$4:$AA$1203,$AE71-1200))))</f>
        <v/>
      </c>
      <c r="I71" s="46" t="str">
        <f aca="false">IF($AE71="","",IF($AE71&lt;=1200,IF(INDEX(对接源_01水果!$AB$4:$AB$1203,$AE71)=0,"",INDEX(对接源_01水果!$AB$4:$AB$1203,$AE71)),IF(INDEX(对接源_02物料!$AB$4:$AB$1203,$AE71-1200)=0,"",INDEX(对接源_02物料!$AB$4:$AB$1203,$AE71-1200))))</f>
        <v/>
      </c>
      <c r="J71" s="47" t="str">
        <f aca="false"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44" t="str">
        <f aca="false">IFERROR(MATCH(66,_自动清单!$AK$4:$AK$2403,0),"")</f>
        <v/>
      </c>
    </row>
    <row r="72" customFormat="false" ht="18" hidden="false" customHeight="true" outlineLevel="0" collapsed="false">
      <c r="A72" s="40" t="str">
        <f aca="false"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41" t="str">
        <f aca="false"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41" t="str">
        <f aca="false"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41" t="str">
        <f aca="false"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43" t="str">
        <f aca="false"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41" t="str">
        <f aca="false"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5" t="str">
        <f aca="false">IF($AE72="","",IF($AE72&lt;=1200,IF(INDEX(对接源_01水果!$Z$4:$Z$1203,$AE72)=0,"",INDEX(对接源_01水果!$Z$4:$Z$1203,$AE72)),IF(INDEX(对接源_02物料!$Z$4:$Z$1203,$AE72-1200)=0,"",INDEX(对接源_02物料!$Z$4:$Z$1203,$AE72-1200))))</f>
        <v/>
      </c>
      <c r="H72" s="55" t="str">
        <f aca="false">IF($AE72="","",IF($AE72&lt;=1200,IF(INDEX(对接源_01水果!$AA$4:$AA$1203,$AE72)=0,"",INDEX(对接源_01水果!$AA$4:$AA$1203,$AE72)),IF(INDEX(对接源_02物料!$AA$4:$AA$1203,$AE72-1200)=0,"",INDEX(对接源_02物料!$AA$4:$AA$1203,$AE72-1200))))</f>
        <v/>
      </c>
      <c r="I72" s="41" t="str">
        <f aca="false">IF($AE72="","",IF($AE72&lt;=1200,IF(INDEX(对接源_01水果!$AB$4:$AB$1203,$AE72)=0,"",INDEX(对接源_01水果!$AB$4:$AB$1203,$AE72)),IF(INDEX(对接源_02物料!$AB$4:$AB$1203,$AE72-1200)=0,"",INDEX(对接源_02物料!$AB$4:$AB$1203,$AE72-1200))))</f>
        <v/>
      </c>
      <c r="J72" s="42" t="str">
        <f aca="false"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44" t="str">
        <f aca="false">IFERROR(MATCH(67,_自动清单!$AK$4:$AK$2403,0),"")</f>
        <v/>
      </c>
    </row>
    <row r="73" customFormat="false" ht="18" hidden="false" customHeight="true" outlineLevel="0" collapsed="false">
      <c r="A73" s="45" t="n">
        <f aca="false">IF($AE73="","",IF($AE73&lt;=1200,IF(INDEX(对接源_01水果!$B$4:$B$1203,$AE73)=0,"",INDEX(对接源_01水果!$B$4:$B$1203,$AE73)),IF(INDEX(对接源_02物料!$B$4:$B$1203,$AE73-1200)=0,"",INDEX(对接源_02物料!$B$4:$B$1203,$AE73-1200))))</f>
        <v>46275</v>
      </c>
      <c r="B73" s="46" t="str">
        <f aca="false">IF($AE73="","",IF($AE73&lt;=1200,IF(INDEX(对接源_01水果!$E$4:$E$1203,$AE73)=0,"",INDEX(对接源_01水果!$E$4:$E$1203,$AE73)),IF(INDEX(对接源_02物料!$E$4:$E$1203,$AE73-1200)=0,"",INDEX(对接源_02物料!$E$4:$E$1203,$AE73-1200))))</f>
        <v>NO:0001109</v>
      </c>
      <c r="C73" s="46" t="str">
        <f aca="false">IF($AE73="","",IF($AE73&lt;=1200,IF(INDEX(对接源_01水果!$F$4:$F$1203,$AE73)=0,"",INDEX(对接源_01水果!$F$4:$F$1203,$AE73)),IF(INDEX(对接源_02物料!$F$4:$F$1203,$AE73-1200)=0,"",INDEX(对接源_02物料!$F$4:$F$1203,$AE73-1200))))</f>
        <v>苹果</v>
      </c>
      <c r="D73" s="46" t="str">
        <f aca="false">IF($AE73="","",IF($AE73&lt;=1200,IF(INDEX(对接源_01水果!$G$4:$G$1203,$AE73)=0,"",INDEX(对接源_01水果!$G$4:$G$1203,$AE73)),IF(INDEX(对接源_02物料!$G$4:$G$1203,$AE73-1200)=0,"",INDEX(对接源_02物料!$G$4:$G$1203,$AE73-1200))))</f>
        <v>华硕一级</v>
      </c>
      <c r="E73" s="48" t="n">
        <f aca="false">IF($AE73="","",IF($AE73&lt;=1200,IF(INDEX(对接源_01水果!$H$4:$H$1203,$AE73)=0,"",INDEX(对接源_01水果!$H$4:$H$1203,$AE73)),IF(INDEX(对接源_02物料!$H$4:$H$1203,$AE73-1200)=0,"",INDEX(对接源_02物料!$H$4:$H$1203,$AE73-1200))))</f>
        <v>132</v>
      </c>
      <c r="F73" s="46" t="str">
        <f aca="false">IF($AE73="","",IF($AE73&lt;=1200,IF(INDEX(对接源_01水果!$I$4:$I$1203,$AE73)=0,"",INDEX(对接源_01水果!$I$4:$I$1203,$AE73)),IF(INDEX(对接源_02物料!$I$4:$I$1203,$AE73-1200)=0,"",INDEX(对接源_02物料!$I$4:$I$1203,$AE73-1200))))</f>
        <v>箱</v>
      </c>
      <c r="G73" s="56" t="str">
        <f aca="false">IF($AE73="","",IF($AE73&lt;=1200,IF(INDEX(对接源_01水果!$Z$4:$Z$1203,$AE73)=0,"",INDEX(对接源_01水果!$Z$4:$Z$1203,$AE73)),IF(INDEX(对接源_02物料!$Z$4:$Z$1203,$AE73-1200)=0,"",INDEX(对接源_02物料!$Z$4:$Z$1203,$AE73-1200))))</f>
        <v/>
      </c>
      <c r="H73" s="56" t="str">
        <f aca="false">IF($AE73="","",IF($AE73&lt;=1200,IF(INDEX(对接源_01水果!$AA$4:$AA$1203,$AE73)=0,"",INDEX(对接源_01水果!$AA$4:$AA$1203,$AE73)),IF(INDEX(对接源_02物料!$AA$4:$AA$1203,$AE73-1200)=0,"",INDEX(对接源_02物料!$AA$4:$AA$1203,$AE73-1200))))</f>
        <v/>
      </c>
      <c r="I73" s="46" t="str">
        <f aca="false">IF($AE73="","",IF($AE73&lt;=1200,IF(INDEX(对接源_01水果!$AB$4:$AB$1203,$AE73)=0,"",INDEX(对接源_01水果!$AB$4:$AB$1203,$AE73)),IF(INDEX(对接源_02物料!$AB$4:$AB$1203,$AE73-1200)=0,"",INDEX(对接源_02物料!$AB$4:$AB$1203,$AE73-1200))))</f>
        <v/>
      </c>
      <c r="J73" s="47" t="str">
        <f aca="false"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44" t="n">
        <f aca="false">IFERROR(MATCH(68,_自动清单!$AK$4:$AK$2403,0),"")</f>
        <v>299</v>
      </c>
    </row>
    <row r="74" customFormat="false" ht="18" hidden="false" customHeight="true" outlineLevel="0" collapsed="false">
      <c r="A74" s="40" t="str">
        <f aca="false"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41" t="str">
        <f aca="false"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41" t="str">
        <f aca="false"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41" t="str">
        <f aca="false"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43" t="str">
        <f aca="false"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41" t="str">
        <f aca="false"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5" t="str">
        <f aca="false">IF($AE74="","",IF($AE74&lt;=1200,IF(INDEX(对接源_01水果!$Z$4:$Z$1203,$AE74)=0,"",INDEX(对接源_01水果!$Z$4:$Z$1203,$AE74)),IF(INDEX(对接源_02物料!$Z$4:$Z$1203,$AE74-1200)=0,"",INDEX(对接源_02物料!$Z$4:$Z$1203,$AE74-1200))))</f>
        <v/>
      </c>
      <c r="H74" s="55" t="str">
        <f aca="false">IF($AE74="","",IF($AE74&lt;=1200,IF(INDEX(对接源_01水果!$AA$4:$AA$1203,$AE74)=0,"",INDEX(对接源_01水果!$AA$4:$AA$1203,$AE74)),IF(INDEX(对接源_02物料!$AA$4:$AA$1203,$AE74-1200)=0,"",INDEX(对接源_02物料!$AA$4:$AA$1203,$AE74-1200))))</f>
        <v/>
      </c>
      <c r="I74" s="41" t="str">
        <f aca="false">IF($AE74="","",IF($AE74&lt;=1200,IF(INDEX(对接源_01水果!$AB$4:$AB$1203,$AE74)=0,"",INDEX(对接源_01水果!$AB$4:$AB$1203,$AE74)),IF(INDEX(对接源_02物料!$AB$4:$AB$1203,$AE74-1200)=0,"",INDEX(对接源_02物料!$AB$4:$AB$1203,$AE74-1200))))</f>
        <v/>
      </c>
      <c r="J74" s="42" t="str">
        <f aca="false"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44" t="str">
        <f aca="false">IFERROR(MATCH(69,_自动清单!$AK$4:$AK$2403,0),"")</f>
        <v/>
      </c>
    </row>
    <row r="75" customFormat="false" ht="18" hidden="false" customHeight="true" outlineLevel="0" collapsed="false">
      <c r="A75" s="45" t="str">
        <f aca="false"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46" t="str">
        <f aca="false"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46" t="str">
        <f aca="false"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46" t="str">
        <f aca="false"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48" t="str">
        <f aca="false"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46" t="str">
        <f aca="false"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56" t="str">
        <f aca="false">IF($AE75="","",IF($AE75&lt;=1200,IF(INDEX(对接源_01水果!$Z$4:$Z$1203,$AE75)=0,"",INDEX(对接源_01水果!$Z$4:$Z$1203,$AE75)),IF(INDEX(对接源_02物料!$Z$4:$Z$1203,$AE75-1200)=0,"",INDEX(对接源_02物料!$Z$4:$Z$1203,$AE75-1200))))</f>
        <v/>
      </c>
      <c r="H75" s="56" t="str">
        <f aca="false">IF($AE75="","",IF($AE75&lt;=1200,IF(INDEX(对接源_01水果!$AA$4:$AA$1203,$AE75)=0,"",INDEX(对接源_01水果!$AA$4:$AA$1203,$AE75)),IF(INDEX(对接源_02物料!$AA$4:$AA$1203,$AE75-1200)=0,"",INDEX(对接源_02物料!$AA$4:$AA$1203,$AE75-1200))))</f>
        <v/>
      </c>
      <c r="I75" s="46" t="str">
        <f aca="false">IF($AE75="","",IF($AE75&lt;=1200,IF(INDEX(对接源_01水果!$AB$4:$AB$1203,$AE75)=0,"",INDEX(对接源_01水果!$AB$4:$AB$1203,$AE75)),IF(INDEX(对接源_02物料!$AB$4:$AB$1203,$AE75-1200)=0,"",INDEX(对接源_02物料!$AB$4:$AB$1203,$AE75-1200))))</f>
        <v/>
      </c>
      <c r="J75" s="47" t="str">
        <f aca="false"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44" t="str">
        <f aca="false">IFERROR(MATCH(70,_自动清单!$AK$4:$AK$2403,0),"")</f>
        <v/>
      </c>
    </row>
    <row r="76" customFormat="false" ht="18" hidden="false" customHeight="true" outlineLevel="0" collapsed="false">
      <c r="A76" s="40" t="str">
        <f aca="false"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41" t="str">
        <f aca="false"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41" t="str">
        <f aca="false"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41" t="str">
        <f aca="false"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43" t="str">
        <f aca="false"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41" t="str">
        <f aca="false"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5" t="str">
        <f aca="false">IF($AE76="","",IF($AE76&lt;=1200,IF(INDEX(对接源_01水果!$Z$4:$Z$1203,$AE76)=0,"",INDEX(对接源_01水果!$Z$4:$Z$1203,$AE76)),IF(INDEX(对接源_02物料!$Z$4:$Z$1203,$AE76-1200)=0,"",INDEX(对接源_02物料!$Z$4:$Z$1203,$AE76-1200))))</f>
        <v/>
      </c>
      <c r="H76" s="55" t="str">
        <f aca="false">IF($AE76="","",IF($AE76&lt;=1200,IF(INDEX(对接源_01水果!$AA$4:$AA$1203,$AE76)=0,"",INDEX(对接源_01水果!$AA$4:$AA$1203,$AE76)),IF(INDEX(对接源_02物料!$AA$4:$AA$1203,$AE76-1200)=0,"",INDEX(对接源_02物料!$AA$4:$AA$1203,$AE76-1200))))</f>
        <v/>
      </c>
      <c r="I76" s="41" t="str">
        <f aca="false">IF($AE76="","",IF($AE76&lt;=1200,IF(INDEX(对接源_01水果!$AB$4:$AB$1203,$AE76)=0,"",INDEX(对接源_01水果!$AB$4:$AB$1203,$AE76)),IF(INDEX(对接源_02物料!$AB$4:$AB$1203,$AE76-1200)=0,"",INDEX(对接源_02物料!$AB$4:$AB$1203,$AE76-1200))))</f>
        <v/>
      </c>
      <c r="J76" s="42" t="str">
        <f aca="false"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44" t="str">
        <f aca="false">IFERROR(MATCH(71,_自动清单!$AK$4:$AK$2403,0),"")</f>
        <v/>
      </c>
    </row>
    <row r="77" customFormat="false" ht="18" hidden="false" customHeight="true" outlineLevel="0" collapsed="false">
      <c r="A77" s="45" t="n">
        <f aca="false">IF($AE77="","",IF($AE77&lt;=1200,IF(INDEX(对接源_01水果!$B$4:$B$1203,$AE77)=0,"",INDEX(对接源_01水果!$B$4:$B$1203,$AE77)),IF(INDEX(对接源_02物料!$B$4:$B$1203,$AE77-1200)=0,"",INDEX(对接源_02物料!$B$4:$B$1203,$AE77-1200))))</f>
        <v>46275</v>
      </c>
      <c r="B77" s="46" t="str">
        <f aca="false">IF($AE77="","",IF($AE77&lt;=1200,IF(INDEX(对接源_01水果!$E$4:$E$1203,$AE77)=0,"",INDEX(对接源_01水果!$E$4:$E$1203,$AE77)),IF(INDEX(对接源_02物料!$E$4:$E$1203,$AE77-1200)=0,"",INDEX(对接源_02物料!$E$4:$E$1203,$AE77-1200))))</f>
        <v>NO:0001109</v>
      </c>
      <c r="C77" s="46" t="str">
        <f aca="false">IF($AE77="","",IF($AE77&lt;=1200,IF(INDEX(对接源_01水果!$F$4:$F$1203,$AE77)=0,"",INDEX(对接源_01水果!$F$4:$F$1203,$AE77)),IF(INDEX(对接源_02物料!$F$4:$F$1203,$AE77-1200)=0,"",INDEX(对接源_02物料!$F$4:$F$1203,$AE77-1200))))</f>
        <v>苹果</v>
      </c>
      <c r="D77" s="46" t="str">
        <f aca="false">IF($AE77="","",IF($AE77&lt;=1200,IF(INDEX(对接源_01水果!$G$4:$G$1203,$AE77)=0,"",INDEX(对接源_01水果!$G$4:$G$1203,$AE77)),IF(INDEX(对接源_02物料!$G$4:$G$1203,$AE77-1200)=0,"",INDEX(对接源_02物料!$G$4:$G$1203,$AE77-1200))))</f>
        <v>华硕一级</v>
      </c>
      <c r="E77" s="48" t="n">
        <f aca="false">IF($AE77="","",IF($AE77&lt;=1200,IF(INDEX(对接源_01水果!$H$4:$H$1203,$AE77)=0,"",INDEX(对接源_01水果!$H$4:$H$1203,$AE77)),IF(INDEX(对接源_02物料!$H$4:$H$1203,$AE77-1200)=0,"",INDEX(对接源_02物料!$H$4:$H$1203,$AE77-1200))))</f>
        <v>17</v>
      </c>
      <c r="F77" s="46" t="str">
        <f aca="false">IF($AE77="","",IF($AE77&lt;=1200,IF(INDEX(对接源_01水果!$I$4:$I$1203,$AE77)=0,"",INDEX(对接源_01水果!$I$4:$I$1203,$AE77)),IF(INDEX(对接源_02物料!$I$4:$I$1203,$AE77-1200)=0,"",INDEX(对接源_02物料!$I$4:$I$1203,$AE77-1200))))</f>
        <v>箱</v>
      </c>
      <c r="G77" s="56" t="str">
        <f aca="false">IF($AE77="","",IF($AE77&lt;=1200,IF(INDEX(对接源_01水果!$Z$4:$Z$1203,$AE77)=0,"",INDEX(对接源_01水果!$Z$4:$Z$1203,$AE77)),IF(INDEX(对接源_02物料!$Z$4:$Z$1203,$AE77-1200)=0,"",INDEX(对接源_02物料!$Z$4:$Z$1203,$AE77-1200))))</f>
        <v/>
      </c>
      <c r="H77" s="56" t="str">
        <f aca="false">IF($AE77="","",IF($AE77&lt;=1200,IF(INDEX(对接源_01水果!$AA$4:$AA$1203,$AE77)=0,"",INDEX(对接源_01水果!$AA$4:$AA$1203,$AE77)),IF(INDEX(对接源_02物料!$AA$4:$AA$1203,$AE77-1200)=0,"",INDEX(对接源_02物料!$AA$4:$AA$1203,$AE77-1200))))</f>
        <v/>
      </c>
      <c r="I77" s="46" t="str">
        <f aca="false">IF($AE77="","",IF($AE77&lt;=1200,IF(INDEX(对接源_01水果!$AB$4:$AB$1203,$AE77)=0,"",INDEX(对接源_01水果!$AB$4:$AB$1203,$AE77)),IF(INDEX(对接源_02物料!$AB$4:$AB$1203,$AE77-1200)=0,"",INDEX(对接源_02物料!$AB$4:$AB$1203,$AE77-1200))))</f>
        <v/>
      </c>
      <c r="J77" s="47" t="str">
        <f aca="false"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44" t="n">
        <f aca="false">IFERROR(MATCH(72,_自动清单!$AK$4:$AK$2403,0),"")</f>
        <v>300</v>
      </c>
    </row>
    <row r="78" customFormat="false" ht="18" hidden="false" customHeight="true" outlineLevel="0" collapsed="false">
      <c r="A78" s="40" t="str">
        <f aca="false"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41" t="str">
        <f aca="false"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41" t="str">
        <f aca="false"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41" t="str">
        <f aca="false"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43" t="str">
        <f aca="false"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41" t="str">
        <f aca="false"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5" t="str">
        <f aca="false">IF($AE78="","",IF($AE78&lt;=1200,IF(INDEX(对接源_01水果!$Z$4:$Z$1203,$AE78)=0,"",INDEX(对接源_01水果!$Z$4:$Z$1203,$AE78)),IF(INDEX(对接源_02物料!$Z$4:$Z$1203,$AE78-1200)=0,"",INDEX(对接源_02物料!$Z$4:$Z$1203,$AE78-1200))))</f>
        <v/>
      </c>
      <c r="H78" s="55" t="str">
        <f aca="false">IF($AE78="","",IF($AE78&lt;=1200,IF(INDEX(对接源_01水果!$AA$4:$AA$1203,$AE78)=0,"",INDEX(对接源_01水果!$AA$4:$AA$1203,$AE78)),IF(INDEX(对接源_02物料!$AA$4:$AA$1203,$AE78-1200)=0,"",INDEX(对接源_02物料!$AA$4:$AA$1203,$AE78-1200))))</f>
        <v/>
      </c>
      <c r="I78" s="41" t="str">
        <f aca="false">IF($AE78="","",IF($AE78&lt;=1200,IF(INDEX(对接源_01水果!$AB$4:$AB$1203,$AE78)=0,"",INDEX(对接源_01水果!$AB$4:$AB$1203,$AE78)),IF(INDEX(对接源_02物料!$AB$4:$AB$1203,$AE78-1200)=0,"",INDEX(对接源_02物料!$AB$4:$AB$1203,$AE78-1200))))</f>
        <v/>
      </c>
      <c r="J78" s="42" t="str">
        <f aca="false"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44" t="str">
        <f aca="false">IFERROR(MATCH(73,_自动清单!$AK$4:$AK$2403,0),"")</f>
        <v/>
      </c>
    </row>
    <row r="79" customFormat="false" ht="18" hidden="false" customHeight="true" outlineLevel="0" collapsed="false">
      <c r="A79" s="45" t="str">
        <f aca="false"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46" t="str">
        <f aca="false"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46" t="str">
        <f aca="false"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46" t="str">
        <f aca="false"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48" t="str">
        <f aca="false"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46" t="str">
        <f aca="false"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56" t="str">
        <f aca="false">IF($AE79="","",IF($AE79&lt;=1200,IF(INDEX(对接源_01水果!$Z$4:$Z$1203,$AE79)=0,"",INDEX(对接源_01水果!$Z$4:$Z$1203,$AE79)),IF(INDEX(对接源_02物料!$Z$4:$Z$1203,$AE79-1200)=0,"",INDEX(对接源_02物料!$Z$4:$Z$1203,$AE79-1200))))</f>
        <v/>
      </c>
      <c r="H79" s="56" t="str">
        <f aca="false">IF($AE79="","",IF($AE79&lt;=1200,IF(INDEX(对接源_01水果!$AA$4:$AA$1203,$AE79)=0,"",INDEX(对接源_01水果!$AA$4:$AA$1203,$AE79)),IF(INDEX(对接源_02物料!$AA$4:$AA$1203,$AE79-1200)=0,"",INDEX(对接源_02物料!$AA$4:$AA$1203,$AE79-1200))))</f>
        <v/>
      </c>
      <c r="I79" s="46" t="str">
        <f aca="false">IF($AE79="","",IF($AE79&lt;=1200,IF(INDEX(对接源_01水果!$AB$4:$AB$1203,$AE79)=0,"",INDEX(对接源_01水果!$AB$4:$AB$1203,$AE79)),IF(INDEX(对接源_02物料!$AB$4:$AB$1203,$AE79-1200)=0,"",INDEX(对接源_02物料!$AB$4:$AB$1203,$AE79-1200))))</f>
        <v/>
      </c>
      <c r="J79" s="47" t="str">
        <f aca="false"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44" t="str">
        <f aca="false">IFERROR(MATCH(74,_自动清单!$AK$4:$AK$2403,0),"")</f>
        <v/>
      </c>
    </row>
    <row r="80" customFormat="false" ht="18" hidden="false" customHeight="true" outlineLevel="0" collapsed="false">
      <c r="A80" s="40" t="str">
        <f aca="false"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41" t="str">
        <f aca="false"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41" t="str">
        <f aca="false"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41" t="str">
        <f aca="false"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43" t="str">
        <f aca="false"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41" t="str">
        <f aca="false"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5" t="str">
        <f aca="false">IF($AE80="","",IF($AE80&lt;=1200,IF(INDEX(对接源_01水果!$Z$4:$Z$1203,$AE80)=0,"",INDEX(对接源_01水果!$Z$4:$Z$1203,$AE80)),IF(INDEX(对接源_02物料!$Z$4:$Z$1203,$AE80-1200)=0,"",INDEX(对接源_02物料!$Z$4:$Z$1203,$AE80-1200))))</f>
        <v/>
      </c>
      <c r="H80" s="55" t="str">
        <f aca="false">IF($AE80="","",IF($AE80&lt;=1200,IF(INDEX(对接源_01水果!$AA$4:$AA$1203,$AE80)=0,"",INDEX(对接源_01水果!$AA$4:$AA$1203,$AE80)),IF(INDEX(对接源_02物料!$AA$4:$AA$1203,$AE80-1200)=0,"",INDEX(对接源_02物料!$AA$4:$AA$1203,$AE80-1200))))</f>
        <v/>
      </c>
      <c r="I80" s="41" t="str">
        <f aca="false">IF($AE80="","",IF($AE80&lt;=1200,IF(INDEX(对接源_01水果!$AB$4:$AB$1203,$AE80)=0,"",INDEX(对接源_01水果!$AB$4:$AB$1203,$AE80)),IF(INDEX(对接源_02物料!$AB$4:$AB$1203,$AE80-1200)=0,"",INDEX(对接源_02物料!$AB$4:$AB$1203,$AE80-1200))))</f>
        <v/>
      </c>
      <c r="J80" s="42" t="str">
        <f aca="false"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44" t="str">
        <f aca="false">IFERROR(MATCH(75,_自动清单!$AK$4:$AK$2403,0),"")</f>
        <v/>
      </c>
    </row>
    <row r="81" customFormat="false" ht="18" hidden="false" customHeight="true" outlineLevel="0" collapsed="false">
      <c r="A81" s="45" t="n">
        <f aca="false">IF($AE81="","",IF($AE81&lt;=1200,IF(INDEX(对接源_01水果!$B$4:$B$1203,$AE81)=0,"",INDEX(对接源_01水果!$B$4:$B$1203,$AE81)),IF(INDEX(对接源_02物料!$B$4:$B$1203,$AE81-1200)=0,"",INDEX(对接源_02物料!$B$4:$B$1203,$AE81-1200))))</f>
        <v>46275</v>
      </c>
      <c r="B81" s="46" t="str">
        <f aca="false">IF($AE81="","",IF($AE81&lt;=1200,IF(INDEX(对接源_01水果!$E$4:$E$1203,$AE81)=0,"",INDEX(对接源_01水果!$E$4:$E$1203,$AE81)),IF(INDEX(对接源_02物料!$E$4:$E$1203,$AE81-1200)=0,"",INDEX(对接源_02物料!$E$4:$E$1203,$AE81-1200))))</f>
        <v>NO:0001112</v>
      </c>
      <c r="C81" s="46" t="str">
        <f aca="false">IF($AE81="","",IF($AE81&lt;=1200,IF(INDEX(对接源_01水果!$F$4:$F$1203,$AE81)=0,"",INDEX(对接源_01水果!$F$4:$F$1203,$AE81)),IF(INDEX(对接源_02物料!$F$4:$F$1203,$AE81-1200)=0,"",INDEX(对接源_02物料!$F$4:$F$1203,$AE81-1200))))</f>
        <v>苹果</v>
      </c>
      <c r="D81" s="46" t="str">
        <f aca="false">IF($AE81="","",IF($AE81&lt;=1200,IF(INDEX(对接源_01水果!$G$4:$G$1203,$AE81)=0,"",INDEX(对接源_01水果!$G$4:$G$1203,$AE81)),IF(INDEX(对接源_02物料!$G$4:$G$1203,$AE81-1200)=0,"",INDEX(对接源_02物料!$G$4:$G$1203,$AE81-1200))))</f>
        <v>嘎啦85#</v>
      </c>
      <c r="E81" s="48" t="n">
        <f aca="false">IF($AE81="","",IF($AE81&lt;=1200,IF(INDEX(对接源_01水果!$H$4:$H$1203,$AE81)=0,"",INDEX(对接源_01水果!$H$4:$H$1203,$AE81)),IF(INDEX(对接源_02物料!$H$4:$H$1203,$AE81-1200)=0,"",INDEX(对接源_02物料!$H$4:$H$1203,$AE81-1200))))</f>
        <v>736</v>
      </c>
      <c r="F81" s="46" t="str">
        <f aca="false">IF($AE81="","",IF($AE81&lt;=1200,IF(INDEX(对接源_01水果!$I$4:$I$1203,$AE81)=0,"",INDEX(对接源_01水果!$I$4:$I$1203,$AE81)),IF(INDEX(对接源_02物料!$I$4:$I$1203,$AE81-1200)=0,"",INDEX(对接源_02物料!$I$4:$I$1203,$AE81-1200))))</f>
        <v>筐</v>
      </c>
      <c r="G81" s="56" t="str">
        <f aca="false">IF($AE81="","",IF($AE81&lt;=1200,IF(INDEX(对接源_01水果!$Z$4:$Z$1203,$AE81)=0,"",INDEX(对接源_01水果!$Z$4:$Z$1203,$AE81)),IF(INDEX(对接源_02物料!$Z$4:$Z$1203,$AE81-1200)=0,"",INDEX(对接源_02物料!$Z$4:$Z$1203,$AE81-1200))))</f>
        <v/>
      </c>
      <c r="H81" s="56" t="str">
        <f aca="false">IF($AE81="","",IF($AE81&lt;=1200,IF(INDEX(对接源_01水果!$AA$4:$AA$1203,$AE81)=0,"",INDEX(对接源_01水果!$AA$4:$AA$1203,$AE81)),IF(INDEX(对接源_02物料!$AA$4:$AA$1203,$AE81-1200)=0,"",INDEX(对接源_02物料!$AA$4:$AA$1203,$AE81-1200))))</f>
        <v/>
      </c>
      <c r="I81" s="46" t="str">
        <f aca="false">IF($AE81="","",IF($AE81&lt;=1200,IF(INDEX(对接源_01水果!$AB$4:$AB$1203,$AE81)=0,"",INDEX(对接源_01水果!$AB$4:$AB$1203,$AE81)),IF(INDEX(对接源_02物料!$AB$4:$AB$1203,$AE81-1200)=0,"",INDEX(对接源_02物料!$AB$4:$AB$1203,$AE81-1200))))</f>
        <v/>
      </c>
      <c r="J81" s="47" t="str">
        <f aca="false"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44" t="n">
        <f aca="false">IFERROR(MATCH(76,_自动清单!$AK$4:$AK$2403,0),"")</f>
        <v>301</v>
      </c>
    </row>
    <row r="82" customFormat="false" ht="18" hidden="false" customHeight="true" outlineLevel="0" collapsed="false">
      <c r="A82" s="40" t="str">
        <f aca="false"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41" t="str">
        <f aca="false"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41" t="str">
        <f aca="false"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41" t="str">
        <f aca="false"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43" t="str">
        <f aca="false"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41" t="str">
        <f aca="false"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5" t="str">
        <f aca="false">IF($AE82="","",IF($AE82&lt;=1200,IF(INDEX(对接源_01水果!$Z$4:$Z$1203,$AE82)=0,"",INDEX(对接源_01水果!$Z$4:$Z$1203,$AE82)),IF(INDEX(对接源_02物料!$Z$4:$Z$1203,$AE82-1200)=0,"",INDEX(对接源_02物料!$Z$4:$Z$1203,$AE82-1200))))</f>
        <v/>
      </c>
      <c r="H82" s="55" t="str">
        <f aca="false">IF($AE82="","",IF($AE82&lt;=1200,IF(INDEX(对接源_01水果!$AA$4:$AA$1203,$AE82)=0,"",INDEX(对接源_01水果!$AA$4:$AA$1203,$AE82)),IF(INDEX(对接源_02物料!$AA$4:$AA$1203,$AE82-1200)=0,"",INDEX(对接源_02物料!$AA$4:$AA$1203,$AE82-1200))))</f>
        <v/>
      </c>
      <c r="I82" s="41" t="str">
        <f aca="false">IF($AE82="","",IF($AE82&lt;=1200,IF(INDEX(对接源_01水果!$AB$4:$AB$1203,$AE82)=0,"",INDEX(对接源_01水果!$AB$4:$AB$1203,$AE82)),IF(INDEX(对接源_02物料!$AB$4:$AB$1203,$AE82-1200)=0,"",INDEX(对接源_02物料!$AB$4:$AB$1203,$AE82-1200))))</f>
        <v/>
      </c>
      <c r="J82" s="42" t="str">
        <f aca="false"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44" t="str">
        <f aca="false">IFERROR(MATCH(77,_自动清单!$AK$4:$AK$2403,0),"")</f>
        <v/>
      </c>
    </row>
    <row r="83" customFormat="false" ht="18" hidden="false" customHeight="true" outlineLevel="0" collapsed="false">
      <c r="A83" s="45" t="str">
        <f aca="false"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46" t="str">
        <f aca="false"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46" t="str">
        <f aca="false"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46" t="str">
        <f aca="false"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48" t="str">
        <f aca="false"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46" t="str">
        <f aca="false"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56" t="str">
        <f aca="false">IF($AE83="","",IF($AE83&lt;=1200,IF(INDEX(对接源_01水果!$Z$4:$Z$1203,$AE83)=0,"",INDEX(对接源_01水果!$Z$4:$Z$1203,$AE83)),IF(INDEX(对接源_02物料!$Z$4:$Z$1203,$AE83-1200)=0,"",INDEX(对接源_02物料!$Z$4:$Z$1203,$AE83-1200))))</f>
        <v/>
      </c>
      <c r="H83" s="56" t="str">
        <f aca="false">IF($AE83="","",IF($AE83&lt;=1200,IF(INDEX(对接源_01水果!$AA$4:$AA$1203,$AE83)=0,"",INDEX(对接源_01水果!$AA$4:$AA$1203,$AE83)),IF(INDEX(对接源_02物料!$AA$4:$AA$1203,$AE83-1200)=0,"",INDEX(对接源_02物料!$AA$4:$AA$1203,$AE83-1200))))</f>
        <v/>
      </c>
      <c r="I83" s="46" t="str">
        <f aca="false">IF($AE83="","",IF($AE83&lt;=1200,IF(INDEX(对接源_01水果!$AB$4:$AB$1203,$AE83)=0,"",INDEX(对接源_01水果!$AB$4:$AB$1203,$AE83)),IF(INDEX(对接源_02物料!$AB$4:$AB$1203,$AE83-1200)=0,"",INDEX(对接源_02物料!$AB$4:$AB$1203,$AE83-1200))))</f>
        <v/>
      </c>
      <c r="J83" s="47" t="str">
        <f aca="false"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44" t="str">
        <f aca="false">IFERROR(MATCH(78,_自动清单!$AK$4:$AK$2403,0),"")</f>
        <v/>
      </c>
    </row>
    <row r="84" customFormat="false" ht="18" hidden="false" customHeight="true" outlineLevel="0" collapsed="false">
      <c r="A84" s="40" t="str">
        <f aca="false"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41" t="str">
        <f aca="false"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41" t="str">
        <f aca="false"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41" t="str">
        <f aca="false"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43" t="str">
        <f aca="false"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41" t="str">
        <f aca="false"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5" t="str">
        <f aca="false">IF($AE84="","",IF($AE84&lt;=1200,IF(INDEX(对接源_01水果!$Z$4:$Z$1203,$AE84)=0,"",INDEX(对接源_01水果!$Z$4:$Z$1203,$AE84)),IF(INDEX(对接源_02物料!$Z$4:$Z$1203,$AE84-1200)=0,"",INDEX(对接源_02物料!$Z$4:$Z$1203,$AE84-1200))))</f>
        <v/>
      </c>
      <c r="H84" s="55" t="str">
        <f aca="false">IF($AE84="","",IF($AE84&lt;=1200,IF(INDEX(对接源_01水果!$AA$4:$AA$1203,$AE84)=0,"",INDEX(对接源_01水果!$AA$4:$AA$1203,$AE84)),IF(INDEX(对接源_02物料!$AA$4:$AA$1203,$AE84-1200)=0,"",INDEX(对接源_02物料!$AA$4:$AA$1203,$AE84-1200))))</f>
        <v/>
      </c>
      <c r="I84" s="41" t="str">
        <f aca="false">IF($AE84="","",IF($AE84&lt;=1200,IF(INDEX(对接源_01水果!$AB$4:$AB$1203,$AE84)=0,"",INDEX(对接源_01水果!$AB$4:$AB$1203,$AE84)),IF(INDEX(对接源_02物料!$AB$4:$AB$1203,$AE84-1200)=0,"",INDEX(对接源_02物料!$AB$4:$AB$1203,$AE84-1200))))</f>
        <v/>
      </c>
      <c r="J84" s="42" t="str">
        <f aca="false"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44" t="str">
        <f aca="false">IFERROR(MATCH(79,_自动清单!$AK$4:$AK$2403,0),"")</f>
        <v/>
      </c>
    </row>
    <row r="85" customFormat="false" ht="18" hidden="false" customHeight="true" outlineLevel="0" collapsed="false">
      <c r="A85" s="45" t="n">
        <f aca="false">IF($AE85="","",IF($AE85&lt;=1200,IF(INDEX(对接源_01水果!$B$4:$B$1203,$AE85)=0,"",INDEX(对接源_01水果!$B$4:$B$1203,$AE85)),IF(INDEX(对接源_02物料!$B$4:$B$1203,$AE85-1200)=0,"",INDEX(对接源_02物料!$B$4:$B$1203,$AE85-1200))))</f>
        <v>46275</v>
      </c>
      <c r="B85" s="46" t="str">
        <f aca="false">IF($AE85="","",IF($AE85&lt;=1200,IF(INDEX(对接源_01水果!$E$4:$E$1203,$AE85)=0,"",INDEX(对接源_01水果!$E$4:$E$1203,$AE85)),IF(INDEX(对接源_02物料!$E$4:$E$1203,$AE85-1200)=0,"",INDEX(对接源_02物料!$E$4:$E$1203,$AE85-1200))))</f>
        <v>NO:0001112</v>
      </c>
      <c r="C85" s="46" t="str">
        <f aca="false">IF($AE85="","",IF($AE85&lt;=1200,IF(INDEX(对接源_01水果!$F$4:$F$1203,$AE85)=0,"",INDEX(对接源_01水果!$F$4:$F$1203,$AE85)),IF(INDEX(对接源_02物料!$F$4:$F$1203,$AE85-1200)=0,"",INDEX(对接源_02物料!$F$4:$F$1203,$AE85-1200))))</f>
        <v>苹果</v>
      </c>
      <c r="D85" s="46" t="str">
        <f aca="false">IF($AE85="","",IF($AE85&lt;=1200,IF(INDEX(对接源_01水果!$G$4:$G$1203,$AE85)=0,"",INDEX(对接源_01水果!$G$4:$G$1203,$AE85)),IF(INDEX(对接源_02物料!$G$4:$G$1203,$AE85-1200)=0,"",INDEX(对接源_02物料!$G$4:$G$1203,$AE85-1200))))</f>
        <v>嘎啦100#</v>
      </c>
      <c r="E85" s="48" t="n">
        <f aca="false">IF($AE85="","",IF($AE85&lt;=1200,IF(INDEX(对接源_01水果!$H$4:$H$1203,$AE85)=0,"",INDEX(对接源_01水果!$H$4:$H$1203,$AE85)),IF(INDEX(对接源_02物料!$H$4:$H$1203,$AE85-1200)=0,"",INDEX(对接源_02物料!$H$4:$H$1203,$AE85-1200))))</f>
        <v>434</v>
      </c>
      <c r="F85" s="46" t="str">
        <f aca="false">IF($AE85="","",IF($AE85&lt;=1200,IF(INDEX(对接源_01水果!$I$4:$I$1203,$AE85)=0,"",INDEX(对接源_01水果!$I$4:$I$1203,$AE85)),IF(INDEX(对接源_02物料!$I$4:$I$1203,$AE85-1200)=0,"",INDEX(对接源_02物料!$I$4:$I$1203,$AE85-1200))))</f>
        <v>筐</v>
      </c>
      <c r="G85" s="56" t="str">
        <f aca="false">IF($AE85="","",IF($AE85&lt;=1200,IF(INDEX(对接源_01水果!$Z$4:$Z$1203,$AE85)=0,"",INDEX(对接源_01水果!$Z$4:$Z$1203,$AE85)),IF(INDEX(对接源_02物料!$Z$4:$Z$1203,$AE85-1200)=0,"",INDEX(对接源_02物料!$Z$4:$Z$1203,$AE85-1200))))</f>
        <v/>
      </c>
      <c r="H85" s="56" t="str">
        <f aca="false">IF($AE85="","",IF($AE85&lt;=1200,IF(INDEX(对接源_01水果!$AA$4:$AA$1203,$AE85)=0,"",INDEX(对接源_01水果!$AA$4:$AA$1203,$AE85)),IF(INDEX(对接源_02物料!$AA$4:$AA$1203,$AE85-1200)=0,"",INDEX(对接源_02物料!$AA$4:$AA$1203,$AE85-1200))))</f>
        <v/>
      </c>
      <c r="I85" s="46" t="str">
        <f aca="false">IF($AE85="","",IF($AE85&lt;=1200,IF(INDEX(对接源_01水果!$AB$4:$AB$1203,$AE85)=0,"",INDEX(对接源_01水果!$AB$4:$AB$1203,$AE85)),IF(INDEX(对接源_02物料!$AB$4:$AB$1203,$AE85-1200)=0,"",INDEX(对接源_02物料!$AB$4:$AB$1203,$AE85-1200))))</f>
        <v/>
      </c>
      <c r="J85" s="47" t="str">
        <f aca="false"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44" t="n">
        <f aca="false">IFERROR(MATCH(80,_自动清单!$AK$4:$AK$2403,0),"")</f>
        <v>302</v>
      </c>
    </row>
    <row r="86" customFormat="false" ht="18" hidden="false" customHeight="true" outlineLevel="0" collapsed="false">
      <c r="A86" s="40" t="str">
        <f aca="false"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41" t="str">
        <f aca="false"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41" t="str">
        <f aca="false"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41" t="str">
        <f aca="false"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43" t="str">
        <f aca="false"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41" t="str">
        <f aca="false"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5" t="str">
        <f aca="false">IF($AE86="","",IF($AE86&lt;=1200,IF(INDEX(对接源_01水果!$Z$4:$Z$1203,$AE86)=0,"",INDEX(对接源_01水果!$Z$4:$Z$1203,$AE86)),IF(INDEX(对接源_02物料!$Z$4:$Z$1203,$AE86-1200)=0,"",INDEX(对接源_02物料!$Z$4:$Z$1203,$AE86-1200))))</f>
        <v/>
      </c>
      <c r="H86" s="55" t="str">
        <f aca="false">IF($AE86="","",IF($AE86&lt;=1200,IF(INDEX(对接源_01水果!$AA$4:$AA$1203,$AE86)=0,"",INDEX(对接源_01水果!$AA$4:$AA$1203,$AE86)),IF(INDEX(对接源_02物料!$AA$4:$AA$1203,$AE86-1200)=0,"",INDEX(对接源_02物料!$AA$4:$AA$1203,$AE86-1200))))</f>
        <v/>
      </c>
      <c r="I86" s="41" t="str">
        <f aca="false">IF($AE86="","",IF($AE86&lt;=1200,IF(INDEX(对接源_01水果!$AB$4:$AB$1203,$AE86)=0,"",INDEX(对接源_01水果!$AB$4:$AB$1203,$AE86)),IF(INDEX(对接源_02物料!$AB$4:$AB$1203,$AE86-1200)=0,"",INDEX(对接源_02物料!$AB$4:$AB$1203,$AE86-1200))))</f>
        <v/>
      </c>
      <c r="J86" s="42" t="str">
        <f aca="false"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44" t="str">
        <f aca="false">IFERROR(MATCH(81,_自动清单!$AK$4:$AK$2403,0),"")</f>
        <v/>
      </c>
    </row>
    <row r="87" customFormat="false" ht="18" hidden="false" customHeight="true" outlineLevel="0" collapsed="false">
      <c r="A87" s="45" t="str">
        <f aca="false"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46" t="str">
        <f aca="false"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46" t="str">
        <f aca="false"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46" t="str">
        <f aca="false"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48" t="str">
        <f aca="false"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46" t="str">
        <f aca="false"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56" t="str">
        <f aca="false">IF($AE87="","",IF($AE87&lt;=1200,IF(INDEX(对接源_01水果!$Z$4:$Z$1203,$AE87)=0,"",INDEX(对接源_01水果!$Z$4:$Z$1203,$AE87)),IF(INDEX(对接源_02物料!$Z$4:$Z$1203,$AE87-1200)=0,"",INDEX(对接源_02物料!$Z$4:$Z$1203,$AE87-1200))))</f>
        <v/>
      </c>
      <c r="H87" s="56" t="str">
        <f aca="false">IF($AE87="","",IF($AE87&lt;=1200,IF(INDEX(对接源_01水果!$AA$4:$AA$1203,$AE87)=0,"",INDEX(对接源_01水果!$AA$4:$AA$1203,$AE87)),IF(INDEX(对接源_02物料!$AA$4:$AA$1203,$AE87-1200)=0,"",INDEX(对接源_02物料!$AA$4:$AA$1203,$AE87-1200))))</f>
        <v/>
      </c>
      <c r="I87" s="46" t="str">
        <f aca="false">IF($AE87="","",IF($AE87&lt;=1200,IF(INDEX(对接源_01水果!$AB$4:$AB$1203,$AE87)=0,"",INDEX(对接源_01水果!$AB$4:$AB$1203,$AE87)),IF(INDEX(对接源_02物料!$AB$4:$AB$1203,$AE87-1200)=0,"",INDEX(对接源_02物料!$AB$4:$AB$1203,$AE87-1200))))</f>
        <v/>
      </c>
      <c r="J87" s="47" t="str">
        <f aca="false"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44" t="str">
        <f aca="false">IFERROR(MATCH(82,_自动清单!$AK$4:$AK$2403,0),"")</f>
        <v/>
      </c>
    </row>
    <row r="88" customFormat="false" ht="18" hidden="false" customHeight="true" outlineLevel="0" collapsed="false">
      <c r="A88" s="40" t="str">
        <f aca="false"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41" t="str">
        <f aca="false"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41" t="str">
        <f aca="false"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41" t="str">
        <f aca="false"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43" t="str">
        <f aca="false"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41" t="str">
        <f aca="false"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5" t="str">
        <f aca="false">IF($AE88="","",IF($AE88&lt;=1200,IF(INDEX(对接源_01水果!$Z$4:$Z$1203,$AE88)=0,"",INDEX(对接源_01水果!$Z$4:$Z$1203,$AE88)),IF(INDEX(对接源_02物料!$Z$4:$Z$1203,$AE88-1200)=0,"",INDEX(对接源_02物料!$Z$4:$Z$1203,$AE88-1200))))</f>
        <v/>
      </c>
      <c r="H88" s="55" t="str">
        <f aca="false">IF($AE88="","",IF($AE88&lt;=1200,IF(INDEX(对接源_01水果!$AA$4:$AA$1203,$AE88)=0,"",INDEX(对接源_01水果!$AA$4:$AA$1203,$AE88)),IF(INDEX(对接源_02物料!$AA$4:$AA$1203,$AE88-1200)=0,"",INDEX(对接源_02物料!$AA$4:$AA$1203,$AE88-1200))))</f>
        <v/>
      </c>
      <c r="I88" s="41" t="str">
        <f aca="false">IF($AE88="","",IF($AE88&lt;=1200,IF(INDEX(对接源_01水果!$AB$4:$AB$1203,$AE88)=0,"",INDEX(对接源_01水果!$AB$4:$AB$1203,$AE88)),IF(INDEX(对接源_02物料!$AB$4:$AB$1203,$AE88-1200)=0,"",INDEX(对接源_02物料!$AB$4:$AB$1203,$AE88-1200))))</f>
        <v/>
      </c>
      <c r="J88" s="42" t="str">
        <f aca="false"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44" t="str">
        <f aca="false">IFERROR(MATCH(83,_自动清单!$AK$4:$AK$2403,0),"")</f>
        <v/>
      </c>
    </row>
    <row r="89" customFormat="false" ht="18" hidden="false" customHeight="true" outlineLevel="0" collapsed="false">
      <c r="A89" s="45" t="n">
        <f aca="false">IF($AE89="","",IF($AE89&lt;=1200,IF(INDEX(对接源_01水果!$B$4:$B$1203,$AE89)=0,"",INDEX(对接源_01水果!$B$4:$B$1203,$AE89)),IF(INDEX(对接源_02物料!$B$4:$B$1203,$AE89-1200)=0,"",INDEX(对接源_02物料!$B$4:$B$1203,$AE89-1200))))</f>
        <v>46276</v>
      </c>
      <c r="B89" s="46" t="str">
        <f aca="false">IF($AE89="","",IF($AE89&lt;=1200,IF(INDEX(对接源_01水果!$E$4:$E$1203,$AE89)=0,"",INDEX(对接源_01水果!$E$4:$E$1203,$AE89)),IF(INDEX(对接源_02物料!$E$4:$E$1203,$AE89-1200)=0,"",INDEX(对接源_02物料!$E$4:$E$1203,$AE89-1200))))</f>
        <v>NO:0001119</v>
      </c>
      <c r="C89" s="46" t="str">
        <f aca="false">IF($AE89="","",IF($AE89&lt;=1200,IF(INDEX(对接源_01水果!$F$4:$F$1203,$AE89)=0,"",INDEX(对接源_01水果!$F$4:$F$1203,$AE89)),IF(INDEX(对接源_02物料!$F$4:$F$1203,$AE89-1200)=0,"",INDEX(对接源_02物料!$F$4:$F$1203,$AE89-1200))))</f>
        <v>苹果</v>
      </c>
      <c r="D89" s="46" t="str">
        <f aca="false">IF($AE89="","",IF($AE89&lt;=1200,IF(INDEX(对接源_01水果!$G$4:$G$1203,$AE89)=0,"",INDEX(对接源_01水果!$G$4:$G$1203,$AE89)),IF(INDEX(对接源_02物料!$G$4:$G$1203,$AE89-1200)=0,"",INDEX(对接源_02物料!$G$4:$G$1203,$AE89-1200))))</f>
        <v>华硕一级</v>
      </c>
      <c r="E89" s="48" t="n">
        <f aca="false">IF($AE89="","",IF($AE89&lt;=1200,IF(INDEX(对接源_01水果!$H$4:$H$1203,$AE89)=0,"",INDEX(对接源_01水果!$H$4:$H$1203,$AE89)),IF(INDEX(对接源_02物料!$H$4:$H$1203,$AE89-1200)=0,"",INDEX(对接源_02物料!$H$4:$H$1203,$AE89-1200))))</f>
        <v>228</v>
      </c>
      <c r="F89" s="46" t="str">
        <f aca="false">IF($AE89="","",IF($AE89&lt;=1200,IF(INDEX(对接源_01水果!$I$4:$I$1203,$AE89)=0,"",INDEX(对接源_01水果!$I$4:$I$1203,$AE89)),IF(INDEX(对接源_02物料!$I$4:$I$1203,$AE89-1200)=0,"",INDEX(对接源_02物料!$I$4:$I$1203,$AE89-1200))))</f>
        <v>箱</v>
      </c>
      <c r="G89" s="56" t="str">
        <f aca="false">IF($AE89="","",IF($AE89&lt;=1200,IF(INDEX(对接源_01水果!$Z$4:$Z$1203,$AE89)=0,"",INDEX(对接源_01水果!$Z$4:$Z$1203,$AE89)),IF(INDEX(对接源_02物料!$Z$4:$Z$1203,$AE89-1200)=0,"",INDEX(对接源_02物料!$Z$4:$Z$1203,$AE89-1200))))</f>
        <v/>
      </c>
      <c r="H89" s="56" t="str">
        <f aca="false">IF($AE89="","",IF($AE89&lt;=1200,IF(INDEX(对接源_01水果!$AA$4:$AA$1203,$AE89)=0,"",INDEX(对接源_01水果!$AA$4:$AA$1203,$AE89)),IF(INDEX(对接源_02物料!$AA$4:$AA$1203,$AE89-1200)=0,"",INDEX(对接源_02物料!$AA$4:$AA$1203,$AE89-1200))))</f>
        <v/>
      </c>
      <c r="I89" s="46" t="str">
        <f aca="false">IF($AE89="","",IF($AE89&lt;=1200,IF(INDEX(对接源_01水果!$AB$4:$AB$1203,$AE89)=0,"",INDEX(对接源_01水果!$AB$4:$AB$1203,$AE89)),IF(INDEX(对接源_02物料!$AB$4:$AB$1203,$AE89-1200)=0,"",INDEX(对接源_02物料!$AB$4:$AB$1203,$AE89-1200))))</f>
        <v/>
      </c>
      <c r="J89" s="47" t="str">
        <f aca="false"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44" t="n">
        <f aca="false">IFERROR(MATCH(84,_自动清单!$AK$4:$AK$2403,0),"")</f>
        <v>303</v>
      </c>
    </row>
    <row r="90" customFormat="false" ht="18" hidden="false" customHeight="true" outlineLevel="0" collapsed="false">
      <c r="A90" s="40" t="str">
        <f aca="false"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41" t="str">
        <f aca="false"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41" t="str">
        <f aca="false"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41" t="str">
        <f aca="false"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43" t="str">
        <f aca="false"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41" t="str">
        <f aca="false"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5" t="str">
        <f aca="false">IF($AE90="","",IF($AE90&lt;=1200,IF(INDEX(对接源_01水果!$Z$4:$Z$1203,$AE90)=0,"",INDEX(对接源_01水果!$Z$4:$Z$1203,$AE90)),IF(INDEX(对接源_02物料!$Z$4:$Z$1203,$AE90-1200)=0,"",INDEX(对接源_02物料!$Z$4:$Z$1203,$AE90-1200))))</f>
        <v/>
      </c>
      <c r="H90" s="55" t="str">
        <f aca="false">IF($AE90="","",IF($AE90&lt;=1200,IF(INDEX(对接源_01水果!$AA$4:$AA$1203,$AE90)=0,"",INDEX(对接源_01水果!$AA$4:$AA$1203,$AE90)),IF(INDEX(对接源_02物料!$AA$4:$AA$1203,$AE90-1200)=0,"",INDEX(对接源_02物料!$AA$4:$AA$1203,$AE90-1200))))</f>
        <v/>
      </c>
      <c r="I90" s="41" t="str">
        <f aca="false">IF($AE90="","",IF($AE90&lt;=1200,IF(INDEX(对接源_01水果!$AB$4:$AB$1203,$AE90)=0,"",INDEX(对接源_01水果!$AB$4:$AB$1203,$AE90)),IF(INDEX(对接源_02物料!$AB$4:$AB$1203,$AE90-1200)=0,"",INDEX(对接源_02物料!$AB$4:$AB$1203,$AE90-1200))))</f>
        <v/>
      </c>
      <c r="J90" s="42" t="str">
        <f aca="false"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44" t="str">
        <f aca="false">IFERROR(MATCH(85,_自动清单!$AK$4:$AK$2403,0),"")</f>
        <v/>
      </c>
    </row>
    <row r="91" customFormat="false" ht="18" hidden="false" customHeight="true" outlineLevel="0" collapsed="false">
      <c r="A91" s="45" t="str">
        <f aca="false"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46" t="str">
        <f aca="false"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46" t="str">
        <f aca="false"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46" t="str">
        <f aca="false"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48" t="str">
        <f aca="false"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46" t="str">
        <f aca="false"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56" t="str">
        <f aca="false">IF($AE91="","",IF($AE91&lt;=1200,IF(INDEX(对接源_01水果!$Z$4:$Z$1203,$AE91)=0,"",INDEX(对接源_01水果!$Z$4:$Z$1203,$AE91)),IF(INDEX(对接源_02物料!$Z$4:$Z$1203,$AE91-1200)=0,"",INDEX(对接源_02物料!$Z$4:$Z$1203,$AE91-1200))))</f>
        <v/>
      </c>
      <c r="H91" s="56" t="str">
        <f aca="false">IF($AE91="","",IF($AE91&lt;=1200,IF(INDEX(对接源_01水果!$AA$4:$AA$1203,$AE91)=0,"",INDEX(对接源_01水果!$AA$4:$AA$1203,$AE91)),IF(INDEX(对接源_02物料!$AA$4:$AA$1203,$AE91-1200)=0,"",INDEX(对接源_02物料!$AA$4:$AA$1203,$AE91-1200))))</f>
        <v/>
      </c>
      <c r="I91" s="46" t="str">
        <f aca="false">IF($AE91="","",IF($AE91&lt;=1200,IF(INDEX(对接源_01水果!$AB$4:$AB$1203,$AE91)=0,"",INDEX(对接源_01水果!$AB$4:$AB$1203,$AE91)),IF(INDEX(对接源_02物料!$AB$4:$AB$1203,$AE91-1200)=0,"",INDEX(对接源_02物料!$AB$4:$AB$1203,$AE91-1200))))</f>
        <v/>
      </c>
      <c r="J91" s="47" t="str">
        <f aca="false"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44" t="str">
        <f aca="false">IFERROR(MATCH(86,_自动清单!$AK$4:$AK$2403,0),"")</f>
        <v/>
      </c>
    </row>
    <row r="92" customFormat="false" ht="18" hidden="false" customHeight="true" outlineLevel="0" collapsed="false">
      <c r="A92" s="40" t="str">
        <f aca="false"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41" t="str">
        <f aca="false"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41" t="str">
        <f aca="false"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41" t="str">
        <f aca="false"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43" t="str">
        <f aca="false"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41" t="str">
        <f aca="false"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5" t="str">
        <f aca="false">IF($AE92="","",IF($AE92&lt;=1200,IF(INDEX(对接源_01水果!$Z$4:$Z$1203,$AE92)=0,"",INDEX(对接源_01水果!$Z$4:$Z$1203,$AE92)),IF(INDEX(对接源_02物料!$Z$4:$Z$1203,$AE92-1200)=0,"",INDEX(对接源_02物料!$Z$4:$Z$1203,$AE92-1200))))</f>
        <v/>
      </c>
      <c r="H92" s="55" t="str">
        <f aca="false">IF($AE92="","",IF($AE92&lt;=1200,IF(INDEX(对接源_01水果!$AA$4:$AA$1203,$AE92)=0,"",INDEX(对接源_01水果!$AA$4:$AA$1203,$AE92)),IF(INDEX(对接源_02物料!$AA$4:$AA$1203,$AE92-1200)=0,"",INDEX(对接源_02物料!$AA$4:$AA$1203,$AE92-1200))))</f>
        <v/>
      </c>
      <c r="I92" s="41" t="str">
        <f aca="false">IF($AE92="","",IF($AE92&lt;=1200,IF(INDEX(对接源_01水果!$AB$4:$AB$1203,$AE92)=0,"",INDEX(对接源_01水果!$AB$4:$AB$1203,$AE92)),IF(INDEX(对接源_02物料!$AB$4:$AB$1203,$AE92-1200)=0,"",INDEX(对接源_02物料!$AB$4:$AB$1203,$AE92-1200))))</f>
        <v/>
      </c>
      <c r="J92" s="42" t="str">
        <f aca="false"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44" t="str">
        <f aca="false">IFERROR(MATCH(87,_自动清单!$AK$4:$AK$2403,0),"")</f>
        <v/>
      </c>
    </row>
    <row r="93" customFormat="false" ht="18" hidden="false" customHeight="true" outlineLevel="0" collapsed="false">
      <c r="A93" s="45" t="n">
        <f aca="false">IF($AE93="","",IF($AE93&lt;=1200,IF(INDEX(对接源_01水果!$B$4:$B$1203,$AE93)=0,"",INDEX(对接源_01水果!$B$4:$B$1203,$AE93)),IF(INDEX(对接源_02物料!$B$4:$B$1203,$AE93-1200)=0,"",INDEX(对接源_02物料!$B$4:$B$1203,$AE93-1200))))</f>
        <v>46276</v>
      </c>
      <c r="B93" s="46" t="str">
        <f aca="false">IF($AE93="","",IF($AE93&lt;=1200,IF(INDEX(对接源_01水果!$E$4:$E$1203,$AE93)=0,"",INDEX(对接源_01水果!$E$4:$E$1203,$AE93)),IF(INDEX(对接源_02物料!$E$4:$E$1203,$AE93-1200)=0,"",INDEX(对接源_02物料!$E$4:$E$1203,$AE93-1200))))</f>
        <v>NO:0001119</v>
      </c>
      <c r="C93" s="46" t="str">
        <f aca="false">IF($AE93="","",IF($AE93&lt;=1200,IF(INDEX(对接源_01水果!$F$4:$F$1203,$AE93)=0,"",INDEX(对接源_01水果!$F$4:$F$1203,$AE93)),IF(INDEX(对接源_02物料!$F$4:$F$1203,$AE93-1200)=0,"",INDEX(对接源_02物料!$F$4:$F$1203,$AE93-1200))))</f>
        <v>苹果</v>
      </c>
      <c r="D93" s="46" t="str">
        <f aca="false">IF($AE93="","",IF($AE93&lt;=1200,IF(INDEX(对接源_01水果!$G$4:$G$1203,$AE93)=0,"",INDEX(对接源_01水果!$G$4:$G$1203,$AE93)),IF(INDEX(对接源_02物料!$G$4:$G$1203,$AE93-1200)=0,"",INDEX(对接源_02物料!$G$4:$G$1203,$AE93-1200))))</f>
        <v>华硕一级</v>
      </c>
      <c r="E93" s="48" t="n">
        <f aca="false">IF($AE93="","",IF($AE93&lt;=1200,IF(INDEX(对接源_01水果!$H$4:$H$1203,$AE93)=0,"",INDEX(对接源_01水果!$H$4:$H$1203,$AE93)),IF(INDEX(对接源_02物料!$H$4:$H$1203,$AE93-1200)=0,"",INDEX(对接源_02物料!$H$4:$H$1203,$AE93-1200))))</f>
        <v>6</v>
      </c>
      <c r="F93" s="46" t="str">
        <f aca="false">IF($AE93="","",IF($AE93&lt;=1200,IF(INDEX(对接源_01水果!$I$4:$I$1203,$AE93)=0,"",INDEX(对接源_01水果!$I$4:$I$1203,$AE93)),IF(INDEX(对接源_02物料!$I$4:$I$1203,$AE93-1200)=0,"",INDEX(对接源_02物料!$I$4:$I$1203,$AE93-1200))))</f>
        <v>箱</v>
      </c>
      <c r="G93" s="56" t="str">
        <f aca="false">IF($AE93="","",IF($AE93&lt;=1200,IF(INDEX(对接源_01水果!$Z$4:$Z$1203,$AE93)=0,"",INDEX(对接源_01水果!$Z$4:$Z$1203,$AE93)),IF(INDEX(对接源_02物料!$Z$4:$Z$1203,$AE93-1200)=0,"",INDEX(对接源_02物料!$Z$4:$Z$1203,$AE93-1200))))</f>
        <v/>
      </c>
      <c r="H93" s="56" t="str">
        <f aca="false">IF($AE93="","",IF($AE93&lt;=1200,IF(INDEX(对接源_01水果!$AA$4:$AA$1203,$AE93)=0,"",INDEX(对接源_01水果!$AA$4:$AA$1203,$AE93)),IF(INDEX(对接源_02物料!$AA$4:$AA$1203,$AE93-1200)=0,"",INDEX(对接源_02物料!$AA$4:$AA$1203,$AE93-1200))))</f>
        <v/>
      </c>
      <c r="I93" s="46" t="str">
        <f aca="false">IF($AE93="","",IF($AE93&lt;=1200,IF(INDEX(对接源_01水果!$AB$4:$AB$1203,$AE93)=0,"",INDEX(对接源_01水果!$AB$4:$AB$1203,$AE93)),IF(INDEX(对接源_02物料!$AB$4:$AB$1203,$AE93-1200)=0,"",INDEX(对接源_02物料!$AB$4:$AB$1203,$AE93-1200))))</f>
        <v/>
      </c>
      <c r="J93" s="47" t="str">
        <f aca="false"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44" t="n">
        <f aca="false">IFERROR(MATCH(88,_自动清单!$AK$4:$AK$2403,0),"")</f>
        <v>304</v>
      </c>
    </row>
    <row r="94" customFormat="false" ht="18" hidden="false" customHeight="true" outlineLevel="0" collapsed="false">
      <c r="A94" s="40" t="str">
        <f aca="false"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41" t="str">
        <f aca="false"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41" t="str">
        <f aca="false"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41" t="str">
        <f aca="false"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43" t="str">
        <f aca="false"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41" t="str">
        <f aca="false"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5" t="str">
        <f aca="false">IF($AE94="","",IF($AE94&lt;=1200,IF(INDEX(对接源_01水果!$Z$4:$Z$1203,$AE94)=0,"",INDEX(对接源_01水果!$Z$4:$Z$1203,$AE94)),IF(INDEX(对接源_02物料!$Z$4:$Z$1203,$AE94-1200)=0,"",INDEX(对接源_02物料!$Z$4:$Z$1203,$AE94-1200))))</f>
        <v/>
      </c>
      <c r="H94" s="55" t="str">
        <f aca="false">IF($AE94="","",IF($AE94&lt;=1200,IF(INDEX(对接源_01水果!$AA$4:$AA$1203,$AE94)=0,"",INDEX(对接源_01水果!$AA$4:$AA$1203,$AE94)),IF(INDEX(对接源_02物料!$AA$4:$AA$1203,$AE94-1200)=0,"",INDEX(对接源_02物料!$AA$4:$AA$1203,$AE94-1200))))</f>
        <v/>
      </c>
      <c r="I94" s="41" t="str">
        <f aca="false">IF($AE94="","",IF($AE94&lt;=1200,IF(INDEX(对接源_01水果!$AB$4:$AB$1203,$AE94)=0,"",INDEX(对接源_01水果!$AB$4:$AB$1203,$AE94)),IF(INDEX(对接源_02物料!$AB$4:$AB$1203,$AE94-1200)=0,"",INDEX(对接源_02物料!$AB$4:$AB$1203,$AE94-1200))))</f>
        <v/>
      </c>
      <c r="J94" s="42" t="str">
        <f aca="false"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44" t="str">
        <f aca="false">IFERROR(MATCH(89,_自动清单!$AK$4:$AK$2403,0),"")</f>
        <v/>
      </c>
    </row>
    <row r="95" customFormat="false" ht="18" hidden="false" customHeight="true" outlineLevel="0" collapsed="false">
      <c r="A95" s="45" t="str">
        <f aca="false"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46" t="str">
        <f aca="false"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46" t="str">
        <f aca="false"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46" t="str">
        <f aca="false"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48" t="str">
        <f aca="false"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46" t="str">
        <f aca="false"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56" t="str">
        <f aca="false">IF($AE95="","",IF($AE95&lt;=1200,IF(INDEX(对接源_01水果!$Z$4:$Z$1203,$AE95)=0,"",INDEX(对接源_01水果!$Z$4:$Z$1203,$AE95)),IF(INDEX(对接源_02物料!$Z$4:$Z$1203,$AE95-1200)=0,"",INDEX(对接源_02物料!$Z$4:$Z$1203,$AE95-1200))))</f>
        <v/>
      </c>
      <c r="H95" s="56" t="str">
        <f aca="false">IF($AE95="","",IF($AE95&lt;=1200,IF(INDEX(对接源_01水果!$AA$4:$AA$1203,$AE95)=0,"",INDEX(对接源_01水果!$AA$4:$AA$1203,$AE95)),IF(INDEX(对接源_02物料!$AA$4:$AA$1203,$AE95-1200)=0,"",INDEX(对接源_02物料!$AA$4:$AA$1203,$AE95-1200))))</f>
        <v/>
      </c>
      <c r="I95" s="46" t="str">
        <f aca="false">IF($AE95="","",IF($AE95&lt;=1200,IF(INDEX(对接源_01水果!$AB$4:$AB$1203,$AE95)=0,"",INDEX(对接源_01水果!$AB$4:$AB$1203,$AE95)),IF(INDEX(对接源_02物料!$AB$4:$AB$1203,$AE95-1200)=0,"",INDEX(对接源_02物料!$AB$4:$AB$1203,$AE95-1200))))</f>
        <v/>
      </c>
      <c r="J95" s="47" t="str">
        <f aca="false"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44" t="str">
        <f aca="false">IFERROR(MATCH(90,_自动清单!$AK$4:$AK$2403,0),"")</f>
        <v/>
      </c>
    </row>
    <row r="96" customFormat="false" ht="18" hidden="false" customHeight="true" outlineLevel="0" collapsed="false">
      <c r="A96" s="40" t="str">
        <f aca="false"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41" t="str">
        <f aca="false"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41" t="str">
        <f aca="false"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41" t="str">
        <f aca="false"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43" t="str">
        <f aca="false"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41" t="str">
        <f aca="false"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5" t="str">
        <f aca="false">IF($AE96="","",IF($AE96&lt;=1200,IF(INDEX(对接源_01水果!$Z$4:$Z$1203,$AE96)=0,"",INDEX(对接源_01水果!$Z$4:$Z$1203,$AE96)),IF(INDEX(对接源_02物料!$Z$4:$Z$1203,$AE96-1200)=0,"",INDEX(对接源_02物料!$Z$4:$Z$1203,$AE96-1200))))</f>
        <v/>
      </c>
      <c r="H96" s="55" t="str">
        <f aca="false">IF($AE96="","",IF($AE96&lt;=1200,IF(INDEX(对接源_01水果!$AA$4:$AA$1203,$AE96)=0,"",INDEX(对接源_01水果!$AA$4:$AA$1203,$AE96)),IF(INDEX(对接源_02物料!$AA$4:$AA$1203,$AE96-1200)=0,"",INDEX(对接源_02物料!$AA$4:$AA$1203,$AE96-1200))))</f>
        <v/>
      </c>
      <c r="I96" s="41" t="str">
        <f aca="false">IF($AE96="","",IF($AE96&lt;=1200,IF(INDEX(对接源_01水果!$AB$4:$AB$1203,$AE96)=0,"",INDEX(对接源_01水果!$AB$4:$AB$1203,$AE96)),IF(INDEX(对接源_02物料!$AB$4:$AB$1203,$AE96-1200)=0,"",INDEX(对接源_02物料!$AB$4:$AB$1203,$AE96-1200))))</f>
        <v/>
      </c>
      <c r="J96" s="42" t="str">
        <f aca="false"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44" t="str">
        <f aca="false">IFERROR(MATCH(91,_自动清单!$AK$4:$AK$2403,0),"")</f>
        <v/>
      </c>
    </row>
    <row r="97" customFormat="false" ht="18" hidden="false" customHeight="true" outlineLevel="0" collapsed="false">
      <c r="A97" s="45" t="n">
        <f aca="false">IF($AE97="","",IF($AE97&lt;=1200,IF(INDEX(对接源_01水果!$B$4:$B$1203,$AE97)=0,"",INDEX(对接源_01水果!$B$4:$B$1203,$AE97)),IF(INDEX(对接源_02物料!$B$4:$B$1203,$AE97-1200)=0,"",INDEX(对接源_02物料!$B$4:$B$1203,$AE97-1200))))</f>
        <v>46277</v>
      </c>
      <c r="B97" s="46" t="str">
        <f aca="false">IF($AE97="","",IF($AE97&lt;=1200,IF(INDEX(对接源_01水果!$E$4:$E$1203,$AE97)=0,"",INDEX(对接源_01水果!$E$4:$E$1203,$AE97)),IF(INDEX(对接源_02物料!$E$4:$E$1203,$AE97-1200)=0,"",INDEX(对接源_02物料!$E$4:$E$1203,$AE97-1200))))</f>
        <v>NO:0001124</v>
      </c>
      <c r="C97" s="46" t="str">
        <f aca="false">IF($AE97="","",IF($AE97&lt;=1200,IF(INDEX(对接源_01水果!$F$4:$F$1203,$AE97)=0,"",INDEX(对接源_01水果!$F$4:$F$1203,$AE97)),IF(INDEX(对接源_02物料!$F$4:$F$1203,$AE97-1200)=0,"",INDEX(对接源_02物料!$F$4:$F$1203,$AE97-1200))))</f>
        <v>苹果</v>
      </c>
      <c r="D97" s="46" t="str">
        <f aca="false">IF($AE97="","",IF($AE97&lt;=1200,IF(INDEX(对接源_01水果!$G$4:$G$1203,$AE97)=0,"",INDEX(对接源_01水果!$G$4:$G$1203,$AE97)),IF(INDEX(对接源_02物料!$G$4:$G$1203,$AE97-1200)=0,"",INDEX(对接源_02物料!$G$4:$G$1203,$AE97-1200))))</f>
        <v>华硕一级</v>
      </c>
      <c r="E97" s="48" t="n">
        <f aca="false">IF($AE97="","",IF($AE97&lt;=1200,IF(INDEX(对接源_01水果!$H$4:$H$1203,$AE97)=0,"",INDEX(对接源_01水果!$H$4:$H$1203,$AE97)),IF(INDEX(对接源_02物料!$H$4:$H$1203,$AE97-1200)=0,"",INDEX(对接源_02物料!$H$4:$H$1203,$AE97-1200))))</f>
        <v>220</v>
      </c>
      <c r="F97" s="46" t="str">
        <f aca="false">IF($AE97="","",IF($AE97&lt;=1200,IF(INDEX(对接源_01水果!$I$4:$I$1203,$AE97)=0,"",INDEX(对接源_01水果!$I$4:$I$1203,$AE97)),IF(INDEX(对接源_02物料!$I$4:$I$1203,$AE97-1200)=0,"",INDEX(对接源_02物料!$I$4:$I$1203,$AE97-1200))))</f>
        <v>箱</v>
      </c>
      <c r="G97" s="56" t="str">
        <f aca="false">IF($AE97="","",IF($AE97&lt;=1200,IF(INDEX(对接源_01水果!$Z$4:$Z$1203,$AE97)=0,"",INDEX(对接源_01水果!$Z$4:$Z$1203,$AE97)),IF(INDEX(对接源_02物料!$Z$4:$Z$1203,$AE97-1200)=0,"",INDEX(对接源_02物料!$Z$4:$Z$1203,$AE97-1200))))</f>
        <v/>
      </c>
      <c r="H97" s="56" t="str">
        <f aca="false">IF($AE97="","",IF($AE97&lt;=1200,IF(INDEX(对接源_01水果!$AA$4:$AA$1203,$AE97)=0,"",INDEX(对接源_01水果!$AA$4:$AA$1203,$AE97)),IF(INDEX(对接源_02物料!$AA$4:$AA$1203,$AE97-1200)=0,"",INDEX(对接源_02物料!$AA$4:$AA$1203,$AE97-1200))))</f>
        <v/>
      </c>
      <c r="I97" s="46" t="str">
        <f aca="false">IF($AE97="","",IF($AE97&lt;=1200,IF(INDEX(对接源_01水果!$AB$4:$AB$1203,$AE97)=0,"",INDEX(对接源_01水果!$AB$4:$AB$1203,$AE97)),IF(INDEX(对接源_02物料!$AB$4:$AB$1203,$AE97-1200)=0,"",INDEX(对接源_02物料!$AB$4:$AB$1203,$AE97-1200))))</f>
        <v/>
      </c>
      <c r="J97" s="47" t="str">
        <f aca="false"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44" t="n">
        <f aca="false">IFERROR(MATCH(92,_自动清单!$AK$4:$AK$2403,0),"")</f>
        <v>305</v>
      </c>
    </row>
    <row r="98" customFormat="false" ht="18" hidden="false" customHeight="true" outlineLevel="0" collapsed="false">
      <c r="A98" s="40" t="str">
        <f aca="false"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41" t="str">
        <f aca="false"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41" t="str">
        <f aca="false"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41" t="str">
        <f aca="false"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43" t="str">
        <f aca="false"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41" t="str">
        <f aca="false"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5" t="str">
        <f aca="false">IF($AE98="","",IF($AE98&lt;=1200,IF(INDEX(对接源_01水果!$Z$4:$Z$1203,$AE98)=0,"",INDEX(对接源_01水果!$Z$4:$Z$1203,$AE98)),IF(INDEX(对接源_02物料!$Z$4:$Z$1203,$AE98-1200)=0,"",INDEX(对接源_02物料!$Z$4:$Z$1203,$AE98-1200))))</f>
        <v/>
      </c>
      <c r="H98" s="55" t="str">
        <f aca="false">IF($AE98="","",IF($AE98&lt;=1200,IF(INDEX(对接源_01水果!$AA$4:$AA$1203,$AE98)=0,"",INDEX(对接源_01水果!$AA$4:$AA$1203,$AE98)),IF(INDEX(对接源_02物料!$AA$4:$AA$1203,$AE98-1200)=0,"",INDEX(对接源_02物料!$AA$4:$AA$1203,$AE98-1200))))</f>
        <v/>
      </c>
      <c r="I98" s="41" t="str">
        <f aca="false">IF($AE98="","",IF($AE98&lt;=1200,IF(INDEX(对接源_01水果!$AB$4:$AB$1203,$AE98)=0,"",INDEX(对接源_01水果!$AB$4:$AB$1203,$AE98)),IF(INDEX(对接源_02物料!$AB$4:$AB$1203,$AE98-1200)=0,"",INDEX(对接源_02物料!$AB$4:$AB$1203,$AE98-1200))))</f>
        <v/>
      </c>
      <c r="J98" s="42" t="str">
        <f aca="false"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44" t="str">
        <f aca="false">IFERROR(MATCH(93,_自动清单!$AK$4:$AK$2403,0),"")</f>
        <v/>
      </c>
    </row>
    <row r="99" customFormat="false" ht="18" hidden="false" customHeight="true" outlineLevel="0" collapsed="false">
      <c r="A99" s="45" t="str">
        <f aca="false"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46" t="str">
        <f aca="false"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46" t="str">
        <f aca="false"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46" t="str">
        <f aca="false"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48" t="str">
        <f aca="false"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46" t="str">
        <f aca="false"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56" t="str">
        <f aca="false">IF($AE99="","",IF($AE99&lt;=1200,IF(INDEX(对接源_01水果!$Z$4:$Z$1203,$AE99)=0,"",INDEX(对接源_01水果!$Z$4:$Z$1203,$AE99)),IF(INDEX(对接源_02物料!$Z$4:$Z$1203,$AE99-1200)=0,"",INDEX(对接源_02物料!$Z$4:$Z$1203,$AE99-1200))))</f>
        <v/>
      </c>
      <c r="H99" s="56" t="str">
        <f aca="false">IF($AE99="","",IF($AE99&lt;=1200,IF(INDEX(对接源_01水果!$AA$4:$AA$1203,$AE99)=0,"",INDEX(对接源_01水果!$AA$4:$AA$1203,$AE99)),IF(INDEX(对接源_02物料!$AA$4:$AA$1203,$AE99-1200)=0,"",INDEX(对接源_02物料!$AA$4:$AA$1203,$AE99-1200))))</f>
        <v/>
      </c>
      <c r="I99" s="46" t="str">
        <f aca="false">IF($AE99="","",IF($AE99&lt;=1200,IF(INDEX(对接源_01水果!$AB$4:$AB$1203,$AE99)=0,"",INDEX(对接源_01水果!$AB$4:$AB$1203,$AE99)),IF(INDEX(对接源_02物料!$AB$4:$AB$1203,$AE99-1200)=0,"",INDEX(对接源_02物料!$AB$4:$AB$1203,$AE99-1200))))</f>
        <v/>
      </c>
      <c r="J99" s="47" t="str">
        <f aca="false"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44" t="str">
        <f aca="false">IFERROR(MATCH(94,_自动清单!$AK$4:$AK$2403,0),"")</f>
        <v/>
      </c>
    </row>
    <row r="100" customFormat="false" ht="18" hidden="false" customHeight="true" outlineLevel="0" collapsed="false">
      <c r="A100" s="40" t="str">
        <f aca="false"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41" t="str">
        <f aca="false"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41" t="str">
        <f aca="false"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41" t="str">
        <f aca="false"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43" t="str">
        <f aca="false"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41" t="str">
        <f aca="false"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5" t="str">
        <f aca="false">IF($AE100="","",IF($AE100&lt;=1200,IF(INDEX(对接源_01水果!$Z$4:$Z$1203,$AE100)=0,"",INDEX(对接源_01水果!$Z$4:$Z$1203,$AE100)),IF(INDEX(对接源_02物料!$Z$4:$Z$1203,$AE100-1200)=0,"",INDEX(对接源_02物料!$Z$4:$Z$1203,$AE100-1200))))</f>
        <v/>
      </c>
      <c r="H100" s="55" t="str">
        <f aca="false">IF($AE100="","",IF($AE100&lt;=1200,IF(INDEX(对接源_01水果!$AA$4:$AA$1203,$AE100)=0,"",INDEX(对接源_01水果!$AA$4:$AA$1203,$AE100)),IF(INDEX(对接源_02物料!$AA$4:$AA$1203,$AE100-1200)=0,"",INDEX(对接源_02物料!$AA$4:$AA$1203,$AE100-1200))))</f>
        <v/>
      </c>
      <c r="I100" s="41" t="str">
        <f aca="false">IF($AE100="","",IF($AE100&lt;=1200,IF(INDEX(对接源_01水果!$AB$4:$AB$1203,$AE100)=0,"",INDEX(对接源_01水果!$AB$4:$AB$1203,$AE100)),IF(INDEX(对接源_02物料!$AB$4:$AB$1203,$AE100-1200)=0,"",INDEX(对接源_02物料!$AB$4:$AB$1203,$AE100-1200))))</f>
        <v/>
      </c>
      <c r="J100" s="42" t="str">
        <f aca="false"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44" t="str">
        <f aca="false">IFERROR(MATCH(95,_自动清单!$AK$4:$AK$2403,0),"")</f>
        <v/>
      </c>
    </row>
    <row r="101" customFormat="false" ht="18" hidden="false" customHeight="true" outlineLevel="0" collapsed="false">
      <c r="A101" s="45" t="n">
        <f aca="false">IF($AE101="","",IF($AE101&lt;=1200,IF(INDEX(对接源_01水果!$B$4:$B$1203,$AE101)=0,"",INDEX(对接源_01水果!$B$4:$B$1203,$AE101)),IF(INDEX(对接源_02物料!$B$4:$B$1203,$AE101-1200)=0,"",INDEX(对接源_02物料!$B$4:$B$1203,$AE101-1200))))</f>
        <v>46277</v>
      </c>
      <c r="B101" s="46" t="str">
        <f aca="false">IF($AE101="","",IF($AE101&lt;=1200,IF(INDEX(对接源_01水果!$E$4:$E$1203,$AE101)=0,"",INDEX(对接源_01水果!$E$4:$E$1203,$AE101)),IF(INDEX(对接源_02物料!$E$4:$E$1203,$AE101-1200)=0,"",INDEX(对接源_02物料!$E$4:$E$1203,$AE101-1200))))</f>
        <v>NO:0001124</v>
      </c>
      <c r="C101" s="46" t="str">
        <f aca="false">IF($AE101="","",IF($AE101&lt;=1200,IF(INDEX(对接源_01水果!$F$4:$F$1203,$AE101)=0,"",INDEX(对接源_01水果!$F$4:$F$1203,$AE101)),IF(INDEX(对接源_02物料!$F$4:$F$1203,$AE101-1200)=0,"",INDEX(对接源_02物料!$F$4:$F$1203,$AE101-1200))))</f>
        <v>苹果</v>
      </c>
      <c r="D101" s="46" t="str">
        <f aca="false">IF($AE101="","",IF($AE101&lt;=1200,IF(INDEX(对接源_01水果!$G$4:$G$1203,$AE101)=0,"",INDEX(对接源_01水果!$G$4:$G$1203,$AE101)),IF(INDEX(对接源_02物料!$G$4:$G$1203,$AE101-1200)=0,"",INDEX(对接源_02物料!$G$4:$G$1203,$AE101-1200))))</f>
        <v>华硕一级</v>
      </c>
      <c r="E101" s="48" t="n">
        <f aca="false">IF($AE101="","",IF($AE101&lt;=1200,IF(INDEX(对接源_01水果!$H$4:$H$1203,$AE101)=0,"",INDEX(对接源_01水果!$H$4:$H$1203,$AE101)),IF(INDEX(对接源_02物料!$H$4:$H$1203,$AE101-1200)=0,"",INDEX(对接源_02物料!$H$4:$H$1203,$AE101-1200))))</f>
        <v>3</v>
      </c>
      <c r="F101" s="46" t="str">
        <f aca="false">IF($AE101="","",IF($AE101&lt;=1200,IF(INDEX(对接源_01水果!$I$4:$I$1203,$AE101)=0,"",INDEX(对接源_01水果!$I$4:$I$1203,$AE101)),IF(INDEX(对接源_02物料!$I$4:$I$1203,$AE101-1200)=0,"",INDEX(对接源_02物料!$I$4:$I$1203,$AE101-1200))))</f>
        <v>箱</v>
      </c>
      <c r="G101" s="56" t="str">
        <f aca="false">IF($AE101="","",IF($AE101&lt;=1200,IF(INDEX(对接源_01水果!$Z$4:$Z$1203,$AE101)=0,"",INDEX(对接源_01水果!$Z$4:$Z$1203,$AE101)),IF(INDEX(对接源_02物料!$Z$4:$Z$1203,$AE101-1200)=0,"",INDEX(对接源_02物料!$Z$4:$Z$1203,$AE101-1200))))</f>
        <v/>
      </c>
      <c r="H101" s="56" t="str">
        <f aca="false">IF($AE101="","",IF($AE101&lt;=1200,IF(INDEX(对接源_01水果!$AA$4:$AA$1203,$AE101)=0,"",INDEX(对接源_01水果!$AA$4:$AA$1203,$AE101)),IF(INDEX(对接源_02物料!$AA$4:$AA$1203,$AE101-1200)=0,"",INDEX(对接源_02物料!$AA$4:$AA$1203,$AE101-1200))))</f>
        <v/>
      </c>
      <c r="I101" s="46" t="str">
        <f aca="false">IF($AE101="","",IF($AE101&lt;=1200,IF(INDEX(对接源_01水果!$AB$4:$AB$1203,$AE101)=0,"",INDEX(对接源_01水果!$AB$4:$AB$1203,$AE101)),IF(INDEX(对接源_02物料!$AB$4:$AB$1203,$AE101-1200)=0,"",INDEX(对接源_02物料!$AB$4:$AB$1203,$AE101-1200))))</f>
        <v/>
      </c>
      <c r="J101" s="47" t="str">
        <f aca="false"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44" t="n">
        <f aca="false">IFERROR(MATCH(96,_自动清单!$AK$4:$AK$2403,0),"")</f>
        <v>306</v>
      </c>
    </row>
    <row r="102" customFormat="false" ht="18" hidden="false" customHeight="true" outlineLevel="0" collapsed="false">
      <c r="A102" s="40" t="str">
        <f aca="false"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41" t="str">
        <f aca="false"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41" t="str">
        <f aca="false"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41" t="str">
        <f aca="false"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43" t="str">
        <f aca="false"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41" t="str">
        <f aca="false"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5" t="str">
        <f aca="false">IF($AE102="","",IF($AE102&lt;=1200,IF(INDEX(对接源_01水果!$Z$4:$Z$1203,$AE102)=0,"",INDEX(对接源_01水果!$Z$4:$Z$1203,$AE102)),IF(INDEX(对接源_02物料!$Z$4:$Z$1203,$AE102-1200)=0,"",INDEX(对接源_02物料!$Z$4:$Z$1203,$AE102-1200))))</f>
        <v/>
      </c>
      <c r="H102" s="55" t="str">
        <f aca="false">IF($AE102="","",IF($AE102&lt;=1200,IF(INDEX(对接源_01水果!$AA$4:$AA$1203,$AE102)=0,"",INDEX(对接源_01水果!$AA$4:$AA$1203,$AE102)),IF(INDEX(对接源_02物料!$AA$4:$AA$1203,$AE102-1200)=0,"",INDEX(对接源_02物料!$AA$4:$AA$1203,$AE102-1200))))</f>
        <v/>
      </c>
      <c r="I102" s="41" t="str">
        <f aca="false">IF($AE102="","",IF($AE102&lt;=1200,IF(INDEX(对接源_01水果!$AB$4:$AB$1203,$AE102)=0,"",INDEX(对接源_01水果!$AB$4:$AB$1203,$AE102)),IF(INDEX(对接源_02物料!$AB$4:$AB$1203,$AE102-1200)=0,"",INDEX(对接源_02物料!$AB$4:$AB$1203,$AE102-1200))))</f>
        <v/>
      </c>
      <c r="J102" s="42" t="str">
        <f aca="false"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44" t="str">
        <f aca="false">IFERROR(MATCH(97,_自动清单!$AK$4:$AK$2403,0),"")</f>
        <v/>
      </c>
    </row>
    <row r="103" customFormat="false" ht="18" hidden="false" customHeight="true" outlineLevel="0" collapsed="false">
      <c r="A103" s="45" t="str">
        <f aca="false"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46" t="str">
        <f aca="false"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46" t="str">
        <f aca="false"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46" t="str">
        <f aca="false"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48" t="str">
        <f aca="false"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46" t="str">
        <f aca="false"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56" t="str">
        <f aca="false">IF($AE103="","",IF($AE103&lt;=1200,IF(INDEX(对接源_01水果!$Z$4:$Z$1203,$AE103)=0,"",INDEX(对接源_01水果!$Z$4:$Z$1203,$AE103)),IF(INDEX(对接源_02物料!$Z$4:$Z$1203,$AE103-1200)=0,"",INDEX(对接源_02物料!$Z$4:$Z$1203,$AE103-1200))))</f>
        <v/>
      </c>
      <c r="H103" s="56" t="str">
        <f aca="false">IF($AE103="","",IF($AE103&lt;=1200,IF(INDEX(对接源_01水果!$AA$4:$AA$1203,$AE103)=0,"",INDEX(对接源_01水果!$AA$4:$AA$1203,$AE103)),IF(INDEX(对接源_02物料!$AA$4:$AA$1203,$AE103-1200)=0,"",INDEX(对接源_02物料!$AA$4:$AA$1203,$AE103-1200))))</f>
        <v/>
      </c>
      <c r="I103" s="46" t="str">
        <f aca="false">IF($AE103="","",IF($AE103&lt;=1200,IF(INDEX(对接源_01水果!$AB$4:$AB$1203,$AE103)=0,"",INDEX(对接源_01水果!$AB$4:$AB$1203,$AE103)),IF(INDEX(对接源_02物料!$AB$4:$AB$1203,$AE103-1200)=0,"",INDEX(对接源_02物料!$AB$4:$AB$1203,$AE103-1200))))</f>
        <v/>
      </c>
      <c r="J103" s="47" t="str">
        <f aca="false"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44" t="str">
        <f aca="false">IFERROR(MATCH(98,_自动清单!$AK$4:$AK$2403,0),"")</f>
        <v/>
      </c>
    </row>
    <row r="104" customFormat="false" ht="18" hidden="false" customHeight="true" outlineLevel="0" collapsed="false">
      <c r="A104" s="40" t="str">
        <f aca="false"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41" t="str">
        <f aca="false"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41" t="str">
        <f aca="false"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41" t="str">
        <f aca="false"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43" t="str">
        <f aca="false"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41" t="str">
        <f aca="false"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5" t="str">
        <f aca="false">IF($AE104="","",IF($AE104&lt;=1200,IF(INDEX(对接源_01水果!$Z$4:$Z$1203,$AE104)=0,"",INDEX(对接源_01水果!$Z$4:$Z$1203,$AE104)),IF(INDEX(对接源_02物料!$Z$4:$Z$1203,$AE104-1200)=0,"",INDEX(对接源_02物料!$Z$4:$Z$1203,$AE104-1200))))</f>
        <v/>
      </c>
      <c r="H104" s="55" t="str">
        <f aca="false">IF($AE104="","",IF($AE104&lt;=1200,IF(INDEX(对接源_01水果!$AA$4:$AA$1203,$AE104)=0,"",INDEX(对接源_01水果!$AA$4:$AA$1203,$AE104)),IF(INDEX(对接源_02物料!$AA$4:$AA$1203,$AE104-1200)=0,"",INDEX(对接源_02物料!$AA$4:$AA$1203,$AE104-1200))))</f>
        <v/>
      </c>
      <c r="I104" s="41" t="str">
        <f aca="false">IF($AE104="","",IF($AE104&lt;=1200,IF(INDEX(对接源_01水果!$AB$4:$AB$1203,$AE104)=0,"",INDEX(对接源_01水果!$AB$4:$AB$1203,$AE104)),IF(INDEX(对接源_02物料!$AB$4:$AB$1203,$AE104-1200)=0,"",INDEX(对接源_02物料!$AB$4:$AB$1203,$AE104-1200))))</f>
        <v/>
      </c>
      <c r="J104" s="42" t="str">
        <f aca="false"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44" t="str">
        <f aca="false">IFERROR(MATCH(99,_自动清单!$AK$4:$AK$2403,0),"")</f>
        <v/>
      </c>
    </row>
    <row r="105" customFormat="false" ht="18" hidden="false" customHeight="true" outlineLevel="0" collapsed="false">
      <c r="A105" s="45" t="n">
        <f aca="false">IF($AE105="","",IF($AE105&lt;=1200,IF(INDEX(对接源_01水果!$B$4:$B$1203,$AE105)=0,"",INDEX(对接源_01水果!$B$4:$B$1203,$AE105)),IF(INDEX(对接源_02物料!$B$4:$B$1203,$AE105-1200)=0,"",INDEX(对接源_02物料!$B$4:$B$1203,$AE105-1200))))</f>
        <v>46277</v>
      </c>
      <c r="B105" s="46" t="str">
        <f aca="false">IF($AE105="","",IF($AE105&lt;=1200,IF(INDEX(对接源_01水果!$E$4:$E$1203,$AE105)=0,"",INDEX(对接源_01水果!$E$4:$E$1203,$AE105)),IF(INDEX(对接源_02物料!$E$4:$E$1203,$AE105-1200)=0,"",INDEX(对接源_02物料!$E$4:$E$1203,$AE105-1200))))</f>
        <v>NO:0001124</v>
      </c>
      <c r="C105" s="46" t="str">
        <f aca="false">IF($AE105="","",IF($AE105&lt;=1200,IF(INDEX(对接源_01水果!$F$4:$F$1203,$AE105)=0,"",INDEX(对接源_01水果!$F$4:$F$1203,$AE105)),IF(INDEX(对接源_02物料!$F$4:$F$1203,$AE105-1200)=0,"",INDEX(对接源_02物料!$F$4:$F$1203,$AE105-1200))))</f>
        <v>香梨</v>
      </c>
      <c r="D105" s="46" t="str">
        <f aca="false">IF($AE105="","",IF($AE105&lt;=1200,IF(INDEX(对接源_01水果!$G$4:$G$1203,$AE105)=0,"",INDEX(对接源_01水果!$G$4:$G$1203,$AE105)),IF(INDEX(对接源_02物料!$G$4:$G$1203,$AE105-1200)=0,"",INDEX(对接源_02物料!$G$4:$G$1203,$AE105-1200))))</f>
        <v>香梨一级</v>
      </c>
      <c r="E105" s="48" t="n">
        <f aca="false">IF($AE105="","",IF($AE105&lt;=1200,IF(INDEX(对接源_01水果!$H$4:$H$1203,$AE105)=0,"",INDEX(对接源_01水果!$H$4:$H$1203,$AE105)),IF(INDEX(对接源_02物料!$H$4:$H$1203,$AE105-1200)=0,"",INDEX(对接源_02物料!$H$4:$H$1203,$AE105-1200))))</f>
        <v>7</v>
      </c>
      <c r="F105" s="46" t="str">
        <f aca="false">IF($AE105="","",IF($AE105&lt;=1200,IF(INDEX(对接源_01水果!$I$4:$I$1203,$AE105)=0,"",INDEX(对接源_01水果!$I$4:$I$1203,$AE105)),IF(INDEX(对接源_02物料!$I$4:$I$1203,$AE105-1200)=0,"",INDEX(对接源_02物料!$I$4:$I$1203,$AE105-1200))))</f>
        <v>箱</v>
      </c>
      <c r="G105" s="56" t="str">
        <f aca="false">IF($AE105="","",IF($AE105&lt;=1200,IF(INDEX(对接源_01水果!$Z$4:$Z$1203,$AE105)=0,"",INDEX(对接源_01水果!$Z$4:$Z$1203,$AE105)),IF(INDEX(对接源_02物料!$Z$4:$Z$1203,$AE105-1200)=0,"",INDEX(对接源_02物料!$Z$4:$Z$1203,$AE105-1200))))</f>
        <v/>
      </c>
      <c r="H105" s="56" t="str">
        <f aca="false">IF($AE105="","",IF($AE105&lt;=1200,IF(INDEX(对接源_01水果!$AA$4:$AA$1203,$AE105)=0,"",INDEX(对接源_01水果!$AA$4:$AA$1203,$AE105)),IF(INDEX(对接源_02物料!$AA$4:$AA$1203,$AE105-1200)=0,"",INDEX(对接源_02物料!$AA$4:$AA$1203,$AE105-1200))))</f>
        <v/>
      </c>
      <c r="I105" s="46" t="str">
        <f aca="false">IF($AE105="","",IF($AE105&lt;=1200,IF(INDEX(对接源_01水果!$AB$4:$AB$1203,$AE105)=0,"",INDEX(对接源_01水果!$AB$4:$AB$1203,$AE105)),IF(INDEX(对接源_02物料!$AB$4:$AB$1203,$AE105-1200)=0,"",INDEX(对接源_02物料!$AB$4:$AB$1203,$AE105-1200))))</f>
        <v/>
      </c>
      <c r="J105" s="47" t="str">
        <f aca="false"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44" t="n">
        <f aca="false">IFERROR(MATCH(100,_自动清单!$AK$4:$AK$2403,0),"")</f>
        <v>307</v>
      </c>
    </row>
    <row r="106" customFormat="false" ht="18" hidden="false" customHeight="true" outlineLevel="0" collapsed="false">
      <c r="A106" s="40" t="str">
        <f aca="false"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41" t="str">
        <f aca="false"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41" t="str">
        <f aca="false"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41" t="str">
        <f aca="false">IF($AE106="","",IF($AE106&lt;=1200,IF(INDEX(对接源_01水果!$G$4:$G$1203,$AE106)=0,"",INDEX(对接源_01水果!$G$4:$G$1203,$AE106)),IF(INDEX(对接源_02物料!$G$4:$G$1203,$AE106-1200)=0,"",INDEX(对接源_02物料!$G$4:$G$1203,$AE106-1200))))</f>
        <v/>
      </c>
      <c r="E106" s="43" t="str">
        <f aca="false"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41" t="str">
        <f aca="false"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55" t="str">
        <f aca="false">IF($AE106="","",IF($AE106&lt;=1200,IF(INDEX(对接源_01水果!$Z$4:$Z$1203,$AE106)=0,"",INDEX(对接源_01水果!$Z$4:$Z$1203,$AE106)),IF(INDEX(对接源_02物料!$Z$4:$Z$1203,$AE106-1200)=0,"",INDEX(对接源_02物料!$Z$4:$Z$1203,$AE106-1200))))</f>
        <v/>
      </c>
      <c r="H106" s="55" t="str">
        <f aca="false">IF($AE106="","",IF($AE106&lt;=1200,IF(INDEX(对接源_01水果!$AA$4:$AA$1203,$AE106)=0,"",INDEX(对接源_01水果!$AA$4:$AA$1203,$AE106)),IF(INDEX(对接源_02物料!$AA$4:$AA$1203,$AE106-1200)=0,"",INDEX(对接源_02物料!$AA$4:$AA$1203,$AE106-1200))))</f>
        <v/>
      </c>
      <c r="I106" s="41" t="str">
        <f aca="false">IF($AE106="","",IF($AE106&lt;=1200,IF(INDEX(对接源_01水果!$AB$4:$AB$1203,$AE106)=0,"",INDEX(对接源_01水果!$AB$4:$AB$1203,$AE106)),IF(INDEX(对接源_02物料!$AB$4:$AB$1203,$AE106-1200)=0,"",INDEX(对接源_02物料!$AB$4:$AB$1203,$AE106-1200))))</f>
        <v/>
      </c>
      <c r="J106" s="42" t="str">
        <f aca="false"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44" t="str">
        <f aca="false">IFERROR(MATCH(101,_自动清单!$AK$4:$AK$2403,0),"")</f>
        <v/>
      </c>
    </row>
    <row r="107" customFormat="false" ht="18" hidden="false" customHeight="true" outlineLevel="0" collapsed="false">
      <c r="A107" s="45" t="str">
        <f aca="false"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46" t="str">
        <f aca="false"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46" t="str">
        <f aca="false"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46" t="str">
        <f aca="false">IF($AE107="","",IF($AE107&lt;=1200,IF(INDEX(对接源_01水果!$G$4:$G$1203,$AE107)=0,"",INDEX(对接源_01水果!$G$4:$G$1203,$AE107)),IF(INDEX(对接源_02物料!$G$4:$G$1203,$AE107-1200)=0,"",INDEX(对接源_02物料!$G$4:$G$1203,$AE107-1200))))</f>
        <v/>
      </c>
      <c r="E107" s="48" t="str">
        <f aca="false"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46" t="str">
        <f aca="false"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56" t="str">
        <f aca="false">IF($AE107="","",IF($AE107&lt;=1200,IF(INDEX(对接源_01水果!$Z$4:$Z$1203,$AE107)=0,"",INDEX(对接源_01水果!$Z$4:$Z$1203,$AE107)),IF(INDEX(对接源_02物料!$Z$4:$Z$1203,$AE107-1200)=0,"",INDEX(对接源_02物料!$Z$4:$Z$1203,$AE107-1200))))</f>
        <v/>
      </c>
      <c r="H107" s="56" t="str">
        <f aca="false">IF($AE107="","",IF($AE107&lt;=1200,IF(INDEX(对接源_01水果!$AA$4:$AA$1203,$AE107)=0,"",INDEX(对接源_01水果!$AA$4:$AA$1203,$AE107)),IF(INDEX(对接源_02物料!$AA$4:$AA$1203,$AE107-1200)=0,"",INDEX(对接源_02物料!$AA$4:$AA$1203,$AE107-1200))))</f>
        <v/>
      </c>
      <c r="I107" s="46" t="str">
        <f aca="false">IF($AE107="","",IF($AE107&lt;=1200,IF(INDEX(对接源_01水果!$AB$4:$AB$1203,$AE107)=0,"",INDEX(对接源_01水果!$AB$4:$AB$1203,$AE107)),IF(INDEX(对接源_02物料!$AB$4:$AB$1203,$AE107-1200)=0,"",INDEX(对接源_02物料!$AB$4:$AB$1203,$AE107-1200))))</f>
        <v/>
      </c>
      <c r="J107" s="47" t="str">
        <f aca="false"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44" t="str">
        <f aca="false">IFERROR(MATCH(102,_自动清单!$AK$4:$AK$2403,0),"")</f>
        <v/>
      </c>
    </row>
    <row r="108" customFormat="false" ht="18" hidden="false" customHeight="true" outlineLevel="0" collapsed="false">
      <c r="A108" s="40" t="str">
        <f aca="false"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41" t="str">
        <f aca="false"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41" t="str">
        <f aca="false"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41" t="str">
        <f aca="false">IF($AE108="","",IF($AE108&lt;=1200,IF(INDEX(对接源_01水果!$G$4:$G$1203,$AE108)=0,"",INDEX(对接源_01水果!$G$4:$G$1203,$AE108)),IF(INDEX(对接源_02物料!$G$4:$G$1203,$AE108-1200)=0,"",INDEX(对接源_02物料!$G$4:$G$1203,$AE108-1200))))</f>
        <v/>
      </c>
      <c r="E108" s="43" t="str">
        <f aca="false"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41" t="str">
        <f aca="false"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55" t="str">
        <f aca="false">IF($AE108="","",IF($AE108&lt;=1200,IF(INDEX(对接源_01水果!$Z$4:$Z$1203,$AE108)=0,"",INDEX(对接源_01水果!$Z$4:$Z$1203,$AE108)),IF(INDEX(对接源_02物料!$Z$4:$Z$1203,$AE108-1200)=0,"",INDEX(对接源_02物料!$Z$4:$Z$1203,$AE108-1200))))</f>
        <v/>
      </c>
      <c r="H108" s="55" t="str">
        <f aca="false">IF($AE108="","",IF($AE108&lt;=1200,IF(INDEX(对接源_01水果!$AA$4:$AA$1203,$AE108)=0,"",INDEX(对接源_01水果!$AA$4:$AA$1203,$AE108)),IF(INDEX(对接源_02物料!$AA$4:$AA$1203,$AE108-1200)=0,"",INDEX(对接源_02物料!$AA$4:$AA$1203,$AE108-1200))))</f>
        <v/>
      </c>
      <c r="I108" s="41" t="str">
        <f aca="false">IF($AE108="","",IF($AE108&lt;=1200,IF(INDEX(对接源_01水果!$AB$4:$AB$1203,$AE108)=0,"",INDEX(对接源_01水果!$AB$4:$AB$1203,$AE108)),IF(INDEX(对接源_02物料!$AB$4:$AB$1203,$AE108-1200)=0,"",INDEX(对接源_02物料!$AB$4:$AB$1203,$AE108-1200))))</f>
        <v/>
      </c>
      <c r="J108" s="42" t="str">
        <f aca="false"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44" t="str">
        <f aca="false">IFERROR(MATCH(103,_自动清单!$AK$4:$AK$2403,0),"")</f>
        <v/>
      </c>
    </row>
    <row r="109" customFormat="false" ht="18" hidden="false" customHeight="true" outlineLevel="0" collapsed="false">
      <c r="A109" s="45" t="n">
        <f aca="false">IF($AE109="","",IF($AE109&lt;=1200,IF(INDEX(对接源_01水果!$B$4:$B$1203,$AE109)=0,"",INDEX(对接源_01水果!$B$4:$B$1203,$AE109)),IF(INDEX(对接源_02物料!$B$4:$B$1203,$AE109-1200)=0,"",INDEX(对接源_02物料!$B$4:$B$1203,$AE109-1200))))</f>
        <v>46278</v>
      </c>
      <c r="B109" s="46" t="str">
        <f aca="false">IF($AE109="","",IF($AE109&lt;=1200,IF(INDEX(对接源_01水果!$E$4:$E$1203,$AE109)=0,"",INDEX(对接源_01水果!$E$4:$E$1203,$AE109)),IF(INDEX(对接源_02物料!$E$4:$E$1203,$AE109-1200)=0,"",INDEX(对接源_02物料!$E$4:$E$1203,$AE109-1200))))</f>
        <v>NO:0001134</v>
      </c>
      <c r="C109" s="46" t="str">
        <f aca="false">IF($AE109="","",IF($AE109&lt;=1200,IF(INDEX(对接源_01水果!$F$4:$F$1203,$AE109)=0,"",INDEX(对接源_01水果!$F$4:$F$1203,$AE109)),IF(INDEX(对接源_02物料!$F$4:$F$1203,$AE109-1200)=0,"",INDEX(对接源_02物料!$F$4:$F$1203,$AE109-1200))))</f>
        <v>苹果</v>
      </c>
      <c r="D109" s="46" t="str">
        <f aca="false">IF($AE109="","",IF($AE109&lt;=1200,IF(INDEX(对接源_01水果!$G$4:$G$1203,$AE109)=0,"",INDEX(对接源_01水果!$G$4:$G$1203,$AE109)),IF(INDEX(对接源_02物料!$G$4:$G$1203,$AE109-1200)=0,"",INDEX(对接源_02物料!$G$4:$G$1203,$AE109-1200))))</f>
        <v>苹果扎伤</v>
      </c>
      <c r="E109" s="48" t="n">
        <f aca="false">IF($AE109="","",IF($AE109&lt;=1200,IF(INDEX(对接源_01水果!$H$4:$H$1203,$AE109)=0,"",INDEX(对接源_01水果!$H$4:$H$1203,$AE109)),IF(INDEX(对接源_02物料!$H$4:$H$1203,$AE109-1200)=0,"",INDEX(对接源_02物料!$H$4:$H$1203,$AE109-1200))))</f>
        <v>60</v>
      </c>
      <c r="F109" s="46" t="str">
        <f aca="false">IF($AE109="","",IF($AE109&lt;=1200,IF(INDEX(对接源_01水果!$I$4:$I$1203,$AE109)=0,"",INDEX(对接源_01水果!$I$4:$I$1203,$AE109)),IF(INDEX(对接源_02物料!$I$4:$I$1203,$AE109-1200)=0,"",INDEX(对接源_02物料!$I$4:$I$1203,$AE109-1200))))</f>
        <v>箱</v>
      </c>
      <c r="G109" s="56" t="str">
        <f aca="false">IF($AE109="","",IF($AE109&lt;=1200,IF(INDEX(对接源_01水果!$Z$4:$Z$1203,$AE109)=0,"",INDEX(对接源_01水果!$Z$4:$Z$1203,$AE109)),IF(INDEX(对接源_02物料!$Z$4:$Z$1203,$AE109-1200)=0,"",INDEX(对接源_02物料!$Z$4:$Z$1203,$AE109-1200))))</f>
        <v/>
      </c>
      <c r="H109" s="56" t="str">
        <f aca="false">IF($AE109="","",IF($AE109&lt;=1200,IF(INDEX(对接源_01水果!$AA$4:$AA$1203,$AE109)=0,"",INDEX(对接源_01水果!$AA$4:$AA$1203,$AE109)),IF(INDEX(对接源_02物料!$AA$4:$AA$1203,$AE109-1200)=0,"",INDEX(对接源_02物料!$AA$4:$AA$1203,$AE109-1200))))</f>
        <v/>
      </c>
      <c r="I109" s="46" t="str">
        <f aca="false">IF($AE109="","",IF($AE109&lt;=1200,IF(INDEX(对接源_01水果!$AB$4:$AB$1203,$AE109)=0,"",INDEX(对接源_01水果!$AB$4:$AB$1203,$AE109)),IF(INDEX(对接源_02物料!$AB$4:$AB$1203,$AE109-1200)=0,"",INDEX(对接源_02物料!$AB$4:$AB$1203,$AE109-1200))))</f>
        <v/>
      </c>
      <c r="J109" s="47" t="str">
        <f aca="false"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44" t="n">
        <f aca="false">IFERROR(MATCH(104,_自动清单!$AK$4:$AK$2403,0),"")</f>
        <v>308</v>
      </c>
    </row>
    <row r="110" customFormat="false" ht="18" hidden="false" customHeight="true" outlineLevel="0" collapsed="false">
      <c r="A110" s="40" t="str">
        <f aca="false"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41" t="str">
        <f aca="false"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41" t="str">
        <f aca="false"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41" t="str">
        <f aca="false">IF($AE110="","",IF($AE110&lt;=1200,IF(INDEX(对接源_01水果!$G$4:$G$1203,$AE110)=0,"",INDEX(对接源_01水果!$G$4:$G$1203,$AE110)),IF(INDEX(对接源_02物料!$G$4:$G$1203,$AE110-1200)=0,"",INDEX(对接源_02物料!$G$4:$G$1203,$AE110-1200))))</f>
        <v/>
      </c>
      <c r="E110" s="43" t="str">
        <f aca="false"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41" t="str">
        <f aca="false"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55" t="str">
        <f aca="false">IF($AE110="","",IF($AE110&lt;=1200,IF(INDEX(对接源_01水果!$Z$4:$Z$1203,$AE110)=0,"",INDEX(对接源_01水果!$Z$4:$Z$1203,$AE110)),IF(INDEX(对接源_02物料!$Z$4:$Z$1203,$AE110-1200)=0,"",INDEX(对接源_02物料!$Z$4:$Z$1203,$AE110-1200))))</f>
        <v/>
      </c>
      <c r="H110" s="55" t="str">
        <f aca="false">IF($AE110="","",IF($AE110&lt;=1200,IF(INDEX(对接源_01水果!$AA$4:$AA$1203,$AE110)=0,"",INDEX(对接源_01水果!$AA$4:$AA$1203,$AE110)),IF(INDEX(对接源_02物料!$AA$4:$AA$1203,$AE110-1200)=0,"",INDEX(对接源_02物料!$AA$4:$AA$1203,$AE110-1200))))</f>
        <v/>
      </c>
      <c r="I110" s="41" t="str">
        <f aca="false">IF($AE110="","",IF($AE110&lt;=1200,IF(INDEX(对接源_01水果!$AB$4:$AB$1203,$AE110)=0,"",INDEX(对接源_01水果!$AB$4:$AB$1203,$AE110)),IF(INDEX(对接源_02物料!$AB$4:$AB$1203,$AE110-1200)=0,"",INDEX(对接源_02物料!$AB$4:$AB$1203,$AE110-1200))))</f>
        <v/>
      </c>
      <c r="J110" s="42" t="str">
        <f aca="false"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44" t="str">
        <f aca="false">IFERROR(MATCH(105,_自动清单!$AK$4:$AK$2403,0),"")</f>
        <v/>
      </c>
    </row>
    <row r="111" customFormat="false" ht="18" hidden="false" customHeight="true" outlineLevel="0" collapsed="false">
      <c r="A111" s="45" t="str">
        <f aca="false"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46" t="str">
        <f aca="false"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46" t="str">
        <f aca="false"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46" t="str">
        <f aca="false">IF($AE111="","",IF($AE111&lt;=1200,IF(INDEX(对接源_01水果!$G$4:$G$1203,$AE111)=0,"",INDEX(对接源_01水果!$G$4:$G$1203,$AE111)),IF(INDEX(对接源_02物料!$G$4:$G$1203,$AE111-1200)=0,"",INDEX(对接源_02物料!$G$4:$G$1203,$AE111-1200))))</f>
        <v/>
      </c>
      <c r="E111" s="48" t="str">
        <f aca="false"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46" t="str">
        <f aca="false"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56" t="str">
        <f aca="false">IF($AE111="","",IF($AE111&lt;=1200,IF(INDEX(对接源_01水果!$Z$4:$Z$1203,$AE111)=0,"",INDEX(对接源_01水果!$Z$4:$Z$1203,$AE111)),IF(INDEX(对接源_02物料!$Z$4:$Z$1203,$AE111-1200)=0,"",INDEX(对接源_02物料!$Z$4:$Z$1203,$AE111-1200))))</f>
        <v/>
      </c>
      <c r="H111" s="56" t="str">
        <f aca="false">IF($AE111="","",IF($AE111&lt;=1200,IF(INDEX(对接源_01水果!$AA$4:$AA$1203,$AE111)=0,"",INDEX(对接源_01水果!$AA$4:$AA$1203,$AE111)),IF(INDEX(对接源_02物料!$AA$4:$AA$1203,$AE111-1200)=0,"",INDEX(对接源_02物料!$AA$4:$AA$1203,$AE111-1200))))</f>
        <v/>
      </c>
      <c r="I111" s="46" t="str">
        <f aca="false">IF($AE111="","",IF($AE111&lt;=1200,IF(INDEX(对接源_01水果!$AB$4:$AB$1203,$AE111)=0,"",INDEX(对接源_01水果!$AB$4:$AB$1203,$AE111)),IF(INDEX(对接源_02物料!$AB$4:$AB$1203,$AE111-1200)=0,"",INDEX(对接源_02物料!$AB$4:$AB$1203,$AE111-1200))))</f>
        <v/>
      </c>
      <c r="J111" s="47" t="str">
        <f aca="false"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44" t="str">
        <f aca="false">IFERROR(MATCH(106,_自动清单!$AK$4:$AK$2403,0),"")</f>
        <v/>
      </c>
    </row>
    <row r="112" customFormat="false" ht="18" hidden="false" customHeight="true" outlineLevel="0" collapsed="false">
      <c r="A112" s="40" t="str">
        <f aca="false"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41" t="str">
        <f aca="false"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41" t="str">
        <f aca="false"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41" t="str">
        <f aca="false">IF($AE112="","",IF($AE112&lt;=1200,IF(INDEX(对接源_01水果!$G$4:$G$1203,$AE112)=0,"",INDEX(对接源_01水果!$G$4:$G$1203,$AE112)),IF(INDEX(对接源_02物料!$G$4:$G$1203,$AE112-1200)=0,"",INDEX(对接源_02物料!$G$4:$G$1203,$AE112-1200))))</f>
        <v/>
      </c>
      <c r="E112" s="43" t="str">
        <f aca="false"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41" t="str">
        <f aca="false"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55" t="str">
        <f aca="false">IF($AE112="","",IF($AE112&lt;=1200,IF(INDEX(对接源_01水果!$Z$4:$Z$1203,$AE112)=0,"",INDEX(对接源_01水果!$Z$4:$Z$1203,$AE112)),IF(INDEX(对接源_02物料!$Z$4:$Z$1203,$AE112-1200)=0,"",INDEX(对接源_02物料!$Z$4:$Z$1203,$AE112-1200))))</f>
        <v/>
      </c>
      <c r="H112" s="55" t="str">
        <f aca="false">IF($AE112="","",IF($AE112&lt;=1200,IF(INDEX(对接源_01水果!$AA$4:$AA$1203,$AE112)=0,"",INDEX(对接源_01水果!$AA$4:$AA$1203,$AE112)),IF(INDEX(对接源_02物料!$AA$4:$AA$1203,$AE112-1200)=0,"",INDEX(对接源_02物料!$AA$4:$AA$1203,$AE112-1200))))</f>
        <v/>
      </c>
      <c r="I112" s="41" t="str">
        <f aca="false">IF($AE112="","",IF($AE112&lt;=1200,IF(INDEX(对接源_01水果!$AB$4:$AB$1203,$AE112)=0,"",INDEX(对接源_01水果!$AB$4:$AB$1203,$AE112)),IF(INDEX(对接源_02物料!$AB$4:$AB$1203,$AE112-1200)=0,"",INDEX(对接源_02物料!$AB$4:$AB$1203,$AE112-1200))))</f>
        <v/>
      </c>
      <c r="J112" s="42" t="str">
        <f aca="false"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44" t="str">
        <f aca="false">IFERROR(MATCH(107,_自动清单!$AK$4:$AK$2403,0),"")</f>
        <v/>
      </c>
    </row>
    <row r="113" customFormat="false" ht="18" hidden="false" customHeight="true" outlineLevel="0" collapsed="false">
      <c r="A113" s="45" t="n">
        <f aca="false">IF($AE113="","",IF($AE113&lt;=1200,IF(INDEX(对接源_01水果!$B$4:$B$1203,$AE113)=0,"",INDEX(对接源_01水果!$B$4:$B$1203,$AE113)),IF(INDEX(对接源_02物料!$B$4:$B$1203,$AE113-1200)=0,"",INDEX(对接源_02物料!$B$4:$B$1203,$AE113-1200))))</f>
        <v>46278</v>
      </c>
      <c r="B113" s="46" t="str">
        <f aca="false">IF($AE113="","",IF($AE113&lt;=1200,IF(INDEX(对接源_01水果!$E$4:$E$1203,$AE113)=0,"",INDEX(对接源_01水果!$E$4:$E$1203,$AE113)),IF(INDEX(对接源_02物料!$E$4:$E$1203,$AE113-1200)=0,"",INDEX(对接源_02物料!$E$4:$E$1203,$AE113-1200))))</f>
        <v>NO:0001136</v>
      </c>
      <c r="C113" s="46" t="str">
        <f aca="false">IF($AE113="","",IF($AE113&lt;=1200,IF(INDEX(对接源_01水果!$F$4:$F$1203,$AE113)=0,"",INDEX(对接源_01水果!$F$4:$F$1203,$AE113)),IF(INDEX(对接源_02物料!$F$4:$F$1203,$AE113-1200)=0,"",INDEX(对接源_02物料!$F$4:$F$1203,$AE113-1200))))</f>
        <v>苹果</v>
      </c>
      <c r="D113" s="46" t="str">
        <f aca="false">IF($AE113="","",IF($AE113&lt;=1200,IF(INDEX(对接源_01水果!$G$4:$G$1203,$AE113)=0,"",INDEX(对接源_01水果!$G$4:$G$1203,$AE113)),IF(INDEX(对接源_02物料!$G$4:$G$1203,$AE113-1200)=0,"",INDEX(对接源_02物料!$G$4:$G$1203,$AE113-1200))))</f>
        <v>华硕一级</v>
      </c>
      <c r="E113" s="48" t="n">
        <f aca="false">IF($AE113="","",IF($AE113&lt;=1200,IF(INDEX(对接源_01水果!$H$4:$H$1203,$AE113)=0,"",INDEX(对接源_01水果!$H$4:$H$1203,$AE113)),IF(INDEX(对接源_02物料!$H$4:$H$1203,$AE113-1200)=0,"",INDEX(对接源_02物料!$H$4:$H$1203,$AE113-1200))))</f>
        <v>151</v>
      </c>
      <c r="F113" s="46" t="str">
        <f aca="false">IF($AE113="","",IF($AE113&lt;=1200,IF(INDEX(对接源_01水果!$I$4:$I$1203,$AE113)=0,"",INDEX(对接源_01水果!$I$4:$I$1203,$AE113)),IF(INDEX(对接源_02物料!$I$4:$I$1203,$AE113-1200)=0,"",INDEX(对接源_02物料!$I$4:$I$1203,$AE113-1200))))</f>
        <v>箱</v>
      </c>
      <c r="G113" s="56" t="str">
        <f aca="false">IF($AE113="","",IF($AE113&lt;=1200,IF(INDEX(对接源_01水果!$Z$4:$Z$1203,$AE113)=0,"",INDEX(对接源_01水果!$Z$4:$Z$1203,$AE113)),IF(INDEX(对接源_02物料!$Z$4:$Z$1203,$AE113-1200)=0,"",INDEX(对接源_02物料!$Z$4:$Z$1203,$AE113-1200))))</f>
        <v/>
      </c>
      <c r="H113" s="56" t="str">
        <f aca="false">IF($AE113="","",IF($AE113&lt;=1200,IF(INDEX(对接源_01水果!$AA$4:$AA$1203,$AE113)=0,"",INDEX(对接源_01水果!$AA$4:$AA$1203,$AE113)),IF(INDEX(对接源_02物料!$AA$4:$AA$1203,$AE113-1200)=0,"",INDEX(对接源_02物料!$AA$4:$AA$1203,$AE113-1200))))</f>
        <v/>
      </c>
      <c r="I113" s="46" t="str">
        <f aca="false">IF($AE113="","",IF($AE113&lt;=1200,IF(INDEX(对接源_01水果!$AB$4:$AB$1203,$AE113)=0,"",INDEX(对接源_01水果!$AB$4:$AB$1203,$AE113)),IF(INDEX(对接源_02物料!$AB$4:$AB$1203,$AE113-1200)=0,"",INDEX(对接源_02物料!$AB$4:$AB$1203,$AE113-1200))))</f>
        <v/>
      </c>
      <c r="J113" s="47" t="str">
        <f aca="false"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44" t="n">
        <f aca="false">IFERROR(MATCH(108,_自动清单!$AK$4:$AK$2403,0),"")</f>
        <v>309</v>
      </c>
    </row>
    <row r="114" customFormat="false" ht="18" hidden="false" customHeight="true" outlineLevel="0" collapsed="false">
      <c r="A114" s="40" t="str">
        <f aca="false"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41" t="str">
        <f aca="false"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41" t="str">
        <f aca="false"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41" t="str">
        <f aca="false">IF($AE114="","",IF($AE114&lt;=1200,IF(INDEX(对接源_01水果!$G$4:$G$1203,$AE114)=0,"",INDEX(对接源_01水果!$G$4:$G$1203,$AE114)),IF(INDEX(对接源_02物料!$G$4:$G$1203,$AE114-1200)=0,"",INDEX(对接源_02物料!$G$4:$G$1203,$AE114-1200))))</f>
        <v/>
      </c>
      <c r="E114" s="43" t="str">
        <f aca="false"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41" t="str">
        <f aca="false"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55" t="str">
        <f aca="false">IF($AE114="","",IF($AE114&lt;=1200,IF(INDEX(对接源_01水果!$Z$4:$Z$1203,$AE114)=0,"",INDEX(对接源_01水果!$Z$4:$Z$1203,$AE114)),IF(INDEX(对接源_02物料!$Z$4:$Z$1203,$AE114-1200)=0,"",INDEX(对接源_02物料!$Z$4:$Z$1203,$AE114-1200))))</f>
        <v/>
      </c>
      <c r="H114" s="55" t="str">
        <f aca="false">IF($AE114="","",IF($AE114&lt;=1200,IF(INDEX(对接源_01水果!$AA$4:$AA$1203,$AE114)=0,"",INDEX(对接源_01水果!$AA$4:$AA$1203,$AE114)),IF(INDEX(对接源_02物料!$AA$4:$AA$1203,$AE114-1200)=0,"",INDEX(对接源_02物料!$AA$4:$AA$1203,$AE114-1200))))</f>
        <v/>
      </c>
      <c r="I114" s="41" t="str">
        <f aca="false">IF($AE114="","",IF($AE114&lt;=1200,IF(INDEX(对接源_01水果!$AB$4:$AB$1203,$AE114)=0,"",INDEX(对接源_01水果!$AB$4:$AB$1203,$AE114)),IF(INDEX(对接源_02物料!$AB$4:$AB$1203,$AE114-1200)=0,"",INDEX(对接源_02物料!$AB$4:$AB$1203,$AE114-1200))))</f>
        <v/>
      </c>
      <c r="J114" s="42" t="str">
        <f aca="false"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44" t="str">
        <f aca="false">IFERROR(MATCH(109,_自动清单!$AK$4:$AK$2403,0),"")</f>
        <v/>
      </c>
    </row>
    <row r="115" customFormat="false" ht="18" hidden="false" customHeight="true" outlineLevel="0" collapsed="false">
      <c r="A115" s="45" t="str">
        <f aca="false"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46" t="str">
        <f aca="false"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46" t="str">
        <f aca="false"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46" t="str">
        <f aca="false">IF($AE115="","",IF($AE115&lt;=1200,IF(INDEX(对接源_01水果!$G$4:$G$1203,$AE115)=0,"",INDEX(对接源_01水果!$G$4:$G$1203,$AE115)),IF(INDEX(对接源_02物料!$G$4:$G$1203,$AE115-1200)=0,"",INDEX(对接源_02物料!$G$4:$G$1203,$AE115-1200))))</f>
        <v/>
      </c>
      <c r="E115" s="48" t="str">
        <f aca="false"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46" t="str">
        <f aca="false"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56" t="str">
        <f aca="false">IF($AE115="","",IF($AE115&lt;=1200,IF(INDEX(对接源_01水果!$Z$4:$Z$1203,$AE115)=0,"",INDEX(对接源_01水果!$Z$4:$Z$1203,$AE115)),IF(INDEX(对接源_02物料!$Z$4:$Z$1203,$AE115-1200)=0,"",INDEX(对接源_02物料!$Z$4:$Z$1203,$AE115-1200))))</f>
        <v/>
      </c>
      <c r="H115" s="56" t="str">
        <f aca="false">IF($AE115="","",IF($AE115&lt;=1200,IF(INDEX(对接源_01水果!$AA$4:$AA$1203,$AE115)=0,"",INDEX(对接源_01水果!$AA$4:$AA$1203,$AE115)),IF(INDEX(对接源_02物料!$AA$4:$AA$1203,$AE115-1200)=0,"",INDEX(对接源_02物料!$AA$4:$AA$1203,$AE115-1200))))</f>
        <v/>
      </c>
      <c r="I115" s="46" t="str">
        <f aca="false">IF($AE115="","",IF($AE115&lt;=1200,IF(INDEX(对接源_01水果!$AB$4:$AB$1203,$AE115)=0,"",INDEX(对接源_01水果!$AB$4:$AB$1203,$AE115)),IF(INDEX(对接源_02物料!$AB$4:$AB$1203,$AE115-1200)=0,"",INDEX(对接源_02物料!$AB$4:$AB$1203,$AE115-1200))))</f>
        <v/>
      </c>
      <c r="J115" s="47" t="str">
        <f aca="false"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44" t="str">
        <f aca="false">IFERROR(MATCH(110,_自动清单!$AK$4:$AK$2403,0),"")</f>
        <v/>
      </c>
    </row>
    <row r="116" customFormat="false" ht="18" hidden="false" customHeight="true" outlineLevel="0" collapsed="false">
      <c r="A116" s="40" t="str">
        <f aca="false"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41" t="str">
        <f aca="false"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41" t="str">
        <f aca="false"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41" t="str">
        <f aca="false">IF($AE116="","",IF($AE116&lt;=1200,IF(INDEX(对接源_01水果!$G$4:$G$1203,$AE116)=0,"",INDEX(对接源_01水果!$G$4:$G$1203,$AE116)),IF(INDEX(对接源_02物料!$G$4:$G$1203,$AE116-1200)=0,"",INDEX(对接源_02物料!$G$4:$G$1203,$AE116-1200))))</f>
        <v/>
      </c>
      <c r="E116" s="43" t="str">
        <f aca="false"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41" t="str">
        <f aca="false"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55" t="str">
        <f aca="false">IF($AE116="","",IF($AE116&lt;=1200,IF(INDEX(对接源_01水果!$Z$4:$Z$1203,$AE116)=0,"",INDEX(对接源_01水果!$Z$4:$Z$1203,$AE116)),IF(INDEX(对接源_02物料!$Z$4:$Z$1203,$AE116-1200)=0,"",INDEX(对接源_02物料!$Z$4:$Z$1203,$AE116-1200))))</f>
        <v/>
      </c>
      <c r="H116" s="55" t="str">
        <f aca="false">IF($AE116="","",IF($AE116&lt;=1200,IF(INDEX(对接源_01水果!$AA$4:$AA$1203,$AE116)=0,"",INDEX(对接源_01水果!$AA$4:$AA$1203,$AE116)),IF(INDEX(对接源_02物料!$AA$4:$AA$1203,$AE116-1200)=0,"",INDEX(对接源_02物料!$AA$4:$AA$1203,$AE116-1200))))</f>
        <v/>
      </c>
      <c r="I116" s="41" t="str">
        <f aca="false">IF($AE116="","",IF($AE116&lt;=1200,IF(INDEX(对接源_01水果!$AB$4:$AB$1203,$AE116)=0,"",INDEX(对接源_01水果!$AB$4:$AB$1203,$AE116)),IF(INDEX(对接源_02物料!$AB$4:$AB$1203,$AE116-1200)=0,"",INDEX(对接源_02物料!$AB$4:$AB$1203,$AE116-1200))))</f>
        <v/>
      </c>
      <c r="J116" s="42" t="str">
        <f aca="false"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44" t="str">
        <f aca="false">IFERROR(MATCH(111,_自动清单!$AK$4:$AK$2403,0),"")</f>
        <v/>
      </c>
    </row>
    <row r="117" customFormat="false" ht="18" hidden="false" customHeight="true" outlineLevel="0" collapsed="false">
      <c r="A117" s="45" t="n">
        <f aca="false">IF($AE117="","",IF($AE117&lt;=1200,IF(INDEX(对接源_01水果!$B$4:$B$1203,$AE117)=0,"",INDEX(对接源_01水果!$B$4:$B$1203,$AE117)),IF(INDEX(对接源_02物料!$B$4:$B$1203,$AE117-1200)=0,"",INDEX(对接源_02物料!$B$4:$B$1203,$AE117-1200))))</f>
        <v>46278</v>
      </c>
      <c r="B117" s="46" t="str">
        <f aca="false">IF($AE117="","",IF($AE117&lt;=1200,IF(INDEX(对接源_01水果!$E$4:$E$1203,$AE117)=0,"",INDEX(对接源_01水果!$E$4:$E$1203,$AE117)),IF(INDEX(对接源_02物料!$E$4:$E$1203,$AE117-1200)=0,"",INDEX(对接源_02物料!$E$4:$E$1203,$AE117-1200))))</f>
        <v>NO:0001136</v>
      </c>
      <c r="C117" s="46" t="str">
        <f aca="false">IF($AE117="","",IF($AE117&lt;=1200,IF(INDEX(对接源_01水果!$F$4:$F$1203,$AE117)=0,"",INDEX(对接源_01水果!$F$4:$F$1203,$AE117)),IF(INDEX(对接源_02物料!$F$4:$F$1203,$AE117-1200)=0,"",INDEX(对接源_02物料!$F$4:$F$1203,$AE117-1200))))</f>
        <v>苹果</v>
      </c>
      <c r="D117" s="46" t="str">
        <f aca="false">IF($AE117="","",IF($AE117&lt;=1200,IF(INDEX(对接源_01水果!$G$4:$G$1203,$AE117)=0,"",INDEX(对接源_01水果!$G$4:$G$1203,$AE117)),IF(INDEX(对接源_02物料!$G$4:$G$1203,$AE117-1200)=0,"",INDEX(对接源_02物料!$G$4:$G$1203,$AE117-1200))))</f>
        <v>华硕一级</v>
      </c>
      <c r="E117" s="48" t="n">
        <f aca="false">IF($AE117="","",IF($AE117&lt;=1200,IF(INDEX(对接源_01水果!$H$4:$H$1203,$AE117)=0,"",INDEX(对接源_01水果!$H$4:$H$1203,$AE117)),IF(INDEX(对接源_02物料!$H$4:$H$1203,$AE117-1200)=0,"",INDEX(对接源_02物料!$H$4:$H$1203,$AE117-1200))))</f>
        <v>11</v>
      </c>
      <c r="F117" s="46" t="str">
        <f aca="false">IF($AE117="","",IF($AE117&lt;=1200,IF(INDEX(对接源_01水果!$I$4:$I$1203,$AE117)=0,"",INDEX(对接源_01水果!$I$4:$I$1203,$AE117)),IF(INDEX(对接源_02物料!$I$4:$I$1203,$AE117-1200)=0,"",INDEX(对接源_02物料!$I$4:$I$1203,$AE117-1200))))</f>
        <v>箱</v>
      </c>
      <c r="G117" s="56" t="str">
        <f aca="false">IF($AE117="","",IF($AE117&lt;=1200,IF(INDEX(对接源_01水果!$Z$4:$Z$1203,$AE117)=0,"",INDEX(对接源_01水果!$Z$4:$Z$1203,$AE117)),IF(INDEX(对接源_02物料!$Z$4:$Z$1203,$AE117-1200)=0,"",INDEX(对接源_02物料!$Z$4:$Z$1203,$AE117-1200))))</f>
        <v/>
      </c>
      <c r="H117" s="56" t="str">
        <f aca="false">IF($AE117="","",IF($AE117&lt;=1200,IF(INDEX(对接源_01水果!$AA$4:$AA$1203,$AE117)=0,"",INDEX(对接源_01水果!$AA$4:$AA$1203,$AE117)),IF(INDEX(对接源_02物料!$AA$4:$AA$1203,$AE117-1200)=0,"",INDEX(对接源_02物料!$AA$4:$AA$1203,$AE117-1200))))</f>
        <v/>
      </c>
      <c r="I117" s="46" t="str">
        <f aca="false">IF($AE117="","",IF($AE117&lt;=1200,IF(INDEX(对接源_01水果!$AB$4:$AB$1203,$AE117)=0,"",INDEX(对接源_01水果!$AB$4:$AB$1203,$AE117)),IF(INDEX(对接源_02物料!$AB$4:$AB$1203,$AE117-1200)=0,"",INDEX(对接源_02物料!$AB$4:$AB$1203,$AE117-1200))))</f>
        <v/>
      </c>
      <c r="J117" s="47" t="str">
        <f aca="false"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44" t="n">
        <f aca="false">IFERROR(MATCH(112,_自动清单!$AK$4:$AK$2403,0),"")</f>
        <v>310</v>
      </c>
    </row>
    <row r="118" customFormat="false" ht="18" hidden="false" customHeight="true" outlineLevel="0" collapsed="false">
      <c r="A118" s="40" t="str">
        <f aca="false"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41" t="str">
        <f aca="false"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41" t="str">
        <f aca="false"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41" t="str">
        <f aca="false">IF($AE118="","",IF($AE118&lt;=1200,IF(INDEX(对接源_01水果!$G$4:$G$1203,$AE118)=0,"",INDEX(对接源_01水果!$G$4:$G$1203,$AE118)),IF(INDEX(对接源_02物料!$G$4:$G$1203,$AE118-1200)=0,"",INDEX(对接源_02物料!$G$4:$G$1203,$AE118-1200))))</f>
        <v/>
      </c>
      <c r="E118" s="43" t="str">
        <f aca="false"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41" t="str">
        <f aca="false"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55" t="str">
        <f aca="false">IF($AE118="","",IF($AE118&lt;=1200,IF(INDEX(对接源_01水果!$Z$4:$Z$1203,$AE118)=0,"",INDEX(对接源_01水果!$Z$4:$Z$1203,$AE118)),IF(INDEX(对接源_02物料!$Z$4:$Z$1203,$AE118-1200)=0,"",INDEX(对接源_02物料!$Z$4:$Z$1203,$AE118-1200))))</f>
        <v/>
      </c>
      <c r="H118" s="55" t="str">
        <f aca="false">IF($AE118="","",IF($AE118&lt;=1200,IF(INDEX(对接源_01水果!$AA$4:$AA$1203,$AE118)=0,"",INDEX(对接源_01水果!$AA$4:$AA$1203,$AE118)),IF(INDEX(对接源_02物料!$AA$4:$AA$1203,$AE118-1200)=0,"",INDEX(对接源_02物料!$AA$4:$AA$1203,$AE118-1200))))</f>
        <v/>
      </c>
      <c r="I118" s="41" t="str">
        <f aca="false">IF($AE118="","",IF($AE118&lt;=1200,IF(INDEX(对接源_01水果!$AB$4:$AB$1203,$AE118)=0,"",INDEX(对接源_01水果!$AB$4:$AB$1203,$AE118)),IF(INDEX(对接源_02物料!$AB$4:$AB$1203,$AE118-1200)=0,"",INDEX(对接源_02物料!$AB$4:$AB$1203,$AE118-1200))))</f>
        <v/>
      </c>
      <c r="J118" s="42" t="str">
        <f aca="false"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44" t="str">
        <f aca="false">IFERROR(MATCH(113,_自动清单!$AK$4:$AK$2403,0),"")</f>
        <v/>
      </c>
    </row>
    <row r="119" customFormat="false" ht="18" hidden="false" customHeight="true" outlineLevel="0" collapsed="false">
      <c r="A119" s="45" t="str">
        <f aca="false"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46" t="str">
        <f aca="false"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46" t="str">
        <f aca="false"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46" t="str">
        <f aca="false">IF($AE119="","",IF($AE119&lt;=1200,IF(INDEX(对接源_01水果!$G$4:$G$1203,$AE119)=0,"",INDEX(对接源_01水果!$G$4:$G$1203,$AE119)),IF(INDEX(对接源_02物料!$G$4:$G$1203,$AE119-1200)=0,"",INDEX(对接源_02物料!$G$4:$G$1203,$AE119-1200))))</f>
        <v/>
      </c>
      <c r="E119" s="48" t="str">
        <f aca="false"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46" t="str">
        <f aca="false"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56" t="str">
        <f aca="false">IF($AE119="","",IF($AE119&lt;=1200,IF(INDEX(对接源_01水果!$Z$4:$Z$1203,$AE119)=0,"",INDEX(对接源_01水果!$Z$4:$Z$1203,$AE119)),IF(INDEX(对接源_02物料!$Z$4:$Z$1203,$AE119-1200)=0,"",INDEX(对接源_02物料!$Z$4:$Z$1203,$AE119-1200))))</f>
        <v/>
      </c>
      <c r="H119" s="56" t="str">
        <f aca="false">IF($AE119="","",IF($AE119&lt;=1200,IF(INDEX(对接源_01水果!$AA$4:$AA$1203,$AE119)=0,"",INDEX(对接源_01水果!$AA$4:$AA$1203,$AE119)),IF(INDEX(对接源_02物料!$AA$4:$AA$1203,$AE119-1200)=0,"",INDEX(对接源_02物料!$AA$4:$AA$1203,$AE119-1200))))</f>
        <v/>
      </c>
      <c r="I119" s="46" t="str">
        <f aca="false">IF($AE119="","",IF($AE119&lt;=1200,IF(INDEX(对接源_01水果!$AB$4:$AB$1203,$AE119)=0,"",INDEX(对接源_01水果!$AB$4:$AB$1203,$AE119)),IF(INDEX(对接源_02物料!$AB$4:$AB$1203,$AE119-1200)=0,"",INDEX(对接源_02物料!$AB$4:$AB$1203,$AE119-1200))))</f>
        <v/>
      </c>
      <c r="J119" s="47" t="str">
        <f aca="false"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44" t="str">
        <f aca="false">IFERROR(MATCH(114,_自动清单!$AK$4:$AK$2403,0),"")</f>
        <v/>
      </c>
    </row>
    <row r="120" customFormat="false" ht="18" hidden="false" customHeight="true" outlineLevel="0" collapsed="false">
      <c r="A120" s="40" t="str">
        <f aca="false"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41" t="str">
        <f aca="false"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41" t="str">
        <f aca="false"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41" t="str">
        <f aca="false">IF($AE120="","",IF($AE120&lt;=1200,IF(INDEX(对接源_01水果!$G$4:$G$1203,$AE120)=0,"",INDEX(对接源_01水果!$G$4:$G$1203,$AE120)),IF(INDEX(对接源_02物料!$G$4:$G$1203,$AE120-1200)=0,"",INDEX(对接源_02物料!$G$4:$G$1203,$AE120-1200))))</f>
        <v/>
      </c>
      <c r="E120" s="43" t="str">
        <f aca="false"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41" t="str">
        <f aca="false"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55" t="str">
        <f aca="false">IF($AE120="","",IF($AE120&lt;=1200,IF(INDEX(对接源_01水果!$Z$4:$Z$1203,$AE120)=0,"",INDEX(对接源_01水果!$Z$4:$Z$1203,$AE120)),IF(INDEX(对接源_02物料!$Z$4:$Z$1203,$AE120-1200)=0,"",INDEX(对接源_02物料!$Z$4:$Z$1203,$AE120-1200))))</f>
        <v/>
      </c>
      <c r="H120" s="55" t="str">
        <f aca="false">IF($AE120="","",IF($AE120&lt;=1200,IF(INDEX(对接源_01水果!$AA$4:$AA$1203,$AE120)=0,"",INDEX(对接源_01水果!$AA$4:$AA$1203,$AE120)),IF(INDEX(对接源_02物料!$AA$4:$AA$1203,$AE120-1200)=0,"",INDEX(对接源_02物料!$AA$4:$AA$1203,$AE120-1200))))</f>
        <v/>
      </c>
      <c r="I120" s="41" t="str">
        <f aca="false">IF($AE120="","",IF($AE120&lt;=1200,IF(INDEX(对接源_01水果!$AB$4:$AB$1203,$AE120)=0,"",INDEX(对接源_01水果!$AB$4:$AB$1203,$AE120)),IF(INDEX(对接源_02物料!$AB$4:$AB$1203,$AE120-1200)=0,"",INDEX(对接源_02物料!$AB$4:$AB$1203,$AE120-1200))))</f>
        <v/>
      </c>
      <c r="J120" s="42" t="str">
        <f aca="false"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44" t="str">
        <f aca="false">IFERROR(MATCH(115,_自动清单!$AK$4:$AK$2403,0),"")</f>
        <v/>
      </c>
    </row>
    <row r="121" customFormat="false" ht="18" hidden="false" customHeight="true" outlineLevel="0" collapsed="false">
      <c r="A121" s="45" t="n">
        <f aca="false">IF($AE121="","",IF($AE121&lt;=1200,IF(INDEX(对接源_01水果!$B$4:$B$1203,$AE121)=0,"",INDEX(对接源_01水果!$B$4:$B$1203,$AE121)),IF(INDEX(对接源_02物料!$B$4:$B$1203,$AE121-1200)=0,"",INDEX(对接源_02物料!$B$4:$B$1203,$AE121-1200))))</f>
        <v>46278</v>
      </c>
      <c r="B121" s="46" t="str">
        <f aca="false">IF($AE121="","",IF($AE121&lt;=1200,IF(INDEX(对接源_01水果!$E$4:$E$1203,$AE121)=0,"",INDEX(对接源_01水果!$E$4:$E$1203,$AE121)),IF(INDEX(对接源_02物料!$E$4:$E$1203,$AE121-1200)=0,"",INDEX(对接源_02物料!$E$4:$E$1203,$AE121-1200))))</f>
        <v>NO:0001136</v>
      </c>
      <c r="C121" s="46" t="str">
        <f aca="false">IF($AE121="","",IF($AE121&lt;=1200,IF(INDEX(对接源_01水果!$F$4:$F$1203,$AE121)=0,"",INDEX(对接源_01水果!$F$4:$F$1203,$AE121)),IF(INDEX(对接源_02物料!$F$4:$F$1203,$AE121-1200)=0,"",INDEX(对接源_02物料!$F$4:$F$1203,$AE121-1200))))</f>
        <v>香梨</v>
      </c>
      <c r="D121" s="46" t="str">
        <f aca="false">IF($AE121="","",IF($AE121&lt;=1200,IF(INDEX(对接源_01水果!$G$4:$G$1203,$AE121)=0,"",INDEX(对接源_01水果!$G$4:$G$1203,$AE121)),IF(INDEX(对接源_02物料!$G$4:$G$1203,$AE121-1200)=0,"",INDEX(对接源_02物料!$G$4:$G$1203,$AE121-1200))))</f>
        <v>香梨一级</v>
      </c>
      <c r="E121" s="48" t="n">
        <f aca="false">IF($AE121="","",IF($AE121&lt;=1200,IF(INDEX(对接源_01水果!$H$4:$H$1203,$AE121)=0,"",INDEX(对接源_01水果!$H$4:$H$1203,$AE121)),IF(INDEX(对接源_02物料!$H$4:$H$1203,$AE121-1200)=0,"",INDEX(对接源_02物料!$H$4:$H$1203,$AE121-1200))))</f>
        <v>3</v>
      </c>
      <c r="F121" s="46" t="str">
        <f aca="false">IF($AE121="","",IF($AE121&lt;=1200,IF(INDEX(对接源_01水果!$I$4:$I$1203,$AE121)=0,"",INDEX(对接源_01水果!$I$4:$I$1203,$AE121)),IF(INDEX(对接源_02物料!$I$4:$I$1203,$AE121-1200)=0,"",INDEX(对接源_02物料!$I$4:$I$1203,$AE121-1200))))</f>
        <v>箱</v>
      </c>
      <c r="G121" s="56" t="str">
        <f aca="false">IF($AE121="","",IF($AE121&lt;=1200,IF(INDEX(对接源_01水果!$Z$4:$Z$1203,$AE121)=0,"",INDEX(对接源_01水果!$Z$4:$Z$1203,$AE121)),IF(INDEX(对接源_02物料!$Z$4:$Z$1203,$AE121-1200)=0,"",INDEX(对接源_02物料!$Z$4:$Z$1203,$AE121-1200))))</f>
        <v/>
      </c>
      <c r="H121" s="56" t="str">
        <f aca="false">IF($AE121="","",IF($AE121&lt;=1200,IF(INDEX(对接源_01水果!$AA$4:$AA$1203,$AE121)=0,"",INDEX(对接源_01水果!$AA$4:$AA$1203,$AE121)),IF(INDEX(对接源_02物料!$AA$4:$AA$1203,$AE121-1200)=0,"",INDEX(对接源_02物料!$AA$4:$AA$1203,$AE121-1200))))</f>
        <v/>
      </c>
      <c r="I121" s="46" t="str">
        <f aca="false">IF($AE121="","",IF($AE121&lt;=1200,IF(INDEX(对接源_01水果!$AB$4:$AB$1203,$AE121)=0,"",INDEX(对接源_01水果!$AB$4:$AB$1203,$AE121)),IF(INDEX(对接源_02物料!$AB$4:$AB$1203,$AE121-1200)=0,"",INDEX(对接源_02物料!$AB$4:$AB$1203,$AE121-1200))))</f>
        <v/>
      </c>
      <c r="J121" s="47" t="str">
        <f aca="false"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44" t="n">
        <f aca="false">IFERROR(MATCH(116,_自动清单!$AK$4:$AK$2403,0),"")</f>
        <v>311</v>
      </c>
    </row>
    <row r="122" customFormat="false" ht="18" hidden="false" customHeight="true" outlineLevel="0" collapsed="false">
      <c r="A122" s="40" t="str">
        <f aca="false"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41" t="str">
        <f aca="false"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41" t="str">
        <f aca="false"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41" t="str">
        <f aca="false">IF($AE122="","",IF($AE122&lt;=1200,IF(INDEX(对接源_01水果!$G$4:$G$1203,$AE122)=0,"",INDEX(对接源_01水果!$G$4:$G$1203,$AE122)),IF(INDEX(对接源_02物料!$G$4:$G$1203,$AE122-1200)=0,"",INDEX(对接源_02物料!$G$4:$G$1203,$AE122-1200))))</f>
        <v/>
      </c>
      <c r="E122" s="43" t="str">
        <f aca="false"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41" t="str">
        <f aca="false"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55" t="str">
        <f aca="false">IF($AE122="","",IF($AE122&lt;=1200,IF(INDEX(对接源_01水果!$Z$4:$Z$1203,$AE122)=0,"",INDEX(对接源_01水果!$Z$4:$Z$1203,$AE122)),IF(INDEX(对接源_02物料!$Z$4:$Z$1203,$AE122-1200)=0,"",INDEX(对接源_02物料!$Z$4:$Z$1203,$AE122-1200))))</f>
        <v/>
      </c>
      <c r="H122" s="55" t="str">
        <f aca="false">IF($AE122="","",IF($AE122&lt;=1200,IF(INDEX(对接源_01水果!$AA$4:$AA$1203,$AE122)=0,"",INDEX(对接源_01水果!$AA$4:$AA$1203,$AE122)),IF(INDEX(对接源_02物料!$AA$4:$AA$1203,$AE122-1200)=0,"",INDEX(对接源_02物料!$AA$4:$AA$1203,$AE122-1200))))</f>
        <v/>
      </c>
      <c r="I122" s="41" t="str">
        <f aca="false">IF($AE122="","",IF($AE122&lt;=1200,IF(INDEX(对接源_01水果!$AB$4:$AB$1203,$AE122)=0,"",INDEX(对接源_01水果!$AB$4:$AB$1203,$AE122)),IF(INDEX(对接源_02物料!$AB$4:$AB$1203,$AE122-1200)=0,"",INDEX(对接源_02物料!$AB$4:$AB$1203,$AE122-1200))))</f>
        <v/>
      </c>
      <c r="J122" s="42" t="str">
        <f aca="false"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44" t="str">
        <f aca="false">IFERROR(MATCH(117,_自动清单!$AK$4:$AK$2403,0),"")</f>
        <v/>
      </c>
    </row>
    <row r="123" customFormat="false" ht="18" hidden="false" customHeight="true" outlineLevel="0" collapsed="false">
      <c r="A123" s="45" t="str">
        <f aca="false"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46" t="str">
        <f aca="false"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46" t="str">
        <f aca="false"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46" t="str">
        <f aca="false">IF($AE123="","",IF($AE123&lt;=1200,IF(INDEX(对接源_01水果!$G$4:$G$1203,$AE123)=0,"",INDEX(对接源_01水果!$G$4:$G$1203,$AE123)),IF(INDEX(对接源_02物料!$G$4:$G$1203,$AE123-1200)=0,"",INDEX(对接源_02物料!$G$4:$G$1203,$AE123-1200))))</f>
        <v/>
      </c>
      <c r="E123" s="48" t="str">
        <f aca="false"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46" t="str">
        <f aca="false"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56" t="str">
        <f aca="false">IF($AE123="","",IF($AE123&lt;=1200,IF(INDEX(对接源_01水果!$Z$4:$Z$1203,$AE123)=0,"",INDEX(对接源_01水果!$Z$4:$Z$1203,$AE123)),IF(INDEX(对接源_02物料!$Z$4:$Z$1203,$AE123-1200)=0,"",INDEX(对接源_02物料!$Z$4:$Z$1203,$AE123-1200))))</f>
        <v/>
      </c>
      <c r="H123" s="56" t="str">
        <f aca="false">IF($AE123="","",IF($AE123&lt;=1200,IF(INDEX(对接源_01水果!$AA$4:$AA$1203,$AE123)=0,"",INDEX(对接源_01水果!$AA$4:$AA$1203,$AE123)),IF(INDEX(对接源_02物料!$AA$4:$AA$1203,$AE123-1200)=0,"",INDEX(对接源_02物料!$AA$4:$AA$1203,$AE123-1200))))</f>
        <v/>
      </c>
      <c r="I123" s="46" t="str">
        <f aca="false">IF($AE123="","",IF($AE123&lt;=1200,IF(INDEX(对接源_01水果!$AB$4:$AB$1203,$AE123)=0,"",INDEX(对接源_01水果!$AB$4:$AB$1203,$AE123)),IF(INDEX(对接源_02物料!$AB$4:$AB$1203,$AE123-1200)=0,"",INDEX(对接源_02物料!$AB$4:$AB$1203,$AE123-1200))))</f>
        <v/>
      </c>
      <c r="J123" s="47" t="str">
        <f aca="false"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44" t="str">
        <f aca="false">IFERROR(MATCH(118,_自动清单!$AK$4:$AK$2403,0),"")</f>
        <v/>
      </c>
    </row>
    <row r="124" customFormat="false" ht="18" hidden="false" customHeight="true" outlineLevel="0" collapsed="false">
      <c r="A124" s="40" t="str">
        <f aca="false"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41" t="str">
        <f aca="false"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41" t="str">
        <f aca="false"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41" t="str">
        <f aca="false">IF($AE124="","",IF($AE124&lt;=1200,IF(INDEX(对接源_01水果!$G$4:$G$1203,$AE124)=0,"",INDEX(对接源_01水果!$G$4:$G$1203,$AE124)),IF(INDEX(对接源_02物料!$G$4:$G$1203,$AE124-1200)=0,"",INDEX(对接源_02物料!$G$4:$G$1203,$AE124-1200))))</f>
        <v/>
      </c>
      <c r="E124" s="43" t="str">
        <f aca="false"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41" t="str">
        <f aca="false"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55" t="str">
        <f aca="false">IF($AE124="","",IF($AE124&lt;=1200,IF(INDEX(对接源_01水果!$Z$4:$Z$1203,$AE124)=0,"",INDEX(对接源_01水果!$Z$4:$Z$1203,$AE124)),IF(INDEX(对接源_02物料!$Z$4:$Z$1203,$AE124-1200)=0,"",INDEX(对接源_02物料!$Z$4:$Z$1203,$AE124-1200))))</f>
        <v/>
      </c>
      <c r="H124" s="55" t="str">
        <f aca="false">IF($AE124="","",IF($AE124&lt;=1200,IF(INDEX(对接源_01水果!$AA$4:$AA$1203,$AE124)=0,"",INDEX(对接源_01水果!$AA$4:$AA$1203,$AE124)),IF(INDEX(对接源_02物料!$AA$4:$AA$1203,$AE124-1200)=0,"",INDEX(对接源_02物料!$AA$4:$AA$1203,$AE124-1200))))</f>
        <v/>
      </c>
      <c r="I124" s="41" t="str">
        <f aca="false">IF($AE124="","",IF($AE124&lt;=1200,IF(INDEX(对接源_01水果!$AB$4:$AB$1203,$AE124)=0,"",INDEX(对接源_01水果!$AB$4:$AB$1203,$AE124)),IF(INDEX(对接源_02物料!$AB$4:$AB$1203,$AE124-1200)=0,"",INDEX(对接源_02物料!$AB$4:$AB$1203,$AE124-1200))))</f>
        <v/>
      </c>
      <c r="J124" s="42" t="str">
        <f aca="false"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44" t="str">
        <f aca="false">IFERROR(MATCH(119,_自动清单!$AK$4:$AK$2403,0),"")</f>
        <v/>
      </c>
    </row>
    <row r="125" customFormat="false" ht="18" hidden="false" customHeight="true" outlineLevel="0" collapsed="false">
      <c r="A125" s="45" t="str">
        <f aca="false"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46" t="str">
        <f aca="false"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46" t="str">
        <f aca="false"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46" t="str">
        <f aca="false">IF($AE125="","",IF($AE125&lt;=1200,IF(INDEX(对接源_01水果!$G$4:$G$1203,$AE125)=0,"",INDEX(对接源_01水果!$G$4:$G$1203,$AE125)),IF(INDEX(对接源_02物料!$G$4:$G$1203,$AE125-1200)=0,"",INDEX(对接源_02物料!$G$4:$G$1203,$AE125-1200))))</f>
        <v/>
      </c>
      <c r="E125" s="48" t="str">
        <f aca="false"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46" t="str">
        <f aca="false"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56" t="str">
        <f aca="false">IF($AE125="","",IF($AE125&lt;=1200,IF(INDEX(对接源_01水果!$Z$4:$Z$1203,$AE125)=0,"",INDEX(对接源_01水果!$Z$4:$Z$1203,$AE125)),IF(INDEX(对接源_02物料!$Z$4:$Z$1203,$AE125-1200)=0,"",INDEX(对接源_02物料!$Z$4:$Z$1203,$AE125-1200))))</f>
        <v/>
      </c>
      <c r="H125" s="56" t="str">
        <f aca="false">IF($AE125="","",IF($AE125&lt;=1200,IF(INDEX(对接源_01水果!$AA$4:$AA$1203,$AE125)=0,"",INDEX(对接源_01水果!$AA$4:$AA$1203,$AE125)),IF(INDEX(对接源_02物料!$AA$4:$AA$1203,$AE125-1200)=0,"",INDEX(对接源_02物料!$AA$4:$AA$1203,$AE125-1200))))</f>
        <v/>
      </c>
      <c r="I125" s="46" t="str">
        <f aca="false">IF($AE125="","",IF($AE125&lt;=1200,IF(INDEX(对接源_01水果!$AB$4:$AB$1203,$AE125)=0,"",INDEX(对接源_01水果!$AB$4:$AB$1203,$AE125)),IF(INDEX(对接源_02物料!$AB$4:$AB$1203,$AE125-1200)=0,"",INDEX(对接源_02物料!$AB$4:$AB$1203,$AE125-1200))))</f>
        <v/>
      </c>
      <c r="J125" s="47" t="str">
        <f aca="false"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44" t="n">
        <f aca="false">IFERROR(MATCH(120,_自动清单!$AK$4:$AK$2403,0),"")</f>
        <v>312</v>
      </c>
    </row>
    <row r="126" customFormat="false" ht="18" hidden="false" customHeight="true" outlineLevel="0" collapsed="false">
      <c r="A126" s="40" t="str">
        <f aca="false">IF($AE126="","",IF($AE126&lt;=1200,IF(INDEX(对接源_01水果!$B$4:$B$1203,$AE126)=0,"",INDEX(对接源_01水果!$B$4:$B$1203,$AE126)),IF(INDEX(对接源_02物料!$B$4:$B$1203,$AE126-1200)=0,"",INDEX(对接源_02物料!$B$4:$B$1203,$AE126-1200))))</f>
        <v/>
      </c>
      <c r="B126" s="41" t="str">
        <f aca="false">IF($AE126="","",IF($AE126&lt;=1200,IF(INDEX(对接源_01水果!$E$4:$E$1203,$AE126)=0,"",INDEX(对接源_01水果!$E$4:$E$1203,$AE126)),IF(INDEX(对接源_02物料!$E$4:$E$1203,$AE126-1200)=0,"",INDEX(对接源_02物料!$E$4:$E$1203,$AE126-1200))))</f>
        <v/>
      </c>
      <c r="C126" s="41" t="str">
        <f aca="false">IF($AE126="","",IF($AE126&lt;=1200,IF(INDEX(对接源_01水果!$F$4:$F$1203,$AE126)=0,"",INDEX(对接源_01水果!$F$4:$F$1203,$AE126)),IF(INDEX(对接源_02物料!$F$4:$F$1203,$AE126-1200)=0,"",INDEX(对接源_02物料!$F$4:$F$1203,$AE126-1200))))</f>
        <v/>
      </c>
      <c r="D126" s="41" t="str">
        <f aca="false">IF($AE126="","",IF($AE126&lt;=1200,IF(INDEX(对接源_01水果!$G$4:$G$1203,$AE126)=0,"",INDEX(对接源_01水果!$G$4:$G$1203,$AE126)),IF(INDEX(对接源_02物料!$G$4:$G$1203,$AE126-1200)=0,"",INDEX(对接源_02物料!$G$4:$G$1203,$AE126-1200))))</f>
        <v/>
      </c>
      <c r="E126" s="43" t="str">
        <f aca="false">IF($AE126="","",IF($AE126&lt;=1200,IF(INDEX(对接源_01水果!$H$4:$H$1203,$AE126)=0,"",INDEX(对接源_01水果!$H$4:$H$1203,$AE126)),IF(INDEX(对接源_02物料!$H$4:$H$1203,$AE126-1200)=0,"",INDEX(对接源_02物料!$H$4:$H$1203,$AE126-1200))))</f>
        <v/>
      </c>
      <c r="F126" s="41" t="str">
        <f aca="false">IF($AE126="","",IF($AE126&lt;=1200,IF(INDEX(对接源_01水果!$I$4:$I$1203,$AE126)=0,"",INDEX(对接源_01水果!$I$4:$I$1203,$AE126)),IF(INDEX(对接源_02物料!$I$4:$I$1203,$AE126-1200)=0,"",INDEX(对接源_02物料!$I$4:$I$1203,$AE126-1200))))</f>
        <v/>
      </c>
      <c r="G126" s="55" t="str">
        <f aca="false">IF($AE126="","",IF($AE126&lt;=1200,IF(INDEX(对接源_01水果!$Z$4:$Z$1203,$AE126)=0,"",INDEX(对接源_01水果!$Z$4:$Z$1203,$AE126)),IF(INDEX(对接源_02物料!$Z$4:$Z$1203,$AE126-1200)=0,"",INDEX(对接源_02物料!$Z$4:$Z$1203,$AE126-1200))))</f>
        <v/>
      </c>
      <c r="H126" s="55" t="str">
        <f aca="false">IF($AE126="","",IF($AE126&lt;=1200,IF(INDEX(对接源_01水果!$AA$4:$AA$1203,$AE126)=0,"",INDEX(对接源_01水果!$AA$4:$AA$1203,$AE126)),IF(INDEX(对接源_02物料!$AA$4:$AA$1203,$AE126-1200)=0,"",INDEX(对接源_02物料!$AA$4:$AA$1203,$AE126-1200))))</f>
        <v/>
      </c>
      <c r="I126" s="41" t="str">
        <f aca="false">IF($AE126="","",IF($AE126&lt;=1200,IF(INDEX(对接源_01水果!$AB$4:$AB$1203,$AE126)=0,"",INDEX(对接源_01水果!$AB$4:$AB$1203,$AE126)),IF(INDEX(对接源_02物料!$AB$4:$AB$1203,$AE126-1200)=0,"",INDEX(对接源_02物料!$AB$4:$AB$1203,$AE126-1200))))</f>
        <v/>
      </c>
      <c r="J126" s="42" t="str">
        <f aca="false">IF($AE126="","",IF($AE126&lt;=1200,IF(INDEX(对接源_01水果!$M$4:$M$1203,$AE126)=0,"",INDEX(对接源_01水果!$M$4:$M$1203,$AE126)),IF(INDEX(对接源_02物料!$M$4:$M$1203,$AE126-1200)=0,"",INDEX(对接源_02物料!$M$4:$M$1203,$AE126-1200))))</f>
        <v/>
      </c>
      <c r="AE126" s="44" t="str">
        <f aca="false">IFERROR(MATCH(121,_自动清单!$AK$4:$AK$2403,0),"")</f>
        <v/>
      </c>
    </row>
    <row r="127" customFormat="false" ht="18" hidden="false" customHeight="true" outlineLevel="0" collapsed="false">
      <c r="A127" s="45" t="str">
        <f aca="false">IF($AE127="","",IF($AE127&lt;=1200,IF(INDEX(对接源_01水果!$B$4:$B$1203,$AE127)=0,"",INDEX(对接源_01水果!$B$4:$B$1203,$AE127)),IF(INDEX(对接源_02物料!$B$4:$B$1203,$AE127-1200)=0,"",INDEX(对接源_02物料!$B$4:$B$1203,$AE127-1200))))</f>
        <v/>
      </c>
      <c r="B127" s="46" t="str">
        <f aca="false">IF($AE127="","",IF($AE127&lt;=1200,IF(INDEX(对接源_01水果!$E$4:$E$1203,$AE127)=0,"",INDEX(对接源_01水果!$E$4:$E$1203,$AE127)),IF(INDEX(对接源_02物料!$E$4:$E$1203,$AE127-1200)=0,"",INDEX(对接源_02物料!$E$4:$E$1203,$AE127-1200))))</f>
        <v/>
      </c>
      <c r="C127" s="46" t="str">
        <f aca="false">IF($AE127="","",IF($AE127&lt;=1200,IF(INDEX(对接源_01水果!$F$4:$F$1203,$AE127)=0,"",INDEX(对接源_01水果!$F$4:$F$1203,$AE127)),IF(INDEX(对接源_02物料!$F$4:$F$1203,$AE127-1200)=0,"",INDEX(对接源_02物料!$F$4:$F$1203,$AE127-1200))))</f>
        <v/>
      </c>
      <c r="D127" s="46" t="str">
        <f aca="false">IF($AE127="","",IF($AE127&lt;=1200,IF(INDEX(对接源_01水果!$G$4:$G$1203,$AE127)=0,"",INDEX(对接源_01水果!$G$4:$G$1203,$AE127)),IF(INDEX(对接源_02物料!$G$4:$G$1203,$AE127-1200)=0,"",INDEX(对接源_02物料!$G$4:$G$1203,$AE127-1200))))</f>
        <v/>
      </c>
      <c r="E127" s="48" t="str">
        <f aca="false">IF($AE127="","",IF($AE127&lt;=1200,IF(INDEX(对接源_01水果!$H$4:$H$1203,$AE127)=0,"",INDEX(对接源_01水果!$H$4:$H$1203,$AE127)),IF(INDEX(对接源_02物料!$H$4:$H$1203,$AE127-1200)=0,"",INDEX(对接源_02物料!$H$4:$H$1203,$AE127-1200))))</f>
        <v/>
      </c>
      <c r="F127" s="46" t="str">
        <f aca="false">IF($AE127="","",IF($AE127&lt;=1200,IF(INDEX(对接源_01水果!$I$4:$I$1203,$AE127)=0,"",INDEX(对接源_01水果!$I$4:$I$1203,$AE127)),IF(INDEX(对接源_02物料!$I$4:$I$1203,$AE127-1200)=0,"",INDEX(对接源_02物料!$I$4:$I$1203,$AE127-1200))))</f>
        <v/>
      </c>
      <c r="G127" s="56" t="str">
        <f aca="false">IF($AE127="","",IF($AE127&lt;=1200,IF(INDEX(对接源_01水果!$Z$4:$Z$1203,$AE127)=0,"",INDEX(对接源_01水果!$Z$4:$Z$1203,$AE127)),IF(INDEX(对接源_02物料!$Z$4:$Z$1203,$AE127-1200)=0,"",INDEX(对接源_02物料!$Z$4:$Z$1203,$AE127-1200))))</f>
        <v/>
      </c>
      <c r="H127" s="56" t="str">
        <f aca="false">IF($AE127="","",IF($AE127&lt;=1200,IF(INDEX(对接源_01水果!$AA$4:$AA$1203,$AE127)=0,"",INDEX(对接源_01水果!$AA$4:$AA$1203,$AE127)),IF(INDEX(对接源_02物料!$AA$4:$AA$1203,$AE127-1200)=0,"",INDEX(对接源_02物料!$AA$4:$AA$1203,$AE127-1200))))</f>
        <v/>
      </c>
      <c r="I127" s="46" t="str">
        <f aca="false">IF($AE127="","",IF($AE127&lt;=1200,IF(INDEX(对接源_01水果!$AB$4:$AB$1203,$AE127)=0,"",INDEX(对接源_01水果!$AB$4:$AB$1203,$AE127)),IF(INDEX(对接源_02物料!$AB$4:$AB$1203,$AE127-1200)=0,"",INDEX(对接源_02物料!$AB$4:$AB$1203,$AE127-1200))))</f>
        <v/>
      </c>
      <c r="J127" s="47" t="str">
        <f aca="false">IF($AE127="","",IF($AE127&lt;=1200,IF(INDEX(对接源_01水果!$M$4:$M$1203,$AE127)=0,"",INDEX(对接源_01水果!$M$4:$M$1203,$AE127)),IF(INDEX(对接源_02物料!$M$4:$M$1203,$AE127-1200)=0,"",INDEX(对接源_02物料!$M$4:$M$1203,$AE127-1200))))</f>
        <v/>
      </c>
      <c r="AE127" s="44" t="str">
        <f aca="false">IFERROR(MATCH(122,_自动清单!$AK$4:$AK$2403,0),"")</f>
        <v/>
      </c>
    </row>
    <row r="128" customFormat="false" ht="18" hidden="false" customHeight="true" outlineLevel="0" collapsed="false">
      <c r="A128" s="40" t="str">
        <f aca="false">IF($AE128="","",IF($AE128&lt;=1200,IF(INDEX(对接源_01水果!$B$4:$B$1203,$AE128)=0,"",INDEX(对接源_01水果!$B$4:$B$1203,$AE128)),IF(INDEX(对接源_02物料!$B$4:$B$1203,$AE128-1200)=0,"",INDEX(对接源_02物料!$B$4:$B$1203,$AE128-1200))))</f>
        <v/>
      </c>
      <c r="B128" s="41" t="str">
        <f aca="false">IF($AE128="","",IF($AE128&lt;=1200,IF(INDEX(对接源_01水果!$E$4:$E$1203,$AE128)=0,"",INDEX(对接源_01水果!$E$4:$E$1203,$AE128)),IF(INDEX(对接源_02物料!$E$4:$E$1203,$AE128-1200)=0,"",INDEX(对接源_02物料!$E$4:$E$1203,$AE128-1200))))</f>
        <v/>
      </c>
      <c r="C128" s="41" t="str">
        <f aca="false">IF($AE128="","",IF($AE128&lt;=1200,IF(INDEX(对接源_01水果!$F$4:$F$1203,$AE128)=0,"",INDEX(对接源_01水果!$F$4:$F$1203,$AE128)),IF(INDEX(对接源_02物料!$F$4:$F$1203,$AE128-1200)=0,"",INDEX(对接源_02物料!$F$4:$F$1203,$AE128-1200))))</f>
        <v/>
      </c>
      <c r="D128" s="41" t="str">
        <f aca="false">IF($AE128="","",IF($AE128&lt;=1200,IF(INDEX(对接源_01水果!$G$4:$G$1203,$AE128)=0,"",INDEX(对接源_01水果!$G$4:$G$1203,$AE128)),IF(INDEX(对接源_02物料!$G$4:$G$1203,$AE128-1200)=0,"",INDEX(对接源_02物料!$G$4:$G$1203,$AE128-1200))))</f>
        <v/>
      </c>
      <c r="E128" s="43" t="str">
        <f aca="false">IF($AE128="","",IF($AE128&lt;=1200,IF(INDEX(对接源_01水果!$H$4:$H$1203,$AE128)=0,"",INDEX(对接源_01水果!$H$4:$H$1203,$AE128)),IF(INDEX(对接源_02物料!$H$4:$H$1203,$AE128-1200)=0,"",INDEX(对接源_02物料!$H$4:$H$1203,$AE128-1200))))</f>
        <v/>
      </c>
      <c r="F128" s="41" t="str">
        <f aca="false">IF($AE128="","",IF($AE128&lt;=1200,IF(INDEX(对接源_01水果!$I$4:$I$1203,$AE128)=0,"",INDEX(对接源_01水果!$I$4:$I$1203,$AE128)),IF(INDEX(对接源_02物料!$I$4:$I$1203,$AE128-1200)=0,"",INDEX(对接源_02物料!$I$4:$I$1203,$AE128-1200))))</f>
        <v/>
      </c>
      <c r="G128" s="55" t="str">
        <f aca="false">IF($AE128="","",IF($AE128&lt;=1200,IF(INDEX(对接源_01水果!$Z$4:$Z$1203,$AE128)=0,"",INDEX(对接源_01水果!$Z$4:$Z$1203,$AE128)),IF(INDEX(对接源_02物料!$Z$4:$Z$1203,$AE128-1200)=0,"",INDEX(对接源_02物料!$Z$4:$Z$1203,$AE128-1200))))</f>
        <v/>
      </c>
      <c r="H128" s="55" t="str">
        <f aca="false">IF($AE128="","",IF($AE128&lt;=1200,IF(INDEX(对接源_01水果!$AA$4:$AA$1203,$AE128)=0,"",INDEX(对接源_01水果!$AA$4:$AA$1203,$AE128)),IF(INDEX(对接源_02物料!$AA$4:$AA$1203,$AE128-1200)=0,"",INDEX(对接源_02物料!$AA$4:$AA$1203,$AE128-1200))))</f>
        <v/>
      </c>
      <c r="I128" s="41" t="str">
        <f aca="false">IF($AE128="","",IF($AE128&lt;=1200,IF(INDEX(对接源_01水果!$AB$4:$AB$1203,$AE128)=0,"",INDEX(对接源_01水果!$AB$4:$AB$1203,$AE128)),IF(INDEX(对接源_02物料!$AB$4:$AB$1203,$AE128-1200)=0,"",INDEX(对接源_02物料!$AB$4:$AB$1203,$AE128-1200))))</f>
        <v/>
      </c>
      <c r="J128" s="42" t="str">
        <f aca="false">IF($AE128="","",IF($AE128&lt;=1200,IF(INDEX(对接源_01水果!$M$4:$M$1203,$AE128)=0,"",INDEX(对接源_01水果!$M$4:$M$1203,$AE128)),IF(INDEX(对接源_02物料!$M$4:$M$1203,$AE128-1200)=0,"",INDEX(对接源_02物料!$M$4:$M$1203,$AE128-1200))))</f>
        <v/>
      </c>
      <c r="AE128" s="44" t="str">
        <f aca="false">IFERROR(MATCH(123,_自动清单!$AK$4:$AK$2403,0),"")</f>
        <v/>
      </c>
    </row>
    <row r="129" customFormat="false" ht="18" hidden="false" customHeight="true" outlineLevel="0" collapsed="false">
      <c r="A129" s="45" t="str">
        <f aca="false">IF($AE129="","",IF($AE129&lt;=1200,IF(INDEX(对接源_01水果!$B$4:$B$1203,$AE129)=0,"",INDEX(对接源_01水果!$B$4:$B$1203,$AE129)),IF(INDEX(对接源_02物料!$B$4:$B$1203,$AE129-1200)=0,"",INDEX(对接源_02物料!$B$4:$B$1203,$AE129-1200))))</f>
        <v/>
      </c>
      <c r="B129" s="46" t="str">
        <f aca="false">IF($AE129="","",IF($AE129&lt;=1200,IF(INDEX(对接源_01水果!$E$4:$E$1203,$AE129)=0,"",INDEX(对接源_01水果!$E$4:$E$1203,$AE129)),IF(INDEX(对接源_02物料!$E$4:$E$1203,$AE129-1200)=0,"",INDEX(对接源_02物料!$E$4:$E$1203,$AE129-1200))))</f>
        <v/>
      </c>
      <c r="C129" s="46" t="str">
        <f aca="false">IF($AE129="","",IF($AE129&lt;=1200,IF(INDEX(对接源_01水果!$F$4:$F$1203,$AE129)=0,"",INDEX(对接源_01水果!$F$4:$F$1203,$AE129)),IF(INDEX(对接源_02物料!$F$4:$F$1203,$AE129-1200)=0,"",INDEX(对接源_02物料!$F$4:$F$1203,$AE129-1200))))</f>
        <v/>
      </c>
      <c r="D129" s="46" t="str">
        <f aca="false">IF($AE129="","",IF($AE129&lt;=1200,IF(INDEX(对接源_01水果!$G$4:$G$1203,$AE129)=0,"",INDEX(对接源_01水果!$G$4:$G$1203,$AE129)),IF(INDEX(对接源_02物料!$G$4:$G$1203,$AE129-1200)=0,"",INDEX(对接源_02物料!$G$4:$G$1203,$AE129-1200))))</f>
        <v/>
      </c>
      <c r="E129" s="48" t="str">
        <f aca="false">IF($AE129="","",IF($AE129&lt;=1200,IF(INDEX(对接源_01水果!$H$4:$H$1203,$AE129)=0,"",INDEX(对接源_01水果!$H$4:$H$1203,$AE129)),IF(INDEX(对接源_02物料!$H$4:$H$1203,$AE129-1200)=0,"",INDEX(对接源_02物料!$H$4:$H$1203,$AE129-1200))))</f>
        <v/>
      </c>
      <c r="F129" s="46" t="str">
        <f aca="false">IF($AE129="","",IF($AE129&lt;=1200,IF(INDEX(对接源_01水果!$I$4:$I$1203,$AE129)=0,"",INDEX(对接源_01水果!$I$4:$I$1203,$AE129)),IF(INDEX(对接源_02物料!$I$4:$I$1203,$AE129-1200)=0,"",INDEX(对接源_02物料!$I$4:$I$1203,$AE129-1200))))</f>
        <v/>
      </c>
      <c r="G129" s="56" t="str">
        <f aca="false">IF($AE129="","",IF($AE129&lt;=1200,IF(INDEX(对接源_01水果!$Z$4:$Z$1203,$AE129)=0,"",INDEX(对接源_01水果!$Z$4:$Z$1203,$AE129)),IF(INDEX(对接源_02物料!$Z$4:$Z$1203,$AE129-1200)=0,"",INDEX(对接源_02物料!$Z$4:$Z$1203,$AE129-1200))))</f>
        <v/>
      </c>
      <c r="H129" s="56" t="str">
        <f aca="false">IF($AE129="","",IF($AE129&lt;=1200,IF(INDEX(对接源_01水果!$AA$4:$AA$1203,$AE129)=0,"",INDEX(对接源_01水果!$AA$4:$AA$1203,$AE129)),IF(INDEX(对接源_02物料!$AA$4:$AA$1203,$AE129-1200)=0,"",INDEX(对接源_02物料!$AA$4:$AA$1203,$AE129-1200))))</f>
        <v/>
      </c>
      <c r="I129" s="46" t="str">
        <f aca="false">IF($AE129="","",IF($AE129&lt;=1200,IF(INDEX(对接源_01水果!$AB$4:$AB$1203,$AE129)=0,"",INDEX(对接源_01水果!$AB$4:$AB$1203,$AE129)),IF(INDEX(对接源_02物料!$AB$4:$AB$1203,$AE129-1200)=0,"",INDEX(对接源_02物料!$AB$4:$AB$1203,$AE129-1200))))</f>
        <v/>
      </c>
      <c r="J129" s="47" t="str">
        <f aca="false">IF($AE129="","",IF($AE129&lt;=1200,IF(INDEX(对接源_01水果!$M$4:$M$1203,$AE129)=0,"",INDEX(对接源_01水果!$M$4:$M$1203,$AE129)),IF(INDEX(对接源_02物料!$M$4:$M$1203,$AE129-1200)=0,"",INDEX(对接源_02物料!$M$4:$M$1203,$AE129-1200))))</f>
        <v/>
      </c>
      <c r="AE129" s="44" t="n">
        <f aca="false">IFERROR(MATCH(124,_自动清单!$AK$4:$AK$2403,0),"")</f>
        <v>313</v>
      </c>
    </row>
    <row r="130" customFormat="false" ht="18" hidden="false" customHeight="true" outlineLevel="0" collapsed="false">
      <c r="A130" s="40" t="str">
        <f aca="false">IF($AE130="","",IF($AE130&lt;=1200,IF(INDEX(对接源_01水果!$B$4:$B$1203,$AE130)=0,"",INDEX(对接源_01水果!$B$4:$B$1203,$AE130)),IF(INDEX(对接源_02物料!$B$4:$B$1203,$AE130-1200)=0,"",INDEX(对接源_02物料!$B$4:$B$1203,$AE130-1200))))</f>
        <v/>
      </c>
      <c r="B130" s="41" t="str">
        <f aca="false">IF($AE130="","",IF($AE130&lt;=1200,IF(INDEX(对接源_01水果!$E$4:$E$1203,$AE130)=0,"",INDEX(对接源_01水果!$E$4:$E$1203,$AE130)),IF(INDEX(对接源_02物料!$E$4:$E$1203,$AE130-1200)=0,"",INDEX(对接源_02物料!$E$4:$E$1203,$AE130-1200))))</f>
        <v/>
      </c>
      <c r="C130" s="41" t="str">
        <f aca="false">IF($AE130="","",IF($AE130&lt;=1200,IF(INDEX(对接源_01水果!$F$4:$F$1203,$AE130)=0,"",INDEX(对接源_01水果!$F$4:$F$1203,$AE130)),IF(INDEX(对接源_02物料!$F$4:$F$1203,$AE130-1200)=0,"",INDEX(对接源_02物料!$F$4:$F$1203,$AE130-1200))))</f>
        <v/>
      </c>
      <c r="D130" s="41" t="str">
        <f aca="false">IF($AE130="","",IF($AE130&lt;=1200,IF(INDEX(对接源_01水果!$G$4:$G$1203,$AE130)=0,"",INDEX(对接源_01水果!$G$4:$G$1203,$AE130)),IF(INDEX(对接源_02物料!$G$4:$G$1203,$AE130-1200)=0,"",INDEX(对接源_02物料!$G$4:$G$1203,$AE130-1200))))</f>
        <v/>
      </c>
      <c r="E130" s="43" t="str">
        <f aca="false">IF($AE130="","",IF($AE130&lt;=1200,IF(INDEX(对接源_01水果!$H$4:$H$1203,$AE130)=0,"",INDEX(对接源_01水果!$H$4:$H$1203,$AE130)),IF(INDEX(对接源_02物料!$H$4:$H$1203,$AE130-1200)=0,"",INDEX(对接源_02物料!$H$4:$H$1203,$AE130-1200))))</f>
        <v/>
      </c>
      <c r="F130" s="41" t="str">
        <f aca="false">IF($AE130="","",IF($AE130&lt;=1200,IF(INDEX(对接源_01水果!$I$4:$I$1203,$AE130)=0,"",INDEX(对接源_01水果!$I$4:$I$1203,$AE130)),IF(INDEX(对接源_02物料!$I$4:$I$1203,$AE130-1200)=0,"",INDEX(对接源_02物料!$I$4:$I$1203,$AE130-1200))))</f>
        <v/>
      </c>
      <c r="G130" s="55" t="str">
        <f aca="false">IF($AE130="","",IF($AE130&lt;=1200,IF(INDEX(对接源_01水果!$Z$4:$Z$1203,$AE130)=0,"",INDEX(对接源_01水果!$Z$4:$Z$1203,$AE130)),IF(INDEX(对接源_02物料!$Z$4:$Z$1203,$AE130-1200)=0,"",INDEX(对接源_02物料!$Z$4:$Z$1203,$AE130-1200))))</f>
        <v/>
      </c>
      <c r="H130" s="55" t="str">
        <f aca="false">IF($AE130="","",IF($AE130&lt;=1200,IF(INDEX(对接源_01水果!$AA$4:$AA$1203,$AE130)=0,"",INDEX(对接源_01水果!$AA$4:$AA$1203,$AE130)),IF(INDEX(对接源_02物料!$AA$4:$AA$1203,$AE130-1200)=0,"",INDEX(对接源_02物料!$AA$4:$AA$1203,$AE130-1200))))</f>
        <v/>
      </c>
      <c r="I130" s="41" t="str">
        <f aca="false">IF($AE130="","",IF($AE130&lt;=1200,IF(INDEX(对接源_01水果!$AB$4:$AB$1203,$AE130)=0,"",INDEX(对接源_01水果!$AB$4:$AB$1203,$AE130)),IF(INDEX(对接源_02物料!$AB$4:$AB$1203,$AE130-1200)=0,"",INDEX(对接源_02物料!$AB$4:$AB$1203,$AE130-1200))))</f>
        <v/>
      </c>
      <c r="J130" s="42" t="str">
        <f aca="false">IF($AE130="","",IF($AE130&lt;=1200,IF(INDEX(对接源_01水果!$M$4:$M$1203,$AE130)=0,"",INDEX(对接源_01水果!$M$4:$M$1203,$AE130)),IF(INDEX(对接源_02物料!$M$4:$M$1203,$AE130-1200)=0,"",INDEX(对接源_02物料!$M$4:$M$1203,$AE130-1200))))</f>
        <v/>
      </c>
      <c r="AE130" s="44" t="str">
        <f aca="false">IFERROR(MATCH(125,_自动清单!$AK$4:$AK$2403,0),"")</f>
        <v/>
      </c>
    </row>
    <row r="131" customFormat="false" ht="18" hidden="false" customHeight="true" outlineLevel="0" collapsed="false">
      <c r="A131" s="45" t="str">
        <f aca="false">IF($AE131="","",IF($AE131&lt;=1200,IF(INDEX(对接源_01水果!$B$4:$B$1203,$AE131)=0,"",INDEX(对接源_01水果!$B$4:$B$1203,$AE131)),IF(INDEX(对接源_02物料!$B$4:$B$1203,$AE131-1200)=0,"",INDEX(对接源_02物料!$B$4:$B$1203,$AE131-1200))))</f>
        <v/>
      </c>
      <c r="B131" s="46" t="str">
        <f aca="false">IF($AE131="","",IF($AE131&lt;=1200,IF(INDEX(对接源_01水果!$E$4:$E$1203,$AE131)=0,"",INDEX(对接源_01水果!$E$4:$E$1203,$AE131)),IF(INDEX(对接源_02物料!$E$4:$E$1203,$AE131-1200)=0,"",INDEX(对接源_02物料!$E$4:$E$1203,$AE131-1200))))</f>
        <v/>
      </c>
      <c r="C131" s="46" t="str">
        <f aca="false">IF($AE131="","",IF($AE131&lt;=1200,IF(INDEX(对接源_01水果!$F$4:$F$1203,$AE131)=0,"",INDEX(对接源_01水果!$F$4:$F$1203,$AE131)),IF(INDEX(对接源_02物料!$F$4:$F$1203,$AE131-1200)=0,"",INDEX(对接源_02物料!$F$4:$F$1203,$AE131-1200))))</f>
        <v/>
      </c>
      <c r="D131" s="46" t="str">
        <f aca="false">IF($AE131="","",IF($AE131&lt;=1200,IF(INDEX(对接源_01水果!$G$4:$G$1203,$AE131)=0,"",INDEX(对接源_01水果!$G$4:$G$1203,$AE131)),IF(INDEX(对接源_02物料!$G$4:$G$1203,$AE131-1200)=0,"",INDEX(对接源_02物料!$G$4:$G$1203,$AE131-1200))))</f>
        <v/>
      </c>
      <c r="E131" s="48" t="str">
        <f aca="false">IF($AE131="","",IF($AE131&lt;=1200,IF(INDEX(对接源_01水果!$H$4:$H$1203,$AE131)=0,"",INDEX(对接源_01水果!$H$4:$H$1203,$AE131)),IF(INDEX(对接源_02物料!$H$4:$H$1203,$AE131-1200)=0,"",INDEX(对接源_02物料!$H$4:$H$1203,$AE131-1200))))</f>
        <v/>
      </c>
      <c r="F131" s="46" t="str">
        <f aca="false">IF($AE131="","",IF($AE131&lt;=1200,IF(INDEX(对接源_01水果!$I$4:$I$1203,$AE131)=0,"",INDEX(对接源_01水果!$I$4:$I$1203,$AE131)),IF(INDEX(对接源_02物料!$I$4:$I$1203,$AE131-1200)=0,"",INDEX(对接源_02物料!$I$4:$I$1203,$AE131-1200))))</f>
        <v/>
      </c>
      <c r="G131" s="56" t="str">
        <f aca="false">IF($AE131="","",IF($AE131&lt;=1200,IF(INDEX(对接源_01水果!$Z$4:$Z$1203,$AE131)=0,"",INDEX(对接源_01水果!$Z$4:$Z$1203,$AE131)),IF(INDEX(对接源_02物料!$Z$4:$Z$1203,$AE131-1200)=0,"",INDEX(对接源_02物料!$Z$4:$Z$1203,$AE131-1200))))</f>
        <v/>
      </c>
      <c r="H131" s="56" t="str">
        <f aca="false">IF($AE131="","",IF($AE131&lt;=1200,IF(INDEX(对接源_01水果!$AA$4:$AA$1203,$AE131)=0,"",INDEX(对接源_01水果!$AA$4:$AA$1203,$AE131)),IF(INDEX(对接源_02物料!$AA$4:$AA$1203,$AE131-1200)=0,"",INDEX(对接源_02物料!$AA$4:$AA$1203,$AE131-1200))))</f>
        <v/>
      </c>
      <c r="I131" s="46" t="str">
        <f aca="false">IF($AE131="","",IF($AE131&lt;=1200,IF(INDEX(对接源_01水果!$AB$4:$AB$1203,$AE131)=0,"",INDEX(对接源_01水果!$AB$4:$AB$1203,$AE131)),IF(INDEX(对接源_02物料!$AB$4:$AB$1203,$AE131-1200)=0,"",INDEX(对接源_02物料!$AB$4:$AB$1203,$AE131-1200))))</f>
        <v/>
      </c>
      <c r="J131" s="47" t="str">
        <f aca="false">IF($AE131="","",IF($AE131&lt;=1200,IF(INDEX(对接源_01水果!$M$4:$M$1203,$AE131)=0,"",INDEX(对接源_01水果!$M$4:$M$1203,$AE131)),IF(INDEX(对接源_02物料!$M$4:$M$1203,$AE131-1200)=0,"",INDEX(对接源_02物料!$M$4:$M$1203,$AE131-1200))))</f>
        <v/>
      </c>
      <c r="AE131" s="44" t="str">
        <f aca="false">IFERROR(MATCH(126,_自动清单!$AK$4:$AK$2403,0),"")</f>
        <v/>
      </c>
    </row>
    <row r="132" customFormat="false" ht="18" hidden="false" customHeight="true" outlineLevel="0" collapsed="false">
      <c r="A132" s="40" t="str">
        <f aca="false">IF($AE132="","",IF($AE132&lt;=1200,IF(INDEX(对接源_01水果!$B$4:$B$1203,$AE132)=0,"",INDEX(对接源_01水果!$B$4:$B$1203,$AE132)),IF(INDEX(对接源_02物料!$B$4:$B$1203,$AE132-1200)=0,"",INDEX(对接源_02物料!$B$4:$B$1203,$AE132-1200))))</f>
        <v/>
      </c>
      <c r="B132" s="41" t="str">
        <f aca="false">IF($AE132="","",IF($AE132&lt;=1200,IF(INDEX(对接源_01水果!$E$4:$E$1203,$AE132)=0,"",INDEX(对接源_01水果!$E$4:$E$1203,$AE132)),IF(INDEX(对接源_02物料!$E$4:$E$1203,$AE132-1200)=0,"",INDEX(对接源_02物料!$E$4:$E$1203,$AE132-1200))))</f>
        <v/>
      </c>
      <c r="C132" s="41" t="str">
        <f aca="false">IF($AE132="","",IF($AE132&lt;=1200,IF(INDEX(对接源_01水果!$F$4:$F$1203,$AE132)=0,"",INDEX(对接源_01水果!$F$4:$F$1203,$AE132)),IF(INDEX(对接源_02物料!$F$4:$F$1203,$AE132-1200)=0,"",INDEX(对接源_02物料!$F$4:$F$1203,$AE132-1200))))</f>
        <v/>
      </c>
      <c r="D132" s="41" t="str">
        <f aca="false">IF($AE132="","",IF($AE132&lt;=1200,IF(INDEX(对接源_01水果!$G$4:$G$1203,$AE132)=0,"",INDEX(对接源_01水果!$G$4:$G$1203,$AE132)),IF(INDEX(对接源_02物料!$G$4:$G$1203,$AE132-1200)=0,"",INDEX(对接源_02物料!$G$4:$G$1203,$AE132-1200))))</f>
        <v/>
      </c>
      <c r="E132" s="43" t="str">
        <f aca="false">IF($AE132="","",IF($AE132&lt;=1200,IF(INDEX(对接源_01水果!$H$4:$H$1203,$AE132)=0,"",INDEX(对接源_01水果!$H$4:$H$1203,$AE132)),IF(INDEX(对接源_02物料!$H$4:$H$1203,$AE132-1200)=0,"",INDEX(对接源_02物料!$H$4:$H$1203,$AE132-1200))))</f>
        <v/>
      </c>
      <c r="F132" s="41" t="str">
        <f aca="false">IF($AE132="","",IF($AE132&lt;=1200,IF(INDEX(对接源_01水果!$I$4:$I$1203,$AE132)=0,"",INDEX(对接源_01水果!$I$4:$I$1203,$AE132)),IF(INDEX(对接源_02物料!$I$4:$I$1203,$AE132-1200)=0,"",INDEX(对接源_02物料!$I$4:$I$1203,$AE132-1200))))</f>
        <v/>
      </c>
      <c r="G132" s="55" t="str">
        <f aca="false">IF($AE132="","",IF($AE132&lt;=1200,IF(INDEX(对接源_01水果!$Z$4:$Z$1203,$AE132)=0,"",INDEX(对接源_01水果!$Z$4:$Z$1203,$AE132)),IF(INDEX(对接源_02物料!$Z$4:$Z$1203,$AE132-1200)=0,"",INDEX(对接源_02物料!$Z$4:$Z$1203,$AE132-1200))))</f>
        <v/>
      </c>
      <c r="H132" s="55" t="str">
        <f aca="false">IF($AE132="","",IF($AE132&lt;=1200,IF(INDEX(对接源_01水果!$AA$4:$AA$1203,$AE132)=0,"",INDEX(对接源_01水果!$AA$4:$AA$1203,$AE132)),IF(INDEX(对接源_02物料!$AA$4:$AA$1203,$AE132-1200)=0,"",INDEX(对接源_02物料!$AA$4:$AA$1203,$AE132-1200))))</f>
        <v/>
      </c>
      <c r="I132" s="41" t="str">
        <f aca="false">IF($AE132="","",IF($AE132&lt;=1200,IF(INDEX(对接源_01水果!$AB$4:$AB$1203,$AE132)=0,"",INDEX(对接源_01水果!$AB$4:$AB$1203,$AE132)),IF(INDEX(对接源_02物料!$AB$4:$AB$1203,$AE132-1200)=0,"",INDEX(对接源_02物料!$AB$4:$AB$1203,$AE132-1200))))</f>
        <v/>
      </c>
      <c r="J132" s="42" t="str">
        <f aca="false">IF($AE132="","",IF($AE132&lt;=1200,IF(INDEX(对接源_01水果!$M$4:$M$1203,$AE132)=0,"",INDEX(对接源_01水果!$M$4:$M$1203,$AE132)),IF(INDEX(对接源_02物料!$M$4:$M$1203,$AE132-1200)=0,"",INDEX(对接源_02物料!$M$4:$M$1203,$AE132-1200))))</f>
        <v/>
      </c>
      <c r="AE132" s="44" t="str">
        <f aca="false">IFERROR(MATCH(127,_自动清单!$AK$4:$AK$2403,0),"")</f>
        <v/>
      </c>
    </row>
    <row r="133" customFormat="false" ht="18" hidden="false" customHeight="true" outlineLevel="0" collapsed="false">
      <c r="A133" s="45" t="str">
        <f aca="false">IF($AE133="","",IF($AE133&lt;=1200,IF(INDEX(对接源_01水果!$B$4:$B$1203,$AE133)=0,"",INDEX(对接源_01水果!$B$4:$B$1203,$AE133)),IF(INDEX(对接源_02物料!$B$4:$B$1203,$AE133-1200)=0,"",INDEX(对接源_02物料!$B$4:$B$1203,$AE133-1200))))</f>
        <v/>
      </c>
      <c r="B133" s="46" t="str">
        <f aca="false">IF($AE133="","",IF($AE133&lt;=1200,IF(INDEX(对接源_01水果!$E$4:$E$1203,$AE133)=0,"",INDEX(对接源_01水果!$E$4:$E$1203,$AE133)),IF(INDEX(对接源_02物料!$E$4:$E$1203,$AE133-1200)=0,"",INDEX(对接源_02物料!$E$4:$E$1203,$AE133-1200))))</f>
        <v/>
      </c>
      <c r="C133" s="46" t="str">
        <f aca="false">IF($AE133="","",IF($AE133&lt;=1200,IF(INDEX(对接源_01水果!$F$4:$F$1203,$AE133)=0,"",INDEX(对接源_01水果!$F$4:$F$1203,$AE133)),IF(INDEX(对接源_02物料!$F$4:$F$1203,$AE133-1200)=0,"",INDEX(对接源_02物料!$F$4:$F$1203,$AE133-1200))))</f>
        <v/>
      </c>
      <c r="D133" s="46" t="str">
        <f aca="false">IF($AE133="","",IF($AE133&lt;=1200,IF(INDEX(对接源_01水果!$G$4:$G$1203,$AE133)=0,"",INDEX(对接源_01水果!$G$4:$G$1203,$AE133)),IF(INDEX(对接源_02物料!$G$4:$G$1203,$AE133-1200)=0,"",INDEX(对接源_02物料!$G$4:$G$1203,$AE133-1200))))</f>
        <v/>
      </c>
      <c r="E133" s="48" t="str">
        <f aca="false">IF($AE133="","",IF($AE133&lt;=1200,IF(INDEX(对接源_01水果!$H$4:$H$1203,$AE133)=0,"",INDEX(对接源_01水果!$H$4:$H$1203,$AE133)),IF(INDEX(对接源_02物料!$H$4:$H$1203,$AE133-1200)=0,"",INDEX(对接源_02物料!$H$4:$H$1203,$AE133-1200))))</f>
        <v/>
      </c>
      <c r="F133" s="46" t="str">
        <f aca="false">IF($AE133="","",IF($AE133&lt;=1200,IF(INDEX(对接源_01水果!$I$4:$I$1203,$AE133)=0,"",INDEX(对接源_01水果!$I$4:$I$1203,$AE133)),IF(INDEX(对接源_02物料!$I$4:$I$1203,$AE133-1200)=0,"",INDEX(对接源_02物料!$I$4:$I$1203,$AE133-1200))))</f>
        <v/>
      </c>
      <c r="G133" s="56" t="str">
        <f aca="false">IF($AE133="","",IF($AE133&lt;=1200,IF(INDEX(对接源_01水果!$Z$4:$Z$1203,$AE133)=0,"",INDEX(对接源_01水果!$Z$4:$Z$1203,$AE133)),IF(INDEX(对接源_02物料!$Z$4:$Z$1203,$AE133-1200)=0,"",INDEX(对接源_02物料!$Z$4:$Z$1203,$AE133-1200))))</f>
        <v/>
      </c>
      <c r="H133" s="56" t="str">
        <f aca="false">IF($AE133="","",IF($AE133&lt;=1200,IF(INDEX(对接源_01水果!$AA$4:$AA$1203,$AE133)=0,"",INDEX(对接源_01水果!$AA$4:$AA$1203,$AE133)),IF(INDEX(对接源_02物料!$AA$4:$AA$1203,$AE133-1200)=0,"",INDEX(对接源_02物料!$AA$4:$AA$1203,$AE133-1200))))</f>
        <v/>
      </c>
      <c r="I133" s="46" t="str">
        <f aca="false">IF($AE133="","",IF($AE133&lt;=1200,IF(INDEX(对接源_01水果!$AB$4:$AB$1203,$AE133)=0,"",INDEX(对接源_01水果!$AB$4:$AB$1203,$AE133)),IF(INDEX(对接源_02物料!$AB$4:$AB$1203,$AE133-1200)=0,"",INDEX(对接源_02物料!$AB$4:$AB$1203,$AE133-1200))))</f>
        <v/>
      </c>
      <c r="J133" s="47" t="str">
        <f aca="false">IF($AE133="","",IF($AE133&lt;=1200,IF(INDEX(对接源_01水果!$M$4:$M$1203,$AE133)=0,"",INDEX(对接源_01水果!$M$4:$M$1203,$AE133)),IF(INDEX(对接源_02物料!$M$4:$M$1203,$AE133-1200)=0,"",INDEX(对接源_02物料!$M$4:$M$1203,$AE133-1200))))</f>
        <v/>
      </c>
      <c r="AE133" s="44" t="n">
        <f aca="false">IFERROR(MATCH(128,_自动清单!$AK$4:$AK$2403,0),"")</f>
        <v>314</v>
      </c>
    </row>
    <row r="134" customFormat="false" ht="18" hidden="false" customHeight="true" outlineLevel="0" collapsed="false">
      <c r="A134" s="40" t="str">
        <f aca="false">IF($AE134="","",IF($AE134&lt;=1200,IF(INDEX(对接源_01水果!$B$4:$B$1203,$AE134)=0,"",INDEX(对接源_01水果!$B$4:$B$1203,$AE134)),IF(INDEX(对接源_02物料!$B$4:$B$1203,$AE134-1200)=0,"",INDEX(对接源_02物料!$B$4:$B$1203,$AE134-1200))))</f>
        <v/>
      </c>
      <c r="B134" s="41" t="str">
        <f aca="false">IF($AE134="","",IF($AE134&lt;=1200,IF(INDEX(对接源_01水果!$E$4:$E$1203,$AE134)=0,"",INDEX(对接源_01水果!$E$4:$E$1203,$AE134)),IF(INDEX(对接源_02物料!$E$4:$E$1203,$AE134-1200)=0,"",INDEX(对接源_02物料!$E$4:$E$1203,$AE134-1200))))</f>
        <v/>
      </c>
      <c r="C134" s="41" t="str">
        <f aca="false">IF($AE134="","",IF($AE134&lt;=1200,IF(INDEX(对接源_01水果!$F$4:$F$1203,$AE134)=0,"",INDEX(对接源_01水果!$F$4:$F$1203,$AE134)),IF(INDEX(对接源_02物料!$F$4:$F$1203,$AE134-1200)=0,"",INDEX(对接源_02物料!$F$4:$F$1203,$AE134-1200))))</f>
        <v/>
      </c>
      <c r="D134" s="41" t="str">
        <f aca="false">IF($AE134="","",IF($AE134&lt;=1200,IF(INDEX(对接源_01水果!$G$4:$G$1203,$AE134)=0,"",INDEX(对接源_01水果!$G$4:$G$1203,$AE134)),IF(INDEX(对接源_02物料!$G$4:$G$1203,$AE134-1200)=0,"",INDEX(对接源_02物料!$G$4:$G$1203,$AE134-1200))))</f>
        <v/>
      </c>
      <c r="E134" s="43" t="str">
        <f aca="false">IF($AE134="","",IF($AE134&lt;=1200,IF(INDEX(对接源_01水果!$H$4:$H$1203,$AE134)=0,"",INDEX(对接源_01水果!$H$4:$H$1203,$AE134)),IF(INDEX(对接源_02物料!$H$4:$H$1203,$AE134-1200)=0,"",INDEX(对接源_02物料!$H$4:$H$1203,$AE134-1200))))</f>
        <v/>
      </c>
      <c r="F134" s="41" t="str">
        <f aca="false">IF($AE134="","",IF($AE134&lt;=1200,IF(INDEX(对接源_01水果!$I$4:$I$1203,$AE134)=0,"",INDEX(对接源_01水果!$I$4:$I$1203,$AE134)),IF(INDEX(对接源_02物料!$I$4:$I$1203,$AE134-1200)=0,"",INDEX(对接源_02物料!$I$4:$I$1203,$AE134-1200))))</f>
        <v/>
      </c>
      <c r="G134" s="55" t="str">
        <f aca="false">IF($AE134="","",IF($AE134&lt;=1200,IF(INDEX(对接源_01水果!$Z$4:$Z$1203,$AE134)=0,"",INDEX(对接源_01水果!$Z$4:$Z$1203,$AE134)),IF(INDEX(对接源_02物料!$Z$4:$Z$1203,$AE134-1200)=0,"",INDEX(对接源_02物料!$Z$4:$Z$1203,$AE134-1200))))</f>
        <v/>
      </c>
      <c r="H134" s="55" t="str">
        <f aca="false">IF($AE134="","",IF($AE134&lt;=1200,IF(INDEX(对接源_01水果!$AA$4:$AA$1203,$AE134)=0,"",INDEX(对接源_01水果!$AA$4:$AA$1203,$AE134)),IF(INDEX(对接源_02物料!$AA$4:$AA$1203,$AE134-1200)=0,"",INDEX(对接源_02物料!$AA$4:$AA$1203,$AE134-1200))))</f>
        <v/>
      </c>
      <c r="I134" s="41" t="str">
        <f aca="false">IF($AE134="","",IF($AE134&lt;=1200,IF(INDEX(对接源_01水果!$AB$4:$AB$1203,$AE134)=0,"",INDEX(对接源_01水果!$AB$4:$AB$1203,$AE134)),IF(INDEX(对接源_02物料!$AB$4:$AB$1203,$AE134-1200)=0,"",INDEX(对接源_02物料!$AB$4:$AB$1203,$AE134-1200))))</f>
        <v/>
      </c>
      <c r="J134" s="42" t="str">
        <f aca="false">IF($AE134="","",IF($AE134&lt;=1200,IF(INDEX(对接源_01水果!$M$4:$M$1203,$AE134)=0,"",INDEX(对接源_01水果!$M$4:$M$1203,$AE134)),IF(INDEX(对接源_02物料!$M$4:$M$1203,$AE134-1200)=0,"",INDEX(对接源_02物料!$M$4:$M$1203,$AE134-1200))))</f>
        <v/>
      </c>
      <c r="AE134" s="44" t="str">
        <f aca="false">IFERROR(MATCH(129,_自动清单!$AK$4:$AK$2403,0),"")</f>
        <v/>
      </c>
    </row>
    <row r="135" customFormat="false" ht="18" hidden="false" customHeight="true" outlineLevel="0" collapsed="false">
      <c r="A135" s="45" t="str">
        <f aca="false">IF($AE135="","",IF($AE135&lt;=1200,IF(INDEX(对接源_01水果!$B$4:$B$1203,$AE135)=0,"",INDEX(对接源_01水果!$B$4:$B$1203,$AE135)),IF(INDEX(对接源_02物料!$B$4:$B$1203,$AE135-1200)=0,"",INDEX(对接源_02物料!$B$4:$B$1203,$AE135-1200))))</f>
        <v/>
      </c>
      <c r="B135" s="46" t="str">
        <f aca="false">IF($AE135="","",IF($AE135&lt;=1200,IF(INDEX(对接源_01水果!$E$4:$E$1203,$AE135)=0,"",INDEX(对接源_01水果!$E$4:$E$1203,$AE135)),IF(INDEX(对接源_02物料!$E$4:$E$1203,$AE135-1200)=0,"",INDEX(对接源_02物料!$E$4:$E$1203,$AE135-1200))))</f>
        <v/>
      </c>
      <c r="C135" s="46" t="str">
        <f aca="false">IF($AE135="","",IF($AE135&lt;=1200,IF(INDEX(对接源_01水果!$F$4:$F$1203,$AE135)=0,"",INDEX(对接源_01水果!$F$4:$F$1203,$AE135)),IF(INDEX(对接源_02物料!$F$4:$F$1203,$AE135-1200)=0,"",INDEX(对接源_02物料!$F$4:$F$1203,$AE135-1200))))</f>
        <v/>
      </c>
      <c r="D135" s="46" t="str">
        <f aca="false">IF($AE135="","",IF($AE135&lt;=1200,IF(INDEX(对接源_01水果!$G$4:$G$1203,$AE135)=0,"",INDEX(对接源_01水果!$G$4:$G$1203,$AE135)),IF(INDEX(对接源_02物料!$G$4:$G$1203,$AE135-1200)=0,"",INDEX(对接源_02物料!$G$4:$G$1203,$AE135-1200))))</f>
        <v/>
      </c>
      <c r="E135" s="48" t="str">
        <f aca="false">IF($AE135="","",IF($AE135&lt;=1200,IF(INDEX(对接源_01水果!$H$4:$H$1203,$AE135)=0,"",INDEX(对接源_01水果!$H$4:$H$1203,$AE135)),IF(INDEX(对接源_02物料!$H$4:$H$1203,$AE135-1200)=0,"",INDEX(对接源_02物料!$H$4:$H$1203,$AE135-1200))))</f>
        <v/>
      </c>
      <c r="F135" s="46" t="str">
        <f aca="false">IF($AE135="","",IF($AE135&lt;=1200,IF(INDEX(对接源_01水果!$I$4:$I$1203,$AE135)=0,"",INDEX(对接源_01水果!$I$4:$I$1203,$AE135)),IF(INDEX(对接源_02物料!$I$4:$I$1203,$AE135-1200)=0,"",INDEX(对接源_02物料!$I$4:$I$1203,$AE135-1200))))</f>
        <v/>
      </c>
      <c r="G135" s="56" t="str">
        <f aca="false">IF($AE135="","",IF($AE135&lt;=1200,IF(INDEX(对接源_01水果!$Z$4:$Z$1203,$AE135)=0,"",INDEX(对接源_01水果!$Z$4:$Z$1203,$AE135)),IF(INDEX(对接源_02物料!$Z$4:$Z$1203,$AE135-1200)=0,"",INDEX(对接源_02物料!$Z$4:$Z$1203,$AE135-1200))))</f>
        <v/>
      </c>
      <c r="H135" s="56" t="str">
        <f aca="false">IF($AE135="","",IF($AE135&lt;=1200,IF(INDEX(对接源_01水果!$AA$4:$AA$1203,$AE135)=0,"",INDEX(对接源_01水果!$AA$4:$AA$1203,$AE135)),IF(INDEX(对接源_02物料!$AA$4:$AA$1203,$AE135-1200)=0,"",INDEX(对接源_02物料!$AA$4:$AA$1203,$AE135-1200))))</f>
        <v/>
      </c>
      <c r="I135" s="46" t="str">
        <f aca="false">IF($AE135="","",IF($AE135&lt;=1200,IF(INDEX(对接源_01水果!$AB$4:$AB$1203,$AE135)=0,"",INDEX(对接源_01水果!$AB$4:$AB$1203,$AE135)),IF(INDEX(对接源_02物料!$AB$4:$AB$1203,$AE135-1200)=0,"",INDEX(对接源_02物料!$AB$4:$AB$1203,$AE135-1200))))</f>
        <v/>
      </c>
      <c r="J135" s="47" t="str">
        <f aca="false">IF($AE135="","",IF($AE135&lt;=1200,IF(INDEX(对接源_01水果!$M$4:$M$1203,$AE135)=0,"",INDEX(对接源_01水果!$M$4:$M$1203,$AE135)),IF(INDEX(对接源_02物料!$M$4:$M$1203,$AE135-1200)=0,"",INDEX(对接源_02物料!$M$4:$M$1203,$AE135-1200))))</f>
        <v/>
      </c>
      <c r="AE135" s="44" t="str">
        <f aca="false">IFERROR(MATCH(130,_自动清单!$AK$4:$AK$2403,0),"")</f>
        <v/>
      </c>
    </row>
    <row r="136" customFormat="false" ht="18" hidden="false" customHeight="true" outlineLevel="0" collapsed="false">
      <c r="A136" s="40" t="str">
        <f aca="false">IF($AE136="","",IF($AE136&lt;=1200,IF(INDEX(对接源_01水果!$B$4:$B$1203,$AE136)=0,"",INDEX(对接源_01水果!$B$4:$B$1203,$AE136)),IF(INDEX(对接源_02物料!$B$4:$B$1203,$AE136-1200)=0,"",INDEX(对接源_02物料!$B$4:$B$1203,$AE136-1200))))</f>
        <v/>
      </c>
      <c r="B136" s="41" t="str">
        <f aca="false">IF($AE136="","",IF($AE136&lt;=1200,IF(INDEX(对接源_01水果!$E$4:$E$1203,$AE136)=0,"",INDEX(对接源_01水果!$E$4:$E$1203,$AE136)),IF(INDEX(对接源_02物料!$E$4:$E$1203,$AE136-1200)=0,"",INDEX(对接源_02物料!$E$4:$E$1203,$AE136-1200))))</f>
        <v/>
      </c>
      <c r="C136" s="41" t="str">
        <f aca="false">IF($AE136="","",IF($AE136&lt;=1200,IF(INDEX(对接源_01水果!$F$4:$F$1203,$AE136)=0,"",INDEX(对接源_01水果!$F$4:$F$1203,$AE136)),IF(INDEX(对接源_02物料!$F$4:$F$1203,$AE136-1200)=0,"",INDEX(对接源_02物料!$F$4:$F$1203,$AE136-1200))))</f>
        <v/>
      </c>
      <c r="D136" s="41" t="str">
        <f aca="false">IF($AE136="","",IF($AE136&lt;=1200,IF(INDEX(对接源_01水果!$G$4:$G$1203,$AE136)=0,"",INDEX(对接源_01水果!$G$4:$G$1203,$AE136)),IF(INDEX(对接源_02物料!$G$4:$G$1203,$AE136-1200)=0,"",INDEX(对接源_02物料!$G$4:$G$1203,$AE136-1200))))</f>
        <v/>
      </c>
      <c r="E136" s="43" t="str">
        <f aca="false">IF($AE136="","",IF($AE136&lt;=1200,IF(INDEX(对接源_01水果!$H$4:$H$1203,$AE136)=0,"",INDEX(对接源_01水果!$H$4:$H$1203,$AE136)),IF(INDEX(对接源_02物料!$H$4:$H$1203,$AE136-1200)=0,"",INDEX(对接源_02物料!$H$4:$H$1203,$AE136-1200))))</f>
        <v/>
      </c>
      <c r="F136" s="41" t="str">
        <f aca="false">IF($AE136="","",IF($AE136&lt;=1200,IF(INDEX(对接源_01水果!$I$4:$I$1203,$AE136)=0,"",INDEX(对接源_01水果!$I$4:$I$1203,$AE136)),IF(INDEX(对接源_02物料!$I$4:$I$1203,$AE136-1200)=0,"",INDEX(对接源_02物料!$I$4:$I$1203,$AE136-1200))))</f>
        <v/>
      </c>
      <c r="G136" s="55" t="str">
        <f aca="false">IF($AE136="","",IF($AE136&lt;=1200,IF(INDEX(对接源_01水果!$Z$4:$Z$1203,$AE136)=0,"",INDEX(对接源_01水果!$Z$4:$Z$1203,$AE136)),IF(INDEX(对接源_02物料!$Z$4:$Z$1203,$AE136-1200)=0,"",INDEX(对接源_02物料!$Z$4:$Z$1203,$AE136-1200))))</f>
        <v/>
      </c>
      <c r="H136" s="55" t="str">
        <f aca="false">IF($AE136="","",IF($AE136&lt;=1200,IF(INDEX(对接源_01水果!$AA$4:$AA$1203,$AE136)=0,"",INDEX(对接源_01水果!$AA$4:$AA$1203,$AE136)),IF(INDEX(对接源_02物料!$AA$4:$AA$1203,$AE136-1200)=0,"",INDEX(对接源_02物料!$AA$4:$AA$1203,$AE136-1200))))</f>
        <v/>
      </c>
      <c r="I136" s="41" t="str">
        <f aca="false">IF($AE136="","",IF($AE136&lt;=1200,IF(INDEX(对接源_01水果!$AB$4:$AB$1203,$AE136)=0,"",INDEX(对接源_01水果!$AB$4:$AB$1203,$AE136)),IF(INDEX(对接源_02物料!$AB$4:$AB$1203,$AE136-1200)=0,"",INDEX(对接源_02物料!$AB$4:$AB$1203,$AE136-1200))))</f>
        <v/>
      </c>
      <c r="J136" s="42" t="str">
        <f aca="false">IF($AE136="","",IF($AE136&lt;=1200,IF(INDEX(对接源_01水果!$M$4:$M$1203,$AE136)=0,"",INDEX(对接源_01水果!$M$4:$M$1203,$AE136)),IF(INDEX(对接源_02物料!$M$4:$M$1203,$AE136-1200)=0,"",INDEX(对接源_02物料!$M$4:$M$1203,$AE136-1200))))</f>
        <v/>
      </c>
      <c r="AE136" s="44" t="str">
        <f aca="false">IFERROR(MATCH(131,_自动清单!$AK$4:$AK$2403,0),"")</f>
        <v/>
      </c>
    </row>
    <row r="137" customFormat="false" ht="18" hidden="false" customHeight="true" outlineLevel="0" collapsed="false">
      <c r="A137" s="45" t="str">
        <f aca="false">IF($AE137="","",IF($AE137&lt;=1200,IF(INDEX(对接源_01水果!$B$4:$B$1203,$AE137)=0,"",INDEX(对接源_01水果!$B$4:$B$1203,$AE137)),IF(INDEX(对接源_02物料!$B$4:$B$1203,$AE137-1200)=0,"",INDEX(对接源_02物料!$B$4:$B$1203,$AE137-1200))))</f>
        <v/>
      </c>
      <c r="B137" s="46" t="str">
        <f aca="false">IF($AE137="","",IF($AE137&lt;=1200,IF(INDEX(对接源_01水果!$E$4:$E$1203,$AE137)=0,"",INDEX(对接源_01水果!$E$4:$E$1203,$AE137)),IF(INDEX(对接源_02物料!$E$4:$E$1203,$AE137-1200)=0,"",INDEX(对接源_02物料!$E$4:$E$1203,$AE137-1200))))</f>
        <v/>
      </c>
      <c r="C137" s="46" t="str">
        <f aca="false">IF($AE137="","",IF($AE137&lt;=1200,IF(INDEX(对接源_01水果!$F$4:$F$1203,$AE137)=0,"",INDEX(对接源_01水果!$F$4:$F$1203,$AE137)),IF(INDEX(对接源_02物料!$F$4:$F$1203,$AE137-1200)=0,"",INDEX(对接源_02物料!$F$4:$F$1203,$AE137-1200))))</f>
        <v/>
      </c>
      <c r="D137" s="46" t="str">
        <f aca="false">IF($AE137="","",IF($AE137&lt;=1200,IF(INDEX(对接源_01水果!$G$4:$G$1203,$AE137)=0,"",INDEX(对接源_01水果!$G$4:$G$1203,$AE137)),IF(INDEX(对接源_02物料!$G$4:$G$1203,$AE137-1200)=0,"",INDEX(对接源_02物料!$G$4:$G$1203,$AE137-1200))))</f>
        <v/>
      </c>
      <c r="E137" s="48" t="str">
        <f aca="false">IF($AE137="","",IF($AE137&lt;=1200,IF(INDEX(对接源_01水果!$H$4:$H$1203,$AE137)=0,"",INDEX(对接源_01水果!$H$4:$H$1203,$AE137)),IF(INDEX(对接源_02物料!$H$4:$H$1203,$AE137-1200)=0,"",INDEX(对接源_02物料!$H$4:$H$1203,$AE137-1200))))</f>
        <v/>
      </c>
      <c r="F137" s="46" t="str">
        <f aca="false">IF($AE137="","",IF($AE137&lt;=1200,IF(INDEX(对接源_01水果!$I$4:$I$1203,$AE137)=0,"",INDEX(对接源_01水果!$I$4:$I$1203,$AE137)),IF(INDEX(对接源_02物料!$I$4:$I$1203,$AE137-1200)=0,"",INDEX(对接源_02物料!$I$4:$I$1203,$AE137-1200))))</f>
        <v/>
      </c>
      <c r="G137" s="56" t="str">
        <f aca="false">IF($AE137="","",IF($AE137&lt;=1200,IF(INDEX(对接源_01水果!$Z$4:$Z$1203,$AE137)=0,"",INDEX(对接源_01水果!$Z$4:$Z$1203,$AE137)),IF(INDEX(对接源_02物料!$Z$4:$Z$1203,$AE137-1200)=0,"",INDEX(对接源_02物料!$Z$4:$Z$1203,$AE137-1200))))</f>
        <v/>
      </c>
      <c r="H137" s="56" t="str">
        <f aca="false">IF($AE137="","",IF($AE137&lt;=1200,IF(INDEX(对接源_01水果!$AA$4:$AA$1203,$AE137)=0,"",INDEX(对接源_01水果!$AA$4:$AA$1203,$AE137)),IF(INDEX(对接源_02物料!$AA$4:$AA$1203,$AE137-1200)=0,"",INDEX(对接源_02物料!$AA$4:$AA$1203,$AE137-1200))))</f>
        <v/>
      </c>
      <c r="I137" s="46" t="str">
        <f aca="false">IF($AE137="","",IF($AE137&lt;=1200,IF(INDEX(对接源_01水果!$AB$4:$AB$1203,$AE137)=0,"",INDEX(对接源_01水果!$AB$4:$AB$1203,$AE137)),IF(INDEX(对接源_02物料!$AB$4:$AB$1203,$AE137-1200)=0,"",INDEX(对接源_02物料!$AB$4:$AB$1203,$AE137-1200))))</f>
        <v/>
      </c>
      <c r="J137" s="47" t="str">
        <f aca="false">IF($AE137="","",IF($AE137&lt;=1200,IF(INDEX(对接源_01水果!$M$4:$M$1203,$AE137)=0,"",INDEX(对接源_01水果!$M$4:$M$1203,$AE137)),IF(INDEX(对接源_02物料!$M$4:$M$1203,$AE137-1200)=0,"",INDEX(对接源_02物料!$M$4:$M$1203,$AE137-1200))))</f>
        <v/>
      </c>
      <c r="AE137" s="44" t="n">
        <f aca="false">IFERROR(MATCH(132,_自动清单!$AK$4:$AK$2403,0),"")</f>
        <v>315</v>
      </c>
    </row>
    <row r="138" customFormat="false" ht="18" hidden="false" customHeight="true" outlineLevel="0" collapsed="false">
      <c r="A138" s="40" t="str">
        <f aca="false">IF($AE138="","",IF($AE138&lt;=1200,IF(INDEX(对接源_01水果!$B$4:$B$1203,$AE138)=0,"",INDEX(对接源_01水果!$B$4:$B$1203,$AE138)),IF(INDEX(对接源_02物料!$B$4:$B$1203,$AE138-1200)=0,"",INDEX(对接源_02物料!$B$4:$B$1203,$AE138-1200))))</f>
        <v/>
      </c>
      <c r="B138" s="41" t="str">
        <f aca="false">IF($AE138="","",IF($AE138&lt;=1200,IF(INDEX(对接源_01水果!$E$4:$E$1203,$AE138)=0,"",INDEX(对接源_01水果!$E$4:$E$1203,$AE138)),IF(INDEX(对接源_02物料!$E$4:$E$1203,$AE138-1200)=0,"",INDEX(对接源_02物料!$E$4:$E$1203,$AE138-1200))))</f>
        <v/>
      </c>
      <c r="C138" s="41" t="str">
        <f aca="false">IF($AE138="","",IF($AE138&lt;=1200,IF(INDEX(对接源_01水果!$F$4:$F$1203,$AE138)=0,"",INDEX(对接源_01水果!$F$4:$F$1203,$AE138)),IF(INDEX(对接源_02物料!$F$4:$F$1203,$AE138-1200)=0,"",INDEX(对接源_02物料!$F$4:$F$1203,$AE138-1200))))</f>
        <v/>
      </c>
      <c r="D138" s="41" t="str">
        <f aca="false">IF($AE138="","",IF($AE138&lt;=1200,IF(INDEX(对接源_01水果!$G$4:$G$1203,$AE138)=0,"",INDEX(对接源_01水果!$G$4:$G$1203,$AE138)),IF(INDEX(对接源_02物料!$G$4:$G$1203,$AE138-1200)=0,"",INDEX(对接源_02物料!$G$4:$G$1203,$AE138-1200))))</f>
        <v/>
      </c>
      <c r="E138" s="43" t="str">
        <f aca="false">IF($AE138="","",IF($AE138&lt;=1200,IF(INDEX(对接源_01水果!$H$4:$H$1203,$AE138)=0,"",INDEX(对接源_01水果!$H$4:$H$1203,$AE138)),IF(INDEX(对接源_02物料!$H$4:$H$1203,$AE138-1200)=0,"",INDEX(对接源_02物料!$H$4:$H$1203,$AE138-1200))))</f>
        <v/>
      </c>
      <c r="F138" s="41" t="str">
        <f aca="false">IF($AE138="","",IF($AE138&lt;=1200,IF(INDEX(对接源_01水果!$I$4:$I$1203,$AE138)=0,"",INDEX(对接源_01水果!$I$4:$I$1203,$AE138)),IF(INDEX(对接源_02物料!$I$4:$I$1203,$AE138-1200)=0,"",INDEX(对接源_02物料!$I$4:$I$1203,$AE138-1200))))</f>
        <v/>
      </c>
      <c r="G138" s="55" t="str">
        <f aca="false">IF($AE138="","",IF($AE138&lt;=1200,IF(INDEX(对接源_01水果!$Z$4:$Z$1203,$AE138)=0,"",INDEX(对接源_01水果!$Z$4:$Z$1203,$AE138)),IF(INDEX(对接源_02物料!$Z$4:$Z$1203,$AE138-1200)=0,"",INDEX(对接源_02物料!$Z$4:$Z$1203,$AE138-1200))))</f>
        <v/>
      </c>
      <c r="H138" s="55" t="str">
        <f aca="false">IF($AE138="","",IF($AE138&lt;=1200,IF(INDEX(对接源_01水果!$AA$4:$AA$1203,$AE138)=0,"",INDEX(对接源_01水果!$AA$4:$AA$1203,$AE138)),IF(INDEX(对接源_02物料!$AA$4:$AA$1203,$AE138-1200)=0,"",INDEX(对接源_02物料!$AA$4:$AA$1203,$AE138-1200))))</f>
        <v/>
      </c>
      <c r="I138" s="41" t="str">
        <f aca="false">IF($AE138="","",IF($AE138&lt;=1200,IF(INDEX(对接源_01水果!$AB$4:$AB$1203,$AE138)=0,"",INDEX(对接源_01水果!$AB$4:$AB$1203,$AE138)),IF(INDEX(对接源_02物料!$AB$4:$AB$1203,$AE138-1200)=0,"",INDEX(对接源_02物料!$AB$4:$AB$1203,$AE138-1200))))</f>
        <v/>
      </c>
      <c r="J138" s="42" t="str">
        <f aca="false">IF($AE138="","",IF($AE138&lt;=1200,IF(INDEX(对接源_01水果!$M$4:$M$1203,$AE138)=0,"",INDEX(对接源_01水果!$M$4:$M$1203,$AE138)),IF(INDEX(对接源_02物料!$M$4:$M$1203,$AE138-1200)=0,"",INDEX(对接源_02物料!$M$4:$M$1203,$AE138-1200))))</f>
        <v/>
      </c>
      <c r="AE138" s="44" t="str">
        <f aca="false">IFERROR(MATCH(133,_自动清单!$AK$4:$AK$2403,0),"")</f>
        <v/>
      </c>
    </row>
    <row r="139" customFormat="false" ht="18" hidden="false" customHeight="true" outlineLevel="0" collapsed="false">
      <c r="A139" s="45" t="str">
        <f aca="false">IF($AE139="","",IF($AE139&lt;=1200,IF(INDEX(对接源_01水果!$B$4:$B$1203,$AE139)=0,"",INDEX(对接源_01水果!$B$4:$B$1203,$AE139)),IF(INDEX(对接源_02物料!$B$4:$B$1203,$AE139-1200)=0,"",INDEX(对接源_02物料!$B$4:$B$1203,$AE139-1200))))</f>
        <v/>
      </c>
      <c r="B139" s="46" t="str">
        <f aca="false">IF($AE139="","",IF($AE139&lt;=1200,IF(INDEX(对接源_01水果!$E$4:$E$1203,$AE139)=0,"",INDEX(对接源_01水果!$E$4:$E$1203,$AE139)),IF(INDEX(对接源_02物料!$E$4:$E$1203,$AE139-1200)=0,"",INDEX(对接源_02物料!$E$4:$E$1203,$AE139-1200))))</f>
        <v/>
      </c>
      <c r="C139" s="46" t="str">
        <f aca="false">IF($AE139="","",IF($AE139&lt;=1200,IF(INDEX(对接源_01水果!$F$4:$F$1203,$AE139)=0,"",INDEX(对接源_01水果!$F$4:$F$1203,$AE139)),IF(INDEX(对接源_02物料!$F$4:$F$1203,$AE139-1200)=0,"",INDEX(对接源_02物料!$F$4:$F$1203,$AE139-1200))))</f>
        <v/>
      </c>
      <c r="D139" s="46" t="str">
        <f aca="false">IF($AE139="","",IF($AE139&lt;=1200,IF(INDEX(对接源_01水果!$G$4:$G$1203,$AE139)=0,"",INDEX(对接源_01水果!$G$4:$G$1203,$AE139)),IF(INDEX(对接源_02物料!$G$4:$G$1203,$AE139-1200)=0,"",INDEX(对接源_02物料!$G$4:$G$1203,$AE139-1200))))</f>
        <v/>
      </c>
      <c r="E139" s="48" t="str">
        <f aca="false">IF($AE139="","",IF($AE139&lt;=1200,IF(INDEX(对接源_01水果!$H$4:$H$1203,$AE139)=0,"",INDEX(对接源_01水果!$H$4:$H$1203,$AE139)),IF(INDEX(对接源_02物料!$H$4:$H$1203,$AE139-1200)=0,"",INDEX(对接源_02物料!$H$4:$H$1203,$AE139-1200))))</f>
        <v/>
      </c>
      <c r="F139" s="46" t="str">
        <f aca="false">IF($AE139="","",IF($AE139&lt;=1200,IF(INDEX(对接源_01水果!$I$4:$I$1203,$AE139)=0,"",INDEX(对接源_01水果!$I$4:$I$1203,$AE139)),IF(INDEX(对接源_02物料!$I$4:$I$1203,$AE139-1200)=0,"",INDEX(对接源_02物料!$I$4:$I$1203,$AE139-1200))))</f>
        <v/>
      </c>
      <c r="G139" s="56" t="str">
        <f aca="false">IF($AE139="","",IF($AE139&lt;=1200,IF(INDEX(对接源_01水果!$Z$4:$Z$1203,$AE139)=0,"",INDEX(对接源_01水果!$Z$4:$Z$1203,$AE139)),IF(INDEX(对接源_02物料!$Z$4:$Z$1203,$AE139-1200)=0,"",INDEX(对接源_02物料!$Z$4:$Z$1203,$AE139-1200))))</f>
        <v/>
      </c>
      <c r="H139" s="56" t="str">
        <f aca="false">IF($AE139="","",IF($AE139&lt;=1200,IF(INDEX(对接源_01水果!$AA$4:$AA$1203,$AE139)=0,"",INDEX(对接源_01水果!$AA$4:$AA$1203,$AE139)),IF(INDEX(对接源_02物料!$AA$4:$AA$1203,$AE139-1200)=0,"",INDEX(对接源_02物料!$AA$4:$AA$1203,$AE139-1200))))</f>
        <v/>
      </c>
      <c r="I139" s="46" t="str">
        <f aca="false">IF($AE139="","",IF($AE139&lt;=1200,IF(INDEX(对接源_01水果!$AB$4:$AB$1203,$AE139)=0,"",INDEX(对接源_01水果!$AB$4:$AB$1203,$AE139)),IF(INDEX(对接源_02物料!$AB$4:$AB$1203,$AE139-1200)=0,"",INDEX(对接源_02物料!$AB$4:$AB$1203,$AE139-1200))))</f>
        <v/>
      </c>
      <c r="J139" s="47" t="str">
        <f aca="false">IF($AE139="","",IF($AE139&lt;=1200,IF(INDEX(对接源_01水果!$M$4:$M$1203,$AE139)=0,"",INDEX(对接源_01水果!$M$4:$M$1203,$AE139)),IF(INDEX(对接源_02物料!$M$4:$M$1203,$AE139-1200)=0,"",INDEX(对接源_02物料!$M$4:$M$1203,$AE139-1200))))</f>
        <v/>
      </c>
      <c r="AE139" s="44" t="str">
        <f aca="false">IFERROR(MATCH(134,_自动清单!$AK$4:$AK$2403,0),"")</f>
        <v/>
      </c>
    </row>
    <row r="140" customFormat="false" ht="18" hidden="false" customHeight="true" outlineLevel="0" collapsed="false">
      <c r="A140" s="40" t="str">
        <f aca="false">IF($AE140="","",IF($AE140&lt;=1200,IF(INDEX(对接源_01水果!$B$4:$B$1203,$AE140)=0,"",INDEX(对接源_01水果!$B$4:$B$1203,$AE140)),IF(INDEX(对接源_02物料!$B$4:$B$1203,$AE140-1200)=0,"",INDEX(对接源_02物料!$B$4:$B$1203,$AE140-1200))))</f>
        <v/>
      </c>
      <c r="B140" s="41" t="str">
        <f aca="false">IF($AE140="","",IF($AE140&lt;=1200,IF(INDEX(对接源_01水果!$E$4:$E$1203,$AE140)=0,"",INDEX(对接源_01水果!$E$4:$E$1203,$AE140)),IF(INDEX(对接源_02物料!$E$4:$E$1203,$AE140-1200)=0,"",INDEX(对接源_02物料!$E$4:$E$1203,$AE140-1200))))</f>
        <v/>
      </c>
      <c r="C140" s="41" t="str">
        <f aca="false">IF($AE140="","",IF($AE140&lt;=1200,IF(INDEX(对接源_01水果!$F$4:$F$1203,$AE140)=0,"",INDEX(对接源_01水果!$F$4:$F$1203,$AE140)),IF(INDEX(对接源_02物料!$F$4:$F$1203,$AE140-1200)=0,"",INDEX(对接源_02物料!$F$4:$F$1203,$AE140-1200))))</f>
        <v/>
      </c>
      <c r="D140" s="41" t="str">
        <f aca="false">IF($AE140="","",IF($AE140&lt;=1200,IF(INDEX(对接源_01水果!$G$4:$G$1203,$AE140)=0,"",INDEX(对接源_01水果!$G$4:$G$1203,$AE140)),IF(INDEX(对接源_02物料!$G$4:$G$1203,$AE140-1200)=0,"",INDEX(对接源_02物料!$G$4:$G$1203,$AE140-1200))))</f>
        <v/>
      </c>
      <c r="E140" s="43" t="str">
        <f aca="false">IF($AE140="","",IF($AE140&lt;=1200,IF(INDEX(对接源_01水果!$H$4:$H$1203,$AE140)=0,"",INDEX(对接源_01水果!$H$4:$H$1203,$AE140)),IF(INDEX(对接源_02物料!$H$4:$H$1203,$AE140-1200)=0,"",INDEX(对接源_02物料!$H$4:$H$1203,$AE140-1200))))</f>
        <v/>
      </c>
      <c r="F140" s="41" t="str">
        <f aca="false">IF($AE140="","",IF($AE140&lt;=1200,IF(INDEX(对接源_01水果!$I$4:$I$1203,$AE140)=0,"",INDEX(对接源_01水果!$I$4:$I$1203,$AE140)),IF(INDEX(对接源_02物料!$I$4:$I$1203,$AE140-1200)=0,"",INDEX(对接源_02物料!$I$4:$I$1203,$AE140-1200))))</f>
        <v/>
      </c>
      <c r="G140" s="55" t="str">
        <f aca="false">IF($AE140="","",IF($AE140&lt;=1200,IF(INDEX(对接源_01水果!$Z$4:$Z$1203,$AE140)=0,"",INDEX(对接源_01水果!$Z$4:$Z$1203,$AE140)),IF(INDEX(对接源_02物料!$Z$4:$Z$1203,$AE140-1200)=0,"",INDEX(对接源_02物料!$Z$4:$Z$1203,$AE140-1200))))</f>
        <v/>
      </c>
      <c r="H140" s="55" t="str">
        <f aca="false">IF($AE140="","",IF($AE140&lt;=1200,IF(INDEX(对接源_01水果!$AA$4:$AA$1203,$AE140)=0,"",INDEX(对接源_01水果!$AA$4:$AA$1203,$AE140)),IF(INDEX(对接源_02物料!$AA$4:$AA$1203,$AE140-1200)=0,"",INDEX(对接源_02物料!$AA$4:$AA$1203,$AE140-1200))))</f>
        <v/>
      </c>
      <c r="I140" s="41" t="str">
        <f aca="false">IF($AE140="","",IF($AE140&lt;=1200,IF(INDEX(对接源_01水果!$AB$4:$AB$1203,$AE140)=0,"",INDEX(对接源_01水果!$AB$4:$AB$1203,$AE140)),IF(INDEX(对接源_02物料!$AB$4:$AB$1203,$AE140-1200)=0,"",INDEX(对接源_02物料!$AB$4:$AB$1203,$AE140-1200))))</f>
        <v/>
      </c>
      <c r="J140" s="42" t="str">
        <f aca="false">IF($AE140="","",IF($AE140&lt;=1200,IF(INDEX(对接源_01水果!$M$4:$M$1203,$AE140)=0,"",INDEX(对接源_01水果!$M$4:$M$1203,$AE140)),IF(INDEX(对接源_02物料!$M$4:$M$1203,$AE140-1200)=0,"",INDEX(对接源_02物料!$M$4:$M$1203,$AE140-1200))))</f>
        <v/>
      </c>
      <c r="AE140" s="44" t="str">
        <f aca="false">IFERROR(MATCH(135,_自动清单!$AK$4:$AK$2403,0),"")</f>
        <v/>
      </c>
    </row>
    <row r="141" customFormat="false" ht="18" hidden="false" customHeight="true" outlineLevel="0" collapsed="false">
      <c r="A141" s="45" t="str">
        <f aca="false">IF($AE141="","",IF($AE141&lt;=1200,IF(INDEX(对接源_01水果!$B$4:$B$1203,$AE141)=0,"",INDEX(对接源_01水果!$B$4:$B$1203,$AE141)),IF(INDEX(对接源_02物料!$B$4:$B$1203,$AE141-1200)=0,"",INDEX(对接源_02物料!$B$4:$B$1203,$AE141-1200))))</f>
        <v/>
      </c>
      <c r="B141" s="46" t="str">
        <f aca="false">IF($AE141="","",IF($AE141&lt;=1200,IF(INDEX(对接源_01水果!$E$4:$E$1203,$AE141)=0,"",INDEX(对接源_01水果!$E$4:$E$1203,$AE141)),IF(INDEX(对接源_02物料!$E$4:$E$1203,$AE141-1200)=0,"",INDEX(对接源_02物料!$E$4:$E$1203,$AE141-1200))))</f>
        <v/>
      </c>
      <c r="C141" s="46" t="str">
        <f aca="false">IF($AE141="","",IF($AE141&lt;=1200,IF(INDEX(对接源_01水果!$F$4:$F$1203,$AE141)=0,"",INDEX(对接源_01水果!$F$4:$F$1203,$AE141)),IF(INDEX(对接源_02物料!$F$4:$F$1203,$AE141-1200)=0,"",INDEX(对接源_02物料!$F$4:$F$1203,$AE141-1200))))</f>
        <v/>
      </c>
      <c r="D141" s="46" t="str">
        <f aca="false">IF($AE141="","",IF($AE141&lt;=1200,IF(INDEX(对接源_01水果!$G$4:$G$1203,$AE141)=0,"",INDEX(对接源_01水果!$G$4:$G$1203,$AE141)),IF(INDEX(对接源_02物料!$G$4:$G$1203,$AE141-1200)=0,"",INDEX(对接源_02物料!$G$4:$G$1203,$AE141-1200))))</f>
        <v/>
      </c>
      <c r="E141" s="48" t="str">
        <f aca="false">IF($AE141="","",IF($AE141&lt;=1200,IF(INDEX(对接源_01水果!$H$4:$H$1203,$AE141)=0,"",INDEX(对接源_01水果!$H$4:$H$1203,$AE141)),IF(INDEX(对接源_02物料!$H$4:$H$1203,$AE141-1200)=0,"",INDEX(对接源_02物料!$H$4:$H$1203,$AE141-1200))))</f>
        <v/>
      </c>
      <c r="F141" s="46" t="str">
        <f aca="false">IF($AE141="","",IF($AE141&lt;=1200,IF(INDEX(对接源_01水果!$I$4:$I$1203,$AE141)=0,"",INDEX(对接源_01水果!$I$4:$I$1203,$AE141)),IF(INDEX(对接源_02物料!$I$4:$I$1203,$AE141-1200)=0,"",INDEX(对接源_02物料!$I$4:$I$1203,$AE141-1200))))</f>
        <v/>
      </c>
      <c r="G141" s="56" t="str">
        <f aca="false">IF($AE141="","",IF($AE141&lt;=1200,IF(INDEX(对接源_01水果!$Z$4:$Z$1203,$AE141)=0,"",INDEX(对接源_01水果!$Z$4:$Z$1203,$AE141)),IF(INDEX(对接源_02物料!$Z$4:$Z$1203,$AE141-1200)=0,"",INDEX(对接源_02物料!$Z$4:$Z$1203,$AE141-1200))))</f>
        <v/>
      </c>
      <c r="H141" s="56" t="str">
        <f aca="false">IF($AE141="","",IF($AE141&lt;=1200,IF(INDEX(对接源_01水果!$AA$4:$AA$1203,$AE141)=0,"",INDEX(对接源_01水果!$AA$4:$AA$1203,$AE141)),IF(INDEX(对接源_02物料!$AA$4:$AA$1203,$AE141-1200)=0,"",INDEX(对接源_02物料!$AA$4:$AA$1203,$AE141-1200))))</f>
        <v/>
      </c>
      <c r="I141" s="46" t="str">
        <f aca="false">IF($AE141="","",IF($AE141&lt;=1200,IF(INDEX(对接源_01水果!$AB$4:$AB$1203,$AE141)=0,"",INDEX(对接源_01水果!$AB$4:$AB$1203,$AE141)),IF(INDEX(对接源_02物料!$AB$4:$AB$1203,$AE141-1200)=0,"",INDEX(对接源_02物料!$AB$4:$AB$1203,$AE141-1200))))</f>
        <v/>
      </c>
      <c r="J141" s="47" t="str">
        <f aca="false">IF($AE141="","",IF($AE141&lt;=1200,IF(INDEX(对接源_01水果!$M$4:$M$1203,$AE141)=0,"",INDEX(对接源_01水果!$M$4:$M$1203,$AE141)),IF(INDEX(对接源_02物料!$M$4:$M$1203,$AE141-1200)=0,"",INDEX(对接源_02物料!$M$4:$M$1203,$AE141-1200))))</f>
        <v/>
      </c>
      <c r="AE141" s="44" t="n">
        <f aca="false">IFERROR(MATCH(136,_自动清单!$AK$4:$AK$2403,0),"")</f>
        <v>316</v>
      </c>
    </row>
    <row r="142" customFormat="false" ht="18" hidden="false" customHeight="true" outlineLevel="0" collapsed="false">
      <c r="A142" s="40" t="str">
        <f aca="false">IF($AE142="","",IF($AE142&lt;=1200,IF(INDEX(对接源_01水果!$B$4:$B$1203,$AE142)=0,"",INDEX(对接源_01水果!$B$4:$B$1203,$AE142)),IF(INDEX(对接源_02物料!$B$4:$B$1203,$AE142-1200)=0,"",INDEX(对接源_02物料!$B$4:$B$1203,$AE142-1200))))</f>
        <v/>
      </c>
      <c r="B142" s="41" t="str">
        <f aca="false">IF($AE142="","",IF($AE142&lt;=1200,IF(INDEX(对接源_01水果!$E$4:$E$1203,$AE142)=0,"",INDEX(对接源_01水果!$E$4:$E$1203,$AE142)),IF(INDEX(对接源_02物料!$E$4:$E$1203,$AE142-1200)=0,"",INDEX(对接源_02物料!$E$4:$E$1203,$AE142-1200))))</f>
        <v/>
      </c>
      <c r="C142" s="41" t="str">
        <f aca="false">IF($AE142="","",IF($AE142&lt;=1200,IF(INDEX(对接源_01水果!$F$4:$F$1203,$AE142)=0,"",INDEX(对接源_01水果!$F$4:$F$1203,$AE142)),IF(INDEX(对接源_02物料!$F$4:$F$1203,$AE142-1200)=0,"",INDEX(对接源_02物料!$F$4:$F$1203,$AE142-1200))))</f>
        <v/>
      </c>
      <c r="D142" s="41" t="str">
        <f aca="false">IF($AE142="","",IF($AE142&lt;=1200,IF(INDEX(对接源_01水果!$G$4:$G$1203,$AE142)=0,"",INDEX(对接源_01水果!$G$4:$G$1203,$AE142)),IF(INDEX(对接源_02物料!$G$4:$G$1203,$AE142-1200)=0,"",INDEX(对接源_02物料!$G$4:$G$1203,$AE142-1200))))</f>
        <v/>
      </c>
      <c r="E142" s="43" t="str">
        <f aca="false">IF($AE142="","",IF($AE142&lt;=1200,IF(INDEX(对接源_01水果!$H$4:$H$1203,$AE142)=0,"",INDEX(对接源_01水果!$H$4:$H$1203,$AE142)),IF(INDEX(对接源_02物料!$H$4:$H$1203,$AE142-1200)=0,"",INDEX(对接源_02物料!$H$4:$H$1203,$AE142-1200))))</f>
        <v/>
      </c>
      <c r="F142" s="41" t="str">
        <f aca="false">IF($AE142="","",IF($AE142&lt;=1200,IF(INDEX(对接源_01水果!$I$4:$I$1203,$AE142)=0,"",INDEX(对接源_01水果!$I$4:$I$1203,$AE142)),IF(INDEX(对接源_02物料!$I$4:$I$1203,$AE142-1200)=0,"",INDEX(对接源_02物料!$I$4:$I$1203,$AE142-1200))))</f>
        <v/>
      </c>
      <c r="G142" s="55" t="str">
        <f aca="false">IF($AE142="","",IF($AE142&lt;=1200,IF(INDEX(对接源_01水果!$Z$4:$Z$1203,$AE142)=0,"",INDEX(对接源_01水果!$Z$4:$Z$1203,$AE142)),IF(INDEX(对接源_02物料!$Z$4:$Z$1203,$AE142-1200)=0,"",INDEX(对接源_02物料!$Z$4:$Z$1203,$AE142-1200))))</f>
        <v/>
      </c>
      <c r="H142" s="55" t="str">
        <f aca="false">IF($AE142="","",IF($AE142&lt;=1200,IF(INDEX(对接源_01水果!$AA$4:$AA$1203,$AE142)=0,"",INDEX(对接源_01水果!$AA$4:$AA$1203,$AE142)),IF(INDEX(对接源_02物料!$AA$4:$AA$1203,$AE142-1200)=0,"",INDEX(对接源_02物料!$AA$4:$AA$1203,$AE142-1200))))</f>
        <v/>
      </c>
      <c r="I142" s="41" t="str">
        <f aca="false">IF($AE142="","",IF($AE142&lt;=1200,IF(INDEX(对接源_01水果!$AB$4:$AB$1203,$AE142)=0,"",INDEX(对接源_01水果!$AB$4:$AB$1203,$AE142)),IF(INDEX(对接源_02物料!$AB$4:$AB$1203,$AE142-1200)=0,"",INDEX(对接源_02物料!$AB$4:$AB$1203,$AE142-1200))))</f>
        <v/>
      </c>
      <c r="J142" s="42" t="str">
        <f aca="false">IF($AE142="","",IF($AE142&lt;=1200,IF(INDEX(对接源_01水果!$M$4:$M$1203,$AE142)=0,"",INDEX(对接源_01水果!$M$4:$M$1203,$AE142)),IF(INDEX(对接源_02物料!$M$4:$M$1203,$AE142-1200)=0,"",INDEX(对接源_02物料!$M$4:$M$1203,$AE142-1200))))</f>
        <v/>
      </c>
      <c r="AE142" s="44" t="str">
        <f aca="false">IFERROR(MATCH(137,_自动清单!$AK$4:$AK$2403,0),"")</f>
        <v/>
      </c>
    </row>
    <row r="143" customFormat="false" ht="18" hidden="false" customHeight="true" outlineLevel="0" collapsed="false">
      <c r="A143" s="45" t="str">
        <f aca="false">IF($AE143="","",IF($AE143&lt;=1200,IF(INDEX(对接源_01水果!$B$4:$B$1203,$AE143)=0,"",INDEX(对接源_01水果!$B$4:$B$1203,$AE143)),IF(INDEX(对接源_02物料!$B$4:$B$1203,$AE143-1200)=0,"",INDEX(对接源_02物料!$B$4:$B$1203,$AE143-1200))))</f>
        <v/>
      </c>
      <c r="B143" s="46" t="str">
        <f aca="false">IF($AE143="","",IF($AE143&lt;=1200,IF(INDEX(对接源_01水果!$E$4:$E$1203,$AE143)=0,"",INDEX(对接源_01水果!$E$4:$E$1203,$AE143)),IF(INDEX(对接源_02物料!$E$4:$E$1203,$AE143-1200)=0,"",INDEX(对接源_02物料!$E$4:$E$1203,$AE143-1200))))</f>
        <v/>
      </c>
      <c r="C143" s="46" t="str">
        <f aca="false">IF($AE143="","",IF($AE143&lt;=1200,IF(INDEX(对接源_01水果!$F$4:$F$1203,$AE143)=0,"",INDEX(对接源_01水果!$F$4:$F$1203,$AE143)),IF(INDEX(对接源_02物料!$F$4:$F$1203,$AE143-1200)=0,"",INDEX(对接源_02物料!$F$4:$F$1203,$AE143-1200))))</f>
        <v/>
      </c>
      <c r="D143" s="46" t="str">
        <f aca="false">IF($AE143="","",IF($AE143&lt;=1200,IF(INDEX(对接源_01水果!$G$4:$G$1203,$AE143)=0,"",INDEX(对接源_01水果!$G$4:$G$1203,$AE143)),IF(INDEX(对接源_02物料!$G$4:$G$1203,$AE143-1200)=0,"",INDEX(对接源_02物料!$G$4:$G$1203,$AE143-1200))))</f>
        <v/>
      </c>
      <c r="E143" s="48" t="str">
        <f aca="false">IF($AE143="","",IF($AE143&lt;=1200,IF(INDEX(对接源_01水果!$H$4:$H$1203,$AE143)=0,"",INDEX(对接源_01水果!$H$4:$H$1203,$AE143)),IF(INDEX(对接源_02物料!$H$4:$H$1203,$AE143-1200)=0,"",INDEX(对接源_02物料!$H$4:$H$1203,$AE143-1200))))</f>
        <v/>
      </c>
      <c r="F143" s="46" t="str">
        <f aca="false">IF($AE143="","",IF($AE143&lt;=1200,IF(INDEX(对接源_01水果!$I$4:$I$1203,$AE143)=0,"",INDEX(对接源_01水果!$I$4:$I$1203,$AE143)),IF(INDEX(对接源_02物料!$I$4:$I$1203,$AE143-1200)=0,"",INDEX(对接源_02物料!$I$4:$I$1203,$AE143-1200))))</f>
        <v/>
      </c>
      <c r="G143" s="56" t="str">
        <f aca="false">IF($AE143="","",IF($AE143&lt;=1200,IF(INDEX(对接源_01水果!$Z$4:$Z$1203,$AE143)=0,"",INDEX(对接源_01水果!$Z$4:$Z$1203,$AE143)),IF(INDEX(对接源_02物料!$Z$4:$Z$1203,$AE143-1200)=0,"",INDEX(对接源_02物料!$Z$4:$Z$1203,$AE143-1200))))</f>
        <v/>
      </c>
      <c r="H143" s="56" t="str">
        <f aca="false">IF($AE143="","",IF($AE143&lt;=1200,IF(INDEX(对接源_01水果!$AA$4:$AA$1203,$AE143)=0,"",INDEX(对接源_01水果!$AA$4:$AA$1203,$AE143)),IF(INDEX(对接源_02物料!$AA$4:$AA$1203,$AE143-1200)=0,"",INDEX(对接源_02物料!$AA$4:$AA$1203,$AE143-1200))))</f>
        <v/>
      </c>
      <c r="I143" s="46" t="str">
        <f aca="false">IF($AE143="","",IF($AE143&lt;=1200,IF(INDEX(对接源_01水果!$AB$4:$AB$1203,$AE143)=0,"",INDEX(对接源_01水果!$AB$4:$AB$1203,$AE143)),IF(INDEX(对接源_02物料!$AB$4:$AB$1203,$AE143-1200)=0,"",INDEX(对接源_02物料!$AB$4:$AB$1203,$AE143-1200))))</f>
        <v/>
      </c>
      <c r="J143" s="47" t="str">
        <f aca="false">IF($AE143="","",IF($AE143&lt;=1200,IF(INDEX(对接源_01水果!$M$4:$M$1203,$AE143)=0,"",INDEX(对接源_01水果!$M$4:$M$1203,$AE143)),IF(INDEX(对接源_02物料!$M$4:$M$1203,$AE143-1200)=0,"",INDEX(对接源_02物料!$M$4:$M$1203,$AE143-1200))))</f>
        <v/>
      </c>
      <c r="AE143" s="44" t="str">
        <f aca="false">IFERROR(MATCH(138,_自动清单!$AK$4:$AK$2403,0),"")</f>
        <v/>
      </c>
    </row>
    <row r="144" customFormat="false" ht="18" hidden="false" customHeight="true" outlineLevel="0" collapsed="false">
      <c r="A144" s="40" t="str">
        <f aca="false">IF($AE144="","",IF($AE144&lt;=1200,IF(INDEX(对接源_01水果!$B$4:$B$1203,$AE144)=0,"",INDEX(对接源_01水果!$B$4:$B$1203,$AE144)),IF(INDEX(对接源_02物料!$B$4:$B$1203,$AE144-1200)=0,"",INDEX(对接源_02物料!$B$4:$B$1203,$AE144-1200))))</f>
        <v/>
      </c>
      <c r="B144" s="41" t="str">
        <f aca="false">IF($AE144="","",IF($AE144&lt;=1200,IF(INDEX(对接源_01水果!$E$4:$E$1203,$AE144)=0,"",INDEX(对接源_01水果!$E$4:$E$1203,$AE144)),IF(INDEX(对接源_02物料!$E$4:$E$1203,$AE144-1200)=0,"",INDEX(对接源_02物料!$E$4:$E$1203,$AE144-1200))))</f>
        <v/>
      </c>
      <c r="C144" s="41" t="str">
        <f aca="false">IF($AE144="","",IF($AE144&lt;=1200,IF(INDEX(对接源_01水果!$F$4:$F$1203,$AE144)=0,"",INDEX(对接源_01水果!$F$4:$F$1203,$AE144)),IF(INDEX(对接源_02物料!$F$4:$F$1203,$AE144-1200)=0,"",INDEX(对接源_02物料!$F$4:$F$1203,$AE144-1200))))</f>
        <v/>
      </c>
      <c r="D144" s="41" t="str">
        <f aca="false">IF($AE144="","",IF($AE144&lt;=1200,IF(INDEX(对接源_01水果!$G$4:$G$1203,$AE144)=0,"",INDEX(对接源_01水果!$G$4:$G$1203,$AE144)),IF(INDEX(对接源_02物料!$G$4:$G$1203,$AE144-1200)=0,"",INDEX(对接源_02物料!$G$4:$G$1203,$AE144-1200))))</f>
        <v/>
      </c>
      <c r="E144" s="43" t="str">
        <f aca="false">IF($AE144="","",IF($AE144&lt;=1200,IF(INDEX(对接源_01水果!$H$4:$H$1203,$AE144)=0,"",INDEX(对接源_01水果!$H$4:$H$1203,$AE144)),IF(INDEX(对接源_02物料!$H$4:$H$1203,$AE144-1200)=0,"",INDEX(对接源_02物料!$H$4:$H$1203,$AE144-1200))))</f>
        <v/>
      </c>
      <c r="F144" s="41" t="str">
        <f aca="false">IF($AE144="","",IF($AE144&lt;=1200,IF(INDEX(对接源_01水果!$I$4:$I$1203,$AE144)=0,"",INDEX(对接源_01水果!$I$4:$I$1203,$AE144)),IF(INDEX(对接源_02物料!$I$4:$I$1203,$AE144-1200)=0,"",INDEX(对接源_02物料!$I$4:$I$1203,$AE144-1200))))</f>
        <v/>
      </c>
      <c r="G144" s="55" t="str">
        <f aca="false">IF($AE144="","",IF($AE144&lt;=1200,IF(INDEX(对接源_01水果!$Z$4:$Z$1203,$AE144)=0,"",INDEX(对接源_01水果!$Z$4:$Z$1203,$AE144)),IF(INDEX(对接源_02物料!$Z$4:$Z$1203,$AE144-1200)=0,"",INDEX(对接源_02物料!$Z$4:$Z$1203,$AE144-1200))))</f>
        <v/>
      </c>
      <c r="H144" s="55" t="str">
        <f aca="false">IF($AE144="","",IF($AE144&lt;=1200,IF(INDEX(对接源_01水果!$AA$4:$AA$1203,$AE144)=0,"",INDEX(对接源_01水果!$AA$4:$AA$1203,$AE144)),IF(INDEX(对接源_02物料!$AA$4:$AA$1203,$AE144-1200)=0,"",INDEX(对接源_02物料!$AA$4:$AA$1203,$AE144-1200))))</f>
        <v/>
      </c>
      <c r="I144" s="41" t="str">
        <f aca="false">IF($AE144="","",IF($AE144&lt;=1200,IF(INDEX(对接源_01水果!$AB$4:$AB$1203,$AE144)=0,"",INDEX(对接源_01水果!$AB$4:$AB$1203,$AE144)),IF(INDEX(对接源_02物料!$AB$4:$AB$1203,$AE144-1200)=0,"",INDEX(对接源_02物料!$AB$4:$AB$1203,$AE144-1200))))</f>
        <v/>
      </c>
      <c r="J144" s="42" t="str">
        <f aca="false">IF($AE144="","",IF($AE144&lt;=1200,IF(INDEX(对接源_01水果!$M$4:$M$1203,$AE144)=0,"",INDEX(对接源_01水果!$M$4:$M$1203,$AE144)),IF(INDEX(对接源_02物料!$M$4:$M$1203,$AE144-1200)=0,"",INDEX(对接源_02物料!$M$4:$M$1203,$AE144-1200))))</f>
        <v/>
      </c>
      <c r="AE144" s="44" t="str">
        <f aca="false">IFERROR(MATCH(139,_自动清单!$AK$4:$AK$2403,0),"")</f>
        <v/>
      </c>
    </row>
    <row r="145" customFormat="false" ht="18" hidden="false" customHeight="true" outlineLevel="0" collapsed="false">
      <c r="A145" s="45" t="str">
        <f aca="false">IF($AE145="","",IF($AE145&lt;=1200,IF(INDEX(对接源_01水果!$B$4:$B$1203,$AE145)=0,"",INDEX(对接源_01水果!$B$4:$B$1203,$AE145)),IF(INDEX(对接源_02物料!$B$4:$B$1203,$AE145-1200)=0,"",INDEX(对接源_02物料!$B$4:$B$1203,$AE145-1200))))</f>
        <v/>
      </c>
      <c r="B145" s="46" t="str">
        <f aca="false">IF($AE145="","",IF($AE145&lt;=1200,IF(INDEX(对接源_01水果!$E$4:$E$1203,$AE145)=0,"",INDEX(对接源_01水果!$E$4:$E$1203,$AE145)),IF(INDEX(对接源_02物料!$E$4:$E$1203,$AE145-1200)=0,"",INDEX(对接源_02物料!$E$4:$E$1203,$AE145-1200))))</f>
        <v/>
      </c>
      <c r="C145" s="46" t="str">
        <f aca="false">IF($AE145="","",IF($AE145&lt;=1200,IF(INDEX(对接源_01水果!$F$4:$F$1203,$AE145)=0,"",INDEX(对接源_01水果!$F$4:$F$1203,$AE145)),IF(INDEX(对接源_02物料!$F$4:$F$1203,$AE145-1200)=0,"",INDEX(对接源_02物料!$F$4:$F$1203,$AE145-1200))))</f>
        <v/>
      </c>
      <c r="D145" s="46" t="str">
        <f aca="false">IF($AE145="","",IF($AE145&lt;=1200,IF(INDEX(对接源_01水果!$G$4:$G$1203,$AE145)=0,"",INDEX(对接源_01水果!$G$4:$G$1203,$AE145)),IF(INDEX(对接源_02物料!$G$4:$G$1203,$AE145-1200)=0,"",INDEX(对接源_02物料!$G$4:$G$1203,$AE145-1200))))</f>
        <v/>
      </c>
      <c r="E145" s="48" t="str">
        <f aca="false">IF($AE145="","",IF($AE145&lt;=1200,IF(INDEX(对接源_01水果!$H$4:$H$1203,$AE145)=0,"",INDEX(对接源_01水果!$H$4:$H$1203,$AE145)),IF(INDEX(对接源_02物料!$H$4:$H$1203,$AE145-1200)=0,"",INDEX(对接源_02物料!$H$4:$H$1203,$AE145-1200))))</f>
        <v/>
      </c>
      <c r="F145" s="46" t="str">
        <f aca="false">IF($AE145="","",IF($AE145&lt;=1200,IF(INDEX(对接源_01水果!$I$4:$I$1203,$AE145)=0,"",INDEX(对接源_01水果!$I$4:$I$1203,$AE145)),IF(INDEX(对接源_02物料!$I$4:$I$1203,$AE145-1200)=0,"",INDEX(对接源_02物料!$I$4:$I$1203,$AE145-1200))))</f>
        <v/>
      </c>
      <c r="G145" s="56" t="str">
        <f aca="false">IF($AE145="","",IF($AE145&lt;=1200,IF(INDEX(对接源_01水果!$Z$4:$Z$1203,$AE145)=0,"",INDEX(对接源_01水果!$Z$4:$Z$1203,$AE145)),IF(INDEX(对接源_02物料!$Z$4:$Z$1203,$AE145-1200)=0,"",INDEX(对接源_02物料!$Z$4:$Z$1203,$AE145-1200))))</f>
        <v/>
      </c>
      <c r="H145" s="56" t="str">
        <f aca="false">IF($AE145="","",IF($AE145&lt;=1200,IF(INDEX(对接源_01水果!$AA$4:$AA$1203,$AE145)=0,"",INDEX(对接源_01水果!$AA$4:$AA$1203,$AE145)),IF(INDEX(对接源_02物料!$AA$4:$AA$1203,$AE145-1200)=0,"",INDEX(对接源_02物料!$AA$4:$AA$1203,$AE145-1200))))</f>
        <v/>
      </c>
      <c r="I145" s="46" t="str">
        <f aca="false">IF($AE145="","",IF($AE145&lt;=1200,IF(INDEX(对接源_01水果!$AB$4:$AB$1203,$AE145)=0,"",INDEX(对接源_01水果!$AB$4:$AB$1203,$AE145)),IF(INDEX(对接源_02物料!$AB$4:$AB$1203,$AE145-1200)=0,"",INDEX(对接源_02物料!$AB$4:$AB$1203,$AE145-1200))))</f>
        <v/>
      </c>
      <c r="J145" s="47" t="str">
        <f aca="false">IF($AE145="","",IF($AE145&lt;=1200,IF(INDEX(对接源_01水果!$M$4:$M$1203,$AE145)=0,"",INDEX(对接源_01水果!$M$4:$M$1203,$AE145)),IF(INDEX(对接源_02物料!$M$4:$M$1203,$AE145-1200)=0,"",INDEX(对接源_02物料!$M$4:$M$1203,$AE145-1200))))</f>
        <v/>
      </c>
      <c r="AE145" s="44" t="n">
        <f aca="false">IFERROR(MATCH(140,_自动清单!$AK$4:$AK$2403,0),"")</f>
        <v>317</v>
      </c>
    </row>
    <row r="146" customFormat="false" ht="18" hidden="false" customHeight="true" outlineLevel="0" collapsed="false">
      <c r="A146" s="40" t="str">
        <f aca="false">IF($AE146="","",IF($AE146&lt;=1200,IF(INDEX(对接源_01水果!$B$4:$B$1203,$AE146)=0,"",INDEX(对接源_01水果!$B$4:$B$1203,$AE146)),IF(INDEX(对接源_02物料!$B$4:$B$1203,$AE146-1200)=0,"",INDEX(对接源_02物料!$B$4:$B$1203,$AE146-1200))))</f>
        <v/>
      </c>
      <c r="B146" s="41" t="str">
        <f aca="false">IF($AE146="","",IF($AE146&lt;=1200,IF(INDEX(对接源_01水果!$E$4:$E$1203,$AE146)=0,"",INDEX(对接源_01水果!$E$4:$E$1203,$AE146)),IF(INDEX(对接源_02物料!$E$4:$E$1203,$AE146-1200)=0,"",INDEX(对接源_02物料!$E$4:$E$1203,$AE146-1200))))</f>
        <v/>
      </c>
      <c r="C146" s="41" t="str">
        <f aca="false">IF($AE146="","",IF($AE146&lt;=1200,IF(INDEX(对接源_01水果!$F$4:$F$1203,$AE146)=0,"",INDEX(对接源_01水果!$F$4:$F$1203,$AE146)),IF(INDEX(对接源_02物料!$F$4:$F$1203,$AE146-1200)=0,"",INDEX(对接源_02物料!$F$4:$F$1203,$AE146-1200))))</f>
        <v/>
      </c>
      <c r="D146" s="41" t="str">
        <f aca="false">IF($AE146="","",IF($AE146&lt;=1200,IF(INDEX(对接源_01水果!$G$4:$G$1203,$AE146)=0,"",INDEX(对接源_01水果!$G$4:$G$1203,$AE146)),IF(INDEX(对接源_02物料!$G$4:$G$1203,$AE146-1200)=0,"",INDEX(对接源_02物料!$G$4:$G$1203,$AE146-1200))))</f>
        <v/>
      </c>
      <c r="E146" s="43" t="str">
        <f aca="false">IF($AE146="","",IF($AE146&lt;=1200,IF(INDEX(对接源_01水果!$H$4:$H$1203,$AE146)=0,"",INDEX(对接源_01水果!$H$4:$H$1203,$AE146)),IF(INDEX(对接源_02物料!$H$4:$H$1203,$AE146-1200)=0,"",INDEX(对接源_02物料!$H$4:$H$1203,$AE146-1200))))</f>
        <v/>
      </c>
      <c r="F146" s="41" t="str">
        <f aca="false">IF($AE146="","",IF($AE146&lt;=1200,IF(INDEX(对接源_01水果!$I$4:$I$1203,$AE146)=0,"",INDEX(对接源_01水果!$I$4:$I$1203,$AE146)),IF(INDEX(对接源_02物料!$I$4:$I$1203,$AE146-1200)=0,"",INDEX(对接源_02物料!$I$4:$I$1203,$AE146-1200))))</f>
        <v/>
      </c>
      <c r="G146" s="55" t="str">
        <f aca="false">IF($AE146="","",IF($AE146&lt;=1200,IF(INDEX(对接源_01水果!$Z$4:$Z$1203,$AE146)=0,"",INDEX(对接源_01水果!$Z$4:$Z$1203,$AE146)),IF(INDEX(对接源_02物料!$Z$4:$Z$1203,$AE146-1200)=0,"",INDEX(对接源_02物料!$Z$4:$Z$1203,$AE146-1200))))</f>
        <v/>
      </c>
      <c r="H146" s="55" t="str">
        <f aca="false">IF($AE146="","",IF($AE146&lt;=1200,IF(INDEX(对接源_01水果!$AA$4:$AA$1203,$AE146)=0,"",INDEX(对接源_01水果!$AA$4:$AA$1203,$AE146)),IF(INDEX(对接源_02物料!$AA$4:$AA$1203,$AE146-1200)=0,"",INDEX(对接源_02物料!$AA$4:$AA$1203,$AE146-1200))))</f>
        <v/>
      </c>
      <c r="I146" s="41" t="str">
        <f aca="false">IF($AE146="","",IF($AE146&lt;=1200,IF(INDEX(对接源_01水果!$AB$4:$AB$1203,$AE146)=0,"",INDEX(对接源_01水果!$AB$4:$AB$1203,$AE146)),IF(INDEX(对接源_02物料!$AB$4:$AB$1203,$AE146-1200)=0,"",INDEX(对接源_02物料!$AB$4:$AB$1203,$AE146-1200))))</f>
        <v/>
      </c>
      <c r="J146" s="42" t="str">
        <f aca="false">IF($AE146="","",IF($AE146&lt;=1200,IF(INDEX(对接源_01水果!$M$4:$M$1203,$AE146)=0,"",INDEX(对接源_01水果!$M$4:$M$1203,$AE146)),IF(INDEX(对接源_02物料!$M$4:$M$1203,$AE146-1200)=0,"",INDEX(对接源_02物料!$M$4:$M$1203,$AE146-1200))))</f>
        <v/>
      </c>
      <c r="AE146" s="44" t="str">
        <f aca="false">IFERROR(MATCH(141,_自动清单!$AK$4:$AK$2403,0),"")</f>
        <v/>
      </c>
    </row>
    <row r="147" customFormat="false" ht="18" hidden="false" customHeight="true" outlineLevel="0" collapsed="false">
      <c r="A147" s="45" t="str">
        <f aca="false">IF($AE147="","",IF($AE147&lt;=1200,IF(INDEX(对接源_01水果!$B$4:$B$1203,$AE147)=0,"",INDEX(对接源_01水果!$B$4:$B$1203,$AE147)),IF(INDEX(对接源_02物料!$B$4:$B$1203,$AE147-1200)=0,"",INDEX(对接源_02物料!$B$4:$B$1203,$AE147-1200))))</f>
        <v/>
      </c>
      <c r="B147" s="46" t="str">
        <f aca="false">IF($AE147="","",IF($AE147&lt;=1200,IF(INDEX(对接源_01水果!$E$4:$E$1203,$AE147)=0,"",INDEX(对接源_01水果!$E$4:$E$1203,$AE147)),IF(INDEX(对接源_02物料!$E$4:$E$1203,$AE147-1200)=0,"",INDEX(对接源_02物料!$E$4:$E$1203,$AE147-1200))))</f>
        <v/>
      </c>
      <c r="C147" s="46" t="str">
        <f aca="false">IF($AE147="","",IF($AE147&lt;=1200,IF(INDEX(对接源_01水果!$F$4:$F$1203,$AE147)=0,"",INDEX(对接源_01水果!$F$4:$F$1203,$AE147)),IF(INDEX(对接源_02物料!$F$4:$F$1203,$AE147-1200)=0,"",INDEX(对接源_02物料!$F$4:$F$1203,$AE147-1200))))</f>
        <v/>
      </c>
      <c r="D147" s="46" t="str">
        <f aca="false">IF($AE147="","",IF($AE147&lt;=1200,IF(INDEX(对接源_01水果!$G$4:$G$1203,$AE147)=0,"",INDEX(对接源_01水果!$G$4:$G$1203,$AE147)),IF(INDEX(对接源_02物料!$G$4:$G$1203,$AE147-1200)=0,"",INDEX(对接源_02物料!$G$4:$G$1203,$AE147-1200))))</f>
        <v/>
      </c>
      <c r="E147" s="48" t="str">
        <f aca="false">IF($AE147="","",IF($AE147&lt;=1200,IF(INDEX(对接源_01水果!$H$4:$H$1203,$AE147)=0,"",INDEX(对接源_01水果!$H$4:$H$1203,$AE147)),IF(INDEX(对接源_02物料!$H$4:$H$1203,$AE147-1200)=0,"",INDEX(对接源_02物料!$H$4:$H$1203,$AE147-1200))))</f>
        <v/>
      </c>
      <c r="F147" s="46" t="str">
        <f aca="false">IF($AE147="","",IF($AE147&lt;=1200,IF(INDEX(对接源_01水果!$I$4:$I$1203,$AE147)=0,"",INDEX(对接源_01水果!$I$4:$I$1203,$AE147)),IF(INDEX(对接源_02物料!$I$4:$I$1203,$AE147-1200)=0,"",INDEX(对接源_02物料!$I$4:$I$1203,$AE147-1200))))</f>
        <v/>
      </c>
      <c r="G147" s="56" t="str">
        <f aca="false">IF($AE147="","",IF($AE147&lt;=1200,IF(INDEX(对接源_01水果!$Z$4:$Z$1203,$AE147)=0,"",INDEX(对接源_01水果!$Z$4:$Z$1203,$AE147)),IF(INDEX(对接源_02物料!$Z$4:$Z$1203,$AE147-1200)=0,"",INDEX(对接源_02物料!$Z$4:$Z$1203,$AE147-1200))))</f>
        <v/>
      </c>
      <c r="H147" s="56" t="str">
        <f aca="false">IF($AE147="","",IF($AE147&lt;=1200,IF(INDEX(对接源_01水果!$AA$4:$AA$1203,$AE147)=0,"",INDEX(对接源_01水果!$AA$4:$AA$1203,$AE147)),IF(INDEX(对接源_02物料!$AA$4:$AA$1203,$AE147-1200)=0,"",INDEX(对接源_02物料!$AA$4:$AA$1203,$AE147-1200))))</f>
        <v/>
      </c>
      <c r="I147" s="46" t="str">
        <f aca="false">IF($AE147="","",IF($AE147&lt;=1200,IF(INDEX(对接源_01水果!$AB$4:$AB$1203,$AE147)=0,"",INDEX(对接源_01水果!$AB$4:$AB$1203,$AE147)),IF(INDEX(对接源_02物料!$AB$4:$AB$1203,$AE147-1200)=0,"",INDEX(对接源_02物料!$AB$4:$AB$1203,$AE147-1200))))</f>
        <v/>
      </c>
      <c r="J147" s="47" t="str">
        <f aca="false">IF($AE147="","",IF($AE147&lt;=1200,IF(INDEX(对接源_01水果!$M$4:$M$1203,$AE147)=0,"",INDEX(对接源_01水果!$M$4:$M$1203,$AE147)),IF(INDEX(对接源_02物料!$M$4:$M$1203,$AE147-1200)=0,"",INDEX(对接源_02物料!$M$4:$M$1203,$AE147-1200))))</f>
        <v/>
      </c>
      <c r="AE147" s="44" t="str">
        <f aca="false">IFERROR(MATCH(142,_自动清单!$AK$4:$AK$2403,0),"")</f>
        <v/>
      </c>
    </row>
    <row r="148" customFormat="false" ht="18" hidden="false" customHeight="true" outlineLevel="0" collapsed="false">
      <c r="A148" s="40" t="str">
        <f aca="false">IF($AE148="","",IF($AE148&lt;=1200,IF(INDEX(对接源_01水果!$B$4:$B$1203,$AE148)=0,"",INDEX(对接源_01水果!$B$4:$B$1203,$AE148)),IF(INDEX(对接源_02物料!$B$4:$B$1203,$AE148-1200)=0,"",INDEX(对接源_02物料!$B$4:$B$1203,$AE148-1200))))</f>
        <v/>
      </c>
      <c r="B148" s="41" t="str">
        <f aca="false">IF($AE148="","",IF($AE148&lt;=1200,IF(INDEX(对接源_01水果!$E$4:$E$1203,$AE148)=0,"",INDEX(对接源_01水果!$E$4:$E$1203,$AE148)),IF(INDEX(对接源_02物料!$E$4:$E$1203,$AE148-1200)=0,"",INDEX(对接源_02物料!$E$4:$E$1203,$AE148-1200))))</f>
        <v/>
      </c>
      <c r="C148" s="41" t="str">
        <f aca="false">IF($AE148="","",IF($AE148&lt;=1200,IF(INDEX(对接源_01水果!$F$4:$F$1203,$AE148)=0,"",INDEX(对接源_01水果!$F$4:$F$1203,$AE148)),IF(INDEX(对接源_02物料!$F$4:$F$1203,$AE148-1200)=0,"",INDEX(对接源_02物料!$F$4:$F$1203,$AE148-1200))))</f>
        <v/>
      </c>
      <c r="D148" s="41" t="str">
        <f aca="false">IF($AE148="","",IF($AE148&lt;=1200,IF(INDEX(对接源_01水果!$G$4:$G$1203,$AE148)=0,"",INDEX(对接源_01水果!$G$4:$G$1203,$AE148)),IF(INDEX(对接源_02物料!$G$4:$G$1203,$AE148-1200)=0,"",INDEX(对接源_02物料!$G$4:$G$1203,$AE148-1200))))</f>
        <v/>
      </c>
      <c r="E148" s="43" t="str">
        <f aca="false">IF($AE148="","",IF($AE148&lt;=1200,IF(INDEX(对接源_01水果!$H$4:$H$1203,$AE148)=0,"",INDEX(对接源_01水果!$H$4:$H$1203,$AE148)),IF(INDEX(对接源_02物料!$H$4:$H$1203,$AE148-1200)=0,"",INDEX(对接源_02物料!$H$4:$H$1203,$AE148-1200))))</f>
        <v/>
      </c>
      <c r="F148" s="41" t="str">
        <f aca="false">IF($AE148="","",IF($AE148&lt;=1200,IF(INDEX(对接源_01水果!$I$4:$I$1203,$AE148)=0,"",INDEX(对接源_01水果!$I$4:$I$1203,$AE148)),IF(INDEX(对接源_02物料!$I$4:$I$1203,$AE148-1200)=0,"",INDEX(对接源_02物料!$I$4:$I$1203,$AE148-1200))))</f>
        <v/>
      </c>
      <c r="G148" s="55" t="str">
        <f aca="false">IF($AE148="","",IF($AE148&lt;=1200,IF(INDEX(对接源_01水果!$Z$4:$Z$1203,$AE148)=0,"",INDEX(对接源_01水果!$Z$4:$Z$1203,$AE148)),IF(INDEX(对接源_02物料!$Z$4:$Z$1203,$AE148-1200)=0,"",INDEX(对接源_02物料!$Z$4:$Z$1203,$AE148-1200))))</f>
        <v/>
      </c>
      <c r="H148" s="55" t="str">
        <f aca="false">IF($AE148="","",IF($AE148&lt;=1200,IF(INDEX(对接源_01水果!$AA$4:$AA$1203,$AE148)=0,"",INDEX(对接源_01水果!$AA$4:$AA$1203,$AE148)),IF(INDEX(对接源_02物料!$AA$4:$AA$1203,$AE148-1200)=0,"",INDEX(对接源_02物料!$AA$4:$AA$1203,$AE148-1200))))</f>
        <v/>
      </c>
      <c r="I148" s="41" t="str">
        <f aca="false">IF($AE148="","",IF($AE148&lt;=1200,IF(INDEX(对接源_01水果!$AB$4:$AB$1203,$AE148)=0,"",INDEX(对接源_01水果!$AB$4:$AB$1203,$AE148)),IF(INDEX(对接源_02物料!$AB$4:$AB$1203,$AE148-1200)=0,"",INDEX(对接源_02物料!$AB$4:$AB$1203,$AE148-1200))))</f>
        <v/>
      </c>
      <c r="J148" s="42" t="str">
        <f aca="false">IF($AE148="","",IF($AE148&lt;=1200,IF(INDEX(对接源_01水果!$M$4:$M$1203,$AE148)=0,"",INDEX(对接源_01水果!$M$4:$M$1203,$AE148)),IF(INDEX(对接源_02物料!$M$4:$M$1203,$AE148-1200)=0,"",INDEX(对接源_02物料!$M$4:$M$1203,$AE148-1200))))</f>
        <v/>
      </c>
      <c r="AE148" s="44" t="str">
        <f aca="false">IFERROR(MATCH(143,_自动清单!$AK$4:$AK$2403,0),"")</f>
        <v/>
      </c>
    </row>
    <row r="149" customFormat="false" ht="18" hidden="false" customHeight="true" outlineLevel="0" collapsed="false">
      <c r="A149" s="45" t="str">
        <f aca="false">IF($AE149="","",IF($AE149&lt;=1200,IF(INDEX(对接源_01水果!$B$4:$B$1203,$AE149)=0,"",INDEX(对接源_01水果!$B$4:$B$1203,$AE149)),IF(INDEX(对接源_02物料!$B$4:$B$1203,$AE149-1200)=0,"",INDEX(对接源_02物料!$B$4:$B$1203,$AE149-1200))))</f>
        <v/>
      </c>
      <c r="B149" s="46" t="str">
        <f aca="false">IF($AE149="","",IF($AE149&lt;=1200,IF(INDEX(对接源_01水果!$E$4:$E$1203,$AE149)=0,"",INDEX(对接源_01水果!$E$4:$E$1203,$AE149)),IF(INDEX(对接源_02物料!$E$4:$E$1203,$AE149-1200)=0,"",INDEX(对接源_02物料!$E$4:$E$1203,$AE149-1200))))</f>
        <v/>
      </c>
      <c r="C149" s="46" t="str">
        <f aca="false">IF($AE149="","",IF($AE149&lt;=1200,IF(INDEX(对接源_01水果!$F$4:$F$1203,$AE149)=0,"",INDEX(对接源_01水果!$F$4:$F$1203,$AE149)),IF(INDEX(对接源_02物料!$F$4:$F$1203,$AE149-1200)=0,"",INDEX(对接源_02物料!$F$4:$F$1203,$AE149-1200))))</f>
        <v/>
      </c>
      <c r="D149" s="46" t="str">
        <f aca="false">IF($AE149="","",IF($AE149&lt;=1200,IF(INDEX(对接源_01水果!$G$4:$G$1203,$AE149)=0,"",INDEX(对接源_01水果!$G$4:$G$1203,$AE149)),IF(INDEX(对接源_02物料!$G$4:$G$1203,$AE149-1200)=0,"",INDEX(对接源_02物料!$G$4:$G$1203,$AE149-1200))))</f>
        <v/>
      </c>
      <c r="E149" s="48" t="str">
        <f aca="false">IF($AE149="","",IF($AE149&lt;=1200,IF(INDEX(对接源_01水果!$H$4:$H$1203,$AE149)=0,"",INDEX(对接源_01水果!$H$4:$H$1203,$AE149)),IF(INDEX(对接源_02物料!$H$4:$H$1203,$AE149-1200)=0,"",INDEX(对接源_02物料!$H$4:$H$1203,$AE149-1200))))</f>
        <v/>
      </c>
      <c r="F149" s="46" t="str">
        <f aca="false">IF($AE149="","",IF($AE149&lt;=1200,IF(INDEX(对接源_01水果!$I$4:$I$1203,$AE149)=0,"",INDEX(对接源_01水果!$I$4:$I$1203,$AE149)),IF(INDEX(对接源_02物料!$I$4:$I$1203,$AE149-1200)=0,"",INDEX(对接源_02物料!$I$4:$I$1203,$AE149-1200))))</f>
        <v/>
      </c>
      <c r="G149" s="56" t="str">
        <f aca="false">IF($AE149="","",IF($AE149&lt;=1200,IF(INDEX(对接源_01水果!$Z$4:$Z$1203,$AE149)=0,"",INDEX(对接源_01水果!$Z$4:$Z$1203,$AE149)),IF(INDEX(对接源_02物料!$Z$4:$Z$1203,$AE149-1200)=0,"",INDEX(对接源_02物料!$Z$4:$Z$1203,$AE149-1200))))</f>
        <v/>
      </c>
      <c r="H149" s="56" t="str">
        <f aca="false">IF($AE149="","",IF($AE149&lt;=1200,IF(INDEX(对接源_01水果!$AA$4:$AA$1203,$AE149)=0,"",INDEX(对接源_01水果!$AA$4:$AA$1203,$AE149)),IF(INDEX(对接源_02物料!$AA$4:$AA$1203,$AE149-1200)=0,"",INDEX(对接源_02物料!$AA$4:$AA$1203,$AE149-1200))))</f>
        <v/>
      </c>
      <c r="I149" s="46" t="str">
        <f aca="false">IF($AE149="","",IF($AE149&lt;=1200,IF(INDEX(对接源_01水果!$AB$4:$AB$1203,$AE149)=0,"",INDEX(对接源_01水果!$AB$4:$AB$1203,$AE149)),IF(INDEX(对接源_02物料!$AB$4:$AB$1203,$AE149-1200)=0,"",INDEX(对接源_02物料!$AB$4:$AB$1203,$AE149-1200))))</f>
        <v/>
      </c>
      <c r="J149" s="47" t="str">
        <f aca="false">IF($AE149="","",IF($AE149&lt;=1200,IF(INDEX(对接源_01水果!$M$4:$M$1203,$AE149)=0,"",INDEX(对接源_01水果!$M$4:$M$1203,$AE149)),IF(INDEX(对接源_02物料!$M$4:$M$1203,$AE149-1200)=0,"",INDEX(对接源_02物料!$M$4:$M$1203,$AE149-1200))))</f>
        <v/>
      </c>
      <c r="AE149" s="44" t="n">
        <f aca="false">IFERROR(MATCH(144,_自动清单!$AK$4:$AK$2403,0),"")</f>
        <v>318</v>
      </c>
    </row>
    <row r="150" customFormat="false" ht="18" hidden="false" customHeight="true" outlineLevel="0" collapsed="false">
      <c r="A150" s="40" t="str">
        <f aca="false">IF($AE150="","",IF($AE150&lt;=1200,IF(INDEX(对接源_01水果!$B$4:$B$1203,$AE150)=0,"",INDEX(对接源_01水果!$B$4:$B$1203,$AE150)),IF(INDEX(对接源_02物料!$B$4:$B$1203,$AE150-1200)=0,"",INDEX(对接源_02物料!$B$4:$B$1203,$AE150-1200))))</f>
        <v/>
      </c>
      <c r="B150" s="41" t="str">
        <f aca="false">IF($AE150="","",IF($AE150&lt;=1200,IF(INDEX(对接源_01水果!$E$4:$E$1203,$AE150)=0,"",INDEX(对接源_01水果!$E$4:$E$1203,$AE150)),IF(INDEX(对接源_02物料!$E$4:$E$1203,$AE150-1200)=0,"",INDEX(对接源_02物料!$E$4:$E$1203,$AE150-1200))))</f>
        <v/>
      </c>
      <c r="C150" s="41" t="str">
        <f aca="false">IF($AE150="","",IF($AE150&lt;=1200,IF(INDEX(对接源_01水果!$F$4:$F$1203,$AE150)=0,"",INDEX(对接源_01水果!$F$4:$F$1203,$AE150)),IF(INDEX(对接源_02物料!$F$4:$F$1203,$AE150-1200)=0,"",INDEX(对接源_02物料!$F$4:$F$1203,$AE150-1200))))</f>
        <v/>
      </c>
      <c r="D150" s="41" t="str">
        <f aca="false">IF($AE150="","",IF($AE150&lt;=1200,IF(INDEX(对接源_01水果!$G$4:$G$1203,$AE150)=0,"",INDEX(对接源_01水果!$G$4:$G$1203,$AE150)),IF(INDEX(对接源_02物料!$G$4:$G$1203,$AE150-1200)=0,"",INDEX(对接源_02物料!$G$4:$G$1203,$AE150-1200))))</f>
        <v/>
      </c>
      <c r="E150" s="43" t="str">
        <f aca="false">IF($AE150="","",IF($AE150&lt;=1200,IF(INDEX(对接源_01水果!$H$4:$H$1203,$AE150)=0,"",INDEX(对接源_01水果!$H$4:$H$1203,$AE150)),IF(INDEX(对接源_02物料!$H$4:$H$1203,$AE150-1200)=0,"",INDEX(对接源_02物料!$H$4:$H$1203,$AE150-1200))))</f>
        <v/>
      </c>
      <c r="F150" s="41" t="str">
        <f aca="false">IF($AE150="","",IF($AE150&lt;=1200,IF(INDEX(对接源_01水果!$I$4:$I$1203,$AE150)=0,"",INDEX(对接源_01水果!$I$4:$I$1203,$AE150)),IF(INDEX(对接源_02物料!$I$4:$I$1203,$AE150-1200)=0,"",INDEX(对接源_02物料!$I$4:$I$1203,$AE150-1200))))</f>
        <v/>
      </c>
      <c r="G150" s="55" t="str">
        <f aca="false">IF($AE150="","",IF($AE150&lt;=1200,IF(INDEX(对接源_01水果!$Z$4:$Z$1203,$AE150)=0,"",INDEX(对接源_01水果!$Z$4:$Z$1203,$AE150)),IF(INDEX(对接源_02物料!$Z$4:$Z$1203,$AE150-1200)=0,"",INDEX(对接源_02物料!$Z$4:$Z$1203,$AE150-1200))))</f>
        <v/>
      </c>
      <c r="H150" s="55" t="str">
        <f aca="false">IF($AE150="","",IF($AE150&lt;=1200,IF(INDEX(对接源_01水果!$AA$4:$AA$1203,$AE150)=0,"",INDEX(对接源_01水果!$AA$4:$AA$1203,$AE150)),IF(INDEX(对接源_02物料!$AA$4:$AA$1203,$AE150-1200)=0,"",INDEX(对接源_02物料!$AA$4:$AA$1203,$AE150-1200))))</f>
        <v/>
      </c>
      <c r="I150" s="41" t="str">
        <f aca="false">IF($AE150="","",IF($AE150&lt;=1200,IF(INDEX(对接源_01水果!$AB$4:$AB$1203,$AE150)=0,"",INDEX(对接源_01水果!$AB$4:$AB$1203,$AE150)),IF(INDEX(对接源_02物料!$AB$4:$AB$1203,$AE150-1200)=0,"",INDEX(对接源_02物料!$AB$4:$AB$1203,$AE150-1200))))</f>
        <v/>
      </c>
      <c r="J150" s="42" t="str">
        <f aca="false">IF($AE150="","",IF($AE150&lt;=1200,IF(INDEX(对接源_01水果!$M$4:$M$1203,$AE150)=0,"",INDEX(对接源_01水果!$M$4:$M$1203,$AE150)),IF(INDEX(对接源_02物料!$M$4:$M$1203,$AE150-1200)=0,"",INDEX(对接源_02物料!$M$4:$M$1203,$AE150-1200))))</f>
        <v/>
      </c>
      <c r="AE150" s="44" t="str">
        <f aca="false">IFERROR(MATCH(145,_自动清单!$AK$4:$AK$2403,0),"")</f>
        <v/>
      </c>
    </row>
    <row r="151" customFormat="false" ht="18" hidden="false" customHeight="true" outlineLevel="0" collapsed="false">
      <c r="A151" s="45" t="str">
        <f aca="false">IF($AE151="","",IF($AE151&lt;=1200,IF(INDEX(对接源_01水果!$B$4:$B$1203,$AE151)=0,"",INDEX(对接源_01水果!$B$4:$B$1203,$AE151)),IF(INDEX(对接源_02物料!$B$4:$B$1203,$AE151-1200)=0,"",INDEX(对接源_02物料!$B$4:$B$1203,$AE151-1200))))</f>
        <v/>
      </c>
      <c r="B151" s="46" t="str">
        <f aca="false">IF($AE151="","",IF($AE151&lt;=1200,IF(INDEX(对接源_01水果!$E$4:$E$1203,$AE151)=0,"",INDEX(对接源_01水果!$E$4:$E$1203,$AE151)),IF(INDEX(对接源_02物料!$E$4:$E$1203,$AE151-1200)=0,"",INDEX(对接源_02物料!$E$4:$E$1203,$AE151-1200))))</f>
        <v/>
      </c>
      <c r="C151" s="46" t="str">
        <f aca="false">IF($AE151="","",IF($AE151&lt;=1200,IF(INDEX(对接源_01水果!$F$4:$F$1203,$AE151)=0,"",INDEX(对接源_01水果!$F$4:$F$1203,$AE151)),IF(INDEX(对接源_02物料!$F$4:$F$1203,$AE151-1200)=0,"",INDEX(对接源_02物料!$F$4:$F$1203,$AE151-1200))))</f>
        <v/>
      </c>
      <c r="D151" s="46" t="str">
        <f aca="false">IF($AE151="","",IF($AE151&lt;=1200,IF(INDEX(对接源_01水果!$G$4:$G$1203,$AE151)=0,"",INDEX(对接源_01水果!$G$4:$G$1203,$AE151)),IF(INDEX(对接源_02物料!$G$4:$G$1203,$AE151-1200)=0,"",INDEX(对接源_02物料!$G$4:$G$1203,$AE151-1200))))</f>
        <v/>
      </c>
      <c r="E151" s="48" t="str">
        <f aca="false">IF($AE151="","",IF($AE151&lt;=1200,IF(INDEX(对接源_01水果!$H$4:$H$1203,$AE151)=0,"",INDEX(对接源_01水果!$H$4:$H$1203,$AE151)),IF(INDEX(对接源_02物料!$H$4:$H$1203,$AE151-1200)=0,"",INDEX(对接源_02物料!$H$4:$H$1203,$AE151-1200))))</f>
        <v/>
      </c>
      <c r="F151" s="46" t="str">
        <f aca="false">IF($AE151="","",IF($AE151&lt;=1200,IF(INDEX(对接源_01水果!$I$4:$I$1203,$AE151)=0,"",INDEX(对接源_01水果!$I$4:$I$1203,$AE151)),IF(INDEX(对接源_02物料!$I$4:$I$1203,$AE151-1200)=0,"",INDEX(对接源_02物料!$I$4:$I$1203,$AE151-1200))))</f>
        <v/>
      </c>
      <c r="G151" s="56" t="str">
        <f aca="false">IF($AE151="","",IF($AE151&lt;=1200,IF(INDEX(对接源_01水果!$Z$4:$Z$1203,$AE151)=0,"",INDEX(对接源_01水果!$Z$4:$Z$1203,$AE151)),IF(INDEX(对接源_02物料!$Z$4:$Z$1203,$AE151-1200)=0,"",INDEX(对接源_02物料!$Z$4:$Z$1203,$AE151-1200))))</f>
        <v/>
      </c>
      <c r="H151" s="56" t="str">
        <f aca="false">IF($AE151="","",IF($AE151&lt;=1200,IF(INDEX(对接源_01水果!$AA$4:$AA$1203,$AE151)=0,"",INDEX(对接源_01水果!$AA$4:$AA$1203,$AE151)),IF(INDEX(对接源_02物料!$AA$4:$AA$1203,$AE151-1200)=0,"",INDEX(对接源_02物料!$AA$4:$AA$1203,$AE151-1200))))</f>
        <v/>
      </c>
      <c r="I151" s="46" t="str">
        <f aca="false">IF($AE151="","",IF($AE151&lt;=1200,IF(INDEX(对接源_01水果!$AB$4:$AB$1203,$AE151)=0,"",INDEX(对接源_01水果!$AB$4:$AB$1203,$AE151)),IF(INDEX(对接源_02物料!$AB$4:$AB$1203,$AE151-1200)=0,"",INDEX(对接源_02物料!$AB$4:$AB$1203,$AE151-1200))))</f>
        <v/>
      </c>
      <c r="J151" s="47" t="str">
        <f aca="false">IF($AE151="","",IF($AE151&lt;=1200,IF(INDEX(对接源_01水果!$M$4:$M$1203,$AE151)=0,"",INDEX(对接源_01水果!$M$4:$M$1203,$AE151)),IF(INDEX(对接源_02物料!$M$4:$M$1203,$AE151-1200)=0,"",INDEX(对接源_02物料!$M$4:$M$1203,$AE151-1200))))</f>
        <v/>
      </c>
      <c r="AE151" s="44" t="str">
        <f aca="false">IFERROR(MATCH(146,_自动清单!$AK$4:$AK$2403,0),"")</f>
        <v/>
      </c>
    </row>
    <row r="152" customFormat="false" ht="18" hidden="false" customHeight="true" outlineLevel="0" collapsed="false">
      <c r="A152" s="40" t="str">
        <f aca="false">IF($AE152="","",IF($AE152&lt;=1200,IF(INDEX(对接源_01水果!$B$4:$B$1203,$AE152)=0,"",INDEX(对接源_01水果!$B$4:$B$1203,$AE152)),IF(INDEX(对接源_02物料!$B$4:$B$1203,$AE152-1200)=0,"",INDEX(对接源_02物料!$B$4:$B$1203,$AE152-1200))))</f>
        <v/>
      </c>
      <c r="B152" s="41" t="str">
        <f aca="false">IF($AE152="","",IF($AE152&lt;=1200,IF(INDEX(对接源_01水果!$E$4:$E$1203,$AE152)=0,"",INDEX(对接源_01水果!$E$4:$E$1203,$AE152)),IF(INDEX(对接源_02物料!$E$4:$E$1203,$AE152-1200)=0,"",INDEX(对接源_02物料!$E$4:$E$1203,$AE152-1200))))</f>
        <v/>
      </c>
      <c r="C152" s="41" t="str">
        <f aca="false">IF($AE152="","",IF($AE152&lt;=1200,IF(INDEX(对接源_01水果!$F$4:$F$1203,$AE152)=0,"",INDEX(对接源_01水果!$F$4:$F$1203,$AE152)),IF(INDEX(对接源_02物料!$F$4:$F$1203,$AE152-1200)=0,"",INDEX(对接源_02物料!$F$4:$F$1203,$AE152-1200))))</f>
        <v/>
      </c>
      <c r="D152" s="41" t="str">
        <f aca="false">IF($AE152="","",IF($AE152&lt;=1200,IF(INDEX(对接源_01水果!$G$4:$G$1203,$AE152)=0,"",INDEX(对接源_01水果!$G$4:$G$1203,$AE152)),IF(INDEX(对接源_02物料!$G$4:$G$1203,$AE152-1200)=0,"",INDEX(对接源_02物料!$G$4:$G$1203,$AE152-1200))))</f>
        <v/>
      </c>
      <c r="E152" s="43" t="str">
        <f aca="false">IF($AE152="","",IF($AE152&lt;=1200,IF(INDEX(对接源_01水果!$H$4:$H$1203,$AE152)=0,"",INDEX(对接源_01水果!$H$4:$H$1203,$AE152)),IF(INDEX(对接源_02物料!$H$4:$H$1203,$AE152-1200)=0,"",INDEX(对接源_02物料!$H$4:$H$1203,$AE152-1200))))</f>
        <v/>
      </c>
      <c r="F152" s="41" t="str">
        <f aca="false">IF($AE152="","",IF($AE152&lt;=1200,IF(INDEX(对接源_01水果!$I$4:$I$1203,$AE152)=0,"",INDEX(对接源_01水果!$I$4:$I$1203,$AE152)),IF(INDEX(对接源_02物料!$I$4:$I$1203,$AE152-1200)=0,"",INDEX(对接源_02物料!$I$4:$I$1203,$AE152-1200))))</f>
        <v/>
      </c>
      <c r="G152" s="55" t="str">
        <f aca="false">IF($AE152="","",IF($AE152&lt;=1200,IF(INDEX(对接源_01水果!$Z$4:$Z$1203,$AE152)=0,"",INDEX(对接源_01水果!$Z$4:$Z$1203,$AE152)),IF(INDEX(对接源_02物料!$Z$4:$Z$1203,$AE152-1200)=0,"",INDEX(对接源_02物料!$Z$4:$Z$1203,$AE152-1200))))</f>
        <v/>
      </c>
      <c r="H152" s="55" t="str">
        <f aca="false">IF($AE152="","",IF($AE152&lt;=1200,IF(INDEX(对接源_01水果!$AA$4:$AA$1203,$AE152)=0,"",INDEX(对接源_01水果!$AA$4:$AA$1203,$AE152)),IF(INDEX(对接源_02物料!$AA$4:$AA$1203,$AE152-1200)=0,"",INDEX(对接源_02物料!$AA$4:$AA$1203,$AE152-1200))))</f>
        <v/>
      </c>
      <c r="I152" s="41" t="str">
        <f aca="false">IF($AE152="","",IF($AE152&lt;=1200,IF(INDEX(对接源_01水果!$AB$4:$AB$1203,$AE152)=0,"",INDEX(对接源_01水果!$AB$4:$AB$1203,$AE152)),IF(INDEX(对接源_02物料!$AB$4:$AB$1203,$AE152-1200)=0,"",INDEX(对接源_02物料!$AB$4:$AB$1203,$AE152-1200))))</f>
        <v/>
      </c>
      <c r="J152" s="42" t="str">
        <f aca="false">IF($AE152="","",IF($AE152&lt;=1200,IF(INDEX(对接源_01水果!$M$4:$M$1203,$AE152)=0,"",INDEX(对接源_01水果!$M$4:$M$1203,$AE152)),IF(INDEX(对接源_02物料!$M$4:$M$1203,$AE152-1200)=0,"",INDEX(对接源_02物料!$M$4:$M$1203,$AE152-1200))))</f>
        <v/>
      </c>
      <c r="AE152" s="44" t="str">
        <f aca="false">IFERROR(MATCH(147,_自动清单!$AK$4:$AK$2403,0),"")</f>
        <v/>
      </c>
    </row>
    <row r="153" customFormat="false" ht="18" hidden="false" customHeight="true" outlineLevel="0" collapsed="false">
      <c r="A153" s="45" t="str">
        <f aca="false">IF($AE153="","",IF($AE153&lt;=1200,IF(INDEX(对接源_01水果!$B$4:$B$1203,$AE153)=0,"",INDEX(对接源_01水果!$B$4:$B$1203,$AE153)),IF(INDEX(对接源_02物料!$B$4:$B$1203,$AE153-1200)=0,"",INDEX(对接源_02物料!$B$4:$B$1203,$AE153-1200))))</f>
        <v/>
      </c>
      <c r="B153" s="46" t="str">
        <f aca="false">IF($AE153="","",IF($AE153&lt;=1200,IF(INDEX(对接源_01水果!$E$4:$E$1203,$AE153)=0,"",INDEX(对接源_01水果!$E$4:$E$1203,$AE153)),IF(INDEX(对接源_02物料!$E$4:$E$1203,$AE153-1200)=0,"",INDEX(对接源_02物料!$E$4:$E$1203,$AE153-1200))))</f>
        <v/>
      </c>
      <c r="C153" s="46" t="str">
        <f aca="false">IF($AE153="","",IF($AE153&lt;=1200,IF(INDEX(对接源_01水果!$F$4:$F$1203,$AE153)=0,"",INDEX(对接源_01水果!$F$4:$F$1203,$AE153)),IF(INDEX(对接源_02物料!$F$4:$F$1203,$AE153-1200)=0,"",INDEX(对接源_02物料!$F$4:$F$1203,$AE153-1200))))</f>
        <v/>
      </c>
      <c r="D153" s="46" t="str">
        <f aca="false">IF($AE153="","",IF($AE153&lt;=1200,IF(INDEX(对接源_01水果!$G$4:$G$1203,$AE153)=0,"",INDEX(对接源_01水果!$G$4:$G$1203,$AE153)),IF(INDEX(对接源_02物料!$G$4:$G$1203,$AE153-1200)=0,"",INDEX(对接源_02物料!$G$4:$G$1203,$AE153-1200))))</f>
        <v/>
      </c>
      <c r="E153" s="48" t="str">
        <f aca="false">IF($AE153="","",IF($AE153&lt;=1200,IF(INDEX(对接源_01水果!$H$4:$H$1203,$AE153)=0,"",INDEX(对接源_01水果!$H$4:$H$1203,$AE153)),IF(INDEX(对接源_02物料!$H$4:$H$1203,$AE153-1200)=0,"",INDEX(对接源_02物料!$H$4:$H$1203,$AE153-1200))))</f>
        <v/>
      </c>
      <c r="F153" s="46" t="str">
        <f aca="false">IF($AE153="","",IF($AE153&lt;=1200,IF(INDEX(对接源_01水果!$I$4:$I$1203,$AE153)=0,"",INDEX(对接源_01水果!$I$4:$I$1203,$AE153)),IF(INDEX(对接源_02物料!$I$4:$I$1203,$AE153-1200)=0,"",INDEX(对接源_02物料!$I$4:$I$1203,$AE153-1200))))</f>
        <v/>
      </c>
      <c r="G153" s="56" t="str">
        <f aca="false">IF($AE153="","",IF($AE153&lt;=1200,IF(INDEX(对接源_01水果!$Z$4:$Z$1203,$AE153)=0,"",INDEX(对接源_01水果!$Z$4:$Z$1203,$AE153)),IF(INDEX(对接源_02物料!$Z$4:$Z$1203,$AE153-1200)=0,"",INDEX(对接源_02物料!$Z$4:$Z$1203,$AE153-1200))))</f>
        <v/>
      </c>
      <c r="H153" s="56" t="str">
        <f aca="false">IF($AE153="","",IF($AE153&lt;=1200,IF(INDEX(对接源_01水果!$AA$4:$AA$1203,$AE153)=0,"",INDEX(对接源_01水果!$AA$4:$AA$1203,$AE153)),IF(INDEX(对接源_02物料!$AA$4:$AA$1203,$AE153-1200)=0,"",INDEX(对接源_02物料!$AA$4:$AA$1203,$AE153-1200))))</f>
        <v/>
      </c>
      <c r="I153" s="46" t="str">
        <f aca="false">IF($AE153="","",IF($AE153&lt;=1200,IF(INDEX(对接源_01水果!$AB$4:$AB$1203,$AE153)=0,"",INDEX(对接源_01水果!$AB$4:$AB$1203,$AE153)),IF(INDEX(对接源_02物料!$AB$4:$AB$1203,$AE153-1200)=0,"",INDEX(对接源_02物料!$AB$4:$AB$1203,$AE153-1200))))</f>
        <v/>
      </c>
      <c r="J153" s="47" t="str">
        <f aca="false">IF($AE153="","",IF($AE153&lt;=1200,IF(INDEX(对接源_01水果!$M$4:$M$1203,$AE153)=0,"",INDEX(对接源_01水果!$M$4:$M$1203,$AE153)),IF(INDEX(对接源_02物料!$M$4:$M$1203,$AE153-1200)=0,"",INDEX(对接源_02物料!$M$4:$M$1203,$AE153-1200))))</f>
        <v/>
      </c>
      <c r="AE153" s="44" t="n">
        <f aca="false">IFERROR(MATCH(148,_自动清单!$AK$4:$AK$2403,0),"")</f>
        <v>319</v>
      </c>
    </row>
    <row r="154" customFormat="false" ht="18" hidden="false" customHeight="true" outlineLevel="0" collapsed="false">
      <c r="A154" s="40" t="str">
        <f aca="false">IF($AE154="","",IF($AE154&lt;=1200,IF(INDEX(对接源_01水果!$B$4:$B$1203,$AE154)=0,"",INDEX(对接源_01水果!$B$4:$B$1203,$AE154)),IF(INDEX(对接源_02物料!$B$4:$B$1203,$AE154-1200)=0,"",INDEX(对接源_02物料!$B$4:$B$1203,$AE154-1200))))</f>
        <v/>
      </c>
      <c r="B154" s="41" t="str">
        <f aca="false">IF($AE154="","",IF($AE154&lt;=1200,IF(INDEX(对接源_01水果!$E$4:$E$1203,$AE154)=0,"",INDEX(对接源_01水果!$E$4:$E$1203,$AE154)),IF(INDEX(对接源_02物料!$E$4:$E$1203,$AE154-1200)=0,"",INDEX(对接源_02物料!$E$4:$E$1203,$AE154-1200))))</f>
        <v/>
      </c>
      <c r="C154" s="41" t="str">
        <f aca="false">IF($AE154="","",IF($AE154&lt;=1200,IF(INDEX(对接源_01水果!$F$4:$F$1203,$AE154)=0,"",INDEX(对接源_01水果!$F$4:$F$1203,$AE154)),IF(INDEX(对接源_02物料!$F$4:$F$1203,$AE154-1200)=0,"",INDEX(对接源_02物料!$F$4:$F$1203,$AE154-1200))))</f>
        <v/>
      </c>
      <c r="D154" s="41" t="str">
        <f aca="false">IF($AE154="","",IF($AE154&lt;=1200,IF(INDEX(对接源_01水果!$G$4:$G$1203,$AE154)=0,"",INDEX(对接源_01水果!$G$4:$G$1203,$AE154)),IF(INDEX(对接源_02物料!$G$4:$G$1203,$AE154-1200)=0,"",INDEX(对接源_02物料!$G$4:$G$1203,$AE154-1200))))</f>
        <v/>
      </c>
      <c r="E154" s="43" t="str">
        <f aca="false">IF($AE154="","",IF($AE154&lt;=1200,IF(INDEX(对接源_01水果!$H$4:$H$1203,$AE154)=0,"",INDEX(对接源_01水果!$H$4:$H$1203,$AE154)),IF(INDEX(对接源_02物料!$H$4:$H$1203,$AE154-1200)=0,"",INDEX(对接源_02物料!$H$4:$H$1203,$AE154-1200))))</f>
        <v/>
      </c>
      <c r="F154" s="41" t="str">
        <f aca="false">IF($AE154="","",IF($AE154&lt;=1200,IF(INDEX(对接源_01水果!$I$4:$I$1203,$AE154)=0,"",INDEX(对接源_01水果!$I$4:$I$1203,$AE154)),IF(INDEX(对接源_02物料!$I$4:$I$1203,$AE154-1200)=0,"",INDEX(对接源_02物料!$I$4:$I$1203,$AE154-1200))))</f>
        <v/>
      </c>
      <c r="G154" s="55" t="str">
        <f aca="false">IF($AE154="","",IF($AE154&lt;=1200,IF(INDEX(对接源_01水果!$Z$4:$Z$1203,$AE154)=0,"",INDEX(对接源_01水果!$Z$4:$Z$1203,$AE154)),IF(INDEX(对接源_02物料!$Z$4:$Z$1203,$AE154-1200)=0,"",INDEX(对接源_02物料!$Z$4:$Z$1203,$AE154-1200))))</f>
        <v/>
      </c>
      <c r="H154" s="55" t="str">
        <f aca="false">IF($AE154="","",IF($AE154&lt;=1200,IF(INDEX(对接源_01水果!$AA$4:$AA$1203,$AE154)=0,"",INDEX(对接源_01水果!$AA$4:$AA$1203,$AE154)),IF(INDEX(对接源_02物料!$AA$4:$AA$1203,$AE154-1200)=0,"",INDEX(对接源_02物料!$AA$4:$AA$1203,$AE154-1200))))</f>
        <v/>
      </c>
      <c r="I154" s="41" t="str">
        <f aca="false">IF($AE154="","",IF($AE154&lt;=1200,IF(INDEX(对接源_01水果!$AB$4:$AB$1203,$AE154)=0,"",INDEX(对接源_01水果!$AB$4:$AB$1203,$AE154)),IF(INDEX(对接源_02物料!$AB$4:$AB$1203,$AE154-1200)=0,"",INDEX(对接源_02物料!$AB$4:$AB$1203,$AE154-1200))))</f>
        <v/>
      </c>
      <c r="J154" s="42" t="str">
        <f aca="false">IF($AE154="","",IF($AE154&lt;=1200,IF(INDEX(对接源_01水果!$M$4:$M$1203,$AE154)=0,"",INDEX(对接源_01水果!$M$4:$M$1203,$AE154)),IF(INDEX(对接源_02物料!$M$4:$M$1203,$AE154-1200)=0,"",INDEX(对接源_02物料!$M$4:$M$1203,$AE154-1200))))</f>
        <v/>
      </c>
      <c r="AE154" s="44" t="str">
        <f aca="false">IFERROR(MATCH(149,_自动清单!$AK$4:$AK$2403,0),"")</f>
        <v/>
      </c>
    </row>
    <row r="155" customFormat="false" ht="18" hidden="false" customHeight="true" outlineLevel="0" collapsed="false">
      <c r="A155" s="45" t="str">
        <f aca="false">IF($AE155="","",IF($AE155&lt;=1200,IF(INDEX(对接源_01水果!$B$4:$B$1203,$AE155)=0,"",INDEX(对接源_01水果!$B$4:$B$1203,$AE155)),IF(INDEX(对接源_02物料!$B$4:$B$1203,$AE155-1200)=0,"",INDEX(对接源_02物料!$B$4:$B$1203,$AE155-1200))))</f>
        <v/>
      </c>
      <c r="B155" s="46" t="str">
        <f aca="false">IF($AE155="","",IF($AE155&lt;=1200,IF(INDEX(对接源_01水果!$E$4:$E$1203,$AE155)=0,"",INDEX(对接源_01水果!$E$4:$E$1203,$AE155)),IF(INDEX(对接源_02物料!$E$4:$E$1203,$AE155-1200)=0,"",INDEX(对接源_02物料!$E$4:$E$1203,$AE155-1200))))</f>
        <v/>
      </c>
      <c r="C155" s="46" t="str">
        <f aca="false">IF($AE155="","",IF($AE155&lt;=1200,IF(INDEX(对接源_01水果!$F$4:$F$1203,$AE155)=0,"",INDEX(对接源_01水果!$F$4:$F$1203,$AE155)),IF(INDEX(对接源_02物料!$F$4:$F$1203,$AE155-1200)=0,"",INDEX(对接源_02物料!$F$4:$F$1203,$AE155-1200))))</f>
        <v/>
      </c>
      <c r="D155" s="46" t="str">
        <f aca="false">IF($AE155="","",IF($AE155&lt;=1200,IF(INDEX(对接源_01水果!$G$4:$G$1203,$AE155)=0,"",INDEX(对接源_01水果!$G$4:$G$1203,$AE155)),IF(INDEX(对接源_02物料!$G$4:$G$1203,$AE155-1200)=0,"",INDEX(对接源_02物料!$G$4:$G$1203,$AE155-1200))))</f>
        <v/>
      </c>
      <c r="E155" s="48" t="str">
        <f aca="false">IF($AE155="","",IF($AE155&lt;=1200,IF(INDEX(对接源_01水果!$H$4:$H$1203,$AE155)=0,"",INDEX(对接源_01水果!$H$4:$H$1203,$AE155)),IF(INDEX(对接源_02物料!$H$4:$H$1203,$AE155-1200)=0,"",INDEX(对接源_02物料!$H$4:$H$1203,$AE155-1200))))</f>
        <v/>
      </c>
      <c r="F155" s="46" t="str">
        <f aca="false">IF($AE155="","",IF($AE155&lt;=1200,IF(INDEX(对接源_01水果!$I$4:$I$1203,$AE155)=0,"",INDEX(对接源_01水果!$I$4:$I$1203,$AE155)),IF(INDEX(对接源_02物料!$I$4:$I$1203,$AE155-1200)=0,"",INDEX(对接源_02物料!$I$4:$I$1203,$AE155-1200))))</f>
        <v/>
      </c>
      <c r="G155" s="56" t="str">
        <f aca="false">IF($AE155="","",IF($AE155&lt;=1200,IF(INDEX(对接源_01水果!$Z$4:$Z$1203,$AE155)=0,"",INDEX(对接源_01水果!$Z$4:$Z$1203,$AE155)),IF(INDEX(对接源_02物料!$Z$4:$Z$1203,$AE155-1200)=0,"",INDEX(对接源_02物料!$Z$4:$Z$1203,$AE155-1200))))</f>
        <v/>
      </c>
      <c r="H155" s="56" t="str">
        <f aca="false">IF($AE155="","",IF($AE155&lt;=1200,IF(INDEX(对接源_01水果!$AA$4:$AA$1203,$AE155)=0,"",INDEX(对接源_01水果!$AA$4:$AA$1203,$AE155)),IF(INDEX(对接源_02物料!$AA$4:$AA$1203,$AE155-1200)=0,"",INDEX(对接源_02物料!$AA$4:$AA$1203,$AE155-1200))))</f>
        <v/>
      </c>
      <c r="I155" s="46" t="str">
        <f aca="false">IF($AE155="","",IF($AE155&lt;=1200,IF(INDEX(对接源_01水果!$AB$4:$AB$1203,$AE155)=0,"",INDEX(对接源_01水果!$AB$4:$AB$1203,$AE155)),IF(INDEX(对接源_02物料!$AB$4:$AB$1203,$AE155-1200)=0,"",INDEX(对接源_02物料!$AB$4:$AB$1203,$AE155-1200))))</f>
        <v/>
      </c>
      <c r="J155" s="47" t="str">
        <f aca="false">IF($AE155="","",IF($AE155&lt;=1200,IF(INDEX(对接源_01水果!$M$4:$M$1203,$AE155)=0,"",INDEX(对接源_01水果!$M$4:$M$1203,$AE155)),IF(INDEX(对接源_02物料!$M$4:$M$1203,$AE155-1200)=0,"",INDEX(对接源_02物料!$M$4:$M$1203,$AE155-1200))))</f>
        <v/>
      </c>
      <c r="AE155" s="44" t="str">
        <f aca="false">IFERROR(MATCH(150,_自动清单!$AK$4:$AK$2403,0),"")</f>
        <v/>
      </c>
    </row>
  </sheetData>
  <mergeCells count="11">
    <mergeCell ref="A1:H1"/>
    <mergeCell ref="I1:J1"/>
    <mergeCell ref="B2:C2"/>
    <mergeCell ref="L2:N2"/>
    <mergeCell ref="A3:J3"/>
    <mergeCell ref="L3:M3"/>
    <mergeCell ref="A4:G4"/>
    <mergeCell ref="H4:J4"/>
    <mergeCell ref="L4:M4"/>
    <mergeCell ref="L5:M5"/>
    <mergeCell ref="L6:M6"/>
  </mergeCells>
  <dataValidations count="1">
    <dataValidation allowBlank="true" errorStyle="stop" operator="between" showDropDown="false" showErrorMessage="false" showInputMessage="false" sqref="B2" type="list">
      <formula1>_自动清单!$E$4:$E$203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7"/>
    <col collapsed="false" customWidth="true" hidden="false" outlineLevel="0" max="9" min="7" style="1" width="11"/>
    <col collapsed="false" customWidth="true" hidden="false" outlineLevel="0" max="10" min="10" style="1" width="15"/>
    <col collapsed="false" customWidth="true" hidden="false" outlineLevel="0" max="11" min="11" style="1" width="11"/>
    <col collapsed="false" customWidth="true" hidden="false" outlineLevel="0" max="12" min="12" style="1" width="16"/>
    <col collapsed="false" customWidth="true" hidden="false" outlineLevel="0" max="13" min="13" style="1" width="3"/>
    <col collapsed="false" customWidth="true" hidden="false" outlineLevel="0" max="14" min="14" style="1" width="18"/>
    <col collapsed="false" customWidth="true" hidden="false" outlineLevel="0" max="15" min="15" style="1" width="3"/>
    <col collapsed="false" customWidth="true" hidden="false" outlineLevel="0" max="16" min="16" style="1" width="14"/>
    <col collapsed="false" customWidth="true" hidden="false" outlineLevel="0" max="18" min="17" style="1" width="3"/>
    <col collapsed="false" customWidth="true" hidden="true" outlineLevel="0" max="19" min="19" style="1" width="6"/>
    <col collapsed="false" customWidth="true" hidden="true" outlineLevel="0" max="20" min="20" style="1" width="12"/>
  </cols>
  <sheetData>
    <row r="1" customFormat="false" ht="25.5" hidden="false" customHeight="true" outlineLevel="0" collapsed="false">
      <c r="A1" s="72" t="s">
        <v>70</v>
      </c>
      <c r="B1" s="72"/>
      <c r="C1" s="72"/>
      <c r="D1" s="72"/>
      <c r="E1" s="72"/>
      <c r="F1" s="72"/>
      <c r="G1" s="72"/>
      <c r="I1" s="73" t="s">
        <v>71</v>
      </c>
      <c r="T1" s="74" t="n">
        <f aca="false">IF($F$2="",DATE(1900,1,1),$F$2)</f>
        <v>2</v>
      </c>
    </row>
    <row r="2" customFormat="false" ht="15" hidden="false" customHeight="false" outlineLevel="0" collapsed="false">
      <c r="A2" s="75" t="s">
        <v>142</v>
      </c>
      <c r="B2" s="76" t="s">
        <v>73</v>
      </c>
      <c r="E2" s="75" t="s">
        <v>143</v>
      </c>
      <c r="F2" s="77"/>
      <c r="G2" s="75" t="s">
        <v>144</v>
      </c>
      <c r="H2" s="77"/>
      <c r="N2" s="78" t="s">
        <v>145</v>
      </c>
      <c r="T2" s="74" t="n">
        <f aca="false">IF($H$2="",DATE(2999,12,31),$H$2)</f>
        <v>401768</v>
      </c>
    </row>
    <row r="3" customFormat="false" ht="25.5" hidden="false" customHeight="true" outlineLevel="0" collapsed="false">
      <c r="A3" s="79" t="s">
        <v>146</v>
      </c>
      <c r="B3" s="79"/>
      <c r="C3" s="79"/>
      <c r="D3" s="79"/>
      <c r="E3" s="79"/>
      <c r="F3" s="79"/>
      <c r="G3" s="79"/>
      <c r="N3" s="80" t="s">
        <v>147</v>
      </c>
      <c r="P3" s="81" t="n">
        <f aca="false">ROUND(SUMIFS(对接源_01水果!$H$4:$H$1203,对接源_01水果!$AC$4:$AC$1203,$B$2,对接源_01水果!$B$4:$B$1203,"&gt;="&amp;$T$1,对接源_01水果!$B$4:$B$1203,"&lt;="&amp;$T$2,对接源_01水果!$K$4:$K$1203,"&gt;0"),0)</f>
        <v>0</v>
      </c>
    </row>
    <row r="4" customFormat="false" ht="15" hidden="false" customHeight="true" outlineLevel="0" collapsed="false">
      <c r="A4" s="80" t="s">
        <v>148</v>
      </c>
      <c r="B4" s="80"/>
      <c r="C4" s="80"/>
      <c r="D4" s="80"/>
      <c r="E4" s="82" t="n">
        <f aca="false">ROUND(N($P$4)-N($P$7),2)</f>
        <v>0</v>
      </c>
      <c r="F4" s="82"/>
      <c r="G4" s="82"/>
      <c r="H4" s="82"/>
      <c r="N4" s="80" t="s">
        <v>149</v>
      </c>
      <c r="P4" s="83" t="n">
        <f aca="false">ROUND(SUMIFS(对接源_01水果!$K$4:$K$1203,对接源_01水果!$AC$4:$AC$1203,$B$2,对接源_01水果!$B$4:$B$1203,"&gt;="&amp;$T$1,对接源_01水果!$B$4:$B$1203,"&lt;="&amp;$T$2,对接源_01水果!$K$4:$K$1203,"&gt;0"),2)</f>
        <v>0</v>
      </c>
    </row>
    <row r="5" customFormat="false" ht="30" hidden="false" customHeight="true" outlineLevel="0" collapsed="false">
      <c r="A5" s="13" t="s">
        <v>81</v>
      </c>
      <c r="B5" s="13" t="s">
        <v>82</v>
      </c>
      <c r="C5" s="13" t="s">
        <v>111</v>
      </c>
      <c r="D5" s="13" t="s">
        <v>112</v>
      </c>
      <c r="E5" s="13" t="s">
        <v>84</v>
      </c>
      <c r="F5" s="13" t="s">
        <v>113</v>
      </c>
      <c r="G5" s="13" t="s">
        <v>150</v>
      </c>
      <c r="H5" s="13" t="s">
        <v>151</v>
      </c>
      <c r="I5" s="13" t="s">
        <v>152</v>
      </c>
      <c r="J5" s="13" t="s">
        <v>149</v>
      </c>
      <c r="K5" s="13" t="s">
        <v>130</v>
      </c>
      <c r="L5" s="13" t="s">
        <v>87</v>
      </c>
      <c r="N5" s="80" t="s">
        <v>153</v>
      </c>
      <c r="P5" s="83" t="n">
        <f aca="false">ROUND(SUMIFS(对接源_01水果!$AE$4:$AE$1203,对接源_01水果!$AC$4:$AC$1203,$B$2,对接源_01水果!$B$4:$B$1203,"&gt;="&amp;$T$1,对接源_01水果!$B$4:$B$1203,"&lt;="&amp;$T$2,对接源_01水果!$K$4:$K$1203,"&gt;0"),2)</f>
        <v>0</v>
      </c>
    </row>
    <row r="6" customFormat="false" ht="15.75" hidden="false" customHeight="true" outlineLevel="0" collapsed="false">
      <c r="A6" s="84" t="str">
        <f aca="false">IF($S6="","",IF(INDEX(对接源_01水果!$B$4:$B$1203,$S6)=0,"",INDEX(对接源_01水果!$B$4:$B$1203,$S6)))</f>
        <v/>
      </c>
      <c r="B6" s="85" t="str">
        <f aca="false">IF($S6="","",IF(INDEX(对接源_01水果!$E$4:$E$1203,$S6)=0,"",INDEX(对接源_01水果!$E$4:$E$1203,$S6)))</f>
        <v/>
      </c>
      <c r="C6" s="85" t="str">
        <f aca="false">IF($S6="","",IF(INDEX(对接源_01水果!$F$4:$F$1203,$S6)=0,"",INDEX(对接源_01水果!$F$4:$F$1203,$S6)))</f>
        <v/>
      </c>
      <c r="D6" s="85" t="str">
        <f aca="false">IF($S6="","",IF(INDEX(对接源_01水果!$G$4:$G$1203,$S6)=0,"",INDEX(对接源_01水果!$G$4:$G$1203,$S6)))</f>
        <v/>
      </c>
      <c r="E6" s="86" t="str">
        <f aca="false">IF($S6="","",IF(INDEX(对接源_01水果!$H$4:$H$1203,$S6)=0,"",INDEX(对接源_01水果!$H$4:$H$1203,$S6)))</f>
        <v/>
      </c>
      <c r="F6" s="85" t="str">
        <f aca="false">IF($S6="","",IF(INDEX(对接源_01水果!$I$4:$I$1203,$S6)=0,"",INDEX(对接源_01水果!$I$4:$I$1203,$S6)))</f>
        <v/>
      </c>
      <c r="G6" s="87" t="str">
        <f aca="false">IF($S6="","",IF(INDEX(对接源_01水果!$AD$4:$AD$1203,$S6)=0,"",INDEX(对接源_01水果!$AD$4:$AD$1203,$S6)))</f>
        <v/>
      </c>
      <c r="H6" s="87" t="str">
        <f aca="false">IF($S6="","",IF(INDEX(对接源_01水果!$AE$4:$AE$1203,$S6)=0,"",INDEX(对接源_01水果!$AE$4:$AE$1203,$S6)))</f>
        <v/>
      </c>
      <c r="I6" s="87" t="str">
        <f aca="false">IF($S6="","",IF(INDEX(对接源_01水果!$AF$4:$AF$1203,$S6)=0,"",INDEX(对接源_01水果!$AF$4:$AF$1203,$S6)))</f>
        <v/>
      </c>
      <c r="J6" s="88" t="str">
        <f aca="false">IF($S6="","",IF(INDEX(对接源_01水果!$K$4:$K$1203,$S6)=0,"",INDEX(对接源_01水果!$K$4:$K$1203,$S6)))</f>
        <v/>
      </c>
      <c r="K6" s="85" t="str">
        <f aca="false">IF($S6="","",IF(INDEX(对接源_01水果!$L$4:$L$1203,$S6)=0,"",INDEX(对接源_01水果!$L$4:$L$1203,$S6)))</f>
        <v/>
      </c>
      <c r="L6" s="89" t="str">
        <f aca="false">IF($S6="","",IF(INDEX(对接源_01水果!$M$4:$M$1203,$S6)=0,"",INDEX(对接源_01水果!$M$4:$M$1203,$S6)))</f>
        <v/>
      </c>
      <c r="N6" s="80" t="s">
        <v>154</v>
      </c>
      <c r="P6" s="83" t="n">
        <f aca="false">ROUND(SUMIFS(对接源_01水果!$AF$4:$AF$1203,对接源_01水果!$AC$4:$AC$1203,$B$2,对接源_01水果!$B$4:$B$1203,"&gt;="&amp;$T$1,对接源_01水果!$B$4:$B$1203,"&lt;="&amp;$T$2,对接源_01水果!$K$4:$K$1203,"&gt;0"),2)</f>
        <v>0</v>
      </c>
      <c r="S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" customFormat="false" ht="15.75" hidden="false" customHeight="true" outlineLevel="0" collapsed="false">
      <c r="A7" s="84" t="str">
        <f aca="false">IF($S7="","",IF(INDEX(对接源_01水果!$B$4:$B$1203,$S7)=0,"",INDEX(对接源_01水果!$B$4:$B$1203,$S7)))</f>
        <v/>
      </c>
      <c r="B7" s="85" t="str">
        <f aca="false">IF($S7="","",IF(INDEX(对接源_01水果!$E$4:$E$1203,$S7)=0,"",INDEX(对接源_01水果!$E$4:$E$1203,$S7)))</f>
        <v/>
      </c>
      <c r="C7" s="85" t="str">
        <f aca="false">IF($S7="","",IF(INDEX(对接源_01水果!$F$4:$F$1203,$S7)=0,"",INDEX(对接源_01水果!$F$4:$F$1203,$S7)))</f>
        <v/>
      </c>
      <c r="D7" s="85" t="str">
        <f aca="false">IF($S7="","",IF(INDEX(对接源_01水果!$G$4:$G$1203,$S7)=0,"",INDEX(对接源_01水果!$G$4:$G$1203,$S7)))</f>
        <v/>
      </c>
      <c r="E7" s="86" t="str">
        <f aca="false">IF($S7="","",IF(INDEX(对接源_01水果!$H$4:$H$1203,$S7)=0,"",INDEX(对接源_01水果!$H$4:$H$1203,$S7)))</f>
        <v/>
      </c>
      <c r="F7" s="85" t="str">
        <f aca="false">IF($S7="","",IF(INDEX(对接源_01水果!$I$4:$I$1203,$S7)=0,"",INDEX(对接源_01水果!$I$4:$I$1203,$S7)))</f>
        <v/>
      </c>
      <c r="G7" s="87" t="str">
        <f aca="false">IF($S7="","",IF(INDEX(对接源_01水果!$AD$4:$AD$1203,$S7)=0,"",INDEX(对接源_01水果!$AD$4:$AD$1203,$S7)))</f>
        <v/>
      </c>
      <c r="H7" s="87" t="str">
        <f aca="false">IF($S7="","",IF(INDEX(对接源_01水果!$AE$4:$AE$1203,$S7)=0,"",INDEX(对接源_01水果!$AE$4:$AE$1203,$S7)))</f>
        <v/>
      </c>
      <c r="I7" s="87" t="str">
        <f aca="false">IF($S7="","",IF(INDEX(对接源_01水果!$AF$4:$AF$1203,$S7)=0,"",INDEX(对接源_01水果!$AF$4:$AF$1203,$S7)))</f>
        <v/>
      </c>
      <c r="J7" s="88" t="str">
        <f aca="false">IF($S7="","",IF(INDEX(对接源_01水果!$K$4:$K$1203,$S7)=0,"",INDEX(对接源_01水果!$K$4:$K$1203,$S7)))</f>
        <v/>
      </c>
      <c r="K7" s="85" t="str">
        <f aca="false">IF($S7="","",IF(INDEX(对接源_01水果!$L$4:$L$1203,$S7)=0,"",INDEX(对接源_01水果!$L$4:$L$1203,$S7)))</f>
        <v/>
      </c>
      <c r="L7" s="89" t="str">
        <f aca="false">IF($S7="","",IF(INDEX(对接源_01水果!$M$4:$M$1203,$S7)=0,"",INDEX(对接源_01水果!$M$4:$M$1203,$S7)))</f>
        <v/>
      </c>
      <c r="N7" s="80" t="s">
        <v>155</v>
      </c>
      <c r="P7" s="83" t="n">
        <f aca="false">ROUND(SUMIFS(对接源_01水果!$K$4:$K$1203,对接源_01水果!$AC$4:$AC$1203,$B$2,对接源_01水果!$B$4:$B$1203,"&gt;="&amp;$T$1,对接源_01水果!$B$4:$B$1203,"&lt;="&amp;$T$2,对接源_01水果!$K$4:$K$1203,"&gt;0",对接源_01水果!$L$4:$L$1203,"已收清"),2)</f>
        <v>0</v>
      </c>
      <c r="S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" customFormat="false" ht="15.75" hidden="false" customHeight="true" outlineLevel="0" collapsed="false">
      <c r="A8" s="84" t="str">
        <f aca="false">IF($S8="","",IF(INDEX(对接源_01水果!$B$4:$B$1203,$S8)=0,"",INDEX(对接源_01水果!$B$4:$B$1203,$S8)))</f>
        <v/>
      </c>
      <c r="B8" s="85" t="str">
        <f aca="false">IF($S8="","",IF(INDEX(对接源_01水果!$E$4:$E$1203,$S8)=0,"",INDEX(对接源_01水果!$E$4:$E$1203,$S8)))</f>
        <v/>
      </c>
      <c r="C8" s="85" t="str">
        <f aca="false">IF($S8="","",IF(INDEX(对接源_01水果!$F$4:$F$1203,$S8)=0,"",INDEX(对接源_01水果!$F$4:$F$1203,$S8)))</f>
        <v/>
      </c>
      <c r="D8" s="85" t="str">
        <f aca="false">IF($S8="","",IF(INDEX(对接源_01水果!$G$4:$G$1203,$S8)=0,"",INDEX(对接源_01水果!$G$4:$G$1203,$S8)))</f>
        <v/>
      </c>
      <c r="E8" s="86" t="str">
        <f aca="false">IF($S8="","",IF(INDEX(对接源_01水果!$H$4:$H$1203,$S8)=0,"",INDEX(对接源_01水果!$H$4:$H$1203,$S8)))</f>
        <v/>
      </c>
      <c r="F8" s="85" t="str">
        <f aca="false">IF($S8="","",IF(INDEX(对接源_01水果!$I$4:$I$1203,$S8)=0,"",INDEX(对接源_01水果!$I$4:$I$1203,$S8)))</f>
        <v/>
      </c>
      <c r="G8" s="87" t="str">
        <f aca="false">IF($S8="","",IF(INDEX(对接源_01水果!$AD$4:$AD$1203,$S8)=0,"",INDEX(对接源_01水果!$AD$4:$AD$1203,$S8)))</f>
        <v/>
      </c>
      <c r="H8" s="87" t="str">
        <f aca="false">IF($S8="","",IF(INDEX(对接源_01水果!$AE$4:$AE$1203,$S8)=0,"",INDEX(对接源_01水果!$AE$4:$AE$1203,$S8)))</f>
        <v/>
      </c>
      <c r="I8" s="87" t="str">
        <f aca="false">IF($S8="","",IF(INDEX(对接源_01水果!$AF$4:$AF$1203,$S8)=0,"",INDEX(对接源_01水果!$AF$4:$AF$1203,$S8)))</f>
        <v/>
      </c>
      <c r="J8" s="88" t="str">
        <f aca="false">IF($S8="","",IF(INDEX(对接源_01水果!$K$4:$K$1203,$S8)=0,"",INDEX(对接源_01水果!$K$4:$K$1203,$S8)))</f>
        <v/>
      </c>
      <c r="K8" s="85" t="str">
        <f aca="false">IF($S8="","",IF(INDEX(对接源_01水果!$L$4:$L$1203,$S8)=0,"",INDEX(对接源_01水果!$L$4:$L$1203,$S8)))</f>
        <v/>
      </c>
      <c r="L8" s="89" t="str">
        <f aca="false">IF($S8="","",IF(INDEX(对接源_01水果!$M$4:$M$1203,$S8)=0,"",INDEX(对接源_01水果!$M$4:$M$1203,$S8)))</f>
        <v/>
      </c>
      <c r="N8" s="80" t="s">
        <v>156</v>
      </c>
      <c r="P8" s="83" t="n">
        <f aca="false">ROUND(N($P$4)-N($P$7),2)</f>
        <v>0</v>
      </c>
      <c r="S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" customFormat="false" ht="15.75" hidden="false" customHeight="true" outlineLevel="0" collapsed="false">
      <c r="A9" s="84" t="str">
        <f aca="false">IF($S9="","",IF(INDEX(对接源_01水果!$B$4:$B$1203,$S9)=0,"",INDEX(对接源_01水果!$B$4:$B$1203,$S9)))</f>
        <v/>
      </c>
      <c r="B9" s="85" t="str">
        <f aca="false">IF($S9="","",IF(INDEX(对接源_01水果!$E$4:$E$1203,$S9)=0,"",INDEX(对接源_01水果!$E$4:$E$1203,$S9)))</f>
        <v/>
      </c>
      <c r="C9" s="85" t="str">
        <f aca="false">IF($S9="","",IF(INDEX(对接源_01水果!$F$4:$F$1203,$S9)=0,"",INDEX(对接源_01水果!$F$4:$F$1203,$S9)))</f>
        <v/>
      </c>
      <c r="D9" s="85" t="str">
        <f aca="false">IF($S9="","",IF(INDEX(对接源_01水果!$G$4:$G$1203,$S9)=0,"",INDEX(对接源_01水果!$G$4:$G$1203,$S9)))</f>
        <v/>
      </c>
      <c r="E9" s="86" t="str">
        <f aca="false">IF($S9="","",IF(INDEX(对接源_01水果!$H$4:$H$1203,$S9)=0,"",INDEX(对接源_01水果!$H$4:$H$1203,$S9)))</f>
        <v/>
      </c>
      <c r="F9" s="85" t="str">
        <f aca="false">IF($S9="","",IF(INDEX(对接源_01水果!$I$4:$I$1203,$S9)=0,"",INDEX(对接源_01水果!$I$4:$I$1203,$S9)))</f>
        <v/>
      </c>
      <c r="G9" s="87" t="str">
        <f aca="false">IF($S9="","",IF(INDEX(对接源_01水果!$AD$4:$AD$1203,$S9)=0,"",INDEX(对接源_01水果!$AD$4:$AD$1203,$S9)))</f>
        <v/>
      </c>
      <c r="H9" s="87" t="str">
        <f aca="false">IF($S9="","",IF(INDEX(对接源_01水果!$AE$4:$AE$1203,$S9)=0,"",INDEX(对接源_01水果!$AE$4:$AE$1203,$S9)))</f>
        <v/>
      </c>
      <c r="I9" s="87" t="str">
        <f aca="false">IF($S9="","",IF(INDEX(对接源_01水果!$AF$4:$AF$1203,$S9)=0,"",INDEX(对接源_01水果!$AF$4:$AF$1203,$S9)))</f>
        <v/>
      </c>
      <c r="J9" s="88" t="str">
        <f aca="false">IF($S9="","",IF(INDEX(对接源_01水果!$K$4:$K$1203,$S9)=0,"",INDEX(对接源_01水果!$K$4:$K$1203,$S9)))</f>
        <v/>
      </c>
      <c r="K9" s="85" t="str">
        <f aca="false">IF($S9="","",IF(INDEX(对接源_01水果!$L$4:$L$1203,$S9)=0,"",INDEX(对接源_01水果!$L$4:$L$1203,$S9)))</f>
        <v/>
      </c>
      <c r="L9" s="89" t="str">
        <f aca="false">IF($S9="","",IF(INDEX(对接源_01水果!$M$4:$M$1203,$S9)=0,"",INDEX(对接源_01水果!$M$4:$M$1203,$S9)))</f>
        <v/>
      </c>
      <c r="S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" customFormat="false" ht="15.75" hidden="false" customHeight="true" outlineLevel="0" collapsed="false">
      <c r="A10" s="84" t="str">
        <f aca="false">IF($S10="","",IF(INDEX(对接源_01水果!$B$4:$B$1203,$S10)=0,"",INDEX(对接源_01水果!$B$4:$B$1203,$S10)))</f>
        <v/>
      </c>
      <c r="B10" s="85" t="str">
        <f aca="false">IF($S10="","",IF(INDEX(对接源_01水果!$E$4:$E$1203,$S10)=0,"",INDEX(对接源_01水果!$E$4:$E$1203,$S10)))</f>
        <v/>
      </c>
      <c r="C10" s="85" t="str">
        <f aca="false">IF($S10="","",IF(INDEX(对接源_01水果!$F$4:$F$1203,$S10)=0,"",INDEX(对接源_01水果!$F$4:$F$1203,$S10)))</f>
        <v/>
      </c>
      <c r="D10" s="85" t="str">
        <f aca="false">IF($S10="","",IF(INDEX(对接源_01水果!$G$4:$G$1203,$S10)=0,"",INDEX(对接源_01水果!$G$4:$G$1203,$S10)))</f>
        <v/>
      </c>
      <c r="E10" s="86" t="str">
        <f aca="false">IF($S10="","",IF(INDEX(对接源_01水果!$H$4:$H$1203,$S10)=0,"",INDEX(对接源_01水果!$H$4:$H$1203,$S10)))</f>
        <v/>
      </c>
      <c r="F10" s="85" t="str">
        <f aca="false">IF($S10="","",IF(INDEX(对接源_01水果!$I$4:$I$1203,$S10)=0,"",INDEX(对接源_01水果!$I$4:$I$1203,$S10)))</f>
        <v/>
      </c>
      <c r="G10" s="87" t="str">
        <f aca="false">IF($S10="","",IF(INDEX(对接源_01水果!$AD$4:$AD$1203,$S10)=0,"",INDEX(对接源_01水果!$AD$4:$AD$1203,$S10)))</f>
        <v/>
      </c>
      <c r="H10" s="87" t="str">
        <f aca="false">IF($S10="","",IF(INDEX(对接源_01水果!$AE$4:$AE$1203,$S10)=0,"",INDEX(对接源_01水果!$AE$4:$AE$1203,$S10)))</f>
        <v/>
      </c>
      <c r="I10" s="87" t="str">
        <f aca="false">IF($S10="","",IF(INDEX(对接源_01水果!$AF$4:$AF$1203,$S10)=0,"",INDEX(对接源_01水果!$AF$4:$AF$1203,$S10)))</f>
        <v/>
      </c>
      <c r="J10" s="88" t="str">
        <f aca="false">IF($S10="","",IF(INDEX(对接源_01水果!$K$4:$K$1203,$S10)=0,"",INDEX(对接源_01水果!$K$4:$K$1203,$S10)))</f>
        <v/>
      </c>
      <c r="K10" s="85" t="str">
        <f aca="false">IF($S10="","",IF(INDEX(对接源_01水果!$L$4:$L$1203,$S10)=0,"",INDEX(对接源_01水果!$L$4:$L$1203,$S10)))</f>
        <v/>
      </c>
      <c r="L10" s="89" t="str">
        <f aca="false">IF($S10="","",IF(INDEX(对接源_01水果!$M$4:$M$1203,$S10)=0,"",INDEX(对接源_01水果!$M$4:$M$1203,$S10)))</f>
        <v/>
      </c>
      <c r="S1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" customFormat="false" ht="15.75" hidden="false" customHeight="true" outlineLevel="0" collapsed="false">
      <c r="A11" s="84" t="str">
        <f aca="false">IF($S11="","",IF(INDEX(对接源_01水果!$B$4:$B$1203,$S11)=0,"",INDEX(对接源_01水果!$B$4:$B$1203,$S11)))</f>
        <v/>
      </c>
      <c r="B11" s="85" t="str">
        <f aca="false">IF($S11="","",IF(INDEX(对接源_01水果!$E$4:$E$1203,$S11)=0,"",INDEX(对接源_01水果!$E$4:$E$1203,$S11)))</f>
        <v/>
      </c>
      <c r="C11" s="85" t="str">
        <f aca="false">IF($S11="","",IF(INDEX(对接源_01水果!$F$4:$F$1203,$S11)=0,"",INDEX(对接源_01水果!$F$4:$F$1203,$S11)))</f>
        <v/>
      </c>
      <c r="D11" s="85" t="str">
        <f aca="false">IF($S11="","",IF(INDEX(对接源_01水果!$G$4:$G$1203,$S11)=0,"",INDEX(对接源_01水果!$G$4:$G$1203,$S11)))</f>
        <v/>
      </c>
      <c r="E11" s="86" t="str">
        <f aca="false">IF($S11="","",IF(INDEX(对接源_01水果!$H$4:$H$1203,$S11)=0,"",INDEX(对接源_01水果!$H$4:$H$1203,$S11)))</f>
        <v/>
      </c>
      <c r="F11" s="85" t="str">
        <f aca="false">IF($S11="","",IF(INDEX(对接源_01水果!$I$4:$I$1203,$S11)=0,"",INDEX(对接源_01水果!$I$4:$I$1203,$S11)))</f>
        <v/>
      </c>
      <c r="G11" s="87" t="str">
        <f aca="false">IF($S11="","",IF(INDEX(对接源_01水果!$AD$4:$AD$1203,$S11)=0,"",INDEX(对接源_01水果!$AD$4:$AD$1203,$S11)))</f>
        <v/>
      </c>
      <c r="H11" s="87" t="str">
        <f aca="false">IF($S11="","",IF(INDEX(对接源_01水果!$AE$4:$AE$1203,$S11)=0,"",INDEX(对接源_01水果!$AE$4:$AE$1203,$S11)))</f>
        <v/>
      </c>
      <c r="I11" s="87" t="str">
        <f aca="false">IF($S11="","",IF(INDEX(对接源_01水果!$AF$4:$AF$1203,$S11)=0,"",INDEX(对接源_01水果!$AF$4:$AF$1203,$S11)))</f>
        <v/>
      </c>
      <c r="J11" s="88" t="str">
        <f aca="false">IF($S11="","",IF(INDEX(对接源_01水果!$K$4:$K$1203,$S11)=0,"",INDEX(对接源_01水果!$K$4:$K$1203,$S11)))</f>
        <v/>
      </c>
      <c r="K11" s="85" t="str">
        <f aca="false">IF($S11="","",IF(INDEX(对接源_01水果!$L$4:$L$1203,$S11)=0,"",INDEX(对接源_01水果!$L$4:$L$1203,$S11)))</f>
        <v/>
      </c>
      <c r="L11" s="89" t="str">
        <f aca="false">IF($S11="","",IF(INDEX(对接源_01水果!$M$4:$M$1203,$S11)=0,"",INDEX(对接源_01水果!$M$4:$M$1203,$S11)))</f>
        <v/>
      </c>
      <c r="S1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" customFormat="false" ht="15.75" hidden="false" customHeight="true" outlineLevel="0" collapsed="false">
      <c r="A12" s="84" t="str">
        <f aca="false">IF($S12="","",IF(INDEX(对接源_01水果!$B$4:$B$1203,$S12)=0,"",INDEX(对接源_01水果!$B$4:$B$1203,$S12)))</f>
        <v/>
      </c>
      <c r="B12" s="85" t="str">
        <f aca="false">IF($S12="","",IF(INDEX(对接源_01水果!$E$4:$E$1203,$S12)=0,"",INDEX(对接源_01水果!$E$4:$E$1203,$S12)))</f>
        <v/>
      </c>
      <c r="C12" s="85" t="str">
        <f aca="false">IF($S12="","",IF(INDEX(对接源_01水果!$F$4:$F$1203,$S12)=0,"",INDEX(对接源_01水果!$F$4:$F$1203,$S12)))</f>
        <v/>
      </c>
      <c r="D12" s="85" t="str">
        <f aca="false">IF($S12="","",IF(INDEX(对接源_01水果!$G$4:$G$1203,$S12)=0,"",INDEX(对接源_01水果!$G$4:$G$1203,$S12)))</f>
        <v/>
      </c>
      <c r="E12" s="86" t="str">
        <f aca="false">IF($S12="","",IF(INDEX(对接源_01水果!$H$4:$H$1203,$S12)=0,"",INDEX(对接源_01水果!$H$4:$H$1203,$S12)))</f>
        <v/>
      </c>
      <c r="F12" s="85" t="str">
        <f aca="false">IF($S12="","",IF(INDEX(对接源_01水果!$I$4:$I$1203,$S12)=0,"",INDEX(对接源_01水果!$I$4:$I$1203,$S12)))</f>
        <v/>
      </c>
      <c r="G12" s="87" t="str">
        <f aca="false">IF($S12="","",IF(INDEX(对接源_01水果!$AD$4:$AD$1203,$S12)=0,"",INDEX(对接源_01水果!$AD$4:$AD$1203,$S12)))</f>
        <v/>
      </c>
      <c r="H12" s="87" t="str">
        <f aca="false">IF($S12="","",IF(INDEX(对接源_01水果!$AE$4:$AE$1203,$S12)=0,"",INDEX(对接源_01水果!$AE$4:$AE$1203,$S12)))</f>
        <v/>
      </c>
      <c r="I12" s="87" t="str">
        <f aca="false">IF($S12="","",IF(INDEX(对接源_01水果!$AF$4:$AF$1203,$S12)=0,"",INDEX(对接源_01水果!$AF$4:$AF$1203,$S12)))</f>
        <v/>
      </c>
      <c r="J12" s="88" t="str">
        <f aca="false">IF($S12="","",IF(INDEX(对接源_01水果!$K$4:$K$1203,$S12)=0,"",INDEX(对接源_01水果!$K$4:$K$1203,$S12)))</f>
        <v/>
      </c>
      <c r="K12" s="85" t="str">
        <f aca="false">IF($S12="","",IF(INDEX(对接源_01水果!$L$4:$L$1203,$S12)=0,"",INDEX(对接源_01水果!$L$4:$L$1203,$S12)))</f>
        <v/>
      </c>
      <c r="L12" s="89" t="str">
        <f aca="false">IF($S12="","",IF(INDEX(对接源_01水果!$M$4:$M$1203,$S12)=0,"",INDEX(对接源_01水果!$M$4:$M$1203,$S12)))</f>
        <v/>
      </c>
      <c r="S1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" customFormat="false" ht="15.75" hidden="false" customHeight="true" outlineLevel="0" collapsed="false">
      <c r="A13" s="84" t="str">
        <f aca="false">IF($S13="","",IF(INDEX(对接源_01水果!$B$4:$B$1203,$S13)=0,"",INDEX(对接源_01水果!$B$4:$B$1203,$S13)))</f>
        <v/>
      </c>
      <c r="B13" s="85" t="str">
        <f aca="false">IF($S13="","",IF(INDEX(对接源_01水果!$E$4:$E$1203,$S13)=0,"",INDEX(对接源_01水果!$E$4:$E$1203,$S13)))</f>
        <v/>
      </c>
      <c r="C13" s="85" t="str">
        <f aca="false">IF($S13="","",IF(INDEX(对接源_01水果!$F$4:$F$1203,$S13)=0,"",INDEX(对接源_01水果!$F$4:$F$1203,$S13)))</f>
        <v/>
      </c>
      <c r="D13" s="85" t="str">
        <f aca="false">IF($S13="","",IF(INDEX(对接源_01水果!$G$4:$G$1203,$S13)=0,"",INDEX(对接源_01水果!$G$4:$G$1203,$S13)))</f>
        <v/>
      </c>
      <c r="E13" s="86" t="str">
        <f aca="false">IF($S13="","",IF(INDEX(对接源_01水果!$H$4:$H$1203,$S13)=0,"",INDEX(对接源_01水果!$H$4:$H$1203,$S13)))</f>
        <v/>
      </c>
      <c r="F13" s="85" t="str">
        <f aca="false">IF($S13="","",IF(INDEX(对接源_01水果!$I$4:$I$1203,$S13)=0,"",INDEX(对接源_01水果!$I$4:$I$1203,$S13)))</f>
        <v/>
      </c>
      <c r="G13" s="87" t="str">
        <f aca="false">IF($S13="","",IF(INDEX(对接源_01水果!$AD$4:$AD$1203,$S13)=0,"",INDEX(对接源_01水果!$AD$4:$AD$1203,$S13)))</f>
        <v/>
      </c>
      <c r="H13" s="87" t="str">
        <f aca="false">IF($S13="","",IF(INDEX(对接源_01水果!$AE$4:$AE$1203,$S13)=0,"",INDEX(对接源_01水果!$AE$4:$AE$1203,$S13)))</f>
        <v/>
      </c>
      <c r="I13" s="87" t="str">
        <f aca="false">IF($S13="","",IF(INDEX(对接源_01水果!$AF$4:$AF$1203,$S13)=0,"",INDEX(对接源_01水果!$AF$4:$AF$1203,$S13)))</f>
        <v/>
      </c>
      <c r="J13" s="88" t="str">
        <f aca="false">IF($S13="","",IF(INDEX(对接源_01水果!$K$4:$K$1203,$S13)=0,"",INDEX(对接源_01水果!$K$4:$K$1203,$S13)))</f>
        <v/>
      </c>
      <c r="K13" s="85" t="str">
        <f aca="false">IF($S13="","",IF(INDEX(对接源_01水果!$L$4:$L$1203,$S13)=0,"",INDEX(对接源_01水果!$L$4:$L$1203,$S13)))</f>
        <v/>
      </c>
      <c r="L13" s="89" t="str">
        <f aca="false">IF($S13="","",IF(INDEX(对接源_01水果!$M$4:$M$1203,$S13)=0,"",INDEX(对接源_01水果!$M$4:$M$1203,$S13)))</f>
        <v/>
      </c>
      <c r="S1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" customFormat="false" ht="15.75" hidden="false" customHeight="true" outlineLevel="0" collapsed="false">
      <c r="A14" s="84" t="str">
        <f aca="false">IF($S14="","",IF(INDEX(对接源_01水果!$B$4:$B$1203,$S14)=0,"",INDEX(对接源_01水果!$B$4:$B$1203,$S14)))</f>
        <v/>
      </c>
      <c r="B14" s="85" t="str">
        <f aca="false">IF($S14="","",IF(INDEX(对接源_01水果!$E$4:$E$1203,$S14)=0,"",INDEX(对接源_01水果!$E$4:$E$1203,$S14)))</f>
        <v/>
      </c>
      <c r="C14" s="85" t="str">
        <f aca="false">IF($S14="","",IF(INDEX(对接源_01水果!$F$4:$F$1203,$S14)=0,"",INDEX(对接源_01水果!$F$4:$F$1203,$S14)))</f>
        <v/>
      </c>
      <c r="D14" s="85" t="str">
        <f aca="false">IF($S14="","",IF(INDEX(对接源_01水果!$G$4:$G$1203,$S14)=0,"",INDEX(对接源_01水果!$G$4:$G$1203,$S14)))</f>
        <v/>
      </c>
      <c r="E14" s="86" t="str">
        <f aca="false">IF($S14="","",IF(INDEX(对接源_01水果!$H$4:$H$1203,$S14)=0,"",INDEX(对接源_01水果!$H$4:$H$1203,$S14)))</f>
        <v/>
      </c>
      <c r="F14" s="85" t="str">
        <f aca="false">IF($S14="","",IF(INDEX(对接源_01水果!$I$4:$I$1203,$S14)=0,"",INDEX(对接源_01水果!$I$4:$I$1203,$S14)))</f>
        <v/>
      </c>
      <c r="G14" s="87" t="str">
        <f aca="false">IF($S14="","",IF(INDEX(对接源_01水果!$AD$4:$AD$1203,$S14)=0,"",INDEX(对接源_01水果!$AD$4:$AD$1203,$S14)))</f>
        <v/>
      </c>
      <c r="H14" s="87" t="str">
        <f aca="false">IF($S14="","",IF(INDEX(对接源_01水果!$AE$4:$AE$1203,$S14)=0,"",INDEX(对接源_01水果!$AE$4:$AE$1203,$S14)))</f>
        <v/>
      </c>
      <c r="I14" s="87" t="str">
        <f aca="false">IF($S14="","",IF(INDEX(对接源_01水果!$AF$4:$AF$1203,$S14)=0,"",INDEX(对接源_01水果!$AF$4:$AF$1203,$S14)))</f>
        <v/>
      </c>
      <c r="J14" s="88" t="str">
        <f aca="false">IF($S14="","",IF(INDEX(对接源_01水果!$K$4:$K$1203,$S14)=0,"",INDEX(对接源_01水果!$K$4:$K$1203,$S14)))</f>
        <v/>
      </c>
      <c r="K14" s="85" t="str">
        <f aca="false">IF($S14="","",IF(INDEX(对接源_01水果!$L$4:$L$1203,$S14)=0,"",INDEX(对接源_01水果!$L$4:$L$1203,$S14)))</f>
        <v/>
      </c>
      <c r="L14" s="89" t="str">
        <f aca="false">IF($S14="","",IF(INDEX(对接源_01水果!$M$4:$M$1203,$S14)=0,"",INDEX(对接源_01水果!$M$4:$M$1203,$S14)))</f>
        <v/>
      </c>
      <c r="S1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" customFormat="false" ht="15.75" hidden="false" customHeight="true" outlineLevel="0" collapsed="false">
      <c r="A15" s="84" t="str">
        <f aca="false">IF($S15="","",IF(INDEX(对接源_01水果!$B$4:$B$1203,$S15)=0,"",INDEX(对接源_01水果!$B$4:$B$1203,$S15)))</f>
        <v/>
      </c>
      <c r="B15" s="85" t="str">
        <f aca="false">IF($S15="","",IF(INDEX(对接源_01水果!$E$4:$E$1203,$S15)=0,"",INDEX(对接源_01水果!$E$4:$E$1203,$S15)))</f>
        <v/>
      </c>
      <c r="C15" s="85" t="str">
        <f aca="false">IF($S15="","",IF(INDEX(对接源_01水果!$F$4:$F$1203,$S15)=0,"",INDEX(对接源_01水果!$F$4:$F$1203,$S15)))</f>
        <v/>
      </c>
      <c r="D15" s="85" t="str">
        <f aca="false">IF($S15="","",IF(INDEX(对接源_01水果!$G$4:$G$1203,$S15)=0,"",INDEX(对接源_01水果!$G$4:$G$1203,$S15)))</f>
        <v/>
      </c>
      <c r="E15" s="86" t="str">
        <f aca="false">IF($S15="","",IF(INDEX(对接源_01水果!$H$4:$H$1203,$S15)=0,"",INDEX(对接源_01水果!$H$4:$H$1203,$S15)))</f>
        <v/>
      </c>
      <c r="F15" s="85" t="str">
        <f aca="false">IF($S15="","",IF(INDEX(对接源_01水果!$I$4:$I$1203,$S15)=0,"",INDEX(对接源_01水果!$I$4:$I$1203,$S15)))</f>
        <v/>
      </c>
      <c r="G15" s="87" t="str">
        <f aca="false">IF($S15="","",IF(INDEX(对接源_01水果!$AD$4:$AD$1203,$S15)=0,"",INDEX(对接源_01水果!$AD$4:$AD$1203,$S15)))</f>
        <v/>
      </c>
      <c r="H15" s="87" t="str">
        <f aca="false">IF($S15="","",IF(INDEX(对接源_01水果!$AE$4:$AE$1203,$S15)=0,"",INDEX(对接源_01水果!$AE$4:$AE$1203,$S15)))</f>
        <v/>
      </c>
      <c r="I15" s="87" t="str">
        <f aca="false">IF($S15="","",IF(INDEX(对接源_01水果!$AF$4:$AF$1203,$S15)=0,"",INDEX(对接源_01水果!$AF$4:$AF$1203,$S15)))</f>
        <v/>
      </c>
      <c r="J15" s="88" t="str">
        <f aca="false">IF($S15="","",IF(INDEX(对接源_01水果!$K$4:$K$1203,$S15)=0,"",INDEX(对接源_01水果!$K$4:$K$1203,$S15)))</f>
        <v/>
      </c>
      <c r="K15" s="85" t="str">
        <f aca="false">IF($S15="","",IF(INDEX(对接源_01水果!$L$4:$L$1203,$S15)=0,"",INDEX(对接源_01水果!$L$4:$L$1203,$S15)))</f>
        <v/>
      </c>
      <c r="L15" s="89" t="str">
        <f aca="false">IF($S15="","",IF(INDEX(对接源_01水果!$M$4:$M$1203,$S15)=0,"",INDEX(对接源_01水果!$M$4:$M$1203,$S15)))</f>
        <v/>
      </c>
      <c r="S1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" customFormat="false" ht="15.75" hidden="false" customHeight="true" outlineLevel="0" collapsed="false">
      <c r="A16" s="84" t="str">
        <f aca="false">IF($S16="","",IF(INDEX(对接源_01水果!$B$4:$B$1203,$S16)=0,"",INDEX(对接源_01水果!$B$4:$B$1203,$S16)))</f>
        <v/>
      </c>
      <c r="B16" s="85" t="str">
        <f aca="false">IF($S16="","",IF(INDEX(对接源_01水果!$E$4:$E$1203,$S16)=0,"",INDEX(对接源_01水果!$E$4:$E$1203,$S16)))</f>
        <v/>
      </c>
      <c r="C16" s="85" t="str">
        <f aca="false">IF($S16="","",IF(INDEX(对接源_01水果!$F$4:$F$1203,$S16)=0,"",INDEX(对接源_01水果!$F$4:$F$1203,$S16)))</f>
        <v/>
      </c>
      <c r="D16" s="85" t="str">
        <f aca="false">IF($S16="","",IF(INDEX(对接源_01水果!$G$4:$G$1203,$S16)=0,"",INDEX(对接源_01水果!$G$4:$G$1203,$S16)))</f>
        <v/>
      </c>
      <c r="E16" s="86" t="str">
        <f aca="false">IF($S16="","",IF(INDEX(对接源_01水果!$H$4:$H$1203,$S16)=0,"",INDEX(对接源_01水果!$H$4:$H$1203,$S16)))</f>
        <v/>
      </c>
      <c r="F16" s="85" t="str">
        <f aca="false">IF($S16="","",IF(INDEX(对接源_01水果!$I$4:$I$1203,$S16)=0,"",INDEX(对接源_01水果!$I$4:$I$1203,$S16)))</f>
        <v/>
      </c>
      <c r="G16" s="87" t="str">
        <f aca="false">IF($S16="","",IF(INDEX(对接源_01水果!$AD$4:$AD$1203,$S16)=0,"",INDEX(对接源_01水果!$AD$4:$AD$1203,$S16)))</f>
        <v/>
      </c>
      <c r="H16" s="87" t="str">
        <f aca="false">IF($S16="","",IF(INDEX(对接源_01水果!$AE$4:$AE$1203,$S16)=0,"",INDEX(对接源_01水果!$AE$4:$AE$1203,$S16)))</f>
        <v/>
      </c>
      <c r="I16" s="87" t="str">
        <f aca="false">IF($S16="","",IF(INDEX(对接源_01水果!$AF$4:$AF$1203,$S16)=0,"",INDEX(对接源_01水果!$AF$4:$AF$1203,$S16)))</f>
        <v/>
      </c>
      <c r="J16" s="88" t="str">
        <f aca="false">IF($S16="","",IF(INDEX(对接源_01水果!$K$4:$K$1203,$S16)=0,"",INDEX(对接源_01水果!$K$4:$K$1203,$S16)))</f>
        <v/>
      </c>
      <c r="K16" s="85" t="str">
        <f aca="false">IF($S16="","",IF(INDEX(对接源_01水果!$L$4:$L$1203,$S16)=0,"",INDEX(对接源_01水果!$L$4:$L$1203,$S16)))</f>
        <v/>
      </c>
      <c r="L16" s="89" t="str">
        <f aca="false">IF($S16="","",IF(INDEX(对接源_01水果!$M$4:$M$1203,$S16)=0,"",INDEX(对接源_01水果!$M$4:$M$1203,$S16)))</f>
        <v/>
      </c>
      <c r="S1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" customFormat="false" ht="15.75" hidden="false" customHeight="true" outlineLevel="0" collapsed="false">
      <c r="A17" s="84" t="str">
        <f aca="false">IF($S17="","",IF(INDEX(对接源_01水果!$B$4:$B$1203,$S17)=0,"",INDEX(对接源_01水果!$B$4:$B$1203,$S17)))</f>
        <v/>
      </c>
      <c r="B17" s="85" t="str">
        <f aca="false">IF($S17="","",IF(INDEX(对接源_01水果!$E$4:$E$1203,$S17)=0,"",INDEX(对接源_01水果!$E$4:$E$1203,$S17)))</f>
        <v/>
      </c>
      <c r="C17" s="85" t="str">
        <f aca="false">IF($S17="","",IF(INDEX(对接源_01水果!$F$4:$F$1203,$S17)=0,"",INDEX(对接源_01水果!$F$4:$F$1203,$S17)))</f>
        <v/>
      </c>
      <c r="D17" s="85" t="str">
        <f aca="false">IF($S17="","",IF(INDEX(对接源_01水果!$G$4:$G$1203,$S17)=0,"",INDEX(对接源_01水果!$G$4:$G$1203,$S17)))</f>
        <v/>
      </c>
      <c r="E17" s="86" t="str">
        <f aca="false">IF($S17="","",IF(INDEX(对接源_01水果!$H$4:$H$1203,$S17)=0,"",INDEX(对接源_01水果!$H$4:$H$1203,$S17)))</f>
        <v/>
      </c>
      <c r="F17" s="85" t="str">
        <f aca="false">IF($S17="","",IF(INDEX(对接源_01水果!$I$4:$I$1203,$S17)=0,"",INDEX(对接源_01水果!$I$4:$I$1203,$S17)))</f>
        <v/>
      </c>
      <c r="G17" s="87" t="str">
        <f aca="false">IF($S17="","",IF(INDEX(对接源_01水果!$AD$4:$AD$1203,$S17)=0,"",INDEX(对接源_01水果!$AD$4:$AD$1203,$S17)))</f>
        <v/>
      </c>
      <c r="H17" s="87" t="str">
        <f aca="false">IF($S17="","",IF(INDEX(对接源_01水果!$AE$4:$AE$1203,$S17)=0,"",INDEX(对接源_01水果!$AE$4:$AE$1203,$S17)))</f>
        <v/>
      </c>
      <c r="I17" s="87" t="str">
        <f aca="false">IF($S17="","",IF(INDEX(对接源_01水果!$AF$4:$AF$1203,$S17)=0,"",INDEX(对接源_01水果!$AF$4:$AF$1203,$S17)))</f>
        <v/>
      </c>
      <c r="J17" s="88" t="str">
        <f aca="false">IF($S17="","",IF(INDEX(对接源_01水果!$K$4:$K$1203,$S17)=0,"",INDEX(对接源_01水果!$K$4:$K$1203,$S17)))</f>
        <v/>
      </c>
      <c r="K17" s="85" t="str">
        <f aca="false">IF($S17="","",IF(INDEX(对接源_01水果!$L$4:$L$1203,$S17)=0,"",INDEX(对接源_01水果!$L$4:$L$1203,$S17)))</f>
        <v/>
      </c>
      <c r="L17" s="89" t="str">
        <f aca="false">IF($S17="","",IF(INDEX(对接源_01水果!$M$4:$M$1203,$S17)=0,"",INDEX(对接源_01水果!$M$4:$M$1203,$S17)))</f>
        <v/>
      </c>
      <c r="S1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" customFormat="false" ht="15.75" hidden="false" customHeight="true" outlineLevel="0" collapsed="false">
      <c r="A18" s="84" t="str">
        <f aca="false">IF($S18="","",IF(INDEX(对接源_01水果!$B$4:$B$1203,$S18)=0,"",INDEX(对接源_01水果!$B$4:$B$1203,$S18)))</f>
        <v/>
      </c>
      <c r="B18" s="85" t="str">
        <f aca="false">IF($S18="","",IF(INDEX(对接源_01水果!$E$4:$E$1203,$S18)=0,"",INDEX(对接源_01水果!$E$4:$E$1203,$S18)))</f>
        <v/>
      </c>
      <c r="C18" s="85" t="str">
        <f aca="false">IF($S18="","",IF(INDEX(对接源_01水果!$F$4:$F$1203,$S18)=0,"",INDEX(对接源_01水果!$F$4:$F$1203,$S18)))</f>
        <v/>
      </c>
      <c r="D18" s="85" t="str">
        <f aca="false">IF($S18="","",IF(INDEX(对接源_01水果!$G$4:$G$1203,$S18)=0,"",INDEX(对接源_01水果!$G$4:$G$1203,$S18)))</f>
        <v/>
      </c>
      <c r="E18" s="86" t="str">
        <f aca="false">IF($S18="","",IF(INDEX(对接源_01水果!$H$4:$H$1203,$S18)=0,"",INDEX(对接源_01水果!$H$4:$H$1203,$S18)))</f>
        <v/>
      </c>
      <c r="F18" s="85" t="str">
        <f aca="false">IF($S18="","",IF(INDEX(对接源_01水果!$I$4:$I$1203,$S18)=0,"",INDEX(对接源_01水果!$I$4:$I$1203,$S18)))</f>
        <v/>
      </c>
      <c r="G18" s="87" t="str">
        <f aca="false">IF($S18="","",IF(INDEX(对接源_01水果!$AD$4:$AD$1203,$S18)=0,"",INDEX(对接源_01水果!$AD$4:$AD$1203,$S18)))</f>
        <v/>
      </c>
      <c r="H18" s="87" t="str">
        <f aca="false">IF($S18="","",IF(INDEX(对接源_01水果!$AE$4:$AE$1203,$S18)=0,"",INDEX(对接源_01水果!$AE$4:$AE$1203,$S18)))</f>
        <v/>
      </c>
      <c r="I18" s="87" t="str">
        <f aca="false">IF($S18="","",IF(INDEX(对接源_01水果!$AF$4:$AF$1203,$S18)=0,"",INDEX(对接源_01水果!$AF$4:$AF$1203,$S18)))</f>
        <v/>
      </c>
      <c r="J18" s="88" t="str">
        <f aca="false">IF($S18="","",IF(INDEX(对接源_01水果!$K$4:$K$1203,$S18)=0,"",INDEX(对接源_01水果!$K$4:$K$1203,$S18)))</f>
        <v/>
      </c>
      <c r="K18" s="85" t="str">
        <f aca="false">IF($S18="","",IF(INDEX(对接源_01水果!$L$4:$L$1203,$S18)=0,"",INDEX(对接源_01水果!$L$4:$L$1203,$S18)))</f>
        <v/>
      </c>
      <c r="L18" s="89" t="str">
        <f aca="false">IF($S18="","",IF(INDEX(对接源_01水果!$M$4:$M$1203,$S18)=0,"",INDEX(对接源_01水果!$M$4:$M$1203,$S18)))</f>
        <v/>
      </c>
      <c r="S1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" customFormat="false" ht="15.75" hidden="false" customHeight="true" outlineLevel="0" collapsed="false">
      <c r="A19" s="84" t="str">
        <f aca="false">IF($S19="","",IF(INDEX(对接源_01水果!$B$4:$B$1203,$S19)=0,"",INDEX(对接源_01水果!$B$4:$B$1203,$S19)))</f>
        <v/>
      </c>
      <c r="B19" s="85" t="str">
        <f aca="false">IF($S19="","",IF(INDEX(对接源_01水果!$E$4:$E$1203,$S19)=0,"",INDEX(对接源_01水果!$E$4:$E$1203,$S19)))</f>
        <v/>
      </c>
      <c r="C19" s="85" t="str">
        <f aca="false">IF($S19="","",IF(INDEX(对接源_01水果!$F$4:$F$1203,$S19)=0,"",INDEX(对接源_01水果!$F$4:$F$1203,$S19)))</f>
        <v/>
      </c>
      <c r="D19" s="85" t="str">
        <f aca="false">IF($S19="","",IF(INDEX(对接源_01水果!$G$4:$G$1203,$S19)=0,"",INDEX(对接源_01水果!$G$4:$G$1203,$S19)))</f>
        <v/>
      </c>
      <c r="E19" s="86" t="str">
        <f aca="false">IF($S19="","",IF(INDEX(对接源_01水果!$H$4:$H$1203,$S19)=0,"",INDEX(对接源_01水果!$H$4:$H$1203,$S19)))</f>
        <v/>
      </c>
      <c r="F19" s="85" t="str">
        <f aca="false">IF($S19="","",IF(INDEX(对接源_01水果!$I$4:$I$1203,$S19)=0,"",INDEX(对接源_01水果!$I$4:$I$1203,$S19)))</f>
        <v/>
      </c>
      <c r="G19" s="87" t="str">
        <f aca="false">IF($S19="","",IF(INDEX(对接源_01水果!$AD$4:$AD$1203,$S19)=0,"",INDEX(对接源_01水果!$AD$4:$AD$1203,$S19)))</f>
        <v/>
      </c>
      <c r="H19" s="87" t="str">
        <f aca="false">IF($S19="","",IF(INDEX(对接源_01水果!$AE$4:$AE$1203,$S19)=0,"",INDEX(对接源_01水果!$AE$4:$AE$1203,$S19)))</f>
        <v/>
      </c>
      <c r="I19" s="87" t="str">
        <f aca="false">IF($S19="","",IF(INDEX(对接源_01水果!$AF$4:$AF$1203,$S19)=0,"",INDEX(对接源_01水果!$AF$4:$AF$1203,$S19)))</f>
        <v/>
      </c>
      <c r="J19" s="88" t="str">
        <f aca="false">IF($S19="","",IF(INDEX(对接源_01水果!$K$4:$K$1203,$S19)=0,"",INDEX(对接源_01水果!$K$4:$K$1203,$S19)))</f>
        <v/>
      </c>
      <c r="K19" s="85" t="str">
        <f aca="false">IF($S19="","",IF(INDEX(对接源_01水果!$L$4:$L$1203,$S19)=0,"",INDEX(对接源_01水果!$L$4:$L$1203,$S19)))</f>
        <v/>
      </c>
      <c r="L19" s="89" t="str">
        <f aca="false">IF($S19="","",IF(INDEX(对接源_01水果!$M$4:$M$1203,$S19)=0,"",INDEX(对接源_01水果!$M$4:$M$1203,$S19)))</f>
        <v/>
      </c>
      <c r="S1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" customFormat="false" ht="15.75" hidden="false" customHeight="true" outlineLevel="0" collapsed="false">
      <c r="A20" s="84" t="str">
        <f aca="false">IF($S20="","",IF(INDEX(对接源_01水果!$B$4:$B$1203,$S20)=0,"",INDEX(对接源_01水果!$B$4:$B$1203,$S20)))</f>
        <v/>
      </c>
      <c r="B20" s="85" t="str">
        <f aca="false">IF($S20="","",IF(INDEX(对接源_01水果!$E$4:$E$1203,$S20)=0,"",INDEX(对接源_01水果!$E$4:$E$1203,$S20)))</f>
        <v/>
      </c>
      <c r="C20" s="85" t="str">
        <f aca="false">IF($S20="","",IF(INDEX(对接源_01水果!$F$4:$F$1203,$S20)=0,"",INDEX(对接源_01水果!$F$4:$F$1203,$S20)))</f>
        <v/>
      </c>
      <c r="D20" s="85" t="str">
        <f aca="false">IF($S20="","",IF(INDEX(对接源_01水果!$G$4:$G$1203,$S20)=0,"",INDEX(对接源_01水果!$G$4:$G$1203,$S20)))</f>
        <v/>
      </c>
      <c r="E20" s="86" t="str">
        <f aca="false">IF($S20="","",IF(INDEX(对接源_01水果!$H$4:$H$1203,$S20)=0,"",INDEX(对接源_01水果!$H$4:$H$1203,$S20)))</f>
        <v/>
      </c>
      <c r="F20" s="85" t="str">
        <f aca="false">IF($S20="","",IF(INDEX(对接源_01水果!$I$4:$I$1203,$S20)=0,"",INDEX(对接源_01水果!$I$4:$I$1203,$S20)))</f>
        <v/>
      </c>
      <c r="G20" s="87" t="str">
        <f aca="false">IF($S20="","",IF(INDEX(对接源_01水果!$AD$4:$AD$1203,$S20)=0,"",INDEX(对接源_01水果!$AD$4:$AD$1203,$S20)))</f>
        <v/>
      </c>
      <c r="H20" s="87" t="str">
        <f aca="false">IF($S20="","",IF(INDEX(对接源_01水果!$AE$4:$AE$1203,$S20)=0,"",INDEX(对接源_01水果!$AE$4:$AE$1203,$S20)))</f>
        <v/>
      </c>
      <c r="I20" s="87" t="str">
        <f aca="false">IF($S20="","",IF(INDEX(对接源_01水果!$AF$4:$AF$1203,$S20)=0,"",INDEX(对接源_01水果!$AF$4:$AF$1203,$S20)))</f>
        <v/>
      </c>
      <c r="J20" s="88" t="str">
        <f aca="false">IF($S20="","",IF(INDEX(对接源_01水果!$K$4:$K$1203,$S20)=0,"",INDEX(对接源_01水果!$K$4:$K$1203,$S20)))</f>
        <v/>
      </c>
      <c r="K20" s="85" t="str">
        <f aca="false">IF($S20="","",IF(INDEX(对接源_01水果!$L$4:$L$1203,$S20)=0,"",INDEX(对接源_01水果!$L$4:$L$1203,$S20)))</f>
        <v/>
      </c>
      <c r="L20" s="89" t="str">
        <f aca="false">IF($S20="","",IF(INDEX(对接源_01水果!$M$4:$M$1203,$S20)=0,"",INDEX(对接源_01水果!$M$4:$M$1203,$S20)))</f>
        <v/>
      </c>
      <c r="S2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1" customFormat="false" ht="15.75" hidden="false" customHeight="true" outlineLevel="0" collapsed="false">
      <c r="A21" s="84" t="str">
        <f aca="false">IF($S21="","",IF(INDEX(对接源_01水果!$B$4:$B$1203,$S21)=0,"",INDEX(对接源_01水果!$B$4:$B$1203,$S21)))</f>
        <v/>
      </c>
      <c r="B21" s="85" t="str">
        <f aca="false">IF($S21="","",IF(INDEX(对接源_01水果!$E$4:$E$1203,$S21)=0,"",INDEX(对接源_01水果!$E$4:$E$1203,$S21)))</f>
        <v/>
      </c>
      <c r="C21" s="85" t="str">
        <f aca="false">IF($S21="","",IF(INDEX(对接源_01水果!$F$4:$F$1203,$S21)=0,"",INDEX(对接源_01水果!$F$4:$F$1203,$S21)))</f>
        <v/>
      </c>
      <c r="D21" s="85" t="str">
        <f aca="false">IF($S21="","",IF(INDEX(对接源_01水果!$G$4:$G$1203,$S21)=0,"",INDEX(对接源_01水果!$G$4:$G$1203,$S21)))</f>
        <v/>
      </c>
      <c r="E21" s="86" t="str">
        <f aca="false">IF($S21="","",IF(INDEX(对接源_01水果!$H$4:$H$1203,$S21)=0,"",INDEX(对接源_01水果!$H$4:$H$1203,$S21)))</f>
        <v/>
      </c>
      <c r="F21" s="85" t="str">
        <f aca="false">IF($S21="","",IF(INDEX(对接源_01水果!$I$4:$I$1203,$S21)=0,"",INDEX(对接源_01水果!$I$4:$I$1203,$S21)))</f>
        <v/>
      </c>
      <c r="G21" s="87" t="str">
        <f aca="false">IF($S21="","",IF(INDEX(对接源_01水果!$AD$4:$AD$1203,$S21)=0,"",INDEX(对接源_01水果!$AD$4:$AD$1203,$S21)))</f>
        <v/>
      </c>
      <c r="H21" s="87" t="str">
        <f aca="false">IF($S21="","",IF(INDEX(对接源_01水果!$AE$4:$AE$1203,$S21)=0,"",INDEX(对接源_01水果!$AE$4:$AE$1203,$S21)))</f>
        <v/>
      </c>
      <c r="I21" s="87" t="str">
        <f aca="false">IF($S21="","",IF(INDEX(对接源_01水果!$AF$4:$AF$1203,$S21)=0,"",INDEX(对接源_01水果!$AF$4:$AF$1203,$S21)))</f>
        <v/>
      </c>
      <c r="J21" s="88" t="str">
        <f aca="false">IF($S21="","",IF(INDEX(对接源_01水果!$K$4:$K$1203,$S21)=0,"",INDEX(对接源_01水果!$K$4:$K$1203,$S21)))</f>
        <v/>
      </c>
      <c r="K21" s="85" t="str">
        <f aca="false">IF($S21="","",IF(INDEX(对接源_01水果!$L$4:$L$1203,$S21)=0,"",INDEX(对接源_01水果!$L$4:$L$1203,$S21)))</f>
        <v/>
      </c>
      <c r="L21" s="89" t="str">
        <f aca="false">IF($S21="","",IF(INDEX(对接源_01水果!$M$4:$M$1203,$S21)=0,"",INDEX(对接源_01水果!$M$4:$M$1203,$S21)))</f>
        <v/>
      </c>
      <c r="S2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2" customFormat="false" ht="15.75" hidden="false" customHeight="true" outlineLevel="0" collapsed="false">
      <c r="A22" s="84" t="str">
        <f aca="false">IF($S22="","",IF(INDEX(对接源_01水果!$B$4:$B$1203,$S22)=0,"",INDEX(对接源_01水果!$B$4:$B$1203,$S22)))</f>
        <v/>
      </c>
      <c r="B22" s="85" t="str">
        <f aca="false">IF($S22="","",IF(INDEX(对接源_01水果!$E$4:$E$1203,$S22)=0,"",INDEX(对接源_01水果!$E$4:$E$1203,$S22)))</f>
        <v/>
      </c>
      <c r="C22" s="85" t="str">
        <f aca="false">IF($S22="","",IF(INDEX(对接源_01水果!$F$4:$F$1203,$S22)=0,"",INDEX(对接源_01水果!$F$4:$F$1203,$S22)))</f>
        <v/>
      </c>
      <c r="D22" s="85" t="str">
        <f aca="false">IF($S22="","",IF(INDEX(对接源_01水果!$G$4:$G$1203,$S22)=0,"",INDEX(对接源_01水果!$G$4:$G$1203,$S22)))</f>
        <v/>
      </c>
      <c r="E22" s="86" t="str">
        <f aca="false">IF($S22="","",IF(INDEX(对接源_01水果!$H$4:$H$1203,$S22)=0,"",INDEX(对接源_01水果!$H$4:$H$1203,$S22)))</f>
        <v/>
      </c>
      <c r="F22" s="85" t="str">
        <f aca="false">IF($S22="","",IF(INDEX(对接源_01水果!$I$4:$I$1203,$S22)=0,"",INDEX(对接源_01水果!$I$4:$I$1203,$S22)))</f>
        <v/>
      </c>
      <c r="G22" s="87" t="str">
        <f aca="false">IF($S22="","",IF(INDEX(对接源_01水果!$AD$4:$AD$1203,$S22)=0,"",INDEX(对接源_01水果!$AD$4:$AD$1203,$S22)))</f>
        <v/>
      </c>
      <c r="H22" s="87" t="str">
        <f aca="false">IF($S22="","",IF(INDEX(对接源_01水果!$AE$4:$AE$1203,$S22)=0,"",INDEX(对接源_01水果!$AE$4:$AE$1203,$S22)))</f>
        <v/>
      </c>
      <c r="I22" s="87" t="str">
        <f aca="false">IF($S22="","",IF(INDEX(对接源_01水果!$AF$4:$AF$1203,$S22)=0,"",INDEX(对接源_01水果!$AF$4:$AF$1203,$S22)))</f>
        <v/>
      </c>
      <c r="J22" s="88" t="str">
        <f aca="false">IF($S22="","",IF(INDEX(对接源_01水果!$K$4:$K$1203,$S22)=0,"",INDEX(对接源_01水果!$K$4:$K$1203,$S22)))</f>
        <v/>
      </c>
      <c r="K22" s="85" t="str">
        <f aca="false">IF($S22="","",IF(INDEX(对接源_01水果!$L$4:$L$1203,$S22)=0,"",INDEX(对接源_01水果!$L$4:$L$1203,$S22)))</f>
        <v/>
      </c>
      <c r="L22" s="89" t="str">
        <f aca="false">IF($S22="","",IF(INDEX(对接源_01水果!$M$4:$M$1203,$S22)=0,"",INDEX(对接源_01水果!$M$4:$M$1203,$S22)))</f>
        <v/>
      </c>
      <c r="S2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3" customFormat="false" ht="15.75" hidden="false" customHeight="true" outlineLevel="0" collapsed="false">
      <c r="A23" s="84" t="str">
        <f aca="false">IF($S23="","",IF(INDEX(对接源_01水果!$B$4:$B$1203,$S23)=0,"",INDEX(对接源_01水果!$B$4:$B$1203,$S23)))</f>
        <v/>
      </c>
      <c r="B23" s="85" t="str">
        <f aca="false">IF($S23="","",IF(INDEX(对接源_01水果!$E$4:$E$1203,$S23)=0,"",INDEX(对接源_01水果!$E$4:$E$1203,$S23)))</f>
        <v/>
      </c>
      <c r="C23" s="85" t="str">
        <f aca="false">IF($S23="","",IF(INDEX(对接源_01水果!$F$4:$F$1203,$S23)=0,"",INDEX(对接源_01水果!$F$4:$F$1203,$S23)))</f>
        <v/>
      </c>
      <c r="D23" s="85" t="str">
        <f aca="false">IF($S23="","",IF(INDEX(对接源_01水果!$G$4:$G$1203,$S23)=0,"",INDEX(对接源_01水果!$G$4:$G$1203,$S23)))</f>
        <v/>
      </c>
      <c r="E23" s="86" t="str">
        <f aca="false">IF($S23="","",IF(INDEX(对接源_01水果!$H$4:$H$1203,$S23)=0,"",INDEX(对接源_01水果!$H$4:$H$1203,$S23)))</f>
        <v/>
      </c>
      <c r="F23" s="85" t="str">
        <f aca="false">IF($S23="","",IF(INDEX(对接源_01水果!$I$4:$I$1203,$S23)=0,"",INDEX(对接源_01水果!$I$4:$I$1203,$S23)))</f>
        <v/>
      </c>
      <c r="G23" s="87" t="str">
        <f aca="false">IF($S23="","",IF(INDEX(对接源_01水果!$AD$4:$AD$1203,$S23)=0,"",INDEX(对接源_01水果!$AD$4:$AD$1203,$S23)))</f>
        <v/>
      </c>
      <c r="H23" s="87" t="str">
        <f aca="false">IF($S23="","",IF(INDEX(对接源_01水果!$AE$4:$AE$1203,$S23)=0,"",INDEX(对接源_01水果!$AE$4:$AE$1203,$S23)))</f>
        <v/>
      </c>
      <c r="I23" s="87" t="str">
        <f aca="false">IF($S23="","",IF(INDEX(对接源_01水果!$AF$4:$AF$1203,$S23)=0,"",INDEX(对接源_01水果!$AF$4:$AF$1203,$S23)))</f>
        <v/>
      </c>
      <c r="J23" s="88" t="str">
        <f aca="false">IF($S23="","",IF(INDEX(对接源_01水果!$K$4:$K$1203,$S23)=0,"",INDEX(对接源_01水果!$K$4:$K$1203,$S23)))</f>
        <v/>
      </c>
      <c r="K23" s="85" t="str">
        <f aca="false">IF($S23="","",IF(INDEX(对接源_01水果!$L$4:$L$1203,$S23)=0,"",INDEX(对接源_01水果!$L$4:$L$1203,$S23)))</f>
        <v/>
      </c>
      <c r="L23" s="89" t="str">
        <f aca="false">IF($S23="","",IF(INDEX(对接源_01水果!$M$4:$M$1203,$S23)=0,"",INDEX(对接源_01水果!$M$4:$M$1203,$S23)))</f>
        <v/>
      </c>
      <c r="S2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4" customFormat="false" ht="15.75" hidden="false" customHeight="true" outlineLevel="0" collapsed="false">
      <c r="A24" s="84" t="str">
        <f aca="false">IF($S24="","",IF(INDEX(对接源_01水果!$B$4:$B$1203,$S24)=0,"",INDEX(对接源_01水果!$B$4:$B$1203,$S24)))</f>
        <v/>
      </c>
      <c r="B24" s="85" t="str">
        <f aca="false">IF($S24="","",IF(INDEX(对接源_01水果!$E$4:$E$1203,$S24)=0,"",INDEX(对接源_01水果!$E$4:$E$1203,$S24)))</f>
        <v/>
      </c>
      <c r="C24" s="85" t="str">
        <f aca="false">IF($S24="","",IF(INDEX(对接源_01水果!$F$4:$F$1203,$S24)=0,"",INDEX(对接源_01水果!$F$4:$F$1203,$S24)))</f>
        <v/>
      </c>
      <c r="D24" s="85" t="str">
        <f aca="false">IF($S24="","",IF(INDEX(对接源_01水果!$G$4:$G$1203,$S24)=0,"",INDEX(对接源_01水果!$G$4:$G$1203,$S24)))</f>
        <v/>
      </c>
      <c r="E24" s="86" t="str">
        <f aca="false">IF($S24="","",IF(INDEX(对接源_01水果!$H$4:$H$1203,$S24)=0,"",INDEX(对接源_01水果!$H$4:$H$1203,$S24)))</f>
        <v/>
      </c>
      <c r="F24" s="85" t="str">
        <f aca="false">IF($S24="","",IF(INDEX(对接源_01水果!$I$4:$I$1203,$S24)=0,"",INDEX(对接源_01水果!$I$4:$I$1203,$S24)))</f>
        <v/>
      </c>
      <c r="G24" s="87" t="str">
        <f aca="false">IF($S24="","",IF(INDEX(对接源_01水果!$AD$4:$AD$1203,$S24)=0,"",INDEX(对接源_01水果!$AD$4:$AD$1203,$S24)))</f>
        <v/>
      </c>
      <c r="H24" s="87" t="str">
        <f aca="false">IF($S24="","",IF(INDEX(对接源_01水果!$AE$4:$AE$1203,$S24)=0,"",INDEX(对接源_01水果!$AE$4:$AE$1203,$S24)))</f>
        <v/>
      </c>
      <c r="I24" s="87" t="str">
        <f aca="false">IF($S24="","",IF(INDEX(对接源_01水果!$AF$4:$AF$1203,$S24)=0,"",INDEX(对接源_01水果!$AF$4:$AF$1203,$S24)))</f>
        <v/>
      </c>
      <c r="J24" s="88" t="str">
        <f aca="false">IF($S24="","",IF(INDEX(对接源_01水果!$K$4:$K$1203,$S24)=0,"",INDEX(对接源_01水果!$K$4:$K$1203,$S24)))</f>
        <v/>
      </c>
      <c r="K24" s="85" t="str">
        <f aca="false">IF($S24="","",IF(INDEX(对接源_01水果!$L$4:$L$1203,$S24)=0,"",INDEX(对接源_01水果!$L$4:$L$1203,$S24)))</f>
        <v/>
      </c>
      <c r="L24" s="89" t="str">
        <f aca="false">IF($S24="","",IF(INDEX(对接源_01水果!$M$4:$M$1203,$S24)=0,"",INDEX(对接源_01水果!$M$4:$M$1203,$S24)))</f>
        <v/>
      </c>
      <c r="S2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5" customFormat="false" ht="15.75" hidden="false" customHeight="true" outlineLevel="0" collapsed="false">
      <c r="A25" s="84" t="str">
        <f aca="false">IF($S25="","",IF(INDEX(对接源_01水果!$B$4:$B$1203,$S25)=0,"",INDEX(对接源_01水果!$B$4:$B$1203,$S25)))</f>
        <v/>
      </c>
      <c r="B25" s="85" t="str">
        <f aca="false">IF($S25="","",IF(INDEX(对接源_01水果!$E$4:$E$1203,$S25)=0,"",INDEX(对接源_01水果!$E$4:$E$1203,$S25)))</f>
        <v/>
      </c>
      <c r="C25" s="85" t="str">
        <f aca="false">IF($S25="","",IF(INDEX(对接源_01水果!$F$4:$F$1203,$S25)=0,"",INDEX(对接源_01水果!$F$4:$F$1203,$S25)))</f>
        <v/>
      </c>
      <c r="D25" s="85" t="str">
        <f aca="false">IF($S25="","",IF(INDEX(对接源_01水果!$G$4:$G$1203,$S25)=0,"",INDEX(对接源_01水果!$G$4:$G$1203,$S25)))</f>
        <v/>
      </c>
      <c r="E25" s="86" t="str">
        <f aca="false">IF($S25="","",IF(INDEX(对接源_01水果!$H$4:$H$1203,$S25)=0,"",INDEX(对接源_01水果!$H$4:$H$1203,$S25)))</f>
        <v/>
      </c>
      <c r="F25" s="85" t="str">
        <f aca="false">IF($S25="","",IF(INDEX(对接源_01水果!$I$4:$I$1203,$S25)=0,"",INDEX(对接源_01水果!$I$4:$I$1203,$S25)))</f>
        <v/>
      </c>
      <c r="G25" s="87" t="str">
        <f aca="false">IF($S25="","",IF(INDEX(对接源_01水果!$AD$4:$AD$1203,$S25)=0,"",INDEX(对接源_01水果!$AD$4:$AD$1203,$S25)))</f>
        <v/>
      </c>
      <c r="H25" s="87" t="str">
        <f aca="false">IF($S25="","",IF(INDEX(对接源_01水果!$AE$4:$AE$1203,$S25)=0,"",INDEX(对接源_01水果!$AE$4:$AE$1203,$S25)))</f>
        <v/>
      </c>
      <c r="I25" s="87" t="str">
        <f aca="false">IF($S25="","",IF(INDEX(对接源_01水果!$AF$4:$AF$1203,$S25)=0,"",INDEX(对接源_01水果!$AF$4:$AF$1203,$S25)))</f>
        <v/>
      </c>
      <c r="J25" s="88" t="str">
        <f aca="false">IF($S25="","",IF(INDEX(对接源_01水果!$K$4:$K$1203,$S25)=0,"",INDEX(对接源_01水果!$K$4:$K$1203,$S25)))</f>
        <v/>
      </c>
      <c r="K25" s="85" t="str">
        <f aca="false">IF($S25="","",IF(INDEX(对接源_01水果!$L$4:$L$1203,$S25)=0,"",INDEX(对接源_01水果!$L$4:$L$1203,$S25)))</f>
        <v/>
      </c>
      <c r="L25" s="89" t="str">
        <f aca="false">IF($S25="","",IF(INDEX(对接源_01水果!$M$4:$M$1203,$S25)=0,"",INDEX(对接源_01水果!$M$4:$M$1203,$S25)))</f>
        <v/>
      </c>
      <c r="S2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6" customFormat="false" ht="15.75" hidden="false" customHeight="true" outlineLevel="0" collapsed="false">
      <c r="A26" s="84" t="str">
        <f aca="false">IF($S26="","",IF(INDEX(对接源_01水果!$B$4:$B$1203,$S26)=0,"",INDEX(对接源_01水果!$B$4:$B$1203,$S26)))</f>
        <v/>
      </c>
      <c r="B26" s="85" t="str">
        <f aca="false">IF($S26="","",IF(INDEX(对接源_01水果!$E$4:$E$1203,$S26)=0,"",INDEX(对接源_01水果!$E$4:$E$1203,$S26)))</f>
        <v/>
      </c>
      <c r="C26" s="85" t="str">
        <f aca="false">IF($S26="","",IF(INDEX(对接源_01水果!$F$4:$F$1203,$S26)=0,"",INDEX(对接源_01水果!$F$4:$F$1203,$S26)))</f>
        <v/>
      </c>
      <c r="D26" s="85" t="str">
        <f aca="false">IF($S26="","",IF(INDEX(对接源_01水果!$G$4:$G$1203,$S26)=0,"",INDEX(对接源_01水果!$G$4:$G$1203,$S26)))</f>
        <v/>
      </c>
      <c r="E26" s="86" t="str">
        <f aca="false">IF($S26="","",IF(INDEX(对接源_01水果!$H$4:$H$1203,$S26)=0,"",INDEX(对接源_01水果!$H$4:$H$1203,$S26)))</f>
        <v/>
      </c>
      <c r="F26" s="85" t="str">
        <f aca="false">IF($S26="","",IF(INDEX(对接源_01水果!$I$4:$I$1203,$S26)=0,"",INDEX(对接源_01水果!$I$4:$I$1203,$S26)))</f>
        <v/>
      </c>
      <c r="G26" s="87" t="str">
        <f aca="false">IF($S26="","",IF(INDEX(对接源_01水果!$AD$4:$AD$1203,$S26)=0,"",INDEX(对接源_01水果!$AD$4:$AD$1203,$S26)))</f>
        <v/>
      </c>
      <c r="H26" s="87" t="str">
        <f aca="false">IF($S26="","",IF(INDEX(对接源_01水果!$AE$4:$AE$1203,$S26)=0,"",INDEX(对接源_01水果!$AE$4:$AE$1203,$S26)))</f>
        <v/>
      </c>
      <c r="I26" s="87" t="str">
        <f aca="false">IF($S26="","",IF(INDEX(对接源_01水果!$AF$4:$AF$1203,$S26)=0,"",INDEX(对接源_01水果!$AF$4:$AF$1203,$S26)))</f>
        <v/>
      </c>
      <c r="J26" s="88" t="str">
        <f aca="false">IF($S26="","",IF(INDEX(对接源_01水果!$K$4:$K$1203,$S26)=0,"",INDEX(对接源_01水果!$K$4:$K$1203,$S26)))</f>
        <v/>
      </c>
      <c r="K26" s="85" t="str">
        <f aca="false">IF($S26="","",IF(INDEX(对接源_01水果!$L$4:$L$1203,$S26)=0,"",INDEX(对接源_01水果!$L$4:$L$1203,$S26)))</f>
        <v/>
      </c>
      <c r="L26" s="89" t="str">
        <f aca="false">IF($S26="","",IF(INDEX(对接源_01水果!$M$4:$M$1203,$S26)=0,"",INDEX(对接源_01水果!$M$4:$M$1203,$S26)))</f>
        <v/>
      </c>
      <c r="S2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7" customFormat="false" ht="15.75" hidden="false" customHeight="true" outlineLevel="0" collapsed="false">
      <c r="A27" s="84" t="str">
        <f aca="false">IF($S27="","",IF(INDEX(对接源_01水果!$B$4:$B$1203,$S27)=0,"",INDEX(对接源_01水果!$B$4:$B$1203,$S27)))</f>
        <v/>
      </c>
      <c r="B27" s="85" t="str">
        <f aca="false">IF($S27="","",IF(INDEX(对接源_01水果!$E$4:$E$1203,$S27)=0,"",INDEX(对接源_01水果!$E$4:$E$1203,$S27)))</f>
        <v/>
      </c>
      <c r="C27" s="85" t="str">
        <f aca="false">IF($S27="","",IF(INDEX(对接源_01水果!$F$4:$F$1203,$S27)=0,"",INDEX(对接源_01水果!$F$4:$F$1203,$S27)))</f>
        <v/>
      </c>
      <c r="D27" s="85" t="str">
        <f aca="false">IF($S27="","",IF(INDEX(对接源_01水果!$G$4:$G$1203,$S27)=0,"",INDEX(对接源_01水果!$G$4:$G$1203,$S27)))</f>
        <v/>
      </c>
      <c r="E27" s="86" t="str">
        <f aca="false">IF($S27="","",IF(INDEX(对接源_01水果!$H$4:$H$1203,$S27)=0,"",INDEX(对接源_01水果!$H$4:$H$1203,$S27)))</f>
        <v/>
      </c>
      <c r="F27" s="85" t="str">
        <f aca="false">IF($S27="","",IF(INDEX(对接源_01水果!$I$4:$I$1203,$S27)=0,"",INDEX(对接源_01水果!$I$4:$I$1203,$S27)))</f>
        <v/>
      </c>
      <c r="G27" s="87" t="str">
        <f aca="false">IF($S27="","",IF(INDEX(对接源_01水果!$AD$4:$AD$1203,$S27)=0,"",INDEX(对接源_01水果!$AD$4:$AD$1203,$S27)))</f>
        <v/>
      </c>
      <c r="H27" s="87" t="str">
        <f aca="false">IF($S27="","",IF(INDEX(对接源_01水果!$AE$4:$AE$1203,$S27)=0,"",INDEX(对接源_01水果!$AE$4:$AE$1203,$S27)))</f>
        <v/>
      </c>
      <c r="I27" s="87" t="str">
        <f aca="false">IF($S27="","",IF(INDEX(对接源_01水果!$AF$4:$AF$1203,$S27)=0,"",INDEX(对接源_01水果!$AF$4:$AF$1203,$S27)))</f>
        <v/>
      </c>
      <c r="J27" s="88" t="str">
        <f aca="false">IF($S27="","",IF(INDEX(对接源_01水果!$K$4:$K$1203,$S27)=0,"",INDEX(对接源_01水果!$K$4:$K$1203,$S27)))</f>
        <v/>
      </c>
      <c r="K27" s="85" t="str">
        <f aca="false">IF($S27="","",IF(INDEX(对接源_01水果!$L$4:$L$1203,$S27)=0,"",INDEX(对接源_01水果!$L$4:$L$1203,$S27)))</f>
        <v/>
      </c>
      <c r="L27" s="89" t="str">
        <f aca="false">IF($S27="","",IF(INDEX(对接源_01水果!$M$4:$M$1203,$S27)=0,"",INDEX(对接源_01水果!$M$4:$M$1203,$S27)))</f>
        <v/>
      </c>
      <c r="S2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8" customFormat="false" ht="15.75" hidden="false" customHeight="true" outlineLevel="0" collapsed="false">
      <c r="A28" s="84" t="str">
        <f aca="false">IF($S28="","",IF(INDEX(对接源_01水果!$B$4:$B$1203,$S28)=0,"",INDEX(对接源_01水果!$B$4:$B$1203,$S28)))</f>
        <v/>
      </c>
      <c r="B28" s="85" t="str">
        <f aca="false">IF($S28="","",IF(INDEX(对接源_01水果!$E$4:$E$1203,$S28)=0,"",INDEX(对接源_01水果!$E$4:$E$1203,$S28)))</f>
        <v/>
      </c>
      <c r="C28" s="85" t="str">
        <f aca="false">IF($S28="","",IF(INDEX(对接源_01水果!$F$4:$F$1203,$S28)=0,"",INDEX(对接源_01水果!$F$4:$F$1203,$S28)))</f>
        <v/>
      </c>
      <c r="D28" s="85" t="str">
        <f aca="false">IF($S28="","",IF(INDEX(对接源_01水果!$G$4:$G$1203,$S28)=0,"",INDEX(对接源_01水果!$G$4:$G$1203,$S28)))</f>
        <v/>
      </c>
      <c r="E28" s="86" t="str">
        <f aca="false">IF($S28="","",IF(INDEX(对接源_01水果!$H$4:$H$1203,$S28)=0,"",INDEX(对接源_01水果!$H$4:$H$1203,$S28)))</f>
        <v/>
      </c>
      <c r="F28" s="85" t="str">
        <f aca="false">IF($S28="","",IF(INDEX(对接源_01水果!$I$4:$I$1203,$S28)=0,"",INDEX(对接源_01水果!$I$4:$I$1203,$S28)))</f>
        <v/>
      </c>
      <c r="G28" s="87" t="str">
        <f aca="false">IF($S28="","",IF(INDEX(对接源_01水果!$AD$4:$AD$1203,$S28)=0,"",INDEX(对接源_01水果!$AD$4:$AD$1203,$S28)))</f>
        <v/>
      </c>
      <c r="H28" s="87" t="str">
        <f aca="false">IF($S28="","",IF(INDEX(对接源_01水果!$AE$4:$AE$1203,$S28)=0,"",INDEX(对接源_01水果!$AE$4:$AE$1203,$S28)))</f>
        <v/>
      </c>
      <c r="I28" s="87" t="str">
        <f aca="false">IF($S28="","",IF(INDEX(对接源_01水果!$AF$4:$AF$1203,$S28)=0,"",INDEX(对接源_01水果!$AF$4:$AF$1203,$S28)))</f>
        <v/>
      </c>
      <c r="J28" s="88" t="str">
        <f aca="false">IF($S28="","",IF(INDEX(对接源_01水果!$K$4:$K$1203,$S28)=0,"",INDEX(对接源_01水果!$K$4:$K$1203,$S28)))</f>
        <v/>
      </c>
      <c r="K28" s="85" t="str">
        <f aca="false">IF($S28="","",IF(INDEX(对接源_01水果!$L$4:$L$1203,$S28)=0,"",INDEX(对接源_01水果!$L$4:$L$1203,$S28)))</f>
        <v/>
      </c>
      <c r="L28" s="89" t="str">
        <f aca="false">IF($S28="","",IF(INDEX(对接源_01水果!$M$4:$M$1203,$S28)=0,"",INDEX(对接源_01水果!$M$4:$M$1203,$S28)))</f>
        <v/>
      </c>
      <c r="S2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9" customFormat="false" ht="15.75" hidden="false" customHeight="true" outlineLevel="0" collapsed="false">
      <c r="A29" s="84" t="str">
        <f aca="false">IF($S29="","",IF(INDEX(对接源_01水果!$B$4:$B$1203,$S29)=0,"",INDEX(对接源_01水果!$B$4:$B$1203,$S29)))</f>
        <v/>
      </c>
      <c r="B29" s="85" t="str">
        <f aca="false">IF($S29="","",IF(INDEX(对接源_01水果!$E$4:$E$1203,$S29)=0,"",INDEX(对接源_01水果!$E$4:$E$1203,$S29)))</f>
        <v/>
      </c>
      <c r="C29" s="85" t="str">
        <f aca="false">IF($S29="","",IF(INDEX(对接源_01水果!$F$4:$F$1203,$S29)=0,"",INDEX(对接源_01水果!$F$4:$F$1203,$S29)))</f>
        <v/>
      </c>
      <c r="D29" s="85" t="str">
        <f aca="false">IF($S29="","",IF(INDEX(对接源_01水果!$G$4:$G$1203,$S29)=0,"",INDEX(对接源_01水果!$G$4:$G$1203,$S29)))</f>
        <v/>
      </c>
      <c r="E29" s="86" t="str">
        <f aca="false">IF($S29="","",IF(INDEX(对接源_01水果!$H$4:$H$1203,$S29)=0,"",INDEX(对接源_01水果!$H$4:$H$1203,$S29)))</f>
        <v/>
      </c>
      <c r="F29" s="85" t="str">
        <f aca="false">IF($S29="","",IF(INDEX(对接源_01水果!$I$4:$I$1203,$S29)=0,"",INDEX(对接源_01水果!$I$4:$I$1203,$S29)))</f>
        <v/>
      </c>
      <c r="G29" s="87" t="str">
        <f aca="false">IF($S29="","",IF(INDEX(对接源_01水果!$AD$4:$AD$1203,$S29)=0,"",INDEX(对接源_01水果!$AD$4:$AD$1203,$S29)))</f>
        <v/>
      </c>
      <c r="H29" s="87" t="str">
        <f aca="false">IF($S29="","",IF(INDEX(对接源_01水果!$AE$4:$AE$1203,$S29)=0,"",INDEX(对接源_01水果!$AE$4:$AE$1203,$S29)))</f>
        <v/>
      </c>
      <c r="I29" s="87" t="str">
        <f aca="false">IF($S29="","",IF(INDEX(对接源_01水果!$AF$4:$AF$1203,$S29)=0,"",INDEX(对接源_01水果!$AF$4:$AF$1203,$S29)))</f>
        <v/>
      </c>
      <c r="J29" s="88" t="str">
        <f aca="false">IF($S29="","",IF(INDEX(对接源_01水果!$K$4:$K$1203,$S29)=0,"",INDEX(对接源_01水果!$K$4:$K$1203,$S29)))</f>
        <v/>
      </c>
      <c r="K29" s="85" t="str">
        <f aca="false">IF($S29="","",IF(INDEX(对接源_01水果!$L$4:$L$1203,$S29)=0,"",INDEX(对接源_01水果!$L$4:$L$1203,$S29)))</f>
        <v/>
      </c>
      <c r="L29" s="89" t="str">
        <f aca="false">IF($S29="","",IF(INDEX(对接源_01水果!$M$4:$M$1203,$S29)=0,"",INDEX(对接源_01水果!$M$4:$M$1203,$S29)))</f>
        <v/>
      </c>
      <c r="S2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0" customFormat="false" ht="15.75" hidden="false" customHeight="true" outlineLevel="0" collapsed="false">
      <c r="A30" s="84" t="str">
        <f aca="false">IF($S30="","",IF(INDEX(对接源_01水果!$B$4:$B$1203,$S30)=0,"",INDEX(对接源_01水果!$B$4:$B$1203,$S30)))</f>
        <v/>
      </c>
      <c r="B30" s="85" t="str">
        <f aca="false">IF($S30="","",IF(INDEX(对接源_01水果!$E$4:$E$1203,$S30)=0,"",INDEX(对接源_01水果!$E$4:$E$1203,$S30)))</f>
        <v/>
      </c>
      <c r="C30" s="85" t="str">
        <f aca="false">IF($S30="","",IF(INDEX(对接源_01水果!$F$4:$F$1203,$S30)=0,"",INDEX(对接源_01水果!$F$4:$F$1203,$S30)))</f>
        <v/>
      </c>
      <c r="D30" s="85" t="str">
        <f aca="false">IF($S30="","",IF(INDEX(对接源_01水果!$G$4:$G$1203,$S30)=0,"",INDEX(对接源_01水果!$G$4:$G$1203,$S30)))</f>
        <v/>
      </c>
      <c r="E30" s="86" t="str">
        <f aca="false">IF($S30="","",IF(INDEX(对接源_01水果!$H$4:$H$1203,$S30)=0,"",INDEX(对接源_01水果!$H$4:$H$1203,$S30)))</f>
        <v/>
      </c>
      <c r="F30" s="85" t="str">
        <f aca="false">IF($S30="","",IF(INDEX(对接源_01水果!$I$4:$I$1203,$S30)=0,"",INDEX(对接源_01水果!$I$4:$I$1203,$S30)))</f>
        <v/>
      </c>
      <c r="G30" s="87" t="str">
        <f aca="false">IF($S30="","",IF(INDEX(对接源_01水果!$AD$4:$AD$1203,$S30)=0,"",INDEX(对接源_01水果!$AD$4:$AD$1203,$S30)))</f>
        <v/>
      </c>
      <c r="H30" s="87" t="str">
        <f aca="false">IF($S30="","",IF(INDEX(对接源_01水果!$AE$4:$AE$1203,$S30)=0,"",INDEX(对接源_01水果!$AE$4:$AE$1203,$S30)))</f>
        <v/>
      </c>
      <c r="I30" s="87" t="str">
        <f aca="false">IF($S30="","",IF(INDEX(对接源_01水果!$AF$4:$AF$1203,$S30)=0,"",INDEX(对接源_01水果!$AF$4:$AF$1203,$S30)))</f>
        <v/>
      </c>
      <c r="J30" s="88" t="str">
        <f aca="false">IF($S30="","",IF(INDEX(对接源_01水果!$K$4:$K$1203,$S30)=0,"",INDEX(对接源_01水果!$K$4:$K$1203,$S30)))</f>
        <v/>
      </c>
      <c r="K30" s="85" t="str">
        <f aca="false">IF($S30="","",IF(INDEX(对接源_01水果!$L$4:$L$1203,$S30)=0,"",INDEX(对接源_01水果!$L$4:$L$1203,$S30)))</f>
        <v/>
      </c>
      <c r="L30" s="89" t="str">
        <f aca="false">IF($S30="","",IF(INDEX(对接源_01水果!$M$4:$M$1203,$S30)=0,"",INDEX(对接源_01水果!$M$4:$M$1203,$S30)))</f>
        <v/>
      </c>
      <c r="S3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1" customFormat="false" ht="15.75" hidden="false" customHeight="true" outlineLevel="0" collapsed="false">
      <c r="A31" s="84" t="str">
        <f aca="false">IF($S31="","",IF(INDEX(对接源_01水果!$B$4:$B$1203,$S31)=0,"",INDEX(对接源_01水果!$B$4:$B$1203,$S31)))</f>
        <v/>
      </c>
      <c r="B31" s="85" t="str">
        <f aca="false">IF($S31="","",IF(INDEX(对接源_01水果!$E$4:$E$1203,$S31)=0,"",INDEX(对接源_01水果!$E$4:$E$1203,$S31)))</f>
        <v/>
      </c>
      <c r="C31" s="85" t="str">
        <f aca="false">IF($S31="","",IF(INDEX(对接源_01水果!$F$4:$F$1203,$S31)=0,"",INDEX(对接源_01水果!$F$4:$F$1203,$S31)))</f>
        <v/>
      </c>
      <c r="D31" s="85" t="str">
        <f aca="false">IF($S31="","",IF(INDEX(对接源_01水果!$G$4:$G$1203,$S31)=0,"",INDEX(对接源_01水果!$G$4:$G$1203,$S31)))</f>
        <v/>
      </c>
      <c r="E31" s="86" t="str">
        <f aca="false">IF($S31="","",IF(INDEX(对接源_01水果!$H$4:$H$1203,$S31)=0,"",INDEX(对接源_01水果!$H$4:$H$1203,$S31)))</f>
        <v/>
      </c>
      <c r="F31" s="85" t="str">
        <f aca="false">IF($S31="","",IF(INDEX(对接源_01水果!$I$4:$I$1203,$S31)=0,"",INDEX(对接源_01水果!$I$4:$I$1203,$S31)))</f>
        <v/>
      </c>
      <c r="G31" s="87" t="str">
        <f aca="false">IF($S31="","",IF(INDEX(对接源_01水果!$AD$4:$AD$1203,$S31)=0,"",INDEX(对接源_01水果!$AD$4:$AD$1203,$S31)))</f>
        <v/>
      </c>
      <c r="H31" s="87" t="str">
        <f aca="false">IF($S31="","",IF(INDEX(对接源_01水果!$AE$4:$AE$1203,$S31)=0,"",INDEX(对接源_01水果!$AE$4:$AE$1203,$S31)))</f>
        <v/>
      </c>
      <c r="I31" s="87" t="str">
        <f aca="false">IF($S31="","",IF(INDEX(对接源_01水果!$AF$4:$AF$1203,$S31)=0,"",INDEX(对接源_01水果!$AF$4:$AF$1203,$S31)))</f>
        <v/>
      </c>
      <c r="J31" s="88" t="str">
        <f aca="false">IF($S31="","",IF(INDEX(对接源_01水果!$K$4:$K$1203,$S31)=0,"",INDEX(对接源_01水果!$K$4:$K$1203,$S31)))</f>
        <v/>
      </c>
      <c r="K31" s="85" t="str">
        <f aca="false">IF($S31="","",IF(INDEX(对接源_01水果!$L$4:$L$1203,$S31)=0,"",INDEX(对接源_01水果!$L$4:$L$1203,$S31)))</f>
        <v/>
      </c>
      <c r="L31" s="89" t="str">
        <f aca="false">IF($S31="","",IF(INDEX(对接源_01水果!$M$4:$M$1203,$S31)=0,"",INDEX(对接源_01水果!$M$4:$M$1203,$S31)))</f>
        <v/>
      </c>
      <c r="S3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2" customFormat="false" ht="15.75" hidden="false" customHeight="true" outlineLevel="0" collapsed="false">
      <c r="A32" s="84" t="str">
        <f aca="false">IF($S32="","",IF(INDEX(对接源_01水果!$B$4:$B$1203,$S32)=0,"",INDEX(对接源_01水果!$B$4:$B$1203,$S32)))</f>
        <v/>
      </c>
      <c r="B32" s="85" t="str">
        <f aca="false">IF($S32="","",IF(INDEX(对接源_01水果!$E$4:$E$1203,$S32)=0,"",INDEX(对接源_01水果!$E$4:$E$1203,$S32)))</f>
        <v/>
      </c>
      <c r="C32" s="85" t="str">
        <f aca="false">IF($S32="","",IF(INDEX(对接源_01水果!$F$4:$F$1203,$S32)=0,"",INDEX(对接源_01水果!$F$4:$F$1203,$S32)))</f>
        <v/>
      </c>
      <c r="D32" s="85" t="str">
        <f aca="false">IF($S32="","",IF(INDEX(对接源_01水果!$G$4:$G$1203,$S32)=0,"",INDEX(对接源_01水果!$G$4:$G$1203,$S32)))</f>
        <v/>
      </c>
      <c r="E32" s="86" t="str">
        <f aca="false">IF($S32="","",IF(INDEX(对接源_01水果!$H$4:$H$1203,$S32)=0,"",INDEX(对接源_01水果!$H$4:$H$1203,$S32)))</f>
        <v/>
      </c>
      <c r="F32" s="85" t="str">
        <f aca="false">IF($S32="","",IF(INDEX(对接源_01水果!$I$4:$I$1203,$S32)=0,"",INDEX(对接源_01水果!$I$4:$I$1203,$S32)))</f>
        <v/>
      </c>
      <c r="G32" s="87" t="str">
        <f aca="false">IF($S32="","",IF(INDEX(对接源_01水果!$AD$4:$AD$1203,$S32)=0,"",INDEX(对接源_01水果!$AD$4:$AD$1203,$S32)))</f>
        <v/>
      </c>
      <c r="H32" s="87" t="str">
        <f aca="false">IF($S32="","",IF(INDEX(对接源_01水果!$AE$4:$AE$1203,$S32)=0,"",INDEX(对接源_01水果!$AE$4:$AE$1203,$S32)))</f>
        <v/>
      </c>
      <c r="I32" s="87" t="str">
        <f aca="false">IF($S32="","",IF(INDEX(对接源_01水果!$AF$4:$AF$1203,$S32)=0,"",INDEX(对接源_01水果!$AF$4:$AF$1203,$S32)))</f>
        <v/>
      </c>
      <c r="J32" s="88" t="str">
        <f aca="false">IF($S32="","",IF(INDEX(对接源_01水果!$K$4:$K$1203,$S32)=0,"",INDEX(对接源_01水果!$K$4:$K$1203,$S32)))</f>
        <v/>
      </c>
      <c r="K32" s="85" t="str">
        <f aca="false">IF($S32="","",IF(INDEX(对接源_01水果!$L$4:$L$1203,$S32)=0,"",INDEX(对接源_01水果!$L$4:$L$1203,$S32)))</f>
        <v/>
      </c>
      <c r="L32" s="89" t="str">
        <f aca="false">IF($S32="","",IF(INDEX(对接源_01水果!$M$4:$M$1203,$S32)=0,"",INDEX(对接源_01水果!$M$4:$M$1203,$S32)))</f>
        <v/>
      </c>
      <c r="S3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3" customFormat="false" ht="15.75" hidden="false" customHeight="true" outlineLevel="0" collapsed="false">
      <c r="A33" s="84" t="str">
        <f aca="false">IF($S33="","",IF(INDEX(对接源_01水果!$B$4:$B$1203,$S33)=0,"",INDEX(对接源_01水果!$B$4:$B$1203,$S33)))</f>
        <v/>
      </c>
      <c r="B33" s="85" t="str">
        <f aca="false">IF($S33="","",IF(INDEX(对接源_01水果!$E$4:$E$1203,$S33)=0,"",INDEX(对接源_01水果!$E$4:$E$1203,$S33)))</f>
        <v/>
      </c>
      <c r="C33" s="85" t="str">
        <f aca="false">IF($S33="","",IF(INDEX(对接源_01水果!$F$4:$F$1203,$S33)=0,"",INDEX(对接源_01水果!$F$4:$F$1203,$S33)))</f>
        <v/>
      </c>
      <c r="D33" s="85" t="str">
        <f aca="false">IF($S33="","",IF(INDEX(对接源_01水果!$G$4:$G$1203,$S33)=0,"",INDEX(对接源_01水果!$G$4:$G$1203,$S33)))</f>
        <v/>
      </c>
      <c r="E33" s="86" t="str">
        <f aca="false">IF($S33="","",IF(INDEX(对接源_01水果!$H$4:$H$1203,$S33)=0,"",INDEX(对接源_01水果!$H$4:$H$1203,$S33)))</f>
        <v/>
      </c>
      <c r="F33" s="85" t="str">
        <f aca="false">IF($S33="","",IF(INDEX(对接源_01水果!$I$4:$I$1203,$S33)=0,"",INDEX(对接源_01水果!$I$4:$I$1203,$S33)))</f>
        <v/>
      </c>
      <c r="G33" s="87" t="str">
        <f aca="false">IF($S33="","",IF(INDEX(对接源_01水果!$AD$4:$AD$1203,$S33)=0,"",INDEX(对接源_01水果!$AD$4:$AD$1203,$S33)))</f>
        <v/>
      </c>
      <c r="H33" s="87" t="str">
        <f aca="false">IF($S33="","",IF(INDEX(对接源_01水果!$AE$4:$AE$1203,$S33)=0,"",INDEX(对接源_01水果!$AE$4:$AE$1203,$S33)))</f>
        <v/>
      </c>
      <c r="I33" s="87" t="str">
        <f aca="false">IF($S33="","",IF(INDEX(对接源_01水果!$AF$4:$AF$1203,$S33)=0,"",INDEX(对接源_01水果!$AF$4:$AF$1203,$S33)))</f>
        <v/>
      </c>
      <c r="J33" s="88" t="str">
        <f aca="false">IF($S33="","",IF(INDEX(对接源_01水果!$K$4:$K$1203,$S33)=0,"",INDEX(对接源_01水果!$K$4:$K$1203,$S33)))</f>
        <v/>
      </c>
      <c r="K33" s="85" t="str">
        <f aca="false">IF($S33="","",IF(INDEX(对接源_01水果!$L$4:$L$1203,$S33)=0,"",INDEX(对接源_01水果!$L$4:$L$1203,$S33)))</f>
        <v/>
      </c>
      <c r="L33" s="89" t="str">
        <f aca="false">IF($S33="","",IF(INDEX(对接源_01水果!$M$4:$M$1203,$S33)=0,"",INDEX(对接源_01水果!$M$4:$M$1203,$S33)))</f>
        <v/>
      </c>
      <c r="S3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4" customFormat="false" ht="15.75" hidden="false" customHeight="true" outlineLevel="0" collapsed="false">
      <c r="A34" s="84" t="str">
        <f aca="false">IF($S34="","",IF(INDEX(对接源_01水果!$B$4:$B$1203,$S34)=0,"",INDEX(对接源_01水果!$B$4:$B$1203,$S34)))</f>
        <v/>
      </c>
      <c r="B34" s="85" t="str">
        <f aca="false">IF($S34="","",IF(INDEX(对接源_01水果!$E$4:$E$1203,$S34)=0,"",INDEX(对接源_01水果!$E$4:$E$1203,$S34)))</f>
        <v/>
      </c>
      <c r="C34" s="85" t="str">
        <f aca="false">IF($S34="","",IF(INDEX(对接源_01水果!$F$4:$F$1203,$S34)=0,"",INDEX(对接源_01水果!$F$4:$F$1203,$S34)))</f>
        <v/>
      </c>
      <c r="D34" s="85" t="str">
        <f aca="false">IF($S34="","",IF(INDEX(对接源_01水果!$G$4:$G$1203,$S34)=0,"",INDEX(对接源_01水果!$G$4:$G$1203,$S34)))</f>
        <v/>
      </c>
      <c r="E34" s="86" t="str">
        <f aca="false">IF($S34="","",IF(INDEX(对接源_01水果!$H$4:$H$1203,$S34)=0,"",INDEX(对接源_01水果!$H$4:$H$1203,$S34)))</f>
        <v/>
      </c>
      <c r="F34" s="85" t="str">
        <f aca="false">IF($S34="","",IF(INDEX(对接源_01水果!$I$4:$I$1203,$S34)=0,"",INDEX(对接源_01水果!$I$4:$I$1203,$S34)))</f>
        <v/>
      </c>
      <c r="G34" s="87" t="str">
        <f aca="false">IF($S34="","",IF(INDEX(对接源_01水果!$AD$4:$AD$1203,$S34)=0,"",INDEX(对接源_01水果!$AD$4:$AD$1203,$S34)))</f>
        <v/>
      </c>
      <c r="H34" s="87" t="str">
        <f aca="false">IF($S34="","",IF(INDEX(对接源_01水果!$AE$4:$AE$1203,$S34)=0,"",INDEX(对接源_01水果!$AE$4:$AE$1203,$S34)))</f>
        <v/>
      </c>
      <c r="I34" s="87" t="str">
        <f aca="false">IF($S34="","",IF(INDEX(对接源_01水果!$AF$4:$AF$1203,$S34)=0,"",INDEX(对接源_01水果!$AF$4:$AF$1203,$S34)))</f>
        <v/>
      </c>
      <c r="J34" s="88" t="str">
        <f aca="false">IF($S34="","",IF(INDEX(对接源_01水果!$K$4:$K$1203,$S34)=0,"",INDEX(对接源_01水果!$K$4:$K$1203,$S34)))</f>
        <v/>
      </c>
      <c r="K34" s="85" t="str">
        <f aca="false">IF($S34="","",IF(INDEX(对接源_01水果!$L$4:$L$1203,$S34)=0,"",INDEX(对接源_01水果!$L$4:$L$1203,$S34)))</f>
        <v/>
      </c>
      <c r="L34" s="89" t="str">
        <f aca="false">IF($S34="","",IF(INDEX(对接源_01水果!$M$4:$M$1203,$S34)=0,"",INDEX(对接源_01水果!$M$4:$M$1203,$S34)))</f>
        <v/>
      </c>
      <c r="S3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5" customFormat="false" ht="15.75" hidden="false" customHeight="true" outlineLevel="0" collapsed="false">
      <c r="A35" s="84" t="str">
        <f aca="false">IF($S35="","",IF(INDEX(对接源_01水果!$B$4:$B$1203,$S35)=0,"",INDEX(对接源_01水果!$B$4:$B$1203,$S35)))</f>
        <v/>
      </c>
      <c r="B35" s="85" t="str">
        <f aca="false">IF($S35="","",IF(INDEX(对接源_01水果!$E$4:$E$1203,$S35)=0,"",INDEX(对接源_01水果!$E$4:$E$1203,$S35)))</f>
        <v/>
      </c>
      <c r="C35" s="85" t="str">
        <f aca="false">IF($S35="","",IF(INDEX(对接源_01水果!$F$4:$F$1203,$S35)=0,"",INDEX(对接源_01水果!$F$4:$F$1203,$S35)))</f>
        <v/>
      </c>
      <c r="D35" s="85" t="str">
        <f aca="false">IF($S35="","",IF(INDEX(对接源_01水果!$G$4:$G$1203,$S35)=0,"",INDEX(对接源_01水果!$G$4:$G$1203,$S35)))</f>
        <v/>
      </c>
      <c r="E35" s="86" t="str">
        <f aca="false">IF($S35="","",IF(INDEX(对接源_01水果!$H$4:$H$1203,$S35)=0,"",INDEX(对接源_01水果!$H$4:$H$1203,$S35)))</f>
        <v/>
      </c>
      <c r="F35" s="85" t="str">
        <f aca="false">IF($S35="","",IF(INDEX(对接源_01水果!$I$4:$I$1203,$S35)=0,"",INDEX(对接源_01水果!$I$4:$I$1203,$S35)))</f>
        <v/>
      </c>
      <c r="G35" s="87" t="str">
        <f aca="false">IF($S35="","",IF(INDEX(对接源_01水果!$AD$4:$AD$1203,$S35)=0,"",INDEX(对接源_01水果!$AD$4:$AD$1203,$S35)))</f>
        <v/>
      </c>
      <c r="H35" s="87" t="str">
        <f aca="false">IF($S35="","",IF(INDEX(对接源_01水果!$AE$4:$AE$1203,$S35)=0,"",INDEX(对接源_01水果!$AE$4:$AE$1203,$S35)))</f>
        <v/>
      </c>
      <c r="I35" s="87" t="str">
        <f aca="false">IF($S35="","",IF(INDEX(对接源_01水果!$AF$4:$AF$1203,$S35)=0,"",INDEX(对接源_01水果!$AF$4:$AF$1203,$S35)))</f>
        <v/>
      </c>
      <c r="J35" s="88" t="str">
        <f aca="false">IF($S35="","",IF(INDEX(对接源_01水果!$K$4:$K$1203,$S35)=0,"",INDEX(对接源_01水果!$K$4:$K$1203,$S35)))</f>
        <v/>
      </c>
      <c r="K35" s="85" t="str">
        <f aca="false">IF($S35="","",IF(INDEX(对接源_01水果!$L$4:$L$1203,$S35)=0,"",INDEX(对接源_01水果!$L$4:$L$1203,$S35)))</f>
        <v/>
      </c>
      <c r="L35" s="89" t="str">
        <f aca="false">IF($S35="","",IF(INDEX(对接源_01水果!$M$4:$M$1203,$S35)=0,"",INDEX(对接源_01水果!$M$4:$M$1203,$S35)))</f>
        <v/>
      </c>
      <c r="S3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6" customFormat="false" ht="15.75" hidden="false" customHeight="true" outlineLevel="0" collapsed="false">
      <c r="A36" s="84" t="str">
        <f aca="false">IF($S36="","",IF(INDEX(对接源_01水果!$B$4:$B$1203,$S36)=0,"",INDEX(对接源_01水果!$B$4:$B$1203,$S36)))</f>
        <v/>
      </c>
      <c r="B36" s="85" t="str">
        <f aca="false">IF($S36="","",IF(INDEX(对接源_01水果!$E$4:$E$1203,$S36)=0,"",INDEX(对接源_01水果!$E$4:$E$1203,$S36)))</f>
        <v/>
      </c>
      <c r="C36" s="85" t="str">
        <f aca="false">IF($S36="","",IF(INDEX(对接源_01水果!$F$4:$F$1203,$S36)=0,"",INDEX(对接源_01水果!$F$4:$F$1203,$S36)))</f>
        <v/>
      </c>
      <c r="D36" s="85" t="str">
        <f aca="false">IF($S36="","",IF(INDEX(对接源_01水果!$G$4:$G$1203,$S36)=0,"",INDEX(对接源_01水果!$G$4:$G$1203,$S36)))</f>
        <v/>
      </c>
      <c r="E36" s="86" t="str">
        <f aca="false">IF($S36="","",IF(INDEX(对接源_01水果!$H$4:$H$1203,$S36)=0,"",INDEX(对接源_01水果!$H$4:$H$1203,$S36)))</f>
        <v/>
      </c>
      <c r="F36" s="85" t="str">
        <f aca="false">IF($S36="","",IF(INDEX(对接源_01水果!$I$4:$I$1203,$S36)=0,"",INDEX(对接源_01水果!$I$4:$I$1203,$S36)))</f>
        <v/>
      </c>
      <c r="G36" s="87" t="str">
        <f aca="false">IF($S36="","",IF(INDEX(对接源_01水果!$AD$4:$AD$1203,$S36)=0,"",INDEX(对接源_01水果!$AD$4:$AD$1203,$S36)))</f>
        <v/>
      </c>
      <c r="H36" s="87" t="str">
        <f aca="false">IF($S36="","",IF(INDEX(对接源_01水果!$AE$4:$AE$1203,$S36)=0,"",INDEX(对接源_01水果!$AE$4:$AE$1203,$S36)))</f>
        <v/>
      </c>
      <c r="I36" s="87" t="str">
        <f aca="false">IF($S36="","",IF(INDEX(对接源_01水果!$AF$4:$AF$1203,$S36)=0,"",INDEX(对接源_01水果!$AF$4:$AF$1203,$S36)))</f>
        <v/>
      </c>
      <c r="J36" s="88" t="str">
        <f aca="false">IF($S36="","",IF(INDEX(对接源_01水果!$K$4:$K$1203,$S36)=0,"",INDEX(对接源_01水果!$K$4:$K$1203,$S36)))</f>
        <v/>
      </c>
      <c r="K36" s="85" t="str">
        <f aca="false">IF($S36="","",IF(INDEX(对接源_01水果!$L$4:$L$1203,$S36)=0,"",INDEX(对接源_01水果!$L$4:$L$1203,$S36)))</f>
        <v/>
      </c>
      <c r="L36" s="89" t="str">
        <f aca="false">IF($S36="","",IF(INDEX(对接源_01水果!$M$4:$M$1203,$S36)=0,"",INDEX(对接源_01水果!$M$4:$M$1203,$S36)))</f>
        <v/>
      </c>
      <c r="S3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7" customFormat="false" ht="15.75" hidden="false" customHeight="true" outlineLevel="0" collapsed="false">
      <c r="A37" s="84" t="str">
        <f aca="false">IF($S37="","",IF(INDEX(对接源_01水果!$B$4:$B$1203,$S37)=0,"",INDEX(对接源_01水果!$B$4:$B$1203,$S37)))</f>
        <v/>
      </c>
      <c r="B37" s="85" t="str">
        <f aca="false">IF($S37="","",IF(INDEX(对接源_01水果!$E$4:$E$1203,$S37)=0,"",INDEX(对接源_01水果!$E$4:$E$1203,$S37)))</f>
        <v/>
      </c>
      <c r="C37" s="85" t="str">
        <f aca="false">IF($S37="","",IF(INDEX(对接源_01水果!$F$4:$F$1203,$S37)=0,"",INDEX(对接源_01水果!$F$4:$F$1203,$S37)))</f>
        <v/>
      </c>
      <c r="D37" s="85" t="str">
        <f aca="false">IF($S37="","",IF(INDEX(对接源_01水果!$G$4:$G$1203,$S37)=0,"",INDEX(对接源_01水果!$G$4:$G$1203,$S37)))</f>
        <v/>
      </c>
      <c r="E37" s="86" t="str">
        <f aca="false">IF($S37="","",IF(INDEX(对接源_01水果!$H$4:$H$1203,$S37)=0,"",INDEX(对接源_01水果!$H$4:$H$1203,$S37)))</f>
        <v/>
      </c>
      <c r="F37" s="85" t="str">
        <f aca="false">IF($S37="","",IF(INDEX(对接源_01水果!$I$4:$I$1203,$S37)=0,"",INDEX(对接源_01水果!$I$4:$I$1203,$S37)))</f>
        <v/>
      </c>
      <c r="G37" s="87" t="str">
        <f aca="false">IF($S37="","",IF(INDEX(对接源_01水果!$AD$4:$AD$1203,$S37)=0,"",INDEX(对接源_01水果!$AD$4:$AD$1203,$S37)))</f>
        <v/>
      </c>
      <c r="H37" s="87" t="str">
        <f aca="false">IF($S37="","",IF(INDEX(对接源_01水果!$AE$4:$AE$1203,$S37)=0,"",INDEX(对接源_01水果!$AE$4:$AE$1203,$S37)))</f>
        <v/>
      </c>
      <c r="I37" s="87" t="str">
        <f aca="false">IF($S37="","",IF(INDEX(对接源_01水果!$AF$4:$AF$1203,$S37)=0,"",INDEX(对接源_01水果!$AF$4:$AF$1203,$S37)))</f>
        <v/>
      </c>
      <c r="J37" s="88" t="str">
        <f aca="false">IF($S37="","",IF(INDEX(对接源_01水果!$K$4:$K$1203,$S37)=0,"",INDEX(对接源_01水果!$K$4:$K$1203,$S37)))</f>
        <v/>
      </c>
      <c r="K37" s="85" t="str">
        <f aca="false">IF($S37="","",IF(INDEX(对接源_01水果!$L$4:$L$1203,$S37)=0,"",INDEX(对接源_01水果!$L$4:$L$1203,$S37)))</f>
        <v/>
      </c>
      <c r="L37" s="89" t="str">
        <f aca="false">IF($S37="","",IF(INDEX(对接源_01水果!$M$4:$M$1203,$S37)=0,"",INDEX(对接源_01水果!$M$4:$M$1203,$S37)))</f>
        <v/>
      </c>
      <c r="S3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8" customFormat="false" ht="15.75" hidden="false" customHeight="true" outlineLevel="0" collapsed="false">
      <c r="A38" s="84" t="str">
        <f aca="false">IF($S38="","",IF(INDEX(对接源_01水果!$B$4:$B$1203,$S38)=0,"",INDEX(对接源_01水果!$B$4:$B$1203,$S38)))</f>
        <v/>
      </c>
      <c r="B38" s="85" t="str">
        <f aca="false">IF($S38="","",IF(INDEX(对接源_01水果!$E$4:$E$1203,$S38)=0,"",INDEX(对接源_01水果!$E$4:$E$1203,$S38)))</f>
        <v/>
      </c>
      <c r="C38" s="85" t="str">
        <f aca="false">IF($S38="","",IF(INDEX(对接源_01水果!$F$4:$F$1203,$S38)=0,"",INDEX(对接源_01水果!$F$4:$F$1203,$S38)))</f>
        <v/>
      </c>
      <c r="D38" s="85" t="str">
        <f aca="false">IF($S38="","",IF(INDEX(对接源_01水果!$G$4:$G$1203,$S38)=0,"",INDEX(对接源_01水果!$G$4:$G$1203,$S38)))</f>
        <v/>
      </c>
      <c r="E38" s="86" t="str">
        <f aca="false">IF($S38="","",IF(INDEX(对接源_01水果!$H$4:$H$1203,$S38)=0,"",INDEX(对接源_01水果!$H$4:$H$1203,$S38)))</f>
        <v/>
      </c>
      <c r="F38" s="85" t="str">
        <f aca="false">IF($S38="","",IF(INDEX(对接源_01水果!$I$4:$I$1203,$S38)=0,"",INDEX(对接源_01水果!$I$4:$I$1203,$S38)))</f>
        <v/>
      </c>
      <c r="G38" s="87" t="str">
        <f aca="false">IF($S38="","",IF(INDEX(对接源_01水果!$AD$4:$AD$1203,$S38)=0,"",INDEX(对接源_01水果!$AD$4:$AD$1203,$S38)))</f>
        <v/>
      </c>
      <c r="H38" s="87" t="str">
        <f aca="false">IF($S38="","",IF(INDEX(对接源_01水果!$AE$4:$AE$1203,$S38)=0,"",INDEX(对接源_01水果!$AE$4:$AE$1203,$S38)))</f>
        <v/>
      </c>
      <c r="I38" s="87" t="str">
        <f aca="false">IF($S38="","",IF(INDEX(对接源_01水果!$AF$4:$AF$1203,$S38)=0,"",INDEX(对接源_01水果!$AF$4:$AF$1203,$S38)))</f>
        <v/>
      </c>
      <c r="J38" s="88" t="str">
        <f aca="false">IF($S38="","",IF(INDEX(对接源_01水果!$K$4:$K$1203,$S38)=0,"",INDEX(对接源_01水果!$K$4:$K$1203,$S38)))</f>
        <v/>
      </c>
      <c r="K38" s="85" t="str">
        <f aca="false">IF($S38="","",IF(INDEX(对接源_01水果!$L$4:$L$1203,$S38)=0,"",INDEX(对接源_01水果!$L$4:$L$1203,$S38)))</f>
        <v/>
      </c>
      <c r="L38" s="89" t="str">
        <f aca="false">IF($S38="","",IF(INDEX(对接源_01水果!$M$4:$M$1203,$S38)=0,"",INDEX(对接源_01水果!$M$4:$M$1203,$S38)))</f>
        <v/>
      </c>
      <c r="S3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9" customFormat="false" ht="15.75" hidden="false" customHeight="true" outlineLevel="0" collapsed="false">
      <c r="A39" s="84" t="str">
        <f aca="false">IF($S39="","",IF(INDEX(对接源_01水果!$B$4:$B$1203,$S39)=0,"",INDEX(对接源_01水果!$B$4:$B$1203,$S39)))</f>
        <v/>
      </c>
      <c r="B39" s="85" t="str">
        <f aca="false">IF($S39="","",IF(INDEX(对接源_01水果!$E$4:$E$1203,$S39)=0,"",INDEX(对接源_01水果!$E$4:$E$1203,$S39)))</f>
        <v/>
      </c>
      <c r="C39" s="85" t="str">
        <f aca="false">IF($S39="","",IF(INDEX(对接源_01水果!$F$4:$F$1203,$S39)=0,"",INDEX(对接源_01水果!$F$4:$F$1203,$S39)))</f>
        <v/>
      </c>
      <c r="D39" s="85" t="str">
        <f aca="false">IF($S39="","",IF(INDEX(对接源_01水果!$G$4:$G$1203,$S39)=0,"",INDEX(对接源_01水果!$G$4:$G$1203,$S39)))</f>
        <v/>
      </c>
      <c r="E39" s="86" t="str">
        <f aca="false">IF($S39="","",IF(INDEX(对接源_01水果!$H$4:$H$1203,$S39)=0,"",INDEX(对接源_01水果!$H$4:$H$1203,$S39)))</f>
        <v/>
      </c>
      <c r="F39" s="85" t="str">
        <f aca="false">IF($S39="","",IF(INDEX(对接源_01水果!$I$4:$I$1203,$S39)=0,"",INDEX(对接源_01水果!$I$4:$I$1203,$S39)))</f>
        <v/>
      </c>
      <c r="G39" s="87" t="str">
        <f aca="false">IF($S39="","",IF(INDEX(对接源_01水果!$AD$4:$AD$1203,$S39)=0,"",INDEX(对接源_01水果!$AD$4:$AD$1203,$S39)))</f>
        <v/>
      </c>
      <c r="H39" s="87" t="str">
        <f aca="false">IF($S39="","",IF(INDEX(对接源_01水果!$AE$4:$AE$1203,$S39)=0,"",INDEX(对接源_01水果!$AE$4:$AE$1203,$S39)))</f>
        <v/>
      </c>
      <c r="I39" s="87" t="str">
        <f aca="false">IF($S39="","",IF(INDEX(对接源_01水果!$AF$4:$AF$1203,$S39)=0,"",INDEX(对接源_01水果!$AF$4:$AF$1203,$S39)))</f>
        <v/>
      </c>
      <c r="J39" s="88" t="str">
        <f aca="false">IF($S39="","",IF(INDEX(对接源_01水果!$K$4:$K$1203,$S39)=0,"",INDEX(对接源_01水果!$K$4:$K$1203,$S39)))</f>
        <v/>
      </c>
      <c r="K39" s="85" t="str">
        <f aca="false">IF($S39="","",IF(INDEX(对接源_01水果!$L$4:$L$1203,$S39)=0,"",INDEX(对接源_01水果!$L$4:$L$1203,$S39)))</f>
        <v/>
      </c>
      <c r="L39" s="89" t="str">
        <f aca="false">IF($S39="","",IF(INDEX(对接源_01水果!$M$4:$M$1203,$S39)=0,"",INDEX(对接源_01水果!$M$4:$M$1203,$S39)))</f>
        <v/>
      </c>
      <c r="S3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0" customFormat="false" ht="15.75" hidden="false" customHeight="true" outlineLevel="0" collapsed="false">
      <c r="A40" s="84" t="str">
        <f aca="false">IF($S40="","",IF(INDEX(对接源_01水果!$B$4:$B$1203,$S40)=0,"",INDEX(对接源_01水果!$B$4:$B$1203,$S40)))</f>
        <v/>
      </c>
      <c r="B40" s="85" t="str">
        <f aca="false">IF($S40="","",IF(INDEX(对接源_01水果!$E$4:$E$1203,$S40)=0,"",INDEX(对接源_01水果!$E$4:$E$1203,$S40)))</f>
        <v/>
      </c>
      <c r="C40" s="85" t="str">
        <f aca="false">IF($S40="","",IF(INDEX(对接源_01水果!$F$4:$F$1203,$S40)=0,"",INDEX(对接源_01水果!$F$4:$F$1203,$S40)))</f>
        <v/>
      </c>
      <c r="D40" s="85" t="str">
        <f aca="false">IF($S40="","",IF(INDEX(对接源_01水果!$G$4:$G$1203,$S40)=0,"",INDEX(对接源_01水果!$G$4:$G$1203,$S40)))</f>
        <v/>
      </c>
      <c r="E40" s="86" t="str">
        <f aca="false">IF($S40="","",IF(INDEX(对接源_01水果!$H$4:$H$1203,$S40)=0,"",INDEX(对接源_01水果!$H$4:$H$1203,$S40)))</f>
        <v/>
      </c>
      <c r="F40" s="85" t="str">
        <f aca="false">IF($S40="","",IF(INDEX(对接源_01水果!$I$4:$I$1203,$S40)=0,"",INDEX(对接源_01水果!$I$4:$I$1203,$S40)))</f>
        <v/>
      </c>
      <c r="G40" s="87" t="str">
        <f aca="false">IF($S40="","",IF(INDEX(对接源_01水果!$AD$4:$AD$1203,$S40)=0,"",INDEX(对接源_01水果!$AD$4:$AD$1203,$S40)))</f>
        <v/>
      </c>
      <c r="H40" s="87" t="str">
        <f aca="false">IF($S40="","",IF(INDEX(对接源_01水果!$AE$4:$AE$1203,$S40)=0,"",INDEX(对接源_01水果!$AE$4:$AE$1203,$S40)))</f>
        <v/>
      </c>
      <c r="I40" s="87" t="str">
        <f aca="false">IF($S40="","",IF(INDEX(对接源_01水果!$AF$4:$AF$1203,$S40)=0,"",INDEX(对接源_01水果!$AF$4:$AF$1203,$S40)))</f>
        <v/>
      </c>
      <c r="J40" s="88" t="str">
        <f aca="false">IF($S40="","",IF(INDEX(对接源_01水果!$K$4:$K$1203,$S40)=0,"",INDEX(对接源_01水果!$K$4:$K$1203,$S40)))</f>
        <v/>
      </c>
      <c r="K40" s="85" t="str">
        <f aca="false">IF($S40="","",IF(INDEX(对接源_01水果!$L$4:$L$1203,$S40)=0,"",INDEX(对接源_01水果!$L$4:$L$1203,$S40)))</f>
        <v/>
      </c>
      <c r="L40" s="89" t="str">
        <f aca="false">IF($S40="","",IF(INDEX(对接源_01水果!$M$4:$M$1203,$S40)=0,"",INDEX(对接源_01水果!$M$4:$M$1203,$S40)))</f>
        <v/>
      </c>
      <c r="S4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1" customFormat="false" ht="15.75" hidden="false" customHeight="true" outlineLevel="0" collapsed="false">
      <c r="A41" s="84" t="str">
        <f aca="false">IF($S41="","",IF(INDEX(对接源_01水果!$B$4:$B$1203,$S41)=0,"",INDEX(对接源_01水果!$B$4:$B$1203,$S41)))</f>
        <v/>
      </c>
      <c r="B41" s="85" t="str">
        <f aca="false">IF($S41="","",IF(INDEX(对接源_01水果!$E$4:$E$1203,$S41)=0,"",INDEX(对接源_01水果!$E$4:$E$1203,$S41)))</f>
        <v/>
      </c>
      <c r="C41" s="85" t="str">
        <f aca="false">IF($S41="","",IF(INDEX(对接源_01水果!$F$4:$F$1203,$S41)=0,"",INDEX(对接源_01水果!$F$4:$F$1203,$S41)))</f>
        <v/>
      </c>
      <c r="D41" s="85" t="str">
        <f aca="false">IF($S41="","",IF(INDEX(对接源_01水果!$G$4:$G$1203,$S41)=0,"",INDEX(对接源_01水果!$G$4:$G$1203,$S41)))</f>
        <v/>
      </c>
      <c r="E41" s="86" t="str">
        <f aca="false">IF($S41="","",IF(INDEX(对接源_01水果!$H$4:$H$1203,$S41)=0,"",INDEX(对接源_01水果!$H$4:$H$1203,$S41)))</f>
        <v/>
      </c>
      <c r="F41" s="85" t="str">
        <f aca="false">IF($S41="","",IF(INDEX(对接源_01水果!$I$4:$I$1203,$S41)=0,"",INDEX(对接源_01水果!$I$4:$I$1203,$S41)))</f>
        <v/>
      </c>
      <c r="G41" s="87" t="str">
        <f aca="false">IF($S41="","",IF(INDEX(对接源_01水果!$AD$4:$AD$1203,$S41)=0,"",INDEX(对接源_01水果!$AD$4:$AD$1203,$S41)))</f>
        <v/>
      </c>
      <c r="H41" s="87" t="str">
        <f aca="false">IF($S41="","",IF(INDEX(对接源_01水果!$AE$4:$AE$1203,$S41)=0,"",INDEX(对接源_01水果!$AE$4:$AE$1203,$S41)))</f>
        <v/>
      </c>
      <c r="I41" s="87" t="str">
        <f aca="false">IF($S41="","",IF(INDEX(对接源_01水果!$AF$4:$AF$1203,$S41)=0,"",INDEX(对接源_01水果!$AF$4:$AF$1203,$S41)))</f>
        <v/>
      </c>
      <c r="J41" s="88" t="str">
        <f aca="false">IF($S41="","",IF(INDEX(对接源_01水果!$K$4:$K$1203,$S41)=0,"",INDEX(对接源_01水果!$K$4:$K$1203,$S41)))</f>
        <v/>
      </c>
      <c r="K41" s="85" t="str">
        <f aca="false">IF($S41="","",IF(INDEX(对接源_01水果!$L$4:$L$1203,$S41)=0,"",INDEX(对接源_01水果!$L$4:$L$1203,$S41)))</f>
        <v/>
      </c>
      <c r="L41" s="89" t="str">
        <f aca="false">IF($S41="","",IF(INDEX(对接源_01水果!$M$4:$M$1203,$S41)=0,"",INDEX(对接源_01水果!$M$4:$M$1203,$S41)))</f>
        <v/>
      </c>
      <c r="S4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2" customFormat="false" ht="15.75" hidden="false" customHeight="true" outlineLevel="0" collapsed="false">
      <c r="A42" s="84" t="str">
        <f aca="false">IF($S42="","",IF(INDEX(对接源_01水果!$B$4:$B$1203,$S42)=0,"",INDEX(对接源_01水果!$B$4:$B$1203,$S42)))</f>
        <v/>
      </c>
      <c r="B42" s="85" t="str">
        <f aca="false">IF($S42="","",IF(INDEX(对接源_01水果!$E$4:$E$1203,$S42)=0,"",INDEX(对接源_01水果!$E$4:$E$1203,$S42)))</f>
        <v/>
      </c>
      <c r="C42" s="85" t="str">
        <f aca="false">IF($S42="","",IF(INDEX(对接源_01水果!$F$4:$F$1203,$S42)=0,"",INDEX(对接源_01水果!$F$4:$F$1203,$S42)))</f>
        <v/>
      </c>
      <c r="D42" s="85" t="str">
        <f aca="false">IF($S42="","",IF(INDEX(对接源_01水果!$G$4:$G$1203,$S42)=0,"",INDEX(对接源_01水果!$G$4:$G$1203,$S42)))</f>
        <v/>
      </c>
      <c r="E42" s="86" t="str">
        <f aca="false">IF($S42="","",IF(INDEX(对接源_01水果!$H$4:$H$1203,$S42)=0,"",INDEX(对接源_01水果!$H$4:$H$1203,$S42)))</f>
        <v/>
      </c>
      <c r="F42" s="85" t="str">
        <f aca="false">IF($S42="","",IF(INDEX(对接源_01水果!$I$4:$I$1203,$S42)=0,"",INDEX(对接源_01水果!$I$4:$I$1203,$S42)))</f>
        <v/>
      </c>
      <c r="G42" s="87" t="str">
        <f aca="false">IF($S42="","",IF(INDEX(对接源_01水果!$AD$4:$AD$1203,$S42)=0,"",INDEX(对接源_01水果!$AD$4:$AD$1203,$S42)))</f>
        <v/>
      </c>
      <c r="H42" s="87" t="str">
        <f aca="false">IF($S42="","",IF(INDEX(对接源_01水果!$AE$4:$AE$1203,$S42)=0,"",INDEX(对接源_01水果!$AE$4:$AE$1203,$S42)))</f>
        <v/>
      </c>
      <c r="I42" s="87" t="str">
        <f aca="false">IF($S42="","",IF(INDEX(对接源_01水果!$AF$4:$AF$1203,$S42)=0,"",INDEX(对接源_01水果!$AF$4:$AF$1203,$S42)))</f>
        <v/>
      </c>
      <c r="J42" s="88" t="str">
        <f aca="false">IF($S42="","",IF(INDEX(对接源_01水果!$K$4:$K$1203,$S42)=0,"",INDEX(对接源_01水果!$K$4:$K$1203,$S42)))</f>
        <v/>
      </c>
      <c r="K42" s="85" t="str">
        <f aca="false">IF($S42="","",IF(INDEX(对接源_01水果!$L$4:$L$1203,$S42)=0,"",INDEX(对接源_01水果!$L$4:$L$1203,$S42)))</f>
        <v/>
      </c>
      <c r="L42" s="89" t="str">
        <f aca="false">IF($S42="","",IF(INDEX(对接源_01水果!$M$4:$M$1203,$S42)=0,"",INDEX(对接源_01水果!$M$4:$M$1203,$S42)))</f>
        <v/>
      </c>
      <c r="S4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3" customFormat="false" ht="15.75" hidden="false" customHeight="true" outlineLevel="0" collapsed="false">
      <c r="A43" s="84" t="str">
        <f aca="false">IF($S43="","",IF(INDEX(对接源_01水果!$B$4:$B$1203,$S43)=0,"",INDEX(对接源_01水果!$B$4:$B$1203,$S43)))</f>
        <v/>
      </c>
      <c r="B43" s="85" t="str">
        <f aca="false">IF($S43="","",IF(INDEX(对接源_01水果!$E$4:$E$1203,$S43)=0,"",INDEX(对接源_01水果!$E$4:$E$1203,$S43)))</f>
        <v/>
      </c>
      <c r="C43" s="85" t="str">
        <f aca="false">IF($S43="","",IF(INDEX(对接源_01水果!$F$4:$F$1203,$S43)=0,"",INDEX(对接源_01水果!$F$4:$F$1203,$S43)))</f>
        <v/>
      </c>
      <c r="D43" s="85" t="str">
        <f aca="false">IF($S43="","",IF(INDEX(对接源_01水果!$G$4:$G$1203,$S43)=0,"",INDEX(对接源_01水果!$G$4:$G$1203,$S43)))</f>
        <v/>
      </c>
      <c r="E43" s="86" t="str">
        <f aca="false">IF($S43="","",IF(INDEX(对接源_01水果!$H$4:$H$1203,$S43)=0,"",INDEX(对接源_01水果!$H$4:$H$1203,$S43)))</f>
        <v/>
      </c>
      <c r="F43" s="85" t="str">
        <f aca="false">IF($S43="","",IF(INDEX(对接源_01水果!$I$4:$I$1203,$S43)=0,"",INDEX(对接源_01水果!$I$4:$I$1203,$S43)))</f>
        <v/>
      </c>
      <c r="G43" s="87" t="str">
        <f aca="false">IF($S43="","",IF(INDEX(对接源_01水果!$AD$4:$AD$1203,$S43)=0,"",INDEX(对接源_01水果!$AD$4:$AD$1203,$S43)))</f>
        <v/>
      </c>
      <c r="H43" s="87" t="str">
        <f aca="false">IF($S43="","",IF(INDEX(对接源_01水果!$AE$4:$AE$1203,$S43)=0,"",INDEX(对接源_01水果!$AE$4:$AE$1203,$S43)))</f>
        <v/>
      </c>
      <c r="I43" s="87" t="str">
        <f aca="false">IF($S43="","",IF(INDEX(对接源_01水果!$AF$4:$AF$1203,$S43)=0,"",INDEX(对接源_01水果!$AF$4:$AF$1203,$S43)))</f>
        <v/>
      </c>
      <c r="J43" s="88" t="str">
        <f aca="false">IF($S43="","",IF(INDEX(对接源_01水果!$K$4:$K$1203,$S43)=0,"",INDEX(对接源_01水果!$K$4:$K$1203,$S43)))</f>
        <v/>
      </c>
      <c r="K43" s="85" t="str">
        <f aca="false">IF($S43="","",IF(INDEX(对接源_01水果!$L$4:$L$1203,$S43)=0,"",INDEX(对接源_01水果!$L$4:$L$1203,$S43)))</f>
        <v/>
      </c>
      <c r="L43" s="89" t="str">
        <f aca="false">IF($S43="","",IF(INDEX(对接源_01水果!$M$4:$M$1203,$S43)=0,"",INDEX(对接源_01水果!$M$4:$M$1203,$S43)))</f>
        <v/>
      </c>
      <c r="S4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4" customFormat="false" ht="15.75" hidden="false" customHeight="true" outlineLevel="0" collapsed="false">
      <c r="A44" s="84" t="str">
        <f aca="false">IF($S44="","",IF(INDEX(对接源_01水果!$B$4:$B$1203,$S44)=0,"",INDEX(对接源_01水果!$B$4:$B$1203,$S44)))</f>
        <v/>
      </c>
      <c r="B44" s="85" t="str">
        <f aca="false">IF($S44="","",IF(INDEX(对接源_01水果!$E$4:$E$1203,$S44)=0,"",INDEX(对接源_01水果!$E$4:$E$1203,$S44)))</f>
        <v/>
      </c>
      <c r="C44" s="85" t="str">
        <f aca="false">IF($S44="","",IF(INDEX(对接源_01水果!$F$4:$F$1203,$S44)=0,"",INDEX(对接源_01水果!$F$4:$F$1203,$S44)))</f>
        <v/>
      </c>
      <c r="D44" s="85" t="str">
        <f aca="false">IF($S44="","",IF(INDEX(对接源_01水果!$G$4:$G$1203,$S44)=0,"",INDEX(对接源_01水果!$G$4:$G$1203,$S44)))</f>
        <v/>
      </c>
      <c r="E44" s="86" t="str">
        <f aca="false">IF($S44="","",IF(INDEX(对接源_01水果!$H$4:$H$1203,$S44)=0,"",INDEX(对接源_01水果!$H$4:$H$1203,$S44)))</f>
        <v/>
      </c>
      <c r="F44" s="85" t="str">
        <f aca="false">IF($S44="","",IF(INDEX(对接源_01水果!$I$4:$I$1203,$S44)=0,"",INDEX(对接源_01水果!$I$4:$I$1203,$S44)))</f>
        <v/>
      </c>
      <c r="G44" s="87" t="str">
        <f aca="false">IF($S44="","",IF(INDEX(对接源_01水果!$AD$4:$AD$1203,$S44)=0,"",INDEX(对接源_01水果!$AD$4:$AD$1203,$S44)))</f>
        <v/>
      </c>
      <c r="H44" s="87" t="str">
        <f aca="false">IF($S44="","",IF(INDEX(对接源_01水果!$AE$4:$AE$1203,$S44)=0,"",INDEX(对接源_01水果!$AE$4:$AE$1203,$S44)))</f>
        <v/>
      </c>
      <c r="I44" s="87" t="str">
        <f aca="false">IF($S44="","",IF(INDEX(对接源_01水果!$AF$4:$AF$1203,$S44)=0,"",INDEX(对接源_01水果!$AF$4:$AF$1203,$S44)))</f>
        <v/>
      </c>
      <c r="J44" s="88" t="str">
        <f aca="false">IF($S44="","",IF(INDEX(对接源_01水果!$K$4:$K$1203,$S44)=0,"",INDEX(对接源_01水果!$K$4:$K$1203,$S44)))</f>
        <v/>
      </c>
      <c r="K44" s="85" t="str">
        <f aca="false">IF($S44="","",IF(INDEX(对接源_01水果!$L$4:$L$1203,$S44)=0,"",INDEX(对接源_01水果!$L$4:$L$1203,$S44)))</f>
        <v/>
      </c>
      <c r="L44" s="89" t="str">
        <f aca="false">IF($S44="","",IF(INDEX(对接源_01水果!$M$4:$M$1203,$S44)=0,"",INDEX(对接源_01水果!$M$4:$M$1203,$S44)))</f>
        <v/>
      </c>
      <c r="S4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5" customFormat="false" ht="15.75" hidden="false" customHeight="true" outlineLevel="0" collapsed="false">
      <c r="A45" s="84" t="str">
        <f aca="false">IF($S45="","",IF(INDEX(对接源_01水果!$B$4:$B$1203,$S45)=0,"",INDEX(对接源_01水果!$B$4:$B$1203,$S45)))</f>
        <v/>
      </c>
      <c r="B45" s="85" t="str">
        <f aca="false">IF($S45="","",IF(INDEX(对接源_01水果!$E$4:$E$1203,$S45)=0,"",INDEX(对接源_01水果!$E$4:$E$1203,$S45)))</f>
        <v/>
      </c>
      <c r="C45" s="85" t="str">
        <f aca="false">IF($S45="","",IF(INDEX(对接源_01水果!$F$4:$F$1203,$S45)=0,"",INDEX(对接源_01水果!$F$4:$F$1203,$S45)))</f>
        <v/>
      </c>
      <c r="D45" s="85" t="str">
        <f aca="false">IF($S45="","",IF(INDEX(对接源_01水果!$G$4:$G$1203,$S45)=0,"",INDEX(对接源_01水果!$G$4:$G$1203,$S45)))</f>
        <v/>
      </c>
      <c r="E45" s="86" t="str">
        <f aca="false">IF($S45="","",IF(INDEX(对接源_01水果!$H$4:$H$1203,$S45)=0,"",INDEX(对接源_01水果!$H$4:$H$1203,$S45)))</f>
        <v/>
      </c>
      <c r="F45" s="85" t="str">
        <f aca="false">IF($S45="","",IF(INDEX(对接源_01水果!$I$4:$I$1203,$S45)=0,"",INDEX(对接源_01水果!$I$4:$I$1203,$S45)))</f>
        <v/>
      </c>
      <c r="G45" s="87" t="str">
        <f aca="false">IF($S45="","",IF(INDEX(对接源_01水果!$AD$4:$AD$1203,$S45)=0,"",INDEX(对接源_01水果!$AD$4:$AD$1203,$S45)))</f>
        <v/>
      </c>
      <c r="H45" s="87" t="str">
        <f aca="false">IF($S45="","",IF(INDEX(对接源_01水果!$AE$4:$AE$1203,$S45)=0,"",INDEX(对接源_01水果!$AE$4:$AE$1203,$S45)))</f>
        <v/>
      </c>
      <c r="I45" s="87" t="str">
        <f aca="false">IF($S45="","",IF(INDEX(对接源_01水果!$AF$4:$AF$1203,$S45)=0,"",INDEX(对接源_01水果!$AF$4:$AF$1203,$S45)))</f>
        <v/>
      </c>
      <c r="J45" s="88" t="str">
        <f aca="false">IF($S45="","",IF(INDEX(对接源_01水果!$K$4:$K$1203,$S45)=0,"",INDEX(对接源_01水果!$K$4:$K$1203,$S45)))</f>
        <v/>
      </c>
      <c r="K45" s="85" t="str">
        <f aca="false">IF($S45="","",IF(INDEX(对接源_01水果!$L$4:$L$1203,$S45)=0,"",INDEX(对接源_01水果!$L$4:$L$1203,$S45)))</f>
        <v/>
      </c>
      <c r="L45" s="89" t="str">
        <f aca="false">IF($S45="","",IF(INDEX(对接源_01水果!$M$4:$M$1203,$S45)=0,"",INDEX(对接源_01水果!$M$4:$M$1203,$S45)))</f>
        <v/>
      </c>
      <c r="S4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6" customFormat="false" ht="15.75" hidden="false" customHeight="true" outlineLevel="0" collapsed="false">
      <c r="A46" s="84" t="str">
        <f aca="false">IF($S46="","",IF(INDEX(对接源_01水果!$B$4:$B$1203,$S46)=0,"",INDEX(对接源_01水果!$B$4:$B$1203,$S46)))</f>
        <v/>
      </c>
      <c r="B46" s="85" t="str">
        <f aca="false">IF($S46="","",IF(INDEX(对接源_01水果!$E$4:$E$1203,$S46)=0,"",INDEX(对接源_01水果!$E$4:$E$1203,$S46)))</f>
        <v/>
      </c>
      <c r="C46" s="85" t="str">
        <f aca="false">IF($S46="","",IF(INDEX(对接源_01水果!$F$4:$F$1203,$S46)=0,"",INDEX(对接源_01水果!$F$4:$F$1203,$S46)))</f>
        <v/>
      </c>
      <c r="D46" s="85" t="str">
        <f aca="false">IF($S46="","",IF(INDEX(对接源_01水果!$G$4:$G$1203,$S46)=0,"",INDEX(对接源_01水果!$G$4:$G$1203,$S46)))</f>
        <v/>
      </c>
      <c r="E46" s="86" t="str">
        <f aca="false">IF($S46="","",IF(INDEX(对接源_01水果!$H$4:$H$1203,$S46)=0,"",INDEX(对接源_01水果!$H$4:$H$1203,$S46)))</f>
        <v/>
      </c>
      <c r="F46" s="85" t="str">
        <f aca="false">IF($S46="","",IF(INDEX(对接源_01水果!$I$4:$I$1203,$S46)=0,"",INDEX(对接源_01水果!$I$4:$I$1203,$S46)))</f>
        <v/>
      </c>
      <c r="G46" s="87" t="str">
        <f aca="false">IF($S46="","",IF(INDEX(对接源_01水果!$AD$4:$AD$1203,$S46)=0,"",INDEX(对接源_01水果!$AD$4:$AD$1203,$S46)))</f>
        <v/>
      </c>
      <c r="H46" s="87" t="str">
        <f aca="false">IF($S46="","",IF(INDEX(对接源_01水果!$AE$4:$AE$1203,$S46)=0,"",INDEX(对接源_01水果!$AE$4:$AE$1203,$S46)))</f>
        <v/>
      </c>
      <c r="I46" s="87" t="str">
        <f aca="false">IF($S46="","",IF(INDEX(对接源_01水果!$AF$4:$AF$1203,$S46)=0,"",INDEX(对接源_01水果!$AF$4:$AF$1203,$S46)))</f>
        <v/>
      </c>
      <c r="J46" s="88" t="str">
        <f aca="false">IF($S46="","",IF(INDEX(对接源_01水果!$K$4:$K$1203,$S46)=0,"",INDEX(对接源_01水果!$K$4:$K$1203,$S46)))</f>
        <v/>
      </c>
      <c r="K46" s="85" t="str">
        <f aca="false">IF($S46="","",IF(INDEX(对接源_01水果!$L$4:$L$1203,$S46)=0,"",INDEX(对接源_01水果!$L$4:$L$1203,$S46)))</f>
        <v/>
      </c>
      <c r="L46" s="89" t="str">
        <f aca="false">IF($S46="","",IF(INDEX(对接源_01水果!$M$4:$M$1203,$S46)=0,"",INDEX(对接源_01水果!$M$4:$M$1203,$S46)))</f>
        <v/>
      </c>
      <c r="S4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7" customFormat="false" ht="15.75" hidden="false" customHeight="true" outlineLevel="0" collapsed="false">
      <c r="A47" s="84" t="str">
        <f aca="false">IF($S47="","",IF(INDEX(对接源_01水果!$B$4:$B$1203,$S47)=0,"",INDEX(对接源_01水果!$B$4:$B$1203,$S47)))</f>
        <v/>
      </c>
      <c r="B47" s="85" t="str">
        <f aca="false">IF($S47="","",IF(INDEX(对接源_01水果!$E$4:$E$1203,$S47)=0,"",INDEX(对接源_01水果!$E$4:$E$1203,$S47)))</f>
        <v/>
      </c>
      <c r="C47" s="85" t="str">
        <f aca="false">IF($S47="","",IF(INDEX(对接源_01水果!$F$4:$F$1203,$S47)=0,"",INDEX(对接源_01水果!$F$4:$F$1203,$S47)))</f>
        <v/>
      </c>
      <c r="D47" s="85" t="str">
        <f aca="false">IF($S47="","",IF(INDEX(对接源_01水果!$G$4:$G$1203,$S47)=0,"",INDEX(对接源_01水果!$G$4:$G$1203,$S47)))</f>
        <v/>
      </c>
      <c r="E47" s="86" t="str">
        <f aca="false">IF($S47="","",IF(INDEX(对接源_01水果!$H$4:$H$1203,$S47)=0,"",INDEX(对接源_01水果!$H$4:$H$1203,$S47)))</f>
        <v/>
      </c>
      <c r="F47" s="85" t="str">
        <f aca="false">IF($S47="","",IF(INDEX(对接源_01水果!$I$4:$I$1203,$S47)=0,"",INDEX(对接源_01水果!$I$4:$I$1203,$S47)))</f>
        <v/>
      </c>
      <c r="G47" s="87" t="str">
        <f aca="false">IF($S47="","",IF(INDEX(对接源_01水果!$AD$4:$AD$1203,$S47)=0,"",INDEX(对接源_01水果!$AD$4:$AD$1203,$S47)))</f>
        <v/>
      </c>
      <c r="H47" s="87" t="str">
        <f aca="false">IF($S47="","",IF(INDEX(对接源_01水果!$AE$4:$AE$1203,$S47)=0,"",INDEX(对接源_01水果!$AE$4:$AE$1203,$S47)))</f>
        <v/>
      </c>
      <c r="I47" s="87" t="str">
        <f aca="false">IF($S47="","",IF(INDEX(对接源_01水果!$AF$4:$AF$1203,$S47)=0,"",INDEX(对接源_01水果!$AF$4:$AF$1203,$S47)))</f>
        <v/>
      </c>
      <c r="J47" s="88" t="str">
        <f aca="false">IF($S47="","",IF(INDEX(对接源_01水果!$K$4:$K$1203,$S47)=0,"",INDEX(对接源_01水果!$K$4:$K$1203,$S47)))</f>
        <v/>
      </c>
      <c r="K47" s="85" t="str">
        <f aca="false">IF($S47="","",IF(INDEX(对接源_01水果!$L$4:$L$1203,$S47)=0,"",INDEX(对接源_01水果!$L$4:$L$1203,$S47)))</f>
        <v/>
      </c>
      <c r="L47" s="89" t="str">
        <f aca="false">IF($S47="","",IF(INDEX(对接源_01水果!$M$4:$M$1203,$S47)=0,"",INDEX(对接源_01水果!$M$4:$M$1203,$S47)))</f>
        <v/>
      </c>
      <c r="S4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8" customFormat="false" ht="15.75" hidden="false" customHeight="true" outlineLevel="0" collapsed="false">
      <c r="A48" s="84" t="str">
        <f aca="false">IF($S48="","",IF(INDEX(对接源_01水果!$B$4:$B$1203,$S48)=0,"",INDEX(对接源_01水果!$B$4:$B$1203,$S48)))</f>
        <v/>
      </c>
      <c r="B48" s="85" t="str">
        <f aca="false">IF($S48="","",IF(INDEX(对接源_01水果!$E$4:$E$1203,$S48)=0,"",INDEX(对接源_01水果!$E$4:$E$1203,$S48)))</f>
        <v/>
      </c>
      <c r="C48" s="85" t="str">
        <f aca="false">IF($S48="","",IF(INDEX(对接源_01水果!$F$4:$F$1203,$S48)=0,"",INDEX(对接源_01水果!$F$4:$F$1203,$S48)))</f>
        <v/>
      </c>
      <c r="D48" s="85" t="str">
        <f aca="false">IF($S48="","",IF(INDEX(对接源_01水果!$G$4:$G$1203,$S48)=0,"",INDEX(对接源_01水果!$G$4:$G$1203,$S48)))</f>
        <v/>
      </c>
      <c r="E48" s="86" t="str">
        <f aca="false">IF($S48="","",IF(INDEX(对接源_01水果!$H$4:$H$1203,$S48)=0,"",INDEX(对接源_01水果!$H$4:$H$1203,$S48)))</f>
        <v/>
      </c>
      <c r="F48" s="85" t="str">
        <f aca="false">IF($S48="","",IF(INDEX(对接源_01水果!$I$4:$I$1203,$S48)=0,"",INDEX(对接源_01水果!$I$4:$I$1203,$S48)))</f>
        <v/>
      </c>
      <c r="G48" s="87" t="str">
        <f aca="false">IF($S48="","",IF(INDEX(对接源_01水果!$AD$4:$AD$1203,$S48)=0,"",INDEX(对接源_01水果!$AD$4:$AD$1203,$S48)))</f>
        <v/>
      </c>
      <c r="H48" s="87" t="str">
        <f aca="false">IF($S48="","",IF(INDEX(对接源_01水果!$AE$4:$AE$1203,$S48)=0,"",INDEX(对接源_01水果!$AE$4:$AE$1203,$S48)))</f>
        <v/>
      </c>
      <c r="I48" s="87" t="str">
        <f aca="false">IF($S48="","",IF(INDEX(对接源_01水果!$AF$4:$AF$1203,$S48)=0,"",INDEX(对接源_01水果!$AF$4:$AF$1203,$S48)))</f>
        <v/>
      </c>
      <c r="J48" s="88" t="str">
        <f aca="false">IF($S48="","",IF(INDEX(对接源_01水果!$K$4:$K$1203,$S48)=0,"",INDEX(对接源_01水果!$K$4:$K$1203,$S48)))</f>
        <v/>
      </c>
      <c r="K48" s="85" t="str">
        <f aca="false">IF($S48="","",IF(INDEX(对接源_01水果!$L$4:$L$1203,$S48)=0,"",INDEX(对接源_01水果!$L$4:$L$1203,$S48)))</f>
        <v/>
      </c>
      <c r="L48" s="89" t="str">
        <f aca="false">IF($S48="","",IF(INDEX(对接源_01水果!$M$4:$M$1203,$S48)=0,"",INDEX(对接源_01水果!$M$4:$M$1203,$S48)))</f>
        <v/>
      </c>
      <c r="S4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9" customFormat="false" ht="15.75" hidden="false" customHeight="true" outlineLevel="0" collapsed="false">
      <c r="A49" s="84" t="str">
        <f aca="false">IF($S49="","",IF(INDEX(对接源_01水果!$B$4:$B$1203,$S49)=0,"",INDEX(对接源_01水果!$B$4:$B$1203,$S49)))</f>
        <v/>
      </c>
      <c r="B49" s="85" t="str">
        <f aca="false">IF($S49="","",IF(INDEX(对接源_01水果!$E$4:$E$1203,$S49)=0,"",INDEX(对接源_01水果!$E$4:$E$1203,$S49)))</f>
        <v/>
      </c>
      <c r="C49" s="85" t="str">
        <f aca="false">IF($S49="","",IF(INDEX(对接源_01水果!$F$4:$F$1203,$S49)=0,"",INDEX(对接源_01水果!$F$4:$F$1203,$S49)))</f>
        <v/>
      </c>
      <c r="D49" s="85" t="str">
        <f aca="false">IF($S49="","",IF(INDEX(对接源_01水果!$G$4:$G$1203,$S49)=0,"",INDEX(对接源_01水果!$G$4:$G$1203,$S49)))</f>
        <v/>
      </c>
      <c r="E49" s="86" t="str">
        <f aca="false">IF($S49="","",IF(INDEX(对接源_01水果!$H$4:$H$1203,$S49)=0,"",INDEX(对接源_01水果!$H$4:$H$1203,$S49)))</f>
        <v/>
      </c>
      <c r="F49" s="85" t="str">
        <f aca="false">IF($S49="","",IF(INDEX(对接源_01水果!$I$4:$I$1203,$S49)=0,"",INDEX(对接源_01水果!$I$4:$I$1203,$S49)))</f>
        <v/>
      </c>
      <c r="G49" s="87" t="str">
        <f aca="false">IF($S49="","",IF(INDEX(对接源_01水果!$AD$4:$AD$1203,$S49)=0,"",INDEX(对接源_01水果!$AD$4:$AD$1203,$S49)))</f>
        <v/>
      </c>
      <c r="H49" s="87" t="str">
        <f aca="false">IF($S49="","",IF(INDEX(对接源_01水果!$AE$4:$AE$1203,$S49)=0,"",INDEX(对接源_01水果!$AE$4:$AE$1203,$S49)))</f>
        <v/>
      </c>
      <c r="I49" s="87" t="str">
        <f aca="false">IF($S49="","",IF(INDEX(对接源_01水果!$AF$4:$AF$1203,$S49)=0,"",INDEX(对接源_01水果!$AF$4:$AF$1203,$S49)))</f>
        <v/>
      </c>
      <c r="J49" s="88" t="str">
        <f aca="false">IF($S49="","",IF(INDEX(对接源_01水果!$K$4:$K$1203,$S49)=0,"",INDEX(对接源_01水果!$K$4:$K$1203,$S49)))</f>
        <v/>
      </c>
      <c r="K49" s="85" t="str">
        <f aca="false">IF($S49="","",IF(INDEX(对接源_01水果!$L$4:$L$1203,$S49)=0,"",INDEX(对接源_01水果!$L$4:$L$1203,$S49)))</f>
        <v/>
      </c>
      <c r="L49" s="89" t="str">
        <f aca="false">IF($S49="","",IF(INDEX(对接源_01水果!$M$4:$M$1203,$S49)=0,"",INDEX(对接源_01水果!$M$4:$M$1203,$S49)))</f>
        <v/>
      </c>
      <c r="S4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0" customFormat="false" ht="15.75" hidden="false" customHeight="true" outlineLevel="0" collapsed="false">
      <c r="A50" s="84" t="str">
        <f aca="false">IF($S50="","",IF(INDEX(对接源_01水果!$B$4:$B$1203,$S50)=0,"",INDEX(对接源_01水果!$B$4:$B$1203,$S50)))</f>
        <v/>
      </c>
      <c r="B50" s="85" t="str">
        <f aca="false">IF($S50="","",IF(INDEX(对接源_01水果!$E$4:$E$1203,$S50)=0,"",INDEX(对接源_01水果!$E$4:$E$1203,$S50)))</f>
        <v/>
      </c>
      <c r="C50" s="85" t="str">
        <f aca="false">IF($S50="","",IF(INDEX(对接源_01水果!$F$4:$F$1203,$S50)=0,"",INDEX(对接源_01水果!$F$4:$F$1203,$S50)))</f>
        <v/>
      </c>
      <c r="D50" s="85" t="str">
        <f aca="false">IF($S50="","",IF(INDEX(对接源_01水果!$G$4:$G$1203,$S50)=0,"",INDEX(对接源_01水果!$G$4:$G$1203,$S50)))</f>
        <v/>
      </c>
      <c r="E50" s="86" t="str">
        <f aca="false">IF($S50="","",IF(INDEX(对接源_01水果!$H$4:$H$1203,$S50)=0,"",INDEX(对接源_01水果!$H$4:$H$1203,$S50)))</f>
        <v/>
      </c>
      <c r="F50" s="85" t="str">
        <f aca="false">IF($S50="","",IF(INDEX(对接源_01水果!$I$4:$I$1203,$S50)=0,"",INDEX(对接源_01水果!$I$4:$I$1203,$S50)))</f>
        <v/>
      </c>
      <c r="G50" s="87" t="str">
        <f aca="false">IF($S50="","",IF(INDEX(对接源_01水果!$AD$4:$AD$1203,$S50)=0,"",INDEX(对接源_01水果!$AD$4:$AD$1203,$S50)))</f>
        <v/>
      </c>
      <c r="H50" s="87" t="str">
        <f aca="false">IF($S50="","",IF(INDEX(对接源_01水果!$AE$4:$AE$1203,$S50)=0,"",INDEX(对接源_01水果!$AE$4:$AE$1203,$S50)))</f>
        <v/>
      </c>
      <c r="I50" s="87" t="str">
        <f aca="false">IF($S50="","",IF(INDEX(对接源_01水果!$AF$4:$AF$1203,$S50)=0,"",INDEX(对接源_01水果!$AF$4:$AF$1203,$S50)))</f>
        <v/>
      </c>
      <c r="J50" s="88" t="str">
        <f aca="false">IF($S50="","",IF(INDEX(对接源_01水果!$K$4:$K$1203,$S50)=0,"",INDEX(对接源_01水果!$K$4:$K$1203,$S50)))</f>
        <v/>
      </c>
      <c r="K50" s="85" t="str">
        <f aca="false">IF($S50="","",IF(INDEX(对接源_01水果!$L$4:$L$1203,$S50)=0,"",INDEX(对接源_01水果!$L$4:$L$1203,$S50)))</f>
        <v/>
      </c>
      <c r="L50" s="89" t="str">
        <f aca="false">IF($S50="","",IF(INDEX(对接源_01水果!$M$4:$M$1203,$S50)=0,"",INDEX(对接源_01水果!$M$4:$M$1203,$S50)))</f>
        <v/>
      </c>
      <c r="S5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1" customFormat="false" ht="15.75" hidden="false" customHeight="true" outlineLevel="0" collapsed="false">
      <c r="A51" s="84" t="str">
        <f aca="false">IF($S51="","",IF(INDEX(对接源_01水果!$B$4:$B$1203,$S51)=0,"",INDEX(对接源_01水果!$B$4:$B$1203,$S51)))</f>
        <v/>
      </c>
      <c r="B51" s="85" t="str">
        <f aca="false">IF($S51="","",IF(INDEX(对接源_01水果!$E$4:$E$1203,$S51)=0,"",INDEX(对接源_01水果!$E$4:$E$1203,$S51)))</f>
        <v/>
      </c>
      <c r="C51" s="85" t="str">
        <f aca="false">IF($S51="","",IF(INDEX(对接源_01水果!$F$4:$F$1203,$S51)=0,"",INDEX(对接源_01水果!$F$4:$F$1203,$S51)))</f>
        <v/>
      </c>
      <c r="D51" s="85" t="str">
        <f aca="false">IF($S51="","",IF(INDEX(对接源_01水果!$G$4:$G$1203,$S51)=0,"",INDEX(对接源_01水果!$G$4:$G$1203,$S51)))</f>
        <v/>
      </c>
      <c r="E51" s="86" t="str">
        <f aca="false">IF($S51="","",IF(INDEX(对接源_01水果!$H$4:$H$1203,$S51)=0,"",INDEX(对接源_01水果!$H$4:$H$1203,$S51)))</f>
        <v/>
      </c>
      <c r="F51" s="85" t="str">
        <f aca="false">IF($S51="","",IF(INDEX(对接源_01水果!$I$4:$I$1203,$S51)=0,"",INDEX(对接源_01水果!$I$4:$I$1203,$S51)))</f>
        <v/>
      </c>
      <c r="G51" s="87" t="str">
        <f aca="false">IF($S51="","",IF(INDEX(对接源_01水果!$AD$4:$AD$1203,$S51)=0,"",INDEX(对接源_01水果!$AD$4:$AD$1203,$S51)))</f>
        <v/>
      </c>
      <c r="H51" s="87" t="str">
        <f aca="false">IF($S51="","",IF(INDEX(对接源_01水果!$AE$4:$AE$1203,$S51)=0,"",INDEX(对接源_01水果!$AE$4:$AE$1203,$S51)))</f>
        <v/>
      </c>
      <c r="I51" s="87" t="str">
        <f aca="false">IF($S51="","",IF(INDEX(对接源_01水果!$AF$4:$AF$1203,$S51)=0,"",INDEX(对接源_01水果!$AF$4:$AF$1203,$S51)))</f>
        <v/>
      </c>
      <c r="J51" s="88" t="str">
        <f aca="false">IF($S51="","",IF(INDEX(对接源_01水果!$K$4:$K$1203,$S51)=0,"",INDEX(对接源_01水果!$K$4:$K$1203,$S51)))</f>
        <v/>
      </c>
      <c r="K51" s="85" t="str">
        <f aca="false">IF($S51="","",IF(INDEX(对接源_01水果!$L$4:$L$1203,$S51)=0,"",INDEX(对接源_01水果!$L$4:$L$1203,$S51)))</f>
        <v/>
      </c>
      <c r="L51" s="89" t="str">
        <f aca="false">IF($S51="","",IF(INDEX(对接源_01水果!$M$4:$M$1203,$S51)=0,"",INDEX(对接源_01水果!$M$4:$M$1203,$S51)))</f>
        <v/>
      </c>
      <c r="S5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2" customFormat="false" ht="15.75" hidden="false" customHeight="true" outlineLevel="0" collapsed="false">
      <c r="A52" s="84" t="str">
        <f aca="false">IF($S52="","",IF(INDEX(对接源_01水果!$B$4:$B$1203,$S52)=0,"",INDEX(对接源_01水果!$B$4:$B$1203,$S52)))</f>
        <v/>
      </c>
      <c r="B52" s="85" t="str">
        <f aca="false">IF($S52="","",IF(INDEX(对接源_01水果!$E$4:$E$1203,$S52)=0,"",INDEX(对接源_01水果!$E$4:$E$1203,$S52)))</f>
        <v/>
      </c>
      <c r="C52" s="85" t="str">
        <f aca="false">IF($S52="","",IF(INDEX(对接源_01水果!$F$4:$F$1203,$S52)=0,"",INDEX(对接源_01水果!$F$4:$F$1203,$S52)))</f>
        <v/>
      </c>
      <c r="D52" s="85" t="str">
        <f aca="false">IF($S52="","",IF(INDEX(对接源_01水果!$G$4:$G$1203,$S52)=0,"",INDEX(对接源_01水果!$G$4:$G$1203,$S52)))</f>
        <v/>
      </c>
      <c r="E52" s="86" t="str">
        <f aca="false">IF($S52="","",IF(INDEX(对接源_01水果!$H$4:$H$1203,$S52)=0,"",INDEX(对接源_01水果!$H$4:$H$1203,$S52)))</f>
        <v/>
      </c>
      <c r="F52" s="85" t="str">
        <f aca="false">IF($S52="","",IF(INDEX(对接源_01水果!$I$4:$I$1203,$S52)=0,"",INDEX(对接源_01水果!$I$4:$I$1203,$S52)))</f>
        <v/>
      </c>
      <c r="G52" s="87" t="str">
        <f aca="false">IF($S52="","",IF(INDEX(对接源_01水果!$AD$4:$AD$1203,$S52)=0,"",INDEX(对接源_01水果!$AD$4:$AD$1203,$S52)))</f>
        <v/>
      </c>
      <c r="H52" s="87" t="str">
        <f aca="false">IF($S52="","",IF(INDEX(对接源_01水果!$AE$4:$AE$1203,$S52)=0,"",INDEX(对接源_01水果!$AE$4:$AE$1203,$S52)))</f>
        <v/>
      </c>
      <c r="I52" s="87" t="str">
        <f aca="false">IF($S52="","",IF(INDEX(对接源_01水果!$AF$4:$AF$1203,$S52)=0,"",INDEX(对接源_01水果!$AF$4:$AF$1203,$S52)))</f>
        <v/>
      </c>
      <c r="J52" s="88" t="str">
        <f aca="false">IF($S52="","",IF(INDEX(对接源_01水果!$K$4:$K$1203,$S52)=0,"",INDEX(对接源_01水果!$K$4:$K$1203,$S52)))</f>
        <v/>
      </c>
      <c r="K52" s="85" t="str">
        <f aca="false">IF($S52="","",IF(INDEX(对接源_01水果!$L$4:$L$1203,$S52)=0,"",INDEX(对接源_01水果!$L$4:$L$1203,$S52)))</f>
        <v/>
      </c>
      <c r="L52" s="89" t="str">
        <f aca="false">IF($S52="","",IF(INDEX(对接源_01水果!$M$4:$M$1203,$S52)=0,"",INDEX(对接源_01水果!$M$4:$M$1203,$S52)))</f>
        <v/>
      </c>
      <c r="S5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3" customFormat="false" ht="15.75" hidden="false" customHeight="true" outlineLevel="0" collapsed="false">
      <c r="A53" s="84" t="str">
        <f aca="false">IF($S53="","",IF(INDEX(对接源_01水果!$B$4:$B$1203,$S53)=0,"",INDEX(对接源_01水果!$B$4:$B$1203,$S53)))</f>
        <v/>
      </c>
      <c r="B53" s="85" t="str">
        <f aca="false">IF($S53="","",IF(INDEX(对接源_01水果!$E$4:$E$1203,$S53)=0,"",INDEX(对接源_01水果!$E$4:$E$1203,$S53)))</f>
        <v/>
      </c>
      <c r="C53" s="85" t="str">
        <f aca="false">IF($S53="","",IF(INDEX(对接源_01水果!$F$4:$F$1203,$S53)=0,"",INDEX(对接源_01水果!$F$4:$F$1203,$S53)))</f>
        <v/>
      </c>
      <c r="D53" s="85" t="str">
        <f aca="false">IF($S53="","",IF(INDEX(对接源_01水果!$G$4:$G$1203,$S53)=0,"",INDEX(对接源_01水果!$G$4:$G$1203,$S53)))</f>
        <v/>
      </c>
      <c r="E53" s="86" t="str">
        <f aca="false">IF($S53="","",IF(INDEX(对接源_01水果!$H$4:$H$1203,$S53)=0,"",INDEX(对接源_01水果!$H$4:$H$1203,$S53)))</f>
        <v/>
      </c>
      <c r="F53" s="85" t="str">
        <f aca="false">IF($S53="","",IF(INDEX(对接源_01水果!$I$4:$I$1203,$S53)=0,"",INDEX(对接源_01水果!$I$4:$I$1203,$S53)))</f>
        <v/>
      </c>
      <c r="G53" s="87" t="str">
        <f aca="false">IF($S53="","",IF(INDEX(对接源_01水果!$AD$4:$AD$1203,$S53)=0,"",INDEX(对接源_01水果!$AD$4:$AD$1203,$S53)))</f>
        <v/>
      </c>
      <c r="H53" s="87" t="str">
        <f aca="false">IF($S53="","",IF(INDEX(对接源_01水果!$AE$4:$AE$1203,$S53)=0,"",INDEX(对接源_01水果!$AE$4:$AE$1203,$S53)))</f>
        <v/>
      </c>
      <c r="I53" s="87" t="str">
        <f aca="false">IF($S53="","",IF(INDEX(对接源_01水果!$AF$4:$AF$1203,$S53)=0,"",INDEX(对接源_01水果!$AF$4:$AF$1203,$S53)))</f>
        <v/>
      </c>
      <c r="J53" s="88" t="str">
        <f aca="false">IF($S53="","",IF(INDEX(对接源_01水果!$K$4:$K$1203,$S53)=0,"",INDEX(对接源_01水果!$K$4:$K$1203,$S53)))</f>
        <v/>
      </c>
      <c r="K53" s="85" t="str">
        <f aca="false">IF($S53="","",IF(INDEX(对接源_01水果!$L$4:$L$1203,$S53)=0,"",INDEX(对接源_01水果!$L$4:$L$1203,$S53)))</f>
        <v/>
      </c>
      <c r="L53" s="89" t="str">
        <f aca="false">IF($S53="","",IF(INDEX(对接源_01水果!$M$4:$M$1203,$S53)=0,"",INDEX(对接源_01水果!$M$4:$M$1203,$S53)))</f>
        <v/>
      </c>
      <c r="S5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4" customFormat="false" ht="15.75" hidden="false" customHeight="true" outlineLevel="0" collapsed="false">
      <c r="A54" s="84" t="str">
        <f aca="false">IF($S54="","",IF(INDEX(对接源_01水果!$B$4:$B$1203,$S54)=0,"",INDEX(对接源_01水果!$B$4:$B$1203,$S54)))</f>
        <v/>
      </c>
      <c r="B54" s="85" t="str">
        <f aca="false">IF($S54="","",IF(INDEX(对接源_01水果!$E$4:$E$1203,$S54)=0,"",INDEX(对接源_01水果!$E$4:$E$1203,$S54)))</f>
        <v/>
      </c>
      <c r="C54" s="85" t="str">
        <f aca="false">IF($S54="","",IF(INDEX(对接源_01水果!$F$4:$F$1203,$S54)=0,"",INDEX(对接源_01水果!$F$4:$F$1203,$S54)))</f>
        <v/>
      </c>
      <c r="D54" s="85" t="str">
        <f aca="false">IF($S54="","",IF(INDEX(对接源_01水果!$G$4:$G$1203,$S54)=0,"",INDEX(对接源_01水果!$G$4:$G$1203,$S54)))</f>
        <v/>
      </c>
      <c r="E54" s="86" t="str">
        <f aca="false">IF($S54="","",IF(INDEX(对接源_01水果!$H$4:$H$1203,$S54)=0,"",INDEX(对接源_01水果!$H$4:$H$1203,$S54)))</f>
        <v/>
      </c>
      <c r="F54" s="85" t="str">
        <f aca="false">IF($S54="","",IF(INDEX(对接源_01水果!$I$4:$I$1203,$S54)=0,"",INDEX(对接源_01水果!$I$4:$I$1203,$S54)))</f>
        <v/>
      </c>
      <c r="G54" s="87" t="str">
        <f aca="false">IF($S54="","",IF(INDEX(对接源_01水果!$AD$4:$AD$1203,$S54)=0,"",INDEX(对接源_01水果!$AD$4:$AD$1203,$S54)))</f>
        <v/>
      </c>
      <c r="H54" s="87" t="str">
        <f aca="false">IF($S54="","",IF(INDEX(对接源_01水果!$AE$4:$AE$1203,$S54)=0,"",INDEX(对接源_01水果!$AE$4:$AE$1203,$S54)))</f>
        <v/>
      </c>
      <c r="I54" s="87" t="str">
        <f aca="false">IF($S54="","",IF(INDEX(对接源_01水果!$AF$4:$AF$1203,$S54)=0,"",INDEX(对接源_01水果!$AF$4:$AF$1203,$S54)))</f>
        <v/>
      </c>
      <c r="J54" s="88" t="str">
        <f aca="false">IF($S54="","",IF(INDEX(对接源_01水果!$K$4:$K$1203,$S54)=0,"",INDEX(对接源_01水果!$K$4:$K$1203,$S54)))</f>
        <v/>
      </c>
      <c r="K54" s="85" t="str">
        <f aca="false">IF($S54="","",IF(INDEX(对接源_01水果!$L$4:$L$1203,$S54)=0,"",INDEX(对接源_01水果!$L$4:$L$1203,$S54)))</f>
        <v/>
      </c>
      <c r="L54" s="89" t="str">
        <f aca="false">IF($S54="","",IF(INDEX(对接源_01水果!$M$4:$M$1203,$S54)=0,"",INDEX(对接源_01水果!$M$4:$M$1203,$S54)))</f>
        <v/>
      </c>
      <c r="S5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5" customFormat="false" ht="15.75" hidden="false" customHeight="true" outlineLevel="0" collapsed="false">
      <c r="A55" s="84" t="str">
        <f aca="false">IF($S55="","",IF(INDEX(对接源_01水果!$B$4:$B$1203,$S55)=0,"",INDEX(对接源_01水果!$B$4:$B$1203,$S55)))</f>
        <v/>
      </c>
      <c r="B55" s="85" t="str">
        <f aca="false">IF($S55="","",IF(INDEX(对接源_01水果!$E$4:$E$1203,$S55)=0,"",INDEX(对接源_01水果!$E$4:$E$1203,$S55)))</f>
        <v/>
      </c>
      <c r="C55" s="85" t="str">
        <f aca="false">IF($S55="","",IF(INDEX(对接源_01水果!$F$4:$F$1203,$S55)=0,"",INDEX(对接源_01水果!$F$4:$F$1203,$S55)))</f>
        <v/>
      </c>
      <c r="D55" s="85" t="str">
        <f aca="false">IF($S55="","",IF(INDEX(对接源_01水果!$G$4:$G$1203,$S55)=0,"",INDEX(对接源_01水果!$G$4:$G$1203,$S55)))</f>
        <v/>
      </c>
      <c r="E55" s="86" t="str">
        <f aca="false">IF($S55="","",IF(INDEX(对接源_01水果!$H$4:$H$1203,$S55)=0,"",INDEX(对接源_01水果!$H$4:$H$1203,$S55)))</f>
        <v/>
      </c>
      <c r="F55" s="85" t="str">
        <f aca="false">IF($S55="","",IF(INDEX(对接源_01水果!$I$4:$I$1203,$S55)=0,"",INDEX(对接源_01水果!$I$4:$I$1203,$S55)))</f>
        <v/>
      </c>
      <c r="G55" s="87" t="str">
        <f aca="false">IF($S55="","",IF(INDEX(对接源_01水果!$AD$4:$AD$1203,$S55)=0,"",INDEX(对接源_01水果!$AD$4:$AD$1203,$S55)))</f>
        <v/>
      </c>
      <c r="H55" s="87" t="str">
        <f aca="false">IF($S55="","",IF(INDEX(对接源_01水果!$AE$4:$AE$1203,$S55)=0,"",INDEX(对接源_01水果!$AE$4:$AE$1203,$S55)))</f>
        <v/>
      </c>
      <c r="I55" s="87" t="str">
        <f aca="false">IF($S55="","",IF(INDEX(对接源_01水果!$AF$4:$AF$1203,$S55)=0,"",INDEX(对接源_01水果!$AF$4:$AF$1203,$S55)))</f>
        <v/>
      </c>
      <c r="J55" s="88" t="str">
        <f aca="false">IF($S55="","",IF(INDEX(对接源_01水果!$K$4:$K$1203,$S55)=0,"",INDEX(对接源_01水果!$K$4:$K$1203,$S55)))</f>
        <v/>
      </c>
      <c r="K55" s="85" t="str">
        <f aca="false">IF($S55="","",IF(INDEX(对接源_01水果!$L$4:$L$1203,$S55)=0,"",INDEX(对接源_01水果!$L$4:$L$1203,$S55)))</f>
        <v/>
      </c>
      <c r="L55" s="89" t="str">
        <f aca="false">IF($S55="","",IF(INDEX(对接源_01水果!$M$4:$M$1203,$S55)=0,"",INDEX(对接源_01水果!$M$4:$M$1203,$S55)))</f>
        <v/>
      </c>
      <c r="S5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6" customFormat="false" ht="15.75" hidden="false" customHeight="true" outlineLevel="0" collapsed="false">
      <c r="A56" s="84" t="str">
        <f aca="false">IF($S56="","",IF(INDEX(对接源_01水果!$B$4:$B$1203,$S56)=0,"",INDEX(对接源_01水果!$B$4:$B$1203,$S56)))</f>
        <v/>
      </c>
      <c r="B56" s="85" t="str">
        <f aca="false">IF($S56="","",IF(INDEX(对接源_01水果!$E$4:$E$1203,$S56)=0,"",INDEX(对接源_01水果!$E$4:$E$1203,$S56)))</f>
        <v/>
      </c>
      <c r="C56" s="85" t="str">
        <f aca="false">IF($S56="","",IF(INDEX(对接源_01水果!$F$4:$F$1203,$S56)=0,"",INDEX(对接源_01水果!$F$4:$F$1203,$S56)))</f>
        <v/>
      </c>
      <c r="D56" s="85" t="str">
        <f aca="false">IF($S56="","",IF(INDEX(对接源_01水果!$G$4:$G$1203,$S56)=0,"",INDEX(对接源_01水果!$G$4:$G$1203,$S56)))</f>
        <v/>
      </c>
      <c r="E56" s="86" t="str">
        <f aca="false">IF($S56="","",IF(INDEX(对接源_01水果!$H$4:$H$1203,$S56)=0,"",INDEX(对接源_01水果!$H$4:$H$1203,$S56)))</f>
        <v/>
      </c>
      <c r="F56" s="85" t="str">
        <f aca="false">IF($S56="","",IF(INDEX(对接源_01水果!$I$4:$I$1203,$S56)=0,"",INDEX(对接源_01水果!$I$4:$I$1203,$S56)))</f>
        <v/>
      </c>
      <c r="G56" s="87" t="str">
        <f aca="false">IF($S56="","",IF(INDEX(对接源_01水果!$AD$4:$AD$1203,$S56)=0,"",INDEX(对接源_01水果!$AD$4:$AD$1203,$S56)))</f>
        <v/>
      </c>
      <c r="H56" s="87" t="str">
        <f aca="false">IF($S56="","",IF(INDEX(对接源_01水果!$AE$4:$AE$1203,$S56)=0,"",INDEX(对接源_01水果!$AE$4:$AE$1203,$S56)))</f>
        <v/>
      </c>
      <c r="I56" s="87" t="str">
        <f aca="false">IF($S56="","",IF(INDEX(对接源_01水果!$AF$4:$AF$1203,$S56)=0,"",INDEX(对接源_01水果!$AF$4:$AF$1203,$S56)))</f>
        <v/>
      </c>
      <c r="J56" s="88" t="str">
        <f aca="false">IF($S56="","",IF(INDEX(对接源_01水果!$K$4:$K$1203,$S56)=0,"",INDEX(对接源_01水果!$K$4:$K$1203,$S56)))</f>
        <v/>
      </c>
      <c r="K56" s="85" t="str">
        <f aca="false">IF($S56="","",IF(INDEX(对接源_01水果!$L$4:$L$1203,$S56)=0,"",INDEX(对接源_01水果!$L$4:$L$1203,$S56)))</f>
        <v/>
      </c>
      <c r="L56" s="89" t="str">
        <f aca="false">IF($S56="","",IF(INDEX(对接源_01水果!$M$4:$M$1203,$S56)=0,"",INDEX(对接源_01水果!$M$4:$M$1203,$S56)))</f>
        <v/>
      </c>
      <c r="S5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7" customFormat="false" ht="15.75" hidden="false" customHeight="true" outlineLevel="0" collapsed="false">
      <c r="A57" s="84" t="str">
        <f aca="false">IF($S57="","",IF(INDEX(对接源_01水果!$B$4:$B$1203,$S57)=0,"",INDEX(对接源_01水果!$B$4:$B$1203,$S57)))</f>
        <v/>
      </c>
      <c r="B57" s="85" t="str">
        <f aca="false">IF($S57="","",IF(INDEX(对接源_01水果!$E$4:$E$1203,$S57)=0,"",INDEX(对接源_01水果!$E$4:$E$1203,$S57)))</f>
        <v/>
      </c>
      <c r="C57" s="85" t="str">
        <f aca="false">IF($S57="","",IF(INDEX(对接源_01水果!$F$4:$F$1203,$S57)=0,"",INDEX(对接源_01水果!$F$4:$F$1203,$S57)))</f>
        <v/>
      </c>
      <c r="D57" s="85" t="str">
        <f aca="false">IF($S57="","",IF(INDEX(对接源_01水果!$G$4:$G$1203,$S57)=0,"",INDEX(对接源_01水果!$G$4:$G$1203,$S57)))</f>
        <v/>
      </c>
      <c r="E57" s="86" t="str">
        <f aca="false">IF($S57="","",IF(INDEX(对接源_01水果!$H$4:$H$1203,$S57)=0,"",INDEX(对接源_01水果!$H$4:$H$1203,$S57)))</f>
        <v/>
      </c>
      <c r="F57" s="85" t="str">
        <f aca="false">IF($S57="","",IF(INDEX(对接源_01水果!$I$4:$I$1203,$S57)=0,"",INDEX(对接源_01水果!$I$4:$I$1203,$S57)))</f>
        <v/>
      </c>
      <c r="G57" s="87" t="str">
        <f aca="false">IF($S57="","",IF(INDEX(对接源_01水果!$AD$4:$AD$1203,$S57)=0,"",INDEX(对接源_01水果!$AD$4:$AD$1203,$S57)))</f>
        <v/>
      </c>
      <c r="H57" s="87" t="str">
        <f aca="false">IF($S57="","",IF(INDEX(对接源_01水果!$AE$4:$AE$1203,$S57)=0,"",INDEX(对接源_01水果!$AE$4:$AE$1203,$S57)))</f>
        <v/>
      </c>
      <c r="I57" s="87" t="str">
        <f aca="false">IF($S57="","",IF(INDEX(对接源_01水果!$AF$4:$AF$1203,$S57)=0,"",INDEX(对接源_01水果!$AF$4:$AF$1203,$S57)))</f>
        <v/>
      </c>
      <c r="J57" s="88" t="str">
        <f aca="false">IF($S57="","",IF(INDEX(对接源_01水果!$K$4:$K$1203,$S57)=0,"",INDEX(对接源_01水果!$K$4:$K$1203,$S57)))</f>
        <v/>
      </c>
      <c r="K57" s="85" t="str">
        <f aca="false">IF($S57="","",IF(INDEX(对接源_01水果!$L$4:$L$1203,$S57)=0,"",INDEX(对接源_01水果!$L$4:$L$1203,$S57)))</f>
        <v/>
      </c>
      <c r="L57" s="89" t="str">
        <f aca="false">IF($S57="","",IF(INDEX(对接源_01水果!$M$4:$M$1203,$S57)=0,"",INDEX(对接源_01水果!$M$4:$M$1203,$S57)))</f>
        <v/>
      </c>
      <c r="S5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8" customFormat="false" ht="15.75" hidden="false" customHeight="true" outlineLevel="0" collapsed="false">
      <c r="A58" s="84" t="str">
        <f aca="false">IF($S58="","",IF(INDEX(对接源_01水果!$B$4:$B$1203,$S58)=0,"",INDEX(对接源_01水果!$B$4:$B$1203,$S58)))</f>
        <v/>
      </c>
      <c r="B58" s="85" t="str">
        <f aca="false">IF($S58="","",IF(INDEX(对接源_01水果!$E$4:$E$1203,$S58)=0,"",INDEX(对接源_01水果!$E$4:$E$1203,$S58)))</f>
        <v/>
      </c>
      <c r="C58" s="85" t="str">
        <f aca="false">IF($S58="","",IF(INDEX(对接源_01水果!$F$4:$F$1203,$S58)=0,"",INDEX(对接源_01水果!$F$4:$F$1203,$S58)))</f>
        <v/>
      </c>
      <c r="D58" s="85" t="str">
        <f aca="false">IF($S58="","",IF(INDEX(对接源_01水果!$G$4:$G$1203,$S58)=0,"",INDEX(对接源_01水果!$G$4:$G$1203,$S58)))</f>
        <v/>
      </c>
      <c r="E58" s="86" t="str">
        <f aca="false">IF($S58="","",IF(INDEX(对接源_01水果!$H$4:$H$1203,$S58)=0,"",INDEX(对接源_01水果!$H$4:$H$1203,$S58)))</f>
        <v/>
      </c>
      <c r="F58" s="85" t="str">
        <f aca="false">IF($S58="","",IF(INDEX(对接源_01水果!$I$4:$I$1203,$S58)=0,"",INDEX(对接源_01水果!$I$4:$I$1203,$S58)))</f>
        <v/>
      </c>
      <c r="G58" s="87" t="str">
        <f aca="false">IF($S58="","",IF(INDEX(对接源_01水果!$AD$4:$AD$1203,$S58)=0,"",INDEX(对接源_01水果!$AD$4:$AD$1203,$S58)))</f>
        <v/>
      </c>
      <c r="H58" s="87" t="str">
        <f aca="false">IF($S58="","",IF(INDEX(对接源_01水果!$AE$4:$AE$1203,$S58)=0,"",INDEX(对接源_01水果!$AE$4:$AE$1203,$S58)))</f>
        <v/>
      </c>
      <c r="I58" s="87" t="str">
        <f aca="false">IF($S58="","",IF(INDEX(对接源_01水果!$AF$4:$AF$1203,$S58)=0,"",INDEX(对接源_01水果!$AF$4:$AF$1203,$S58)))</f>
        <v/>
      </c>
      <c r="J58" s="88" t="str">
        <f aca="false">IF($S58="","",IF(INDEX(对接源_01水果!$K$4:$K$1203,$S58)=0,"",INDEX(对接源_01水果!$K$4:$K$1203,$S58)))</f>
        <v/>
      </c>
      <c r="K58" s="85" t="str">
        <f aca="false">IF($S58="","",IF(INDEX(对接源_01水果!$L$4:$L$1203,$S58)=0,"",INDEX(对接源_01水果!$L$4:$L$1203,$S58)))</f>
        <v/>
      </c>
      <c r="L58" s="89" t="str">
        <f aca="false">IF($S58="","",IF(INDEX(对接源_01水果!$M$4:$M$1203,$S58)=0,"",INDEX(对接源_01水果!$M$4:$M$1203,$S58)))</f>
        <v/>
      </c>
      <c r="S5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9" customFormat="false" ht="15.75" hidden="false" customHeight="true" outlineLevel="0" collapsed="false">
      <c r="A59" s="84" t="str">
        <f aca="false">IF($S59="","",IF(INDEX(对接源_01水果!$B$4:$B$1203,$S59)=0,"",INDEX(对接源_01水果!$B$4:$B$1203,$S59)))</f>
        <v/>
      </c>
      <c r="B59" s="85" t="str">
        <f aca="false">IF($S59="","",IF(INDEX(对接源_01水果!$E$4:$E$1203,$S59)=0,"",INDEX(对接源_01水果!$E$4:$E$1203,$S59)))</f>
        <v/>
      </c>
      <c r="C59" s="85" t="str">
        <f aca="false">IF($S59="","",IF(INDEX(对接源_01水果!$F$4:$F$1203,$S59)=0,"",INDEX(对接源_01水果!$F$4:$F$1203,$S59)))</f>
        <v/>
      </c>
      <c r="D59" s="85" t="str">
        <f aca="false">IF($S59="","",IF(INDEX(对接源_01水果!$G$4:$G$1203,$S59)=0,"",INDEX(对接源_01水果!$G$4:$G$1203,$S59)))</f>
        <v/>
      </c>
      <c r="E59" s="86" t="str">
        <f aca="false">IF($S59="","",IF(INDEX(对接源_01水果!$H$4:$H$1203,$S59)=0,"",INDEX(对接源_01水果!$H$4:$H$1203,$S59)))</f>
        <v/>
      </c>
      <c r="F59" s="85" t="str">
        <f aca="false">IF($S59="","",IF(INDEX(对接源_01水果!$I$4:$I$1203,$S59)=0,"",INDEX(对接源_01水果!$I$4:$I$1203,$S59)))</f>
        <v/>
      </c>
      <c r="G59" s="87" t="str">
        <f aca="false">IF($S59="","",IF(INDEX(对接源_01水果!$AD$4:$AD$1203,$S59)=0,"",INDEX(对接源_01水果!$AD$4:$AD$1203,$S59)))</f>
        <v/>
      </c>
      <c r="H59" s="87" t="str">
        <f aca="false">IF($S59="","",IF(INDEX(对接源_01水果!$AE$4:$AE$1203,$S59)=0,"",INDEX(对接源_01水果!$AE$4:$AE$1203,$S59)))</f>
        <v/>
      </c>
      <c r="I59" s="87" t="str">
        <f aca="false">IF($S59="","",IF(INDEX(对接源_01水果!$AF$4:$AF$1203,$S59)=0,"",INDEX(对接源_01水果!$AF$4:$AF$1203,$S59)))</f>
        <v/>
      </c>
      <c r="J59" s="88" t="str">
        <f aca="false">IF($S59="","",IF(INDEX(对接源_01水果!$K$4:$K$1203,$S59)=0,"",INDEX(对接源_01水果!$K$4:$K$1203,$S59)))</f>
        <v/>
      </c>
      <c r="K59" s="85" t="str">
        <f aca="false">IF($S59="","",IF(INDEX(对接源_01水果!$L$4:$L$1203,$S59)=0,"",INDEX(对接源_01水果!$L$4:$L$1203,$S59)))</f>
        <v/>
      </c>
      <c r="L59" s="89" t="str">
        <f aca="false">IF($S59="","",IF(INDEX(对接源_01水果!$M$4:$M$1203,$S59)=0,"",INDEX(对接源_01水果!$M$4:$M$1203,$S59)))</f>
        <v/>
      </c>
      <c r="S5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0" customFormat="false" ht="15.75" hidden="false" customHeight="true" outlineLevel="0" collapsed="false">
      <c r="A60" s="84" t="str">
        <f aca="false">IF($S60="","",IF(INDEX(对接源_01水果!$B$4:$B$1203,$S60)=0,"",INDEX(对接源_01水果!$B$4:$B$1203,$S60)))</f>
        <v/>
      </c>
      <c r="B60" s="85" t="str">
        <f aca="false">IF($S60="","",IF(INDEX(对接源_01水果!$E$4:$E$1203,$S60)=0,"",INDEX(对接源_01水果!$E$4:$E$1203,$S60)))</f>
        <v/>
      </c>
      <c r="C60" s="85" t="str">
        <f aca="false">IF($S60="","",IF(INDEX(对接源_01水果!$F$4:$F$1203,$S60)=0,"",INDEX(对接源_01水果!$F$4:$F$1203,$S60)))</f>
        <v/>
      </c>
      <c r="D60" s="85" t="str">
        <f aca="false">IF($S60="","",IF(INDEX(对接源_01水果!$G$4:$G$1203,$S60)=0,"",INDEX(对接源_01水果!$G$4:$G$1203,$S60)))</f>
        <v/>
      </c>
      <c r="E60" s="86" t="str">
        <f aca="false">IF($S60="","",IF(INDEX(对接源_01水果!$H$4:$H$1203,$S60)=0,"",INDEX(对接源_01水果!$H$4:$H$1203,$S60)))</f>
        <v/>
      </c>
      <c r="F60" s="85" t="str">
        <f aca="false">IF($S60="","",IF(INDEX(对接源_01水果!$I$4:$I$1203,$S60)=0,"",INDEX(对接源_01水果!$I$4:$I$1203,$S60)))</f>
        <v/>
      </c>
      <c r="G60" s="87" t="str">
        <f aca="false">IF($S60="","",IF(INDEX(对接源_01水果!$AD$4:$AD$1203,$S60)=0,"",INDEX(对接源_01水果!$AD$4:$AD$1203,$S60)))</f>
        <v/>
      </c>
      <c r="H60" s="87" t="str">
        <f aca="false">IF($S60="","",IF(INDEX(对接源_01水果!$AE$4:$AE$1203,$S60)=0,"",INDEX(对接源_01水果!$AE$4:$AE$1203,$S60)))</f>
        <v/>
      </c>
      <c r="I60" s="87" t="str">
        <f aca="false">IF($S60="","",IF(INDEX(对接源_01水果!$AF$4:$AF$1203,$S60)=0,"",INDEX(对接源_01水果!$AF$4:$AF$1203,$S60)))</f>
        <v/>
      </c>
      <c r="J60" s="88" t="str">
        <f aca="false">IF($S60="","",IF(INDEX(对接源_01水果!$K$4:$K$1203,$S60)=0,"",INDEX(对接源_01水果!$K$4:$K$1203,$S60)))</f>
        <v/>
      </c>
      <c r="K60" s="85" t="str">
        <f aca="false">IF($S60="","",IF(INDEX(对接源_01水果!$L$4:$L$1203,$S60)=0,"",INDEX(对接源_01水果!$L$4:$L$1203,$S60)))</f>
        <v/>
      </c>
      <c r="L60" s="89" t="str">
        <f aca="false">IF($S60="","",IF(INDEX(对接源_01水果!$M$4:$M$1203,$S60)=0,"",INDEX(对接源_01水果!$M$4:$M$1203,$S60)))</f>
        <v/>
      </c>
      <c r="S6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1" customFormat="false" ht="15.75" hidden="false" customHeight="true" outlineLevel="0" collapsed="false">
      <c r="A61" s="84" t="str">
        <f aca="false">IF($S61="","",IF(INDEX(对接源_01水果!$B$4:$B$1203,$S61)=0,"",INDEX(对接源_01水果!$B$4:$B$1203,$S61)))</f>
        <v/>
      </c>
      <c r="B61" s="85" t="str">
        <f aca="false">IF($S61="","",IF(INDEX(对接源_01水果!$E$4:$E$1203,$S61)=0,"",INDEX(对接源_01水果!$E$4:$E$1203,$S61)))</f>
        <v/>
      </c>
      <c r="C61" s="85" t="str">
        <f aca="false">IF($S61="","",IF(INDEX(对接源_01水果!$F$4:$F$1203,$S61)=0,"",INDEX(对接源_01水果!$F$4:$F$1203,$S61)))</f>
        <v/>
      </c>
      <c r="D61" s="85" t="str">
        <f aca="false">IF($S61="","",IF(INDEX(对接源_01水果!$G$4:$G$1203,$S61)=0,"",INDEX(对接源_01水果!$G$4:$G$1203,$S61)))</f>
        <v/>
      </c>
      <c r="E61" s="86" t="str">
        <f aca="false">IF($S61="","",IF(INDEX(对接源_01水果!$H$4:$H$1203,$S61)=0,"",INDEX(对接源_01水果!$H$4:$H$1203,$S61)))</f>
        <v/>
      </c>
      <c r="F61" s="85" t="str">
        <f aca="false">IF($S61="","",IF(INDEX(对接源_01水果!$I$4:$I$1203,$S61)=0,"",INDEX(对接源_01水果!$I$4:$I$1203,$S61)))</f>
        <v/>
      </c>
      <c r="G61" s="87" t="str">
        <f aca="false">IF($S61="","",IF(INDEX(对接源_01水果!$AD$4:$AD$1203,$S61)=0,"",INDEX(对接源_01水果!$AD$4:$AD$1203,$S61)))</f>
        <v/>
      </c>
      <c r="H61" s="87" t="str">
        <f aca="false">IF($S61="","",IF(INDEX(对接源_01水果!$AE$4:$AE$1203,$S61)=0,"",INDEX(对接源_01水果!$AE$4:$AE$1203,$S61)))</f>
        <v/>
      </c>
      <c r="I61" s="87" t="str">
        <f aca="false">IF($S61="","",IF(INDEX(对接源_01水果!$AF$4:$AF$1203,$S61)=0,"",INDEX(对接源_01水果!$AF$4:$AF$1203,$S61)))</f>
        <v/>
      </c>
      <c r="J61" s="88" t="str">
        <f aca="false">IF($S61="","",IF(INDEX(对接源_01水果!$K$4:$K$1203,$S61)=0,"",INDEX(对接源_01水果!$K$4:$K$1203,$S61)))</f>
        <v/>
      </c>
      <c r="K61" s="85" t="str">
        <f aca="false">IF($S61="","",IF(INDEX(对接源_01水果!$L$4:$L$1203,$S61)=0,"",INDEX(对接源_01水果!$L$4:$L$1203,$S61)))</f>
        <v/>
      </c>
      <c r="L61" s="89" t="str">
        <f aca="false">IF($S61="","",IF(INDEX(对接源_01水果!$M$4:$M$1203,$S61)=0,"",INDEX(对接源_01水果!$M$4:$M$1203,$S61)))</f>
        <v/>
      </c>
      <c r="S6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2" customFormat="false" ht="15.75" hidden="false" customHeight="true" outlineLevel="0" collapsed="false">
      <c r="A62" s="84" t="str">
        <f aca="false">IF($S62="","",IF(INDEX(对接源_01水果!$B$4:$B$1203,$S62)=0,"",INDEX(对接源_01水果!$B$4:$B$1203,$S62)))</f>
        <v/>
      </c>
      <c r="B62" s="85" t="str">
        <f aca="false">IF($S62="","",IF(INDEX(对接源_01水果!$E$4:$E$1203,$S62)=0,"",INDEX(对接源_01水果!$E$4:$E$1203,$S62)))</f>
        <v/>
      </c>
      <c r="C62" s="85" t="str">
        <f aca="false">IF($S62="","",IF(INDEX(对接源_01水果!$F$4:$F$1203,$S62)=0,"",INDEX(对接源_01水果!$F$4:$F$1203,$S62)))</f>
        <v/>
      </c>
      <c r="D62" s="85" t="str">
        <f aca="false">IF($S62="","",IF(INDEX(对接源_01水果!$G$4:$G$1203,$S62)=0,"",INDEX(对接源_01水果!$G$4:$G$1203,$S62)))</f>
        <v/>
      </c>
      <c r="E62" s="86" t="str">
        <f aca="false">IF($S62="","",IF(INDEX(对接源_01水果!$H$4:$H$1203,$S62)=0,"",INDEX(对接源_01水果!$H$4:$H$1203,$S62)))</f>
        <v/>
      </c>
      <c r="F62" s="85" t="str">
        <f aca="false">IF($S62="","",IF(INDEX(对接源_01水果!$I$4:$I$1203,$S62)=0,"",INDEX(对接源_01水果!$I$4:$I$1203,$S62)))</f>
        <v/>
      </c>
      <c r="G62" s="87" t="str">
        <f aca="false">IF($S62="","",IF(INDEX(对接源_01水果!$AD$4:$AD$1203,$S62)=0,"",INDEX(对接源_01水果!$AD$4:$AD$1203,$S62)))</f>
        <v/>
      </c>
      <c r="H62" s="87" t="str">
        <f aca="false">IF($S62="","",IF(INDEX(对接源_01水果!$AE$4:$AE$1203,$S62)=0,"",INDEX(对接源_01水果!$AE$4:$AE$1203,$S62)))</f>
        <v/>
      </c>
      <c r="I62" s="87" t="str">
        <f aca="false">IF($S62="","",IF(INDEX(对接源_01水果!$AF$4:$AF$1203,$S62)=0,"",INDEX(对接源_01水果!$AF$4:$AF$1203,$S62)))</f>
        <v/>
      </c>
      <c r="J62" s="88" t="str">
        <f aca="false">IF($S62="","",IF(INDEX(对接源_01水果!$K$4:$K$1203,$S62)=0,"",INDEX(对接源_01水果!$K$4:$K$1203,$S62)))</f>
        <v/>
      </c>
      <c r="K62" s="85" t="str">
        <f aca="false">IF($S62="","",IF(INDEX(对接源_01水果!$L$4:$L$1203,$S62)=0,"",INDEX(对接源_01水果!$L$4:$L$1203,$S62)))</f>
        <v/>
      </c>
      <c r="L62" s="89" t="str">
        <f aca="false">IF($S62="","",IF(INDEX(对接源_01水果!$M$4:$M$1203,$S62)=0,"",INDEX(对接源_01水果!$M$4:$M$1203,$S62)))</f>
        <v/>
      </c>
      <c r="S6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3" customFormat="false" ht="15.75" hidden="false" customHeight="true" outlineLevel="0" collapsed="false">
      <c r="A63" s="84" t="str">
        <f aca="false">IF($S63="","",IF(INDEX(对接源_01水果!$B$4:$B$1203,$S63)=0,"",INDEX(对接源_01水果!$B$4:$B$1203,$S63)))</f>
        <v/>
      </c>
      <c r="B63" s="85" t="str">
        <f aca="false">IF($S63="","",IF(INDEX(对接源_01水果!$E$4:$E$1203,$S63)=0,"",INDEX(对接源_01水果!$E$4:$E$1203,$S63)))</f>
        <v/>
      </c>
      <c r="C63" s="85" t="str">
        <f aca="false">IF($S63="","",IF(INDEX(对接源_01水果!$F$4:$F$1203,$S63)=0,"",INDEX(对接源_01水果!$F$4:$F$1203,$S63)))</f>
        <v/>
      </c>
      <c r="D63" s="85" t="str">
        <f aca="false">IF($S63="","",IF(INDEX(对接源_01水果!$G$4:$G$1203,$S63)=0,"",INDEX(对接源_01水果!$G$4:$G$1203,$S63)))</f>
        <v/>
      </c>
      <c r="E63" s="86" t="str">
        <f aca="false">IF($S63="","",IF(INDEX(对接源_01水果!$H$4:$H$1203,$S63)=0,"",INDEX(对接源_01水果!$H$4:$H$1203,$S63)))</f>
        <v/>
      </c>
      <c r="F63" s="85" t="str">
        <f aca="false">IF($S63="","",IF(INDEX(对接源_01水果!$I$4:$I$1203,$S63)=0,"",INDEX(对接源_01水果!$I$4:$I$1203,$S63)))</f>
        <v/>
      </c>
      <c r="G63" s="87" t="str">
        <f aca="false">IF($S63="","",IF(INDEX(对接源_01水果!$AD$4:$AD$1203,$S63)=0,"",INDEX(对接源_01水果!$AD$4:$AD$1203,$S63)))</f>
        <v/>
      </c>
      <c r="H63" s="87" t="str">
        <f aca="false">IF($S63="","",IF(INDEX(对接源_01水果!$AE$4:$AE$1203,$S63)=0,"",INDEX(对接源_01水果!$AE$4:$AE$1203,$S63)))</f>
        <v/>
      </c>
      <c r="I63" s="87" t="str">
        <f aca="false">IF($S63="","",IF(INDEX(对接源_01水果!$AF$4:$AF$1203,$S63)=0,"",INDEX(对接源_01水果!$AF$4:$AF$1203,$S63)))</f>
        <v/>
      </c>
      <c r="J63" s="88" t="str">
        <f aca="false">IF($S63="","",IF(INDEX(对接源_01水果!$K$4:$K$1203,$S63)=0,"",INDEX(对接源_01水果!$K$4:$K$1203,$S63)))</f>
        <v/>
      </c>
      <c r="K63" s="85" t="str">
        <f aca="false">IF($S63="","",IF(INDEX(对接源_01水果!$L$4:$L$1203,$S63)=0,"",INDEX(对接源_01水果!$L$4:$L$1203,$S63)))</f>
        <v/>
      </c>
      <c r="L63" s="89" t="str">
        <f aca="false">IF($S63="","",IF(INDEX(对接源_01水果!$M$4:$M$1203,$S63)=0,"",INDEX(对接源_01水果!$M$4:$M$1203,$S63)))</f>
        <v/>
      </c>
      <c r="S6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4" customFormat="false" ht="15.75" hidden="false" customHeight="true" outlineLevel="0" collapsed="false">
      <c r="A64" s="84" t="str">
        <f aca="false">IF($S64="","",IF(INDEX(对接源_01水果!$B$4:$B$1203,$S64)=0,"",INDEX(对接源_01水果!$B$4:$B$1203,$S64)))</f>
        <v/>
      </c>
      <c r="B64" s="85" t="str">
        <f aca="false">IF($S64="","",IF(INDEX(对接源_01水果!$E$4:$E$1203,$S64)=0,"",INDEX(对接源_01水果!$E$4:$E$1203,$S64)))</f>
        <v/>
      </c>
      <c r="C64" s="85" t="str">
        <f aca="false">IF($S64="","",IF(INDEX(对接源_01水果!$F$4:$F$1203,$S64)=0,"",INDEX(对接源_01水果!$F$4:$F$1203,$S64)))</f>
        <v/>
      </c>
      <c r="D64" s="85" t="str">
        <f aca="false">IF($S64="","",IF(INDEX(对接源_01水果!$G$4:$G$1203,$S64)=0,"",INDEX(对接源_01水果!$G$4:$G$1203,$S64)))</f>
        <v/>
      </c>
      <c r="E64" s="86" t="str">
        <f aca="false">IF($S64="","",IF(INDEX(对接源_01水果!$H$4:$H$1203,$S64)=0,"",INDEX(对接源_01水果!$H$4:$H$1203,$S64)))</f>
        <v/>
      </c>
      <c r="F64" s="85" t="str">
        <f aca="false">IF($S64="","",IF(INDEX(对接源_01水果!$I$4:$I$1203,$S64)=0,"",INDEX(对接源_01水果!$I$4:$I$1203,$S64)))</f>
        <v/>
      </c>
      <c r="G64" s="87" t="str">
        <f aca="false">IF($S64="","",IF(INDEX(对接源_01水果!$AD$4:$AD$1203,$S64)=0,"",INDEX(对接源_01水果!$AD$4:$AD$1203,$S64)))</f>
        <v/>
      </c>
      <c r="H64" s="87" t="str">
        <f aca="false">IF($S64="","",IF(INDEX(对接源_01水果!$AE$4:$AE$1203,$S64)=0,"",INDEX(对接源_01水果!$AE$4:$AE$1203,$S64)))</f>
        <v/>
      </c>
      <c r="I64" s="87" t="str">
        <f aca="false">IF($S64="","",IF(INDEX(对接源_01水果!$AF$4:$AF$1203,$S64)=0,"",INDEX(对接源_01水果!$AF$4:$AF$1203,$S64)))</f>
        <v/>
      </c>
      <c r="J64" s="88" t="str">
        <f aca="false">IF($S64="","",IF(INDEX(对接源_01水果!$K$4:$K$1203,$S64)=0,"",INDEX(对接源_01水果!$K$4:$K$1203,$S64)))</f>
        <v/>
      </c>
      <c r="K64" s="85" t="str">
        <f aca="false">IF($S64="","",IF(INDEX(对接源_01水果!$L$4:$L$1203,$S64)=0,"",INDEX(对接源_01水果!$L$4:$L$1203,$S64)))</f>
        <v/>
      </c>
      <c r="L64" s="89" t="str">
        <f aca="false">IF($S64="","",IF(INDEX(对接源_01水果!$M$4:$M$1203,$S64)=0,"",INDEX(对接源_01水果!$M$4:$M$1203,$S64)))</f>
        <v/>
      </c>
      <c r="S6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5" customFormat="false" ht="15.75" hidden="false" customHeight="true" outlineLevel="0" collapsed="false">
      <c r="A65" s="84" t="str">
        <f aca="false">IF($S65="","",IF(INDEX(对接源_01水果!$B$4:$B$1203,$S65)=0,"",INDEX(对接源_01水果!$B$4:$B$1203,$S65)))</f>
        <v/>
      </c>
      <c r="B65" s="85" t="str">
        <f aca="false">IF($S65="","",IF(INDEX(对接源_01水果!$E$4:$E$1203,$S65)=0,"",INDEX(对接源_01水果!$E$4:$E$1203,$S65)))</f>
        <v/>
      </c>
      <c r="C65" s="85" t="str">
        <f aca="false">IF($S65="","",IF(INDEX(对接源_01水果!$F$4:$F$1203,$S65)=0,"",INDEX(对接源_01水果!$F$4:$F$1203,$S65)))</f>
        <v/>
      </c>
      <c r="D65" s="85" t="str">
        <f aca="false">IF($S65="","",IF(INDEX(对接源_01水果!$G$4:$G$1203,$S65)=0,"",INDEX(对接源_01水果!$G$4:$G$1203,$S65)))</f>
        <v/>
      </c>
      <c r="E65" s="86" t="str">
        <f aca="false">IF($S65="","",IF(INDEX(对接源_01水果!$H$4:$H$1203,$S65)=0,"",INDEX(对接源_01水果!$H$4:$H$1203,$S65)))</f>
        <v/>
      </c>
      <c r="F65" s="85" t="str">
        <f aca="false">IF($S65="","",IF(INDEX(对接源_01水果!$I$4:$I$1203,$S65)=0,"",INDEX(对接源_01水果!$I$4:$I$1203,$S65)))</f>
        <v/>
      </c>
      <c r="G65" s="87" t="str">
        <f aca="false">IF($S65="","",IF(INDEX(对接源_01水果!$AD$4:$AD$1203,$S65)=0,"",INDEX(对接源_01水果!$AD$4:$AD$1203,$S65)))</f>
        <v/>
      </c>
      <c r="H65" s="87" t="str">
        <f aca="false">IF($S65="","",IF(INDEX(对接源_01水果!$AE$4:$AE$1203,$S65)=0,"",INDEX(对接源_01水果!$AE$4:$AE$1203,$S65)))</f>
        <v/>
      </c>
      <c r="I65" s="87" t="str">
        <f aca="false">IF($S65="","",IF(INDEX(对接源_01水果!$AF$4:$AF$1203,$S65)=0,"",INDEX(对接源_01水果!$AF$4:$AF$1203,$S65)))</f>
        <v/>
      </c>
      <c r="J65" s="88" t="str">
        <f aca="false">IF($S65="","",IF(INDEX(对接源_01水果!$K$4:$K$1203,$S65)=0,"",INDEX(对接源_01水果!$K$4:$K$1203,$S65)))</f>
        <v/>
      </c>
      <c r="K65" s="85" t="str">
        <f aca="false">IF($S65="","",IF(INDEX(对接源_01水果!$L$4:$L$1203,$S65)=0,"",INDEX(对接源_01水果!$L$4:$L$1203,$S65)))</f>
        <v/>
      </c>
      <c r="L65" s="89" t="str">
        <f aca="false">IF($S65="","",IF(INDEX(对接源_01水果!$M$4:$M$1203,$S65)=0,"",INDEX(对接源_01水果!$M$4:$M$1203,$S65)))</f>
        <v/>
      </c>
      <c r="S6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6" customFormat="false" ht="15.75" hidden="false" customHeight="true" outlineLevel="0" collapsed="false">
      <c r="A66" s="84" t="str">
        <f aca="false">IF($S66="","",IF(INDEX(对接源_01水果!$B$4:$B$1203,$S66)=0,"",INDEX(对接源_01水果!$B$4:$B$1203,$S66)))</f>
        <v/>
      </c>
      <c r="B66" s="85" t="str">
        <f aca="false">IF($S66="","",IF(INDEX(对接源_01水果!$E$4:$E$1203,$S66)=0,"",INDEX(对接源_01水果!$E$4:$E$1203,$S66)))</f>
        <v/>
      </c>
      <c r="C66" s="85" t="str">
        <f aca="false">IF($S66="","",IF(INDEX(对接源_01水果!$F$4:$F$1203,$S66)=0,"",INDEX(对接源_01水果!$F$4:$F$1203,$S66)))</f>
        <v/>
      </c>
      <c r="D66" s="85" t="str">
        <f aca="false">IF($S66="","",IF(INDEX(对接源_01水果!$G$4:$G$1203,$S66)=0,"",INDEX(对接源_01水果!$G$4:$G$1203,$S66)))</f>
        <v/>
      </c>
      <c r="E66" s="86" t="str">
        <f aca="false">IF($S66="","",IF(INDEX(对接源_01水果!$H$4:$H$1203,$S66)=0,"",INDEX(对接源_01水果!$H$4:$H$1203,$S66)))</f>
        <v/>
      </c>
      <c r="F66" s="85" t="str">
        <f aca="false">IF($S66="","",IF(INDEX(对接源_01水果!$I$4:$I$1203,$S66)=0,"",INDEX(对接源_01水果!$I$4:$I$1203,$S66)))</f>
        <v/>
      </c>
      <c r="G66" s="87" t="str">
        <f aca="false">IF($S66="","",IF(INDEX(对接源_01水果!$AD$4:$AD$1203,$S66)=0,"",INDEX(对接源_01水果!$AD$4:$AD$1203,$S66)))</f>
        <v/>
      </c>
      <c r="H66" s="87" t="str">
        <f aca="false">IF($S66="","",IF(INDEX(对接源_01水果!$AE$4:$AE$1203,$S66)=0,"",INDEX(对接源_01水果!$AE$4:$AE$1203,$S66)))</f>
        <v/>
      </c>
      <c r="I66" s="87" t="str">
        <f aca="false">IF($S66="","",IF(INDEX(对接源_01水果!$AF$4:$AF$1203,$S66)=0,"",INDEX(对接源_01水果!$AF$4:$AF$1203,$S66)))</f>
        <v/>
      </c>
      <c r="J66" s="88" t="str">
        <f aca="false">IF($S66="","",IF(INDEX(对接源_01水果!$K$4:$K$1203,$S66)=0,"",INDEX(对接源_01水果!$K$4:$K$1203,$S66)))</f>
        <v/>
      </c>
      <c r="K66" s="85" t="str">
        <f aca="false">IF($S66="","",IF(INDEX(对接源_01水果!$L$4:$L$1203,$S66)=0,"",INDEX(对接源_01水果!$L$4:$L$1203,$S66)))</f>
        <v/>
      </c>
      <c r="L66" s="89" t="str">
        <f aca="false">IF($S66="","",IF(INDEX(对接源_01水果!$M$4:$M$1203,$S66)=0,"",INDEX(对接源_01水果!$M$4:$M$1203,$S66)))</f>
        <v/>
      </c>
      <c r="S6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7" customFormat="false" ht="15.75" hidden="false" customHeight="true" outlineLevel="0" collapsed="false">
      <c r="A67" s="84" t="str">
        <f aca="false">IF($S67="","",IF(INDEX(对接源_01水果!$B$4:$B$1203,$S67)=0,"",INDEX(对接源_01水果!$B$4:$B$1203,$S67)))</f>
        <v/>
      </c>
      <c r="B67" s="85" t="str">
        <f aca="false">IF($S67="","",IF(INDEX(对接源_01水果!$E$4:$E$1203,$S67)=0,"",INDEX(对接源_01水果!$E$4:$E$1203,$S67)))</f>
        <v/>
      </c>
      <c r="C67" s="85" t="str">
        <f aca="false">IF($S67="","",IF(INDEX(对接源_01水果!$F$4:$F$1203,$S67)=0,"",INDEX(对接源_01水果!$F$4:$F$1203,$S67)))</f>
        <v/>
      </c>
      <c r="D67" s="85" t="str">
        <f aca="false">IF($S67="","",IF(INDEX(对接源_01水果!$G$4:$G$1203,$S67)=0,"",INDEX(对接源_01水果!$G$4:$G$1203,$S67)))</f>
        <v/>
      </c>
      <c r="E67" s="86" t="str">
        <f aca="false">IF($S67="","",IF(INDEX(对接源_01水果!$H$4:$H$1203,$S67)=0,"",INDEX(对接源_01水果!$H$4:$H$1203,$S67)))</f>
        <v/>
      </c>
      <c r="F67" s="85" t="str">
        <f aca="false">IF($S67="","",IF(INDEX(对接源_01水果!$I$4:$I$1203,$S67)=0,"",INDEX(对接源_01水果!$I$4:$I$1203,$S67)))</f>
        <v/>
      </c>
      <c r="G67" s="87" t="str">
        <f aca="false">IF($S67="","",IF(INDEX(对接源_01水果!$AD$4:$AD$1203,$S67)=0,"",INDEX(对接源_01水果!$AD$4:$AD$1203,$S67)))</f>
        <v/>
      </c>
      <c r="H67" s="87" t="str">
        <f aca="false">IF($S67="","",IF(INDEX(对接源_01水果!$AE$4:$AE$1203,$S67)=0,"",INDEX(对接源_01水果!$AE$4:$AE$1203,$S67)))</f>
        <v/>
      </c>
      <c r="I67" s="87" t="str">
        <f aca="false">IF($S67="","",IF(INDEX(对接源_01水果!$AF$4:$AF$1203,$S67)=0,"",INDEX(对接源_01水果!$AF$4:$AF$1203,$S67)))</f>
        <v/>
      </c>
      <c r="J67" s="88" t="str">
        <f aca="false">IF($S67="","",IF(INDEX(对接源_01水果!$K$4:$K$1203,$S67)=0,"",INDEX(对接源_01水果!$K$4:$K$1203,$S67)))</f>
        <v/>
      </c>
      <c r="K67" s="85" t="str">
        <f aca="false">IF($S67="","",IF(INDEX(对接源_01水果!$L$4:$L$1203,$S67)=0,"",INDEX(对接源_01水果!$L$4:$L$1203,$S67)))</f>
        <v/>
      </c>
      <c r="L67" s="89" t="str">
        <f aca="false">IF($S67="","",IF(INDEX(对接源_01水果!$M$4:$M$1203,$S67)=0,"",INDEX(对接源_01水果!$M$4:$M$1203,$S67)))</f>
        <v/>
      </c>
      <c r="S6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8" customFormat="false" ht="15.75" hidden="false" customHeight="true" outlineLevel="0" collapsed="false">
      <c r="A68" s="84" t="str">
        <f aca="false">IF($S68="","",IF(INDEX(对接源_01水果!$B$4:$B$1203,$S68)=0,"",INDEX(对接源_01水果!$B$4:$B$1203,$S68)))</f>
        <v/>
      </c>
      <c r="B68" s="85" t="str">
        <f aca="false">IF($S68="","",IF(INDEX(对接源_01水果!$E$4:$E$1203,$S68)=0,"",INDEX(对接源_01水果!$E$4:$E$1203,$S68)))</f>
        <v/>
      </c>
      <c r="C68" s="85" t="str">
        <f aca="false">IF($S68="","",IF(INDEX(对接源_01水果!$F$4:$F$1203,$S68)=0,"",INDEX(对接源_01水果!$F$4:$F$1203,$S68)))</f>
        <v/>
      </c>
      <c r="D68" s="85" t="str">
        <f aca="false">IF($S68="","",IF(INDEX(对接源_01水果!$G$4:$G$1203,$S68)=0,"",INDEX(对接源_01水果!$G$4:$G$1203,$S68)))</f>
        <v/>
      </c>
      <c r="E68" s="86" t="str">
        <f aca="false">IF($S68="","",IF(INDEX(对接源_01水果!$H$4:$H$1203,$S68)=0,"",INDEX(对接源_01水果!$H$4:$H$1203,$S68)))</f>
        <v/>
      </c>
      <c r="F68" s="85" t="str">
        <f aca="false">IF($S68="","",IF(INDEX(对接源_01水果!$I$4:$I$1203,$S68)=0,"",INDEX(对接源_01水果!$I$4:$I$1203,$S68)))</f>
        <v/>
      </c>
      <c r="G68" s="87" t="str">
        <f aca="false">IF($S68="","",IF(INDEX(对接源_01水果!$AD$4:$AD$1203,$S68)=0,"",INDEX(对接源_01水果!$AD$4:$AD$1203,$S68)))</f>
        <v/>
      </c>
      <c r="H68" s="87" t="str">
        <f aca="false">IF($S68="","",IF(INDEX(对接源_01水果!$AE$4:$AE$1203,$S68)=0,"",INDEX(对接源_01水果!$AE$4:$AE$1203,$S68)))</f>
        <v/>
      </c>
      <c r="I68" s="87" t="str">
        <f aca="false">IF($S68="","",IF(INDEX(对接源_01水果!$AF$4:$AF$1203,$S68)=0,"",INDEX(对接源_01水果!$AF$4:$AF$1203,$S68)))</f>
        <v/>
      </c>
      <c r="J68" s="88" t="str">
        <f aca="false">IF($S68="","",IF(INDEX(对接源_01水果!$K$4:$K$1203,$S68)=0,"",INDEX(对接源_01水果!$K$4:$K$1203,$S68)))</f>
        <v/>
      </c>
      <c r="K68" s="85" t="str">
        <f aca="false">IF($S68="","",IF(INDEX(对接源_01水果!$L$4:$L$1203,$S68)=0,"",INDEX(对接源_01水果!$L$4:$L$1203,$S68)))</f>
        <v/>
      </c>
      <c r="L68" s="89" t="str">
        <f aca="false">IF($S68="","",IF(INDEX(对接源_01水果!$M$4:$M$1203,$S68)=0,"",INDEX(对接源_01水果!$M$4:$M$1203,$S68)))</f>
        <v/>
      </c>
      <c r="S6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9" customFormat="false" ht="15.75" hidden="false" customHeight="true" outlineLevel="0" collapsed="false">
      <c r="A69" s="84" t="str">
        <f aca="false">IF($S69="","",IF(INDEX(对接源_01水果!$B$4:$B$1203,$S69)=0,"",INDEX(对接源_01水果!$B$4:$B$1203,$S69)))</f>
        <v/>
      </c>
      <c r="B69" s="85" t="str">
        <f aca="false">IF($S69="","",IF(INDEX(对接源_01水果!$E$4:$E$1203,$S69)=0,"",INDEX(对接源_01水果!$E$4:$E$1203,$S69)))</f>
        <v/>
      </c>
      <c r="C69" s="85" t="str">
        <f aca="false">IF($S69="","",IF(INDEX(对接源_01水果!$F$4:$F$1203,$S69)=0,"",INDEX(对接源_01水果!$F$4:$F$1203,$S69)))</f>
        <v/>
      </c>
      <c r="D69" s="85" t="str">
        <f aca="false">IF($S69="","",IF(INDEX(对接源_01水果!$G$4:$G$1203,$S69)=0,"",INDEX(对接源_01水果!$G$4:$G$1203,$S69)))</f>
        <v/>
      </c>
      <c r="E69" s="86" t="str">
        <f aca="false">IF($S69="","",IF(INDEX(对接源_01水果!$H$4:$H$1203,$S69)=0,"",INDEX(对接源_01水果!$H$4:$H$1203,$S69)))</f>
        <v/>
      </c>
      <c r="F69" s="85" t="str">
        <f aca="false">IF($S69="","",IF(INDEX(对接源_01水果!$I$4:$I$1203,$S69)=0,"",INDEX(对接源_01水果!$I$4:$I$1203,$S69)))</f>
        <v/>
      </c>
      <c r="G69" s="87" t="str">
        <f aca="false">IF($S69="","",IF(INDEX(对接源_01水果!$AD$4:$AD$1203,$S69)=0,"",INDEX(对接源_01水果!$AD$4:$AD$1203,$S69)))</f>
        <v/>
      </c>
      <c r="H69" s="87" t="str">
        <f aca="false">IF($S69="","",IF(INDEX(对接源_01水果!$AE$4:$AE$1203,$S69)=0,"",INDEX(对接源_01水果!$AE$4:$AE$1203,$S69)))</f>
        <v/>
      </c>
      <c r="I69" s="87" t="str">
        <f aca="false">IF($S69="","",IF(INDEX(对接源_01水果!$AF$4:$AF$1203,$S69)=0,"",INDEX(对接源_01水果!$AF$4:$AF$1203,$S69)))</f>
        <v/>
      </c>
      <c r="J69" s="88" t="str">
        <f aca="false">IF($S69="","",IF(INDEX(对接源_01水果!$K$4:$K$1203,$S69)=0,"",INDEX(对接源_01水果!$K$4:$K$1203,$S69)))</f>
        <v/>
      </c>
      <c r="K69" s="85" t="str">
        <f aca="false">IF($S69="","",IF(INDEX(对接源_01水果!$L$4:$L$1203,$S69)=0,"",INDEX(对接源_01水果!$L$4:$L$1203,$S69)))</f>
        <v/>
      </c>
      <c r="L69" s="89" t="str">
        <f aca="false">IF($S69="","",IF(INDEX(对接源_01水果!$M$4:$M$1203,$S69)=0,"",INDEX(对接源_01水果!$M$4:$M$1203,$S69)))</f>
        <v/>
      </c>
      <c r="S6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0" customFormat="false" ht="15.75" hidden="false" customHeight="true" outlineLevel="0" collapsed="false">
      <c r="A70" s="84" t="str">
        <f aca="false">IF($S70="","",IF(INDEX(对接源_01水果!$B$4:$B$1203,$S70)=0,"",INDEX(对接源_01水果!$B$4:$B$1203,$S70)))</f>
        <v/>
      </c>
      <c r="B70" s="85" t="str">
        <f aca="false">IF($S70="","",IF(INDEX(对接源_01水果!$E$4:$E$1203,$S70)=0,"",INDEX(对接源_01水果!$E$4:$E$1203,$S70)))</f>
        <v/>
      </c>
      <c r="C70" s="85" t="str">
        <f aca="false">IF($S70="","",IF(INDEX(对接源_01水果!$F$4:$F$1203,$S70)=0,"",INDEX(对接源_01水果!$F$4:$F$1203,$S70)))</f>
        <v/>
      </c>
      <c r="D70" s="85" t="str">
        <f aca="false">IF($S70="","",IF(INDEX(对接源_01水果!$G$4:$G$1203,$S70)=0,"",INDEX(对接源_01水果!$G$4:$G$1203,$S70)))</f>
        <v/>
      </c>
      <c r="E70" s="86" t="str">
        <f aca="false">IF($S70="","",IF(INDEX(对接源_01水果!$H$4:$H$1203,$S70)=0,"",INDEX(对接源_01水果!$H$4:$H$1203,$S70)))</f>
        <v/>
      </c>
      <c r="F70" s="85" t="str">
        <f aca="false">IF($S70="","",IF(INDEX(对接源_01水果!$I$4:$I$1203,$S70)=0,"",INDEX(对接源_01水果!$I$4:$I$1203,$S70)))</f>
        <v/>
      </c>
      <c r="G70" s="87" t="str">
        <f aca="false">IF($S70="","",IF(INDEX(对接源_01水果!$AD$4:$AD$1203,$S70)=0,"",INDEX(对接源_01水果!$AD$4:$AD$1203,$S70)))</f>
        <v/>
      </c>
      <c r="H70" s="87" t="str">
        <f aca="false">IF($S70="","",IF(INDEX(对接源_01水果!$AE$4:$AE$1203,$S70)=0,"",INDEX(对接源_01水果!$AE$4:$AE$1203,$S70)))</f>
        <v/>
      </c>
      <c r="I70" s="87" t="str">
        <f aca="false">IF($S70="","",IF(INDEX(对接源_01水果!$AF$4:$AF$1203,$S70)=0,"",INDEX(对接源_01水果!$AF$4:$AF$1203,$S70)))</f>
        <v/>
      </c>
      <c r="J70" s="88" t="str">
        <f aca="false">IF($S70="","",IF(INDEX(对接源_01水果!$K$4:$K$1203,$S70)=0,"",INDEX(对接源_01水果!$K$4:$K$1203,$S70)))</f>
        <v/>
      </c>
      <c r="K70" s="85" t="str">
        <f aca="false">IF($S70="","",IF(INDEX(对接源_01水果!$L$4:$L$1203,$S70)=0,"",INDEX(对接源_01水果!$L$4:$L$1203,$S70)))</f>
        <v/>
      </c>
      <c r="L70" s="89" t="str">
        <f aca="false">IF($S70="","",IF(INDEX(对接源_01水果!$M$4:$M$1203,$S70)=0,"",INDEX(对接源_01水果!$M$4:$M$1203,$S70)))</f>
        <v/>
      </c>
      <c r="S7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1" customFormat="false" ht="15.75" hidden="false" customHeight="true" outlineLevel="0" collapsed="false">
      <c r="A71" s="84" t="str">
        <f aca="false">IF($S71="","",IF(INDEX(对接源_01水果!$B$4:$B$1203,$S71)=0,"",INDEX(对接源_01水果!$B$4:$B$1203,$S71)))</f>
        <v/>
      </c>
      <c r="B71" s="85" t="str">
        <f aca="false">IF($S71="","",IF(INDEX(对接源_01水果!$E$4:$E$1203,$S71)=0,"",INDEX(对接源_01水果!$E$4:$E$1203,$S71)))</f>
        <v/>
      </c>
      <c r="C71" s="85" t="str">
        <f aca="false">IF($S71="","",IF(INDEX(对接源_01水果!$F$4:$F$1203,$S71)=0,"",INDEX(对接源_01水果!$F$4:$F$1203,$S71)))</f>
        <v/>
      </c>
      <c r="D71" s="85" t="str">
        <f aca="false">IF($S71="","",IF(INDEX(对接源_01水果!$G$4:$G$1203,$S71)=0,"",INDEX(对接源_01水果!$G$4:$G$1203,$S71)))</f>
        <v/>
      </c>
      <c r="E71" s="86" t="str">
        <f aca="false">IF($S71="","",IF(INDEX(对接源_01水果!$H$4:$H$1203,$S71)=0,"",INDEX(对接源_01水果!$H$4:$H$1203,$S71)))</f>
        <v/>
      </c>
      <c r="F71" s="85" t="str">
        <f aca="false">IF($S71="","",IF(INDEX(对接源_01水果!$I$4:$I$1203,$S71)=0,"",INDEX(对接源_01水果!$I$4:$I$1203,$S71)))</f>
        <v/>
      </c>
      <c r="G71" s="87" t="str">
        <f aca="false">IF($S71="","",IF(INDEX(对接源_01水果!$AD$4:$AD$1203,$S71)=0,"",INDEX(对接源_01水果!$AD$4:$AD$1203,$S71)))</f>
        <v/>
      </c>
      <c r="H71" s="87" t="str">
        <f aca="false">IF($S71="","",IF(INDEX(对接源_01水果!$AE$4:$AE$1203,$S71)=0,"",INDEX(对接源_01水果!$AE$4:$AE$1203,$S71)))</f>
        <v/>
      </c>
      <c r="I71" s="87" t="str">
        <f aca="false">IF($S71="","",IF(INDEX(对接源_01水果!$AF$4:$AF$1203,$S71)=0,"",INDEX(对接源_01水果!$AF$4:$AF$1203,$S71)))</f>
        <v/>
      </c>
      <c r="J71" s="88" t="str">
        <f aca="false">IF($S71="","",IF(INDEX(对接源_01水果!$K$4:$K$1203,$S71)=0,"",INDEX(对接源_01水果!$K$4:$K$1203,$S71)))</f>
        <v/>
      </c>
      <c r="K71" s="85" t="str">
        <f aca="false">IF($S71="","",IF(INDEX(对接源_01水果!$L$4:$L$1203,$S71)=0,"",INDEX(对接源_01水果!$L$4:$L$1203,$S71)))</f>
        <v/>
      </c>
      <c r="L71" s="89" t="str">
        <f aca="false">IF($S71="","",IF(INDEX(对接源_01水果!$M$4:$M$1203,$S71)=0,"",INDEX(对接源_01水果!$M$4:$M$1203,$S71)))</f>
        <v/>
      </c>
      <c r="S7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2" customFormat="false" ht="15.75" hidden="false" customHeight="true" outlineLevel="0" collapsed="false">
      <c r="A72" s="84" t="str">
        <f aca="false">IF($S72="","",IF(INDEX(对接源_01水果!$B$4:$B$1203,$S72)=0,"",INDEX(对接源_01水果!$B$4:$B$1203,$S72)))</f>
        <v/>
      </c>
      <c r="B72" s="85" t="str">
        <f aca="false">IF($S72="","",IF(INDEX(对接源_01水果!$E$4:$E$1203,$S72)=0,"",INDEX(对接源_01水果!$E$4:$E$1203,$S72)))</f>
        <v/>
      </c>
      <c r="C72" s="85" t="str">
        <f aca="false">IF($S72="","",IF(INDEX(对接源_01水果!$F$4:$F$1203,$S72)=0,"",INDEX(对接源_01水果!$F$4:$F$1203,$S72)))</f>
        <v/>
      </c>
      <c r="D72" s="85" t="str">
        <f aca="false">IF($S72="","",IF(INDEX(对接源_01水果!$G$4:$G$1203,$S72)=0,"",INDEX(对接源_01水果!$G$4:$G$1203,$S72)))</f>
        <v/>
      </c>
      <c r="E72" s="86" t="str">
        <f aca="false">IF($S72="","",IF(INDEX(对接源_01水果!$H$4:$H$1203,$S72)=0,"",INDEX(对接源_01水果!$H$4:$H$1203,$S72)))</f>
        <v/>
      </c>
      <c r="F72" s="85" t="str">
        <f aca="false">IF($S72="","",IF(INDEX(对接源_01水果!$I$4:$I$1203,$S72)=0,"",INDEX(对接源_01水果!$I$4:$I$1203,$S72)))</f>
        <v/>
      </c>
      <c r="G72" s="87" t="str">
        <f aca="false">IF($S72="","",IF(INDEX(对接源_01水果!$AD$4:$AD$1203,$S72)=0,"",INDEX(对接源_01水果!$AD$4:$AD$1203,$S72)))</f>
        <v/>
      </c>
      <c r="H72" s="87" t="str">
        <f aca="false">IF($S72="","",IF(INDEX(对接源_01水果!$AE$4:$AE$1203,$S72)=0,"",INDEX(对接源_01水果!$AE$4:$AE$1203,$S72)))</f>
        <v/>
      </c>
      <c r="I72" s="87" t="str">
        <f aca="false">IF($S72="","",IF(INDEX(对接源_01水果!$AF$4:$AF$1203,$S72)=0,"",INDEX(对接源_01水果!$AF$4:$AF$1203,$S72)))</f>
        <v/>
      </c>
      <c r="J72" s="88" t="str">
        <f aca="false">IF($S72="","",IF(INDEX(对接源_01水果!$K$4:$K$1203,$S72)=0,"",INDEX(对接源_01水果!$K$4:$K$1203,$S72)))</f>
        <v/>
      </c>
      <c r="K72" s="85" t="str">
        <f aca="false">IF($S72="","",IF(INDEX(对接源_01水果!$L$4:$L$1203,$S72)=0,"",INDEX(对接源_01水果!$L$4:$L$1203,$S72)))</f>
        <v/>
      </c>
      <c r="L72" s="89" t="str">
        <f aca="false">IF($S72="","",IF(INDEX(对接源_01水果!$M$4:$M$1203,$S72)=0,"",INDEX(对接源_01水果!$M$4:$M$1203,$S72)))</f>
        <v/>
      </c>
      <c r="S7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3" customFormat="false" ht="15.75" hidden="false" customHeight="true" outlineLevel="0" collapsed="false">
      <c r="A73" s="84" t="str">
        <f aca="false">IF($S73="","",IF(INDEX(对接源_01水果!$B$4:$B$1203,$S73)=0,"",INDEX(对接源_01水果!$B$4:$B$1203,$S73)))</f>
        <v/>
      </c>
      <c r="B73" s="85" t="str">
        <f aca="false">IF($S73="","",IF(INDEX(对接源_01水果!$E$4:$E$1203,$S73)=0,"",INDEX(对接源_01水果!$E$4:$E$1203,$S73)))</f>
        <v/>
      </c>
      <c r="C73" s="85" t="str">
        <f aca="false">IF($S73="","",IF(INDEX(对接源_01水果!$F$4:$F$1203,$S73)=0,"",INDEX(对接源_01水果!$F$4:$F$1203,$S73)))</f>
        <v/>
      </c>
      <c r="D73" s="85" t="str">
        <f aca="false">IF($S73="","",IF(INDEX(对接源_01水果!$G$4:$G$1203,$S73)=0,"",INDEX(对接源_01水果!$G$4:$G$1203,$S73)))</f>
        <v/>
      </c>
      <c r="E73" s="86" t="str">
        <f aca="false">IF($S73="","",IF(INDEX(对接源_01水果!$H$4:$H$1203,$S73)=0,"",INDEX(对接源_01水果!$H$4:$H$1203,$S73)))</f>
        <v/>
      </c>
      <c r="F73" s="85" t="str">
        <f aca="false">IF($S73="","",IF(INDEX(对接源_01水果!$I$4:$I$1203,$S73)=0,"",INDEX(对接源_01水果!$I$4:$I$1203,$S73)))</f>
        <v/>
      </c>
      <c r="G73" s="87" t="str">
        <f aca="false">IF($S73="","",IF(INDEX(对接源_01水果!$AD$4:$AD$1203,$S73)=0,"",INDEX(对接源_01水果!$AD$4:$AD$1203,$S73)))</f>
        <v/>
      </c>
      <c r="H73" s="87" t="str">
        <f aca="false">IF($S73="","",IF(INDEX(对接源_01水果!$AE$4:$AE$1203,$S73)=0,"",INDEX(对接源_01水果!$AE$4:$AE$1203,$S73)))</f>
        <v/>
      </c>
      <c r="I73" s="87" t="str">
        <f aca="false">IF($S73="","",IF(INDEX(对接源_01水果!$AF$4:$AF$1203,$S73)=0,"",INDEX(对接源_01水果!$AF$4:$AF$1203,$S73)))</f>
        <v/>
      </c>
      <c r="J73" s="88" t="str">
        <f aca="false">IF($S73="","",IF(INDEX(对接源_01水果!$K$4:$K$1203,$S73)=0,"",INDEX(对接源_01水果!$K$4:$K$1203,$S73)))</f>
        <v/>
      </c>
      <c r="K73" s="85" t="str">
        <f aca="false">IF($S73="","",IF(INDEX(对接源_01水果!$L$4:$L$1203,$S73)=0,"",INDEX(对接源_01水果!$L$4:$L$1203,$S73)))</f>
        <v/>
      </c>
      <c r="L73" s="89" t="str">
        <f aca="false">IF($S73="","",IF(INDEX(对接源_01水果!$M$4:$M$1203,$S73)=0,"",INDEX(对接源_01水果!$M$4:$M$1203,$S73)))</f>
        <v/>
      </c>
      <c r="S7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4" customFormat="false" ht="15.75" hidden="false" customHeight="true" outlineLevel="0" collapsed="false">
      <c r="A74" s="84" t="str">
        <f aca="false">IF($S74="","",IF(INDEX(对接源_01水果!$B$4:$B$1203,$S74)=0,"",INDEX(对接源_01水果!$B$4:$B$1203,$S74)))</f>
        <v/>
      </c>
      <c r="B74" s="85" t="str">
        <f aca="false">IF($S74="","",IF(INDEX(对接源_01水果!$E$4:$E$1203,$S74)=0,"",INDEX(对接源_01水果!$E$4:$E$1203,$S74)))</f>
        <v/>
      </c>
      <c r="C74" s="85" t="str">
        <f aca="false">IF($S74="","",IF(INDEX(对接源_01水果!$F$4:$F$1203,$S74)=0,"",INDEX(对接源_01水果!$F$4:$F$1203,$S74)))</f>
        <v/>
      </c>
      <c r="D74" s="85" t="str">
        <f aca="false">IF($S74="","",IF(INDEX(对接源_01水果!$G$4:$G$1203,$S74)=0,"",INDEX(对接源_01水果!$G$4:$G$1203,$S74)))</f>
        <v/>
      </c>
      <c r="E74" s="86" t="str">
        <f aca="false">IF($S74="","",IF(INDEX(对接源_01水果!$H$4:$H$1203,$S74)=0,"",INDEX(对接源_01水果!$H$4:$H$1203,$S74)))</f>
        <v/>
      </c>
      <c r="F74" s="85" t="str">
        <f aca="false">IF($S74="","",IF(INDEX(对接源_01水果!$I$4:$I$1203,$S74)=0,"",INDEX(对接源_01水果!$I$4:$I$1203,$S74)))</f>
        <v/>
      </c>
      <c r="G74" s="87" t="str">
        <f aca="false">IF($S74="","",IF(INDEX(对接源_01水果!$AD$4:$AD$1203,$S74)=0,"",INDEX(对接源_01水果!$AD$4:$AD$1203,$S74)))</f>
        <v/>
      </c>
      <c r="H74" s="87" t="str">
        <f aca="false">IF($S74="","",IF(INDEX(对接源_01水果!$AE$4:$AE$1203,$S74)=0,"",INDEX(对接源_01水果!$AE$4:$AE$1203,$S74)))</f>
        <v/>
      </c>
      <c r="I74" s="87" t="str">
        <f aca="false">IF($S74="","",IF(INDEX(对接源_01水果!$AF$4:$AF$1203,$S74)=0,"",INDEX(对接源_01水果!$AF$4:$AF$1203,$S74)))</f>
        <v/>
      </c>
      <c r="J74" s="88" t="str">
        <f aca="false">IF($S74="","",IF(INDEX(对接源_01水果!$K$4:$K$1203,$S74)=0,"",INDEX(对接源_01水果!$K$4:$K$1203,$S74)))</f>
        <v/>
      </c>
      <c r="K74" s="85" t="str">
        <f aca="false">IF($S74="","",IF(INDEX(对接源_01水果!$L$4:$L$1203,$S74)=0,"",INDEX(对接源_01水果!$L$4:$L$1203,$S74)))</f>
        <v/>
      </c>
      <c r="L74" s="89" t="str">
        <f aca="false">IF($S74="","",IF(INDEX(对接源_01水果!$M$4:$M$1203,$S74)=0,"",INDEX(对接源_01水果!$M$4:$M$1203,$S74)))</f>
        <v/>
      </c>
      <c r="S7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5" customFormat="false" ht="15.75" hidden="false" customHeight="true" outlineLevel="0" collapsed="false">
      <c r="A75" s="84" t="str">
        <f aca="false">IF($S75="","",IF(INDEX(对接源_01水果!$B$4:$B$1203,$S75)=0,"",INDEX(对接源_01水果!$B$4:$B$1203,$S75)))</f>
        <v/>
      </c>
      <c r="B75" s="85" t="str">
        <f aca="false">IF($S75="","",IF(INDEX(对接源_01水果!$E$4:$E$1203,$S75)=0,"",INDEX(对接源_01水果!$E$4:$E$1203,$S75)))</f>
        <v/>
      </c>
      <c r="C75" s="85" t="str">
        <f aca="false">IF($S75="","",IF(INDEX(对接源_01水果!$F$4:$F$1203,$S75)=0,"",INDEX(对接源_01水果!$F$4:$F$1203,$S75)))</f>
        <v/>
      </c>
      <c r="D75" s="85" t="str">
        <f aca="false">IF($S75="","",IF(INDEX(对接源_01水果!$G$4:$G$1203,$S75)=0,"",INDEX(对接源_01水果!$G$4:$G$1203,$S75)))</f>
        <v/>
      </c>
      <c r="E75" s="86" t="str">
        <f aca="false">IF($S75="","",IF(INDEX(对接源_01水果!$H$4:$H$1203,$S75)=0,"",INDEX(对接源_01水果!$H$4:$H$1203,$S75)))</f>
        <v/>
      </c>
      <c r="F75" s="85" t="str">
        <f aca="false">IF($S75="","",IF(INDEX(对接源_01水果!$I$4:$I$1203,$S75)=0,"",INDEX(对接源_01水果!$I$4:$I$1203,$S75)))</f>
        <v/>
      </c>
      <c r="G75" s="87" t="str">
        <f aca="false">IF($S75="","",IF(INDEX(对接源_01水果!$AD$4:$AD$1203,$S75)=0,"",INDEX(对接源_01水果!$AD$4:$AD$1203,$S75)))</f>
        <v/>
      </c>
      <c r="H75" s="87" t="str">
        <f aca="false">IF($S75="","",IF(INDEX(对接源_01水果!$AE$4:$AE$1203,$S75)=0,"",INDEX(对接源_01水果!$AE$4:$AE$1203,$S75)))</f>
        <v/>
      </c>
      <c r="I75" s="87" t="str">
        <f aca="false">IF($S75="","",IF(INDEX(对接源_01水果!$AF$4:$AF$1203,$S75)=0,"",INDEX(对接源_01水果!$AF$4:$AF$1203,$S75)))</f>
        <v/>
      </c>
      <c r="J75" s="88" t="str">
        <f aca="false">IF($S75="","",IF(INDEX(对接源_01水果!$K$4:$K$1203,$S75)=0,"",INDEX(对接源_01水果!$K$4:$K$1203,$S75)))</f>
        <v/>
      </c>
      <c r="K75" s="85" t="str">
        <f aca="false">IF($S75="","",IF(INDEX(对接源_01水果!$L$4:$L$1203,$S75)=0,"",INDEX(对接源_01水果!$L$4:$L$1203,$S75)))</f>
        <v/>
      </c>
      <c r="L75" s="89" t="str">
        <f aca="false">IF($S75="","",IF(INDEX(对接源_01水果!$M$4:$M$1203,$S75)=0,"",INDEX(对接源_01水果!$M$4:$M$1203,$S75)))</f>
        <v/>
      </c>
      <c r="S7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6" customFormat="false" ht="15.75" hidden="false" customHeight="true" outlineLevel="0" collapsed="false">
      <c r="A76" s="84" t="str">
        <f aca="false">IF($S76="","",IF(INDEX(对接源_01水果!$B$4:$B$1203,$S76)=0,"",INDEX(对接源_01水果!$B$4:$B$1203,$S76)))</f>
        <v/>
      </c>
      <c r="B76" s="85" t="str">
        <f aca="false">IF($S76="","",IF(INDEX(对接源_01水果!$E$4:$E$1203,$S76)=0,"",INDEX(对接源_01水果!$E$4:$E$1203,$S76)))</f>
        <v/>
      </c>
      <c r="C76" s="85" t="str">
        <f aca="false">IF($S76="","",IF(INDEX(对接源_01水果!$F$4:$F$1203,$S76)=0,"",INDEX(对接源_01水果!$F$4:$F$1203,$S76)))</f>
        <v/>
      </c>
      <c r="D76" s="85" t="str">
        <f aca="false">IF($S76="","",IF(INDEX(对接源_01水果!$G$4:$G$1203,$S76)=0,"",INDEX(对接源_01水果!$G$4:$G$1203,$S76)))</f>
        <v/>
      </c>
      <c r="E76" s="86" t="str">
        <f aca="false">IF($S76="","",IF(INDEX(对接源_01水果!$H$4:$H$1203,$S76)=0,"",INDEX(对接源_01水果!$H$4:$H$1203,$S76)))</f>
        <v/>
      </c>
      <c r="F76" s="85" t="str">
        <f aca="false">IF($S76="","",IF(INDEX(对接源_01水果!$I$4:$I$1203,$S76)=0,"",INDEX(对接源_01水果!$I$4:$I$1203,$S76)))</f>
        <v/>
      </c>
      <c r="G76" s="87" t="str">
        <f aca="false">IF($S76="","",IF(INDEX(对接源_01水果!$AD$4:$AD$1203,$S76)=0,"",INDEX(对接源_01水果!$AD$4:$AD$1203,$S76)))</f>
        <v/>
      </c>
      <c r="H76" s="87" t="str">
        <f aca="false">IF($S76="","",IF(INDEX(对接源_01水果!$AE$4:$AE$1203,$S76)=0,"",INDEX(对接源_01水果!$AE$4:$AE$1203,$S76)))</f>
        <v/>
      </c>
      <c r="I76" s="87" t="str">
        <f aca="false">IF($S76="","",IF(INDEX(对接源_01水果!$AF$4:$AF$1203,$S76)=0,"",INDEX(对接源_01水果!$AF$4:$AF$1203,$S76)))</f>
        <v/>
      </c>
      <c r="J76" s="88" t="str">
        <f aca="false">IF($S76="","",IF(INDEX(对接源_01水果!$K$4:$K$1203,$S76)=0,"",INDEX(对接源_01水果!$K$4:$K$1203,$S76)))</f>
        <v/>
      </c>
      <c r="K76" s="85" t="str">
        <f aca="false">IF($S76="","",IF(INDEX(对接源_01水果!$L$4:$L$1203,$S76)=0,"",INDEX(对接源_01水果!$L$4:$L$1203,$S76)))</f>
        <v/>
      </c>
      <c r="L76" s="89" t="str">
        <f aca="false">IF($S76="","",IF(INDEX(对接源_01水果!$M$4:$M$1203,$S76)=0,"",INDEX(对接源_01水果!$M$4:$M$1203,$S76)))</f>
        <v/>
      </c>
      <c r="S7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7" customFormat="false" ht="15.75" hidden="false" customHeight="true" outlineLevel="0" collapsed="false">
      <c r="A77" s="84" t="str">
        <f aca="false">IF($S77="","",IF(INDEX(对接源_01水果!$B$4:$B$1203,$S77)=0,"",INDEX(对接源_01水果!$B$4:$B$1203,$S77)))</f>
        <v/>
      </c>
      <c r="B77" s="85" t="str">
        <f aca="false">IF($S77="","",IF(INDEX(对接源_01水果!$E$4:$E$1203,$S77)=0,"",INDEX(对接源_01水果!$E$4:$E$1203,$S77)))</f>
        <v/>
      </c>
      <c r="C77" s="85" t="str">
        <f aca="false">IF($S77="","",IF(INDEX(对接源_01水果!$F$4:$F$1203,$S77)=0,"",INDEX(对接源_01水果!$F$4:$F$1203,$S77)))</f>
        <v/>
      </c>
      <c r="D77" s="85" t="str">
        <f aca="false">IF($S77="","",IF(INDEX(对接源_01水果!$G$4:$G$1203,$S77)=0,"",INDEX(对接源_01水果!$G$4:$G$1203,$S77)))</f>
        <v/>
      </c>
      <c r="E77" s="86" t="str">
        <f aca="false">IF($S77="","",IF(INDEX(对接源_01水果!$H$4:$H$1203,$S77)=0,"",INDEX(对接源_01水果!$H$4:$H$1203,$S77)))</f>
        <v/>
      </c>
      <c r="F77" s="85" t="str">
        <f aca="false">IF($S77="","",IF(INDEX(对接源_01水果!$I$4:$I$1203,$S77)=0,"",INDEX(对接源_01水果!$I$4:$I$1203,$S77)))</f>
        <v/>
      </c>
      <c r="G77" s="87" t="str">
        <f aca="false">IF($S77="","",IF(INDEX(对接源_01水果!$AD$4:$AD$1203,$S77)=0,"",INDEX(对接源_01水果!$AD$4:$AD$1203,$S77)))</f>
        <v/>
      </c>
      <c r="H77" s="87" t="str">
        <f aca="false">IF($S77="","",IF(INDEX(对接源_01水果!$AE$4:$AE$1203,$S77)=0,"",INDEX(对接源_01水果!$AE$4:$AE$1203,$S77)))</f>
        <v/>
      </c>
      <c r="I77" s="87" t="str">
        <f aca="false">IF($S77="","",IF(INDEX(对接源_01水果!$AF$4:$AF$1203,$S77)=0,"",INDEX(对接源_01水果!$AF$4:$AF$1203,$S77)))</f>
        <v/>
      </c>
      <c r="J77" s="88" t="str">
        <f aca="false">IF($S77="","",IF(INDEX(对接源_01水果!$K$4:$K$1203,$S77)=0,"",INDEX(对接源_01水果!$K$4:$K$1203,$S77)))</f>
        <v/>
      </c>
      <c r="K77" s="85" t="str">
        <f aca="false">IF($S77="","",IF(INDEX(对接源_01水果!$L$4:$L$1203,$S77)=0,"",INDEX(对接源_01水果!$L$4:$L$1203,$S77)))</f>
        <v/>
      </c>
      <c r="L77" s="89" t="str">
        <f aca="false">IF($S77="","",IF(INDEX(对接源_01水果!$M$4:$M$1203,$S77)=0,"",INDEX(对接源_01水果!$M$4:$M$1203,$S77)))</f>
        <v/>
      </c>
      <c r="S7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8" customFormat="false" ht="15.75" hidden="false" customHeight="true" outlineLevel="0" collapsed="false">
      <c r="A78" s="84" t="str">
        <f aca="false">IF($S78="","",IF(INDEX(对接源_01水果!$B$4:$B$1203,$S78)=0,"",INDEX(对接源_01水果!$B$4:$B$1203,$S78)))</f>
        <v/>
      </c>
      <c r="B78" s="85" t="str">
        <f aca="false">IF($S78="","",IF(INDEX(对接源_01水果!$E$4:$E$1203,$S78)=0,"",INDEX(对接源_01水果!$E$4:$E$1203,$S78)))</f>
        <v/>
      </c>
      <c r="C78" s="85" t="str">
        <f aca="false">IF($S78="","",IF(INDEX(对接源_01水果!$F$4:$F$1203,$S78)=0,"",INDEX(对接源_01水果!$F$4:$F$1203,$S78)))</f>
        <v/>
      </c>
      <c r="D78" s="85" t="str">
        <f aca="false">IF($S78="","",IF(INDEX(对接源_01水果!$G$4:$G$1203,$S78)=0,"",INDEX(对接源_01水果!$G$4:$G$1203,$S78)))</f>
        <v/>
      </c>
      <c r="E78" s="86" t="str">
        <f aca="false">IF($S78="","",IF(INDEX(对接源_01水果!$H$4:$H$1203,$S78)=0,"",INDEX(对接源_01水果!$H$4:$H$1203,$S78)))</f>
        <v/>
      </c>
      <c r="F78" s="85" t="str">
        <f aca="false">IF($S78="","",IF(INDEX(对接源_01水果!$I$4:$I$1203,$S78)=0,"",INDEX(对接源_01水果!$I$4:$I$1203,$S78)))</f>
        <v/>
      </c>
      <c r="G78" s="87" t="str">
        <f aca="false">IF($S78="","",IF(INDEX(对接源_01水果!$AD$4:$AD$1203,$S78)=0,"",INDEX(对接源_01水果!$AD$4:$AD$1203,$S78)))</f>
        <v/>
      </c>
      <c r="H78" s="87" t="str">
        <f aca="false">IF($S78="","",IF(INDEX(对接源_01水果!$AE$4:$AE$1203,$S78)=0,"",INDEX(对接源_01水果!$AE$4:$AE$1203,$S78)))</f>
        <v/>
      </c>
      <c r="I78" s="87" t="str">
        <f aca="false">IF($S78="","",IF(INDEX(对接源_01水果!$AF$4:$AF$1203,$S78)=0,"",INDEX(对接源_01水果!$AF$4:$AF$1203,$S78)))</f>
        <v/>
      </c>
      <c r="J78" s="88" t="str">
        <f aca="false">IF($S78="","",IF(INDEX(对接源_01水果!$K$4:$K$1203,$S78)=0,"",INDEX(对接源_01水果!$K$4:$K$1203,$S78)))</f>
        <v/>
      </c>
      <c r="K78" s="85" t="str">
        <f aca="false">IF($S78="","",IF(INDEX(对接源_01水果!$L$4:$L$1203,$S78)=0,"",INDEX(对接源_01水果!$L$4:$L$1203,$S78)))</f>
        <v/>
      </c>
      <c r="L78" s="89" t="str">
        <f aca="false">IF($S78="","",IF(INDEX(对接源_01水果!$M$4:$M$1203,$S78)=0,"",INDEX(对接源_01水果!$M$4:$M$1203,$S78)))</f>
        <v/>
      </c>
      <c r="S7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9" customFormat="false" ht="15.75" hidden="false" customHeight="true" outlineLevel="0" collapsed="false">
      <c r="A79" s="84" t="str">
        <f aca="false">IF($S79="","",IF(INDEX(对接源_01水果!$B$4:$B$1203,$S79)=0,"",INDEX(对接源_01水果!$B$4:$B$1203,$S79)))</f>
        <v/>
      </c>
      <c r="B79" s="85" t="str">
        <f aca="false">IF($S79="","",IF(INDEX(对接源_01水果!$E$4:$E$1203,$S79)=0,"",INDEX(对接源_01水果!$E$4:$E$1203,$S79)))</f>
        <v/>
      </c>
      <c r="C79" s="85" t="str">
        <f aca="false">IF($S79="","",IF(INDEX(对接源_01水果!$F$4:$F$1203,$S79)=0,"",INDEX(对接源_01水果!$F$4:$F$1203,$S79)))</f>
        <v/>
      </c>
      <c r="D79" s="85" t="str">
        <f aca="false">IF($S79="","",IF(INDEX(对接源_01水果!$G$4:$G$1203,$S79)=0,"",INDEX(对接源_01水果!$G$4:$G$1203,$S79)))</f>
        <v/>
      </c>
      <c r="E79" s="86" t="str">
        <f aca="false">IF($S79="","",IF(INDEX(对接源_01水果!$H$4:$H$1203,$S79)=0,"",INDEX(对接源_01水果!$H$4:$H$1203,$S79)))</f>
        <v/>
      </c>
      <c r="F79" s="85" t="str">
        <f aca="false">IF($S79="","",IF(INDEX(对接源_01水果!$I$4:$I$1203,$S79)=0,"",INDEX(对接源_01水果!$I$4:$I$1203,$S79)))</f>
        <v/>
      </c>
      <c r="G79" s="87" t="str">
        <f aca="false">IF($S79="","",IF(INDEX(对接源_01水果!$AD$4:$AD$1203,$S79)=0,"",INDEX(对接源_01水果!$AD$4:$AD$1203,$S79)))</f>
        <v/>
      </c>
      <c r="H79" s="87" t="str">
        <f aca="false">IF($S79="","",IF(INDEX(对接源_01水果!$AE$4:$AE$1203,$S79)=0,"",INDEX(对接源_01水果!$AE$4:$AE$1203,$S79)))</f>
        <v/>
      </c>
      <c r="I79" s="87" t="str">
        <f aca="false">IF($S79="","",IF(INDEX(对接源_01水果!$AF$4:$AF$1203,$S79)=0,"",INDEX(对接源_01水果!$AF$4:$AF$1203,$S79)))</f>
        <v/>
      </c>
      <c r="J79" s="88" t="str">
        <f aca="false">IF($S79="","",IF(INDEX(对接源_01水果!$K$4:$K$1203,$S79)=0,"",INDEX(对接源_01水果!$K$4:$K$1203,$S79)))</f>
        <v/>
      </c>
      <c r="K79" s="85" t="str">
        <f aca="false">IF($S79="","",IF(INDEX(对接源_01水果!$L$4:$L$1203,$S79)=0,"",INDEX(对接源_01水果!$L$4:$L$1203,$S79)))</f>
        <v/>
      </c>
      <c r="L79" s="89" t="str">
        <f aca="false">IF($S79="","",IF(INDEX(对接源_01水果!$M$4:$M$1203,$S79)=0,"",INDEX(对接源_01水果!$M$4:$M$1203,$S79)))</f>
        <v/>
      </c>
      <c r="S7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0" customFormat="false" ht="15.75" hidden="false" customHeight="true" outlineLevel="0" collapsed="false">
      <c r="A80" s="84" t="str">
        <f aca="false">IF($S80="","",IF(INDEX(对接源_01水果!$B$4:$B$1203,$S80)=0,"",INDEX(对接源_01水果!$B$4:$B$1203,$S80)))</f>
        <v/>
      </c>
      <c r="B80" s="85" t="str">
        <f aca="false">IF($S80="","",IF(INDEX(对接源_01水果!$E$4:$E$1203,$S80)=0,"",INDEX(对接源_01水果!$E$4:$E$1203,$S80)))</f>
        <v/>
      </c>
      <c r="C80" s="85" t="str">
        <f aca="false">IF($S80="","",IF(INDEX(对接源_01水果!$F$4:$F$1203,$S80)=0,"",INDEX(对接源_01水果!$F$4:$F$1203,$S80)))</f>
        <v/>
      </c>
      <c r="D80" s="85" t="str">
        <f aca="false">IF($S80="","",IF(INDEX(对接源_01水果!$G$4:$G$1203,$S80)=0,"",INDEX(对接源_01水果!$G$4:$G$1203,$S80)))</f>
        <v/>
      </c>
      <c r="E80" s="86" t="str">
        <f aca="false">IF($S80="","",IF(INDEX(对接源_01水果!$H$4:$H$1203,$S80)=0,"",INDEX(对接源_01水果!$H$4:$H$1203,$S80)))</f>
        <v/>
      </c>
      <c r="F80" s="85" t="str">
        <f aca="false">IF($S80="","",IF(INDEX(对接源_01水果!$I$4:$I$1203,$S80)=0,"",INDEX(对接源_01水果!$I$4:$I$1203,$S80)))</f>
        <v/>
      </c>
      <c r="G80" s="87" t="str">
        <f aca="false">IF($S80="","",IF(INDEX(对接源_01水果!$AD$4:$AD$1203,$S80)=0,"",INDEX(对接源_01水果!$AD$4:$AD$1203,$S80)))</f>
        <v/>
      </c>
      <c r="H80" s="87" t="str">
        <f aca="false">IF($S80="","",IF(INDEX(对接源_01水果!$AE$4:$AE$1203,$S80)=0,"",INDEX(对接源_01水果!$AE$4:$AE$1203,$S80)))</f>
        <v/>
      </c>
      <c r="I80" s="87" t="str">
        <f aca="false">IF($S80="","",IF(INDEX(对接源_01水果!$AF$4:$AF$1203,$S80)=0,"",INDEX(对接源_01水果!$AF$4:$AF$1203,$S80)))</f>
        <v/>
      </c>
      <c r="J80" s="88" t="str">
        <f aca="false">IF($S80="","",IF(INDEX(对接源_01水果!$K$4:$K$1203,$S80)=0,"",INDEX(对接源_01水果!$K$4:$K$1203,$S80)))</f>
        <v/>
      </c>
      <c r="K80" s="85" t="str">
        <f aca="false">IF($S80="","",IF(INDEX(对接源_01水果!$L$4:$L$1203,$S80)=0,"",INDEX(对接源_01水果!$L$4:$L$1203,$S80)))</f>
        <v/>
      </c>
      <c r="L80" s="89" t="str">
        <f aca="false">IF($S80="","",IF(INDEX(对接源_01水果!$M$4:$M$1203,$S80)=0,"",INDEX(对接源_01水果!$M$4:$M$1203,$S80)))</f>
        <v/>
      </c>
      <c r="S8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1" customFormat="false" ht="15.75" hidden="false" customHeight="true" outlineLevel="0" collapsed="false">
      <c r="A81" s="84" t="str">
        <f aca="false">IF($S81="","",IF(INDEX(对接源_01水果!$B$4:$B$1203,$S81)=0,"",INDEX(对接源_01水果!$B$4:$B$1203,$S81)))</f>
        <v/>
      </c>
      <c r="B81" s="85" t="str">
        <f aca="false">IF($S81="","",IF(INDEX(对接源_01水果!$E$4:$E$1203,$S81)=0,"",INDEX(对接源_01水果!$E$4:$E$1203,$S81)))</f>
        <v/>
      </c>
      <c r="C81" s="85" t="str">
        <f aca="false">IF($S81="","",IF(INDEX(对接源_01水果!$F$4:$F$1203,$S81)=0,"",INDEX(对接源_01水果!$F$4:$F$1203,$S81)))</f>
        <v/>
      </c>
      <c r="D81" s="85" t="str">
        <f aca="false">IF($S81="","",IF(INDEX(对接源_01水果!$G$4:$G$1203,$S81)=0,"",INDEX(对接源_01水果!$G$4:$G$1203,$S81)))</f>
        <v/>
      </c>
      <c r="E81" s="86" t="str">
        <f aca="false">IF($S81="","",IF(INDEX(对接源_01水果!$H$4:$H$1203,$S81)=0,"",INDEX(对接源_01水果!$H$4:$H$1203,$S81)))</f>
        <v/>
      </c>
      <c r="F81" s="85" t="str">
        <f aca="false">IF($S81="","",IF(INDEX(对接源_01水果!$I$4:$I$1203,$S81)=0,"",INDEX(对接源_01水果!$I$4:$I$1203,$S81)))</f>
        <v/>
      </c>
      <c r="G81" s="87" t="str">
        <f aca="false">IF($S81="","",IF(INDEX(对接源_01水果!$AD$4:$AD$1203,$S81)=0,"",INDEX(对接源_01水果!$AD$4:$AD$1203,$S81)))</f>
        <v/>
      </c>
      <c r="H81" s="87" t="str">
        <f aca="false">IF($S81="","",IF(INDEX(对接源_01水果!$AE$4:$AE$1203,$S81)=0,"",INDEX(对接源_01水果!$AE$4:$AE$1203,$S81)))</f>
        <v/>
      </c>
      <c r="I81" s="87" t="str">
        <f aca="false">IF($S81="","",IF(INDEX(对接源_01水果!$AF$4:$AF$1203,$S81)=0,"",INDEX(对接源_01水果!$AF$4:$AF$1203,$S81)))</f>
        <v/>
      </c>
      <c r="J81" s="88" t="str">
        <f aca="false">IF($S81="","",IF(INDEX(对接源_01水果!$K$4:$K$1203,$S81)=0,"",INDEX(对接源_01水果!$K$4:$K$1203,$S81)))</f>
        <v/>
      </c>
      <c r="K81" s="85" t="str">
        <f aca="false">IF($S81="","",IF(INDEX(对接源_01水果!$L$4:$L$1203,$S81)=0,"",INDEX(对接源_01水果!$L$4:$L$1203,$S81)))</f>
        <v/>
      </c>
      <c r="L81" s="89" t="str">
        <f aca="false">IF($S81="","",IF(INDEX(对接源_01水果!$M$4:$M$1203,$S81)=0,"",INDEX(对接源_01水果!$M$4:$M$1203,$S81)))</f>
        <v/>
      </c>
      <c r="S8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2" customFormat="false" ht="15.75" hidden="false" customHeight="true" outlineLevel="0" collapsed="false">
      <c r="A82" s="84" t="str">
        <f aca="false">IF($S82="","",IF(INDEX(对接源_01水果!$B$4:$B$1203,$S82)=0,"",INDEX(对接源_01水果!$B$4:$B$1203,$S82)))</f>
        <v/>
      </c>
      <c r="B82" s="85" t="str">
        <f aca="false">IF($S82="","",IF(INDEX(对接源_01水果!$E$4:$E$1203,$S82)=0,"",INDEX(对接源_01水果!$E$4:$E$1203,$S82)))</f>
        <v/>
      </c>
      <c r="C82" s="85" t="str">
        <f aca="false">IF($S82="","",IF(INDEX(对接源_01水果!$F$4:$F$1203,$S82)=0,"",INDEX(对接源_01水果!$F$4:$F$1203,$S82)))</f>
        <v/>
      </c>
      <c r="D82" s="85" t="str">
        <f aca="false">IF($S82="","",IF(INDEX(对接源_01水果!$G$4:$G$1203,$S82)=0,"",INDEX(对接源_01水果!$G$4:$G$1203,$S82)))</f>
        <v/>
      </c>
      <c r="E82" s="86" t="str">
        <f aca="false">IF($S82="","",IF(INDEX(对接源_01水果!$H$4:$H$1203,$S82)=0,"",INDEX(对接源_01水果!$H$4:$H$1203,$S82)))</f>
        <v/>
      </c>
      <c r="F82" s="85" t="str">
        <f aca="false">IF($S82="","",IF(INDEX(对接源_01水果!$I$4:$I$1203,$S82)=0,"",INDEX(对接源_01水果!$I$4:$I$1203,$S82)))</f>
        <v/>
      </c>
      <c r="G82" s="87" t="str">
        <f aca="false">IF($S82="","",IF(INDEX(对接源_01水果!$AD$4:$AD$1203,$S82)=0,"",INDEX(对接源_01水果!$AD$4:$AD$1203,$S82)))</f>
        <v/>
      </c>
      <c r="H82" s="87" t="str">
        <f aca="false">IF($S82="","",IF(INDEX(对接源_01水果!$AE$4:$AE$1203,$S82)=0,"",INDEX(对接源_01水果!$AE$4:$AE$1203,$S82)))</f>
        <v/>
      </c>
      <c r="I82" s="87" t="str">
        <f aca="false">IF($S82="","",IF(INDEX(对接源_01水果!$AF$4:$AF$1203,$S82)=0,"",INDEX(对接源_01水果!$AF$4:$AF$1203,$S82)))</f>
        <v/>
      </c>
      <c r="J82" s="88" t="str">
        <f aca="false">IF($S82="","",IF(INDEX(对接源_01水果!$K$4:$K$1203,$S82)=0,"",INDEX(对接源_01水果!$K$4:$K$1203,$S82)))</f>
        <v/>
      </c>
      <c r="K82" s="85" t="str">
        <f aca="false">IF($S82="","",IF(INDEX(对接源_01水果!$L$4:$L$1203,$S82)=0,"",INDEX(对接源_01水果!$L$4:$L$1203,$S82)))</f>
        <v/>
      </c>
      <c r="L82" s="89" t="str">
        <f aca="false">IF($S82="","",IF(INDEX(对接源_01水果!$M$4:$M$1203,$S82)=0,"",INDEX(对接源_01水果!$M$4:$M$1203,$S82)))</f>
        <v/>
      </c>
      <c r="S8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3" customFormat="false" ht="15.75" hidden="false" customHeight="true" outlineLevel="0" collapsed="false">
      <c r="A83" s="84" t="str">
        <f aca="false">IF($S83="","",IF(INDEX(对接源_01水果!$B$4:$B$1203,$S83)=0,"",INDEX(对接源_01水果!$B$4:$B$1203,$S83)))</f>
        <v/>
      </c>
      <c r="B83" s="85" t="str">
        <f aca="false">IF($S83="","",IF(INDEX(对接源_01水果!$E$4:$E$1203,$S83)=0,"",INDEX(对接源_01水果!$E$4:$E$1203,$S83)))</f>
        <v/>
      </c>
      <c r="C83" s="85" t="str">
        <f aca="false">IF($S83="","",IF(INDEX(对接源_01水果!$F$4:$F$1203,$S83)=0,"",INDEX(对接源_01水果!$F$4:$F$1203,$S83)))</f>
        <v/>
      </c>
      <c r="D83" s="85" t="str">
        <f aca="false">IF($S83="","",IF(INDEX(对接源_01水果!$G$4:$G$1203,$S83)=0,"",INDEX(对接源_01水果!$G$4:$G$1203,$S83)))</f>
        <v/>
      </c>
      <c r="E83" s="86" t="str">
        <f aca="false">IF($S83="","",IF(INDEX(对接源_01水果!$H$4:$H$1203,$S83)=0,"",INDEX(对接源_01水果!$H$4:$H$1203,$S83)))</f>
        <v/>
      </c>
      <c r="F83" s="85" t="str">
        <f aca="false">IF($S83="","",IF(INDEX(对接源_01水果!$I$4:$I$1203,$S83)=0,"",INDEX(对接源_01水果!$I$4:$I$1203,$S83)))</f>
        <v/>
      </c>
      <c r="G83" s="87" t="str">
        <f aca="false">IF($S83="","",IF(INDEX(对接源_01水果!$AD$4:$AD$1203,$S83)=0,"",INDEX(对接源_01水果!$AD$4:$AD$1203,$S83)))</f>
        <v/>
      </c>
      <c r="H83" s="87" t="str">
        <f aca="false">IF($S83="","",IF(INDEX(对接源_01水果!$AE$4:$AE$1203,$S83)=0,"",INDEX(对接源_01水果!$AE$4:$AE$1203,$S83)))</f>
        <v/>
      </c>
      <c r="I83" s="87" t="str">
        <f aca="false">IF($S83="","",IF(INDEX(对接源_01水果!$AF$4:$AF$1203,$S83)=0,"",INDEX(对接源_01水果!$AF$4:$AF$1203,$S83)))</f>
        <v/>
      </c>
      <c r="J83" s="88" t="str">
        <f aca="false">IF($S83="","",IF(INDEX(对接源_01水果!$K$4:$K$1203,$S83)=0,"",INDEX(对接源_01水果!$K$4:$K$1203,$S83)))</f>
        <v/>
      </c>
      <c r="K83" s="85" t="str">
        <f aca="false">IF($S83="","",IF(INDEX(对接源_01水果!$L$4:$L$1203,$S83)=0,"",INDEX(对接源_01水果!$L$4:$L$1203,$S83)))</f>
        <v/>
      </c>
      <c r="L83" s="89" t="str">
        <f aca="false">IF($S83="","",IF(INDEX(对接源_01水果!$M$4:$M$1203,$S83)=0,"",INDEX(对接源_01水果!$M$4:$M$1203,$S83)))</f>
        <v/>
      </c>
      <c r="S8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4" customFormat="false" ht="15.75" hidden="false" customHeight="true" outlineLevel="0" collapsed="false">
      <c r="A84" s="84" t="str">
        <f aca="false">IF($S84="","",IF(INDEX(对接源_01水果!$B$4:$B$1203,$S84)=0,"",INDEX(对接源_01水果!$B$4:$B$1203,$S84)))</f>
        <v/>
      </c>
      <c r="B84" s="85" t="str">
        <f aca="false">IF($S84="","",IF(INDEX(对接源_01水果!$E$4:$E$1203,$S84)=0,"",INDEX(对接源_01水果!$E$4:$E$1203,$S84)))</f>
        <v/>
      </c>
      <c r="C84" s="85" t="str">
        <f aca="false">IF($S84="","",IF(INDEX(对接源_01水果!$F$4:$F$1203,$S84)=0,"",INDEX(对接源_01水果!$F$4:$F$1203,$S84)))</f>
        <v/>
      </c>
      <c r="D84" s="85" t="str">
        <f aca="false">IF($S84="","",IF(INDEX(对接源_01水果!$G$4:$G$1203,$S84)=0,"",INDEX(对接源_01水果!$G$4:$G$1203,$S84)))</f>
        <v/>
      </c>
      <c r="E84" s="86" t="str">
        <f aca="false">IF($S84="","",IF(INDEX(对接源_01水果!$H$4:$H$1203,$S84)=0,"",INDEX(对接源_01水果!$H$4:$H$1203,$S84)))</f>
        <v/>
      </c>
      <c r="F84" s="85" t="str">
        <f aca="false">IF($S84="","",IF(INDEX(对接源_01水果!$I$4:$I$1203,$S84)=0,"",INDEX(对接源_01水果!$I$4:$I$1203,$S84)))</f>
        <v/>
      </c>
      <c r="G84" s="87" t="str">
        <f aca="false">IF($S84="","",IF(INDEX(对接源_01水果!$AD$4:$AD$1203,$S84)=0,"",INDEX(对接源_01水果!$AD$4:$AD$1203,$S84)))</f>
        <v/>
      </c>
      <c r="H84" s="87" t="str">
        <f aca="false">IF($S84="","",IF(INDEX(对接源_01水果!$AE$4:$AE$1203,$S84)=0,"",INDEX(对接源_01水果!$AE$4:$AE$1203,$S84)))</f>
        <v/>
      </c>
      <c r="I84" s="87" t="str">
        <f aca="false">IF($S84="","",IF(INDEX(对接源_01水果!$AF$4:$AF$1203,$S84)=0,"",INDEX(对接源_01水果!$AF$4:$AF$1203,$S84)))</f>
        <v/>
      </c>
      <c r="J84" s="88" t="str">
        <f aca="false">IF($S84="","",IF(INDEX(对接源_01水果!$K$4:$K$1203,$S84)=0,"",INDEX(对接源_01水果!$K$4:$K$1203,$S84)))</f>
        <v/>
      </c>
      <c r="K84" s="85" t="str">
        <f aca="false">IF($S84="","",IF(INDEX(对接源_01水果!$L$4:$L$1203,$S84)=0,"",INDEX(对接源_01水果!$L$4:$L$1203,$S84)))</f>
        <v/>
      </c>
      <c r="L84" s="89" t="str">
        <f aca="false">IF($S84="","",IF(INDEX(对接源_01水果!$M$4:$M$1203,$S84)=0,"",INDEX(对接源_01水果!$M$4:$M$1203,$S84)))</f>
        <v/>
      </c>
      <c r="S8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5" customFormat="false" ht="15.75" hidden="false" customHeight="true" outlineLevel="0" collapsed="false">
      <c r="A85" s="84" t="str">
        <f aca="false">IF($S85="","",IF(INDEX(对接源_01水果!$B$4:$B$1203,$S85)=0,"",INDEX(对接源_01水果!$B$4:$B$1203,$S85)))</f>
        <v/>
      </c>
      <c r="B85" s="85" t="str">
        <f aca="false">IF($S85="","",IF(INDEX(对接源_01水果!$E$4:$E$1203,$S85)=0,"",INDEX(对接源_01水果!$E$4:$E$1203,$S85)))</f>
        <v/>
      </c>
      <c r="C85" s="85" t="str">
        <f aca="false">IF($S85="","",IF(INDEX(对接源_01水果!$F$4:$F$1203,$S85)=0,"",INDEX(对接源_01水果!$F$4:$F$1203,$S85)))</f>
        <v/>
      </c>
      <c r="D85" s="85" t="str">
        <f aca="false">IF($S85="","",IF(INDEX(对接源_01水果!$G$4:$G$1203,$S85)=0,"",INDEX(对接源_01水果!$G$4:$G$1203,$S85)))</f>
        <v/>
      </c>
      <c r="E85" s="86" t="str">
        <f aca="false">IF($S85="","",IF(INDEX(对接源_01水果!$H$4:$H$1203,$S85)=0,"",INDEX(对接源_01水果!$H$4:$H$1203,$S85)))</f>
        <v/>
      </c>
      <c r="F85" s="85" t="str">
        <f aca="false">IF($S85="","",IF(INDEX(对接源_01水果!$I$4:$I$1203,$S85)=0,"",INDEX(对接源_01水果!$I$4:$I$1203,$S85)))</f>
        <v/>
      </c>
      <c r="G85" s="87" t="str">
        <f aca="false">IF($S85="","",IF(INDEX(对接源_01水果!$AD$4:$AD$1203,$S85)=0,"",INDEX(对接源_01水果!$AD$4:$AD$1203,$S85)))</f>
        <v/>
      </c>
      <c r="H85" s="87" t="str">
        <f aca="false">IF($S85="","",IF(INDEX(对接源_01水果!$AE$4:$AE$1203,$S85)=0,"",INDEX(对接源_01水果!$AE$4:$AE$1203,$S85)))</f>
        <v/>
      </c>
      <c r="I85" s="87" t="str">
        <f aca="false">IF($S85="","",IF(INDEX(对接源_01水果!$AF$4:$AF$1203,$S85)=0,"",INDEX(对接源_01水果!$AF$4:$AF$1203,$S85)))</f>
        <v/>
      </c>
      <c r="J85" s="88" t="str">
        <f aca="false">IF($S85="","",IF(INDEX(对接源_01水果!$K$4:$K$1203,$S85)=0,"",INDEX(对接源_01水果!$K$4:$K$1203,$S85)))</f>
        <v/>
      </c>
      <c r="K85" s="85" t="str">
        <f aca="false">IF($S85="","",IF(INDEX(对接源_01水果!$L$4:$L$1203,$S85)=0,"",INDEX(对接源_01水果!$L$4:$L$1203,$S85)))</f>
        <v/>
      </c>
      <c r="L85" s="89" t="str">
        <f aca="false">IF($S85="","",IF(INDEX(对接源_01水果!$M$4:$M$1203,$S85)=0,"",INDEX(对接源_01水果!$M$4:$M$1203,$S85)))</f>
        <v/>
      </c>
      <c r="S8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6" customFormat="false" ht="15.75" hidden="false" customHeight="true" outlineLevel="0" collapsed="false">
      <c r="A86" s="84" t="str">
        <f aca="false">IF($S86="","",IF(INDEX(对接源_01水果!$B$4:$B$1203,$S86)=0,"",INDEX(对接源_01水果!$B$4:$B$1203,$S86)))</f>
        <v/>
      </c>
      <c r="B86" s="85" t="str">
        <f aca="false">IF($S86="","",IF(INDEX(对接源_01水果!$E$4:$E$1203,$S86)=0,"",INDEX(对接源_01水果!$E$4:$E$1203,$S86)))</f>
        <v/>
      </c>
      <c r="C86" s="85" t="str">
        <f aca="false">IF($S86="","",IF(INDEX(对接源_01水果!$F$4:$F$1203,$S86)=0,"",INDEX(对接源_01水果!$F$4:$F$1203,$S86)))</f>
        <v/>
      </c>
      <c r="D86" s="85" t="str">
        <f aca="false">IF($S86="","",IF(INDEX(对接源_01水果!$G$4:$G$1203,$S86)=0,"",INDEX(对接源_01水果!$G$4:$G$1203,$S86)))</f>
        <v/>
      </c>
      <c r="E86" s="86" t="str">
        <f aca="false">IF($S86="","",IF(INDEX(对接源_01水果!$H$4:$H$1203,$S86)=0,"",INDEX(对接源_01水果!$H$4:$H$1203,$S86)))</f>
        <v/>
      </c>
      <c r="F86" s="85" t="str">
        <f aca="false">IF($S86="","",IF(INDEX(对接源_01水果!$I$4:$I$1203,$S86)=0,"",INDEX(对接源_01水果!$I$4:$I$1203,$S86)))</f>
        <v/>
      </c>
      <c r="G86" s="87" t="str">
        <f aca="false">IF($S86="","",IF(INDEX(对接源_01水果!$AD$4:$AD$1203,$S86)=0,"",INDEX(对接源_01水果!$AD$4:$AD$1203,$S86)))</f>
        <v/>
      </c>
      <c r="H86" s="87" t="str">
        <f aca="false">IF($S86="","",IF(INDEX(对接源_01水果!$AE$4:$AE$1203,$S86)=0,"",INDEX(对接源_01水果!$AE$4:$AE$1203,$S86)))</f>
        <v/>
      </c>
      <c r="I86" s="87" t="str">
        <f aca="false">IF($S86="","",IF(INDEX(对接源_01水果!$AF$4:$AF$1203,$S86)=0,"",INDEX(对接源_01水果!$AF$4:$AF$1203,$S86)))</f>
        <v/>
      </c>
      <c r="J86" s="88" t="str">
        <f aca="false">IF($S86="","",IF(INDEX(对接源_01水果!$K$4:$K$1203,$S86)=0,"",INDEX(对接源_01水果!$K$4:$K$1203,$S86)))</f>
        <v/>
      </c>
      <c r="K86" s="85" t="str">
        <f aca="false">IF($S86="","",IF(INDEX(对接源_01水果!$L$4:$L$1203,$S86)=0,"",INDEX(对接源_01水果!$L$4:$L$1203,$S86)))</f>
        <v/>
      </c>
      <c r="L86" s="89" t="str">
        <f aca="false">IF($S86="","",IF(INDEX(对接源_01水果!$M$4:$M$1203,$S86)=0,"",INDEX(对接源_01水果!$M$4:$M$1203,$S86)))</f>
        <v/>
      </c>
      <c r="S8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7" customFormat="false" ht="15.75" hidden="false" customHeight="true" outlineLevel="0" collapsed="false">
      <c r="A87" s="84" t="str">
        <f aca="false">IF($S87="","",IF(INDEX(对接源_01水果!$B$4:$B$1203,$S87)=0,"",INDEX(对接源_01水果!$B$4:$B$1203,$S87)))</f>
        <v/>
      </c>
      <c r="B87" s="85" t="str">
        <f aca="false">IF($S87="","",IF(INDEX(对接源_01水果!$E$4:$E$1203,$S87)=0,"",INDEX(对接源_01水果!$E$4:$E$1203,$S87)))</f>
        <v/>
      </c>
      <c r="C87" s="85" t="str">
        <f aca="false">IF($S87="","",IF(INDEX(对接源_01水果!$F$4:$F$1203,$S87)=0,"",INDEX(对接源_01水果!$F$4:$F$1203,$S87)))</f>
        <v/>
      </c>
      <c r="D87" s="85" t="str">
        <f aca="false">IF($S87="","",IF(INDEX(对接源_01水果!$G$4:$G$1203,$S87)=0,"",INDEX(对接源_01水果!$G$4:$G$1203,$S87)))</f>
        <v/>
      </c>
      <c r="E87" s="86" t="str">
        <f aca="false">IF($S87="","",IF(INDEX(对接源_01水果!$H$4:$H$1203,$S87)=0,"",INDEX(对接源_01水果!$H$4:$H$1203,$S87)))</f>
        <v/>
      </c>
      <c r="F87" s="85" t="str">
        <f aca="false">IF($S87="","",IF(INDEX(对接源_01水果!$I$4:$I$1203,$S87)=0,"",INDEX(对接源_01水果!$I$4:$I$1203,$S87)))</f>
        <v/>
      </c>
      <c r="G87" s="87" t="str">
        <f aca="false">IF($S87="","",IF(INDEX(对接源_01水果!$AD$4:$AD$1203,$S87)=0,"",INDEX(对接源_01水果!$AD$4:$AD$1203,$S87)))</f>
        <v/>
      </c>
      <c r="H87" s="87" t="str">
        <f aca="false">IF($S87="","",IF(INDEX(对接源_01水果!$AE$4:$AE$1203,$S87)=0,"",INDEX(对接源_01水果!$AE$4:$AE$1203,$S87)))</f>
        <v/>
      </c>
      <c r="I87" s="87" t="str">
        <f aca="false">IF($S87="","",IF(INDEX(对接源_01水果!$AF$4:$AF$1203,$S87)=0,"",INDEX(对接源_01水果!$AF$4:$AF$1203,$S87)))</f>
        <v/>
      </c>
      <c r="J87" s="88" t="str">
        <f aca="false">IF($S87="","",IF(INDEX(对接源_01水果!$K$4:$K$1203,$S87)=0,"",INDEX(对接源_01水果!$K$4:$K$1203,$S87)))</f>
        <v/>
      </c>
      <c r="K87" s="85" t="str">
        <f aca="false">IF($S87="","",IF(INDEX(对接源_01水果!$L$4:$L$1203,$S87)=0,"",INDEX(对接源_01水果!$L$4:$L$1203,$S87)))</f>
        <v/>
      </c>
      <c r="L87" s="89" t="str">
        <f aca="false">IF($S87="","",IF(INDEX(对接源_01水果!$M$4:$M$1203,$S87)=0,"",INDEX(对接源_01水果!$M$4:$M$1203,$S87)))</f>
        <v/>
      </c>
      <c r="S8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8" customFormat="false" ht="15.75" hidden="false" customHeight="true" outlineLevel="0" collapsed="false">
      <c r="A88" s="84" t="str">
        <f aca="false">IF($S88="","",IF(INDEX(对接源_01水果!$B$4:$B$1203,$S88)=0,"",INDEX(对接源_01水果!$B$4:$B$1203,$S88)))</f>
        <v/>
      </c>
      <c r="B88" s="85" t="str">
        <f aca="false">IF($S88="","",IF(INDEX(对接源_01水果!$E$4:$E$1203,$S88)=0,"",INDEX(对接源_01水果!$E$4:$E$1203,$S88)))</f>
        <v/>
      </c>
      <c r="C88" s="85" t="str">
        <f aca="false">IF($S88="","",IF(INDEX(对接源_01水果!$F$4:$F$1203,$S88)=0,"",INDEX(对接源_01水果!$F$4:$F$1203,$S88)))</f>
        <v/>
      </c>
      <c r="D88" s="85" t="str">
        <f aca="false">IF($S88="","",IF(INDEX(对接源_01水果!$G$4:$G$1203,$S88)=0,"",INDEX(对接源_01水果!$G$4:$G$1203,$S88)))</f>
        <v/>
      </c>
      <c r="E88" s="86" t="str">
        <f aca="false">IF($S88="","",IF(INDEX(对接源_01水果!$H$4:$H$1203,$S88)=0,"",INDEX(对接源_01水果!$H$4:$H$1203,$S88)))</f>
        <v/>
      </c>
      <c r="F88" s="85" t="str">
        <f aca="false">IF($S88="","",IF(INDEX(对接源_01水果!$I$4:$I$1203,$S88)=0,"",INDEX(对接源_01水果!$I$4:$I$1203,$S88)))</f>
        <v/>
      </c>
      <c r="G88" s="87" t="str">
        <f aca="false">IF($S88="","",IF(INDEX(对接源_01水果!$AD$4:$AD$1203,$S88)=0,"",INDEX(对接源_01水果!$AD$4:$AD$1203,$S88)))</f>
        <v/>
      </c>
      <c r="H88" s="87" t="str">
        <f aca="false">IF($S88="","",IF(INDEX(对接源_01水果!$AE$4:$AE$1203,$S88)=0,"",INDEX(对接源_01水果!$AE$4:$AE$1203,$S88)))</f>
        <v/>
      </c>
      <c r="I88" s="87" t="str">
        <f aca="false">IF($S88="","",IF(INDEX(对接源_01水果!$AF$4:$AF$1203,$S88)=0,"",INDEX(对接源_01水果!$AF$4:$AF$1203,$S88)))</f>
        <v/>
      </c>
      <c r="J88" s="88" t="str">
        <f aca="false">IF($S88="","",IF(INDEX(对接源_01水果!$K$4:$K$1203,$S88)=0,"",INDEX(对接源_01水果!$K$4:$K$1203,$S88)))</f>
        <v/>
      </c>
      <c r="K88" s="85" t="str">
        <f aca="false">IF($S88="","",IF(INDEX(对接源_01水果!$L$4:$L$1203,$S88)=0,"",INDEX(对接源_01水果!$L$4:$L$1203,$S88)))</f>
        <v/>
      </c>
      <c r="L88" s="89" t="str">
        <f aca="false">IF($S88="","",IF(INDEX(对接源_01水果!$M$4:$M$1203,$S88)=0,"",INDEX(对接源_01水果!$M$4:$M$1203,$S88)))</f>
        <v/>
      </c>
      <c r="S8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9" customFormat="false" ht="15.75" hidden="false" customHeight="true" outlineLevel="0" collapsed="false">
      <c r="A89" s="84" t="str">
        <f aca="false">IF($S89="","",IF(INDEX(对接源_01水果!$B$4:$B$1203,$S89)=0,"",INDEX(对接源_01水果!$B$4:$B$1203,$S89)))</f>
        <v/>
      </c>
      <c r="B89" s="85" t="str">
        <f aca="false">IF($S89="","",IF(INDEX(对接源_01水果!$E$4:$E$1203,$S89)=0,"",INDEX(对接源_01水果!$E$4:$E$1203,$S89)))</f>
        <v/>
      </c>
      <c r="C89" s="85" t="str">
        <f aca="false">IF($S89="","",IF(INDEX(对接源_01水果!$F$4:$F$1203,$S89)=0,"",INDEX(对接源_01水果!$F$4:$F$1203,$S89)))</f>
        <v/>
      </c>
      <c r="D89" s="85" t="str">
        <f aca="false">IF($S89="","",IF(INDEX(对接源_01水果!$G$4:$G$1203,$S89)=0,"",INDEX(对接源_01水果!$G$4:$G$1203,$S89)))</f>
        <v/>
      </c>
      <c r="E89" s="86" t="str">
        <f aca="false">IF($S89="","",IF(INDEX(对接源_01水果!$H$4:$H$1203,$S89)=0,"",INDEX(对接源_01水果!$H$4:$H$1203,$S89)))</f>
        <v/>
      </c>
      <c r="F89" s="85" t="str">
        <f aca="false">IF($S89="","",IF(INDEX(对接源_01水果!$I$4:$I$1203,$S89)=0,"",INDEX(对接源_01水果!$I$4:$I$1203,$S89)))</f>
        <v/>
      </c>
      <c r="G89" s="87" t="str">
        <f aca="false">IF($S89="","",IF(INDEX(对接源_01水果!$AD$4:$AD$1203,$S89)=0,"",INDEX(对接源_01水果!$AD$4:$AD$1203,$S89)))</f>
        <v/>
      </c>
      <c r="H89" s="87" t="str">
        <f aca="false">IF($S89="","",IF(INDEX(对接源_01水果!$AE$4:$AE$1203,$S89)=0,"",INDEX(对接源_01水果!$AE$4:$AE$1203,$S89)))</f>
        <v/>
      </c>
      <c r="I89" s="87" t="str">
        <f aca="false">IF($S89="","",IF(INDEX(对接源_01水果!$AF$4:$AF$1203,$S89)=0,"",INDEX(对接源_01水果!$AF$4:$AF$1203,$S89)))</f>
        <v/>
      </c>
      <c r="J89" s="88" t="str">
        <f aca="false">IF($S89="","",IF(INDEX(对接源_01水果!$K$4:$K$1203,$S89)=0,"",INDEX(对接源_01水果!$K$4:$K$1203,$S89)))</f>
        <v/>
      </c>
      <c r="K89" s="85" t="str">
        <f aca="false">IF($S89="","",IF(INDEX(对接源_01水果!$L$4:$L$1203,$S89)=0,"",INDEX(对接源_01水果!$L$4:$L$1203,$S89)))</f>
        <v/>
      </c>
      <c r="L89" s="89" t="str">
        <f aca="false">IF($S89="","",IF(INDEX(对接源_01水果!$M$4:$M$1203,$S89)=0,"",INDEX(对接源_01水果!$M$4:$M$1203,$S89)))</f>
        <v/>
      </c>
      <c r="S8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0" customFormat="false" ht="15.75" hidden="false" customHeight="true" outlineLevel="0" collapsed="false">
      <c r="A90" s="84" t="str">
        <f aca="false">IF($S90="","",IF(INDEX(对接源_01水果!$B$4:$B$1203,$S90)=0,"",INDEX(对接源_01水果!$B$4:$B$1203,$S90)))</f>
        <v/>
      </c>
      <c r="B90" s="85" t="str">
        <f aca="false">IF($S90="","",IF(INDEX(对接源_01水果!$E$4:$E$1203,$S90)=0,"",INDEX(对接源_01水果!$E$4:$E$1203,$S90)))</f>
        <v/>
      </c>
      <c r="C90" s="85" t="str">
        <f aca="false">IF($S90="","",IF(INDEX(对接源_01水果!$F$4:$F$1203,$S90)=0,"",INDEX(对接源_01水果!$F$4:$F$1203,$S90)))</f>
        <v/>
      </c>
      <c r="D90" s="85" t="str">
        <f aca="false">IF($S90="","",IF(INDEX(对接源_01水果!$G$4:$G$1203,$S90)=0,"",INDEX(对接源_01水果!$G$4:$G$1203,$S90)))</f>
        <v/>
      </c>
      <c r="E90" s="86" t="str">
        <f aca="false">IF($S90="","",IF(INDEX(对接源_01水果!$H$4:$H$1203,$S90)=0,"",INDEX(对接源_01水果!$H$4:$H$1203,$S90)))</f>
        <v/>
      </c>
      <c r="F90" s="85" t="str">
        <f aca="false">IF($S90="","",IF(INDEX(对接源_01水果!$I$4:$I$1203,$S90)=0,"",INDEX(对接源_01水果!$I$4:$I$1203,$S90)))</f>
        <v/>
      </c>
      <c r="G90" s="87" t="str">
        <f aca="false">IF($S90="","",IF(INDEX(对接源_01水果!$AD$4:$AD$1203,$S90)=0,"",INDEX(对接源_01水果!$AD$4:$AD$1203,$S90)))</f>
        <v/>
      </c>
      <c r="H90" s="87" t="str">
        <f aca="false">IF($S90="","",IF(INDEX(对接源_01水果!$AE$4:$AE$1203,$S90)=0,"",INDEX(对接源_01水果!$AE$4:$AE$1203,$S90)))</f>
        <v/>
      </c>
      <c r="I90" s="87" t="str">
        <f aca="false">IF($S90="","",IF(INDEX(对接源_01水果!$AF$4:$AF$1203,$S90)=0,"",INDEX(对接源_01水果!$AF$4:$AF$1203,$S90)))</f>
        <v/>
      </c>
      <c r="J90" s="88" t="str">
        <f aca="false">IF($S90="","",IF(INDEX(对接源_01水果!$K$4:$K$1203,$S90)=0,"",INDEX(对接源_01水果!$K$4:$K$1203,$S90)))</f>
        <v/>
      </c>
      <c r="K90" s="85" t="str">
        <f aca="false">IF($S90="","",IF(INDEX(对接源_01水果!$L$4:$L$1203,$S90)=0,"",INDEX(对接源_01水果!$L$4:$L$1203,$S90)))</f>
        <v/>
      </c>
      <c r="L90" s="89" t="str">
        <f aca="false">IF($S90="","",IF(INDEX(对接源_01水果!$M$4:$M$1203,$S90)=0,"",INDEX(对接源_01水果!$M$4:$M$1203,$S90)))</f>
        <v/>
      </c>
      <c r="S9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1" customFormat="false" ht="15.75" hidden="false" customHeight="true" outlineLevel="0" collapsed="false">
      <c r="A91" s="84" t="str">
        <f aca="false">IF($S91="","",IF(INDEX(对接源_01水果!$B$4:$B$1203,$S91)=0,"",INDEX(对接源_01水果!$B$4:$B$1203,$S91)))</f>
        <v/>
      </c>
      <c r="B91" s="85" t="str">
        <f aca="false">IF($S91="","",IF(INDEX(对接源_01水果!$E$4:$E$1203,$S91)=0,"",INDEX(对接源_01水果!$E$4:$E$1203,$S91)))</f>
        <v/>
      </c>
      <c r="C91" s="85" t="str">
        <f aca="false">IF($S91="","",IF(INDEX(对接源_01水果!$F$4:$F$1203,$S91)=0,"",INDEX(对接源_01水果!$F$4:$F$1203,$S91)))</f>
        <v/>
      </c>
      <c r="D91" s="85" t="str">
        <f aca="false">IF($S91="","",IF(INDEX(对接源_01水果!$G$4:$G$1203,$S91)=0,"",INDEX(对接源_01水果!$G$4:$G$1203,$S91)))</f>
        <v/>
      </c>
      <c r="E91" s="86" t="str">
        <f aca="false">IF($S91="","",IF(INDEX(对接源_01水果!$H$4:$H$1203,$S91)=0,"",INDEX(对接源_01水果!$H$4:$H$1203,$S91)))</f>
        <v/>
      </c>
      <c r="F91" s="85" t="str">
        <f aca="false">IF($S91="","",IF(INDEX(对接源_01水果!$I$4:$I$1203,$S91)=0,"",INDEX(对接源_01水果!$I$4:$I$1203,$S91)))</f>
        <v/>
      </c>
      <c r="G91" s="87" t="str">
        <f aca="false">IF($S91="","",IF(INDEX(对接源_01水果!$AD$4:$AD$1203,$S91)=0,"",INDEX(对接源_01水果!$AD$4:$AD$1203,$S91)))</f>
        <v/>
      </c>
      <c r="H91" s="87" t="str">
        <f aca="false">IF($S91="","",IF(INDEX(对接源_01水果!$AE$4:$AE$1203,$S91)=0,"",INDEX(对接源_01水果!$AE$4:$AE$1203,$S91)))</f>
        <v/>
      </c>
      <c r="I91" s="87" t="str">
        <f aca="false">IF($S91="","",IF(INDEX(对接源_01水果!$AF$4:$AF$1203,$S91)=0,"",INDEX(对接源_01水果!$AF$4:$AF$1203,$S91)))</f>
        <v/>
      </c>
      <c r="J91" s="88" t="str">
        <f aca="false">IF($S91="","",IF(INDEX(对接源_01水果!$K$4:$K$1203,$S91)=0,"",INDEX(对接源_01水果!$K$4:$K$1203,$S91)))</f>
        <v/>
      </c>
      <c r="K91" s="85" t="str">
        <f aca="false">IF($S91="","",IF(INDEX(对接源_01水果!$L$4:$L$1203,$S91)=0,"",INDEX(对接源_01水果!$L$4:$L$1203,$S91)))</f>
        <v/>
      </c>
      <c r="L91" s="89" t="str">
        <f aca="false">IF($S91="","",IF(INDEX(对接源_01水果!$M$4:$M$1203,$S91)=0,"",INDEX(对接源_01水果!$M$4:$M$1203,$S91)))</f>
        <v/>
      </c>
      <c r="S9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2" customFormat="false" ht="15.75" hidden="false" customHeight="true" outlineLevel="0" collapsed="false">
      <c r="A92" s="84" t="str">
        <f aca="false">IF($S92="","",IF(INDEX(对接源_01水果!$B$4:$B$1203,$S92)=0,"",INDEX(对接源_01水果!$B$4:$B$1203,$S92)))</f>
        <v/>
      </c>
      <c r="B92" s="85" t="str">
        <f aca="false">IF($S92="","",IF(INDEX(对接源_01水果!$E$4:$E$1203,$S92)=0,"",INDEX(对接源_01水果!$E$4:$E$1203,$S92)))</f>
        <v/>
      </c>
      <c r="C92" s="85" t="str">
        <f aca="false">IF($S92="","",IF(INDEX(对接源_01水果!$F$4:$F$1203,$S92)=0,"",INDEX(对接源_01水果!$F$4:$F$1203,$S92)))</f>
        <v/>
      </c>
      <c r="D92" s="85" t="str">
        <f aca="false">IF($S92="","",IF(INDEX(对接源_01水果!$G$4:$G$1203,$S92)=0,"",INDEX(对接源_01水果!$G$4:$G$1203,$S92)))</f>
        <v/>
      </c>
      <c r="E92" s="86" t="str">
        <f aca="false">IF($S92="","",IF(INDEX(对接源_01水果!$H$4:$H$1203,$S92)=0,"",INDEX(对接源_01水果!$H$4:$H$1203,$S92)))</f>
        <v/>
      </c>
      <c r="F92" s="85" t="str">
        <f aca="false">IF($S92="","",IF(INDEX(对接源_01水果!$I$4:$I$1203,$S92)=0,"",INDEX(对接源_01水果!$I$4:$I$1203,$S92)))</f>
        <v/>
      </c>
      <c r="G92" s="87" t="str">
        <f aca="false">IF($S92="","",IF(INDEX(对接源_01水果!$AD$4:$AD$1203,$S92)=0,"",INDEX(对接源_01水果!$AD$4:$AD$1203,$S92)))</f>
        <v/>
      </c>
      <c r="H92" s="87" t="str">
        <f aca="false">IF($S92="","",IF(INDEX(对接源_01水果!$AE$4:$AE$1203,$S92)=0,"",INDEX(对接源_01水果!$AE$4:$AE$1203,$S92)))</f>
        <v/>
      </c>
      <c r="I92" s="87" t="str">
        <f aca="false">IF($S92="","",IF(INDEX(对接源_01水果!$AF$4:$AF$1203,$S92)=0,"",INDEX(对接源_01水果!$AF$4:$AF$1203,$S92)))</f>
        <v/>
      </c>
      <c r="J92" s="88" t="str">
        <f aca="false">IF($S92="","",IF(INDEX(对接源_01水果!$K$4:$K$1203,$S92)=0,"",INDEX(对接源_01水果!$K$4:$K$1203,$S92)))</f>
        <v/>
      </c>
      <c r="K92" s="85" t="str">
        <f aca="false">IF($S92="","",IF(INDEX(对接源_01水果!$L$4:$L$1203,$S92)=0,"",INDEX(对接源_01水果!$L$4:$L$1203,$S92)))</f>
        <v/>
      </c>
      <c r="L92" s="89" t="str">
        <f aca="false">IF($S92="","",IF(INDEX(对接源_01水果!$M$4:$M$1203,$S92)=0,"",INDEX(对接源_01水果!$M$4:$M$1203,$S92)))</f>
        <v/>
      </c>
      <c r="S9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3" customFormat="false" ht="15.75" hidden="false" customHeight="true" outlineLevel="0" collapsed="false">
      <c r="A93" s="84" t="str">
        <f aca="false">IF($S93="","",IF(INDEX(对接源_01水果!$B$4:$B$1203,$S93)=0,"",INDEX(对接源_01水果!$B$4:$B$1203,$S93)))</f>
        <v/>
      </c>
      <c r="B93" s="85" t="str">
        <f aca="false">IF($S93="","",IF(INDEX(对接源_01水果!$E$4:$E$1203,$S93)=0,"",INDEX(对接源_01水果!$E$4:$E$1203,$S93)))</f>
        <v/>
      </c>
      <c r="C93" s="85" t="str">
        <f aca="false">IF($S93="","",IF(INDEX(对接源_01水果!$F$4:$F$1203,$S93)=0,"",INDEX(对接源_01水果!$F$4:$F$1203,$S93)))</f>
        <v/>
      </c>
      <c r="D93" s="85" t="str">
        <f aca="false">IF($S93="","",IF(INDEX(对接源_01水果!$G$4:$G$1203,$S93)=0,"",INDEX(对接源_01水果!$G$4:$G$1203,$S93)))</f>
        <v/>
      </c>
      <c r="E93" s="86" t="str">
        <f aca="false">IF($S93="","",IF(INDEX(对接源_01水果!$H$4:$H$1203,$S93)=0,"",INDEX(对接源_01水果!$H$4:$H$1203,$S93)))</f>
        <v/>
      </c>
      <c r="F93" s="85" t="str">
        <f aca="false">IF($S93="","",IF(INDEX(对接源_01水果!$I$4:$I$1203,$S93)=0,"",INDEX(对接源_01水果!$I$4:$I$1203,$S93)))</f>
        <v/>
      </c>
      <c r="G93" s="87" t="str">
        <f aca="false">IF($S93="","",IF(INDEX(对接源_01水果!$AD$4:$AD$1203,$S93)=0,"",INDEX(对接源_01水果!$AD$4:$AD$1203,$S93)))</f>
        <v/>
      </c>
      <c r="H93" s="87" t="str">
        <f aca="false">IF($S93="","",IF(INDEX(对接源_01水果!$AE$4:$AE$1203,$S93)=0,"",INDEX(对接源_01水果!$AE$4:$AE$1203,$S93)))</f>
        <v/>
      </c>
      <c r="I93" s="87" t="str">
        <f aca="false">IF($S93="","",IF(INDEX(对接源_01水果!$AF$4:$AF$1203,$S93)=0,"",INDEX(对接源_01水果!$AF$4:$AF$1203,$S93)))</f>
        <v/>
      </c>
      <c r="J93" s="88" t="str">
        <f aca="false">IF($S93="","",IF(INDEX(对接源_01水果!$K$4:$K$1203,$S93)=0,"",INDEX(对接源_01水果!$K$4:$K$1203,$S93)))</f>
        <v/>
      </c>
      <c r="K93" s="85" t="str">
        <f aca="false">IF($S93="","",IF(INDEX(对接源_01水果!$L$4:$L$1203,$S93)=0,"",INDEX(对接源_01水果!$L$4:$L$1203,$S93)))</f>
        <v/>
      </c>
      <c r="L93" s="89" t="str">
        <f aca="false">IF($S93="","",IF(INDEX(对接源_01水果!$M$4:$M$1203,$S93)=0,"",INDEX(对接源_01水果!$M$4:$M$1203,$S93)))</f>
        <v/>
      </c>
      <c r="S9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4" customFormat="false" ht="15.75" hidden="false" customHeight="true" outlineLevel="0" collapsed="false">
      <c r="A94" s="84" t="str">
        <f aca="false">IF($S94="","",IF(INDEX(对接源_01水果!$B$4:$B$1203,$S94)=0,"",INDEX(对接源_01水果!$B$4:$B$1203,$S94)))</f>
        <v/>
      </c>
      <c r="B94" s="85" t="str">
        <f aca="false">IF($S94="","",IF(INDEX(对接源_01水果!$E$4:$E$1203,$S94)=0,"",INDEX(对接源_01水果!$E$4:$E$1203,$S94)))</f>
        <v/>
      </c>
      <c r="C94" s="85" t="str">
        <f aca="false">IF($S94="","",IF(INDEX(对接源_01水果!$F$4:$F$1203,$S94)=0,"",INDEX(对接源_01水果!$F$4:$F$1203,$S94)))</f>
        <v/>
      </c>
      <c r="D94" s="85" t="str">
        <f aca="false">IF($S94="","",IF(INDEX(对接源_01水果!$G$4:$G$1203,$S94)=0,"",INDEX(对接源_01水果!$G$4:$G$1203,$S94)))</f>
        <v/>
      </c>
      <c r="E94" s="86" t="str">
        <f aca="false">IF($S94="","",IF(INDEX(对接源_01水果!$H$4:$H$1203,$S94)=0,"",INDEX(对接源_01水果!$H$4:$H$1203,$S94)))</f>
        <v/>
      </c>
      <c r="F94" s="85" t="str">
        <f aca="false">IF($S94="","",IF(INDEX(对接源_01水果!$I$4:$I$1203,$S94)=0,"",INDEX(对接源_01水果!$I$4:$I$1203,$S94)))</f>
        <v/>
      </c>
      <c r="G94" s="87" t="str">
        <f aca="false">IF($S94="","",IF(INDEX(对接源_01水果!$AD$4:$AD$1203,$S94)=0,"",INDEX(对接源_01水果!$AD$4:$AD$1203,$S94)))</f>
        <v/>
      </c>
      <c r="H94" s="87" t="str">
        <f aca="false">IF($S94="","",IF(INDEX(对接源_01水果!$AE$4:$AE$1203,$S94)=0,"",INDEX(对接源_01水果!$AE$4:$AE$1203,$S94)))</f>
        <v/>
      </c>
      <c r="I94" s="87" t="str">
        <f aca="false">IF($S94="","",IF(INDEX(对接源_01水果!$AF$4:$AF$1203,$S94)=0,"",INDEX(对接源_01水果!$AF$4:$AF$1203,$S94)))</f>
        <v/>
      </c>
      <c r="J94" s="88" t="str">
        <f aca="false">IF($S94="","",IF(INDEX(对接源_01水果!$K$4:$K$1203,$S94)=0,"",INDEX(对接源_01水果!$K$4:$K$1203,$S94)))</f>
        <v/>
      </c>
      <c r="K94" s="85" t="str">
        <f aca="false">IF($S94="","",IF(INDEX(对接源_01水果!$L$4:$L$1203,$S94)=0,"",INDEX(对接源_01水果!$L$4:$L$1203,$S94)))</f>
        <v/>
      </c>
      <c r="L94" s="89" t="str">
        <f aca="false">IF($S94="","",IF(INDEX(对接源_01水果!$M$4:$M$1203,$S94)=0,"",INDEX(对接源_01水果!$M$4:$M$1203,$S94)))</f>
        <v/>
      </c>
      <c r="S9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5" customFormat="false" ht="15.75" hidden="false" customHeight="true" outlineLevel="0" collapsed="false">
      <c r="A95" s="84" t="str">
        <f aca="false">IF($S95="","",IF(INDEX(对接源_01水果!$B$4:$B$1203,$S95)=0,"",INDEX(对接源_01水果!$B$4:$B$1203,$S95)))</f>
        <v/>
      </c>
      <c r="B95" s="85" t="str">
        <f aca="false">IF($S95="","",IF(INDEX(对接源_01水果!$E$4:$E$1203,$S95)=0,"",INDEX(对接源_01水果!$E$4:$E$1203,$S95)))</f>
        <v/>
      </c>
      <c r="C95" s="85" t="str">
        <f aca="false">IF($S95="","",IF(INDEX(对接源_01水果!$F$4:$F$1203,$S95)=0,"",INDEX(对接源_01水果!$F$4:$F$1203,$S95)))</f>
        <v/>
      </c>
      <c r="D95" s="85" t="str">
        <f aca="false">IF($S95="","",IF(INDEX(对接源_01水果!$G$4:$G$1203,$S95)=0,"",INDEX(对接源_01水果!$G$4:$G$1203,$S95)))</f>
        <v/>
      </c>
      <c r="E95" s="86" t="str">
        <f aca="false">IF($S95="","",IF(INDEX(对接源_01水果!$H$4:$H$1203,$S95)=0,"",INDEX(对接源_01水果!$H$4:$H$1203,$S95)))</f>
        <v/>
      </c>
      <c r="F95" s="85" t="str">
        <f aca="false">IF($S95="","",IF(INDEX(对接源_01水果!$I$4:$I$1203,$S95)=0,"",INDEX(对接源_01水果!$I$4:$I$1203,$S95)))</f>
        <v/>
      </c>
      <c r="G95" s="87" t="str">
        <f aca="false">IF($S95="","",IF(INDEX(对接源_01水果!$AD$4:$AD$1203,$S95)=0,"",INDEX(对接源_01水果!$AD$4:$AD$1203,$S95)))</f>
        <v/>
      </c>
      <c r="H95" s="87" t="str">
        <f aca="false">IF($S95="","",IF(INDEX(对接源_01水果!$AE$4:$AE$1203,$S95)=0,"",INDEX(对接源_01水果!$AE$4:$AE$1203,$S95)))</f>
        <v/>
      </c>
      <c r="I95" s="87" t="str">
        <f aca="false">IF($S95="","",IF(INDEX(对接源_01水果!$AF$4:$AF$1203,$S95)=0,"",INDEX(对接源_01水果!$AF$4:$AF$1203,$S95)))</f>
        <v/>
      </c>
      <c r="J95" s="88" t="str">
        <f aca="false">IF($S95="","",IF(INDEX(对接源_01水果!$K$4:$K$1203,$S95)=0,"",INDEX(对接源_01水果!$K$4:$K$1203,$S95)))</f>
        <v/>
      </c>
      <c r="K95" s="85" t="str">
        <f aca="false">IF($S95="","",IF(INDEX(对接源_01水果!$L$4:$L$1203,$S95)=0,"",INDEX(对接源_01水果!$L$4:$L$1203,$S95)))</f>
        <v/>
      </c>
      <c r="L95" s="89" t="str">
        <f aca="false">IF($S95="","",IF(INDEX(对接源_01水果!$M$4:$M$1203,$S95)=0,"",INDEX(对接源_01水果!$M$4:$M$1203,$S95)))</f>
        <v/>
      </c>
      <c r="S9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6" customFormat="false" ht="15.75" hidden="false" customHeight="true" outlineLevel="0" collapsed="false">
      <c r="A96" s="84" t="str">
        <f aca="false">IF($S96="","",IF(INDEX(对接源_01水果!$B$4:$B$1203,$S96)=0,"",INDEX(对接源_01水果!$B$4:$B$1203,$S96)))</f>
        <v/>
      </c>
      <c r="B96" s="85" t="str">
        <f aca="false">IF($S96="","",IF(INDEX(对接源_01水果!$E$4:$E$1203,$S96)=0,"",INDEX(对接源_01水果!$E$4:$E$1203,$S96)))</f>
        <v/>
      </c>
      <c r="C96" s="85" t="str">
        <f aca="false">IF($S96="","",IF(INDEX(对接源_01水果!$F$4:$F$1203,$S96)=0,"",INDEX(对接源_01水果!$F$4:$F$1203,$S96)))</f>
        <v/>
      </c>
      <c r="D96" s="85" t="str">
        <f aca="false">IF($S96="","",IF(INDEX(对接源_01水果!$G$4:$G$1203,$S96)=0,"",INDEX(对接源_01水果!$G$4:$G$1203,$S96)))</f>
        <v/>
      </c>
      <c r="E96" s="86" t="str">
        <f aca="false">IF($S96="","",IF(INDEX(对接源_01水果!$H$4:$H$1203,$S96)=0,"",INDEX(对接源_01水果!$H$4:$H$1203,$S96)))</f>
        <v/>
      </c>
      <c r="F96" s="85" t="str">
        <f aca="false">IF($S96="","",IF(INDEX(对接源_01水果!$I$4:$I$1203,$S96)=0,"",INDEX(对接源_01水果!$I$4:$I$1203,$S96)))</f>
        <v/>
      </c>
      <c r="G96" s="87" t="str">
        <f aca="false">IF($S96="","",IF(INDEX(对接源_01水果!$AD$4:$AD$1203,$S96)=0,"",INDEX(对接源_01水果!$AD$4:$AD$1203,$S96)))</f>
        <v/>
      </c>
      <c r="H96" s="87" t="str">
        <f aca="false">IF($S96="","",IF(INDEX(对接源_01水果!$AE$4:$AE$1203,$S96)=0,"",INDEX(对接源_01水果!$AE$4:$AE$1203,$S96)))</f>
        <v/>
      </c>
      <c r="I96" s="87" t="str">
        <f aca="false">IF($S96="","",IF(INDEX(对接源_01水果!$AF$4:$AF$1203,$S96)=0,"",INDEX(对接源_01水果!$AF$4:$AF$1203,$S96)))</f>
        <v/>
      </c>
      <c r="J96" s="88" t="str">
        <f aca="false">IF($S96="","",IF(INDEX(对接源_01水果!$K$4:$K$1203,$S96)=0,"",INDEX(对接源_01水果!$K$4:$K$1203,$S96)))</f>
        <v/>
      </c>
      <c r="K96" s="85" t="str">
        <f aca="false">IF($S96="","",IF(INDEX(对接源_01水果!$L$4:$L$1203,$S96)=0,"",INDEX(对接源_01水果!$L$4:$L$1203,$S96)))</f>
        <v/>
      </c>
      <c r="L96" s="89" t="str">
        <f aca="false">IF($S96="","",IF(INDEX(对接源_01水果!$M$4:$M$1203,$S96)=0,"",INDEX(对接源_01水果!$M$4:$M$1203,$S96)))</f>
        <v/>
      </c>
      <c r="S9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7" customFormat="false" ht="15.75" hidden="false" customHeight="true" outlineLevel="0" collapsed="false">
      <c r="A97" s="84" t="str">
        <f aca="false">IF($S97="","",IF(INDEX(对接源_01水果!$B$4:$B$1203,$S97)=0,"",INDEX(对接源_01水果!$B$4:$B$1203,$S97)))</f>
        <v/>
      </c>
      <c r="B97" s="85" t="str">
        <f aca="false">IF($S97="","",IF(INDEX(对接源_01水果!$E$4:$E$1203,$S97)=0,"",INDEX(对接源_01水果!$E$4:$E$1203,$S97)))</f>
        <v/>
      </c>
      <c r="C97" s="85" t="str">
        <f aca="false">IF($S97="","",IF(INDEX(对接源_01水果!$F$4:$F$1203,$S97)=0,"",INDEX(对接源_01水果!$F$4:$F$1203,$S97)))</f>
        <v/>
      </c>
      <c r="D97" s="85" t="str">
        <f aca="false">IF($S97="","",IF(INDEX(对接源_01水果!$G$4:$G$1203,$S97)=0,"",INDEX(对接源_01水果!$G$4:$G$1203,$S97)))</f>
        <v/>
      </c>
      <c r="E97" s="86" t="str">
        <f aca="false">IF($S97="","",IF(INDEX(对接源_01水果!$H$4:$H$1203,$S97)=0,"",INDEX(对接源_01水果!$H$4:$H$1203,$S97)))</f>
        <v/>
      </c>
      <c r="F97" s="85" t="str">
        <f aca="false">IF($S97="","",IF(INDEX(对接源_01水果!$I$4:$I$1203,$S97)=0,"",INDEX(对接源_01水果!$I$4:$I$1203,$S97)))</f>
        <v/>
      </c>
      <c r="G97" s="87" t="str">
        <f aca="false">IF($S97="","",IF(INDEX(对接源_01水果!$AD$4:$AD$1203,$S97)=0,"",INDEX(对接源_01水果!$AD$4:$AD$1203,$S97)))</f>
        <v/>
      </c>
      <c r="H97" s="87" t="str">
        <f aca="false">IF($S97="","",IF(INDEX(对接源_01水果!$AE$4:$AE$1203,$S97)=0,"",INDEX(对接源_01水果!$AE$4:$AE$1203,$S97)))</f>
        <v/>
      </c>
      <c r="I97" s="87" t="str">
        <f aca="false">IF($S97="","",IF(INDEX(对接源_01水果!$AF$4:$AF$1203,$S97)=0,"",INDEX(对接源_01水果!$AF$4:$AF$1203,$S97)))</f>
        <v/>
      </c>
      <c r="J97" s="88" t="str">
        <f aca="false">IF($S97="","",IF(INDEX(对接源_01水果!$K$4:$K$1203,$S97)=0,"",INDEX(对接源_01水果!$K$4:$K$1203,$S97)))</f>
        <v/>
      </c>
      <c r="K97" s="85" t="str">
        <f aca="false">IF($S97="","",IF(INDEX(对接源_01水果!$L$4:$L$1203,$S97)=0,"",INDEX(对接源_01水果!$L$4:$L$1203,$S97)))</f>
        <v/>
      </c>
      <c r="L97" s="89" t="str">
        <f aca="false">IF($S97="","",IF(INDEX(对接源_01水果!$M$4:$M$1203,$S97)=0,"",INDEX(对接源_01水果!$M$4:$M$1203,$S97)))</f>
        <v/>
      </c>
      <c r="S9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8" customFormat="false" ht="15.75" hidden="false" customHeight="true" outlineLevel="0" collapsed="false">
      <c r="A98" s="84" t="str">
        <f aca="false">IF($S98="","",IF(INDEX(对接源_01水果!$B$4:$B$1203,$S98)=0,"",INDEX(对接源_01水果!$B$4:$B$1203,$S98)))</f>
        <v/>
      </c>
      <c r="B98" s="85" t="str">
        <f aca="false">IF($S98="","",IF(INDEX(对接源_01水果!$E$4:$E$1203,$S98)=0,"",INDEX(对接源_01水果!$E$4:$E$1203,$S98)))</f>
        <v/>
      </c>
      <c r="C98" s="85" t="str">
        <f aca="false">IF($S98="","",IF(INDEX(对接源_01水果!$F$4:$F$1203,$S98)=0,"",INDEX(对接源_01水果!$F$4:$F$1203,$S98)))</f>
        <v/>
      </c>
      <c r="D98" s="85" t="str">
        <f aca="false">IF($S98="","",IF(INDEX(对接源_01水果!$G$4:$G$1203,$S98)=0,"",INDEX(对接源_01水果!$G$4:$G$1203,$S98)))</f>
        <v/>
      </c>
      <c r="E98" s="86" t="str">
        <f aca="false">IF($S98="","",IF(INDEX(对接源_01水果!$H$4:$H$1203,$S98)=0,"",INDEX(对接源_01水果!$H$4:$H$1203,$S98)))</f>
        <v/>
      </c>
      <c r="F98" s="85" t="str">
        <f aca="false">IF($S98="","",IF(INDEX(对接源_01水果!$I$4:$I$1203,$S98)=0,"",INDEX(对接源_01水果!$I$4:$I$1203,$S98)))</f>
        <v/>
      </c>
      <c r="G98" s="87" t="str">
        <f aca="false">IF($S98="","",IF(INDEX(对接源_01水果!$AD$4:$AD$1203,$S98)=0,"",INDEX(对接源_01水果!$AD$4:$AD$1203,$S98)))</f>
        <v/>
      </c>
      <c r="H98" s="87" t="str">
        <f aca="false">IF($S98="","",IF(INDEX(对接源_01水果!$AE$4:$AE$1203,$S98)=0,"",INDEX(对接源_01水果!$AE$4:$AE$1203,$S98)))</f>
        <v/>
      </c>
      <c r="I98" s="87" t="str">
        <f aca="false">IF($S98="","",IF(INDEX(对接源_01水果!$AF$4:$AF$1203,$S98)=0,"",INDEX(对接源_01水果!$AF$4:$AF$1203,$S98)))</f>
        <v/>
      </c>
      <c r="J98" s="88" t="str">
        <f aca="false">IF($S98="","",IF(INDEX(对接源_01水果!$K$4:$K$1203,$S98)=0,"",INDEX(对接源_01水果!$K$4:$K$1203,$S98)))</f>
        <v/>
      </c>
      <c r="K98" s="85" t="str">
        <f aca="false">IF($S98="","",IF(INDEX(对接源_01水果!$L$4:$L$1203,$S98)=0,"",INDEX(对接源_01水果!$L$4:$L$1203,$S98)))</f>
        <v/>
      </c>
      <c r="L98" s="89" t="str">
        <f aca="false">IF($S98="","",IF(INDEX(对接源_01水果!$M$4:$M$1203,$S98)=0,"",INDEX(对接源_01水果!$M$4:$M$1203,$S98)))</f>
        <v/>
      </c>
      <c r="S9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9" customFormat="false" ht="15.75" hidden="false" customHeight="true" outlineLevel="0" collapsed="false">
      <c r="A99" s="84" t="str">
        <f aca="false">IF($S99="","",IF(INDEX(对接源_01水果!$B$4:$B$1203,$S99)=0,"",INDEX(对接源_01水果!$B$4:$B$1203,$S99)))</f>
        <v/>
      </c>
      <c r="B99" s="85" t="str">
        <f aca="false">IF($S99="","",IF(INDEX(对接源_01水果!$E$4:$E$1203,$S99)=0,"",INDEX(对接源_01水果!$E$4:$E$1203,$S99)))</f>
        <v/>
      </c>
      <c r="C99" s="85" t="str">
        <f aca="false">IF($S99="","",IF(INDEX(对接源_01水果!$F$4:$F$1203,$S99)=0,"",INDEX(对接源_01水果!$F$4:$F$1203,$S99)))</f>
        <v/>
      </c>
      <c r="D99" s="85" t="str">
        <f aca="false">IF($S99="","",IF(INDEX(对接源_01水果!$G$4:$G$1203,$S99)=0,"",INDEX(对接源_01水果!$G$4:$G$1203,$S99)))</f>
        <v/>
      </c>
      <c r="E99" s="86" t="str">
        <f aca="false">IF($S99="","",IF(INDEX(对接源_01水果!$H$4:$H$1203,$S99)=0,"",INDEX(对接源_01水果!$H$4:$H$1203,$S99)))</f>
        <v/>
      </c>
      <c r="F99" s="85" t="str">
        <f aca="false">IF($S99="","",IF(INDEX(对接源_01水果!$I$4:$I$1203,$S99)=0,"",INDEX(对接源_01水果!$I$4:$I$1203,$S99)))</f>
        <v/>
      </c>
      <c r="G99" s="87" t="str">
        <f aca="false">IF($S99="","",IF(INDEX(对接源_01水果!$AD$4:$AD$1203,$S99)=0,"",INDEX(对接源_01水果!$AD$4:$AD$1203,$S99)))</f>
        <v/>
      </c>
      <c r="H99" s="87" t="str">
        <f aca="false">IF($S99="","",IF(INDEX(对接源_01水果!$AE$4:$AE$1203,$S99)=0,"",INDEX(对接源_01水果!$AE$4:$AE$1203,$S99)))</f>
        <v/>
      </c>
      <c r="I99" s="87" t="str">
        <f aca="false">IF($S99="","",IF(INDEX(对接源_01水果!$AF$4:$AF$1203,$S99)=0,"",INDEX(对接源_01水果!$AF$4:$AF$1203,$S99)))</f>
        <v/>
      </c>
      <c r="J99" s="88" t="str">
        <f aca="false">IF($S99="","",IF(INDEX(对接源_01水果!$K$4:$K$1203,$S99)=0,"",INDEX(对接源_01水果!$K$4:$K$1203,$S99)))</f>
        <v/>
      </c>
      <c r="K99" s="85" t="str">
        <f aca="false">IF($S99="","",IF(INDEX(对接源_01水果!$L$4:$L$1203,$S99)=0,"",INDEX(对接源_01水果!$L$4:$L$1203,$S99)))</f>
        <v/>
      </c>
      <c r="L99" s="89" t="str">
        <f aca="false">IF($S99="","",IF(INDEX(对接源_01水果!$M$4:$M$1203,$S99)=0,"",INDEX(对接源_01水果!$M$4:$M$1203,$S99)))</f>
        <v/>
      </c>
      <c r="S9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0" customFormat="false" ht="15.75" hidden="false" customHeight="true" outlineLevel="0" collapsed="false">
      <c r="A100" s="84" t="str">
        <f aca="false">IF($S100="","",IF(INDEX(对接源_01水果!$B$4:$B$1203,$S100)=0,"",INDEX(对接源_01水果!$B$4:$B$1203,$S100)))</f>
        <v/>
      </c>
      <c r="B100" s="85" t="str">
        <f aca="false">IF($S100="","",IF(INDEX(对接源_01水果!$E$4:$E$1203,$S100)=0,"",INDEX(对接源_01水果!$E$4:$E$1203,$S100)))</f>
        <v/>
      </c>
      <c r="C100" s="85" t="str">
        <f aca="false">IF($S100="","",IF(INDEX(对接源_01水果!$F$4:$F$1203,$S100)=0,"",INDEX(对接源_01水果!$F$4:$F$1203,$S100)))</f>
        <v/>
      </c>
      <c r="D100" s="85" t="str">
        <f aca="false">IF($S100="","",IF(INDEX(对接源_01水果!$G$4:$G$1203,$S100)=0,"",INDEX(对接源_01水果!$G$4:$G$1203,$S100)))</f>
        <v/>
      </c>
      <c r="E100" s="86" t="str">
        <f aca="false">IF($S100="","",IF(INDEX(对接源_01水果!$H$4:$H$1203,$S100)=0,"",INDEX(对接源_01水果!$H$4:$H$1203,$S100)))</f>
        <v/>
      </c>
      <c r="F100" s="85" t="str">
        <f aca="false">IF($S100="","",IF(INDEX(对接源_01水果!$I$4:$I$1203,$S100)=0,"",INDEX(对接源_01水果!$I$4:$I$1203,$S100)))</f>
        <v/>
      </c>
      <c r="G100" s="87" t="str">
        <f aca="false">IF($S100="","",IF(INDEX(对接源_01水果!$AD$4:$AD$1203,$S100)=0,"",INDEX(对接源_01水果!$AD$4:$AD$1203,$S100)))</f>
        <v/>
      </c>
      <c r="H100" s="87" t="str">
        <f aca="false">IF($S100="","",IF(INDEX(对接源_01水果!$AE$4:$AE$1203,$S100)=0,"",INDEX(对接源_01水果!$AE$4:$AE$1203,$S100)))</f>
        <v/>
      </c>
      <c r="I100" s="87" t="str">
        <f aca="false">IF($S100="","",IF(INDEX(对接源_01水果!$AF$4:$AF$1203,$S100)=0,"",INDEX(对接源_01水果!$AF$4:$AF$1203,$S100)))</f>
        <v/>
      </c>
      <c r="J100" s="88" t="str">
        <f aca="false">IF($S100="","",IF(INDEX(对接源_01水果!$K$4:$K$1203,$S100)=0,"",INDEX(对接源_01水果!$K$4:$K$1203,$S100)))</f>
        <v/>
      </c>
      <c r="K100" s="85" t="str">
        <f aca="false">IF($S100="","",IF(INDEX(对接源_01水果!$L$4:$L$1203,$S100)=0,"",INDEX(对接源_01水果!$L$4:$L$1203,$S100)))</f>
        <v/>
      </c>
      <c r="L100" s="89" t="str">
        <f aca="false">IF($S100="","",IF(INDEX(对接源_01水果!$M$4:$M$1203,$S100)=0,"",INDEX(对接源_01水果!$M$4:$M$1203,$S100)))</f>
        <v/>
      </c>
      <c r="S10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1" customFormat="false" ht="15.75" hidden="false" customHeight="true" outlineLevel="0" collapsed="false">
      <c r="A101" s="84" t="str">
        <f aca="false">IF($S101="","",IF(INDEX(对接源_01水果!$B$4:$B$1203,$S101)=0,"",INDEX(对接源_01水果!$B$4:$B$1203,$S101)))</f>
        <v/>
      </c>
      <c r="B101" s="85" t="str">
        <f aca="false">IF($S101="","",IF(INDEX(对接源_01水果!$E$4:$E$1203,$S101)=0,"",INDEX(对接源_01水果!$E$4:$E$1203,$S101)))</f>
        <v/>
      </c>
      <c r="C101" s="85" t="str">
        <f aca="false">IF($S101="","",IF(INDEX(对接源_01水果!$F$4:$F$1203,$S101)=0,"",INDEX(对接源_01水果!$F$4:$F$1203,$S101)))</f>
        <v/>
      </c>
      <c r="D101" s="85" t="str">
        <f aca="false">IF($S101="","",IF(INDEX(对接源_01水果!$G$4:$G$1203,$S101)=0,"",INDEX(对接源_01水果!$G$4:$G$1203,$S101)))</f>
        <v/>
      </c>
      <c r="E101" s="86" t="str">
        <f aca="false">IF($S101="","",IF(INDEX(对接源_01水果!$H$4:$H$1203,$S101)=0,"",INDEX(对接源_01水果!$H$4:$H$1203,$S101)))</f>
        <v/>
      </c>
      <c r="F101" s="85" t="str">
        <f aca="false">IF($S101="","",IF(INDEX(对接源_01水果!$I$4:$I$1203,$S101)=0,"",INDEX(对接源_01水果!$I$4:$I$1203,$S101)))</f>
        <v/>
      </c>
      <c r="G101" s="87" t="str">
        <f aca="false">IF($S101="","",IF(INDEX(对接源_01水果!$AD$4:$AD$1203,$S101)=0,"",INDEX(对接源_01水果!$AD$4:$AD$1203,$S101)))</f>
        <v/>
      </c>
      <c r="H101" s="87" t="str">
        <f aca="false">IF($S101="","",IF(INDEX(对接源_01水果!$AE$4:$AE$1203,$S101)=0,"",INDEX(对接源_01水果!$AE$4:$AE$1203,$S101)))</f>
        <v/>
      </c>
      <c r="I101" s="87" t="str">
        <f aca="false">IF($S101="","",IF(INDEX(对接源_01水果!$AF$4:$AF$1203,$S101)=0,"",INDEX(对接源_01水果!$AF$4:$AF$1203,$S101)))</f>
        <v/>
      </c>
      <c r="J101" s="88" t="str">
        <f aca="false">IF($S101="","",IF(INDEX(对接源_01水果!$K$4:$K$1203,$S101)=0,"",INDEX(对接源_01水果!$K$4:$K$1203,$S101)))</f>
        <v/>
      </c>
      <c r="K101" s="85" t="str">
        <f aca="false">IF($S101="","",IF(INDEX(对接源_01水果!$L$4:$L$1203,$S101)=0,"",INDEX(对接源_01水果!$L$4:$L$1203,$S101)))</f>
        <v/>
      </c>
      <c r="L101" s="89" t="str">
        <f aca="false">IF($S101="","",IF(INDEX(对接源_01水果!$M$4:$M$1203,$S101)=0,"",INDEX(对接源_01水果!$M$4:$M$1203,$S101)))</f>
        <v/>
      </c>
      <c r="S10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2" customFormat="false" ht="15.75" hidden="false" customHeight="true" outlineLevel="0" collapsed="false">
      <c r="A102" s="84" t="str">
        <f aca="false">IF($S102="","",IF(INDEX(对接源_01水果!$B$4:$B$1203,$S102)=0,"",INDEX(对接源_01水果!$B$4:$B$1203,$S102)))</f>
        <v/>
      </c>
      <c r="B102" s="85" t="str">
        <f aca="false">IF($S102="","",IF(INDEX(对接源_01水果!$E$4:$E$1203,$S102)=0,"",INDEX(对接源_01水果!$E$4:$E$1203,$S102)))</f>
        <v/>
      </c>
      <c r="C102" s="85" t="str">
        <f aca="false">IF($S102="","",IF(INDEX(对接源_01水果!$F$4:$F$1203,$S102)=0,"",INDEX(对接源_01水果!$F$4:$F$1203,$S102)))</f>
        <v/>
      </c>
      <c r="D102" s="85" t="str">
        <f aca="false">IF($S102="","",IF(INDEX(对接源_01水果!$G$4:$G$1203,$S102)=0,"",INDEX(对接源_01水果!$G$4:$G$1203,$S102)))</f>
        <v/>
      </c>
      <c r="E102" s="86" t="str">
        <f aca="false">IF($S102="","",IF(INDEX(对接源_01水果!$H$4:$H$1203,$S102)=0,"",INDEX(对接源_01水果!$H$4:$H$1203,$S102)))</f>
        <v/>
      </c>
      <c r="F102" s="85" t="str">
        <f aca="false">IF($S102="","",IF(INDEX(对接源_01水果!$I$4:$I$1203,$S102)=0,"",INDEX(对接源_01水果!$I$4:$I$1203,$S102)))</f>
        <v/>
      </c>
      <c r="G102" s="87" t="str">
        <f aca="false">IF($S102="","",IF(INDEX(对接源_01水果!$AD$4:$AD$1203,$S102)=0,"",INDEX(对接源_01水果!$AD$4:$AD$1203,$S102)))</f>
        <v/>
      </c>
      <c r="H102" s="87" t="str">
        <f aca="false">IF($S102="","",IF(INDEX(对接源_01水果!$AE$4:$AE$1203,$S102)=0,"",INDEX(对接源_01水果!$AE$4:$AE$1203,$S102)))</f>
        <v/>
      </c>
      <c r="I102" s="87" t="str">
        <f aca="false">IF($S102="","",IF(INDEX(对接源_01水果!$AF$4:$AF$1203,$S102)=0,"",INDEX(对接源_01水果!$AF$4:$AF$1203,$S102)))</f>
        <v/>
      </c>
      <c r="J102" s="88" t="str">
        <f aca="false">IF($S102="","",IF(INDEX(对接源_01水果!$K$4:$K$1203,$S102)=0,"",INDEX(对接源_01水果!$K$4:$K$1203,$S102)))</f>
        <v/>
      </c>
      <c r="K102" s="85" t="str">
        <f aca="false">IF($S102="","",IF(INDEX(对接源_01水果!$L$4:$L$1203,$S102)=0,"",INDEX(对接源_01水果!$L$4:$L$1203,$S102)))</f>
        <v/>
      </c>
      <c r="L102" s="89" t="str">
        <f aca="false">IF($S102="","",IF(INDEX(对接源_01水果!$M$4:$M$1203,$S102)=0,"",INDEX(对接源_01水果!$M$4:$M$1203,$S102)))</f>
        <v/>
      </c>
      <c r="S10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3" customFormat="false" ht="15.75" hidden="false" customHeight="true" outlineLevel="0" collapsed="false">
      <c r="A103" s="84" t="str">
        <f aca="false">IF($S103="","",IF(INDEX(对接源_01水果!$B$4:$B$1203,$S103)=0,"",INDEX(对接源_01水果!$B$4:$B$1203,$S103)))</f>
        <v/>
      </c>
      <c r="B103" s="85" t="str">
        <f aca="false">IF($S103="","",IF(INDEX(对接源_01水果!$E$4:$E$1203,$S103)=0,"",INDEX(对接源_01水果!$E$4:$E$1203,$S103)))</f>
        <v/>
      </c>
      <c r="C103" s="85" t="str">
        <f aca="false">IF($S103="","",IF(INDEX(对接源_01水果!$F$4:$F$1203,$S103)=0,"",INDEX(对接源_01水果!$F$4:$F$1203,$S103)))</f>
        <v/>
      </c>
      <c r="D103" s="85" t="str">
        <f aca="false">IF($S103="","",IF(INDEX(对接源_01水果!$G$4:$G$1203,$S103)=0,"",INDEX(对接源_01水果!$G$4:$G$1203,$S103)))</f>
        <v/>
      </c>
      <c r="E103" s="86" t="str">
        <f aca="false">IF($S103="","",IF(INDEX(对接源_01水果!$H$4:$H$1203,$S103)=0,"",INDEX(对接源_01水果!$H$4:$H$1203,$S103)))</f>
        <v/>
      </c>
      <c r="F103" s="85" t="str">
        <f aca="false">IF($S103="","",IF(INDEX(对接源_01水果!$I$4:$I$1203,$S103)=0,"",INDEX(对接源_01水果!$I$4:$I$1203,$S103)))</f>
        <v/>
      </c>
      <c r="G103" s="87" t="str">
        <f aca="false">IF($S103="","",IF(INDEX(对接源_01水果!$AD$4:$AD$1203,$S103)=0,"",INDEX(对接源_01水果!$AD$4:$AD$1203,$S103)))</f>
        <v/>
      </c>
      <c r="H103" s="87" t="str">
        <f aca="false">IF($S103="","",IF(INDEX(对接源_01水果!$AE$4:$AE$1203,$S103)=0,"",INDEX(对接源_01水果!$AE$4:$AE$1203,$S103)))</f>
        <v/>
      </c>
      <c r="I103" s="87" t="str">
        <f aca="false">IF($S103="","",IF(INDEX(对接源_01水果!$AF$4:$AF$1203,$S103)=0,"",INDEX(对接源_01水果!$AF$4:$AF$1203,$S103)))</f>
        <v/>
      </c>
      <c r="J103" s="88" t="str">
        <f aca="false">IF($S103="","",IF(INDEX(对接源_01水果!$K$4:$K$1203,$S103)=0,"",INDEX(对接源_01水果!$K$4:$K$1203,$S103)))</f>
        <v/>
      </c>
      <c r="K103" s="85" t="str">
        <f aca="false">IF($S103="","",IF(INDEX(对接源_01水果!$L$4:$L$1203,$S103)=0,"",INDEX(对接源_01水果!$L$4:$L$1203,$S103)))</f>
        <v/>
      </c>
      <c r="L103" s="89" t="str">
        <f aca="false">IF($S103="","",IF(INDEX(对接源_01水果!$M$4:$M$1203,$S103)=0,"",INDEX(对接源_01水果!$M$4:$M$1203,$S103)))</f>
        <v/>
      </c>
      <c r="S10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4" customFormat="false" ht="15.75" hidden="false" customHeight="true" outlineLevel="0" collapsed="false">
      <c r="A104" s="84" t="str">
        <f aca="false">IF($S104="","",IF(INDEX(对接源_01水果!$B$4:$B$1203,$S104)=0,"",INDEX(对接源_01水果!$B$4:$B$1203,$S104)))</f>
        <v/>
      </c>
      <c r="B104" s="85" t="str">
        <f aca="false">IF($S104="","",IF(INDEX(对接源_01水果!$E$4:$E$1203,$S104)=0,"",INDEX(对接源_01水果!$E$4:$E$1203,$S104)))</f>
        <v/>
      </c>
      <c r="C104" s="85" t="str">
        <f aca="false">IF($S104="","",IF(INDEX(对接源_01水果!$F$4:$F$1203,$S104)=0,"",INDEX(对接源_01水果!$F$4:$F$1203,$S104)))</f>
        <v/>
      </c>
      <c r="D104" s="85" t="str">
        <f aca="false">IF($S104="","",IF(INDEX(对接源_01水果!$G$4:$G$1203,$S104)=0,"",INDEX(对接源_01水果!$G$4:$G$1203,$S104)))</f>
        <v/>
      </c>
      <c r="E104" s="86" t="str">
        <f aca="false">IF($S104="","",IF(INDEX(对接源_01水果!$H$4:$H$1203,$S104)=0,"",INDEX(对接源_01水果!$H$4:$H$1203,$S104)))</f>
        <v/>
      </c>
      <c r="F104" s="85" t="str">
        <f aca="false">IF($S104="","",IF(INDEX(对接源_01水果!$I$4:$I$1203,$S104)=0,"",INDEX(对接源_01水果!$I$4:$I$1203,$S104)))</f>
        <v/>
      </c>
      <c r="G104" s="87" t="str">
        <f aca="false">IF($S104="","",IF(INDEX(对接源_01水果!$AD$4:$AD$1203,$S104)=0,"",INDEX(对接源_01水果!$AD$4:$AD$1203,$S104)))</f>
        <v/>
      </c>
      <c r="H104" s="87" t="str">
        <f aca="false">IF($S104="","",IF(INDEX(对接源_01水果!$AE$4:$AE$1203,$S104)=0,"",INDEX(对接源_01水果!$AE$4:$AE$1203,$S104)))</f>
        <v/>
      </c>
      <c r="I104" s="87" t="str">
        <f aca="false">IF($S104="","",IF(INDEX(对接源_01水果!$AF$4:$AF$1203,$S104)=0,"",INDEX(对接源_01水果!$AF$4:$AF$1203,$S104)))</f>
        <v/>
      </c>
      <c r="J104" s="88" t="str">
        <f aca="false">IF($S104="","",IF(INDEX(对接源_01水果!$K$4:$K$1203,$S104)=0,"",INDEX(对接源_01水果!$K$4:$K$1203,$S104)))</f>
        <v/>
      </c>
      <c r="K104" s="85" t="str">
        <f aca="false">IF($S104="","",IF(INDEX(对接源_01水果!$L$4:$L$1203,$S104)=0,"",INDEX(对接源_01水果!$L$4:$L$1203,$S104)))</f>
        <v/>
      </c>
      <c r="L104" s="89" t="str">
        <f aca="false">IF($S104="","",IF(INDEX(对接源_01水果!$M$4:$M$1203,$S104)=0,"",INDEX(对接源_01水果!$M$4:$M$1203,$S104)))</f>
        <v/>
      </c>
      <c r="S10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5" customFormat="false" ht="15.75" hidden="false" customHeight="true" outlineLevel="0" collapsed="false">
      <c r="A105" s="84" t="str">
        <f aca="false">IF($S105="","",IF(INDEX(对接源_01水果!$B$4:$B$1203,$S105)=0,"",INDEX(对接源_01水果!$B$4:$B$1203,$S105)))</f>
        <v/>
      </c>
      <c r="B105" s="85" t="str">
        <f aca="false">IF($S105="","",IF(INDEX(对接源_01水果!$E$4:$E$1203,$S105)=0,"",INDEX(对接源_01水果!$E$4:$E$1203,$S105)))</f>
        <v/>
      </c>
      <c r="C105" s="85" t="str">
        <f aca="false">IF($S105="","",IF(INDEX(对接源_01水果!$F$4:$F$1203,$S105)=0,"",INDEX(对接源_01水果!$F$4:$F$1203,$S105)))</f>
        <v/>
      </c>
      <c r="D105" s="85" t="str">
        <f aca="false">IF($S105="","",IF(INDEX(对接源_01水果!$G$4:$G$1203,$S105)=0,"",INDEX(对接源_01水果!$G$4:$G$1203,$S105)))</f>
        <v/>
      </c>
      <c r="E105" s="86" t="str">
        <f aca="false">IF($S105="","",IF(INDEX(对接源_01水果!$H$4:$H$1203,$S105)=0,"",INDEX(对接源_01水果!$H$4:$H$1203,$S105)))</f>
        <v/>
      </c>
      <c r="F105" s="85" t="str">
        <f aca="false">IF($S105="","",IF(INDEX(对接源_01水果!$I$4:$I$1203,$S105)=0,"",INDEX(对接源_01水果!$I$4:$I$1203,$S105)))</f>
        <v/>
      </c>
      <c r="G105" s="87" t="str">
        <f aca="false">IF($S105="","",IF(INDEX(对接源_01水果!$AD$4:$AD$1203,$S105)=0,"",INDEX(对接源_01水果!$AD$4:$AD$1203,$S105)))</f>
        <v/>
      </c>
      <c r="H105" s="87" t="str">
        <f aca="false">IF($S105="","",IF(INDEX(对接源_01水果!$AE$4:$AE$1203,$S105)=0,"",INDEX(对接源_01水果!$AE$4:$AE$1203,$S105)))</f>
        <v/>
      </c>
      <c r="I105" s="87" t="str">
        <f aca="false">IF($S105="","",IF(INDEX(对接源_01水果!$AF$4:$AF$1203,$S105)=0,"",INDEX(对接源_01水果!$AF$4:$AF$1203,$S105)))</f>
        <v/>
      </c>
      <c r="J105" s="88" t="str">
        <f aca="false">IF($S105="","",IF(INDEX(对接源_01水果!$K$4:$K$1203,$S105)=0,"",INDEX(对接源_01水果!$K$4:$K$1203,$S105)))</f>
        <v/>
      </c>
      <c r="K105" s="85" t="str">
        <f aca="false">IF($S105="","",IF(INDEX(对接源_01水果!$L$4:$L$1203,$S105)=0,"",INDEX(对接源_01水果!$L$4:$L$1203,$S105)))</f>
        <v/>
      </c>
      <c r="L105" s="89" t="str">
        <f aca="false">IF($S105="","",IF(INDEX(对接源_01水果!$M$4:$M$1203,$S105)=0,"",INDEX(对接源_01水果!$M$4:$M$1203,$S105)))</f>
        <v/>
      </c>
      <c r="S10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6" customFormat="false" ht="15.75" hidden="false" customHeight="true" outlineLevel="0" collapsed="false">
      <c r="A106" s="84" t="str">
        <f aca="false">IF($S106="","",IF(INDEX(对接源_01水果!$B$4:$B$1203,$S106)=0,"",INDEX(对接源_01水果!$B$4:$B$1203,$S106)))</f>
        <v/>
      </c>
      <c r="B106" s="85" t="str">
        <f aca="false">IF($S106="","",IF(INDEX(对接源_01水果!$E$4:$E$1203,$S106)=0,"",INDEX(对接源_01水果!$E$4:$E$1203,$S106)))</f>
        <v/>
      </c>
      <c r="C106" s="85" t="str">
        <f aca="false">IF($S106="","",IF(INDEX(对接源_01水果!$F$4:$F$1203,$S106)=0,"",INDEX(对接源_01水果!$F$4:$F$1203,$S106)))</f>
        <v/>
      </c>
      <c r="D106" s="85" t="str">
        <f aca="false">IF($S106="","",IF(INDEX(对接源_01水果!$G$4:$G$1203,$S106)=0,"",INDEX(对接源_01水果!$G$4:$G$1203,$S106)))</f>
        <v/>
      </c>
      <c r="E106" s="86" t="str">
        <f aca="false">IF($S106="","",IF(INDEX(对接源_01水果!$H$4:$H$1203,$S106)=0,"",INDEX(对接源_01水果!$H$4:$H$1203,$S106)))</f>
        <v/>
      </c>
      <c r="F106" s="85" t="str">
        <f aca="false">IF($S106="","",IF(INDEX(对接源_01水果!$I$4:$I$1203,$S106)=0,"",INDEX(对接源_01水果!$I$4:$I$1203,$S106)))</f>
        <v/>
      </c>
      <c r="G106" s="87" t="str">
        <f aca="false">IF($S106="","",IF(INDEX(对接源_01水果!$AD$4:$AD$1203,$S106)=0,"",INDEX(对接源_01水果!$AD$4:$AD$1203,$S106)))</f>
        <v/>
      </c>
      <c r="H106" s="87" t="str">
        <f aca="false">IF($S106="","",IF(INDEX(对接源_01水果!$AE$4:$AE$1203,$S106)=0,"",INDEX(对接源_01水果!$AE$4:$AE$1203,$S106)))</f>
        <v/>
      </c>
      <c r="I106" s="87" t="str">
        <f aca="false">IF($S106="","",IF(INDEX(对接源_01水果!$AF$4:$AF$1203,$S106)=0,"",INDEX(对接源_01水果!$AF$4:$AF$1203,$S106)))</f>
        <v/>
      </c>
      <c r="J106" s="88" t="str">
        <f aca="false">IF($S106="","",IF(INDEX(对接源_01水果!$K$4:$K$1203,$S106)=0,"",INDEX(对接源_01水果!$K$4:$K$1203,$S106)))</f>
        <v/>
      </c>
      <c r="K106" s="85" t="str">
        <f aca="false">IF($S106="","",IF(INDEX(对接源_01水果!$L$4:$L$1203,$S106)=0,"",INDEX(对接源_01水果!$L$4:$L$1203,$S106)))</f>
        <v/>
      </c>
      <c r="L106" s="89" t="str">
        <f aca="false">IF($S106="","",IF(INDEX(对接源_01水果!$M$4:$M$1203,$S106)=0,"",INDEX(对接源_01水果!$M$4:$M$1203,$S106)))</f>
        <v/>
      </c>
      <c r="S10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7" customFormat="false" ht="15.75" hidden="false" customHeight="true" outlineLevel="0" collapsed="false">
      <c r="A107" s="84" t="str">
        <f aca="false">IF($S107="","",IF(INDEX(对接源_01水果!$B$4:$B$1203,$S107)=0,"",INDEX(对接源_01水果!$B$4:$B$1203,$S107)))</f>
        <v/>
      </c>
      <c r="B107" s="85" t="str">
        <f aca="false">IF($S107="","",IF(INDEX(对接源_01水果!$E$4:$E$1203,$S107)=0,"",INDEX(对接源_01水果!$E$4:$E$1203,$S107)))</f>
        <v/>
      </c>
      <c r="C107" s="85" t="str">
        <f aca="false">IF($S107="","",IF(INDEX(对接源_01水果!$F$4:$F$1203,$S107)=0,"",INDEX(对接源_01水果!$F$4:$F$1203,$S107)))</f>
        <v/>
      </c>
      <c r="D107" s="85" t="str">
        <f aca="false">IF($S107="","",IF(INDEX(对接源_01水果!$G$4:$G$1203,$S107)=0,"",INDEX(对接源_01水果!$G$4:$G$1203,$S107)))</f>
        <v/>
      </c>
      <c r="E107" s="86" t="str">
        <f aca="false">IF($S107="","",IF(INDEX(对接源_01水果!$H$4:$H$1203,$S107)=0,"",INDEX(对接源_01水果!$H$4:$H$1203,$S107)))</f>
        <v/>
      </c>
      <c r="F107" s="85" t="str">
        <f aca="false">IF($S107="","",IF(INDEX(对接源_01水果!$I$4:$I$1203,$S107)=0,"",INDEX(对接源_01水果!$I$4:$I$1203,$S107)))</f>
        <v/>
      </c>
      <c r="G107" s="87" t="str">
        <f aca="false">IF($S107="","",IF(INDEX(对接源_01水果!$AD$4:$AD$1203,$S107)=0,"",INDEX(对接源_01水果!$AD$4:$AD$1203,$S107)))</f>
        <v/>
      </c>
      <c r="H107" s="87" t="str">
        <f aca="false">IF($S107="","",IF(INDEX(对接源_01水果!$AE$4:$AE$1203,$S107)=0,"",INDEX(对接源_01水果!$AE$4:$AE$1203,$S107)))</f>
        <v/>
      </c>
      <c r="I107" s="87" t="str">
        <f aca="false">IF($S107="","",IF(INDEX(对接源_01水果!$AF$4:$AF$1203,$S107)=0,"",INDEX(对接源_01水果!$AF$4:$AF$1203,$S107)))</f>
        <v/>
      </c>
      <c r="J107" s="88" t="str">
        <f aca="false">IF($S107="","",IF(INDEX(对接源_01水果!$K$4:$K$1203,$S107)=0,"",INDEX(对接源_01水果!$K$4:$K$1203,$S107)))</f>
        <v/>
      </c>
      <c r="K107" s="85" t="str">
        <f aca="false">IF($S107="","",IF(INDEX(对接源_01水果!$L$4:$L$1203,$S107)=0,"",INDEX(对接源_01水果!$L$4:$L$1203,$S107)))</f>
        <v/>
      </c>
      <c r="L107" s="89" t="str">
        <f aca="false">IF($S107="","",IF(INDEX(对接源_01水果!$M$4:$M$1203,$S107)=0,"",INDEX(对接源_01水果!$M$4:$M$1203,$S107)))</f>
        <v/>
      </c>
      <c r="S10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8" customFormat="false" ht="15.75" hidden="false" customHeight="true" outlineLevel="0" collapsed="false">
      <c r="A108" s="84" t="str">
        <f aca="false">IF($S108="","",IF(INDEX(对接源_01水果!$B$4:$B$1203,$S108)=0,"",INDEX(对接源_01水果!$B$4:$B$1203,$S108)))</f>
        <v/>
      </c>
      <c r="B108" s="85" t="str">
        <f aca="false">IF($S108="","",IF(INDEX(对接源_01水果!$E$4:$E$1203,$S108)=0,"",INDEX(对接源_01水果!$E$4:$E$1203,$S108)))</f>
        <v/>
      </c>
      <c r="C108" s="85" t="str">
        <f aca="false">IF($S108="","",IF(INDEX(对接源_01水果!$F$4:$F$1203,$S108)=0,"",INDEX(对接源_01水果!$F$4:$F$1203,$S108)))</f>
        <v/>
      </c>
      <c r="D108" s="85" t="str">
        <f aca="false">IF($S108="","",IF(INDEX(对接源_01水果!$G$4:$G$1203,$S108)=0,"",INDEX(对接源_01水果!$G$4:$G$1203,$S108)))</f>
        <v/>
      </c>
      <c r="E108" s="86" t="str">
        <f aca="false">IF($S108="","",IF(INDEX(对接源_01水果!$H$4:$H$1203,$S108)=0,"",INDEX(对接源_01水果!$H$4:$H$1203,$S108)))</f>
        <v/>
      </c>
      <c r="F108" s="85" t="str">
        <f aca="false">IF($S108="","",IF(INDEX(对接源_01水果!$I$4:$I$1203,$S108)=0,"",INDEX(对接源_01水果!$I$4:$I$1203,$S108)))</f>
        <v/>
      </c>
      <c r="G108" s="87" t="str">
        <f aca="false">IF($S108="","",IF(INDEX(对接源_01水果!$AD$4:$AD$1203,$S108)=0,"",INDEX(对接源_01水果!$AD$4:$AD$1203,$S108)))</f>
        <v/>
      </c>
      <c r="H108" s="87" t="str">
        <f aca="false">IF($S108="","",IF(INDEX(对接源_01水果!$AE$4:$AE$1203,$S108)=0,"",INDEX(对接源_01水果!$AE$4:$AE$1203,$S108)))</f>
        <v/>
      </c>
      <c r="I108" s="87" t="str">
        <f aca="false">IF($S108="","",IF(INDEX(对接源_01水果!$AF$4:$AF$1203,$S108)=0,"",INDEX(对接源_01水果!$AF$4:$AF$1203,$S108)))</f>
        <v/>
      </c>
      <c r="J108" s="88" t="str">
        <f aca="false">IF($S108="","",IF(INDEX(对接源_01水果!$K$4:$K$1203,$S108)=0,"",INDEX(对接源_01水果!$K$4:$K$1203,$S108)))</f>
        <v/>
      </c>
      <c r="K108" s="85" t="str">
        <f aca="false">IF($S108="","",IF(INDEX(对接源_01水果!$L$4:$L$1203,$S108)=0,"",INDEX(对接源_01水果!$L$4:$L$1203,$S108)))</f>
        <v/>
      </c>
      <c r="L108" s="89" t="str">
        <f aca="false">IF($S108="","",IF(INDEX(对接源_01水果!$M$4:$M$1203,$S108)=0,"",INDEX(对接源_01水果!$M$4:$M$1203,$S108)))</f>
        <v/>
      </c>
      <c r="S10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9" customFormat="false" ht="15.75" hidden="false" customHeight="true" outlineLevel="0" collapsed="false">
      <c r="A109" s="84" t="str">
        <f aca="false">IF($S109="","",IF(INDEX(对接源_01水果!$B$4:$B$1203,$S109)=0,"",INDEX(对接源_01水果!$B$4:$B$1203,$S109)))</f>
        <v/>
      </c>
      <c r="B109" s="85" t="str">
        <f aca="false">IF($S109="","",IF(INDEX(对接源_01水果!$E$4:$E$1203,$S109)=0,"",INDEX(对接源_01水果!$E$4:$E$1203,$S109)))</f>
        <v/>
      </c>
      <c r="C109" s="85" t="str">
        <f aca="false">IF($S109="","",IF(INDEX(对接源_01水果!$F$4:$F$1203,$S109)=0,"",INDEX(对接源_01水果!$F$4:$F$1203,$S109)))</f>
        <v/>
      </c>
      <c r="D109" s="85" t="str">
        <f aca="false">IF($S109="","",IF(INDEX(对接源_01水果!$G$4:$G$1203,$S109)=0,"",INDEX(对接源_01水果!$G$4:$G$1203,$S109)))</f>
        <v/>
      </c>
      <c r="E109" s="86" t="str">
        <f aca="false">IF($S109="","",IF(INDEX(对接源_01水果!$H$4:$H$1203,$S109)=0,"",INDEX(对接源_01水果!$H$4:$H$1203,$S109)))</f>
        <v/>
      </c>
      <c r="F109" s="85" t="str">
        <f aca="false">IF($S109="","",IF(INDEX(对接源_01水果!$I$4:$I$1203,$S109)=0,"",INDEX(对接源_01水果!$I$4:$I$1203,$S109)))</f>
        <v/>
      </c>
      <c r="G109" s="87" t="str">
        <f aca="false">IF($S109="","",IF(INDEX(对接源_01水果!$AD$4:$AD$1203,$S109)=0,"",INDEX(对接源_01水果!$AD$4:$AD$1203,$S109)))</f>
        <v/>
      </c>
      <c r="H109" s="87" t="str">
        <f aca="false">IF($S109="","",IF(INDEX(对接源_01水果!$AE$4:$AE$1203,$S109)=0,"",INDEX(对接源_01水果!$AE$4:$AE$1203,$S109)))</f>
        <v/>
      </c>
      <c r="I109" s="87" t="str">
        <f aca="false">IF($S109="","",IF(INDEX(对接源_01水果!$AF$4:$AF$1203,$S109)=0,"",INDEX(对接源_01水果!$AF$4:$AF$1203,$S109)))</f>
        <v/>
      </c>
      <c r="J109" s="88" t="str">
        <f aca="false">IF($S109="","",IF(INDEX(对接源_01水果!$K$4:$K$1203,$S109)=0,"",INDEX(对接源_01水果!$K$4:$K$1203,$S109)))</f>
        <v/>
      </c>
      <c r="K109" s="85" t="str">
        <f aca="false">IF($S109="","",IF(INDEX(对接源_01水果!$L$4:$L$1203,$S109)=0,"",INDEX(对接源_01水果!$L$4:$L$1203,$S109)))</f>
        <v/>
      </c>
      <c r="L109" s="89" t="str">
        <f aca="false">IF($S109="","",IF(INDEX(对接源_01水果!$M$4:$M$1203,$S109)=0,"",INDEX(对接源_01水果!$M$4:$M$1203,$S109)))</f>
        <v/>
      </c>
      <c r="S10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0" customFormat="false" ht="15.75" hidden="false" customHeight="true" outlineLevel="0" collapsed="false">
      <c r="A110" s="84" t="str">
        <f aca="false">IF($S110="","",IF(INDEX(对接源_01水果!$B$4:$B$1203,$S110)=0,"",INDEX(对接源_01水果!$B$4:$B$1203,$S110)))</f>
        <v/>
      </c>
      <c r="B110" s="85" t="str">
        <f aca="false">IF($S110="","",IF(INDEX(对接源_01水果!$E$4:$E$1203,$S110)=0,"",INDEX(对接源_01水果!$E$4:$E$1203,$S110)))</f>
        <v/>
      </c>
      <c r="C110" s="85" t="str">
        <f aca="false">IF($S110="","",IF(INDEX(对接源_01水果!$F$4:$F$1203,$S110)=0,"",INDEX(对接源_01水果!$F$4:$F$1203,$S110)))</f>
        <v/>
      </c>
      <c r="D110" s="85" t="str">
        <f aca="false">IF($S110="","",IF(INDEX(对接源_01水果!$G$4:$G$1203,$S110)=0,"",INDEX(对接源_01水果!$G$4:$G$1203,$S110)))</f>
        <v/>
      </c>
      <c r="E110" s="86" t="str">
        <f aca="false">IF($S110="","",IF(INDEX(对接源_01水果!$H$4:$H$1203,$S110)=0,"",INDEX(对接源_01水果!$H$4:$H$1203,$S110)))</f>
        <v/>
      </c>
      <c r="F110" s="85" t="str">
        <f aca="false">IF($S110="","",IF(INDEX(对接源_01水果!$I$4:$I$1203,$S110)=0,"",INDEX(对接源_01水果!$I$4:$I$1203,$S110)))</f>
        <v/>
      </c>
      <c r="G110" s="87" t="str">
        <f aca="false">IF($S110="","",IF(INDEX(对接源_01水果!$AD$4:$AD$1203,$S110)=0,"",INDEX(对接源_01水果!$AD$4:$AD$1203,$S110)))</f>
        <v/>
      </c>
      <c r="H110" s="87" t="str">
        <f aca="false">IF($S110="","",IF(INDEX(对接源_01水果!$AE$4:$AE$1203,$S110)=0,"",INDEX(对接源_01水果!$AE$4:$AE$1203,$S110)))</f>
        <v/>
      </c>
      <c r="I110" s="87" t="str">
        <f aca="false">IF($S110="","",IF(INDEX(对接源_01水果!$AF$4:$AF$1203,$S110)=0,"",INDEX(对接源_01水果!$AF$4:$AF$1203,$S110)))</f>
        <v/>
      </c>
      <c r="J110" s="88" t="str">
        <f aca="false">IF($S110="","",IF(INDEX(对接源_01水果!$K$4:$K$1203,$S110)=0,"",INDEX(对接源_01水果!$K$4:$K$1203,$S110)))</f>
        <v/>
      </c>
      <c r="K110" s="85" t="str">
        <f aca="false">IF($S110="","",IF(INDEX(对接源_01水果!$L$4:$L$1203,$S110)=0,"",INDEX(对接源_01水果!$L$4:$L$1203,$S110)))</f>
        <v/>
      </c>
      <c r="L110" s="89" t="str">
        <f aca="false">IF($S110="","",IF(INDEX(对接源_01水果!$M$4:$M$1203,$S110)=0,"",INDEX(对接源_01水果!$M$4:$M$1203,$S110)))</f>
        <v/>
      </c>
      <c r="S11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1" customFormat="false" ht="15.75" hidden="false" customHeight="true" outlineLevel="0" collapsed="false">
      <c r="A111" s="84" t="str">
        <f aca="false">IF($S111="","",IF(INDEX(对接源_01水果!$B$4:$B$1203,$S111)=0,"",INDEX(对接源_01水果!$B$4:$B$1203,$S111)))</f>
        <v/>
      </c>
      <c r="B111" s="85" t="str">
        <f aca="false">IF($S111="","",IF(INDEX(对接源_01水果!$E$4:$E$1203,$S111)=0,"",INDEX(对接源_01水果!$E$4:$E$1203,$S111)))</f>
        <v/>
      </c>
      <c r="C111" s="85" t="str">
        <f aca="false">IF($S111="","",IF(INDEX(对接源_01水果!$F$4:$F$1203,$S111)=0,"",INDEX(对接源_01水果!$F$4:$F$1203,$S111)))</f>
        <v/>
      </c>
      <c r="D111" s="85" t="str">
        <f aca="false">IF($S111="","",IF(INDEX(对接源_01水果!$G$4:$G$1203,$S111)=0,"",INDEX(对接源_01水果!$G$4:$G$1203,$S111)))</f>
        <v/>
      </c>
      <c r="E111" s="86" t="str">
        <f aca="false">IF($S111="","",IF(INDEX(对接源_01水果!$H$4:$H$1203,$S111)=0,"",INDEX(对接源_01水果!$H$4:$H$1203,$S111)))</f>
        <v/>
      </c>
      <c r="F111" s="85" t="str">
        <f aca="false">IF($S111="","",IF(INDEX(对接源_01水果!$I$4:$I$1203,$S111)=0,"",INDEX(对接源_01水果!$I$4:$I$1203,$S111)))</f>
        <v/>
      </c>
      <c r="G111" s="87" t="str">
        <f aca="false">IF($S111="","",IF(INDEX(对接源_01水果!$AD$4:$AD$1203,$S111)=0,"",INDEX(对接源_01水果!$AD$4:$AD$1203,$S111)))</f>
        <v/>
      </c>
      <c r="H111" s="87" t="str">
        <f aca="false">IF($S111="","",IF(INDEX(对接源_01水果!$AE$4:$AE$1203,$S111)=0,"",INDEX(对接源_01水果!$AE$4:$AE$1203,$S111)))</f>
        <v/>
      </c>
      <c r="I111" s="87" t="str">
        <f aca="false">IF($S111="","",IF(INDEX(对接源_01水果!$AF$4:$AF$1203,$S111)=0,"",INDEX(对接源_01水果!$AF$4:$AF$1203,$S111)))</f>
        <v/>
      </c>
      <c r="J111" s="88" t="str">
        <f aca="false">IF($S111="","",IF(INDEX(对接源_01水果!$K$4:$K$1203,$S111)=0,"",INDEX(对接源_01水果!$K$4:$K$1203,$S111)))</f>
        <v/>
      </c>
      <c r="K111" s="85" t="str">
        <f aca="false">IF($S111="","",IF(INDEX(对接源_01水果!$L$4:$L$1203,$S111)=0,"",INDEX(对接源_01水果!$L$4:$L$1203,$S111)))</f>
        <v/>
      </c>
      <c r="L111" s="89" t="str">
        <f aca="false">IF($S111="","",IF(INDEX(对接源_01水果!$M$4:$M$1203,$S111)=0,"",INDEX(对接源_01水果!$M$4:$M$1203,$S111)))</f>
        <v/>
      </c>
      <c r="S11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2" customFormat="false" ht="15.75" hidden="false" customHeight="true" outlineLevel="0" collapsed="false">
      <c r="A112" s="84" t="str">
        <f aca="false">IF($S112="","",IF(INDEX(对接源_01水果!$B$4:$B$1203,$S112)=0,"",INDEX(对接源_01水果!$B$4:$B$1203,$S112)))</f>
        <v/>
      </c>
      <c r="B112" s="85" t="str">
        <f aca="false">IF($S112="","",IF(INDEX(对接源_01水果!$E$4:$E$1203,$S112)=0,"",INDEX(对接源_01水果!$E$4:$E$1203,$S112)))</f>
        <v/>
      </c>
      <c r="C112" s="85" t="str">
        <f aca="false">IF($S112="","",IF(INDEX(对接源_01水果!$F$4:$F$1203,$S112)=0,"",INDEX(对接源_01水果!$F$4:$F$1203,$S112)))</f>
        <v/>
      </c>
      <c r="D112" s="85" t="str">
        <f aca="false">IF($S112="","",IF(INDEX(对接源_01水果!$G$4:$G$1203,$S112)=0,"",INDEX(对接源_01水果!$G$4:$G$1203,$S112)))</f>
        <v/>
      </c>
      <c r="E112" s="86" t="str">
        <f aca="false">IF($S112="","",IF(INDEX(对接源_01水果!$H$4:$H$1203,$S112)=0,"",INDEX(对接源_01水果!$H$4:$H$1203,$S112)))</f>
        <v/>
      </c>
      <c r="F112" s="85" t="str">
        <f aca="false">IF($S112="","",IF(INDEX(对接源_01水果!$I$4:$I$1203,$S112)=0,"",INDEX(对接源_01水果!$I$4:$I$1203,$S112)))</f>
        <v/>
      </c>
      <c r="G112" s="87" t="str">
        <f aca="false">IF($S112="","",IF(INDEX(对接源_01水果!$AD$4:$AD$1203,$S112)=0,"",INDEX(对接源_01水果!$AD$4:$AD$1203,$S112)))</f>
        <v/>
      </c>
      <c r="H112" s="87" t="str">
        <f aca="false">IF($S112="","",IF(INDEX(对接源_01水果!$AE$4:$AE$1203,$S112)=0,"",INDEX(对接源_01水果!$AE$4:$AE$1203,$S112)))</f>
        <v/>
      </c>
      <c r="I112" s="87" t="str">
        <f aca="false">IF($S112="","",IF(INDEX(对接源_01水果!$AF$4:$AF$1203,$S112)=0,"",INDEX(对接源_01水果!$AF$4:$AF$1203,$S112)))</f>
        <v/>
      </c>
      <c r="J112" s="88" t="str">
        <f aca="false">IF($S112="","",IF(INDEX(对接源_01水果!$K$4:$K$1203,$S112)=0,"",INDEX(对接源_01水果!$K$4:$K$1203,$S112)))</f>
        <v/>
      </c>
      <c r="K112" s="85" t="str">
        <f aca="false">IF($S112="","",IF(INDEX(对接源_01水果!$L$4:$L$1203,$S112)=0,"",INDEX(对接源_01水果!$L$4:$L$1203,$S112)))</f>
        <v/>
      </c>
      <c r="L112" s="89" t="str">
        <f aca="false">IF($S112="","",IF(INDEX(对接源_01水果!$M$4:$M$1203,$S112)=0,"",INDEX(对接源_01水果!$M$4:$M$1203,$S112)))</f>
        <v/>
      </c>
      <c r="S11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3" customFormat="false" ht="15.75" hidden="false" customHeight="true" outlineLevel="0" collapsed="false">
      <c r="A113" s="84" t="str">
        <f aca="false">IF($S113="","",IF(INDEX(对接源_01水果!$B$4:$B$1203,$S113)=0,"",INDEX(对接源_01水果!$B$4:$B$1203,$S113)))</f>
        <v/>
      </c>
      <c r="B113" s="85" t="str">
        <f aca="false">IF($S113="","",IF(INDEX(对接源_01水果!$E$4:$E$1203,$S113)=0,"",INDEX(对接源_01水果!$E$4:$E$1203,$S113)))</f>
        <v/>
      </c>
      <c r="C113" s="85" t="str">
        <f aca="false">IF($S113="","",IF(INDEX(对接源_01水果!$F$4:$F$1203,$S113)=0,"",INDEX(对接源_01水果!$F$4:$F$1203,$S113)))</f>
        <v/>
      </c>
      <c r="D113" s="85" t="str">
        <f aca="false">IF($S113="","",IF(INDEX(对接源_01水果!$G$4:$G$1203,$S113)=0,"",INDEX(对接源_01水果!$G$4:$G$1203,$S113)))</f>
        <v/>
      </c>
      <c r="E113" s="86" t="str">
        <f aca="false">IF($S113="","",IF(INDEX(对接源_01水果!$H$4:$H$1203,$S113)=0,"",INDEX(对接源_01水果!$H$4:$H$1203,$S113)))</f>
        <v/>
      </c>
      <c r="F113" s="85" t="str">
        <f aca="false">IF($S113="","",IF(INDEX(对接源_01水果!$I$4:$I$1203,$S113)=0,"",INDEX(对接源_01水果!$I$4:$I$1203,$S113)))</f>
        <v/>
      </c>
      <c r="G113" s="87" t="str">
        <f aca="false">IF($S113="","",IF(INDEX(对接源_01水果!$AD$4:$AD$1203,$S113)=0,"",INDEX(对接源_01水果!$AD$4:$AD$1203,$S113)))</f>
        <v/>
      </c>
      <c r="H113" s="87" t="str">
        <f aca="false">IF($S113="","",IF(INDEX(对接源_01水果!$AE$4:$AE$1203,$S113)=0,"",INDEX(对接源_01水果!$AE$4:$AE$1203,$S113)))</f>
        <v/>
      </c>
      <c r="I113" s="87" t="str">
        <f aca="false">IF($S113="","",IF(INDEX(对接源_01水果!$AF$4:$AF$1203,$S113)=0,"",INDEX(对接源_01水果!$AF$4:$AF$1203,$S113)))</f>
        <v/>
      </c>
      <c r="J113" s="88" t="str">
        <f aca="false">IF($S113="","",IF(INDEX(对接源_01水果!$K$4:$K$1203,$S113)=0,"",INDEX(对接源_01水果!$K$4:$K$1203,$S113)))</f>
        <v/>
      </c>
      <c r="K113" s="85" t="str">
        <f aca="false">IF($S113="","",IF(INDEX(对接源_01水果!$L$4:$L$1203,$S113)=0,"",INDEX(对接源_01水果!$L$4:$L$1203,$S113)))</f>
        <v/>
      </c>
      <c r="L113" s="89" t="str">
        <f aca="false">IF($S113="","",IF(INDEX(对接源_01水果!$M$4:$M$1203,$S113)=0,"",INDEX(对接源_01水果!$M$4:$M$1203,$S113)))</f>
        <v/>
      </c>
      <c r="S11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4" customFormat="false" ht="15.75" hidden="false" customHeight="true" outlineLevel="0" collapsed="false">
      <c r="A114" s="84" t="str">
        <f aca="false">IF($S114="","",IF(INDEX(对接源_01水果!$B$4:$B$1203,$S114)=0,"",INDEX(对接源_01水果!$B$4:$B$1203,$S114)))</f>
        <v/>
      </c>
      <c r="B114" s="85" t="str">
        <f aca="false">IF($S114="","",IF(INDEX(对接源_01水果!$E$4:$E$1203,$S114)=0,"",INDEX(对接源_01水果!$E$4:$E$1203,$S114)))</f>
        <v/>
      </c>
      <c r="C114" s="85" t="str">
        <f aca="false">IF($S114="","",IF(INDEX(对接源_01水果!$F$4:$F$1203,$S114)=0,"",INDEX(对接源_01水果!$F$4:$F$1203,$S114)))</f>
        <v/>
      </c>
      <c r="D114" s="85" t="str">
        <f aca="false">IF($S114="","",IF(INDEX(对接源_01水果!$G$4:$G$1203,$S114)=0,"",INDEX(对接源_01水果!$G$4:$G$1203,$S114)))</f>
        <v/>
      </c>
      <c r="E114" s="86" t="str">
        <f aca="false">IF($S114="","",IF(INDEX(对接源_01水果!$H$4:$H$1203,$S114)=0,"",INDEX(对接源_01水果!$H$4:$H$1203,$S114)))</f>
        <v/>
      </c>
      <c r="F114" s="85" t="str">
        <f aca="false">IF($S114="","",IF(INDEX(对接源_01水果!$I$4:$I$1203,$S114)=0,"",INDEX(对接源_01水果!$I$4:$I$1203,$S114)))</f>
        <v/>
      </c>
      <c r="G114" s="87" t="str">
        <f aca="false">IF($S114="","",IF(INDEX(对接源_01水果!$AD$4:$AD$1203,$S114)=0,"",INDEX(对接源_01水果!$AD$4:$AD$1203,$S114)))</f>
        <v/>
      </c>
      <c r="H114" s="87" t="str">
        <f aca="false">IF($S114="","",IF(INDEX(对接源_01水果!$AE$4:$AE$1203,$S114)=0,"",INDEX(对接源_01水果!$AE$4:$AE$1203,$S114)))</f>
        <v/>
      </c>
      <c r="I114" s="87" t="str">
        <f aca="false">IF($S114="","",IF(INDEX(对接源_01水果!$AF$4:$AF$1203,$S114)=0,"",INDEX(对接源_01水果!$AF$4:$AF$1203,$S114)))</f>
        <v/>
      </c>
      <c r="J114" s="88" t="str">
        <f aca="false">IF($S114="","",IF(INDEX(对接源_01水果!$K$4:$K$1203,$S114)=0,"",INDEX(对接源_01水果!$K$4:$K$1203,$S114)))</f>
        <v/>
      </c>
      <c r="K114" s="85" t="str">
        <f aca="false">IF($S114="","",IF(INDEX(对接源_01水果!$L$4:$L$1203,$S114)=0,"",INDEX(对接源_01水果!$L$4:$L$1203,$S114)))</f>
        <v/>
      </c>
      <c r="L114" s="89" t="str">
        <f aca="false">IF($S114="","",IF(INDEX(对接源_01水果!$M$4:$M$1203,$S114)=0,"",INDEX(对接源_01水果!$M$4:$M$1203,$S114)))</f>
        <v/>
      </c>
      <c r="S11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5" customFormat="false" ht="15.75" hidden="false" customHeight="true" outlineLevel="0" collapsed="false">
      <c r="A115" s="84" t="str">
        <f aca="false">IF($S115="","",IF(INDEX(对接源_01水果!$B$4:$B$1203,$S115)=0,"",INDEX(对接源_01水果!$B$4:$B$1203,$S115)))</f>
        <v/>
      </c>
      <c r="B115" s="85" t="str">
        <f aca="false">IF($S115="","",IF(INDEX(对接源_01水果!$E$4:$E$1203,$S115)=0,"",INDEX(对接源_01水果!$E$4:$E$1203,$S115)))</f>
        <v/>
      </c>
      <c r="C115" s="85" t="str">
        <f aca="false">IF($S115="","",IF(INDEX(对接源_01水果!$F$4:$F$1203,$S115)=0,"",INDEX(对接源_01水果!$F$4:$F$1203,$S115)))</f>
        <v/>
      </c>
      <c r="D115" s="85" t="str">
        <f aca="false">IF($S115="","",IF(INDEX(对接源_01水果!$G$4:$G$1203,$S115)=0,"",INDEX(对接源_01水果!$G$4:$G$1203,$S115)))</f>
        <v/>
      </c>
      <c r="E115" s="86" t="str">
        <f aca="false">IF($S115="","",IF(INDEX(对接源_01水果!$H$4:$H$1203,$S115)=0,"",INDEX(对接源_01水果!$H$4:$H$1203,$S115)))</f>
        <v/>
      </c>
      <c r="F115" s="85" t="str">
        <f aca="false">IF($S115="","",IF(INDEX(对接源_01水果!$I$4:$I$1203,$S115)=0,"",INDEX(对接源_01水果!$I$4:$I$1203,$S115)))</f>
        <v/>
      </c>
      <c r="G115" s="87" t="str">
        <f aca="false">IF($S115="","",IF(INDEX(对接源_01水果!$AD$4:$AD$1203,$S115)=0,"",INDEX(对接源_01水果!$AD$4:$AD$1203,$S115)))</f>
        <v/>
      </c>
      <c r="H115" s="87" t="str">
        <f aca="false">IF($S115="","",IF(INDEX(对接源_01水果!$AE$4:$AE$1203,$S115)=0,"",INDEX(对接源_01水果!$AE$4:$AE$1203,$S115)))</f>
        <v/>
      </c>
      <c r="I115" s="87" t="str">
        <f aca="false">IF($S115="","",IF(INDEX(对接源_01水果!$AF$4:$AF$1203,$S115)=0,"",INDEX(对接源_01水果!$AF$4:$AF$1203,$S115)))</f>
        <v/>
      </c>
      <c r="J115" s="88" t="str">
        <f aca="false">IF($S115="","",IF(INDEX(对接源_01水果!$K$4:$K$1203,$S115)=0,"",INDEX(对接源_01水果!$K$4:$K$1203,$S115)))</f>
        <v/>
      </c>
      <c r="K115" s="85" t="str">
        <f aca="false">IF($S115="","",IF(INDEX(对接源_01水果!$L$4:$L$1203,$S115)=0,"",INDEX(对接源_01水果!$L$4:$L$1203,$S115)))</f>
        <v/>
      </c>
      <c r="L115" s="89" t="str">
        <f aca="false">IF($S115="","",IF(INDEX(对接源_01水果!$M$4:$M$1203,$S115)=0,"",INDEX(对接源_01水果!$M$4:$M$1203,$S115)))</f>
        <v/>
      </c>
      <c r="S11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6" customFormat="false" ht="15.75" hidden="false" customHeight="true" outlineLevel="0" collapsed="false">
      <c r="A116" s="84" t="str">
        <f aca="false">IF($S116="","",IF(INDEX(对接源_01水果!$B$4:$B$1203,$S116)=0,"",INDEX(对接源_01水果!$B$4:$B$1203,$S116)))</f>
        <v/>
      </c>
      <c r="B116" s="85" t="str">
        <f aca="false">IF($S116="","",IF(INDEX(对接源_01水果!$E$4:$E$1203,$S116)=0,"",INDEX(对接源_01水果!$E$4:$E$1203,$S116)))</f>
        <v/>
      </c>
      <c r="C116" s="85" t="str">
        <f aca="false">IF($S116="","",IF(INDEX(对接源_01水果!$F$4:$F$1203,$S116)=0,"",INDEX(对接源_01水果!$F$4:$F$1203,$S116)))</f>
        <v/>
      </c>
      <c r="D116" s="85" t="str">
        <f aca="false">IF($S116="","",IF(INDEX(对接源_01水果!$G$4:$G$1203,$S116)=0,"",INDEX(对接源_01水果!$G$4:$G$1203,$S116)))</f>
        <v/>
      </c>
      <c r="E116" s="86" t="str">
        <f aca="false">IF($S116="","",IF(INDEX(对接源_01水果!$H$4:$H$1203,$S116)=0,"",INDEX(对接源_01水果!$H$4:$H$1203,$S116)))</f>
        <v/>
      </c>
      <c r="F116" s="85" t="str">
        <f aca="false">IF($S116="","",IF(INDEX(对接源_01水果!$I$4:$I$1203,$S116)=0,"",INDEX(对接源_01水果!$I$4:$I$1203,$S116)))</f>
        <v/>
      </c>
      <c r="G116" s="87" t="str">
        <f aca="false">IF($S116="","",IF(INDEX(对接源_01水果!$AD$4:$AD$1203,$S116)=0,"",INDEX(对接源_01水果!$AD$4:$AD$1203,$S116)))</f>
        <v/>
      </c>
      <c r="H116" s="87" t="str">
        <f aca="false">IF($S116="","",IF(INDEX(对接源_01水果!$AE$4:$AE$1203,$S116)=0,"",INDEX(对接源_01水果!$AE$4:$AE$1203,$S116)))</f>
        <v/>
      </c>
      <c r="I116" s="87" t="str">
        <f aca="false">IF($S116="","",IF(INDEX(对接源_01水果!$AF$4:$AF$1203,$S116)=0,"",INDEX(对接源_01水果!$AF$4:$AF$1203,$S116)))</f>
        <v/>
      </c>
      <c r="J116" s="88" t="str">
        <f aca="false">IF($S116="","",IF(INDEX(对接源_01水果!$K$4:$K$1203,$S116)=0,"",INDEX(对接源_01水果!$K$4:$K$1203,$S116)))</f>
        <v/>
      </c>
      <c r="K116" s="85" t="str">
        <f aca="false">IF($S116="","",IF(INDEX(对接源_01水果!$L$4:$L$1203,$S116)=0,"",INDEX(对接源_01水果!$L$4:$L$1203,$S116)))</f>
        <v/>
      </c>
      <c r="L116" s="89" t="str">
        <f aca="false">IF($S116="","",IF(INDEX(对接源_01水果!$M$4:$M$1203,$S116)=0,"",INDEX(对接源_01水果!$M$4:$M$1203,$S116)))</f>
        <v/>
      </c>
      <c r="S11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7" customFormat="false" ht="15.75" hidden="false" customHeight="true" outlineLevel="0" collapsed="false">
      <c r="A117" s="84" t="str">
        <f aca="false">IF($S117="","",IF(INDEX(对接源_01水果!$B$4:$B$1203,$S117)=0,"",INDEX(对接源_01水果!$B$4:$B$1203,$S117)))</f>
        <v/>
      </c>
      <c r="B117" s="85" t="str">
        <f aca="false">IF($S117="","",IF(INDEX(对接源_01水果!$E$4:$E$1203,$S117)=0,"",INDEX(对接源_01水果!$E$4:$E$1203,$S117)))</f>
        <v/>
      </c>
      <c r="C117" s="85" t="str">
        <f aca="false">IF($S117="","",IF(INDEX(对接源_01水果!$F$4:$F$1203,$S117)=0,"",INDEX(对接源_01水果!$F$4:$F$1203,$S117)))</f>
        <v/>
      </c>
      <c r="D117" s="85" t="str">
        <f aca="false">IF($S117="","",IF(INDEX(对接源_01水果!$G$4:$G$1203,$S117)=0,"",INDEX(对接源_01水果!$G$4:$G$1203,$S117)))</f>
        <v/>
      </c>
      <c r="E117" s="86" t="str">
        <f aca="false">IF($S117="","",IF(INDEX(对接源_01水果!$H$4:$H$1203,$S117)=0,"",INDEX(对接源_01水果!$H$4:$H$1203,$S117)))</f>
        <v/>
      </c>
      <c r="F117" s="85" t="str">
        <f aca="false">IF($S117="","",IF(INDEX(对接源_01水果!$I$4:$I$1203,$S117)=0,"",INDEX(对接源_01水果!$I$4:$I$1203,$S117)))</f>
        <v/>
      </c>
      <c r="G117" s="87" t="str">
        <f aca="false">IF($S117="","",IF(INDEX(对接源_01水果!$AD$4:$AD$1203,$S117)=0,"",INDEX(对接源_01水果!$AD$4:$AD$1203,$S117)))</f>
        <v/>
      </c>
      <c r="H117" s="87" t="str">
        <f aca="false">IF($S117="","",IF(INDEX(对接源_01水果!$AE$4:$AE$1203,$S117)=0,"",INDEX(对接源_01水果!$AE$4:$AE$1203,$S117)))</f>
        <v/>
      </c>
      <c r="I117" s="87" t="str">
        <f aca="false">IF($S117="","",IF(INDEX(对接源_01水果!$AF$4:$AF$1203,$S117)=0,"",INDEX(对接源_01水果!$AF$4:$AF$1203,$S117)))</f>
        <v/>
      </c>
      <c r="J117" s="88" t="str">
        <f aca="false">IF($S117="","",IF(INDEX(对接源_01水果!$K$4:$K$1203,$S117)=0,"",INDEX(对接源_01水果!$K$4:$K$1203,$S117)))</f>
        <v/>
      </c>
      <c r="K117" s="85" t="str">
        <f aca="false">IF($S117="","",IF(INDEX(对接源_01水果!$L$4:$L$1203,$S117)=0,"",INDEX(对接源_01水果!$L$4:$L$1203,$S117)))</f>
        <v/>
      </c>
      <c r="L117" s="89" t="str">
        <f aca="false">IF($S117="","",IF(INDEX(对接源_01水果!$M$4:$M$1203,$S117)=0,"",INDEX(对接源_01水果!$M$4:$M$1203,$S117)))</f>
        <v/>
      </c>
      <c r="S11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8" customFormat="false" ht="15.75" hidden="false" customHeight="true" outlineLevel="0" collapsed="false">
      <c r="A118" s="84" t="str">
        <f aca="false">IF($S118="","",IF(INDEX(对接源_01水果!$B$4:$B$1203,$S118)=0,"",INDEX(对接源_01水果!$B$4:$B$1203,$S118)))</f>
        <v/>
      </c>
      <c r="B118" s="85" t="str">
        <f aca="false">IF($S118="","",IF(INDEX(对接源_01水果!$E$4:$E$1203,$S118)=0,"",INDEX(对接源_01水果!$E$4:$E$1203,$S118)))</f>
        <v/>
      </c>
      <c r="C118" s="85" t="str">
        <f aca="false">IF($S118="","",IF(INDEX(对接源_01水果!$F$4:$F$1203,$S118)=0,"",INDEX(对接源_01水果!$F$4:$F$1203,$S118)))</f>
        <v/>
      </c>
      <c r="D118" s="85" t="str">
        <f aca="false">IF($S118="","",IF(INDEX(对接源_01水果!$G$4:$G$1203,$S118)=0,"",INDEX(对接源_01水果!$G$4:$G$1203,$S118)))</f>
        <v/>
      </c>
      <c r="E118" s="86" t="str">
        <f aca="false">IF($S118="","",IF(INDEX(对接源_01水果!$H$4:$H$1203,$S118)=0,"",INDEX(对接源_01水果!$H$4:$H$1203,$S118)))</f>
        <v/>
      </c>
      <c r="F118" s="85" t="str">
        <f aca="false">IF($S118="","",IF(INDEX(对接源_01水果!$I$4:$I$1203,$S118)=0,"",INDEX(对接源_01水果!$I$4:$I$1203,$S118)))</f>
        <v/>
      </c>
      <c r="G118" s="87" t="str">
        <f aca="false">IF($S118="","",IF(INDEX(对接源_01水果!$AD$4:$AD$1203,$S118)=0,"",INDEX(对接源_01水果!$AD$4:$AD$1203,$S118)))</f>
        <v/>
      </c>
      <c r="H118" s="87" t="str">
        <f aca="false">IF($S118="","",IF(INDEX(对接源_01水果!$AE$4:$AE$1203,$S118)=0,"",INDEX(对接源_01水果!$AE$4:$AE$1203,$S118)))</f>
        <v/>
      </c>
      <c r="I118" s="87" t="str">
        <f aca="false">IF($S118="","",IF(INDEX(对接源_01水果!$AF$4:$AF$1203,$S118)=0,"",INDEX(对接源_01水果!$AF$4:$AF$1203,$S118)))</f>
        <v/>
      </c>
      <c r="J118" s="88" t="str">
        <f aca="false">IF($S118="","",IF(INDEX(对接源_01水果!$K$4:$K$1203,$S118)=0,"",INDEX(对接源_01水果!$K$4:$K$1203,$S118)))</f>
        <v/>
      </c>
      <c r="K118" s="85" t="str">
        <f aca="false">IF($S118="","",IF(INDEX(对接源_01水果!$L$4:$L$1203,$S118)=0,"",INDEX(对接源_01水果!$L$4:$L$1203,$S118)))</f>
        <v/>
      </c>
      <c r="L118" s="89" t="str">
        <f aca="false">IF($S118="","",IF(INDEX(对接源_01水果!$M$4:$M$1203,$S118)=0,"",INDEX(对接源_01水果!$M$4:$M$1203,$S118)))</f>
        <v/>
      </c>
      <c r="S11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9" customFormat="false" ht="15.75" hidden="false" customHeight="true" outlineLevel="0" collapsed="false">
      <c r="A119" s="84" t="str">
        <f aca="false">IF($S119="","",IF(INDEX(对接源_01水果!$B$4:$B$1203,$S119)=0,"",INDEX(对接源_01水果!$B$4:$B$1203,$S119)))</f>
        <v/>
      </c>
      <c r="B119" s="85" t="str">
        <f aca="false">IF($S119="","",IF(INDEX(对接源_01水果!$E$4:$E$1203,$S119)=0,"",INDEX(对接源_01水果!$E$4:$E$1203,$S119)))</f>
        <v/>
      </c>
      <c r="C119" s="85" t="str">
        <f aca="false">IF($S119="","",IF(INDEX(对接源_01水果!$F$4:$F$1203,$S119)=0,"",INDEX(对接源_01水果!$F$4:$F$1203,$S119)))</f>
        <v/>
      </c>
      <c r="D119" s="85" t="str">
        <f aca="false">IF($S119="","",IF(INDEX(对接源_01水果!$G$4:$G$1203,$S119)=0,"",INDEX(对接源_01水果!$G$4:$G$1203,$S119)))</f>
        <v/>
      </c>
      <c r="E119" s="86" t="str">
        <f aca="false">IF($S119="","",IF(INDEX(对接源_01水果!$H$4:$H$1203,$S119)=0,"",INDEX(对接源_01水果!$H$4:$H$1203,$S119)))</f>
        <v/>
      </c>
      <c r="F119" s="85" t="str">
        <f aca="false">IF($S119="","",IF(INDEX(对接源_01水果!$I$4:$I$1203,$S119)=0,"",INDEX(对接源_01水果!$I$4:$I$1203,$S119)))</f>
        <v/>
      </c>
      <c r="G119" s="87" t="str">
        <f aca="false">IF($S119="","",IF(INDEX(对接源_01水果!$AD$4:$AD$1203,$S119)=0,"",INDEX(对接源_01水果!$AD$4:$AD$1203,$S119)))</f>
        <v/>
      </c>
      <c r="H119" s="87" t="str">
        <f aca="false">IF($S119="","",IF(INDEX(对接源_01水果!$AE$4:$AE$1203,$S119)=0,"",INDEX(对接源_01水果!$AE$4:$AE$1203,$S119)))</f>
        <v/>
      </c>
      <c r="I119" s="87" t="str">
        <f aca="false">IF($S119="","",IF(INDEX(对接源_01水果!$AF$4:$AF$1203,$S119)=0,"",INDEX(对接源_01水果!$AF$4:$AF$1203,$S119)))</f>
        <v/>
      </c>
      <c r="J119" s="88" t="str">
        <f aca="false">IF($S119="","",IF(INDEX(对接源_01水果!$K$4:$K$1203,$S119)=0,"",INDEX(对接源_01水果!$K$4:$K$1203,$S119)))</f>
        <v/>
      </c>
      <c r="K119" s="85" t="str">
        <f aca="false">IF($S119="","",IF(INDEX(对接源_01水果!$L$4:$L$1203,$S119)=0,"",INDEX(对接源_01水果!$L$4:$L$1203,$S119)))</f>
        <v/>
      </c>
      <c r="L119" s="89" t="str">
        <f aca="false">IF($S119="","",IF(INDEX(对接源_01水果!$M$4:$M$1203,$S119)=0,"",INDEX(对接源_01水果!$M$4:$M$1203,$S119)))</f>
        <v/>
      </c>
      <c r="S11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0" customFormat="false" ht="15.75" hidden="false" customHeight="true" outlineLevel="0" collapsed="false">
      <c r="A120" s="84" t="str">
        <f aca="false">IF($S120="","",IF(INDEX(对接源_01水果!$B$4:$B$1203,$S120)=0,"",INDEX(对接源_01水果!$B$4:$B$1203,$S120)))</f>
        <v/>
      </c>
      <c r="B120" s="85" t="str">
        <f aca="false">IF($S120="","",IF(INDEX(对接源_01水果!$E$4:$E$1203,$S120)=0,"",INDEX(对接源_01水果!$E$4:$E$1203,$S120)))</f>
        <v/>
      </c>
      <c r="C120" s="85" t="str">
        <f aca="false">IF($S120="","",IF(INDEX(对接源_01水果!$F$4:$F$1203,$S120)=0,"",INDEX(对接源_01水果!$F$4:$F$1203,$S120)))</f>
        <v/>
      </c>
      <c r="D120" s="85" t="str">
        <f aca="false">IF($S120="","",IF(INDEX(对接源_01水果!$G$4:$G$1203,$S120)=0,"",INDEX(对接源_01水果!$G$4:$G$1203,$S120)))</f>
        <v/>
      </c>
      <c r="E120" s="86" t="str">
        <f aca="false">IF($S120="","",IF(INDEX(对接源_01水果!$H$4:$H$1203,$S120)=0,"",INDEX(对接源_01水果!$H$4:$H$1203,$S120)))</f>
        <v/>
      </c>
      <c r="F120" s="85" t="str">
        <f aca="false">IF($S120="","",IF(INDEX(对接源_01水果!$I$4:$I$1203,$S120)=0,"",INDEX(对接源_01水果!$I$4:$I$1203,$S120)))</f>
        <v/>
      </c>
      <c r="G120" s="87" t="str">
        <f aca="false">IF($S120="","",IF(INDEX(对接源_01水果!$AD$4:$AD$1203,$S120)=0,"",INDEX(对接源_01水果!$AD$4:$AD$1203,$S120)))</f>
        <v/>
      </c>
      <c r="H120" s="87" t="str">
        <f aca="false">IF($S120="","",IF(INDEX(对接源_01水果!$AE$4:$AE$1203,$S120)=0,"",INDEX(对接源_01水果!$AE$4:$AE$1203,$S120)))</f>
        <v/>
      </c>
      <c r="I120" s="87" t="str">
        <f aca="false">IF($S120="","",IF(INDEX(对接源_01水果!$AF$4:$AF$1203,$S120)=0,"",INDEX(对接源_01水果!$AF$4:$AF$1203,$S120)))</f>
        <v/>
      </c>
      <c r="J120" s="88" t="str">
        <f aca="false">IF($S120="","",IF(INDEX(对接源_01水果!$K$4:$K$1203,$S120)=0,"",INDEX(对接源_01水果!$K$4:$K$1203,$S120)))</f>
        <v/>
      </c>
      <c r="K120" s="85" t="str">
        <f aca="false">IF($S120="","",IF(INDEX(对接源_01水果!$L$4:$L$1203,$S120)=0,"",INDEX(对接源_01水果!$L$4:$L$1203,$S120)))</f>
        <v/>
      </c>
      <c r="L120" s="89" t="str">
        <f aca="false">IF($S120="","",IF(INDEX(对接源_01水果!$M$4:$M$1203,$S120)=0,"",INDEX(对接源_01水果!$M$4:$M$1203,$S120)))</f>
        <v/>
      </c>
      <c r="S12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1" customFormat="false" ht="15.75" hidden="false" customHeight="true" outlineLevel="0" collapsed="false">
      <c r="A121" s="84" t="str">
        <f aca="false">IF($S121="","",IF(INDEX(对接源_01水果!$B$4:$B$1203,$S121)=0,"",INDEX(对接源_01水果!$B$4:$B$1203,$S121)))</f>
        <v/>
      </c>
      <c r="B121" s="85" t="str">
        <f aca="false">IF($S121="","",IF(INDEX(对接源_01水果!$E$4:$E$1203,$S121)=0,"",INDEX(对接源_01水果!$E$4:$E$1203,$S121)))</f>
        <v/>
      </c>
      <c r="C121" s="85" t="str">
        <f aca="false">IF($S121="","",IF(INDEX(对接源_01水果!$F$4:$F$1203,$S121)=0,"",INDEX(对接源_01水果!$F$4:$F$1203,$S121)))</f>
        <v/>
      </c>
      <c r="D121" s="85" t="str">
        <f aca="false">IF($S121="","",IF(INDEX(对接源_01水果!$G$4:$G$1203,$S121)=0,"",INDEX(对接源_01水果!$G$4:$G$1203,$S121)))</f>
        <v/>
      </c>
      <c r="E121" s="86" t="str">
        <f aca="false">IF($S121="","",IF(INDEX(对接源_01水果!$H$4:$H$1203,$S121)=0,"",INDEX(对接源_01水果!$H$4:$H$1203,$S121)))</f>
        <v/>
      </c>
      <c r="F121" s="85" t="str">
        <f aca="false">IF($S121="","",IF(INDEX(对接源_01水果!$I$4:$I$1203,$S121)=0,"",INDEX(对接源_01水果!$I$4:$I$1203,$S121)))</f>
        <v/>
      </c>
      <c r="G121" s="87" t="str">
        <f aca="false">IF($S121="","",IF(INDEX(对接源_01水果!$AD$4:$AD$1203,$S121)=0,"",INDEX(对接源_01水果!$AD$4:$AD$1203,$S121)))</f>
        <v/>
      </c>
      <c r="H121" s="87" t="str">
        <f aca="false">IF($S121="","",IF(INDEX(对接源_01水果!$AE$4:$AE$1203,$S121)=0,"",INDEX(对接源_01水果!$AE$4:$AE$1203,$S121)))</f>
        <v/>
      </c>
      <c r="I121" s="87" t="str">
        <f aca="false">IF($S121="","",IF(INDEX(对接源_01水果!$AF$4:$AF$1203,$S121)=0,"",INDEX(对接源_01水果!$AF$4:$AF$1203,$S121)))</f>
        <v/>
      </c>
      <c r="J121" s="88" t="str">
        <f aca="false">IF($S121="","",IF(INDEX(对接源_01水果!$K$4:$K$1203,$S121)=0,"",INDEX(对接源_01水果!$K$4:$K$1203,$S121)))</f>
        <v/>
      </c>
      <c r="K121" s="85" t="str">
        <f aca="false">IF($S121="","",IF(INDEX(对接源_01水果!$L$4:$L$1203,$S121)=0,"",INDEX(对接源_01水果!$L$4:$L$1203,$S121)))</f>
        <v/>
      </c>
      <c r="L121" s="89" t="str">
        <f aca="false">IF($S121="","",IF(INDEX(对接源_01水果!$M$4:$M$1203,$S121)=0,"",INDEX(对接源_01水果!$M$4:$M$1203,$S121)))</f>
        <v/>
      </c>
      <c r="S12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2" customFormat="false" ht="15.75" hidden="false" customHeight="true" outlineLevel="0" collapsed="false">
      <c r="A122" s="84" t="str">
        <f aca="false">IF($S122="","",IF(INDEX(对接源_01水果!$B$4:$B$1203,$S122)=0,"",INDEX(对接源_01水果!$B$4:$B$1203,$S122)))</f>
        <v/>
      </c>
      <c r="B122" s="85" t="str">
        <f aca="false">IF($S122="","",IF(INDEX(对接源_01水果!$E$4:$E$1203,$S122)=0,"",INDEX(对接源_01水果!$E$4:$E$1203,$S122)))</f>
        <v/>
      </c>
      <c r="C122" s="85" t="str">
        <f aca="false">IF($S122="","",IF(INDEX(对接源_01水果!$F$4:$F$1203,$S122)=0,"",INDEX(对接源_01水果!$F$4:$F$1203,$S122)))</f>
        <v/>
      </c>
      <c r="D122" s="85" t="str">
        <f aca="false">IF($S122="","",IF(INDEX(对接源_01水果!$G$4:$G$1203,$S122)=0,"",INDEX(对接源_01水果!$G$4:$G$1203,$S122)))</f>
        <v/>
      </c>
      <c r="E122" s="86" t="str">
        <f aca="false">IF($S122="","",IF(INDEX(对接源_01水果!$H$4:$H$1203,$S122)=0,"",INDEX(对接源_01水果!$H$4:$H$1203,$S122)))</f>
        <v/>
      </c>
      <c r="F122" s="85" t="str">
        <f aca="false">IF($S122="","",IF(INDEX(对接源_01水果!$I$4:$I$1203,$S122)=0,"",INDEX(对接源_01水果!$I$4:$I$1203,$S122)))</f>
        <v/>
      </c>
      <c r="G122" s="87" t="str">
        <f aca="false">IF($S122="","",IF(INDEX(对接源_01水果!$AD$4:$AD$1203,$S122)=0,"",INDEX(对接源_01水果!$AD$4:$AD$1203,$S122)))</f>
        <v/>
      </c>
      <c r="H122" s="87" t="str">
        <f aca="false">IF($S122="","",IF(INDEX(对接源_01水果!$AE$4:$AE$1203,$S122)=0,"",INDEX(对接源_01水果!$AE$4:$AE$1203,$S122)))</f>
        <v/>
      </c>
      <c r="I122" s="87" t="str">
        <f aca="false">IF($S122="","",IF(INDEX(对接源_01水果!$AF$4:$AF$1203,$S122)=0,"",INDEX(对接源_01水果!$AF$4:$AF$1203,$S122)))</f>
        <v/>
      </c>
      <c r="J122" s="88" t="str">
        <f aca="false">IF($S122="","",IF(INDEX(对接源_01水果!$K$4:$K$1203,$S122)=0,"",INDEX(对接源_01水果!$K$4:$K$1203,$S122)))</f>
        <v/>
      </c>
      <c r="K122" s="85" t="str">
        <f aca="false">IF($S122="","",IF(INDEX(对接源_01水果!$L$4:$L$1203,$S122)=0,"",INDEX(对接源_01水果!$L$4:$L$1203,$S122)))</f>
        <v/>
      </c>
      <c r="L122" s="89" t="str">
        <f aca="false">IF($S122="","",IF(INDEX(对接源_01水果!$M$4:$M$1203,$S122)=0,"",INDEX(对接源_01水果!$M$4:$M$1203,$S122)))</f>
        <v/>
      </c>
      <c r="S12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3" customFormat="false" ht="15.75" hidden="false" customHeight="true" outlineLevel="0" collapsed="false">
      <c r="A123" s="84" t="str">
        <f aca="false">IF($S123="","",IF(INDEX(对接源_01水果!$B$4:$B$1203,$S123)=0,"",INDEX(对接源_01水果!$B$4:$B$1203,$S123)))</f>
        <v/>
      </c>
      <c r="B123" s="85" t="str">
        <f aca="false">IF($S123="","",IF(INDEX(对接源_01水果!$E$4:$E$1203,$S123)=0,"",INDEX(对接源_01水果!$E$4:$E$1203,$S123)))</f>
        <v/>
      </c>
      <c r="C123" s="85" t="str">
        <f aca="false">IF($S123="","",IF(INDEX(对接源_01水果!$F$4:$F$1203,$S123)=0,"",INDEX(对接源_01水果!$F$4:$F$1203,$S123)))</f>
        <v/>
      </c>
      <c r="D123" s="85" t="str">
        <f aca="false">IF($S123="","",IF(INDEX(对接源_01水果!$G$4:$G$1203,$S123)=0,"",INDEX(对接源_01水果!$G$4:$G$1203,$S123)))</f>
        <v/>
      </c>
      <c r="E123" s="86" t="str">
        <f aca="false">IF($S123="","",IF(INDEX(对接源_01水果!$H$4:$H$1203,$S123)=0,"",INDEX(对接源_01水果!$H$4:$H$1203,$S123)))</f>
        <v/>
      </c>
      <c r="F123" s="85" t="str">
        <f aca="false">IF($S123="","",IF(INDEX(对接源_01水果!$I$4:$I$1203,$S123)=0,"",INDEX(对接源_01水果!$I$4:$I$1203,$S123)))</f>
        <v/>
      </c>
      <c r="G123" s="87" t="str">
        <f aca="false">IF($S123="","",IF(INDEX(对接源_01水果!$AD$4:$AD$1203,$S123)=0,"",INDEX(对接源_01水果!$AD$4:$AD$1203,$S123)))</f>
        <v/>
      </c>
      <c r="H123" s="87" t="str">
        <f aca="false">IF($S123="","",IF(INDEX(对接源_01水果!$AE$4:$AE$1203,$S123)=0,"",INDEX(对接源_01水果!$AE$4:$AE$1203,$S123)))</f>
        <v/>
      </c>
      <c r="I123" s="87" t="str">
        <f aca="false">IF($S123="","",IF(INDEX(对接源_01水果!$AF$4:$AF$1203,$S123)=0,"",INDEX(对接源_01水果!$AF$4:$AF$1203,$S123)))</f>
        <v/>
      </c>
      <c r="J123" s="88" t="str">
        <f aca="false">IF($S123="","",IF(INDEX(对接源_01水果!$K$4:$K$1203,$S123)=0,"",INDEX(对接源_01水果!$K$4:$K$1203,$S123)))</f>
        <v/>
      </c>
      <c r="K123" s="85" t="str">
        <f aca="false">IF($S123="","",IF(INDEX(对接源_01水果!$L$4:$L$1203,$S123)=0,"",INDEX(对接源_01水果!$L$4:$L$1203,$S123)))</f>
        <v/>
      </c>
      <c r="L123" s="89" t="str">
        <f aca="false">IF($S123="","",IF(INDEX(对接源_01水果!$M$4:$M$1203,$S123)=0,"",INDEX(对接源_01水果!$M$4:$M$1203,$S123)))</f>
        <v/>
      </c>
      <c r="S12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4" customFormat="false" ht="15.75" hidden="false" customHeight="true" outlineLevel="0" collapsed="false">
      <c r="A124" s="84" t="str">
        <f aca="false">IF($S124="","",IF(INDEX(对接源_01水果!$B$4:$B$1203,$S124)=0,"",INDEX(对接源_01水果!$B$4:$B$1203,$S124)))</f>
        <v/>
      </c>
      <c r="B124" s="85" t="str">
        <f aca="false">IF($S124="","",IF(INDEX(对接源_01水果!$E$4:$E$1203,$S124)=0,"",INDEX(对接源_01水果!$E$4:$E$1203,$S124)))</f>
        <v/>
      </c>
      <c r="C124" s="85" t="str">
        <f aca="false">IF($S124="","",IF(INDEX(对接源_01水果!$F$4:$F$1203,$S124)=0,"",INDEX(对接源_01水果!$F$4:$F$1203,$S124)))</f>
        <v/>
      </c>
      <c r="D124" s="85" t="str">
        <f aca="false">IF($S124="","",IF(INDEX(对接源_01水果!$G$4:$G$1203,$S124)=0,"",INDEX(对接源_01水果!$G$4:$G$1203,$S124)))</f>
        <v/>
      </c>
      <c r="E124" s="86" t="str">
        <f aca="false">IF($S124="","",IF(INDEX(对接源_01水果!$H$4:$H$1203,$S124)=0,"",INDEX(对接源_01水果!$H$4:$H$1203,$S124)))</f>
        <v/>
      </c>
      <c r="F124" s="85" t="str">
        <f aca="false">IF($S124="","",IF(INDEX(对接源_01水果!$I$4:$I$1203,$S124)=0,"",INDEX(对接源_01水果!$I$4:$I$1203,$S124)))</f>
        <v/>
      </c>
      <c r="G124" s="87" t="str">
        <f aca="false">IF($S124="","",IF(INDEX(对接源_01水果!$AD$4:$AD$1203,$S124)=0,"",INDEX(对接源_01水果!$AD$4:$AD$1203,$S124)))</f>
        <v/>
      </c>
      <c r="H124" s="87" t="str">
        <f aca="false">IF($S124="","",IF(INDEX(对接源_01水果!$AE$4:$AE$1203,$S124)=0,"",INDEX(对接源_01水果!$AE$4:$AE$1203,$S124)))</f>
        <v/>
      </c>
      <c r="I124" s="87" t="str">
        <f aca="false">IF($S124="","",IF(INDEX(对接源_01水果!$AF$4:$AF$1203,$S124)=0,"",INDEX(对接源_01水果!$AF$4:$AF$1203,$S124)))</f>
        <v/>
      </c>
      <c r="J124" s="88" t="str">
        <f aca="false">IF($S124="","",IF(INDEX(对接源_01水果!$K$4:$K$1203,$S124)=0,"",INDEX(对接源_01水果!$K$4:$K$1203,$S124)))</f>
        <v/>
      </c>
      <c r="K124" s="85" t="str">
        <f aca="false">IF($S124="","",IF(INDEX(对接源_01水果!$L$4:$L$1203,$S124)=0,"",INDEX(对接源_01水果!$L$4:$L$1203,$S124)))</f>
        <v/>
      </c>
      <c r="L124" s="89" t="str">
        <f aca="false">IF($S124="","",IF(INDEX(对接源_01水果!$M$4:$M$1203,$S124)=0,"",INDEX(对接源_01水果!$M$4:$M$1203,$S124)))</f>
        <v/>
      </c>
      <c r="S12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5" customFormat="false" ht="15.75" hidden="false" customHeight="true" outlineLevel="0" collapsed="false">
      <c r="A125" s="84" t="str">
        <f aca="false">IF($S125="","",IF(INDEX(对接源_01水果!$B$4:$B$1203,$S125)=0,"",INDEX(对接源_01水果!$B$4:$B$1203,$S125)))</f>
        <v/>
      </c>
      <c r="B125" s="85" t="str">
        <f aca="false">IF($S125="","",IF(INDEX(对接源_01水果!$E$4:$E$1203,$S125)=0,"",INDEX(对接源_01水果!$E$4:$E$1203,$S125)))</f>
        <v/>
      </c>
      <c r="C125" s="85" t="str">
        <f aca="false">IF($S125="","",IF(INDEX(对接源_01水果!$F$4:$F$1203,$S125)=0,"",INDEX(对接源_01水果!$F$4:$F$1203,$S125)))</f>
        <v/>
      </c>
      <c r="D125" s="85" t="str">
        <f aca="false">IF($S125="","",IF(INDEX(对接源_01水果!$G$4:$G$1203,$S125)=0,"",INDEX(对接源_01水果!$G$4:$G$1203,$S125)))</f>
        <v/>
      </c>
      <c r="E125" s="86" t="str">
        <f aca="false">IF($S125="","",IF(INDEX(对接源_01水果!$H$4:$H$1203,$S125)=0,"",INDEX(对接源_01水果!$H$4:$H$1203,$S125)))</f>
        <v/>
      </c>
      <c r="F125" s="85" t="str">
        <f aca="false">IF($S125="","",IF(INDEX(对接源_01水果!$I$4:$I$1203,$S125)=0,"",INDEX(对接源_01水果!$I$4:$I$1203,$S125)))</f>
        <v/>
      </c>
      <c r="G125" s="87" t="str">
        <f aca="false">IF($S125="","",IF(INDEX(对接源_01水果!$AD$4:$AD$1203,$S125)=0,"",INDEX(对接源_01水果!$AD$4:$AD$1203,$S125)))</f>
        <v/>
      </c>
      <c r="H125" s="87" t="str">
        <f aca="false">IF($S125="","",IF(INDEX(对接源_01水果!$AE$4:$AE$1203,$S125)=0,"",INDEX(对接源_01水果!$AE$4:$AE$1203,$S125)))</f>
        <v/>
      </c>
      <c r="I125" s="87" t="str">
        <f aca="false">IF($S125="","",IF(INDEX(对接源_01水果!$AF$4:$AF$1203,$S125)=0,"",INDEX(对接源_01水果!$AF$4:$AF$1203,$S125)))</f>
        <v/>
      </c>
      <c r="J125" s="88" t="str">
        <f aca="false">IF($S125="","",IF(INDEX(对接源_01水果!$K$4:$K$1203,$S125)=0,"",INDEX(对接源_01水果!$K$4:$K$1203,$S125)))</f>
        <v/>
      </c>
      <c r="K125" s="85" t="str">
        <f aca="false">IF($S125="","",IF(INDEX(对接源_01水果!$L$4:$L$1203,$S125)=0,"",INDEX(对接源_01水果!$L$4:$L$1203,$S125)))</f>
        <v/>
      </c>
      <c r="L125" s="89" t="str">
        <f aca="false">IF($S125="","",IF(INDEX(对接源_01水果!$M$4:$M$1203,$S125)=0,"",INDEX(对接源_01水果!$M$4:$M$1203,$S125)))</f>
        <v/>
      </c>
      <c r="S12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6" customFormat="false" ht="15.75" hidden="false" customHeight="true" outlineLevel="0" collapsed="false">
      <c r="A126" s="84" t="str">
        <f aca="false">IF($S126="","",IF(INDEX(对接源_01水果!$B$4:$B$1203,$S126)=0,"",INDEX(对接源_01水果!$B$4:$B$1203,$S126)))</f>
        <v/>
      </c>
      <c r="B126" s="85" t="str">
        <f aca="false">IF($S126="","",IF(INDEX(对接源_01水果!$E$4:$E$1203,$S126)=0,"",INDEX(对接源_01水果!$E$4:$E$1203,$S126)))</f>
        <v/>
      </c>
      <c r="C126" s="85" t="str">
        <f aca="false">IF($S126="","",IF(INDEX(对接源_01水果!$F$4:$F$1203,$S126)=0,"",INDEX(对接源_01水果!$F$4:$F$1203,$S126)))</f>
        <v/>
      </c>
      <c r="D126" s="85" t="str">
        <f aca="false">IF($S126="","",IF(INDEX(对接源_01水果!$G$4:$G$1203,$S126)=0,"",INDEX(对接源_01水果!$G$4:$G$1203,$S126)))</f>
        <v/>
      </c>
      <c r="E126" s="86" t="str">
        <f aca="false">IF($S126="","",IF(INDEX(对接源_01水果!$H$4:$H$1203,$S126)=0,"",INDEX(对接源_01水果!$H$4:$H$1203,$S126)))</f>
        <v/>
      </c>
      <c r="F126" s="85" t="str">
        <f aca="false">IF($S126="","",IF(INDEX(对接源_01水果!$I$4:$I$1203,$S126)=0,"",INDEX(对接源_01水果!$I$4:$I$1203,$S126)))</f>
        <v/>
      </c>
      <c r="G126" s="87" t="str">
        <f aca="false">IF($S126="","",IF(INDEX(对接源_01水果!$AD$4:$AD$1203,$S126)=0,"",INDEX(对接源_01水果!$AD$4:$AD$1203,$S126)))</f>
        <v/>
      </c>
      <c r="H126" s="87" t="str">
        <f aca="false">IF($S126="","",IF(INDEX(对接源_01水果!$AE$4:$AE$1203,$S126)=0,"",INDEX(对接源_01水果!$AE$4:$AE$1203,$S126)))</f>
        <v/>
      </c>
      <c r="I126" s="87" t="str">
        <f aca="false">IF($S126="","",IF(INDEX(对接源_01水果!$AF$4:$AF$1203,$S126)=0,"",INDEX(对接源_01水果!$AF$4:$AF$1203,$S126)))</f>
        <v/>
      </c>
      <c r="J126" s="88" t="str">
        <f aca="false">IF($S126="","",IF(INDEX(对接源_01水果!$K$4:$K$1203,$S126)=0,"",INDEX(对接源_01水果!$K$4:$K$1203,$S126)))</f>
        <v/>
      </c>
      <c r="K126" s="85" t="str">
        <f aca="false">IF($S126="","",IF(INDEX(对接源_01水果!$L$4:$L$1203,$S126)=0,"",INDEX(对接源_01水果!$L$4:$L$1203,$S126)))</f>
        <v/>
      </c>
      <c r="L126" s="89" t="str">
        <f aca="false">IF($S126="","",IF(INDEX(对接源_01水果!$M$4:$M$1203,$S126)=0,"",INDEX(对接源_01水果!$M$4:$M$1203,$S126)))</f>
        <v/>
      </c>
      <c r="S12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7" customFormat="false" ht="15.75" hidden="false" customHeight="true" outlineLevel="0" collapsed="false">
      <c r="A127" s="84" t="str">
        <f aca="false">IF($S127="","",IF(INDEX(对接源_01水果!$B$4:$B$1203,$S127)=0,"",INDEX(对接源_01水果!$B$4:$B$1203,$S127)))</f>
        <v/>
      </c>
      <c r="B127" s="85" t="str">
        <f aca="false">IF($S127="","",IF(INDEX(对接源_01水果!$E$4:$E$1203,$S127)=0,"",INDEX(对接源_01水果!$E$4:$E$1203,$S127)))</f>
        <v/>
      </c>
      <c r="C127" s="85" t="str">
        <f aca="false">IF($S127="","",IF(INDEX(对接源_01水果!$F$4:$F$1203,$S127)=0,"",INDEX(对接源_01水果!$F$4:$F$1203,$S127)))</f>
        <v/>
      </c>
      <c r="D127" s="85" t="str">
        <f aca="false">IF($S127="","",IF(INDEX(对接源_01水果!$G$4:$G$1203,$S127)=0,"",INDEX(对接源_01水果!$G$4:$G$1203,$S127)))</f>
        <v/>
      </c>
      <c r="E127" s="86" t="str">
        <f aca="false">IF($S127="","",IF(INDEX(对接源_01水果!$H$4:$H$1203,$S127)=0,"",INDEX(对接源_01水果!$H$4:$H$1203,$S127)))</f>
        <v/>
      </c>
      <c r="F127" s="85" t="str">
        <f aca="false">IF($S127="","",IF(INDEX(对接源_01水果!$I$4:$I$1203,$S127)=0,"",INDEX(对接源_01水果!$I$4:$I$1203,$S127)))</f>
        <v/>
      </c>
      <c r="G127" s="87" t="str">
        <f aca="false">IF($S127="","",IF(INDEX(对接源_01水果!$AD$4:$AD$1203,$S127)=0,"",INDEX(对接源_01水果!$AD$4:$AD$1203,$S127)))</f>
        <v/>
      </c>
      <c r="H127" s="87" t="str">
        <f aca="false">IF($S127="","",IF(INDEX(对接源_01水果!$AE$4:$AE$1203,$S127)=0,"",INDEX(对接源_01水果!$AE$4:$AE$1203,$S127)))</f>
        <v/>
      </c>
      <c r="I127" s="87" t="str">
        <f aca="false">IF($S127="","",IF(INDEX(对接源_01水果!$AF$4:$AF$1203,$S127)=0,"",INDEX(对接源_01水果!$AF$4:$AF$1203,$S127)))</f>
        <v/>
      </c>
      <c r="J127" s="88" t="str">
        <f aca="false">IF($S127="","",IF(INDEX(对接源_01水果!$K$4:$K$1203,$S127)=0,"",INDEX(对接源_01水果!$K$4:$K$1203,$S127)))</f>
        <v/>
      </c>
      <c r="K127" s="85" t="str">
        <f aca="false">IF($S127="","",IF(INDEX(对接源_01水果!$L$4:$L$1203,$S127)=0,"",INDEX(对接源_01水果!$L$4:$L$1203,$S127)))</f>
        <v/>
      </c>
      <c r="L127" s="89" t="str">
        <f aca="false">IF($S127="","",IF(INDEX(对接源_01水果!$M$4:$M$1203,$S127)=0,"",INDEX(对接源_01水果!$M$4:$M$1203,$S127)))</f>
        <v/>
      </c>
      <c r="S12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8" customFormat="false" ht="15.75" hidden="false" customHeight="true" outlineLevel="0" collapsed="false">
      <c r="A128" s="84" t="str">
        <f aca="false">IF($S128="","",IF(INDEX(对接源_01水果!$B$4:$B$1203,$S128)=0,"",INDEX(对接源_01水果!$B$4:$B$1203,$S128)))</f>
        <v/>
      </c>
      <c r="B128" s="85" t="str">
        <f aca="false">IF($S128="","",IF(INDEX(对接源_01水果!$E$4:$E$1203,$S128)=0,"",INDEX(对接源_01水果!$E$4:$E$1203,$S128)))</f>
        <v/>
      </c>
      <c r="C128" s="85" t="str">
        <f aca="false">IF($S128="","",IF(INDEX(对接源_01水果!$F$4:$F$1203,$S128)=0,"",INDEX(对接源_01水果!$F$4:$F$1203,$S128)))</f>
        <v/>
      </c>
      <c r="D128" s="85" t="str">
        <f aca="false">IF($S128="","",IF(INDEX(对接源_01水果!$G$4:$G$1203,$S128)=0,"",INDEX(对接源_01水果!$G$4:$G$1203,$S128)))</f>
        <v/>
      </c>
      <c r="E128" s="86" t="str">
        <f aca="false">IF($S128="","",IF(INDEX(对接源_01水果!$H$4:$H$1203,$S128)=0,"",INDEX(对接源_01水果!$H$4:$H$1203,$S128)))</f>
        <v/>
      </c>
      <c r="F128" s="85" t="str">
        <f aca="false">IF($S128="","",IF(INDEX(对接源_01水果!$I$4:$I$1203,$S128)=0,"",INDEX(对接源_01水果!$I$4:$I$1203,$S128)))</f>
        <v/>
      </c>
      <c r="G128" s="87" t="str">
        <f aca="false">IF($S128="","",IF(INDEX(对接源_01水果!$AD$4:$AD$1203,$S128)=0,"",INDEX(对接源_01水果!$AD$4:$AD$1203,$S128)))</f>
        <v/>
      </c>
      <c r="H128" s="87" t="str">
        <f aca="false">IF($S128="","",IF(INDEX(对接源_01水果!$AE$4:$AE$1203,$S128)=0,"",INDEX(对接源_01水果!$AE$4:$AE$1203,$S128)))</f>
        <v/>
      </c>
      <c r="I128" s="87" t="str">
        <f aca="false">IF($S128="","",IF(INDEX(对接源_01水果!$AF$4:$AF$1203,$S128)=0,"",INDEX(对接源_01水果!$AF$4:$AF$1203,$S128)))</f>
        <v/>
      </c>
      <c r="J128" s="88" t="str">
        <f aca="false">IF($S128="","",IF(INDEX(对接源_01水果!$K$4:$K$1203,$S128)=0,"",INDEX(对接源_01水果!$K$4:$K$1203,$S128)))</f>
        <v/>
      </c>
      <c r="K128" s="85" t="str">
        <f aca="false">IF($S128="","",IF(INDEX(对接源_01水果!$L$4:$L$1203,$S128)=0,"",INDEX(对接源_01水果!$L$4:$L$1203,$S128)))</f>
        <v/>
      </c>
      <c r="L128" s="89" t="str">
        <f aca="false">IF($S128="","",IF(INDEX(对接源_01水果!$M$4:$M$1203,$S128)=0,"",INDEX(对接源_01水果!$M$4:$M$1203,$S128)))</f>
        <v/>
      </c>
      <c r="S12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9" customFormat="false" ht="15.75" hidden="false" customHeight="true" outlineLevel="0" collapsed="false">
      <c r="A129" s="84" t="str">
        <f aca="false">IF($S129="","",IF(INDEX(对接源_01水果!$B$4:$B$1203,$S129)=0,"",INDEX(对接源_01水果!$B$4:$B$1203,$S129)))</f>
        <v/>
      </c>
      <c r="B129" s="85" t="str">
        <f aca="false">IF($S129="","",IF(INDEX(对接源_01水果!$E$4:$E$1203,$S129)=0,"",INDEX(对接源_01水果!$E$4:$E$1203,$S129)))</f>
        <v/>
      </c>
      <c r="C129" s="85" t="str">
        <f aca="false">IF($S129="","",IF(INDEX(对接源_01水果!$F$4:$F$1203,$S129)=0,"",INDEX(对接源_01水果!$F$4:$F$1203,$S129)))</f>
        <v/>
      </c>
      <c r="D129" s="85" t="str">
        <f aca="false">IF($S129="","",IF(INDEX(对接源_01水果!$G$4:$G$1203,$S129)=0,"",INDEX(对接源_01水果!$G$4:$G$1203,$S129)))</f>
        <v/>
      </c>
      <c r="E129" s="86" t="str">
        <f aca="false">IF($S129="","",IF(INDEX(对接源_01水果!$H$4:$H$1203,$S129)=0,"",INDEX(对接源_01水果!$H$4:$H$1203,$S129)))</f>
        <v/>
      </c>
      <c r="F129" s="85" t="str">
        <f aca="false">IF($S129="","",IF(INDEX(对接源_01水果!$I$4:$I$1203,$S129)=0,"",INDEX(对接源_01水果!$I$4:$I$1203,$S129)))</f>
        <v/>
      </c>
      <c r="G129" s="87" t="str">
        <f aca="false">IF($S129="","",IF(INDEX(对接源_01水果!$AD$4:$AD$1203,$S129)=0,"",INDEX(对接源_01水果!$AD$4:$AD$1203,$S129)))</f>
        <v/>
      </c>
      <c r="H129" s="87" t="str">
        <f aca="false">IF($S129="","",IF(INDEX(对接源_01水果!$AE$4:$AE$1203,$S129)=0,"",INDEX(对接源_01水果!$AE$4:$AE$1203,$S129)))</f>
        <v/>
      </c>
      <c r="I129" s="87" t="str">
        <f aca="false">IF($S129="","",IF(INDEX(对接源_01水果!$AF$4:$AF$1203,$S129)=0,"",INDEX(对接源_01水果!$AF$4:$AF$1203,$S129)))</f>
        <v/>
      </c>
      <c r="J129" s="88" t="str">
        <f aca="false">IF($S129="","",IF(INDEX(对接源_01水果!$K$4:$K$1203,$S129)=0,"",INDEX(对接源_01水果!$K$4:$K$1203,$S129)))</f>
        <v/>
      </c>
      <c r="K129" s="85" t="str">
        <f aca="false">IF($S129="","",IF(INDEX(对接源_01水果!$L$4:$L$1203,$S129)=0,"",INDEX(对接源_01水果!$L$4:$L$1203,$S129)))</f>
        <v/>
      </c>
      <c r="L129" s="89" t="str">
        <f aca="false">IF($S129="","",IF(INDEX(对接源_01水果!$M$4:$M$1203,$S129)=0,"",INDEX(对接源_01水果!$M$4:$M$1203,$S129)))</f>
        <v/>
      </c>
      <c r="S12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0" customFormat="false" ht="15.75" hidden="false" customHeight="true" outlineLevel="0" collapsed="false">
      <c r="A130" s="84" t="str">
        <f aca="false">IF($S130="","",IF(INDEX(对接源_01水果!$B$4:$B$1203,$S130)=0,"",INDEX(对接源_01水果!$B$4:$B$1203,$S130)))</f>
        <v/>
      </c>
      <c r="B130" s="85" t="str">
        <f aca="false">IF($S130="","",IF(INDEX(对接源_01水果!$E$4:$E$1203,$S130)=0,"",INDEX(对接源_01水果!$E$4:$E$1203,$S130)))</f>
        <v/>
      </c>
      <c r="C130" s="85" t="str">
        <f aca="false">IF($S130="","",IF(INDEX(对接源_01水果!$F$4:$F$1203,$S130)=0,"",INDEX(对接源_01水果!$F$4:$F$1203,$S130)))</f>
        <v/>
      </c>
      <c r="D130" s="85" t="str">
        <f aca="false">IF($S130="","",IF(INDEX(对接源_01水果!$G$4:$G$1203,$S130)=0,"",INDEX(对接源_01水果!$G$4:$G$1203,$S130)))</f>
        <v/>
      </c>
      <c r="E130" s="86" t="str">
        <f aca="false">IF($S130="","",IF(INDEX(对接源_01水果!$H$4:$H$1203,$S130)=0,"",INDEX(对接源_01水果!$H$4:$H$1203,$S130)))</f>
        <v/>
      </c>
      <c r="F130" s="85" t="str">
        <f aca="false">IF($S130="","",IF(INDEX(对接源_01水果!$I$4:$I$1203,$S130)=0,"",INDEX(对接源_01水果!$I$4:$I$1203,$S130)))</f>
        <v/>
      </c>
      <c r="G130" s="87" t="str">
        <f aca="false">IF($S130="","",IF(INDEX(对接源_01水果!$AD$4:$AD$1203,$S130)=0,"",INDEX(对接源_01水果!$AD$4:$AD$1203,$S130)))</f>
        <v/>
      </c>
      <c r="H130" s="87" t="str">
        <f aca="false">IF($S130="","",IF(INDEX(对接源_01水果!$AE$4:$AE$1203,$S130)=0,"",INDEX(对接源_01水果!$AE$4:$AE$1203,$S130)))</f>
        <v/>
      </c>
      <c r="I130" s="87" t="str">
        <f aca="false">IF($S130="","",IF(INDEX(对接源_01水果!$AF$4:$AF$1203,$S130)=0,"",INDEX(对接源_01水果!$AF$4:$AF$1203,$S130)))</f>
        <v/>
      </c>
      <c r="J130" s="88" t="str">
        <f aca="false">IF($S130="","",IF(INDEX(对接源_01水果!$K$4:$K$1203,$S130)=0,"",INDEX(对接源_01水果!$K$4:$K$1203,$S130)))</f>
        <v/>
      </c>
      <c r="K130" s="85" t="str">
        <f aca="false">IF($S130="","",IF(INDEX(对接源_01水果!$L$4:$L$1203,$S130)=0,"",INDEX(对接源_01水果!$L$4:$L$1203,$S130)))</f>
        <v/>
      </c>
      <c r="L130" s="89" t="str">
        <f aca="false">IF($S130="","",IF(INDEX(对接源_01水果!$M$4:$M$1203,$S130)=0,"",INDEX(对接源_01水果!$M$4:$M$1203,$S130)))</f>
        <v/>
      </c>
      <c r="S13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1" customFormat="false" ht="15.75" hidden="false" customHeight="true" outlineLevel="0" collapsed="false">
      <c r="A131" s="84" t="str">
        <f aca="false">IF($S131="","",IF(INDEX(对接源_01水果!$B$4:$B$1203,$S131)=0,"",INDEX(对接源_01水果!$B$4:$B$1203,$S131)))</f>
        <v/>
      </c>
      <c r="B131" s="85" t="str">
        <f aca="false">IF($S131="","",IF(INDEX(对接源_01水果!$E$4:$E$1203,$S131)=0,"",INDEX(对接源_01水果!$E$4:$E$1203,$S131)))</f>
        <v/>
      </c>
      <c r="C131" s="85" t="str">
        <f aca="false">IF($S131="","",IF(INDEX(对接源_01水果!$F$4:$F$1203,$S131)=0,"",INDEX(对接源_01水果!$F$4:$F$1203,$S131)))</f>
        <v/>
      </c>
      <c r="D131" s="85" t="str">
        <f aca="false">IF($S131="","",IF(INDEX(对接源_01水果!$G$4:$G$1203,$S131)=0,"",INDEX(对接源_01水果!$G$4:$G$1203,$S131)))</f>
        <v/>
      </c>
      <c r="E131" s="86" t="str">
        <f aca="false">IF($S131="","",IF(INDEX(对接源_01水果!$H$4:$H$1203,$S131)=0,"",INDEX(对接源_01水果!$H$4:$H$1203,$S131)))</f>
        <v/>
      </c>
      <c r="F131" s="85" t="str">
        <f aca="false">IF($S131="","",IF(INDEX(对接源_01水果!$I$4:$I$1203,$S131)=0,"",INDEX(对接源_01水果!$I$4:$I$1203,$S131)))</f>
        <v/>
      </c>
      <c r="G131" s="87" t="str">
        <f aca="false">IF($S131="","",IF(INDEX(对接源_01水果!$AD$4:$AD$1203,$S131)=0,"",INDEX(对接源_01水果!$AD$4:$AD$1203,$S131)))</f>
        <v/>
      </c>
      <c r="H131" s="87" t="str">
        <f aca="false">IF($S131="","",IF(INDEX(对接源_01水果!$AE$4:$AE$1203,$S131)=0,"",INDEX(对接源_01水果!$AE$4:$AE$1203,$S131)))</f>
        <v/>
      </c>
      <c r="I131" s="87" t="str">
        <f aca="false">IF($S131="","",IF(INDEX(对接源_01水果!$AF$4:$AF$1203,$S131)=0,"",INDEX(对接源_01水果!$AF$4:$AF$1203,$S131)))</f>
        <v/>
      </c>
      <c r="J131" s="88" t="str">
        <f aca="false">IF($S131="","",IF(INDEX(对接源_01水果!$K$4:$K$1203,$S131)=0,"",INDEX(对接源_01水果!$K$4:$K$1203,$S131)))</f>
        <v/>
      </c>
      <c r="K131" s="85" t="str">
        <f aca="false">IF($S131="","",IF(INDEX(对接源_01水果!$L$4:$L$1203,$S131)=0,"",INDEX(对接源_01水果!$L$4:$L$1203,$S131)))</f>
        <v/>
      </c>
      <c r="L131" s="89" t="str">
        <f aca="false">IF($S131="","",IF(INDEX(对接源_01水果!$M$4:$M$1203,$S131)=0,"",INDEX(对接源_01水果!$M$4:$M$1203,$S131)))</f>
        <v/>
      </c>
      <c r="S13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2" customFormat="false" ht="15.75" hidden="false" customHeight="true" outlineLevel="0" collapsed="false">
      <c r="A132" s="84" t="str">
        <f aca="false">IF($S132="","",IF(INDEX(对接源_01水果!$B$4:$B$1203,$S132)=0,"",INDEX(对接源_01水果!$B$4:$B$1203,$S132)))</f>
        <v/>
      </c>
      <c r="B132" s="85" t="str">
        <f aca="false">IF($S132="","",IF(INDEX(对接源_01水果!$E$4:$E$1203,$S132)=0,"",INDEX(对接源_01水果!$E$4:$E$1203,$S132)))</f>
        <v/>
      </c>
      <c r="C132" s="85" t="str">
        <f aca="false">IF($S132="","",IF(INDEX(对接源_01水果!$F$4:$F$1203,$S132)=0,"",INDEX(对接源_01水果!$F$4:$F$1203,$S132)))</f>
        <v/>
      </c>
      <c r="D132" s="85" t="str">
        <f aca="false">IF($S132="","",IF(INDEX(对接源_01水果!$G$4:$G$1203,$S132)=0,"",INDEX(对接源_01水果!$G$4:$G$1203,$S132)))</f>
        <v/>
      </c>
      <c r="E132" s="86" t="str">
        <f aca="false">IF($S132="","",IF(INDEX(对接源_01水果!$H$4:$H$1203,$S132)=0,"",INDEX(对接源_01水果!$H$4:$H$1203,$S132)))</f>
        <v/>
      </c>
      <c r="F132" s="85" t="str">
        <f aca="false">IF($S132="","",IF(INDEX(对接源_01水果!$I$4:$I$1203,$S132)=0,"",INDEX(对接源_01水果!$I$4:$I$1203,$S132)))</f>
        <v/>
      </c>
      <c r="G132" s="87" t="str">
        <f aca="false">IF($S132="","",IF(INDEX(对接源_01水果!$AD$4:$AD$1203,$S132)=0,"",INDEX(对接源_01水果!$AD$4:$AD$1203,$S132)))</f>
        <v/>
      </c>
      <c r="H132" s="87" t="str">
        <f aca="false">IF($S132="","",IF(INDEX(对接源_01水果!$AE$4:$AE$1203,$S132)=0,"",INDEX(对接源_01水果!$AE$4:$AE$1203,$S132)))</f>
        <v/>
      </c>
      <c r="I132" s="87" t="str">
        <f aca="false">IF($S132="","",IF(INDEX(对接源_01水果!$AF$4:$AF$1203,$S132)=0,"",INDEX(对接源_01水果!$AF$4:$AF$1203,$S132)))</f>
        <v/>
      </c>
      <c r="J132" s="88" t="str">
        <f aca="false">IF($S132="","",IF(INDEX(对接源_01水果!$K$4:$K$1203,$S132)=0,"",INDEX(对接源_01水果!$K$4:$K$1203,$S132)))</f>
        <v/>
      </c>
      <c r="K132" s="85" t="str">
        <f aca="false">IF($S132="","",IF(INDEX(对接源_01水果!$L$4:$L$1203,$S132)=0,"",INDEX(对接源_01水果!$L$4:$L$1203,$S132)))</f>
        <v/>
      </c>
      <c r="L132" s="89" t="str">
        <f aca="false">IF($S132="","",IF(INDEX(对接源_01水果!$M$4:$M$1203,$S132)=0,"",INDEX(对接源_01水果!$M$4:$M$1203,$S132)))</f>
        <v/>
      </c>
      <c r="S13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3" customFormat="false" ht="15.75" hidden="false" customHeight="true" outlineLevel="0" collapsed="false">
      <c r="A133" s="84" t="str">
        <f aca="false">IF($S133="","",IF(INDEX(对接源_01水果!$B$4:$B$1203,$S133)=0,"",INDEX(对接源_01水果!$B$4:$B$1203,$S133)))</f>
        <v/>
      </c>
      <c r="B133" s="85" t="str">
        <f aca="false">IF($S133="","",IF(INDEX(对接源_01水果!$E$4:$E$1203,$S133)=0,"",INDEX(对接源_01水果!$E$4:$E$1203,$S133)))</f>
        <v/>
      </c>
      <c r="C133" s="85" t="str">
        <f aca="false">IF($S133="","",IF(INDEX(对接源_01水果!$F$4:$F$1203,$S133)=0,"",INDEX(对接源_01水果!$F$4:$F$1203,$S133)))</f>
        <v/>
      </c>
      <c r="D133" s="85" t="str">
        <f aca="false">IF($S133="","",IF(INDEX(对接源_01水果!$G$4:$G$1203,$S133)=0,"",INDEX(对接源_01水果!$G$4:$G$1203,$S133)))</f>
        <v/>
      </c>
      <c r="E133" s="86" t="str">
        <f aca="false">IF($S133="","",IF(INDEX(对接源_01水果!$H$4:$H$1203,$S133)=0,"",INDEX(对接源_01水果!$H$4:$H$1203,$S133)))</f>
        <v/>
      </c>
      <c r="F133" s="85" t="str">
        <f aca="false">IF($S133="","",IF(INDEX(对接源_01水果!$I$4:$I$1203,$S133)=0,"",INDEX(对接源_01水果!$I$4:$I$1203,$S133)))</f>
        <v/>
      </c>
      <c r="G133" s="87" t="str">
        <f aca="false">IF($S133="","",IF(INDEX(对接源_01水果!$AD$4:$AD$1203,$S133)=0,"",INDEX(对接源_01水果!$AD$4:$AD$1203,$S133)))</f>
        <v/>
      </c>
      <c r="H133" s="87" t="str">
        <f aca="false">IF($S133="","",IF(INDEX(对接源_01水果!$AE$4:$AE$1203,$S133)=0,"",INDEX(对接源_01水果!$AE$4:$AE$1203,$S133)))</f>
        <v/>
      </c>
      <c r="I133" s="87" t="str">
        <f aca="false">IF($S133="","",IF(INDEX(对接源_01水果!$AF$4:$AF$1203,$S133)=0,"",INDEX(对接源_01水果!$AF$4:$AF$1203,$S133)))</f>
        <v/>
      </c>
      <c r="J133" s="88" t="str">
        <f aca="false">IF($S133="","",IF(INDEX(对接源_01水果!$K$4:$K$1203,$S133)=0,"",INDEX(对接源_01水果!$K$4:$K$1203,$S133)))</f>
        <v/>
      </c>
      <c r="K133" s="85" t="str">
        <f aca="false">IF($S133="","",IF(INDEX(对接源_01水果!$L$4:$L$1203,$S133)=0,"",INDEX(对接源_01水果!$L$4:$L$1203,$S133)))</f>
        <v/>
      </c>
      <c r="L133" s="89" t="str">
        <f aca="false">IF($S133="","",IF(INDEX(对接源_01水果!$M$4:$M$1203,$S133)=0,"",INDEX(对接源_01水果!$M$4:$M$1203,$S133)))</f>
        <v/>
      </c>
      <c r="S13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4" customFormat="false" ht="15.75" hidden="false" customHeight="true" outlineLevel="0" collapsed="false">
      <c r="A134" s="84" t="str">
        <f aca="false">IF($S134="","",IF(INDEX(对接源_01水果!$B$4:$B$1203,$S134)=0,"",INDEX(对接源_01水果!$B$4:$B$1203,$S134)))</f>
        <v/>
      </c>
      <c r="B134" s="85" t="str">
        <f aca="false">IF($S134="","",IF(INDEX(对接源_01水果!$E$4:$E$1203,$S134)=0,"",INDEX(对接源_01水果!$E$4:$E$1203,$S134)))</f>
        <v/>
      </c>
      <c r="C134" s="85" t="str">
        <f aca="false">IF($S134="","",IF(INDEX(对接源_01水果!$F$4:$F$1203,$S134)=0,"",INDEX(对接源_01水果!$F$4:$F$1203,$S134)))</f>
        <v/>
      </c>
      <c r="D134" s="85" t="str">
        <f aca="false">IF($S134="","",IF(INDEX(对接源_01水果!$G$4:$G$1203,$S134)=0,"",INDEX(对接源_01水果!$G$4:$G$1203,$S134)))</f>
        <v/>
      </c>
      <c r="E134" s="86" t="str">
        <f aca="false">IF($S134="","",IF(INDEX(对接源_01水果!$H$4:$H$1203,$S134)=0,"",INDEX(对接源_01水果!$H$4:$H$1203,$S134)))</f>
        <v/>
      </c>
      <c r="F134" s="85" t="str">
        <f aca="false">IF($S134="","",IF(INDEX(对接源_01水果!$I$4:$I$1203,$S134)=0,"",INDEX(对接源_01水果!$I$4:$I$1203,$S134)))</f>
        <v/>
      </c>
      <c r="G134" s="87" t="str">
        <f aca="false">IF($S134="","",IF(INDEX(对接源_01水果!$AD$4:$AD$1203,$S134)=0,"",INDEX(对接源_01水果!$AD$4:$AD$1203,$S134)))</f>
        <v/>
      </c>
      <c r="H134" s="87" t="str">
        <f aca="false">IF($S134="","",IF(INDEX(对接源_01水果!$AE$4:$AE$1203,$S134)=0,"",INDEX(对接源_01水果!$AE$4:$AE$1203,$S134)))</f>
        <v/>
      </c>
      <c r="I134" s="87" t="str">
        <f aca="false">IF($S134="","",IF(INDEX(对接源_01水果!$AF$4:$AF$1203,$S134)=0,"",INDEX(对接源_01水果!$AF$4:$AF$1203,$S134)))</f>
        <v/>
      </c>
      <c r="J134" s="88" t="str">
        <f aca="false">IF($S134="","",IF(INDEX(对接源_01水果!$K$4:$K$1203,$S134)=0,"",INDEX(对接源_01水果!$K$4:$K$1203,$S134)))</f>
        <v/>
      </c>
      <c r="K134" s="85" t="str">
        <f aca="false">IF($S134="","",IF(INDEX(对接源_01水果!$L$4:$L$1203,$S134)=0,"",INDEX(对接源_01水果!$L$4:$L$1203,$S134)))</f>
        <v/>
      </c>
      <c r="L134" s="89" t="str">
        <f aca="false">IF($S134="","",IF(INDEX(对接源_01水果!$M$4:$M$1203,$S134)=0,"",INDEX(对接源_01水果!$M$4:$M$1203,$S134)))</f>
        <v/>
      </c>
      <c r="S13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5" customFormat="false" ht="15.75" hidden="false" customHeight="true" outlineLevel="0" collapsed="false">
      <c r="A135" s="84" t="str">
        <f aca="false">IF($S135="","",IF(INDEX(对接源_01水果!$B$4:$B$1203,$S135)=0,"",INDEX(对接源_01水果!$B$4:$B$1203,$S135)))</f>
        <v/>
      </c>
      <c r="B135" s="85" t="str">
        <f aca="false">IF($S135="","",IF(INDEX(对接源_01水果!$E$4:$E$1203,$S135)=0,"",INDEX(对接源_01水果!$E$4:$E$1203,$S135)))</f>
        <v/>
      </c>
      <c r="C135" s="85" t="str">
        <f aca="false">IF($S135="","",IF(INDEX(对接源_01水果!$F$4:$F$1203,$S135)=0,"",INDEX(对接源_01水果!$F$4:$F$1203,$S135)))</f>
        <v/>
      </c>
      <c r="D135" s="85" t="str">
        <f aca="false">IF($S135="","",IF(INDEX(对接源_01水果!$G$4:$G$1203,$S135)=0,"",INDEX(对接源_01水果!$G$4:$G$1203,$S135)))</f>
        <v/>
      </c>
      <c r="E135" s="86" t="str">
        <f aca="false">IF($S135="","",IF(INDEX(对接源_01水果!$H$4:$H$1203,$S135)=0,"",INDEX(对接源_01水果!$H$4:$H$1203,$S135)))</f>
        <v/>
      </c>
      <c r="F135" s="85" t="str">
        <f aca="false">IF($S135="","",IF(INDEX(对接源_01水果!$I$4:$I$1203,$S135)=0,"",INDEX(对接源_01水果!$I$4:$I$1203,$S135)))</f>
        <v/>
      </c>
      <c r="G135" s="87" t="str">
        <f aca="false">IF($S135="","",IF(INDEX(对接源_01水果!$AD$4:$AD$1203,$S135)=0,"",INDEX(对接源_01水果!$AD$4:$AD$1203,$S135)))</f>
        <v/>
      </c>
      <c r="H135" s="87" t="str">
        <f aca="false">IF($S135="","",IF(INDEX(对接源_01水果!$AE$4:$AE$1203,$S135)=0,"",INDEX(对接源_01水果!$AE$4:$AE$1203,$S135)))</f>
        <v/>
      </c>
      <c r="I135" s="87" t="str">
        <f aca="false">IF($S135="","",IF(INDEX(对接源_01水果!$AF$4:$AF$1203,$S135)=0,"",INDEX(对接源_01水果!$AF$4:$AF$1203,$S135)))</f>
        <v/>
      </c>
      <c r="J135" s="88" t="str">
        <f aca="false">IF($S135="","",IF(INDEX(对接源_01水果!$K$4:$K$1203,$S135)=0,"",INDEX(对接源_01水果!$K$4:$K$1203,$S135)))</f>
        <v/>
      </c>
      <c r="K135" s="85" t="str">
        <f aca="false">IF($S135="","",IF(INDEX(对接源_01水果!$L$4:$L$1203,$S135)=0,"",INDEX(对接源_01水果!$L$4:$L$1203,$S135)))</f>
        <v/>
      </c>
      <c r="L135" s="89" t="str">
        <f aca="false">IF($S135="","",IF(INDEX(对接源_01水果!$M$4:$M$1203,$S135)=0,"",INDEX(对接源_01水果!$M$4:$M$1203,$S135)))</f>
        <v/>
      </c>
      <c r="S13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6" customFormat="false" ht="15.75" hidden="false" customHeight="true" outlineLevel="0" collapsed="false">
      <c r="A136" s="84" t="str">
        <f aca="false">IF($S136="","",IF(INDEX(对接源_01水果!$B$4:$B$1203,$S136)=0,"",INDEX(对接源_01水果!$B$4:$B$1203,$S136)))</f>
        <v/>
      </c>
      <c r="B136" s="85" t="str">
        <f aca="false">IF($S136="","",IF(INDEX(对接源_01水果!$E$4:$E$1203,$S136)=0,"",INDEX(对接源_01水果!$E$4:$E$1203,$S136)))</f>
        <v/>
      </c>
      <c r="C136" s="85" t="str">
        <f aca="false">IF($S136="","",IF(INDEX(对接源_01水果!$F$4:$F$1203,$S136)=0,"",INDEX(对接源_01水果!$F$4:$F$1203,$S136)))</f>
        <v/>
      </c>
      <c r="D136" s="85" t="str">
        <f aca="false">IF($S136="","",IF(INDEX(对接源_01水果!$G$4:$G$1203,$S136)=0,"",INDEX(对接源_01水果!$G$4:$G$1203,$S136)))</f>
        <v/>
      </c>
      <c r="E136" s="86" t="str">
        <f aca="false">IF($S136="","",IF(INDEX(对接源_01水果!$H$4:$H$1203,$S136)=0,"",INDEX(对接源_01水果!$H$4:$H$1203,$S136)))</f>
        <v/>
      </c>
      <c r="F136" s="85" t="str">
        <f aca="false">IF($S136="","",IF(INDEX(对接源_01水果!$I$4:$I$1203,$S136)=0,"",INDEX(对接源_01水果!$I$4:$I$1203,$S136)))</f>
        <v/>
      </c>
      <c r="G136" s="87" t="str">
        <f aca="false">IF($S136="","",IF(INDEX(对接源_01水果!$AD$4:$AD$1203,$S136)=0,"",INDEX(对接源_01水果!$AD$4:$AD$1203,$S136)))</f>
        <v/>
      </c>
      <c r="H136" s="87" t="str">
        <f aca="false">IF($S136="","",IF(INDEX(对接源_01水果!$AE$4:$AE$1203,$S136)=0,"",INDEX(对接源_01水果!$AE$4:$AE$1203,$S136)))</f>
        <v/>
      </c>
      <c r="I136" s="87" t="str">
        <f aca="false">IF($S136="","",IF(INDEX(对接源_01水果!$AF$4:$AF$1203,$S136)=0,"",INDEX(对接源_01水果!$AF$4:$AF$1203,$S136)))</f>
        <v/>
      </c>
      <c r="J136" s="88" t="str">
        <f aca="false">IF($S136="","",IF(INDEX(对接源_01水果!$K$4:$K$1203,$S136)=0,"",INDEX(对接源_01水果!$K$4:$K$1203,$S136)))</f>
        <v/>
      </c>
      <c r="K136" s="85" t="str">
        <f aca="false">IF($S136="","",IF(INDEX(对接源_01水果!$L$4:$L$1203,$S136)=0,"",INDEX(对接源_01水果!$L$4:$L$1203,$S136)))</f>
        <v/>
      </c>
      <c r="L136" s="89" t="str">
        <f aca="false">IF($S136="","",IF(INDEX(对接源_01水果!$M$4:$M$1203,$S136)=0,"",INDEX(对接源_01水果!$M$4:$M$1203,$S136)))</f>
        <v/>
      </c>
      <c r="S13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7" customFormat="false" ht="15.75" hidden="false" customHeight="true" outlineLevel="0" collapsed="false">
      <c r="A137" s="84" t="str">
        <f aca="false">IF($S137="","",IF(INDEX(对接源_01水果!$B$4:$B$1203,$S137)=0,"",INDEX(对接源_01水果!$B$4:$B$1203,$S137)))</f>
        <v/>
      </c>
      <c r="B137" s="85" t="str">
        <f aca="false">IF($S137="","",IF(INDEX(对接源_01水果!$E$4:$E$1203,$S137)=0,"",INDEX(对接源_01水果!$E$4:$E$1203,$S137)))</f>
        <v/>
      </c>
      <c r="C137" s="85" t="str">
        <f aca="false">IF($S137="","",IF(INDEX(对接源_01水果!$F$4:$F$1203,$S137)=0,"",INDEX(对接源_01水果!$F$4:$F$1203,$S137)))</f>
        <v/>
      </c>
      <c r="D137" s="85" t="str">
        <f aca="false">IF($S137="","",IF(INDEX(对接源_01水果!$G$4:$G$1203,$S137)=0,"",INDEX(对接源_01水果!$G$4:$G$1203,$S137)))</f>
        <v/>
      </c>
      <c r="E137" s="86" t="str">
        <f aca="false">IF($S137="","",IF(INDEX(对接源_01水果!$H$4:$H$1203,$S137)=0,"",INDEX(对接源_01水果!$H$4:$H$1203,$S137)))</f>
        <v/>
      </c>
      <c r="F137" s="85" t="str">
        <f aca="false">IF($S137="","",IF(INDEX(对接源_01水果!$I$4:$I$1203,$S137)=0,"",INDEX(对接源_01水果!$I$4:$I$1203,$S137)))</f>
        <v/>
      </c>
      <c r="G137" s="87" t="str">
        <f aca="false">IF($S137="","",IF(INDEX(对接源_01水果!$AD$4:$AD$1203,$S137)=0,"",INDEX(对接源_01水果!$AD$4:$AD$1203,$S137)))</f>
        <v/>
      </c>
      <c r="H137" s="87" t="str">
        <f aca="false">IF($S137="","",IF(INDEX(对接源_01水果!$AE$4:$AE$1203,$S137)=0,"",INDEX(对接源_01水果!$AE$4:$AE$1203,$S137)))</f>
        <v/>
      </c>
      <c r="I137" s="87" t="str">
        <f aca="false">IF($S137="","",IF(INDEX(对接源_01水果!$AF$4:$AF$1203,$S137)=0,"",INDEX(对接源_01水果!$AF$4:$AF$1203,$S137)))</f>
        <v/>
      </c>
      <c r="J137" s="88" t="str">
        <f aca="false">IF($S137="","",IF(INDEX(对接源_01水果!$K$4:$K$1203,$S137)=0,"",INDEX(对接源_01水果!$K$4:$K$1203,$S137)))</f>
        <v/>
      </c>
      <c r="K137" s="85" t="str">
        <f aca="false">IF($S137="","",IF(INDEX(对接源_01水果!$L$4:$L$1203,$S137)=0,"",INDEX(对接源_01水果!$L$4:$L$1203,$S137)))</f>
        <v/>
      </c>
      <c r="L137" s="89" t="str">
        <f aca="false">IF($S137="","",IF(INDEX(对接源_01水果!$M$4:$M$1203,$S137)=0,"",INDEX(对接源_01水果!$M$4:$M$1203,$S137)))</f>
        <v/>
      </c>
      <c r="S13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8" customFormat="false" ht="15.75" hidden="false" customHeight="true" outlineLevel="0" collapsed="false">
      <c r="A138" s="84" t="str">
        <f aca="false">IF($S138="","",IF(INDEX(对接源_01水果!$B$4:$B$1203,$S138)=0,"",INDEX(对接源_01水果!$B$4:$B$1203,$S138)))</f>
        <v/>
      </c>
      <c r="B138" s="85" t="str">
        <f aca="false">IF($S138="","",IF(INDEX(对接源_01水果!$E$4:$E$1203,$S138)=0,"",INDEX(对接源_01水果!$E$4:$E$1203,$S138)))</f>
        <v/>
      </c>
      <c r="C138" s="85" t="str">
        <f aca="false">IF($S138="","",IF(INDEX(对接源_01水果!$F$4:$F$1203,$S138)=0,"",INDEX(对接源_01水果!$F$4:$F$1203,$S138)))</f>
        <v/>
      </c>
      <c r="D138" s="85" t="str">
        <f aca="false">IF($S138="","",IF(INDEX(对接源_01水果!$G$4:$G$1203,$S138)=0,"",INDEX(对接源_01水果!$G$4:$G$1203,$S138)))</f>
        <v/>
      </c>
      <c r="E138" s="86" t="str">
        <f aca="false">IF($S138="","",IF(INDEX(对接源_01水果!$H$4:$H$1203,$S138)=0,"",INDEX(对接源_01水果!$H$4:$H$1203,$S138)))</f>
        <v/>
      </c>
      <c r="F138" s="85" t="str">
        <f aca="false">IF($S138="","",IF(INDEX(对接源_01水果!$I$4:$I$1203,$S138)=0,"",INDEX(对接源_01水果!$I$4:$I$1203,$S138)))</f>
        <v/>
      </c>
      <c r="G138" s="87" t="str">
        <f aca="false">IF($S138="","",IF(INDEX(对接源_01水果!$AD$4:$AD$1203,$S138)=0,"",INDEX(对接源_01水果!$AD$4:$AD$1203,$S138)))</f>
        <v/>
      </c>
      <c r="H138" s="87" t="str">
        <f aca="false">IF($S138="","",IF(INDEX(对接源_01水果!$AE$4:$AE$1203,$S138)=0,"",INDEX(对接源_01水果!$AE$4:$AE$1203,$S138)))</f>
        <v/>
      </c>
      <c r="I138" s="87" t="str">
        <f aca="false">IF($S138="","",IF(INDEX(对接源_01水果!$AF$4:$AF$1203,$S138)=0,"",INDEX(对接源_01水果!$AF$4:$AF$1203,$S138)))</f>
        <v/>
      </c>
      <c r="J138" s="88" t="str">
        <f aca="false">IF($S138="","",IF(INDEX(对接源_01水果!$K$4:$K$1203,$S138)=0,"",INDEX(对接源_01水果!$K$4:$K$1203,$S138)))</f>
        <v/>
      </c>
      <c r="K138" s="85" t="str">
        <f aca="false">IF($S138="","",IF(INDEX(对接源_01水果!$L$4:$L$1203,$S138)=0,"",INDEX(对接源_01水果!$L$4:$L$1203,$S138)))</f>
        <v/>
      </c>
      <c r="L138" s="89" t="str">
        <f aca="false">IF($S138="","",IF(INDEX(对接源_01水果!$M$4:$M$1203,$S138)=0,"",INDEX(对接源_01水果!$M$4:$M$1203,$S138)))</f>
        <v/>
      </c>
      <c r="S13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9" customFormat="false" ht="15.75" hidden="false" customHeight="true" outlineLevel="0" collapsed="false">
      <c r="A139" s="84" t="str">
        <f aca="false">IF($S139="","",IF(INDEX(对接源_01水果!$B$4:$B$1203,$S139)=0,"",INDEX(对接源_01水果!$B$4:$B$1203,$S139)))</f>
        <v/>
      </c>
      <c r="B139" s="85" t="str">
        <f aca="false">IF($S139="","",IF(INDEX(对接源_01水果!$E$4:$E$1203,$S139)=0,"",INDEX(对接源_01水果!$E$4:$E$1203,$S139)))</f>
        <v/>
      </c>
      <c r="C139" s="85" t="str">
        <f aca="false">IF($S139="","",IF(INDEX(对接源_01水果!$F$4:$F$1203,$S139)=0,"",INDEX(对接源_01水果!$F$4:$F$1203,$S139)))</f>
        <v/>
      </c>
      <c r="D139" s="85" t="str">
        <f aca="false">IF($S139="","",IF(INDEX(对接源_01水果!$G$4:$G$1203,$S139)=0,"",INDEX(对接源_01水果!$G$4:$G$1203,$S139)))</f>
        <v/>
      </c>
      <c r="E139" s="86" t="str">
        <f aca="false">IF($S139="","",IF(INDEX(对接源_01水果!$H$4:$H$1203,$S139)=0,"",INDEX(对接源_01水果!$H$4:$H$1203,$S139)))</f>
        <v/>
      </c>
      <c r="F139" s="85" t="str">
        <f aca="false">IF($S139="","",IF(INDEX(对接源_01水果!$I$4:$I$1203,$S139)=0,"",INDEX(对接源_01水果!$I$4:$I$1203,$S139)))</f>
        <v/>
      </c>
      <c r="G139" s="87" t="str">
        <f aca="false">IF($S139="","",IF(INDEX(对接源_01水果!$AD$4:$AD$1203,$S139)=0,"",INDEX(对接源_01水果!$AD$4:$AD$1203,$S139)))</f>
        <v/>
      </c>
      <c r="H139" s="87" t="str">
        <f aca="false">IF($S139="","",IF(INDEX(对接源_01水果!$AE$4:$AE$1203,$S139)=0,"",INDEX(对接源_01水果!$AE$4:$AE$1203,$S139)))</f>
        <v/>
      </c>
      <c r="I139" s="87" t="str">
        <f aca="false">IF($S139="","",IF(INDEX(对接源_01水果!$AF$4:$AF$1203,$S139)=0,"",INDEX(对接源_01水果!$AF$4:$AF$1203,$S139)))</f>
        <v/>
      </c>
      <c r="J139" s="88" t="str">
        <f aca="false">IF($S139="","",IF(INDEX(对接源_01水果!$K$4:$K$1203,$S139)=0,"",INDEX(对接源_01水果!$K$4:$K$1203,$S139)))</f>
        <v/>
      </c>
      <c r="K139" s="85" t="str">
        <f aca="false">IF($S139="","",IF(INDEX(对接源_01水果!$L$4:$L$1203,$S139)=0,"",INDEX(对接源_01水果!$L$4:$L$1203,$S139)))</f>
        <v/>
      </c>
      <c r="L139" s="89" t="str">
        <f aca="false">IF($S139="","",IF(INDEX(对接源_01水果!$M$4:$M$1203,$S139)=0,"",INDEX(对接源_01水果!$M$4:$M$1203,$S139)))</f>
        <v/>
      </c>
      <c r="S13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0" customFormat="false" ht="15.75" hidden="false" customHeight="true" outlineLevel="0" collapsed="false">
      <c r="A140" s="84" t="str">
        <f aca="false">IF($S140="","",IF(INDEX(对接源_01水果!$B$4:$B$1203,$S140)=0,"",INDEX(对接源_01水果!$B$4:$B$1203,$S140)))</f>
        <v/>
      </c>
      <c r="B140" s="85" t="str">
        <f aca="false">IF($S140="","",IF(INDEX(对接源_01水果!$E$4:$E$1203,$S140)=0,"",INDEX(对接源_01水果!$E$4:$E$1203,$S140)))</f>
        <v/>
      </c>
      <c r="C140" s="85" t="str">
        <f aca="false">IF($S140="","",IF(INDEX(对接源_01水果!$F$4:$F$1203,$S140)=0,"",INDEX(对接源_01水果!$F$4:$F$1203,$S140)))</f>
        <v/>
      </c>
      <c r="D140" s="85" t="str">
        <f aca="false">IF($S140="","",IF(INDEX(对接源_01水果!$G$4:$G$1203,$S140)=0,"",INDEX(对接源_01水果!$G$4:$G$1203,$S140)))</f>
        <v/>
      </c>
      <c r="E140" s="86" t="str">
        <f aca="false">IF($S140="","",IF(INDEX(对接源_01水果!$H$4:$H$1203,$S140)=0,"",INDEX(对接源_01水果!$H$4:$H$1203,$S140)))</f>
        <v/>
      </c>
      <c r="F140" s="85" t="str">
        <f aca="false">IF($S140="","",IF(INDEX(对接源_01水果!$I$4:$I$1203,$S140)=0,"",INDEX(对接源_01水果!$I$4:$I$1203,$S140)))</f>
        <v/>
      </c>
      <c r="G140" s="87" t="str">
        <f aca="false">IF($S140="","",IF(INDEX(对接源_01水果!$AD$4:$AD$1203,$S140)=0,"",INDEX(对接源_01水果!$AD$4:$AD$1203,$S140)))</f>
        <v/>
      </c>
      <c r="H140" s="87" t="str">
        <f aca="false">IF($S140="","",IF(INDEX(对接源_01水果!$AE$4:$AE$1203,$S140)=0,"",INDEX(对接源_01水果!$AE$4:$AE$1203,$S140)))</f>
        <v/>
      </c>
      <c r="I140" s="87" t="str">
        <f aca="false">IF($S140="","",IF(INDEX(对接源_01水果!$AF$4:$AF$1203,$S140)=0,"",INDEX(对接源_01水果!$AF$4:$AF$1203,$S140)))</f>
        <v/>
      </c>
      <c r="J140" s="88" t="str">
        <f aca="false">IF($S140="","",IF(INDEX(对接源_01水果!$K$4:$K$1203,$S140)=0,"",INDEX(对接源_01水果!$K$4:$K$1203,$S140)))</f>
        <v/>
      </c>
      <c r="K140" s="85" t="str">
        <f aca="false">IF($S140="","",IF(INDEX(对接源_01水果!$L$4:$L$1203,$S140)=0,"",INDEX(对接源_01水果!$L$4:$L$1203,$S140)))</f>
        <v/>
      </c>
      <c r="L140" s="89" t="str">
        <f aca="false">IF($S140="","",IF(INDEX(对接源_01水果!$M$4:$M$1203,$S140)=0,"",INDEX(对接源_01水果!$M$4:$M$1203,$S140)))</f>
        <v/>
      </c>
      <c r="S14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1" customFormat="false" ht="15.75" hidden="false" customHeight="true" outlineLevel="0" collapsed="false">
      <c r="A141" s="84" t="str">
        <f aca="false">IF($S141="","",IF(INDEX(对接源_01水果!$B$4:$B$1203,$S141)=0,"",INDEX(对接源_01水果!$B$4:$B$1203,$S141)))</f>
        <v/>
      </c>
      <c r="B141" s="85" t="str">
        <f aca="false">IF($S141="","",IF(INDEX(对接源_01水果!$E$4:$E$1203,$S141)=0,"",INDEX(对接源_01水果!$E$4:$E$1203,$S141)))</f>
        <v/>
      </c>
      <c r="C141" s="85" t="str">
        <f aca="false">IF($S141="","",IF(INDEX(对接源_01水果!$F$4:$F$1203,$S141)=0,"",INDEX(对接源_01水果!$F$4:$F$1203,$S141)))</f>
        <v/>
      </c>
      <c r="D141" s="85" t="str">
        <f aca="false">IF($S141="","",IF(INDEX(对接源_01水果!$G$4:$G$1203,$S141)=0,"",INDEX(对接源_01水果!$G$4:$G$1203,$S141)))</f>
        <v/>
      </c>
      <c r="E141" s="86" t="str">
        <f aca="false">IF($S141="","",IF(INDEX(对接源_01水果!$H$4:$H$1203,$S141)=0,"",INDEX(对接源_01水果!$H$4:$H$1203,$S141)))</f>
        <v/>
      </c>
      <c r="F141" s="85" t="str">
        <f aca="false">IF($S141="","",IF(INDEX(对接源_01水果!$I$4:$I$1203,$S141)=0,"",INDEX(对接源_01水果!$I$4:$I$1203,$S141)))</f>
        <v/>
      </c>
      <c r="G141" s="87" t="str">
        <f aca="false">IF($S141="","",IF(INDEX(对接源_01水果!$AD$4:$AD$1203,$S141)=0,"",INDEX(对接源_01水果!$AD$4:$AD$1203,$S141)))</f>
        <v/>
      </c>
      <c r="H141" s="87" t="str">
        <f aca="false">IF($S141="","",IF(INDEX(对接源_01水果!$AE$4:$AE$1203,$S141)=0,"",INDEX(对接源_01水果!$AE$4:$AE$1203,$S141)))</f>
        <v/>
      </c>
      <c r="I141" s="87" t="str">
        <f aca="false">IF($S141="","",IF(INDEX(对接源_01水果!$AF$4:$AF$1203,$S141)=0,"",INDEX(对接源_01水果!$AF$4:$AF$1203,$S141)))</f>
        <v/>
      </c>
      <c r="J141" s="88" t="str">
        <f aca="false">IF($S141="","",IF(INDEX(对接源_01水果!$K$4:$K$1203,$S141)=0,"",INDEX(对接源_01水果!$K$4:$K$1203,$S141)))</f>
        <v/>
      </c>
      <c r="K141" s="85" t="str">
        <f aca="false">IF($S141="","",IF(INDEX(对接源_01水果!$L$4:$L$1203,$S141)=0,"",INDEX(对接源_01水果!$L$4:$L$1203,$S141)))</f>
        <v/>
      </c>
      <c r="L141" s="89" t="str">
        <f aca="false">IF($S141="","",IF(INDEX(对接源_01水果!$M$4:$M$1203,$S141)=0,"",INDEX(对接源_01水果!$M$4:$M$1203,$S141)))</f>
        <v/>
      </c>
      <c r="S14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2" customFormat="false" ht="15.75" hidden="false" customHeight="true" outlineLevel="0" collapsed="false">
      <c r="A142" s="84" t="str">
        <f aca="false">IF($S142="","",IF(INDEX(对接源_01水果!$B$4:$B$1203,$S142)=0,"",INDEX(对接源_01水果!$B$4:$B$1203,$S142)))</f>
        <v/>
      </c>
      <c r="B142" s="85" t="str">
        <f aca="false">IF($S142="","",IF(INDEX(对接源_01水果!$E$4:$E$1203,$S142)=0,"",INDEX(对接源_01水果!$E$4:$E$1203,$S142)))</f>
        <v/>
      </c>
      <c r="C142" s="85" t="str">
        <f aca="false">IF($S142="","",IF(INDEX(对接源_01水果!$F$4:$F$1203,$S142)=0,"",INDEX(对接源_01水果!$F$4:$F$1203,$S142)))</f>
        <v/>
      </c>
      <c r="D142" s="85" t="str">
        <f aca="false">IF($S142="","",IF(INDEX(对接源_01水果!$G$4:$G$1203,$S142)=0,"",INDEX(对接源_01水果!$G$4:$G$1203,$S142)))</f>
        <v/>
      </c>
      <c r="E142" s="86" t="str">
        <f aca="false">IF($S142="","",IF(INDEX(对接源_01水果!$H$4:$H$1203,$S142)=0,"",INDEX(对接源_01水果!$H$4:$H$1203,$S142)))</f>
        <v/>
      </c>
      <c r="F142" s="85" t="str">
        <f aca="false">IF($S142="","",IF(INDEX(对接源_01水果!$I$4:$I$1203,$S142)=0,"",INDEX(对接源_01水果!$I$4:$I$1203,$S142)))</f>
        <v/>
      </c>
      <c r="G142" s="87" t="str">
        <f aca="false">IF($S142="","",IF(INDEX(对接源_01水果!$AD$4:$AD$1203,$S142)=0,"",INDEX(对接源_01水果!$AD$4:$AD$1203,$S142)))</f>
        <v/>
      </c>
      <c r="H142" s="87" t="str">
        <f aca="false">IF($S142="","",IF(INDEX(对接源_01水果!$AE$4:$AE$1203,$S142)=0,"",INDEX(对接源_01水果!$AE$4:$AE$1203,$S142)))</f>
        <v/>
      </c>
      <c r="I142" s="87" t="str">
        <f aca="false">IF($S142="","",IF(INDEX(对接源_01水果!$AF$4:$AF$1203,$S142)=0,"",INDEX(对接源_01水果!$AF$4:$AF$1203,$S142)))</f>
        <v/>
      </c>
      <c r="J142" s="88" t="str">
        <f aca="false">IF($S142="","",IF(INDEX(对接源_01水果!$K$4:$K$1203,$S142)=0,"",INDEX(对接源_01水果!$K$4:$K$1203,$S142)))</f>
        <v/>
      </c>
      <c r="K142" s="85" t="str">
        <f aca="false">IF($S142="","",IF(INDEX(对接源_01水果!$L$4:$L$1203,$S142)=0,"",INDEX(对接源_01水果!$L$4:$L$1203,$S142)))</f>
        <v/>
      </c>
      <c r="L142" s="89" t="str">
        <f aca="false">IF($S142="","",IF(INDEX(对接源_01水果!$M$4:$M$1203,$S142)=0,"",INDEX(对接源_01水果!$M$4:$M$1203,$S142)))</f>
        <v/>
      </c>
      <c r="S14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3" customFormat="false" ht="15.75" hidden="false" customHeight="true" outlineLevel="0" collapsed="false">
      <c r="A143" s="84" t="str">
        <f aca="false">IF($S143="","",IF(INDEX(对接源_01水果!$B$4:$B$1203,$S143)=0,"",INDEX(对接源_01水果!$B$4:$B$1203,$S143)))</f>
        <v/>
      </c>
      <c r="B143" s="85" t="str">
        <f aca="false">IF($S143="","",IF(INDEX(对接源_01水果!$E$4:$E$1203,$S143)=0,"",INDEX(对接源_01水果!$E$4:$E$1203,$S143)))</f>
        <v/>
      </c>
      <c r="C143" s="85" t="str">
        <f aca="false">IF($S143="","",IF(INDEX(对接源_01水果!$F$4:$F$1203,$S143)=0,"",INDEX(对接源_01水果!$F$4:$F$1203,$S143)))</f>
        <v/>
      </c>
      <c r="D143" s="85" t="str">
        <f aca="false">IF($S143="","",IF(INDEX(对接源_01水果!$G$4:$G$1203,$S143)=0,"",INDEX(对接源_01水果!$G$4:$G$1203,$S143)))</f>
        <v/>
      </c>
      <c r="E143" s="86" t="str">
        <f aca="false">IF($S143="","",IF(INDEX(对接源_01水果!$H$4:$H$1203,$S143)=0,"",INDEX(对接源_01水果!$H$4:$H$1203,$S143)))</f>
        <v/>
      </c>
      <c r="F143" s="85" t="str">
        <f aca="false">IF($S143="","",IF(INDEX(对接源_01水果!$I$4:$I$1203,$S143)=0,"",INDEX(对接源_01水果!$I$4:$I$1203,$S143)))</f>
        <v/>
      </c>
      <c r="G143" s="87" t="str">
        <f aca="false">IF($S143="","",IF(INDEX(对接源_01水果!$AD$4:$AD$1203,$S143)=0,"",INDEX(对接源_01水果!$AD$4:$AD$1203,$S143)))</f>
        <v/>
      </c>
      <c r="H143" s="87" t="str">
        <f aca="false">IF($S143="","",IF(INDEX(对接源_01水果!$AE$4:$AE$1203,$S143)=0,"",INDEX(对接源_01水果!$AE$4:$AE$1203,$S143)))</f>
        <v/>
      </c>
      <c r="I143" s="87" t="str">
        <f aca="false">IF($S143="","",IF(INDEX(对接源_01水果!$AF$4:$AF$1203,$S143)=0,"",INDEX(对接源_01水果!$AF$4:$AF$1203,$S143)))</f>
        <v/>
      </c>
      <c r="J143" s="88" t="str">
        <f aca="false">IF($S143="","",IF(INDEX(对接源_01水果!$K$4:$K$1203,$S143)=0,"",INDEX(对接源_01水果!$K$4:$K$1203,$S143)))</f>
        <v/>
      </c>
      <c r="K143" s="85" t="str">
        <f aca="false">IF($S143="","",IF(INDEX(对接源_01水果!$L$4:$L$1203,$S143)=0,"",INDEX(对接源_01水果!$L$4:$L$1203,$S143)))</f>
        <v/>
      </c>
      <c r="L143" s="89" t="str">
        <f aca="false">IF($S143="","",IF(INDEX(对接源_01水果!$M$4:$M$1203,$S143)=0,"",INDEX(对接源_01水果!$M$4:$M$1203,$S143)))</f>
        <v/>
      </c>
      <c r="S14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4" customFormat="false" ht="15.75" hidden="false" customHeight="true" outlineLevel="0" collapsed="false">
      <c r="A144" s="84" t="str">
        <f aca="false">IF($S144="","",IF(INDEX(对接源_01水果!$B$4:$B$1203,$S144)=0,"",INDEX(对接源_01水果!$B$4:$B$1203,$S144)))</f>
        <v/>
      </c>
      <c r="B144" s="85" t="str">
        <f aca="false">IF($S144="","",IF(INDEX(对接源_01水果!$E$4:$E$1203,$S144)=0,"",INDEX(对接源_01水果!$E$4:$E$1203,$S144)))</f>
        <v/>
      </c>
      <c r="C144" s="85" t="str">
        <f aca="false">IF($S144="","",IF(INDEX(对接源_01水果!$F$4:$F$1203,$S144)=0,"",INDEX(对接源_01水果!$F$4:$F$1203,$S144)))</f>
        <v/>
      </c>
      <c r="D144" s="85" t="str">
        <f aca="false">IF($S144="","",IF(INDEX(对接源_01水果!$G$4:$G$1203,$S144)=0,"",INDEX(对接源_01水果!$G$4:$G$1203,$S144)))</f>
        <v/>
      </c>
      <c r="E144" s="86" t="str">
        <f aca="false">IF($S144="","",IF(INDEX(对接源_01水果!$H$4:$H$1203,$S144)=0,"",INDEX(对接源_01水果!$H$4:$H$1203,$S144)))</f>
        <v/>
      </c>
      <c r="F144" s="85" t="str">
        <f aca="false">IF($S144="","",IF(INDEX(对接源_01水果!$I$4:$I$1203,$S144)=0,"",INDEX(对接源_01水果!$I$4:$I$1203,$S144)))</f>
        <v/>
      </c>
      <c r="G144" s="87" t="str">
        <f aca="false">IF($S144="","",IF(INDEX(对接源_01水果!$AD$4:$AD$1203,$S144)=0,"",INDEX(对接源_01水果!$AD$4:$AD$1203,$S144)))</f>
        <v/>
      </c>
      <c r="H144" s="87" t="str">
        <f aca="false">IF($S144="","",IF(INDEX(对接源_01水果!$AE$4:$AE$1203,$S144)=0,"",INDEX(对接源_01水果!$AE$4:$AE$1203,$S144)))</f>
        <v/>
      </c>
      <c r="I144" s="87" t="str">
        <f aca="false">IF($S144="","",IF(INDEX(对接源_01水果!$AF$4:$AF$1203,$S144)=0,"",INDEX(对接源_01水果!$AF$4:$AF$1203,$S144)))</f>
        <v/>
      </c>
      <c r="J144" s="88" t="str">
        <f aca="false">IF($S144="","",IF(INDEX(对接源_01水果!$K$4:$K$1203,$S144)=0,"",INDEX(对接源_01水果!$K$4:$K$1203,$S144)))</f>
        <v/>
      </c>
      <c r="K144" s="85" t="str">
        <f aca="false">IF($S144="","",IF(INDEX(对接源_01水果!$L$4:$L$1203,$S144)=0,"",INDEX(对接源_01水果!$L$4:$L$1203,$S144)))</f>
        <v/>
      </c>
      <c r="L144" s="89" t="str">
        <f aca="false">IF($S144="","",IF(INDEX(对接源_01水果!$M$4:$M$1203,$S144)=0,"",INDEX(对接源_01水果!$M$4:$M$1203,$S144)))</f>
        <v/>
      </c>
      <c r="S14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5" customFormat="false" ht="15.75" hidden="false" customHeight="true" outlineLevel="0" collapsed="false">
      <c r="A145" s="84" t="str">
        <f aca="false">IF($S145="","",IF(INDEX(对接源_01水果!$B$4:$B$1203,$S145)=0,"",INDEX(对接源_01水果!$B$4:$B$1203,$S145)))</f>
        <v/>
      </c>
      <c r="B145" s="85" t="str">
        <f aca="false">IF($S145="","",IF(INDEX(对接源_01水果!$E$4:$E$1203,$S145)=0,"",INDEX(对接源_01水果!$E$4:$E$1203,$S145)))</f>
        <v/>
      </c>
      <c r="C145" s="85" t="str">
        <f aca="false">IF($S145="","",IF(INDEX(对接源_01水果!$F$4:$F$1203,$S145)=0,"",INDEX(对接源_01水果!$F$4:$F$1203,$S145)))</f>
        <v/>
      </c>
      <c r="D145" s="85" t="str">
        <f aca="false">IF($S145="","",IF(INDEX(对接源_01水果!$G$4:$G$1203,$S145)=0,"",INDEX(对接源_01水果!$G$4:$G$1203,$S145)))</f>
        <v/>
      </c>
      <c r="E145" s="86" t="str">
        <f aca="false">IF($S145="","",IF(INDEX(对接源_01水果!$H$4:$H$1203,$S145)=0,"",INDEX(对接源_01水果!$H$4:$H$1203,$S145)))</f>
        <v/>
      </c>
      <c r="F145" s="85" t="str">
        <f aca="false">IF($S145="","",IF(INDEX(对接源_01水果!$I$4:$I$1203,$S145)=0,"",INDEX(对接源_01水果!$I$4:$I$1203,$S145)))</f>
        <v/>
      </c>
      <c r="G145" s="87" t="str">
        <f aca="false">IF($S145="","",IF(INDEX(对接源_01水果!$AD$4:$AD$1203,$S145)=0,"",INDEX(对接源_01水果!$AD$4:$AD$1203,$S145)))</f>
        <v/>
      </c>
      <c r="H145" s="87" t="str">
        <f aca="false">IF($S145="","",IF(INDEX(对接源_01水果!$AE$4:$AE$1203,$S145)=0,"",INDEX(对接源_01水果!$AE$4:$AE$1203,$S145)))</f>
        <v/>
      </c>
      <c r="I145" s="87" t="str">
        <f aca="false">IF($S145="","",IF(INDEX(对接源_01水果!$AF$4:$AF$1203,$S145)=0,"",INDEX(对接源_01水果!$AF$4:$AF$1203,$S145)))</f>
        <v/>
      </c>
      <c r="J145" s="88" t="str">
        <f aca="false">IF($S145="","",IF(INDEX(对接源_01水果!$K$4:$K$1203,$S145)=0,"",INDEX(对接源_01水果!$K$4:$K$1203,$S145)))</f>
        <v/>
      </c>
      <c r="K145" s="85" t="str">
        <f aca="false">IF($S145="","",IF(INDEX(对接源_01水果!$L$4:$L$1203,$S145)=0,"",INDEX(对接源_01水果!$L$4:$L$1203,$S145)))</f>
        <v/>
      </c>
      <c r="L145" s="89" t="str">
        <f aca="false">IF($S145="","",IF(INDEX(对接源_01水果!$M$4:$M$1203,$S145)=0,"",INDEX(对接源_01水果!$M$4:$M$1203,$S145)))</f>
        <v/>
      </c>
      <c r="S14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6" customFormat="false" ht="15.75" hidden="false" customHeight="true" outlineLevel="0" collapsed="false">
      <c r="A146" s="84" t="str">
        <f aca="false">IF($S146="","",IF(INDEX(对接源_01水果!$B$4:$B$1203,$S146)=0,"",INDEX(对接源_01水果!$B$4:$B$1203,$S146)))</f>
        <v/>
      </c>
      <c r="B146" s="85" t="str">
        <f aca="false">IF($S146="","",IF(INDEX(对接源_01水果!$E$4:$E$1203,$S146)=0,"",INDEX(对接源_01水果!$E$4:$E$1203,$S146)))</f>
        <v/>
      </c>
      <c r="C146" s="85" t="str">
        <f aca="false">IF($S146="","",IF(INDEX(对接源_01水果!$F$4:$F$1203,$S146)=0,"",INDEX(对接源_01水果!$F$4:$F$1203,$S146)))</f>
        <v/>
      </c>
      <c r="D146" s="85" t="str">
        <f aca="false">IF($S146="","",IF(INDEX(对接源_01水果!$G$4:$G$1203,$S146)=0,"",INDEX(对接源_01水果!$G$4:$G$1203,$S146)))</f>
        <v/>
      </c>
      <c r="E146" s="86" t="str">
        <f aca="false">IF($S146="","",IF(INDEX(对接源_01水果!$H$4:$H$1203,$S146)=0,"",INDEX(对接源_01水果!$H$4:$H$1203,$S146)))</f>
        <v/>
      </c>
      <c r="F146" s="85" t="str">
        <f aca="false">IF($S146="","",IF(INDEX(对接源_01水果!$I$4:$I$1203,$S146)=0,"",INDEX(对接源_01水果!$I$4:$I$1203,$S146)))</f>
        <v/>
      </c>
      <c r="G146" s="87" t="str">
        <f aca="false">IF($S146="","",IF(INDEX(对接源_01水果!$AD$4:$AD$1203,$S146)=0,"",INDEX(对接源_01水果!$AD$4:$AD$1203,$S146)))</f>
        <v/>
      </c>
      <c r="H146" s="87" t="str">
        <f aca="false">IF($S146="","",IF(INDEX(对接源_01水果!$AE$4:$AE$1203,$S146)=0,"",INDEX(对接源_01水果!$AE$4:$AE$1203,$S146)))</f>
        <v/>
      </c>
      <c r="I146" s="87" t="str">
        <f aca="false">IF($S146="","",IF(INDEX(对接源_01水果!$AF$4:$AF$1203,$S146)=0,"",INDEX(对接源_01水果!$AF$4:$AF$1203,$S146)))</f>
        <v/>
      </c>
      <c r="J146" s="88" t="str">
        <f aca="false">IF($S146="","",IF(INDEX(对接源_01水果!$K$4:$K$1203,$S146)=0,"",INDEX(对接源_01水果!$K$4:$K$1203,$S146)))</f>
        <v/>
      </c>
      <c r="K146" s="85" t="str">
        <f aca="false">IF($S146="","",IF(INDEX(对接源_01水果!$L$4:$L$1203,$S146)=0,"",INDEX(对接源_01水果!$L$4:$L$1203,$S146)))</f>
        <v/>
      </c>
      <c r="L146" s="89" t="str">
        <f aca="false">IF($S146="","",IF(INDEX(对接源_01水果!$M$4:$M$1203,$S146)=0,"",INDEX(对接源_01水果!$M$4:$M$1203,$S146)))</f>
        <v/>
      </c>
      <c r="S14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7" customFormat="false" ht="15.75" hidden="false" customHeight="true" outlineLevel="0" collapsed="false">
      <c r="A147" s="84" t="str">
        <f aca="false">IF($S147="","",IF(INDEX(对接源_01水果!$B$4:$B$1203,$S147)=0,"",INDEX(对接源_01水果!$B$4:$B$1203,$S147)))</f>
        <v/>
      </c>
      <c r="B147" s="85" t="str">
        <f aca="false">IF($S147="","",IF(INDEX(对接源_01水果!$E$4:$E$1203,$S147)=0,"",INDEX(对接源_01水果!$E$4:$E$1203,$S147)))</f>
        <v/>
      </c>
      <c r="C147" s="85" t="str">
        <f aca="false">IF($S147="","",IF(INDEX(对接源_01水果!$F$4:$F$1203,$S147)=0,"",INDEX(对接源_01水果!$F$4:$F$1203,$S147)))</f>
        <v/>
      </c>
      <c r="D147" s="85" t="str">
        <f aca="false">IF($S147="","",IF(INDEX(对接源_01水果!$G$4:$G$1203,$S147)=0,"",INDEX(对接源_01水果!$G$4:$G$1203,$S147)))</f>
        <v/>
      </c>
      <c r="E147" s="86" t="str">
        <f aca="false">IF($S147="","",IF(INDEX(对接源_01水果!$H$4:$H$1203,$S147)=0,"",INDEX(对接源_01水果!$H$4:$H$1203,$S147)))</f>
        <v/>
      </c>
      <c r="F147" s="85" t="str">
        <f aca="false">IF($S147="","",IF(INDEX(对接源_01水果!$I$4:$I$1203,$S147)=0,"",INDEX(对接源_01水果!$I$4:$I$1203,$S147)))</f>
        <v/>
      </c>
      <c r="G147" s="87" t="str">
        <f aca="false">IF($S147="","",IF(INDEX(对接源_01水果!$AD$4:$AD$1203,$S147)=0,"",INDEX(对接源_01水果!$AD$4:$AD$1203,$S147)))</f>
        <v/>
      </c>
      <c r="H147" s="87" t="str">
        <f aca="false">IF($S147="","",IF(INDEX(对接源_01水果!$AE$4:$AE$1203,$S147)=0,"",INDEX(对接源_01水果!$AE$4:$AE$1203,$S147)))</f>
        <v/>
      </c>
      <c r="I147" s="87" t="str">
        <f aca="false">IF($S147="","",IF(INDEX(对接源_01水果!$AF$4:$AF$1203,$S147)=0,"",INDEX(对接源_01水果!$AF$4:$AF$1203,$S147)))</f>
        <v/>
      </c>
      <c r="J147" s="88" t="str">
        <f aca="false">IF($S147="","",IF(INDEX(对接源_01水果!$K$4:$K$1203,$S147)=0,"",INDEX(对接源_01水果!$K$4:$K$1203,$S147)))</f>
        <v/>
      </c>
      <c r="K147" s="85" t="str">
        <f aca="false">IF($S147="","",IF(INDEX(对接源_01水果!$L$4:$L$1203,$S147)=0,"",INDEX(对接源_01水果!$L$4:$L$1203,$S147)))</f>
        <v/>
      </c>
      <c r="L147" s="89" t="str">
        <f aca="false">IF($S147="","",IF(INDEX(对接源_01水果!$M$4:$M$1203,$S147)=0,"",INDEX(对接源_01水果!$M$4:$M$1203,$S147)))</f>
        <v/>
      </c>
      <c r="S14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8" customFormat="false" ht="15.75" hidden="false" customHeight="true" outlineLevel="0" collapsed="false">
      <c r="A148" s="84" t="str">
        <f aca="false">IF($S148="","",IF(INDEX(对接源_01水果!$B$4:$B$1203,$S148)=0,"",INDEX(对接源_01水果!$B$4:$B$1203,$S148)))</f>
        <v/>
      </c>
      <c r="B148" s="85" t="str">
        <f aca="false">IF($S148="","",IF(INDEX(对接源_01水果!$E$4:$E$1203,$S148)=0,"",INDEX(对接源_01水果!$E$4:$E$1203,$S148)))</f>
        <v/>
      </c>
      <c r="C148" s="85" t="str">
        <f aca="false">IF($S148="","",IF(INDEX(对接源_01水果!$F$4:$F$1203,$S148)=0,"",INDEX(对接源_01水果!$F$4:$F$1203,$S148)))</f>
        <v/>
      </c>
      <c r="D148" s="85" t="str">
        <f aca="false">IF($S148="","",IF(INDEX(对接源_01水果!$G$4:$G$1203,$S148)=0,"",INDEX(对接源_01水果!$G$4:$G$1203,$S148)))</f>
        <v/>
      </c>
      <c r="E148" s="86" t="str">
        <f aca="false">IF($S148="","",IF(INDEX(对接源_01水果!$H$4:$H$1203,$S148)=0,"",INDEX(对接源_01水果!$H$4:$H$1203,$S148)))</f>
        <v/>
      </c>
      <c r="F148" s="85" t="str">
        <f aca="false">IF($S148="","",IF(INDEX(对接源_01水果!$I$4:$I$1203,$S148)=0,"",INDEX(对接源_01水果!$I$4:$I$1203,$S148)))</f>
        <v/>
      </c>
      <c r="G148" s="87" t="str">
        <f aca="false">IF($S148="","",IF(INDEX(对接源_01水果!$AD$4:$AD$1203,$S148)=0,"",INDEX(对接源_01水果!$AD$4:$AD$1203,$S148)))</f>
        <v/>
      </c>
      <c r="H148" s="87" t="str">
        <f aca="false">IF($S148="","",IF(INDEX(对接源_01水果!$AE$4:$AE$1203,$S148)=0,"",INDEX(对接源_01水果!$AE$4:$AE$1203,$S148)))</f>
        <v/>
      </c>
      <c r="I148" s="87" t="str">
        <f aca="false">IF($S148="","",IF(INDEX(对接源_01水果!$AF$4:$AF$1203,$S148)=0,"",INDEX(对接源_01水果!$AF$4:$AF$1203,$S148)))</f>
        <v/>
      </c>
      <c r="J148" s="88" t="str">
        <f aca="false">IF($S148="","",IF(INDEX(对接源_01水果!$K$4:$K$1203,$S148)=0,"",INDEX(对接源_01水果!$K$4:$K$1203,$S148)))</f>
        <v/>
      </c>
      <c r="K148" s="85" t="str">
        <f aca="false">IF($S148="","",IF(INDEX(对接源_01水果!$L$4:$L$1203,$S148)=0,"",INDEX(对接源_01水果!$L$4:$L$1203,$S148)))</f>
        <v/>
      </c>
      <c r="L148" s="89" t="str">
        <f aca="false">IF($S148="","",IF(INDEX(对接源_01水果!$M$4:$M$1203,$S148)=0,"",INDEX(对接源_01水果!$M$4:$M$1203,$S148)))</f>
        <v/>
      </c>
      <c r="S14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9" customFormat="false" ht="15.75" hidden="false" customHeight="true" outlineLevel="0" collapsed="false">
      <c r="A149" s="84" t="str">
        <f aca="false">IF($S149="","",IF(INDEX(对接源_01水果!$B$4:$B$1203,$S149)=0,"",INDEX(对接源_01水果!$B$4:$B$1203,$S149)))</f>
        <v/>
      </c>
      <c r="B149" s="85" t="str">
        <f aca="false">IF($S149="","",IF(INDEX(对接源_01水果!$E$4:$E$1203,$S149)=0,"",INDEX(对接源_01水果!$E$4:$E$1203,$S149)))</f>
        <v/>
      </c>
      <c r="C149" s="85" t="str">
        <f aca="false">IF($S149="","",IF(INDEX(对接源_01水果!$F$4:$F$1203,$S149)=0,"",INDEX(对接源_01水果!$F$4:$F$1203,$S149)))</f>
        <v/>
      </c>
      <c r="D149" s="85" t="str">
        <f aca="false">IF($S149="","",IF(INDEX(对接源_01水果!$G$4:$G$1203,$S149)=0,"",INDEX(对接源_01水果!$G$4:$G$1203,$S149)))</f>
        <v/>
      </c>
      <c r="E149" s="86" t="str">
        <f aca="false">IF($S149="","",IF(INDEX(对接源_01水果!$H$4:$H$1203,$S149)=0,"",INDEX(对接源_01水果!$H$4:$H$1203,$S149)))</f>
        <v/>
      </c>
      <c r="F149" s="85" t="str">
        <f aca="false">IF($S149="","",IF(INDEX(对接源_01水果!$I$4:$I$1203,$S149)=0,"",INDEX(对接源_01水果!$I$4:$I$1203,$S149)))</f>
        <v/>
      </c>
      <c r="G149" s="87" t="str">
        <f aca="false">IF($S149="","",IF(INDEX(对接源_01水果!$AD$4:$AD$1203,$S149)=0,"",INDEX(对接源_01水果!$AD$4:$AD$1203,$S149)))</f>
        <v/>
      </c>
      <c r="H149" s="87" t="str">
        <f aca="false">IF($S149="","",IF(INDEX(对接源_01水果!$AE$4:$AE$1203,$S149)=0,"",INDEX(对接源_01水果!$AE$4:$AE$1203,$S149)))</f>
        <v/>
      </c>
      <c r="I149" s="87" t="str">
        <f aca="false">IF($S149="","",IF(INDEX(对接源_01水果!$AF$4:$AF$1203,$S149)=0,"",INDEX(对接源_01水果!$AF$4:$AF$1203,$S149)))</f>
        <v/>
      </c>
      <c r="J149" s="88" t="str">
        <f aca="false">IF($S149="","",IF(INDEX(对接源_01水果!$K$4:$K$1203,$S149)=0,"",INDEX(对接源_01水果!$K$4:$K$1203,$S149)))</f>
        <v/>
      </c>
      <c r="K149" s="85" t="str">
        <f aca="false">IF($S149="","",IF(INDEX(对接源_01水果!$L$4:$L$1203,$S149)=0,"",INDEX(对接源_01水果!$L$4:$L$1203,$S149)))</f>
        <v/>
      </c>
      <c r="L149" s="89" t="str">
        <f aca="false">IF($S149="","",IF(INDEX(对接源_01水果!$M$4:$M$1203,$S149)=0,"",INDEX(对接源_01水果!$M$4:$M$1203,$S149)))</f>
        <v/>
      </c>
      <c r="S14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0" customFormat="false" ht="15.75" hidden="false" customHeight="true" outlineLevel="0" collapsed="false">
      <c r="A150" s="84" t="str">
        <f aca="false">IF($S150="","",IF(INDEX(对接源_01水果!$B$4:$B$1203,$S150)=0,"",INDEX(对接源_01水果!$B$4:$B$1203,$S150)))</f>
        <v/>
      </c>
      <c r="B150" s="85" t="str">
        <f aca="false">IF($S150="","",IF(INDEX(对接源_01水果!$E$4:$E$1203,$S150)=0,"",INDEX(对接源_01水果!$E$4:$E$1203,$S150)))</f>
        <v/>
      </c>
      <c r="C150" s="85" t="str">
        <f aca="false">IF($S150="","",IF(INDEX(对接源_01水果!$F$4:$F$1203,$S150)=0,"",INDEX(对接源_01水果!$F$4:$F$1203,$S150)))</f>
        <v/>
      </c>
      <c r="D150" s="85" t="str">
        <f aca="false">IF($S150="","",IF(INDEX(对接源_01水果!$G$4:$G$1203,$S150)=0,"",INDEX(对接源_01水果!$G$4:$G$1203,$S150)))</f>
        <v/>
      </c>
      <c r="E150" s="86" t="str">
        <f aca="false">IF($S150="","",IF(INDEX(对接源_01水果!$H$4:$H$1203,$S150)=0,"",INDEX(对接源_01水果!$H$4:$H$1203,$S150)))</f>
        <v/>
      </c>
      <c r="F150" s="85" t="str">
        <f aca="false">IF($S150="","",IF(INDEX(对接源_01水果!$I$4:$I$1203,$S150)=0,"",INDEX(对接源_01水果!$I$4:$I$1203,$S150)))</f>
        <v/>
      </c>
      <c r="G150" s="87" t="str">
        <f aca="false">IF($S150="","",IF(INDEX(对接源_01水果!$AD$4:$AD$1203,$S150)=0,"",INDEX(对接源_01水果!$AD$4:$AD$1203,$S150)))</f>
        <v/>
      </c>
      <c r="H150" s="87" t="str">
        <f aca="false">IF($S150="","",IF(INDEX(对接源_01水果!$AE$4:$AE$1203,$S150)=0,"",INDEX(对接源_01水果!$AE$4:$AE$1203,$S150)))</f>
        <v/>
      </c>
      <c r="I150" s="87" t="str">
        <f aca="false">IF($S150="","",IF(INDEX(对接源_01水果!$AF$4:$AF$1203,$S150)=0,"",INDEX(对接源_01水果!$AF$4:$AF$1203,$S150)))</f>
        <v/>
      </c>
      <c r="J150" s="88" t="str">
        <f aca="false">IF($S150="","",IF(INDEX(对接源_01水果!$K$4:$K$1203,$S150)=0,"",INDEX(对接源_01水果!$K$4:$K$1203,$S150)))</f>
        <v/>
      </c>
      <c r="K150" s="85" t="str">
        <f aca="false">IF($S150="","",IF(INDEX(对接源_01水果!$L$4:$L$1203,$S150)=0,"",INDEX(对接源_01水果!$L$4:$L$1203,$S150)))</f>
        <v/>
      </c>
      <c r="L150" s="89" t="str">
        <f aca="false">IF($S150="","",IF(INDEX(对接源_01水果!$M$4:$M$1203,$S150)=0,"",INDEX(对接源_01水果!$M$4:$M$1203,$S150)))</f>
        <v/>
      </c>
      <c r="S15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1" customFormat="false" ht="15.75" hidden="false" customHeight="true" outlineLevel="0" collapsed="false">
      <c r="A151" s="84" t="str">
        <f aca="false">IF($S151="","",IF(INDEX(对接源_01水果!$B$4:$B$1203,$S151)=0,"",INDEX(对接源_01水果!$B$4:$B$1203,$S151)))</f>
        <v/>
      </c>
      <c r="B151" s="85" t="str">
        <f aca="false">IF($S151="","",IF(INDEX(对接源_01水果!$E$4:$E$1203,$S151)=0,"",INDEX(对接源_01水果!$E$4:$E$1203,$S151)))</f>
        <v/>
      </c>
      <c r="C151" s="85" t="str">
        <f aca="false">IF($S151="","",IF(INDEX(对接源_01水果!$F$4:$F$1203,$S151)=0,"",INDEX(对接源_01水果!$F$4:$F$1203,$S151)))</f>
        <v/>
      </c>
      <c r="D151" s="85" t="str">
        <f aca="false">IF($S151="","",IF(INDEX(对接源_01水果!$G$4:$G$1203,$S151)=0,"",INDEX(对接源_01水果!$G$4:$G$1203,$S151)))</f>
        <v/>
      </c>
      <c r="E151" s="86" t="str">
        <f aca="false">IF($S151="","",IF(INDEX(对接源_01水果!$H$4:$H$1203,$S151)=0,"",INDEX(对接源_01水果!$H$4:$H$1203,$S151)))</f>
        <v/>
      </c>
      <c r="F151" s="85" t="str">
        <f aca="false">IF($S151="","",IF(INDEX(对接源_01水果!$I$4:$I$1203,$S151)=0,"",INDEX(对接源_01水果!$I$4:$I$1203,$S151)))</f>
        <v/>
      </c>
      <c r="G151" s="87" t="str">
        <f aca="false">IF($S151="","",IF(INDEX(对接源_01水果!$AD$4:$AD$1203,$S151)=0,"",INDEX(对接源_01水果!$AD$4:$AD$1203,$S151)))</f>
        <v/>
      </c>
      <c r="H151" s="87" t="str">
        <f aca="false">IF($S151="","",IF(INDEX(对接源_01水果!$AE$4:$AE$1203,$S151)=0,"",INDEX(对接源_01水果!$AE$4:$AE$1203,$S151)))</f>
        <v/>
      </c>
      <c r="I151" s="87" t="str">
        <f aca="false">IF($S151="","",IF(INDEX(对接源_01水果!$AF$4:$AF$1203,$S151)=0,"",INDEX(对接源_01水果!$AF$4:$AF$1203,$S151)))</f>
        <v/>
      </c>
      <c r="J151" s="88" t="str">
        <f aca="false">IF($S151="","",IF(INDEX(对接源_01水果!$K$4:$K$1203,$S151)=0,"",INDEX(对接源_01水果!$K$4:$K$1203,$S151)))</f>
        <v/>
      </c>
      <c r="K151" s="85" t="str">
        <f aca="false">IF($S151="","",IF(INDEX(对接源_01水果!$L$4:$L$1203,$S151)=0,"",INDEX(对接源_01水果!$L$4:$L$1203,$S151)))</f>
        <v/>
      </c>
      <c r="L151" s="89" t="str">
        <f aca="false">IF($S151="","",IF(INDEX(对接源_01水果!$M$4:$M$1203,$S151)=0,"",INDEX(对接源_01水果!$M$4:$M$1203,$S151)))</f>
        <v/>
      </c>
      <c r="S15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2" customFormat="false" ht="15.75" hidden="false" customHeight="true" outlineLevel="0" collapsed="false">
      <c r="A152" s="84" t="str">
        <f aca="false">IF($S152="","",IF(INDEX(对接源_01水果!$B$4:$B$1203,$S152)=0,"",INDEX(对接源_01水果!$B$4:$B$1203,$S152)))</f>
        <v/>
      </c>
      <c r="B152" s="85" t="str">
        <f aca="false">IF($S152="","",IF(INDEX(对接源_01水果!$E$4:$E$1203,$S152)=0,"",INDEX(对接源_01水果!$E$4:$E$1203,$S152)))</f>
        <v/>
      </c>
      <c r="C152" s="85" t="str">
        <f aca="false">IF($S152="","",IF(INDEX(对接源_01水果!$F$4:$F$1203,$S152)=0,"",INDEX(对接源_01水果!$F$4:$F$1203,$S152)))</f>
        <v/>
      </c>
      <c r="D152" s="85" t="str">
        <f aca="false">IF($S152="","",IF(INDEX(对接源_01水果!$G$4:$G$1203,$S152)=0,"",INDEX(对接源_01水果!$G$4:$G$1203,$S152)))</f>
        <v/>
      </c>
      <c r="E152" s="86" t="str">
        <f aca="false">IF($S152="","",IF(INDEX(对接源_01水果!$H$4:$H$1203,$S152)=0,"",INDEX(对接源_01水果!$H$4:$H$1203,$S152)))</f>
        <v/>
      </c>
      <c r="F152" s="85" t="str">
        <f aca="false">IF($S152="","",IF(INDEX(对接源_01水果!$I$4:$I$1203,$S152)=0,"",INDEX(对接源_01水果!$I$4:$I$1203,$S152)))</f>
        <v/>
      </c>
      <c r="G152" s="87" t="str">
        <f aca="false">IF($S152="","",IF(INDEX(对接源_01水果!$AD$4:$AD$1203,$S152)=0,"",INDEX(对接源_01水果!$AD$4:$AD$1203,$S152)))</f>
        <v/>
      </c>
      <c r="H152" s="87" t="str">
        <f aca="false">IF($S152="","",IF(INDEX(对接源_01水果!$AE$4:$AE$1203,$S152)=0,"",INDEX(对接源_01水果!$AE$4:$AE$1203,$S152)))</f>
        <v/>
      </c>
      <c r="I152" s="87" t="str">
        <f aca="false">IF($S152="","",IF(INDEX(对接源_01水果!$AF$4:$AF$1203,$S152)=0,"",INDEX(对接源_01水果!$AF$4:$AF$1203,$S152)))</f>
        <v/>
      </c>
      <c r="J152" s="88" t="str">
        <f aca="false">IF($S152="","",IF(INDEX(对接源_01水果!$K$4:$K$1203,$S152)=0,"",INDEX(对接源_01水果!$K$4:$K$1203,$S152)))</f>
        <v/>
      </c>
      <c r="K152" s="85" t="str">
        <f aca="false">IF($S152="","",IF(INDEX(对接源_01水果!$L$4:$L$1203,$S152)=0,"",INDEX(对接源_01水果!$L$4:$L$1203,$S152)))</f>
        <v/>
      </c>
      <c r="L152" s="89" t="str">
        <f aca="false">IF($S152="","",IF(INDEX(对接源_01水果!$M$4:$M$1203,$S152)=0,"",INDEX(对接源_01水果!$M$4:$M$1203,$S152)))</f>
        <v/>
      </c>
      <c r="S15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3" customFormat="false" ht="15.75" hidden="false" customHeight="true" outlineLevel="0" collapsed="false">
      <c r="A153" s="84" t="str">
        <f aca="false">IF($S153="","",IF(INDEX(对接源_01水果!$B$4:$B$1203,$S153)=0,"",INDEX(对接源_01水果!$B$4:$B$1203,$S153)))</f>
        <v/>
      </c>
      <c r="B153" s="85" t="str">
        <f aca="false">IF($S153="","",IF(INDEX(对接源_01水果!$E$4:$E$1203,$S153)=0,"",INDEX(对接源_01水果!$E$4:$E$1203,$S153)))</f>
        <v/>
      </c>
      <c r="C153" s="85" t="str">
        <f aca="false">IF($S153="","",IF(INDEX(对接源_01水果!$F$4:$F$1203,$S153)=0,"",INDEX(对接源_01水果!$F$4:$F$1203,$S153)))</f>
        <v/>
      </c>
      <c r="D153" s="85" t="str">
        <f aca="false">IF($S153="","",IF(INDEX(对接源_01水果!$G$4:$G$1203,$S153)=0,"",INDEX(对接源_01水果!$G$4:$G$1203,$S153)))</f>
        <v/>
      </c>
      <c r="E153" s="86" t="str">
        <f aca="false">IF($S153="","",IF(INDEX(对接源_01水果!$H$4:$H$1203,$S153)=0,"",INDEX(对接源_01水果!$H$4:$H$1203,$S153)))</f>
        <v/>
      </c>
      <c r="F153" s="85" t="str">
        <f aca="false">IF($S153="","",IF(INDEX(对接源_01水果!$I$4:$I$1203,$S153)=0,"",INDEX(对接源_01水果!$I$4:$I$1203,$S153)))</f>
        <v/>
      </c>
      <c r="G153" s="87" t="str">
        <f aca="false">IF($S153="","",IF(INDEX(对接源_01水果!$AD$4:$AD$1203,$S153)=0,"",INDEX(对接源_01水果!$AD$4:$AD$1203,$S153)))</f>
        <v/>
      </c>
      <c r="H153" s="87" t="str">
        <f aca="false">IF($S153="","",IF(INDEX(对接源_01水果!$AE$4:$AE$1203,$S153)=0,"",INDEX(对接源_01水果!$AE$4:$AE$1203,$S153)))</f>
        <v/>
      </c>
      <c r="I153" s="87" t="str">
        <f aca="false">IF($S153="","",IF(INDEX(对接源_01水果!$AF$4:$AF$1203,$S153)=0,"",INDEX(对接源_01水果!$AF$4:$AF$1203,$S153)))</f>
        <v/>
      </c>
      <c r="J153" s="88" t="str">
        <f aca="false">IF($S153="","",IF(INDEX(对接源_01水果!$K$4:$K$1203,$S153)=0,"",INDEX(对接源_01水果!$K$4:$K$1203,$S153)))</f>
        <v/>
      </c>
      <c r="K153" s="85" t="str">
        <f aca="false">IF($S153="","",IF(INDEX(对接源_01水果!$L$4:$L$1203,$S153)=0,"",INDEX(对接源_01水果!$L$4:$L$1203,$S153)))</f>
        <v/>
      </c>
      <c r="L153" s="89" t="str">
        <f aca="false">IF($S153="","",IF(INDEX(对接源_01水果!$M$4:$M$1203,$S153)=0,"",INDEX(对接源_01水果!$M$4:$M$1203,$S153)))</f>
        <v/>
      </c>
      <c r="S15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4" customFormat="false" ht="15.75" hidden="false" customHeight="true" outlineLevel="0" collapsed="false">
      <c r="A154" s="84" t="str">
        <f aca="false">IF($S154="","",IF(INDEX(对接源_01水果!$B$4:$B$1203,$S154)=0,"",INDEX(对接源_01水果!$B$4:$B$1203,$S154)))</f>
        <v/>
      </c>
      <c r="B154" s="85" t="str">
        <f aca="false">IF($S154="","",IF(INDEX(对接源_01水果!$E$4:$E$1203,$S154)=0,"",INDEX(对接源_01水果!$E$4:$E$1203,$S154)))</f>
        <v/>
      </c>
      <c r="C154" s="85" t="str">
        <f aca="false">IF($S154="","",IF(INDEX(对接源_01水果!$F$4:$F$1203,$S154)=0,"",INDEX(对接源_01水果!$F$4:$F$1203,$S154)))</f>
        <v/>
      </c>
      <c r="D154" s="85" t="str">
        <f aca="false">IF($S154="","",IF(INDEX(对接源_01水果!$G$4:$G$1203,$S154)=0,"",INDEX(对接源_01水果!$G$4:$G$1203,$S154)))</f>
        <v/>
      </c>
      <c r="E154" s="86" t="str">
        <f aca="false">IF($S154="","",IF(INDEX(对接源_01水果!$H$4:$H$1203,$S154)=0,"",INDEX(对接源_01水果!$H$4:$H$1203,$S154)))</f>
        <v/>
      </c>
      <c r="F154" s="85" t="str">
        <f aca="false">IF($S154="","",IF(INDEX(对接源_01水果!$I$4:$I$1203,$S154)=0,"",INDEX(对接源_01水果!$I$4:$I$1203,$S154)))</f>
        <v/>
      </c>
      <c r="G154" s="87" t="str">
        <f aca="false">IF($S154="","",IF(INDEX(对接源_01水果!$AD$4:$AD$1203,$S154)=0,"",INDEX(对接源_01水果!$AD$4:$AD$1203,$S154)))</f>
        <v/>
      </c>
      <c r="H154" s="87" t="str">
        <f aca="false">IF($S154="","",IF(INDEX(对接源_01水果!$AE$4:$AE$1203,$S154)=0,"",INDEX(对接源_01水果!$AE$4:$AE$1203,$S154)))</f>
        <v/>
      </c>
      <c r="I154" s="87" t="str">
        <f aca="false">IF($S154="","",IF(INDEX(对接源_01水果!$AF$4:$AF$1203,$S154)=0,"",INDEX(对接源_01水果!$AF$4:$AF$1203,$S154)))</f>
        <v/>
      </c>
      <c r="J154" s="88" t="str">
        <f aca="false">IF($S154="","",IF(INDEX(对接源_01水果!$K$4:$K$1203,$S154)=0,"",INDEX(对接源_01水果!$K$4:$K$1203,$S154)))</f>
        <v/>
      </c>
      <c r="K154" s="85" t="str">
        <f aca="false">IF($S154="","",IF(INDEX(对接源_01水果!$L$4:$L$1203,$S154)=0,"",INDEX(对接源_01水果!$L$4:$L$1203,$S154)))</f>
        <v/>
      </c>
      <c r="L154" s="89" t="str">
        <f aca="false">IF($S154="","",IF(INDEX(对接源_01水果!$M$4:$M$1203,$S154)=0,"",INDEX(对接源_01水果!$M$4:$M$1203,$S154)))</f>
        <v/>
      </c>
      <c r="S15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5" customFormat="false" ht="15.75" hidden="false" customHeight="true" outlineLevel="0" collapsed="false">
      <c r="A155" s="84" t="str">
        <f aca="false">IF($S155="","",IF(INDEX(对接源_01水果!$B$4:$B$1203,$S155)=0,"",INDEX(对接源_01水果!$B$4:$B$1203,$S155)))</f>
        <v/>
      </c>
      <c r="B155" s="85" t="str">
        <f aca="false">IF($S155="","",IF(INDEX(对接源_01水果!$E$4:$E$1203,$S155)=0,"",INDEX(对接源_01水果!$E$4:$E$1203,$S155)))</f>
        <v/>
      </c>
      <c r="C155" s="85" t="str">
        <f aca="false">IF($S155="","",IF(INDEX(对接源_01水果!$F$4:$F$1203,$S155)=0,"",INDEX(对接源_01水果!$F$4:$F$1203,$S155)))</f>
        <v/>
      </c>
      <c r="D155" s="85" t="str">
        <f aca="false">IF($S155="","",IF(INDEX(对接源_01水果!$G$4:$G$1203,$S155)=0,"",INDEX(对接源_01水果!$G$4:$G$1203,$S155)))</f>
        <v/>
      </c>
      <c r="E155" s="86" t="str">
        <f aca="false">IF($S155="","",IF(INDEX(对接源_01水果!$H$4:$H$1203,$S155)=0,"",INDEX(对接源_01水果!$H$4:$H$1203,$S155)))</f>
        <v/>
      </c>
      <c r="F155" s="85" t="str">
        <f aca="false">IF($S155="","",IF(INDEX(对接源_01水果!$I$4:$I$1203,$S155)=0,"",INDEX(对接源_01水果!$I$4:$I$1203,$S155)))</f>
        <v/>
      </c>
      <c r="G155" s="87" t="str">
        <f aca="false">IF($S155="","",IF(INDEX(对接源_01水果!$AD$4:$AD$1203,$S155)=0,"",INDEX(对接源_01水果!$AD$4:$AD$1203,$S155)))</f>
        <v/>
      </c>
      <c r="H155" s="87" t="str">
        <f aca="false">IF($S155="","",IF(INDEX(对接源_01水果!$AE$4:$AE$1203,$S155)=0,"",INDEX(对接源_01水果!$AE$4:$AE$1203,$S155)))</f>
        <v/>
      </c>
      <c r="I155" s="87" t="str">
        <f aca="false">IF($S155="","",IF(INDEX(对接源_01水果!$AF$4:$AF$1203,$S155)=0,"",INDEX(对接源_01水果!$AF$4:$AF$1203,$S155)))</f>
        <v/>
      </c>
      <c r="J155" s="88" t="str">
        <f aca="false">IF($S155="","",IF(INDEX(对接源_01水果!$K$4:$K$1203,$S155)=0,"",INDEX(对接源_01水果!$K$4:$K$1203,$S155)))</f>
        <v/>
      </c>
      <c r="K155" s="85" t="str">
        <f aca="false">IF($S155="","",IF(INDEX(对接源_01水果!$L$4:$L$1203,$S155)=0,"",INDEX(对接源_01水果!$L$4:$L$1203,$S155)))</f>
        <v/>
      </c>
      <c r="L155" s="89" t="str">
        <f aca="false">IF($S155="","",IF(INDEX(对接源_01水果!$M$4:$M$1203,$S155)=0,"",INDEX(对接源_01水果!$M$4:$M$1203,$S155)))</f>
        <v/>
      </c>
      <c r="S15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6" customFormat="false" ht="15.75" hidden="false" customHeight="true" outlineLevel="0" collapsed="false">
      <c r="A156" s="84" t="str">
        <f aca="false">IF($S156="","",IF(INDEX(对接源_01水果!$B$4:$B$1203,$S156)=0,"",INDEX(对接源_01水果!$B$4:$B$1203,$S156)))</f>
        <v/>
      </c>
      <c r="B156" s="85" t="str">
        <f aca="false">IF($S156="","",IF(INDEX(对接源_01水果!$E$4:$E$1203,$S156)=0,"",INDEX(对接源_01水果!$E$4:$E$1203,$S156)))</f>
        <v/>
      </c>
      <c r="C156" s="85" t="str">
        <f aca="false">IF($S156="","",IF(INDEX(对接源_01水果!$F$4:$F$1203,$S156)=0,"",INDEX(对接源_01水果!$F$4:$F$1203,$S156)))</f>
        <v/>
      </c>
      <c r="D156" s="85" t="str">
        <f aca="false">IF($S156="","",IF(INDEX(对接源_01水果!$G$4:$G$1203,$S156)=0,"",INDEX(对接源_01水果!$G$4:$G$1203,$S156)))</f>
        <v/>
      </c>
      <c r="E156" s="86" t="str">
        <f aca="false">IF($S156="","",IF(INDEX(对接源_01水果!$H$4:$H$1203,$S156)=0,"",INDEX(对接源_01水果!$H$4:$H$1203,$S156)))</f>
        <v/>
      </c>
      <c r="F156" s="85" t="str">
        <f aca="false">IF($S156="","",IF(INDEX(对接源_01水果!$I$4:$I$1203,$S156)=0,"",INDEX(对接源_01水果!$I$4:$I$1203,$S156)))</f>
        <v/>
      </c>
      <c r="G156" s="87" t="str">
        <f aca="false">IF($S156="","",IF(INDEX(对接源_01水果!$AD$4:$AD$1203,$S156)=0,"",INDEX(对接源_01水果!$AD$4:$AD$1203,$S156)))</f>
        <v/>
      </c>
      <c r="H156" s="87" t="str">
        <f aca="false">IF($S156="","",IF(INDEX(对接源_01水果!$AE$4:$AE$1203,$S156)=0,"",INDEX(对接源_01水果!$AE$4:$AE$1203,$S156)))</f>
        <v/>
      </c>
      <c r="I156" s="87" t="str">
        <f aca="false">IF($S156="","",IF(INDEX(对接源_01水果!$AF$4:$AF$1203,$S156)=0,"",INDEX(对接源_01水果!$AF$4:$AF$1203,$S156)))</f>
        <v/>
      </c>
      <c r="J156" s="88" t="str">
        <f aca="false">IF($S156="","",IF(INDEX(对接源_01水果!$K$4:$K$1203,$S156)=0,"",INDEX(对接源_01水果!$K$4:$K$1203,$S156)))</f>
        <v/>
      </c>
      <c r="K156" s="85" t="str">
        <f aca="false">IF($S156="","",IF(INDEX(对接源_01水果!$L$4:$L$1203,$S156)=0,"",INDEX(对接源_01水果!$L$4:$L$1203,$S156)))</f>
        <v/>
      </c>
      <c r="L156" s="89" t="str">
        <f aca="false">IF($S156="","",IF(INDEX(对接源_01水果!$M$4:$M$1203,$S156)=0,"",INDEX(对接源_01水果!$M$4:$M$1203,$S156)))</f>
        <v/>
      </c>
      <c r="S15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7" customFormat="false" ht="15.75" hidden="false" customHeight="true" outlineLevel="0" collapsed="false">
      <c r="A157" s="84" t="str">
        <f aca="false">IF($S157="","",IF(INDEX(对接源_01水果!$B$4:$B$1203,$S157)=0,"",INDEX(对接源_01水果!$B$4:$B$1203,$S157)))</f>
        <v/>
      </c>
      <c r="B157" s="85" t="str">
        <f aca="false">IF($S157="","",IF(INDEX(对接源_01水果!$E$4:$E$1203,$S157)=0,"",INDEX(对接源_01水果!$E$4:$E$1203,$S157)))</f>
        <v/>
      </c>
      <c r="C157" s="85" t="str">
        <f aca="false">IF($S157="","",IF(INDEX(对接源_01水果!$F$4:$F$1203,$S157)=0,"",INDEX(对接源_01水果!$F$4:$F$1203,$S157)))</f>
        <v/>
      </c>
      <c r="D157" s="85" t="str">
        <f aca="false">IF($S157="","",IF(INDEX(对接源_01水果!$G$4:$G$1203,$S157)=0,"",INDEX(对接源_01水果!$G$4:$G$1203,$S157)))</f>
        <v/>
      </c>
      <c r="E157" s="86" t="str">
        <f aca="false">IF($S157="","",IF(INDEX(对接源_01水果!$H$4:$H$1203,$S157)=0,"",INDEX(对接源_01水果!$H$4:$H$1203,$S157)))</f>
        <v/>
      </c>
      <c r="F157" s="85" t="str">
        <f aca="false">IF($S157="","",IF(INDEX(对接源_01水果!$I$4:$I$1203,$S157)=0,"",INDEX(对接源_01水果!$I$4:$I$1203,$S157)))</f>
        <v/>
      </c>
      <c r="G157" s="87" t="str">
        <f aca="false">IF($S157="","",IF(INDEX(对接源_01水果!$AD$4:$AD$1203,$S157)=0,"",INDEX(对接源_01水果!$AD$4:$AD$1203,$S157)))</f>
        <v/>
      </c>
      <c r="H157" s="87" t="str">
        <f aca="false">IF($S157="","",IF(INDEX(对接源_01水果!$AE$4:$AE$1203,$S157)=0,"",INDEX(对接源_01水果!$AE$4:$AE$1203,$S157)))</f>
        <v/>
      </c>
      <c r="I157" s="87" t="str">
        <f aca="false">IF($S157="","",IF(INDEX(对接源_01水果!$AF$4:$AF$1203,$S157)=0,"",INDEX(对接源_01水果!$AF$4:$AF$1203,$S157)))</f>
        <v/>
      </c>
      <c r="J157" s="88" t="str">
        <f aca="false">IF($S157="","",IF(INDEX(对接源_01水果!$K$4:$K$1203,$S157)=0,"",INDEX(对接源_01水果!$K$4:$K$1203,$S157)))</f>
        <v/>
      </c>
      <c r="K157" s="85" t="str">
        <f aca="false">IF($S157="","",IF(INDEX(对接源_01水果!$L$4:$L$1203,$S157)=0,"",INDEX(对接源_01水果!$L$4:$L$1203,$S157)))</f>
        <v/>
      </c>
      <c r="L157" s="89" t="str">
        <f aca="false">IF($S157="","",IF(INDEX(对接源_01水果!$M$4:$M$1203,$S157)=0,"",INDEX(对接源_01水果!$M$4:$M$1203,$S157)))</f>
        <v/>
      </c>
      <c r="S15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8" customFormat="false" ht="15.75" hidden="false" customHeight="true" outlineLevel="0" collapsed="false">
      <c r="A158" s="84" t="str">
        <f aca="false">IF($S158="","",IF(INDEX(对接源_01水果!$B$4:$B$1203,$S158)=0,"",INDEX(对接源_01水果!$B$4:$B$1203,$S158)))</f>
        <v/>
      </c>
      <c r="B158" s="85" t="str">
        <f aca="false">IF($S158="","",IF(INDEX(对接源_01水果!$E$4:$E$1203,$S158)=0,"",INDEX(对接源_01水果!$E$4:$E$1203,$S158)))</f>
        <v/>
      </c>
      <c r="C158" s="85" t="str">
        <f aca="false">IF($S158="","",IF(INDEX(对接源_01水果!$F$4:$F$1203,$S158)=0,"",INDEX(对接源_01水果!$F$4:$F$1203,$S158)))</f>
        <v/>
      </c>
      <c r="D158" s="85" t="str">
        <f aca="false">IF($S158="","",IF(INDEX(对接源_01水果!$G$4:$G$1203,$S158)=0,"",INDEX(对接源_01水果!$G$4:$G$1203,$S158)))</f>
        <v/>
      </c>
      <c r="E158" s="86" t="str">
        <f aca="false">IF($S158="","",IF(INDEX(对接源_01水果!$H$4:$H$1203,$S158)=0,"",INDEX(对接源_01水果!$H$4:$H$1203,$S158)))</f>
        <v/>
      </c>
      <c r="F158" s="85" t="str">
        <f aca="false">IF($S158="","",IF(INDEX(对接源_01水果!$I$4:$I$1203,$S158)=0,"",INDEX(对接源_01水果!$I$4:$I$1203,$S158)))</f>
        <v/>
      </c>
      <c r="G158" s="87" t="str">
        <f aca="false">IF($S158="","",IF(INDEX(对接源_01水果!$AD$4:$AD$1203,$S158)=0,"",INDEX(对接源_01水果!$AD$4:$AD$1203,$S158)))</f>
        <v/>
      </c>
      <c r="H158" s="87" t="str">
        <f aca="false">IF($S158="","",IF(INDEX(对接源_01水果!$AE$4:$AE$1203,$S158)=0,"",INDEX(对接源_01水果!$AE$4:$AE$1203,$S158)))</f>
        <v/>
      </c>
      <c r="I158" s="87" t="str">
        <f aca="false">IF($S158="","",IF(INDEX(对接源_01水果!$AF$4:$AF$1203,$S158)=0,"",INDEX(对接源_01水果!$AF$4:$AF$1203,$S158)))</f>
        <v/>
      </c>
      <c r="J158" s="88" t="str">
        <f aca="false">IF($S158="","",IF(INDEX(对接源_01水果!$K$4:$K$1203,$S158)=0,"",INDEX(对接源_01水果!$K$4:$K$1203,$S158)))</f>
        <v/>
      </c>
      <c r="K158" s="85" t="str">
        <f aca="false">IF($S158="","",IF(INDEX(对接源_01水果!$L$4:$L$1203,$S158)=0,"",INDEX(对接源_01水果!$L$4:$L$1203,$S158)))</f>
        <v/>
      </c>
      <c r="L158" s="89" t="str">
        <f aca="false">IF($S158="","",IF(INDEX(对接源_01水果!$M$4:$M$1203,$S158)=0,"",INDEX(对接源_01水果!$M$4:$M$1203,$S158)))</f>
        <v/>
      </c>
      <c r="S15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9" customFormat="false" ht="15.75" hidden="false" customHeight="true" outlineLevel="0" collapsed="false">
      <c r="A159" s="84" t="str">
        <f aca="false">IF($S159="","",IF(INDEX(对接源_01水果!$B$4:$B$1203,$S159)=0,"",INDEX(对接源_01水果!$B$4:$B$1203,$S159)))</f>
        <v/>
      </c>
      <c r="B159" s="85" t="str">
        <f aca="false">IF($S159="","",IF(INDEX(对接源_01水果!$E$4:$E$1203,$S159)=0,"",INDEX(对接源_01水果!$E$4:$E$1203,$S159)))</f>
        <v/>
      </c>
      <c r="C159" s="85" t="str">
        <f aca="false">IF($S159="","",IF(INDEX(对接源_01水果!$F$4:$F$1203,$S159)=0,"",INDEX(对接源_01水果!$F$4:$F$1203,$S159)))</f>
        <v/>
      </c>
      <c r="D159" s="85" t="str">
        <f aca="false">IF($S159="","",IF(INDEX(对接源_01水果!$G$4:$G$1203,$S159)=0,"",INDEX(对接源_01水果!$G$4:$G$1203,$S159)))</f>
        <v/>
      </c>
      <c r="E159" s="86" t="str">
        <f aca="false">IF($S159="","",IF(INDEX(对接源_01水果!$H$4:$H$1203,$S159)=0,"",INDEX(对接源_01水果!$H$4:$H$1203,$S159)))</f>
        <v/>
      </c>
      <c r="F159" s="85" t="str">
        <f aca="false">IF($S159="","",IF(INDEX(对接源_01水果!$I$4:$I$1203,$S159)=0,"",INDEX(对接源_01水果!$I$4:$I$1203,$S159)))</f>
        <v/>
      </c>
      <c r="G159" s="87" t="str">
        <f aca="false">IF($S159="","",IF(INDEX(对接源_01水果!$AD$4:$AD$1203,$S159)=0,"",INDEX(对接源_01水果!$AD$4:$AD$1203,$S159)))</f>
        <v/>
      </c>
      <c r="H159" s="87" t="str">
        <f aca="false">IF($S159="","",IF(INDEX(对接源_01水果!$AE$4:$AE$1203,$S159)=0,"",INDEX(对接源_01水果!$AE$4:$AE$1203,$S159)))</f>
        <v/>
      </c>
      <c r="I159" s="87" t="str">
        <f aca="false">IF($S159="","",IF(INDEX(对接源_01水果!$AF$4:$AF$1203,$S159)=0,"",INDEX(对接源_01水果!$AF$4:$AF$1203,$S159)))</f>
        <v/>
      </c>
      <c r="J159" s="88" t="str">
        <f aca="false">IF($S159="","",IF(INDEX(对接源_01水果!$K$4:$K$1203,$S159)=0,"",INDEX(对接源_01水果!$K$4:$K$1203,$S159)))</f>
        <v/>
      </c>
      <c r="K159" s="85" t="str">
        <f aca="false">IF($S159="","",IF(INDEX(对接源_01水果!$L$4:$L$1203,$S159)=0,"",INDEX(对接源_01水果!$L$4:$L$1203,$S159)))</f>
        <v/>
      </c>
      <c r="L159" s="89" t="str">
        <f aca="false">IF($S159="","",IF(INDEX(对接源_01水果!$M$4:$M$1203,$S159)=0,"",INDEX(对接源_01水果!$M$4:$M$1203,$S159)))</f>
        <v/>
      </c>
      <c r="S15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0" customFormat="false" ht="15.75" hidden="false" customHeight="true" outlineLevel="0" collapsed="false">
      <c r="A160" s="84" t="str">
        <f aca="false">IF($S160="","",IF(INDEX(对接源_01水果!$B$4:$B$1203,$S160)=0,"",INDEX(对接源_01水果!$B$4:$B$1203,$S160)))</f>
        <v/>
      </c>
      <c r="B160" s="85" t="str">
        <f aca="false">IF($S160="","",IF(INDEX(对接源_01水果!$E$4:$E$1203,$S160)=0,"",INDEX(对接源_01水果!$E$4:$E$1203,$S160)))</f>
        <v/>
      </c>
      <c r="C160" s="85" t="str">
        <f aca="false">IF($S160="","",IF(INDEX(对接源_01水果!$F$4:$F$1203,$S160)=0,"",INDEX(对接源_01水果!$F$4:$F$1203,$S160)))</f>
        <v/>
      </c>
      <c r="D160" s="85" t="str">
        <f aca="false">IF($S160="","",IF(INDEX(对接源_01水果!$G$4:$G$1203,$S160)=0,"",INDEX(对接源_01水果!$G$4:$G$1203,$S160)))</f>
        <v/>
      </c>
      <c r="E160" s="86" t="str">
        <f aca="false">IF($S160="","",IF(INDEX(对接源_01水果!$H$4:$H$1203,$S160)=0,"",INDEX(对接源_01水果!$H$4:$H$1203,$S160)))</f>
        <v/>
      </c>
      <c r="F160" s="85" t="str">
        <f aca="false">IF($S160="","",IF(INDEX(对接源_01水果!$I$4:$I$1203,$S160)=0,"",INDEX(对接源_01水果!$I$4:$I$1203,$S160)))</f>
        <v/>
      </c>
      <c r="G160" s="87" t="str">
        <f aca="false">IF($S160="","",IF(INDEX(对接源_01水果!$AD$4:$AD$1203,$S160)=0,"",INDEX(对接源_01水果!$AD$4:$AD$1203,$S160)))</f>
        <v/>
      </c>
      <c r="H160" s="87" t="str">
        <f aca="false">IF($S160="","",IF(INDEX(对接源_01水果!$AE$4:$AE$1203,$S160)=0,"",INDEX(对接源_01水果!$AE$4:$AE$1203,$S160)))</f>
        <v/>
      </c>
      <c r="I160" s="87" t="str">
        <f aca="false">IF($S160="","",IF(INDEX(对接源_01水果!$AF$4:$AF$1203,$S160)=0,"",INDEX(对接源_01水果!$AF$4:$AF$1203,$S160)))</f>
        <v/>
      </c>
      <c r="J160" s="88" t="str">
        <f aca="false">IF($S160="","",IF(INDEX(对接源_01水果!$K$4:$K$1203,$S160)=0,"",INDEX(对接源_01水果!$K$4:$K$1203,$S160)))</f>
        <v/>
      </c>
      <c r="K160" s="85" t="str">
        <f aca="false">IF($S160="","",IF(INDEX(对接源_01水果!$L$4:$L$1203,$S160)=0,"",INDEX(对接源_01水果!$L$4:$L$1203,$S160)))</f>
        <v/>
      </c>
      <c r="L160" s="89" t="str">
        <f aca="false">IF($S160="","",IF(INDEX(对接源_01水果!$M$4:$M$1203,$S160)=0,"",INDEX(对接源_01水果!$M$4:$M$1203,$S160)))</f>
        <v/>
      </c>
      <c r="S16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1" customFormat="false" ht="15.75" hidden="false" customHeight="true" outlineLevel="0" collapsed="false">
      <c r="A161" s="84" t="str">
        <f aca="false">IF($S161="","",IF(INDEX(对接源_01水果!$B$4:$B$1203,$S161)=0,"",INDEX(对接源_01水果!$B$4:$B$1203,$S161)))</f>
        <v/>
      </c>
      <c r="B161" s="85" t="str">
        <f aca="false">IF($S161="","",IF(INDEX(对接源_01水果!$E$4:$E$1203,$S161)=0,"",INDEX(对接源_01水果!$E$4:$E$1203,$S161)))</f>
        <v/>
      </c>
      <c r="C161" s="85" t="str">
        <f aca="false">IF($S161="","",IF(INDEX(对接源_01水果!$F$4:$F$1203,$S161)=0,"",INDEX(对接源_01水果!$F$4:$F$1203,$S161)))</f>
        <v/>
      </c>
      <c r="D161" s="85" t="str">
        <f aca="false">IF($S161="","",IF(INDEX(对接源_01水果!$G$4:$G$1203,$S161)=0,"",INDEX(对接源_01水果!$G$4:$G$1203,$S161)))</f>
        <v/>
      </c>
      <c r="E161" s="86" t="str">
        <f aca="false">IF($S161="","",IF(INDEX(对接源_01水果!$H$4:$H$1203,$S161)=0,"",INDEX(对接源_01水果!$H$4:$H$1203,$S161)))</f>
        <v/>
      </c>
      <c r="F161" s="85" t="str">
        <f aca="false">IF($S161="","",IF(INDEX(对接源_01水果!$I$4:$I$1203,$S161)=0,"",INDEX(对接源_01水果!$I$4:$I$1203,$S161)))</f>
        <v/>
      </c>
      <c r="G161" s="87" t="str">
        <f aca="false">IF($S161="","",IF(INDEX(对接源_01水果!$AD$4:$AD$1203,$S161)=0,"",INDEX(对接源_01水果!$AD$4:$AD$1203,$S161)))</f>
        <v/>
      </c>
      <c r="H161" s="87" t="str">
        <f aca="false">IF($S161="","",IF(INDEX(对接源_01水果!$AE$4:$AE$1203,$S161)=0,"",INDEX(对接源_01水果!$AE$4:$AE$1203,$S161)))</f>
        <v/>
      </c>
      <c r="I161" s="87" t="str">
        <f aca="false">IF($S161="","",IF(INDEX(对接源_01水果!$AF$4:$AF$1203,$S161)=0,"",INDEX(对接源_01水果!$AF$4:$AF$1203,$S161)))</f>
        <v/>
      </c>
      <c r="J161" s="88" t="str">
        <f aca="false">IF($S161="","",IF(INDEX(对接源_01水果!$K$4:$K$1203,$S161)=0,"",INDEX(对接源_01水果!$K$4:$K$1203,$S161)))</f>
        <v/>
      </c>
      <c r="K161" s="85" t="str">
        <f aca="false">IF($S161="","",IF(INDEX(对接源_01水果!$L$4:$L$1203,$S161)=0,"",INDEX(对接源_01水果!$L$4:$L$1203,$S161)))</f>
        <v/>
      </c>
      <c r="L161" s="89" t="str">
        <f aca="false">IF($S161="","",IF(INDEX(对接源_01水果!$M$4:$M$1203,$S161)=0,"",INDEX(对接源_01水果!$M$4:$M$1203,$S161)))</f>
        <v/>
      </c>
      <c r="S16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2" customFormat="false" ht="15.75" hidden="false" customHeight="true" outlineLevel="0" collapsed="false">
      <c r="A162" s="84" t="str">
        <f aca="false">IF($S162="","",IF(INDEX(对接源_01水果!$B$4:$B$1203,$S162)=0,"",INDEX(对接源_01水果!$B$4:$B$1203,$S162)))</f>
        <v/>
      </c>
      <c r="B162" s="85" t="str">
        <f aca="false">IF($S162="","",IF(INDEX(对接源_01水果!$E$4:$E$1203,$S162)=0,"",INDEX(对接源_01水果!$E$4:$E$1203,$S162)))</f>
        <v/>
      </c>
      <c r="C162" s="85" t="str">
        <f aca="false">IF($S162="","",IF(INDEX(对接源_01水果!$F$4:$F$1203,$S162)=0,"",INDEX(对接源_01水果!$F$4:$F$1203,$S162)))</f>
        <v/>
      </c>
      <c r="D162" s="85" t="str">
        <f aca="false">IF($S162="","",IF(INDEX(对接源_01水果!$G$4:$G$1203,$S162)=0,"",INDEX(对接源_01水果!$G$4:$G$1203,$S162)))</f>
        <v/>
      </c>
      <c r="E162" s="86" t="str">
        <f aca="false">IF($S162="","",IF(INDEX(对接源_01水果!$H$4:$H$1203,$S162)=0,"",INDEX(对接源_01水果!$H$4:$H$1203,$S162)))</f>
        <v/>
      </c>
      <c r="F162" s="85" t="str">
        <f aca="false">IF($S162="","",IF(INDEX(对接源_01水果!$I$4:$I$1203,$S162)=0,"",INDEX(对接源_01水果!$I$4:$I$1203,$S162)))</f>
        <v/>
      </c>
      <c r="G162" s="87" t="str">
        <f aca="false">IF($S162="","",IF(INDEX(对接源_01水果!$AD$4:$AD$1203,$S162)=0,"",INDEX(对接源_01水果!$AD$4:$AD$1203,$S162)))</f>
        <v/>
      </c>
      <c r="H162" s="87" t="str">
        <f aca="false">IF($S162="","",IF(INDEX(对接源_01水果!$AE$4:$AE$1203,$S162)=0,"",INDEX(对接源_01水果!$AE$4:$AE$1203,$S162)))</f>
        <v/>
      </c>
      <c r="I162" s="87" t="str">
        <f aca="false">IF($S162="","",IF(INDEX(对接源_01水果!$AF$4:$AF$1203,$S162)=0,"",INDEX(对接源_01水果!$AF$4:$AF$1203,$S162)))</f>
        <v/>
      </c>
      <c r="J162" s="88" t="str">
        <f aca="false">IF($S162="","",IF(INDEX(对接源_01水果!$K$4:$K$1203,$S162)=0,"",INDEX(对接源_01水果!$K$4:$K$1203,$S162)))</f>
        <v/>
      </c>
      <c r="K162" s="85" t="str">
        <f aca="false">IF($S162="","",IF(INDEX(对接源_01水果!$L$4:$L$1203,$S162)=0,"",INDEX(对接源_01水果!$L$4:$L$1203,$S162)))</f>
        <v/>
      </c>
      <c r="L162" s="89" t="str">
        <f aca="false">IF($S162="","",IF(INDEX(对接源_01水果!$M$4:$M$1203,$S162)=0,"",INDEX(对接源_01水果!$M$4:$M$1203,$S162)))</f>
        <v/>
      </c>
      <c r="S16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3" customFormat="false" ht="15.75" hidden="false" customHeight="true" outlineLevel="0" collapsed="false">
      <c r="A163" s="84" t="str">
        <f aca="false">IF($S163="","",IF(INDEX(对接源_01水果!$B$4:$B$1203,$S163)=0,"",INDEX(对接源_01水果!$B$4:$B$1203,$S163)))</f>
        <v/>
      </c>
      <c r="B163" s="85" t="str">
        <f aca="false">IF($S163="","",IF(INDEX(对接源_01水果!$E$4:$E$1203,$S163)=0,"",INDEX(对接源_01水果!$E$4:$E$1203,$S163)))</f>
        <v/>
      </c>
      <c r="C163" s="85" t="str">
        <f aca="false">IF($S163="","",IF(INDEX(对接源_01水果!$F$4:$F$1203,$S163)=0,"",INDEX(对接源_01水果!$F$4:$F$1203,$S163)))</f>
        <v/>
      </c>
      <c r="D163" s="85" t="str">
        <f aca="false">IF($S163="","",IF(INDEX(对接源_01水果!$G$4:$G$1203,$S163)=0,"",INDEX(对接源_01水果!$G$4:$G$1203,$S163)))</f>
        <v/>
      </c>
      <c r="E163" s="86" t="str">
        <f aca="false">IF($S163="","",IF(INDEX(对接源_01水果!$H$4:$H$1203,$S163)=0,"",INDEX(对接源_01水果!$H$4:$H$1203,$S163)))</f>
        <v/>
      </c>
      <c r="F163" s="85" t="str">
        <f aca="false">IF($S163="","",IF(INDEX(对接源_01水果!$I$4:$I$1203,$S163)=0,"",INDEX(对接源_01水果!$I$4:$I$1203,$S163)))</f>
        <v/>
      </c>
      <c r="G163" s="87" t="str">
        <f aca="false">IF($S163="","",IF(INDEX(对接源_01水果!$AD$4:$AD$1203,$S163)=0,"",INDEX(对接源_01水果!$AD$4:$AD$1203,$S163)))</f>
        <v/>
      </c>
      <c r="H163" s="87" t="str">
        <f aca="false">IF($S163="","",IF(INDEX(对接源_01水果!$AE$4:$AE$1203,$S163)=0,"",INDEX(对接源_01水果!$AE$4:$AE$1203,$S163)))</f>
        <v/>
      </c>
      <c r="I163" s="87" t="str">
        <f aca="false">IF($S163="","",IF(INDEX(对接源_01水果!$AF$4:$AF$1203,$S163)=0,"",INDEX(对接源_01水果!$AF$4:$AF$1203,$S163)))</f>
        <v/>
      </c>
      <c r="J163" s="88" t="str">
        <f aca="false">IF($S163="","",IF(INDEX(对接源_01水果!$K$4:$K$1203,$S163)=0,"",INDEX(对接源_01水果!$K$4:$K$1203,$S163)))</f>
        <v/>
      </c>
      <c r="K163" s="85" t="str">
        <f aca="false">IF($S163="","",IF(INDEX(对接源_01水果!$L$4:$L$1203,$S163)=0,"",INDEX(对接源_01水果!$L$4:$L$1203,$S163)))</f>
        <v/>
      </c>
      <c r="L163" s="89" t="str">
        <f aca="false">IF($S163="","",IF(INDEX(对接源_01水果!$M$4:$M$1203,$S163)=0,"",INDEX(对接源_01水果!$M$4:$M$1203,$S163)))</f>
        <v/>
      </c>
      <c r="S16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4" customFormat="false" ht="15.75" hidden="false" customHeight="true" outlineLevel="0" collapsed="false">
      <c r="A164" s="84" t="str">
        <f aca="false">IF($S164="","",IF(INDEX(对接源_01水果!$B$4:$B$1203,$S164)=0,"",INDEX(对接源_01水果!$B$4:$B$1203,$S164)))</f>
        <v/>
      </c>
      <c r="B164" s="85" t="str">
        <f aca="false">IF($S164="","",IF(INDEX(对接源_01水果!$E$4:$E$1203,$S164)=0,"",INDEX(对接源_01水果!$E$4:$E$1203,$S164)))</f>
        <v/>
      </c>
      <c r="C164" s="85" t="str">
        <f aca="false">IF($S164="","",IF(INDEX(对接源_01水果!$F$4:$F$1203,$S164)=0,"",INDEX(对接源_01水果!$F$4:$F$1203,$S164)))</f>
        <v/>
      </c>
      <c r="D164" s="85" t="str">
        <f aca="false">IF($S164="","",IF(INDEX(对接源_01水果!$G$4:$G$1203,$S164)=0,"",INDEX(对接源_01水果!$G$4:$G$1203,$S164)))</f>
        <v/>
      </c>
      <c r="E164" s="86" t="str">
        <f aca="false">IF($S164="","",IF(INDEX(对接源_01水果!$H$4:$H$1203,$S164)=0,"",INDEX(对接源_01水果!$H$4:$H$1203,$S164)))</f>
        <v/>
      </c>
      <c r="F164" s="85" t="str">
        <f aca="false">IF($S164="","",IF(INDEX(对接源_01水果!$I$4:$I$1203,$S164)=0,"",INDEX(对接源_01水果!$I$4:$I$1203,$S164)))</f>
        <v/>
      </c>
      <c r="G164" s="87" t="str">
        <f aca="false">IF($S164="","",IF(INDEX(对接源_01水果!$AD$4:$AD$1203,$S164)=0,"",INDEX(对接源_01水果!$AD$4:$AD$1203,$S164)))</f>
        <v/>
      </c>
      <c r="H164" s="87" t="str">
        <f aca="false">IF($S164="","",IF(INDEX(对接源_01水果!$AE$4:$AE$1203,$S164)=0,"",INDEX(对接源_01水果!$AE$4:$AE$1203,$S164)))</f>
        <v/>
      </c>
      <c r="I164" s="87" t="str">
        <f aca="false">IF($S164="","",IF(INDEX(对接源_01水果!$AF$4:$AF$1203,$S164)=0,"",INDEX(对接源_01水果!$AF$4:$AF$1203,$S164)))</f>
        <v/>
      </c>
      <c r="J164" s="88" t="str">
        <f aca="false">IF($S164="","",IF(INDEX(对接源_01水果!$K$4:$K$1203,$S164)=0,"",INDEX(对接源_01水果!$K$4:$K$1203,$S164)))</f>
        <v/>
      </c>
      <c r="K164" s="85" t="str">
        <f aca="false">IF($S164="","",IF(INDEX(对接源_01水果!$L$4:$L$1203,$S164)=0,"",INDEX(对接源_01水果!$L$4:$L$1203,$S164)))</f>
        <v/>
      </c>
      <c r="L164" s="89" t="str">
        <f aca="false">IF($S164="","",IF(INDEX(对接源_01水果!$M$4:$M$1203,$S164)=0,"",INDEX(对接源_01水果!$M$4:$M$1203,$S164)))</f>
        <v/>
      </c>
      <c r="S16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5" customFormat="false" ht="15.75" hidden="false" customHeight="true" outlineLevel="0" collapsed="false">
      <c r="A165" s="84" t="str">
        <f aca="false">IF($S165="","",IF(INDEX(对接源_01水果!$B$4:$B$1203,$S165)=0,"",INDEX(对接源_01水果!$B$4:$B$1203,$S165)))</f>
        <v/>
      </c>
      <c r="B165" s="85" t="str">
        <f aca="false">IF($S165="","",IF(INDEX(对接源_01水果!$E$4:$E$1203,$S165)=0,"",INDEX(对接源_01水果!$E$4:$E$1203,$S165)))</f>
        <v/>
      </c>
      <c r="C165" s="85" t="str">
        <f aca="false">IF($S165="","",IF(INDEX(对接源_01水果!$F$4:$F$1203,$S165)=0,"",INDEX(对接源_01水果!$F$4:$F$1203,$S165)))</f>
        <v/>
      </c>
      <c r="D165" s="85" t="str">
        <f aca="false">IF($S165="","",IF(INDEX(对接源_01水果!$G$4:$G$1203,$S165)=0,"",INDEX(对接源_01水果!$G$4:$G$1203,$S165)))</f>
        <v/>
      </c>
      <c r="E165" s="86" t="str">
        <f aca="false">IF($S165="","",IF(INDEX(对接源_01水果!$H$4:$H$1203,$S165)=0,"",INDEX(对接源_01水果!$H$4:$H$1203,$S165)))</f>
        <v/>
      </c>
      <c r="F165" s="85" t="str">
        <f aca="false">IF($S165="","",IF(INDEX(对接源_01水果!$I$4:$I$1203,$S165)=0,"",INDEX(对接源_01水果!$I$4:$I$1203,$S165)))</f>
        <v/>
      </c>
      <c r="G165" s="87" t="str">
        <f aca="false">IF($S165="","",IF(INDEX(对接源_01水果!$AD$4:$AD$1203,$S165)=0,"",INDEX(对接源_01水果!$AD$4:$AD$1203,$S165)))</f>
        <v/>
      </c>
      <c r="H165" s="87" t="str">
        <f aca="false">IF($S165="","",IF(INDEX(对接源_01水果!$AE$4:$AE$1203,$S165)=0,"",INDEX(对接源_01水果!$AE$4:$AE$1203,$S165)))</f>
        <v/>
      </c>
      <c r="I165" s="87" t="str">
        <f aca="false">IF($S165="","",IF(INDEX(对接源_01水果!$AF$4:$AF$1203,$S165)=0,"",INDEX(对接源_01水果!$AF$4:$AF$1203,$S165)))</f>
        <v/>
      </c>
      <c r="J165" s="88" t="str">
        <f aca="false">IF($S165="","",IF(INDEX(对接源_01水果!$K$4:$K$1203,$S165)=0,"",INDEX(对接源_01水果!$K$4:$K$1203,$S165)))</f>
        <v/>
      </c>
      <c r="K165" s="85" t="str">
        <f aca="false">IF($S165="","",IF(INDEX(对接源_01水果!$L$4:$L$1203,$S165)=0,"",INDEX(对接源_01水果!$L$4:$L$1203,$S165)))</f>
        <v/>
      </c>
      <c r="L165" s="89" t="str">
        <f aca="false">IF($S165="","",IF(INDEX(对接源_01水果!$M$4:$M$1203,$S165)=0,"",INDEX(对接源_01水果!$M$4:$M$1203,$S165)))</f>
        <v/>
      </c>
      <c r="S16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6" customFormat="false" ht="15.75" hidden="false" customHeight="true" outlineLevel="0" collapsed="false">
      <c r="A166" s="84" t="str">
        <f aca="false">IF($S166="","",IF(INDEX(对接源_01水果!$B$4:$B$1203,$S166)=0,"",INDEX(对接源_01水果!$B$4:$B$1203,$S166)))</f>
        <v/>
      </c>
      <c r="B166" s="85" t="str">
        <f aca="false">IF($S166="","",IF(INDEX(对接源_01水果!$E$4:$E$1203,$S166)=0,"",INDEX(对接源_01水果!$E$4:$E$1203,$S166)))</f>
        <v/>
      </c>
      <c r="C166" s="85" t="str">
        <f aca="false">IF($S166="","",IF(INDEX(对接源_01水果!$F$4:$F$1203,$S166)=0,"",INDEX(对接源_01水果!$F$4:$F$1203,$S166)))</f>
        <v/>
      </c>
      <c r="D166" s="85" t="str">
        <f aca="false">IF($S166="","",IF(INDEX(对接源_01水果!$G$4:$G$1203,$S166)=0,"",INDEX(对接源_01水果!$G$4:$G$1203,$S166)))</f>
        <v/>
      </c>
      <c r="E166" s="86" t="str">
        <f aca="false">IF($S166="","",IF(INDEX(对接源_01水果!$H$4:$H$1203,$S166)=0,"",INDEX(对接源_01水果!$H$4:$H$1203,$S166)))</f>
        <v/>
      </c>
      <c r="F166" s="85" t="str">
        <f aca="false">IF($S166="","",IF(INDEX(对接源_01水果!$I$4:$I$1203,$S166)=0,"",INDEX(对接源_01水果!$I$4:$I$1203,$S166)))</f>
        <v/>
      </c>
      <c r="G166" s="87" t="str">
        <f aca="false">IF($S166="","",IF(INDEX(对接源_01水果!$AD$4:$AD$1203,$S166)=0,"",INDEX(对接源_01水果!$AD$4:$AD$1203,$S166)))</f>
        <v/>
      </c>
      <c r="H166" s="87" t="str">
        <f aca="false">IF($S166="","",IF(INDEX(对接源_01水果!$AE$4:$AE$1203,$S166)=0,"",INDEX(对接源_01水果!$AE$4:$AE$1203,$S166)))</f>
        <v/>
      </c>
      <c r="I166" s="87" t="str">
        <f aca="false">IF($S166="","",IF(INDEX(对接源_01水果!$AF$4:$AF$1203,$S166)=0,"",INDEX(对接源_01水果!$AF$4:$AF$1203,$S166)))</f>
        <v/>
      </c>
      <c r="J166" s="88" t="str">
        <f aca="false">IF($S166="","",IF(INDEX(对接源_01水果!$K$4:$K$1203,$S166)=0,"",INDEX(对接源_01水果!$K$4:$K$1203,$S166)))</f>
        <v/>
      </c>
      <c r="K166" s="85" t="str">
        <f aca="false">IF($S166="","",IF(INDEX(对接源_01水果!$L$4:$L$1203,$S166)=0,"",INDEX(对接源_01水果!$L$4:$L$1203,$S166)))</f>
        <v/>
      </c>
      <c r="L166" s="89" t="str">
        <f aca="false">IF($S166="","",IF(INDEX(对接源_01水果!$M$4:$M$1203,$S166)=0,"",INDEX(对接源_01水果!$M$4:$M$1203,$S166)))</f>
        <v/>
      </c>
      <c r="S16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7" customFormat="false" ht="15.75" hidden="false" customHeight="true" outlineLevel="0" collapsed="false">
      <c r="A167" s="84" t="str">
        <f aca="false">IF($S167="","",IF(INDEX(对接源_01水果!$B$4:$B$1203,$S167)=0,"",INDEX(对接源_01水果!$B$4:$B$1203,$S167)))</f>
        <v/>
      </c>
      <c r="B167" s="85" t="str">
        <f aca="false">IF($S167="","",IF(INDEX(对接源_01水果!$E$4:$E$1203,$S167)=0,"",INDEX(对接源_01水果!$E$4:$E$1203,$S167)))</f>
        <v/>
      </c>
      <c r="C167" s="85" t="str">
        <f aca="false">IF($S167="","",IF(INDEX(对接源_01水果!$F$4:$F$1203,$S167)=0,"",INDEX(对接源_01水果!$F$4:$F$1203,$S167)))</f>
        <v/>
      </c>
      <c r="D167" s="85" t="str">
        <f aca="false">IF($S167="","",IF(INDEX(对接源_01水果!$G$4:$G$1203,$S167)=0,"",INDEX(对接源_01水果!$G$4:$G$1203,$S167)))</f>
        <v/>
      </c>
      <c r="E167" s="86" t="str">
        <f aca="false">IF($S167="","",IF(INDEX(对接源_01水果!$H$4:$H$1203,$S167)=0,"",INDEX(对接源_01水果!$H$4:$H$1203,$S167)))</f>
        <v/>
      </c>
      <c r="F167" s="85" t="str">
        <f aca="false">IF($S167="","",IF(INDEX(对接源_01水果!$I$4:$I$1203,$S167)=0,"",INDEX(对接源_01水果!$I$4:$I$1203,$S167)))</f>
        <v/>
      </c>
      <c r="G167" s="87" t="str">
        <f aca="false">IF($S167="","",IF(INDEX(对接源_01水果!$AD$4:$AD$1203,$S167)=0,"",INDEX(对接源_01水果!$AD$4:$AD$1203,$S167)))</f>
        <v/>
      </c>
      <c r="H167" s="87" t="str">
        <f aca="false">IF($S167="","",IF(INDEX(对接源_01水果!$AE$4:$AE$1203,$S167)=0,"",INDEX(对接源_01水果!$AE$4:$AE$1203,$S167)))</f>
        <v/>
      </c>
      <c r="I167" s="87" t="str">
        <f aca="false">IF($S167="","",IF(INDEX(对接源_01水果!$AF$4:$AF$1203,$S167)=0,"",INDEX(对接源_01水果!$AF$4:$AF$1203,$S167)))</f>
        <v/>
      </c>
      <c r="J167" s="88" t="str">
        <f aca="false">IF($S167="","",IF(INDEX(对接源_01水果!$K$4:$K$1203,$S167)=0,"",INDEX(对接源_01水果!$K$4:$K$1203,$S167)))</f>
        <v/>
      </c>
      <c r="K167" s="85" t="str">
        <f aca="false">IF($S167="","",IF(INDEX(对接源_01水果!$L$4:$L$1203,$S167)=0,"",INDEX(对接源_01水果!$L$4:$L$1203,$S167)))</f>
        <v/>
      </c>
      <c r="L167" s="89" t="str">
        <f aca="false">IF($S167="","",IF(INDEX(对接源_01水果!$M$4:$M$1203,$S167)=0,"",INDEX(对接源_01水果!$M$4:$M$1203,$S167)))</f>
        <v/>
      </c>
      <c r="S16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8" customFormat="false" ht="15.75" hidden="false" customHeight="true" outlineLevel="0" collapsed="false">
      <c r="A168" s="84" t="str">
        <f aca="false">IF($S168="","",IF(INDEX(对接源_01水果!$B$4:$B$1203,$S168)=0,"",INDEX(对接源_01水果!$B$4:$B$1203,$S168)))</f>
        <v/>
      </c>
      <c r="B168" s="85" t="str">
        <f aca="false">IF($S168="","",IF(INDEX(对接源_01水果!$E$4:$E$1203,$S168)=0,"",INDEX(对接源_01水果!$E$4:$E$1203,$S168)))</f>
        <v/>
      </c>
      <c r="C168" s="85" t="str">
        <f aca="false">IF($S168="","",IF(INDEX(对接源_01水果!$F$4:$F$1203,$S168)=0,"",INDEX(对接源_01水果!$F$4:$F$1203,$S168)))</f>
        <v/>
      </c>
      <c r="D168" s="85" t="str">
        <f aca="false">IF($S168="","",IF(INDEX(对接源_01水果!$G$4:$G$1203,$S168)=0,"",INDEX(对接源_01水果!$G$4:$G$1203,$S168)))</f>
        <v/>
      </c>
      <c r="E168" s="86" t="str">
        <f aca="false">IF($S168="","",IF(INDEX(对接源_01水果!$H$4:$H$1203,$S168)=0,"",INDEX(对接源_01水果!$H$4:$H$1203,$S168)))</f>
        <v/>
      </c>
      <c r="F168" s="85" t="str">
        <f aca="false">IF($S168="","",IF(INDEX(对接源_01水果!$I$4:$I$1203,$S168)=0,"",INDEX(对接源_01水果!$I$4:$I$1203,$S168)))</f>
        <v/>
      </c>
      <c r="G168" s="87" t="str">
        <f aca="false">IF($S168="","",IF(INDEX(对接源_01水果!$AD$4:$AD$1203,$S168)=0,"",INDEX(对接源_01水果!$AD$4:$AD$1203,$S168)))</f>
        <v/>
      </c>
      <c r="H168" s="87" t="str">
        <f aca="false">IF($S168="","",IF(INDEX(对接源_01水果!$AE$4:$AE$1203,$S168)=0,"",INDEX(对接源_01水果!$AE$4:$AE$1203,$S168)))</f>
        <v/>
      </c>
      <c r="I168" s="87" t="str">
        <f aca="false">IF($S168="","",IF(INDEX(对接源_01水果!$AF$4:$AF$1203,$S168)=0,"",INDEX(对接源_01水果!$AF$4:$AF$1203,$S168)))</f>
        <v/>
      </c>
      <c r="J168" s="88" t="str">
        <f aca="false">IF($S168="","",IF(INDEX(对接源_01水果!$K$4:$K$1203,$S168)=0,"",INDEX(对接源_01水果!$K$4:$K$1203,$S168)))</f>
        <v/>
      </c>
      <c r="K168" s="85" t="str">
        <f aca="false">IF($S168="","",IF(INDEX(对接源_01水果!$L$4:$L$1203,$S168)=0,"",INDEX(对接源_01水果!$L$4:$L$1203,$S168)))</f>
        <v/>
      </c>
      <c r="L168" s="89" t="str">
        <f aca="false">IF($S168="","",IF(INDEX(对接源_01水果!$M$4:$M$1203,$S168)=0,"",INDEX(对接源_01水果!$M$4:$M$1203,$S168)))</f>
        <v/>
      </c>
      <c r="S16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9" customFormat="false" ht="15.75" hidden="false" customHeight="true" outlineLevel="0" collapsed="false">
      <c r="A169" s="84" t="str">
        <f aca="false">IF($S169="","",IF(INDEX(对接源_01水果!$B$4:$B$1203,$S169)=0,"",INDEX(对接源_01水果!$B$4:$B$1203,$S169)))</f>
        <v/>
      </c>
      <c r="B169" s="85" t="str">
        <f aca="false">IF($S169="","",IF(INDEX(对接源_01水果!$E$4:$E$1203,$S169)=0,"",INDEX(对接源_01水果!$E$4:$E$1203,$S169)))</f>
        <v/>
      </c>
      <c r="C169" s="85" t="str">
        <f aca="false">IF($S169="","",IF(INDEX(对接源_01水果!$F$4:$F$1203,$S169)=0,"",INDEX(对接源_01水果!$F$4:$F$1203,$S169)))</f>
        <v/>
      </c>
      <c r="D169" s="85" t="str">
        <f aca="false">IF($S169="","",IF(INDEX(对接源_01水果!$G$4:$G$1203,$S169)=0,"",INDEX(对接源_01水果!$G$4:$G$1203,$S169)))</f>
        <v/>
      </c>
      <c r="E169" s="86" t="str">
        <f aca="false">IF($S169="","",IF(INDEX(对接源_01水果!$H$4:$H$1203,$S169)=0,"",INDEX(对接源_01水果!$H$4:$H$1203,$S169)))</f>
        <v/>
      </c>
      <c r="F169" s="85" t="str">
        <f aca="false">IF($S169="","",IF(INDEX(对接源_01水果!$I$4:$I$1203,$S169)=0,"",INDEX(对接源_01水果!$I$4:$I$1203,$S169)))</f>
        <v/>
      </c>
      <c r="G169" s="87" t="str">
        <f aca="false">IF($S169="","",IF(INDEX(对接源_01水果!$AD$4:$AD$1203,$S169)=0,"",INDEX(对接源_01水果!$AD$4:$AD$1203,$S169)))</f>
        <v/>
      </c>
      <c r="H169" s="87" t="str">
        <f aca="false">IF($S169="","",IF(INDEX(对接源_01水果!$AE$4:$AE$1203,$S169)=0,"",INDEX(对接源_01水果!$AE$4:$AE$1203,$S169)))</f>
        <v/>
      </c>
      <c r="I169" s="87" t="str">
        <f aca="false">IF($S169="","",IF(INDEX(对接源_01水果!$AF$4:$AF$1203,$S169)=0,"",INDEX(对接源_01水果!$AF$4:$AF$1203,$S169)))</f>
        <v/>
      </c>
      <c r="J169" s="88" t="str">
        <f aca="false">IF($S169="","",IF(INDEX(对接源_01水果!$K$4:$K$1203,$S169)=0,"",INDEX(对接源_01水果!$K$4:$K$1203,$S169)))</f>
        <v/>
      </c>
      <c r="K169" s="85" t="str">
        <f aca="false">IF($S169="","",IF(INDEX(对接源_01水果!$L$4:$L$1203,$S169)=0,"",INDEX(对接源_01水果!$L$4:$L$1203,$S169)))</f>
        <v/>
      </c>
      <c r="L169" s="89" t="str">
        <f aca="false">IF($S169="","",IF(INDEX(对接源_01水果!$M$4:$M$1203,$S169)=0,"",INDEX(对接源_01水果!$M$4:$M$1203,$S169)))</f>
        <v/>
      </c>
      <c r="S16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0" customFormat="false" ht="15.75" hidden="false" customHeight="true" outlineLevel="0" collapsed="false">
      <c r="A170" s="84" t="str">
        <f aca="false">IF($S170="","",IF(INDEX(对接源_01水果!$B$4:$B$1203,$S170)=0,"",INDEX(对接源_01水果!$B$4:$B$1203,$S170)))</f>
        <v/>
      </c>
      <c r="B170" s="85" t="str">
        <f aca="false">IF($S170="","",IF(INDEX(对接源_01水果!$E$4:$E$1203,$S170)=0,"",INDEX(对接源_01水果!$E$4:$E$1203,$S170)))</f>
        <v/>
      </c>
      <c r="C170" s="85" t="str">
        <f aca="false">IF($S170="","",IF(INDEX(对接源_01水果!$F$4:$F$1203,$S170)=0,"",INDEX(对接源_01水果!$F$4:$F$1203,$S170)))</f>
        <v/>
      </c>
      <c r="D170" s="85" t="str">
        <f aca="false">IF($S170="","",IF(INDEX(对接源_01水果!$G$4:$G$1203,$S170)=0,"",INDEX(对接源_01水果!$G$4:$G$1203,$S170)))</f>
        <v/>
      </c>
      <c r="E170" s="86" t="str">
        <f aca="false">IF($S170="","",IF(INDEX(对接源_01水果!$H$4:$H$1203,$S170)=0,"",INDEX(对接源_01水果!$H$4:$H$1203,$S170)))</f>
        <v/>
      </c>
      <c r="F170" s="85" t="str">
        <f aca="false">IF($S170="","",IF(INDEX(对接源_01水果!$I$4:$I$1203,$S170)=0,"",INDEX(对接源_01水果!$I$4:$I$1203,$S170)))</f>
        <v/>
      </c>
      <c r="G170" s="87" t="str">
        <f aca="false">IF($S170="","",IF(INDEX(对接源_01水果!$AD$4:$AD$1203,$S170)=0,"",INDEX(对接源_01水果!$AD$4:$AD$1203,$S170)))</f>
        <v/>
      </c>
      <c r="H170" s="87" t="str">
        <f aca="false">IF($S170="","",IF(INDEX(对接源_01水果!$AE$4:$AE$1203,$S170)=0,"",INDEX(对接源_01水果!$AE$4:$AE$1203,$S170)))</f>
        <v/>
      </c>
      <c r="I170" s="87" t="str">
        <f aca="false">IF($S170="","",IF(INDEX(对接源_01水果!$AF$4:$AF$1203,$S170)=0,"",INDEX(对接源_01水果!$AF$4:$AF$1203,$S170)))</f>
        <v/>
      </c>
      <c r="J170" s="88" t="str">
        <f aca="false">IF($S170="","",IF(INDEX(对接源_01水果!$K$4:$K$1203,$S170)=0,"",INDEX(对接源_01水果!$K$4:$K$1203,$S170)))</f>
        <v/>
      </c>
      <c r="K170" s="85" t="str">
        <f aca="false">IF($S170="","",IF(INDEX(对接源_01水果!$L$4:$L$1203,$S170)=0,"",INDEX(对接源_01水果!$L$4:$L$1203,$S170)))</f>
        <v/>
      </c>
      <c r="L170" s="89" t="str">
        <f aca="false">IF($S170="","",IF(INDEX(对接源_01水果!$M$4:$M$1203,$S170)=0,"",INDEX(对接源_01水果!$M$4:$M$1203,$S170)))</f>
        <v/>
      </c>
      <c r="S17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1" customFormat="false" ht="15.75" hidden="false" customHeight="true" outlineLevel="0" collapsed="false">
      <c r="A171" s="84" t="str">
        <f aca="false">IF($S171="","",IF(INDEX(对接源_01水果!$B$4:$B$1203,$S171)=0,"",INDEX(对接源_01水果!$B$4:$B$1203,$S171)))</f>
        <v/>
      </c>
      <c r="B171" s="85" t="str">
        <f aca="false">IF($S171="","",IF(INDEX(对接源_01水果!$E$4:$E$1203,$S171)=0,"",INDEX(对接源_01水果!$E$4:$E$1203,$S171)))</f>
        <v/>
      </c>
      <c r="C171" s="85" t="str">
        <f aca="false">IF($S171="","",IF(INDEX(对接源_01水果!$F$4:$F$1203,$S171)=0,"",INDEX(对接源_01水果!$F$4:$F$1203,$S171)))</f>
        <v/>
      </c>
      <c r="D171" s="85" t="str">
        <f aca="false">IF($S171="","",IF(INDEX(对接源_01水果!$G$4:$G$1203,$S171)=0,"",INDEX(对接源_01水果!$G$4:$G$1203,$S171)))</f>
        <v/>
      </c>
      <c r="E171" s="86" t="str">
        <f aca="false">IF($S171="","",IF(INDEX(对接源_01水果!$H$4:$H$1203,$S171)=0,"",INDEX(对接源_01水果!$H$4:$H$1203,$S171)))</f>
        <v/>
      </c>
      <c r="F171" s="85" t="str">
        <f aca="false">IF($S171="","",IF(INDEX(对接源_01水果!$I$4:$I$1203,$S171)=0,"",INDEX(对接源_01水果!$I$4:$I$1203,$S171)))</f>
        <v/>
      </c>
      <c r="G171" s="87" t="str">
        <f aca="false">IF($S171="","",IF(INDEX(对接源_01水果!$AD$4:$AD$1203,$S171)=0,"",INDEX(对接源_01水果!$AD$4:$AD$1203,$S171)))</f>
        <v/>
      </c>
      <c r="H171" s="87" t="str">
        <f aca="false">IF($S171="","",IF(INDEX(对接源_01水果!$AE$4:$AE$1203,$S171)=0,"",INDEX(对接源_01水果!$AE$4:$AE$1203,$S171)))</f>
        <v/>
      </c>
      <c r="I171" s="87" t="str">
        <f aca="false">IF($S171="","",IF(INDEX(对接源_01水果!$AF$4:$AF$1203,$S171)=0,"",INDEX(对接源_01水果!$AF$4:$AF$1203,$S171)))</f>
        <v/>
      </c>
      <c r="J171" s="88" t="str">
        <f aca="false">IF($S171="","",IF(INDEX(对接源_01水果!$K$4:$K$1203,$S171)=0,"",INDEX(对接源_01水果!$K$4:$K$1203,$S171)))</f>
        <v/>
      </c>
      <c r="K171" s="85" t="str">
        <f aca="false">IF($S171="","",IF(INDEX(对接源_01水果!$L$4:$L$1203,$S171)=0,"",INDEX(对接源_01水果!$L$4:$L$1203,$S171)))</f>
        <v/>
      </c>
      <c r="L171" s="89" t="str">
        <f aca="false">IF($S171="","",IF(INDEX(对接源_01水果!$M$4:$M$1203,$S171)=0,"",INDEX(对接源_01水果!$M$4:$M$1203,$S171)))</f>
        <v/>
      </c>
      <c r="S17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2" customFormat="false" ht="15.75" hidden="false" customHeight="true" outlineLevel="0" collapsed="false">
      <c r="A172" s="84" t="str">
        <f aca="false">IF($S172="","",IF(INDEX(对接源_01水果!$B$4:$B$1203,$S172)=0,"",INDEX(对接源_01水果!$B$4:$B$1203,$S172)))</f>
        <v/>
      </c>
      <c r="B172" s="85" t="str">
        <f aca="false">IF($S172="","",IF(INDEX(对接源_01水果!$E$4:$E$1203,$S172)=0,"",INDEX(对接源_01水果!$E$4:$E$1203,$S172)))</f>
        <v/>
      </c>
      <c r="C172" s="85" t="str">
        <f aca="false">IF($S172="","",IF(INDEX(对接源_01水果!$F$4:$F$1203,$S172)=0,"",INDEX(对接源_01水果!$F$4:$F$1203,$S172)))</f>
        <v/>
      </c>
      <c r="D172" s="85" t="str">
        <f aca="false">IF($S172="","",IF(INDEX(对接源_01水果!$G$4:$G$1203,$S172)=0,"",INDEX(对接源_01水果!$G$4:$G$1203,$S172)))</f>
        <v/>
      </c>
      <c r="E172" s="86" t="str">
        <f aca="false">IF($S172="","",IF(INDEX(对接源_01水果!$H$4:$H$1203,$S172)=0,"",INDEX(对接源_01水果!$H$4:$H$1203,$S172)))</f>
        <v/>
      </c>
      <c r="F172" s="85" t="str">
        <f aca="false">IF($S172="","",IF(INDEX(对接源_01水果!$I$4:$I$1203,$S172)=0,"",INDEX(对接源_01水果!$I$4:$I$1203,$S172)))</f>
        <v/>
      </c>
      <c r="G172" s="87" t="str">
        <f aca="false">IF($S172="","",IF(INDEX(对接源_01水果!$AD$4:$AD$1203,$S172)=0,"",INDEX(对接源_01水果!$AD$4:$AD$1203,$S172)))</f>
        <v/>
      </c>
      <c r="H172" s="87" t="str">
        <f aca="false">IF($S172="","",IF(INDEX(对接源_01水果!$AE$4:$AE$1203,$S172)=0,"",INDEX(对接源_01水果!$AE$4:$AE$1203,$S172)))</f>
        <v/>
      </c>
      <c r="I172" s="87" t="str">
        <f aca="false">IF($S172="","",IF(INDEX(对接源_01水果!$AF$4:$AF$1203,$S172)=0,"",INDEX(对接源_01水果!$AF$4:$AF$1203,$S172)))</f>
        <v/>
      </c>
      <c r="J172" s="88" t="str">
        <f aca="false">IF($S172="","",IF(INDEX(对接源_01水果!$K$4:$K$1203,$S172)=0,"",INDEX(对接源_01水果!$K$4:$K$1203,$S172)))</f>
        <v/>
      </c>
      <c r="K172" s="85" t="str">
        <f aca="false">IF($S172="","",IF(INDEX(对接源_01水果!$L$4:$L$1203,$S172)=0,"",INDEX(对接源_01水果!$L$4:$L$1203,$S172)))</f>
        <v/>
      </c>
      <c r="L172" s="89" t="str">
        <f aca="false">IF($S172="","",IF(INDEX(对接源_01水果!$M$4:$M$1203,$S172)=0,"",INDEX(对接源_01水果!$M$4:$M$1203,$S172)))</f>
        <v/>
      </c>
      <c r="S17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3" customFormat="false" ht="15.75" hidden="false" customHeight="true" outlineLevel="0" collapsed="false">
      <c r="A173" s="84" t="str">
        <f aca="false">IF($S173="","",IF(INDEX(对接源_01水果!$B$4:$B$1203,$S173)=0,"",INDEX(对接源_01水果!$B$4:$B$1203,$S173)))</f>
        <v/>
      </c>
      <c r="B173" s="85" t="str">
        <f aca="false">IF($S173="","",IF(INDEX(对接源_01水果!$E$4:$E$1203,$S173)=0,"",INDEX(对接源_01水果!$E$4:$E$1203,$S173)))</f>
        <v/>
      </c>
      <c r="C173" s="85" t="str">
        <f aca="false">IF($S173="","",IF(INDEX(对接源_01水果!$F$4:$F$1203,$S173)=0,"",INDEX(对接源_01水果!$F$4:$F$1203,$S173)))</f>
        <v/>
      </c>
      <c r="D173" s="85" t="str">
        <f aca="false">IF($S173="","",IF(INDEX(对接源_01水果!$G$4:$G$1203,$S173)=0,"",INDEX(对接源_01水果!$G$4:$G$1203,$S173)))</f>
        <v/>
      </c>
      <c r="E173" s="86" t="str">
        <f aca="false">IF($S173="","",IF(INDEX(对接源_01水果!$H$4:$H$1203,$S173)=0,"",INDEX(对接源_01水果!$H$4:$H$1203,$S173)))</f>
        <v/>
      </c>
      <c r="F173" s="85" t="str">
        <f aca="false">IF($S173="","",IF(INDEX(对接源_01水果!$I$4:$I$1203,$S173)=0,"",INDEX(对接源_01水果!$I$4:$I$1203,$S173)))</f>
        <v/>
      </c>
      <c r="G173" s="87" t="str">
        <f aca="false">IF($S173="","",IF(INDEX(对接源_01水果!$AD$4:$AD$1203,$S173)=0,"",INDEX(对接源_01水果!$AD$4:$AD$1203,$S173)))</f>
        <v/>
      </c>
      <c r="H173" s="87" t="str">
        <f aca="false">IF($S173="","",IF(INDEX(对接源_01水果!$AE$4:$AE$1203,$S173)=0,"",INDEX(对接源_01水果!$AE$4:$AE$1203,$S173)))</f>
        <v/>
      </c>
      <c r="I173" s="87" t="str">
        <f aca="false">IF($S173="","",IF(INDEX(对接源_01水果!$AF$4:$AF$1203,$S173)=0,"",INDEX(对接源_01水果!$AF$4:$AF$1203,$S173)))</f>
        <v/>
      </c>
      <c r="J173" s="88" t="str">
        <f aca="false">IF($S173="","",IF(INDEX(对接源_01水果!$K$4:$K$1203,$S173)=0,"",INDEX(对接源_01水果!$K$4:$K$1203,$S173)))</f>
        <v/>
      </c>
      <c r="K173" s="85" t="str">
        <f aca="false">IF($S173="","",IF(INDEX(对接源_01水果!$L$4:$L$1203,$S173)=0,"",INDEX(对接源_01水果!$L$4:$L$1203,$S173)))</f>
        <v/>
      </c>
      <c r="L173" s="89" t="str">
        <f aca="false">IF($S173="","",IF(INDEX(对接源_01水果!$M$4:$M$1203,$S173)=0,"",INDEX(对接源_01水果!$M$4:$M$1203,$S173)))</f>
        <v/>
      </c>
      <c r="S17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4" customFormat="false" ht="15.75" hidden="false" customHeight="true" outlineLevel="0" collapsed="false">
      <c r="A174" s="84" t="str">
        <f aca="false">IF($S174="","",IF(INDEX(对接源_01水果!$B$4:$B$1203,$S174)=0,"",INDEX(对接源_01水果!$B$4:$B$1203,$S174)))</f>
        <v/>
      </c>
      <c r="B174" s="85" t="str">
        <f aca="false">IF($S174="","",IF(INDEX(对接源_01水果!$E$4:$E$1203,$S174)=0,"",INDEX(对接源_01水果!$E$4:$E$1203,$S174)))</f>
        <v/>
      </c>
      <c r="C174" s="85" t="str">
        <f aca="false">IF($S174="","",IF(INDEX(对接源_01水果!$F$4:$F$1203,$S174)=0,"",INDEX(对接源_01水果!$F$4:$F$1203,$S174)))</f>
        <v/>
      </c>
      <c r="D174" s="85" t="str">
        <f aca="false">IF($S174="","",IF(INDEX(对接源_01水果!$G$4:$G$1203,$S174)=0,"",INDEX(对接源_01水果!$G$4:$G$1203,$S174)))</f>
        <v/>
      </c>
      <c r="E174" s="86" t="str">
        <f aca="false">IF($S174="","",IF(INDEX(对接源_01水果!$H$4:$H$1203,$S174)=0,"",INDEX(对接源_01水果!$H$4:$H$1203,$S174)))</f>
        <v/>
      </c>
      <c r="F174" s="85" t="str">
        <f aca="false">IF($S174="","",IF(INDEX(对接源_01水果!$I$4:$I$1203,$S174)=0,"",INDEX(对接源_01水果!$I$4:$I$1203,$S174)))</f>
        <v/>
      </c>
      <c r="G174" s="87" t="str">
        <f aca="false">IF($S174="","",IF(INDEX(对接源_01水果!$AD$4:$AD$1203,$S174)=0,"",INDEX(对接源_01水果!$AD$4:$AD$1203,$S174)))</f>
        <v/>
      </c>
      <c r="H174" s="87" t="str">
        <f aca="false">IF($S174="","",IF(INDEX(对接源_01水果!$AE$4:$AE$1203,$S174)=0,"",INDEX(对接源_01水果!$AE$4:$AE$1203,$S174)))</f>
        <v/>
      </c>
      <c r="I174" s="87" t="str">
        <f aca="false">IF($S174="","",IF(INDEX(对接源_01水果!$AF$4:$AF$1203,$S174)=0,"",INDEX(对接源_01水果!$AF$4:$AF$1203,$S174)))</f>
        <v/>
      </c>
      <c r="J174" s="88" t="str">
        <f aca="false">IF($S174="","",IF(INDEX(对接源_01水果!$K$4:$K$1203,$S174)=0,"",INDEX(对接源_01水果!$K$4:$K$1203,$S174)))</f>
        <v/>
      </c>
      <c r="K174" s="85" t="str">
        <f aca="false">IF($S174="","",IF(INDEX(对接源_01水果!$L$4:$L$1203,$S174)=0,"",INDEX(对接源_01水果!$L$4:$L$1203,$S174)))</f>
        <v/>
      </c>
      <c r="L174" s="89" t="str">
        <f aca="false">IF($S174="","",IF(INDEX(对接源_01水果!$M$4:$M$1203,$S174)=0,"",INDEX(对接源_01水果!$M$4:$M$1203,$S174)))</f>
        <v/>
      </c>
      <c r="S17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5" customFormat="false" ht="15.75" hidden="false" customHeight="true" outlineLevel="0" collapsed="false">
      <c r="A175" s="84" t="str">
        <f aca="false">IF($S175="","",IF(INDEX(对接源_01水果!$B$4:$B$1203,$S175)=0,"",INDEX(对接源_01水果!$B$4:$B$1203,$S175)))</f>
        <v/>
      </c>
      <c r="B175" s="85" t="str">
        <f aca="false">IF($S175="","",IF(INDEX(对接源_01水果!$E$4:$E$1203,$S175)=0,"",INDEX(对接源_01水果!$E$4:$E$1203,$S175)))</f>
        <v/>
      </c>
      <c r="C175" s="85" t="str">
        <f aca="false">IF($S175="","",IF(INDEX(对接源_01水果!$F$4:$F$1203,$S175)=0,"",INDEX(对接源_01水果!$F$4:$F$1203,$S175)))</f>
        <v/>
      </c>
      <c r="D175" s="85" t="str">
        <f aca="false">IF($S175="","",IF(INDEX(对接源_01水果!$G$4:$G$1203,$S175)=0,"",INDEX(对接源_01水果!$G$4:$G$1203,$S175)))</f>
        <v/>
      </c>
      <c r="E175" s="86" t="str">
        <f aca="false">IF($S175="","",IF(INDEX(对接源_01水果!$H$4:$H$1203,$S175)=0,"",INDEX(对接源_01水果!$H$4:$H$1203,$S175)))</f>
        <v/>
      </c>
      <c r="F175" s="85" t="str">
        <f aca="false">IF($S175="","",IF(INDEX(对接源_01水果!$I$4:$I$1203,$S175)=0,"",INDEX(对接源_01水果!$I$4:$I$1203,$S175)))</f>
        <v/>
      </c>
      <c r="G175" s="87" t="str">
        <f aca="false">IF($S175="","",IF(INDEX(对接源_01水果!$AD$4:$AD$1203,$S175)=0,"",INDEX(对接源_01水果!$AD$4:$AD$1203,$S175)))</f>
        <v/>
      </c>
      <c r="H175" s="87" t="str">
        <f aca="false">IF($S175="","",IF(INDEX(对接源_01水果!$AE$4:$AE$1203,$S175)=0,"",INDEX(对接源_01水果!$AE$4:$AE$1203,$S175)))</f>
        <v/>
      </c>
      <c r="I175" s="87" t="str">
        <f aca="false">IF($S175="","",IF(INDEX(对接源_01水果!$AF$4:$AF$1203,$S175)=0,"",INDEX(对接源_01水果!$AF$4:$AF$1203,$S175)))</f>
        <v/>
      </c>
      <c r="J175" s="88" t="str">
        <f aca="false">IF($S175="","",IF(INDEX(对接源_01水果!$K$4:$K$1203,$S175)=0,"",INDEX(对接源_01水果!$K$4:$K$1203,$S175)))</f>
        <v/>
      </c>
      <c r="K175" s="85" t="str">
        <f aca="false">IF($S175="","",IF(INDEX(对接源_01水果!$L$4:$L$1203,$S175)=0,"",INDEX(对接源_01水果!$L$4:$L$1203,$S175)))</f>
        <v/>
      </c>
      <c r="L175" s="89" t="str">
        <f aca="false">IF($S175="","",IF(INDEX(对接源_01水果!$M$4:$M$1203,$S175)=0,"",INDEX(对接源_01水果!$M$4:$M$1203,$S175)))</f>
        <v/>
      </c>
      <c r="S17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6" customFormat="false" ht="15.75" hidden="false" customHeight="true" outlineLevel="0" collapsed="false">
      <c r="A176" s="84" t="str">
        <f aca="false">IF($S176="","",IF(INDEX(对接源_01水果!$B$4:$B$1203,$S176)=0,"",INDEX(对接源_01水果!$B$4:$B$1203,$S176)))</f>
        <v/>
      </c>
      <c r="B176" s="85" t="str">
        <f aca="false">IF($S176="","",IF(INDEX(对接源_01水果!$E$4:$E$1203,$S176)=0,"",INDEX(对接源_01水果!$E$4:$E$1203,$S176)))</f>
        <v/>
      </c>
      <c r="C176" s="85" t="str">
        <f aca="false">IF($S176="","",IF(INDEX(对接源_01水果!$F$4:$F$1203,$S176)=0,"",INDEX(对接源_01水果!$F$4:$F$1203,$S176)))</f>
        <v/>
      </c>
      <c r="D176" s="85" t="str">
        <f aca="false">IF($S176="","",IF(INDEX(对接源_01水果!$G$4:$G$1203,$S176)=0,"",INDEX(对接源_01水果!$G$4:$G$1203,$S176)))</f>
        <v/>
      </c>
      <c r="E176" s="86" t="str">
        <f aca="false">IF($S176="","",IF(INDEX(对接源_01水果!$H$4:$H$1203,$S176)=0,"",INDEX(对接源_01水果!$H$4:$H$1203,$S176)))</f>
        <v/>
      </c>
      <c r="F176" s="85" t="str">
        <f aca="false">IF($S176="","",IF(INDEX(对接源_01水果!$I$4:$I$1203,$S176)=0,"",INDEX(对接源_01水果!$I$4:$I$1203,$S176)))</f>
        <v/>
      </c>
      <c r="G176" s="87" t="str">
        <f aca="false">IF($S176="","",IF(INDEX(对接源_01水果!$AD$4:$AD$1203,$S176)=0,"",INDEX(对接源_01水果!$AD$4:$AD$1203,$S176)))</f>
        <v/>
      </c>
      <c r="H176" s="87" t="str">
        <f aca="false">IF($S176="","",IF(INDEX(对接源_01水果!$AE$4:$AE$1203,$S176)=0,"",INDEX(对接源_01水果!$AE$4:$AE$1203,$S176)))</f>
        <v/>
      </c>
      <c r="I176" s="87" t="str">
        <f aca="false">IF($S176="","",IF(INDEX(对接源_01水果!$AF$4:$AF$1203,$S176)=0,"",INDEX(对接源_01水果!$AF$4:$AF$1203,$S176)))</f>
        <v/>
      </c>
      <c r="J176" s="88" t="str">
        <f aca="false">IF($S176="","",IF(INDEX(对接源_01水果!$K$4:$K$1203,$S176)=0,"",INDEX(对接源_01水果!$K$4:$K$1203,$S176)))</f>
        <v/>
      </c>
      <c r="K176" s="85" t="str">
        <f aca="false">IF($S176="","",IF(INDEX(对接源_01水果!$L$4:$L$1203,$S176)=0,"",INDEX(对接源_01水果!$L$4:$L$1203,$S176)))</f>
        <v/>
      </c>
      <c r="L176" s="89" t="str">
        <f aca="false">IF($S176="","",IF(INDEX(对接源_01水果!$M$4:$M$1203,$S176)=0,"",INDEX(对接源_01水果!$M$4:$M$1203,$S176)))</f>
        <v/>
      </c>
      <c r="S17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7" customFormat="false" ht="15.75" hidden="false" customHeight="true" outlineLevel="0" collapsed="false">
      <c r="A177" s="84" t="str">
        <f aca="false">IF($S177="","",IF(INDEX(对接源_01水果!$B$4:$B$1203,$S177)=0,"",INDEX(对接源_01水果!$B$4:$B$1203,$S177)))</f>
        <v/>
      </c>
      <c r="B177" s="85" t="str">
        <f aca="false">IF($S177="","",IF(INDEX(对接源_01水果!$E$4:$E$1203,$S177)=0,"",INDEX(对接源_01水果!$E$4:$E$1203,$S177)))</f>
        <v/>
      </c>
      <c r="C177" s="85" t="str">
        <f aca="false">IF($S177="","",IF(INDEX(对接源_01水果!$F$4:$F$1203,$S177)=0,"",INDEX(对接源_01水果!$F$4:$F$1203,$S177)))</f>
        <v/>
      </c>
      <c r="D177" s="85" t="str">
        <f aca="false">IF($S177="","",IF(INDEX(对接源_01水果!$G$4:$G$1203,$S177)=0,"",INDEX(对接源_01水果!$G$4:$G$1203,$S177)))</f>
        <v/>
      </c>
      <c r="E177" s="86" t="str">
        <f aca="false">IF($S177="","",IF(INDEX(对接源_01水果!$H$4:$H$1203,$S177)=0,"",INDEX(对接源_01水果!$H$4:$H$1203,$S177)))</f>
        <v/>
      </c>
      <c r="F177" s="85" t="str">
        <f aca="false">IF($S177="","",IF(INDEX(对接源_01水果!$I$4:$I$1203,$S177)=0,"",INDEX(对接源_01水果!$I$4:$I$1203,$S177)))</f>
        <v/>
      </c>
      <c r="G177" s="87" t="str">
        <f aca="false">IF($S177="","",IF(INDEX(对接源_01水果!$AD$4:$AD$1203,$S177)=0,"",INDEX(对接源_01水果!$AD$4:$AD$1203,$S177)))</f>
        <v/>
      </c>
      <c r="H177" s="87" t="str">
        <f aca="false">IF($S177="","",IF(INDEX(对接源_01水果!$AE$4:$AE$1203,$S177)=0,"",INDEX(对接源_01水果!$AE$4:$AE$1203,$S177)))</f>
        <v/>
      </c>
      <c r="I177" s="87" t="str">
        <f aca="false">IF($S177="","",IF(INDEX(对接源_01水果!$AF$4:$AF$1203,$S177)=0,"",INDEX(对接源_01水果!$AF$4:$AF$1203,$S177)))</f>
        <v/>
      </c>
      <c r="J177" s="88" t="str">
        <f aca="false">IF($S177="","",IF(INDEX(对接源_01水果!$K$4:$K$1203,$S177)=0,"",INDEX(对接源_01水果!$K$4:$K$1203,$S177)))</f>
        <v/>
      </c>
      <c r="K177" s="85" t="str">
        <f aca="false">IF($S177="","",IF(INDEX(对接源_01水果!$L$4:$L$1203,$S177)=0,"",INDEX(对接源_01水果!$L$4:$L$1203,$S177)))</f>
        <v/>
      </c>
      <c r="L177" s="89" t="str">
        <f aca="false">IF($S177="","",IF(INDEX(对接源_01水果!$M$4:$M$1203,$S177)=0,"",INDEX(对接源_01水果!$M$4:$M$1203,$S177)))</f>
        <v/>
      </c>
      <c r="S17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8" customFormat="false" ht="15.75" hidden="false" customHeight="true" outlineLevel="0" collapsed="false">
      <c r="A178" s="84" t="str">
        <f aca="false">IF($S178="","",IF(INDEX(对接源_01水果!$B$4:$B$1203,$S178)=0,"",INDEX(对接源_01水果!$B$4:$B$1203,$S178)))</f>
        <v/>
      </c>
      <c r="B178" s="85" t="str">
        <f aca="false">IF($S178="","",IF(INDEX(对接源_01水果!$E$4:$E$1203,$S178)=0,"",INDEX(对接源_01水果!$E$4:$E$1203,$S178)))</f>
        <v/>
      </c>
      <c r="C178" s="85" t="str">
        <f aca="false">IF($S178="","",IF(INDEX(对接源_01水果!$F$4:$F$1203,$S178)=0,"",INDEX(对接源_01水果!$F$4:$F$1203,$S178)))</f>
        <v/>
      </c>
      <c r="D178" s="85" t="str">
        <f aca="false">IF($S178="","",IF(INDEX(对接源_01水果!$G$4:$G$1203,$S178)=0,"",INDEX(对接源_01水果!$G$4:$G$1203,$S178)))</f>
        <v/>
      </c>
      <c r="E178" s="86" t="str">
        <f aca="false">IF($S178="","",IF(INDEX(对接源_01水果!$H$4:$H$1203,$S178)=0,"",INDEX(对接源_01水果!$H$4:$H$1203,$S178)))</f>
        <v/>
      </c>
      <c r="F178" s="85" t="str">
        <f aca="false">IF($S178="","",IF(INDEX(对接源_01水果!$I$4:$I$1203,$S178)=0,"",INDEX(对接源_01水果!$I$4:$I$1203,$S178)))</f>
        <v/>
      </c>
      <c r="G178" s="87" t="str">
        <f aca="false">IF($S178="","",IF(INDEX(对接源_01水果!$AD$4:$AD$1203,$S178)=0,"",INDEX(对接源_01水果!$AD$4:$AD$1203,$S178)))</f>
        <v/>
      </c>
      <c r="H178" s="87" t="str">
        <f aca="false">IF($S178="","",IF(INDEX(对接源_01水果!$AE$4:$AE$1203,$S178)=0,"",INDEX(对接源_01水果!$AE$4:$AE$1203,$S178)))</f>
        <v/>
      </c>
      <c r="I178" s="87" t="str">
        <f aca="false">IF($S178="","",IF(INDEX(对接源_01水果!$AF$4:$AF$1203,$S178)=0,"",INDEX(对接源_01水果!$AF$4:$AF$1203,$S178)))</f>
        <v/>
      </c>
      <c r="J178" s="88" t="str">
        <f aca="false">IF($S178="","",IF(INDEX(对接源_01水果!$K$4:$K$1203,$S178)=0,"",INDEX(对接源_01水果!$K$4:$K$1203,$S178)))</f>
        <v/>
      </c>
      <c r="K178" s="85" t="str">
        <f aca="false">IF($S178="","",IF(INDEX(对接源_01水果!$L$4:$L$1203,$S178)=0,"",INDEX(对接源_01水果!$L$4:$L$1203,$S178)))</f>
        <v/>
      </c>
      <c r="L178" s="89" t="str">
        <f aca="false">IF($S178="","",IF(INDEX(对接源_01水果!$M$4:$M$1203,$S178)=0,"",INDEX(对接源_01水果!$M$4:$M$1203,$S178)))</f>
        <v/>
      </c>
      <c r="S17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9" customFormat="false" ht="15.75" hidden="false" customHeight="true" outlineLevel="0" collapsed="false">
      <c r="A179" s="84" t="str">
        <f aca="false">IF($S179="","",IF(INDEX(对接源_01水果!$B$4:$B$1203,$S179)=0,"",INDEX(对接源_01水果!$B$4:$B$1203,$S179)))</f>
        <v/>
      </c>
      <c r="B179" s="85" t="str">
        <f aca="false">IF($S179="","",IF(INDEX(对接源_01水果!$E$4:$E$1203,$S179)=0,"",INDEX(对接源_01水果!$E$4:$E$1203,$S179)))</f>
        <v/>
      </c>
      <c r="C179" s="85" t="str">
        <f aca="false">IF($S179="","",IF(INDEX(对接源_01水果!$F$4:$F$1203,$S179)=0,"",INDEX(对接源_01水果!$F$4:$F$1203,$S179)))</f>
        <v/>
      </c>
      <c r="D179" s="85" t="str">
        <f aca="false">IF($S179="","",IF(INDEX(对接源_01水果!$G$4:$G$1203,$S179)=0,"",INDEX(对接源_01水果!$G$4:$G$1203,$S179)))</f>
        <v/>
      </c>
      <c r="E179" s="86" t="str">
        <f aca="false">IF($S179="","",IF(INDEX(对接源_01水果!$H$4:$H$1203,$S179)=0,"",INDEX(对接源_01水果!$H$4:$H$1203,$S179)))</f>
        <v/>
      </c>
      <c r="F179" s="85" t="str">
        <f aca="false">IF($S179="","",IF(INDEX(对接源_01水果!$I$4:$I$1203,$S179)=0,"",INDEX(对接源_01水果!$I$4:$I$1203,$S179)))</f>
        <v/>
      </c>
      <c r="G179" s="87" t="str">
        <f aca="false">IF($S179="","",IF(INDEX(对接源_01水果!$AD$4:$AD$1203,$S179)=0,"",INDEX(对接源_01水果!$AD$4:$AD$1203,$S179)))</f>
        <v/>
      </c>
      <c r="H179" s="87" t="str">
        <f aca="false">IF($S179="","",IF(INDEX(对接源_01水果!$AE$4:$AE$1203,$S179)=0,"",INDEX(对接源_01水果!$AE$4:$AE$1203,$S179)))</f>
        <v/>
      </c>
      <c r="I179" s="87" t="str">
        <f aca="false">IF($S179="","",IF(INDEX(对接源_01水果!$AF$4:$AF$1203,$S179)=0,"",INDEX(对接源_01水果!$AF$4:$AF$1203,$S179)))</f>
        <v/>
      </c>
      <c r="J179" s="88" t="str">
        <f aca="false">IF($S179="","",IF(INDEX(对接源_01水果!$K$4:$K$1203,$S179)=0,"",INDEX(对接源_01水果!$K$4:$K$1203,$S179)))</f>
        <v/>
      </c>
      <c r="K179" s="85" t="str">
        <f aca="false">IF($S179="","",IF(INDEX(对接源_01水果!$L$4:$L$1203,$S179)=0,"",INDEX(对接源_01水果!$L$4:$L$1203,$S179)))</f>
        <v/>
      </c>
      <c r="L179" s="89" t="str">
        <f aca="false">IF($S179="","",IF(INDEX(对接源_01水果!$M$4:$M$1203,$S179)=0,"",INDEX(对接源_01水果!$M$4:$M$1203,$S179)))</f>
        <v/>
      </c>
      <c r="S17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0" customFormat="false" ht="15.75" hidden="false" customHeight="true" outlineLevel="0" collapsed="false">
      <c r="A180" s="84" t="str">
        <f aca="false">IF($S180="","",IF(INDEX(对接源_01水果!$B$4:$B$1203,$S180)=0,"",INDEX(对接源_01水果!$B$4:$B$1203,$S180)))</f>
        <v/>
      </c>
      <c r="B180" s="85" t="str">
        <f aca="false">IF($S180="","",IF(INDEX(对接源_01水果!$E$4:$E$1203,$S180)=0,"",INDEX(对接源_01水果!$E$4:$E$1203,$S180)))</f>
        <v/>
      </c>
      <c r="C180" s="85" t="str">
        <f aca="false">IF($S180="","",IF(INDEX(对接源_01水果!$F$4:$F$1203,$S180)=0,"",INDEX(对接源_01水果!$F$4:$F$1203,$S180)))</f>
        <v/>
      </c>
      <c r="D180" s="85" t="str">
        <f aca="false">IF($S180="","",IF(INDEX(对接源_01水果!$G$4:$G$1203,$S180)=0,"",INDEX(对接源_01水果!$G$4:$G$1203,$S180)))</f>
        <v/>
      </c>
      <c r="E180" s="86" t="str">
        <f aca="false">IF($S180="","",IF(INDEX(对接源_01水果!$H$4:$H$1203,$S180)=0,"",INDEX(对接源_01水果!$H$4:$H$1203,$S180)))</f>
        <v/>
      </c>
      <c r="F180" s="85" t="str">
        <f aca="false">IF($S180="","",IF(INDEX(对接源_01水果!$I$4:$I$1203,$S180)=0,"",INDEX(对接源_01水果!$I$4:$I$1203,$S180)))</f>
        <v/>
      </c>
      <c r="G180" s="87" t="str">
        <f aca="false">IF($S180="","",IF(INDEX(对接源_01水果!$AD$4:$AD$1203,$S180)=0,"",INDEX(对接源_01水果!$AD$4:$AD$1203,$S180)))</f>
        <v/>
      </c>
      <c r="H180" s="87" t="str">
        <f aca="false">IF($S180="","",IF(INDEX(对接源_01水果!$AE$4:$AE$1203,$S180)=0,"",INDEX(对接源_01水果!$AE$4:$AE$1203,$S180)))</f>
        <v/>
      </c>
      <c r="I180" s="87" t="str">
        <f aca="false">IF($S180="","",IF(INDEX(对接源_01水果!$AF$4:$AF$1203,$S180)=0,"",INDEX(对接源_01水果!$AF$4:$AF$1203,$S180)))</f>
        <v/>
      </c>
      <c r="J180" s="88" t="str">
        <f aca="false">IF($S180="","",IF(INDEX(对接源_01水果!$K$4:$K$1203,$S180)=0,"",INDEX(对接源_01水果!$K$4:$K$1203,$S180)))</f>
        <v/>
      </c>
      <c r="K180" s="85" t="str">
        <f aca="false">IF($S180="","",IF(INDEX(对接源_01水果!$L$4:$L$1203,$S180)=0,"",INDEX(对接源_01水果!$L$4:$L$1203,$S180)))</f>
        <v/>
      </c>
      <c r="L180" s="89" t="str">
        <f aca="false">IF($S180="","",IF(INDEX(对接源_01水果!$M$4:$M$1203,$S180)=0,"",INDEX(对接源_01水果!$M$4:$M$1203,$S180)))</f>
        <v/>
      </c>
      <c r="S18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1" customFormat="false" ht="15.75" hidden="false" customHeight="true" outlineLevel="0" collapsed="false">
      <c r="A181" s="84" t="str">
        <f aca="false">IF($S181="","",IF(INDEX(对接源_01水果!$B$4:$B$1203,$S181)=0,"",INDEX(对接源_01水果!$B$4:$B$1203,$S181)))</f>
        <v/>
      </c>
      <c r="B181" s="85" t="str">
        <f aca="false">IF($S181="","",IF(INDEX(对接源_01水果!$E$4:$E$1203,$S181)=0,"",INDEX(对接源_01水果!$E$4:$E$1203,$S181)))</f>
        <v/>
      </c>
      <c r="C181" s="85" t="str">
        <f aca="false">IF($S181="","",IF(INDEX(对接源_01水果!$F$4:$F$1203,$S181)=0,"",INDEX(对接源_01水果!$F$4:$F$1203,$S181)))</f>
        <v/>
      </c>
      <c r="D181" s="85" t="str">
        <f aca="false">IF($S181="","",IF(INDEX(对接源_01水果!$G$4:$G$1203,$S181)=0,"",INDEX(对接源_01水果!$G$4:$G$1203,$S181)))</f>
        <v/>
      </c>
      <c r="E181" s="86" t="str">
        <f aca="false">IF($S181="","",IF(INDEX(对接源_01水果!$H$4:$H$1203,$S181)=0,"",INDEX(对接源_01水果!$H$4:$H$1203,$S181)))</f>
        <v/>
      </c>
      <c r="F181" s="85" t="str">
        <f aca="false">IF($S181="","",IF(INDEX(对接源_01水果!$I$4:$I$1203,$S181)=0,"",INDEX(对接源_01水果!$I$4:$I$1203,$S181)))</f>
        <v/>
      </c>
      <c r="G181" s="87" t="str">
        <f aca="false">IF($S181="","",IF(INDEX(对接源_01水果!$AD$4:$AD$1203,$S181)=0,"",INDEX(对接源_01水果!$AD$4:$AD$1203,$S181)))</f>
        <v/>
      </c>
      <c r="H181" s="87" t="str">
        <f aca="false">IF($S181="","",IF(INDEX(对接源_01水果!$AE$4:$AE$1203,$S181)=0,"",INDEX(对接源_01水果!$AE$4:$AE$1203,$S181)))</f>
        <v/>
      </c>
      <c r="I181" s="87" t="str">
        <f aca="false">IF($S181="","",IF(INDEX(对接源_01水果!$AF$4:$AF$1203,$S181)=0,"",INDEX(对接源_01水果!$AF$4:$AF$1203,$S181)))</f>
        <v/>
      </c>
      <c r="J181" s="88" t="str">
        <f aca="false">IF($S181="","",IF(INDEX(对接源_01水果!$K$4:$K$1203,$S181)=0,"",INDEX(对接源_01水果!$K$4:$K$1203,$S181)))</f>
        <v/>
      </c>
      <c r="K181" s="85" t="str">
        <f aca="false">IF($S181="","",IF(INDEX(对接源_01水果!$L$4:$L$1203,$S181)=0,"",INDEX(对接源_01水果!$L$4:$L$1203,$S181)))</f>
        <v/>
      </c>
      <c r="L181" s="89" t="str">
        <f aca="false">IF($S181="","",IF(INDEX(对接源_01水果!$M$4:$M$1203,$S181)=0,"",INDEX(对接源_01水果!$M$4:$M$1203,$S181)))</f>
        <v/>
      </c>
      <c r="S18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2" customFormat="false" ht="15.75" hidden="false" customHeight="true" outlineLevel="0" collapsed="false">
      <c r="A182" s="84" t="str">
        <f aca="false">IF($S182="","",IF(INDEX(对接源_01水果!$B$4:$B$1203,$S182)=0,"",INDEX(对接源_01水果!$B$4:$B$1203,$S182)))</f>
        <v/>
      </c>
      <c r="B182" s="85" t="str">
        <f aca="false">IF($S182="","",IF(INDEX(对接源_01水果!$E$4:$E$1203,$S182)=0,"",INDEX(对接源_01水果!$E$4:$E$1203,$S182)))</f>
        <v/>
      </c>
      <c r="C182" s="85" t="str">
        <f aca="false">IF($S182="","",IF(INDEX(对接源_01水果!$F$4:$F$1203,$S182)=0,"",INDEX(对接源_01水果!$F$4:$F$1203,$S182)))</f>
        <v/>
      </c>
      <c r="D182" s="85" t="str">
        <f aca="false">IF($S182="","",IF(INDEX(对接源_01水果!$G$4:$G$1203,$S182)=0,"",INDEX(对接源_01水果!$G$4:$G$1203,$S182)))</f>
        <v/>
      </c>
      <c r="E182" s="86" t="str">
        <f aca="false">IF($S182="","",IF(INDEX(对接源_01水果!$H$4:$H$1203,$S182)=0,"",INDEX(对接源_01水果!$H$4:$H$1203,$S182)))</f>
        <v/>
      </c>
      <c r="F182" s="85" t="str">
        <f aca="false">IF($S182="","",IF(INDEX(对接源_01水果!$I$4:$I$1203,$S182)=0,"",INDEX(对接源_01水果!$I$4:$I$1203,$S182)))</f>
        <v/>
      </c>
      <c r="G182" s="87" t="str">
        <f aca="false">IF($S182="","",IF(INDEX(对接源_01水果!$AD$4:$AD$1203,$S182)=0,"",INDEX(对接源_01水果!$AD$4:$AD$1203,$S182)))</f>
        <v/>
      </c>
      <c r="H182" s="87" t="str">
        <f aca="false">IF($S182="","",IF(INDEX(对接源_01水果!$AE$4:$AE$1203,$S182)=0,"",INDEX(对接源_01水果!$AE$4:$AE$1203,$S182)))</f>
        <v/>
      </c>
      <c r="I182" s="87" t="str">
        <f aca="false">IF($S182="","",IF(INDEX(对接源_01水果!$AF$4:$AF$1203,$S182)=0,"",INDEX(对接源_01水果!$AF$4:$AF$1203,$S182)))</f>
        <v/>
      </c>
      <c r="J182" s="88" t="str">
        <f aca="false">IF($S182="","",IF(INDEX(对接源_01水果!$K$4:$K$1203,$S182)=0,"",INDEX(对接源_01水果!$K$4:$K$1203,$S182)))</f>
        <v/>
      </c>
      <c r="K182" s="85" t="str">
        <f aca="false">IF($S182="","",IF(INDEX(对接源_01水果!$L$4:$L$1203,$S182)=0,"",INDEX(对接源_01水果!$L$4:$L$1203,$S182)))</f>
        <v/>
      </c>
      <c r="L182" s="89" t="str">
        <f aca="false">IF($S182="","",IF(INDEX(对接源_01水果!$M$4:$M$1203,$S182)=0,"",INDEX(对接源_01水果!$M$4:$M$1203,$S182)))</f>
        <v/>
      </c>
      <c r="S18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3" customFormat="false" ht="15.75" hidden="false" customHeight="true" outlineLevel="0" collapsed="false">
      <c r="A183" s="84" t="str">
        <f aca="false">IF($S183="","",IF(INDEX(对接源_01水果!$B$4:$B$1203,$S183)=0,"",INDEX(对接源_01水果!$B$4:$B$1203,$S183)))</f>
        <v/>
      </c>
      <c r="B183" s="85" t="str">
        <f aca="false">IF($S183="","",IF(INDEX(对接源_01水果!$E$4:$E$1203,$S183)=0,"",INDEX(对接源_01水果!$E$4:$E$1203,$S183)))</f>
        <v/>
      </c>
      <c r="C183" s="85" t="str">
        <f aca="false">IF($S183="","",IF(INDEX(对接源_01水果!$F$4:$F$1203,$S183)=0,"",INDEX(对接源_01水果!$F$4:$F$1203,$S183)))</f>
        <v/>
      </c>
      <c r="D183" s="85" t="str">
        <f aca="false">IF($S183="","",IF(INDEX(对接源_01水果!$G$4:$G$1203,$S183)=0,"",INDEX(对接源_01水果!$G$4:$G$1203,$S183)))</f>
        <v/>
      </c>
      <c r="E183" s="86" t="str">
        <f aca="false">IF($S183="","",IF(INDEX(对接源_01水果!$H$4:$H$1203,$S183)=0,"",INDEX(对接源_01水果!$H$4:$H$1203,$S183)))</f>
        <v/>
      </c>
      <c r="F183" s="85" t="str">
        <f aca="false">IF($S183="","",IF(INDEX(对接源_01水果!$I$4:$I$1203,$S183)=0,"",INDEX(对接源_01水果!$I$4:$I$1203,$S183)))</f>
        <v/>
      </c>
      <c r="G183" s="87" t="str">
        <f aca="false">IF($S183="","",IF(INDEX(对接源_01水果!$AD$4:$AD$1203,$S183)=0,"",INDEX(对接源_01水果!$AD$4:$AD$1203,$S183)))</f>
        <v/>
      </c>
      <c r="H183" s="87" t="str">
        <f aca="false">IF($S183="","",IF(INDEX(对接源_01水果!$AE$4:$AE$1203,$S183)=0,"",INDEX(对接源_01水果!$AE$4:$AE$1203,$S183)))</f>
        <v/>
      </c>
      <c r="I183" s="87" t="str">
        <f aca="false">IF($S183="","",IF(INDEX(对接源_01水果!$AF$4:$AF$1203,$S183)=0,"",INDEX(对接源_01水果!$AF$4:$AF$1203,$S183)))</f>
        <v/>
      </c>
      <c r="J183" s="88" t="str">
        <f aca="false">IF($S183="","",IF(INDEX(对接源_01水果!$K$4:$K$1203,$S183)=0,"",INDEX(对接源_01水果!$K$4:$K$1203,$S183)))</f>
        <v/>
      </c>
      <c r="K183" s="85" t="str">
        <f aca="false">IF($S183="","",IF(INDEX(对接源_01水果!$L$4:$L$1203,$S183)=0,"",INDEX(对接源_01水果!$L$4:$L$1203,$S183)))</f>
        <v/>
      </c>
      <c r="L183" s="89" t="str">
        <f aca="false">IF($S183="","",IF(INDEX(对接源_01水果!$M$4:$M$1203,$S183)=0,"",INDEX(对接源_01水果!$M$4:$M$1203,$S183)))</f>
        <v/>
      </c>
      <c r="S18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4" customFormat="false" ht="15.75" hidden="false" customHeight="true" outlineLevel="0" collapsed="false">
      <c r="A184" s="84" t="str">
        <f aca="false">IF($S184="","",IF(INDEX(对接源_01水果!$B$4:$B$1203,$S184)=0,"",INDEX(对接源_01水果!$B$4:$B$1203,$S184)))</f>
        <v/>
      </c>
      <c r="B184" s="85" t="str">
        <f aca="false">IF($S184="","",IF(INDEX(对接源_01水果!$E$4:$E$1203,$S184)=0,"",INDEX(对接源_01水果!$E$4:$E$1203,$S184)))</f>
        <v/>
      </c>
      <c r="C184" s="85" t="str">
        <f aca="false">IF($S184="","",IF(INDEX(对接源_01水果!$F$4:$F$1203,$S184)=0,"",INDEX(对接源_01水果!$F$4:$F$1203,$S184)))</f>
        <v/>
      </c>
      <c r="D184" s="85" t="str">
        <f aca="false">IF($S184="","",IF(INDEX(对接源_01水果!$G$4:$G$1203,$S184)=0,"",INDEX(对接源_01水果!$G$4:$G$1203,$S184)))</f>
        <v/>
      </c>
      <c r="E184" s="86" t="str">
        <f aca="false">IF($S184="","",IF(INDEX(对接源_01水果!$H$4:$H$1203,$S184)=0,"",INDEX(对接源_01水果!$H$4:$H$1203,$S184)))</f>
        <v/>
      </c>
      <c r="F184" s="85" t="str">
        <f aca="false">IF($S184="","",IF(INDEX(对接源_01水果!$I$4:$I$1203,$S184)=0,"",INDEX(对接源_01水果!$I$4:$I$1203,$S184)))</f>
        <v/>
      </c>
      <c r="G184" s="87" t="str">
        <f aca="false">IF($S184="","",IF(INDEX(对接源_01水果!$AD$4:$AD$1203,$S184)=0,"",INDEX(对接源_01水果!$AD$4:$AD$1203,$S184)))</f>
        <v/>
      </c>
      <c r="H184" s="87" t="str">
        <f aca="false">IF($S184="","",IF(INDEX(对接源_01水果!$AE$4:$AE$1203,$S184)=0,"",INDEX(对接源_01水果!$AE$4:$AE$1203,$S184)))</f>
        <v/>
      </c>
      <c r="I184" s="87" t="str">
        <f aca="false">IF($S184="","",IF(INDEX(对接源_01水果!$AF$4:$AF$1203,$S184)=0,"",INDEX(对接源_01水果!$AF$4:$AF$1203,$S184)))</f>
        <v/>
      </c>
      <c r="J184" s="88" t="str">
        <f aca="false">IF($S184="","",IF(INDEX(对接源_01水果!$K$4:$K$1203,$S184)=0,"",INDEX(对接源_01水果!$K$4:$K$1203,$S184)))</f>
        <v/>
      </c>
      <c r="K184" s="85" t="str">
        <f aca="false">IF($S184="","",IF(INDEX(对接源_01水果!$L$4:$L$1203,$S184)=0,"",INDEX(对接源_01水果!$L$4:$L$1203,$S184)))</f>
        <v/>
      </c>
      <c r="L184" s="89" t="str">
        <f aca="false">IF($S184="","",IF(INDEX(对接源_01水果!$M$4:$M$1203,$S184)=0,"",INDEX(对接源_01水果!$M$4:$M$1203,$S184)))</f>
        <v/>
      </c>
      <c r="S18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5" customFormat="false" ht="15.75" hidden="false" customHeight="true" outlineLevel="0" collapsed="false">
      <c r="A185" s="84" t="str">
        <f aca="false">IF($S185="","",IF(INDEX(对接源_01水果!$B$4:$B$1203,$S185)=0,"",INDEX(对接源_01水果!$B$4:$B$1203,$S185)))</f>
        <v/>
      </c>
      <c r="B185" s="85" t="str">
        <f aca="false">IF($S185="","",IF(INDEX(对接源_01水果!$E$4:$E$1203,$S185)=0,"",INDEX(对接源_01水果!$E$4:$E$1203,$S185)))</f>
        <v/>
      </c>
      <c r="C185" s="85" t="str">
        <f aca="false">IF($S185="","",IF(INDEX(对接源_01水果!$F$4:$F$1203,$S185)=0,"",INDEX(对接源_01水果!$F$4:$F$1203,$S185)))</f>
        <v/>
      </c>
      <c r="D185" s="85" t="str">
        <f aca="false">IF($S185="","",IF(INDEX(对接源_01水果!$G$4:$G$1203,$S185)=0,"",INDEX(对接源_01水果!$G$4:$G$1203,$S185)))</f>
        <v/>
      </c>
      <c r="E185" s="86" t="str">
        <f aca="false">IF($S185="","",IF(INDEX(对接源_01水果!$H$4:$H$1203,$S185)=0,"",INDEX(对接源_01水果!$H$4:$H$1203,$S185)))</f>
        <v/>
      </c>
      <c r="F185" s="85" t="str">
        <f aca="false">IF($S185="","",IF(INDEX(对接源_01水果!$I$4:$I$1203,$S185)=0,"",INDEX(对接源_01水果!$I$4:$I$1203,$S185)))</f>
        <v/>
      </c>
      <c r="G185" s="87" t="str">
        <f aca="false">IF($S185="","",IF(INDEX(对接源_01水果!$AD$4:$AD$1203,$S185)=0,"",INDEX(对接源_01水果!$AD$4:$AD$1203,$S185)))</f>
        <v/>
      </c>
      <c r="H185" s="87" t="str">
        <f aca="false">IF($S185="","",IF(INDEX(对接源_01水果!$AE$4:$AE$1203,$S185)=0,"",INDEX(对接源_01水果!$AE$4:$AE$1203,$S185)))</f>
        <v/>
      </c>
      <c r="I185" s="87" t="str">
        <f aca="false">IF($S185="","",IF(INDEX(对接源_01水果!$AF$4:$AF$1203,$S185)=0,"",INDEX(对接源_01水果!$AF$4:$AF$1203,$S185)))</f>
        <v/>
      </c>
      <c r="J185" s="88" t="str">
        <f aca="false">IF($S185="","",IF(INDEX(对接源_01水果!$K$4:$K$1203,$S185)=0,"",INDEX(对接源_01水果!$K$4:$K$1203,$S185)))</f>
        <v/>
      </c>
      <c r="K185" s="85" t="str">
        <f aca="false">IF($S185="","",IF(INDEX(对接源_01水果!$L$4:$L$1203,$S185)=0,"",INDEX(对接源_01水果!$L$4:$L$1203,$S185)))</f>
        <v/>
      </c>
      <c r="L185" s="89" t="str">
        <f aca="false">IF($S185="","",IF(INDEX(对接源_01水果!$M$4:$M$1203,$S185)=0,"",INDEX(对接源_01水果!$M$4:$M$1203,$S185)))</f>
        <v/>
      </c>
      <c r="S18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6" customFormat="false" ht="15.75" hidden="false" customHeight="true" outlineLevel="0" collapsed="false">
      <c r="A186" s="84" t="str">
        <f aca="false">IF($S186="","",IF(INDEX(对接源_01水果!$B$4:$B$1203,$S186)=0,"",INDEX(对接源_01水果!$B$4:$B$1203,$S186)))</f>
        <v/>
      </c>
      <c r="B186" s="85" t="str">
        <f aca="false">IF($S186="","",IF(INDEX(对接源_01水果!$E$4:$E$1203,$S186)=0,"",INDEX(对接源_01水果!$E$4:$E$1203,$S186)))</f>
        <v/>
      </c>
      <c r="C186" s="85" t="str">
        <f aca="false">IF($S186="","",IF(INDEX(对接源_01水果!$F$4:$F$1203,$S186)=0,"",INDEX(对接源_01水果!$F$4:$F$1203,$S186)))</f>
        <v/>
      </c>
      <c r="D186" s="85" t="str">
        <f aca="false">IF($S186="","",IF(INDEX(对接源_01水果!$G$4:$G$1203,$S186)=0,"",INDEX(对接源_01水果!$G$4:$G$1203,$S186)))</f>
        <v/>
      </c>
      <c r="E186" s="86" t="str">
        <f aca="false">IF($S186="","",IF(INDEX(对接源_01水果!$H$4:$H$1203,$S186)=0,"",INDEX(对接源_01水果!$H$4:$H$1203,$S186)))</f>
        <v/>
      </c>
      <c r="F186" s="85" t="str">
        <f aca="false">IF($S186="","",IF(INDEX(对接源_01水果!$I$4:$I$1203,$S186)=0,"",INDEX(对接源_01水果!$I$4:$I$1203,$S186)))</f>
        <v/>
      </c>
      <c r="G186" s="87" t="str">
        <f aca="false">IF($S186="","",IF(INDEX(对接源_01水果!$AD$4:$AD$1203,$S186)=0,"",INDEX(对接源_01水果!$AD$4:$AD$1203,$S186)))</f>
        <v/>
      </c>
      <c r="H186" s="87" t="str">
        <f aca="false">IF($S186="","",IF(INDEX(对接源_01水果!$AE$4:$AE$1203,$S186)=0,"",INDEX(对接源_01水果!$AE$4:$AE$1203,$S186)))</f>
        <v/>
      </c>
      <c r="I186" s="87" t="str">
        <f aca="false">IF($S186="","",IF(INDEX(对接源_01水果!$AF$4:$AF$1203,$S186)=0,"",INDEX(对接源_01水果!$AF$4:$AF$1203,$S186)))</f>
        <v/>
      </c>
      <c r="J186" s="88" t="str">
        <f aca="false">IF($S186="","",IF(INDEX(对接源_01水果!$K$4:$K$1203,$S186)=0,"",INDEX(对接源_01水果!$K$4:$K$1203,$S186)))</f>
        <v/>
      </c>
      <c r="K186" s="85" t="str">
        <f aca="false">IF($S186="","",IF(INDEX(对接源_01水果!$L$4:$L$1203,$S186)=0,"",INDEX(对接源_01水果!$L$4:$L$1203,$S186)))</f>
        <v/>
      </c>
      <c r="L186" s="89" t="str">
        <f aca="false">IF($S186="","",IF(INDEX(对接源_01水果!$M$4:$M$1203,$S186)=0,"",INDEX(对接源_01水果!$M$4:$M$1203,$S186)))</f>
        <v/>
      </c>
      <c r="S18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7" customFormat="false" ht="15.75" hidden="false" customHeight="true" outlineLevel="0" collapsed="false">
      <c r="A187" s="84" t="str">
        <f aca="false">IF($S187="","",IF(INDEX(对接源_01水果!$B$4:$B$1203,$S187)=0,"",INDEX(对接源_01水果!$B$4:$B$1203,$S187)))</f>
        <v/>
      </c>
      <c r="B187" s="85" t="str">
        <f aca="false">IF($S187="","",IF(INDEX(对接源_01水果!$E$4:$E$1203,$S187)=0,"",INDEX(对接源_01水果!$E$4:$E$1203,$S187)))</f>
        <v/>
      </c>
      <c r="C187" s="85" t="str">
        <f aca="false">IF($S187="","",IF(INDEX(对接源_01水果!$F$4:$F$1203,$S187)=0,"",INDEX(对接源_01水果!$F$4:$F$1203,$S187)))</f>
        <v/>
      </c>
      <c r="D187" s="85" t="str">
        <f aca="false">IF($S187="","",IF(INDEX(对接源_01水果!$G$4:$G$1203,$S187)=0,"",INDEX(对接源_01水果!$G$4:$G$1203,$S187)))</f>
        <v/>
      </c>
      <c r="E187" s="86" t="str">
        <f aca="false">IF($S187="","",IF(INDEX(对接源_01水果!$H$4:$H$1203,$S187)=0,"",INDEX(对接源_01水果!$H$4:$H$1203,$S187)))</f>
        <v/>
      </c>
      <c r="F187" s="85" t="str">
        <f aca="false">IF($S187="","",IF(INDEX(对接源_01水果!$I$4:$I$1203,$S187)=0,"",INDEX(对接源_01水果!$I$4:$I$1203,$S187)))</f>
        <v/>
      </c>
      <c r="G187" s="87" t="str">
        <f aca="false">IF($S187="","",IF(INDEX(对接源_01水果!$AD$4:$AD$1203,$S187)=0,"",INDEX(对接源_01水果!$AD$4:$AD$1203,$S187)))</f>
        <v/>
      </c>
      <c r="H187" s="87" t="str">
        <f aca="false">IF($S187="","",IF(INDEX(对接源_01水果!$AE$4:$AE$1203,$S187)=0,"",INDEX(对接源_01水果!$AE$4:$AE$1203,$S187)))</f>
        <v/>
      </c>
      <c r="I187" s="87" t="str">
        <f aca="false">IF($S187="","",IF(INDEX(对接源_01水果!$AF$4:$AF$1203,$S187)=0,"",INDEX(对接源_01水果!$AF$4:$AF$1203,$S187)))</f>
        <v/>
      </c>
      <c r="J187" s="88" t="str">
        <f aca="false">IF($S187="","",IF(INDEX(对接源_01水果!$K$4:$K$1203,$S187)=0,"",INDEX(对接源_01水果!$K$4:$K$1203,$S187)))</f>
        <v/>
      </c>
      <c r="K187" s="85" t="str">
        <f aca="false">IF($S187="","",IF(INDEX(对接源_01水果!$L$4:$L$1203,$S187)=0,"",INDEX(对接源_01水果!$L$4:$L$1203,$S187)))</f>
        <v/>
      </c>
      <c r="L187" s="89" t="str">
        <f aca="false">IF($S187="","",IF(INDEX(对接源_01水果!$M$4:$M$1203,$S187)=0,"",INDEX(对接源_01水果!$M$4:$M$1203,$S187)))</f>
        <v/>
      </c>
      <c r="S18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8" customFormat="false" ht="15.75" hidden="false" customHeight="true" outlineLevel="0" collapsed="false">
      <c r="A188" s="84" t="str">
        <f aca="false">IF($S188="","",IF(INDEX(对接源_01水果!$B$4:$B$1203,$S188)=0,"",INDEX(对接源_01水果!$B$4:$B$1203,$S188)))</f>
        <v/>
      </c>
      <c r="B188" s="85" t="str">
        <f aca="false">IF($S188="","",IF(INDEX(对接源_01水果!$E$4:$E$1203,$S188)=0,"",INDEX(对接源_01水果!$E$4:$E$1203,$S188)))</f>
        <v/>
      </c>
      <c r="C188" s="85" t="str">
        <f aca="false">IF($S188="","",IF(INDEX(对接源_01水果!$F$4:$F$1203,$S188)=0,"",INDEX(对接源_01水果!$F$4:$F$1203,$S188)))</f>
        <v/>
      </c>
      <c r="D188" s="85" t="str">
        <f aca="false">IF($S188="","",IF(INDEX(对接源_01水果!$G$4:$G$1203,$S188)=0,"",INDEX(对接源_01水果!$G$4:$G$1203,$S188)))</f>
        <v/>
      </c>
      <c r="E188" s="86" t="str">
        <f aca="false">IF($S188="","",IF(INDEX(对接源_01水果!$H$4:$H$1203,$S188)=0,"",INDEX(对接源_01水果!$H$4:$H$1203,$S188)))</f>
        <v/>
      </c>
      <c r="F188" s="85" t="str">
        <f aca="false">IF($S188="","",IF(INDEX(对接源_01水果!$I$4:$I$1203,$S188)=0,"",INDEX(对接源_01水果!$I$4:$I$1203,$S188)))</f>
        <v/>
      </c>
      <c r="G188" s="87" t="str">
        <f aca="false">IF($S188="","",IF(INDEX(对接源_01水果!$AD$4:$AD$1203,$S188)=0,"",INDEX(对接源_01水果!$AD$4:$AD$1203,$S188)))</f>
        <v/>
      </c>
      <c r="H188" s="87" t="str">
        <f aca="false">IF($S188="","",IF(INDEX(对接源_01水果!$AE$4:$AE$1203,$S188)=0,"",INDEX(对接源_01水果!$AE$4:$AE$1203,$S188)))</f>
        <v/>
      </c>
      <c r="I188" s="87" t="str">
        <f aca="false">IF($S188="","",IF(INDEX(对接源_01水果!$AF$4:$AF$1203,$S188)=0,"",INDEX(对接源_01水果!$AF$4:$AF$1203,$S188)))</f>
        <v/>
      </c>
      <c r="J188" s="88" t="str">
        <f aca="false">IF($S188="","",IF(INDEX(对接源_01水果!$K$4:$K$1203,$S188)=0,"",INDEX(对接源_01水果!$K$4:$K$1203,$S188)))</f>
        <v/>
      </c>
      <c r="K188" s="85" t="str">
        <f aca="false">IF($S188="","",IF(INDEX(对接源_01水果!$L$4:$L$1203,$S188)=0,"",INDEX(对接源_01水果!$L$4:$L$1203,$S188)))</f>
        <v/>
      </c>
      <c r="L188" s="89" t="str">
        <f aca="false">IF($S188="","",IF(INDEX(对接源_01水果!$M$4:$M$1203,$S188)=0,"",INDEX(对接源_01水果!$M$4:$M$1203,$S188)))</f>
        <v/>
      </c>
      <c r="S18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9" customFormat="false" ht="15.75" hidden="false" customHeight="true" outlineLevel="0" collapsed="false">
      <c r="A189" s="84" t="str">
        <f aca="false">IF($S189="","",IF(INDEX(对接源_01水果!$B$4:$B$1203,$S189)=0,"",INDEX(对接源_01水果!$B$4:$B$1203,$S189)))</f>
        <v/>
      </c>
      <c r="B189" s="85" t="str">
        <f aca="false">IF($S189="","",IF(INDEX(对接源_01水果!$E$4:$E$1203,$S189)=0,"",INDEX(对接源_01水果!$E$4:$E$1203,$S189)))</f>
        <v/>
      </c>
      <c r="C189" s="85" t="str">
        <f aca="false">IF($S189="","",IF(INDEX(对接源_01水果!$F$4:$F$1203,$S189)=0,"",INDEX(对接源_01水果!$F$4:$F$1203,$S189)))</f>
        <v/>
      </c>
      <c r="D189" s="85" t="str">
        <f aca="false">IF($S189="","",IF(INDEX(对接源_01水果!$G$4:$G$1203,$S189)=0,"",INDEX(对接源_01水果!$G$4:$G$1203,$S189)))</f>
        <v/>
      </c>
      <c r="E189" s="86" t="str">
        <f aca="false">IF($S189="","",IF(INDEX(对接源_01水果!$H$4:$H$1203,$S189)=0,"",INDEX(对接源_01水果!$H$4:$H$1203,$S189)))</f>
        <v/>
      </c>
      <c r="F189" s="85" t="str">
        <f aca="false">IF($S189="","",IF(INDEX(对接源_01水果!$I$4:$I$1203,$S189)=0,"",INDEX(对接源_01水果!$I$4:$I$1203,$S189)))</f>
        <v/>
      </c>
      <c r="G189" s="87" t="str">
        <f aca="false">IF($S189="","",IF(INDEX(对接源_01水果!$AD$4:$AD$1203,$S189)=0,"",INDEX(对接源_01水果!$AD$4:$AD$1203,$S189)))</f>
        <v/>
      </c>
      <c r="H189" s="87" t="str">
        <f aca="false">IF($S189="","",IF(INDEX(对接源_01水果!$AE$4:$AE$1203,$S189)=0,"",INDEX(对接源_01水果!$AE$4:$AE$1203,$S189)))</f>
        <v/>
      </c>
      <c r="I189" s="87" t="str">
        <f aca="false">IF($S189="","",IF(INDEX(对接源_01水果!$AF$4:$AF$1203,$S189)=0,"",INDEX(对接源_01水果!$AF$4:$AF$1203,$S189)))</f>
        <v/>
      </c>
      <c r="J189" s="88" t="str">
        <f aca="false">IF($S189="","",IF(INDEX(对接源_01水果!$K$4:$K$1203,$S189)=0,"",INDEX(对接源_01水果!$K$4:$K$1203,$S189)))</f>
        <v/>
      </c>
      <c r="K189" s="85" t="str">
        <f aca="false">IF($S189="","",IF(INDEX(对接源_01水果!$L$4:$L$1203,$S189)=0,"",INDEX(对接源_01水果!$L$4:$L$1203,$S189)))</f>
        <v/>
      </c>
      <c r="L189" s="89" t="str">
        <f aca="false">IF($S189="","",IF(INDEX(对接源_01水果!$M$4:$M$1203,$S189)=0,"",INDEX(对接源_01水果!$M$4:$M$1203,$S189)))</f>
        <v/>
      </c>
      <c r="S18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0" customFormat="false" ht="15.75" hidden="false" customHeight="true" outlineLevel="0" collapsed="false">
      <c r="A190" s="84" t="str">
        <f aca="false">IF($S190="","",IF(INDEX(对接源_01水果!$B$4:$B$1203,$S190)=0,"",INDEX(对接源_01水果!$B$4:$B$1203,$S190)))</f>
        <v/>
      </c>
      <c r="B190" s="85" t="str">
        <f aca="false">IF($S190="","",IF(INDEX(对接源_01水果!$E$4:$E$1203,$S190)=0,"",INDEX(对接源_01水果!$E$4:$E$1203,$S190)))</f>
        <v/>
      </c>
      <c r="C190" s="85" t="str">
        <f aca="false">IF($S190="","",IF(INDEX(对接源_01水果!$F$4:$F$1203,$S190)=0,"",INDEX(对接源_01水果!$F$4:$F$1203,$S190)))</f>
        <v/>
      </c>
      <c r="D190" s="85" t="str">
        <f aca="false">IF($S190="","",IF(INDEX(对接源_01水果!$G$4:$G$1203,$S190)=0,"",INDEX(对接源_01水果!$G$4:$G$1203,$S190)))</f>
        <v/>
      </c>
      <c r="E190" s="86" t="str">
        <f aca="false">IF($S190="","",IF(INDEX(对接源_01水果!$H$4:$H$1203,$S190)=0,"",INDEX(对接源_01水果!$H$4:$H$1203,$S190)))</f>
        <v/>
      </c>
      <c r="F190" s="85" t="str">
        <f aca="false">IF($S190="","",IF(INDEX(对接源_01水果!$I$4:$I$1203,$S190)=0,"",INDEX(对接源_01水果!$I$4:$I$1203,$S190)))</f>
        <v/>
      </c>
      <c r="G190" s="87" t="str">
        <f aca="false">IF($S190="","",IF(INDEX(对接源_01水果!$AD$4:$AD$1203,$S190)=0,"",INDEX(对接源_01水果!$AD$4:$AD$1203,$S190)))</f>
        <v/>
      </c>
      <c r="H190" s="87" t="str">
        <f aca="false">IF($S190="","",IF(INDEX(对接源_01水果!$AE$4:$AE$1203,$S190)=0,"",INDEX(对接源_01水果!$AE$4:$AE$1203,$S190)))</f>
        <v/>
      </c>
      <c r="I190" s="87" t="str">
        <f aca="false">IF($S190="","",IF(INDEX(对接源_01水果!$AF$4:$AF$1203,$S190)=0,"",INDEX(对接源_01水果!$AF$4:$AF$1203,$S190)))</f>
        <v/>
      </c>
      <c r="J190" s="88" t="str">
        <f aca="false">IF($S190="","",IF(INDEX(对接源_01水果!$K$4:$K$1203,$S190)=0,"",INDEX(对接源_01水果!$K$4:$K$1203,$S190)))</f>
        <v/>
      </c>
      <c r="K190" s="85" t="str">
        <f aca="false">IF($S190="","",IF(INDEX(对接源_01水果!$L$4:$L$1203,$S190)=0,"",INDEX(对接源_01水果!$L$4:$L$1203,$S190)))</f>
        <v/>
      </c>
      <c r="L190" s="89" t="str">
        <f aca="false">IF($S190="","",IF(INDEX(对接源_01水果!$M$4:$M$1203,$S190)=0,"",INDEX(对接源_01水果!$M$4:$M$1203,$S190)))</f>
        <v/>
      </c>
      <c r="S19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1" customFormat="false" ht="15.75" hidden="false" customHeight="true" outlineLevel="0" collapsed="false">
      <c r="A191" s="84" t="str">
        <f aca="false">IF($S191="","",IF(INDEX(对接源_01水果!$B$4:$B$1203,$S191)=0,"",INDEX(对接源_01水果!$B$4:$B$1203,$S191)))</f>
        <v/>
      </c>
      <c r="B191" s="85" t="str">
        <f aca="false">IF($S191="","",IF(INDEX(对接源_01水果!$E$4:$E$1203,$S191)=0,"",INDEX(对接源_01水果!$E$4:$E$1203,$S191)))</f>
        <v/>
      </c>
      <c r="C191" s="85" t="str">
        <f aca="false">IF($S191="","",IF(INDEX(对接源_01水果!$F$4:$F$1203,$S191)=0,"",INDEX(对接源_01水果!$F$4:$F$1203,$S191)))</f>
        <v/>
      </c>
      <c r="D191" s="85" t="str">
        <f aca="false">IF($S191="","",IF(INDEX(对接源_01水果!$G$4:$G$1203,$S191)=0,"",INDEX(对接源_01水果!$G$4:$G$1203,$S191)))</f>
        <v/>
      </c>
      <c r="E191" s="86" t="str">
        <f aca="false">IF($S191="","",IF(INDEX(对接源_01水果!$H$4:$H$1203,$S191)=0,"",INDEX(对接源_01水果!$H$4:$H$1203,$S191)))</f>
        <v/>
      </c>
      <c r="F191" s="85" t="str">
        <f aca="false">IF($S191="","",IF(INDEX(对接源_01水果!$I$4:$I$1203,$S191)=0,"",INDEX(对接源_01水果!$I$4:$I$1203,$S191)))</f>
        <v/>
      </c>
      <c r="G191" s="87" t="str">
        <f aca="false">IF($S191="","",IF(INDEX(对接源_01水果!$AD$4:$AD$1203,$S191)=0,"",INDEX(对接源_01水果!$AD$4:$AD$1203,$S191)))</f>
        <v/>
      </c>
      <c r="H191" s="87" t="str">
        <f aca="false">IF($S191="","",IF(INDEX(对接源_01水果!$AE$4:$AE$1203,$S191)=0,"",INDEX(对接源_01水果!$AE$4:$AE$1203,$S191)))</f>
        <v/>
      </c>
      <c r="I191" s="87" t="str">
        <f aca="false">IF($S191="","",IF(INDEX(对接源_01水果!$AF$4:$AF$1203,$S191)=0,"",INDEX(对接源_01水果!$AF$4:$AF$1203,$S191)))</f>
        <v/>
      </c>
      <c r="J191" s="88" t="str">
        <f aca="false">IF($S191="","",IF(INDEX(对接源_01水果!$K$4:$K$1203,$S191)=0,"",INDEX(对接源_01水果!$K$4:$K$1203,$S191)))</f>
        <v/>
      </c>
      <c r="K191" s="85" t="str">
        <f aca="false">IF($S191="","",IF(INDEX(对接源_01水果!$L$4:$L$1203,$S191)=0,"",INDEX(对接源_01水果!$L$4:$L$1203,$S191)))</f>
        <v/>
      </c>
      <c r="L191" s="89" t="str">
        <f aca="false">IF($S191="","",IF(INDEX(对接源_01水果!$M$4:$M$1203,$S191)=0,"",INDEX(对接源_01水果!$M$4:$M$1203,$S191)))</f>
        <v/>
      </c>
      <c r="S19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2" customFormat="false" ht="15.75" hidden="false" customHeight="true" outlineLevel="0" collapsed="false">
      <c r="A192" s="84" t="str">
        <f aca="false">IF($S192="","",IF(INDEX(对接源_01水果!$B$4:$B$1203,$S192)=0,"",INDEX(对接源_01水果!$B$4:$B$1203,$S192)))</f>
        <v/>
      </c>
      <c r="B192" s="85" t="str">
        <f aca="false">IF($S192="","",IF(INDEX(对接源_01水果!$E$4:$E$1203,$S192)=0,"",INDEX(对接源_01水果!$E$4:$E$1203,$S192)))</f>
        <v/>
      </c>
      <c r="C192" s="85" t="str">
        <f aca="false">IF($S192="","",IF(INDEX(对接源_01水果!$F$4:$F$1203,$S192)=0,"",INDEX(对接源_01水果!$F$4:$F$1203,$S192)))</f>
        <v/>
      </c>
      <c r="D192" s="85" t="str">
        <f aca="false">IF($S192="","",IF(INDEX(对接源_01水果!$G$4:$G$1203,$S192)=0,"",INDEX(对接源_01水果!$G$4:$G$1203,$S192)))</f>
        <v/>
      </c>
      <c r="E192" s="86" t="str">
        <f aca="false">IF($S192="","",IF(INDEX(对接源_01水果!$H$4:$H$1203,$S192)=0,"",INDEX(对接源_01水果!$H$4:$H$1203,$S192)))</f>
        <v/>
      </c>
      <c r="F192" s="85" t="str">
        <f aca="false">IF($S192="","",IF(INDEX(对接源_01水果!$I$4:$I$1203,$S192)=0,"",INDEX(对接源_01水果!$I$4:$I$1203,$S192)))</f>
        <v/>
      </c>
      <c r="G192" s="87" t="str">
        <f aca="false">IF($S192="","",IF(INDEX(对接源_01水果!$AD$4:$AD$1203,$S192)=0,"",INDEX(对接源_01水果!$AD$4:$AD$1203,$S192)))</f>
        <v/>
      </c>
      <c r="H192" s="87" t="str">
        <f aca="false">IF($S192="","",IF(INDEX(对接源_01水果!$AE$4:$AE$1203,$S192)=0,"",INDEX(对接源_01水果!$AE$4:$AE$1203,$S192)))</f>
        <v/>
      </c>
      <c r="I192" s="87" t="str">
        <f aca="false">IF($S192="","",IF(INDEX(对接源_01水果!$AF$4:$AF$1203,$S192)=0,"",INDEX(对接源_01水果!$AF$4:$AF$1203,$S192)))</f>
        <v/>
      </c>
      <c r="J192" s="88" t="str">
        <f aca="false">IF($S192="","",IF(INDEX(对接源_01水果!$K$4:$K$1203,$S192)=0,"",INDEX(对接源_01水果!$K$4:$K$1203,$S192)))</f>
        <v/>
      </c>
      <c r="K192" s="85" t="str">
        <f aca="false">IF($S192="","",IF(INDEX(对接源_01水果!$L$4:$L$1203,$S192)=0,"",INDEX(对接源_01水果!$L$4:$L$1203,$S192)))</f>
        <v/>
      </c>
      <c r="L192" s="89" t="str">
        <f aca="false">IF($S192="","",IF(INDEX(对接源_01水果!$M$4:$M$1203,$S192)=0,"",INDEX(对接源_01水果!$M$4:$M$1203,$S192)))</f>
        <v/>
      </c>
      <c r="S19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3" customFormat="false" ht="15.75" hidden="false" customHeight="true" outlineLevel="0" collapsed="false">
      <c r="A193" s="84" t="str">
        <f aca="false">IF($S193="","",IF(INDEX(对接源_01水果!$B$4:$B$1203,$S193)=0,"",INDEX(对接源_01水果!$B$4:$B$1203,$S193)))</f>
        <v/>
      </c>
      <c r="B193" s="85" t="str">
        <f aca="false">IF($S193="","",IF(INDEX(对接源_01水果!$E$4:$E$1203,$S193)=0,"",INDEX(对接源_01水果!$E$4:$E$1203,$S193)))</f>
        <v/>
      </c>
      <c r="C193" s="85" t="str">
        <f aca="false">IF($S193="","",IF(INDEX(对接源_01水果!$F$4:$F$1203,$S193)=0,"",INDEX(对接源_01水果!$F$4:$F$1203,$S193)))</f>
        <v/>
      </c>
      <c r="D193" s="85" t="str">
        <f aca="false">IF($S193="","",IF(INDEX(对接源_01水果!$G$4:$G$1203,$S193)=0,"",INDEX(对接源_01水果!$G$4:$G$1203,$S193)))</f>
        <v/>
      </c>
      <c r="E193" s="86" t="str">
        <f aca="false">IF($S193="","",IF(INDEX(对接源_01水果!$H$4:$H$1203,$S193)=0,"",INDEX(对接源_01水果!$H$4:$H$1203,$S193)))</f>
        <v/>
      </c>
      <c r="F193" s="85" t="str">
        <f aca="false">IF($S193="","",IF(INDEX(对接源_01水果!$I$4:$I$1203,$S193)=0,"",INDEX(对接源_01水果!$I$4:$I$1203,$S193)))</f>
        <v/>
      </c>
      <c r="G193" s="87" t="str">
        <f aca="false">IF($S193="","",IF(INDEX(对接源_01水果!$AD$4:$AD$1203,$S193)=0,"",INDEX(对接源_01水果!$AD$4:$AD$1203,$S193)))</f>
        <v/>
      </c>
      <c r="H193" s="87" t="str">
        <f aca="false">IF($S193="","",IF(INDEX(对接源_01水果!$AE$4:$AE$1203,$S193)=0,"",INDEX(对接源_01水果!$AE$4:$AE$1203,$S193)))</f>
        <v/>
      </c>
      <c r="I193" s="87" t="str">
        <f aca="false">IF($S193="","",IF(INDEX(对接源_01水果!$AF$4:$AF$1203,$S193)=0,"",INDEX(对接源_01水果!$AF$4:$AF$1203,$S193)))</f>
        <v/>
      </c>
      <c r="J193" s="88" t="str">
        <f aca="false">IF($S193="","",IF(INDEX(对接源_01水果!$K$4:$K$1203,$S193)=0,"",INDEX(对接源_01水果!$K$4:$K$1203,$S193)))</f>
        <v/>
      </c>
      <c r="K193" s="85" t="str">
        <f aca="false">IF($S193="","",IF(INDEX(对接源_01水果!$L$4:$L$1203,$S193)=0,"",INDEX(对接源_01水果!$L$4:$L$1203,$S193)))</f>
        <v/>
      </c>
      <c r="L193" s="89" t="str">
        <f aca="false">IF($S193="","",IF(INDEX(对接源_01水果!$M$4:$M$1203,$S193)=0,"",INDEX(对接源_01水果!$M$4:$M$1203,$S193)))</f>
        <v/>
      </c>
      <c r="S19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4" customFormat="false" ht="15.75" hidden="false" customHeight="true" outlineLevel="0" collapsed="false">
      <c r="A194" s="84" t="str">
        <f aca="false">IF($S194="","",IF(INDEX(对接源_01水果!$B$4:$B$1203,$S194)=0,"",INDEX(对接源_01水果!$B$4:$B$1203,$S194)))</f>
        <v/>
      </c>
      <c r="B194" s="85" t="str">
        <f aca="false">IF($S194="","",IF(INDEX(对接源_01水果!$E$4:$E$1203,$S194)=0,"",INDEX(对接源_01水果!$E$4:$E$1203,$S194)))</f>
        <v/>
      </c>
      <c r="C194" s="85" t="str">
        <f aca="false">IF($S194="","",IF(INDEX(对接源_01水果!$F$4:$F$1203,$S194)=0,"",INDEX(对接源_01水果!$F$4:$F$1203,$S194)))</f>
        <v/>
      </c>
      <c r="D194" s="85" t="str">
        <f aca="false">IF($S194="","",IF(INDEX(对接源_01水果!$G$4:$G$1203,$S194)=0,"",INDEX(对接源_01水果!$G$4:$G$1203,$S194)))</f>
        <v/>
      </c>
      <c r="E194" s="86" t="str">
        <f aca="false">IF($S194="","",IF(INDEX(对接源_01水果!$H$4:$H$1203,$S194)=0,"",INDEX(对接源_01水果!$H$4:$H$1203,$S194)))</f>
        <v/>
      </c>
      <c r="F194" s="85" t="str">
        <f aca="false">IF($S194="","",IF(INDEX(对接源_01水果!$I$4:$I$1203,$S194)=0,"",INDEX(对接源_01水果!$I$4:$I$1203,$S194)))</f>
        <v/>
      </c>
      <c r="G194" s="87" t="str">
        <f aca="false">IF($S194="","",IF(INDEX(对接源_01水果!$AD$4:$AD$1203,$S194)=0,"",INDEX(对接源_01水果!$AD$4:$AD$1203,$S194)))</f>
        <v/>
      </c>
      <c r="H194" s="87" t="str">
        <f aca="false">IF($S194="","",IF(INDEX(对接源_01水果!$AE$4:$AE$1203,$S194)=0,"",INDEX(对接源_01水果!$AE$4:$AE$1203,$S194)))</f>
        <v/>
      </c>
      <c r="I194" s="87" t="str">
        <f aca="false">IF($S194="","",IF(INDEX(对接源_01水果!$AF$4:$AF$1203,$S194)=0,"",INDEX(对接源_01水果!$AF$4:$AF$1203,$S194)))</f>
        <v/>
      </c>
      <c r="J194" s="88" t="str">
        <f aca="false">IF($S194="","",IF(INDEX(对接源_01水果!$K$4:$K$1203,$S194)=0,"",INDEX(对接源_01水果!$K$4:$K$1203,$S194)))</f>
        <v/>
      </c>
      <c r="K194" s="85" t="str">
        <f aca="false">IF($S194="","",IF(INDEX(对接源_01水果!$L$4:$L$1203,$S194)=0,"",INDEX(对接源_01水果!$L$4:$L$1203,$S194)))</f>
        <v/>
      </c>
      <c r="L194" s="89" t="str">
        <f aca="false">IF($S194="","",IF(INDEX(对接源_01水果!$M$4:$M$1203,$S194)=0,"",INDEX(对接源_01水果!$M$4:$M$1203,$S194)))</f>
        <v/>
      </c>
      <c r="S19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5" customFormat="false" ht="15.75" hidden="false" customHeight="true" outlineLevel="0" collapsed="false">
      <c r="A195" s="84" t="str">
        <f aca="false">IF($S195="","",IF(INDEX(对接源_01水果!$B$4:$B$1203,$S195)=0,"",INDEX(对接源_01水果!$B$4:$B$1203,$S195)))</f>
        <v/>
      </c>
      <c r="B195" s="85" t="str">
        <f aca="false">IF($S195="","",IF(INDEX(对接源_01水果!$E$4:$E$1203,$S195)=0,"",INDEX(对接源_01水果!$E$4:$E$1203,$S195)))</f>
        <v/>
      </c>
      <c r="C195" s="85" t="str">
        <f aca="false">IF($S195="","",IF(INDEX(对接源_01水果!$F$4:$F$1203,$S195)=0,"",INDEX(对接源_01水果!$F$4:$F$1203,$S195)))</f>
        <v/>
      </c>
      <c r="D195" s="85" t="str">
        <f aca="false">IF($S195="","",IF(INDEX(对接源_01水果!$G$4:$G$1203,$S195)=0,"",INDEX(对接源_01水果!$G$4:$G$1203,$S195)))</f>
        <v/>
      </c>
      <c r="E195" s="86" t="str">
        <f aca="false">IF($S195="","",IF(INDEX(对接源_01水果!$H$4:$H$1203,$S195)=0,"",INDEX(对接源_01水果!$H$4:$H$1203,$S195)))</f>
        <v/>
      </c>
      <c r="F195" s="85" t="str">
        <f aca="false">IF($S195="","",IF(INDEX(对接源_01水果!$I$4:$I$1203,$S195)=0,"",INDEX(对接源_01水果!$I$4:$I$1203,$S195)))</f>
        <v/>
      </c>
      <c r="G195" s="87" t="str">
        <f aca="false">IF($S195="","",IF(INDEX(对接源_01水果!$AD$4:$AD$1203,$S195)=0,"",INDEX(对接源_01水果!$AD$4:$AD$1203,$S195)))</f>
        <v/>
      </c>
      <c r="H195" s="87" t="str">
        <f aca="false">IF($S195="","",IF(INDEX(对接源_01水果!$AE$4:$AE$1203,$S195)=0,"",INDEX(对接源_01水果!$AE$4:$AE$1203,$S195)))</f>
        <v/>
      </c>
      <c r="I195" s="87" t="str">
        <f aca="false">IF($S195="","",IF(INDEX(对接源_01水果!$AF$4:$AF$1203,$S195)=0,"",INDEX(对接源_01水果!$AF$4:$AF$1203,$S195)))</f>
        <v/>
      </c>
      <c r="J195" s="88" t="str">
        <f aca="false">IF($S195="","",IF(INDEX(对接源_01水果!$K$4:$K$1203,$S195)=0,"",INDEX(对接源_01水果!$K$4:$K$1203,$S195)))</f>
        <v/>
      </c>
      <c r="K195" s="85" t="str">
        <f aca="false">IF($S195="","",IF(INDEX(对接源_01水果!$L$4:$L$1203,$S195)=0,"",INDEX(对接源_01水果!$L$4:$L$1203,$S195)))</f>
        <v/>
      </c>
      <c r="L195" s="89" t="str">
        <f aca="false">IF($S195="","",IF(INDEX(对接源_01水果!$M$4:$M$1203,$S195)=0,"",INDEX(对接源_01水果!$M$4:$M$1203,$S195)))</f>
        <v/>
      </c>
      <c r="S19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6" customFormat="false" ht="15.75" hidden="false" customHeight="true" outlineLevel="0" collapsed="false">
      <c r="A196" s="84" t="str">
        <f aca="false">IF($S196="","",IF(INDEX(对接源_01水果!$B$4:$B$1203,$S196)=0,"",INDEX(对接源_01水果!$B$4:$B$1203,$S196)))</f>
        <v/>
      </c>
      <c r="B196" s="85" t="str">
        <f aca="false">IF($S196="","",IF(INDEX(对接源_01水果!$E$4:$E$1203,$S196)=0,"",INDEX(对接源_01水果!$E$4:$E$1203,$S196)))</f>
        <v/>
      </c>
      <c r="C196" s="85" t="str">
        <f aca="false">IF($S196="","",IF(INDEX(对接源_01水果!$F$4:$F$1203,$S196)=0,"",INDEX(对接源_01水果!$F$4:$F$1203,$S196)))</f>
        <v/>
      </c>
      <c r="D196" s="85" t="str">
        <f aca="false">IF($S196="","",IF(INDEX(对接源_01水果!$G$4:$G$1203,$S196)=0,"",INDEX(对接源_01水果!$G$4:$G$1203,$S196)))</f>
        <v/>
      </c>
      <c r="E196" s="86" t="str">
        <f aca="false">IF($S196="","",IF(INDEX(对接源_01水果!$H$4:$H$1203,$S196)=0,"",INDEX(对接源_01水果!$H$4:$H$1203,$S196)))</f>
        <v/>
      </c>
      <c r="F196" s="85" t="str">
        <f aca="false">IF($S196="","",IF(INDEX(对接源_01水果!$I$4:$I$1203,$S196)=0,"",INDEX(对接源_01水果!$I$4:$I$1203,$S196)))</f>
        <v/>
      </c>
      <c r="G196" s="87" t="str">
        <f aca="false">IF($S196="","",IF(INDEX(对接源_01水果!$AD$4:$AD$1203,$S196)=0,"",INDEX(对接源_01水果!$AD$4:$AD$1203,$S196)))</f>
        <v/>
      </c>
      <c r="H196" s="87" t="str">
        <f aca="false">IF($S196="","",IF(INDEX(对接源_01水果!$AE$4:$AE$1203,$S196)=0,"",INDEX(对接源_01水果!$AE$4:$AE$1203,$S196)))</f>
        <v/>
      </c>
      <c r="I196" s="87" t="str">
        <f aca="false">IF($S196="","",IF(INDEX(对接源_01水果!$AF$4:$AF$1203,$S196)=0,"",INDEX(对接源_01水果!$AF$4:$AF$1203,$S196)))</f>
        <v/>
      </c>
      <c r="J196" s="88" t="str">
        <f aca="false">IF($S196="","",IF(INDEX(对接源_01水果!$K$4:$K$1203,$S196)=0,"",INDEX(对接源_01水果!$K$4:$K$1203,$S196)))</f>
        <v/>
      </c>
      <c r="K196" s="85" t="str">
        <f aca="false">IF($S196="","",IF(INDEX(对接源_01水果!$L$4:$L$1203,$S196)=0,"",INDEX(对接源_01水果!$L$4:$L$1203,$S196)))</f>
        <v/>
      </c>
      <c r="L196" s="89" t="str">
        <f aca="false">IF($S196="","",IF(INDEX(对接源_01水果!$M$4:$M$1203,$S196)=0,"",INDEX(对接源_01水果!$M$4:$M$1203,$S196)))</f>
        <v/>
      </c>
      <c r="S196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7" customFormat="false" ht="15.75" hidden="false" customHeight="true" outlineLevel="0" collapsed="false">
      <c r="A197" s="84" t="str">
        <f aca="false">IF($S197="","",IF(INDEX(对接源_01水果!$B$4:$B$1203,$S197)=0,"",INDEX(对接源_01水果!$B$4:$B$1203,$S197)))</f>
        <v/>
      </c>
      <c r="B197" s="85" t="str">
        <f aca="false">IF($S197="","",IF(INDEX(对接源_01水果!$E$4:$E$1203,$S197)=0,"",INDEX(对接源_01水果!$E$4:$E$1203,$S197)))</f>
        <v/>
      </c>
      <c r="C197" s="85" t="str">
        <f aca="false">IF($S197="","",IF(INDEX(对接源_01水果!$F$4:$F$1203,$S197)=0,"",INDEX(对接源_01水果!$F$4:$F$1203,$S197)))</f>
        <v/>
      </c>
      <c r="D197" s="85" t="str">
        <f aca="false">IF($S197="","",IF(INDEX(对接源_01水果!$G$4:$G$1203,$S197)=0,"",INDEX(对接源_01水果!$G$4:$G$1203,$S197)))</f>
        <v/>
      </c>
      <c r="E197" s="86" t="str">
        <f aca="false">IF($S197="","",IF(INDEX(对接源_01水果!$H$4:$H$1203,$S197)=0,"",INDEX(对接源_01水果!$H$4:$H$1203,$S197)))</f>
        <v/>
      </c>
      <c r="F197" s="85" t="str">
        <f aca="false">IF($S197="","",IF(INDEX(对接源_01水果!$I$4:$I$1203,$S197)=0,"",INDEX(对接源_01水果!$I$4:$I$1203,$S197)))</f>
        <v/>
      </c>
      <c r="G197" s="87" t="str">
        <f aca="false">IF($S197="","",IF(INDEX(对接源_01水果!$AD$4:$AD$1203,$S197)=0,"",INDEX(对接源_01水果!$AD$4:$AD$1203,$S197)))</f>
        <v/>
      </c>
      <c r="H197" s="87" t="str">
        <f aca="false">IF($S197="","",IF(INDEX(对接源_01水果!$AE$4:$AE$1203,$S197)=0,"",INDEX(对接源_01水果!$AE$4:$AE$1203,$S197)))</f>
        <v/>
      </c>
      <c r="I197" s="87" t="str">
        <f aca="false">IF($S197="","",IF(INDEX(对接源_01水果!$AF$4:$AF$1203,$S197)=0,"",INDEX(对接源_01水果!$AF$4:$AF$1203,$S197)))</f>
        <v/>
      </c>
      <c r="J197" s="88" t="str">
        <f aca="false">IF($S197="","",IF(INDEX(对接源_01水果!$K$4:$K$1203,$S197)=0,"",INDEX(对接源_01水果!$K$4:$K$1203,$S197)))</f>
        <v/>
      </c>
      <c r="K197" s="85" t="str">
        <f aca="false">IF($S197="","",IF(INDEX(对接源_01水果!$L$4:$L$1203,$S197)=0,"",INDEX(对接源_01水果!$L$4:$L$1203,$S197)))</f>
        <v/>
      </c>
      <c r="L197" s="89" t="str">
        <f aca="false">IF($S197="","",IF(INDEX(对接源_01水果!$M$4:$M$1203,$S197)=0,"",INDEX(对接源_01水果!$M$4:$M$1203,$S197)))</f>
        <v/>
      </c>
      <c r="S197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8" customFormat="false" ht="15.75" hidden="false" customHeight="true" outlineLevel="0" collapsed="false">
      <c r="A198" s="84" t="str">
        <f aca="false">IF($S198="","",IF(INDEX(对接源_01水果!$B$4:$B$1203,$S198)=0,"",INDEX(对接源_01水果!$B$4:$B$1203,$S198)))</f>
        <v/>
      </c>
      <c r="B198" s="85" t="str">
        <f aca="false">IF($S198="","",IF(INDEX(对接源_01水果!$E$4:$E$1203,$S198)=0,"",INDEX(对接源_01水果!$E$4:$E$1203,$S198)))</f>
        <v/>
      </c>
      <c r="C198" s="85" t="str">
        <f aca="false">IF($S198="","",IF(INDEX(对接源_01水果!$F$4:$F$1203,$S198)=0,"",INDEX(对接源_01水果!$F$4:$F$1203,$S198)))</f>
        <v/>
      </c>
      <c r="D198" s="85" t="str">
        <f aca="false">IF($S198="","",IF(INDEX(对接源_01水果!$G$4:$G$1203,$S198)=0,"",INDEX(对接源_01水果!$G$4:$G$1203,$S198)))</f>
        <v/>
      </c>
      <c r="E198" s="86" t="str">
        <f aca="false">IF($S198="","",IF(INDEX(对接源_01水果!$H$4:$H$1203,$S198)=0,"",INDEX(对接源_01水果!$H$4:$H$1203,$S198)))</f>
        <v/>
      </c>
      <c r="F198" s="85" t="str">
        <f aca="false">IF($S198="","",IF(INDEX(对接源_01水果!$I$4:$I$1203,$S198)=0,"",INDEX(对接源_01水果!$I$4:$I$1203,$S198)))</f>
        <v/>
      </c>
      <c r="G198" s="87" t="str">
        <f aca="false">IF($S198="","",IF(INDEX(对接源_01水果!$AD$4:$AD$1203,$S198)=0,"",INDEX(对接源_01水果!$AD$4:$AD$1203,$S198)))</f>
        <v/>
      </c>
      <c r="H198" s="87" t="str">
        <f aca="false">IF($S198="","",IF(INDEX(对接源_01水果!$AE$4:$AE$1203,$S198)=0,"",INDEX(对接源_01水果!$AE$4:$AE$1203,$S198)))</f>
        <v/>
      </c>
      <c r="I198" s="87" t="str">
        <f aca="false">IF($S198="","",IF(INDEX(对接源_01水果!$AF$4:$AF$1203,$S198)=0,"",INDEX(对接源_01水果!$AF$4:$AF$1203,$S198)))</f>
        <v/>
      </c>
      <c r="J198" s="88" t="str">
        <f aca="false">IF($S198="","",IF(INDEX(对接源_01水果!$K$4:$K$1203,$S198)=0,"",INDEX(对接源_01水果!$K$4:$K$1203,$S198)))</f>
        <v/>
      </c>
      <c r="K198" s="85" t="str">
        <f aca="false">IF($S198="","",IF(INDEX(对接源_01水果!$L$4:$L$1203,$S198)=0,"",INDEX(对接源_01水果!$L$4:$L$1203,$S198)))</f>
        <v/>
      </c>
      <c r="L198" s="89" t="str">
        <f aca="false">IF($S198="","",IF(INDEX(对接源_01水果!$M$4:$M$1203,$S198)=0,"",INDEX(对接源_01水果!$M$4:$M$1203,$S198)))</f>
        <v/>
      </c>
      <c r="S198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9" customFormat="false" ht="15.75" hidden="false" customHeight="true" outlineLevel="0" collapsed="false">
      <c r="A199" s="84" t="str">
        <f aca="false">IF($S199="","",IF(INDEX(对接源_01水果!$B$4:$B$1203,$S199)=0,"",INDEX(对接源_01水果!$B$4:$B$1203,$S199)))</f>
        <v/>
      </c>
      <c r="B199" s="85" t="str">
        <f aca="false">IF($S199="","",IF(INDEX(对接源_01水果!$E$4:$E$1203,$S199)=0,"",INDEX(对接源_01水果!$E$4:$E$1203,$S199)))</f>
        <v/>
      </c>
      <c r="C199" s="85" t="str">
        <f aca="false">IF($S199="","",IF(INDEX(对接源_01水果!$F$4:$F$1203,$S199)=0,"",INDEX(对接源_01水果!$F$4:$F$1203,$S199)))</f>
        <v/>
      </c>
      <c r="D199" s="85" t="str">
        <f aca="false">IF($S199="","",IF(INDEX(对接源_01水果!$G$4:$G$1203,$S199)=0,"",INDEX(对接源_01水果!$G$4:$G$1203,$S199)))</f>
        <v/>
      </c>
      <c r="E199" s="86" t="str">
        <f aca="false">IF($S199="","",IF(INDEX(对接源_01水果!$H$4:$H$1203,$S199)=0,"",INDEX(对接源_01水果!$H$4:$H$1203,$S199)))</f>
        <v/>
      </c>
      <c r="F199" s="85" t="str">
        <f aca="false">IF($S199="","",IF(INDEX(对接源_01水果!$I$4:$I$1203,$S199)=0,"",INDEX(对接源_01水果!$I$4:$I$1203,$S199)))</f>
        <v/>
      </c>
      <c r="G199" s="87" t="str">
        <f aca="false">IF($S199="","",IF(INDEX(对接源_01水果!$AD$4:$AD$1203,$S199)=0,"",INDEX(对接源_01水果!$AD$4:$AD$1203,$S199)))</f>
        <v/>
      </c>
      <c r="H199" s="87" t="str">
        <f aca="false">IF($S199="","",IF(INDEX(对接源_01水果!$AE$4:$AE$1203,$S199)=0,"",INDEX(对接源_01水果!$AE$4:$AE$1203,$S199)))</f>
        <v/>
      </c>
      <c r="I199" s="87" t="str">
        <f aca="false">IF($S199="","",IF(INDEX(对接源_01水果!$AF$4:$AF$1203,$S199)=0,"",INDEX(对接源_01水果!$AF$4:$AF$1203,$S199)))</f>
        <v/>
      </c>
      <c r="J199" s="88" t="str">
        <f aca="false">IF($S199="","",IF(INDEX(对接源_01水果!$K$4:$K$1203,$S199)=0,"",INDEX(对接源_01水果!$K$4:$K$1203,$S199)))</f>
        <v/>
      </c>
      <c r="K199" s="85" t="str">
        <f aca="false">IF($S199="","",IF(INDEX(对接源_01水果!$L$4:$L$1203,$S199)=0,"",INDEX(对接源_01水果!$L$4:$L$1203,$S199)))</f>
        <v/>
      </c>
      <c r="L199" s="89" t="str">
        <f aca="false">IF($S199="","",IF(INDEX(对接源_01水果!$M$4:$M$1203,$S199)=0,"",INDEX(对接源_01水果!$M$4:$M$1203,$S199)))</f>
        <v/>
      </c>
      <c r="S199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0" customFormat="false" ht="15.75" hidden="false" customHeight="true" outlineLevel="0" collapsed="false">
      <c r="A200" s="84" t="str">
        <f aca="false">IF($S200="","",IF(INDEX(对接源_01水果!$B$4:$B$1203,$S200)=0,"",INDEX(对接源_01水果!$B$4:$B$1203,$S200)))</f>
        <v/>
      </c>
      <c r="B200" s="85" t="str">
        <f aca="false">IF($S200="","",IF(INDEX(对接源_01水果!$E$4:$E$1203,$S200)=0,"",INDEX(对接源_01水果!$E$4:$E$1203,$S200)))</f>
        <v/>
      </c>
      <c r="C200" s="85" t="str">
        <f aca="false">IF($S200="","",IF(INDEX(对接源_01水果!$F$4:$F$1203,$S200)=0,"",INDEX(对接源_01水果!$F$4:$F$1203,$S200)))</f>
        <v/>
      </c>
      <c r="D200" s="85" t="str">
        <f aca="false">IF($S200="","",IF(INDEX(对接源_01水果!$G$4:$G$1203,$S200)=0,"",INDEX(对接源_01水果!$G$4:$G$1203,$S200)))</f>
        <v/>
      </c>
      <c r="E200" s="86" t="str">
        <f aca="false">IF($S200="","",IF(INDEX(对接源_01水果!$H$4:$H$1203,$S200)=0,"",INDEX(对接源_01水果!$H$4:$H$1203,$S200)))</f>
        <v/>
      </c>
      <c r="F200" s="85" t="str">
        <f aca="false">IF($S200="","",IF(INDEX(对接源_01水果!$I$4:$I$1203,$S200)=0,"",INDEX(对接源_01水果!$I$4:$I$1203,$S200)))</f>
        <v/>
      </c>
      <c r="G200" s="87" t="str">
        <f aca="false">IF($S200="","",IF(INDEX(对接源_01水果!$AD$4:$AD$1203,$S200)=0,"",INDEX(对接源_01水果!$AD$4:$AD$1203,$S200)))</f>
        <v/>
      </c>
      <c r="H200" s="87" t="str">
        <f aca="false">IF($S200="","",IF(INDEX(对接源_01水果!$AE$4:$AE$1203,$S200)=0,"",INDEX(对接源_01水果!$AE$4:$AE$1203,$S200)))</f>
        <v/>
      </c>
      <c r="I200" s="87" t="str">
        <f aca="false">IF($S200="","",IF(INDEX(对接源_01水果!$AF$4:$AF$1203,$S200)=0,"",INDEX(对接源_01水果!$AF$4:$AF$1203,$S200)))</f>
        <v/>
      </c>
      <c r="J200" s="88" t="str">
        <f aca="false">IF($S200="","",IF(INDEX(对接源_01水果!$K$4:$K$1203,$S200)=0,"",INDEX(对接源_01水果!$K$4:$K$1203,$S200)))</f>
        <v/>
      </c>
      <c r="K200" s="85" t="str">
        <f aca="false">IF($S200="","",IF(INDEX(对接源_01水果!$L$4:$L$1203,$S200)=0,"",INDEX(对接源_01水果!$L$4:$L$1203,$S200)))</f>
        <v/>
      </c>
      <c r="L200" s="89" t="str">
        <f aca="false">IF($S200="","",IF(INDEX(对接源_01水果!$M$4:$M$1203,$S200)=0,"",INDEX(对接源_01水果!$M$4:$M$1203,$S200)))</f>
        <v/>
      </c>
      <c r="S200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1" customFormat="false" ht="15.75" hidden="false" customHeight="true" outlineLevel="0" collapsed="false">
      <c r="A201" s="84" t="str">
        <f aca="false">IF($S201="","",IF(INDEX(对接源_01水果!$B$4:$B$1203,$S201)=0,"",INDEX(对接源_01水果!$B$4:$B$1203,$S201)))</f>
        <v/>
      </c>
      <c r="B201" s="85" t="str">
        <f aca="false">IF($S201="","",IF(INDEX(对接源_01水果!$E$4:$E$1203,$S201)=0,"",INDEX(对接源_01水果!$E$4:$E$1203,$S201)))</f>
        <v/>
      </c>
      <c r="C201" s="85" t="str">
        <f aca="false">IF($S201="","",IF(INDEX(对接源_01水果!$F$4:$F$1203,$S201)=0,"",INDEX(对接源_01水果!$F$4:$F$1203,$S201)))</f>
        <v/>
      </c>
      <c r="D201" s="85" t="str">
        <f aca="false">IF($S201="","",IF(INDEX(对接源_01水果!$G$4:$G$1203,$S201)=0,"",INDEX(对接源_01水果!$G$4:$G$1203,$S201)))</f>
        <v/>
      </c>
      <c r="E201" s="86" t="str">
        <f aca="false">IF($S201="","",IF(INDEX(对接源_01水果!$H$4:$H$1203,$S201)=0,"",INDEX(对接源_01水果!$H$4:$H$1203,$S201)))</f>
        <v/>
      </c>
      <c r="F201" s="85" t="str">
        <f aca="false">IF($S201="","",IF(INDEX(对接源_01水果!$I$4:$I$1203,$S201)=0,"",INDEX(对接源_01水果!$I$4:$I$1203,$S201)))</f>
        <v/>
      </c>
      <c r="G201" s="87" t="str">
        <f aca="false">IF($S201="","",IF(INDEX(对接源_01水果!$AD$4:$AD$1203,$S201)=0,"",INDEX(对接源_01水果!$AD$4:$AD$1203,$S201)))</f>
        <v/>
      </c>
      <c r="H201" s="87" t="str">
        <f aca="false">IF($S201="","",IF(INDEX(对接源_01水果!$AE$4:$AE$1203,$S201)=0,"",INDEX(对接源_01水果!$AE$4:$AE$1203,$S201)))</f>
        <v/>
      </c>
      <c r="I201" s="87" t="str">
        <f aca="false">IF($S201="","",IF(INDEX(对接源_01水果!$AF$4:$AF$1203,$S201)=0,"",INDEX(对接源_01水果!$AF$4:$AF$1203,$S201)))</f>
        <v/>
      </c>
      <c r="J201" s="88" t="str">
        <f aca="false">IF($S201="","",IF(INDEX(对接源_01水果!$K$4:$K$1203,$S201)=0,"",INDEX(对接源_01水果!$K$4:$K$1203,$S201)))</f>
        <v/>
      </c>
      <c r="K201" s="85" t="str">
        <f aca="false">IF($S201="","",IF(INDEX(对接源_01水果!$L$4:$L$1203,$S201)=0,"",INDEX(对接源_01水果!$L$4:$L$1203,$S201)))</f>
        <v/>
      </c>
      <c r="L201" s="89" t="str">
        <f aca="false">IF($S201="","",IF(INDEX(对接源_01水果!$M$4:$M$1203,$S201)=0,"",INDEX(对接源_01水果!$M$4:$M$1203,$S201)))</f>
        <v/>
      </c>
      <c r="S201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2" customFormat="false" ht="15.75" hidden="false" customHeight="true" outlineLevel="0" collapsed="false">
      <c r="A202" s="84" t="str">
        <f aca="false">IF($S202="","",IF(INDEX(对接源_01水果!$B$4:$B$1203,$S202)=0,"",INDEX(对接源_01水果!$B$4:$B$1203,$S202)))</f>
        <v/>
      </c>
      <c r="B202" s="85" t="str">
        <f aca="false">IF($S202="","",IF(INDEX(对接源_01水果!$E$4:$E$1203,$S202)=0,"",INDEX(对接源_01水果!$E$4:$E$1203,$S202)))</f>
        <v/>
      </c>
      <c r="C202" s="85" t="str">
        <f aca="false">IF($S202="","",IF(INDEX(对接源_01水果!$F$4:$F$1203,$S202)=0,"",INDEX(对接源_01水果!$F$4:$F$1203,$S202)))</f>
        <v/>
      </c>
      <c r="D202" s="85" t="str">
        <f aca="false">IF($S202="","",IF(INDEX(对接源_01水果!$G$4:$G$1203,$S202)=0,"",INDEX(对接源_01水果!$G$4:$G$1203,$S202)))</f>
        <v/>
      </c>
      <c r="E202" s="86" t="str">
        <f aca="false">IF($S202="","",IF(INDEX(对接源_01水果!$H$4:$H$1203,$S202)=0,"",INDEX(对接源_01水果!$H$4:$H$1203,$S202)))</f>
        <v/>
      </c>
      <c r="F202" s="85" t="str">
        <f aca="false">IF($S202="","",IF(INDEX(对接源_01水果!$I$4:$I$1203,$S202)=0,"",INDEX(对接源_01水果!$I$4:$I$1203,$S202)))</f>
        <v/>
      </c>
      <c r="G202" s="87" t="str">
        <f aca="false">IF($S202="","",IF(INDEX(对接源_01水果!$AD$4:$AD$1203,$S202)=0,"",INDEX(对接源_01水果!$AD$4:$AD$1203,$S202)))</f>
        <v/>
      </c>
      <c r="H202" s="87" t="str">
        <f aca="false">IF($S202="","",IF(INDEX(对接源_01水果!$AE$4:$AE$1203,$S202)=0,"",INDEX(对接源_01水果!$AE$4:$AE$1203,$S202)))</f>
        <v/>
      </c>
      <c r="I202" s="87" t="str">
        <f aca="false">IF($S202="","",IF(INDEX(对接源_01水果!$AF$4:$AF$1203,$S202)=0,"",INDEX(对接源_01水果!$AF$4:$AF$1203,$S202)))</f>
        <v/>
      </c>
      <c r="J202" s="88" t="str">
        <f aca="false">IF($S202="","",IF(INDEX(对接源_01水果!$K$4:$K$1203,$S202)=0,"",INDEX(对接源_01水果!$K$4:$K$1203,$S202)))</f>
        <v/>
      </c>
      <c r="K202" s="85" t="str">
        <f aca="false">IF($S202="","",IF(INDEX(对接源_01水果!$L$4:$L$1203,$S202)=0,"",INDEX(对接源_01水果!$L$4:$L$1203,$S202)))</f>
        <v/>
      </c>
      <c r="L202" s="89" t="str">
        <f aca="false">IF($S202="","",IF(INDEX(对接源_01水果!$M$4:$M$1203,$S202)=0,"",INDEX(对接源_01水果!$M$4:$M$1203,$S202)))</f>
        <v/>
      </c>
      <c r="S202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3" customFormat="false" ht="15.75" hidden="false" customHeight="true" outlineLevel="0" collapsed="false">
      <c r="A203" s="84" t="str">
        <f aca="false">IF($S203="","",IF(INDEX(对接源_01水果!$B$4:$B$1203,$S203)=0,"",INDEX(对接源_01水果!$B$4:$B$1203,$S203)))</f>
        <v/>
      </c>
      <c r="B203" s="85" t="str">
        <f aca="false">IF($S203="","",IF(INDEX(对接源_01水果!$E$4:$E$1203,$S203)=0,"",INDEX(对接源_01水果!$E$4:$E$1203,$S203)))</f>
        <v/>
      </c>
      <c r="C203" s="85" t="str">
        <f aca="false">IF($S203="","",IF(INDEX(对接源_01水果!$F$4:$F$1203,$S203)=0,"",INDEX(对接源_01水果!$F$4:$F$1203,$S203)))</f>
        <v/>
      </c>
      <c r="D203" s="85" t="str">
        <f aca="false">IF($S203="","",IF(INDEX(对接源_01水果!$G$4:$G$1203,$S203)=0,"",INDEX(对接源_01水果!$G$4:$G$1203,$S203)))</f>
        <v/>
      </c>
      <c r="E203" s="86" t="str">
        <f aca="false">IF($S203="","",IF(INDEX(对接源_01水果!$H$4:$H$1203,$S203)=0,"",INDEX(对接源_01水果!$H$4:$H$1203,$S203)))</f>
        <v/>
      </c>
      <c r="F203" s="85" t="str">
        <f aca="false">IF($S203="","",IF(INDEX(对接源_01水果!$I$4:$I$1203,$S203)=0,"",INDEX(对接源_01水果!$I$4:$I$1203,$S203)))</f>
        <v/>
      </c>
      <c r="G203" s="87" t="str">
        <f aca="false">IF($S203="","",IF(INDEX(对接源_01水果!$AD$4:$AD$1203,$S203)=0,"",INDEX(对接源_01水果!$AD$4:$AD$1203,$S203)))</f>
        <v/>
      </c>
      <c r="H203" s="87" t="str">
        <f aca="false">IF($S203="","",IF(INDEX(对接源_01水果!$AE$4:$AE$1203,$S203)=0,"",INDEX(对接源_01水果!$AE$4:$AE$1203,$S203)))</f>
        <v/>
      </c>
      <c r="I203" s="87" t="str">
        <f aca="false">IF($S203="","",IF(INDEX(对接源_01水果!$AF$4:$AF$1203,$S203)=0,"",INDEX(对接源_01水果!$AF$4:$AF$1203,$S203)))</f>
        <v/>
      </c>
      <c r="J203" s="88" t="str">
        <f aca="false">IF($S203="","",IF(INDEX(对接源_01水果!$K$4:$K$1203,$S203)=0,"",INDEX(对接源_01水果!$K$4:$K$1203,$S203)))</f>
        <v/>
      </c>
      <c r="K203" s="85" t="str">
        <f aca="false">IF($S203="","",IF(INDEX(对接源_01水果!$L$4:$L$1203,$S203)=0,"",INDEX(对接源_01水果!$L$4:$L$1203,$S203)))</f>
        <v/>
      </c>
      <c r="L203" s="89" t="str">
        <f aca="false">IF($S203="","",IF(INDEX(对接源_01水果!$M$4:$M$1203,$S203)=0,"",INDEX(对接源_01水果!$M$4:$M$1203,$S203)))</f>
        <v/>
      </c>
      <c r="S203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4" customFormat="false" ht="15.75" hidden="false" customHeight="true" outlineLevel="0" collapsed="false">
      <c r="A204" s="84" t="str">
        <f aca="false">IF($S204="","",IF(INDEX(对接源_01水果!$B$4:$B$1203,$S204)=0,"",INDEX(对接源_01水果!$B$4:$B$1203,$S204)))</f>
        <v/>
      </c>
      <c r="B204" s="85" t="str">
        <f aca="false">IF($S204="","",IF(INDEX(对接源_01水果!$E$4:$E$1203,$S204)=0,"",INDEX(对接源_01水果!$E$4:$E$1203,$S204)))</f>
        <v/>
      </c>
      <c r="C204" s="85" t="str">
        <f aca="false">IF($S204="","",IF(INDEX(对接源_01水果!$F$4:$F$1203,$S204)=0,"",INDEX(对接源_01水果!$F$4:$F$1203,$S204)))</f>
        <v/>
      </c>
      <c r="D204" s="85" t="str">
        <f aca="false">IF($S204="","",IF(INDEX(对接源_01水果!$G$4:$G$1203,$S204)=0,"",INDEX(对接源_01水果!$G$4:$G$1203,$S204)))</f>
        <v/>
      </c>
      <c r="E204" s="86" t="str">
        <f aca="false">IF($S204="","",IF(INDEX(对接源_01水果!$H$4:$H$1203,$S204)=0,"",INDEX(对接源_01水果!$H$4:$H$1203,$S204)))</f>
        <v/>
      </c>
      <c r="F204" s="85" t="str">
        <f aca="false">IF($S204="","",IF(INDEX(对接源_01水果!$I$4:$I$1203,$S204)=0,"",INDEX(对接源_01水果!$I$4:$I$1203,$S204)))</f>
        <v/>
      </c>
      <c r="G204" s="87" t="str">
        <f aca="false">IF($S204="","",IF(INDEX(对接源_01水果!$AD$4:$AD$1203,$S204)=0,"",INDEX(对接源_01水果!$AD$4:$AD$1203,$S204)))</f>
        <v/>
      </c>
      <c r="H204" s="87" t="str">
        <f aca="false">IF($S204="","",IF(INDEX(对接源_01水果!$AE$4:$AE$1203,$S204)=0,"",INDEX(对接源_01水果!$AE$4:$AE$1203,$S204)))</f>
        <v/>
      </c>
      <c r="I204" s="87" t="str">
        <f aca="false">IF($S204="","",IF(INDEX(对接源_01水果!$AF$4:$AF$1203,$S204)=0,"",INDEX(对接源_01水果!$AF$4:$AF$1203,$S204)))</f>
        <v/>
      </c>
      <c r="J204" s="88" t="str">
        <f aca="false">IF($S204="","",IF(INDEX(对接源_01水果!$K$4:$K$1203,$S204)=0,"",INDEX(对接源_01水果!$K$4:$K$1203,$S204)))</f>
        <v/>
      </c>
      <c r="K204" s="85" t="str">
        <f aca="false">IF($S204="","",IF(INDEX(对接源_01水果!$L$4:$L$1203,$S204)=0,"",INDEX(对接源_01水果!$L$4:$L$1203,$S204)))</f>
        <v/>
      </c>
      <c r="L204" s="89" t="str">
        <f aca="false">IF($S204="","",IF(INDEX(对接源_01水果!$M$4:$M$1203,$S204)=0,"",INDEX(对接源_01水果!$M$4:$M$1203,$S204)))</f>
        <v/>
      </c>
      <c r="S204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5" customFormat="false" ht="15.75" hidden="false" customHeight="true" outlineLevel="0" collapsed="false">
      <c r="A205" s="84" t="str">
        <f aca="false">IF($S205="","",IF(INDEX(对接源_01水果!$B$4:$B$1203,$S205)=0,"",INDEX(对接源_01水果!$B$4:$B$1203,$S205)))</f>
        <v/>
      </c>
      <c r="B205" s="85" t="str">
        <f aca="false">IF($S205="","",IF(INDEX(对接源_01水果!$E$4:$E$1203,$S205)=0,"",INDEX(对接源_01水果!$E$4:$E$1203,$S205)))</f>
        <v/>
      </c>
      <c r="C205" s="85" t="str">
        <f aca="false">IF($S205="","",IF(INDEX(对接源_01水果!$F$4:$F$1203,$S205)=0,"",INDEX(对接源_01水果!$F$4:$F$1203,$S205)))</f>
        <v/>
      </c>
      <c r="D205" s="85" t="str">
        <f aca="false">IF($S205="","",IF(INDEX(对接源_01水果!$G$4:$G$1203,$S205)=0,"",INDEX(对接源_01水果!$G$4:$G$1203,$S205)))</f>
        <v/>
      </c>
      <c r="E205" s="86" t="str">
        <f aca="false">IF($S205="","",IF(INDEX(对接源_01水果!$H$4:$H$1203,$S205)=0,"",INDEX(对接源_01水果!$H$4:$H$1203,$S205)))</f>
        <v/>
      </c>
      <c r="F205" s="85" t="str">
        <f aca="false">IF($S205="","",IF(INDEX(对接源_01水果!$I$4:$I$1203,$S205)=0,"",INDEX(对接源_01水果!$I$4:$I$1203,$S205)))</f>
        <v/>
      </c>
      <c r="G205" s="87" t="str">
        <f aca="false">IF($S205="","",IF(INDEX(对接源_01水果!$AD$4:$AD$1203,$S205)=0,"",INDEX(对接源_01水果!$AD$4:$AD$1203,$S205)))</f>
        <v/>
      </c>
      <c r="H205" s="87" t="str">
        <f aca="false">IF($S205="","",IF(INDEX(对接源_01水果!$AE$4:$AE$1203,$S205)=0,"",INDEX(对接源_01水果!$AE$4:$AE$1203,$S205)))</f>
        <v/>
      </c>
      <c r="I205" s="87" t="str">
        <f aca="false">IF($S205="","",IF(INDEX(对接源_01水果!$AF$4:$AF$1203,$S205)=0,"",INDEX(对接源_01水果!$AF$4:$AF$1203,$S205)))</f>
        <v/>
      </c>
      <c r="J205" s="88" t="str">
        <f aca="false">IF($S205="","",IF(INDEX(对接源_01水果!$K$4:$K$1203,$S205)=0,"",INDEX(对接源_01水果!$K$4:$K$1203,$S205)))</f>
        <v/>
      </c>
      <c r="K205" s="85" t="str">
        <f aca="false">IF($S205="","",IF(INDEX(对接源_01水果!$L$4:$L$1203,$S205)=0,"",INDEX(对接源_01水果!$L$4:$L$1203,$S205)))</f>
        <v/>
      </c>
      <c r="L205" s="89" t="str">
        <f aca="false">IF($S205="","",IF(INDEX(对接源_01水果!$M$4:$M$1203,$S205)=0,"",INDEX(对接源_01水果!$M$4:$M$1203,$S205)))</f>
        <v/>
      </c>
      <c r="S205" s="90" t="str">
        <f aca="false">IFERROR(aggregate(15,6,(ROW(对接源_01水果!$B$4:$B$1203)-3)/((对接源_01水果!$AC$4:$AC$1203=$B$2)*(对接源_01水果!$B$4:$B$1203&gt;=$T$1)*(对接源_01水果!$B$4:$B$1203&lt;=$T$2)*(N(对接源_01水果!$K$4:$K$1203)&gt;0)),ROW()-5),"")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6" customFormat="false" ht="15" hidden="false" customHeight="false" outlineLevel="0" collapsed="false">
      <c r="A206" s="91" t="s">
        <v>157</v>
      </c>
      <c r="B206" s="91"/>
      <c r="C206" s="91"/>
      <c r="D206" s="91"/>
      <c r="E206" s="92" t="n">
        <f aca="false">ROUND(SUM(E6:E205),2)</f>
        <v>0</v>
      </c>
      <c r="F206" s="91"/>
      <c r="G206" s="82" t="n">
        <f aca="false">ROUND(SUM(G6:G205),2)</f>
        <v>0</v>
      </c>
      <c r="H206" s="82" t="n">
        <f aca="false">ROUND(SUM(H6:H205),2)</f>
        <v>0</v>
      </c>
      <c r="I206" s="82" t="n">
        <f aca="false">ROUND(SUM(I6:I205),2)</f>
        <v>0</v>
      </c>
      <c r="J206" s="82" t="n">
        <f aca="false">ROUND(SUM(J6:J205),2)</f>
        <v>0</v>
      </c>
      <c r="K206" s="91"/>
      <c r="L206" s="91"/>
    </row>
    <row r="208" customFormat="false" ht="39.55" hidden="false" customHeight="false" outlineLevel="0" collapsed="false">
      <c r="A208" s="93" t="str">
        <f aca="true">("对账日期：　"&amp;TEXT(TODAY(),"yyyy 年 m 月 d 日"))</f>
        <v>对账日期：　2026 年 9 月 14 日</v>
      </c>
      <c r="E208" s="94" t="s">
        <v>158</v>
      </c>
      <c r="F208" s="88" t="n">
        <f aca="false">ROUND($J$206,2)</f>
        <v>0</v>
      </c>
    </row>
    <row r="209" customFormat="false" ht="15" hidden="false" customHeight="false" outlineLevel="0" collapsed="false">
      <c r="E209" s="94" t="s">
        <v>159</v>
      </c>
      <c r="F209" s="88" t="n">
        <f aca="false">ROUND(N($P$7),2)</f>
        <v>0</v>
      </c>
    </row>
    <row r="210" customFormat="false" ht="15" hidden="false" customHeight="false" outlineLevel="0" collapsed="false">
      <c r="E210" s="94" t="s">
        <v>160</v>
      </c>
      <c r="F210" s="82" t="n">
        <f aca="false">ROUND(N($F$208)-N($F$209),2)</f>
        <v>0</v>
      </c>
    </row>
  </sheetData>
  <mergeCells count="4">
    <mergeCell ref="A1:G1"/>
    <mergeCell ref="A3:G3"/>
    <mergeCell ref="A4:D4"/>
    <mergeCell ref="E4:H4"/>
  </mergeCells>
  <dataValidations count="1">
    <dataValidation allowBlank="true" errorStyle="stop" operator="between" showDropDown="false" showErrorMessage="false" showInputMessage="false" sqref="B2" type="list">
      <formula1>_自动清单!$AH$4:$AH$203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5C70"/>
    <pageSetUpPr fitToPage="false"/>
  </sheetPr>
  <dimension ref="A1:AF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M12" activeCellId="0" sqref="M12"/>
    </sheetView>
  </sheetViews>
  <sheetFormatPr defaultColWidth="9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7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8"/>
    <col collapsed="false" customWidth="true" hidden="false" outlineLevel="0" max="11" min="11" style="1" width="2"/>
    <col collapsed="false" customWidth="true" hidden="false" outlineLevel="0" max="13" min="12" style="1" width="13"/>
    <col collapsed="false" customWidth="true" hidden="false" outlineLevel="0" max="14" min="14" style="1" width="12"/>
    <col collapsed="false" customWidth="true" hidden="false" outlineLevel="0" max="15" min="15" style="1" width="2"/>
    <col collapsed="false" customWidth="true" hidden="false" outlineLevel="0" max="16" min="16" style="1" width="12"/>
  </cols>
  <sheetData>
    <row r="1" customFormat="false" ht="49.5" hidden="false" customHeight="true" outlineLevel="0" collapsed="false">
      <c r="A1" s="24" t="s">
        <v>70</v>
      </c>
      <c r="B1" s="24"/>
      <c r="C1" s="24"/>
      <c r="D1" s="24"/>
      <c r="E1" s="24"/>
      <c r="F1" s="24"/>
      <c r="G1" s="24"/>
      <c r="H1" s="24"/>
      <c r="I1" s="51" t="s">
        <v>71</v>
      </c>
      <c r="J1" s="52"/>
      <c r="P1" s="26" t="n">
        <f aca="false">IF($F$2="",DATE(1900,1,1),$F$2)</f>
        <v>2</v>
      </c>
    </row>
    <row r="2" customFormat="false" ht="25.5" hidden="false" customHeight="true" outlineLevel="0" collapsed="false">
      <c r="A2" s="27" t="s">
        <v>72</v>
      </c>
      <c r="B2" s="28" t="s">
        <v>161</v>
      </c>
      <c r="C2" s="28"/>
      <c r="E2" s="29" t="s">
        <v>74</v>
      </c>
      <c r="F2" s="30"/>
      <c r="G2" s="29" t="s">
        <v>75</v>
      </c>
      <c r="H2" s="30"/>
      <c r="L2" s="31" t="s">
        <v>162</v>
      </c>
      <c r="M2" s="31"/>
      <c r="N2" s="31"/>
      <c r="P2" s="26" t="n">
        <f aca="false">IF($H$2="",DATE(2999,12,31),$H$2)</f>
        <v>401768</v>
      </c>
    </row>
    <row r="3" customFormat="false" ht="19.5" hidden="false" customHeight="true" outlineLevel="0" collapsed="false">
      <c r="A3" s="32" t="s">
        <v>163</v>
      </c>
      <c r="B3" s="32"/>
      <c r="C3" s="32"/>
      <c r="D3" s="32"/>
      <c r="E3" s="32"/>
      <c r="F3" s="32"/>
      <c r="G3" s="32"/>
      <c r="H3" s="32"/>
      <c r="I3" s="32"/>
      <c r="J3" s="32"/>
      <c r="L3" s="33" t="s">
        <v>164</v>
      </c>
      <c r="M3" s="33"/>
      <c r="N3" s="54" t="n">
        <f aca="false">ROUND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,2)</f>
        <v>10716</v>
      </c>
    </row>
    <row r="4" customFormat="false" ht="24" hidden="false" customHeight="true" outlineLevel="0" collapsed="false">
      <c r="A4" s="35" t="s">
        <v>165</v>
      </c>
      <c r="B4" s="35"/>
      <c r="C4" s="35"/>
      <c r="D4" s="35"/>
      <c r="E4" s="35"/>
      <c r="F4" s="35"/>
      <c r="G4" s="35"/>
      <c r="H4" s="70" t="n">
        <f aca="false">ROUND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,2)</f>
        <v>10716</v>
      </c>
      <c r="I4" s="70"/>
      <c r="J4" s="70"/>
      <c r="L4" s="33" t="s">
        <v>166</v>
      </c>
      <c r="M4" s="33"/>
      <c r="N4" s="54" t="n">
        <f aca="false">ROUND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,2)</f>
        <v>0</v>
      </c>
    </row>
    <row r="5" customFormat="false" ht="30" hidden="false" customHeight="true" outlineLevel="0" collapsed="false">
      <c r="A5" s="39" t="s">
        <v>81</v>
      </c>
      <c r="B5" s="39" t="s">
        <v>82</v>
      </c>
      <c r="C5" s="39" t="s">
        <v>167</v>
      </c>
      <c r="D5" s="39" t="s">
        <v>168</v>
      </c>
      <c r="E5" s="39" t="s">
        <v>84</v>
      </c>
      <c r="F5" s="39" t="s">
        <v>113</v>
      </c>
      <c r="G5" s="39" t="s">
        <v>169</v>
      </c>
      <c r="H5" s="39" t="s">
        <v>129</v>
      </c>
      <c r="I5" s="39" t="s">
        <v>170</v>
      </c>
      <c r="J5" s="39" t="s">
        <v>87</v>
      </c>
      <c r="L5" s="33" t="s">
        <v>171</v>
      </c>
      <c r="M5" s="33"/>
      <c r="N5" s="54" t="n">
        <f aca="false"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),2)</f>
        <v>10716</v>
      </c>
    </row>
    <row r="6" customFormat="false" ht="18" hidden="false" customHeight="true" outlineLevel="0" collapsed="false">
      <c r="A6" s="40" t="n">
        <f aca="false">IF($AE6="","",IF($AE6&lt;=1200,IF(INDEX(对接源_01水果!$B$4:$B$1203,$AE6)=0,"",INDEX(对接源_01水果!$B$4:$B$1203,$AE6)),IF(INDEX(对接源_02物料!$B$4:$B$1203,$AE6-1200)=0,"",INDEX(对接源_02物料!$B$4:$B$1203,$AE6-1200))))</f>
        <v>46268</v>
      </c>
      <c r="B6" s="41" t="str">
        <f aca="false">IF($AE6="","",IF($AE6&lt;=1200,IF(INDEX(对接源_01水果!$E$4:$E$1203,$AE6)=0,"",INDEX(对接源_01水果!$E$4:$E$1203,$AE6)),IF(INDEX(对接源_02物料!$E$4:$E$1203,$AE6-1200)=0,"",INDEX(对接源_02物料!$E$4:$E$1203,$AE6-1200))))</f>
        <v>NO:0001070</v>
      </c>
      <c r="C6" s="42" t="str">
        <f aca="false">IF($AE6="","",IF($AE6&lt;=1200,IF(INDEX(对接源_01水果!$F$4:$F$1203,$AE6)=0,"",INDEX(对接源_01水果!$F$4:$F$1203,$AE6)),IF(INDEX(对接源_02物料!$F$4:$F$1203,$AE6-1200)=0,"",INDEX(对接源_02物料!$F$4:$F$1203,$AE6-1200))))</f>
        <v>香梨纸</v>
      </c>
      <c r="D6" s="41" t="str">
        <f aca="false">IF($AE6="","",IF($AE6&lt;=1200,IF(INDEX(对接源_01水果!$G$4:$G$1203,$AE6)=0,"",INDEX(对接源_01水果!$G$4:$G$1203,$AE6)),IF(INDEX(对接源_02物料!$G$4:$G$1203,$AE6-1200)=0,"",INDEX(对接源_02物料!$G$4:$G$1203,$AE6-1200))))</f>
        <v>*捆</v>
      </c>
      <c r="E6" s="55" t="n">
        <f aca="false">IF($AE6="","",IF($AE6&lt;=1200,IF(INDEX(对接源_01水果!$H$4:$H$1203,$AE6)=0,"",INDEX(对接源_01水果!$H$4:$H$1203,$AE6)),IF(INDEX(对接源_02物料!$H$4:$H$1203,$AE6-1200)=0,"",INDEX(对接源_02物料!$H$4:$H$1203,$AE6-1200))))</f>
        <v>2</v>
      </c>
      <c r="F6" s="41" t="str">
        <f aca="false">IF($AE6="","",IF($AE6&lt;=1200,IF(INDEX(对接源_01水果!$I$4:$I$1203,$AE6)=0,"",INDEX(对接源_01水果!$I$4:$I$1203,$AE6)),IF(INDEX(对接源_02物料!$I$4:$I$1203,$AE6-1200)=0,"",INDEX(对接源_02物料!$I$4:$I$1203,$AE6-1200))))</f>
        <v>捆</v>
      </c>
      <c r="G6" s="55" t="n">
        <f aca="false">IF($AE6="","",IF(IF($AE6&lt;=1200,N(INDEX(对接源_01水果!$H$4:$H$1203,$AE6)),N(INDEX(对接源_02物料!$H$4:$H$1203,$AE6-1200)))=0,"",ROUND(IF($AE6&lt;=1200,N(INDEX(对接源_01水果!$K$4:$K$1203,$AE6)),N(INDEX(对接源_02物料!$K$4:$K$1203,$AE6-1200)))/IF($AE6&lt;=1200,N(INDEX(对接源_01水果!$H$4:$H$1203,$AE6)),N(INDEX(对接源_02物料!$H$4:$H$1203,$AE6-1200))),2)))</f>
        <v>48</v>
      </c>
      <c r="H6" s="55" t="n">
        <f aca="false">IF($AE6="","",IF($AE6&lt;=1200,IF(INDEX(对接源_01水果!$K$4:$K$1203,$AE6)=0,"",INDEX(对接源_01水果!$K$4:$K$1203,$AE6)),IF(INDEX(对接源_02物料!$K$4:$K$1203,$AE6-1200)=0,"",INDEX(对接源_02物料!$K$4:$K$1203,$AE6-1200))))</f>
        <v>96</v>
      </c>
      <c r="I6" s="41" t="str">
        <f aca="false">IF($AE6="","",IF($AE6&lt;=1200,IF(INDEX(对接源_01水果!$L$4:$L$1203,$AE6)=0,"",INDEX(对接源_01水果!$L$4:$L$1203,$AE6)),IF(INDEX(对接源_02物料!$L$4:$L$1203,$AE6-1200)=0,"",INDEX(对接源_02物料!$L$4:$L$1203,$AE6-1200))))</f>
        <v>已收讫</v>
      </c>
      <c r="J6" s="42" t="str">
        <f aca="false"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33" t="s">
        <v>155</v>
      </c>
      <c r="M6" s="33"/>
      <c r="N6" s="54" t="n">
        <f aca="false">ROUND(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+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96</v>
      </c>
      <c r="AE6" s="44" t="n">
        <f aca="false">IFERROR(MATCH(1,_自动清单!$AG$4:$AG$2403,0),"")</f>
        <v>1210</v>
      </c>
    </row>
    <row r="7" customFormat="false" ht="18" hidden="false" customHeight="true" outlineLevel="0" collapsed="false">
      <c r="A7" s="45" t="n">
        <f aca="false">IF($AE7="","",IF($AE7&lt;=1200,IF(INDEX(对接源_01水果!$B$4:$B$1203,$AE7)=0,"",INDEX(对接源_01水果!$B$4:$B$1203,$AE7)),IF(INDEX(对接源_02物料!$B$4:$B$1203,$AE7-1200)=0,"",INDEX(对接源_02物料!$B$4:$B$1203,$AE7-1200))))</f>
        <v>46268</v>
      </c>
      <c r="B7" s="46" t="str">
        <f aca="false">IF($AE7="","",IF($AE7&lt;=1200,IF(INDEX(对接源_01水果!$E$4:$E$1203,$AE7)=0,"",INDEX(对接源_01水果!$E$4:$E$1203,$AE7)),IF(INDEX(对接源_02物料!$E$4:$E$1203,$AE7-1200)=0,"",INDEX(对接源_02物料!$E$4:$E$1203,$AE7-1200))))</f>
        <v>NO:0001074</v>
      </c>
      <c r="C7" s="47" t="str">
        <f aca="false">IF($AE7="","",IF($AE7&lt;=1200,IF(INDEX(对接源_01水果!$F$4:$F$1203,$AE7)=0,"",INDEX(对接源_01水果!$F$4:$F$1203,$AE7)),IF(INDEX(对接源_02物料!$F$4:$F$1203,$AE7-1200)=0,"",INDEX(对接源_02物料!$F$4:$F$1203,$AE7-1200))))</f>
        <v>香梨网</v>
      </c>
      <c r="D7" s="46" t="str">
        <f aca="false">IF($AE7="","",IF($AE7&lt;=1200,IF(INDEX(对接源_01水果!$G$4:$G$1203,$AE7)=0,"",INDEX(对接源_01水果!$G$4:$G$1203,$AE7)),IF(INDEX(对接源_02物料!$G$4:$G$1203,$AE7-1200)=0,"",INDEX(对接源_02物料!$G$4:$G$1203,$AE7-1200))))</f>
        <v>*包</v>
      </c>
      <c r="E7" s="56" t="n">
        <f aca="false">IF($AE7="","",IF($AE7&lt;=1200,IF(INDEX(对接源_01水果!$H$4:$H$1203,$AE7)=0,"",INDEX(对接源_01水果!$H$4:$H$1203,$AE7)),IF(INDEX(对接源_02物料!$H$4:$H$1203,$AE7-1200)=0,"",INDEX(对接源_02物料!$H$4:$H$1203,$AE7-1200))))</f>
        <v>44</v>
      </c>
      <c r="F7" s="46" t="str">
        <f aca="false">IF($AE7="","",IF($AE7&lt;=1200,IF(INDEX(对接源_01水果!$I$4:$I$1203,$AE7)=0,"",INDEX(对接源_01水果!$I$4:$I$1203,$AE7)),IF(INDEX(对接源_02物料!$I$4:$I$1203,$AE7-1200)=0,"",INDEX(对接源_02物料!$I$4:$I$1203,$AE7-1200))))</f>
        <v>包</v>
      </c>
      <c r="G7" s="56" t="n">
        <f aca="false">IF($AE7="","",IF(IF($AE7&lt;=1200,N(INDEX(对接源_01水果!$H$4:$H$1203,$AE7)),N(INDEX(对接源_02物料!$H$4:$H$1203,$AE7-1200)))=0,"",ROUND(IF($AE7&lt;=1200,N(INDEX(对接源_01水果!$K$4:$K$1203,$AE7)),N(INDEX(对接源_02物料!$K$4:$K$1203,$AE7-1200)))/IF($AE7&lt;=1200,N(INDEX(对接源_01水果!$H$4:$H$1203,$AE7)),N(INDEX(对接源_02物料!$H$4:$H$1203,$AE7-1200))),2)))</f>
        <v>45</v>
      </c>
      <c r="H7" s="56" t="n">
        <f aca="false">IF($AE7="","",IF($AE7&lt;=1200,IF(INDEX(对接源_01水果!$K$4:$K$1203,$AE7)=0,"",INDEX(对接源_01水果!$K$4:$K$1203,$AE7)),IF(INDEX(对接源_02物料!$K$4:$K$1203,$AE7-1200)=0,"",INDEX(对接源_02物料!$K$4:$K$1203,$AE7-1200))))</f>
        <v>1980</v>
      </c>
      <c r="I7" s="46" t="str">
        <f aca="false">IF($AE7="","",IF($AE7&lt;=1200,IF(INDEX(对接源_01水果!$L$4:$L$1203,$AE7)=0,"",INDEX(对接源_01水果!$L$4:$L$1203,$AE7)),IF(INDEX(对接源_02物料!$L$4:$L$1203,$AE7-1200)=0,"",INDEX(对接源_02物料!$L$4:$L$1203,$AE7-1200))))</f>
        <v>未付款</v>
      </c>
      <c r="J7" s="47" t="str">
        <f aca="false">IF($AE7="","",IF($AE7&lt;=1200,IF(INDEX(对接源_01水果!$M$4:$M$1203,$AE7)=0,"",INDEX(对接源_01水果!$M$4:$M$1203,$AE7)),IF(INDEX(对接源_02物料!$M$4:$M$1203,$AE7-1200)=0,"",INDEX(对接源_02物料!$M$4:$M$1203,$AE7-1200))))</f>
        <v/>
      </c>
      <c r="L7" s="37" t="s">
        <v>172</v>
      </c>
      <c r="M7" s="37"/>
      <c r="N7" s="71" t="n">
        <f aca="false"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)-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-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10620</v>
      </c>
      <c r="AE7" s="44" t="n">
        <f aca="false">IFERROR(MATCH(2,_自动清单!$AG$4:$AG$2403,0),"")</f>
        <v>1212</v>
      </c>
    </row>
    <row r="8" customFormat="false" ht="18" hidden="false" customHeight="true" outlineLevel="0" collapsed="false">
      <c r="A8" s="40" t="n">
        <f aca="false">IF($AE8="","",IF($AE8&lt;=1200,IF(INDEX(对接源_01水果!$B$4:$B$1203,$AE8)=0,"",INDEX(对接源_01水果!$B$4:$B$1203,$AE8)),IF(INDEX(对接源_02物料!$B$4:$B$1203,$AE8-1200)=0,"",INDEX(对接源_02物料!$B$4:$B$1203,$AE8-1200))))</f>
        <v>46272</v>
      </c>
      <c r="B8" s="41" t="str">
        <f aca="false">IF($AE8="","",IF($AE8&lt;=1200,IF(INDEX(对接源_01水果!$E$4:$E$1203,$AE8)=0,"",INDEX(对接源_01水果!$E$4:$E$1203,$AE8)),IF(INDEX(对接源_02物料!$E$4:$E$1203,$AE8-1200)=0,"",INDEX(对接源_02物料!$E$4:$E$1203,$AE8-1200))))</f>
        <v>NO:0001089</v>
      </c>
      <c r="C8" s="42" t="str">
        <f aca="false">IF($AE8="","",IF($AE8&lt;=1200,IF(INDEX(对接源_01水果!$F$4:$F$1203,$AE8)=0,"",INDEX(对接源_01水果!$F$4:$F$1203,$AE8)),IF(INDEX(对接源_02物料!$F$4:$F$1203,$AE8-1200)=0,"",INDEX(对接源_02物料!$F$4:$F$1203,$AE8-1200))))</f>
        <v>香梨网</v>
      </c>
      <c r="D8" s="41" t="str">
        <f aca="false">IF($AE8="","",IF($AE8&lt;=1200,IF(INDEX(对接源_01水果!$G$4:$G$1203,$AE8)=0,"",INDEX(对接源_01水果!$G$4:$G$1203,$AE8)),IF(INDEX(对接源_02物料!$G$4:$G$1203,$AE8-1200)=0,"",INDEX(对接源_02物料!$G$4:$G$1203,$AE8-1200))))</f>
        <v>*包</v>
      </c>
      <c r="E8" s="55" t="n">
        <f aca="false">IF($AE8="","",IF($AE8&lt;=1200,IF(INDEX(对接源_01水果!$H$4:$H$1203,$AE8)=0,"",INDEX(对接源_01水果!$H$4:$H$1203,$AE8)),IF(INDEX(对接源_02物料!$H$4:$H$1203,$AE8-1200)=0,"",INDEX(对接源_02物料!$H$4:$H$1203,$AE8-1200))))</f>
        <v>48</v>
      </c>
      <c r="F8" s="41" t="str">
        <f aca="false">IF($AE8="","",IF($AE8&lt;=1200,IF(INDEX(对接源_01水果!$I$4:$I$1203,$AE8)=0,"",INDEX(对接源_01水果!$I$4:$I$1203,$AE8)),IF(INDEX(对接源_02物料!$I$4:$I$1203,$AE8-1200)=0,"",INDEX(对接源_02物料!$I$4:$I$1203,$AE8-1200))))</f>
        <v>包</v>
      </c>
      <c r="G8" s="55" t="n">
        <f aca="false">IF($AE8="","",IF(IF($AE8&lt;=1200,N(INDEX(对接源_01水果!$H$4:$H$1203,$AE8)),N(INDEX(对接源_02物料!$H$4:$H$1203,$AE8-1200)))=0,"",ROUND(IF($AE8&lt;=1200,N(INDEX(对接源_01水果!$K$4:$K$1203,$AE8)),N(INDEX(对接源_02物料!$K$4:$K$1203,$AE8-1200)))/IF($AE8&lt;=1200,N(INDEX(对接源_01水果!$H$4:$H$1203,$AE8)),N(INDEX(对接源_02物料!$H$4:$H$1203,$AE8-1200))),2)))</f>
        <v>45</v>
      </c>
      <c r="H8" s="55" t="n">
        <f aca="false">IF($AE8="","",IF($AE8&lt;=1200,IF(INDEX(对接源_01水果!$K$4:$K$1203,$AE8)=0,"",INDEX(对接源_01水果!$K$4:$K$1203,$AE8)),IF(INDEX(对接源_02物料!$K$4:$K$1203,$AE8-1200)=0,"",INDEX(对接源_02物料!$K$4:$K$1203,$AE8-1200))))</f>
        <v>2160</v>
      </c>
      <c r="I8" s="41" t="str">
        <f aca="false">IF($AE8="","",IF($AE8&lt;=1200,IF(INDEX(对接源_01水果!$L$4:$L$1203,$AE8)=0,"",INDEX(对接源_01水果!$L$4:$L$1203,$AE8)),IF(INDEX(对接源_02物料!$L$4:$L$1203,$AE8-1200)=0,"",INDEX(对接源_02物料!$L$4:$L$1203,$AE8-1200))))</f>
        <v>未付款</v>
      </c>
      <c r="J8" s="42" t="str">
        <f aca="false"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44" t="n">
        <f aca="false">IFERROR(MATCH(3,_自动清单!$AG$4:$AG$2403,0),"")</f>
        <v>1216</v>
      </c>
    </row>
    <row r="9" customFormat="false" ht="18" hidden="false" customHeight="true" outlineLevel="0" collapsed="false">
      <c r="A9" s="45" t="n">
        <f aca="false"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46" t="str">
        <f aca="false">IF($AE9="","",IF($AE9&lt;=1200,IF(INDEX(对接源_01水果!$E$4:$E$1203,$AE9)=0,"",INDEX(对接源_01水果!$E$4:$E$1203,$AE9)),IF(INDEX(对接源_02物料!$E$4:$E$1203,$AE9-1200)=0,"",INDEX(对接源_02物料!$E$4:$E$1203,$AE9-1200))))</f>
        <v>NO:0001106</v>
      </c>
      <c r="C9" s="47" t="str">
        <f aca="false">IF($AE9="","",IF($AE9&lt;=1200,IF(INDEX(对接源_01水果!$F$4:$F$1203,$AE9)=0,"",INDEX(对接源_01水果!$F$4:$F$1203,$AE9)),IF(INDEX(对接源_02物料!$F$4:$F$1203,$AE9-1200)=0,"",INDEX(对接源_02物料!$F$4:$F$1203,$AE9-1200))))</f>
        <v>香梨网</v>
      </c>
      <c r="D9" s="46" t="str">
        <f aca="false">IF($AE9="","",IF($AE9&lt;=1200,IF(INDEX(对接源_01水果!$G$4:$G$1203,$AE9)=0,"",INDEX(对接源_01水果!$G$4:$G$1203,$AE9)),IF(INDEX(对接源_02物料!$G$4:$G$1203,$AE9-1200)=0,"",INDEX(对接源_02物料!$G$4:$G$1203,$AE9-1200))))</f>
        <v>*包</v>
      </c>
      <c r="E9" s="56" t="n">
        <f aca="false">IF($AE9="","",IF($AE9&lt;=1200,IF(INDEX(对接源_01水果!$H$4:$H$1203,$AE9)=0,"",INDEX(对接源_01水果!$H$4:$H$1203,$AE9)),IF(INDEX(对接源_02物料!$H$4:$H$1203,$AE9-1200)=0,"",INDEX(对接源_02物料!$H$4:$H$1203,$AE9-1200))))</f>
        <v>48</v>
      </c>
      <c r="F9" s="46" t="str">
        <f aca="false">IF($AE9="","",IF($AE9&lt;=1200,IF(INDEX(对接源_01水果!$I$4:$I$1203,$AE9)=0,"",INDEX(对接源_01水果!$I$4:$I$1203,$AE9)),IF(INDEX(对接源_02物料!$I$4:$I$1203,$AE9-1200)=0,"",INDEX(对接源_02物料!$I$4:$I$1203,$AE9-1200))))</f>
        <v>包</v>
      </c>
      <c r="G9" s="56" t="n">
        <f aca="false">IF($AE9="","",IF(IF($AE9&lt;=1200,N(INDEX(对接源_01水果!$H$4:$H$1203,$AE9)),N(INDEX(对接源_02物料!$H$4:$H$1203,$AE9-1200)))=0,"",ROUND(IF($AE9&lt;=1200,N(INDEX(对接源_01水果!$K$4:$K$1203,$AE9)),N(INDEX(对接源_02物料!$K$4:$K$1203,$AE9-1200)))/IF($AE9&lt;=1200,N(INDEX(对接源_01水果!$H$4:$H$1203,$AE9)),N(INDEX(对接源_02物料!$H$4:$H$1203,$AE9-1200))),2)))</f>
        <v>45</v>
      </c>
      <c r="H9" s="56" t="n">
        <f aca="false">IF($AE9="","",IF($AE9&lt;=1200,IF(INDEX(对接源_01水果!$K$4:$K$1203,$AE9)=0,"",INDEX(对接源_01水果!$K$4:$K$1203,$AE9)),IF(INDEX(对接源_02物料!$K$4:$K$1203,$AE9-1200)=0,"",INDEX(对接源_02物料!$K$4:$K$1203,$AE9-1200))))</f>
        <v>2160</v>
      </c>
      <c r="I9" s="46" t="str">
        <f aca="false">IF($AE9="","",IF($AE9&lt;=1200,IF(INDEX(对接源_01水果!$L$4:$L$1203,$AE9)=0,"",INDEX(对接源_01水果!$L$4:$L$1203,$AE9)),IF(INDEX(对接源_02物料!$L$4:$L$1203,$AE9-1200)=0,"",INDEX(对接源_02物料!$L$4:$L$1203,$AE9-1200))))</f>
        <v>未付款</v>
      </c>
      <c r="J9" s="47" t="str">
        <f aca="false"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44" t="n">
        <f aca="false">IFERROR(MATCH(4,_自动清单!$AG$4:$AG$2403,0),"")</f>
        <v>1225</v>
      </c>
    </row>
    <row r="10" customFormat="false" ht="18" hidden="false" customHeight="true" outlineLevel="0" collapsed="false">
      <c r="A10" s="40" t="n">
        <f aca="false">IF($AE10="","",IF($AE10&lt;=1200,IF(INDEX(对接源_01水果!$B$4:$B$1203,$AE10)=0,"",INDEX(对接源_01水果!$B$4:$B$1203,$AE10)),IF(INDEX(对接源_02物料!$B$4:$B$1203,$AE10-1200)=0,"",INDEX(对接源_02物料!$B$4:$B$1203,$AE10-1200))))</f>
        <v>46276</v>
      </c>
      <c r="B10" s="41" t="str">
        <f aca="false">IF($AE10="","",IF($AE10&lt;=1200,IF(INDEX(对接源_01水果!$E$4:$E$1203,$AE10)=0,"",INDEX(对接源_01水果!$E$4:$E$1203,$AE10)),IF(INDEX(对接源_02物料!$E$4:$E$1203,$AE10-1200)=0,"",INDEX(对接源_02物料!$E$4:$E$1203,$AE10-1200))))</f>
        <v>NO:0001113</v>
      </c>
      <c r="C10" s="42" t="str">
        <f aca="false">IF($AE10="","",IF($AE10&lt;=1200,IF(INDEX(对接源_01水果!$F$4:$F$1203,$AE10)=0,"",INDEX(对接源_01水果!$F$4:$F$1203,$AE10)),IF(INDEX(对接源_02物料!$F$4:$F$1203,$AE10-1200)=0,"",INDEX(对接源_02物料!$F$4:$F$1203,$AE10-1200))))</f>
        <v>香梨网</v>
      </c>
      <c r="D10" s="41" t="str">
        <f aca="false">IF($AE10="","",IF($AE10&lt;=1200,IF(INDEX(对接源_01水果!$G$4:$G$1203,$AE10)=0,"",INDEX(对接源_01水果!$G$4:$G$1203,$AE10)),IF(INDEX(对接源_02物料!$G$4:$G$1203,$AE10-1200)=0,"",INDEX(对接源_02物料!$G$4:$G$1203,$AE10-1200))))</f>
        <v>*包</v>
      </c>
      <c r="E10" s="55" t="n">
        <f aca="false">IF($AE10="","",IF($AE10&lt;=1200,IF(INDEX(对接源_01水果!$H$4:$H$1203,$AE10)=0,"",INDEX(对接源_01水果!$H$4:$H$1203,$AE10)),IF(INDEX(对接源_02物料!$H$4:$H$1203,$AE10-1200)=0,"",INDEX(对接源_02物料!$H$4:$H$1203,$AE10-1200))))</f>
        <v>48</v>
      </c>
      <c r="F10" s="41" t="str">
        <f aca="false">IF($AE10="","",IF($AE10&lt;=1200,IF(INDEX(对接源_01水果!$I$4:$I$1203,$AE10)=0,"",INDEX(对接源_01水果!$I$4:$I$1203,$AE10)),IF(INDEX(对接源_02物料!$I$4:$I$1203,$AE10-1200)=0,"",INDEX(对接源_02物料!$I$4:$I$1203,$AE10-1200))))</f>
        <v>包</v>
      </c>
      <c r="G10" s="55" t="n">
        <f aca="false">IF($AE10="","",IF(IF($AE10&lt;=1200,N(INDEX(对接源_01水果!$H$4:$H$1203,$AE10)),N(INDEX(对接源_02物料!$H$4:$H$1203,$AE10-1200)))=0,"",ROUND(IF($AE10&lt;=1200,N(INDEX(对接源_01水果!$K$4:$K$1203,$AE10)),N(INDEX(对接源_02物料!$K$4:$K$1203,$AE10-1200)))/IF($AE10&lt;=1200,N(INDEX(对接源_01水果!$H$4:$H$1203,$AE10)),N(INDEX(对接源_02物料!$H$4:$H$1203,$AE10-1200))),2)))</f>
        <v>45</v>
      </c>
      <c r="H10" s="55" t="n">
        <f aca="false">IF($AE10="","",IF($AE10&lt;=1200,IF(INDEX(对接源_01水果!$K$4:$K$1203,$AE10)=0,"",INDEX(对接源_01水果!$K$4:$K$1203,$AE10)),IF(INDEX(对接源_02物料!$K$4:$K$1203,$AE10-1200)=0,"",INDEX(对接源_02物料!$K$4:$K$1203,$AE10-1200))))</f>
        <v>2160</v>
      </c>
      <c r="I10" s="41" t="str">
        <f aca="false">IF($AE10="","",IF($AE10&lt;=1200,IF(INDEX(对接源_01水果!$L$4:$L$1203,$AE10)=0,"",INDEX(对接源_01水果!$L$4:$L$1203,$AE10)),IF(INDEX(对接源_02物料!$L$4:$L$1203,$AE10-1200)=0,"",INDEX(对接源_02物料!$L$4:$L$1203,$AE10-1200))))</f>
        <v>未付款</v>
      </c>
      <c r="J10" s="42" t="str">
        <f aca="false"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44" t="n">
        <f aca="false">IFERROR(MATCH(5,_自动清单!$AG$4:$AG$2403,0),"")</f>
        <v>1227</v>
      </c>
    </row>
    <row r="11" customFormat="false" ht="18" hidden="false" customHeight="true" outlineLevel="0" collapsed="false">
      <c r="A11" s="45" t="n">
        <f aca="false">IF($AE11="","",IF($AE11&lt;=1200,IF(INDEX(对接源_01水果!$B$4:$B$1203,$AE11)=0,"",INDEX(对接源_01水果!$B$4:$B$1203,$AE11)),IF(INDEX(对接源_02物料!$B$4:$B$1203,$AE11-1200)=0,"",INDEX(对接源_02物料!$B$4:$B$1203,$AE11-1200))))</f>
        <v>46277</v>
      </c>
      <c r="B11" s="46" t="str">
        <f aca="false">IF($AE11="","",IF($AE11&lt;=1200,IF(INDEX(对接源_01水果!$E$4:$E$1203,$AE11)=0,"",INDEX(对接源_01水果!$E$4:$E$1203,$AE11)),IF(INDEX(对接源_02物料!$E$4:$E$1203,$AE11-1200)=0,"",INDEX(对接源_02物料!$E$4:$E$1203,$AE11-1200))))</f>
        <v>NO:0001125</v>
      </c>
      <c r="C11" s="47" t="str">
        <f aca="false">IF($AE11="","",IF($AE11&lt;=1200,IF(INDEX(对接源_01水果!$F$4:$F$1203,$AE11)=0,"",INDEX(对接源_01水果!$F$4:$F$1203,$AE11)),IF(INDEX(对接源_02物料!$F$4:$F$1203,$AE11-1200)=0,"",INDEX(对接源_02物料!$F$4:$F$1203,$AE11-1200))))</f>
        <v>香梨网</v>
      </c>
      <c r="D11" s="46" t="str">
        <f aca="false">IF($AE11="","",IF($AE11&lt;=1200,IF(INDEX(对接源_01水果!$G$4:$G$1203,$AE11)=0,"",INDEX(对接源_01水果!$G$4:$G$1203,$AE11)),IF(INDEX(对接源_02物料!$G$4:$G$1203,$AE11-1200)=0,"",INDEX(对接源_02物料!$G$4:$G$1203,$AE11-1200))))</f>
        <v>*包</v>
      </c>
      <c r="E11" s="56" t="n">
        <f aca="false">IF($AE11="","",IF($AE11&lt;=1200,IF(INDEX(对接源_01水果!$H$4:$H$1203,$AE11)=0,"",INDEX(对接源_01水果!$H$4:$H$1203,$AE11)),IF(INDEX(对接源_02物料!$H$4:$H$1203,$AE11-1200)=0,"",INDEX(对接源_02物料!$H$4:$H$1203,$AE11-1200))))</f>
        <v>48</v>
      </c>
      <c r="F11" s="46" t="str">
        <f aca="false">IF($AE11="","",IF($AE11&lt;=1200,IF(INDEX(对接源_01水果!$I$4:$I$1203,$AE11)=0,"",INDEX(对接源_01水果!$I$4:$I$1203,$AE11)),IF(INDEX(对接源_02物料!$I$4:$I$1203,$AE11-1200)=0,"",INDEX(对接源_02物料!$I$4:$I$1203,$AE11-1200))))</f>
        <v>包</v>
      </c>
      <c r="G11" s="56" t="n">
        <f aca="false">IF($AE11="","",IF(IF($AE11&lt;=1200,N(INDEX(对接源_01水果!$H$4:$H$1203,$AE11)),N(INDEX(对接源_02物料!$H$4:$H$1203,$AE11-1200)))=0,"",ROUND(IF($AE11&lt;=1200,N(INDEX(对接源_01水果!$K$4:$K$1203,$AE11)),N(INDEX(对接源_02物料!$K$4:$K$1203,$AE11-1200)))/IF($AE11&lt;=1200,N(INDEX(对接源_01水果!$H$4:$H$1203,$AE11)),N(INDEX(对接源_02物料!$H$4:$H$1203,$AE11-1200))),2)))</f>
        <v>45</v>
      </c>
      <c r="H11" s="56" t="n">
        <f aca="false">IF($AE11="","",IF($AE11&lt;=1200,IF(INDEX(对接源_01水果!$K$4:$K$1203,$AE11)=0,"",INDEX(对接源_01水果!$K$4:$K$1203,$AE11)),IF(INDEX(对接源_02物料!$K$4:$K$1203,$AE11-1200)=0,"",INDEX(对接源_02物料!$K$4:$K$1203,$AE11-1200))))</f>
        <v>2160</v>
      </c>
      <c r="I11" s="46" t="str">
        <f aca="false">IF($AE11="","",IF($AE11&lt;=1200,IF(INDEX(对接源_01水果!$L$4:$L$1203,$AE11)=0,"",INDEX(对接源_01水果!$L$4:$L$1203,$AE11)),IF(INDEX(对接源_02物料!$L$4:$L$1203,$AE11-1200)=0,"",INDEX(对接源_02物料!$L$4:$L$1203,$AE11-1200))))</f>
        <v>未付款</v>
      </c>
      <c r="J11" s="47" t="str">
        <f aca="false"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44" t="n">
        <f aca="false">IFERROR(MATCH(6,_自动清单!$AG$4:$AG$2403,0),"")</f>
        <v>1233</v>
      </c>
    </row>
    <row r="12" customFormat="false" ht="18" hidden="false" customHeight="true" outlineLevel="0" collapsed="false">
      <c r="A12" s="40" t="str">
        <f aca="false">IF($AE12="","",IF($AE12&lt;=1200,IF(INDEX(对接源_01水果!$B$4:$B$1203,$AE12)=0,"",INDEX(对接源_01水果!$B$4:$B$1203,$AE12)),IF(INDEX(对接源_02物料!$B$4:$B$1203,$AE12-1200)=0,"",INDEX(对接源_02物料!$B$4:$B$1203,$AE12-1200))))</f>
        <v/>
      </c>
      <c r="B12" s="41" t="str">
        <f aca="false">IF($AE12="","",IF($AE12&lt;=1200,IF(INDEX(对接源_01水果!$E$4:$E$1203,$AE12)=0,"",INDEX(对接源_01水果!$E$4:$E$1203,$AE12)),IF(INDEX(对接源_02物料!$E$4:$E$1203,$AE12-1200)=0,"",INDEX(对接源_02物料!$E$4:$E$1203,$AE12-1200))))</f>
        <v/>
      </c>
      <c r="C12" s="42" t="str">
        <f aca="false">IF($AE12="","",IF($AE12&lt;=1200,IF(INDEX(对接源_01水果!$F$4:$F$1203,$AE12)=0,"",INDEX(对接源_01水果!$F$4:$F$1203,$AE12)),IF(INDEX(对接源_02物料!$F$4:$F$1203,$AE12-1200)=0,"",INDEX(对接源_02物料!$F$4:$F$1203,$AE12-1200))))</f>
        <v/>
      </c>
      <c r="D12" s="41" t="str">
        <f aca="false">IF($AE12="","",IF($AE12&lt;=1200,IF(INDEX(对接源_01水果!$G$4:$G$1203,$AE12)=0,"",INDEX(对接源_01水果!$G$4:$G$1203,$AE12)),IF(INDEX(对接源_02物料!$G$4:$G$1203,$AE12-1200)=0,"",INDEX(对接源_02物料!$G$4:$G$1203,$AE12-1200))))</f>
        <v/>
      </c>
      <c r="E12" s="55" t="str">
        <f aca="false">IF($AE12="","",IF($AE12&lt;=1200,IF(INDEX(对接源_01水果!$H$4:$H$1203,$AE12)=0,"",INDEX(对接源_01水果!$H$4:$H$1203,$AE12)),IF(INDEX(对接源_02物料!$H$4:$H$1203,$AE12-1200)=0,"",INDEX(对接源_02物料!$H$4:$H$1203,$AE12-1200))))</f>
        <v/>
      </c>
      <c r="F12" s="41" t="str">
        <f aca="false">IF($AE12="","",IF($AE12&lt;=1200,IF(INDEX(对接源_01水果!$I$4:$I$1203,$AE12)=0,"",INDEX(对接源_01水果!$I$4:$I$1203,$AE12)),IF(INDEX(对接源_02物料!$I$4:$I$1203,$AE12-1200)=0,"",INDEX(对接源_02物料!$I$4:$I$1203,$AE12-1200))))</f>
        <v/>
      </c>
      <c r="G12" s="55" t="str">
        <f aca="false">IF($AE12="","",IF(IF($AE12&lt;=1200,N(INDEX(对接源_01水果!$H$4:$H$1203,$AE12)),N(INDEX(对接源_02物料!$H$4:$H$1203,$AE12-1200)))=0,"",ROUND(IF($AE12&lt;=1200,N(INDEX(对接源_01水果!$K$4:$K$1203,$AE12)),N(INDEX(对接源_02物料!$K$4:$K$1203,$AE12-1200)))/IF($AE12&lt;=1200,N(INDEX(对接源_01水果!$H$4:$H$1203,$AE12)),N(INDEX(对接源_02物料!$H$4:$H$1203,$AE12-1200))),2)))</f>
        <v/>
      </c>
      <c r="H12" s="55" t="str">
        <f aca="false">IF($AE12="","",IF($AE12&lt;=1200,IF(INDEX(对接源_01水果!$K$4:$K$1203,$AE12)=0,"",INDEX(对接源_01水果!$K$4:$K$1203,$AE12)),IF(INDEX(对接源_02物料!$K$4:$K$1203,$AE12-1200)=0,"",INDEX(对接源_02物料!$K$4:$K$1203,$AE12-1200))))</f>
        <v/>
      </c>
      <c r="I12" s="41" t="str">
        <f aca="false">IF($AE12="","",IF($AE12&lt;=1200,IF(INDEX(对接源_01水果!$L$4:$L$1203,$AE12)=0,"",INDEX(对接源_01水果!$L$4:$L$1203,$AE12)),IF(INDEX(对接源_02物料!$L$4:$L$1203,$AE12-1200)=0,"",INDEX(对接源_02物料!$L$4:$L$1203,$AE12-1200))))</f>
        <v/>
      </c>
      <c r="J12" s="42" t="str">
        <f aca="false"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44" t="str">
        <f aca="false">IFERROR(MATCH(7,_自动清单!$AG$4:$AG$2403,0),"")</f>
        <v/>
      </c>
    </row>
    <row r="13" customFormat="false" ht="18" hidden="false" customHeight="true" outlineLevel="0" collapsed="false">
      <c r="A13" s="45" t="str">
        <f aca="false">IF($AE13="","",IF($AE13&lt;=1200,IF(INDEX(对接源_01水果!$B$4:$B$1203,$AE13)=0,"",INDEX(对接源_01水果!$B$4:$B$1203,$AE13)),IF(INDEX(对接源_02物料!$B$4:$B$1203,$AE13-1200)=0,"",INDEX(对接源_02物料!$B$4:$B$1203,$AE13-1200))))</f>
        <v/>
      </c>
      <c r="B13" s="46" t="str">
        <f aca="false">IF($AE13="","",IF($AE13&lt;=1200,IF(INDEX(对接源_01水果!$E$4:$E$1203,$AE13)=0,"",INDEX(对接源_01水果!$E$4:$E$1203,$AE13)),IF(INDEX(对接源_02物料!$E$4:$E$1203,$AE13-1200)=0,"",INDEX(对接源_02物料!$E$4:$E$1203,$AE13-1200))))</f>
        <v/>
      </c>
      <c r="C13" s="47" t="str">
        <f aca="false">IF($AE13="","",IF($AE13&lt;=1200,IF(INDEX(对接源_01水果!$F$4:$F$1203,$AE13)=0,"",INDEX(对接源_01水果!$F$4:$F$1203,$AE13)),IF(INDEX(对接源_02物料!$F$4:$F$1203,$AE13-1200)=0,"",INDEX(对接源_02物料!$F$4:$F$1203,$AE13-1200))))</f>
        <v/>
      </c>
      <c r="D13" s="46" t="str">
        <f aca="false">IF($AE13="","",IF($AE13&lt;=1200,IF(INDEX(对接源_01水果!$G$4:$G$1203,$AE13)=0,"",INDEX(对接源_01水果!$G$4:$G$1203,$AE13)),IF(INDEX(对接源_02物料!$G$4:$G$1203,$AE13-1200)=0,"",INDEX(对接源_02物料!$G$4:$G$1203,$AE13-1200))))</f>
        <v/>
      </c>
      <c r="E13" s="56" t="str">
        <f aca="false">IF($AE13="","",IF($AE13&lt;=1200,IF(INDEX(对接源_01水果!$H$4:$H$1203,$AE13)=0,"",INDEX(对接源_01水果!$H$4:$H$1203,$AE13)),IF(INDEX(对接源_02物料!$H$4:$H$1203,$AE13-1200)=0,"",INDEX(对接源_02物料!$H$4:$H$1203,$AE13-1200))))</f>
        <v/>
      </c>
      <c r="F13" s="46" t="str">
        <f aca="false">IF($AE13="","",IF($AE13&lt;=1200,IF(INDEX(对接源_01水果!$I$4:$I$1203,$AE13)=0,"",INDEX(对接源_01水果!$I$4:$I$1203,$AE13)),IF(INDEX(对接源_02物料!$I$4:$I$1203,$AE13-1200)=0,"",INDEX(对接源_02物料!$I$4:$I$1203,$AE13-1200))))</f>
        <v/>
      </c>
      <c r="G13" s="56" t="str">
        <f aca="false">IF($AE13="","",IF(IF($AE13&lt;=1200,N(INDEX(对接源_01水果!$H$4:$H$1203,$AE13)),N(INDEX(对接源_02物料!$H$4:$H$1203,$AE13-1200)))=0,"",ROUND(IF($AE13&lt;=1200,N(INDEX(对接源_01水果!$K$4:$K$1203,$AE13)),N(INDEX(对接源_02物料!$K$4:$K$1203,$AE13-1200)))/IF($AE13&lt;=1200,N(INDEX(对接源_01水果!$H$4:$H$1203,$AE13)),N(INDEX(对接源_02物料!$H$4:$H$1203,$AE13-1200))),2)))</f>
        <v/>
      </c>
      <c r="H13" s="56" t="str">
        <f aca="false">IF($AE13="","",IF($AE13&lt;=1200,IF(INDEX(对接源_01水果!$K$4:$K$1203,$AE13)=0,"",INDEX(对接源_01水果!$K$4:$K$1203,$AE13)),IF(INDEX(对接源_02物料!$K$4:$K$1203,$AE13-1200)=0,"",INDEX(对接源_02物料!$K$4:$K$1203,$AE13-1200))))</f>
        <v/>
      </c>
      <c r="I13" s="46" t="str">
        <f aca="false">IF($AE13="","",IF($AE13&lt;=1200,IF(INDEX(对接源_01水果!$L$4:$L$1203,$AE13)=0,"",INDEX(对接源_01水果!$L$4:$L$1203,$AE13)),IF(INDEX(对接源_02物料!$L$4:$L$1203,$AE13-1200)=0,"",INDEX(对接源_02物料!$L$4:$L$1203,$AE13-1200))))</f>
        <v/>
      </c>
      <c r="J13" s="47" t="str">
        <f aca="false"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44" t="str">
        <f aca="false">IFERROR(MATCH(8,_自动清单!$AG$4:$AG$2403,0),"")</f>
        <v/>
      </c>
    </row>
    <row r="14" customFormat="false" ht="18" hidden="false" customHeight="true" outlineLevel="0" collapsed="false">
      <c r="A14" s="40" t="str">
        <f aca="false"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41" t="str">
        <f aca="false"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C14" s="42" t="str">
        <f aca="false">IF($AE14="","",IF($AE14&lt;=1200,IF(INDEX(对接源_01水果!$F$4:$F$1203,$AE14)=0,"",INDEX(对接源_01水果!$F$4:$F$1203,$AE14)),IF(INDEX(对接源_02物料!$F$4:$F$1203,$AE14-1200)=0,"",INDEX(对接源_02物料!$F$4:$F$1203,$AE14-1200))))</f>
        <v/>
      </c>
      <c r="D14" s="41" t="str">
        <f aca="false">IF($AE14="","",IF($AE14&lt;=1200,IF(INDEX(对接源_01水果!$G$4:$G$1203,$AE14)=0,"",INDEX(对接源_01水果!$G$4:$G$1203,$AE14)),IF(INDEX(对接源_02物料!$G$4:$G$1203,$AE14-1200)=0,"",INDEX(对接源_02物料!$G$4:$G$1203,$AE14-1200))))</f>
        <v/>
      </c>
      <c r="E14" s="55" t="str">
        <f aca="false">IF($AE14="","",IF($AE14&lt;=1200,IF(INDEX(对接源_01水果!$H$4:$H$1203,$AE14)=0,"",INDEX(对接源_01水果!$H$4:$H$1203,$AE14)),IF(INDEX(对接源_02物料!$H$4:$H$1203,$AE14-1200)=0,"",INDEX(对接源_02物料!$H$4:$H$1203,$AE14-1200))))</f>
        <v/>
      </c>
      <c r="F14" s="41" t="str">
        <f aca="false">IF($AE14="","",IF($AE14&lt;=1200,IF(INDEX(对接源_01水果!$I$4:$I$1203,$AE14)=0,"",INDEX(对接源_01水果!$I$4:$I$1203,$AE14)),IF(INDEX(对接源_02物料!$I$4:$I$1203,$AE14-1200)=0,"",INDEX(对接源_02物料!$I$4:$I$1203,$AE14-1200))))</f>
        <v/>
      </c>
      <c r="G14" s="55" t="str">
        <f aca="false">IF($AE14="","",IF(IF($AE14&lt;=1200,N(INDEX(对接源_01水果!$H$4:$H$1203,$AE14)),N(INDEX(对接源_02物料!$H$4:$H$1203,$AE14-1200)))=0,"",ROUND(IF($AE14&lt;=1200,N(INDEX(对接源_01水果!$K$4:$K$1203,$AE14)),N(INDEX(对接源_02物料!$K$4:$K$1203,$AE14-1200)))/IF($AE14&lt;=1200,N(INDEX(对接源_01水果!$H$4:$H$1203,$AE14)),N(INDEX(对接源_02物料!$H$4:$H$1203,$AE14-1200))),2)))</f>
        <v/>
      </c>
      <c r="H14" s="55" t="str">
        <f aca="false">IF($AE14="","",IF($AE14&lt;=1200,IF(INDEX(对接源_01水果!$K$4:$K$1203,$AE14)=0,"",INDEX(对接源_01水果!$K$4:$K$1203,$AE14)),IF(INDEX(对接源_02物料!$K$4:$K$1203,$AE14-1200)=0,"",INDEX(对接源_02物料!$K$4:$K$1203,$AE14-1200))))</f>
        <v/>
      </c>
      <c r="I14" s="41" t="str">
        <f aca="false">IF($AE14="","",IF($AE14&lt;=1200,IF(INDEX(对接源_01水果!$L$4:$L$1203,$AE14)=0,"",INDEX(对接源_01水果!$L$4:$L$1203,$AE14)),IF(INDEX(对接源_02物料!$L$4:$L$1203,$AE14-1200)=0,"",INDEX(对接源_02物料!$L$4:$L$1203,$AE14-1200))))</f>
        <v/>
      </c>
      <c r="J14" s="42" t="str">
        <f aca="false"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44" t="str">
        <f aca="false">IFERROR(MATCH(9,_自动清单!$AG$4:$AG$2403,0),"")</f>
        <v/>
      </c>
    </row>
    <row r="15" customFormat="false" ht="18" hidden="false" customHeight="true" outlineLevel="0" collapsed="false">
      <c r="A15" s="45" t="str">
        <f aca="false"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46" t="str">
        <f aca="false"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C15" s="47" t="str">
        <f aca="false">IF($AE15="","",IF($AE15&lt;=1200,IF(INDEX(对接源_01水果!$F$4:$F$1203,$AE15)=0,"",INDEX(对接源_01水果!$F$4:$F$1203,$AE15)),IF(INDEX(对接源_02物料!$F$4:$F$1203,$AE15-1200)=0,"",INDEX(对接源_02物料!$F$4:$F$1203,$AE15-1200))))</f>
        <v/>
      </c>
      <c r="D15" s="46" t="str">
        <f aca="false">IF($AE15="","",IF($AE15&lt;=1200,IF(INDEX(对接源_01水果!$G$4:$G$1203,$AE15)=0,"",INDEX(对接源_01水果!$G$4:$G$1203,$AE15)),IF(INDEX(对接源_02物料!$G$4:$G$1203,$AE15-1200)=0,"",INDEX(对接源_02物料!$G$4:$G$1203,$AE15-1200))))</f>
        <v/>
      </c>
      <c r="E15" s="56" t="str">
        <f aca="false">IF($AE15="","",IF($AE15&lt;=1200,IF(INDEX(对接源_01水果!$H$4:$H$1203,$AE15)=0,"",INDEX(对接源_01水果!$H$4:$H$1203,$AE15)),IF(INDEX(对接源_02物料!$H$4:$H$1203,$AE15-1200)=0,"",INDEX(对接源_02物料!$H$4:$H$1203,$AE15-1200))))</f>
        <v/>
      </c>
      <c r="F15" s="46" t="str">
        <f aca="false">IF($AE15="","",IF($AE15&lt;=1200,IF(INDEX(对接源_01水果!$I$4:$I$1203,$AE15)=0,"",INDEX(对接源_01水果!$I$4:$I$1203,$AE15)),IF(INDEX(对接源_02物料!$I$4:$I$1203,$AE15-1200)=0,"",INDEX(对接源_02物料!$I$4:$I$1203,$AE15-1200))))</f>
        <v/>
      </c>
      <c r="G15" s="56" t="str">
        <f aca="false">IF($AE15="","",IF(IF($AE15&lt;=1200,N(INDEX(对接源_01水果!$H$4:$H$1203,$AE15)),N(INDEX(对接源_02物料!$H$4:$H$1203,$AE15-1200)))=0,"",ROUND(IF($AE15&lt;=1200,N(INDEX(对接源_01水果!$K$4:$K$1203,$AE15)),N(INDEX(对接源_02物料!$K$4:$K$1203,$AE15-1200)))/IF($AE15&lt;=1200,N(INDEX(对接源_01水果!$H$4:$H$1203,$AE15)),N(INDEX(对接源_02物料!$H$4:$H$1203,$AE15-1200))),2)))</f>
        <v/>
      </c>
      <c r="H15" s="56" t="str">
        <f aca="false">IF($AE15="","",IF($AE15&lt;=1200,IF(INDEX(对接源_01水果!$K$4:$K$1203,$AE15)=0,"",INDEX(对接源_01水果!$K$4:$K$1203,$AE15)),IF(INDEX(对接源_02物料!$K$4:$K$1203,$AE15-1200)=0,"",INDEX(对接源_02物料!$K$4:$K$1203,$AE15-1200))))</f>
        <v/>
      </c>
      <c r="I15" s="46" t="str">
        <f aca="false">IF($AE15="","",IF($AE15&lt;=1200,IF(INDEX(对接源_01水果!$L$4:$L$1203,$AE15)=0,"",INDEX(对接源_01水果!$L$4:$L$1203,$AE15)),IF(INDEX(对接源_02物料!$L$4:$L$1203,$AE15-1200)=0,"",INDEX(对接源_02物料!$L$4:$L$1203,$AE15-1200))))</f>
        <v/>
      </c>
      <c r="J15" s="47" t="str">
        <f aca="false"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44" t="str">
        <f aca="false">IFERROR(MATCH(10,_自动清单!$AG$4:$AG$2403,0),"")</f>
        <v/>
      </c>
    </row>
    <row r="16" customFormat="false" ht="18" hidden="false" customHeight="true" outlineLevel="0" collapsed="false">
      <c r="A16" s="40" t="str">
        <f aca="false"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41" t="str">
        <f aca="false"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C16" s="42" t="str">
        <f aca="false">IF($AE16="","",IF($AE16&lt;=1200,IF(INDEX(对接源_01水果!$F$4:$F$1203,$AE16)=0,"",INDEX(对接源_01水果!$F$4:$F$1203,$AE16)),IF(INDEX(对接源_02物料!$F$4:$F$1203,$AE16-1200)=0,"",INDEX(对接源_02物料!$F$4:$F$1203,$AE16-1200))))</f>
        <v/>
      </c>
      <c r="D16" s="41" t="str">
        <f aca="false">IF($AE16="","",IF($AE16&lt;=1200,IF(INDEX(对接源_01水果!$G$4:$G$1203,$AE16)=0,"",INDEX(对接源_01水果!$G$4:$G$1203,$AE16)),IF(INDEX(对接源_02物料!$G$4:$G$1203,$AE16-1200)=0,"",INDEX(对接源_02物料!$G$4:$G$1203,$AE16-1200))))</f>
        <v/>
      </c>
      <c r="E16" s="55" t="str">
        <f aca="false">IF($AE16="","",IF($AE16&lt;=1200,IF(INDEX(对接源_01水果!$H$4:$H$1203,$AE16)=0,"",INDEX(对接源_01水果!$H$4:$H$1203,$AE16)),IF(INDEX(对接源_02物料!$H$4:$H$1203,$AE16-1200)=0,"",INDEX(对接源_02物料!$H$4:$H$1203,$AE16-1200))))</f>
        <v/>
      </c>
      <c r="F16" s="41" t="str">
        <f aca="false">IF($AE16="","",IF($AE16&lt;=1200,IF(INDEX(对接源_01水果!$I$4:$I$1203,$AE16)=0,"",INDEX(对接源_01水果!$I$4:$I$1203,$AE16)),IF(INDEX(对接源_02物料!$I$4:$I$1203,$AE16-1200)=0,"",INDEX(对接源_02物料!$I$4:$I$1203,$AE16-1200))))</f>
        <v/>
      </c>
      <c r="G16" s="55" t="str">
        <f aca="false">IF($AE16="","",IF(IF($AE16&lt;=1200,N(INDEX(对接源_01水果!$H$4:$H$1203,$AE16)),N(INDEX(对接源_02物料!$H$4:$H$1203,$AE16-1200)))=0,"",ROUND(IF($AE16&lt;=1200,N(INDEX(对接源_01水果!$K$4:$K$1203,$AE16)),N(INDEX(对接源_02物料!$K$4:$K$1203,$AE16-1200)))/IF($AE16&lt;=1200,N(INDEX(对接源_01水果!$H$4:$H$1203,$AE16)),N(INDEX(对接源_02物料!$H$4:$H$1203,$AE16-1200))),2)))</f>
        <v/>
      </c>
      <c r="H16" s="55" t="str">
        <f aca="false">IF($AE16="","",IF($AE16&lt;=1200,IF(INDEX(对接源_01水果!$K$4:$K$1203,$AE16)=0,"",INDEX(对接源_01水果!$K$4:$K$1203,$AE16)),IF(INDEX(对接源_02物料!$K$4:$K$1203,$AE16-1200)=0,"",INDEX(对接源_02物料!$K$4:$K$1203,$AE16-1200))))</f>
        <v/>
      </c>
      <c r="I16" s="41" t="str">
        <f aca="false">IF($AE16="","",IF($AE16&lt;=1200,IF(INDEX(对接源_01水果!$L$4:$L$1203,$AE16)=0,"",INDEX(对接源_01水果!$L$4:$L$1203,$AE16)),IF(INDEX(对接源_02物料!$L$4:$L$1203,$AE16-1200)=0,"",INDEX(对接源_02物料!$L$4:$L$1203,$AE16-1200))))</f>
        <v/>
      </c>
      <c r="J16" s="42" t="str">
        <f aca="false"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44" t="str">
        <f aca="false">IFERROR(MATCH(11,_自动清单!$AG$4:$AG$2403,0),"")</f>
        <v/>
      </c>
    </row>
    <row r="17" customFormat="false" ht="18" hidden="false" customHeight="true" outlineLevel="0" collapsed="false">
      <c r="A17" s="45" t="str">
        <f aca="false"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46" t="str">
        <f aca="false"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C17" s="47" t="str">
        <f aca="false">IF($AE17="","",IF($AE17&lt;=1200,IF(INDEX(对接源_01水果!$F$4:$F$1203,$AE17)=0,"",INDEX(对接源_01水果!$F$4:$F$1203,$AE17)),IF(INDEX(对接源_02物料!$F$4:$F$1203,$AE17-1200)=0,"",INDEX(对接源_02物料!$F$4:$F$1203,$AE17-1200))))</f>
        <v/>
      </c>
      <c r="D17" s="46" t="str">
        <f aca="false">IF($AE17="","",IF($AE17&lt;=1200,IF(INDEX(对接源_01水果!$G$4:$G$1203,$AE17)=0,"",INDEX(对接源_01水果!$G$4:$G$1203,$AE17)),IF(INDEX(对接源_02物料!$G$4:$G$1203,$AE17-1200)=0,"",INDEX(对接源_02物料!$G$4:$G$1203,$AE17-1200))))</f>
        <v/>
      </c>
      <c r="E17" s="56" t="str">
        <f aca="false">IF($AE17="","",IF($AE17&lt;=1200,IF(INDEX(对接源_01水果!$H$4:$H$1203,$AE17)=0,"",INDEX(对接源_01水果!$H$4:$H$1203,$AE17)),IF(INDEX(对接源_02物料!$H$4:$H$1203,$AE17-1200)=0,"",INDEX(对接源_02物料!$H$4:$H$1203,$AE17-1200))))</f>
        <v/>
      </c>
      <c r="F17" s="46" t="str">
        <f aca="false">IF($AE17="","",IF($AE17&lt;=1200,IF(INDEX(对接源_01水果!$I$4:$I$1203,$AE17)=0,"",INDEX(对接源_01水果!$I$4:$I$1203,$AE17)),IF(INDEX(对接源_02物料!$I$4:$I$1203,$AE17-1200)=0,"",INDEX(对接源_02物料!$I$4:$I$1203,$AE17-1200))))</f>
        <v/>
      </c>
      <c r="G17" s="56" t="str">
        <f aca="false">IF($AE17="","",IF(IF($AE17&lt;=1200,N(INDEX(对接源_01水果!$H$4:$H$1203,$AE17)),N(INDEX(对接源_02物料!$H$4:$H$1203,$AE17-1200)))=0,"",ROUND(IF($AE17&lt;=1200,N(INDEX(对接源_01水果!$K$4:$K$1203,$AE17)),N(INDEX(对接源_02物料!$K$4:$K$1203,$AE17-1200)))/IF($AE17&lt;=1200,N(INDEX(对接源_01水果!$H$4:$H$1203,$AE17)),N(INDEX(对接源_02物料!$H$4:$H$1203,$AE17-1200))),2)))</f>
        <v/>
      </c>
      <c r="H17" s="56" t="str">
        <f aca="false">IF($AE17="","",IF($AE17&lt;=1200,IF(INDEX(对接源_01水果!$K$4:$K$1203,$AE17)=0,"",INDEX(对接源_01水果!$K$4:$K$1203,$AE17)),IF(INDEX(对接源_02物料!$K$4:$K$1203,$AE17-1200)=0,"",INDEX(对接源_02物料!$K$4:$K$1203,$AE17-1200))))</f>
        <v/>
      </c>
      <c r="I17" s="46" t="str">
        <f aca="false">IF($AE17="","",IF($AE17&lt;=1200,IF(INDEX(对接源_01水果!$L$4:$L$1203,$AE17)=0,"",INDEX(对接源_01水果!$L$4:$L$1203,$AE17)),IF(INDEX(对接源_02物料!$L$4:$L$1203,$AE17-1200)=0,"",INDEX(对接源_02物料!$L$4:$L$1203,$AE17-1200))))</f>
        <v/>
      </c>
      <c r="J17" s="47" t="str">
        <f aca="false"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44" t="str">
        <f aca="false">IFERROR(MATCH(12,_自动清单!$AG$4:$AG$2403,0),"")</f>
        <v/>
      </c>
    </row>
    <row r="18" customFormat="false" ht="18" hidden="false" customHeight="true" outlineLevel="0" collapsed="false">
      <c r="A18" s="40" t="str">
        <f aca="false"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41" t="str">
        <f aca="false"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C18" s="42" t="str">
        <f aca="false">IF($AE18="","",IF($AE18&lt;=1200,IF(INDEX(对接源_01水果!$F$4:$F$1203,$AE18)=0,"",INDEX(对接源_01水果!$F$4:$F$1203,$AE18)),IF(INDEX(对接源_02物料!$F$4:$F$1203,$AE18-1200)=0,"",INDEX(对接源_02物料!$F$4:$F$1203,$AE18-1200))))</f>
        <v/>
      </c>
      <c r="D18" s="41" t="str">
        <f aca="false">IF($AE18="","",IF($AE18&lt;=1200,IF(INDEX(对接源_01水果!$G$4:$G$1203,$AE18)=0,"",INDEX(对接源_01水果!$G$4:$G$1203,$AE18)),IF(INDEX(对接源_02物料!$G$4:$G$1203,$AE18-1200)=0,"",INDEX(对接源_02物料!$G$4:$G$1203,$AE18-1200))))</f>
        <v/>
      </c>
      <c r="E18" s="55" t="str">
        <f aca="false">IF($AE18="","",IF($AE18&lt;=1200,IF(INDEX(对接源_01水果!$H$4:$H$1203,$AE18)=0,"",INDEX(对接源_01水果!$H$4:$H$1203,$AE18)),IF(INDEX(对接源_02物料!$H$4:$H$1203,$AE18-1200)=0,"",INDEX(对接源_02物料!$H$4:$H$1203,$AE18-1200))))</f>
        <v/>
      </c>
      <c r="F18" s="41" t="str">
        <f aca="false">IF($AE18="","",IF($AE18&lt;=1200,IF(INDEX(对接源_01水果!$I$4:$I$1203,$AE18)=0,"",INDEX(对接源_01水果!$I$4:$I$1203,$AE18)),IF(INDEX(对接源_02物料!$I$4:$I$1203,$AE18-1200)=0,"",INDEX(对接源_02物料!$I$4:$I$1203,$AE18-1200))))</f>
        <v/>
      </c>
      <c r="G18" s="55" t="str">
        <f aca="false">IF($AE18="","",IF(IF($AE18&lt;=1200,N(INDEX(对接源_01水果!$H$4:$H$1203,$AE18)),N(INDEX(对接源_02物料!$H$4:$H$1203,$AE18-1200)))=0,"",ROUND(IF($AE18&lt;=1200,N(INDEX(对接源_01水果!$K$4:$K$1203,$AE18)),N(INDEX(对接源_02物料!$K$4:$K$1203,$AE18-1200)))/IF($AE18&lt;=1200,N(INDEX(对接源_01水果!$H$4:$H$1203,$AE18)),N(INDEX(对接源_02物料!$H$4:$H$1203,$AE18-1200))),2)))</f>
        <v/>
      </c>
      <c r="H18" s="55" t="str">
        <f aca="false">IF($AE18="","",IF($AE18&lt;=1200,IF(INDEX(对接源_01水果!$K$4:$K$1203,$AE18)=0,"",INDEX(对接源_01水果!$K$4:$K$1203,$AE18)),IF(INDEX(对接源_02物料!$K$4:$K$1203,$AE18-1200)=0,"",INDEX(对接源_02物料!$K$4:$K$1203,$AE18-1200))))</f>
        <v/>
      </c>
      <c r="I18" s="41" t="str">
        <f aca="false">IF($AE18="","",IF($AE18&lt;=1200,IF(INDEX(对接源_01水果!$L$4:$L$1203,$AE18)=0,"",INDEX(对接源_01水果!$L$4:$L$1203,$AE18)),IF(INDEX(对接源_02物料!$L$4:$L$1203,$AE18-1200)=0,"",INDEX(对接源_02物料!$L$4:$L$1203,$AE18-1200))))</f>
        <v/>
      </c>
      <c r="J18" s="42" t="str">
        <f aca="false"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44" t="str">
        <f aca="false">IFERROR(MATCH(13,_自动清单!$AG$4:$AG$2403,0),"")</f>
        <v/>
      </c>
    </row>
    <row r="19" customFormat="false" ht="18" hidden="false" customHeight="true" outlineLevel="0" collapsed="false">
      <c r="A19" s="45" t="str">
        <f aca="false"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46" t="str">
        <f aca="false"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47" t="str">
        <f aca="false">IF($AE19="","",IF($AE19&lt;=1200,IF(INDEX(对接源_01水果!$F$4:$F$1203,$AE19)=0,"",INDEX(对接源_01水果!$F$4:$F$1203,$AE19)),IF(INDEX(对接源_02物料!$F$4:$F$1203,$AE19-1200)=0,"",INDEX(对接源_02物料!$F$4:$F$1203,$AE19-1200))))</f>
        <v/>
      </c>
      <c r="D19" s="46" t="str">
        <f aca="false">IF($AE19="","",IF($AE19&lt;=1200,IF(INDEX(对接源_01水果!$G$4:$G$1203,$AE19)=0,"",INDEX(对接源_01水果!$G$4:$G$1203,$AE19)),IF(INDEX(对接源_02物料!$G$4:$G$1203,$AE19-1200)=0,"",INDEX(对接源_02物料!$G$4:$G$1203,$AE19-1200))))</f>
        <v/>
      </c>
      <c r="E19" s="56" t="str">
        <f aca="false">IF($AE19="","",IF($AE19&lt;=1200,IF(INDEX(对接源_01水果!$H$4:$H$1203,$AE19)=0,"",INDEX(对接源_01水果!$H$4:$H$1203,$AE19)),IF(INDEX(对接源_02物料!$H$4:$H$1203,$AE19-1200)=0,"",INDEX(对接源_02物料!$H$4:$H$1203,$AE19-1200))))</f>
        <v/>
      </c>
      <c r="F19" s="46" t="str">
        <f aca="false">IF($AE19="","",IF($AE19&lt;=1200,IF(INDEX(对接源_01水果!$I$4:$I$1203,$AE19)=0,"",INDEX(对接源_01水果!$I$4:$I$1203,$AE19)),IF(INDEX(对接源_02物料!$I$4:$I$1203,$AE19-1200)=0,"",INDEX(对接源_02物料!$I$4:$I$1203,$AE19-1200))))</f>
        <v/>
      </c>
      <c r="G19" s="56" t="str">
        <f aca="false">IF($AE19="","",IF(IF($AE19&lt;=1200,N(INDEX(对接源_01水果!$H$4:$H$1203,$AE19)),N(INDEX(对接源_02物料!$H$4:$H$1203,$AE19-1200)))=0,"",ROUND(IF($AE19&lt;=1200,N(INDEX(对接源_01水果!$K$4:$K$1203,$AE19)),N(INDEX(对接源_02物料!$K$4:$K$1203,$AE19-1200)))/IF($AE19&lt;=1200,N(INDEX(对接源_01水果!$H$4:$H$1203,$AE19)),N(INDEX(对接源_02物料!$H$4:$H$1203,$AE19-1200))),2)))</f>
        <v/>
      </c>
      <c r="H19" s="56" t="str">
        <f aca="false">IF($AE19="","",IF($AE19&lt;=1200,IF(INDEX(对接源_01水果!$K$4:$K$1203,$AE19)=0,"",INDEX(对接源_01水果!$K$4:$K$1203,$AE19)),IF(INDEX(对接源_02物料!$K$4:$K$1203,$AE19-1200)=0,"",INDEX(对接源_02物料!$K$4:$K$1203,$AE19-1200))))</f>
        <v/>
      </c>
      <c r="I19" s="46" t="str">
        <f aca="false">IF($AE19="","",IF($AE19&lt;=1200,IF(INDEX(对接源_01水果!$L$4:$L$1203,$AE19)=0,"",INDEX(对接源_01水果!$L$4:$L$1203,$AE19)),IF(INDEX(对接源_02物料!$L$4:$L$1203,$AE19-1200)=0,"",INDEX(对接源_02物料!$L$4:$L$1203,$AE19-1200))))</f>
        <v/>
      </c>
      <c r="J19" s="47" t="str">
        <f aca="false"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44" t="str">
        <f aca="false">IFERROR(MATCH(14,_自动清单!$AG$4:$AG$2403,0),"")</f>
        <v/>
      </c>
    </row>
    <row r="20" customFormat="false" ht="18" hidden="false" customHeight="true" outlineLevel="0" collapsed="false">
      <c r="A20" s="40" t="str">
        <f aca="false"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41" t="str">
        <f aca="false"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42" t="str">
        <f aca="false">IF($AE20="","",IF($AE20&lt;=1200,IF(INDEX(对接源_01水果!$F$4:$F$1203,$AE20)=0,"",INDEX(对接源_01水果!$F$4:$F$1203,$AE20)),IF(INDEX(对接源_02物料!$F$4:$F$1203,$AE20-1200)=0,"",INDEX(对接源_02物料!$F$4:$F$1203,$AE20-1200))))</f>
        <v/>
      </c>
      <c r="D20" s="41" t="str">
        <f aca="false">IF($AE20="","",IF($AE20&lt;=1200,IF(INDEX(对接源_01水果!$G$4:$G$1203,$AE20)=0,"",INDEX(对接源_01水果!$G$4:$G$1203,$AE20)),IF(INDEX(对接源_02物料!$G$4:$G$1203,$AE20-1200)=0,"",INDEX(对接源_02物料!$G$4:$G$1203,$AE20-1200))))</f>
        <v/>
      </c>
      <c r="E20" s="55" t="str">
        <f aca="false">IF($AE20="","",IF($AE20&lt;=1200,IF(INDEX(对接源_01水果!$H$4:$H$1203,$AE20)=0,"",INDEX(对接源_01水果!$H$4:$H$1203,$AE20)),IF(INDEX(对接源_02物料!$H$4:$H$1203,$AE20-1200)=0,"",INDEX(对接源_02物料!$H$4:$H$1203,$AE20-1200))))</f>
        <v/>
      </c>
      <c r="F20" s="41" t="str">
        <f aca="false">IF($AE20="","",IF($AE20&lt;=1200,IF(INDEX(对接源_01水果!$I$4:$I$1203,$AE20)=0,"",INDEX(对接源_01水果!$I$4:$I$1203,$AE20)),IF(INDEX(对接源_02物料!$I$4:$I$1203,$AE20-1200)=0,"",INDEX(对接源_02物料!$I$4:$I$1203,$AE20-1200))))</f>
        <v/>
      </c>
      <c r="G20" s="55" t="str">
        <f aca="false">IF($AE20="","",IF(IF($AE20&lt;=1200,N(INDEX(对接源_01水果!$H$4:$H$1203,$AE20)),N(INDEX(对接源_02物料!$H$4:$H$1203,$AE20-1200)))=0,"",ROUND(IF($AE20&lt;=1200,N(INDEX(对接源_01水果!$K$4:$K$1203,$AE20)),N(INDEX(对接源_02物料!$K$4:$K$1203,$AE20-1200)))/IF($AE20&lt;=1200,N(INDEX(对接源_01水果!$H$4:$H$1203,$AE20)),N(INDEX(对接源_02物料!$H$4:$H$1203,$AE20-1200))),2)))</f>
        <v/>
      </c>
      <c r="H20" s="55" t="str">
        <f aca="false">IF($AE20="","",IF($AE20&lt;=1200,IF(INDEX(对接源_01水果!$K$4:$K$1203,$AE20)=0,"",INDEX(对接源_01水果!$K$4:$K$1203,$AE20)),IF(INDEX(对接源_02物料!$K$4:$K$1203,$AE20-1200)=0,"",INDEX(对接源_02物料!$K$4:$K$1203,$AE20-1200))))</f>
        <v/>
      </c>
      <c r="I20" s="41" t="str">
        <f aca="false">IF($AE20="","",IF($AE20&lt;=1200,IF(INDEX(对接源_01水果!$L$4:$L$1203,$AE20)=0,"",INDEX(对接源_01水果!$L$4:$L$1203,$AE20)),IF(INDEX(对接源_02物料!$L$4:$L$1203,$AE20-1200)=0,"",INDEX(对接源_02物料!$L$4:$L$1203,$AE20-1200))))</f>
        <v/>
      </c>
      <c r="J20" s="42" t="str">
        <f aca="false"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44" t="str">
        <f aca="false">IFERROR(MATCH(15,_自动清单!$AG$4:$AG$2403,0),"")</f>
        <v/>
      </c>
    </row>
    <row r="21" customFormat="false" ht="18" hidden="false" customHeight="true" outlineLevel="0" collapsed="false">
      <c r="A21" s="45" t="str">
        <f aca="false"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46" t="str">
        <f aca="false"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47" t="str">
        <f aca="false">IF($AE21="","",IF($AE21&lt;=1200,IF(INDEX(对接源_01水果!$F$4:$F$1203,$AE21)=0,"",INDEX(对接源_01水果!$F$4:$F$1203,$AE21)),IF(INDEX(对接源_02物料!$F$4:$F$1203,$AE21-1200)=0,"",INDEX(对接源_02物料!$F$4:$F$1203,$AE21-1200))))</f>
        <v/>
      </c>
      <c r="D21" s="46" t="str">
        <f aca="false">IF($AE21="","",IF($AE21&lt;=1200,IF(INDEX(对接源_01水果!$G$4:$G$1203,$AE21)=0,"",INDEX(对接源_01水果!$G$4:$G$1203,$AE21)),IF(INDEX(对接源_02物料!$G$4:$G$1203,$AE21-1200)=0,"",INDEX(对接源_02物料!$G$4:$G$1203,$AE21-1200))))</f>
        <v/>
      </c>
      <c r="E21" s="56" t="str">
        <f aca="false">IF($AE21="","",IF($AE21&lt;=1200,IF(INDEX(对接源_01水果!$H$4:$H$1203,$AE21)=0,"",INDEX(对接源_01水果!$H$4:$H$1203,$AE21)),IF(INDEX(对接源_02物料!$H$4:$H$1203,$AE21-1200)=0,"",INDEX(对接源_02物料!$H$4:$H$1203,$AE21-1200))))</f>
        <v/>
      </c>
      <c r="F21" s="46" t="str">
        <f aca="false">IF($AE21="","",IF($AE21&lt;=1200,IF(INDEX(对接源_01水果!$I$4:$I$1203,$AE21)=0,"",INDEX(对接源_01水果!$I$4:$I$1203,$AE21)),IF(INDEX(对接源_02物料!$I$4:$I$1203,$AE21-1200)=0,"",INDEX(对接源_02物料!$I$4:$I$1203,$AE21-1200))))</f>
        <v/>
      </c>
      <c r="G21" s="56" t="str">
        <f aca="false">IF($AE21="","",IF(IF($AE21&lt;=1200,N(INDEX(对接源_01水果!$H$4:$H$1203,$AE21)),N(INDEX(对接源_02物料!$H$4:$H$1203,$AE21-1200)))=0,"",ROUND(IF($AE21&lt;=1200,N(INDEX(对接源_01水果!$K$4:$K$1203,$AE21)),N(INDEX(对接源_02物料!$K$4:$K$1203,$AE21-1200)))/IF($AE21&lt;=1200,N(INDEX(对接源_01水果!$H$4:$H$1203,$AE21)),N(INDEX(对接源_02物料!$H$4:$H$1203,$AE21-1200))),2)))</f>
        <v/>
      </c>
      <c r="H21" s="56" t="str">
        <f aca="false">IF($AE21="","",IF($AE21&lt;=1200,IF(INDEX(对接源_01水果!$K$4:$K$1203,$AE21)=0,"",INDEX(对接源_01水果!$K$4:$K$1203,$AE21)),IF(INDEX(对接源_02物料!$K$4:$K$1203,$AE21-1200)=0,"",INDEX(对接源_02物料!$K$4:$K$1203,$AE21-1200))))</f>
        <v/>
      </c>
      <c r="I21" s="46" t="str">
        <f aca="false">IF($AE21="","",IF($AE21&lt;=1200,IF(INDEX(对接源_01水果!$L$4:$L$1203,$AE21)=0,"",INDEX(对接源_01水果!$L$4:$L$1203,$AE21)),IF(INDEX(对接源_02物料!$L$4:$L$1203,$AE21-1200)=0,"",INDEX(对接源_02物料!$L$4:$L$1203,$AE21-1200))))</f>
        <v/>
      </c>
      <c r="J21" s="47" t="str">
        <f aca="false"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44" t="str">
        <f aca="false">IFERROR(MATCH(16,_自动清单!$AG$4:$AG$2403,0),"")</f>
        <v/>
      </c>
    </row>
    <row r="22" customFormat="false" ht="18" hidden="false" customHeight="true" outlineLevel="0" collapsed="false">
      <c r="A22" s="40" t="str">
        <f aca="false"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41" t="str">
        <f aca="false"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42" t="str">
        <f aca="false">IF($AE22="","",IF($AE22&lt;=1200,IF(INDEX(对接源_01水果!$F$4:$F$1203,$AE22)=0,"",INDEX(对接源_01水果!$F$4:$F$1203,$AE22)),IF(INDEX(对接源_02物料!$F$4:$F$1203,$AE22-1200)=0,"",INDEX(对接源_02物料!$F$4:$F$1203,$AE22-1200))))</f>
        <v/>
      </c>
      <c r="D22" s="41" t="str">
        <f aca="false">IF($AE22="","",IF($AE22&lt;=1200,IF(INDEX(对接源_01水果!$G$4:$G$1203,$AE22)=0,"",INDEX(对接源_01水果!$G$4:$G$1203,$AE22)),IF(INDEX(对接源_02物料!$G$4:$G$1203,$AE22-1200)=0,"",INDEX(对接源_02物料!$G$4:$G$1203,$AE22-1200))))</f>
        <v/>
      </c>
      <c r="E22" s="55" t="str">
        <f aca="false">IF($AE22="","",IF($AE22&lt;=1200,IF(INDEX(对接源_01水果!$H$4:$H$1203,$AE22)=0,"",INDEX(对接源_01水果!$H$4:$H$1203,$AE22)),IF(INDEX(对接源_02物料!$H$4:$H$1203,$AE22-1200)=0,"",INDEX(对接源_02物料!$H$4:$H$1203,$AE22-1200))))</f>
        <v/>
      </c>
      <c r="F22" s="41" t="str">
        <f aca="false">IF($AE22="","",IF($AE22&lt;=1200,IF(INDEX(对接源_01水果!$I$4:$I$1203,$AE22)=0,"",INDEX(对接源_01水果!$I$4:$I$1203,$AE22)),IF(INDEX(对接源_02物料!$I$4:$I$1203,$AE22-1200)=0,"",INDEX(对接源_02物料!$I$4:$I$1203,$AE22-1200))))</f>
        <v/>
      </c>
      <c r="G22" s="55" t="str">
        <f aca="false">IF($AE22="","",IF(IF($AE22&lt;=1200,N(INDEX(对接源_01水果!$H$4:$H$1203,$AE22)),N(INDEX(对接源_02物料!$H$4:$H$1203,$AE22-1200)))=0,"",ROUND(IF($AE22&lt;=1200,N(INDEX(对接源_01水果!$K$4:$K$1203,$AE22)),N(INDEX(对接源_02物料!$K$4:$K$1203,$AE22-1200)))/IF($AE22&lt;=1200,N(INDEX(对接源_01水果!$H$4:$H$1203,$AE22)),N(INDEX(对接源_02物料!$H$4:$H$1203,$AE22-1200))),2)))</f>
        <v/>
      </c>
      <c r="H22" s="55" t="str">
        <f aca="false">IF($AE22="","",IF($AE22&lt;=1200,IF(INDEX(对接源_01水果!$K$4:$K$1203,$AE22)=0,"",INDEX(对接源_01水果!$K$4:$K$1203,$AE22)),IF(INDEX(对接源_02物料!$K$4:$K$1203,$AE22-1200)=0,"",INDEX(对接源_02物料!$K$4:$K$1203,$AE22-1200))))</f>
        <v/>
      </c>
      <c r="I22" s="41" t="str">
        <f aca="false">IF($AE22="","",IF($AE22&lt;=1200,IF(INDEX(对接源_01水果!$L$4:$L$1203,$AE22)=0,"",INDEX(对接源_01水果!$L$4:$L$1203,$AE22)),IF(INDEX(对接源_02物料!$L$4:$L$1203,$AE22-1200)=0,"",INDEX(对接源_02物料!$L$4:$L$1203,$AE22-1200))))</f>
        <v/>
      </c>
      <c r="J22" s="42" t="str">
        <f aca="false"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44" t="str">
        <f aca="false">IFERROR(MATCH(17,_自动清单!$AG$4:$AG$2403,0),"")</f>
        <v/>
      </c>
    </row>
    <row r="23" customFormat="false" ht="18" hidden="false" customHeight="true" outlineLevel="0" collapsed="false">
      <c r="A23" s="45" t="str">
        <f aca="false"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46" t="str">
        <f aca="false"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47" t="str">
        <f aca="false">IF($AE23="","",IF($AE23&lt;=1200,IF(INDEX(对接源_01水果!$F$4:$F$1203,$AE23)=0,"",INDEX(对接源_01水果!$F$4:$F$1203,$AE23)),IF(INDEX(对接源_02物料!$F$4:$F$1203,$AE23-1200)=0,"",INDEX(对接源_02物料!$F$4:$F$1203,$AE23-1200))))</f>
        <v/>
      </c>
      <c r="D23" s="46" t="str">
        <f aca="false">IF($AE23="","",IF($AE23&lt;=1200,IF(INDEX(对接源_01水果!$G$4:$G$1203,$AE23)=0,"",INDEX(对接源_01水果!$G$4:$G$1203,$AE23)),IF(INDEX(对接源_02物料!$G$4:$G$1203,$AE23-1200)=0,"",INDEX(对接源_02物料!$G$4:$G$1203,$AE23-1200))))</f>
        <v/>
      </c>
      <c r="E23" s="56" t="str">
        <f aca="false">IF($AE23="","",IF($AE23&lt;=1200,IF(INDEX(对接源_01水果!$H$4:$H$1203,$AE23)=0,"",INDEX(对接源_01水果!$H$4:$H$1203,$AE23)),IF(INDEX(对接源_02物料!$H$4:$H$1203,$AE23-1200)=0,"",INDEX(对接源_02物料!$H$4:$H$1203,$AE23-1200))))</f>
        <v/>
      </c>
      <c r="F23" s="46" t="str">
        <f aca="false">IF($AE23="","",IF($AE23&lt;=1200,IF(INDEX(对接源_01水果!$I$4:$I$1203,$AE23)=0,"",INDEX(对接源_01水果!$I$4:$I$1203,$AE23)),IF(INDEX(对接源_02物料!$I$4:$I$1203,$AE23-1200)=0,"",INDEX(对接源_02物料!$I$4:$I$1203,$AE23-1200))))</f>
        <v/>
      </c>
      <c r="G23" s="56" t="str">
        <f aca="false">IF($AE23="","",IF(IF($AE23&lt;=1200,N(INDEX(对接源_01水果!$H$4:$H$1203,$AE23)),N(INDEX(对接源_02物料!$H$4:$H$1203,$AE23-1200)))=0,"",ROUND(IF($AE23&lt;=1200,N(INDEX(对接源_01水果!$K$4:$K$1203,$AE23)),N(INDEX(对接源_02物料!$K$4:$K$1203,$AE23-1200)))/IF($AE23&lt;=1200,N(INDEX(对接源_01水果!$H$4:$H$1203,$AE23)),N(INDEX(对接源_02物料!$H$4:$H$1203,$AE23-1200))),2)))</f>
        <v/>
      </c>
      <c r="H23" s="56" t="str">
        <f aca="false">IF($AE23="","",IF($AE23&lt;=1200,IF(INDEX(对接源_01水果!$K$4:$K$1203,$AE23)=0,"",INDEX(对接源_01水果!$K$4:$K$1203,$AE23)),IF(INDEX(对接源_02物料!$K$4:$K$1203,$AE23-1200)=0,"",INDEX(对接源_02物料!$K$4:$K$1203,$AE23-1200))))</f>
        <v/>
      </c>
      <c r="I23" s="46" t="str">
        <f aca="false">IF($AE23="","",IF($AE23&lt;=1200,IF(INDEX(对接源_01水果!$L$4:$L$1203,$AE23)=0,"",INDEX(对接源_01水果!$L$4:$L$1203,$AE23)),IF(INDEX(对接源_02物料!$L$4:$L$1203,$AE23-1200)=0,"",INDEX(对接源_02物料!$L$4:$L$1203,$AE23-1200))))</f>
        <v/>
      </c>
      <c r="J23" s="47" t="str">
        <f aca="false"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44" t="str">
        <f aca="false">IFERROR(MATCH(18,_自动清单!$AG$4:$AG$2403,0),"")</f>
        <v/>
      </c>
    </row>
    <row r="24" customFormat="false" ht="18" hidden="false" customHeight="true" outlineLevel="0" collapsed="false">
      <c r="A24" s="40" t="str">
        <f aca="false"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41" t="str">
        <f aca="false"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42" t="str">
        <f aca="false">IF($AE24="","",IF($AE24&lt;=1200,IF(INDEX(对接源_01水果!$F$4:$F$1203,$AE24)=0,"",INDEX(对接源_01水果!$F$4:$F$1203,$AE24)),IF(INDEX(对接源_02物料!$F$4:$F$1203,$AE24-1200)=0,"",INDEX(对接源_02物料!$F$4:$F$1203,$AE24-1200))))</f>
        <v/>
      </c>
      <c r="D24" s="41" t="str">
        <f aca="false">IF($AE24="","",IF($AE24&lt;=1200,IF(INDEX(对接源_01水果!$G$4:$G$1203,$AE24)=0,"",INDEX(对接源_01水果!$G$4:$G$1203,$AE24)),IF(INDEX(对接源_02物料!$G$4:$G$1203,$AE24-1200)=0,"",INDEX(对接源_02物料!$G$4:$G$1203,$AE24-1200))))</f>
        <v/>
      </c>
      <c r="E24" s="55" t="str">
        <f aca="false">IF($AE24="","",IF($AE24&lt;=1200,IF(INDEX(对接源_01水果!$H$4:$H$1203,$AE24)=0,"",INDEX(对接源_01水果!$H$4:$H$1203,$AE24)),IF(INDEX(对接源_02物料!$H$4:$H$1203,$AE24-1200)=0,"",INDEX(对接源_02物料!$H$4:$H$1203,$AE24-1200))))</f>
        <v/>
      </c>
      <c r="F24" s="41" t="str">
        <f aca="false">IF($AE24="","",IF($AE24&lt;=1200,IF(INDEX(对接源_01水果!$I$4:$I$1203,$AE24)=0,"",INDEX(对接源_01水果!$I$4:$I$1203,$AE24)),IF(INDEX(对接源_02物料!$I$4:$I$1203,$AE24-1200)=0,"",INDEX(对接源_02物料!$I$4:$I$1203,$AE24-1200))))</f>
        <v/>
      </c>
      <c r="G24" s="55" t="str">
        <f aca="false">IF($AE24="","",IF(IF($AE24&lt;=1200,N(INDEX(对接源_01水果!$H$4:$H$1203,$AE24)),N(INDEX(对接源_02物料!$H$4:$H$1203,$AE24-1200)))=0,"",ROUND(IF($AE24&lt;=1200,N(INDEX(对接源_01水果!$K$4:$K$1203,$AE24)),N(INDEX(对接源_02物料!$K$4:$K$1203,$AE24-1200)))/IF($AE24&lt;=1200,N(INDEX(对接源_01水果!$H$4:$H$1203,$AE24)),N(INDEX(对接源_02物料!$H$4:$H$1203,$AE24-1200))),2)))</f>
        <v/>
      </c>
      <c r="H24" s="55" t="str">
        <f aca="false">IF($AE24="","",IF($AE24&lt;=1200,IF(INDEX(对接源_01水果!$K$4:$K$1203,$AE24)=0,"",INDEX(对接源_01水果!$K$4:$K$1203,$AE24)),IF(INDEX(对接源_02物料!$K$4:$K$1203,$AE24-1200)=0,"",INDEX(对接源_02物料!$K$4:$K$1203,$AE24-1200))))</f>
        <v/>
      </c>
      <c r="I24" s="41" t="str">
        <f aca="false">IF($AE24="","",IF($AE24&lt;=1200,IF(INDEX(对接源_01水果!$L$4:$L$1203,$AE24)=0,"",INDEX(对接源_01水果!$L$4:$L$1203,$AE24)),IF(INDEX(对接源_02物料!$L$4:$L$1203,$AE24-1200)=0,"",INDEX(对接源_02物料!$L$4:$L$1203,$AE24-1200))))</f>
        <v/>
      </c>
      <c r="J24" s="42" t="str">
        <f aca="false"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44" t="str">
        <f aca="false">IFERROR(MATCH(19,_自动清单!$AG$4:$AG$2403,0),"")</f>
        <v/>
      </c>
    </row>
    <row r="25" customFormat="false" ht="18" hidden="false" customHeight="true" outlineLevel="0" collapsed="false">
      <c r="A25" s="45" t="str">
        <f aca="false"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46" t="str">
        <f aca="false"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47" t="str">
        <f aca="false">IF($AE25="","",IF($AE25&lt;=1200,IF(INDEX(对接源_01水果!$F$4:$F$1203,$AE25)=0,"",INDEX(对接源_01水果!$F$4:$F$1203,$AE25)),IF(INDEX(对接源_02物料!$F$4:$F$1203,$AE25-1200)=0,"",INDEX(对接源_02物料!$F$4:$F$1203,$AE25-1200))))</f>
        <v/>
      </c>
      <c r="D25" s="46" t="str">
        <f aca="false">IF($AE25="","",IF($AE25&lt;=1200,IF(INDEX(对接源_01水果!$G$4:$G$1203,$AE25)=0,"",INDEX(对接源_01水果!$G$4:$G$1203,$AE25)),IF(INDEX(对接源_02物料!$G$4:$G$1203,$AE25-1200)=0,"",INDEX(对接源_02物料!$G$4:$G$1203,$AE25-1200))))</f>
        <v/>
      </c>
      <c r="E25" s="56" t="str">
        <f aca="false">IF($AE25="","",IF($AE25&lt;=1200,IF(INDEX(对接源_01水果!$H$4:$H$1203,$AE25)=0,"",INDEX(对接源_01水果!$H$4:$H$1203,$AE25)),IF(INDEX(对接源_02物料!$H$4:$H$1203,$AE25-1200)=0,"",INDEX(对接源_02物料!$H$4:$H$1203,$AE25-1200))))</f>
        <v/>
      </c>
      <c r="F25" s="46" t="str">
        <f aca="false">IF($AE25="","",IF($AE25&lt;=1200,IF(INDEX(对接源_01水果!$I$4:$I$1203,$AE25)=0,"",INDEX(对接源_01水果!$I$4:$I$1203,$AE25)),IF(INDEX(对接源_02物料!$I$4:$I$1203,$AE25-1200)=0,"",INDEX(对接源_02物料!$I$4:$I$1203,$AE25-1200))))</f>
        <v/>
      </c>
      <c r="G25" s="56" t="str">
        <f aca="false">IF($AE25="","",IF(IF($AE25&lt;=1200,N(INDEX(对接源_01水果!$H$4:$H$1203,$AE25)),N(INDEX(对接源_02物料!$H$4:$H$1203,$AE25-1200)))=0,"",ROUND(IF($AE25&lt;=1200,N(INDEX(对接源_01水果!$K$4:$K$1203,$AE25)),N(INDEX(对接源_02物料!$K$4:$K$1203,$AE25-1200)))/IF($AE25&lt;=1200,N(INDEX(对接源_01水果!$H$4:$H$1203,$AE25)),N(INDEX(对接源_02物料!$H$4:$H$1203,$AE25-1200))),2)))</f>
        <v/>
      </c>
      <c r="H25" s="56" t="str">
        <f aca="false">IF($AE25="","",IF($AE25&lt;=1200,IF(INDEX(对接源_01水果!$K$4:$K$1203,$AE25)=0,"",INDEX(对接源_01水果!$K$4:$K$1203,$AE25)),IF(INDEX(对接源_02物料!$K$4:$K$1203,$AE25-1200)=0,"",INDEX(对接源_02物料!$K$4:$K$1203,$AE25-1200))))</f>
        <v/>
      </c>
      <c r="I25" s="46" t="str">
        <f aca="false">IF($AE25="","",IF($AE25&lt;=1200,IF(INDEX(对接源_01水果!$L$4:$L$1203,$AE25)=0,"",INDEX(对接源_01水果!$L$4:$L$1203,$AE25)),IF(INDEX(对接源_02物料!$L$4:$L$1203,$AE25-1200)=0,"",INDEX(对接源_02物料!$L$4:$L$1203,$AE25-1200))))</f>
        <v/>
      </c>
      <c r="J25" s="47" t="str">
        <f aca="false"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44" t="str">
        <f aca="false">IFERROR(MATCH(20,_自动清单!$AG$4:$AG$2403,0),"")</f>
        <v/>
      </c>
    </row>
    <row r="26" customFormat="false" ht="18" hidden="false" customHeight="true" outlineLevel="0" collapsed="false">
      <c r="A26" s="40" t="str">
        <f aca="false"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41" t="str">
        <f aca="false"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42" t="str">
        <f aca="false">IF($AE26="","",IF($AE26&lt;=1200,IF(INDEX(对接源_01水果!$F$4:$F$1203,$AE26)=0,"",INDEX(对接源_01水果!$F$4:$F$1203,$AE26)),IF(INDEX(对接源_02物料!$F$4:$F$1203,$AE26-1200)=0,"",INDEX(对接源_02物料!$F$4:$F$1203,$AE26-1200))))</f>
        <v/>
      </c>
      <c r="D26" s="41" t="str">
        <f aca="false">IF($AE26="","",IF($AE26&lt;=1200,IF(INDEX(对接源_01水果!$G$4:$G$1203,$AE26)=0,"",INDEX(对接源_01水果!$G$4:$G$1203,$AE26)),IF(INDEX(对接源_02物料!$G$4:$G$1203,$AE26-1200)=0,"",INDEX(对接源_02物料!$G$4:$G$1203,$AE26-1200))))</f>
        <v/>
      </c>
      <c r="E26" s="55" t="str">
        <f aca="false">IF($AE26="","",IF($AE26&lt;=1200,IF(INDEX(对接源_01水果!$H$4:$H$1203,$AE26)=0,"",INDEX(对接源_01水果!$H$4:$H$1203,$AE26)),IF(INDEX(对接源_02物料!$H$4:$H$1203,$AE26-1200)=0,"",INDEX(对接源_02物料!$H$4:$H$1203,$AE26-1200))))</f>
        <v/>
      </c>
      <c r="F26" s="41" t="str">
        <f aca="false">IF($AE26="","",IF($AE26&lt;=1200,IF(INDEX(对接源_01水果!$I$4:$I$1203,$AE26)=0,"",INDEX(对接源_01水果!$I$4:$I$1203,$AE26)),IF(INDEX(对接源_02物料!$I$4:$I$1203,$AE26-1200)=0,"",INDEX(对接源_02物料!$I$4:$I$1203,$AE26-1200))))</f>
        <v/>
      </c>
      <c r="G26" s="55" t="str">
        <f aca="false">IF($AE26="","",IF(IF($AE26&lt;=1200,N(INDEX(对接源_01水果!$H$4:$H$1203,$AE26)),N(INDEX(对接源_02物料!$H$4:$H$1203,$AE26-1200)))=0,"",ROUND(IF($AE26&lt;=1200,N(INDEX(对接源_01水果!$K$4:$K$1203,$AE26)),N(INDEX(对接源_02物料!$K$4:$K$1203,$AE26-1200)))/IF($AE26&lt;=1200,N(INDEX(对接源_01水果!$H$4:$H$1203,$AE26)),N(INDEX(对接源_02物料!$H$4:$H$1203,$AE26-1200))),2)))</f>
        <v/>
      </c>
      <c r="H26" s="55" t="str">
        <f aca="false">IF($AE26="","",IF($AE26&lt;=1200,IF(INDEX(对接源_01水果!$K$4:$K$1203,$AE26)=0,"",INDEX(对接源_01水果!$K$4:$K$1203,$AE26)),IF(INDEX(对接源_02物料!$K$4:$K$1203,$AE26-1200)=0,"",INDEX(对接源_02物料!$K$4:$K$1203,$AE26-1200))))</f>
        <v/>
      </c>
      <c r="I26" s="41" t="str">
        <f aca="false">IF($AE26="","",IF($AE26&lt;=1200,IF(INDEX(对接源_01水果!$L$4:$L$1203,$AE26)=0,"",INDEX(对接源_01水果!$L$4:$L$1203,$AE26)),IF(INDEX(对接源_02物料!$L$4:$L$1203,$AE26-1200)=0,"",INDEX(对接源_02物料!$L$4:$L$1203,$AE26-1200))))</f>
        <v/>
      </c>
      <c r="J26" s="42" t="str">
        <f aca="false"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44" t="str">
        <f aca="false">IFERROR(MATCH(21,_自动清单!$AG$4:$AG$2403,0),"")</f>
        <v/>
      </c>
    </row>
    <row r="27" customFormat="false" ht="18" hidden="false" customHeight="true" outlineLevel="0" collapsed="false">
      <c r="A27" s="45" t="str">
        <f aca="false"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46" t="str">
        <f aca="false"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47" t="str">
        <f aca="false">IF($AE27="","",IF($AE27&lt;=1200,IF(INDEX(对接源_01水果!$F$4:$F$1203,$AE27)=0,"",INDEX(对接源_01水果!$F$4:$F$1203,$AE27)),IF(INDEX(对接源_02物料!$F$4:$F$1203,$AE27-1200)=0,"",INDEX(对接源_02物料!$F$4:$F$1203,$AE27-1200))))</f>
        <v/>
      </c>
      <c r="D27" s="46" t="str">
        <f aca="false">IF($AE27="","",IF($AE27&lt;=1200,IF(INDEX(对接源_01水果!$G$4:$G$1203,$AE27)=0,"",INDEX(对接源_01水果!$G$4:$G$1203,$AE27)),IF(INDEX(对接源_02物料!$G$4:$G$1203,$AE27-1200)=0,"",INDEX(对接源_02物料!$G$4:$G$1203,$AE27-1200))))</f>
        <v/>
      </c>
      <c r="E27" s="56" t="str">
        <f aca="false">IF($AE27="","",IF($AE27&lt;=1200,IF(INDEX(对接源_01水果!$H$4:$H$1203,$AE27)=0,"",INDEX(对接源_01水果!$H$4:$H$1203,$AE27)),IF(INDEX(对接源_02物料!$H$4:$H$1203,$AE27-1200)=0,"",INDEX(对接源_02物料!$H$4:$H$1203,$AE27-1200))))</f>
        <v/>
      </c>
      <c r="F27" s="46" t="str">
        <f aca="false">IF($AE27="","",IF($AE27&lt;=1200,IF(INDEX(对接源_01水果!$I$4:$I$1203,$AE27)=0,"",INDEX(对接源_01水果!$I$4:$I$1203,$AE27)),IF(INDEX(对接源_02物料!$I$4:$I$1203,$AE27-1200)=0,"",INDEX(对接源_02物料!$I$4:$I$1203,$AE27-1200))))</f>
        <v/>
      </c>
      <c r="G27" s="56" t="str">
        <f aca="false">IF($AE27="","",IF(IF($AE27&lt;=1200,N(INDEX(对接源_01水果!$H$4:$H$1203,$AE27)),N(INDEX(对接源_02物料!$H$4:$H$1203,$AE27-1200)))=0,"",ROUND(IF($AE27&lt;=1200,N(INDEX(对接源_01水果!$K$4:$K$1203,$AE27)),N(INDEX(对接源_02物料!$K$4:$K$1203,$AE27-1200)))/IF($AE27&lt;=1200,N(INDEX(对接源_01水果!$H$4:$H$1203,$AE27)),N(INDEX(对接源_02物料!$H$4:$H$1203,$AE27-1200))),2)))</f>
        <v/>
      </c>
      <c r="H27" s="56" t="str">
        <f aca="false">IF($AE27="","",IF($AE27&lt;=1200,IF(INDEX(对接源_01水果!$K$4:$K$1203,$AE27)=0,"",INDEX(对接源_01水果!$K$4:$K$1203,$AE27)),IF(INDEX(对接源_02物料!$K$4:$K$1203,$AE27-1200)=0,"",INDEX(对接源_02物料!$K$4:$K$1203,$AE27-1200))))</f>
        <v/>
      </c>
      <c r="I27" s="46" t="str">
        <f aca="false">IF($AE27="","",IF($AE27&lt;=1200,IF(INDEX(对接源_01水果!$L$4:$L$1203,$AE27)=0,"",INDEX(对接源_01水果!$L$4:$L$1203,$AE27)),IF(INDEX(对接源_02物料!$L$4:$L$1203,$AE27-1200)=0,"",INDEX(对接源_02物料!$L$4:$L$1203,$AE27-1200))))</f>
        <v/>
      </c>
      <c r="J27" s="47" t="str">
        <f aca="false"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44" t="str">
        <f aca="false">IFERROR(MATCH(22,_自动清单!$AG$4:$AG$2403,0),"")</f>
        <v/>
      </c>
    </row>
    <row r="28" customFormat="false" ht="18" hidden="false" customHeight="true" outlineLevel="0" collapsed="false">
      <c r="A28" s="40" t="str">
        <f aca="false"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41" t="str">
        <f aca="false"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42" t="str">
        <f aca="false">IF($AE28="","",IF($AE28&lt;=1200,IF(INDEX(对接源_01水果!$F$4:$F$1203,$AE28)=0,"",INDEX(对接源_01水果!$F$4:$F$1203,$AE28)),IF(INDEX(对接源_02物料!$F$4:$F$1203,$AE28-1200)=0,"",INDEX(对接源_02物料!$F$4:$F$1203,$AE28-1200))))</f>
        <v/>
      </c>
      <c r="D28" s="41" t="str">
        <f aca="false">IF($AE28="","",IF($AE28&lt;=1200,IF(INDEX(对接源_01水果!$G$4:$G$1203,$AE28)=0,"",INDEX(对接源_01水果!$G$4:$G$1203,$AE28)),IF(INDEX(对接源_02物料!$G$4:$G$1203,$AE28-1200)=0,"",INDEX(对接源_02物料!$G$4:$G$1203,$AE28-1200))))</f>
        <v/>
      </c>
      <c r="E28" s="55" t="str">
        <f aca="false">IF($AE28="","",IF($AE28&lt;=1200,IF(INDEX(对接源_01水果!$H$4:$H$1203,$AE28)=0,"",INDEX(对接源_01水果!$H$4:$H$1203,$AE28)),IF(INDEX(对接源_02物料!$H$4:$H$1203,$AE28-1200)=0,"",INDEX(对接源_02物料!$H$4:$H$1203,$AE28-1200))))</f>
        <v/>
      </c>
      <c r="F28" s="41" t="str">
        <f aca="false">IF($AE28="","",IF($AE28&lt;=1200,IF(INDEX(对接源_01水果!$I$4:$I$1203,$AE28)=0,"",INDEX(对接源_01水果!$I$4:$I$1203,$AE28)),IF(INDEX(对接源_02物料!$I$4:$I$1203,$AE28-1200)=0,"",INDEX(对接源_02物料!$I$4:$I$1203,$AE28-1200))))</f>
        <v/>
      </c>
      <c r="G28" s="55" t="str">
        <f aca="false">IF($AE28="","",IF(IF($AE28&lt;=1200,N(INDEX(对接源_01水果!$H$4:$H$1203,$AE28)),N(INDEX(对接源_02物料!$H$4:$H$1203,$AE28-1200)))=0,"",ROUND(IF($AE28&lt;=1200,N(INDEX(对接源_01水果!$K$4:$K$1203,$AE28)),N(INDEX(对接源_02物料!$K$4:$K$1203,$AE28-1200)))/IF($AE28&lt;=1200,N(INDEX(对接源_01水果!$H$4:$H$1203,$AE28)),N(INDEX(对接源_02物料!$H$4:$H$1203,$AE28-1200))),2)))</f>
        <v/>
      </c>
      <c r="H28" s="55" t="str">
        <f aca="false">IF($AE28="","",IF($AE28&lt;=1200,IF(INDEX(对接源_01水果!$K$4:$K$1203,$AE28)=0,"",INDEX(对接源_01水果!$K$4:$K$1203,$AE28)),IF(INDEX(对接源_02物料!$K$4:$K$1203,$AE28-1200)=0,"",INDEX(对接源_02物料!$K$4:$K$1203,$AE28-1200))))</f>
        <v/>
      </c>
      <c r="I28" s="41" t="str">
        <f aca="false">IF($AE28="","",IF($AE28&lt;=1200,IF(INDEX(对接源_01水果!$L$4:$L$1203,$AE28)=0,"",INDEX(对接源_01水果!$L$4:$L$1203,$AE28)),IF(INDEX(对接源_02物料!$L$4:$L$1203,$AE28-1200)=0,"",INDEX(对接源_02物料!$L$4:$L$1203,$AE28-1200))))</f>
        <v/>
      </c>
      <c r="J28" s="42" t="str">
        <f aca="false"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44" t="str">
        <f aca="false">IFERROR(MATCH(23,_自动清单!$AG$4:$AG$2403,0),"")</f>
        <v/>
      </c>
    </row>
    <row r="29" customFormat="false" ht="18" hidden="false" customHeight="true" outlineLevel="0" collapsed="false">
      <c r="A29" s="45" t="str">
        <f aca="false"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46" t="str">
        <f aca="false"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47" t="str">
        <f aca="false">IF($AE29="","",IF($AE29&lt;=1200,IF(INDEX(对接源_01水果!$F$4:$F$1203,$AE29)=0,"",INDEX(对接源_01水果!$F$4:$F$1203,$AE29)),IF(INDEX(对接源_02物料!$F$4:$F$1203,$AE29-1200)=0,"",INDEX(对接源_02物料!$F$4:$F$1203,$AE29-1200))))</f>
        <v/>
      </c>
      <c r="D29" s="46" t="str">
        <f aca="false">IF($AE29="","",IF($AE29&lt;=1200,IF(INDEX(对接源_01水果!$G$4:$G$1203,$AE29)=0,"",INDEX(对接源_01水果!$G$4:$G$1203,$AE29)),IF(INDEX(对接源_02物料!$G$4:$G$1203,$AE29-1200)=0,"",INDEX(对接源_02物料!$G$4:$G$1203,$AE29-1200))))</f>
        <v/>
      </c>
      <c r="E29" s="56" t="str">
        <f aca="false">IF($AE29="","",IF($AE29&lt;=1200,IF(INDEX(对接源_01水果!$H$4:$H$1203,$AE29)=0,"",INDEX(对接源_01水果!$H$4:$H$1203,$AE29)),IF(INDEX(对接源_02物料!$H$4:$H$1203,$AE29-1200)=0,"",INDEX(对接源_02物料!$H$4:$H$1203,$AE29-1200))))</f>
        <v/>
      </c>
      <c r="F29" s="46" t="str">
        <f aca="false">IF($AE29="","",IF($AE29&lt;=1200,IF(INDEX(对接源_01水果!$I$4:$I$1203,$AE29)=0,"",INDEX(对接源_01水果!$I$4:$I$1203,$AE29)),IF(INDEX(对接源_02物料!$I$4:$I$1203,$AE29-1200)=0,"",INDEX(对接源_02物料!$I$4:$I$1203,$AE29-1200))))</f>
        <v/>
      </c>
      <c r="G29" s="56" t="str">
        <f aca="false">IF($AE29="","",IF(IF($AE29&lt;=1200,N(INDEX(对接源_01水果!$H$4:$H$1203,$AE29)),N(INDEX(对接源_02物料!$H$4:$H$1203,$AE29-1200)))=0,"",ROUND(IF($AE29&lt;=1200,N(INDEX(对接源_01水果!$K$4:$K$1203,$AE29)),N(INDEX(对接源_02物料!$K$4:$K$1203,$AE29-1200)))/IF($AE29&lt;=1200,N(INDEX(对接源_01水果!$H$4:$H$1203,$AE29)),N(INDEX(对接源_02物料!$H$4:$H$1203,$AE29-1200))),2)))</f>
        <v/>
      </c>
      <c r="H29" s="56" t="str">
        <f aca="false">IF($AE29="","",IF($AE29&lt;=1200,IF(INDEX(对接源_01水果!$K$4:$K$1203,$AE29)=0,"",INDEX(对接源_01水果!$K$4:$K$1203,$AE29)),IF(INDEX(对接源_02物料!$K$4:$K$1203,$AE29-1200)=0,"",INDEX(对接源_02物料!$K$4:$K$1203,$AE29-1200))))</f>
        <v/>
      </c>
      <c r="I29" s="46" t="str">
        <f aca="false">IF($AE29="","",IF($AE29&lt;=1200,IF(INDEX(对接源_01水果!$L$4:$L$1203,$AE29)=0,"",INDEX(对接源_01水果!$L$4:$L$1203,$AE29)),IF(INDEX(对接源_02物料!$L$4:$L$1203,$AE29-1200)=0,"",INDEX(对接源_02物料!$L$4:$L$1203,$AE29-1200))))</f>
        <v/>
      </c>
      <c r="J29" s="47" t="str">
        <f aca="false"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44" t="str">
        <f aca="false">IFERROR(MATCH(24,_自动清单!$AG$4:$AG$2403,0),"")</f>
        <v/>
      </c>
    </row>
    <row r="30" customFormat="false" ht="18" hidden="false" customHeight="true" outlineLevel="0" collapsed="false">
      <c r="A30" s="40" t="str">
        <f aca="false"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41" t="str">
        <f aca="false"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42" t="str">
        <f aca="false">IF($AE30="","",IF($AE30&lt;=1200,IF(INDEX(对接源_01水果!$F$4:$F$1203,$AE30)=0,"",INDEX(对接源_01水果!$F$4:$F$1203,$AE30)),IF(INDEX(对接源_02物料!$F$4:$F$1203,$AE30-1200)=0,"",INDEX(对接源_02物料!$F$4:$F$1203,$AE30-1200))))</f>
        <v/>
      </c>
      <c r="D30" s="41" t="str">
        <f aca="false">IF($AE30="","",IF($AE30&lt;=1200,IF(INDEX(对接源_01水果!$G$4:$G$1203,$AE30)=0,"",INDEX(对接源_01水果!$G$4:$G$1203,$AE30)),IF(INDEX(对接源_02物料!$G$4:$G$1203,$AE30-1200)=0,"",INDEX(对接源_02物料!$G$4:$G$1203,$AE30-1200))))</f>
        <v/>
      </c>
      <c r="E30" s="55" t="str">
        <f aca="false">IF($AE30="","",IF($AE30&lt;=1200,IF(INDEX(对接源_01水果!$H$4:$H$1203,$AE30)=0,"",INDEX(对接源_01水果!$H$4:$H$1203,$AE30)),IF(INDEX(对接源_02物料!$H$4:$H$1203,$AE30-1200)=0,"",INDEX(对接源_02物料!$H$4:$H$1203,$AE30-1200))))</f>
        <v/>
      </c>
      <c r="F30" s="41" t="str">
        <f aca="false">IF($AE30="","",IF($AE30&lt;=1200,IF(INDEX(对接源_01水果!$I$4:$I$1203,$AE30)=0,"",INDEX(对接源_01水果!$I$4:$I$1203,$AE30)),IF(INDEX(对接源_02物料!$I$4:$I$1203,$AE30-1200)=0,"",INDEX(对接源_02物料!$I$4:$I$1203,$AE30-1200))))</f>
        <v/>
      </c>
      <c r="G30" s="55" t="str">
        <f aca="false">IF($AE30="","",IF(IF($AE30&lt;=1200,N(INDEX(对接源_01水果!$H$4:$H$1203,$AE30)),N(INDEX(对接源_02物料!$H$4:$H$1203,$AE30-1200)))=0,"",ROUND(IF($AE30&lt;=1200,N(INDEX(对接源_01水果!$K$4:$K$1203,$AE30)),N(INDEX(对接源_02物料!$K$4:$K$1203,$AE30-1200)))/IF($AE30&lt;=1200,N(INDEX(对接源_01水果!$H$4:$H$1203,$AE30)),N(INDEX(对接源_02物料!$H$4:$H$1203,$AE30-1200))),2)))</f>
        <v/>
      </c>
      <c r="H30" s="55" t="str">
        <f aca="false">IF($AE30="","",IF($AE30&lt;=1200,IF(INDEX(对接源_01水果!$K$4:$K$1203,$AE30)=0,"",INDEX(对接源_01水果!$K$4:$K$1203,$AE30)),IF(INDEX(对接源_02物料!$K$4:$K$1203,$AE30-1200)=0,"",INDEX(对接源_02物料!$K$4:$K$1203,$AE30-1200))))</f>
        <v/>
      </c>
      <c r="I30" s="41" t="str">
        <f aca="false">IF($AE30="","",IF($AE30&lt;=1200,IF(INDEX(对接源_01水果!$L$4:$L$1203,$AE30)=0,"",INDEX(对接源_01水果!$L$4:$L$1203,$AE30)),IF(INDEX(对接源_02物料!$L$4:$L$1203,$AE30-1200)=0,"",INDEX(对接源_02物料!$L$4:$L$1203,$AE30-1200))))</f>
        <v/>
      </c>
      <c r="J30" s="42" t="str">
        <f aca="false"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44" t="str">
        <f aca="false">IFERROR(MATCH(25,_自动清单!$AG$4:$AG$2403,0),"")</f>
        <v/>
      </c>
    </row>
    <row r="31" customFormat="false" ht="18" hidden="false" customHeight="true" outlineLevel="0" collapsed="false">
      <c r="A31" s="45" t="str">
        <f aca="false"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46" t="str">
        <f aca="false"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47" t="str">
        <f aca="false"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46" t="str">
        <f aca="false">IF($AE31="","",IF($AE31&lt;=1200,IF(INDEX(对接源_01水果!$G$4:$G$1203,$AE31)=0,"",INDEX(对接源_01水果!$G$4:$G$1203,$AE31)),IF(INDEX(对接源_02物料!$G$4:$G$1203,$AE31-1200)=0,"",INDEX(对接源_02物料!$G$4:$G$1203,$AE31-1200))))</f>
        <v/>
      </c>
      <c r="E31" s="56" t="str">
        <f aca="false"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46" t="str">
        <f aca="false"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56" t="str">
        <f aca="false">IF($AE31="","",IF(IF($AE31&lt;=1200,N(INDEX(对接源_01水果!$H$4:$H$1203,$AE31)),N(INDEX(对接源_02物料!$H$4:$H$1203,$AE31-1200)))=0,"",ROUND(IF($AE31&lt;=1200,N(INDEX(对接源_01水果!$K$4:$K$1203,$AE31)),N(INDEX(对接源_02物料!$K$4:$K$1203,$AE31-1200)))/IF($AE31&lt;=1200,N(INDEX(对接源_01水果!$H$4:$H$1203,$AE31)),N(INDEX(对接源_02物料!$H$4:$H$1203,$AE31-1200))),2)))</f>
        <v/>
      </c>
      <c r="H31" s="56" t="str">
        <f aca="false">IF($AE31="","",IF($AE31&lt;=1200,IF(INDEX(对接源_01水果!$K$4:$K$1203,$AE31)=0,"",INDEX(对接源_01水果!$K$4:$K$1203,$AE31)),IF(INDEX(对接源_02物料!$K$4:$K$1203,$AE31-1200)=0,"",INDEX(对接源_02物料!$K$4:$K$1203,$AE31-1200))))</f>
        <v/>
      </c>
      <c r="I31" s="46" t="str">
        <f aca="false">IF($AE31="","",IF($AE31&lt;=1200,IF(INDEX(对接源_01水果!$L$4:$L$1203,$AE31)=0,"",INDEX(对接源_01水果!$L$4:$L$1203,$AE31)),IF(INDEX(对接源_02物料!$L$4:$L$1203,$AE31-1200)=0,"",INDEX(对接源_02物料!$L$4:$L$1203,$AE31-1200))))</f>
        <v/>
      </c>
      <c r="J31" s="47" t="str">
        <f aca="false"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44" t="str">
        <f aca="false">IFERROR(MATCH(26,_自动清单!$AG$4:$AG$2403,0),"")</f>
        <v/>
      </c>
    </row>
    <row r="32" customFormat="false" ht="18" hidden="false" customHeight="true" outlineLevel="0" collapsed="false">
      <c r="A32" s="40" t="str">
        <f aca="false"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41" t="str">
        <f aca="false"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42" t="str">
        <f aca="false"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41" t="str">
        <f aca="false">IF($AE32="","",IF($AE32&lt;=1200,IF(INDEX(对接源_01水果!$G$4:$G$1203,$AE32)=0,"",INDEX(对接源_01水果!$G$4:$G$1203,$AE32)),IF(INDEX(对接源_02物料!$G$4:$G$1203,$AE32-1200)=0,"",INDEX(对接源_02物料!$G$4:$G$1203,$AE32-1200))))</f>
        <v/>
      </c>
      <c r="E32" s="55" t="str">
        <f aca="false"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41" t="str">
        <f aca="false"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55" t="str">
        <f aca="false">IF($AE32="","",IF(IF($AE32&lt;=1200,N(INDEX(对接源_01水果!$H$4:$H$1203,$AE32)),N(INDEX(对接源_02物料!$H$4:$H$1203,$AE32-1200)))=0,"",ROUND(IF($AE32&lt;=1200,N(INDEX(对接源_01水果!$K$4:$K$1203,$AE32)),N(INDEX(对接源_02物料!$K$4:$K$1203,$AE32-1200)))/IF($AE32&lt;=1200,N(INDEX(对接源_01水果!$H$4:$H$1203,$AE32)),N(INDEX(对接源_02物料!$H$4:$H$1203,$AE32-1200))),2)))</f>
        <v/>
      </c>
      <c r="H32" s="55" t="str">
        <f aca="false">IF($AE32="","",IF($AE32&lt;=1200,IF(INDEX(对接源_01水果!$K$4:$K$1203,$AE32)=0,"",INDEX(对接源_01水果!$K$4:$K$1203,$AE32)),IF(INDEX(对接源_02物料!$K$4:$K$1203,$AE32-1200)=0,"",INDEX(对接源_02物料!$K$4:$K$1203,$AE32-1200))))</f>
        <v/>
      </c>
      <c r="I32" s="41" t="str">
        <f aca="false">IF($AE32="","",IF($AE32&lt;=1200,IF(INDEX(对接源_01水果!$L$4:$L$1203,$AE32)=0,"",INDEX(对接源_01水果!$L$4:$L$1203,$AE32)),IF(INDEX(对接源_02物料!$L$4:$L$1203,$AE32-1200)=0,"",INDEX(对接源_02物料!$L$4:$L$1203,$AE32-1200))))</f>
        <v/>
      </c>
      <c r="J32" s="42" t="str">
        <f aca="false"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44" t="str">
        <f aca="false">IFERROR(MATCH(27,_自动清单!$AG$4:$AG$2403,0),"")</f>
        <v/>
      </c>
    </row>
    <row r="33" customFormat="false" ht="18" hidden="false" customHeight="true" outlineLevel="0" collapsed="false">
      <c r="A33" s="45" t="str">
        <f aca="false"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46" t="str">
        <f aca="false"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47" t="str">
        <f aca="false"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46" t="str">
        <f aca="false">IF($AE33="","",IF($AE33&lt;=1200,IF(INDEX(对接源_01水果!$G$4:$G$1203,$AE33)=0,"",INDEX(对接源_01水果!$G$4:$G$1203,$AE33)),IF(INDEX(对接源_02物料!$G$4:$G$1203,$AE33-1200)=0,"",INDEX(对接源_02物料!$G$4:$G$1203,$AE33-1200))))</f>
        <v/>
      </c>
      <c r="E33" s="56" t="str">
        <f aca="false"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46" t="str">
        <f aca="false"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56" t="str">
        <f aca="false">IF($AE33="","",IF(IF($AE33&lt;=1200,N(INDEX(对接源_01水果!$H$4:$H$1203,$AE33)),N(INDEX(对接源_02物料!$H$4:$H$1203,$AE33-1200)))=0,"",ROUND(IF($AE33&lt;=1200,N(INDEX(对接源_01水果!$K$4:$K$1203,$AE33)),N(INDEX(对接源_02物料!$K$4:$K$1203,$AE33-1200)))/IF($AE33&lt;=1200,N(INDEX(对接源_01水果!$H$4:$H$1203,$AE33)),N(INDEX(对接源_02物料!$H$4:$H$1203,$AE33-1200))),2)))</f>
        <v/>
      </c>
      <c r="H33" s="56" t="str">
        <f aca="false">IF($AE33="","",IF($AE33&lt;=1200,IF(INDEX(对接源_01水果!$K$4:$K$1203,$AE33)=0,"",INDEX(对接源_01水果!$K$4:$K$1203,$AE33)),IF(INDEX(对接源_02物料!$K$4:$K$1203,$AE33-1200)=0,"",INDEX(对接源_02物料!$K$4:$K$1203,$AE33-1200))))</f>
        <v/>
      </c>
      <c r="I33" s="46" t="str">
        <f aca="false">IF($AE33="","",IF($AE33&lt;=1200,IF(INDEX(对接源_01水果!$L$4:$L$1203,$AE33)=0,"",INDEX(对接源_01水果!$L$4:$L$1203,$AE33)),IF(INDEX(对接源_02物料!$L$4:$L$1203,$AE33-1200)=0,"",INDEX(对接源_02物料!$L$4:$L$1203,$AE33-1200))))</f>
        <v/>
      </c>
      <c r="J33" s="47" t="str">
        <f aca="false"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44" t="str">
        <f aca="false">IFERROR(MATCH(28,_自动清单!$AG$4:$AG$2403,0),"")</f>
        <v/>
      </c>
    </row>
    <row r="34" customFormat="false" ht="18" hidden="false" customHeight="true" outlineLevel="0" collapsed="false">
      <c r="A34" s="40" t="str">
        <f aca="false"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41" t="str">
        <f aca="false"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42" t="str">
        <f aca="false"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41" t="str">
        <f aca="false">IF($AE34="","",IF($AE34&lt;=1200,IF(INDEX(对接源_01水果!$G$4:$G$1203,$AE34)=0,"",INDEX(对接源_01水果!$G$4:$G$1203,$AE34)),IF(INDEX(对接源_02物料!$G$4:$G$1203,$AE34-1200)=0,"",INDEX(对接源_02物料!$G$4:$G$1203,$AE34-1200))))</f>
        <v/>
      </c>
      <c r="E34" s="55" t="str">
        <f aca="false"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41" t="str">
        <f aca="false"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55" t="str">
        <f aca="false">IF($AE34="","",IF(IF($AE34&lt;=1200,N(INDEX(对接源_01水果!$H$4:$H$1203,$AE34)),N(INDEX(对接源_02物料!$H$4:$H$1203,$AE34-1200)))=0,"",ROUND(IF($AE34&lt;=1200,N(INDEX(对接源_01水果!$K$4:$K$1203,$AE34)),N(INDEX(对接源_02物料!$K$4:$K$1203,$AE34-1200)))/IF($AE34&lt;=1200,N(INDEX(对接源_01水果!$H$4:$H$1203,$AE34)),N(INDEX(对接源_02物料!$H$4:$H$1203,$AE34-1200))),2)))</f>
        <v/>
      </c>
      <c r="H34" s="55" t="str">
        <f aca="false">IF($AE34="","",IF($AE34&lt;=1200,IF(INDEX(对接源_01水果!$K$4:$K$1203,$AE34)=0,"",INDEX(对接源_01水果!$K$4:$K$1203,$AE34)),IF(INDEX(对接源_02物料!$K$4:$K$1203,$AE34-1200)=0,"",INDEX(对接源_02物料!$K$4:$K$1203,$AE34-1200))))</f>
        <v/>
      </c>
      <c r="I34" s="41" t="str">
        <f aca="false">IF($AE34="","",IF($AE34&lt;=1200,IF(INDEX(对接源_01水果!$L$4:$L$1203,$AE34)=0,"",INDEX(对接源_01水果!$L$4:$L$1203,$AE34)),IF(INDEX(对接源_02物料!$L$4:$L$1203,$AE34-1200)=0,"",INDEX(对接源_02物料!$L$4:$L$1203,$AE34-1200))))</f>
        <v/>
      </c>
      <c r="J34" s="42" t="str">
        <f aca="false"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44" t="str">
        <f aca="false">IFERROR(MATCH(29,_自动清单!$AG$4:$AG$2403,0),"")</f>
        <v/>
      </c>
    </row>
    <row r="35" customFormat="false" ht="18" hidden="false" customHeight="true" outlineLevel="0" collapsed="false">
      <c r="A35" s="45" t="str">
        <f aca="false"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46" t="str">
        <f aca="false"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47" t="str">
        <f aca="false"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46" t="str">
        <f aca="false">IF($AE35="","",IF($AE35&lt;=1200,IF(INDEX(对接源_01水果!$G$4:$G$1203,$AE35)=0,"",INDEX(对接源_01水果!$G$4:$G$1203,$AE35)),IF(INDEX(对接源_02物料!$G$4:$G$1203,$AE35-1200)=0,"",INDEX(对接源_02物料!$G$4:$G$1203,$AE35-1200))))</f>
        <v/>
      </c>
      <c r="E35" s="56" t="str">
        <f aca="false"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46" t="str">
        <f aca="false"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56" t="str">
        <f aca="false">IF($AE35="","",IF(IF($AE35&lt;=1200,N(INDEX(对接源_01水果!$H$4:$H$1203,$AE35)),N(INDEX(对接源_02物料!$H$4:$H$1203,$AE35-1200)))=0,"",ROUND(IF($AE35&lt;=1200,N(INDEX(对接源_01水果!$K$4:$K$1203,$AE35)),N(INDEX(对接源_02物料!$K$4:$K$1203,$AE35-1200)))/IF($AE35&lt;=1200,N(INDEX(对接源_01水果!$H$4:$H$1203,$AE35)),N(INDEX(对接源_02物料!$H$4:$H$1203,$AE35-1200))),2)))</f>
        <v/>
      </c>
      <c r="H35" s="56" t="str">
        <f aca="false">IF($AE35="","",IF($AE35&lt;=1200,IF(INDEX(对接源_01水果!$K$4:$K$1203,$AE35)=0,"",INDEX(对接源_01水果!$K$4:$K$1203,$AE35)),IF(INDEX(对接源_02物料!$K$4:$K$1203,$AE35-1200)=0,"",INDEX(对接源_02物料!$K$4:$K$1203,$AE35-1200))))</f>
        <v/>
      </c>
      <c r="I35" s="46" t="str">
        <f aca="false">IF($AE35="","",IF($AE35&lt;=1200,IF(INDEX(对接源_01水果!$L$4:$L$1203,$AE35)=0,"",INDEX(对接源_01水果!$L$4:$L$1203,$AE35)),IF(INDEX(对接源_02物料!$L$4:$L$1203,$AE35-1200)=0,"",INDEX(对接源_02物料!$L$4:$L$1203,$AE35-1200))))</f>
        <v/>
      </c>
      <c r="J35" s="47" t="str">
        <f aca="false"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44" t="str">
        <f aca="false">IFERROR(MATCH(30,_自动清单!$AG$4:$AG$2403,0),"")</f>
        <v/>
      </c>
    </row>
    <row r="36" customFormat="false" ht="18" hidden="false" customHeight="true" outlineLevel="0" collapsed="false">
      <c r="A36" s="40" t="str">
        <f aca="false"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41" t="str">
        <f aca="false"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42" t="str">
        <f aca="false"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41" t="str">
        <f aca="false">IF($AE36="","",IF($AE36&lt;=1200,IF(INDEX(对接源_01水果!$G$4:$G$1203,$AE36)=0,"",INDEX(对接源_01水果!$G$4:$G$1203,$AE36)),IF(INDEX(对接源_02物料!$G$4:$G$1203,$AE36-1200)=0,"",INDEX(对接源_02物料!$G$4:$G$1203,$AE36-1200))))</f>
        <v/>
      </c>
      <c r="E36" s="55" t="str">
        <f aca="false"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41" t="str">
        <f aca="false"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55" t="str">
        <f aca="false">IF($AE36="","",IF(IF($AE36&lt;=1200,N(INDEX(对接源_01水果!$H$4:$H$1203,$AE36)),N(INDEX(对接源_02物料!$H$4:$H$1203,$AE36-1200)))=0,"",ROUND(IF($AE36&lt;=1200,N(INDEX(对接源_01水果!$K$4:$K$1203,$AE36)),N(INDEX(对接源_02物料!$K$4:$K$1203,$AE36-1200)))/IF($AE36&lt;=1200,N(INDEX(对接源_01水果!$H$4:$H$1203,$AE36)),N(INDEX(对接源_02物料!$H$4:$H$1203,$AE36-1200))),2)))</f>
        <v/>
      </c>
      <c r="H36" s="55" t="str">
        <f aca="false">IF($AE36="","",IF($AE36&lt;=1200,IF(INDEX(对接源_01水果!$K$4:$K$1203,$AE36)=0,"",INDEX(对接源_01水果!$K$4:$K$1203,$AE36)),IF(INDEX(对接源_02物料!$K$4:$K$1203,$AE36-1200)=0,"",INDEX(对接源_02物料!$K$4:$K$1203,$AE36-1200))))</f>
        <v/>
      </c>
      <c r="I36" s="41" t="str">
        <f aca="false">IF($AE36="","",IF($AE36&lt;=1200,IF(INDEX(对接源_01水果!$L$4:$L$1203,$AE36)=0,"",INDEX(对接源_01水果!$L$4:$L$1203,$AE36)),IF(INDEX(对接源_02物料!$L$4:$L$1203,$AE36-1200)=0,"",INDEX(对接源_02物料!$L$4:$L$1203,$AE36-1200))))</f>
        <v/>
      </c>
      <c r="J36" s="42" t="str">
        <f aca="false"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44" t="str">
        <f aca="false">IFERROR(MATCH(31,_自动清单!$AG$4:$AG$2403,0),"")</f>
        <v/>
      </c>
    </row>
    <row r="37" customFormat="false" ht="18" hidden="false" customHeight="true" outlineLevel="0" collapsed="false">
      <c r="A37" s="45" t="str">
        <f aca="false"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46" t="str">
        <f aca="false"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47" t="str">
        <f aca="false"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46" t="str">
        <f aca="false"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56" t="str">
        <f aca="false"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46" t="str">
        <f aca="false"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56" t="str">
        <f aca="false">IF($AE37="","",IF(IF($AE37&lt;=1200,N(INDEX(对接源_01水果!$H$4:$H$1203,$AE37)),N(INDEX(对接源_02物料!$H$4:$H$1203,$AE37-1200)))=0,"",ROUND(IF($AE37&lt;=1200,N(INDEX(对接源_01水果!$K$4:$K$1203,$AE37)),N(INDEX(对接源_02物料!$K$4:$K$1203,$AE37-1200)))/IF($AE37&lt;=1200,N(INDEX(对接源_01水果!$H$4:$H$1203,$AE37)),N(INDEX(对接源_02物料!$H$4:$H$1203,$AE37-1200))),2)))</f>
        <v/>
      </c>
      <c r="H37" s="56" t="str">
        <f aca="false">IF($AE37="","",IF($AE37&lt;=1200,IF(INDEX(对接源_01水果!$K$4:$K$1203,$AE37)=0,"",INDEX(对接源_01水果!$K$4:$K$1203,$AE37)),IF(INDEX(对接源_02物料!$K$4:$K$1203,$AE37-1200)=0,"",INDEX(对接源_02物料!$K$4:$K$1203,$AE37-1200))))</f>
        <v/>
      </c>
      <c r="I37" s="46" t="str">
        <f aca="false">IF($AE37="","",IF($AE37&lt;=1200,IF(INDEX(对接源_01水果!$L$4:$L$1203,$AE37)=0,"",INDEX(对接源_01水果!$L$4:$L$1203,$AE37)),IF(INDEX(对接源_02物料!$L$4:$L$1203,$AE37-1200)=0,"",INDEX(对接源_02物料!$L$4:$L$1203,$AE37-1200))))</f>
        <v/>
      </c>
      <c r="J37" s="47" t="str">
        <f aca="false"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44" t="str">
        <f aca="false">IFERROR(MATCH(32,_自动清单!$AG$4:$AG$2403,0),"")</f>
        <v/>
      </c>
    </row>
    <row r="38" customFormat="false" ht="18" hidden="false" customHeight="true" outlineLevel="0" collapsed="false">
      <c r="A38" s="40" t="str">
        <f aca="false"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41" t="str">
        <f aca="false"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42" t="str">
        <f aca="false"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41" t="str">
        <f aca="false"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55" t="str">
        <f aca="false"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41" t="str">
        <f aca="false"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5" t="str">
        <f aca="false">IF($AE38="","",IF(IF($AE38&lt;=1200,N(INDEX(对接源_01水果!$H$4:$H$1203,$AE38)),N(INDEX(对接源_02物料!$H$4:$H$1203,$AE38-1200)))=0,"",ROUND(IF($AE38&lt;=1200,N(INDEX(对接源_01水果!$K$4:$K$1203,$AE38)),N(INDEX(对接源_02物料!$K$4:$K$1203,$AE38-1200)))/IF($AE38&lt;=1200,N(INDEX(对接源_01水果!$H$4:$H$1203,$AE38)),N(INDEX(对接源_02物料!$H$4:$H$1203,$AE38-1200))),2)))</f>
        <v/>
      </c>
      <c r="H38" s="55" t="str">
        <f aca="false">IF($AE38="","",IF($AE38&lt;=1200,IF(INDEX(对接源_01水果!$K$4:$K$1203,$AE38)=0,"",INDEX(对接源_01水果!$K$4:$K$1203,$AE38)),IF(INDEX(对接源_02物料!$K$4:$K$1203,$AE38-1200)=0,"",INDEX(对接源_02物料!$K$4:$K$1203,$AE38-1200))))</f>
        <v/>
      </c>
      <c r="I38" s="41" t="str">
        <f aca="false">IF($AE38="","",IF($AE38&lt;=1200,IF(INDEX(对接源_01水果!$L$4:$L$1203,$AE38)=0,"",INDEX(对接源_01水果!$L$4:$L$1203,$AE38)),IF(INDEX(对接源_02物料!$L$4:$L$1203,$AE38-1200)=0,"",INDEX(对接源_02物料!$L$4:$L$1203,$AE38-1200))))</f>
        <v/>
      </c>
      <c r="J38" s="42" t="str">
        <f aca="false"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44" t="str">
        <f aca="false">IFERROR(MATCH(33,_自动清单!$AG$4:$AG$2403,0),"")</f>
        <v/>
      </c>
    </row>
    <row r="39" customFormat="false" ht="18" hidden="false" customHeight="true" outlineLevel="0" collapsed="false">
      <c r="A39" s="45" t="str">
        <f aca="false"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46" t="str">
        <f aca="false"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47" t="str">
        <f aca="false"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46" t="str">
        <f aca="false">IF($AE39="","",IF($AE39&lt;=1200,IF(INDEX(对接源_01水果!$G$4:$G$1203,$AE39)=0,"",INDEX(对接源_01水果!$G$4:$G$1203,$AE39)),IF(INDEX(对接源_02物料!$G$4:$G$1203,$AE39-1200)=0,"",INDEX(对接源_02物料!$G$4:$G$1203,$AE39-1200))))</f>
        <v/>
      </c>
      <c r="E39" s="56" t="str">
        <f aca="false"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46" t="str">
        <f aca="false"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56" t="str">
        <f aca="false">IF($AE39="","",IF(IF($AE39&lt;=1200,N(INDEX(对接源_01水果!$H$4:$H$1203,$AE39)),N(INDEX(对接源_02物料!$H$4:$H$1203,$AE39-1200)))=0,"",ROUND(IF($AE39&lt;=1200,N(INDEX(对接源_01水果!$K$4:$K$1203,$AE39)),N(INDEX(对接源_02物料!$K$4:$K$1203,$AE39-1200)))/IF($AE39&lt;=1200,N(INDEX(对接源_01水果!$H$4:$H$1203,$AE39)),N(INDEX(对接源_02物料!$H$4:$H$1203,$AE39-1200))),2)))</f>
        <v/>
      </c>
      <c r="H39" s="56" t="str">
        <f aca="false">IF($AE39="","",IF($AE39&lt;=1200,IF(INDEX(对接源_01水果!$K$4:$K$1203,$AE39)=0,"",INDEX(对接源_01水果!$K$4:$K$1203,$AE39)),IF(INDEX(对接源_02物料!$K$4:$K$1203,$AE39-1200)=0,"",INDEX(对接源_02物料!$K$4:$K$1203,$AE39-1200))))</f>
        <v/>
      </c>
      <c r="I39" s="46" t="str">
        <f aca="false">IF($AE39="","",IF($AE39&lt;=1200,IF(INDEX(对接源_01水果!$L$4:$L$1203,$AE39)=0,"",INDEX(对接源_01水果!$L$4:$L$1203,$AE39)),IF(INDEX(对接源_02物料!$L$4:$L$1203,$AE39-1200)=0,"",INDEX(对接源_02物料!$L$4:$L$1203,$AE39-1200))))</f>
        <v/>
      </c>
      <c r="J39" s="47" t="str">
        <f aca="false"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44" t="str">
        <f aca="false">IFERROR(MATCH(34,_自动清单!$AG$4:$AG$2403,0),"")</f>
        <v/>
      </c>
    </row>
    <row r="40" customFormat="false" ht="18" hidden="false" customHeight="true" outlineLevel="0" collapsed="false">
      <c r="A40" s="40" t="str">
        <f aca="false"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41" t="str">
        <f aca="false"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42" t="str">
        <f aca="false"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41" t="str">
        <f aca="false"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55" t="str">
        <f aca="false"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41" t="str">
        <f aca="false"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5" t="str">
        <f aca="false">IF($AE40="","",IF(IF($AE40&lt;=1200,N(INDEX(对接源_01水果!$H$4:$H$1203,$AE40)),N(INDEX(对接源_02物料!$H$4:$H$1203,$AE40-1200)))=0,"",ROUND(IF($AE40&lt;=1200,N(INDEX(对接源_01水果!$K$4:$K$1203,$AE40)),N(INDEX(对接源_02物料!$K$4:$K$1203,$AE40-1200)))/IF($AE40&lt;=1200,N(INDEX(对接源_01水果!$H$4:$H$1203,$AE40)),N(INDEX(对接源_02物料!$H$4:$H$1203,$AE40-1200))),2)))</f>
        <v/>
      </c>
      <c r="H40" s="55" t="str">
        <f aca="false">IF($AE40="","",IF($AE40&lt;=1200,IF(INDEX(对接源_01水果!$K$4:$K$1203,$AE40)=0,"",INDEX(对接源_01水果!$K$4:$K$1203,$AE40)),IF(INDEX(对接源_02物料!$K$4:$K$1203,$AE40-1200)=0,"",INDEX(对接源_02物料!$K$4:$K$1203,$AE40-1200))))</f>
        <v/>
      </c>
      <c r="I40" s="41" t="str">
        <f aca="false">IF($AE40="","",IF($AE40&lt;=1200,IF(INDEX(对接源_01水果!$L$4:$L$1203,$AE40)=0,"",INDEX(对接源_01水果!$L$4:$L$1203,$AE40)),IF(INDEX(对接源_02物料!$L$4:$L$1203,$AE40-1200)=0,"",INDEX(对接源_02物料!$L$4:$L$1203,$AE40-1200))))</f>
        <v/>
      </c>
      <c r="J40" s="42" t="str">
        <f aca="false"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44" t="str">
        <f aca="false">IFERROR(MATCH(35,_自动清单!$AG$4:$AG$2403,0),"")</f>
        <v/>
      </c>
    </row>
    <row r="41" customFormat="false" ht="18" hidden="false" customHeight="true" outlineLevel="0" collapsed="false">
      <c r="A41" s="45" t="str">
        <f aca="false"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46" t="str">
        <f aca="false"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47" t="str">
        <f aca="false"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46" t="str">
        <f aca="false"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56" t="str">
        <f aca="false"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46" t="str">
        <f aca="false"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56" t="str">
        <f aca="false">IF($AE41="","",IF(IF($AE41&lt;=1200,N(INDEX(对接源_01水果!$H$4:$H$1203,$AE41)),N(INDEX(对接源_02物料!$H$4:$H$1203,$AE41-1200)))=0,"",ROUND(IF($AE41&lt;=1200,N(INDEX(对接源_01水果!$K$4:$K$1203,$AE41)),N(INDEX(对接源_02物料!$K$4:$K$1203,$AE41-1200)))/IF($AE41&lt;=1200,N(INDEX(对接源_01水果!$H$4:$H$1203,$AE41)),N(INDEX(对接源_02物料!$H$4:$H$1203,$AE41-1200))),2)))</f>
        <v/>
      </c>
      <c r="H41" s="56" t="str">
        <f aca="false">IF($AE41="","",IF($AE41&lt;=1200,IF(INDEX(对接源_01水果!$K$4:$K$1203,$AE41)=0,"",INDEX(对接源_01水果!$K$4:$K$1203,$AE41)),IF(INDEX(对接源_02物料!$K$4:$K$1203,$AE41-1200)=0,"",INDEX(对接源_02物料!$K$4:$K$1203,$AE41-1200))))</f>
        <v/>
      </c>
      <c r="I41" s="46" t="str">
        <f aca="false">IF($AE41="","",IF($AE41&lt;=1200,IF(INDEX(对接源_01水果!$L$4:$L$1203,$AE41)=0,"",INDEX(对接源_01水果!$L$4:$L$1203,$AE41)),IF(INDEX(对接源_02物料!$L$4:$L$1203,$AE41-1200)=0,"",INDEX(对接源_02物料!$L$4:$L$1203,$AE41-1200))))</f>
        <v/>
      </c>
      <c r="J41" s="47" t="str">
        <f aca="false"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44" t="str">
        <f aca="false">IFERROR(MATCH(36,_自动清单!$AG$4:$AG$2403,0),"")</f>
        <v/>
      </c>
    </row>
    <row r="42" customFormat="false" ht="18" hidden="false" customHeight="true" outlineLevel="0" collapsed="false">
      <c r="A42" s="40" t="str">
        <f aca="false"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41" t="str">
        <f aca="false"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42" t="str">
        <f aca="false"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41" t="str">
        <f aca="false">IF($AE42="","",IF($AE42&lt;=1200,IF(INDEX(对接源_01水果!$G$4:$G$1203,$AE42)=0,"",INDEX(对接源_01水果!$G$4:$G$1203,$AE42)),IF(INDEX(对接源_02物料!$G$4:$G$1203,$AE42-1200)=0,"",INDEX(对接源_02物料!$G$4:$G$1203,$AE42-1200))))</f>
        <v/>
      </c>
      <c r="E42" s="55" t="str">
        <f aca="false"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41" t="str">
        <f aca="false"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55" t="str">
        <f aca="false">IF($AE42="","",IF(IF($AE42&lt;=1200,N(INDEX(对接源_01水果!$H$4:$H$1203,$AE42)),N(INDEX(对接源_02物料!$H$4:$H$1203,$AE42-1200)))=0,"",ROUND(IF($AE42&lt;=1200,N(INDEX(对接源_01水果!$K$4:$K$1203,$AE42)),N(INDEX(对接源_02物料!$K$4:$K$1203,$AE42-1200)))/IF($AE42&lt;=1200,N(INDEX(对接源_01水果!$H$4:$H$1203,$AE42)),N(INDEX(对接源_02物料!$H$4:$H$1203,$AE42-1200))),2)))</f>
        <v/>
      </c>
      <c r="H42" s="55" t="str">
        <f aca="false">IF($AE42="","",IF($AE42&lt;=1200,IF(INDEX(对接源_01水果!$K$4:$K$1203,$AE42)=0,"",INDEX(对接源_01水果!$K$4:$K$1203,$AE42)),IF(INDEX(对接源_02物料!$K$4:$K$1203,$AE42-1200)=0,"",INDEX(对接源_02物料!$K$4:$K$1203,$AE42-1200))))</f>
        <v/>
      </c>
      <c r="I42" s="41" t="str">
        <f aca="false">IF($AE42="","",IF($AE42&lt;=1200,IF(INDEX(对接源_01水果!$L$4:$L$1203,$AE42)=0,"",INDEX(对接源_01水果!$L$4:$L$1203,$AE42)),IF(INDEX(对接源_02物料!$L$4:$L$1203,$AE42-1200)=0,"",INDEX(对接源_02物料!$L$4:$L$1203,$AE42-1200))))</f>
        <v/>
      </c>
      <c r="J42" s="42" t="str">
        <f aca="false"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44" t="str">
        <f aca="false">IFERROR(MATCH(37,_自动清单!$AG$4:$AG$2403,0),"")</f>
        <v/>
      </c>
    </row>
    <row r="43" customFormat="false" ht="18" hidden="false" customHeight="true" outlineLevel="0" collapsed="false">
      <c r="A43" s="45" t="str">
        <f aca="false"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46" t="str">
        <f aca="false"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47" t="str">
        <f aca="false"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46" t="str">
        <f aca="false"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56" t="str">
        <f aca="false"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46" t="str">
        <f aca="false"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56" t="str">
        <f aca="false">IF($AE43="","",IF(IF($AE43&lt;=1200,N(INDEX(对接源_01水果!$H$4:$H$1203,$AE43)),N(INDEX(对接源_02物料!$H$4:$H$1203,$AE43-1200)))=0,"",ROUND(IF($AE43&lt;=1200,N(INDEX(对接源_01水果!$K$4:$K$1203,$AE43)),N(INDEX(对接源_02物料!$K$4:$K$1203,$AE43-1200)))/IF($AE43&lt;=1200,N(INDEX(对接源_01水果!$H$4:$H$1203,$AE43)),N(INDEX(对接源_02物料!$H$4:$H$1203,$AE43-1200))),2)))</f>
        <v/>
      </c>
      <c r="H43" s="56" t="str">
        <f aca="false">IF($AE43="","",IF($AE43&lt;=1200,IF(INDEX(对接源_01水果!$K$4:$K$1203,$AE43)=0,"",INDEX(对接源_01水果!$K$4:$K$1203,$AE43)),IF(INDEX(对接源_02物料!$K$4:$K$1203,$AE43-1200)=0,"",INDEX(对接源_02物料!$K$4:$K$1203,$AE43-1200))))</f>
        <v/>
      </c>
      <c r="I43" s="46" t="str">
        <f aca="false">IF($AE43="","",IF($AE43&lt;=1200,IF(INDEX(对接源_01水果!$L$4:$L$1203,$AE43)=0,"",INDEX(对接源_01水果!$L$4:$L$1203,$AE43)),IF(INDEX(对接源_02物料!$L$4:$L$1203,$AE43-1200)=0,"",INDEX(对接源_02物料!$L$4:$L$1203,$AE43-1200))))</f>
        <v/>
      </c>
      <c r="J43" s="47" t="str">
        <f aca="false"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44" t="str">
        <f aca="false">IFERROR(MATCH(38,_自动清单!$AG$4:$AG$2403,0),"")</f>
        <v/>
      </c>
    </row>
    <row r="44" customFormat="false" ht="18" hidden="false" customHeight="true" outlineLevel="0" collapsed="false">
      <c r="A44" s="40" t="str">
        <f aca="false"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41" t="str">
        <f aca="false"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42" t="str">
        <f aca="false"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41" t="str">
        <f aca="false"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55" t="str">
        <f aca="false"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41" t="str">
        <f aca="false"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5" t="str">
        <f aca="false">IF($AE44="","",IF(IF($AE44&lt;=1200,N(INDEX(对接源_01水果!$H$4:$H$1203,$AE44)),N(INDEX(对接源_02物料!$H$4:$H$1203,$AE44-1200)))=0,"",ROUND(IF($AE44&lt;=1200,N(INDEX(对接源_01水果!$K$4:$K$1203,$AE44)),N(INDEX(对接源_02物料!$K$4:$K$1203,$AE44-1200)))/IF($AE44&lt;=1200,N(INDEX(对接源_01水果!$H$4:$H$1203,$AE44)),N(INDEX(对接源_02物料!$H$4:$H$1203,$AE44-1200))),2)))</f>
        <v/>
      </c>
      <c r="H44" s="55" t="str">
        <f aca="false">IF($AE44="","",IF($AE44&lt;=1200,IF(INDEX(对接源_01水果!$K$4:$K$1203,$AE44)=0,"",INDEX(对接源_01水果!$K$4:$K$1203,$AE44)),IF(INDEX(对接源_02物料!$K$4:$K$1203,$AE44-1200)=0,"",INDEX(对接源_02物料!$K$4:$K$1203,$AE44-1200))))</f>
        <v/>
      </c>
      <c r="I44" s="41" t="str">
        <f aca="false">IF($AE44="","",IF($AE44&lt;=1200,IF(INDEX(对接源_01水果!$L$4:$L$1203,$AE44)=0,"",INDEX(对接源_01水果!$L$4:$L$1203,$AE44)),IF(INDEX(对接源_02物料!$L$4:$L$1203,$AE44-1200)=0,"",INDEX(对接源_02物料!$L$4:$L$1203,$AE44-1200))))</f>
        <v/>
      </c>
      <c r="J44" s="42" t="str">
        <f aca="false"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44" t="str">
        <f aca="false">IFERROR(MATCH(39,_自动清单!$AG$4:$AG$2403,0),"")</f>
        <v/>
      </c>
    </row>
    <row r="45" customFormat="false" ht="18" hidden="false" customHeight="true" outlineLevel="0" collapsed="false">
      <c r="A45" s="45" t="str">
        <f aca="false"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46" t="str">
        <f aca="false"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47" t="str">
        <f aca="false"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46" t="str">
        <f aca="false">IF($AE45="","",IF($AE45&lt;=1200,IF(INDEX(对接源_01水果!$G$4:$G$1203,$AE45)=0,"",INDEX(对接源_01水果!$G$4:$G$1203,$AE45)),IF(INDEX(对接源_02物料!$G$4:$G$1203,$AE45-1200)=0,"",INDEX(对接源_02物料!$G$4:$G$1203,$AE45-1200))))</f>
        <v/>
      </c>
      <c r="E45" s="56" t="str">
        <f aca="false"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46" t="str">
        <f aca="false"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56" t="str">
        <f aca="false">IF($AE45="","",IF(IF($AE45&lt;=1200,N(INDEX(对接源_01水果!$H$4:$H$1203,$AE45)),N(INDEX(对接源_02物料!$H$4:$H$1203,$AE45-1200)))=0,"",ROUND(IF($AE45&lt;=1200,N(INDEX(对接源_01水果!$K$4:$K$1203,$AE45)),N(INDEX(对接源_02物料!$K$4:$K$1203,$AE45-1200)))/IF($AE45&lt;=1200,N(INDEX(对接源_01水果!$H$4:$H$1203,$AE45)),N(INDEX(对接源_02物料!$H$4:$H$1203,$AE45-1200))),2)))</f>
        <v/>
      </c>
      <c r="H45" s="56" t="str">
        <f aca="false">IF($AE45="","",IF($AE45&lt;=1200,IF(INDEX(对接源_01水果!$K$4:$K$1203,$AE45)=0,"",INDEX(对接源_01水果!$K$4:$K$1203,$AE45)),IF(INDEX(对接源_02物料!$K$4:$K$1203,$AE45-1200)=0,"",INDEX(对接源_02物料!$K$4:$K$1203,$AE45-1200))))</f>
        <v/>
      </c>
      <c r="I45" s="46" t="str">
        <f aca="false">IF($AE45="","",IF($AE45&lt;=1200,IF(INDEX(对接源_01水果!$L$4:$L$1203,$AE45)=0,"",INDEX(对接源_01水果!$L$4:$L$1203,$AE45)),IF(INDEX(对接源_02物料!$L$4:$L$1203,$AE45-1200)=0,"",INDEX(对接源_02物料!$L$4:$L$1203,$AE45-1200))))</f>
        <v/>
      </c>
      <c r="J45" s="47" t="str">
        <f aca="false"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44" t="str">
        <f aca="false">IFERROR(MATCH(40,_自动清单!$AG$4:$AG$2403,0),"")</f>
        <v/>
      </c>
    </row>
    <row r="46" customFormat="false" ht="18" hidden="false" customHeight="true" outlineLevel="0" collapsed="false">
      <c r="A46" s="40" t="str">
        <f aca="false"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41" t="str">
        <f aca="false"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42" t="str">
        <f aca="false"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41" t="str">
        <f aca="false"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55" t="str">
        <f aca="false"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41" t="str">
        <f aca="false"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5" t="str">
        <f aca="false">IF($AE46="","",IF(IF($AE46&lt;=1200,N(INDEX(对接源_01水果!$H$4:$H$1203,$AE46)),N(INDEX(对接源_02物料!$H$4:$H$1203,$AE46-1200)))=0,"",ROUND(IF($AE46&lt;=1200,N(INDEX(对接源_01水果!$K$4:$K$1203,$AE46)),N(INDEX(对接源_02物料!$K$4:$K$1203,$AE46-1200)))/IF($AE46&lt;=1200,N(INDEX(对接源_01水果!$H$4:$H$1203,$AE46)),N(INDEX(对接源_02物料!$H$4:$H$1203,$AE46-1200))),2)))</f>
        <v/>
      </c>
      <c r="H46" s="55" t="str">
        <f aca="false">IF($AE46="","",IF($AE46&lt;=1200,IF(INDEX(对接源_01水果!$K$4:$K$1203,$AE46)=0,"",INDEX(对接源_01水果!$K$4:$K$1203,$AE46)),IF(INDEX(对接源_02物料!$K$4:$K$1203,$AE46-1200)=0,"",INDEX(对接源_02物料!$K$4:$K$1203,$AE46-1200))))</f>
        <v/>
      </c>
      <c r="I46" s="41" t="str">
        <f aca="false">IF($AE46="","",IF($AE46&lt;=1200,IF(INDEX(对接源_01水果!$L$4:$L$1203,$AE46)=0,"",INDEX(对接源_01水果!$L$4:$L$1203,$AE46)),IF(INDEX(对接源_02物料!$L$4:$L$1203,$AE46-1200)=0,"",INDEX(对接源_02物料!$L$4:$L$1203,$AE46-1200))))</f>
        <v/>
      </c>
      <c r="J46" s="42" t="str">
        <f aca="false"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44" t="str">
        <f aca="false">IFERROR(MATCH(41,_自动清单!$AG$4:$AG$2403,0),"")</f>
        <v/>
      </c>
    </row>
    <row r="47" customFormat="false" ht="18" hidden="false" customHeight="true" outlineLevel="0" collapsed="false">
      <c r="A47" s="45" t="str">
        <f aca="false"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46" t="str">
        <f aca="false"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47" t="str">
        <f aca="false"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46" t="str">
        <f aca="false"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56" t="str">
        <f aca="false"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46" t="str">
        <f aca="false"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56" t="str">
        <f aca="false">IF($AE47="","",IF(IF($AE47&lt;=1200,N(INDEX(对接源_01水果!$H$4:$H$1203,$AE47)),N(INDEX(对接源_02物料!$H$4:$H$1203,$AE47-1200)))=0,"",ROUND(IF($AE47&lt;=1200,N(INDEX(对接源_01水果!$K$4:$K$1203,$AE47)),N(INDEX(对接源_02物料!$K$4:$K$1203,$AE47-1200)))/IF($AE47&lt;=1200,N(INDEX(对接源_01水果!$H$4:$H$1203,$AE47)),N(INDEX(对接源_02物料!$H$4:$H$1203,$AE47-1200))),2)))</f>
        <v/>
      </c>
      <c r="H47" s="56" t="str">
        <f aca="false">IF($AE47="","",IF($AE47&lt;=1200,IF(INDEX(对接源_01水果!$K$4:$K$1203,$AE47)=0,"",INDEX(对接源_01水果!$K$4:$K$1203,$AE47)),IF(INDEX(对接源_02物料!$K$4:$K$1203,$AE47-1200)=0,"",INDEX(对接源_02物料!$K$4:$K$1203,$AE47-1200))))</f>
        <v/>
      </c>
      <c r="I47" s="46" t="str">
        <f aca="false">IF($AE47="","",IF($AE47&lt;=1200,IF(INDEX(对接源_01水果!$L$4:$L$1203,$AE47)=0,"",INDEX(对接源_01水果!$L$4:$L$1203,$AE47)),IF(INDEX(对接源_02物料!$L$4:$L$1203,$AE47-1200)=0,"",INDEX(对接源_02物料!$L$4:$L$1203,$AE47-1200))))</f>
        <v/>
      </c>
      <c r="J47" s="47" t="str">
        <f aca="false"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44" t="str">
        <f aca="false">IFERROR(MATCH(42,_自动清单!$AG$4:$AG$2403,0),"")</f>
        <v/>
      </c>
    </row>
    <row r="48" customFormat="false" ht="18" hidden="false" customHeight="true" outlineLevel="0" collapsed="false">
      <c r="A48" s="40" t="str">
        <f aca="false"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41" t="str">
        <f aca="false"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42" t="str">
        <f aca="false"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41" t="str">
        <f aca="false">IF($AE48="","",IF($AE48&lt;=1200,IF(INDEX(对接源_01水果!$G$4:$G$1203,$AE48)=0,"",INDEX(对接源_01水果!$G$4:$G$1203,$AE48)),IF(INDEX(对接源_02物料!$G$4:$G$1203,$AE48-1200)=0,"",INDEX(对接源_02物料!$G$4:$G$1203,$AE48-1200))))</f>
        <v/>
      </c>
      <c r="E48" s="55" t="str">
        <f aca="false"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41" t="str">
        <f aca="false"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55" t="str">
        <f aca="false">IF($AE48="","",IF(IF($AE48&lt;=1200,N(INDEX(对接源_01水果!$H$4:$H$1203,$AE48)),N(INDEX(对接源_02物料!$H$4:$H$1203,$AE48-1200)))=0,"",ROUND(IF($AE48&lt;=1200,N(INDEX(对接源_01水果!$K$4:$K$1203,$AE48)),N(INDEX(对接源_02物料!$K$4:$K$1203,$AE48-1200)))/IF($AE48&lt;=1200,N(INDEX(对接源_01水果!$H$4:$H$1203,$AE48)),N(INDEX(对接源_02物料!$H$4:$H$1203,$AE48-1200))),2)))</f>
        <v/>
      </c>
      <c r="H48" s="55" t="str">
        <f aca="false">IF($AE48="","",IF($AE48&lt;=1200,IF(INDEX(对接源_01水果!$K$4:$K$1203,$AE48)=0,"",INDEX(对接源_01水果!$K$4:$K$1203,$AE48)),IF(INDEX(对接源_02物料!$K$4:$K$1203,$AE48-1200)=0,"",INDEX(对接源_02物料!$K$4:$K$1203,$AE48-1200))))</f>
        <v/>
      </c>
      <c r="I48" s="41" t="str">
        <f aca="false">IF($AE48="","",IF($AE48&lt;=1200,IF(INDEX(对接源_01水果!$L$4:$L$1203,$AE48)=0,"",INDEX(对接源_01水果!$L$4:$L$1203,$AE48)),IF(INDEX(对接源_02物料!$L$4:$L$1203,$AE48-1200)=0,"",INDEX(对接源_02物料!$L$4:$L$1203,$AE48-1200))))</f>
        <v/>
      </c>
      <c r="J48" s="42" t="str">
        <f aca="false"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44" t="str">
        <f aca="false">IFERROR(MATCH(43,_自动清单!$AG$4:$AG$2403,0),"")</f>
        <v/>
      </c>
    </row>
    <row r="49" customFormat="false" ht="18" hidden="false" customHeight="true" outlineLevel="0" collapsed="false">
      <c r="A49" s="45" t="str">
        <f aca="false"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46" t="str">
        <f aca="false"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47" t="str">
        <f aca="false"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46" t="str">
        <f aca="false"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56" t="str">
        <f aca="false"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46" t="str">
        <f aca="false"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56" t="str">
        <f aca="false">IF($AE49="","",IF(IF($AE49&lt;=1200,N(INDEX(对接源_01水果!$H$4:$H$1203,$AE49)),N(INDEX(对接源_02物料!$H$4:$H$1203,$AE49-1200)))=0,"",ROUND(IF($AE49&lt;=1200,N(INDEX(对接源_01水果!$K$4:$K$1203,$AE49)),N(INDEX(对接源_02物料!$K$4:$K$1203,$AE49-1200)))/IF($AE49&lt;=1200,N(INDEX(对接源_01水果!$H$4:$H$1203,$AE49)),N(INDEX(对接源_02物料!$H$4:$H$1203,$AE49-1200))),2)))</f>
        <v/>
      </c>
      <c r="H49" s="56" t="str">
        <f aca="false">IF($AE49="","",IF($AE49&lt;=1200,IF(INDEX(对接源_01水果!$K$4:$K$1203,$AE49)=0,"",INDEX(对接源_01水果!$K$4:$K$1203,$AE49)),IF(INDEX(对接源_02物料!$K$4:$K$1203,$AE49-1200)=0,"",INDEX(对接源_02物料!$K$4:$K$1203,$AE49-1200))))</f>
        <v/>
      </c>
      <c r="I49" s="46" t="str">
        <f aca="false">IF($AE49="","",IF($AE49&lt;=1200,IF(INDEX(对接源_01水果!$L$4:$L$1203,$AE49)=0,"",INDEX(对接源_01水果!$L$4:$L$1203,$AE49)),IF(INDEX(对接源_02物料!$L$4:$L$1203,$AE49-1200)=0,"",INDEX(对接源_02物料!$L$4:$L$1203,$AE49-1200))))</f>
        <v/>
      </c>
      <c r="J49" s="47" t="str">
        <f aca="false"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44" t="str">
        <f aca="false">IFERROR(MATCH(44,_自动清单!$AG$4:$AG$2403,0),"")</f>
        <v/>
      </c>
    </row>
    <row r="50" customFormat="false" ht="18" hidden="false" customHeight="true" outlineLevel="0" collapsed="false">
      <c r="A50" s="40" t="str">
        <f aca="false"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41" t="str">
        <f aca="false"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42" t="str">
        <f aca="false"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41" t="str">
        <f aca="false"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55" t="str">
        <f aca="false"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41" t="str">
        <f aca="false"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5" t="str">
        <f aca="false">IF($AE50="","",IF(IF($AE50&lt;=1200,N(INDEX(对接源_01水果!$H$4:$H$1203,$AE50)),N(INDEX(对接源_02物料!$H$4:$H$1203,$AE50-1200)))=0,"",ROUND(IF($AE50&lt;=1200,N(INDEX(对接源_01水果!$K$4:$K$1203,$AE50)),N(INDEX(对接源_02物料!$K$4:$K$1203,$AE50-1200)))/IF($AE50&lt;=1200,N(INDEX(对接源_01水果!$H$4:$H$1203,$AE50)),N(INDEX(对接源_02物料!$H$4:$H$1203,$AE50-1200))),2)))</f>
        <v/>
      </c>
      <c r="H50" s="55" t="str">
        <f aca="false">IF($AE50="","",IF($AE50&lt;=1200,IF(INDEX(对接源_01水果!$K$4:$K$1203,$AE50)=0,"",INDEX(对接源_01水果!$K$4:$K$1203,$AE50)),IF(INDEX(对接源_02物料!$K$4:$K$1203,$AE50-1200)=0,"",INDEX(对接源_02物料!$K$4:$K$1203,$AE50-1200))))</f>
        <v/>
      </c>
      <c r="I50" s="41" t="str">
        <f aca="false">IF($AE50="","",IF($AE50&lt;=1200,IF(INDEX(对接源_01水果!$L$4:$L$1203,$AE50)=0,"",INDEX(对接源_01水果!$L$4:$L$1203,$AE50)),IF(INDEX(对接源_02物料!$L$4:$L$1203,$AE50-1200)=0,"",INDEX(对接源_02物料!$L$4:$L$1203,$AE50-1200))))</f>
        <v/>
      </c>
      <c r="J50" s="42" t="str">
        <f aca="false"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44" t="str">
        <f aca="false">IFERROR(MATCH(45,_自动清单!$AG$4:$AG$2403,0),"")</f>
        <v/>
      </c>
    </row>
    <row r="51" customFormat="false" ht="18" hidden="false" customHeight="true" outlineLevel="0" collapsed="false">
      <c r="A51" s="45" t="str">
        <f aca="false"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46" t="str">
        <f aca="false"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47" t="str">
        <f aca="false"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46" t="str">
        <f aca="false">IF($AE51="","",IF($AE51&lt;=1200,IF(INDEX(对接源_01水果!$G$4:$G$1203,$AE51)=0,"",INDEX(对接源_01水果!$G$4:$G$1203,$AE51)),IF(INDEX(对接源_02物料!$G$4:$G$1203,$AE51-1200)=0,"",INDEX(对接源_02物料!$G$4:$G$1203,$AE51-1200))))</f>
        <v/>
      </c>
      <c r="E51" s="56" t="str">
        <f aca="false"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46" t="str">
        <f aca="false"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56" t="str">
        <f aca="false">IF($AE51="","",IF(IF($AE51&lt;=1200,N(INDEX(对接源_01水果!$H$4:$H$1203,$AE51)),N(INDEX(对接源_02物料!$H$4:$H$1203,$AE51-1200)))=0,"",ROUND(IF($AE51&lt;=1200,N(INDEX(对接源_01水果!$K$4:$K$1203,$AE51)),N(INDEX(对接源_02物料!$K$4:$K$1203,$AE51-1200)))/IF($AE51&lt;=1200,N(INDEX(对接源_01水果!$H$4:$H$1203,$AE51)),N(INDEX(对接源_02物料!$H$4:$H$1203,$AE51-1200))),2)))</f>
        <v/>
      </c>
      <c r="H51" s="56" t="str">
        <f aca="false">IF($AE51="","",IF($AE51&lt;=1200,IF(INDEX(对接源_01水果!$K$4:$K$1203,$AE51)=0,"",INDEX(对接源_01水果!$K$4:$K$1203,$AE51)),IF(INDEX(对接源_02物料!$K$4:$K$1203,$AE51-1200)=0,"",INDEX(对接源_02物料!$K$4:$K$1203,$AE51-1200))))</f>
        <v/>
      </c>
      <c r="I51" s="46" t="str">
        <f aca="false">IF($AE51="","",IF($AE51&lt;=1200,IF(INDEX(对接源_01水果!$L$4:$L$1203,$AE51)=0,"",INDEX(对接源_01水果!$L$4:$L$1203,$AE51)),IF(INDEX(对接源_02物料!$L$4:$L$1203,$AE51-1200)=0,"",INDEX(对接源_02物料!$L$4:$L$1203,$AE51-1200))))</f>
        <v/>
      </c>
      <c r="J51" s="47" t="str">
        <f aca="false"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44" t="str">
        <f aca="false">IFERROR(MATCH(46,_自动清单!$AG$4:$AG$2403,0),"")</f>
        <v/>
      </c>
    </row>
    <row r="52" customFormat="false" ht="18" hidden="false" customHeight="true" outlineLevel="0" collapsed="false">
      <c r="A52" s="40" t="str">
        <f aca="false"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41" t="str">
        <f aca="false"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42" t="str">
        <f aca="false"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41" t="str">
        <f aca="false"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55" t="str">
        <f aca="false"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41" t="str">
        <f aca="false"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5" t="str">
        <f aca="false">IF($AE52="","",IF(IF($AE52&lt;=1200,N(INDEX(对接源_01水果!$H$4:$H$1203,$AE52)),N(INDEX(对接源_02物料!$H$4:$H$1203,$AE52-1200)))=0,"",ROUND(IF($AE52&lt;=1200,N(INDEX(对接源_01水果!$K$4:$K$1203,$AE52)),N(INDEX(对接源_02物料!$K$4:$K$1203,$AE52-1200)))/IF($AE52&lt;=1200,N(INDEX(对接源_01水果!$H$4:$H$1203,$AE52)),N(INDEX(对接源_02物料!$H$4:$H$1203,$AE52-1200))),2)))</f>
        <v/>
      </c>
      <c r="H52" s="55" t="str">
        <f aca="false">IF($AE52="","",IF($AE52&lt;=1200,IF(INDEX(对接源_01水果!$K$4:$K$1203,$AE52)=0,"",INDEX(对接源_01水果!$K$4:$K$1203,$AE52)),IF(INDEX(对接源_02物料!$K$4:$K$1203,$AE52-1200)=0,"",INDEX(对接源_02物料!$K$4:$K$1203,$AE52-1200))))</f>
        <v/>
      </c>
      <c r="I52" s="41" t="str">
        <f aca="false">IF($AE52="","",IF($AE52&lt;=1200,IF(INDEX(对接源_01水果!$L$4:$L$1203,$AE52)=0,"",INDEX(对接源_01水果!$L$4:$L$1203,$AE52)),IF(INDEX(对接源_02物料!$L$4:$L$1203,$AE52-1200)=0,"",INDEX(对接源_02物料!$L$4:$L$1203,$AE52-1200))))</f>
        <v/>
      </c>
      <c r="J52" s="42" t="str">
        <f aca="false"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44" t="str">
        <f aca="false">IFERROR(MATCH(47,_自动清单!$AG$4:$AG$2403,0),"")</f>
        <v/>
      </c>
    </row>
    <row r="53" customFormat="false" ht="18" hidden="false" customHeight="true" outlineLevel="0" collapsed="false">
      <c r="A53" s="45" t="str">
        <f aca="false"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46" t="str">
        <f aca="false"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47" t="str">
        <f aca="false"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46" t="str">
        <f aca="false"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56" t="str">
        <f aca="false"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46" t="str">
        <f aca="false"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56" t="str">
        <f aca="false">IF($AE53="","",IF(IF($AE53&lt;=1200,N(INDEX(对接源_01水果!$H$4:$H$1203,$AE53)),N(INDEX(对接源_02物料!$H$4:$H$1203,$AE53-1200)))=0,"",ROUND(IF($AE53&lt;=1200,N(INDEX(对接源_01水果!$K$4:$K$1203,$AE53)),N(INDEX(对接源_02物料!$K$4:$K$1203,$AE53-1200)))/IF($AE53&lt;=1200,N(INDEX(对接源_01水果!$H$4:$H$1203,$AE53)),N(INDEX(对接源_02物料!$H$4:$H$1203,$AE53-1200))),2)))</f>
        <v/>
      </c>
      <c r="H53" s="56" t="str">
        <f aca="false">IF($AE53="","",IF($AE53&lt;=1200,IF(INDEX(对接源_01水果!$K$4:$K$1203,$AE53)=0,"",INDEX(对接源_01水果!$K$4:$K$1203,$AE53)),IF(INDEX(对接源_02物料!$K$4:$K$1203,$AE53-1200)=0,"",INDEX(对接源_02物料!$K$4:$K$1203,$AE53-1200))))</f>
        <v/>
      </c>
      <c r="I53" s="46" t="str">
        <f aca="false">IF($AE53="","",IF($AE53&lt;=1200,IF(INDEX(对接源_01水果!$L$4:$L$1203,$AE53)=0,"",INDEX(对接源_01水果!$L$4:$L$1203,$AE53)),IF(INDEX(对接源_02物料!$L$4:$L$1203,$AE53-1200)=0,"",INDEX(对接源_02物料!$L$4:$L$1203,$AE53-1200))))</f>
        <v/>
      </c>
      <c r="J53" s="47" t="str">
        <f aca="false"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44" t="str">
        <f aca="false">IFERROR(MATCH(48,_自动清单!$AG$4:$AG$2403,0),"")</f>
        <v/>
      </c>
    </row>
    <row r="54" customFormat="false" ht="18" hidden="false" customHeight="true" outlineLevel="0" collapsed="false">
      <c r="A54" s="40" t="str">
        <f aca="false"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41" t="str">
        <f aca="false"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42" t="str">
        <f aca="false"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41" t="str">
        <f aca="false">IF($AE54="","",IF($AE54&lt;=1200,IF(INDEX(对接源_01水果!$G$4:$G$1203,$AE54)=0,"",INDEX(对接源_01水果!$G$4:$G$1203,$AE54)),IF(INDEX(对接源_02物料!$G$4:$G$1203,$AE54-1200)=0,"",INDEX(对接源_02物料!$G$4:$G$1203,$AE54-1200))))</f>
        <v/>
      </c>
      <c r="E54" s="55" t="str">
        <f aca="false"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41" t="str">
        <f aca="false"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55" t="str">
        <f aca="false">IF($AE54="","",IF(IF($AE54&lt;=1200,N(INDEX(对接源_01水果!$H$4:$H$1203,$AE54)),N(INDEX(对接源_02物料!$H$4:$H$1203,$AE54-1200)))=0,"",ROUND(IF($AE54&lt;=1200,N(INDEX(对接源_01水果!$K$4:$K$1203,$AE54)),N(INDEX(对接源_02物料!$K$4:$K$1203,$AE54-1200)))/IF($AE54&lt;=1200,N(INDEX(对接源_01水果!$H$4:$H$1203,$AE54)),N(INDEX(对接源_02物料!$H$4:$H$1203,$AE54-1200))),2)))</f>
        <v/>
      </c>
      <c r="H54" s="55" t="str">
        <f aca="false">IF($AE54="","",IF($AE54&lt;=1200,IF(INDEX(对接源_01水果!$K$4:$K$1203,$AE54)=0,"",INDEX(对接源_01水果!$K$4:$K$1203,$AE54)),IF(INDEX(对接源_02物料!$K$4:$K$1203,$AE54-1200)=0,"",INDEX(对接源_02物料!$K$4:$K$1203,$AE54-1200))))</f>
        <v/>
      </c>
      <c r="I54" s="41" t="str">
        <f aca="false">IF($AE54="","",IF($AE54&lt;=1200,IF(INDEX(对接源_01水果!$L$4:$L$1203,$AE54)=0,"",INDEX(对接源_01水果!$L$4:$L$1203,$AE54)),IF(INDEX(对接源_02物料!$L$4:$L$1203,$AE54-1200)=0,"",INDEX(对接源_02物料!$L$4:$L$1203,$AE54-1200))))</f>
        <v/>
      </c>
      <c r="J54" s="42" t="str">
        <f aca="false"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44" t="str">
        <f aca="false">IFERROR(MATCH(49,_自动清单!$AG$4:$AG$2403,0),"")</f>
        <v/>
      </c>
    </row>
    <row r="55" customFormat="false" ht="18" hidden="false" customHeight="true" outlineLevel="0" collapsed="false">
      <c r="A55" s="45" t="str">
        <f aca="false"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46" t="str">
        <f aca="false"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47" t="str">
        <f aca="false"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46" t="str">
        <f aca="false"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56" t="str">
        <f aca="false"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46" t="str">
        <f aca="false"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56" t="str">
        <f aca="false">IF($AE55="","",IF(IF($AE55&lt;=1200,N(INDEX(对接源_01水果!$H$4:$H$1203,$AE55)),N(INDEX(对接源_02物料!$H$4:$H$1203,$AE55-1200)))=0,"",ROUND(IF($AE55&lt;=1200,N(INDEX(对接源_01水果!$K$4:$K$1203,$AE55)),N(INDEX(对接源_02物料!$K$4:$K$1203,$AE55-1200)))/IF($AE55&lt;=1200,N(INDEX(对接源_01水果!$H$4:$H$1203,$AE55)),N(INDEX(对接源_02物料!$H$4:$H$1203,$AE55-1200))),2)))</f>
        <v/>
      </c>
      <c r="H55" s="56" t="str">
        <f aca="false">IF($AE55="","",IF($AE55&lt;=1200,IF(INDEX(对接源_01水果!$K$4:$K$1203,$AE55)=0,"",INDEX(对接源_01水果!$K$4:$K$1203,$AE55)),IF(INDEX(对接源_02物料!$K$4:$K$1203,$AE55-1200)=0,"",INDEX(对接源_02物料!$K$4:$K$1203,$AE55-1200))))</f>
        <v/>
      </c>
      <c r="I55" s="46" t="str">
        <f aca="false">IF($AE55="","",IF($AE55&lt;=1200,IF(INDEX(对接源_01水果!$L$4:$L$1203,$AE55)=0,"",INDEX(对接源_01水果!$L$4:$L$1203,$AE55)),IF(INDEX(对接源_02物料!$L$4:$L$1203,$AE55-1200)=0,"",INDEX(对接源_02物料!$L$4:$L$1203,$AE55-1200))))</f>
        <v/>
      </c>
      <c r="J55" s="47" t="str">
        <f aca="false"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44" t="str">
        <f aca="false">IFERROR(MATCH(50,_自动清单!$AG$4:$AG$2403,0),"")</f>
        <v/>
      </c>
    </row>
    <row r="56" customFormat="false" ht="18" hidden="false" customHeight="true" outlineLevel="0" collapsed="false">
      <c r="A56" s="40" t="str">
        <f aca="false"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41" t="str">
        <f aca="false"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42" t="str">
        <f aca="false"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41" t="str">
        <f aca="false"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55" t="str">
        <f aca="false"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41" t="str">
        <f aca="false"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5" t="str">
        <f aca="false">IF($AE56="","",IF(IF($AE56&lt;=1200,N(INDEX(对接源_01水果!$H$4:$H$1203,$AE56)),N(INDEX(对接源_02物料!$H$4:$H$1203,$AE56-1200)))=0,"",ROUND(IF($AE56&lt;=1200,N(INDEX(对接源_01水果!$K$4:$K$1203,$AE56)),N(INDEX(对接源_02物料!$K$4:$K$1203,$AE56-1200)))/IF($AE56&lt;=1200,N(INDEX(对接源_01水果!$H$4:$H$1203,$AE56)),N(INDEX(对接源_02物料!$H$4:$H$1203,$AE56-1200))),2)))</f>
        <v/>
      </c>
      <c r="H56" s="55" t="str">
        <f aca="false">IF($AE56="","",IF($AE56&lt;=1200,IF(INDEX(对接源_01水果!$K$4:$K$1203,$AE56)=0,"",INDEX(对接源_01水果!$K$4:$K$1203,$AE56)),IF(INDEX(对接源_02物料!$K$4:$K$1203,$AE56-1200)=0,"",INDEX(对接源_02物料!$K$4:$K$1203,$AE56-1200))))</f>
        <v/>
      </c>
      <c r="I56" s="41" t="str">
        <f aca="false">IF($AE56="","",IF($AE56&lt;=1200,IF(INDEX(对接源_01水果!$L$4:$L$1203,$AE56)=0,"",INDEX(对接源_01水果!$L$4:$L$1203,$AE56)),IF(INDEX(对接源_02物料!$L$4:$L$1203,$AE56-1200)=0,"",INDEX(对接源_02物料!$L$4:$L$1203,$AE56-1200))))</f>
        <v/>
      </c>
      <c r="J56" s="42" t="str">
        <f aca="false"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44" t="str">
        <f aca="false">IFERROR(MATCH(51,_自动清单!$AG$4:$AG$2403,0),"")</f>
        <v/>
      </c>
    </row>
    <row r="57" customFormat="false" ht="18" hidden="false" customHeight="true" outlineLevel="0" collapsed="false">
      <c r="A57" s="45" t="str">
        <f aca="false"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46" t="str">
        <f aca="false"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47" t="str">
        <f aca="false"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46" t="str">
        <f aca="false">IF($AE57="","",IF($AE57&lt;=1200,IF(INDEX(对接源_01水果!$G$4:$G$1203,$AE57)=0,"",INDEX(对接源_01水果!$G$4:$G$1203,$AE57)),IF(INDEX(对接源_02物料!$G$4:$G$1203,$AE57-1200)=0,"",INDEX(对接源_02物料!$G$4:$G$1203,$AE57-1200))))</f>
        <v/>
      </c>
      <c r="E57" s="56" t="str">
        <f aca="false"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46" t="str">
        <f aca="false"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56" t="str">
        <f aca="false">IF($AE57="","",IF(IF($AE57&lt;=1200,N(INDEX(对接源_01水果!$H$4:$H$1203,$AE57)),N(INDEX(对接源_02物料!$H$4:$H$1203,$AE57-1200)))=0,"",ROUND(IF($AE57&lt;=1200,N(INDEX(对接源_01水果!$K$4:$K$1203,$AE57)),N(INDEX(对接源_02物料!$K$4:$K$1203,$AE57-1200)))/IF($AE57&lt;=1200,N(INDEX(对接源_01水果!$H$4:$H$1203,$AE57)),N(INDEX(对接源_02物料!$H$4:$H$1203,$AE57-1200))),2)))</f>
        <v/>
      </c>
      <c r="H57" s="56" t="str">
        <f aca="false">IF($AE57="","",IF($AE57&lt;=1200,IF(INDEX(对接源_01水果!$K$4:$K$1203,$AE57)=0,"",INDEX(对接源_01水果!$K$4:$K$1203,$AE57)),IF(INDEX(对接源_02物料!$K$4:$K$1203,$AE57-1200)=0,"",INDEX(对接源_02物料!$K$4:$K$1203,$AE57-1200))))</f>
        <v/>
      </c>
      <c r="I57" s="46" t="str">
        <f aca="false">IF($AE57="","",IF($AE57&lt;=1200,IF(INDEX(对接源_01水果!$L$4:$L$1203,$AE57)=0,"",INDEX(对接源_01水果!$L$4:$L$1203,$AE57)),IF(INDEX(对接源_02物料!$L$4:$L$1203,$AE57-1200)=0,"",INDEX(对接源_02物料!$L$4:$L$1203,$AE57-1200))))</f>
        <v/>
      </c>
      <c r="J57" s="47" t="str">
        <f aca="false"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44" t="str">
        <f aca="false">IFERROR(MATCH(52,_自动清单!$AG$4:$AG$2403,0),"")</f>
        <v/>
      </c>
    </row>
    <row r="58" customFormat="false" ht="18" hidden="false" customHeight="true" outlineLevel="0" collapsed="false">
      <c r="A58" s="40" t="str">
        <f aca="false"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41" t="str">
        <f aca="false"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42" t="str">
        <f aca="false"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41" t="str">
        <f aca="false"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55" t="str">
        <f aca="false"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41" t="str">
        <f aca="false"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5" t="str">
        <f aca="false">IF($AE58="","",IF(IF($AE58&lt;=1200,N(INDEX(对接源_01水果!$H$4:$H$1203,$AE58)),N(INDEX(对接源_02物料!$H$4:$H$1203,$AE58-1200)))=0,"",ROUND(IF($AE58&lt;=1200,N(INDEX(对接源_01水果!$K$4:$K$1203,$AE58)),N(INDEX(对接源_02物料!$K$4:$K$1203,$AE58-1200)))/IF($AE58&lt;=1200,N(INDEX(对接源_01水果!$H$4:$H$1203,$AE58)),N(INDEX(对接源_02物料!$H$4:$H$1203,$AE58-1200))),2)))</f>
        <v/>
      </c>
      <c r="H58" s="55" t="str">
        <f aca="false">IF($AE58="","",IF($AE58&lt;=1200,IF(INDEX(对接源_01水果!$K$4:$K$1203,$AE58)=0,"",INDEX(对接源_01水果!$K$4:$K$1203,$AE58)),IF(INDEX(对接源_02物料!$K$4:$K$1203,$AE58-1200)=0,"",INDEX(对接源_02物料!$K$4:$K$1203,$AE58-1200))))</f>
        <v/>
      </c>
      <c r="I58" s="41" t="str">
        <f aca="false">IF($AE58="","",IF($AE58&lt;=1200,IF(INDEX(对接源_01水果!$L$4:$L$1203,$AE58)=0,"",INDEX(对接源_01水果!$L$4:$L$1203,$AE58)),IF(INDEX(对接源_02物料!$L$4:$L$1203,$AE58-1200)=0,"",INDEX(对接源_02物料!$L$4:$L$1203,$AE58-1200))))</f>
        <v/>
      </c>
      <c r="J58" s="42" t="str">
        <f aca="false"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44" t="str">
        <f aca="false">IFERROR(MATCH(53,_自动清单!$AG$4:$AG$2403,0),"")</f>
        <v/>
      </c>
    </row>
    <row r="59" customFormat="false" ht="18" hidden="false" customHeight="true" outlineLevel="0" collapsed="false">
      <c r="A59" s="45" t="str">
        <f aca="false"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46" t="str">
        <f aca="false"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47" t="str">
        <f aca="false"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46" t="str">
        <f aca="false"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56" t="str">
        <f aca="false"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46" t="str">
        <f aca="false"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56" t="str">
        <f aca="false">IF($AE59="","",IF(IF($AE59&lt;=1200,N(INDEX(对接源_01水果!$H$4:$H$1203,$AE59)),N(INDEX(对接源_02物料!$H$4:$H$1203,$AE59-1200)))=0,"",ROUND(IF($AE59&lt;=1200,N(INDEX(对接源_01水果!$K$4:$K$1203,$AE59)),N(INDEX(对接源_02物料!$K$4:$K$1203,$AE59-1200)))/IF($AE59&lt;=1200,N(INDEX(对接源_01水果!$H$4:$H$1203,$AE59)),N(INDEX(对接源_02物料!$H$4:$H$1203,$AE59-1200))),2)))</f>
        <v/>
      </c>
      <c r="H59" s="56" t="str">
        <f aca="false">IF($AE59="","",IF($AE59&lt;=1200,IF(INDEX(对接源_01水果!$K$4:$K$1203,$AE59)=0,"",INDEX(对接源_01水果!$K$4:$K$1203,$AE59)),IF(INDEX(对接源_02物料!$K$4:$K$1203,$AE59-1200)=0,"",INDEX(对接源_02物料!$K$4:$K$1203,$AE59-1200))))</f>
        <v/>
      </c>
      <c r="I59" s="46" t="str">
        <f aca="false">IF($AE59="","",IF($AE59&lt;=1200,IF(INDEX(对接源_01水果!$L$4:$L$1203,$AE59)=0,"",INDEX(对接源_01水果!$L$4:$L$1203,$AE59)),IF(INDEX(对接源_02物料!$L$4:$L$1203,$AE59-1200)=0,"",INDEX(对接源_02物料!$L$4:$L$1203,$AE59-1200))))</f>
        <v/>
      </c>
      <c r="J59" s="47" t="str">
        <f aca="false"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44" t="str">
        <f aca="false">IFERROR(MATCH(54,_自动清单!$AG$4:$AG$2403,0),"")</f>
        <v/>
      </c>
    </row>
    <row r="60" customFormat="false" ht="18" hidden="false" customHeight="true" outlineLevel="0" collapsed="false">
      <c r="A60" s="40" t="str">
        <f aca="false"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41" t="str">
        <f aca="false"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42" t="str">
        <f aca="false"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41" t="str">
        <f aca="false"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55" t="str">
        <f aca="false"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41" t="str">
        <f aca="false"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5" t="str">
        <f aca="false">IF($AE60="","",IF(IF($AE60&lt;=1200,N(INDEX(对接源_01水果!$H$4:$H$1203,$AE60)),N(INDEX(对接源_02物料!$H$4:$H$1203,$AE60-1200)))=0,"",ROUND(IF($AE60&lt;=1200,N(INDEX(对接源_01水果!$K$4:$K$1203,$AE60)),N(INDEX(对接源_02物料!$K$4:$K$1203,$AE60-1200)))/IF($AE60&lt;=1200,N(INDEX(对接源_01水果!$H$4:$H$1203,$AE60)),N(INDEX(对接源_02物料!$H$4:$H$1203,$AE60-1200))),2)))</f>
        <v/>
      </c>
      <c r="H60" s="55" t="str">
        <f aca="false">IF($AE60="","",IF($AE60&lt;=1200,IF(INDEX(对接源_01水果!$K$4:$K$1203,$AE60)=0,"",INDEX(对接源_01水果!$K$4:$K$1203,$AE60)),IF(INDEX(对接源_02物料!$K$4:$K$1203,$AE60-1200)=0,"",INDEX(对接源_02物料!$K$4:$K$1203,$AE60-1200))))</f>
        <v/>
      </c>
      <c r="I60" s="41" t="str">
        <f aca="false">IF($AE60="","",IF($AE60&lt;=1200,IF(INDEX(对接源_01水果!$L$4:$L$1203,$AE60)=0,"",INDEX(对接源_01水果!$L$4:$L$1203,$AE60)),IF(INDEX(对接源_02物料!$L$4:$L$1203,$AE60-1200)=0,"",INDEX(对接源_02物料!$L$4:$L$1203,$AE60-1200))))</f>
        <v/>
      </c>
      <c r="J60" s="42" t="str">
        <f aca="false"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44" t="str">
        <f aca="false">IFERROR(MATCH(55,_自动清单!$AG$4:$AG$2403,0),"")</f>
        <v/>
      </c>
    </row>
    <row r="61" customFormat="false" ht="18" hidden="false" customHeight="true" outlineLevel="0" collapsed="false">
      <c r="A61" s="45" t="str">
        <f aca="false"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46" t="str">
        <f aca="false"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47" t="str">
        <f aca="false"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46" t="str">
        <f aca="false">IF($AE61="","",IF($AE61&lt;=1200,IF(INDEX(对接源_01水果!$G$4:$G$1203,$AE61)=0,"",INDEX(对接源_01水果!$G$4:$G$1203,$AE61)),IF(INDEX(对接源_02物料!$G$4:$G$1203,$AE61-1200)=0,"",INDEX(对接源_02物料!$G$4:$G$1203,$AE61-1200))))</f>
        <v/>
      </c>
      <c r="E61" s="56" t="str">
        <f aca="false"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46" t="str">
        <f aca="false"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56" t="str">
        <f aca="false">IF($AE61="","",IF(IF($AE61&lt;=1200,N(INDEX(对接源_01水果!$H$4:$H$1203,$AE61)),N(INDEX(对接源_02物料!$H$4:$H$1203,$AE61-1200)))=0,"",ROUND(IF($AE61&lt;=1200,N(INDEX(对接源_01水果!$K$4:$K$1203,$AE61)),N(INDEX(对接源_02物料!$K$4:$K$1203,$AE61-1200)))/IF($AE61&lt;=1200,N(INDEX(对接源_01水果!$H$4:$H$1203,$AE61)),N(INDEX(对接源_02物料!$H$4:$H$1203,$AE61-1200))),2)))</f>
        <v/>
      </c>
      <c r="H61" s="56" t="str">
        <f aca="false">IF($AE61="","",IF($AE61&lt;=1200,IF(INDEX(对接源_01水果!$K$4:$K$1203,$AE61)=0,"",INDEX(对接源_01水果!$K$4:$K$1203,$AE61)),IF(INDEX(对接源_02物料!$K$4:$K$1203,$AE61-1200)=0,"",INDEX(对接源_02物料!$K$4:$K$1203,$AE61-1200))))</f>
        <v/>
      </c>
      <c r="I61" s="46" t="str">
        <f aca="false">IF($AE61="","",IF($AE61&lt;=1200,IF(INDEX(对接源_01水果!$L$4:$L$1203,$AE61)=0,"",INDEX(对接源_01水果!$L$4:$L$1203,$AE61)),IF(INDEX(对接源_02物料!$L$4:$L$1203,$AE61-1200)=0,"",INDEX(对接源_02物料!$L$4:$L$1203,$AE61-1200))))</f>
        <v/>
      </c>
      <c r="J61" s="47" t="str">
        <f aca="false"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44" t="str">
        <f aca="false">IFERROR(MATCH(56,_自动清单!$AG$4:$AG$2403,0),"")</f>
        <v/>
      </c>
    </row>
    <row r="62" customFormat="false" ht="18" hidden="false" customHeight="true" outlineLevel="0" collapsed="false">
      <c r="A62" s="40" t="str">
        <f aca="false"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41" t="str">
        <f aca="false"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42" t="str">
        <f aca="false"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41" t="str">
        <f aca="false"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55" t="str">
        <f aca="false"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41" t="str">
        <f aca="false"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5" t="str">
        <f aca="false">IF($AE62="","",IF(IF($AE62&lt;=1200,N(INDEX(对接源_01水果!$H$4:$H$1203,$AE62)),N(INDEX(对接源_02物料!$H$4:$H$1203,$AE62-1200)))=0,"",ROUND(IF($AE62&lt;=1200,N(INDEX(对接源_01水果!$K$4:$K$1203,$AE62)),N(INDEX(对接源_02物料!$K$4:$K$1203,$AE62-1200)))/IF($AE62&lt;=1200,N(INDEX(对接源_01水果!$H$4:$H$1203,$AE62)),N(INDEX(对接源_02物料!$H$4:$H$1203,$AE62-1200))),2)))</f>
        <v/>
      </c>
      <c r="H62" s="55" t="str">
        <f aca="false">IF($AE62="","",IF($AE62&lt;=1200,IF(INDEX(对接源_01水果!$K$4:$K$1203,$AE62)=0,"",INDEX(对接源_01水果!$K$4:$K$1203,$AE62)),IF(INDEX(对接源_02物料!$K$4:$K$1203,$AE62-1200)=0,"",INDEX(对接源_02物料!$K$4:$K$1203,$AE62-1200))))</f>
        <v/>
      </c>
      <c r="I62" s="41" t="str">
        <f aca="false">IF($AE62="","",IF($AE62&lt;=1200,IF(INDEX(对接源_01水果!$L$4:$L$1203,$AE62)=0,"",INDEX(对接源_01水果!$L$4:$L$1203,$AE62)),IF(INDEX(对接源_02物料!$L$4:$L$1203,$AE62-1200)=0,"",INDEX(对接源_02物料!$L$4:$L$1203,$AE62-1200))))</f>
        <v/>
      </c>
      <c r="J62" s="42" t="str">
        <f aca="false"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44" t="str">
        <f aca="false">IFERROR(MATCH(57,_自动清单!$AG$4:$AG$2403,0),"")</f>
        <v/>
      </c>
    </row>
    <row r="63" customFormat="false" ht="18" hidden="false" customHeight="true" outlineLevel="0" collapsed="false">
      <c r="A63" s="45" t="str">
        <f aca="false"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46" t="str">
        <f aca="false"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47" t="str">
        <f aca="false"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46" t="str">
        <f aca="false"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56" t="str">
        <f aca="false"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46" t="str">
        <f aca="false"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56" t="str">
        <f aca="false">IF($AE63="","",IF(IF($AE63&lt;=1200,N(INDEX(对接源_01水果!$H$4:$H$1203,$AE63)),N(INDEX(对接源_02物料!$H$4:$H$1203,$AE63-1200)))=0,"",ROUND(IF($AE63&lt;=1200,N(INDEX(对接源_01水果!$K$4:$K$1203,$AE63)),N(INDEX(对接源_02物料!$K$4:$K$1203,$AE63-1200)))/IF($AE63&lt;=1200,N(INDEX(对接源_01水果!$H$4:$H$1203,$AE63)),N(INDEX(对接源_02物料!$H$4:$H$1203,$AE63-1200))),2)))</f>
        <v/>
      </c>
      <c r="H63" s="56" t="str">
        <f aca="false">IF($AE63="","",IF($AE63&lt;=1200,IF(INDEX(对接源_01水果!$K$4:$K$1203,$AE63)=0,"",INDEX(对接源_01水果!$K$4:$K$1203,$AE63)),IF(INDEX(对接源_02物料!$K$4:$K$1203,$AE63-1200)=0,"",INDEX(对接源_02物料!$K$4:$K$1203,$AE63-1200))))</f>
        <v/>
      </c>
      <c r="I63" s="46" t="str">
        <f aca="false">IF($AE63="","",IF($AE63&lt;=1200,IF(INDEX(对接源_01水果!$L$4:$L$1203,$AE63)=0,"",INDEX(对接源_01水果!$L$4:$L$1203,$AE63)),IF(INDEX(对接源_02物料!$L$4:$L$1203,$AE63-1200)=0,"",INDEX(对接源_02物料!$L$4:$L$1203,$AE63-1200))))</f>
        <v/>
      </c>
      <c r="J63" s="47" t="str">
        <f aca="false"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44" t="str">
        <f aca="false">IFERROR(MATCH(58,_自动清单!$AG$4:$AG$2403,0),"")</f>
        <v/>
      </c>
    </row>
    <row r="64" customFormat="false" ht="18" hidden="false" customHeight="true" outlineLevel="0" collapsed="false">
      <c r="A64" s="40" t="str">
        <f aca="false"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41" t="str">
        <f aca="false"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42" t="str">
        <f aca="false"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41" t="str">
        <f aca="false"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55" t="str">
        <f aca="false"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41" t="str">
        <f aca="false"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5" t="str">
        <f aca="false">IF($AE64="","",IF(IF($AE64&lt;=1200,N(INDEX(对接源_01水果!$H$4:$H$1203,$AE64)),N(INDEX(对接源_02物料!$H$4:$H$1203,$AE64-1200)))=0,"",ROUND(IF($AE64&lt;=1200,N(INDEX(对接源_01水果!$K$4:$K$1203,$AE64)),N(INDEX(对接源_02物料!$K$4:$K$1203,$AE64-1200)))/IF($AE64&lt;=1200,N(INDEX(对接源_01水果!$H$4:$H$1203,$AE64)),N(INDEX(对接源_02物料!$H$4:$H$1203,$AE64-1200))),2)))</f>
        <v/>
      </c>
      <c r="H64" s="55" t="str">
        <f aca="false">IF($AE64="","",IF($AE64&lt;=1200,IF(INDEX(对接源_01水果!$K$4:$K$1203,$AE64)=0,"",INDEX(对接源_01水果!$K$4:$K$1203,$AE64)),IF(INDEX(对接源_02物料!$K$4:$K$1203,$AE64-1200)=0,"",INDEX(对接源_02物料!$K$4:$K$1203,$AE64-1200))))</f>
        <v/>
      </c>
      <c r="I64" s="41" t="str">
        <f aca="false">IF($AE64="","",IF($AE64&lt;=1200,IF(INDEX(对接源_01水果!$L$4:$L$1203,$AE64)=0,"",INDEX(对接源_01水果!$L$4:$L$1203,$AE64)),IF(INDEX(对接源_02物料!$L$4:$L$1203,$AE64-1200)=0,"",INDEX(对接源_02物料!$L$4:$L$1203,$AE64-1200))))</f>
        <v/>
      </c>
      <c r="J64" s="42" t="str">
        <f aca="false"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44" t="str">
        <f aca="false">IFERROR(MATCH(59,_自动清单!$AG$4:$AG$2403,0),"")</f>
        <v/>
      </c>
    </row>
    <row r="65" customFormat="false" ht="18" hidden="false" customHeight="true" outlineLevel="0" collapsed="false">
      <c r="A65" s="45" t="str">
        <f aca="false"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46" t="str">
        <f aca="false"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47" t="str">
        <f aca="false"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46" t="str">
        <f aca="false">IF($AE65="","",IF($AE65&lt;=1200,IF(INDEX(对接源_01水果!$G$4:$G$1203,$AE65)=0,"",INDEX(对接源_01水果!$G$4:$G$1203,$AE65)),IF(INDEX(对接源_02物料!$G$4:$G$1203,$AE65-1200)=0,"",INDEX(对接源_02物料!$G$4:$G$1203,$AE65-1200))))</f>
        <v/>
      </c>
      <c r="E65" s="56" t="str">
        <f aca="false"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46" t="str">
        <f aca="false"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56" t="str">
        <f aca="false">IF($AE65="","",IF(IF($AE65&lt;=1200,N(INDEX(对接源_01水果!$H$4:$H$1203,$AE65)),N(INDEX(对接源_02物料!$H$4:$H$1203,$AE65-1200)))=0,"",ROUND(IF($AE65&lt;=1200,N(INDEX(对接源_01水果!$K$4:$K$1203,$AE65)),N(INDEX(对接源_02物料!$K$4:$K$1203,$AE65-1200)))/IF($AE65&lt;=1200,N(INDEX(对接源_01水果!$H$4:$H$1203,$AE65)),N(INDEX(对接源_02物料!$H$4:$H$1203,$AE65-1200))),2)))</f>
        <v/>
      </c>
      <c r="H65" s="56" t="str">
        <f aca="false">IF($AE65="","",IF($AE65&lt;=1200,IF(INDEX(对接源_01水果!$K$4:$K$1203,$AE65)=0,"",INDEX(对接源_01水果!$K$4:$K$1203,$AE65)),IF(INDEX(对接源_02物料!$K$4:$K$1203,$AE65-1200)=0,"",INDEX(对接源_02物料!$K$4:$K$1203,$AE65-1200))))</f>
        <v/>
      </c>
      <c r="I65" s="46" t="str">
        <f aca="false">IF($AE65="","",IF($AE65&lt;=1200,IF(INDEX(对接源_01水果!$L$4:$L$1203,$AE65)=0,"",INDEX(对接源_01水果!$L$4:$L$1203,$AE65)),IF(INDEX(对接源_02物料!$L$4:$L$1203,$AE65-1200)=0,"",INDEX(对接源_02物料!$L$4:$L$1203,$AE65-1200))))</f>
        <v/>
      </c>
      <c r="J65" s="47" t="str">
        <f aca="false"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44" t="str">
        <f aca="false">IFERROR(MATCH(60,_自动清单!$AG$4:$AG$2403,0),"")</f>
        <v/>
      </c>
    </row>
    <row r="66" customFormat="false" ht="18" hidden="false" customHeight="true" outlineLevel="0" collapsed="false">
      <c r="A66" s="40" t="str">
        <f aca="false"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41" t="str">
        <f aca="false"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42" t="str">
        <f aca="false"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41" t="str">
        <f aca="false"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55" t="str">
        <f aca="false"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41" t="str">
        <f aca="false"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5" t="str">
        <f aca="false">IF($AE66="","",IF(IF($AE66&lt;=1200,N(INDEX(对接源_01水果!$H$4:$H$1203,$AE66)),N(INDEX(对接源_02物料!$H$4:$H$1203,$AE66-1200)))=0,"",ROUND(IF($AE66&lt;=1200,N(INDEX(对接源_01水果!$K$4:$K$1203,$AE66)),N(INDEX(对接源_02物料!$K$4:$K$1203,$AE66-1200)))/IF($AE66&lt;=1200,N(INDEX(对接源_01水果!$H$4:$H$1203,$AE66)),N(INDEX(对接源_02物料!$H$4:$H$1203,$AE66-1200))),2)))</f>
        <v/>
      </c>
      <c r="H66" s="55" t="str">
        <f aca="false">IF($AE66="","",IF($AE66&lt;=1200,IF(INDEX(对接源_01水果!$K$4:$K$1203,$AE66)=0,"",INDEX(对接源_01水果!$K$4:$K$1203,$AE66)),IF(INDEX(对接源_02物料!$K$4:$K$1203,$AE66-1200)=0,"",INDEX(对接源_02物料!$K$4:$K$1203,$AE66-1200))))</f>
        <v/>
      </c>
      <c r="I66" s="41" t="str">
        <f aca="false">IF($AE66="","",IF($AE66&lt;=1200,IF(INDEX(对接源_01水果!$L$4:$L$1203,$AE66)=0,"",INDEX(对接源_01水果!$L$4:$L$1203,$AE66)),IF(INDEX(对接源_02物料!$L$4:$L$1203,$AE66-1200)=0,"",INDEX(对接源_02物料!$L$4:$L$1203,$AE66-1200))))</f>
        <v/>
      </c>
      <c r="J66" s="42" t="str">
        <f aca="false"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44" t="str">
        <f aca="false">IFERROR(MATCH(61,_自动清单!$AG$4:$AG$2403,0),"")</f>
        <v/>
      </c>
    </row>
    <row r="67" customFormat="false" ht="18" hidden="false" customHeight="true" outlineLevel="0" collapsed="false">
      <c r="A67" s="45" t="str">
        <f aca="false"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46" t="str">
        <f aca="false"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47" t="str">
        <f aca="false"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46" t="str">
        <f aca="false"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56" t="str">
        <f aca="false"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46" t="str">
        <f aca="false"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56" t="str">
        <f aca="false">IF($AE67="","",IF(IF($AE67&lt;=1200,N(INDEX(对接源_01水果!$H$4:$H$1203,$AE67)),N(INDEX(对接源_02物料!$H$4:$H$1203,$AE67-1200)))=0,"",ROUND(IF($AE67&lt;=1200,N(INDEX(对接源_01水果!$K$4:$K$1203,$AE67)),N(INDEX(对接源_02物料!$K$4:$K$1203,$AE67-1200)))/IF($AE67&lt;=1200,N(INDEX(对接源_01水果!$H$4:$H$1203,$AE67)),N(INDEX(对接源_02物料!$H$4:$H$1203,$AE67-1200))),2)))</f>
        <v/>
      </c>
      <c r="H67" s="56" t="str">
        <f aca="false">IF($AE67="","",IF($AE67&lt;=1200,IF(INDEX(对接源_01水果!$K$4:$K$1203,$AE67)=0,"",INDEX(对接源_01水果!$K$4:$K$1203,$AE67)),IF(INDEX(对接源_02物料!$K$4:$K$1203,$AE67-1200)=0,"",INDEX(对接源_02物料!$K$4:$K$1203,$AE67-1200))))</f>
        <v/>
      </c>
      <c r="I67" s="46" t="str">
        <f aca="false">IF($AE67="","",IF($AE67&lt;=1200,IF(INDEX(对接源_01水果!$L$4:$L$1203,$AE67)=0,"",INDEX(对接源_01水果!$L$4:$L$1203,$AE67)),IF(INDEX(对接源_02物料!$L$4:$L$1203,$AE67-1200)=0,"",INDEX(对接源_02物料!$L$4:$L$1203,$AE67-1200))))</f>
        <v/>
      </c>
      <c r="J67" s="47" t="str">
        <f aca="false"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44" t="str">
        <f aca="false">IFERROR(MATCH(62,_自动清单!$AG$4:$AG$2403,0),"")</f>
        <v/>
      </c>
    </row>
    <row r="68" customFormat="false" ht="18" hidden="false" customHeight="true" outlineLevel="0" collapsed="false">
      <c r="A68" s="40" t="str">
        <f aca="false"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41" t="str">
        <f aca="false"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42" t="str">
        <f aca="false"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41" t="str">
        <f aca="false"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55" t="str">
        <f aca="false"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41" t="str">
        <f aca="false"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5" t="str">
        <f aca="false">IF($AE68="","",IF(IF($AE68&lt;=1200,N(INDEX(对接源_01水果!$H$4:$H$1203,$AE68)),N(INDEX(对接源_02物料!$H$4:$H$1203,$AE68-1200)))=0,"",ROUND(IF($AE68&lt;=1200,N(INDEX(对接源_01水果!$K$4:$K$1203,$AE68)),N(INDEX(对接源_02物料!$K$4:$K$1203,$AE68-1200)))/IF($AE68&lt;=1200,N(INDEX(对接源_01水果!$H$4:$H$1203,$AE68)),N(INDEX(对接源_02物料!$H$4:$H$1203,$AE68-1200))),2)))</f>
        <v/>
      </c>
      <c r="H68" s="55" t="str">
        <f aca="false">IF($AE68="","",IF($AE68&lt;=1200,IF(INDEX(对接源_01水果!$K$4:$K$1203,$AE68)=0,"",INDEX(对接源_01水果!$K$4:$K$1203,$AE68)),IF(INDEX(对接源_02物料!$K$4:$K$1203,$AE68-1200)=0,"",INDEX(对接源_02物料!$K$4:$K$1203,$AE68-1200))))</f>
        <v/>
      </c>
      <c r="I68" s="41" t="str">
        <f aca="false">IF($AE68="","",IF($AE68&lt;=1200,IF(INDEX(对接源_01水果!$L$4:$L$1203,$AE68)=0,"",INDEX(对接源_01水果!$L$4:$L$1203,$AE68)),IF(INDEX(对接源_02物料!$L$4:$L$1203,$AE68-1200)=0,"",INDEX(对接源_02物料!$L$4:$L$1203,$AE68-1200))))</f>
        <v/>
      </c>
      <c r="J68" s="42" t="str">
        <f aca="false"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44" t="str">
        <f aca="false">IFERROR(MATCH(63,_自动清单!$AG$4:$AG$2403,0),"")</f>
        <v/>
      </c>
    </row>
    <row r="69" customFormat="false" ht="18" hidden="false" customHeight="true" outlineLevel="0" collapsed="false">
      <c r="A69" s="45" t="str">
        <f aca="false"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46" t="str">
        <f aca="false"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47" t="str">
        <f aca="false"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46" t="str">
        <f aca="false">IF($AE69="","",IF($AE69&lt;=1200,IF(INDEX(对接源_01水果!$G$4:$G$1203,$AE69)=0,"",INDEX(对接源_01水果!$G$4:$G$1203,$AE69)),IF(INDEX(对接源_02物料!$G$4:$G$1203,$AE69-1200)=0,"",INDEX(对接源_02物料!$G$4:$G$1203,$AE69-1200))))</f>
        <v/>
      </c>
      <c r="E69" s="56" t="str">
        <f aca="false"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46" t="str">
        <f aca="false"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56" t="str">
        <f aca="false">IF($AE69="","",IF(IF($AE69&lt;=1200,N(INDEX(对接源_01水果!$H$4:$H$1203,$AE69)),N(INDEX(对接源_02物料!$H$4:$H$1203,$AE69-1200)))=0,"",ROUND(IF($AE69&lt;=1200,N(INDEX(对接源_01水果!$K$4:$K$1203,$AE69)),N(INDEX(对接源_02物料!$K$4:$K$1203,$AE69-1200)))/IF($AE69&lt;=1200,N(INDEX(对接源_01水果!$H$4:$H$1203,$AE69)),N(INDEX(对接源_02物料!$H$4:$H$1203,$AE69-1200))),2)))</f>
        <v/>
      </c>
      <c r="H69" s="56" t="str">
        <f aca="false">IF($AE69="","",IF($AE69&lt;=1200,IF(INDEX(对接源_01水果!$K$4:$K$1203,$AE69)=0,"",INDEX(对接源_01水果!$K$4:$K$1203,$AE69)),IF(INDEX(对接源_02物料!$K$4:$K$1203,$AE69-1200)=0,"",INDEX(对接源_02物料!$K$4:$K$1203,$AE69-1200))))</f>
        <v/>
      </c>
      <c r="I69" s="46" t="str">
        <f aca="false">IF($AE69="","",IF($AE69&lt;=1200,IF(INDEX(对接源_01水果!$L$4:$L$1203,$AE69)=0,"",INDEX(对接源_01水果!$L$4:$L$1203,$AE69)),IF(INDEX(对接源_02物料!$L$4:$L$1203,$AE69-1200)=0,"",INDEX(对接源_02物料!$L$4:$L$1203,$AE69-1200))))</f>
        <v/>
      </c>
      <c r="J69" s="47" t="str">
        <f aca="false"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44" t="str">
        <f aca="false">IFERROR(MATCH(64,_自动清单!$AG$4:$AG$2403,0),"")</f>
        <v/>
      </c>
    </row>
    <row r="70" customFormat="false" ht="18" hidden="false" customHeight="true" outlineLevel="0" collapsed="false">
      <c r="A70" s="40" t="str">
        <f aca="false"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41" t="str">
        <f aca="false"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42" t="str">
        <f aca="false"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41" t="str">
        <f aca="false"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55" t="str">
        <f aca="false"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41" t="str">
        <f aca="false"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5" t="str">
        <f aca="false">IF($AE70="","",IF(IF($AE70&lt;=1200,N(INDEX(对接源_01水果!$H$4:$H$1203,$AE70)),N(INDEX(对接源_02物料!$H$4:$H$1203,$AE70-1200)))=0,"",ROUND(IF($AE70&lt;=1200,N(INDEX(对接源_01水果!$K$4:$K$1203,$AE70)),N(INDEX(对接源_02物料!$K$4:$K$1203,$AE70-1200)))/IF($AE70&lt;=1200,N(INDEX(对接源_01水果!$H$4:$H$1203,$AE70)),N(INDEX(对接源_02物料!$H$4:$H$1203,$AE70-1200))),2)))</f>
        <v/>
      </c>
      <c r="H70" s="55" t="str">
        <f aca="false">IF($AE70="","",IF($AE70&lt;=1200,IF(INDEX(对接源_01水果!$K$4:$K$1203,$AE70)=0,"",INDEX(对接源_01水果!$K$4:$K$1203,$AE70)),IF(INDEX(对接源_02物料!$K$4:$K$1203,$AE70-1200)=0,"",INDEX(对接源_02物料!$K$4:$K$1203,$AE70-1200))))</f>
        <v/>
      </c>
      <c r="I70" s="41" t="str">
        <f aca="false">IF($AE70="","",IF($AE70&lt;=1200,IF(INDEX(对接源_01水果!$L$4:$L$1203,$AE70)=0,"",INDEX(对接源_01水果!$L$4:$L$1203,$AE70)),IF(INDEX(对接源_02物料!$L$4:$L$1203,$AE70-1200)=0,"",INDEX(对接源_02物料!$L$4:$L$1203,$AE70-1200))))</f>
        <v/>
      </c>
      <c r="J70" s="42" t="str">
        <f aca="false"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44" t="str">
        <f aca="false">IFERROR(MATCH(65,_自动清单!$AG$4:$AG$2403,0),"")</f>
        <v/>
      </c>
    </row>
    <row r="71" customFormat="false" ht="18" hidden="false" customHeight="true" outlineLevel="0" collapsed="false">
      <c r="A71" s="45" t="str">
        <f aca="false"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46" t="str">
        <f aca="false"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47" t="str">
        <f aca="false"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46" t="str">
        <f aca="false"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56" t="str">
        <f aca="false"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46" t="str">
        <f aca="false"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56" t="str">
        <f aca="false">IF($AE71="","",IF(IF($AE71&lt;=1200,N(INDEX(对接源_01水果!$H$4:$H$1203,$AE71)),N(INDEX(对接源_02物料!$H$4:$H$1203,$AE71-1200)))=0,"",ROUND(IF($AE71&lt;=1200,N(INDEX(对接源_01水果!$K$4:$K$1203,$AE71)),N(INDEX(对接源_02物料!$K$4:$K$1203,$AE71-1200)))/IF($AE71&lt;=1200,N(INDEX(对接源_01水果!$H$4:$H$1203,$AE71)),N(INDEX(对接源_02物料!$H$4:$H$1203,$AE71-1200))),2)))</f>
        <v/>
      </c>
      <c r="H71" s="56" t="str">
        <f aca="false">IF($AE71="","",IF($AE71&lt;=1200,IF(INDEX(对接源_01水果!$K$4:$K$1203,$AE71)=0,"",INDEX(对接源_01水果!$K$4:$K$1203,$AE71)),IF(INDEX(对接源_02物料!$K$4:$K$1203,$AE71-1200)=0,"",INDEX(对接源_02物料!$K$4:$K$1203,$AE71-1200))))</f>
        <v/>
      </c>
      <c r="I71" s="46" t="str">
        <f aca="false">IF($AE71="","",IF($AE71&lt;=1200,IF(INDEX(对接源_01水果!$L$4:$L$1203,$AE71)=0,"",INDEX(对接源_01水果!$L$4:$L$1203,$AE71)),IF(INDEX(对接源_02物料!$L$4:$L$1203,$AE71-1200)=0,"",INDEX(对接源_02物料!$L$4:$L$1203,$AE71-1200))))</f>
        <v/>
      </c>
      <c r="J71" s="47" t="str">
        <f aca="false"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44" t="str">
        <f aca="false">IFERROR(MATCH(66,_自动清单!$AG$4:$AG$2403,0),"")</f>
        <v/>
      </c>
    </row>
    <row r="72" customFormat="false" ht="18" hidden="false" customHeight="true" outlineLevel="0" collapsed="false">
      <c r="A72" s="40" t="str">
        <f aca="false"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41" t="str">
        <f aca="false"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42" t="str">
        <f aca="false"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41" t="str">
        <f aca="false"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55" t="str">
        <f aca="false"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41" t="str">
        <f aca="false"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5" t="str">
        <f aca="false">IF($AE72="","",IF(IF($AE72&lt;=1200,N(INDEX(对接源_01水果!$H$4:$H$1203,$AE72)),N(INDEX(对接源_02物料!$H$4:$H$1203,$AE72-1200)))=0,"",ROUND(IF($AE72&lt;=1200,N(INDEX(对接源_01水果!$K$4:$K$1203,$AE72)),N(INDEX(对接源_02物料!$K$4:$K$1203,$AE72-1200)))/IF($AE72&lt;=1200,N(INDEX(对接源_01水果!$H$4:$H$1203,$AE72)),N(INDEX(对接源_02物料!$H$4:$H$1203,$AE72-1200))),2)))</f>
        <v/>
      </c>
      <c r="H72" s="55" t="str">
        <f aca="false">IF($AE72="","",IF($AE72&lt;=1200,IF(INDEX(对接源_01水果!$K$4:$K$1203,$AE72)=0,"",INDEX(对接源_01水果!$K$4:$K$1203,$AE72)),IF(INDEX(对接源_02物料!$K$4:$K$1203,$AE72-1200)=0,"",INDEX(对接源_02物料!$K$4:$K$1203,$AE72-1200))))</f>
        <v/>
      </c>
      <c r="I72" s="41" t="str">
        <f aca="false">IF($AE72="","",IF($AE72&lt;=1200,IF(INDEX(对接源_01水果!$L$4:$L$1203,$AE72)=0,"",INDEX(对接源_01水果!$L$4:$L$1203,$AE72)),IF(INDEX(对接源_02物料!$L$4:$L$1203,$AE72-1200)=0,"",INDEX(对接源_02物料!$L$4:$L$1203,$AE72-1200))))</f>
        <v/>
      </c>
      <c r="J72" s="42" t="str">
        <f aca="false"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44" t="str">
        <f aca="false">IFERROR(MATCH(67,_自动清单!$AG$4:$AG$2403,0),"")</f>
        <v/>
      </c>
    </row>
    <row r="73" customFormat="false" ht="18" hidden="false" customHeight="true" outlineLevel="0" collapsed="false">
      <c r="A73" s="45" t="str">
        <f aca="false"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46" t="str">
        <f aca="false"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47" t="str">
        <f aca="false"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46" t="str">
        <f aca="false">IF($AE73="","",IF($AE73&lt;=1200,IF(INDEX(对接源_01水果!$G$4:$G$1203,$AE73)=0,"",INDEX(对接源_01水果!$G$4:$G$1203,$AE73)),IF(INDEX(对接源_02物料!$G$4:$G$1203,$AE73-1200)=0,"",INDEX(对接源_02物料!$G$4:$G$1203,$AE73-1200))))</f>
        <v/>
      </c>
      <c r="E73" s="56" t="str">
        <f aca="false"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46" t="str">
        <f aca="false"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56" t="str">
        <f aca="false">IF($AE73="","",IF(IF($AE73&lt;=1200,N(INDEX(对接源_01水果!$H$4:$H$1203,$AE73)),N(INDEX(对接源_02物料!$H$4:$H$1203,$AE73-1200)))=0,"",ROUND(IF($AE73&lt;=1200,N(INDEX(对接源_01水果!$K$4:$K$1203,$AE73)),N(INDEX(对接源_02物料!$K$4:$K$1203,$AE73-1200)))/IF($AE73&lt;=1200,N(INDEX(对接源_01水果!$H$4:$H$1203,$AE73)),N(INDEX(对接源_02物料!$H$4:$H$1203,$AE73-1200))),2)))</f>
        <v/>
      </c>
      <c r="H73" s="56" t="str">
        <f aca="false">IF($AE73="","",IF($AE73&lt;=1200,IF(INDEX(对接源_01水果!$K$4:$K$1203,$AE73)=0,"",INDEX(对接源_01水果!$K$4:$K$1203,$AE73)),IF(INDEX(对接源_02物料!$K$4:$K$1203,$AE73-1200)=0,"",INDEX(对接源_02物料!$K$4:$K$1203,$AE73-1200))))</f>
        <v/>
      </c>
      <c r="I73" s="46" t="str">
        <f aca="false">IF($AE73="","",IF($AE73&lt;=1200,IF(INDEX(对接源_01水果!$L$4:$L$1203,$AE73)=0,"",INDEX(对接源_01水果!$L$4:$L$1203,$AE73)),IF(INDEX(对接源_02物料!$L$4:$L$1203,$AE73-1200)=0,"",INDEX(对接源_02物料!$L$4:$L$1203,$AE73-1200))))</f>
        <v/>
      </c>
      <c r="J73" s="47" t="str">
        <f aca="false"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44" t="str">
        <f aca="false">IFERROR(MATCH(68,_自动清单!$AG$4:$AG$2403,0),"")</f>
        <v/>
      </c>
    </row>
    <row r="74" customFormat="false" ht="18" hidden="false" customHeight="true" outlineLevel="0" collapsed="false">
      <c r="A74" s="40" t="str">
        <f aca="false"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41" t="str">
        <f aca="false"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42" t="str">
        <f aca="false"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41" t="str">
        <f aca="false"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55" t="str">
        <f aca="false"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41" t="str">
        <f aca="false"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5" t="str">
        <f aca="false">IF($AE74="","",IF(IF($AE74&lt;=1200,N(INDEX(对接源_01水果!$H$4:$H$1203,$AE74)),N(INDEX(对接源_02物料!$H$4:$H$1203,$AE74-1200)))=0,"",ROUND(IF($AE74&lt;=1200,N(INDEX(对接源_01水果!$K$4:$K$1203,$AE74)),N(INDEX(对接源_02物料!$K$4:$K$1203,$AE74-1200)))/IF($AE74&lt;=1200,N(INDEX(对接源_01水果!$H$4:$H$1203,$AE74)),N(INDEX(对接源_02物料!$H$4:$H$1203,$AE74-1200))),2)))</f>
        <v/>
      </c>
      <c r="H74" s="55" t="str">
        <f aca="false">IF($AE74="","",IF($AE74&lt;=1200,IF(INDEX(对接源_01水果!$K$4:$K$1203,$AE74)=0,"",INDEX(对接源_01水果!$K$4:$K$1203,$AE74)),IF(INDEX(对接源_02物料!$K$4:$K$1203,$AE74-1200)=0,"",INDEX(对接源_02物料!$K$4:$K$1203,$AE74-1200))))</f>
        <v/>
      </c>
      <c r="I74" s="41" t="str">
        <f aca="false">IF($AE74="","",IF($AE74&lt;=1200,IF(INDEX(对接源_01水果!$L$4:$L$1203,$AE74)=0,"",INDEX(对接源_01水果!$L$4:$L$1203,$AE74)),IF(INDEX(对接源_02物料!$L$4:$L$1203,$AE74-1200)=0,"",INDEX(对接源_02物料!$L$4:$L$1203,$AE74-1200))))</f>
        <v/>
      </c>
      <c r="J74" s="42" t="str">
        <f aca="false"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44" t="str">
        <f aca="false">IFERROR(MATCH(69,_自动清单!$AG$4:$AG$2403,0),"")</f>
        <v/>
      </c>
    </row>
    <row r="75" customFormat="false" ht="18" hidden="false" customHeight="true" outlineLevel="0" collapsed="false">
      <c r="A75" s="45" t="str">
        <f aca="false"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46" t="str">
        <f aca="false"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47" t="str">
        <f aca="false"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46" t="str">
        <f aca="false"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56" t="str">
        <f aca="false"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46" t="str">
        <f aca="false"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56" t="str">
        <f aca="false">IF($AE75="","",IF(IF($AE75&lt;=1200,N(INDEX(对接源_01水果!$H$4:$H$1203,$AE75)),N(INDEX(对接源_02物料!$H$4:$H$1203,$AE75-1200)))=0,"",ROUND(IF($AE75&lt;=1200,N(INDEX(对接源_01水果!$K$4:$K$1203,$AE75)),N(INDEX(对接源_02物料!$K$4:$K$1203,$AE75-1200)))/IF($AE75&lt;=1200,N(INDEX(对接源_01水果!$H$4:$H$1203,$AE75)),N(INDEX(对接源_02物料!$H$4:$H$1203,$AE75-1200))),2)))</f>
        <v/>
      </c>
      <c r="H75" s="56" t="str">
        <f aca="false">IF($AE75="","",IF($AE75&lt;=1200,IF(INDEX(对接源_01水果!$K$4:$K$1203,$AE75)=0,"",INDEX(对接源_01水果!$K$4:$K$1203,$AE75)),IF(INDEX(对接源_02物料!$K$4:$K$1203,$AE75-1200)=0,"",INDEX(对接源_02物料!$K$4:$K$1203,$AE75-1200))))</f>
        <v/>
      </c>
      <c r="I75" s="46" t="str">
        <f aca="false">IF($AE75="","",IF($AE75&lt;=1200,IF(INDEX(对接源_01水果!$L$4:$L$1203,$AE75)=0,"",INDEX(对接源_01水果!$L$4:$L$1203,$AE75)),IF(INDEX(对接源_02物料!$L$4:$L$1203,$AE75-1200)=0,"",INDEX(对接源_02物料!$L$4:$L$1203,$AE75-1200))))</f>
        <v/>
      </c>
      <c r="J75" s="47" t="str">
        <f aca="false"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44" t="str">
        <f aca="false">IFERROR(MATCH(70,_自动清单!$AG$4:$AG$2403,0),"")</f>
        <v/>
      </c>
    </row>
    <row r="76" customFormat="false" ht="18" hidden="false" customHeight="true" outlineLevel="0" collapsed="false">
      <c r="A76" s="40" t="str">
        <f aca="false"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41" t="str">
        <f aca="false"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42" t="str">
        <f aca="false"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41" t="str">
        <f aca="false"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55" t="str">
        <f aca="false"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41" t="str">
        <f aca="false"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5" t="str">
        <f aca="false">IF($AE76="","",IF(IF($AE76&lt;=1200,N(INDEX(对接源_01水果!$H$4:$H$1203,$AE76)),N(INDEX(对接源_02物料!$H$4:$H$1203,$AE76-1200)))=0,"",ROUND(IF($AE76&lt;=1200,N(INDEX(对接源_01水果!$K$4:$K$1203,$AE76)),N(INDEX(对接源_02物料!$K$4:$K$1203,$AE76-1200)))/IF($AE76&lt;=1200,N(INDEX(对接源_01水果!$H$4:$H$1203,$AE76)),N(INDEX(对接源_02物料!$H$4:$H$1203,$AE76-1200))),2)))</f>
        <v/>
      </c>
      <c r="H76" s="55" t="str">
        <f aca="false">IF($AE76="","",IF($AE76&lt;=1200,IF(INDEX(对接源_01水果!$K$4:$K$1203,$AE76)=0,"",INDEX(对接源_01水果!$K$4:$K$1203,$AE76)),IF(INDEX(对接源_02物料!$K$4:$K$1203,$AE76-1200)=0,"",INDEX(对接源_02物料!$K$4:$K$1203,$AE76-1200))))</f>
        <v/>
      </c>
      <c r="I76" s="41" t="str">
        <f aca="false">IF($AE76="","",IF($AE76&lt;=1200,IF(INDEX(对接源_01水果!$L$4:$L$1203,$AE76)=0,"",INDEX(对接源_01水果!$L$4:$L$1203,$AE76)),IF(INDEX(对接源_02物料!$L$4:$L$1203,$AE76-1200)=0,"",INDEX(对接源_02物料!$L$4:$L$1203,$AE76-1200))))</f>
        <v/>
      </c>
      <c r="J76" s="42" t="str">
        <f aca="false"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44" t="str">
        <f aca="false">IFERROR(MATCH(71,_自动清单!$AG$4:$AG$2403,0),"")</f>
        <v/>
      </c>
    </row>
    <row r="77" customFormat="false" ht="18" hidden="false" customHeight="true" outlineLevel="0" collapsed="false">
      <c r="A77" s="45" t="str">
        <f aca="false"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46" t="str">
        <f aca="false"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47" t="str">
        <f aca="false"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46" t="str">
        <f aca="false">IF($AE77="","",IF($AE77&lt;=1200,IF(INDEX(对接源_01水果!$G$4:$G$1203,$AE77)=0,"",INDEX(对接源_01水果!$G$4:$G$1203,$AE77)),IF(INDEX(对接源_02物料!$G$4:$G$1203,$AE77-1200)=0,"",INDEX(对接源_02物料!$G$4:$G$1203,$AE77-1200))))</f>
        <v/>
      </c>
      <c r="E77" s="56" t="str">
        <f aca="false"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46" t="str">
        <f aca="false"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56" t="str">
        <f aca="false">IF($AE77="","",IF(IF($AE77&lt;=1200,N(INDEX(对接源_01水果!$H$4:$H$1203,$AE77)),N(INDEX(对接源_02物料!$H$4:$H$1203,$AE77-1200)))=0,"",ROUND(IF($AE77&lt;=1200,N(INDEX(对接源_01水果!$K$4:$K$1203,$AE77)),N(INDEX(对接源_02物料!$K$4:$K$1203,$AE77-1200)))/IF($AE77&lt;=1200,N(INDEX(对接源_01水果!$H$4:$H$1203,$AE77)),N(INDEX(对接源_02物料!$H$4:$H$1203,$AE77-1200))),2)))</f>
        <v/>
      </c>
      <c r="H77" s="56" t="str">
        <f aca="false">IF($AE77="","",IF($AE77&lt;=1200,IF(INDEX(对接源_01水果!$K$4:$K$1203,$AE77)=0,"",INDEX(对接源_01水果!$K$4:$K$1203,$AE77)),IF(INDEX(对接源_02物料!$K$4:$K$1203,$AE77-1200)=0,"",INDEX(对接源_02物料!$K$4:$K$1203,$AE77-1200))))</f>
        <v/>
      </c>
      <c r="I77" s="46" t="str">
        <f aca="false">IF($AE77="","",IF($AE77&lt;=1200,IF(INDEX(对接源_01水果!$L$4:$L$1203,$AE77)=0,"",INDEX(对接源_01水果!$L$4:$L$1203,$AE77)),IF(INDEX(对接源_02物料!$L$4:$L$1203,$AE77-1200)=0,"",INDEX(对接源_02物料!$L$4:$L$1203,$AE77-1200))))</f>
        <v/>
      </c>
      <c r="J77" s="47" t="str">
        <f aca="false"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44" t="str">
        <f aca="false">IFERROR(MATCH(72,_自动清单!$AG$4:$AG$2403,0),"")</f>
        <v/>
      </c>
    </row>
    <row r="78" customFormat="false" ht="18" hidden="false" customHeight="true" outlineLevel="0" collapsed="false">
      <c r="A78" s="40" t="str">
        <f aca="false"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41" t="str">
        <f aca="false"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42" t="str">
        <f aca="false"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41" t="str">
        <f aca="false"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55" t="str">
        <f aca="false"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41" t="str">
        <f aca="false"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5" t="str">
        <f aca="false">IF($AE78="","",IF(IF($AE78&lt;=1200,N(INDEX(对接源_01水果!$H$4:$H$1203,$AE78)),N(INDEX(对接源_02物料!$H$4:$H$1203,$AE78-1200)))=0,"",ROUND(IF($AE78&lt;=1200,N(INDEX(对接源_01水果!$K$4:$K$1203,$AE78)),N(INDEX(对接源_02物料!$K$4:$K$1203,$AE78-1200)))/IF($AE78&lt;=1200,N(INDEX(对接源_01水果!$H$4:$H$1203,$AE78)),N(INDEX(对接源_02物料!$H$4:$H$1203,$AE78-1200))),2)))</f>
        <v/>
      </c>
      <c r="H78" s="55" t="str">
        <f aca="false">IF($AE78="","",IF($AE78&lt;=1200,IF(INDEX(对接源_01水果!$K$4:$K$1203,$AE78)=0,"",INDEX(对接源_01水果!$K$4:$K$1203,$AE78)),IF(INDEX(对接源_02物料!$K$4:$K$1203,$AE78-1200)=0,"",INDEX(对接源_02物料!$K$4:$K$1203,$AE78-1200))))</f>
        <v/>
      </c>
      <c r="I78" s="41" t="str">
        <f aca="false">IF($AE78="","",IF($AE78&lt;=1200,IF(INDEX(对接源_01水果!$L$4:$L$1203,$AE78)=0,"",INDEX(对接源_01水果!$L$4:$L$1203,$AE78)),IF(INDEX(对接源_02物料!$L$4:$L$1203,$AE78-1200)=0,"",INDEX(对接源_02物料!$L$4:$L$1203,$AE78-1200))))</f>
        <v/>
      </c>
      <c r="J78" s="42" t="str">
        <f aca="false"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44" t="str">
        <f aca="false">IFERROR(MATCH(73,_自动清单!$AG$4:$AG$2403,0),"")</f>
        <v/>
      </c>
    </row>
    <row r="79" customFormat="false" ht="18" hidden="false" customHeight="true" outlineLevel="0" collapsed="false">
      <c r="A79" s="45" t="str">
        <f aca="false"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46" t="str">
        <f aca="false"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47" t="str">
        <f aca="false"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46" t="str">
        <f aca="false"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56" t="str">
        <f aca="false"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46" t="str">
        <f aca="false"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56" t="str">
        <f aca="false">IF($AE79="","",IF(IF($AE79&lt;=1200,N(INDEX(对接源_01水果!$H$4:$H$1203,$AE79)),N(INDEX(对接源_02物料!$H$4:$H$1203,$AE79-1200)))=0,"",ROUND(IF($AE79&lt;=1200,N(INDEX(对接源_01水果!$K$4:$K$1203,$AE79)),N(INDEX(对接源_02物料!$K$4:$K$1203,$AE79-1200)))/IF($AE79&lt;=1200,N(INDEX(对接源_01水果!$H$4:$H$1203,$AE79)),N(INDEX(对接源_02物料!$H$4:$H$1203,$AE79-1200))),2)))</f>
        <v/>
      </c>
      <c r="H79" s="56" t="str">
        <f aca="false">IF($AE79="","",IF($AE79&lt;=1200,IF(INDEX(对接源_01水果!$K$4:$K$1203,$AE79)=0,"",INDEX(对接源_01水果!$K$4:$K$1203,$AE79)),IF(INDEX(对接源_02物料!$K$4:$K$1203,$AE79-1200)=0,"",INDEX(对接源_02物料!$K$4:$K$1203,$AE79-1200))))</f>
        <v/>
      </c>
      <c r="I79" s="46" t="str">
        <f aca="false">IF($AE79="","",IF($AE79&lt;=1200,IF(INDEX(对接源_01水果!$L$4:$L$1203,$AE79)=0,"",INDEX(对接源_01水果!$L$4:$L$1203,$AE79)),IF(INDEX(对接源_02物料!$L$4:$L$1203,$AE79-1200)=0,"",INDEX(对接源_02物料!$L$4:$L$1203,$AE79-1200))))</f>
        <v/>
      </c>
      <c r="J79" s="47" t="str">
        <f aca="false"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44" t="str">
        <f aca="false">IFERROR(MATCH(74,_自动清单!$AG$4:$AG$2403,0),"")</f>
        <v/>
      </c>
    </row>
    <row r="80" customFormat="false" ht="18" hidden="false" customHeight="true" outlineLevel="0" collapsed="false">
      <c r="A80" s="40" t="str">
        <f aca="false"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41" t="str">
        <f aca="false"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42" t="str">
        <f aca="false"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41" t="str">
        <f aca="false"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55" t="str">
        <f aca="false"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41" t="str">
        <f aca="false"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5" t="str">
        <f aca="false">IF($AE80="","",IF(IF($AE80&lt;=1200,N(INDEX(对接源_01水果!$H$4:$H$1203,$AE80)),N(INDEX(对接源_02物料!$H$4:$H$1203,$AE80-1200)))=0,"",ROUND(IF($AE80&lt;=1200,N(INDEX(对接源_01水果!$K$4:$K$1203,$AE80)),N(INDEX(对接源_02物料!$K$4:$K$1203,$AE80-1200)))/IF($AE80&lt;=1200,N(INDEX(对接源_01水果!$H$4:$H$1203,$AE80)),N(INDEX(对接源_02物料!$H$4:$H$1203,$AE80-1200))),2)))</f>
        <v/>
      </c>
      <c r="H80" s="55" t="str">
        <f aca="false">IF($AE80="","",IF($AE80&lt;=1200,IF(INDEX(对接源_01水果!$K$4:$K$1203,$AE80)=0,"",INDEX(对接源_01水果!$K$4:$K$1203,$AE80)),IF(INDEX(对接源_02物料!$K$4:$K$1203,$AE80-1200)=0,"",INDEX(对接源_02物料!$K$4:$K$1203,$AE80-1200))))</f>
        <v/>
      </c>
      <c r="I80" s="41" t="str">
        <f aca="false">IF($AE80="","",IF($AE80&lt;=1200,IF(INDEX(对接源_01水果!$L$4:$L$1203,$AE80)=0,"",INDEX(对接源_01水果!$L$4:$L$1203,$AE80)),IF(INDEX(对接源_02物料!$L$4:$L$1203,$AE80-1200)=0,"",INDEX(对接源_02物料!$L$4:$L$1203,$AE80-1200))))</f>
        <v/>
      </c>
      <c r="J80" s="42" t="str">
        <f aca="false"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44" t="str">
        <f aca="false">IFERROR(MATCH(75,_自动清单!$AG$4:$AG$2403,0),"")</f>
        <v/>
      </c>
    </row>
    <row r="81" customFormat="false" ht="18" hidden="false" customHeight="true" outlineLevel="0" collapsed="false">
      <c r="A81" s="45" t="str">
        <f aca="false"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46" t="str">
        <f aca="false"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47" t="str">
        <f aca="false"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46" t="str">
        <f aca="false">IF($AE81="","",IF($AE81&lt;=1200,IF(INDEX(对接源_01水果!$G$4:$G$1203,$AE81)=0,"",INDEX(对接源_01水果!$G$4:$G$1203,$AE81)),IF(INDEX(对接源_02物料!$G$4:$G$1203,$AE81-1200)=0,"",INDEX(对接源_02物料!$G$4:$G$1203,$AE81-1200))))</f>
        <v/>
      </c>
      <c r="E81" s="56" t="str">
        <f aca="false"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46" t="str">
        <f aca="false"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56" t="str">
        <f aca="false">IF($AE81="","",IF(IF($AE81&lt;=1200,N(INDEX(对接源_01水果!$H$4:$H$1203,$AE81)),N(INDEX(对接源_02物料!$H$4:$H$1203,$AE81-1200)))=0,"",ROUND(IF($AE81&lt;=1200,N(INDEX(对接源_01水果!$K$4:$K$1203,$AE81)),N(INDEX(对接源_02物料!$K$4:$K$1203,$AE81-1200)))/IF($AE81&lt;=1200,N(INDEX(对接源_01水果!$H$4:$H$1203,$AE81)),N(INDEX(对接源_02物料!$H$4:$H$1203,$AE81-1200))),2)))</f>
        <v/>
      </c>
      <c r="H81" s="56" t="str">
        <f aca="false">IF($AE81="","",IF($AE81&lt;=1200,IF(INDEX(对接源_01水果!$K$4:$K$1203,$AE81)=0,"",INDEX(对接源_01水果!$K$4:$K$1203,$AE81)),IF(INDEX(对接源_02物料!$K$4:$K$1203,$AE81-1200)=0,"",INDEX(对接源_02物料!$K$4:$K$1203,$AE81-1200))))</f>
        <v/>
      </c>
      <c r="I81" s="46" t="str">
        <f aca="false">IF($AE81="","",IF($AE81&lt;=1200,IF(INDEX(对接源_01水果!$L$4:$L$1203,$AE81)=0,"",INDEX(对接源_01水果!$L$4:$L$1203,$AE81)),IF(INDEX(对接源_02物料!$L$4:$L$1203,$AE81-1200)=0,"",INDEX(对接源_02物料!$L$4:$L$1203,$AE81-1200))))</f>
        <v/>
      </c>
      <c r="J81" s="47" t="str">
        <f aca="false"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44" t="str">
        <f aca="false">IFERROR(MATCH(76,_自动清单!$AG$4:$AG$2403,0),"")</f>
        <v/>
      </c>
    </row>
    <row r="82" customFormat="false" ht="18" hidden="false" customHeight="true" outlineLevel="0" collapsed="false">
      <c r="A82" s="40" t="str">
        <f aca="false"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41" t="str">
        <f aca="false"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42" t="str">
        <f aca="false"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41" t="str">
        <f aca="false"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55" t="str">
        <f aca="false"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41" t="str">
        <f aca="false"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5" t="str">
        <f aca="false">IF($AE82="","",IF(IF($AE82&lt;=1200,N(INDEX(对接源_01水果!$H$4:$H$1203,$AE82)),N(INDEX(对接源_02物料!$H$4:$H$1203,$AE82-1200)))=0,"",ROUND(IF($AE82&lt;=1200,N(INDEX(对接源_01水果!$K$4:$K$1203,$AE82)),N(INDEX(对接源_02物料!$K$4:$K$1203,$AE82-1200)))/IF($AE82&lt;=1200,N(INDEX(对接源_01水果!$H$4:$H$1203,$AE82)),N(INDEX(对接源_02物料!$H$4:$H$1203,$AE82-1200))),2)))</f>
        <v/>
      </c>
      <c r="H82" s="55" t="str">
        <f aca="false">IF($AE82="","",IF($AE82&lt;=1200,IF(INDEX(对接源_01水果!$K$4:$K$1203,$AE82)=0,"",INDEX(对接源_01水果!$K$4:$K$1203,$AE82)),IF(INDEX(对接源_02物料!$K$4:$K$1203,$AE82-1200)=0,"",INDEX(对接源_02物料!$K$4:$K$1203,$AE82-1200))))</f>
        <v/>
      </c>
      <c r="I82" s="41" t="str">
        <f aca="false">IF($AE82="","",IF($AE82&lt;=1200,IF(INDEX(对接源_01水果!$L$4:$L$1203,$AE82)=0,"",INDEX(对接源_01水果!$L$4:$L$1203,$AE82)),IF(INDEX(对接源_02物料!$L$4:$L$1203,$AE82-1200)=0,"",INDEX(对接源_02物料!$L$4:$L$1203,$AE82-1200))))</f>
        <v/>
      </c>
      <c r="J82" s="42" t="str">
        <f aca="false"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44" t="str">
        <f aca="false">IFERROR(MATCH(77,_自动清单!$AG$4:$AG$2403,0),"")</f>
        <v/>
      </c>
    </row>
    <row r="83" customFormat="false" ht="18" hidden="false" customHeight="true" outlineLevel="0" collapsed="false">
      <c r="A83" s="45" t="str">
        <f aca="false"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46" t="str">
        <f aca="false"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47" t="str">
        <f aca="false"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46" t="str">
        <f aca="false"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56" t="str">
        <f aca="false"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46" t="str">
        <f aca="false"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56" t="str">
        <f aca="false">IF($AE83="","",IF(IF($AE83&lt;=1200,N(INDEX(对接源_01水果!$H$4:$H$1203,$AE83)),N(INDEX(对接源_02物料!$H$4:$H$1203,$AE83-1200)))=0,"",ROUND(IF($AE83&lt;=1200,N(INDEX(对接源_01水果!$K$4:$K$1203,$AE83)),N(INDEX(对接源_02物料!$K$4:$K$1203,$AE83-1200)))/IF($AE83&lt;=1200,N(INDEX(对接源_01水果!$H$4:$H$1203,$AE83)),N(INDEX(对接源_02物料!$H$4:$H$1203,$AE83-1200))),2)))</f>
        <v/>
      </c>
      <c r="H83" s="56" t="str">
        <f aca="false">IF($AE83="","",IF($AE83&lt;=1200,IF(INDEX(对接源_01水果!$K$4:$K$1203,$AE83)=0,"",INDEX(对接源_01水果!$K$4:$K$1203,$AE83)),IF(INDEX(对接源_02物料!$K$4:$K$1203,$AE83-1200)=0,"",INDEX(对接源_02物料!$K$4:$K$1203,$AE83-1200))))</f>
        <v/>
      </c>
      <c r="I83" s="46" t="str">
        <f aca="false">IF($AE83="","",IF($AE83&lt;=1200,IF(INDEX(对接源_01水果!$L$4:$L$1203,$AE83)=0,"",INDEX(对接源_01水果!$L$4:$L$1203,$AE83)),IF(INDEX(对接源_02物料!$L$4:$L$1203,$AE83-1200)=0,"",INDEX(对接源_02物料!$L$4:$L$1203,$AE83-1200))))</f>
        <v/>
      </c>
      <c r="J83" s="47" t="str">
        <f aca="false"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44" t="str">
        <f aca="false">IFERROR(MATCH(78,_自动清单!$AG$4:$AG$2403,0),"")</f>
        <v/>
      </c>
    </row>
    <row r="84" customFormat="false" ht="18" hidden="false" customHeight="true" outlineLevel="0" collapsed="false">
      <c r="A84" s="40" t="str">
        <f aca="false"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41" t="str">
        <f aca="false"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42" t="str">
        <f aca="false"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41" t="str">
        <f aca="false"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55" t="str">
        <f aca="false"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41" t="str">
        <f aca="false"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5" t="str">
        <f aca="false">IF($AE84="","",IF(IF($AE84&lt;=1200,N(INDEX(对接源_01水果!$H$4:$H$1203,$AE84)),N(INDEX(对接源_02物料!$H$4:$H$1203,$AE84-1200)))=0,"",ROUND(IF($AE84&lt;=1200,N(INDEX(对接源_01水果!$K$4:$K$1203,$AE84)),N(INDEX(对接源_02物料!$K$4:$K$1203,$AE84-1200)))/IF($AE84&lt;=1200,N(INDEX(对接源_01水果!$H$4:$H$1203,$AE84)),N(INDEX(对接源_02物料!$H$4:$H$1203,$AE84-1200))),2)))</f>
        <v/>
      </c>
      <c r="H84" s="55" t="str">
        <f aca="false">IF($AE84="","",IF($AE84&lt;=1200,IF(INDEX(对接源_01水果!$K$4:$K$1203,$AE84)=0,"",INDEX(对接源_01水果!$K$4:$K$1203,$AE84)),IF(INDEX(对接源_02物料!$K$4:$K$1203,$AE84-1200)=0,"",INDEX(对接源_02物料!$K$4:$K$1203,$AE84-1200))))</f>
        <v/>
      </c>
      <c r="I84" s="41" t="str">
        <f aca="false">IF($AE84="","",IF($AE84&lt;=1200,IF(INDEX(对接源_01水果!$L$4:$L$1203,$AE84)=0,"",INDEX(对接源_01水果!$L$4:$L$1203,$AE84)),IF(INDEX(对接源_02物料!$L$4:$L$1203,$AE84-1200)=0,"",INDEX(对接源_02物料!$L$4:$L$1203,$AE84-1200))))</f>
        <v/>
      </c>
      <c r="J84" s="42" t="str">
        <f aca="false"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44" t="str">
        <f aca="false">IFERROR(MATCH(79,_自动清单!$AG$4:$AG$2403,0),"")</f>
        <v/>
      </c>
    </row>
    <row r="85" customFormat="false" ht="18" hidden="false" customHeight="true" outlineLevel="0" collapsed="false">
      <c r="A85" s="45" t="str">
        <f aca="false"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46" t="str">
        <f aca="false"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47" t="str">
        <f aca="false"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46" t="str">
        <f aca="false">IF($AE85="","",IF($AE85&lt;=1200,IF(INDEX(对接源_01水果!$G$4:$G$1203,$AE85)=0,"",INDEX(对接源_01水果!$G$4:$G$1203,$AE85)),IF(INDEX(对接源_02物料!$G$4:$G$1203,$AE85-1200)=0,"",INDEX(对接源_02物料!$G$4:$G$1203,$AE85-1200))))</f>
        <v/>
      </c>
      <c r="E85" s="56" t="str">
        <f aca="false"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46" t="str">
        <f aca="false"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56" t="str">
        <f aca="false">IF($AE85="","",IF(IF($AE85&lt;=1200,N(INDEX(对接源_01水果!$H$4:$H$1203,$AE85)),N(INDEX(对接源_02物料!$H$4:$H$1203,$AE85-1200)))=0,"",ROUND(IF($AE85&lt;=1200,N(INDEX(对接源_01水果!$K$4:$K$1203,$AE85)),N(INDEX(对接源_02物料!$K$4:$K$1203,$AE85-1200)))/IF($AE85&lt;=1200,N(INDEX(对接源_01水果!$H$4:$H$1203,$AE85)),N(INDEX(对接源_02物料!$H$4:$H$1203,$AE85-1200))),2)))</f>
        <v/>
      </c>
      <c r="H85" s="56" t="str">
        <f aca="false">IF($AE85="","",IF($AE85&lt;=1200,IF(INDEX(对接源_01水果!$K$4:$K$1203,$AE85)=0,"",INDEX(对接源_01水果!$K$4:$K$1203,$AE85)),IF(INDEX(对接源_02物料!$K$4:$K$1203,$AE85-1200)=0,"",INDEX(对接源_02物料!$K$4:$K$1203,$AE85-1200))))</f>
        <v/>
      </c>
      <c r="I85" s="46" t="str">
        <f aca="false">IF($AE85="","",IF($AE85&lt;=1200,IF(INDEX(对接源_01水果!$L$4:$L$1203,$AE85)=0,"",INDEX(对接源_01水果!$L$4:$L$1203,$AE85)),IF(INDEX(对接源_02物料!$L$4:$L$1203,$AE85-1200)=0,"",INDEX(对接源_02物料!$L$4:$L$1203,$AE85-1200))))</f>
        <v/>
      </c>
      <c r="J85" s="47" t="str">
        <f aca="false"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44" t="str">
        <f aca="false">IFERROR(MATCH(80,_自动清单!$AG$4:$AG$2403,0),"")</f>
        <v/>
      </c>
    </row>
    <row r="86" customFormat="false" ht="18" hidden="false" customHeight="true" outlineLevel="0" collapsed="false">
      <c r="A86" s="40" t="str">
        <f aca="false"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41" t="str">
        <f aca="false"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42" t="str">
        <f aca="false"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41" t="str">
        <f aca="false"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55" t="str">
        <f aca="false"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41" t="str">
        <f aca="false"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5" t="str">
        <f aca="false">IF($AE86="","",IF(IF($AE86&lt;=1200,N(INDEX(对接源_01水果!$H$4:$H$1203,$AE86)),N(INDEX(对接源_02物料!$H$4:$H$1203,$AE86-1200)))=0,"",ROUND(IF($AE86&lt;=1200,N(INDEX(对接源_01水果!$K$4:$K$1203,$AE86)),N(INDEX(对接源_02物料!$K$4:$K$1203,$AE86-1200)))/IF($AE86&lt;=1200,N(INDEX(对接源_01水果!$H$4:$H$1203,$AE86)),N(INDEX(对接源_02物料!$H$4:$H$1203,$AE86-1200))),2)))</f>
        <v/>
      </c>
      <c r="H86" s="55" t="str">
        <f aca="false">IF($AE86="","",IF($AE86&lt;=1200,IF(INDEX(对接源_01水果!$K$4:$K$1203,$AE86)=0,"",INDEX(对接源_01水果!$K$4:$K$1203,$AE86)),IF(INDEX(对接源_02物料!$K$4:$K$1203,$AE86-1200)=0,"",INDEX(对接源_02物料!$K$4:$K$1203,$AE86-1200))))</f>
        <v/>
      </c>
      <c r="I86" s="41" t="str">
        <f aca="false">IF($AE86="","",IF($AE86&lt;=1200,IF(INDEX(对接源_01水果!$L$4:$L$1203,$AE86)=0,"",INDEX(对接源_01水果!$L$4:$L$1203,$AE86)),IF(INDEX(对接源_02物料!$L$4:$L$1203,$AE86-1200)=0,"",INDEX(对接源_02物料!$L$4:$L$1203,$AE86-1200))))</f>
        <v/>
      </c>
      <c r="J86" s="42" t="str">
        <f aca="false"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44" t="str">
        <f aca="false">IFERROR(MATCH(81,_自动清单!$AG$4:$AG$2403,0),"")</f>
        <v/>
      </c>
    </row>
    <row r="87" customFormat="false" ht="18" hidden="false" customHeight="true" outlineLevel="0" collapsed="false">
      <c r="A87" s="45" t="str">
        <f aca="false"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46" t="str">
        <f aca="false"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47" t="str">
        <f aca="false"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46" t="str">
        <f aca="false"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56" t="str">
        <f aca="false"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46" t="str">
        <f aca="false"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56" t="str">
        <f aca="false">IF($AE87="","",IF(IF($AE87&lt;=1200,N(INDEX(对接源_01水果!$H$4:$H$1203,$AE87)),N(INDEX(对接源_02物料!$H$4:$H$1203,$AE87-1200)))=0,"",ROUND(IF($AE87&lt;=1200,N(INDEX(对接源_01水果!$K$4:$K$1203,$AE87)),N(INDEX(对接源_02物料!$K$4:$K$1203,$AE87-1200)))/IF($AE87&lt;=1200,N(INDEX(对接源_01水果!$H$4:$H$1203,$AE87)),N(INDEX(对接源_02物料!$H$4:$H$1203,$AE87-1200))),2)))</f>
        <v/>
      </c>
      <c r="H87" s="56" t="str">
        <f aca="false">IF($AE87="","",IF($AE87&lt;=1200,IF(INDEX(对接源_01水果!$K$4:$K$1203,$AE87)=0,"",INDEX(对接源_01水果!$K$4:$K$1203,$AE87)),IF(INDEX(对接源_02物料!$K$4:$K$1203,$AE87-1200)=0,"",INDEX(对接源_02物料!$K$4:$K$1203,$AE87-1200))))</f>
        <v/>
      </c>
      <c r="I87" s="46" t="str">
        <f aca="false">IF($AE87="","",IF($AE87&lt;=1200,IF(INDEX(对接源_01水果!$L$4:$L$1203,$AE87)=0,"",INDEX(对接源_01水果!$L$4:$L$1203,$AE87)),IF(INDEX(对接源_02物料!$L$4:$L$1203,$AE87-1200)=0,"",INDEX(对接源_02物料!$L$4:$L$1203,$AE87-1200))))</f>
        <v/>
      </c>
      <c r="J87" s="47" t="str">
        <f aca="false"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44" t="str">
        <f aca="false">IFERROR(MATCH(82,_自动清单!$AG$4:$AG$2403,0),"")</f>
        <v/>
      </c>
    </row>
    <row r="88" customFormat="false" ht="18" hidden="false" customHeight="true" outlineLevel="0" collapsed="false">
      <c r="A88" s="40" t="str">
        <f aca="false"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41" t="str">
        <f aca="false"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42" t="str">
        <f aca="false"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41" t="str">
        <f aca="false"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55" t="str">
        <f aca="false"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41" t="str">
        <f aca="false"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5" t="str">
        <f aca="false">IF($AE88="","",IF(IF($AE88&lt;=1200,N(INDEX(对接源_01水果!$H$4:$H$1203,$AE88)),N(INDEX(对接源_02物料!$H$4:$H$1203,$AE88-1200)))=0,"",ROUND(IF($AE88&lt;=1200,N(INDEX(对接源_01水果!$K$4:$K$1203,$AE88)),N(INDEX(对接源_02物料!$K$4:$K$1203,$AE88-1200)))/IF($AE88&lt;=1200,N(INDEX(对接源_01水果!$H$4:$H$1203,$AE88)),N(INDEX(对接源_02物料!$H$4:$H$1203,$AE88-1200))),2)))</f>
        <v/>
      </c>
      <c r="H88" s="55" t="str">
        <f aca="false">IF($AE88="","",IF($AE88&lt;=1200,IF(INDEX(对接源_01水果!$K$4:$K$1203,$AE88)=0,"",INDEX(对接源_01水果!$K$4:$K$1203,$AE88)),IF(INDEX(对接源_02物料!$K$4:$K$1203,$AE88-1200)=0,"",INDEX(对接源_02物料!$K$4:$K$1203,$AE88-1200))))</f>
        <v/>
      </c>
      <c r="I88" s="41" t="str">
        <f aca="false">IF($AE88="","",IF($AE88&lt;=1200,IF(INDEX(对接源_01水果!$L$4:$L$1203,$AE88)=0,"",INDEX(对接源_01水果!$L$4:$L$1203,$AE88)),IF(INDEX(对接源_02物料!$L$4:$L$1203,$AE88-1200)=0,"",INDEX(对接源_02物料!$L$4:$L$1203,$AE88-1200))))</f>
        <v/>
      </c>
      <c r="J88" s="42" t="str">
        <f aca="false"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44" t="str">
        <f aca="false">IFERROR(MATCH(83,_自动清单!$AG$4:$AG$2403,0),"")</f>
        <v/>
      </c>
    </row>
    <row r="89" customFormat="false" ht="18" hidden="false" customHeight="true" outlineLevel="0" collapsed="false">
      <c r="A89" s="45" t="str">
        <f aca="false"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46" t="str">
        <f aca="false"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47" t="str">
        <f aca="false"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46" t="str">
        <f aca="false">IF($AE89="","",IF($AE89&lt;=1200,IF(INDEX(对接源_01水果!$G$4:$G$1203,$AE89)=0,"",INDEX(对接源_01水果!$G$4:$G$1203,$AE89)),IF(INDEX(对接源_02物料!$G$4:$G$1203,$AE89-1200)=0,"",INDEX(对接源_02物料!$G$4:$G$1203,$AE89-1200))))</f>
        <v/>
      </c>
      <c r="E89" s="56" t="str">
        <f aca="false"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46" t="str">
        <f aca="false"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56" t="str">
        <f aca="false">IF($AE89="","",IF(IF($AE89&lt;=1200,N(INDEX(对接源_01水果!$H$4:$H$1203,$AE89)),N(INDEX(对接源_02物料!$H$4:$H$1203,$AE89-1200)))=0,"",ROUND(IF($AE89&lt;=1200,N(INDEX(对接源_01水果!$K$4:$K$1203,$AE89)),N(INDEX(对接源_02物料!$K$4:$K$1203,$AE89-1200)))/IF($AE89&lt;=1200,N(INDEX(对接源_01水果!$H$4:$H$1203,$AE89)),N(INDEX(对接源_02物料!$H$4:$H$1203,$AE89-1200))),2)))</f>
        <v/>
      </c>
      <c r="H89" s="56" t="str">
        <f aca="false">IF($AE89="","",IF($AE89&lt;=1200,IF(INDEX(对接源_01水果!$K$4:$K$1203,$AE89)=0,"",INDEX(对接源_01水果!$K$4:$K$1203,$AE89)),IF(INDEX(对接源_02物料!$K$4:$K$1203,$AE89-1200)=0,"",INDEX(对接源_02物料!$K$4:$K$1203,$AE89-1200))))</f>
        <v/>
      </c>
      <c r="I89" s="46" t="str">
        <f aca="false">IF($AE89="","",IF($AE89&lt;=1200,IF(INDEX(对接源_01水果!$L$4:$L$1203,$AE89)=0,"",INDEX(对接源_01水果!$L$4:$L$1203,$AE89)),IF(INDEX(对接源_02物料!$L$4:$L$1203,$AE89-1200)=0,"",INDEX(对接源_02物料!$L$4:$L$1203,$AE89-1200))))</f>
        <v/>
      </c>
      <c r="J89" s="47" t="str">
        <f aca="false"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44" t="str">
        <f aca="false">IFERROR(MATCH(84,_自动清单!$AG$4:$AG$2403,0),"")</f>
        <v/>
      </c>
    </row>
    <row r="90" customFormat="false" ht="18" hidden="false" customHeight="true" outlineLevel="0" collapsed="false">
      <c r="A90" s="40" t="str">
        <f aca="false"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41" t="str">
        <f aca="false"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42" t="str">
        <f aca="false"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41" t="str">
        <f aca="false"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55" t="str">
        <f aca="false"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41" t="str">
        <f aca="false"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5" t="str">
        <f aca="false">IF($AE90="","",IF(IF($AE90&lt;=1200,N(INDEX(对接源_01水果!$H$4:$H$1203,$AE90)),N(INDEX(对接源_02物料!$H$4:$H$1203,$AE90-1200)))=0,"",ROUND(IF($AE90&lt;=1200,N(INDEX(对接源_01水果!$K$4:$K$1203,$AE90)),N(INDEX(对接源_02物料!$K$4:$K$1203,$AE90-1200)))/IF($AE90&lt;=1200,N(INDEX(对接源_01水果!$H$4:$H$1203,$AE90)),N(INDEX(对接源_02物料!$H$4:$H$1203,$AE90-1200))),2)))</f>
        <v/>
      </c>
      <c r="H90" s="55" t="str">
        <f aca="false">IF($AE90="","",IF($AE90&lt;=1200,IF(INDEX(对接源_01水果!$K$4:$K$1203,$AE90)=0,"",INDEX(对接源_01水果!$K$4:$K$1203,$AE90)),IF(INDEX(对接源_02物料!$K$4:$K$1203,$AE90-1200)=0,"",INDEX(对接源_02物料!$K$4:$K$1203,$AE90-1200))))</f>
        <v/>
      </c>
      <c r="I90" s="41" t="str">
        <f aca="false">IF($AE90="","",IF($AE90&lt;=1200,IF(INDEX(对接源_01水果!$L$4:$L$1203,$AE90)=0,"",INDEX(对接源_01水果!$L$4:$L$1203,$AE90)),IF(INDEX(对接源_02物料!$L$4:$L$1203,$AE90-1200)=0,"",INDEX(对接源_02物料!$L$4:$L$1203,$AE90-1200))))</f>
        <v/>
      </c>
      <c r="J90" s="42" t="str">
        <f aca="false"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44" t="str">
        <f aca="false">IFERROR(MATCH(85,_自动清单!$AG$4:$AG$2403,0),"")</f>
        <v/>
      </c>
    </row>
    <row r="91" customFormat="false" ht="18" hidden="false" customHeight="true" outlineLevel="0" collapsed="false">
      <c r="A91" s="45" t="str">
        <f aca="false"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46" t="str">
        <f aca="false"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47" t="str">
        <f aca="false"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46" t="str">
        <f aca="false"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56" t="str">
        <f aca="false"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46" t="str">
        <f aca="false"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56" t="str">
        <f aca="false">IF($AE91="","",IF(IF($AE91&lt;=1200,N(INDEX(对接源_01水果!$H$4:$H$1203,$AE91)),N(INDEX(对接源_02物料!$H$4:$H$1203,$AE91-1200)))=0,"",ROUND(IF($AE91&lt;=1200,N(INDEX(对接源_01水果!$K$4:$K$1203,$AE91)),N(INDEX(对接源_02物料!$K$4:$K$1203,$AE91-1200)))/IF($AE91&lt;=1200,N(INDEX(对接源_01水果!$H$4:$H$1203,$AE91)),N(INDEX(对接源_02物料!$H$4:$H$1203,$AE91-1200))),2)))</f>
        <v/>
      </c>
      <c r="H91" s="56" t="str">
        <f aca="false">IF($AE91="","",IF($AE91&lt;=1200,IF(INDEX(对接源_01水果!$K$4:$K$1203,$AE91)=0,"",INDEX(对接源_01水果!$K$4:$K$1203,$AE91)),IF(INDEX(对接源_02物料!$K$4:$K$1203,$AE91-1200)=0,"",INDEX(对接源_02物料!$K$4:$K$1203,$AE91-1200))))</f>
        <v/>
      </c>
      <c r="I91" s="46" t="str">
        <f aca="false">IF($AE91="","",IF($AE91&lt;=1200,IF(INDEX(对接源_01水果!$L$4:$L$1203,$AE91)=0,"",INDEX(对接源_01水果!$L$4:$L$1203,$AE91)),IF(INDEX(对接源_02物料!$L$4:$L$1203,$AE91-1200)=0,"",INDEX(对接源_02物料!$L$4:$L$1203,$AE91-1200))))</f>
        <v/>
      </c>
      <c r="J91" s="47" t="str">
        <f aca="false"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44" t="str">
        <f aca="false">IFERROR(MATCH(86,_自动清单!$AG$4:$AG$2403,0),"")</f>
        <v/>
      </c>
    </row>
    <row r="92" customFormat="false" ht="18" hidden="false" customHeight="true" outlineLevel="0" collapsed="false">
      <c r="A92" s="40" t="str">
        <f aca="false"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41" t="str">
        <f aca="false"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42" t="str">
        <f aca="false"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41" t="str">
        <f aca="false"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55" t="str">
        <f aca="false"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41" t="str">
        <f aca="false"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5" t="str">
        <f aca="false">IF($AE92="","",IF(IF($AE92&lt;=1200,N(INDEX(对接源_01水果!$H$4:$H$1203,$AE92)),N(INDEX(对接源_02物料!$H$4:$H$1203,$AE92-1200)))=0,"",ROUND(IF($AE92&lt;=1200,N(INDEX(对接源_01水果!$K$4:$K$1203,$AE92)),N(INDEX(对接源_02物料!$K$4:$K$1203,$AE92-1200)))/IF($AE92&lt;=1200,N(INDEX(对接源_01水果!$H$4:$H$1203,$AE92)),N(INDEX(对接源_02物料!$H$4:$H$1203,$AE92-1200))),2)))</f>
        <v/>
      </c>
      <c r="H92" s="55" t="str">
        <f aca="false">IF($AE92="","",IF($AE92&lt;=1200,IF(INDEX(对接源_01水果!$K$4:$K$1203,$AE92)=0,"",INDEX(对接源_01水果!$K$4:$K$1203,$AE92)),IF(INDEX(对接源_02物料!$K$4:$K$1203,$AE92-1200)=0,"",INDEX(对接源_02物料!$K$4:$K$1203,$AE92-1200))))</f>
        <v/>
      </c>
      <c r="I92" s="41" t="str">
        <f aca="false">IF($AE92="","",IF($AE92&lt;=1200,IF(INDEX(对接源_01水果!$L$4:$L$1203,$AE92)=0,"",INDEX(对接源_01水果!$L$4:$L$1203,$AE92)),IF(INDEX(对接源_02物料!$L$4:$L$1203,$AE92-1200)=0,"",INDEX(对接源_02物料!$L$4:$L$1203,$AE92-1200))))</f>
        <v/>
      </c>
      <c r="J92" s="42" t="str">
        <f aca="false"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44" t="str">
        <f aca="false">IFERROR(MATCH(87,_自动清单!$AG$4:$AG$2403,0),"")</f>
        <v/>
      </c>
    </row>
    <row r="93" customFormat="false" ht="18" hidden="false" customHeight="true" outlineLevel="0" collapsed="false">
      <c r="A93" s="45" t="str">
        <f aca="false"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46" t="str">
        <f aca="false"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47" t="str">
        <f aca="false"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46" t="str">
        <f aca="false">IF($AE93="","",IF($AE93&lt;=1200,IF(INDEX(对接源_01水果!$G$4:$G$1203,$AE93)=0,"",INDEX(对接源_01水果!$G$4:$G$1203,$AE93)),IF(INDEX(对接源_02物料!$G$4:$G$1203,$AE93-1200)=0,"",INDEX(对接源_02物料!$G$4:$G$1203,$AE93-1200))))</f>
        <v/>
      </c>
      <c r="E93" s="56" t="str">
        <f aca="false"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46" t="str">
        <f aca="false"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56" t="str">
        <f aca="false">IF($AE93="","",IF(IF($AE93&lt;=1200,N(INDEX(对接源_01水果!$H$4:$H$1203,$AE93)),N(INDEX(对接源_02物料!$H$4:$H$1203,$AE93-1200)))=0,"",ROUND(IF($AE93&lt;=1200,N(INDEX(对接源_01水果!$K$4:$K$1203,$AE93)),N(INDEX(对接源_02物料!$K$4:$K$1203,$AE93-1200)))/IF($AE93&lt;=1200,N(INDEX(对接源_01水果!$H$4:$H$1203,$AE93)),N(INDEX(对接源_02物料!$H$4:$H$1203,$AE93-1200))),2)))</f>
        <v/>
      </c>
      <c r="H93" s="56" t="str">
        <f aca="false">IF($AE93="","",IF($AE93&lt;=1200,IF(INDEX(对接源_01水果!$K$4:$K$1203,$AE93)=0,"",INDEX(对接源_01水果!$K$4:$K$1203,$AE93)),IF(INDEX(对接源_02物料!$K$4:$K$1203,$AE93-1200)=0,"",INDEX(对接源_02物料!$K$4:$K$1203,$AE93-1200))))</f>
        <v/>
      </c>
      <c r="I93" s="46" t="str">
        <f aca="false">IF($AE93="","",IF($AE93&lt;=1200,IF(INDEX(对接源_01水果!$L$4:$L$1203,$AE93)=0,"",INDEX(对接源_01水果!$L$4:$L$1203,$AE93)),IF(INDEX(对接源_02物料!$L$4:$L$1203,$AE93-1200)=0,"",INDEX(对接源_02物料!$L$4:$L$1203,$AE93-1200))))</f>
        <v/>
      </c>
      <c r="J93" s="47" t="str">
        <f aca="false"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44" t="str">
        <f aca="false">IFERROR(MATCH(88,_自动清单!$AG$4:$AG$2403,0),"")</f>
        <v/>
      </c>
    </row>
    <row r="94" customFormat="false" ht="18" hidden="false" customHeight="true" outlineLevel="0" collapsed="false">
      <c r="A94" s="40" t="str">
        <f aca="false"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41" t="str">
        <f aca="false"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42" t="str">
        <f aca="false"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41" t="str">
        <f aca="false"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55" t="str">
        <f aca="false"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41" t="str">
        <f aca="false"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5" t="str">
        <f aca="false">IF($AE94="","",IF(IF($AE94&lt;=1200,N(INDEX(对接源_01水果!$H$4:$H$1203,$AE94)),N(INDEX(对接源_02物料!$H$4:$H$1203,$AE94-1200)))=0,"",ROUND(IF($AE94&lt;=1200,N(INDEX(对接源_01水果!$K$4:$K$1203,$AE94)),N(INDEX(对接源_02物料!$K$4:$K$1203,$AE94-1200)))/IF($AE94&lt;=1200,N(INDEX(对接源_01水果!$H$4:$H$1203,$AE94)),N(INDEX(对接源_02物料!$H$4:$H$1203,$AE94-1200))),2)))</f>
        <v/>
      </c>
      <c r="H94" s="55" t="str">
        <f aca="false">IF($AE94="","",IF($AE94&lt;=1200,IF(INDEX(对接源_01水果!$K$4:$K$1203,$AE94)=0,"",INDEX(对接源_01水果!$K$4:$K$1203,$AE94)),IF(INDEX(对接源_02物料!$K$4:$K$1203,$AE94-1200)=0,"",INDEX(对接源_02物料!$K$4:$K$1203,$AE94-1200))))</f>
        <v/>
      </c>
      <c r="I94" s="41" t="str">
        <f aca="false">IF($AE94="","",IF($AE94&lt;=1200,IF(INDEX(对接源_01水果!$L$4:$L$1203,$AE94)=0,"",INDEX(对接源_01水果!$L$4:$L$1203,$AE94)),IF(INDEX(对接源_02物料!$L$4:$L$1203,$AE94-1200)=0,"",INDEX(对接源_02物料!$L$4:$L$1203,$AE94-1200))))</f>
        <v/>
      </c>
      <c r="J94" s="42" t="str">
        <f aca="false"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44" t="str">
        <f aca="false">IFERROR(MATCH(89,_自动清单!$AG$4:$AG$2403,0),"")</f>
        <v/>
      </c>
    </row>
    <row r="95" customFormat="false" ht="18" hidden="false" customHeight="true" outlineLevel="0" collapsed="false">
      <c r="A95" s="45" t="str">
        <f aca="false"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46" t="str">
        <f aca="false"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47" t="str">
        <f aca="false"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46" t="str">
        <f aca="false"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56" t="str">
        <f aca="false"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46" t="str">
        <f aca="false"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56" t="str">
        <f aca="false">IF($AE95="","",IF(IF($AE95&lt;=1200,N(INDEX(对接源_01水果!$H$4:$H$1203,$AE95)),N(INDEX(对接源_02物料!$H$4:$H$1203,$AE95-1200)))=0,"",ROUND(IF($AE95&lt;=1200,N(INDEX(对接源_01水果!$K$4:$K$1203,$AE95)),N(INDEX(对接源_02物料!$K$4:$K$1203,$AE95-1200)))/IF($AE95&lt;=1200,N(INDEX(对接源_01水果!$H$4:$H$1203,$AE95)),N(INDEX(对接源_02物料!$H$4:$H$1203,$AE95-1200))),2)))</f>
        <v/>
      </c>
      <c r="H95" s="56" t="str">
        <f aca="false">IF($AE95="","",IF($AE95&lt;=1200,IF(INDEX(对接源_01水果!$K$4:$K$1203,$AE95)=0,"",INDEX(对接源_01水果!$K$4:$K$1203,$AE95)),IF(INDEX(对接源_02物料!$K$4:$K$1203,$AE95-1200)=0,"",INDEX(对接源_02物料!$K$4:$K$1203,$AE95-1200))))</f>
        <v/>
      </c>
      <c r="I95" s="46" t="str">
        <f aca="false">IF($AE95="","",IF($AE95&lt;=1200,IF(INDEX(对接源_01水果!$L$4:$L$1203,$AE95)=0,"",INDEX(对接源_01水果!$L$4:$L$1203,$AE95)),IF(INDEX(对接源_02物料!$L$4:$L$1203,$AE95-1200)=0,"",INDEX(对接源_02物料!$L$4:$L$1203,$AE95-1200))))</f>
        <v/>
      </c>
      <c r="J95" s="47" t="str">
        <f aca="false"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44" t="str">
        <f aca="false">IFERROR(MATCH(90,_自动清单!$AG$4:$AG$2403,0),"")</f>
        <v/>
      </c>
    </row>
    <row r="96" customFormat="false" ht="18" hidden="false" customHeight="true" outlineLevel="0" collapsed="false">
      <c r="A96" s="40" t="str">
        <f aca="false"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41" t="str">
        <f aca="false"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42" t="str">
        <f aca="false"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41" t="str">
        <f aca="false"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55" t="str">
        <f aca="false"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41" t="str">
        <f aca="false"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5" t="str">
        <f aca="false">IF($AE96="","",IF(IF($AE96&lt;=1200,N(INDEX(对接源_01水果!$H$4:$H$1203,$AE96)),N(INDEX(对接源_02物料!$H$4:$H$1203,$AE96-1200)))=0,"",ROUND(IF($AE96&lt;=1200,N(INDEX(对接源_01水果!$K$4:$K$1203,$AE96)),N(INDEX(对接源_02物料!$K$4:$K$1203,$AE96-1200)))/IF($AE96&lt;=1200,N(INDEX(对接源_01水果!$H$4:$H$1203,$AE96)),N(INDEX(对接源_02物料!$H$4:$H$1203,$AE96-1200))),2)))</f>
        <v/>
      </c>
      <c r="H96" s="55" t="str">
        <f aca="false">IF($AE96="","",IF($AE96&lt;=1200,IF(INDEX(对接源_01水果!$K$4:$K$1203,$AE96)=0,"",INDEX(对接源_01水果!$K$4:$K$1203,$AE96)),IF(INDEX(对接源_02物料!$K$4:$K$1203,$AE96-1200)=0,"",INDEX(对接源_02物料!$K$4:$K$1203,$AE96-1200))))</f>
        <v/>
      </c>
      <c r="I96" s="41" t="str">
        <f aca="false">IF($AE96="","",IF($AE96&lt;=1200,IF(INDEX(对接源_01水果!$L$4:$L$1203,$AE96)=0,"",INDEX(对接源_01水果!$L$4:$L$1203,$AE96)),IF(INDEX(对接源_02物料!$L$4:$L$1203,$AE96-1200)=0,"",INDEX(对接源_02物料!$L$4:$L$1203,$AE96-1200))))</f>
        <v/>
      </c>
      <c r="J96" s="42" t="str">
        <f aca="false"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44" t="str">
        <f aca="false">IFERROR(MATCH(91,_自动清单!$AG$4:$AG$2403,0),"")</f>
        <v/>
      </c>
    </row>
    <row r="97" customFormat="false" ht="18" hidden="false" customHeight="true" outlineLevel="0" collapsed="false">
      <c r="A97" s="45" t="str">
        <f aca="false"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46" t="str">
        <f aca="false"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47" t="str">
        <f aca="false"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46" t="str">
        <f aca="false">IF($AE97="","",IF($AE97&lt;=1200,IF(INDEX(对接源_01水果!$G$4:$G$1203,$AE97)=0,"",INDEX(对接源_01水果!$G$4:$G$1203,$AE97)),IF(INDEX(对接源_02物料!$G$4:$G$1203,$AE97-1200)=0,"",INDEX(对接源_02物料!$G$4:$G$1203,$AE97-1200))))</f>
        <v/>
      </c>
      <c r="E97" s="56" t="str">
        <f aca="false"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46" t="str">
        <f aca="false"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56" t="str">
        <f aca="false">IF($AE97="","",IF(IF($AE97&lt;=1200,N(INDEX(对接源_01水果!$H$4:$H$1203,$AE97)),N(INDEX(对接源_02物料!$H$4:$H$1203,$AE97-1200)))=0,"",ROUND(IF($AE97&lt;=1200,N(INDEX(对接源_01水果!$K$4:$K$1203,$AE97)),N(INDEX(对接源_02物料!$K$4:$K$1203,$AE97-1200)))/IF($AE97&lt;=1200,N(INDEX(对接源_01水果!$H$4:$H$1203,$AE97)),N(INDEX(对接源_02物料!$H$4:$H$1203,$AE97-1200))),2)))</f>
        <v/>
      </c>
      <c r="H97" s="56" t="str">
        <f aca="false">IF($AE97="","",IF($AE97&lt;=1200,IF(INDEX(对接源_01水果!$K$4:$K$1203,$AE97)=0,"",INDEX(对接源_01水果!$K$4:$K$1203,$AE97)),IF(INDEX(对接源_02物料!$K$4:$K$1203,$AE97-1200)=0,"",INDEX(对接源_02物料!$K$4:$K$1203,$AE97-1200))))</f>
        <v/>
      </c>
      <c r="I97" s="46" t="str">
        <f aca="false">IF($AE97="","",IF($AE97&lt;=1200,IF(INDEX(对接源_01水果!$L$4:$L$1203,$AE97)=0,"",INDEX(对接源_01水果!$L$4:$L$1203,$AE97)),IF(INDEX(对接源_02物料!$L$4:$L$1203,$AE97-1200)=0,"",INDEX(对接源_02物料!$L$4:$L$1203,$AE97-1200))))</f>
        <v/>
      </c>
      <c r="J97" s="47" t="str">
        <f aca="false"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44" t="str">
        <f aca="false">IFERROR(MATCH(92,_自动清单!$AG$4:$AG$2403,0),"")</f>
        <v/>
      </c>
    </row>
    <row r="98" customFormat="false" ht="18" hidden="false" customHeight="true" outlineLevel="0" collapsed="false">
      <c r="A98" s="40" t="str">
        <f aca="false"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41" t="str">
        <f aca="false"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42" t="str">
        <f aca="false"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41" t="str">
        <f aca="false"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55" t="str">
        <f aca="false"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41" t="str">
        <f aca="false"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5" t="str">
        <f aca="false">IF($AE98="","",IF(IF($AE98&lt;=1200,N(INDEX(对接源_01水果!$H$4:$H$1203,$AE98)),N(INDEX(对接源_02物料!$H$4:$H$1203,$AE98-1200)))=0,"",ROUND(IF($AE98&lt;=1200,N(INDEX(对接源_01水果!$K$4:$K$1203,$AE98)),N(INDEX(对接源_02物料!$K$4:$K$1203,$AE98-1200)))/IF($AE98&lt;=1200,N(INDEX(对接源_01水果!$H$4:$H$1203,$AE98)),N(INDEX(对接源_02物料!$H$4:$H$1203,$AE98-1200))),2)))</f>
        <v/>
      </c>
      <c r="H98" s="55" t="str">
        <f aca="false">IF($AE98="","",IF($AE98&lt;=1200,IF(INDEX(对接源_01水果!$K$4:$K$1203,$AE98)=0,"",INDEX(对接源_01水果!$K$4:$K$1203,$AE98)),IF(INDEX(对接源_02物料!$K$4:$K$1203,$AE98-1200)=0,"",INDEX(对接源_02物料!$K$4:$K$1203,$AE98-1200))))</f>
        <v/>
      </c>
      <c r="I98" s="41" t="str">
        <f aca="false">IF($AE98="","",IF($AE98&lt;=1200,IF(INDEX(对接源_01水果!$L$4:$L$1203,$AE98)=0,"",INDEX(对接源_01水果!$L$4:$L$1203,$AE98)),IF(INDEX(对接源_02物料!$L$4:$L$1203,$AE98-1200)=0,"",INDEX(对接源_02物料!$L$4:$L$1203,$AE98-1200))))</f>
        <v/>
      </c>
      <c r="J98" s="42" t="str">
        <f aca="false"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44" t="str">
        <f aca="false">IFERROR(MATCH(93,_自动清单!$AG$4:$AG$2403,0),"")</f>
        <v/>
      </c>
    </row>
    <row r="99" customFormat="false" ht="18" hidden="false" customHeight="true" outlineLevel="0" collapsed="false">
      <c r="A99" s="45" t="str">
        <f aca="false"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46" t="str">
        <f aca="false"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47" t="str">
        <f aca="false"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46" t="str">
        <f aca="false"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56" t="str">
        <f aca="false"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46" t="str">
        <f aca="false"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56" t="str">
        <f aca="false">IF($AE99="","",IF(IF($AE99&lt;=1200,N(INDEX(对接源_01水果!$H$4:$H$1203,$AE99)),N(INDEX(对接源_02物料!$H$4:$H$1203,$AE99-1200)))=0,"",ROUND(IF($AE99&lt;=1200,N(INDEX(对接源_01水果!$K$4:$K$1203,$AE99)),N(INDEX(对接源_02物料!$K$4:$K$1203,$AE99-1200)))/IF($AE99&lt;=1200,N(INDEX(对接源_01水果!$H$4:$H$1203,$AE99)),N(INDEX(对接源_02物料!$H$4:$H$1203,$AE99-1200))),2)))</f>
        <v/>
      </c>
      <c r="H99" s="56" t="str">
        <f aca="false">IF($AE99="","",IF($AE99&lt;=1200,IF(INDEX(对接源_01水果!$K$4:$K$1203,$AE99)=0,"",INDEX(对接源_01水果!$K$4:$K$1203,$AE99)),IF(INDEX(对接源_02物料!$K$4:$K$1203,$AE99-1200)=0,"",INDEX(对接源_02物料!$K$4:$K$1203,$AE99-1200))))</f>
        <v/>
      </c>
      <c r="I99" s="46" t="str">
        <f aca="false">IF($AE99="","",IF($AE99&lt;=1200,IF(INDEX(对接源_01水果!$L$4:$L$1203,$AE99)=0,"",INDEX(对接源_01水果!$L$4:$L$1203,$AE99)),IF(INDEX(对接源_02物料!$L$4:$L$1203,$AE99-1200)=0,"",INDEX(对接源_02物料!$L$4:$L$1203,$AE99-1200))))</f>
        <v/>
      </c>
      <c r="J99" s="47" t="str">
        <f aca="false"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44" t="str">
        <f aca="false">IFERROR(MATCH(94,_自动清单!$AG$4:$AG$2403,0),"")</f>
        <v/>
      </c>
    </row>
    <row r="100" customFormat="false" ht="18" hidden="false" customHeight="true" outlineLevel="0" collapsed="false">
      <c r="A100" s="40" t="str">
        <f aca="false"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41" t="str">
        <f aca="false"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42" t="str">
        <f aca="false"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41" t="str">
        <f aca="false"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55" t="str">
        <f aca="false"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41" t="str">
        <f aca="false"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5" t="str">
        <f aca="false">IF($AE100="","",IF(IF($AE100&lt;=1200,N(INDEX(对接源_01水果!$H$4:$H$1203,$AE100)),N(INDEX(对接源_02物料!$H$4:$H$1203,$AE100-1200)))=0,"",ROUND(IF($AE100&lt;=1200,N(INDEX(对接源_01水果!$K$4:$K$1203,$AE100)),N(INDEX(对接源_02物料!$K$4:$K$1203,$AE100-1200)))/IF($AE100&lt;=1200,N(INDEX(对接源_01水果!$H$4:$H$1203,$AE100)),N(INDEX(对接源_02物料!$H$4:$H$1203,$AE100-1200))),2)))</f>
        <v/>
      </c>
      <c r="H100" s="55" t="str">
        <f aca="false">IF($AE100="","",IF($AE100&lt;=1200,IF(INDEX(对接源_01水果!$K$4:$K$1203,$AE100)=0,"",INDEX(对接源_01水果!$K$4:$K$1203,$AE100)),IF(INDEX(对接源_02物料!$K$4:$K$1203,$AE100-1200)=0,"",INDEX(对接源_02物料!$K$4:$K$1203,$AE100-1200))))</f>
        <v/>
      </c>
      <c r="I100" s="41" t="str">
        <f aca="false">IF($AE100="","",IF($AE100&lt;=1200,IF(INDEX(对接源_01水果!$L$4:$L$1203,$AE100)=0,"",INDEX(对接源_01水果!$L$4:$L$1203,$AE100)),IF(INDEX(对接源_02物料!$L$4:$L$1203,$AE100-1200)=0,"",INDEX(对接源_02物料!$L$4:$L$1203,$AE100-1200))))</f>
        <v/>
      </c>
      <c r="J100" s="42" t="str">
        <f aca="false"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44" t="str">
        <f aca="false">IFERROR(MATCH(95,_自动清单!$AG$4:$AG$2403,0),"")</f>
        <v/>
      </c>
    </row>
    <row r="101" customFormat="false" ht="18" hidden="false" customHeight="true" outlineLevel="0" collapsed="false">
      <c r="A101" s="45" t="str">
        <f aca="false"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46" t="str">
        <f aca="false"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47" t="str">
        <f aca="false"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46" t="str">
        <f aca="false">IF($AE101="","",IF($AE101&lt;=1200,IF(INDEX(对接源_01水果!$G$4:$G$1203,$AE101)=0,"",INDEX(对接源_01水果!$G$4:$G$1203,$AE101)),IF(INDEX(对接源_02物料!$G$4:$G$1203,$AE101-1200)=0,"",INDEX(对接源_02物料!$G$4:$G$1203,$AE101-1200))))</f>
        <v/>
      </c>
      <c r="E101" s="56" t="str">
        <f aca="false"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46" t="str">
        <f aca="false"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56" t="str">
        <f aca="false">IF($AE101="","",IF(IF($AE101&lt;=1200,N(INDEX(对接源_01水果!$H$4:$H$1203,$AE101)),N(INDEX(对接源_02物料!$H$4:$H$1203,$AE101-1200)))=0,"",ROUND(IF($AE101&lt;=1200,N(INDEX(对接源_01水果!$K$4:$K$1203,$AE101)),N(INDEX(对接源_02物料!$K$4:$K$1203,$AE101-1200)))/IF($AE101&lt;=1200,N(INDEX(对接源_01水果!$H$4:$H$1203,$AE101)),N(INDEX(对接源_02物料!$H$4:$H$1203,$AE101-1200))),2)))</f>
        <v/>
      </c>
      <c r="H101" s="56" t="str">
        <f aca="false">IF($AE101="","",IF($AE101&lt;=1200,IF(INDEX(对接源_01水果!$K$4:$K$1203,$AE101)=0,"",INDEX(对接源_01水果!$K$4:$K$1203,$AE101)),IF(INDEX(对接源_02物料!$K$4:$K$1203,$AE101-1200)=0,"",INDEX(对接源_02物料!$K$4:$K$1203,$AE101-1200))))</f>
        <v/>
      </c>
      <c r="I101" s="46" t="str">
        <f aca="false">IF($AE101="","",IF($AE101&lt;=1200,IF(INDEX(对接源_01水果!$L$4:$L$1203,$AE101)=0,"",INDEX(对接源_01水果!$L$4:$L$1203,$AE101)),IF(INDEX(对接源_02物料!$L$4:$L$1203,$AE101-1200)=0,"",INDEX(对接源_02物料!$L$4:$L$1203,$AE101-1200))))</f>
        <v/>
      </c>
      <c r="J101" s="47" t="str">
        <f aca="false"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44" t="str">
        <f aca="false">IFERROR(MATCH(96,_自动清单!$AG$4:$AG$2403,0),"")</f>
        <v/>
      </c>
    </row>
    <row r="102" customFormat="false" ht="18" hidden="false" customHeight="true" outlineLevel="0" collapsed="false">
      <c r="A102" s="40" t="str">
        <f aca="false"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41" t="str">
        <f aca="false"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42" t="str">
        <f aca="false"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41" t="str">
        <f aca="false"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55" t="str">
        <f aca="false"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41" t="str">
        <f aca="false"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5" t="str">
        <f aca="false">IF($AE102="","",IF(IF($AE102&lt;=1200,N(INDEX(对接源_01水果!$H$4:$H$1203,$AE102)),N(INDEX(对接源_02物料!$H$4:$H$1203,$AE102-1200)))=0,"",ROUND(IF($AE102&lt;=1200,N(INDEX(对接源_01水果!$K$4:$K$1203,$AE102)),N(INDEX(对接源_02物料!$K$4:$K$1203,$AE102-1200)))/IF($AE102&lt;=1200,N(INDEX(对接源_01水果!$H$4:$H$1203,$AE102)),N(INDEX(对接源_02物料!$H$4:$H$1203,$AE102-1200))),2)))</f>
        <v/>
      </c>
      <c r="H102" s="55" t="str">
        <f aca="false">IF($AE102="","",IF($AE102&lt;=1200,IF(INDEX(对接源_01水果!$K$4:$K$1203,$AE102)=0,"",INDEX(对接源_01水果!$K$4:$K$1203,$AE102)),IF(INDEX(对接源_02物料!$K$4:$K$1203,$AE102-1200)=0,"",INDEX(对接源_02物料!$K$4:$K$1203,$AE102-1200))))</f>
        <v/>
      </c>
      <c r="I102" s="41" t="str">
        <f aca="false">IF($AE102="","",IF($AE102&lt;=1200,IF(INDEX(对接源_01水果!$L$4:$L$1203,$AE102)=0,"",INDEX(对接源_01水果!$L$4:$L$1203,$AE102)),IF(INDEX(对接源_02物料!$L$4:$L$1203,$AE102-1200)=0,"",INDEX(对接源_02物料!$L$4:$L$1203,$AE102-1200))))</f>
        <v/>
      </c>
      <c r="J102" s="42" t="str">
        <f aca="false"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44" t="str">
        <f aca="false">IFERROR(MATCH(97,_自动清单!$AG$4:$AG$2403,0),"")</f>
        <v/>
      </c>
    </row>
    <row r="103" customFormat="false" ht="18" hidden="false" customHeight="true" outlineLevel="0" collapsed="false">
      <c r="A103" s="45" t="str">
        <f aca="false"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46" t="str">
        <f aca="false"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47" t="str">
        <f aca="false"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46" t="str">
        <f aca="false"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56" t="str">
        <f aca="false"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46" t="str">
        <f aca="false"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56" t="str">
        <f aca="false">IF($AE103="","",IF(IF($AE103&lt;=1200,N(INDEX(对接源_01水果!$H$4:$H$1203,$AE103)),N(INDEX(对接源_02物料!$H$4:$H$1203,$AE103-1200)))=0,"",ROUND(IF($AE103&lt;=1200,N(INDEX(对接源_01水果!$K$4:$K$1203,$AE103)),N(INDEX(对接源_02物料!$K$4:$K$1203,$AE103-1200)))/IF($AE103&lt;=1200,N(INDEX(对接源_01水果!$H$4:$H$1203,$AE103)),N(INDEX(对接源_02物料!$H$4:$H$1203,$AE103-1200))),2)))</f>
        <v/>
      </c>
      <c r="H103" s="56" t="str">
        <f aca="false">IF($AE103="","",IF($AE103&lt;=1200,IF(INDEX(对接源_01水果!$K$4:$K$1203,$AE103)=0,"",INDEX(对接源_01水果!$K$4:$K$1203,$AE103)),IF(INDEX(对接源_02物料!$K$4:$K$1203,$AE103-1200)=0,"",INDEX(对接源_02物料!$K$4:$K$1203,$AE103-1200))))</f>
        <v/>
      </c>
      <c r="I103" s="46" t="str">
        <f aca="false">IF($AE103="","",IF($AE103&lt;=1200,IF(INDEX(对接源_01水果!$L$4:$L$1203,$AE103)=0,"",INDEX(对接源_01水果!$L$4:$L$1203,$AE103)),IF(INDEX(对接源_02物料!$L$4:$L$1203,$AE103-1200)=0,"",INDEX(对接源_02物料!$L$4:$L$1203,$AE103-1200))))</f>
        <v/>
      </c>
      <c r="J103" s="47" t="str">
        <f aca="false"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44" t="str">
        <f aca="false">IFERROR(MATCH(98,_自动清单!$AG$4:$AG$2403,0),"")</f>
        <v/>
      </c>
    </row>
    <row r="104" customFormat="false" ht="18" hidden="false" customHeight="true" outlineLevel="0" collapsed="false">
      <c r="A104" s="40" t="str">
        <f aca="false"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41" t="str">
        <f aca="false"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42" t="str">
        <f aca="false"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41" t="str">
        <f aca="false"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55" t="str">
        <f aca="false"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41" t="str">
        <f aca="false"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5" t="str">
        <f aca="false">IF($AE104="","",IF(IF($AE104&lt;=1200,N(INDEX(对接源_01水果!$H$4:$H$1203,$AE104)),N(INDEX(对接源_02物料!$H$4:$H$1203,$AE104-1200)))=0,"",ROUND(IF($AE104&lt;=1200,N(INDEX(对接源_01水果!$K$4:$K$1203,$AE104)),N(INDEX(对接源_02物料!$K$4:$K$1203,$AE104-1200)))/IF($AE104&lt;=1200,N(INDEX(对接源_01水果!$H$4:$H$1203,$AE104)),N(INDEX(对接源_02物料!$H$4:$H$1203,$AE104-1200))),2)))</f>
        <v/>
      </c>
      <c r="H104" s="55" t="str">
        <f aca="false">IF($AE104="","",IF($AE104&lt;=1200,IF(INDEX(对接源_01水果!$K$4:$K$1203,$AE104)=0,"",INDEX(对接源_01水果!$K$4:$K$1203,$AE104)),IF(INDEX(对接源_02物料!$K$4:$K$1203,$AE104-1200)=0,"",INDEX(对接源_02物料!$K$4:$K$1203,$AE104-1200))))</f>
        <v/>
      </c>
      <c r="I104" s="41" t="str">
        <f aca="false">IF($AE104="","",IF($AE104&lt;=1200,IF(INDEX(对接源_01水果!$L$4:$L$1203,$AE104)=0,"",INDEX(对接源_01水果!$L$4:$L$1203,$AE104)),IF(INDEX(对接源_02物料!$L$4:$L$1203,$AE104-1200)=0,"",INDEX(对接源_02物料!$L$4:$L$1203,$AE104-1200))))</f>
        <v/>
      </c>
      <c r="J104" s="42" t="str">
        <f aca="false"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44" t="str">
        <f aca="false">IFERROR(MATCH(99,_自动清单!$AG$4:$AG$2403,0),"")</f>
        <v/>
      </c>
    </row>
    <row r="105" customFormat="false" ht="18" hidden="false" customHeight="true" outlineLevel="0" collapsed="false">
      <c r="A105" s="45" t="str">
        <f aca="false"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46" t="str">
        <f aca="false"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47" t="str">
        <f aca="false"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46" t="str">
        <f aca="false">IF($AE105="","",IF($AE105&lt;=1200,IF(INDEX(对接源_01水果!$G$4:$G$1203,$AE105)=0,"",INDEX(对接源_01水果!$G$4:$G$1203,$AE105)),IF(INDEX(对接源_02物料!$G$4:$G$1203,$AE105-1200)=0,"",INDEX(对接源_02物料!$G$4:$G$1203,$AE105-1200))))</f>
        <v/>
      </c>
      <c r="E105" s="56" t="str">
        <f aca="false"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46" t="str">
        <f aca="false"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56" t="str">
        <f aca="false">IF($AE105="","",IF(IF($AE105&lt;=1200,N(INDEX(对接源_01水果!$H$4:$H$1203,$AE105)),N(INDEX(对接源_02物料!$H$4:$H$1203,$AE105-1200)))=0,"",ROUND(IF($AE105&lt;=1200,N(INDEX(对接源_01水果!$K$4:$K$1203,$AE105)),N(INDEX(对接源_02物料!$K$4:$K$1203,$AE105-1200)))/IF($AE105&lt;=1200,N(INDEX(对接源_01水果!$H$4:$H$1203,$AE105)),N(INDEX(对接源_02物料!$H$4:$H$1203,$AE105-1200))),2)))</f>
        <v/>
      </c>
      <c r="H105" s="56" t="str">
        <f aca="false">IF($AE105="","",IF($AE105&lt;=1200,IF(INDEX(对接源_01水果!$K$4:$K$1203,$AE105)=0,"",INDEX(对接源_01水果!$K$4:$K$1203,$AE105)),IF(INDEX(对接源_02物料!$K$4:$K$1203,$AE105-1200)=0,"",INDEX(对接源_02物料!$K$4:$K$1203,$AE105-1200))))</f>
        <v/>
      </c>
      <c r="I105" s="46" t="str">
        <f aca="false">IF($AE105="","",IF($AE105&lt;=1200,IF(INDEX(对接源_01水果!$L$4:$L$1203,$AE105)=0,"",INDEX(对接源_01水果!$L$4:$L$1203,$AE105)),IF(INDEX(对接源_02物料!$L$4:$L$1203,$AE105-1200)=0,"",INDEX(对接源_02物料!$L$4:$L$1203,$AE105-1200))))</f>
        <v/>
      </c>
      <c r="J105" s="47" t="str">
        <f aca="false"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44" t="str">
        <f aca="false">IFERROR(MATCH(100,_自动清单!$AG$4:$AG$2403,0),"")</f>
        <v/>
      </c>
    </row>
    <row r="107" customFormat="false" ht="24" hidden="false" customHeight="true" outlineLevel="0" collapsed="false">
      <c r="A107" s="35" t="s">
        <v>173</v>
      </c>
      <c r="B107" s="35"/>
      <c r="C107" s="35"/>
      <c r="D107" s="35"/>
      <c r="E107" s="35"/>
      <c r="F107" s="35"/>
      <c r="G107" s="35"/>
      <c r="H107" s="70" t="n">
        <f aca="false">ROUND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,2)</f>
        <v>0</v>
      </c>
      <c r="I107" s="70"/>
      <c r="J107" s="70"/>
    </row>
    <row r="108" customFormat="false" ht="30" hidden="false" customHeight="true" outlineLevel="0" collapsed="false">
      <c r="A108" s="39" t="s">
        <v>81</v>
      </c>
      <c r="B108" s="39" t="s">
        <v>82</v>
      </c>
      <c r="C108" s="39" t="s">
        <v>83</v>
      </c>
      <c r="D108" s="39" t="s">
        <v>102</v>
      </c>
      <c r="E108" s="39" t="s">
        <v>84</v>
      </c>
      <c r="F108" s="39" t="s">
        <v>113</v>
      </c>
      <c r="G108" s="39" t="s">
        <v>169</v>
      </c>
      <c r="H108" s="39" t="s">
        <v>129</v>
      </c>
      <c r="I108" s="39" t="s">
        <v>170</v>
      </c>
      <c r="J108" s="39" t="s">
        <v>87</v>
      </c>
    </row>
    <row r="109" customFormat="false" ht="18" hidden="false" customHeight="true" outlineLevel="0" collapsed="false">
      <c r="A109" s="40" t="n">
        <f aca="false">IF($AF109="","",IF($AF109&lt;=1200,IF(INDEX(对接源_01水果!$B$4:$B$1203,$AF109)=0,"",INDEX(对接源_01水果!$B$4:$B$1203,$AF109)),IF(INDEX(对接源_02物料!$B$4:$B$1203,$AF109-1200)=0,"",INDEX(对接源_02物料!$B$4:$B$1203,$AF109-1200))))</f>
        <v>46279</v>
      </c>
      <c r="B109" s="41" t="str">
        <f aca="false">IF($AF109="","",IF($AF109&lt;=1200,IF(INDEX(对接源_01水果!$E$4:$E$1203,$AF109)=0,"",INDEX(对接源_01水果!$E$4:$E$1203,$AF109)),IF(INDEX(对接源_02物料!$E$4:$E$1203,$AF109-1200)=0,"",INDEX(对接源_02物料!$E$4:$E$1203,$AF109-1200))))</f>
        <v>NO:0001139</v>
      </c>
      <c r="C109" s="42" t="str">
        <f aca="false"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D109" s="42" t="str">
        <f aca="false">IF($AF109="","",IF($AF109&lt;=1200,IF(INDEX(对接源_01水果!$D$4:$D$1203,$AF109)=0,"",INDEX(对接源_01水果!$D$4:$D$1203,$AF109)),IF(INDEX(对接源_02物料!$D$4:$D$1203,$AF109-1200)=0,"",INDEX(对接源_02物料!$D$4:$D$1203,$AF109-1200))))</f>
        <v>原料出库－出库加工</v>
      </c>
      <c r="E109" s="55" t="n">
        <f aca="false">IF($AF109="","",IF($AF109&lt;=1200,IF(INDEX(对接源_01水果!$H$4:$H$1203,$AF109)=0,"",INDEX(对接源_01水果!$H$4:$H$1203,$AF109)),IF(INDEX(对接源_02物料!$H$4:$H$1203,$AF109-1200)=0,"",INDEX(对接源_02物料!$H$4:$H$1203,$AF109-1200))))</f>
        <v>1</v>
      </c>
      <c r="F109" s="41" t="str">
        <f aca="false">IF($AF109="","",IF($AF109&lt;=1200,IF(INDEX(对接源_01水果!$I$4:$I$1203,$AF109)=0,"",INDEX(对接源_01水果!$I$4:$I$1203,$AF109)),IF(INDEX(对接源_02物料!$I$4:$I$1203,$AF109-1200)=0,"",INDEX(对接源_02物料!$I$4:$I$1203,$AF109-1200))))</f>
        <v>筐</v>
      </c>
      <c r="G109" s="55" t="n">
        <f aca="false">IF($AF109="","",IF(IF($AF109&lt;=1200,N(INDEX(对接源_01水果!$H$4:$H$1203,$AF109)),N(INDEX(对接源_02物料!$H$4:$H$1203,$AF109-1200)))=0,"",ROUND(IF($AF109&lt;=1200,N(INDEX(对接源_01水果!$K$4:$K$1203,$AF109)),N(INDEX(对接源_02物料!$K$4:$K$1203,$AF109-1200)))/IF($AF109&lt;=1200,N(INDEX(对接源_01水果!$H$4:$H$1203,$AF109)),N(INDEX(对接源_02物料!$H$4:$H$1203,$AF109-1200))),2)))</f>
        <v>0</v>
      </c>
      <c r="H109" s="55" t="str">
        <f aca="false">IF($AF109="","",IF($AF109&lt;=1200,IF(INDEX(对接源_01水果!$K$4:$K$1203,$AF109)=0,"",INDEX(对接源_01水果!$K$4:$K$1203,$AF109)),IF(INDEX(对接源_02物料!$K$4:$K$1203,$AF109-1200)=0,"",INDEX(对接源_02物料!$K$4:$K$1203,$AF109-1200))))</f>
        <v/>
      </c>
      <c r="I109" s="41" t="str">
        <f aca="false">IF($AF109="","",IF($AF109&lt;=1200,IF(INDEX(对接源_01水果!$L$4:$L$1203,$AF109)=0,"",INDEX(对接源_01水果!$L$4:$L$1203,$AF109)),IF(INDEX(对接源_02物料!$L$4:$L$1203,$AF109-1200)=0,"",INDEX(对接源_02物料!$L$4:$L$1203,$AF109-1200))))</f>
        <v/>
      </c>
      <c r="J109" s="42" t="str">
        <f aca="false"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44" t="n">
        <f aca="false">IFERROR(MATCH(1,_自动清单!$AI$4:$AI$2403,0),"")</f>
        <v>269</v>
      </c>
    </row>
    <row r="110" customFormat="false" ht="18" hidden="false" customHeight="true" outlineLevel="0" collapsed="false">
      <c r="A110" s="45" t="str">
        <f aca="false"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46" t="str">
        <f aca="false"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C110" s="47" t="str">
        <f aca="false"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D110" s="47" t="str">
        <f aca="false">IF($AF110="","",IF($AF110&lt;=1200,IF(INDEX(对接源_01水果!$D$4:$D$1203,$AF110)=0,"",INDEX(对接源_01水果!$D$4:$D$1203,$AF110)),IF(INDEX(对接源_02物料!$D$4:$D$1203,$AF110-1200)=0,"",INDEX(对接源_02物料!$D$4:$D$1203,$AF110-1200))))</f>
        <v/>
      </c>
      <c r="E110" s="56" t="str">
        <f aca="false">IF($AF110="","",IF($AF110&lt;=1200,IF(INDEX(对接源_01水果!$H$4:$H$1203,$AF110)=0,"",INDEX(对接源_01水果!$H$4:$H$1203,$AF110)),IF(INDEX(对接源_02物料!$H$4:$H$1203,$AF110-1200)=0,"",INDEX(对接源_02物料!$H$4:$H$1203,$AF110-1200))))</f>
        <v/>
      </c>
      <c r="F110" s="46" t="str">
        <f aca="false">IF($AF110="","",IF($AF110&lt;=1200,IF(INDEX(对接源_01水果!$I$4:$I$1203,$AF110)=0,"",INDEX(对接源_01水果!$I$4:$I$1203,$AF110)),IF(INDEX(对接源_02物料!$I$4:$I$1203,$AF110-1200)=0,"",INDEX(对接源_02物料!$I$4:$I$1203,$AF110-1200))))</f>
        <v/>
      </c>
      <c r="G110" s="56" t="str">
        <f aca="false">IF($AF110="","",IF(IF($AF110&lt;=1200,N(INDEX(对接源_01水果!$H$4:$H$1203,$AF110)),N(INDEX(对接源_02物料!$H$4:$H$1203,$AF110-1200)))=0,"",ROUND(IF($AF110&lt;=1200,N(INDEX(对接源_01水果!$K$4:$K$1203,$AF110)),N(INDEX(对接源_02物料!$K$4:$K$1203,$AF110-1200)))/IF($AF110&lt;=1200,N(INDEX(对接源_01水果!$H$4:$H$1203,$AF110)),N(INDEX(对接源_02物料!$H$4:$H$1203,$AF110-1200))),2)))</f>
        <v/>
      </c>
      <c r="H110" s="56" t="str">
        <f aca="false">IF($AF110="","",IF($AF110&lt;=1200,IF(INDEX(对接源_01水果!$K$4:$K$1203,$AF110)=0,"",INDEX(对接源_01水果!$K$4:$K$1203,$AF110)),IF(INDEX(对接源_02物料!$K$4:$K$1203,$AF110-1200)=0,"",INDEX(对接源_02物料!$K$4:$K$1203,$AF110-1200))))</f>
        <v/>
      </c>
      <c r="I110" s="46" t="str">
        <f aca="false">IF($AF110="","",IF($AF110&lt;=1200,IF(INDEX(对接源_01水果!$L$4:$L$1203,$AF110)=0,"",INDEX(对接源_01水果!$L$4:$L$1203,$AF110)),IF(INDEX(对接源_02物料!$L$4:$L$1203,$AF110-1200)=0,"",INDEX(对接源_02物料!$L$4:$L$1203,$AF110-1200))))</f>
        <v/>
      </c>
      <c r="J110" s="47" t="str">
        <f aca="false"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44" t="str">
        <f aca="false">IFERROR(MATCH(2,_自动清单!$AI$4:$AI$2403,0),"")</f>
        <v/>
      </c>
    </row>
    <row r="111" customFormat="false" ht="18" hidden="false" customHeight="true" outlineLevel="0" collapsed="false">
      <c r="A111" s="40" t="str">
        <f aca="false"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41" t="str">
        <f aca="false"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C111" s="42" t="str">
        <f aca="false"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D111" s="42" t="str">
        <f aca="false">IF($AF111="","",IF($AF111&lt;=1200,IF(INDEX(对接源_01水果!$D$4:$D$1203,$AF111)=0,"",INDEX(对接源_01水果!$D$4:$D$1203,$AF111)),IF(INDEX(对接源_02物料!$D$4:$D$1203,$AF111-1200)=0,"",INDEX(对接源_02物料!$D$4:$D$1203,$AF111-1200))))</f>
        <v/>
      </c>
      <c r="E111" s="55" t="str">
        <f aca="false">IF($AF111="","",IF($AF111&lt;=1200,IF(INDEX(对接源_01水果!$H$4:$H$1203,$AF111)=0,"",INDEX(对接源_01水果!$H$4:$H$1203,$AF111)),IF(INDEX(对接源_02物料!$H$4:$H$1203,$AF111-1200)=0,"",INDEX(对接源_02物料!$H$4:$H$1203,$AF111-1200))))</f>
        <v/>
      </c>
      <c r="F111" s="41" t="str">
        <f aca="false">IF($AF111="","",IF($AF111&lt;=1200,IF(INDEX(对接源_01水果!$I$4:$I$1203,$AF111)=0,"",INDEX(对接源_01水果!$I$4:$I$1203,$AF111)),IF(INDEX(对接源_02物料!$I$4:$I$1203,$AF111-1200)=0,"",INDEX(对接源_02物料!$I$4:$I$1203,$AF111-1200))))</f>
        <v/>
      </c>
      <c r="G111" s="55" t="str">
        <f aca="false">IF($AF111="","",IF(IF($AF111&lt;=1200,N(INDEX(对接源_01水果!$H$4:$H$1203,$AF111)),N(INDEX(对接源_02物料!$H$4:$H$1203,$AF111-1200)))=0,"",ROUND(IF($AF111&lt;=1200,N(INDEX(对接源_01水果!$K$4:$K$1203,$AF111)),N(INDEX(对接源_02物料!$K$4:$K$1203,$AF111-1200)))/IF($AF111&lt;=1200,N(INDEX(对接源_01水果!$H$4:$H$1203,$AF111)),N(INDEX(对接源_02物料!$H$4:$H$1203,$AF111-1200))),2)))</f>
        <v/>
      </c>
      <c r="H111" s="55" t="str">
        <f aca="false">IF($AF111="","",IF($AF111&lt;=1200,IF(INDEX(对接源_01水果!$K$4:$K$1203,$AF111)=0,"",INDEX(对接源_01水果!$K$4:$K$1203,$AF111)),IF(INDEX(对接源_02物料!$K$4:$K$1203,$AF111-1200)=0,"",INDEX(对接源_02物料!$K$4:$K$1203,$AF111-1200))))</f>
        <v/>
      </c>
      <c r="I111" s="41" t="str">
        <f aca="false">IF($AF111="","",IF($AF111&lt;=1200,IF(INDEX(对接源_01水果!$L$4:$L$1203,$AF111)=0,"",INDEX(对接源_01水果!$L$4:$L$1203,$AF111)),IF(INDEX(对接源_02物料!$L$4:$L$1203,$AF111-1200)=0,"",INDEX(对接源_02物料!$L$4:$L$1203,$AF111-1200))))</f>
        <v/>
      </c>
      <c r="J111" s="42" t="str">
        <f aca="false"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44" t="str">
        <f aca="false">IFERROR(MATCH(3,_自动清单!$AI$4:$AI$2403,0),"")</f>
        <v/>
      </c>
    </row>
    <row r="112" customFormat="false" ht="18" hidden="false" customHeight="true" outlineLevel="0" collapsed="false">
      <c r="A112" s="45" t="str">
        <f aca="false"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46" t="str">
        <f aca="false"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C112" s="47" t="str">
        <f aca="false"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D112" s="47" t="str">
        <f aca="false">IF($AF112="","",IF($AF112&lt;=1200,IF(INDEX(对接源_01水果!$D$4:$D$1203,$AF112)=0,"",INDEX(对接源_01水果!$D$4:$D$1203,$AF112)),IF(INDEX(对接源_02物料!$D$4:$D$1203,$AF112-1200)=0,"",INDEX(对接源_02物料!$D$4:$D$1203,$AF112-1200))))</f>
        <v/>
      </c>
      <c r="E112" s="56" t="str">
        <f aca="false">IF($AF112="","",IF($AF112&lt;=1200,IF(INDEX(对接源_01水果!$H$4:$H$1203,$AF112)=0,"",INDEX(对接源_01水果!$H$4:$H$1203,$AF112)),IF(INDEX(对接源_02物料!$H$4:$H$1203,$AF112-1200)=0,"",INDEX(对接源_02物料!$H$4:$H$1203,$AF112-1200))))</f>
        <v/>
      </c>
      <c r="F112" s="46" t="str">
        <f aca="false">IF($AF112="","",IF($AF112&lt;=1200,IF(INDEX(对接源_01水果!$I$4:$I$1203,$AF112)=0,"",INDEX(对接源_01水果!$I$4:$I$1203,$AF112)),IF(INDEX(对接源_02物料!$I$4:$I$1203,$AF112-1200)=0,"",INDEX(对接源_02物料!$I$4:$I$1203,$AF112-1200))))</f>
        <v/>
      </c>
      <c r="G112" s="56" t="str">
        <f aca="false">IF($AF112="","",IF(IF($AF112&lt;=1200,N(INDEX(对接源_01水果!$H$4:$H$1203,$AF112)),N(INDEX(对接源_02物料!$H$4:$H$1203,$AF112-1200)))=0,"",ROUND(IF($AF112&lt;=1200,N(INDEX(对接源_01水果!$K$4:$K$1203,$AF112)),N(INDEX(对接源_02物料!$K$4:$K$1203,$AF112-1200)))/IF($AF112&lt;=1200,N(INDEX(对接源_01水果!$H$4:$H$1203,$AF112)),N(INDEX(对接源_02物料!$H$4:$H$1203,$AF112-1200))),2)))</f>
        <v/>
      </c>
      <c r="H112" s="56" t="str">
        <f aca="false">IF($AF112="","",IF($AF112&lt;=1200,IF(INDEX(对接源_01水果!$K$4:$K$1203,$AF112)=0,"",INDEX(对接源_01水果!$K$4:$K$1203,$AF112)),IF(INDEX(对接源_02物料!$K$4:$K$1203,$AF112-1200)=0,"",INDEX(对接源_02物料!$K$4:$K$1203,$AF112-1200))))</f>
        <v/>
      </c>
      <c r="I112" s="46" t="str">
        <f aca="false">IF($AF112="","",IF($AF112&lt;=1200,IF(INDEX(对接源_01水果!$L$4:$L$1203,$AF112)=0,"",INDEX(对接源_01水果!$L$4:$L$1203,$AF112)),IF(INDEX(对接源_02物料!$L$4:$L$1203,$AF112-1200)=0,"",INDEX(对接源_02物料!$L$4:$L$1203,$AF112-1200))))</f>
        <v/>
      </c>
      <c r="J112" s="47" t="str">
        <f aca="false"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44" t="str">
        <f aca="false">IFERROR(MATCH(4,_自动清单!$AI$4:$AI$2403,0),"")</f>
        <v/>
      </c>
    </row>
    <row r="113" customFormat="false" ht="18" hidden="false" customHeight="true" outlineLevel="0" collapsed="false">
      <c r="A113" s="40" t="str">
        <f aca="false"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41" t="str">
        <f aca="false"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C113" s="42" t="str">
        <f aca="false"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D113" s="42" t="str">
        <f aca="false">IF($AF113="","",IF($AF113&lt;=1200,IF(INDEX(对接源_01水果!$D$4:$D$1203,$AF113)=0,"",INDEX(对接源_01水果!$D$4:$D$1203,$AF113)),IF(INDEX(对接源_02物料!$D$4:$D$1203,$AF113-1200)=0,"",INDEX(对接源_02物料!$D$4:$D$1203,$AF113-1200))))</f>
        <v/>
      </c>
      <c r="E113" s="55" t="str">
        <f aca="false">IF($AF113="","",IF($AF113&lt;=1200,IF(INDEX(对接源_01水果!$H$4:$H$1203,$AF113)=0,"",INDEX(对接源_01水果!$H$4:$H$1203,$AF113)),IF(INDEX(对接源_02物料!$H$4:$H$1203,$AF113-1200)=0,"",INDEX(对接源_02物料!$H$4:$H$1203,$AF113-1200))))</f>
        <v/>
      </c>
      <c r="F113" s="41" t="str">
        <f aca="false">IF($AF113="","",IF($AF113&lt;=1200,IF(INDEX(对接源_01水果!$I$4:$I$1203,$AF113)=0,"",INDEX(对接源_01水果!$I$4:$I$1203,$AF113)),IF(INDEX(对接源_02物料!$I$4:$I$1203,$AF113-1200)=0,"",INDEX(对接源_02物料!$I$4:$I$1203,$AF113-1200))))</f>
        <v/>
      </c>
      <c r="G113" s="55" t="str">
        <f aca="false">IF($AF113="","",IF(IF($AF113&lt;=1200,N(INDEX(对接源_01水果!$H$4:$H$1203,$AF113)),N(INDEX(对接源_02物料!$H$4:$H$1203,$AF113-1200)))=0,"",ROUND(IF($AF113&lt;=1200,N(INDEX(对接源_01水果!$K$4:$K$1203,$AF113)),N(INDEX(对接源_02物料!$K$4:$K$1203,$AF113-1200)))/IF($AF113&lt;=1200,N(INDEX(对接源_01水果!$H$4:$H$1203,$AF113)),N(INDEX(对接源_02物料!$H$4:$H$1203,$AF113-1200))),2)))</f>
        <v/>
      </c>
      <c r="H113" s="55" t="str">
        <f aca="false">IF($AF113="","",IF($AF113&lt;=1200,IF(INDEX(对接源_01水果!$K$4:$K$1203,$AF113)=0,"",INDEX(对接源_01水果!$K$4:$K$1203,$AF113)),IF(INDEX(对接源_02物料!$K$4:$K$1203,$AF113-1200)=0,"",INDEX(对接源_02物料!$K$4:$K$1203,$AF113-1200))))</f>
        <v/>
      </c>
      <c r="I113" s="41" t="str">
        <f aca="false">IF($AF113="","",IF($AF113&lt;=1200,IF(INDEX(对接源_01水果!$L$4:$L$1203,$AF113)=0,"",INDEX(对接源_01水果!$L$4:$L$1203,$AF113)),IF(INDEX(对接源_02物料!$L$4:$L$1203,$AF113-1200)=0,"",INDEX(对接源_02物料!$L$4:$L$1203,$AF113-1200))))</f>
        <v/>
      </c>
      <c r="J113" s="42" t="str">
        <f aca="false"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44" t="str">
        <f aca="false">IFERROR(MATCH(5,_自动清单!$AI$4:$AI$2403,0),"")</f>
        <v/>
      </c>
    </row>
    <row r="114" customFormat="false" ht="18" hidden="false" customHeight="true" outlineLevel="0" collapsed="false">
      <c r="A114" s="45" t="str">
        <f aca="false"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46" t="str">
        <f aca="false"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C114" s="47" t="str">
        <f aca="false"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D114" s="47" t="str">
        <f aca="false">IF($AF114="","",IF($AF114&lt;=1200,IF(INDEX(对接源_01水果!$D$4:$D$1203,$AF114)=0,"",INDEX(对接源_01水果!$D$4:$D$1203,$AF114)),IF(INDEX(对接源_02物料!$D$4:$D$1203,$AF114-1200)=0,"",INDEX(对接源_02物料!$D$4:$D$1203,$AF114-1200))))</f>
        <v/>
      </c>
      <c r="E114" s="56" t="str">
        <f aca="false">IF($AF114="","",IF($AF114&lt;=1200,IF(INDEX(对接源_01水果!$H$4:$H$1203,$AF114)=0,"",INDEX(对接源_01水果!$H$4:$H$1203,$AF114)),IF(INDEX(对接源_02物料!$H$4:$H$1203,$AF114-1200)=0,"",INDEX(对接源_02物料!$H$4:$H$1203,$AF114-1200))))</f>
        <v/>
      </c>
      <c r="F114" s="46" t="str">
        <f aca="false">IF($AF114="","",IF($AF114&lt;=1200,IF(INDEX(对接源_01水果!$I$4:$I$1203,$AF114)=0,"",INDEX(对接源_01水果!$I$4:$I$1203,$AF114)),IF(INDEX(对接源_02物料!$I$4:$I$1203,$AF114-1200)=0,"",INDEX(对接源_02物料!$I$4:$I$1203,$AF114-1200))))</f>
        <v/>
      </c>
      <c r="G114" s="56" t="str">
        <f aca="false">IF($AF114="","",IF(IF($AF114&lt;=1200,N(INDEX(对接源_01水果!$H$4:$H$1203,$AF114)),N(INDEX(对接源_02物料!$H$4:$H$1203,$AF114-1200)))=0,"",ROUND(IF($AF114&lt;=1200,N(INDEX(对接源_01水果!$K$4:$K$1203,$AF114)),N(INDEX(对接源_02物料!$K$4:$K$1203,$AF114-1200)))/IF($AF114&lt;=1200,N(INDEX(对接源_01水果!$H$4:$H$1203,$AF114)),N(INDEX(对接源_02物料!$H$4:$H$1203,$AF114-1200))),2)))</f>
        <v/>
      </c>
      <c r="H114" s="56" t="str">
        <f aca="false">IF($AF114="","",IF($AF114&lt;=1200,IF(INDEX(对接源_01水果!$K$4:$K$1203,$AF114)=0,"",INDEX(对接源_01水果!$K$4:$K$1203,$AF114)),IF(INDEX(对接源_02物料!$K$4:$K$1203,$AF114-1200)=0,"",INDEX(对接源_02物料!$K$4:$K$1203,$AF114-1200))))</f>
        <v/>
      </c>
      <c r="I114" s="46" t="str">
        <f aca="false">IF($AF114="","",IF($AF114&lt;=1200,IF(INDEX(对接源_01水果!$L$4:$L$1203,$AF114)=0,"",INDEX(对接源_01水果!$L$4:$L$1203,$AF114)),IF(INDEX(对接源_02物料!$L$4:$L$1203,$AF114-1200)=0,"",INDEX(对接源_02物料!$L$4:$L$1203,$AF114-1200))))</f>
        <v/>
      </c>
      <c r="J114" s="47" t="str">
        <f aca="false"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44" t="str">
        <f aca="false">IFERROR(MATCH(6,_自动清单!$AI$4:$AI$2403,0),"")</f>
        <v/>
      </c>
    </row>
    <row r="115" customFormat="false" ht="18" hidden="false" customHeight="true" outlineLevel="0" collapsed="false">
      <c r="A115" s="40" t="str">
        <f aca="false"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41" t="str">
        <f aca="false"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C115" s="42" t="str">
        <f aca="false"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D115" s="42" t="str">
        <f aca="false">IF($AF115="","",IF($AF115&lt;=1200,IF(INDEX(对接源_01水果!$D$4:$D$1203,$AF115)=0,"",INDEX(对接源_01水果!$D$4:$D$1203,$AF115)),IF(INDEX(对接源_02物料!$D$4:$D$1203,$AF115-1200)=0,"",INDEX(对接源_02物料!$D$4:$D$1203,$AF115-1200))))</f>
        <v/>
      </c>
      <c r="E115" s="55" t="str">
        <f aca="false">IF($AF115="","",IF($AF115&lt;=1200,IF(INDEX(对接源_01水果!$H$4:$H$1203,$AF115)=0,"",INDEX(对接源_01水果!$H$4:$H$1203,$AF115)),IF(INDEX(对接源_02物料!$H$4:$H$1203,$AF115-1200)=0,"",INDEX(对接源_02物料!$H$4:$H$1203,$AF115-1200))))</f>
        <v/>
      </c>
      <c r="F115" s="41" t="str">
        <f aca="false">IF($AF115="","",IF($AF115&lt;=1200,IF(INDEX(对接源_01水果!$I$4:$I$1203,$AF115)=0,"",INDEX(对接源_01水果!$I$4:$I$1203,$AF115)),IF(INDEX(对接源_02物料!$I$4:$I$1203,$AF115-1200)=0,"",INDEX(对接源_02物料!$I$4:$I$1203,$AF115-1200))))</f>
        <v/>
      </c>
      <c r="G115" s="55" t="str">
        <f aca="false">IF($AF115="","",IF(IF($AF115&lt;=1200,N(INDEX(对接源_01水果!$H$4:$H$1203,$AF115)),N(INDEX(对接源_02物料!$H$4:$H$1203,$AF115-1200)))=0,"",ROUND(IF($AF115&lt;=1200,N(INDEX(对接源_01水果!$K$4:$K$1203,$AF115)),N(INDEX(对接源_02物料!$K$4:$K$1203,$AF115-1200)))/IF($AF115&lt;=1200,N(INDEX(对接源_01水果!$H$4:$H$1203,$AF115)),N(INDEX(对接源_02物料!$H$4:$H$1203,$AF115-1200))),2)))</f>
        <v/>
      </c>
      <c r="H115" s="55" t="str">
        <f aca="false">IF($AF115="","",IF($AF115&lt;=1200,IF(INDEX(对接源_01水果!$K$4:$K$1203,$AF115)=0,"",INDEX(对接源_01水果!$K$4:$K$1203,$AF115)),IF(INDEX(对接源_02物料!$K$4:$K$1203,$AF115-1200)=0,"",INDEX(对接源_02物料!$K$4:$K$1203,$AF115-1200))))</f>
        <v/>
      </c>
      <c r="I115" s="41" t="str">
        <f aca="false">IF($AF115="","",IF($AF115&lt;=1200,IF(INDEX(对接源_01水果!$L$4:$L$1203,$AF115)=0,"",INDEX(对接源_01水果!$L$4:$L$1203,$AF115)),IF(INDEX(对接源_02物料!$L$4:$L$1203,$AF115-1200)=0,"",INDEX(对接源_02物料!$L$4:$L$1203,$AF115-1200))))</f>
        <v/>
      </c>
      <c r="J115" s="42" t="str">
        <f aca="false"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44" t="str">
        <f aca="false">IFERROR(MATCH(7,_自动清单!$AI$4:$AI$2403,0),"")</f>
        <v/>
      </c>
    </row>
    <row r="116" customFormat="false" ht="18" hidden="false" customHeight="true" outlineLevel="0" collapsed="false">
      <c r="A116" s="45" t="str">
        <f aca="false"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46" t="str">
        <f aca="false"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C116" s="47" t="str">
        <f aca="false"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D116" s="47" t="str">
        <f aca="false">IF($AF116="","",IF($AF116&lt;=1200,IF(INDEX(对接源_01水果!$D$4:$D$1203,$AF116)=0,"",INDEX(对接源_01水果!$D$4:$D$1203,$AF116)),IF(INDEX(对接源_02物料!$D$4:$D$1203,$AF116-1200)=0,"",INDEX(对接源_02物料!$D$4:$D$1203,$AF116-1200))))</f>
        <v/>
      </c>
      <c r="E116" s="56" t="str">
        <f aca="false">IF($AF116="","",IF($AF116&lt;=1200,IF(INDEX(对接源_01水果!$H$4:$H$1203,$AF116)=0,"",INDEX(对接源_01水果!$H$4:$H$1203,$AF116)),IF(INDEX(对接源_02物料!$H$4:$H$1203,$AF116-1200)=0,"",INDEX(对接源_02物料!$H$4:$H$1203,$AF116-1200))))</f>
        <v/>
      </c>
      <c r="F116" s="46" t="str">
        <f aca="false">IF($AF116="","",IF($AF116&lt;=1200,IF(INDEX(对接源_01水果!$I$4:$I$1203,$AF116)=0,"",INDEX(对接源_01水果!$I$4:$I$1203,$AF116)),IF(INDEX(对接源_02物料!$I$4:$I$1203,$AF116-1200)=0,"",INDEX(对接源_02物料!$I$4:$I$1203,$AF116-1200))))</f>
        <v/>
      </c>
      <c r="G116" s="56" t="str">
        <f aca="false">IF($AF116="","",IF(IF($AF116&lt;=1200,N(INDEX(对接源_01水果!$H$4:$H$1203,$AF116)),N(INDEX(对接源_02物料!$H$4:$H$1203,$AF116-1200)))=0,"",ROUND(IF($AF116&lt;=1200,N(INDEX(对接源_01水果!$K$4:$K$1203,$AF116)),N(INDEX(对接源_02物料!$K$4:$K$1203,$AF116-1200)))/IF($AF116&lt;=1200,N(INDEX(对接源_01水果!$H$4:$H$1203,$AF116)),N(INDEX(对接源_02物料!$H$4:$H$1203,$AF116-1200))),2)))</f>
        <v/>
      </c>
      <c r="H116" s="56" t="str">
        <f aca="false">IF($AF116="","",IF($AF116&lt;=1200,IF(INDEX(对接源_01水果!$K$4:$K$1203,$AF116)=0,"",INDEX(对接源_01水果!$K$4:$K$1203,$AF116)),IF(INDEX(对接源_02物料!$K$4:$K$1203,$AF116-1200)=0,"",INDEX(对接源_02物料!$K$4:$K$1203,$AF116-1200))))</f>
        <v/>
      </c>
      <c r="I116" s="46" t="str">
        <f aca="false">IF($AF116="","",IF($AF116&lt;=1200,IF(INDEX(对接源_01水果!$L$4:$L$1203,$AF116)=0,"",INDEX(对接源_01水果!$L$4:$L$1203,$AF116)),IF(INDEX(对接源_02物料!$L$4:$L$1203,$AF116-1200)=0,"",INDEX(对接源_02物料!$L$4:$L$1203,$AF116-1200))))</f>
        <v/>
      </c>
      <c r="J116" s="47" t="str">
        <f aca="false"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44" t="str">
        <f aca="false">IFERROR(MATCH(8,_自动清单!$AI$4:$AI$2403,0),"")</f>
        <v/>
      </c>
    </row>
    <row r="117" customFormat="false" ht="18" hidden="false" customHeight="true" outlineLevel="0" collapsed="false">
      <c r="A117" s="40" t="str">
        <f aca="false"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41" t="str">
        <f aca="false"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C117" s="42" t="str">
        <f aca="false"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D117" s="42" t="str">
        <f aca="false">IF($AF117="","",IF($AF117&lt;=1200,IF(INDEX(对接源_01水果!$D$4:$D$1203,$AF117)=0,"",INDEX(对接源_01水果!$D$4:$D$1203,$AF117)),IF(INDEX(对接源_02物料!$D$4:$D$1203,$AF117-1200)=0,"",INDEX(对接源_02物料!$D$4:$D$1203,$AF117-1200))))</f>
        <v/>
      </c>
      <c r="E117" s="55" t="str">
        <f aca="false">IF($AF117="","",IF($AF117&lt;=1200,IF(INDEX(对接源_01水果!$H$4:$H$1203,$AF117)=0,"",INDEX(对接源_01水果!$H$4:$H$1203,$AF117)),IF(INDEX(对接源_02物料!$H$4:$H$1203,$AF117-1200)=0,"",INDEX(对接源_02物料!$H$4:$H$1203,$AF117-1200))))</f>
        <v/>
      </c>
      <c r="F117" s="41" t="str">
        <f aca="false">IF($AF117="","",IF($AF117&lt;=1200,IF(INDEX(对接源_01水果!$I$4:$I$1203,$AF117)=0,"",INDEX(对接源_01水果!$I$4:$I$1203,$AF117)),IF(INDEX(对接源_02物料!$I$4:$I$1203,$AF117-1200)=0,"",INDEX(对接源_02物料!$I$4:$I$1203,$AF117-1200))))</f>
        <v/>
      </c>
      <c r="G117" s="55" t="str">
        <f aca="false">IF($AF117="","",IF(IF($AF117&lt;=1200,N(INDEX(对接源_01水果!$H$4:$H$1203,$AF117)),N(INDEX(对接源_02物料!$H$4:$H$1203,$AF117-1200)))=0,"",ROUND(IF($AF117&lt;=1200,N(INDEX(对接源_01水果!$K$4:$K$1203,$AF117)),N(INDEX(对接源_02物料!$K$4:$K$1203,$AF117-1200)))/IF($AF117&lt;=1200,N(INDEX(对接源_01水果!$H$4:$H$1203,$AF117)),N(INDEX(对接源_02物料!$H$4:$H$1203,$AF117-1200))),2)))</f>
        <v/>
      </c>
      <c r="H117" s="55" t="str">
        <f aca="false">IF($AF117="","",IF($AF117&lt;=1200,IF(INDEX(对接源_01水果!$K$4:$K$1203,$AF117)=0,"",INDEX(对接源_01水果!$K$4:$K$1203,$AF117)),IF(INDEX(对接源_02物料!$K$4:$K$1203,$AF117-1200)=0,"",INDEX(对接源_02物料!$K$4:$K$1203,$AF117-1200))))</f>
        <v/>
      </c>
      <c r="I117" s="41" t="str">
        <f aca="false">IF($AF117="","",IF($AF117&lt;=1200,IF(INDEX(对接源_01水果!$L$4:$L$1203,$AF117)=0,"",INDEX(对接源_01水果!$L$4:$L$1203,$AF117)),IF(INDEX(对接源_02物料!$L$4:$L$1203,$AF117-1200)=0,"",INDEX(对接源_02物料!$L$4:$L$1203,$AF117-1200))))</f>
        <v/>
      </c>
      <c r="J117" s="42" t="str">
        <f aca="false"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44" t="str">
        <f aca="false">IFERROR(MATCH(9,_自动清单!$AI$4:$AI$2403,0),"")</f>
        <v/>
      </c>
    </row>
    <row r="118" customFormat="false" ht="18" hidden="false" customHeight="true" outlineLevel="0" collapsed="false">
      <c r="A118" s="45" t="str">
        <f aca="false"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46" t="str">
        <f aca="false"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C118" s="47" t="str">
        <f aca="false"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D118" s="47" t="str">
        <f aca="false">IF($AF118="","",IF($AF118&lt;=1200,IF(INDEX(对接源_01水果!$D$4:$D$1203,$AF118)=0,"",INDEX(对接源_01水果!$D$4:$D$1203,$AF118)),IF(INDEX(对接源_02物料!$D$4:$D$1203,$AF118-1200)=0,"",INDEX(对接源_02物料!$D$4:$D$1203,$AF118-1200))))</f>
        <v/>
      </c>
      <c r="E118" s="56" t="str">
        <f aca="false">IF($AF118="","",IF($AF118&lt;=1200,IF(INDEX(对接源_01水果!$H$4:$H$1203,$AF118)=0,"",INDEX(对接源_01水果!$H$4:$H$1203,$AF118)),IF(INDEX(对接源_02物料!$H$4:$H$1203,$AF118-1200)=0,"",INDEX(对接源_02物料!$H$4:$H$1203,$AF118-1200))))</f>
        <v/>
      </c>
      <c r="F118" s="46" t="str">
        <f aca="false">IF($AF118="","",IF($AF118&lt;=1200,IF(INDEX(对接源_01水果!$I$4:$I$1203,$AF118)=0,"",INDEX(对接源_01水果!$I$4:$I$1203,$AF118)),IF(INDEX(对接源_02物料!$I$4:$I$1203,$AF118-1200)=0,"",INDEX(对接源_02物料!$I$4:$I$1203,$AF118-1200))))</f>
        <v/>
      </c>
      <c r="G118" s="56" t="str">
        <f aca="false">IF($AF118="","",IF(IF($AF118&lt;=1200,N(INDEX(对接源_01水果!$H$4:$H$1203,$AF118)),N(INDEX(对接源_02物料!$H$4:$H$1203,$AF118-1200)))=0,"",ROUND(IF($AF118&lt;=1200,N(INDEX(对接源_01水果!$K$4:$K$1203,$AF118)),N(INDEX(对接源_02物料!$K$4:$K$1203,$AF118-1200)))/IF($AF118&lt;=1200,N(INDEX(对接源_01水果!$H$4:$H$1203,$AF118)),N(INDEX(对接源_02物料!$H$4:$H$1203,$AF118-1200))),2)))</f>
        <v/>
      </c>
      <c r="H118" s="56" t="str">
        <f aca="false">IF($AF118="","",IF($AF118&lt;=1200,IF(INDEX(对接源_01水果!$K$4:$K$1203,$AF118)=0,"",INDEX(对接源_01水果!$K$4:$K$1203,$AF118)),IF(INDEX(对接源_02物料!$K$4:$K$1203,$AF118-1200)=0,"",INDEX(对接源_02物料!$K$4:$K$1203,$AF118-1200))))</f>
        <v/>
      </c>
      <c r="I118" s="46" t="str">
        <f aca="false">IF($AF118="","",IF($AF118&lt;=1200,IF(INDEX(对接源_01水果!$L$4:$L$1203,$AF118)=0,"",INDEX(对接源_01水果!$L$4:$L$1203,$AF118)),IF(INDEX(对接源_02物料!$L$4:$L$1203,$AF118-1200)=0,"",INDEX(对接源_02物料!$L$4:$L$1203,$AF118-1200))))</f>
        <v/>
      </c>
      <c r="J118" s="47" t="str">
        <f aca="false"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44" t="str">
        <f aca="false">IFERROR(MATCH(10,_自动清单!$AI$4:$AI$2403,0),"")</f>
        <v/>
      </c>
    </row>
    <row r="119" customFormat="false" ht="18" hidden="false" customHeight="true" outlineLevel="0" collapsed="false">
      <c r="A119" s="40" t="str">
        <f aca="false"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41" t="str">
        <f aca="false"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C119" s="42" t="str">
        <f aca="false"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D119" s="42" t="str">
        <f aca="false">IF($AF119="","",IF($AF119&lt;=1200,IF(INDEX(对接源_01水果!$D$4:$D$1203,$AF119)=0,"",INDEX(对接源_01水果!$D$4:$D$1203,$AF119)),IF(INDEX(对接源_02物料!$D$4:$D$1203,$AF119-1200)=0,"",INDEX(对接源_02物料!$D$4:$D$1203,$AF119-1200))))</f>
        <v/>
      </c>
      <c r="E119" s="55" t="str">
        <f aca="false">IF($AF119="","",IF($AF119&lt;=1200,IF(INDEX(对接源_01水果!$H$4:$H$1203,$AF119)=0,"",INDEX(对接源_01水果!$H$4:$H$1203,$AF119)),IF(INDEX(对接源_02物料!$H$4:$H$1203,$AF119-1200)=0,"",INDEX(对接源_02物料!$H$4:$H$1203,$AF119-1200))))</f>
        <v/>
      </c>
      <c r="F119" s="41" t="str">
        <f aca="false">IF($AF119="","",IF($AF119&lt;=1200,IF(INDEX(对接源_01水果!$I$4:$I$1203,$AF119)=0,"",INDEX(对接源_01水果!$I$4:$I$1203,$AF119)),IF(INDEX(对接源_02物料!$I$4:$I$1203,$AF119-1200)=0,"",INDEX(对接源_02物料!$I$4:$I$1203,$AF119-1200))))</f>
        <v/>
      </c>
      <c r="G119" s="55" t="str">
        <f aca="false">IF($AF119="","",IF(IF($AF119&lt;=1200,N(INDEX(对接源_01水果!$H$4:$H$1203,$AF119)),N(INDEX(对接源_02物料!$H$4:$H$1203,$AF119-1200)))=0,"",ROUND(IF($AF119&lt;=1200,N(INDEX(对接源_01水果!$K$4:$K$1203,$AF119)),N(INDEX(对接源_02物料!$K$4:$K$1203,$AF119-1200)))/IF($AF119&lt;=1200,N(INDEX(对接源_01水果!$H$4:$H$1203,$AF119)),N(INDEX(对接源_02物料!$H$4:$H$1203,$AF119-1200))),2)))</f>
        <v/>
      </c>
      <c r="H119" s="55" t="str">
        <f aca="false">IF($AF119="","",IF($AF119&lt;=1200,IF(INDEX(对接源_01水果!$K$4:$K$1203,$AF119)=0,"",INDEX(对接源_01水果!$K$4:$K$1203,$AF119)),IF(INDEX(对接源_02物料!$K$4:$K$1203,$AF119-1200)=0,"",INDEX(对接源_02物料!$K$4:$K$1203,$AF119-1200))))</f>
        <v/>
      </c>
      <c r="I119" s="41" t="str">
        <f aca="false">IF($AF119="","",IF($AF119&lt;=1200,IF(INDEX(对接源_01水果!$L$4:$L$1203,$AF119)=0,"",INDEX(对接源_01水果!$L$4:$L$1203,$AF119)),IF(INDEX(对接源_02物料!$L$4:$L$1203,$AF119-1200)=0,"",INDEX(对接源_02物料!$L$4:$L$1203,$AF119-1200))))</f>
        <v/>
      </c>
      <c r="J119" s="42" t="str">
        <f aca="false"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44" t="str">
        <f aca="false">IFERROR(MATCH(11,_自动清单!$AI$4:$AI$2403,0),"")</f>
        <v/>
      </c>
    </row>
    <row r="120" customFormat="false" ht="18" hidden="false" customHeight="true" outlineLevel="0" collapsed="false">
      <c r="A120" s="45" t="str">
        <f aca="false"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46" t="str">
        <f aca="false"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C120" s="47" t="str">
        <f aca="false"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D120" s="47" t="str">
        <f aca="false">IF($AF120="","",IF($AF120&lt;=1200,IF(INDEX(对接源_01水果!$D$4:$D$1203,$AF120)=0,"",INDEX(对接源_01水果!$D$4:$D$1203,$AF120)),IF(INDEX(对接源_02物料!$D$4:$D$1203,$AF120-1200)=0,"",INDEX(对接源_02物料!$D$4:$D$1203,$AF120-1200))))</f>
        <v/>
      </c>
      <c r="E120" s="56" t="str">
        <f aca="false">IF($AF120="","",IF($AF120&lt;=1200,IF(INDEX(对接源_01水果!$H$4:$H$1203,$AF120)=0,"",INDEX(对接源_01水果!$H$4:$H$1203,$AF120)),IF(INDEX(对接源_02物料!$H$4:$H$1203,$AF120-1200)=0,"",INDEX(对接源_02物料!$H$4:$H$1203,$AF120-1200))))</f>
        <v/>
      </c>
      <c r="F120" s="46" t="str">
        <f aca="false">IF($AF120="","",IF($AF120&lt;=1200,IF(INDEX(对接源_01水果!$I$4:$I$1203,$AF120)=0,"",INDEX(对接源_01水果!$I$4:$I$1203,$AF120)),IF(INDEX(对接源_02物料!$I$4:$I$1203,$AF120-1200)=0,"",INDEX(对接源_02物料!$I$4:$I$1203,$AF120-1200))))</f>
        <v/>
      </c>
      <c r="G120" s="56" t="str">
        <f aca="false">IF($AF120="","",IF(IF($AF120&lt;=1200,N(INDEX(对接源_01水果!$H$4:$H$1203,$AF120)),N(INDEX(对接源_02物料!$H$4:$H$1203,$AF120-1200)))=0,"",ROUND(IF($AF120&lt;=1200,N(INDEX(对接源_01水果!$K$4:$K$1203,$AF120)),N(INDEX(对接源_02物料!$K$4:$K$1203,$AF120-1200)))/IF($AF120&lt;=1200,N(INDEX(对接源_01水果!$H$4:$H$1203,$AF120)),N(INDEX(对接源_02物料!$H$4:$H$1203,$AF120-1200))),2)))</f>
        <v/>
      </c>
      <c r="H120" s="56" t="str">
        <f aca="false">IF($AF120="","",IF($AF120&lt;=1200,IF(INDEX(对接源_01水果!$K$4:$K$1203,$AF120)=0,"",INDEX(对接源_01水果!$K$4:$K$1203,$AF120)),IF(INDEX(对接源_02物料!$K$4:$K$1203,$AF120-1200)=0,"",INDEX(对接源_02物料!$K$4:$K$1203,$AF120-1200))))</f>
        <v/>
      </c>
      <c r="I120" s="46" t="str">
        <f aca="false">IF($AF120="","",IF($AF120&lt;=1200,IF(INDEX(对接源_01水果!$L$4:$L$1203,$AF120)=0,"",INDEX(对接源_01水果!$L$4:$L$1203,$AF120)),IF(INDEX(对接源_02物料!$L$4:$L$1203,$AF120-1200)=0,"",INDEX(对接源_02物料!$L$4:$L$1203,$AF120-1200))))</f>
        <v/>
      </c>
      <c r="J120" s="47" t="str">
        <f aca="false"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44" t="str">
        <f aca="false">IFERROR(MATCH(12,_自动清单!$AI$4:$AI$2403,0),"")</f>
        <v/>
      </c>
    </row>
    <row r="121" customFormat="false" ht="18" hidden="false" customHeight="true" outlineLevel="0" collapsed="false">
      <c r="A121" s="40" t="str">
        <f aca="false"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41" t="str">
        <f aca="false"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C121" s="42" t="str">
        <f aca="false"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D121" s="42" t="str">
        <f aca="false">IF($AF121="","",IF($AF121&lt;=1200,IF(INDEX(对接源_01水果!$D$4:$D$1203,$AF121)=0,"",INDEX(对接源_01水果!$D$4:$D$1203,$AF121)),IF(INDEX(对接源_02物料!$D$4:$D$1203,$AF121-1200)=0,"",INDEX(对接源_02物料!$D$4:$D$1203,$AF121-1200))))</f>
        <v/>
      </c>
      <c r="E121" s="55" t="str">
        <f aca="false">IF($AF121="","",IF($AF121&lt;=1200,IF(INDEX(对接源_01水果!$H$4:$H$1203,$AF121)=0,"",INDEX(对接源_01水果!$H$4:$H$1203,$AF121)),IF(INDEX(对接源_02物料!$H$4:$H$1203,$AF121-1200)=0,"",INDEX(对接源_02物料!$H$4:$H$1203,$AF121-1200))))</f>
        <v/>
      </c>
      <c r="F121" s="41" t="str">
        <f aca="false">IF($AF121="","",IF($AF121&lt;=1200,IF(INDEX(对接源_01水果!$I$4:$I$1203,$AF121)=0,"",INDEX(对接源_01水果!$I$4:$I$1203,$AF121)),IF(INDEX(对接源_02物料!$I$4:$I$1203,$AF121-1200)=0,"",INDEX(对接源_02物料!$I$4:$I$1203,$AF121-1200))))</f>
        <v/>
      </c>
      <c r="G121" s="55" t="str">
        <f aca="false">IF($AF121="","",IF(IF($AF121&lt;=1200,N(INDEX(对接源_01水果!$H$4:$H$1203,$AF121)),N(INDEX(对接源_02物料!$H$4:$H$1203,$AF121-1200)))=0,"",ROUND(IF($AF121&lt;=1200,N(INDEX(对接源_01水果!$K$4:$K$1203,$AF121)),N(INDEX(对接源_02物料!$K$4:$K$1203,$AF121-1200)))/IF($AF121&lt;=1200,N(INDEX(对接源_01水果!$H$4:$H$1203,$AF121)),N(INDEX(对接源_02物料!$H$4:$H$1203,$AF121-1200))),2)))</f>
        <v/>
      </c>
      <c r="H121" s="55" t="str">
        <f aca="false">IF($AF121="","",IF($AF121&lt;=1200,IF(INDEX(对接源_01水果!$K$4:$K$1203,$AF121)=0,"",INDEX(对接源_01水果!$K$4:$K$1203,$AF121)),IF(INDEX(对接源_02物料!$K$4:$K$1203,$AF121-1200)=0,"",INDEX(对接源_02物料!$K$4:$K$1203,$AF121-1200))))</f>
        <v/>
      </c>
      <c r="I121" s="41" t="str">
        <f aca="false">IF($AF121="","",IF($AF121&lt;=1200,IF(INDEX(对接源_01水果!$L$4:$L$1203,$AF121)=0,"",INDEX(对接源_01水果!$L$4:$L$1203,$AF121)),IF(INDEX(对接源_02物料!$L$4:$L$1203,$AF121-1200)=0,"",INDEX(对接源_02物料!$L$4:$L$1203,$AF121-1200))))</f>
        <v/>
      </c>
      <c r="J121" s="42" t="str">
        <f aca="false"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44" t="str">
        <f aca="false">IFERROR(MATCH(13,_自动清单!$AI$4:$AI$2403,0),"")</f>
        <v/>
      </c>
    </row>
    <row r="122" customFormat="false" ht="18" hidden="false" customHeight="true" outlineLevel="0" collapsed="false">
      <c r="A122" s="45" t="str">
        <f aca="false"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46" t="str">
        <f aca="false"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C122" s="47" t="str">
        <f aca="false"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D122" s="47" t="str">
        <f aca="false">IF($AF122="","",IF($AF122&lt;=1200,IF(INDEX(对接源_01水果!$D$4:$D$1203,$AF122)=0,"",INDEX(对接源_01水果!$D$4:$D$1203,$AF122)),IF(INDEX(对接源_02物料!$D$4:$D$1203,$AF122-1200)=0,"",INDEX(对接源_02物料!$D$4:$D$1203,$AF122-1200))))</f>
        <v/>
      </c>
      <c r="E122" s="56" t="str">
        <f aca="false">IF($AF122="","",IF($AF122&lt;=1200,IF(INDEX(对接源_01水果!$H$4:$H$1203,$AF122)=0,"",INDEX(对接源_01水果!$H$4:$H$1203,$AF122)),IF(INDEX(对接源_02物料!$H$4:$H$1203,$AF122-1200)=0,"",INDEX(对接源_02物料!$H$4:$H$1203,$AF122-1200))))</f>
        <v/>
      </c>
      <c r="F122" s="46" t="str">
        <f aca="false">IF($AF122="","",IF($AF122&lt;=1200,IF(INDEX(对接源_01水果!$I$4:$I$1203,$AF122)=0,"",INDEX(对接源_01水果!$I$4:$I$1203,$AF122)),IF(INDEX(对接源_02物料!$I$4:$I$1203,$AF122-1200)=0,"",INDEX(对接源_02物料!$I$4:$I$1203,$AF122-1200))))</f>
        <v/>
      </c>
      <c r="G122" s="56" t="str">
        <f aca="false">IF($AF122="","",IF(IF($AF122&lt;=1200,N(INDEX(对接源_01水果!$H$4:$H$1203,$AF122)),N(INDEX(对接源_02物料!$H$4:$H$1203,$AF122-1200)))=0,"",ROUND(IF($AF122&lt;=1200,N(INDEX(对接源_01水果!$K$4:$K$1203,$AF122)),N(INDEX(对接源_02物料!$K$4:$K$1203,$AF122-1200)))/IF($AF122&lt;=1200,N(INDEX(对接源_01水果!$H$4:$H$1203,$AF122)),N(INDEX(对接源_02物料!$H$4:$H$1203,$AF122-1200))),2)))</f>
        <v/>
      </c>
      <c r="H122" s="56" t="str">
        <f aca="false">IF($AF122="","",IF($AF122&lt;=1200,IF(INDEX(对接源_01水果!$K$4:$K$1203,$AF122)=0,"",INDEX(对接源_01水果!$K$4:$K$1203,$AF122)),IF(INDEX(对接源_02物料!$K$4:$K$1203,$AF122-1200)=0,"",INDEX(对接源_02物料!$K$4:$K$1203,$AF122-1200))))</f>
        <v/>
      </c>
      <c r="I122" s="46" t="str">
        <f aca="false">IF($AF122="","",IF($AF122&lt;=1200,IF(INDEX(对接源_01水果!$L$4:$L$1203,$AF122)=0,"",INDEX(对接源_01水果!$L$4:$L$1203,$AF122)),IF(INDEX(对接源_02物料!$L$4:$L$1203,$AF122-1200)=0,"",INDEX(对接源_02物料!$L$4:$L$1203,$AF122-1200))))</f>
        <v/>
      </c>
      <c r="J122" s="47" t="str">
        <f aca="false"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44" t="str">
        <f aca="false">IFERROR(MATCH(14,_自动清单!$AI$4:$AI$2403,0),"")</f>
        <v/>
      </c>
    </row>
    <row r="123" customFormat="false" ht="18" hidden="false" customHeight="true" outlineLevel="0" collapsed="false">
      <c r="A123" s="40" t="str">
        <f aca="false"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41" t="str">
        <f aca="false"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C123" s="42" t="str">
        <f aca="false"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D123" s="42" t="str">
        <f aca="false">IF($AF123="","",IF($AF123&lt;=1200,IF(INDEX(对接源_01水果!$D$4:$D$1203,$AF123)=0,"",INDEX(对接源_01水果!$D$4:$D$1203,$AF123)),IF(INDEX(对接源_02物料!$D$4:$D$1203,$AF123-1200)=0,"",INDEX(对接源_02物料!$D$4:$D$1203,$AF123-1200))))</f>
        <v/>
      </c>
      <c r="E123" s="55" t="str">
        <f aca="false">IF($AF123="","",IF($AF123&lt;=1200,IF(INDEX(对接源_01水果!$H$4:$H$1203,$AF123)=0,"",INDEX(对接源_01水果!$H$4:$H$1203,$AF123)),IF(INDEX(对接源_02物料!$H$4:$H$1203,$AF123-1200)=0,"",INDEX(对接源_02物料!$H$4:$H$1203,$AF123-1200))))</f>
        <v/>
      </c>
      <c r="F123" s="41" t="str">
        <f aca="false">IF($AF123="","",IF($AF123&lt;=1200,IF(INDEX(对接源_01水果!$I$4:$I$1203,$AF123)=0,"",INDEX(对接源_01水果!$I$4:$I$1203,$AF123)),IF(INDEX(对接源_02物料!$I$4:$I$1203,$AF123-1200)=0,"",INDEX(对接源_02物料!$I$4:$I$1203,$AF123-1200))))</f>
        <v/>
      </c>
      <c r="G123" s="55" t="str">
        <f aca="false">IF($AF123="","",IF(IF($AF123&lt;=1200,N(INDEX(对接源_01水果!$H$4:$H$1203,$AF123)),N(INDEX(对接源_02物料!$H$4:$H$1203,$AF123-1200)))=0,"",ROUND(IF($AF123&lt;=1200,N(INDEX(对接源_01水果!$K$4:$K$1203,$AF123)),N(INDEX(对接源_02物料!$K$4:$K$1203,$AF123-1200)))/IF($AF123&lt;=1200,N(INDEX(对接源_01水果!$H$4:$H$1203,$AF123)),N(INDEX(对接源_02物料!$H$4:$H$1203,$AF123-1200))),2)))</f>
        <v/>
      </c>
      <c r="H123" s="55" t="str">
        <f aca="false">IF($AF123="","",IF($AF123&lt;=1200,IF(INDEX(对接源_01水果!$K$4:$K$1203,$AF123)=0,"",INDEX(对接源_01水果!$K$4:$K$1203,$AF123)),IF(INDEX(对接源_02物料!$K$4:$K$1203,$AF123-1200)=0,"",INDEX(对接源_02物料!$K$4:$K$1203,$AF123-1200))))</f>
        <v/>
      </c>
      <c r="I123" s="41" t="str">
        <f aca="false">IF($AF123="","",IF($AF123&lt;=1200,IF(INDEX(对接源_01水果!$L$4:$L$1203,$AF123)=0,"",INDEX(对接源_01水果!$L$4:$L$1203,$AF123)),IF(INDEX(对接源_02物料!$L$4:$L$1203,$AF123-1200)=0,"",INDEX(对接源_02物料!$L$4:$L$1203,$AF123-1200))))</f>
        <v/>
      </c>
      <c r="J123" s="42" t="str">
        <f aca="false"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44" t="str">
        <f aca="false">IFERROR(MATCH(15,_自动清单!$AI$4:$AI$2403,0),"")</f>
        <v/>
      </c>
    </row>
    <row r="124" customFormat="false" ht="18" hidden="false" customHeight="true" outlineLevel="0" collapsed="false">
      <c r="A124" s="45" t="str">
        <f aca="false"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46" t="str">
        <f aca="false"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C124" s="47" t="str">
        <f aca="false"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D124" s="47" t="str">
        <f aca="false">IF($AF124="","",IF($AF124&lt;=1200,IF(INDEX(对接源_01水果!$D$4:$D$1203,$AF124)=0,"",INDEX(对接源_01水果!$D$4:$D$1203,$AF124)),IF(INDEX(对接源_02物料!$D$4:$D$1203,$AF124-1200)=0,"",INDEX(对接源_02物料!$D$4:$D$1203,$AF124-1200))))</f>
        <v/>
      </c>
      <c r="E124" s="56" t="str">
        <f aca="false">IF($AF124="","",IF($AF124&lt;=1200,IF(INDEX(对接源_01水果!$H$4:$H$1203,$AF124)=0,"",INDEX(对接源_01水果!$H$4:$H$1203,$AF124)),IF(INDEX(对接源_02物料!$H$4:$H$1203,$AF124-1200)=0,"",INDEX(对接源_02物料!$H$4:$H$1203,$AF124-1200))))</f>
        <v/>
      </c>
      <c r="F124" s="46" t="str">
        <f aca="false">IF($AF124="","",IF($AF124&lt;=1200,IF(INDEX(对接源_01水果!$I$4:$I$1203,$AF124)=0,"",INDEX(对接源_01水果!$I$4:$I$1203,$AF124)),IF(INDEX(对接源_02物料!$I$4:$I$1203,$AF124-1200)=0,"",INDEX(对接源_02物料!$I$4:$I$1203,$AF124-1200))))</f>
        <v/>
      </c>
      <c r="G124" s="56" t="str">
        <f aca="false">IF($AF124="","",IF(IF($AF124&lt;=1200,N(INDEX(对接源_01水果!$H$4:$H$1203,$AF124)),N(INDEX(对接源_02物料!$H$4:$H$1203,$AF124-1200)))=0,"",ROUND(IF($AF124&lt;=1200,N(INDEX(对接源_01水果!$K$4:$K$1203,$AF124)),N(INDEX(对接源_02物料!$K$4:$K$1203,$AF124-1200)))/IF($AF124&lt;=1200,N(INDEX(对接源_01水果!$H$4:$H$1203,$AF124)),N(INDEX(对接源_02物料!$H$4:$H$1203,$AF124-1200))),2)))</f>
        <v/>
      </c>
      <c r="H124" s="56" t="str">
        <f aca="false">IF($AF124="","",IF($AF124&lt;=1200,IF(INDEX(对接源_01水果!$K$4:$K$1203,$AF124)=0,"",INDEX(对接源_01水果!$K$4:$K$1203,$AF124)),IF(INDEX(对接源_02物料!$K$4:$K$1203,$AF124-1200)=0,"",INDEX(对接源_02物料!$K$4:$K$1203,$AF124-1200))))</f>
        <v/>
      </c>
      <c r="I124" s="46" t="str">
        <f aca="false">IF($AF124="","",IF($AF124&lt;=1200,IF(INDEX(对接源_01水果!$L$4:$L$1203,$AF124)=0,"",INDEX(对接源_01水果!$L$4:$L$1203,$AF124)),IF(INDEX(对接源_02物料!$L$4:$L$1203,$AF124-1200)=0,"",INDEX(对接源_02物料!$L$4:$L$1203,$AF124-1200))))</f>
        <v/>
      </c>
      <c r="J124" s="47" t="str">
        <f aca="false"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44" t="str">
        <f aca="false">IFERROR(MATCH(16,_自动清单!$AI$4:$AI$2403,0),"")</f>
        <v/>
      </c>
    </row>
    <row r="125" customFormat="false" ht="18" hidden="false" customHeight="true" outlineLevel="0" collapsed="false">
      <c r="A125" s="40" t="str">
        <f aca="false"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41" t="str">
        <f aca="false"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C125" s="42" t="str">
        <f aca="false"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D125" s="42" t="str">
        <f aca="false">IF($AF125="","",IF($AF125&lt;=1200,IF(INDEX(对接源_01水果!$D$4:$D$1203,$AF125)=0,"",INDEX(对接源_01水果!$D$4:$D$1203,$AF125)),IF(INDEX(对接源_02物料!$D$4:$D$1203,$AF125-1200)=0,"",INDEX(对接源_02物料!$D$4:$D$1203,$AF125-1200))))</f>
        <v/>
      </c>
      <c r="E125" s="55" t="str">
        <f aca="false">IF($AF125="","",IF($AF125&lt;=1200,IF(INDEX(对接源_01水果!$H$4:$H$1203,$AF125)=0,"",INDEX(对接源_01水果!$H$4:$H$1203,$AF125)),IF(INDEX(对接源_02物料!$H$4:$H$1203,$AF125-1200)=0,"",INDEX(对接源_02物料!$H$4:$H$1203,$AF125-1200))))</f>
        <v/>
      </c>
      <c r="F125" s="41" t="str">
        <f aca="false">IF($AF125="","",IF($AF125&lt;=1200,IF(INDEX(对接源_01水果!$I$4:$I$1203,$AF125)=0,"",INDEX(对接源_01水果!$I$4:$I$1203,$AF125)),IF(INDEX(对接源_02物料!$I$4:$I$1203,$AF125-1200)=0,"",INDEX(对接源_02物料!$I$4:$I$1203,$AF125-1200))))</f>
        <v/>
      </c>
      <c r="G125" s="55" t="str">
        <f aca="false">IF($AF125="","",IF(IF($AF125&lt;=1200,N(INDEX(对接源_01水果!$H$4:$H$1203,$AF125)),N(INDEX(对接源_02物料!$H$4:$H$1203,$AF125-1200)))=0,"",ROUND(IF($AF125&lt;=1200,N(INDEX(对接源_01水果!$K$4:$K$1203,$AF125)),N(INDEX(对接源_02物料!$K$4:$K$1203,$AF125-1200)))/IF($AF125&lt;=1200,N(INDEX(对接源_01水果!$H$4:$H$1203,$AF125)),N(INDEX(对接源_02物料!$H$4:$H$1203,$AF125-1200))),2)))</f>
        <v/>
      </c>
      <c r="H125" s="55" t="str">
        <f aca="false">IF($AF125="","",IF($AF125&lt;=1200,IF(INDEX(对接源_01水果!$K$4:$K$1203,$AF125)=0,"",INDEX(对接源_01水果!$K$4:$K$1203,$AF125)),IF(INDEX(对接源_02物料!$K$4:$K$1203,$AF125-1200)=0,"",INDEX(对接源_02物料!$K$4:$K$1203,$AF125-1200))))</f>
        <v/>
      </c>
      <c r="I125" s="41" t="str">
        <f aca="false">IF($AF125="","",IF($AF125&lt;=1200,IF(INDEX(对接源_01水果!$L$4:$L$1203,$AF125)=0,"",INDEX(对接源_01水果!$L$4:$L$1203,$AF125)),IF(INDEX(对接源_02物料!$L$4:$L$1203,$AF125-1200)=0,"",INDEX(对接源_02物料!$L$4:$L$1203,$AF125-1200))))</f>
        <v/>
      </c>
      <c r="J125" s="42" t="str">
        <f aca="false"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44" t="str">
        <f aca="false">IFERROR(MATCH(17,_自动清单!$AI$4:$AI$2403,0),"")</f>
        <v/>
      </c>
    </row>
    <row r="126" customFormat="false" ht="18" hidden="false" customHeight="true" outlineLevel="0" collapsed="false">
      <c r="A126" s="45" t="str">
        <f aca="false"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46" t="str">
        <f aca="false"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C126" s="47" t="str">
        <f aca="false"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D126" s="47" t="str">
        <f aca="false">IF($AF126="","",IF($AF126&lt;=1200,IF(INDEX(对接源_01水果!$D$4:$D$1203,$AF126)=0,"",INDEX(对接源_01水果!$D$4:$D$1203,$AF126)),IF(INDEX(对接源_02物料!$D$4:$D$1203,$AF126-1200)=0,"",INDEX(对接源_02物料!$D$4:$D$1203,$AF126-1200))))</f>
        <v/>
      </c>
      <c r="E126" s="56" t="str">
        <f aca="false">IF($AF126="","",IF($AF126&lt;=1200,IF(INDEX(对接源_01水果!$H$4:$H$1203,$AF126)=0,"",INDEX(对接源_01水果!$H$4:$H$1203,$AF126)),IF(INDEX(对接源_02物料!$H$4:$H$1203,$AF126-1200)=0,"",INDEX(对接源_02物料!$H$4:$H$1203,$AF126-1200))))</f>
        <v/>
      </c>
      <c r="F126" s="46" t="str">
        <f aca="false">IF($AF126="","",IF($AF126&lt;=1200,IF(INDEX(对接源_01水果!$I$4:$I$1203,$AF126)=0,"",INDEX(对接源_01水果!$I$4:$I$1203,$AF126)),IF(INDEX(对接源_02物料!$I$4:$I$1203,$AF126-1200)=0,"",INDEX(对接源_02物料!$I$4:$I$1203,$AF126-1200))))</f>
        <v/>
      </c>
      <c r="G126" s="56" t="str">
        <f aca="false">IF($AF126="","",IF(IF($AF126&lt;=1200,N(INDEX(对接源_01水果!$H$4:$H$1203,$AF126)),N(INDEX(对接源_02物料!$H$4:$H$1203,$AF126-1200)))=0,"",ROUND(IF($AF126&lt;=1200,N(INDEX(对接源_01水果!$K$4:$K$1203,$AF126)),N(INDEX(对接源_02物料!$K$4:$K$1203,$AF126-1200)))/IF($AF126&lt;=1200,N(INDEX(对接源_01水果!$H$4:$H$1203,$AF126)),N(INDEX(对接源_02物料!$H$4:$H$1203,$AF126-1200))),2)))</f>
        <v/>
      </c>
      <c r="H126" s="56" t="str">
        <f aca="false">IF($AF126="","",IF($AF126&lt;=1200,IF(INDEX(对接源_01水果!$K$4:$K$1203,$AF126)=0,"",INDEX(对接源_01水果!$K$4:$K$1203,$AF126)),IF(INDEX(对接源_02物料!$K$4:$K$1203,$AF126-1200)=0,"",INDEX(对接源_02物料!$K$4:$K$1203,$AF126-1200))))</f>
        <v/>
      </c>
      <c r="I126" s="46" t="str">
        <f aca="false">IF($AF126="","",IF($AF126&lt;=1200,IF(INDEX(对接源_01水果!$L$4:$L$1203,$AF126)=0,"",INDEX(对接源_01水果!$L$4:$L$1203,$AF126)),IF(INDEX(对接源_02物料!$L$4:$L$1203,$AF126-1200)=0,"",INDEX(对接源_02物料!$L$4:$L$1203,$AF126-1200))))</f>
        <v/>
      </c>
      <c r="J126" s="47" t="str">
        <f aca="false"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44" t="str">
        <f aca="false">IFERROR(MATCH(18,_自动清单!$AI$4:$AI$2403,0),"")</f>
        <v/>
      </c>
    </row>
    <row r="127" customFormat="false" ht="18" hidden="false" customHeight="true" outlineLevel="0" collapsed="false">
      <c r="A127" s="40" t="str">
        <f aca="false"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41" t="str">
        <f aca="false"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C127" s="42" t="str">
        <f aca="false"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D127" s="42" t="str">
        <f aca="false">IF($AF127="","",IF($AF127&lt;=1200,IF(INDEX(对接源_01水果!$D$4:$D$1203,$AF127)=0,"",INDEX(对接源_01水果!$D$4:$D$1203,$AF127)),IF(INDEX(对接源_02物料!$D$4:$D$1203,$AF127-1200)=0,"",INDEX(对接源_02物料!$D$4:$D$1203,$AF127-1200))))</f>
        <v/>
      </c>
      <c r="E127" s="55" t="str">
        <f aca="false">IF($AF127="","",IF($AF127&lt;=1200,IF(INDEX(对接源_01水果!$H$4:$H$1203,$AF127)=0,"",INDEX(对接源_01水果!$H$4:$H$1203,$AF127)),IF(INDEX(对接源_02物料!$H$4:$H$1203,$AF127-1200)=0,"",INDEX(对接源_02物料!$H$4:$H$1203,$AF127-1200))))</f>
        <v/>
      </c>
      <c r="F127" s="41" t="str">
        <f aca="false">IF($AF127="","",IF($AF127&lt;=1200,IF(INDEX(对接源_01水果!$I$4:$I$1203,$AF127)=0,"",INDEX(对接源_01水果!$I$4:$I$1203,$AF127)),IF(INDEX(对接源_02物料!$I$4:$I$1203,$AF127-1200)=0,"",INDEX(对接源_02物料!$I$4:$I$1203,$AF127-1200))))</f>
        <v/>
      </c>
      <c r="G127" s="55" t="str">
        <f aca="false">IF($AF127="","",IF(IF($AF127&lt;=1200,N(INDEX(对接源_01水果!$H$4:$H$1203,$AF127)),N(INDEX(对接源_02物料!$H$4:$H$1203,$AF127-1200)))=0,"",ROUND(IF($AF127&lt;=1200,N(INDEX(对接源_01水果!$K$4:$K$1203,$AF127)),N(INDEX(对接源_02物料!$K$4:$K$1203,$AF127-1200)))/IF($AF127&lt;=1200,N(INDEX(对接源_01水果!$H$4:$H$1203,$AF127)),N(INDEX(对接源_02物料!$H$4:$H$1203,$AF127-1200))),2)))</f>
        <v/>
      </c>
      <c r="H127" s="55" t="str">
        <f aca="false">IF($AF127="","",IF($AF127&lt;=1200,IF(INDEX(对接源_01水果!$K$4:$K$1203,$AF127)=0,"",INDEX(对接源_01水果!$K$4:$K$1203,$AF127)),IF(INDEX(对接源_02物料!$K$4:$K$1203,$AF127-1200)=0,"",INDEX(对接源_02物料!$K$4:$K$1203,$AF127-1200))))</f>
        <v/>
      </c>
      <c r="I127" s="41" t="str">
        <f aca="false">IF($AF127="","",IF($AF127&lt;=1200,IF(INDEX(对接源_01水果!$L$4:$L$1203,$AF127)=0,"",INDEX(对接源_01水果!$L$4:$L$1203,$AF127)),IF(INDEX(对接源_02物料!$L$4:$L$1203,$AF127-1200)=0,"",INDEX(对接源_02物料!$L$4:$L$1203,$AF127-1200))))</f>
        <v/>
      </c>
      <c r="J127" s="42" t="str">
        <f aca="false"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44" t="str">
        <f aca="false">IFERROR(MATCH(19,_自动清单!$AI$4:$AI$2403,0),"")</f>
        <v/>
      </c>
    </row>
    <row r="128" customFormat="false" ht="18" hidden="false" customHeight="true" outlineLevel="0" collapsed="false">
      <c r="A128" s="45" t="str">
        <f aca="false"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46" t="str">
        <f aca="false"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C128" s="47" t="str">
        <f aca="false"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D128" s="47" t="str">
        <f aca="false">IF($AF128="","",IF($AF128&lt;=1200,IF(INDEX(对接源_01水果!$D$4:$D$1203,$AF128)=0,"",INDEX(对接源_01水果!$D$4:$D$1203,$AF128)),IF(INDEX(对接源_02物料!$D$4:$D$1203,$AF128-1200)=0,"",INDEX(对接源_02物料!$D$4:$D$1203,$AF128-1200))))</f>
        <v/>
      </c>
      <c r="E128" s="56" t="str">
        <f aca="false">IF($AF128="","",IF($AF128&lt;=1200,IF(INDEX(对接源_01水果!$H$4:$H$1203,$AF128)=0,"",INDEX(对接源_01水果!$H$4:$H$1203,$AF128)),IF(INDEX(对接源_02物料!$H$4:$H$1203,$AF128-1200)=0,"",INDEX(对接源_02物料!$H$4:$H$1203,$AF128-1200))))</f>
        <v/>
      </c>
      <c r="F128" s="46" t="str">
        <f aca="false">IF($AF128="","",IF($AF128&lt;=1200,IF(INDEX(对接源_01水果!$I$4:$I$1203,$AF128)=0,"",INDEX(对接源_01水果!$I$4:$I$1203,$AF128)),IF(INDEX(对接源_02物料!$I$4:$I$1203,$AF128-1200)=0,"",INDEX(对接源_02物料!$I$4:$I$1203,$AF128-1200))))</f>
        <v/>
      </c>
      <c r="G128" s="56" t="str">
        <f aca="false">IF($AF128="","",IF(IF($AF128&lt;=1200,N(INDEX(对接源_01水果!$H$4:$H$1203,$AF128)),N(INDEX(对接源_02物料!$H$4:$H$1203,$AF128-1200)))=0,"",ROUND(IF($AF128&lt;=1200,N(INDEX(对接源_01水果!$K$4:$K$1203,$AF128)),N(INDEX(对接源_02物料!$K$4:$K$1203,$AF128-1200)))/IF($AF128&lt;=1200,N(INDEX(对接源_01水果!$H$4:$H$1203,$AF128)),N(INDEX(对接源_02物料!$H$4:$H$1203,$AF128-1200))),2)))</f>
        <v/>
      </c>
      <c r="H128" s="56" t="str">
        <f aca="false">IF($AF128="","",IF($AF128&lt;=1200,IF(INDEX(对接源_01水果!$K$4:$K$1203,$AF128)=0,"",INDEX(对接源_01水果!$K$4:$K$1203,$AF128)),IF(INDEX(对接源_02物料!$K$4:$K$1203,$AF128-1200)=0,"",INDEX(对接源_02物料!$K$4:$K$1203,$AF128-1200))))</f>
        <v/>
      </c>
      <c r="I128" s="46" t="str">
        <f aca="false">IF($AF128="","",IF($AF128&lt;=1200,IF(INDEX(对接源_01水果!$L$4:$L$1203,$AF128)=0,"",INDEX(对接源_01水果!$L$4:$L$1203,$AF128)),IF(INDEX(对接源_02物料!$L$4:$L$1203,$AF128-1200)=0,"",INDEX(对接源_02物料!$L$4:$L$1203,$AF128-1200))))</f>
        <v/>
      </c>
      <c r="J128" s="47" t="str">
        <f aca="false"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44" t="str">
        <f aca="false">IFERROR(MATCH(20,_自动清单!$AI$4:$AI$2403,0),"")</f>
        <v/>
      </c>
    </row>
    <row r="129" customFormat="false" ht="18" hidden="false" customHeight="true" outlineLevel="0" collapsed="false">
      <c r="A129" s="40" t="str">
        <f aca="false"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41" t="str">
        <f aca="false"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42" t="str">
        <f aca="false"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D129" s="42" t="str">
        <f aca="false"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E129" s="55" t="str">
        <f aca="false">IF($AF129="","",IF($AF129&lt;=1200,IF(INDEX(对接源_01水果!$H$4:$H$1203,$AF129)=0,"",INDEX(对接源_01水果!$H$4:$H$1203,$AF129)),IF(INDEX(对接源_02物料!$H$4:$H$1203,$AF129-1200)=0,"",INDEX(对接源_02物料!$H$4:$H$1203,$AF129-1200))))</f>
        <v/>
      </c>
      <c r="F129" s="41" t="str">
        <f aca="false">IF($AF129="","",IF($AF129&lt;=1200,IF(INDEX(对接源_01水果!$I$4:$I$1203,$AF129)=0,"",INDEX(对接源_01水果!$I$4:$I$1203,$AF129)),IF(INDEX(对接源_02物料!$I$4:$I$1203,$AF129-1200)=0,"",INDEX(对接源_02物料!$I$4:$I$1203,$AF129-1200))))</f>
        <v/>
      </c>
      <c r="G129" s="55" t="str">
        <f aca="false">IF($AF129="","",IF(IF($AF129&lt;=1200,N(INDEX(对接源_01水果!$H$4:$H$1203,$AF129)),N(INDEX(对接源_02物料!$H$4:$H$1203,$AF129-1200)))=0,"",ROUND(IF($AF129&lt;=1200,N(INDEX(对接源_01水果!$K$4:$K$1203,$AF129)),N(INDEX(对接源_02物料!$K$4:$K$1203,$AF129-1200)))/IF($AF129&lt;=1200,N(INDEX(对接源_01水果!$H$4:$H$1203,$AF129)),N(INDEX(对接源_02物料!$H$4:$H$1203,$AF129-1200))),2)))</f>
        <v/>
      </c>
      <c r="H129" s="55" t="str">
        <f aca="false">IF($AF129="","",IF($AF129&lt;=1200,IF(INDEX(对接源_01水果!$K$4:$K$1203,$AF129)=0,"",INDEX(对接源_01水果!$K$4:$K$1203,$AF129)),IF(INDEX(对接源_02物料!$K$4:$K$1203,$AF129-1200)=0,"",INDEX(对接源_02物料!$K$4:$K$1203,$AF129-1200))))</f>
        <v/>
      </c>
      <c r="I129" s="41" t="str">
        <f aca="false">IF($AF129="","",IF($AF129&lt;=1200,IF(INDEX(对接源_01水果!$L$4:$L$1203,$AF129)=0,"",INDEX(对接源_01水果!$L$4:$L$1203,$AF129)),IF(INDEX(对接源_02物料!$L$4:$L$1203,$AF129-1200)=0,"",INDEX(对接源_02物料!$L$4:$L$1203,$AF129-1200))))</f>
        <v/>
      </c>
      <c r="J129" s="42" t="str">
        <f aca="false"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44" t="str">
        <f aca="false">IFERROR(MATCH(21,_自动清单!$AI$4:$AI$2403,0),"")</f>
        <v/>
      </c>
    </row>
    <row r="130" customFormat="false" ht="18" hidden="false" customHeight="true" outlineLevel="0" collapsed="false">
      <c r="A130" s="45" t="str">
        <f aca="false"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46" t="str">
        <f aca="false"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47" t="str">
        <f aca="false"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D130" s="47" t="str">
        <f aca="false"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E130" s="56" t="str">
        <f aca="false">IF($AF130="","",IF($AF130&lt;=1200,IF(INDEX(对接源_01水果!$H$4:$H$1203,$AF130)=0,"",INDEX(对接源_01水果!$H$4:$H$1203,$AF130)),IF(INDEX(对接源_02物料!$H$4:$H$1203,$AF130-1200)=0,"",INDEX(对接源_02物料!$H$4:$H$1203,$AF130-1200))))</f>
        <v/>
      </c>
      <c r="F130" s="46" t="str">
        <f aca="false">IF($AF130="","",IF($AF130&lt;=1200,IF(INDEX(对接源_01水果!$I$4:$I$1203,$AF130)=0,"",INDEX(对接源_01水果!$I$4:$I$1203,$AF130)),IF(INDEX(对接源_02物料!$I$4:$I$1203,$AF130-1200)=0,"",INDEX(对接源_02物料!$I$4:$I$1203,$AF130-1200))))</f>
        <v/>
      </c>
      <c r="G130" s="56" t="str">
        <f aca="false">IF($AF130="","",IF(IF($AF130&lt;=1200,N(INDEX(对接源_01水果!$H$4:$H$1203,$AF130)),N(INDEX(对接源_02物料!$H$4:$H$1203,$AF130-1200)))=0,"",ROUND(IF($AF130&lt;=1200,N(INDEX(对接源_01水果!$K$4:$K$1203,$AF130)),N(INDEX(对接源_02物料!$K$4:$K$1203,$AF130-1200)))/IF($AF130&lt;=1200,N(INDEX(对接源_01水果!$H$4:$H$1203,$AF130)),N(INDEX(对接源_02物料!$H$4:$H$1203,$AF130-1200))),2)))</f>
        <v/>
      </c>
      <c r="H130" s="56" t="str">
        <f aca="false">IF($AF130="","",IF($AF130&lt;=1200,IF(INDEX(对接源_01水果!$K$4:$K$1203,$AF130)=0,"",INDEX(对接源_01水果!$K$4:$K$1203,$AF130)),IF(INDEX(对接源_02物料!$K$4:$K$1203,$AF130-1200)=0,"",INDEX(对接源_02物料!$K$4:$K$1203,$AF130-1200))))</f>
        <v/>
      </c>
      <c r="I130" s="46" t="str">
        <f aca="false">IF($AF130="","",IF($AF130&lt;=1200,IF(INDEX(对接源_01水果!$L$4:$L$1203,$AF130)=0,"",INDEX(对接源_01水果!$L$4:$L$1203,$AF130)),IF(INDEX(对接源_02物料!$L$4:$L$1203,$AF130-1200)=0,"",INDEX(对接源_02物料!$L$4:$L$1203,$AF130-1200))))</f>
        <v/>
      </c>
      <c r="J130" s="47" t="str">
        <f aca="false"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44" t="str">
        <f aca="false">IFERROR(MATCH(22,_自动清单!$AI$4:$AI$2403,0),"")</f>
        <v/>
      </c>
    </row>
    <row r="131" customFormat="false" ht="18" hidden="false" customHeight="true" outlineLevel="0" collapsed="false">
      <c r="A131" s="40" t="str">
        <f aca="false"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41" t="str">
        <f aca="false"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42" t="str">
        <f aca="false"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D131" s="42" t="str">
        <f aca="false"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E131" s="55" t="str">
        <f aca="false">IF($AF131="","",IF($AF131&lt;=1200,IF(INDEX(对接源_01水果!$H$4:$H$1203,$AF131)=0,"",INDEX(对接源_01水果!$H$4:$H$1203,$AF131)),IF(INDEX(对接源_02物料!$H$4:$H$1203,$AF131-1200)=0,"",INDEX(对接源_02物料!$H$4:$H$1203,$AF131-1200))))</f>
        <v/>
      </c>
      <c r="F131" s="41" t="str">
        <f aca="false">IF($AF131="","",IF($AF131&lt;=1200,IF(INDEX(对接源_01水果!$I$4:$I$1203,$AF131)=0,"",INDEX(对接源_01水果!$I$4:$I$1203,$AF131)),IF(INDEX(对接源_02物料!$I$4:$I$1203,$AF131-1200)=0,"",INDEX(对接源_02物料!$I$4:$I$1203,$AF131-1200))))</f>
        <v/>
      </c>
      <c r="G131" s="55" t="str">
        <f aca="false">IF($AF131="","",IF(IF($AF131&lt;=1200,N(INDEX(对接源_01水果!$H$4:$H$1203,$AF131)),N(INDEX(对接源_02物料!$H$4:$H$1203,$AF131-1200)))=0,"",ROUND(IF($AF131&lt;=1200,N(INDEX(对接源_01水果!$K$4:$K$1203,$AF131)),N(INDEX(对接源_02物料!$K$4:$K$1203,$AF131-1200)))/IF($AF131&lt;=1200,N(INDEX(对接源_01水果!$H$4:$H$1203,$AF131)),N(INDEX(对接源_02物料!$H$4:$H$1203,$AF131-1200))),2)))</f>
        <v/>
      </c>
      <c r="H131" s="55" t="str">
        <f aca="false">IF($AF131="","",IF($AF131&lt;=1200,IF(INDEX(对接源_01水果!$K$4:$K$1203,$AF131)=0,"",INDEX(对接源_01水果!$K$4:$K$1203,$AF131)),IF(INDEX(对接源_02物料!$K$4:$K$1203,$AF131-1200)=0,"",INDEX(对接源_02物料!$K$4:$K$1203,$AF131-1200))))</f>
        <v/>
      </c>
      <c r="I131" s="41" t="str">
        <f aca="false">IF($AF131="","",IF($AF131&lt;=1200,IF(INDEX(对接源_01水果!$L$4:$L$1203,$AF131)=0,"",INDEX(对接源_01水果!$L$4:$L$1203,$AF131)),IF(INDEX(对接源_02物料!$L$4:$L$1203,$AF131-1200)=0,"",INDEX(对接源_02物料!$L$4:$L$1203,$AF131-1200))))</f>
        <v/>
      </c>
      <c r="J131" s="42" t="str">
        <f aca="false"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44" t="str">
        <f aca="false">IFERROR(MATCH(23,_自动清单!$AI$4:$AI$2403,0),"")</f>
        <v/>
      </c>
    </row>
    <row r="132" customFormat="false" ht="18" hidden="false" customHeight="true" outlineLevel="0" collapsed="false">
      <c r="A132" s="45" t="str">
        <f aca="false"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46" t="str">
        <f aca="false"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47" t="str">
        <f aca="false"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D132" s="47" t="str">
        <f aca="false"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E132" s="56" t="str">
        <f aca="false">IF($AF132="","",IF($AF132&lt;=1200,IF(INDEX(对接源_01水果!$H$4:$H$1203,$AF132)=0,"",INDEX(对接源_01水果!$H$4:$H$1203,$AF132)),IF(INDEX(对接源_02物料!$H$4:$H$1203,$AF132-1200)=0,"",INDEX(对接源_02物料!$H$4:$H$1203,$AF132-1200))))</f>
        <v/>
      </c>
      <c r="F132" s="46" t="str">
        <f aca="false">IF($AF132="","",IF($AF132&lt;=1200,IF(INDEX(对接源_01水果!$I$4:$I$1203,$AF132)=0,"",INDEX(对接源_01水果!$I$4:$I$1203,$AF132)),IF(INDEX(对接源_02物料!$I$4:$I$1203,$AF132-1200)=0,"",INDEX(对接源_02物料!$I$4:$I$1203,$AF132-1200))))</f>
        <v/>
      </c>
      <c r="G132" s="56" t="str">
        <f aca="false">IF($AF132="","",IF(IF($AF132&lt;=1200,N(INDEX(对接源_01水果!$H$4:$H$1203,$AF132)),N(INDEX(对接源_02物料!$H$4:$H$1203,$AF132-1200)))=0,"",ROUND(IF($AF132&lt;=1200,N(INDEX(对接源_01水果!$K$4:$K$1203,$AF132)),N(INDEX(对接源_02物料!$K$4:$K$1203,$AF132-1200)))/IF($AF132&lt;=1200,N(INDEX(对接源_01水果!$H$4:$H$1203,$AF132)),N(INDEX(对接源_02物料!$H$4:$H$1203,$AF132-1200))),2)))</f>
        <v/>
      </c>
      <c r="H132" s="56" t="str">
        <f aca="false">IF($AF132="","",IF($AF132&lt;=1200,IF(INDEX(对接源_01水果!$K$4:$K$1203,$AF132)=0,"",INDEX(对接源_01水果!$K$4:$K$1203,$AF132)),IF(INDEX(对接源_02物料!$K$4:$K$1203,$AF132-1200)=0,"",INDEX(对接源_02物料!$K$4:$K$1203,$AF132-1200))))</f>
        <v/>
      </c>
      <c r="I132" s="46" t="str">
        <f aca="false">IF($AF132="","",IF($AF132&lt;=1200,IF(INDEX(对接源_01水果!$L$4:$L$1203,$AF132)=0,"",INDEX(对接源_01水果!$L$4:$L$1203,$AF132)),IF(INDEX(对接源_02物料!$L$4:$L$1203,$AF132-1200)=0,"",INDEX(对接源_02物料!$L$4:$L$1203,$AF132-1200))))</f>
        <v/>
      </c>
      <c r="J132" s="47" t="str">
        <f aca="false"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44" t="str">
        <f aca="false">IFERROR(MATCH(24,_自动清单!$AI$4:$AI$2403,0),"")</f>
        <v/>
      </c>
    </row>
    <row r="133" customFormat="false" ht="18" hidden="false" customHeight="true" outlineLevel="0" collapsed="false">
      <c r="A133" s="40" t="str">
        <f aca="false"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41" t="str">
        <f aca="false"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42" t="str">
        <f aca="false"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D133" s="42" t="str">
        <f aca="false"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E133" s="55" t="str">
        <f aca="false">IF($AF133="","",IF($AF133&lt;=1200,IF(INDEX(对接源_01水果!$H$4:$H$1203,$AF133)=0,"",INDEX(对接源_01水果!$H$4:$H$1203,$AF133)),IF(INDEX(对接源_02物料!$H$4:$H$1203,$AF133-1200)=0,"",INDEX(对接源_02物料!$H$4:$H$1203,$AF133-1200))))</f>
        <v/>
      </c>
      <c r="F133" s="41" t="str">
        <f aca="false">IF($AF133="","",IF($AF133&lt;=1200,IF(INDEX(对接源_01水果!$I$4:$I$1203,$AF133)=0,"",INDEX(对接源_01水果!$I$4:$I$1203,$AF133)),IF(INDEX(对接源_02物料!$I$4:$I$1203,$AF133-1200)=0,"",INDEX(对接源_02物料!$I$4:$I$1203,$AF133-1200))))</f>
        <v/>
      </c>
      <c r="G133" s="55" t="str">
        <f aca="false">IF($AF133="","",IF(IF($AF133&lt;=1200,N(INDEX(对接源_01水果!$H$4:$H$1203,$AF133)),N(INDEX(对接源_02物料!$H$4:$H$1203,$AF133-1200)))=0,"",ROUND(IF($AF133&lt;=1200,N(INDEX(对接源_01水果!$K$4:$K$1203,$AF133)),N(INDEX(对接源_02物料!$K$4:$K$1203,$AF133-1200)))/IF($AF133&lt;=1200,N(INDEX(对接源_01水果!$H$4:$H$1203,$AF133)),N(INDEX(对接源_02物料!$H$4:$H$1203,$AF133-1200))),2)))</f>
        <v/>
      </c>
      <c r="H133" s="55" t="str">
        <f aca="false">IF($AF133="","",IF($AF133&lt;=1200,IF(INDEX(对接源_01水果!$K$4:$K$1203,$AF133)=0,"",INDEX(对接源_01水果!$K$4:$K$1203,$AF133)),IF(INDEX(对接源_02物料!$K$4:$K$1203,$AF133-1200)=0,"",INDEX(对接源_02物料!$K$4:$K$1203,$AF133-1200))))</f>
        <v/>
      </c>
      <c r="I133" s="41" t="str">
        <f aca="false">IF($AF133="","",IF($AF133&lt;=1200,IF(INDEX(对接源_01水果!$L$4:$L$1203,$AF133)=0,"",INDEX(对接源_01水果!$L$4:$L$1203,$AF133)),IF(INDEX(对接源_02物料!$L$4:$L$1203,$AF133-1200)=0,"",INDEX(对接源_02物料!$L$4:$L$1203,$AF133-1200))))</f>
        <v/>
      </c>
      <c r="J133" s="42" t="str">
        <f aca="false"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44" t="str">
        <f aca="false">IFERROR(MATCH(25,_自动清单!$AI$4:$AI$2403,0),"")</f>
        <v/>
      </c>
    </row>
    <row r="134" customFormat="false" ht="18" hidden="false" customHeight="true" outlineLevel="0" collapsed="false">
      <c r="A134" s="45" t="str">
        <f aca="false"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46" t="str">
        <f aca="false"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47" t="str">
        <f aca="false"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D134" s="47" t="str">
        <f aca="false"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E134" s="56" t="str">
        <f aca="false">IF($AF134="","",IF($AF134&lt;=1200,IF(INDEX(对接源_01水果!$H$4:$H$1203,$AF134)=0,"",INDEX(对接源_01水果!$H$4:$H$1203,$AF134)),IF(INDEX(对接源_02物料!$H$4:$H$1203,$AF134-1200)=0,"",INDEX(对接源_02物料!$H$4:$H$1203,$AF134-1200))))</f>
        <v/>
      </c>
      <c r="F134" s="46" t="str">
        <f aca="false">IF($AF134="","",IF($AF134&lt;=1200,IF(INDEX(对接源_01水果!$I$4:$I$1203,$AF134)=0,"",INDEX(对接源_01水果!$I$4:$I$1203,$AF134)),IF(INDEX(对接源_02物料!$I$4:$I$1203,$AF134-1200)=0,"",INDEX(对接源_02物料!$I$4:$I$1203,$AF134-1200))))</f>
        <v/>
      </c>
      <c r="G134" s="56" t="str">
        <f aca="false">IF($AF134="","",IF(IF($AF134&lt;=1200,N(INDEX(对接源_01水果!$H$4:$H$1203,$AF134)),N(INDEX(对接源_02物料!$H$4:$H$1203,$AF134-1200)))=0,"",ROUND(IF($AF134&lt;=1200,N(INDEX(对接源_01水果!$K$4:$K$1203,$AF134)),N(INDEX(对接源_02物料!$K$4:$K$1203,$AF134-1200)))/IF($AF134&lt;=1200,N(INDEX(对接源_01水果!$H$4:$H$1203,$AF134)),N(INDEX(对接源_02物料!$H$4:$H$1203,$AF134-1200))),2)))</f>
        <v/>
      </c>
      <c r="H134" s="56" t="str">
        <f aca="false">IF($AF134="","",IF($AF134&lt;=1200,IF(INDEX(对接源_01水果!$K$4:$K$1203,$AF134)=0,"",INDEX(对接源_01水果!$K$4:$K$1203,$AF134)),IF(INDEX(对接源_02物料!$K$4:$K$1203,$AF134-1200)=0,"",INDEX(对接源_02物料!$K$4:$K$1203,$AF134-1200))))</f>
        <v/>
      </c>
      <c r="I134" s="46" t="str">
        <f aca="false">IF($AF134="","",IF($AF134&lt;=1200,IF(INDEX(对接源_01水果!$L$4:$L$1203,$AF134)=0,"",INDEX(对接源_01水果!$L$4:$L$1203,$AF134)),IF(INDEX(对接源_02物料!$L$4:$L$1203,$AF134-1200)=0,"",INDEX(对接源_02物料!$L$4:$L$1203,$AF134-1200))))</f>
        <v/>
      </c>
      <c r="J134" s="47" t="str">
        <f aca="false"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44" t="str">
        <f aca="false">IFERROR(MATCH(26,_自动清单!$AI$4:$AI$2403,0),"")</f>
        <v/>
      </c>
    </row>
    <row r="135" customFormat="false" ht="18" hidden="false" customHeight="true" outlineLevel="0" collapsed="false">
      <c r="A135" s="40" t="str">
        <f aca="false"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41" t="str">
        <f aca="false"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42" t="str">
        <f aca="false"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D135" s="42" t="str">
        <f aca="false"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E135" s="55" t="str">
        <f aca="false">IF($AF135="","",IF($AF135&lt;=1200,IF(INDEX(对接源_01水果!$H$4:$H$1203,$AF135)=0,"",INDEX(对接源_01水果!$H$4:$H$1203,$AF135)),IF(INDEX(对接源_02物料!$H$4:$H$1203,$AF135-1200)=0,"",INDEX(对接源_02物料!$H$4:$H$1203,$AF135-1200))))</f>
        <v/>
      </c>
      <c r="F135" s="41" t="str">
        <f aca="false">IF($AF135="","",IF($AF135&lt;=1200,IF(INDEX(对接源_01水果!$I$4:$I$1203,$AF135)=0,"",INDEX(对接源_01水果!$I$4:$I$1203,$AF135)),IF(INDEX(对接源_02物料!$I$4:$I$1203,$AF135-1200)=0,"",INDEX(对接源_02物料!$I$4:$I$1203,$AF135-1200))))</f>
        <v/>
      </c>
      <c r="G135" s="55" t="str">
        <f aca="false">IF($AF135="","",IF(IF($AF135&lt;=1200,N(INDEX(对接源_01水果!$H$4:$H$1203,$AF135)),N(INDEX(对接源_02物料!$H$4:$H$1203,$AF135-1200)))=0,"",ROUND(IF($AF135&lt;=1200,N(INDEX(对接源_01水果!$K$4:$K$1203,$AF135)),N(INDEX(对接源_02物料!$K$4:$K$1203,$AF135-1200)))/IF($AF135&lt;=1200,N(INDEX(对接源_01水果!$H$4:$H$1203,$AF135)),N(INDEX(对接源_02物料!$H$4:$H$1203,$AF135-1200))),2)))</f>
        <v/>
      </c>
      <c r="H135" s="55" t="str">
        <f aca="false">IF($AF135="","",IF($AF135&lt;=1200,IF(INDEX(对接源_01水果!$K$4:$K$1203,$AF135)=0,"",INDEX(对接源_01水果!$K$4:$K$1203,$AF135)),IF(INDEX(对接源_02物料!$K$4:$K$1203,$AF135-1200)=0,"",INDEX(对接源_02物料!$K$4:$K$1203,$AF135-1200))))</f>
        <v/>
      </c>
      <c r="I135" s="41" t="str">
        <f aca="false">IF($AF135="","",IF($AF135&lt;=1200,IF(INDEX(对接源_01水果!$L$4:$L$1203,$AF135)=0,"",INDEX(对接源_01水果!$L$4:$L$1203,$AF135)),IF(INDEX(对接源_02物料!$L$4:$L$1203,$AF135-1200)=0,"",INDEX(对接源_02物料!$L$4:$L$1203,$AF135-1200))))</f>
        <v/>
      </c>
      <c r="J135" s="42" t="str">
        <f aca="false"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44" t="str">
        <f aca="false">IFERROR(MATCH(27,_自动清单!$AI$4:$AI$2403,0),"")</f>
        <v/>
      </c>
    </row>
    <row r="136" customFormat="false" ht="18" hidden="false" customHeight="true" outlineLevel="0" collapsed="false">
      <c r="A136" s="45" t="str">
        <f aca="false"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46" t="str">
        <f aca="false"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47" t="str">
        <f aca="false"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D136" s="47" t="str">
        <f aca="false"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E136" s="56" t="str">
        <f aca="false">IF($AF136="","",IF($AF136&lt;=1200,IF(INDEX(对接源_01水果!$H$4:$H$1203,$AF136)=0,"",INDEX(对接源_01水果!$H$4:$H$1203,$AF136)),IF(INDEX(对接源_02物料!$H$4:$H$1203,$AF136-1200)=0,"",INDEX(对接源_02物料!$H$4:$H$1203,$AF136-1200))))</f>
        <v/>
      </c>
      <c r="F136" s="46" t="str">
        <f aca="false">IF($AF136="","",IF($AF136&lt;=1200,IF(INDEX(对接源_01水果!$I$4:$I$1203,$AF136)=0,"",INDEX(对接源_01水果!$I$4:$I$1203,$AF136)),IF(INDEX(对接源_02物料!$I$4:$I$1203,$AF136-1200)=0,"",INDEX(对接源_02物料!$I$4:$I$1203,$AF136-1200))))</f>
        <v/>
      </c>
      <c r="G136" s="56" t="str">
        <f aca="false">IF($AF136="","",IF(IF($AF136&lt;=1200,N(INDEX(对接源_01水果!$H$4:$H$1203,$AF136)),N(INDEX(对接源_02物料!$H$4:$H$1203,$AF136-1200)))=0,"",ROUND(IF($AF136&lt;=1200,N(INDEX(对接源_01水果!$K$4:$K$1203,$AF136)),N(INDEX(对接源_02物料!$K$4:$K$1203,$AF136-1200)))/IF($AF136&lt;=1200,N(INDEX(对接源_01水果!$H$4:$H$1203,$AF136)),N(INDEX(对接源_02物料!$H$4:$H$1203,$AF136-1200))),2)))</f>
        <v/>
      </c>
      <c r="H136" s="56" t="str">
        <f aca="false">IF($AF136="","",IF($AF136&lt;=1200,IF(INDEX(对接源_01水果!$K$4:$K$1203,$AF136)=0,"",INDEX(对接源_01水果!$K$4:$K$1203,$AF136)),IF(INDEX(对接源_02物料!$K$4:$K$1203,$AF136-1200)=0,"",INDEX(对接源_02物料!$K$4:$K$1203,$AF136-1200))))</f>
        <v/>
      </c>
      <c r="I136" s="46" t="str">
        <f aca="false">IF($AF136="","",IF($AF136&lt;=1200,IF(INDEX(对接源_01水果!$L$4:$L$1203,$AF136)=0,"",INDEX(对接源_01水果!$L$4:$L$1203,$AF136)),IF(INDEX(对接源_02物料!$L$4:$L$1203,$AF136-1200)=0,"",INDEX(对接源_02物料!$L$4:$L$1203,$AF136-1200))))</f>
        <v/>
      </c>
      <c r="J136" s="47" t="str">
        <f aca="false"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44" t="str">
        <f aca="false">IFERROR(MATCH(28,_自动清单!$AI$4:$AI$2403,0),"")</f>
        <v/>
      </c>
    </row>
    <row r="137" customFormat="false" ht="18" hidden="false" customHeight="true" outlineLevel="0" collapsed="false">
      <c r="A137" s="40" t="str">
        <f aca="false"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41" t="str">
        <f aca="false"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42" t="str">
        <f aca="false"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D137" s="42" t="str">
        <f aca="false"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E137" s="55" t="str">
        <f aca="false">IF($AF137="","",IF($AF137&lt;=1200,IF(INDEX(对接源_01水果!$H$4:$H$1203,$AF137)=0,"",INDEX(对接源_01水果!$H$4:$H$1203,$AF137)),IF(INDEX(对接源_02物料!$H$4:$H$1203,$AF137-1200)=0,"",INDEX(对接源_02物料!$H$4:$H$1203,$AF137-1200))))</f>
        <v/>
      </c>
      <c r="F137" s="41" t="str">
        <f aca="false">IF($AF137="","",IF($AF137&lt;=1200,IF(INDEX(对接源_01水果!$I$4:$I$1203,$AF137)=0,"",INDEX(对接源_01水果!$I$4:$I$1203,$AF137)),IF(INDEX(对接源_02物料!$I$4:$I$1203,$AF137-1200)=0,"",INDEX(对接源_02物料!$I$4:$I$1203,$AF137-1200))))</f>
        <v/>
      </c>
      <c r="G137" s="55" t="str">
        <f aca="false">IF($AF137="","",IF(IF($AF137&lt;=1200,N(INDEX(对接源_01水果!$H$4:$H$1203,$AF137)),N(INDEX(对接源_02物料!$H$4:$H$1203,$AF137-1200)))=0,"",ROUND(IF($AF137&lt;=1200,N(INDEX(对接源_01水果!$K$4:$K$1203,$AF137)),N(INDEX(对接源_02物料!$K$4:$K$1203,$AF137-1200)))/IF($AF137&lt;=1200,N(INDEX(对接源_01水果!$H$4:$H$1203,$AF137)),N(INDEX(对接源_02物料!$H$4:$H$1203,$AF137-1200))),2)))</f>
        <v/>
      </c>
      <c r="H137" s="55" t="str">
        <f aca="false">IF($AF137="","",IF($AF137&lt;=1200,IF(INDEX(对接源_01水果!$K$4:$K$1203,$AF137)=0,"",INDEX(对接源_01水果!$K$4:$K$1203,$AF137)),IF(INDEX(对接源_02物料!$K$4:$K$1203,$AF137-1200)=0,"",INDEX(对接源_02物料!$K$4:$K$1203,$AF137-1200))))</f>
        <v/>
      </c>
      <c r="I137" s="41" t="str">
        <f aca="false">IF($AF137="","",IF($AF137&lt;=1200,IF(INDEX(对接源_01水果!$L$4:$L$1203,$AF137)=0,"",INDEX(对接源_01水果!$L$4:$L$1203,$AF137)),IF(INDEX(对接源_02物料!$L$4:$L$1203,$AF137-1200)=0,"",INDEX(对接源_02物料!$L$4:$L$1203,$AF137-1200))))</f>
        <v/>
      </c>
      <c r="J137" s="42" t="str">
        <f aca="false"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44" t="str">
        <f aca="false">IFERROR(MATCH(29,_自动清单!$AI$4:$AI$2403,0),"")</f>
        <v/>
      </c>
    </row>
    <row r="138" customFormat="false" ht="18" hidden="false" customHeight="true" outlineLevel="0" collapsed="false">
      <c r="A138" s="45" t="str">
        <f aca="false"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46" t="str">
        <f aca="false"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47" t="str">
        <f aca="false"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D138" s="47" t="str">
        <f aca="false"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E138" s="56" t="str">
        <f aca="false">IF($AF138="","",IF($AF138&lt;=1200,IF(INDEX(对接源_01水果!$H$4:$H$1203,$AF138)=0,"",INDEX(对接源_01水果!$H$4:$H$1203,$AF138)),IF(INDEX(对接源_02物料!$H$4:$H$1203,$AF138-1200)=0,"",INDEX(对接源_02物料!$H$4:$H$1203,$AF138-1200))))</f>
        <v/>
      </c>
      <c r="F138" s="46" t="str">
        <f aca="false">IF($AF138="","",IF($AF138&lt;=1200,IF(INDEX(对接源_01水果!$I$4:$I$1203,$AF138)=0,"",INDEX(对接源_01水果!$I$4:$I$1203,$AF138)),IF(INDEX(对接源_02物料!$I$4:$I$1203,$AF138-1200)=0,"",INDEX(对接源_02物料!$I$4:$I$1203,$AF138-1200))))</f>
        <v/>
      </c>
      <c r="G138" s="56" t="str">
        <f aca="false">IF($AF138="","",IF(IF($AF138&lt;=1200,N(INDEX(对接源_01水果!$H$4:$H$1203,$AF138)),N(INDEX(对接源_02物料!$H$4:$H$1203,$AF138-1200)))=0,"",ROUND(IF($AF138&lt;=1200,N(INDEX(对接源_01水果!$K$4:$K$1203,$AF138)),N(INDEX(对接源_02物料!$K$4:$K$1203,$AF138-1200)))/IF($AF138&lt;=1200,N(INDEX(对接源_01水果!$H$4:$H$1203,$AF138)),N(INDEX(对接源_02物料!$H$4:$H$1203,$AF138-1200))),2)))</f>
        <v/>
      </c>
      <c r="H138" s="56" t="str">
        <f aca="false">IF($AF138="","",IF($AF138&lt;=1200,IF(INDEX(对接源_01水果!$K$4:$K$1203,$AF138)=0,"",INDEX(对接源_01水果!$K$4:$K$1203,$AF138)),IF(INDEX(对接源_02物料!$K$4:$K$1203,$AF138-1200)=0,"",INDEX(对接源_02物料!$K$4:$K$1203,$AF138-1200))))</f>
        <v/>
      </c>
      <c r="I138" s="46" t="str">
        <f aca="false">IF($AF138="","",IF($AF138&lt;=1200,IF(INDEX(对接源_01水果!$L$4:$L$1203,$AF138)=0,"",INDEX(对接源_01水果!$L$4:$L$1203,$AF138)),IF(INDEX(对接源_02物料!$L$4:$L$1203,$AF138-1200)=0,"",INDEX(对接源_02物料!$L$4:$L$1203,$AF138-1200))))</f>
        <v/>
      </c>
      <c r="J138" s="47" t="str">
        <f aca="false"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44" t="str">
        <f aca="false">IFERROR(MATCH(30,_自动清单!$AI$4:$AI$2403,0),"")</f>
        <v/>
      </c>
    </row>
    <row r="139" customFormat="false" ht="18" hidden="false" customHeight="true" outlineLevel="0" collapsed="false">
      <c r="A139" s="40" t="str">
        <f aca="false"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41" t="str">
        <f aca="false"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42" t="str">
        <f aca="false"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D139" s="42" t="str">
        <f aca="false"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E139" s="55" t="str">
        <f aca="false">IF($AF139="","",IF($AF139&lt;=1200,IF(INDEX(对接源_01水果!$H$4:$H$1203,$AF139)=0,"",INDEX(对接源_01水果!$H$4:$H$1203,$AF139)),IF(INDEX(对接源_02物料!$H$4:$H$1203,$AF139-1200)=0,"",INDEX(对接源_02物料!$H$4:$H$1203,$AF139-1200))))</f>
        <v/>
      </c>
      <c r="F139" s="41" t="str">
        <f aca="false">IF($AF139="","",IF($AF139&lt;=1200,IF(INDEX(对接源_01水果!$I$4:$I$1203,$AF139)=0,"",INDEX(对接源_01水果!$I$4:$I$1203,$AF139)),IF(INDEX(对接源_02物料!$I$4:$I$1203,$AF139-1200)=0,"",INDEX(对接源_02物料!$I$4:$I$1203,$AF139-1200))))</f>
        <v/>
      </c>
      <c r="G139" s="55" t="str">
        <f aca="false">IF($AF139="","",IF(IF($AF139&lt;=1200,N(INDEX(对接源_01水果!$H$4:$H$1203,$AF139)),N(INDEX(对接源_02物料!$H$4:$H$1203,$AF139-1200)))=0,"",ROUND(IF($AF139&lt;=1200,N(INDEX(对接源_01水果!$K$4:$K$1203,$AF139)),N(INDEX(对接源_02物料!$K$4:$K$1203,$AF139-1200)))/IF($AF139&lt;=1200,N(INDEX(对接源_01水果!$H$4:$H$1203,$AF139)),N(INDEX(对接源_02物料!$H$4:$H$1203,$AF139-1200))),2)))</f>
        <v/>
      </c>
      <c r="H139" s="55" t="str">
        <f aca="false">IF($AF139="","",IF($AF139&lt;=1200,IF(INDEX(对接源_01水果!$K$4:$K$1203,$AF139)=0,"",INDEX(对接源_01水果!$K$4:$K$1203,$AF139)),IF(INDEX(对接源_02物料!$K$4:$K$1203,$AF139-1200)=0,"",INDEX(对接源_02物料!$K$4:$K$1203,$AF139-1200))))</f>
        <v/>
      </c>
      <c r="I139" s="41" t="str">
        <f aca="false">IF($AF139="","",IF($AF139&lt;=1200,IF(INDEX(对接源_01水果!$L$4:$L$1203,$AF139)=0,"",INDEX(对接源_01水果!$L$4:$L$1203,$AF139)),IF(INDEX(对接源_02物料!$L$4:$L$1203,$AF139-1200)=0,"",INDEX(对接源_02物料!$L$4:$L$1203,$AF139-1200))))</f>
        <v/>
      </c>
      <c r="J139" s="42" t="str">
        <f aca="false"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44" t="str">
        <f aca="false">IFERROR(MATCH(31,_自动清单!$AI$4:$AI$2403,0),"")</f>
        <v/>
      </c>
    </row>
    <row r="140" customFormat="false" ht="18" hidden="false" customHeight="true" outlineLevel="0" collapsed="false">
      <c r="A140" s="45" t="str">
        <f aca="false"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46" t="str">
        <f aca="false"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47" t="str">
        <f aca="false"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D140" s="47" t="str">
        <f aca="false"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E140" s="56" t="str">
        <f aca="false">IF($AF140="","",IF($AF140&lt;=1200,IF(INDEX(对接源_01水果!$H$4:$H$1203,$AF140)=0,"",INDEX(对接源_01水果!$H$4:$H$1203,$AF140)),IF(INDEX(对接源_02物料!$H$4:$H$1203,$AF140-1200)=0,"",INDEX(对接源_02物料!$H$4:$H$1203,$AF140-1200))))</f>
        <v/>
      </c>
      <c r="F140" s="46" t="str">
        <f aca="false">IF($AF140="","",IF($AF140&lt;=1200,IF(INDEX(对接源_01水果!$I$4:$I$1203,$AF140)=0,"",INDEX(对接源_01水果!$I$4:$I$1203,$AF140)),IF(INDEX(对接源_02物料!$I$4:$I$1203,$AF140-1200)=0,"",INDEX(对接源_02物料!$I$4:$I$1203,$AF140-1200))))</f>
        <v/>
      </c>
      <c r="G140" s="56" t="str">
        <f aca="false">IF($AF140="","",IF(IF($AF140&lt;=1200,N(INDEX(对接源_01水果!$H$4:$H$1203,$AF140)),N(INDEX(对接源_02物料!$H$4:$H$1203,$AF140-1200)))=0,"",ROUND(IF($AF140&lt;=1200,N(INDEX(对接源_01水果!$K$4:$K$1203,$AF140)),N(INDEX(对接源_02物料!$K$4:$K$1203,$AF140-1200)))/IF($AF140&lt;=1200,N(INDEX(对接源_01水果!$H$4:$H$1203,$AF140)),N(INDEX(对接源_02物料!$H$4:$H$1203,$AF140-1200))),2)))</f>
        <v/>
      </c>
      <c r="H140" s="56" t="str">
        <f aca="false">IF($AF140="","",IF($AF140&lt;=1200,IF(INDEX(对接源_01水果!$K$4:$K$1203,$AF140)=0,"",INDEX(对接源_01水果!$K$4:$K$1203,$AF140)),IF(INDEX(对接源_02物料!$K$4:$K$1203,$AF140-1200)=0,"",INDEX(对接源_02物料!$K$4:$K$1203,$AF140-1200))))</f>
        <v/>
      </c>
      <c r="I140" s="46" t="str">
        <f aca="false">IF($AF140="","",IF($AF140&lt;=1200,IF(INDEX(对接源_01水果!$L$4:$L$1203,$AF140)=0,"",INDEX(对接源_01水果!$L$4:$L$1203,$AF140)),IF(INDEX(对接源_02物料!$L$4:$L$1203,$AF140-1200)=0,"",INDEX(对接源_02物料!$L$4:$L$1203,$AF140-1200))))</f>
        <v/>
      </c>
      <c r="J140" s="47" t="str">
        <f aca="false"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44" t="str">
        <f aca="false">IFERROR(MATCH(32,_自动清单!$AI$4:$AI$2403,0),"")</f>
        <v/>
      </c>
    </row>
    <row r="141" customFormat="false" ht="18" hidden="false" customHeight="true" outlineLevel="0" collapsed="false">
      <c r="A141" s="40" t="str">
        <f aca="false"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41" t="str">
        <f aca="false"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42" t="str">
        <f aca="false"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D141" s="42" t="str">
        <f aca="false"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E141" s="55" t="str">
        <f aca="false">IF($AF141="","",IF($AF141&lt;=1200,IF(INDEX(对接源_01水果!$H$4:$H$1203,$AF141)=0,"",INDEX(对接源_01水果!$H$4:$H$1203,$AF141)),IF(INDEX(对接源_02物料!$H$4:$H$1203,$AF141-1200)=0,"",INDEX(对接源_02物料!$H$4:$H$1203,$AF141-1200))))</f>
        <v/>
      </c>
      <c r="F141" s="41" t="str">
        <f aca="false">IF($AF141="","",IF($AF141&lt;=1200,IF(INDEX(对接源_01水果!$I$4:$I$1203,$AF141)=0,"",INDEX(对接源_01水果!$I$4:$I$1203,$AF141)),IF(INDEX(对接源_02物料!$I$4:$I$1203,$AF141-1200)=0,"",INDEX(对接源_02物料!$I$4:$I$1203,$AF141-1200))))</f>
        <v/>
      </c>
      <c r="G141" s="55" t="str">
        <f aca="false">IF($AF141="","",IF(IF($AF141&lt;=1200,N(INDEX(对接源_01水果!$H$4:$H$1203,$AF141)),N(INDEX(对接源_02物料!$H$4:$H$1203,$AF141-1200)))=0,"",ROUND(IF($AF141&lt;=1200,N(INDEX(对接源_01水果!$K$4:$K$1203,$AF141)),N(INDEX(对接源_02物料!$K$4:$K$1203,$AF141-1200)))/IF($AF141&lt;=1200,N(INDEX(对接源_01水果!$H$4:$H$1203,$AF141)),N(INDEX(对接源_02物料!$H$4:$H$1203,$AF141-1200))),2)))</f>
        <v/>
      </c>
      <c r="H141" s="55" t="str">
        <f aca="false">IF($AF141="","",IF($AF141&lt;=1200,IF(INDEX(对接源_01水果!$K$4:$K$1203,$AF141)=0,"",INDEX(对接源_01水果!$K$4:$K$1203,$AF141)),IF(INDEX(对接源_02物料!$K$4:$K$1203,$AF141-1200)=0,"",INDEX(对接源_02物料!$K$4:$K$1203,$AF141-1200))))</f>
        <v/>
      </c>
      <c r="I141" s="41" t="str">
        <f aca="false">IF($AF141="","",IF($AF141&lt;=1200,IF(INDEX(对接源_01水果!$L$4:$L$1203,$AF141)=0,"",INDEX(对接源_01水果!$L$4:$L$1203,$AF141)),IF(INDEX(对接源_02物料!$L$4:$L$1203,$AF141-1200)=0,"",INDEX(对接源_02物料!$L$4:$L$1203,$AF141-1200))))</f>
        <v/>
      </c>
      <c r="J141" s="42" t="str">
        <f aca="false"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44" t="str">
        <f aca="false">IFERROR(MATCH(33,_自动清单!$AI$4:$AI$2403,0),"")</f>
        <v/>
      </c>
    </row>
    <row r="142" customFormat="false" ht="18" hidden="false" customHeight="true" outlineLevel="0" collapsed="false">
      <c r="A142" s="45" t="str">
        <f aca="false"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46" t="str">
        <f aca="false"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47" t="str">
        <f aca="false"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D142" s="47" t="str">
        <f aca="false"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E142" s="56" t="str">
        <f aca="false">IF($AF142="","",IF($AF142&lt;=1200,IF(INDEX(对接源_01水果!$H$4:$H$1203,$AF142)=0,"",INDEX(对接源_01水果!$H$4:$H$1203,$AF142)),IF(INDEX(对接源_02物料!$H$4:$H$1203,$AF142-1200)=0,"",INDEX(对接源_02物料!$H$4:$H$1203,$AF142-1200))))</f>
        <v/>
      </c>
      <c r="F142" s="46" t="str">
        <f aca="false">IF($AF142="","",IF($AF142&lt;=1200,IF(INDEX(对接源_01水果!$I$4:$I$1203,$AF142)=0,"",INDEX(对接源_01水果!$I$4:$I$1203,$AF142)),IF(INDEX(对接源_02物料!$I$4:$I$1203,$AF142-1200)=0,"",INDEX(对接源_02物料!$I$4:$I$1203,$AF142-1200))))</f>
        <v/>
      </c>
      <c r="G142" s="56" t="str">
        <f aca="false">IF($AF142="","",IF(IF($AF142&lt;=1200,N(INDEX(对接源_01水果!$H$4:$H$1203,$AF142)),N(INDEX(对接源_02物料!$H$4:$H$1203,$AF142-1200)))=0,"",ROUND(IF($AF142&lt;=1200,N(INDEX(对接源_01水果!$K$4:$K$1203,$AF142)),N(INDEX(对接源_02物料!$K$4:$K$1203,$AF142-1200)))/IF($AF142&lt;=1200,N(INDEX(对接源_01水果!$H$4:$H$1203,$AF142)),N(INDEX(对接源_02物料!$H$4:$H$1203,$AF142-1200))),2)))</f>
        <v/>
      </c>
      <c r="H142" s="56" t="str">
        <f aca="false">IF($AF142="","",IF($AF142&lt;=1200,IF(INDEX(对接源_01水果!$K$4:$K$1203,$AF142)=0,"",INDEX(对接源_01水果!$K$4:$K$1203,$AF142)),IF(INDEX(对接源_02物料!$K$4:$K$1203,$AF142-1200)=0,"",INDEX(对接源_02物料!$K$4:$K$1203,$AF142-1200))))</f>
        <v/>
      </c>
      <c r="I142" s="46" t="str">
        <f aca="false">IF($AF142="","",IF($AF142&lt;=1200,IF(INDEX(对接源_01水果!$L$4:$L$1203,$AF142)=0,"",INDEX(对接源_01水果!$L$4:$L$1203,$AF142)),IF(INDEX(对接源_02物料!$L$4:$L$1203,$AF142-1200)=0,"",INDEX(对接源_02物料!$L$4:$L$1203,$AF142-1200))))</f>
        <v/>
      </c>
      <c r="J142" s="47" t="str">
        <f aca="false"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44" t="str">
        <f aca="false">IFERROR(MATCH(34,_自动清单!$AI$4:$AI$2403,0),"")</f>
        <v/>
      </c>
    </row>
    <row r="143" customFormat="false" ht="18" hidden="false" customHeight="true" outlineLevel="0" collapsed="false">
      <c r="A143" s="40" t="str">
        <f aca="false"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41" t="str">
        <f aca="false"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42" t="str">
        <f aca="false"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D143" s="42" t="str">
        <f aca="false"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E143" s="55" t="str">
        <f aca="false">IF($AF143="","",IF($AF143&lt;=1200,IF(INDEX(对接源_01水果!$H$4:$H$1203,$AF143)=0,"",INDEX(对接源_01水果!$H$4:$H$1203,$AF143)),IF(INDEX(对接源_02物料!$H$4:$H$1203,$AF143-1200)=0,"",INDEX(对接源_02物料!$H$4:$H$1203,$AF143-1200))))</f>
        <v/>
      </c>
      <c r="F143" s="41" t="str">
        <f aca="false">IF($AF143="","",IF($AF143&lt;=1200,IF(INDEX(对接源_01水果!$I$4:$I$1203,$AF143)=0,"",INDEX(对接源_01水果!$I$4:$I$1203,$AF143)),IF(INDEX(对接源_02物料!$I$4:$I$1203,$AF143-1200)=0,"",INDEX(对接源_02物料!$I$4:$I$1203,$AF143-1200))))</f>
        <v/>
      </c>
      <c r="G143" s="55" t="str">
        <f aca="false">IF($AF143="","",IF(IF($AF143&lt;=1200,N(INDEX(对接源_01水果!$H$4:$H$1203,$AF143)),N(INDEX(对接源_02物料!$H$4:$H$1203,$AF143-1200)))=0,"",ROUND(IF($AF143&lt;=1200,N(INDEX(对接源_01水果!$K$4:$K$1203,$AF143)),N(INDEX(对接源_02物料!$K$4:$K$1203,$AF143-1200)))/IF($AF143&lt;=1200,N(INDEX(对接源_01水果!$H$4:$H$1203,$AF143)),N(INDEX(对接源_02物料!$H$4:$H$1203,$AF143-1200))),2)))</f>
        <v/>
      </c>
      <c r="H143" s="55" t="str">
        <f aca="false">IF($AF143="","",IF($AF143&lt;=1200,IF(INDEX(对接源_01水果!$K$4:$K$1203,$AF143)=0,"",INDEX(对接源_01水果!$K$4:$K$1203,$AF143)),IF(INDEX(对接源_02物料!$K$4:$K$1203,$AF143-1200)=0,"",INDEX(对接源_02物料!$K$4:$K$1203,$AF143-1200))))</f>
        <v/>
      </c>
      <c r="I143" s="41" t="str">
        <f aca="false">IF($AF143="","",IF($AF143&lt;=1200,IF(INDEX(对接源_01水果!$L$4:$L$1203,$AF143)=0,"",INDEX(对接源_01水果!$L$4:$L$1203,$AF143)),IF(INDEX(对接源_02物料!$L$4:$L$1203,$AF143-1200)=0,"",INDEX(对接源_02物料!$L$4:$L$1203,$AF143-1200))))</f>
        <v/>
      </c>
      <c r="J143" s="42" t="str">
        <f aca="false"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44" t="str">
        <f aca="false">IFERROR(MATCH(35,_自动清单!$AI$4:$AI$2403,0),"")</f>
        <v/>
      </c>
    </row>
    <row r="144" customFormat="false" ht="18" hidden="false" customHeight="true" outlineLevel="0" collapsed="false">
      <c r="A144" s="45" t="str">
        <f aca="false"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46" t="str">
        <f aca="false"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47" t="str">
        <f aca="false"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D144" s="47" t="str">
        <f aca="false"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E144" s="56" t="str">
        <f aca="false">IF($AF144="","",IF($AF144&lt;=1200,IF(INDEX(对接源_01水果!$H$4:$H$1203,$AF144)=0,"",INDEX(对接源_01水果!$H$4:$H$1203,$AF144)),IF(INDEX(对接源_02物料!$H$4:$H$1203,$AF144-1200)=0,"",INDEX(对接源_02物料!$H$4:$H$1203,$AF144-1200))))</f>
        <v/>
      </c>
      <c r="F144" s="46" t="str">
        <f aca="false">IF($AF144="","",IF($AF144&lt;=1200,IF(INDEX(对接源_01水果!$I$4:$I$1203,$AF144)=0,"",INDEX(对接源_01水果!$I$4:$I$1203,$AF144)),IF(INDEX(对接源_02物料!$I$4:$I$1203,$AF144-1200)=0,"",INDEX(对接源_02物料!$I$4:$I$1203,$AF144-1200))))</f>
        <v/>
      </c>
      <c r="G144" s="56" t="str">
        <f aca="false">IF($AF144="","",IF(IF($AF144&lt;=1200,N(INDEX(对接源_01水果!$H$4:$H$1203,$AF144)),N(INDEX(对接源_02物料!$H$4:$H$1203,$AF144-1200)))=0,"",ROUND(IF($AF144&lt;=1200,N(INDEX(对接源_01水果!$K$4:$K$1203,$AF144)),N(INDEX(对接源_02物料!$K$4:$K$1203,$AF144-1200)))/IF($AF144&lt;=1200,N(INDEX(对接源_01水果!$H$4:$H$1203,$AF144)),N(INDEX(对接源_02物料!$H$4:$H$1203,$AF144-1200))),2)))</f>
        <v/>
      </c>
      <c r="H144" s="56" t="str">
        <f aca="false">IF($AF144="","",IF($AF144&lt;=1200,IF(INDEX(对接源_01水果!$K$4:$K$1203,$AF144)=0,"",INDEX(对接源_01水果!$K$4:$K$1203,$AF144)),IF(INDEX(对接源_02物料!$K$4:$K$1203,$AF144-1200)=0,"",INDEX(对接源_02物料!$K$4:$K$1203,$AF144-1200))))</f>
        <v/>
      </c>
      <c r="I144" s="46" t="str">
        <f aca="false">IF($AF144="","",IF($AF144&lt;=1200,IF(INDEX(对接源_01水果!$L$4:$L$1203,$AF144)=0,"",INDEX(对接源_01水果!$L$4:$L$1203,$AF144)),IF(INDEX(对接源_02物料!$L$4:$L$1203,$AF144-1200)=0,"",INDEX(对接源_02物料!$L$4:$L$1203,$AF144-1200))))</f>
        <v/>
      </c>
      <c r="J144" s="47" t="str">
        <f aca="false"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44" t="str">
        <f aca="false">IFERROR(MATCH(36,_自动清单!$AI$4:$AI$2403,0),"")</f>
        <v/>
      </c>
    </row>
    <row r="145" customFormat="false" ht="18" hidden="false" customHeight="true" outlineLevel="0" collapsed="false">
      <c r="A145" s="40" t="str">
        <f aca="false"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41" t="str">
        <f aca="false"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42" t="str">
        <f aca="false"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D145" s="42" t="str">
        <f aca="false"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E145" s="55" t="str">
        <f aca="false">IF($AF145="","",IF($AF145&lt;=1200,IF(INDEX(对接源_01水果!$H$4:$H$1203,$AF145)=0,"",INDEX(对接源_01水果!$H$4:$H$1203,$AF145)),IF(INDEX(对接源_02物料!$H$4:$H$1203,$AF145-1200)=0,"",INDEX(对接源_02物料!$H$4:$H$1203,$AF145-1200))))</f>
        <v/>
      </c>
      <c r="F145" s="41" t="str">
        <f aca="false">IF($AF145="","",IF($AF145&lt;=1200,IF(INDEX(对接源_01水果!$I$4:$I$1203,$AF145)=0,"",INDEX(对接源_01水果!$I$4:$I$1203,$AF145)),IF(INDEX(对接源_02物料!$I$4:$I$1203,$AF145-1200)=0,"",INDEX(对接源_02物料!$I$4:$I$1203,$AF145-1200))))</f>
        <v/>
      </c>
      <c r="G145" s="55" t="str">
        <f aca="false">IF($AF145="","",IF(IF($AF145&lt;=1200,N(INDEX(对接源_01水果!$H$4:$H$1203,$AF145)),N(INDEX(对接源_02物料!$H$4:$H$1203,$AF145-1200)))=0,"",ROUND(IF($AF145&lt;=1200,N(INDEX(对接源_01水果!$K$4:$K$1203,$AF145)),N(INDEX(对接源_02物料!$K$4:$K$1203,$AF145-1200)))/IF($AF145&lt;=1200,N(INDEX(对接源_01水果!$H$4:$H$1203,$AF145)),N(INDEX(对接源_02物料!$H$4:$H$1203,$AF145-1200))),2)))</f>
        <v/>
      </c>
      <c r="H145" s="55" t="str">
        <f aca="false">IF($AF145="","",IF($AF145&lt;=1200,IF(INDEX(对接源_01水果!$K$4:$K$1203,$AF145)=0,"",INDEX(对接源_01水果!$K$4:$K$1203,$AF145)),IF(INDEX(对接源_02物料!$K$4:$K$1203,$AF145-1200)=0,"",INDEX(对接源_02物料!$K$4:$K$1203,$AF145-1200))))</f>
        <v/>
      </c>
      <c r="I145" s="41" t="str">
        <f aca="false">IF($AF145="","",IF($AF145&lt;=1200,IF(INDEX(对接源_01水果!$L$4:$L$1203,$AF145)=0,"",INDEX(对接源_01水果!$L$4:$L$1203,$AF145)),IF(INDEX(对接源_02物料!$L$4:$L$1203,$AF145-1200)=0,"",INDEX(对接源_02物料!$L$4:$L$1203,$AF145-1200))))</f>
        <v/>
      </c>
      <c r="J145" s="42" t="str">
        <f aca="false"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44" t="str">
        <f aca="false">IFERROR(MATCH(37,_自动清单!$AI$4:$AI$2403,0),"")</f>
        <v/>
      </c>
    </row>
    <row r="146" customFormat="false" ht="18" hidden="false" customHeight="true" outlineLevel="0" collapsed="false">
      <c r="A146" s="45" t="str">
        <f aca="false"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46" t="str">
        <f aca="false"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47" t="str">
        <f aca="false"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D146" s="47" t="str">
        <f aca="false"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E146" s="56" t="str">
        <f aca="false">IF($AF146="","",IF($AF146&lt;=1200,IF(INDEX(对接源_01水果!$H$4:$H$1203,$AF146)=0,"",INDEX(对接源_01水果!$H$4:$H$1203,$AF146)),IF(INDEX(对接源_02物料!$H$4:$H$1203,$AF146-1200)=0,"",INDEX(对接源_02物料!$H$4:$H$1203,$AF146-1200))))</f>
        <v/>
      </c>
      <c r="F146" s="46" t="str">
        <f aca="false">IF($AF146="","",IF($AF146&lt;=1200,IF(INDEX(对接源_01水果!$I$4:$I$1203,$AF146)=0,"",INDEX(对接源_01水果!$I$4:$I$1203,$AF146)),IF(INDEX(对接源_02物料!$I$4:$I$1203,$AF146-1200)=0,"",INDEX(对接源_02物料!$I$4:$I$1203,$AF146-1200))))</f>
        <v/>
      </c>
      <c r="G146" s="56" t="str">
        <f aca="false">IF($AF146="","",IF(IF($AF146&lt;=1200,N(INDEX(对接源_01水果!$H$4:$H$1203,$AF146)),N(INDEX(对接源_02物料!$H$4:$H$1203,$AF146-1200)))=0,"",ROUND(IF($AF146&lt;=1200,N(INDEX(对接源_01水果!$K$4:$K$1203,$AF146)),N(INDEX(对接源_02物料!$K$4:$K$1203,$AF146-1200)))/IF($AF146&lt;=1200,N(INDEX(对接源_01水果!$H$4:$H$1203,$AF146)),N(INDEX(对接源_02物料!$H$4:$H$1203,$AF146-1200))),2)))</f>
        <v/>
      </c>
      <c r="H146" s="56" t="str">
        <f aca="false">IF($AF146="","",IF($AF146&lt;=1200,IF(INDEX(对接源_01水果!$K$4:$K$1203,$AF146)=0,"",INDEX(对接源_01水果!$K$4:$K$1203,$AF146)),IF(INDEX(对接源_02物料!$K$4:$K$1203,$AF146-1200)=0,"",INDEX(对接源_02物料!$K$4:$K$1203,$AF146-1200))))</f>
        <v/>
      </c>
      <c r="I146" s="46" t="str">
        <f aca="false">IF($AF146="","",IF($AF146&lt;=1200,IF(INDEX(对接源_01水果!$L$4:$L$1203,$AF146)=0,"",INDEX(对接源_01水果!$L$4:$L$1203,$AF146)),IF(INDEX(对接源_02物料!$L$4:$L$1203,$AF146-1200)=0,"",INDEX(对接源_02物料!$L$4:$L$1203,$AF146-1200))))</f>
        <v/>
      </c>
      <c r="J146" s="47" t="str">
        <f aca="false"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44" t="str">
        <f aca="false">IFERROR(MATCH(38,_自动清单!$AI$4:$AI$2403,0),"")</f>
        <v/>
      </c>
    </row>
    <row r="147" customFormat="false" ht="18" hidden="false" customHeight="true" outlineLevel="0" collapsed="false">
      <c r="A147" s="40" t="str">
        <f aca="false"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41" t="str">
        <f aca="false"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42" t="str">
        <f aca="false"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D147" s="42" t="str">
        <f aca="false"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E147" s="55" t="str">
        <f aca="false">IF($AF147="","",IF($AF147&lt;=1200,IF(INDEX(对接源_01水果!$H$4:$H$1203,$AF147)=0,"",INDEX(对接源_01水果!$H$4:$H$1203,$AF147)),IF(INDEX(对接源_02物料!$H$4:$H$1203,$AF147-1200)=0,"",INDEX(对接源_02物料!$H$4:$H$1203,$AF147-1200))))</f>
        <v/>
      </c>
      <c r="F147" s="41" t="str">
        <f aca="false">IF($AF147="","",IF($AF147&lt;=1200,IF(INDEX(对接源_01水果!$I$4:$I$1203,$AF147)=0,"",INDEX(对接源_01水果!$I$4:$I$1203,$AF147)),IF(INDEX(对接源_02物料!$I$4:$I$1203,$AF147-1200)=0,"",INDEX(对接源_02物料!$I$4:$I$1203,$AF147-1200))))</f>
        <v/>
      </c>
      <c r="G147" s="55" t="str">
        <f aca="false">IF($AF147="","",IF(IF($AF147&lt;=1200,N(INDEX(对接源_01水果!$H$4:$H$1203,$AF147)),N(INDEX(对接源_02物料!$H$4:$H$1203,$AF147-1200)))=0,"",ROUND(IF($AF147&lt;=1200,N(INDEX(对接源_01水果!$K$4:$K$1203,$AF147)),N(INDEX(对接源_02物料!$K$4:$K$1203,$AF147-1200)))/IF($AF147&lt;=1200,N(INDEX(对接源_01水果!$H$4:$H$1203,$AF147)),N(INDEX(对接源_02物料!$H$4:$H$1203,$AF147-1200))),2)))</f>
        <v/>
      </c>
      <c r="H147" s="55" t="str">
        <f aca="false">IF($AF147="","",IF($AF147&lt;=1200,IF(INDEX(对接源_01水果!$K$4:$K$1203,$AF147)=0,"",INDEX(对接源_01水果!$K$4:$K$1203,$AF147)),IF(INDEX(对接源_02物料!$K$4:$K$1203,$AF147-1200)=0,"",INDEX(对接源_02物料!$K$4:$K$1203,$AF147-1200))))</f>
        <v/>
      </c>
      <c r="I147" s="41" t="str">
        <f aca="false">IF($AF147="","",IF($AF147&lt;=1200,IF(INDEX(对接源_01水果!$L$4:$L$1203,$AF147)=0,"",INDEX(对接源_01水果!$L$4:$L$1203,$AF147)),IF(INDEX(对接源_02物料!$L$4:$L$1203,$AF147-1200)=0,"",INDEX(对接源_02物料!$L$4:$L$1203,$AF147-1200))))</f>
        <v/>
      </c>
      <c r="J147" s="42" t="str">
        <f aca="false"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44" t="str">
        <f aca="false">IFERROR(MATCH(39,_自动清单!$AI$4:$AI$2403,0),"")</f>
        <v/>
      </c>
    </row>
    <row r="148" customFormat="false" ht="18" hidden="false" customHeight="true" outlineLevel="0" collapsed="false">
      <c r="A148" s="45" t="str">
        <f aca="false"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46" t="str">
        <f aca="false"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47" t="str">
        <f aca="false"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D148" s="47" t="str">
        <f aca="false"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E148" s="56" t="str">
        <f aca="false">IF($AF148="","",IF($AF148&lt;=1200,IF(INDEX(对接源_01水果!$H$4:$H$1203,$AF148)=0,"",INDEX(对接源_01水果!$H$4:$H$1203,$AF148)),IF(INDEX(对接源_02物料!$H$4:$H$1203,$AF148-1200)=0,"",INDEX(对接源_02物料!$H$4:$H$1203,$AF148-1200))))</f>
        <v/>
      </c>
      <c r="F148" s="46" t="str">
        <f aca="false">IF($AF148="","",IF($AF148&lt;=1200,IF(INDEX(对接源_01水果!$I$4:$I$1203,$AF148)=0,"",INDEX(对接源_01水果!$I$4:$I$1203,$AF148)),IF(INDEX(对接源_02物料!$I$4:$I$1203,$AF148-1200)=0,"",INDEX(对接源_02物料!$I$4:$I$1203,$AF148-1200))))</f>
        <v/>
      </c>
      <c r="G148" s="56" t="str">
        <f aca="false">IF($AF148="","",IF(IF($AF148&lt;=1200,N(INDEX(对接源_01水果!$H$4:$H$1203,$AF148)),N(INDEX(对接源_02物料!$H$4:$H$1203,$AF148-1200)))=0,"",ROUND(IF($AF148&lt;=1200,N(INDEX(对接源_01水果!$K$4:$K$1203,$AF148)),N(INDEX(对接源_02物料!$K$4:$K$1203,$AF148-1200)))/IF($AF148&lt;=1200,N(INDEX(对接源_01水果!$H$4:$H$1203,$AF148)),N(INDEX(对接源_02物料!$H$4:$H$1203,$AF148-1200))),2)))</f>
        <v/>
      </c>
      <c r="H148" s="56" t="str">
        <f aca="false">IF($AF148="","",IF($AF148&lt;=1200,IF(INDEX(对接源_01水果!$K$4:$K$1203,$AF148)=0,"",INDEX(对接源_01水果!$K$4:$K$1203,$AF148)),IF(INDEX(对接源_02物料!$K$4:$K$1203,$AF148-1200)=0,"",INDEX(对接源_02物料!$K$4:$K$1203,$AF148-1200))))</f>
        <v/>
      </c>
      <c r="I148" s="46" t="str">
        <f aca="false">IF($AF148="","",IF($AF148&lt;=1200,IF(INDEX(对接源_01水果!$L$4:$L$1203,$AF148)=0,"",INDEX(对接源_01水果!$L$4:$L$1203,$AF148)),IF(INDEX(对接源_02物料!$L$4:$L$1203,$AF148-1200)=0,"",INDEX(对接源_02物料!$L$4:$L$1203,$AF148-1200))))</f>
        <v/>
      </c>
      <c r="J148" s="47" t="str">
        <f aca="false"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44" t="str">
        <f aca="false">IFERROR(MATCH(40,_自动清单!$AI$4:$AI$2403,0),"")</f>
        <v/>
      </c>
    </row>
    <row r="149" customFormat="false" ht="18" hidden="false" customHeight="true" outlineLevel="0" collapsed="false">
      <c r="A149" s="40" t="str">
        <f aca="false"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41" t="str">
        <f aca="false"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42" t="str">
        <f aca="false"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D149" s="42" t="str">
        <f aca="false"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E149" s="55" t="str">
        <f aca="false">IF($AF149="","",IF($AF149&lt;=1200,IF(INDEX(对接源_01水果!$H$4:$H$1203,$AF149)=0,"",INDEX(对接源_01水果!$H$4:$H$1203,$AF149)),IF(INDEX(对接源_02物料!$H$4:$H$1203,$AF149-1200)=0,"",INDEX(对接源_02物料!$H$4:$H$1203,$AF149-1200))))</f>
        <v/>
      </c>
      <c r="F149" s="41" t="str">
        <f aca="false">IF($AF149="","",IF($AF149&lt;=1200,IF(INDEX(对接源_01水果!$I$4:$I$1203,$AF149)=0,"",INDEX(对接源_01水果!$I$4:$I$1203,$AF149)),IF(INDEX(对接源_02物料!$I$4:$I$1203,$AF149-1200)=0,"",INDEX(对接源_02物料!$I$4:$I$1203,$AF149-1200))))</f>
        <v/>
      </c>
      <c r="G149" s="55" t="str">
        <f aca="false">IF($AF149="","",IF(IF($AF149&lt;=1200,N(INDEX(对接源_01水果!$H$4:$H$1203,$AF149)),N(INDEX(对接源_02物料!$H$4:$H$1203,$AF149-1200)))=0,"",ROUND(IF($AF149&lt;=1200,N(INDEX(对接源_01水果!$K$4:$K$1203,$AF149)),N(INDEX(对接源_02物料!$K$4:$K$1203,$AF149-1200)))/IF($AF149&lt;=1200,N(INDEX(对接源_01水果!$H$4:$H$1203,$AF149)),N(INDEX(对接源_02物料!$H$4:$H$1203,$AF149-1200))),2)))</f>
        <v/>
      </c>
      <c r="H149" s="55" t="str">
        <f aca="false">IF($AF149="","",IF($AF149&lt;=1200,IF(INDEX(对接源_01水果!$K$4:$K$1203,$AF149)=0,"",INDEX(对接源_01水果!$K$4:$K$1203,$AF149)),IF(INDEX(对接源_02物料!$K$4:$K$1203,$AF149-1200)=0,"",INDEX(对接源_02物料!$K$4:$K$1203,$AF149-1200))))</f>
        <v/>
      </c>
      <c r="I149" s="41" t="str">
        <f aca="false">IF($AF149="","",IF($AF149&lt;=1200,IF(INDEX(对接源_01水果!$L$4:$L$1203,$AF149)=0,"",INDEX(对接源_01水果!$L$4:$L$1203,$AF149)),IF(INDEX(对接源_02物料!$L$4:$L$1203,$AF149-1200)=0,"",INDEX(对接源_02物料!$L$4:$L$1203,$AF149-1200))))</f>
        <v/>
      </c>
      <c r="J149" s="42" t="str">
        <f aca="false"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44" t="str">
        <f aca="false">IFERROR(MATCH(41,_自动清单!$AI$4:$AI$2403,0),"")</f>
        <v/>
      </c>
    </row>
    <row r="150" customFormat="false" ht="18" hidden="false" customHeight="true" outlineLevel="0" collapsed="false">
      <c r="A150" s="45" t="str">
        <f aca="false"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46" t="str">
        <f aca="false"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47" t="str">
        <f aca="false"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D150" s="47" t="str">
        <f aca="false"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E150" s="56" t="str">
        <f aca="false">IF($AF150="","",IF($AF150&lt;=1200,IF(INDEX(对接源_01水果!$H$4:$H$1203,$AF150)=0,"",INDEX(对接源_01水果!$H$4:$H$1203,$AF150)),IF(INDEX(对接源_02物料!$H$4:$H$1203,$AF150-1200)=0,"",INDEX(对接源_02物料!$H$4:$H$1203,$AF150-1200))))</f>
        <v/>
      </c>
      <c r="F150" s="46" t="str">
        <f aca="false">IF($AF150="","",IF($AF150&lt;=1200,IF(INDEX(对接源_01水果!$I$4:$I$1203,$AF150)=0,"",INDEX(对接源_01水果!$I$4:$I$1203,$AF150)),IF(INDEX(对接源_02物料!$I$4:$I$1203,$AF150-1200)=0,"",INDEX(对接源_02物料!$I$4:$I$1203,$AF150-1200))))</f>
        <v/>
      </c>
      <c r="G150" s="56" t="str">
        <f aca="false">IF($AF150="","",IF(IF($AF150&lt;=1200,N(INDEX(对接源_01水果!$H$4:$H$1203,$AF150)),N(INDEX(对接源_02物料!$H$4:$H$1203,$AF150-1200)))=0,"",ROUND(IF($AF150&lt;=1200,N(INDEX(对接源_01水果!$K$4:$K$1203,$AF150)),N(INDEX(对接源_02物料!$K$4:$K$1203,$AF150-1200)))/IF($AF150&lt;=1200,N(INDEX(对接源_01水果!$H$4:$H$1203,$AF150)),N(INDEX(对接源_02物料!$H$4:$H$1203,$AF150-1200))),2)))</f>
        <v/>
      </c>
      <c r="H150" s="56" t="str">
        <f aca="false">IF($AF150="","",IF($AF150&lt;=1200,IF(INDEX(对接源_01水果!$K$4:$K$1203,$AF150)=0,"",INDEX(对接源_01水果!$K$4:$K$1203,$AF150)),IF(INDEX(对接源_02物料!$K$4:$K$1203,$AF150-1200)=0,"",INDEX(对接源_02物料!$K$4:$K$1203,$AF150-1200))))</f>
        <v/>
      </c>
      <c r="I150" s="46" t="str">
        <f aca="false">IF($AF150="","",IF($AF150&lt;=1200,IF(INDEX(对接源_01水果!$L$4:$L$1203,$AF150)=0,"",INDEX(对接源_01水果!$L$4:$L$1203,$AF150)),IF(INDEX(对接源_02物料!$L$4:$L$1203,$AF150-1200)=0,"",INDEX(对接源_02物料!$L$4:$L$1203,$AF150-1200))))</f>
        <v/>
      </c>
      <c r="J150" s="47" t="str">
        <f aca="false"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44" t="str">
        <f aca="false">IFERROR(MATCH(42,_自动清单!$AI$4:$AI$2403,0),"")</f>
        <v/>
      </c>
    </row>
    <row r="151" customFormat="false" ht="18" hidden="false" customHeight="true" outlineLevel="0" collapsed="false">
      <c r="A151" s="40" t="str">
        <f aca="false"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41" t="str">
        <f aca="false"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42" t="str">
        <f aca="false"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D151" s="42" t="str">
        <f aca="false"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E151" s="55" t="str">
        <f aca="false">IF($AF151="","",IF($AF151&lt;=1200,IF(INDEX(对接源_01水果!$H$4:$H$1203,$AF151)=0,"",INDEX(对接源_01水果!$H$4:$H$1203,$AF151)),IF(INDEX(对接源_02物料!$H$4:$H$1203,$AF151-1200)=0,"",INDEX(对接源_02物料!$H$4:$H$1203,$AF151-1200))))</f>
        <v/>
      </c>
      <c r="F151" s="41" t="str">
        <f aca="false">IF($AF151="","",IF($AF151&lt;=1200,IF(INDEX(对接源_01水果!$I$4:$I$1203,$AF151)=0,"",INDEX(对接源_01水果!$I$4:$I$1203,$AF151)),IF(INDEX(对接源_02物料!$I$4:$I$1203,$AF151-1200)=0,"",INDEX(对接源_02物料!$I$4:$I$1203,$AF151-1200))))</f>
        <v/>
      </c>
      <c r="G151" s="55" t="str">
        <f aca="false">IF($AF151="","",IF(IF($AF151&lt;=1200,N(INDEX(对接源_01水果!$H$4:$H$1203,$AF151)),N(INDEX(对接源_02物料!$H$4:$H$1203,$AF151-1200)))=0,"",ROUND(IF($AF151&lt;=1200,N(INDEX(对接源_01水果!$K$4:$K$1203,$AF151)),N(INDEX(对接源_02物料!$K$4:$K$1203,$AF151-1200)))/IF($AF151&lt;=1200,N(INDEX(对接源_01水果!$H$4:$H$1203,$AF151)),N(INDEX(对接源_02物料!$H$4:$H$1203,$AF151-1200))),2)))</f>
        <v/>
      </c>
      <c r="H151" s="55" t="str">
        <f aca="false">IF($AF151="","",IF($AF151&lt;=1200,IF(INDEX(对接源_01水果!$K$4:$K$1203,$AF151)=0,"",INDEX(对接源_01水果!$K$4:$K$1203,$AF151)),IF(INDEX(对接源_02物料!$K$4:$K$1203,$AF151-1200)=0,"",INDEX(对接源_02物料!$K$4:$K$1203,$AF151-1200))))</f>
        <v/>
      </c>
      <c r="I151" s="41" t="str">
        <f aca="false">IF($AF151="","",IF($AF151&lt;=1200,IF(INDEX(对接源_01水果!$L$4:$L$1203,$AF151)=0,"",INDEX(对接源_01水果!$L$4:$L$1203,$AF151)),IF(INDEX(对接源_02物料!$L$4:$L$1203,$AF151-1200)=0,"",INDEX(对接源_02物料!$L$4:$L$1203,$AF151-1200))))</f>
        <v/>
      </c>
      <c r="J151" s="42" t="str">
        <f aca="false"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44" t="str">
        <f aca="false">IFERROR(MATCH(43,_自动清单!$AI$4:$AI$2403,0),"")</f>
        <v/>
      </c>
    </row>
    <row r="152" customFormat="false" ht="18" hidden="false" customHeight="true" outlineLevel="0" collapsed="false">
      <c r="A152" s="45" t="str">
        <f aca="false"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46" t="str">
        <f aca="false"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47" t="str">
        <f aca="false"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D152" s="47" t="str">
        <f aca="false"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E152" s="56" t="str">
        <f aca="false">IF($AF152="","",IF($AF152&lt;=1200,IF(INDEX(对接源_01水果!$H$4:$H$1203,$AF152)=0,"",INDEX(对接源_01水果!$H$4:$H$1203,$AF152)),IF(INDEX(对接源_02物料!$H$4:$H$1203,$AF152-1200)=0,"",INDEX(对接源_02物料!$H$4:$H$1203,$AF152-1200))))</f>
        <v/>
      </c>
      <c r="F152" s="46" t="str">
        <f aca="false">IF($AF152="","",IF($AF152&lt;=1200,IF(INDEX(对接源_01水果!$I$4:$I$1203,$AF152)=0,"",INDEX(对接源_01水果!$I$4:$I$1203,$AF152)),IF(INDEX(对接源_02物料!$I$4:$I$1203,$AF152-1200)=0,"",INDEX(对接源_02物料!$I$4:$I$1203,$AF152-1200))))</f>
        <v/>
      </c>
      <c r="G152" s="56" t="str">
        <f aca="false">IF($AF152="","",IF(IF($AF152&lt;=1200,N(INDEX(对接源_01水果!$H$4:$H$1203,$AF152)),N(INDEX(对接源_02物料!$H$4:$H$1203,$AF152-1200)))=0,"",ROUND(IF($AF152&lt;=1200,N(INDEX(对接源_01水果!$K$4:$K$1203,$AF152)),N(INDEX(对接源_02物料!$K$4:$K$1203,$AF152-1200)))/IF($AF152&lt;=1200,N(INDEX(对接源_01水果!$H$4:$H$1203,$AF152)),N(INDEX(对接源_02物料!$H$4:$H$1203,$AF152-1200))),2)))</f>
        <v/>
      </c>
      <c r="H152" s="56" t="str">
        <f aca="false">IF($AF152="","",IF($AF152&lt;=1200,IF(INDEX(对接源_01水果!$K$4:$K$1203,$AF152)=0,"",INDEX(对接源_01水果!$K$4:$K$1203,$AF152)),IF(INDEX(对接源_02物料!$K$4:$K$1203,$AF152-1200)=0,"",INDEX(对接源_02物料!$K$4:$K$1203,$AF152-1200))))</f>
        <v/>
      </c>
      <c r="I152" s="46" t="str">
        <f aca="false">IF($AF152="","",IF($AF152&lt;=1200,IF(INDEX(对接源_01水果!$L$4:$L$1203,$AF152)=0,"",INDEX(对接源_01水果!$L$4:$L$1203,$AF152)),IF(INDEX(对接源_02物料!$L$4:$L$1203,$AF152-1200)=0,"",INDEX(对接源_02物料!$L$4:$L$1203,$AF152-1200))))</f>
        <v/>
      </c>
      <c r="J152" s="47" t="str">
        <f aca="false"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44" t="str">
        <f aca="false">IFERROR(MATCH(44,_自动清单!$AI$4:$AI$2403,0),"")</f>
        <v/>
      </c>
    </row>
    <row r="153" customFormat="false" ht="18" hidden="false" customHeight="true" outlineLevel="0" collapsed="false">
      <c r="A153" s="40" t="str">
        <f aca="false"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41" t="str">
        <f aca="false"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42" t="str">
        <f aca="false"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D153" s="42" t="str">
        <f aca="false"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E153" s="55" t="str">
        <f aca="false">IF($AF153="","",IF($AF153&lt;=1200,IF(INDEX(对接源_01水果!$H$4:$H$1203,$AF153)=0,"",INDEX(对接源_01水果!$H$4:$H$1203,$AF153)),IF(INDEX(对接源_02物料!$H$4:$H$1203,$AF153-1200)=0,"",INDEX(对接源_02物料!$H$4:$H$1203,$AF153-1200))))</f>
        <v/>
      </c>
      <c r="F153" s="41" t="str">
        <f aca="false">IF($AF153="","",IF($AF153&lt;=1200,IF(INDEX(对接源_01水果!$I$4:$I$1203,$AF153)=0,"",INDEX(对接源_01水果!$I$4:$I$1203,$AF153)),IF(INDEX(对接源_02物料!$I$4:$I$1203,$AF153-1200)=0,"",INDEX(对接源_02物料!$I$4:$I$1203,$AF153-1200))))</f>
        <v/>
      </c>
      <c r="G153" s="55" t="str">
        <f aca="false">IF($AF153="","",IF(IF($AF153&lt;=1200,N(INDEX(对接源_01水果!$H$4:$H$1203,$AF153)),N(INDEX(对接源_02物料!$H$4:$H$1203,$AF153-1200)))=0,"",ROUND(IF($AF153&lt;=1200,N(INDEX(对接源_01水果!$K$4:$K$1203,$AF153)),N(INDEX(对接源_02物料!$K$4:$K$1203,$AF153-1200)))/IF($AF153&lt;=1200,N(INDEX(对接源_01水果!$H$4:$H$1203,$AF153)),N(INDEX(对接源_02物料!$H$4:$H$1203,$AF153-1200))),2)))</f>
        <v/>
      </c>
      <c r="H153" s="55" t="str">
        <f aca="false">IF($AF153="","",IF($AF153&lt;=1200,IF(INDEX(对接源_01水果!$K$4:$K$1203,$AF153)=0,"",INDEX(对接源_01水果!$K$4:$K$1203,$AF153)),IF(INDEX(对接源_02物料!$K$4:$K$1203,$AF153-1200)=0,"",INDEX(对接源_02物料!$K$4:$K$1203,$AF153-1200))))</f>
        <v/>
      </c>
      <c r="I153" s="41" t="str">
        <f aca="false">IF($AF153="","",IF($AF153&lt;=1200,IF(INDEX(对接源_01水果!$L$4:$L$1203,$AF153)=0,"",INDEX(对接源_01水果!$L$4:$L$1203,$AF153)),IF(INDEX(对接源_02物料!$L$4:$L$1203,$AF153-1200)=0,"",INDEX(对接源_02物料!$L$4:$L$1203,$AF153-1200))))</f>
        <v/>
      </c>
      <c r="J153" s="42" t="str">
        <f aca="false"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44" t="str">
        <f aca="false">IFERROR(MATCH(45,_自动清单!$AI$4:$AI$2403,0),"")</f>
        <v/>
      </c>
    </row>
    <row r="154" customFormat="false" ht="18" hidden="false" customHeight="true" outlineLevel="0" collapsed="false">
      <c r="A154" s="45" t="str">
        <f aca="false"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46" t="str">
        <f aca="false"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47" t="str">
        <f aca="false"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D154" s="47" t="str">
        <f aca="false"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E154" s="56" t="str">
        <f aca="false">IF($AF154="","",IF($AF154&lt;=1200,IF(INDEX(对接源_01水果!$H$4:$H$1203,$AF154)=0,"",INDEX(对接源_01水果!$H$4:$H$1203,$AF154)),IF(INDEX(对接源_02物料!$H$4:$H$1203,$AF154-1200)=0,"",INDEX(对接源_02物料!$H$4:$H$1203,$AF154-1200))))</f>
        <v/>
      </c>
      <c r="F154" s="46" t="str">
        <f aca="false">IF($AF154="","",IF($AF154&lt;=1200,IF(INDEX(对接源_01水果!$I$4:$I$1203,$AF154)=0,"",INDEX(对接源_01水果!$I$4:$I$1203,$AF154)),IF(INDEX(对接源_02物料!$I$4:$I$1203,$AF154-1200)=0,"",INDEX(对接源_02物料!$I$4:$I$1203,$AF154-1200))))</f>
        <v/>
      </c>
      <c r="G154" s="56" t="str">
        <f aca="false">IF($AF154="","",IF(IF($AF154&lt;=1200,N(INDEX(对接源_01水果!$H$4:$H$1203,$AF154)),N(INDEX(对接源_02物料!$H$4:$H$1203,$AF154-1200)))=0,"",ROUND(IF($AF154&lt;=1200,N(INDEX(对接源_01水果!$K$4:$K$1203,$AF154)),N(INDEX(对接源_02物料!$K$4:$K$1203,$AF154-1200)))/IF($AF154&lt;=1200,N(INDEX(对接源_01水果!$H$4:$H$1203,$AF154)),N(INDEX(对接源_02物料!$H$4:$H$1203,$AF154-1200))),2)))</f>
        <v/>
      </c>
      <c r="H154" s="56" t="str">
        <f aca="false">IF($AF154="","",IF($AF154&lt;=1200,IF(INDEX(对接源_01水果!$K$4:$K$1203,$AF154)=0,"",INDEX(对接源_01水果!$K$4:$K$1203,$AF154)),IF(INDEX(对接源_02物料!$K$4:$K$1203,$AF154-1200)=0,"",INDEX(对接源_02物料!$K$4:$K$1203,$AF154-1200))))</f>
        <v/>
      </c>
      <c r="I154" s="46" t="str">
        <f aca="false">IF($AF154="","",IF($AF154&lt;=1200,IF(INDEX(对接源_01水果!$L$4:$L$1203,$AF154)=0,"",INDEX(对接源_01水果!$L$4:$L$1203,$AF154)),IF(INDEX(对接源_02物料!$L$4:$L$1203,$AF154-1200)=0,"",INDEX(对接源_02物料!$L$4:$L$1203,$AF154-1200))))</f>
        <v/>
      </c>
      <c r="J154" s="47" t="str">
        <f aca="false"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44" t="str">
        <f aca="false">IFERROR(MATCH(46,_自动清单!$AI$4:$AI$2403,0),"")</f>
        <v/>
      </c>
    </row>
    <row r="155" customFormat="false" ht="18" hidden="false" customHeight="true" outlineLevel="0" collapsed="false">
      <c r="A155" s="40" t="str">
        <f aca="false"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41" t="str">
        <f aca="false"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42" t="str">
        <f aca="false"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D155" s="42" t="str">
        <f aca="false"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E155" s="55" t="str">
        <f aca="false">IF($AF155="","",IF($AF155&lt;=1200,IF(INDEX(对接源_01水果!$H$4:$H$1203,$AF155)=0,"",INDEX(对接源_01水果!$H$4:$H$1203,$AF155)),IF(INDEX(对接源_02物料!$H$4:$H$1203,$AF155-1200)=0,"",INDEX(对接源_02物料!$H$4:$H$1203,$AF155-1200))))</f>
        <v/>
      </c>
      <c r="F155" s="41" t="str">
        <f aca="false">IF($AF155="","",IF($AF155&lt;=1200,IF(INDEX(对接源_01水果!$I$4:$I$1203,$AF155)=0,"",INDEX(对接源_01水果!$I$4:$I$1203,$AF155)),IF(INDEX(对接源_02物料!$I$4:$I$1203,$AF155-1200)=0,"",INDEX(对接源_02物料!$I$4:$I$1203,$AF155-1200))))</f>
        <v/>
      </c>
      <c r="G155" s="55" t="str">
        <f aca="false">IF($AF155="","",IF(IF($AF155&lt;=1200,N(INDEX(对接源_01水果!$H$4:$H$1203,$AF155)),N(INDEX(对接源_02物料!$H$4:$H$1203,$AF155-1200)))=0,"",ROUND(IF($AF155&lt;=1200,N(INDEX(对接源_01水果!$K$4:$K$1203,$AF155)),N(INDEX(对接源_02物料!$K$4:$K$1203,$AF155-1200)))/IF($AF155&lt;=1200,N(INDEX(对接源_01水果!$H$4:$H$1203,$AF155)),N(INDEX(对接源_02物料!$H$4:$H$1203,$AF155-1200))),2)))</f>
        <v/>
      </c>
      <c r="H155" s="55" t="str">
        <f aca="false">IF($AF155="","",IF($AF155&lt;=1200,IF(INDEX(对接源_01水果!$K$4:$K$1203,$AF155)=0,"",INDEX(对接源_01水果!$K$4:$K$1203,$AF155)),IF(INDEX(对接源_02物料!$K$4:$K$1203,$AF155-1200)=0,"",INDEX(对接源_02物料!$K$4:$K$1203,$AF155-1200))))</f>
        <v/>
      </c>
      <c r="I155" s="41" t="str">
        <f aca="false">IF($AF155="","",IF($AF155&lt;=1200,IF(INDEX(对接源_01水果!$L$4:$L$1203,$AF155)=0,"",INDEX(对接源_01水果!$L$4:$L$1203,$AF155)),IF(INDEX(对接源_02物料!$L$4:$L$1203,$AF155-1200)=0,"",INDEX(对接源_02物料!$L$4:$L$1203,$AF155-1200))))</f>
        <v/>
      </c>
      <c r="J155" s="42" t="str">
        <f aca="false"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44" t="str">
        <f aca="false">IFERROR(MATCH(47,_自动清单!$AI$4:$AI$2403,0),"")</f>
        <v/>
      </c>
    </row>
    <row r="156" customFormat="false" ht="18" hidden="false" customHeight="true" outlineLevel="0" collapsed="false">
      <c r="A156" s="45" t="str">
        <f aca="false"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46" t="str">
        <f aca="false"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47" t="str">
        <f aca="false"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D156" s="47" t="str">
        <f aca="false"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E156" s="56" t="str">
        <f aca="false">IF($AF156="","",IF($AF156&lt;=1200,IF(INDEX(对接源_01水果!$H$4:$H$1203,$AF156)=0,"",INDEX(对接源_01水果!$H$4:$H$1203,$AF156)),IF(INDEX(对接源_02物料!$H$4:$H$1203,$AF156-1200)=0,"",INDEX(对接源_02物料!$H$4:$H$1203,$AF156-1200))))</f>
        <v/>
      </c>
      <c r="F156" s="46" t="str">
        <f aca="false">IF($AF156="","",IF($AF156&lt;=1200,IF(INDEX(对接源_01水果!$I$4:$I$1203,$AF156)=0,"",INDEX(对接源_01水果!$I$4:$I$1203,$AF156)),IF(INDEX(对接源_02物料!$I$4:$I$1203,$AF156-1200)=0,"",INDEX(对接源_02物料!$I$4:$I$1203,$AF156-1200))))</f>
        <v/>
      </c>
      <c r="G156" s="56" t="str">
        <f aca="false">IF($AF156="","",IF(IF($AF156&lt;=1200,N(INDEX(对接源_01水果!$H$4:$H$1203,$AF156)),N(INDEX(对接源_02物料!$H$4:$H$1203,$AF156-1200)))=0,"",ROUND(IF($AF156&lt;=1200,N(INDEX(对接源_01水果!$K$4:$K$1203,$AF156)),N(INDEX(对接源_02物料!$K$4:$K$1203,$AF156-1200)))/IF($AF156&lt;=1200,N(INDEX(对接源_01水果!$H$4:$H$1203,$AF156)),N(INDEX(对接源_02物料!$H$4:$H$1203,$AF156-1200))),2)))</f>
        <v/>
      </c>
      <c r="H156" s="56" t="str">
        <f aca="false">IF($AF156="","",IF($AF156&lt;=1200,IF(INDEX(对接源_01水果!$K$4:$K$1203,$AF156)=0,"",INDEX(对接源_01水果!$K$4:$K$1203,$AF156)),IF(INDEX(对接源_02物料!$K$4:$K$1203,$AF156-1200)=0,"",INDEX(对接源_02物料!$K$4:$K$1203,$AF156-1200))))</f>
        <v/>
      </c>
      <c r="I156" s="46" t="str">
        <f aca="false">IF($AF156="","",IF($AF156&lt;=1200,IF(INDEX(对接源_01水果!$L$4:$L$1203,$AF156)=0,"",INDEX(对接源_01水果!$L$4:$L$1203,$AF156)),IF(INDEX(对接源_02物料!$L$4:$L$1203,$AF156-1200)=0,"",INDEX(对接源_02物料!$L$4:$L$1203,$AF156-1200))))</f>
        <v/>
      </c>
      <c r="J156" s="47" t="str">
        <f aca="false"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44" t="str">
        <f aca="false">IFERROR(MATCH(48,_自动清单!$AI$4:$AI$2403,0),"")</f>
        <v/>
      </c>
    </row>
    <row r="157" customFormat="false" ht="18" hidden="false" customHeight="true" outlineLevel="0" collapsed="false">
      <c r="A157" s="40" t="str">
        <f aca="false"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41" t="str">
        <f aca="false"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42" t="str">
        <f aca="false"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D157" s="42" t="str">
        <f aca="false"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E157" s="55" t="str">
        <f aca="false">IF($AF157="","",IF($AF157&lt;=1200,IF(INDEX(对接源_01水果!$H$4:$H$1203,$AF157)=0,"",INDEX(对接源_01水果!$H$4:$H$1203,$AF157)),IF(INDEX(对接源_02物料!$H$4:$H$1203,$AF157-1200)=0,"",INDEX(对接源_02物料!$H$4:$H$1203,$AF157-1200))))</f>
        <v/>
      </c>
      <c r="F157" s="41" t="str">
        <f aca="false">IF($AF157="","",IF($AF157&lt;=1200,IF(INDEX(对接源_01水果!$I$4:$I$1203,$AF157)=0,"",INDEX(对接源_01水果!$I$4:$I$1203,$AF157)),IF(INDEX(对接源_02物料!$I$4:$I$1203,$AF157-1200)=0,"",INDEX(对接源_02物料!$I$4:$I$1203,$AF157-1200))))</f>
        <v/>
      </c>
      <c r="G157" s="55" t="str">
        <f aca="false">IF($AF157="","",IF(IF($AF157&lt;=1200,N(INDEX(对接源_01水果!$H$4:$H$1203,$AF157)),N(INDEX(对接源_02物料!$H$4:$H$1203,$AF157-1200)))=0,"",ROUND(IF($AF157&lt;=1200,N(INDEX(对接源_01水果!$K$4:$K$1203,$AF157)),N(INDEX(对接源_02物料!$K$4:$K$1203,$AF157-1200)))/IF($AF157&lt;=1200,N(INDEX(对接源_01水果!$H$4:$H$1203,$AF157)),N(INDEX(对接源_02物料!$H$4:$H$1203,$AF157-1200))),2)))</f>
        <v/>
      </c>
      <c r="H157" s="55" t="str">
        <f aca="false">IF($AF157="","",IF($AF157&lt;=1200,IF(INDEX(对接源_01水果!$K$4:$K$1203,$AF157)=0,"",INDEX(对接源_01水果!$K$4:$K$1203,$AF157)),IF(INDEX(对接源_02物料!$K$4:$K$1203,$AF157-1200)=0,"",INDEX(对接源_02物料!$K$4:$K$1203,$AF157-1200))))</f>
        <v/>
      </c>
      <c r="I157" s="41" t="str">
        <f aca="false">IF($AF157="","",IF($AF157&lt;=1200,IF(INDEX(对接源_01水果!$L$4:$L$1203,$AF157)=0,"",INDEX(对接源_01水果!$L$4:$L$1203,$AF157)),IF(INDEX(对接源_02物料!$L$4:$L$1203,$AF157-1200)=0,"",INDEX(对接源_02物料!$L$4:$L$1203,$AF157-1200))))</f>
        <v/>
      </c>
      <c r="J157" s="42" t="str">
        <f aca="false"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44" t="str">
        <f aca="false">IFERROR(MATCH(49,_自动清单!$AI$4:$AI$2403,0),"")</f>
        <v/>
      </c>
    </row>
    <row r="158" customFormat="false" ht="18" hidden="false" customHeight="true" outlineLevel="0" collapsed="false">
      <c r="A158" s="45" t="str">
        <f aca="false"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46" t="str">
        <f aca="false"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47" t="str">
        <f aca="false"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D158" s="47" t="str">
        <f aca="false"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E158" s="56" t="str">
        <f aca="false">IF($AF158="","",IF($AF158&lt;=1200,IF(INDEX(对接源_01水果!$H$4:$H$1203,$AF158)=0,"",INDEX(对接源_01水果!$H$4:$H$1203,$AF158)),IF(INDEX(对接源_02物料!$H$4:$H$1203,$AF158-1200)=0,"",INDEX(对接源_02物料!$H$4:$H$1203,$AF158-1200))))</f>
        <v/>
      </c>
      <c r="F158" s="46" t="str">
        <f aca="false">IF($AF158="","",IF($AF158&lt;=1200,IF(INDEX(对接源_01水果!$I$4:$I$1203,$AF158)=0,"",INDEX(对接源_01水果!$I$4:$I$1203,$AF158)),IF(INDEX(对接源_02物料!$I$4:$I$1203,$AF158-1200)=0,"",INDEX(对接源_02物料!$I$4:$I$1203,$AF158-1200))))</f>
        <v/>
      </c>
      <c r="G158" s="56" t="str">
        <f aca="false">IF($AF158="","",IF(IF($AF158&lt;=1200,N(INDEX(对接源_01水果!$H$4:$H$1203,$AF158)),N(INDEX(对接源_02物料!$H$4:$H$1203,$AF158-1200)))=0,"",ROUND(IF($AF158&lt;=1200,N(INDEX(对接源_01水果!$K$4:$K$1203,$AF158)),N(INDEX(对接源_02物料!$K$4:$K$1203,$AF158-1200)))/IF($AF158&lt;=1200,N(INDEX(对接源_01水果!$H$4:$H$1203,$AF158)),N(INDEX(对接源_02物料!$H$4:$H$1203,$AF158-1200))),2)))</f>
        <v/>
      </c>
      <c r="H158" s="56" t="str">
        <f aca="false">IF($AF158="","",IF($AF158&lt;=1200,IF(INDEX(对接源_01水果!$K$4:$K$1203,$AF158)=0,"",INDEX(对接源_01水果!$K$4:$K$1203,$AF158)),IF(INDEX(对接源_02物料!$K$4:$K$1203,$AF158-1200)=0,"",INDEX(对接源_02物料!$K$4:$K$1203,$AF158-1200))))</f>
        <v/>
      </c>
      <c r="I158" s="46" t="str">
        <f aca="false">IF($AF158="","",IF($AF158&lt;=1200,IF(INDEX(对接源_01水果!$L$4:$L$1203,$AF158)=0,"",INDEX(对接源_01水果!$L$4:$L$1203,$AF158)),IF(INDEX(对接源_02物料!$L$4:$L$1203,$AF158-1200)=0,"",INDEX(对接源_02物料!$L$4:$L$1203,$AF158-1200))))</f>
        <v/>
      </c>
      <c r="J158" s="47" t="str">
        <f aca="false"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44" t="str">
        <f aca="false">IFERROR(MATCH(50,_自动清单!$AI$4:$AI$2403,0),"")</f>
        <v/>
      </c>
    </row>
    <row r="159" customFormat="false" ht="18" hidden="false" customHeight="true" outlineLevel="0" collapsed="false">
      <c r="A159" s="40" t="str">
        <f aca="false"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41" t="str">
        <f aca="false"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42" t="str">
        <f aca="false"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D159" s="42" t="str">
        <f aca="false"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E159" s="55" t="str">
        <f aca="false">IF($AF159="","",IF($AF159&lt;=1200,IF(INDEX(对接源_01水果!$H$4:$H$1203,$AF159)=0,"",INDEX(对接源_01水果!$H$4:$H$1203,$AF159)),IF(INDEX(对接源_02物料!$H$4:$H$1203,$AF159-1200)=0,"",INDEX(对接源_02物料!$H$4:$H$1203,$AF159-1200))))</f>
        <v/>
      </c>
      <c r="F159" s="41" t="str">
        <f aca="false">IF($AF159="","",IF($AF159&lt;=1200,IF(INDEX(对接源_01水果!$I$4:$I$1203,$AF159)=0,"",INDEX(对接源_01水果!$I$4:$I$1203,$AF159)),IF(INDEX(对接源_02物料!$I$4:$I$1203,$AF159-1200)=0,"",INDEX(对接源_02物料!$I$4:$I$1203,$AF159-1200))))</f>
        <v/>
      </c>
      <c r="G159" s="55" t="str">
        <f aca="false">IF($AF159="","",IF(IF($AF159&lt;=1200,N(INDEX(对接源_01水果!$H$4:$H$1203,$AF159)),N(INDEX(对接源_02物料!$H$4:$H$1203,$AF159-1200)))=0,"",ROUND(IF($AF159&lt;=1200,N(INDEX(对接源_01水果!$K$4:$K$1203,$AF159)),N(INDEX(对接源_02物料!$K$4:$K$1203,$AF159-1200)))/IF($AF159&lt;=1200,N(INDEX(对接源_01水果!$H$4:$H$1203,$AF159)),N(INDEX(对接源_02物料!$H$4:$H$1203,$AF159-1200))),2)))</f>
        <v/>
      </c>
      <c r="H159" s="55" t="str">
        <f aca="false">IF($AF159="","",IF($AF159&lt;=1200,IF(INDEX(对接源_01水果!$K$4:$K$1203,$AF159)=0,"",INDEX(对接源_01水果!$K$4:$K$1203,$AF159)),IF(INDEX(对接源_02物料!$K$4:$K$1203,$AF159-1200)=0,"",INDEX(对接源_02物料!$K$4:$K$1203,$AF159-1200))))</f>
        <v/>
      </c>
      <c r="I159" s="41" t="str">
        <f aca="false">IF($AF159="","",IF($AF159&lt;=1200,IF(INDEX(对接源_01水果!$L$4:$L$1203,$AF159)=0,"",INDEX(对接源_01水果!$L$4:$L$1203,$AF159)),IF(INDEX(对接源_02物料!$L$4:$L$1203,$AF159-1200)=0,"",INDEX(对接源_02物料!$L$4:$L$1203,$AF159-1200))))</f>
        <v/>
      </c>
      <c r="J159" s="42" t="str">
        <f aca="false"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44" t="str">
        <f aca="false">IFERROR(MATCH(51,_自动清单!$AI$4:$AI$2403,0),"")</f>
        <v/>
      </c>
    </row>
    <row r="160" customFormat="false" ht="18" hidden="false" customHeight="true" outlineLevel="0" collapsed="false">
      <c r="A160" s="45" t="str">
        <f aca="false"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46" t="str">
        <f aca="false"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47" t="str">
        <f aca="false"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D160" s="47" t="str">
        <f aca="false"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E160" s="56" t="str">
        <f aca="false">IF($AF160="","",IF($AF160&lt;=1200,IF(INDEX(对接源_01水果!$H$4:$H$1203,$AF160)=0,"",INDEX(对接源_01水果!$H$4:$H$1203,$AF160)),IF(INDEX(对接源_02物料!$H$4:$H$1203,$AF160-1200)=0,"",INDEX(对接源_02物料!$H$4:$H$1203,$AF160-1200))))</f>
        <v/>
      </c>
      <c r="F160" s="46" t="str">
        <f aca="false">IF($AF160="","",IF($AF160&lt;=1200,IF(INDEX(对接源_01水果!$I$4:$I$1203,$AF160)=0,"",INDEX(对接源_01水果!$I$4:$I$1203,$AF160)),IF(INDEX(对接源_02物料!$I$4:$I$1203,$AF160-1200)=0,"",INDEX(对接源_02物料!$I$4:$I$1203,$AF160-1200))))</f>
        <v/>
      </c>
      <c r="G160" s="56" t="str">
        <f aca="false">IF($AF160="","",IF(IF($AF160&lt;=1200,N(INDEX(对接源_01水果!$H$4:$H$1203,$AF160)),N(INDEX(对接源_02物料!$H$4:$H$1203,$AF160-1200)))=0,"",ROUND(IF($AF160&lt;=1200,N(INDEX(对接源_01水果!$K$4:$K$1203,$AF160)),N(INDEX(对接源_02物料!$K$4:$K$1203,$AF160-1200)))/IF($AF160&lt;=1200,N(INDEX(对接源_01水果!$H$4:$H$1203,$AF160)),N(INDEX(对接源_02物料!$H$4:$H$1203,$AF160-1200))),2)))</f>
        <v/>
      </c>
      <c r="H160" s="56" t="str">
        <f aca="false">IF($AF160="","",IF($AF160&lt;=1200,IF(INDEX(对接源_01水果!$K$4:$K$1203,$AF160)=0,"",INDEX(对接源_01水果!$K$4:$K$1203,$AF160)),IF(INDEX(对接源_02物料!$K$4:$K$1203,$AF160-1200)=0,"",INDEX(对接源_02物料!$K$4:$K$1203,$AF160-1200))))</f>
        <v/>
      </c>
      <c r="I160" s="46" t="str">
        <f aca="false">IF($AF160="","",IF($AF160&lt;=1200,IF(INDEX(对接源_01水果!$L$4:$L$1203,$AF160)=0,"",INDEX(对接源_01水果!$L$4:$L$1203,$AF160)),IF(INDEX(对接源_02物料!$L$4:$L$1203,$AF160-1200)=0,"",INDEX(对接源_02物料!$L$4:$L$1203,$AF160-1200))))</f>
        <v/>
      </c>
      <c r="J160" s="47" t="str">
        <f aca="false"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44" t="str">
        <f aca="false">IFERROR(MATCH(52,_自动清单!$AI$4:$AI$2403,0),"")</f>
        <v/>
      </c>
    </row>
    <row r="161" customFormat="false" ht="18" hidden="false" customHeight="true" outlineLevel="0" collapsed="false">
      <c r="A161" s="40" t="str">
        <f aca="false"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41" t="str">
        <f aca="false"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42" t="str">
        <f aca="false"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D161" s="42" t="str">
        <f aca="false"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E161" s="55" t="str">
        <f aca="false">IF($AF161="","",IF($AF161&lt;=1200,IF(INDEX(对接源_01水果!$H$4:$H$1203,$AF161)=0,"",INDEX(对接源_01水果!$H$4:$H$1203,$AF161)),IF(INDEX(对接源_02物料!$H$4:$H$1203,$AF161-1200)=0,"",INDEX(对接源_02物料!$H$4:$H$1203,$AF161-1200))))</f>
        <v/>
      </c>
      <c r="F161" s="41" t="str">
        <f aca="false">IF($AF161="","",IF($AF161&lt;=1200,IF(INDEX(对接源_01水果!$I$4:$I$1203,$AF161)=0,"",INDEX(对接源_01水果!$I$4:$I$1203,$AF161)),IF(INDEX(对接源_02物料!$I$4:$I$1203,$AF161-1200)=0,"",INDEX(对接源_02物料!$I$4:$I$1203,$AF161-1200))))</f>
        <v/>
      </c>
      <c r="G161" s="55" t="str">
        <f aca="false">IF($AF161="","",IF(IF($AF161&lt;=1200,N(INDEX(对接源_01水果!$H$4:$H$1203,$AF161)),N(INDEX(对接源_02物料!$H$4:$H$1203,$AF161-1200)))=0,"",ROUND(IF($AF161&lt;=1200,N(INDEX(对接源_01水果!$K$4:$K$1203,$AF161)),N(INDEX(对接源_02物料!$K$4:$K$1203,$AF161-1200)))/IF($AF161&lt;=1200,N(INDEX(对接源_01水果!$H$4:$H$1203,$AF161)),N(INDEX(对接源_02物料!$H$4:$H$1203,$AF161-1200))),2)))</f>
        <v/>
      </c>
      <c r="H161" s="55" t="str">
        <f aca="false">IF($AF161="","",IF($AF161&lt;=1200,IF(INDEX(对接源_01水果!$K$4:$K$1203,$AF161)=0,"",INDEX(对接源_01水果!$K$4:$K$1203,$AF161)),IF(INDEX(对接源_02物料!$K$4:$K$1203,$AF161-1200)=0,"",INDEX(对接源_02物料!$K$4:$K$1203,$AF161-1200))))</f>
        <v/>
      </c>
      <c r="I161" s="41" t="str">
        <f aca="false">IF($AF161="","",IF($AF161&lt;=1200,IF(INDEX(对接源_01水果!$L$4:$L$1203,$AF161)=0,"",INDEX(对接源_01水果!$L$4:$L$1203,$AF161)),IF(INDEX(对接源_02物料!$L$4:$L$1203,$AF161-1200)=0,"",INDEX(对接源_02物料!$L$4:$L$1203,$AF161-1200))))</f>
        <v/>
      </c>
      <c r="J161" s="42" t="str">
        <f aca="false"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44" t="str">
        <f aca="false">IFERROR(MATCH(53,_自动清单!$AI$4:$AI$2403,0),"")</f>
        <v/>
      </c>
    </row>
    <row r="162" customFormat="false" ht="18" hidden="false" customHeight="true" outlineLevel="0" collapsed="false">
      <c r="A162" s="45" t="str">
        <f aca="false"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46" t="str">
        <f aca="false"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47" t="str">
        <f aca="false"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D162" s="47" t="str">
        <f aca="false"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E162" s="56" t="str">
        <f aca="false">IF($AF162="","",IF($AF162&lt;=1200,IF(INDEX(对接源_01水果!$H$4:$H$1203,$AF162)=0,"",INDEX(对接源_01水果!$H$4:$H$1203,$AF162)),IF(INDEX(对接源_02物料!$H$4:$H$1203,$AF162-1200)=0,"",INDEX(对接源_02物料!$H$4:$H$1203,$AF162-1200))))</f>
        <v/>
      </c>
      <c r="F162" s="46" t="str">
        <f aca="false">IF($AF162="","",IF($AF162&lt;=1200,IF(INDEX(对接源_01水果!$I$4:$I$1203,$AF162)=0,"",INDEX(对接源_01水果!$I$4:$I$1203,$AF162)),IF(INDEX(对接源_02物料!$I$4:$I$1203,$AF162-1200)=0,"",INDEX(对接源_02物料!$I$4:$I$1203,$AF162-1200))))</f>
        <v/>
      </c>
      <c r="G162" s="56" t="str">
        <f aca="false">IF($AF162="","",IF(IF($AF162&lt;=1200,N(INDEX(对接源_01水果!$H$4:$H$1203,$AF162)),N(INDEX(对接源_02物料!$H$4:$H$1203,$AF162-1200)))=0,"",ROUND(IF($AF162&lt;=1200,N(INDEX(对接源_01水果!$K$4:$K$1203,$AF162)),N(INDEX(对接源_02物料!$K$4:$K$1203,$AF162-1200)))/IF($AF162&lt;=1200,N(INDEX(对接源_01水果!$H$4:$H$1203,$AF162)),N(INDEX(对接源_02物料!$H$4:$H$1203,$AF162-1200))),2)))</f>
        <v/>
      </c>
      <c r="H162" s="56" t="str">
        <f aca="false">IF($AF162="","",IF($AF162&lt;=1200,IF(INDEX(对接源_01水果!$K$4:$K$1203,$AF162)=0,"",INDEX(对接源_01水果!$K$4:$K$1203,$AF162)),IF(INDEX(对接源_02物料!$K$4:$K$1203,$AF162-1200)=0,"",INDEX(对接源_02物料!$K$4:$K$1203,$AF162-1200))))</f>
        <v/>
      </c>
      <c r="I162" s="46" t="str">
        <f aca="false">IF($AF162="","",IF($AF162&lt;=1200,IF(INDEX(对接源_01水果!$L$4:$L$1203,$AF162)=0,"",INDEX(对接源_01水果!$L$4:$L$1203,$AF162)),IF(INDEX(对接源_02物料!$L$4:$L$1203,$AF162-1200)=0,"",INDEX(对接源_02物料!$L$4:$L$1203,$AF162-1200))))</f>
        <v/>
      </c>
      <c r="J162" s="47" t="str">
        <f aca="false"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44" t="str">
        <f aca="false">IFERROR(MATCH(54,_自动清单!$AI$4:$AI$2403,0),"")</f>
        <v/>
      </c>
    </row>
    <row r="163" customFormat="false" ht="18" hidden="false" customHeight="true" outlineLevel="0" collapsed="false">
      <c r="A163" s="40" t="str">
        <f aca="false"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41" t="str">
        <f aca="false"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42" t="str">
        <f aca="false"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D163" s="42" t="str">
        <f aca="false"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E163" s="55" t="str">
        <f aca="false">IF($AF163="","",IF($AF163&lt;=1200,IF(INDEX(对接源_01水果!$H$4:$H$1203,$AF163)=0,"",INDEX(对接源_01水果!$H$4:$H$1203,$AF163)),IF(INDEX(对接源_02物料!$H$4:$H$1203,$AF163-1200)=0,"",INDEX(对接源_02物料!$H$4:$H$1203,$AF163-1200))))</f>
        <v/>
      </c>
      <c r="F163" s="41" t="str">
        <f aca="false">IF($AF163="","",IF($AF163&lt;=1200,IF(INDEX(对接源_01水果!$I$4:$I$1203,$AF163)=0,"",INDEX(对接源_01水果!$I$4:$I$1203,$AF163)),IF(INDEX(对接源_02物料!$I$4:$I$1203,$AF163-1200)=0,"",INDEX(对接源_02物料!$I$4:$I$1203,$AF163-1200))))</f>
        <v/>
      </c>
      <c r="G163" s="55" t="str">
        <f aca="false">IF($AF163="","",IF(IF($AF163&lt;=1200,N(INDEX(对接源_01水果!$H$4:$H$1203,$AF163)),N(INDEX(对接源_02物料!$H$4:$H$1203,$AF163-1200)))=0,"",ROUND(IF($AF163&lt;=1200,N(INDEX(对接源_01水果!$K$4:$K$1203,$AF163)),N(INDEX(对接源_02物料!$K$4:$K$1203,$AF163-1200)))/IF($AF163&lt;=1200,N(INDEX(对接源_01水果!$H$4:$H$1203,$AF163)),N(INDEX(对接源_02物料!$H$4:$H$1203,$AF163-1200))),2)))</f>
        <v/>
      </c>
      <c r="H163" s="55" t="str">
        <f aca="false">IF($AF163="","",IF($AF163&lt;=1200,IF(INDEX(对接源_01水果!$K$4:$K$1203,$AF163)=0,"",INDEX(对接源_01水果!$K$4:$K$1203,$AF163)),IF(INDEX(对接源_02物料!$K$4:$K$1203,$AF163-1200)=0,"",INDEX(对接源_02物料!$K$4:$K$1203,$AF163-1200))))</f>
        <v/>
      </c>
      <c r="I163" s="41" t="str">
        <f aca="false">IF($AF163="","",IF($AF163&lt;=1200,IF(INDEX(对接源_01水果!$L$4:$L$1203,$AF163)=0,"",INDEX(对接源_01水果!$L$4:$L$1203,$AF163)),IF(INDEX(对接源_02物料!$L$4:$L$1203,$AF163-1200)=0,"",INDEX(对接源_02物料!$L$4:$L$1203,$AF163-1200))))</f>
        <v/>
      </c>
      <c r="J163" s="42" t="str">
        <f aca="false"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44" t="str">
        <f aca="false">IFERROR(MATCH(55,_自动清单!$AI$4:$AI$2403,0),"")</f>
        <v/>
      </c>
    </row>
    <row r="164" customFormat="false" ht="18" hidden="false" customHeight="true" outlineLevel="0" collapsed="false">
      <c r="A164" s="45" t="str">
        <f aca="false"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46" t="str">
        <f aca="false"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47" t="str">
        <f aca="false"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D164" s="47" t="str">
        <f aca="false"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E164" s="56" t="str">
        <f aca="false">IF($AF164="","",IF($AF164&lt;=1200,IF(INDEX(对接源_01水果!$H$4:$H$1203,$AF164)=0,"",INDEX(对接源_01水果!$H$4:$H$1203,$AF164)),IF(INDEX(对接源_02物料!$H$4:$H$1203,$AF164-1200)=0,"",INDEX(对接源_02物料!$H$4:$H$1203,$AF164-1200))))</f>
        <v/>
      </c>
      <c r="F164" s="46" t="str">
        <f aca="false">IF($AF164="","",IF($AF164&lt;=1200,IF(INDEX(对接源_01水果!$I$4:$I$1203,$AF164)=0,"",INDEX(对接源_01水果!$I$4:$I$1203,$AF164)),IF(INDEX(对接源_02物料!$I$4:$I$1203,$AF164-1200)=0,"",INDEX(对接源_02物料!$I$4:$I$1203,$AF164-1200))))</f>
        <v/>
      </c>
      <c r="G164" s="56" t="str">
        <f aca="false">IF($AF164="","",IF(IF($AF164&lt;=1200,N(INDEX(对接源_01水果!$H$4:$H$1203,$AF164)),N(INDEX(对接源_02物料!$H$4:$H$1203,$AF164-1200)))=0,"",ROUND(IF($AF164&lt;=1200,N(INDEX(对接源_01水果!$K$4:$K$1203,$AF164)),N(INDEX(对接源_02物料!$K$4:$K$1203,$AF164-1200)))/IF($AF164&lt;=1200,N(INDEX(对接源_01水果!$H$4:$H$1203,$AF164)),N(INDEX(对接源_02物料!$H$4:$H$1203,$AF164-1200))),2)))</f>
        <v/>
      </c>
      <c r="H164" s="56" t="str">
        <f aca="false">IF($AF164="","",IF($AF164&lt;=1200,IF(INDEX(对接源_01水果!$K$4:$K$1203,$AF164)=0,"",INDEX(对接源_01水果!$K$4:$K$1203,$AF164)),IF(INDEX(对接源_02物料!$K$4:$K$1203,$AF164-1200)=0,"",INDEX(对接源_02物料!$K$4:$K$1203,$AF164-1200))))</f>
        <v/>
      </c>
      <c r="I164" s="46" t="str">
        <f aca="false">IF($AF164="","",IF($AF164&lt;=1200,IF(INDEX(对接源_01水果!$L$4:$L$1203,$AF164)=0,"",INDEX(对接源_01水果!$L$4:$L$1203,$AF164)),IF(INDEX(对接源_02物料!$L$4:$L$1203,$AF164-1200)=0,"",INDEX(对接源_02物料!$L$4:$L$1203,$AF164-1200))))</f>
        <v/>
      </c>
      <c r="J164" s="47" t="str">
        <f aca="false"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44" t="str">
        <f aca="false">IFERROR(MATCH(56,_自动清单!$AI$4:$AI$2403,0),"")</f>
        <v/>
      </c>
    </row>
    <row r="165" customFormat="false" ht="18" hidden="false" customHeight="true" outlineLevel="0" collapsed="false">
      <c r="A165" s="40" t="str">
        <f aca="false"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41" t="str">
        <f aca="false"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42" t="str">
        <f aca="false"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D165" s="42" t="str">
        <f aca="false"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E165" s="55" t="str">
        <f aca="false">IF($AF165="","",IF($AF165&lt;=1200,IF(INDEX(对接源_01水果!$H$4:$H$1203,$AF165)=0,"",INDEX(对接源_01水果!$H$4:$H$1203,$AF165)),IF(INDEX(对接源_02物料!$H$4:$H$1203,$AF165-1200)=0,"",INDEX(对接源_02物料!$H$4:$H$1203,$AF165-1200))))</f>
        <v/>
      </c>
      <c r="F165" s="41" t="str">
        <f aca="false">IF($AF165="","",IF($AF165&lt;=1200,IF(INDEX(对接源_01水果!$I$4:$I$1203,$AF165)=0,"",INDEX(对接源_01水果!$I$4:$I$1203,$AF165)),IF(INDEX(对接源_02物料!$I$4:$I$1203,$AF165-1200)=0,"",INDEX(对接源_02物料!$I$4:$I$1203,$AF165-1200))))</f>
        <v/>
      </c>
      <c r="G165" s="55" t="str">
        <f aca="false">IF($AF165="","",IF(IF($AF165&lt;=1200,N(INDEX(对接源_01水果!$H$4:$H$1203,$AF165)),N(INDEX(对接源_02物料!$H$4:$H$1203,$AF165-1200)))=0,"",ROUND(IF($AF165&lt;=1200,N(INDEX(对接源_01水果!$K$4:$K$1203,$AF165)),N(INDEX(对接源_02物料!$K$4:$K$1203,$AF165-1200)))/IF($AF165&lt;=1200,N(INDEX(对接源_01水果!$H$4:$H$1203,$AF165)),N(INDEX(对接源_02物料!$H$4:$H$1203,$AF165-1200))),2)))</f>
        <v/>
      </c>
      <c r="H165" s="55" t="str">
        <f aca="false">IF($AF165="","",IF($AF165&lt;=1200,IF(INDEX(对接源_01水果!$K$4:$K$1203,$AF165)=0,"",INDEX(对接源_01水果!$K$4:$K$1203,$AF165)),IF(INDEX(对接源_02物料!$K$4:$K$1203,$AF165-1200)=0,"",INDEX(对接源_02物料!$K$4:$K$1203,$AF165-1200))))</f>
        <v/>
      </c>
      <c r="I165" s="41" t="str">
        <f aca="false">IF($AF165="","",IF($AF165&lt;=1200,IF(INDEX(对接源_01水果!$L$4:$L$1203,$AF165)=0,"",INDEX(对接源_01水果!$L$4:$L$1203,$AF165)),IF(INDEX(对接源_02物料!$L$4:$L$1203,$AF165-1200)=0,"",INDEX(对接源_02物料!$L$4:$L$1203,$AF165-1200))))</f>
        <v/>
      </c>
      <c r="J165" s="42" t="str">
        <f aca="false"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44" t="str">
        <f aca="false">IFERROR(MATCH(57,_自动清单!$AI$4:$AI$2403,0),"")</f>
        <v/>
      </c>
    </row>
    <row r="166" customFormat="false" ht="18" hidden="false" customHeight="true" outlineLevel="0" collapsed="false">
      <c r="A166" s="45" t="str">
        <f aca="false"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46" t="str">
        <f aca="false"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47" t="str">
        <f aca="false"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D166" s="47" t="str">
        <f aca="false"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E166" s="56" t="str">
        <f aca="false">IF($AF166="","",IF($AF166&lt;=1200,IF(INDEX(对接源_01水果!$H$4:$H$1203,$AF166)=0,"",INDEX(对接源_01水果!$H$4:$H$1203,$AF166)),IF(INDEX(对接源_02物料!$H$4:$H$1203,$AF166-1200)=0,"",INDEX(对接源_02物料!$H$4:$H$1203,$AF166-1200))))</f>
        <v/>
      </c>
      <c r="F166" s="46" t="str">
        <f aca="false">IF($AF166="","",IF($AF166&lt;=1200,IF(INDEX(对接源_01水果!$I$4:$I$1203,$AF166)=0,"",INDEX(对接源_01水果!$I$4:$I$1203,$AF166)),IF(INDEX(对接源_02物料!$I$4:$I$1203,$AF166-1200)=0,"",INDEX(对接源_02物料!$I$4:$I$1203,$AF166-1200))))</f>
        <v/>
      </c>
      <c r="G166" s="56" t="str">
        <f aca="false">IF($AF166="","",IF(IF($AF166&lt;=1200,N(INDEX(对接源_01水果!$H$4:$H$1203,$AF166)),N(INDEX(对接源_02物料!$H$4:$H$1203,$AF166-1200)))=0,"",ROUND(IF($AF166&lt;=1200,N(INDEX(对接源_01水果!$K$4:$K$1203,$AF166)),N(INDEX(对接源_02物料!$K$4:$K$1203,$AF166-1200)))/IF($AF166&lt;=1200,N(INDEX(对接源_01水果!$H$4:$H$1203,$AF166)),N(INDEX(对接源_02物料!$H$4:$H$1203,$AF166-1200))),2)))</f>
        <v/>
      </c>
      <c r="H166" s="56" t="str">
        <f aca="false">IF($AF166="","",IF($AF166&lt;=1200,IF(INDEX(对接源_01水果!$K$4:$K$1203,$AF166)=0,"",INDEX(对接源_01水果!$K$4:$K$1203,$AF166)),IF(INDEX(对接源_02物料!$K$4:$K$1203,$AF166-1200)=0,"",INDEX(对接源_02物料!$K$4:$K$1203,$AF166-1200))))</f>
        <v/>
      </c>
      <c r="I166" s="46" t="str">
        <f aca="false">IF($AF166="","",IF($AF166&lt;=1200,IF(INDEX(对接源_01水果!$L$4:$L$1203,$AF166)=0,"",INDEX(对接源_01水果!$L$4:$L$1203,$AF166)),IF(INDEX(对接源_02物料!$L$4:$L$1203,$AF166-1200)=0,"",INDEX(对接源_02物料!$L$4:$L$1203,$AF166-1200))))</f>
        <v/>
      </c>
      <c r="J166" s="47" t="str">
        <f aca="false"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44" t="str">
        <f aca="false">IFERROR(MATCH(58,_自动清单!$AI$4:$AI$2403,0),"")</f>
        <v/>
      </c>
    </row>
    <row r="167" customFormat="false" ht="18" hidden="false" customHeight="true" outlineLevel="0" collapsed="false">
      <c r="A167" s="40" t="str">
        <f aca="false"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41" t="str">
        <f aca="false"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42" t="str">
        <f aca="false"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D167" s="42" t="str">
        <f aca="false"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E167" s="55" t="str">
        <f aca="false">IF($AF167="","",IF($AF167&lt;=1200,IF(INDEX(对接源_01水果!$H$4:$H$1203,$AF167)=0,"",INDEX(对接源_01水果!$H$4:$H$1203,$AF167)),IF(INDEX(对接源_02物料!$H$4:$H$1203,$AF167-1200)=0,"",INDEX(对接源_02物料!$H$4:$H$1203,$AF167-1200))))</f>
        <v/>
      </c>
      <c r="F167" s="41" t="str">
        <f aca="false">IF($AF167="","",IF($AF167&lt;=1200,IF(INDEX(对接源_01水果!$I$4:$I$1203,$AF167)=0,"",INDEX(对接源_01水果!$I$4:$I$1203,$AF167)),IF(INDEX(对接源_02物料!$I$4:$I$1203,$AF167-1200)=0,"",INDEX(对接源_02物料!$I$4:$I$1203,$AF167-1200))))</f>
        <v/>
      </c>
      <c r="G167" s="55" t="str">
        <f aca="false">IF($AF167="","",IF(IF($AF167&lt;=1200,N(INDEX(对接源_01水果!$H$4:$H$1203,$AF167)),N(INDEX(对接源_02物料!$H$4:$H$1203,$AF167-1200)))=0,"",ROUND(IF($AF167&lt;=1200,N(INDEX(对接源_01水果!$K$4:$K$1203,$AF167)),N(INDEX(对接源_02物料!$K$4:$K$1203,$AF167-1200)))/IF($AF167&lt;=1200,N(INDEX(对接源_01水果!$H$4:$H$1203,$AF167)),N(INDEX(对接源_02物料!$H$4:$H$1203,$AF167-1200))),2)))</f>
        <v/>
      </c>
      <c r="H167" s="55" t="str">
        <f aca="false">IF($AF167="","",IF($AF167&lt;=1200,IF(INDEX(对接源_01水果!$K$4:$K$1203,$AF167)=0,"",INDEX(对接源_01水果!$K$4:$K$1203,$AF167)),IF(INDEX(对接源_02物料!$K$4:$K$1203,$AF167-1200)=0,"",INDEX(对接源_02物料!$K$4:$K$1203,$AF167-1200))))</f>
        <v/>
      </c>
      <c r="I167" s="41" t="str">
        <f aca="false">IF($AF167="","",IF($AF167&lt;=1200,IF(INDEX(对接源_01水果!$L$4:$L$1203,$AF167)=0,"",INDEX(对接源_01水果!$L$4:$L$1203,$AF167)),IF(INDEX(对接源_02物料!$L$4:$L$1203,$AF167-1200)=0,"",INDEX(对接源_02物料!$L$4:$L$1203,$AF167-1200))))</f>
        <v/>
      </c>
      <c r="J167" s="42" t="str">
        <f aca="false"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44" t="str">
        <f aca="false">IFERROR(MATCH(59,_自动清单!$AI$4:$AI$2403,0),"")</f>
        <v/>
      </c>
    </row>
    <row r="168" customFormat="false" ht="18" hidden="false" customHeight="true" outlineLevel="0" collapsed="false">
      <c r="A168" s="45" t="str">
        <f aca="false"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46" t="str">
        <f aca="false"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47" t="str">
        <f aca="false"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D168" s="47" t="str">
        <f aca="false"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E168" s="56" t="str">
        <f aca="false">IF($AF168="","",IF($AF168&lt;=1200,IF(INDEX(对接源_01水果!$H$4:$H$1203,$AF168)=0,"",INDEX(对接源_01水果!$H$4:$H$1203,$AF168)),IF(INDEX(对接源_02物料!$H$4:$H$1203,$AF168-1200)=0,"",INDEX(对接源_02物料!$H$4:$H$1203,$AF168-1200))))</f>
        <v/>
      </c>
      <c r="F168" s="46" t="str">
        <f aca="false">IF($AF168="","",IF($AF168&lt;=1200,IF(INDEX(对接源_01水果!$I$4:$I$1203,$AF168)=0,"",INDEX(对接源_01水果!$I$4:$I$1203,$AF168)),IF(INDEX(对接源_02物料!$I$4:$I$1203,$AF168-1200)=0,"",INDEX(对接源_02物料!$I$4:$I$1203,$AF168-1200))))</f>
        <v/>
      </c>
      <c r="G168" s="56" t="str">
        <f aca="false">IF($AF168="","",IF(IF($AF168&lt;=1200,N(INDEX(对接源_01水果!$H$4:$H$1203,$AF168)),N(INDEX(对接源_02物料!$H$4:$H$1203,$AF168-1200)))=0,"",ROUND(IF($AF168&lt;=1200,N(INDEX(对接源_01水果!$K$4:$K$1203,$AF168)),N(INDEX(对接源_02物料!$K$4:$K$1203,$AF168-1200)))/IF($AF168&lt;=1200,N(INDEX(对接源_01水果!$H$4:$H$1203,$AF168)),N(INDEX(对接源_02物料!$H$4:$H$1203,$AF168-1200))),2)))</f>
        <v/>
      </c>
      <c r="H168" s="56" t="str">
        <f aca="false">IF($AF168="","",IF($AF168&lt;=1200,IF(INDEX(对接源_01水果!$K$4:$K$1203,$AF168)=0,"",INDEX(对接源_01水果!$K$4:$K$1203,$AF168)),IF(INDEX(对接源_02物料!$K$4:$K$1203,$AF168-1200)=0,"",INDEX(对接源_02物料!$K$4:$K$1203,$AF168-1200))))</f>
        <v/>
      </c>
      <c r="I168" s="46" t="str">
        <f aca="false">IF($AF168="","",IF($AF168&lt;=1200,IF(INDEX(对接源_01水果!$L$4:$L$1203,$AF168)=0,"",INDEX(对接源_01水果!$L$4:$L$1203,$AF168)),IF(INDEX(对接源_02物料!$L$4:$L$1203,$AF168-1200)=0,"",INDEX(对接源_02物料!$L$4:$L$1203,$AF168-1200))))</f>
        <v/>
      </c>
      <c r="J168" s="47" t="str">
        <f aca="false"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44" t="str">
        <f aca="false">IFERROR(MATCH(60,_自动清单!$AI$4:$AI$2403,0),"")</f>
        <v/>
      </c>
    </row>
    <row r="169" customFormat="false" ht="18" hidden="false" customHeight="true" outlineLevel="0" collapsed="false">
      <c r="A169" s="40" t="str">
        <f aca="false"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41" t="str">
        <f aca="false"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C169" s="42" t="str">
        <f aca="false">IF($AF169="","",IF($AF169&lt;=1200,IF(INDEX(对接源_01水果!$S$4:$S$1203,$AF169)=0,"",INDEX(对接源_01水果!$S$4:$S$1203,$AF169)),IF(INDEX(对接源_02物料!$S$4:$S$1203,$AF169-1200)=0,"",INDEX(对接源_02物料!$S$4:$S$1203,$AF169-1200))))</f>
        <v/>
      </c>
      <c r="D169" s="42" t="str">
        <f aca="false"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E169" s="55" t="str">
        <f aca="false">IF($AF169="","",IF($AF169&lt;=1200,IF(INDEX(对接源_01水果!$H$4:$H$1203,$AF169)=0,"",INDEX(对接源_01水果!$H$4:$H$1203,$AF169)),IF(INDEX(对接源_02物料!$H$4:$H$1203,$AF169-1200)=0,"",INDEX(对接源_02物料!$H$4:$H$1203,$AF169-1200))))</f>
        <v/>
      </c>
      <c r="F169" s="41" t="str">
        <f aca="false">IF($AF169="","",IF($AF169&lt;=1200,IF(INDEX(对接源_01水果!$I$4:$I$1203,$AF169)=0,"",INDEX(对接源_01水果!$I$4:$I$1203,$AF169)),IF(INDEX(对接源_02物料!$I$4:$I$1203,$AF169-1200)=0,"",INDEX(对接源_02物料!$I$4:$I$1203,$AF169-1200))))</f>
        <v/>
      </c>
      <c r="G169" s="55" t="str">
        <f aca="false">IF($AF169="","",IF(IF($AF169&lt;=1200,N(INDEX(对接源_01水果!$H$4:$H$1203,$AF169)),N(INDEX(对接源_02物料!$H$4:$H$1203,$AF169-1200)))=0,"",ROUND(IF($AF169&lt;=1200,N(INDEX(对接源_01水果!$K$4:$K$1203,$AF169)),N(INDEX(对接源_02物料!$K$4:$K$1203,$AF169-1200)))/IF($AF169&lt;=1200,N(INDEX(对接源_01水果!$H$4:$H$1203,$AF169)),N(INDEX(对接源_02物料!$H$4:$H$1203,$AF169-1200))),2)))</f>
        <v/>
      </c>
      <c r="H169" s="55" t="str">
        <f aca="false">IF($AF169="","",IF($AF169&lt;=1200,IF(INDEX(对接源_01水果!$K$4:$K$1203,$AF169)=0,"",INDEX(对接源_01水果!$K$4:$K$1203,$AF169)),IF(INDEX(对接源_02物料!$K$4:$K$1203,$AF169-1200)=0,"",INDEX(对接源_02物料!$K$4:$K$1203,$AF169-1200))))</f>
        <v/>
      </c>
      <c r="I169" s="41" t="str">
        <f aca="false">IF($AF169="","",IF($AF169&lt;=1200,IF(INDEX(对接源_01水果!$L$4:$L$1203,$AF169)=0,"",INDEX(对接源_01水果!$L$4:$L$1203,$AF169)),IF(INDEX(对接源_02物料!$L$4:$L$1203,$AF169-1200)=0,"",INDEX(对接源_02物料!$L$4:$L$1203,$AF169-1200))))</f>
        <v/>
      </c>
      <c r="J169" s="42" t="str">
        <f aca="false"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44" t="str">
        <f aca="false">IFERROR(MATCH(61,_自动清单!$AI$4:$AI$2403,0),"")</f>
        <v/>
      </c>
    </row>
    <row r="170" customFormat="false" ht="18" hidden="false" customHeight="true" outlineLevel="0" collapsed="false">
      <c r="A170" s="45" t="str">
        <f aca="false"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46" t="str">
        <f aca="false"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C170" s="47" t="str">
        <f aca="false">IF($AF170="","",IF($AF170&lt;=1200,IF(INDEX(对接源_01水果!$S$4:$S$1203,$AF170)=0,"",INDEX(对接源_01水果!$S$4:$S$1203,$AF170)),IF(INDEX(对接源_02物料!$S$4:$S$1203,$AF170-1200)=0,"",INDEX(对接源_02物料!$S$4:$S$1203,$AF170-1200))))</f>
        <v/>
      </c>
      <c r="D170" s="47" t="str">
        <f aca="false"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E170" s="56" t="str">
        <f aca="false">IF($AF170="","",IF($AF170&lt;=1200,IF(INDEX(对接源_01水果!$H$4:$H$1203,$AF170)=0,"",INDEX(对接源_01水果!$H$4:$H$1203,$AF170)),IF(INDEX(对接源_02物料!$H$4:$H$1203,$AF170-1200)=0,"",INDEX(对接源_02物料!$H$4:$H$1203,$AF170-1200))))</f>
        <v/>
      </c>
      <c r="F170" s="46" t="str">
        <f aca="false">IF($AF170="","",IF($AF170&lt;=1200,IF(INDEX(对接源_01水果!$I$4:$I$1203,$AF170)=0,"",INDEX(对接源_01水果!$I$4:$I$1203,$AF170)),IF(INDEX(对接源_02物料!$I$4:$I$1203,$AF170-1200)=0,"",INDEX(对接源_02物料!$I$4:$I$1203,$AF170-1200))))</f>
        <v/>
      </c>
      <c r="G170" s="56" t="str">
        <f aca="false">IF($AF170="","",IF(IF($AF170&lt;=1200,N(INDEX(对接源_01水果!$H$4:$H$1203,$AF170)),N(INDEX(对接源_02物料!$H$4:$H$1203,$AF170-1200)))=0,"",ROUND(IF($AF170&lt;=1200,N(INDEX(对接源_01水果!$K$4:$K$1203,$AF170)),N(INDEX(对接源_02物料!$K$4:$K$1203,$AF170-1200)))/IF($AF170&lt;=1200,N(INDEX(对接源_01水果!$H$4:$H$1203,$AF170)),N(INDEX(对接源_02物料!$H$4:$H$1203,$AF170-1200))),2)))</f>
        <v/>
      </c>
      <c r="H170" s="56" t="str">
        <f aca="false">IF($AF170="","",IF($AF170&lt;=1200,IF(INDEX(对接源_01水果!$K$4:$K$1203,$AF170)=0,"",INDEX(对接源_01水果!$K$4:$K$1203,$AF170)),IF(INDEX(对接源_02物料!$K$4:$K$1203,$AF170-1200)=0,"",INDEX(对接源_02物料!$K$4:$K$1203,$AF170-1200))))</f>
        <v/>
      </c>
      <c r="I170" s="46" t="str">
        <f aca="false">IF($AF170="","",IF($AF170&lt;=1200,IF(INDEX(对接源_01水果!$L$4:$L$1203,$AF170)=0,"",INDEX(对接源_01水果!$L$4:$L$1203,$AF170)),IF(INDEX(对接源_02物料!$L$4:$L$1203,$AF170-1200)=0,"",INDEX(对接源_02物料!$L$4:$L$1203,$AF170-1200))))</f>
        <v/>
      </c>
      <c r="J170" s="47" t="str">
        <f aca="false"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44" t="str">
        <f aca="false">IFERROR(MATCH(62,_自动清单!$AI$4:$AI$2403,0),"")</f>
        <v/>
      </c>
    </row>
    <row r="171" customFormat="false" ht="18" hidden="false" customHeight="true" outlineLevel="0" collapsed="false">
      <c r="A171" s="40" t="str">
        <f aca="false"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41" t="str">
        <f aca="false"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C171" s="42" t="str">
        <f aca="false">IF($AF171="","",IF($AF171&lt;=1200,IF(INDEX(对接源_01水果!$S$4:$S$1203,$AF171)=0,"",INDEX(对接源_01水果!$S$4:$S$1203,$AF171)),IF(INDEX(对接源_02物料!$S$4:$S$1203,$AF171-1200)=0,"",INDEX(对接源_02物料!$S$4:$S$1203,$AF171-1200))))</f>
        <v/>
      </c>
      <c r="D171" s="42" t="str">
        <f aca="false"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E171" s="55" t="str">
        <f aca="false">IF($AF171="","",IF($AF171&lt;=1200,IF(INDEX(对接源_01水果!$H$4:$H$1203,$AF171)=0,"",INDEX(对接源_01水果!$H$4:$H$1203,$AF171)),IF(INDEX(对接源_02物料!$H$4:$H$1203,$AF171-1200)=0,"",INDEX(对接源_02物料!$H$4:$H$1203,$AF171-1200))))</f>
        <v/>
      </c>
      <c r="F171" s="41" t="str">
        <f aca="false">IF($AF171="","",IF($AF171&lt;=1200,IF(INDEX(对接源_01水果!$I$4:$I$1203,$AF171)=0,"",INDEX(对接源_01水果!$I$4:$I$1203,$AF171)),IF(INDEX(对接源_02物料!$I$4:$I$1203,$AF171-1200)=0,"",INDEX(对接源_02物料!$I$4:$I$1203,$AF171-1200))))</f>
        <v/>
      </c>
      <c r="G171" s="55" t="str">
        <f aca="false">IF($AF171="","",IF(IF($AF171&lt;=1200,N(INDEX(对接源_01水果!$H$4:$H$1203,$AF171)),N(INDEX(对接源_02物料!$H$4:$H$1203,$AF171-1200)))=0,"",ROUND(IF($AF171&lt;=1200,N(INDEX(对接源_01水果!$K$4:$K$1203,$AF171)),N(INDEX(对接源_02物料!$K$4:$K$1203,$AF171-1200)))/IF($AF171&lt;=1200,N(INDEX(对接源_01水果!$H$4:$H$1203,$AF171)),N(INDEX(对接源_02物料!$H$4:$H$1203,$AF171-1200))),2)))</f>
        <v/>
      </c>
      <c r="H171" s="55" t="str">
        <f aca="false">IF($AF171="","",IF($AF171&lt;=1200,IF(INDEX(对接源_01水果!$K$4:$K$1203,$AF171)=0,"",INDEX(对接源_01水果!$K$4:$K$1203,$AF171)),IF(INDEX(对接源_02物料!$K$4:$K$1203,$AF171-1200)=0,"",INDEX(对接源_02物料!$K$4:$K$1203,$AF171-1200))))</f>
        <v/>
      </c>
      <c r="I171" s="41" t="str">
        <f aca="false">IF($AF171="","",IF($AF171&lt;=1200,IF(INDEX(对接源_01水果!$L$4:$L$1203,$AF171)=0,"",INDEX(对接源_01水果!$L$4:$L$1203,$AF171)),IF(INDEX(对接源_02物料!$L$4:$L$1203,$AF171-1200)=0,"",INDEX(对接源_02物料!$L$4:$L$1203,$AF171-1200))))</f>
        <v/>
      </c>
      <c r="J171" s="42" t="str">
        <f aca="false"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44" t="str">
        <f aca="false">IFERROR(MATCH(63,_自动清单!$AI$4:$AI$2403,0),"")</f>
        <v/>
      </c>
    </row>
    <row r="172" customFormat="false" ht="18" hidden="false" customHeight="true" outlineLevel="0" collapsed="false">
      <c r="A172" s="45" t="str">
        <f aca="false"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46" t="str">
        <f aca="false"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C172" s="47" t="str">
        <f aca="false">IF($AF172="","",IF($AF172&lt;=1200,IF(INDEX(对接源_01水果!$S$4:$S$1203,$AF172)=0,"",INDEX(对接源_01水果!$S$4:$S$1203,$AF172)),IF(INDEX(对接源_02物料!$S$4:$S$1203,$AF172-1200)=0,"",INDEX(对接源_02物料!$S$4:$S$1203,$AF172-1200))))</f>
        <v/>
      </c>
      <c r="D172" s="47" t="str">
        <f aca="false"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E172" s="56" t="str">
        <f aca="false">IF($AF172="","",IF($AF172&lt;=1200,IF(INDEX(对接源_01水果!$H$4:$H$1203,$AF172)=0,"",INDEX(对接源_01水果!$H$4:$H$1203,$AF172)),IF(INDEX(对接源_02物料!$H$4:$H$1203,$AF172-1200)=0,"",INDEX(对接源_02物料!$H$4:$H$1203,$AF172-1200))))</f>
        <v/>
      </c>
      <c r="F172" s="46" t="str">
        <f aca="false">IF($AF172="","",IF($AF172&lt;=1200,IF(INDEX(对接源_01水果!$I$4:$I$1203,$AF172)=0,"",INDEX(对接源_01水果!$I$4:$I$1203,$AF172)),IF(INDEX(对接源_02物料!$I$4:$I$1203,$AF172-1200)=0,"",INDEX(对接源_02物料!$I$4:$I$1203,$AF172-1200))))</f>
        <v/>
      </c>
      <c r="G172" s="56" t="str">
        <f aca="false">IF($AF172="","",IF(IF($AF172&lt;=1200,N(INDEX(对接源_01水果!$H$4:$H$1203,$AF172)),N(INDEX(对接源_02物料!$H$4:$H$1203,$AF172-1200)))=0,"",ROUND(IF($AF172&lt;=1200,N(INDEX(对接源_01水果!$K$4:$K$1203,$AF172)),N(INDEX(对接源_02物料!$K$4:$K$1203,$AF172-1200)))/IF($AF172&lt;=1200,N(INDEX(对接源_01水果!$H$4:$H$1203,$AF172)),N(INDEX(对接源_02物料!$H$4:$H$1203,$AF172-1200))),2)))</f>
        <v/>
      </c>
      <c r="H172" s="56" t="str">
        <f aca="false">IF($AF172="","",IF($AF172&lt;=1200,IF(INDEX(对接源_01水果!$K$4:$K$1203,$AF172)=0,"",INDEX(对接源_01水果!$K$4:$K$1203,$AF172)),IF(INDEX(对接源_02物料!$K$4:$K$1203,$AF172-1200)=0,"",INDEX(对接源_02物料!$K$4:$K$1203,$AF172-1200))))</f>
        <v/>
      </c>
      <c r="I172" s="46" t="str">
        <f aca="false">IF($AF172="","",IF($AF172&lt;=1200,IF(INDEX(对接源_01水果!$L$4:$L$1203,$AF172)=0,"",INDEX(对接源_01水果!$L$4:$L$1203,$AF172)),IF(INDEX(对接源_02物料!$L$4:$L$1203,$AF172-1200)=0,"",INDEX(对接源_02物料!$L$4:$L$1203,$AF172-1200))))</f>
        <v/>
      </c>
      <c r="J172" s="47" t="str">
        <f aca="false"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44" t="str">
        <f aca="false">IFERROR(MATCH(64,_自动清单!$AI$4:$AI$2403,0),"")</f>
        <v/>
      </c>
    </row>
    <row r="173" customFormat="false" ht="18" hidden="false" customHeight="true" outlineLevel="0" collapsed="false">
      <c r="A173" s="40" t="str">
        <f aca="false"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41" t="str">
        <f aca="false"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C173" s="42" t="str">
        <f aca="false">IF($AF173="","",IF($AF173&lt;=1200,IF(INDEX(对接源_01水果!$S$4:$S$1203,$AF173)=0,"",INDEX(对接源_01水果!$S$4:$S$1203,$AF173)),IF(INDEX(对接源_02物料!$S$4:$S$1203,$AF173-1200)=0,"",INDEX(对接源_02物料!$S$4:$S$1203,$AF173-1200))))</f>
        <v/>
      </c>
      <c r="D173" s="42" t="str">
        <f aca="false"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E173" s="55" t="str">
        <f aca="false">IF($AF173="","",IF($AF173&lt;=1200,IF(INDEX(对接源_01水果!$H$4:$H$1203,$AF173)=0,"",INDEX(对接源_01水果!$H$4:$H$1203,$AF173)),IF(INDEX(对接源_02物料!$H$4:$H$1203,$AF173-1200)=0,"",INDEX(对接源_02物料!$H$4:$H$1203,$AF173-1200))))</f>
        <v/>
      </c>
      <c r="F173" s="41" t="str">
        <f aca="false">IF($AF173="","",IF($AF173&lt;=1200,IF(INDEX(对接源_01水果!$I$4:$I$1203,$AF173)=0,"",INDEX(对接源_01水果!$I$4:$I$1203,$AF173)),IF(INDEX(对接源_02物料!$I$4:$I$1203,$AF173-1200)=0,"",INDEX(对接源_02物料!$I$4:$I$1203,$AF173-1200))))</f>
        <v/>
      </c>
      <c r="G173" s="55" t="str">
        <f aca="false">IF($AF173="","",IF(IF($AF173&lt;=1200,N(INDEX(对接源_01水果!$H$4:$H$1203,$AF173)),N(INDEX(对接源_02物料!$H$4:$H$1203,$AF173-1200)))=0,"",ROUND(IF($AF173&lt;=1200,N(INDEX(对接源_01水果!$K$4:$K$1203,$AF173)),N(INDEX(对接源_02物料!$K$4:$K$1203,$AF173-1200)))/IF($AF173&lt;=1200,N(INDEX(对接源_01水果!$H$4:$H$1203,$AF173)),N(INDEX(对接源_02物料!$H$4:$H$1203,$AF173-1200))),2)))</f>
        <v/>
      </c>
      <c r="H173" s="55" t="str">
        <f aca="false">IF($AF173="","",IF($AF173&lt;=1200,IF(INDEX(对接源_01水果!$K$4:$K$1203,$AF173)=0,"",INDEX(对接源_01水果!$K$4:$K$1203,$AF173)),IF(INDEX(对接源_02物料!$K$4:$K$1203,$AF173-1200)=0,"",INDEX(对接源_02物料!$K$4:$K$1203,$AF173-1200))))</f>
        <v/>
      </c>
      <c r="I173" s="41" t="str">
        <f aca="false">IF($AF173="","",IF($AF173&lt;=1200,IF(INDEX(对接源_01水果!$L$4:$L$1203,$AF173)=0,"",INDEX(对接源_01水果!$L$4:$L$1203,$AF173)),IF(INDEX(对接源_02物料!$L$4:$L$1203,$AF173-1200)=0,"",INDEX(对接源_02物料!$L$4:$L$1203,$AF173-1200))))</f>
        <v/>
      </c>
      <c r="J173" s="42" t="str">
        <f aca="false"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44" t="str">
        <f aca="false">IFERROR(MATCH(65,_自动清单!$AI$4:$AI$2403,0),"")</f>
        <v/>
      </c>
    </row>
    <row r="174" customFormat="false" ht="18" hidden="false" customHeight="true" outlineLevel="0" collapsed="false">
      <c r="A174" s="45" t="str">
        <f aca="false"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46" t="str">
        <f aca="false"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C174" s="47" t="str">
        <f aca="false">IF($AF174="","",IF($AF174&lt;=1200,IF(INDEX(对接源_01水果!$S$4:$S$1203,$AF174)=0,"",INDEX(对接源_01水果!$S$4:$S$1203,$AF174)),IF(INDEX(对接源_02物料!$S$4:$S$1203,$AF174-1200)=0,"",INDEX(对接源_02物料!$S$4:$S$1203,$AF174-1200))))</f>
        <v/>
      </c>
      <c r="D174" s="47" t="str">
        <f aca="false"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E174" s="56" t="str">
        <f aca="false">IF($AF174="","",IF($AF174&lt;=1200,IF(INDEX(对接源_01水果!$H$4:$H$1203,$AF174)=0,"",INDEX(对接源_01水果!$H$4:$H$1203,$AF174)),IF(INDEX(对接源_02物料!$H$4:$H$1203,$AF174-1200)=0,"",INDEX(对接源_02物料!$H$4:$H$1203,$AF174-1200))))</f>
        <v/>
      </c>
      <c r="F174" s="46" t="str">
        <f aca="false">IF($AF174="","",IF($AF174&lt;=1200,IF(INDEX(对接源_01水果!$I$4:$I$1203,$AF174)=0,"",INDEX(对接源_01水果!$I$4:$I$1203,$AF174)),IF(INDEX(对接源_02物料!$I$4:$I$1203,$AF174-1200)=0,"",INDEX(对接源_02物料!$I$4:$I$1203,$AF174-1200))))</f>
        <v/>
      </c>
      <c r="G174" s="56" t="str">
        <f aca="false">IF($AF174="","",IF(IF($AF174&lt;=1200,N(INDEX(对接源_01水果!$H$4:$H$1203,$AF174)),N(INDEX(对接源_02物料!$H$4:$H$1203,$AF174-1200)))=0,"",ROUND(IF($AF174&lt;=1200,N(INDEX(对接源_01水果!$K$4:$K$1203,$AF174)),N(INDEX(对接源_02物料!$K$4:$K$1203,$AF174-1200)))/IF($AF174&lt;=1200,N(INDEX(对接源_01水果!$H$4:$H$1203,$AF174)),N(INDEX(对接源_02物料!$H$4:$H$1203,$AF174-1200))),2)))</f>
        <v/>
      </c>
      <c r="H174" s="56" t="str">
        <f aca="false">IF($AF174="","",IF($AF174&lt;=1200,IF(INDEX(对接源_01水果!$K$4:$K$1203,$AF174)=0,"",INDEX(对接源_01水果!$K$4:$K$1203,$AF174)),IF(INDEX(对接源_02物料!$K$4:$K$1203,$AF174-1200)=0,"",INDEX(对接源_02物料!$K$4:$K$1203,$AF174-1200))))</f>
        <v/>
      </c>
      <c r="I174" s="46" t="str">
        <f aca="false">IF($AF174="","",IF($AF174&lt;=1200,IF(INDEX(对接源_01水果!$L$4:$L$1203,$AF174)=0,"",INDEX(对接源_01水果!$L$4:$L$1203,$AF174)),IF(INDEX(对接源_02物料!$L$4:$L$1203,$AF174-1200)=0,"",INDEX(对接源_02物料!$L$4:$L$1203,$AF174-1200))))</f>
        <v/>
      </c>
      <c r="J174" s="47" t="str">
        <f aca="false"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44" t="str">
        <f aca="false">IFERROR(MATCH(66,_自动清单!$AI$4:$AI$2403,0),"")</f>
        <v/>
      </c>
    </row>
    <row r="175" customFormat="false" ht="18" hidden="false" customHeight="true" outlineLevel="0" collapsed="false">
      <c r="A175" s="40" t="str">
        <f aca="false"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41" t="str">
        <f aca="false"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C175" s="42" t="str">
        <f aca="false">IF($AF175="","",IF($AF175&lt;=1200,IF(INDEX(对接源_01水果!$S$4:$S$1203,$AF175)=0,"",INDEX(对接源_01水果!$S$4:$S$1203,$AF175)),IF(INDEX(对接源_02物料!$S$4:$S$1203,$AF175-1200)=0,"",INDEX(对接源_02物料!$S$4:$S$1203,$AF175-1200))))</f>
        <v/>
      </c>
      <c r="D175" s="42" t="str">
        <f aca="false"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E175" s="55" t="str">
        <f aca="false">IF($AF175="","",IF($AF175&lt;=1200,IF(INDEX(对接源_01水果!$H$4:$H$1203,$AF175)=0,"",INDEX(对接源_01水果!$H$4:$H$1203,$AF175)),IF(INDEX(对接源_02物料!$H$4:$H$1203,$AF175-1200)=0,"",INDEX(对接源_02物料!$H$4:$H$1203,$AF175-1200))))</f>
        <v/>
      </c>
      <c r="F175" s="41" t="str">
        <f aca="false">IF($AF175="","",IF($AF175&lt;=1200,IF(INDEX(对接源_01水果!$I$4:$I$1203,$AF175)=0,"",INDEX(对接源_01水果!$I$4:$I$1203,$AF175)),IF(INDEX(对接源_02物料!$I$4:$I$1203,$AF175-1200)=0,"",INDEX(对接源_02物料!$I$4:$I$1203,$AF175-1200))))</f>
        <v/>
      </c>
      <c r="G175" s="55" t="str">
        <f aca="false">IF($AF175="","",IF(IF($AF175&lt;=1200,N(INDEX(对接源_01水果!$H$4:$H$1203,$AF175)),N(INDEX(对接源_02物料!$H$4:$H$1203,$AF175-1200)))=0,"",ROUND(IF($AF175&lt;=1200,N(INDEX(对接源_01水果!$K$4:$K$1203,$AF175)),N(INDEX(对接源_02物料!$K$4:$K$1203,$AF175-1200)))/IF($AF175&lt;=1200,N(INDEX(对接源_01水果!$H$4:$H$1203,$AF175)),N(INDEX(对接源_02物料!$H$4:$H$1203,$AF175-1200))),2)))</f>
        <v/>
      </c>
      <c r="H175" s="55" t="str">
        <f aca="false">IF($AF175="","",IF($AF175&lt;=1200,IF(INDEX(对接源_01水果!$K$4:$K$1203,$AF175)=0,"",INDEX(对接源_01水果!$K$4:$K$1203,$AF175)),IF(INDEX(对接源_02物料!$K$4:$K$1203,$AF175-1200)=0,"",INDEX(对接源_02物料!$K$4:$K$1203,$AF175-1200))))</f>
        <v/>
      </c>
      <c r="I175" s="41" t="str">
        <f aca="false">IF($AF175="","",IF($AF175&lt;=1200,IF(INDEX(对接源_01水果!$L$4:$L$1203,$AF175)=0,"",INDEX(对接源_01水果!$L$4:$L$1203,$AF175)),IF(INDEX(对接源_02物料!$L$4:$L$1203,$AF175-1200)=0,"",INDEX(对接源_02物料!$L$4:$L$1203,$AF175-1200))))</f>
        <v/>
      </c>
      <c r="J175" s="42" t="str">
        <f aca="false"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44" t="str">
        <f aca="false">IFERROR(MATCH(67,_自动清单!$AI$4:$AI$2403,0),"")</f>
        <v/>
      </c>
    </row>
    <row r="176" customFormat="false" ht="18" hidden="false" customHeight="true" outlineLevel="0" collapsed="false">
      <c r="A176" s="45" t="str">
        <f aca="false"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46" t="str">
        <f aca="false"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C176" s="47" t="str">
        <f aca="false">IF($AF176="","",IF($AF176&lt;=1200,IF(INDEX(对接源_01水果!$S$4:$S$1203,$AF176)=0,"",INDEX(对接源_01水果!$S$4:$S$1203,$AF176)),IF(INDEX(对接源_02物料!$S$4:$S$1203,$AF176-1200)=0,"",INDEX(对接源_02物料!$S$4:$S$1203,$AF176-1200))))</f>
        <v/>
      </c>
      <c r="D176" s="47" t="str">
        <f aca="false"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E176" s="56" t="str">
        <f aca="false">IF($AF176="","",IF($AF176&lt;=1200,IF(INDEX(对接源_01水果!$H$4:$H$1203,$AF176)=0,"",INDEX(对接源_01水果!$H$4:$H$1203,$AF176)),IF(INDEX(对接源_02物料!$H$4:$H$1203,$AF176-1200)=0,"",INDEX(对接源_02物料!$H$4:$H$1203,$AF176-1200))))</f>
        <v/>
      </c>
      <c r="F176" s="46" t="str">
        <f aca="false">IF($AF176="","",IF($AF176&lt;=1200,IF(INDEX(对接源_01水果!$I$4:$I$1203,$AF176)=0,"",INDEX(对接源_01水果!$I$4:$I$1203,$AF176)),IF(INDEX(对接源_02物料!$I$4:$I$1203,$AF176-1200)=0,"",INDEX(对接源_02物料!$I$4:$I$1203,$AF176-1200))))</f>
        <v/>
      </c>
      <c r="G176" s="56" t="str">
        <f aca="false">IF($AF176="","",IF(IF($AF176&lt;=1200,N(INDEX(对接源_01水果!$H$4:$H$1203,$AF176)),N(INDEX(对接源_02物料!$H$4:$H$1203,$AF176-1200)))=0,"",ROUND(IF($AF176&lt;=1200,N(INDEX(对接源_01水果!$K$4:$K$1203,$AF176)),N(INDEX(对接源_02物料!$K$4:$K$1203,$AF176-1200)))/IF($AF176&lt;=1200,N(INDEX(对接源_01水果!$H$4:$H$1203,$AF176)),N(INDEX(对接源_02物料!$H$4:$H$1203,$AF176-1200))),2)))</f>
        <v/>
      </c>
      <c r="H176" s="56" t="str">
        <f aca="false">IF($AF176="","",IF($AF176&lt;=1200,IF(INDEX(对接源_01水果!$K$4:$K$1203,$AF176)=0,"",INDEX(对接源_01水果!$K$4:$K$1203,$AF176)),IF(INDEX(对接源_02物料!$K$4:$K$1203,$AF176-1200)=0,"",INDEX(对接源_02物料!$K$4:$K$1203,$AF176-1200))))</f>
        <v/>
      </c>
      <c r="I176" s="46" t="str">
        <f aca="false">IF($AF176="","",IF($AF176&lt;=1200,IF(INDEX(对接源_01水果!$L$4:$L$1203,$AF176)=0,"",INDEX(对接源_01水果!$L$4:$L$1203,$AF176)),IF(INDEX(对接源_02物料!$L$4:$L$1203,$AF176-1200)=0,"",INDEX(对接源_02物料!$L$4:$L$1203,$AF176-1200))))</f>
        <v/>
      </c>
      <c r="J176" s="47" t="str">
        <f aca="false"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44" t="str">
        <f aca="false">IFERROR(MATCH(68,_自动清单!$AI$4:$AI$2403,0),"")</f>
        <v/>
      </c>
    </row>
    <row r="177" customFormat="false" ht="18" hidden="false" customHeight="true" outlineLevel="0" collapsed="false">
      <c r="A177" s="40" t="str">
        <f aca="false"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41" t="str">
        <f aca="false"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C177" s="42" t="str">
        <f aca="false">IF($AF177="","",IF($AF177&lt;=1200,IF(INDEX(对接源_01水果!$S$4:$S$1203,$AF177)=0,"",INDEX(对接源_01水果!$S$4:$S$1203,$AF177)),IF(INDEX(对接源_02物料!$S$4:$S$1203,$AF177-1200)=0,"",INDEX(对接源_02物料!$S$4:$S$1203,$AF177-1200))))</f>
        <v/>
      </c>
      <c r="D177" s="42" t="str">
        <f aca="false"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E177" s="55" t="str">
        <f aca="false">IF($AF177="","",IF($AF177&lt;=1200,IF(INDEX(对接源_01水果!$H$4:$H$1203,$AF177)=0,"",INDEX(对接源_01水果!$H$4:$H$1203,$AF177)),IF(INDEX(对接源_02物料!$H$4:$H$1203,$AF177-1200)=0,"",INDEX(对接源_02物料!$H$4:$H$1203,$AF177-1200))))</f>
        <v/>
      </c>
      <c r="F177" s="41" t="str">
        <f aca="false">IF($AF177="","",IF($AF177&lt;=1200,IF(INDEX(对接源_01水果!$I$4:$I$1203,$AF177)=0,"",INDEX(对接源_01水果!$I$4:$I$1203,$AF177)),IF(INDEX(对接源_02物料!$I$4:$I$1203,$AF177-1200)=0,"",INDEX(对接源_02物料!$I$4:$I$1203,$AF177-1200))))</f>
        <v/>
      </c>
      <c r="G177" s="55" t="str">
        <f aca="false">IF($AF177="","",IF(IF($AF177&lt;=1200,N(INDEX(对接源_01水果!$H$4:$H$1203,$AF177)),N(INDEX(对接源_02物料!$H$4:$H$1203,$AF177-1200)))=0,"",ROUND(IF($AF177&lt;=1200,N(INDEX(对接源_01水果!$K$4:$K$1203,$AF177)),N(INDEX(对接源_02物料!$K$4:$K$1203,$AF177-1200)))/IF($AF177&lt;=1200,N(INDEX(对接源_01水果!$H$4:$H$1203,$AF177)),N(INDEX(对接源_02物料!$H$4:$H$1203,$AF177-1200))),2)))</f>
        <v/>
      </c>
      <c r="H177" s="55" t="str">
        <f aca="false">IF($AF177="","",IF($AF177&lt;=1200,IF(INDEX(对接源_01水果!$K$4:$K$1203,$AF177)=0,"",INDEX(对接源_01水果!$K$4:$K$1203,$AF177)),IF(INDEX(对接源_02物料!$K$4:$K$1203,$AF177-1200)=0,"",INDEX(对接源_02物料!$K$4:$K$1203,$AF177-1200))))</f>
        <v/>
      </c>
      <c r="I177" s="41" t="str">
        <f aca="false">IF($AF177="","",IF($AF177&lt;=1200,IF(INDEX(对接源_01水果!$L$4:$L$1203,$AF177)=0,"",INDEX(对接源_01水果!$L$4:$L$1203,$AF177)),IF(INDEX(对接源_02物料!$L$4:$L$1203,$AF177-1200)=0,"",INDEX(对接源_02物料!$L$4:$L$1203,$AF177-1200))))</f>
        <v/>
      </c>
      <c r="J177" s="42" t="str">
        <f aca="false"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44" t="str">
        <f aca="false">IFERROR(MATCH(69,_自动清单!$AI$4:$AI$2403,0),"")</f>
        <v/>
      </c>
    </row>
    <row r="178" customFormat="false" ht="18" hidden="false" customHeight="true" outlineLevel="0" collapsed="false">
      <c r="A178" s="45" t="str">
        <f aca="false"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46" t="str">
        <f aca="false"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C178" s="47" t="str">
        <f aca="false">IF($AF178="","",IF($AF178&lt;=1200,IF(INDEX(对接源_01水果!$S$4:$S$1203,$AF178)=0,"",INDEX(对接源_01水果!$S$4:$S$1203,$AF178)),IF(INDEX(对接源_02物料!$S$4:$S$1203,$AF178-1200)=0,"",INDEX(对接源_02物料!$S$4:$S$1203,$AF178-1200))))</f>
        <v/>
      </c>
      <c r="D178" s="47" t="str">
        <f aca="false"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E178" s="56" t="str">
        <f aca="false">IF($AF178="","",IF($AF178&lt;=1200,IF(INDEX(对接源_01水果!$H$4:$H$1203,$AF178)=0,"",INDEX(对接源_01水果!$H$4:$H$1203,$AF178)),IF(INDEX(对接源_02物料!$H$4:$H$1203,$AF178-1200)=0,"",INDEX(对接源_02物料!$H$4:$H$1203,$AF178-1200))))</f>
        <v/>
      </c>
      <c r="F178" s="46" t="str">
        <f aca="false">IF($AF178="","",IF($AF178&lt;=1200,IF(INDEX(对接源_01水果!$I$4:$I$1203,$AF178)=0,"",INDEX(对接源_01水果!$I$4:$I$1203,$AF178)),IF(INDEX(对接源_02物料!$I$4:$I$1203,$AF178-1200)=0,"",INDEX(对接源_02物料!$I$4:$I$1203,$AF178-1200))))</f>
        <v/>
      </c>
      <c r="G178" s="56" t="str">
        <f aca="false">IF($AF178="","",IF(IF($AF178&lt;=1200,N(INDEX(对接源_01水果!$H$4:$H$1203,$AF178)),N(INDEX(对接源_02物料!$H$4:$H$1203,$AF178-1200)))=0,"",ROUND(IF($AF178&lt;=1200,N(INDEX(对接源_01水果!$K$4:$K$1203,$AF178)),N(INDEX(对接源_02物料!$K$4:$K$1203,$AF178-1200)))/IF($AF178&lt;=1200,N(INDEX(对接源_01水果!$H$4:$H$1203,$AF178)),N(INDEX(对接源_02物料!$H$4:$H$1203,$AF178-1200))),2)))</f>
        <v/>
      </c>
      <c r="H178" s="56" t="str">
        <f aca="false">IF($AF178="","",IF($AF178&lt;=1200,IF(INDEX(对接源_01水果!$K$4:$K$1203,$AF178)=0,"",INDEX(对接源_01水果!$K$4:$K$1203,$AF178)),IF(INDEX(对接源_02物料!$K$4:$K$1203,$AF178-1200)=0,"",INDEX(对接源_02物料!$K$4:$K$1203,$AF178-1200))))</f>
        <v/>
      </c>
      <c r="I178" s="46" t="str">
        <f aca="false">IF($AF178="","",IF($AF178&lt;=1200,IF(INDEX(对接源_01水果!$L$4:$L$1203,$AF178)=0,"",INDEX(对接源_01水果!$L$4:$L$1203,$AF178)),IF(INDEX(对接源_02物料!$L$4:$L$1203,$AF178-1200)=0,"",INDEX(对接源_02物料!$L$4:$L$1203,$AF178-1200))))</f>
        <v/>
      </c>
      <c r="J178" s="47" t="str">
        <f aca="false"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44" t="str">
        <f aca="false">IFERROR(MATCH(70,_自动清单!$AI$4:$AI$2403,0),"")</f>
        <v/>
      </c>
    </row>
    <row r="179" customFormat="false" ht="18" hidden="false" customHeight="true" outlineLevel="0" collapsed="false">
      <c r="A179" s="40" t="str">
        <f aca="false"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41" t="str">
        <f aca="false"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C179" s="42" t="str">
        <f aca="false">IF($AF179="","",IF($AF179&lt;=1200,IF(INDEX(对接源_01水果!$S$4:$S$1203,$AF179)=0,"",INDEX(对接源_01水果!$S$4:$S$1203,$AF179)),IF(INDEX(对接源_02物料!$S$4:$S$1203,$AF179-1200)=0,"",INDEX(对接源_02物料!$S$4:$S$1203,$AF179-1200))))</f>
        <v/>
      </c>
      <c r="D179" s="42" t="str">
        <f aca="false"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E179" s="55" t="str">
        <f aca="false">IF($AF179="","",IF($AF179&lt;=1200,IF(INDEX(对接源_01水果!$H$4:$H$1203,$AF179)=0,"",INDEX(对接源_01水果!$H$4:$H$1203,$AF179)),IF(INDEX(对接源_02物料!$H$4:$H$1203,$AF179-1200)=0,"",INDEX(对接源_02物料!$H$4:$H$1203,$AF179-1200))))</f>
        <v/>
      </c>
      <c r="F179" s="41" t="str">
        <f aca="false">IF($AF179="","",IF($AF179&lt;=1200,IF(INDEX(对接源_01水果!$I$4:$I$1203,$AF179)=0,"",INDEX(对接源_01水果!$I$4:$I$1203,$AF179)),IF(INDEX(对接源_02物料!$I$4:$I$1203,$AF179-1200)=0,"",INDEX(对接源_02物料!$I$4:$I$1203,$AF179-1200))))</f>
        <v/>
      </c>
      <c r="G179" s="55" t="str">
        <f aca="false">IF($AF179="","",IF(IF($AF179&lt;=1200,N(INDEX(对接源_01水果!$H$4:$H$1203,$AF179)),N(INDEX(对接源_02物料!$H$4:$H$1203,$AF179-1200)))=0,"",ROUND(IF($AF179&lt;=1200,N(INDEX(对接源_01水果!$K$4:$K$1203,$AF179)),N(INDEX(对接源_02物料!$K$4:$K$1203,$AF179-1200)))/IF($AF179&lt;=1200,N(INDEX(对接源_01水果!$H$4:$H$1203,$AF179)),N(INDEX(对接源_02物料!$H$4:$H$1203,$AF179-1200))),2)))</f>
        <v/>
      </c>
      <c r="H179" s="55" t="str">
        <f aca="false">IF($AF179="","",IF($AF179&lt;=1200,IF(INDEX(对接源_01水果!$K$4:$K$1203,$AF179)=0,"",INDEX(对接源_01水果!$K$4:$K$1203,$AF179)),IF(INDEX(对接源_02物料!$K$4:$K$1203,$AF179-1200)=0,"",INDEX(对接源_02物料!$K$4:$K$1203,$AF179-1200))))</f>
        <v/>
      </c>
      <c r="I179" s="41" t="str">
        <f aca="false">IF($AF179="","",IF($AF179&lt;=1200,IF(INDEX(对接源_01水果!$L$4:$L$1203,$AF179)=0,"",INDEX(对接源_01水果!$L$4:$L$1203,$AF179)),IF(INDEX(对接源_02物料!$L$4:$L$1203,$AF179-1200)=0,"",INDEX(对接源_02物料!$L$4:$L$1203,$AF179-1200))))</f>
        <v/>
      </c>
      <c r="J179" s="42" t="str">
        <f aca="false"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44" t="str">
        <f aca="false">IFERROR(MATCH(71,_自动清单!$AI$4:$AI$2403,0),"")</f>
        <v/>
      </c>
    </row>
    <row r="180" customFormat="false" ht="18" hidden="false" customHeight="true" outlineLevel="0" collapsed="false">
      <c r="A180" s="45" t="str">
        <f aca="false"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46" t="str">
        <f aca="false"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C180" s="47" t="str">
        <f aca="false">IF($AF180="","",IF($AF180&lt;=1200,IF(INDEX(对接源_01水果!$S$4:$S$1203,$AF180)=0,"",INDEX(对接源_01水果!$S$4:$S$1203,$AF180)),IF(INDEX(对接源_02物料!$S$4:$S$1203,$AF180-1200)=0,"",INDEX(对接源_02物料!$S$4:$S$1203,$AF180-1200))))</f>
        <v/>
      </c>
      <c r="D180" s="47" t="str">
        <f aca="false"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E180" s="56" t="str">
        <f aca="false">IF($AF180="","",IF($AF180&lt;=1200,IF(INDEX(对接源_01水果!$H$4:$H$1203,$AF180)=0,"",INDEX(对接源_01水果!$H$4:$H$1203,$AF180)),IF(INDEX(对接源_02物料!$H$4:$H$1203,$AF180-1200)=0,"",INDEX(对接源_02物料!$H$4:$H$1203,$AF180-1200))))</f>
        <v/>
      </c>
      <c r="F180" s="46" t="str">
        <f aca="false">IF($AF180="","",IF($AF180&lt;=1200,IF(INDEX(对接源_01水果!$I$4:$I$1203,$AF180)=0,"",INDEX(对接源_01水果!$I$4:$I$1203,$AF180)),IF(INDEX(对接源_02物料!$I$4:$I$1203,$AF180-1200)=0,"",INDEX(对接源_02物料!$I$4:$I$1203,$AF180-1200))))</f>
        <v/>
      </c>
      <c r="G180" s="56" t="str">
        <f aca="false">IF($AF180="","",IF(IF($AF180&lt;=1200,N(INDEX(对接源_01水果!$H$4:$H$1203,$AF180)),N(INDEX(对接源_02物料!$H$4:$H$1203,$AF180-1200)))=0,"",ROUND(IF($AF180&lt;=1200,N(INDEX(对接源_01水果!$K$4:$K$1203,$AF180)),N(INDEX(对接源_02物料!$K$4:$K$1203,$AF180-1200)))/IF($AF180&lt;=1200,N(INDEX(对接源_01水果!$H$4:$H$1203,$AF180)),N(INDEX(对接源_02物料!$H$4:$H$1203,$AF180-1200))),2)))</f>
        <v/>
      </c>
      <c r="H180" s="56" t="str">
        <f aca="false">IF($AF180="","",IF($AF180&lt;=1200,IF(INDEX(对接源_01水果!$K$4:$K$1203,$AF180)=0,"",INDEX(对接源_01水果!$K$4:$K$1203,$AF180)),IF(INDEX(对接源_02物料!$K$4:$K$1203,$AF180-1200)=0,"",INDEX(对接源_02物料!$K$4:$K$1203,$AF180-1200))))</f>
        <v/>
      </c>
      <c r="I180" s="46" t="str">
        <f aca="false">IF($AF180="","",IF($AF180&lt;=1200,IF(INDEX(对接源_01水果!$L$4:$L$1203,$AF180)=0,"",INDEX(对接源_01水果!$L$4:$L$1203,$AF180)),IF(INDEX(对接源_02物料!$L$4:$L$1203,$AF180-1200)=0,"",INDEX(对接源_02物料!$L$4:$L$1203,$AF180-1200))))</f>
        <v/>
      </c>
      <c r="J180" s="47" t="str">
        <f aca="false"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44" t="str">
        <f aca="false">IFERROR(MATCH(72,_自动清单!$AI$4:$AI$2403,0),"")</f>
        <v/>
      </c>
    </row>
    <row r="181" customFormat="false" ht="18" hidden="false" customHeight="true" outlineLevel="0" collapsed="false">
      <c r="A181" s="40" t="str">
        <f aca="false"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41" t="str">
        <f aca="false"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C181" s="42" t="str">
        <f aca="false">IF($AF181="","",IF($AF181&lt;=1200,IF(INDEX(对接源_01水果!$S$4:$S$1203,$AF181)=0,"",INDEX(对接源_01水果!$S$4:$S$1203,$AF181)),IF(INDEX(对接源_02物料!$S$4:$S$1203,$AF181-1200)=0,"",INDEX(对接源_02物料!$S$4:$S$1203,$AF181-1200))))</f>
        <v/>
      </c>
      <c r="D181" s="42" t="str">
        <f aca="false"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E181" s="55" t="str">
        <f aca="false">IF($AF181="","",IF($AF181&lt;=1200,IF(INDEX(对接源_01水果!$H$4:$H$1203,$AF181)=0,"",INDEX(对接源_01水果!$H$4:$H$1203,$AF181)),IF(INDEX(对接源_02物料!$H$4:$H$1203,$AF181-1200)=0,"",INDEX(对接源_02物料!$H$4:$H$1203,$AF181-1200))))</f>
        <v/>
      </c>
      <c r="F181" s="41" t="str">
        <f aca="false">IF($AF181="","",IF($AF181&lt;=1200,IF(INDEX(对接源_01水果!$I$4:$I$1203,$AF181)=0,"",INDEX(对接源_01水果!$I$4:$I$1203,$AF181)),IF(INDEX(对接源_02物料!$I$4:$I$1203,$AF181-1200)=0,"",INDEX(对接源_02物料!$I$4:$I$1203,$AF181-1200))))</f>
        <v/>
      </c>
      <c r="G181" s="55" t="str">
        <f aca="false">IF($AF181="","",IF(IF($AF181&lt;=1200,N(INDEX(对接源_01水果!$H$4:$H$1203,$AF181)),N(INDEX(对接源_02物料!$H$4:$H$1203,$AF181-1200)))=0,"",ROUND(IF($AF181&lt;=1200,N(INDEX(对接源_01水果!$K$4:$K$1203,$AF181)),N(INDEX(对接源_02物料!$K$4:$K$1203,$AF181-1200)))/IF($AF181&lt;=1200,N(INDEX(对接源_01水果!$H$4:$H$1203,$AF181)),N(INDEX(对接源_02物料!$H$4:$H$1203,$AF181-1200))),2)))</f>
        <v/>
      </c>
      <c r="H181" s="55" t="str">
        <f aca="false">IF($AF181="","",IF($AF181&lt;=1200,IF(INDEX(对接源_01水果!$K$4:$K$1203,$AF181)=0,"",INDEX(对接源_01水果!$K$4:$K$1203,$AF181)),IF(INDEX(对接源_02物料!$K$4:$K$1203,$AF181-1200)=0,"",INDEX(对接源_02物料!$K$4:$K$1203,$AF181-1200))))</f>
        <v/>
      </c>
      <c r="I181" s="41" t="str">
        <f aca="false">IF($AF181="","",IF($AF181&lt;=1200,IF(INDEX(对接源_01水果!$L$4:$L$1203,$AF181)=0,"",INDEX(对接源_01水果!$L$4:$L$1203,$AF181)),IF(INDEX(对接源_02物料!$L$4:$L$1203,$AF181-1200)=0,"",INDEX(对接源_02物料!$L$4:$L$1203,$AF181-1200))))</f>
        <v/>
      </c>
      <c r="J181" s="42" t="str">
        <f aca="false"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44" t="str">
        <f aca="false">IFERROR(MATCH(73,_自动清单!$AI$4:$AI$2403,0),"")</f>
        <v/>
      </c>
    </row>
    <row r="182" customFormat="false" ht="18" hidden="false" customHeight="true" outlineLevel="0" collapsed="false">
      <c r="A182" s="45" t="str">
        <f aca="false"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46" t="str">
        <f aca="false"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C182" s="47" t="str">
        <f aca="false">IF($AF182="","",IF($AF182&lt;=1200,IF(INDEX(对接源_01水果!$S$4:$S$1203,$AF182)=0,"",INDEX(对接源_01水果!$S$4:$S$1203,$AF182)),IF(INDEX(对接源_02物料!$S$4:$S$1203,$AF182-1200)=0,"",INDEX(对接源_02物料!$S$4:$S$1203,$AF182-1200))))</f>
        <v/>
      </c>
      <c r="D182" s="47" t="str">
        <f aca="false"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E182" s="56" t="str">
        <f aca="false">IF($AF182="","",IF($AF182&lt;=1200,IF(INDEX(对接源_01水果!$H$4:$H$1203,$AF182)=0,"",INDEX(对接源_01水果!$H$4:$H$1203,$AF182)),IF(INDEX(对接源_02物料!$H$4:$H$1203,$AF182-1200)=0,"",INDEX(对接源_02物料!$H$4:$H$1203,$AF182-1200))))</f>
        <v/>
      </c>
      <c r="F182" s="46" t="str">
        <f aca="false">IF($AF182="","",IF($AF182&lt;=1200,IF(INDEX(对接源_01水果!$I$4:$I$1203,$AF182)=0,"",INDEX(对接源_01水果!$I$4:$I$1203,$AF182)),IF(INDEX(对接源_02物料!$I$4:$I$1203,$AF182-1200)=0,"",INDEX(对接源_02物料!$I$4:$I$1203,$AF182-1200))))</f>
        <v/>
      </c>
      <c r="G182" s="56" t="str">
        <f aca="false">IF($AF182="","",IF(IF($AF182&lt;=1200,N(INDEX(对接源_01水果!$H$4:$H$1203,$AF182)),N(INDEX(对接源_02物料!$H$4:$H$1203,$AF182-1200)))=0,"",ROUND(IF($AF182&lt;=1200,N(INDEX(对接源_01水果!$K$4:$K$1203,$AF182)),N(INDEX(对接源_02物料!$K$4:$K$1203,$AF182-1200)))/IF($AF182&lt;=1200,N(INDEX(对接源_01水果!$H$4:$H$1203,$AF182)),N(INDEX(对接源_02物料!$H$4:$H$1203,$AF182-1200))),2)))</f>
        <v/>
      </c>
      <c r="H182" s="56" t="str">
        <f aca="false">IF($AF182="","",IF($AF182&lt;=1200,IF(INDEX(对接源_01水果!$K$4:$K$1203,$AF182)=0,"",INDEX(对接源_01水果!$K$4:$K$1203,$AF182)),IF(INDEX(对接源_02物料!$K$4:$K$1203,$AF182-1200)=0,"",INDEX(对接源_02物料!$K$4:$K$1203,$AF182-1200))))</f>
        <v/>
      </c>
      <c r="I182" s="46" t="str">
        <f aca="false">IF($AF182="","",IF($AF182&lt;=1200,IF(INDEX(对接源_01水果!$L$4:$L$1203,$AF182)=0,"",INDEX(对接源_01水果!$L$4:$L$1203,$AF182)),IF(INDEX(对接源_02物料!$L$4:$L$1203,$AF182-1200)=0,"",INDEX(对接源_02物料!$L$4:$L$1203,$AF182-1200))))</f>
        <v/>
      </c>
      <c r="J182" s="47" t="str">
        <f aca="false"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44" t="str">
        <f aca="false">IFERROR(MATCH(74,_自动清单!$AI$4:$AI$2403,0),"")</f>
        <v/>
      </c>
    </row>
    <row r="183" customFormat="false" ht="18" hidden="false" customHeight="true" outlineLevel="0" collapsed="false">
      <c r="A183" s="40" t="str">
        <f aca="false"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41" t="str">
        <f aca="false"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C183" s="42" t="str">
        <f aca="false">IF($AF183="","",IF($AF183&lt;=1200,IF(INDEX(对接源_01水果!$S$4:$S$1203,$AF183)=0,"",INDEX(对接源_01水果!$S$4:$S$1203,$AF183)),IF(INDEX(对接源_02物料!$S$4:$S$1203,$AF183-1200)=0,"",INDEX(对接源_02物料!$S$4:$S$1203,$AF183-1200))))</f>
        <v/>
      </c>
      <c r="D183" s="42" t="str">
        <f aca="false"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E183" s="55" t="str">
        <f aca="false">IF($AF183="","",IF($AF183&lt;=1200,IF(INDEX(对接源_01水果!$H$4:$H$1203,$AF183)=0,"",INDEX(对接源_01水果!$H$4:$H$1203,$AF183)),IF(INDEX(对接源_02物料!$H$4:$H$1203,$AF183-1200)=0,"",INDEX(对接源_02物料!$H$4:$H$1203,$AF183-1200))))</f>
        <v/>
      </c>
      <c r="F183" s="41" t="str">
        <f aca="false">IF($AF183="","",IF($AF183&lt;=1200,IF(INDEX(对接源_01水果!$I$4:$I$1203,$AF183)=0,"",INDEX(对接源_01水果!$I$4:$I$1203,$AF183)),IF(INDEX(对接源_02物料!$I$4:$I$1203,$AF183-1200)=0,"",INDEX(对接源_02物料!$I$4:$I$1203,$AF183-1200))))</f>
        <v/>
      </c>
      <c r="G183" s="55" t="str">
        <f aca="false">IF($AF183="","",IF(IF($AF183&lt;=1200,N(INDEX(对接源_01水果!$H$4:$H$1203,$AF183)),N(INDEX(对接源_02物料!$H$4:$H$1203,$AF183-1200)))=0,"",ROUND(IF($AF183&lt;=1200,N(INDEX(对接源_01水果!$K$4:$K$1203,$AF183)),N(INDEX(对接源_02物料!$K$4:$K$1203,$AF183-1200)))/IF($AF183&lt;=1200,N(INDEX(对接源_01水果!$H$4:$H$1203,$AF183)),N(INDEX(对接源_02物料!$H$4:$H$1203,$AF183-1200))),2)))</f>
        <v/>
      </c>
      <c r="H183" s="55" t="str">
        <f aca="false">IF($AF183="","",IF($AF183&lt;=1200,IF(INDEX(对接源_01水果!$K$4:$K$1203,$AF183)=0,"",INDEX(对接源_01水果!$K$4:$K$1203,$AF183)),IF(INDEX(对接源_02物料!$K$4:$K$1203,$AF183-1200)=0,"",INDEX(对接源_02物料!$K$4:$K$1203,$AF183-1200))))</f>
        <v/>
      </c>
      <c r="I183" s="41" t="str">
        <f aca="false">IF($AF183="","",IF($AF183&lt;=1200,IF(INDEX(对接源_01水果!$L$4:$L$1203,$AF183)=0,"",INDEX(对接源_01水果!$L$4:$L$1203,$AF183)),IF(INDEX(对接源_02物料!$L$4:$L$1203,$AF183-1200)=0,"",INDEX(对接源_02物料!$L$4:$L$1203,$AF183-1200))))</f>
        <v/>
      </c>
      <c r="J183" s="42" t="str">
        <f aca="false"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44" t="str">
        <f aca="false">IFERROR(MATCH(75,_自动清单!$AI$4:$AI$2403,0),"")</f>
        <v/>
      </c>
    </row>
    <row r="184" customFormat="false" ht="18" hidden="false" customHeight="true" outlineLevel="0" collapsed="false">
      <c r="A184" s="45" t="str">
        <f aca="false"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46" t="str">
        <f aca="false"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C184" s="47" t="str">
        <f aca="false">IF($AF184="","",IF($AF184&lt;=1200,IF(INDEX(对接源_01水果!$S$4:$S$1203,$AF184)=0,"",INDEX(对接源_01水果!$S$4:$S$1203,$AF184)),IF(INDEX(对接源_02物料!$S$4:$S$1203,$AF184-1200)=0,"",INDEX(对接源_02物料!$S$4:$S$1203,$AF184-1200))))</f>
        <v/>
      </c>
      <c r="D184" s="47" t="str">
        <f aca="false"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E184" s="56" t="str">
        <f aca="false">IF($AF184="","",IF($AF184&lt;=1200,IF(INDEX(对接源_01水果!$H$4:$H$1203,$AF184)=0,"",INDEX(对接源_01水果!$H$4:$H$1203,$AF184)),IF(INDEX(对接源_02物料!$H$4:$H$1203,$AF184-1200)=0,"",INDEX(对接源_02物料!$H$4:$H$1203,$AF184-1200))))</f>
        <v/>
      </c>
      <c r="F184" s="46" t="str">
        <f aca="false">IF($AF184="","",IF($AF184&lt;=1200,IF(INDEX(对接源_01水果!$I$4:$I$1203,$AF184)=0,"",INDEX(对接源_01水果!$I$4:$I$1203,$AF184)),IF(INDEX(对接源_02物料!$I$4:$I$1203,$AF184-1200)=0,"",INDEX(对接源_02物料!$I$4:$I$1203,$AF184-1200))))</f>
        <v/>
      </c>
      <c r="G184" s="56" t="str">
        <f aca="false">IF($AF184="","",IF(IF($AF184&lt;=1200,N(INDEX(对接源_01水果!$H$4:$H$1203,$AF184)),N(INDEX(对接源_02物料!$H$4:$H$1203,$AF184-1200)))=0,"",ROUND(IF($AF184&lt;=1200,N(INDEX(对接源_01水果!$K$4:$K$1203,$AF184)),N(INDEX(对接源_02物料!$K$4:$K$1203,$AF184-1200)))/IF($AF184&lt;=1200,N(INDEX(对接源_01水果!$H$4:$H$1203,$AF184)),N(INDEX(对接源_02物料!$H$4:$H$1203,$AF184-1200))),2)))</f>
        <v/>
      </c>
      <c r="H184" s="56" t="str">
        <f aca="false">IF($AF184="","",IF($AF184&lt;=1200,IF(INDEX(对接源_01水果!$K$4:$K$1203,$AF184)=0,"",INDEX(对接源_01水果!$K$4:$K$1203,$AF184)),IF(INDEX(对接源_02物料!$K$4:$K$1203,$AF184-1200)=0,"",INDEX(对接源_02物料!$K$4:$K$1203,$AF184-1200))))</f>
        <v/>
      </c>
      <c r="I184" s="46" t="str">
        <f aca="false">IF($AF184="","",IF($AF184&lt;=1200,IF(INDEX(对接源_01水果!$L$4:$L$1203,$AF184)=0,"",INDEX(对接源_01水果!$L$4:$L$1203,$AF184)),IF(INDEX(对接源_02物料!$L$4:$L$1203,$AF184-1200)=0,"",INDEX(对接源_02物料!$L$4:$L$1203,$AF184-1200))))</f>
        <v/>
      </c>
      <c r="J184" s="47" t="str">
        <f aca="false"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44" t="str">
        <f aca="false">IFERROR(MATCH(76,_自动清单!$AI$4:$AI$2403,0),"")</f>
        <v/>
      </c>
    </row>
    <row r="185" customFormat="false" ht="18" hidden="false" customHeight="true" outlineLevel="0" collapsed="false">
      <c r="A185" s="40" t="str">
        <f aca="false"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41" t="str">
        <f aca="false"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C185" s="42" t="str">
        <f aca="false">IF($AF185="","",IF($AF185&lt;=1200,IF(INDEX(对接源_01水果!$S$4:$S$1203,$AF185)=0,"",INDEX(对接源_01水果!$S$4:$S$1203,$AF185)),IF(INDEX(对接源_02物料!$S$4:$S$1203,$AF185-1200)=0,"",INDEX(对接源_02物料!$S$4:$S$1203,$AF185-1200))))</f>
        <v/>
      </c>
      <c r="D185" s="42" t="str">
        <f aca="false"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E185" s="55" t="str">
        <f aca="false">IF($AF185="","",IF($AF185&lt;=1200,IF(INDEX(对接源_01水果!$H$4:$H$1203,$AF185)=0,"",INDEX(对接源_01水果!$H$4:$H$1203,$AF185)),IF(INDEX(对接源_02物料!$H$4:$H$1203,$AF185-1200)=0,"",INDEX(对接源_02物料!$H$4:$H$1203,$AF185-1200))))</f>
        <v/>
      </c>
      <c r="F185" s="41" t="str">
        <f aca="false">IF($AF185="","",IF($AF185&lt;=1200,IF(INDEX(对接源_01水果!$I$4:$I$1203,$AF185)=0,"",INDEX(对接源_01水果!$I$4:$I$1203,$AF185)),IF(INDEX(对接源_02物料!$I$4:$I$1203,$AF185-1200)=0,"",INDEX(对接源_02物料!$I$4:$I$1203,$AF185-1200))))</f>
        <v/>
      </c>
      <c r="G185" s="55" t="str">
        <f aca="false">IF($AF185="","",IF(IF($AF185&lt;=1200,N(INDEX(对接源_01水果!$H$4:$H$1203,$AF185)),N(INDEX(对接源_02物料!$H$4:$H$1203,$AF185-1200)))=0,"",ROUND(IF($AF185&lt;=1200,N(INDEX(对接源_01水果!$K$4:$K$1203,$AF185)),N(INDEX(对接源_02物料!$K$4:$K$1203,$AF185-1200)))/IF($AF185&lt;=1200,N(INDEX(对接源_01水果!$H$4:$H$1203,$AF185)),N(INDEX(对接源_02物料!$H$4:$H$1203,$AF185-1200))),2)))</f>
        <v/>
      </c>
      <c r="H185" s="55" t="str">
        <f aca="false">IF($AF185="","",IF($AF185&lt;=1200,IF(INDEX(对接源_01水果!$K$4:$K$1203,$AF185)=0,"",INDEX(对接源_01水果!$K$4:$K$1203,$AF185)),IF(INDEX(对接源_02物料!$K$4:$K$1203,$AF185-1200)=0,"",INDEX(对接源_02物料!$K$4:$K$1203,$AF185-1200))))</f>
        <v/>
      </c>
      <c r="I185" s="41" t="str">
        <f aca="false">IF($AF185="","",IF($AF185&lt;=1200,IF(INDEX(对接源_01水果!$L$4:$L$1203,$AF185)=0,"",INDEX(对接源_01水果!$L$4:$L$1203,$AF185)),IF(INDEX(对接源_02物料!$L$4:$L$1203,$AF185-1200)=0,"",INDEX(对接源_02物料!$L$4:$L$1203,$AF185-1200))))</f>
        <v/>
      </c>
      <c r="J185" s="42" t="str">
        <f aca="false"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44" t="str">
        <f aca="false">IFERROR(MATCH(77,_自动清单!$AI$4:$AI$2403,0),"")</f>
        <v/>
      </c>
    </row>
    <row r="186" customFormat="false" ht="18" hidden="false" customHeight="true" outlineLevel="0" collapsed="false">
      <c r="A186" s="45" t="str">
        <f aca="false"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46" t="str">
        <f aca="false"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C186" s="47" t="str">
        <f aca="false">IF($AF186="","",IF($AF186&lt;=1200,IF(INDEX(对接源_01水果!$S$4:$S$1203,$AF186)=0,"",INDEX(对接源_01水果!$S$4:$S$1203,$AF186)),IF(INDEX(对接源_02物料!$S$4:$S$1203,$AF186-1200)=0,"",INDEX(对接源_02物料!$S$4:$S$1203,$AF186-1200))))</f>
        <v/>
      </c>
      <c r="D186" s="47" t="str">
        <f aca="false"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E186" s="56" t="str">
        <f aca="false">IF($AF186="","",IF($AF186&lt;=1200,IF(INDEX(对接源_01水果!$H$4:$H$1203,$AF186)=0,"",INDEX(对接源_01水果!$H$4:$H$1203,$AF186)),IF(INDEX(对接源_02物料!$H$4:$H$1203,$AF186-1200)=0,"",INDEX(对接源_02物料!$H$4:$H$1203,$AF186-1200))))</f>
        <v/>
      </c>
      <c r="F186" s="46" t="str">
        <f aca="false">IF($AF186="","",IF($AF186&lt;=1200,IF(INDEX(对接源_01水果!$I$4:$I$1203,$AF186)=0,"",INDEX(对接源_01水果!$I$4:$I$1203,$AF186)),IF(INDEX(对接源_02物料!$I$4:$I$1203,$AF186-1200)=0,"",INDEX(对接源_02物料!$I$4:$I$1203,$AF186-1200))))</f>
        <v/>
      </c>
      <c r="G186" s="56" t="str">
        <f aca="false">IF($AF186="","",IF(IF($AF186&lt;=1200,N(INDEX(对接源_01水果!$H$4:$H$1203,$AF186)),N(INDEX(对接源_02物料!$H$4:$H$1203,$AF186-1200)))=0,"",ROUND(IF($AF186&lt;=1200,N(INDEX(对接源_01水果!$K$4:$K$1203,$AF186)),N(INDEX(对接源_02物料!$K$4:$K$1203,$AF186-1200)))/IF($AF186&lt;=1200,N(INDEX(对接源_01水果!$H$4:$H$1203,$AF186)),N(INDEX(对接源_02物料!$H$4:$H$1203,$AF186-1200))),2)))</f>
        <v/>
      </c>
      <c r="H186" s="56" t="str">
        <f aca="false">IF($AF186="","",IF($AF186&lt;=1200,IF(INDEX(对接源_01水果!$K$4:$K$1203,$AF186)=0,"",INDEX(对接源_01水果!$K$4:$K$1203,$AF186)),IF(INDEX(对接源_02物料!$K$4:$K$1203,$AF186-1200)=0,"",INDEX(对接源_02物料!$K$4:$K$1203,$AF186-1200))))</f>
        <v/>
      </c>
      <c r="I186" s="46" t="str">
        <f aca="false">IF($AF186="","",IF($AF186&lt;=1200,IF(INDEX(对接源_01水果!$L$4:$L$1203,$AF186)=0,"",INDEX(对接源_01水果!$L$4:$L$1203,$AF186)),IF(INDEX(对接源_02物料!$L$4:$L$1203,$AF186-1200)=0,"",INDEX(对接源_02物料!$L$4:$L$1203,$AF186-1200))))</f>
        <v/>
      </c>
      <c r="J186" s="47" t="str">
        <f aca="false"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44" t="str">
        <f aca="false">IFERROR(MATCH(78,_自动清单!$AI$4:$AI$2403,0),"")</f>
        <v/>
      </c>
    </row>
    <row r="187" customFormat="false" ht="18" hidden="false" customHeight="true" outlineLevel="0" collapsed="false">
      <c r="A187" s="40" t="str">
        <f aca="false"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41" t="str">
        <f aca="false"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C187" s="42" t="str">
        <f aca="false">IF($AF187="","",IF($AF187&lt;=1200,IF(INDEX(对接源_01水果!$S$4:$S$1203,$AF187)=0,"",INDEX(对接源_01水果!$S$4:$S$1203,$AF187)),IF(INDEX(对接源_02物料!$S$4:$S$1203,$AF187-1200)=0,"",INDEX(对接源_02物料!$S$4:$S$1203,$AF187-1200))))</f>
        <v/>
      </c>
      <c r="D187" s="42" t="str">
        <f aca="false"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E187" s="55" t="str">
        <f aca="false">IF($AF187="","",IF($AF187&lt;=1200,IF(INDEX(对接源_01水果!$H$4:$H$1203,$AF187)=0,"",INDEX(对接源_01水果!$H$4:$H$1203,$AF187)),IF(INDEX(对接源_02物料!$H$4:$H$1203,$AF187-1200)=0,"",INDEX(对接源_02物料!$H$4:$H$1203,$AF187-1200))))</f>
        <v/>
      </c>
      <c r="F187" s="41" t="str">
        <f aca="false">IF($AF187="","",IF($AF187&lt;=1200,IF(INDEX(对接源_01水果!$I$4:$I$1203,$AF187)=0,"",INDEX(对接源_01水果!$I$4:$I$1203,$AF187)),IF(INDEX(对接源_02物料!$I$4:$I$1203,$AF187-1200)=0,"",INDEX(对接源_02物料!$I$4:$I$1203,$AF187-1200))))</f>
        <v/>
      </c>
      <c r="G187" s="55" t="str">
        <f aca="false">IF($AF187="","",IF(IF($AF187&lt;=1200,N(INDEX(对接源_01水果!$H$4:$H$1203,$AF187)),N(INDEX(对接源_02物料!$H$4:$H$1203,$AF187-1200)))=0,"",ROUND(IF($AF187&lt;=1200,N(INDEX(对接源_01水果!$K$4:$K$1203,$AF187)),N(INDEX(对接源_02物料!$K$4:$K$1203,$AF187-1200)))/IF($AF187&lt;=1200,N(INDEX(对接源_01水果!$H$4:$H$1203,$AF187)),N(INDEX(对接源_02物料!$H$4:$H$1203,$AF187-1200))),2)))</f>
        <v/>
      </c>
      <c r="H187" s="55" t="str">
        <f aca="false">IF($AF187="","",IF($AF187&lt;=1200,IF(INDEX(对接源_01水果!$K$4:$K$1203,$AF187)=0,"",INDEX(对接源_01水果!$K$4:$K$1203,$AF187)),IF(INDEX(对接源_02物料!$K$4:$K$1203,$AF187-1200)=0,"",INDEX(对接源_02物料!$K$4:$K$1203,$AF187-1200))))</f>
        <v/>
      </c>
      <c r="I187" s="41" t="str">
        <f aca="false">IF($AF187="","",IF($AF187&lt;=1200,IF(INDEX(对接源_01水果!$L$4:$L$1203,$AF187)=0,"",INDEX(对接源_01水果!$L$4:$L$1203,$AF187)),IF(INDEX(对接源_02物料!$L$4:$L$1203,$AF187-1200)=0,"",INDEX(对接源_02物料!$L$4:$L$1203,$AF187-1200))))</f>
        <v/>
      </c>
      <c r="J187" s="42" t="str">
        <f aca="false"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44" t="str">
        <f aca="false">IFERROR(MATCH(79,_自动清单!$AI$4:$AI$2403,0),"")</f>
        <v/>
      </c>
    </row>
    <row r="188" customFormat="false" ht="18" hidden="false" customHeight="true" outlineLevel="0" collapsed="false">
      <c r="A188" s="45" t="str">
        <f aca="false"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46" t="str">
        <f aca="false"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C188" s="47" t="str">
        <f aca="false">IF($AF188="","",IF($AF188&lt;=1200,IF(INDEX(对接源_01水果!$S$4:$S$1203,$AF188)=0,"",INDEX(对接源_01水果!$S$4:$S$1203,$AF188)),IF(INDEX(对接源_02物料!$S$4:$S$1203,$AF188-1200)=0,"",INDEX(对接源_02物料!$S$4:$S$1203,$AF188-1200))))</f>
        <v/>
      </c>
      <c r="D188" s="47" t="str">
        <f aca="false"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E188" s="56" t="str">
        <f aca="false">IF($AF188="","",IF($AF188&lt;=1200,IF(INDEX(对接源_01水果!$H$4:$H$1203,$AF188)=0,"",INDEX(对接源_01水果!$H$4:$H$1203,$AF188)),IF(INDEX(对接源_02物料!$H$4:$H$1203,$AF188-1200)=0,"",INDEX(对接源_02物料!$H$4:$H$1203,$AF188-1200))))</f>
        <v/>
      </c>
      <c r="F188" s="46" t="str">
        <f aca="false">IF($AF188="","",IF($AF188&lt;=1200,IF(INDEX(对接源_01水果!$I$4:$I$1203,$AF188)=0,"",INDEX(对接源_01水果!$I$4:$I$1203,$AF188)),IF(INDEX(对接源_02物料!$I$4:$I$1203,$AF188-1200)=0,"",INDEX(对接源_02物料!$I$4:$I$1203,$AF188-1200))))</f>
        <v/>
      </c>
      <c r="G188" s="56" t="str">
        <f aca="false">IF($AF188="","",IF(IF($AF188&lt;=1200,N(INDEX(对接源_01水果!$H$4:$H$1203,$AF188)),N(INDEX(对接源_02物料!$H$4:$H$1203,$AF188-1200)))=0,"",ROUND(IF($AF188&lt;=1200,N(INDEX(对接源_01水果!$K$4:$K$1203,$AF188)),N(INDEX(对接源_02物料!$K$4:$K$1203,$AF188-1200)))/IF($AF188&lt;=1200,N(INDEX(对接源_01水果!$H$4:$H$1203,$AF188)),N(INDEX(对接源_02物料!$H$4:$H$1203,$AF188-1200))),2)))</f>
        <v/>
      </c>
      <c r="H188" s="56" t="str">
        <f aca="false">IF($AF188="","",IF($AF188&lt;=1200,IF(INDEX(对接源_01水果!$K$4:$K$1203,$AF188)=0,"",INDEX(对接源_01水果!$K$4:$K$1203,$AF188)),IF(INDEX(对接源_02物料!$K$4:$K$1203,$AF188-1200)=0,"",INDEX(对接源_02物料!$K$4:$K$1203,$AF188-1200))))</f>
        <v/>
      </c>
      <c r="I188" s="46" t="str">
        <f aca="false">IF($AF188="","",IF($AF188&lt;=1200,IF(INDEX(对接源_01水果!$L$4:$L$1203,$AF188)=0,"",INDEX(对接源_01水果!$L$4:$L$1203,$AF188)),IF(INDEX(对接源_02物料!$L$4:$L$1203,$AF188-1200)=0,"",INDEX(对接源_02物料!$L$4:$L$1203,$AF188-1200))))</f>
        <v/>
      </c>
      <c r="J188" s="47" t="str">
        <f aca="false"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44" t="str">
        <f aca="false">IFERROR(MATCH(80,_自动清单!$AI$4:$AI$2403,0),"")</f>
        <v/>
      </c>
    </row>
    <row r="189" customFormat="false" ht="18" hidden="false" customHeight="true" outlineLevel="0" collapsed="false">
      <c r="A189" s="40" t="str">
        <f aca="false"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41" t="str">
        <f aca="false"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C189" s="42" t="str">
        <f aca="false">IF($AF189="","",IF($AF189&lt;=1200,IF(INDEX(对接源_01水果!$S$4:$S$1203,$AF189)=0,"",INDEX(对接源_01水果!$S$4:$S$1203,$AF189)),IF(INDEX(对接源_02物料!$S$4:$S$1203,$AF189-1200)=0,"",INDEX(对接源_02物料!$S$4:$S$1203,$AF189-1200))))</f>
        <v/>
      </c>
      <c r="D189" s="42" t="str">
        <f aca="false"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E189" s="55" t="str">
        <f aca="false">IF($AF189="","",IF($AF189&lt;=1200,IF(INDEX(对接源_01水果!$H$4:$H$1203,$AF189)=0,"",INDEX(对接源_01水果!$H$4:$H$1203,$AF189)),IF(INDEX(对接源_02物料!$H$4:$H$1203,$AF189-1200)=0,"",INDEX(对接源_02物料!$H$4:$H$1203,$AF189-1200))))</f>
        <v/>
      </c>
      <c r="F189" s="41" t="str">
        <f aca="false">IF($AF189="","",IF($AF189&lt;=1200,IF(INDEX(对接源_01水果!$I$4:$I$1203,$AF189)=0,"",INDEX(对接源_01水果!$I$4:$I$1203,$AF189)),IF(INDEX(对接源_02物料!$I$4:$I$1203,$AF189-1200)=0,"",INDEX(对接源_02物料!$I$4:$I$1203,$AF189-1200))))</f>
        <v/>
      </c>
      <c r="G189" s="55" t="str">
        <f aca="false">IF($AF189="","",IF(IF($AF189&lt;=1200,N(INDEX(对接源_01水果!$H$4:$H$1203,$AF189)),N(INDEX(对接源_02物料!$H$4:$H$1203,$AF189-1200)))=0,"",ROUND(IF($AF189&lt;=1200,N(INDEX(对接源_01水果!$K$4:$K$1203,$AF189)),N(INDEX(对接源_02物料!$K$4:$K$1203,$AF189-1200)))/IF($AF189&lt;=1200,N(INDEX(对接源_01水果!$H$4:$H$1203,$AF189)),N(INDEX(对接源_02物料!$H$4:$H$1203,$AF189-1200))),2)))</f>
        <v/>
      </c>
      <c r="H189" s="55" t="str">
        <f aca="false">IF($AF189="","",IF($AF189&lt;=1200,IF(INDEX(对接源_01水果!$K$4:$K$1203,$AF189)=0,"",INDEX(对接源_01水果!$K$4:$K$1203,$AF189)),IF(INDEX(对接源_02物料!$K$4:$K$1203,$AF189-1200)=0,"",INDEX(对接源_02物料!$K$4:$K$1203,$AF189-1200))))</f>
        <v/>
      </c>
      <c r="I189" s="41" t="str">
        <f aca="false">IF($AF189="","",IF($AF189&lt;=1200,IF(INDEX(对接源_01水果!$L$4:$L$1203,$AF189)=0,"",INDEX(对接源_01水果!$L$4:$L$1203,$AF189)),IF(INDEX(对接源_02物料!$L$4:$L$1203,$AF189-1200)=0,"",INDEX(对接源_02物料!$L$4:$L$1203,$AF189-1200))))</f>
        <v/>
      </c>
      <c r="J189" s="42" t="str">
        <f aca="false"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44" t="str">
        <f aca="false">IFERROR(MATCH(81,_自动清单!$AI$4:$AI$2403,0),"")</f>
        <v/>
      </c>
    </row>
    <row r="190" customFormat="false" ht="18" hidden="false" customHeight="true" outlineLevel="0" collapsed="false">
      <c r="A190" s="45" t="str">
        <f aca="false"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46" t="str">
        <f aca="false"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C190" s="47" t="str">
        <f aca="false">IF($AF190="","",IF($AF190&lt;=1200,IF(INDEX(对接源_01水果!$S$4:$S$1203,$AF190)=0,"",INDEX(对接源_01水果!$S$4:$S$1203,$AF190)),IF(INDEX(对接源_02物料!$S$4:$S$1203,$AF190-1200)=0,"",INDEX(对接源_02物料!$S$4:$S$1203,$AF190-1200))))</f>
        <v/>
      </c>
      <c r="D190" s="47" t="str">
        <f aca="false"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E190" s="56" t="str">
        <f aca="false">IF($AF190="","",IF($AF190&lt;=1200,IF(INDEX(对接源_01水果!$H$4:$H$1203,$AF190)=0,"",INDEX(对接源_01水果!$H$4:$H$1203,$AF190)),IF(INDEX(对接源_02物料!$H$4:$H$1203,$AF190-1200)=0,"",INDEX(对接源_02物料!$H$4:$H$1203,$AF190-1200))))</f>
        <v/>
      </c>
      <c r="F190" s="46" t="str">
        <f aca="false">IF($AF190="","",IF($AF190&lt;=1200,IF(INDEX(对接源_01水果!$I$4:$I$1203,$AF190)=0,"",INDEX(对接源_01水果!$I$4:$I$1203,$AF190)),IF(INDEX(对接源_02物料!$I$4:$I$1203,$AF190-1200)=0,"",INDEX(对接源_02物料!$I$4:$I$1203,$AF190-1200))))</f>
        <v/>
      </c>
      <c r="G190" s="56" t="str">
        <f aca="false">IF($AF190="","",IF(IF($AF190&lt;=1200,N(INDEX(对接源_01水果!$H$4:$H$1203,$AF190)),N(INDEX(对接源_02物料!$H$4:$H$1203,$AF190-1200)))=0,"",ROUND(IF($AF190&lt;=1200,N(INDEX(对接源_01水果!$K$4:$K$1203,$AF190)),N(INDEX(对接源_02物料!$K$4:$K$1203,$AF190-1200)))/IF($AF190&lt;=1200,N(INDEX(对接源_01水果!$H$4:$H$1203,$AF190)),N(INDEX(对接源_02物料!$H$4:$H$1203,$AF190-1200))),2)))</f>
        <v/>
      </c>
      <c r="H190" s="56" t="str">
        <f aca="false">IF($AF190="","",IF($AF190&lt;=1200,IF(INDEX(对接源_01水果!$K$4:$K$1203,$AF190)=0,"",INDEX(对接源_01水果!$K$4:$K$1203,$AF190)),IF(INDEX(对接源_02物料!$K$4:$K$1203,$AF190-1200)=0,"",INDEX(对接源_02物料!$K$4:$K$1203,$AF190-1200))))</f>
        <v/>
      </c>
      <c r="I190" s="46" t="str">
        <f aca="false">IF($AF190="","",IF($AF190&lt;=1200,IF(INDEX(对接源_01水果!$L$4:$L$1203,$AF190)=0,"",INDEX(对接源_01水果!$L$4:$L$1203,$AF190)),IF(INDEX(对接源_02物料!$L$4:$L$1203,$AF190-1200)=0,"",INDEX(对接源_02物料!$L$4:$L$1203,$AF190-1200))))</f>
        <v/>
      </c>
      <c r="J190" s="47" t="str">
        <f aca="false"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44" t="str">
        <f aca="false">IFERROR(MATCH(82,_自动清单!$AI$4:$AI$2403,0),"")</f>
        <v/>
      </c>
    </row>
    <row r="191" customFormat="false" ht="18" hidden="false" customHeight="true" outlineLevel="0" collapsed="false">
      <c r="A191" s="40" t="str">
        <f aca="false"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41" t="str">
        <f aca="false"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C191" s="42" t="str">
        <f aca="false">IF($AF191="","",IF($AF191&lt;=1200,IF(INDEX(对接源_01水果!$S$4:$S$1203,$AF191)=0,"",INDEX(对接源_01水果!$S$4:$S$1203,$AF191)),IF(INDEX(对接源_02物料!$S$4:$S$1203,$AF191-1200)=0,"",INDEX(对接源_02物料!$S$4:$S$1203,$AF191-1200))))</f>
        <v/>
      </c>
      <c r="D191" s="42" t="str">
        <f aca="false"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E191" s="55" t="str">
        <f aca="false">IF($AF191="","",IF($AF191&lt;=1200,IF(INDEX(对接源_01水果!$H$4:$H$1203,$AF191)=0,"",INDEX(对接源_01水果!$H$4:$H$1203,$AF191)),IF(INDEX(对接源_02物料!$H$4:$H$1203,$AF191-1200)=0,"",INDEX(对接源_02物料!$H$4:$H$1203,$AF191-1200))))</f>
        <v/>
      </c>
      <c r="F191" s="41" t="str">
        <f aca="false">IF($AF191="","",IF($AF191&lt;=1200,IF(INDEX(对接源_01水果!$I$4:$I$1203,$AF191)=0,"",INDEX(对接源_01水果!$I$4:$I$1203,$AF191)),IF(INDEX(对接源_02物料!$I$4:$I$1203,$AF191-1200)=0,"",INDEX(对接源_02物料!$I$4:$I$1203,$AF191-1200))))</f>
        <v/>
      </c>
      <c r="G191" s="55" t="str">
        <f aca="false">IF($AF191="","",IF(IF($AF191&lt;=1200,N(INDEX(对接源_01水果!$H$4:$H$1203,$AF191)),N(INDEX(对接源_02物料!$H$4:$H$1203,$AF191-1200)))=0,"",ROUND(IF($AF191&lt;=1200,N(INDEX(对接源_01水果!$K$4:$K$1203,$AF191)),N(INDEX(对接源_02物料!$K$4:$K$1203,$AF191-1200)))/IF($AF191&lt;=1200,N(INDEX(对接源_01水果!$H$4:$H$1203,$AF191)),N(INDEX(对接源_02物料!$H$4:$H$1203,$AF191-1200))),2)))</f>
        <v/>
      </c>
      <c r="H191" s="55" t="str">
        <f aca="false">IF($AF191="","",IF($AF191&lt;=1200,IF(INDEX(对接源_01水果!$K$4:$K$1203,$AF191)=0,"",INDEX(对接源_01水果!$K$4:$K$1203,$AF191)),IF(INDEX(对接源_02物料!$K$4:$K$1203,$AF191-1200)=0,"",INDEX(对接源_02物料!$K$4:$K$1203,$AF191-1200))))</f>
        <v/>
      </c>
      <c r="I191" s="41" t="str">
        <f aca="false">IF($AF191="","",IF($AF191&lt;=1200,IF(INDEX(对接源_01水果!$L$4:$L$1203,$AF191)=0,"",INDEX(对接源_01水果!$L$4:$L$1203,$AF191)),IF(INDEX(对接源_02物料!$L$4:$L$1203,$AF191-1200)=0,"",INDEX(对接源_02物料!$L$4:$L$1203,$AF191-1200))))</f>
        <v/>
      </c>
      <c r="J191" s="42" t="str">
        <f aca="false"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44" t="str">
        <f aca="false">IFERROR(MATCH(83,_自动清单!$AI$4:$AI$2403,0),"")</f>
        <v/>
      </c>
    </row>
    <row r="192" customFormat="false" ht="18" hidden="false" customHeight="true" outlineLevel="0" collapsed="false">
      <c r="A192" s="45" t="str">
        <f aca="false"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46" t="str">
        <f aca="false"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C192" s="47" t="str">
        <f aca="false">IF($AF192="","",IF($AF192&lt;=1200,IF(INDEX(对接源_01水果!$S$4:$S$1203,$AF192)=0,"",INDEX(对接源_01水果!$S$4:$S$1203,$AF192)),IF(INDEX(对接源_02物料!$S$4:$S$1203,$AF192-1200)=0,"",INDEX(对接源_02物料!$S$4:$S$1203,$AF192-1200))))</f>
        <v/>
      </c>
      <c r="D192" s="47" t="str">
        <f aca="false"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E192" s="56" t="str">
        <f aca="false">IF($AF192="","",IF($AF192&lt;=1200,IF(INDEX(对接源_01水果!$H$4:$H$1203,$AF192)=0,"",INDEX(对接源_01水果!$H$4:$H$1203,$AF192)),IF(INDEX(对接源_02物料!$H$4:$H$1203,$AF192-1200)=0,"",INDEX(对接源_02物料!$H$4:$H$1203,$AF192-1200))))</f>
        <v/>
      </c>
      <c r="F192" s="46" t="str">
        <f aca="false">IF($AF192="","",IF($AF192&lt;=1200,IF(INDEX(对接源_01水果!$I$4:$I$1203,$AF192)=0,"",INDEX(对接源_01水果!$I$4:$I$1203,$AF192)),IF(INDEX(对接源_02物料!$I$4:$I$1203,$AF192-1200)=0,"",INDEX(对接源_02物料!$I$4:$I$1203,$AF192-1200))))</f>
        <v/>
      </c>
      <c r="G192" s="56" t="str">
        <f aca="false">IF($AF192="","",IF(IF($AF192&lt;=1200,N(INDEX(对接源_01水果!$H$4:$H$1203,$AF192)),N(INDEX(对接源_02物料!$H$4:$H$1203,$AF192-1200)))=0,"",ROUND(IF($AF192&lt;=1200,N(INDEX(对接源_01水果!$K$4:$K$1203,$AF192)),N(INDEX(对接源_02物料!$K$4:$K$1203,$AF192-1200)))/IF($AF192&lt;=1200,N(INDEX(对接源_01水果!$H$4:$H$1203,$AF192)),N(INDEX(对接源_02物料!$H$4:$H$1203,$AF192-1200))),2)))</f>
        <v/>
      </c>
      <c r="H192" s="56" t="str">
        <f aca="false">IF($AF192="","",IF($AF192&lt;=1200,IF(INDEX(对接源_01水果!$K$4:$K$1203,$AF192)=0,"",INDEX(对接源_01水果!$K$4:$K$1203,$AF192)),IF(INDEX(对接源_02物料!$K$4:$K$1203,$AF192-1200)=0,"",INDEX(对接源_02物料!$K$4:$K$1203,$AF192-1200))))</f>
        <v/>
      </c>
      <c r="I192" s="46" t="str">
        <f aca="false">IF($AF192="","",IF($AF192&lt;=1200,IF(INDEX(对接源_01水果!$L$4:$L$1203,$AF192)=0,"",INDEX(对接源_01水果!$L$4:$L$1203,$AF192)),IF(INDEX(对接源_02物料!$L$4:$L$1203,$AF192-1200)=0,"",INDEX(对接源_02物料!$L$4:$L$1203,$AF192-1200))))</f>
        <v/>
      </c>
      <c r="J192" s="47" t="str">
        <f aca="false"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44" t="str">
        <f aca="false">IFERROR(MATCH(84,_自动清单!$AI$4:$AI$2403,0),"")</f>
        <v/>
      </c>
    </row>
    <row r="193" customFormat="false" ht="18" hidden="false" customHeight="true" outlineLevel="0" collapsed="false">
      <c r="A193" s="40" t="str">
        <f aca="false"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41" t="str">
        <f aca="false"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C193" s="42" t="str">
        <f aca="false">IF($AF193="","",IF($AF193&lt;=1200,IF(INDEX(对接源_01水果!$S$4:$S$1203,$AF193)=0,"",INDEX(对接源_01水果!$S$4:$S$1203,$AF193)),IF(INDEX(对接源_02物料!$S$4:$S$1203,$AF193-1200)=0,"",INDEX(对接源_02物料!$S$4:$S$1203,$AF193-1200))))</f>
        <v/>
      </c>
      <c r="D193" s="42" t="str">
        <f aca="false"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E193" s="55" t="str">
        <f aca="false">IF($AF193="","",IF($AF193&lt;=1200,IF(INDEX(对接源_01水果!$H$4:$H$1203,$AF193)=0,"",INDEX(对接源_01水果!$H$4:$H$1203,$AF193)),IF(INDEX(对接源_02物料!$H$4:$H$1203,$AF193-1200)=0,"",INDEX(对接源_02物料!$H$4:$H$1203,$AF193-1200))))</f>
        <v/>
      </c>
      <c r="F193" s="41" t="str">
        <f aca="false">IF($AF193="","",IF($AF193&lt;=1200,IF(INDEX(对接源_01水果!$I$4:$I$1203,$AF193)=0,"",INDEX(对接源_01水果!$I$4:$I$1203,$AF193)),IF(INDEX(对接源_02物料!$I$4:$I$1203,$AF193-1200)=0,"",INDEX(对接源_02物料!$I$4:$I$1203,$AF193-1200))))</f>
        <v/>
      </c>
      <c r="G193" s="55" t="str">
        <f aca="false">IF($AF193="","",IF(IF($AF193&lt;=1200,N(INDEX(对接源_01水果!$H$4:$H$1203,$AF193)),N(INDEX(对接源_02物料!$H$4:$H$1203,$AF193-1200)))=0,"",ROUND(IF($AF193&lt;=1200,N(INDEX(对接源_01水果!$K$4:$K$1203,$AF193)),N(INDEX(对接源_02物料!$K$4:$K$1203,$AF193-1200)))/IF($AF193&lt;=1200,N(INDEX(对接源_01水果!$H$4:$H$1203,$AF193)),N(INDEX(对接源_02物料!$H$4:$H$1203,$AF193-1200))),2)))</f>
        <v/>
      </c>
      <c r="H193" s="55" t="str">
        <f aca="false">IF($AF193="","",IF($AF193&lt;=1200,IF(INDEX(对接源_01水果!$K$4:$K$1203,$AF193)=0,"",INDEX(对接源_01水果!$K$4:$K$1203,$AF193)),IF(INDEX(对接源_02物料!$K$4:$K$1203,$AF193-1200)=0,"",INDEX(对接源_02物料!$K$4:$K$1203,$AF193-1200))))</f>
        <v/>
      </c>
      <c r="I193" s="41" t="str">
        <f aca="false">IF($AF193="","",IF($AF193&lt;=1200,IF(INDEX(对接源_01水果!$L$4:$L$1203,$AF193)=0,"",INDEX(对接源_01水果!$L$4:$L$1203,$AF193)),IF(INDEX(对接源_02物料!$L$4:$L$1203,$AF193-1200)=0,"",INDEX(对接源_02物料!$L$4:$L$1203,$AF193-1200))))</f>
        <v/>
      </c>
      <c r="J193" s="42" t="str">
        <f aca="false"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44" t="str">
        <f aca="false">IFERROR(MATCH(85,_自动清单!$AI$4:$AI$2403,0),"")</f>
        <v/>
      </c>
    </row>
    <row r="194" customFormat="false" ht="18" hidden="false" customHeight="true" outlineLevel="0" collapsed="false">
      <c r="A194" s="45" t="str">
        <f aca="false"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46" t="str">
        <f aca="false"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C194" s="47" t="str">
        <f aca="false">IF($AF194="","",IF($AF194&lt;=1200,IF(INDEX(对接源_01水果!$S$4:$S$1203,$AF194)=0,"",INDEX(对接源_01水果!$S$4:$S$1203,$AF194)),IF(INDEX(对接源_02物料!$S$4:$S$1203,$AF194-1200)=0,"",INDEX(对接源_02物料!$S$4:$S$1203,$AF194-1200))))</f>
        <v/>
      </c>
      <c r="D194" s="47" t="str">
        <f aca="false"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E194" s="56" t="str">
        <f aca="false">IF($AF194="","",IF($AF194&lt;=1200,IF(INDEX(对接源_01水果!$H$4:$H$1203,$AF194)=0,"",INDEX(对接源_01水果!$H$4:$H$1203,$AF194)),IF(INDEX(对接源_02物料!$H$4:$H$1203,$AF194-1200)=0,"",INDEX(对接源_02物料!$H$4:$H$1203,$AF194-1200))))</f>
        <v/>
      </c>
      <c r="F194" s="46" t="str">
        <f aca="false">IF($AF194="","",IF($AF194&lt;=1200,IF(INDEX(对接源_01水果!$I$4:$I$1203,$AF194)=0,"",INDEX(对接源_01水果!$I$4:$I$1203,$AF194)),IF(INDEX(对接源_02物料!$I$4:$I$1203,$AF194-1200)=0,"",INDEX(对接源_02物料!$I$4:$I$1203,$AF194-1200))))</f>
        <v/>
      </c>
      <c r="G194" s="56" t="str">
        <f aca="false">IF($AF194="","",IF(IF($AF194&lt;=1200,N(INDEX(对接源_01水果!$H$4:$H$1203,$AF194)),N(INDEX(对接源_02物料!$H$4:$H$1203,$AF194-1200)))=0,"",ROUND(IF($AF194&lt;=1200,N(INDEX(对接源_01水果!$K$4:$K$1203,$AF194)),N(INDEX(对接源_02物料!$K$4:$K$1203,$AF194-1200)))/IF($AF194&lt;=1200,N(INDEX(对接源_01水果!$H$4:$H$1203,$AF194)),N(INDEX(对接源_02物料!$H$4:$H$1203,$AF194-1200))),2)))</f>
        <v/>
      </c>
      <c r="H194" s="56" t="str">
        <f aca="false">IF($AF194="","",IF($AF194&lt;=1200,IF(INDEX(对接源_01水果!$K$4:$K$1203,$AF194)=0,"",INDEX(对接源_01水果!$K$4:$K$1203,$AF194)),IF(INDEX(对接源_02物料!$K$4:$K$1203,$AF194-1200)=0,"",INDEX(对接源_02物料!$K$4:$K$1203,$AF194-1200))))</f>
        <v/>
      </c>
      <c r="I194" s="46" t="str">
        <f aca="false">IF($AF194="","",IF($AF194&lt;=1200,IF(INDEX(对接源_01水果!$L$4:$L$1203,$AF194)=0,"",INDEX(对接源_01水果!$L$4:$L$1203,$AF194)),IF(INDEX(对接源_02物料!$L$4:$L$1203,$AF194-1200)=0,"",INDEX(对接源_02物料!$L$4:$L$1203,$AF194-1200))))</f>
        <v/>
      </c>
      <c r="J194" s="47" t="str">
        <f aca="false"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44" t="str">
        <f aca="false">IFERROR(MATCH(86,_自动清单!$AI$4:$AI$2403,0),"")</f>
        <v/>
      </c>
    </row>
    <row r="195" customFormat="false" ht="18" hidden="false" customHeight="true" outlineLevel="0" collapsed="false">
      <c r="A195" s="40" t="str">
        <f aca="false"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41" t="str">
        <f aca="false"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C195" s="42" t="str">
        <f aca="false">IF($AF195="","",IF($AF195&lt;=1200,IF(INDEX(对接源_01水果!$S$4:$S$1203,$AF195)=0,"",INDEX(对接源_01水果!$S$4:$S$1203,$AF195)),IF(INDEX(对接源_02物料!$S$4:$S$1203,$AF195-1200)=0,"",INDEX(对接源_02物料!$S$4:$S$1203,$AF195-1200))))</f>
        <v/>
      </c>
      <c r="D195" s="42" t="str">
        <f aca="false"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E195" s="55" t="str">
        <f aca="false">IF($AF195="","",IF($AF195&lt;=1200,IF(INDEX(对接源_01水果!$H$4:$H$1203,$AF195)=0,"",INDEX(对接源_01水果!$H$4:$H$1203,$AF195)),IF(INDEX(对接源_02物料!$H$4:$H$1203,$AF195-1200)=0,"",INDEX(对接源_02物料!$H$4:$H$1203,$AF195-1200))))</f>
        <v/>
      </c>
      <c r="F195" s="41" t="str">
        <f aca="false">IF($AF195="","",IF($AF195&lt;=1200,IF(INDEX(对接源_01水果!$I$4:$I$1203,$AF195)=0,"",INDEX(对接源_01水果!$I$4:$I$1203,$AF195)),IF(INDEX(对接源_02物料!$I$4:$I$1203,$AF195-1200)=0,"",INDEX(对接源_02物料!$I$4:$I$1203,$AF195-1200))))</f>
        <v/>
      </c>
      <c r="G195" s="55" t="str">
        <f aca="false">IF($AF195="","",IF(IF($AF195&lt;=1200,N(INDEX(对接源_01水果!$H$4:$H$1203,$AF195)),N(INDEX(对接源_02物料!$H$4:$H$1203,$AF195-1200)))=0,"",ROUND(IF($AF195&lt;=1200,N(INDEX(对接源_01水果!$K$4:$K$1203,$AF195)),N(INDEX(对接源_02物料!$K$4:$K$1203,$AF195-1200)))/IF($AF195&lt;=1200,N(INDEX(对接源_01水果!$H$4:$H$1203,$AF195)),N(INDEX(对接源_02物料!$H$4:$H$1203,$AF195-1200))),2)))</f>
        <v/>
      </c>
      <c r="H195" s="55" t="str">
        <f aca="false">IF($AF195="","",IF($AF195&lt;=1200,IF(INDEX(对接源_01水果!$K$4:$K$1203,$AF195)=0,"",INDEX(对接源_01水果!$K$4:$K$1203,$AF195)),IF(INDEX(对接源_02物料!$K$4:$K$1203,$AF195-1200)=0,"",INDEX(对接源_02物料!$K$4:$K$1203,$AF195-1200))))</f>
        <v/>
      </c>
      <c r="I195" s="41" t="str">
        <f aca="false">IF($AF195="","",IF($AF195&lt;=1200,IF(INDEX(对接源_01水果!$L$4:$L$1203,$AF195)=0,"",INDEX(对接源_01水果!$L$4:$L$1203,$AF195)),IF(INDEX(对接源_02物料!$L$4:$L$1203,$AF195-1200)=0,"",INDEX(对接源_02物料!$L$4:$L$1203,$AF195-1200))))</f>
        <v/>
      </c>
      <c r="J195" s="42" t="str">
        <f aca="false"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44" t="str">
        <f aca="false">IFERROR(MATCH(87,_自动清单!$AI$4:$AI$2403,0),"")</f>
        <v/>
      </c>
    </row>
    <row r="196" customFormat="false" ht="18" hidden="false" customHeight="true" outlineLevel="0" collapsed="false">
      <c r="A196" s="45" t="str">
        <f aca="false"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46" t="str">
        <f aca="false"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C196" s="47" t="str">
        <f aca="false">IF($AF196="","",IF($AF196&lt;=1200,IF(INDEX(对接源_01水果!$S$4:$S$1203,$AF196)=0,"",INDEX(对接源_01水果!$S$4:$S$1203,$AF196)),IF(INDEX(对接源_02物料!$S$4:$S$1203,$AF196-1200)=0,"",INDEX(对接源_02物料!$S$4:$S$1203,$AF196-1200))))</f>
        <v/>
      </c>
      <c r="D196" s="47" t="str">
        <f aca="false"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E196" s="56" t="str">
        <f aca="false">IF($AF196="","",IF($AF196&lt;=1200,IF(INDEX(对接源_01水果!$H$4:$H$1203,$AF196)=0,"",INDEX(对接源_01水果!$H$4:$H$1203,$AF196)),IF(INDEX(对接源_02物料!$H$4:$H$1203,$AF196-1200)=0,"",INDEX(对接源_02物料!$H$4:$H$1203,$AF196-1200))))</f>
        <v/>
      </c>
      <c r="F196" s="46" t="str">
        <f aca="false">IF($AF196="","",IF($AF196&lt;=1200,IF(INDEX(对接源_01水果!$I$4:$I$1203,$AF196)=0,"",INDEX(对接源_01水果!$I$4:$I$1203,$AF196)),IF(INDEX(对接源_02物料!$I$4:$I$1203,$AF196-1200)=0,"",INDEX(对接源_02物料!$I$4:$I$1203,$AF196-1200))))</f>
        <v/>
      </c>
      <c r="G196" s="56" t="str">
        <f aca="false">IF($AF196="","",IF(IF($AF196&lt;=1200,N(INDEX(对接源_01水果!$H$4:$H$1203,$AF196)),N(INDEX(对接源_02物料!$H$4:$H$1203,$AF196-1200)))=0,"",ROUND(IF($AF196&lt;=1200,N(INDEX(对接源_01水果!$K$4:$K$1203,$AF196)),N(INDEX(对接源_02物料!$K$4:$K$1203,$AF196-1200)))/IF($AF196&lt;=1200,N(INDEX(对接源_01水果!$H$4:$H$1203,$AF196)),N(INDEX(对接源_02物料!$H$4:$H$1203,$AF196-1200))),2)))</f>
        <v/>
      </c>
      <c r="H196" s="56" t="str">
        <f aca="false">IF($AF196="","",IF($AF196&lt;=1200,IF(INDEX(对接源_01水果!$K$4:$K$1203,$AF196)=0,"",INDEX(对接源_01水果!$K$4:$K$1203,$AF196)),IF(INDEX(对接源_02物料!$K$4:$K$1203,$AF196-1200)=0,"",INDEX(对接源_02物料!$K$4:$K$1203,$AF196-1200))))</f>
        <v/>
      </c>
      <c r="I196" s="46" t="str">
        <f aca="false">IF($AF196="","",IF($AF196&lt;=1200,IF(INDEX(对接源_01水果!$L$4:$L$1203,$AF196)=0,"",INDEX(对接源_01水果!$L$4:$L$1203,$AF196)),IF(INDEX(对接源_02物料!$L$4:$L$1203,$AF196-1200)=0,"",INDEX(对接源_02物料!$L$4:$L$1203,$AF196-1200))))</f>
        <v/>
      </c>
      <c r="J196" s="47" t="str">
        <f aca="false"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44" t="str">
        <f aca="false">IFERROR(MATCH(88,_自动清单!$AI$4:$AI$2403,0),"")</f>
        <v/>
      </c>
    </row>
    <row r="197" customFormat="false" ht="18" hidden="false" customHeight="true" outlineLevel="0" collapsed="false">
      <c r="A197" s="40" t="str">
        <f aca="false"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41" t="str">
        <f aca="false"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C197" s="42" t="str">
        <f aca="false">IF($AF197="","",IF($AF197&lt;=1200,IF(INDEX(对接源_01水果!$S$4:$S$1203,$AF197)=0,"",INDEX(对接源_01水果!$S$4:$S$1203,$AF197)),IF(INDEX(对接源_02物料!$S$4:$S$1203,$AF197-1200)=0,"",INDEX(对接源_02物料!$S$4:$S$1203,$AF197-1200))))</f>
        <v/>
      </c>
      <c r="D197" s="42" t="str">
        <f aca="false"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E197" s="55" t="str">
        <f aca="false">IF($AF197="","",IF($AF197&lt;=1200,IF(INDEX(对接源_01水果!$H$4:$H$1203,$AF197)=0,"",INDEX(对接源_01水果!$H$4:$H$1203,$AF197)),IF(INDEX(对接源_02物料!$H$4:$H$1203,$AF197-1200)=0,"",INDEX(对接源_02物料!$H$4:$H$1203,$AF197-1200))))</f>
        <v/>
      </c>
      <c r="F197" s="41" t="str">
        <f aca="false">IF($AF197="","",IF($AF197&lt;=1200,IF(INDEX(对接源_01水果!$I$4:$I$1203,$AF197)=0,"",INDEX(对接源_01水果!$I$4:$I$1203,$AF197)),IF(INDEX(对接源_02物料!$I$4:$I$1203,$AF197-1200)=0,"",INDEX(对接源_02物料!$I$4:$I$1203,$AF197-1200))))</f>
        <v/>
      </c>
      <c r="G197" s="55" t="str">
        <f aca="false">IF($AF197="","",IF(IF($AF197&lt;=1200,N(INDEX(对接源_01水果!$H$4:$H$1203,$AF197)),N(INDEX(对接源_02物料!$H$4:$H$1203,$AF197-1200)))=0,"",ROUND(IF($AF197&lt;=1200,N(INDEX(对接源_01水果!$K$4:$K$1203,$AF197)),N(INDEX(对接源_02物料!$K$4:$K$1203,$AF197-1200)))/IF($AF197&lt;=1200,N(INDEX(对接源_01水果!$H$4:$H$1203,$AF197)),N(INDEX(对接源_02物料!$H$4:$H$1203,$AF197-1200))),2)))</f>
        <v/>
      </c>
      <c r="H197" s="55" t="str">
        <f aca="false">IF($AF197="","",IF($AF197&lt;=1200,IF(INDEX(对接源_01水果!$K$4:$K$1203,$AF197)=0,"",INDEX(对接源_01水果!$K$4:$K$1203,$AF197)),IF(INDEX(对接源_02物料!$K$4:$K$1203,$AF197-1200)=0,"",INDEX(对接源_02物料!$K$4:$K$1203,$AF197-1200))))</f>
        <v/>
      </c>
      <c r="I197" s="41" t="str">
        <f aca="false">IF($AF197="","",IF($AF197&lt;=1200,IF(INDEX(对接源_01水果!$L$4:$L$1203,$AF197)=0,"",INDEX(对接源_01水果!$L$4:$L$1203,$AF197)),IF(INDEX(对接源_02物料!$L$4:$L$1203,$AF197-1200)=0,"",INDEX(对接源_02物料!$L$4:$L$1203,$AF197-1200))))</f>
        <v/>
      </c>
      <c r="J197" s="42" t="str">
        <f aca="false"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44" t="str">
        <f aca="false">IFERROR(MATCH(89,_自动清单!$AI$4:$AI$2403,0),"")</f>
        <v/>
      </c>
    </row>
    <row r="198" customFormat="false" ht="18" hidden="false" customHeight="true" outlineLevel="0" collapsed="false">
      <c r="A198" s="45" t="str">
        <f aca="false"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46" t="str">
        <f aca="false"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C198" s="47" t="str">
        <f aca="false">IF($AF198="","",IF($AF198&lt;=1200,IF(INDEX(对接源_01水果!$S$4:$S$1203,$AF198)=0,"",INDEX(对接源_01水果!$S$4:$S$1203,$AF198)),IF(INDEX(对接源_02物料!$S$4:$S$1203,$AF198-1200)=0,"",INDEX(对接源_02物料!$S$4:$S$1203,$AF198-1200))))</f>
        <v/>
      </c>
      <c r="D198" s="47" t="str">
        <f aca="false"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E198" s="56" t="str">
        <f aca="false">IF($AF198="","",IF($AF198&lt;=1200,IF(INDEX(对接源_01水果!$H$4:$H$1203,$AF198)=0,"",INDEX(对接源_01水果!$H$4:$H$1203,$AF198)),IF(INDEX(对接源_02物料!$H$4:$H$1203,$AF198-1200)=0,"",INDEX(对接源_02物料!$H$4:$H$1203,$AF198-1200))))</f>
        <v/>
      </c>
      <c r="F198" s="46" t="str">
        <f aca="false">IF($AF198="","",IF($AF198&lt;=1200,IF(INDEX(对接源_01水果!$I$4:$I$1203,$AF198)=0,"",INDEX(对接源_01水果!$I$4:$I$1203,$AF198)),IF(INDEX(对接源_02物料!$I$4:$I$1203,$AF198-1200)=0,"",INDEX(对接源_02物料!$I$4:$I$1203,$AF198-1200))))</f>
        <v/>
      </c>
      <c r="G198" s="56" t="str">
        <f aca="false">IF($AF198="","",IF(IF($AF198&lt;=1200,N(INDEX(对接源_01水果!$H$4:$H$1203,$AF198)),N(INDEX(对接源_02物料!$H$4:$H$1203,$AF198-1200)))=0,"",ROUND(IF($AF198&lt;=1200,N(INDEX(对接源_01水果!$K$4:$K$1203,$AF198)),N(INDEX(对接源_02物料!$K$4:$K$1203,$AF198-1200)))/IF($AF198&lt;=1200,N(INDEX(对接源_01水果!$H$4:$H$1203,$AF198)),N(INDEX(对接源_02物料!$H$4:$H$1203,$AF198-1200))),2)))</f>
        <v/>
      </c>
      <c r="H198" s="56" t="str">
        <f aca="false">IF($AF198="","",IF($AF198&lt;=1200,IF(INDEX(对接源_01水果!$K$4:$K$1203,$AF198)=0,"",INDEX(对接源_01水果!$K$4:$K$1203,$AF198)),IF(INDEX(对接源_02物料!$K$4:$K$1203,$AF198-1200)=0,"",INDEX(对接源_02物料!$K$4:$K$1203,$AF198-1200))))</f>
        <v/>
      </c>
      <c r="I198" s="46" t="str">
        <f aca="false">IF($AF198="","",IF($AF198&lt;=1200,IF(INDEX(对接源_01水果!$L$4:$L$1203,$AF198)=0,"",INDEX(对接源_01水果!$L$4:$L$1203,$AF198)),IF(INDEX(对接源_02物料!$L$4:$L$1203,$AF198-1200)=0,"",INDEX(对接源_02物料!$L$4:$L$1203,$AF198-1200))))</f>
        <v/>
      </c>
      <c r="J198" s="47" t="str">
        <f aca="false"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44" t="str">
        <f aca="false">IFERROR(MATCH(90,_自动清单!$AI$4:$AI$2403,0),"")</f>
        <v/>
      </c>
    </row>
    <row r="199" customFormat="false" ht="18" hidden="false" customHeight="true" outlineLevel="0" collapsed="false">
      <c r="A199" s="40" t="str">
        <f aca="false"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41" t="str">
        <f aca="false"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C199" s="42" t="str">
        <f aca="false">IF($AF199="","",IF($AF199&lt;=1200,IF(INDEX(对接源_01水果!$S$4:$S$1203,$AF199)=0,"",INDEX(对接源_01水果!$S$4:$S$1203,$AF199)),IF(INDEX(对接源_02物料!$S$4:$S$1203,$AF199-1200)=0,"",INDEX(对接源_02物料!$S$4:$S$1203,$AF199-1200))))</f>
        <v/>
      </c>
      <c r="D199" s="42" t="str">
        <f aca="false"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E199" s="55" t="str">
        <f aca="false">IF($AF199="","",IF($AF199&lt;=1200,IF(INDEX(对接源_01水果!$H$4:$H$1203,$AF199)=0,"",INDEX(对接源_01水果!$H$4:$H$1203,$AF199)),IF(INDEX(对接源_02物料!$H$4:$H$1203,$AF199-1200)=0,"",INDEX(对接源_02物料!$H$4:$H$1203,$AF199-1200))))</f>
        <v/>
      </c>
      <c r="F199" s="41" t="str">
        <f aca="false">IF($AF199="","",IF($AF199&lt;=1200,IF(INDEX(对接源_01水果!$I$4:$I$1203,$AF199)=0,"",INDEX(对接源_01水果!$I$4:$I$1203,$AF199)),IF(INDEX(对接源_02物料!$I$4:$I$1203,$AF199-1200)=0,"",INDEX(对接源_02物料!$I$4:$I$1203,$AF199-1200))))</f>
        <v/>
      </c>
      <c r="G199" s="55" t="str">
        <f aca="false">IF($AF199="","",IF(IF($AF199&lt;=1200,N(INDEX(对接源_01水果!$H$4:$H$1203,$AF199)),N(INDEX(对接源_02物料!$H$4:$H$1203,$AF199-1200)))=0,"",ROUND(IF($AF199&lt;=1200,N(INDEX(对接源_01水果!$K$4:$K$1203,$AF199)),N(INDEX(对接源_02物料!$K$4:$K$1203,$AF199-1200)))/IF($AF199&lt;=1200,N(INDEX(对接源_01水果!$H$4:$H$1203,$AF199)),N(INDEX(对接源_02物料!$H$4:$H$1203,$AF199-1200))),2)))</f>
        <v/>
      </c>
      <c r="H199" s="55" t="str">
        <f aca="false">IF($AF199="","",IF($AF199&lt;=1200,IF(INDEX(对接源_01水果!$K$4:$K$1203,$AF199)=0,"",INDEX(对接源_01水果!$K$4:$K$1203,$AF199)),IF(INDEX(对接源_02物料!$K$4:$K$1203,$AF199-1200)=0,"",INDEX(对接源_02物料!$K$4:$K$1203,$AF199-1200))))</f>
        <v/>
      </c>
      <c r="I199" s="41" t="str">
        <f aca="false">IF($AF199="","",IF($AF199&lt;=1200,IF(INDEX(对接源_01水果!$L$4:$L$1203,$AF199)=0,"",INDEX(对接源_01水果!$L$4:$L$1203,$AF199)),IF(INDEX(对接源_02物料!$L$4:$L$1203,$AF199-1200)=0,"",INDEX(对接源_02物料!$L$4:$L$1203,$AF199-1200))))</f>
        <v/>
      </c>
      <c r="J199" s="42" t="str">
        <f aca="false"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44" t="str">
        <f aca="false">IFERROR(MATCH(91,_自动清单!$AI$4:$AI$2403,0),"")</f>
        <v/>
      </c>
    </row>
    <row r="200" customFormat="false" ht="18" hidden="false" customHeight="true" outlineLevel="0" collapsed="false">
      <c r="A200" s="45" t="str">
        <f aca="false"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46" t="str">
        <f aca="false"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C200" s="47" t="str">
        <f aca="false">IF($AF200="","",IF($AF200&lt;=1200,IF(INDEX(对接源_01水果!$S$4:$S$1203,$AF200)=0,"",INDEX(对接源_01水果!$S$4:$S$1203,$AF200)),IF(INDEX(对接源_02物料!$S$4:$S$1203,$AF200-1200)=0,"",INDEX(对接源_02物料!$S$4:$S$1203,$AF200-1200))))</f>
        <v/>
      </c>
      <c r="D200" s="47" t="str">
        <f aca="false"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E200" s="56" t="str">
        <f aca="false">IF($AF200="","",IF($AF200&lt;=1200,IF(INDEX(对接源_01水果!$H$4:$H$1203,$AF200)=0,"",INDEX(对接源_01水果!$H$4:$H$1203,$AF200)),IF(INDEX(对接源_02物料!$H$4:$H$1203,$AF200-1200)=0,"",INDEX(对接源_02物料!$H$4:$H$1203,$AF200-1200))))</f>
        <v/>
      </c>
      <c r="F200" s="46" t="str">
        <f aca="false">IF($AF200="","",IF($AF200&lt;=1200,IF(INDEX(对接源_01水果!$I$4:$I$1203,$AF200)=0,"",INDEX(对接源_01水果!$I$4:$I$1203,$AF200)),IF(INDEX(对接源_02物料!$I$4:$I$1203,$AF200-1200)=0,"",INDEX(对接源_02物料!$I$4:$I$1203,$AF200-1200))))</f>
        <v/>
      </c>
      <c r="G200" s="56" t="str">
        <f aca="false">IF($AF200="","",IF(IF($AF200&lt;=1200,N(INDEX(对接源_01水果!$H$4:$H$1203,$AF200)),N(INDEX(对接源_02物料!$H$4:$H$1203,$AF200-1200)))=0,"",ROUND(IF($AF200&lt;=1200,N(INDEX(对接源_01水果!$K$4:$K$1203,$AF200)),N(INDEX(对接源_02物料!$K$4:$K$1203,$AF200-1200)))/IF($AF200&lt;=1200,N(INDEX(对接源_01水果!$H$4:$H$1203,$AF200)),N(INDEX(对接源_02物料!$H$4:$H$1203,$AF200-1200))),2)))</f>
        <v/>
      </c>
      <c r="H200" s="56" t="str">
        <f aca="false">IF($AF200="","",IF($AF200&lt;=1200,IF(INDEX(对接源_01水果!$K$4:$K$1203,$AF200)=0,"",INDEX(对接源_01水果!$K$4:$K$1203,$AF200)),IF(INDEX(对接源_02物料!$K$4:$K$1203,$AF200-1200)=0,"",INDEX(对接源_02物料!$K$4:$K$1203,$AF200-1200))))</f>
        <v/>
      </c>
      <c r="I200" s="46" t="str">
        <f aca="false">IF($AF200="","",IF($AF200&lt;=1200,IF(INDEX(对接源_01水果!$L$4:$L$1203,$AF200)=0,"",INDEX(对接源_01水果!$L$4:$L$1203,$AF200)),IF(INDEX(对接源_02物料!$L$4:$L$1203,$AF200-1200)=0,"",INDEX(对接源_02物料!$L$4:$L$1203,$AF200-1200))))</f>
        <v/>
      </c>
      <c r="J200" s="47" t="str">
        <f aca="false"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44" t="str">
        <f aca="false">IFERROR(MATCH(92,_自动清单!$AI$4:$AI$2403,0),"")</f>
        <v/>
      </c>
    </row>
    <row r="201" customFormat="false" ht="18" hidden="false" customHeight="true" outlineLevel="0" collapsed="false">
      <c r="A201" s="40" t="str">
        <f aca="false"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41" t="str">
        <f aca="false"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C201" s="42" t="str">
        <f aca="false">IF($AF201="","",IF($AF201&lt;=1200,IF(INDEX(对接源_01水果!$S$4:$S$1203,$AF201)=0,"",INDEX(对接源_01水果!$S$4:$S$1203,$AF201)),IF(INDEX(对接源_02物料!$S$4:$S$1203,$AF201-1200)=0,"",INDEX(对接源_02物料!$S$4:$S$1203,$AF201-1200))))</f>
        <v/>
      </c>
      <c r="D201" s="42" t="str">
        <f aca="false"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E201" s="55" t="str">
        <f aca="false">IF($AF201="","",IF($AF201&lt;=1200,IF(INDEX(对接源_01水果!$H$4:$H$1203,$AF201)=0,"",INDEX(对接源_01水果!$H$4:$H$1203,$AF201)),IF(INDEX(对接源_02物料!$H$4:$H$1203,$AF201-1200)=0,"",INDEX(对接源_02物料!$H$4:$H$1203,$AF201-1200))))</f>
        <v/>
      </c>
      <c r="F201" s="41" t="str">
        <f aca="false">IF($AF201="","",IF($AF201&lt;=1200,IF(INDEX(对接源_01水果!$I$4:$I$1203,$AF201)=0,"",INDEX(对接源_01水果!$I$4:$I$1203,$AF201)),IF(INDEX(对接源_02物料!$I$4:$I$1203,$AF201-1200)=0,"",INDEX(对接源_02物料!$I$4:$I$1203,$AF201-1200))))</f>
        <v/>
      </c>
      <c r="G201" s="55" t="str">
        <f aca="false">IF($AF201="","",IF(IF($AF201&lt;=1200,N(INDEX(对接源_01水果!$H$4:$H$1203,$AF201)),N(INDEX(对接源_02物料!$H$4:$H$1203,$AF201-1200)))=0,"",ROUND(IF($AF201&lt;=1200,N(INDEX(对接源_01水果!$K$4:$K$1203,$AF201)),N(INDEX(对接源_02物料!$K$4:$K$1203,$AF201-1200)))/IF($AF201&lt;=1200,N(INDEX(对接源_01水果!$H$4:$H$1203,$AF201)),N(INDEX(对接源_02物料!$H$4:$H$1203,$AF201-1200))),2)))</f>
        <v/>
      </c>
      <c r="H201" s="55" t="str">
        <f aca="false">IF($AF201="","",IF($AF201&lt;=1200,IF(INDEX(对接源_01水果!$K$4:$K$1203,$AF201)=0,"",INDEX(对接源_01水果!$K$4:$K$1203,$AF201)),IF(INDEX(对接源_02物料!$K$4:$K$1203,$AF201-1200)=0,"",INDEX(对接源_02物料!$K$4:$K$1203,$AF201-1200))))</f>
        <v/>
      </c>
      <c r="I201" s="41" t="str">
        <f aca="false">IF($AF201="","",IF($AF201&lt;=1200,IF(INDEX(对接源_01水果!$L$4:$L$1203,$AF201)=0,"",INDEX(对接源_01水果!$L$4:$L$1203,$AF201)),IF(INDEX(对接源_02物料!$L$4:$L$1203,$AF201-1200)=0,"",INDEX(对接源_02物料!$L$4:$L$1203,$AF201-1200))))</f>
        <v/>
      </c>
      <c r="J201" s="42" t="str">
        <f aca="false"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44" t="str">
        <f aca="false">IFERROR(MATCH(93,_自动清单!$AI$4:$AI$2403,0),"")</f>
        <v/>
      </c>
    </row>
    <row r="202" customFormat="false" ht="18" hidden="false" customHeight="true" outlineLevel="0" collapsed="false">
      <c r="A202" s="45" t="str">
        <f aca="false"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46" t="str">
        <f aca="false"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C202" s="47" t="str">
        <f aca="false">IF($AF202="","",IF($AF202&lt;=1200,IF(INDEX(对接源_01水果!$S$4:$S$1203,$AF202)=0,"",INDEX(对接源_01水果!$S$4:$S$1203,$AF202)),IF(INDEX(对接源_02物料!$S$4:$S$1203,$AF202-1200)=0,"",INDEX(对接源_02物料!$S$4:$S$1203,$AF202-1200))))</f>
        <v/>
      </c>
      <c r="D202" s="47" t="str">
        <f aca="false"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E202" s="56" t="str">
        <f aca="false">IF($AF202="","",IF($AF202&lt;=1200,IF(INDEX(对接源_01水果!$H$4:$H$1203,$AF202)=0,"",INDEX(对接源_01水果!$H$4:$H$1203,$AF202)),IF(INDEX(对接源_02物料!$H$4:$H$1203,$AF202-1200)=0,"",INDEX(对接源_02物料!$H$4:$H$1203,$AF202-1200))))</f>
        <v/>
      </c>
      <c r="F202" s="46" t="str">
        <f aca="false">IF($AF202="","",IF($AF202&lt;=1200,IF(INDEX(对接源_01水果!$I$4:$I$1203,$AF202)=0,"",INDEX(对接源_01水果!$I$4:$I$1203,$AF202)),IF(INDEX(对接源_02物料!$I$4:$I$1203,$AF202-1200)=0,"",INDEX(对接源_02物料!$I$4:$I$1203,$AF202-1200))))</f>
        <v/>
      </c>
      <c r="G202" s="56" t="str">
        <f aca="false">IF($AF202="","",IF(IF($AF202&lt;=1200,N(INDEX(对接源_01水果!$H$4:$H$1203,$AF202)),N(INDEX(对接源_02物料!$H$4:$H$1203,$AF202-1200)))=0,"",ROUND(IF($AF202&lt;=1200,N(INDEX(对接源_01水果!$K$4:$K$1203,$AF202)),N(INDEX(对接源_02物料!$K$4:$K$1203,$AF202-1200)))/IF($AF202&lt;=1200,N(INDEX(对接源_01水果!$H$4:$H$1203,$AF202)),N(INDEX(对接源_02物料!$H$4:$H$1203,$AF202-1200))),2)))</f>
        <v/>
      </c>
      <c r="H202" s="56" t="str">
        <f aca="false">IF($AF202="","",IF($AF202&lt;=1200,IF(INDEX(对接源_01水果!$K$4:$K$1203,$AF202)=0,"",INDEX(对接源_01水果!$K$4:$K$1203,$AF202)),IF(INDEX(对接源_02物料!$K$4:$K$1203,$AF202-1200)=0,"",INDEX(对接源_02物料!$K$4:$K$1203,$AF202-1200))))</f>
        <v/>
      </c>
      <c r="I202" s="46" t="str">
        <f aca="false">IF($AF202="","",IF($AF202&lt;=1200,IF(INDEX(对接源_01水果!$L$4:$L$1203,$AF202)=0,"",INDEX(对接源_01水果!$L$4:$L$1203,$AF202)),IF(INDEX(对接源_02物料!$L$4:$L$1203,$AF202-1200)=0,"",INDEX(对接源_02物料!$L$4:$L$1203,$AF202-1200))))</f>
        <v/>
      </c>
      <c r="J202" s="47" t="str">
        <f aca="false"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44" t="str">
        <f aca="false">IFERROR(MATCH(94,_自动清单!$AI$4:$AI$2403,0),"")</f>
        <v/>
      </c>
    </row>
    <row r="203" customFormat="false" ht="18" hidden="false" customHeight="true" outlineLevel="0" collapsed="false">
      <c r="A203" s="40" t="str">
        <f aca="false"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41" t="str">
        <f aca="false"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C203" s="42" t="str">
        <f aca="false">IF($AF203="","",IF($AF203&lt;=1200,IF(INDEX(对接源_01水果!$S$4:$S$1203,$AF203)=0,"",INDEX(对接源_01水果!$S$4:$S$1203,$AF203)),IF(INDEX(对接源_02物料!$S$4:$S$1203,$AF203-1200)=0,"",INDEX(对接源_02物料!$S$4:$S$1203,$AF203-1200))))</f>
        <v/>
      </c>
      <c r="D203" s="42" t="str">
        <f aca="false"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E203" s="55" t="str">
        <f aca="false">IF($AF203="","",IF($AF203&lt;=1200,IF(INDEX(对接源_01水果!$H$4:$H$1203,$AF203)=0,"",INDEX(对接源_01水果!$H$4:$H$1203,$AF203)),IF(INDEX(对接源_02物料!$H$4:$H$1203,$AF203-1200)=0,"",INDEX(对接源_02物料!$H$4:$H$1203,$AF203-1200))))</f>
        <v/>
      </c>
      <c r="F203" s="41" t="str">
        <f aca="false">IF($AF203="","",IF($AF203&lt;=1200,IF(INDEX(对接源_01水果!$I$4:$I$1203,$AF203)=0,"",INDEX(对接源_01水果!$I$4:$I$1203,$AF203)),IF(INDEX(对接源_02物料!$I$4:$I$1203,$AF203-1200)=0,"",INDEX(对接源_02物料!$I$4:$I$1203,$AF203-1200))))</f>
        <v/>
      </c>
      <c r="G203" s="55" t="str">
        <f aca="false">IF($AF203="","",IF(IF($AF203&lt;=1200,N(INDEX(对接源_01水果!$H$4:$H$1203,$AF203)),N(INDEX(对接源_02物料!$H$4:$H$1203,$AF203-1200)))=0,"",ROUND(IF($AF203&lt;=1200,N(INDEX(对接源_01水果!$K$4:$K$1203,$AF203)),N(INDEX(对接源_02物料!$K$4:$K$1203,$AF203-1200)))/IF($AF203&lt;=1200,N(INDEX(对接源_01水果!$H$4:$H$1203,$AF203)),N(INDEX(对接源_02物料!$H$4:$H$1203,$AF203-1200))),2)))</f>
        <v/>
      </c>
      <c r="H203" s="55" t="str">
        <f aca="false">IF($AF203="","",IF($AF203&lt;=1200,IF(INDEX(对接源_01水果!$K$4:$K$1203,$AF203)=0,"",INDEX(对接源_01水果!$K$4:$K$1203,$AF203)),IF(INDEX(对接源_02物料!$K$4:$K$1203,$AF203-1200)=0,"",INDEX(对接源_02物料!$K$4:$K$1203,$AF203-1200))))</f>
        <v/>
      </c>
      <c r="I203" s="41" t="str">
        <f aca="false">IF($AF203="","",IF($AF203&lt;=1200,IF(INDEX(对接源_01水果!$L$4:$L$1203,$AF203)=0,"",INDEX(对接源_01水果!$L$4:$L$1203,$AF203)),IF(INDEX(对接源_02物料!$L$4:$L$1203,$AF203-1200)=0,"",INDEX(对接源_02物料!$L$4:$L$1203,$AF203-1200))))</f>
        <v/>
      </c>
      <c r="J203" s="42" t="str">
        <f aca="false"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44" t="str">
        <f aca="false">IFERROR(MATCH(95,_自动清单!$AI$4:$AI$2403,0),"")</f>
        <v/>
      </c>
    </row>
    <row r="204" customFormat="false" ht="18" hidden="false" customHeight="true" outlineLevel="0" collapsed="false">
      <c r="A204" s="45" t="str">
        <f aca="false"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46" t="str">
        <f aca="false"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C204" s="47" t="str">
        <f aca="false">IF($AF204="","",IF($AF204&lt;=1200,IF(INDEX(对接源_01水果!$S$4:$S$1203,$AF204)=0,"",INDEX(对接源_01水果!$S$4:$S$1203,$AF204)),IF(INDEX(对接源_02物料!$S$4:$S$1203,$AF204-1200)=0,"",INDEX(对接源_02物料!$S$4:$S$1203,$AF204-1200))))</f>
        <v/>
      </c>
      <c r="D204" s="47" t="str">
        <f aca="false"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E204" s="56" t="str">
        <f aca="false">IF($AF204="","",IF($AF204&lt;=1200,IF(INDEX(对接源_01水果!$H$4:$H$1203,$AF204)=0,"",INDEX(对接源_01水果!$H$4:$H$1203,$AF204)),IF(INDEX(对接源_02物料!$H$4:$H$1203,$AF204-1200)=0,"",INDEX(对接源_02物料!$H$4:$H$1203,$AF204-1200))))</f>
        <v/>
      </c>
      <c r="F204" s="46" t="str">
        <f aca="false">IF($AF204="","",IF($AF204&lt;=1200,IF(INDEX(对接源_01水果!$I$4:$I$1203,$AF204)=0,"",INDEX(对接源_01水果!$I$4:$I$1203,$AF204)),IF(INDEX(对接源_02物料!$I$4:$I$1203,$AF204-1200)=0,"",INDEX(对接源_02物料!$I$4:$I$1203,$AF204-1200))))</f>
        <v/>
      </c>
      <c r="G204" s="56" t="str">
        <f aca="false">IF($AF204="","",IF(IF($AF204&lt;=1200,N(INDEX(对接源_01水果!$H$4:$H$1203,$AF204)),N(INDEX(对接源_02物料!$H$4:$H$1203,$AF204-1200)))=0,"",ROUND(IF($AF204&lt;=1200,N(INDEX(对接源_01水果!$K$4:$K$1203,$AF204)),N(INDEX(对接源_02物料!$K$4:$K$1203,$AF204-1200)))/IF($AF204&lt;=1200,N(INDEX(对接源_01水果!$H$4:$H$1203,$AF204)),N(INDEX(对接源_02物料!$H$4:$H$1203,$AF204-1200))),2)))</f>
        <v/>
      </c>
      <c r="H204" s="56" t="str">
        <f aca="false">IF($AF204="","",IF($AF204&lt;=1200,IF(INDEX(对接源_01水果!$K$4:$K$1203,$AF204)=0,"",INDEX(对接源_01水果!$K$4:$K$1203,$AF204)),IF(INDEX(对接源_02物料!$K$4:$K$1203,$AF204-1200)=0,"",INDEX(对接源_02物料!$K$4:$K$1203,$AF204-1200))))</f>
        <v/>
      </c>
      <c r="I204" s="46" t="str">
        <f aca="false">IF($AF204="","",IF($AF204&lt;=1200,IF(INDEX(对接源_01水果!$L$4:$L$1203,$AF204)=0,"",INDEX(对接源_01水果!$L$4:$L$1203,$AF204)),IF(INDEX(对接源_02物料!$L$4:$L$1203,$AF204-1200)=0,"",INDEX(对接源_02物料!$L$4:$L$1203,$AF204-1200))))</f>
        <v/>
      </c>
      <c r="J204" s="47" t="str">
        <f aca="false"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44" t="str">
        <f aca="false">IFERROR(MATCH(96,_自动清单!$AI$4:$AI$2403,0),"")</f>
        <v/>
      </c>
    </row>
    <row r="205" customFormat="false" ht="18" hidden="false" customHeight="true" outlineLevel="0" collapsed="false">
      <c r="A205" s="40" t="str">
        <f aca="false"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41" t="str">
        <f aca="false"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C205" s="42" t="str">
        <f aca="false">IF($AF205="","",IF($AF205&lt;=1200,IF(INDEX(对接源_01水果!$S$4:$S$1203,$AF205)=0,"",INDEX(对接源_01水果!$S$4:$S$1203,$AF205)),IF(INDEX(对接源_02物料!$S$4:$S$1203,$AF205-1200)=0,"",INDEX(对接源_02物料!$S$4:$S$1203,$AF205-1200))))</f>
        <v/>
      </c>
      <c r="D205" s="42" t="str">
        <f aca="false"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E205" s="55" t="str">
        <f aca="false">IF($AF205="","",IF($AF205&lt;=1200,IF(INDEX(对接源_01水果!$H$4:$H$1203,$AF205)=0,"",INDEX(对接源_01水果!$H$4:$H$1203,$AF205)),IF(INDEX(对接源_02物料!$H$4:$H$1203,$AF205-1200)=0,"",INDEX(对接源_02物料!$H$4:$H$1203,$AF205-1200))))</f>
        <v/>
      </c>
      <c r="F205" s="41" t="str">
        <f aca="false">IF($AF205="","",IF($AF205&lt;=1200,IF(INDEX(对接源_01水果!$I$4:$I$1203,$AF205)=0,"",INDEX(对接源_01水果!$I$4:$I$1203,$AF205)),IF(INDEX(对接源_02物料!$I$4:$I$1203,$AF205-1200)=0,"",INDEX(对接源_02物料!$I$4:$I$1203,$AF205-1200))))</f>
        <v/>
      </c>
      <c r="G205" s="55" t="str">
        <f aca="false">IF($AF205="","",IF(IF($AF205&lt;=1200,N(INDEX(对接源_01水果!$H$4:$H$1203,$AF205)),N(INDEX(对接源_02物料!$H$4:$H$1203,$AF205-1200)))=0,"",ROUND(IF($AF205&lt;=1200,N(INDEX(对接源_01水果!$K$4:$K$1203,$AF205)),N(INDEX(对接源_02物料!$K$4:$K$1203,$AF205-1200)))/IF($AF205&lt;=1200,N(INDEX(对接源_01水果!$H$4:$H$1203,$AF205)),N(INDEX(对接源_02物料!$H$4:$H$1203,$AF205-1200))),2)))</f>
        <v/>
      </c>
      <c r="H205" s="55" t="str">
        <f aca="false">IF($AF205="","",IF($AF205&lt;=1200,IF(INDEX(对接源_01水果!$K$4:$K$1203,$AF205)=0,"",INDEX(对接源_01水果!$K$4:$K$1203,$AF205)),IF(INDEX(对接源_02物料!$K$4:$K$1203,$AF205-1200)=0,"",INDEX(对接源_02物料!$K$4:$K$1203,$AF205-1200))))</f>
        <v/>
      </c>
      <c r="I205" s="41" t="str">
        <f aca="false">IF($AF205="","",IF($AF205&lt;=1200,IF(INDEX(对接源_01水果!$L$4:$L$1203,$AF205)=0,"",INDEX(对接源_01水果!$L$4:$L$1203,$AF205)),IF(INDEX(对接源_02物料!$L$4:$L$1203,$AF205-1200)=0,"",INDEX(对接源_02物料!$L$4:$L$1203,$AF205-1200))))</f>
        <v/>
      </c>
      <c r="J205" s="42" t="str">
        <f aca="false"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44" t="str">
        <f aca="false">IFERROR(MATCH(97,_自动清单!$AI$4:$AI$2403,0),"")</f>
        <v/>
      </c>
    </row>
    <row r="206" customFormat="false" ht="18" hidden="false" customHeight="true" outlineLevel="0" collapsed="false">
      <c r="A206" s="45" t="str">
        <f aca="false"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46" t="str">
        <f aca="false"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C206" s="47" t="str">
        <f aca="false">IF($AF206="","",IF($AF206&lt;=1200,IF(INDEX(对接源_01水果!$S$4:$S$1203,$AF206)=0,"",INDEX(对接源_01水果!$S$4:$S$1203,$AF206)),IF(INDEX(对接源_02物料!$S$4:$S$1203,$AF206-1200)=0,"",INDEX(对接源_02物料!$S$4:$S$1203,$AF206-1200))))</f>
        <v/>
      </c>
      <c r="D206" s="47" t="str">
        <f aca="false"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E206" s="56" t="str">
        <f aca="false">IF($AF206="","",IF($AF206&lt;=1200,IF(INDEX(对接源_01水果!$H$4:$H$1203,$AF206)=0,"",INDEX(对接源_01水果!$H$4:$H$1203,$AF206)),IF(INDEX(对接源_02物料!$H$4:$H$1203,$AF206-1200)=0,"",INDEX(对接源_02物料!$H$4:$H$1203,$AF206-1200))))</f>
        <v/>
      </c>
      <c r="F206" s="46" t="str">
        <f aca="false">IF($AF206="","",IF($AF206&lt;=1200,IF(INDEX(对接源_01水果!$I$4:$I$1203,$AF206)=0,"",INDEX(对接源_01水果!$I$4:$I$1203,$AF206)),IF(INDEX(对接源_02物料!$I$4:$I$1203,$AF206-1200)=0,"",INDEX(对接源_02物料!$I$4:$I$1203,$AF206-1200))))</f>
        <v/>
      </c>
      <c r="G206" s="56" t="str">
        <f aca="false">IF($AF206="","",IF(IF($AF206&lt;=1200,N(INDEX(对接源_01水果!$H$4:$H$1203,$AF206)),N(INDEX(对接源_02物料!$H$4:$H$1203,$AF206-1200)))=0,"",ROUND(IF($AF206&lt;=1200,N(INDEX(对接源_01水果!$K$4:$K$1203,$AF206)),N(INDEX(对接源_02物料!$K$4:$K$1203,$AF206-1200)))/IF($AF206&lt;=1200,N(INDEX(对接源_01水果!$H$4:$H$1203,$AF206)),N(INDEX(对接源_02物料!$H$4:$H$1203,$AF206-1200))),2)))</f>
        <v/>
      </c>
      <c r="H206" s="56" t="str">
        <f aca="false">IF($AF206="","",IF($AF206&lt;=1200,IF(INDEX(对接源_01水果!$K$4:$K$1203,$AF206)=0,"",INDEX(对接源_01水果!$K$4:$K$1203,$AF206)),IF(INDEX(对接源_02物料!$K$4:$K$1203,$AF206-1200)=0,"",INDEX(对接源_02物料!$K$4:$K$1203,$AF206-1200))))</f>
        <v/>
      </c>
      <c r="I206" s="46" t="str">
        <f aca="false">IF($AF206="","",IF($AF206&lt;=1200,IF(INDEX(对接源_01水果!$L$4:$L$1203,$AF206)=0,"",INDEX(对接源_01水果!$L$4:$L$1203,$AF206)),IF(INDEX(对接源_02物料!$L$4:$L$1203,$AF206-1200)=0,"",INDEX(对接源_02物料!$L$4:$L$1203,$AF206-1200))))</f>
        <v/>
      </c>
      <c r="J206" s="47" t="str">
        <f aca="false"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44" t="str">
        <f aca="false">IFERROR(MATCH(98,_自动清单!$AI$4:$AI$2403,0),"")</f>
        <v/>
      </c>
    </row>
    <row r="207" customFormat="false" ht="18" hidden="false" customHeight="true" outlineLevel="0" collapsed="false">
      <c r="A207" s="40" t="str">
        <f aca="false"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41" t="str">
        <f aca="false"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C207" s="42" t="str">
        <f aca="false">IF($AF207="","",IF($AF207&lt;=1200,IF(INDEX(对接源_01水果!$S$4:$S$1203,$AF207)=0,"",INDEX(对接源_01水果!$S$4:$S$1203,$AF207)),IF(INDEX(对接源_02物料!$S$4:$S$1203,$AF207-1200)=0,"",INDEX(对接源_02物料!$S$4:$S$1203,$AF207-1200))))</f>
        <v/>
      </c>
      <c r="D207" s="42" t="str">
        <f aca="false"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E207" s="55" t="str">
        <f aca="false">IF($AF207="","",IF($AF207&lt;=1200,IF(INDEX(对接源_01水果!$H$4:$H$1203,$AF207)=0,"",INDEX(对接源_01水果!$H$4:$H$1203,$AF207)),IF(INDEX(对接源_02物料!$H$4:$H$1203,$AF207-1200)=0,"",INDEX(对接源_02物料!$H$4:$H$1203,$AF207-1200))))</f>
        <v/>
      </c>
      <c r="F207" s="41" t="str">
        <f aca="false">IF($AF207="","",IF($AF207&lt;=1200,IF(INDEX(对接源_01水果!$I$4:$I$1203,$AF207)=0,"",INDEX(对接源_01水果!$I$4:$I$1203,$AF207)),IF(INDEX(对接源_02物料!$I$4:$I$1203,$AF207-1200)=0,"",INDEX(对接源_02物料!$I$4:$I$1203,$AF207-1200))))</f>
        <v/>
      </c>
      <c r="G207" s="55" t="str">
        <f aca="false">IF($AF207="","",IF(IF($AF207&lt;=1200,N(INDEX(对接源_01水果!$H$4:$H$1203,$AF207)),N(INDEX(对接源_02物料!$H$4:$H$1203,$AF207-1200)))=0,"",ROUND(IF($AF207&lt;=1200,N(INDEX(对接源_01水果!$K$4:$K$1203,$AF207)),N(INDEX(对接源_02物料!$K$4:$K$1203,$AF207-1200)))/IF($AF207&lt;=1200,N(INDEX(对接源_01水果!$H$4:$H$1203,$AF207)),N(INDEX(对接源_02物料!$H$4:$H$1203,$AF207-1200))),2)))</f>
        <v/>
      </c>
      <c r="H207" s="55" t="str">
        <f aca="false">IF($AF207="","",IF($AF207&lt;=1200,IF(INDEX(对接源_01水果!$K$4:$K$1203,$AF207)=0,"",INDEX(对接源_01水果!$K$4:$K$1203,$AF207)),IF(INDEX(对接源_02物料!$K$4:$K$1203,$AF207-1200)=0,"",INDEX(对接源_02物料!$K$4:$K$1203,$AF207-1200))))</f>
        <v/>
      </c>
      <c r="I207" s="41" t="str">
        <f aca="false">IF($AF207="","",IF($AF207&lt;=1200,IF(INDEX(对接源_01水果!$L$4:$L$1203,$AF207)=0,"",INDEX(对接源_01水果!$L$4:$L$1203,$AF207)),IF(INDEX(对接源_02物料!$L$4:$L$1203,$AF207-1200)=0,"",INDEX(对接源_02物料!$L$4:$L$1203,$AF207-1200))))</f>
        <v/>
      </c>
      <c r="J207" s="42" t="str">
        <f aca="false"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44" t="str">
        <f aca="false">IFERROR(MATCH(99,_自动清单!$AI$4:$AI$2403,0),"")</f>
        <v/>
      </c>
    </row>
    <row r="208" customFormat="false" ht="18" hidden="false" customHeight="true" outlineLevel="0" collapsed="false">
      <c r="A208" s="45" t="str">
        <f aca="false"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46" t="str">
        <f aca="false"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C208" s="47" t="str">
        <f aca="false">IF($AF208="","",IF($AF208&lt;=1200,IF(INDEX(对接源_01水果!$S$4:$S$1203,$AF208)=0,"",INDEX(对接源_01水果!$S$4:$S$1203,$AF208)),IF(INDEX(对接源_02物料!$S$4:$S$1203,$AF208-1200)=0,"",INDEX(对接源_02物料!$S$4:$S$1203,$AF208-1200))))</f>
        <v/>
      </c>
      <c r="D208" s="47" t="str">
        <f aca="false"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E208" s="56" t="str">
        <f aca="false">IF($AF208="","",IF($AF208&lt;=1200,IF(INDEX(对接源_01水果!$H$4:$H$1203,$AF208)=0,"",INDEX(对接源_01水果!$H$4:$H$1203,$AF208)),IF(INDEX(对接源_02物料!$H$4:$H$1203,$AF208-1200)=0,"",INDEX(对接源_02物料!$H$4:$H$1203,$AF208-1200))))</f>
        <v/>
      </c>
      <c r="F208" s="46" t="str">
        <f aca="false">IF($AF208="","",IF($AF208&lt;=1200,IF(INDEX(对接源_01水果!$I$4:$I$1203,$AF208)=0,"",INDEX(对接源_01水果!$I$4:$I$1203,$AF208)),IF(INDEX(对接源_02物料!$I$4:$I$1203,$AF208-1200)=0,"",INDEX(对接源_02物料!$I$4:$I$1203,$AF208-1200))))</f>
        <v/>
      </c>
      <c r="G208" s="56" t="str">
        <f aca="false">IF($AF208="","",IF(IF($AF208&lt;=1200,N(INDEX(对接源_01水果!$H$4:$H$1203,$AF208)),N(INDEX(对接源_02物料!$H$4:$H$1203,$AF208-1200)))=0,"",ROUND(IF($AF208&lt;=1200,N(INDEX(对接源_01水果!$K$4:$K$1203,$AF208)),N(INDEX(对接源_02物料!$K$4:$K$1203,$AF208-1200)))/IF($AF208&lt;=1200,N(INDEX(对接源_01水果!$H$4:$H$1203,$AF208)),N(INDEX(对接源_02物料!$H$4:$H$1203,$AF208-1200))),2)))</f>
        <v/>
      </c>
      <c r="H208" s="56" t="str">
        <f aca="false">IF($AF208="","",IF($AF208&lt;=1200,IF(INDEX(对接源_01水果!$K$4:$K$1203,$AF208)=0,"",INDEX(对接源_01水果!$K$4:$K$1203,$AF208)),IF(INDEX(对接源_02物料!$K$4:$K$1203,$AF208-1200)=0,"",INDEX(对接源_02物料!$K$4:$K$1203,$AF208-1200))))</f>
        <v/>
      </c>
      <c r="I208" s="46" t="str">
        <f aca="false">IF($AF208="","",IF($AF208&lt;=1200,IF(INDEX(对接源_01水果!$L$4:$L$1203,$AF208)=0,"",INDEX(对接源_01水果!$L$4:$L$1203,$AF208)),IF(INDEX(对接源_02物料!$L$4:$L$1203,$AF208-1200)=0,"",INDEX(对接源_02物料!$L$4:$L$1203,$AF208-1200))))</f>
        <v/>
      </c>
      <c r="J208" s="47" t="str">
        <f aca="false"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44" t="str">
        <f aca="false">IFERROR(MATCH(100,_自动清单!$AI$4:$AI$2403,0),"")</f>
        <v/>
      </c>
    </row>
  </sheetData>
  <mergeCells count="13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  <mergeCell ref="A107:G107"/>
    <mergeCell ref="H107:J107"/>
  </mergeCells>
  <dataValidations count="1">
    <dataValidation allowBlank="true" errorStyle="stop" operator="between" showDropDown="false" showErrorMessage="false" showInputMessage="false" sqref="B2" type="list">
      <formula1>_自动清单!$E$4:$E$203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M18" activeCellId="0" sqref="M18"/>
    </sheetView>
  </sheetViews>
  <sheetFormatPr defaultColWidth="9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13"/>
    <col collapsed="false" customWidth="true" hidden="false" outlineLevel="0" max="8" min="6" style="1" width="11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12"/>
  </cols>
  <sheetData>
    <row r="1" customFormat="false" ht="30" hidden="false" customHeight="true" outlineLevel="0" collapsed="false">
      <c r="A1" s="18" t="s">
        <v>174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8" hidden="false" customHeight="true" outlineLevel="0" collapsed="false">
      <c r="A2" s="95" t="str">
        <f aca="false">IF(N(对接源_02物料!$R$4)=1,"★ 全自动：整表取自《02 物料与周转物台账》的【筐子库存汇总】。公司在库结存＝期初＋采购＋客户退回−发出−销售−报损；公司筐总量＝在库＋客户手上未回的","★★ 取不到《02 物料与周转物台账模板.xlsx》的数据，请到【对接源_02物料】按提示修复链接")</f>
        <v>★ 全自动：整表取自《02 物料与周转物台账》的【筐子库存汇总】。公司在库结存＝期初＋采购＋客户退回−发出−销售−报损；公司筐总量＝在库＋客户手上未回的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customFormat="false" ht="30" hidden="false" customHeight="true" outlineLevel="0" collapsed="false">
      <c r="A3" s="96" t="s">
        <v>3</v>
      </c>
      <c r="B3" s="96" t="s">
        <v>175</v>
      </c>
      <c r="C3" s="96" t="s">
        <v>176</v>
      </c>
      <c r="D3" s="96" t="s">
        <v>177</v>
      </c>
      <c r="E3" s="96" t="s">
        <v>178</v>
      </c>
      <c r="F3" s="96" t="s">
        <v>179</v>
      </c>
      <c r="G3" s="96" t="s">
        <v>180</v>
      </c>
      <c r="H3" s="96" t="s">
        <v>181</v>
      </c>
      <c r="I3" s="96" t="s">
        <v>182</v>
      </c>
      <c r="J3" s="96" t="s">
        <v>183</v>
      </c>
      <c r="K3" s="96" t="s">
        <v>184</v>
      </c>
      <c r="L3" s="96" t="s">
        <v>185</v>
      </c>
      <c r="M3" s="96" t="s">
        <v>186</v>
      </c>
    </row>
    <row r="4" customFormat="false" ht="13.5" hidden="false" customHeight="false" outlineLevel="0" collapsed="false">
      <c r="A4" s="59" t="n">
        <f aca="false">IFERROR(IF([1]筐子库存汇总!$A$4=0,"",[1]筐子库存汇总!$A$4),"")</f>
        <v>1</v>
      </c>
      <c r="B4" s="97" t="str">
        <f aca="false">IFERROR(IF([1]筐子库存汇总!$B$4=0,"",[1]筐子库存汇总!$B$4),"")</f>
        <v>公司一次性筐</v>
      </c>
      <c r="C4" s="60" t="n">
        <f aca="false">IFERROR(IF([1]筐子库存汇总!$C$4=0,"",[1]筐子库存汇总!$C$4),"")</f>
        <v>69840</v>
      </c>
      <c r="D4" s="60" t="str">
        <f aca="false">IFERROR(IF([1]筐子库存汇总!$D$4=0,"",[1]筐子库存汇总!$D$4),"")</f>
        <v/>
      </c>
      <c r="E4" s="98" t="n">
        <f aca="false">IFERROR(IF([1]筐子库存汇总!$E$4=0,"",[1]筐子库存汇总!$E$4),"")</f>
        <v>1</v>
      </c>
      <c r="F4" s="60" t="n">
        <f aca="false">IFERROR(IF([1]筐子库存汇总!$F$4=0,"",[1]筐子库存汇总!$F$4),"")</f>
        <v>5214</v>
      </c>
      <c r="G4" s="60" t="str">
        <f aca="false">IFERROR(IF([1]筐子库存汇总!$G$4=0,"",[1]筐子库存汇总!$G$4),"")</f>
        <v/>
      </c>
      <c r="H4" s="60" t="str">
        <f aca="false">IFERROR(IF([1]筐子库存汇总!$H$4=0,"",[1]筐子库存汇总!$H$4),"")</f>
        <v/>
      </c>
      <c r="I4" s="60" t="n">
        <f aca="false">IFERROR(IF([1]筐子库存汇总!$I$4=0,"",[1]筐子库存汇总!$I$4),"")</f>
        <v>64627</v>
      </c>
      <c r="J4" s="60" t="n">
        <f aca="false">IFERROR(IF([1]筐子库存汇总!$J$4=0,"",[1]筐子库存汇总!$J$4),"")</f>
        <v>5213</v>
      </c>
      <c r="K4" s="60" t="n">
        <f aca="false">IFERROR(IF([1]筐子库存汇总!$K$4=0,"",[1]筐子库存汇总!$K$4),"")</f>
        <v>-1619</v>
      </c>
      <c r="L4" s="60" t="n">
        <f aca="false">IFERROR(IF([1]筐子库存汇总!$L$4=0,"",[1]筐子库存汇总!$L$4),"")</f>
        <v>68221</v>
      </c>
      <c r="M4" s="59" t="str">
        <f aca="false">IFERROR(IF([1]筐子库存汇总!$M$4=0,"",[1]筐子库存汇总!$M$4),"")</f>
        <v/>
      </c>
    </row>
    <row r="5" customFormat="false" ht="13.5" hidden="false" customHeight="false" outlineLevel="0" collapsed="false">
      <c r="A5" s="59" t="n">
        <f aca="false">IFERROR(IF([1]筐子库存汇总!$A$5=0,"",[1]筐子库存汇总!$A$5),"")</f>
        <v>2</v>
      </c>
      <c r="B5" s="97" t="str">
        <f aca="false">IFERROR(IF([1]筐子库存汇总!$B$5=0,"",[1]筐子库存汇总!$B$5),"")</f>
        <v>公司杂周转筐</v>
      </c>
      <c r="C5" s="60" t="n">
        <f aca="false">IFERROR(IF([1]筐子库存汇总!$C$5=0,"",[1]筐子库存汇总!$C$5),"")</f>
        <v>35928</v>
      </c>
      <c r="D5" s="60" t="str">
        <f aca="false">IFERROR(IF([1]筐子库存汇总!$D$5=0,"",[1]筐子库存汇总!$D$5),"")</f>
        <v/>
      </c>
      <c r="E5" s="98" t="n">
        <f aca="false">IFERROR(IF([1]筐子库存汇总!$E$5=0,"",[1]筐子库存汇总!$E$5),"")</f>
        <v>81</v>
      </c>
      <c r="F5" s="60" t="n">
        <f aca="false">IFERROR(IF([1]筐子库存汇总!$F$5=0,"",[1]筐子库存汇总!$F$5),"")</f>
        <v>6607</v>
      </c>
      <c r="G5" s="60" t="str">
        <f aca="false">IFERROR(IF([1]筐子库存汇总!$G$5=0,"",[1]筐子库存汇总!$G$5),"")</f>
        <v/>
      </c>
      <c r="H5" s="60" t="str">
        <f aca="false">IFERROR(IF([1]筐子库存汇总!$H$5=0,"",[1]筐子库存汇总!$H$5),"")</f>
        <v/>
      </c>
      <c r="I5" s="60" t="n">
        <f aca="false">IFERROR(IF([1]筐子库存汇总!$I$5=0,"",[1]筐子库存汇总!$I$5),"")</f>
        <v>29402</v>
      </c>
      <c r="J5" s="60" t="n">
        <f aca="false">IFERROR(IF([1]筐子库存汇总!$J$5=0,"",[1]筐子库存汇总!$J$5),"")</f>
        <v>6526</v>
      </c>
      <c r="K5" s="60" t="n">
        <f aca="false">IFERROR(IF([1]筐子库存汇总!$K$5=0,"",[1]筐子库存汇总!$K$5),"")</f>
        <v>-3565</v>
      </c>
      <c r="L5" s="60" t="n">
        <f aca="false">IFERROR(IF([1]筐子库存汇总!$L$5=0,"",[1]筐子库存汇总!$L$5),"")</f>
        <v>32363</v>
      </c>
      <c r="M5" s="59" t="str">
        <f aca="false">IFERROR(IF([1]筐子库存汇总!$M$5=0,"",[1]筐子库存汇总!$M$5),"")</f>
        <v/>
      </c>
    </row>
    <row r="6" customFormat="false" ht="13.5" hidden="false" customHeight="false" outlineLevel="0" collapsed="false">
      <c r="A6" s="59" t="n">
        <f aca="false">IFERROR(IF([1]筐子库存汇总!$A$6=0,"",[1]筐子库存汇总!$A$6),"")</f>
        <v>3</v>
      </c>
      <c r="B6" s="97" t="str">
        <f aca="false">IFERROR(IF([1]筐子库存汇总!$B$6=0,"",[1]筐子库存汇总!$B$6),"")</f>
        <v>公司新周转筐</v>
      </c>
      <c r="C6" s="60" t="n">
        <f aca="false">IFERROR(IF([1]筐子库存汇总!$C$6=0,"",[1]筐子库存汇总!$C$6),"")</f>
        <v>58032</v>
      </c>
      <c r="D6" s="60" t="str">
        <f aca="false">IFERROR(IF([1]筐子库存汇总!$D$6=0,"",[1]筐子库存汇总!$D$6),"")</f>
        <v/>
      </c>
      <c r="E6" s="98" t="str">
        <f aca="false">IFERROR(IF([1]筐子库存汇总!$E$6=0,"",[1]筐子库存汇总!$E$6),"")</f>
        <v/>
      </c>
      <c r="F6" s="60" t="n">
        <f aca="false">IFERROR(IF([1]筐子库存汇总!$F$6=0,"",[1]筐子库存汇总!$F$6),"")</f>
        <v>1011</v>
      </c>
      <c r="G6" s="60" t="str">
        <f aca="false">IFERROR(IF([1]筐子库存汇总!$G$6=0,"",[1]筐子库存汇总!$G$6),"")</f>
        <v/>
      </c>
      <c r="H6" s="60" t="str">
        <f aca="false">IFERROR(IF([1]筐子库存汇总!$H$6=0,"",[1]筐子库存汇总!$H$6),"")</f>
        <v/>
      </c>
      <c r="I6" s="60" t="n">
        <f aca="false">IFERROR(IF([1]筐子库存汇总!$I$6=0,"",[1]筐子库存汇总!$I$6),"")</f>
        <v>57021</v>
      </c>
      <c r="J6" s="60" t="n">
        <f aca="false">IFERROR(IF([1]筐子库存汇总!$J$6=0,"",[1]筐子库存汇总!$J$6),"")</f>
        <v>1011</v>
      </c>
      <c r="K6" s="60" t="n">
        <f aca="false">IFERROR(IF([1]筐子库存汇总!$K$6=0,"",[1]筐子库存汇总!$K$6),"")</f>
        <v>-74</v>
      </c>
      <c r="L6" s="60" t="n">
        <f aca="false">IFERROR(IF([1]筐子库存汇总!$L$6=0,"",[1]筐子库存汇总!$L$6),"")</f>
        <v>57958</v>
      </c>
      <c r="M6" s="59" t="str">
        <f aca="false">IFERROR(IF([1]筐子库存汇总!$M$6=0,"",[1]筐子库存汇总!$M$6),"")</f>
        <v/>
      </c>
    </row>
    <row r="7" customFormat="false" ht="13.5" hidden="false" customHeight="false" outlineLevel="0" collapsed="false">
      <c r="A7" s="59" t="n">
        <f aca="false">IFERROR(IF([1]筐子库存汇总!$A$7=0,"",[1]筐子库存汇总!$A$7),"")</f>
        <v>4</v>
      </c>
      <c r="B7" s="97" t="str">
        <f aca="false">IFERROR(IF([1]筐子库存汇总!$B$7=0,"",[1]筐子库存汇总!$B$7),"")</f>
        <v>公司白周转筐</v>
      </c>
      <c r="C7" s="60" t="n">
        <f aca="false">IFERROR(IF([1]筐子库存汇总!$C$7=0,"",[1]筐子库存汇总!$C$7),"")</f>
        <v>13968</v>
      </c>
      <c r="D7" s="60" t="str">
        <f aca="false">IFERROR(IF([1]筐子库存汇总!$D$7=0,"",[1]筐子库存汇总!$D$7),"")</f>
        <v/>
      </c>
      <c r="E7" s="98" t="str">
        <f aca="false">IFERROR(IF([1]筐子库存汇总!$E$7=0,"",[1]筐子库存汇总!$E$7),"")</f>
        <v/>
      </c>
      <c r="F7" s="60" t="str">
        <f aca="false">IFERROR(IF([1]筐子库存汇总!$F$7=0,"",[1]筐子库存汇总!$F$7),"")</f>
        <v/>
      </c>
      <c r="G7" s="60" t="str">
        <f aca="false">IFERROR(IF([1]筐子库存汇总!$G$7=0,"",[1]筐子库存汇总!$G$7),"")</f>
        <v/>
      </c>
      <c r="H7" s="60" t="str">
        <f aca="false">IFERROR(IF([1]筐子库存汇总!$H$7=0,"",[1]筐子库存汇总!$H$7),"")</f>
        <v/>
      </c>
      <c r="I7" s="60" t="n">
        <f aca="false">IFERROR(IF([1]筐子库存汇总!$I$7=0,"",[1]筐子库存汇总!$I$7),"")</f>
        <v>13968</v>
      </c>
      <c r="J7" s="60" t="str">
        <f aca="false">IFERROR(IF([1]筐子库存汇总!$J$7=0,"",[1]筐子库存汇总!$J$7),"")</f>
        <v/>
      </c>
      <c r="K7" s="60" t="str">
        <f aca="false">IFERROR(IF([1]筐子库存汇总!$K$7=0,"",[1]筐子库存汇总!$K$7),"")</f>
        <v/>
      </c>
      <c r="L7" s="60" t="n">
        <f aca="false">IFERROR(IF([1]筐子库存汇总!$L$7=0,"",[1]筐子库存汇总!$L$7),"")</f>
        <v>13968</v>
      </c>
      <c r="M7" s="59" t="str">
        <f aca="false">IFERROR(IF([1]筐子库存汇总!$M$7=0,"",[1]筐子库存汇总!$M$7),"")</f>
        <v/>
      </c>
    </row>
    <row r="8" customFormat="false" ht="13.5" hidden="false" customHeight="false" outlineLevel="0" collapsed="false">
      <c r="A8" s="59" t="n">
        <f aca="false">IFERROR(IF([1]筐子库存汇总!$A$8=0,"",[1]筐子库存汇总!$A$8),"")</f>
        <v>5</v>
      </c>
      <c r="B8" s="97" t="str">
        <f aca="false">IFERROR(IF([1]筐子库存汇总!$B$8=0,"",[1]筐子库存汇总!$B$8),"")</f>
        <v>公司红周转筐</v>
      </c>
      <c r="C8" s="60" t="str">
        <f aca="false">IFERROR(IF([1]筐子库存汇总!$C$8=0,"",[1]筐子库存汇总!$C$8),"")</f>
        <v/>
      </c>
      <c r="D8" s="60" t="n">
        <f aca="false">IFERROR(IF([1]筐子库存汇总!$D$8=0,"",[1]筐子库存汇总!$D$8),"")</f>
        <v>17472</v>
      </c>
      <c r="E8" s="98" t="str">
        <f aca="false">IFERROR(IF([1]筐子库存汇总!$E$8=0,"",[1]筐子库存汇总!$E$8),"")</f>
        <v/>
      </c>
      <c r="F8" s="60" t="n">
        <f aca="false">IFERROR(IF([1]筐子库存汇总!$F$8=0,"",[1]筐子库存汇总!$F$8),"")</f>
        <v>16512</v>
      </c>
      <c r="G8" s="60" t="n">
        <f aca="false">IFERROR(IF([1]筐子库存汇总!$G$8=0,"",[1]筐子库存汇总!$G$8),"")</f>
        <v>960</v>
      </c>
      <c r="H8" s="60" t="str">
        <f aca="false">IFERROR(IF([1]筐子库存汇总!$H$8=0,"",[1]筐子库存汇总!$H$8),"")</f>
        <v/>
      </c>
      <c r="I8" s="60" t="str">
        <f aca="false">IFERROR(IF([1]筐子库存汇总!$I$8=0,"",[1]筐子库存汇总!$I$8),"")</f>
        <v/>
      </c>
      <c r="J8" s="60" t="n">
        <f aca="false">IFERROR(IF([1]筐子库存汇总!$J$8=0,"",[1]筐子库存汇总!$J$8),"")</f>
        <v>16512</v>
      </c>
      <c r="K8" s="60" t="n">
        <f aca="false">IFERROR(IF([1]筐子库存汇总!$K$8=0,"",[1]筐子库存汇总!$K$8),"")</f>
        <v>-8796</v>
      </c>
      <c r="L8" s="60" t="n">
        <f aca="false">IFERROR(IF([1]筐子库存汇总!$L$8=0,"",[1]筐子库存汇总!$L$8),"")</f>
        <v>7716</v>
      </c>
      <c r="M8" s="59" t="str">
        <f aca="false">IFERROR(IF([1]筐子库存汇总!$M$8=0,"",[1]筐子库存汇总!$M$8),"")</f>
        <v/>
      </c>
    </row>
    <row r="9" customFormat="false" ht="13.5" hidden="false" customHeight="false" outlineLevel="0" collapsed="false">
      <c r="A9" s="59" t="n">
        <f aca="false">IFERROR(IF([1]筐子库存汇总!$A$9=0,"",[1]筐子库存汇总!$A$9),"")</f>
        <v>6</v>
      </c>
      <c r="B9" s="97" t="str">
        <f aca="false">IFERROR(IF([1]筐子库存汇总!$B$9=0,"",[1]筐子库存汇总!$B$9),"")</f>
        <v>自备一次性筐</v>
      </c>
      <c r="C9" s="60" t="str">
        <f aca="false">IFERROR(IF([1]筐子库存汇总!$C$9=0,"",[1]筐子库存汇总!$C$9),"")</f>
        <v/>
      </c>
      <c r="D9" s="60" t="str">
        <f aca="false">IFERROR(IF([1]筐子库存汇总!$D$9=0,"",[1]筐子库存汇总!$D$9),"")</f>
        <v/>
      </c>
      <c r="E9" s="98" t="str">
        <f aca="false">IFERROR(IF([1]筐子库存汇总!$E$9=0,"",[1]筐子库存汇总!$E$9),"")</f>
        <v/>
      </c>
      <c r="F9" s="60" t="str">
        <f aca="false">IFERROR(IF([1]筐子库存汇总!$F$9=0,"",[1]筐子库存汇总!$F$9),"")</f>
        <v/>
      </c>
      <c r="G9" s="60" t="str">
        <f aca="false">IFERROR(IF([1]筐子库存汇总!$G$9=0,"",[1]筐子库存汇总!$G$9),"")</f>
        <v/>
      </c>
      <c r="H9" s="60" t="str">
        <f aca="false">IFERROR(IF([1]筐子库存汇总!$H$9=0,"",[1]筐子库存汇总!$H$9),"")</f>
        <v/>
      </c>
      <c r="I9" s="60" t="str">
        <f aca="false">IFERROR(IF([1]筐子库存汇总!$I$9=0,"",[1]筐子库存汇总!$I$9),"")</f>
        <v/>
      </c>
      <c r="J9" s="60" t="str">
        <f aca="false">IFERROR(IF([1]筐子库存汇总!$J$9=0,"",[1]筐子库存汇总!$J$9),"")</f>
        <v/>
      </c>
      <c r="K9" s="60" t="str">
        <f aca="false">IFERROR(IF([1]筐子库存汇总!$K$9=0,"",[1]筐子库存汇总!$K$9),"")</f>
        <v/>
      </c>
      <c r="L9" s="60" t="str">
        <f aca="false">IFERROR(IF([1]筐子库存汇总!$L$9=0,"",[1]筐子库存汇总!$L$9),"")</f>
        <v/>
      </c>
      <c r="M9" s="97" t="str">
        <f aca="false">IFERROR(IF([1]筐子库存汇总!$M$9=0,"",[1]筐子库存汇总!$M$9),"")</f>
        <v>客户自备筐，不计公司资产，见【自备筐汇总】</v>
      </c>
    </row>
    <row r="10" customFormat="false" ht="13.5" hidden="false" customHeight="false" outlineLevel="0" collapsed="false">
      <c r="A10" s="59" t="n">
        <f aca="false">IFERROR(IF([1]筐子库存汇总!$A$10=0,"",[1]筐子库存汇总!$A$10),"")</f>
        <v>7</v>
      </c>
      <c r="B10" s="97" t="str">
        <f aca="false">IFERROR(IF([1]筐子库存汇总!$B$10=0,"",[1]筐子库存汇总!$B$10),"")</f>
        <v>自备杂周转筐</v>
      </c>
      <c r="C10" s="60" t="str">
        <f aca="false">IFERROR(IF([1]筐子库存汇总!$C$10=0,"",[1]筐子库存汇总!$C$10),"")</f>
        <v/>
      </c>
      <c r="D10" s="60" t="str">
        <f aca="false">IFERROR(IF([1]筐子库存汇总!$D$10=0,"",[1]筐子库存汇总!$D$10),"")</f>
        <v/>
      </c>
      <c r="E10" s="98" t="str">
        <f aca="false">IFERROR(IF([1]筐子库存汇总!$E$10=0,"",[1]筐子库存汇总!$E$10),"")</f>
        <v/>
      </c>
      <c r="F10" s="60" t="str">
        <f aca="false">IFERROR(IF([1]筐子库存汇总!$F$10=0,"",[1]筐子库存汇总!$F$10),"")</f>
        <v/>
      </c>
      <c r="G10" s="60" t="str">
        <f aca="false">IFERROR(IF([1]筐子库存汇总!$G$10=0,"",[1]筐子库存汇总!$G$10),"")</f>
        <v/>
      </c>
      <c r="H10" s="60" t="str">
        <f aca="false">IFERROR(IF([1]筐子库存汇总!$H$10=0,"",[1]筐子库存汇总!$H$10),"")</f>
        <v/>
      </c>
      <c r="I10" s="60" t="str">
        <f aca="false">IFERROR(IF([1]筐子库存汇总!$I$10=0,"",[1]筐子库存汇总!$I$10),"")</f>
        <v/>
      </c>
      <c r="J10" s="60" t="str">
        <f aca="false">IFERROR(IF([1]筐子库存汇总!$J$10=0,"",[1]筐子库存汇总!$J$10),"")</f>
        <v/>
      </c>
      <c r="K10" s="60" t="str">
        <f aca="false">IFERROR(IF([1]筐子库存汇总!$K$10=0,"",[1]筐子库存汇总!$K$10),"")</f>
        <v/>
      </c>
      <c r="L10" s="60" t="str">
        <f aca="false">IFERROR(IF([1]筐子库存汇总!$L$10=0,"",[1]筐子库存汇总!$L$10),"")</f>
        <v/>
      </c>
      <c r="M10" s="59" t="str">
        <f aca="false">IFERROR(IF([1]筐子库存汇总!$M$10=0,"",[1]筐子库存汇总!$M$10),"")</f>
        <v>客户自备筐，不计公司资产，见【自备筐汇总】</v>
      </c>
    </row>
    <row r="11" customFormat="false" ht="13.5" hidden="false" customHeight="false" outlineLevel="0" collapsed="false">
      <c r="A11" s="59" t="n">
        <f aca="false">IFERROR(IF([1]筐子库存汇总!$A$11=0,"",[1]筐子库存汇总!$A$11),"")</f>
        <v>8</v>
      </c>
      <c r="B11" s="97" t="str">
        <f aca="false">IFERROR(IF([1]筐子库存汇总!$B$11=0,"",[1]筐子库存汇总!$B$11),"")</f>
        <v>纸箱</v>
      </c>
      <c r="C11" s="60" t="str">
        <f aca="false">IFERROR(IF([1]筐子库存汇总!$C$11=0,"",[1]筐子库存汇总!$C$11),"")</f>
        <v/>
      </c>
      <c r="D11" s="60" t="str">
        <f aca="false">IFERROR(IF([1]筐子库存汇总!$D$11=0,"",[1]筐子库存汇总!$D$11),"")</f>
        <v/>
      </c>
      <c r="E11" s="98" t="str">
        <f aca="false">IFERROR(IF([1]筐子库存汇总!$E$11=0,"",[1]筐子库存汇总!$E$11),"")</f>
        <v/>
      </c>
      <c r="F11" s="60" t="str">
        <f aca="false">IFERROR(IF([1]筐子库存汇总!$F$11=0,"",[1]筐子库存汇总!$F$11),"")</f>
        <v/>
      </c>
      <c r="G11" s="60" t="str">
        <f aca="false">IFERROR(IF([1]筐子库存汇总!$G$11=0,"",[1]筐子库存汇总!$G$11),"")</f>
        <v/>
      </c>
      <c r="H11" s="60" t="str">
        <f aca="false">IFERROR(IF([1]筐子库存汇总!$H$11=0,"",[1]筐子库存汇总!$H$11),"")</f>
        <v/>
      </c>
      <c r="I11" s="60" t="str">
        <f aca="false">IFERROR(IF([1]筐子库存汇总!$I$11=0,"",[1]筐子库存汇总!$I$11),"")</f>
        <v/>
      </c>
      <c r="J11" s="60" t="str">
        <f aca="false">IFERROR(IF([1]筐子库存汇总!$J$11=0,"",[1]筐子库存汇总!$J$11),"")</f>
        <v/>
      </c>
      <c r="K11" s="60" t="str">
        <f aca="false">IFERROR(IF([1]筐子库存汇总!$K$11=0,"",[1]筐子库存汇总!$K$11),"")</f>
        <v/>
      </c>
      <c r="L11" s="60" t="str">
        <f aca="false">IFERROR(IF([1]筐子库存汇总!$L$11=0,"",[1]筐子库存汇总!$L$11),"")</f>
        <v/>
      </c>
      <c r="M11" s="59" t="str">
        <f aca="false">IFERROR(IF([1]筐子库存汇总!$M$11=0,"",[1]筐子库存汇总!$M$11),"")</f>
        <v/>
      </c>
    </row>
    <row r="12" customFormat="false" ht="13.5" hidden="false" customHeight="false" outlineLevel="0" collapsed="false">
      <c r="A12" s="59" t="str">
        <f aca="false">IFERROR(IF([1]筐子库存汇总!$A$12=0,"",[1]筐子库存汇总!$A$12),"")</f>
        <v/>
      </c>
      <c r="B12" s="97" t="str">
        <f aca="false">IFERROR(IF([1]筐子库存汇总!$B$12=0,"",[1]筐子库存汇总!$B$12),"")</f>
        <v/>
      </c>
      <c r="C12" s="60" t="str">
        <f aca="false">IFERROR(IF([1]筐子库存汇总!$C$12=0,"",[1]筐子库存汇总!$C$12),"")</f>
        <v/>
      </c>
      <c r="D12" s="60" t="str">
        <f aca="false">IFERROR(IF([1]筐子库存汇总!$D$12=0,"",[1]筐子库存汇总!$D$12),"")</f>
        <v/>
      </c>
      <c r="E12" s="98" t="str">
        <f aca="false">IFERROR(IF([1]筐子库存汇总!$E$12=0,"",[1]筐子库存汇总!$E$12),"")</f>
        <v/>
      </c>
      <c r="F12" s="60" t="str">
        <f aca="false">IFERROR(IF([1]筐子库存汇总!$F$12=0,"",[1]筐子库存汇总!$F$12),"")</f>
        <v/>
      </c>
      <c r="G12" s="60" t="str">
        <f aca="false">IFERROR(IF([1]筐子库存汇总!$G$12=0,"",[1]筐子库存汇总!$G$12),"")</f>
        <v/>
      </c>
      <c r="H12" s="60" t="str">
        <f aca="false">IFERROR(IF([1]筐子库存汇总!$H$12=0,"",[1]筐子库存汇总!$H$12),"")</f>
        <v/>
      </c>
      <c r="I12" s="60" t="str">
        <f aca="false">IFERROR(IF([1]筐子库存汇总!$I$12=0,"",[1]筐子库存汇总!$I$12),"")</f>
        <v/>
      </c>
      <c r="J12" s="60" t="str">
        <f aca="false">IFERROR(IF([1]筐子库存汇总!$J$12=0,"",[1]筐子库存汇总!$J$12),"")</f>
        <v/>
      </c>
      <c r="K12" s="60" t="str">
        <f aca="false">IFERROR(IF([1]筐子库存汇总!$K$12=0,"",[1]筐子库存汇总!$K$12),"")</f>
        <v/>
      </c>
      <c r="L12" s="60" t="str">
        <f aca="false">IFERROR(IF([1]筐子库存汇总!$L$12=0,"",[1]筐子库存汇总!$L$12),"")</f>
        <v/>
      </c>
      <c r="M12" s="59" t="str">
        <f aca="false">IFERROR(IF([1]筐子库存汇总!$M$12=0,"",[1]筐子库存汇总!$M$12),"")</f>
        <v/>
      </c>
    </row>
    <row r="13" customFormat="false" ht="13.5" hidden="false" customHeight="false" outlineLevel="0" collapsed="false">
      <c r="A13" s="59" t="str">
        <f aca="false">IFERROR(IF([1]筐子库存汇总!$A$13=0,"",[1]筐子库存汇总!$A$13),"")</f>
        <v/>
      </c>
      <c r="B13" s="97" t="str">
        <f aca="false">IFERROR(IF([1]筐子库存汇总!$B$13=0,"",[1]筐子库存汇总!$B$13),"")</f>
        <v/>
      </c>
      <c r="C13" s="60" t="str">
        <f aca="false">IFERROR(IF([1]筐子库存汇总!$C$13=0,"",[1]筐子库存汇总!$C$13),"")</f>
        <v/>
      </c>
      <c r="D13" s="60" t="str">
        <f aca="false">IFERROR(IF([1]筐子库存汇总!$D$13=0,"",[1]筐子库存汇总!$D$13),"")</f>
        <v/>
      </c>
      <c r="E13" s="98" t="str">
        <f aca="false">IFERROR(IF([1]筐子库存汇总!$E$13=0,"",[1]筐子库存汇总!$E$13),"")</f>
        <v/>
      </c>
      <c r="F13" s="60" t="str">
        <f aca="false">IFERROR(IF([1]筐子库存汇总!$F$13=0,"",[1]筐子库存汇总!$F$13),"")</f>
        <v/>
      </c>
      <c r="G13" s="60" t="str">
        <f aca="false">IFERROR(IF([1]筐子库存汇总!$G$13=0,"",[1]筐子库存汇总!$G$13),"")</f>
        <v/>
      </c>
      <c r="H13" s="60" t="str">
        <f aca="false">IFERROR(IF([1]筐子库存汇总!$H$13=0,"",[1]筐子库存汇总!$H$13),"")</f>
        <v/>
      </c>
      <c r="I13" s="60" t="str">
        <f aca="false">IFERROR(IF([1]筐子库存汇总!$I$13=0,"",[1]筐子库存汇总!$I$13),"")</f>
        <v/>
      </c>
      <c r="J13" s="60" t="str">
        <f aca="false">IFERROR(IF([1]筐子库存汇总!$J$13=0,"",[1]筐子库存汇总!$J$13),"")</f>
        <v/>
      </c>
      <c r="K13" s="60" t="str">
        <f aca="false">IFERROR(IF([1]筐子库存汇总!$K$13=0,"",[1]筐子库存汇总!$K$13),"")</f>
        <v/>
      </c>
      <c r="L13" s="60" t="str">
        <f aca="false">IFERROR(IF([1]筐子库存汇总!$L$13=0,"",[1]筐子库存汇总!$L$13),"")</f>
        <v/>
      </c>
      <c r="M13" s="59" t="str">
        <f aca="false">IFERROR(IF([1]筐子库存汇总!$M$13=0,"",[1]筐子库存汇总!$M$13),"")</f>
        <v/>
      </c>
    </row>
    <row r="14" customFormat="false" ht="13.5" hidden="false" customHeight="false" outlineLevel="0" collapsed="false">
      <c r="A14" s="59" t="str">
        <f aca="false">IFERROR(IF([1]筐子库存汇总!$A$14=0,"",[1]筐子库存汇总!$A$14),"")</f>
        <v/>
      </c>
      <c r="B14" s="97" t="str">
        <f aca="false">IFERROR(IF([1]筐子库存汇总!$B$14=0,"",[1]筐子库存汇总!$B$14),"")</f>
        <v/>
      </c>
      <c r="C14" s="60" t="str">
        <f aca="false">IFERROR(IF([1]筐子库存汇总!$C$14=0,"",[1]筐子库存汇总!$C$14),"")</f>
        <v/>
      </c>
      <c r="D14" s="60" t="str">
        <f aca="false">IFERROR(IF([1]筐子库存汇总!$D$14=0,"",[1]筐子库存汇总!$D$14),"")</f>
        <v/>
      </c>
      <c r="E14" s="98" t="str">
        <f aca="false">IFERROR(IF([1]筐子库存汇总!$E$14=0,"",[1]筐子库存汇总!$E$14),"")</f>
        <v/>
      </c>
      <c r="F14" s="60" t="str">
        <f aca="false">IFERROR(IF([1]筐子库存汇总!$F$14=0,"",[1]筐子库存汇总!$F$14),"")</f>
        <v/>
      </c>
      <c r="G14" s="60" t="str">
        <f aca="false">IFERROR(IF([1]筐子库存汇总!$G$14=0,"",[1]筐子库存汇总!$G$14),"")</f>
        <v/>
      </c>
      <c r="H14" s="60" t="str">
        <f aca="false">IFERROR(IF([1]筐子库存汇总!$H$14=0,"",[1]筐子库存汇总!$H$14),"")</f>
        <v/>
      </c>
      <c r="I14" s="60" t="str">
        <f aca="false">IFERROR(IF([1]筐子库存汇总!$I$14=0,"",[1]筐子库存汇总!$I$14),"")</f>
        <v/>
      </c>
      <c r="J14" s="60" t="str">
        <f aca="false">IFERROR(IF([1]筐子库存汇总!$J$14=0,"",[1]筐子库存汇总!$J$14),"")</f>
        <v/>
      </c>
      <c r="K14" s="60" t="str">
        <f aca="false">IFERROR(IF([1]筐子库存汇总!$K$14=0,"",[1]筐子库存汇总!$K$14),"")</f>
        <v/>
      </c>
      <c r="L14" s="60" t="str">
        <f aca="false">IFERROR(IF([1]筐子库存汇总!$L$14=0,"",[1]筐子库存汇总!$L$14),"")</f>
        <v/>
      </c>
      <c r="M14" s="59" t="str">
        <f aca="false">IFERROR(IF([1]筐子库存汇总!$M$14=0,"",[1]筐子库存汇总!$M$14),"")</f>
        <v/>
      </c>
    </row>
    <row r="15" customFormat="false" ht="13.5" hidden="false" customHeight="false" outlineLevel="0" collapsed="false">
      <c r="A15" s="59" t="str">
        <f aca="false">IFERROR(IF([1]筐子库存汇总!$A$15=0,"",[1]筐子库存汇总!$A$15),"")</f>
        <v/>
      </c>
      <c r="B15" s="97" t="str">
        <f aca="false">IFERROR(IF([1]筐子库存汇总!$B$15=0,"",[1]筐子库存汇总!$B$15),"")</f>
        <v/>
      </c>
      <c r="C15" s="60" t="str">
        <f aca="false">IFERROR(IF([1]筐子库存汇总!$C$15=0,"",[1]筐子库存汇总!$C$15),"")</f>
        <v/>
      </c>
      <c r="D15" s="60" t="str">
        <f aca="false">IFERROR(IF([1]筐子库存汇总!$D$15=0,"",[1]筐子库存汇总!$D$15),"")</f>
        <v/>
      </c>
      <c r="E15" s="98" t="str">
        <f aca="false">IFERROR(IF([1]筐子库存汇总!$E$15=0,"",[1]筐子库存汇总!$E$15),"")</f>
        <v/>
      </c>
      <c r="F15" s="60" t="str">
        <f aca="false">IFERROR(IF([1]筐子库存汇总!$F$15=0,"",[1]筐子库存汇总!$F$15),"")</f>
        <v/>
      </c>
      <c r="G15" s="60" t="str">
        <f aca="false">IFERROR(IF([1]筐子库存汇总!$G$15=0,"",[1]筐子库存汇总!$G$15),"")</f>
        <v/>
      </c>
      <c r="H15" s="60" t="str">
        <f aca="false">IFERROR(IF([1]筐子库存汇总!$H$15=0,"",[1]筐子库存汇总!$H$15),"")</f>
        <v/>
      </c>
      <c r="I15" s="60" t="str">
        <f aca="false">IFERROR(IF([1]筐子库存汇总!$I$15=0,"",[1]筐子库存汇总!$I$15),"")</f>
        <v/>
      </c>
      <c r="J15" s="60" t="str">
        <f aca="false">IFERROR(IF([1]筐子库存汇总!$J$15=0,"",[1]筐子库存汇总!$J$15),"")</f>
        <v/>
      </c>
      <c r="K15" s="60" t="str">
        <f aca="false">IFERROR(IF([1]筐子库存汇总!$K$15=0,"",[1]筐子库存汇总!$K$15),"")</f>
        <v/>
      </c>
      <c r="L15" s="60" t="str">
        <f aca="false">IFERROR(IF([1]筐子库存汇总!$L$15=0,"",[1]筐子库存汇总!$L$15),"")</f>
        <v/>
      </c>
      <c r="M15" s="59" t="str">
        <f aca="false">IFERROR(IF([1]筐子库存汇总!$M$15=0,"",[1]筐子库存汇总!$M$15),"")</f>
        <v/>
      </c>
    </row>
    <row r="16" customFormat="false" ht="13.5" hidden="false" customHeight="false" outlineLevel="0" collapsed="false">
      <c r="A16" s="59" t="str">
        <f aca="false">IFERROR(IF([1]筐子库存汇总!$A$16=0,"",[1]筐子库存汇总!$A$16),"")</f>
        <v/>
      </c>
      <c r="B16" s="97" t="str">
        <f aca="false">IFERROR(IF([1]筐子库存汇总!$B$16=0,"",[1]筐子库存汇总!$B$16),"")</f>
        <v/>
      </c>
      <c r="C16" s="60" t="str">
        <f aca="false">IFERROR(IF([1]筐子库存汇总!$C$16=0,"",[1]筐子库存汇总!$C$16),"")</f>
        <v/>
      </c>
      <c r="D16" s="60" t="str">
        <f aca="false">IFERROR(IF([1]筐子库存汇总!$D$16=0,"",[1]筐子库存汇总!$D$16),"")</f>
        <v/>
      </c>
      <c r="E16" s="98" t="str">
        <f aca="false">IFERROR(IF([1]筐子库存汇总!$E$16=0,"",[1]筐子库存汇总!$E$16),"")</f>
        <v/>
      </c>
      <c r="F16" s="60" t="str">
        <f aca="false">IFERROR(IF([1]筐子库存汇总!$F$16=0,"",[1]筐子库存汇总!$F$16),"")</f>
        <v/>
      </c>
      <c r="G16" s="60" t="str">
        <f aca="false">IFERROR(IF([1]筐子库存汇总!$G$16=0,"",[1]筐子库存汇总!$G$16),"")</f>
        <v/>
      </c>
      <c r="H16" s="60" t="str">
        <f aca="false">IFERROR(IF([1]筐子库存汇总!$H$16=0,"",[1]筐子库存汇总!$H$16),"")</f>
        <v/>
      </c>
      <c r="I16" s="60" t="str">
        <f aca="false">IFERROR(IF([1]筐子库存汇总!$I$16=0,"",[1]筐子库存汇总!$I$16),"")</f>
        <v/>
      </c>
      <c r="J16" s="60" t="str">
        <f aca="false">IFERROR(IF([1]筐子库存汇总!$J$16=0,"",[1]筐子库存汇总!$J$16),"")</f>
        <v/>
      </c>
      <c r="K16" s="60" t="str">
        <f aca="false">IFERROR(IF([1]筐子库存汇总!$K$16=0,"",[1]筐子库存汇总!$K$16),"")</f>
        <v/>
      </c>
      <c r="L16" s="60" t="str">
        <f aca="false">IFERROR(IF([1]筐子库存汇总!$L$16=0,"",[1]筐子库存汇总!$L$16),"")</f>
        <v/>
      </c>
      <c r="M16" s="59" t="str">
        <f aca="false">IFERROR(IF([1]筐子库存汇总!$M$16=0,"",[1]筐子库存汇总!$M$16),"")</f>
        <v/>
      </c>
    </row>
    <row r="17" customFormat="false" ht="13.5" hidden="false" customHeight="false" outlineLevel="0" collapsed="false">
      <c r="A17" s="59" t="str">
        <f aca="false">IFERROR(IF([1]筐子库存汇总!$A$17=0,"",[1]筐子库存汇总!$A$17),"")</f>
        <v/>
      </c>
      <c r="B17" s="97" t="str">
        <f aca="false">IFERROR(IF([1]筐子库存汇总!$B$17=0,"",[1]筐子库存汇总!$B$17),"")</f>
        <v/>
      </c>
      <c r="C17" s="60" t="str">
        <f aca="false">IFERROR(IF([1]筐子库存汇总!$C$17=0,"",[1]筐子库存汇总!$C$17),"")</f>
        <v/>
      </c>
      <c r="D17" s="60" t="str">
        <f aca="false">IFERROR(IF([1]筐子库存汇总!$D$17=0,"",[1]筐子库存汇总!$D$17),"")</f>
        <v/>
      </c>
      <c r="E17" s="98" t="str">
        <f aca="false">IFERROR(IF([1]筐子库存汇总!$E$17=0,"",[1]筐子库存汇总!$E$17),"")</f>
        <v/>
      </c>
      <c r="F17" s="60" t="str">
        <f aca="false">IFERROR(IF([1]筐子库存汇总!$F$17=0,"",[1]筐子库存汇总!$F$17),"")</f>
        <v/>
      </c>
      <c r="G17" s="60" t="str">
        <f aca="false">IFERROR(IF([1]筐子库存汇总!$G$17=0,"",[1]筐子库存汇总!$G$17),"")</f>
        <v/>
      </c>
      <c r="H17" s="60" t="str">
        <f aca="false">IFERROR(IF([1]筐子库存汇总!$H$17=0,"",[1]筐子库存汇总!$H$17),"")</f>
        <v/>
      </c>
      <c r="I17" s="60" t="str">
        <f aca="false">IFERROR(IF([1]筐子库存汇总!$I$17=0,"",[1]筐子库存汇总!$I$17),"")</f>
        <v/>
      </c>
      <c r="J17" s="60" t="str">
        <f aca="false">IFERROR(IF([1]筐子库存汇总!$J$17=0,"",[1]筐子库存汇总!$J$17),"")</f>
        <v/>
      </c>
      <c r="K17" s="60" t="str">
        <f aca="false">IFERROR(IF([1]筐子库存汇总!$K$17=0,"",[1]筐子库存汇总!$K$17),"")</f>
        <v/>
      </c>
      <c r="L17" s="60" t="str">
        <f aca="false">IFERROR(IF([1]筐子库存汇总!$L$17=0,"",[1]筐子库存汇总!$L$17),"")</f>
        <v/>
      </c>
      <c r="M17" s="59" t="str">
        <f aca="false">IFERROR(IF([1]筐子库存汇总!$M$17=0,"",[1]筐子库存汇总!$M$17),"")</f>
        <v/>
      </c>
    </row>
    <row r="18" customFormat="false" ht="13.5" hidden="false" customHeight="false" outlineLevel="0" collapsed="false">
      <c r="A18" s="59" t="str">
        <f aca="false">IFERROR(IF([1]筐子库存汇总!$A$18=0,"",[1]筐子库存汇总!$A$18),"")</f>
        <v/>
      </c>
      <c r="B18" s="97" t="str">
        <f aca="false">IFERROR(IF([1]筐子库存汇总!$B$18=0,"",[1]筐子库存汇总!$B$18),"")</f>
        <v/>
      </c>
      <c r="C18" s="60" t="str">
        <f aca="false">IFERROR(IF([1]筐子库存汇总!$C$18=0,"",[1]筐子库存汇总!$C$18),"")</f>
        <v/>
      </c>
      <c r="D18" s="60" t="str">
        <f aca="false">IFERROR(IF([1]筐子库存汇总!$D$18=0,"",[1]筐子库存汇总!$D$18),"")</f>
        <v/>
      </c>
      <c r="E18" s="98" t="str">
        <f aca="false">IFERROR(IF([1]筐子库存汇总!$E$18=0,"",[1]筐子库存汇总!$E$18),"")</f>
        <v/>
      </c>
      <c r="F18" s="60" t="str">
        <f aca="false">IFERROR(IF([1]筐子库存汇总!$F$18=0,"",[1]筐子库存汇总!$F$18),"")</f>
        <v/>
      </c>
      <c r="G18" s="60" t="str">
        <f aca="false">IFERROR(IF([1]筐子库存汇总!$G$18=0,"",[1]筐子库存汇总!$G$18),"")</f>
        <v/>
      </c>
      <c r="H18" s="60" t="str">
        <f aca="false">IFERROR(IF([1]筐子库存汇总!$H$18=0,"",[1]筐子库存汇总!$H$18),"")</f>
        <v/>
      </c>
      <c r="I18" s="60" t="str">
        <f aca="false">IFERROR(IF([1]筐子库存汇总!$I$18=0,"",[1]筐子库存汇总!$I$18),"")</f>
        <v/>
      </c>
      <c r="J18" s="60" t="str">
        <f aca="false">IFERROR(IF([1]筐子库存汇总!$J$18=0,"",[1]筐子库存汇总!$J$18),"")</f>
        <v/>
      </c>
      <c r="K18" s="60" t="str">
        <f aca="false">IFERROR(IF([1]筐子库存汇总!$K$18=0,"",[1]筐子库存汇总!$K$18),"")</f>
        <v/>
      </c>
      <c r="L18" s="60" t="str">
        <f aca="false">IFERROR(IF([1]筐子库存汇总!$L$18=0,"",[1]筐子库存汇总!$L$18),"")</f>
        <v/>
      </c>
      <c r="M18" s="59" t="str">
        <f aca="false">IFERROR(IF([1]筐子库存汇总!$M$18=0,"",[1]筐子库存汇总!$M$18),"")</f>
        <v/>
      </c>
    </row>
    <row r="19" customFormat="false" ht="13.5" hidden="false" customHeight="false" outlineLevel="0" collapsed="false">
      <c r="A19" s="59" t="str">
        <f aca="false">IFERROR(IF([1]筐子库存汇总!$A$19=0,"",[1]筐子库存汇总!$A$19),"")</f>
        <v/>
      </c>
      <c r="B19" s="97" t="str">
        <f aca="false">IFERROR(IF([1]筐子库存汇总!$B$19=0,"",[1]筐子库存汇总!$B$19),"")</f>
        <v/>
      </c>
      <c r="C19" s="60" t="str">
        <f aca="false">IFERROR(IF([1]筐子库存汇总!$C$19=0,"",[1]筐子库存汇总!$C$19),"")</f>
        <v/>
      </c>
      <c r="D19" s="60" t="str">
        <f aca="false">IFERROR(IF([1]筐子库存汇总!$D$19=0,"",[1]筐子库存汇总!$D$19),"")</f>
        <v/>
      </c>
      <c r="E19" s="98" t="str">
        <f aca="false">IFERROR(IF([1]筐子库存汇总!$E$19=0,"",[1]筐子库存汇总!$E$19),"")</f>
        <v/>
      </c>
      <c r="F19" s="60" t="str">
        <f aca="false">IFERROR(IF([1]筐子库存汇总!$F$19=0,"",[1]筐子库存汇总!$F$19),"")</f>
        <v/>
      </c>
      <c r="G19" s="60" t="str">
        <f aca="false">IFERROR(IF([1]筐子库存汇总!$G$19=0,"",[1]筐子库存汇总!$G$19),"")</f>
        <v/>
      </c>
      <c r="H19" s="60" t="str">
        <f aca="false">IFERROR(IF([1]筐子库存汇总!$H$19=0,"",[1]筐子库存汇总!$H$19),"")</f>
        <v/>
      </c>
      <c r="I19" s="60" t="str">
        <f aca="false">IFERROR(IF([1]筐子库存汇总!$I$19=0,"",[1]筐子库存汇总!$I$19),"")</f>
        <v/>
      </c>
      <c r="J19" s="60" t="str">
        <f aca="false">IFERROR(IF([1]筐子库存汇总!$J$19=0,"",[1]筐子库存汇总!$J$19),"")</f>
        <v/>
      </c>
      <c r="K19" s="60" t="str">
        <f aca="false">IFERROR(IF([1]筐子库存汇总!$K$19=0,"",[1]筐子库存汇总!$K$19),"")</f>
        <v/>
      </c>
      <c r="L19" s="60" t="str">
        <f aca="false">IFERROR(IF([1]筐子库存汇总!$L$19=0,"",[1]筐子库存汇总!$L$19),"")</f>
        <v/>
      </c>
      <c r="M19" s="59" t="str">
        <f aca="false">IFERROR(IF([1]筐子库存汇总!$M$19=0,"",[1]筐子库存汇总!$M$19),"")</f>
        <v/>
      </c>
    </row>
    <row r="20" customFormat="false" ht="13.5" hidden="false" customHeight="false" outlineLevel="0" collapsed="false">
      <c r="A20" s="59" t="str">
        <f aca="false">IFERROR(IF([1]筐子库存汇总!$A$20=0,"",[1]筐子库存汇总!$A$20),"")</f>
        <v/>
      </c>
      <c r="B20" s="97" t="str">
        <f aca="false">IFERROR(IF([1]筐子库存汇总!$B$20=0,"",[1]筐子库存汇总!$B$20),"")</f>
        <v/>
      </c>
      <c r="C20" s="60" t="str">
        <f aca="false">IFERROR(IF([1]筐子库存汇总!$C$20=0,"",[1]筐子库存汇总!$C$20),"")</f>
        <v/>
      </c>
      <c r="D20" s="60" t="str">
        <f aca="false">IFERROR(IF([1]筐子库存汇总!$D$20=0,"",[1]筐子库存汇总!$D$20),"")</f>
        <v/>
      </c>
      <c r="E20" s="98" t="str">
        <f aca="false">IFERROR(IF([1]筐子库存汇总!$E$20=0,"",[1]筐子库存汇总!$E$20),"")</f>
        <v/>
      </c>
      <c r="F20" s="60" t="str">
        <f aca="false">IFERROR(IF([1]筐子库存汇总!$F$20=0,"",[1]筐子库存汇总!$F$20),"")</f>
        <v/>
      </c>
      <c r="G20" s="60" t="str">
        <f aca="false">IFERROR(IF([1]筐子库存汇总!$G$20=0,"",[1]筐子库存汇总!$G$20),"")</f>
        <v/>
      </c>
      <c r="H20" s="60" t="str">
        <f aca="false">IFERROR(IF([1]筐子库存汇总!$H$20=0,"",[1]筐子库存汇总!$H$20),"")</f>
        <v/>
      </c>
      <c r="I20" s="60" t="str">
        <f aca="false">IFERROR(IF([1]筐子库存汇总!$I$20=0,"",[1]筐子库存汇总!$I$20),"")</f>
        <v/>
      </c>
      <c r="J20" s="60" t="str">
        <f aca="false">IFERROR(IF([1]筐子库存汇总!$J$20=0,"",[1]筐子库存汇总!$J$20),"")</f>
        <v/>
      </c>
      <c r="K20" s="60" t="str">
        <f aca="false">IFERROR(IF([1]筐子库存汇总!$K$20=0,"",[1]筐子库存汇总!$K$20),"")</f>
        <v/>
      </c>
      <c r="L20" s="60" t="str">
        <f aca="false">IFERROR(IF([1]筐子库存汇总!$L$20=0,"",[1]筐子库存汇总!$L$20),"")</f>
        <v/>
      </c>
      <c r="M20" s="59" t="str">
        <f aca="false">IFERROR(IF([1]筐子库存汇总!$M$20=0,"",[1]筐子库存汇总!$M$20),"")</f>
        <v/>
      </c>
    </row>
    <row r="21" customFormat="false" ht="13.5" hidden="false" customHeight="false" outlineLevel="0" collapsed="false">
      <c r="A21" s="59" t="str">
        <f aca="false">IFERROR(IF([1]筐子库存汇总!$A$21=0,"",[1]筐子库存汇总!$A$21),"")</f>
        <v/>
      </c>
      <c r="B21" s="97" t="str">
        <f aca="false">IFERROR(IF([1]筐子库存汇总!$B$21=0,"",[1]筐子库存汇总!$B$21),"")</f>
        <v/>
      </c>
      <c r="C21" s="60" t="str">
        <f aca="false">IFERROR(IF([1]筐子库存汇总!$C$21=0,"",[1]筐子库存汇总!$C$21),"")</f>
        <v/>
      </c>
      <c r="D21" s="60" t="str">
        <f aca="false">IFERROR(IF([1]筐子库存汇总!$D$21=0,"",[1]筐子库存汇总!$D$21),"")</f>
        <v/>
      </c>
      <c r="E21" s="98" t="str">
        <f aca="false">IFERROR(IF([1]筐子库存汇总!$E$21=0,"",[1]筐子库存汇总!$E$21),"")</f>
        <v/>
      </c>
      <c r="F21" s="60" t="str">
        <f aca="false">IFERROR(IF([1]筐子库存汇总!$F$21=0,"",[1]筐子库存汇总!$F$21),"")</f>
        <v/>
      </c>
      <c r="G21" s="60" t="str">
        <f aca="false">IFERROR(IF([1]筐子库存汇总!$G$21=0,"",[1]筐子库存汇总!$G$21),"")</f>
        <v/>
      </c>
      <c r="H21" s="60" t="str">
        <f aca="false">IFERROR(IF([1]筐子库存汇总!$H$21=0,"",[1]筐子库存汇总!$H$21),"")</f>
        <v/>
      </c>
      <c r="I21" s="60" t="str">
        <f aca="false">IFERROR(IF([1]筐子库存汇总!$I$21=0,"",[1]筐子库存汇总!$I$21),"")</f>
        <v/>
      </c>
      <c r="J21" s="60" t="str">
        <f aca="false">IFERROR(IF([1]筐子库存汇总!$J$21=0,"",[1]筐子库存汇总!$J$21),"")</f>
        <v/>
      </c>
      <c r="K21" s="60" t="str">
        <f aca="false">IFERROR(IF([1]筐子库存汇总!$K$21=0,"",[1]筐子库存汇总!$K$21),"")</f>
        <v/>
      </c>
      <c r="L21" s="60" t="str">
        <f aca="false">IFERROR(IF([1]筐子库存汇总!$L$21=0,"",[1]筐子库存汇总!$L$21),"")</f>
        <v/>
      </c>
      <c r="M21" s="59" t="str">
        <f aca="false">IFERROR(IF([1]筐子库存汇总!$M$21=0,"",[1]筐子库存汇总!$M$21),"")</f>
        <v/>
      </c>
    </row>
    <row r="22" customFormat="false" ht="13.5" hidden="false" customHeight="false" outlineLevel="0" collapsed="false">
      <c r="A22" s="59" t="str">
        <f aca="false">IFERROR(IF([1]筐子库存汇总!$A$22=0,"",[1]筐子库存汇总!$A$22),"")</f>
        <v/>
      </c>
      <c r="B22" s="97" t="str">
        <f aca="false">IFERROR(IF([1]筐子库存汇总!$B$22=0,"",[1]筐子库存汇总!$B$22),"")</f>
        <v/>
      </c>
      <c r="C22" s="60" t="str">
        <f aca="false">IFERROR(IF([1]筐子库存汇总!$C$22=0,"",[1]筐子库存汇总!$C$22),"")</f>
        <v/>
      </c>
      <c r="D22" s="60" t="str">
        <f aca="false">IFERROR(IF([1]筐子库存汇总!$D$22=0,"",[1]筐子库存汇总!$D$22),"")</f>
        <v/>
      </c>
      <c r="E22" s="98" t="str">
        <f aca="false">IFERROR(IF([1]筐子库存汇总!$E$22=0,"",[1]筐子库存汇总!$E$22),"")</f>
        <v/>
      </c>
      <c r="F22" s="60" t="str">
        <f aca="false">IFERROR(IF([1]筐子库存汇总!$F$22=0,"",[1]筐子库存汇总!$F$22),"")</f>
        <v/>
      </c>
      <c r="G22" s="60" t="str">
        <f aca="false">IFERROR(IF([1]筐子库存汇总!$G$22=0,"",[1]筐子库存汇总!$G$22),"")</f>
        <v/>
      </c>
      <c r="H22" s="60" t="str">
        <f aca="false">IFERROR(IF([1]筐子库存汇总!$H$22=0,"",[1]筐子库存汇总!$H$22),"")</f>
        <v/>
      </c>
      <c r="I22" s="60" t="str">
        <f aca="false">IFERROR(IF([1]筐子库存汇总!$I$22=0,"",[1]筐子库存汇总!$I$22),"")</f>
        <v/>
      </c>
      <c r="J22" s="60" t="str">
        <f aca="false">IFERROR(IF([1]筐子库存汇总!$J$22=0,"",[1]筐子库存汇总!$J$22),"")</f>
        <v/>
      </c>
      <c r="K22" s="60" t="str">
        <f aca="false">IFERROR(IF([1]筐子库存汇总!$K$22=0,"",[1]筐子库存汇总!$K$22),"")</f>
        <v/>
      </c>
      <c r="L22" s="60" t="str">
        <f aca="false">IFERROR(IF([1]筐子库存汇总!$L$22=0,"",[1]筐子库存汇总!$L$22),"")</f>
        <v/>
      </c>
      <c r="M22" s="59" t="str">
        <f aca="false">IFERROR(IF([1]筐子库存汇总!$M$22=0,"",[1]筐子库存汇总!$M$22),"")</f>
        <v/>
      </c>
    </row>
    <row r="23" customFormat="false" ht="13.5" hidden="false" customHeight="false" outlineLevel="0" collapsed="false">
      <c r="A23" s="59" t="str">
        <f aca="false">IFERROR(IF([1]筐子库存汇总!$A$23=0,"",[1]筐子库存汇总!$A$23),"")</f>
        <v/>
      </c>
      <c r="B23" s="97" t="str">
        <f aca="false">IFERROR(IF([1]筐子库存汇总!$B$23=0,"",[1]筐子库存汇总!$B$23),"")</f>
        <v/>
      </c>
      <c r="C23" s="60" t="str">
        <f aca="false">IFERROR(IF([1]筐子库存汇总!$C$23=0,"",[1]筐子库存汇总!$C$23),"")</f>
        <v/>
      </c>
      <c r="D23" s="60" t="str">
        <f aca="false">IFERROR(IF([1]筐子库存汇总!$D$23=0,"",[1]筐子库存汇总!$D$23),"")</f>
        <v/>
      </c>
      <c r="E23" s="98" t="str">
        <f aca="false">IFERROR(IF([1]筐子库存汇总!$E$23=0,"",[1]筐子库存汇总!$E$23),"")</f>
        <v/>
      </c>
      <c r="F23" s="60" t="str">
        <f aca="false">IFERROR(IF([1]筐子库存汇总!$F$23=0,"",[1]筐子库存汇总!$F$23),"")</f>
        <v/>
      </c>
      <c r="G23" s="60" t="str">
        <f aca="false">IFERROR(IF([1]筐子库存汇总!$G$23=0,"",[1]筐子库存汇总!$G$23),"")</f>
        <v/>
      </c>
      <c r="H23" s="60" t="str">
        <f aca="false">IFERROR(IF([1]筐子库存汇总!$H$23=0,"",[1]筐子库存汇总!$H$23),"")</f>
        <v/>
      </c>
      <c r="I23" s="60" t="str">
        <f aca="false">IFERROR(IF([1]筐子库存汇总!$I$23=0,"",[1]筐子库存汇总!$I$23),"")</f>
        <v/>
      </c>
      <c r="J23" s="60" t="str">
        <f aca="false">IFERROR(IF([1]筐子库存汇总!$J$23=0,"",[1]筐子库存汇总!$J$23),"")</f>
        <v/>
      </c>
      <c r="K23" s="60" t="str">
        <f aca="false">IFERROR(IF([1]筐子库存汇总!$K$23=0,"",[1]筐子库存汇总!$K$23),"")</f>
        <v/>
      </c>
      <c r="L23" s="60" t="str">
        <f aca="false">IFERROR(IF([1]筐子库存汇总!$L$23=0,"",[1]筐子库存汇总!$L$23),"")</f>
        <v/>
      </c>
      <c r="M23" s="59" t="str">
        <f aca="false">IFERROR(IF([1]筐子库存汇总!$M$23=0,"",[1]筐子库存汇总!$M$23),"")</f>
        <v/>
      </c>
    </row>
    <row r="24" customFormat="false" ht="13.5" hidden="false" customHeight="false" outlineLevel="0" collapsed="false">
      <c r="A24" s="59" t="str">
        <f aca="false">IFERROR(IF([1]筐子库存汇总!$A$24=0,"",[1]筐子库存汇总!$A$24),"")</f>
        <v/>
      </c>
      <c r="B24" s="97" t="str">
        <f aca="false">IFERROR(IF([1]筐子库存汇总!$B$24=0,"",[1]筐子库存汇总!$B$24),"")</f>
        <v/>
      </c>
      <c r="C24" s="60" t="str">
        <f aca="false">IFERROR(IF([1]筐子库存汇总!$C$24=0,"",[1]筐子库存汇总!$C$24),"")</f>
        <v/>
      </c>
      <c r="D24" s="60" t="str">
        <f aca="false">IFERROR(IF([1]筐子库存汇总!$D$24=0,"",[1]筐子库存汇总!$D$24),"")</f>
        <v/>
      </c>
      <c r="E24" s="98" t="str">
        <f aca="false">IFERROR(IF([1]筐子库存汇总!$E$24=0,"",[1]筐子库存汇总!$E$24),"")</f>
        <v/>
      </c>
      <c r="F24" s="60" t="str">
        <f aca="false">IFERROR(IF([1]筐子库存汇总!$F$24=0,"",[1]筐子库存汇总!$F$24),"")</f>
        <v/>
      </c>
      <c r="G24" s="60" t="str">
        <f aca="false">IFERROR(IF([1]筐子库存汇总!$G$24=0,"",[1]筐子库存汇总!$G$24),"")</f>
        <v/>
      </c>
      <c r="H24" s="60" t="str">
        <f aca="false">IFERROR(IF([1]筐子库存汇总!$H$24=0,"",[1]筐子库存汇总!$H$24),"")</f>
        <v/>
      </c>
      <c r="I24" s="60" t="str">
        <f aca="false">IFERROR(IF([1]筐子库存汇总!$I$24=0,"",[1]筐子库存汇总!$I$24),"")</f>
        <v/>
      </c>
      <c r="J24" s="60" t="str">
        <f aca="false">IFERROR(IF([1]筐子库存汇总!$J$24=0,"",[1]筐子库存汇总!$J$24),"")</f>
        <v/>
      </c>
      <c r="K24" s="60" t="str">
        <f aca="false">IFERROR(IF([1]筐子库存汇总!$K$24=0,"",[1]筐子库存汇总!$K$24),"")</f>
        <v/>
      </c>
      <c r="L24" s="60" t="str">
        <f aca="false">IFERROR(IF([1]筐子库存汇总!$L$24=0,"",[1]筐子库存汇总!$L$24),"")</f>
        <v/>
      </c>
      <c r="M24" s="59" t="str">
        <f aca="false">IFERROR(IF([1]筐子库存汇总!$M$24=0,"",[1]筐子库存汇总!$M$24),"")</f>
        <v/>
      </c>
    </row>
    <row r="25" customFormat="false" ht="13.5" hidden="false" customHeight="false" outlineLevel="0" collapsed="false">
      <c r="A25" s="59" t="str">
        <f aca="false">IFERROR(IF([1]筐子库存汇总!$A$25=0,"",[1]筐子库存汇总!$A$25),"")</f>
        <v/>
      </c>
      <c r="B25" s="97" t="str">
        <f aca="false">IFERROR(IF([1]筐子库存汇总!$B$25=0,"",[1]筐子库存汇总!$B$25),"")</f>
        <v/>
      </c>
      <c r="C25" s="60" t="str">
        <f aca="false">IFERROR(IF([1]筐子库存汇总!$C$25=0,"",[1]筐子库存汇总!$C$25),"")</f>
        <v/>
      </c>
      <c r="D25" s="60" t="str">
        <f aca="false">IFERROR(IF([1]筐子库存汇总!$D$25=0,"",[1]筐子库存汇总!$D$25),"")</f>
        <v/>
      </c>
      <c r="E25" s="98" t="str">
        <f aca="false">IFERROR(IF([1]筐子库存汇总!$E$25=0,"",[1]筐子库存汇总!$E$25),"")</f>
        <v/>
      </c>
      <c r="F25" s="60" t="str">
        <f aca="false">IFERROR(IF([1]筐子库存汇总!$F$25=0,"",[1]筐子库存汇总!$F$25),"")</f>
        <v/>
      </c>
      <c r="G25" s="60" t="str">
        <f aca="false">IFERROR(IF([1]筐子库存汇总!$G$25=0,"",[1]筐子库存汇总!$G$25),"")</f>
        <v/>
      </c>
      <c r="H25" s="60" t="str">
        <f aca="false">IFERROR(IF([1]筐子库存汇总!$H$25=0,"",[1]筐子库存汇总!$H$25),"")</f>
        <v/>
      </c>
      <c r="I25" s="60" t="str">
        <f aca="false">IFERROR(IF([1]筐子库存汇总!$I$25=0,"",[1]筐子库存汇总!$I$25),"")</f>
        <v/>
      </c>
      <c r="J25" s="60" t="str">
        <f aca="false">IFERROR(IF([1]筐子库存汇总!$J$25=0,"",[1]筐子库存汇总!$J$25),"")</f>
        <v/>
      </c>
      <c r="K25" s="60" t="str">
        <f aca="false">IFERROR(IF([1]筐子库存汇总!$K$25=0,"",[1]筐子库存汇总!$K$25),"")</f>
        <v/>
      </c>
      <c r="L25" s="60" t="str">
        <f aca="false">IFERROR(IF([1]筐子库存汇总!$L$25=0,"",[1]筐子库存汇总!$L$25),"")</f>
        <v/>
      </c>
      <c r="M25" s="59" t="str">
        <f aca="false">IFERROR(IF([1]筐子库存汇总!$M$25=0,"",[1]筐子库存汇总!$M$25),"")</f>
        <v/>
      </c>
    </row>
    <row r="26" customFormat="false" ht="13.5" hidden="false" customHeight="false" outlineLevel="0" collapsed="false">
      <c r="A26" s="59" t="str">
        <f aca="false">IFERROR(IF([1]筐子库存汇总!$A$26=0,"",[1]筐子库存汇总!$A$26),"")</f>
        <v/>
      </c>
      <c r="B26" s="97" t="str">
        <f aca="false">IFERROR(IF([1]筐子库存汇总!$B$26=0,"",[1]筐子库存汇总!$B$26),"")</f>
        <v/>
      </c>
      <c r="C26" s="60" t="str">
        <f aca="false">IFERROR(IF([1]筐子库存汇总!$C$26=0,"",[1]筐子库存汇总!$C$26),"")</f>
        <v/>
      </c>
      <c r="D26" s="60" t="str">
        <f aca="false">IFERROR(IF([1]筐子库存汇总!$D$26=0,"",[1]筐子库存汇总!$D$26),"")</f>
        <v/>
      </c>
      <c r="E26" s="98" t="str">
        <f aca="false">IFERROR(IF([1]筐子库存汇总!$E$26=0,"",[1]筐子库存汇总!$E$26),"")</f>
        <v/>
      </c>
      <c r="F26" s="60" t="str">
        <f aca="false">IFERROR(IF([1]筐子库存汇总!$F$26=0,"",[1]筐子库存汇总!$F$26),"")</f>
        <v/>
      </c>
      <c r="G26" s="60" t="str">
        <f aca="false">IFERROR(IF([1]筐子库存汇总!$G$26=0,"",[1]筐子库存汇总!$G$26),"")</f>
        <v/>
      </c>
      <c r="H26" s="60" t="str">
        <f aca="false">IFERROR(IF([1]筐子库存汇总!$H$26=0,"",[1]筐子库存汇总!$H$26),"")</f>
        <v/>
      </c>
      <c r="I26" s="60" t="str">
        <f aca="false">IFERROR(IF([1]筐子库存汇总!$I$26=0,"",[1]筐子库存汇总!$I$26),"")</f>
        <v/>
      </c>
      <c r="J26" s="60" t="str">
        <f aca="false">IFERROR(IF([1]筐子库存汇总!$J$26=0,"",[1]筐子库存汇总!$J$26),"")</f>
        <v/>
      </c>
      <c r="K26" s="60" t="str">
        <f aca="false">IFERROR(IF([1]筐子库存汇总!$K$26=0,"",[1]筐子库存汇总!$K$26),"")</f>
        <v/>
      </c>
      <c r="L26" s="60" t="str">
        <f aca="false">IFERROR(IF([1]筐子库存汇总!$L$26=0,"",[1]筐子库存汇总!$L$26),"")</f>
        <v/>
      </c>
      <c r="M26" s="59" t="str">
        <f aca="false">IFERROR(IF([1]筐子库存汇总!$M$26=0,"",[1]筐子库存汇总!$M$26),"")</f>
        <v/>
      </c>
    </row>
    <row r="27" customFormat="false" ht="13.5" hidden="false" customHeight="false" outlineLevel="0" collapsed="false">
      <c r="A27" s="59" t="str">
        <f aca="false">IFERROR(IF([1]筐子库存汇总!$A$27=0,"",[1]筐子库存汇总!$A$27),"")</f>
        <v/>
      </c>
      <c r="B27" s="97" t="str">
        <f aca="false">IFERROR(IF([1]筐子库存汇总!$B$27=0,"",[1]筐子库存汇总!$B$27),"")</f>
        <v/>
      </c>
      <c r="C27" s="60" t="str">
        <f aca="false">IFERROR(IF([1]筐子库存汇总!$C$27=0,"",[1]筐子库存汇总!$C$27),"")</f>
        <v/>
      </c>
      <c r="D27" s="60" t="str">
        <f aca="false">IFERROR(IF([1]筐子库存汇总!$D$27=0,"",[1]筐子库存汇总!$D$27),"")</f>
        <v/>
      </c>
      <c r="E27" s="98" t="str">
        <f aca="false">IFERROR(IF([1]筐子库存汇总!$E$27=0,"",[1]筐子库存汇总!$E$27),"")</f>
        <v/>
      </c>
      <c r="F27" s="60" t="str">
        <f aca="false">IFERROR(IF([1]筐子库存汇总!$F$27=0,"",[1]筐子库存汇总!$F$27),"")</f>
        <v/>
      </c>
      <c r="G27" s="60" t="str">
        <f aca="false">IFERROR(IF([1]筐子库存汇总!$G$27=0,"",[1]筐子库存汇总!$G$27),"")</f>
        <v/>
      </c>
      <c r="H27" s="60" t="str">
        <f aca="false">IFERROR(IF([1]筐子库存汇总!$H$27=0,"",[1]筐子库存汇总!$H$27),"")</f>
        <v/>
      </c>
      <c r="I27" s="60" t="str">
        <f aca="false">IFERROR(IF([1]筐子库存汇总!$I$27=0,"",[1]筐子库存汇总!$I$27),"")</f>
        <v/>
      </c>
      <c r="J27" s="60" t="str">
        <f aca="false">IFERROR(IF([1]筐子库存汇总!$J$27=0,"",[1]筐子库存汇总!$J$27),"")</f>
        <v/>
      </c>
      <c r="K27" s="60" t="str">
        <f aca="false">IFERROR(IF([1]筐子库存汇总!$K$27=0,"",[1]筐子库存汇总!$K$27),"")</f>
        <v/>
      </c>
      <c r="L27" s="60" t="str">
        <f aca="false">IFERROR(IF([1]筐子库存汇总!$L$27=0,"",[1]筐子库存汇总!$L$27),"")</f>
        <v/>
      </c>
      <c r="M27" s="59" t="str">
        <f aca="false">IFERROR(IF([1]筐子库存汇总!$M$27=0,"",[1]筐子库存汇总!$M$27),"")</f>
        <v/>
      </c>
    </row>
    <row r="28" customFormat="false" ht="13.5" hidden="false" customHeight="false" outlineLevel="0" collapsed="false">
      <c r="A28" s="59" t="str">
        <f aca="false">IFERROR(IF([1]筐子库存汇总!$A$28=0,"",[1]筐子库存汇总!$A$28),"")</f>
        <v/>
      </c>
      <c r="B28" s="97" t="str">
        <f aca="false">IFERROR(IF([1]筐子库存汇总!$B$28=0,"",[1]筐子库存汇总!$B$28),"")</f>
        <v/>
      </c>
      <c r="C28" s="60" t="str">
        <f aca="false">IFERROR(IF([1]筐子库存汇总!$C$28=0,"",[1]筐子库存汇总!$C$28),"")</f>
        <v/>
      </c>
      <c r="D28" s="60" t="str">
        <f aca="false">IFERROR(IF([1]筐子库存汇总!$D$28=0,"",[1]筐子库存汇总!$D$28),"")</f>
        <v/>
      </c>
      <c r="E28" s="98" t="str">
        <f aca="false">IFERROR(IF([1]筐子库存汇总!$E$28=0,"",[1]筐子库存汇总!$E$28),"")</f>
        <v/>
      </c>
      <c r="F28" s="60" t="str">
        <f aca="false">IFERROR(IF([1]筐子库存汇总!$F$28=0,"",[1]筐子库存汇总!$F$28),"")</f>
        <v/>
      </c>
      <c r="G28" s="60" t="str">
        <f aca="false">IFERROR(IF([1]筐子库存汇总!$G$28=0,"",[1]筐子库存汇总!$G$28),"")</f>
        <v/>
      </c>
      <c r="H28" s="60" t="str">
        <f aca="false">IFERROR(IF([1]筐子库存汇总!$H$28=0,"",[1]筐子库存汇总!$H$28),"")</f>
        <v/>
      </c>
      <c r="I28" s="60" t="str">
        <f aca="false">IFERROR(IF([1]筐子库存汇总!$I$28=0,"",[1]筐子库存汇总!$I$28),"")</f>
        <v/>
      </c>
      <c r="J28" s="60" t="str">
        <f aca="false">IFERROR(IF([1]筐子库存汇总!$J$28=0,"",[1]筐子库存汇总!$J$28),"")</f>
        <v/>
      </c>
      <c r="K28" s="60" t="str">
        <f aca="false">IFERROR(IF([1]筐子库存汇总!$K$28=0,"",[1]筐子库存汇总!$K$28),"")</f>
        <v/>
      </c>
      <c r="L28" s="60" t="str">
        <f aca="false">IFERROR(IF([1]筐子库存汇总!$L$28=0,"",[1]筐子库存汇总!$L$28),"")</f>
        <v/>
      </c>
      <c r="M28" s="59" t="str">
        <f aca="false">IFERROR(IF([1]筐子库存汇总!$M$28=0,"",[1]筐子库存汇总!$M$28),"")</f>
        <v/>
      </c>
    </row>
    <row r="29" customFormat="false" ht="13.5" hidden="false" customHeight="false" outlineLevel="0" collapsed="false">
      <c r="A29" s="59" t="str">
        <f aca="false">IFERROR(IF([1]筐子库存汇总!$A$29=0,"",[1]筐子库存汇总!$A$29),"")</f>
        <v/>
      </c>
      <c r="B29" s="97" t="str">
        <f aca="false">IFERROR(IF([1]筐子库存汇总!$B$29=0,"",[1]筐子库存汇总!$B$29),"")</f>
        <v/>
      </c>
      <c r="C29" s="60" t="str">
        <f aca="false">IFERROR(IF([1]筐子库存汇总!$C$29=0,"",[1]筐子库存汇总!$C$29),"")</f>
        <v/>
      </c>
      <c r="D29" s="60" t="str">
        <f aca="false">IFERROR(IF([1]筐子库存汇总!$D$29=0,"",[1]筐子库存汇总!$D$29),"")</f>
        <v/>
      </c>
      <c r="E29" s="98" t="str">
        <f aca="false">IFERROR(IF([1]筐子库存汇总!$E$29=0,"",[1]筐子库存汇总!$E$29),"")</f>
        <v/>
      </c>
      <c r="F29" s="60" t="str">
        <f aca="false">IFERROR(IF([1]筐子库存汇总!$F$29=0,"",[1]筐子库存汇总!$F$29),"")</f>
        <v/>
      </c>
      <c r="G29" s="60" t="str">
        <f aca="false">IFERROR(IF([1]筐子库存汇总!$G$29=0,"",[1]筐子库存汇总!$G$29),"")</f>
        <v/>
      </c>
      <c r="H29" s="60" t="str">
        <f aca="false">IFERROR(IF([1]筐子库存汇总!$H$29=0,"",[1]筐子库存汇总!$H$29),"")</f>
        <v/>
      </c>
      <c r="I29" s="60" t="str">
        <f aca="false">IFERROR(IF([1]筐子库存汇总!$I$29=0,"",[1]筐子库存汇总!$I$29),"")</f>
        <v/>
      </c>
      <c r="J29" s="60" t="str">
        <f aca="false">IFERROR(IF([1]筐子库存汇总!$J$29=0,"",[1]筐子库存汇总!$J$29),"")</f>
        <v/>
      </c>
      <c r="K29" s="60" t="str">
        <f aca="false">IFERROR(IF([1]筐子库存汇总!$K$29=0,"",[1]筐子库存汇总!$K$29),"")</f>
        <v/>
      </c>
      <c r="L29" s="60" t="str">
        <f aca="false">IFERROR(IF([1]筐子库存汇总!$L$29=0,"",[1]筐子库存汇总!$L$29),"")</f>
        <v/>
      </c>
      <c r="M29" s="59" t="str">
        <f aca="false">IFERROR(IF([1]筐子库存汇总!$M$29=0,"",[1]筐子库存汇总!$M$29),"")</f>
        <v/>
      </c>
    </row>
    <row r="30" customFormat="false" ht="13.5" hidden="false" customHeight="false" outlineLevel="0" collapsed="false">
      <c r="A30" s="59" t="str">
        <f aca="false">IFERROR(IF([1]筐子库存汇总!$A$30=0,"",[1]筐子库存汇总!$A$30),"")</f>
        <v/>
      </c>
      <c r="B30" s="97" t="str">
        <f aca="false">IFERROR(IF([1]筐子库存汇总!$B$30=0,"",[1]筐子库存汇总!$B$30),"")</f>
        <v/>
      </c>
      <c r="C30" s="60" t="str">
        <f aca="false">IFERROR(IF([1]筐子库存汇总!$C$30=0,"",[1]筐子库存汇总!$C$30),"")</f>
        <v/>
      </c>
      <c r="D30" s="60" t="str">
        <f aca="false">IFERROR(IF([1]筐子库存汇总!$D$30=0,"",[1]筐子库存汇总!$D$30),"")</f>
        <v/>
      </c>
      <c r="E30" s="98" t="str">
        <f aca="false">IFERROR(IF([1]筐子库存汇总!$E$30=0,"",[1]筐子库存汇总!$E$30),"")</f>
        <v/>
      </c>
      <c r="F30" s="60" t="str">
        <f aca="false">IFERROR(IF([1]筐子库存汇总!$F$30=0,"",[1]筐子库存汇总!$F$30),"")</f>
        <v/>
      </c>
      <c r="G30" s="60" t="str">
        <f aca="false">IFERROR(IF([1]筐子库存汇总!$G$30=0,"",[1]筐子库存汇总!$G$30),"")</f>
        <v/>
      </c>
      <c r="H30" s="60" t="str">
        <f aca="false">IFERROR(IF([1]筐子库存汇总!$H$30=0,"",[1]筐子库存汇总!$H$30),"")</f>
        <v/>
      </c>
      <c r="I30" s="60" t="str">
        <f aca="false">IFERROR(IF([1]筐子库存汇总!$I$30=0,"",[1]筐子库存汇总!$I$30),"")</f>
        <v/>
      </c>
      <c r="J30" s="60" t="str">
        <f aca="false">IFERROR(IF([1]筐子库存汇总!$J$30=0,"",[1]筐子库存汇总!$J$30),"")</f>
        <v/>
      </c>
      <c r="K30" s="60" t="str">
        <f aca="false">IFERROR(IF([1]筐子库存汇总!$K$30=0,"",[1]筐子库存汇总!$K$30),"")</f>
        <v/>
      </c>
      <c r="L30" s="60" t="str">
        <f aca="false">IFERROR(IF([1]筐子库存汇总!$L$30=0,"",[1]筐子库存汇总!$L$30),"")</f>
        <v/>
      </c>
      <c r="M30" s="59" t="str">
        <f aca="false">IFERROR(IF([1]筐子库存汇总!$M$30=0,"",[1]筐子库存汇总!$M$30),"")</f>
        <v/>
      </c>
    </row>
    <row r="31" customFormat="false" ht="13.5" hidden="false" customHeight="false" outlineLevel="0" collapsed="false">
      <c r="A31" s="59" t="str">
        <f aca="false">IFERROR(IF([1]筐子库存汇总!$A$31=0,"",[1]筐子库存汇总!$A$31),"")</f>
        <v/>
      </c>
      <c r="B31" s="97" t="str">
        <f aca="false">IFERROR(IF([1]筐子库存汇总!$B$31=0,"",[1]筐子库存汇总!$B$31),"")</f>
        <v/>
      </c>
      <c r="C31" s="60" t="str">
        <f aca="false">IFERROR(IF([1]筐子库存汇总!$C$31=0,"",[1]筐子库存汇总!$C$31),"")</f>
        <v/>
      </c>
      <c r="D31" s="60" t="str">
        <f aca="false">IFERROR(IF([1]筐子库存汇总!$D$31=0,"",[1]筐子库存汇总!$D$31),"")</f>
        <v/>
      </c>
      <c r="E31" s="98" t="str">
        <f aca="false">IFERROR(IF([1]筐子库存汇总!$E$31=0,"",[1]筐子库存汇总!$E$31),"")</f>
        <v/>
      </c>
      <c r="F31" s="60" t="str">
        <f aca="false">IFERROR(IF([1]筐子库存汇总!$F$31=0,"",[1]筐子库存汇总!$F$31),"")</f>
        <v/>
      </c>
      <c r="G31" s="60" t="str">
        <f aca="false">IFERROR(IF([1]筐子库存汇总!$G$31=0,"",[1]筐子库存汇总!$G$31),"")</f>
        <v/>
      </c>
      <c r="H31" s="60" t="str">
        <f aca="false">IFERROR(IF([1]筐子库存汇总!$H$31=0,"",[1]筐子库存汇总!$H$31),"")</f>
        <v/>
      </c>
      <c r="I31" s="60" t="str">
        <f aca="false">IFERROR(IF([1]筐子库存汇总!$I$31=0,"",[1]筐子库存汇总!$I$31),"")</f>
        <v/>
      </c>
      <c r="J31" s="60" t="str">
        <f aca="false">IFERROR(IF([1]筐子库存汇总!$J$31=0,"",[1]筐子库存汇总!$J$31),"")</f>
        <v/>
      </c>
      <c r="K31" s="60" t="str">
        <f aca="false">IFERROR(IF([1]筐子库存汇总!$K$31=0,"",[1]筐子库存汇总!$K$31),"")</f>
        <v/>
      </c>
      <c r="L31" s="60" t="str">
        <f aca="false">IFERROR(IF([1]筐子库存汇总!$L$31=0,"",[1]筐子库存汇总!$L$31),"")</f>
        <v/>
      </c>
      <c r="M31" s="59" t="str">
        <f aca="false">IFERROR(IF([1]筐子库存汇总!$M$31=0,"",[1]筐子库存汇总!$M$31),"")</f>
        <v/>
      </c>
    </row>
    <row r="32" customFormat="false" ht="13.5" hidden="false" customHeight="false" outlineLevel="0" collapsed="false">
      <c r="A32" s="59" t="str">
        <f aca="false">IFERROR(IF([1]筐子库存汇总!$A$32=0,"",[1]筐子库存汇总!$A$32),"")</f>
        <v/>
      </c>
      <c r="B32" s="97" t="str">
        <f aca="false">IFERROR(IF([1]筐子库存汇总!$B$32=0,"",[1]筐子库存汇总!$B$32),"")</f>
        <v/>
      </c>
      <c r="C32" s="60" t="str">
        <f aca="false">IFERROR(IF([1]筐子库存汇总!$C$32=0,"",[1]筐子库存汇总!$C$32),"")</f>
        <v/>
      </c>
      <c r="D32" s="60" t="str">
        <f aca="false">IFERROR(IF([1]筐子库存汇总!$D$32=0,"",[1]筐子库存汇总!$D$32),"")</f>
        <v/>
      </c>
      <c r="E32" s="98" t="str">
        <f aca="false">IFERROR(IF([1]筐子库存汇总!$E$32=0,"",[1]筐子库存汇总!$E$32),"")</f>
        <v/>
      </c>
      <c r="F32" s="60" t="str">
        <f aca="false">IFERROR(IF([1]筐子库存汇总!$F$32=0,"",[1]筐子库存汇总!$F$32),"")</f>
        <v/>
      </c>
      <c r="G32" s="60" t="str">
        <f aca="false">IFERROR(IF([1]筐子库存汇总!$G$32=0,"",[1]筐子库存汇总!$G$32),"")</f>
        <v/>
      </c>
      <c r="H32" s="60" t="str">
        <f aca="false">IFERROR(IF([1]筐子库存汇总!$H$32=0,"",[1]筐子库存汇总!$H$32),"")</f>
        <v/>
      </c>
      <c r="I32" s="60" t="str">
        <f aca="false">IFERROR(IF([1]筐子库存汇总!$I$32=0,"",[1]筐子库存汇总!$I$32),"")</f>
        <v/>
      </c>
      <c r="J32" s="60" t="str">
        <f aca="false">IFERROR(IF([1]筐子库存汇总!$J$32=0,"",[1]筐子库存汇总!$J$32),"")</f>
        <v/>
      </c>
      <c r="K32" s="60" t="str">
        <f aca="false">IFERROR(IF([1]筐子库存汇总!$K$32=0,"",[1]筐子库存汇总!$K$32),"")</f>
        <v/>
      </c>
      <c r="L32" s="60" t="str">
        <f aca="false">IFERROR(IF([1]筐子库存汇总!$L$32=0,"",[1]筐子库存汇总!$L$32),"")</f>
        <v/>
      </c>
      <c r="M32" s="59" t="str">
        <f aca="false">IFERROR(IF([1]筐子库存汇总!$M$32=0,"",[1]筐子库存汇总!$M$32),"")</f>
        <v/>
      </c>
    </row>
    <row r="33" customFormat="false" ht="13.5" hidden="false" customHeight="false" outlineLevel="0" collapsed="false">
      <c r="A33" s="59" t="str">
        <f aca="false">IFERROR(IF([1]筐子库存汇总!$A$33=0,"",[1]筐子库存汇总!$A$33),"")</f>
        <v/>
      </c>
      <c r="B33" s="97" t="str">
        <f aca="false">IFERROR(IF([1]筐子库存汇总!$B$33=0,"",[1]筐子库存汇总!$B$33),"")</f>
        <v/>
      </c>
      <c r="C33" s="60" t="str">
        <f aca="false">IFERROR(IF([1]筐子库存汇总!$C$33=0,"",[1]筐子库存汇总!$C$33),"")</f>
        <v/>
      </c>
      <c r="D33" s="60" t="str">
        <f aca="false">IFERROR(IF([1]筐子库存汇总!$D$33=0,"",[1]筐子库存汇总!$D$33),"")</f>
        <v/>
      </c>
      <c r="E33" s="98" t="str">
        <f aca="false">IFERROR(IF([1]筐子库存汇总!$E$33=0,"",[1]筐子库存汇总!$E$33),"")</f>
        <v/>
      </c>
      <c r="F33" s="60" t="str">
        <f aca="false">IFERROR(IF([1]筐子库存汇总!$F$33=0,"",[1]筐子库存汇总!$F$33),"")</f>
        <v/>
      </c>
      <c r="G33" s="60" t="str">
        <f aca="false">IFERROR(IF([1]筐子库存汇总!$G$33=0,"",[1]筐子库存汇总!$G$33),"")</f>
        <v/>
      </c>
      <c r="H33" s="60" t="str">
        <f aca="false">IFERROR(IF([1]筐子库存汇总!$H$33=0,"",[1]筐子库存汇总!$H$33),"")</f>
        <v/>
      </c>
      <c r="I33" s="60" t="str">
        <f aca="false">IFERROR(IF([1]筐子库存汇总!$I$33=0,"",[1]筐子库存汇总!$I$33),"")</f>
        <v/>
      </c>
      <c r="J33" s="60" t="str">
        <f aca="false">IFERROR(IF([1]筐子库存汇总!$J$33=0,"",[1]筐子库存汇总!$J$33),"")</f>
        <v/>
      </c>
      <c r="K33" s="60" t="str">
        <f aca="false">IFERROR(IF([1]筐子库存汇总!$K$33=0,"",[1]筐子库存汇总!$K$33),"")</f>
        <v/>
      </c>
      <c r="L33" s="60" t="str">
        <f aca="false">IFERROR(IF([1]筐子库存汇总!$L$33=0,"",[1]筐子库存汇总!$L$33),"")</f>
        <v/>
      </c>
      <c r="M33" s="59" t="str">
        <f aca="false">IFERROR(IF([1]筐子库存汇总!$M$33=0,"",[1]筐子库存汇总!$M$33),"")</f>
        <v/>
      </c>
    </row>
    <row r="34" customFormat="false" ht="13.5" hidden="false" customHeight="false" outlineLevel="0" collapsed="false">
      <c r="A34" s="59" t="str">
        <f aca="false">IFERROR(IF([1]筐子库存汇总!$A$34=0,"",[1]筐子库存汇总!$A$34),"")</f>
        <v/>
      </c>
      <c r="B34" s="97" t="str">
        <f aca="false">IFERROR(IF([1]筐子库存汇总!$B$34=0,"",[1]筐子库存汇总!$B$34),"")</f>
        <v/>
      </c>
      <c r="C34" s="60" t="str">
        <f aca="false">IFERROR(IF([1]筐子库存汇总!$C$34=0,"",[1]筐子库存汇总!$C$34),"")</f>
        <v/>
      </c>
      <c r="D34" s="60" t="str">
        <f aca="false">IFERROR(IF([1]筐子库存汇总!$D$34=0,"",[1]筐子库存汇总!$D$34),"")</f>
        <v/>
      </c>
      <c r="E34" s="98" t="str">
        <f aca="false">IFERROR(IF([1]筐子库存汇总!$E$34=0,"",[1]筐子库存汇总!$E$34),"")</f>
        <v/>
      </c>
      <c r="F34" s="60" t="str">
        <f aca="false">IFERROR(IF([1]筐子库存汇总!$F$34=0,"",[1]筐子库存汇总!$F$34),"")</f>
        <v/>
      </c>
      <c r="G34" s="60" t="str">
        <f aca="false">IFERROR(IF([1]筐子库存汇总!$G$34=0,"",[1]筐子库存汇总!$G$34),"")</f>
        <v/>
      </c>
      <c r="H34" s="60" t="str">
        <f aca="false">IFERROR(IF([1]筐子库存汇总!$H$34=0,"",[1]筐子库存汇总!$H$34),"")</f>
        <v/>
      </c>
      <c r="I34" s="60" t="str">
        <f aca="false">IFERROR(IF([1]筐子库存汇总!$I$34=0,"",[1]筐子库存汇总!$I$34),"")</f>
        <v/>
      </c>
      <c r="J34" s="60" t="str">
        <f aca="false">IFERROR(IF([1]筐子库存汇总!$J$34=0,"",[1]筐子库存汇总!$J$34),"")</f>
        <v/>
      </c>
      <c r="K34" s="60" t="str">
        <f aca="false">IFERROR(IF([1]筐子库存汇总!$K$34=0,"",[1]筐子库存汇总!$K$34),"")</f>
        <v/>
      </c>
      <c r="L34" s="60" t="str">
        <f aca="false">IFERROR(IF([1]筐子库存汇总!$L$34=0,"",[1]筐子库存汇总!$L$34),"")</f>
        <v/>
      </c>
      <c r="M34" s="59" t="str">
        <f aca="false">IFERROR(IF([1]筐子库存汇总!$M$34=0,"",[1]筐子库存汇总!$M$34),"")</f>
        <v/>
      </c>
    </row>
    <row r="35" customFormat="false" ht="13.5" hidden="false" customHeight="false" outlineLevel="0" collapsed="false">
      <c r="A35" s="59" t="str">
        <f aca="false">IFERROR(IF([1]筐子库存汇总!$A$35=0,"",[1]筐子库存汇总!$A$35),"")</f>
        <v/>
      </c>
      <c r="B35" s="97" t="str">
        <f aca="false">IFERROR(IF([1]筐子库存汇总!$B$35=0,"",[1]筐子库存汇总!$B$35),"")</f>
        <v/>
      </c>
      <c r="C35" s="60" t="str">
        <f aca="false">IFERROR(IF([1]筐子库存汇总!$C$35=0,"",[1]筐子库存汇总!$C$35),"")</f>
        <v/>
      </c>
      <c r="D35" s="60" t="str">
        <f aca="false">IFERROR(IF([1]筐子库存汇总!$D$35=0,"",[1]筐子库存汇总!$D$35),"")</f>
        <v/>
      </c>
      <c r="E35" s="98" t="str">
        <f aca="false">IFERROR(IF([1]筐子库存汇总!$E$35=0,"",[1]筐子库存汇总!$E$35),"")</f>
        <v/>
      </c>
      <c r="F35" s="60" t="str">
        <f aca="false">IFERROR(IF([1]筐子库存汇总!$F$35=0,"",[1]筐子库存汇总!$F$35),"")</f>
        <v/>
      </c>
      <c r="G35" s="60" t="str">
        <f aca="false">IFERROR(IF([1]筐子库存汇总!$G$35=0,"",[1]筐子库存汇总!$G$35),"")</f>
        <v/>
      </c>
      <c r="H35" s="60" t="str">
        <f aca="false">IFERROR(IF([1]筐子库存汇总!$H$35=0,"",[1]筐子库存汇总!$H$35),"")</f>
        <v/>
      </c>
      <c r="I35" s="60" t="str">
        <f aca="false">IFERROR(IF([1]筐子库存汇总!$I$35=0,"",[1]筐子库存汇总!$I$35),"")</f>
        <v/>
      </c>
      <c r="J35" s="60" t="str">
        <f aca="false">IFERROR(IF([1]筐子库存汇总!$J$35=0,"",[1]筐子库存汇总!$J$35),"")</f>
        <v/>
      </c>
      <c r="K35" s="60" t="str">
        <f aca="false">IFERROR(IF([1]筐子库存汇总!$K$35=0,"",[1]筐子库存汇总!$K$35),"")</f>
        <v/>
      </c>
      <c r="L35" s="60" t="str">
        <f aca="false">IFERROR(IF([1]筐子库存汇总!$L$35=0,"",[1]筐子库存汇总!$L$35),"")</f>
        <v/>
      </c>
      <c r="M35" s="59" t="str">
        <f aca="false">IFERROR(IF([1]筐子库存汇总!$M$35=0,"",[1]筐子库存汇总!$M$35),"")</f>
        <v/>
      </c>
    </row>
    <row r="36" customFormat="false" ht="13.5" hidden="false" customHeight="false" outlineLevel="0" collapsed="false">
      <c r="A36" s="59" t="str">
        <f aca="false">IFERROR(IF([1]筐子库存汇总!$A$36=0,"",[1]筐子库存汇总!$A$36),"")</f>
        <v/>
      </c>
      <c r="B36" s="97" t="str">
        <f aca="false">IFERROR(IF([1]筐子库存汇总!$B$36=0,"",[1]筐子库存汇总!$B$36),"")</f>
        <v/>
      </c>
      <c r="C36" s="60" t="str">
        <f aca="false">IFERROR(IF([1]筐子库存汇总!$C$36=0,"",[1]筐子库存汇总!$C$36),"")</f>
        <v/>
      </c>
      <c r="D36" s="60" t="str">
        <f aca="false">IFERROR(IF([1]筐子库存汇总!$D$36=0,"",[1]筐子库存汇总!$D$36),"")</f>
        <v/>
      </c>
      <c r="E36" s="98" t="str">
        <f aca="false">IFERROR(IF([1]筐子库存汇总!$E$36=0,"",[1]筐子库存汇总!$E$36),"")</f>
        <v/>
      </c>
      <c r="F36" s="60" t="str">
        <f aca="false">IFERROR(IF([1]筐子库存汇总!$F$36=0,"",[1]筐子库存汇总!$F$36),"")</f>
        <v/>
      </c>
      <c r="G36" s="60" t="str">
        <f aca="false">IFERROR(IF([1]筐子库存汇总!$G$36=0,"",[1]筐子库存汇总!$G$36),"")</f>
        <v/>
      </c>
      <c r="H36" s="60" t="str">
        <f aca="false">IFERROR(IF([1]筐子库存汇总!$H$36=0,"",[1]筐子库存汇总!$H$36),"")</f>
        <v/>
      </c>
      <c r="I36" s="60" t="str">
        <f aca="false">IFERROR(IF([1]筐子库存汇总!$I$36=0,"",[1]筐子库存汇总!$I$36),"")</f>
        <v/>
      </c>
      <c r="J36" s="60" t="str">
        <f aca="false">IFERROR(IF([1]筐子库存汇总!$J$36=0,"",[1]筐子库存汇总!$J$36),"")</f>
        <v/>
      </c>
      <c r="K36" s="60" t="str">
        <f aca="false">IFERROR(IF([1]筐子库存汇总!$K$36=0,"",[1]筐子库存汇总!$K$36),"")</f>
        <v/>
      </c>
      <c r="L36" s="60" t="str">
        <f aca="false">IFERROR(IF([1]筐子库存汇总!$L$36=0,"",[1]筐子库存汇总!$L$36),"")</f>
        <v/>
      </c>
      <c r="M36" s="59" t="str">
        <f aca="false">IFERROR(IF([1]筐子库存汇总!$M$36=0,"",[1]筐子库存汇总!$M$36),"")</f>
        <v/>
      </c>
    </row>
    <row r="37" customFormat="false" ht="13.5" hidden="false" customHeight="false" outlineLevel="0" collapsed="false">
      <c r="A37" s="59" t="str">
        <f aca="false">IFERROR(IF([1]筐子库存汇总!$A$37=0,"",[1]筐子库存汇总!$A$37),"")</f>
        <v/>
      </c>
      <c r="B37" s="97" t="str">
        <f aca="false">IFERROR(IF([1]筐子库存汇总!$B$37=0,"",[1]筐子库存汇总!$B$37),"")</f>
        <v/>
      </c>
      <c r="C37" s="60" t="str">
        <f aca="false">IFERROR(IF([1]筐子库存汇总!$C$37=0,"",[1]筐子库存汇总!$C$37),"")</f>
        <v/>
      </c>
      <c r="D37" s="60" t="str">
        <f aca="false">IFERROR(IF([1]筐子库存汇总!$D$37=0,"",[1]筐子库存汇总!$D$37),"")</f>
        <v/>
      </c>
      <c r="E37" s="98" t="str">
        <f aca="false">IFERROR(IF([1]筐子库存汇总!$E$37=0,"",[1]筐子库存汇总!$E$37),"")</f>
        <v/>
      </c>
      <c r="F37" s="60" t="str">
        <f aca="false">IFERROR(IF([1]筐子库存汇总!$F$37=0,"",[1]筐子库存汇总!$F$37),"")</f>
        <v/>
      </c>
      <c r="G37" s="60" t="str">
        <f aca="false">IFERROR(IF([1]筐子库存汇总!$G$37=0,"",[1]筐子库存汇总!$G$37),"")</f>
        <v/>
      </c>
      <c r="H37" s="60" t="str">
        <f aca="false">IFERROR(IF([1]筐子库存汇总!$H$37=0,"",[1]筐子库存汇总!$H$37),"")</f>
        <v/>
      </c>
      <c r="I37" s="60" t="str">
        <f aca="false">IFERROR(IF([1]筐子库存汇总!$I$37=0,"",[1]筐子库存汇总!$I$37),"")</f>
        <v/>
      </c>
      <c r="J37" s="60" t="str">
        <f aca="false">IFERROR(IF([1]筐子库存汇总!$J$37=0,"",[1]筐子库存汇总!$J$37),"")</f>
        <v/>
      </c>
      <c r="K37" s="60" t="str">
        <f aca="false">IFERROR(IF([1]筐子库存汇总!$K$37=0,"",[1]筐子库存汇总!$K$37),"")</f>
        <v/>
      </c>
      <c r="L37" s="60" t="str">
        <f aca="false">IFERROR(IF([1]筐子库存汇总!$L$37=0,"",[1]筐子库存汇总!$L$37),"")</f>
        <v/>
      </c>
      <c r="M37" s="59" t="str">
        <f aca="false">IFERROR(IF([1]筐子库存汇总!$M$37=0,"",[1]筐子库存汇总!$M$37),"")</f>
        <v/>
      </c>
    </row>
    <row r="38" customFormat="false" ht="13.5" hidden="false" customHeight="false" outlineLevel="0" collapsed="false">
      <c r="A38" s="59" t="str">
        <f aca="false">IFERROR(IF([1]筐子库存汇总!$A$38=0,"",[1]筐子库存汇总!$A$38),"")</f>
        <v/>
      </c>
      <c r="B38" s="97" t="str">
        <f aca="false">IFERROR(IF([1]筐子库存汇总!$B$38=0,"",[1]筐子库存汇总!$B$38),"")</f>
        <v/>
      </c>
      <c r="C38" s="60" t="str">
        <f aca="false">IFERROR(IF([1]筐子库存汇总!$C$38=0,"",[1]筐子库存汇总!$C$38),"")</f>
        <v/>
      </c>
      <c r="D38" s="60" t="str">
        <f aca="false">IFERROR(IF([1]筐子库存汇总!$D$38=0,"",[1]筐子库存汇总!$D$38),"")</f>
        <v/>
      </c>
      <c r="E38" s="98" t="str">
        <f aca="false">IFERROR(IF([1]筐子库存汇总!$E$38=0,"",[1]筐子库存汇总!$E$38),"")</f>
        <v/>
      </c>
      <c r="F38" s="60" t="str">
        <f aca="false">IFERROR(IF([1]筐子库存汇总!$F$38=0,"",[1]筐子库存汇总!$F$38),"")</f>
        <v/>
      </c>
      <c r="G38" s="60" t="str">
        <f aca="false">IFERROR(IF([1]筐子库存汇总!$G$38=0,"",[1]筐子库存汇总!$G$38),"")</f>
        <v/>
      </c>
      <c r="H38" s="60" t="str">
        <f aca="false">IFERROR(IF([1]筐子库存汇总!$H$38=0,"",[1]筐子库存汇总!$H$38),"")</f>
        <v/>
      </c>
      <c r="I38" s="60" t="str">
        <f aca="false">IFERROR(IF([1]筐子库存汇总!$I$38=0,"",[1]筐子库存汇总!$I$38),"")</f>
        <v/>
      </c>
      <c r="J38" s="60" t="str">
        <f aca="false">IFERROR(IF([1]筐子库存汇总!$J$38=0,"",[1]筐子库存汇总!$J$38),"")</f>
        <v/>
      </c>
      <c r="K38" s="60" t="str">
        <f aca="false">IFERROR(IF([1]筐子库存汇总!$K$38=0,"",[1]筐子库存汇总!$K$38),"")</f>
        <v/>
      </c>
      <c r="L38" s="60" t="str">
        <f aca="false">IFERROR(IF([1]筐子库存汇总!$L$38=0,"",[1]筐子库存汇总!$L$38),"")</f>
        <v/>
      </c>
      <c r="M38" s="59" t="str">
        <f aca="false">IFERROR(IF([1]筐子库存汇总!$M$38=0,"",[1]筐子库存汇总!$M$38),"")</f>
        <v/>
      </c>
    </row>
    <row r="39" customFormat="false" ht="13.5" hidden="false" customHeight="false" outlineLevel="0" collapsed="false">
      <c r="A39" s="59" t="str">
        <f aca="false">IFERROR(IF([1]筐子库存汇总!$A$39=0,"",[1]筐子库存汇总!$A$39),"")</f>
        <v/>
      </c>
      <c r="B39" s="97" t="str">
        <f aca="false">IFERROR(IF([1]筐子库存汇总!$B$39=0,"",[1]筐子库存汇总!$B$39),"")</f>
        <v/>
      </c>
      <c r="C39" s="60" t="str">
        <f aca="false">IFERROR(IF([1]筐子库存汇总!$C$39=0,"",[1]筐子库存汇总!$C$39),"")</f>
        <v/>
      </c>
      <c r="D39" s="60" t="str">
        <f aca="false">IFERROR(IF([1]筐子库存汇总!$D$39=0,"",[1]筐子库存汇总!$D$39),"")</f>
        <v/>
      </c>
      <c r="E39" s="98" t="str">
        <f aca="false">IFERROR(IF([1]筐子库存汇总!$E$39=0,"",[1]筐子库存汇总!$E$39),"")</f>
        <v/>
      </c>
      <c r="F39" s="60" t="str">
        <f aca="false">IFERROR(IF([1]筐子库存汇总!$F$39=0,"",[1]筐子库存汇总!$F$39),"")</f>
        <v/>
      </c>
      <c r="G39" s="60" t="str">
        <f aca="false">IFERROR(IF([1]筐子库存汇总!$G$39=0,"",[1]筐子库存汇总!$G$39),"")</f>
        <v/>
      </c>
      <c r="H39" s="60" t="str">
        <f aca="false">IFERROR(IF([1]筐子库存汇总!$H$39=0,"",[1]筐子库存汇总!$H$39),"")</f>
        <v/>
      </c>
      <c r="I39" s="60" t="str">
        <f aca="false">IFERROR(IF([1]筐子库存汇总!$I$39=0,"",[1]筐子库存汇总!$I$39),"")</f>
        <v/>
      </c>
      <c r="J39" s="60" t="str">
        <f aca="false">IFERROR(IF([1]筐子库存汇总!$J$39=0,"",[1]筐子库存汇总!$J$39),"")</f>
        <v/>
      </c>
      <c r="K39" s="60" t="str">
        <f aca="false">IFERROR(IF([1]筐子库存汇总!$K$39=0,"",[1]筐子库存汇总!$K$39),"")</f>
        <v/>
      </c>
      <c r="L39" s="60" t="str">
        <f aca="false">IFERROR(IF([1]筐子库存汇总!$L$39=0,"",[1]筐子库存汇总!$L$39),"")</f>
        <v/>
      </c>
      <c r="M39" s="59" t="str">
        <f aca="false">IFERROR(IF([1]筐子库存汇总!$M$39=0,"",[1]筐子库存汇总!$M$39),"")</f>
        <v/>
      </c>
    </row>
    <row r="40" customFormat="false" ht="13.5" hidden="false" customHeight="false" outlineLevel="0" collapsed="false">
      <c r="A40" s="59" t="str">
        <f aca="false">IFERROR(IF([1]筐子库存汇总!$A$40=0,"",[1]筐子库存汇总!$A$40),"")</f>
        <v/>
      </c>
      <c r="B40" s="97" t="str">
        <f aca="false">IFERROR(IF([1]筐子库存汇总!$B$40=0,"",[1]筐子库存汇总!$B$40),"")</f>
        <v/>
      </c>
      <c r="C40" s="60" t="str">
        <f aca="false">IFERROR(IF([1]筐子库存汇总!$C$40=0,"",[1]筐子库存汇总!$C$40),"")</f>
        <v/>
      </c>
      <c r="D40" s="60" t="str">
        <f aca="false">IFERROR(IF([1]筐子库存汇总!$D$40=0,"",[1]筐子库存汇总!$D$40),"")</f>
        <v/>
      </c>
      <c r="E40" s="98" t="str">
        <f aca="false">IFERROR(IF([1]筐子库存汇总!$E$40=0,"",[1]筐子库存汇总!$E$40),"")</f>
        <v/>
      </c>
      <c r="F40" s="60" t="str">
        <f aca="false">IFERROR(IF([1]筐子库存汇总!$F$40=0,"",[1]筐子库存汇总!$F$40),"")</f>
        <v/>
      </c>
      <c r="G40" s="60" t="str">
        <f aca="false">IFERROR(IF([1]筐子库存汇总!$G$40=0,"",[1]筐子库存汇总!$G$40),"")</f>
        <v/>
      </c>
      <c r="H40" s="60" t="str">
        <f aca="false">IFERROR(IF([1]筐子库存汇总!$H$40=0,"",[1]筐子库存汇总!$H$40),"")</f>
        <v/>
      </c>
      <c r="I40" s="60" t="str">
        <f aca="false">IFERROR(IF([1]筐子库存汇总!$I$40=0,"",[1]筐子库存汇总!$I$40),"")</f>
        <v/>
      </c>
      <c r="J40" s="60" t="str">
        <f aca="false">IFERROR(IF([1]筐子库存汇总!$J$40=0,"",[1]筐子库存汇总!$J$40),"")</f>
        <v/>
      </c>
      <c r="K40" s="60" t="str">
        <f aca="false">IFERROR(IF([1]筐子库存汇总!$K$40=0,"",[1]筐子库存汇总!$K$40),"")</f>
        <v/>
      </c>
      <c r="L40" s="60" t="str">
        <f aca="false">IFERROR(IF([1]筐子库存汇总!$L$40=0,"",[1]筐子库存汇总!$L$40),"")</f>
        <v/>
      </c>
      <c r="M40" s="59" t="str">
        <f aca="false">IFERROR(IF([1]筐子库存汇总!$M$40=0,"",[1]筐子库存汇总!$M$40),"")</f>
        <v/>
      </c>
    </row>
    <row r="41" customFormat="false" ht="13.5" hidden="false" customHeight="false" outlineLevel="0" collapsed="false">
      <c r="A41" s="59" t="str">
        <f aca="false">IFERROR(IF([1]筐子库存汇总!$A$41=0,"",[1]筐子库存汇总!$A$41),"")</f>
        <v/>
      </c>
      <c r="B41" s="97" t="str">
        <f aca="false">IFERROR(IF([1]筐子库存汇总!$B$41=0,"",[1]筐子库存汇总!$B$41),"")</f>
        <v/>
      </c>
      <c r="C41" s="60" t="str">
        <f aca="false">IFERROR(IF([1]筐子库存汇总!$C$41=0,"",[1]筐子库存汇总!$C$41),"")</f>
        <v/>
      </c>
      <c r="D41" s="60" t="str">
        <f aca="false">IFERROR(IF([1]筐子库存汇总!$D$41=0,"",[1]筐子库存汇总!$D$41),"")</f>
        <v/>
      </c>
      <c r="E41" s="98" t="str">
        <f aca="false">IFERROR(IF([1]筐子库存汇总!$E$41=0,"",[1]筐子库存汇总!$E$41),"")</f>
        <v/>
      </c>
      <c r="F41" s="60" t="str">
        <f aca="false">IFERROR(IF([1]筐子库存汇总!$F$41=0,"",[1]筐子库存汇总!$F$41),"")</f>
        <v/>
      </c>
      <c r="G41" s="60" t="str">
        <f aca="false">IFERROR(IF([1]筐子库存汇总!$G$41=0,"",[1]筐子库存汇总!$G$41),"")</f>
        <v/>
      </c>
      <c r="H41" s="60" t="str">
        <f aca="false">IFERROR(IF([1]筐子库存汇总!$H$41=0,"",[1]筐子库存汇总!$H$41),"")</f>
        <v/>
      </c>
      <c r="I41" s="60" t="str">
        <f aca="false">IFERROR(IF([1]筐子库存汇总!$I$41=0,"",[1]筐子库存汇总!$I$41),"")</f>
        <v/>
      </c>
      <c r="J41" s="60" t="str">
        <f aca="false">IFERROR(IF([1]筐子库存汇总!$J$41=0,"",[1]筐子库存汇总!$J$41),"")</f>
        <v/>
      </c>
      <c r="K41" s="60" t="str">
        <f aca="false">IFERROR(IF([1]筐子库存汇总!$K$41=0,"",[1]筐子库存汇总!$K$41),"")</f>
        <v/>
      </c>
      <c r="L41" s="60" t="str">
        <f aca="false">IFERROR(IF([1]筐子库存汇总!$L$41=0,"",[1]筐子库存汇总!$L$41),"")</f>
        <v/>
      </c>
      <c r="M41" s="59" t="str">
        <f aca="false">IFERROR(IF([1]筐子库存汇总!$M$41=0,"",[1]筐子库存汇总!$M$41),"")</f>
        <v/>
      </c>
    </row>
    <row r="42" customFormat="false" ht="13.5" hidden="false" customHeight="false" outlineLevel="0" collapsed="false">
      <c r="A42" s="59" t="str">
        <f aca="false">IFERROR(IF([1]筐子库存汇总!$A$42=0,"",[1]筐子库存汇总!$A$42),"")</f>
        <v/>
      </c>
      <c r="B42" s="97" t="str">
        <f aca="false">IFERROR(IF([1]筐子库存汇总!$B$42=0,"",[1]筐子库存汇总!$B$42),"")</f>
        <v/>
      </c>
      <c r="C42" s="60" t="str">
        <f aca="false">IFERROR(IF([1]筐子库存汇总!$C$42=0,"",[1]筐子库存汇总!$C$42),"")</f>
        <v/>
      </c>
      <c r="D42" s="60" t="str">
        <f aca="false">IFERROR(IF([1]筐子库存汇总!$D$42=0,"",[1]筐子库存汇总!$D$42),"")</f>
        <v/>
      </c>
      <c r="E42" s="98" t="str">
        <f aca="false">IFERROR(IF([1]筐子库存汇总!$E$42=0,"",[1]筐子库存汇总!$E$42),"")</f>
        <v/>
      </c>
      <c r="F42" s="60" t="str">
        <f aca="false">IFERROR(IF([1]筐子库存汇总!$F$42=0,"",[1]筐子库存汇总!$F$42),"")</f>
        <v/>
      </c>
      <c r="G42" s="60" t="str">
        <f aca="false">IFERROR(IF([1]筐子库存汇总!$G$42=0,"",[1]筐子库存汇总!$G$42),"")</f>
        <v/>
      </c>
      <c r="H42" s="60" t="str">
        <f aca="false">IFERROR(IF([1]筐子库存汇总!$H$42=0,"",[1]筐子库存汇总!$H$42),"")</f>
        <v/>
      </c>
      <c r="I42" s="60" t="str">
        <f aca="false">IFERROR(IF([1]筐子库存汇总!$I$42=0,"",[1]筐子库存汇总!$I$42),"")</f>
        <v/>
      </c>
      <c r="J42" s="60" t="str">
        <f aca="false">IFERROR(IF([1]筐子库存汇总!$J$42=0,"",[1]筐子库存汇总!$J$42),"")</f>
        <v/>
      </c>
      <c r="K42" s="60" t="str">
        <f aca="false">IFERROR(IF([1]筐子库存汇总!$K$42=0,"",[1]筐子库存汇总!$K$42),"")</f>
        <v/>
      </c>
      <c r="L42" s="60" t="str">
        <f aca="false">IFERROR(IF([1]筐子库存汇总!$L$42=0,"",[1]筐子库存汇总!$L$42),"")</f>
        <v/>
      </c>
      <c r="M42" s="59" t="str">
        <f aca="false">IFERROR(IF([1]筐子库存汇总!$M$42=0,"",[1]筐子库存汇总!$M$42),"")</f>
        <v/>
      </c>
    </row>
    <row r="43" customFormat="false" ht="13.5" hidden="false" customHeight="false" outlineLevel="0" collapsed="false">
      <c r="A43" s="59" t="str">
        <f aca="false">IFERROR(IF([1]筐子库存汇总!$A$43=0,"",[1]筐子库存汇总!$A$43),"")</f>
        <v/>
      </c>
      <c r="B43" s="97" t="str">
        <f aca="false">IFERROR(IF([1]筐子库存汇总!$B$43=0,"",[1]筐子库存汇总!$B$43),"")</f>
        <v/>
      </c>
      <c r="C43" s="60" t="str">
        <f aca="false">IFERROR(IF([1]筐子库存汇总!$C$43=0,"",[1]筐子库存汇总!$C$43),"")</f>
        <v/>
      </c>
      <c r="D43" s="60" t="str">
        <f aca="false">IFERROR(IF([1]筐子库存汇总!$D$43=0,"",[1]筐子库存汇总!$D$43),"")</f>
        <v/>
      </c>
      <c r="E43" s="98" t="str">
        <f aca="false">IFERROR(IF([1]筐子库存汇总!$E$43=0,"",[1]筐子库存汇总!$E$43),"")</f>
        <v/>
      </c>
      <c r="F43" s="60" t="str">
        <f aca="false">IFERROR(IF([1]筐子库存汇总!$F$43=0,"",[1]筐子库存汇总!$F$43),"")</f>
        <v/>
      </c>
      <c r="G43" s="60" t="str">
        <f aca="false">IFERROR(IF([1]筐子库存汇总!$G$43=0,"",[1]筐子库存汇总!$G$43),"")</f>
        <v/>
      </c>
      <c r="H43" s="60" t="str">
        <f aca="false">IFERROR(IF([1]筐子库存汇总!$H$43=0,"",[1]筐子库存汇总!$H$43),"")</f>
        <v/>
      </c>
      <c r="I43" s="60" t="str">
        <f aca="false">IFERROR(IF([1]筐子库存汇总!$I$43=0,"",[1]筐子库存汇总!$I$43),"")</f>
        <v/>
      </c>
      <c r="J43" s="60" t="str">
        <f aca="false">IFERROR(IF([1]筐子库存汇总!$J$43=0,"",[1]筐子库存汇总!$J$43),"")</f>
        <v/>
      </c>
      <c r="K43" s="60" t="str">
        <f aca="false">IFERROR(IF([1]筐子库存汇总!$K$43=0,"",[1]筐子库存汇总!$K$43),"")</f>
        <v/>
      </c>
      <c r="L43" s="60" t="str">
        <f aca="false">IFERROR(IF([1]筐子库存汇总!$L$43=0,"",[1]筐子库存汇总!$L$43),"")</f>
        <v/>
      </c>
      <c r="M43" s="59" t="str">
        <f aca="false">IFERROR(IF([1]筐子库存汇总!$M$43=0,"",[1]筐子库存汇总!$M$43),"")</f>
        <v/>
      </c>
    </row>
    <row r="44" customFormat="false" ht="13.5" hidden="false" customHeight="false" outlineLevel="0" collapsed="false">
      <c r="A44" s="59" t="str">
        <f aca="false">IFERROR(IF([1]筐子库存汇总!$A$44=0,"",[1]筐子库存汇总!$A$44),"")</f>
        <v/>
      </c>
      <c r="B44" s="97" t="str">
        <f aca="false">IFERROR(IF([1]筐子库存汇总!$B$44=0,"",[1]筐子库存汇总!$B$44),"")</f>
        <v/>
      </c>
      <c r="C44" s="60" t="str">
        <f aca="false">IFERROR(IF([1]筐子库存汇总!$C$44=0,"",[1]筐子库存汇总!$C$44),"")</f>
        <v/>
      </c>
      <c r="D44" s="60" t="str">
        <f aca="false">IFERROR(IF([1]筐子库存汇总!$D$44=0,"",[1]筐子库存汇总!$D$44),"")</f>
        <v/>
      </c>
      <c r="E44" s="98" t="str">
        <f aca="false">IFERROR(IF([1]筐子库存汇总!$E$44=0,"",[1]筐子库存汇总!$E$44),"")</f>
        <v/>
      </c>
      <c r="F44" s="60" t="str">
        <f aca="false">IFERROR(IF([1]筐子库存汇总!$F$44=0,"",[1]筐子库存汇总!$F$44),"")</f>
        <v/>
      </c>
      <c r="G44" s="60" t="str">
        <f aca="false">IFERROR(IF([1]筐子库存汇总!$G$44=0,"",[1]筐子库存汇总!$G$44),"")</f>
        <v/>
      </c>
      <c r="H44" s="60" t="str">
        <f aca="false">IFERROR(IF([1]筐子库存汇总!$H$44=0,"",[1]筐子库存汇总!$H$44),"")</f>
        <v/>
      </c>
      <c r="I44" s="60" t="str">
        <f aca="false">IFERROR(IF([1]筐子库存汇总!$I$44=0,"",[1]筐子库存汇总!$I$44),"")</f>
        <v/>
      </c>
      <c r="J44" s="60" t="str">
        <f aca="false">IFERROR(IF([1]筐子库存汇总!$J$44=0,"",[1]筐子库存汇总!$J$44),"")</f>
        <v/>
      </c>
      <c r="K44" s="60" t="str">
        <f aca="false">IFERROR(IF([1]筐子库存汇总!$K$44=0,"",[1]筐子库存汇总!$K$44),"")</f>
        <v/>
      </c>
      <c r="L44" s="60" t="str">
        <f aca="false">IFERROR(IF([1]筐子库存汇总!$L$44=0,"",[1]筐子库存汇总!$L$44),"")</f>
        <v/>
      </c>
      <c r="M44" s="59" t="str">
        <f aca="false">IFERROR(IF([1]筐子库存汇总!$M$44=0,"",[1]筐子库存汇总!$M$44),"")</f>
        <v/>
      </c>
    </row>
    <row r="45" customFormat="false" ht="13.5" hidden="false" customHeight="false" outlineLevel="0" collapsed="false">
      <c r="A45" s="59" t="str">
        <f aca="false">IFERROR(IF([1]筐子库存汇总!$A$45=0,"",[1]筐子库存汇总!$A$45),"")</f>
        <v/>
      </c>
      <c r="B45" s="97" t="str">
        <f aca="false">IFERROR(IF([1]筐子库存汇总!$B$45=0,"",[1]筐子库存汇总!$B$45),"")</f>
        <v/>
      </c>
      <c r="C45" s="60" t="str">
        <f aca="false">IFERROR(IF([1]筐子库存汇总!$C$45=0,"",[1]筐子库存汇总!$C$45),"")</f>
        <v/>
      </c>
      <c r="D45" s="60" t="str">
        <f aca="false">IFERROR(IF([1]筐子库存汇总!$D$45=0,"",[1]筐子库存汇总!$D$45),"")</f>
        <v/>
      </c>
      <c r="E45" s="98" t="str">
        <f aca="false">IFERROR(IF([1]筐子库存汇总!$E$45=0,"",[1]筐子库存汇总!$E$45),"")</f>
        <v/>
      </c>
      <c r="F45" s="60" t="str">
        <f aca="false">IFERROR(IF([1]筐子库存汇总!$F$45=0,"",[1]筐子库存汇总!$F$45),"")</f>
        <v/>
      </c>
      <c r="G45" s="60" t="str">
        <f aca="false">IFERROR(IF([1]筐子库存汇总!$G$45=0,"",[1]筐子库存汇总!$G$45),"")</f>
        <v/>
      </c>
      <c r="H45" s="60" t="str">
        <f aca="false">IFERROR(IF([1]筐子库存汇总!$H$45=0,"",[1]筐子库存汇总!$H$45),"")</f>
        <v/>
      </c>
      <c r="I45" s="60" t="str">
        <f aca="false">IFERROR(IF([1]筐子库存汇总!$I$45=0,"",[1]筐子库存汇总!$I$45),"")</f>
        <v/>
      </c>
      <c r="J45" s="60" t="str">
        <f aca="false">IFERROR(IF([1]筐子库存汇总!$J$45=0,"",[1]筐子库存汇总!$J$45),"")</f>
        <v/>
      </c>
      <c r="K45" s="60" t="str">
        <f aca="false">IFERROR(IF([1]筐子库存汇总!$K$45=0,"",[1]筐子库存汇总!$K$45),"")</f>
        <v/>
      </c>
      <c r="L45" s="60" t="str">
        <f aca="false">IFERROR(IF([1]筐子库存汇总!$L$45=0,"",[1]筐子库存汇总!$L$45),"")</f>
        <v/>
      </c>
      <c r="M45" s="59" t="str">
        <f aca="false">IFERROR(IF([1]筐子库存汇总!$M$45=0,"",[1]筐子库存汇总!$M$45),"")</f>
        <v/>
      </c>
    </row>
    <row r="46" customFormat="false" ht="13.5" hidden="false" customHeight="false" outlineLevel="0" collapsed="false">
      <c r="A46" s="59" t="str">
        <f aca="false">IFERROR(IF([1]筐子库存汇总!$A$46=0,"",[1]筐子库存汇总!$A$46),"")</f>
        <v/>
      </c>
      <c r="B46" s="97" t="str">
        <f aca="false">IFERROR(IF([1]筐子库存汇总!$B$46=0,"",[1]筐子库存汇总!$B$46),"")</f>
        <v/>
      </c>
      <c r="C46" s="60" t="str">
        <f aca="false">IFERROR(IF([1]筐子库存汇总!$C$46=0,"",[1]筐子库存汇总!$C$46),"")</f>
        <v/>
      </c>
      <c r="D46" s="60" t="str">
        <f aca="false">IFERROR(IF([1]筐子库存汇总!$D$46=0,"",[1]筐子库存汇总!$D$46),"")</f>
        <v/>
      </c>
      <c r="E46" s="98" t="str">
        <f aca="false">IFERROR(IF([1]筐子库存汇总!$E$46=0,"",[1]筐子库存汇总!$E$46),"")</f>
        <v/>
      </c>
      <c r="F46" s="60" t="str">
        <f aca="false">IFERROR(IF([1]筐子库存汇总!$F$46=0,"",[1]筐子库存汇总!$F$46),"")</f>
        <v/>
      </c>
      <c r="G46" s="60" t="str">
        <f aca="false">IFERROR(IF([1]筐子库存汇总!$G$46=0,"",[1]筐子库存汇总!$G$46),"")</f>
        <v/>
      </c>
      <c r="H46" s="60" t="str">
        <f aca="false">IFERROR(IF([1]筐子库存汇总!$H$46=0,"",[1]筐子库存汇总!$H$46),"")</f>
        <v/>
      </c>
      <c r="I46" s="60" t="str">
        <f aca="false">IFERROR(IF([1]筐子库存汇总!$I$46=0,"",[1]筐子库存汇总!$I$46),"")</f>
        <v/>
      </c>
      <c r="J46" s="60" t="str">
        <f aca="false">IFERROR(IF([1]筐子库存汇总!$J$46=0,"",[1]筐子库存汇总!$J$46),"")</f>
        <v/>
      </c>
      <c r="K46" s="60" t="str">
        <f aca="false">IFERROR(IF([1]筐子库存汇总!$K$46=0,"",[1]筐子库存汇总!$K$46),"")</f>
        <v/>
      </c>
      <c r="L46" s="60" t="str">
        <f aca="false">IFERROR(IF([1]筐子库存汇总!$L$46=0,"",[1]筐子库存汇总!$L$46),"")</f>
        <v/>
      </c>
      <c r="M46" s="59" t="str">
        <f aca="false">IFERROR(IF([1]筐子库存汇总!$M$46=0,"",[1]筐子库存汇总!$M$46),"")</f>
        <v/>
      </c>
    </row>
    <row r="47" customFormat="false" ht="13.5" hidden="false" customHeight="false" outlineLevel="0" collapsed="false">
      <c r="A47" s="59" t="str">
        <f aca="false">IFERROR(IF([1]筐子库存汇总!$A$47=0,"",[1]筐子库存汇总!$A$47),"")</f>
        <v/>
      </c>
      <c r="B47" s="97" t="str">
        <f aca="false">IFERROR(IF([1]筐子库存汇总!$B$47=0,"",[1]筐子库存汇总!$B$47),"")</f>
        <v/>
      </c>
      <c r="C47" s="60" t="str">
        <f aca="false">IFERROR(IF([1]筐子库存汇总!$C$47=0,"",[1]筐子库存汇总!$C$47),"")</f>
        <v/>
      </c>
      <c r="D47" s="60" t="str">
        <f aca="false">IFERROR(IF([1]筐子库存汇总!$D$47=0,"",[1]筐子库存汇总!$D$47),"")</f>
        <v/>
      </c>
      <c r="E47" s="98" t="str">
        <f aca="false">IFERROR(IF([1]筐子库存汇总!$E$47=0,"",[1]筐子库存汇总!$E$47),"")</f>
        <v/>
      </c>
      <c r="F47" s="60" t="str">
        <f aca="false">IFERROR(IF([1]筐子库存汇总!$F$47=0,"",[1]筐子库存汇总!$F$47),"")</f>
        <v/>
      </c>
      <c r="G47" s="60" t="str">
        <f aca="false">IFERROR(IF([1]筐子库存汇总!$G$47=0,"",[1]筐子库存汇总!$G$47),"")</f>
        <v/>
      </c>
      <c r="H47" s="60" t="str">
        <f aca="false">IFERROR(IF([1]筐子库存汇总!$H$47=0,"",[1]筐子库存汇总!$H$47),"")</f>
        <v/>
      </c>
      <c r="I47" s="60" t="str">
        <f aca="false">IFERROR(IF([1]筐子库存汇总!$I$47=0,"",[1]筐子库存汇总!$I$47),"")</f>
        <v/>
      </c>
      <c r="J47" s="60" t="str">
        <f aca="false">IFERROR(IF([1]筐子库存汇总!$J$47=0,"",[1]筐子库存汇总!$J$47),"")</f>
        <v/>
      </c>
      <c r="K47" s="60" t="str">
        <f aca="false">IFERROR(IF([1]筐子库存汇总!$K$47=0,"",[1]筐子库存汇总!$K$47),"")</f>
        <v/>
      </c>
      <c r="L47" s="60" t="str">
        <f aca="false">IFERROR(IF([1]筐子库存汇总!$L$47=0,"",[1]筐子库存汇总!$L$47),"")</f>
        <v/>
      </c>
      <c r="M47" s="59" t="str">
        <f aca="false">IFERROR(IF([1]筐子库存汇总!$M$47=0,"",[1]筐子库存汇总!$M$47),"")</f>
        <v/>
      </c>
    </row>
    <row r="48" customFormat="false" ht="13.5" hidden="false" customHeight="false" outlineLevel="0" collapsed="false">
      <c r="A48" s="59" t="str">
        <f aca="false">IFERROR(IF([1]筐子库存汇总!$A$48=0,"",[1]筐子库存汇总!$A$48),"")</f>
        <v/>
      </c>
      <c r="B48" s="97" t="str">
        <f aca="false">IFERROR(IF([1]筐子库存汇总!$B$48=0,"",[1]筐子库存汇总!$B$48),"")</f>
        <v/>
      </c>
      <c r="C48" s="60" t="str">
        <f aca="false">IFERROR(IF([1]筐子库存汇总!$C$48=0,"",[1]筐子库存汇总!$C$48),"")</f>
        <v/>
      </c>
      <c r="D48" s="60" t="str">
        <f aca="false">IFERROR(IF([1]筐子库存汇总!$D$48=0,"",[1]筐子库存汇总!$D$48),"")</f>
        <v/>
      </c>
      <c r="E48" s="98" t="str">
        <f aca="false">IFERROR(IF([1]筐子库存汇总!$E$48=0,"",[1]筐子库存汇总!$E$48),"")</f>
        <v/>
      </c>
      <c r="F48" s="60" t="str">
        <f aca="false">IFERROR(IF([1]筐子库存汇总!$F$48=0,"",[1]筐子库存汇总!$F$48),"")</f>
        <v/>
      </c>
      <c r="G48" s="60" t="str">
        <f aca="false">IFERROR(IF([1]筐子库存汇总!$G$48=0,"",[1]筐子库存汇总!$G$48),"")</f>
        <v/>
      </c>
      <c r="H48" s="60" t="str">
        <f aca="false">IFERROR(IF([1]筐子库存汇总!$H$48=0,"",[1]筐子库存汇总!$H$48),"")</f>
        <v/>
      </c>
      <c r="I48" s="60" t="str">
        <f aca="false">IFERROR(IF([1]筐子库存汇总!$I$48=0,"",[1]筐子库存汇总!$I$48),"")</f>
        <v/>
      </c>
      <c r="J48" s="60" t="str">
        <f aca="false">IFERROR(IF([1]筐子库存汇总!$J$48=0,"",[1]筐子库存汇总!$J$48),"")</f>
        <v/>
      </c>
      <c r="K48" s="60" t="str">
        <f aca="false">IFERROR(IF([1]筐子库存汇总!$K$48=0,"",[1]筐子库存汇总!$K$48),"")</f>
        <v/>
      </c>
      <c r="L48" s="60" t="str">
        <f aca="false">IFERROR(IF([1]筐子库存汇总!$L$48=0,"",[1]筐子库存汇总!$L$48),"")</f>
        <v/>
      </c>
      <c r="M48" s="59" t="str">
        <f aca="false">IFERROR(IF([1]筐子库存汇总!$M$48=0,"",[1]筐子库存汇总!$M$48),"")</f>
        <v/>
      </c>
    </row>
    <row r="49" customFormat="false" ht="13.5" hidden="false" customHeight="false" outlineLevel="0" collapsed="false">
      <c r="A49" s="59" t="str">
        <f aca="false">IFERROR(IF([1]筐子库存汇总!$A$49=0,"",[1]筐子库存汇总!$A$49),"")</f>
        <v/>
      </c>
      <c r="B49" s="97" t="str">
        <f aca="false">IFERROR(IF([1]筐子库存汇总!$B$49=0,"",[1]筐子库存汇总!$B$49),"")</f>
        <v/>
      </c>
      <c r="C49" s="60" t="str">
        <f aca="false">IFERROR(IF([1]筐子库存汇总!$C$49=0,"",[1]筐子库存汇总!$C$49),"")</f>
        <v/>
      </c>
      <c r="D49" s="60" t="str">
        <f aca="false">IFERROR(IF([1]筐子库存汇总!$D$49=0,"",[1]筐子库存汇总!$D$49),"")</f>
        <v/>
      </c>
      <c r="E49" s="98" t="str">
        <f aca="false">IFERROR(IF([1]筐子库存汇总!$E$49=0,"",[1]筐子库存汇总!$E$49),"")</f>
        <v/>
      </c>
      <c r="F49" s="60" t="str">
        <f aca="false">IFERROR(IF([1]筐子库存汇总!$F$49=0,"",[1]筐子库存汇总!$F$49),"")</f>
        <v/>
      </c>
      <c r="G49" s="60" t="str">
        <f aca="false">IFERROR(IF([1]筐子库存汇总!$G$49=0,"",[1]筐子库存汇总!$G$49),"")</f>
        <v/>
      </c>
      <c r="H49" s="60" t="str">
        <f aca="false">IFERROR(IF([1]筐子库存汇总!$H$49=0,"",[1]筐子库存汇总!$H$49),"")</f>
        <v/>
      </c>
      <c r="I49" s="60" t="str">
        <f aca="false">IFERROR(IF([1]筐子库存汇总!$I$49=0,"",[1]筐子库存汇总!$I$49),"")</f>
        <v/>
      </c>
      <c r="J49" s="60" t="str">
        <f aca="false">IFERROR(IF([1]筐子库存汇总!$J$49=0,"",[1]筐子库存汇总!$J$49),"")</f>
        <v/>
      </c>
      <c r="K49" s="60" t="str">
        <f aca="false">IFERROR(IF([1]筐子库存汇总!$K$49=0,"",[1]筐子库存汇总!$K$49),"")</f>
        <v/>
      </c>
      <c r="L49" s="60" t="str">
        <f aca="false">IFERROR(IF([1]筐子库存汇总!$L$49=0,"",[1]筐子库存汇总!$L$49),"")</f>
        <v/>
      </c>
      <c r="M49" s="59" t="str">
        <f aca="false">IFERROR(IF([1]筐子库存汇总!$M$49=0,"",[1]筐子库存汇总!$M$49),"")</f>
        <v/>
      </c>
    </row>
    <row r="50" customFormat="false" ht="13.5" hidden="false" customHeight="false" outlineLevel="0" collapsed="false">
      <c r="A50" s="59" t="str">
        <f aca="false">IFERROR(IF([1]筐子库存汇总!$A$50=0,"",[1]筐子库存汇总!$A$50),"")</f>
        <v/>
      </c>
      <c r="B50" s="97" t="str">
        <f aca="false">IFERROR(IF([1]筐子库存汇总!$B$50=0,"",[1]筐子库存汇总!$B$50),"")</f>
        <v/>
      </c>
      <c r="C50" s="60" t="str">
        <f aca="false">IFERROR(IF([1]筐子库存汇总!$C$50=0,"",[1]筐子库存汇总!$C$50),"")</f>
        <v/>
      </c>
      <c r="D50" s="60" t="str">
        <f aca="false">IFERROR(IF([1]筐子库存汇总!$D$50=0,"",[1]筐子库存汇总!$D$50),"")</f>
        <v/>
      </c>
      <c r="E50" s="98" t="str">
        <f aca="false">IFERROR(IF([1]筐子库存汇总!$E$50=0,"",[1]筐子库存汇总!$E$50),"")</f>
        <v/>
      </c>
      <c r="F50" s="60" t="str">
        <f aca="false">IFERROR(IF([1]筐子库存汇总!$F$50=0,"",[1]筐子库存汇总!$F$50),"")</f>
        <v/>
      </c>
      <c r="G50" s="60" t="str">
        <f aca="false">IFERROR(IF([1]筐子库存汇总!$G$50=0,"",[1]筐子库存汇总!$G$50),"")</f>
        <v/>
      </c>
      <c r="H50" s="60" t="str">
        <f aca="false">IFERROR(IF([1]筐子库存汇总!$H$50=0,"",[1]筐子库存汇总!$H$50),"")</f>
        <v/>
      </c>
      <c r="I50" s="60" t="str">
        <f aca="false">IFERROR(IF([1]筐子库存汇总!$I$50=0,"",[1]筐子库存汇总!$I$50),"")</f>
        <v/>
      </c>
      <c r="J50" s="60" t="str">
        <f aca="false">IFERROR(IF([1]筐子库存汇总!$J$50=0,"",[1]筐子库存汇总!$J$50),"")</f>
        <v/>
      </c>
      <c r="K50" s="60" t="str">
        <f aca="false">IFERROR(IF([1]筐子库存汇总!$K$50=0,"",[1]筐子库存汇总!$K$50),"")</f>
        <v/>
      </c>
      <c r="L50" s="60" t="str">
        <f aca="false">IFERROR(IF([1]筐子库存汇总!$L$50=0,"",[1]筐子库存汇总!$L$50),"")</f>
        <v/>
      </c>
      <c r="M50" s="59" t="str">
        <f aca="false">IFERROR(IF([1]筐子库存汇总!$M$50=0,"",[1]筐子库存汇总!$M$50),"")</f>
        <v/>
      </c>
    </row>
    <row r="51" customFormat="false" ht="13.5" hidden="false" customHeight="false" outlineLevel="0" collapsed="false">
      <c r="A51" s="59" t="str">
        <f aca="false">IFERROR(IF([1]筐子库存汇总!$A$51=0,"",[1]筐子库存汇总!$A$51),"")</f>
        <v/>
      </c>
      <c r="B51" s="97" t="str">
        <f aca="false">IFERROR(IF([1]筐子库存汇总!$B$51=0,"",[1]筐子库存汇总!$B$51),"")</f>
        <v/>
      </c>
      <c r="C51" s="60" t="str">
        <f aca="false">IFERROR(IF([1]筐子库存汇总!$C$51=0,"",[1]筐子库存汇总!$C$51),"")</f>
        <v/>
      </c>
      <c r="D51" s="60" t="str">
        <f aca="false">IFERROR(IF([1]筐子库存汇总!$D$51=0,"",[1]筐子库存汇总!$D$51),"")</f>
        <v/>
      </c>
      <c r="E51" s="98" t="str">
        <f aca="false">IFERROR(IF([1]筐子库存汇总!$E$51=0,"",[1]筐子库存汇总!$E$51),"")</f>
        <v/>
      </c>
      <c r="F51" s="60" t="str">
        <f aca="false">IFERROR(IF([1]筐子库存汇总!$F$51=0,"",[1]筐子库存汇总!$F$51),"")</f>
        <v/>
      </c>
      <c r="G51" s="60" t="str">
        <f aca="false">IFERROR(IF([1]筐子库存汇总!$G$51=0,"",[1]筐子库存汇总!$G$51),"")</f>
        <v/>
      </c>
      <c r="H51" s="60" t="str">
        <f aca="false">IFERROR(IF([1]筐子库存汇总!$H$51=0,"",[1]筐子库存汇总!$H$51),"")</f>
        <v/>
      </c>
      <c r="I51" s="60" t="str">
        <f aca="false">IFERROR(IF([1]筐子库存汇总!$I$51=0,"",[1]筐子库存汇总!$I$51),"")</f>
        <v/>
      </c>
      <c r="J51" s="60" t="str">
        <f aca="false">IFERROR(IF([1]筐子库存汇总!$J$51=0,"",[1]筐子库存汇总!$J$51),"")</f>
        <v/>
      </c>
      <c r="K51" s="60" t="str">
        <f aca="false">IFERROR(IF([1]筐子库存汇总!$K$51=0,"",[1]筐子库存汇总!$K$51),"")</f>
        <v/>
      </c>
      <c r="L51" s="60" t="str">
        <f aca="false">IFERROR(IF([1]筐子库存汇总!$L$51=0,"",[1]筐子库存汇总!$L$51),"")</f>
        <v/>
      </c>
      <c r="M51" s="59" t="str">
        <f aca="false">IFERROR(IF([1]筐子库存汇总!$M$51=0,"",[1]筐子库存汇总!$M$51),"")</f>
        <v/>
      </c>
    </row>
    <row r="52" customFormat="false" ht="13.5" hidden="false" customHeight="false" outlineLevel="0" collapsed="false">
      <c r="A52" s="59" t="str">
        <f aca="false">IFERROR(IF([1]筐子库存汇总!$A$52=0,"",[1]筐子库存汇总!$A$52),"")</f>
        <v/>
      </c>
      <c r="B52" s="97" t="str">
        <f aca="false">IFERROR(IF([1]筐子库存汇总!$B$52=0,"",[1]筐子库存汇总!$B$52),"")</f>
        <v/>
      </c>
      <c r="C52" s="60" t="str">
        <f aca="false">IFERROR(IF([1]筐子库存汇总!$C$52=0,"",[1]筐子库存汇总!$C$52),"")</f>
        <v/>
      </c>
      <c r="D52" s="60" t="str">
        <f aca="false">IFERROR(IF([1]筐子库存汇总!$D$52=0,"",[1]筐子库存汇总!$D$52),"")</f>
        <v/>
      </c>
      <c r="E52" s="98" t="str">
        <f aca="false">IFERROR(IF([1]筐子库存汇总!$E$52=0,"",[1]筐子库存汇总!$E$52),"")</f>
        <v/>
      </c>
      <c r="F52" s="60" t="str">
        <f aca="false">IFERROR(IF([1]筐子库存汇总!$F$52=0,"",[1]筐子库存汇总!$F$52),"")</f>
        <v/>
      </c>
      <c r="G52" s="60" t="str">
        <f aca="false">IFERROR(IF([1]筐子库存汇总!$G$52=0,"",[1]筐子库存汇总!$G$52),"")</f>
        <v/>
      </c>
      <c r="H52" s="60" t="str">
        <f aca="false">IFERROR(IF([1]筐子库存汇总!$H$52=0,"",[1]筐子库存汇总!$H$52),"")</f>
        <v/>
      </c>
      <c r="I52" s="60" t="str">
        <f aca="false">IFERROR(IF([1]筐子库存汇总!$I$52=0,"",[1]筐子库存汇总!$I$52),"")</f>
        <v/>
      </c>
      <c r="J52" s="60" t="str">
        <f aca="false">IFERROR(IF([1]筐子库存汇总!$J$52=0,"",[1]筐子库存汇总!$J$52),"")</f>
        <v/>
      </c>
      <c r="K52" s="60" t="str">
        <f aca="false">IFERROR(IF([1]筐子库存汇总!$K$52=0,"",[1]筐子库存汇总!$K$52),"")</f>
        <v/>
      </c>
      <c r="L52" s="60" t="str">
        <f aca="false">IFERROR(IF([1]筐子库存汇总!$L$52=0,"",[1]筐子库存汇总!$L$52),"")</f>
        <v/>
      </c>
      <c r="M52" s="59" t="str">
        <f aca="false">IFERROR(IF([1]筐子库存汇总!$M$52=0,"",[1]筐子库存汇总!$M$52),"")</f>
        <v/>
      </c>
    </row>
    <row r="53" customFormat="false" ht="13.5" hidden="false" customHeight="false" outlineLevel="0" collapsed="false">
      <c r="A53" s="59" t="str">
        <f aca="false">IFERROR(IF([1]筐子库存汇总!$A$53=0,"",[1]筐子库存汇总!$A$53),"")</f>
        <v/>
      </c>
      <c r="B53" s="97" t="str">
        <f aca="false">IFERROR(IF([1]筐子库存汇总!$B$53=0,"",[1]筐子库存汇总!$B$53),"")</f>
        <v/>
      </c>
      <c r="C53" s="60" t="str">
        <f aca="false">IFERROR(IF([1]筐子库存汇总!$C$53=0,"",[1]筐子库存汇总!$C$53),"")</f>
        <v/>
      </c>
      <c r="D53" s="60" t="str">
        <f aca="false">IFERROR(IF([1]筐子库存汇总!$D$53=0,"",[1]筐子库存汇总!$D$53),"")</f>
        <v/>
      </c>
      <c r="E53" s="98" t="str">
        <f aca="false">IFERROR(IF([1]筐子库存汇总!$E$53=0,"",[1]筐子库存汇总!$E$53),"")</f>
        <v/>
      </c>
      <c r="F53" s="60" t="str">
        <f aca="false">IFERROR(IF([1]筐子库存汇总!$F$53=0,"",[1]筐子库存汇总!$F$53),"")</f>
        <v/>
      </c>
      <c r="G53" s="60" t="str">
        <f aca="false">IFERROR(IF([1]筐子库存汇总!$G$53=0,"",[1]筐子库存汇总!$G$53),"")</f>
        <v/>
      </c>
      <c r="H53" s="60" t="str">
        <f aca="false">IFERROR(IF([1]筐子库存汇总!$H$53=0,"",[1]筐子库存汇总!$H$53),"")</f>
        <v/>
      </c>
      <c r="I53" s="60" t="str">
        <f aca="false">IFERROR(IF([1]筐子库存汇总!$I$53=0,"",[1]筐子库存汇总!$I$53),"")</f>
        <v/>
      </c>
      <c r="J53" s="60" t="str">
        <f aca="false">IFERROR(IF([1]筐子库存汇总!$J$53=0,"",[1]筐子库存汇总!$J$53),"")</f>
        <v/>
      </c>
      <c r="K53" s="60" t="str">
        <f aca="false">IFERROR(IF([1]筐子库存汇总!$K$53=0,"",[1]筐子库存汇总!$K$53),"")</f>
        <v/>
      </c>
      <c r="L53" s="60" t="str">
        <f aca="false">IFERROR(IF([1]筐子库存汇总!$L$53=0,"",[1]筐子库存汇总!$L$53),"")</f>
        <v/>
      </c>
      <c r="M53" s="59" t="str">
        <f aca="false">IFERROR(IF([1]筐子库存汇总!$M$53=0,"",[1]筐子库存汇总!$M$53),"")</f>
        <v/>
      </c>
    </row>
    <row r="54" customFormat="false" ht="13.5" hidden="false" customHeight="false" outlineLevel="0" collapsed="false">
      <c r="A54" s="59" t="str">
        <f aca="false">IFERROR(IF([1]筐子库存汇总!$A$54=0,"",[1]筐子库存汇总!$A$54),"")</f>
        <v/>
      </c>
      <c r="B54" s="97" t="str">
        <f aca="false">IFERROR(IF([1]筐子库存汇总!$B$54=0,"",[1]筐子库存汇总!$B$54),"")</f>
        <v/>
      </c>
      <c r="C54" s="60" t="str">
        <f aca="false">IFERROR(IF([1]筐子库存汇总!$C$54=0,"",[1]筐子库存汇总!$C$54),"")</f>
        <v/>
      </c>
      <c r="D54" s="60" t="str">
        <f aca="false">IFERROR(IF([1]筐子库存汇总!$D$54=0,"",[1]筐子库存汇总!$D$54),"")</f>
        <v/>
      </c>
      <c r="E54" s="98" t="str">
        <f aca="false">IFERROR(IF([1]筐子库存汇总!$E$54=0,"",[1]筐子库存汇总!$E$54),"")</f>
        <v/>
      </c>
      <c r="F54" s="60" t="str">
        <f aca="false">IFERROR(IF([1]筐子库存汇总!$F$54=0,"",[1]筐子库存汇总!$F$54),"")</f>
        <v/>
      </c>
      <c r="G54" s="60" t="str">
        <f aca="false">IFERROR(IF([1]筐子库存汇总!$G$54=0,"",[1]筐子库存汇总!$G$54),"")</f>
        <v/>
      </c>
      <c r="H54" s="60" t="str">
        <f aca="false">IFERROR(IF([1]筐子库存汇总!$H$54=0,"",[1]筐子库存汇总!$H$54),"")</f>
        <v/>
      </c>
      <c r="I54" s="60" t="str">
        <f aca="false">IFERROR(IF([1]筐子库存汇总!$I$54=0,"",[1]筐子库存汇总!$I$54),"")</f>
        <v/>
      </c>
      <c r="J54" s="60" t="str">
        <f aca="false">IFERROR(IF([1]筐子库存汇总!$J$54=0,"",[1]筐子库存汇总!$J$54),"")</f>
        <v/>
      </c>
      <c r="K54" s="60" t="str">
        <f aca="false">IFERROR(IF([1]筐子库存汇总!$K$54=0,"",[1]筐子库存汇总!$K$54),"")</f>
        <v/>
      </c>
      <c r="L54" s="60" t="str">
        <f aca="false">IFERROR(IF([1]筐子库存汇总!$L$54=0,"",[1]筐子库存汇总!$L$54),"")</f>
        <v/>
      </c>
      <c r="M54" s="59" t="str">
        <f aca="false">IFERROR(IF([1]筐子库存汇总!$M$54=0,"",[1]筐子库存汇总!$M$54),"")</f>
        <v/>
      </c>
    </row>
    <row r="55" customFormat="false" ht="13.5" hidden="false" customHeight="false" outlineLevel="0" collapsed="false">
      <c r="A55" s="59" t="str">
        <f aca="false">IFERROR(IF([1]筐子库存汇总!$A$55=0,"",[1]筐子库存汇总!$A$55),"")</f>
        <v/>
      </c>
      <c r="B55" s="97" t="str">
        <f aca="false">IFERROR(IF([1]筐子库存汇总!$B$55=0,"",[1]筐子库存汇总!$B$55),"")</f>
        <v/>
      </c>
      <c r="C55" s="60" t="str">
        <f aca="false">IFERROR(IF([1]筐子库存汇总!$C$55=0,"",[1]筐子库存汇总!$C$55),"")</f>
        <v/>
      </c>
      <c r="D55" s="60" t="str">
        <f aca="false">IFERROR(IF([1]筐子库存汇总!$D$55=0,"",[1]筐子库存汇总!$D$55),"")</f>
        <v/>
      </c>
      <c r="E55" s="98" t="str">
        <f aca="false">IFERROR(IF([1]筐子库存汇总!$E$55=0,"",[1]筐子库存汇总!$E$55),"")</f>
        <v/>
      </c>
      <c r="F55" s="60" t="str">
        <f aca="false">IFERROR(IF([1]筐子库存汇总!$F$55=0,"",[1]筐子库存汇总!$F$55),"")</f>
        <v/>
      </c>
      <c r="G55" s="60" t="str">
        <f aca="false">IFERROR(IF([1]筐子库存汇总!$G$55=0,"",[1]筐子库存汇总!$G$55),"")</f>
        <v/>
      </c>
      <c r="H55" s="60" t="str">
        <f aca="false">IFERROR(IF([1]筐子库存汇总!$H$55=0,"",[1]筐子库存汇总!$H$55),"")</f>
        <v/>
      </c>
      <c r="I55" s="60" t="str">
        <f aca="false">IFERROR(IF([1]筐子库存汇总!$I$55=0,"",[1]筐子库存汇总!$I$55),"")</f>
        <v/>
      </c>
      <c r="J55" s="60" t="str">
        <f aca="false">IFERROR(IF([1]筐子库存汇总!$J$55=0,"",[1]筐子库存汇总!$J$55),"")</f>
        <v/>
      </c>
      <c r="K55" s="60" t="str">
        <f aca="false">IFERROR(IF([1]筐子库存汇总!$K$55=0,"",[1]筐子库存汇总!$K$55),"")</f>
        <v/>
      </c>
      <c r="L55" s="60" t="str">
        <f aca="false">IFERROR(IF([1]筐子库存汇总!$L$55=0,"",[1]筐子库存汇总!$L$55),"")</f>
        <v/>
      </c>
      <c r="M55" s="59" t="str">
        <f aca="false">IFERROR(IF([1]筐子库存汇总!$M$55=0,"",[1]筐子库存汇总!$M$55),"")</f>
        <v/>
      </c>
    </row>
    <row r="56" customFormat="false" ht="13.5" hidden="false" customHeight="false" outlineLevel="0" collapsed="false">
      <c r="A56" s="59" t="str">
        <f aca="false">IFERROR(IF([1]筐子库存汇总!$A$56=0,"",[1]筐子库存汇总!$A$56),"")</f>
        <v/>
      </c>
      <c r="B56" s="97" t="str">
        <f aca="false">IFERROR(IF([1]筐子库存汇总!$B$56=0,"",[1]筐子库存汇总!$B$56),"")</f>
        <v/>
      </c>
      <c r="C56" s="60" t="str">
        <f aca="false">IFERROR(IF([1]筐子库存汇总!$C$56=0,"",[1]筐子库存汇总!$C$56),"")</f>
        <v/>
      </c>
      <c r="D56" s="60" t="str">
        <f aca="false">IFERROR(IF([1]筐子库存汇总!$D$56=0,"",[1]筐子库存汇总!$D$56),"")</f>
        <v/>
      </c>
      <c r="E56" s="98" t="str">
        <f aca="false">IFERROR(IF([1]筐子库存汇总!$E$56=0,"",[1]筐子库存汇总!$E$56),"")</f>
        <v/>
      </c>
      <c r="F56" s="60" t="str">
        <f aca="false">IFERROR(IF([1]筐子库存汇总!$F$56=0,"",[1]筐子库存汇总!$F$56),"")</f>
        <v/>
      </c>
      <c r="G56" s="60" t="str">
        <f aca="false">IFERROR(IF([1]筐子库存汇总!$G$56=0,"",[1]筐子库存汇总!$G$56),"")</f>
        <v/>
      </c>
      <c r="H56" s="60" t="str">
        <f aca="false">IFERROR(IF([1]筐子库存汇总!$H$56=0,"",[1]筐子库存汇总!$H$56),"")</f>
        <v/>
      </c>
      <c r="I56" s="60" t="str">
        <f aca="false">IFERROR(IF([1]筐子库存汇总!$I$56=0,"",[1]筐子库存汇总!$I$56),"")</f>
        <v/>
      </c>
      <c r="J56" s="60" t="str">
        <f aca="false">IFERROR(IF([1]筐子库存汇总!$J$56=0,"",[1]筐子库存汇总!$J$56),"")</f>
        <v/>
      </c>
      <c r="K56" s="60" t="str">
        <f aca="false">IFERROR(IF([1]筐子库存汇总!$K$56=0,"",[1]筐子库存汇总!$K$56),"")</f>
        <v/>
      </c>
      <c r="L56" s="60" t="str">
        <f aca="false">IFERROR(IF([1]筐子库存汇总!$L$56=0,"",[1]筐子库存汇总!$L$56),"")</f>
        <v/>
      </c>
      <c r="M56" s="59" t="str">
        <f aca="false">IFERROR(IF([1]筐子库存汇总!$M$56=0,"",[1]筐子库存汇总!$M$56),"")</f>
        <v/>
      </c>
    </row>
    <row r="57" customFormat="false" ht="13.5" hidden="false" customHeight="false" outlineLevel="0" collapsed="false">
      <c r="A57" s="59" t="str">
        <f aca="false">IFERROR(IF([1]筐子库存汇总!$A$57=0,"",[1]筐子库存汇总!$A$57),"")</f>
        <v/>
      </c>
      <c r="B57" s="97" t="str">
        <f aca="false">IFERROR(IF([1]筐子库存汇总!$B$57=0,"",[1]筐子库存汇总!$B$57),"")</f>
        <v/>
      </c>
      <c r="C57" s="60" t="str">
        <f aca="false">IFERROR(IF([1]筐子库存汇总!$C$57=0,"",[1]筐子库存汇总!$C$57),"")</f>
        <v/>
      </c>
      <c r="D57" s="60" t="str">
        <f aca="false">IFERROR(IF([1]筐子库存汇总!$D$57=0,"",[1]筐子库存汇总!$D$57),"")</f>
        <v/>
      </c>
      <c r="E57" s="98" t="str">
        <f aca="false">IFERROR(IF([1]筐子库存汇总!$E$57=0,"",[1]筐子库存汇总!$E$57),"")</f>
        <v/>
      </c>
      <c r="F57" s="60" t="str">
        <f aca="false">IFERROR(IF([1]筐子库存汇总!$F$57=0,"",[1]筐子库存汇总!$F$57),"")</f>
        <v/>
      </c>
      <c r="G57" s="60" t="str">
        <f aca="false">IFERROR(IF([1]筐子库存汇总!$G$57=0,"",[1]筐子库存汇总!$G$57),"")</f>
        <v/>
      </c>
      <c r="H57" s="60" t="str">
        <f aca="false">IFERROR(IF([1]筐子库存汇总!$H$57=0,"",[1]筐子库存汇总!$H$57),"")</f>
        <v/>
      </c>
      <c r="I57" s="60" t="str">
        <f aca="false">IFERROR(IF([1]筐子库存汇总!$I$57=0,"",[1]筐子库存汇总!$I$57),"")</f>
        <v/>
      </c>
      <c r="J57" s="60" t="str">
        <f aca="false">IFERROR(IF([1]筐子库存汇总!$J$57=0,"",[1]筐子库存汇总!$J$57),"")</f>
        <v/>
      </c>
      <c r="K57" s="60" t="str">
        <f aca="false">IFERROR(IF([1]筐子库存汇总!$K$57=0,"",[1]筐子库存汇总!$K$57),"")</f>
        <v/>
      </c>
      <c r="L57" s="60" t="str">
        <f aca="false">IFERROR(IF([1]筐子库存汇总!$L$57=0,"",[1]筐子库存汇总!$L$57),"")</f>
        <v/>
      </c>
      <c r="M57" s="59" t="str">
        <f aca="false">IFERROR(IF([1]筐子库存汇总!$M$57=0,"",[1]筐子库存汇总!$M$57),"")</f>
        <v/>
      </c>
    </row>
    <row r="58" customFormat="false" ht="13.5" hidden="false" customHeight="false" outlineLevel="0" collapsed="false">
      <c r="A58" s="59" t="str">
        <f aca="false">IFERROR(IF([1]筐子库存汇总!$A$58=0,"",[1]筐子库存汇总!$A$58),"")</f>
        <v/>
      </c>
      <c r="B58" s="97" t="str">
        <f aca="false">IFERROR(IF([1]筐子库存汇总!$B$58=0,"",[1]筐子库存汇总!$B$58),"")</f>
        <v/>
      </c>
      <c r="C58" s="60" t="str">
        <f aca="false">IFERROR(IF([1]筐子库存汇总!$C$58=0,"",[1]筐子库存汇总!$C$58),"")</f>
        <v/>
      </c>
      <c r="D58" s="60" t="str">
        <f aca="false">IFERROR(IF([1]筐子库存汇总!$D$58=0,"",[1]筐子库存汇总!$D$58),"")</f>
        <v/>
      </c>
      <c r="E58" s="98" t="str">
        <f aca="false">IFERROR(IF([1]筐子库存汇总!$E$58=0,"",[1]筐子库存汇总!$E$58),"")</f>
        <v/>
      </c>
      <c r="F58" s="60" t="str">
        <f aca="false">IFERROR(IF([1]筐子库存汇总!$F$58=0,"",[1]筐子库存汇总!$F$58),"")</f>
        <v/>
      </c>
      <c r="G58" s="60" t="str">
        <f aca="false">IFERROR(IF([1]筐子库存汇总!$G$58=0,"",[1]筐子库存汇总!$G$58),"")</f>
        <v/>
      </c>
      <c r="H58" s="60" t="str">
        <f aca="false">IFERROR(IF([1]筐子库存汇总!$H$58=0,"",[1]筐子库存汇总!$H$58),"")</f>
        <v/>
      </c>
      <c r="I58" s="60" t="str">
        <f aca="false">IFERROR(IF([1]筐子库存汇总!$I$58=0,"",[1]筐子库存汇总!$I$58),"")</f>
        <v/>
      </c>
      <c r="J58" s="60" t="str">
        <f aca="false">IFERROR(IF([1]筐子库存汇总!$J$58=0,"",[1]筐子库存汇总!$J$58),"")</f>
        <v/>
      </c>
      <c r="K58" s="60" t="str">
        <f aca="false">IFERROR(IF([1]筐子库存汇总!$K$58=0,"",[1]筐子库存汇总!$K$58),"")</f>
        <v/>
      </c>
      <c r="L58" s="60" t="str">
        <f aca="false">IFERROR(IF([1]筐子库存汇总!$L$58=0,"",[1]筐子库存汇总!$L$58),"")</f>
        <v/>
      </c>
      <c r="M58" s="59" t="str">
        <f aca="false">IFERROR(IF([1]筐子库存汇总!$M$58=0,"",[1]筐子库存汇总!$M$58),"")</f>
        <v/>
      </c>
    </row>
    <row r="59" customFormat="false" ht="13.5" hidden="false" customHeight="false" outlineLevel="0" collapsed="false">
      <c r="A59" s="59" t="str">
        <f aca="false">IFERROR(IF([1]筐子库存汇总!$A$59=0,"",[1]筐子库存汇总!$A$59),"")</f>
        <v/>
      </c>
      <c r="B59" s="97" t="str">
        <f aca="false">IFERROR(IF([1]筐子库存汇总!$B$59=0,"",[1]筐子库存汇总!$B$59),"")</f>
        <v/>
      </c>
      <c r="C59" s="60" t="str">
        <f aca="false">IFERROR(IF([1]筐子库存汇总!$C$59=0,"",[1]筐子库存汇总!$C$59),"")</f>
        <v/>
      </c>
      <c r="D59" s="60" t="str">
        <f aca="false">IFERROR(IF([1]筐子库存汇总!$D$59=0,"",[1]筐子库存汇总!$D$59),"")</f>
        <v/>
      </c>
      <c r="E59" s="98" t="str">
        <f aca="false">IFERROR(IF([1]筐子库存汇总!$E$59=0,"",[1]筐子库存汇总!$E$59),"")</f>
        <v/>
      </c>
      <c r="F59" s="60" t="str">
        <f aca="false">IFERROR(IF([1]筐子库存汇总!$F$59=0,"",[1]筐子库存汇总!$F$59),"")</f>
        <v/>
      </c>
      <c r="G59" s="60" t="str">
        <f aca="false">IFERROR(IF([1]筐子库存汇总!$G$59=0,"",[1]筐子库存汇总!$G$59),"")</f>
        <v/>
      </c>
      <c r="H59" s="60" t="str">
        <f aca="false">IFERROR(IF([1]筐子库存汇总!$H$59=0,"",[1]筐子库存汇总!$H$59),"")</f>
        <v/>
      </c>
      <c r="I59" s="60" t="str">
        <f aca="false">IFERROR(IF([1]筐子库存汇总!$I$59=0,"",[1]筐子库存汇总!$I$59),"")</f>
        <v/>
      </c>
      <c r="J59" s="60" t="str">
        <f aca="false">IFERROR(IF([1]筐子库存汇总!$J$59=0,"",[1]筐子库存汇总!$J$59),"")</f>
        <v/>
      </c>
      <c r="K59" s="60" t="str">
        <f aca="false">IFERROR(IF([1]筐子库存汇总!$K$59=0,"",[1]筐子库存汇总!$K$59),"")</f>
        <v/>
      </c>
      <c r="L59" s="60" t="str">
        <f aca="false">IFERROR(IF([1]筐子库存汇总!$L$59=0,"",[1]筐子库存汇总!$L$59),"")</f>
        <v/>
      </c>
      <c r="M59" s="59" t="str">
        <f aca="false">IFERROR(IF([1]筐子库存汇总!$M$59=0,"",[1]筐子库存汇总!$M$59),"")</f>
        <v/>
      </c>
    </row>
    <row r="60" customFormat="false" ht="13.5" hidden="false" customHeight="false" outlineLevel="0" collapsed="false">
      <c r="A60" s="59" t="str">
        <f aca="false">IFERROR(IF([1]筐子库存汇总!$A$60=0,"",[1]筐子库存汇总!$A$60),"")</f>
        <v/>
      </c>
      <c r="B60" s="97" t="str">
        <f aca="false">IFERROR(IF([1]筐子库存汇总!$B$60=0,"",[1]筐子库存汇总!$B$60),"")</f>
        <v/>
      </c>
      <c r="C60" s="60" t="str">
        <f aca="false">IFERROR(IF([1]筐子库存汇总!$C$60=0,"",[1]筐子库存汇总!$C$60),"")</f>
        <v/>
      </c>
      <c r="D60" s="60" t="str">
        <f aca="false">IFERROR(IF([1]筐子库存汇总!$D$60=0,"",[1]筐子库存汇总!$D$60),"")</f>
        <v/>
      </c>
      <c r="E60" s="98" t="str">
        <f aca="false">IFERROR(IF([1]筐子库存汇总!$E$60=0,"",[1]筐子库存汇总!$E$60),"")</f>
        <v/>
      </c>
      <c r="F60" s="60" t="str">
        <f aca="false">IFERROR(IF([1]筐子库存汇总!$F$60=0,"",[1]筐子库存汇总!$F$60),"")</f>
        <v/>
      </c>
      <c r="G60" s="60" t="str">
        <f aca="false">IFERROR(IF([1]筐子库存汇总!$G$60=0,"",[1]筐子库存汇总!$G$60),"")</f>
        <v/>
      </c>
      <c r="H60" s="60" t="str">
        <f aca="false">IFERROR(IF([1]筐子库存汇总!$H$60=0,"",[1]筐子库存汇总!$H$60),"")</f>
        <v/>
      </c>
      <c r="I60" s="60" t="str">
        <f aca="false">IFERROR(IF([1]筐子库存汇总!$I$60=0,"",[1]筐子库存汇总!$I$60),"")</f>
        <v/>
      </c>
      <c r="J60" s="60" t="str">
        <f aca="false">IFERROR(IF([1]筐子库存汇总!$J$60=0,"",[1]筐子库存汇总!$J$60),"")</f>
        <v/>
      </c>
      <c r="K60" s="60" t="str">
        <f aca="false">IFERROR(IF([1]筐子库存汇总!$K$60=0,"",[1]筐子库存汇总!$K$60),"")</f>
        <v/>
      </c>
      <c r="L60" s="60" t="str">
        <f aca="false">IFERROR(IF([1]筐子库存汇总!$L$60=0,"",[1]筐子库存汇总!$L$60),"")</f>
        <v/>
      </c>
      <c r="M60" s="59" t="str">
        <f aca="false">IFERROR(IF([1]筐子库存汇总!$M$60=0,"",[1]筐子库存汇总!$M$60),"")</f>
        <v/>
      </c>
    </row>
    <row r="61" customFormat="false" ht="13.5" hidden="false" customHeight="false" outlineLevel="0" collapsed="false">
      <c r="A61" s="59" t="str">
        <f aca="false">IFERROR(IF([1]筐子库存汇总!$A$61=0,"",[1]筐子库存汇总!$A$61),"")</f>
        <v/>
      </c>
      <c r="B61" s="97" t="str">
        <f aca="false">IFERROR(IF([1]筐子库存汇总!$B$61=0,"",[1]筐子库存汇总!$B$61),"")</f>
        <v/>
      </c>
      <c r="C61" s="60" t="str">
        <f aca="false">IFERROR(IF([1]筐子库存汇总!$C$61=0,"",[1]筐子库存汇总!$C$61),"")</f>
        <v/>
      </c>
      <c r="D61" s="60" t="str">
        <f aca="false">IFERROR(IF([1]筐子库存汇总!$D$61=0,"",[1]筐子库存汇总!$D$61),"")</f>
        <v/>
      </c>
      <c r="E61" s="98" t="str">
        <f aca="false">IFERROR(IF([1]筐子库存汇总!$E$61=0,"",[1]筐子库存汇总!$E$61),"")</f>
        <v/>
      </c>
      <c r="F61" s="60" t="str">
        <f aca="false">IFERROR(IF([1]筐子库存汇总!$F$61=0,"",[1]筐子库存汇总!$F$61),"")</f>
        <v/>
      </c>
      <c r="G61" s="60" t="str">
        <f aca="false">IFERROR(IF([1]筐子库存汇总!$G$61=0,"",[1]筐子库存汇总!$G$61),"")</f>
        <v/>
      </c>
      <c r="H61" s="60" t="str">
        <f aca="false">IFERROR(IF([1]筐子库存汇总!$H$61=0,"",[1]筐子库存汇总!$H$61),"")</f>
        <v/>
      </c>
      <c r="I61" s="60" t="str">
        <f aca="false">IFERROR(IF([1]筐子库存汇总!$I$61=0,"",[1]筐子库存汇总!$I$61),"")</f>
        <v/>
      </c>
      <c r="J61" s="60" t="str">
        <f aca="false">IFERROR(IF([1]筐子库存汇总!$J$61=0,"",[1]筐子库存汇总!$J$61),"")</f>
        <v/>
      </c>
      <c r="K61" s="60" t="str">
        <f aca="false">IFERROR(IF([1]筐子库存汇总!$K$61=0,"",[1]筐子库存汇总!$K$61),"")</f>
        <v/>
      </c>
      <c r="L61" s="60" t="str">
        <f aca="false">IFERROR(IF([1]筐子库存汇总!$L$61=0,"",[1]筐子库存汇总!$L$61),"")</f>
        <v/>
      </c>
      <c r="M61" s="59" t="str">
        <f aca="false">IFERROR(IF([1]筐子库存汇总!$M$61=0,"",[1]筐子库存汇总!$M$61),"")</f>
        <v/>
      </c>
    </row>
    <row r="62" customFormat="false" ht="13.5" hidden="false" customHeight="false" outlineLevel="0" collapsed="false">
      <c r="A62" s="59" t="str">
        <f aca="false">IFERROR(IF([1]筐子库存汇总!$A$62=0,"",[1]筐子库存汇总!$A$62),"")</f>
        <v/>
      </c>
      <c r="B62" s="97" t="str">
        <f aca="false">IFERROR(IF([1]筐子库存汇总!$B$62=0,"",[1]筐子库存汇总!$B$62),"")</f>
        <v/>
      </c>
      <c r="C62" s="60" t="str">
        <f aca="false">IFERROR(IF([1]筐子库存汇总!$C$62=0,"",[1]筐子库存汇总!$C$62),"")</f>
        <v/>
      </c>
      <c r="D62" s="60" t="str">
        <f aca="false">IFERROR(IF([1]筐子库存汇总!$D$62=0,"",[1]筐子库存汇总!$D$62),"")</f>
        <v/>
      </c>
      <c r="E62" s="98" t="str">
        <f aca="false">IFERROR(IF([1]筐子库存汇总!$E$62=0,"",[1]筐子库存汇总!$E$62),"")</f>
        <v/>
      </c>
      <c r="F62" s="60" t="str">
        <f aca="false">IFERROR(IF([1]筐子库存汇总!$F$62=0,"",[1]筐子库存汇总!$F$62),"")</f>
        <v/>
      </c>
      <c r="G62" s="60" t="str">
        <f aca="false">IFERROR(IF([1]筐子库存汇总!$G$62=0,"",[1]筐子库存汇总!$G$62),"")</f>
        <v/>
      </c>
      <c r="H62" s="60" t="str">
        <f aca="false">IFERROR(IF([1]筐子库存汇总!$H$62=0,"",[1]筐子库存汇总!$H$62),"")</f>
        <v/>
      </c>
      <c r="I62" s="60" t="str">
        <f aca="false">IFERROR(IF([1]筐子库存汇总!$I$62=0,"",[1]筐子库存汇总!$I$62),"")</f>
        <v/>
      </c>
      <c r="J62" s="60" t="str">
        <f aca="false">IFERROR(IF([1]筐子库存汇总!$J$62=0,"",[1]筐子库存汇总!$J$62),"")</f>
        <v/>
      </c>
      <c r="K62" s="60" t="str">
        <f aca="false">IFERROR(IF([1]筐子库存汇总!$K$62=0,"",[1]筐子库存汇总!$K$62),"")</f>
        <v/>
      </c>
      <c r="L62" s="60" t="str">
        <f aca="false">IFERROR(IF([1]筐子库存汇总!$L$62=0,"",[1]筐子库存汇总!$L$62),"")</f>
        <v/>
      </c>
      <c r="M62" s="59" t="str">
        <f aca="false">IFERROR(IF([1]筐子库存汇总!$M$62=0,"",[1]筐子库存汇总!$M$62),"")</f>
        <v/>
      </c>
    </row>
    <row r="63" customFormat="false" ht="13.5" hidden="false" customHeight="false" outlineLevel="0" collapsed="false">
      <c r="A63" s="59" t="str">
        <f aca="false">IFERROR(IF([1]筐子库存汇总!$A$63=0,"",[1]筐子库存汇总!$A$63),"")</f>
        <v/>
      </c>
      <c r="B63" s="97" t="str">
        <f aca="false">IFERROR(IF([1]筐子库存汇总!$B$63=0,"",[1]筐子库存汇总!$B$63),"")</f>
        <v/>
      </c>
      <c r="C63" s="60" t="str">
        <f aca="false">IFERROR(IF([1]筐子库存汇总!$C$63=0,"",[1]筐子库存汇总!$C$63),"")</f>
        <v/>
      </c>
      <c r="D63" s="60" t="str">
        <f aca="false">IFERROR(IF([1]筐子库存汇总!$D$63=0,"",[1]筐子库存汇总!$D$63),"")</f>
        <v/>
      </c>
      <c r="E63" s="98" t="str">
        <f aca="false">IFERROR(IF([1]筐子库存汇总!$E$63=0,"",[1]筐子库存汇总!$E$63),"")</f>
        <v/>
      </c>
      <c r="F63" s="60" t="str">
        <f aca="false">IFERROR(IF([1]筐子库存汇总!$F$63=0,"",[1]筐子库存汇总!$F$63),"")</f>
        <v/>
      </c>
      <c r="G63" s="60" t="str">
        <f aca="false">IFERROR(IF([1]筐子库存汇总!$G$63=0,"",[1]筐子库存汇总!$G$63),"")</f>
        <v/>
      </c>
      <c r="H63" s="60" t="str">
        <f aca="false">IFERROR(IF([1]筐子库存汇总!$H$63=0,"",[1]筐子库存汇总!$H$63),"")</f>
        <v/>
      </c>
      <c r="I63" s="60" t="str">
        <f aca="false">IFERROR(IF([1]筐子库存汇总!$I$63=0,"",[1]筐子库存汇总!$I$63),"")</f>
        <v/>
      </c>
      <c r="J63" s="60" t="str">
        <f aca="false">IFERROR(IF([1]筐子库存汇总!$J$63=0,"",[1]筐子库存汇总!$J$63),"")</f>
        <v/>
      </c>
      <c r="K63" s="60" t="str">
        <f aca="false">IFERROR(IF([1]筐子库存汇总!$K$63=0,"",[1]筐子库存汇总!$K$63),"")</f>
        <v/>
      </c>
      <c r="L63" s="60" t="str">
        <f aca="false">IFERROR(IF([1]筐子库存汇总!$L$63=0,"",[1]筐子库存汇总!$L$63),"")</f>
        <v/>
      </c>
      <c r="M63" s="59" t="str">
        <f aca="false">IFERROR(IF([1]筐子库存汇总!$M$63=0,"",[1]筐子库存汇总!$M$63),"")</f>
        <v/>
      </c>
    </row>
    <row r="64" customFormat="false" ht="13.5" hidden="false" customHeight="false" outlineLevel="0" collapsed="false">
      <c r="A64" s="99"/>
      <c r="B64" s="100" t="s">
        <v>187</v>
      </c>
      <c r="C64" s="101" t="n">
        <f aca="false">ROUND(SUM(C4:C63),2)</f>
        <v>177768</v>
      </c>
      <c r="D64" s="101" t="n">
        <f aca="false">ROUND(SUM(D4:D63),2)</f>
        <v>17472</v>
      </c>
      <c r="E64" s="102" t="n">
        <f aca="false">ROUND(SUM(E4:E63),2)</f>
        <v>82</v>
      </c>
      <c r="F64" s="101" t="n">
        <f aca="false">ROUND(SUM(F4:F63),2)</f>
        <v>29344</v>
      </c>
      <c r="G64" s="101" t="n">
        <f aca="false">ROUND(SUM(G4:G63),2)</f>
        <v>960</v>
      </c>
      <c r="H64" s="101" t="n">
        <f aca="false">ROUND(SUM(H4:H63),2)</f>
        <v>0</v>
      </c>
      <c r="I64" s="101" t="n">
        <f aca="false">ROUND(SUM(I4:I63),2)</f>
        <v>165018</v>
      </c>
      <c r="J64" s="101" t="n">
        <f aca="false">ROUND(SUM(J4:J63),2)</f>
        <v>29262</v>
      </c>
      <c r="K64" s="101" t="n">
        <f aca="false">ROUND(SUM(K4:K63),2)</f>
        <v>-14054</v>
      </c>
      <c r="L64" s="101" t="n">
        <f aca="false">ROUND(SUM(L4:L63),2)</f>
        <v>180226</v>
      </c>
      <c r="M64" s="100"/>
    </row>
  </sheetData>
  <mergeCells count="2">
    <mergeCell ref="A1:M1"/>
    <mergeCell ref="A2:M2"/>
  </mergeCells>
  <conditionalFormatting sqref="A2">
    <cfRule type="expression" priority="2" aboveAverage="0" equalAverage="0" bottom="0" percent="0" rank="0" text="" dxfId="0">
      <formula>N(对接源_02物料!$R$4)=0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N5" activeCellId="0" sqref="N5"/>
    </sheetView>
  </sheetViews>
  <sheetFormatPr defaultColWidth="9" defaultRowHeight="13.5" zeroHeight="false" outlineLevelRow="0" outlineLevelCol="0"/>
  <cols>
    <col collapsed="false" customWidth="true" hidden="false" outlineLevel="0" max="1" min="1" style="53" width="5"/>
    <col collapsed="false" customWidth="true" hidden="false" outlineLevel="0" max="2" min="2" style="53" width="16"/>
    <col collapsed="false" customWidth="true" hidden="false" outlineLevel="0" max="10" min="3" style="53" width="14"/>
    <col collapsed="false" customWidth="true" hidden="false" outlineLevel="0" max="11" min="11" style="53" width="12"/>
    <col collapsed="false" customWidth="true" hidden="false" outlineLevel="0" max="12" min="12" style="53" width="16"/>
    <col collapsed="false" customWidth="false" hidden="false" outlineLevel="0" max="16384" min="13" style="53" width="9"/>
  </cols>
  <sheetData>
    <row r="1" customFormat="false" ht="30" hidden="false" customHeight="true" outlineLevel="0" collapsed="false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8" hidden="false" customHeight="true" outlineLevel="0" collapsed="false">
      <c r="A2" s="103" t="str">
        <f aca="false">IF(N(_自动清单!$A$1)&gt;250,"★★ 注意：往来单位已有 "&amp;N(_自动清单!$A$1)&amp;" 个，超过本表 250 个的显示上限，请选中最后一行整行下拉复制扩表（汇总公式范围也要一起改）","★ 全自动：往来单位由 01、02 两册的明细自动去重生成。金额口径与【综合对账单】一致，不受日期限制（是全期累计）。要看某一段时间的，请用【综合对账单】　【往来单位 "&amp;N(_自动清单!$A$1)&amp;"/250】")</f>
        <v>★ 全自动：往来单位由 01、02 两册的明细自动去重生成。金额口径与【综合对账单】一致，不受日期限制（是全期累计）。要看某一段时间的，请用【综合对账单】　【往来单位 0/250】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3" customFormat="false" ht="30" hidden="false" customHeight="true" outlineLevel="0" collapsed="false">
      <c r="A3" s="96" t="s">
        <v>3</v>
      </c>
      <c r="B3" s="96" t="s">
        <v>189</v>
      </c>
      <c r="C3" s="96" t="s">
        <v>190</v>
      </c>
      <c r="D3" s="96" t="s">
        <v>191</v>
      </c>
      <c r="E3" s="96" t="s">
        <v>192</v>
      </c>
      <c r="F3" s="96" t="s">
        <v>193</v>
      </c>
      <c r="G3" s="96" t="s">
        <v>194</v>
      </c>
      <c r="H3" s="96" t="s">
        <v>195</v>
      </c>
      <c r="I3" s="96" t="s">
        <v>196</v>
      </c>
      <c r="J3" s="96" t="s">
        <v>197</v>
      </c>
      <c r="K3" s="96" t="s">
        <v>198</v>
      </c>
      <c r="L3" s="96" t="s">
        <v>186</v>
      </c>
    </row>
    <row r="4" customFormat="false" ht="13.5" hidden="false" customHeight="false" outlineLevel="0" collapsed="false">
      <c r="A4" s="59" t="n">
        <f aca="false">IF($B4="","",ROW()-3)</f>
        <v>1</v>
      </c>
      <c r="B4" s="104" t="str">
        <f aca="false">IFERROR(INDEX(_自动清单!$E$4:$E$303,ROW()-3),"")</f>
        <v>聂新平</v>
      </c>
      <c r="C4" s="61" t="n">
        <f aca="false">IF($B4="","",ROUND(SUMIFS(对接源_01水果!$K$4:$K$1203,对接源_01水果!$C$4:$C$1203,$B4,对接源_01水果!$D$4:$D$1203,"成品出库*"),2))</f>
        <v>0</v>
      </c>
      <c r="D4" s="61" t="n">
        <f aca="false">IF($B4="","",ROUND(SUMIFS(对接源_01水果!$K$4:$K$1203,对接源_01水果!$C$4:$C$1203,$B4,对接源_01水果!$D$4:$D$1203,"其他代存*"),2))</f>
        <v>0</v>
      </c>
      <c r="E4" s="61" t="n">
        <f aca="false">IF($B4="","",ROUND(SUMIFS(对接源_02物料!$K$4:$K$1203,对接源_02物料!$C$4:$C$1203,$B4,对接源_02物料!$D$4:$D$1203,"包装物料*"),2))</f>
        <v>0</v>
      </c>
      <c r="F4" s="61" t="n">
        <f aca="false">IF($B4="","",ROUND(SUMIFS(对接源_02物料!$K$4:$K$1203,对接源_02物料!$C$4:$C$1203,$B4,对接源_02物料!$D$4:$D$1203,"周转筐*"),2))</f>
        <v>0</v>
      </c>
      <c r="G4" s="61" t="n">
        <f aca="false">IF($B4="","",ROUND(SUMIFS(对接源_02物料!$K$4:$K$1203,对接源_02物料!$C$4:$C$1203,$B4,对接源_02物料!$D$4:$D$1203,"次果筐*"),2))</f>
        <v>0</v>
      </c>
      <c r="H4" s="61" t="n">
        <f aca="false">IF($B4="","",ROUND(SUM($C4:$G4),2))</f>
        <v>0</v>
      </c>
      <c r="I4" s="61" t="n">
        <f aca="false">IF($B4="","",ROUND(SUMIFS(对接源_01水果!$K$4:$K$1203,对接源_01水果!$C$4:$C$1203,$B4,对接源_01水果!$D$4:$D$1203,"成品出库*",对接源_01水果!$L$4:$L$1203,"已收讫")+SUMIFS(对接源_01水果!$K$4:$K$1203,对接源_01水果!$C$4:$C$1203,$B4,对接源_01水果!$D$4:$D$1203,"成品出库*",对接源_01水果!$L$4:$L$1203,"已付款")+SUMIFS(对接源_01水果!$K$4:$K$1203,对接源_01水果!$C$4:$C$1203,$B4,对接源_01水果!$D$4:$D$1203,"其他代存*",对接源_01水果!$L$4:$L$1203,"已收讫")+SUMIFS(对接源_01水果!$K$4:$K$1203,对接源_01水果!$C$4:$C$1203,$B4,对接源_01水果!$D$4:$D$1203,"其他代存*",对接源_01水果!$L$4:$L$1203,"已付款")+SUMIFS(对接源_02物料!$K$4:$K$1203,对接源_02物料!$C$4:$C$1203,$B4,对接源_02物料!$D$4:$D$1203,"包装物料*",对接源_02物料!$L$4:$L$1203,"已收讫")+SUMIFS(对接源_02物料!$K$4:$K$1203,对接源_02物料!$C$4:$C$1203,$B4,对接源_02物料!$D$4:$D$1203,"包装物料*",对接源_02物料!$L$4:$L$1203,"已付款")+SUMIFS(对接源_02物料!$K$4:$K$1203,对接源_02物料!$C$4:$C$1203,$B4,对接源_02物料!$D$4:$D$1203,"周转筐*",对接源_02物料!$L$4:$L$1203,"已收讫")+SUMIFS(对接源_02物料!$K$4:$K$1203,对接源_02物料!$C$4:$C$1203,$B4,对接源_02物料!$D$4:$D$1203,"周转筐*",对接源_02物料!$L$4:$L$1203,"已付款")+SUMIFS(对接源_02物料!$K$4:$K$1203,对接源_02物料!$C$4:$C$1203,$B4,对接源_02物料!$D$4:$D$1203,"次果筐*",对接源_02物料!$L$4:$L$1203,"已收讫")+SUMIFS(对接源_02物料!$K$4:$K$1203,对接源_02物料!$C$4:$C$1203,$B4,对接源_02物料!$D$4:$D$1203,"次果筐*",对接源_02物料!$L$4:$L$1203,"已付款"),2))</f>
        <v>0</v>
      </c>
      <c r="J4" s="61" t="n">
        <f aca="false">IF($B4="","",ROUND(N($H4)-N($I4),2))</f>
        <v>0</v>
      </c>
      <c r="K4" s="59" t="str">
        <f aca="false">IF($B4="","",IF(ROUND(N($J4),2)&gt;0,"对方欠款",IF(ROUND(N($J4),2)&lt;0,"我方欠款","已两清")))</f>
        <v>已两清</v>
      </c>
      <c r="L4" s="105"/>
    </row>
    <row r="5" customFormat="false" ht="13.5" hidden="false" customHeight="false" outlineLevel="0" collapsed="false">
      <c r="A5" s="59" t="n">
        <f aca="false">IF($B5="","",ROW()-3)</f>
        <v>2</v>
      </c>
      <c r="B5" s="104" t="str">
        <f aca="false">IFERROR(INDEX(_自动清单!$E$4:$E$303,ROW()-3),"")</f>
        <v>王照雪</v>
      </c>
      <c r="C5" s="61" t="n">
        <f aca="false">IF($B5="","",ROUND(SUMIFS(对接源_01水果!$K$4:$K$1203,对接源_01水果!$C$4:$C$1203,$B5,对接源_01水果!$D$4:$D$1203,"成品出库*"),2))</f>
        <v>0</v>
      </c>
      <c r="D5" s="61" t="n">
        <f aca="false">IF($B5="","",ROUND(SUMIFS(对接源_01水果!$K$4:$K$1203,对接源_01水果!$C$4:$C$1203,$B5,对接源_01水果!$D$4:$D$1203,"其他代存*"),2))</f>
        <v>0</v>
      </c>
      <c r="E5" s="61" t="n">
        <f aca="false">IF($B5="","",ROUND(SUMIFS(对接源_02物料!$K$4:$K$1203,对接源_02物料!$C$4:$C$1203,$B5,对接源_02物料!$D$4:$D$1203,"包装物料*"),2))</f>
        <v>0</v>
      </c>
      <c r="F5" s="61" t="n">
        <f aca="false">IF($B5="","",ROUND(SUMIFS(对接源_02物料!$K$4:$K$1203,对接源_02物料!$C$4:$C$1203,$B5,对接源_02物料!$D$4:$D$1203,"周转筐*"),2))</f>
        <v>0</v>
      </c>
      <c r="G5" s="61" t="n">
        <f aca="false">IF($B5="","",ROUND(SUMIFS(对接源_02物料!$K$4:$K$1203,对接源_02物料!$C$4:$C$1203,$B5,对接源_02物料!$D$4:$D$1203,"次果筐*"),2))</f>
        <v>0</v>
      </c>
      <c r="H5" s="61" t="n">
        <f aca="false">IF($B5="","",ROUND(SUM($C5:$G5),2))</f>
        <v>0</v>
      </c>
      <c r="I5" s="61" t="n">
        <f aca="false">IF($B5="","",ROUND(SUMIFS(对接源_01水果!$K$4:$K$1203,对接源_01水果!$C$4:$C$1203,$B5,对接源_01水果!$D$4:$D$1203,"成品出库*",对接源_01水果!$L$4:$L$1203,"已收讫")+SUMIFS(对接源_01水果!$K$4:$K$1203,对接源_01水果!$C$4:$C$1203,$B5,对接源_01水果!$D$4:$D$1203,"成品出库*",对接源_01水果!$L$4:$L$1203,"已付款")+SUMIFS(对接源_01水果!$K$4:$K$1203,对接源_01水果!$C$4:$C$1203,$B5,对接源_01水果!$D$4:$D$1203,"其他代存*",对接源_01水果!$L$4:$L$1203,"已收讫")+SUMIFS(对接源_01水果!$K$4:$K$1203,对接源_01水果!$C$4:$C$1203,$B5,对接源_01水果!$D$4:$D$1203,"其他代存*",对接源_01水果!$L$4:$L$1203,"已付款")+SUMIFS(对接源_02物料!$K$4:$K$1203,对接源_02物料!$C$4:$C$1203,$B5,对接源_02物料!$D$4:$D$1203,"包装物料*",对接源_02物料!$L$4:$L$1203,"已收讫")+SUMIFS(对接源_02物料!$K$4:$K$1203,对接源_02物料!$C$4:$C$1203,$B5,对接源_02物料!$D$4:$D$1203,"包装物料*",对接源_02物料!$L$4:$L$1203,"已付款")+SUMIFS(对接源_02物料!$K$4:$K$1203,对接源_02物料!$C$4:$C$1203,$B5,对接源_02物料!$D$4:$D$1203,"周转筐*",对接源_02物料!$L$4:$L$1203,"已收讫")+SUMIFS(对接源_02物料!$K$4:$K$1203,对接源_02物料!$C$4:$C$1203,$B5,对接源_02物料!$D$4:$D$1203,"周转筐*",对接源_02物料!$L$4:$L$1203,"已付款")+SUMIFS(对接源_02物料!$K$4:$K$1203,对接源_02物料!$C$4:$C$1203,$B5,对接源_02物料!$D$4:$D$1203,"次果筐*",对接源_02物料!$L$4:$L$1203,"已收讫")+SUMIFS(对接源_02物料!$K$4:$K$1203,对接源_02物料!$C$4:$C$1203,$B5,对接源_02物料!$D$4:$D$1203,"次果筐*",对接源_02物料!$L$4:$L$1203,"已付款"),2))</f>
        <v>0</v>
      </c>
      <c r="J5" s="61" t="n">
        <f aca="false">IF($B5="","",ROUND(N($H5)-N($I5),2))</f>
        <v>0</v>
      </c>
      <c r="K5" s="59" t="str">
        <f aca="false">IF($B5="","",IF(ROUND(N($J5),2)&gt;0,"对方欠款",IF(ROUND(N($J5),2)&lt;0,"我方欠款","已两清")))</f>
        <v>已两清</v>
      </c>
      <c r="L5" s="105"/>
    </row>
    <row r="6" customFormat="false" ht="13.5" hidden="false" customHeight="false" outlineLevel="0" collapsed="false">
      <c r="A6" s="59" t="n">
        <f aca="false">IF($B6="","",ROW()-3)</f>
        <v>3</v>
      </c>
      <c r="B6" s="104" t="str">
        <f aca="false">IFERROR(INDEX(_自动清单!$E$4:$E$303,ROW()-3),"")</f>
        <v>伍元虎</v>
      </c>
      <c r="C6" s="61" t="n">
        <f aca="false">IF($B6="","",ROUND(SUMIFS(对接源_01水果!$K$4:$K$1203,对接源_01水果!$C$4:$C$1203,$B6,对接源_01水果!$D$4:$D$1203,"成品出库*"),2))</f>
        <v>0</v>
      </c>
      <c r="D6" s="61" t="n">
        <f aca="false">IF($B6="","",ROUND(SUMIFS(对接源_01水果!$K$4:$K$1203,对接源_01水果!$C$4:$C$1203,$B6,对接源_01水果!$D$4:$D$1203,"其他代存*"),2))</f>
        <v>0</v>
      </c>
      <c r="E6" s="61" t="n">
        <f aca="false">IF($B6="","",ROUND(SUMIFS(对接源_02物料!$K$4:$K$1203,对接源_02物料!$C$4:$C$1203,$B6,对接源_02物料!$D$4:$D$1203,"包装物料*"),2))</f>
        <v>0</v>
      </c>
      <c r="F6" s="61" t="n">
        <f aca="false">IF($B6="","",ROUND(SUMIFS(对接源_02物料!$K$4:$K$1203,对接源_02物料!$C$4:$C$1203,$B6,对接源_02物料!$D$4:$D$1203,"周转筐*"),2))</f>
        <v>0</v>
      </c>
      <c r="G6" s="61" t="n">
        <f aca="false">IF($B6="","",ROUND(SUMIFS(对接源_02物料!$K$4:$K$1203,对接源_02物料!$C$4:$C$1203,$B6,对接源_02物料!$D$4:$D$1203,"次果筐*"),2))</f>
        <v>0</v>
      </c>
      <c r="H6" s="61" t="n">
        <f aca="false">IF($B6="","",ROUND(SUM($C6:$G6),2))</f>
        <v>0</v>
      </c>
      <c r="I6" s="61" t="n">
        <f aca="false">IF($B6="","",ROUND(SUMIFS(对接源_01水果!$K$4:$K$1203,对接源_01水果!$C$4:$C$1203,$B6,对接源_01水果!$D$4:$D$1203,"成品出库*",对接源_01水果!$L$4:$L$1203,"已收讫")+SUMIFS(对接源_01水果!$K$4:$K$1203,对接源_01水果!$C$4:$C$1203,$B6,对接源_01水果!$D$4:$D$1203,"成品出库*",对接源_01水果!$L$4:$L$1203,"已付款")+SUMIFS(对接源_01水果!$K$4:$K$1203,对接源_01水果!$C$4:$C$1203,$B6,对接源_01水果!$D$4:$D$1203,"其他代存*",对接源_01水果!$L$4:$L$1203,"已收讫")+SUMIFS(对接源_01水果!$K$4:$K$1203,对接源_01水果!$C$4:$C$1203,$B6,对接源_01水果!$D$4:$D$1203,"其他代存*",对接源_01水果!$L$4:$L$1203,"已付款")+SUMIFS(对接源_02物料!$K$4:$K$1203,对接源_02物料!$C$4:$C$1203,$B6,对接源_02物料!$D$4:$D$1203,"包装物料*",对接源_02物料!$L$4:$L$1203,"已收讫")+SUMIFS(对接源_02物料!$K$4:$K$1203,对接源_02物料!$C$4:$C$1203,$B6,对接源_02物料!$D$4:$D$1203,"包装物料*",对接源_02物料!$L$4:$L$1203,"已付款")+SUMIFS(对接源_02物料!$K$4:$K$1203,对接源_02物料!$C$4:$C$1203,$B6,对接源_02物料!$D$4:$D$1203,"周转筐*",对接源_02物料!$L$4:$L$1203,"已收讫")+SUMIFS(对接源_02物料!$K$4:$K$1203,对接源_02物料!$C$4:$C$1203,$B6,对接源_02物料!$D$4:$D$1203,"周转筐*",对接源_02物料!$L$4:$L$1203,"已付款")+SUMIFS(对接源_02物料!$K$4:$K$1203,对接源_02物料!$C$4:$C$1203,$B6,对接源_02物料!$D$4:$D$1203,"次果筐*",对接源_02物料!$L$4:$L$1203,"已收讫")+SUMIFS(对接源_02物料!$K$4:$K$1203,对接源_02物料!$C$4:$C$1203,$B6,对接源_02物料!$D$4:$D$1203,"次果筐*",对接源_02物料!$L$4:$L$1203,"已付款"),2))</f>
        <v>0</v>
      </c>
      <c r="J6" s="61" t="n">
        <f aca="false">IF($B6="","",ROUND(N($H6)-N($I6),2))</f>
        <v>0</v>
      </c>
      <c r="K6" s="59" t="str">
        <f aca="false">IF($B6="","",IF(ROUND(N($J6),2)&gt;0,"对方欠款",IF(ROUND(N($J6),2)&lt;0,"我方欠款","已两清")))</f>
        <v>已两清</v>
      </c>
      <c r="L6" s="105"/>
    </row>
    <row r="7" customFormat="false" ht="13.5" hidden="false" customHeight="false" outlineLevel="0" collapsed="false">
      <c r="A7" s="59" t="n">
        <f aca="false">IF($B7="","",ROW()-3)</f>
        <v>4</v>
      </c>
      <c r="B7" s="104" t="str">
        <f aca="false">IFERROR(INDEX(_自动清单!$E$4:$E$303,ROW()-3),"")</f>
        <v>马锦祥</v>
      </c>
      <c r="C7" s="61" t="n">
        <f aca="false">IF($B7="","",ROUND(SUMIFS(对接源_01水果!$K$4:$K$1203,对接源_01水果!$C$4:$C$1203,$B7,对接源_01水果!$D$4:$D$1203,"成品出库*"),2))</f>
        <v>0</v>
      </c>
      <c r="D7" s="61" t="n">
        <f aca="false">IF($B7="","",ROUND(SUMIFS(对接源_01水果!$K$4:$K$1203,对接源_01水果!$C$4:$C$1203,$B7,对接源_01水果!$D$4:$D$1203,"其他代存*"),2))</f>
        <v>0</v>
      </c>
      <c r="E7" s="61" t="n">
        <f aca="false">IF($B7="","",ROUND(SUMIFS(对接源_02物料!$K$4:$K$1203,对接源_02物料!$C$4:$C$1203,$B7,对接源_02物料!$D$4:$D$1203,"包装物料*"),2))</f>
        <v>0</v>
      </c>
      <c r="F7" s="61" t="n">
        <f aca="false">IF($B7="","",ROUND(SUMIFS(对接源_02物料!$K$4:$K$1203,对接源_02物料!$C$4:$C$1203,$B7,对接源_02物料!$D$4:$D$1203,"周转筐*"),2))</f>
        <v>0</v>
      </c>
      <c r="G7" s="61" t="n">
        <f aca="false">IF($B7="","",ROUND(SUMIFS(对接源_02物料!$K$4:$K$1203,对接源_02物料!$C$4:$C$1203,$B7,对接源_02物料!$D$4:$D$1203,"次果筐*"),2))</f>
        <v>0</v>
      </c>
      <c r="H7" s="61" t="n">
        <f aca="false">IF($B7="","",ROUND(SUM($C7:$G7),2))</f>
        <v>0</v>
      </c>
      <c r="I7" s="61" t="n">
        <f aca="false">IF($B7="","",ROUND(SUMIFS(对接源_01水果!$K$4:$K$1203,对接源_01水果!$C$4:$C$1203,$B7,对接源_01水果!$D$4:$D$1203,"成品出库*",对接源_01水果!$L$4:$L$1203,"已收讫")+SUMIFS(对接源_01水果!$K$4:$K$1203,对接源_01水果!$C$4:$C$1203,$B7,对接源_01水果!$D$4:$D$1203,"成品出库*",对接源_01水果!$L$4:$L$1203,"已付款")+SUMIFS(对接源_01水果!$K$4:$K$1203,对接源_01水果!$C$4:$C$1203,$B7,对接源_01水果!$D$4:$D$1203,"其他代存*",对接源_01水果!$L$4:$L$1203,"已收讫")+SUMIFS(对接源_01水果!$K$4:$K$1203,对接源_01水果!$C$4:$C$1203,$B7,对接源_01水果!$D$4:$D$1203,"其他代存*",对接源_01水果!$L$4:$L$1203,"已付款")+SUMIFS(对接源_02物料!$K$4:$K$1203,对接源_02物料!$C$4:$C$1203,$B7,对接源_02物料!$D$4:$D$1203,"包装物料*",对接源_02物料!$L$4:$L$1203,"已收讫")+SUMIFS(对接源_02物料!$K$4:$K$1203,对接源_02物料!$C$4:$C$1203,$B7,对接源_02物料!$D$4:$D$1203,"包装物料*",对接源_02物料!$L$4:$L$1203,"已付款")+SUMIFS(对接源_02物料!$K$4:$K$1203,对接源_02物料!$C$4:$C$1203,$B7,对接源_02物料!$D$4:$D$1203,"周转筐*",对接源_02物料!$L$4:$L$1203,"已收讫")+SUMIFS(对接源_02物料!$K$4:$K$1203,对接源_02物料!$C$4:$C$1203,$B7,对接源_02物料!$D$4:$D$1203,"周转筐*",对接源_02物料!$L$4:$L$1203,"已付款")+SUMIFS(对接源_02物料!$K$4:$K$1203,对接源_02物料!$C$4:$C$1203,$B7,对接源_02物料!$D$4:$D$1203,"次果筐*",对接源_02物料!$L$4:$L$1203,"已收讫")+SUMIFS(对接源_02物料!$K$4:$K$1203,对接源_02物料!$C$4:$C$1203,$B7,对接源_02物料!$D$4:$D$1203,"次果筐*",对接源_02物料!$L$4:$L$1203,"已付款"),2))</f>
        <v>0</v>
      </c>
      <c r="J7" s="61" t="n">
        <f aca="false">IF($B7="","",ROUND(N($H7)-N($I7),2))</f>
        <v>0</v>
      </c>
      <c r="K7" s="59" t="str">
        <f aca="false">IF($B7="","",IF(ROUND(N($J7),2)&gt;0,"对方欠款",IF(ROUND(N($J7),2)&lt;0,"我方欠款","已两清")))</f>
        <v>已两清</v>
      </c>
      <c r="L7" s="105"/>
    </row>
    <row r="8" customFormat="false" ht="13.5" hidden="false" customHeight="false" outlineLevel="0" collapsed="false">
      <c r="A8" s="59" t="n">
        <f aca="false">IF($B8="","",ROW()-3)</f>
        <v>5</v>
      </c>
      <c r="B8" s="104" t="str">
        <f aca="false">IFERROR(INDEX(_自动清单!$E$4:$E$303,ROW()-3),"")</f>
        <v>麦麦提</v>
      </c>
      <c r="C8" s="61" t="n">
        <f aca="false">IF($B8="","",ROUND(SUMIFS(对接源_01水果!$K$4:$K$1203,对接源_01水果!$C$4:$C$1203,$B8,对接源_01水果!$D$4:$D$1203,"成品出库*"),2))</f>
        <v>0</v>
      </c>
      <c r="D8" s="61" t="n">
        <f aca="false">IF($B8="","",ROUND(SUMIFS(对接源_01水果!$K$4:$K$1203,对接源_01水果!$C$4:$C$1203,$B8,对接源_01水果!$D$4:$D$1203,"其他代存*"),2))</f>
        <v>0</v>
      </c>
      <c r="E8" s="61" t="n">
        <f aca="false">IF($B8="","",ROUND(SUMIFS(对接源_02物料!$K$4:$K$1203,对接源_02物料!$C$4:$C$1203,$B8,对接源_02物料!$D$4:$D$1203,"包装物料*"),2))</f>
        <v>10716</v>
      </c>
      <c r="F8" s="61" t="n">
        <f aca="false">IF($B8="","",ROUND(SUMIFS(对接源_02物料!$K$4:$K$1203,对接源_02物料!$C$4:$C$1203,$B8,对接源_02物料!$D$4:$D$1203,"周转筐*"),2))</f>
        <v>0</v>
      </c>
      <c r="G8" s="61" t="n">
        <f aca="false">IF($B8="","",ROUND(SUMIFS(对接源_02物料!$K$4:$K$1203,对接源_02物料!$C$4:$C$1203,$B8,对接源_02物料!$D$4:$D$1203,"次果筐*"),2))</f>
        <v>0</v>
      </c>
      <c r="H8" s="61" t="n">
        <f aca="false">IF($B8="","",ROUND(SUM($C8:$G8),2))</f>
        <v>10716</v>
      </c>
      <c r="I8" s="61" t="n">
        <f aca="false">IF($B8="","",ROUND(SUMIFS(对接源_01水果!$K$4:$K$1203,对接源_01水果!$C$4:$C$1203,$B8,对接源_01水果!$D$4:$D$1203,"成品出库*",对接源_01水果!$L$4:$L$1203,"已收讫")+SUMIFS(对接源_01水果!$K$4:$K$1203,对接源_01水果!$C$4:$C$1203,$B8,对接源_01水果!$D$4:$D$1203,"成品出库*",对接源_01水果!$L$4:$L$1203,"已付款")+SUMIFS(对接源_01水果!$K$4:$K$1203,对接源_01水果!$C$4:$C$1203,$B8,对接源_01水果!$D$4:$D$1203,"其他代存*",对接源_01水果!$L$4:$L$1203,"已收讫")+SUMIFS(对接源_01水果!$K$4:$K$1203,对接源_01水果!$C$4:$C$1203,$B8,对接源_01水果!$D$4:$D$1203,"其他代存*",对接源_01水果!$L$4:$L$1203,"已付款")+SUMIFS(对接源_02物料!$K$4:$K$1203,对接源_02物料!$C$4:$C$1203,$B8,对接源_02物料!$D$4:$D$1203,"包装物料*",对接源_02物料!$L$4:$L$1203,"已收讫")+SUMIFS(对接源_02物料!$K$4:$K$1203,对接源_02物料!$C$4:$C$1203,$B8,对接源_02物料!$D$4:$D$1203,"包装物料*",对接源_02物料!$L$4:$L$1203,"已付款")+SUMIFS(对接源_02物料!$K$4:$K$1203,对接源_02物料!$C$4:$C$1203,$B8,对接源_02物料!$D$4:$D$1203,"周转筐*",对接源_02物料!$L$4:$L$1203,"已收讫")+SUMIFS(对接源_02物料!$K$4:$K$1203,对接源_02物料!$C$4:$C$1203,$B8,对接源_02物料!$D$4:$D$1203,"周转筐*",对接源_02物料!$L$4:$L$1203,"已付款")+SUMIFS(对接源_02物料!$K$4:$K$1203,对接源_02物料!$C$4:$C$1203,$B8,对接源_02物料!$D$4:$D$1203,"次果筐*",对接源_02物料!$L$4:$L$1203,"已收讫")+SUMIFS(对接源_02物料!$K$4:$K$1203,对接源_02物料!$C$4:$C$1203,$B8,对接源_02物料!$D$4:$D$1203,"次果筐*",对接源_02物料!$L$4:$L$1203,"已付款"),2))</f>
        <v>96</v>
      </c>
      <c r="J8" s="61" t="n">
        <f aca="false">IF($B8="","",ROUND(N($H8)-N($I8),2))</f>
        <v>10620</v>
      </c>
      <c r="K8" s="59" t="str">
        <f aca="false">IF($B8="","",IF(ROUND(N($J8),2)&gt;0,"对方欠款",IF(ROUND(N($J8),2)&lt;0,"我方欠款","已两清")))</f>
        <v>对方欠款</v>
      </c>
      <c r="L8" s="105"/>
    </row>
    <row r="9" customFormat="false" ht="13.5" hidden="false" customHeight="false" outlineLevel="0" collapsed="false">
      <c r="A9" s="59" t="n">
        <f aca="false">IF($B9="","",ROW()-3)</f>
        <v>6</v>
      </c>
      <c r="B9" s="104" t="str">
        <f aca="false">IFERROR(INDEX(_自动清单!$E$4:$E$303,ROW()-3),"")</f>
        <v>吐尔洪</v>
      </c>
      <c r="C9" s="61" t="n">
        <f aca="false">IF($B9="","",ROUND(SUMIFS(对接源_01水果!$K$4:$K$1203,对接源_01水果!$C$4:$C$1203,$B9,对接源_01水果!$D$4:$D$1203,"成品出库*"),2))</f>
        <v>0</v>
      </c>
      <c r="D9" s="61" t="n">
        <f aca="false">IF($B9="","",ROUND(SUMIFS(对接源_01水果!$K$4:$K$1203,对接源_01水果!$C$4:$C$1203,$B9,对接源_01水果!$D$4:$D$1203,"其他代存*"),2))</f>
        <v>0</v>
      </c>
      <c r="E9" s="61" t="n">
        <f aca="false">IF($B9="","",ROUND(SUMIFS(对接源_02物料!$K$4:$K$1203,对接源_02物料!$C$4:$C$1203,$B9,对接源_02物料!$D$4:$D$1203,"包装物料*"),2))</f>
        <v>3375</v>
      </c>
      <c r="F9" s="61" t="n">
        <f aca="false">IF($B9="","",ROUND(SUMIFS(对接源_02物料!$K$4:$K$1203,对接源_02物料!$C$4:$C$1203,$B9,对接源_02物料!$D$4:$D$1203,"周转筐*"),2))</f>
        <v>0</v>
      </c>
      <c r="G9" s="61" t="n">
        <f aca="false">IF($B9="","",ROUND(SUMIFS(对接源_02物料!$K$4:$K$1203,对接源_02物料!$C$4:$C$1203,$B9,对接源_02物料!$D$4:$D$1203,"次果筐*"),2))</f>
        <v>0</v>
      </c>
      <c r="H9" s="61" t="n">
        <f aca="false">IF($B9="","",ROUND(SUM($C9:$G9),2))</f>
        <v>3375</v>
      </c>
      <c r="I9" s="61" t="n">
        <f aca="false">IF($B9="","",ROUND(SUMIFS(对接源_01水果!$K$4:$K$1203,对接源_01水果!$C$4:$C$1203,$B9,对接源_01水果!$D$4:$D$1203,"成品出库*",对接源_01水果!$L$4:$L$1203,"已收讫")+SUMIFS(对接源_01水果!$K$4:$K$1203,对接源_01水果!$C$4:$C$1203,$B9,对接源_01水果!$D$4:$D$1203,"成品出库*",对接源_01水果!$L$4:$L$1203,"已付款")+SUMIFS(对接源_01水果!$K$4:$K$1203,对接源_01水果!$C$4:$C$1203,$B9,对接源_01水果!$D$4:$D$1203,"其他代存*",对接源_01水果!$L$4:$L$1203,"已收讫")+SUMIFS(对接源_01水果!$K$4:$K$1203,对接源_01水果!$C$4:$C$1203,$B9,对接源_01水果!$D$4:$D$1203,"其他代存*",对接源_01水果!$L$4:$L$1203,"已付款")+SUMIFS(对接源_02物料!$K$4:$K$1203,对接源_02物料!$C$4:$C$1203,$B9,对接源_02物料!$D$4:$D$1203,"包装物料*",对接源_02物料!$L$4:$L$1203,"已收讫")+SUMIFS(对接源_02物料!$K$4:$K$1203,对接源_02物料!$C$4:$C$1203,$B9,对接源_02物料!$D$4:$D$1203,"包装物料*",对接源_02物料!$L$4:$L$1203,"已付款")+SUMIFS(对接源_02物料!$K$4:$K$1203,对接源_02物料!$C$4:$C$1203,$B9,对接源_02物料!$D$4:$D$1203,"周转筐*",对接源_02物料!$L$4:$L$1203,"已收讫")+SUMIFS(对接源_02物料!$K$4:$K$1203,对接源_02物料!$C$4:$C$1203,$B9,对接源_02物料!$D$4:$D$1203,"周转筐*",对接源_02物料!$L$4:$L$1203,"已付款")+SUMIFS(对接源_02物料!$K$4:$K$1203,对接源_02物料!$C$4:$C$1203,$B9,对接源_02物料!$D$4:$D$1203,"次果筐*",对接源_02物料!$L$4:$L$1203,"已收讫")+SUMIFS(对接源_02物料!$K$4:$K$1203,对接源_02物料!$C$4:$C$1203,$B9,对接源_02物料!$D$4:$D$1203,"次果筐*",对接源_02物料!$L$4:$L$1203,"已付款"),2))</f>
        <v>0</v>
      </c>
      <c r="J9" s="61" t="n">
        <f aca="false">IF($B9="","",ROUND(N($H9)-N($I9),2))</f>
        <v>3375</v>
      </c>
      <c r="K9" s="59" t="str">
        <f aca="false">IF($B9="","",IF(ROUND(N($J9),2)&gt;0,"对方欠款",IF(ROUND(N($J9),2)&lt;0,"我方欠款","已两清")))</f>
        <v>对方欠款</v>
      </c>
      <c r="L9" s="105"/>
    </row>
    <row r="10" customFormat="false" ht="13.5" hidden="false" customHeight="false" outlineLevel="0" collapsed="false">
      <c r="A10" s="59" t="n">
        <f aca="false">IF($B10="","",ROW()-3)</f>
        <v>7</v>
      </c>
      <c r="B10" s="104" t="str">
        <f aca="false">IFERROR(INDEX(_自动清单!$E$4:$E$303,ROW()-3),"")</f>
        <v>热合曼</v>
      </c>
      <c r="C10" s="61" t="n">
        <f aca="false">IF($B10="","",ROUND(SUMIFS(对接源_01水果!$K$4:$K$1203,对接源_01水果!$C$4:$C$1203,$B10,对接源_01水果!$D$4:$D$1203,"成品出库*"),2))</f>
        <v>0</v>
      </c>
      <c r="D10" s="61" t="n">
        <f aca="false">IF($B10="","",ROUND(SUMIFS(对接源_01水果!$K$4:$K$1203,对接源_01水果!$C$4:$C$1203,$B10,对接源_01水果!$D$4:$D$1203,"其他代存*"),2))</f>
        <v>0</v>
      </c>
      <c r="E10" s="61" t="n">
        <f aca="false">IF($B10="","",ROUND(SUMIFS(对接源_02物料!$K$4:$K$1203,对接源_02物料!$C$4:$C$1203,$B10,对接源_02物料!$D$4:$D$1203,"包装物料*"),2))</f>
        <v>6956</v>
      </c>
      <c r="F10" s="61" t="n">
        <f aca="false">IF($B10="","",ROUND(SUMIFS(对接源_02物料!$K$4:$K$1203,对接源_02物料!$C$4:$C$1203,$B10,对接源_02物料!$D$4:$D$1203,"周转筐*"),2))</f>
        <v>0</v>
      </c>
      <c r="G10" s="61" t="n">
        <f aca="false">IF($B10="","",ROUND(SUMIFS(对接源_02物料!$K$4:$K$1203,对接源_02物料!$C$4:$C$1203,$B10,对接源_02物料!$D$4:$D$1203,"次果筐*"),2))</f>
        <v>0</v>
      </c>
      <c r="H10" s="61" t="n">
        <f aca="false">IF($B10="","",ROUND(SUM($C10:$G10),2))</f>
        <v>6956</v>
      </c>
      <c r="I10" s="61" t="n">
        <f aca="false">IF($B10="","",ROUND(SUMIFS(对接源_01水果!$K$4:$K$1203,对接源_01水果!$C$4:$C$1203,$B10,对接源_01水果!$D$4:$D$1203,"成品出库*",对接源_01水果!$L$4:$L$1203,"已收讫")+SUMIFS(对接源_01水果!$K$4:$K$1203,对接源_01水果!$C$4:$C$1203,$B10,对接源_01水果!$D$4:$D$1203,"成品出库*",对接源_01水果!$L$4:$L$1203,"已付款")+SUMIFS(对接源_01水果!$K$4:$K$1203,对接源_01水果!$C$4:$C$1203,$B10,对接源_01水果!$D$4:$D$1203,"其他代存*",对接源_01水果!$L$4:$L$1203,"已收讫")+SUMIFS(对接源_01水果!$K$4:$K$1203,对接源_01水果!$C$4:$C$1203,$B10,对接源_01水果!$D$4:$D$1203,"其他代存*",对接源_01水果!$L$4:$L$1203,"已付款")+SUMIFS(对接源_02物料!$K$4:$K$1203,对接源_02物料!$C$4:$C$1203,$B10,对接源_02物料!$D$4:$D$1203,"包装物料*",对接源_02物料!$L$4:$L$1203,"已收讫")+SUMIFS(对接源_02物料!$K$4:$K$1203,对接源_02物料!$C$4:$C$1203,$B10,对接源_02物料!$D$4:$D$1203,"包装物料*",对接源_02物料!$L$4:$L$1203,"已付款")+SUMIFS(对接源_02物料!$K$4:$K$1203,对接源_02物料!$C$4:$C$1203,$B10,对接源_02物料!$D$4:$D$1203,"周转筐*",对接源_02物料!$L$4:$L$1203,"已收讫")+SUMIFS(对接源_02物料!$K$4:$K$1203,对接源_02物料!$C$4:$C$1203,$B10,对接源_02物料!$D$4:$D$1203,"周转筐*",对接源_02物料!$L$4:$L$1203,"已付款")+SUMIFS(对接源_02物料!$K$4:$K$1203,对接源_02物料!$C$4:$C$1203,$B10,对接源_02物料!$D$4:$D$1203,"次果筐*",对接源_02物料!$L$4:$L$1203,"已收讫")+SUMIFS(对接源_02物料!$K$4:$K$1203,对接源_02物料!$C$4:$C$1203,$B10,对接源_02物料!$D$4:$D$1203,"次果筐*",对接源_02物料!$L$4:$L$1203,"已付款"),2))</f>
        <v>96</v>
      </c>
      <c r="J10" s="61" t="n">
        <f aca="false">IF($B10="","",ROUND(N($H10)-N($I10),2))</f>
        <v>6860</v>
      </c>
      <c r="K10" s="59" t="str">
        <f aca="false">IF($B10="","",IF(ROUND(N($J10),2)&gt;0,"对方欠款",IF(ROUND(N($J10),2)&lt;0,"我方欠款","已两清")))</f>
        <v>对方欠款</v>
      </c>
      <c r="L10" s="105"/>
    </row>
    <row r="11" customFormat="false" ht="13.5" hidden="false" customHeight="false" outlineLevel="0" collapsed="false">
      <c r="A11" s="59" t="n">
        <f aca="false">IF($B11="","",ROW()-3)</f>
        <v>8</v>
      </c>
      <c r="B11" s="104" t="str">
        <f aca="false">IFERROR(INDEX(_自动清单!$E$4:$E$303,ROW()-3),"")</f>
        <v>贾建国</v>
      </c>
      <c r="C11" s="61" t="n">
        <f aca="false">IF($B11="","",ROUND(SUMIFS(对接源_01水果!$K$4:$K$1203,对接源_01水果!$C$4:$C$1203,$B11,对接源_01水果!$D$4:$D$1203,"成品出库*"),2))</f>
        <v>0</v>
      </c>
      <c r="D11" s="61" t="n">
        <f aca="false">IF($B11="","",ROUND(SUMIFS(对接源_01水果!$K$4:$K$1203,对接源_01水果!$C$4:$C$1203,$B11,对接源_01水果!$D$4:$D$1203,"其他代存*"),2))</f>
        <v>0</v>
      </c>
      <c r="E11" s="61" t="n">
        <f aca="false">IF($B11="","",ROUND(SUMIFS(对接源_02物料!$K$4:$K$1203,对接源_02物料!$C$4:$C$1203,$B11,对接源_02物料!$D$4:$D$1203,"包装物料*"),2))</f>
        <v>1440</v>
      </c>
      <c r="F11" s="61" t="n">
        <f aca="false">IF($B11="","",ROUND(SUMIFS(对接源_02物料!$K$4:$K$1203,对接源_02物料!$C$4:$C$1203,$B11,对接源_02物料!$D$4:$D$1203,"周转筐*"),2))</f>
        <v>0</v>
      </c>
      <c r="G11" s="61" t="n">
        <f aca="false">IF($B11="","",ROUND(SUMIFS(对接源_02物料!$K$4:$K$1203,对接源_02物料!$C$4:$C$1203,$B11,对接源_02物料!$D$4:$D$1203,"次果筐*"),2))</f>
        <v>0</v>
      </c>
      <c r="H11" s="61" t="n">
        <f aca="false">IF($B11="","",ROUND(SUM($C11:$G11),2))</f>
        <v>1440</v>
      </c>
      <c r="I11" s="61" t="n">
        <f aca="false">IF($B11="","",ROUND(SUMIFS(对接源_01水果!$K$4:$K$1203,对接源_01水果!$C$4:$C$1203,$B11,对接源_01水果!$D$4:$D$1203,"成品出库*",对接源_01水果!$L$4:$L$1203,"已收讫")+SUMIFS(对接源_01水果!$K$4:$K$1203,对接源_01水果!$C$4:$C$1203,$B11,对接源_01水果!$D$4:$D$1203,"成品出库*",对接源_01水果!$L$4:$L$1203,"已付款")+SUMIFS(对接源_01水果!$K$4:$K$1203,对接源_01水果!$C$4:$C$1203,$B11,对接源_01水果!$D$4:$D$1203,"其他代存*",对接源_01水果!$L$4:$L$1203,"已收讫")+SUMIFS(对接源_01水果!$K$4:$K$1203,对接源_01水果!$C$4:$C$1203,$B11,对接源_01水果!$D$4:$D$1203,"其他代存*",对接源_01水果!$L$4:$L$1203,"已付款")+SUMIFS(对接源_02物料!$K$4:$K$1203,对接源_02物料!$C$4:$C$1203,$B11,对接源_02物料!$D$4:$D$1203,"包装物料*",对接源_02物料!$L$4:$L$1203,"已收讫")+SUMIFS(对接源_02物料!$K$4:$K$1203,对接源_02物料!$C$4:$C$1203,$B11,对接源_02物料!$D$4:$D$1203,"包装物料*",对接源_02物料!$L$4:$L$1203,"已付款")+SUMIFS(对接源_02物料!$K$4:$K$1203,对接源_02物料!$C$4:$C$1203,$B11,对接源_02物料!$D$4:$D$1203,"周转筐*",对接源_02物料!$L$4:$L$1203,"已收讫")+SUMIFS(对接源_02物料!$K$4:$K$1203,对接源_02物料!$C$4:$C$1203,$B11,对接源_02物料!$D$4:$D$1203,"周转筐*",对接源_02物料!$L$4:$L$1203,"已付款")+SUMIFS(对接源_02物料!$K$4:$K$1203,对接源_02物料!$C$4:$C$1203,$B11,对接源_02物料!$D$4:$D$1203,"次果筐*",对接源_02物料!$L$4:$L$1203,"已收讫")+SUMIFS(对接源_02物料!$K$4:$K$1203,对接源_02物料!$C$4:$C$1203,$B11,对接源_02物料!$D$4:$D$1203,"次果筐*",对接源_02物料!$L$4:$L$1203,"已付款"),2))</f>
        <v>0</v>
      </c>
      <c r="J11" s="61" t="n">
        <f aca="false">IF($B11="","",ROUND(N($H11)-N($I11),2))</f>
        <v>1440</v>
      </c>
      <c r="K11" s="59" t="str">
        <f aca="false">IF($B11="","",IF(ROUND(N($J11),2)&gt;0,"对方欠款",IF(ROUND(N($J11),2)&lt;0,"我方欠款","已两清")))</f>
        <v>对方欠款</v>
      </c>
      <c r="L11" s="105"/>
    </row>
    <row r="12" customFormat="false" ht="13.5" hidden="false" customHeight="false" outlineLevel="0" collapsed="false">
      <c r="A12" s="59" t="n">
        <f aca="false">IF($B12="","",ROW()-3)</f>
        <v>9</v>
      </c>
      <c r="B12" s="104" t="str">
        <f aca="false">IFERROR(INDEX(_自动清单!$E$4:$E$303,ROW()-3),"")</f>
        <v>王灵云</v>
      </c>
      <c r="C12" s="61" t="n">
        <f aca="false">IF($B12="","",ROUND(SUMIFS(对接源_01水果!$K$4:$K$1203,对接源_01水果!$C$4:$C$1203,$B12,对接源_01水果!$D$4:$D$1203,"成品出库*"),2))</f>
        <v>0</v>
      </c>
      <c r="D12" s="61" t="n">
        <f aca="false">IF($B12="","",ROUND(SUMIFS(对接源_01水果!$K$4:$K$1203,对接源_01水果!$C$4:$C$1203,$B12,对接源_01水果!$D$4:$D$1203,"其他代存*"),2))</f>
        <v>0</v>
      </c>
      <c r="E12" s="61" t="n">
        <f aca="false">IF($B12="","",ROUND(SUMIFS(对接源_02物料!$K$4:$K$1203,对接源_02物料!$C$4:$C$1203,$B12,对接源_02物料!$D$4:$D$1203,"包装物料*"),2))</f>
        <v>0</v>
      </c>
      <c r="F12" s="61" t="n">
        <f aca="false">IF($B12="","",ROUND(SUMIFS(对接源_02物料!$K$4:$K$1203,对接源_02物料!$C$4:$C$1203,$B12,对接源_02物料!$D$4:$D$1203,"周转筐*"),2))</f>
        <v>0</v>
      </c>
      <c r="G12" s="61" t="n">
        <f aca="false">IF($B12="","",ROUND(SUMIFS(对接源_02物料!$K$4:$K$1203,对接源_02物料!$C$4:$C$1203,$B12,对接源_02物料!$D$4:$D$1203,"次果筐*"),2))</f>
        <v>0</v>
      </c>
      <c r="H12" s="61" t="n">
        <f aca="false">IF($B12="","",ROUND(SUM($C12:$G12),2))</f>
        <v>0</v>
      </c>
      <c r="I12" s="61" t="n">
        <f aca="false">IF($B12="","",ROUND(SUMIFS(对接源_01水果!$K$4:$K$1203,对接源_01水果!$C$4:$C$1203,$B12,对接源_01水果!$D$4:$D$1203,"成品出库*",对接源_01水果!$L$4:$L$1203,"已收讫")+SUMIFS(对接源_01水果!$K$4:$K$1203,对接源_01水果!$C$4:$C$1203,$B12,对接源_01水果!$D$4:$D$1203,"成品出库*",对接源_01水果!$L$4:$L$1203,"已付款")+SUMIFS(对接源_01水果!$K$4:$K$1203,对接源_01水果!$C$4:$C$1203,$B12,对接源_01水果!$D$4:$D$1203,"其他代存*",对接源_01水果!$L$4:$L$1203,"已收讫")+SUMIFS(对接源_01水果!$K$4:$K$1203,对接源_01水果!$C$4:$C$1203,$B12,对接源_01水果!$D$4:$D$1203,"其他代存*",对接源_01水果!$L$4:$L$1203,"已付款")+SUMIFS(对接源_02物料!$K$4:$K$1203,对接源_02物料!$C$4:$C$1203,$B12,对接源_02物料!$D$4:$D$1203,"包装物料*",对接源_02物料!$L$4:$L$1203,"已收讫")+SUMIFS(对接源_02物料!$K$4:$K$1203,对接源_02物料!$C$4:$C$1203,$B12,对接源_02物料!$D$4:$D$1203,"包装物料*",对接源_02物料!$L$4:$L$1203,"已付款")+SUMIFS(对接源_02物料!$K$4:$K$1203,对接源_02物料!$C$4:$C$1203,$B12,对接源_02物料!$D$4:$D$1203,"周转筐*",对接源_02物料!$L$4:$L$1203,"已收讫")+SUMIFS(对接源_02物料!$K$4:$K$1203,对接源_02物料!$C$4:$C$1203,$B12,对接源_02物料!$D$4:$D$1203,"周转筐*",对接源_02物料!$L$4:$L$1203,"已付款")+SUMIFS(对接源_02物料!$K$4:$K$1203,对接源_02物料!$C$4:$C$1203,$B12,对接源_02物料!$D$4:$D$1203,"次果筐*",对接源_02物料!$L$4:$L$1203,"已收讫")+SUMIFS(对接源_02物料!$K$4:$K$1203,对接源_02物料!$C$4:$C$1203,$B12,对接源_02物料!$D$4:$D$1203,"次果筐*",对接源_02物料!$L$4:$L$1203,"已付款"),2))</f>
        <v>0</v>
      </c>
      <c r="J12" s="61" t="n">
        <f aca="false">IF($B12="","",ROUND(N($H12)-N($I12),2))</f>
        <v>0</v>
      </c>
      <c r="K12" s="59" t="str">
        <f aca="false">IF($B12="","",IF(ROUND(N($J12),2)&gt;0,"对方欠款",IF(ROUND(N($J12),2)&lt;0,"我方欠款","已两清")))</f>
        <v>已两清</v>
      </c>
      <c r="L12" s="105"/>
    </row>
    <row r="13" customFormat="false" ht="13.5" hidden="false" customHeight="false" outlineLevel="0" collapsed="false">
      <c r="A13" s="59" t="n">
        <f aca="false">IF($B13="","",ROW()-3)</f>
        <v>10</v>
      </c>
      <c r="B13" s="104" t="str">
        <f aca="false">IFERROR(INDEX(_自动清单!$E$4:$E$303,ROW()-3),"")</f>
        <v>杨艳玲</v>
      </c>
      <c r="C13" s="61" t="n">
        <f aca="false">IF($B13="","",ROUND(SUMIFS(对接源_01水果!$K$4:$K$1203,对接源_01水果!$C$4:$C$1203,$B13,对接源_01水果!$D$4:$D$1203,"成品出库*"),2))</f>
        <v>0</v>
      </c>
      <c r="D13" s="61" t="n">
        <f aca="false">IF($B13="","",ROUND(SUMIFS(对接源_01水果!$K$4:$K$1203,对接源_01水果!$C$4:$C$1203,$B13,对接源_01水果!$D$4:$D$1203,"其他代存*"),2))</f>
        <v>0</v>
      </c>
      <c r="E13" s="61" t="n">
        <f aca="false">IF($B13="","",ROUND(SUMIFS(对接源_02物料!$K$4:$K$1203,对接源_02物料!$C$4:$C$1203,$B13,对接源_02物料!$D$4:$D$1203,"包装物料*"),2))</f>
        <v>0</v>
      </c>
      <c r="F13" s="61" t="n">
        <f aca="false">IF($B13="","",ROUND(SUMIFS(对接源_02物料!$K$4:$K$1203,对接源_02物料!$C$4:$C$1203,$B13,对接源_02物料!$D$4:$D$1203,"周转筐*"),2))</f>
        <v>0</v>
      </c>
      <c r="G13" s="61" t="n">
        <f aca="false">IF($B13="","",ROUND(SUMIFS(对接源_02物料!$K$4:$K$1203,对接源_02物料!$C$4:$C$1203,$B13,对接源_02物料!$D$4:$D$1203,"次果筐*"),2))</f>
        <v>0</v>
      </c>
      <c r="H13" s="61" t="n">
        <f aca="false">IF($B13="","",ROUND(SUM($C13:$G13),2))</f>
        <v>0</v>
      </c>
      <c r="I13" s="61" t="n">
        <f aca="false">IF($B13="","",ROUND(SUMIFS(对接源_01水果!$K$4:$K$1203,对接源_01水果!$C$4:$C$1203,$B13,对接源_01水果!$D$4:$D$1203,"成品出库*",对接源_01水果!$L$4:$L$1203,"已收讫")+SUMIFS(对接源_01水果!$K$4:$K$1203,对接源_01水果!$C$4:$C$1203,$B13,对接源_01水果!$D$4:$D$1203,"成品出库*",对接源_01水果!$L$4:$L$1203,"已付款")+SUMIFS(对接源_01水果!$K$4:$K$1203,对接源_01水果!$C$4:$C$1203,$B13,对接源_01水果!$D$4:$D$1203,"其他代存*",对接源_01水果!$L$4:$L$1203,"已收讫")+SUMIFS(对接源_01水果!$K$4:$K$1203,对接源_01水果!$C$4:$C$1203,$B13,对接源_01水果!$D$4:$D$1203,"其他代存*",对接源_01水果!$L$4:$L$1203,"已付款")+SUMIFS(对接源_02物料!$K$4:$K$1203,对接源_02物料!$C$4:$C$1203,$B13,对接源_02物料!$D$4:$D$1203,"包装物料*",对接源_02物料!$L$4:$L$1203,"已收讫")+SUMIFS(对接源_02物料!$K$4:$K$1203,对接源_02物料!$C$4:$C$1203,$B13,对接源_02物料!$D$4:$D$1203,"包装物料*",对接源_02物料!$L$4:$L$1203,"已付款")+SUMIFS(对接源_02物料!$K$4:$K$1203,对接源_02物料!$C$4:$C$1203,$B13,对接源_02物料!$D$4:$D$1203,"周转筐*",对接源_02物料!$L$4:$L$1203,"已收讫")+SUMIFS(对接源_02物料!$K$4:$K$1203,对接源_02物料!$C$4:$C$1203,$B13,对接源_02物料!$D$4:$D$1203,"周转筐*",对接源_02物料!$L$4:$L$1203,"已付款")+SUMIFS(对接源_02物料!$K$4:$K$1203,对接源_02物料!$C$4:$C$1203,$B13,对接源_02物料!$D$4:$D$1203,"次果筐*",对接源_02物料!$L$4:$L$1203,"已收讫")+SUMIFS(对接源_02物料!$K$4:$K$1203,对接源_02物料!$C$4:$C$1203,$B13,对接源_02物料!$D$4:$D$1203,"次果筐*",对接源_02物料!$L$4:$L$1203,"已付款"),2))</f>
        <v>0</v>
      </c>
      <c r="J13" s="61" t="n">
        <f aca="false">IF($B13="","",ROUND(N($H13)-N($I13),2))</f>
        <v>0</v>
      </c>
      <c r="K13" s="59" t="str">
        <f aca="false">IF($B13="","",IF(ROUND(N($J13),2)&gt;0,"对方欠款",IF(ROUND(N($J13),2)&lt;0,"我方欠款","已两清")))</f>
        <v>已两清</v>
      </c>
      <c r="L13" s="105"/>
    </row>
    <row r="14" customFormat="false" ht="13.5" hidden="false" customHeight="false" outlineLevel="0" collapsed="false">
      <c r="A14" s="59" t="n">
        <f aca="false">IF($B14="","",ROW()-3)</f>
        <v>11</v>
      </c>
      <c r="B14" s="104" t="str">
        <f aca="false">IFERROR(INDEX(_自动清单!$E$4:$E$303,ROW()-3),"")</f>
        <v>荆建君</v>
      </c>
      <c r="C14" s="61" t="n">
        <f aca="false">IF($B14="","",ROUND(SUMIFS(对接源_01水果!$K$4:$K$1203,对接源_01水果!$C$4:$C$1203,$B14,对接源_01水果!$D$4:$D$1203,"成品出库*"),2))</f>
        <v>0</v>
      </c>
      <c r="D14" s="61" t="n">
        <f aca="false">IF($B14="","",ROUND(SUMIFS(对接源_01水果!$K$4:$K$1203,对接源_01水果!$C$4:$C$1203,$B14,对接源_01水果!$D$4:$D$1203,"其他代存*"),2))</f>
        <v>0</v>
      </c>
      <c r="E14" s="61" t="n">
        <f aca="false">IF($B14="","",ROUND(SUMIFS(对接源_02物料!$K$4:$K$1203,对接源_02物料!$C$4:$C$1203,$B14,对接源_02物料!$D$4:$D$1203,"包装物料*"),2))</f>
        <v>10440</v>
      </c>
      <c r="F14" s="61" t="n">
        <f aca="false">IF($B14="","",ROUND(SUMIFS(对接源_02物料!$K$4:$K$1203,对接源_02物料!$C$4:$C$1203,$B14,对接源_02物料!$D$4:$D$1203,"周转筐*"),2))</f>
        <v>0</v>
      </c>
      <c r="G14" s="61" t="n">
        <f aca="false">IF($B14="","",ROUND(SUMIFS(对接源_02物料!$K$4:$K$1203,对接源_02物料!$C$4:$C$1203,$B14,对接源_02物料!$D$4:$D$1203,"次果筐*"),2))</f>
        <v>0</v>
      </c>
      <c r="H14" s="61" t="n">
        <f aca="false">IF($B14="","",ROUND(SUM($C14:$G14),2))</f>
        <v>10440</v>
      </c>
      <c r="I14" s="61" t="n">
        <f aca="false">IF($B14="","",ROUND(SUMIFS(对接源_01水果!$K$4:$K$1203,对接源_01水果!$C$4:$C$1203,$B14,对接源_01水果!$D$4:$D$1203,"成品出库*",对接源_01水果!$L$4:$L$1203,"已收讫")+SUMIFS(对接源_01水果!$K$4:$K$1203,对接源_01水果!$C$4:$C$1203,$B14,对接源_01水果!$D$4:$D$1203,"成品出库*",对接源_01水果!$L$4:$L$1203,"已付款")+SUMIFS(对接源_01水果!$K$4:$K$1203,对接源_01水果!$C$4:$C$1203,$B14,对接源_01水果!$D$4:$D$1203,"其他代存*",对接源_01水果!$L$4:$L$1203,"已收讫")+SUMIFS(对接源_01水果!$K$4:$K$1203,对接源_01水果!$C$4:$C$1203,$B14,对接源_01水果!$D$4:$D$1203,"其他代存*",对接源_01水果!$L$4:$L$1203,"已付款")+SUMIFS(对接源_02物料!$K$4:$K$1203,对接源_02物料!$C$4:$C$1203,$B14,对接源_02物料!$D$4:$D$1203,"包装物料*",对接源_02物料!$L$4:$L$1203,"已收讫")+SUMIFS(对接源_02物料!$K$4:$K$1203,对接源_02物料!$C$4:$C$1203,$B14,对接源_02物料!$D$4:$D$1203,"包装物料*",对接源_02物料!$L$4:$L$1203,"已付款")+SUMIFS(对接源_02物料!$K$4:$K$1203,对接源_02物料!$C$4:$C$1203,$B14,对接源_02物料!$D$4:$D$1203,"周转筐*",对接源_02物料!$L$4:$L$1203,"已收讫")+SUMIFS(对接源_02物料!$K$4:$K$1203,对接源_02物料!$C$4:$C$1203,$B14,对接源_02物料!$D$4:$D$1203,"周转筐*",对接源_02物料!$L$4:$L$1203,"已付款")+SUMIFS(对接源_02物料!$K$4:$K$1203,对接源_02物料!$C$4:$C$1203,$B14,对接源_02物料!$D$4:$D$1203,"次果筐*",对接源_02物料!$L$4:$L$1203,"已收讫")+SUMIFS(对接源_02物料!$K$4:$K$1203,对接源_02物料!$C$4:$C$1203,$B14,对接源_02物料!$D$4:$D$1203,"次果筐*",对接源_02物料!$L$4:$L$1203,"已付款"),2))</f>
        <v>0</v>
      </c>
      <c r="J14" s="61" t="n">
        <f aca="false">IF($B14="","",ROUND(N($H14)-N($I14),2))</f>
        <v>10440</v>
      </c>
      <c r="K14" s="59" t="str">
        <f aca="false">IF($B14="","",IF(ROUND(N($J14),2)&gt;0,"对方欠款",IF(ROUND(N($J14),2)&lt;0,"我方欠款","已两清")))</f>
        <v>对方欠款</v>
      </c>
      <c r="L14" s="105"/>
    </row>
    <row r="15" customFormat="false" ht="13.5" hidden="false" customHeight="false" outlineLevel="0" collapsed="false">
      <c r="A15" s="59" t="n">
        <f aca="false">IF($B15="","",ROW()-3)</f>
        <v>12</v>
      </c>
      <c r="B15" s="104" t="str">
        <f aca="false">IFERROR(INDEX(_自动清单!$E$4:$E$303,ROW()-3),"")</f>
        <v>努尔敦</v>
      </c>
      <c r="C15" s="61" t="n">
        <f aca="false">IF($B15="","",ROUND(SUMIFS(对接源_01水果!$K$4:$K$1203,对接源_01水果!$C$4:$C$1203,$B15,对接源_01水果!$D$4:$D$1203,"成品出库*"),2))</f>
        <v>0</v>
      </c>
      <c r="D15" s="61" t="n">
        <f aca="false">IF($B15="","",ROUND(SUMIFS(对接源_01水果!$K$4:$K$1203,对接源_01水果!$C$4:$C$1203,$B15,对接源_01水果!$D$4:$D$1203,"其他代存*"),2))</f>
        <v>0</v>
      </c>
      <c r="E15" s="61" t="n">
        <f aca="false">IF($B15="","",ROUND(SUMIFS(对接源_02物料!$K$4:$K$1203,对接源_02物料!$C$4:$C$1203,$B15,对接源_02物料!$D$4:$D$1203,"包装物料*"),2))</f>
        <v>10800</v>
      </c>
      <c r="F15" s="61" t="n">
        <f aca="false">IF($B15="","",ROUND(SUMIFS(对接源_02物料!$K$4:$K$1203,对接源_02物料!$C$4:$C$1203,$B15,对接源_02物料!$D$4:$D$1203,"周转筐*"),2))</f>
        <v>0</v>
      </c>
      <c r="G15" s="61" t="n">
        <f aca="false">IF($B15="","",ROUND(SUMIFS(对接源_02物料!$K$4:$K$1203,对接源_02物料!$C$4:$C$1203,$B15,对接源_02物料!$D$4:$D$1203,"次果筐*"),2))</f>
        <v>0</v>
      </c>
      <c r="H15" s="61" t="n">
        <f aca="false">IF($B15="","",ROUND(SUM($C15:$G15),2))</f>
        <v>10800</v>
      </c>
      <c r="I15" s="61" t="n">
        <f aca="false">IF($B15="","",ROUND(SUMIFS(对接源_01水果!$K$4:$K$1203,对接源_01水果!$C$4:$C$1203,$B15,对接源_01水果!$D$4:$D$1203,"成品出库*",对接源_01水果!$L$4:$L$1203,"已收讫")+SUMIFS(对接源_01水果!$K$4:$K$1203,对接源_01水果!$C$4:$C$1203,$B15,对接源_01水果!$D$4:$D$1203,"成品出库*",对接源_01水果!$L$4:$L$1203,"已付款")+SUMIFS(对接源_01水果!$K$4:$K$1203,对接源_01水果!$C$4:$C$1203,$B15,对接源_01水果!$D$4:$D$1203,"其他代存*",对接源_01水果!$L$4:$L$1203,"已收讫")+SUMIFS(对接源_01水果!$K$4:$K$1203,对接源_01水果!$C$4:$C$1203,$B15,对接源_01水果!$D$4:$D$1203,"其他代存*",对接源_01水果!$L$4:$L$1203,"已付款")+SUMIFS(对接源_02物料!$K$4:$K$1203,对接源_02物料!$C$4:$C$1203,$B15,对接源_02物料!$D$4:$D$1203,"包装物料*",对接源_02物料!$L$4:$L$1203,"已收讫")+SUMIFS(对接源_02物料!$K$4:$K$1203,对接源_02物料!$C$4:$C$1203,$B15,对接源_02物料!$D$4:$D$1203,"包装物料*",对接源_02物料!$L$4:$L$1203,"已付款")+SUMIFS(对接源_02物料!$K$4:$K$1203,对接源_02物料!$C$4:$C$1203,$B15,对接源_02物料!$D$4:$D$1203,"周转筐*",对接源_02物料!$L$4:$L$1203,"已收讫")+SUMIFS(对接源_02物料!$K$4:$K$1203,对接源_02物料!$C$4:$C$1203,$B15,对接源_02物料!$D$4:$D$1203,"周转筐*",对接源_02物料!$L$4:$L$1203,"已付款")+SUMIFS(对接源_02物料!$K$4:$K$1203,对接源_02物料!$C$4:$C$1203,$B15,对接源_02物料!$D$4:$D$1203,"次果筐*",对接源_02物料!$L$4:$L$1203,"已收讫")+SUMIFS(对接源_02物料!$K$4:$K$1203,对接源_02物料!$C$4:$C$1203,$B15,对接源_02物料!$D$4:$D$1203,"次果筐*",对接源_02物料!$L$4:$L$1203,"已付款"),2))</f>
        <v>0</v>
      </c>
      <c r="J15" s="61" t="n">
        <f aca="false">IF($B15="","",ROUND(N($H15)-N($I15),2))</f>
        <v>10800</v>
      </c>
      <c r="K15" s="59" t="str">
        <f aca="false">IF($B15="","",IF(ROUND(N($J15),2)&gt;0,"对方欠款",IF(ROUND(N($J15),2)&lt;0,"我方欠款","已两清")))</f>
        <v>对方欠款</v>
      </c>
      <c r="L15" s="105"/>
    </row>
    <row r="16" customFormat="false" ht="13.5" hidden="false" customHeight="false" outlineLevel="0" collapsed="false">
      <c r="A16" s="59" t="n">
        <f aca="false">IF($B16="","",ROW()-3)</f>
        <v>13</v>
      </c>
      <c r="B16" s="104" t="str">
        <f aca="false">IFERROR(INDEX(_自动清单!$E$4:$E$303,ROW()-3),"")</f>
        <v>王浩</v>
      </c>
      <c r="C16" s="61" t="n">
        <f aca="false">IF($B16="","",ROUND(SUMIFS(对接源_01水果!$K$4:$K$1203,对接源_01水果!$C$4:$C$1203,$B16,对接源_01水果!$D$4:$D$1203,"成品出库*"),2))</f>
        <v>0</v>
      </c>
      <c r="D16" s="61" t="n">
        <f aca="false">IF($B16="","",ROUND(SUMIFS(对接源_01水果!$K$4:$K$1203,对接源_01水果!$C$4:$C$1203,$B16,对接源_01水果!$D$4:$D$1203,"其他代存*"),2))</f>
        <v>0</v>
      </c>
      <c r="E16" s="61" t="n">
        <f aca="false">IF($B16="","",ROUND(SUMIFS(对接源_02物料!$K$4:$K$1203,对接源_02物料!$C$4:$C$1203,$B16,对接源_02物料!$D$4:$D$1203,"包装物料*"),2))</f>
        <v>0</v>
      </c>
      <c r="F16" s="61" t="n">
        <f aca="false">IF($B16="","",ROUND(SUMIFS(对接源_02物料!$K$4:$K$1203,对接源_02物料!$C$4:$C$1203,$B16,对接源_02物料!$D$4:$D$1203,"周转筐*"),2))</f>
        <v>0</v>
      </c>
      <c r="G16" s="61" t="n">
        <f aca="false">IF($B16="","",ROUND(SUMIFS(对接源_02物料!$K$4:$K$1203,对接源_02物料!$C$4:$C$1203,$B16,对接源_02物料!$D$4:$D$1203,"次果筐*"),2))</f>
        <v>0</v>
      </c>
      <c r="H16" s="61" t="n">
        <f aca="false">IF($B16="","",ROUND(SUM($C16:$G16),2))</f>
        <v>0</v>
      </c>
      <c r="I16" s="61" t="n">
        <f aca="false">IF($B16="","",ROUND(SUMIFS(对接源_01水果!$K$4:$K$1203,对接源_01水果!$C$4:$C$1203,$B16,对接源_01水果!$D$4:$D$1203,"成品出库*",对接源_01水果!$L$4:$L$1203,"已收讫")+SUMIFS(对接源_01水果!$K$4:$K$1203,对接源_01水果!$C$4:$C$1203,$B16,对接源_01水果!$D$4:$D$1203,"成品出库*",对接源_01水果!$L$4:$L$1203,"已付款")+SUMIFS(对接源_01水果!$K$4:$K$1203,对接源_01水果!$C$4:$C$1203,$B16,对接源_01水果!$D$4:$D$1203,"其他代存*",对接源_01水果!$L$4:$L$1203,"已收讫")+SUMIFS(对接源_01水果!$K$4:$K$1203,对接源_01水果!$C$4:$C$1203,$B16,对接源_01水果!$D$4:$D$1203,"其他代存*",对接源_01水果!$L$4:$L$1203,"已付款")+SUMIFS(对接源_02物料!$K$4:$K$1203,对接源_02物料!$C$4:$C$1203,$B16,对接源_02物料!$D$4:$D$1203,"包装物料*",对接源_02物料!$L$4:$L$1203,"已收讫")+SUMIFS(对接源_02物料!$K$4:$K$1203,对接源_02物料!$C$4:$C$1203,$B16,对接源_02物料!$D$4:$D$1203,"包装物料*",对接源_02物料!$L$4:$L$1203,"已付款")+SUMIFS(对接源_02物料!$K$4:$K$1203,对接源_02物料!$C$4:$C$1203,$B16,对接源_02物料!$D$4:$D$1203,"周转筐*",对接源_02物料!$L$4:$L$1203,"已收讫")+SUMIFS(对接源_02物料!$K$4:$K$1203,对接源_02物料!$C$4:$C$1203,$B16,对接源_02物料!$D$4:$D$1203,"周转筐*",对接源_02物料!$L$4:$L$1203,"已付款")+SUMIFS(对接源_02物料!$K$4:$K$1203,对接源_02物料!$C$4:$C$1203,$B16,对接源_02物料!$D$4:$D$1203,"次果筐*",对接源_02物料!$L$4:$L$1203,"已收讫")+SUMIFS(对接源_02物料!$K$4:$K$1203,对接源_02物料!$C$4:$C$1203,$B16,对接源_02物料!$D$4:$D$1203,"次果筐*",对接源_02物料!$L$4:$L$1203,"已付款"),2))</f>
        <v>0</v>
      </c>
      <c r="J16" s="61" t="n">
        <f aca="false">IF($B16="","",ROUND(N($H16)-N($I16),2))</f>
        <v>0</v>
      </c>
      <c r="K16" s="59" t="str">
        <f aca="false">IF($B16="","",IF(ROUND(N($J16),2)&gt;0,"对方欠款",IF(ROUND(N($J16),2)&lt;0,"我方欠款","已两清")))</f>
        <v>已两清</v>
      </c>
      <c r="L16" s="105"/>
    </row>
    <row r="17" customFormat="false" ht="13.5" hidden="false" customHeight="false" outlineLevel="0" collapsed="false">
      <c r="A17" s="59" t="n">
        <f aca="false">IF($B17="","",ROW()-3)</f>
        <v>14</v>
      </c>
      <c r="B17" s="104" t="str">
        <f aca="false">IFERROR(INDEX(_自动清单!$E$4:$E$303,ROW()-3),"")</f>
        <v>果然鲜</v>
      </c>
      <c r="C17" s="61" t="n">
        <f aca="false">IF($B17="","",ROUND(SUMIFS(对接源_01水果!$K$4:$K$1203,对接源_01水果!$C$4:$C$1203,$B17,对接源_01水果!$D$4:$D$1203,"成品出库*"),2))</f>
        <v>0</v>
      </c>
      <c r="D17" s="61" t="n">
        <f aca="false">IF($B17="","",ROUND(SUMIFS(对接源_01水果!$K$4:$K$1203,对接源_01水果!$C$4:$C$1203,$B17,对接源_01水果!$D$4:$D$1203,"其他代存*"),2))</f>
        <v>0</v>
      </c>
      <c r="E17" s="61" t="n">
        <f aca="false">IF($B17="","",ROUND(SUMIFS(对接源_02物料!$K$4:$K$1203,对接源_02物料!$C$4:$C$1203,$B17,对接源_02物料!$D$4:$D$1203,"包装物料*"),2))</f>
        <v>0</v>
      </c>
      <c r="F17" s="61" t="n">
        <f aca="false">IF($B17="","",ROUND(SUMIFS(对接源_02物料!$K$4:$K$1203,对接源_02物料!$C$4:$C$1203,$B17,对接源_02物料!$D$4:$D$1203,"周转筐*"),2))</f>
        <v>0</v>
      </c>
      <c r="G17" s="61" t="n">
        <f aca="false">IF($B17="","",ROUND(SUMIFS(对接源_02物料!$K$4:$K$1203,对接源_02物料!$C$4:$C$1203,$B17,对接源_02物料!$D$4:$D$1203,"次果筐*"),2))</f>
        <v>0</v>
      </c>
      <c r="H17" s="61" t="n">
        <f aca="false">IF($B17="","",ROUND(SUM($C17:$G17),2))</f>
        <v>0</v>
      </c>
      <c r="I17" s="61" t="n">
        <f aca="false">IF($B17="","",ROUND(SUMIFS(对接源_01水果!$K$4:$K$1203,对接源_01水果!$C$4:$C$1203,$B17,对接源_01水果!$D$4:$D$1203,"成品出库*",对接源_01水果!$L$4:$L$1203,"已收讫")+SUMIFS(对接源_01水果!$K$4:$K$1203,对接源_01水果!$C$4:$C$1203,$B17,对接源_01水果!$D$4:$D$1203,"成品出库*",对接源_01水果!$L$4:$L$1203,"已付款")+SUMIFS(对接源_01水果!$K$4:$K$1203,对接源_01水果!$C$4:$C$1203,$B17,对接源_01水果!$D$4:$D$1203,"其他代存*",对接源_01水果!$L$4:$L$1203,"已收讫")+SUMIFS(对接源_01水果!$K$4:$K$1203,对接源_01水果!$C$4:$C$1203,$B17,对接源_01水果!$D$4:$D$1203,"其他代存*",对接源_01水果!$L$4:$L$1203,"已付款")+SUMIFS(对接源_02物料!$K$4:$K$1203,对接源_02物料!$C$4:$C$1203,$B17,对接源_02物料!$D$4:$D$1203,"包装物料*",对接源_02物料!$L$4:$L$1203,"已收讫")+SUMIFS(对接源_02物料!$K$4:$K$1203,对接源_02物料!$C$4:$C$1203,$B17,对接源_02物料!$D$4:$D$1203,"包装物料*",对接源_02物料!$L$4:$L$1203,"已付款")+SUMIFS(对接源_02物料!$K$4:$K$1203,对接源_02物料!$C$4:$C$1203,$B17,对接源_02物料!$D$4:$D$1203,"周转筐*",对接源_02物料!$L$4:$L$1203,"已收讫")+SUMIFS(对接源_02物料!$K$4:$K$1203,对接源_02物料!$C$4:$C$1203,$B17,对接源_02物料!$D$4:$D$1203,"周转筐*",对接源_02物料!$L$4:$L$1203,"已付款")+SUMIFS(对接源_02物料!$K$4:$K$1203,对接源_02物料!$C$4:$C$1203,$B17,对接源_02物料!$D$4:$D$1203,"次果筐*",对接源_02物料!$L$4:$L$1203,"已收讫")+SUMIFS(对接源_02物料!$K$4:$K$1203,对接源_02物料!$C$4:$C$1203,$B17,对接源_02物料!$D$4:$D$1203,"次果筐*",对接源_02物料!$L$4:$L$1203,"已付款"),2))</f>
        <v>0</v>
      </c>
      <c r="J17" s="61" t="n">
        <f aca="false">IF($B17="","",ROUND(N($H17)-N($I17),2))</f>
        <v>0</v>
      </c>
      <c r="K17" s="59" t="str">
        <f aca="false">IF($B17="","",IF(ROUND(N($J17),2)&gt;0,"对方欠款",IF(ROUND(N($J17),2)&lt;0,"我方欠款","已两清")))</f>
        <v>已两清</v>
      </c>
      <c r="L17" s="105"/>
    </row>
    <row r="18" customFormat="false" ht="13.5" hidden="false" customHeight="false" outlineLevel="0" collapsed="false">
      <c r="A18" s="59" t="n">
        <f aca="false">IF($B18="","",ROW()-3)</f>
        <v>15</v>
      </c>
      <c r="B18" s="104" t="str">
        <f aca="false">IFERROR(INDEX(_自动清单!$E$4:$E$303,ROW()-3),"")</f>
        <v>新顺发泡网</v>
      </c>
      <c r="C18" s="61" t="n">
        <f aca="false">IF($B18="","",ROUND(SUMIFS(对接源_01水果!$K$4:$K$1203,对接源_01水果!$C$4:$C$1203,$B18,对接源_01水果!$D$4:$D$1203,"成品出库*"),2))</f>
        <v>0</v>
      </c>
      <c r="D18" s="61" t="n">
        <f aca="false">IF($B18="","",ROUND(SUMIFS(对接源_01水果!$K$4:$K$1203,对接源_01水果!$C$4:$C$1203,$B18,对接源_01水果!$D$4:$D$1203,"其他代存*"),2))</f>
        <v>0</v>
      </c>
      <c r="E18" s="61" t="n">
        <f aca="false">IF($B18="","",ROUND(SUMIFS(对接源_02物料!$K$4:$K$1203,对接源_02物料!$C$4:$C$1203,$B18,对接源_02物料!$D$4:$D$1203,"包装物料*"),2))</f>
        <v>40848</v>
      </c>
      <c r="F18" s="61" t="n">
        <f aca="false">IF($B18="","",ROUND(SUMIFS(对接源_02物料!$K$4:$K$1203,对接源_02物料!$C$4:$C$1203,$B18,对接源_02物料!$D$4:$D$1203,"周转筐*"),2))</f>
        <v>0</v>
      </c>
      <c r="G18" s="61" t="n">
        <f aca="false">IF($B18="","",ROUND(SUMIFS(对接源_02物料!$K$4:$K$1203,对接源_02物料!$C$4:$C$1203,$B18,对接源_02物料!$D$4:$D$1203,"次果筐*"),2))</f>
        <v>0</v>
      </c>
      <c r="H18" s="61" t="n">
        <f aca="false">IF($B18="","",ROUND(SUM($C18:$G18),2))</f>
        <v>40848</v>
      </c>
      <c r="I18" s="61" t="n">
        <f aca="false">IF($B18="","",ROUND(SUMIFS(对接源_01水果!$K$4:$K$1203,对接源_01水果!$C$4:$C$1203,$B18,对接源_01水果!$D$4:$D$1203,"成品出库*",对接源_01水果!$L$4:$L$1203,"已收讫")+SUMIFS(对接源_01水果!$K$4:$K$1203,对接源_01水果!$C$4:$C$1203,$B18,对接源_01水果!$D$4:$D$1203,"成品出库*",对接源_01水果!$L$4:$L$1203,"已付款")+SUMIFS(对接源_01水果!$K$4:$K$1203,对接源_01水果!$C$4:$C$1203,$B18,对接源_01水果!$D$4:$D$1203,"其他代存*",对接源_01水果!$L$4:$L$1203,"已收讫")+SUMIFS(对接源_01水果!$K$4:$K$1203,对接源_01水果!$C$4:$C$1203,$B18,对接源_01水果!$D$4:$D$1203,"其他代存*",对接源_01水果!$L$4:$L$1203,"已付款")+SUMIFS(对接源_02物料!$K$4:$K$1203,对接源_02物料!$C$4:$C$1203,$B18,对接源_02物料!$D$4:$D$1203,"包装物料*",对接源_02物料!$L$4:$L$1203,"已收讫")+SUMIFS(对接源_02物料!$K$4:$K$1203,对接源_02物料!$C$4:$C$1203,$B18,对接源_02物料!$D$4:$D$1203,"包装物料*",对接源_02物料!$L$4:$L$1203,"已付款")+SUMIFS(对接源_02物料!$K$4:$K$1203,对接源_02物料!$C$4:$C$1203,$B18,对接源_02物料!$D$4:$D$1203,"周转筐*",对接源_02物料!$L$4:$L$1203,"已收讫")+SUMIFS(对接源_02物料!$K$4:$K$1203,对接源_02物料!$C$4:$C$1203,$B18,对接源_02物料!$D$4:$D$1203,"周转筐*",对接源_02物料!$L$4:$L$1203,"已付款")+SUMIFS(对接源_02物料!$K$4:$K$1203,对接源_02物料!$C$4:$C$1203,$B18,对接源_02物料!$D$4:$D$1203,"次果筐*",对接源_02物料!$L$4:$L$1203,"已收讫")+SUMIFS(对接源_02物料!$K$4:$K$1203,对接源_02物料!$C$4:$C$1203,$B18,对接源_02物料!$D$4:$D$1203,"次果筐*",对接源_02物料!$L$4:$L$1203,"已付款"),2))</f>
        <v>23828</v>
      </c>
      <c r="J18" s="61" t="n">
        <f aca="false">IF($B18="","",ROUND(N($H18)-N($I18),2))</f>
        <v>17020</v>
      </c>
      <c r="K18" s="59" t="str">
        <f aca="false">IF($B18="","",IF(ROUND(N($J18),2)&gt;0,"对方欠款",IF(ROUND(N($J18),2)&lt;0,"我方欠款","已两清")))</f>
        <v>对方欠款</v>
      </c>
      <c r="L18" s="105"/>
    </row>
    <row r="19" customFormat="false" ht="13.5" hidden="false" customHeight="false" outlineLevel="0" collapsed="false">
      <c r="A19" s="59" t="n">
        <f aca="false">IF($B19="","",ROW()-3)</f>
        <v>16</v>
      </c>
      <c r="B19" s="104" t="str">
        <f aca="false">IFERROR(INDEX(_自动清单!$E$4:$E$303,ROW()-3),"")</f>
        <v>吐尔逊</v>
      </c>
      <c r="C19" s="61" t="n">
        <f aca="false">IF($B19="","",ROUND(SUMIFS(对接源_01水果!$K$4:$K$1203,对接源_01水果!$C$4:$C$1203,$B19,对接源_01水果!$D$4:$D$1203,"成品出库*"),2))</f>
        <v>0</v>
      </c>
      <c r="D19" s="61" t="n">
        <f aca="false">IF($B19="","",ROUND(SUMIFS(对接源_01水果!$K$4:$K$1203,对接源_01水果!$C$4:$C$1203,$B19,对接源_01水果!$D$4:$D$1203,"其他代存*"),2))</f>
        <v>0</v>
      </c>
      <c r="E19" s="61" t="n">
        <f aca="false">IF($B19="","",ROUND(SUMIFS(对接源_02物料!$K$4:$K$1203,对接源_02物料!$C$4:$C$1203,$B19,对接源_02物料!$D$4:$D$1203,"包装物料*"),2))</f>
        <v>840</v>
      </c>
      <c r="F19" s="61" t="n">
        <f aca="false">IF($B19="","",ROUND(SUMIFS(对接源_02物料!$K$4:$K$1203,对接源_02物料!$C$4:$C$1203,$B19,对接源_02物料!$D$4:$D$1203,"周转筐*"),2))</f>
        <v>0</v>
      </c>
      <c r="G19" s="61" t="n">
        <f aca="false">IF($B19="","",ROUND(SUMIFS(对接源_02物料!$K$4:$K$1203,对接源_02物料!$C$4:$C$1203,$B19,对接源_02物料!$D$4:$D$1203,"次果筐*"),2))</f>
        <v>0</v>
      </c>
      <c r="H19" s="61" t="n">
        <f aca="false">IF($B19="","",ROUND(SUM($C19:$G19),2))</f>
        <v>840</v>
      </c>
      <c r="I19" s="61" t="n">
        <f aca="false">IF($B19="","",ROUND(SUMIFS(对接源_01水果!$K$4:$K$1203,对接源_01水果!$C$4:$C$1203,$B19,对接源_01水果!$D$4:$D$1203,"成品出库*",对接源_01水果!$L$4:$L$1203,"已收讫")+SUMIFS(对接源_01水果!$K$4:$K$1203,对接源_01水果!$C$4:$C$1203,$B19,对接源_01水果!$D$4:$D$1203,"成品出库*",对接源_01水果!$L$4:$L$1203,"已付款")+SUMIFS(对接源_01水果!$K$4:$K$1203,对接源_01水果!$C$4:$C$1203,$B19,对接源_01水果!$D$4:$D$1203,"其他代存*",对接源_01水果!$L$4:$L$1203,"已收讫")+SUMIFS(对接源_01水果!$K$4:$K$1203,对接源_01水果!$C$4:$C$1203,$B19,对接源_01水果!$D$4:$D$1203,"其他代存*",对接源_01水果!$L$4:$L$1203,"已付款")+SUMIFS(对接源_02物料!$K$4:$K$1203,对接源_02物料!$C$4:$C$1203,$B19,对接源_02物料!$D$4:$D$1203,"包装物料*",对接源_02物料!$L$4:$L$1203,"已收讫")+SUMIFS(对接源_02物料!$K$4:$K$1203,对接源_02物料!$C$4:$C$1203,$B19,对接源_02物料!$D$4:$D$1203,"包装物料*",对接源_02物料!$L$4:$L$1203,"已付款")+SUMIFS(对接源_02物料!$K$4:$K$1203,对接源_02物料!$C$4:$C$1203,$B19,对接源_02物料!$D$4:$D$1203,"周转筐*",对接源_02物料!$L$4:$L$1203,"已收讫")+SUMIFS(对接源_02物料!$K$4:$K$1203,对接源_02物料!$C$4:$C$1203,$B19,对接源_02物料!$D$4:$D$1203,"周转筐*",对接源_02物料!$L$4:$L$1203,"已付款")+SUMIFS(对接源_02物料!$K$4:$K$1203,对接源_02物料!$C$4:$C$1203,$B19,对接源_02物料!$D$4:$D$1203,"次果筐*",对接源_02物料!$L$4:$L$1203,"已收讫")+SUMIFS(对接源_02物料!$K$4:$K$1203,对接源_02物料!$C$4:$C$1203,$B19,对接源_02物料!$D$4:$D$1203,"次果筐*",对接源_02物料!$L$4:$L$1203,"已付款"),2))</f>
        <v>0</v>
      </c>
      <c r="J19" s="61" t="n">
        <f aca="false">IF($B19="","",ROUND(N($H19)-N($I19),2))</f>
        <v>840</v>
      </c>
      <c r="K19" s="59" t="str">
        <f aca="false">IF($B19="","",IF(ROUND(N($J19),2)&gt;0,"对方欠款",IF(ROUND(N($J19),2)&lt;0,"我方欠款","已两清")))</f>
        <v>对方欠款</v>
      </c>
      <c r="L19" s="105"/>
    </row>
    <row r="20" customFormat="false" ht="13.5" hidden="false" customHeight="false" outlineLevel="0" collapsed="false">
      <c r="A20" s="59" t="n">
        <f aca="false">IF($B20="","",ROW()-3)</f>
        <v>17</v>
      </c>
      <c r="B20" s="104" t="str">
        <f aca="false">IFERROR(INDEX(_自动清单!$E$4:$E$303,ROW()-3),"")</f>
        <v>全修塑业</v>
      </c>
      <c r="C20" s="61" t="n">
        <f aca="false">IF($B20="","",ROUND(SUMIFS(对接源_01水果!$K$4:$K$1203,对接源_01水果!$C$4:$C$1203,$B20,对接源_01水果!$D$4:$D$1203,"成品出库*"),2))</f>
        <v>0</v>
      </c>
      <c r="D20" s="61" t="n">
        <f aca="false">IF($B20="","",ROUND(SUMIFS(对接源_01水果!$K$4:$K$1203,对接源_01水果!$C$4:$C$1203,$B20,对接源_01水果!$D$4:$D$1203,"其他代存*"),2))</f>
        <v>0</v>
      </c>
      <c r="E20" s="61" t="n">
        <f aca="false">IF($B20="","",ROUND(SUMIFS(对接源_02物料!$K$4:$K$1203,对接源_02物料!$C$4:$C$1203,$B20,对接源_02物料!$D$4:$D$1203,"包装物料*"),2))</f>
        <v>0</v>
      </c>
      <c r="F20" s="61" t="n">
        <f aca="false">IF($B20="","",ROUND(SUMIFS(对接源_02物料!$K$4:$K$1203,对接源_02物料!$C$4:$C$1203,$B20,对接源_02物料!$D$4:$D$1203,"周转筐*"),2))</f>
        <v>174720</v>
      </c>
      <c r="G20" s="61" t="n">
        <f aca="false">IF($B20="","",ROUND(SUMIFS(对接源_02物料!$K$4:$K$1203,对接源_02物料!$C$4:$C$1203,$B20,对接源_02物料!$D$4:$D$1203,"次果筐*"),2))</f>
        <v>0</v>
      </c>
      <c r="H20" s="61" t="n">
        <f aca="false">IF($B20="","",ROUND(SUM($C20:$G20),2))</f>
        <v>174720</v>
      </c>
      <c r="I20" s="61" t="n">
        <f aca="false">IF($B20="","",ROUND(SUMIFS(对接源_01水果!$K$4:$K$1203,对接源_01水果!$C$4:$C$1203,$B20,对接源_01水果!$D$4:$D$1203,"成品出库*",对接源_01水果!$L$4:$L$1203,"已收讫")+SUMIFS(对接源_01水果!$K$4:$K$1203,对接源_01水果!$C$4:$C$1203,$B20,对接源_01水果!$D$4:$D$1203,"成品出库*",对接源_01水果!$L$4:$L$1203,"已付款")+SUMIFS(对接源_01水果!$K$4:$K$1203,对接源_01水果!$C$4:$C$1203,$B20,对接源_01水果!$D$4:$D$1203,"其他代存*",对接源_01水果!$L$4:$L$1203,"已收讫")+SUMIFS(对接源_01水果!$K$4:$K$1203,对接源_01水果!$C$4:$C$1203,$B20,对接源_01水果!$D$4:$D$1203,"其他代存*",对接源_01水果!$L$4:$L$1203,"已付款")+SUMIFS(对接源_02物料!$K$4:$K$1203,对接源_02物料!$C$4:$C$1203,$B20,对接源_02物料!$D$4:$D$1203,"包装物料*",对接源_02物料!$L$4:$L$1203,"已收讫")+SUMIFS(对接源_02物料!$K$4:$K$1203,对接源_02物料!$C$4:$C$1203,$B20,对接源_02物料!$D$4:$D$1203,"包装物料*",对接源_02物料!$L$4:$L$1203,"已付款")+SUMIFS(对接源_02物料!$K$4:$K$1203,对接源_02物料!$C$4:$C$1203,$B20,对接源_02物料!$D$4:$D$1203,"周转筐*",对接源_02物料!$L$4:$L$1203,"已收讫")+SUMIFS(对接源_02物料!$K$4:$K$1203,对接源_02物料!$C$4:$C$1203,$B20,对接源_02物料!$D$4:$D$1203,"周转筐*",对接源_02物料!$L$4:$L$1203,"已付款")+SUMIFS(对接源_02物料!$K$4:$K$1203,对接源_02物料!$C$4:$C$1203,$B20,对接源_02物料!$D$4:$D$1203,"次果筐*",对接源_02物料!$L$4:$L$1203,"已收讫")+SUMIFS(对接源_02物料!$K$4:$K$1203,对接源_02物料!$C$4:$C$1203,$B20,对接源_02物料!$D$4:$D$1203,"次果筐*",对接源_02物料!$L$4:$L$1203,"已付款"),2))</f>
        <v>0</v>
      </c>
      <c r="J20" s="61" t="n">
        <f aca="false">IF($B20="","",ROUND(N($H20)-N($I20),2))</f>
        <v>174720</v>
      </c>
      <c r="K20" s="59" t="str">
        <f aca="false">IF($B20="","",IF(ROUND(N($J20),2)&gt;0,"对方欠款",IF(ROUND(N($J20),2)&lt;0,"我方欠款","已两清")))</f>
        <v>对方欠款</v>
      </c>
      <c r="L20" s="105"/>
    </row>
    <row r="21" customFormat="false" ht="13.5" hidden="false" customHeight="false" outlineLevel="0" collapsed="false">
      <c r="A21" s="59" t="str">
        <f aca="false">IF($B21="","",ROW()-3)</f>
        <v/>
      </c>
      <c r="B21" s="104" t="str">
        <f aca="false">IFERROR(INDEX(_自动清单!$E$4:$E$303,ROW()-3),"")</f>
        <v/>
      </c>
      <c r="C21" s="61" t="str">
        <f aca="false">IF($B21="","",ROUND(SUMIFS(对接源_01水果!$K$4:$K$1203,对接源_01水果!$C$4:$C$1203,$B21,对接源_01水果!$D$4:$D$1203,"成品出库*"),2))</f>
        <v/>
      </c>
      <c r="D21" s="61" t="str">
        <f aca="false">IF($B21="","",ROUND(SUMIFS(对接源_01水果!$K$4:$K$1203,对接源_01水果!$C$4:$C$1203,$B21,对接源_01水果!$D$4:$D$1203,"其他代存*"),2))</f>
        <v/>
      </c>
      <c r="E21" s="61" t="str">
        <f aca="false">IF($B21="","",ROUND(SUMIFS(对接源_02物料!$K$4:$K$1203,对接源_02物料!$C$4:$C$1203,$B21,对接源_02物料!$D$4:$D$1203,"包装物料*"),2))</f>
        <v/>
      </c>
      <c r="F21" s="61" t="str">
        <f aca="false">IF($B21="","",ROUND(SUMIFS(对接源_02物料!$K$4:$K$1203,对接源_02物料!$C$4:$C$1203,$B21,对接源_02物料!$D$4:$D$1203,"周转筐*"),2))</f>
        <v/>
      </c>
      <c r="G21" s="61" t="str">
        <f aca="false">IF($B21="","",ROUND(SUMIFS(对接源_02物料!$K$4:$K$1203,对接源_02物料!$C$4:$C$1203,$B21,对接源_02物料!$D$4:$D$1203,"次果筐*"),2))</f>
        <v/>
      </c>
      <c r="H21" s="61" t="str">
        <f aca="false">IF($B21="","",ROUND(SUM($C21:$G21),2))</f>
        <v/>
      </c>
      <c r="I21" s="61" t="str">
        <f aca="false">IF($B21="","",ROUND(SUMIFS(对接源_01水果!$K$4:$K$1203,对接源_01水果!$C$4:$C$1203,$B21,对接源_01水果!$D$4:$D$1203,"成品出库*",对接源_01水果!$L$4:$L$1203,"已收讫")+SUMIFS(对接源_01水果!$K$4:$K$1203,对接源_01水果!$C$4:$C$1203,$B21,对接源_01水果!$D$4:$D$1203,"成品出库*",对接源_01水果!$L$4:$L$1203,"已付款")+SUMIFS(对接源_01水果!$K$4:$K$1203,对接源_01水果!$C$4:$C$1203,$B21,对接源_01水果!$D$4:$D$1203,"其他代存*",对接源_01水果!$L$4:$L$1203,"已收讫")+SUMIFS(对接源_01水果!$K$4:$K$1203,对接源_01水果!$C$4:$C$1203,$B21,对接源_01水果!$D$4:$D$1203,"其他代存*",对接源_01水果!$L$4:$L$1203,"已付款")+SUMIFS(对接源_02物料!$K$4:$K$1203,对接源_02物料!$C$4:$C$1203,$B21,对接源_02物料!$D$4:$D$1203,"包装物料*",对接源_02物料!$L$4:$L$1203,"已收讫")+SUMIFS(对接源_02物料!$K$4:$K$1203,对接源_02物料!$C$4:$C$1203,$B21,对接源_02物料!$D$4:$D$1203,"包装物料*",对接源_02物料!$L$4:$L$1203,"已付款")+SUMIFS(对接源_02物料!$K$4:$K$1203,对接源_02物料!$C$4:$C$1203,$B21,对接源_02物料!$D$4:$D$1203,"周转筐*",对接源_02物料!$L$4:$L$1203,"已收讫")+SUMIFS(对接源_02物料!$K$4:$K$1203,对接源_02物料!$C$4:$C$1203,$B21,对接源_02物料!$D$4:$D$1203,"周转筐*",对接源_02物料!$L$4:$L$1203,"已付款")+SUMIFS(对接源_02物料!$K$4:$K$1203,对接源_02物料!$C$4:$C$1203,$B21,对接源_02物料!$D$4:$D$1203,"次果筐*",对接源_02物料!$L$4:$L$1203,"已收讫")+SUMIFS(对接源_02物料!$K$4:$K$1203,对接源_02物料!$C$4:$C$1203,$B21,对接源_02物料!$D$4:$D$1203,"次果筐*",对接源_02物料!$L$4:$L$1203,"已付款"),2))</f>
        <v/>
      </c>
      <c r="J21" s="61" t="str">
        <f aca="false">IF($B21="","",ROUND(N($H21)-N($I21),2))</f>
        <v/>
      </c>
      <c r="K21" s="59" t="str">
        <f aca="false">IF($B21="","",IF(ROUND(N($J21),2)&gt;0,"对方欠款",IF(ROUND(N($J21),2)&lt;0,"我方欠款","已两清")))</f>
        <v/>
      </c>
      <c r="L21" s="105"/>
    </row>
    <row r="22" customFormat="false" ht="13.5" hidden="false" customHeight="false" outlineLevel="0" collapsed="false">
      <c r="A22" s="59" t="str">
        <f aca="false">IF($B22="","",ROW()-3)</f>
        <v/>
      </c>
      <c r="B22" s="104" t="str">
        <f aca="false">IFERROR(INDEX(_自动清单!$E$4:$E$303,ROW()-3),"")</f>
        <v/>
      </c>
      <c r="C22" s="61" t="str">
        <f aca="false">IF($B22="","",ROUND(SUMIFS(对接源_01水果!$K$4:$K$1203,对接源_01水果!$C$4:$C$1203,$B22,对接源_01水果!$D$4:$D$1203,"成品出库*"),2))</f>
        <v/>
      </c>
      <c r="D22" s="61" t="str">
        <f aca="false">IF($B22="","",ROUND(SUMIFS(对接源_01水果!$K$4:$K$1203,对接源_01水果!$C$4:$C$1203,$B22,对接源_01水果!$D$4:$D$1203,"其他代存*"),2))</f>
        <v/>
      </c>
      <c r="E22" s="61" t="str">
        <f aca="false">IF($B22="","",ROUND(SUMIFS(对接源_02物料!$K$4:$K$1203,对接源_02物料!$C$4:$C$1203,$B22,对接源_02物料!$D$4:$D$1203,"包装物料*"),2))</f>
        <v/>
      </c>
      <c r="F22" s="61" t="str">
        <f aca="false">IF($B22="","",ROUND(SUMIFS(对接源_02物料!$K$4:$K$1203,对接源_02物料!$C$4:$C$1203,$B22,对接源_02物料!$D$4:$D$1203,"周转筐*"),2))</f>
        <v/>
      </c>
      <c r="G22" s="61" t="str">
        <f aca="false">IF($B22="","",ROUND(SUMIFS(对接源_02物料!$K$4:$K$1203,对接源_02物料!$C$4:$C$1203,$B22,对接源_02物料!$D$4:$D$1203,"次果筐*"),2))</f>
        <v/>
      </c>
      <c r="H22" s="61" t="str">
        <f aca="false">IF($B22="","",ROUND(SUM($C22:$G22),2))</f>
        <v/>
      </c>
      <c r="I22" s="61" t="str">
        <f aca="false">IF($B22="","",ROUND(SUMIFS(对接源_01水果!$K$4:$K$1203,对接源_01水果!$C$4:$C$1203,$B22,对接源_01水果!$D$4:$D$1203,"成品出库*",对接源_01水果!$L$4:$L$1203,"已收讫")+SUMIFS(对接源_01水果!$K$4:$K$1203,对接源_01水果!$C$4:$C$1203,$B22,对接源_01水果!$D$4:$D$1203,"成品出库*",对接源_01水果!$L$4:$L$1203,"已付款")+SUMIFS(对接源_01水果!$K$4:$K$1203,对接源_01水果!$C$4:$C$1203,$B22,对接源_01水果!$D$4:$D$1203,"其他代存*",对接源_01水果!$L$4:$L$1203,"已收讫")+SUMIFS(对接源_01水果!$K$4:$K$1203,对接源_01水果!$C$4:$C$1203,$B22,对接源_01水果!$D$4:$D$1203,"其他代存*",对接源_01水果!$L$4:$L$1203,"已付款")+SUMIFS(对接源_02物料!$K$4:$K$1203,对接源_02物料!$C$4:$C$1203,$B22,对接源_02物料!$D$4:$D$1203,"包装物料*",对接源_02物料!$L$4:$L$1203,"已收讫")+SUMIFS(对接源_02物料!$K$4:$K$1203,对接源_02物料!$C$4:$C$1203,$B22,对接源_02物料!$D$4:$D$1203,"包装物料*",对接源_02物料!$L$4:$L$1203,"已付款")+SUMIFS(对接源_02物料!$K$4:$K$1203,对接源_02物料!$C$4:$C$1203,$B22,对接源_02物料!$D$4:$D$1203,"周转筐*",对接源_02物料!$L$4:$L$1203,"已收讫")+SUMIFS(对接源_02物料!$K$4:$K$1203,对接源_02物料!$C$4:$C$1203,$B22,对接源_02物料!$D$4:$D$1203,"周转筐*",对接源_02物料!$L$4:$L$1203,"已付款")+SUMIFS(对接源_02物料!$K$4:$K$1203,对接源_02物料!$C$4:$C$1203,$B22,对接源_02物料!$D$4:$D$1203,"次果筐*",对接源_02物料!$L$4:$L$1203,"已收讫")+SUMIFS(对接源_02物料!$K$4:$K$1203,对接源_02物料!$C$4:$C$1203,$B22,对接源_02物料!$D$4:$D$1203,"次果筐*",对接源_02物料!$L$4:$L$1203,"已付款"),2))</f>
        <v/>
      </c>
      <c r="J22" s="61" t="str">
        <f aca="false">IF($B22="","",ROUND(N($H22)-N($I22),2))</f>
        <v/>
      </c>
      <c r="K22" s="59" t="str">
        <f aca="false">IF($B22="","",IF(ROUND(N($J22),2)&gt;0,"对方欠款",IF(ROUND(N($J22),2)&lt;0,"我方欠款","已两清")))</f>
        <v/>
      </c>
      <c r="L22" s="105"/>
    </row>
    <row r="23" customFormat="false" ht="13.5" hidden="false" customHeight="false" outlineLevel="0" collapsed="false">
      <c r="A23" s="59" t="str">
        <f aca="false">IF($B23="","",ROW()-3)</f>
        <v/>
      </c>
      <c r="B23" s="104" t="str">
        <f aca="false">IFERROR(INDEX(_自动清单!$E$4:$E$303,ROW()-3),"")</f>
        <v/>
      </c>
      <c r="C23" s="61" t="str">
        <f aca="false">IF($B23="","",ROUND(SUMIFS(对接源_01水果!$K$4:$K$1203,对接源_01水果!$C$4:$C$1203,$B23,对接源_01水果!$D$4:$D$1203,"成品出库*"),2))</f>
        <v/>
      </c>
      <c r="D23" s="61" t="str">
        <f aca="false">IF($B23="","",ROUND(SUMIFS(对接源_01水果!$K$4:$K$1203,对接源_01水果!$C$4:$C$1203,$B23,对接源_01水果!$D$4:$D$1203,"其他代存*"),2))</f>
        <v/>
      </c>
      <c r="E23" s="61" t="str">
        <f aca="false">IF($B23="","",ROUND(SUMIFS(对接源_02物料!$K$4:$K$1203,对接源_02物料!$C$4:$C$1203,$B23,对接源_02物料!$D$4:$D$1203,"包装物料*"),2))</f>
        <v/>
      </c>
      <c r="F23" s="61" t="str">
        <f aca="false">IF($B23="","",ROUND(SUMIFS(对接源_02物料!$K$4:$K$1203,对接源_02物料!$C$4:$C$1203,$B23,对接源_02物料!$D$4:$D$1203,"周转筐*"),2))</f>
        <v/>
      </c>
      <c r="G23" s="61" t="str">
        <f aca="false">IF($B23="","",ROUND(SUMIFS(对接源_02物料!$K$4:$K$1203,对接源_02物料!$C$4:$C$1203,$B23,对接源_02物料!$D$4:$D$1203,"次果筐*"),2))</f>
        <v/>
      </c>
      <c r="H23" s="61" t="str">
        <f aca="false">IF($B23="","",ROUND(SUM($C23:$G23),2))</f>
        <v/>
      </c>
      <c r="I23" s="61" t="str">
        <f aca="false">IF($B23="","",ROUND(SUMIFS(对接源_01水果!$K$4:$K$1203,对接源_01水果!$C$4:$C$1203,$B23,对接源_01水果!$D$4:$D$1203,"成品出库*",对接源_01水果!$L$4:$L$1203,"已收讫")+SUMIFS(对接源_01水果!$K$4:$K$1203,对接源_01水果!$C$4:$C$1203,$B23,对接源_01水果!$D$4:$D$1203,"成品出库*",对接源_01水果!$L$4:$L$1203,"已付款")+SUMIFS(对接源_01水果!$K$4:$K$1203,对接源_01水果!$C$4:$C$1203,$B23,对接源_01水果!$D$4:$D$1203,"其他代存*",对接源_01水果!$L$4:$L$1203,"已收讫")+SUMIFS(对接源_01水果!$K$4:$K$1203,对接源_01水果!$C$4:$C$1203,$B23,对接源_01水果!$D$4:$D$1203,"其他代存*",对接源_01水果!$L$4:$L$1203,"已付款")+SUMIFS(对接源_02物料!$K$4:$K$1203,对接源_02物料!$C$4:$C$1203,$B23,对接源_02物料!$D$4:$D$1203,"包装物料*",对接源_02物料!$L$4:$L$1203,"已收讫")+SUMIFS(对接源_02物料!$K$4:$K$1203,对接源_02物料!$C$4:$C$1203,$B23,对接源_02物料!$D$4:$D$1203,"包装物料*",对接源_02物料!$L$4:$L$1203,"已付款")+SUMIFS(对接源_02物料!$K$4:$K$1203,对接源_02物料!$C$4:$C$1203,$B23,对接源_02物料!$D$4:$D$1203,"周转筐*",对接源_02物料!$L$4:$L$1203,"已收讫")+SUMIFS(对接源_02物料!$K$4:$K$1203,对接源_02物料!$C$4:$C$1203,$B23,对接源_02物料!$D$4:$D$1203,"周转筐*",对接源_02物料!$L$4:$L$1203,"已付款")+SUMIFS(对接源_02物料!$K$4:$K$1203,对接源_02物料!$C$4:$C$1203,$B23,对接源_02物料!$D$4:$D$1203,"次果筐*",对接源_02物料!$L$4:$L$1203,"已收讫")+SUMIFS(对接源_02物料!$K$4:$K$1203,对接源_02物料!$C$4:$C$1203,$B23,对接源_02物料!$D$4:$D$1203,"次果筐*",对接源_02物料!$L$4:$L$1203,"已付款"),2))</f>
        <v/>
      </c>
      <c r="J23" s="61" t="str">
        <f aca="false">IF($B23="","",ROUND(N($H23)-N($I23),2))</f>
        <v/>
      </c>
      <c r="K23" s="59" t="str">
        <f aca="false">IF($B23="","",IF(ROUND(N($J23),2)&gt;0,"对方欠款",IF(ROUND(N($J23),2)&lt;0,"我方欠款","已两清")))</f>
        <v/>
      </c>
      <c r="L23" s="105"/>
    </row>
    <row r="24" customFormat="false" ht="13.5" hidden="false" customHeight="false" outlineLevel="0" collapsed="false">
      <c r="A24" s="59" t="str">
        <f aca="false">IF($B24="","",ROW()-3)</f>
        <v/>
      </c>
      <c r="B24" s="104" t="str">
        <f aca="false">IFERROR(INDEX(_自动清单!$E$4:$E$303,ROW()-3),"")</f>
        <v/>
      </c>
      <c r="C24" s="61" t="str">
        <f aca="false">IF($B24="","",ROUND(SUMIFS(对接源_01水果!$K$4:$K$1203,对接源_01水果!$C$4:$C$1203,$B24,对接源_01水果!$D$4:$D$1203,"成品出库*"),2))</f>
        <v/>
      </c>
      <c r="D24" s="61" t="str">
        <f aca="false">IF($B24="","",ROUND(SUMIFS(对接源_01水果!$K$4:$K$1203,对接源_01水果!$C$4:$C$1203,$B24,对接源_01水果!$D$4:$D$1203,"其他代存*"),2))</f>
        <v/>
      </c>
      <c r="E24" s="61" t="str">
        <f aca="false">IF($B24="","",ROUND(SUMIFS(对接源_02物料!$K$4:$K$1203,对接源_02物料!$C$4:$C$1203,$B24,对接源_02物料!$D$4:$D$1203,"包装物料*"),2))</f>
        <v/>
      </c>
      <c r="F24" s="61" t="str">
        <f aca="false">IF($B24="","",ROUND(SUMIFS(对接源_02物料!$K$4:$K$1203,对接源_02物料!$C$4:$C$1203,$B24,对接源_02物料!$D$4:$D$1203,"周转筐*"),2))</f>
        <v/>
      </c>
      <c r="G24" s="61" t="str">
        <f aca="false">IF($B24="","",ROUND(SUMIFS(对接源_02物料!$K$4:$K$1203,对接源_02物料!$C$4:$C$1203,$B24,对接源_02物料!$D$4:$D$1203,"次果筐*"),2))</f>
        <v/>
      </c>
      <c r="H24" s="61" t="str">
        <f aca="false">IF($B24="","",ROUND(SUM($C24:$G24),2))</f>
        <v/>
      </c>
      <c r="I24" s="61" t="str">
        <f aca="false">IF($B24="","",ROUND(SUMIFS(对接源_01水果!$K$4:$K$1203,对接源_01水果!$C$4:$C$1203,$B24,对接源_01水果!$D$4:$D$1203,"成品出库*",对接源_01水果!$L$4:$L$1203,"已收讫")+SUMIFS(对接源_01水果!$K$4:$K$1203,对接源_01水果!$C$4:$C$1203,$B24,对接源_01水果!$D$4:$D$1203,"成品出库*",对接源_01水果!$L$4:$L$1203,"已付款")+SUMIFS(对接源_01水果!$K$4:$K$1203,对接源_01水果!$C$4:$C$1203,$B24,对接源_01水果!$D$4:$D$1203,"其他代存*",对接源_01水果!$L$4:$L$1203,"已收讫")+SUMIFS(对接源_01水果!$K$4:$K$1203,对接源_01水果!$C$4:$C$1203,$B24,对接源_01水果!$D$4:$D$1203,"其他代存*",对接源_01水果!$L$4:$L$1203,"已付款")+SUMIFS(对接源_02物料!$K$4:$K$1203,对接源_02物料!$C$4:$C$1203,$B24,对接源_02物料!$D$4:$D$1203,"包装物料*",对接源_02物料!$L$4:$L$1203,"已收讫")+SUMIFS(对接源_02物料!$K$4:$K$1203,对接源_02物料!$C$4:$C$1203,$B24,对接源_02物料!$D$4:$D$1203,"包装物料*",对接源_02物料!$L$4:$L$1203,"已付款")+SUMIFS(对接源_02物料!$K$4:$K$1203,对接源_02物料!$C$4:$C$1203,$B24,对接源_02物料!$D$4:$D$1203,"周转筐*",对接源_02物料!$L$4:$L$1203,"已收讫")+SUMIFS(对接源_02物料!$K$4:$K$1203,对接源_02物料!$C$4:$C$1203,$B24,对接源_02物料!$D$4:$D$1203,"周转筐*",对接源_02物料!$L$4:$L$1203,"已付款")+SUMIFS(对接源_02物料!$K$4:$K$1203,对接源_02物料!$C$4:$C$1203,$B24,对接源_02物料!$D$4:$D$1203,"次果筐*",对接源_02物料!$L$4:$L$1203,"已收讫")+SUMIFS(对接源_02物料!$K$4:$K$1203,对接源_02物料!$C$4:$C$1203,$B24,对接源_02物料!$D$4:$D$1203,"次果筐*",对接源_02物料!$L$4:$L$1203,"已付款"),2))</f>
        <v/>
      </c>
      <c r="J24" s="61" t="str">
        <f aca="false">IF($B24="","",ROUND(N($H24)-N($I24),2))</f>
        <v/>
      </c>
      <c r="K24" s="59" t="str">
        <f aca="false">IF($B24="","",IF(ROUND(N($J24),2)&gt;0,"对方欠款",IF(ROUND(N($J24),2)&lt;0,"我方欠款","已两清")))</f>
        <v/>
      </c>
      <c r="L24" s="105"/>
    </row>
    <row r="25" customFormat="false" ht="13.5" hidden="false" customHeight="false" outlineLevel="0" collapsed="false">
      <c r="A25" s="59" t="str">
        <f aca="false">IF($B25="","",ROW()-3)</f>
        <v/>
      </c>
      <c r="B25" s="104" t="str">
        <f aca="false">IFERROR(INDEX(_自动清单!$E$4:$E$303,ROW()-3),"")</f>
        <v/>
      </c>
      <c r="C25" s="61" t="str">
        <f aca="false">IF($B25="","",ROUND(SUMIFS(对接源_01水果!$K$4:$K$1203,对接源_01水果!$C$4:$C$1203,$B25,对接源_01水果!$D$4:$D$1203,"成品出库*"),2))</f>
        <v/>
      </c>
      <c r="D25" s="61" t="str">
        <f aca="false">IF($B25="","",ROUND(SUMIFS(对接源_01水果!$K$4:$K$1203,对接源_01水果!$C$4:$C$1203,$B25,对接源_01水果!$D$4:$D$1203,"其他代存*"),2))</f>
        <v/>
      </c>
      <c r="E25" s="61" t="str">
        <f aca="false">IF($B25="","",ROUND(SUMIFS(对接源_02物料!$K$4:$K$1203,对接源_02物料!$C$4:$C$1203,$B25,对接源_02物料!$D$4:$D$1203,"包装物料*"),2))</f>
        <v/>
      </c>
      <c r="F25" s="61" t="str">
        <f aca="false">IF($B25="","",ROUND(SUMIFS(对接源_02物料!$K$4:$K$1203,对接源_02物料!$C$4:$C$1203,$B25,对接源_02物料!$D$4:$D$1203,"周转筐*"),2))</f>
        <v/>
      </c>
      <c r="G25" s="61" t="str">
        <f aca="false">IF($B25="","",ROUND(SUMIFS(对接源_02物料!$K$4:$K$1203,对接源_02物料!$C$4:$C$1203,$B25,对接源_02物料!$D$4:$D$1203,"次果筐*"),2))</f>
        <v/>
      </c>
      <c r="H25" s="61" t="str">
        <f aca="false">IF($B25="","",ROUND(SUM($C25:$G25),2))</f>
        <v/>
      </c>
      <c r="I25" s="61" t="str">
        <f aca="false">IF($B25="","",ROUND(SUMIFS(对接源_01水果!$K$4:$K$1203,对接源_01水果!$C$4:$C$1203,$B25,对接源_01水果!$D$4:$D$1203,"成品出库*",对接源_01水果!$L$4:$L$1203,"已收讫")+SUMIFS(对接源_01水果!$K$4:$K$1203,对接源_01水果!$C$4:$C$1203,$B25,对接源_01水果!$D$4:$D$1203,"成品出库*",对接源_01水果!$L$4:$L$1203,"已付款")+SUMIFS(对接源_01水果!$K$4:$K$1203,对接源_01水果!$C$4:$C$1203,$B25,对接源_01水果!$D$4:$D$1203,"其他代存*",对接源_01水果!$L$4:$L$1203,"已收讫")+SUMIFS(对接源_01水果!$K$4:$K$1203,对接源_01水果!$C$4:$C$1203,$B25,对接源_01水果!$D$4:$D$1203,"其他代存*",对接源_01水果!$L$4:$L$1203,"已付款")+SUMIFS(对接源_02物料!$K$4:$K$1203,对接源_02物料!$C$4:$C$1203,$B25,对接源_02物料!$D$4:$D$1203,"包装物料*",对接源_02物料!$L$4:$L$1203,"已收讫")+SUMIFS(对接源_02物料!$K$4:$K$1203,对接源_02物料!$C$4:$C$1203,$B25,对接源_02物料!$D$4:$D$1203,"包装物料*",对接源_02物料!$L$4:$L$1203,"已付款")+SUMIFS(对接源_02物料!$K$4:$K$1203,对接源_02物料!$C$4:$C$1203,$B25,对接源_02物料!$D$4:$D$1203,"周转筐*",对接源_02物料!$L$4:$L$1203,"已收讫")+SUMIFS(对接源_02物料!$K$4:$K$1203,对接源_02物料!$C$4:$C$1203,$B25,对接源_02物料!$D$4:$D$1203,"周转筐*",对接源_02物料!$L$4:$L$1203,"已付款")+SUMIFS(对接源_02物料!$K$4:$K$1203,对接源_02物料!$C$4:$C$1203,$B25,对接源_02物料!$D$4:$D$1203,"次果筐*",对接源_02物料!$L$4:$L$1203,"已收讫")+SUMIFS(对接源_02物料!$K$4:$K$1203,对接源_02物料!$C$4:$C$1203,$B25,对接源_02物料!$D$4:$D$1203,"次果筐*",对接源_02物料!$L$4:$L$1203,"已付款"),2))</f>
        <v/>
      </c>
      <c r="J25" s="61" t="str">
        <f aca="false">IF($B25="","",ROUND(N($H25)-N($I25),2))</f>
        <v/>
      </c>
      <c r="K25" s="59" t="str">
        <f aca="false">IF($B25="","",IF(ROUND(N($J25),2)&gt;0,"对方欠款",IF(ROUND(N($J25),2)&lt;0,"我方欠款","已两清")))</f>
        <v/>
      </c>
      <c r="L25" s="105"/>
    </row>
    <row r="26" customFormat="false" ht="13.5" hidden="false" customHeight="false" outlineLevel="0" collapsed="false">
      <c r="A26" s="59" t="str">
        <f aca="false">IF($B26="","",ROW()-3)</f>
        <v/>
      </c>
      <c r="B26" s="104" t="str">
        <f aca="false">IFERROR(INDEX(_自动清单!$E$4:$E$303,ROW()-3),"")</f>
        <v/>
      </c>
      <c r="C26" s="61" t="str">
        <f aca="false">IF($B26="","",ROUND(SUMIFS(对接源_01水果!$K$4:$K$1203,对接源_01水果!$C$4:$C$1203,$B26,对接源_01水果!$D$4:$D$1203,"成品出库*"),2))</f>
        <v/>
      </c>
      <c r="D26" s="61" t="str">
        <f aca="false">IF($B26="","",ROUND(SUMIFS(对接源_01水果!$K$4:$K$1203,对接源_01水果!$C$4:$C$1203,$B26,对接源_01水果!$D$4:$D$1203,"其他代存*"),2))</f>
        <v/>
      </c>
      <c r="E26" s="61" t="str">
        <f aca="false">IF($B26="","",ROUND(SUMIFS(对接源_02物料!$K$4:$K$1203,对接源_02物料!$C$4:$C$1203,$B26,对接源_02物料!$D$4:$D$1203,"包装物料*"),2))</f>
        <v/>
      </c>
      <c r="F26" s="61" t="str">
        <f aca="false">IF($B26="","",ROUND(SUMIFS(对接源_02物料!$K$4:$K$1203,对接源_02物料!$C$4:$C$1203,$B26,对接源_02物料!$D$4:$D$1203,"周转筐*"),2))</f>
        <v/>
      </c>
      <c r="G26" s="61" t="str">
        <f aca="false">IF($B26="","",ROUND(SUMIFS(对接源_02物料!$K$4:$K$1203,对接源_02物料!$C$4:$C$1203,$B26,对接源_02物料!$D$4:$D$1203,"次果筐*"),2))</f>
        <v/>
      </c>
      <c r="H26" s="61" t="str">
        <f aca="false">IF($B26="","",ROUND(SUM($C26:$G26),2))</f>
        <v/>
      </c>
      <c r="I26" s="61" t="str">
        <f aca="false">IF($B26="","",ROUND(SUMIFS(对接源_01水果!$K$4:$K$1203,对接源_01水果!$C$4:$C$1203,$B26,对接源_01水果!$D$4:$D$1203,"成品出库*",对接源_01水果!$L$4:$L$1203,"已收讫")+SUMIFS(对接源_01水果!$K$4:$K$1203,对接源_01水果!$C$4:$C$1203,$B26,对接源_01水果!$D$4:$D$1203,"成品出库*",对接源_01水果!$L$4:$L$1203,"已付款")+SUMIFS(对接源_01水果!$K$4:$K$1203,对接源_01水果!$C$4:$C$1203,$B26,对接源_01水果!$D$4:$D$1203,"其他代存*",对接源_01水果!$L$4:$L$1203,"已收讫")+SUMIFS(对接源_01水果!$K$4:$K$1203,对接源_01水果!$C$4:$C$1203,$B26,对接源_01水果!$D$4:$D$1203,"其他代存*",对接源_01水果!$L$4:$L$1203,"已付款")+SUMIFS(对接源_02物料!$K$4:$K$1203,对接源_02物料!$C$4:$C$1203,$B26,对接源_02物料!$D$4:$D$1203,"包装物料*",对接源_02物料!$L$4:$L$1203,"已收讫")+SUMIFS(对接源_02物料!$K$4:$K$1203,对接源_02物料!$C$4:$C$1203,$B26,对接源_02物料!$D$4:$D$1203,"包装物料*",对接源_02物料!$L$4:$L$1203,"已付款")+SUMIFS(对接源_02物料!$K$4:$K$1203,对接源_02物料!$C$4:$C$1203,$B26,对接源_02物料!$D$4:$D$1203,"周转筐*",对接源_02物料!$L$4:$L$1203,"已收讫")+SUMIFS(对接源_02物料!$K$4:$K$1203,对接源_02物料!$C$4:$C$1203,$B26,对接源_02物料!$D$4:$D$1203,"周转筐*",对接源_02物料!$L$4:$L$1203,"已付款")+SUMIFS(对接源_02物料!$K$4:$K$1203,对接源_02物料!$C$4:$C$1203,$B26,对接源_02物料!$D$4:$D$1203,"次果筐*",对接源_02物料!$L$4:$L$1203,"已收讫")+SUMIFS(对接源_02物料!$K$4:$K$1203,对接源_02物料!$C$4:$C$1203,$B26,对接源_02物料!$D$4:$D$1203,"次果筐*",对接源_02物料!$L$4:$L$1203,"已付款"),2))</f>
        <v/>
      </c>
      <c r="J26" s="61" t="str">
        <f aca="false">IF($B26="","",ROUND(N($H26)-N($I26),2))</f>
        <v/>
      </c>
      <c r="K26" s="59" t="str">
        <f aca="false">IF($B26="","",IF(ROUND(N($J26),2)&gt;0,"对方欠款",IF(ROUND(N($J26),2)&lt;0,"我方欠款","已两清")))</f>
        <v/>
      </c>
      <c r="L26" s="105"/>
    </row>
    <row r="27" customFormat="false" ht="13.5" hidden="false" customHeight="false" outlineLevel="0" collapsed="false">
      <c r="A27" s="59" t="str">
        <f aca="false">IF($B27="","",ROW()-3)</f>
        <v/>
      </c>
      <c r="B27" s="104" t="str">
        <f aca="false">IFERROR(INDEX(_自动清单!$E$4:$E$303,ROW()-3),"")</f>
        <v/>
      </c>
      <c r="C27" s="61" t="str">
        <f aca="false">IF($B27="","",ROUND(SUMIFS(对接源_01水果!$K$4:$K$1203,对接源_01水果!$C$4:$C$1203,$B27,对接源_01水果!$D$4:$D$1203,"成品出库*"),2))</f>
        <v/>
      </c>
      <c r="D27" s="61" t="str">
        <f aca="false">IF($B27="","",ROUND(SUMIFS(对接源_01水果!$K$4:$K$1203,对接源_01水果!$C$4:$C$1203,$B27,对接源_01水果!$D$4:$D$1203,"其他代存*"),2))</f>
        <v/>
      </c>
      <c r="E27" s="61" t="str">
        <f aca="false">IF($B27="","",ROUND(SUMIFS(对接源_02物料!$K$4:$K$1203,对接源_02物料!$C$4:$C$1203,$B27,对接源_02物料!$D$4:$D$1203,"包装物料*"),2))</f>
        <v/>
      </c>
      <c r="F27" s="61" t="str">
        <f aca="false">IF($B27="","",ROUND(SUMIFS(对接源_02物料!$K$4:$K$1203,对接源_02物料!$C$4:$C$1203,$B27,对接源_02物料!$D$4:$D$1203,"周转筐*"),2))</f>
        <v/>
      </c>
      <c r="G27" s="61" t="str">
        <f aca="false">IF($B27="","",ROUND(SUMIFS(对接源_02物料!$K$4:$K$1203,对接源_02物料!$C$4:$C$1203,$B27,对接源_02物料!$D$4:$D$1203,"次果筐*"),2))</f>
        <v/>
      </c>
      <c r="H27" s="61" t="str">
        <f aca="false">IF($B27="","",ROUND(SUM($C27:$G27),2))</f>
        <v/>
      </c>
      <c r="I27" s="61" t="str">
        <f aca="false">IF($B27="","",ROUND(SUMIFS(对接源_01水果!$K$4:$K$1203,对接源_01水果!$C$4:$C$1203,$B27,对接源_01水果!$D$4:$D$1203,"成品出库*",对接源_01水果!$L$4:$L$1203,"已收讫")+SUMIFS(对接源_01水果!$K$4:$K$1203,对接源_01水果!$C$4:$C$1203,$B27,对接源_01水果!$D$4:$D$1203,"成品出库*",对接源_01水果!$L$4:$L$1203,"已付款")+SUMIFS(对接源_01水果!$K$4:$K$1203,对接源_01水果!$C$4:$C$1203,$B27,对接源_01水果!$D$4:$D$1203,"其他代存*",对接源_01水果!$L$4:$L$1203,"已收讫")+SUMIFS(对接源_01水果!$K$4:$K$1203,对接源_01水果!$C$4:$C$1203,$B27,对接源_01水果!$D$4:$D$1203,"其他代存*",对接源_01水果!$L$4:$L$1203,"已付款")+SUMIFS(对接源_02物料!$K$4:$K$1203,对接源_02物料!$C$4:$C$1203,$B27,对接源_02物料!$D$4:$D$1203,"包装物料*",对接源_02物料!$L$4:$L$1203,"已收讫")+SUMIFS(对接源_02物料!$K$4:$K$1203,对接源_02物料!$C$4:$C$1203,$B27,对接源_02物料!$D$4:$D$1203,"包装物料*",对接源_02物料!$L$4:$L$1203,"已付款")+SUMIFS(对接源_02物料!$K$4:$K$1203,对接源_02物料!$C$4:$C$1203,$B27,对接源_02物料!$D$4:$D$1203,"周转筐*",对接源_02物料!$L$4:$L$1203,"已收讫")+SUMIFS(对接源_02物料!$K$4:$K$1203,对接源_02物料!$C$4:$C$1203,$B27,对接源_02物料!$D$4:$D$1203,"周转筐*",对接源_02物料!$L$4:$L$1203,"已付款")+SUMIFS(对接源_02物料!$K$4:$K$1203,对接源_02物料!$C$4:$C$1203,$B27,对接源_02物料!$D$4:$D$1203,"次果筐*",对接源_02物料!$L$4:$L$1203,"已收讫")+SUMIFS(对接源_02物料!$K$4:$K$1203,对接源_02物料!$C$4:$C$1203,$B27,对接源_02物料!$D$4:$D$1203,"次果筐*",对接源_02物料!$L$4:$L$1203,"已付款"),2))</f>
        <v/>
      </c>
      <c r="J27" s="61" t="str">
        <f aca="false">IF($B27="","",ROUND(N($H27)-N($I27),2))</f>
        <v/>
      </c>
      <c r="K27" s="59" t="str">
        <f aca="false">IF($B27="","",IF(ROUND(N($J27),2)&gt;0,"对方欠款",IF(ROUND(N($J27),2)&lt;0,"我方欠款","已两清")))</f>
        <v/>
      </c>
      <c r="L27" s="105"/>
    </row>
    <row r="28" customFormat="false" ht="13.5" hidden="false" customHeight="false" outlineLevel="0" collapsed="false">
      <c r="A28" s="59" t="str">
        <f aca="false">IF($B28="","",ROW()-3)</f>
        <v/>
      </c>
      <c r="B28" s="104" t="str">
        <f aca="false">IFERROR(INDEX(_自动清单!$E$4:$E$303,ROW()-3),"")</f>
        <v/>
      </c>
      <c r="C28" s="61" t="str">
        <f aca="false">IF($B28="","",ROUND(SUMIFS(对接源_01水果!$K$4:$K$1203,对接源_01水果!$C$4:$C$1203,$B28,对接源_01水果!$D$4:$D$1203,"成品出库*"),2))</f>
        <v/>
      </c>
      <c r="D28" s="61" t="str">
        <f aca="false">IF($B28="","",ROUND(SUMIFS(对接源_01水果!$K$4:$K$1203,对接源_01水果!$C$4:$C$1203,$B28,对接源_01水果!$D$4:$D$1203,"其他代存*"),2))</f>
        <v/>
      </c>
      <c r="E28" s="61" t="str">
        <f aca="false">IF($B28="","",ROUND(SUMIFS(对接源_02物料!$K$4:$K$1203,对接源_02物料!$C$4:$C$1203,$B28,对接源_02物料!$D$4:$D$1203,"包装物料*"),2))</f>
        <v/>
      </c>
      <c r="F28" s="61" t="str">
        <f aca="false">IF($B28="","",ROUND(SUMIFS(对接源_02物料!$K$4:$K$1203,对接源_02物料!$C$4:$C$1203,$B28,对接源_02物料!$D$4:$D$1203,"周转筐*"),2))</f>
        <v/>
      </c>
      <c r="G28" s="61" t="str">
        <f aca="false">IF($B28="","",ROUND(SUMIFS(对接源_02物料!$K$4:$K$1203,对接源_02物料!$C$4:$C$1203,$B28,对接源_02物料!$D$4:$D$1203,"次果筐*"),2))</f>
        <v/>
      </c>
      <c r="H28" s="61" t="str">
        <f aca="false">IF($B28="","",ROUND(SUM($C28:$G28),2))</f>
        <v/>
      </c>
      <c r="I28" s="61" t="str">
        <f aca="false">IF($B28="","",ROUND(SUMIFS(对接源_01水果!$K$4:$K$1203,对接源_01水果!$C$4:$C$1203,$B28,对接源_01水果!$D$4:$D$1203,"成品出库*",对接源_01水果!$L$4:$L$1203,"已收讫")+SUMIFS(对接源_01水果!$K$4:$K$1203,对接源_01水果!$C$4:$C$1203,$B28,对接源_01水果!$D$4:$D$1203,"成品出库*",对接源_01水果!$L$4:$L$1203,"已付款")+SUMIFS(对接源_01水果!$K$4:$K$1203,对接源_01水果!$C$4:$C$1203,$B28,对接源_01水果!$D$4:$D$1203,"其他代存*",对接源_01水果!$L$4:$L$1203,"已收讫")+SUMIFS(对接源_01水果!$K$4:$K$1203,对接源_01水果!$C$4:$C$1203,$B28,对接源_01水果!$D$4:$D$1203,"其他代存*",对接源_01水果!$L$4:$L$1203,"已付款")+SUMIFS(对接源_02物料!$K$4:$K$1203,对接源_02物料!$C$4:$C$1203,$B28,对接源_02物料!$D$4:$D$1203,"包装物料*",对接源_02物料!$L$4:$L$1203,"已收讫")+SUMIFS(对接源_02物料!$K$4:$K$1203,对接源_02物料!$C$4:$C$1203,$B28,对接源_02物料!$D$4:$D$1203,"包装物料*",对接源_02物料!$L$4:$L$1203,"已付款")+SUMIFS(对接源_02物料!$K$4:$K$1203,对接源_02物料!$C$4:$C$1203,$B28,对接源_02物料!$D$4:$D$1203,"周转筐*",对接源_02物料!$L$4:$L$1203,"已收讫")+SUMIFS(对接源_02物料!$K$4:$K$1203,对接源_02物料!$C$4:$C$1203,$B28,对接源_02物料!$D$4:$D$1203,"周转筐*",对接源_02物料!$L$4:$L$1203,"已付款")+SUMIFS(对接源_02物料!$K$4:$K$1203,对接源_02物料!$C$4:$C$1203,$B28,对接源_02物料!$D$4:$D$1203,"次果筐*",对接源_02物料!$L$4:$L$1203,"已收讫")+SUMIFS(对接源_02物料!$K$4:$K$1203,对接源_02物料!$C$4:$C$1203,$B28,对接源_02物料!$D$4:$D$1203,"次果筐*",对接源_02物料!$L$4:$L$1203,"已付款"),2))</f>
        <v/>
      </c>
      <c r="J28" s="61" t="str">
        <f aca="false">IF($B28="","",ROUND(N($H28)-N($I28),2))</f>
        <v/>
      </c>
      <c r="K28" s="59" t="str">
        <f aca="false">IF($B28="","",IF(ROUND(N($J28),2)&gt;0,"对方欠款",IF(ROUND(N($J28),2)&lt;0,"我方欠款","已两清")))</f>
        <v/>
      </c>
      <c r="L28" s="105"/>
    </row>
    <row r="29" customFormat="false" ht="13.5" hidden="false" customHeight="false" outlineLevel="0" collapsed="false">
      <c r="A29" s="59" t="str">
        <f aca="false">IF($B29="","",ROW()-3)</f>
        <v/>
      </c>
      <c r="B29" s="104" t="str">
        <f aca="false">IFERROR(INDEX(_自动清单!$E$4:$E$303,ROW()-3),"")</f>
        <v/>
      </c>
      <c r="C29" s="61" t="str">
        <f aca="false">IF($B29="","",ROUND(SUMIFS(对接源_01水果!$K$4:$K$1203,对接源_01水果!$C$4:$C$1203,$B29,对接源_01水果!$D$4:$D$1203,"成品出库*"),2))</f>
        <v/>
      </c>
      <c r="D29" s="61" t="str">
        <f aca="false">IF($B29="","",ROUND(SUMIFS(对接源_01水果!$K$4:$K$1203,对接源_01水果!$C$4:$C$1203,$B29,对接源_01水果!$D$4:$D$1203,"其他代存*"),2))</f>
        <v/>
      </c>
      <c r="E29" s="61" t="str">
        <f aca="false">IF($B29="","",ROUND(SUMIFS(对接源_02物料!$K$4:$K$1203,对接源_02物料!$C$4:$C$1203,$B29,对接源_02物料!$D$4:$D$1203,"包装物料*"),2))</f>
        <v/>
      </c>
      <c r="F29" s="61" t="str">
        <f aca="false">IF($B29="","",ROUND(SUMIFS(对接源_02物料!$K$4:$K$1203,对接源_02物料!$C$4:$C$1203,$B29,对接源_02物料!$D$4:$D$1203,"周转筐*"),2))</f>
        <v/>
      </c>
      <c r="G29" s="61" t="str">
        <f aca="false">IF($B29="","",ROUND(SUMIFS(对接源_02物料!$K$4:$K$1203,对接源_02物料!$C$4:$C$1203,$B29,对接源_02物料!$D$4:$D$1203,"次果筐*"),2))</f>
        <v/>
      </c>
      <c r="H29" s="61" t="str">
        <f aca="false">IF($B29="","",ROUND(SUM($C29:$G29),2))</f>
        <v/>
      </c>
      <c r="I29" s="61" t="str">
        <f aca="false">IF($B29="","",ROUND(SUMIFS(对接源_01水果!$K$4:$K$1203,对接源_01水果!$C$4:$C$1203,$B29,对接源_01水果!$D$4:$D$1203,"成品出库*",对接源_01水果!$L$4:$L$1203,"已收讫")+SUMIFS(对接源_01水果!$K$4:$K$1203,对接源_01水果!$C$4:$C$1203,$B29,对接源_01水果!$D$4:$D$1203,"成品出库*",对接源_01水果!$L$4:$L$1203,"已付款")+SUMIFS(对接源_01水果!$K$4:$K$1203,对接源_01水果!$C$4:$C$1203,$B29,对接源_01水果!$D$4:$D$1203,"其他代存*",对接源_01水果!$L$4:$L$1203,"已收讫")+SUMIFS(对接源_01水果!$K$4:$K$1203,对接源_01水果!$C$4:$C$1203,$B29,对接源_01水果!$D$4:$D$1203,"其他代存*",对接源_01水果!$L$4:$L$1203,"已付款")+SUMIFS(对接源_02物料!$K$4:$K$1203,对接源_02物料!$C$4:$C$1203,$B29,对接源_02物料!$D$4:$D$1203,"包装物料*",对接源_02物料!$L$4:$L$1203,"已收讫")+SUMIFS(对接源_02物料!$K$4:$K$1203,对接源_02物料!$C$4:$C$1203,$B29,对接源_02物料!$D$4:$D$1203,"包装物料*",对接源_02物料!$L$4:$L$1203,"已付款")+SUMIFS(对接源_02物料!$K$4:$K$1203,对接源_02物料!$C$4:$C$1203,$B29,对接源_02物料!$D$4:$D$1203,"周转筐*",对接源_02物料!$L$4:$L$1203,"已收讫")+SUMIFS(对接源_02物料!$K$4:$K$1203,对接源_02物料!$C$4:$C$1203,$B29,对接源_02物料!$D$4:$D$1203,"周转筐*",对接源_02物料!$L$4:$L$1203,"已付款")+SUMIFS(对接源_02物料!$K$4:$K$1203,对接源_02物料!$C$4:$C$1203,$B29,对接源_02物料!$D$4:$D$1203,"次果筐*",对接源_02物料!$L$4:$L$1203,"已收讫")+SUMIFS(对接源_02物料!$K$4:$K$1203,对接源_02物料!$C$4:$C$1203,$B29,对接源_02物料!$D$4:$D$1203,"次果筐*",对接源_02物料!$L$4:$L$1203,"已付款"),2))</f>
        <v/>
      </c>
      <c r="J29" s="61" t="str">
        <f aca="false">IF($B29="","",ROUND(N($H29)-N($I29),2))</f>
        <v/>
      </c>
      <c r="K29" s="59" t="str">
        <f aca="false">IF($B29="","",IF(ROUND(N($J29),2)&gt;0,"对方欠款",IF(ROUND(N($J29),2)&lt;0,"我方欠款","已两清")))</f>
        <v/>
      </c>
      <c r="L29" s="105"/>
    </row>
    <row r="30" customFormat="false" ht="13.5" hidden="false" customHeight="false" outlineLevel="0" collapsed="false">
      <c r="A30" s="59" t="str">
        <f aca="false">IF($B30="","",ROW()-3)</f>
        <v/>
      </c>
      <c r="B30" s="104" t="str">
        <f aca="false">IFERROR(INDEX(_自动清单!$E$4:$E$303,ROW()-3),"")</f>
        <v/>
      </c>
      <c r="C30" s="61" t="str">
        <f aca="false">IF($B30="","",ROUND(SUMIFS(对接源_01水果!$K$4:$K$1203,对接源_01水果!$C$4:$C$1203,$B30,对接源_01水果!$D$4:$D$1203,"成品出库*"),2))</f>
        <v/>
      </c>
      <c r="D30" s="61" t="str">
        <f aca="false">IF($B30="","",ROUND(SUMIFS(对接源_01水果!$K$4:$K$1203,对接源_01水果!$C$4:$C$1203,$B30,对接源_01水果!$D$4:$D$1203,"其他代存*"),2))</f>
        <v/>
      </c>
      <c r="E30" s="61" t="str">
        <f aca="false">IF($B30="","",ROUND(SUMIFS(对接源_02物料!$K$4:$K$1203,对接源_02物料!$C$4:$C$1203,$B30,对接源_02物料!$D$4:$D$1203,"包装物料*"),2))</f>
        <v/>
      </c>
      <c r="F30" s="61" t="str">
        <f aca="false">IF($B30="","",ROUND(SUMIFS(对接源_02物料!$K$4:$K$1203,对接源_02物料!$C$4:$C$1203,$B30,对接源_02物料!$D$4:$D$1203,"周转筐*"),2))</f>
        <v/>
      </c>
      <c r="G30" s="61" t="str">
        <f aca="false">IF($B30="","",ROUND(SUMIFS(对接源_02物料!$K$4:$K$1203,对接源_02物料!$C$4:$C$1203,$B30,对接源_02物料!$D$4:$D$1203,"次果筐*"),2))</f>
        <v/>
      </c>
      <c r="H30" s="61" t="str">
        <f aca="false">IF($B30="","",ROUND(SUM($C30:$G30),2))</f>
        <v/>
      </c>
      <c r="I30" s="61" t="str">
        <f aca="false">IF($B30="","",ROUND(SUMIFS(对接源_01水果!$K$4:$K$1203,对接源_01水果!$C$4:$C$1203,$B30,对接源_01水果!$D$4:$D$1203,"成品出库*",对接源_01水果!$L$4:$L$1203,"已收讫")+SUMIFS(对接源_01水果!$K$4:$K$1203,对接源_01水果!$C$4:$C$1203,$B30,对接源_01水果!$D$4:$D$1203,"成品出库*",对接源_01水果!$L$4:$L$1203,"已付款")+SUMIFS(对接源_01水果!$K$4:$K$1203,对接源_01水果!$C$4:$C$1203,$B30,对接源_01水果!$D$4:$D$1203,"其他代存*",对接源_01水果!$L$4:$L$1203,"已收讫")+SUMIFS(对接源_01水果!$K$4:$K$1203,对接源_01水果!$C$4:$C$1203,$B30,对接源_01水果!$D$4:$D$1203,"其他代存*",对接源_01水果!$L$4:$L$1203,"已付款")+SUMIFS(对接源_02物料!$K$4:$K$1203,对接源_02物料!$C$4:$C$1203,$B30,对接源_02物料!$D$4:$D$1203,"包装物料*",对接源_02物料!$L$4:$L$1203,"已收讫")+SUMIFS(对接源_02物料!$K$4:$K$1203,对接源_02物料!$C$4:$C$1203,$B30,对接源_02物料!$D$4:$D$1203,"包装物料*",对接源_02物料!$L$4:$L$1203,"已付款")+SUMIFS(对接源_02物料!$K$4:$K$1203,对接源_02物料!$C$4:$C$1203,$B30,对接源_02物料!$D$4:$D$1203,"周转筐*",对接源_02物料!$L$4:$L$1203,"已收讫")+SUMIFS(对接源_02物料!$K$4:$K$1203,对接源_02物料!$C$4:$C$1203,$B30,对接源_02物料!$D$4:$D$1203,"周转筐*",对接源_02物料!$L$4:$L$1203,"已付款")+SUMIFS(对接源_02物料!$K$4:$K$1203,对接源_02物料!$C$4:$C$1203,$B30,对接源_02物料!$D$4:$D$1203,"次果筐*",对接源_02物料!$L$4:$L$1203,"已收讫")+SUMIFS(对接源_02物料!$K$4:$K$1203,对接源_02物料!$C$4:$C$1203,$B30,对接源_02物料!$D$4:$D$1203,"次果筐*",对接源_02物料!$L$4:$L$1203,"已付款"),2))</f>
        <v/>
      </c>
      <c r="J30" s="61" t="str">
        <f aca="false">IF($B30="","",ROUND(N($H30)-N($I30),2))</f>
        <v/>
      </c>
      <c r="K30" s="59" t="str">
        <f aca="false">IF($B30="","",IF(ROUND(N($J30),2)&gt;0,"对方欠款",IF(ROUND(N($J30),2)&lt;0,"我方欠款","已两清")))</f>
        <v/>
      </c>
      <c r="L30" s="105"/>
    </row>
    <row r="31" customFormat="false" ht="13.5" hidden="false" customHeight="false" outlineLevel="0" collapsed="false">
      <c r="A31" s="59" t="str">
        <f aca="false">IF($B31="","",ROW()-3)</f>
        <v/>
      </c>
      <c r="B31" s="104" t="str">
        <f aca="false">IFERROR(INDEX(_自动清单!$E$4:$E$303,ROW()-3),"")</f>
        <v/>
      </c>
      <c r="C31" s="61" t="str">
        <f aca="false">IF($B31="","",ROUND(SUMIFS(对接源_01水果!$K$4:$K$1203,对接源_01水果!$C$4:$C$1203,$B31,对接源_01水果!$D$4:$D$1203,"成品出库*"),2))</f>
        <v/>
      </c>
      <c r="D31" s="61" t="str">
        <f aca="false">IF($B31="","",ROUND(SUMIFS(对接源_01水果!$K$4:$K$1203,对接源_01水果!$C$4:$C$1203,$B31,对接源_01水果!$D$4:$D$1203,"其他代存*"),2))</f>
        <v/>
      </c>
      <c r="E31" s="61" t="str">
        <f aca="false">IF($B31="","",ROUND(SUMIFS(对接源_02物料!$K$4:$K$1203,对接源_02物料!$C$4:$C$1203,$B31,对接源_02物料!$D$4:$D$1203,"包装物料*"),2))</f>
        <v/>
      </c>
      <c r="F31" s="61" t="str">
        <f aca="false">IF($B31="","",ROUND(SUMIFS(对接源_02物料!$K$4:$K$1203,对接源_02物料!$C$4:$C$1203,$B31,对接源_02物料!$D$4:$D$1203,"周转筐*"),2))</f>
        <v/>
      </c>
      <c r="G31" s="61" t="str">
        <f aca="false">IF($B31="","",ROUND(SUMIFS(对接源_02物料!$K$4:$K$1203,对接源_02物料!$C$4:$C$1203,$B31,对接源_02物料!$D$4:$D$1203,"次果筐*"),2))</f>
        <v/>
      </c>
      <c r="H31" s="61" t="str">
        <f aca="false">IF($B31="","",ROUND(SUM($C31:$G31),2))</f>
        <v/>
      </c>
      <c r="I31" s="61" t="str">
        <f aca="false">IF($B31="","",ROUND(SUMIFS(对接源_01水果!$K$4:$K$1203,对接源_01水果!$C$4:$C$1203,$B31,对接源_01水果!$D$4:$D$1203,"成品出库*",对接源_01水果!$L$4:$L$1203,"已收讫")+SUMIFS(对接源_01水果!$K$4:$K$1203,对接源_01水果!$C$4:$C$1203,$B31,对接源_01水果!$D$4:$D$1203,"成品出库*",对接源_01水果!$L$4:$L$1203,"已付款")+SUMIFS(对接源_01水果!$K$4:$K$1203,对接源_01水果!$C$4:$C$1203,$B31,对接源_01水果!$D$4:$D$1203,"其他代存*",对接源_01水果!$L$4:$L$1203,"已收讫")+SUMIFS(对接源_01水果!$K$4:$K$1203,对接源_01水果!$C$4:$C$1203,$B31,对接源_01水果!$D$4:$D$1203,"其他代存*",对接源_01水果!$L$4:$L$1203,"已付款")+SUMIFS(对接源_02物料!$K$4:$K$1203,对接源_02物料!$C$4:$C$1203,$B31,对接源_02物料!$D$4:$D$1203,"包装物料*",对接源_02物料!$L$4:$L$1203,"已收讫")+SUMIFS(对接源_02物料!$K$4:$K$1203,对接源_02物料!$C$4:$C$1203,$B31,对接源_02物料!$D$4:$D$1203,"包装物料*",对接源_02物料!$L$4:$L$1203,"已付款")+SUMIFS(对接源_02物料!$K$4:$K$1203,对接源_02物料!$C$4:$C$1203,$B31,对接源_02物料!$D$4:$D$1203,"周转筐*",对接源_02物料!$L$4:$L$1203,"已收讫")+SUMIFS(对接源_02物料!$K$4:$K$1203,对接源_02物料!$C$4:$C$1203,$B31,对接源_02物料!$D$4:$D$1203,"周转筐*",对接源_02物料!$L$4:$L$1203,"已付款")+SUMIFS(对接源_02物料!$K$4:$K$1203,对接源_02物料!$C$4:$C$1203,$B31,对接源_02物料!$D$4:$D$1203,"次果筐*",对接源_02物料!$L$4:$L$1203,"已收讫")+SUMIFS(对接源_02物料!$K$4:$K$1203,对接源_02物料!$C$4:$C$1203,$B31,对接源_02物料!$D$4:$D$1203,"次果筐*",对接源_02物料!$L$4:$L$1203,"已付款"),2))</f>
        <v/>
      </c>
      <c r="J31" s="61" t="str">
        <f aca="false">IF($B31="","",ROUND(N($H31)-N($I31),2))</f>
        <v/>
      </c>
      <c r="K31" s="59" t="str">
        <f aca="false">IF($B31="","",IF(ROUND(N($J31),2)&gt;0,"对方欠款",IF(ROUND(N($J31),2)&lt;0,"我方欠款","已两清")))</f>
        <v/>
      </c>
      <c r="L31" s="105"/>
    </row>
    <row r="32" customFormat="false" ht="13.5" hidden="false" customHeight="false" outlineLevel="0" collapsed="false">
      <c r="A32" s="59" t="str">
        <f aca="false">IF($B32="","",ROW()-3)</f>
        <v/>
      </c>
      <c r="B32" s="104" t="str">
        <f aca="false">IFERROR(INDEX(_自动清单!$E$4:$E$303,ROW()-3),"")</f>
        <v/>
      </c>
      <c r="C32" s="61" t="str">
        <f aca="false">IF($B32="","",ROUND(SUMIFS(对接源_01水果!$K$4:$K$1203,对接源_01水果!$C$4:$C$1203,$B32,对接源_01水果!$D$4:$D$1203,"成品出库*"),2))</f>
        <v/>
      </c>
      <c r="D32" s="61" t="str">
        <f aca="false">IF($B32="","",ROUND(SUMIFS(对接源_01水果!$K$4:$K$1203,对接源_01水果!$C$4:$C$1203,$B32,对接源_01水果!$D$4:$D$1203,"其他代存*"),2))</f>
        <v/>
      </c>
      <c r="E32" s="61" t="str">
        <f aca="false">IF($B32="","",ROUND(SUMIFS(对接源_02物料!$K$4:$K$1203,对接源_02物料!$C$4:$C$1203,$B32,对接源_02物料!$D$4:$D$1203,"包装物料*"),2))</f>
        <v/>
      </c>
      <c r="F32" s="61" t="str">
        <f aca="false">IF($B32="","",ROUND(SUMIFS(对接源_02物料!$K$4:$K$1203,对接源_02物料!$C$4:$C$1203,$B32,对接源_02物料!$D$4:$D$1203,"周转筐*"),2))</f>
        <v/>
      </c>
      <c r="G32" s="61" t="str">
        <f aca="false">IF($B32="","",ROUND(SUMIFS(对接源_02物料!$K$4:$K$1203,对接源_02物料!$C$4:$C$1203,$B32,对接源_02物料!$D$4:$D$1203,"次果筐*"),2))</f>
        <v/>
      </c>
      <c r="H32" s="61" t="str">
        <f aca="false">IF($B32="","",ROUND(SUM($C32:$G32),2))</f>
        <v/>
      </c>
      <c r="I32" s="61" t="str">
        <f aca="false">IF($B32="","",ROUND(SUMIFS(对接源_01水果!$K$4:$K$1203,对接源_01水果!$C$4:$C$1203,$B32,对接源_01水果!$D$4:$D$1203,"成品出库*",对接源_01水果!$L$4:$L$1203,"已收讫")+SUMIFS(对接源_01水果!$K$4:$K$1203,对接源_01水果!$C$4:$C$1203,$B32,对接源_01水果!$D$4:$D$1203,"成品出库*",对接源_01水果!$L$4:$L$1203,"已付款")+SUMIFS(对接源_01水果!$K$4:$K$1203,对接源_01水果!$C$4:$C$1203,$B32,对接源_01水果!$D$4:$D$1203,"其他代存*",对接源_01水果!$L$4:$L$1203,"已收讫")+SUMIFS(对接源_01水果!$K$4:$K$1203,对接源_01水果!$C$4:$C$1203,$B32,对接源_01水果!$D$4:$D$1203,"其他代存*",对接源_01水果!$L$4:$L$1203,"已付款")+SUMIFS(对接源_02物料!$K$4:$K$1203,对接源_02物料!$C$4:$C$1203,$B32,对接源_02物料!$D$4:$D$1203,"包装物料*",对接源_02物料!$L$4:$L$1203,"已收讫")+SUMIFS(对接源_02物料!$K$4:$K$1203,对接源_02物料!$C$4:$C$1203,$B32,对接源_02物料!$D$4:$D$1203,"包装物料*",对接源_02物料!$L$4:$L$1203,"已付款")+SUMIFS(对接源_02物料!$K$4:$K$1203,对接源_02物料!$C$4:$C$1203,$B32,对接源_02物料!$D$4:$D$1203,"周转筐*",对接源_02物料!$L$4:$L$1203,"已收讫")+SUMIFS(对接源_02物料!$K$4:$K$1203,对接源_02物料!$C$4:$C$1203,$B32,对接源_02物料!$D$4:$D$1203,"周转筐*",对接源_02物料!$L$4:$L$1203,"已付款")+SUMIFS(对接源_02物料!$K$4:$K$1203,对接源_02物料!$C$4:$C$1203,$B32,对接源_02物料!$D$4:$D$1203,"次果筐*",对接源_02物料!$L$4:$L$1203,"已收讫")+SUMIFS(对接源_02物料!$K$4:$K$1203,对接源_02物料!$C$4:$C$1203,$B32,对接源_02物料!$D$4:$D$1203,"次果筐*",对接源_02物料!$L$4:$L$1203,"已付款"),2))</f>
        <v/>
      </c>
      <c r="J32" s="61" t="str">
        <f aca="false">IF($B32="","",ROUND(N($H32)-N($I32),2))</f>
        <v/>
      </c>
      <c r="K32" s="59" t="str">
        <f aca="false">IF($B32="","",IF(ROUND(N($J32),2)&gt;0,"对方欠款",IF(ROUND(N($J32),2)&lt;0,"我方欠款","已两清")))</f>
        <v/>
      </c>
      <c r="L32" s="105"/>
    </row>
    <row r="33" customFormat="false" ht="13.5" hidden="false" customHeight="false" outlineLevel="0" collapsed="false">
      <c r="A33" s="59" t="str">
        <f aca="false">IF($B33="","",ROW()-3)</f>
        <v/>
      </c>
      <c r="B33" s="104" t="str">
        <f aca="false">IFERROR(INDEX(_自动清单!$E$4:$E$303,ROW()-3),"")</f>
        <v/>
      </c>
      <c r="C33" s="61" t="str">
        <f aca="false">IF($B33="","",ROUND(SUMIFS(对接源_01水果!$K$4:$K$1203,对接源_01水果!$C$4:$C$1203,$B33,对接源_01水果!$D$4:$D$1203,"成品出库*"),2))</f>
        <v/>
      </c>
      <c r="D33" s="61" t="str">
        <f aca="false">IF($B33="","",ROUND(SUMIFS(对接源_01水果!$K$4:$K$1203,对接源_01水果!$C$4:$C$1203,$B33,对接源_01水果!$D$4:$D$1203,"其他代存*"),2))</f>
        <v/>
      </c>
      <c r="E33" s="61" t="str">
        <f aca="false">IF($B33="","",ROUND(SUMIFS(对接源_02物料!$K$4:$K$1203,对接源_02物料!$C$4:$C$1203,$B33,对接源_02物料!$D$4:$D$1203,"包装物料*"),2))</f>
        <v/>
      </c>
      <c r="F33" s="61" t="str">
        <f aca="false">IF($B33="","",ROUND(SUMIFS(对接源_02物料!$K$4:$K$1203,对接源_02物料!$C$4:$C$1203,$B33,对接源_02物料!$D$4:$D$1203,"周转筐*"),2))</f>
        <v/>
      </c>
      <c r="G33" s="61" t="str">
        <f aca="false">IF($B33="","",ROUND(SUMIFS(对接源_02物料!$K$4:$K$1203,对接源_02物料!$C$4:$C$1203,$B33,对接源_02物料!$D$4:$D$1203,"次果筐*"),2))</f>
        <v/>
      </c>
      <c r="H33" s="61" t="str">
        <f aca="false">IF($B33="","",ROUND(SUM($C33:$G33),2))</f>
        <v/>
      </c>
      <c r="I33" s="61" t="str">
        <f aca="false">IF($B33="","",ROUND(SUMIFS(对接源_01水果!$K$4:$K$1203,对接源_01水果!$C$4:$C$1203,$B33,对接源_01水果!$D$4:$D$1203,"成品出库*",对接源_01水果!$L$4:$L$1203,"已收讫")+SUMIFS(对接源_01水果!$K$4:$K$1203,对接源_01水果!$C$4:$C$1203,$B33,对接源_01水果!$D$4:$D$1203,"成品出库*",对接源_01水果!$L$4:$L$1203,"已付款")+SUMIFS(对接源_01水果!$K$4:$K$1203,对接源_01水果!$C$4:$C$1203,$B33,对接源_01水果!$D$4:$D$1203,"其他代存*",对接源_01水果!$L$4:$L$1203,"已收讫")+SUMIFS(对接源_01水果!$K$4:$K$1203,对接源_01水果!$C$4:$C$1203,$B33,对接源_01水果!$D$4:$D$1203,"其他代存*",对接源_01水果!$L$4:$L$1203,"已付款")+SUMIFS(对接源_02物料!$K$4:$K$1203,对接源_02物料!$C$4:$C$1203,$B33,对接源_02物料!$D$4:$D$1203,"包装物料*",对接源_02物料!$L$4:$L$1203,"已收讫")+SUMIFS(对接源_02物料!$K$4:$K$1203,对接源_02物料!$C$4:$C$1203,$B33,对接源_02物料!$D$4:$D$1203,"包装物料*",对接源_02物料!$L$4:$L$1203,"已付款")+SUMIFS(对接源_02物料!$K$4:$K$1203,对接源_02物料!$C$4:$C$1203,$B33,对接源_02物料!$D$4:$D$1203,"周转筐*",对接源_02物料!$L$4:$L$1203,"已收讫")+SUMIFS(对接源_02物料!$K$4:$K$1203,对接源_02物料!$C$4:$C$1203,$B33,对接源_02物料!$D$4:$D$1203,"周转筐*",对接源_02物料!$L$4:$L$1203,"已付款")+SUMIFS(对接源_02物料!$K$4:$K$1203,对接源_02物料!$C$4:$C$1203,$B33,对接源_02物料!$D$4:$D$1203,"次果筐*",对接源_02物料!$L$4:$L$1203,"已收讫")+SUMIFS(对接源_02物料!$K$4:$K$1203,对接源_02物料!$C$4:$C$1203,$B33,对接源_02物料!$D$4:$D$1203,"次果筐*",对接源_02物料!$L$4:$L$1203,"已付款"),2))</f>
        <v/>
      </c>
      <c r="J33" s="61" t="str">
        <f aca="false">IF($B33="","",ROUND(N($H33)-N($I33),2))</f>
        <v/>
      </c>
      <c r="K33" s="59" t="str">
        <f aca="false">IF($B33="","",IF(ROUND(N($J33),2)&gt;0,"对方欠款",IF(ROUND(N($J33),2)&lt;0,"我方欠款","已两清")))</f>
        <v/>
      </c>
      <c r="L33" s="105"/>
    </row>
    <row r="34" customFormat="false" ht="13.5" hidden="false" customHeight="false" outlineLevel="0" collapsed="false">
      <c r="A34" s="59" t="str">
        <f aca="false">IF($B34="","",ROW()-3)</f>
        <v/>
      </c>
      <c r="B34" s="104" t="str">
        <f aca="false">IFERROR(INDEX(_自动清单!$E$4:$E$303,ROW()-3),"")</f>
        <v/>
      </c>
      <c r="C34" s="61" t="str">
        <f aca="false">IF($B34="","",ROUND(SUMIFS(对接源_01水果!$K$4:$K$1203,对接源_01水果!$C$4:$C$1203,$B34,对接源_01水果!$D$4:$D$1203,"成品出库*"),2))</f>
        <v/>
      </c>
      <c r="D34" s="61" t="str">
        <f aca="false">IF($B34="","",ROUND(SUMIFS(对接源_01水果!$K$4:$K$1203,对接源_01水果!$C$4:$C$1203,$B34,对接源_01水果!$D$4:$D$1203,"其他代存*"),2))</f>
        <v/>
      </c>
      <c r="E34" s="61" t="str">
        <f aca="false">IF($B34="","",ROUND(SUMIFS(对接源_02物料!$K$4:$K$1203,对接源_02物料!$C$4:$C$1203,$B34,对接源_02物料!$D$4:$D$1203,"包装物料*"),2))</f>
        <v/>
      </c>
      <c r="F34" s="61" t="str">
        <f aca="false">IF($B34="","",ROUND(SUMIFS(对接源_02物料!$K$4:$K$1203,对接源_02物料!$C$4:$C$1203,$B34,对接源_02物料!$D$4:$D$1203,"周转筐*"),2))</f>
        <v/>
      </c>
      <c r="G34" s="61" t="str">
        <f aca="false">IF($B34="","",ROUND(SUMIFS(对接源_02物料!$K$4:$K$1203,对接源_02物料!$C$4:$C$1203,$B34,对接源_02物料!$D$4:$D$1203,"次果筐*"),2))</f>
        <v/>
      </c>
      <c r="H34" s="61" t="str">
        <f aca="false">IF($B34="","",ROUND(SUM($C34:$G34),2))</f>
        <v/>
      </c>
      <c r="I34" s="61" t="str">
        <f aca="false">IF($B34="","",ROUND(SUMIFS(对接源_01水果!$K$4:$K$1203,对接源_01水果!$C$4:$C$1203,$B34,对接源_01水果!$D$4:$D$1203,"成品出库*",对接源_01水果!$L$4:$L$1203,"已收讫")+SUMIFS(对接源_01水果!$K$4:$K$1203,对接源_01水果!$C$4:$C$1203,$B34,对接源_01水果!$D$4:$D$1203,"成品出库*",对接源_01水果!$L$4:$L$1203,"已付款")+SUMIFS(对接源_01水果!$K$4:$K$1203,对接源_01水果!$C$4:$C$1203,$B34,对接源_01水果!$D$4:$D$1203,"其他代存*",对接源_01水果!$L$4:$L$1203,"已收讫")+SUMIFS(对接源_01水果!$K$4:$K$1203,对接源_01水果!$C$4:$C$1203,$B34,对接源_01水果!$D$4:$D$1203,"其他代存*",对接源_01水果!$L$4:$L$1203,"已付款")+SUMIFS(对接源_02物料!$K$4:$K$1203,对接源_02物料!$C$4:$C$1203,$B34,对接源_02物料!$D$4:$D$1203,"包装物料*",对接源_02物料!$L$4:$L$1203,"已收讫")+SUMIFS(对接源_02物料!$K$4:$K$1203,对接源_02物料!$C$4:$C$1203,$B34,对接源_02物料!$D$4:$D$1203,"包装物料*",对接源_02物料!$L$4:$L$1203,"已付款")+SUMIFS(对接源_02物料!$K$4:$K$1203,对接源_02物料!$C$4:$C$1203,$B34,对接源_02物料!$D$4:$D$1203,"周转筐*",对接源_02物料!$L$4:$L$1203,"已收讫")+SUMIFS(对接源_02物料!$K$4:$K$1203,对接源_02物料!$C$4:$C$1203,$B34,对接源_02物料!$D$4:$D$1203,"周转筐*",对接源_02物料!$L$4:$L$1203,"已付款")+SUMIFS(对接源_02物料!$K$4:$K$1203,对接源_02物料!$C$4:$C$1203,$B34,对接源_02物料!$D$4:$D$1203,"次果筐*",对接源_02物料!$L$4:$L$1203,"已收讫")+SUMIFS(对接源_02物料!$K$4:$K$1203,对接源_02物料!$C$4:$C$1203,$B34,对接源_02物料!$D$4:$D$1203,"次果筐*",对接源_02物料!$L$4:$L$1203,"已付款"),2))</f>
        <v/>
      </c>
      <c r="J34" s="61" t="str">
        <f aca="false">IF($B34="","",ROUND(N($H34)-N($I34),2))</f>
        <v/>
      </c>
      <c r="K34" s="59" t="str">
        <f aca="false">IF($B34="","",IF(ROUND(N($J34),2)&gt;0,"对方欠款",IF(ROUND(N($J34),2)&lt;0,"我方欠款","已两清")))</f>
        <v/>
      </c>
      <c r="L34" s="105"/>
    </row>
    <row r="35" customFormat="false" ht="13.5" hidden="false" customHeight="false" outlineLevel="0" collapsed="false">
      <c r="A35" s="59" t="str">
        <f aca="false">IF($B35="","",ROW()-3)</f>
        <v/>
      </c>
      <c r="B35" s="104" t="str">
        <f aca="false">IFERROR(INDEX(_自动清单!$E$4:$E$303,ROW()-3),"")</f>
        <v/>
      </c>
      <c r="C35" s="61" t="str">
        <f aca="false">IF($B35="","",ROUND(SUMIFS(对接源_01水果!$K$4:$K$1203,对接源_01水果!$C$4:$C$1203,$B35,对接源_01水果!$D$4:$D$1203,"成品出库*"),2))</f>
        <v/>
      </c>
      <c r="D35" s="61" t="str">
        <f aca="false">IF($B35="","",ROUND(SUMIFS(对接源_01水果!$K$4:$K$1203,对接源_01水果!$C$4:$C$1203,$B35,对接源_01水果!$D$4:$D$1203,"其他代存*"),2))</f>
        <v/>
      </c>
      <c r="E35" s="61" t="str">
        <f aca="false">IF($B35="","",ROUND(SUMIFS(对接源_02物料!$K$4:$K$1203,对接源_02物料!$C$4:$C$1203,$B35,对接源_02物料!$D$4:$D$1203,"包装物料*"),2))</f>
        <v/>
      </c>
      <c r="F35" s="61" t="str">
        <f aca="false">IF($B35="","",ROUND(SUMIFS(对接源_02物料!$K$4:$K$1203,对接源_02物料!$C$4:$C$1203,$B35,对接源_02物料!$D$4:$D$1203,"周转筐*"),2))</f>
        <v/>
      </c>
      <c r="G35" s="61" t="str">
        <f aca="false">IF($B35="","",ROUND(SUMIFS(对接源_02物料!$K$4:$K$1203,对接源_02物料!$C$4:$C$1203,$B35,对接源_02物料!$D$4:$D$1203,"次果筐*"),2))</f>
        <v/>
      </c>
      <c r="H35" s="61" t="str">
        <f aca="false">IF($B35="","",ROUND(SUM($C35:$G35),2))</f>
        <v/>
      </c>
      <c r="I35" s="61" t="str">
        <f aca="false">IF($B35="","",ROUND(SUMIFS(对接源_01水果!$K$4:$K$1203,对接源_01水果!$C$4:$C$1203,$B35,对接源_01水果!$D$4:$D$1203,"成品出库*",对接源_01水果!$L$4:$L$1203,"已收讫")+SUMIFS(对接源_01水果!$K$4:$K$1203,对接源_01水果!$C$4:$C$1203,$B35,对接源_01水果!$D$4:$D$1203,"成品出库*",对接源_01水果!$L$4:$L$1203,"已付款")+SUMIFS(对接源_01水果!$K$4:$K$1203,对接源_01水果!$C$4:$C$1203,$B35,对接源_01水果!$D$4:$D$1203,"其他代存*",对接源_01水果!$L$4:$L$1203,"已收讫")+SUMIFS(对接源_01水果!$K$4:$K$1203,对接源_01水果!$C$4:$C$1203,$B35,对接源_01水果!$D$4:$D$1203,"其他代存*",对接源_01水果!$L$4:$L$1203,"已付款")+SUMIFS(对接源_02物料!$K$4:$K$1203,对接源_02物料!$C$4:$C$1203,$B35,对接源_02物料!$D$4:$D$1203,"包装物料*",对接源_02物料!$L$4:$L$1203,"已收讫")+SUMIFS(对接源_02物料!$K$4:$K$1203,对接源_02物料!$C$4:$C$1203,$B35,对接源_02物料!$D$4:$D$1203,"包装物料*",对接源_02物料!$L$4:$L$1203,"已付款")+SUMIFS(对接源_02物料!$K$4:$K$1203,对接源_02物料!$C$4:$C$1203,$B35,对接源_02物料!$D$4:$D$1203,"周转筐*",对接源_02物料!$L$4:$L$1203,"已收讫")+SUMIFS(对接源_02物料!$K$4:$K$1203,对接源_02物料!$C$4:$C$1203,$B35,对接源_02物料!$D$4:$D$1203,"周转筐*",对接源_02物料!$L$4:$L$1203,"已付款")+SUMIFS(对接源_02物料!$K$4:$K$1203,对接源_02物料!$C$4:$C$1203,$B35,对接源_02物料!$D$4:$D$1203,"次果筐*",对接源_02物料!$L$4:$L$1203,"已收讫")+SUMIFS(对接源_02物料!$K$4:$K$1203,对接源_02物料!$C$4:$C$1203,$B35,对接源_02物料!$D$4:$D$1203,"次果筐*",对接源_02物料!$L$4:$L$1203,"已付款"),2))</f>
        <v/>
      </c>
      <c r="J35" s="61" t="str">
        <f aca="false">IF($B35="","",ROUND(N($H35)-N($I35),2))</f>
        <v/>
      </c>
      <c r="K35" s="59" t="str">
        <f aca="false">IF($B35="","",IF(ROUND(N($J35),2)&gt;0,"对方欠款",IF(ROUND(N($J35),2)&lt;0,"我方欠款","已两清")))</f>
        <v/>
      </c>
      <c r="L35" s="105"/>
    </row>
    <row r="36" customFormat="false" ht="13.5" hidden="false" customHeight="false" outlineLevel="0" collapsed="false">
      <c r="A36" s="59" t="str">
        <f aca="false">IF($B36="","",ROW()-3)</f>
        <v/>
      </c>
      <c r="B36" s="104" t="str">
        <f aca="false">IFERROR(INDEX(_自动清单!$E$4:$E$303,ROW()-3),"")</f>
        <v/>
      </c>
      <c r="C36" s="61" t="str">
        <f aca="false">IF($B36="","",ROUND(SUMIFS(对接源_01水果!$K$4:$K$1203,对接源_01水果!$C$4:$C$1203,$B36,对接源_01水果!$D$4:$D$1203,"成品出库*"),2))</f>
        <v/>
      </c>
      <c r="D36" s="61" t="str">
        <f aca="false">IF($B36="","",ROUND(SUMIFS(对接源_01水果!$K$4:$K$1203,对接源_01水果!$C$4:$C$1203,$B36,对接源_01水果!$D$4:$D$1203,"其他代存*"),2))</f>
        <v/>
      </c>
      <c r="E36" s="61" t="str">
        <f aca="false">IF($B36="","",ROUND(SUMIFS(对接源_02物料!$K$4:$K$1203,对接源_02物料!$C$4:$C$1203,$B36,对接源_02物料!$D$4:$D$1203,"包装物料*"),2))</f>
        <v/>
      </c>
      <c r="F36" s="61" t="str">
        <f aca="false">IF($B36="","",ROUND(SUMIFS(对接源_02物料!$K$4:$K$1203,对接源_02物料!$C$4:$C$1203,$B36,对接源_02物料!$D$4:$D$1203,"周转筐*"),2))</f>
        <v/>
      </c>
      <c r="G36" s="61" t="str">
        <f aca="false">IF($B36="","",ROUND(SUMIFS(对接源_02物料!$K$4:$K$1203,对接源_02物料!$C$4:$C$1203,$B36,对接源_02物料!$D$4:$D$1203,"次果筐*"),2))</f>
        <v/>
      </c>
      <c r="H36" s="61" t="str">
        <f aca="false">IF($B36="","",ROUND(SUM($C36:$G36),2))</f>
        <v/>
      </c>
      <c r="I36" s="61" t="str">
        <f aca="false">IF($B36="","",ROUND(SUMIFS(对接源_01水果!$K$4:$K$1203,对接源_01水果!$C$4:$C$1203,$B36,对接源_01水果!$D$4:$D$1203,"成品出库*",对接源_01水果!$L$4:$L$1203,"已收讫")+SUMIFS(对接源_01水果!$K$4:$K$1203,对接源_01水果!$C$4:$C$1203,$B36,对接源_01水果!$D$4:$D$1203,"成品出库*",对接源_01水果!$L$4:$L$1203,"已付款")+SUMIFS(对接源_01水果!$K$4:$K$1203,对接源_01水果!$C$4:$C$1203,$B36,对接源_01水果!$D$4:$D$1203,"其他代存*",对接源_01水果!$L$4:$L$1203,"已收讫")+SUMIFS(对接源_01水果!$K$4:$K$1203,对接源_01水果!$C$4:$C$1203,$B36,对接源_01水果!$D$4:$D$1203,"其他代存*",对接源_01水果!$L$4:$L$1203,"已付款")+SUMIFS(对接源_02物料!$K$4:$K$1203,对接源_02物料!$C$4:$C$1203,$B36,对接源_02物料!$D$4:$D$1203,"包装物料*",对接源_02物料!$L$4:$L$1203,"已收讫")+SUMIFS(对接源_02物料!$K$4:$K$1203,对接源_02物料!$C$4:$C$1203,$B36,对接源_02物料!$D$4:$D$1203,"包装物料*",对接源_02物料!$L$4:$L$1203,"已付款")+SUMIFS(对接源_02物料!$K$4:$K$1203,对接源_02物料!$C$4:$C$1203,$B36,对接源_02物料!$D$4:$D$1203,"周转筐*",对接源_02物料!$L$4:$L$1203,"已收讫")+SUMIFS(对接源_02物料!$K$4:$K$1203,对接源_02物料!$C$4:$C$1203,$B36,对接源_02物料!$D$4:$D$1203,"周转筐*",对接源_02物料!$L$4:$L$1203,"已付款")+SUMIFS(对接源_02物料!$K$4:$K$1203,对接源_02物料!$C$4:$C$1203,$B36,对接源_02物料!$D$4:$D$1203,"次果筐*",对接源_02物料!$L$4:$L$1203,"已收讫")+SUMIFS(对接源_02物料!$K$4:$K$1203,对接源_02物料!$C$4:$C$1203,$B36,对接源_02物料!$D$4:$D$1203,"次果筐*",对接源_02物料!$L$4:$L$1203,"已付款"),2))</f>
        <v/>
      </c>
      <c r="J36" s="61" t="str">
        <f aca="false">IF($B36="","",ROUND(N($H36)-N($I36),2))</f>
        <v/>
      </c>
      <c r="K36" s="59" t="str">
        <f aca="false">IF($B36="","",IF(ROUND(N($J36),2)&gt;0,"对方欠款",IF(ROUND(N($J36),2)&lt;0,"我方欠款","已两清")))</f>
        <v/>
      </c>
      <c r="L36" s="105"/>
    </row>
    <row r="37" customFormat="false" ht="13.5" hidden="false" customHeight="false" outlineLevel="0" collapsed="false">
      <c r="A37" s="59" t="str">
        <f aca="false">IF($B37="","",ROW()-3)</f>
        <v/>
      </c>
      <c r="B37" s="104" t="str">
        <f aca="false">IFERROR(INDEX(_自动清单!$E$4:$E$303,ROW()-3),"")</f>
        <v/>
      </c>
      <c r="C37" s="61" t="str">
        <f aca="false">IF($B37="","",ROUND(SUMIFS(对接源_01水果!$K$4:$K$1203,对接源_01水果!$C$4:$C$1203,$B37,对接源_01水果!$D$4:$D$1203,"成品出库*"),2))</f>
        <v/>
      </c>
      <c r="D37" s="61" t="str">
        <f aca="false">IF($B37="","",ROUND(SUMIFS(对接源_01水果!$K$4:$K$1203,对接源_01水果!$C$4:$C$1203,$B37,对接源_01水果!$D$4:$D$1203,"其他代存*"),2))</f>
        <v/>
      </c>
      <c r="E37" s="61" t="str">
        <f aca="false">IF($B37="","",ROUND(SUMIFS(对接源_02物料!$K$4:$K$1203,对接源_02物料!$C$4:$C$1203,$B37,对接源_02物料!$D$4:$D$1203,"包装物料*"),2))</f>
        <v/>
      </c>
      <c r="F37" s="61" t="str">
        <f aca="false">IF($B37="","",ROUND(SUMIFS(对接源_02物料!$K$4:$K$1203,对接源_02物料!$C$4:$C$1203,$B37,对接源_02物料!$D$4:$D$1203,"周转筐*"),2))</f>
        <v/>
      </c>
      <c r="G37" s="61" t="str">
        <f aca="false">IF($B37="","",ROUND(SUMIFS(对接源_02物料!$K$4:$K$1203,对接源_02物料!$C$4:$C$1203,$B37,对接源_02物料!$D$4:$D$1203,"次果筐*"),2))</f>
        <v/>
      </c>
      <c r="H37" s="61" t="str">
        <f aca="false">IF($B37="","",ROUND(SUM($C37:$G37),2))</f>
        <v/>
      </c>
      <c r="I37" s="61" t="str">
        <f aca="false">IF($B37="","",ROUND(SUMIFS(对接源_01水果!$K$4:$K$1203,对接源_01水果!$C$4:$C$1203,$B37,对接源_01水果!$D$4:$D$1203,"成品出库*",对接源_01水果!$L$4:$L$1203,"已收讫")+SUMIFS(对接源_01水果!$K$4:$K$1203,对接源_01水果!$C$4:$C$1203,$B37,对接源_01水果!$D$4:$D$1203,"成品出库*",对接源_01水果!$L$4:$L$1203,"已付款")+SUMIFS(对接源_01水果!$K$4:$K$1203,对接源_01水果!$C$4:$C$1203,$B37,对接源_01水果!$D$4:$D$1203,"其他代存*",对接源_01水果!$L$4:$L$1203,"已收讫")+SUMIFS(对接源_01水果!$K$4:$K$1203,对接源_01水果!$C$4:$C$1203,$B37,对接源_01水果!$D$4:$D$1203,"其他代存*",对接源_01水果!$L$4:$L$1203,"已付款")+SUMIFS(对接源_02物料!$K$4:$K$1203,对接源_02物料!$C$4:$C$1203,$B37,对接源_02物料!$D$4:$D$1203,"包装物料*",对接源_02物料!$L$4:$L$1203,"已收讫")+SUMIFS(对接源_02物料!$K$4:$K$1203,对接源_02物料!$C$4:$C$1203,$B37,对接源_02物料!$D$4:$D$1203,"包装物料*",对接源_02物料!$L$4:$L$1203,"已付款")+SUMIFS(对接源_02物料!$K$4:$K$1203,对接源_02物料!$C$4:$C$1203,$B37,对接源_02物料!$D$4:$D$1203,"周转筐*",对接源_02物料!$L$4:$L$1203,"已收讫")+SUMIFS(对接源_02物料!$K$4:$K$1203,对接源_02物料!$C$4:$C$1203,$B37,对接源_02物料!$D$4:$D$1203,"周转筐*",对接源_02物料!$L$4:$L$1203,"已付款")+SUMIFS(对接源_02物料!$K$4:$K$1203,对接源_02物料!$C$4:$C$1203,$B37,对接源_02物料!$D$4:$D$1203,"次果筐*",对接源_02物料!$L$4:$L$1203,"已收讫")+SUMIFS(对接源_02物料!$K$4:$K$1203,对接源_02物料!$C$4:$C$1203,$B37,对接源_02物料!$D$4:$D$1203,"次果筐*",对接源_02物料!$L$4:$L$1203,"已付款"),2))</f>
        <v/>
      </c>
      <c r="J37" s="61" t="str">
        <f aca="false">IF($B37="","",ROUND(N($H37)-N($I37),2))</f>
        <v/>
      </c>
      <c r="K37" s="59" t="str">
        <f aca="false">IF($B37="","",IF(ROUND(N($J37),2)&gt;0,"对方欠款",IF(ROUND(N($J37),2)&lt;0,"我方欠款","已两清")))</f>
        <v/>
      </c>
      <c r="L37" s="105"/>
    </row>
    <row r="38" customFormat="false" ht="13.5" hidden="false" customHeight="false" outlineLevel="0" collapsed="false">
      <c r="A38" s="59" t="str">
        <f aca="false">IF($B38="","",ROW()-3)</f>
        <v/>
      </c>
      <c r="B38" s="104" t="str">
        <f aca="false">IFERROR(INDEX(_自动清单!$E$4:$E$303,ROW()-3),"")</f>
        <v/>
      </c>
      <c r="C38" s="61" t="str">
        <f aca="false">IF($B38="","",ROUND(SUMIFS(对接源_01水果!$K$4:$K$1203,对接源_01水果!$C$4:$C$1203,$B38,对接源_01水果!$D$4:$D$1203,"成品出库*"),2))</f>
        <v/>
      </c>
      <c r="D38" s="61" t="str">
        <f aca="false">IF($B38="","",ROUND(SUMIFS(对接源_01水果!$K$4:$K$1203,对接源_01水果!$C$4:$C$1203,$B38,对接源_01水果!$D$4:$D$1203,"其他代存*"),2))</f>
        <v/>
      </c>
      <c r="E38" s="61" t="str">
        <f aca="false">IF($B38="","",ROUND(SUMIFS(对接源_02物料!$K$4:$K$1203,对接源_02物料!$C$4:$C$1203,$B38,对接源_02物料!$D$4:$D$1203,"包装物料*"),2))</f>
        <v/>
      </c>
      <c r="F38" s="61" t="str">
        <f aca="false">IF($B38="","",ROUND(SUMIFS(对接源_02物料!$K$4:$K$1203,对接源_02物料!$C$4:$C$1203,$B38,对接源_02物料!$D$4:$D$1203,"周转筐*"),2))</f>
        <v/>
      </c>
      <c r="G38" s="61" t="str">
        <f aca="false">IF($B38="","",ROUND(SUMIFS(对接源_02物料!$K$4:$K$1203,对接源_02物料!$C$4:$C$1203,$B38,对接源_02物料!$D$4:$D$1203,"次果筐*"),2))</f>
        <v/>
      </c>
      <c r="H38" s="61" t="str">
        <f aca="false">IF($B38="","",ROUND(SUM($C38:$G38),2))</f>
        <v/>
      </c>
      <c r="I38" s="61" t="str">
        <f aca="false">IF($B38="","",ROUND(SUMIFS(对接源_01水果!$K$4:$K$1203,对接源_01水果!$C$4:$C$1203,$B38,对接源_01水果!$D$4:$D$1203,"成品出库*",对接源_01水果!$L$4:$L$1203,"已收讫")+SUMIFS(对接源_01水果!$K$4:$K$1203,对接源_01水果!$C$4:$C$1203,$B38,对接源_01水果!$D$4:$D$1203,"成品出库*",对接源_01水果!$L$4:$L$1203,"已付款")+SUMIFS(对接源_01水果!$K$4:$K$1203,对接源_01水果!$C$4:$C$1203,$B38,对接源_01水果!$D$4:$D$1203,"其他代存*",对接源_01水果!$L$4:$L$1203,"已收讫")+SUMIFS(对接源_01水果!$K$4:$K$1203,对接源_01水果!$C$4:$C$1203,$B38,对接源_01水果!$D$4:$D$1203,"其他代存*",对接源_01水果!$L$4:$L$1203,"已付款")+SUMIFS(对接源_02物料!$K$4:$K$1203,对接源_02物料!$C$4:$C$1203,$B38,对接源_02物料!$D$4:$D$1203,"包装物料*",对接源_02物料!$L$4:$L$1203,"已收讫")+SUMIFS(对接源_02物料!$K$4:$K$1203,对接源_02物料!$C$4:$C$1203,$B38,对接源_02物料!$D$4:$D$1203,"包装物料*",对接源_02物料!$L$4:$L$1203,"已付款")+SUMIFS(对接源_02物料!$K$4:$K$1203,对接源_02物料!$C$4:$C$1203,$B38,对接源_02物料!$D$4:$D$1203,"周转筐*",对接源_02物料!$L$4:$L$1203,"已收讫")+SUMIFS(对接源_02物料!$K$4:$K$1203,对接源_02物料!$C$4:$C$1203,$B38,对接源_02物料!$D$4:$D$1203,"周转筐*",对接源_02物料!$L$4:$L$1203,"已付款")+SUMIFS(对接源_02物料!$K$4:$K$1203,对接源_02物料!$C$4:$C$1203,$B38,对接源_02物料!$D$4:$D$1203,"次果筐*",对接源_02物料!$L$4:$L$1203,"已收讫")+SUMIFS(对接源_02物料!$K$4:$K$1203,对接源_02物料!$C$4:$C$1203,$B38,对接源_02物料!$D$4:$D$1203,"次果筐*",对接源_02物料!$L$4:$L$1203,"已付款"),2))</f>
        <v/>
      </c>
      <c r="J38" s="61" t="str">
        <f aca="false">IF($B38="","",ROUND(N($H38)-N($I38),2))</f>
        <v/>
      </c>
      <c r="K38" s="59" t="str">
        <f aca="false">IF($B38="","",IF(ROUND(N($J38),2)&gt;0,"对方欠款",IF(ROUND(N($J38),2)&lt;0,"我方欠款","已两清")))</f>
        <v/>
      </c>
      <c r="L38" s="105"/>
    </row>
    <row r="39" customFormat="false" ht="13.5" hidden="false" customHeight="false" outlineLevel="0" collapsed="false">
      <c r="A39" s="59" t="str">
        <f aca="false">IF($B39="","",ROW()-3)</f>
        <v/>
      </c>
      <c r="B39" s="104" t="str">
        <f aca="false">IFERROR(INDEX(_自动清单!$E$4:$E$303,ROW()-3),"")</f>
        <v/>
      </c>
      <c r="C39" s="61" t="str">
        <f aca="false">IF($B39="","",ROUND(SUMIFS(对接源_01水果!$K$4:$K$1203,对接源_01水果!$C$4:$C$1203,$B39,对接源_01水果!$D$4:$D$1203,"成品出库*"),2))</f>
        <v/>
      </c>
      <c r="D39" s="61" t="str">
        <f aca="false">IF($B39="","",ROUND(SUMIFS(对接源_01水果!$K$4:$K$1203,对接源_01水果!$C$4:$C$1203,$B39,对接源_01水果!$D$4:$D$1203,"其他代存*"),2))</f>
        <v/>
      </c>
      <c r="E39" s="61" t="str">
        <f aca="false">IF($B39="","",ROUND(SUMIFS(对接源_02物料!$K$4:$K$1203,对接源_02物料!$C$4:$C$1203,$B39,对接源_02物料!$D$4:$D$1203,"包装物料*"),2))</f>
        <v/>
      </c>
      <c r="F39" s="61" t="str">
        <f aca="false">IF($B39="","",ROUND(SUMIFS(对接源_02物料!$K$4:$K$1203,对接源_02物料!$C$4:$C$1203,$B39,对接源_02物料!$D$4:$D$1203,"周转筐*"),2))</f>
        <v/>
      </c>
      <c r="G39" s="61" t="str">
        <f aca="false">IF($B39="","",ROUND(SUMIFS(对接源_02物料!$K$4:$K$1203,对接源_02物料!$C$4:$C$1203,$B39,对接源_02物料!$D$4:$D$1203,"次果筐*"),2))</f>
        <v/>
      </c>
      <c r="H39" s="61" t="str">
        <f aca="false">IF($B39="","",ROUND(SUM($C39:$G39),2))</f>
        <v/>
      </c>
      <c r="I39" s="61" t="str">
        <f aca="false">IF($B39="","",ROUND(SUMIFS(对接源_01水果!$K$4:$K$1203,对接源_01水果!$C$4:$C$1203,$B39,对接源_01水果!$D$4:$D$1203,"成品出库*",对接源_01水果!$L$4:$L$1203,"已收讫")+SUMIFS(对接源_01水果!$K$4:$K$1203,对接源_01水果!$C$4:$C$1203,$B39,对接源_01水果!$D$4:$D$1203,"成品出库*",对接源_01水果!$L$4:$L$1203,"已付款")+SUMIFS(对接源_01水果!$K$4:$K$1203,对接源_01水果!$C$4:$C$1203,$B39,对接源_01水果!$D$4:$D$1203,"其他代存*",对接源_01水果!$L$4:$L$1203,"已收讫")+SUMIFS(对接源_01水果!$K$4:$K$1203,对接源_01水果!$C$4:$C$1203,$B39,对接源_01水果!$D$4:$D$1203,"其他代存*",对接源_01水果!$L$4:$L$1203,"已付款")+SUMIFS(对接源_02物料!$K$4:$K$1203,对接源_02物料!$C$4:$C$1203,$B39,对接源_02物料!$D$4:$D$1203,"包装物料*",对接源_02物料!$L$4:$L$1203,"已收讫")+SUMIFS(对接源_02物料!$K$4:$K$1203,对接源_02物料!$C$4:$C$1203,$B39,对接源_02物料!$D$4:$D$1203,"包装物料*",对接源_02物料!$L$4:$L$1203,"已付款")+SUMIFS(对接源_02物料!$K$4:$K$1203,对接源_02物料!$C$4:$C$1203,$B39,对接源_02物料!$D$4:$D$1203,"周转筐*",对接源_02物料!$L$4:$L$1203,"已收讫")+SUMIFS(对接源_02物料!$K$4:$K$1203,对接源_02物料!$C$4:$C$1203,$B39,对接源_02物料!$D$4:$D$1203,"周转筐*",对接源_02物料!$L$4:$L$1203,"已付款")+SUMIFS(对接源_02物料!$K$4:$K$1203,对接源_02物料!$C$4:$C$1203,$B39,对接源_02物料!$D$4:$D$1203,"次果筐*",对接源_02物料!$L$4:$L$1203,"已收讫")+SUMIFS(对接源_02物料!$K$4:$K$1203,对接源_02物料!$C$4:$C$1203,$B39,对接源_02物料!$D$4:$D$1203,"次果筐*",对接源_02物料!$L$4:$L$1203,"已付款"),2))</f>
        <v/>
      </c>
      <c r="J39" s="61" t="str">
        <f aca="false">IF($B39="","",ROUND(N($H39)-N($I39),2))</f>
        <v/>
      </c>
      <c r="K39" s="59" t="str">
        <f aca="false">IF($B39="","",IF(ROUND(N($J39),2)&gt;0,"对方欠款",IF(ROUND(N($J39),2)&lt;0,"我方欠款","已两清")))</f>
        <v/>
      </c>
      <c r="L39" s="105"/>
    </row>
    <row r="40" customFormat="false" ht="13.5" hidden="false" customHeight="false" outlineLevel="0" collapsed="false">
      <c r="A40" s="59" t="str">
        <f aca="false">IF($B40="","",ROW()-3)</f>
        <v/>
      </c>
      <c r="B40" s="104" t="str">
        <f aca="false">IFERROR(INDEX(_自动清单!$E$4:$E$303,ROW()-3),"")</f>
        <v/>
      </c>
      <c r="C40" s="61" t="str">
        <f aca="false">IF($B40="","",ROUND(SUMIFS(对接源_01水果!$K$4:$K$1203,对接源_01水果!$C$4:$C$1203,$B40,对接源_01水果!$D$4:$D$1203,"成品出库*"),2))</f>
        <v/>
      </c>
      <c r="D40" s="61" t="str">
        <f aca="false">IF($B40="","",ROUND(SUMIFS(对接源_01水果!$K$4:$K$1203,对接源_01水果!$C$4:$C$1203,$B40,对接源_01水果!$D$4:$D$1203,"其他代存*"),2))</f>
        <v/>
      </c>
      <c r="E40" s="61" t="str">
        <f aca="false">IF($B40="","",ROUND(SUMIFS(对接源_02物料!$K$4:$K$1203,对接源_02物料!$C$4:$C$1203,$B40,对接源_02物料!$D$4:$D$1203,"包装物料*"),2))</f>
        <v/>
      </c>
      <c r="F40" s="61" t="str">
        <f aca="false">IF($B40="","",ROUND(SUMIFS(对接源_02物料!$K$4:$K$1203,对接源_02物料!$C$4:$C$1203,$B40,对接源_02物料!$D$4:$D$1203,"周转筐*"),2))</f>
        <v/>
      </c>
      <c r="G40" s="61" t="str">
        <f aca="false">IF($B40="","",ROUND(SUMIFS(对接源_02物料!$K$4:$K$1203,对接源_02物料!$C$4:$C$1203,$B40,对接源_02物料!$D$4:$D$1203,"次果筐*"),2))</f>
        <v/>
      </c>
      <c r="H40" s="61" t="str">
        <f aca="false">IF($B40="","",ROUND(SUM($C40:$G40),2))</f>
        <v/>
      </c>
      <c r="I40" s="61" t="str">
        <f aca="false">IF($B40="","",ROUND(SUMIFS(对接源_01水果!$K$4:$K$1203,对接源_01水果!$C$4:$C$1203,$B40,对接源_01水果!$D$4:$D$1203,"成品出库*",对接源_01水果!$L$4:$L$1203,"已收讫")+SUMIFS(对接源_01水果!$K$4:$K$1203,对接源_01水果!$C$4:$C$1203,$B40,对接源_01水果!$D$4:$D$1203,"成品出库*",对接源_01水果!$L$4:$L$1203,"已付款")+SUMIFS(对接源_01水果!$K$4:$K$1203,对接源_01水果!$C$4:$C$1203,$B40,对接源_01水果!$D$4:$D$1203,"其他代存*",对接源_01水果!$L$4:$L$1203,"已收讫")+SUMIFS(对接源_01水果!$K$4:$K$1203,对接源_01水果!$C$4:$C$1203,$B40,对接源_01水果!$D$4:$D$1203,"其他代存*",对接源_01水果!$L$4:$L$1203,"已付款")+SUMIFS(对接源_02物料!$K$4:$K$1203,对接源_02物料!$C$4:$C$1203,$B40,对接源_02物料!$D$4:$D$1203,"包装物料*",对接源_02物料!$L$4:$L$1203,"已收讫")+SUMIFS(对接源_02物料!$K$4:$K$1203,对接源_02物料!$C$4:$C$1203,$B40,对接源_02物料!$D$4:$D$1203,"包装物料*",对接源_02物料!$L$4:$L$1203,"已付款")+SUMIFS(对接源_02物料!$K$4:$K$1203,对接源_02物料!$C$4:$C$1203,$B40,对接源_02物料!$D$4:$D$1203,"周转筐*",对接源_02物料!$L$4:$L$1203,"已收讫")+SUMIFS(对接源_02物料!$K$4:$K$1203,对接源_02物料!$C$4:$C$1203,$B40,对接源_02物料!$D$4:$D$1203,"周转筐*",对接源_02物料!$L$4:$L$1203,"已付款")+SUMIFS(对接源_02物料!$K$4:$K$1203,对接源_02物料!$C$4:$C$1203,$B40,对接源_02物料!$D$4:$D$1203,"次果筐*",对接源_02物料!$L$4:$L$1203,"已收讫")+SUMIFS(对接源_02物料!$K$4:$K$1203,对接源_02物料!$C$4:$C$1203,$B40,对接源_02物料!$D$4:$D$1203,"次果筐*",对接源_02物料!$L$4:$L$1203,"已付款"),2))</f>
        <v/>
      </c>
      <c r="J40" s="61" t="str">
        <f aca="false">IF($B40="","",ROUND(N($H40)-N($I40),2))</f>
        <v/>
      </c>
      <c r="K40" s="59" t="str">
        <f aca="false">IF($B40="","",IF(ROUND(N($J40),2)&gt;0,"对方欠款",IF(ROUND(N($J40),2)&lt;0,"我方欠款","已两清")))</f>
        <v/>
      </c>
      <c r="L40" s="105"/>
    </row>
    <row r="41" customFormat="false" ht="13.5" hidden="false" customHeight="false" outlineLevel="0" collapsed="false">
      <c r="A41" s="59" t="str">
        <f aca="false">IF($B41="","",ROW()-3)</f>
        <v/>
      </c>
      <c r="B41" s="104" t="str">
        <f aca="false">IFERROR(INDEX(_自动清单!$E$4:$E$303,ROW()-3),"")</f>
        <v/>
      </c>
      <c r="C41" s="61" t="str">
        <f aca="false">IF($B41="","",ROUND(SUMIFS(对接源_01水果!$K$4:$K$1203,对接源_01水果!$C$4:$C$1203,$B41,对接源_01水果!$D$4:$D$1203,"成品出库*"),2))</f>
        <v/>
      </c>
      <c r="D41" s="61" t="str">
        <f aca="false">IF($B41="","",ROUND(SUMIFS(对接源_01水果!$K$4:$K$1203,对接源_01水果!$C$4:$C$1203,$B41,对接源_01水果!$D$4:$D$1203,"其他代存*"),2))</f>
        <v/>
      </c>
      <c r="E41" s="61" t="str">
        <f aca="false">IF($B41="","",ROUND(SUMIFS(对接源_02物料!$K$4:$K$1203,对接源_02物料!$C$4:$C$1203,$B41,对接源_02物料!$D$4:$D$1203,"包装物料*"),2))</f>
        <v/>
      </c>
      <c r="F41" s="61" t="str">
        <f aca="false">IF($B41="","",ROUND(SUMIFS(对接源_02物料!$K$4:$K$1203,对接源_02物料!$C$4:$C$1203,$B41,对接源_02物料!$D$4:$D$1203,"周转筐*"),2))</f>
        <v/>
      </c>
      <c r="G41" s="61" t="str">
        <f aca="false">IF($B41="","",ROUND(SUMIFS(对接源_02物料!$K$4:$K$1203,对接源_02物料!$C$4:$C$1203,$B41,对接源_02物料!$D$4:$D$1203,"次果筐*"),2))</f>
        <v/>
      </c>
      <c r="H41" s="61" t="str">
        <f aca="false">IF($B41="","",ROUND(SUM($C41:$G41),2))</f>
        <v/>
      </c>
      <c r="I41" s="61" t="str">
        <f aca="false">IF($B41="","",ROUND(SUMIFS(对接源_01水果!$K$4:$K$1203,对接源_01水果!$C$4:$C$1203,$B41,对接源_01水果!$D$4:$D$1203,"成品出库*",对接源_01水果!$L$4:$L$1203,"已收讫")+SUMIFS(对接源_01水果!$K$4:$K$1203,对接源_01水果!$C$4:$C$1203,$B41,对接源_01水果!$D$4:$D$1203,"成品出库*",对接源_01水果!$L$4:$L$1203,"已付款")+SUMIFS(对接源_01水果!$K$4:$K$1203,对接源_01水果!$C$4:$C$1203,$B41,对接源_01水果!$D$4:$D$1203,"其他代存*",对接源_01水果!$L$4:$L$1203,"已收讫")+SUMIFS(对接源_01水果!$K$4:$K$1203,对接源_01水果!$C$4:$C$1203,$B41,对接源_01水果!$D$4:$D$1203,"其他代存*",对接源_01水果!$L$4:$L$1203,"已付款")+SUMIFS(对接源_02物料!$K$4:$K$1203,对接源_02物料!$C$4:$C$1203,$B41,对接源_02物料!$D$4:$D$1203,"包装物料*",对接源_02物料!$L$4:$L$1203,"已收讫")+SUMIFS(对接源_02物料!$K$4:$K$1203,对接源_02物料!$C$4:$C$1203,$B41,对接源_02物料!$D$4:$D$1203,"包装物料*",对接源_02物料!$L$4:$L$1203,"已付款")+SUMIFS(对接源_02物料!$K$4:$K$1203,对接源_02物料!$C$4:$C$1203,$B41,对接源_02物料!$D$4:$D$1203,"周转筐*",对接源_02物料!$L$4:$L$1203,"已收讫")+SUMIFS(对接源_02物料!$K$4:$K$1203,对接源_02物料!$C$4:$C$1203,$B41,对接源_02物料!$D$4:$D$1203,"周转筐*",对接源_02物料!$L$4:$L$1203,"已付款")+SUMIFS(对接源_02物料!$K$4:$K$1203,对接源_02物料!$C$4:$C$1203,$B41,对接源_02物料!$D$4:$D$1203,"次果筐*",对接源_02物料!$L$4:$L$1203,"已收讫")+SUMIFS(对接源_02物料!$K$4:$K$1203,对接源_02物料!$C$4:$C$1203,$B41,对接源_02物料!$D$4:$D$1203,"次果筐*",对接源_02物料!$L$4:$L$1203,"已付款"),2))</f>
        <v/>
      </c>
      <c r="J41" s="61" t="str">
        <f aca="false">IF($B41="","",ROUND(N($H41)-N($I41),2))</f>
        <v/>
      </c>
      <c r="K41" s="59" t="str">
        <f aca="false">IF($B41="","",IF(ROUND(N($J41),2)&gt;0,"对方欠款",IF(ROUND(N($J41),2)&lt;0,"我方欠款","已两清")))</f>
        <v/>
      </c>
      <c r="L41" s="105"/>
    </row>
    <row r="42" customFormat="false" ht="13.5" hidden="false" customHeight="false" outlineLevel="0" collapsed="false">
      <c r="A42" s="59" t="str">
        <f aca="false">IF($B42="","",ROW()-3)</f>
        <v/>
      </c>
      <c r="B42" s="104" t="str">
        <f aca="false">IFERROR(INDEX(_自动清单!$E$4:$E$303,ROW()-3),"")</f>
        <v/>
      </c>
      <c r="C42" s="61" t="str">
        <f aca="false">IF($B42="","",ROUND(SUMIFS(对接源_01水果!$K$4:$K$1203,对接源_01水果!$C$4:$C$1203,$B42,对接源_01水果!$D$4:$D$1203,"成品出库*"),2))</f>
        <v/>
      </c>
      <c r="D42" s="61" t="str">
        <f aca="false">IF($B42="","",ROUND(SUMIFS(对接源_01水果!$K$4:$K$1203,对接源_01水果!$C$4:$C$1203,$B42,对接源_01水果!$D$4:$D$1203,"其他代存*"),2))</f>
        <v/>
      </c>
      <c r="E42" s="61" t="str">
        <f aca="false">IF($B42="","",ROUND(SUMIFS(对接源_02物料!$K$4:$K$1203,对接源_02物料!$C$4:$C$1203,$B42,对接源_02物料!$D$4:$D$1203,"包装物料*"),2))</f>
        <v/>
      </c>
      <c r="F42" s="61" t="str">
        <f aca="false">IF($B42="","",ROUND(SUMIFS(对接源_02物料!$K$4:$K$1203,对接源_02物料!$C$4:$C$1203,$B42,对接源_02物料!$D$4:$D$1203,"周转筐*"),2))</f>
        <v/>
      </c>
      <c r="G42" s="61" t="str">
        <f aca="false">IF($B42="","",ROUND(SUMIFS(对接源_02物料!$K$4:$K$1203,对接源_02物料!$C$4:$C$1203,$B42,对接源_02物料!$D$4:$D$1203,"次果筐*"),2))</f>
        <v/>
      </c>
      <c r="H42" s="61" t="str">
        <f aca="false">IF($B42="","",ROUND(SUM($C42:$G42),2))</f>
        <v/>
      </c>
      <c r="I42" s="61" t="str">
        <f aca="false">IF($B42="","",ROUND(SUMIFS(对接源_01水果!$K$4:$K$1203,对接源_01水果!$C$4:$C$1203,$B42,对接源_01水果!$D$4:$D$1203,"成品出库*",对接源_01水果!$L$4:$L$1203,"已收讫")+SUMIFS(对接源_01水果!$K$4:$K$1203,对接源_01水果!$C$4:$C$1203,$B42,对接源_01水果!$D$4:$D$1203,"成品出库*",对接源_01水果!$L$4:$L$1203,"已付款")+SUMIFS(对接源_01水果!$K$4:$K$1203,对接源_01水果!$C$4:$C$1203,$B42,对接源_01水果!$D$4:$D$1203,"其他代存*",对接源_01水果!$L$4:$L$1203,"已收讫")+SUMIFS(对接源_01水果!$K$4:$K$1203,对接源_01水果!$C$4:$C$1203,$B42,对接源_01水果!$D$4:$D$1203,"其他代存*",对接源_01水果!$L$4:$L$1203,"已付款")+SUMIFS(对接源_02物料!$K$4:$K$1203,对接源_02物料!$C$4:$C$1203,$B42,对接源_02物料!$D$4:$D$1203,"包装物料*",对接源_02物料!$L$4:$L$1203,"已收讫")+SUMIFS(对接源_02物料!$K$4:$K$1203,对接源_02物料!$C$4:$C$1203,$B42,对接源_02物料!$D$4:$D$1203,"包装物料*",对接源_02物料!$L$4:$L$1203,"已付款")+SUMIFS(对接源_02物料!$K$4:$K$1203,对接源_02物料!$C$4:$C$1203,$B42,对接源_02物料!$D$4:$D$1203,"周转筐*",对接源_02物料!$L$4:$L$1203,"已收讫")+SUMIFS(对接源_02物料!$K$4:$K$1203,对接源_02物料!$C$4:$C$1203,$B42,对接源_02物料!$D$4:$D$1203,"周转筐*",对接源_02物料!$L$4:$L$1203,"已付款")+SUMIFS(对接源_02物料!$K$4:$K$1203,对接源_02物料!$C$4:$C$1203,$B42,对接源_02物料!$D$4:$D$1203,"次果筐*",对接源_02物料!$L$4:$L$1203,"已收讫")+SUMIFS(对接源_02物料!$K$4:$K$1203,对接源_02物料!$C$4:$C$1203,$B42,对接源_02物料!$D$4:$D$1203,"次果筐*",对接源_02物料!$L$4:$L$1203,"已付款"),2))</f>
        <v/>
      </c>
      <c r="J42" s="61" t="str">
        <f aca="false">IF($B42="","",ROUND(N($H42)-N($I42),2))</f>
        <v/>
      </c>
      <c r="K42" s="59" t="str">
        <f aca="false">IF($B42="","",IF(ROUND(N($J42),2)&gt;0,"对方欠款",IF(ROUND(N($J42),2)&lt;0,"我方欠款","已两清")))</f>
        <v/>
      </c>
      <c r="L42" s="105"/>
    </row>
    <row r="43" customFormat="false" ht="13.5" hidden="false" customHeight="false" outlineLevel="0" collapsed="false">
      <c r="A43" s="59" t="str">
        <f aca="false">IF($B43="","",ROW()-3)</f>
        <v/>
      </c>
      <c r="B43" s="104" t="str">
        <f aca="false">IFERROR(INDEX(_自动清单!$E$4:$E$303,ROW()-3),"")</f>
        <v/>
      </c>
      <c r="C43" s="61" t="str">
        <f aca="false">IF($B43="","",ROUND(SUMIFS(对接源_01水果!$K$4:$K$1203,对接源_01水果!$C$4:$C$1203,$B43,对接源_01水果!$D$4:$D$1203,"成品出库*"),2))</f>
        <v/>
      </c>
      <c r="D43" s="61" t="str">
        <f aca="false">IF($B43="","",ROUND(SUMIFS(对接源_01水果!$K$4:$K$1203,对接源_01水果!$C$4:$C$1203,$B43,对接源_01水果!$D$4:$D$1203,"其他代存*"),2))</f>
        <v/>
      </c>
      <c r="E43" s="61" t="str">
        <f aca="false">IF($B43="","",ROUND(SUMIFS(对接源_02物料!$K$4:$K$1203,对接源_02物料!$C$4:$C$1203,$B43,对接源_02物料!$D$4:$D$1203,"包装物料*"),2))</f>
        <v/>
      </c>
      <c r="F43" s="61" t="str">
        <f aca="false">IF($B43="","",ROUND(SUMIFS(对接源_02物料!$K$4:$K$1203,对接源_02物料!$C$4:$C$1203,$B43,对接源_02物料!$D$4:$D$1203,"周转筐*"),2))</f>
        <v/>
      </c>
      <c r="G43" s="61" t="str">
        <f aca="false">IF($B43="","",ROUND(SUMIFS(对接源_02物料!$K$4:$K$1203,对接源_02物料!$C$4:$C$1203,$B43,对接源_02物料!$D$4:$D$1203,"次果筐*"),2))</f>
        <v/>
      </c>
      <c r="H43" s="61" t="str">
        <f aca="false">IF($B43="","",ROUND(SUM($C43:$G43),2))</f>
        <v/>
      </c>
      <c r="I43" s="61" t="str">
        <f aca="false">IF($B43="","",ROUND(SUMIFS(对接源_01水果!$K$4:$K$1203,对接源_01水果!$C$4:$C$1203,$B43,对接源_01水果!$D$4:$D$1203,"成品出库*",对接源_01水果!$L$4:$L$1203,"已收讫")+SUMIFS(对接源_01水果!$K$4:$K$1203,对接源_01水果!$C$4:$C$1203,$B43,对接源_01水果!$D$4:$D$1203,"成品出库*",对接源_01水果!$L$4:$L$1203,"已付款")+SUMIFS(对接源_01水果!$K$4:$K$1203,对接源_01水果!$C$4:$C$1203,$B43,对接源_01水果!$D$4:$D$1203,"其他代存*",对接源_01水果!$L$4:$L$1203,"已收讫")+SUMIFS(对接源_01水果!$K$4:$K$1203,对接源_01水果!$C$4:$C$1203,$B43,对接源_01水果!$D$4:$D$1203,"其他代存*",对接源_01水果!$L$4:$L$1203,"已付款")+SUMIFS(对接源_02物料!$K$4:$K$1203,对接源_02物料!$C$4:$C$1203,$B43,对接源_02物料!$D$4:$D$1203,"包装物料*",对接源_02物料!$L$4:$L$1203,"已收讫")+SUMIFS(对接源_02物料!$K$4:$K$1203,对接源_02物料!$C$4:$C$1203,$B43,对接源_02物料!$D$4:$D$1203,"包装物料*",对接源_02物料!$L$4:$L$1203,"已付款")+SUMIFS(对接源_02物料!$K$4:$K$1203,对接源_02物料!$C$4:$C$1203,$B43,对接源_02物料!$D$4:$D$1203,"周转筐*",对接源_02物料!$L$4:$L$1203,"已收讫")+SUMIFS(对接源_02物料!$K$4:$K$1203,对接源_02物料!$C$4:$C$1203,$B43,对接源_02物料!$D$4:$D$1203,"周转筐*",对接源_02物料!$L$4:$L$1203,"已付款")+SUMIFS(对接源_02物料!$K$4:$K$1203,对接源_02物料!$C$4:$C$1203,$B43,对接源_02物料!$D$4:$D$1203,"次果筐*",对接源_02物料!$L$4:$L$1203,"已收讫")+SUMIFS(对接源_02物料!$K$4:$K$1203,对接源_02物料!$C$4:$C$1203,$B43,对接源_02物料!$D$4:$D$1203,"次果筐*",对接源_02物料!$L$4:$L$1203,"已付款"),2))</f>
        <v/>
      </c>
      <c r="J43" s="61" t="str">
        <f aca="false">IF($B43="","",ROUND(N($H43)-N($I43),2))</f>
        <v/>
      </c>
      <c r="K43" s="59" t="str">
        <f aca="false">IF($B43="","",IF(ROUND(N($J43),2)&gt;0,"对方欠款",IF(ROUND(N($J43),2)&lt;0,"我方欠款","已两清")))</f>
        <v/>
      </c>
      <c r="L43" s="105"/>
    </row>
    <row r="44" customFormat="false" ht="13.5" hidden="false" customHeight="false" outlineLevel="0" collapsed="false">
      <c r="A44" s="59" t="str">
        <f aca="false">IF($B44="","",ROW()-3)</f>
        <v/>
      </c>
      <c r="B44" s="104" t="str">
        <f aca="false">IFERROR(INDEX(_自动清单!$E$4:$E$303,ROW()-3),"")</f>
        <v/>
      </c>
      <c r="C44" s="61" t="str">
        <f aca="false">IF($B44="","",ROUND(SUMIFS(对接源_01水果!$K$4:$K$1203,对接源_01水果!$C$4:$C$1203,$B44,对接源_01水果!$D$4:$D$1203,"成品出库*"),2))</f>
        <v/>
      </c>
      <c r="D44" s="61" t="str">
        <f aca="false">IF($B44="","",ROUND(SUMIFS(对接源_01水果!$K$4:$K$1203,对接源_01水果!$C$4:$C$1203,$B44,对接源_01水果!$D$4:$D$1203,"其他代存*"),2))</f>
        <v/>
      </c>
      <c r="E44" s="61" t="str">
        <f aca="false">IF($B44="","",ROUND(SUMIFS(对接源_02物料!$K$4:$K$1203,对接源_02物料!$C$4:$C$1203,$B44,对接源_02物料!$D$4:$D$1203,"包装物料*"),2))</f>
        <v/>
      </c>
      <c r="F44" s="61" t="str">
        <f aca="false">IF($B44="","",ROUND(SUMIFS(对接源_02物料!$K$4:$K$1203,对接源_02物料!$C$4:$C$1203,$B44,对接源_02物料!$D$4:$D$1203,"周转筐*"),2))</f>
        <v/>
      </c>
      <c r="G44" s="61" t="str">
        <f aca="false">IF($B44="","",ROUND(SUMIFS(对接源_02物料!$K$4:$K$1203,对接源_02物料!$C$4:$C$1203,$B44,对接源_02物料!$D$4:$D$1203,"次果筐*"),2))</f>
        <v/>
      </c>
      <c r="H44" s="61" t="str">
        <f aca="false">IF($B44="","",ROUND(SUM($C44:$G44),2))</f>
        <v/>
      </c>
      <c r="I44" s="61" t="str">
        <f aca="false">IF($B44="","",ROUND(SUMIFS(对接源_01水果!$K$4:$K$1203,对接源_01水果!$C$4:$C$1203,$B44,对接源_01水果!$D$4:$D$1203,"成品出库*",对接源_01水果!$L$4:$L$1203,"已收讫")+SUMIFS(对接源_01水果!$K$4:$K$1203,对接源_01水果!$C$4:$C$1203,$B44,对接源_01水果!$D$4:$D$1203,"成品出库*",对接源_01水果!$L$4:$L$1203,"已付款")+SUMIFS(对接源_01水果!$K$4:$K$1203,对接源_01水果!$C$4:$C$1203,$B44,对接源_01水果!$D$4:$D$1203,"其他代存*",对接源_01水果!$L$4:$L$1203,"已收讫")+SUMIFS(对接源_01水果!$K$4:$K$1203,对接源_01水果!$C$4:$C$1203,$B44,对接源_01水果!$D$4:$D$1203,"其他代存*",对接源_01水果!$L$4:$L$1203,"已付款")+SUMIFS(对接源_02物料!$K$4:$K$1203,对接源_02物料!$C$4:$C$1203,$B44,对接源_02物料!$D$4:$D$1203,"包装物料*",对接源_02物料!$L$4:$L$1203,"已收讫")+SUMIFS(对接源_02物料!$K$4:$K$1203,对接源_02物料!$C$4:$C$1203,$B44,对接源_02物料!$D$4:$D$1203,"包装物料*",对接源_02物料!$L$4:$L$1203,"已付款")+SUMIFS(对接源_02物料!$K$4:$K$1203,对接源_02物料!$C$4:$C$1203,$B44,对接源_02物料!$D$4:$D$1203,"周转筐*",对接源_02物料!$L$4:$L$1203,"已收讫")+SUMIFS(对接源_02物料!$K$4:$K$1203,对接源_02物料!$C$4:$C$1203,$B44,对接源_02物料!$D$4:$D$1203,"周转筐*",对接源_02物料!$L$4:$L$1203,"已付款")+SUMIFS(对接源_02物料!$K$4:$K$1203,对接源_02物料!$C$4:$C$1203,$B44,对接源_02物料!$D$4:$D$1203,"次果筐*",对接源_02物料!$L$4:$L$1203,"已收讫")+SUMIFS(对接源_02物料!$K$4:$K$1203,对接源_02物料!$C$4:$C$1203,$B44,对接源_02物料!$D$4:$D$1203,"次果筐*",对接源_02物料!$L$4:$L$1203,"已付款"),2))</f>
        <v/>
      </c>
      <c r="J44" s="61" t="str">
        <f aca="false">IF($B44="","",ROUND(N($H44)-N($I44),2))</f>
        <v/>
      </c>
      <c r="K44" s="59" t="str">
        <f aca="false">IF($B44="","",IF(ROUND(N($J44),2)&gt;0,"对方欠款",IF(ROUND(N($J44),2)&lt;0,"我方欠款","已两清")))</f>
        <v/>
      </c>
      <c r="L44" s="105"/>
    </row>
    <row r="45" customFormat="false" ht="13.5" hidden="false" customHeight="false" outlineLevel="0" collapsed="false">
      <c r="A45" s="59" t="str">
        <f aca="false">IF($B45="","",ROW()-3)</f>
        <v/>
      </c>
      <c r="B45" s="104" t="str">
        <f aca="false">IFERROR(INDEX(_自动清单!$E$4:$E$303,ROW()-3),"")</f>
        <v/>
      </c>
      <c r="C45" s="61" t="str">
        <f aca="false">IF($B45="","",ROUND(SUMIFS(对接源_01水果!$K$4:$K$1203,对接源_01水果!$C$4:$C$1203,$B45,对接源_01水果!$D$4:$D$1203,"成品出库*"),2))</f>
        <v/>
      </c>
      <c r="D45" s="61" t="str">
        <f aca="false">IF($B45="","",ROUND(SUMIFS(对接源_01水果!$K$4:$K$1203,对接源_01水果!$C$4:$C$1203,$B45,对接源_01水果!$D$4:$D$1203,"其他代存*"),2))</f>
        <v/>
      </c>
      <c r="E45" s="61" t="str">
        <f aca="false">IF($B45="","",ROUND(SUMIFS(对接源_02物料!$K$4:$K$1203,对接源_02物料!$C$4:$C$1203,$B45,对接源_02物料!$D$4:$D$1203,"包装物料*"),2))</f>
        <v/>
      </c>
      <c r="F45" s="61" t="str">
        <f aca="false">IF($B45="","",ROUND(SUMIFS(对接源_02物料!$K$4:$K$1203,对接源_02物料!$C$4:$C$1203,$B45,对接源_02物料!$D$4:$D$1203,"周转筐*"),2))</f>
        <v/>
      </c>
      <c r="G45" s="61" t="str">
        <f aca="false">IF($B45="","",ROUND(SUMIFS(对接源_02物料!$K$4:$K$1203,对接源_02物料!$C$4:$C$1203,$B45,对接源_02物料!$D$4:$D$1203,"次果筐*"),2))</f>
        <v/>
      </c>
      <c r="H45" s="61" t="str">
        <f aca="false">IF($B45="","",ROUND(SUM($C45:$G45),2))</f>
        <v/>
      </c>
      <c r="I45" s="61" t="str">
        <f aca="false">IF($B45="","",ROUND(SUMIFS(对接源_01水果!$K$4:$K$1203,对接源_01水果!$C$4:$C$1203,$B45,对接源_01水果!$D$4:$D$1203,"成品出库*",对接源_01水果!$L$4:$L$1203,"已收讫")+SUMIFS(对接源_01水果!$K$4:$K$1203,对接源_01水果!$C$4:$C$1203,$B45,对接源_01水果!$D$4:$D$1203,"成品出库*",对接源_01水果!$L$4:$L$1203,"已付款")+SUMIFS(对接源_01水果!$K$4:$K$1203,对接源_01水果!$C$4:$C$1203,$B45,对接源_01水果!$D$4:$D$1203,"其他代存*",对接源_01水果!$L$4:$L$1203,"已收讫")+SUMIFS(对接源_01水果!$K$4:$K$1203,对接源_01水果!$C$4:$C$1203,$B45,对接源_01水果!$D$4:$D$1203,"其他代存*",对接源_01水果!$L$4:$L$1203,"已付款")+SUMIFS(对接源_02物料!$K$4:$K$1203,对接源_02物料!$C$4:$C$1203,$B45,对接源_02物料!$D$4:$D$1203,"包装物料*",对接源_02物料!$L$4:$L$1203,"已收讫")+SUMIFS(对接源_02物料!$K$4:$K$1203,对接源_02物料!$C$4:$C$1203,$B45,对接源_02物料!$D$4:$D$1203,"包装物料*",对接源_02物料!$L$4:$L$1203,"已付款")+SUMIFS(对接源_02物料!$K$4:$K$1203,对接源_02物料!$C$4:$C$1203,$B45,对接源_02物料!$D$4:$D$1203,"周转筐*",对接源_02物料!$L$4:$L$1203,"已收讫")+SUMIFS(对接源_02物料!$K$4:$K$1203,对接源_02物料!$C$4:$C$1203,$B45,对接源_02物料!$D$4:$D$1203,"周转筐*",对接源_02物料!$L$4:$L$1203,"已付款")+SUMIFS(对接源_02物料!$K$4:$K$1203,对接源_02物料!$C$4:$C$1203,$B45,对接源_02物料!$D$4:$D$1203,"次果筐*",对接源_02物料!$L$4:$L$1203,"已收讫")+SUMIFS(对接源_02物料!$K$4:$K$1203,对接源_02物料!$C$4:$C$1203,$B45,对接源_02物料!$D$4:$D$1203,"次果筐*",对接源_02物料!$L$4:$L$1203,"已付款"),2))</f>
        <v/>
      </c>
      <c r="J45" s="61" t="str">
        <f aca="false">IF($B45="","",ROUND(N($H45)-N($I45),2))</f>
        <v/>
      </c>
      <c r="K45" s="59" t="str">
        <f aca="false">IF($B45="","",IF(ROUND(N($J45),2)&gt;0,"对方欠款",IF(ROUND(N($J45),2)&lt;0,"我方欠款","已两清")))</f>
        <v/>
      </c>
      <c r="L45" s="105"/>
    </row>
    <row r="46" customFormat="false" ht="13.5" hidden="false" customHeight="false" outlineLevel="0" collapsed="false">
      <c r="A46" s="59" t="str">
        <f aca="false">IF($B46="","",ROW()-3)</f>
        <v/>
      </c>
      <c r="B46" s="104" t="str">
        <f aca="false">IFERROR(INDEX(_自动清单!$E$4:$E$303,ROW()-3),"")</f>
        <v/>
      </c>
      <c r="C46" s="61" t="str">
        <f aca="false">IF($B46="","",ROUND(SUMIFS(对接源_01水果!$K$4:$K$1203,对接源_01水果!$C$4:$C$1203,$B46,对接源_01水果!$D$4:$D$1203,"成品出库*"),2))</f>
        <v/>
      </c>
      <c r="D46" s="61" t="str">
        <f aca="false">IF($B46="","",ROUND(SUMIFS(对接源_01水果!$K$4:$K$1203,对接源_01水果!$C$4:$C$1203,$B46,对接源_01水果!$D$4:$D$1203,"其他代存*"),2))</f>
        <v/>
      </c>
      <c r="E46" s="61" t="str">
        <f aca="false">IF($B46="","",ROUND(SUMIFS(对接源_02物料!$K$4:$K$1203,对接源_02物料!$C$4:$C$1203,$B46,对接源_02物料!$D$4:$D$1203,"包装物料*"),2))</f>
        <v/>
      </c>
      <c r="F46" s="61" t="str">
        <f aca="false">IF($B46="","",ROUND(SUMIFS(对接源_02物料!$K$4:$K$1203,对接源_02物料!$C$4:$C$1203,$B46,对接源_02物料!$D$4:$D$1203,"周转筐*"),2))</f>
        <v/>
      </c>
      <c r="G46" s="61" t="str">
        <f aca="false">IF($B46="","",ROUND(SUMIFS(对接源_02物料!$K$4:$K$1203,对接源_02物料!$C$4:$C$1203,$B46,对接源_02物料!$D$4:$D$1203,"次果筐*"),2))</f>
        <v/>
      </c>
      <c r="H46" s="61" t="str">
        <f aca="false">IF($B46="","",ROUND(SUM($C46:$G46),2))</f>
        <v/>
      </c>
      <c r="I46" s="61" t="str">
        <f aca="false">IF($B46="","",ROUND(SUMIFS(对接源_01水果!$K$4:$K$1203,对接源_01水果!$C$4:$C$1203,$B46,对接源_01水果!$D$4:$D$1203,"成品出库*",对接源_01水果!$L$4:$L$1203,"已收讫")+SUMIFS(对接源_01水果!$K$4:$K$1203,对接源_01水果!$C$4:$C$1203,$B46,对接源_01水果!$D$4:$D$1203,"成品出库*",对接源_01水果!$L$4:$L$1203,"已付款")+SUMIFS(对接源_01水果!$K$4:$K$1203,对接源_01水果!$C$4:$C$1203,$B46,对接源_01水果!$D$4:$D$1203,"其他代存*",对接源_01水果!$L$4:$L$1203,"已收讫")+SUMIFS(对接源_01水果!$K$4:$K$1203,对接源_01水果!$C$4:$C$1203,$B46,对接源_01水果!$D$4:$D$1203,"其他代存*",对接源_01水果!$L$4:$L$1203,"已付款")+SUMIFS(对接源_02物料!$K$4:$K$1203,对接源_02物料!$C$4:$C$1203,$B46,对接源_02物料!$D$4:$D$1203,"包装物料*",对接源_02物料!$L$4:$L$1203,"已收讫")+SUMIFS(对接源_02物料!$K$4:$K$1203,对接源_02物料!$C$4:$C$1203,$B46,对接源_02物料!$D$4:$D$1203,"包装物料*",对接源_02物料!$L$4:$L$1203,"已付款")+SUMIFS(对接源_02物料!$K$4:$K$1203,对接源_02物料!$C$4:$C$1203,$B46,对接源_02物料!$D$4:$D$1203,"周转筐*",对接源_02物料!$L$4:$L$1203,"已收讫")+SUMIFS(对接源_02物料!$K$4:$K$1203,对接源_02物料!$C$4:$C$1203,$B46,对接源_02物料!$D$4:$D$1203,"周转筐*",对接源_02物料!$L$4:$L$1203,"已付款")+SUMIFS(对接源_02物料!$K$4:$K$1203,对接源_02物料!$C$4:$C$1203,$B46,对接源_02物料!$D$4:$D$1203,"次果筐*",对接源_02物料!$L$4:$L$1203,"已收讫")+SUMIFS(对接源_02物料!$K$4:$K$1203,对接源_02物料!$C$4:$C$1203,$B46,对接源_02物料!$D$4:$D$1203,"次果筐*",对接源_02物料!$L$4:$L$1203,"已付款"),2))</f>
        <v/>
      </c>
      <c r="J46" s="61" t="str">
        <f aca="false">IF($B46="","",ROUND(N($H46)-N($I46),2))</f>
        <v/>
      </c>
      <c r="K46" s="59" t="str">
        <f aca="false">IF($B46="","",IF(ROUND(N($J46),2)&gt;0,"对方欠款",IF(ROUND(N($J46),2)&lt;0,"我方欠款","已两清")))</f>
        <v/>
      </c>
      <c r="L46" s="105"/>
    </row>
    <row r="47" customFormat="false" ht="13.5" hidden="false" customHeight="false" outlineLevel="0" collapsed="false">
      <c r="A47" s="59" t="str">
        <f aca="false">IF($B47="","",ROW()-3)</f>
        <v/>
      </c>
      <c r="B47" s="104" t="str">
        <f aca="false">IFERROR(INDEX(_自动清单!$E$4:$E$303,ROW()-3),"")</f>
        <v/>
      </c>
      <c r="C47" s="61" t="str">
        <f aca="false">IF($B47="","",ROUND(SUMIFS(对接源_01水果!$K$4:$K$1203,对接源_01水果!$C$4:$C$1203,$B47,对接源_01水果!$D$4:$D$1203,"成品出库*"),2))</f>
        <v/>
      </c>
      <c r="D47" s="61" t="str">
        <f aca="false">IF($B47="","",ROUND(SUMIFS(对接源_01水果!$K$4:$K$1203,对接源_01水果!$C$4:$C$1203,$B47,对接源_01水果!$D$4:$D$1203,"其他代存*"),2))</f>
        <v/>
      </c>
      <c r="E47" s="61" t="str">
        <f aca="false">IF($B47="","",ROUND(SUMIFS(对接源_02物料!$K$4:$K$1203,对接源_02物料!$C$4:$C$1203,$B47,对接源_02物料!$D$4:$D$1203,"包装物料*"),2))</f>
        <v/>
      </c>
      <c r="F47" s="61" t="str">
        <f aca="false">IF($B47="","",ROUND(SUMIFS(对接源_02物料!$K$4:$K$1203,对接源_02物料!$C$4:$C$1203,$B47,对接源_02物料!$D$4:$D$1203,"周转筐*"),2))</f>
        <v/>
      </c>
      <c r="G47" s="61" t="str">
        <f aca="false">IF($B47="","",ROUND(SUMIFS(对接源_02物料!$K$4:$K$1203,对接源_02物料!$C$4:$C$1203,$B47,对接源_02物料!$D$4:$D$1203,"次果筐*"),2))</f>
        <v/>
      </c>
      <c r="H47" s="61" t="str">
        <f aca="false">IF($B47="","",ROUND(SUM($C47:$G47),2))</f>
        <v/>
      </c>
      <c r="I47" s="61" t="str">
        <f aca="false">IF($B47="","",ROUND(SUMIFS(对接源_01水果!$K$4:$K$1203,对接源_01水果!$C$4:$C$1203,$B47,对接源_01水果!$D$4:$D$1203,"成品出库*",对接源_01水果!$L$4:$L$1203,"已收讫")+SUMIFS(对接源_01水果!$K$4:$K$1203,对接源_01水果!$C$4:$C$1203,$B47,对接源_01水果!$D$4:$D$1203,"成品出库*",对接源_01水果!$L$4:$L$1203,"已付款")+SUMIFS(对接源_01水果!$K$4:$K$1203,对接源_01水果!$C$4:$C$1203,$B47,对接源_01水果!$D$4:$D$1203,"其他代存*",对接源_01水果!$L$4:$L$1203,"已收讫")+SUMIFS(对接源_01水果!$K$4:$K$1203,对接源_01水果!$C$4:$C$1203,$B47,对接源_01水果!$D$4:$D$1203,"其他代存*",对接源_01水果!$L$4:$L$1203,"已付款")+SUMIFS(对接源_02物料!$K$4:$K$1203,对接源_02物料!$C$4:$C$1203,$B47,对接源_02物料!$D$4:$D$1203,"包装物料*",对接源_02物料!$L$4:$L$1203,"已收讫")+SUMIFS(对接源_02物料!$K$4:$K$1203,对接源_02物料!$C$4:$C$1203,$B47,对接源_02物料!$D$4:$D$1203,"包装物料*",对接源_02物料!$L$4:$L$1203,"已付款")+SUMIFS(对接源_02物料!$K$4:$K$1203,对接源_02物料!$C$4:$C$1203,$B47,对接源_02物料!$D$4:$D$1203,"周转筐*",对接源_02物料!$L$4:$L$1203,"已收讫")+SUMIFS(对接源_02物料!$K$4:$K$1203,对接源_02物料!$C$4:$C$1203,$B47,对接源_02物料!$D$4:$D$1203,"周转筐*",对接源_02物料!$L$4:$L$1203,"已付款")+SUMIFS(对接源_02物料!$K$4:$K$1203,对接源_02物料!$C$4:$C$1203,$B47,对接源_02物料!$D$4:$D$1203,"次果筐*",对接源_02物料!$L$4:$L$1203,"已收讫")+SUMIFS(对接源_02物料!$K$4:$K$1203,对接源_02物料!$C$4:$C$1203,$B47,对接源_02物料!$D$4:$D$1203,"次果筐*",对接源_02物料!$L$4:$L$1203,"已付款"),2))</f>
        <v/>
      </c>
      <c r="J47" s="61" t="str">
        <f aca="false">IF($B47="","",ROUND(N($H47)-N($I47),2))</f>
        <v/>
      </c>
      <c r="K47" s="59" t="str">
        <f aca="false">IF($B47="","",IF(ROUND(N($J47),2)&gt;0,"对方欠款",IF(ROUND(N($J47),2)&lt;0,"我方欠款","已两清")))</f>
        <v/>
      </c>
      <c r="L47" s="105"/>
    </row>
    <row r="48" customFormat="false" ht="13.5" hidden="false" customHeight="false" outlineLevel="0" collapsed="false">
      <c r="A48" s="59" t="str">
        <f aca="false">IF($B48="","",ROW()-3)</f>
        <v/>
      </c>
      <c r="B48" s="104" t="str">
        <f aca="false">IFERROR(INDEX(_自动清单!$E$4:$E$303,ROW()-3),"")</f>
        <v/>
      </c>
      <c r="C48" s="61" t="str">
        <f aca="false">IF($B48="","",ROUND(SUMIFS(对接源_01水果!$K$4:$K$1203,对接源_01水果!$C$4:$C$1203,$B48,对接源_01水果!$D$4:$D$1203,"成品出库*"),2))</f>
        <v/>
      </c>
      <c r="D48" s="61" t="str">
        <f aca="false">IF($B48="","",ROUND(SUMIFS(对接源_01水果!$K$4:$K$1203,对接源_01水果!$C$4:$C$1203,$B48,对接源_01水果!$D$4:$D$1203,"其他代存*"),2))</f>
        <v/>
      </c>
      <c r="E48" s="61" t="str">
        <f aca="false">IF($B48="","",ROUND(SUMIFS(对接源_02物料!$K$4:$K$1203,对接源_02物料!$C$4:$C$1203,$B48,对接源_02物料!$D$4:$D$1203,"包装物料*"),2))</f>
        <v/>
      </c>
      <c r="F48" s="61" t="str">
        <f aca="false">IF($B48="","",ROUND(SUMIFS(对接源_02物料!$K$4:$K$1203,对接源_02物料!$C$4:$C$1203,$B48,对接源_02物料!$D$4:$D$1203,"周转筐*"),2))</f>
        <v/>
      </c>
      <c r="G48" s="61" t="str">
        <f aca="false">IF($B48="","",ROUND(SUMIFS(对接源_02物料!$K$4:$K$1203,对接源_02物料!$C$4:$C$1203,$B48,对接源_02物料!$D$4:$D$1203,"次果筐*"),2))</f>
        <v/>
      </c>
      <c r="H48" s="61" t="str">
        <f aca="false">IF($B48="","",ROUND(SUM($C48:$G48),2))</f>
        <v/>
      </c>
      <c r="I48" s="61" t="str">
        <f aca="false">IF($B48="","",ROUND(SUMIFS(对接源_01水果!$K$4:$K$1203,对接源_01水果!$C$4:$C$1203,$B48,对接源_01水果!$D$4:$D$1203,"成品出库*",对接源_01水果!$L$4:$L$1203,"已收讫")+SUMIFS(对接源_01水果!$K$4:$K$1203,对接源_01水果!$C$4:$C$1203,$B48,对接源_01水果!$D$4:$D$1203,"成品出库*",对接源_01水果!$L$4:$L$1203,"已付款")+SUMIFS(对接源_01水果!$K$4:$K$1203,对接源_01水果!$C$4:$C$1203,$B48,对接源_01水果!$D$4:$D$1203,"其他代存*",对接源_01水果!$L$4:$L$1203,"已收讫")+SUMIFS(对接源_01水果!$K$4:$K$1203,对接源_01水果!$C$4:$C$1203,$B48,对接源_01水果!$D$4:$D$1203,"其他代存*",对接源_01水果!$L$4:$L$1203,"已付款")+SUMIFS(对接源_02物料!$K$4:$K$1203,对接源_02物料!$C$4:$C$1203,$B48,对接源_02物料!$D$4:$D$1203,"包装物料*",对接源_02物料!$L$4:$L$1203,"已收讫")+SUMIFS(对接源_02物料!$K$4:$K$1203,对接源_02物料!$C$4:$C$1203,$B48,对接源_02物料!$D$4:$D$1203,"包装物料*",对接源_02物料!$L$4:$L$1203,"已付款")+SUMIFS(对接源_02物料!$K$4:$K$1203,对接源_02物料!$C$4:$C$1203,$B48,对接源_02物料!$D$4:$D$1203,"周转筐*",对接源_02物料!$L$4:$L$1203,"已收讫")+SUMIFS(对接源_02物料!$K$4:$K$1203,对接源_02物料!$C$4:$C$1203,$B48,对接源_02物料!$D$4:$D$1203,"周转筐*",对接源_02物料!$L$4:$L$1203,"已付款")+SUMIFS(对接源_02物料!$K$4:$K$1203,对接源_02物料!$C$4:$C$1203,$B48,对接源_02物料!$D$4:$D$1203,"次果筐*",对接源_02物料!$L$4:$L$1203,"已收讫")+SUMIFS(对接源_02物料!$K$4:$K$1203,对接源_02物料!$C$4:$C$1203,$B48,对接源_02物料!$D$4:$D$1203,"次果筐*",对接源_02物料!$L$4:$L$1203,"已付款"),2))</f>
        <v/>
      </c>
      <c r="J48" s="61" t="str">
        <f aca="false">IF($B48="","",ROUND(N($H48)-N($I48),2))</f>
        <v/>
      </c>
      <c r="K48" s="59" t="str">
        <f aca="false">IF($B48="","",IF(ROUND(N($J48),2)&gt;0,"对方欠款",IF(ROUND(N($J48),2)&lt;0,"我方欠款","已两清")))</f>
        <v/>
      </c>
      <c r="L48" s="105"/>
    </row>
    <row r="49" customFormat="false" ht="13.5" hidden="false" customHeight="false" outlineLevel="0" collapsed="false">
      <c r="A49" s="59" t="str">
        <f aca="false">IF($B49="","",ROW()-3)</f>
        <v/>
      </c>
      <c r="B49" s="104" t="str">
        <f aca="false">IFERROR(INDEX(_自动清单!$E$4:$E$303,ROW()-3),"")</f>
        <v/>
      </c>
      <c r="C49" s="61" t="str">
        <f aca="false">IF($B49="","",ROUND(SUMIFS(对接源_01水果!$K$4:$K$1203,对接源_01水果!$C$4:$C$1203,$B49,对接源_01水果!$D$4:$D$1203,"成品出库*"),2))</f>
        <v/>
      </c>
      <c r="D49" s="61" t="str">
        <f aca="false">IF($B49="","",ROUND(SUMIFS(对接源_01水果!$K$4:$K$1203,对接源_01水果!$C$4:$C$1203,$B49,对接源_01水果!$D$4:$D$1203,"其他代存*"),2))</f>
        <v/>
      </c>
      <c r="E49" s="61" t="str">
        <f aca="false">IF($B49="","",ROUND(SUMIFS(对接源_02物料!$K$4:$K$1203,对接源_02物料!$C$4:$C$1203,$B49,对接源_02物料!$D$4:$D$1203,"包装物料*"),2))</f>
        <v/>
      </c>
      <c r="F49" s="61" t="str">
        <f aca="false">IF($B49="","",ROUND(SUMIFS(对接源_02物料!$K$4:$K$1203,对接源_02物料!$C$4:$C$1203,$B49,对接源_02物料!$D$4:$D$1203,"周转筐*"),2))</f>
        <v/>
      </c>
      <c r="G49" s="61" t="str">
        <f aca="false">IF($B49="","",ROUND(SUMIFS(对接源_02物料!$K$4:$K$1203,对接源_02物料!$C$4:$C$1203,$B49,对接源_02物料!$D$4:$D$1203,"次果筐*"),2))</f>
        <v/>
      </c>
      <c r="H49" s="61" t="str">
        <f aca="false">IF($B49="","",ROUND(SUM($C49:$G49),2))</f>
        <v/>
      </c>
      <c r="I49" s="61" t="str">
        <f aca="false">IF($B49="","",ROUND(SUMIFS(对接源_01水果!$K$4:$K$1203,对接源_01水果!$C$4:$C$1203,$B49,对接源_01水果!$D$4:$D$1203,"成品出库*",对接源_01水果!$L$4:$L$1203,"已收讫")+SUMIFS(对接源_01水果!$K$4:$K$1203,对接源_01水果!$C$4:$C$1203,$B49,对接源_01水果!$D$4:$D$1203,"成品出库*",对接源_01水果!$L$4:$L$1203,"已付款")+SUMIFS(对接源_01水果!$K$4:$K$1203,对接源_01水果!$C$4:$C$1203,$B49,对接源_01水果!$D$4:$D$1203,"其他代存*",对接源_01水果!$L$4:$L$1203,"已收讫")+SUMIFS(对接源_01水果!$K$4:$K$1203,对接源_01水果!$C$4:$C$1203,$B49,对接源_01水果!$D$4:$D$1203,"其他代存*",对接源_01水果!$L$4:$L$1203,"已付款")+SUMIFS(对接源_02物料!$K$4:$K$1203,对接源_02物料!$C$4:$C$1203,$B49,对接源_02物料!$D$4:$D$1203,"包装物料*",对接源_02物料!$L$4:$L$1203,"已收讫")+SUMIFS(对接源_02物料!$K$4:$K$1203,对接源_02物料!$C$4:$C$1203,$B49,对接源_02物料!$D$4:$D$1203,"包装物料*",对接源_02物料!$L$4:$L$1203,"已付款")+SUMIFS(对接源_02物料!$K$4:$K$1203,对接源_02物料!$C$4:$C$1203,$B49,对接源_02物料!$D$4:$D$1203,"周转筐*",对接源_02物料!$L$4:$L$1203,"已收讫")+SUMIFS(对接源_02物料!$K$4:$K$1203,对接源_02物料!$C$4:$C$1203,$B49,对接源_02物料!$D$4:$D$1203,"周转筐*",对接源_02物料!$L$4:$L$1203,"已付款")+SUMIFS(对接源_02物料!$K$4:$K$1203,对接源_02物料!$C$4:$C$1203,$B49,对接源_02物料!$D$4:$D$1203,"次果筐*",对接源_02物料!$L$4:$L$1203,"已收讫")+SUMIFS(对接源_02物料!$K$4:$K$1203,对接源_02物料!$C$4:$C$1203,$B49,对接源_02物料!$D$4:$D$1203,"次果筐*",对接源_02物料!$L$4:$L$1203,"已付款"),2))</f>
        <v/>
      </c>
      <c r="J49" s="61" t="str">
        <f aca="false">IF($B49="","",ROUND(N($H49)-N($I49),2))</f>
        <v/>
      </c>
      <c r="K49" s="59" t="str">
        <f aca="false">IF($B49="","",IF(ROUND(N($J49),2)&gt;0,"对方欠款",IF(ROUND(N($J49),2)&lt;0,"我方欠款","已两清")))</f>
        <v/>
      </c>
      <c r="L49" s="105"/>
    </row>
    <row r="50" customFormat="false" ht="13.5" hidden="false" customHeight="false" outlineLevel="0" collapsed="false">
      <c r="A50" s="59" t="str">
        <f aca="false">IF($B50="","",ROW()-3)</f>
        <v/>
      </c>
      <c r="B50" s="104" t="str">
        <f aca="false">IFERROR(INDEX(_自动清单!$E$4:$E$303,ROW()-3),"")</f>
        <v/>
      </c>
      <c r="C50" s="61" t="str">
        <f aca="false">IF($B50="","",ROUND(SUMIFS(对接源_01水果!$K$4:$K$1203,对接源_01水果!$C$4:$C$1203,$B50,对接源_01水果!$D$4:$D$1203,"成品出库*"),2))</f>
        <v/>
      </c>
      <c r="D50" s="61" t="str">
        <f aca="false">IF($B50="","",ROUND(SUMIFS(对接源_01水果!$K$4:$K$1203,对接源_01水果!$C$4:$C$1203,$B50,对接源_01水果!$D$4:$D$1203,"其他代存*"),2))</f>
        <v/>
      </c>
      <c r="E50" s="61" t="str">
        <f aca="false">IF($B50="","",ROUND(SUMIFS(对接源_02物料!$K$4:$K$1203,对接源_02物料!$C$4:$C$1203,$B50,对接源_02物料!$D$4:$D$1203,"包装物料*"),2))</f>
        <v/>
      </c>
      <c r="F50" s="61" t="str">
        <f aca="false">IF($B50="","",ROUND(SUMIFS(对接源_02物料!$K$4:$K$1203,对接源_02物料!$C$4:$C$1203,$B50,对接源_02物料!$D$4:$D$1203,"周转筐*"),2))</f>
        <v/>
      </c>
      <c r="G50" s="61" t="str">
        <f aca="false">IF($B50="","",ROUND(SUMIFS(对接源_02物料!$K$4:$K$1203,对接源_02物料!$C$4:$C$1203,$B50,对接源_02物料!$D$4:$D$1203,"次果筐*"),2))</f>
        <v/>
      </c>
      <c r="H50" s="61" t="str">
        <f aca="false">IF($B50="","",ROUND(SUM($C50:$G50),2))</f>
        <v/>
      </c>
      <c r="I50" s="61" t="str">
        <f aca="false">IF($B50="","",ROUND(SUMIFS(对接源_01水果!$K$4:$K$1203,对接源_01水果!$C$4:$C$1203,$B50,对接源_01水果!$D$4:$D$1203,"成品出库*",对接源_01水果!$L$4:$L$1203,"已收讫")+SUMIFS(对接源_01水果!$K$4:$K$1203,对接源_01水果!$C$4:$C$1203,$B50,对接源_01水果!$D$4:$D$1203,"成品出库*",对接源_01水果!$L$4:$L$1203,"已付款")+SUMIFS(对接源_01水果!$K$4:$K$1203,对接源_01水果!$C$4:$C$1203,$B50,对接源_01水果!$D$4:$D$1203,"其他代存*",对接源_01水果!$L$4:$L$1203,"已收讫")+SUMIFS(对接源_01水果!$K$4:$K$1203,对接源_01水果!$C$4:$C$1203,$B50,对接源_01水果!$D$4:$D$1203,"其他代存*",对接源_01水果!$L$4:$L$1203,"已付款")+SUMIFS(对接源_02物料!$K$4:$K$1203,对接源_02物料!$C$4:$C$1203,$B50,对接源_02物料!$D$4:$D$1203,"包装物料*",对接源_02物料!$L$4:$L$1203,"已收讫")+SUMIFS(对接源_02物料!$K$4:$K$1203,对接源_02物料!$C$4:$C$1203,$B50,对接源_02物料!$D$4:$D$1203,"包装物料*",对接源_02物料!$L$4:$L$1203,"已付款")+SUMIFS(对接源_02物料!$K$4:$K$1203,对接源_02物料!$C$4:$C$1203,$B50,对接源_02物料!$D$4:$D$1203,"周转筐*",对接源_02物料!$L$4:$L$1203,"已收讫")+SUMIFS(对接源_02物料!$K$4:$K$1203,对接源_02物料!$C$4:$C$1203,$B50,对接源_02物料!$D$4:$D$1203,"周转筐*",对接源_02物料!$L$4:$L$1203,"已付款")+SUMIFS(对接源_02物料!$K$4:$K$1203,对接源_02物料!$C$4:$C$1203,$B50,对接源_02物料!$D$4:$D$1203,"次果筐*",对接源_02物料!$L$4:$L$1203,"已收讫")+SUMIFS(对接源_02物料!$K$4:$K$1203,对接源_02物料!$C$4:$C$1203,$B50,对接源_02物料!$D$4:$D$1203,"次果筐*",对接源_02物料!$L$4:$L$1203,"已付款"),2))</f>
        <v/>
      </c>
      <c r="J50" s="61" t="str">
        <f aca="false">IF($B50="","",ROUND(N($H50)-N($I50),2))</f>
        <v/>
      </c>
      <c r="K50" s="59" t="str">
        <f aca="false">IF($B50="","",IF(ROUND(N($J50),2)&gt;0,"对方欠款",IF(ROUND(N($J50),2)&lt;0,"我方欠款","已两清")))</f>
        <v/>
      </c>
      <c r="L50" s="105"/>
    </row>
    <row r="51" customFormat="false" ht="13.5" hidden="false" customHeight="false" outlineLevel="0" collapsed="false">
      <c r="A51" s="59" t="str">
        <f aca="false">IF($B51="","",ROW()-3)</f>
        <v/>
      </c>
      <c r="B51" s="104" t="str">
        <f aca="false">IFERROR(INDEX(_自动清单!$E$4:$E$303,ROW()-3),"")</f>
        <v/>
      </c>
      <c r="C51" s="61" t="str">
        <f aca="false">IF($B51="","",ROUND(SUMIFS(对接源_01水果!$K$4:$K$1203,对接源_01水果!$C$4:$C$1203,$B51,对接源_01水果!$D$4:$D$1203,"成品出库*"),2))</f>
        <v/>
      </c>
      <c r="D51" s="61" t="str">
        <f aca="false">IF($B51="","",ROUND(SUMIFS(对接源_01水果!$K$4:$K$1203,对接源_01水果!$C$4:$C$1203,$B51,对接源_01水果!$D$4:$D$1203,"其他代存*"),2))</f>
        <v/>
      </c>
      <c r="E51" s="61" t="str">
        <f aca="false">IF($B51="","",ROUND(SUMIFS(对接源_02物料!$K$4:$K$1203,对接源_02物料!$C$4:$C$1203,$B51,对接源_02物料!$D$4:$D$1203,"包装物料*"),2))</f>
        <v/>
      </c>
      <c r="F51" s="61" t="str">
        <f aca="false">IF($B51="","",ROUND(SUMIFS(对接源_02物料!$K$4:$K$1203,对接源_02物料!$C$4:$C$1203,$B51,对接源_02物料!$D$4:$D$1203,"周转筐*"),2))</f>
        <v/>
      </c>
      <c r="G51" s="61" t="str">
        <f aca="false">IF($B51="","",ROUND(SUMIFS(对接源_02物料!$K$4:$K$1203,对接源_02物料!$C$4:$C$1203,$B51,对接源_02物料!$D$4:$D$1203,"次果筐*"),2))</f>
        <v/>
      </c>
      <c r="H51" s="61" t="str">
        <f aca="false">IF($B51="","",ROUND(SUM($C51:$G51),2))</f>
        <v/>
      </c>
      <c r="I51" s="61" t="str">
        <f aca="false">IF($B51="","",ROUND(SUMIFS(对接源_01水果!$K$4:$K$1203,对接源_01水果!$C$4:$C$1203,$B51,对接源_01水果!$D$4:$D$1203,"成品出库*",对接源_01水果!$L$4:$L$1203,"已收讫")+SUMIFS(对接源_01水果!$K$4:$K$1203,对接源_01水果!$C$4:$C$1203,$B51,对接源_01水果!$D$4:$D$1203,"成品出库*",对接源_01水果!$L$4:$L$1203,"已付款")+SUMIFS(对接源_01水果!$K$4:$K$1203,对接源_01水果!$C$4:$C$1203,$B51,对接源_01水果!$D$4:$D$1203,"其他代存*",对接源_01水果!$L$4:$L$1203,"已收讫")+SUMIFS(对接源_01水果!$K$4:$K$1203,对接源_01水果!$C$4:$C$1203,$B51,对接源_01水果!$D$4:$D$1203,"其他代存*",对接源_01水果!$L$4:$L$1203,"已付款")+SUMIFS(对接源_02物料!$K$4:$K$1203,对接源_02物料!$C$4:$C$1203,$B51,对接源_02物料!$D$4:$D$1203,"包装物料*",对接源_02物料!$L$4:$L$1203,"已收讫")+SUMIFS(对接源_02物料!$K$4:$K$1203,对接源_02物料!$C$4:$C$1203,$B51,对接源_02物料!$D$4:$D$1203,"包装物料*",对接源_02物料!$L$4:$L$1203,"已付款")+SUMIFS(对接源_02物料!$K$4:$K$1203,对接源_02物料!$C$4:$C$1203,$B51,对接源_02物料!$D$4:$D$1203,"周转筐*",对接源_02物料!$L$4:$L$1203,"已收讫")+SUMIFS(对接源_02物料!$K$4:$K$1203,对接源_02物料!$C$4:$C$1203,$B51,对接源_02物料!$D$4:$D$1203,"周转筐*",对接源_02物料!$L$4:$L$1203,"已付款")+SUMIFS(对接源_02物料!$K$4:$K$1203,对接源_02物料!$C$4:$C$1203,$B51,对接源_02物料!$D$4:$D$1203,"次果筐*",对接源_02物料!$L$4:$L$1203,"已收讫")+SUMIFS(对接源_02物料!$K$4:$K$1203,对接源_02物料!$C$4:$C$1203,$B51,对接源_02物料!$D$4:$D$1203,"次果筐*",对接源_02物料!$L$4:$L$1203,"已付款"),2))</f>
        <v/>
      </c>
      <c r="J51" s="61" t="str">
        <f aca="false">IF($B51="","",ROUND(N($H51)-N($I51),2))</f>
        <v/>
      </c>
      <c r="K51" s="59" t="str">
        <f aca="false">IF($B51="","",IF(ROUND(N($J51),2)&gt;0,"对方欠款",IF(ROUND(N($J51),2)&lt;0,"我方欠款","已两清")))</f>
        <v/>
      </c>
      <c r="L51" s="105"/>
    </row>
    <row r="52" customFormat="false" ht="13.5" hidden="false" customHeight="false" outlineLevel="0" collapsed="false">
      <c r="A52" s="59" t="str">
        <f aca="false">IF($B52="","",ROW()-3)</f>
        <v/>
      </c>
      <c r="B52" s="104" t="str">
        <f aca="false">IFERROR(INDEX(_自动清单!$E$4:$E$303,ROW()-3),"")</f>
        <v/>
      </c>
      <c r="C52" s="61" t="str">
        <f aca="false">IF($B52="","",ROUND(SUMIFS(对接源_01水果!$K$4:$K$1203,对接源_01水果!$C$4:$C$1203,$B52,对接源_01水果!$D$4:$D$1203,"成品出库*"),2))</f>
        <v/>
      </c>
      <c r="D52" s="61" t="str">
        <f aca="false">IF($B52="","",ROUND(SUMIFS(对接源_01水果!$K$4:$K$1203,对接源_01水果!$C$4:$C$1203,$B52,对接源_01水果!$D$4:$D$1203,"其他代存*"),2))</f>
        <v/>
      </c>
      <c r="E52" s="61" t="str">
        <f aca="false">IF($B52="","",ROUND(SUMIFS(对接源_02物料!$K$4:$K$1203,对接源_02物料!$C$4:$C$1203,$B52,对接源_02物料!$D$4:$D$1203,"包装物料*"),2))</f>
        <v/>
      </c>
      <c r="F52" s="61" t="str">
        <f aca="false">IF($B52="","",ROUND(SUMIFS(对接源_02物料!$K$4:$K$1203,对接源_02物料!$C$4:$C$1203,$B52,对接源_02物料!$D$4:$D$1203,"周转筐*"),2))</f>
        <v/>
      </c>
      <c r="G52" s="61" t="str">
        <f aca="false">IF($B52="","",ROUND(SUMIFS(对接源_02物料!$K$4:$K$1203,对接源_02物料!$C$4:$C$1203,$B52,对接源_02物料!$D$4:$D$1203,"次果筐*"),2))</f>
        <v/>
      </c>
      <c r="H52" s="61" t="str">
        <f aca="false">IF($B52="","",ROUND(SUM($C52:$G52),2))</f>
        <v/>
      </c>
      <c r="I52" s="61" t="str">
        <f aca="false">IF($B52="","",ROUND(SUMIFS(对接源_01水果!$K$4:$K$1203,对接源_01水果!$C$4:$C$1203,$B52,对接源_01水果!$D$4:$D$1203,"成品出库*",对接源_01水果!$L$4:$L$1203,"已收讫")+SUMIFS(对接源_01水果!$K$4:$K$1203,对接源_01水果!$C$4:$C$1203,$B52,对接源_01水果!$D$4:$D$1203,"成品出库*",对接源_01水果!$L$4:$L$1203,"已付款")+SUMIFS(对接源_01水果!$K$4:$K$1203,对接源_01水果!$C$4:$C$1203,$B52,对接源_01水果!$D$4:$D$1203,"其他代存*",对接源_01水果!$L$4:$L$1203,"已收讫")+SUMIFS(对接源_01水果!$K$4:$K$1203,对接源_01水果!$C$4:$C$1203,$B52,对接源_01水果!$D$4:$D$1203,"其他代存*",对接源_01水果!$L$4:$L$1203,"已付款")+SUMIFS(对接源_02物料!$K$4:$K$1203,对接源_02物料!$C$4:$C$1203,$B52,对接源_02物料!$D$4:$D$1203,"包装物料*",对接源_02物料!$L$4:$L$1203,"已收讫")+SUMIFS(对接源_02物料!$K$4:$K$1203,对接源_02物料!$C$4:$C$1203,$B52,对接源_02物料!$D$4:$D$1203,"包装物料*",对接源_02物料!$L$4:$L$1203,"已付款")+SUMIFS(对接源_02物料!$K$4:$K$1203,对接源_02物料!$C$4:$C$1203,$B52,对接源_02物料!$D$4:$D$1203,"周转筐*",对接源_02物料!$L$4:$L$1203,"已收讫")+SUMIFS(对接源_02物料!$K$4:$K$1203,对接源_02物料!$C$4:$C$1203,$B52,对接源_02物料!$D$4:$D$1203,"周转筐*",对接源_02物料!$L$4:$L$1203,"已付款")+SUMIFS(对接源_02物料!$K$4:$K$1203,对接源_02物料!$C$4:$C$1203,$B52,对接源_02物料!$D$4:$D$1203,"次果筐*",对接源_02物料!$L$4:$L$1203,"已收讫")+SUMIFS(对接源_02物料!$K$4:$K$1203,对接源_02物料!$C$4:$C$1203,$B52,对接源_02物料!$D$4:$D$1203,"次果筐*",对接源_02物料!$L$4:$L$1203,"已付款"),2))</f>
        <v/>
      </c>
      <c r="J52" s="61" t="str">
        <f aca="false">IF($B52="","",ROUND(N($H52)-N($I52),2))</f>
        <v/>
      </c>
      <c r="K52" s="59" t="str">
        <f aca="false">IF($B52="","",IF(ROUND(N($J52),2)&gt;0,"对方欠款",IF(ROUND(N($J52),2)&lt;0,"我方欠款","已两清")))</f>
        <v/>
      </c>
      <c r="L52" s="105"/>
    </row>
    <row r="53" customFormat="false" ht="13.5" hidden="false" customHeight="false" outlineLevel="0" collapsed="false">
      <c r="A53" s="59" t="str">
        <f aca="false">IF($B53="","",ROW()-3)</f>
        <v/>
      </c>
      <c r="B53" s="104" t="str">
        <f aca="false">IFERROR(INDEX(_自动清单!$E$4:$E$303,ROW()-3),"")</f>
        <v/>
      </c>
      <c r="C53" s="61" t="str">
        <f aca="false">IF($B53="","",ROUND(SUMIFS(对接源_01水果!$K$4:$K$1203,对接源_01水果!$C$4:$C$1203,$B53,对接源_01水果!$D$4:$D$1203,"成品出库*"),2))</f>
        <v/>
      </c>
      <c r="D53" s="61" t="str">
        <f aca="false">IF($B53="","",ROUND(SUMIFS(对接源_01水果!$K$4:$K$1203,对接源_01水果!$C$4:$C$1203,$B53,对接源_01水果!$D$4:$D$1203,"其他代存*"),2))</f>
        <v/>
      </c>
      <c r="E53" s="61" t="str">
        <f aca="false">IF($B53="","",ROUND(SUMIFS(对接源_02物料!$K$4:$K$1203,对接源_02物料!$C$4:$C$1203,$B53,对接源_02物料!$D$4:$D$1203,"包装物料*"),2))</f>
        <v/>
      </c>
      <c r="F53" s="61" t="str">
        <f aca="false">IF($B53="","",ROUND(SUMIFS(对接源_02物料!$K$4:$K$1203,对接源_02物料!$C$4:$C$1203,$B53,对接源_02物料!$D$4:$D$1203,"周转筐*"),2))</f>
        <v/>
      </c>
      <c r="G53" s="61" t="str">
        <f aca="false">IF($B53="","",ROUND(SUMIFS(对接源_02物料!$K$4:$K$1203,对接源_02物料!$C$4:$C$1203,$B53,对接源_02物料!$D$4:$D$1203,"次果筐*"),2))</f>
        <v/>
      </c>
      <c r="H53" s="61" t="str">
        <f aca="false">IF($B53="","",ROUND(SUM($C53:$G53),2))</f>
        <v/>
      </c>
      <c r="I53" s="61" t="str">
        <f aca="false">IF($B53="","",ROUND(SUMIFS(对接源_01水果!$K$4:$K$1203,对接源_01水果!$C$4:$C$1203,$B53,对接源_01水果!$D$4:$D$1203,"成品出库*",对接源_01水果!$L$4:$L$1203,"已收讫")+SUMIFS(对接源_01水果!$K$4:$K$1203,对接源_01水果!$C$4:$C$1203,$B53,对接源_01水果!$D$4:$D$1203,"成品出库*",对接源_01水果!$L$4:$L$1203,"已付款")+SUMIFS(对接源_01水果!$K$4:$K$1203,对接源_01水果!$C$4:$C$1203,$B53,对接源_01水果!$D$4:$D$1203,"其他代存*",对接源_01水果!$L$4:$L$1203,"已收讫")+SUMIFS(对接源_01水果!$K$4:$K$1203,对接源_01水果!$C$4:$C$1203,$B53,对接源_01水果!$D$4:$D$1203,"其他代存*",对接源_01水果!$L$4:$L$1203,"已付款")+SUMIFS(对接源_02物料!$K$4:$K$1203,对接源_02物料!$C$4:$C$1203,$B53,对接源_02物料!$D$4:$D$1203,"包装物料*",对接源_02物料!$L$4:$L$1203,"已收讫")+SUMIFS(对接源_02物料!$K$4:$K$1203,对接源_02物料!$C$4:$C$1203,$B53,对接源_02物料!$D$4:$D$1203,"包装物料*",对接源_02物料!$L$4:$L$1203,"已付款")+SUMIFS(对接源_02物料!$K$4:$K$1203,对接源_02物料!$C$4:$C$1203,$B53,对接源_02物料!$D$4:$D$1203,"周转筐*",对接源_02物料!$L$4:$L$1203,"已收讫")+SUMIFS(对接源_02物料!$K$4:$K$1203,对接源_02物料!$C$4:$C$1203,$B53,对接源_02物料!$D$4:$D$1203,"周转筐*",对接源_02物料!$L$4:$L$1203,"已付款")+SUMIFS(对接源_02物料!$K$4:$K$1203,对接源_02物料!$C$4:$C$1203,$B53,对接源_02物料!$D$4:$D$1203,"次果筐*",对接源_02物料!$L$4:$L$1203,"已收讫")+SUMIFS(对接源_02物料!$K$4:$K$1203,对接源_02物料!$C$4:$C$1203,$B53,对接源_02物料!$D$4:$D$1203,"次果筐*",对接源_02物料!$L$4:$L$1203,"已付款"),2))</f>
        <v/>
      </c>
      <c r="J53" s="61" t="str">
        <f aca="false">IF($B53="","",ROUND(N($H53)-N($I53),2))</f>
        <v/>
      </c>
      <c r="K53" s="59" t="str">
        <f aca="false">IF($B53="","",IF(ROUND(N($J53),2)&gt;0,"对方欠款",IF(ROUND(N($J53),2)&lt;0,"我方欠款","已两清")))</f>
        <v/>
      </c>
      <c r="L53" s="105"/>
    </row>
    <row r="54" customFormat="false" ht="13.5" hidden="false" customHeight="false" outlineLevel="0" collapsed="false">
      <c r="A54" s="59" t="str">
        <f aca="false">IF($B54="","",ROW()-3)</f>
        <v/>
      </c>
      <c r="B54" s="104" t="str">
        <f aca="false">IFERROR(INDEX(_自动清单!$E$4:$E$303,ROW()-3),"")</f>
        <v/>
      </c>
      <c r="C54" s="61" t="str">
        <f aca="false">IF($B54="","",ROUND(SUMIFS(对接源_01水果!$K$4:$K$1203,对接源_01水果!$C$4:$C$1203,$B54,对接源_01水果!$D$4:$D$1203,"成品出库*"),2))</f>
        <v/>
      </c>
      <c r="D54" s="61" t="str">
        <f aca="false">IF($B54="","",ROUND(SUMIFS(对接源_01水果!$K$4:$K$1203,对接源_01水果!$C$4:$C$1203,$B54,对接源_01水果!$D$4:$D$1203,"其他代存*"),2))</f>
        <v/>
      </c>
      <c r="E54" s="61" t="str">
        <f aca="false">IF($B54="","",ROUND(SUMIFS(对接源_02物料!$K$4:$K$1203,对接源_02物料!$C$4:$C$1203,$B54,对接源_02物料!$D$4:$D$1203,"包装物料*"),2))</f>
        <v/>
      </c>
      <c r="F54" s="61" t="str">
        <f aca="false">IF($B54="","",ROUND(SUMIFS(对接源_02物料!$K$4:$K$1203,对接源_02物料!$C$4:$C$1203,$B54,对接源_02物料!$D$4:$D$1203,"周转筐*"),2))</f>
        <v/>
      </c>
      <c r="G54" s="61" t="str">
        <f aca="false">IF($B54="","",ROUND(SUMIFS(对接源_02物料!$K$4:$K$1203,对接源_02物料!$C$4:$C$1203,$B54,对接源_02物料!$D$4:$D$1203,"次果筐*"),2))</f>
        <v/>
      </c>
      <c r="H54" s="61" t="str">
        <f aca="false">IF($B54="","",ROUND(SUM($C54:$G54),2))</f>
        <v/>
      </c>
      <c r="I54" s="61" t="str">
        <f aca="false">IF($B54="","",ROUND(SUMIFS(对接源_01水果!$K$4:$K$1203,对接源_01水果!$C$4:$C$1203,$B54,对接源_01水果!$D$4:$D$1203,"成品出库*",对接源_01水果!$L$4:$L$1203,"已收讫")+SUMIFS(对接源_01水果!$K$4:$K$1203,对接源_01水果!$C$4:$C$1203,$B54,对接源_01水果!$D$4:$D$1203,"成品出库*",对接源_01水果!$L$4:$L$1203,"已付款")+SUMIFS(对接源_01水果!$K$4:$K$1203,对接源_01水果!$C$4:$C$1203,$B54,对接源_01水果!$D$4:$D$1203,"其他代存*",对接源_01水果!$L$4:$L$1203,"已收讫")+SUMIFS(对接源_01水果!$K$4:$K$1203,对接源_01水果!$C$4:$C$1203,$B54,对接源_01水果!$D$4:$D$1203,"其他代存*",对接源_01水果!$L$4:$L$1203,"已付款")+SUMIFS(对接源_02物料!$K$4:$K$1203,对接源_02物料!$C$4:$C$1203,$B54,对接源_02物料!$D$4:$D$1203,"包装物料*",对接源_02物料!$L$4:$L$1203,"已收讫")+SUMIFS(对接源_02物料!$K$4:$K$1203,对接源_02物料!$C$4:$C$1203,$B54,对接源_02物料!$D$4:$D$1203,"包装物料*",对接源_02物料!$L$4:$L$1203,"已付款")+SUMIFS(对接源_02物料!$K$4:$K$1203,对接源_02物料!$C$4:$C$1203,$B54,对接源_02物料!$D$4:$D$1203,"周转筐*",对接源_02物料!$L$4:$L$1203,"已收讫")+SUMIFS(对接源_02物料!$K$4:$K$1203,对接源_02物料!$C$4:$C$1203,$B54,对接源_02物料!$D$4:$D$1203,"周转筐*",对接源_02物料!$L$4:$L$1203,"已付款")+SUMIFS(对接源_02物料!$K$4:$K$1203,对接源_02物料!$C$4:$C$1203,$B54,对接源_02物料!$D$4:$D$1203,"次果筐*",对接源_02物料!$L$4:$L$1203,"已收讫")+SUMIFS(对接源_02物料!$K$4:$K$1203,对接源_02物料!$C$4:$C$1203,$B54,对接源_02物料!$D$4:$D$1203,"次果筐*",对接源_02物料!$L$4:$L$1203,"已付款"),2))</f>
        <v/>
      </c>
      <c r="J54" s="61" t="str">
        <f aca="false">IF($B54="","",ROUND(N($H54)-N($I54),2))</f>
        <v/>
      </c>
      <c r="K54" s="59" t="str">
        <f aca="false">IF($B54="","",IF(ROUND(N($J54),2)&gt;0,"对方欠款",IF(ROUND(N($J54),2)&lt;0,"我方欠款","已两清")))</f>
        <v/>
      </c>
      <c r="L54" s="105"/>
    </row>
    <row r="55" customFormat="false" ht="13.5" hidden="false" customHeight="false" outlineLevel="0" collapsed="false">
      <c r="A55" s="59" t="str">
        <f aca="false">IF($B55="","",ROW()-3)</f>
        <v/>
      </c>
      <c r="B55" s="104" t="str">
        <f aca="false">IFERROR(INDEX(_自动清单!$E$4:$E$303,ROW()-3),"")</f>
        <v/>
      </c>
      <c r="C55" s="61" t="str">
        <f aca="false">IF($B55="","",ROUND(SUMIFS(对接源_01水果!$K$4:$K$1203,对接源_01水果!$C$4:$C$1203,$B55,对接源_01水果!$D$4:$D$1203,"成品出库*"),2))</f>
        <v/>
      </c>
      <c r="D55" s="61" t="str">
        <f aca="false">IF($B55="","",ROUND(SUMIFS(对接源_01水果!$K$4:$K$1203,对接源_01水果!$C$4:$C$1203,$B55,对接源_01水果!$D$4:$D$1203,"其他代存*"),2))</f>
        <v/>
      </c>
      <c r="E55" s="61" t="str">
        <f aca="false">IF($B55="","",ROUND(SUMIFS(对接源_02物料!$K$4:$K$1203,对接源_02物料!$C$4:$C$1203,$B55,对接源_02物料!$D$4:$D$1203,"包装物料*"),2))</f>
        <v/>
      </c>
      <c r="F55" s="61" t="str">
        <f aca="false">IF($B55="","",ROUND(SUMIFS(对接源_02物料!$K$4:$K$1203,对接源_02物料!$C$4:$C$1203,$B55,对接源_02物料!$D$4:$D$1203,"周转筐*"),2))</f>
        <v/>
      </c>
      <c r="G55" s="61" t="str">
        <f aca="false">IF($B55="","",ROUND(SUMIFS(对接源_02物料!$K$4:$K$1203,对接源_02物料!$C$4:$C$1203,$B55,对接源_02物料!$D$4:$D$1203,"次果筐*"),2))</f>
        <v/>
      </c>
      <c r="H55" s="61" t="str">
        <f aca="false">IF($B55="","",ROUND(SUM($C55:$G55),2))</f>
        <v/>
      </c>
      <c r="I55" s="61" t="str">
        <f aca="false">IF($B55="","",ROUND(SUMIFS(对接源_01水果!$K$4:$K$1203,对接源_01水果!$C$4:$C$1203,$B55,对接源_01水果!$D$4:$D$1203,"成品出库*",对接源_01水果!$L$4:$L$1203,"已收讫")+SUMIFS(对接源_01水果!$K$4:$K$1203,对接源_01水果!$C$4:$C$1203,$B55,对接源_01水果!$D$4:$D$1203,"成品出库*",对接源_01水果!$L$4:$L$1203,"已付款")+SUMIFS(对接源_01水果!$K$4:$K$1203,对接源_01水果!$C$4:$C$1203,$B55,对接源_01水果!$D$4:$D$1203,"其他代存*",对接源_01水果!$L$4:$L$1203,"已收讫")+SUMIFS(对接源_01水果!$K$4:$K$1203,对接源_01水果!$C$4:$C$1203,$B55,对接源_01水果!$D$4:$D$1203,"其他代存*",对接源_01水果!$L$4:$L$1203,"已付款")+SUMIFS(对接源_02物料!$K$4:$K$1203,对接源_02物料!$C$4:$C$1203,$B55,对接源_02物料!$D$4:$D$1203,"包装物料*",对接源_02物料!$L$4:$L$1203,"已收讫")+SUMIFS(对接源_02物料!$K$4:$K$1203,对接源_02物料!$C$4:$C$1203,$B55,对接源_02物料!$D$4:$D$1203,"包装物料*",对接源_02物料!$L$4:$L$1203,"已付款")+SUMIFS(对接源_02物料!$K$4:$K$1203,对接源_02物料!$C$4:$C$1203,$B55,对接源_02物料!$D$4:$D$1203,"周转筐*",对接源_02物料!$L$4:$L$1203,"已收讫")+SUMIFS(对接源_02物料!$K$4:$K$1203,对接源_02物料!$C$4:$C$1203,$B55,对接源_02物料!$D$4:$D$1203,"周转筐*",对接源_02物料!$L$4:$L$1203,"已付款")+SUMIFS(对接源_02物料!$K$4:$K$1203,对接源_02物料!$C$4:$C$1203,$B55,对接源_02物料!$D$4:$D$1203,"次果筐*",对接源_02物料!$L$4:$L$1203,"已收讫")+SUMIFS(对接源_02物料!$K$4:$K$1203,对接源_02物料!$C$4:$C$1203,$B55,对接源_02物料!$D$4:$D$1203,"次果筐*",对接源_02物料!$L$4:$L$1203,"已付款"),2))</f>
        <v/>
      </c>
      <c r="J55" s="61" t="str">
        <f aca="false">IF($B55="","",ROUND(N($H55)-N($I55),2))</f>
        <v/>
      </c>
      <c r="K55" s="59" t="str">
        <f aca="false">IF($B55="","",IF(ROUND(N($J55),2)&gt;0,"对方欠款",IF(ROUND(N($J55),2)&lt;0,"我方欠款","已两清")))</f>
        <v/>
      </c>
      <c r="L55" s="105"/>
    </row>
    <row r="56" customFormat="false" ht="13.5" hidden="false" customHeight="false" outlineLevel="0" collapsed="false">
      <c r="A56" s="59" t="str">
        <f aca="false">IF($B56="","",ROW()-3)</f>
        <v/>
      </c>
      <c r="B56" s="104" t="str">
        <f aca="false">IFERROR(INDEX(_自动清单!$E$4:$E$303,ROW()-3),"")</f>
        <v/>
      </c>
      <c r="C56" s="61" t="str">
        <f aca="false">IF($B56="","",ROUND(SUMIFS(对接源_01水果!$K$4:$K$1203,对接源_01水果!$C$4:$C$1203,$B56,对接源_01水果!$D$4:$D$1203,"成品出库*"),2))</f>
        <v/>
      </c>
      <c r="D56" s="61" t="str">
        <f aca="false">IF($B56="","",ROUND(SUMIFS(对接源_01水果!$K$4:$K$1203,对接源_01水果!$C$4:$C$1203,$B56,对接源_01水果!$D$4:$D$1203,"其他代存*"),2))</f>
        <v/>
      </c>
      <c r="E56" s="61" t="str">
        <f aca="false">IF($B56="","",ROUND(SUMIFS(对接源_02物料!$K$4:$K$1203,对接源_02物料!$C$4:$C$1203,$B56,对接源_02物料!$D$4:$D$1203,"包装物料*"),2))</f>
        <v/>
      </c>
      <c r="F56" s="61" t="str">
        <f aca="false">IF($B56="","",ROUND(SUMIFS(对接源_02物料!$K$4:$K$1203,对接源_02物料!$C$4:$C$1203,$B56,对接源_02物料!$D$4:$D$1203,"周转筐*"),2))</f>
        <v/>
      </c>
      <c r="G56" s="61" t="str">
        <f aca="false">IF($B56="","",ROUND(SUMIFS(对接源_02物料!$K$4:$K$1203,对接源_02物料!$C$4:$C$1203,$B56,对接源_02物料!$D$4:$D$1203,"次果筐*"),2))</f>
        <v/>
      </c>
      <c r="H56" s="61" t="str">
        <f aca="false">IF($B56="","",ROUND(SUM($C56:$G56),2))</f>
        <v/>
      </c>
      <c r="I56" s="61" t="str">
        <f aca="false">IF($B56="","",ROUND(SUMIFS(对接源_01水果!$K$4:$K$1203,对接源_01水果!$C$4:$C$1203,$B56,对接源_01水果!$D$4:$D$1203,"成品出库*",对接源_01水果!$L$4:$L$1203,"已收讫")+SUMIFS(对接源_01水果!$K$4:$K$1203,对接源_01水果!$C$4:$C$1203,$B56,对接源_01水果!$D$4:$D$1203,"成品出库*",对接源_01水果!$L$4:$L$1203,"已付款")+SUMIFS(对接源_01水果!$K$4:$K$1203,对接源_01水果!$C$4:$C$1203,$B56,对接源_01水果!$D$4:$D$1203,"其他代存*",对接源_01水果!$L$4:$L$1203,"已收讫")+SUMIFS(对接源_01水果!$K$4:$K$1203,对接源_01水果!$C$4:$C$1203,$B56,对接源_01水果!$D$4:$D$1203,"其他代存*",对接源_01水果!$L$4:$L$1203,"已付款")+SUMIFS(对接源_02物料!$K$4:$K$1203,对接源_02物料!$C$4:$C$1203,$B56,对接源_02物料!$D$4:$D$1203,"包装物料*",对接源_02物料!$L$4:$L$1203,"已收讫")+SUMIFS(对接源_02物料!$K$4:$K$1203,对接源_02物料!$C$4:$C$1203,$B56,对接源_02物料!$D$4:$D$1203,"包装物料*",对接源_02物料!$L$4:$L$1203,"已付款")+SUMIFS(对接源_02物料!$K$4:$K$1203,对接源_02物料!$C$4:$C$1203,$B56,对接源_02物料!$D$4:$D$1203,"周转筐*",对接源_02物料!$L$4:$L$1203,"已收讫")+SUMIFS(对接源_02物料!$K$4:$K$1203,对接源_02物料!$C$4:$C$1203,$B56,对接源_02物料!$D$4:$D$1203,"周转筐*",对接源_02物料!$L$4:$L$1203,"已付款")+SUMIFS(对接源_02物料!$K$4:$K$1203,对接源_02物料!$C$4:$C$1203,$B56,对接源_02物料!$D$4:$D$1203,"次果筐*",对接源_02物料!$L$4:$L$1203,"已收讫")+SUMIFS(对接源_02物料!$K$4:$K$1203,对接源_02物料!$C$4:$C$1203,$B56,对接源_02物料!$D$4:$D$1203,"次果筐*",对接源_02物料!$L$4:$L$1203,"已付款"),2))</f>
        <v/>
      </c>
      <c r="J56" s="61" t="str">
        <f aca="false">IF($B56="","",ROUND(N($H56)-N($I56),2))</f>
        <v/>
      </c>
      <c r="K56" s="59" t="str">
        <f aca="false">IF($B56="","",IF(ROUND(N($J56),2)&gt;0,"对方欠款",IF(ROUND(N($J56),2)&lt;0,"我方欠款","已两清")))</f>
        <v/>
      </c>
      <c r="L56" s="105"/>
    </row>
    <row r="57" customFormat="false" ht="13.5" hidden="false" customHeight="false" outlineLevel="0" collapsed="false">
      <c r="A57" s="59" t="str">
        <f aca="false">IF($B57="","",ROW()-3)</f>
        <v/>
      </c>
      <c r="B57" s="104" t="str">
        <f aca="false">IFERROR(INDEX(_自动清单!$E$4:$E$303,ROW()-3),"")</f>
        <v/>
      </c>
      <c r="C57" s="61" t="str">
        <f aca="false">IF($B57="","",ROUND(SUMIFS(对接源_01水果!$K$4:$K$1203,对接源_01水果!$C$4:$C$1203,$B57,对接源_01水果!$D$4:$D$1203,"成品出库*"),2))</f>
        <v/>
      </c>
      <c r="D57" s="61" t="str">
        <f aca="false">IF($B57="","",ROUND(SUMIFS(对接源_01水果!$K$4:$K$1203,对接源_01水果!$C$4:$C$1203,$B57,对接源_01水果!$D$4:$D$1203,"其他代存*"),2))</f>
        <v/>
      </c>
      <c r="E57" s="61" t="str">
        <f aca="false">IF($B57="","",ROUND(SUMIFS(对接源_02物料!$K$4:$K$1203,对接源_02物料!$C$4:$C$1203,$B57,对接源_02物料!$D$4:$D$1203,"包装物料*"),2))</f>
        <v/>
      </c>
      <c r="F57" s="61" t="str">
        <f aca="false">IF($B57="","",ROUND(SUMIFS(对接源_02物料!$K$4:$K$1203,对接源_02物料!$C$4:$C$1203,$B57,对接源_02物料!$D$4:$D$1203,"周转筐*"),2))</f>
        <v/>
      </c>
      <c r="G57" s="61" t="str">
        <f aca="false">IF($B57="","",ROUND(SUMIFS(对接源_02物料!$K$4:$K$1203,对接源_02物料!$C$4:$C$1203,$B57,对接源_02物料!$D$4:$D$1203,"次果筐*"),2))</f>
        <v/>
      </c>
      <c r="H57" s="61" t="str">
        <f aca="false">IF($B57="","",ROUND(SUM($C57:$G57),2))</f>
        <v/>
      </c>
      <c r="I57" s="61" t="str">
        <f aca="false">IF($B57="","",ROUND(SUMIFS(对接源_01水果!$K$4:$K$1203,对接源_01水果!$C$4:$C$1203,$B57,对接源_01水果!$D$4:$D$1203,"成品出库*",对接源_01水果!$L$4:$L$1203,"已收讫")+SUMIFS(对接源_01水果!$K$4:$K$1203,对接源_01水果!$C$4:$C$1203,$B57,对接源_01水果!$D$4:$D$1203,"成品出库*",对接源_01水果!$L$4:$L$1203,"已付款")+SUMIFS(对接源_01水果!$K$4:$K$1203,对接源_01水果!$C$4:$C$1203,$B57,对接源_01水果!$D$4:$D$1203,"其他代存*",对接源_01水果!$L$4:$L$1203,"已收讫")+SUMIFS(对接源_01水果!$K$4:$K$1203,对接源_01水果!$C$4:$C$1203,$B57,对接源_01水果!$D$4:$D$1203,"其他代存*",对接源_01水果!$L$4:$L$1203,"已付款")+SUMIFS(对接源_02物料!$K$4:$K$1203,对接源_02物料!$C$4:$C$1203,$B57,对接源_02物料!$D$4:$D$1203,"包装物料*",对接源_02物料!$L$4:$L$1203,"已收讫")+SUMIFS(对接源_02物料!$K$4:$K$1203,对接源_02物料!$C$4:$C$1203,$B57,对接源_02物料!$D$4:$D$1203,"包装物料*",对接源_02物料!$L$4:$L$1203,"已付款")+SUMIFS(对接源_02物料!$K$4:$K$1203,对接源_02物料!$C$4:$C$1203,$B57,对接源_02物料!$D$4:$D$1203,"周转筐*",对接源_02物料!$L$4:$L$1203,"已收讫")+SUMIFS(对接源_02物料!$K$4:$K$1203,对接源_02物料!$C$4:$C$1203,$B57,对接源_02物料!$D$4:$D$1203,"周转筐*",对接源_02物料!$L$4:$L$1203,"已付款")+SUMIFS(对接源_02物料!$K$4:$K$1203,对接源_02物料!$C$4:$C$1203,$B57,对接源_02物料!$D$4:$D$1203,"次果筐*",对接源_02物料!$L$4:$L$1203,"已收讫")+SUMIFS(对接源_02物料!$K$4:$K$1203,对接源_02物料!$C$4:$C$1203,$B57,对接源_02物料!$D$4:$D$1203,"次果筐*",对接源_02物料!$L$4:$L$1203,"已付款"),2))</f>
        <v/>
      </c>
      <c r="J57" s="61" t="str">
        <f aca="false">IF($B57="","",ROUND(N($H57)-N($I57),2))</f>
        <v/>
      </c>
      <c r="K57" s="59" t="str">
        <f aca="false">IF($B57="","",IF(ROUND(N($J57),2)&gt;0,"对方欠款",IF(ROUND(N($J57),2)&lt;0,"我方欠款","已两清")))</f>
        <v/>
      </c>
      <c r="L57" s="105"/>
    </row>
    <row r="58" customFormat="false" ht="13.5" hidden="false" customHeight="false" outlineLevel="0" collapsed="false">
      <c r="A58" s="59" t="str">
        <f aca="false">IF($B58="","",ROW()-3)</f>
        <v/>
      </c>
      <c r="B58" s="104" t="str">
        <f aca="false">IFERROR(INDEX(_自动清单!$E$4:$E$303,ROW()-3),"")</f>
        <v/>
      </c>
      <c r="C58" s="61" t="str">
        <f aca="false">IF($B58="","",ROUND(SUMIFS(对接源_01水果!$K$4:$K$1203,对接源_01水果!$C$4:$C$1203,$B58,对接源_01水果!$D$4:$D$1203,"成品出库*"),2))</f>
        <v/>
      </c>
      <c r="D58" s="61" t="str">
        <f aca="false">IF($B58="","",ROUND(SUMIFS(对接源_01水果!$K$4:$K$1203,对接源_01水果!$C$4:$C$1203,$B58,对接源_01水果!$D$4:$D$1203,"其他代存*"),2))</f>
        <v/>
      </c>
      <c r="E58" s="61" t="str">
        <f aca="false">IF($B58="","",ROUND(SUMIFS(对接源_02物料!$K$4:$K$1203,对接源_02物料!$C$4:$C$1203,$B58,对接源_02物料!$D$4:$D$1203,"包装物料*"),2))</f>
        <v/>
      </c>
      <c r="F58" s="61" t="str">
        <f aca="false">IF($B58="","",ROUND(SUMIFS(对接源_02物料!$K$4:$K$1203,对接源_02物料!$C$4:$C$1203,$B58,对接源_02物料!$D$4:$D$1203,"周转筐*"),2))</f>
        <v/>
      </c>
      <c r="G58" s="61" t="str">
        <f aca="false">IF($B58="","",ROUND(SUMIFS(对接源_02物料!$K$4:$K$1203,对接源_02物料!$C$4:$C$1203,$B58,对接源_02物料!$D$4:$D$1203,"次果筐*"),2))</f>
        <v/>
      </c>
      <c r="H58" s="61" t="str">
        <f aca="false">IF($B58="","",ROUND(SUM($C58:$G58),2))</f>
        <v/>
      </c>
      <c r="I58" s="61" t="str">
        <f aca="false">IF($B58="","",ROUND(SUMIFS(对接源_01水果!$K$4:$K$1203,对接源_01水果!$C$4:$C$1203,$B58,对接源_01水果!$D$4:$D$1203,"成品出库*",对接源_01水果!$L$4:$L$1203,"已收讫")+SUMIFS(对接源_01水果!$K$4:$K$1203,对接源_01水果!$C$4:$C$1203,$B58,对接源_01水果!$D$4:$D$1203,"成品出库*",对接源_01水果!$L$4:$L$1203,"已付款")+SUMIFS(对接源_01水果!$K$4:$K$1203,对接源_01水果!$C$4:$C$1203,$B58,对接源_01水果!$D$4:$D$1203,"其他代存*",对接源_01水果!$L$4:$L$1203,"已收讫")+SUMIFS(对接源_01水果!$K$4:$K$1203,对接源_01水果!$C$4:$C$1203,$B58,对接源_01水果!$D$4:$D$1203,"其他代存*",对接源_01水果!$L$4:$L$1203,"已付款")+SUMIFS(对接源_02物料!$K$4:$K$1203,对接源_02物料!$C$4:$C$1203,$B58,对接源_02物料!$D$4:$D$1203,"包装物料*",对接源_02物料!$L$4:$L$1203,"已收讫")+SUMIFS(对接源_02物料!$K$4:$K$1203,对接源_02物料!$C$4:$C$1203,$B58,对接源_02物料!$D$4:$D$1203,"包装物料*",对接源_02物料!$L$4:$L$1203,"已付款")+SUMIFS(对接源_02物料!$K$4:$K$1203,对接源_02物料!$C$4:$C$1203,$B58,对接源_02物料!$D$4:$D$1203,"周转筐*",对接源_02物料!$L$4:$L$1203,"已收讫")+SUMIFS(对接源_02物料!$K$4:$K$1203,对接源_02物料!$C$4:$C$1203,$B58,对接源_02物料!$D$4:$D$1203,"周转筐*",对接源_02物料!$L$4:$L$1203,"已付款")+SUMIFS(对接源_02物料!$K$4:$K$1203,对接源_02物料!$C$4:$C$1203,$B58,对接源_02物料!$D$4:$D$1203,"次果筐*",对接源_02物料!$L$4:$L$1203,"已收讫")+SUMIFS(对接源_02物料!$K$4:$K$1203,对接源_02物料!$C$4:$C$1203,$B58,对接源_02物料!$D$4:$D$1203,"次果筐*",对接源_02物料!$L$4:$L$1203,"已付款"),2))</f>
        <v/>
      </c>
      <c r="J58" s="61" t="str">
        <f aca="false">IF($B58="","",ROUND(N($H58)-N($I58),2))</f>
        <v/>
      </c>
      <c r="K58" s="59" t="str">
        <f aca="false">IF($B58="","",IF(ROUND(N($J58),2)&gt;0,"对方欠款",IF(ROUND(N($J58),2)&lt;0,"我方欠款","已两清")))</f>
        <v/>
      </c>
      <c r="L58" s="105"/>
    </row>
    <row r="59" customFormat="false" ht="13.5" hidden="false" customHeight="false" outlineLevel="0" collapsed="false">
      <c r="A59" s="59" t="str">
        <f aca="false">IF($B59="","",ROW()-3)</f>
        <v/>
      </c>
      <c r="B59" s="104" t="str">
        <f aca="false">IFERROR(INDEX(_自动清单!$E$4:$E$303,ROW()-3),"")</f>
        <v/>
      </c>
      <c r="C59" s="61" t="str">
        <f aca="false">IF($B59="","",ROUND(SUMIFS(对接源_01水果!$K$4:$K$1203,对接源_01水果!$C$4:$C$1203,$B59,对接源_01水果!$D$4:$D$1203,"成品出库*"),2))</f>
        <v/>
      </c>
      <c r="D59" s="61" t="str">
        <f aca="false">IF($B59="","",ROUND(SUMIFS(对接源_01水果!$K$4:$K$1203,对接源_01水果!$C$4:$C$1203,$B59,对接源_01水果!$D$4:$D$1203,"其他代存*"),2))</f>
        <v/>
      </c>
      <c r="E59" s="61" t="str">
        <f aca="false">IF($B59="","",ROUND(SUMIFS(对接源_02物料!$K$4:$K$1203,对接源_02物料!$C$4:$C$1203,$B59,对接源_02物料!$D$4:$D$1203,"包装物料*"),2))</f>
        <v/>
      </c>
      <c r="F59" s="61" t="str">
        <f aca="false">IF($B59="","",ROUND(SUMIFS(对接源_02物料!$K$4:$K$1203,对接源_02物料!$C$4:$C$1203,$B59,对接源_02物料!$D$4:$D$1203,"周转筐*"),2))</f>
        <v/>
      </c>
      <c r="G59" s="61" t="str">
        <f aca="false">IF($B59="","",ROUND(SUMIFS(对接源_02物料!$K$4:$K$1203,对接源_02物料!$C$4:$C$1203,$B59,对接源_02物料!$D$4:$D$1203,"次果筐*"),2))</f>
        <v/>
      </c>
      <c r="H59" s="61" t="str">
        <f aca="false">IF($B59="","",ROUND(SUM($C59:$G59),2))</f>
        <v/>
      </c>
      <c r="I59" s="61" t="str">
        <f aca="false">IF($B59="","",ROUND(SUMIFS(对接源_01水果!$K$4:$K$1203,对接源_01水果!$C$4:$C$1203,$B59,对接源_01水果!$D$4:$D$1203,"成品出库*",对接源_01水果!$L$4:$L$1203,"已收讫")+SUMIFS(对接源_01水果!$K$4:$K$1203,对接源_01水果!$C$4:$C$1203,$B59,对接源_01水果!$D$4:$D$1203,"成品出库*",对接源_01水果!$L$4:$L$1203,"已付款")+SUMIFS(对接源_01水果!$K$4:$K$1203,对接源_01水果!$C$4:$C$1203,$B59,对接源_01水果!$D$4:$D$1203,"其他代存*",对接源_01水果!$L$4:$L$1203,"已收讫")+SUMIFS(对接源_01水果!$K$4:$K$1203,对接源_01水果!$C$4:$C$1203,$B59,对接源_01水果!$D$4:$D$1203,"其他代存*",对接源_01水果!$L$4:$L$1203,"已付款")+SUMIFS(对接源_02物料!$K$4:$K$1203,对接源_02物料!$C$4:$C$1203,$B59,对接源_02物料!$D$4:$D$1203,"包装物料*",对接源_02物料!$L$4:$L$1203,"已收讫")+SUMIFS(对接源_02物料!$K$4:$K$1203,对接源_02物料!$C$4:$C$1203,$B59,对接源_02物料!$D$4:$D$1203,"包装物料*",对接源_02物料!$L$4:$L$1203,"已付款")+SUMIFS(对接源_02物料!$K$4:$K$1203,对接源_02物料!$C$4:$C$1203,$B59,对接源_02物料!$D$4:$D$1203,"周转筐*",对接源_02物料!$L$4:$L$1203,"已收讫")+SUMIFS(对接源_02物料!$K$4:$K$1203,对接源_02物料!$C$4:$C$1203,$B59,对接源_02物料!$D$4:$D$1203,"周转筐*",对接源_02物料!$L$4:$L$1203,"已付款")+SUMIFS(对接源_02物料!$K$4:$K$1203,对接源_02物料!$C$4:$C$1203,$B59,对接源_02物料!$D$4:$D$1203,"次果筐*",对接源_02物料!$L$4:$L$1203,"已收讫")+SUMIFS(对接源_02物料!$K$4:$K$1203,对接源_02物料!$C$4:$C$1203,$B59,对接源_02物料!$D$4:$D$1203,"次果筐*",对接源_02物料!$L$4:$L$1203,"已付款"),2))</f>
        <v/>
      </c>
      <c r="J59" s="61" t="str">
        <f aca="false">IF($B59="","",ROUND(N($H59)-N($I59),2))</f>
        <v/>
      </c>
      <c r="K59" s="59" t="str">
        <f aca="false">IF($B59="","",IF(ROUND(N($J59),2)&gt;0,"对方欠款",IF(ROUND(N($J59),2)&lt;0,"我方欠款","已两清")))</f>
        <v/>
      </c>
      <c r="L59" s="105"/>
    </row>
    <row r="60" customFormat="false" ht="13.5" hidden="false" customHeight="false" outlineLevel="0" collapsed="false">
      <c r="A60" s="59" t="str">
        <f aca="false">IF($B60="","",ROW()-3)</f>
        <v/>
      </c>
      <c r="B60" s="104" t="str">
        <f aca="false">IFERROR(INDEX(_自动清单!$E$4:$E$303,ROW()-3),"")</f>
        <v/>
      </c>
      <c r="C60" s="61" t="str">
        <f aca="false">IF($B60="","",ROUND(SUMIFS(对接源_01水果!$K$4:$K$1203,对接源_01水果!$C$4:$C$1203,$B60,对接源_01水果!$D$4:$D$1203,"成品出库*"),2))</f>
        <v/>
      </c>
      <c r="D60" s="61" t="str">
        <f aca="false">IF($B60="","",ROUND(SUMIFS(对接源_01水果!$K$4:$K$1203,对接源_01水果!$C$4:$C$1203,$B60,对接源_01水果!$D$4:$D$1203,"其他代存*"),2))</f>
        <v/>
      </c>
      <c r="E60" s="61" t="str">
        <f aca="false">IF($B60="","",ROUND(SUMIFS(对接源_02物料!$K$4:$K$1203,对接源_02物料!$C$4:$C$1203,$B60,对接源_02物料!$D$4:$D$1203,"包装物料*"),2))</f>
        <v/>
      </c>
      <c r="F60" s="61" t="str">
        <f aca="false">IF($B60="","",ROUND(SUMIFS(对接源_02物料!$K$4:$K$1203,对接源_02物料!$C$4:$C$1203,$B60,对接源_02物料!$D$4:$D$1203,"周转筐*"),2))</f>
        <v/>
      </c>
      <c r="G60" s="61" t="str">
        <f aca="false">IF($B60="","",ROUND(SUMIFS(对接源_02物料!$K$4:$K$1203,对接源_02物料!$C$4:$C$1203,$B60,对接源_02物料!$D$4:$D$1203,"次果筐*"),2))</f>
        <v/>
      </c>
      <c r="H60" s="61" t="str">
        <f aca="false">IF($B60="","",ROUND(SUM($C60:$G60),2))</f>
        <v/>
      </c>
      <c r="I60" s="61" t="str">
        <f aca="false">IF($B60="","",ROUND(SUMIFS(对接源_01水果!$K$4:$K$1203,对接源_01水果!$C$4:$C$1203,$B60,对接源_01水果!$D$4:$D$1203,"成品出库*",对接源_01水果!$L$4:$L$1203,"已收讫")+SUMIFS(对接源_01水果!$K$4:$K$1203,对接源_01水果!$C$4:$C$1203,$B60,对接源_01水果!$D$4:$D$1203,"成品出库*",对接源_01水果!$L$4:$L$1203,"已付款")+SUMIFS(对接源_01水果!$K$4:$K$1203,对接源_01水果!$C$4:$C$1203,$B60,对接源_01水果!$D$4:$D$1203,"其他代存*",对接源_01水果!$L$4:$L$1203,"已收讫")+SUMIFS(对接源_01水果!$K$4:$K$1203,对接源_01水果!$C$4:$C$1203,$B60,对接源_01水果!$D$4:$D$1203,"其他代存*",对接源_01水果!$L$4:$L$1203,"已付款")+SUMIFS(对接源_02物料!$K$4:$K$1203,对接源_02物料!$C$4:$C$1203,$B60,对接源_02物料!$D$4:$D$1203,"包装物料*",对接源_02物料!$L$4:$L$1203,"已收讫")+SUMIFS(对接源_02物料!$K$4:$K$1203,对接源_02物料!$C$4:$C$1203,$B60,对接源_02物料!$D$4:$D$1203,"包装物料*",对接源_02物料!$L$4:$L$1203,"已付款")+SUMIFS(对接源_02物料!$K$4:$K$1203,对接源_02物料!$C$4:$C$1203,$B60,对接源_02物料!$D$4:$D$1203,"周转筐*",对接源_02物料!$L$4:$L$1203,"已收讫")+SUMIFS(对接源_02物料!$K$4:$K$1203,对接源_02物料!$C$4:$C$1203,$B60,对接源_02物料!$D$4:$D$1203,"周转筐*",对接源_02物料!$L$4:$L$1203,"已付款")+SUMIFS(对接源_02物料!$K$4:$K$1203,对接源_02物料!$C$4:$C$1203,$B60,对接源_02物料!$D$4:$D$1203,"次果筐*",对接源_02物料!$L$4:$L$1203,"已收讫")+SUMIFS(对接源_02物料!$K$4:$K$1203,对接源_02物料!$C$4:$C$1203,$B60,对接源_02物料!$D$4:$D$1203,"次果筐*",对接源_02物料!$L$4:$L$1203,"已付款"),2))</f>
        <v/>
      </c>
      <c r="J60" s="61" t="str">
        <f aca="false">IF($B60="","",ROUND(N($H60)-N($I60),2))</f>
        <v/>
      </c>
      <c r="K60" s="59" t="str">
        <f aca="false">IF($B60="","",IF(ROUND(N($J60),2)&gt;0,"对方欠款",IF(ROUND(N($J60),2)&lt;0,"我方欠款","已两清")))</f>
        <v/>
      </c>
      <c r="L60" s="105"/>
    </row>
    <row r="61" customFormat="false" ht="13.5" hidden="false" customHeight="false" outlineLevel="0" collapsed="false">
      <c r="A61" s="59" t="str">
        <f aca="false">IF($B61="","",ROW()-3)</f>
        <v/>
      </c>
      <c r="B61" s="104" t="str">
        <f aca="false">IFERROR(INDEX(_自动清单!$E$4:$E$303,ROW()-3),"")</f>
        <v/>
      </c>
      <c r="C61" s="61" t="str">
        <f aca="false">IF($B61="","",ROUND(SUMIFS(对接源_01水果!$K$4:$K$1203,对接源_01水果!$C$4:$C$1203,$B61,对接源_01水果!$D$4:$D$1203,"成品出库*"),2))</f>
        <v/>
      </c>
      <c r="D61" s="61" t="str">
        <f aca="false">IF($B61="","",ROUND(SUMIFS(对接源_01水果!$K$4:$K$1203,对接源_01水果!$C$4:$C$1203,$B61,对接源_01水果!$D$4:$D$1203,"其他代存*"),2))</f>
        <v/>
      </c>
      <c r="E61" s="61" t="str">
        <f aca="false">IF($B61="","",ROUND(SUMIFS(对接源_02物料!$K$4:$K$1203,对接源_02物料!$C$4:$C$1203,$B61,对接源_02物料!$D$4:$D$1203,"包装物料*"),2))</f>
        <v/>
      </c>
      <c r="F61" s="61" t="str">
        <f aca="false">IF($B61="","",ROUND(SUMIFS(对接源_02物料!$K$4:$K$1203,对接源_02物料!$C$4:$C$1203,$B61,对接源_02物料!$D$4:$D$1203,"周转筐*"),2))</f>
        <v/>
      </c>
      <c r="G61" s="61" t="str">
        <f aca="false">IF($B61="","",ROUND(SUMIFS(对接源_02物料!$K$4:$K$1203,对接源_02物料!$C$4:$C$1203,$B61,对接源_02物料!$D$4:$D$1203,"次果筐*"),2))</f>
        <v/>
      </c>
      <c r="H61" s="61" t="str">
        <f aca="false">IF($B61="","",ROUND(SUM($C61:$G61),2))</f>
        <v/>
      </c>
      <c r="I61" s="61" t="str">
        <f aca="false">IF($B61="","",ROUND(SUMIFS(对接源_01水果!$K$4:$K$1203,对接源_01水果!$C$4:$C$1203,$B61,对接源_01水果!$D$4:$D$1203,"成品出库*",对接源_01水果!$L$4:$L$1203,"已收讫")+SUMIFS(对接源_01水果!$K$4:$K$1203,对接源_01水果!$C$4:$C$1203,$B61,对接源_01水果!$D$4:$D$1203,"成品出库*",对接源_01水果!$L$4:$L$1203,"已付款")+SUMIFS(对接源_01水果!$K$4:$K$1203,对接源_01水果!$C$4:$C$1203,$B61,对接源_01水果!$D$4:$D$1203,"其他代存*",对接源_01水果!$L$4:$L$1203,"已收讫")+SUMIFS(对接源_01水果!$K$4:$K$1203,对接源_01水果!$C$4:$C$1203,$B61,对接源_01水果!$D$4:$D$1203,"其他代存*",对接源_01水果!$L$4:$L$1203,"已付款")+SUMIFS(对接源_02物料!$K$4:$K$1203,对接源_02物料!$C$4:$C$1203,$B61,对接源_02物料!$D$4:$D$1203,"包装物料*",对接源_02物料!$L$4:$L$1203,"已收讫")+SUMIFS(对接源_02物料!$K$4:$K$1203,对接源_02物料!$C$4:$C$1203,$B61,对接源_02物料!$D$4:$D$1203,"包装物料*",对接源_02物料!$L$4:$L$1203,"已付款")+SUMIFS(对接源_02物料!$K$4:$K$1203,对接源_02物料!$C$4:$C$1203,$B61,对接源_02物料!$D$4:$D$1203,"周转筐*",对接源_02物料!$L$4:$L$1203,"已收讫")+SUMIFS(对接源_02物料!$K$4:$K$1203,对接源_02物料!$C$4:$C$1203,$B61,对接源_02物料!$D$4:$D$1203,"周转筐*",对接源_02物料!$L$4:$L$1203,"已付款")+SUMIFS(对接源_02物料!$K$4:$K$1203,对接源_02物料!$C$4:$C$1203,$B61,对接源_02物料!$D$4:$D$1203,"次果筐*",对接源_02物料!$L$4:$L$1203,"已收讫")+SUMIFS(对接源_02物料!$K$4:$K$1203,对接源_02物料!$C$4:$C$1203,$B61,对接源_02物料!$D$4:$D$1203,"次果筐*",对接源_02物料!$L$4:$L$1203,"已付款"),2))</f>
        <v/>
      </c>
      <c r="J61" s="61" t="str">
        <f aca="false">IF($B61="","",ROUND(N($H61)-N($I61),2))</f>
        <v/>
      </c>
      <c r="K61" s="59" t="str">
        <f aca="false">IF($B61="","",IF(ROUND(N($J61),2)&gt;0,"对方欠款",IF(ROUND(N($J61),2)&lt;0,"我方欠款","已两清")))</f>
        <v/>
      </c>
      <c r="L61" s="105"/>
    </row>
    <row r="62" customFormat="false" ht="13.5" hidden="false" customHeight="false" outlineLevel="0" collapsed="false">
      <c r="A62" s="59" t="str">
        <f aca="false">IF($B62="","",ROW()-3)</f>
        <v/>
      </c>
      <c r="B62" s="104" t="str">
        <f aca="false">IFERROR(INDEX(_自动清单!$E$4:$E$303,ROW()-3),"")</f>
        <v/>
      </c>
      <c r="C62" s="61" t="str">
        <f aca="false">IF($B62="","",ROUND(SUMIFS(对接源_01水果!$K$4:$K$1203,对接源_01水果!$C$4:$C$1203,$B62,对接源_01水果!$D$4:$D$1203,"成品出库*"),2))</f>
        <v/>
      </c>
      <c r="D62" s="61" t="str">
        <f aca="false">IF($B62="","",ROUND(SUMIFS(对接源_01水果!$K$4:$K$1203,对接源_01水果!$C$4:$C$1203,$B62,对接源_01水果!$D$4:$D$1203,"其他代存*"),2))</f>
        <v/>
      </c>
      <c r="E62" s="61" t="str">
        <f aca="false">IF($B62="","",ROUND(SUMIFS(对接源_02物料!$K$4:$K$1203,对接源_02物料!$C$4:$C$1203,$B62,对接源_02物料!$D$4:$D$1203,"包装物料*"),2))</f>
        <v/>
      </c>
      <c r="F62" s="61" t="str">
        <f aca="false">IF($B62="","",ROUND(SUMIFS(对接源_02物料!$K$4:$K$1203,对接源_02物料!$C$4:$C$1203,$B62,对接源_02物料!$D$4:$D$1203,"周转筐*"),2))</f>
        <v/>
      </c>
      <c r="G62" s="61" t="str">
        <f aca="false">IF($B62="","",ROUND(SUMIFS(对接源_02物料!$K$4:$K$1203,对接源_02物料!$C$4:$C$1203,$B62,对接源_02物料!$D$4:$D$1203,"次果筐*"),2))</f>
        <v/>
      </c>
      <c r="H62" s="61" t="str">
        <f aca="false">IF($B62="","",ROUND(SUM($C62:$G62),2))</f>
        <v/>
      </c>
      <c r="I62" s="61" t="str">
        <f aca="false">IF($B62="","",ROUND(SUMIFS(对接源_01水果!$K$4:$K$1203,对接源_01水果!$C$4:$C$1203,$B62,对接源_01水果!$D$4:$D$1203,"成品出库*",对接源_01水果!$L$4:$L$1203,"已收讫")+SUMIFS(对接源_01水果!$K$4:$K$1203,对接源_01水果!$C$4:$C$1203,$B62,对接源_01水果!$D$4:$D$1203,"成品出库*",对接源_01水果!$L$4:$L$1203,"已付款")+SUMIFS(对接源_01水果!$K$4:$K$1203,对接源_01水果!$C$4:$C$1203,$B62,对接源_01水果!$D$4:$D$1203,"其他代存*",对接源_01水果!$L$4:$L$1203,"已收讫")+SUMIFS(对接源_01水果!$K$4:$K$1203,对接源_01水果!$C$4:$C$1203,$B62,对接源_01水果!$D$4:$D$1203,"其他代存*",对接源_01水果!$L$4:$L$1203,"已付款")+SUMIFS(对接源_02物料!$K$4:$K$1203,对接源_02物料!$C$4:$C$1203,$B62,对接源_02物料!$D$4:$D$1203,"包装物料*",对接源_02物料!$L$4:$L$1203,"已收讫")+SUMIFS(对接源_02物料!$K$4:$K$1203,对接源_02物料!$C$4:$C$1203,$B62,对接源_02物料!$D$4:$D$1203,"包装物料*",对接源_02物料!$L$4:$L$1203,"已付款")+SUMIFS(对接源_02物料!$K$4:$K$1203,对接源_02物料!$C$4:$C$1203,$B62,对接源_02物料!$D$4:$D$1203,"周转筐*",对接源_02物料!$L$4:$L$1203,"已收讫")+SUMIFS(对接源_02物料!$K$4:$K$1203,对接源_02物料!$C$4:$C$1203,$B62,对接源_02物料!$D$4:$D$1203,"周转筐*",对接源_02物料!$L$4:$L$1203,"已付款")+SUMIFS(对接源_02物料!$K$4:$K$1203,对接源_02物料!$C$4:$C$1203,$B62,对接源_02物料!$D$4:$D$1203,"次果筐*",对接源_02物料!$L$4:$L$1203,"已收讫")+SUMIFS(对接源_02物料!$K$4:$K$1203,对接源_02物料!$C$4:$C$1203,$B62,对接源_02物料!$D$4:$D$1203,"次果筐*",对接源_02物料!$L$4:$L$1203,"已付款"),2))</f>
        <v/>
      </c>
      <c r="J62" s="61" t="str">
        <f aca="false">IF($B62="","",ROUND(N($H62)-N($I62),2))</f>
        <v/>
      </c>
      <c r="K62" s="59" t="str">
        <f aca="false">IF($B62="","",IF(ROUND(N($J62),2)&gt;0,"对方欠款",IF(ROUND(N($J62),2)&lt;0,"我方欠款","已两清")))</f>
        <v/>
      </c>
      <c r="L62" s="105"/>
    </row>
    <row r="63" customFormat="false" ht="13.5" hidden="false" customHeight="false" outlineLevel="0" collapsed="false">
      <c r="A63" s="59" t="str">
        <f aca="false">IF($B63="","",ROW()-3)</f>
        <v/>
      </c>
      <c r="B63" s="104" t="str">
        <f aca="false">IFERROR(INDEX(_自动清单!$E$4:$E$303,ROW()-3),"")</f>
        <v/>
      </c>
      <c r="C63" s="61" t="str">
        <f aca="false">IF($B63="","",ROUND(SUMIFS(对接源_01水果!$K$4:$K$1203,对接源_01水果!$C$4:$C$1203,$B63,对接源_01水果!$D$4:$D$1203,"成品出库*"),2))</f>
        <v/>
      </c>
      <c r="D63" s="61" t="str">
        <f aca="false">IF($B63="","",ROUND(SUMIFS(对接源_01水果!$K$4:$K$1203,对接源_01水果!$C$4:$C$1203,$B63,对接源_01水果!$D$4:$D$1203,"其他代存*"),2))</f>
        <v/>
      </c>
      <c r="E63" s="61" t="str">
        <f aca="false">IF($B63="","",ROUND(SUMIFS(对接源_02物料!$K$4:$K$1203,对接源_02物料!$C$4:$C$1203,$B63,对接源_02物料!$D$4:$D$1203,"包装物料*"),2))</f>
        <v/>
      </c>
      <c r="F63" s="61" t="str">
        <f aca="false">IF($B63="","",ROUND(SUMIFS(对接源_02物料!$K$4:$K$1203,对接源_02物料!$C$4:$C$1203,$B63,对接源_02物料!$D$4:$D$1203,"周转筐*"),2))</f>
        <v/>
      </c>
      <c r="G63" s="61" t="str">
        <f aca="false">IF($B63="","",ROUND(SUMIFS(对接源_02物料!$K$4:$K$1203,对接源_02物料!$C$4:$C$1203,$B63,对接源_02物料!$D$4:$D$1203,"次果筐*"),2))</f>
        <v/>
      </c>
      <c r="H63" s="61" t="str">
        <f aca="false">IF($B63="","",ROUND(SUM($C63:$G63),2))</f>
        <v/>
      </c>
      <c r="I63" s="61" t="str">
        <f aca="false">IF($B63="","",ROUND(SUMIFS(对接源_01水果!$K$4:$K$1203,对接源_01水果!$C$4:$C$1203,$B63,对接源_01水果!$D$4:$D$1203,"成品出库*",对接源_01水果!$L$4:$L$1203,"已收讫")+SUMIFS(对接源_01水果!$K$4:$K$1203,对接源_01水果!$C$4:$C$1203,$B63,对接源_01水果!$D$4:$D$1203,"成品出库*",对接源_01水果!$L$4:$L$1203,"已付款")+SUMIFS(对接源_01水果!$K$4:$K$1203,对接源_01水果!$C$4:$C$1203,$B63,对接源_01水果!$D$4:$D$1203,"其他代存*",对接源_01水果!$L$4:$L$1203,"已收讫")+SUMIFS(对接源_01水果!$K$4:$K$1203,对接源_01水果!$C$4:$C$1203,$B63,对接源_01水果!$D$4:$D$1203,"其他代存*",对接源_01水果!$L$4:$L$1203,"已付款")+SUMIFS(对接源_02物料!$K$4:$K$1203,对接源_02物料!$C$4:$C$1203,$B63,对接源_02物料!$D$4:$D$1203,"包装物料*",对接源_02物料!$L$4:$L$1203,"已收讫")+SUMIFS(对接源_02物料!$K$4:$K$1203,对接源_02物料!$C$4:$C$1203,$B63,对接源_02物料!$D$4:$D$1203,"包装物料*",对接源_02物料!$L$4:$L$1203,"已付款")+SUMIFS(对接源_02物料!$K$4:$K$1203,对接源_02物料!$C$4:$C$1203,$B63,对接源_02物料!$D$4:$D$1203,"周转筐*",对接源_02物料!$L$4:$L$1203,"已收讫")+SUMIFS(对接源_02物料!$K$4:$K$1203,对接源_02物料!$C$4:$C$1203,$B63,对接源_02物料!$D$4:$D$1203,"周转筐*",对接源_02物料!$L$4:$L$1203,"已付款")+SUMIFS(对接源_02物料!$K$4:$K$1203,对接源_02物料!$C$4:$C$1203,$B63,对接源_02物料!$D$4:$D$1203,"次果筐*",对接源_02物料!$L$4:$L$1203,"已收讫")+SUMIFS(对接源_02物料!$K$4:$K$1203,对接源_02物料!$C$4:$C$1203,$B63,对接源_02物料!$D$4:$D$1203,"次果筐*",对接源_02物料!$L$4:$L$1203,"已付款"),2))</f>
        <v/>
      </c>
      <c r="J63" s="61" t="str">
        <f aca="false">IF($B63="","",ROUND(N($H63)-N($I63),2))</f>
        <v/>
      </c>
      <c r="K63" s="59" t="str">
        <f aca="false">IF($B63="","",IF(ROUND(N($J63),2)&gt;0,"对方欠款",IF(ROUND(N($J63),2)&lt;0,"我方欠款","已两清")))</f>
        <v/>
      </c>
      <c r="L63" s="105"/>
    </row>
    <row r="64" customFormat="false" ht="13.5" hidden="false" customHeight="false" outlineLevel="0" collapsed="false">
      <c r="A64" s="59" t="str">
        <f aca="false">IF($B64="","",ROW()-3)</f>
        <v/>
      </c>
      <c r="B64" s="104" t="str">
        <f aca="false">IFERROR(INDEX(_自动清单!$E$4:$E$303,ROW()-3),"")</f>
        <v/>
      </c>
      <c r="C64" s="61" t="str">
        <f aca="false">IF($B64="","",ROUND(SUMIFS(对接源_01水果!$K$4:$K$1203,对接源_01水果!$C$4:$C$1203,$B64,对接源_01水果!$D$4:$D$1203,"成品出库*"),2))</f>
        <v/>
      </c>
      <c r="D64" s="61" t="str">
        <f aca="false">IF($B64="","",ROUND(SUMIFS(对接源_01水果!$K$4:$K$1203,对接源_01水果!$C$4:$C$1203,$B64,对接源_01水果!$D$4:$D$1203,"其他代存*"),2))</f>
        <v/>
      </c>
      <c r="E64" s="61" t="str">
        <f aca="false">IF($B64="","",ROUND(SUMIFS(对接源_02物料!$K$4:$K$1203,对接源_02物料!$C$4:$C$1203,$B64,对接源_02物料!$D$4:$D$1203,"包装物料*"),2))</f>
        <v/>
      </c>
      <c r="F64" s="61" t="str">
        <f aca="false">IF($B64="","",ROUND(SUMIFS(对接源_02物料!$K$4:$K$1203,对接源_02物料!$C$4:$C$1203,$B64,对接源_02物料!$D$4:$D$1203,"周转筐*"),2))</f>
        <v/>
      </c>
      <c r="G64" s="61" t="str">
        <f aca="false">IF($B64="","",ROUND(SUMIFS(对接源_02物料!$K$4:$K$1203,对接源_02物料!$C$4:$C$1203,$B64,对接源_02物料!$D$4:$D$1203,"次果筐*"),2))</f>
        <v/>
      </c>
      <c r="H64" s="61" t="str">
        <f aca="false">IF($B64="","",ROUND(SUM($C64:$G64),2))</f>
        <v/>
      </c>
      <c r="I64" s="61" t="str">
        <f aca="false">IF($B64="","",ROUND(SUMIFS(对接源_01水果!$K$4:$K$1203,对接源_01水果!$C$4:$C$1203,$B64,对接源_01水果!$D$4:$D$1203,"成品出库*",对接源_01水果!$L$4:$L$1203,"已收讫")+SUMIFS(对接源_01水果!$K$4:$K$1203,对接源_01水果!$C$4:$C$1203,$B64,对接源_01水果!$D$4:$D$1203,"成品出库*",对接源_01水果!$L$4:$L$1203,"已付款")+SUMIFS(对接源_01水果!$K$4:$K$1203,对接源_01水果!$C$4:$C$1203,$B64,对接源_01水果!$D$4:$D$1203,"其他代存*",对接源_01水果!$L$4:$L$1203,"已收讫")+SUMIFS(对接源_01水果!$K$4:$K$1203,对接源_01水果!$C$4:$C$1203,$B64,对接源_01水果!$D$4:$D$1203,"其他代存*",对接源_01水果!$L$4:$L$1203,"已付款")+SUMIFS(对接源_02物料!$K$4:$K$1203,对接源_02物料!$C$4:$C$1203,$B64,对接源_02物料!$D$4:$D$1203,"包装物料*",对接源_02物料!$L$4:$L$1203,"已收讫")+SUMIFS(对接源_02物料!$K$4:$K$1203,对接源_02物料!$C$4:$C$1203,$B64,对接源_02物料!$D$4:$D$1203,"包装物料*",对接源_02物料!$L$4:$L$1203,"已付款")+SUMIFS(对接源_02物料!$K$4:$K$1203,对接源_02物料!$C$4:$C$1203,$B64,对接源_02物料!$D$4:$D$1203,"周转筐*",对接源_02物料!$L$4:$L$1203,"已收讫")+SUMIFS(对接源_02物料!$K$4:$K$1203,对接源_02物料!$C$4:$C$1203,$B64,对接源_02物料!$D$4:$D$1203,"周转筐*",对接源_02物料!$L$4:$L$1203,"已付款")+SUMIFS(对接源_02物料!$K$4:$K$1203,对接源_02物料!$C$4:$C$1203,$B64,对接源_02物料!$D$4:$D$1203,"次果筐*",对接源_02物料!$L$4:$L$1203,"已收讫")+SUMIFS(对接源_02物料!$K$4:$K$1203,对接源_02物料!$C$4:$C$1203,$B64,对接源_02物料!$D$4:$D$1203,"次果筐*",对接源_02物料!$L$4:$L$1203,"已付款"),2))</f>
        <v/>
      </c>
      <c r="J64" s="61" t="str">
        <f aca="false">IF($B64="","",ROUND(N($H64)-N($I64),2))</f>
        <v/>
      </c>
      <c r="K64" s="59" t="str">
        <f aca="false">IF($B64="","",IF(ROUND(N($J64),2)&gt;0,"对方欠款",IF(ROUND(N($J64),2)&lt;0,"我方欠款","已两清")))</f>
        <v/>
      </c>
      <c r="L64" s="105"/>
    </row>
    <row r="65" customFormat="false" ht="13.5" hidden="false" customHeight="false" outlineLevel="0" collapsed="false">
      <c r="A65" s="59" t="str">
        <f aca="false">IF($B65="","",ROW()-3)</f>
        <v/>
      </c>
      <c r="B65" s="104" t="str">
        <f aca="false">IFERROR(INDEX(_自动清单!$E$4:$E$303,ROW()-3),"")</f>
        <v/>
      </c>
      <c r="C65" s="61" t="str">
        <f aca="false">IF($B65="","",ROUND(SUMIFS(对接源_01水果!$K$4:$K$1203,对接源_01水果!$C$4:$C$1203,$B65,对接源_01水果!$D$4:$D$1203,"成品出库*"),2))</f>
        <v/>
      </c>
      <c r="D65" s="61" t="str">
        <f aca="false">IF($B65="","",ROUND(SUMIFS(对接源_01水果!$K$4:$K$1203,对接源_01水果!$C$4:$C$1203,$B65,对接源_01水果!$D$4:$D$1203,"其他代存*"),2))</f>
        <v/>
      </c>
      <c r="E65" s="61" t="str">
        <f aca="false">IF($B65="","",ROUND(SUMIFS(对接源_02物料!$K$4:$K$1203,对接源_02物料!$C$4:$C$1203,$B65,对接源_02物料!$D$4:$D$1203,"包装物料*"),2))</f>
        <v/>
      </c>
      <c r="F65" s="61" t="str">
        <f aca="false">IF($B65="","",ROUND(SUMIFS(对接源_02物料!$K$4:$K$1203,对接源_02物料!$C$4:$C$1203,$B65,对接源_02物料!$D$4:$D$1203,"周转筐*"),2))</f>
        <v/>
      </c>
      <c r="G65" s="61" t="str">
        <f aca="false">IF($B65="","",ROUND(SUMIFS(对接源_02物料!$K$4:$K$1203,对接源_02物料!$C$4:$C$1203,$B65,对接源_02物料!$D$4:$D$1203,"次果筐*"),2))</f>
        <v/>
      </c>
      <c r="H65" s="61" t="str">
        <f aca="false">IF($B65="","",ROUND(SUM($C65:$G65),2))</f>
        <v/>
      </c>
      <c r="I65" s="61" t="str">
        <f aca="false">IF($B65="","",ROUND(SUMIFS(对接源_01水果!$K$4:$K$1203,对接源_01水果!$C$4:$C$1203,$B65,对接源_01水果!$D$4:$D$1203,"成品出库*",对接源_01水果!$L$4:$L$1203,"已收讫")+SUMIFS(对接源_01水果!$K$4:$K$1203,对接源_01水果!$C$4:$C$1203,$B65,对接源_01水果!$D$4:$D$1203,"成品出库*",对接源_01水果!$L$4:$L$1203,"已付款")+SUMIFS(对接源_01水果!$K$4:$K$1203,对接源_01水果!$C$4:$C$1203,$B65,对接源_01水果!$D$4:$D$1203,"其他代存*",对接源_01水果!$L$4:$L$1203,"已收讫")+SUMIFS(对接源_01水果!$K$4:$K$1203,对接源_01水果!$C$4:$C$1203,$B65,对接源_01水果!$D$4:$D$1203,"其他代存*",对接源_01水果!$L$4:$L$1203,"已付款")+SUMIFS(对接源_02物料!$K$4:$K$1203,对接源_02物料!$C$4:$C$1203,$B65,对接源_02物料!$D$4:$D$1203,"包装物料*",对接源_02物料!$L$4:$L$1203,"已收讫")+SUMIFS(对接源_02物料!$K$4:$K$1203,对接源_02物料!$C$4:$C$1203,$B65,对接源_02物料!$D$4:$D$1203,"包装物料*",对接源_02物料!$L$4:$L$1203,"已付款")+SUMIFS(对接源_02物料!$K$4:$K$1203,对接源_02物料!$C$4:$C$1203,$B65,对接源_02物料!$D$4:$D$1203,"周转筐*",对接源_02物料!$L$4:$L$1203,"已收讫")+SUMIFS(对接源_02物料!$K$4:$K$1203,对接源_02物料!$C$4:$C$1203,$B65,对接源_02物料!$D$4:$D$1203,"周转筐*",对接源_02物料!$L$4:$L$1203,"已付款")+SUMIFS(对接源_02物料!$K$4:$K$1203,对接源_02物料!$C$4:$C$1203,$B65,对接源_02物料!$D$4:$D$1203,"次果筐*",对接源_02物料!$L$4:$L$1203,"已收讫")+SUMIFS(对接源_02物料!$K$4:$K$1203,对接源_02物料!$C$4:$C$1203,$B65,对接源_02物料!$D$4:$D$1203,"次果筐*",对接源_02物料!$L$4:$L$1203,"已付款"),2))</f>
        <v/>
      </c>
      <c r="J65" s="61" t="str">
        <f aca="false">IF($B65="","",ROUND(N($H65)-N($I65),2))</f>
        <v/>
      </c>
      <c r="K65" s="59" t="str">
        <f aca="false">IF($B65="","",IF(ROUND(N($J65),2)&gt;0,"对方欠款",IF(ROUND(N($J65),2)&lt;0,"我方欠款","已两清")))</f>
        <v/>
      </c>
      <c r="L65" s="105"/>
    </row>
    <row r="66" customFormat="false" ht="13.5" hidden="false" customHeight="false" outlineLevel="0" collapsed="false">
      <c r="A66" s="59" t="str">
        <f aca="false">IF($B66="","",ROW()-3)</f>
        <v/>
      </c>
      <c r="B66" s="104" t="str">
        <f aca="false">IFERROR(INDEX(_自动清单!$E$4:$E$303,ROW()-3),"")</f>
        <v/>
      </c>
      <c r="C66" s="61" t="str">
        <f aca="false">IF($B66="","",ROUND(SUMIFS(对接源_01水果!$K$4:$K$1203,对接源_01水果!$C$4:$C$1203,$B66,对接源_01水果!$D$4:$D$1203,"成品出库*"),2))</f>
        <v/>
      </c>
      <c r="D66" s="61" t="str">
        <f aca="false">IF($B66="","",ROUND(SUMIFS(对接源_01水果!$K$4:$K$1203,对接源_01水果!$C$4:$C$1203,$B66,对接源_01水果!$D$4:$D$1203,"其他代存*"),2))</f>
        <v/>
      </c>
      <c r="E66" s="61" t="str">
        <f aca="false">IF($B66="","",ROUND(SUMIFS(对接源_02物料!$K$4:$K$1203,对接源_02物料!$C$4:$C$1203,$B66,对接源_02物料!$D$4:$D$1203,"包装物料*"),2))</f>
        <v/>
      </c>
      <c r="F66" s="61" t="str">
        <f aca="false">IF($B66="","",ROUND(SUMIFS(对接源_02物料!$K$4:$K$1203,对接源_02物料!$C$4:$C$1203,$B66,对接源_02物料!$D$4:$D$1203,"周转筐*"),2))</f>
        <v/>
      </c>
      <c r="G66" s="61" t="str">
        <f aca="false">IF($B66="","",ROUND(SUMIFS(对接源_02物料!$K$4:$K$1203,对接源_02物料!$C$4:$C$1203,$B66,对接源_02物料!$D$4:$D$1203,"次果筐*"),2))</f>
        <v/>
      </c>
      <c r="H66" s="61" t="str">
        <f aca="false">IF($B66="","",ROUND(SUM($C66:$G66),2))</f>
        <v/>
      </c>
      <c r="I66" s="61" t="str">
        <f aca="false">IF($B66="","",ROUND(SUMIFS(对接源_01水果!$K$4:$K$1203,对接源_01水果!$C$4:$C$1203,$B66,对接源_01水果!$D$4:$D$1203,"成品出库*",对接源_01水果!$L$4:$L$1203,"已收讫")+SUMIFS(对接源_01水果!$K$4:$K$1203,对接源_01水果!$C$4:$C$1203,$B66,对接源_01水果!$D$4:$D$1203,"成品出库*",对接源_01水果!$L$4:$L$1203,"已付款")+SUMIFS(对接源_01水果!$K$4:$K$1203,对接源_01水果!$C$4:$C$1203,$B66,对接源_01水果!$D$4:$D$1203,"其他代存*",对接源_01水果!$L$4:$L$1203,"已收讫")+SUMIFS(对接源_01水果!$K$4:$K$1203,对接源_01水果!$C$4:$C$1203,$B66,对接源_01水果!$D$4:$D$1203,"其他代存*",对接源_01水果!$L$4:$L$1203,"已付款")+SUMIFS(对接源_02物料!$K$4:$K$1203,对接源_02物料!$C$4:$C$1203,$B66,对接源_02物料!$D$4:$D$1203,"包装物料*",对接源_02物料!$L$4:$L$1203,"已收讫")+SUMIFS(对接源_02物料!$K$4:$K$1203,对接源_02物料!$C$4:$C$1203,$B66,对接源_02物料!$D$4:$D$1203,"包装物料*",对接源_02物料!$L$4:$L$1203,"已付款")+SUMIFS(对接源_02物料!$K$4:$K$1203,对接源_02物料!$C$4:$C$1203,$B66,对接源_02物料!$D$4:$D$1203,"周转筐*",对接源_02物料!$L$4:$L$1203,"已收讫")+SUMIFS(对接源_02物料!$K$4:$K$1203,对接源_02物料!$C$4:$C$1203,$B66,对接源_02物料!$D$4:$D$1203,"周转筐*",对接源_02物料!$L$4:$L$1203,"已付款")+SUMIFS(对接源_02物料!$K$4:$K$1203,对接源_02物料!$C$4:$C$1203,$B66,对接源_02物料!$D$4:$D$1203,"次果筐*",对接源_02物料!$L$4:$L$1203,"已收讫")+SUMIFS(对接源_02物料!$K$4:$K$1203,对接源_02物料!$C$4:$C$1203,$B66,对接源_02物料!$D$4:$D$1203,"次果筐*",对接源_02物料!$L$4:$L$1203,"已付款"),2))</f>
        <v/>
      </c>
      <c r="J66" s="61" t="str">
        <f aca="false">IF($B66="","",ROUND(N($H66)-N($I66),2))</f>
        <v/>
      </c>
      <c r="K66" s="59" t="str">
        <f aca="false">IF($B66="","",IF(ROUND(N($J66),2)&gt;0,"对方欠款",IF(ROUND(N($J66),2)&lt;0,"我方欠款","已两清")))</f>
        <v/>
      </c>
      <c r="L66" s="105"/>
    </row>
    <row r="67" customFormat="false" ht="13.5" hidden="false" customHeight="false" outlineLevel="0" collapsed="false">
      <c r="A67" s="59" t="str">
        <f aca="false">IF($B67="","",ROW()-3)</f>
        <v/>
      </c>
      <c r="B67" s="104" t="str">
        <f aca="false">IFERROR(INDEX(_自动清单!$E$4:$E$303,ROW()-3),"")</f>
        <v/>
      </c>
      <c r="C67" s="61" t="str">
        <f aca="false">IF($B67="","",ROUND(SUMIFS(对接源_01水果!$K$4:$K$1203,对接源_01水果!$C$4:$C$1203,$B67,对接源_01水果!$D$4:$D$1203,"成品出库*"),2))</f>
        <v/>
      </c>
      <c r="D67" s="61" t="str">
        <f aca="false">IF($B67="","",ROUND(SUMIFS(对接源_01水果!$K$4:$K$1203,对接源_01水果!$C$4:$C$1203,$B67,对接源_01水果!$D$4:$D$1203,"其他代存*"),2))</f>
        <v/>
      </c>
      <c r="E67" s="61" t="str">
        <f aca="false">IF($B67="","",ROUND(SUMIFS(对接源_02物料!$K$4:$K$1203,对接源_02物料!$C$4:$C$1203,$B67,对接源_02物料!$D$4:$D$1203,"包装物料*"),2))</f>
        <v/>
      </c>
      <c r="F67" s="61" t="str">
        <f aca="false">IF($B67="","",ROUND(SUMIFS(对接源_02物料!$K$4:$K$1203,对接源_02物料!$C$4:$C$1203,$B67,对接源_02物料!$D$4:$D$1203,"周转筐*"),2))</f>
        <v/>
      </c>
      <c r="G67" s="61" t="str">
        <f aca="false">IF($B67="","",ROUND(SUMIFS(对接源_02物料!$K$4:$K$1203,对接源_02物料!$C$4:$C$1203,$B67,对接源_02物料!$D$4:$D$1203,"次果筐*"),2))</f>
        <v/>
      </c>
      <c r="H67" s="61" t="str">
        <f aca="false">IF($B67="","",ROUND(SUM($C67:$G67),2))</f>
        <v/>
      </c>
      <c r="I67" s="61" t="str">
        <f aca="false">IF($B67="","",ROUND(SUMIFS(对接源_01水果!$K$4:$K$1203,对接源_01水果!$C$4:$C$1203,$B67,对接源_01水果!$D$4:$D$1203,"成品出库*",对接源_01水果!$L$4:$L$1203,"已收讫")+SUMIFS(对接源_01水果!$K$4:$K$1203,对接源_01水果!$C$4:$C$1203,$B67,对接源_01水果!$D$4:$D$1203,"成品出库*",对接源_01水果!$L$4:$L$1203,"已付款")+SUMIFS(对接源_01水果!$K$4:$K$1203,对接源_01水果!$C$4:$C$1203,$B67,对接源_01水果!$D$4:$D$1203,"其他代存*",对接源_01水果!$L$4:$L$1203,"已收讫")+SUMIFS(对接源_01水果!$K$4:$K$1203,对接源_01水果!$C$4:$C$1203,$B67,对接源_01水果!$D$4:$D$1203,"其他代存*",对接源_01水果!$L$4:$L$1203,"已付款")+SUMIFS(对接源_02物料!$K$4:$K$1203,对接源_02物料!$C$4:$C$1203,$B67,对接源_02物料!$D$4:$D$1203,"包装物料*",对接源_02物料!$L$4:$L$1203,"已收讫")+SUMIFS(对接源_02物料!$K$4:$K$1203,对接源_02物料!$C$4:$C$1203,$B67,对接源_02物料!$D$4:$D$1203,"包装物料*",对接源_02物料!$L$4:$L$1203,"已付款")+SUMIFS(对接源_02物料!$K$4:$K$1203,对接源_02物料!$C$4:$C$1203,$B67,对接源_02物料!$D$4:$D$1203,"周转筐*",对接源_02物料!$L$4:$L$1203,"已收讫")+SUMIFS(对接源_02物料!$K$4:$K$1203,对接源_02物料!$C$4:$C$1203,$B67,对接源_02物料!$D$4:$D$1203,"周转筐*",对接源_02物料!$L$4:$L$1203,"已付款")+SUMIFS(对接源_02物料!$K$4:$K$1203,对接源_02物料!$C$4:$C$1203,$B67,对接源_02物料!$D$4:$D$1203,"次果筐*",对接源_02物料!$L$4:$L$1203,"已收讫")+SUMIFS(对接源_02物料!$K$4:$K$1203,对接源_02物料!$C$4:$C$1203,$B67,对接源_02物料!$D$4:$D$1203,"次果筐*",对接源_02物料!$L$4:$L$1203,"已付款"),2))</f>
        <v/>
      </c>
      <c r="J67" s="61" t="str">
        <f aca="false">IF($B67="","",ROUND(N($H67)-N($I67),2))</f>
        <v/>
      </c>
      <c r="K67" s="59" t="str">
        <f aca="false">IF($B67="","",IF(ROUND(N($J67),2)&gt;0,"对方欠款",IF(ROUND(N($J67),2)&lt;0,"我方欠款","已两清")))</f>
        <v/>
      </c>
      <c r="L67" s="105"/>
    </row>
    <row r="68" customFormat="false" ht="13.5" hidden="false" customHeight="false" outlineLevel="0" collapsed="false">
      <c r="A68" s="59" t="str">
        <f aca="false">IF($B68="","",ROW()-3)</f>
        <v/>
      </c>
      <c r="B68" s="104" t="str">
        <f aca="false">IFERROR(INDEX(_自动清单!$E$4:$E$303,ROW()-3),"")</f>
        <v/>
      </c>
      <c r="C68" s="61" t="str">
        <f aca="false">IF($B68="","",ROUND(SUMIFS(对接源_01水果!$K$4:$K$1203,对接源_01水果!$C$4:$C$1203,$B68,对接源_01水果!$D$4:$D$1203,"成品出库*"),2))</f>
        <v/>
      </c>
      <c r="D68" s="61" t="str">
        <f aca="false">IF($B68="","",ROUND(SUMIFS(对接源_01水果!$K$4:$K$1203,对接源_01水果!$C$4:$C$1203,$B68,对接源_01水果!$D$4:$D$1203,"其他代存*"),2))</f>
        <v/>
      </c>
      <c r="E68" s="61" t="str">
        <f aca="false">IF($B68="","",ROUND(SUMIFS(对接源_02物料!$K$4:$K$1203,对接源_02物料!$C$4:$C$1203,$B68,对接源_02物料!$D$4:$D$1203,"包装物料*"),2))</f>
        <v/>
      </c>
      <c r="F68" s="61" t="str">
        <f aca="false">IF($B68="","",ROUND(SUMIFS(对接源_02物料!$K$4:$K$1203,对接源_02物料!$C$4:$C$1203,$B68,对接源_02物料!$D$4:$D$1203,"周转筐*"),2))</f>
        <v/>
      </c>
      <c r="G68" s="61" t="str">
        <f aca="false">IF($B68="","",ROUND(SUMIFS(对接源_02物料!$K$4:$K$1203,对接源_02物料!$C$4:$C$1203,$B68,对接源_02物料!$D$4:$D$1203,"次果筐*"),2))</f>
        <v/>
      </c>
      <c r="H68" s="61" t="str">
        <f aca="false">IF($B68="","",ROUND(SUM($C68:$G68),2))</f>
        <v/>
      </c>
      <c r="I68" s="61" t="str">
        <f aca="false">IF($B68="","",ROUND(SUMIFS(对接源_01水果!$K$4:$K$1203,对接源_01水果!$C$4:$C$1203,$B68,对接源_01水果!$D$4:$D$1203,"成品出库*",对接源_01水果!$L$4:$L$1203,"已收讫")+SUMIFS(对接源_01水果!$K$4:$K$1203,对接源_01水果!$C$4:$C$1203,$B68,对接源_01水果!$D$4:$D$1203,"成品出库*",对接源_01水果!$L$4:$L$1203,"已付款")+SUMIFS(对接源_01水果!$K$4:$K$1203,对接源_01水果!$C$4:$C$1203,$B68,对接源_01水果!$D$4:$D$1203,"其他代存*",对接源_01水果!$L$4:$L$1203,"已收讫")+SUMIFS(对接源_01水果!$K$4:$K$1203,对接源_01水果!$C$4:$C$1203,$B68,对接源_01水果!$D$4:$D$1203,"其他代存*",对接源_01水果!$L$4:$L$1203,"已付款")+SUMIFS(对接源_02物料!$K$4:$K$1203,对接源_02物料!$C$4:$C$1203,$B68,对接源_02物料!$D$4:$D$1203,"包装物料*",对接源_02物料!$L$4:$L$1203,"已收讫")+SUMIFS(对接源_02物料!$K$4:$K$1203,对接源_02物料!$C$4:$C$1203,$B68,对接源_02物料!$D$4:$D$1203,"包装物料*",对接源_02物料!$L$4:$L$1203,"已付款")+SUMIFS(对接源_02物料!$K$4:$K$1203,对接源_02物料!$C$4:$C$1203,$B68,对接源_02物料!$D$4:$D$1203,"周转筐*",对接源_02物料!$L$4:$L$1203,"已收讫")+SUMIFS(对接源_02物料!$K$4:$K$1203,对接源_02物料!$C$4:$C$1203,$B68,对接源_02物料!$D$4:$D$1203,"周转筐*",对接源_02物料!$L$4:$L$1203,"已付款")+SUMIFS(对接源_02物料!$K$4:$K$1203,对接源_02物料!$C$4:$C$1203,$B68,对接源_02物料!$D$4:$D$1203,"次果筐*",对接源_02物料!$L$4:$L$1203,"已收讫")+SUMIFS(对接源_02物料!$K$4:$K$1203,对接源_02物料!$C$4:$C$1203,$B68,对接源_02物料!$D$4:$D$1203,"次果筐*",对接源_02物料!$L$4:$L$1203,"已付款"),2))</f>
        <v/>
      </c>
      <c r="J68" s="61" t="str">
        <f aca="false">IF($B68="","",ROUND(N($H68)-N($I68),2))</f>
        <v/>
      </c>
      <c r="K68" s="59" t="str">
        <f aca="false">IF($B68="","",IF(ROUND(N($J68),2)&gt;0,"对方欠款",IF(ROUND(N($J68),2)&lt;0,"我方欠款","已两清")))</f>
        <v/>
      </c>
      <c r="L68" s="105"/>
    </row>
    <row r="69" customFormat="false" ht="13.5" hidden="false" customHeight="false" outlineLevel="0" collapsed="false">
      <c r="A69" s="59" t="str">
        <f aca="false">IF($B69="","",ROW()-3)</f>
        <v/>
      </c>
      <c r="B69" s="104" t="str">
        <f aca="false">IFERROR(INDEX(_自动清单!$E$4:$E$303,ROW()-3),"")</f>
        <v/>
      </c>
      <c r="C69" s="61" t="str">
        <f aca="false">IF($B69="","",ROUND(SUMIFS(对接源_01水果!$K$4:$K$1203,对接源_01水果!$C$4:$C$1203,$B69,对接源_01水果!$D$4:$D$1203,"成品出库*"),2))</f>
        <v/>
      </c>
      <c r="D69" s="61" t="str">
        <f aca="false">IF($B69="","",ROUND(SUMIFS(对接源_01水果!$K$4:$K$1203,对接源_01水果!$C$4:$C$1203,$B69,对接源_01水果!$D$4:$D$1203,"其他代存*"),2))</f>
        <v/>
      </c>
      <c r="E69" s="61" t="str">
        <f aca="false">IF($B69="","",ROUND(SUMIFS(对接源_02物料!$K$4:$K$1203,对接源_02物料!$C$4:$C$1203,$B69,对接源_02物料!$D$4:$D$1203,"包装物料*"),2))</f>
        <v/>
      </c>
      <c r="F69" s="61" t="str">
        <f aca="false">IF($B69="","",ROUND(SUMIFS(对接源_02物料!$K$4:$K$1203,对接源_02物料!$C$4:$C$1203,$B69,对接源_02物料!$D$4:$D$1203,"周转筐*"),2))</f>
        <v/>
      </c>
      <c r="G69" s="61" t="str">
        <f aca="false">IF($B69="","",ROUND(SUMIFS(对接源_02物料!$K$4:$K$1203,对接源_02物料!$C$4:$C$1203,$B69,对接源_02物料!$D$4:$D$1203,"次果筐*"),2))</f>
        <v/>
      </c>
      <c r="H69" s="61" t="str">
        <f aca="false">IF($B69="","",ROUND(SUM($C69:$G69),2))</f>
        <v/>
      </c>
      <c r="I69" s="61" t="str">
        <f aca="false">IF($B69="","",ROUND(SUMIFS(对接源_01水果!$K$4:$K$1203,对接源_01水果!$C$4:$C$1203,$B69,对接源_01水果!$D$4:$D$1203,"成品出库*",对接源_01水果!$L$4:$L$1203,"已收讫")+SUMIFS(对接源_01水果!$K$4:$K$1203,对接源_01水果!$C$4:$C$1203,$B69,对接源_01水果!$D$4:$D$1203,"成品出库*",对接源_01水果!$L$4:$L$1203,"已付款")+SUMIFS(对接源_01水果!$K$4:$K$1203,对接源_01水果!$C$4:$C$1203,$B69,对接源_01水果!$D$4:$D$1203,"其他代存*",对接源_01水果!$L$4:$L$1203,"已收讫")+SUMIFS(对接源_01水果!$K$4:$K$1203,对接源_01水果!$C$4:$C$1203,$B69,对接源_01水果!$D$4:$D$1203,"其他代存*",对接源_01水果!$L$4:$L$1203,"已付款")+SUMIFS(对接源_02物料!$K$4:$K$1203,对接源_02物料!$C$4:$C$1203,$B69,对接源_02物料!$D$4:$D$1203,"包装物料*",对接源_02物料!$L$4:$L$1203,"已收讫")+SUMIFS(对接源_02物料!$K$4:$K$1203,对接源_02物料!$C$4:$C$1203,$B69,对接源_02物料!$D$4:$D$1203,"包装物料*",对接源_02物料!$L$4:$L$1203,"已付款")+SUMIFS(对接源_02物料!$K$4:$K$1203,对接源_02物料!$C$4:$C$1203,$B69,对接源_02物料!$D$4:$D$1203,"周转筐*",对接源_02物料!$L$4:$L$1203,"已收讫")+SUMIFS(对接源_02物料!$K$4:$K$1203,对接源_02物料!$C$4:$C$1203,$B69,对接源_02物料!$D$4:$D$1203,"周转筐*",对接源_02物料!$L$4:$L$1203,"已付款")+SUMIFS(对接源_02物料!$K$4:$K$1203,对接源_02物料!$C$4:$C$1203,$B69,对接源_02物料!$D$4:$D$1203,"次果筐*",对接源_02物料!$L$4:$L$1203,"已收讫")+SUMIFS(对接源_02物料!$K$4:$K$1203,对接源_02物料!$C$4:$C$1203,$B69,对接源_02物料!$D$4:$D$1203,"次果筐*",对接源_02物料!$L$4:$L$1203,"已付款"),2))</f>
        <v/>
      </c>
      <c r="J69" s="61" t="str">
        <f aca="false">IF($B69="","",ROUND(N($H69)-N($I69),2))</f>
        <v/>
      </c>
      <c r="K69" s="59" t="str">
        <f aca="false">IF($B69="","",IF(ROUND(N($J69),2)&gt;0,"对方欠款",IF(ROUND(N($J69),2)&lt;0,"我方欠款","已两清")))</f>
        <v/>
      </c>
      <c r="L69" s="105"/>
    </row>
    <row r="70" customFormat="false" ht="13.5" hidden="false" customHeight="false" outlineLevel="0" collapsed="false">
      <c r="A70" s="59" t="str">
        <f aca="false">IF($B70="","",ROW()-3)</f>
        <v/>
      </c>
      <c r="B70" s="104" t="str">
        <f aca="false">IFERROR(INDEX(_自动清单!$E$4:$E$303,ROW()-3),"")</f>
        <v/>
      </c>
      <c r="C70" s="61" t="str">
        <f aca="false">IF($B70="","",ROUND(SUMIFS(对接源_01水果!$K$4:$K$1203,对接源_01水果!$C$4:$C$1203,$B70,对接源_01水果!$D$4:$D$1203,"成品出库*"),2))</f>
        <v/>
      </c>
      <c r="D70" s="61" t="str">
        <f aca="false">IF($B70="","",ROUND(SUMIFS(对接源_01水果!$K$4:$K$1203,对接源_01水果!$C$4:$C$1203,$B70,对接源_01水果!$D$4:$D$1203,"其他代存*"),2))</f>
        <v/>
      </c>
      <c r="E70" s="61" t="str">
        <f aca="false">IF($B70="","",ROUND(SUMIFS(对接源_02物料!$K$4:$K$1203,对接源_02物料!$C$4:$C$1203,$B70,对接源_02物料!$D$4:$D$1203,"包装物料*"),2))</f>
        <v/>
      </c>
      <c r="F70" s="61" t="str">
        <f aca="false">IF($B70="","",ROUND(SUMIFS(对接源_02物料!$K$4:$K$1203,对接源_02物料!$C$4:$C$1203,$B70,对接源_02物料!$D$4:$D$1203,"周转筐*"),2))</f>
        <v/>
      </c>
      <c r="G70" s="61" t="str">
        <f aca="false">IF($B70="","",ROUND(SUMIFS(对接源_02物料!$K$4:$K$1203,对接源_02物料!$C$4:$C$1203,$B70,对接源_02物料!$D$4:$D$1203,"次果筐*"),2))</f>
        <v/>
      </c>
      <c r="H70" s="61" t="str">
        <f aca="false">IF($B70="","",ROUND(SUM($C70:$G70),2))</f>
        <v/>
      </c>
      <c r="I70" s="61" t="str">
        <f aca="false">IF($B70="","",ROUND(SUMIFS(对接源_01水果!$K$4:$K$1203,对接源_01水果!$C$4:$C$1203,$B70,对接源_01水果!$D$4:$D$1203,"成品出库*",对接源_01水果!$L$4:$L$1203,"已收讫")+SUMIFS(对接源_01水果!$K$4:$K$1203,对接源_01水果!$C$4:$C$1203,$B70,对接源_01水果!$D$4:$D$1203,"成品出库*",对接源_01水果!$L$4:$L$1203,"已付款")+SUMIFS(对接源_01水果!$K$4:$K$1203,对接源_01水果!$C$4:$C$1203,$B70,对接源_01水果!$D$4:$D$1203,"其他代存*",对接源_01水果!$L$4:$L$1203,"已收讫")+SUMIFS(对接源_01水果!$K$4:$K$1203,对接源_01水果!$C$4:$C$1203,$B70,对接源_01水果!$D$4:$D$1203,"其他代存*",对接源_01水果!$L$4:$L$1203,"已付款")+SUMIFS(对接源_02物料!$K$4:$K$1203,对接源_02物料!$C$4:$C$1203,$B70,对接源_02物料!$D$4:$D$1203,"包装物料*",对接源_02物料!$L$4:$L$1203,"已收讫")+SUMIFS(对接源_02物料!$K$4:$K$1203,对接源_02物料!$C$4:$C$1203,$B70,对接源_02物料!$D$4:$D$1203,"包装物料*",对接源_02物料!$L$4:$L$1203,"已付款")+SUMIFS(对接源_02物料!$K$4:$K$1203,对接源_02物料!$C$4:$C$1203,$B70,对接源_02物料!$D$4:$D$1203,"周转筐*",对接源_02物料!$L$4:$L$1203,"已收讫")+SUMIFS(对接源_02物料!$K$4:$K$1203,对接源_02物料!$C$4:$C$1203,$B70,对接源_02物料!$D$4:$D$1203,"周转筐*",对接源_02物料!$L$4:$L$1203,"已付款")+SUMIFS(对接源_02物料!$K$4:$K$1203,对接源_02物料!$C$4:$C$1203,$B70,对接源_02物料!$D$4:$D$1203,"次果筐*",对接源_02物料!$L$4:$L$1203,"已收讫")+SUMIFS(对接源_02物料!$K$4:$K$1203,对接源_02物料!$C$4:$C$1203,$B70,对接源_02物料!$D$4:$D$1203,"次果筐*",对接源_02物料!$L$4:$L$1203,"已付款"),2))</f>
        <v/>
      </c>
      <c r="J70" s="61" t="str">
        <f aca="false">IF($B70="","",ROUND(N($H70)-N($I70),2))</f>
        <v/>
      </c>
      <c r="K70" s="59" t="str">
        <f aca="false">IF($B70="","",IF(ROUND(N($J70),2)&gt;0,"对方欠款",IF(ROUND(N($J70),2)&lt;0,"我方欠款","已两清")))</f>
        <v/>
      </c>
      <c r="L70" s="105"/>
    </row>
    <row r="71" customFormat="false" ht="13.5" hidden="false" customHeight="false" outlineLevel="0" collapsed="false">
      <c r="A71" s="59" t="str">
        <f aca="false">IF($B71="","",ROW()-3)</f>
        <v/>
      </c>
      <c r="B71" s="104" t="str">
        <f aca="false">IFERROR(INDEX(_自动清单!$E$4:$E$303,ROW()-3),"")</f>
        <v/>
      </c>
      <c r="C71" s="61" t="str">
        <f aca="false">IF($B71="","",ROUND(SUMIFS(对接源_01水果!$K$4:$K$1203,对接源_01水果!$C$4:$C$1203,$B71,对接源_01水果!$D$4:$D$1203,"成品出库*"),2))</f>
        <v/>
      </c>
      <c r="D71" s="61" t="str">
        <f aca="false">IF($B71="","",ROUND(SUMIFS(对接源_01水果!$K$4:$K$1203,对接源_01水果!$C$4:$C$1203,$B71,对接源_01水果!$D$4:$D$1203,"其他代存*"),2))</f>
        <v/>
      </c>
      <c r="E71" s="61" t="str">
        <f aca="false">IF($B71="","",ROUND(SUMIFS(对接源_02物料!$K$4:$K$1203,对接源_02物料!$C$4:$C$1203,$B71,对接源_02物料!$D$4:$D$1203,"包装物料*"),2))</f>
        <v/>
      </c>
      <c r="F71" s="61" t="str">
        <f aca="false">IF($B71="","",ROUND(SUMIFS(对接源_02物料!$K$4:$K$1203,对接源_02物料!$C$4:$C$1203,$B71,对接源_02物料!$D$4:$D$1203,"周转筐*"),2))</f>
        <v/>
      </c>
      <c r="G71" s="61" t="str">
        <f aca="false">IF($B71="","",ROUND(SUMIFS(对接源_02物料!$K$4:$K$1203,对接源_02物料!$C$4:$C$1203,$B71,对接源_02物料!$D$4:$D$1203,"次果筐*"),2))</f>
        <v/>
      </c>
      <c r="H71" s="61" t="str">
        <f aca="false">IF($B71="","",ROUND(SUM($C71:$G71),2))</f>
        <v/>
      </c>
      <c r="I71" s="61" t="str">
        <f aca="false">IF($B71="","",ROUND(SUMIFS(对接源_01水果!$K$4:$K$1203,对接源_01水果!$C$4:$C$1203,$B71,对接源_01水果!$D$4:$D$1203,"成品出库*",对接源_01水果!$L$4:$L$1203,"已收讫")+SUMIFS(对接源_01水果!$K$4:$K$1203,对接源_01水果!$C$4:$C$1203,$B71,对接源_01水果!$D$4:$D$1203,"成品出库*",对接源_01水果!$L$4:$L$1203,"已付款")+SUMIFS(对接源_01水果!$K$4:$K$1203,对接源_01水果!$C$4:$C$1203,$B71,对接源_01水果!$D$4:$D$1203,"其他代存*",对接源_01水果!$L$4:$L$1203,"已收讫")+SUMIFS(对接源_01水果!$K$4:$K$1203,对接源_01水果!$C$4:$C$1203,$B71,对接源_01水果!$D$4:$D$1203,"其他代存*",对接源_01水果!$L$4:$L$1203,"已付款")+SUMIFS(对接源_02物料!$K$4:$K$1203,对接源_02物料!$C$4:$C$1203,$B71,对接源_02物料!$D$4:$D$1203,"包装物料*",对接源_02物料!$L$4:$L$1203,"已收讫")+SUMIFS(对接源_02物料!$K$4:$K$1203,对接源_02物料!$C$4:$C$1203,$B71,对接源_02物料!$D$4:$D$1203,"包装物料*",对接源_02物料!$L$4:$L$1203,"已付款")+SUMIFS(对接源_02物料!$K$4:$K$1203,对接源_02物料!$C$4:$C$1203,$B71,对接源_02物料!$D$4:$D$1203,"周转筐*",对接源_02物料!$L$4:$L$1203,"已收讫")+SUMIFS(对接源_02物料!$K$4:$K$1203,对接源_02物料!$C$4:$C$1203,$B71,对接源_02物料!$D$4:$D$1203,"周转筐*",对接源_02物料!$L$4:$L$1203,"已付款")+SUMIFS(对接源_02物料!$K$4:$K$1203,对接源_02物料!$C$4:$C$1203,$B71,对接源_02物料!$D$4:$D$1203,"次果筐*",对接源_02物料!$L$4:$L$1203,"已收讫")+SUMIFS(对接源_02物料!$K$4:$K$1203,对接源_02物料!$C$4:$C$1203,$B71,对接源_02物料!$D$4:$D$1203,"次果筐*",对接源_02物料!$L$4:$L$1203,"已付款"),2))</f>
        <v/>
      </c>
      <c r="J71" s="61" t="str">
        <f aca="false">IF($B71="","",ROUND(N($H71)-N($I71),2))</f>
        <v/>
      </c>
      <c r="K71" s="59" t="str">
        <f aca="false">IF($B71="","",IF(ROUND(N($J71),2)&gt;0,"对方欠款",IF(ROUND(N($J71),2)&lt;0,"我方欠款","已两清")))</f>
        <v/>
      </c>
      <c r="L71" s="105"/>
    </row>
    <row r="72" customFormat="false" ht="13.5" hidden="false" customHeight="false" outlineLevel="0" collapsed="false">
      <c r="A72" s="59" t="str">
        <f aca="false">IF($B72="","",ROW()-3)</f>
        <v/>
      </c>
      <c r="B72" s="104" t="str">
        <f aca="false">IFERROR(INDEX(_自动清单!$E$4:$E$303,ROW()-3),"")</f>
        <v/>
      </c>
      <c r="C72" s="61" t="str">
        <f aca="false">IF($B72="","",ROUND(SUMIFS(对接源_01水果!$K$4:$K$1203,对接源_01水果!$C$4:$C$1203,$B72,对接源_01水果!$D$4:$D$1203,"成品出库*"),2))</f>
        <v/>
      </c>
      <c r="D72" s="61" t="str">
        <f aca="false">IF($B72="","",ROUND(SUMIFS(对接源_01水果!$K$4:$K$1203,对接源_01水果!$C$4:$C$1203,$B72,对接源_01水果!$D$4:$D$1203,"其他代存*"),2))</f>
        <v/>
      </c>
      <c r="E72" s="61" t="str">
        <f aca="false">IF($B72="","",ROUND(SUMIFS(对接源_02物料!$K$4:$K$1203,对接源_02物料!$C$4:$C$1203,$B72,对接源_02物料!$D$4:$D$1203,"包装物料*"),2))</f>
        <v/>
      </c>
      <c r="F72" s="61" t="str">
        <f aca="false">IF($B72="","",ROUND(SUMIFS(对接源_02物料!$K$4:$K$1203,对接源_02物料!$C$4:$C$1203,$B72,对接源_02物料!$D$4:$D$1203,"周转筐*"),2))</f>
        <v/>
      </c>
      <c r="G72" s="61" t="str">
        <f aca="false">IF($B72="","",ROUND(SUMIFS(对接源_02物料!$K$4:$K$1203,对接源_02物料!$C$4:$C$1203,$B72,对接源_02物料!$D$4:$D$1203,"次果筐*"),2))</f>
        <v/>
      </c>
      <c r="H72" s="61" t="str">
        <f aca="false">IF($B72="","",ROUND(SUM($C72:$G72),2))</f>
        <v/>
      </c>
      <c r="I72" s="61" t="str">
        <f aca="false">IF($B72="","",ROUND(SUMIFS(对接源_01水果!$K$4:$K$1203,对接源_01水果!$C$4:$C$1203,$B72,对接源_01水果!$D$4:$D$1203,"成品出库*",对接源_01水果!$L$4:$L$1203,"已收讫")+SUMIFS(对接源_01水果!$K$4:$K$1203,对接源_01水果!$C$4:$C$1203,$B72,对接源_01水果!$D$4:$D$1203,"成品出库*",对接源_01水果!$L$4:$L$1203,"已付款")+SUMIFS(对接源_01水果!$K$4:$K$1203,对接源_01水果!$C$4:$C$1203,$B72,对接源_01水果!$D$4:$D$1203,"其他代存*",对接源_01水果!$L$4:$L$1203,"已收讫")+SUMIFS(对接源_01水果!$K$4:$K$1203,对接源_01水果!$C$4:$C$1203,$B72,对接源_01水果!$D$4:$D$1203,"其他代存*",对接源_01水果!$L$4:$L$1203,"已付款")+SUMIFS(对接源_02物料!$K$4:$K$1203,对接源_02物料!$C$4:$C$1203,$B72,对接源_02物料!$D$4:$D$1203,"包装物料*",对接源_02物料!$L$4:$L$1203,"已收讫")+SUMIFS(对接源_02物料!$K$4:$K$1203,对接源_02物料!$C$4:$C$1203,$B72,对接源_02物料!$D$4:$D$1203,"包装物料*",对接源_02物料!$L$4:$L$1203,"已付款")+SUMIFS(对接源_02物料!$K$4:$K$1203,对接源_02物料!$C$4:$C$1203,$B72,对接源_02物料!$D$4:$D$1203,"周转筐*",对接源_02物料!$L$4:$L$1203,"已收讫")+SUMIFS(对接源_02物料!$K$4:$K$1203,对接源_02物料!$C$4:$C$1203,$B72,对接源_02物料!$D$4:$D$1203,"周转筐*",对接源_02物料!$L$4:$L$1203,"已付款")+SUMIFS(对接源_02物料!$K$4:$K$1203,对接源_02物料!$C$4:$C$1203,$B72,对接源_02物料!$D$4:$D$1203,"次果筐*",对接源_02物料!$L$4:$L$1203,"已收讫")+SUMIFS(对接源_02物料!$K$4:$K$1203,对接源_02物料!$C$4:$C$1203,$B72,对接源_02物料!$D$4:$D$1203,"次果筐*",对接源_02物料!$L$4:$L$1203,"已付款"),2))</f>
        <v/>
      </c>
      <c r="J72" s="61" t="str">
        <f aca="false">IF($B72="","",ROUND(N($H72)-N($I72),2))</f>
        <v/>
      </c>
      <c r="K72" s="59" t="str">
        <f aca="false">IF($B72="","",IF(ROUND(N($J72),2)&gt;0,"对方欠款",IF(ROUND(N($J72),2)&lt;0,"我方欠款","已两清")))</f>
        <v/>
      </c>
      <c r="L72" s="105"/>
    </row>
    <row r="73" customFormat="false" ht="13.5" hidden="false" customHeight="false" outlineLevel="0" collapsed="false">
      <c r="A73" s="59" t="str">
        <f aca="false">IF($B73="","",ROW()-3)</f>
        <v/>
      </c>
      <c r="B73" s="104" t="str">
        <f aca="false">IFERROR(INDEX(_自动清单!$E$4:$E$303,ROW()-3),"")</f>
        <v/>
      </c>
      <c r="C73" s="61" t="str">
        <f aca="false">IF($B73="","",ROUND(SUMIFS(对接源_01水果!$K$4:$K$1203,对接源_01水果!$C$4:$C$1203,$B73,对接源_01水果!$D$4:$D$1203,"成品出库*"),2))</f>
        <v/>
      </c>
      <c r="D73" s="61" t="str">
        <f aca="false">IF($B73="","",ROUND(SUMIFS(对接源_01水果!$K$4:$K$1203,对接源_01水果!$C$4:$C$1203,$B73,对接源_01水果!$D$4:$D$1203,"其他代存*"),2))</f>
        <v/>
      </c>
      <c r="E73" s="61" t="str">
        <f aca="false">IF($B73="","",ROUND(SUMIFS(对接源_02物料!$K$4:$K$1203,对接源_02物料!$C$4:$C$1203,$B73,对接源_02物料!$D$4:$D$1203,"包装物料*"),2))</f>
        <v/>
      </c>
      <c r="F73" s="61" t="str">
        <f aca="false">IF($B73="","",ROUND(SUMIFS(对接源_02物料!$K$4:$K$1203,对接源_02物料!$C$4:$C$1203,$B73,对接源_02物料!$D$4:$D$1203,"周转筐*"),2))</f>
        <v/>
      </c>
      <c r="G73" s="61" t="str">
        <f aca="false">IF($B73="","",ROUND(SUMIFS(对接源_02物料!$K$4:$K$1203,对接源_02物料!$C$4:$C$1203,$B73,对接源_02物料!$D$4:$D$1203,"次果筐*"),2))</f>
        <v/>
      </c>
      <c r="H73" s="61" t="str">
        <f aca="false">IF($B73="","",ROUND(SUM($C73:$G73),2))</f>
        <v/>
      </c>
      <c r="I73" s="61" t="str">
        <f aca="false">IF($B73="","",ROUND(SUMIFS(对接源_01水果!$K$4:$K$1203,对接源_01水果!$C$4:$C$1203,$B73,对接源_01水果!$D$4:$D$1203,"成品出库*",对接源_01水果!$L$4:$L$1203,"已收讫")+SUMIFS(对接源_01水果!$K$4:$K$1203,对接源_01水果!$C$4:$C$1203,$B73,对接源_01水果!$D$4:$D$1203,"成品出库*",对接源_01水果!$L$4:$L$1203,"已付款")+SUMIFS(对接源_01水果!$K$4:$K$1203,对接源_01水果!$C$4:$C$1203,$B73,对接源_01水果!$D$4:$D$1203,"其他代存*",对接源_01水果!$L$4:$L$1203,"已收讫")+SUMIFS(对接源_01水果!$K$4:$K$1203,对接源_01水果!$C$4:$C$1203,$B73,对接源_01水果!$D$4:$D$1203,"其他代存*",对接源_01水果!$L$4:$L$1203,"已付款")+SUMIFS(对接源_02物料!$K$4:$K$1203,对接源_02物料!$C$4:$C$1203,$B73,对接源_02物料!$D$4:$D$1203,"包装物料*",对接源_02物料!$L$4:$L$1203,"已收讫")+SUMIFS(对接源_02物料!$K$4:$K$1203,对接源_02物料!$C$4:$C$1203,$B73,对接源_02物料!$D$4:$D$1203,"包装物料*",对接源_02物料!$L$4:$L$1203,"已付款")+SUMIFS(对接源_02物料!$K$4:$K$1203,对接源_02物料!$C$4:$C$1203,$B73,对接源_02物料!$D$4:$D$1203,"周转筐*",对接源_02物料!$L$4:$L$1203,"已收讫")+SUMIFS(对接源_02物料!$K$4:$K$1203,对接源_02物料!$C$4:$C$1203,$B73,对接源_02物料!$D$4:$D$1203,"周转筐*",对接源_02物料!$L$4:$L$1203,"已付款")+SUMIFS(对接源_02物料!$K$4:$K$1203,对接源_02物料!$C$4:$C$1203,$B73,对接源_02物料!$D$4:$D$1203,"次果筐*",对接源_02物料!$L$4:$L$1203,"已收讫")+SUMIFS(对接源_02物料!$K$4:$K$1203,对接源_02物料!$C$4:$C$1203,$B73,对接源_02物料!$D$4:$D$1203,"次果筐*",对接源_02物料!$L$4:$L$1203,"已付款"),2))</f>
        <v/>
      </c>
      <c r="J73" s="61" t="str">
        <f aca="false">IF($B73="","",ROUND(N($H73)-N($I73),2))</f>
        <v/>
      </c>
      <c r="K73" s="59" t="str">
        <f aca="false">IF($B73="","",IF(ROUND(N($J73),2)&gt;0,"对方欠款",IF(ROUND(N($J73),2)&lt;0,"我方欠款","已两清")))</f>
        <v/>
      </c>
      <c r="L73" s="105"/>
    </row>
    <row r="74" customFormat="false" ht="13.5" hidden="false" customHeight="false" outlineLevel="0" collapsed="false">
      <c r="A74" s="59" t="str">
        <f aca="false">IF($B74="","",ROW()-3)</f>
        <v/>
      </c>
      <c r="B74" s="104" t="str">
        <f aca="false">IFERROR(INDEX(_自动清单!$E$4:$E$303,ROW()-3),"")</f>
        <v/>
      </c>
      <c r="C74" s="61" t="str">
        <f aca="false">IF($B74="","",ROUND(SUMIFS(对接源_01水果!$K$4:$K$1203,对接源_01水果!$C$4:$C$1203,$B74,对接源_01水果!$D$4:$D$1203,"成品出库*"),2))</f>
        <v/>
      </c>
      <c r="D74" s="61" t="str">
        <f aca="false">IF($B74="","",ROUND(SUMIFS(对接源_01水果!$K$4:$K$1203,对接源_01水果!$C$4:$C$1203,$B74,对接源_01水果!$D$4:$D$1203,"其他代存*"),2))</f>
        <v/>
      </c>
      <c r="E74" s="61" t="str">
        <f aca="false">IF($B74="","",ROUND(SUMIFS(对接源_02物料!$K$4:$K$1203,对接源_02物料!$C$4:$C$1203,$B74,对接源_02物料!$D$4:$D$1203,"包装物料*"),2))</f>
        <v/>
      </c>
      <c r="F74" s="61" t="str">
        <f aca="false">IF($B74="","",ROUND(SUMIFS(对接源_02物料!$K$4:$K$1203,对接源_02物料!$C$4:$C$1203,$B74,对接源_02物料!$D$4:$D$1203,"周转筐*"),2))</f>
        <v/>
      </c>
      <c r="G74" s="61" t="str">
        <f aca="false">IF($B74="","",ROUND(SUMIFS(对接源_02物料!$K$4:$K$1203,对接源_02物料!$C$4:$C$1203,$B74,对接源_02物料!$D$4:$D$1203,"次果筐*"),2))</f>
        <v/>
      </c>
      <c r="H74" s="61" t="str">
        <f aca="false">IF($B74="","",ROUND(SUM($C74:$G74),2))</f>
        <v/>
      </c>
      <c r="I74" s="61" t="str">
        <f aca="false">IF($B74="","",ROUND(SUMIFS(对接源_01水果!$K$4:$K$1203,对接源_01水果!$C$4:$C$1203,$B74,对接源_01水果!$D$4:$D$1203,"成品出库*",对接源_01水果!$L$4:$L$1203,"已收讫")+SUMIFS(对接源_01水果!$K$4:$K$1203,对接源_01水果!$C$4:$C$1203,$B74,对接源_01水果!$D$4:$D$1203,"成品出库*",对接源_01水果!$L$4:$L$1203,"已付款")+SUMIFS(对接源_01水果!$K$4:$K$1203,对接源_01水果!$C$4:$C$1203,$B74,对接源_01水果!$D$4:$D$1203,"其他代存*",对接源_01水果!$L$4:$L$1203,"已收讫")+SUMIFS(对接源_01水果!$K$4:$K$1203,对接源_01水果!$C$4:$C$1203,$B74,对接源_01水果!$D$4:$D$1203,"其他代存*",对接源_01水果!$L$4:$L$1203,"已付款")+SUMIFS(对接源_02物料!$K$4:$K$1203,对接源_02物料!$C$4:$C$1203,$B74,对接源_02物料!$D$4:$D$1203,"包装物料*",对接源_02物料!$L$4:$L$1203,"已收讫")+SUMIFS(对接源_02物料!$K$4:$K$1203,对接源_02物料!$C$4:$C$1203,$B74,对接源_02物料!$D$4:$D$1203,"包装物料*",对接源_02物料!$L$4:$L$1203,"已付款")+SUMIFS(对接源_02物料!$K$4:$K$1203,对接源_02物料!$C$4:$C$1203,$B74,对接源_02物料!$D$4:$D$1203,"周转筐*",对接源_02物料!$L$4:$L$1203,"已收讫")+SUMIFS(对接源_02物料!$K$4:$K$1203,对接源_02物料!$C$4:$C$1203,$B74,对接源_02物料!$D$4:$D$1203,"周转筐*",对接源_02物料!$L$4:$L$1203,"已付款")+SUMIFS(对接源_02物料!$K$4:$K$1203,对接源_02物料!$C$4:$C$1203,$B74,对接源_02物料!$D$4:$D$1203,"次果筐*",对接源_02物料!$L$4:$L$1203,"已收讫")+SUMIFS(对接源_02物料!$K$4:$K$1203,对接源_02物料!$C$4:$C$1203,$B74,对接源_02物料!$D$4:$D$1203,"次果筐*",对接源_02物料!$L$4:$L$1203,"已付款"),2))</f>
        <v/>
      </c>
      <c r="J74" s="61" t="str">
        <f aca="false">IF($B74="","",ROUND(N($H74)-N($I74),2))</f>
        <v/>
      </c>
      <c r="K74" s="59" t="str">
        <f aca="false">IF($B74="","",IF(ROUND(N($J74),2)&gt;0,"对方欠款",IF(ROUND(N($J74),2)&lt;0,"我方欠款","已两清")))</f>
        <v/>
      </c>
      <c r="L74" s="105"/>
    </row>
    <row r="75" customFormat="false" ht="13.5" hidden="false" customHeight="false" outlineLevel="0" collapsed="false">
      <c r="A75" s="59" t="str">
        <f aca="false">IF($B75="","",ROW()-3)</f>
        <v/>
      </c>
      <c r="B75" s="104" t="str">
        <f aca="false">IFERROR(INDEX(_自动清单!$E$4:$E$303,ROW()-3),"")</f>
        <v/>
      </c>
      <c r="C75" s="61" t="str">
        <f aca="false">IF($B75="","",ROUND(SUMIFS(对接源_01水果!$K$4:$K$1203,对接源_01水果!$C$4:$C$1203,$B75,对接源_01水果!$D$4:$D$1203,"成品出库*"),2))</f>
        <v/>
      </c>
      <c r="D75" s="61" t="str">
        <f aca="false">IF($B75="","",ROUND(SUMIFS(对接源_01水果!$K$4:$K$1203,对接源_01水果!$C$4:$C$1203,$B75,对接源_01水果!$D$4:$D$1203,"其他代存*"),2))</f>
        <v/>
      </c>
      <c r="E75" s="61" t="str">
        <f aca="false">IF($B75="","",ROUND(SUMIFS(对接源_02物料!$K$4:$K$1203,对接源_02物料!$C$4:$C$1203,$B75,对接源_02物料!$D$4:$D$1203,"包装物料*"),2))</f>
        <v/>
      </c>
      <c r="F75" s="61" t="str">
        <f aca="false">IF($B75="","",ROUND(SUMIFS(对接源_02物料!$K$4:$K$1203,对接源_02物料!$C$4:$C$1203,$B75,对接源_02物料!$D$4:$D$1203,"周转筐*"),2))</f>
        <v/>
      </c>
      <c r="G75" s="61" t="str">
        <f aca="false">IF($B75="","",ROUND(SUMIFS(对接源_02物料!$K$4:$K$1203,对接源_02物料!$C$4:$C$1203,$B75,对接源_02物料!$D$4:$D$1203,"次果筐*"),2))</f>
        <v/>
      </c>
      <c r="H75" s="61" t="str">
        <f aca="false">IF($B75="","",ROUND(SUM($C75:$G75),2))</f>
        <v/>
      </c>
      <c r="I75" s="61" t="str">
        <f aca="false">IF($B75="","",ROUND(SUMIFS(对接源_01水果!$K$4:$K$1203,对接源_01水果!$C$4:$C$1203,$B75,对接源_01水果!$D$4:$D$1203,"成品出库*",对接源_01水果!$L$4:$L$1203,"已收讫")+SUMIFS(对接源_01水果!$K$4:$K$1203,对接源_01水果!$C$4:$C$1203,$B75,对接源_01水果!$D$4:$D$1203,"成品出库*",对接源_01水果!$L$4:$L$1203,"已付款")+SUMIFS(对接源_01水果!$K$4:$K$1203,对接源_01水果!$C$4:$C$1203,$B75,对接源_01水果!$D$4:$D$1203,"其他代存*",对接源_01水果!$L$4:$L$1203,"已收讫")+SUMIFS(对接源_01水果!$K$4:$K$1203,对接源_01水果!$C$4:$C$1203,$B75,对接源_01水果!$D$4:$D$1203,"其他代存*",对接源_01水果!$L$4:$L$1203,"已付款")+SUMIFS(对接源_02物料!$K$4:$K$1203,对接源_02物料!$C$4:$C$1203,$B75,对接源_02物料!$D$4:$D$1203,"包装物料*",对接源_02物料!$L$4:$L$1203,"已收讫")+SUMIFS(对接源_02物料!$K$4:$K$1203,对接源_02物料!$C$4:$C$1203,$B75,对接源_02物料!$D$4:$D$1203,"包装物料*",对接源_02物料!$L$4:$L$1203,"已付款")+SUMIFS(对接源_02物料!$K$4:$K$1203,对接源_02物料!$C$4:$C$1203,$B75,对接源_02物料!$D$4:$D$1203,"周转筐*",对接源_02物料!$L$4:$L$1203,"已收讫")+SUMIFS(对接源_02物料!$K$4:$K$1203,对接源_02物料!$C$4:$C$1203,$B75,对接源_02物料!$D$4:$D$1203,"周转筐*",对接源_02物料!$L$4:$L$1203,"已付款")+SUMIFS(对接源_02物料!$K$4:$K$1203,对接源_02物料!$C$4:$C$1203,$B75,对接源_02物料!$D$4:$D$1203,"次果筐*",对接源_02物料!$L$4:$L$1203,"已收讫")+SUMIFS(对接源_02物料!$K$4:$K$1203,对接源_02物料!$C$4:$C$1203,$B75,对接源_02物料!$D$4:$D$1203,"次果筐*",对接源_02物料!$L$4:$L$1203,"已付款"),2))</f>
        <v/>
      </c>
      <c r="J75" s="61" t="str">
        <f aca="false">IF($B75="","",ROUND(N($H75)-N($I75),2))</f>
        <v/>
      </c>
      <c r="K75" s="59" t="str">
        <f aca="false">IF($B75="","",IF(ROUND(N($J75),2)&gt;0,"对方欠款",IF(ROUND(N($J75),2)&lt;0,"我方欠款","已两清")))</f>
        <v/>
      </c>
      <c r="L75" s="105"/>
    </row>
    <row r="76" customFormat="false" ht="13.5" hidden="false" customHeight="false" outlineLevel="0" collapsed="false">
      <c r="A76" s="59" t="str">
        <f aca="false">IF($B76="","",ROW()-3)</f>
        <v/>
      </c>
      <c r="B76" s="104" t="str">
        <f aca="false">IFERROR(INDEX(_自动清单!$E$4:$E$303,ROW()-3),"")</f>
        <v/>
      </c>
      <c r="C76" s="61" t="str">
        <f aca="false">IF($B76="","",ROUND(SUMIFS(对接源_01水果!$K$4:$K$1203,对接源_01水果!$C$4:$C$1203,$B76,对接源_01水果!$D$4:$D$1203,"成品出库*"),2))</f>
        <v/>
      </c>
      <c r="D76" s="61" t="str">
        <f aca="false">IF($B76="","",ROUND(SUMIFS(对接源_01水果!$K$4:$K$1203,对接源_01水果!$C$4:$C$1203,$B76,对接源_01水果!$D$4:$D$1203,"其他代存*"),2))</f>
        <v/>
      </c>
      <c r="E76" s="61" t="str">
        <f aca="false">IF($B76="","",ROUND(SUMIFS(对接源_02物料!$K$4:$K$1203,对接源_02物料!$C$4:$C$1203,$B76,对接源_02物料!$D$4:$D$1203,"包装物料*"),2))</f>
        <v/>
      </c>
      <c r="F76" s="61" t="str">
        <f aca="false">IF($B76="","",ROUND(SUMIFS(对接源_02物料!$K$4:$K$1203,对接源_02物料!$C$4:$C$1203,$B76,对接源_02物料!$D$4:$D$1203,"周转筐*"),2))</f>
        <v/>
      </c>
      <c r="G76" s="61" t="str">
        <f aca="false">IF($B76="","",ROUND(SUMIFS(对接源_02物料!$K$4:$K$1203,对接源_02物料!$C$4:$C$1203,$B76,对接源_02物料!$D$4:$D$1203,"次果筐*"),2))</f>
        <v/>
      </c>
      <c r="H76" s="61" t="str">
        <f aca="false">IF($B76="","",ROUND(SUM($C76:$G76),2))</f>
        <v/>
      </c>
      <c r="I76" s="61" t="str">
        <f aca="false">IF($B76="","",ROUND(SUMIFS(对接源_01水果!$K$4:$K$1203,对接源_01水果!$C$4:$C$1203,$B76,对接源_01水果!$D$4:$D$1203,"成品出库*",对接源_01水果!$L$4:$L$1203,"已收讫")+SUMIFS(对接源_01水果!$K$4:$K$1203,对接源_01水果!$C$4:$C$1203,$B76,对接源_01水果!$D$4:$D$1203,"成品出库*",对接源_01水果!$L$4:$L$1203,"已付款")+SUMIFS(对接源_01水果!$K$4:$K$1203,对接源_01水果!$C$4:$C$1203,$B76,对接源_01水果!$D$4:$D$1203,"其他代存*",对接源_01水果!$L$4:$L$1203,"已收讫")+SUMIFS(对接源_01水果!$K$4:$K$1203,对接源_01水果!$C$4:$C$1203,$B76,对接源_01水果!$D$4:$D$1203,"其他代存*",对接源_01水果!$L$4:$L$1203,"已付款")+SUMIFS(对接源_02物料!$K$4:$K$1203,对接源_02物料!$C$4:$C$1203,$B76,对接源_02物料!$D$4:$D$1203,"包装物料*",对接源_02物料!$L$4:$L$1203,"已收讫")+SUMIFS(对接源_02物料!$K$4:$K$1203,对接源_02物料!$C$4:$C$1203,$B76,对接源_02物料!$D$4:$D$1203,"包装物料*",对接源_02物料!$L$4:$L$1203,"已付款")+SUMIFS(对接源_02物料!$K$4:$K$1203,对接源_02物料!$C$4:$C$1203,$B76,对接源_02物料!$D$4:$D$1203,"周转筐*",对接源_02物料!$L$4:$L$1203,"已收讫")+SUMIFS(对接源_02物料!$K$4:$K$1203,对接源_02物料!$C$4:$C$1203,$B76,对接源_02物料!$D$4:$D$1203,"周转筐*",对接源_02物料!$L$4:$L$1203,"已付款")+SUMIFS(对接源_02物料!$K$4:$K$1203,对接源_02物料!$C$4:$C$1203,$B76,对接源_02物料!$D$4:$D$1203,"次果筐*",对接源_02物料!$L$4:$L$1203,"已收讫")+SUMIFS(对接源_02物料!$K$4:$K$1203,对接源_02物料!$C$4:$C$1203,$B76,对接源_02物料!$D$4:$D$1203,"次果筐*",对接源_02物料!$L$4:$L$1203,"已付款"),2))</f>
        <v/>
      </c>
      <c r="J76" s="61" t="str">
        <f aca="false">IF($B76="","",ROUND(N($H76)-N($I76),2))</f>
        <v/>
      </c>
      <c r="K76" s="59" t="str">
        <f aca="false">IF($B76="","",IF(ROUND(N($J76),2)&gt;0,"对方欠款",IF(ROUND(N($J76),2)&lt;0,"我方欠款","已两清")))</f>
        <v/>
      </c>
      <c r="L76" s="105"/>
    </row>
    <row r="77" customFormat="false" ht="13.5" hidden="false" customHeight="false" outlineLevel="0" collapsed="false">
      <c r="A77" s="59" t="str">
        <f aca="false">IF($B77="","",ROW()-3)</f>
        <v/>
      </c>
      <c r="B77" s="104" t="str">
        <f aca="false">IFERROR(INDEX(_自动清单!$E$4:$E$303,ROW()-3),"")</f>
        <v/>
      </c>
      <c r="C77" s="61" t="str">
        <f aca="false">IF($B77="","",ROUND(SUMIFS(对接源_01水果!$K$4:$K$1203,对接源_01水果!$C$4:$C$1203,$B77,对接源_01水果!$D$4:$D$1203,"成品出库*"),2))</f>
        <v/>
      </c>
      <c r="D77" s="61" t="str">
        <f aca="false">IF($B77="","",ROUND(SUMIFS(对接源_01水果!$K$4:$K$1203,对接源_01水果!$C$4:$C$1203,$B77,对接源_01水果!$D$4:$D$1203,"其他代存*"),2))</f>
        <v/>
      </c>
      <c r="E77" s="61" t="str">
        <f aca="false">IF($B77="","",ROUND(SUMIFS(对接源_02物料!$K$4:$K$1203,对接源_02物料!$C$4:$C$1203,$B77,对接源_02物料!$D$4:$D$1203,"包装物料*"),2))</f>
        <v/>
      </c>
      <c r="F77" s="61" t="str">
        <f aca="false">IF($B77="","",ROUND(SUMIFS(对接源_02物料!$K$4:$K$1203,对接源_02物料!$C$4:$C$1203,$B77,对接源_02物料!$D$4:$D$1203,"周转筐*"),2))</f>
        <v/>
      </c>
      <c r="G77" s="61" t="str">
        <f aca="false">IF($B77="","",ROUND(SUMIFS(对接源_02物料!$K$4:$K$1203,对接源_02物料!$C$4:$C$1203,$B77,对接源_02物料!$D$4:$D$1203,"次果筐*"),2))</f>
        <v/>
      </c>
      <c r="H77" s="61" t="str">
        <f aca="false">IF($B77="","",ROUND(SUM($C77:$G77),2))</f>
        <v/>
      </c>
      <c r="I77" s="61" t="str">
        <f aca="false">IF($B77="","",ROUND(SUMIFS(对接源_01水果!$K$4:$K$1203,对接源_01水果!$C$4:$C$1203,$B77,对接源_01水果!$D$4:$D$1203,"成品出库*",对接源_01水果!$L$4:$L$1203,"已收讫")+SUMIFS(对接源_01水果!$K$4:$K$1203,对接源_01水果!$C$4:$C$1203,$B77,对接源_01水果!$D$4:$D$1203,"成品出库*",对接源_01水果!$L$4:$L$1203,"已付款")+SUMIFS(对接源_01水果!$K$4:$K$1203,对接源_01水果!$C$4:$C$1203,$B77,对接源_01水果!$D$4:$D$1203,"其他代存*",对接源_01水果!$L$4:$L$1203,"已收讫")+SUMIFS(对接源_01水果!$K$4:$K$1203,对接源_01水果!$C$4:$C$1203,$B77,对接源_01水果!$D$4:$D$1203,"其他代存*",对接源_01水果!$L$4:$L$1203,"已付款")+SUMIFS(对接源_02物料!$K$4:$K$1203,对接源_02物料!$C$4:$C$1203,$B77,对接源_02物料!$D$4:$D$1203,"包装物料*",对接源_02物料!$L$4:$L$1203,"已收讫")+SUMIFS(对接源_02物料!$K$4:$K$1203,对接源_02物料!$C$4:$C$1203,$B77,对接源_02物料!$D$4:$D$1203,"包装物料*",对接源_02物料!$L$4:$L$1203,"已付款")+SUMIFS(对接源_02物料!$K$4:$K$1203,对接源_02物料!$C$4:$C$1203,$B77,对接源_02物料!$D$4:$D$1203,"周转筐*",对接源_02物料!$L$4:$L$1203,"已收讫")+SUMIFS(对接源_02物料!$K$4:$K$1203,对接源_02物料!$C$4:$C$1203,$B77,对接源_02物料!$D$4:$D$1203,"周转筐*",对接源_02物料!$L$4:$L$1203,"已付款")+SUMIFS(对接源_02物料!$K$4:$K$1203,对接源_02物料!$C$4:$C$1203,$B77,对接源_02物料!$D$4:$D$1203,"次果筐*",对接源_02物料!$L$4:$L$1203,"已收讫")+SUMIFS(对接源_02物料!$K$4:$K$1203,对接源_02物料!$C$4:$C$1203,$B77,对接源_02物料!$D$4:$D$1203,"次果筐*",对接源_02物料!$L$4:$L$1203,"已付款"),2))</f>
        <v/>
      </c>
      <c r="J77" s="61" t="str">
        <f aca="false">IF($B77="","",ROUND(N($H77)-N($I77),2))</f>
        <v/>
      </c>
      <c r="K77" s="59" t="str">
        <f aca="false">IF($B77="","",IF(ROUND(N($J77),2)&gt;0,"对方欠款",IF(ROUND(N($J77),2)&lt;0,"我方欠款","已两清")))</f>
        <v/>
      </c>
      <c r="L77" s="105"/>
    </row>
    <row r="78" customFormat="false" ht="13.5" hidden="false" customHeight="false" outlineLevel="0" collapsed="false">
      <c r="A78" s="59" t="str">
        <f aca="false">IF($B78="","",ROW()-3)</f>
        <v/>
      </c>
      <c r="B78" s="104" t="str">
        <f aca="false">IFERROR(INDEX(_自动清单!$E$4:$E$303,ROW()-3),"")</f>
        <v/>
      </c>
      <c r="C78" s="61" t="str">
        <f aca="false">IF($B78="","",ROUND(SUMIFS(对接源_01水果!$K$4:$K$1203,对接源_01水果!$C$4:$C$1203,$B78,对接源_01水果!$D$4:$D$1203,"成品出库*"),2))</f>
        <v/>
      </c>
      <c r="D78" s="61" t="str">
        <f aca="false">IF($B78="","",ROUND(SUMIFS(对接源_01水果!$K$4:$K$1203,对接源_01水果!$C$4:$C$1203,$B78,对接源_01水果!$D$4:$D$1203,"其他代存*"),2))</f>
        <v/>
      </c>
      <c r="E78" s="61" t="str">
        <f aca="false">IF($B78="","",ROUND(SUMIFS(对接源_02物料!$K$4:$K$1203,对接源_02物料!$C$4:$C$1203,$B78,对接源_02物料!$D$4:$D$1203,"包装物料*"),2))</f>
        <v/>
      </c>
      <c r="F78" s="61" t="str">
        <f aca="false">IF($B78="","",ROUND(SUMIFS(对接源_02物料!$K$4:$K$1203,对接源_02物料!$C$4:$C$1203,$B78,对接源_02物料!$D$4:$D$1203,"周转筐*"),2))</f>
        <v/>
      </c>
      <c r="G78" s="61" t="str">
        <f aca="false">IF($B78="","",ROUND(SUMIFS(对接源_02物料!$K$4:$K$1203,对接源_02物料!$C$4:$C$1203,$B78,对接源_02物料!$D$4:$D$1203,"次果筐*"),2))</f>
        <v/>
      </c>
      <c r="H78" s="61" t="str">
        <f aca="false">IF($B78="","",ROUND(SUM($C78:$G78),2))</f>
        <v/>
      </c>
      <c r="I78" s="61" t="str">
        <f aca="false">IF($B78="","",ROUND(SUMIFS(对接源_01水果!$K$4:$K$1203,对接源_01水果!$C$4:$C$1203,$B78,对接源_01水果!$D$4:$D$1203,"成品出库*",对接源_01水果!$L$4:$L$1203,"已收讫")+SUMIFS(对接源_01水果!$K$4:$K$1203,对接源_01水果!$C$4:$C$1203,$B78,对接源_01水果!$D$4:$D$1203,"成品出库*",对接源_01水果!$L$4:$L$1203,"已付款")+SUMIFS(对接源_01水果!$K$4:$K$1203,对接源_01水果!$C$4:$C$1203,$B78,对接源_01水果!$D$4:$D$1203,"其他代存*",对接源_01水果!$L$4:$L$1203,"已收讫")+SUMIFS(对接源_01水果!$K$4:$K$1203,对接源_01水果!$C$4:$C$1203,$B78,对接源_01水果!$D$4:$D$1203,"其他代存*",对接源_01水果!$L$4:$L$1203,"已付款")+SUMIFS(对接源_02物料!$K$4:$K$1203,对接源_02物料!$C$4:$C$1203,$B78,对接源_02物料!$D$4:$D$1203,"包装物料*",对接源_02物料!$L$4:$L$1203,"已收讫")+SUMIFS(对接源_02物料!$K$4:$K$1203,对接源_02物料!$C$4:$C$1203,$B78,对接源_02物料!$D$4:$D$1203,"包装物料*",对接源_02物料!$L$4:$L$1203,"已付款")+SUMIFS(对接源_02物料!$K$4:$K$1203,对接源_02物料!$C$4:$C$1203,$B78,对接源_02物料!$D$4:$D$1203,"周转筐*",对接源_02物料!$L$4:$L$1203,"已收讫")+SUMIFS(对接源_02物料!$K$4:$K$1203,对接源_02物料!$C$4:$C$1203,$B78,对接源_02物料!$D$4:$D$1203,"周转筐*",对接源_02物料!$L$4:$L$1203,"已付款")+SUMIFS(对接源_02物料!$K$4:$K$1203,对接源_02物料!$C$4:$C$1203,$B78,对接源_02物料!$D$4:$D$1203,"次果筐*",对接源_02物料!$L$4:$L$1203,"已收讫")+SUMIFS(对接源_02物料!$K$4:$K$1203,对接源_02物料!$C$4:$C$1203,$B78,对接源_02物料!$D$4:$D$1203,"次果筐*",对接源_02物料!$L$4:$L$1203,"已付款"),2))</f>
        <v/>
      </c>
      <c r="J78" s="61" t="str">
        <f aca="false">IF($B78="","",ROUND(N($H78)-N($I78),2))</f>
        <v/>
      </c>
      <c r="K78" s="59" t="str">
        <f aca="false">IF($B78="","",IF(ROUND(N($J78),2)&gt;0,"对方欠款",IF(ROUND(N($J78),2)&lt;0,"我方欠款","已两清")))</f>
        <v/>
      </c>
      <c r="L78" s="105"/>
    </row>
    <row r="79" customFormat="false" ht="13.5" hidden="false" customHeight="false" outlineLevel="0" collapsed="false">
      <c r="A79" s="59" t="str">
        <f aca="false">IF($B79="","",ROW()-3)</f>
        <v/>
      </c>
      <c r="B79" s="104" t="str">
        <f aca="false">IFERROR(INDEX(_自动清单!$E$4:$E$303,ROW()-3),"")</f>
        <v/>
      </c>
      <c r="C79" s="61" t="str">
        <f aca="false">IF($B79="","",ROUND(SUMIFS(对接源_01水果!$K$4:$K$1203,对接源_01水果!$C$4:$C$1203,$B79,对接源_01水果!$D$4:$D$1203,"成品出库*"),2))</f>
        <v/>
      </c>
      <c r="D79" s="61" t="str">
        <f aca="false">IF($B79="","",ROUND(SUMIFS(对接源_01水果!$K$4:$K$1203,对接源_01水果!$C$4:$C$1203,$B79,对接源_01水果!$D$4:$D$1203,"其他代存*"),2))</f>
        <v/>
      </c>
      <c r="E79" s="61" t="str">
        <f aca="false">IF($B79="","",ROUND(SUMIFS(对接源_02物料!$K$4:$K$1203,对接源_02物料!$C$4:$C$1203,$B79,对接源_02物料!$D$4:$D$1203,"包装物料*"),2))</f>
        <v/>
      </c>
      <c r="F79" s="61" t="str">
        <f aca="false">IF($B79="","",ROUND(SUMIFS(对接源_02物料!$K$4:$K$1203,对接源_02物料!$C$4:$C$1203,$B79,对接源_02物料!$D$4:$D$1203,"周转筐*"),2))</f>
        <v/>
      </c>
      <c r="G79" s="61" t="str">
        <f aca="false">IF($B79="","",ROUND(SUMIFS(对接源_02物料!$K$4:$K$1203,对接源_02物料!$C$4:$C$1203,$B79,对接源_02物料!$D$4:$D$1203,"次果筐*"),2))</f>
        <v/>
      </c>
      <c r="H79" s="61" t="str">
        <f aca="false">IF($B79="","",ROUND(SUM($C79:$G79),2))</f>
        <v/>
      </c>
      <c r="I79" s="61" t="str">
        <f aca="false">IF($B79="","",ROUND(SUMIFS(对接源_01水果!$K$4:$K$1203,对接源_01水果!$C$4:$C$1203,$B79,对接源_01水果!$D$4:$D$1203,"成品出库*",对接源_01水果!$L$4:$L$1203,"已收讫")+SUMIFS(对接源_01水果!$K$4:$K$1203,对接源_01水果!$C$4:$C$1203,$B79,对接源_01水果!$D$4:$D$1203,"成品出库*",对接源_01水果!$L$4:$L$1203,"已付款")+SUMIFS(对接源_01水果!$K$4:$K$1203,对接源_01水果!$C$4:$C$1203,$B79,对接源_01水果!$D$4:$D$1203,"其他代存*",对接源_01水果!$L$4:$L$1203,"已收讫")+SUMIFS(对接源_01水果!$K$4:$K$1203,对接源_01水果!$C$4:$C$1203,$B79,对接源_01水果!$D$4:$D$1203,"其他代存*",对接源_01水果!$L$4:$L$1203,"已付款")+SUMIFS(对接源_02物料!$K$4:$K$1203,对接源_02物料!$C$4:$C$1203,$B79,对接源_02物料!$D$4:$D$1203,"包装物料*",对接源_02物料!$L$4:$L$1203,"已收讫")+SUMIFS(对接源_02物料!$K$4:$K$1203,对接源_02物料!$C$4:$C$1203,$B79,对接源_02物料!$D$4:$D$1203,"包装物料*",对接源_02物料!$L$4:$L$1203,"已付款")+SUMIFS(对接源_02物料!$K$4:$K$1203,对接源_02物料!$C$4:$C$1203,$B79,对接源_02物料!$D$4:$D$1203,"周转筐*",对接源_02物料!$L$4:$L$1203,"已收讫")+SUMIFS(对接源_02物料!$K$4:$K$1203,对接源_02物料!$C$4:$C$1203,$B79,对接源_02物料!$D$4:$D$1203,"周转筐*",对接源_02物料!$L$4:$L$1203,"已付款")+SUMIFS(对接源_02物料!$K$4:$K$1203,对接源_02物料!$C$4:$C$1203,$B79,对接源_02物料!$D$4:$D$1203,"次果筐*",对接源_02物料!$L$4:$L$1203,"已收讫")+SUMIFS(对接源_02物料!$K$4:$K$1203,对接源_02物料!$C$4:$C$1203,$B79,对接源_02物料!$D$4:$D$1203,"次果筐*",对接源_02物料!$L$4:$L$1203,"已付款"),2))</f>
        <v/>
      </c>
      <c r="J79" s="61" t="str">
        <f aca="false">IF($B79="","",ROUND(N($H79)-N($I79),2))</f>
        <v/>
      </c>
      <c r="K79" s="59" t="str">
        <f aca="false">IF($B79="","",IF(ROUND(N($J79),2)&gt;0,"对方欠款",IF(ROUND(N($J79),2)&lt;0,"我方欠款","已两清")))</f>
        <v/>
      </c>
      <c r="L79" s="105"/>
    </row>
    <row r="80" customFormat="false" ht="13.5" hidden="false" customHeight="false" outlineLevel="0" collapsed="false">
      <c r="A80" s="59" t="str">
        <f aca="false">IF($B80="","",ROW()-3)</f>
        <v/>
      </c>
      <c r="B80" s="104" t="str">
        <f aca="false">IFERROR(INDEX(_自动清单!$E$4:$E$303,ROW()-3),"")</f>
        <v/>
      </c>
      <c r="C80" s="61" t="str">
        <f aca="false">IF($B80="","",ROUND(SUMIFS(对接源_01水果!$K$4:$K$1203,对接源_01水果!$C$4:$C$1203,$B80,对接源_01水果!$D$4:$D$1203,"成品出库*"),2))</f>
        <v/>
      </c>
      <c r="D80" s="61" t="str">
        <f aca="false">IF($B80="","",ROUND(SUMIFS(对接源_01水果!$K$4:$K$1203,对接源_01水果!$C$4:$C$1203,$B80,对接源_01水果!$D$4:$D$1203,"其他代存*"),2))</f>
        <v/>
      </c>
      <c r="E80" s="61" t="str">
        <f aca="false">IF($B80="","",ROUND(SUMIFS(对接源_02物料!$K$4:$K$1203,对接源_02物料!$C$4:$C$1203,$B80,对接源_02物料!$D$4:$D$1203,"包装物料*"),2))</f>
        <v/>
      </c>
      <c r="F80" s="61" t="str">
        <f aca="false">IF($B80="","",ROUND(SUMIFS(对接源_02物料!$K$4:$K$1203,对接源_02物料!$C$4:$C$1203,$B80,对接源_02物料!$D$4:$D$1203,"周转筐*"),2))</f>
        <v/>
      </c>
      <c r="G80" s="61" t="str">
        <f aca="false">IF($B80="","",ROUND(SUMIFS(对接源_02物料!$K$4:$K$1203,对接源_02物料!$C$4:$C$1203,$B80,对接源_02物料!$D$4:$D$1203,"次果筐*"),2))</f>
        <v/>
      </c>
      <c r="H80" s="61" t="str">
        <f aca="false">IF($B80="","",ROUND(SUM($C80:$G80),2))</f>
        <v/>
      </c>
      <c r="I80" s="61" t="str">
        <f aca="false">IF($B80="","",ROUND(SUMIFS(对接源_01水果!$K$4:$K$1203,对接源_01水果!$C$4:$C$1203,$B80,对接源_01水果!$D$4:$D$1203,"成品出库*",对接源_01水果!$L$4:$L$1203,"已收讫")+SUMIFS(对接源_01水果!$K$4:$K$1203,对接源_01水果!$C$4:$C$1203,$B80,对接源_01水果!$D$4:$D$1203,"成品出库*",对接源_01水果!$L$4:$L$1203,"已付款")+SUMIFS(对接源_01水果!$K$4:$K$1203,对接源_01水果!$C$4:$C$1203,$B80,对接源_01水果!$D$4:$D$1203,"其他代存*",对接源_01水果!$L$4:$L$1203,"已收讫")+SUMIFS(对接源_01水果!$K$4:$K$1203,对接源_01水果!$C$4:$C$1203,$B80,对接源_01水果!$D$4:$D$1203,"其他代存*",对接源_01水果!$L$4:$L$1203,"已付款")+SUMIFS(对接源_02物料!$K$4:$K$1203,对接源_02物料!$C$4:$C$1203,$B80,对接源_02物料!$D$4:$D$1203,"包装物料*",对接源_02物料!$L$4:$L$1203,"已收讫")+SUMIFS(对接源_02物料!$K$4:$K$1203,对接源_02物料!$C$4:$C$1203,$B80,对接源_02物料!$D$4:$D$1203,"包装物料*",对接源_02物料!$L$4:$L$1203,"已付款")+SUMIFS(对接源_02物料!$K$4:$K$1203,对接源_02物料!$C$4:$C$1203,$B80,对接源_02物料!$D$4:$D$1203,"周转筐*",对接源_02物料!$L$4:$L$1203,"已收讫")+SUMIFS(对接源_02物料!$K$4:$K$1203,对接源_02物料!$C$4:$C$1203,$B80,对接源_02物料!$D$4:$D$1203,"周转筐*",对接源_02物料!$L$4:$L$1203,"已付款")+SUMIFS(对接源_02物料!$K$4:$K$1203,对接源_02物料!$C$4:$C$1203,$B80,对接源_02物料!$D$4:$D$1203,"次果筐*",对接源_02物料!$L$4:$L$1203,"已收讫")+SUMIFS(对接源_02物料!$K$4:$K$1203,对接源_02物料!$C$4:$C$1203,$B80,对接源_02物料!$D$4:$D$1203,"次果筐*",对接源_02物料!$L$4:$L$1203,"已付款"),2))</f>
        <v/>
      </c>
      <c r="J80" s="61" t="str">
        <f aca="false">IF($B80="","",ROUND(N($H80)-N($I80),2))</f>
        <v/>
      </c>
      <c r="K80" s="59" t="str">
        <f aca="false">IF($B80="","",IF(ROUND(N($J80),2)&gt;0,"对方欠款",IF(ROUND(N($J80),2)&lt;0,"我方欠款","已两清")))</f>
        <v/>
      </c>
      <c r="L80" s="105"/>
    </row>
    <row r="81" customFormat="false" ht="13.5" hidden="false" customHeight="false" outlineLevel="0" collapsed="false">
      <c r="A81" s="59" t="str">
        <f aca="false">IF($B81="","",ROW()-3)</f>
        <v/>
      </c>
      <c r="B81" s="104" t="str">
        <f aca="false">IFERROR(INDEX(_自动清单!$E$4:$E$303,ROW()-3),"")</f>
        <v/>
      </c>
      <c r="C81" s="61" t="str">
        <f aca="false">IF($B81="","",ROUND(SUMIFS(对接源_01水果!$K$4:$K$1203,对接源_01水果!$C$4:$C$1203,$B81,对接源_01水果!$D$4:$D$1203,"成品出库*"),2))</f>
        <v/>
      </c>
      <c r="D81" s="61" t="str">
        <f aca="false">IF($B81="","",ROUND(SUMIFS(对接源_01水果!$K$4:$K$1203,对接源_01水果!$C$4:$C$1203,$B81,对接源_01水果!$D$4:$D$1203,"其他代存*"),2))</f>
        <v/>
      </c>
      <c r="E81" s="61" t="str">
        <f aca="false">IF($B81="","",ROUND(SUMIFS(对接源_02物料!$K$4:$K$1203,对接源_02物料!$C$4:$C$1203,$B81,对接源_02物料!$D$4:$D$1203,"包装物料*"),2))</f>
        <v/>
      </c>
      <c r="F81" s="61" t="str">
        <f aca="false">IF($B81="","",ROUND(SUMIFS(对接源_02物料!$K$4:$K$1203,对接源_02物料!$C$4:$C$1203,$B81,对接源_02物料!$D$4:$D$1203,"周转筐*"),2))</f>
        <v/>
      </c>
      <c r="G81" s="61" t="str">
        <f aca="false">IF($B81="","",ROUND(SUMIFS(对接源_02物料!$K$4:$K$1203,对接源_02物料!$C$4:$C$1203,$B81,对接源_02物料!$D$4:$D$1203,"次果筐*"),2))</f>
        <v/>
      </c>
      <c r="H81" s="61" t="str">
        <f aca="false">IF($B81="","",ROUND(SUM($C81:$G81),2))</f>
        <v/>
      </c>
      <c r="I81" s="61" t="str">
        <f aca="false">IF($B81="","",ROUND(SUMIFS(对接源_01水果!$K$4:$K$1203,对接源_01水果!$C$4:$C$1203,$B81,对接源_01水果!$D$4:$D$1203,"成品出库*",对接源_01水果!$L$4:$L$1203,"已收讫")+SUMIFS(对接源_01水果!$K$4:$K$1203,对接源_01水果!$C$4:$C$1203,$B81,对接源_01水果!$D$4:$D$1203,"成品出库*",对接源_01水果!$L$4:$L$1203,"已付款")+SUMIFS(对接源_01水果!$K$4:$K$1203,对接源_01水果!$C$4:$C$1203,$B81,对接源_01水果!$D$4:$D$1203,"其他代存*",对接源_01水果!$L$4:$L$1203,"已收讫")+SUMIFS(对接源_01水果!$K$4:$K$1203,对接源_01水果!$C$4:$C$1203,$B81,对接源_01水果!$D$4:$D$1203,"其他代存*",对接源_01水果!$L$4:$L$1203,"已付款")+SUMIFS(对接源_02物料!$K$4:$K$1203,对接源_02物料!$C$4:$C$1203,$B81,对接源_02物料!$D$4:$D$1203,"包装物料*",对接源_02物料!$L$4:$L$1203,"已收讫")+SUMIFS(对接源_02物料!$K$4:$K$1203,对接源_02物料!$C$4:$C$1203,$B81,对接源_02物料!$D$4:$D$1203,"包装物料*",对接源_02物料!$L$4:$L$1203,"已付款")+SUMIFS(对接源_02物料!$K$4:$K$1203,对接源_02物料!$C$4:$C$1203,$B81,对接源_02物料!$D$4:$D$1203,"周转筐*",对接源_02物料!$L$4:$L$1203,"已收讫")+SUMIFS(对接源_02物料!$K$4:$K$1203,对接源_02物料!$C$4:$C$1203,$B81,对接源_02物料!$D$4:$D$1203,"周转筐*",对接源_02物料!$L$4:$L$1203,"已付款")+SUMIFS(对接源_02物料!$K$4:$K$1203,对接源_02物料!$C$4:$C$1203,$B81,对接源_02物料!$D$4:$D$1203,"次果筐*",对接源_02物料!$L$4:$L$1203,"已收讫")+SUMIFS(对接源_02物料!$K$4:$K$1203,对接源_02物料!$C$4:$C$1203,$B81,对接源_02物料!$D$4:$D$1203,"次果筐*",对接源_02物料!$L$4:$L$1203,"已付款"),2))</f>
        <v/>
      </c>
      <c r="J81" s="61" t="str">
        <f aca="false">IF($B81="","",ROUND(N($H81)-N($I81),2))</f>
        <v/>
      </c>
      <c r="K81" s="59" t="str">
        <f aca="false">IF($B81="","",IF(ROUND(N($J81),2)&gt;0,"对方欠款",IF(ROUND(N($J81),2)&lt;0,"我方欠款","已两清")))</f>
        <v/>
      </c>
      <c r="L81" s="105"/>
    </row>
    <row r="82" customFormat="false" ht="13.5" hidden="false" customHeight="false" outlineLevel="0" collapsed="false">
      <c r="A82" s="59" t="str">
        <f aca="false">IF($B82="","",ROW()-3)</f>
        <v/>
      </c>
      <c r="B82" s="104" t="str">
        <f aca="false">IFERROR(INDEX(_自动清单!$E$4:$E$303,ROW()-3),"")</f>
        <v/>
      </c>
      <c r="C82" s="61" t="str">
        <f aca="false">IF($B82="","",ROUND(SUMIFS(对接源_01水果!$K$4:$K$1203,对接源_01水果!$C$4:$C$1203,$B82,对接源_01水果!$D$4:$D$1203,"成品出库*"),2))</f>
        <v/>
      </c>
      <c r="D82" s="61" t="str">
        <f aca="false">IF($B82="","",ROUND(SUMIFS(对接源_01水果!$K$4:$K$1203,对接源_01水果!$C$4:$C$1203,$B82,对接源_01水果!$D$4:$D$1203,"其他代存*"),2))</f>
        <v/>
      </c>
      <c r="E82" s="61" t="str">
        <f aca="false">IF($B82="","",ROUND(SUMIFS(对接源_02物料!$K$4:$K$1203,对接源_02物料!$C$4:$C$1203,$B82,对接源_02物料!$D$4:$D$1203,"包装物料*"),2))</f>
        <v/>
      </c>
      <c r="F82" s="61" t="str">
        <f aca="false">IF($B82="","",ROUND(SUMIFS(对接源_02物料!$K$4:$K$1203,对接源_02物料!$C$4:$C$1203,$B82,对接源_02物料!$D$4:$D$1203,"周转筐*"),2))</f>
        <v/>
      </c>
      <c r="G82" s="61" t="str">
        <f aca="false">IF($B82="","",ROUND(SUMIFS(对接源_02物料!$K$4:$K$1203,对接源_02物料!$C$4:$C$1203,$B82,对接源_02物料!$D$4:$D$1203,"次果筐*"),2))</f>
        <v/>
      </c>
      <c r="H82" s="61" t="str">
        <f aca="false">IF($B82="","",ROUND(SUM($C82:$G82),2))</f>
        <v/>
      </c>
      <c r="I82" s="61" t="str">
        <f aca="false">IF($B82="","",ROUND(SUMIFS(对接源_01水果!$K$4:$K$1203,对接源_01水果!$C$4:$C$1203,$B82,对接源_01水果!$D$4:$D$1203,"成品出库*",对接源_01水果!$L$4:$L$1203,"已收讫")+SUMIFS(对接源_01水果!$K$4:$K$1203,对接源_01水果!$C$4:$C$1203,$B82,对接源_01水果!$D$4:$D$1203,"成品出库*",对接源_01水果!$L$4:$L$1203,"已付款")+SUMIFS(对接源_01水果!$K$4:$K$1203,对接源_01水果!$C$4:$C$1203,$B82,对接源_01水果!$D$4:$D$1203,"其他代存*",对接源_01水果!$L$4:$L$1203,"已收讫")+SUMIFS(对接源_01水果!$K$4:$K$1203,对接源_01水果!$C$4:$C$1203,$B82,对接源_01水果!$D$4:$D$1203,"其他代存*",对接源_01水果!$L$4:$L$1203,"已付款")+SUMIFS(对接源_02物料!$K$4:$K$1203,对接源_02物料!$C$4:$C$1203,$B82,对接源_02物料!$D$4:$D$1203,"包装物料*",对接源_02物料!$L$4:$L$1203,"已收讫")+SUMIFS(对接源_02物料!$K$4:$K$1203,对接源_02物料!$C$4:$C$1203,$B82,对接源_02物料!$D$4:$D$1203,"包装物料*",对接源_02物料!$L$4:$L$1203,"已付款")+SUMIFS(对接源_02物料!$K$4:$K$1203,对接源_02物料!$C$4:$C$1203,$B82,对接源_02物料!$D$4:$D$1203,"周转筐*",对接源_02物料!$L$4:$L$1203,"已收讫")+SUMIFS(对接源_02物料!$K$4:$K$1203,对接源_02物料!$C$4:$C$1203,$B82,对接源_02物料!$D$4:$D$1203,"周转筐*",对接源_02物料!$L$4:$L$1203,"已付款")+SUMIFS(对接源_02物料!$K$4:$K$1203,对接源_02物料!$C$4:$C$1203,$B82,对接源_02物料!$D$4:$D$1203,"次果筐*",对接源_02物料!$L$4:$L$1203,"已收讫")+SUMIFS(对接源_02物料!$K$4:$K$1203,对接源_02物料!$C$4:$C$1203,$B82,对接源_02物料!$D$4:$D$1203,"次果筐*",对接源_02物料!$L$4:$L$1203,"已付款"),2))</f>
        <v/>
      </c>
      <c r="J82" s="61" t="str">
        <f aca="false">IF($B82="","",ROUND(N($H82)-N($I82),2))</f>
        <v/>
      </c>
      <c r="K82" s="59" t="str">
        <f aca="false">IF($B82="","",IF(ROUND(N($J82),2)&gt;0,"对方欠款",IF(ROUND(N($J82),2)&lt;0,"我方欠款","已两清")))</f>
        <v/>
      </c>
      <c r="L82" s="105"/>
    </row>
    <row r="83" customFormat="false" ht="13.5" hidden="false" customHeight="false" outlineLevel="0" collapsed="false">
      <c r="A83" s="59" t="str">
        <f aca="false">IF($B83="","",ROW()-3)</f>
        <v/>
      </c>
      <c r="B83" s="104" t="str">
        <f aca="false">IFERROR(INDEX(_自动清单!$E$4:$E$303,ROW()-3),"")</f>
        <v/>
      </c>
      <c r="C83" s="61" t="str">
        <f aca="false">IF($B83="","",ROUND(SUMIFS(对接源_01水果!$K$4:$K$1203,对接源_01水果!$C$4:$C$1203,$B83,对接源_01水果!$D$4:$D$1203,"成品出库*"),2))</f>
        <v/>
      </c>
      <c r="D83" s="61" t="str">
        <f aca="false">IF($B83="","",ROUND(SUMIFS(对接源_01水果!$K$4:$K$1203,对接源_01水果!$C$4:$C$1203,$B83,对接源_01水果!$D$4:$D$1203,"其他代存*"),2))</f>
        <v/>
      </c>
      <c r="E83" s="61" t="str">
        <f aca="false">IF($B83="","",ROUND(SUMIFS(对接源_02物料!$K$4:$K$1203,对接源_02物料!$C$4:$C$1203,$B83,对接源_02物料!$D$4:$D$1203,"包装物料*"),2))</f>
        <v/>
      </c>
      <c r="F83" s="61" t="str">
        <f aca="false">IF($B83="","",ROUND(SUMIFS(对接源_02物料!$K$4:$K$1203,对接源_02物料!$C$4:$C$1203,$B83,对接源_02物料!$D$4:$D$1203,"周转筐*"),2))</f>
        <v/>
      </c>
      <c r="G83" s="61" t="str">
        <f aca="false">IF($B83="","",ROUND(SUMIFS(对接源_02物料!$K$4:$K$1203,对接源_02物料!$C$4:$C$1203,$B83,对接源_02物料!$D$4:$D$1203,"次果筐*"),2))</f>
        <v/>
      </c>
      <c r="H83" s="61" t="str">
        <f aca="false">IF($B83="","",ROUND(SUM($C83:$G83),2))</f>
        <v/>
      </c>
      <c r="I83" s="61" t="str">
        <f aca="false">IF($B83="","",ROUND(SUMIFS(对接源_01水果!$K$4:$K$1203,对接源_01水果!$C$4:$C$1203,$B83,对接源_01水果!$D$4:$D$1203,"成品出库*",对接源_01水果!$L$4:$L$1203,"已收讫")+SUMIFS(对接源_01水果!$K$4:$K$1203,对接源_01水果!$C$4:$C$1203,$B83,对接源_01水果!$D$4:$D$1203,"成品出库*",对接源_01水果!$L$4:$L$1203,"已付款")+SUMIFS(对接源_01水果!$K$4:$K$1203,对接源_01水果!$C$4:$C$1203,$B83,对接源_01水果!$D$4:$D$1203,"其他代存*",对接源_01水果!$L$4:$L$1203,"已收讫")+SUMIFS(对接源_01水果!$K$4:$K$1203,对接源_01水果!$C$4:$C$1203,$B83,对接源_01水果!$D$4:$D$1203,"其他代存*",对接源_01水果!$L$4:$L$1203,"已付款")+SUMIFS(对接源_02物料!$K$4:$K$1203,对接源_02物料!$C$4:$C$1203,$B83,对接源_02物料!$D$4:$D$1203,"包装物料*",对接源_02物料!$L$4:$L$1203,"已收讫")+SUMIFS(对接源_02物料!$K$4:$K$1203,对接源_02物料!$C$4:$C$1203,$B83,对接源_02物料!$D$4:$D$1203,"包装物料*",对接源_02物料!$L$4:$L$1203,"已付款")+SUMIFS(对接源_02物料!$K$4:$K$1203,对接源_02物料!$C$4:$C$1203,$B83,对接源_02物料!$D$4:$D$1203,"周转筐*",对接源_02物料!$L$4:$L$1203,"已收讫")+SUMIFS(对接源_02物料!$K$4:$K$1203,对接源_02物料!$C$4:$C$1203,$B83,对接源_02物料!$D$4:$D$1203,"周转筐*",对接源_02物料!$L$4:$L$1203,"已付款")+SUMIFS(对接源_02物料!$K$4:$K$1203,对接源_02物料!$C$4:$C$1203,$B83,对接源_02物料!$D$4:$D$1203,"次果筐*",对接源_02物料!$L$4:$L$1203,"已收讫")+SUMIFS(对接源_02物料!$K$4:$K$1203,对接源_02物料!$C$4:$C$1203,$B83,对接源_02物料!$D$4:$D$1203,"次果筐*",对接源_02物料!$L$4:$L$1203,"已付款"),2))</f>
        <v/>
      </c>
      <c r="J83" s="61" t="str">
        <f aca="false">IF($B83="","",ROUND(N($H83)-N($I83),2))</f>
        <v/>
      </c>
      <c r="K83" s="59" t="str">
        <f aca="false">IF($B83="","",IF(ROUND(N($J83),2)&gt;0,"对方欠款",IF(ROUND(N($J83),2)&lt;0,"我方欠款","已两清")))</f>
        <v/>
      </c>
      <c r="L83" s="105"/>
    </row>
    <row r="84" customFormat="false" ht="13.5" hidden="false" customHeight="false" outlineLevel="0" collapsed="false">
      <c r="A84" s="59" t="str">
        <f aca="false">IF($B84="","",ROW()-3)</f>
        <v/>
      </c>
      <c r="B84" s="104" t="str">
        <f aca="false">IFERROR(INDEX(_自动清单!$E$4:$E$303,ROW()-3),"")</f>
        <v/>
      </c>
      <c r="C84" s="61" t="str">
        <f aca="false">IF($B84="","",ROUND(SUMIFS(对接源_01水果!$K$4:$K$1203,对接源_01水果!$C$4:$C$1203,$B84,对接源_01水果!$D$4:$D$1203,"成品出库*"),2))</f>
        <v/>
      </c>
      <c r="D84" s="61" t="str">
        <f aca="false">IF($B84="","",ROUND(SUMIFS(对接源_01水果!$K$4:$K$1203,对接源_01水果!$C$4:$C$1203,$B84,对接源_01水果!$D$4:$D$1203,"其他代存*"),2))</f>
        <v/>
      </c>
      <c r="E84" s="61" t="str">
        <f aca="false">IF($B84="","",ROUND(SUMIFS(对接源_02物料!$K$4:$K$1203,对接源_02物料!$C$4:$C$1203,$B84,对接源_02物料!$D$4:$D$1203,"包装物料*"),2))</f>
        <v/>
      </c>
      <c r="F84" s="61" t="str">
        <f aca="false">IF($B84="","",ROUND(SUMIFS(对接源_02物料!$K$4:$K$1203,对接源_02物料!$C$4:$C$1203,$B84,对接源_02物料!$D$4:$D$1203,"周转筐*"),2))</f>
        <v/>
      </c>
      <c r="G84" s="61" t="str">
        <f aca="false">IF($B84="","",ROUND(SUMIFS(对接源_02物料!$K$4:$K$1203,对接源_02物料!$C$4:$C$1203,$B84,对接源_02物料!$D$4:$D$1203,"次果筐*"),2))</f>
        <v/>
      </c>
      <c r="H84" s="61" t="str">
        <f aca="false">IF($B84="","",ROUND(SUM($C84:$G84),2))</f>
        <v/>
      </c>
      <c r="I84" s="61" t="str">
        <f aca="false">IF($B84="","",ROUND(SUMIFS(对接源_01水果!$K$4:$K$1203,对接源_01水果!$C$4:$C$1203,$B84,对接源_01水果!$D$4:$D$1203,"成品出库*",对接源_01水果!$L$4:$L$1203,"已收讫")+SUMIFS(对接源_01水果!$K$4:$K$1203,对接源_01水果!$C$4:$C$1203,$B84,对接源_01水果!$D$4:$D$1203,"成品出库*",对接源_01水果!$L$4:$L$1203,"已付款")+SUMIFS(对接源_01水果!$K$4:$K$1203,对接源_01水果!$C$4:$C$1203,$B84,对接源_01水果!$D$4:$D$1203,"其他代存*",对接源_01水果!$L$4:$L$1203,"已收讫")+SUMIFS(对接源_01水果!$K$4:$K$1203,对接源_01水果!$C$4:$C$1203,$B84,对接源_01水果!$D$4:$D$1203,"其他代存*",对接源_01水果!$L$4:$L$1203,"已付款")+SUMIFS(对接源_02物料!$K$4:$K$1203,对接源_02物料!$C$4:$C$1203,$B84,对接源_02物料!$D$4:$D$1203,"包装物料*",对接源_02物料!$L$4:$L$1203,"已收讫")+SUMIFS(对接源_02物料!$K$4:$K$1203,对接源_02物料!$C$4:$C$1203,$B84,对接源_02物料!$D$4:$D$1203,"包装物料*",对接源_02物料!$L$4:$L$1203,"已付款")+SUMIFS(对接源_02物料!$K$4:$K$1203,对接源_02物料!$C$4:$C$1203,$B84,对接源_02物料!$D$4:$D$1203,"周转筐*",对接源_02物料!$L$4:$L$1203,"已收讫")+SUMIFS(对接源_02物料!$K$4:$K$1203,对接源_02物料!$C$4:$C$1203,$B84,对接源_02物料!$D$4:$D$1203,"周转筐*",对接源_02物料!$L$4:$L$1203,"已付款")+SUMIFS(对接源_02物料!$K$4:$K$1203,对接源_02物料!$C$4:$C$1203,$B84,对接源_02物料!$D$4:$D$1203,"次果筐*",对接源_02物料!$L$4:$L$1203,"已收讫")+SUMIFS(对接源_02物料!$K$4:$K$1203,对接源_02物料!$C$4:$C$1203,$B84,对接源_02物料!$D$4:$D$1203,"次果筐*",对接源_02物料!$L$4:$L$1203,"已付款"),2))</f>
        <v/>
      </c>
      <c r="J84" s="61" t="str">
        <f aca="false">IF($B84="","",ROUND(N($H84)-N($I84),2))</f>
        <v/>
      </c>
      <c r="K84" s="59" t="str">
        <f aca="false">IF($B84="","",IF(ROUND(N($J84),2)&gt;0,"对方欠款",IF(ROUND(N($J84),2)&lt;0,"我方欠款","已两清")))</f>
        <v/>
      </c>
      <c r="L84" s="105"/>
    </row>
    <row r="85" customFormat="false" ht="13.5" hidden="false" customHeight="false" outlineLevel="0" collapsed="false">
      <c r="A85" s="59" t="str">
        <f aca="false">IF($B85="","",ROW()-3)</f>
        <v/>
      </c>
      <c r="B85" s="104" t="str">
        <f aca="false">IFERROR(INDEX(_自动清单!$E$4:$E$303,ROW()-3),"")</f>
        <v/>
      </c>
      <c r="C85" s="61" t="str">
        <f aca="false">IF($B85="","",ROUND(SUMIFS(对接源_01水果!$K$4:$K$1203,对接源_01水果!$C$4:$C$1203,$B85,对接源_01水果!$D$4:$D$1203,"成品出库*"),2))</f>
        <v/>
      </c>
      <c r="D85" s="61" t="str">
        <f aca="false">IF($B85="","",ROUND(SUMIFS(对接源_01水果!$K$4:$K$1203,对接源_01水果!$C$4:$C$1203,$B85,对接源_01水果!$D$4:$D$1203,"其他代存*"),2))</f>
        <v/>
      </c>
      <c r="E85" s="61" t="str">
        <f aca="false">IF($B85="","",ROUND(SUMIFS(对接源_02物料!$K$4:$K$1203,对接源_02物料!$C$4:$C$1203,$B85,对接源_02物料!$D$4:$D$1203,"包装物料*"),2))</f>
        <v/>
      </c>
      <c r="F85" s="61" t="str">
        <f aca="false">IF($B85="","",ROUND(SUMIFS(对接源_02物料!$K$4:$K$1203,对接源_02物料!$C$4:$C$1203,$B85,对接源_02物料!$D$4:$D$1203,"周转筐*"),2))</f>
        <v/>
      </c>
      <c r="G85" s="61" t="str">
        <f aca="false">IF($B85="","",ROUND(SUMIFS(对接源_02物料!$K$4:$K$1203,对接源_02物料!$C$4:$C$1203,$B85,对接源_02物料!$D$4:$D$1203,"次果筐*"),2))</f>
        <v/>
      </c>
      <c r="H85" s="61" t="str">
        <f aca="false">IF($B85="","",ROUND(SUM($C85:$G85),2))</f>
        <v/>
      </c>
      <c r="I85" s="61" t="str">
        <f aca="false">IF($B85="","",ROUND(SUMIFS(对接源_01水果!$K$4:$K$1203,对接源_01水果!$C$4:$C$1203,$B85,对接源_01水果!$D$4:$D$1203,"成品出库*",对接源_01水果!$L$4:$L$1203,"已收讫")+SUMIFS(对接源_01水果!$K$4:$K$1203,对接源_01水果!$C$4:$C$1203,$B85,对接源_01水果!$D$4:$D$1203,"成品出库*",对接源_01水果!$L$4:$L$1203,"已付款")+SUMIFS(对接源_01水果!$K$4:$K$1203,对接源_01水果!$C$4:$C$1203,$B85,对接源_01水果!$D$4:$D$1203,"其他代存*",对接源_01水果!$L$4:$L$1203,"已收讫")+SUMIFS(对接源_01水果!$K$4:$K$1203,对接源_01水果!$C$4:$C$1203,$B85,对接源_01水果!$D$4:$D$1203,"其他代存*",对接源_01水果!$L$4:$L$1203,"已付款")+SUMIFS(对接源_02物料!$K$4:$K$1203,对接源_02物料!$C$4:$C$1203,$B85,对接源_02物料!$D$4:$D$1203,"包装物料*",对接源_02物料!$L$4:$L$1203,"已收讫")+SUMIFS(对接源_02物料!$K$4:$K$1203,对接源_02物料!$C$4:$C$1203,$B85,对接源_02物料!$D$4:$D$1203,"包装物料*",对接源_02物料!$L$4:$L$1203,"已付款")+SUMIFS(对接源_02物料!$K$4:$K$1203,对接源_02物料!$C$4:$C$1203,$B85,对接源_02物料!$D$4:$D$1203,"周转筐*",对接源_02物料!$L$4:$L$1203,"已收讫")+SUMIFS(对接源_02物料!$K$4:$K$1203,对接源_02物料!$C$4:$C$1203,$B85,对接源_02物料!$D$4:$D$1203,"周转筐*",对接源_02物料!$L$4:$L$1203,"已付款")+SUMIFS(对接源_02物料!$K$4:$K$1203,对接源_02物料!$C$4:$C$1203,$B85,对接源_02物料!$D$4:$D$1203,"次果筐*",对接源_02物料!$L$4:$L$1203,"已收讫")+SUMIFS(对接源_02物料!$K$4:$K$1203,对接源_02物料!$C$4:$C$1203,$B85,对接源_02物料!$D$4:$D$1203,"次果筐*",对接源_02物料!$L$4:$L$1203,"已付款"),2))</f>
        <v/>
      </c>
      <c r="J85" s="61" t="str">
        <f aca="false">IF($B85="","",ROUND(N($H85)-N($I85),2))</f>
        <v/>
      </c>
      <c r="K85" s="59" t="str">
        <f aca="false">IF($B85="","",IF(ROUND(N($J85),2)&gt;0,"对方欠款",IF(ROUND(N($J85),2)&lt;0,"我方欠款","已两清")))</f>
        <v/>
      </c>
      <c r="L85" s="105"/>
    </row>
    <row r="86" customFormat="false" ht="13.5" hidden="false" customHeight="false" outlineLevel="0" collapsed="false">
      <c r="A86" s="59" t="str">
        <f aca="false">IF($B86="","",ROW()-3)</f>
        <v/>
      </c>
      <c r="B86" s="104" t="str">
        <f aca="false">IFERROR(INDEX(_自动清单!$E$4:$E$303,ROW()-3),"")</f>
        <v/>
      </c>
      <c r="C86" s="61" t="str">
        <f aca="false">IF($B86="","",ROUND(SUMIFS(对接源_01水果!$K$4:$K$1203,对接源_01水果!$C$4:$C$1203,$B86,对接源_01水果!$D$4:$D$1203,"成品出库*"),2))</f>
        <v/>
      </c>
      <c r="D86" s="61" t="str">
        <f aca="false">IF($B86="","",ROUND(SUMIFS(对接源_01水果!$K$4:$K$1203,对接源_01水果!$C$4:$C$1203,$B86,对接源_01水果!$D$4:$D$1203,"其他代存*"),2))</f>
        <v/>
      </c>
      <c r="E86" s="61" t="str">
        <f aca="false">IF($B86="","",ROUND(SUMIFS(对接源_02物料!$K$4:$K$1203,对接源_02物料!$C$4:$C$1203,$B86,对接源_02物料!$D$4:$D$1203,"包装物料*"),2))</f>
        <v/>
      </c>
      <c r="F86" s="61" t="str">
        <f aca="false">IF($B86="","",ROUND(SUMIFS(对接源_02物料!$K$4:$K$1203,对接源_02物料!$C$4:$C$1203,$B86,对接源_02物料!$D$4:$D$1203,"周转筐*"),2))</f>
        <v/>
      </c>
      <c r="G86" s="61" t="str">
        <f aca="false">IF($B86="","",ROUND(SUMIFS(对接源_02物料!$K$4:$K$1203,对接源_02物料!$C$4:$C$1203,$B86,对接源_02物料!$D$4:$D$1203,"次果筐*"),2))</f>
        <v/>
      </c>
      <c r="H86" s="61" t="str">
        <f aca="false">IF($B86="","",ROUND(SUM($C86:$G86),2))</f>
        <v/>
      </c>
      <c r="I86" s="61" t="str">
        <f aca="false">IF($B86="","",ROUND(SUMIFS(对接源_01水果!$K$4:$K$1203,对接源_01水果!$C$4:$C$1203,$B86,对接源_01水果!$D$4:$D$1203,"成品出库*",对接源_01水果!$L$4:$L$1203,"已收讫")+SUMIFS(对接源_01水果!$K$4:$K$1203,对接源_01水果!$C$4:$C$1203,$B86,对接源_01水果!$D$4:$D$1203,"成品出库*",对接源_01水果!$L$4:$L$1203,"已付款")+SUMIFS(对接源_01水果!$K$4:$K$1203,对接源_01水果!$C$4:$C$1203,$B86,对接源_01水果!$D$4:$D$1203,"其他代存*",对接源_01水果!$L$4:$L$1203,"已收讫")+SUMIFS(对接源_01水果!$K$4:$K$1203,对接源_01水果!$C$4:$C$1203,$B86,对接源_01水果!$D$4:$D$1203,"其他代存*",对接源_01水果!$L$4:$L$1203,"已付款")+SUMIFS(对接源_02物料!$K$4:$K$1203,对接源_02物料!$C$4:$C$1203,$B86,对接源_02物料!$D$4:$D$1203,"包装物料*",对接源_02物料!$L$4:$L$1203,"已收讫")+SUMIFS(对接源_02物料!$K$4:$K$1203,对接源_02物料!$C$4:$C$1203,$B86,对接源_02物料!$D$4:$D$1203,"包装物料*",对接源_02物料!$L$4:$L$1203,"已付款")+SUMIFS(对接源_02物料!$K$4:$K$1203,对接源_02物料!$C$4:$C$1203,$B86,对接源_02物料!$D$4:$D$1203,"周转筐*",对接源_02物料!$L$4:$L$1203,"已收讫")+SUMIFS(对接源_02物料!$K$4:$K$1203,对接源_02物料!$C$4:$C$1203,$B86,对接源_02物料!$D$4:$D$1203,"周转筐*",对接源_02物料!$L$4:$L$1203,"已付款")+SUMIFS(对接源_02物料!$K$4:$K$1203,对接源_02物料!$C$4:$C$1203,$B86,对接源_02物料!$D$4:$D$1203,"次果筐*",对接源_02物料!$L$4:$L$1203,"已收讫")+SUMIFS(对接源_02物料!$K$4:$K$1203,对接源_02物料!$C$4:$C$1203,$B86,对接源_02物料!$D$4:$D$1203,"次果筐*",对接源_02物料!$L$4:$L$1203,"已付款"),2))</f>
        <v/>
      </c>
      <c r="J86" s="61" t="str">
        <f aca="false">IF($B86="","",ROUND(N($H86)-N($I86),2))</f>
        <v/>
      </c>
      <c r="K86" s="59" t="str">
        <f aca="false">IF($B86="","",IF(ROUND(N($J86),2)&gt;0,"对方欠款",IF(ROUND(N($J86),2)&lt;0,"我方欠款","已两清")))</f>
        <v/>
      </c>
      <c r="L86" s="105"/>
    </row>
    <row r="87" customFormat="false" ht="13.5" hidden="false" customHeight="false" outlineLevel="0" collapsed="false">
      <c r="A87" s="59" t="str">
        <f aca="false">IF($B87="","",ROW()-3)</f>
        <v/>
      </c>
      <c r="B87" s="104" t="str">
        <f aca="false">IFERROR(INDEX(_自动清单!$E$4:$E$303,ROW()-3),"")</f>
        <v/>
      </c>
      <c r="C87" s="61" t="str">
        <f aca="false">IF($B87="","",ROUND(SUMIFS(对接源_01水果!$K$4:$K$1203,对接源_01水果!$C$4:$C$1203,$B87,对接源_01水果!$D$4:$D$1203,"成品出库*"),2))</f>
        <v/>
      </c>
      <c r="D87" s="61" t="str">
        <f aca="false">IF($B87="","",ROUND(SUMIFS(对接源_01水果!$K$4:$K$1203,对接源_01水果!$C$4:$C$1203,$B87,对接源_01水果!$D$4:$D$1203,"其他代存*"),2))</f>
        <v/>
      </c>
      <c r="E87" s="61" t="str">
        <f aca="false">IF($B87="","",ROUND(SUMIFS(对接源_02物料!$K$4:$K$1203,对接源_02物料!$C$4:$C$1203,$B87,对接源_02物料!$D$4:$D$1203,"包装物料*"),2))</f>
        <v/>
      </c>
      <c r="F87" s="61" t="str">
        <f aca="false">IF($B87="","",ROUND(SUMIFS(对接源_02物料!$K$4:$K$1203,对接源_02物料!$C$4:$C$1203,$B87,对接源_02物料!$D$4:$D$1203,"周转筐*"),2))</f>
        <v/>
      </c>
      <c r="G87" s="61" t="str">
        <f aca="false">IF($B87="","",ROUND(SUMIFS(对接源_02物料!$K$4:$K$1203,对接源_02物料!$C$4:$C$1203,$B87,对接源_02物料!$D$4:$D$1203,"次果筐*"),2))</f>
        <v/>
      </c>
      <c r="H87" s="61" t="str">
        <f aca="false">IF($B87="","",ROUND(SUM($C87:$G87),2))</f>
        <v/>
      </c>
      <c r="I87" s="61" t="str">
        <f aca="false">IF($B87="","",ROUND(SUMIFS(对接源_01水果!$K$4:$K$1203,对接源_01水果!$C$4:$C$1203,$B87,对接源_01水果!$D$4:$D$1203,"成品出库*",对接源_01水果!$L$4:$L$1203,"已收讫")+SUMIFS(对接源_01水果!$K$4:$K$1203,对接源_01水果!$C$4:$C$1203,$B87,对接源_01水果!$D$4:$D$1203,"成品出库*",对接源_01水果!$L$4:$L$1203,"已付款")+SUMIFS(对接源_01水果!$K$4:$K$1203,对接源_01水果!$C$4:$C$1203,$B87,对接源_01水果!$D$4:$D$1203,"其他代存*",对接源_01水果!$L$4:$L$1203,"已收讫")+SUMIFS(对接源_01水果!$K$4:$K$1203,对接源_01水果!$C$4:$C$1203,$B87,对接源_01水果!$D$4:$D$1203,"其他代存*",对接源_01水果!$L$4:$L$1203,"已付款")+SUMIFS(对接源_02物料!$K$4:$K$1203,对接源_02物料!$C$4:$C$1203,$B87,对接源_02物料!$D$4:$D$1203,"包装物料*",对接源_02物料!$L$4:$L$1203,"已收讫")+SUMIFS(对接源_02物料!$K$4:$K$1203,对接源_02物料!$C$4:$C$1203,$B87,对接源_02物料!$D$4:$D$1203,"包装物料*",对接源_02物料!$L$4:$L$1203,"已付款")+SUMIFS(对接源_02物料!$K$4:$K$1203,对接源_02物料!$C$4:$C$1203,$B87,对接源_02物料!$D$4:$D$1203,"周转筐*",对接源_02物料!$L$4:$L$1203,"已收讫")+SUMIFS(对接源_02物料!$K$4:$K$1203,对接源_02物料!$C$4:$C$1203,$B87,对接源_02物料!$D$4:$D$1203,"周转筐*",对接源_02物料!$L$4:$L$1203,"已付款")+SUMIFS(对接源_02物料!$K$4:$K$1203,对接源_02物料!$C$4:$C$1203,$B87,对接源_02物料!$D$4:$D$1203,"次果筐*",对接源_02物料!$L$4:$L$1203,"已收讫")+SUMIFS(对接源_02物料!$K$4:$K$1203,对接源_02物料!$C$4:$C$1203,$B87,对接源_02物料!$D$4:$D$1203,"次果筐*",对接源_02物料!$L$4:$L$1203,"已付款"),2))</f>
        <v/>
      </c>
      <c r="J87" s="61" t="str">
        <f aca="false">IF($B87="","",ROUND(N($H87)-N($I87),2))</f>
        <v/>
      </c>
      <c r="K87" s="59" t="str">
        <f aca="false">IF($B87="","",IF(ROUND(N($J87),2)&gt;0,"对方欠款",IF(ROUND(N($J87),2)&lt;0,"我方欠款","已两清")))</f>
        <v/>
      </c>
      <c r="L87" s="105"/>
    </row>
    <row r="88" customFormat="false" ht="13.5" hidden="false" customHeight="false" outlineLevel="0" collapsed="false">
      <c r="A88" s="59" t="str">
        <f aca="false">IF($B88="","",ROW()-3)</f>
        <v/>
      </c>
      <c r="B88" s="104" t="str">
        <f aca="false">IFERROR(INDEX(_自动清单!$E$4:$E$303,ROW()-3),"")</f>
        <v/>
      </c>
      <c r="C88" s="61" t="str">
        <f aca="false">IF($B88="","",ROUND(SUMIFS(对接源_01水果!$K$4:$K$1203,对接源_01水果!$C$4:$C$1203,$B88,对接源_01水果!$D$4:$D$1203,"成品出库*"),2))</f>
        <v/>
      </c>
      <c r="D88" s="61" t="str">
        <f aca="false">IF($B88="","",ROUND(SUMIFS(对接源_01水果!$K$4:$K$1203,对接源_01水果!$C$4:$C$1203,$B88,对接源_01水果!$D$4:$D$1203,"其他代存*"),2))</f>
        <v/>
      </c>
      <c r="E88" s="61" t="str">
        <f aca="false">IF($B88="","",ROUND(SUMIFS(对接源_02物料!$K$4:$K$1203,对接源_02物料!$C$4:$C$1203,$B88,对接源_02物料!$D$4:$D$1203,"包装物料*"),2))</f>
        <v/>
      </c>
      <c r="F88" s="61" t="str">
        <f aca="false">IF($B88="","",ROUND(SUMIFS(对接源_02物料!$K$4:$K$1203,对接源_02物料!$C$4:$C$1203,$B88,对接源_02物料!$D$4:$D$1203,"周转筐*"),2))</f>
        <v/>
      </c>
      <c r="G88" s="61" t="str">
        <f aca="false">IF($B88="","",ROUND(SUMIFS(对接源_02物料!$K$4:$K$1203,对接源_02物料!$C$4:$C$1203,$B88,对接源_02物料!$D$4:$D$1203,"次果筐*"),2))</f>
        <v/>
      </c>
      <c r="H88" s="61" t="str">
        <f aca="false">IF($B88="","",ROUND(SUM($C88:$G88),2))</f>
        <v/>
      </c>
      <c r="I88" s="61" t="str">
        <f aca="false">IF($B88="","",ROUND(SUMIFS(对接源_01水果!$K$4:$K$1203,对接源_01水果!$C$4:$C$1203,$B88,对接源_01水果!$D$4:$D$1203,"成品出库*",对接源_01水果!$L$4:$L$1203,"已收讫")+SUMIFS(对接源_01水果!$K$4:$K$1203,对接源_01水果!$C$4:$C$1203,$B88,对接源_01水果!$D$4:$D$1203,"成品出库*",对接源_01水果!$L$4:$L$1203,"已付款")+SUMIFS(对接源_01水果!$K$4:$K$1203,对接源_01水果!$C$4:$C$1203,$B88,对接源_01水果!$D$4:$D$1203,"其他代存*",对接源_01水果!$L$4:$L$1203,"已收讫")+SUMIFS(对接源_01水果!$K$4:$K$1203,对接源_01水果!$C$4:$C$1203,$B88,对接源_01水果!$D$4:$D$1203,"其他代存*",对接源_01水果!$L$4:$L$1203,"已付款")+SUMIFS(对接源_02物料!$K$4:$K$1203,对接源_02物料!$C$4:$C$1203,$B88,对接源_02物料!$D$4:$D$1203,"包装物料*",对接源_02物料!$L$4:$L$1203,"已收讫")+SUMIFS(对接源_02物料!$K$4:$K$1203,对接源_02物料!$C$4:$C$1203,$B88,对接源_02物料!$D$4:$D$1203,"包装物料*",对接源_02物料!$L$4:$L$1203,"已付款")+SUMIFS(对接源_02物料!$K$4:$K$1203,对接源_02物料!$C$4:$C$1203,$B88,对接源_02物料!$D$4:$D$1203,"周转筐*",对接源_02物料!$L$4:$L$1203,"已收讫")+SUMIFS(对接源_02物料!$K$4:$K$1203,对接源_02物料!$C$4:$C$1203,$B88,对接源_02物料!$D$4:$D$1203,"周转筐*",对接源_02物料!$L$4:$L$1203,"已付款")+SUMIFS(对接源_02物料!$K$4:$K$1203,对接源_02物料!$C$4:$C$1203,$B88,对接源_02物料!$D$4:$D$1203,"次果筐*",对接源_02物料!$L$4:$L$1203,"已收讫")+SUMIFS(对接源_02物料!$K$4:$K$1203,对接源_02物料!$C$4:$C$1203,$B88,对接源_02物料!$D$4:$D$1203,"次果筐*",对接源_02物料!$L$4:$L$1203,"已付款"),2))</f>
        <v/>
      </c>
      <c r="J88" s="61" t="str">
        <f aca="false">IF($B88="","",ROUND(N($H88)-N($I88),2))</f>
        <v/>
      </c>
      <c r="K88" s="59" t="str">
        <f aca="false">IF($B88="","",IF(ROUND(N($J88),2)&gt;0,"对方欠款",IF(ROUND(N($J88),2)&lt;0,"我方欠款","已两清")))</f>
        <v/>
      </c>
      <c r="L88" s="105"/>
    </row>
    <row r="89" customFormat="false" ht="13.5" hidden="false" customHeight="false" outlineLevel="0" collapsed="false">
      <c r="A89" s="59" t="str">
        <f aca="false">IF($B89="","",ROW()-3)</f>
        <v/>
      </c>
      <c r="B89" s="104" t="str">
        <f aca="false">IFERROR(INDEX(_自动清单!$E$4:$E$303,ROW()-3),"")</f>
        <v/>
      </c>
      <c r="C89" s="61" t="str">
        <f aca="false">IF($B89="","",ROUND(SUMIFS(对接源_01水果!$K$4:$K$1203,对接源_01水果!$C$4:$C$1203,$B89,对接源_01水果!$D$4:$D$1203,"成品出库*"),2))</f>
        <v/>
      </c>
      <c r="D89" s="61" t="str">
        <f aca="false">IF($B89="","",ROUND(SUMIFS(对接源_01水果!$K$4:$K$1203,对接源_01水果!$C$4:$C$1203,$B89,对接源_01水果!$D$4:$D$1203,"其他代存*"),2))</f>
        <v/>
      </c>
      <c r="E89" s="61" t="str">
        <f aca="false">IF($B89="","",ROUND(SUMIFS(对接源_02物料!$K$4:$K$1203,对接源_02物料!$C$4:$C$1203,$B89,对接源_02物料!$D$4:$D$1203,"包装物料*"),2))</f>
        <v/>
      </c>
      <c r="F89" s="61" t="str">
        <f aca="false">IF($B89="","",ROUND(SUMIFS(对接源_02物料!$K$4:$K$1203,对接源_02物料!$C$4:$C$1203,$B89,对接源_02物料!$D$4:$D$1203,"周转筐*"),2))</f>
        <v/>
      </c>
      <c r="G89" s="61" t="str">
        <f aca="false">IF($B89="","",ROUND(SUMIFS(对接源_02物料!$K$4:$K$1203,对接源_02物料!$C$4:$C$1203,$B89,对接源_02物料!$D$4:$D$1203,"次果筐*"),2))</f>
        <v/>
      </c>
      <c r="H89" s="61" t="str">
        <f aca="false">IF($B89="","",ROUND(SUM($C89:$G89),2))</f>
        <v/>
      </c>
      <c r="I89" s="61" t="str">
        <f aca="false">IF($B89="","",ROUND(SUMIFS(对接源_01水果!$K$4:$K$1203,对接源_01水果!$C$4:$C$1203,$B89,对接源_01水果!$D$4:$D$1203,"成品出库*",对接源_01水果!$L$4:$L$1203,"已收讫")+SUMIFS(对接源_01水果!$K$4:$K$1203,对接源_01水果!$C$4:$C$1203,$B89,对接源_01水果!$D$4:$D$1203,"成品出库*",对接源_01水果!$L$4:$L$1203,"已付款")+SUMIFS(对接源_01水果!$K$4:$K$1203,对接源_01水果!$C$4:$C$1203,$B89,对接源_01水果!$D$4:$D$1203,"其他代存*",对接源_01水果!$L$4:$L$1203,"已收讫")+SUMIFS(对接源_01水果!$K$4:$K$1203,对接源_01水果!$C$4:$C$1203,$B89,对接源_01水果!$D$4:$D$1203,"其他代存*",对接源_01水果!$L$4:$L$1203,"已付款")+SUMIFS(对接源_02物料!$K$4:$K$1203,对接源_02物料!$C$4:$C$1203,$B89,对接源_02物料!$D$4:$D$1203,"包装物料*",对接源_02物料!$L$4:$L$1203,"已收讫")+SUMIFS(对接源_02物料!$K$4:$K$1203,对接源_02物料!$C$4:$C$1203,$B89,对接源_02物料!$D$4:$D$1203,"包装物料*",对接源_02物料!$L$4:$L$1203,"已付款")+SUMIFS(对接源_02物料!$K$4:$K$1203,对接源_02物料!$C$4:$C$1203,$B89,对接源_02物料!$D$4:$D$1203,"周转筐*",对接源_02物料!$L$4:$L$1203,"已收讫")+SUMIFS(对接源_02物料!$K$4:$K$1203,对接源_02物料!$C$4:$C$1203,$B89,对接源_02物料!$D$4:$D$1203,"周转筐*",对接源_02物料!$L$4:$L$1203,"已付款")+SUMIFS(对接源_02物料!$K$4:$K$1203,对接源_02物料!$C$4:$C$1203,$B89,对接源_02物料!$D$4:$D$1203,"次果筐*",对接源_02物料!$L$4:$L$1203,"已收讫")+SUMIFS(对接源_02物料!$K$4:$K$1203,对接源_02物料!$C$4:$C$1203,$B89,对接源_02物料!$D$4:$D$1203,"次果筐*",对接源_02物料!$L$4:$L$1203,"已付款"),2))</f>
        <v/>
      </c>
      <c r="J89" s="61" t="str">
        <f aca="false">IF($B89="","",ROUND(N($H89)-N($I89),2))</f>
        <v/>
      </c>
      <c r="K89" s="59" t="str">
        <f aca="false">IF($B89="","",IF(ROUND(N($J89),2)&gt;0,"对方欠款",IF(ROUND(N($J89),2)&lt;0,"我方欠款","已两清")))</f>
        <v/>
      </c>
      <c r="L89" s="105"/>
    </row>
    <row r="90" customFormat="false" ht="13.5" hidden="false" customHeight="false" outlineLevel="0" collapsed="false">
      <c r="A90" s="59" t="str">
        <f aca="false">IF($B90="","",ROW()-3)</f>
        <v/>
      </c>
      <c r="B90" s="104" t="str">
        <f aca="false">IFERROR(INDEX(_自动清单!$E$4:$E$303,ROW()-3),"")</f>
        <v/>
      </c>
      <c r="C90" s="61" t="str">
        <f aca="false">IF($B90="","",ROUND(SUMIFS(对接源_01水果!$K$4:$K$1203,对接源_01水果!$C$4:$C$1203,$B90,对接源_01水果!$D$4:$D$1203,"成品出库*"),2))</f>
        <v/>
      </c>
      <c r="D90" s="61" t="str">
        <f aca="false">IF($B90="","",ROUND(SUMIFS(对接源_01水果!$K$4:$K$1203,对接源_01水果!$C$4:$C$1203,$B90,对接源_01水果!$D$4:$D$1203,"其他代存*"),2))</f>
        <v/>
      </c>
      <c r="E90" s="61" t="str">
        <f aca="false">IF($B90="","",ROUND(SUMIFS(对接源_02物料!$K$4:$K$1203,对接源_02物料!$C$4:$C$1203,$B90,对接源_02物料!$D$4:$D$1203,"包装物料*"),2))</f>
        <v/>
      </c>
      <c r="F90" s="61" t="str">
        <f aca="false">IF($B90="","",ROUND(SUMIFS(对接源_02物料!$K$4:$K$1203,对接源_02物料!$C$4:$C$1203,$B90,对接源_02物料!$D$4:$D$1203,"周转筐*"),2))</f>
        <v/>
      </c>
      <c r="G90" s="61" t="str">
        <f aca="false">IF($B90="","",ROUND(SUMIFS(对接源_02物料!$K$4:$K$1203,对接源_02物料!$C$4:$C$1203,$B90,对接源_02物料!$D$4:$D$1203,"次果筐*"),2))</f>
        <v/>
      </c>
      <c r="H90" s="61" t="str">
        <f aca="false">IF($B90="","",ROUND(SUM($C90:$G90),2))</f>
        <v/>
      </c>
      <c r="I90" s="61" t="str">
        <f aca="false">IF($B90="","",ROUND(SUMIFS(对接源_01水果!$K$4:$K$1203,对接源_01水果!$C$4:$C$1203,$B90,对接源_01水果!$D$4:$D$1203,"成品出库*",对接源_01水果!$L$4:$L$1203,"已收讫")+SUMIFS(对接源_01水果!$K$4:$K$1203,对接源_01水果!$C$4:$C$1203,$B90,对接源_01水果!$D$4:$D$1203,"成品出库*",对接源_01水果!$L$4:$L$1203,"已付款")+SUMIFS(对接源_01水果!$K$4:$K$1203,对接源_01水果!$C$4:$C$1203,$B90,对接源_01水果!$D$4:$D$1203,"其他代存*",对接源_01水果!$L$4:$L$1203,"已收讫")+SUMIFS(对接源_01水果!$K$4:$K$1203,对接源_01水果!$C$4:$C$1203,$B90,对接源_01水果!$D$4:$D$1203,"其他代存*",对接源_01水果!$L$4:$L$1203,"已付款")+SUMIFS(对接源_02物料!$K$4:$K$1203,对接源_02物料!$C$4:$C$1203,$B90,对接源_02物料!$D$4:$D$1203,"包装物料*",对接源_02物料!$L$4:$L$1203,"已收讫")+SUMIFS(对接源_02物料!$K$4:$K$1203,对接源_02物料!$C$4:$C$1203,$B90,对接源_02物料!$D$4:$D$1203,"包装物料*",对接源_02物料!$L$4:$L$1203,"已付款")+SUMIFS(对接源_02物料!$K$4:$K$1203,对接源_02物料!$C$4:$C$1203,$B90,对接源_02物料!$D$4:$D$1203,"周转筐*",对接源_02物料!$L$4:$L$1203,"已收讫")+SUMIFS(对接源_02物料!$K$4:$K$1203,对接源_02物料!$C$4:$C$1203,$B90,对接源_02物料!$D$4:$D$1203,"周转筐*",对接源_02物料!$L$4:$L$1203,"已付款")+SUMIFS(对接源_02物料!$K$4:$K$1203,对接源_02物料!$C$4:$C$1203,$B90,对接源_02物料!$D$4:$D$1203,"次果筐*",对接源_02物料!$L$4:$L$1203,"已收讫")+SUMIFS(对接源_02物料!$K$4:$K$1203,对接源_02物料!$C$4:$C$1203,$B90,对接源_02物料!$D$4:$D$1203,"次果筐*",对接源_02物料!$L$4:$L$1203,"已付款"),2))</f>
        <v/>
      </c>
      <c r="J90" s="61" t="str">
        <f aca="false">IF($B90="","",ROUND(N($H90)-N($I90),2))</f>
        <v/>
      </c>
      <c r="K90" s="59" t="str">
        <f aca="false">IF($B90="","",IF(ROUND(N($J90),2)&gt;0,"对方欠款",IF(ROUND(N($J90),2)&lt;0,"我方欠款","已两清")))</f>
        <v/>
      </c>
      <c r="L90" s="105"/>
    </row>
    <row r="91" customFormat="false" ht="13.5" hidden="false" customHeight="false" outlineLevel="0" collapsed="false">
      <c r="A91" s="59" t="str">
        <f aca="false">IF($B91="","",ROW()-3)</f>
        <v/>
      </c>
      <c r="B91" s="104" t="str">
        <f aca="false">IFERROR(INDEX(_自动清单!$E$4:$E$303,ROW()-3),"")</f>
        <v/>
      </c>
      <c r="C91" s="61" t="str">
        <f aca="false">IF($B91="","",ROUND(SUMIFS(对接源_01水果!$K$4:$K$1203,对接源_01水果!$C$4:$C$1203,$B91,对接源_01水果!$D$4:$D$1203,"成品出库*"),2))</f>
        <v/>
      </c>
      <c r="D91" s="61" t="str">
        <f aca="false">IF($B91="","",ROUND(SUMIFS(对接源_01水果!$K$4:$K$1203,对接源_01水果!$C$4:$C$1203,$B91,对接源_01水果!$D$4:$D$1203,"其他代存*"),2))</f>
        <v/>
      </c>
      <c r="E91" s="61" t="str">
        <f aca="false">IF($B91="","",ROUND(SUMIFS(对接源_02物料!$K$4:$K$1203,对接源_02物料!$C$4:$C$1203,$B91,对接源_02物料!$D$4:$D$1203,"包装物料*"),2))</f>
        <v/>
      </c>
      <c r="F91" s="61" t="str">
        <f aca="false">IF($B91="","",ROUND(SUMIFS(对接源_02物料!$K$4:$K$1203,对接源_02物料!$C$4:$C$1203,$B91,对接源_02物料!$D$4:$D$1203,"周转筐*"),2))</f>
        <v/>
      </c>
      <c r="G91" s="61" t="str">
        <f aca="false">IF($B91="","",ROUND(SUMIFS(对接源_02物料!$K$4:$K$1203,对接源_02物料!$C$4:$C$1203,$B91,对接源_02物料!$D$4:$D$1203,"次果筐*"),2))</f>
        <v/>
      </c>
      <c r="H91" s="61" t="str">
        <f aca="false">IF($B91="","",ROUND(SUM($C91:$G91),2))</f>
        <v/>
      </c>
      <c r="I91" s="61" t="str">
        <f aca="false">IF($B91="","",ROUND(SUMIFS(对接源_01水果!$K$4:$K$1203,对接源_01水果!$C$4:$C$1203,$B91,对接源_01水果!$D$4:$D$1203,"成品出库*",对接源_01水果!$L$4:$L$1203,"已收讫")+SUMIFS(对接源_01水果!$K$4:$K$1203,对接源_01水果!$C$4:$C$1203,$B91,对接源_01水果!$D$4:$D$1203,"成品出库*",对接源_01水果!$L$4:$L$1203,"已付款")+SUMIFS(对接源_01水果!$K$4:$K$1203,对接源_01水果!$C$4:$C$1203,$B91,对接源_01水果!$D$4:$D$1203,"其他代存*",对接源_01水果!$L$4:$L$1203,"已收讫")+SUMIFS(对接源_01水果!$K$4:$K$1203,对接源_01水果!$C$4:$C$1203,$B91,对接源_01水果!$D$4:$D$1203,"其他代存*",对接源_01水果!$L$4:$L$1203,"已付款")+SUMIFS(对接源_02物料!$K$4:$K$1203,对接源_02物料!$C$4:$C$1203,$B91,对接源_02物料!$D$4:$D$1203,"包装物料*",对接源_02物料!$L$4:$L$1203,"已收讫")+SUMIFS(对接源_02物料!$K$4:$K$1203,对接源_02物料!$C$4:$C$1203,$B91,对接源_02物料!$D$4:$D$1203,"包装物料*",对接源_02物料!$L$4:$L$1203,"已付款")+SUMIFS(对接源_02物料!$K$4:$K$1203,对接源_02物料!$C$4:$C$1203,$B91,对接源_02物料!$D$4:$D$1203,"周转筐*",对接源_02物料!$L$4:$L$1203,"已收讫")+SUMIFS(对接源_02物料!$K$4:$K$1203,对接源_02物料!$C$4:$C$1203,$B91,对接源_02物料!$D$4:$D$1203,"周转筐*",对接源_02物料!$L$4:$L$1203,"已付款")+SUMIFS(对接源_02物料!$K$4:$K$1203,对接源_02物料!$C$4:$C$1203,$B91,对接源_02物料!$D$4:$D$1203,"次果筐*",对接源_02物料!$L$4:$L$1203,"已收讫")+SUMIFS(对接源_02物料!$K$4:$K$1203,对接源_02物料!$C$4:$C$1203,$B91,对接源_02物料!$D$4:$D$1203,"次果筐*",对接源_02物料!$L$4:$L$1203,"已付款"),2))</f>
        <v/>
      </c>
      <c r="J91" s="61" t="str">
        <f aca="false">IF($B91="","",ROUND(N($H91)-N($I91),2))</f>
        <v/>
      </c>
      <c r="K91" s="59" t="str">
        <f aca="false">IF($B91="","",IF(ROUND(N($J91),2)&gt;0,"对方欠款",IF(ROUND(N($J91),2)&lt;0,"我方欠款","已两清")))</f>
        <v/>
      </c>
      <c r="L91" s="105"/>
    </row>
    <row r="92" customFormat="false" ht="13.5" hidden="false" customHeight="false" outlineLevel="0" collapsed="false">
      <c r="A92" s="59" t="str">
        <f aca="false">IF($B92="","",ROW()-3)</f>
        <v/>
      </c>
      <c r="B92" s="104" t="str">
        <f aca="false">IFERROR(INDEX(_自动清单!$E$4:$E$303,ROW()-3),"")</f>
        <v/>
      </c>
      <c r="C92" s="61" t="str">
        <f aca="false">IF($B92="","",ROUND(SUMIFS(对接源_01水果!$K$4:$K$1203,对接源_01水果!$C$4:$C$1203,$B92,对接源_01水果!$D$4:$D$1203,"成品出库*"),2))</f>
        <v/>
      </c>
      <c r="D92" s="61" t="str">
        <f aca="false">IF($B92="","",ROUND(SUMIFS(对接源_01水果!$K$4:$K$1203,对接源_01水果!$C$4:$C$1203,$B92,对接源_01水果!$D$4:$D$1203,"其他代存*"),2))</f>
        <v/>
      </c>
      <c r="E92" s="61" t="str">
        <f aca="false">IF($B92="","",ROUND(SUMIFS(对接源_02物料!$K$4:$K$1203,对接源_02物料!$C$4:$C$1203,$B92,对接源_02物料!$D$4:$D$1203,"包装物料*"),2))</f>
        <v/>
      </c>
      <c r="F92" s="61" t="str">
        <f aca="false">IF($B92="","",ROUND(SUMIFS(对接源_02物料!$K$4:$K$1203,对接源_02物料!$C$4:$C$1203,$B92,对接源_02物料!$D$4:$D$1203,"周转筐*"),2))</f>
        <v/>
      </c>
      <c r="G92" s="61" t="str">
        <f aca="false">IF($B92="","",ROUND(SUMIFS(对接源_02物料!$K$4:$K$1203,对接源_02物料!$C$4:$C$1203,$B92,对接源_02物料!$D$4:$D$1203,"次果筐*"),2))</f>
        <v/>
      </c>
      <c r="H92" s="61" t="str">
        <f aca="false">IF($B92="","",ROUND(SUM($C92:$G92),2))</f>
        <v/>
      </c>
      <c r="I92" s="61" t="str">
        <f aca="false">IF($B92="","",ROUND(SUMIFS(对接源_01水果!$K$4:$K$1203,对接源_01水果!$C$4:$C$1203,$B92,对接源_01水果!$D$4:$D$1203,"成品出库*",对接源_01水果!$L$4:$L$1203,"已收讫")+SUMIFS(对接源_01水果!$K$4:$K$1203,对接源_01水果!$C$4:$C$1203,$B92,对接源_01水果!$D$4:$D$1203,"成品出库*",对接源_01水果!$L$4:$L$1203,"已付款")+SUMIFS(对接源_01水果!$K$4:$K$1203,对接源_01水果!$C$4:$C$1203,$B92,对接源_01水果!$D$4:$D$1203,"其他代存*",对接源_01水果!$L$4:$L$1203,"已收讫")+SUMIFS(对接源_01水果!$K$4:$K$1203,对接源_01水果!$C$4:$C$1203,$B92,对接源_01水果!$D$4:$D$1203,"其他代存*",对接源_01水果!$L$4:$L$1203,"已付款")+SUMIFS(对接源_02物料!$K$4:$K$1203,对接源_02物料!$C$4:$C$1203,$B92,对接源_02物料!$D$4:$D$1203,"包装物料*",对接源_02物料!$L$4:$L$1203,"已收讫")+SUMIFS(对接源_02物料!$K$4:$K$1203,对接源_02物料!$C$4:$C$1203,$B92,对接源_02物料!$D$4:$D$1203,"包装物料*",对接源_02物料!$L$4:$L$1203,"已付款")+SUMIFS(对接源_02物料!$K$4:$K$1203,对接源_02物料!$C$4:$C$1203,$B92,对接源_02物料!$D$4:$D$1203,"周转筐*",对接源_02物料!$L$4:$L$1203,"已收讫")+SUMIFS(对接源_02物料!$K$4:$K$1203,对接源_02物料!$C$4:$C$1203,$B92,对接源_02物料!$D$4:$D$1203,"周转筐*",对接源_02物料!$L$4:$L$1203,"已付款")+SUMIFS(对接源_02物料!$K$4:$K$1203,对接源_02物料!$C$4:$C$1203,$B92,对接源_02物料!$D$4:$D$1203,"次果筐*",对接源_02物料!$L$4:$L$1203,"已收讫")+SUMIFS(对接源_02物料!$K$4:$K$1203,对接源_02物料!$C$4:$C$1203,$B92,对接源_02物料!$D$4:$D$1203,"次果筐*",对接源_02物料!$L$4:$L$1203,"已付款"),2))</f>
        <v/>
      </c>
      <c r="J92" s="61" t="str">
        <f aca="false">IF($B92="","",ROUND(N($H92)-N($I92),2))</f>
        <v/>
      </c>
      <c r="K92" s="59" t="str">
        <f aca="false">IF($B92="","",IF(ROUND(N($J92),2)&gt;0,"对方欠款",IF(ROUND(N($J92),2)&lt;0,"我方欠款","已两清")))</f>
        <v/>
      </c>
      <c r="L92" s="105"/>
    </row>
    <row r="93" customFormat="false" ht="13.5" hidden="false" customHeight="false" outlineLevel="0" collapsed="false">
      <c r="A93" s="59" t="str">
        <f aca="false">IF($B93="","",ROW()-3)</f>
        <v/>
      </c>
      <c r="B93" s="104" t="str">
        <f aca="false">IFERROR(INDEX(_自动清单!$E$4:$E$303,ROW()-3),"")</f>
        <v/>
      </c>
      <c r="C93" s="61" t="str">
        <f aca="false">IF($B93="","",ROUND(SUMIFS(对接源_01水果!$K$4:$K$1203,对接源_01水果!$C$4:$C$1203,$B93,对接源_01水果!$D$4:$D$1203,"成品出库*"),2))</f>
        <v/>
      </c>
      <c r="D93" s="61" t="str">
        <f aca="false">IF($B93="","",ROUND(SUMIFS(对接源_01水果!$K$4:$K$1203,对接源_01水果!$C$4:$C$1203,$B93,对接源_01水果!$D$4:$D$1203,"其他代存*"),2))</f>
        <v/>
      </c>
      <c r="E93" s="61" t="str">
        <f aca="false">IF($B93="","",ROUND(SUMIFS(对接源_02物料!$K$4:$K$1203,对接源_02物料!$C$4:$C$1203,$B93,对接源_02物料!$D$4:$D$1203,"包装物料*"),2))</f>
        <v/>
      </c>
      <c r="F93" s="61" t="str">
        <f aca="false">IF($B93="","",ROUND(SUMIFS(对接源_02物料!$K$4:$K$1203,对接源_02物料!$C$4:$C$1203,$B93,对接源_02物料!$D$4:$D$1203,"周转筐*"),2))</f>
        <v/>
      </c>
      <c r="G93" s="61" t="str">
        <f aca="false">IF($B93="","",ROUND(SUMIFS(对接源_02物料!$K$4:$K$1203,对接源_02物料!$C$4:$C$1203,$B93,对接源_02物料!$D$4:$D$1203,"次果筐*"),2))</f>
        <v/>
      </c>
      <c r="H93" s="61" t="str">
        <f aca="false">IF($B93="","",ROUND(SUM($C93:$G93),2))</f>
        <v/>
      </c>
      <c r="I93" s="61" t="str">
        <f aca="false">IF($B93="","",ROUND(SUMIFS(对接源_01水果!$K$4:$K$1203,对接源_01水果!$C$4:$C$1203,$B93,对接源_01水果!$D$4:$D$1203,"成品出库*",对接源_01水果!$L$4:$L$1203,"已收讫")+SUMIFS(对接源_01水果!$K$4:$K$1203,对接源_01水果!$C$4:$C$1203,$B93,对接源_01水果!$D$4:$D$1203,"成品出库*",对接源_01水果!$L$4:$L$1203,"已付款")+SUMIFS(对接源_01水果!$K$4:$K$1203,对接源_01水果!$C$4:$C$1203,$B93,对接源_01水果!$D$4:$D$1203,"其他代存*",对接源_01水果!$L$4:$L$1203,"已收讫")+SUMIFS(对接源_01水果!$K$4:$K$1203,对接源_01水果!$C$4:$C$1203,$B93,对接源_01水果!$D$4:$D$1203,"其他代存*",对接源_01水果!$L$4:$L$1203,"已付款")+SUMIFS(对接源_02物料!$K$4:$K$1203,对接源_02物料!$C$4:$C$1203,$B93,对接源_02物料!$D$4:$D$1203,"包装物料*",对接源_02物料!$L$4:$L$1203,"已收讫")+SUMIFS(对接源_02物料!$K$4:$K$1203,对接源_02物料!$C$4:$C$1203,$B93,对接源_02物料!$D$4:$D$1203,"包装物料*",对接源_02物料!$L$4:$L$1203,"已付款")+SUMIFS(对接源_02物料!$K$4:$K$1203,对接源_02物料!$C$4:$C$1203,$B93,对接源_02物料!$D$4:$D$1203,"周转筐*",对接源_02物料!$L$4:$L$1203,"已收讫")+SUMIFS(对接源_02物料!$K$4:$K$1203,对接源_02物料!$C$4:$C$1203,$B93,对接源_02物料!$D$4:$D$1203,"周转筐*",对接源_02物料!$L$4:$L$1203,"已付款")+SUMIFS(对接源_02物料!$K$4:$K$1203,对接源_02物料!$C$4:$C$1203,$B93,对接源_02物料!$D$4:$D$1203,"次果筐*",对接源_02物料!$L$4:$L$1203,"已收讫")+SUMIFS(对接源_02物料!$K$4:$K$1203,对接源_02物料!$C$4:$C$1203,$B93,对接源_02物料!$D$4:$D$1203,"次果筐*",对接源_02物料!$L$4:$L$1203,"已付款"),2))</f>
        <v/>
      </c>
      <c r="J93" s="61" t="str">
        <f aca="false">IF($B93="","",ROUND(N($H93)-N($I93),2))</f>
        <v/>
      </c>
      <c r="K93" s="59" t="str">
        <f aca="false">IF($B93="","",IF(ROUND(N($J93),2)&gt;0,"对方欠款",IF(ROUND(N($J93),2)&lt;0,"我方欠款","已两清")))</f>
        <v/>
      </c>
      <c r="L93" s="105"/>
    </row>
    <row r="94" customFormat="false" ht="13.5" hidden="false" customHeight="false" outlineLevel="0" collapsed="false">
      <c r="A94" s="59" t="str">
        <f aca="false">IF($B94="","",ROW()-3)</f>
        <v/>
      </c>
      <c r="B94" s="104" t="str">
        <f aca="false">IFERROR(INDEX(_自动清单!$E$4:$E$303,ROW()-3),"")</f>
        <v/>
      </c>
      <c r="C94" s="61" t="str">
        <f aca="false">IF($B94="","",ROUND(SUMIFS(对接源_01水果!$K$4:$K$1203,对接源_01水果!$C$4:$C$1203,$B94,对接源_01水果!$D$4:$D$1203,"成品出库*"),2))</f>
        <v/>
      </c>
      <c r="D94" s="61" t="str">
        <f aca="false">IF($B94="","",ROUND(SUMIFS(对接源_01水果!$K$4:$K$1203,对接源_01水果!$C$4:$C$1203,$B94,对接源_01水果!$D$4:$D$1203,"其他代存*"),2))</f>
        <v/>
      </c>
      <c r="E94" s="61" t="str">
        <f aca="false">IF($B94="","",ROUND(SUMIFS(对接源_02物料!$K$4:$K$1203,对接源_02物料!$C$4:$C$1203,$B94,对接源_02物料!$D$4:$D$1203,"包装物料*"),2))</f>
        <v/>
      </c>
      <c r="F94" s="61" t="str">
        <f aca="false">IF($B94="","",ROUND(SUMIFS(对接源_02物料!$K$4:$K$1203,对接源_02物料!$C$4:$C$1203,$B94,对接源_02物料!$D$4:$D$1203,"周转筐*"),2))</f>
        <v/>
      </c>
      <c r="G94" s="61" t="str">
        <f aca="false">IF($B94="","",ROUND(SUMIFS(对接源_02物料!$K$4:$K$1203,对接源_02物料!$C$4:$C$1203,$B94,对接源_02物料!$D$4:$D$1203,"次果筐*"),2))</f>
        <v/>
      </c>
      <c r="H94" s="61" t="str">
        <f aca="false">IF($B94="","",ROUND(SUM($C94:$G94),2))</f>
        <v/>
      </c>
      <c r="I94" s="61" t="str">
        <f aca="false">IF($B94="","",ROUND(SUMIFS(对接源_01水果!$K$4:$K$1203,对接源_01水果!$C$4:$C$1203,$B94,对接源_01水果!$D$4:$D$1203,"成品出库*",对接源_01水果!$L$4:$L$1203,"已收讫")+SUMIFS(对接源_01水果!$K$4:$K$1203,对接源_01水果!$C$4:$C$1203,$B94,对接源_01水果!$D$4:$D$1203,"成品出库*",对接源_01水果!$L$4:$L$1203,"已付款")+SUMIFS(对接源_01水果!$K$4:$K$1203,对接源_01水果!$C$4:$C$1203,$B94,对接源_01水果!$D$4:$D$1203,"其他代存*",对接源_01水果!$L$4:$L$1203,"已收讫")+SUMIFS(对接源_01水果!$K$4:$K$1203,对接源_01水果!$C$4:$C$1203,$B94,对接源_01水果!$D$4:$D$1203,"其他代存*",对接源_01水果!$L$4:$L$1203,"已付款")+SUMIFS(对接源_02物料!$K$4:$K$1203,对接源_02物料!$C$4:$C$1203,$B94,对接源_02物料!$D$4:$D$1203,"包装物料*",对接源_02物料!$L$4:$L$1203,"已收讫")+SUMIFS(对接源_02物料!$K$4:$K$1203,对接源_02物料!$C$4:$C$1203,$B94,对接源_02物料!$D$4:$D$1203,"包装物料*",对接源_02物料!$L$4:$L$1203,"已付款")+SUMIFS(对接源_02物料!$K$4:$K$1203,对接源_02物料!$C$4:$C$1203,$B94,对接源_02物料!$D$4:$D$1203,"周转筐*",对接源_02物料!$L$4:$L$1203,"已收讫")+SUMIFS(对接源_02物料!$K$4:$K$1203,对接源_02物料!$C$4:$C$1203,$B94,对接源_02物料!$D$4:$D$1203,"周转筐*",对接源_02物料!$L$4:$L$1203,"已付款")+SUMIFS(对接源_02物料!$K$4:$K$1203,对接源_02物料!$C$4:$C$1203,$B94,对接源_02物料!$D$4:$D$1203,"次果筐*",对接源_02物料!$L$4:$L$1203,"已收讫")+SUMIFS(对接源_02物料!$K$4:$K$1203,对接源_02物料!$C$4:$C$1203,$B94,对接源_02物料!$D$4:$D$1203,"次果筐*",对接源_02物料!$L$4:$L$1203,"已付款"),2))</f>
        <v/>
      </c>
      <c r="J94" s="61" t="str">
        <f aca="false">IF($B94="","",ROUND(N($H94)-N($I94),2))</f>
        <v/>
      </c>
      <c r="K94" s="59" t="str">
        <f aca="false">IF($B94="","",IF(ROUND(N($J94),2)&gt;0,"对方欠款",IF(ROUND(N($J94),2)&lt;0,"我方欠款","已两清")))</f>
        <v/>
      </c>
      <c r="L94" s="105"/>
    </row>
    <row r="95" customFormat="false" ht="13.5" hidden="false" customHeight="false" outlineLevel="0" collapsed="false">
      <c r="A95" s="59" t="str">
        <f aca="false">IF($B95="","",ROW()-3)</f>
        <v/>
      </c>
      <c r="B95" s="104" t="str">
        <f aca="false">IFERROR(INDEX(_自动清单!$E$4:$E$303,ROW()-3),"")</f>
        <v/>
      </c>
      <c r="C95" s="61" t="str">
        <f aca="false">IF($B95="","",ROUND(SUMIFS(对接源_01水果!$K$4:$K$1203,对接源_01水果!$C$4:$C$1203,$B95,对接源_01水果!$D$4:$D$1203,"成品出库*"),2))</f>
        <v/>
      </c>
      <c r="D95" s="61" t="str">
        <f aca="false">IF($B95="","",ROUND(SUMIFS(对接源_01水果!$K$4:$K$1203,对接源_01水果!$C$4:$C$1203,$B95,对接源_01水果!$D$4:$D$1203,"其他代存*"),2))</f>
        <v/>
      </c>
      <c r="E95" s="61" t="str">
        <f aca="false">IF($B95="","",ROUND(SUMIFS(对接源_02物料!$K$4:$K$1203,对接源_02物料!$C$4:$C$1203,$B95,对接源_02物料!$D$4:$D$1203,"包装物料*"),2))</f>
        <v/>
      </c>
      <c r="F95" s="61" t="str">
        <f aca="false">IF($B95="","",ROUND(SUMIFS(对接源_02物料!$K$4:$K$1203,对接源_02物料!$C$4:$C$1203,$B95,对接源_02物料!$D$4:$D$1203,"周转筐*"),2))</f>
        <v/>
      </c>
      <c r="G95" s="61" t="str">
        <f aca="false">IF($B95="","",ROUND(SUMIFS(对接源_02物料!$K$4:$K$1203,对接源_02物料!$C$4:$C$1203,$B95,对接源_02物料!$D$4:$D$1203,"次果筐*"),2))</f>
        <v/>
      </c>
      <c r="H95" s="61" t="str">
        <f aca="false">IF($B95="","",ROUND(SUM($C95:$G95),2))</f>
        <v/>
      </c>
      <c r="I95" s="61" t="str">
        <f aca="false">IF($B95="","",ROUND(SUMIFS(对接源_01水果!$K$4:$K$1203,对接源_01水果!$C$4:$C$1203,$B95,对接源_01水果!$D$4:$D$1203,"成品出库*",对接源_01水果!$L$4:$L$1203,"已收讫")+SUMIFS(对接源_01水果!$K$4:$K$1203,对接源_01水果!$C$4:$C$1203,$B95,对接源_01水果!$D$4:$D$1203,"成品出库*",对接源_01水果!$L$4:$L$1203,"已付款")+SUMIFS(对接源_01水果!$K$4:$K$1203,对接源_01水果!$C$4:$C$1203,$B95,对接源_01水果!$D$4:$D$1203,"其他代存*",对接源_01水果!$L$4:$L$1203,"已收讫")+SUMIFS(对接源_01水果!$K$4:$K$1203,对接源_01水果!$C$4:$C$1203,$B95,对接源_01水果!$D$4:$D$1203,"其他代存*",对接源_01水果!$L$4:$L$1203,"已付款")+SUMIFS(对接源_02物料!$K$4:$K$1203,对接源_02物料!$C$4:$C$1203,$B95,对接源_02物料!$D$4:$D$1203,"包装物料*",对接源_02物料!$L$4:$L$1203,"已收讫")+SUMIFS(对接源_02物料!$K$4:$K$1203,对接源_02物料!$C$4:$C$1203,$B95,对接源_02物料!$D$4:$D$1203,"包装物料*",对接源_02物料!$L$4:$L$1203,"已付款")+SUMIFS(对接源_02物料!$K$4:$K$1203,对接源_02物料!$C$4:$C$1203,$B95,对接源_02物料!$D$4:$D$1203,"周转筐*",对接源_02物料!$L$4:$L$1203,"已收讫")+SUMIFS(对接源_02物料!$K$4:$K$1203,对接源_02物料!$C$4:$C$1203,$B95,对接源_02物料!$D$4:$D$1203,"周转筐*",对接源_02物料!$L$4:$L$1203,"已付款")+SUMIFS(对接源_02物料!$K$4:$K$1203,对接源_02物料!$C$4:$C$1203,$B95,对接源_02物料!$D$4:$D$1203,"次果筐*",对接源_02物料!$L$4:$L$1203,"已收讫")+SUMIFS(对接源_02物料!$K$4:$K$1203,对接源_02物料!$C$4:$C$1203,$B95,对接源_02物料!$D$4:$D$1203,"次果筐*",对接源_02物料!$L$4:$L$1203,"已付款"),2))</f>
        <v/>
      </c>
      <c r="J95" s="61" t="str">
        <f aca="false">IF($B95="","",ROUND(N($H95)-N($I95),2))</f>
        <v/>
      </c>
      <c r="K95" s="59" t="str">
        <f aca="false">IF($B95="","",IF(ROUND(N($J95),2)&gt;0,"对方欠款",IF(ROUND(N($J95),2)&lt;0,"我方欠款","已两清")))</f>
        <v/>
      </c>
      <c r="L95" s="105"/>
    </row>
    <row r="96" customFormat="false" ht="13.5" hidden="false" customHeight="false" outlineLevel="0" collapsed="false">
      <c r="A96" s="59" t="str">
        <f aca="false">IF($B96="","",ROW()-3)</f>
        <v/>
      </c>
      <c r="B96" s="104" t="str">
        <f aca="false">IFERROR(INDEX(_自动清单!$E$4:$E$303,ROW()-3),"")</f>
        <v/>
      </c>
      <c r="C96" s="61" t="str">
        <f aca="false">IF($B96="","",ROUND(SUMIFS(对接源_01水果!$K$4:$K$1203,对接源_01水果!$C$4:$C$1203,$B96,对接源_01水果!$D$4:$D$1203,"成品出库*"),2))</f>
        <v/>
      </c>
      <c r="D96" s="61" t="str">
        <f aca="false">IF($B96="","",ROUND(SUMIFS(对接源_01水果!$K$4:$K$1203,对接源_01水果!$C$4:$C$1203,$B96,对接源_01水果!$D$4:$D$1203,"其他代存*"),2))</f>
        <v/>
      </c>
      <c r="E96" s="61" t="str">
        <f aca="false">IF($B96="","",ROUND(SUMIFS(对接源_02物料!$K$4:$K$1203,对接源_02物料!$C$4:$C$1203,$B96,对接源_02物料!$D$4:$D$1203,"包装物料*"),2))</f>
        <v/>
      </c>
      <c r="F96" s="61" t="str">
        <f aca="false">IF($B96="","",ROUND(SUMIFS(对接源_02物料!$K$4:$K$1203,对接源_02物料!$C$4:$C$1203,$B96,对接源_02物料!$D$4:$D$1203,"周转筐*"),2))</f>
        <v/>
      </c>
      <c r="G96" s="61" t="str">
        <f aca="false">IF($B96="","",ROUND(SUMIFS(对接源_02物料!$K$4:$K$1203,对接源_02物料!$C$4:$C$1203,$B96,对接源_02物料!$D$4:$D$1203,"次果筐*"),2))</f>
        <v/>
      </c>
      <c r="H96" s="61" t="str">
        <f aca="false">IF($B96="","",ROUND(SUM($C96:$G96),2))</f>
        <v/>
      </c>
      <c r="I96" s="61" t="str">
        <f aca="false">IF($B96="","",ROUND(SUMIFS(对接源_01水果!$K$4:$K$1203,对接源_01水果!$C$4:$C$1203,$B96,对接源_01水果!$D$4:$D$1203,"成品出库*",对接源_01水果!$L$4:$L$1203,"已收讫")+SUMIFS(对接源_01水果!$K$4:$K$1203,对接源_01水果!$C$4:$C$1203,$B96,对接源_01水果!$D$4:$D$1203,"成品出库*",对接源_01水果!$L$4:$L$1203,"已付款")+SUMIFS(对接源_01水果!$K$4:$K$1203,对接源_01水果!$C$4:$C$1203,$B96,对接源_01水果!$D$4:$D$1203,"其他代存*",对接源_01水果!$L$4:$L$1203,"已收讫")+SUMIFS(对接源_01水果!$K$4:$K$1203,对接源_01水果!$C$4:$C$1203,$B96,对接源_01水果!$D$4:$D$1203,"其他代存*",对接源_01水果!$L$4:$L$1203,"已付款")+SUMIFS(对接源_02物料!$K$4:$K$1203,对接源_02物料!$C$4:$C$1203,$B96,对接源_02物料!$D$4:$D$1203,"包装物料*",对接源_02物料!$L$4:$L$1203,"已收讫")+SUMIFS(对接源_02物料!$K$4:$K$1203,对接源_02物料!$C$4:$C$1203,$B96,对接源_02物料!$D$4:$D$1203,"包装物料*",对接源_02物料!$L$4:$L$1203,"已付款")+SUMIFS(对接源_02物料!$K$4:$K$1203,对接源_02物料!$C$4:$C$1203,$B96,对接源_02物料!$D$4:$D$1203,"周转筐*",对接源_02物料!$L$4:$L$1203,"已收讫")+SUMIFS(对接源_02物料!$K$4:$K$1203,对接源_02物料!$C$4:$C$1203,$B96,对接源_02物料!$D$4:$D$1203,"周转筐*",对接源_02物料!$L$4:$L$1203,"已付款")+SUMIFS(对接源_02物料!$K$4:$K$1203,对接源_02物料!$C$4:$C$1203,$B96,对接源_02物料!$D$4:$D$1203,"次果筐*",对接源_02物料!$L$4:$L$1203,"已收讫")+SUMIFS(对接源_02物料!$K$4:$K$1203,对接源_02物料!$C$4:$C$1203,$B96,对接源_02物料!$D$4:$D$1203,"次果筐*",对接源_02物料!$L$4:$L$1203,"已付款"),2))</f>
        <v/>
      </c>
      <c r="J96" s="61" t="str">
        <f aca="false">IF($B96="","",ROUND(N($H96)-N($I96),2))</f>
        <v/>
      </c>
      <c r="K96" s="59" t="str">
        <f aca="false">IF($B96="","",IF(ROUND(N($J96),2)&gt;0,"对方欠款",IF(ROUND(N($J96),2)&lt;0,"我方欠款","已两清")))</f>
        <v/>
      </c>
      <c r="L96" s="105"/>
    </row>
    <row r="97" customFormat="false" ht="13.5" hidden="false" customHeight="false" outlineLevel="0" collapsed="false">
      <c r="A97" s="59" t="str">
        <f aca="false">IF($B97="","",ROW()-3)</f>
        <v/>
      </c>
      <c r="B97" s="104" t="str">
        <f aca="false">IFERROR(INDEX(_自动清单!$E$4:$E$303,ROW()-3),"")</f>
        <v/>
      </c>
      <c r="C97" s="61" t="str">
        <f aca="false">IF($B97="","",ROUND(SUMIFS(对接源_01水果!$K$4:$K$1203,对接源_01水果!$C$4:$C$1203,$B97,对接源_01水果!$D$4:$D$1203,"成品出库*"),2))</f>
        <v/>
      </c>
      <c r="D97" s="61" t="str">
        <f aca="false">IF($B97="","",ROUND(SUMIFS(对接源_01水果!$K$4:$K$1203,对接源_01水果!$C$4:$C$1203,$B97,对接源_01水果!$D$4:$D$1203,"其他代存*"),2))</f>
        <v/>
      </c>
      <c r="E97" s="61" t="str">
        <f aca="false">IF($B97="","",ROUND(SUMIFS(对接源_02物料!$K$4:$K$1203,对接源_02物料!$C$4:$C$1203,$B97,对接源_02物料!$D$4:$D$1203,"包装物料*"),2))</f>
        <v/>
      </c>
      <c r="F97" s="61" t="str">
        <f aca="false">IF($B97="","",ROUND(SUMIFS(对接源_02物料!$K$4:$K$1203,对接源_02物料!$C$4:$C$1203,$B97,对接源_02物料!$D$4:$D$1203,"周转筐*"),2))</f>
        <v/>
      </c>
      <c r="G97" s="61" t="str">
        <f aca="false">IF($B97="","",ROUND(SUMIFS(对接源_02物料!$K$4:$K$1203,对接源_02物料!$C$4:$C$1203,$B97,对接源_02物料!$D$4:$D$1203,"次果筐*"),2))</f>
        <v/>
      </c>
      <c r="H97" s="61" t="str">
        <f aca="false">IF($B97="","",ROUND(SUM($C97:$G97),2))</f>
        <v/>
      </c>
      <c r="I97" s="61" t="str">
        <f aca="false">IF($B97="","",ROUND(SUMIFS(对接源_01水果!$K$4:$K$1203,对接源_01水果!$C$4:$C$1203,$B97,对接源_01水果!$D$4:$D$1203,"成品出库*",对接源_01水果!$L$4:$L$1203,"已收讫")+SUMIFS(对接源_01水果!$K$4:$K$1203,对接源_01水果!$C$4:$C$1203,$B97,对接源_01水果!$D$4:$D$1203,"成品出库*",对接源_01水果!$L$4:$L$1203,"已付款")+SUMIFS(对接源_01水果!$K$4:$K$1203,对接源_01水果!$C$4:$C$1203,$B97,对接源_01水果!$D$4:$D$1203,"其他代存*",对接源_01水果!$L$4:$L$1203,"已收讫")+SUMIFS(对接源_01水果!$K$4:$K$1203,对接源_01水果!$C$4:$C$1203,$B97,对接源_01水果!$D$4:$D$1203,"其他代存*",对接源_01水果!$L$4:$L$1203,"已付款")+SUMIFS(对接源_02物料!$K$4:$K$1203,对接源_02物料!$C$4:$C$1203,$B97,对接源_02物料!$D$4:$D$1203,"包装物料*",对接源_02物料!$L$4:$L$1203,"已收讫")+SUMIFS(对接源_02物料!$K$4:$K$1203,对接源_02物料!$C$4:$C$1203,$B97,对接源_02物料!$D$4:$D$1203,"包装物料*",对接源_02物料!$L$4:$L$1203,"已付款")+SUMIFS(对接源_02物料!$K$4:$K$1203,对接源_02物料!$C$4:$C$1203,$B97,对接源_02物料!$D$4:$D$1203,"周转筐*",对接源_02物料!$L$4:$L$1203,"已收讫")+SUMIFS(对接源_02物料!$K$4:$K$1203,对接源_02物料!$C$4:$C$1203,$B97,对接源_02物料!$D$4:$D$1203,"周转筐*",对接源_02物料!$L$4:$L$1203,"已付款")+SUMIFS(对接源_02物料!$K$4:$K$1203,对接源_02物料!$C$4:$C$1203,$B97,对接源_02物料!$D$4:$D$1203,"次果筐*",对接源_02物料!$L$4:$L$1203,"已收讫")+SUMIFS(对接源_02物料!$K$4:$K$1203,对接源_02物料!$C$4:$C$1203,$B97,对接源_02物料!$D$4:$D$1203,"次果筐*",对接源_02物料!$L$4:$L$1203,"已付款"),2))</f>
        <v/>
      </c>
      <c r="J97" s="61" t="str">
        <f aca="false">IF($B97="","",ROUND(N($H97)-N($I97),2))</f>
        <v/>
      </c>
      <c r="K97" s="59" t="str">
        <f aca="false">IF($B97="","",IF(ROUND(N($J97),2)&gt;0,"对方欠款",IF(ROUND(N($J97),2)&lt;0,"我方欠款","已两清")))</f>
        <v/>
      </c>
      <c r="L97" s="105"/>
    </row>
    <row r="98" customFormat="false" ht="13.5" hidden="false" customHeight="false" outlineLevel="0" collapsed="false">
      <c r="A98" s="59" t="str">
        <f aca="false">IF($B98="","",ROW()-3)</f>
        <v/>
      </c>
      <c r="B98" s="104" t="str">
        <f aca="false">IFERROR(INDEX(_自动清单!$E$4:$E$303,ROW()-3),"")</f>
        <v/>
      </c>
      <c r="C98" s="61" t="str">
        <f aca="false">IF($B98="","",ROUND(SUMIFS(对接源_01水果!$K$4:$K$1203,对接源_01水果!$C$4:$C$1203,$B98,对接源_01水果!$D$4:$D$1203,"成品出库*"),2))</f>
        <v/>
      </c>
      <c r="D98" s="61" t="str">
        <f aca="false">IF($B98="","",ROUND(SUMIFS(对接源_01水果!$K$4:$K$1203,对接源_01水果!$C$4:$C$1203,$B98,对接源_01水果!$D$4:$D$1203,"其他代存*"),2))</f>
        <v/>
      </c>
      <c r="E98" s="61" t="str">
        <f aca="false">IF($B98="","",ROUND(SUMIFS(对接源_02物料!$K$4:$K$1203,对接源_02物料!$C$4:$C$1203,$B98,对接源_02物料!$D$4:$D$1203,"包装物料*"),2))</f>
        <v/>
      </c>
      <c r="F98" s="61" t="str">
        <f aca="false">IF($B98="","",ROUND(SUMIFS(对接源_02物料!$K$4:$K$1203,对接源_02物料!$C$4:$C$1203,$B98,对接源_02物料!$D$4:$D$1203,"周转筐*"),2))</f>
        <v/>
      </c>
      <c r="G98" s="61" t="str">
        <f aca="false">IF($B98="","",ROUND(SUMIFS(对接源_02物料!$K$4:$K$1203,对接源_02物料!$C$4:$C$1203,$B98,对接源_02物料!$D$4:$D$1203,"次果筐*"),2))</f>
        <v/>
      </c>
      <c r="H98" s="61" t="str">
        <f aca="false">IF($B98="","",ROUND(SUM($C98:$G98),2))</f>
        <v/>
      </c>
      <c r="I98" s="61" t="str">
        <f aca="false">IF($B98="","",ROUND(SUMIFS(对接源_01水果!$K$4:$K$1203,对接源_01水果!$C$4:$C$1203,$B98,对接源_01水果!$D$4:$D$1203,"成品出库*",对接源_01水果!$L$4:$L$1203,"已收讫")+SUMIFS(对接源_01水果!$K$4:$K$1203,对接源_01水果!$C$4:$C$1203,$B98,对接源_01水果!$D$4:$D$1203,"成品出库*",对接源_01水果!$L$4:$L$1203,"已付款")+SUMIFS(对接源_01水果!$K$4:$K$1203,对接源_01水果!$C$4:$C$1203,$B98,对接源_01水果!$D$4:$D$1203,"其他代存*",对接源_01水果!$L$4:$L$1203,"已收讫")+SUMIFS(对接源_01水果!$K$4:$K$1203,对接源_01水果!$C$4:$C$1203,$B98,对接源_01水果!$D$4:$D$1203,"其他代存*",对接源_01水果!$L$4:$L$1203,"已付款")+SUMIFS(对接源_02物料!$K$4:$K$1203,对接源_02物料!$C$4:$C$1203,$B98,对接源_02物料!$D$4:$D$1203,"包装物料*",对接源_02物料!$L$4:$L$1203,"已收讫")+SUMIFS(对接源_02物料!$K$4:$K$1203,对接源_02物料!$C$4:$C$1203,$B98,对接源_02物料!$D$4:$D$1203,"包装物料*",对接源_02物料!$L$4:$L$1203,"已付款")+SUMIFS(对接源_02物料!$K$4:$K$1203,对接源_02物料!$C$4:$C$1203,$B98,对接源_02物料!$D$4:$D$1203,"周转筐*",对接源_02物料!$L$4:$L$1203,"已收讫")+SUMIFS(对接源_02物料!$K$4:$K$1203,对接源_02物料!$C$4:$C$1203,$B98,对接源_02物料!$D$4:$D$1203,"周转筐*",对接源_02物料!$L$4:$L$1203,"已付款")+SUMIFS(对接源_02物料!$K$4:$K$1203,对接源_02物料!$C$4:$C$1203,$B98,对接源_02物料!$D$4:$D$1203,"次果筐*",对接源_02物料!$L$4:$L$1203,"已收讫")+SUMIFS(对接源_02物料!$K$4:$K$1203,对接源_02物料!$C$4:$C$1203,$B98,对接源_02物料!$D$4:$D$1203,"次果筐*",对接源_02物料!$L$4:$L$1203,"已付款"),2))</f>
        <v/>
      </c>
      <c r="J98" s="61" t="str">
        <f aca="false">IF($B98="","",ROUND(N($H98)-N($I98),2))</f>
        <v/>
      </c>
      <c r="K98" s="59" t="str">
        <f aca="false">IF($B98="","",IF(ROUND(N($J98),2)&gt;0,"对方欠款",IF(ROUND(N($J98),2)&lt;0,"我方欠款","已两清")))</f>
        <v/>
      </c>
      <c r="L98" s="105"/>
    </row>
    <row r="99" customFormat="false" ht="13.5" hidden="false" customHeight="false" outlineLevel="0" collapsed="false">
      <c r="A99" s="59" t="str">
        <f aca="false">IF($B99="","",ROW()-3)</f>
        <v/>
      </c>
      <c r="B99" s="104" t="str">
        <f aca="false">IFERROR(INDEX(_自动清单!$E$4:$E$303,ROW()-3),"")</f>
        <v/>
      </c>
      <c r="C99" s="61" t="str">
        <f aca="false">IF($B99="","",ROUND(SUMIFS(对接源_01水果!$K$4:$K$1203,对接源_01水果!$C$4:$C$1203,$B99,对接源_01水果!$D$4:$D$1203,"成品出库*"),2))</f>
        <v/>
      </c>
      <c r="D99" s="61" t="str">
        <f aca="false">IF($B99="","",ROUND(SUMIFS(对接源_01水果!$K$4:$K$1203,对接源_01水果!$C$4:$C$1203,$B99,对接源_01水果!$D$4:$D$1203,"其他代存*"),2))</f>
        <v/>
      </c>
      <c r="E99" s="61" t="str">
        <f aca="false">IF($B99="","",ROUND(SUMIFS(对接源_02物料!$K$4:$K$1203,对接源_02物料!$C$4:$C$1203,$B99,对接源_02物料!$D$4:$D$1203,"包装物料*"),2))</f>
        <v/>
      </c>
      <c r="F99" s="61" t="str">
        <f aca="false">IF($B99="","",ROUND(SUMIFS(对接源_02物料!$K$4:$K$1203,对接源_02物料!$C$4:$C$1203,$B99,对接源_02物料!$D$4:$D$1203,"周转筐*"),2))</f>
        <v/>
      </c>
      <c r="G99" s="61" t="str">
        <f aca="false">IF($B99="","",ROUND(SUMIFS(对接源_02物料!$K$4:$K$1203,对接源_02物料!$C$4:$C$1203,$B99,对接源_02物料!$D$4:$D$1203,"次果筐*"),2))</f>
        <v/>
      </c>
      <c r="H99" s="61" t="str">
        <f aca="false">IF($B99="","",ROUND(SUM($C99:$G99),2))</f>
        <v/>
      </c>
      <c r="I99" s="61" t="str">
        <f aca="false">IF($B99="","",ROUND(SUMIFS(对接源_01水果!$K$4:$K$1203,对接源_01水果!$C$4:$C$1203,$B99,对接源_01水果!$D$4:$D$1203,"成品出库*",对接源_01水果!$L$4:$L$1203,"已收讫")+SUMIFS(对接源_01水果!$K$4:$K$1203,对接源_01水果!$C$4:$C$1203,$B99,对接源_01水果!$D$4:$D$1203,"成品出库*",对接源_01水果!$L$4:$L$1203,"已付款")+SUMIFS(对接源_01水果!$K$4:$K$1203,对接源_01水果!$C$4:$C$1203,$B99,对接源_01水果!$D$4:$D$1203,"其他代存*",对接源_01水果!$L$4:$L$1203,"已收讫")+SUMIFS(对接源_01水果!$K$4:$K$1203,对接源_01水果!$C$4:$C$1203,$B99,对接源_01水果!$D$4:$D$1203,"其他代存*",对接源_01水果!$L$4:$L$1203,"已付款")+SUMIFS(对接源_02物料!$K$4:$K$1203,对接源_02物料!$C$4:$C$1203,$B99,对接源_02物料!$D$4:$D$1203,"包装物料*",对接源_02物料!$L$4:$L$1203,"已收讫")+SUMIFS(对接源_02物料!$K$4:$K$1203,对接源_02物料!$C$4:$C$1203,$B99,对接源_02物料!$D$4:$D$1203,"包装物料*",对接源_02物料!$L$4:$L$1203,"已付款")+SUMIFS(对接源_02物料!$K$4:$K$1203,对接源_02物料!$C$4:$C$1203,$B99,对接源_02物料!$D$4:$D$1203,"周转筐*",对接源_02物料!$L$4:$L$1203,"已收讫")+SUMIFS(对接源_02物料!$K$4:$K$1203,对接源_02物料!$C$4:$C$1203,$B99,对接源_02物料!$D$4:$D$1203,"周转筐*",对接源_02物料!$L$4:$L$1203,"已付款")+SUMIFS(对接源_02物料!$K$4:$K$1203,对接源_02物料!$C$4:$C$1203,$B99,对接源_02物料!$D$4:$D$1203,"次果筐*",对接源_02物料!$L$4:$L$1203,"已收讫")+SUMIFS(对接源_02物料!$K$4:$K$1203,对接源_02物料!$C$4:$C$1203,$B99,对接源_02物料!$D$4:$D$1203,"次果筐*",对接源_02物料!$L$4:$L$1203,"已付款"),2))</f>
        <v/>
      </c>
      <c r="J99" s="61" t="str">
        <f aca="false">IF($B99="","",ROUND(N($H99)-N($I99),2))</f>
        <v/>
      </c>
      <c r="K99" s="59" t="str">
        <f aca="false">IF($B99="","",IF(ROUND(N($J99),2)&gt;0,"对方欠款",IF(ROUND(N($J99),2)&lt;0,"我方欠款","已两清")))</f>
        <v/>
      </c>
      <c r="L99" s="105"/>
    </row>
    <row r="100" customFormat="false" ht="13.5" hidden="false" customHeight="false" outlineLevel="0" collapsed="false">
      <c r="A100" s="59" t="str">
        <f aca="false">IF($B100="","",ROW()-3)</f>
        <v/>
      </c>
      <c r="B100" s="104" t="str">
        <f aca="false">IFERROR(INDEX(_自动清单!$E$4:$E$303,ROW()-3),"")</f>
        <v/>
      </c>
      <c r="C100" s="61" t="str">
        <f aca="false">IF($B100="","",ROUND(SUMIFS(对接源_01水果!$K$4:$K$1203,对接源_01水果!$C$4:$C$1203,$B100,对接源_01水果!$D$4:$D$1203,"成品出库*"),2))</f>
        <v/>
      </c>
      <c r="D100" s="61" t="str">
        <f aca="false">IF($B100="","",ROUND(SUMIFS(对接源_01水果!$K$4:$K$1203,对接源_01水果!$C$4:$C$1203,$B100,对接源_01水果!$D$4:$D$1203,"其他代存*"),2))</f>
        <v/>
      </c>
      <c r="E100" s="61" t="str">
        <f aca="false">IF($B100="","",ROUND(SUMIFS(对接源_02物料!$K$4:$K$1203,对接源_02物料!$C$4:$C$1203,$B100,对接源_02物料!$D$4:$D$1203,"包装物料*"),2))</f>
        <v/>
      </c>
      <c r="F100" s="61" t="str">
        <f aca="false">IF($B100="","",ROUND(SUMIFS(对接源_02物料!$K$4:$K$1203,对接源_02物料!$C$4:$C$1203,$B100,对接源_02物料!$D$4:$D$1203,"周转筐*"),2))</f>
        <v/>
      </c>
      <c r="G100" s="61" t="str">
        <f aca="false">IF($B100="","",ROUND(SUMIFS(对接源_02物料!$K$4:$K$1203,对接源_02物料!$C$4:$C$1203,$B100,对接源_02物料!$D$4:$D$1203,"次果筐*"),2))</f>
        <v/>
      </c>
      <c r="H100" s="61" t="str">
        <f aca="false">IF($B100="","",ROUND(SUM($C100:$G100),2))</f>
        <v/>
      </c>
      <c r="I100" s="61" t="str">
        <f aca="false">IF($B100="","",ROUND(SUMIFS(对接源_01水果!$K$4:$K$1203,对接源_01水果!$C$4:$C$1203,$B100,对接源_01水果!$D$4:$D$1203,"成品出库*",对接源_01水果!$L$4:$L$1203,"已收讫")+SUMIFS(对接源_01水果!$K$4:$K$1203,对接源_01水果!$C$4:$C$1203,$B100,对接源_01水果!$D$4:$D$1203,"成品出库*",对接源_01水果!$L$4:$L$1203,"已付款")+SUMIFS(对接源_01水果!$K$4:$K$1203,对接源_01水果!$C$4:$C$1203,$B100,对接源_01水果!$D$4:$D$1203,"其他代存*",对接源_01水果!$L$4:$L$1203,"已收讫")+SUMIFS(对接源_01水果!$K$4:$K$1203,对接源_01水果!$C$4:$C$1203,$B100,对接源_01水果!$D$4:$D$1203,"其他代存*",对接源_01水果!$L$4:$L$1203,"已付款")+SUMIFS(对接源_02物料!$K$4:$K$1203,对接源_02物料!$C$4:$C$1203,$B100,对接源_02物料!$D$4:$D$1203,"包装物料*",对接源_02物料!$L$4:$L$1203,"已收讫")+SUMIFS(对接源_02物料!$K$4:$K$1203,对接源_02物料!$C$4:$C$1203,$B100,对接源_02物料!$D$4:$D$1203,"包装物料*",对接源_02物料!$L$4:$L$1203,"已付款")+SUMIFS(对接源_02物料!$K$4:$K$1203,对接源_02物料!$C$4:$C$1203,$B100,对接源_02物料!$D$4:$D$1203,"周转筐*",对接源_02物料!$L$4:$L$1203,"已收讫")+SUMIFS(对接源_02物料!$K$4:$K$1203,对接源_02物料!$C$4:$C$1203,$B100,对接源_02物料!$D$4:$D$1203,"周转筐*",对接源_02物料!$L$4:$L$1203,"已付款")+SUMIFS(对接源_02物料!$K$4:$K$1203,对接源_02物料!$C$4:$C$1203,$B100,对接源_02物料!$D$4:$D$1203,"次果筐*",对接源_02物料!$L$4:$L$1203,"已收讫")+SUMIFS(对接源_02物料!$K$4:$K$1203,对接源_02物料!$C$4:$C$1203,$B100,对接源_02物料!$D$4:$D$1203,"次果筐*",对接源_02物料!$L$4:$L$1203,"已付款"),2))</f>
        <v/>
      </c>
      <c r="J100" s="61" t="str">
        <f aca="false">IF($B100="","",ROUND(N($H100)-N($I100),2))</f>
        <v/>
      </c>
      <c r="K100" s="59" t="str">
        <f aca="false">IF($B100="","",IF(ROUND(N($J100),2)&gt;0,"对方欠款",IF(ROUND(N($J100),2)&lt;0,"我方欠款","已两清")))</f>
        <v/>
      </c>
      <c r="L100" s="105"/>
    </row>
    <row r="101" customFormat="false" ht="13.5" hidden="false" customHeight="false" outlineLevel="0" collapsed="false">
      <c r="A101" s="59" t="str">
        <f aca="false">IF($B101="","",ROW()-3)</f>
        <v/>
      </c>
      <c r="B101" s="104" t="str">
        <f aca="false">IFERROR(INDEX(_自动清单!$E$4:$E$303,ROW()-3),"")</f>
        <v/>
      </c>
      <c r="C101" s="61" t="str">
        <f aca="false">IF($B101="","",ROUND(SUMIFS(对接源_01水果!$K$4:$K$1203,对接源_01水果!$C$4:$C$1203,$B101,对接源_01水果!$D$4:$D$1203,"成品出库*"),2))</f>
        <v/>
      </c>
      <c r="D101" s="61" t="str">
        <f aca="false">IF($B101="","",ROUND(SUMIFS(对接源_01水果!$K$4:$K$1203,对接源_01水果!$C$4:$C$1203,$B101,对接源_01水果!$D$4:$D$1203,"其他代存*"),2))</f>
        <v/>
      </c>
      <c r="E101" s="61" t="str">
        <f aca="false">IF($B101="","",ROUND(SUMIFS(对接源_02物料!$K$4:$K$1203,对接源_02物料!$C$4:$C$1203,$B101,对接源_02物料!$D$4:$D$1203,"包装物料*"),2))</f>
        <v/>
      </c>
      <c r="F101" s="61" t="str">
        <f aca="false">IF($B101="","",ROUND(SUMIFS(对接源_02物料!$K$4:$K$1203,对接源_02物料!$C$4:$C$1203,$B101,对接源_02物料!$D$4:$D$1203,"周转筐*"),2))</f>
        <v/>
      </c>
      <c r="G101" s="61" t="str">
        <f aca="false">IF($B101="","",ROUND(SUMIFS(对接源_02物料!$K$4:$K$1203,对接源_02物料!$C$4:$C$1203,$B101,对接源_02物料!$D$4:$D$1203,"次果筐*"),2))</f>
        <v/>
      </c>
      <c r="H101" s="61" t="str">
        <f aca="false">IF($B101="","",ROUND(SUM($C101:$G101),2))</f>
        <v/>
      </c>
      <c r="I101" s="61" t="str">
        <f aca="false">IF($B101="","",ROUND(SUMIFS(对接源_01水果!$K$4:$K$1203,对接源_01水果!$C$4:$C$1203,$B101,对接源_01水果!$D$4:$D$1203,"成品出库*",对接源_01水果!$L$4:$L$1203,"已收讫")+SUMIFS(对接源_01水果!$K$4:$K$1203,对接源_01水果!$C$4:$C$1203,$B101,对接源_01水果!$D$4:$D$1203,"成品出库*",对接源_01水果!$L$4:$L$1203,"已付款")+SUMIFS(对接源_01水果!$K$4:$K$1203,对接源_01水果!$C$4:$C$1203,$B101,对接源_01水果!$D$4:$D$1203,"其他代存*",对接源_01水果!$L$4:$L$1203,"已收讫")+SUMIFS(对接源_01水果!$K$4:$K$1203,对接源_01水果!$C$4:$C$1203,$B101,对接源_01水果!$D$4:$D$1203,"其他代存*",对接源_01水果!$L$4:$L$1203,"已付款")+SUMIFS(对接源_02物料!$K$4:$K$1203,对接源_02物料!$C$4:$C$1203,$B101,对接源_02物料!$D$4:$D$1203,"包装物料*",对接源_02物料!$L$4:$L$1203,"已收讫")+SUMIFS(对接源_02物料!$K$4:$K$1203,对接源_02物料!$C$4:$C$1203,$B101,对接源_02物料!$D$4:$D$1203,"包装物料*",对接源_02物料!$L$4:$L$1203,"已付款")+SUMIFS(对接源_02物料!$K$4:$K$1203,对接源_02物料!$C$4:$C$1203,$B101,对接源_02物料!$D$4:$D$1203,"周转筐*",对接源_02物料!$L$4:$L$1203,"已收讫")+SUMIFS(对接源_02物料!$K$4:$K$1203,对接源_02物料!$C$4:$C$1203,$B101,对接源_02物料!$D$4:$D$1203,"周转筐*",对接源_02物料!$L$4:$L$1203,"已付款")+SUMIFS(对接源_02物料!$K$4:$K$1203,对接源_02物料!$C$4:$C$1203,$B101,对接源_02物料!$D$4:$D$1203,"次果筐*",对接源_02物料!$L$4:$L$1203,"已收讫")+SUMIFS(对接源_02物料!$K$4:$K$1203,对接源_02物料!$C$4:$C$1203,$B101,对接源_02物料!$D$4:$D$1203,"次果筐*",对接源_02物料!$L$4:$L$1203,"已付款"),2))</f>
        <v/>
      </c>
      <c r="J101" s="61" t="str">
        <f aca="false">IF($B101="","",ROUND(N($H101)-N($I101),2))</f>
        <v/>
      </c>
      <c r="K101" s="59" t="str">
        <f aca="false">IF($B101="","",IF(ROUND(N($J101),2)&gt;0,"对方欠款",IF(ROUND(N($J101),2)&lt;0,"我方欠款","已两清")))</f>
        <v/>
      </c>
      <c r="L101" s="105"/>
    </row>
    <row r="102" customFormat="false" ht="13.5" hidden="false" customHeight="false" outlineLevel="0" collapsed="false">
      <c r="A102" s="59" t="str">
        <f aca="false">IF($B102="","",ROW()-3)</f>
        <v/>
      </c>
      <c r="B102" s="104" t="str">
        <f aca="false">IFERROR(INDEX(_自动清单!$E$4:$E$303,ROW()-3),"")</f>
        <v/>
      </c>
      <c r="C102" s="61" t="str">
        <f aca="false">IF($B102="","",ROUND(SUMIFS(对接源_01水果!$K$4:$K$1203,对接源_01水果!$C$4:$C$1203,$B102,对接源_01水果!$D$4:$D$1203,"成品出库*"),2))</f>
        <v/>
      </c>
      <c r="D102" s="61" t="str">
        <f aca="false">IF($B102="","",ROUND(SUMIFS(对接源_01水果!$K$4:$K$1203,对接源_01水果!$C$4:$C$1203,$B102,对接源_01水果!$D$4:$D$1203,"其他代存*"),2))</f>
        <v/>
      </c>
      <c r="E102" s="61" t="str">
        <f aca="false">IF($B102="","",ROUND(SUMIFS(对接源_02物料!$K$4:$K$1203,对接源_02物料!$C$4:$C$1203,$B102,对接源_02物料!$D$4:$D$1203,"包装物料*"),2))</f>
        <v/>
      </c>
      <c r="F102" s="61" t="str">
        <f aca="false">IF($B102="","",ROUND(SUMIFS(对接源_02物料!$K$4:$K$1203,对接源_02物料!$C$4:$C$1203,$B102,对接源_02物料!$D$4:$D$1203,"周转筐*"),2))</f>
        <v/>
      </c>
      <c r="G102" s="61" t="str">
        <f aca="false">IF($B102="","",ROUND(SUMIFS(对接源_02物料!$K$4:$K$1203,对接源_02物料!$C$4:$C$1203,$B102,对接源_02物料!$D$4:$D$1203,"次果筐*"),2))</f>
        <v/>
      </c>
      <c r="H102" s="61" t="str">
        <f aca="false">IF($B102="","",ROUND(SUM($C102:$G102),2))</f>
        <v/>
      </c>
      <c r="I102" s="61" t="str">
        <f aca="false">IF($B102="","",ROUND(SUMIFS(对接源_01水果!$K$4:$K$1203,对接源_01水果!$C$4:$C$1203,$B102,对接源_01水果!$D$4:$D$1203,"成品出库*",对接源_01水果!$L$4:$L$1203,"已收讫")+SUMIFS(对接源_01水果!$K$4:$K$1203,对接源_01水果!$C$4:$C$1203,$B102,对接源_01水果!$D$4:$D$1203,"成品出库*",对接源_01水果!$L$4:$L$1203,"已付款")+SUMIFS(对接源_01水果!$K$4:$K$1203,对接源_01水果!$C$4:$C$1203,$B102,对接源_01水果!$D$4:$D$1203,"其他代存*",对接源_01水果!$L$4:$L$1203,"已收讫")+SUMIFS(对接源_01水果!$K$4:$K$1203,对接源_01水果!$C$4:$C$1203,$B102,对接源_01水果!$D$4:$D$1203,"其他代存*",对接源_01水果!$L$4:$L$1203,"已付款")+SUMIFS(对接源_02物料!$K$4:$K$1203,对接源_02物料!$C$4:$C$1203,$B102,对接源_02物料!$D$4:$D$1203,"包装物料*",对接源_02物料!$L$4:$L$1203,"已收讫")+SUMIFS(对接源_02物料!$K$4:$K$1203,对接源_02物料!$C$4:$C$1203,$B102,对接源_02物料!$D$4:$D$1203,"包装物料*",对接源_02物料!$L$4:$L$1203,"已付款")+SUMIFS(对接源_02物料!$K$4:$K$1203,对接源_02物料!$C$4:$C$1203,$B102,对接源_02物料!$D$4:$D$1203,"周转筐*",对接源_02物料!$L$4:$L$1203,"已收讫")+SUMIFS(对接源_02物料!$K$4:$K$1203,对接源_02物料!$C$4:$C$1203,$B102,对接源_02物料!$D$4:$D$1203,"周转筐*",对接源_02物料!$L$4:$L$1203,"已付款")+SUMIFS(对接源_02物料!$K$4:$K$1203,对接源_02物料!$C$4:$C$1203,$B102,对接源_02物料!$D$4:$D$1203,"次果筐*",对接源_02物料!$L$4:$L$1203,"已收讫")+SUMIFS(对接源_02物料!$K$4:$K$1203,对接源_02物料!$C$4:$C$1203,$B102,对接源_02物料!$D$4:$D$1203,"次果筐*",对接源_02物料!$L$4:$L$1203,"已付款"),2))</f>
        <v/>
      </c>
      <c r="J102" s="61" t="str">
        <f aca="false">IF($B102="","",ROUND(N($H102)-N($I102),2))</f>
        <v/>
      </c>
      <c r="K102" s="59" t="str">
        <f aca="false">IF($B102="","",IF(ROUND(N($J102),2)&gt;0,"对方欠款",IF(ROUND(N($J102),2)&lt;0,"我方欠款","已两清")))</f>
        <v/>
      </c>
      <c r="L102" s="105"/>
    </row>
    <row r="103" customFormat="false" ht="13.5" hidden="false" customHeight="false" outlineLevel="0" collapsed="false">
      <c r="A103" s="59" t="str">
        <f aca="false">IF($B103="","",ROW()-3)</f>
        <v/>
      </c>
      <c r="B103" s="104" t="str">
        <f aca="false">IFERROR(INDEX(_自动清单!$E$4:$E$303,ROW()-3),"")</f>
        <v/>
      </c>
      <c r="C103" s="61" t="str">
        <f aca="false">IF($B103="","",ROUND(SUMIFS(对接源_01水果!$K$4:$K$1203,对接源_01水果!$C$4:$C$1203,$B103,对接源_01水果!$D$4:$D$1203,"成品出库*"),2))</f>
        <v/>
      </c>
      <c r="D103" s="61" t="str">
        <f aca="false">IF($B103="","",ROUND(SUMIFS(对接源_01水果!$K$4:$K$1203,对接源_01水果!$C$4:$C$1203,$B103,对接源_01水果!$D$4:$D$1203,"其他代存*"),2))</f>
        <v/>
      </c>
      <c r="E103" s="61" t="str">
        <f aca="false">IF($B103="","",ROUND(SUMIFS(对接源_02物料!$K$4:$K$1203,对接源_02物料!$C$4:$C$1203,$B103,对接源_02物料!$D$4:$D$1203,"包装物料*"),2))</f>
        <v/>
      </c>
      <c r="F103" s="61" t="str">
        <f aca="false">IF($B103="","",ROUND(SUMIFS(对接源_02物料!$K$4:$K$1203,对接源_02物料!$C$4:$C$1203,$B103,对接源_02物料!$D$4:$D$1203,"周转筐*"),2))</f>
        <v/>
      </c>
      <c r="G103" s="61" t="str">
        <f aca="false">IF($B103="","",ROUND(SUMIFS(对接源_02物料!$K$4:$K$1203,对接源_02物料!$C$4:$C$1203,$B103,对接源_02物料!$D$4:$D$1203,"次果筐*"),2))</f>
        <v/>
      </c>
      <c r="H103" s="61" t="str">
        <f aca="false">IF($B103="","",ROUND(SUM($C103:$G103),2))</f>
        <v/>
      </c>
      <c r="I103" s="61" t="str">
        <f aca="false">IF($B103="","",ROUND(SUMIFS(对接源_01水果!$K$4:$K$1203,对接源_01水果!$C$4:$C$1203,$B103,对接源_01水果!$D$4:$D$1203,"成品出库*",对接源_01水果!$L$4:$L$1203,"已收讫")+SUMIFS(对接源_01水果!$K$4:$K$1203,对接源_01水果!$C$4:$C$1203,$B103,对接源_01水果!$D$4:$D$1203,"成品出库*",对接源_01水果!$L$4:$L$1203,"已付款")+SUMIFS(对接源_01水果!$K$4:$K$1203,对接源_01水果!$C$4:$C$1203,$B103,对接源_01水果!$D$4:$D$1203,"其他代存*",对接源_01水果!$L$4:$L$1203,"已收讫")+SUMIFS(对接源_01水果!$K$4:$K$1203,对接源_01水果!$C$4:$C$1203,$B103,对接源_01水果!$D$4:$D$1203,"其他代存*",对接源_01水果!$L$4:$L$1203,"已付款")+SUMIFS(对接源_02物料!$K$4:$K$1203,对接源_02物料!$C$4:$C$1203,$B103,对接源_02物料!$D$4:$D$1203,"包装物料*",对接源_02物料!$L$4:$L$1203,"已收讫")+SUMIFS(对接源_02物料!$K$4:$K$1203,对接源_02物料!$C$4:$C$1203,$B103,对接源_02物料!$D$4:$D$1203,"包装物料*",对接源_02物料!$L$4:$L$1203,"已付款")+SUMIFS(对接源_02物料!$K$4:$K$1203,对接源_02物料!$C$4:$C$1203,$B103,对接源_02物料!$D$4:$D$1203,"周转筐*",对接源_02物料!$L$4:$L$1203,"已收讫")+SUMIFS(对接源_02物料!$K$4:$K$1203,对接源_02物料!$C$4:$C$1203,$B103,对接源_02物料!$D$4:$D$1203,"周转筐*",对接源_02物料!$L$4:$L$1203,"已付款")+SUMIFS(对接源_02物料!$K$4:$K$1203,对接源_02物料!$C$4:$C$1203,$B103,对接源_02物料!$D$4:$D$1203,"次果筐*",对接源_02物料!$L$4:$L$1203,"已收讫")+SUMIFS(对接源_02物料!$K$4:$K$1203,对接源_02物料!$C$4:$C$1203,$B103,对接源_02物料!$D$4:$D$1203,"次果筐*",对接源_02物料!$L$4:$L$1203,"已付款"),2))</f>
        <v/>
      </c>
      <c r="J103" s="61" t="str">
        <f aca="false">IF($B103="","",ROUND(N($H103)-N($I103),2))</f>
        <v/>
      </c>
      <c r="K103" s="59" t="str">
        <f aca="false">IF($B103="","",IF(ROUND(N($J103),2)&gt;0,"对方欠款",IF(ROUND(N($J103),2)&lt;0,"我方欠款","已两清")))</f>
        <v/>
      </c>
      <c r="L103" s="105"/>
    </row>
    <row r="104" customFormat="false" ht="13.5" hidden="false" customHeight="false" outlineLevel="0" collapsed="false">
      <c r="A104" s="59" t="str">
        <f aca="false">IF($B104="","",ROW()-3)</f>
        <v/>
      </c>
      <c r="B104" s="104" t="str">
        <f aca="false">IFERROR(INDEX(_自动清单!$E$4:$E$303,ROW()-3),"")</f>
        <v/>
      </c>
      <c r="C104" s="61" t="str">
        <f aca="false">IF($B104="","",ROUND(SUMIFS(对接源_01水果!$K$4:$K$1203,对接源_01水果!$C$4:$C$1203,$B104,对接源_01水果!$D$4:$D$1203,"成品出库*"),2))</f>
        <v/>
      </c>
      <c r="D104" s="61" t="str">
        <f aca="false">IF($B104="","",ROUND(SUMIFS(对接源_01水果!$K$4:$K$1203,对接源_01水果!$C$4:$C$1203,$B104,对接源_01水果!$D$4:$D$1203,"其他代存*"),2))</f>
        <v/>
      </c>
      <c r="E104" s="61" t="str">
        <f aca="false">IF($B104="","",ROUND(SUMIFS(对接源_02物料!$K$4:$K$1203,对接源_02物料!$C$4:$C$1203,$B104,对接源_02物料!$D$4:$D$1203,"包装物料*"),2))</f>
        <v/>
      </c>
      <c r="F104" s="61" t="str">
        <f aca="false">IF($B104="","",ROUND(SUMIFS(对接源_02物料!$K$4:$K$1203,对接源_02物料!$C$4:$C$1203,$B104,对接源_02物料!$D$4:$D$1203,"周转筐*"),2))</f>
        <v/>
      </c>
      <c r="G104" s="61" t="str">
        <f aca="false">IF($B104="","",ROUND(SUMIFS(对接源_02物料!$K$4:$K$1203,对接源_02物料!$C$4:$C$1203,$B104,对接源_02物料!$D$4:$D$1203,"次果筐*"),2))</f>
        <v/>
      </c>
      <c r="H104" s="61" t="str">
        <f aca="false">IF($B104="","",ROUND(SUM($C104:$G104),2))</f>
        <v/>
      </c>
      <c r="I104" s="61" t="str">
        <f aca="false">IF($B104="","",ROUND(SUMIFS(对接源_01水果!$K$4:$K$1203,对接源_01水果!$C$4:$C$1203,$B104,对接源_01水果!$D$4:$D$1203,"成品出库*",对接源_01水果!$L$4:$L$1203,"已收讫")+SUMIFS(对接源_01水果!$K$4:$K$1203,对接源_01水果!$C$4:$C$1203,$B104,对接源_01水果!$D$4:$D$1203,"成品出库*",对接源_01水果!$L$4:$L$1203,"已付款")+SUMIFS(对接源_01水果!$K$4:$K$1203,对接源_01水果!$C$4:$C$1203,$B104,对接源_01水果!$D$4:$D$1203,"其他代存*",对接源_01水果!$L$4:$L$1203,"已收讫")+SUMIFS(对接源_01水果!$K$4:$K$1203,对接源_01水果!$C$4:$C$1203,$B104,对接源_01水果!$D$4:$D$1203,"其他代存*",对接源_01水果!$L$4:$L$1203,"已付款")+SUMIFS(对接源_02物料!$K$4:$K$1203,对接源_02物料!$C$4:$C$1203,$B104,对接源_02物料!$D$4:$D$1203,"包装物料*",对接源_02物料!$L$4:$L$1203,"已收讫")+SUMIFS(对接源_02物料!$K$4:$K$1203,对接源_02物料!$C$4:$C$1203,$B104,对接源_02物料!$D$4:$D$1203,"包装物料*",对接源_02物料!$L$4:$L$1203,"已付款")+SUMIFS(对接源_02物料!$K$4:$K$1203,对接源_02物料!$C$4:$C$1203,$B104,对接源_02物料!$D$4:$D$1203,"周转筐*",对接源_02物料!$L$4:$L$1203,"已收讫")+SUMIFS(对接源_02物料!$K$4:$K$1203,对接源_02物料!$C$4:$C$1203,$B104,对接源_02物料!$D$4:$D$1203,"周转筐*",对接源_02物料!$L$4:$L$1203,"已付款")+SUMIFS(对接源_02物料!$K$4:$K$1203,对接源_02物料!$C$4:$C$1203,$B104,对接源_02物料!$D$4:$D$1203,"次果筐*",对接源_02物料!$L$4:$L$1203,"已收讫")+SUMIFS(对接源_02物料!$K$4:$K$1203,对接源_02物料!$C$4:$C$1203,$B104,对接源_02物料!$D$4:$D$1203,"次果筐*",对接源_02物料!$L$4:$L$1203,"已付款"),2))</f>
        <v/>
      </c>
      <c r="J104" s="61" t="str">
        <f aca="false">IF($B104="","",ROUND(N($H104)-N($I104),2))</f>
        <v/>
      </c>
      <c r="K104" s="59" t="str">
        <f aca="false">IF($B104="","",IF(ROUND(N($J104),2)&gt;0,"对方欠款",IF(ROUND(N($J104),2)&lt;0,"我方欠款","已两清")))</f>
        <v/>
      </c>
      <c r="L104" s="105"/>
    </row>
    <row r="105" customFormat="false" ht="13.5" hidden="false" customHeight="false" outlineLevel="0" collapsed="false">
      <c r="A105" s="59" t="str">
        <f aca="false">IF($B105="","",ROW()-3)</f>
        <v/>
      </c>
      <c r="B105" s="104" t="str">
        <f aca="false">IFERROR(INDEX(_自动清单!$E$4:$E$303,ROW()-3),"")</f>
        <v/>
      </c>
      <c r="C105" s="61" t="str">
        <f aca="false">IF($B105="","",ROUND(SUMIFS(对接源_01水果!$K$4:$K$1203,对接源_01水果!$C$4:$C$1203,$B105,对接源_01水果!$D$4:$D$1203,"成品出库*"),2))</f>
        <v/>
      </c>
      <c r="D105" s="61" t="str">
        <f aca="false">IF($B105="","",ROUND(SUMIFS(对接源_01水果!$K$4:$K$1203,对接源_01水果!$C$4:$C$1203,$B105,对接源_01水果!$D$4:$D$1203,"其他代存*"),2))</f>
        <v/>
      </c>
      <c r="E105" s="61" t="str">
        <f aca="false">IF($B105="","",ROUND(SUMIFS(对接源_02物料!$K$4:$K$1203,对接源_02物料!$C$4:$C$1203,$B105,对接源_02物料!$D$4:$D$1203,"包装物料*"),2))</f>
        <v/>
      </c>
      <c r="F105" s="61" t="str">
        <f aca="false">IF($B105="","",ROUND(SUMIFS(对接源_02物料!$K$4:$K$1203,对接源_02物料!$C$4:$C$1203,$B105,对接源_02物料!$D$4:$D$1203,"周转筐*"),2))</f>
        <v/>
      </c>
      <c r="G105" s="61" t="str">
        <f aca="false">IF($B105="","",ROUND(SUMIFS(对接源_02物料!$K$4:$K$1203,对接源_02物料!$C$4:$C$1203,$B105,对接源_02物料!$D$4:$D$1203,"次果筐*"),2))</f>
        <v/>
      </c>
      <c r="H105" s="61" t="str">
        <f aca="false">IF($B105="","",ROUND(SUM($C105:$G105),2))</f>
        <v/>
      </c>
      <c r="I105" s="61" t="str">
        <f aca="false">IF($B105="","",ROUND(SUMIFS(对接源_01水果!$K$4:$K$1203,对接源_01水果!$C$4:$C$1203,$B105,对接源_01水果!$D$4:$D$1203,"成品出库*",对接源_01水果!$L$4:$L$1203,"已收讫")+SUMIFS(对接源_01水果!$K$4:$K$1203,对接源_01水果!$C$4:$C$1203,$B105,对接源_01水果!$D$4:$D$1203,"成品出库*",对接源_01水果!$L$4:$L$1203,"已付款")+SUMIFS(对接源_01水果!$K$4:$K$1203,对接源_01水果!$C$4:$C$1203,$B105,对接源_01水果!$D$4:$D$1203,"其他代存*",对接源_01水果!$L$4:$L$1203,"已收讫")+SUMIFS(对接源_01水果!$K$4:$K$1203,对接源_01水果!$C$4:$C$1203,$B105,对接源_01水果!$D$4:$D$1203,"其他代存*",对接源_01水果!$L$4:$L$1203,"已付款")+SUMIFS(对接源_02物料!$K$4:$K$1203,对接源_02物料!$C$4:$C$1203,$B105,对接源_02物料!$D$4:$D$1203,"包装物料*",对接源_02物料!$L$4:$L$1203,"已收讫")+SUMIFS(对接源_02物料!$K$4:$K$1203,对接源_02物料!$C$4:$C$1203,$B105,对接源_02物料!$D$4:$D$1203,"包装物料*",对接源_02物料!$L$4:$L$1203,"已付款")+SUMIFS(对接源_02物料!$K$4:$K$1203,对接源_02物料!$C$4:$C$1203,$B105,对接源_02物料!$D$4:$D$1203,"周转筐*",对接源_02物料!$L$4:$L$1203,"已收讫")+SUMIFS(对接源_02物料!$K$4:$K$1203,对接源_02物料!$C$4:$C$1203,$B105,对接源_02物料!$D$4:$D$1203,"周转筐*",对接源_02物料!$L$4:$L$1203,"已付款")+SUMIFS(对接源_02物料!$K$4:$K$1203,对接源_02物料!$C$4:$C$1203,$B105,对接源_02物料!$D$4:$D$1203,"次果筐*",对接源_02物料!$L$4:$L$1203,"已收讫")+SUMIFS(对接源_02物料!$K$4:$K$1203,对接源_02物料!$C$4:$C$1203,$B105,对接源_02物料!$D$4:$D$1203,"次果筐*",对接源_02物料!$L$4:$L$1203,"已付款"),2))</f>
        <v/>
      </c>
      <c r="J105" s="61" t="str">
        <f aca="false">IF($B105="","",ROUND(N($H105)-N($I105),2))</f>
        <v/>
      </c>
      <c r="K105" s="59" t="str">
        <f aca="false">IF($B105="","",IF(ROUND(N($J105),2)&gt;0,"对方欠款",IF(ROUND(N($J105),2)&lt;0,"我方欠款","已两清")))</f>
        <v/>
      </c>
      <c r="L105" s="105"/>
    </row>
    <row r="106" customFormat="false" ht="13.5" hidden="false" customHeight="false" outlineLevel="0" collapsed="false">
      <c r="A106" s="59" t="str">
        <f aca="false">IF($B106="","",ROW()-3)</f>
        <v/>
      </c>
      <c r="B106" s="104" t="str">
        <f aca="false">IFERROR(INDEX(_自动清单!$E$4:$E$303,ROW()-3),"")</f>
        <v/>
      </c>
      <c r="C106" s="61" t="str">
        <f aca="false">IF($B106="","",ROUND(SUMIFS(对接源_01水果!$K$4:$K$1203,对接源_01水果!$C$4:$C$1203,$B106,对接源_01水果!$D$4:$D$1203,"成品出库*"),2))</f>
        <v/>
      </c>
      <c r="D106" s="61" t="str">
        <f aca="false">IF($B106="","",ROUND(SUMIFS(对接源_01水果!$K$4:$K$1203,对接源_01水果!$C$4:$C$1203,$B106,对接源_01水果!$D$4:$D$1203,"其他代存*"),2))</f>
        <v/>
      </c>
      <c r="E106" s="61" t="str">
        <f aca="false">IF($B106="","",ROUND(SUMIFS(对接源_02物料!$K$4:$K$1203,对接源_02物料!$C$4:$C$1203,$B106,对接源_02物料!$D$4:$D$1203,"包装物料*"),2))</f>
        <v/>
      </c>
      <c r="F106" s="61" t="str">
        <f aca="false">IF($B106="","",ROUND(SUMIFS(对接源_02物料!$K$4:$K$1203,对接源_02物料!$C$4:$C$1203,$B106,对接源_02物料!$D$4:$D$1203,"周转筐*"),2))</f>
        <v/>
      </c>
      <c r="G106" s="61" t="str">
        <f aca="false">IF($B106="","",ROUND(SUMIFS(对接源_02物料!$K$4:$K$1203,对接源_02物料!$C$4:$C$1203,$B106,对接源_02物料!$D$4:$D$1203,"次果筐*"),2))</f>
        <v/>
      </c>
      <c r="H106" s="61" t="str">
        <f aca="false">IF($B106="","",ROUND(SUM($C106:$G106),2))</f>
        <v/>
      </c>
      <c r="I106" s="61" t="str">
        <f aca="false">IF($B106="","",ROUND(SUMIFS(对接源_01水果!$K$4:$K$1203,对接源_01水果!$C$4:$C$1203,$B106,对接源_01水果!$D$4:$D$1203,"成品出库*",对接源_01水果!$L$4:$L$1203,"已收讫")+SUMIFS(对接源_01水果!$K$4:$K$1203,对接源_01水果!$C$4:$C$1203,$B106,对接源_01水果!$D$4:$D$1203,"成品出库*",对接源_01水果!$L$4:$L$1203,"已付款")+SUMIFS(对接源_01水果!$K$4:$K$1203,对接源_01水果!$C$4:$C$1203,$B106,对接源_01水果!$D$4:$D$1203,"其他代存*",对接源_01水果!$L$4:$L$1203,"已收讫")+SUMIFS(对接源_01水果!$K$4:$K$1203,对接源_01水果!$C$4:$C$1203,$B106,对接源_01水果!$D$4:$D$1203,"其他代存*",对接源_01水果!$L$4:$L$1203,"已付款")+SUMIFS(对接源_02物料!$K$4:$K$1203,对接源_02物料!$C$4:$C$1203,$B106,对接源_02物料!$D$4:$D$1203,"包装物料*",对接源_02物料!$L$4:$L$1203,"已收讫")+SUMIFS(对接源_02物料!$K$4:$K$1203,对接源_02物料!$C$4:$C$1203,$B106,对接源_02物料!$D$4:$D$1203,"包装物料*",对接源_02物料!$L$4:$L$1203,"已付款")+SUMIFS(对接源_02物料!$K$4:$K$1203,对接源_02物料!$C$4:$C$1203,$B106,对接源_02物料!$D$4:$D$1203,"周转筐*",对接源_02物料!$L$4:$L$1203,"已收讫")+SUMIFS(对接源_02物料!$K$4:$K$1203,对接源_02物料!$C$4:$C$1203,$B106,对接源_02物料!$D$4:$D$1203,"周转筐*",对接源_02物料!$L$4:$L$1203,"已付款")+SUMIFS(对接源_02物料!$K$4:$K$1203,对接源_02物料!$C$4:$C$1203,$B106,对接源_02物料!$D$4:$D$1203,"次果筐*",对接源_02物料!$L$4:$L$1203,"已收讫")+SUMIFS(对接源_02物料!$K$4:$K$1203,对接源_02物料!$C$4:$C$1203,$B106,对接源_02物料!$D$4:$D$1203,"次果筐*",对接源_02物料!$L$4:$L$1203,"已付款"),2))</f>
        <v/>
      </c>
      <c r="J106" s="61" t="str">
        <f aca="false">IF($B106="","",ROUND(N($H106)-N($I106),2))</f>
        <v/>
      </c>
      <c r="K106" s="59" t="str">
        <f aca="false">IF($B106="","",IF(ROUND(N($J106),2)&gt;0,"对方欠款",IF(ROUND(N($J106),2)&lt;0,"我方欠款","已两清")))</f>
        <v/>
      </c>
      <c r="L106" s="105"/>
    </row>
    <row r="107" customFormat="false" ht="13.5" hidden="false" customHeight="false" outlineLevel="0" collapsed="false">
      <c r="A107" s="59" t="str">
        <f aca="false">IF($B107="","",ROW()-3)</f>
        <v/>
      </c>
      <c r="B107" s="104" t="str">
        <f aca="false">IFERROR(INDEX(_自动清单!$E$4:$E$303,ROW()-3),"")</f>
        <v/>
      </c>
      <c r="C107" s="61" t="str">
        <f aca="false">IF($B107="","",ROUND(SUMIFS(对接源_01水果!$K$4:$K$1203,对接源_01水果!$C$4:$C$1203,$B107,对接源_01水果!$D$4:$D$1203,"成品出库*"),2))</f>
        <v/>
      </c>
      <c r="D107" s="61" t="str">
        <f aca="false">IF($B107="","",ROUND(SUMIFS(对接源_01水果!$K$4:$K$1203,对接源_01水果!$C$4:$C$1203,$B107,对接源_01水果!$D$4:$D$1203,"其他代存*"),2))</f>
        <v/>
      </c>
      <c r="E107" s="61" t="str">
        <f aca="false">IF($B107="","",ROUND(SUMIFS(对接源_02物料!$K$4:$K$1203,对接源_02物料!$C$4:$C$1203,$B107,对接源_02物料!$D$4:$D$1203,"包装物料*"),2))</f>
        <v/>
      </c>
      <c r="F107" s="61" t="str">
        <f aca="false">IF($B107="","",ROUND(SUMIFS(对接源_02物料!$K$4:$K$1203,对接源_02物料!$C$4:$C$1203,$B107,对接源_02物料!$D$4:$D$1203,"周转筐*"),2))</f>
        <v/>
      </c>
      <c r="G107" s="61" t="str">
        <f aca="false">IF($B107="","",ROUND(SUMIFS(对接源_02物料!$K$4:$K$1203,对接源_02物料!$C$4:$C$1203,$B107,对接源_02物料!$D$4:$D$1203,"次果筐*"),2))</f>
        <v/>
      </c>
      <c r="H107" s="61" t="str">
        <f aca="false">IF($B107="","",ROUND(SUM($C107:$G107),2))</f>
        <v/>
      </c>
      <c r="I107" s="61" t="str">
        <f aca="false">IF($B107="","",ROUND(SUMIFS(对接源_01水果!$K$4:$K$1203,对接源_01水果!$C$4:$C$1203,$B107,对接源_01水果!$D$4:$D$1203,"成品出库*",对接源_01水果!$L$4:$L$1203,"已收讫")+SUMIFS(对接源_01水果!$K$4:$K$1203,对接源_01水果!$C$4:$C$1203,$B107,对接源_01水果!$D$4:$D$1203,"成品出库*",对接源_01水果!$L$4:$L$1203,"已付款")+SUMIFS(对接源_01水果!$K$4:$K$1203,对接源_01水果!$C$4:$C$1203,$B107,对接源_01水果!$D$4:$D$1203,"其他代存*",对接源_01水果!$L$4:$L$1203,"已收讫")+SUMIFS(对接源_01水果!$K$4:$K$1203,对接源_01水果!$C$4:$C$1203,$B107,对接源_01水果!$D$4:$D$1203,"其他代存*",对接源_01水果!$L$4:$L$1203,"已付款")+SUMIFS(对接源_02物料!$K$4:$K$1203,对接源_02物料!$C$4:$C$1203,$B107,对接源_02物料!$D$4:$D$1203,"包装物料*",对接源_02物料!$L$4:$L$1203,"已收讫")+SUMIFS(对接源_02物料!$K$4:$K$1203,对接源_02物料!$C$4:$C$1203,$B107,对接源_02物料!$D$4:$D$1203,"包装物料*",对接源_02物料!$L$4:$L$1203,"已付款")+SUMIFS(对接源_02物料!$K$4:$K$1203,对接源_02物料!$C$4:$C$1203,$B107,对接源_02物料!$D$4:$D$1203,"周转筐*",对接源_02物料!$L$4:$L$1203,"已收讫")+SUMIFS(对接源_02物料!$K$4:$K$1203,对接源_02物料!$C$4:$C$1203,$B107,对接源_02物料!$D$4:$D$1203,"周转筐*",对接源_02物料!$L$4:$L$1203,"已付款")+SUMIFS(对接源_02物料!$K$4:$K$1203,对接源_02物料!$C$4:$C$1203,$B107,对接源_02物料!$D$4:$D$1203,"次果筐*",对接源_02物料!$L$4:$L$1203,"已收讫")+SUMIFS(对接源_02物料!$K$4:$K$1203,对接源_02物料!$C$4:$C$1203,$B107,对接源_02物料!$D$4:$D$1203,"次果筐*",对接源_02物料!$L$4:$L$1203,"已付款"),2))</f>
        <v/>
      </c>
      <c r="J107" s="61" t="str">
        <f aca="false">IF($B107="","",ROUND(N($H107)-N($I107),2))</f>
        <v/>
      </c>
      <c r="K107" s="59" t="str">
        <f aca="false">IF($B107="","",IF(ROUND(N($J107),2)&gt;0,"对方欠款",IF(ROUND(N($J107),2)&lt;0,"我方欠款","已两清")))</f>
        <v/>
      </c>
      <c r="L107" s="105"/>
    </row>
    <row r="108" customFormat="false" ht="13.5" hidden="false" customHeight="false" outlineLevel="0" collapsed="false">
      <c r="A108" s="59" t="str">
        <f aca="false">IF($B108="","",ROW()-3)</f>
        <v/>
      </c>
      <c r="B108" s="104" t="str">
        <f aca="false">IFERROR(INDEX(_自动清单!$E$4:$E$303,ROW()-3),"")</f>
        <v/>
      </c>
      <c r="C108" s="61" t="str">
        <f aca="false">IF($B108="","",ROUND(SUMIFS(对接源_01水果!$K$4:$K$1203,对接源_01水果!$C$4:$C$1203,$B108,对接源_01水果!$D$4:$D$1203,"成品出库*"),2))</f>
        <v/>
      </c>
      <c r="D108" s="61" t="str">
        <f aca="false">IF($B108="","",ROUND(SUMIFS(对接源_01水果!$K$4:$K$1203,对接源_01水果!$C$4:$C$1203,$B108,对接源_01水果!$D$4:$D$1203,"其他代存*"),2))</f>
        <v/>
      </c>
      <c r="E108" s="61" t="str">
        <f aca="false">IF($B108="","",ROUND(SUMIFS(对接源_02物料!$K$4:$K$1203,对接源_02物料!$C$4:$C$1203,$B108,对接源_02物料!$D$4:$D$1203,"包装物料*"),2))</f>
        <v/>
      </c>
      <c r="F108" s="61" t="str">
        <f aca="false">IF($B108="","",ROUND(SUMIFS(对接源_02物料!$K$4:$K$1203,对接源_02物料!$C$4:$C$1203,$B108,对接源_02物料!$D$4:$D$1203,"周转筐*"),2))</f>
        <v/>
      </c>
      <c r="G108" s="61" t="str">
        <f aca="false">IF($B108="","",ROUND(SUMIFS(对接源_02物料!$K$4:$K$1203,对接源_02物料!$C$4:$C$1203,$B108,对接源_02物料!$D$4:$D$1203,"次果筐*"),2))</f>
        <v/>
      </c>
      <c r="H108" s="61" t="str">
        <f aca="false">IF($B108="","",ROUND(SUM($C108:$G108),2))</f>
        <v/>
      </c>
      <c r="I108" s="61" t="str">
        <f aca="false">IF($B108="","",ROUND(SUMIFS(对接源_01水果!$K$4:$K$1203,对接源_01水果!$C$4:$C$1203,$B108,对接源_01水果!$D$4:$D$1203,"成品出库*",对接源_01水果!$L$4:$L$1203,"已收讫")+SUMIFS(对接源_01水果!$K$4:$K$1203,对接源_01水果!$C$4:$C$1203,$B108,对接源_01水果!$D$4:$D$1203,"成品出库*",对接源_01水果!$L$4:$L$1203,"已付款")+SUMIFS(对接源_01水果!$K$4:$K$1203,对接源_01水果!$C$4:$C$1203,$B108,对接源_01水果!$D$4:$D$1203,"其他代存*",对接源_01水果!$L$4:$L$1203,"已收讫")+SUMIFS(对接源_01水果!$K$4:$K$1203,对接源_01水果!$C$4:$C$1203,$B108,对接源_01水果!$D$4:$D$1203,"其他代存*",对接源_01水果!$L$4:$L$1203,"已付款")+SUMIFS(对接源_02物料!$K$4:$K$1203,对接源_02物料!$C$4:$C$1203,$B108,对接源_02物料!$D$4:$D$1203,"包装物料*",对接源_02物料!$L$4:$L$1203,"已收讫")+SUMIFS(对接源_02物料!$K$4:$K$1203,对接源_02物料!$C$4:$C$1203,$B108,对接源_02物料!$D$4:$D$1203,"包装物料*",对接源_02物料!$L$4:$L$1203,"已付款")+SUMIFS(对接源_02物料!$K$4:$K$1203,对接源_02物料!$C$4:$C$1203,$B108,对接源_02物料!$D$4:$D$1203,"周转筐*",对接源_02物料!$L$4:$L$1203,"已收讫")+SUMIFS(对接源_02物料!$K$4:$K$1203,对接源_02物料!$C$4:$C$1203,$B108,对接源_02物料!$D$4:$D$1203,"周转筐*",对接源_02物料!$L$4:$L$1203,"已付款")+SUMIFS(对接源_02物料!$K$4:$K$1203,对接源_02物料!$C$4:$C$1203,$B108,对接源_02物料!$D$4:$D$1203,"次果筐*",对接源_02物料!$L$4:$L$1203,"已收讫")+SUMIFS(对接源_02物料!$K$4:$K$1203,对接源_02物料!$C$4:$C$1203,$B108,对接源_02物料!$D$4:$D$1203,"次果筐*",对接源_02物料!$L$4:$L$1203,"已付款"),2))</f>
        <v/>
      </c>
      <c r="J108" s="61" t="str">
        <f aca="false">IF($B108="","",ROUND(N($H108)-N($I108),2))</f>
        <v/>
      </c>
      <c r="K108" s="59" t="str">
        <f aca="false">IF($B108="","",IF(ROUND(N($J108),2)&gt;0,"对方欠款",IF(ROUND(N($J108),2)&lt;0,"我方欠款","已两清")))</f>
        <v/>
      </c>
      <c r="L108" s="105"/>
    </row>
    <row r="109" customFormat="false" ht="13.5" hidden="false" customHeight="false" outlineLevel="0" collapsed="false">
      <c r="A109" s="59" t="str">
        <f aca="false">IF($B109="","",ROW()-3)</f>
        <v/>
      </c>
      <c r="B109" s="104" t="str">
        <f aca="false">IFERROR(INDEX(_自动清单!$E$4:$E$303,ROW()-3),"")</f>
        <v/>
      </c>
      <c r="C109" s="61" t="str">
        <f aca="false">IF($B109="","",ROUND(SUMIFS(对接源_01水果!$K$4:$K$1203,对接源_01水果!$C$4:$C$1203,$B109,对接源_01水果!$D$4:$D$1203,"成品出库*"),2))</f>
        <v/>
      </c>
      <c r="D109" s="61" t="str">
        <f aca="false">IF($B109="","",ROUND(SUMIFS(对接源_01水果!$K$4:$K$1203,对接源_01水果!$C$4:$C$1203,$B109,对接源_01水果!$D$4:$D$1203,"其他代存*"),2))</f>
        <v/>
      </c>
      <c r="E109" s="61" t="str">
        <f aca="false">IF($B109="","",ROUND(SUMIFS(对接源_02物料!$K$4:$K$1203,对接源_02物料!$C$4:$C$1203,$B109,对接源_02物料!$D$4:$D$1203,"包装物料*"),2))</f>
        <v/>
      </c>
      <c r="F109" s="61" t="str">
        <f aca="false">IF($B109="","",ROUND(SUMIFS(对接源_02物料!$K$4:$K$1203,对接源_02物料!$C$4:$C$1203,$B109,对接源_02物料!$D$4:$D$1203,"周转筐*"),2))</f>
        <v/>
      </c>
      <c r="G109" s="61" t="str">
        <f aca="false">IF($B109="","",ROUND(SUMIFS(对接源_02物料!$K$4:$K$1203,对接源_02物料!$C$4:$C$1203,$B109,对接源_02物料!$D$4:$D$1203,"次果筐*"),2))</f>
        <v/>
      </c>
      <c r="H109" s="61" t="str">
        <f aca="false">IF($B109="","",ROUND(SUM($C109:$G109),2))</f>
        <v/>
      </c>
      <c r="I109" s="61" t="str">
        <f aca="false">IF($B109="","",ROUND(SUMIFS(对接源_01水果!$K$4:$K$1203,对接源_01水果!$C$4:$C$1203,$B109,对接源_01水果!$D$4:$D$1203,"成品出库*",对接源_01水果!$L$4:$L$1203,"已收讫")+SUMIFS(对接源_01水果!$K$4:$K$1203,对接源_01水果!$C$4:$C$1203,$B109,对接源_01水果!$D$4:$D$1203,"成品出库*",对接源_01水果!$L$4:$L$1203,"已付款")+SUMIFS(对接源_01水果!$K$4:$K$1203,对接源_01水果!$C$4:$C$1203,$B109,对接源_01水果!$D$4:$D$1203,"其他代存*",对接源_01水果!$L$4:$L$1203,"已收讫")+SUMIFS(对接源_01水果!$K$4:$K$1203,对接源_01水果!$C$4:$C$1203,$B109,对接源_01水果!$D$4:$D$1203,"其他代存*",对接源_01水果!$L$4:$L$1203,"已付款")+SUMIFS(对接源_02物料!$K$4:$K$1203,对接源_02物料!$C$4:$C$1203,$B109,对接源_02物料!$D$4:$D$1203,"包装物料*",对接源_02物料!$L$4:$L$1203,"已收讫")+SUMIFS(对接源_02物料!$K$4:$K$1203,对接源_02物料!$C$4:$C$1203,$B109,对接源_02物料!$D$4:$D$1203,"包装物料*",对接源_02物料!$L$4:$L$1203,"已付款")+SUMIFS(对接源_02物料!$K$4:$K$1203,对接源_02物料!$C$4:$C$1203,$B109,对接源_02物料!$D$4:$D$1203,"周转筐*",对接源_02物料!$L$4:$L$1203,"已收讫")+SUMIFS(对接源_02物料!$K$4:$K$1203,对接源_02物料!$C$4:$C$1203,$B109,对接源_02物料!$D$4:$D$1203,"周转筐*",对接源_02物料!$L$4:$L$1203,"已付款")+SUMIFS(对接源_02物料!$K$4:$K$1203,对接源_02物料!$C$4:$C$1203,$B109,对接源_02物料!$D$4:$D$1203,"次果筐*",对接源_02物料!$L$4:$L$1203,"已收讫")+SUMIFS(对接源_02物料!$K$4:$K$1203,对接源_02物料!$C$4:$C$1203,$B109,对接源_02物料!$D$4:$D$1203,"次果筐*",对接源_02物料!$L$4:$L$1203,"已付款"),2))</f>
        <v/>
      </c>
      <c r="J109" s="61" t="str">
        <f aca="false">IF($B109="","",ROUND(N($H109)-N($I109),2))</f>
        <v/>
      </c>
      <c r="K109" s="59" t="str">
        <f aca="false">IF($B109="","",IF(ROUND(N($J109),2)&gt;0,"对方欠款",IF(ROUND(N($J109),2)&lt;0,"我方欠款","已两清")))</f>
        <v/>
      </c>
      <c r="L109" s="105"/>
    </row>
    <row r="110" customFormat="false" ht="13.5" hidden="false" customHeight="false" outlineLevel="0" collapsed="false">
      <c r="A110" s="59" t="str">
        <f aca="false">IF($B110="","",ROW()-3)</f>
        <v/>
      </c>
      <c r="B110" s="104" t="str">
        <f aca="false">IFERROR(INDEX(_自动清单!$E$4:$E$303,ROW()-3),"")</f>
        <v/>
      </c>
      <c r="C110" s="61" t="str">
        <f aca="false">IF($B110="","",ROUND(SUMIFS(对接源_01水果!$K$4:$K$1203,对接源_01水果!$C$4:$C$1203,$B110,对接源_01水果!$D$4:$D$1203,"成品出库*"),2))</f>
        <v/>
      </c>
      <c r="D110" s="61" t="str">
        <f aca="false">IF($B110="","",ROUND(SUMIFS(对接源_01水果!$K$4:$K$1203,对接源_01水果!$C$4:$C$1203,$B110,对接源_01水果!$D$4:$D$1203,"其他代存*"),2))</f>
        <v/>
      </c>
      <c r="E110" s="61" t="str">
        <f aca="false">IF($B110="","",ROUND(SUMIFS(对接源_02物料!$K$4:$K$1203,对接源_02物料!$C$4:$C$1203,$B110,对接源_02物料!$D$4:$D$1203,"包装物料*"),2))</f>
        <v/>
      </c>
      <c r="F110" s="61" t="str">
        <f aca="false">IF($B110="","",ROUND(SUMIFS(对接源_02物料!$K$4:$K$1203,对接源_02物料!$C$4:$C$1203,$B110,对接源_02物料!$D$4:$D$1203,"周转筐*"),2))</f>
        <v/>
      </c>
      <c r="G110" s="61" t="str">
        <f aca="false">IF($B110="","",ROUND(SUMIFS(对接源_02物料!$K$4:$K$1203,对接源_02物料!$C$4:$C$1203,$B110,对接源_02物料!$D$4:$D$1203,"次果筐*"),2))</f>
        <v/>
      </c>
      <c r="H110" s="61" t="str">
        <f aca="false">IF($B110="","",ROUND(SUM($C110:$G110),2))</f>
        <v/>
      </c>
      <c r="I110" s="61" t="str">
        <f aca="false">IF($B110="","",ROUND(SUMIFS(对接源_01水果!$K$4:$K$1203,对接源_01水果!$C$4:$C$1203,$B110,对接源_01水果!$D$4:$D$1203,"成品出库*",对接源_01水果!$L$4:$L$1203,"已收讫")+SUMIFS(对接源_01水果!$K$4:$K$1203,对接源_01水果!$C$4:$C$1203,$B110,对接源_01水果!$D$4:$D$1203,"成品出库*",对接源_01水果!$L$4:$L$1203,"已付款")+SUMIFS(对接源_01水果!$K$4:$K$1203,对接源_01水果!$C$4:$C$1203,$B110,对接源_01水果!$D$4:$D$1203,"其他代存*",对接源_01水果!$L$4:$L$1203,"已收讫")+SUMIFS(对接源_01水果!$K$4:$K$1203,对接源_01水果!$C$4:$C$1203,$B110,对接源_01水果!$D$4:$D$1203,"其他代存*",对接源_01水果!$L$4:$L$1203,"已付款")+SUMIFS(对接源_02物料!$K$4:$K$1203,对接源_02物料!$C$4:$C$1203,$B110,对接源_02物料!$D$4:$D$1203,"包装物料*",对接源_02物料!$L$4:$L$1203,"已收讫")+SUMIFS(对接源_02物料!$K$4:$K$1203,对接源_02物料!$C$4:$C$1203,$B110,对接源_02物料!$D$4:$D$1203,"包装物料*",对接源_02物料!$L$4:$L$1203,"已付款")+SUMIFS(对接源_02物料!$K$4:$K$1203,对接源_02物料!$C$4:$C$1203,$B110,对接源_02物料!$D$4:$D$1203,"周转筐*",对接源_02物料!$L$4:$L$1203,"已收讫")+SUMIFS(对接源_02物料!$K$4:$K$1203,对接源_02物料!$C$4:$C$1203,$B110,对接源_02物料!$D$4:$D$1203,"周转筐*",对接源_02物料!$L$4:$L$1203,"已付款")+SUMIFS(对接源_02物料!$K$4:$K$1203,对接源_02物料!$C$4:$C$1203,$B110,对接源_02物料!$D$4:$D$1203,"次果筐*",对接源_02物料!$L$4:$L$1203,"已收讫")+SUMIFS(对接源_02物料!$K$4:$K$1203,对接源_02物料!$C$4:$C$1203,$B110,对接源_02物料!$D$4:$D$1203,"次果筐*",对接源_02物料!$L$4:$L$1203,"已付款"),2))</f>
        <v/>
      </c>
      <c r="J110" s="61" t="str">
        <f aca="false">IF($B110="","",ROUND(N($H110)-N($I110),2))</f>
        <v/>
      </c>
      <c r="K110" s="59" t="str">
        <f aca="false">IF($B110="","",IF(ROUND(N($J110),2)&gt;0,"对方欠款",IF(ROUND(N($J110),2)&lt;0,"我方欠款","已两清")))</f>
        <v/>
      </c>
      <c r="L110" s="105"/>
    </row>
    <row r="111" customFormat="false" ht="13.5" hidden="false" customHeight="false" outlineLevel="0" collapsed="false">
      <c r="A111" s="59" t="str">
        <f aca="false">IF($B111="","",ROW()-3)</f>
        <v/>
      </c>
      <c r="B111" s="104" t="str">
        <f aca="false">IFERROR(INDEX(_自动清单!$E$4:$E$303,ROW()-3),"")</f>
        <v/>
      </c>
      <c r="C111" s="61" t="str">
        <f aca="false">IF($B111="","",ROUND(SUMIFS(对接源_01水果!$K$4:$K$1203,对接源_01水果!$C$4:$C$1203,$B111,对接源_01水果!$D$4:$D$1203,"成品出库*"),2))</f>
        <v/>
      </c>
      <c r="D111" s="61" t="str">
        <f aca="false">IF($B111="","",ROUND(SUMIFS(对接源_01水果!$K$4:$K$1203,对接源_01水果!$C$4:$C$1203,$B111,对接源_01水果!$D$4:$D$1203,"其他代存*"),2))</f>
        <v/>
      </c>
      <c r="E111" s="61" t="str">
        <f aca="false">IF($B111="","",ROUND(SUMIFS(对接源_02物料!$K$4:$K$1203,对接源_02物料!$C$4:$C$1203,$B111,对接源_02物料!$D$4:$D$1203,"包装物料*"),2))</f>
        <v/>
      </c>
      <c r="F111" s="61" t="str">
        <f aca="false">IF($B111="","",ROUND(SUMIFS(对接源_02物料!$K$4:$K$1203,对接源_02物料!$C$4:$C$1203,$B111,对接源_02物料!$D$4:$D$1203,"周转筐*"),2))</f>
        <v/>
      </c>
      <c r="G111" s="61" t="str">
        <f aca="false">IF($B111="","",ROUND(SUMIFS(对接源_02物料!$K$4:$K$1203,对接源_02物料!$C$4:$C$1203,$B111,对接源_02物料!$D$4:$D$1203,"次果筐*"),2))</f>
        <v/>
      </c>
      <c r="H111" s="61" t="str">
        <f aca="false">IF($B111="","",ROUND(SUM($C111:$G111),2))</f>
        <v/>
      </c>
      <c r="I111" s="61" t="str">
        <f aca="false">IF($B111="","",ROUND(SUMIFS(对接源_01水果!$K$4:$K$1203,对接源_01水果!$C$4:$C$1203,$B111,对接源_01水果!$D$4:$D$1203,"成品出库*",对接源_01水果!$L$4:$L$1203,"已收讫")+SUMIFS(对接源_01水果!$K$4:$K$1203,对接源_01水果!$C$4:$C$1203,$B111,对接源_01水果!$D$4:$D$1203,"成品出库*",对接源_01水果!$L$4:$L$1203,"已付款")+SUMIFS(对接源_01水果!$K$4:$K$1203,对接源_01水果!$C$4:$C$1203,$B111,对接源_01水果!$D$4:$D$1203,"其他代存*",对接源_01水果!$L$4:$L$1203,"已收讫")+SUMIFS(对接源_01水果!$K$4:$K$1203,对接源_01水果!$C$4:$C$1203,$B111,对接源_01水果!$D$4:$D$1203,"其他代存*",对接源_01水果!$L$4:$L$1203,"已付款")+SUMIFS(对接源_02物料!$K$4:$K$1203,对接源_02物料!$C$4:$C$1203,$B111,对接源_02物料!$D$4:$D$1203,"包装物料*",对接源_02物料!$L$4:$L$1203,"已收讫")+SUMIFS(对接源_02物料!$K$4:$K$1203,对接源_02物料!$C$4:$C$1203,$B111,对接源_02物料!$D$4:$D$1203,"包装物料*",对接源_02物料!$L$4:$L$1203,"已付款")+SUMIFS(对接源_02物料!$K$4:$K$1203,对接源_02物料!$C$4:$C$1203,$B111,对接源_02物料!$D$4:$D$1203,"周转筐*",对接源_02物料!$L$4:$L$1203,"已收讫")+SUMIFS(对接源_02物料!$K$4:$K$1203,对接源_02物料!$C$4:$C$1203,$B111,对接源_02物料!$D$4:$D$1203,"周转筐*",对接源_02物料!$L$4:$L$1203,"已付款")+SUMIFS(对接源_02物料!$K$4:$K$1203,对接源_02物料!$C$4:$C$1203,$B111,对接源_02物料!$D$4:$D$1203,"次果筐*",对接源_02物料!$L$4:$L$1203,"已收讫")+SUMIFS(对接源_02物料!$K$4:$K$1203,对接源_02物料!$C$4:$C$1203,$B111,对接源_02物料!$D$4:$D$1203,"次果筐*",对接源_02物料!$L$4:$L$1203,"已付款"),2))</f>
        <v/>
      </c>
      <c r="J111" s="61" t="str">
        <f aca="false">IF($B111="","",ROUND(N($H111)-N($I111),2))</f>
        <v/>
      </c>
      <c r="K111" s="59" t="str">
        <f aca="false">IF($B111="","",IF(ROUND(N($J111),2)&gt;0,"对方欠款",IF(ROUND(N($J111),2)&lt;0,"我方欠款","已两清")))</f>
        <v/>
      </c>
      <c r="L111" s="105"/>
    </row>
    <row r="112" customFormat="false" ht="13.5" hidden="false" customHeight="false" outlineLevel="0" collapsed="false">
      <c r="A112" s="59" t="str">
        <f aca="false">IF($B112="","",ROW()-3)</f>
        <v/>
      </c>
      <c r="B112" s="104" t="str">
        <f aca="false">IFERROR(INDEX(_自动清单!$E$4:$E$303,ROW()-3),"")</f>
        <v/>
      </c>
      <c r="C112" s="61" t="str">
        <f aca="false">IF($B112="","",ROUND(SUMIFS(对接源_01水果!$K$4:$K$1203,对接源_01水果!$C$4:$C$1203,$B112,对接源_01水果!$D$4:$D$1203,"成品出库*"),2))</f>
        <v/>
      </c>
      <c r="D112" s="61" t="str">
        <f aca="false">IF($B112="","",ROUND(SUMIFS(对接源_01水果!$K$4:$K$1203,对接源_01水果!$C$4:$C$1203,$B112,对接源_01水果!$D$4:$D$1203,"其他代存*"),2))</f>
        <v/>
      </c>
      <c r="E112" s="61" t="str">
        <f aca="false">IF($B112="","",ROUND(SUMIFS(对接源_02物料!$K$4:$K$1203,对接源_02物料!$C$4:$C$1203,$B112,对接源_02物料!$D$4:$D$1203,"包装物料*"),2))</f>
        <v/>
      </c>
      <c r="F112" s="61" t="str">
        <f aca="false">IF($B112="","",ROUND(SUMIFS(对接源_02物料!$K$4:$K$1203,对接源_02物料!$C$4:$C$1203,$B112,对接源_02物料!$D$4:$D$1203,"周转筐*"),2))</f>
        <v/>
      </c>
      <c r="G112" s="61" t="str">
        <f aca="false">IF($B112="","",ROUND(SUMIFS(对接源_02物料!$K$4:$K$1203,对接源_02物料!$C$4:$C$1203,$B112,对接源_02物料!$D$4:$D$1203,"次果筐*"),2))</f>
        <v/>
      </c>
      <c r="H112" s="61" t="str">
        <f aca="false">IF($B112="","",ROUND(SUM($C112:$G112),2))</f>
        <v/>
      </c>
      <c r="I112" s="61" t="str">
        <f aca="false">IF($B112="","",ROUND(SUMIFS(对接源_01水果!$K$4:$K$1203,对接源_01水果!$C$4:$C$1203,$B112,对接源_01水果!$D$4:$D$1203,"成品出库*",对接源_01水果!$L$4:$L$1203,"已收讫")+SUMIFS(对接源_01水果!$K$4:$K$1203,对接源_01水果!$C$4:$C$1203,$B112,对接源_01水果!$D$4:$D$1203,"成品出库*",对接源_01水果!$L$4:$L$1203,"已付款")+SUMIFS(对接源_01水果!$K$4:$K$1203,对接源_01水果!$C$4:$C$1203,$B112,对接源_01水果!$D$4:$D$1203,"其他代存*",对接源_01水果!$L$4:$L$1203,"已收讫")+SUMIFS(对接源_01水果!$K$4:$K$1203,对接源_01水果!$C$4:$C$1203,$B112,对接源_01水果!$D$4:$D$1203,"其他代存*",对接源_01水果!$L$4:$L$1203,"已付款")+SUMIFS(对接源_02物料!$K$4:$K$1203,对接源_02物料!$C$4:$C$1203,$B112,对接源_02物料!$D$4:$D$1203,"包装物料*",对接源_02物料!$L$4:$L$1203,"已收讫")+SUMIFS(对接源_02物料!$K$4:$K$1203,对接源_02物料!$C$4:$C$1203,$B112,对接源_02物料!$D$4:$D$1203,"包装物料*",对接源_02物料!$L$4:$L$1203,"已付款")+SUMIFS(对接源_02物料!$K$4:$K$1203,对接源_02物料!$C$4:$C$1203,$B112,对接源_02物料!$D$4:$D$1203,"周转筐*",对接源_02物料!$L$4:$L$1203,"已收讫")+SUMIFS(对接源_02物料!$K$4:$K$1203,对接源_02物料!$C$4:$C$1203,$B112,对接源_02物料!$D$4:$D$1203,"周转筐*",对接源_02物料!$L$4:$L$1203,"已付款")+SUMIFS(对接源_02物料!$K$4:$K$1203,对接源_02物料!$C$4:$C$1203,$B112,对接源_02物料!$D$4:$D$1203,"次果筐*",对接源_02物料!$L$4:$L$1203,"已收讫")+SUMIFS(对接源_02物料!$K$4:$K$1203,对接源_02物料!$C$4:$C$1203,$B112,对接源_02物料!$D$4:$D$1203,"次果筐*",对接源_02物料!$L$4:$L$1203,"已付款"),2))</f>
        <v/>
      </c>
      <c r="J112" s="61" t="str">
        <f aca="false">IF($B112="","",ROUND(N($H112)-N($I112),2))</f>
        <v/>
      </c>
      <c r="K112" s="59" t="str">
        <f aca="false">IF($B112="","",IF(ROUND(N($J112),2)&gt;0,"对方欠款",IF(ROUND(N($J112),2)&lt;0,"我方欠款","已两清")))</f>
        <v/>
      </c>
      <c r="L112" s="105"/>
    </row>
    <row r="113" customFormat="false" ht="13.5" hidden="false" customHeight="false" outlineLevel="0" collapsed="false">
      <c r="A113" s="59" t="str">
        <f aca="false">IF($B113="","",ROW()-3)</f>
        <v/>
      </c>
      <c r="B113" s="104" t="str">
        <f aca="false">IFERROR(INDEX(_自动清单!$E$4:$E$303,ROW()-3),"")</f>
        <v/>
      </c>
      <c r="C113" s="61" t="str">
        <f aca="false">IF($B113="","",ROUND(SUMIFS(对接源_01水果!$K$4:$K$1203,对接源_01水果!$C$4:$C$1203,$B113,对接源_01水果!$D$4:$D$1203,"成品出库*"),2))</f>
        <v/>
      </c>
      <c r="D113" s="61" t="str">
        <f aca="false">IF($B113="","",ROUND(SUMIFS(对接源_01水果!$K$4:$K$1203,对接源_01水果!$C$4:$C$1203,$B113,对接源_01水果!$D$4:$D$1203,"其他代存*"),2))</f>
        <v/>
      </c>
      <c r="E113" s="61" t="str">
        <f aca="false">IF($B113="","",ROUND(SUMIFS(对接源_02物料!$K$4:$K$1203,对接源_02物料!$C$4:$C$1203,$B113,对接源_02物料!$D$4:$D$1203,"包装物料*"),2))</f>
        <v/>
      </c>
      <c r="F113" s="61" t="str">
        <f aca="false">IF($B113="","",ROUND(SUMIFS(对接源_02物料!$K$4:$K$1203,对接源_02物料!$C$4:$C$1203,$B113,对接源_02物料!$D$4:$D$1203,"周转筐*"),2))</f>
        <v/>
      </c>
      <c r="G113" s="61" t="str">
        <f aca="false">IF($B113="","",ROUND(SUMIFS(对接源_02物料!$K$4:$K$1203,对接源_02物料!$C$4:$C$1203,$B113,对接源_02物料!$D$4:$D$1203,"次果筐*"),2))</f>
        <v/>
      </c>
      <c r="H113" s="61" t="str">
        <f aca="false">IF($B113="","",ROUND(SUM($C113:$G113),2))</f>
        <v/>
      </c>
      <c r="I113" s="61" t="str">
        <f aca="false">IF($B113="","",ROUND(SUMIFS(对接源_01水果!$K$4:$K$1203,对接源_01水果!$C$4:$C$1203,$B113,对接源_01水果!$D$4:$D$1203,"成品出库*",对接源_01水果!$L$4:$L$1203,"已收讫")+SUMIFS(对接源_01水果!$K$4:$K$1203,对接源_01水果!$C$4:$C$1203,$B113,对接源_01水果!$D$4:$D$1203,"成品出库*",对接源_01水果!$L$4:$L$1203,"已付款")+SUMIFS(对接源_01水果!$K$4:$K$1203,对接源_01水果!$C$4:$C$1203,$B113,对接源_01水果!$D$4:$D$1203,"其他代存*",对接源_01水果!$L$4:$L$1203,"已收讫")+SUMIFS(对接源_01水果!$K$4:$K$1203,对接源_01水果!$C$4:$C$1203,$B113,对接源_01水果!$D$4:$D$1203,"其他代存*",对接源_01水果!$L$4:$L$1203,"已付款")+SUMIFS(对接源_02物料!$K$4:$K$1203,对接源_02物料!$C$4:$C$1203,$B113,对接源_02物料!$D$4:$D$1203,"包装物料*",对接源_02物料!$L$4:$L$1203,"已收讫")+SUMIFS(对接源_02物料!$K$4:$K$1203,对接源_02物料!$C$4:$C$1203,$B113,对接源_02物料!$D$4:$D$1203,"包装物料*",对接源_02物料!$L$4:$L$1203,"已付款")+SUMIFS(对接源_02物料!$K$4:$K$1203,对接源_02物料!$C$4:$C$1203,$B113,对接源_02物料!$D$4:$D$1203,"周转筐*",对接源_02物料!$L$4:$L$1203,"已收讫")+SUMIFS(对接源_02物料!$K$4:$K$1203,对接源_02物料!$C$4:$C$1203,$B113,对接源_02物料!$D$4:$D$1203,"周转筐*",对接源_02物料!$L$4:$L$1203,"已付款")+SUMIFS(对接源_02物料!$K$4:$K$1203,对接源_02物料!$C$4:$C$1203,$B113,对接源_02物料!$D$4:$D$1203,"次果筐*",对接源_02物料!$L$4:$L$1203,"已收讫")+SUMIFS(对接源_02物料!$K$4:$K$1203,对接源_02物料!$C$4:$C$1203,$B113,对接源_02物料!$D$4:$D$1203,"次果筐*",对接源_02物料!$L$4:$L$1203,"已付款"),2))</f>
        <v/>
      </c>
      <c r="J113" s="61" t="str">
        <f aca="false">IF($B113="","",ROUND(N($H113)-N($I113),2))</f>
        <v/>
      </c>
      <c r="K113" s="59" t="str">
        <f aca="false">IF($B113="","",IF(ROUND(N($J113),2)&gt;0,"对方欠款",IF(ROUND(N($J113),2)&lt;0,"我方欠款","已两清")))</f>
        <v/>
      </c>
      <c r="L113" s="105"/>
    </row>
    <row r="114" customFormat="false" ht="13.5" hidden="false" customHeight="false" outlineLevel="0" collapsed="false">
      <c r="A114" s="59" t="str">
        <f aca="false">IF($B114="","",ROW()-3)</f>
        <v/>
      </c>
      <c r="B114" s="104" t="str">
        <f aca="false">IFERROR(INDEX(_自动清单!$E$4:$E$303,ROW()-3),"")</f>
        <v/>
      </c>
      <c r="C114" s="61" t="str">
        <f aca="false">IF($B114="","",ROUND(SUMIFS(对接源_01水果!$K$4:$K$1203,对接源_01水果!$C$4:$C$1203,$B114,对接源_01水果!$D$4:$D$1203,"成品出库*"),2))</f>
        <v/>
      </c>
      <c r="D114" s="61" t="str">
        <f aca="false">IF($B114="","",ROUND(SUMIFS(对接源_01水果!$K$4:$K$1203,对接源_01水果!$C$4:$C$1203,$B114,对接源_01水果!$D$4:$D$1203,"其他代存*"),2))</f>
        <v/>
      </c>
      <c r="E114" s="61" t="str">
        <f aca="false">IF($B114="","",ROUND(SUMIFS(对接源_02物料!$K$4:$K$1203,对接源_02物料!$C$4:$C$1203,$B114,对接源_02物料!$D$4:$D$1203,"包装物料*"),2))</f>
        <v/>
      </c>
      <c r="F114" s="61" t="str">
        <f aca="false">IF($B114="","",ROUND(SUMIFS(对接源_02物料!$K$4:$K$1203,对接源_02物料!$C$4:$C$1203,$B114,对接源_02物料!$D$4:$D$1203,"周转筐*"),2))</f>
        <v/>
      </c>
      <c r="G114" s="61" t="str">
        <f aca="false">IF($B114="","",ROUND(SUMIFS(对接源_02物料!$K$4:$K$1203,对接源_02物料!$C$4:$C$1203,$B114,对接源_02物料!$D$4:$D$1203,"次果筐*"),2))</f>
        <v/>
      </c>
      <c r="H114" s="61" t="str">
        <f aca="false">IF($B114="","",ROUND(SUM($C114:$G114),2))</f>
        <v/>
      </c>
      <c r="I114" s="61" t="str">
        <f aca="false">IF($B114="","",ROUND(SUMIFS(对接源_01水果!$K$4:$K$1203,对接源_01水果!$C$4:$C$1203,$B114,对接源_01水果!$D$4:$D$1203,"成品出库*",对接源_01水果!$L$4:$L$1203,"已收讫")+SUMIFS(对接源_01水果!$K$4:$K$1203,对接源_01水果!$C$4:$C$1203,$B114,对接源_01水果!$D$4:$D$1203,"成品出库*",对接源_01水果!$L$4:$L$1203,"已付款")+SUMIFS(对接源_01水果!$K$4:$K$1203,对接源_01水果!$C$4:$C$1203,$B114,对接源_01水果!$D$4:$D$1203,"其他代存*",对接源_01水果!$L$4:$L$1203,"已收讫")+SUMIFS(对接源_01水果!$K$4:$K$1203,对接源_01水果!$C$4:$C$1203,$B114,对接源_01水果!$D$4:$D$1203,"其他代存*",对接源_01水果!$L$4:$L$1203,"已付款")+SUMIFS(对接源_02物料!$K$4:$K$1203,对接源_02物料!$C$4:$C$1203,$B114,对接源_02物料!$D$4:$D$1203,"包装物料*",对接源_02物料!$L$4:$L$1203,"已收讫")+SUMIFS(对接源_02物料!$K$4:$K$1203,对接源_02物料!$C$4:$C$1203,$B114,对接源_02物料!$D$4:$D$1203,"包装物料*",对接源_02物料!$L$4:$L$1203,"已付款")+SUMIFS(对接源_02物料!$K$4:$K$1203,对接源_02物料!$C$4:$C$1203,$B114,对接源_02物料!$D$4:$D$1203,"周转筐*",对接源_02物料!$L$4:$L$1203,"已收讫")+SUMIFS(对接源_02物料!$K$4:$K$1203,对接源_02物料!$C$4:$C$1203,$B114,对接源_02物料!$D$4:$D$1203,"周转筐*",对接源_02物料!$L$4:$L$1203,"已付款")+SUMIFS(对接源_02物料!$K$4:$K$1203,对接源_02物料!$C$4:$C$1203,$B114,对接源_02物料!$D$4:$D$1203,"次果筐*",对接源_02物料!$L$4:$L$1203,"已收讫")+SUMIFS(对接源_02物料!$K$4:$K$1203,对接源_02物料!$C$4:$C$1203,$B114,对接源_02物料!$D$4:$D$1203,"次果筐*",对接源_02物料!$L$4:$L$1203,"已付款"),2))</f>
        <v/>
      </c>
      <c r="J114" s="61" t="str">
        <f aca="false">IF($B114="","",ROUND(N($H114)-N($I114),2))</f>
        <v/>
      </c>
      <c r="K114" s="59" t="str">
        <f aca="false">IF($B114="","",IF(ROUND(N($J114),2)&gt;0,"对方欠款",IF(ROUND(N($J114),2)&lt;0,"我方欠款","已两清")))</f>
        <v/>
      </c>
      <c r="L114" s="105"/>
    </row>
    <row r="115" customFormat="false" ht="13.5" hidden="false" customHeight="false" outlineLevel="0" collapsed="false">
      <c r="A115" s="59" t="str">
        <f aca="false">IF($B115="","",ROW()-3)</f>
        <v/>
      </c>
      <c r="B115" s="104" t="str">
        <f aca="false">IFERROR(INDEX(_自动清单!$E$4:$E$303,ROW()-3),"")</f>
        <v/>
      </c>
      <c r="C115" s="61" t="str">
        <f aca="false">IF($B115="","",ROUND(SUMIFS(对接源_01水果!$K$4:$K$1203,对接源_01水果!$C$4:$C$1203,$B115,对接源_01水果!$D$4:$D$1203,"成品出库*"),2))</f>
        <v/>
      </c>
      <c r="D115" s="61" t="str">
        <f aca="false">IF($B115="","",ROUND(SUMIFS(对接源_01水果!$K$4:$K$1203,对接源_01水果!$C$4:$C$1203,$B115,对接源_01水果!$D$4:$D$1203,"其他代存*"),2))</f>
        <v/>
      </c>
      <c r="E115" s="61" t="str">
        <f aca="false">IF($B115="","",ROUND(SUMIFS(对接源_02物料!$K$4:$K$1203,对接源_02物料!$C$4:$C$1203,$B115,对接源_02物料!$D$4:$D$1203,"包装物料*"),2))</f>
        <v/>
      </c>
      <c r="F115" s="61" t="str">
        <f aca="false">IF($B115="","",ROUND(SUMIFS(对接源_02物料!$K$4:$K$1203,对接源_02物料!$C$4:$C$1203,$B115,对接源_02物料!$D$4:$D$1203,"周转筐*"),2))</f>
        <v/>
      </c>
      <c r="G115" s="61" t="str">
        <f aca="false">IF($B115="","",ROUND(SUMIFS(对接源_02物料!$K$4:$K$1203,对接源_02物料!$C$4:$C$1203,$B115,对接源_02物料!$D$4:$D$1203,"次果筐*"),2))</f>
        <v/>
      </c>
      <c r="H115" s="61" t="str">
        <f aca="false">IF($B115="","",ROUND(SUM($C115:$G115),2))</f>
        <v/>
      </c>
      <c r="I115" s="61" t="str">
        <f aca="false">IF($B115="","",ROUND(SUMIFS(对接源_01水果!$K$4:$K$1203,对接源_01水果!$C$4:$C$1203,$B115,对接源_01水果!$D$4:$D$1203,"成品出库*",对接源_01水果!$L$4:$L$1203,"已收讫")+SUMIFS(对接源_01水果!$K$4:$K$1203,对接源_01水果!$C$4:$C$1203,$B115,对接源_01水果!$D$4:$D$1203,"成品出库*",对接源_01水果!$L$4:$L$1203,"已付款")+SUMIFS(对接源_01水果!$K$4:$K$1203,对接源_01水果!$C$4:$C$1203,$B115,对接源_01水果!$D$4:$D$1203,"其他代存*",对接源_01水果!$L$4:$L$1203,"已收讫")+SUMIFS(对接源_01水果!$K$4:$K$1203,对接源_01水果!$C$4:$C$1203,$B115,对接源_01水果!$D$4:$D$1203,"其他代存*",对接源_01水果!$L$4:$L$1203,"已付款")+SUMIFS(对接源_02物料!$K$4:$K$1203,对接源_02物料!$C$4:$C$1203,$B115,对接源_02物料!$D$4:$D$1203,"包装物料*",对接源_02物料!$L$4:$L$1203,"已收讫")+SUMIFS(对接源_02物料!$K$4:$K$1203,对接源_02物料!$C$4:$C$1203,$B115,对接源_02物料!$D$4:$D$1203,"包装物料*",对接源_02物料!$L$4:$L$1203,"已付款")+SUMIFS(对接源_02物料!$K$4:$K$1203,对接源_02物料!$C$4:$C$1203,$B115,对接源_02物料!$D$4:$D$1203,"周转筐*",对接源_02物料!$L$4:$L$1203,"已收讫")+SUMIFS(对接源_02物料!$K$4:$K$1203,对接源_02物料!$C$4:$C$1203,$B115,对接源_02物料!$D$4:$D$1203,"周转筐*",对接源_02物料!$L$4:$L$1203,"已付款")+SUMIFS(对接源_02物料!$K$4:$K$1203,对接源_02物料!$C$4:$C$1203,$B115,对接源_02物料!$D$4:$D$1203,"次果筐*",对接源_02物料!$L$4:$L$1203,"已收讫")+SUMIFS(对接源_02物料!$K$4:$K$1203,对接源_02物料!$C$4:$C$1203,$B115,对接源_02物料!$D$4:$D$1203,"次果筐*",对接源_02物料!$L$4:$L$1203,"已付款"),2))</f>
        <v/>
      </c>
      <c r="J115" s="61" t="str">
        <f aca="false">IF($B115="","",ROUND(N($H115)-N($I115),2))</f>
        <v/>
      </c>
      <c r="K115" s="59" t="str">
        <f aca="false">IF($B115="","",IF(ROUND(N($J115),2)&gt;0,"对方欠款",IF(ROUND(N($J115),2)&lt;0,"我方欠款","已两清")))</f>
        <v/>
      </c>
      <c r="L115" s="105"/>
    </row>
    <row r="116" customFormat="false" ht="13.5" hidden="false" customHeight="false" outlineLevel="0" collapsed="false">
      <c r="A116" s="59" t="str">
        <f aca="false">IF($B116="","",ROW()-3)</f>
        <v/>
      </c>
      <c r="B116" s="104" t="str">
        <f aca="false">IFERROR(INDEX(_自动清单!$E$4:$E$303,ROW()-3),"")</f>
        <v/>
      </c>
      <c r="C116" s="61" t="str">
        <f aca="false">IF($B116="","",ROUND(SUMIFS(对接源_01水果!$K$4:$K$1203,对接源_01水果!$C$4:$C$1203,$B116,对接源_01水果!$D$4:$D$1203,"成品出库*"),2))</f>
        <v/>
      </c>
      <c r="D116" s="61" t="str">
        <f aca="false">IF($B116="","",ROUND(SUMIFS(对接源_01水果!$K$4:$K$1203,对接源_01水果!$C$4:$C$1203,$B116,对接源_01水果!$D$4:$D$1203,"其他代存*"),2))</f>
        <v/>
      </c>
      <c r="E116" s="61" t="str">
        <f aca="false">IF($B116="","",ROUND(SUMIFS(对接源_02物料!$K$4:$K$1203,对接源_02物料!$C$4:$C$1203,$B116,对接源_02物料!$D$4:$D$1203,"包装物料*"),2))</f>
        <v/>
      </c>
      <c r="F116" s="61" t="str">
        <f aca="false">IF($B116="","",ROUND(SUMIFS(对接源_02物料!$K$4:$K$1203,对接源_02物料!$C$4:$C$1203,$B116,对接源_02物料!$D$4:$D$1203,"周转筐*"),2))</f>
        <v/>
      </c>
      <c r="G116" s="61" t="str">
        <f aca="false">IF($B116="","",ROUND(SUMIFS(对接源_02物料!$K$4:$K$1203,对接源_02物料!$C$4:$C$1203,$B116,对接源_02物料!$D$4:$D$1203,"次果筐*"),2))</f>
        <v/>
      </c>
      <c r="H116" s="61" t="str">
        <f aca="false">IF($B116="","",ROUND(SUM($C116:$G116),2))</f>
        <v/>
      </c>
      <c r="I116" s="61" t="str">
        <f aca="false">IF($B116="","",ROUND(SUMIFS(对接源_01水果!$K$4:$K$1203,对接源_01水果!$C$4:$C$1203,$B116,对接源_01水果!$D$4:$D$1203,"成品出库*",对接源_01水果!$L$4:$L$1203,"已收讫")+SUMIFS(对接源_01水果!$K$4:$K$1203,对接源_01水果!$C$4:$C$1203,$B116,对接源_01水果!$D$4:$D$1203,"成品出库*",对接源_01水果!$L$4:$L$1203,"已付款")+SUMIFS(对接源_01水果!$K$4:$K$1203,对接源_01水果!$C$4:$C$1203,$B116,对接源_01水果!$D$4:$D$1203,"其他代存*",对接源_01水果!$L$4:$L$1203,"已收讫")+SUMIFS(对接源_01水果!$K$4:$K$1203,对接源_01水果!$C$4:$C$1203,$B116,对接源_01水果!$D$4:$D$1203,"其他代存*",对接源_01水果!$L$4:$L$1203,"已付款")+SUMIFS(对接源_02物料!$K$4:$K$1203,对接源_02物料!$C$4:$C$1203,$B116,对接源_02物料!$D$4:$D$1203,"包装物料*",对接源_02物料!$L$4:$L$1203,"已收讫")+SUMIFS(对接源_02物料!$K$4:$K$1203,对接源_02物料!$C$4:$C$1203,$B116,对接源_02物料!$D$4:$D$1203,"包装物料*",对接源_02物料!$L$4:$L$1203,"已付款")+SUMIFS(对接源_02物料!$K$4:$K$1203,对接源_02物料!$C$4:$C$1203,$B116,对接源_02物料!$D$4:$D$1203,"周转筐*",对接源_02物料!$L$4:$L$1203,"已收讫")+SUMIFS(对接源_02物料!$K$4:$K$1203,对接源_02物料!$C$4:$C$1203,$B116,对接源_02物料!$D$4:$D$1203,"周转筐*",对接源_02物料!$L$4:$L$1203,"已付款")+SUMIFS(对接源_02物料!$K$4:$K$1203,对接源_02物料!$C$4:$C$1203,$B116,对接源_02物料!$D$4:$D$1203,"次果筐*",对接源_02物料!$L$4:$L$1203,"已收讫")+SUMIFS(对接源_02物料!$K$4:$K$1203,对接源_02物料!$C$4:$C$1203,$B116,对接源_02物料!$D$4:$D$1203,"次果筐*",对接源_02物料!$L$4:$L$1203,"已付款"),2))</f>
        <v/>
      </c>
      <c r="J116" s="61" t="str">
        <f aca="false">IF($B116="","",ROUND(N($H116)-N($I116),2))</f>
        <v/>
      </c>
      <c r="K116" s="59" t="str">
        <f aca="false">IF($B116="","",IF(ROUND(N($J116),2)&gt;0,"对方欠款",IF(ROUND(N($J116),2)&lt;0,"我方欠款","已两清")))</f>
        <v/>
      </c>
      <c r="L116" s="105"/>
    </row>
    <row r="117" customFormat="false" ht="13.5" hidden="false" customHeight="false" outlineLevel="0" collapsed="false">
      <c r="A117" s="59" t="str">
        <f aca="false">IF($B117="","",ROW()-3)</f>
        <v/>
      </c>
      <c r="B117" s="104" t="str">
        <f aca="false">IFERROR(INDEX(_自动清单!$E$4:$E$303,ROW()-3),"")</f>
        <v/>
      </c>
      <c r="C117" s="61" t="str">
        <f aca="false">IF($B117="","",ROUND(SUMIFS(对接源_01水果!$K$4:$K$1203,对接源_01水果!$C$4:$C$1203,$B117,对接源_01水果!$D$4:$D$1203,"成品出库*"),2))</f>
        <v/>
      </c>
      <c r="D117" s="61" t="str">
        <f aca="false">IF($B117="","",ROUND(SUMIFS(对接源_01水果!$K$4:$K$1203,对接源_01水果!$C$4:$C$1203,$B117,对接源_01水果!$D$4:$D$1203,"其他代存*"),2))</f>
        <v/>
      </c>
      <c r="E117" s="61" t="str">
        <f aca="false">IF($B117="","",ROUND(SUMIFS(对接源_02物料!$K$4:$K$1203,对接源_02物料!$C$4:$C$1203,$B117,对接源_02物料!$D$4:$D$1203,"包装物料*"),2))</f>
        <v/>
      </c>
      <c r="F117" s="61" t="str">
        <f aca="false">IF($B117="","",ROUND(SUMIFS(对接源_02物料!$K$4:$K$1203,对接源_02物料!$C$4:$C$1203,$B117,对接源_02物料!$D$4:$D$1203,"周转筐*"),2))</f>
        <v/>
      </c>
      <c r="G117" s="61" t="str">
        <f aca="false">IF($B117="","",ROUND(SUMIFS(对接源_02物料!$K$4:$K$1203,对接源_02物料!$C$4:$C$1203,$B117,对接源_02物料!$D$4:$D$1203,"次果筐*"),2))</f>
        <v/>
      </c>
      <c r="H117" s="61" t="str">
        <f aca="false">IF($B117="","",ROUND(SUM($C117:$G117),2))</f>
        <v/>
      </c>
      <c r="I117" s="61" t="str">
        <f aca="false">IF($B117="","",ROUND(SUMIFS(对接源_01水果!$K$4:$K$1203,对接源_01水果!$C$4:$C$1203,$B117,对接源_01水果!$D$4:$D$1203,"成品出库*",对接源_01水果!$L$4:$L$1203,"已收讫")+SUMIFS(对接源_01水果!$K$4:$K$1203,对接源_01水果!$C$4:$C$1203,$B117,对接源_01水果!$D$4:$D$1203,"成品出库*",对接源_01水果!$L$4:$L$1203,"已付款")+SUMIFS(对接源_01水果!$K$4:$K$1203,对接源_01水果!$C$4:$C$1203,$B117,对接源_01水果!$D$4:$D$1203,"其他代存*",对接源_01水果!$L$4:$L$1203,"已收讫")+SUMIFS(对接源_01水果!$K$4:$K$1203,对接源_01水果!$C$4:$C$1203,$B117,对接源_01水果!$D$4:$D$1203,"其他代存*",对接源_01水果!$L$4:$L$1203,"已付款")+SUMIFS(对接源_02物料!$K$4:$K$1203,对接源_02物料!$C$4:$C$1203,$B117,对接源_02物料!$D$4:$D$1203,"包装物料*",对接源_02物料!$L$4:$L$1203,"已收讫")+SUMIFS(对接源_02物料!$K$4:$K$1203,对接源_02物料!$C$4:$C$1203,$B117,对接源_02物料!$D$4:$D$1203,"包装物料*",对接源_02物料!$L$4:$L$1203,"已付款")+SUMIFS(对接源_02物料!$K$4:$K$1203,对接源_02物料!$C$4:$C$1203,$B117,对接源_02物料!$D$4:$D$1203,"周转筐*",对接源_02物料!$L$4:$L$1203,"已收讫")+SUMIFS(对接源_02物料!$K$4:$K$1203,对接源_02物料!$C$4:$C$1203,$B117,对接源_02物料!$D$4:$D$1203,"周转筐*",对接源_02物料!$L$4:$L$1203,"已付款")+SUMIFS(对接源_02物料!$K$4:$K$1203,对接源_02物料!$C$4:$C$1203,$B117,对接源_02物料!$D$4:$D$1203,"次果筐*",对接源_02物料!$L$4:$L$1203,"已收讫")+SUMIFS(对接源_02物料!$K$4:$K$1203,对接源_02物料!$C$4:$C$1203,$B117,对接源_02物料!$D$4:$D$1203,"次果筐*",对接源_02物料!$L$4:$L$1203,"已付款"),2))</f>
        <v/>
      </c>
      <c r="J117" s="61" t="str">
        <f aca="false">IF($B117="","",ROUND(N($H117)-N($I117),2))</f>
        <v/>
      </c>
      <c r="K117" s="59" t="str">
        <f aca="false">IF($B117="","",IF(ROUND(N($J117),2)&gt;0,"对方欠款",IF(ROUND(N($J117),2)&lt;0,"我方欠款","已两清")))</f>
        <v/>
      </c>
      <c r="L117" s="105"/>
    </row>
    <row r="118" customFormat="false" ht="13.5" hidden="false" customHeight="false" outlineLevel="0" collapsed="false">
      <c r="A118" s="59" t="str">
        <f aca="false">IF($B118="","",ROW()-3)</f>
        <v/>
      </c>
      <c r="B118" s="104" t="str">
        <f aca="false">IFERROR(INDEX(_自动清单!$E$4:$E$303,ROW()-3),"")</f>
        <v/>
      </c>
      <c r="C118" s="61" t="str">
        <f aca="false">IF($B118="","",ROUND(SUMIFS(对接源_01水果!$K$4:$K$1203,对接源_01水果!$C$4:$C$1203,$B118,对接源_01水果!$D$4:$D$1203,"成品出库*"),2))</f>
        <v/>
      </c>
      <c r="D118" s="61" t="str">
        <f aca="false">IF($B118="","",ROUND(SUMIFS(对接源_01水果!$K$4:$K$1203,对接源_01水果!$C$4:$C$1203,$B118,对接源_01水果!$D$4:$D$1203,"其他代存*"),2))</f>
        <v/>
      </c>
      <c r="E118" s="61" t="str">
        <f aca="false">IF($B118="","",ROUND(SUMIFS(对接源_02物料!$K$4:$K$1203,对接源_02物料!$C$4:$C$1203,$B118,对接源_02物料!$D$4:$D$1203,"包装物料*"),2))</f>
        <v/>
      </c>
      <c r="F118" s="61" t="str">
        <f aca="false">IF($B118="","",ROUND(SUMIFS(对接源_02物料!$K$4:$K$1203,对接源_02物料!$C$4:$C$1203,$B118,对接源_02物料!$D$4:$D$1203,"周转筐*"),2))</f>
        <v/>
      </c>
      <c r="G118" s="61" t="str">
        <f aca="false">IF($B118="","",ROUND(SUMIFS(对接源_02物料!$K$4:$K$1203,对接源_02物料!$C$4:$C$1203,$B118,对接源_02物料!$D$4:$D$1203,"次果筐*"),2))</f>
        <v/>
      </c>
      <c r="H118" s="61" t="str">
        <f aca="false">IF($B118="","",ROUND(SUM($C118:$G118),2))</f>
        <v/>
      </c>
      <c r="I118" s="61" t="str">
        <f aca="false">IF($B118="","",ROUND(SUMIFS(对接源_01水果!$K$4:$K$1203,对接源_01水果!$C$4:$C$1203,$B118,对接源_01水果!$D$4:$D$1203,"成品出库*",对接源_01水果!$L$4:$L$1203,"已收讫")+SUMIFS(对接源_01水果!$K$4:$K$1203,对接源_01水果!$C$4:$C$1203,$B118,对接源_01水果!$D$4:$D$1203,"成品出库*",对接源_01水果!$L$4:$L$1203,"已付款")+SUMIFS(对接源_01水果!$K$4:$K$1203,对接源_01水果!$C$4:$C$1203,$B118,对接源_01水果!$D$4:$D$1203,"其他代存*",对接源_01水果!$L$4:$L$1203,"已收讫")+SUMIFS(对接源_01水果!$K$4:$K$1203,对接源_01水果!$C$4:$C$1203,$B118,对接源_01水果!$D$4:$D$1203,"其他代存*",对接源_01水果!$L$4:$L$1203,"已付款")+SUMIFS(对接源_02物料!$K$4:$K$1203,对接源_02物料!$C$4:$C$1203,$B118,对接源_02物料!$D$4:$D$1203,"包装物料*",对接源_02物料!$L$4:$L$1203,"已收讫")+SUMIFS(对接源_02物料!$K$4:$K$1203,对接源_02物料!$C$4:$C$1203,$B118,对接源_02物料!$D$4:$D$1203,"包装物料*",对接源_02物料!$L$4:$L$1203,"已付款")+SUMIFS(对接源_02物料!$K$4:$K$1203,对接源_02物料!$C$4:$C$1203,$B118,对接源_02物料!$D$4:$D$1203,"周转筐*",对接源_02物料!$L$4:$L$1203,"已收讫")+SUMIFS(对接源_02物料!$K$4:$K$1203,对接源_02物料!$C$4:$C$1203,$B118,对接源_02物料!$D$4:$D$1203,"周转筐*",对接源_02物料!$L$4:$L$1203,"已付款")+SUMIFS(对接源_02物料!$K$4:$K$1203,对接源_02物料!$C$4:$C$1203,$B118,对接源_02物料!$D$4:$D$1203,"次果筐*",对接源_02物料!$L$4:$L$1203,"已收讫")+SUMIFS(对接源_02物料!$K$4:$K$1203,对接源_02物料!$C$4:$C$1203,$B118,对接源_02物料!$D$4:$D$1203,"次果筐*",对接源_02物料!$L$4:$L$1203,"已付款"),2))</f>
        <v/>
      </c>
      <c r="J118" s="61" t="str">
        <f aca="false">IF($B118="","",ROUND(N($H118)-N($I118),2))</f>
        <v/>
      </c>
      <c r="K118" s="59" t="str">
        <f aca="false">IF($B118="","",IF(ROUND(N($J118),2)&gt;0,"对方欠款",IF(ROUND(N($J118),2)&lt;0,"我方欠款","已两清")))</f>
        <v/>
      </c>
      <c r="L118" s="105"/>
    </row>
    <row r="119" customFormat="false" ht="13.5" hidden="false" customHeight="false" outlineLevel="0" collapsed="false">
      <c r="A119" s="59" t="str">
        <f aca="false">IF($B119="","",ROW()-3)</f>
        <v/>
      </c>
      <c r="B119" s="104" t="str">
        <f aca="false">IFERROR(INDEX(_自动清单!$E$4:$E$303,ROW()-3),"")</f>
        <v/>
      </c>
      <c r="C119" s="61" t="str">
        <f aca="false">IF($B119="","",ROUND(SUMIFS(对接源_01水果!$K$4:$K$1203,对接源_01水果!$C$4:$C$1203,$B119,对接源_01水果!$D$4:$D$1203,"成品出库*"),2))</f>
        <v/>
      </c>
      <c r="D119" s="61" t="str">
        <f aca="false">IF($B119="","",ROUND(SUMIFS(对接源_01水果!$K$4:$K$1203,对接源_01水果!$C$4:$C$1203,$B119,对接源_01水果!$D$4:$D$1203,"其他代存*"),2))</f>
        <v/>
      </c>
      <c r="E119" s="61" t="str">
        <f aca="false">IF($B119="","",ROUND(SUMIFS(对接源_02物料!$K$4:$K$1203,对接源_02物料!$C$4:$C$1203,$B119,对接源_02物料!$D$4:$D$1203,"包装物料*"),2))</f>
        <v/>
      </c>
      <c r="F119" s="61" t="str">
        <f aca="false">IF($B119="","",ROUND(SUMIFS(对接源_02物料!$K$4:$K$1203,对接源_02物料!$C$4:$C$1203,$B119,对接源_02物料!$D$4:$D$1203,"周转筐*"),2))</f>
        <v/>
      </c>
      <c r="G119" s="61" t="str">
        <f aca="false">IF($B119="","",ROUND(SUMIFS(对接源_02物料!$K$4:$K$1203,对接源_02物料!$C$4:$C$1203,$B119,对接源_02物料!$D$4:$D$1203,"次果筐*"),2))</f>
        <v/>
      </c>
      <c r="H119" s="61" t="str">
        <f aca="false">IF($B119="","",ROUND(SUM($C119:$G119),2))</f>
        <v/>
      </c>
      <c r="I119" s="61" t="str">
        <f aca="false">IF($B119="","",ROUND(SUMIFS(对接源_01水果!$K$4:$K$1203,对接源_01水果!$C$4:$C$1203,$B119,对接源_01水果!$D$4:$D$1203,"成品出库*",对接源_01水果!$L$4:$L$1203,"已收讫")+SUMIFS(对接源_01水果!$K$4:$K$1203,对接源_01水果!$C$4:$C$1203,$B119,对接源_01水果!$D$4:$D$1203,"成品出库*",对接源_01水果!$L$4:$L$1203,"已付款")+SUMIFS(对接源_01水果!$K$4:$K$1203,对接源_01水果!$C$4:$C$1203,$B119,对接源_01水果!$D$4:$D$1203,"其他代存*",对接源_01水果!$L$4:$L$1203,"已收讫")+SUMIFS(对接源_01水果!$K$4:$K$1203,对接源_01水果!$C$4:$C$1203,$B119,对接源_01水果!$D$4:$D$1203,"其他代存*",对接源_01水果!$L$4:$L$1203,"已付款")+SUMIFS(对接源_02物料!$K$4:$K$1203,对接源_02物料!$C$4:$C$1203,$B119,对接源_02物料!$D$4:$D$1203,"包装物料*",对接源_02物料!$L$4:$L$1203,"已收讫")+SUMIFS(对接源_02物料!$K$4:$K$1203,对接源_02物料!$C$4:$C$1203,$B119,对接源_02物料!$D$4:$D$1203,"包装物料*",对接源_02物料!$L$4:$L$1203,"已付款")+SUMIFS(对接源_02物料!$K$4:$K$1203,对接源_02物料!$C$4:$C$1203,$B119,对接源_02物料!$D$4:$D$1203,"周转筐*",对接源_02物料!$L$4:$L$1203,"已收讫")+SUMIFS(对接源_02物料!$K$4:$K$1203,对接源_02物料!$C$4:$C$1203,$B119,对接源_02物料!$D$4:$D$1203,"周转筐*",对接源_02物料!$L$4:$L$1203,"已付款")+SUMIFS(对接源_02物料!$K$4:$K$1203,对接源_02物料!$C$4:$C$1203,$B119,对接源_02物料!$D$4:$D$1203,"次果筐*",对接源_02物料!$L$4:$L$1203,"已收讫")+SUMIFS(对接源_02物料!$K$4:$K$1203,对接源_02物料!$C$4:$C$1203,$B119,对接源_02物料!$D$4:$D$1203,"次果筐*",对接源_02物料!$L$4:$L$1203,"已付款"),2))</f>
        <v/>
      </c>
      <c r="J119" s="61" t="str">
        <f aca="false">IF($B119="","",ROUND(N($H119)-N($I119),2))</f>
        <v/>
      </c>
      <c r="K119" s="59" t="str">
        <f aca="false">IF($B119="","",IF(ROUND(N($J119),2)&gt;0,"对方欠款",IF(ROUND(N($J119),2)&lt;0,"我方欠款","已两清")))</f>
        <v/>
      </c>
      <c r="L119" s="105"/>
    </row>
    <row r="120" customFormat="false" ht="13.5" hidden="false" customHeight="false" outlineLevel="0" collapsed="false">
      <c r="A120" s="59" t="str">
        <f aca="false">IF($B120="","",ROW()-3)</f>
        <v/>
      </c>
      <c r="B120" s="104" t="str">
        <f aca="false">IFERROR(INDEX(_自动清单!$E$4:$E$303,ROW()-3),"")</f>
        <v/>
      </c>
      <c r="C120" s="61" t="str">
        <f aca="false">IF($B120="","",ROUND(SUMIFS(对接源_01水果!$K$4:$K$1203,对接源_01水果!$C$4:$C$1203,$B120,对接源_01水果!$D$4:$D$1203,"成品出库*"),2))</f>
        <v/>
      </c>
      <c r="D120" s="61" t="str">
        <f aca="false">IF($B120="","",ROUND(SUMIFS(对接源_01水果!$K$4:$K$1203,对接源_01水果!$C$4:$C$1203,$B120,对接源_01水果!$D$4:$D$1203,"其他代存*"),2))</f>
        <v/>
      </c>
      <c r="E120" s="61" t="str">
        <f aca="false">IF($B120="","",ROUND(SUMIFS(对接源_02物料!$K$4:$K$1203,对接源_02物料!$C$4:$C$1203,$B120,对接源_02物料!$D$4:$D$1203,"包装物料*"),2))</f>
        <v/>
      </c>
      <c r="F120" s="61" t="str">
        <f aca="false">IF($B120="","",ROUND(SUMIFS(对接源_02物料!$K$4:$K$1203,对接源_02物料!$C$4:$C$1203,$B120,对接源_02物料!$D$4:$D$1203,"周转筐*"),2))</f>
        <v/>
      </c>
      <c r="G120" s="61" t="str">
        <f aca="false">IF($B120="","",ROUND(SUMIFS(对接源_02物料!$K$4:$K$1203,对接源_02物料!$C$4:$C$1203,$B120,对接源_02物料!$D$4:$D$1203,"次果筐*"),2))</f>
        <v/>
      </c>
      <c r="H120" s="61" t="str">
        <f aca="false">IF($B120="","",ROUND(SUM($C120:$G120),2))</f>
        <v/>
      </c>
      <c r="I120" s="61" t="str">
        <f aca="false">IF($B120="","",ROUND(SUMIFS(对接源_01水果!$K$4:$K$1203,对接源_01水果!$C$4:$C$1203,$B120,对接源_01水果!$D$4:$D$1203,"成品出库*",对接源_01水果!$L$4:$L$1203,"已收讫")+SUMIFS(对接源_01水果!$K$4:$K$1203,对接源_01水果!$C$4:$C$1203,$B120,对接源_01水果!$D$4:$D$1203,"成品出库*",对接源_01水果!$L$4:$L$1203,"已付款")+SUMIFS(对接源_01水果!$K$4:$K$1203,对接源_01水果!$C$4:$C$1203,$B120,对接源_01水果!$D$4:$D$1203,"其他代存*",对接源_01水果!$L$4:$L$1203,"已收讫")+SUMIFS(对接源_01水果!$K$4:$K$1203,对接源_01水果!$C$4:$C$1203,$B120,对接源_01水果!$D$4:$D$1203,"其他代存*",对接源_01水果!$L$4:$L$1203,"已付款")+SUMIFS(对接源_02物料!$K$4:$K$1203,对接源_02物料!$C$4:$C$1203,$B120,对接源_02物料!$D$4:$D$1203,"包装物料*",对接源_02物料!$L$4:$L$1203,"已收讫")+SUMIFS(对接源_02物料!$K$4:$K$1203,对接源_02物料!$C$4:$C$1203,$B120,对接源_02物料!$D$4:$D$1203,"包装物料*",对接源_02物料!$L$4:$L$1203,"已付款")+SUMIFS(对接源_02物料!$K$4:$K$1203,对接源_02物料!$C$4:$C$1203,$B120,对接源_02物料!$D$4:$D$1203,"周转筐*",对接源_02物料!$L$4:$L$1203,"已收讫")+SUMIFS(对接源_02物料!$K$4:$K$1203,对接源_02物料!$C$4:$C$1203,$B120,对接源_02物料!$D$4:$D$1203,"周转筐*",对接源_02物料!$L$4:$L$1203,"已付款")+SUMIFS(对接源_02物料!$K$4:$K$1203,对接源_02物料!$C$4:$C$1203,$B120,对接源_02物料!$D$4:$D$1203,"次果筐*",对接源_02物料!$L$4:$L$1203,"已收讫")+SUMIFS(对接源_02物料!$K$4:$K$1203,对接源_02物料!$C$4:$C$1203,$B120,对接源_02物料!$D$4:$D$1203,"次果筐*",对接源_02物料!$L$4:$L$1203,"已付款"),2))</f>
        <v/>
      </c>
      <c r="J120" s="61" t="str">
        <f aca="false">IF($B120="","",ROUND(N($H120)-N($I120),2))</f>
        <v/>
      </c>
      <c r="K120" s="59" t="str">
        <f aca="false">IF($B120="","",IF(ROUND(N($J120),2)&gt;0,"对方欠款",IF(ROUND(N($J120),2)&lt;0,"我方欠款","已两清")))</f>
        <v/>
      </c>
      <c r="L120" s="105"/>
    </row>
    <row r="121" customFormat="false" ht="13.5" hidden="false" customHeight="false" outlineLevel="0" collapsed="false">
      <c r="A121" s="59" t="str">
        <f aca="false">IF($B121="","",ROW()-3)</f>
        <v/>
      </c>
      <c r="B121" s="104" t="str">
        <f aca="false">IFERROR(INDEX(_自动清单!$E$4:$E$303,ROW()-3),"")</f>
        <v/>
      </c>
      <c r="C121" s="61" t="str">
        <f aca="false">IF($B121="","",ROUND(SUMIFS(对接源_01水果!$K$4:$K$1203,对接源_01水果!$C$4:$C$1203,$B121,对接源_01水果!$D$4:$D$1203,"成品出库*"),2))</f>
        <v/>
      </c>
      <c r="D121" s="61" t="str">
        <f aca="false">IF($B121="","",ROUND(SUMIFS(对接源_01水果!$K$4:$K$1203,对接源_01水果!$C$4:$C$1203,$B121,对接源_01水果!$D$4:$D$1203,"其他代存*"),2))</f>
        <v/>
      </c>
      <c r="E121" s="61" t="str">
        <f aca="false">IF($B121="","",ROUND(SUMIFS(对接源_02物料!$K$4:$K$1203,对接源_02物料!$C$4:$C$1203,$B121,对接源_02物料!$D$4:$D$1203,"包装物料*"),2))</f>
        <v/>
      </c>
      <c r="F121" s="61" t="str">
        <f aca="false">IF($B121="","",ROUND(SUMIFS(对接源_02物料!$K$4:$K$1203,对接源_02物料!$C$4:$C$1203,$B121,对接源_02物料!$D$4:$D$1203,"周转筐*"),2))</f>
        <v/>
      </c>
      <c r="G121" s="61" t="str">
        <f aca="false">IF($B121="","",ROUND(SUMIFS(对接源_02物料!$K$4:$K$1203,对接源_02物料!$C$4:$C$1203,$B121,对接源_02物料!$D$4:$D$1203,"次果筐*"),2))</f>
        <v/>
      </c>
      <c r="H121" s="61" t="str">
        <f aca="false">IF($B121="","",ROUND(SUM($C121:$G121),2))</f>
        <v/>
      </c>
      <c r="I121" s="61" t="str">
        <f aca="false">IF($B121="","",ROUND(SUMIFS(对接源_01水果!$K$4:$K$1203,对接源_01水果!$C$4:$C$1203,$B121,对接源_01水果!$D$4:$D$1203,"成品出库*",对接源_01水果!$L$4:$L$1203,"已收讫")+SUMIFS(对接源_01水果!$K$4:$K$1203,对接源_01水果!$C$4:$C$1203,$B121,对接源_01水果!$D$4:$D$1203,"成品出库*",对接源_01水果!$L$4:$L$1203,"已付款")+SUMIFS(对接源_01水果!$K$4:$K$1203,对接源_01水果!$C$4:$C$1203,$B121,对接源_01水果!$D$4:$D$1203,"其他代存*",对接源_01水果!$L$4:$L$1203,"已收讫")+SUMIFS(对接源_01水果!$K$4:$K$1203,对接源_01水果!$C$4:$C$1203,$B121,对接源_01水果!$D$4:$D$1203,"其他代存*",对接源_01水果!$L$4:$L$1203,"已付款")+SUMIFS(对接源_02物料!$K$4:$K$1203,对接源_02物料!$C$4:$C$1203,$B121,对接源_02物料!$D$4:$D$1203,"包装物料*",对接源_02物料!$L$4:$L$1203,"已收讫")+SUMIFS(对接源_02物料!$K$4:$K$1203,对接源_02物料!$C$4:$C$1203,$B121,对接源_02物料!$D$4:$D$1203,"包装物料*",对接源_02物料!$L$4:$L$1203,"已付款")+SUMIFS(对接源_02物料!$K$4:$K$1203,对接源_02物料!$C$4:$C$1203,$B121,对接源_02物料!$D$4:$D$1203,"周转筐*",对接源_02物料!$L$4:$L$1203,"已收讫")+SUMIFS(对接源_02物料!$K$4:$K$1203,对接源_02物料!$C$4:$C$1203,$B121,对接源_02物料!$D$4:$D$1203,"周转筐*",对接源_02物料!$L$4:$L$1203,"已付款")+SUMIFS(对接源_02物料!$K$4:$K$1203,对接源_02物料!$C$4:$C$1203,$B121,对接源_02物料!$D$4:$D$1203,"次果筐*",对接源_02物料!$L$4:$L$1203,"已收讫")+SUMIFS(对接源_02物料!$K$4:$K$1203,对接源_02物料!$C$4:$C$1203,$B121,对接源_02物料!$D$4:$D$1203,"次果筐*",对接源_02物料!$L$4:$L$1203,"已付款"),2))</f>
        <v/>
      </c>
      <c r="J121" s="61" t="str">
        <f aca="false">IF($B121="","",ROUND(N($H121)-N($I121),2))</f>
        <v/>
      </c>
      <c r="K121" s="59" t="str">
        <f aca="false">IF($B121="","",IF(ROUND(N($J121),2)&gt;0,"对方欠款",IF(ROUND(N($J121),2)&lt;0,"我方欠款","已两清")))</f>
        <v/>
      </c>
      <c r="L121" s="105"/>
    </row>
    <row r="122" customFormat="false" ht="13.5" hidden="false" customHeight="false" outlineLevel="0" collapsed="false">
      <c r="A122" s="59" t="str">
        <f aca="false">IF($B122="","",ROW()-3)</f>
        <v/>
      </c>
      <c r="B122" s="104" t="str">
        <f aca="false">IFERROR(INDEX(_自动清单!$E$4:$E$303,ROW()-3),"")</f>
        <v/>
      </c>
      <c r="C122" s="61" t="str">
        <f aca="false">IF($B122="","",ROUND(SUMIFS(对接源_01水果!$K$4:$K$1203,对接源_01水果!$C$4:$C$1203,$B122,对接源_01水果!$D$4:$D$1203,"成品出库*"),2))</f>
        <v/>
      </c>
      <c r="D122" s="61" t="str">
        <f aca="false">IF($B122="","",ROUND(SUMIFS(对接源_01水果!$K$4:$K$1203,对接源_01水果!$C$4:$C$1203,$B122,对接源_01水果!$D$4:$D$1203,"其他代存*"),2))</f>
        <v/>
      </c>
      <c r="E122" s="61" t="str">
        <f aca="false">IF($B122="","",ROUND(SUMIFS(对接源_02物料!$K$4:$K$1203,对接源_02物料!$C$4:$C$1203,$B122,对接源_02物料!$D$4:$D$1203,"包装物料*"),2))</f>
        <v/>
      </c>
      <c r="F122" s="61" t="str">
        <f aca="false">IF($B122="","",ROUND(SUMIFS(对接源_02物料!$K$4:$K$1203,对接源_02物料!$C$4:$C$1203,$B122,对接源_02物料!$D$4:$D$1203,"周转筐*"),2))</f>
        <v/>
      </c>
      <c r="G122" s="61" t="str">
        <f aca="false">IF($B122="","",ROUND(SUMIFS(对接源_02物料!$K$4:$K$1203,对接源_02物料!$C$4:$C$1203,$B122,对接源_02物料!$D$4:$D$1203,"次果筐*"),2))</f>
        <v/>
      </c>
      <c r="H122" s="61" t="str">
        <f aca="false">IF($B122="","",ROUND(SUM($C122:$G122),2))</f>
        <v/>
      </c>
      <c r="I122" s="61" t="str">
        <f aca="false">IF($B122="","",ROUND(SUMIFS(对接源_01水果!$K$4:$K$1203,对接源_01水果!$C$4:$C$1203,$B122,对接源_01水果!$D$4:$D$1203,"成品出库*",对接源_01水果!$L$4:$L$1203,"已收讫")+SUMIFS(对接源_01水果!$K$4:$K$1203,对接源_01水果!$C$4:$C$1203,$B122,对接源_01水果!$D$4:$D$1203,"成品出库*",对接源_01水果!$L$4:$L$1203,"已付款")+SUMIFS(对接源_01水果!$K$4:$K$1203,对接源_01水果!$C$4:$C$1203,$B122,对接源_01水果!$D$4:$D$1203,"其他代存*",对接源_01水果!$L$4:$L$1203,"已收讫")+SUMIFS(对接源_01水果!$K$4:$K$1203,对接源_01水果!$C$4:$C$1203,$B122,对接源_01水果!$D$4:$D$1203,"其他代存*",对接源_01水果!$L$4:$L$1203,"已付款")+SUMIFS(对接源_02物料!$K$4:$K$1203,对接源_02物料!$C$4:$C$1203,$B122,对接源_02物料!$D$4:$D$1203,"包装物料*",对接源_02物料!$L$4:$L$1203,"已收讫")+SUMIFS(对接源_02物料!$K$4:$K$1203,对接源_02物料!$C$4:$C$1203,$B122,对接源_02物料!$D$4:$D$1203,"包装物料*",对接源_02物料!$L$4:$L$1203,"已付款")+SUMIFS(对接源_02物料!$K$4:$K$1203,对接源_02物料!$C$4:$C$1203,$B122,对接源_02物料!$D$4:$D$1203,"周转筐*",对接源_02物料!$L$4:$L$1203,"已收讫")+SUMIFS(对接源_02物料!$K$4:$K$1203,对接源_02物料!$C$4:$C$1203,$B122,对接源_02物料!$D$4:$D$1203,"周转筐*",对接源_02物料!$L$4:$L$1203,"已付款")+SUMIFS(对接源_02物料!$K$4:$K$1203,对接源_02物料!$C$4:$C$1203,$B122,对接源_02物料!$D$4:$D$1203,"次果筐*",对接源_02物料!$L$4:$L$1203,"已收讫")+SUMIFS(对接源_02物料!$K$4:$K$1203,对接源_02物料!$C$4:$C$1203,$B122,对接源_02物料!$D$4:$D$1203,"次果筐*",对接源_02物料!$L$4:$L$1203,"已付款"),2))</f>
        <v/>
      </c>
      <c r="J122" s="61" t="str">
        <f aca="false">IF($B122="","",ROUND(N($H122)-N($I122),2))</f>
        <v/>
      </c>
      <c r="K122" s="59" t="str">
        <f aca="false">IF($B122="","",IF(ROUND(N($J122),2)&gt;0,"对方欠款",IF(ROUND(N($J122),2)&lt;0,"我方欠款","已两清")))</f>
        <v/>
      </c>
      <c r="L122" s="105"/>
    </row>
    <row r="123" customFormat="false" ht="13.5" hidden="false" customHeight="false" outlineLevel="0" collapsed="false">
      <c r="A123" s="59" t="str">
        <f aca="false">IF($B123="","",ROW()-3)</f>
        <v/>
      </c>
      <c r="B123" s="104" t="str">
        <f aca="false">IFERROR(INDEX(_自动清单!$E$4:$E$303,ROW()-3),"")</f>
        <v/>
      </c>
      <c r="C123" s="61" t="str">
        <f aca="false">IF($B123="","",ROUND(SUMIFS(对接源_01水果!$K$4:$K$1203,对接源_01水果!$C$4:$C$1203,$B123,对接源_01水果!$D$4:$D$1203,"成品出库*"),2))</f>
        <v/>
      </c>
      <c r="D123" s="61" t="str">
        <f aca="false">IF($B123="","",ROUND(SUMIFS(对接源_01水果!$K$4:$K$1203,对接源_01水果!$C$4:$C$1203,$B123,对接源_01水果!$D$4:$D$1203,"其他代存*"),2))</f>
        <v/>
      </c>
      <c r="E123" s="61" t="str">
        <f aca="false">IF($B123="","",ROUND(SUMIFS(对接源_02物料!$K$4:$K$1203,对接源_02物料!$C$4:$C$1203,$B123,对接源_02物料!$D$4:$D$1203,"包装物料*"),2))</f>
        <v/>
      </c>
      <c r="F123" s="61" t="str">
        <f aca="false">IF($B123="","",ROUND(SUMIFS(对接源_02物料!$K$4:$K$1203,对接源_02物料!$C$4:$C$1203,$B123,对接源_02物料!$D$4:$D$1203,"周转筐*"),2))</f>
        <v/>
      </c>
      <c r="G123" s="61" t="str">
        <f aca="false">IF($B123="","",ROUND(SUMIFS(对接源_02物料!$K$4:$K$1203,对接源_02物料!$C$4:$C$1203,$B123,对接源_02物料!$D$4:$D$1203,"次果筐*"),2))</f>
        <v/>
      </c>
      <c r="H123" s="61" t="str">
        <f aca="false">IF($B123="","",ROUND(SUM($C123:$G123),2))</f>
        <v/>
      </c>
      <c r="I123" s="61" t="str">
        <f aca="false">IF($B123="","",ROUND(SUMIFS(对接源_01水果!$K$4:$K$1203,对接源_01水果!$C$4:$C$1203,$B123,对接源_01水果!$D$4:$D$1203,"成品出库*",对接源_01水果!$L$4:$L$1203,"已收讫")+SUMIFS(对接源_01水果!$K$4:$K$1203,对接源_01水果!$C$4:$C$1203,$B123,对接源_01水果!$D$4:$D$1203,"成品出库*",对接源_01水果!$L$4:$L$1203,"已付款")+SUMIFS(对接源_01水果!$K$4:$K$1203,对接源_01水果!$C$4:$C$1203,$B123,对接源_01水果!$D$4:$D$1203,"其他代存*",对接源_01水果!$L$4:$L$1203,"已收讫")+SUMIFS(对接源_01水果!$K$4:$K$1203,对接源_01水果!$C$4:$C$1203,$B123,对接源_01水果!$D$4:$D$1203,"其他代存*",对接源_01水果!$L$4:$L$1203,"已付款")+SUMIFS(对接源_02物料!$K$4:$K$1203,对接源_02物料!$C$4:$C$1203,$B123,对接源_02物料!$D$4:$D$1203,"包装物料*",对接源_02物料!$L$4:$L$1203,"已收讫")+SUMIFS(对接源_02物料!$K$4:$K$1203,对接源_02物料!$C$4:$C$1203,$B123,对接源_02物料!$D$4:$D$1203,"包装物料*",对接源_02物料!$L$4:$L$1203,"已付款")+SUMIFS(对接源_02物料!$K$4:$K$1203,对接源_02物料!$C$4:$C$1203,$B123,对接源_02物料!$D$4:$D$1203,"周转筐*",对接源_02物料!$L$4:$L$1203,"已收讫")+SUMIFS(对接源_02物料!$K$4:$K$1203,对接源_02物料!$C$4:$C$1203,$B123,对接源_02物料!$D$4:$D$1203,"周转筐*",对接源_02物料!$L$4:$L$1203,"已付款")+SUMIFS(对接源_02物料!$K$4:$K$1203,对接源_02物料!$C$4:$C$1203,$B123,对接源_02物料!$D$4:$D$1203,"次果筐*",对接源_02物料!$L$4:$L$1203,"已收讫")+SUMIFS(对接源_02物料!$K$4:$K$1203,对接源_02物料!$C$4:$C$1203,$B123,对接源_02物料!$D$4:$D$1203,"次果筐*",对接源_02物料!$L$4:$L$1203,"已付款"),2))</f>
        <v/>
      </c>
      <c r="J123" s="61" t="str">
        <f aca="false">IF($B123="","",ROUND(N($H123)-N($I123),2))</f>
        <v/>
      </c>
      <c r="K123" s="59" t="str">
        <f aca="false">IF($B123="","",IF(ROUND(N($J123),2)&gt;0,"对方欠款",IF(ROUND(N($J123),2)&lt;0,"我方欠款","已两清")))</f>
        <v/>
      </c>
      <c r="L123" s="105"/>
    </row>
    <row r="124" customFormat="false" ht="13.5" hidden="false" customHeight="false" outlineLevel="0" collapsed="false">
      <c r="A124" s="59" t="str">
        <f aca="false">IF($B124="","",ROW()-3)</f>
        <v/>
      </c>
      <c r="B124" s="104" t="str">
        <f aca="false">IFERROR(INDEX(_自动清单!$E$4:$E$303,ROW()-3),"")</f>
        <v/>
      </c>
      <c r="C124" s="61" t="str">
        <f aca="false">IF($B124="","",ROUND(SUMIFS(对接源_01水果!$K$4:$K$1203,对接源_01水果!$C$4:$C$1203,$B124,对接源_01水果!$D$4:$D$1203,"成品出库*"),2))</f>
        <v/>
      </c>
      <c r="D124" s="61" t="str">
        <f aca="false">IF($B124="","",ROUND(SUMIFS(对接源_01水果!$K$4:$K$1203,对接源_01水果!$C$4:$C$1203,$B124,对接源_01水果!$D$4:$D$1203,"其他代存*"),2))</f>
        <v/>
      </c>
      <c r="E124" s="61" t="str">
        <f aca="false">IF($B124="","",ROUND(SUMIFS(对接源_02物料!$K$4:$K$1203,对接源_02物料!$C$4:$C$1203,$B124,对接源_02物料!$D$4:$D$1203,"包装物料*"),2))</f>
        <v/>
      </c>
      <c r="F124" s="61" t="str">
        <f aca="false">IF($B124="","",ROUND(SUMIFS(对接源_02物料!$K$4:$K$1203,对接源_02物料!$C$4:$C$1203,$B124,对接源_02物料!$D$4:$D$1203,"周转筐*"),2))</f>
        <v/>
      </c>
      <c r="G124" s="61" t="str">
        <f aca="false">IF($B124="","",ROUND(SUMIFS(对接源_02物料!$K$4:$K$1203,对接源_02物料!$C$4:$C$1203,$B124,对接源_02物料!$D$4:$D$1203,"次果筐*"),2))</f>
        <v/>
      </c>
      <c r="H124" s="61" t="str">
        <f aca="false">IF($B124="","",ROUND(SUM($C124:$G124),2))</f>
        <v/>
      </c>
      <c r="I124" s="61" t="str">
        <f aca="false">IF($B124="","",ROUND(SUMIFS(对接源_01水果!$K$4:$K$1203,对接源_01水果!$C$4:$C$1203,$B124,对接源_01水果!$D$4:$D$1203,"成品出库*",对接源_01水果!$L$4:$L$1203,"已收讫")+SUMIFS(对接源_01水果!$K$4:$K$1203,对接源_01水果!$C$4:$C$1203,$B124,对接源_01水果!$D$4:$D$1203,"成品出库*",对接源_01水果!$L$4:$L$1203,"已付款")+SUMIFS(对接源_01水果!$K$4:$K$1203,对接源_01水果!$C$4:$C$1203,$B124,对接源_01水果!$D$4:$D$1203,"其他代存*",对接源_01水果!$L$4:$L$1203,"已收讫")+SUMIFS(对接源_01水果!$K$4:$K$1203,对接源_01水果!$C$4:$C$1203,$B124,对接源_01水果!$D$4:$D$1203,"其他代存*",对接源_01水果!$L$4:$L$1203,"已付款")+SUMIFS(对接源_02物料!$K$4:$K$1203,对接源_02物料!$C$4:$C$1203,$B124,对接源_02物料!$D$4:$D$1203,"包装物料*",对接源_02物料!$L$4:$L$1203,"已收讫")+SUMIFS(对接源_02物料!$K$4:$K$1203,对接源_02物料!$C$4:$C$1203,$B124,对接源_02物料!$D$4:$D$1203,"包装物料*",对接源_02物料!$L$4:$L$1203,"已付款")+SUMIFS(对接源_02物料!$K$4:$K$1203,对接源_02物料!$C$4:$C$1203,$B124,对接源_02物料!$D$4:$D$1203,"周转筐*",对接源_02物料!$L$4:$L$1203,"已收讫")+SUMIFS(对接源_02物料!$K$4:$K$1203,对接源_02物料!$C$4:$C$1203,$B124,对接源_02物料!$D$4:$D$1203,"周转筐*",对接源_02物料!$L$4:$L$1203,"已付款")+SUMIFS(对接源_02物料!$K$4:$K$1203,对接源_02物料!$C$4:$C$1203,$B124,对接源_02物料!$D$4:$D$1203,"次果筐*",对接源_02物料!$L$4:$L$1203,"已收讫")+SUMIFS(对接源_02物料!$K$4:$K$1203,对接源_02物料!$C$4:$C$1203,$B124,对接源_02物料!$D$4:$D$1203,"次果筐*",对接源_02物料!$L$4:$L$1203,"已付款"),2))</f>
        <v/>
      </c>
      <c r="J124" s="61" t="str">
        <f aca="false">IF($B124="","",ROUND(N($H124)-N($I124),2))</f>
        <v/>
      </c>
      <c r="K124" s="59" t="str">
        <f aca="false">IF($B124="","",IF(ROUND(N($J124),2)&gt;0,"对方欠款",IF(ROUND(N($J124),2)&lt;0,"我方欠款","已两清")))</f>
        <v/>
      </c>
      <c r="L124" s="105"/>
    </row>
    <row r="125" customFormat="false" ht="13.5" hidden="false" customHeight="false" outlineLevel="0" collapsed="false">
      <c r="A125" s="59" t="str">
        <f aca="false">IF($B125="","",ROW()-3)</f>
        <v/>
      </c>
      <c r="B125" s="104" t="str">
        <f aca="false">IFERROR(INDEX(_自动清单!$E$4:$E$303,ROW()-3),"")</f>
        <v/>
      </c>
      <c r="C125" s="61" t="str">
        <f aca="false">IF($B125="","",ROUND(SUMIFS(对接源_01水果!$K$4:$K$1203,对接源_01水果!$C$4:$C$1203,$B125,对接源_01水果!$D$4:$D$1203,"成品出库*"),2))</f>
        <v/>
      </c>
      <c r="D125" s="61" t="str">
        <f aca="false">IF($B125="","",ROUND(SUMIFS(对接源_01水果!$K$4:$K$1203,对接源_01水果!$C$4:$C$1203,$B125,对接源_01水果!$D$4:$D$1203,"其他代存*"),2))</f>
        <v/>
      </c>
      <c r="E125" s="61" t="str">
        <f aca="false">IF($B125="","",ROUND(SUMIFS(对接源_02物料!$K$4:$K$1203,对接源_02物料!$C$4:$C$1203,$B125,对接源_02物料!$D$4:$D$1203,"包装物料*"),2))</f>
        <v/>
      </c>
      <c r="F125" s="61" t="str">
        <f aca="false">IF($B125="","",ROUND(SUMIFS(对接源_02物料!$K$4:$K$1203,对接源_02物料!$C$4:$C$1203,$B125,对接源_02物料!$D$4:$D$1203,"周转筐*"),2))</f>
        <v/>
      </c>
      <c r="G125" s="61" t="str">
        <f aca="false">IF($B125="","",ROUND(SUMIFS(对接源_02物料!$K$4:$K$1203,对接源_02物料!$C$4:$C$1203,$B125,对接源_02物料!$D$4:$D$1203,"次果筐*"),2))</f>
        <v/>
      </c>
      <c r="H125" s="61" t="str">
        <f aca="false">IF($B125="","",ROUND(SUM($C125:$G125),2))</f>
        <v/>
      </c>
      <c r="I125" s="61" t="str">
        <f aca="false">IF($B125="","",ROUND(SUMIFS(对接源_01水果!$K$4:$K$1203,对接源_01水果!$C$4:$C$1203,$B125,对接源_01水果!$D$4:$D$1203,"成品出库*",对接源_01水果!$L$4:$L$1203,"已收讫")+SUMIFS(对接源_01水果!$K$4:$K$1203,对接源_01水果!$C$4:$C$1203,$B125,对接源_01水果!$D$4:$D$1203,"成品出库*",对接源_01水果!$L$4:$L$1203,"已付款")+SUMIFS(对接源_01水果!$K$4:$K$1203,对接源_01水果!$C$4:$C$1203,$B125,对接源_01水果!$D$4:$D$1203,"其他代存*",对接源_01水果!$L$4:$L$1203,"已收讫")+SUMIFS(对接源_01水果!$K$4:$K$1203,对接源_01水果!$C$4:$C$1203,$B125,对接源_01水果!$D$4:$D$1203,"其他代存*",对接源_01水果!$L$4:$L$1203,"已付款")+SUMIFS(对接源_02物料!$K$4:$K$1203,对接源_02物料!$C$4:$C$1203,$B125,对接源_02物料!$D$4:$D$1203,"包装物料*",对接源_02物料!$L$4:$L$1203,"已收讫")+SUMIFS(对接源_02物料!$K$4:$K$1203,对接源_02物料!$C$4:$C$1203,$B125,对接源_02物料!$D$4:$D$1203,"包装物料*",对接源_02物料!$L$4:$L$1203,"已付款")+SUMIFS(对接源_02物料!$K$4:$K$1203,对接源_02物料!$C$4:$C$1203,$B125,对接源_02物料!$D$4:$D$1203,"周转筐*",对接源_02物料!$L$4:$L$1203,"已收讫")+SUMIFS(对接源_02物料!$K$4:$K$1203,对接源_02物料!$C$4:$C$1203,$B125,对接源_02物料!$D$4:$D$1203,"周转筐*",对接源_02物料!$L$4:$L$1203,"已付款")+SUMIFS(对接源_02物料!$K$4:$K$1203,对接源_02物料!$C$4:$C$1203,$B125,对接源_02物料!$D$4:$D$1203,"次果筐*",对接源_02物料!$L$4:$L$1203,"已收讫")+SUMIFS(对接源_02物料!$K$4:$K$1203,对接源_02物料!$C$4:$C$1203,$B125,对接源_02物料!$D$4:$D$1203,"次果筐*",对接源_02物料!$L$4:$L$1203,"已付款"),2))</f>
        <v/>
      </c>
      <c r="J125" s="61" t="str">
        <f aca="false">IF($B125="","",ROUND(N($H125)-N($I125),2))</f>
        <v/>
      </c>
      <c r="K125" s="59" t="str">
        <f aca="false">IF($B125="","",IF(ROUND(N($J125),2)&gt;0,"对方欠款",IF(ROUND(N($J125),2)&lt;0,"我方欠款","已两清")))</f>
        <v/>
      </c>
      <c r="L125" s="105"/>
    </row>
    <row r="126" customFormat="false" ht="13.5" hidden="false" customHeight="false" outlineLevel="0" collapsed="false">
      <c r="A126" s="59" t="str">
        <f aca="false">IF($B126="","",ROW()-3)</f>
        <v/>
      </c>
      <c r="B126" s="104" t="str">
        <f aca="false">IFERROR(INDEX(_自动清单!$E$4:$E$303,ROW()-3),"")</f>
        <v/>
      </c>
      <c r="C126" s="61" t="str">
        <f aca="false">IF($B126="","",ROUND(SUMIFS(对接源_01水果!$K$4:$K$1203,对接源_01水果!$C$4:$C$1203,$B126,对接源_01水果!$D$4:$D$1203,"成品出库*"),2))</f>
        <v/>
      </c>
      <c r="D126" s="61" t="str">
        <f aca="false">IF($B126="","",ROUND(SUMIFS(对接源_01水果!$K$4:$K$1203,对接源_01水果!$C$4:$C$1203,$B126,对接源_01水果!$D$4:$D$1203,"其他代存*"),2))</f>
        <v/>
      </c>
      <c r="E126" s="61" t="str">
        <f aca="false">IF($B126="","",ROUND(SUMIFS(对接源_02物料!$K$4:$K$1203,对接源_02物料!$C$4:$C$1203,$B126,对接源_02物料!$D$4:$D$1203,"包装物料*"),2))</f>
        <v/>
      </c>
      <c r="F126" s="61" t="str">
        <f aca="false">IF($B126="","",ROUND(SUMIFS(对接源_02物料!$K$4:$K$1203,对接源_02物料!$C$4:$C$1203,$B126,对接源_02物料!$D$4:$D$1203,"周转筐*"),2))</f>
        <v/>
      </c>
      <c r="G126" s="61" t="str">
        <f aca="false">IF($B126="","",ROUND(SUMIFS(对接源_02物料!$K$4:$K$1203,对接源_02物料!$C$4:$C$1203,$B126,对接源_02物料!$D$4:$D$1203,"次果筐*"),2))</f>
        <v/>
      </c>
      <c r="H126" s="61" t="str">
        <f aca="false">IF($B126="","",ROUND(SUM($C126:$G126),2))</f>
        <v/>
      </c>
      <c r="I126" s="61" t="str">
        <f aca="false">IF($B126="","",ROUND(SUMIFS(对接源_01水果!$K$4:$K$1203,对接源_01水果!$C$4:$C$1203,$B126,对接源_01水果!$D$4:$D$1203,"成品出库*",对接源_01水果!$L$4:$L$1203,"已收讫")+SUMIFS(对接源_01水果!$K$4:$K$1203,对接源_01水果!$C$4:$C$1203,$B126,对接源_01水果!$D$4:$D$1203,"成品出库*",对接源_01水果!$L$4:$L$1203,"已付款")+SUMIFS(对接源_01水果!$K$4:$K$1203,对接源_01水果!$C$4:$C$1203,$B126,对接源_01水果!$D$4:$D$1203,"其他代存*",对接源_01水果!$L$4:$L$1203,"已收讫")+SUMIFS(对接源_01水果!$K$4:$K$1203,对接源_01水果!$C$4:$C$1203,$B126,对接源_01水果!$D$4:$D$1203,"其他代存*",对接源_01水果!$L$4:$L$1203,"已付款")+SUMIFS(对接源_02物料!$K$4:$K$1203,对接源_02物料!$C$4:$C$1203,$B126,对接源_02物料!$D$4:$D$1203,"包装物料*",对接源_02物料!$L$4:$L$1203,"已收讫")+SUMIFS(对接源_02物料!$K$4:$K$1203,对接源_02物料!$C$4:$C$1203,$B126,对接源_02物料!$D$4:$D$1203,"包装物料*",对接源_02物料!$L$4:$L$1203,"已付款")+SUMIFS(对接源_02物料!$K$4:$K$1203,对接源_02物料!$C$4:$C$1203,$B126,对接源_02物料!$D$4:$D$1203,"周转筐*",对接源_02物料!$L$4:$L$1203,"已收讫")+SUMIFS(对接源_02物料!$K$4:$K$1203,对接源_02物料!$C$4:$C$1203,$B126,对接源_02物料!$D$4:$D$1203,"周转筐*",对接源_02物料!$L$4:$L$1203,"已付款")+SUMIFS(对接源_02物料!$K$4:$K$1203,对接源_02物料!$C$4:$C$1203,$B126,对接源_02物料!$D$4:$D$1203,"次果筐*",对接源_02物料!$L$4:$L$1203,"已收讫")+SUMIFS(对接源_02物料!$K$4:$K$1203,对接源_02物料!$C$4:$C$1203,$B126,对接源_02物料!$D$4:$D$1203,"次果筐*",对接源_02物料!$L$4:$L$1203,"已付款"),2))</f>
        <v/>
      </c>
      <c r="J126" s="61" t="str">
        <f aca="false">IF($B126="","",ROUND(N($H126)-N($I126),2))</f>
        <v/>
      </c>
      <c r="K126" s="59" t="str">
        <f aca="false">IF($B126="","",IF(ROUND(N($J126),2)&gt;0,"对方欠款",IF(ROUND(N($J126),2)&lt;0,"我方欠款","已两清")))</f>
        <v/>
      </c>
      <c r="L126" s="105"/>
    </row>
    <row r="127" customFormat="false" ht="13.5" hidden="false" customHeight="false" outlineLevel="0" collapsed="false">
      <c r="A127" s="59" t="str">
        <f aca="false">IF($B127="","",ROW()-3)</f>
        <v/>
      </c>
      <c r="B127" s="104" t="str">
        <f aca="false">IFERROR(INDEX(_自动清单!$E$4:$E$303,ROW()-3),"")</f>
        <v/>
      </c>
      <c r="C127" s="61" t="str">
        <f aca="false">IF($B127="","",ROUND(SUMIFS(对接源_01水果!$K$4:$K$1203,对接源_01水果!$C$4:$C$1203,$B127,对接源_01水果!$D$4:$D$1203,"成品出库*"),2))</f>
        <v/>
      </c>
      <c r="D127" s="61" t="str">
        <f aca="false">IF($B127="","",ROUND(SUMIFS(对接源_01水果!$K$4:$K$1203,对接源_01水果!$C$4:$C$1203,$B127,对接源_01水果!$D$4:$D$1203,"其他代存*"),2))</f>
        <v/>
      </c>
      <c r="E127" s="61" t="str">
        <f aca="false">IF($B127="","",ROUND(SUMIFS(对接源_02物料!$K$4:$K$1203,对接源_02物料!$C$4:$C$1203,$B127,对接源_02物料!$D$4:$D$1203,"包装物料*"),2))</f>
        <v/>
      </c>
      <c r="F127" s="61" t="str">
        <f aca="false">IF($B127="","",ROUND(SUMIFS(对接源_02物料!$K$4:$K$1203,对接源_02物料!$C$4:$C$1203,$B127,对接源_02物料!$D$4:$D$1203,"周转筐*"),2))</f>
        <v/>
      </c>
      <c r="G127" s="61" t="str">
        <f aca="false">IF($B127="","",ROUND(SUMIFS(对接源_02物料!$K$4:$K$1203,对接源_02物料!$C$4:$C$1203,$B127,对接源_02物料!$D$4:$D$1203,"次果筐*"),2))</f>
        <v/>
      </c>
      <c r="H127" s="61" t="str">
        <f aca="false">IF($B127="","",ROUND(SUM($C127:$G127),2))</f>
        <v/>
      </c>
      <c r="I127" s="61" t="str">
        <f aca="false">IF($B127="","",ROUND(SUMIFS(对接源_01水果!$K$4:$K$1203,对接源_01水果!$C$4:$C$1203,$B127,对接源_01水果!$D$4:$D$1203,"成品出库*",对接源_01水果!$L$4:$L$1203,"已收讫")+SUMIFS(对接源_01水果!$K$4:$K$1203,对接源_01水果!$C$4:$C$1203,$B127,对接源_01水果!$D$4:$D$1203,"成品出库*",对接源_01水果!$L$4:$L$1203,"已付款")+SUMIFS(对接源_01水果!$K$4:$K$1203,对接源_01水果!$C$4:$C$1203,$B127,对接源_01水果!$D$4:$D$1203,"其他代存*",对接源_01水果!$L$4:$L$1203,"已收讫")+SUMIFS(对接源_01水果!$K$4:$K$1203,对接源_01水果!$C$4:$C$1203,$B127,对接源_01水果!$D$4:$D$1203,"其他代存*",对接源_01水果!$L$4:$L$1203,"已付款")+SUMIFS(对接源_02物料!$K$4:$K$1203,对接源_02物料!$C$4:$C$1203,$B127,对接源_02物料!$D$4:$D$1203,"包装物料*",对接源_02物料!$L$4:$L$1203,"已收讫")+SUMIFS(对接源_02物料!$K$4:$K$1203,对接源_02物料!$C$4:$C$1203,$B127,对接源_02物料!$D$4:$D$1203,"包装物料*",对接源_02物料!$L$4:$L$1203,"已付款")+SUMIFS(对接源_02物料!$K$4:$K$1203,对接源_02物料!$C$4:$C$1203,$B127,对接源_02物料!$D$4:$D$1203,"周转筐*",对接源_02物料!$L$4:$L$1203,"已收讫")+SUMIFS(对接源_02物料!$K$4:$K$1203,对接源_02物料!$C$4:$C$1203,$B127,对接源_02物料!$D$4:$D$1203,"周转筐*",对接源_02物料!$L$4:$L$1203,"已付款")+SUMIFS(对接源_02物料!$K$4:$K$1203,对接源_02物料!$C$4:$C$1203,$B127,对接源_02物料!$D$4:$D$1203,"次果筐*",对接源_02物料!$L$4:$L$1203,"已收讫")+SUMIFS(对接源_02物料!$K$4:$K$1203,对接源_02物料!$C$4:$C$1203,$B127,对接源_02物料!$D$4:$D$1203,"次果筐*",对接源_02物料!$L$4:$L$1203,"已付款"),2))</f>
        <v/>
      </c>
      <c r="J127" s="61" t="str">
        <f aca="false">IF($B127="","",ROUND(N($H127)-N($I127),2))</f>
        <v/>
      </c>
      <c r="K127" s="59" t="str">
        <f aca="false">IF($B127="","",IF(ROUND(N($J127),2)&gt;0,"对方欠款",IF(ROUND(N($J127),2)&lt;0,"我方欠款","已两清")))</f>
        <v/>
      </c>
      <c r="L127" s="105"/>
    </row>
    <row r="128" customFormat="false" ht="13.5" hidden="false" customHeight="false" outlineLevel="0" collapsed="false">
      <c r="A128" s="59" t="str">
        <f aca="false">IF($B128="","",ROW()-3)</f>
        <v/>
      </c>
      <c r="B128" s="104" t="str">
        <f aca="false">IFERROR(INDEX(_自动清单!$E$4:$E$303,ROW()-3),"")</f>
        <v/>
      </c>
      <c r="C128" s="61" t="str">
        <f aca="false">IF($B128="","",ROUND(SUMIFS(对接源_01水果!$K$4:$K$1203,对接源_01水果!$C$4:$C$1203,$B128,对接源_01水果!$D$4:$D$1203,"成品出库*"),2))</f>
        <v/>
      </c>
      <c r="D128" s="61" t="str">
        <f aca="false">IF($B128="","",ROUND(SUMIFS(对接源_01水果!$K$4:$K$1203,对接源_01水果!$C$4:$C$1203,$B128,对接源_01水果!$D$4:$D$1203,"其他代存*"),2))</f>
        <v/>
      </c>
      <c r="E128" s="61" t="str">
        <f aca="false">IF($B128="","",ROUND(SUMIFS(对接源_02物料!$K$4:$K$1203,对接源_02物料!$C$4:$C$1203,$B128,对接源_02物料!$D$4:$D$1203,"包装物料*"),2))</f>
        <v/>
      </c>
      <c r="F128" s="61" t="str">
        <f aca="false">IF($B128="","",ROUND(SUMIFS(对接源_02物料!$K$4:$K$1203,对接源_02物料!$C$4:$C$1203,$B128,对接源_02物料!$D$4:$D$1203,"周转筐*"),2))</f>
        <v/>
      </c>
      <c r="G128" s="61" t="str">
        <f aca="false">IF($B128="","",ROUND(SUMIFS(对接源_02物料!$K$4:$K$1203,对接源_02物料!$C$4:$C$1203,$B128,对接源_02物料!$D$4:$D$1203,"次果筐*"),2))</f>
        <v/>
      </c>
      <c r="H128" s="61" t="str">
        <f aca="false">IF($B128="","",ROUND(SUM($C128:$G128),2))</f>
        <v/>
      </c>
      <c r="I128" s="61" t="str">
        <f aca="false">IF($B128="","",ROUND(SUMIFS(对接源_01水果!$K$4:$K$1203,对接源_01水果!$C$4:$C$1203,$B128,对接源_01水果!$D$4:$D$1203,"成品出库*",对接源_01水果!$L$4:$L$1203,"已收讫")+SUMIFS(对接源_01水果!$K$4:$K$1203,对接源_01水果!$C$4:$C$1203,$B128,对接源_01水果!$D$4:$D$1203,"成品出库*",对接源_01水果!$L$4:$L$1203,"已付款")+SUMIFS(对接源_01水果!$K$4:$K$1203,对接源_01水果!$C$4:$C$1203,$B128,对接源_01水果!$D$4:$D$1203,"其他代存*",对接源_01水果!$L$4:$L$1203,"已收讫")+SUMIFS(对接源_01水果!$K$4:$K$1203,对接源_01水果!$C$4:$C$1203,$B128,对接源_01水果!$D$4:$D$1203,"其他代存*",对接源_01水果!$L$4:$L$1203,"已付款")+SUMIFS(对接源_02物料!$K$4:$K$1203,对接源_02物料!$C$4:$C$1203,$B128,对接源_02物料!$D$4:$D$1203,"包装物料*",对接源_02物料!$L$4:$L$1203,"已收讫")+SUMIFS(对接源_02物料!$K$4:$K$1203,对接源_02物料!$C$4:$C$1203,$B128,对接源_02物料!$D$4:$D$1203,"包装物料*",对接源_02物料!$L$4:$L$1203,"已付款")+SUMIFS(对接源_02物料!$K$4:$K$1203,对接源_02物料!$C$4:$C$1203,$B128,对接源_02物料!$D$4:$D$1203,"周转筐*",对接源_02物料!$L$4:$L$1203,"已收讫")+SUMIFS(对接源_02物料!$K$4:$K$1203,对接源_02物料!$C$4:$C$1203,$B128,对接源_02物料!$D$4:$D$1203,"周转筐*",对接源_02物料!$L$4:$L$1203,"已付款")+SUMIFS(对接源_02物料!$K$4:$K$1203,对接源_02物料!$C$4:$C$1203,$B128,对接源_02物料!$D$4:$D$1203,"次果筐*",对接源_02物料!$L$4:$L$1203,"已收讫")+SUMIFS(对接源_02物料!$K$4:$K$1203,对接源_02物料!$C$4:$C$1203,$B128,对接源_02物料!$D$4:$D$1203,"次果筐*",对接源_02物料!$L$4:$L$1203,"已付款"),2))</f>
        <v/>
      </c>
      <c r="J128" s="61" t="str">
        <f aca="false">IF($B128="","",ROUND(N($H128)-N($I128),2))</f>
        <v/>
      </c>
      <c r="K128" s="59" t="str">
        <f aca="false">IF($B128="","",IF(ROUND(N($J128),2)&gt;0,"对方欠款",IF(ROUND(N($J128),2)&lt;0,"我方欠款","已两清")))</f>
        <v/>
      </c>
      <c r="L128" s="105"/>
    </row>
    <row r="129" customFormat="false" ht="13.5" hidden="false" customHeight="false" outlineLevel="0" collapsed="false">
      <c r="A129" s="59" t="str">
        <f aca="false">IF($B129="","",ROW()-3)</f>
        <v/>
      </c>
      <c r="B129" s="104" t="str">
        <f aca="false">IFERROR(INDEX(_自动清单!$E$4:$E$303,ROW()-3),"")</f>
        <v/>
      </c>
      <c r="C129" s="61" t="str">
        <f aca="false">IF($B129="","",ROUND(SUMIFS(对接源_01水果!$K$4:$K$1203,对接源_01水果!$C$4:$C$1203,$B129,对接源_01水果!$D$4:$D$1203,"成品出库*"),2))</f>
        <v/>
      </c>
      <c r="D129" s="61" t="str">
        <f aca="false">IF($B129="","",ROUND(SUMIFS(对接源_01水果!$K$4:$K$1203,对接源_01水果!$C$4:$C$1203,$B129,对接源_01水果!$D$4:$D$1203,"其他代存*"),2))</f>
        <v/>
      </c>
      <c r="E129" s="61" t="str">
        <f aca="false">IF($B129="","",ROUND(SUMIFS(对接源_02物料!$K$4:$K$1203,对接源_02物料!$C$4:$C$1203,$B129,对接源_02物料!$D$4:$D$1203,"包装物料*"),2))</f>
        <v/>
      </c>
      <c r="F129" s="61" t="str">
        <f aca="false">IF($B129="","",ROUND(SUMIFS(对接源_02物料!$K$4:$K$1203,对接源_02物料!$C$4:$C$1203,$B129,对接源_02物料!$D$4:$D$1203,"周转筐*"),2))</f>
        <v/>
      </c>
      <c r="G129" s="61" t="str">
        <f aca="false">IF($B129="","",ROUND(SUMIFS(对接源_02物料!$K$4:$K$1203,对接源_02物料!$C$4:$C$1203,$B129,对接源_02物料!$D$4:$D$1203,"次果筐*"),2))</f>
        <v/>
      </c>
      <c r="H129" s="61" t="str">
        <f aca="false">IF($B129="","",ROUND(SUM($C129:$G129),2))</f>
        <v/>
      </c>
      <c r="I129" s="61" t="str">
        <f aca="false">IF($B129="","",ROUND(SUMIFS(对接源_01水果!$K$4:$K$1203,对接源_01水果!$C$4:$C$1203,$B129,对接源_01水果!$D$4:$D$1203,"成品出库*",对接源_01水果!$L$4:$L$1203,"已收讫")+SUMIFS(对接源_01水果!$K$4:$K$1203,对接源_01水果!$C$4:$C$1203,$B129,对接源_01水果!$D$4:$D$1203,"成品出库*",对接源_01水果!$L$4:$L$1203,"已付款")+SUMIFS(对接源_01水果!$K$4:$K$1203,对接源_01水果!$C$4:$C$1203,$B129,对接源_01水果!$D$4:$D$1203,"其他代存*",对接源_01水果!$L$4:$L$1203,"已收讫")+SUMIFS(对接源_01水果!$K$4:$K$1203,对接源_01水果!$C$4:$C$1203,$B129,对接源_01水果!$D$4:$D$1203,"其他代存*",对接源_01水果!$L$4:$L$1203,"已付款")+SUMIFS(对接源_02物料!$K$4:$K$1203,对接源_02物料!$C$4:$C$1203,$B129,对接源_02物料!$D$4:$D$1203,"包装物料*",对接源_02物料!$L$4:$L$1203,"已收讫")+SUMIFS(对接源_02物料!$K$4:$K$1203,对接源_02物料!$C$4:$C$1203,$B129,对接源_02物料!$D$4:$D$1203,"包装物料*",对接源_02物料!$L$4:$L$1203,"已付款")+SUMIFS(对接源_02物料!$K$4:$K$1203,对接源_02物料!$C$4:$C$1203,$B129,对接源_02物料!$D$4:$D$1203,"周转筐*",对接源_02物料!$L$4:$L$1203,"已收讫")+SUMIFS(对接源_02物料!$K$4:$K$1203,对接源_02物料!$C$4:$C$1203,$B129,对接源_02物料!$D$4:$D$1203,"周转筐*",对接源_02物料!$L$4:$L$1203,"已付款")+SUMIFS(对接源_02物料!$K$4:$K$1203,对接源_02物料!$C$4:$C$1203,$B129,对接源_02物料!$D$4:$D$1203,"次果筐*",对接源_02物料!$L$4:$L$1203,"已收讫")+SUMIFS(对接源_02物料!$K$4:$K$1203,对接源_02物料!$C$4:$C$1203,$B129,对接源_02物料!$D$4:$D$1203,"次果筐*",对接源_02物料!$L$4:$L$1203,"已付款"),2))</f>
        <v/>
      </c>
      <c r="J129" s="61" t="str">
        <f aca="false">IF($B129="","",ROUND(N($H129)-N($I129),2))</f>
        <v/>
      </c>
      <c r="K129" s="59" t="str">
        <f aca="false">IF($B129="","",IF(ROUND(N($J129),2)&gt;0,"对方欠款",IF(ROUND(N($J129),2)&lt;0,"我方欠款","已两清")))</f>
        <v/>
      </c>
      <c r="L129" s="105"/>
    </row>
    <row r="130" customFormat="false" ht="13.5" hidden="false" customHeight="false" outlineLevel="0" collapsed="false">
      <c r="A130" s="59" t="str">
        <f aca="false">IF($B130="","",ROW()-3)</f>
        <v/>
      </c>
      <c r="B130" s="104" t="str">
        <f aca="false">IFERROR(INDEX(_自动清单!$E$4:$E$303,ROW()-3),"")</f>
        <v/>
      </c>
      <c r="C130" s="61" t="str">
        <f aca="false">IF($B130="","",ROUND(SUMIFS(对接源_01水果!$K$4:$K$1203,对接源_01水果!$C$4:$C$1203,$B130,对接源_01水果!$D$4:$D$1203,"成品出库*"),2))</f>
        <v/>
      </c>
      <c r="D130" s="61" t="str">
        <f aca="false">IF($B130="","",ROUND(SUMIFS(对接源_01水果!$K$4:$K$1203,对接源_01水果!$C$4:$C$1203,$B130,对接源_01水果!$D$4:$D$1203,"其他代存*"),2))</f>
        <v/>
      </c>
      <c r="E130" s="61" t="str">
        <f aca="false">IF($B130="","",ROUND(SUMIFS(对接源_02物料!$K$4:$K$1203,对接源_02物料!$C$4:$C$1203,$B130,对接源_02物料!$D$4:$D$1203,"包装物料*"),2))</f>
        <v/>
      </c>
      <c r="F130" s="61" t="str">
        <f aca="false">IF($B130="","",ROUND(SUMIFS(对接源_02物料!$K$4:$K$1203,对接源_02物料!$C$4:$C$1203,$B130,对接源_02物料!$D$4:$D$1203,"周转筐*"),2))</f>
        <v/>
      </c>
      <c r="G130" s="61" t="str">
        <f aca="false">IF($B130="","",ROUND(SUMIFS(对接源_02物料!$K$4:$K$1203,对接源_02物料!$C$4:$C$1203,$B130,对接源_02物料!$D$4:$D$1203,"次果筐*"),2))</f>
        <v/>
      </c>
      <c r="H130" s="61" t="str">
        <f aca="false">IF($B130="","",ROUND(SUM($C130:$G130),2))</f>
        <v/>
      </c>
      <c r="I130" s="61" t="str">
        <f aca="false">IF($B130="","",ROUND(SUMIFS(对接源_01水果!$K$4:$K$1203,对接源_01水果!$C$4:$C$1203,$B130,对接源_01水果!$D$4:$D$1203,"成品出库*",对接源_01水果!$L$4:$L$1203,"已收讫")+SUMIFS(对接源_01水果!$K$4:$K$1203,对接源_01水果!$C$4:$C$1203,$B130,对接源_01水果!$D$4:$D$1203,"成品出库*",对接源_01水果!$L$4:$L$1203,"已付款")+SUMIFS(对接源_01水果!$K$4:$K$1203,对接源_01水果!$C$4:$C$1203,$B130,对接源_01水果!$D$4:$D$1203,"其他代存*",对接源_01水果!$L$4:$L$1203,"已收讫")+SUMIFS(对接源_01水果!$K$4:$K$1203,对接源_01水果!$C$4:$C$1203,$B130,对接源_01水果!$D$4:$D$1203,"其他代存*",对接源_01水果!$L$4:$L$1203,"已付款")+SUMIFS(对接源_02物料!$K$4:$K$1203,对接源_02物料!$C$4:$C$1203,$B130,对接源_02物料!$D$4:$D$1203,"包装物料*",对接源_02物料!$L$4:$L$1203,"已收讫")+SUMIFS(对接源_02物料!$K$4:$K$1203,对接源_02物料!$C$4:$C$1203,$B130,对接源_02物料!$D$4:$D$1203,"包装物料*",对接源_02物料!$L$4:$L$1203,"已付款")+SUMIFS(对接源_02物料!$K$4:$K$1203,对接源_02物料!$C$4:$C$1203,$B130,对接源_02物料!$D$4:$D$1203,"周转筐*",对接源_02物料!$L$4:$L$1203,"已收讫")+SUMIFS(对接源_02物料!$K$4:$K$1203,对接源_02物料!$C$4:$C$1203,$B130,对接源_02物料!$D$4:$D$1203,"周转筐*",对接源_02物料!$L$4:$L$1203,"已付款")+SUMIFS(对接源_02物料!$K$4:$K$1203,对接源_02物料!$C$4:$C$1203,$B130,对接源_02物料!$D$4:$D$1203,"次果筐*",对接源_02物料!$L$4:$L$1203,"已收讫")+SUMIFS(对接源_02物料!$K$4:$K$1203,对接源_02物料!$C$4:$C$1203,$B130,对接源_02物料!$D$4:$D$1203,"次果筐*",对接源_02物料!$L$4:$L$1203,"已付款"),2))</f>
        <v/>
      </c>
      <c r="J130" s="61" t="str">
        <f aca="false">IF($B130="","",ROUND(N($H130)-N($I130),2))</f>
        <v/>
      </c>
      <c r="K130" s="59" t="str">
        <f aca="false">IF($B130="","",IF(ROUND(N($J130),2)&gt;0,"对方欠款",IF(ROUND(N($J130),2)&lt;0,"我方欠款","已两清")))</f>
        <v/>
      </c>
      <c r="L130" s="105"/>
    </row>
    <row r="131" customFormat="false" ht="13.5" hidden="false" customHeight="false" outlineLevel="0" collapsed="false">
      <c r="A131" s="59" t="str">
        <f aca="false">IF($B131="","",ROW()-3)</f>
        <v/>
      </c>
      <c r="B131" s="104" t="str">
        <f aca="false">IFERROR(INDEX(_自动清单!$E$4:$E$303,ROW()-3),"")</f>
        <v/>
      </c>
      <c r="C131" s="61" t="str">
        <f aca="false">IF($B131="","",ROUND(SUMIFS(对接源_01水果!$K$4:$K$1203,对接源_01水果!$C$4:$C$1203,$B131,对接源_01水果!$D$4:$D$1203,"成品出库*"),2))</f>
        <v/>
      </c>
      <c r="D131" s="61" t="str">
        <f aca="false">IF($B131="","",ROUND(SUMIFS(对接源_01水果!$K$4:$K$1203,对接源_01水果!$C$4:$C$1203,$B131,对接源_01水果!$D$4:$D$1203,"其他代存*"),2))</f>
        <v/>
      </c>
      <c r="E131" s="61" t="str">
        <f aca="false">IF($B131="","",ROUND(SUMIFS(对接源_02物料!$K$4:$K$1203,对接源_02物料!$C$4:$C$1203,$B131,对接源_02物料!$D$4:$D$1203,"包装物料*"),2))</f>
        <v/>
      </c>
      <c r="F131" s="61" t="str">
        <f aca="false">IF($B131="","",ROUND(SUMIFS(对接源_02物料!$K$4:$K$1203,对接源_02物料!$C$4:$C$1203,$B131,对接源_02物料!$D$4:$D$1203,"周转筐*"),2))</f>
        <v/>
      </c>
      <c r="G131" s="61" t="str">
        <f aca="false">IF($B131="","",ROUND(SUMIFS(对接源_02物料!$K$4:$K$1203,对接源_02物料!$C$4:$C$1203,$B131,对接源_02物料!$D$4:$D$1203,"次果筐*"),2))</f>
        <v/>
      </c>
      <c r="H131" s="61" t="str">
        <f aca="false">IF($B131="","",ROUND(SUM($C131:$G131),2))</f>
        <v/>
      </c>
      <c r="I131" s="61" t="str">
        <f aca="false">IF($B131="","",ROUND(SUMIFS(对接源_01水果!$K$4:$K$1203,对接源_01水果!$C$4:$C$1203,$B131,对接源_01水果!$D$4:$D$1203,"成品出库*",对接源_01水果!$L$4:$L$1203,"已收讫")+SUMIFS(对接源_01水果!$K$4:$K$1203,对接源_01水果!$C$4:$C$1203,$B131,对接源_01水果!$D$4:$D$1203,"成品出库*",对接源_01水果!$L$4:$L$1203,"已付款")+SUMIFS(对接源_01水果!$K$4:$K$1203,对接源_01水果!$C$4:$C$1203,$B131,对接源_01水果!$D$4:$D$1203,"其他代存*",对接源_01水果!$L$4:$L$1203,"已收讫")+SUMIFS(对接源_01水果!$K$4:$K$1203,对接源_01水果!$C$4:$C$1203,$B131,对接源_01水果!$D$4:$D$1203,"其他代存*",对接源_01水果!$L$4:$L$1203,"已付款")+SUMIFS(对接源_02物料!$K$4:$K$1203,对接源_02物料!$C$4:$C$1203,$B131,对接源_02物料!$D$4:$D$1203,"包装物料*",对接源_02物料!$L$4:$L$1203,"已收讫")+SUMIFS(对接源_02物料!$K$4:$K$1203,对接源_02物料!$C$4:$C$1203,$B131,对接源_02物料!$D$4:$D$1203,"包装物料*",对接源_02物料!$L$4:$L$1203,"已付款")+SUMIFS(对接源_02物料!$K$4:$K$1203,对接源_02物料!$C$4:$C$1203,$B131,对接源_02物料!$D$4:$D$1203,"周转筐*",对接源_02物料!$L$4:$L$1203,"已收讫")+SUMIFS(对接源_02物料!$K$4:$K$1203,对接源_02物料!$C$4:$C$1203,$B131,对接源_02物料!$D$4:$D$1203,"周转筐*",对接源_02物料!$L$4:$L$1203,"已付款")+SUMIFS(对接源_02物料!$K$4:$K$1203,对接源_02物料!$C$4:$C$1203,$B131,对接源_02物料!$D$4:$D$1203,"次果筐*",对接源_02物料!$L$4:$L$1203,"已收讫")+SUMIFS(对接源_02物料!$K$4:$K$1203,对接源_02物料!$C$4:$C$1203,$B131,对接源_02物料!$D$4:$D$1203,"次果筐*",对接源_02物料!$L$4:$L$1203,"已付款"),2))</f>
        <v/>
      </c>
      <c r="J131" s="61" t="str">
        <f aca="false">IF($B131="","",ROUND(N($H131)-N($I131),2))</f>
        <v/>
      </c>
      <c r="K131" s="59" t="str">
        <f aca="false">IF($B131="","",IF(ROUND(N($J131),2)&gt;0,"对方欠款",IF(ROUND(N($J131),2)&lt;0,"我方欠款","已两清")))</f>
        <v/>
      </c>
      <c r="L131" s="105"/>
    </row>
    <row r="132" customFormat="false" ht="13.5" hidden="false" customHeight="false" outlineLevel="0" collapsed="false">
      <c r="A132" s="59" t="str">
        <f aca="false">IF($B132="","",ROW()-3)</f>
        <v/>
      </c>
      <c r="B132" s="104" t="str">
        <f aca="false">IFERROR(INDEX(_自动清单!$E$4:$E$303,ROW()-3),"")</f>
        <v/>
      </c>
      <c r="C132" s="61" t="str">
        <f aca="false">IF($B132="","",ROUND(SUMIFS(对接源_01水果!$K$4:$K$1203,对接源_01水果!$C$4:$C$1203,$B132,对接源_01水果!$D$4:$D$1203,"成品出库*"),2))</f>
        <v/>
      </c>
      <c r="D132" s="61" t="str">
        <f aca="false">IF($B132="","",ROUND(SUMIFS(对接源_01水果!$K$4:$K$1203,对接源_01水果!$C$4:$C$1203,$B132,对接源_01水果!$D$4:$D$1203,"其他代存*"),2))</f>
        <v/>
      </c>
      <c r="E132" s="61" t="str">
        <f aca="false">IF($B132="","",ROUND(SUMIFS(对接源_02物料!$K$4:$K$1203,对接源_02物料!$C$4:$C$1203,$B132,对接源_02物料!$D$4:$D$1203,"包装物料*"),2))</f>
        <v/>
      </c>
      <c r="F132" s="61" t="str">
        <f aca="false">IF($B132="","",ROUND(SUMIFS(对接源_02物料!$K$4:$K$1203,对接源_02物料!$C$4:$C$1203,$B132,对接源_02物料!$D$4:$D$1203,"周转筐*"),2))</f>
        <v/>
      </c>
      <c r="G132" s="61" t="str">
        <f aca="false">IF($B132="","",ROUND(SUMIFS(对接源_02物料!$K$4:$K$1203,对接源_02物料!$C$4:$C$1203,$B132,对接源_02物料!$D$4:$D$1203,"次果筐*"),2))</f>
        <v/>
      </c>
      <c r="H132" s="61" t="str">
        <f aca="false">IF($B132="","",ROUND(SUM($C132:$G132),2))</f>
        <v/>
      </c>
      <c r="I132" s="61" t="str">
        <f aca="false">IF($B132="","",ROUND(SUMIFS(对接源_01水果!$K$4:$K$1203,对接源_01水果!$C$4:$C$1203,$B132,对接源_01水果!$D$4:$D$1203,"成品出库*",对接源_01水果!$L$4:$L$1203,"已收讫")+SUMIFS(对接源_01水果!$K$4:$K$1203,对接源_01水果!$C$4:$C$1203,$B132,对接源_01水果!$D$4:$D$1203,"成品出库*",对接源_01水果!$L$4:$L$1203,"已付款")+SUMIFS(对接源_01水果!$K$4:$K$1203,对接源_01水果!$C$4:$C$1203,$B132,对接源_01水果!$D$4:$D$1203,"其他代存*",对接源_01水果!$L$4:$L$1203,"已收讫")+SUMIFS(对接源_01水果!$K$4:$K$1203,对接源_01水果!$C$4:$C$1203,$B132,对接源_01水果!$D$4:$D$1203,"其他代存*",对接源_01水果!$L$4:$L$1203,"已付款")+SUMIFS(对接源_02物料!$K$4:$K$1203,对接源_02物料!$C$4:$C$1203,$B132,对接源_02物料!$D$4:$D$1203,"包装物料*",对接源_02物料!$L$4:$L$1203,"已收讫")+SUMIFS(对接源_02物料!$K$4:$K$1203,对接源_02物料!$C$4:$C$1203,$B132,对接源_02物料!$D$4:$D$1203,"包装物料*",对接源_02物料!$L$4:$L$1203,"已付款")+SUMIFS(对接源_02物料!$K$4:$K$1203,对接源_02物料!$C$4:$C$1203,$B132,对接源_02物料!$D$4:$D$1203,"周转筐*",对接源_02物料!$L$4:$L$1203,"已收讫")+SUMIFS(对接源_02物料!$K$4:$K$1203,对接源_02物料!$C$4:$C$1203,$B132,对接源_02物料!$D$4:$D$1203,"周转筐*",对接源_02物料!$L$4:$L$1203,"已付款")+SUMIFS(对接源_02物料!$K$4:$K$1203,对接源_02物料!$C$4:$C$1203,$B132,对接源_02物料!$D$4:$D$1203,"次果筐*",对接源_02物料!$L$4:$L$1203,"已收讫")+SUMIFS(对接源_02物料!$K$4:$K$1203,对接源_02物料!$C$4:$C$1203,$B132,对接源_02物料!$D$4:$D$1203,"次果筐*",对接源_02物料!$L$4:$L$1203,"已付款"),2))</f>
        <v/>
      </c>
      <c r="J132" s="61" t="str">
        <f aca="false">IF($B132="","",ROUND(N($H132)-N($I132),2))</f>
        <v/>
      </c>
      <c r="K132" s="59" t="str">
        <f aca="false">IF($B132="","",IF(ROUND(N($J132),2)&gt;0,"对方欠款",IF(ROUND(N($J132),2)&lt;0,"我方欠款","已两清")))</f>
        <v/>
      </c>
      <c r="L132" s="105"/>
    </row>
    <row r="133" customFormat="false" ht="13.5" hidden="false" customHeight="false" outlineLevel="0" collapsed="false">
      <c r="A133" s="59" t="str">
        <f aca="false">IF($B133="","",ROW()-3)</f>
        <v/>
      </c>
      <c r="B133" s="104" t="str">
        <f aca="false">IFERROR(INDEX(_自动清单!$E$4:$E$303,ROW()-3),"")</f>
        <v/>
      </c>
      <c r="C133" s="61" t="str">
        <f aca="false">IF($B133="","",ROUND(SUMIFS(对接源_01水果!$K$4:$K$1203,对接源_01水果!$C$4:$C$1203,$B133,对接源_01水果!$D$4:$D$1203,"成品出库*"),2))</f>
        <v/>
      </c>
      <c r="D133" s="61" t="str">
        <f aca="false">IF($B133="","",ROUND(SUMIFS(对接源_01水果!$K$4:$K$1203,对接源_01水果!$C$4:$C$1203,$B133,对接源_01水果!$D$4:$D$1203,"其他代存*"),2))</f>
        <v/>
      </c>
      <c r="E133" s="61" t="str">
        <f aca="false">IF($B133="","",ROUND(SUMIFS(对接源_02物料!$K$4:$K$1203,对接源_02物料!$C$4:$C$1203,$B133,对接源_02物料!$D$4:$D$1203,"包装物料*"),2))</f>
        <v/>
      </c>
      <c r="F133" s="61" t="str">
        <f aca="false">IF($B133="","",ROUND(SUMIFS(对接源_02物料!$K$4:$K$1203,对接源_02物料!$C$4:$C$1203,$B133,对接源_02物料!$D$4:$D$1203,"周转筐*"),2))</f>
        <v/>
      </c>
      <c r="G133" s="61" t="str">
        <f aca="false">IF($B133="","",ROUND(SUMIFS(对接源_02物料!$K$4:$K$1203,对接源_02物料!$C$4:$C$1203,$B133,对接源_02物料!$D$4:$D$1203,"次果筐*"),2))</f>
        <v/>
      </c>
      <c r="H133" s="61" t="str">
        <f aca="false">IF($B133="","",ROUND(SUM($C133:$G133),2))</f>
        <v/>
      </c>
      <c r="I133" s="61" t="str">
        <f aca="false">IF($B133="","",ROUND(SUMIFS(对接源_01水果!$K$4:$K$1203,对接源_01水果!$C$4:$C$1203,$B133,对接源_01水果!$D$4:$D$1203,"成品出库*",对接源_01水果!$L$4:$L$1203,"已收讫")+SUMIFS(对接源_01水果!$K$4:$K$1203,对接源_01水果!$C$4:$C$1203,$B133,对接源_01水果!$D$4:$D$1203,"成品出库*",对接源_01水果!$L$4:$L$1203,"已付款")+SUMIFS(对接源_01水果!$K$4:$K$1203,对接源_01水果!$C$4:$C$1203,$B133,对接源_01水果!$D$4:$D$1203,"其他代存*",对接源_01水果!$L$4:$L$1203,"已收讫")+SUMIFS(对接源_01水果!$K$4:$K$1203,对接源_01水果!$C$4:$C$1203,$B133,对接源_01水果!$D$4:$D$1203,"其他代存*",对接源_01水果!$L$4:$L$1203,"已付款")+SUMIFS(对接源_02物料!$K$4:$K$1203,对接源_02物料!$C$4:$C$1203,$B133,对接源_02物料!$D$4:$D$1203,"包装物料*",对接源_02物料!$L$4:$L$1203,"已收讫")+SUMIFS(对接源_02物料!$K$4:$K$1203,对接源_02物料!$C$4:$C$1203,$B133,对接源_02物料!$D$4:$D$1203,"包装物料*",对接源_02物料!$L$4:$L$1203,"已付款")+SUMIFS(对接源_02物料!$K$4:$K$1203,对接源_02物料!$C$4:$C$1203,$B133,对接源_02物料!$D$4:$D$1203,"周转筐*",对接源_02物料!$L$4:$L$1203,"已收讫")+SUMIFS(对接源_02物料!$K$4:$K$1203,对接源_02物料!$C$4:$C$1203,$B133,对接源_02物料!$D$4:$D$1203,"周转筐*",对接源_02物料!$L$4:$L$1203,"已付款")+SUMIFS(对接源_02物料!$K$4:$K$1203,对接源_02物料!$C$4:$C$1203,$B133,对接源_02物料!$D$4:$D$1203,"次果筐*",对接源_02物料!$L$4:$L$1203,"已收讫")+SUMIFS(对接源_02物料!$K$4:$K$1203,对接源_02物料!$C$4:$C$1203,$B133,对接源_02物料!$D$4:$D$1203,"次果筐*",对接源_02物料!$L$4:$L$1203,"已付款"),2))</f>
        <v/>
      </c>
      <c r="J133" s="61" t="str">
        <f aca="false">IF($B133="","",ROUND(N($H133)-N($I133),2))</f>
        <v/>
      </c>
      <c r="K133" s="59" t="str">
        <f aca="false">IF($B133="","",IF(ROUND(N($J133),2)&gt;0,"对方欠款",IF(ROUND(N($J133),2)&lt;0,"我方欠款","已两清")))</f>
        <v/>
      </c>
      <c r="L133" s="105"/>
    </row>
    <row r="134" customFormat="false" ht="13.5" hidden="false" customHeight="false" outlineLevel="0" collapsed="false">
      <c r="A134" s="59" t="str">
        <f aca="false">IF($B134="","",ROW()-3)</f>
        <v/>
      </c>
      <c r="B134" s="104" t="str">
        <f aca="false">IFERROR(INDEX(_自动清单!$E$4:$E$303,ROW()-3),"")</f>
        <v/>
      </c>
      <c r="C134" s="61" t="str">
        <f aca="false">IF($B134="","",ROUND(SUMIFS(对接源_01水果!$K$4:$K$1203,对接源_01水果!$C$4:$C$1203,$B134,对接源_01水果!$D$4:$D$1203,"成品出库*"),2))</f>
        <v/>
      </c>
      <c r="D134" s="61" t="str">
        <f aca="false">IF($B134="","",ROUND(SUMIFS(对接源_01水果!$K$4:$K$1203,对接源_01水果!$C$4:$C$1203,$B134,对接源_01水果!$D$4:$D$1203,"其他代存*"),2))</f>
        <v/>
      </c>
      <c r="E134" s="61" t="str">
        <f aca="false">IF($B134="","",ROUND(SUMIFS(对接源_02物料!$K$4:$K$1203,对接源_02物料!$C$4:$C$1203,$B134,对接源_02物料!$D$4:$D$1203,"包装物料*"),2))</f>
        <v/>
      </c>
      <c r="F134" s="61" t="str">
        <f aca="false">IF($B134="","",ROUND(SUMIFS(对接源_02物料!$K$4:$K$1203,对接源_02物料!$C$4:$C$1203,$B134,对接源_02物料!$D$4:$D$1203,"周转筐*"),2))</f>
        <v/>
      </c>
      <c r="G134" s="61" t="str">
        <f aca="false">IF($B134="","",ROUND(SUMIFS(对接源_02物料!$K$4:$K$1203,对接源_02物料!$C$4:$C$1203,$B134,对接源_02物料!$D$4:$D$1203,"次果筐*"),2))</f>
        <v/>
      </c>
      <c r="H134" s="61" t="str">
        <f aca="false">IF($B134="","",ROUND(SUM($C134:$G134),2))</f>
        <v/>
      </c>
      <c r="I134" s="61" t="str">
        <f aca="false">IF($B134="","",ROUND(SUMIFS(对接源_01水果!$K$4:$K$1203,对接源_01水果!$C$4:$C$1203,$B134,对接源_01水果!$D$4:$D$1203,"成品出库*",对接源_01水果!$L$4:$L$1203,"已收讫")+SUMIFS(对接源_01水果!$K$4:$K$1203,对接源_01水果!$C$4:$C$1203,$B134,对接源_01水果!$D$4:$D$1203,"成品出库*",对接源_01水果!$L$4:$L$1203,"已付款")+SUMIFS(对接源_01水果!$K$4:$K$1203,对接源_01水果!$C$4:$C$1203,$B134,对接源_01水果!$D$4:$D$1203,"其他代存*",对接源_01水果!$L$4:$L$1203,"已收讫")+SUMIFS(对接源_01水果!$K$4:$K$1203,对接源_01水果!$C$4:$C$1203,$B134,对接源_01水果!$D$4:$D$1203,"其他代存*",对接源_01水果!$L$4:$L$1203,"已付款")+SUMIFS(对接源_02物料!$K$4:$K$1203,对接源_02物料!$C$4:$C$1203,$B134,对接源_02物料!$D$4:$D$1203,"包装物料*",对接源_02物料!$L$4:$L$1203,"已收讫")+SUMIFS(对接源_02物料!$K$4:$K$1203,对接源_02物料!$C$4:$C$1203,$B134,对接源_02物料!$D$4:$D$1203,"包装物料*",对接源_02物料!$L$4:$L$1203,"已付款")+SUMIFS(对接源_02物料!$K$4:$K$1203,对接源_02物料!$C$4:$C$1203,$B134,对接源_02物料!$D$4:$D$1203,"周转筐*",对接源_02物料!$L$4:$L$1203,"已收讫")+SUMIFS(对接源_02物料!$K$4:$K$1203,对接源_02物料!$C$4:$C$1203,$B134,对接源_02物料!$D$4:$D$1203,"周转筐*",对接源_02物料!$L$4:$L$1203,"已付款")+SUMIFS(对接源_02物料!$K$4:$K$1203,对接源_02物料!$C$4:$C$1203,$B134,对接源_02物料!$D$4:$D$1203,"次果筐*",对接源_02物料!$L$4:$L$1203,"已收讫")+SUMIFS(对接源_02物料!$K$4:$K$1203,对接源_02物料!$C$4:$C$1203,$B134,对接源_02物料!$D$4:$D$1203,"次果筐*",对接源_02物料!$L$4:$L$1203,"已付款"),2))</f>
        <v/>
      </c>
      <c r="J134" s="61" t="str">
        <f aca="false">IF($B134="","",ROUND(N($H134)-N($I134),2))</f>
        <v/>
      </c>
      <c r="K134" s="59" t="str">
        <f aca="false">IF($B134="","",IF(ROUND(N($J134),2)&gt;0,"对方欠款",IF(ROUND(N($J134),2)&lt;0,"我方欠款","已两清")))</f>
        <v/>
      </c>
      <c r="L134" s="105"/>
    </row>
    <row r="135" customFormat="false" ht="13.5" hidden="false" customHeight="false" outlineLevel="0" collapsed="false">
      <c r="A135" s="59" t="str">
        <f aca="false">IF($B135="","",ROW()-3)</f>
        <v/>
      </c>
      <c r="B135" s="104" t="str">
        <f aca="false">IFERROR(INDEX(_自动清单!$E$4:$E$303,ROW()-3),"")</f>
        <v/>
      </c>
      <c r="C135" s="61" t="str">
        <f aca="false">IF($B135="","",ROUND(SUMIFS(对接源_01水果!$K$4:$K$1203,对接源_01水果!$C$4:$C$1203,$B135,对接源_01水果!$D$4:$D$1203,"成品出库*"),2))</f>
        <v/>
      </c>
      <c r="D135" s="61" t="str">
        <f aca="false">IF($B135="","",ROUND(SUMIFS(对接源_01水果!$K$4:$K$1203,对接源_01水果!$C$4:$C$1203,$B135,对接源_01水果!$D$4:$D$1203,"其他代存*"),2))</f>
        <v/>
      </c>
      <c r="E135" s="61" t="str">
        <f aca="false">IF($B135="","",ROUND(SUMIFS(对接源_02物料!$K$4:$K$1203,对接源_02物料!$C$4:$C$1203,$B135,对接源_02物料!$D$4:$D$1203,"包装物料*"),2))</f>
        <v/>
      </c>
      <c r="F135" s="61" t="str">
        <f aca="false">IF($B135="","",ROUND(SUMIFS(对接源_02物料!$K$4:$K$1203,对接源_02物料!$C$4:$C$1203,$B135,对接源_02物料!$D$4:$D$1203,"周转筐*"),2))</f>
        <v/>
      </c>
      <c r="G135" s="61" t="str">
        <f aca="false">IF($B135="","",ROUND(SUMIFS(对接源_02物料!$K$4:$K$1203,对接源_02物料!$C$4:$C$1203,$B135,对接源_02物料!$D$4:$D$1203,"次果筐*"),2))</f>
        <v/>
      </c>
      <c r="H135" s="61" t="str">
        <f aca="false">IF($B135="","",ROUND(SUM($C135:$G135),2))</f>
        <v/>
      </c>
      <c r="I135" s="61" t="str">
        <f aca="false">IF($B135="","",ROUND(SUMIFS(对接源_01水果!$K$4:$K$1203,对接源_01水果!$C$4:$C$1203,$B135,对接源_01水果!$D$4:$D$1203,"成品出库*",对接源_01水果!$L$4:$L$1203,"已收讫")+SUMIFS(对接源_01水果!$K$4:$K$1203,对接源_01水果!$C$4:$C$1203,$B135,对接源_01水果!$D$4:$D$1203,"成品出库*",对接源_01水果!$L$4:$L$1203,"已付款")+SUMIFS(对接源_01水果!$K$4:$K$1203,对接源_01水果!$C$4:$C$1203,$B135,对接源_01水果!$D$4:$D$1203,"其他代存*",对接源_01水果!$L$4:$L$1203,"已收讫")+SUMIFS(对接源_01水果!$K$4:$K$1203,对接源_01水果!$C$4:$C$1203,$B135,对接源_01水果!$D$4:$D$1203,"其他代存*",对接源_01水果!$L$4:$L$1203,"已付款")+SUMIFS(对接源_02物料!$K$4:$K$1203,对接源_02物料!$C$4:$C$1203,$B135,对接源_02物料!$D$4:$D$1203,"包装物料*",对接源_02物料!$L$4:$L$1203,"已收讫")+SUMIFS(对接源_02物料!$K$4:$K$1203,对接源_02物料!$C$4:$C$1203,$B135,对接源_02物料!$D$4:$D$1203,"包装物料*",对接源_02物料!$L$4:$L$1203,"已付款")+SUMIFS(对接源_02物料!$K$4:$K$1203,对接源_02物料!$C$4:$C$1203,$B135,对接源_02物料!$D$4:$D$1203,"周转筐*",对接源_02物料!$L$4:$L$1203,"已收讫")+SUMIFS(对接源_02物料!$K$4:$K$1203,对接源_02物料!$C$4:$C$1203,$B135,对接源_02物料!$D$4:$D$1203,"周转筐*",对接源_02物料!$L$4:$L$1203,"已付款")+SUMIFS(对接源_02物料!$K$4:$K$1203,对接源_02物料!$C$4:$C$1203,$B135,对接源_02物料!$D$4:$D$1203,"次果筐*",对接源_02物料!$L$4:$L$1203,"已收讫")+SUMIFS(对接源_02物料!$K$4:$K$1203,对接源_02物料!$C$4:$C$1203,$B135,对接源_02物料!$D$4:$D$1203,"次果筐*",对接源_02物料!$L$4:$L$1203,"已付款"),2))</f>
        <v/>
      </c>
      <c r="J135" s="61" t="str">
        <f aca="false">IF($B135="","",ROUND(N($H135)-N($I135),2))</f>
        <v/>
      </c>
      <c r="K135" s="59" t="str">
        <f aca="false">IF($B135="","",IF(ROUND(N($J135),2)&gt;0,"对方欠款",IF(ROUND(N($J135),2)&lt;0,"我方欠款","已两清")))</f>
        <v/>
      </c>
      <c r="L135" s="105"/>
    </row>
    <row r="136" customFormat="false" ht="13.5" hidden="false" customHeight="false" outlineLevel="0" collapsed="false">
      <c r="A136" s="59" t="str">
        <f aca="false">IF($B136="","",ROW()-3)</f>
        <v/>
      </c>
      <c r="B136" s="104" t="str">
        <f aca="false">IFERROR(INDEX(_自动清单!$E$4:$E$303,ROW()-3),"")</f>
        <v/>
      </c>
      <c r="C136" s="61" t="str">
        <f aca="false">IF($B136="","",ROUND(SUMIFS(对接源_01水果!$K$4:$K$1203,对接源_01水果!$C$4:$C$1203,$B136,对接源_01水果!$D$4:$D$1203,"成品出库*"),2))</f>
        <v/>
      </c>
      <c r="D136" s="61" t="str">
        <f aca="false">IF($B136="","",ROUND(SUMIFS(对接源_01水果!$K$4:$K$1203,对接源_01水果!$C$4:$C$1203,$B136,对接源_01水果!$D$4:$D$1203,"其他代存*"),2))</f>
        <v/>
      </c>
      <c r="E136" s="61" t="str">
        <f aca="false">IF($B136="","",ROUND(SUMIFS(对接源_02物料!$K$4:$K$1203,对接源_02物料!$C$4:$C$1203,$B136,对接源_02物料!$D$4:$D$1203,"包装物料*"),2))</f>
        <v/>
      </c>
      <c r="F136" s="61" t="str">
        <f aca="false">IF($B136="","",ROUND(SUMIFS(对接源_02物料!$K$4:$K$1203,对接源_02物料!$C$4:$C$1203,$B136,对接源_02物料!$D$4:$D$1203,"周转筐*"),2))</f>
        <v/>
      </c>
      <c r="G136" s="61" t="str">
        <f aca="false">IF($B136="","",ROUND(SUMIFS(对接源_02物料!$K$4:$K$1203,对接源_02物料!$C$4:$C$1203,$B136,对接源_02物料!$D$4:$D$1203,"次果筐*"),2))</f>
        <v/>
      </c>
      <c r="H136" s="61" t="str">
        <f aca="false">IF($B136="","",ROUND(SUM($C136:$G136),2))</f>
        <v/>
      </c>
      <c r="I136" s="61" t="str">
        <f aca="false">IF($B136="","",ROUND(SUMIFS(对接源_01水果!$K$4:$K$1203,对接源_01水果!$C$4:$C$1203,$B136,对接源_01水果!$D$4:$D$1203,"成品出库*",对接源_01水果!$L$4:$L$1203,"已收讫")+SUMIFS(对接源_01水果!$K$4:$K$1203,对接源_01水果!$C$4:$C$1203,$B136,对接源_01水果!$D$4:$D$1203,"成品出库*",对接源_01水果!$L$4:$L$1203,"已付款")+SUMIFS(对接源_01水果!$K$4:$K$1203,对接源_01水果!$C$4:$C$1203,$B136,对接源_01水果!$D$4:$D$1203,"其他代存*",对接源_01水果!$L$4:$L$1203,"已收讫")+SUMIFS(对接源_01水果!$K$4:$K$1203,对接源_01水果!$C$4:$C$1203,$B136,对接源_01水果!$D$4:$D$1203,"其他代存*",对接源_01水果!$L$4:$L$1203,"已付款")+SUMIFS(对接源_02物料!$K$4:$K$1203,对接源_02物料!$C$4:$C$1203,$B136,对接源_02物料!$D$4:$D$1203,"包装物料*",对接源_02物料!$L$4:$L$1203,"已收讫")+SUMIFS(对接源_02物料!$K$4:$K$1203,对接源_02物料!$C$4:$C$1203,$B136,对接源_02物料!$D$4:$D$1203,"包装物料*",对接源_02物料!$L$4:$L$1203,"已付款")+SUMIFS(对接源_02物料!$K$4:$K$1203,对接源_02物料!$C$4:$C$1203,$B136,对接源_02物料!$D$4:$D$1203,"周转筐*",对接源_02物料!$L$4:$L$1203,"已收讫")+SUMIFS(对接源_02物料!$K$4:$K$1203,对接源_02物料!$C$4:$C$1203,$B136,对接源_02物料!$D$4:$D$1203,"周转筐*",对接源_02物料!$L$4:$L$1203,"已付款")+SUMIFS(对接源_02物料!$K$4:$K$1203,对接源_02物料!$C$4:$C$1203,$B136,对接源_02物料!$D$4:$D$1203,"次果筐*",对接源_02物料!$L$4:$L$1203,"已收讫")+SUMIFS(对接源_02物料!$K$4:$K$1203,对接源_02物料!$C$4:$C$1203,$B136,对接源_02物料!$D$4:$D$1203,"次果筐*",对接源_02物料!$L$4:$L$1203,"已付款"),2))</f>
        <v/>
      </c>
      <c r="J136" s="61" t="str">
        <f aca="false">IF($B136="","",ROUND(N($H136)-N($I136),2))</f>
        <v/>
      </c>
      <c r="K136" s="59" t="str">
        <f aca="false">IF($B136="","",IF(ROUND(N($J136),2)&gt;0,"对方欠款",IF(ROUND(N($J136),2)&lt;0,"我方欠款","已两清")))</f>
        <v/>
      </c>
      <c r="L136" s="105"/>
    </row>
    <row r="137" customFormat="false" ht="13.5" hidden="false" customHeight="false" outlineLevel="0" collapsed="false">
      <c r="A137" s="59" t="str">
        <f aca="false">IF($B137="","",ROW()-3)</f>
        <v/>
      </c>
      <c r="B137" s="104" t="str">
        <f aca="false">IFERROR(INDEX(_自动清单!$E$4:$E$303,ROW()-3),"")</f>
        <v/>
      </c>
      <c r="C137" s="61" t="str">
        <f aca="false">IF($B137="","",ROUND(SUMIFS(对接源_01水果!$K$4:$K$1203,对接源_01水果!$C$4:$C$1203,$B137,对接源_01水果!$D$4:$D$1203,"成品出库*"),2))</f>
        <v/>
      </c>
      <c r="D137" s="61" t="str">
        <f aca="false">IF($B137="","",ROUND(SUMIFS(对接源_01水果!$K$4:$K$1203,对接源_01水果!$C$4:$C$1203,$B137,对接源_01水果!$D$4:$D$1203,"其他代存*"),2))</f>
        <v/>
      </c>
      <c r="E137" s="61" t="str">
        <f aca="false">IF($B137="","",ROUND(SUMIFS(对接源_02物料!$K$4:$K$1203,对接源_02物料!$C$4:$C$1203,$B137,对接源_02物料!$D$4:$D$1203,"包装物料*"),2))</f>
        <v/>
      </c>
      <c r="F137" s="61" t="str">
        <f aca="false">IF($B137="","",ROUND(SUMIFS(对接源_02物料!$K$4:$K$1203,对接源_02物料!$C$4:$C$1203,$B137,对接源_02物料!$D$4:$D$1203,"周转筐*"),2))</f>
        <v/>
      </c>
      <c r="G137" s="61" t="str">
        <f aca="false">IF($B137="","",ROUND(SUMIFS(对接源_02物料!$K$4:$K$1203,对接源_02物料!$C$4:$C$1203,$B137,对接源_02物料!$D$4:$D$1203,"次果筐*"),2))</f>
        <v/>
      </c>
      <c r="H137" s="61" t="str">
        <f aca="false">IF($B137="","",ROUND(SUM($C137:$G137),2))</f>
        <v/>
      </c>
      <c r="I137" s="61" t="str">
        <f aca="false">IF($B137="","",ROUND(SUMIFS(对接源_01水果!$K$4:$K$1203,对接源_01水果!$C$4:$C$1203,$B137,对接源_01水果!$D$4:$D$1203,"成品出库*",对接源_01水果!$L$4:$L$1203,"已收讫")+SUMIFS(对接源_01水果!$K$4:$K$1203,对接源_01水果!$C$4:$C$1203,$B137,对接源_01水果!$D$4:$D$1203,"成品出库*",对接源_01水果!$L$4:$L$1203,"已付款")+SUMIFS(对接源_01水果!$K$4:$K$1203,对接源_01水果!$C$4:$C$1203,$B137,对接源_01水果!$D$4:$D$1203,"其他代存*",对接源_01水果!$L$4:$L$1203,"已收讫")+SUMIFS(对接源_01水果!$K$4:$K$1203,对接源_01水果!$C$4:$C$1203,$B137,对接源_01水果!$D$4:$D$1203,"其他代存*",对接源_01水果!$L$4:$L$1203,"已付款")+SUMIFS(对接源_02物料!$K$4:$K$1203,对接源_02物料!$C$4:$C$1203,$B137,对接源_02物料!$D$4:$D$1203,"包装物料*",对接源_02物料!$L$4:$L$1203,"已收讫")+SUMIFS(对接源_02物料!$K$4:$K$1203,对接源_02物料!$C$4:$C$1203,$B137,对接源_02物料!$D$4:$D$1203,"包装物料*",对接源_02物料!$L$4:$L$1203,"已付款")+SUMIFS(对接源_02物料!$K$4:$K$1203,对接源_02物料!$C$4:$C$1203,$B137,对接源_02物料!$D$4:$D$1203,"周转筐*",对接源_02物料!$L$4:$L$1203,"已收讫")+SUMIFS(对接源_02物料!$K$4:$K$1203,对接源_02物料!$C$4:$C$1203,$B137,对接源_02物料!$D$4:$D$1203,"周转筐*",对接源_02物料!$L$4:$L$1203,"已付款")+SUMIFS(对接源_02物料!$K$4:$K$1203,对接源_02物料!$C$4:$C$1203,$B137,对接源_02物料!$D$4:$D$1203,"次果筐*",对接源_02物料!$L$4:$L$1203,"已收讫")+SUMIFS(对接源_02物料!$K$4:$K$1203,对接源_02物料!$C$4:$C$1203,$B137,对接源_02物料!$D$4:$D$1203,"次果筐*",对接源_02物料!$L$4:$L$1203,"已付款"),2))</f>
        <v/>
      </c>
      <c r="J137" s="61" t="str">
        <f aca="false">IF($B137="","",ROUND(N($H137)-N($I137),2))</f>
        <v/>
      </c>
      <c r="K137" s="59" t="str">
        <f aca="false">IF($B137="","",IF(ROUND(N($J137),2)&gt;0,"对方欠款",IF(ROUND(N($J137),2)&lt;0,"我方欠款","已两清")))</f>
        <v/>
      </c>
      <c r="L137" s="105"/>
    </row>
    <row r="138" customFormat="false" ht="13.5" hidden="false" customHeight="false" outlineLevel="0" collapsed="false">
      <c r="A138" s="59" t="str">
        <f aca="false">IF($B138="","",ROW()-3)</f>
        <v/>
      </c>
      <c r="B138" s="104" t="str">
        <f aca="false">IFERROR(INDEX(_自动清单!$E$4:$E$303,ROW()-3),"")</f>
        <v/>
      </c>
      <c r="C138" s="61" t="str">
        <f aca="false">IF($B138="","",ROUND(SUMIFS(对接源_01水果!$K$4:$K$1203,对接源_01水果!$C$4:$C$1203,$B138,对接源_01水果!$D$4:$D$1203,"成品出库*"),2))</f>
        <v/>
      </c>
      <c r="D138" s="61" t="str">
        <f aca="false">IF($B138="","",ROUND(SUMIFS(对接源_01水果!$K$4:$K$1203,对接源_01水果!$C$4:$C$1203,$B138,对接源_01水果!$D$4:$D$1203,"其他代存*"),2))</f>
        <v/>
      </c>
      <c r="E138" s="61" t="str">
        <f aca="false">IF($B138="","",ROUND(SUMIFS(对接源_02物料!$K$4:$K$1203,对接源_02物料!$C$4:$C$1203,$B138,对接源_02物料!$D$4:$D$1203,"包装物料*"),2))</f>
        <v/>
      </c>
      <c r="F138" s="61" t="str">
        <f aca="false">IF($B138="","",ROUND(SUMIFS(对接源_02物料!$K$4:$K$1203,对接源_02物料!$C$4:$C$1203,$B138,对接源_02物料!$D$4:$D$1203,"周转筐*"),2))</f>
        <v/>
      </c>
      <c r="G138" s="61" t="str">
        <f aca="false">IF($B138="","",ROUND(SUMIFS(对接源_02物料!$K$4:$K$1203,对接源_02物料!$C$4:$C$1203,$B138,对接源_02物料!$D$4:$D$1203,"次果筐*"),2))</f>
        <v/>
      </c>
      <c r="H138" s="61" t="str">
        <f aca="false">IF($B138="","",ROUND(SUM($C138:$G138),2))</f>
        <v/>
      </c>
      <c r="I138" s="61" t="str">
        <f aca="false">IF($B138="","",ROUND(SUMIFS(对接源_01水果!$K$4:$K$1203,对接源_01水果!$C$4:$C$1203,$B138,对接源_01水果!$D$4:$D$1203,"成品出库*",对接源_01水果!$L$4:$L$1203,"已收讫")+SUMIFS(对接源_01水果!$K$4:$K$1203,对接源_01水果!$C$4:$C$1203,$B138,对接源_01水果!$D$4:$D$1203,"成品出库*",对接源_01水果!$L$4:$L$1203,"已付款")+SUMIFS(对接源_01水果!$K$4:$K$1203,对接源_01水果!$C$4:$C$1203,$B138,对接源_01水果!$D$4:$D$1203,"其他代存*",对接源_01水果!$L$4:$L$1203,"已收讫")+SUMIFS(对接源_01水果!$K$4:$K$1203,对接源_01水果!$C$4:$C$1203,$B138,对接源_01水果!$D$4:$D$1203,"其他代存*",对接源_01水果!$L$4:$L$1203,"已付款")+SUMIFS(对接源_02物料!$K$4:$K$1203,对接源_02物料!$C$4:$C$1203,$B138,对接源_02物料!$D$4:$D$1203,"包装物料*",对接源_02物料!$L$4:$L$1203,"已收讫")+SUMIFS(对接源_02物料!$K$4:$K$1203,对接源_02物料!$C$4:$C$1203,$B138,对接源_02物料!$D$4:$D$1203,"包装物料*",对接源_02物料!$L$4:$L$1203,"已付款")+SUMIFS(对接源_02物料!$K$4:$K$1203,对接源_02物料!$C$4:$C$1203,$B138,对接源_02物料!$D$4:$D$1203,"周转筐*",对接源_02物料!$L$4:$L$1203,"已收讫")+SUMIFS(对接源_02物料!$K$4:$K$1203,对接源_02物料!$C$4:$C$1203,$B138,对接源_02物料!$D$4:$D$1203,"周转筐*",对接源_02物料!$L$4:$L$1203,"已付款")+SUMIFS(对接源_02物料!$K$4:$K$1203,对接源_02物料!$C$4:$C$1203,$B138,对接源_02物料!$D$4:$D$1203,"次果筐*",对接源_02物料!$L$4:$L$1203,"已收讫")+SUMIFS(对接源_02物料!$K$4:$K$1203,对接源_02物料!$C$4:$C$1203,$B138,对接源_02物料!$D$4:$D$1203,"次果筐*",对接源_02物料!$L$4:$L$1203,"已付款"),2))</f>
        <v/>
      </c>
      <c r="J138" s="61" t="str">
        <f aca="false">IF($B138="","",ROUND(N($H138)-N($I138),2))</f>
        <v/>
      </c>
      <c r="K138" s="59" t="str">
        <f aca="false">IF($B138="","",IF(ROUND(N($J138),2)&gt;0,"对方欠款",IF(ROUND(N($J138),2)&lt;0,"我方欠款","已两清")))</f>
        <v/>
      </c>
      <c r="L138" s="105"/>
    </row>
    <row r="139" customFormat="false" ht="13.5" hidden="false" customHeight="false" outlineLevel="0" collapsed="false">
      <c r="A139" s="59" t="str">
        <f aca="false">IF($B139="","",ROW()-3)</f>
        <v/>
      </c>
      <c r="B139" s="104" t="str">
        <f aca="false">IFERROR(INDEX(_自动清单!$E$4:$E$303,ROW()-3),"")</f>
        <v/>
      </c>
      <c r="C139" s="61" t="str">
        <f aca="false">IF($B139="","",ROUND(SUMIFS(对接源_01水果!$K$4:$K$1203,对接源_01水果!$C$4:$C$1203,$B139,对接源_01水果!$D$4:$D$1203,"成品出库*"),2))</f>
        <v/>
      </c>
      <c r="D139" s="61" t="str">
        <f aca="false">IF($B139="","",ROUND(SUMIFS(对接源_01水果!$K$4:$K$1203,对接源_01水果!$C$4:$C$1203,$B139,对接源_01水果!$D$4:$D$1203,"其他代存*"),2))</f>
        <v/>
      </c>
      <c r="E139" s="61" t="str">
        <f aca="false">IF($B139="","",ROUND(SUMIFS(对接源_02物料!$K$4:$K$1203,对接源_02物料!$C$4:$C$1203,$B139,对接源_02物料!$D$4:$D$1203,"包装物料*"),2))</f>
        <v/>
      </c>
      <c r="F139" s="61" t="str">
        <f aca="false">IF($B139="","",ROUND(SUMIFS(对接源_02物料!$K$4:$K$1203,对接源_02物料!$C$4:$C$1203,$B139,对接源_02物料!$D$4:$D$1203,"周转筐*"),2))</f>
        <v/>
      </c>
      <c r="G139" s="61" t="str">
        <f aca="false">IF($B139="","",ROUND(SUMIFS(对接源_02物料!$K$4:$K$1203,对接源_02物料!$C$4:$C$1203,$B139,对接源_02物料!$D$4:$D$1203,"次果筐*"),2))</f>
        <v/>
      </c>
      <c r="H139" s="61" t="str">
        <f aca="false">IF($B139="","",ROUND(SUM($C139:$G139),2))</f>
        <v/>
      </c>
      <c r="I139" s="61" t="str">
        <f aca="false">IF($B139="","",ROUND(SUMIFS(对接源_01水果!$K$4:$K$1203,对接源_01水果!$C$4:$C$1203,$B139,对接源_01水果!$D$4:$D$1203,"成品出库*",对接源_01水果!$L$4:$L$1203,"已收讫")+SUMIFS(对接源_01水果!$K$4:$K$1203,对接源_01水果!$C$4:$C$1203,$B139,对接源_01水果!$D$4:$D$1203,"成品出库*",对接源_01水果!$L$4:$L$1203,"已付款")+SUMIFS(对接源_01水果!$K$4:$K$1203,对接源_01水果!$C$4:$C$1203,$B139,对接源_01水果!$D$4:$D$1203,"其他代存*",对接源_01水果!$L$4:$L$1203,"已收讫")+SUMIFS(对接源_01水果!$K$4:$K$1203,对接源_01水果!$C$4:$C$1203,$B139,对接源_01水果!$D$4:$D$1203,"其他代存*",对接源_01水果!$L$4:$L$1203,"已付款")+SUMIFS(对接源_02物料!$K$4:$K$1203,对接源_02物料!$C$4:$C$1203,$B139,对接源_02物料!$D$4:$D$1203,"包装物料*",对接源_02物料!$L$4:$L$1203,"已收讫")+SUMIFS(对接源_02物料!$K$4:$K$1203,对接源_02物料!$C$4:$C$1203,$B139,对接源_02物料!$D$4:$D$1203,"包装物料*",对接源_02物料!$L$4:$L$1203,"已付款")+SUMIFS(对接源_02物料!$K$4:$K$1203,对接源_02物料!$C$4:$C$1203,$B139,对接源_02物料!$D$4:$D$1203,"周转筐*",对接源_02物料!$L$4:$L$1203,"已收讫")+SUMIFS(对接源_02物料!$K$4:$K$1203,对接源_02物料!$C$4:$C$1203,$B139,对接源_02物料!$D$4:$D$1203,"周转筐*",对接源_02物料!$L$4:$L$1203,"已付款")+SUMIFS(对接源_02物料!$K$4:$K$1203,对接源_02物料!$C$4:$C$1203,$B139,对接源_02物料!$D$4:$D$1203,"次果筐*",对接源_02物料!$L$4:$L$1203,"已收讫")+SUMIFS(对接源_02物料!$K$4:$K$1203,对接源_02物料!$C$4:$C$1203,$B139,对接源_02物料!$D$4:$D$1203,"次果筐*",对接源_02物料!$L$4:$L$1203,"已付款"),2))</f>
        <v/>
      </c>
      <c r="J139" s="61" t="str">
        <f aca="false">IF($B139="","",ROUND(N($H139)-N($I139),2))</f>
        <v/>
      </c>
      <c r="K139" s="59" t="str">
        <f aca="false">IF($B139="","",IF(ROUND(N($J139),2)&gt;0,"对方欠款",IF(ROUND(N($J139),2)&lt;0,"我方欠款","已两清")))</f>
        <v/>
      </c>
      <c r="L139" s="105"/>
    </row>
    <row r="140" customFormat="false" ht="13.5" hidden="false" customHeight="false" outlineLevel="0" collapsed="false">
      <c r="A140" s="59" t="str">
        <f aca="false">IF($B140="","",ROW()-3)</f>
        <v/>
      </c>
      <c r="B140" s="104" t="str">
        <f aca="false">IFERROR(INDEX(_自动清单!$E$4:$E$303,ROW()-3),"")</f>
        <v/>
      </c>
      <c r="C140" s="61" t="str">
        <f aca="false">IF($B140="","",ROUND(SUMIFS(对接源_01水果!$K$4:$K$1203,对接源_01水果!$C$4:$C$1203,$B140,对接源_01水果!$D$4:$D$1203,"成品出库*"),2))</f>
        <v/>
      </c>
      <c r="D140" s="61" t="str">
        <f aca="false">IF($B140="","",ROUND(SUMIFS(对接源_01水果!$K$4:$K$1203,对接源_01水果!$C$4:$C$1203,$B140,对接源_01水果!$D$4:$D$1203,"其他代存*"),2))</f>
        <v/>
      </c>
      <c r="E140" s="61" t="str">
        <f aca="false">IF($B140="","",ROUND(SUMIFS(对接源_02物料!$K$4:$K$1203,对接源_02物料!$C$4:$C$1203,$B140,对接源_02物料!$D$4:$D$1203,"包装物料*"),2))</f>
        <v/>
      </c>
      <c r="F140" s="61" t="str">
        <f aca="false">IF($B140="","",ROUND(SUMIFS(对接源_02物料!$K$4:$K$1203,对接源_02物料!$C$4:$C$1203,$B140,对接源_02物料!$D$4:$D$1203,"周转筐*"),2))</f>
        <v/>
      </c>
      <c r="G140" s="61" t="str">
        <f aca="false">IF($B140="","",ROUND(SUMIFS(对接源_02物料!$K$4:$K$1203,对接源_02物料!$C$4:$C$1203,$B140,对接源_02物料!$D$4:$D$1203,"次果筐*"),2))</f>
        <v/>
      </c>
      <c r="H140" s="61" t="str">
        <f aca="false">IF($B140="","",ROUND(SUM($C140:$G140),2))</f>
        <v/>
      </c>
      <c r="I140" s="61" t="str">
        <f aca="false">IF($B140="","",ROUND(SUMIFS(对接源_01水果!$K$4:$K$1203,对接源_01水果!$C$4:$C$1203,$B140,对接源_01水果!$D$4:$D$1203,"成品出库*",对接源_01水果!$L$4:$L$1203,"已收讫")+SUMIFS(对接源_01水果!$K$4:$K$1203,对接源_01水果!$C$4:$C$1203,$B140,对接源_01水果!$D$4:$D$1203,"成品出库*",对接源_01水果!$L$4:$L$1203,"已付款")+SUMIFS(对接源_01水果!$K$4:$K$1203,对接源_01水果!$C$4:$C$1203,$B140,对接源_01水果!$D$4:$D$1203,"其他代存*",对接源_01水果!$L$4:$L$1203,"已收讫")+SUMIFS(对接源_01水果!$K$4:$K$1203,对接源_01水果!$C$4:$C$1203,$B140,对接源_01水果!$D$4:$D$1203,"其他代存*",对接源_01水果!$L$4:$L$1203,"已付款")+SUMIFS(对接源_02物料!$K$4:$K$1203,对接源_02物料!$C$4:$C$1203,$B140,对接源_02物料!$D$4:$D$1203,"包装物料*",对接源_02物料!$L$4:$L$1203,"已收讫")+SUMIFS(对接源_02物料!$K$4:$K$1203,对接源_02物料!$C$4:$C$1203,$B140,对接源_02物料!$D$4:$D$1203,"包装物料*",对接源_02物料!$L$4:$L$1203,"已付款")+SUMIFS(对接源_02物料!$K$4:$K$1203,对接源_02物料!$C$4:$C$1203,$B140,对接源_02物料!$D$4:$D$1203,"周转筐*",对接源_02物料!$L$4:$L$1203,"已收讫")+SUMIFS(对接源_02物料!$K$4:$K$1203,对接源_02物料!$C$4:$C$1203,$B140,对接源_02物料!$D$4:$D$1203,"周转筐*",对接源_02物料!$L$4:$L$1203,"已付款")+SUMIFS(对接源_02物料!$K$4:$K$1203,对接源_02物料!$C$4:$C$1203,$B140,对接源_02物料!$D$4:$D$1203,"次果筐*",对接源_02物料!$L$4:$L$1203,"已收讫")+SUMIFS(对接源_02物料!$K$4:$K$1203,对接源_02物料!$C$4:$C$1203,$B140,对接源_02物料!$D$4:$D$1203,"次果筐*",对接源_02物料!$L$4:$L$1203,"已付款"),2))</f>
        <v/>
      </c>
      <c r="J140" s="61" t="str">
        <f aca="false">IF($B140="","",ROUND(N($H140)-N($I140),2))</f>
        <v/>
      </c>
      <c r="K140" s="59" t="str">
        <f aca="false">IF($B140="","",IF(ROUND(N($J140),2)&gt;0,"对方欠款",IF(ROUND(N($J140),2)&lt;0,"我方欠款","已两清")))</f>
        <v/>
      </c>
      <c r="L140" s="105"/>
    </row>
    <row r="141" customFormat="false" ht="13.5" hidden="false" customHeight="false" outlineLevel="0" collapsed="false">
      <c r="A141" s="59" t="str">
        <f aca="false">IF($B141="","",ROW()-3)</f>
        <v/>
      </c>
      <c r="B141" s="104" t="str">
        <f aca="false">IFERROR(INDEX(_自动清单!$E$4:$E$303,ROW()-3),"")</f>
        <v/>
      </c>
      <c r="C141" s="61" t="str">
        <f aca="false">IF($B141="","",ROUND(SUMIFS(对接源_01水果!$K$4:$K$1203,对接源_01水果!$C$4:$C$1203,$B141,对接源_01水果!$D$4:$D$1203,"成品出库*"),2))</f>
        <v/>
      </c>
      <c r="D141" s="61" t="str">
        <f aca="false">IF($B141="","",ROUND(SUMIFS(对接源_01水果!$K$4:$K$1203,对接源_01水果!$C$4:$C$1203,$B141,对接源_01水果!$D$4:$D$1203,"其他代存*"),2))</f>
        <v/>
      </c>
      <c r="E141" s="61" t="str">
        <f aca="false">IF($B141="","",ROUND(SUMIFS(对接源_02物料!$K$4:$K$1203,对接源_02物料!$C$4:$C$1203,$B141,对接源_02物料!$D$4:$D$1203,"包装物料*"),2))</f>
        <v/>
      </c>
      <c r="F141" s="61" t="str">
        <f aca="false">IF($B141="","",ROUND(SUMIFS(对接源_02物料!$K$4:$K$1203,对接源_02物料!$C$4:$C$1203,$B141,对接源_02物料!$D$4:$D$1203,"周转筐*"),2))</f>
        <v/>
      </c>
      <c r="G141" s="61" t="str">
        <f aca="false">IF($B141="","",ROUND(SUMIFS(对接源_02物料!$K$4:$K$1203,对接源_02物料!$C$4:$C$1203,$B141,对接源_02物料!$D$4:$D$1203,"次果筐*"),2))</f>
        <v/>
      </c>
      <c r="H141" s="61" t="str">
        <f aca="false">IF($B141="","",ROUND(SUM($C141:$G141),2))</f>
        <v/>
      </c>
      <c r="I141" s="61" t="str">
        <f aca="false">IF($B141="","",ROUND(SUMIFS(对接源_01水果!$K$4:$K$1203,对接源_01水果!$C$4:$C$1203,$B141,对接源_01水果!$D$4:$D$1203,"成品出库*",对接源_01水果!$L$4:$L$1203,"已收讫")+SUMIFS(对接源_01水果!$K$4:$K$1203,对接源_01水果!$C$4:$C$1203,$B141,对接源_01水果!$D$4:$D$1203,"成品出库*",对接源_01水果!$L$4:$L$1203,"已付款")+SUMIFS(对接源_01水果!$K$4:$K$1203,对接源_01水果!$C$4:$C$1203,$B141,对接源_01水果!$D$4:$D$1203,"其他代存*",对接源_01水果!$L$4:$L$1203,"已收讫")+SUMIFS(对接源_01水果!$K$4:$K$1203,对接源_01水果!$C$4:$C$1203,$B141,对接源_01水果!$D$4:$D$1203,"其他代存*",对接源_01水果!$L$4:$L$1203,"已付款")+SUMIFS(对接源_02物料!$K$4:$K$1203,对接源_02物料!$C$4:$C$1203,$B141,对接源_02物料!$D$4:$D$1203,"包装物料*",对接源_02物料!$L$4:$L$1203,"已收讫")+SUMIFS(对接源_02物料!$K$4:$K$1203,对接源_02物料!$C$4:$C$1203,$B141,对接源_02物料!$D$4:$D$1203,"包装物料*",对接源_02物料!$L$4:$L$1203,"已付款")+SUMIFS(对接源_02物料!$K$4:$K$1203,对接源_02物料!$C$4:$C$1203,$B141,对接源_02物料!$D$4:$D$1203,"周转筐*",对接源_02物料!$L$4:$L$1203,"已收讫")+SUMIFS(对接源_02物料!$K$4:$K$1203,对接源_02物料!$C$4:$C$1203,$B141,对接源_02物料!$D$4:$D$1203,"周转筐*",对接源_02物料!$L$4:$L$1203,"已付款")+SUMIFS(对接源_02物料!$K$4:$K$1203,对接源_02物料!$C$4:$C$1203,$B141,对接源_02物料!$D$4:$D$1203,"次果筐*",对接源_02物料!$L$4:$L$1203,"已收讫")+SUMIFS(对接源_02物料!$K$4:$K$1203,对接源_02物料!$C$4:$C$1203,$B141,对接源_02物料!$D$4:$D$1203,"次果筐*",对接源_02物料!$L$4:$L$1203,"已付款"),2))</f>
        <v/>
      </c>
      <c r="J141" s="61" t="str">
        <f aca="false">IF($B141="","",ROUND(N($H141)-N($I141),2))</f>
        <v/>
      </c>
      <c r="K141" s="59" t="str">
        <f aca="false">IF($B141="","",IF(ROUND(N($J141),2)&gt;0,"对方欠款",IF(ROUND(N($J141),2)&lt;0,"我方欠款","已两清")))</f>
        <v/>
      </c>
      <c r="L141" s="105"/>
    </row>
    <row r="142" customFormat="false" ht="13.5" hidden="false" customHeight="false" outlineLevel="0" collapsed="false">
      <c r="A142" s="59" t="str">
        <f aca="false">IF($B142="","",ROW()-3)</f>
        <v/>
      </c>
      <c r="B142" s="104" t="str">
        <f aca="false">IFERROR(INDEX(_自动清单!$E$4:$E$303,ROW()-3),"")</f>
        <v/>
      </c>
      <c r="C142" s="61" t="str">
        <f aca="false">IF($B142="","",ROUND(SUMIFS(对接源_01水果!$K$4:$K$1203,对接源_01水果!$C$4:$C$1203,$B142,对接源_01水果!$D$4:$D$1203,"成品出库*"),2))</f>
        <v/>
      </c>
      <c r="D142" s="61" t="str">
        <f aca="false">IF($B142="","",ROUND(SUMIFS(对接源_01水果!$K$4:$K$1203,对接源_01水果!$C$4:$C$1203,$B142,对接源_01水果!$D$4:$D$1203,"其他代存*"),2))</f>
        <v/>
      </c>
      <c r="E142" s="61" t="str">
        <f aca="false">IF($B142="","",ROUND(SUMIFS(对接源_02物料!$K$4:$K$1203,对接源_02物料!$C$4:$C$1203,$B142,对接源_02物料!$D$4:$D$1203,"包装物料*"),2))</f>
        <v/>
      </c>
      <c r="F142" s="61" t="str">
        <f aca="false">IF($B142="","",ROUND(SUMIFS(对接源_02物料!$K$4:$K$1203,对接源_02物料!$C$4:$C$1203,$B142,对接源_02物料!$D$4:$D$1203,"周转筐*"),2))</f>
        <v/>
      </c>
      <c r="G142" s="61" t="str">
        <f aca="false">IF($B142="","",ROUND(SUMIFS(对接源_02物料!$K$4:$K$1203,对接源_02物料!$C$4:$C$1203,$B142,对接源_02物料!$D$4:$D$1203,"次果筐*"),2))</f>
        <v/>
      </c>
      <c r="H142" s="61" t="str">
        <f aca="false">IF($B142="","",ROUND(SUM($C142:$G142),2))</f>
        <v/>
      </c>
      <c r="I142" s="61" t="str">
        <f aca="false">IF($B142="","",ROUND(SUMIFS(对接源_01水果!$K$4:$K$1203,对接源_01水果!$C$4:$C$1203,$B142,对接源_01水果!$D$4:$D$1203,"成品出库*",对接源_01水果!$L$4:$L$1203,"已收讫")+SUMIFS(对接源_01水果!$K$4:$K$1203,对接源_01水果!$C$4:$C$1203,$B142,对接源_01水果!$D$4:$D$1203,"成品出库*",对接源_01水果!$L$4:$L$1203,"已付款")+SUMIFS(对接源_01水果!$K$4:$K$1203,对接源_01水果!$C$4:$C$1203,$B142,对接源_01水果!$D$4:$D$1203,"其他代存*",对接源_01水果!$L$4:$L$1203,"已收讫")+SUMIFS(对接源_01水果!$K$4:$K$1203,对接源_01水果!$C$4:$C$1203,$B142,对接源_01水果!$D$4:$D$1203,"其他代存*",对接源_01水果!$L$4:$L$1203,"已付款")+SUMIFS(对接源_02物料!$K$4:$K$1203,对接源_02物料!$C$4:$C$1203,$B142,对接源_02物料!$D$4:$D$1203,"包装物料*",对接源_02物料!$L$4:$L$1203,"已收讫")+SUMIFS(对接源_02物料!$K$4:$K$1203,对接源_02物料!$C$4:$C$1203,$B142,对接源_02物料!$D$4:$D$1203,"包装物料*",对接源_02物料!$L$4:$L$1203,"已付款")+SUMIFS(对接源_02物料!$K$4:$K$1203,对接源_02物料!$C$4:$C$1203,$B142,对接源_02物料!$D$4:$D$1203,"周转筐*",对接源_02物料!$L$4:$L$1203,"已收讫")+SUMIFS(对接源_02物料!$K$4:$K$1203,对接源_02物料!$C$4:$C$1203,$B142,对接源_02物料!$D$4:$D$1203,"周转筐*",对接源_02物料!$L$4:$L$1203,"已付款")+SUMIFS(对接源_02物料!$K$4:$K$1203,对接源_02物料!$C$4:$C$1203,$B142,对接源_02物料!$D$4:$D$1203,"次果筐*",对接源_02物料!$L$4:$L$1203,"已收讫")+SUMIFS(对接源_02物料!$K$4:$K$1203,对接源_02物料!$C$4:$C$1203,$B142,对接源_02物料!$D$4:$D$1203,"次果筐*",对接源_02物料!$L$4:$L$1203,"已付款"),2))</f>
        <v/>
      </c>
      <c r="J142" s="61" t="str">
        <f aca="false">IF($B142="","",ROUND(N($H142)-N($I142),2))</f>
        <v/>
      </c>
      <c r="K142" s="59" t="str">
        <f aca="false">IF($B142="","",IF(ROUND(N($J142),2)&gt;0,"对方欠款",IF(ROUND(N($J142),2)&lt;0,"我方欠款","已两清")))</f>
        <v/>
      </c>
      <c r="L142" s="105"/>
    </row>
    <row r="143" customFormat="false" ht="13.5" hidden="false" customHeight="false" outlineLevel="0" collapsed="false">
      <c r="A143" s="59" t="str">
        <f aca="false">IF($B143="","",ROW()-3)</f>
        <v/>
      </c>
      <c r="B143" s="104" t="str">
        <f aca="false">IFERROR(INDEX(_自动清单!$E$4:$E$303,ROW()-3),"")</f>
        <v/>
      </c>
      <c r="C143" s="61" t="str">
        <f aca="false">IF($B143="","",ROUND(SUMIFS(对接源_01水果!$K$4:$K$1203,对接源_01水果!$C$4:$C$1203,$B143,对接源_01水果!$D$4:$D$1203,"成品出库*"),2))</f>
        <v/>
      </c>
      <c r="D143" s="61" t="str">
        <f aca="false">IF($B143="","",ROUND(SUMIFS(对接源_01水果!$K$4:$K$1203,对接源_01水果!$C$4:$C$1203,$B143,对接源_01水果!$D$4:$D$1203,"其他代存*"),2))</f>
        <v/>
      </c>
      <c r="E143" s="61" t="str">
        <f aca="false">IF($B143="","",ROUND(SUMIFS(对接源_02物料!$K$4:$K$1203,对接源_02物料!$C$4:$C$1203,$B143,对接源_02物料!$D$4:$D$1203,"包装物料*"),2))</f>
        <v/>
      </c>
      <c r="F143" s="61" t="str">
        <f aca="false">IF($B143="","",ROUND(SUMIFS(对接源_02物料!$K$4:$K$1203,对接源_02物料!$C$4:$C$1203,$B143,对接源_02物料!$D$4:$D$1203,"周转筐*"),2))</f>
        <v/>
      </c>
      <c r="G143" s="61" t="str">
        <f aca="false">IF($B143="","",ROUND(SUMIFS(对接源_02物料!$K$4:$K$1203,对接源_02物料!$C$4:$C$1203,$B143,对接源_02物料!$D$4:$D$1203,"次果筐*"),2))</f>
        <v/>
      </c>
      <c r="H143" s="61" t="str">
        <f aca="false">IF($B143="","",ROUND(SUM($C143:$G143),2))</f>
        <v/>
      </c>
      <c r="I143" s="61" t="str">
        <f aca="false">IF($B143="","",ROUND(SUMIFS(对接源_01水果!$K$4:$K$1203,对接源_01水果!$C$4:$C$1203,$B143,对接源_01水果!$D$4:$D$1203,"成品出库*",对接源_01水果!$L$4:$L$1203,"已收讫")+SUMIFS(对接源_01水果!$K$4:$K$1203,对接源_01水果!$C$4:$C$1203,$B143,对接源_01水果!$D$4:$D$1203,"成品出库*",对接源_01水果!$L$4:$L$1203,"已付款")+SUMIFS(对接源_01水果!$K$4:$K$1203,对接源_01水果!$C$4:$C$1203,$B143,对接源_01水果!$D$4:$D$1203,"其他代存*",对接源_01水果!$L$4:$L$1203,"已收讫")+SUMIFS(对接源_01水果!$K$4:$K$1203,对接源_01水果!$C$4:$C$1203,$B143,对接源_01水果!$D$4:$D$1203,"其他代存*",对接源_01水果!$L$4:$L$1203,"已付款")+SUMIFS(对接源_02物料!$K$4:$K$1203,对接源_02物料!$C$4:$C$1203,$B143,对接源_02物料!$D$4:$D$1203,"包装物料*",对接源_02物料!$L$4:$L$1203,"已收讫")+SUMIFS(对接源_02物料!$K$4:$K$1203,对接源_02物料!$C$4:$C$1203,$B143,对接源_02物料!$D$4:$D$1203,"包装物料*",对接源_02物料!$L$4:$L$1203,"已付款")+SUMIFS(对接源_02物料!$K$4:$K$1203,对接源_02物料!$C$4:$C$1203,$B143,对接源_02物料!$D$4:$D$1203,"周转筐*",对接源_02物料!$L$4:$L$1203,"已收讫")+SUMIFS(对接源_02物料!$K$4:$K$1203,对接源_02物料!$C$4:$C$1203,$B143,对接源_02物料!$D$4:$D$1203,"周转筐*",对接源_02物料!$L$4:$L$1203,"已付款")+SUMIFS(对接源_02物料!$K$4:$K$1203,对接源_02物料!$C$4:$C$1203,$B143,对接源_02物料!$D$4:$D$1203,"次果筐*",对接源_02物料!$L$4:$L$1203,"已收讫")+SUMIFS(对接源_02物料!$K$4:$K$1203,对接源_02物料!$C$4:$C$1203,$B143,对接源_02物料!$D$4:$D$1203,"次果筐*",对接源_02物料!$L$4:$L$1203,"已付款"),2))</f>
        <v/>
      </c>
      <c r="J143" s="61" t="str">
        <f aca="false">IF($B143="","",ROUND(N($H143)-N($I143),2))</f>
        <v/>
      </c>
      <c r="K143" s="59" t="str">
        <f aca="false">IF($B143="","",IF(ROUND(N($J143),2)&gt;0,"对方欠款",IF(ROUND(N($J143),2)&lt;0,"我方欠款","已两清")))</f>
        <v/>
      </c>
      <c r="L143" s="105"/>
    </row>
    <row r="144" customFormat="false" ht="13.5" hidden="false" customHeight="false" outlineLevel="0" collapsed="false">
      <c r="A144" s="59" t="str">
        <f aca="false">IF($B144="","",ROW()-3)</f>
        <v/>
      </c>
      <c r="B144" s="104" t="str">
        <f aca="false">IFERROR(INDEX(_自动清单!$E$4:$E$303,ROW()-3),"")</f>
        <v/>
      </c>
      <c r="C144" s="61" t="str">
        <f aca="false">IF($B144="","",ROUND(SUMIFS(对接源_01水果!$K$4:$K$1203,对接源_01水果!$C$4:$C$1203,$B144,对接源_01水果!$D$4:$D$1203,"成品出库*"),2))</f>
        <v/>
      </c>
      <c r="D144" s="61" t="str">
        <f aca="false">IF($B144="","",ROUND(SUMIFS(对接源_01水果!$K$4:$K$1203,对接源_01水果!$C$4:$C$1203,$B144,对接源_01水果!$D$4:$D$1203,"其他代存*"),2))</f>
        <v/>
      </c>
      <c r="E144" s="61" t="str">
        <f aca="false">IF($B144="","",ROUND(SUMIFS(对接源_02物料!$K$4:$K$1203,对接源_02物料!$C$4:$C$1203,$B144,对接源_02物料!$D$4:$D$1203,"包装物料*"),2))</f>
        <v/>
      </c>
      <c r="F144" s="61" t="str">
        <f aca="false">IF($B144="","",ROUND(SUMIFS(对接源_02物料!$K$4:$K$1203,对接源_02物料!$C$4:$C$1203,$B144,对接源_02物料!$D$4:$D$1203,"周转筐*"),2))</f>
        <v/>
      </c>
      <c r="G144" s="61" t="str">
        <f aca="false">IF($B144="","",ROUND(SUMIFS(对接源_02物料!$K$4:$K$1203,对接源_02物料!$C$4:$C$1203,$B144,对接源_02物料!$D$4:$D$1203,"次果筐*"),2))</f>
        <v/>
      </c>
      <c r="H144" s="61" t="str">
        <f aca="false">IF($B144="","",ROUND(SUM($C144:$G144),2))</f>
        <v/>
      </c>
      <c r="I144" s="61" t="str">
        <f aca="false">IF($B144="","",ROUND(SUMIFS(对接源_01水果!$K$4:$K$1203,对接源_01水果!$C$4:$C$1203,$B144,对接源_01水果!$D$4:$D$1203,"成品出库*",对接源_01水果!$L$4:$L$1203,"已收讫")+SUMIFS(对接源_01水果!$K$4:$K$1203,对接源_01水果!$C$4:$C$1203,$B144,对接源_01水果!$D$4:$D$1203,"成品出库*",对接源_01水果!$L$4:$L$1203,"已付款")+SUMIFS(对接源_01水果!$K$4:$K$1203,对接源_01水果!$C$4:$C$1203,$B144,对接源_01水果!$D$4:$D$1203,"其他代存*",对接源_01水果!$L$4:$L$1203,"已收讫")+SUMIFS(对接源_01水果!$K$4:$K$1203,对接源_01水果!$C$4:$C$1203,$B144,对接源_01水果!$D$4:$D$1203,"其他代存*",对接源_01水果!$L$4:$L$1203,"已付款")+SUMIFS(对接源_02物料!$K$4:$K$1203,对接源_02物料!$C$4:$C$1203,$B144,对接源_02物料!$D$4:$D$1203,"包装物料*",对接源_02物料!$L$4:$L$1203,"已收讫")+SUMIFS(对接源_02物料!$K$4:$K$1203,对接源_02物料!$C$4:$C$1203,$B144,对接源_02物料!$D$4:$D$1203,"包装物料*",对接源_02物料!$L$4:$L$1203,"已付款")+SUMIFS(对接源_02物料!$K$4:$K$1203,对接源_02物料!$C$4:$C$1203,$B144,对接源_02物料!$D$4:$D$1203,"周转筐*",对接源_02物料!$L$4:$L$1203,"已收讫")+SUMIFS(对接源_02物料!$K$4:$K$1203,对接源_02物料!$C$4:$C$1203,$B144,对接源_02物料!$D$4:$D$1203,"周转筐*",对接源_02物料!$L$4:$L$1203,"已付款")+SUMIFS(对接源_02物料!$K$4:$K$1203,对接源_02物料!$C$4:$C$1203,$B144,对接源_02物料!$D$4:$D$1203,"次果筐*",对接源_02物料!$L$4:$L$1203,"已收讫")+SUMIFS(对接源_02物料!$K$4:$K$1203,对接源_02物料!$C$4:$C$1203,$B144,对接源_02物料!$D$4:$D$1203,"次果筐*",对接源_02物料!$L$4:$L$1203,"已付款"),2))</f>
        <v/>
      </c>
      <c r="J144" s="61" t="str">
        <f aca="false">IF($B144="","",ROUND(N($H144)-N($I144),2))</f>
        <v/>
      </c>
      <c r="K144" s="59" t="str">
        <f aca="false">IF($B144="","",IF(ROUND(N($J144),2)&gt;0,"对方欠款",IF(ROUND(N($J144),2)&lt;0,"我方欠款","已两清")))</f>
        <v/>
      </c>
      <c r="L144" s="105"/>
    </row>
    <row r="145" customFormat="false" ht="13.5" hidden="false" customHeight="false" outlineLevel="0" collapsed="false">
      <c r="A145" s="59" t="str">
        <f aca="false">IF($B145="","",ROW()-3)</f>
        <v/>
      </c>
      <c r="B145" s="104" t="str">
        <f aca="false">IFERROR(INDEX(_自动清单!$E$4:$E$303,ROW()-3),"")</f>
        <v/>
      </c>
      <c r="C145" s="61" t="str">
        <f aca="false">IF($B145="","",ROUND(SUMIFS(对接源_01水果!$K$4:$K$1203,对接源_01水果!$C$4:$C$1203,$B145,对接源_01水果!$D$4:$D$1203,"成品出库*"),2))</f>
        <v/>
      </c>
      <c r="D145" s="61" t="str">
        <f aca="false">IF($B145="","",ROUND(SUMIFS(对接源_01水果!$K$4:$K$1203,对接源_01水果!$C$4:$C$1203,$B145,对接源_01水果!$D$4:$D$1203,"其他代存*"),2))</f>
        <v/>
      </c>
      <c r="E145" s="61" t="str">
        <f aca="false">IF($B145="","",ROUND(SUMIFS(对接源_02物料!$K$4:$K$1203,对接源_02物料!$C$4:$C$1203,$B145,对接源_02物料!$D$4:$D$1203,"包装物料*"),2))</f>
        <v/>
      </c>
      <c r="F145" s="61" t="str">
        <f aca="false">IF($B145="","",ROUND(SUMIFS(对接源_02物料!$K$4:$K$1203,对接源_02物料!$C$4:$C$1203,$B145,对接源_02物料!$D$4:$D$1203,"周转筐*"),2))</f>
        <v/>
      </c>
      <c r="G145" s="61" t="str">
        <f aca="false">IF($B145="","",ROUND(SUMIFS(对接源_02物料!$K$4:$K$1203,对接源_02物料!$C$4:$C$1203,$B145,对接源_02物料!$D$4:$D$1203,"次果筐*"),2))</f>
        <v/>
      </c>
      <c r="H145" s="61" t="str">
        <f aca="false">IF($B145="","",ROUND(SUM($C145:$G145),2))</f>
        <v/>
      </c>
      <c r="I145" s="61" t="str">
        <f aca="false">IF($B145="","",ROUND(SUMIFS(对接源_01水果!$K$4:$K$1203,对接源_01水果!$C$4:$C$1203,$B145,对接源_01水果!$D$4:$D$1203,"成品出库*",对接源_01水果!$L$4:$L$1203,"已收讫")+SUMIFS(对接源_01水果!$K$4:$K$1203,对接源_01水果!$C$4:$C$1203,$B145,对接源_01水果!$D$4:$D$1203,"成品出库*",对接源_01水果!$L$4:$L$1203,"已付款")+SUMIFS(对接源_01水果!$K$4:$K$1203,对接源_01水果!$C$4:$C$1203,$B145,对接源_01水果!$D$4:$D$1203,"其他代存*",对接源_01水果!$L$4:$L$1203,"已收讫")+SUMIFS(对接源_01水果!$K$4:$K$1203,对接源_01水果!$C$4:$C$1203,$B145,对接源_01水果!$D$4:$D$1203,"其他代存*",对接源_01水果!$L$4:$L$1203,"已付款")+SUMIFS(对接源_02物料!$K$4:$K$1203,对接源_02物料!$C$4:$C$1203,$B145,对接源_02物料!$D$4:$D$1203,"包装物料*",对接源_02物料!$L$4:$L$1203,"已收讫")+SUMIFS(对接源_02物料!$K$4:$K$1203,对接源_02物料!$C$4:$C$1203,$B145,对接源_02物料!$D$4:$D$1203,"包装物料*",对接源_02物料!$L$4:$L$1203,"已付款")+SUMIFS(对接源_02物料!$K$4:$K$1203,对接源_02物料!$C$4:$C$1203,$B145,对接源_02物料!$D$4:$D$1203,"周转筐*",对接源_02物料!$L$4:$L$1203,"已收讫")+SUMIFS(对接源_02物料!$K$4:$K$1203,对接源_02物料!$C$4:$C$1203,$B145,对接源_02物料!$D$4:$D$1203,"周转筐*",对接源_02物料!$L$4:$L$1203,"已付款")+SUMIFS(对接源_02物料!$K$4:$K$1203,对接源_02物料!$C$4:$C$1203,$B145,对接源_02物料!$D$4:$D$1203,"次果筐*",对接源_02物料!$L$4:$L$1203,"已收讫")+SUMIFS(对接源_02物料!$K$4:$K$1203,对接源_02物料!$C$4:$C$1203,$B145,对接源_02物料!$D$4:$D$1203,"次果筐*",对接源_02物料!$L$4:$L$1203,"已付款"),2))</f>
        <v/>
      </c>
      <c r="J145" s="61" t="str">
        <f aca="false">IF($B145="","",ROUND(N($H145)-N($I145),2))</f>
        <v/>
      </c>
      <c r="K145" s="59" t="str">
        <f aca="false">IF($B145="","",IF(ROUND(N($J145),2)&gt;0,"对方欠款",IF(ROUND(N($J145),2)&lt;0,"我方欠款","已两清")))</f>
        <v/>
      </c>
      <c r="L145" s="105"/>
    </row>
    <row r="146" customFormat="false" ht="13.5" hidden="false" customHeight="false" outlineLevel="0" collapsed="false">
      <c r="A146" s="59" t="str">
        <f aca="false">IF($B146="","",ROW()-3)</f>
        <v/>
      </c>
      <c r="B146" s="104" t="str">
        <f aca="false">IFERROR(INDEX(_自动清单!$E$4:$E$303,ROW()-3),"")</f>
        <v/>
      </c>
      <c r="C146" s="61" t="str">
        <f aca="false">IF($B146="","",ROUND(SUMIFS(对接源_01水果!$K$4:$K$1203,对接源_01水果!$C$4:$C$1203,$B146,对接源_01水果!$D$4:$D$1203,"成品出库*"),2))</f>
        <v/>
      </c>
      <c r="D146" s="61" t="str">
        <f aca="false">IF($B146="","",ROUND(SUMIFS(对接源_01水果!$K$4:$K$1203,对接源_01水果!$C$4:$C$1203,$B146,对接源_01水果!$D$4:$D$1203,"其他代存*"),2))</f>
        <v/>
      </c>
      <c r="E146" s="61" t="str">
        <f aca="false">IF($B146="","",ROUND(SUMIFS(对接源_02物料!$K$4:$K$1203,对接源_02物料!$C$4:$C$1203,$B146,对接源_02物料!$D$4:$D$1203,"包装物料*"),2))</f>
        <v/>
      </c>
      <c r="F146" s="61" t="str">
        <f aca="false">IF($B146="","",ROUND(SUMIFS(对接源_02物料!$K$4:$K$1203,对接源_02物料!$C$4:$C$1203,$B146,对接源_02物料!$D$4:$D$1203,"周转筐*"),2))</f>
        <v/>
      </c>
      <c r="G146" s="61" t="str">
        <f aca="false">IF($B146="","",ROUND(SUMIFS(对接源_02物料!$K$4:$K$1203,对接源_02物料!$C$4:$C$1203,$B146,对接源_02物料!$D$4:$D$1203,"次果筐*"),2))</f>
        <v/>
      </c>
      <c r="H146" s="61" t="str">
        <f aca="false">IF($B146="","",ROUND(SUM($C146:$G146),2))</f>
        <v/>
      </c>
      <c r="I146" s="61" t="str">
        <f aca="false">IF($B146="","",ROUND(SUMIFS(对接源_01水果!$K$4:$K$1203,对接源_01水果!$C$4:$C$1203,$B146,对接源_01水果!$D$4:$D$1203,"成品出库*",对接源_01水果!$L$4:$L$1203,"已收讫")+SUMIFS(对接源_01水果!$K$4:$K$1203,对接源_01水果!$C$4:$C$1203,$B146,对接源_01水果!$D$4:$D$1203,"成品出库*",对接源_01水果!$L$4:$L$1203,"已付款")+SUMIFS(对接源_01水果!$K$4:$K$1203,对接源_01水果!$C$4:$C$1203,$B146,对接源_01水果!$D$4:$D$1203,"其他代存*",对接源_01水果!$L$4:$L$1203,"已收讫")+SUMIFS(对接源_01水果!$K$4:$K$1203,对接源_01水果!$C$4:$C$1203,$B146,对接源_01水果!$D$4:$D$1203,"其他代存*",对接源_01水果!$L$4:$L$1203,"已付款")+SUMIFS(对接源_02物料!$K$4:$K$1203,对接源_02物料!$C$4:$C$1203,$B146,对接源_02物料!$D$4:$D$1203,"包装物料*",对接源_02物料!$L$4:$L$1203,"已收讫")+SUMIFS(对接源_02物料!$K$4:$K$1203,对接源_02物料!$C$4:$C$1203,$B146,对接源_02物料!$D$4:$D$1203,"包装物料*",对接源_02物料!$L$4:$L$1203,"已付款")+SUMIFS(对接源_02物料!$K$4:$K$1203,对接源_02物料!$C$4:$C$1203,$B146,对接源_02物料!$D$4:$D$1203,"周转筐*",对接源_02物料!$L$4:$L$1203,"已收讫")+SUMIFS(对接源_02物料!$K$4:$K$1203,对接源_02物料!$C$4:$C$1203,$B146,对接源_02物料!$D$4:$D$1203,"周转筐*",对接源_02物料!$L$4:$L$1203,"已付款")+SUMIFS(对接源_02物料!$K$4:$K$1203,对接源_02物料!$C$4:$C$1203,$B146,对接源_02物料!$D$4:$D$1203,"次果筐*",对接源_02物料!$L$4:$L$1203,"已收讫")+SUMIFS(对接源_02物料!$K$4:$K$1203,对接源_02物料!$C$4:$C$1203,$B146,对接源_02物料!$D$4:$D$1203,"次果筐*",对接源_02物料!$L$4:$L$1203,"已付款"),2))</f>
        <v/>
      </c>
      <c r="J146" s="61" t="str">
        <f aca="false">IF($B146="","",ROUND(N($H146)-N($I146),2))</f>
        <v/>
      </c>
      <c r="K146" s="59" t="str">
        <f aca="false">IF($B146="","",IF(ROUND(N($J146),2)&gt;0,"对方欠款",IF(ROUND(N($J146),2)&lt;0,"我方欠款","已两清")))</f>
        <v/>
      </c>
      <c r="L146" s="105"/>
    </row>
    <row r="147" customFormat="false" ht="13.5" hidden="false" customHeight="false" outlineLevel="0" collapsed="false">
      <c r="A147" s="59" t="str">
        <f aca="false">IF($B147="","",ROW()-3)</f>
        <v/>
      </c>
      <c r="B147" s="104" t="str">
        <f aca="false">IFERROR(INDEX(_自动清单!$E$4:$E$303,ROW()-3),"")</f>
        <v/>
      </c>
      <c r="C147" s="61" t="str">
        <f aca="false">IF($B147="","",ROUND(SUMIFS(对接源_01水果!$K$4:$K$1203,对接源_01水果!$C$4:$C$1203,$B147,对接源_01水果!$D$4:$D$1203,"成品出库*"),2))</f>
        <v/>
      </c>
      <c r="D147" s="61" t="str">
        <f aca="false">IF($B147="","",ROUND(SUMIFS(对接源_01水果!$K$4:$K$1203,对接源_01水果!$C$4:$C$1203,$B147,对接源_01水果!$D$4:$D$1203,"其他代存*"),2))</f>
        <v/>
      </c>
      <c r="E147" s="61" t="str">
        <f aca="false">IF($B147="","",ROUND(SUMIFS(对接源_02物料!$K$4:$K$1203,对接源_02物料!$C$4:$C$1203,$B147,对接源_02物料!$D$4:$D$1203,"包装物料*"),2))</f>
        <v/>
      </c>
      <c r="F147" s="61" t="str">
        <f aca="false">IF($B147="","",ROUND(SUMIFS(对接源_02物料!$K$4:$K$1203,对接源_02物料!$C$4:$C$1203,$B147,对接源_02物料!$D$4:$D$1203,"周转筐*"),2))</f>
        <v/>
      </c>
      <c r="G147" s="61" t="str">
        <f aca="false">IF($B147="","",ROUND(SUMIFS(对接源_02物料!$K$4:$K$1203,对接源_02物料!$C$4:$C$1203,$B147,对接源_02物料!$D$4:$D$1203,"次果筐*"),2))</f>
        <v/>
      </c>
      <c r="H147" s="61" t="str">
        <f aca="false">IF($B147="","",ROUND(SUM($C147:$G147),2))</f>
        <v/>
      </c>
      <c r="I147" s="61" t="str">
        <f aca="false">IF($B147="","",ROUND(SUMIFS(对接源_01水果!$K$4:$K$1203,对接源_01水果!$C$4:$C$1203,$B147,对接源_01水果!$D$4:$D$1203,"成品出库*",对接源_01水果!$L$4:$L$1203,"已收讫")+SUMIFS(对接源_01水果!$K$4:$K$1203,对接源_01水果!$C$4:$C$1203,$B147,对接源_01水果!$D$4:$D$1203,"成品出库*",对接源_01水果!$L$4:$L$1203,"已付款")+SUMIFS(对接源_01水果!$K$4:$K$1203,对接源_01水果!$C$4:$C$1203,$B147,对接源_01水果!$D$4:$D$1203,"其他代存*",对接源_01水果!$L$4:$L$1203,"已收讫")+SUMIFS(对接源_01水果!$K$4:$K$1203,对接源_01水果!$C$4:$C$1203,$B147,对接源_01水果!$D$4:$D$1203,"其他代存*",对接源_01水果!$L$4:$L$1203,"已付款")+SUMIFS(对接源_02物料!$K$4:$K$1203,对接源_02物料!$C$4:$C$1203,$B147,对接源_02物料!$D$4:$D$1203,"包装物料*",对接源_02物料!$L$4:$L$1203,"已收讫")+SUMIFS(对接源_02物料!$K$4:$K$1203,对接源_02物料!$C$4:$C$1203,$B147,对接源_02物料!$D$4:$D$1203,"包装物料*",对接源_02物料!$L$4:$L$1203,"已付款")+SUMIFS(对接源_02物料!$K$4:$K$1203,对接源_02物料!$C$4:$C$1203,$B147,对接源_02物料!$D$4:$D$1203,"周转筐*",对接源_02物料!$L$4:$L$1203,"已收讫")+SUMIFS(对接源_02物料!$K$4:$K$1203,对接源_02物料!$C$4:$C$1203,$B147,对接源_02物料!$D$4:$D$1203,"周转筐*",对接源_02物料!$L$4:$L$1203,"已付款")+SUMIFS(对接源_02物料!$K$4:$K$1203,对接源_02物料!$C$4:$C$1203,$B147,对接源_02物料!$D$4:$D$1203,"次果筐*",对接源_02物料!$L$4:$L$1203,"已收讫")+SUMIFS(对接源_02物料!$K$4:$K$1203,对接源_02物料!$C$4:$C$1203,$B147,对接源_02物料!$D$4:$D$1203,"次果筐*",对接源_02物料!$L$4:$L$1203,"已付款"),2))</f>
        <v/>
      </c>
      <c r="J147" s="61" t="str">
        <f aca="false">IF($B147="","",ROUND(N($H147)-N($I147),2))</f>
        <v/>
      </c>
      <c r="K147" s="59" t="str">
        <f aca="false">IF($B147="","",IF(ROUND(N($J147),2)&gt;0,"对方欠款",IF(ROUND(N($J147),2)&lt;0,"我方欠款","已两清")))</f>
        <v/>
      </c>
      <c r="L147" s="105"/>
    </row>
    <row r="148" customFormat="false" ht="13.5" hidden="false" customHeight="false" outlineLevel="0" collapsed="false">
      <c r="A148" s="59" t="str">
        <f aca="false">IF($B148="","",ROW()-3)</f>
        <v/>
      </c>
      <c r="B148" s="104" t="str">
        <f aca="false">IFERROR(INDEX(_自动清单!$E$4:$E$303,ROW()-3),"")</f>
        <v/>
      </c>
      <c r="C148" s="61" t="str">
        <f aca="false">IF($B148="","",ROUND(SUMIFS(对接源_01水果!$K$4:$K$1203,对接源_01水果!$C$4:$C$1203,$B148,对接源_01水果!$D$4:$D$1203,"成品出库*"),2))</f>
        <v/>
      </c>
      <c r="D148" s="61" t="str">
        <f aca="false">IF($B148="","",ROUND(SUMIFS(对接源_01水果!$K$4:$K$1203,对接源_01水果!$C$4:$C$1203,$B148,对接源_01水果!$D$4:$D$1203,"其他代存*"),2))</f>
        <v/>
      </c>
      <c r="E148" s="61" t="str">
        <f aca="false">IF($B148="","",ROUND(SUMIFS(对接源_02物料!$K$4:$K$1203,对接源_02物料!$C$4:$C$1203,$B148,对接源_02物料!$D$4:$D$1203,"包装物料*"),2))</f>
        <v/>
      </c>
      <c r="F148" s="61" t="str">
        <f aca="false">IF($B148="","",ROUND(SUMIFS(对接源_02物料!$K$4:$K$1203,对接源_02物料!$C$4:$C$1203,$B148,对接源_02物料!$D$4:$D$1203,"周转筐*"),2))</f>
        <v/>
      </c>
      <c r="G148" s="61" t="str">
        <f aca="false">IF($B148="","",ROUND(SUMIFS(对接源_02物料!$K$4:$K$1203,对接源_02物料!$C$4:$C$1203,$B148,对接源_02物料!$D$4:$D$1203,"次果筐*"),2))</f>
        <v/>
      </c>
      <c r="H148" s="61" t="str">
        <f aca="false">IF($B148="","",ROUND(SUM($C148:$G148),2))</f>
        <v/>
      </c>
      <c r="I148" s="61" t="str">
        <f aca="false">IF($B148="","",ROUND(SUMIFS(对接源_01水果!$K$4:$K$1203,对接源_01水果!$C$4:$C$1203,$B148,对接源_01水果!$D$4:$D$1203,"成品出库*",对接源_01水果!$L$4:$L$1203,"已收讫")+SUMIFS(对接源_01水果!$K$4:$K$1203,对接源_01水果!$C$4:$C$1203,$B148,对接源_01水果!$D$4:$D$1203,"成品出库*",对接源_01水果!$L$4:$L$1203,"已付款")+SUMIFS(对接源_01水果!$K$4:$K$1203,对接源_01水果!$C$4:$C$1203,$B148,对接源_01水果!$D$4:$D$1203,"其他代存*",对接源_01水果!$L$4:$L$1203,"已收讫")+SUMIFS(对接源_01水果!$K$4:$K$1203,对接源_01水果!$C$4:$C$1203,$B148,对接源_01水果!$D$4:$D$1203,"其他代存*",对接源_01水果!$L$4:$L$1203,"已付款")+SUMIFS(对接源_02物料!$K$4:$K$1203,对接源_02物料!$C$4:$C$1203,$B148,对接源_02物料!$D$4:$D$1203,"包装物料*",对接源_02物料!$L$4:$L$1203,"已收讫")+SUMIFS(对接源_02物料!$K$4:$K$1203,对接源_02物料!$C$4:$C$1203,$B148,对接源_02物料!$D$4:$D$1203,"包装物料*",对接源_02物料!$L$4:$L$1203,"已付款")+SUMIFS(对接源_02物料!$K$4:$K$1203,对接源_02物料!$C$4:$C$1203,$B148,对接源_02物料!$D$4:$D$1203,"周转筐*",对接源_02物料!$L$4:$L$1203,"已收讫")+SUMIFS(对接源_02物料!$K$4:$K$1203,对接源_02物料!$C$4:$C$1203,$B148,对接源_02物料!$D$4:$D$1203,"周转筐*",对接源_02物料!$L$4:$L$1203,"已付款")+SUMIFS(对接源_02物料!$K$4:$K$1203,对接源_02物料!$C$4:$C$1203,$B148,对接源_02物料!$D$4:$D$1203,"次果筐*",对接源_02物料!$L$4:$L$1203,"已收讫")+SUMIFS(对接源_02物料!$K$4:$K$1203,对接源_02物料!$C$4:$C$1203,$B148,对接源_02物料!$D$4:$D$1203,"次果筐*",对接源_02物料!$L$4:$L$1203,"已付款"),2))</f>
        <v/>
      </c>
      <c r="J148" s="61" t="str">
        <f aca="false">IF($B148="","",ROUND(N($H148)-N($I148),2))</f>
        <v/>
      </c>
      <c r="K148" s="59" t="str">
        <f aca="false">IF($B148="","",IF(ROUND(N($J148),2)&gt;0,"对方欠款",IF(ROUND(N($J148),2)&lt;0,"我方欠款","已两清")))</f>
        <v/>
      </c>
      <c r="L148" s="105"/>
    </row>
    <row r="149" customFormat="false" ht="13.5" hidden="false" customHeight="false" outlineLevel="0" collapsed="false">
      <c r="A149" s="59" t="str">
        <f aca="false">IF($B149="","",ROW()-3)</f>
        <v/>
      </c>
      <c r="B149" s="104" t="str">
        <f aca="false">IFERROR(INDEX(_自动清单!$E$4:$E$303,ROW()-3),"")</f>
        <v/>
      </c>
      <c r="C149" s="61" t="str">
        <f aca="false">IF($B149="","",ROUND(SUMIFS(对接源_01水果!$K$4:$K$1203,对接源_01水果!$C$4:$C$1203,$B149,对接源_01水果!$D$4:$D$1203,"成品出库*"),2))</f>
        <v/>
      </c>
      <c r="D149" s="61" t="str">
        <f aca="false">IF($B149="","",ROUND(SUMIFS(对接源_01水果!$K$4:$K$1203,对接源_01水果!$C$4:$C$1203,$B149,对接源_01水果!$D$4:$D$1203,"其他代存*"),2))</f>
        <v/>
      </c>
      <c r="E149" s="61" t="str">
        <f aca="false">IF($B149="","",ROUND(SUMIFS(对接源_02物料!$K$4:$K$1203,对接源_02物料!$C$4:$C$1203,$B149,对接源_02物料!$D$4:$D$1203,"包装物料*"),2))</f>
        <v/>
      </c>
      <c r="F149" s="61" t="str">
        <f aca="false">IF($B149="","",ROUND(SUMIFS(对接源_02物料!$K$4:$K$1203,对接源_02物料!$C$4:$C$1203,$B149,对接源_02物料!$D$4:$D$1203,"周转筐*"),2))</f>
        <v/>
      </c>
      <c r="G149" s="61" t="str">
        <f aca="false">IF($B149="","",ROUND(SUMIFS(对接源_02物料!$K$4:$K$1203,对接源_02物料!$C$4:$C$1203,$B149,对接源_02物料!$D$4:$D$1203,"次果筐*"),2))</f>
        <v/>
      </c>
      <c r="H149" s="61" t="str">
        <f aca="false">IF($B149="","",ROUND(SUM($C149:$G149),2))</f>
        <v/>
      </c>
      <c r="I149" s="61" t="str">
        <f aca="false">IF($B149="","",ROUND(SUMIFS(对接源_01水果!$K$4:$K$1203,对接源_01水果!$C$4:$C$1203,$B149,对接源_01水果!$D$4:$D$1203,"成品出库*",对接源_01水果!$L$4:$L$1203,"已收讫")+SUMIFS(对接源_01水果!$K$4:$K$1203,对接源_01水果!$C$4:$C$1203,$B149,对接源_01水果!$D$4:$D$1203,"成品出库*",对接源_01水果!$L$4:$L$1203,"已付款")+SUMIFS(对接源_01水果!$K$4:$K$1203,对接源_01水果!$C$4:$C$1203,$B149,对接源_01水果!$D$4:$D$1203,"其他代存*",对接源_01水果!$L$4:$L$1203,"已收讫")+SUMIFS(对接源_01水果!$K$4:$K$1203,对接源_01水果!$C$4:$C$1203,$B149,对接源_01水果!$D$4:$D$1203,"其他代存*",对接源_01水果!$L$4:$L$1203,"已付款")+SUMIFS(对接源_02物料!$K$4:$K$1203,对接源_02物料!$C$4:$C$1203,$B149,对接源_02物料!$D$4:$D$1203,"包装物料*",对接源_02物料!$L$4:$L$1203,"已收讫")+SUMIFS(对接源_02物料!$K$4:$K$1203,对接源_02物料!$C$4:$C$1203,$B149,对接源_02物料!$D$4:$D$1203,"包装物料*",对接源_02物料!$L$4:$L$1203,"已付款")+SUMIFS(对接源_02物料!$K$4:$K$1203,对接源_02物料!$C$4:$C$1203,$B149,对接源_02物料!$D$4:$D$1203,"周转筐*",对接源_02物料!$L$4:$L$1203,"已收讫")+SUMIFS(对接源_02物料!$K$4:$K$1203,对接源_02物料!$C$4:$C$1203,$B149,对接源_02物料!$D$4:$D$1203,"周转筐*",对接源_02物料!$L$4:$L$1203,"已付款")+SUMIFS(对接源_02物料!$K$4:$K$1203,对接源_02物料!$C$4:$C$1203,$B149,对接源_02物料!$D$4:$D$1203,"次果筐*",对接源_02物料!$L$4:$L$1203,"已收讫")+SUMIFS(对接源_02物料!$K$4:$K$1203,对接源_02物料!$C$4:$C$1203,$B149,对接源_02物料!$D$4:$D$1203,"次果筐*",对接源_02物料!$L$4:$L$1203,"已付款"),2))</f>
        <v/>
      </c>
      <c r="J149" s="61" t="str">
        <f aca="false">IF($B149="","",ROUND(N($H149)-N($I149),2))</f>
        <v/>
      </c>
      <c r="K149" s="59" t="str">
        <f aca="false">IF($B149="","",IF(ROUND(N($J149),2)&gt;0,"对方欠款",IF(ROUND(N($J149),2)&lt;0,"我方欠款","已两清")))</f>
        <v/>
      </c>
      <c r="L149" s="105"/>
    </row>
    <row r="150" customFormat="false" ht="13.5" hidden="false" customHeight="false" outlineLevel="0" collapsed="false">
      <c r="A150" s="59" t="str">
        <f aca="false">IF($B150="","",ROW()-3)</f>
        <v/>
      </c>
      <c r="B150" s="104" t="str">
        <f aca="false">IFERROR(INDEX(_自动清单!$E$4:$E$303,ROW()-3),"")</f>
        <v/>
      </c>
      <c r="C150" s="61" t="str">
        <f aca="false">IF($B150="","",ROUND(SUMIFS(对接源_01水果!$K$4:$K$1203,对接源_01水果!$C$4:$C$1203,$B150,对接源_01水果!$D$4:$D$1203,"成品出库*"),2))</f>
        <v/>
      </c>
      <c r="D150" s="61" t="str">
        <f aca="false">IF($B150="","",ROUND(SUMIFS(对接源_01水果!$K$4:$K$1203,对接源_01水果!$C$4:$C$1203,$B150,对接源_01水果!$D$4:$D$1203,"其他代存*"),2))</f>
        <v/>
      </c>
      <c r="E150" s="61" t="str">
        <f aca="false">IF($B150="","",ROUND(SUMIFS(对接源_02物料!$K$4:$K$1203,对接源_02物料!$C$4:$C$1203,$B150,对接源_02物料!$D$4:$D$1203,"包装物料*"),2))</f>
        <v/>
      </c>
      <c r="F150" s="61" t="str">
        <f aca="false">IF($B150="","",ROUND(SUMIFS(对接源_02物料!$K$4:$K$1203,对接源_02物料!$C$4:$C$1203,$B150,对接源_02物料!$D$4:$D$1203,"周转筐*"),2))</f>
        <v/>
      </c>
      <c r="G150" s="61" t="str">
        <f aca="false">IF($B150="","",ROUND(SUMIFS(对接源_02物料!$K$4:$K$1203,对接源_02物料!$C$4:$C$1203,$B150,对接源_02物料!$D$4:$D$1203,"次果筐*"),2))</f>
        <v/>
      </c>
      <c r="H150" s="61" t="str">
        <f aca="false">IF($B150="","",ROUND(SUM($C150:$G150),2))</f>
        <v/>
      </c>
      <c r="I150" s="61" t="str">
        <f aca="false">IF($B150="","",ROUND(SUMIFS(对接源_01水果!$K$4:$K$1203,对接源_01水果!$C$4:$C$1203,$B150,对接源_01水果!$D$4:$D$1203,"成品出库*",对接源_01水果!$L$4:$L$1203,"已收讫")+SUMIFS(对接源_01水果!$K$4:$K$1203,对接源_01水果!$C$4:$C$1203,$B150,对接源_01水果!$D$4:$D$1203,"成品出库*",对接源_01水果!$L$4:$L$1203,"已付款")+SUMIFS(对接源_01水果!$K$4:$K$1203,对接源_01水果!$C$4:$C$1203,$B150,对接源_01水果!$D$4:$D$1203,"其他代存*",对接源_01水果!$L$4:$L$1203,"已收讫")+SUMIFS(对接源_01水果!$K$4:$K$1203,对接源_01水果!$C$4:$C$1203,$B150,对接源_01水果!$D$4:$D$1203,"其他代存*",对接源_01水果!$L$4:$L$1203,"已付款")+SUMIFS(对接源_02物料!$K$4:$K$1203,对接源_02物料!$C$4:$C$1203,$B150,对接源_02物料!$D$4:$D$1203,"包装物料*",对接源_02物料!$L$4:$L$1203,"已收讫")+SUMIFS(对接源_02物料!$K$4:$K$1203,对接源_02物料!$C$4:$C$1203,$B150,对接源_02物料!$D$4:$D$1203,"包装物料*",对接源_02物料!$L$4:$L$1203,"已付款")+SUMIFS(对接源_02物料!$K$4:$K$1203,对接源_02物料!$C$4:$C$1203,$B150,对接源_02物料!$D$4:$D$1203,"周转筐*",对接源_02物料!$L$4:$L$1203,"已收讫")+SUMIFS(对接源_02物料!$K$4:$K$1203,对接源_02物料!$C$4:$C$1203,$B150,对接源_02物料!$D$4:$D$1203,"周转筐*",对接源_02物料!$L$4:$L$1203,"已付款")+SUMIFS(对接源_02物料!$K$4:$K$1203,对接源_02物料!$C$4:$C$1203,$B150,对接源_02物料!$D$4:$D$1203,"次果筐*",对接源_02物料!$L$4:$L$1203,"已收讫")+SUMIFS(对接源_02物料!$K$4:$K$1203,对接源_02物料!$C$4:$C$1203,$B150,对接源_02物料!$D$4:$D$1203,"次果筐*",对接源_02物料!$L$4:$L$1203,"已付款"),2))</f>
        <v/>
      </c>
      <c r="J150" s="61" t="str">
        <f aca="false">IF($B150="","",ROUND(N($H150)-N($I150),2))</f>
        <v/>
      </c>
      <c r="K150" s="59" t="str">
        <f aca="false">IF($B150="","",IF(ROUND(N($J150),2)&gt;0,"对方欠款",IF(ROUND(N($J150),2)&lt;0,"我方欠款","已两清")))</f>
        <v/>
      </c>
      <c r="L150" s="105"/>
    </row>
    <row r="151" customFormat="false" ht="13.5" hidden="false" customHeight="false" outlineLevel="0" collapsed="false">
      <c r="A151" s="59" t="str">
        <f aca="false">IF($B151="","",ROW()-3)</f>
        <v/>
      </c>
      <c r="B151" s="104" t="str">
        <f aca="false">IFERROR(INDEX(_自动清单!$E$4:$E$303,ROW()-3),"")</f>
        <v/>
      </c>
      <c r="C151" s="61" t="str">
        <f aca="false">IF($B151="","",ROUND(SUMIFS(对接源_01水果!$K$4:$K$1203,对接源_01水果!$C$4:$C$1203,$B151,对接源_01水果!$D$4:$D$1203,"成品出库*"),2))</f>
        <v/>
      </c>
      <c r="D151" s="61" t="str">
        <f aca="false">IF($B151="","",ROUND(SUMIFS(对接源_01水果!$K$4:$K$1203,对接源_01水果!$C$4:$C$1203,$B151,对接源_01水果!$D$4:$D$1203,"其他代存*"),2))</f>
        <v/>
      </c>
      <c r="E151" s="61" t="str">
        <f aca="false">IF($B151="","",ROUND(SUMIFS(对接源_02物料!$K$4:$K$1203,对接源_02物料!$C$4:$C$1203,$B151,对接源_02物料!$D$4:$D$1203,"包装物料*"),2))</f>
        <v/>
      </c>
      <c r="F151" s="61" t="str">
        <f aca="false">IF($B151="","",ROUND(SUMIFS(对接源_02物料!$K$4:$K$1203,对接源_02物料!$C$4:$C$1203,$B151,对接源_02物料!$D$4:$D$1203,"周转筐*"),2))</f>
        <v/>
      </c>
      <c r="G151" s="61" t="str">
        <f aca="false">IF($B151="","",ROUND(SUMIFS(对接源_02物料!$K$4:$K$1203,对接源_02物料!$C$4:$C$1203,$B151,对接源_02物料!$D$4:$D$1203,"次果筐*"),2))</f>
        <v/>
      </c>
      <c r="H151" s="61" t="str">
        <f aca="false">IF($B151="","",ROUND(SUM($C151:$G151),2))</f>
        <v/>
      </c>
      <c r="I151" s="61" t="str">
        <f aca="false">IF($B151="","",ROUND(SUMIFS(对接源_01水果!$K$4:$K$1203,对接源_01水果!$C$4:$C$1203,$B151,对接源_01水果!$D$4:$D$1203,"成品出库*",对接源_01水果!$L$4:$L$1203,"已收讫")+SUMIFS(对接源_01水果!$K$4:$K$1203,对接源_01水果!$C$4:$C$1203,$B151,对接源_01水果!$D$4:$D$1203,"成品出库*",对接源_01水果!$L$4:$L$1203,"已付款")+SUMIFS(对接源_01水果!$K$4:$K$1203,对接源_01水果!$C$4:$C$1203,$B151,对接源_01水果!$D$4:$D$1203,"其他代存*",对接源_01水果!$L$4:$L$1203,"已收讫")+SUMIFS(对接源_01水果!$K$4:$K$1203,对接源_01水果!$C$4:$C$1203,$B151,对接源_01水果!$D$4:$D$1203,"其他代存*",对接源_01水果!$L$4:$L$1203,"已付款")+SUMIFS(对接源_02物料!$K$4:$K$1203,对接源_02物料!$C$4:$C$1203,$B151,对接源_02物料!$D$4:$D$1203,"包装物料*",对接源_02物料!$L$4:$L$1203,"已收讫")+SUMIFS(对接源_02物料!$K$4:$K$1203,对接源_02物料!$C$4:$C$1203,$B151,对接源_02物料!$D$4:$D$1203,"包装物料*",对接源_02物料!$L$4:$L$1203,"已付款")+SUMIFS(对接源_02物料!$K$4:$K$1203,对接源_02物料!$C$4:$C$1203,$B151,对接源_02物料!$D$4:$D$1203,"周转筐*",对接源_02物料!$L$4:$L$1203,"已收讫")+SUMIFS(对接源_02物料!$K$4:$K$1203,对接源_02物料!$C$4:$C$1203,$B151,对接源_02物料!$D$4:$D$1203,"周转筐*",对接源_02物料!$L$4:$L$1203,"已付款")+SUMIFS(对接源_02物料!$K$4:$K$1203,对接源_02物料!$C$4:$C$1203,$B151,对接源_02物料!$D$4:$D$1203,"次果筐*",对接源_02物料!$L$4:$L$1203,"已收讫")+SUMIFS(对接源_02物料!$K$4:$K$1203,对接源_02物料!$C$4:$C$1203,$B151,对接源_02物料!$D$4:$D$1203,"次果筐*",对接源_02物料!$L$4:$L$1203,"已付款"),2))</f>
        <v/>
      </c>
      <c r="J151" s="61" t="str">
        <f aca="false">IF($B151="","",ROUND(N($H151)-N($I151),2))</f>
        <v/>
      </c>
      <c r="K151" s="59" t="str">
        <f aca="false">IF($B151="","",IF(ROUND(N($J151),2)&gt;0,"对方欠款",IF(ROUND(N($J151),2)&lt;0,"我方欠款","已两清")))</f>
        <v/>
      </c>
      <c r="L151" s="105"/>
    </row>
    <row r="152" customFormat="false" ht="13.5" hidden="false" customHeight="false" outlineLevel="0" collapsed="false">
      <c r="A152" s="59" t="str">
        <f aca="false">IF($B152="","",ROW()-3)</f>
        <v/>
      </c>
      <c r="B152" s="104" t="str">
        <f aca="false">IFERROR(INDEX(_自动清单!$E$4:$E$303,ROW()-3),"")</f>
        <v/>
      </c>
      <c r="C152" s="61" t="str">
        <f aca="false">IF($B152="","",ROUND(SUMIFS(对接源_01水果!$K$4:$K$1203,对接源_01水果!$C$4:$C$1203,$B152,对接源_01水果!$D$4:$D$1203,"成品出库*"),2))</f>
        <v/>
      </c>
      <c r="D152" s="61" t="str">
        <f aca="false">IF($B152="","",ROUND(SUMIFS(对接源_01水果!$K$4:$K$1203,对接源_01水果!$C$4:$C$1203,$B152,对接源_01水果!$D$4:$D$1203,"其他代存*"),2))</f>
        <v/>
      </c>
      <c r="E152" s="61" t="str">
        <f aca="false">IF($B152="","",ROUND(SUMIFS(对接源_02物料!$K$4:$K$1203,对接源_02物料!$C$4:$C$1203,$B152,对接源_02物料!$D$4:$D$1203,"包装物料*"),2))</f>
        <v/>
      </c>
      <c r="F152" s="61" t="str">
        <f aca="false">IF($B152="","",ROUND(SUMIFS(对接源_02物料!$K$4:$K$1203,对接源_02物料!$C$4:$C$1203,$B152,对接源_02物料!$D$4:$D$1203,"周转筐*"),2))</f>
        <v/>
      </c>
      <c r="G152" s="61" t="str">
        <f aca="false">IF($B152="","",ROUND(SUMIFS(对接源_02物料!$K$4:$K$1203,对接源_02物料!$C$4:$C$1203,$B152,对接源_02物料!$D$4:$D$1203,"次果筐*"),2))</f>
        <v/>
      </c>
      <c r="H152" s="61" t="str">
        <f aca="false">IF($B152="","",ROUND(SUM($C152:$G152),2))</f>
        <v/>
      </c>
      <c r="I152" s="61" t="str">
        <f aca="false">IF($B152="","",ROUND(SUMIFS(对接源_01水果!$K$4:$K$1203,对接源_01水果!$C$4:$C$1203,$B152,对接源_01水果!$D$4:$D$1203,"成品出库*",对接源_01水果!$L$4:$L$1203,"已收讫")+SUMIFS(对接源_01水果!$K$4:$K$1203,对接源_01水果!$C$4:$C$1203,$B152,对接源_01水果!$D$4:$D$1203,"成品出库*",对接源_01水果!$L$4:$L$1203,"已付款")+SUMIFS(对接源_01水果!$K$4:$K$1203,对接源_01水果!$C$4:$C$1203,$B152,对接源_01水果!$D$4:$D$1203,"其他代存*",对接源_01水果!$L$4:$L$1203,"已收讫")+SUMIFS(对接源_01水果!$K$4:$K$1203,对接源_01水果!$C$4:$C$1203,$B152,对接源_01水果!$D$4:$D$1203,"其他代存*",对接源_01水果!$L$4:$L$1203,"已付款")+SUMIFS(对接源_02物料!$K$4:$K$1203,对接源_02物料!$C$4:$C$1203,$B152,对接源_02物料!$D$4:$D$1203,"包装物料*",对接源_02物料!$L$4:$L$1203,"已收讫")+SUMIFS(对接源_02物料!$K$4:$K$1203,对接源_02物料!$C$4:$C$1203,$B152,对接源_02物料!$D$4:$D$1203,"包装物料*",对接源_02物料!$L$4:$L$1203,"已付款")+SUMIFS(对接源_02物料!$K$4:$K$1203,对接源_02物料!$C$4:$C$1203,$B152,对接源_02物料!$D$4:$D$1203,"周转筐*",对接源_02物料!$L$4:$L$1203,"已收讫")+SUMIFS(对接源_02物料!$K$4:$K$1203,对接源_02物料!$C$4:$C$1203,$B152,对接源_02物料!$D$4:$D$1203,"周转筐*",对接源_02物料!$L$4:$L$1203,"已付款")+SUMIFS(对接源_02物料!$K$4:$K$1203,对接源_02物料!$C$4:$C$1203,$B152,对接源_02物料!$D$4:$D$1203,"次果筐*",对接源_02物料!$L$4:$L$1203,"已收讫")+SUMIFS(对接源_02物料!$K$4:$K$1203,对接源_02物料!$C$4:$C$1203,$B152,对接源_02物料!$D$4:$D$1203,"次果筐*",对接源_02物料!$L$4:$L$1203,"已付款"),2))</f>
        <v/>
      </c>
      <c r="J152" s="61" t="str">
        <f aca="false">IF($B152="","",ROUND(N($H152)-N($I152),2))</f>
        <v/>
      </c>
      <c r="K152" s="59" t="str">
        <f aca="false">IF($B152="","",IF(ROUND(N($J152),2)&gt;0,"对方欠款",IF(ROUND(N($J152),2)&lt;0,"我方欠款","已两清")))</f>
        <v/>
      </c>
      <c r="L152" s="105"/>
    </row>
    <row r="153" customFormat="false" ht="13.5" hidden="false" customHeight="false" outlineLevel="0" collapsed="false">
      <c r="A153" s="59" t="str">
        <f aca="false">IF($B153="","",ROW()-3)</f>
        <v/>
      </c>
      <c r="B153" s="104" t="str">
        <f aca="false">IFERROR(INDEX(_自动清单!$E$4:$E$303,ROW()-3),"")</f>
        <v/>
      </c>
      <c r="C153" s="61" t="str">
        <f aca="false">IF($B153="","",ROUND(SUMIFS(对接源_01水果!$K$4:$K$1203,对接源_01水果!$C$4:$C$1203,$B153,对接源_01水果!$D$4:$D$1203,"成品出库*"),2))</f>
        <v/>
      </c>
      <c r="D153" s="61" t="str">
        <f aca="false">IF($B153="","",ROUND(SUMIFS(对接源_01水果!$K$4:$K$1203,对接源_01水果!$C$4:$C$1203,$B153,对接源_01水果!$D$4:$D$1203,"其他代存*"),2))</f>
        <v/>
      </c>
      <c r="E153" s="61" t="str">
        <f aca="false">IF($B153="","",ROUND(SUMIFS(对接源_02物料!$K$4:$K$1203,对接源_02物料!$C$4:$C$1203,$B153,对接源_02物料!$D$4:$D$1203,"包装物料*"),2))</f>
        <v/>
      </c>
      <c r="F153" s="61" t="str">
        <f aca="false">IF($B153="","",ROUND(SUMIFS(对接源_02物料!$K$4:$K$1203,对接源_02物料!$C$4:$C$1203,$B153,对接源_02物料!$D$4:$D$1203,"周转筐*"),2))</f>
        <v/>
      </c>
      <c r="G153" s="61" t="str">
        <f aca="false">IF($B153="","",ROUND(SUMIFS(对接源_02物料!$K$4:$K$1203,对接源_02物料!$C$4:$C$1203,$B153,对接源_02物料!$D$4:$D$1203,"次果筐*"),2))</f>
        <v/>
      </c>
      <c r="H153" s="61" t="str">
        <f aca="false">IF($B153="","",ROUND(SUM($C153:$G153),2))</f>
        <v/>
      </c>
      <c r="I153" s="61" t="str">
        <f aca="false">IF($B153="","",ROUND(SUMIFS(对接源_01水果!$K$4:$K$1203,对接源_01水果!$C$4:$C$1203,$B153,对接源_01水果!$D$4:$D$1203,"成品出库*",对接源_01水果!$L$4:$L$1203,"已收讫")+SUMIFS(对接源_01水果!$K$4:$K$1203,对接源_01水果!$C$4:$C$1203,$B153,对接源_01水果!$D$4:$D$1203,"成品出库*",对接源_01水果!$L$4:$L$1203,"已付款")+SUMIFS(对接源_01水果!$K$4:$K$1203,对接源_01水果!$C$4:$C$1203,$B153,对接源_01水果!$D$4:$D$1203,"其他代存*",对接源_01水果!$L$4:$L$1203,"已收讫")+SUMIFS(对接源_01水果!$K$4:$K$1203,对接源_01水果!$C$4:$C$1203,$B153,对接源_01水果!$D$4:$D$1203,"其他代存*",对接源_01水果!$L$4:$L$1203,"已付款")+SUMIFS(对接源_02物料!$K$4:$K$1203,对接源_02物料!$C$4:$C$1203,$B153,对接源_02物料!$D$4:$D$1203,"包装物料*",对接源_02物料!$L$4:$L$1203,"已收讫")+SUMIFS(对接源_02物料!$K$4:$K$1203,对接源_02物料!$C$4:$C$1203,$B153,对接源_02物料!$D$4:$D$1203,"包装物料*",对接源_02物料!$L$4:$L$1203,"已付款")+SUMIFS(对接源_02物料!$K$4:$K$1203,对接源_02物料!$C$4:$C$1203,$B153,对接源_02物料!$D$4:$D$1203,"周转筐*",对接源_02物料!$L$4:$L$1203,"已收讫")+SUMIFS(对接源_02物料!$K$4:$K$1203,对接源_02物料!$C$4:$C$1203,$B153,对接源_02物料!$D$4:$D$1203,"周转筐*",对接源_02物料!$L$4:$L$1203,"已付款")+SUMIFS(对接源_02物料!$K$4:$K$1203,对接源_02物料!$C$4:$C$1203,$B153,对接源_02物料!$D$4:$D$1203,"次果筐*",对接源_02物料!$L$4:$L$1203,"已收讫")+SUMIFS(对接源_02物料!$K$4:$K$1203,对接源_02物料!$C$4:$C$1203,$B153,对接源_02物料!$D$4:$D$1203,"次果筐*",对接源_02物料!$L$4:$L$1203,"已付款"),2))</f>
        <v/>
      </c>
      <c r="J153" s="61" t="str">
        <f aca="false">IF($B153="","",ROUND(N($H153)-N($I153),2))</f>
        <v/>
      </c>
      <c r="K153" s="59" t="str">
        <f aca="false">IF($B153="","",IF(ROUND(N($J153),2)&gt;0,"对方欠款",IF(ROUND(N($J153),2)&lt;0,"我方欠款","已两清")))</f>
        <v/>
      </c>
      <c r="L153" s="105"/>
    </row>
    <row r="154" customFormat="false" ht="13.5" hidden="false" customHeight="false" outlineLevel="0" collapsed="false">
      <c r="A154" s="59" t="str">
        <f aca="false">IF($B154="","",ROW()-3)</f>
        <v/>
      </c>
      <c r="B154" s="104" t="str">
        <f aca="false">IFERROR(INDEX(_自动清单!$E$4:$E$303,ROW()-3),"")</f>
        <v/>
      </c>
      <c r="C154" s="61" t="str">
        <f aca="false">IF($B154="","",ROUND(SUMIFS(对接源_01水果!$K$4:$K$1203,对接源_01水果!$C$4:$C$1203,$B154,对接源_01水果!$D$4:$D$1203,"成品出库*"),2))</f>
        <v/>
      </c>
      <c r="D154" s="61" t="str">
        <f aca="false">IF($B154="","",ROUND(SUMIFS(对接源_01水果!$K$4:$K$1203,对接源_01水果!$C$4:$C$1203,$B154,对接源_01水果!$D$4:$D$1203,"其他代存*"),2))</f>
        <v/>
      </c>
      <c r="E154" s="61" t="str">
        <f aca="false">IF($B154="","",ROUND(SUMIFS(对接源_02物料!$K$4:$K$1203,对接源_02物料!$C$4:$C$1203,$B154,对接源_02物料!$D$4:$D$1203,"包装物料*"),2))</f>
        <v/>
      </c>
      <c r="F154" s="61" t="str">
        <f aca="false">IF($B154="","",ROUND(SUMIFS(对接源_02物料!$K$4:$K$1203,对接源_02物料!$C$4:$C$1203,$B154,对接源_02物料!$D$4:$D$1203,"周转筐*"),2))</f>
        <v/>
      </c>
      <c r="G154" s="61" t="str">
        <f aca="false">IF($B154="","",ROUND(SUMIFS(对接源_02物料!$K$4:$K$1203,对接源_02物料!$C$4:$C$1203,$B154,对接源_02物料!$D$4:$D$1203,"次果筐*"),2))</f>
        <v/>
      </c>
      <c r="H154" s="61" t="str">
        <f aca="false">IF($B154="","",ROUND(SUM($C154:$G154),2))</f>
        <v/>
      </c>
      <c r="I154" s="61" t="str">
        <f aca="false">IF($B154="","",ROUND(SUMIFS(对接源_01水果!$K$4:$K$1203,对接源_01水果!$C$4:$C$1203,$B154,对接源_01水果!$D$4:$D$1203,"成品出库*",对接源_01水果!$L$4:$L$1203,"已收讫")+SUMIFS(对接源_01水果!$K$4:$K$1203,对接源_01水果!$C$4:$C$1203,$B154,对接源_01水果!$D$4:$D$1203,"成品出库*",对接源_01水果!$L$4:$L$1203,"已付款")+SUMIFS(对接源_01水果!$K$4:$K$1203,对接源_01水果!$C$4:$C$1203,$B154,对接源_01水果!$D$4:$D$1203,"其他代存*",对接源_01水果!$L$4:$L$1203,"已收讫")+SUMIFS(对接源_01水果!$K$4:$K$1203,对接源_01水果!$C$4:$C$1203,$B154,对接源_01水果!$D$4:$D$1203,"其他代存*",对接源_01水果!$L$4:$L$1203,"已付款")+SUMIFS(对接源_02物料!$K$4:$K$1203,对接源_02物料!$C$4:$C$1203,$B154,对接源_02物料!$D$4:$D$1203,"包装物料*",对接源_02物料!$L$4:$L$1203,"已收讫")+SUMIFS(对接源_02物料!$K$4:$K$1203,对接源_02物料!$C$4:$C$1203,$B154,对接源_02物料!$D$4:$D$1203,"包装物料*",对接源_02物料!$L$4:$L$1203,"已付款")+SUMIFS(对接源_02物料!$K$4:$K$1203,对接源_02物料!$C$4:$C$1203,$B154,对接源_02物料!$D$4:$D$1203,"周转筐*",对接源_02物料!$L$4:$L$1203,"已收讫")+SUMIFS(对接源_02物料!$K$4:$K$1203,对接源_02物料!$C$4:$C$1203,$B154,对接源_02物料!$D$4:$D$1203,"周转筐*",对接源_02物料!$L$4:$L$1203,"已付款")+SUMIFS(对接源_02物料!$K$4:$K$1203,对接源_02物料!$C$4:$C$1203,$B154,对接源_02物料!$D$4:$D$1203,"次果筐*",对接源_02物料!$L$4:$L$1203,"已收讫")+SUMIFS(对接源_02物料!$K$4:$K$1203,对接源_02物料!$C$4:$C$1203,$B154,对接源_02物料!$D$4:$D$1203,"次果筐*",对接源_02物料!$L$4:$L$1203,"已付款"),2))</f>
        <v/>
      </c>
      <c r="J154" s="61" t="str">
        <f aca="false">IF($B154="","",ROUND(N($H154)-N($I154),2))</f>
        <v/>
      </c>
      <c r="K154" s="59" t="str">
        <f aca="false">IF($B154="","",IF(ROUND(N($J154),2)&gt;0,"对方欠款",IF(ROUND(N($J154),2)&lt;0,"我方欠款","已两清")))</f>
        <v/>
      </c>
      <c r="L154" s="105"/>
    </row>
    <row r="155" customFormat="false" ht="13.5" hidden="false" customHeight="false" outlineLevel="0" collapsed="false">
      <c r="A155" s="59" t="str">
        <f aca="false">IF($B155="","",ROW()-3)</f>
        <v/>
      </c>
      <c r="B155" s="104" t="str">
        <f aca="false">IFERROR(INDEX(_自动清单!$E$4:$E$303,ROW()-3),"")</f>
        <v/>
      </c>
      <c r="C155" s="61" t="str">
        <f aca="false">IF($B155="","",ROUND(SUMIFS(对接源_01水果!$K$4:$K$1203,对接源_01水果!$C$4:$C$1203,$B155,对接源_01水果!$D$4:$D$1203,"成品出库*"),2))</f>
        <v/>
      </c>
      <c r="D155" s="61" t="str">
        <f aca="false">IF($B155="","",ROUND(SUMIFS(对接源_01水果!$K$4:$K$1203,对接源_01水果!$C$4:$C$1203,$B155,对接源_01水果!$D$4:$D$1203,"其他代存*"),2))</f>
        <v/>
      </c>
      <c r="E155" s="61" t="str">
        <f aca="false">IF($B155="","",ROUND(SUMIFS(对接源_02物料!$K$4:$K$1203,对接源_02物料!$C$4:$C$1203,$B155,对接源_02物料!$D$4:$D$1203,"包装物料*"),2))</f>
        <v/>
      </c>
      <c r="F155" s="61" t="str">
        <f aca="false">IF($B155="","",ROUND(SUMIFS(对接源_02物料!$K$4:$K$1203,对接源_02物料!$C$4:$C$1203,$B155,对接源_02物料!$D$4:$D$1203,"周转筐*"),2))</f>
        <v/>
      </c>
      <c r="G155" s="61" t="str">
        <f aca="false">IF($B155="","",ROUND(SUMIFS(对接源_02物料!$K$4:$K$1203,对接源_02物料!$C$4:$C$1203,$B155,对接源_02物料!$D$4:$D$1203,"次果筐*"),2))</f>
        <v/>
      </c>
      <c r="H155" s="61" t="str">
        <f aca="false">IF($B155="","",ROUND(SUM($C155:$G155),2))</f>
        <v/>
      </c>
      <c r="I155" s="61" t="str">
        <f aca="false">IF($B155="","",ROUND(SUMIFS(对接源_01水果!$K$4:$K$1203,对接源_01水果!$C$4:$C$1203,$B155,对接源_01水果!$D$4:$D$1203,"成品出库*",对接源_01水果!$L$4:$L$1203,"已收讫")+SUMIFS(对接源_01水果!$K$4:$K$1203,对接源_01水果!$C$4:$C$1203,$B155,对接源_01水果!$D$4:$D$1203,"成品出库*",对接源_01水果!$L$4:$L$1203,"已付款")+SUMIFS(对接源_01水果!$K$4:$K$1203,对接源_01水果!$C$4:$C$1203,$B155,对接源_01水果!$D$4:$D$1203,"其他代存*",对接源_01水果!$L$4:$L$1203,"已收讫")+SUMIFS(对接源_01水果!$K$4:$K$1203,对接源_01水果!$C$4:$C$1203,$B155,对接源_01水果!$D$4:$D$1203,"其他代存*",对接源_01水果!$L$4:$L$1203,"已付款")+SUMIFS(对接源_02物料!$K$4:$K$1203,对接源_02物料!$C$4:$C$1203,$B155,对接源_02物料!$D$4:$D$1203,"包装物料*",对接源_02物料!$L$4:$L$1203,"已收讫")+SUMIFS(对接源_02物料!$K$4:$K$1203,对接源_02物料!$C$4:$C$1203,$B155,对接源_02物料!$D$4:$D$1203,"包装物料*",对接源_02物料!$L$4:$L$1203,"已付款")+SUMIFS(对接源_02物料!$K$4:$K$1203,对接源_02物料!$C$4:$C$1203,$B155,对接源_02物料!$D$4:$D$1203,"周转筐*",对接源_02物料!$L$4:$L$1203,"已收讫")+SUMIFS(对接源_02物料!$K$4:$K$1203,对接源_02物料!$C$4:$C$1203,$B155,对接源_02物料!$D$4:$D$1203,"周转筐*",对接源_02物料!$L$4:$L$1203,"已付款")+SUMIFS(对接源_02物料!$K$4:$K$1203,对接源_02物料!$C$4:$C$1203,$B155,对接源_02物料!$D$4:$D$1203,"次果筐*",对接源_02物料!$L$4:$L$1203,"已收讫")+SUMIFS(对接源_02物料!$K$4:$K$1203,对接源_02物料!$C$4:$C$1203,$B155,对接源_02物料!$D$4:$D$1203,"次果筐*",对接源_02物料!$L$4:$L$1203,"已付款"),2))</f>
        <v/>
      </c>
      <c r="J155" s="61" t="str">
        <f aca="false">IF($B155="","",ROUND(N($H155)-N($I155),2))</f>
        <v/>
      </c>
      <c r="K155" s="59" t="str">
        <f aca="false">IF($B155="","",IF(ROUND(N($J155),2)&gt;0,"对方欠款",IF(ROUND(N($J155),2)&lt;0,"我方欠款","已两清")))</f>
        <v/>
      </c>
      <c r="L155" s="105"/>
    </row>
    <row r="156" customFormat="false" ht="13.5" hidden="false" customHeight="false" outlineLevel="0" collapsed="false">
      <c r="A156" s="59" t="str">
        <f aca="false">IF($B156="","",ROW()-3)</f>
        <v/>
      </c>
      <c r="B156" s="104" t="str">
        <f aca="false">IFERROR(INDEX(_自动清单!$E$4:$E$303,ROW()-3),"")</f>
        <v/>
      </c>
      <c r="C156" s="61" t="str">
        <f aca="false">IF($B156="","",ROUND(SUMIFS(对接源_01水果!$K$4:$K$1203,对接源_01水果!$C$4:$C$1203,$B156,对接源_01水果!$D$4:$D$1203,"成品出库*"),2))</f>
        <v/>
      </c>
      <c r="D156" s="61" t="str">
        <f aca="false">IF($B156="","",ROUND(SUMIFS(对接源_01水果!$K$4:$K$1203,对接源_01水果!$C$4:$C$1203,$B156,对接源_01水果!$D$4:$D$1203,"其他代存*"),2))</f>
        <v/>
      </c>
      <c r="E156" s="61" t="str">
        <f aca="false">IF($B156="","",ROUND(SUMIFS(对接源_02物料!$K$4:$K$1203,对接源_02物料!$C$4:$C$1203,$B156,对接源_02物料!$D$4:$D$1203,"包装物料*"),2))</f>
        <v/>
      </c>
      <c r="F156" s="61" t="str">
        <f aca="false">IF($B156="","",ROUND(SUMIFS(对接源_02物料!$K$4:$K$1203,对接源_02物料!$C$4:$C$1203,$B156,对接源_02物料!$D$4:$D$1203,"周转筐*"),2))</f>
        <v/>
      </c>
      <c r="G156" s="61" t="str">
        <f aca="false">IF($B156="","",ROUND(SUMIFS(对接源_02物料!$K$4:$K$1203,对接源_02物料!$C$4:$C$1203,$B156,对接源_02物料!$D$4:$D$1203,"次果筐*"),2))</f>
        <v/>
      </c>
      <c r="H156" s="61" t="str">
        <f aca="false">IF($B156="","",ROUND(SUM($C156:$G156),2))</f>
        <v/>
      </c>
      <c r="I156" s="61" t="str">
        <f aca="false">IF($B156="","",ROUND(SUMIFS(对接源_01水果!$K$4:$K$1203,对接源_01水果!$C$4:$C$1203,$B156,对接源_01水果!$D$4:$D$1203,"成品出库*",对接源_01水果!$L$4:$L$1203,"已收讫")+SUMIFS(对接源_01水果!$K$4:$K$1203,对接源_01水果!$C$4:$C$1203,$B156,对接源_01水果!$D$4:$D$1203,"成品出库*",对接源_01水果!$L$4:$L$1203,"已付款")+SUMIFS(对接源_01水果!$K$4:$K$1203,对接源_01水果!$C$4:$C$1203,$B156,对接源_01水果!$D$4:$D$1203,"其他代存*",对接源_01水果!$L$4:$L$1203,"已收讫")+SUMIFS(对接源_01水果!$K$4:$K$1203,对接源_01水果!$C$4:$C$1203,$B156,对接源_01水果!$D$4:$D$1203,"其他代存*",对接源_01水果!$L$4:$L$1203,"已付款")+SUMIFS(对接源_02物料!$K$4:$K$1203,对接源_02物料!$C$4:$C$1203,$B156,对接源_02物料!$D$4:$D$1203,"包装物料*",对接源_02物料!$L$4:$L$1203,"已收讫")+SUMIFS(对接源_02物料!$K$4:$K$1203,对接源_02物料!$C$4:$C$1203,$B156,对接源_02物料!$D$4:$D$1203,"包装物料*",对接源_02物料!$L$4:$L$1203,"已付款")+SUMIFS(对接源_02物料!$K$4:$K$1203,对接源_02物料!$C$4:$C$1203,$B156,对接源_02物料!$D$4:$D$1203,"周转筐*",对接源_02物料!$L$4:$L$1203,"已收讫")+SUMIFS(对接源_02物料!$K$4:$K$1203,对接源_02物料!$C$4:$C$1203,$B156,对接源_02物料!$D$4:$D$1203,"周转筐*",对接源_02物料!$L$4:$L$1203,"已付款")+SUMIFS(对接源_02物料!$K$4:$K$1203,对接源_02物料!$C$4:$C$1203,$B156,对接源_02物料!$D$4:$D$1203,"次果筐*",对接源_02物料!$L$4:$L$1203,"已收讫")+SUMIFS(对接源_02物料!$K$4:$K$1203,对接源_02物料!$C$4:$C$1203,$B156,对接源_02物料!$D$4:$D$1203,"次果筐*",对接源_02物料!$L$4:$L$1203,"已付款"),2))</f>
        <v/>
      </c>
      <c r="J156" s="61" t="str">
        <f aca="false">IF($B156="","",ROUND(N($H156)-N($I156),2))</f>
        <v/>
      </c>
      <c r="K156" s="59" t="str">
        <f aca="false">IF($B156="","",IF(ROUND(N($J156),2)&gt;0,"对方欠款",IF(ROUND(N($J156),2)&lt;0,"我方欠款","已两清")))</f>
        <v/>
      </c>
      <c r="L156" s="105"/>
    </row>
    <row r="157" customFormat="false" ht="13.5" hidden="false" customHeight="false" outlineLevel="0" collapsed="false">
      <c r="A157" s="59" t="str">
        <f aca="false">IF($B157="","",ROW()-3)</f>
        <v/>
      </c>
      <c r="B157" s="104" t="str">
        <f aca="false">IFERROR(INDEX(_自动清单!$E$4:$E$303,ROW()-3),"")</f>
        <v/>
      </c>
      <c r="C157" s="61" t="str">
        <f aca="false">IF($B157="","",ROUND(SUMIFS(对接源_01水果!$K$4:$K$1203,对接源_01水果!$C$4:$C$1203,$B157,对接源_01水果!$D$4:$D$1203,"成品出库*"),2))</f>
        <v/>
      </c>
      <c r="D157" s="61" t="str">
        <f aca="false">IF($B157="","",ROUND(SUMIFS(对接源_01水果!$K$4:$K$1203,对接源_01水果!$C$4:$C$1203,$B157,对接源_01水果!$D$4:$D$1203,"其他代存*"),2))</f>
        <v/>
      </c>
      <c r="E157" s="61" t="str">
        <f aca="false">IF($B157="","",ROUND(SUMIFS(对接源_02物料!$K$4:$K$1203,对接源_02物料!$C$4:$C$1203,$B157,对接源_02物料!$D$4:$D$1203,"包装物料*"),2))</f>
        <v/>
      </c>
      <c r="F157" s="61" t="str">
        <f aca="false">IF($B157="","",ROUND(SUMIFS(对接源_02物料!$K$4:$K$1203,对接源_02物料!$C$4:$C$1203,$B157,对接源_02物料!$D$4:$D$1203,"周转筐*"),2))</f>
        <v/>
      </c>
      <c r="G157" s="61" t="str">
        <f aca="false">IF($B157="","",ROUND(SUMIFS(对接源_02物料!$K$4:$K$1203,对接源_02物料!$C$4:$C$1203,$B157,对接源_02物料!$D$4:$D$1203,"次果筐*"),2))</f>
        <v/>
      </c>
      <c r="H157" s="61" t="str">
        <f aca="false">IF($B157="","",ROUND(SUM($C157:$G157),2))</f>
        <v/>
      </c>
      <c r="I157" s="61" t="str">
        <f aca="false">IF($B157="","",ROUND(SUMIFS(对接源_01水果!$K$4:$K$1203,对接源_01水果!$C$4:$C$1203,$B157,对接源_01水果!$D$4:$D$1203,"成品出库*",对接源_01水果!$L$4:$L$1203,"已收讫")+SUMIFS(对接源_01水果!$K$4:$K$1203,对接源_01水果!$C$4:$C$1203,$B157,对接源_01水果!$D$4:$D$1203,"成品出库*",对接源_01水果!$L$4:$L$1203,"已付款")+SUMIFS(对接源_01水果!$K$4:$K$1203,对接源_01水果!$C$4:$C$1203,$B157,对接源_01水果!$D$4:$D$1203,"其他代存*",对接源_01水果!$L$4:$L$1203,"已收讫")+SUMIFS(对接源_01水果!$K$4:$K$1203,对接源_01水果!$C$4:$C$1203,$B157,对接源_01水果!$D$4:$D$1203,"其他代存*",对接源_01水果!$L$4:$L$1203,"已付款")+SUMIFS(对接源_02物料!$K$4:$K$1203,对接源_02物料!$C$4:$C$1203,$B157,对接源_02物料!$D$4:$D$1203,"包装物料*",对接源_02物料!$L$4:$L$1203,"已收讫")+SUMIFS(对接源_02物料!$K$4:$K$1203,对接源_02物料!$C$4:$C$1203,$B157,对接源_02物料!$D$4:$D$1203,"包装物料*",对接源_02物料!$L$4:$L$1203,"已付款")+SUMIFS(对接源_02物料!$K$4:$K$1203,对接源_02物料!$C$4:$C$1203,$B157,对接源_02物料!$D$4:$D$1203,"周转筐*",对接源_02物料!$L$4:$L$1203,"已收讫")+SUMIFS(对接源_02物料!$K$4:$K$1203,对接源_02物料!$C$4:$C$1203,$B157,对接源_02物料!$D$4:$D$1203,"周转筐*",对接源_02物料!$L$4:$L$1203,"已付款")+SUMIFS(对接源_02物料!$K$4:$K$1203,对接源_02物料!$C$4:$C$1203,$B157,对接源_02物料!$D$4:$D$1203,"次果筐*",对接源_02物料!$L$4:$L$1203,"已收讫")+SUMIFS(对接源_02物料!$K$4:$K$1203,对接源_02物料!$C$4:$C$1203,$B157,对接源_02物料!$D$4:$D$1203,"次果筐*",对接源_02物料!$L$4:$L$1203,"已付款"),2))</f>
        <v/>
      </c>
      <c r="J157" s="61" t="str">
        <f aca="false">IF($B157="","",ROUND(N($H157)-N($I157),2))</f>
        <v/>
      </c>
      <c r="K157" s="59" t="str">
        <f aca="false">IF($B157="","",IF(ROUND(N($J157),2)&gt;0,"对方欠款",IF(ROUND(N($J157),2)&lt;0,"我方欠款","已两清")))</f>
        <v/>
      </c>
      <c r="L157" s="105"/>
    </row>
    <row r="158" customFormat="false" ht="13.5" hidden="false" customHeight="false" outlineLevel="0" collapsed="false">
      <c r="A158" s="59" t="str">
        <f aca="false">IF($B158="","",ROW()-3)</f>
        <v/>
      </c>
      <c r="B158" s="104" t="str">
        <f aca="false">IFERROR(INDEX(_自动清单!$E$4:$E$303,ROW()-3),"")</f>
        <v/>
      </c>
      <c r="C158" s="61" t="str">
        <f aca="false">IF($B158="","",ROUND(SUMIFS(对接源_01水果!$K$4:$K$1203,对接源_01水果!$C$4:$C$1203,$B158,对接源_01水果!$D$4:$D$1203,"成品出库*"),2))</f>
        <v/>
      </c>
      <c r="D158" s="61" t="str">
        <f aca="false">IF($B158="","",ROUND(SUMIFS(对接源_01水果!$K$4:$K$1203,对接源_01水果!$C$4:$C$1203,$B158,对接源_01水果!$D$4:$D$1203,"其他代存*"),2))</f>
        <v/>
      </c>
      <c r="E158" s="61" t="str">
        <f aca="false">IF($B158="","",ROUND(SUMIFS(对接源_02物料!$K$4:$K$1203,对接源_02物料!$C$4:$C$1203,$B158,对接源_02物料!$D$4:$D$1203,"包装物料*"),2))</f>
        <v/>
      </c>
      <c r="F158" s="61" t="str">
        <f aca="false">IF($B158="","",ROUND(SUMIFS(对接源_02物料!$K$4:$K$1203,对接源_02物料!$C$4:$C$1203,$B158,对接源_02物料!$D$4:$D$1203,"周转筐*"),2))</f>
        <v/>
      </c>
      <c r="G158" s="61" t="str">
        <f aca="false">IF($B158="","",ROUND(SUMIFS(对接源_02物料!$K$4:$K$1203,对接源_02物料!$C$4:$C$1203,$B158,对接源_02物料!$D$4:$D$1203,"次果筐*"),2))</f>
        <v/>
      </c>
      <c r="H158" s="61" t="str">
        <f aca="false">IF($B158="","",ROUND(SUM($C158:$G158),2))</f>
        <v/>
      </c>
      <c r="I158" s="61" t="str">
        <f aca="false">IF($B158="","",ROUND(SUMIFS(对接源_01水果!$K$4:$K$1203,对接源_01水果!$C$4:$C$1203,$B158,对接源_01水果!$D$4:$D$1203,"成品出库*",对接源_01水果!$L$4:$L$1203,"已收讫")+SUMIFS(对接源_01水果!$K$4:$K$1203,对接源_01水果!$C$4:$C$1203,$B158,对接源_01水果!$D$4:$D$1203,"成品出库*",对接源_01水果!$L$4:$L$1203,"已付款")+SUMIFS(对接源_01水果!$K$4:$K$1203,对接源_01水果!$C$4:$C$1203,$B158,对接源_01水果!$D$4:$D$1203,"其他代存*",对接源_01水果!$L$4:$L$1203,"已收讫")+SUMIFS(对接源_01水果!$K$4:$K$1203,对接源_01水果!$C$4:$C$1203,$B158,对接源_01水果!$D$4:$D$1203,"其他代存*",对接源_01水果!$L$4:$L$1203,"已付款")+SUMIFS(对接源_02物料!$K$4:$K$1203,对接源_02物料!$C$4:$C$1203,$B158,对接源_02物料!$D$4:$D$1203,"包装物料*",对接源_02物料!$L$4:$L$1203,"已收讫")+SUMIFS(对接源_02物料!$K$4:$K$1203,对接源_02物料!$C$4:$C$1203,$B158,对接源_02物料!$D$4:$D$1203,"包装物料*",对接源_02物料!$L$4:$L$1203,"已付款")+SUMIFS(对接源_02物料!$K$4:$K$1203,对接源_02物料!$C$4:$C$1203,$B158,对接源_02物料!$D$4:$D$1203,"周转筐*",对接源_02物料!$L$4:$L$1203,"已收讫")+SUMIFS(对接源_02物料!$K$4:$K$1203,对接源_02物料!$C$4:$C$1203,$B158,对接源_02物料!$D$4:$D$1203,"周转筐*",对接源_02物料!$L$4:$L$1203,"已付款")+SUMIFS(对接源_02物料!$K$4:$K$1203,对接源_02物料!$C$4:$C$1203,$B158,对接源_02物料!$D$4:$D$1203,"次果筐*",对接源_02物料!$L$4:$L$1203,"已收讫")+SUMIFS(对接源_02物料!$K$4:$K$1203,对接源_02物料!$C$4:$C$1203,$B158,对接源_02物料!$D$4:$D$1203,"次果筐*",对接源_02物料!$L$4:$L$1203,"已付款"),2))</f>
        <v/>
      </c>
      <c r="J158" s="61" t="str">
        <f aca="false">IF($B158="","",ROUND(N($H158)-N($I158),2))</f>
        <v/>
      </c>
      <c r="K158" s="59" t="str">
        <f aca="false">IF($B158="","",IF(ROUND(N($J158),2)&gt;0,"对方欠款",IF(ROUND(N($J158),2)&lt;0,"我方欠款","已两清")))</f>
        <v/>
      </c>
      <c r="L158" s="105"/>
    </row>
    <row r="159" customFormat="false" ht="13.5" hidden="false" customHeight="false" outlineLevel="0" collapsed="false">
      <c r="A159" s="59" t="str">
        <f aca="false">IF($B159="","",ROW()-3)</f>
        <v/>
      </c>
      <c r="B159" s="104" t="str">
        <f aca="false">IFERROR(INDEX(_自动清单!$E$4:$E$303,ROW()-3),"")</f>
        <v/>
      </c>
      <c r="C159" s="61" t="str">
        <f aca="false">IF($B159="","",ROUND(SUMIFS(对接源_01水果!$K$4:$K$1203,对接源_01水果!$C$4:$C$1203,$B159,对接源_01水果!$D$4:$D$1203,"成品出库*"),2))</f>
        <v/>
      </c>
      <c r="D159" s="61" t="str">
        <f aca="false">IF($B159="","",ROUND(SUMIFS(对接源_01水果!$K$4:$K$1203,对接源_01水果!$C$4:$C$1203,$B159,对接源_01水果!$D$4:$D$1203,"其他代存*"),2))</f>
        <v/>
      </c>
      <c r="E159" s="61" t="str">
        <f aca="false">IF($B159="","",ROUND(SUMIFS(对接源_02物料!$K$4:$K$1203,对接源_02物料!$C$4:$C$1203,$B159,对接源_02物料!$D$4:$D$1203,"包装物料*"),2))</f>
        <v/>
      </c>
      <c r="F159" s="61" t="str">
        <f aca="false">IF($B159="","",ROUND(SUMIFS(对接源_02物料!$K$4:$K$1203,对接源_02物料!$C$4:$C$1203,$B159,对接源_02物料!$D$4:$D$1203,"周转筐*"),2))</f>
        <v/>
      </c>
      <c r="G159" s="61" t="str">
        <f aca="false">IF($B159="","",ROUND(SUMIFS(对接源_02物料!$K$4:$K$1203,对接源_02物料!$C$4:$C$1203,$B159,对接源_02物料!$D$4:$D$1203,"次果筐*"),2))</f>
        <v/>
      </c>
      <c r="H159" s="61" t="str">
        <f aca="false">IF($B159="","",ROUND(SUM($C159:$G159),2))</f>
        <v/>
      </c>
      <c r="I159" s="61" t="str">
        <f aca="false">IF($B159="","",ROUND(SUMIFS(对接源_01水果!$K$4:$K$1203,对接源_01水果!$C$4:$C$1203,$B159,对接源_01水果!$D$4:$D$1203,"成品出库*",对接源_01水果!$L$4:$L$1203,"已收讫")+SUMIFS(对接源_01水果!$K$4:$K$1203,对接源_01水果!$C$4:$C$1203,$B159,对接源_01水果!$D$4:$D$1203,"成品出库*",对接源_01水果!$L$4:$L$1203,"已付款")+SUMIFS(对接源_01水果!$K$4:$K$1203,对接源_01水果!$C$4:$C$1203,$B159,对接源_01水果!$D$4:$D$1203,"其他代存*",对接源_01水果!$L$4:$L$1203,"已收讫")+SUMIFS(对接源_01水果!$K$4:$K$1203,对接源_01水果!$C$4:$C$1203,$B159,对接源_01水果!$D$4:$D$1203,"其他代存*",对接源_01水果!$L$4:$L$1203,"已付款")+SUMIFS(对接源_02物料!$K$4:$K$1203,对接源_02物料!$C$4:$C$1203,$B159,对接源_02物料!$D$4:$D$1203,"包装物料*",对接源_02物料!$L$4:$L$1203,"已收讫")+SUMIFS(对接源_02物料!$K$4:$K$1203,对接源_02物料!$C$4:$C$1203,$B159,对接源_02物料!$D$4:$D$1203,"包装物料*",对接源_02物料!$L$4:$L$1203,"已付款")+SUMIFS(对接源_02物料!$K$4:$K$1203,对接源_02物料!$C$4:$C$1203,$B159,对接源_02物料!$D$4:$D$1203,"周转筐*",对接源_02物料!$L$4:$L$1203,"已收讫")+SUMIFS(对接源_02物料!$K$4:$K$1203,对接源_02物料!$C$4:$C$1203,$B159,对接源_02物料!$D$4:$D$1203,"周转筐*",对接源_02物料!$L$4:$L$1203,"已付款")+SUMIFS(对接源_02物料!$K$4:$K$1203,对接源_02物料!$C$4:$C$1203,$B159,对接源_02物料!$D$4:$D$1203,"次果筐*",对接源_02物料!$L$4:$L$1203,"已收讫")+SUMIFS(对接源_02物料!$K$4:$K$1203,对接源_02物料!$C$4:$C$1203,$B159,对接源_02物料!$D$4:$D$1203,"次果筐*",对接源_02物料!$L$4:$L$1203,"已付款"),2))</f>
        <v/>
      </c>
      <c r="J159" s="61" t="str">
        <f aca="false">IF($B159="","",ROUND(N($H159)-N($I159),2))</f>
        <v/>
      </c>
      <c r="K159" s="59" t="str">
        <f aca="false">IF($B159="","",IF(ROUND(N($J159),2)&gt;0,"对方欠款",IF(ROUND(N($J159),2)&lt;0,"我方欠款","已两清")))</f>
        <v/>
      </c>
      <c r="L159" s="105"/>
    </row>
    <row r="160" customFormat="false" ht="13.5" hidden="false" customHeight="false" outlineLevel="0" collapsed="false">
      <c r="A160" s="59" t="str">
        <f aca="false">IF($B160="","",ROW()-3)</f>
        <v/>
      </c>
      <c r="B160" s="104" t="str">
        <f aca="false">IFERROR(INDEX(_自动清单!$E$4:$E$303,ROW()-3),"")</f>
        <v/>
      </c>
      <c r="C160" s="61" t="str">
        <f aca="false">IF($B160="","",ROUND(SUMIFS(对接源_01水果!$K$4:$K$1203,对接源_01水果!$C$4:$C$1203,$B160,对接源_01水果!$D$4:$D$1203,"成品出库*"),2))</f>
        <v/>
      </c>
      <c r="D160" s="61" t="str">
        <f aca="false">IF($B160="","",ROUND(SUMIFS(对接源_01水果!$K$4:$K$1203,对接源_01水果!$C$4:$C$1203,$B160,对接源_01水果!$D$4:$D$1203,"其他代存*"),2))</f>
        <v/>
      </c>
      <c r="E160" s="61" t="str">
        <f aca="false">IF($B160="","",ROUND(SUMIFS(对接源_02物料!$K$4:$K$1203,对接源_02物料!$C$4:$C$1203,$B160,对接源_02物料!$D$4:$D$1203,"包装物料*"),2))</f>
        <v/>
      </c>
      <c r="F160" s="61" t="str">
        <f aca="false">IF($B160="","",ROUND(SUMIFS(对接源_02物料!$K$4:$K$1203,对接源_02物料!$C$4:$C$1203,$B160,对接源_02物料!$D$4:$D$1203,"周转筐*"),2))</f>
        <v/>
      </c>
      <c r="G160" s="61" t="str">
        <f aca="false">IF($B160="","",ROUND(SUMIFS(对接源_02物料!$K$4:$K$1203,对接源_02物料!$C$4:$C$1203,$B160,对接源_02物料!$D$4:$D$1203,"次果筐*"),2))</f>
        <v/>
      </c>
      <c r="H160" s="61" t="str">
        <f aca="false">IF($B160="","",ROUND(SUM($C160:$G160),2))</f>
        <v/>
      </c>
      <c r="I160" s="61" t="str">
        <f aca="false">IF($B160="","",ROUND(SUMIFS(对接源_01水果!$K$4:$K$1203,对接源_01水果!$C$4:$C$1203,$B160,对接源_01水果!$D$4:$D$1203,"成品出库*",对接源_01水果!$L$4:$L$1203,"已收讫")+SUMIFS(对接源_01水果!$K$4:$K$1203,对接源_01水果!$C$4:$C$1203,$B160,对接源_01水果!$D$4:$D$1203,"成品出库*",对接源_01水果!$L$4:$L$1203,"已付款")+SUMIFS(对接源_01水果!$K$4:$K$1203,对接源_01水果!$C$4:$C$1203,$B160,对接源_01水果!$D$4:$D$1203,"其他代存*",对接源_01水果!$L$4:$L$1203,"已收讫")+SUMIFS(对接源_01水果!$K$4:$K$1203,对接源_01水果!$C$4:$C$1203,$B160,对接源_01水果!$D$4:$D$1203,"其他代存*",对接源_01水果!$L$4:$L$1203,"已付款")+SUMIFS(对接源_02物料!$K$4:$K$1203,对接源_02物料!$C$4:$C$1203,$B160,对接源_02物料!$D$4:$D$1203,"包装物料*",对接源_02物料!$L$4:$L$1203,"已收讫")+SUMIFS(对接源_02物料!$K$4:$K$1203,对接源_02物料!$C$4:$C$1203,$B160,对接源_02物料!$D$4:$D$1203,"包装物料*",对接源_02物料!$L$4:$L$1203,"已付款")+SUMIFS(对接源_02物料!$K$4:$K$1203,对接源_02物料!$C$4:$C$1203,$B160,对接源_02物料!$D$4:$D$1203,"周转筐*",对接源_02物料!$L$4:$L$1203,"已收讫")+SUMIFS(对接源_02物料!$K$4:$K$1203,对接源_02物料!$C$4:$C$1203,$B160,对接源_02物料!$D$4:$D$1203,"周转筐*",对接源_02物料!$L$4:$L$1203,"已付款")+SUMIFS(对接源_02物料!$K$4:$K$1203,对接源_02物料!$C$4:$C$1203,$B160,对接源_02物料!$D$4:$D$1203,"次果筐*",对接源_02物料!$L$4:$L$1203,"已收讫")+SUMIFS(对接源_02物料!$K$4:$K$1203,对接源_02物料!$C$4:$C$1203,$B160,对接源_02物料!$D$4:$D$1203,"次果筐*",对接源_02物料!$L$4:$L$1203,"已付款"),2))</f>
        <v/>
      </c>
      <c r="J160" s="61" t="str">
        <f aca="false">IF($B160="","",ROUND(N($H160)-N($I160),2))</f>
        <v/>
      </c>
      <c r="K160" s="59" t="str">
        <f aca="false">IF($B160="","",IF(ROUND(N($J160),2)&gt;0,"对方欠款",IF(ROUND(N($J160),2)&lt;0,"我方欠款","已两清")))</f>
        <v/>
      </c>
      <c r="L160" s="105"/>
    </row>
    <row r="161" customFormat="false" ht="13.5" hidden="false" customHeight="false" outlineLevel="0" collapsed="false">
      <c r="A161" s="59" t="str">
        <f aca="false">IF($B161="","",ROW()-3)</f>
        <v/>
      </c>
      <c r="B161" s="104" t="str">
        <f aca="false">IFERROR(INDEX(_自动清单!$E$4:$E$303,ROW()-3),"")</f>
        <v/>
      </c>
      <c r="C161" s="61" t="str">
        <f aca="false">IF($B161="","",ROUND(SUMIFS(对接源_01水果!$K$4:$K$1203,对接源_01水果!$C$4:$C$1203,$B161,对接源_01水果!$D$4:$D$1203,"成品出库*"),2))</f>
        <v/>
      </c>
      <c r="D161" s="61" t="str">
        <f aca="false">IF($B161="","",ROUND(SUMIFS(对接源_01水果!$K$4:$K$1203,对接源_01水果!$C$4:$C$1203,$B161,对接源_01水果!$D$4:$D$1203,"其他代存*"),2))</f>
        <v/>
      </c>
      <c r="E161" s="61" t="str">
        <f aca="false">IF($B161="","",ROUND(SUMIFS(对接源_02物料!$K$4:$K$1203,对接源_02物料!$C$4:$C$1203,$B161,对接源_02物料!$D$4:$D$1203,"包装物料*"),2))</f>
        <v/>
      </c>
      <c r="F161" s="61" t="str">
        <f aca="false">IF($B161="","",ROUND(SUMIFS(对接源_02物料!$K$4:$K$1203,对接源_02物料!$C$4:$C$1203,$B161,对接源_02物料!$D$4:$D$1203,"周转筐*"),2))</f>
        <v/>
      </c>
      <c r="G161" s="61" t="str">
        <f aca="false">IF($B161="","",ROUND(SUMIFS(对接源_02物料!$K$4:$K$1203,对接源_02物料!$C$4:$C$1203,$B161,对接源_02物料!$D$4:$D$1203,"次果筐*"),2))</f>
        <v/>
      </c>
      <c r="H161" s="61" t="str">
        <f aca="false">IF($B161="","",ROUND(SUM($C161:$G161),2))</f>
        <v/>
      </c>
      <c r="I161" s="61" t="str">
        <f aca="false">IF($B161="","",ROUND(SUMIFS(对接源_01水果!$K$4:$K$1203,对接源_01水果!$C$4:$C$1203,$B161,对接源_01水果!$D$4:$D$1203,"成品出库*",对接源_01水果!$L$4:$L$1203,"已收讫")+SUMIFS(对接源_01水果!$K$4:$K$1203,对接源_01水果!$C$4:$C$1203,$B161,对接源_01水果!$D$4:$D$1203,"成品出库*",对接源_01水果!$L$4:$L$1203,"已付款")+SUMIFS(对接源_01水果!$K$4:$K$1203,对接源_01水果!$C$4:$C$1203,$B161,对接源_01水果!$D$4:$D$1203,"其他代存*",对接源_01水果!$L$4:$L$1203,"已收讫")+SUMIFS(对接源_01水果!$K$4:$K$1203,对接源_01水果!$C$4:$C$1203,$B161,对接源_01水果!$D$4:$D$1203,"其他代存*",对接源_01水果!$L$4:$L$1203,"已付款")+SUMIFS(对接源_02物料!$K$4:$K$1203,对接源_02物料!$C$4:$C$1203,$B161,对接源_02物料!$D$4:$D$1203,"包装物料*",对接源_02物料!$L$4:$L$1203,"已收讫")+SUMIFS(对接源_02物料!$K$4:$K$1203,对接源_02物料!$C$4:$C$1203,$B161,对接源_02物料!$D$4:$D$1203,"包装物料*",对接源_02物料!$L$4:$L$1203,"已付款")+SUMIFS(对接源_02物料!$K$4:$K$1203,对接源_02物料!$C$4:$C$1203,$B161,对接源_02物料!$D$4:$D$1203,"周转筐*",对接源_02物料!$L$4:$L$1203,"已收讫")+SUMIFS(对接源_02物料!$K$4:$K$1203,对接源_02物料!$C$4:$C$1203,$B161,对接源_02物料!$D$4:$D$1203,"周转筐*",对接源_02物料!$L$4:$L$1203,"已付款")+SUMIFS(对接源_02物料!$K$4:$K$1203,对接源_02物料!$C$4:$C$1203,$B161,对接源_02物料!$D$4:$D$1203,"次果筐*",对接源_02物料!$L$4:$L$1203,"已收讫")+SUMIFS(对接源_02物料!$K$4:$K$1203,对接源_02物料!$C$4:$C$1203,$B161,对接源_02物料!$D$4:$D$1203,"次果筐*",对接源_02物料!$L$4:$L$1203,"已付款"),2))</f>
        <v/>
      </c>
      <c r="J161" s="61" t="str">
        <f aca="false">IF($B161="","",ROUND(N($H161)-N($I161),2))</f>
        <v/>
      </c>
      <c r="K161" s="59" t="str">
        <f aca="false">IF($B161="","",IF(ROUND(N($J161),2)&gt;0,"对方欠款",IF(ROUND(N($J161),2)&lt;0,"我方欠款","已两清")))</f>
        <v/>
      </c>
      <c r="L161" s="105"/>
    </row>
    <row r="162" customFormat="false" ht="13.5" hidden="false" customHeight="false" outlineLevel="0" collapsed="false">
      <c r="A162" s="59" t="str">
        <f aca="false">IF($B162="","",ROW()-3)</f>
        <v/>
      </c>
      <c r="B162" s="104" t="str">
        <f aca="false">IFERROR(INDEX(_自动清单!$E$4:$E$303,ROW()-3),"")</f>
        <v/>
      </c>
      <c r="C162" s="61" t="str">
        <f aca="false">IF($B162="","",ROUND(SUMIFS(对接源_01水果!$K$4:$K$1203,对接源_01水果!$C$4:$C$1203,$B162,对接源_01水果!$D$4:$D$1203,"成品出库*"),2))</f>
        <v/>
      </c>
      <c r="D162" s="61" t="str">
        <f aca="false">IF($B162="","",ROUND(SUMIFS(对接源_01水果!$K$4:$K$1203,对接源_01水果!$C$4:$C$1203,$B162,对接源_01水果!$D$4:$D$1203,"其他代存*"),2))</f>
        <v/>
      </c>
      <c r="E162" s="61" t="str">
        <f aca="false">IF($B162="","",ROUND(SUMIFS(对接源_02物料!$K$4:$K$1203,对接源_02物料!$C$4:$C$1203,$B162,对接源_02物料!$D$4:$D$1203,"包装物料*"),2))</f>
        <v/>
      </c>
      <c r="F162" s="61" t="str">
        <f aca="false">IF($B162="","",ROUND(SUMIFS(对接源_02物料!$K$4:$K$1203,对接源_02物料!$C$4:$C$1203,$B162,对接源_02物料!$D$4:$D$1203,"周转筐*"),2))</f>
        <v/>
      </c>
      <c r="G162" s="61" t="str">
        <f aca="false">IF($B162="","",ROUND(SUMIFS(对接源_02物料!$K$4:$K$1203,对接源_02物料!$C$4:$C$1203,$B162,对接源_02物料!$D$4:$D$1203,"次果筐*"),2))</f>
        <v/>
      </c>
      <c r="H162" s="61" t="str">
        <f aca="false">IF($B162="","",ROUND(SUM($C162:$G162),2))</f>
        <v/>
      </c>
      <c r="I162" s="61" t="str">
        <f aca="false">IF($B162="","",ROUND(SUMIFS(对接源_01水果!$K$4:$K$1203,对接源_01水果!$C$4:$C$1203,$B162,对接源_01水果!$D$4:$D$1203,"成品出库*",对接源_01水果!$L$4:$L$1203,"已收讫")+SUMIFS(对接源_01水果!$K$4:$K$1203,对接源_01水果!$C$4:$C$1203,$B162,对接源_01水果!$D$4:$D$1203,"成品出库*",对接源_01水果!$L$4:$L$1203,"已付款")+SUMIFS(对接源_01水果!$K$4:$K$1203,对接源_01水果!$C$4:$C$1203,$B162,对接源_01水果!$D$4:$D$1203,"其他代存*",对接源_01水果!$L$4:$L$1203,"已收讫")+SUMIFS(对接源_01水果!$K$4:$K$1203,对接源_01水果!$C$4:$C$1203,$B162,对接源_01水果!$D$4:$D$1203,"其他代存*",对接源_01水果!$L$4:$L$1203,"已付款")+SUMIFS(对接源_02物料!$K$4:$K$1203,对接源_02物料!$C$4:$C$1203,$B162,对接源_02物料!$D$4:$D$1203,"包装物料*",对接源_02物料!$L$4:$L$1203,"已收讫")+SUMIFS(对接源_02物料!$K$4:$K$1203,对接源_02物料!$C$4:$C$1203,$B162,对接源_02物料!$D$4:$D$1203,"包装物料*",对接源_02物料!$L$4:$L$1203,"已付款")+SUMIFS(对接源_02物料!$K$4:$K$1203,对接源_02物料!$C$4:$C$1203,$B162,对接源_02物料!$D$4:$D$1203,"周转筐*",对接源_02物料!$L$4:$L$1203,"已收讫")+SUMIFS(对接源_02物料!$K$4:$K$1203,对接源_02物料!$C$4:$C$1203,$B162,对接源_02物料!$D$4:$D$1203,"周转筐*",对接源_02物料!$L$4:$L$1203,"已付款")+SUMIFS(对接源_02物料!$K$4:$K$1203,对接源_02物料!$C$4:$C$1203,$B162,对接源_02物料!$D$4:$D$1203,"次果筐*",对接源_02物料!$L$4:$L$1203,"已收讫")+SUMIFS(对接源_02物料!$K$4:$K$1203,对接源_02物料!$C$4:$C$1203,$B162,对接源_02物料!$D$4:$D$1203,"次果筐*",对接源_02物料!$L$4:$L$1203,"已付款"),2))</f>
        <v/>
      </c>
      <c r="J162" s="61" t="str">
        <f aca="false">IF($B162="","",ROUND(N($H162)-N($I162),2))</f>
        <v/>
      </c>
      <c r="K162" s="59" t="str">
        <f aca="false">IF($B162="","",IF(ROUND(N($J162),2)&gt;0,"对方欠款",IF(ROUND(N($J162),2)&lt;0,"我方欠款","已两清")))</f>
        <v/>
      </c>
      <c r="L162" s="105"/>
    </row>
    <row r="163" customFormat="false" ht="13.5" hidden="false" customHeight="false" outlineLevel="0" collapsed="false">
      <c r="A163" s="59" t="str">
        <f aca="false">IF($B163="","",ROW()-3)</f>
        <v/>
      </c>
      <c r="B163" s="104" t="str">
        <f aca="false">IFERROR(INDEX(_自动清单!$E$4:$E$303,ROW()-3),"")</f>
        <v/>
      </c>
      <c r="C163" s="61" t="str">
        <f aca="false">IF($B163="","",ROUND(SUMIFS(对接源_01水果!$K$4:$K$1203,对接源_01水果!$C$4:$C$1203,$B163,对接源_01水果!$D$4:$D$1203,"成品出库*"),2))</f>
        <v/>
      </c>
      <c r="D163" s="61" t="str">
        <f aca="false">IF($B163="","",ROUND(SUMIFS(对接源_01水果!$K$4:$K$1203,对接源_01水果!$C$4:$C$1203,$B163,对接源_01水果!$D$4:$D$1203,"其他代存*"),2))</f>
        <v/>
      </c>
      <c r="E163" s="61" t="str">
        <f aca="false">IF($B163="","",ROUND(SUMIFS(对接源_02物料!$K$4:$K$1203,对接源_02物料!$C$4:$C$1203,$B163,对接源_02物料!$D$4:$D$1203,"包装物料*"),2))</f>
        <v/>
      </c>
      <c r="F163" s="61" t="str">
        <f aca="false">IF($B163="","",ROUND(SUMIFS(对接源_02物料!$K$4:$K$1203,对接源_02物料!$C$4:$C$1203,$B163,对接源_02物料!$D$4:$D$1203,"周转筐*"),2))</f>
        <v/>
      </c>
      <c r="G163" s="61" t="str">
        <f aca="false">IF($B163="","",ROUND(SUMIFS(对接源_02物料!$K$4:$K$1203,对接源_02物料!$C$4:$C$1203,$B163,对接源_02物料!$D$4:$D$1203,"次果筐*"),2))</f>
        <v/>
      </c>
      <c r="H163" s="61" t="str">
        <f aca="false">IF($B163="","",ROUND(SUM($C163:$G163),2))</f>
        <v/>
      </c>
      <c r="I163" s="61" t="str">
        <f aca="false">IF($B163="","",ROUND(SUMIFS(对接源_01水果!$K$4:$K$1203,对接源_01水果!$C$4:$C$1203,$B163,对接源_01水果!$D$4:$D$1203,"成品出库*",对接源_01水果!$L$4:$L$1203,"已收讫")+SUMIFS(对接源_01水果!$K$4:$K$1203,对接源_01水果!$C$4:$C$1203,$B163,对接源_01水果!$D$4:$D$1203,"成品出库*",对接源_01水果!$L$4:$L$1203,"已付款")+SUMIFS(对接源_01水果!$K$4:$K$1203,对接源_01水果!$C$4:$C$1203,$B163,对接源_01水果!$D$4:$D$1203,"其他代存*",对接源_01水果!$L$4:$L$1203,"已收讫")+SUMIFS(对接源_01水果!$K$4:$K$1203,对接源_01水果!$C$4:$C$1203,$B163,对接源_01水果!$D$4:$D$1203,"其他代存*",对接源_01水果!$L$4:$L$1203,"已付款")+SUMIFS(对接源_02物料!$K$4:$K$1203,对接源_02物料!$C$4:$C$1203,$B163,对接源_02物料!$D$4:$D$1203,"包装物料*",对接源_02物料!$L$4:$L$1203,"已收讫")+SUMIFS(对接源_02物料!$K$4:$K$1203,对接源_02物料!$C$4:$C$1203,$B163,对接源_02物料!$D$4:$D$1203,"包装物料*",对接源_02物料!$L$4:$L$1203,"已付款")+SUMIFS(对接源_02物料!$K$4:$K$1203,对接源_02物料!$C$4:$C$1203,$B163,对接源_02物料!$D$4:$D$1203,"周转筐*",对接源_02物料!$L$4:$L$1203,"已收讫")+SUMIFS(对接源_02物料!$K$4:$K$1203,对接源_02物料!$C$4:$C$1203,$B163,对接源_02物料!$D$4:$D$1203,"周转筐*",对接源_02物料!$L$4:$L$1203,"已付款")+SUMIFS(对接源_02物料!$K$4:$K$1203,对接源_02物料!$C$4:$C$1203,$B163,对接源_02物料!$D$4:$D$1203,"次果筐*",对接源_02物料!$L$4:$L$1203,"已收讫")+SUMIFS(对接源_02物料!$K$4:$K$1203,对接源_02物料!$C$4:$C$1203,$B163,对接源_02物料!$D$4:$D$1203,"次果筐*",对接源_02物料!$L$4:$L$1203,"已付款"),2))</f>
        <v/>
      </c>
      <c r="J163" s="61" t="str">
        <f aca="false">IF($B163="","",ROUND(N($H163)-N($I163),2))</f>
        <v/>
      </c>
      <c r="K163" s="59" t="str">
        <f aca="false">IF($B163="","",IF(ROUND(N($J163),2)&gt;0,"对方欠款",IF(ROUND(N($J163),2)&lt;0,"我方欠款","已两清")))</f>
        <v/>
      </c>
      <c r="L163" s="105"/>
    </row>
    <row r="164" customFormat="false" ht="13.5" hidden="false" customHeight="false" outlineLevel="0" collapsed="false">
      <c r="A164" s="59" t="str">
        <f aca="false">IF($B164="","",ROW()-3)</f>
        <v/>
      </c>
      <c r="B164" s="104" t="str">
        <f aca="false">IFERROR(INDEX(_自动清单!$E$4:$E$303,ROW()-3),"")</f>
        <v/>
      </c>
      <c r="C164" s="61" t="str">
        <f aca="false">IF($B164="","",ROUND(SUMIFS(对接源_01水果!$K$4:$K$1203,对接源_01水果!$C$4:$C$1203,$B164,对接源_01水果!$D$4:$D$1203,"成品出库*"),2))</f>
        <v/>
      </c>
      <c r="D164" s="61" t="str">
        <f aca="false">IF($B164="","",ROUND(SUMIFS(对接源_01水果!$K$4:$K$1203,对接源_01水果!$C$4:$C$1203,$B164,对接源_01水果!$D$4:$D$1203,"其他代存*"),2))</f>
        <v/>
      </c>
      <c r="E164" s="61" t="str">
        <f aca="false">IF($B164="","",ROUND(SUMIFS(对接源_02物料!$K$4:$K$1203,对接源_02物料!$C$4:$C$1203,$B164,对接源_02物料!$D$4:$D$1203,"包装物料*"),2))</f>
        <v/>
      </c>
      <c r="F164" s="61" t="str">
        <f aca="false">IF($B164="","",ROUND(SUMIFS(对接源_02物料!$K$4:$K$1203,对接源_02物料!$C$4:$C$1203,$B164,对接源_02物料!$D$4:$D$1203,"周转筐*"),2))</f>
        <v/>
      </c>
      <c r="G164" s="61" t="str">
        <f aca="false">IF($B164="","",ROUND(SUMIFS(对接源_02物料!$K$4:$K$1203,对接源_02物料!$C$4:$C$1203,$B164,对接源_02物料!$D$4:$D$1203,"次果筐*"),2))</f>
        <v/>
      </c>
      <c r="H164" s="61" t="str">
        <f aca="false">IF($B164="","",ROUND(SUM($C164:$G164),2))</f>
        <v/>
      </c>
      <c r="I164" s="61" t="str">
        <f aca="false">IF($B164="","",ROUND(SUMIFS(对接源_01水果!$K$4:$K$1203,对接源_01水果!$C$4:$C$1203,$B164,对接源_01水果!$D$4:$D$1203,"成品出库*",对接源_01水果!$L$4:$L$1203,"已收讫")+SUMIFS(对接源_01水果!$K$4:$K$1203,对接源_01水果!$C$4:$C$1203,$B164,对接源_01水果!$D$4:$D$1203,"成品出库*",对接源_01水果!$L$4:$L$1203,"已付款")+SUMIFS(对接源_01水果!$K$4:$K$1203,对接源_01水果!$C$4:$C$1203,$B164,对接源_01水果!$D$4:$D$1203,"其他代存*",对接源_01水果!$L$4:$L$1203,"已收讫")+SUMIFS(对接源_01水果!$K$4:$K$1203,对接源_01水果!$C$4:$C$1203,$B164,对接源_01水果!$D$4:$D$1203,"其他代存*",对接源_01水果!$L$4:$L$1203,"已付款")+SUMIFS(对接源_02物料!$K$4:$K$1203,对接源_02物料!$C$4:$C$1203,$B164,对接源_02物料!$D$4:$D$1203,"包装物料*",对接源_02物料!$L$4:$L$1203,"已收讫")+SUMIFS(对接源_02物料!$K$4:$K$1203,对接源_02物料!$C$4:$C$1203,$B164,对接源_02物料!$D$4:$D$1203,"包装物料*",对接源_02物料!$L$4:$L$1203,"已付款")+SUMIFS(对接源_02物料!$K$4:$K$1203,对接源_02物料!$C$4:$C$1203,$B164,对接源_02物料!$D$4:$D$1203,"周转筐*",对接源_02物料!$L$4:$L$1203,"已收讫")+SUMIFS(对接源_02物料!$K$4:$K$1203,对接源_02物料!$C$4:$C$1203,$B164,对接源_02物料!$D$4:$D$1203,"周转筐*",对接源_02物料!$L$4:$L$1203,"已付款")+SUMIFS(对接源_02物料!$K$4:$K$1203,对接源_02物料!$C$4:$C$1203,$B164,对接源_02物料!$D$4:$D$1203,"次果筐*",对接源_02物料!$L$4:$L$1203,"已收讫")+SUMIFS(对接源_02物料!$K$4:$K$1203,对接源_02物料!$C$4:$C$1203,$B164,对接源_02物料!$D$4:$D$1203,"次果筐*",对接源_02物料!$L$4:$L$1203,"已付款"),2))</f>
        <v/>
      </c>
      <c r="J164" s="61" t="str">
        <f aca="false">IF($B164="","",ROUND(N($H164)-N($I164),2))</f>
        <v/>
      </c>
      <c r="K164" s="59" t="str">
        <f aca="false">IF($B164="","",IF(ROUND(N($J164),2)&gt;0,"对方欠款",IF(ROUND(N($J164),2)&lt;0,"我方欠款","已两清")))</f>
        <v/>
      </c>
      <c r="L164" s="105"/>
    </row>
    <row r="165" customFormat="false" ht="13.5" hidden="false" customHeight="false" outlineLevel="0" collapsed="false">
      <c r="A165" s="59" t="str">
        <f aca="false">IF($B165="","",ROW()-3)</f>
        <v/>
      </c>
      <c r="B165" s="104" t="str">
        <f aca="false">IFERROR(INDEX(_自动清单!$E$4:$E$303,ROW()-3),"")</f>
        <v/>
      </c>
      <c r="C165" s="61" t="str">
        <f aca="false">IF($B165="","",ROUND(SUMIFS(对接源_01水果!$K$4:$K$1203,对接源_01水果!$C$4:$C$1203,$B165,对接源_01水果!$D$4:$D$1203,"成品出库*"),2))</f>
        <v/>
      </c>
      <c r="D165" s="61" t="str">
        <f aca="false">IF($B165="","",ROUND(SUMIFS(对接源_01水果!$K$4:$K$1203,对接源_01水果!$C$4:$C$1203,$B165,对接源_01水果!$D$4:$D$1203,"其他代存*"),2))</f>
        <v/>
      </c>
      <c r="E165" s="61" t="str">
        <f aca="false">IF($B165="","",ROUND(SUMIFS(对接源_02物料!$K$4:$K$1203,对接源_02物料!$C$4:$C$1203,$B165,对接源_02物料!$D$4:$D$1203,"包装物料*"),2))</f>
        <v/>
      </c>
      <c r="F165" s="61" t="str">
        <f aca="false">IF($B165="","",ROUND(SUMIFS(对接源_02物料!$K$4:$K$1203,对接源_02物料!$C$4:$C$1203,$B165,对接源_02物料!$D$4:$D$1203,"周转筐*"),2))</f>
        <v/>
      </c>
      <c r="G165" s="61" t="str">
        <f aca="false">IF($B165="","",ROUND(SUMIFS(对接源_02物料!$K$4:$K$1203,对接源_02物料!$C$4:$C$1203,$B165,对接源_02物料!$D$4:$D$1203,"次果筐*"),2))</f>
        <v/>
      </c>
      <c r="H165" s="61" t="str">
        <f aca="false">IF($B165="","",ROUND(SUM($C165:$G165),2))</f>
        <v/>
      </c>
      <c r="I165" s="61" t="str">
        <f aca="false">IF($B165="","",ROUND(SUMIFS(对接源_01水果!$K$4:$K$1203,对接源_01水果!$C$4:$C$1203,$B165,对接源_01水果!$D$4:$D$1203,"成品出库*",对接源_01水果!$L$4:$L$1203,"已收讫")+SUMIFS(对接源_01水果!$K$4:$K$1203,对接源_01水果!$C$4:$C$1203,$B165,对接源_01水果!$D$4:$D$1203,"成品出库*",对接源_01水果!$L$4:$L$1203,"已付款")+SUMIFS(对接源_01水果!$K$4:$K$1203,对接源_01水果!$C$4:$C$1203,$B165,对接源_01水果!$D$4:$D$1203,"其他代存*",对接源_01水果!$L$4:$L$1203,"已收讫")+SUMIFS(对接源_01水果!$K$4:$K$1203,对接源_01水果!$C$4:$C$1203,$B165,对接源_01水果!$D$4:$D$1203,"其他代存*",对接源_01水果!$L$4:$L$1203,"已付款")+SUMIFS(对接源_02物料!$K$4:$K$1203,对接源_02物料!$C$4:$C$1203,$B165,对接源_02物料!$D$4:$D$1203,"包装物料*",对接源_02物料!$L$4:$L$1203,"已收讫")+SUMIFS(对接源_02物料!$K$4:$K$1203,对接源_02物料!$C$4:$C$1203,$B165,对接源_02物料!$D$4:$D$1203,"包装物料*",对接源_02物料!$L$4:$L$1203,"已付款")+SUMIFS(对接源_02物料!$K$4:$K$1203,对接源_02物料!$C$4:$C$1203,$B165,对接源_02物料!$D$4:$D$1203,"周转筐*",对接源_02物料!$L$4:$L$1203,"已收讫")+SUMIFS(对接源_02物料!$K$4:$K$1203,对接源_02物料!$C$4:$C$1203,$B165,对接源_02物料!$D$4:$D$1203,"周转筐*",对接源_02物料!$L$4:$L$1203,"已付款")+SUMIFS(对接源_02物料!$K$4:$K$1203,对接源_02物料!$C$4:$C$1203,$B165,对接源_02物料!$D$4:$D$1203,"次果筐*",对接源_02物料!$L$4:$L$1203,"已收讫")+SUMIFS(对接源_02物料!$K$4:$K$1203,对接源_02物料!$C$4:$C$1203,$B165,对接源_02物料!$D$4:$D$1203,"次果筐*",对接源_02物料!$L$4:$L$1203,"已付款"),2))</f>
        <v/>
      </c>
      <c r="J165" s="61" t="str">
        <f aca="false">IF($B165="","",ROUND(N($H165)-N($I165),2))</f>
        <v/>
      </c>
      <c r="K165" s="59" t="str">
        <f aca="false">IF($B165="","",IF(ROUND(N($J165),2)&gt;0,"对方欠款",IF(ROUND(N($J165),2)&lt;0,"我方欠款","已两清")))</f>
        <v/>
      </c>
      <c r="L165" s="105"/>
    </row>
    <row r="166" customFormat="false" ht="13.5" hidden="false" customHeight="false" outlineLevel="0" collapsed="false">
      <c r="A166" s="59" t="str">
        <f aca="false">IF($B166="","",ROW()-3)</f>
        <v/>
      </c>
      <c r="B166" s="104" t="str">
        <f aca="false">IFERROR(INDEX(_自动清单!$E$4:$E$303,ROW()-3),"")</f>
        <v/>
      </c>
      <c r="C166" s="61" t="str">
        <f aca="false">IF($B166="","",ROUND(SUMIFS(对接源_01水果!$K$4:$K$1203,对接源_01水果!$C$4:$C$1203,$B166,对接源_01水果!$D$4:$D$1203,"成品出库*"),2))</f>
        <v/>
      </c>
      <c r="D166" s="61" t="str">
        <f aca="false">IF($B166="","",ROUND(SUMIFS(对接源_01水果!$K$4:$K$1203,对接源_01水果!$C$4:$C$1203,$B166,对接源_01水果!$D$4:$D$1203,"其他代存*"),2))</f>
        <v/>
      </c>
      <c r="E166" s="61" t="str">
        <f aca="false">IF($B166="","",ROUND(SUMIFS(对接源_02物料!$K$4:$K$1203,对接源_02物料!$C$4:$C$1203,$B166,对接源_02物料!$D$4:$D$1203,"包装物料*"),2))</f>
        <v/>
      </c>
      <c r="F166" s="61" t="str">
        <f aca="false">IF($B166="","",ROUND(SUMIFS(对接源_02物料!$K$4:$K$1203,对接源_02物料!$C$4:$C$1203,$B166,对接源_02物料!$D$4:$D$1203,"周转筐*"),2))</f>
        <v/>
      </c>
      <c r="G166" s="61" t="str">
        <f aca="false">IF($B166="","",ROUND(SUMIFS(对接源_02物料!$K$4:$K$1203,对接源_02物料!$C$4:$C$1203,$B166,对接源_02物料!$D$4:$D$1203,"次果筐*"),2))</f>
        <v/>
      </c>
      <c r="H166" s="61" t="str">
        <f aca="false">IF($B166="","",ROUND(SUM($C166:$G166),2))</f>
        <v/>
      </c>
      <c r="I166" s="61" t="str">
        <f aca="false">IF($B166="","",ROUND(SUMIFS(对接源_01水果!$K$4:$K$1203,对接源_01水果!$C$4:$C$1203,$B166,对接源_01水果!$D$4:$D$1203,"成品出库*",对接源_01水果!$L$4:$L$1203,"已收讫")+SUMIFS(对接源_01水果!$K$4:$K$1203,对接源_01水果!$C$4:$C$1203,$B166,对接源_01水果!$D$4:$D$1203,"成品出库*",对接源_01水果!$L$4:$L$1203,"已付款")+SUMIFS(对接源_01水果!$K$4:$K$1203,对接源_01水果!$C$4:$C$1203,$B166,对接源_01水果!$D$4:$D$1203,"其他代存*",对接源_01水果!$L$4:$L$1203,"已收讫")+SUMIFS(对接源_01水果!$K$4:$K$1203,对接源_01水果!$C$4:$C$1203,$B166,对接源_01水果!$D$4:$D$1203,"其他代存*",对接源_01水果!$L$4:$L$1203,"已付款")+SUMIFS(对接源_02物料!$K$4:$K$1203,对接源_02物料!$C$4:$C$1203,$B166,对接源_02物料!$D$4:$D$1203,"包装物料*",对接源_02物料!$L$4:$L$1203,"已收讫")+SUMIFS(对接源_02物料!$K$4:$K$1203,对接源_02物料!$C$4:$C$1203,$B166,对接源_02物料!$D$4:$D$1203,"包装物料*",对接源_02物料!$L$4:$L$1203,"已付款")+SUMIFS(对接源_02物料!$K$4:$K$1203,对接源_02物料!$C$4:$C$1203,$B166,对接源_02物料!$D$4:$D$1203,"周转筐*",对接源_02物料!$L$4:$L$1203,"已收讫")+SUMIFS(对接源_02物料!$K$4:$K$1203,对接源_02物料!$C$4:$C$1203,$B166,对接源_02物料!$D$4:$D$1203,"周转筐*",对接源_02物料!$L$4:$L$1203,"已付款")+SUMIFS(对接源_02物料!$K$4:$K$1203,对接源_02物料!$C$4:$C$1203,$B166,对接源_02物料!$D$4:$D$1203,"次果筐*",对接源_02物料!$L$4:$L$1203,"已收讫")+SUMIFS(对接源_02物料!$K$4:$K$1203,对接源_02物料!$C$4:$C$1203,$B166,对接源_02物料!$D$4:$D$1203,"次果筐*",对接源_02物料!$L$4:$L$1203,"已付款"),2))</f>
        <v/>
      </c>
      <c r="J166" s="61" t="str">
        <f aca="false">IF($B166="","",ROUND(N($H166)-N($I166),2))</f>
        <v/>
      </c>
      <c r="K166" s="59" t="str">
        <f aca="false">IF($B166="","",IF(ROUND(N($J166),2)&gt;0,"对方欠款",IF(ROUND(N($J166),2)&lt;0,"我方欠款","已两清")))</f>
        <v/>
      </c>
      <c r="L166" s="105"/>
    </row>
    <row r="167" customFormat="false" ht="13.5" hidden="false" customHeight="false" outlineLevel="0" collapsed="false">
      <c r="A167" s="59" t="str">
        <f aca="false">IF($B167="","",ROW()-3)</f>
        <v/>
      </c>
      <c r="B167" s="104" t="str">
        <f aca="false">IFERROR(INDEX(_自动清单!$E$4:$E$303,ROW()-3),"")</f>
        <v/>
      </c>
      <c r="C167" s="61" t="str">
        <f aca="false">IF($B167="","",ROUND(SUMIFS(对接源_01水果!$K$4:$K$1203,对接源_01水果!$C$4:$C$1203,$B167,对接源_01水果!$D$4:$D$1203,"成品出库*"),2))</f>
        <v/>
      </c>
      <c r="D167" s="61" t="str">
        <f aca="false">IF($B167="","",ROUND(SUMIFS(对接源_01水果!$K$4:$K$1203,对接源_01水果!$C$4:$C$1203,$B167,对接源_01水果!$D$4:$D$1203,"其他代存*"),2))</f>
        <v/>
      </c>
      <c r="E167" s="61" t="str">
        <f aca="false">IF($B167="","",ROUND(SUMIFS(对接源_02物料!$K$4:$K$1203,对接源_02物料!$C$4:$C$1203,$B167,对接源_02物料!$D$4:$D$1203,"包装物料*"),2))</f>
        <v/>
      </c>
      <c r="F167" s="61" t="str">
        <f aca="false">IF($B167="","",ROUND(SUMIFS(对接源_02物料!$K$4:$K$1203,对接源_02物料!$C$4:$C$1203,$B167,对接源_02物料!$D$4:$D$1203,"周转筐*"),2))</f>
        <v/>
      </c>
      <c r="G167" s="61" t="str">
        <f aca="false">IF($B167="","",ROUND(SUMIFS(对接源_02物料!$K$4:$K$1203,对接源_02物料!$C$4:$C$1203,$B167,对接源_02物料!$D$4:$D$1203,"次果筐*"),2))</f>
        <v/>
      </c>
      <c r="H167" s="61" t="str">
        <f aca="false">IF($B167="","",ROUND(SUM($C167:$G167),2))</f>
        <v/>
      </c>
      <c r="I167" s="61" t="str">
        <f aca="false">IF($B167="","",ROUND(SUMIFS(对接源_01水果!$K$4:$K$1203,对接源_01水果!$C$4:$C$1203,$B167,对接源_01水果!$D$4:$D$1203,"成品出库*",对接源_01水果!$L$4:$L$1203,"已收讫")+SUMIFS(对接源_01水果!$K$4:$K$1203,对接源_01水果!$C$4:$C$1203,$B167,对接源_01水果!$D$4:$D$1203,"成品出库*",对接源_01水果!$L$4:$L$1203,"已付款")+SUMIFS(对接源_01水果!$K$4:$K$1203,对接源_01水果!$C$4:$C$1203,$B167,对接源_01水果!$D$4:$D$1203,"其他代存*",对接源_01水果!$L$4:$L$1203,"已收讫")+SUMIFS(对接源_01水果!$K$4:$K$1203,对接源_01水果!$C$4:$C$1203,$B167,对接源_01水果!$D$4:$D$1203,"其他代存*",对接源_01水果!$L$4:$L$1203,"已付款")+SUMIFS(对接源_02物料!$K$4:$K$1203,对接源_02物料!$C$4:$C$1203,$B167,对接源_02物料!$D$4:$D$1203,"包装物料*",对接源_02物料!$L$4:$L$1203,"已收讫")+SUMIFS(对接源_02物料!$K$4:$K$1203,对接源_02物料!$C$4:$C$1203,$B167,对接源_02物料!$D$4:$D$1203,"包装物料*",对接源_02物料!$L$4:$L$1203,"已付款")+SUMIFS(对接源_02物料!$K$4:$K$1203,对接源_02物料!$C$4:$C$1203,$B167,对接源_02物料!$D$4:$D$1203,"周转筐*",对接源_02物料!$L$4:$L$1203,"已收讫")+SUMIFS(对接源_02物料!$K$4:$K$1203,对接源_02物料!$C$4:$C$1203,$B167,对接源_02物料!$D$4:$D$1203,"周转筐*",对接源_02物料!$L$4:$L$1203,"已付款")+SUMIFS(对接源_02物料!$K$4:$K$1203,对接源_02物料!$C$4:$C$1203,$B167,对接源_02物料!$D$4:$D$1203,"次果筐*",对接源_02物料!$L$4:$L$1203,"已收讫")+SUMIFS(对接源_02物料!$K$4:$K$1203,对接源_02物料!$C$4:$C$1203,$B167,对接源_02物料!$D$4:$D$1203,"次果筐*",对接源_02物料!$L$4:$L$1203,"已付款"),2))</f>
        <v/>
      </c>
      <c r="J167" s="61" t="str">
        <f aca="false">IF($B167="","",ROUND(N($H167)-N($I167),2))</f>
        <v/>
      </c>
      <c r="K167" s="59" t="str">
        <f aca="false">IF($B167="","",IF(ROUND(N($J167),2)&gt;0,"对方欠款",IF(ROUND(N($J167),2)&lt;0,"我方欠款","已两清")))</f>
        <v/>
      </c>
      <c r="L167" s="105"/>
    </row>
    <row r="168" customFormat="false" ht="13.5" hidden="false" customHeight="false" outlineLevel="0" collapsed="false">
      <c r="A168" s="59" t="str">
        <f aca="false">IF($B168="","",ROW()-3)</f>
        <v/>
      </c>
      <c r="B168" s="104" t="str">
        <f aca="false">IFERROR(INDEX(_自动清单!$E$4:$E$303,ROW()-3),"")</f>
        <v/>
      </c>
      <c r="C168" s="61" t="str">
        <f aca="false">IF($B168="","",ROUND(SUMIFS(对接源_01水果!$K$4:$K$1203,对接源_01水果!$C$4:$C$1203,$B168,对接源_01水果!$D$4:$D$1203,"成品出库*"),2))</f>
        <v/>
      </c>
      <c r="D168" s="61" t="str">
        <f aca="false">IF($B168="","",ROUND(SUMIFS(对接源_01水果!$K$4:$K$1203,对接源_01水果!$C$4:$C$1203,$B168,对接源_01水果!$D$4:$D$1203,"其他代存*"),2))</f>
        <v/>
      </c>
      <c r="E168" s="61" t="str">
        <f aca="false">IF($B168="","",ROUND(SUMIFS(对接源_02物料!$K$4:$K$1203,对接源_02物料!$C$4:$C$1203,$B168,对接源_02物料!$D$4:$D$1203,"包装物料*"),2))</f>
        <v/>
      </c>
      <c r="F168" s="61" t="str">
        <f aca="false">IF($B168="","",ROUND(SUMIFS(对接源_02物料!$K$4:$K$1203,对接源_02物料!$C$4:$C$1203,$B168,对接源_02物料!$D$4:$D$1203,"周转筐*"),2))</f>
        <v/>
      </c>
      <c r="G168" s="61" t="str">
        <f aca="false">IF($B168="","",ROUND(SUMIFS(对接源_02物料!$K$4:$K$1203,对接源_02物料!$C$4:$C$1203,$B168,对接源_02物料!$D$4:$D$1203,"次果筐*"),2))</f>
        <v/>
      </c>
      <c r="H168" s="61" t="str">
        <f aca="false">IF($B168="","",ROUND(SUM($C168:$G168),2))</f>
        <v/>
      </c>
      <c r="I168" s="61" t="str">
        <f aca="false">IF($B168="","",ROUND(SUMIFS(对接源_01水果!$K$4:$K$1203,对接源_01水果!$C$4:$C$1203,$B168,对接源_01水果!$D$4:$D$1203,"成品出库*",对接源_01水果!$L$4:$L$1203,"已收讫")+SUMIFS(对接源_01水果!$K$4:$K$1203,对接源_01水果!$C$4:$C$1203,$B168,对接源_01水果!$D$4:$D$1203,"成品出库*",对接源_01水果!$L$4:$L$1203,"已付款")+SUMIFS(对接源_01水果!$K$4:$K$1203,对接源_01水果!$C$4:$C$1203,$B168,对接源_01水果!$D$4:$D$1203,"其他代存*",对接源_01水果!$L$4:$L$1203,"已收讫")+SUMIFS(对接源_01水果!$K$4:$K$1203,对接源_01水果!$C$4:$C$1203,$B168,对接源_01水果!$D$4:$D$1203,"其他代存*",对接源_01水果!$L$4:$L$1203,"已付款")+SUMIFS(对接源_02物料!$K$4:$K$1203,对接源_02物料!$C$4:$C$1203,$B168,对接源_02物料!$D$4:$D$1203,"包装物料*",对接源_02物料!$L$4:$L$1203,"已收讫")+SUMIFS(对接源_02物料!$K$4:$K$1203,对接源_02物料!$C$4:$C$1203,$B168,对接源_02物料!$D$4:$D$1203,"包装物料*",对接源_02物料!$L$4:$L$1203,"已付款")+SUMIFS(对接源_02物料!$K$4:$K$1203,对接源_02物料!$C$4:$C$1203,$B168,对接源_02物料!$D$4:$D$1203,"周转筐*",对接源_02物料!$L$4:$L$1203,"已收讫")+SUMIFS(对接源_02物料!$K$4:$K$1203,对接源_02物料!$C$4:$C$1203,$B168,对接源_02物料!$D$4:$D$1203,"周转筐*",对接源_02物料!$L$4:$L$1203,"已付款")+SUMIFS(对接源_02物料!$K$4:$K$1203,对接源_02物料!$C$4:$C$1203,$B168,对接源_02物料!$D$4:$D$1203,"次果筐*",对接源_02物料!$L$4:$L$1203,"已收讫")+SUMIFS(对接源_02物料!$K$4:$K$1203,对接源_02物料!$C$4:$C$1203,$B168,对接源_02物料!$D$4:$D$1203,"次果筐*",对接源_02物料!$L$4:$L$1203,"已付款"),2))</f>
        <v/>
      </c>
      <c r="J168" s="61" t="str">
        <f aca="false">IF($B168="","",ROUND(N($H168)-N($I168),2))</f>
        <v/>
      </c>
      <c r="K168" s="59" t="str">
        <f aca="false">IF($B168="","",IF(ROUND(N($J168),2)&gt;0,"对方欠款",IF(ROUND(N($J168),2)&lt;0,"我方欠款","已两清")))</f>
        <v/>
      </c>
      <c r="L168" s="105"/>
    </row>
    <row r="169" customFormat="false" ht="13.5" hidden="false" customHeight="false" outlineLevel="0" collapsed="false">
      <c r="A169" s="59" t="str">
        <f aca="false">IF($B169="","",ROW()-3)</f>
        <v/>
      </c>
      <c r="B169" s="104" t="str">
        <f aca="false">IFERROR(INDEX(_自动清单!$E$4:$E$303,ROW()-3),"")</f>
        <v/>
      </c>
      <c r="C169" s="61" t="str">
        <f aca="false">IF($B169="","",ROUND(SUMIFS(对接源_01水果!$K$4:$K$1203,对接源_01水果!$C$4:$C$1203,$B169,对接源_01水果!$D$4:$D$1203,"成品出库*"),2))</f>
        <v/>
      </c>
      <c r="D169" s="61" t="str">
        <f aca="false">IF($B169="","",ROUND(SUMIFS(对接源_01水果!$K$4:$K$1203,对接源_01水果!$C$4:$C$1203,$B169,对接源_01水果!$D$4:$D$1203,"其他代存*"),2))</f>
        <v/>
      </c>
      <c r="E169" s="61" t="str">
        <f aca="false">IF($B169="","",ROUND(SUMIFS(对接源_02物料!$K$4:$K$1203,对接源_02物料!$C$4:$C$1203,$B169,对接源_02物料!$D$4:$D$1203,"包装物料*"),2))</f>
        <v/>
      </c>
      <c r="F169" s="61" t="str">
        <f aca="false">IF($B169="","",ROUND(SUMIFS(对接源_02物料!$K$4:$K$1203,对接源_02物料!$C$4:$C$1203,$B169,对接源_02物料!$D$4:$D$1203,"周转筐*"),2))</f>
        <v/>
      </c>
      <c r="G169" s="61" t="str">
        <f aca="false">IF($B169="","",ROUND(SUMIFS(对接源_02物料!$K$4:$K$1203,对接源_02物料!$C$4:$C$1203,$B169,对接源_02物料!$D$4:$D$1203,"次果筐*"),2))</f>
        <v/>
      </c>
      <c r="H169" s="61" t="str">
        <f aca="false">IF($B169="","",ROUND(SUM($C169:$G169),2))</f>
        <v/>
      </c>
      <c r="I169" s="61" t="str">
        <f aca="false">IF($B169="","",ROUND(SUMIFS(对接源_01水果!$K$4:$K$1203,对接源_01水果!$C$4:$C$1203,$B169,对接源_01水果!$D$4:$D$1203,"成品出库*",对接源_01水果!$L$4:$L$1203,"已收讫")+SUMIFS(对接源_01水果!$K$4:$K$1203,对接源_01水果!$C$4:$C$1203,$B169,对接源_01水果!$D$4:$D$1203,"成品出库*",对接源_01水果!$L$4:$L$1203,"已付款")+SUMIFS(对接源_01水果!$K$4:$K$1203,对接源_01水果!$C$4:$C$1203,$B169,对接源_01水果!$D$4:$D$1203,"其他代存*",对接源_01水果!$L$4:$L$1203,"已收讫")+SUMIFS(对接源_01水果!$K$4:$K$1203,对接源_01水果!$C$4:$C$1203,$B169,对接源_01水果!$D$4:$D$1203,"其他代存*",对接源_01水果!$L$4:$L$1203,"已付款")+SUMIFS(对接源_02物料!$K$4:$K$1203,对接源_02物料!$C$4:$C$1203,$B169,对接源_02物料!$D$4:$D$1203,"包装物料*",对接源_02物料!$L$4:$L$1203,"已收讫")+SUMIFS(对接源_02物料!$K$4:$K$1203,对接源_02物料!$C$4:$C$1203,$B169,对接源_02物料!$D$4:$D$1203,"包装物料*",对接源_02物料!$L$4:$L$1203,"已付款")+SUMIFS(对接源_02物料!$K$4:$K$1203,对接源_02物料!$C$4:$C$1203,$B169,对接源_02物料!$D$4:$D$1203,"周转筐*",对接源_02物料!$L$4:$L$1203,"已收讫")+SUMIFS(对接源_02物料!$K$4:$K$1203,对接源_02物料!$C$4:$C$1203,$B169,对接源_02物料!$D$4:$D$1203,"周转筐*",对接源_02物料!$L$4:$L$1203,"已付款")+SUMIFS(对接源_02物料!$K$4:$K$1203,对接源_02物料!$C$4:$C$1203,$B169,对接源_02物料!$D$4:$D$1203,"次果筐*",对接源_02物料!$L$4:$L$1203,"已收讫")+SUMIFS(对接源_02物料!$K$4:$K$1203,对接源_02物料!$C$4:$C$1203,$B169,对接源_02物料!$D$4:$D$1203,"次果筐*",对接源_02物料!$L$4:$L$1203,"已付款"),2))</f>
        <v/>
      </c>
      <c r="J169" s="61" t="str">
        <f aca="false">IF($B169="","",ROUND(N($H169)-N($I169),2))</f>
        <v/>
      </c>
      <c r="K169" s="59" t="str">
        <f aca="false">IF($B169="","",IF(ROUND(N($J169),2)&gt;0,"对方欠款",IF(ROUND(N($J169),2)&lt;0,"我方欠款","已两清")))</f>
        <v/>
      </c>
      <c r="L169" s="105"/>
    </row>
    <row r="170" customFormat="false" ht="13.5" hidden="false" customHeight="false" outlineLevel="0" collapsed="false">
      <c r="A170" s="59" t="str">
        <f aca="false">IF($B170="","",ROW()-3)</f>
        <v/>
      </c>
      <c r="B170" s="104" t="str">
        <f aca="false">IFERROR(INDEX(_自动清单!$E$4:$E$303,ROW()-3),"")</f>
        <v/>
      </c>
      <c r="C170" s="61" t="str">
        <f aca="false">IF($B170="","",ROUND(SUMIFS(对接源_01水果!$K$4:$K$1203,对接源_01水果!$C$4:$C$1203,$B170,对接源_01水果!$D$4:$D$1203,"成品出库*"),2))</f>
        <v/>
      </c>
      <c r="D170" s="61" t="str">
        <f aca="false">IF($B170="","",ROUND(SUMIFS(对接源_01水果!$K$4:$K$1203,对接源_01水果!$C$4:$C$1203,$B170,对接源_01水果!$D$4:$D$1203,"其他代存*"),2))</f>
        <v/>
      </c>
      <c r="E170" s="61" t="str">
        <f aca="false">IF($B170="","",ROUND(SUMIFS(对接源_02物料!$K$4:$K$1203,对接源_02物料!$C$4:$C$1203,$B170,对接源_02物料!$D$4:$D$1203,"包装物料*"),2))</f>
        <v/>
      </c>
      <c r="F170" s="61" t="str">
        <f aca="false">IF($B170="","",ROUND(SUMIFS(对接源_02物料!$K$4:$K$1203,对接源_02物料!$C$4:$C$1203,$B170,对接源_02物料!$D$4:$D$1203,"周转筐*"),2))</f>
        <v/>
      </c>
      <c r="G170" s="61" t="str">
        <f aca="false">IF($B170="","",ROUND(SUMIFS(对接源_02物料!$K$4:$K$1203,对接源_02物料!$C$4:$C$1203,$B170,对接源_02物料!$D$4:$D$1203,"次果筐*"),2))</f>
        <v/>
      </c>
      <c r="H170" s="61" t="str">
        <f aca="false">IF($B170="","",ROUND(SUM($C170:$G170),2))</f>
        <v/>
      </c>
      <c r="I170" s="61" t="str">
        <f aca="false">IF($B170="","",ROUND(SUMIFS(对接源_01水果!$K$4:$K$1203,对接源_01水果!$C$4:$C$1203,$B170,对接源_01水果!$D$4:$D$1203,"成品出库*",对接源_01水果!$L$4:$L$1203,"已收讫")+SUMIFS(对接源_01水果!$K$4:$K$1203,对接源_01水果!$C$4:$C$1203,$B170,对接源_01水果!$D$4:$D$1203,"成品出库*",对接源_01水果!$L$4:$L$1203,"已付款")+SUMIFS(对接源_01水果!$K$4:$K$1203,对接源_01水果!$C$4:$C$1203,$B170,对接源_01水果!$D$4:$D$1203,"其他代存*",对接源_01水果!$L$4:$L$1203,"已收讫")+SUMIFS(对接源_01水果!$K$4:$K$1203,对接源_01水果!$C$4:$C$1203,$B170,对接源_01水果!$D$4:$D$1203,"其他代存*",对接源_01水果!$L$4:$L$1203,"已付款")+SUMIFS(对接源_02物料!$K$4:$K$1203,对接源_02物料!$C$4:$C$1203,$B170,对接源_02物料!$D$4:$D$1203,"包装物料*",对接源_02物料!$L$4:$L$1203,"已收讫")+SUMIFS(对接源_02物料!$K$4:$K$1203,对接源_02物料!$C$4:$C$1203,$B170,对接源_02物料!$D$4:$D$1203,"包装物料*",对接源_02物料!$L$4:$L$1203,"已付款")+SUMIFS(对接源_02物料!$K$4:$K$1203,对接源_02物料!$C$4:$C$1203,$B170,对接源_02物料!$D$4:$D$1203,"周转筐*",对接源_02物料!$L$4:$L$1203,"已收讫")+SUMIFS(对接源_02物料!$K$4:$K$1203,对接源_02物料!$C$4:$C$1203,$B170,对接源_02物料!$D$4:$D$1203,"周转筐*",对接源_02物料!$L$4:$L$1203,"已付款")+SUMIFS(对接源_02物料!$K$4:$K$1203,对接源_02物料!$C$4:$C$1203,$B170,对接源_02物料!$D$4:$D$1203,"次果筐*",对接源_02物料!$L$4:$L$1203,"已收讫")+SUMIFS(对接源_02物料!$K$4:$K$1203,对接源_02物料!$C$4:$C$1203,$B170,对接源_02物料!$D$4:$D$1203,"次果筐*",对接源_02物料!$L$4:$L$1203,"已付款"),2))</f>
        <v/>
      </c>
      <c r="J170" s="61" t="str">
        <f aca="false">IF($B170="","",ROUND(N($H170)-N($I170),2))</f>
        <v/>
      </c>
      <c r="K170" s="59" t="str">
        <f aca="false">IF($B170="","",IF(ROUND(N($J170),2)&gt;0,"对方欠款",IF(ROUND(N($J170),2)&lt;0,"我方欠款","已两清")))</f>
        <v/>
      </c>
      <c r="L170" s="105"/>
    </row>
    <row r="171" customFormat="false" ht="13.5" hidden="false" customHeight="false" outlineLevel="0" collapsed="false">
      <c r="A171" s="59" t="str">
        <f aca="false">IF($B171="","",ROW()-3)</f>
        <v/>
      </c>
      <c r="B171" s="104" t="str">
        <f aca="false">IFERROR(INDEX(_自动清单!$E$4:$E$303,ROW()-3),"")</f>
        <v/>
      </c>
      <c r="C171" s="61" t="str">
        <f aca="false">IF($B171="","",ROUND(SUMIFS(对接源_01水果!$K$4:$K$1203,对接源_01水果!$C$4:$C$1203,$B171,对接源_01水果!$D$4:$D$1203,"成品出库*"),2))</f>
        <v/>
      </c>
      <c r="D171" s="61" t="str">
        <f aca="false">IF($B171="","",ROUND(SUMIFS(对接源_01水果!$K$4:$K$1203,对接源_01水果!$C$4:$C$1203,$B171,对接源_01水果!$D$4:$D$1203,"其他代存*"),2))</f>
        <v/>
      </c>
      <c r="E171" s="61" t="str">
        <f aca="false">IF($B171="","",ROUND(SUMIFS(对接源_02物料!$K$4:$K$1203,对接源_02物料!$C$4:$C$1203,$B171,对接源_02物料!$D$4:$D$1203,"包装物料*"),2))</f>
        <v/>
      </c>
      <c r="F171" s="61" t="str">
        <f aca="false">IF($B171="","",ROUND(SUMIFS(对接源_02物料!$K$4:$K$1203,对接源_02物料!$C$4:$C$1203,$B171,对接源_02物料!$D$4:$D$1203,"周转筐*"),2))</f>
        <v/>
      </c>
      <c r="G171" s="61" t="str">
        <f aca="false">IF($B171="","",ROUND(SUMIFS(对接源_02物料!$K$4:$K$1203,对接源_02物料!$C$4:$C$1203,$B171,对接源_02物料!$D$4:$D$1203,"次果筐*"),2))</f>
        <v/>
      </c>
      <c r="H171" s="61" t="str">
        <f aca="false">IF($B171="","",ROUND(SUM($C171:$G171),2))</f>
        <v/>
      </c>
      <c r="I171" s="61" t="str">
        <f aca="false">IF($B171="","",ROUND(SUMIFS(对接源_01水果!$K$4:$K$1203,对接源_01水果!$C$4:$C$1203,$B171,对接源_01水果!$D$4:$D$1203,"成品出库*",对接源_01水果!$L$4:$L$1203,"已收讫")+SUMIFS(对接源_01水果!$K$4:$K$1203,对接源_01水果!$C$4:$C$1203,$B171,对接源_01水果!$D$4:$D$1203,"成品出库*",对接源_01水果!$L$4:$L$1203,"已付款")+SUMIFS(对接源_01水果!$K$4:$K$1203,对接源_01水果!$C$4:$C$1203,$B171,对接源_01水果!$D$4:$D$1203,"其他代存*",对接源_01水果!$L$4:$L$1203,"已收讫")+SUMIFS(对接源_01水果!$K$4:$K$1203,对接源_01水果!$C$4:$C$1203,$B171,对接源_01水果!$D$4:$D$1203,"其他代存*",对接源_01水果!$L$4:$L$1203,"已付款")+SUMIFS(对接源_02物料!$K$4:$K$1203,对接源_02物料!$C$4:$C$1203,$B171,对接源_02物料!$D$4:$D$1203,"包装物料*",对接源_02物料!$L$4:$L$1203,"已收讫")+SUMIFS(对接源_02物料!$K$4:$K$1203,对接源_02物料!$C$4:$C$1203,$B171,对接源_02物料!$D$4:$D$1203,"包装物料*",对接源_02物料!$L$4:$L$1203,"已付款")+SUMIFS(对接源_02物料!$K$4:$K$1203,对接源_02物料!$C$4:$C$1203,$B171,对接源_02物料!$D$4:$D$1203,"周转筐*",对接源_02物料!$L$4:$L$1203,"已收讫")+SUMIFS(对接源_02物料!$K$4:$K$1203,对接源_02物料!$C$4:$C$1203,$B171,对接源_02物料!$D$4:$D$1203,"周转筐*",对接源_02物料!$L$4:$L$1203,"已付款")+SUMIFS(对接源_02物料!$K$4:$K$1203,对接源_02物料!$C$4:$C$1203,$B171,对接源_02物料!$D$4:$D$1203,"次果筐*",对接源_02物料!$L$4:$L$1203,"已收讫")+SUMIFS(对接源_02物料!$K$4:$K$1203,对接源_02物料!$C$4:$C$1203,$B171,对接源_02物料!$D$4:$D$1203,"次果筐*",对接源_02物料!$L$4:$L$1203,"已付款"),2))</f>
        <v/>
      </c>
      <c r="J171" s="61" t="str">
        <f aca="false">IF($B171="","",ROUND(N($H171)-N($I171),2))</f>
        <v/>
      </c>
      <c r="K171" s="59" t="str">
        <f aca="false">IF($B171="","",IF(ROUND(N($J171),2)&gt;0,"对方欠款",IF(ROUND(N($J171),2)&lt;0,"我方欠款","已两清")))</f>
        <v/>
      </c>
      <c r="L171" s="105"/>
    </row>
    <row r="172" customFormat="false" ht="13.5" hidden="false" customHeight="false" outlineLevel="0" collapsed="false">
      <c r="A172" s="59" t="str">
        <f aca="false">IF($B172="","",ROW()-3)</f>
        <v/>
      </c>
      <c r="B172" s="104" t="str">
        <f aca="false">IFERROR(INDEX(_自动清单!$E$4:$E$303,ROW()-3),"")</f>
        <v/>
      </c>
      <c r="C172" s="61" t="str">
        <f aca="false">IF($B172="","",ROUND(SUMIFS(对接源_01水果!$K$4:$K$1203,对接源_01水果!$C$4:$C$1203,$B172,对接源_01水果!$D$4:$D$1203,"成品出库*"),2))</f>
        <v/>
      </c>
      <c r="D172" s="61" t="str">
        <f aca="false">IF($B172="","",ROUND(SUMIFS(对接源_01水果!$K$4:$K$1203,对接源_01水果!$C$4:$C$1203,$B172,对接源_01水果!$D$4:$D$1203,"其他代存*"),2))</f>
        <v/>
      </c>
      <c r="E172" s="61" t="str">
        <f aca="false">IF($B172="","",ROUND(SUMIFS(对接源_02物料!$K$4:$K$1203,对接源_02物料!$C$4:$C$1203,$B172,对接源_02物料!$D$4:$D$1203,"包装物料*"),2))</f>
        <v/>
      </c>
      <c r="F172" s="61" t="str">
        <f aca="false">IF($B172="","",ROUND(SUMIFS(对接源_02物料!$K$4:$K$1203,对接源_02物料!$C$4:$C$1203,$B172,对接源_02物料!$D$4:$D$1203,"周转筐*"),2))</f>
        <v/>
      </c>
      <c r="G172" s="61" t="str">
        <f aca="false">IF($B172="","",ROUND(SUMIFS(对接源_02物料!$K$4:$K$1203,对接源_02物料!$C$4:$C$1203,$B172,对接源_02物料!$D$4:$D$1203,"次果筐*"),2))</f>
        <v/>
      </c>
      <c r="H172" s="61" t="str">
        <f aca="false">IF($B172="","",ROUND(SUM($C172:$G172),2))</f>
        <v/>
      </c>
      <c r="I172" s="61" t="str">
        <f aca="false">IF($B172="","",ROUND(SUMIFS(对接源_01水果!$K$4:$K$1203,对接源_01水果!$C$4:$C$1203,$B172,对接源_01水果!$D$4:$D$1203,"成品出库*",对接源_01水果!$L$4:$L$1203,"已收讫")+SUMIFS(对接源_01水果!$K$4:$K$1203,对接源_01水果!$C$4:$C$1203,$B172,对接源_01水果!$D$4:$D$1203,"成品出库*",对接源_01水果!$L$4:$L$1203,"已付款")+SUMIFS(对接源_01水果!$K$4:$K$1203,对接源_01水果!$C$4:$C$1203,$B172,对接源_01水果!$D$4:$D$1203,"其他代存*",对接源_01水果!$L$4:$L$1203,"已收讫")+SUMIFS(对接源_01水果!$K$4:$K$1203,对接源_01水果!$C$4:$C$1203,$B172,对接源_01水果!$D$4:$D$1203,"其他代存*",对接源_01水果!$L$4:$L$1203,"已付款")+SUMIFS(对接源_02物料!$K$4:$K$1203,对接源_02物料!$C$4:$C$1203,$B172,对接源_02物料!$D$4:$D$1203,"包装物料*",对接源_02物料!$L$4:$L$1203,"已收讫")+SUMIFS(对接源_02物料!$K$4:$K$1203,对接源_02物料!$C$4:$C$1203,$B172,对接源_02物料!$D$4:$D$1203,"包装物料*",对接源_02物料!$L$4:$L$1203,"已付款")+SUMIFS(对接源_02物料!$K$4:$K$1203,对接源_02物料!$C$4:$C$1203,$B172,对接源_02物料!$D$4:$D$1203,"周转筐*",对接源_02物料!$L$4:$L$1203,"已收讫")+SUMIFS(对接源_02物料!$K$4:$K$1203,对接源_02物料!$C$4:$C$1203,$B172,对接源_02物料!$D$4:$D$1203,"周转筐*",对接源_02物料!$L$4:$L$1203,"已付款")+SUMIFS(对接源_02物料!$K$4:$K$1203,对接源_02物料!$C$4:$C$1203,$B172,对接源_02物料!$D$4:$D$1203,"次果筐*",对接源_02物料!$L$4:$L$1203,"已收讫")+SUMIFS(对接源_02物料!$K$4:$K$1203,对接源_02物料!$C$4:$C$1203,$B172,对接源_02物料!$D$4:$D$1203,"次果筐*",对接源_02物料!$L$4:$L$1203,"已付款"),2))</f>
        <v/>
      </c>
      <c r="J172" s="61" t="str">
        <f aca="false">IF($B172="","",ROUND(N($H172)-N($I172),2))</f>
        <v/>
      </c>
      <c r="K172" s="59" t="str">
        <f aca="false">IF($B172="","",IF(ROUND(N($J172),2)&gt;0,"对方欠款",IF(ROUND(N($J172),2)&lt;0,"我方欠款","已两清")))</f>
        <v/>
      </c>
      <c r="L172" s="105"/>
    </row>
    <row r="173" customFormat="false" ht="13.5" hidden="false" customHeight="false" outlineLevel="0" collapsed="false">
      <c r="A173" s="59" t="str">
        <f aca="false">IF($B173="","",ROW()-3)</f>
        <v/>
      </c>
      <c r="B173" s="104" t="str">
        <f aca="false">IFERROR(INDEX(_自动清单!$E$4:$E$303,ROW()-3),"")</f>
        <v/>
      </c>
      <c r="C173" s="61" t="str">
        <f aca="false">IF($B173="","",ROUND(SUMIFS(对接源_01水果!$K$4:$K$1203,对接源_01水果!$C$4:$C$1203,$B173,对接源_01水果!$D$4:$D$1203,"成品出库*"),2))</f>
        <v/>
      </c>
      <c r="D173" s="61" t="str">
        <f aca="false">IF($B173="","",ROUND(SUMIFS(对接源_01水果!$K$4:$K$1203,对接源_01水果!$C$4:$C$1203,$B173,对接源_01水果!$D$4:$D$1203,"其他代存*"),2))</f>
        <v/>
      </c>
      <c r="E173" s="61" t="str">
        <f aca="false">IF($B173="","",ROUND(SUMIFS(对接源_02物料!$K$4:$K$1203,对接源_02物料!$C$4:$C$1203,$B173,对接源_02物料!$D$4:$D$1203,"包装物料*"),2))</f>
        <v/>
      </c>
      <c r="F173" s="61" t="str">
        <f aca="false">IF($B173="","",ROUND(SUMIFS(对接源_02物料!$K$4:$K$1203,对接源_02物料!$C$4:$C$1203,$B173,对接源_02物料!$D$4:$D$1203,"周转筐*"),2))</f>
        <v/>
      </c>
      <c r="G173" s="61" t="str">
        <f aca="false">IF($B173="","",ROUND(SUMIFS(对接源_02物料!$K$4:$K$1203,对接源_02物料!$C$4:$C$1203,$B173,对接源_02物料!$D$4:$D$1203,"次果筐*"),2))</f>
        <v/>
      </c>
      <c r="H173" s="61" t="str">
        <f aca="false">IF($B173="","",ROUND(SUM($C173:$G173),2))</f>
        <v/>
      </c>
      <c r="I173" s="61" t="str">
        <f aca="false">IF($B173="","",ROUND(SUMIFS(对接源_01水果!$K$4:$K$1203,对接源_01水果!$C$4:$C$1203,$B173,对接源_01水果!$D$4:$D$1203,"成品出库*",对接源_01水果!$L$4:$L$1203,"已收讫")+SUMIFS(对接源_01水果!$K$4:$K$1203,对接源_01水果!$C$4:$C$1203,$B173,对接源_01水果!$D$4:$D$1203,"成品出库*",对接源_01水果!$L$4:$L$1203,"已付款")+SUMIFS(对接源_01水果!$K$4:$K$1203,对接源_01水果!$C$4:$C$1203,$B173,对接源_01水果!$D$4:$D$1203,"其他代存*",对接源_01水果!$L$4:$L$1203,"已收讫")+SUMIFS(对接源_01水果!$K$4:$K$1203,对接源_01水果!$C$4:$C$1203,$B173,对接源_01水果!$D$4:$D$1203,"其他代存*",对接源_01水果!$L$4:$L$1203,"已付款")+SUMIFS(对接源_02物料!$K$4:$K$1203,对接源_02物料!$C$4:$C$1203,$B173,对接源_02物料!$D$4:$D$1203,"包装物料*",对接源_02物料!$L$4:$L$1203,"已收讫")+SUMIFS(对接源_02物料!$K$4:$K$1203,对接源_02物料!$C$4:$C$1203,$B173,对接源_02物料!$D$4:$D$1203,"包装物料*",对接源_02物料!$L$4:$L$1203,"已付款")+SUMIFS(对接源_02物料!$K$4:$K$1203,对接源_02物料!$C$4:$C$1203,$B173,对接源_02物料!$D$4:$D$1203,"周转筐*",对接源_02物料!$L$4:$L$1203,"已收讫")+SUMIFS(对接源_02物料!$K$4:$K$1203,对接源_02物料!$C$4:$C$1203,$B173,对接源_02物料!$D$4:$D$1203,"周转筐*",对接源_02物料!$L$4:$L$1203,"已付款")+SUMIFS(对接源_02物料!$K$4:$K$1203,对接源_02物料!$C$4:$C$1203,$B173,对接源_02物料!$D$4:$D$1203,"次果筐*",对接源_02物料!$L$4:$L$1203,"已收讫")+SUMIFS(对接源_02物料!$K$4:$K$1203,对接源_02物料!$C$4:$C$1203,$B173,对接源_02物料!$D$4:$D$1203,"次果筐*",对接源_02物料!$L$4:$L$1203,"已付款"),2))</f>
        <v/>
      </c>
      <c r="J173" s="61" t="str">
        <f aca="false">IF($B173="","",ROUND(N($H173)-N($I173),2))</f>
        <v/>
      </c>
      <c r="K173" s="59" t="str">
        <f aca="false">IF($B173="","",IF(ROUND(N($J173),2)&gt;0,"对方欠款",IF(ROUND(N($J173),2)&lt;0,"我方欠款","已两清")))</f>
        <v/>
      </c>
      <c r="L173" s="105"/>
    </row>
    <row r="174" customFormat="false" ht="13.5" hidden="false" customHeight="false" outlineLevel="0" collapsed="false">
      <c r="A174" s="59" t="str">
        <f aca="false">IF($B174="","",ROW()-3)</f>
        <v/>
      </c>
      <c r="B174" s="104" t="str">
        <f aca="false">IFERROR(INDEX(_自动清单!$E$4:$E$303,ROW()-3),"")</f>
        <v/>
      </c>
      <c r="C174" s="61" t="str">
        <f aca="false">IF($B174="","",ROUND(SUMIFS(对接源_01水果!$K$4:$K$1203,对接源_01水果!$C$4:$C$1203,$B174,对接源_01水果!$D$4:$D$1203,"成品出库*"),2))</f>
        <v/>
      </c>
      <c r="D174" s="61" t="str">
        <f aca="false">IF($B174="","",ROUND(SUMIFS(对接源_01水果!$K$4:$K$1203,对接源_01水果!$C$4:$C$1203,$B174,对接源_01水果!$D$4:$D$1203,"其他代存*"),2))</f>
        <v/>
      </c>
      <c r="E174" s="61" t="str">
        <f aca="false">IF($B174="","",ROUND(SUMIFS(对接源_02物料!$K$4:$K$1203,对接源_02物料!$C$4:$C$1203,$B174,对接源_02物料!$D$4:$D$1203,"包装物料*"),2))</f>
        <v/>
      </c>
      <c r="F174" s="61" t="str">
        <f aca="false">IF($B174="","",ROUND(SUMIFS(对接源_02物料!$K$4:$K$1203,对接源_02物料!$C$4:$C$1203,$B174,对接源_02物料!$D$4:$D$1203,"周转筐*"),2))</f>
        <v/>
      </c>
      <c r="G174" s="61" t="str">
        <f aca="false">IF($B174="","",ROUND(SUMIFS(对接源_02物料!$K$4:$K$1203,对接源_02物料!$C$4:$C$1203,$B174,对接源_02物料!$D$4:$D$1203,"次果筐*"),2))</f>
        <v/>
      </c>
      <c r="H174" s="61" t="str">
        <f aca="false">IF($B174="","",ROUND(SUM($C174:$G174),2))</f>
        <v/>
      </c>
      <c r="I174" s="61" t="str">
        <f aca="false">IF($B174="","",ROUND(SUMIFS(对接源_01水果!$K$4:$K$1203,对接源_01水果!$C$4:$C$1203,$B174,对接源_01水果!$D$4:$D$1203,"成品出库*",对接源_01水果!$L$4:$L$1203,"已收讫")+SUMIFS(对接源_01水果!$K$4:$K$1203,对接源_01水果!$C$4:$C$1203,$B174,对接源_01水果!$D$4:$D$1203,"成品出库*",对接源_01水果!$L$4:$L$1203,"已付款")+SUMIFS(对接源_01水果!$K$4:$K$1203,对接源_01水果!$C$4:$C$1203,$B174,对接源_01水果!$D$4:$D$1203,"其他代存*",对接源_01水果!$L$4:$L$1203,"已收讫")+SUMIFS(对接源_01水果!$K$4:$K$1203,对接源_01水果!$C$4:$C$1203,$B174,对接源_01水果!$D$4:$D$1203,"其他代存*",对接源_01水果!$L$4:$L$1203,"已付款")+SUMIFS(对接源_02物料!$K$4:$K$1203,对接源_02物料!$C$4:$C$1203,$B174,对接源_02物料!$D$4:$D$1203,"包装物料*",对接源_02物料!$L$4:$L$1203,"已收讫")+SUMIFS(对接源_02物料!$K$4:$K$1203,对接源_02物料!$C$4:$C$1203,$B174,对接源_02物料!$D$4:$D$1203,"包装物料*",对接源_02物料!$L$4:$L$1203,"已付款")+SUMIFS(对接源_02物料!$K$4:$K$1203,对接源_02物料!$C$4:$C$1203,$B174,对接源_02物料!$D$4:$D$1203,"周转筐*",对接源_02物料!$L$4:$L$1203,"已收讫")+SUMIFS(对接源_02物料!$K$4:$K$1203,对接源_02物料!$C$4:$C$1203,$B174,对接源_02物料!$D$4:$D$1203,"周转筐*",对接源_02物料!$L$4:$L$1203,"已付款")+SUMIFS(对接源_02物料!$K$4:$K$1203,对接源_02物料!$C$4:$C$1203,$B174,对接源_02物料!$D$4:$D$1203,"次果筐*",对接源_02物料!$L$4:$L$1203,"已收讫")+SUMIFS(对接源_02物料!$K$4:$K$1203,对接源_02物料!$C$4:$C$1203,$B174,对接源_02物料!$D$4:$D$1203,"次果筐*",对接源_02物料!$L$4:$L$1203,"已付款"),2))</f>
        <v/>
      </c>
      <c r="J174" s="61" t="str">
        <f aca="false">IF($B174="","",ROUND(N($H174)-N($I174),2))</f>
        <v/>
      </c>
      <c r="K174" s="59" t="str">
        <f aca="false">IF($B174="","",IF(ROUND(N($J174),2)&gt;0,"对方欠款",IF(ROUND(N($J174),2)&lt;0,"我方欠款","已两清")))</f>
        <v/>
      </c>
      <c r="L174" s="105"/>
    </row>
    <row r="175" customFormat="false" ht="13.5" hidden="false" customHeight="false" outlineLevel="0" collapsed="false">
      <c r="A175" s="59" t="str">
        <f aca="false">IF($B175="","",ROW()-3)</f>
        <v/>
      </c>
      <c r="B175" s="104" t="str">
        <f aca="false">IFERROR(INDEX(_自动清单!$E$4:$E$303,ROW()-3),"")</f>
        <v/>
      </c>
      <c r="C175" s="61" t="str">
        <f aca="false">IF($B175="","",ROUND(SUMIFS(对接源_01水果!$K$4:$K$1203,对接源_01水果!$C$4:$C$1203,$B175,对接源_01水果!$D$4:$D$1203,"成品出库*"),2))</f>
        <v/>
      </c>
      <c r="D175" s="61" t="str">
        <f aca="false">IF($B175="","",ROUND(SUMIFS(对接源_01水果!$K$4:$K$1203,对接源_01水果!$C$4:$C$1203,$B175,对接源_01水果!$D$4:$D$1203,"其他代存*"),2))</f>
        <v/>
      </c>
      <c r="E175" s="61" t="str">
        <f aca="false">IF($B175="","",ROUND(SUMIFS(对接源_02物料!$K$4:$K$1203,对接源_02物料!$C$4:$C$1203,$B175,对接源_02物料!$D$4:$D$1203,"包装物料*"),2))</f>
        <v/>
      </c>
      <c r="F175" s="61" t="str">
        <f aca="false">IF($B175="","",ROUND(SUMIFS(对接源_02物料!$K$4:$K$1203,对接源_02物料!$C$4:$C$1203,$B175,对接源_02物料!$D$4:$D$1203,"周转筐*"),2))</f>
        <v/>
      </c>
      <c r="G175" s="61" t="str">
        <f aca="false">IF($B175="","",ROUND(SUMIFS(对接源_02物料!$K$4:$K$1203,对接源_02物料!$C$4:$C$1203,$B175,对接源_02物料!$D$4:$D$1203,"次果筐*"),2))</f>
        <v/>
      </c>
      <c r="H175" s="61" t="str">
        <f aca="false">IF($B175="","",ROUND(SUM($C175:$G175),2))</f>
        <v/>
      </c>
      <c r="I175" s="61" t="str">
        <f aca="false">IF($B175="","",ROUND(SUMIFS(对接源_01水果!$K$4:$K$1203,对接源_01水果!$C$4:$C$1203,$B175,对接源_01水果!$D$4:$D$1203,"成品出库*",对接源_01水果!$L$4:$L$1203,"已收讫")+SUMIFS(对接源_01水果!$K$4:$K$1203,对接源_01水果!$C$4:$C$1203,$B175,对接源_01水果!$D$4:$D$1203,"成品出库*",对接源_01水果!$L$4:$L$1203,"已付款")+SUMIFS(对接源_01水果!$K$4:$K$1203,对接源_01水果!$C$4:$C$1203,$B175,对接源_01水果!$D$4:$D$1203,"其他代存*",对接源_01水果!$L$4:$L$1203,"已收讫")+SUMIFS(对接源_01水果!$K$4:$K$1203,对接源_01水果!$C$4:$C$1203,$B175,对接源_01水果!$D$4:$D$1203,"其他代存*",对接源_01水果!$L$4:$L$1203,"已付款")+SUMIFS(对接源_02物料!$K$4:$K$1203,对接源_02物料!$C$4:$C$1203,$B175,对接源_02物料!$D$4:$D$1203,"包装物料*",对接源_02物料!$L$4:$L$1203,"已收讫")+SUMIFS(对接源_02物料!$K$4:$K$1203,对接源_02物料!$C$4:$C$1203,$B175,对接源_02物料!$D$4:$D$1203,"包装物料*",对接源_02物料!$L$4:$L$1203,"已付款")+SUMIFS(对接源_02物料!$K$4:$K$1203,对接源_02物料!$C$4:$C$1203,$B175,对接源_02物料!$D$4:$D$1203,"周转筐*",对接源_02物料!$L$4:$L$1203,"已收讫")+SUMIFS(对接源_02物料!$K$4:$K$1203,对接源_02物料!$C$4:$C$1203,$B175,对接源_02物料!$D$4:$D$1203,"周转筐*",对接源_02物料!$L$4:$L$1203,"已付款")+SUMIFS(对接源_02物料!$K$4:$K$1203,对接源_02物料!$C$4:$C$1203,$B175,对接源_02物料!$D$4:$D$1203,"次果筐*",对接源_02物料!$L$4:$L$1203,"已收讫")+SUMIFS(对接源_02物料!$K$4:$K$1203,对接源_02物料!$C$4:$C$1203,$B175,对接源_02物料!$D$4:$D$1203,"次果筐*",对接源_02物料!$L$4:$L$1203,"已付款"),2))</f>
        <v/>
      </c>
      <c r="J175" s="61" t="str">
        <f aca="false">IF($B175="","",ROUND(N($H175)-N($I175),2))</f>
        <v/>
      </c>
      <c r="K175" s="59" t="str">
        <f aca="false">IF($B175="","",IF(ROUND(N($J175),2)&gt;0,"对方欠款",IF(ROUND(N($J175),2)&lt;0,"我方欠款","已两清")))</f>
        <v/>
      </c>
      <c r="L175" s="105"/>
    </row>
    <row r="176" customFormat="false" ht="13.5" hidden="false" customHeight="false" outlineLevel="0" collapsed="false">
      <c r="A176" s="59" t="str">
        <f aca="false">IF($B176="","",ROW()-3)</f>
        <v/>
      </c>
      <c r="B176" s="104" t="str">
        <f aca="false">IFERROR(INDEX(_自动清单!$E$4:$E$303,ROW()-3),"")</f>
        <v/>
      </c>
      <c r="C176" s="61" t="str">
        <f aca="false">IF($B176="","",ROUND(SUMIFS(对接源_01水果!$K$4:$K$1203,对接源_01水果!$C$4:$C$1203,$B176,对接源_01水果!$D$4:$D$1203,"成品出库*"),2))</f>
        <v/>
      </c>
      <c r="D176" s="61" t="str">
        <f aca="false">IF($B176="","",ROUND(SUMIFS(对接源_01水果!$K$4:$K$1203,对接源_01水果!$C$4:$C$1203,$B176,对接源_01水果!$D$4:$D$1203,"其他代存*"),2))</f>
        <v/>
      </c>
      <c r="E176" s="61" t="str">
        <f aca="false">IF($B176="","",ROUND(SUMIFS(对接源_02物料!$K$4:$K$1203,对接源_02物料!$C$4:$C$1203,$B176,对接源_02物料!$D$4:$D$1203,"包装物料*"),2))</f>
        <v/>
      </c>
      <c r="F176" s="61" t="str">
        <f aca="false">IF($B176="","",ROUND(SUMIFS(对接源_02物料!$K$4:$K$1203,对接源_02物料!$C$4:$C$1203,$B176,对接源_02物料!$D$4:$D$1203,"周转筐*"),2))</f>
        <v/>
      </c>
      <c r="G176" s="61" t="str">
        <f aca="false">IF($B176="","",ROUND(SUMIFS(对接源_02物料!$K$4:$K$1203,对接源_02物料!$C$4:$C$1203,$B176,对接源_02物料!$D$4:$D$1203,"次果筐*"),2))</f>
        <v/>
      </c>
      <c r="H176" s="61" t="str">
        <f aca="false">IF($B176="","",ROUND(SUM($C176:$G176),2))</f>
        <v/>
      </c>
      <c r="I176" s="61" t="str">
        <f aca="false">IF($B176="","",ROUND(SUMIFS(对接源_01水果!$K$4:$K$1203,对接源_01水果!$C$4:$C$1203,$B176,对接源_01水果!$D$4:$D$1203,"成品出库*",对接源_01水果!$L$4:$L$1203,"已收讫")+SUMIFS(对接源_01水果!$K$4:$K$1203,对接源_01水果!$C$4:$C$1203,$B176,对接源_01水果!$D$4:$D$1203,"成品出库*",对接源_01水果!$L$4:$L$1203,"已付款")+SUMIFS(对接源_01水果!$K$4:$K$1203,对接源_01水果!$C$4:$C$1203,$B176,对接源_01水果!$D$4:$D$1203,"其他代存*",对接源_01水果!$L$4:$L$1203,"已收讫")+SUMIFS(对接源_01水果!$K$4:$K$1203,对接源_01水果!$C$4:$C$1203,$B176,对接源_01水果!$D$4:$D$1203,"其他代存*",对接源_01水果!$L$4:$L$1203,"已付款")+SUMIFS(对接源_02物料!$K$4:$K$1203,对接源_02物料!$C$4:$C$1203,$B176,对接源_02物料!$D$4:$D$1203,"包装物料*",对接源_02物料!$L$4:$L$1203,"已收讫")+SUMIFS(对接源_02物料!$K$4:$K$1203,对接源_02物料!$C$4:$C$1203,$B176,对接源_02物料!$D$4:$D$1203,"包装物料*",对接源_02物料!$L$4:$L$1203,"已付款")+SUMIFS(对接源_02物料!$K$4:$K$1203,对接源_02物料!$C$4:$C$1203,$B176,对接源_02物料!$D$4:$D$1203,"周转筐*",对接源_02物料!$L$4:$L$1203,"已收讫")+SUMIFS(对接源_02物料!$K$4:$K$1203,对接源_02物料!$C$4:$C$1203,$B176,对接源_02物料!$D$4:$D$1203,"周转筐*",对接源_02物料!$L$4:$L$1203,"已付款")+SUMIFS(对接源_02物料!$K$4:$K$1203,对接源_02物料!$C$4:$C$1203,$B176,对接源_02物料!$D$4:$D$1203,"次果筐*",对接源_02物料!$L$4:$L$1203,"已收讫")+SUMIFS(对接源_02物料!$K$4:$K$1203,对接源_02物料!$C$4:$C$1203,$B176,对接源_02物料!$D$4:$D$1203,"次果筐*",对接源_02物料!$L$4:$L$1203,"已付款"),2))</f>
        <v/>
      </c>
      <c r="J176" s="61" t="str">
        <f aca="false">IF($B176="","",ROUND(N($H176)-N($I176),2))</f>
        <v/>
      </c>
      <c r="K176" s="59" t="str">
        <f aca="false">IF($B176="","",IF(ROUND(N($J176),2)&gt;0,"对方欠款",IF(ROUND(N($J176),2)&lt;0,"我方欠款","已两清")))</f>
        <v/>
      </c>
      <c r="L176" s="105"/>
    </row>
    <row r="177" customFormat="false" ht="13.5" hidden="false" customHeight="false" outlineLevel="0" collapsed="false">
      <c r="A177" s="59" t="str">
        <f aca="false">IF($B177="","",ROW()-3)</f>
        <v/>
      </c>
      <c r="B177" s="104" t="str">
        <f aca="false">IFERROR(INDEX(_自动清单!$E$4:$E$303,ROW()-3),"")</f>
        <v/>
      </c>
      <c r="C177" s="61" t="str">
        <f aca="false">IF($B177="","",ROUND(SUMIFS(对接源_01水果!$K$4:$K$1203,对接源_01水果!$C$4:$C$1203,$B177,对接源_01水果!$D$4:$D$1203,"成品出库*"),2))</f>
        <v/>
      </c>
      <c r="D177" s="61" t="str">
        <f aca="false">IF($B177="","",ROUND(SUMIFS(对接源_01水果!$K$4:$K$1203,对接源_01水果!$C$4:$C$1203,$B177,对接源_01水果!$D$4:$D$1203,"其他代存*"),2))</f>
        <v/>
      </c>
      <c r="E177" s="61" t="str">
        <f aca="false">IF($B177="","",ROUND(SUMIFS(对接源_02物料!$K$4:$K$1203,对接源_02物料!$C$4:$C$1203,$B177,对接源_02物料!$D$4:$D$1203,"包装物料*"),2))</f>
        <v/>
      </c>
      <c r="F177" s="61" t="str">
        <f aca="false">IF($B177="","",ROUND(SUMIFS(对接源_02物料!$K$4:$K$1203,对接源_02物料!$C$4:$C$1203,$B177,对接源_02物料!$D$4:$D$1203,"周转筐*"),2))</f>
        <v/>
      </c>
      <c r="G177" s="61" t="str">
        <f aca="false">IF($B177="","",ROUND(SUMIFS(对接源_02物料!$K$4:$K$1203,对接源_02物料!$C$4:$C$1203,$B177,对接源_02物料!$D$4:$D$1203,"次果筐*"),2))</f>
        <v/>
      </c>
      <c r="H177" s="61" t="str">
        <f aca="false">IF($B177="","",ROUND(SUM($C177:$G177),2))</f>
        <v/>
      </c>
      <c r="I177" s="61" t="str">
        <f aca="false">IF($B177="","",ROUND(SUMIFS(对接源_01水果!$K$4:$K$1203,对接源_01水果!$C$4:$C$1203,$B177,对接源_01水果!$D$4:$D$1203,"成品出库*",对接源_01水果!$L$4:$L$1203,"已收讫")+SUMIFS(对接源_01水果!$K$4:$K$1203,对接源_01水果!$C$4:$C$1203,$B177,对接源_01水果!$D$4:$D$1203,"成品出库*",对接源_01水果!$L$4:$L$1203,"已付款")+SUMIFS(对接源_01水果!$K$4:$K$1203,对接源_01水果!$C$4:$C$1203,$B177,对接源_01水果!$D$4:$D$1203,"其他代存*",对接源_01水果!$L$4:$L$1203,"已收讫")+SUMIFS(对接源_01水果!$K$4:$K$1203,对接源_01水果!$C$4:$C$1203,$B177,对接源_01水果!$D$4:$D$1203,"其他代存*",对接源_01水果!$L$4:$L$1203,"已付款")+SUMIFS(对接源_02物料!$K$4:$K$1203,对接源_02物料!$C$4:$C$1203,$B177,对接源_02物料!$D$4:$D$1203,"包装物料*",对接源_02物料!$L$4:$L$1203,"已收讫")+SUMIFS(对接源_02物料!$K$4:$K$1203,对接源_02物料!$C$4:$C$1203,$B177,对接源_02物料!$D$4:$D$1203,"包装物料*",对接源_02物料!$L$4:$L$1203,"已付款")+SUMIFS(对接源_02物料!$K$4:$K$1203,对接源_02物料!$C$4:$C$1203,$B177,对接源_02物料!$D$4:$D$1203,"周转筐*",对接源_02物料!$L$4:$L$1203,"已收讫")+SUMIFS(对接源_02物料!$K$4:$K$1203,对接源_02物料!$C$4:$C$1203,$B177,对接源_02物料!$D$4:$D$1203,"周转筐*",对接源_02物料!$L$4:$L$1203,"已付款")+SUMIFS(对接源_02物料!$K$4:$K$1203,对接源_02物料!$C$4:$C$1203,$B177,对接源_02物料!$D$4:$D$1203,"次果筐*",对接源_02物料!$L$4:$L$1203,"已收讫")+SUMIFS(对接源_02物料!$K$4:$K$1203,对接源_02物料!$C$4:$C$1203,$B177,对接源_02物料!$D$4:$D$1203,"次果筐*",对接源_02物料!$L$4:$L$1203,"已付款"),2))</f>
        <v/>
      </c>
      <c r="J177" s="61" t="str">
        <f aca="false">IF($B177="","",ROUND(N($H177)-N($I177),2))</f>
        <v/>
      </c>
      <c r="K177" s="59" t="str">
        <f aca="false">IF($B177="","",IF(ROUND(N($J177),2)&gt;0,"对方欠款",IF(ROUND(N($J177),2)&lt;0,"我方欠款","已两清")))</f>
        <v/>
      </c>
      <c r="L177" s="105"/>
    </row>
    <row r="178" customFormat="false" ht="13.5" hidden="false" customHeight="false" outlineLevel="0" collapsed="false">
      <c r="A178" s="59" t="str">
        <f aca="false">IF($B178="","",ROW()-3)</f>
        <v/>
      </c>
      <c r="B178" s="104" t="str">
        <f aca="false">IFERROR(INDEX(_自动清单!$E$4:$E$303,ROW()-3),"")</f>
        <v/>
      </c>
      <c r="C178" s="61" t="str">
        <f aca="false">IF($B178="","",ROUND(SUMIFS(对接源_01水果!$K$4:$K$1203,对接源_01水果!$C$4:$C$1203,$B178,对接源_01水果!$D$4:$D$1203,"成品出库*"),2))</f>
        <v/>
      </c>
      <c r="D178" s="61" t="str">
        <f aca="false">IF($B178="","",ROUND(SUMIFS(对接源_01水果!$K$4:$K$1203,对接源_01水果!$C$4:$C$1203,$B178,对接源_01水果!$D$4:$D$1203,"其他代存*"),2))</f>
        <v/>
      </c>
      <c r="E178" s="61" t="str">
        <f aca="false">IF($B178="","",ROUND(SUMIFS(对接源_02物料!$K$4:$K$1203,对接源_02物料!$C$4:$C$1203,$B178,对接源_02物料!$D$4:$D$1203,"包装物料*"),2))</f>
        <v/>
      </c>
      <c r="F178" s="61" t="str">
        <f aca="false">IF($B178="","",ROUND(SUMIFS(对接源_02物料!$K$4:$K$1203,对接源_02物料!$C$4:$C$1203,$B178,对接源_02物料!$D$4:$D$1203,"周转筐*"),2))</f>
        <v/>
      </c>
      <c r="G178" s="61" t="str">
        <f aca="false">IF($B178="","",ROUND(SUMIFS(对接源_02物料!$K$4:$K$1203,对接源_02物料!$C$4:$C$1203,$B178,对接源_02物料!$D$4:$D$1203,"次果筐*"),2))</f>
        <v/>
      </c>
      <c r="H178" s="61" t="str">
        <f aca="false">IF($B178="","",ROUND(SUM($C178:$G178),2))</f>
        <v/>
      </c>
      <c r="I178" s="61" t="str">
        <f aca="false">IF($B178="","",ROUND(SUMIFS(对接源_01水果!$K$4:$K$1203,对接源_01水果!$C$4:$C$1203,$B178,对接源_01水果!$D$4:$D$1203,"成品出库*",对接源_01水果!$L$4:$L$1203,"已收讫")+SUMIFS(对接源_01水果!$K$4:$K$1203,对接源_01水果!$C$4:$C$1203,$B178,对接源_01水果!$D$4:$D$1203,"成品出库*",对接源_01水果!$L$4:$L$1203,"已付款")+SUMIFS(对接源_01水果!$K$4:$K$1203,对接源_01水果!$C$4:$C$1203,$B178,对接源_01水果!$D$4:$D$1203,"其他代存*",对接源_01水果!$L$4:$L$1203,"已收讫")+SUMIFS(对接源_01水果!$K$4:$K$1203,对接源_01水果!$C$4:$C$1203,$B178,对接源_01水果!$D$4:$D$1203,"其他代存*",对接源_01水果!$L$4:$L$1203,"已付款")+SUMIFS(对接源_02物料!$K$4:$K$1203,对接源_02物料!$C$4:$C$1203,$B178,对接源_02物料!$D$4:$D$1203,"包装物料*",对接源_02物料!$L$4:$L$1203,"已收讫")+SUMIFS(对接源_02物料!$K$4:$K$1203,对接源_02物料!$C$4:$C$1203,$B178,对接源_02物料!$D$4:$D$1203,"包装物料*",对接源_02物料!$L$4:$L$1203,"已付款")+SUMIFS(对接源_02物料!$K$4:$K$1203,对接源_02物料!$C$4:$C$1203,$B178,对接源_02物料!$D$4:$D$1203,"周转筐*",对接源_02物料!$L$4:$L$1203,"已收讫")+SUMIFS(对接源_02物料!$K$4:$K$1203,对接源_02物料!$C$4:$C$1203,$B178,对接源_02物料!$D$4:$D$1203,"周转筐*",对接源_02物料!$L$4:$L$1203,"已付款")+SUMIFS(对接源_02物料!$K$4:$K$1203,对接源_02物料!$C$4:$C$1203,$B178,对接源_02物料!$D$4:$D$1203,"次果筐*",对接源_02物料!$L$4:$L$1203,"已收讫")+SUMIFS(对接源_02物料!$K$4:$K$1203,对接源_02物料!$C$4:$C$1203,$B178,对接源_02物料!$D$4:$D$1203,"次果筐*",对接源_02物料!$L$4:$L$1203,"已付款"),2))</f>
        <v/>
      </c>
      <c r="J178" s="61" t="str">
        <f aca="false">IF($B178="","",ROUND(N($H178)-N($I178),2))</f>
        <v/>
      </c>
      <c r="K178" s="59" t="str">
        <f aca="false">IF($B178="","",IF(ROUND(N($J178),2)&gt;0,"对方欠款",IF(ROUND(N($J178),2)&lt;0,"我方欠款","已两清")))</f>
        <v/>
      </c>
      <c r="L178" s="105"/>
    </row>
    <row r="179" customFormat="false" ht="13.5" hidden="false" customHeight="false" outlineLevel="0" collapsed="false">
      <c r="A179" s="59" t="str">
        <f aca="false">IF($B179="","",ROW()-3)</f>
        <v/>
      </c>
      <c r="B179" s="104" t="str">
        <f aca="false">IFERROR(INDEX(_自动清单!$E$4:$E$303,ROW()-3),"")</f>
        <v/>
      </c>
      <c r="C179" s="61" t="str">
        <f aca="false">IF($B179="","",ROUND(SUMIFS(对接源_01水果!$K$4:$K$1203,对接源_01水果!$C$4:$C$1203,$B179,对接源_01水果!$D$4:$D$1203,"成品出库*"),2))</f>
        <v/>
      </c>
      <c r="D179" s="61" t="str">
        <f aca="false">IF($B179="","",ROUND(SUMIFS(对接源_01水果!$K$4:$K$1203,对接源_01水果!$C$4:$C$1203,$B179,对接源_01水果!$D$4:$D$1203,"其他代存*"),2))</f>
        <v/>
      </c>
      <c r="E179" s="61" t="str">
        <f aca="false">IF($B179="","",ROUND(SUMIFS(对接源_02物料!$K$4:$K$1203,对接源_02物料!$C$4:$C$1203,$B179,对接源_02物料!$D$4:$D$1203,"包装物料*"),2))</f>
        <v/>
      </c>
      <c r="F179" s="61" t="str">
        <f aca="false">IF($B179="","",ROUND(SUMIFS(对接源_02物料!$K$4:$K$1203,对接源_02物料!$C$4:$C$1203,$B179,对接源_02物料!$D$4:$D$1203,"周转筐*"),2))</f>
        <v/>
      </c>
      <c r="G179" s="61" t="str">
        <f aca="false">IF($B179="","",ROUND(SUMIFS(对接源_02物料!$K$4:$K$1203,对接源_02物料!$C$4:$C$1203,$B179,对接源_02物料!$D$4:$D$1203,"次果筐*"),2))</f>
        <v/>
      </c>
      <c r="H179" s="61" t="str">
        <f aca="false">IF($B179="","",ROUND(SUM($C179:$G179),2))</f>
        <v/>
      </c>
      <c r="I179" s="61" t="str">
        <f aca="false">IF($B179="","",ROUND(SUMIFS(对接源_01水果!$K$4:$K$1203,对接源_01水果!$C$4:$C$1203,$B179,对接源_01水果!$D$4:$D$1203,"成品出库*",对接源_01水果!$L$4:$L$1203,"已收讫")+SUMIFS(对接源_01水果!$K$4:$K$1203,对接源_01水果!$C$4:$C$1203,$B179,对接源_01水果!$D$4:$D$1203,"成品出库*",对接源_01水果!$L$4:$L$1203,"已付款")+SUMIFS(对接源_01水果!$K$4:$K$1203,对接源_01水果!$C$4:$C$1203,$B179,对接源_01水果!$D$4:$D$1203,"其他代存*",对接源_01水果!$L$4:$L$1203,"已收讫")+SUMIFS(对接源_01水果!$K$4:$K$1203,对接源_01水果!$C$4:$C$1203,$B179,对接源_01水果!$D$4:$D$1203,"其他代存*",对接源_01水果!$L$4:$L$1203,"已付款")+SUMIFS(对接源_02物料!$K$4:$K$1203,对接源_02物料!$C$4:$C$1203,$B179,对接源_02物料!$D$4:$D$1203,"包装物料*",对接源_02物料!$L$4:$L$1203,"已收讫")+SUMIFS(对接源_02物料!$K$4:$K$1203,对接源_02物料!$C$4:$C$1203,$B179,对接源_02物料!$D$4:$D$1203,"包装物料*",对接源_02物料!$L$4:$L$1203,"已付款")+SUMIFS(对接源_02物料!$K$4:$K$1203,对接源_02物料!$C$4:$C$1203,$B179,对接源_02物料!$D$4:$D$1203,"周转筐*",对接源_02物料!$L$4:$L$1203,"已收讫")+SUMIFS(对接源_02物料!$K$4:$K$1203,对接源_02物料!$C$4:$C$1203,$B179,对接源_02物料!$D$4:$D$1203,"周转筐*",对接源_02物料!$L$4:$L$1203,"已付款")+SUMIFS(对接源_02物料!$K$4:$K$1203,对接源_02物料!$C$4:$C$1203,$B179,对接源_02物料!$D$4:$D$1203,"次果筐*",对接源_02物料!$L$4:$L$1203,"已收讫")+SUMIFS(对接源_02物料!$K$4:$K$1203,对接源_02物料!$C$4:$C$1203,$B179,对接源_02物料!$D$4:$D$1203,"次果筐*",对接源_02物料!$L$4:$L$1203,"已付款"),2))</f>
        <v/>
      </c>
      <c r="J179" s="61" t="str">
        <f aca="false">IF($B179="","",ROUND(N($H179)-N($I179),2))</f>
        <v/>
      </c>
      <c r="K179" s="59" t="str">
        <f aca="false">IF($B179="","",IF(ROUND(N($J179),2)&gt;0,"对方欠款",IF(ROUND(N($J179),2)&lt;0,"我方欠款","已两清")))</f>
        <v/>
      </c>
      <c r="L179" s="105"/>
    </row>
    <row r="180" customFormat="false" ht="13.5" hidden="false" customHeight="false" outlineLevel="0" collapsed="false">
      <c r="A180" s="59" t="str">
        <f aca="false">IF($B180="","",ROW()-3)</f>
        <v/>
      </c>
      <c r="B180" s="104" t="str">
        <f aca="false">IFERROR(INDEX(_自动清单!$E$4:$E$303,ROW()-3),"")</f>
        <v/>
      </c>
      <c r="C180" s="61" t="str">
        <f aca="false">IF($B180="","",ROUND(SUMIFS(对接源_01水果!$K$4:$K$1203,对接源_01水果!$C$4:$C$1203,$B180,对接源_01水果!$D$4:$D$1203,"成品出库*"),2))</f>
        <v/>
      </c>
      <c r="D180" s="61" t="str">
        <f aca="false">IF($B180="","",ROUND(SUMIFS(对接源_01水果!$K$4:$K$1203,对接源_01水果!$C$4:$C$1203,$B180,对接源_01水果!$D$4:$D$1203,"其他代存*"),2))</f>
        <v/>
      </c>
      <c r="E180" s="61" t="str">
        <f aca="false">IF($B180="","",ROUND(SUMIFS(对接源_02物料!$K$4:$K$1203,对接源_02物料!$C$4:$C$1203,$B180,对接源_02物料!$D$4:$D$1203,"包装物料*"),2))</f>
        <v/>
      </c>
      <c r="F180" s="61" t="str">
        <f aca="false">IF($B180="","",ROUND(SUMIFS(对接源_02物料!$K$4:$K$1203,对接源_02物料!$C$4:$C$1203,$B180,对接源_02物料!$D$4:$D$1203,"周转筐*"),2))</f>
        <v/>
      </c>
      <c r="G180" s="61" t="str">
        <f aca="false">IF($B180="","",ROUND(SUMIFS(对接源_02物料!$K$4:$K$1203,对接源_02物料!$C$4:$C$1203,$B180,对接源_02物料!$D$4:$D$1203,"次果筐*"),2))</f>
        <v/>
      </c>
      <c r="H180" s="61" t="str">
        <f aca="false">IF($B180="","",ROUND(SUM($C180:$G180),2))</f>
        <v/>
      </c>
      <c r="I180" s="61" t="str">
        <f aca="false">IF($B180="","",ROUND(SUMIFS(对接源_01水果!$K$4:$K$1203,对接源_01水果!$C$4:$C$1203,$B180,对接源_01水果!$D$4:$D$1203,"成品出库*",对接源_01水果!$L$4:$L$1203,"已收讫")+SUMIFS(对接源_01水果!$K$4:$K$1203,对接源_01水果!$C$4:$C$1203,$B180,对接源_01水果!$D$4:$D$1203,"成品出库*",对接源_01水果!$L$4:$L$1203,"已付款")+SUMIFS(对接源_01水果!$K$4:$K$1203,对接源_01水果!$C$4:$C$1203,$B180,对接源_01水果!$D$4:$D$1203,"其他代存*",对接源_01水果!$L$4:$L$1203,"已收讫")+SUMIFS(对接源_01水果!$K$4:$K$1203,对接源_01水果!$C$4:$C$1203,$B180,对接源_01水果!$D$4:$D$1203,"其他代存*",对接源_01水果!$L$4:$L$1203,"已付款")+SUMIFS(对接源_02物料!$K$4:$K$1203,对接源_02物料!$C$4:$C$1203,$B180,对接源_02物料!$D$4:$D$1203,"包装物料*",对接源_02物料!$L$4:$L$1203,"已收讫")+SUMIFS(对接源_02物料!$K$4:$K$1203,对接源_02物料!$C$4:$C$1203,$B180,对接源_02物料!$D$4:$D$1203,"包装物料*",对接源_02物料!$L$4:$L$1203,"已付款")+SUMIFS(对接源_02物料!$K$4:$K$1203,对接源_02物料!$C$4:$C$1203,$B180,对接源_02物料!$D$4:$D$1203,"周转筐*",对接源_02物料!$L$4:$L$1203,"已收讫")+SUMIFS(对接源_02物料!$K$4:$K$1203,对接源_02物料!$C$4:$C$1203,$B180,对接源_02物料!$D$4:$D$1203,"周转筐*",对接源_02物料!$L$4:$L$1203,"已付款")+SUMIFS(对接源_02物料!$K$4:$K$1203,对接源_02物料!$C$4:$C$1203,$B180,对接源_02物料!$D$4:$D$1203,"次果筐*",对接源_02物料!$L$4:$L$1203,"已收讫")+SUMIFS(对接源_02物料!$K$4:$K$1203,对接源_02物料!$C$4:$C$1203,$B180,对接源_02物料!$D$4:$D$1203,"次果筐*",对接源_02物料!$L$4:$L$1203,"已付款"),2))</f>
        <v/>
      </c>
      <c r="J180" s="61" t="str">
        <f aca="false">IF($B180="","",ROUND(N($H180)-N($I180),2))</f>
        <v/>
      </c>
      <c r="K180" s="59" t="str">
        <f aca="false">IF($B180="","",IF(ROUND(N($J180),2)&gt;0,"对方欠款",IF(ROUND(N($J180),2)&lt;0,"我方欠款","已两清")))</f>
        <v/>
      </c>
      <c r="L180" s="105"/>
    </row>
    <row r="181" customFormat="false" ht="13.5" hidden="false" customHeight="false" outlineLevel="0" collapsed="false">
      <c r="A181" s="59" t="str">
        <f aca="false">IF($B181="","",ROW()-3)</f>
        <v/>
      </c>
      <c r="B181" s="104" t="str">
        <f aca="false">IFERROR(INDEX(_自动清单!$E$4:$E$303,ROW()-3),"")</f>
        <v/>
      </c>
      <c r="C181" s="61" t="str">
        <f aca="false">IF($B181="","",ROUND(SUMIFS(对接源_01水果!$K$4:$K$1203,对接源_01水果!$C$4:$C$1203,$B181,对接源_01水果!$D$4:$D$1203,"成品出库*"),2))</f>
        <v/>
      </c>
      <c r="D181" s="61" t="str">
        <f aca="false">IF($B181="","",ROUND(SUMIFS(对接源_01水果!$K$4:$K$1203,对接源_01水果!$C$4:$C$1203,$B181,对接源_01水果!$D$4:$D$1203,"其他代存*"),2))</f>
        <v/>
      </c>
      <c r="E181" s="61" t="str">
        <f aca="false">IF($B181="","",ROUND(SUMIFS(对接源_02物料!$K$4:$K$1203,对接源_02物料!$C$4:$C$1203,$B181,对接源_02物料!$D$4:$D$1203,"包装物料*"),2))</f>
        <v/>
      </c>
      <c r="F181" s="61" t="str">
        <f aca="false">IF($B181="","",ROUND(SUMIFS(对接源_02物料!$K$4:$K$1203,对接源_02物料!$C$4:$C$1203,$B181,对接源_02物料!$D$4:$D$1203,"周转筐*"),2))</f>
        <v/>
      </c>
      <c r="G181" s="61" t="str">
        <f aca="false">IF($B181="","",ROUND(SUMIFS(对接源_02物料!$K$4:$K$1203,对接源_02物料!$C$4:$C$1203,$B181,对接源_02物料!$D$4:$D$1203,"次果筐*"),2))</f>
        <v/>
      </c>
      <c r="H181" s="61" t="str">
        <f aca="false">IF($B181="","",ROUND(SUM($C181:$G181),2))</f>
        <v/>
      </c>
      <c r="I181" s="61" t="str">
        <f aca="false">IF($B181="","",ROUND(SUMIFS(对接源_01水果!$K$4:$K$1203,对接源_01水果!$C$4:$C$1203,$B181,对接源_01水果!$D$4:$D$1203,"成品出库*",对接源_01水果!$L$4:$L$1203,"已收讫")+SUMIFS(对接源_01水果!$K$4:$K$1203,对接源_01水果!$C$4:$C$1203,$B181,对接源_01水果!$D$4:$D$1203,"成品出库*",对接源_01水果!$L$4:$L$1203,"已付款")+SUMIFS(对接源_01水果!$K$4:$K$1203,对接源_01水果!$C$4:$C$1203,$B181,对接源_01水果!$D$4:$D$1203,"其他代存*",对接源_01水果!$L$4:$L$1203,"已收讫")+SUMIFS(对接源_01水果!$K$4:$K$1203,对接源_01水果!$C$4:$C$1203,$B181,对接源_01水果!$D$4:$D$1203,"其他代存*",对接源_01水果!$L$4:$L$1203,"已付款")+SUMIFS(对接源_02物料!$K$4:$K$1203,对接源_02物料!$C$4:$C$1203,$B181,对接源_02物料!$D$4:$D$1203,"包装物料*",对接源_02物料!$L$4:$L$1203,"已收讫")+SUMIFS(对接源_02物料!$K$4:$K$1203,对接源_02物料!$C$4:$C$1203,$B181,对接源_02物料!$D$4:$D$1203,"包装物料*",对接源_02物料!$L$4:$L$1203,"已付款")+SUMIFS(对接源_02物料!$K$4:$K$1203,对接源_02物料!$C$4:$C$1203,$B181,对接源_02物料!$D$4:$D$1203,"周转筐*",对接源_02物料!$L$4:$L$1203,"已收讫")+SUMIFS(对接源_02物料!$K$4:$K$1203,对接源_02物料!$C$4:$C$1203,$B181,对接源_02物料!$D$4:$D$1203,"周转筐*",对接源_02物料!$L$4:$L$1203,"已付款")+SUMIFS(对接源_02物料!$K$4:$K$1203,对接源_02物料!$C$4:$C$1203,$B181,对接源_02物料!$D$4:$D$1203,"次果筐*",对接源_02物料!$L$4:$L$1203,"已收讫")+SUMIFS(对接源_02物料!$K$4:$K$1203,对接源_02物料!$C$4:$C$1203,$B181,对接源_02物料!$D$4:$D$1203,"次果筐*",对接源_02物料!$L$4:$L$1203,"已付款"),2))</f>
        <v/>
      </c>
      <c r="J181" s="61" t="str">
        <f aca="false">IF($B181="","",ROUND(N($H181)-N($I181),2))</f>
        <v/>
      </c>
      <c r="K181" s="59" t="str">
        <f aca="false">IF($B181="","",IF(ROUND(N($J181),2)&gt;0,"对方欠款",IF(ROUND(N($J181),2)&lt;0,"我方欠款","已两清")))</f>
        <v/>
      </c>
      <c r="L181" s="105"/>
    </row>
    <row r="182" customFormat="false" ht="13.5" hidden="false" customHeight="false" outlineLevel="0" collapsed="false">
      <c r="A182" s="59" t="str">
        <f aca="false">IF($B182="","",ROW()-3)</f>
        <v/>
      </c>
      <c r="B182" s="104" t="str">
        <f aca="false">IFERROR(INDEX(_自动清单!$E$4:$E$303,ROW()-3),"")</f>
        <v/>
      </c>
      <c r="C182" s="61" t="str">
        <f aca="false">IF($B182="","",ROUND(SUMIFS(对接源_01水果!$K$4:$K$1203,对接源_01水果!$C$4:$C$1203,$B182,对接源_01水果!$D$4:$D$1203,"成品出库*"),2))</f>
        <v/>
      </c>
      <c r="D182" s="61" t="str">
        <f aca="false">IF($B182="","",ROUND(SUMIFS(对接源_01水果!$K$4:$K$1203,对接源_01水果!$C$4:$C$1203,$B182,对接源_01水果!$D$4:$D$1203,"其他代存*"),2))</f>
        <v/>
      </c>
      <c r="E182" s="61" t="str">
        <f aca="false">IF($B182="","",ROUND(SUMIFS(对接源_02物料!$K$4:$K$1203,对接源_02物料!$C$4:$C$1203,$B182,对接源_02物料!$D$4:$D$1203,"包装物料*"),2))</f>
        <v/>
      </c>
      <c r="F182" s="61" t="str">
        <f aca="false">IF($B182="","",ROUND(SUMIFS(对接源_02物料!$K$4:$K$1203,对接源_02物料!$C$4:$C$1203,$B182,对接源_02物料!$D$4:$D$1203,"周转筐*"),2))</f>
        <v/>
      </c>
      <c r="G182" s="61" t="str">
        <f aca="false">IF($B182="","",ROUND(SUMIFS(对接源_02物料!$K$4:$K$1203,对接源_02物料!$C$4:$C$1203,$B182,对接源_02物料!$D$4:$D$1203,"次果筐*"),2))</f>
        <v/>
      </c>
      <c r="H182" s="61" t="str">
        <f aca="false">IF($B182="","",ROUND(SUM($C182:$G182),2))</f>
        <v/>
      </c>
      <c r="I182" s="61" t="str">
        <f aca="false">IF($B182="","",ROUND(SUMIFS(对接源_01水果!$K$4:$K$1203,对接源_01水果!$C$4:$C$1203,$B182,对接源_01水果!$D$4:$D$1203,"成品出库*",对接源_01水果!$L$4:$L$1203,"已收讫")+SUMIFS(对接源_01水果!$K$4:$K$1203,对接源_01水果!$C$4:$C$1203,$B182,对接源_01水果!$D$4:$D$1203,"成品出库*",对接源_01水果!$L$4:$L$1203,"已付款")+SUMIFS(对接源_01水果!$K$4:$K$1203,对接源_01水果!$C$4:$C$1203,$B182,对接源_01水果!$D$4:$D$1203,"其他代存*",对接源_01水果!$L$4:$L$1203,"已收讫")+SUMIFS(对接源_01水果!$K$4:$K$1203,对接源_01水果!$C$4:$C$1203,$B182,对接源_01水果!$D$4:$D$1203,"其他代存*",对接源_01水果!$L$4:$L$1203,"已付款")+SUMIFS(对接源_02物料!$K$4:$K$1203,对接源_02物料!$C$4:$C$1203,$B182,对接源_02物料!$D$4:$D$1203,"包装物料*",对接源_02物料!$L$4:$L$1203,"已收讫")+SUMIFS(对接源_02物料!$K$4:$K$1203,对接源_02物料!$C$4:$C$1203,$B182,对接源_02物料!$D$4:$D$1203,"包装物料*",对接源_02物料!$L$4:$L$1203,"已付款")+SUMIFS(对接源_02物料!$K$4:$K$1203,对接源_02物料!$C$4:$C$1203,$B182,对接源_02物料!$D$4:$D$1203,"周转筐*",对接源_02物料!$L$4:$L$1203,"已收讫")+SUMIFS(对接源_02物料!$K$4:$K$1203,对接源_02物料!$C$4:$C$1203,$B182,对接源_02物料!$D$4:$D$1203,"周转筐*",对接源_02物料!$L$4:$L$1203,"已付款")+SUMIFS(对接源_02物料!$K$4:$K$1203,对接源_02物料!$C$4:$C$1203,$B182,对接源_02物料!$D$4:$D$1203,"次果筐*",对接源_02物料!$L$4:$L$1203,"已收讫")+SUMIFS(对接源_02物料!$K$4:$K$1203,对接源_02物料!$C$4:$C$1203,$B182,对接源_02物料!$D$4:$D$1203,"次果筐*",对接源_02物料!$L$4:$L$1203,"已付款"),2))</f>
        <v/>
      </c>
      <c r="J182" s="61" t="str">
        <f aca="false">IF($B182="","",ROUND(N($H182)-N($I182),2))</f>
        <v/>
      </c>
      <c r="K182" s="59" t="str">
        <f aca="false">IF($B182="","",IF(ROUND(N($J182),2)&gt;0,"对方欠款",IF(ROUND(N($J182),2)&lt;0,"我方欠款","已两清")))</f>
        <v/>
      </c>
      <c r="L182" s="105"/>
    </row>
    <row r="183" customFormat="false" ht="13.5" hidden="false" customHeight="false" outlineLevel="0" collapsed="false">
      <c r="A183" s="59" t="str">
        <f aca="false">IF($B183="","",ROW()-3)</f>
        <v/>
      </c>
      <c r="B183" s="104" t="str">
        <f aca="false">IFERROR(INDEX(_自动清单!$E$4:$E$303,ROW()-3),"")</f>
        <v/>
      </c>
      <c r="C183" s="61" t="str">
        <f aca="false">IF($B183="","",ROUND(SUMIFS(对接源_01水果!$K$4:$K$1203,对接源_01水果!$C$4:$C$1203,$B183,对接源_01水果!$D$4:$D$1203,"成品出库*"),2))</f>
        <v/>
      </c>
      <c r="D183" s="61" t="str">
        <f aca="false">IF($B183="","",ROUND(SUMIFS(对接源_01水果!$K$4:$K$1203,对接源_01水果!$C$4:$C$1203,$B183,对接源_01水果!$D$4:$D$1203,"其他代存*"),2))</f>
        <v/>
      </c>
      <c r="E183" s="61" t="str">
        <f aca="false">IF($B183="","",ROUND(SUMIFS(对接源_02物料!$K$4:$K$1203,对接源_02物料!$C$4:$C$1203,$B183,对接源_02物料!$D$4:$D$1203,"包装物料*"),2))</f>
        <v/>
      </c>
      <c r="F183" s="61" t="str">
        <f aca="false">IF($B183="","",ROUND(SUMIFS(对接源_02物料!$K$4:$K$1203,对接源_02物料!$C$4:$C$1203,$B183,对接源_02物料!$D$4:$D$1203,"周转筐*"),2))</f>
        <v/>
      </c>
      <c r="G183" s="61" t="str">
        <f aca="false">IF($B183="","",ROUND(SUMIFS(对接源_02物料!$K$4:$K$1203,对接源_02物料!$C$4:$C$1203,$B183,对接源_02物料!$D$4:$D$1203,"次果筐*"),2))</f>
        <v/>
      </c>
      <c r="H183" s="61" t="str">
        <f aca="false">IF($B183="","",ROUND(SUM($C183:$G183),2))</f>
        <v/>
      </c>
      <c r="I183" s="61" t="str">
        <f aca="false">IF($B183="","",ROUND(SUMIFS(对接源_01水果!$K$4:$K$1203,对接源_01水果!$C$4:$C$1203,$B183,对接源_01水果!$D$4:$D$1203,"成品出库*",对接源_01水果!$L$4:$L$1203,"已收讫")+SUMIFS(对接源_01水果!$K$4:$K$1203,对接源_01水果!$C$4:$C$1203,$B183,对接源_01水果!$D$4:$D$1203,"成品出库*",对接源_01水果!$L$4:$L$1203,"已付款")+SUMIFS(对接源_01水果!$K$4:$K$1203,对接源_01水果!$C$4:$C$1203,$B183,对接源_01水果!$D$4:$D$1203,"其他代存*",对接源_01水果!$L$4:$L$1203,"已收讫")+SUMIFS(对接源_01水果!$K$4:$K$1203,对接源_01水果!$C$4:$C$1203,$B183,对接源_01水果!$D$4:$D$1203,"其他代存*",对接源_01水果!$L$4:$L$1203,"已付款")+SUMIFS(对接源_02物料!$K$4:$K$1203,对接源_02物料!$C$4:$C$1203,$B183,对接源_02物料!$D$4:$D$1203,"包装物料*",对接源_02物料!$L$4:$L$1203,"已收讫")+SUMIFS(对接源_02物料!$K$4:$K$1203,对接源_02物料!$C$4:$C$1203,$B183,对接源_02物料!$D$4:$D$1203,"包装物料*",对接源_02物料!$L$4:$L$1203,"已付款")+SUMIFS(对接源_02物料!$K$4:$K$1203,对接源_02物料!$C$4:$C$1203,$B183,对接源_02物料!$D$4:$D$1203,"周转筐*",对接源_02物料!$L$4:$L$1203,"已收讫")+SUMIFS(对接源_02物料!$K$4:$K$1203,对接源_02物料!$C$4:$C$1203,$B183,对接源_02物料!$D$4:$D$1203,"周转筐*",对接源_02物料!$L$4:$L$1203,"已付款")+SUMIFS(对接源_02物料!$K$4:$K$1203,对接源_02物料!$C$4:$C$1203,$B183,对接源_02物料!$D$4:$D$1203,"次果筐*",对接源_02物料!$L$4:$L$1203,"已收讫")+SUMIFS(对接源_02物料!$K$4:$K$1203,对接源_02物料!$C$4:$C$1203,$B183,对接源_02物料!$D$4:$D$1203,"次果筐*",对接源_02物料!$L$4:$L$1203,"已付款"),2))</f>
        <v/>
      </c>
      <c r="J183" s="61" t="str">
        <f aca="false">IF($B183="","",ROUND(N($H183)-N($I183),2))</f>
        <v/>
      </c>
      <c r="K183" s="59" t="str">
        <f aca="false">IF($B183="","",IF(ROUND(N($J183),2)&gt;0,"对方欠款",IF(ROUND(N($J183),2)&lt;0,"我方欠款","已两清")))</f>
        <v/>
      </c>
      <c r="L183" s="105"/>
    </row>
    <row r="184" customFormat="false" ht="13.5" hidden="false" customHeight="false" outlineLevel="0" collapsed="false">
      <c r="A184" s="59" t="str">
        <f aca="false">IF($B184="","",ROW()-3)</f>
        <v/>
      </c>
      <c r="B184" s="104" t="str">
        <f aca="false">IFERROR(INDEX(_自动清单!$E$4:$E$303,ROW()-3),"")</f>
        <v/>
      </c>
      <c r="C184" s="61" t="str">
        <f aca="false">IF($B184="","",ROUND(SUMIFS(对接源_01水果!$K$4:$K$1203,对接源_01水果!$C$4:$C$1203,$B184,对接源_01水果!$D$4:$D$1203,"成品出库*"),2))</f>
        <v/>
      </c>
      <c r="D184" s="61" t="str">
        <f aca="false">IF($B184="","",ROUND(SUMIFS(对接源_01水果!$K$4:$K$1203,对接源_01水果!$C$4:$C$1203,$B184,对接源_01水果!$D$4:$D$1203,"其他代存*"),2))</f>
        <v/>
      </c>
      <c r="E184" s="61" t="str">
        <f aca="false">IF($B184="","",ROUND(SUMIFS(对接源_02物料!$K$4:$K$1203,对接源_02物料!$C$4:$C$1203,$B184,对接源_02物料!$D$4:$D$1203,"包装物料*"),2))</f>
        <v/>
      </c>
      <c r="F184" s="61" t="str">
        <f aca="false">IF($B184="","",ROUND(SUMIFS(对接源_02物料!$K$4:$K$1203,对接源_02物料!$C$4:$C$1203,$B184,对接源_02物料!$D$4:$D$1203,"周转筐*"),2))</f>
        <v/>
      </c>
      <c r="G184" s="61" t="str">
        <f aca="false">IF($B184="","",ROUND(SUMIFS(对接源_02物料!$K$4:$K$1203,对接源_02物料!$C$4:$C$1203,$B184,对接源_02物料!$D$4:$D$1203,"次果筐*"),2))</f>
        <v/>
      </c>
      <c r="H184" s="61" t="str">
        <f aca="false">IF($B184="","",ROUND(SUM($C184:$G184),2))</f>
        <v/>
      </c>
      <c r="I184" s="61" t="str">
        <f aca="false">IF($B184="","",ROUND(SUMIFS(对接源_01水果!$K$4:$K$1203,对接源_01水果!$C$4:$C$1203,$B184,对接源_01水果!$D$4:$D$1203,"成品出库*",对接源_01水果!$L$4:$L$1203,"已收讫")+SUMIFS(对接源_01水果!$K$4:$K$1203,对接源_01水果!$C$4:$C$1203,$B184,对接源_01水果!$D$4:$D$1203,"成品出库*",对接源_01水果!$L$4:$L$1203,"已付款")+SUMIFS(对接源_01水果!$K$4:$K$1203,对接源_01水果!$C$4:$C$1203,$B184,对接源_01水果!$D$4:$D$1203,"其他代存*",对接源_01水果!$L$4:$L$1203,"已收讫")+SUMIFS(对接源_01水果!$K$4:$K$1203,对接源_01水果!$C$4:$C$1203,$B184,对接源_01水果!$D$4:$D$1203,"其他代存*",对接源_01水果!$L$4:$L$1203,"已付款")+SUMIFS(对接源_02物料!$K$4:$K$1203,对接源_02物料!$C$4:$C$1203,$B184,对接源_02物料!$D$4:$D$1203,"包装物料*",对接源_02物料!$L$4:$L$1203,"已收讫")+SUMIFS(对接源_02物料!$K$4:$K$1203,对接源_02物料!$C$4:$C$1203,$B184,对接源_02物料!$D$4:$D$1203,"包装物料*",对接源_02物料!$L$4:$L$1203,"已付款")+SUMIFS(对接源_02物料!$K$4:$K$1203,对接源_02物料!$C$4:$C$1203,$B184,对接源_02物料!$D$4:$D$1203,"周转筐*",对接源_02物料!$L$4:$L$1203,"已收讫")+SUMIFS(对接源_02物料!$K$4:$K$1203,对接源_02物料!$C$4:$C$1203,$B184,对接源_02物料!$D$4:$D$1203,"周转筐*",对接源_02物料!$L$4:$L$1203,"已付款")+SUMIFS(对接源_02物料!$K$4:$K$1203,对接源_02物料!$C$4:$C$1203,$B184,对接源_02物料!$D$4:$D$1203,"次果筐*",对接源_02物料!$L$4:$L$1203,"已收讫")+SUMIFS(对接源_02物料!$K$4:$K$1203,对接源_02物料!$C$4:$C$1203,$B184,对接源_02物料!$D$4:$D$1203,"次果筐*",对接源_02物料!$L$4:$L$1203,"已付款"),2))</f>
        <v/>
      </c>
      <c r="J184" s="61" t="str">
        <f aca="false">IF($B184="","",ROUND(N($H184)-N($I184),2))</f>
        <v/>
      </c>
      <c r="K184" s="59" t="str">
        <f aca="false">IF($B184="","",IF(ROUND(N($J184),2)&gt;0,"对方欠款",IF(ROUND(N($J184),2)&lt;0,"我方欠款","已两清")))</f>
        <v/>
      </c>
      <c r="L184" s="105"/>
    </row>
    <row r="185" customFormat="false" ht="13.5" hidden="false" customHeight="false" outlineLevel="0" collapsed="false">
      <c r="A185" s="59" t="str">
        <f aca="false">IF($B185="","",ROW()-3)</f>
        <v/>
      </c>
      <c r="B185" s="104" t="str">
        <f aca="false">IFERROR(INDEX(_自动清单!$E$4:$E$303,ROW()-3),"")</f>
        <v/>
      </c>
      <c r="C185" s="61" t="str">
        <f aca="false">IF($B185="","",ROUND(SUMIFS(对接源_01水果!$K$4:$K$1203,对接源_01水果!$C$4:$C$1203,$B185,对接源_01水果!$D$4:$D$1203,"成品出库*"),2))</f>
        <v/>
      </c>
      <c r="D185" s="61" t="str">
        <f aca="false">IF($B185="","",ROUND(SUMIFS(对接源_01水果!$K$4:$K$1203,对接源_01水果!$C$4:$C$1203,$B185,对接源_01水果!$D$4:$D$1203,"其他代存*"),2))</f>
        <v/>
      </c>
      <c r="E185" s="61" t="str">
        <f aca="false">IF($B185="","",ROUND(SUMIFS(对接源_02物料!$K$4:$K$1203,对接源_02物料!$C$4:$C$1203,$B185,对接源_02物料!$D$4:$D$1203,"包装物料*"),2))</f>
        <v/>
      </c>
      <c r="F185" s="61" t="str">
        <f aca="false">IF($B185="","",ROUND(SUMIFS(对接源_02物料!$K$4:$K$1203,对接源_02物料!$C$4:$C$1203,$B185,对接源_02物料!$D$4:$D$1203,"周转筐*"),2))</f>
        <v/>
      </c>
      <c r="G185" s="61" t="str">
        <f aca="false">IF($B185="","",ROUND(SUMIFS(对接源_02物料!$K$4:$K$1203,对接源_02物料!$C$4:$C$1203,$B185,对接源_02物料!$D$4:$D$1203,"次果筐*"),2))</f>
        <v/>
      </c>
      <c r="H185" s="61" t="str">
        <f aca="false">IF($B185="","",ROUND(SUM($C185:$G185),2))</f>
        <v/>
      </c>
      <c r="I185" s="61" t="str">
        <f aca="false">IF($B185="","",ROUND(SUMIFS(对接源_01水果!$K$4:$K$1203,对接源_01水果!$C$4:$C$1203,$B185,对接源_01水果!$D$4:$D$1203,"成品出库*",对接源_01水果!$L$4:$L$1203,"已收讫")+SUMIFS(对接源_01水果!$K$4:$K$1203,对接源_01水果!$C$4:$C$1203,$B185,对接源_01水果!$D$4:$D$1203,"成品出库*",对接源_01水果!$L$4:$L$1203,"已付款")+SUMIFS(对接源_01水果!$K$4:$K$1203,对接源_01水果!$C$4:$C$1203,$B185,对接源_01水果!$D$4:$D$1203,"其他代存*",对接源_01水果!$L$4:$L$1203,"已收讫")+SUMIFS(对接源_01水果!$K$4:$K$1203,对接源_01水果!$C$4:$C$1203,$B185,对接源_01水果!$D$4:$D$1203,"其他代存*",对接源_01水果!$L$4:$L$1203,"已付款")+SUMIFS(对接源_02物料!$K$4:$K$1203,对接源_02物料!$C$4:$C$1203,$B185,对接源_02物料!$D$4:$D$1203,"包装物料*",对接源_02物料!$L$4:$L$1203,"已收讫")+SUMIFS(对接源_02物料!$K$4:$K$1203,对接源_02物料!$C$4:$C$1203,$B185,对接源_02物料!$D$4:$D$1203,"包装物料*",对接源_02物料!$L$4:$L$1203,"已付款")+SUMIFS(对接源_02物料!$K$4:$K$1203,对接源_02物料!$C$4:$C$1203,$B185,对接源_02物料!$D$4:$D$1203,"周转筐*",对接源_02物料!$L$4:$L$1203,"已收讫")+SUMIFS(对接源_02物料!$K$4:$K$1203,对接源_02物料!$C$4:$C$1203,$B185,对接源_02物料!$D$4:$D$1203,"周转筐*",对接源_02物料!$L$4:$L$1203,"已付款")+SUMIFS(对接源_02物料!$K$4:$K$1203,对接源_02物料!$C$4:$C$1203,$B185,对接源_02物料!$D$4:$D$1203,"次果筐*",对接源_02物料!$L$4:$L$1203,"已收讫")+SUMIFS(对接源_02物料!$K$4:$K$1203,对接源_02物料!$C$4:$C$1203,$B185,对接源_02物料!$D$4:$D$1203,"次果筐*",对接源_02物料!$L$4:$L$1203,"已付款"),2))</f>
        <v/>
      </c>
      <c r="J185" s="61" t="str">
        <f aca="false">IF($B185="","",ROUND(N($H185)-N($I185),2))</f>
        <v/>
      </c>
      <c r="K185" s="59" t="str">
        <f aca="false">IF($B185="","",IF(ROUND(N($J185),2)&gt;0,"对方欠款",IF(ROUND(N($J185),2)&lt;0,"我方欠款","已两清")))</f>
        <v/>
      </c>
      <c r="L185" s="105"/>
    </row>
    <row r="186" customFormat="false" ht="13.5" hidden="false" customHeight="false" outlineLevel="0" collapsed="false">
      <c r="A186" s="59" t="str">
        <f aca="false">IF($B186="","",ROW()-3)</f>
        <v/>
      </c>
      <c r="B186" s="104" t="str">
        <f aca="false">IFERROR(INDEX(_自动清单!$E$4:$E$303,ROW()-3),"")</f>
        <v/>
      </c>
      <c r="C186" s="61" t="str">
        <f aca="false">IF($B186="","",ROUND(SUMIFS(对接源_01水果!$K$4:$K$1203,对接源_01水果!$C$4:$C$1203,$B186,对接源_01水果!$D$4:$D$1203,"成品出库*"),2))</f>
        <v/>
      </c>
      <c r="D186" s="61" t="str">
        <f aca="false">IF($B186="","",ROUND(SUMIFS(对接源_01水果!$K$4:$K$1203,对接源_01水果!$C$4:$C$1203,$B186,对接源_01水果!$D$4:$D$1203,"其他代存*"),2))</f>
        <v/>
      </c>
      <c r="E186" s="61" t="str">
        <f aca="false">IF($B186="","",ROUND(SUMIFS(对接源_02物料!$K$4:$K$1203,对接源_02物料!$C$4:$C$1203,$B186,对接源_02物料!$D$4:$D$1203,"包装物料*"),2))</f>
        <v/>
      </c>
      <c r="F186" s="61" t="str">
        <f aca="false">IF($B186="","",ROUND(SUMIFS(对接源_02物料!$K$4:$K$1203,对接源_02物料!$C$4:$C$1203,$B186,对接源_02物料!$D$4:$D$1203,"周转筐*"),2))</f>
        <v/>
      </c>
      <c r="G186" s="61" t="str">
        <f aca="false">IF($B186="","",ROUND(SUMIFS(对接源_02物料!$K$4:$K$1203,对接源_02物料!$C$4:$C$1203,$B186,对接源_02物料!$D$4:$D$1203,"次果筐*"),2))</f>
        <v/>
      </c>
      <c r="H186" s="61" t="str">
        <f aca="false">IF($B186="","",ROUND(SUM($C186:$G186),2))</f>
        <v/>
      </c>
      <c r="I186" s="61" t="str">
        <f aca="false">IF($B186="","",ROUND(SUMIFS(对接源_01水果!$K$4:$K$1203,对接源_01水果!$C$4:$C$1203,$B186,对接源_01水果!$D$4:$D$1203,"成品出库*",对接源_01水果!$L$4:$L$1203,"已收讫")+SUMIFS(对接源_01水果!$K$4:$K$1203,对接源_01水果!$C$4:$C$1203,$B186,对接源_01水果!$D$4:$D$1203,"成品出库*",对接源_01水果!$L$4:$L$1203,"已付款")+SUMIFS(对接源_01水果!$K$4:$K$1203,对接源_01水果!$C$4:$C$1203,$B186,对接源_01水果!$D$4:$D$1203,"其他代存*",对接源_01水果!$L$4:$L$1203,"已收讫")+SUMIFS(对接源_01水果!$K$4:$K$1203,对接源_01水果!$C$4:$C$1203,$B186,对接源_01水果!$D$4:$D$1203,"其他代存*",对接源_01水果!$L$4:$L$1203,"已付款")+SUMIFS(对接源_02物料!$K$4:$K$1203,对接源_02物料!$C$4:$C$1203,$B186,对接源_02物料!$D$4:$D$1203,"包装物料*",对接源_02物料!$L$4:$L$1203,"已收讫")+SUMIFS(对接源_02物料!$K$4:$K$1203,对接源_02物料!$C$4:$C$1203,$B186,对接源_02物料!$D$4:$D$1203,"包装物料*",对接源_02物料!$L$4:$L$1203,"已付款")+SUMIFS(对接源_02物料!$K$4:$K$1203,对接源_02物料!$C$4:$C$1203,$B186,对接源_02物料!$D$4:$D$1203,"周转筐*",对接源_02物料!$L$4:$L$1203,"已收讫")+SUMIFS(对接源_02物料!$K$4:$K$1203,对接源_02物料!$C$4:$C$1203,$B186,对接源_02物料!$D$4:$D$1203,"周转筐*",对接源_02物料!$L$4:$L$1203,"已付款")+SUMIFS(对接源_02物料!$K$4:$K$1203,对接源_02物料!$C$4:$C$1203,$B186,对接源_02物料!$D$4:$D$1203,"次果筐*",对接源_02物料!$L$4:$L$1203,"已收讫")+SUMIFS(对接源_02物料!$K$4:$K$1203,对接源_02物料!$C$4:$C$1203,$B186,对接源_02物料!$D$4:$D$1203,"次果筐*",对接源_02物料!$L$4:$L$1203,"已付款"),2))</f>
        <v/>
      </c>
      <c r="J186" s="61" t="str">
        <f aca="false">IF($B186="","",ROUND(N($H186)-N($I186),2))</f>
        <v/>
      </c>
      <c r="K186" s="59" t="str">
        <f aca="false">IF($B186="","",IF(ROUND(N($J186),2)&gt;0,"对方欠款",IF(ROUND(N($J186),2)&lt;0,"我方欠款","已两清")))</f>
        <v/>
      </c>
      <c r="L186" s="105"/>
    </row>
    <row r="187" customFormat="false" ht="13.5" hidden="false" customHeight="false" outlineLevel="0" collapsed="false">
      <c r="A187" s="59" t="str">
        <f aca="false">IF($B187="","",ROW()-3)</f>
        <v/>
      </c>
      <c r="B187" s="104" t="str">
        <f aca="false">IFERROR(INDEX(_自动清单!$E$4:$E$303,ROW()-3),"")</f>
        <v/>
      </c>
      <c r="C187" s="61" t="str">
        <f aca="false">IF($B187="","",ROUND(SUMIFS(对接源_01水果!$K$4:$K$1203,对接源_01水果!$C$4:$C$1203,$B187,对接源_01水果!$D$4:$D$1203,"成品出库*"),2))</f>
        <v/>
      </c>
      <c r="D187" s="61" t="str">
        <f aca="false">IF($B187="","",ROUND(SUMIFS(对接源_01水果!$K$4:$K$1203,对接源_01水果!$C$4:$C$1203,$B187,对接源_01水果!$D$4:$D$1203,"其他代存*"),2))</f>
        <v/>
      </c>
      <c r="E187" s="61" t="str">
        <f aca="false">IF($B187="","",ROUND(SUMIFS(对接源_02物料!$K$4:$K$1203,对接源_02物料!$C$4:$C$1203,$B187,对接源_02物料!$D$4:$D$1203,"包装物料*"),2))</f>
        <v/>
      </c>
      <c r="F187" s="61" t="str">
        <f aca="false">IF($B187="","",ROUND(SUMIFS(对接源_02物料!$K$4:$K$1203,对接源_02物料!$C$4:$C$1203,$B187,对接源_02物料!$D$4:$D$1203,"周转筐*"),2))</f>
        <v/>
      </c>
      <c r="G187" s="61" t="str">
        <f aca="false">IF($B187="","",ROUND(SUMIFS(对接源_02物料!$K$4:$K$1203,对接源_02物料!$C$4:$C$1203,$B187,对接源_02物料!$D$4:$D$1203,"次果筐*"),2))</f>
        <v/>
      </c>
      <c r="H187" s="61" t="str">
        <f aca="false">IF($B187="","",ROUND(SUM($C187:$G187),2))</f>
        <v/>
      </c>
      <c r="I187" s="61" t="str">
        <f aca="false">IF($B187="","",ROUND(SUMIFS(对接源_01水果!$K$4:$K$1203,对接源_01水果!$C$4:$C$1203,$B187,对接源_01水果!$D$4:$D$1203,"成品出库*",对接源_01水果!$L$4:$L$1203,"已收讫")+SUMIFS(对接源_01水果!$K$4:$K$1203,对接源_01水果!$C$4:$C$1203,$B187,对接源_01水果!$D$4:$D$1203,"成品出库*",对接源_01水果!$L$4:$L$1203,"已付款")+SUMIFS(对接源_01水果!$K$4:$K$1203,对接源_01水果!$C$4:$C$1203,$B187,对接源_01水果!$D$4:$D$1203,"其他代存*",对接源_01水果!$L$4:$L$1203,"已收讫")+SUMIFS(对接源_01水果!$K$4:$K$1203,对接源_01水果!$C$4:$C$1203,$B187,对接源_01水果!$D$4:$D$1203,"其他代存*",对接源_01水果!$L$4:$L$1203,"已付款")+SUMIFS(对接源_02物料!$K$4:$K$1203,对接源_02物料!$C$4:$C$1203,$B187,对接源_02物料!$D$4:$D$1203,"包装物料*",对接源_02物料!$L$4:$L$1203,"已收讫")+SUMIFS(对接源_02物料!$K$4:$K$1203,对接源_02物料!$C$4:$C$1203,$B187,对接源_02物料!$D$4:$D$1203,"包装物料*",对接源_02物料!$L$4:$L$1203,"已付款")+SUMIFS(对接源_02物料!$K$4:$K$1203,对接源_02物料!$C$4:$C$1203,$B187,对接源_02物料!$D$4:$D$1203,"周转筐*",对接源_02物料!$L$4:$L$1203,"已收讫")+SUMIFS(对接源_02物料!$K$4:$K$1203,对接源_02物料!$C$4:$C$1203,$B187,对接源_02物料!$D$4:$D$1203,"周转筐*",对接源_02物料!$L$4:$L$1203,"已付款")+SUMIFS(对接源_02物料!$K$4:$K$1203,对接源_02物料!$C$4:$C$1203,$B187,对接源_02物料!$D$4:$D$1203,"次果筐*",对接源_02物料!$L$4:$L$1203,"已收讫")+SUMIFS(对接源_02物料!$K$4:$K$1203,对接源_02物料!$C$4:$C$1203,$B187,对接源_02物料!$D$4:$D$1203,"次果筐*",对接源_02物料!$L$4:$L$1203,"已付款"),2))</f>
        <v/>
      </c>
      <c r="J187" s="61" t="str">
        <f aca="false">IF($B187="","",ROUND(N($H187)-N($I187),2))</f>
        <v/>
      </c>
      <c r="K187" s="59" t="str">
        <f aca="false">IF($B187="","",IF(ROUND(N($J187),2)&gt;0,"对方欠款",IF(ROUND(N($J187),2)&lt;0,"我方欠款","已两清")))</f>
        <v/>
      </c>
      <c r="L187" s="105"/>
    </row>
    <row r="188" customFormat="false" ht="13.5" hidden="false" customHeight="false" outlineLevel="0" collapsed="false">
      <c r="A188" s="59" t="str">
        <f aca="false">IF($B188="","",ROW()-3)</f>
        <v/>
      </c>
      <c r="B188" s="104" t="str">
        <f aca="false">IFERROR(INDEX(_自动清单!$E$4:$E$303,ROW()-3),"")</f>
        <v/>
      </c>
      <c r="C188" s="61" t="str">
        <f aca="false">IF($B188="","",ROUND(SUMIFS(对接源_01水果!$K$4:$K$1203,对接源_01水果!$C$4:$C$1203,$B188,对接源_01水果!$D$4:$D$1203,"成品出库*"),2))</f>
        <v/>
      </c>
      <c r="D188" s="61" t="str">
        <f aca="false">IF($B188="","",ROUND(SUMIFS(对接源_01水果!$K$4:$K$1203,对接源_01水果!$C$4:$C$1203,$B188,对接源_01水果!$D$4:$D$1203,"其他代存*"),2))</f>
        <v/>
      </c>
      <c r="E188" s="61" t="str">
        <f aca="false">IF($B188="","",ROUND(SUMIFS(对接源_02物料!$K$4:$K$1203,对接源_02物料!$C$4:$C$1203,$B188,对接源_02物料!$D$4:$D$1203,"包装物料*"),2))</f>
        <v/>
      </c>
      <c r="F188" s="61" t="str">
        <f aca="false">IF($B188="","",ROUND(SUMIFS(对接源_02物料!$K$4:$K$1203,对接源_02物料!$C$4:$C$1203,$B188,对接源_02物料!$D$4:$D$1203,"周转筐*"),2))</f>
        <v/>
      </c>
      <c r="G188" s="61" t="str">
        <f aca="false">IF($B188="","",ROUND(SUMIFS(对接源_02物料!$K$4:$K$1203,对接源_02物料!$C$4:$C$1203,$B188,对接源_02物料!$D$4:$D$1203,"次果筐*"),2))</f>
        <v/>
      </c>
      <c r="H188" s="61" t="str">
        <f aca="false">IF($B188="","",ROUND(SUM($C188:$G188),2))</f>
        <v/>
      </c>
      <c r="I188" s="61" t="str">
        <f aca="false">IF($B188="","",ROUND(SUMIFS(对接源_01水果!$K$4:$K$1203,对接源_01水果!$C$4:$C$1203,$B188,对接源_01水果!$D$4:$D$1203,"成品出库*",对接源_01水果!$L$4:$L$1203,"已收讫")+SUMIFS(对接源_01水果!$K$4:$K$1203,对接源_01水果!$C$4:$C$1203,$B188,对接源_01水果!$D$4:$D$1203,"成品出库*",对接源_01水果!$L$4:$L$1203,"已付款")+SUMIFS(对接源_01水果!$K$4:$K$1203,对接源_01水果!$C$4:$C$1203,$B188,对接源_01水果!$D$4:$D$1203,"其他代存*",对接源_01水果!$L$4:$L$1203,"已收讫")+SUMIFS(对接源_01水果!$K$4:$K$1203,对接源_01水果!$C$4:$C$1203,$B188,对接源_01水果!$D$4:$D$1203,"其他代存*",对接源_01水果!$L$4:$L$1203,"已付款")+SUMIFS(对接源_02物料!$K$4:$K$1203,对接源_02物料!$C$4:$C$1203,$B188,对接源_02物料!$D$4:$D$1203,"包装物料*",对接源_02物料!$L$4:$L$1203,"已收讫")+SUMIFS(对接源_02物料!$K$4:$K$1203,对接源_02物料!$C$4:$C$1203,$B188,对接源_02物料!$D$4:$D$1203,"包装物料*",对接源_02物料!$L$4:$L$1203,"已付款")+SUMIFS(对接源_02物料!$K$4:$K$1203,对接源_02物料!$C$4:$C$1203,$B188,对接源_02物料!$D$4:$D$1203,"周转筐*",对接源_02物料!$L$4:$L$1203,"已收讫")+SUMIFS(对接源_02物料!$K$4:$K$1203,对接源_02物料!$C$4:$C$1203,$B188,对接源_02物料!$D$4:$D$1203,"周转筐*",对接源_02物料!$L$4:$L$1203,"已付款")+SUMIFS(对接源_02物料!$K$4:$K$1203,对接源_02物料!$C$4:$C$1203,$B188,对接源_02物料!$D$4:$D$1203,"次果筐*",对接源_02物料!$L$4:$L$1203,"已收讫")+SUMIFS(对接源_02物料!$K$4:$K$1203,对接源_02物料!$C$4:$C$1203,$B188,对接源_02物料!$D$4:$D$1203,"次果筐*",对接源_02物料!$L$4:$L$1203,"已付款"),2))</f>
        <v/>
      </c>
      <c r="J188" s="61" t="str">
        <f aca="false">IF($B188="","",ROUND(N($H188)-N($I188),2))</f>
        <v/>
      </c>
      <c r="K188" s="59" t="str">
        <f aca="false">IF($B188="","",IF(ROUND(N($J188),2)&gt;0,"对方欠款",IF(ROUND(N($J188),2)&lt;0,"我方欠款","已两清")))</f>
        <v/>
      </c>
      <c r="L188" s="105"/>
    </row>
    <row r="189" customFormat="false" ht="13.5" hidden="false" customHeight="false" outlineLevel="0" collapsed="false">
      <c r="A189" s="59" t="str">
        <f aca="false">IF($B189="","",ROW()-3)</f>
        <v/>
      </c>
      <c r="B189" s="104" t="str">
        <f aca="false">IFERROR(INDEX(_自动清单!$E$4:$E$303,ROW()-3),"")</f>
        <v/>
      </c>
      <c r="C189" s="61" t="str">
        <f aca="false">IF($B189="","",ROUND(SUMIFS(对接源_01水果!$K$4:$K$1203,对接源_01水果!$C$4:$C$1203,$B189,对接源_01水果!$D$4:$D$1203,"成品出库*"),2))</f>
        <v/>
      </c>
      <c r="D189" s="61" t="str">
        <f aca="false">IF($B189="","",ROUND(SUMIFS(对接源_01水果!$K$4:$K$1203,对接源_01水果!$C$4:$C$1203,$B189,对接源_01水果!$D$4:$D$1203,"其他代存*"),2))</f>
        <v/>
      </c>
      <c r="E189" s="61" t="str">
        <f aca="false">IF($B189="","",ROUND(SUMIFS(对接源_02物料!$K$4:$K$1203,对接源_02物料!$C$4:$C$1203,$B189,对接源_02物料!$D$4:$D$1203,"包装物料*"),2))</f>
        <v/>
      </c>
      <c r="F189" s="61" t="str">
        <f aca="false">IF($B189="","",ROUND(SUMIFS(对接源_02物料!$K$4:$K$1203,对接源_02物料!$C$4:$C$1203,$B189,对接源_02物料!$D$4:$D$1203,"周转筐*"),2))</f>
        <v/>
      </c>
      <c r="G189" s="61" t="str">
        <f aca="false">IF($B189="","",ROUND(SUMIFS(对接源_02物料!$K$4:$K$1203,对接源_02物料!$C$4:$C$1203,$B189,对接源_02物料!$D$4:$D$1203,"次果筐*"),2))</f>
        <v/>
      </c>
      <c r="H189" s="61" t="str">
        <f aca="false">IF($B189="","",ROUND(SUM($C189:$G189),2))</f>
        <v/>
      </c>
      <c r="I189" s="61" t="str">
        <f aca="false">IF($B189="","",ROUND(SUMIFS(对接源_01水果!$K$4:$K$1203,对接源_01水果!$C$4:$C$1203,$B189,对接源_01水果!$D$4:$D$1203,"成品出库*",对接源_01水果!$L$4:$L$1203,"已收讫")+SUMIFS(对接源_01水果!$K$4:$K$1203,对接源_01水果!$C$4:$C$1203,$B189,对接源_01水果!$D$4:$D$1203,"成品出库*",对接源_01水果!$L$4:$L$1203,"已付款")+SUMIFS(对接源_01水果!$K$4:$K$1203,对接源_01水果!$C$4:$C$1203,$B189,对接源_01水果!$D$4:$D$1203,"其他代存*",对接源_01水果!$L$4:$L$1203,"已收讫")+SUMIFS(对接源_01水果!$K$4:$K$1203,对接源_01水果!$C$4:$C$1203,$B189,对接源_01水果!$D$4:$D$1203,"其他代存*",对接源_01水果!$L$4:$L$1203,"已付款")+SUMIFS(对接源_02物料!$K$4:$K$1203,对接源_02物料!$C$4:$C$1203,$B189,对接源_02物料!$D$4:$D$1203,"包装物料*",对接源_02物料!$L$4:$L$1203,"已收讫")+SUMIFS(对接源_02物料!$K$4:$K$1203,对接源_02物料!$C$4:$C$1203,$B189,对接源_02物料!$D$4:$D$1203,"包装物料*",对接源_02物料!$L$4:$L$1203,"已付款")+SUMIFS(对接源_02物料!$K$4:$K$1203,对接源_02物料!$C$4:$C$1203,$B189,对接源_02物料!$D$4:$D$1203,"周转筐*",对接源_02物料!$L$4:$L$1203,"已收讫")+SUMIFS(对接源_02物料!$K$4:$K$1203,对接源_02物料!$C$4:$C$1203,$B189,对接源_02物料!$D$4:$D$1203,"周转筐*",对接源_02物料!$L$4:$L$1203,"已付款")+SUMIFS(对接源_02物料!$K$4:$K$1203,对接源_02物料!$C$4:$C$1203,$B189,对接源_02物料!$D$4:$D$1203,"次果筐*",对接源_02物料!$L$4:$L$1203,"已收讫")+SUMIFS(对接源_02物料!$K$4:$K$1203,对接源_02物料!$C$4:$C$1203,$B189,对接源_02物料!$D$4:$D$1203,"次果筐*",对接源_02物料!$L$4:$L$1203,"已付款"),2))</f>
        <v/>
      </c>
      <c r="J189" s="61" t="str">
        <f aca="false">IF($B189="","",ROUND(N($H189)-N($I189),2))</f>
        <v/>
      </c>
      <c r="K189" s="59" t="str">
        <f aca="false">IF($B189="","",IF(ROUND(N($J189),2)&gt;0,"对方欠款",IF(ROUND(N($J189),2)&lt;0,"我方欠款","已两清")))</f>
        <v/>
      </c>
      <c r="L189" s="105"/>
    </row>
    <row r="190" customFormat="false" ht="13.5" hidden="false" customHeight="false" outlineLevel="0" collapsed="false">
      <c r="A190" s="59" t="str">
        <f aca="false">IF($B190="","",ROW()-3)</f>
        <v/>
      </c>
      <c r="B190" s="104" t="str">
        <f aca="false">IFERROR(INDEX(_自动清单!$E$4:$E$303,ROW()-3),"")</f>
        <v/>
      </c>
      <c r="C190" s="61" t="str">
        <f aca="false">IF($B190="","",ROUND(SUMIFS(对接源_01水果!$K$4:$K$1203,对接源_01水果!$C$4:$C$1203,$B190,对接源_01水果!$D$4:$D$1203,"成品出库*"),2))</f>
        <v/>
      </c>
      <c r="D190" s="61" t="str">
        <f aca="false">IF($B190="","",ROUND(SUMIFS(对接源_01水果!$K$4:$K$1203,对接源_01水果!$C$4:$C$1203,$B190,对接源_01水果!$D$4:$D$1203,"其他代存*"),2))</f>
        <v/>
      </c>
      <c r="E190" s="61" t="str">
        <f aca="false">IF($B190="","",ROUND(SUMIFS(对接源_02物料!$K$4:$K$1203,对接源_02物料!$C$4:$C$1203,$B190,对接源_02物料!$D$4:$D$1203,"包装物料*"),2))</f>
        <v/>
      </c>
      <c r="F190" s="61" t="str">
        <f aca="false">IF($B190="","",ROUND(SUMIFS(对接源_02物料!$K$4:$K$1203,对接源_02物料!$C$4:$C$1203,$B190,对接源_02物料!$D$4:$D$1203,"周转筐*"),2))</f>
        <v/>
      </c>
      <c r="G190" s="61" t="str">
        <f aca="false">IF($B190="","",ROUND(SUMIFS(对接源_02物料!$K$4:$K$1203,对接源_02物料!$C$4:$C$1203,$B190,对接源_02物料!$D$4:$D$1203,"次果筐*"),2))</f>
        <v/>
      </c>
      <c r="H190" s="61" t="str">
        <f aca="false">IF($B190="","",ROUND(SUM($C190:$G190),2))</f>
        <v/>
      </c>
      <c r="I190" s="61" t="str">
        <f aca="false">IF($B190="","",ROUND(SUMIFS(对接源_01水果!$K$4:$K$1203,对接源_01水果!$C$4:$C$1203,$B190,对接源_01水果!$D$4:$D$1203,"成品出库*",对接源_01水果!$L$4:$L$1203,"已收讫")+SUMIFS(对接源_01水果!$K$4:$K$1203,对接源_01水果!$C$4:$C$1203,$B190,对接源_01水果!$D$4:$D$1203,"成品出库*",对接源_01水果!$L$4:$L$1203,"已付款")+SUMIFS(对接源_01水果!$K$4:$K$1203,对接源_01水果!$C$4:$C$1203,$B190,对接源_01水果!$D$4:$D$1203,"其他代存*",对接源_01水果!$L$4:$L$1203,"已收讫")+SUMIFS(对接源_01水果!$K$4:$K$1203,对接源_01水果!$C$4:$C$1203,$B190,对接源_01水果!$D$4:$D$1203,"其他代存*",对接源_01水果!$L$4:$L$1203,"已付款")+SUMIFS(对接源_02物料!$K$4:$K$1203,对接源_02物料!$C$4:$C$1203,$B190,对接源_02物料!$D$4:$D$1203,"包装物料*",对接源_02物料!$L$4:$L$1203,"已收讫")+SUMIFS(对接源_02物料!$K$4:$K$1203,对接源_02物料!$C$4:$C$1203,$B190,对接源_02物料!$D$4:$D$1203,"包装物料*",对接源_02物料!$L$4:$L$1203,"已付款")+SUMIFS(对接源_02物料!$K$4:$K$1203,对接源_02物料!$C$4:$C$1203,$B190,对接源_02物料!$D$4:$D$1203,"周转筐*",对接源_02物料!$L$4:$L$1203,"已收讫")+SUMIFS(对接源_02物料!$K$4:$K$1203,对接源_02物料!$C$4:$C$1203,$B190,对接源_02物料!$D$4:$D$1203,"周转筐*",对接源_02物料!$L$4:$L$1203,"已付款")+SUMIFS(对接源_02物料!$K$4:$K$1203,对接源_02物料!$C$4:$C$1203,$B190,对接源_02物料!$D$4:$D$1203,"次果筐*",对接源_02物料!$L$4:$L$1203,"已收讫")+SUMIFS(对接源_02物料!$K$4:$K$1203,对接源_02物料!$C$4:$C$1203,$B190,对接源_02物料!$D$4:$D$1203,"次果筐*",对接源_02物料!$L$4:$L$1203,"已付款"),2))</f>
        <v/>
      </c>
      <c r="J190" s="61" t="str">
        <f aca="false">IF($B190="","",ROUND(N($H190)-N($I190),2))</f>
        <v/>
      </c>
      <c r="K190" s="59" t="str">
        <f aca="false">IF($B190="","",IF(ROUND(N($J190),2)&gt;0,"对方欠款",IF(ROUND(N($J190),2)&lt;0,"我方欠款","已两清")))</f>
        <v/>
      </c>
      <c r="L190" s="105"/>
    </row>
    <row r="191" customFormat="false" ht="13.5" hidden="false" customHeight="false" outlineLevel="0" collapsed="false">
      <c r="A191" s="59" t="str">
        <f aca="false">IF($B191="","",ROW()-3)</f>
        <v/>
      </c>
      <c r="B191" s="104" t="str">
        <f aca="false">IFERROR(INDEX(_自动清单!$E$4:$E$303,ROW()-3),"")</f>
        <v/>
      </c>
      <c r="C191" s="61" t="str">
        <f aca="false">IF($B191="","",ROUND(SUMIFS(对接源_01水果!$K$4:$K$1203,对接源_01水果!$C$4:$C$1203,$B191,对接源_01水果!$D$4:$D$1203,"成品出库*"),2))</f>
        <v/>
      </c>
      <c r="D191" s="61" t="str">
        <f aca="false">IF($B191="","",ROUND(SUMIFS(对接源_01水果!$K$4:$K$1203,对接源_01水果!$C$4:$C$1203,$B191,对接源_01水果!$D$4:$D$1203,"其他代存*"),2))</f>
        <v/>
      </c>
      <c r="E191" s="61" t="str">
        <f aca="false">IF($B191="","",ROUND(SUMIFS(对接源_02物料!$K$4:$K$1203,对接源_02物料!$C$4:$C$1203,$B191,对接源_02物料!$D$4:$D$1203,"包装物料*"),2))</f>
        <v/>
      </c>
      <c r="F191" s="61" t="str">
        <f aca="false">IF($B191="","",ROUND(SUMIFS(对接源_02物料!$K$4:$K$1203,对接源_02物料!$C$4:$C$1203,$B191,对接源_02物料!$D$4:$D$1203,"周转筐*"),2))</f>
        <v/>
      </c>
      <c r="G191" s="61" t="str">
        <f aca="false">IF($B191="","",ROUND(SUMIFS(对接源_02物料!$K$4:$K$1203,对接源_02物料!$C$4:$C$1203,$B191,对接源_02物料!$D$4:$D$1203,"次果筐*"),2))</f>
        <v/>
      </c>
      <c r="H191" s="61" t="str">
        <f aca="false">IF($B191="","",ROUND(SUM($C191:$G191),2))</f>
        <v/>
      </c>
      <c r="I191" s="61" t="str">
        <f aca="false">IF($B191="","",ROUND(SUMIFS(对接源_01水果!$K$4:$K$1203,对接源_01水果!$C$4:$C$1203,$B191,对接源_01水果!$D$4:$D$1203,"成品出库*",对接源_01水果!$L$4:$L$1203,"已收讫")+SUMIFS(对接源_01水果!$K$4:$K$1203,对接源_01水果!$C$4:$C$1203,$B191,对接源_01水果!$D$4:$D$1203,"成品出库*",对接源_01水果!$L$4:$L$1203,"已付款")+SUMIFS(对接源_01水果!$K$4:$K$1203,对接源_01水果!$C$4:$C$1203,$B191,对接源_01水果!$D$4:$D$1203,"其他代存*",对接源_01水果!$L$4:$L$1203,"已收讫")+SUMIFS(对接源_01水果!$K$4:$K$1203,对接源_01水果!$C$4:$C$1203,$B191,对接源_01水果!$D$4:$D$1203,"其他代存*",对接源_01水果!$L$4:$L$1203,"已付款")+SUMIFS(对接源_02物料!$K$4:$K$1203,对接源_02物料!$C$4:$C$1203,$B191,对接源_02物料!$D$4:$D$1203,"包装物料*",对接源_02物料!$L$4:$L$1203,"已收讫")+SUMIFS(对接源_02物料!$K$4:$K$1203,对接源_02物料!$C$4:$C$1203,$B191,对接源_02物料!$D$4:$D$1203,"包装物料*",对接源_02物料!$L$4:$L$1203,"已付款")+SUMIFS(对接源_02物料!$K$4:$K$1203,对接源_02物料!$C$4:$C$1203,$B191,对接源_02物料!$D$4:$D$1203,"周转筐*",对接源_02物料!$L$4:$L$1203,"已收讫")+SUMIFS(对接源_02物料!$K$4:$K$1203,对接源_02物料!$C$4:$C$1203,$B191,对接源_02物料!$D$4:$D$1203,"周转筐*",对接源_02物料!$L$4:$L$1203,"已付款")+SUMIFS(对接源_02物料!$K$4:$K$1203,对接源_02物料!$C$4:$C$1203,$B191,对接源_02物料!$D$4:$D$1203,"次果筐*",对接源_02物料!$L$4:$L$1203,"已收讫")+SUMIFS(对接源_02物料!$K$4:$K$1203,对接源_02物料!$C$4:$C$1203,$B191,对接源_02物料!$D$4:$D$1203,"次果筐*",对接源_02物料!$L$4:$L$1203,"已付款"),2))</f>
        <v/>
      </c>
      <c r="J191" s="61" t="str">
        <f aca="false">IF($B191="","",ROUND(N($H191)-N($I191),2))</f>
        <v/>
      </c>
      <c r="K191" s="59" t="str">
        <f aca="false">IF($B191="","",IF(ROUND(N($J191),2)&gt;0,"对方欠款",IF(ROUND(N($J191),2)&lt;0,"我方欠款","已两清")))</f>
        <v/>
      </c>
      <c r="L191" s="105"/>
    </row>
    <row r="192" customFormat="false" ht="13.5" hidden="false" customHeight="false" outlineLevel="0" collapsed="false">
      <c r="A192" s="59" t="str">
        <f aca="false">IF($B192="","",ROW()-3)</f>
        <v/>
      </c>
      <c r="B192" s="104" t="str">
        <f aca="false">IFERROR(INDEX(_自动清单!$E$4:$E$303,ROW()-3),"")</f>
        <v/>
      </c>
      <c r="C192" s="61" t="str">
        <f aca="false">IF($B192="","",ROUND(SUMIFS(对接源_01水果!$K$4:$K$1203,对接源_01水果!$C$4:$C$1203,$B192,对接源_01水果!$D$4:$D$1203,"成品出库*"),2))</f>
        <v/>
      </c>
      <c r="D192" s="61" t="str">
        <f aca="false">IF($B192="","",ROUND(SUMIFS(对接源_01水果!$K$4:$K$1203,对接源_01水果!$C$4:$C$1203,$B192,对接源_01水果!$D$4:$D$1203,"其他代存*"),2))</f>
        <v/>
      </c>
      <c r="E192" s="61" t="str">
        <f aca="false">IF($B192="","",ROUND(SUMIFS(对接源_02物料!$K$4:$K$1203,对接源_02物料!$C$4:$C$1203,$B192,对接源_02物料!$D$4:$D$1203,"包装物料*"),2))</f>
        <v/>
      </c>
      <c r="F192" s="61" t="str">
        <f aca="false">IF($B192="","",ROUND(SUMIFS(对接源_02物料!$K$4:$K$1203,对接源_02物料!$C$4:$C$1203,$B192,对接源_02物料!$D$4:$D$1203,"周转筐*"),2))</f>
        <v/>
      </c>
      <c r="G192" s="61" t="str">
        <f aca="false">IF($B192="","",ROUND(SUMIFS(对接源_02物料!$K$4:$K$1203,对接源_02物料!$C$4:$C$1203,$B192,对接源_02物料!$D$4:$D$1203,"次果筐*"),2))</f>
        <v/>
      </c>
      <c r="H192" s="61" t="str">
        <f aca="false">IF($B192="","",ROUND(SUM($C192:$G192),2))</f>
        <v/>
      </c>
      <c r="I192" s="61" t="str">
        <f aca="false">IF($B192="","",ROUND(SUMIFS(对接源_01水果!$K$4:$K$1203,对接源_01水果!$C$4:$C$1203,$B192,对接源_01水果!$D$4:$D$1203,"成品出库*",对接源_01水果!$L$4:$L$1203,"已收讫")+SUMIFS(对接源_01水果!$K$4:$K$1203,对接源_01水果!$C$4:$C$1203,$B192,对接源_01水果!$D$4:$D$1203,"成品出库*",对接源_01水果!$L$4:$L$1203,"已付款")+SUMIFS(对接源_01水果!$K$4:$K$1203,对接源_01水果!$C$4:$C$1203,$B192,对接源_01水果!$D$4:$D$1203,"其他代存*",对接源_01水果!$L$4:$L$1203,"已收讫")+SUMIFS(对接源_01水果!$K$4:$K$1203,对接源_01水果!$C$4:$C$1203,$B192,对接源_01水果!$D$4:$D$1203,"其他代存*",对接源_01水果!$L$4:$L$1203,"已付款")+SUMIFS(对接源_02物料!$K$4:$K$1203,对接源_02物料!$C$4:$C$1203,$B192,对接源_02物料!$D$4:$D$1203,"包装物料*",对接源_02物料!$L$4:$L$1203,"已收讫")+SUMIFS(对接源_02物料!$K$4:$K$1203,对接源_02物料!$C$4:$C$1203,$B192,对接源_02物料!$D$4:$D$1203,"包装物料*",对接源_02物料!$L$4:$L$1203,"已付款")+SUMIFS(对接源_02物料!$K$4:$K$1203,对接源_02物料!$C$4:$C$1203,$B192,对接源_02物料!$D$4:$D$1203,"周转筐*",对接源_02物料!$L$4:$L$1203,"已收讫")+SUMIFS(对接源_02物料!$K$4:$K$1203,对接源_02物料!$C$4:$C$1203,$B192,对接源_02物料!$D$4:$D$1203,"周转筐*",对接源_02物料!$L$4:$L$1203,"已付款")+SUMIFS(对接源_02物料!$K$4:$K$1203,对接源_02物料!$C$4:$C$1203,$B192,对接源_02物料!$D$4:$D$1203,"次果筐*",对接源_02物料!$L$4:$L$1203,"已收讫")+SUMIFS(对接源_02物料!$K$4:$K$1203,对接源_02物料!$C$4:$C$1203,$B192,对接源_02物料!$D$4:$D$1203,"次果筐*",对接源_02物料!$L$4:$L$1203,"已付款"),2))</f>
        <v/>
      </c>
      <c r="J192" s="61" t="str">
        <f aca="false">IF($B192="","",ROUND(N($H192)-N($I192),2))</f>
        <v/>
      </c>
      <c r="K192" s="59" t="str">
        <f aca="false">IF($B192="","",IF(ROUND(N($J192),2)&gt;0,"对方欠款",IF(ROUND(N($J192),2)&lt;0,"我方欠款","已两清")))</f>
        <v/>
      </c>
      <c r="L192" s="105"/>
    </row>
    <row r="193" customFormat="false" ht="13.5" hidden="false" customHeight="false" outlineLevel="0" collapsed="false">
      <c r="A193" s="59" t="str">
        <f aca="false">IF($B193="","",ROW()-3)</f>
        <v/>
      </c>
      <c r="B193" s="104" t="str">
        <f aca="false">IFERROR(INDEX(_自动清单!$E$4:$E$303,ROW()-3),"")</f>
        <v/>
      </c>
      <c r="C193" s="61" t="str">
        <f aca="false">IF($B193="","",ROUND(SUMIFS(对接源_01水果!$K$4:$K$1203,对接源_01水果!$C$4:$C$1203,$B193,对接源_01水果!$D$4:$D$1203,"成品出库*"),2))</f>
        <v/>
      </c>
      <c r="D193" s="61" t="str">
        <f aca="false">IF($B193="","",ROUND(SUMIFS(对接源_01水果!$K$4:$K$1203,对接源_01水果!$C$4:$C$1203,$B193,对接源_01水果!$D$4:$D$1203,"其他代存*"),2))</f>
        <v/>
      </c>
      <c r="E193" s="61" t="str">
        <f aca="false">IF($B193="","",ROUND(SUMIFS(对接源_02物料!$K$4:$K$1203,对接源_02物料!$C$4:$C$1203,$B193,对接源_02物料!$D$4:$D$1203,"包装物料*"),2))</f>
        <v/>
      </c>
      <c r="F193" s="61" t="str">
        <f aca="false">IF($B193="","",ROUND(SUMIFS(对接源_02物料!$K$4:$K$1203,对接源_02物料!$C$4:$C$1203,$B193,对接源_02物料!$D$4:$D$1203,"周转筐*"),2))</f>
        <v/>
      </c>
      <c r="G193" s="61" t="str">
        <f aca="false">IF($B193="","",ROUND(SUMIFS(对接源_02物料!$K$4:$K$1203,对接源_02物料!$C$4:$C$1203,$B193,对接源_02物料!$D$4:$D$1203,"次果筐*"),2))</f>
        <v/>
      </c>
      <c r="H193" s="61" t="str">
        <f aca="false">IF($B193="","",ROUND(SUM($C193:$G193),2))</f>
        <v/>
      </c>
      <c r="I193" s="61" t="str">
        <f aca="false">IF($B193="","",ROUND(SUMIFS(对接源_01水果!$K$4:$K$1203,对接源_01水果!$C$4:$C$1203,$B193,对接源_01水果!$D$4:$D$1203,"成品出库*",对接源_01水果!$L$4:$L$1203,"已收讫")+SUMIFS(对接源_01水果!$K$4:$K$1203,对接源_01水果!$C$4:$C$1203,$B193,对接源_01水果!$D$4:$D$1203,"成品出库*",对接源_01水果!$L$4:$L$1203,"已付款")+SUMIFS(对接源_01水果!$K$4:$K$1203,对接源_01水果!$C$4:$C$1203,$B193,对接源_01水果!$D$4:$D$1203,"其他代存*",对接源_01水果!$L$4:$L$1203,"已收讫")+SUMIFS(对接源_01水果!$K$4:$K$1203,对接源_01水果!$C$4:$C$1203,$B193,对接源_01水果!$D$4:$D$1203,"其他代存*",对接源_01水果!$L$4:$L$1203,"已付款")+SUMIFS(对接源_02物料!$K$4:$K$1203,对接源_02物料!$C$4:$C$1203,$B193,对接源_02物料!$D$4:$D$1203,"包装物料*",对接源_02物料!$L$4:$L$1203,"已收讫")+SUMIFS(对接源_02物料!$K$4:$K$1203,对接源_02物料!$C$4:$C$1203,$B193,对接源_02物料!$D$4:$D$1203,"包装物料*",对接源_02物料!$L$4:$L$1203,"已付款")+SUMIFS(对接源_02物料!$K$4:$K$1203,对接源_02物料!$C$4:$C$1203,$B193,对接源_02物料!$D$4:$D$1203,"周转筐*",对接源_02物料!$L$4:$L$1203,"已收讫")+SUMIFS(对接源_02物料!$K$4:$K$1203,对接源_02物料!$C$4:$C$1203,$B193,对接源_02物料!$D$4:$D$1203,"周转筐*",对接源_02物料!$L$4:$L$1203,"已付款")+SUMIFS(对接源_02物料!$K$4:$K$1203,对接源_02物料!$C$4:$C$1203,$B193,对接源_02物料!$D$4:$D$1203,"次果筐*",对接源_02物料!$L$4:$L$1203,"已收讫")+SUMIFS(对接源_02物料!$K$4:$K$1203,对接源_02物料!$C$4:$C$1203,$B193,对接源_02物料!$D$4:$D$1203,"次果筐*",对接源_02物料!$L$4:$L$1203,"已付款"),2))</f>
        <v/>
      </c>
      <c r="J193" s="61" t="str">
        <f aca="false">IF($B193="","",ROUND(N($H193)-N($I193),2))</f>
        <v/>
      </c>
      <c r="K193" s="59" t="str">
        <f aca="false">IF($B193="","",IF(ROUND(N($J193),2)&gt;0,"对方欠款",IF(ROUND(N($J193),2)&lt;0,"我方欠款","已两清")))</f>
        <v/>
      </c>
      <c r="L193" s="105"/>
    </row>
    <row r="194" customFormat="false" ht="13.5" hidden="false" customHeight="false" outlineLevel="0" collapsed="false">
      <c r="A194" s="59" t="str">
        <f aca="false">IF($B194="","",ROW()-3)</f>
        <v/>
      </c>
      <c r="B194" s="104" t="str">
        <f aca="false">IFERROR(INDEX(_自动清单!$E$4:$E$303,ROW()-3),"")</f>
        <v/>
      </c>
      <c r="C194" s="61" t="str">
        <f aca="false">IF($B194="","",ROUND(SUMIFS(对接源_01水果!$K$4:$K$1203,对接源_01水果!$C$4:$C$1203,$B194,对接源_01水果!$D$4:$D$1203,"成品出库*"),2))</f>
        <v/>
      </c>
      <c r="D194" s="61" t="str">
        <f aca="false">IF($B194="","",ROUND(SUMIFS(对接源_01水果!$K$4:$K$1203,对接源_01水果!$C$4:$C$1203,$B194,对接源_01水果!$D$4:$D$1203,"其他代存*"),2))</f>
        <v/>
      </c>
      <c r="E194" s="61" t="str">
        <f aca="false">IF($B194="","",ROUND(SUMIFS(对接源_02物料!$K$4:$K$1203,对接源_02物料!$C$4:$C$1203,$B194,对接源_02物料!$D$4:$D$1203,"包装物料*"),2))</f>
        <v/>
      </c>
      <c r="F194" s="61" t="str">
        <f aca="false">IF($B194="","",ROUND(SUMIFS(对接源_02物料!$K$4:$K$1203,对接源_02物料!$C$4:$C$1203,$B194,对接源_02物料!$D$4:$D$1203,"周转筐*"),2))</f>
        <v/>
      </c>
      <c r="G194" s="61" t="str">
        <f aca="false">IF($B194="","",ROUND(SUMIFS(对接源_02物料!$K$4:$K$1203,对接源_02物料!$C$4:$C$1203,$B194,对接源_02物料!$D$4:$D$1203,"次果筐*"),2))</f>
        <v/>
      </c>
      <c r="H194" s="61" t="str">
        <f aca="false">IF($B194="","",ROUND(SUM($C194:$G194),2))</f>
        <v/>
      </c>
      <c r="I194" s="61" t="str">
        <f aca="false">IF($B194="","",ROUND(SUMIFS(对接源_01水果!$K$4:$K$1203,对接源_01水果!$C$4:$C$1203,$B194,对接源_01水果!$D$4:$D$1203,"成品出库*",对接源_01水果!$L$4:$L$1203,"已收讫")+SUMIFS(对接源_01水果!$K$4:$K$1203,对接源_01水果!$C$4:$C$1203,$B194,对接源_01水果!$D$4:$D$1203,"成品出库*",对接源_01水果!$L$4:$L$1203,"已付款")+SUMIFS(对接源_01水果!$K$4:$K$1203,对接源_01水果!$C$4:$C$1203,$B194,对接源_01水果!$D$4:$D$1203,"其他代存*",对接源_01水果!$L$4:$L$1203,"已收讫")+SUMIFS(对接源_01水果!$K$4:$K$1203,对接源_01水果!$C$4:$C$1203,$B194,对接源_01水果!$D$4:$D$1203,"其他代存*",对接源_01水果!$L$4:$L$1203,"已付款")+SUMIFS(对接源_02物料!$K$4:$K$1203,对接源_02物料!$C$4:$C$1203,$B194,对接源_02物料!$D$4:$D$1203,"包装物料*",对接源_02物料!$L$4:$L$1203,"已收讫")+SUMIFS(对接源_02物料!$K$4:$K$1203,对接源_02物料!$C$4:$C$1203,$B194,对接源_02物料!$D$4:$D$1203,"包装物料*",对接源_02物料!$L$4:$L$1203,"已付款")+SUMIFS(对接源_02物料!$K$4:$K$1203,对接源_02物料!$C$4:$C$1203,$B194,对接源_02物料!$D$4:$D$1203,"周转筐*",对接源_02物料!$L$4:$L$1203,"已收讫")+SUMIFS(对接源_02物料!$K$4:$K$1203,对接源_02物料!$C$4:$C$1203,$B194,对接源_02物料!$D$4:$D$1203,"周转筐*",对接源_02物料!$L$4:$L$1203,"已付款")+SUMIFS(对接源_02物料!$K$4:$K$1203,对接源_02物料!$C$4:$C$1203,$B194,对接源_02物料!$D$4:$D$1203,"次果筐*",对接源_02物料!$L$4:$L$1203,"已收讫")+SUMIFS(对接源_02物料!$K$4:$K$1203,对接源_02物料!$C$4:$C$1203,$B194,对接源_02物料!$D$4:$D$1203,"次果筐*",对接源_02物料!$L$4:$L$1203,"已付款"),2))</f>
        <v/>
      </c>
      <c r="J194" s="61" t="str">
        <f aca="false">IF($B194="","",ROUND(N($H194)-N($I194),2))</f>
        <v/>
      </c>
      <c r="K194" s="59" t="str">
        <f aca="false">IF($B194="","",IF(ROUND(N($J194),2)&gt;0,"对方欠款",IF(ROUND(N($J194),2)&lt;0,"我方欠款","已两清")))</f>
        <v/>
      </c>
      <c r="L194" s="105"/>
    </row>
    <row r="195" customFormat="false" ht="13.5" hidden="false" customHeight="false" outlineLevel="0" collapsed="false">
      <c r="A195" s="59" t="str">
        <f aca="false">IF($B195="","",ROW()-3)</f>
        <v/>
      </c>
      <c r="B195" s="104" t="str">
        <f aca="false">IFERROR(INDEX(_自动清单!$E$4:$E$303,ROW()-3),"")</f>
        <v/>
      </c>
      <c r="C195" s="61" t="str">
        <f aca="false">IF($B195="","",ROUND(SUMIFS(对接源_01水果!$K$4:$K$1203,对接源_01水果!$C$4:$C$1203,$B195,对接源_01水果!$D$4:$D$1203,"成品出库*"),2))</f>
        <v/>
      </c>
      <c r="D195" s="61" t="str">
        <f aca="false">IF($B195="","",ROUND(SUMIFS(对接源_01水果!$K$4:$K$1203,对接源_01水果!$C$4:$C$1203,$B195,对接源_01水果!$D$4:$D$1203,"其他代存*"),2))</f>
        <v/>
      </c>
      <c r="E195" s="61" t="str">
        <f aca="false">IF($B195="","",ROUND(SUMIFS(对接源_02物料!$K$4:$K$1203,对接源_02物料!$C$4:$C$1203,$B195,对接源_02物料!$D$4:$D$1203,"包装物料*"),2))</f>
        <v/>
      </c>
      <c r="F195" s="61" t="str">
        <f aca="false">IF($B195="","",ROUND(SUMIFS(对接源_02物料!$K$4:$K$1203,对接源_02物料!$C$4:$C$1203,$B195,对接源_02物料!$D$4:$D$1203,"周转筐*"),2))</f>
        <v/>
      </c>
      <c r="G195" s="61" t="str">
        <f aca="false">IF($B195="","",ROUND(SUMIFS(对接源_02物料!$K$4:$K$1203,对接源_02物料!$C$4:$C$1203,$B195,对接源_02物料!$D$4:$D$1203,"次果筐*"),2))</f>
        <v/>
      </c>
      <c r="H195" s="61" t="str">
        <f aca="false">IF($B195="","",ROUND(SUM($C195:$G195),2))</f>
        <v/>
      </c>
      <c r="I195" s="61" t="str">
        <f aca="false">IF($B195="","",ROUND(SUMIFS(对接源_01水果!$K$4:$K$1203,对接源_01水果!$C$4:$C$1203,$B195,对接源_01水果!$D$4:$D$1203,"成品出库*",对接源_01水果!$L$4:$L$1203,"已收讫")+SUMIFS(对接源_01水果!$K$4:$K$1203,对接源_01水果!$C$4:$C$1203,$B195,对接源_01水果!$D$4:$D$1203,"成品出库*",对接源_01水果!$L$4:$L$1203,"已付款")+SUMIFS(对接源_01水果!$K$4:$K$1203,对接源_01水果!$C$4:$C$1203,$B195,对接源_01水果!$D$4:$D$1203,"其他代存*",对接源_01水果!$L$4:$L$1203,"已收讫")+SUMIFS(对接源_01水果!$K$4:$K$1203,对接源_01水果!$C$4:$C$1203,$B195,对接源_01水果!$D$4:$D$1203,"其他代存*",对接源_01水果!$L$4:$L$1203,"已付款")+SUMIFS(对接源_02物料!$K$4:$K$1203,对接源_02物料!$C$4:$C$1203,$B195,对接源_02物料!$D$4:$D$1203,"包装物料*",对接源_02物料!$L$4:$L$1203,"已收讫")+SUMIFS(对接源_02物料!$K$4:$K$1203,对接源_02物料!$C$4:$C$1203,$B195,对接源_02物料!$D$4:$D$1203,"包装物料*",对接源_02物料!$L$4:$L$1203,"已付款")+SUMIFS(对接源_02物料!$K$4:$K$1203,对接源_02物料!$C$4:$C$1203,$B195,对接源_02物料!$D$4:$D$1203,"周转筐*",对接源_02物料!$L$4:$L$1203,"已收讫")+SUMIFS(对接源_02物料!$K$4:$K$1203,对接源_02物料!$C$4:$C$1203,$B195,对接源_02物料!$D$4:$D$1203,"周转筐*",对接源_02物料!$L$4:$L$1203,"已付款")+SUMIFS(对接源_02物料!$K$4:$K$1203,对接源_02物料!$C$4:$C$1203,$B195,对接源_02物料!$D$4:$D$1203,"次果筐*",对接源_02物料!$L$4:$L$1203,"已收讫")+SUMIFS(对接源_02物料!$K$4:$K$1203,对接源_02物料!$C$4:$C$1203,$B195,对接源_02物料!$D$4:$D$1203,"次果筐*",对接源_02物料!$L$4:$L$1203,"已付款"),2))</f>
        <v/>
      </c>
      <c r="J195" s="61" t="str">
        <f aca="false">IF($B195="","",ROUND(N($H195)-N($I195),2))</f>
        <v/>
      </c>
      <c r="K195" s="59" t="str">
        <f aca="false">IF($B195="","",IF(ROUND(N($J195),2)&gt;0,"对方欠款",IF(ROUND(N($J195),2)&lt;0,"我方欠款","已两清")))</f>
        <v/>
      </c>
      <c r="L195" s="105"/>
    </row>
    <row r="196" customFormat="false" ht="13.5" hidden="false" customHeight="false" outlineLevel="0" collapsed="false">
      <c r="A196" s="59" t="str">
        <f aca="false">IF($B196="","",ROW()-3)</f>
        <v/>
      </c>
      <c r="B196" s="104" t="str">
        <f aca="false">IFERROR(INDEX(_自动清单!$E$4:$E$303,ROW()-3),"")</f>
        <v/>
      </c>
      <c r="C196" s="61" t="str">
        <f aca="false">IF($B196="","",ROUND(SUMIFS(对接源_01水果!$K$4:$K$1203,对接源_01水果!$C$4:$C$1203,$B196,对接源_01水果!$D$4:$D$1203,"成品出库*"),2))</f>
        <v/>
      </c>
      <c r="D196" s="61" t="str">
        <f aca="false">IF($B196="","",ROUND(SUMIFS(对接源_01水果!$K$4:$K$1203,对接源_01水果!$C$4:$C$1203,$B196,对接源_01水果!$D$4:$D$1203,"其他代存*"),2))</f>
        <v/>
      </c>
      <c r="E196" s="61" t="str">
        <f aca="false">IF($B196="","",ROUND(SUMIFS(对接源_02物料!$K$4:$K$1203,对接源_02物料!$C$4:$C$1203,$B196,对接源_02物料!$D$4:$D$1203,"包装物料*"),2))</f>
        <v/>
      </c>
      <c r="F196" s="61" t="str">
        <f aca="false">IF($B196="","",ROUND(SUMIFS(对接源_02物料!$K$4:$K$1203,对接源_02物料!$C$4:$C$1203,$B196,对接源_02物料!$D$4:$D$1203,"周转筐*"),2))</f>
        <v/>
      </c>
      <c r="G196" s="61" t="str">
        <f aca="false">IF($B196="","",ROUND(SUMIFS(对接源_02物料!$K$4:$K$1203,对接源_02物料!$C$4:$C$1203,$B196,对接源_02物料!$D$4:$D$1203,"次果筐*"),2))</f>
        <v/>
      </c>
      <c r="H196" s="61" t="str">
        <f aca="false">IF($B196="","",ROUND(SUM($C196:$G196),2))</f>
        <v/>
      </c>
      <c r="I196" s="61" t="str">
        <f aca="false">IF($B196="","",ROUND(SUMIFS(对接源_01水果!$K$4:$K$1203,对接源_01水果!$C$4:$C$1203,$B196,对接源_01水果!$D$4:$D$1203,"成品出库*",对接源_01水果!$L$4:$L$1203,"已收讫")+SUMIFS(对接源_01水果!$K$4:$K$1203,对接源_01水果!$C$4:$C$1203,$B196,对接源_01水果!$D$4:$D$1203,"成品出库*",对接源_01水果!$L$4:$L$1203,"已付款")+SUMIFS(对接源_01水果!$K$4:$K$1203,对接源_01水果!$C$4:$C$1203,$B196,对接源_01水果!$D$4:$D$1203,"其他代存*",对接源_01水果!$L$4:$L$1203,"已收讫")+SUMIFS(对接源_01水果!$K$4:$K$1203,对接源_01水果!$C$4:$C$1203,$B196,对接源_01水果!$D$4:$D$1203,"其他代存*",对接源_01水果!$L$4:$L$1203,"已付款")+SUMIFS(对接源_02物料!$K$4:$K$1203,对接源_02物料!$C$4:$C$1203,$B196,对接源_02物料!$D$4:$D$1203,"包装物料*",对接源_02物料!$L$4:$L$1203,"已收讫")+SUMIFS(对接源_02物料!$K$4:$K$1203,对接源_02物料!$C$4:$C$1203,$B196,对接源_02物料!$D$4:$D$1203,"包装物料*",对接源_02物料!$L$4:$L$1203,"已付款")+SUMIFS(对接源_02物料!$K$4:$K$1203,对接源_02物料!$C$4:$C$1203,$B196,对接源_02物料!$D$4:$D$1203,"周转筐*",对接源_02物料!$L$4:$L$1203,"已收讫")+SUMIFS(对接源_02物料!$K$4:$K$1203,对接源_02物料!$C$4:$C$1203,$B196,对接源_02物料!$D$4:$D$1203,"周转筐*",对接源_02物料!$L$4:$L$1203,"已付款")+SUMIFS(对接源_02物料!$K$4:$K$1203,对接源_02物料!$C$4:$C$1203,$B196,对接源_02物料!$D$4:$D$1203,"次果筐*",对接源_02物料!$L$4:$L$1203,"已收讫")+SUMIFS(对接源_02物料!$K$4:$K$1203,对接源_02物料!$C$4:$C$1203,$B196,对接源_02物料!$D$4:$D$1203,"次果筐*",对接源_02物料!$L$4:$L$1203,"已付款"),2))</f>
        <v/>
      </c>
      <c r="J196" s="61" t="str">
        <f aca="false">IF($B196="","",ROUND(N($H196)-N($I196),2))</f>
        <v/>
      </c>
      <c r="K196" s="59" t="str">
        <f aca="false">IF($B196="","",IF(ROUND(N($J196),2)&gt;0,"对方欠款",IF(ROUND(N($J196),2)&lt;0,"我方欠款","已两清")))</f>
        <v/>
      </c>
      <c r="L196" s="105"/>
    </row>
    <row r="197" customFormat="false" ht="13.5" hidden="false" customHeight="false" outlineLevel="0" collapsed="false">
      <c r="A197" s="59" t="str">
        <f aca="false">IF($B197="","",ROW()-3)</f>
        <v/>
      </c>
      <c r="B197" s="104" t="str">
        <f aca="false">IFERROR(INDEX(_自动清单!$E$4:$E$303,ROW()-3),"")</f>
        <v/>
      </c>
      <c r="C197" s="61" t="str">
        <f aca="false">IF($B197="","",ROUND(SUMIFS(对接源_01水果!$K$4:$K$1203,对接源_01水果!$C$4:$C$1203,$B197,对接源_01水果!$D$4:$D$1203,"成品出库*"),2))</f>
        <v/>
      </c>
      <c r="D197" s="61" t="str">
        <f aca="false">IF($B197="","",ROUND(SUMIFS(对接源_01水果!$K$4:$K$1203,对接源_01水果!$C$4:$C$1203,$B197,对接源_01水果!$D$4:$D$1203,"其他代存*"),2))</f>
        <v/>
      </c>
      <c r="E197" s="61" t="str">
        <f aca="false">IF($B197="","",ROUND(SUMIFS(对接源_02物料!$K$4:$K$1203,对接源_02物料!$C$4:$C$1203,$B197,对接源_02物料!$D$4:$D$1203,"包装物料*"),2))</f>
        <v/>
      </c>
      <c r="F197" s="61" t="str">
        <f aca="false">IF($B197="","",ROUND(SUMIFS(对接源_02物料!$K$4:$K$1203,对接源_02物料!$C$4:$C$1203,$B197,对接源_02物料!$D$4:$D$1203,"周转筐*"),2))</f>
        <v/>
      </c>
      <c r="G197" s="61" t="str">
        <f aca="false">IF($B197="","",ROUND(SUMIFS(对接源_02物料!$K$4:$K$1203,对接源_02物料!$C$4:$C$1203,$B197,对接源_02物料!$D$4:$D$1203,"次果筐*"),2))</f>
        <v/>
      </c>
      <c r="H197" s="61" t="str">
        <f aca="false">IF($B197="","",ROUND(SUM($C197:$G197),2))</f>
        <v/>
      </c>
      <c r="I197" s="61" t="str">
        <f aca="false">IF($B197="","",ROUND(SUMIFS(对接源_01水果!$K$4:$K$1203,对接源_01水果!$C$4:$C$1203,$B197,对接源_01水果!$D$4:$D$1203,"成品出库*",对接源_01水果!$L$4:$L$1203,"已收讫")+SUMIFS(对接源_01水果!$K$4:$K$1203,对接源_01水果!$C$4:$C$1203,$B197,对接源_01水果!$D$4:$D$1203,"成品出库*",对接源_01水果!$L$4:$L$1203,"已付款")+SUMIFS(对接源_01水果!$K$4:$K$1203,对接源_01水果!$C$4:$C$1203,$B197,对接源_01水果!$D$4:$D$1203,"其他代存*",对接源_01水果!$L$4:$L$1203,"已收讫")+SUMIFS(对接源_01水果!$K$4:$K$1203,对接源_01水果!$C$4:$C$1203,$B197,对接源_01水果!$D$4:$D$1203,"其他代存*",对接源_01水果!$L$4:$L$1203,"已付款")+SUMIFS(对接源_02物料!$K$4:$K$1203,对接源_02物料!$C$4:$C$1203,$B197,对接源_02物料!$D$4:$D$1203,"包装物料*",对接源_02物料!$L$4:$L$1203,"已收讫")+SUMIFS(对接源_02物料!$K$4:$K$1203,对接源_02物料!$C$4:$C$1203,$B197,对接源_02物料!$D$4:$D$1203,"包装物料*",对接源_02物料!$L$4:$L$1203,"已付款")+SUMIFS(对接源_02物料!$K$4:$K$1203,对接源_02物料!$C$4:$C$1203,$B197,对接源_02物料!$D$4:$D$1203,"周转筐*",对接源_02物料!$L$4:$L$1203,"已收讫")+SUMIFS(对接源_02物料!$K$4:$K$1203,对接源_02物料!$C$4:$C$1203,$B197,对接源_02物料!$D$4:$D$1203,"周转筐*",对接源_02物料!$L$4:$L$1203,"已付款")+SUMIFS(对接源_02物料!$K$4:$K$1203,对接源_02物料!$C$4:$C$1203,$B197,对接源_02物料!$D$4:$D$1203,"次果筐*",对接源_02物料!$L$4:$L$1203,"已收讫")+SUMIFS(对接源_02物料!$K$4:$K$1203,对接源_02物料!$C$4:$C$1203,$B197,对接源_02物料!$D$4:$D$1203,"次果筐*",对接源_02物料!$L$4:$L$1203,"已付款"),2))</f>
        <v/>
      </c>
      <c r="J197" s="61" t="str">
        <f aca="false">IF($B197="","",ROUND(N($H197)-N($I197),2))</f>
        <v/>
      </c>
      <c r="K197" s="59" t="str">
        <f aca="false">IF($B197="","",IF(ROUND(N($J197),2)&gt;0,"对方欠款",IF(ROUND(N($J197),2)&lt;0,"我方欠款","已两清")))</f>
        <v/>
      </c>
      <c r="L197" s="105"/>
    </row>
    <row r="198" customFormat="false" ht="13.5" hidden="false" customHeight="false" outlineLevel="0" collapsed="false">
      <c r="A198" s="59" t="str">
        <f aca="false">IF($B198="","",ROW()-3)</f>
        <v/>
      </c>
      <c r="B198" s="104" t="str">
        <f aca="false">IFERROR(INDEX(_自动清单!$E$4:$E$303,ROW()-3),"")</f>
        <v/>
      </c>
      <c r="C198" s="61" t="str">
        <f aca="false">IF($B198="","",ROUND(SUMIFS(对接源_01水果!$K$4:$K$1203,对接源_01水果!$C$4:$C$1203,$B198,对接源_01水果!$D$4:$D$1203,"成品出库*"),2))</f>
        <v/>
      </c>
      <c r="D198" s="61" t="str">
        <f aca="false">IF($B198="","",ROUND(SUMIFS(对接源_01水果!$K$4:$K$1203,对接源_01水果!$C$4:$C$1203,$B198,对接源_01水果!$D$4:$D$1203,"其他代存*"),2))</f>
        <v/>
      </c>
      <c r="E198" s="61" t="str">
        <f aca="false">IF($B198="","",ROUND(SUMIFS(对接源_02物料!$K$4:$K$1203,对接源_02物料!$C$4:$C$1203,$B198,对接源_02物料!$D$4:$D$1203,"包装物料*"),2))</f>
        <v/>
      </c>
      <c r="F198" s="61" t="str">
        <f aca="false">IF($B198="","",ROUND(SUMIFS(对接源_02物料!$K$4:$K$1203,对接源_02物料!$C$4:$C$1203,$B198,对接源_02物料!$D$4:$D$1203,"周转筐*"),2))</f>
        <v/>
      </c>
      <c r="G198" s="61" t="str">
        <f aca="false">IF($B198="","",ROUND(SUMIFS(对接源_02物料!$K$4:$K$1203,对接源_02物料!$C$4:$C$1203,$B198,对接源_02物料!$D$4:$D$1203,"次果筐*"),2))</f>
        <v/>
      </c>
      <c r="H198" s="61" t="str">
        <f aca="false">IF($B198="","",ROUND(SUM($C198:$G198),2))</f>
        <v/>
      </c>
      <c r="I198" s="61" t="str">
        <f aca="false">IF($B198="","",ROUND(SUMIFS(对接源_01水果!$K$4:$K$1203,对接源_01水果!$C$4:$C$1203,$B198,对接源_01水果!$D$4:$D$1203,"成品出库*",对接源_01水果!$L$4:$L$1203,"已收讫")+SUMIFS(对接源_01水果!$K$4:$K$1203,对接源_01水果!$C$4:$C$1203,$B198,对接源_01水果!$D$4:$D$1203,"成品出库*",对接源_01水果!$L$4:$L$1203,"已付款")+SUMIFS(对接源_01水果!$K$4:$K$1203,对接源_01水果!$C$4:$C$1203,$B198,对接源_01水果!$D$4:$D$1203,"其他代存*",对接源_01水果!$L$4:$L$1203,"已收讫")+SUMIFS(对接源_01水果!$K$4:$K$1203,对接源_01水果!$C$4:$C$1203,$B198,对接源_01水果!$D$4:$D$1203,"其他代存*",对接源_01水果!$L$4:$L$1203,"已付款")+SUMIFS(对接源_02物料!$K$4:$K$1203,对接源_02物料!$C$4:$C$1203,$B198,对接源_02物料!$D$4:$D$1203,"包装物料*",对接源_02物料!$L$4:$L$1203,"已收讫")+SUMIFS(对接源_02物料!$K$4:$K$1203,对接源_02物料!$C$4:$C$1203,$B198,对接源_02物料!$D$4:$D$1203,"包装物料*",对接源_02物料!$L$4:$L$1203,"已付款")+SUMIFS(对接源_02物料!$K$4:$K$1203,对接源_02物料!$C$4:$C$1203,$B198,对接源_02物料!$D$4:$D$1203,"周转筐*",对接源_02物料!$L$4:$L$1203,"已收讫")+SUMIFS(对接源_02物料!$K$4:$K$1203,对接源_02物料!$C$4:$C$1203,$B198,对接源_02物料!$D$4:$D$1203,"周转筐*",对接源_02物料!$L$4:$L$1203,"已付款")+SUMIFS(对接源_02物料!$K$4:$K$1203,对接源_02物料!$C$4:$C$1203,$B198,对接源_02物料!$D$4:$D$1203,"次果筐*",对接源_02物料!$L$4:$L$1203,"已收讫")+SUMIFS(对接源_02物料!$K$4:$K$1203,对接源_02物料!$C$4:$C$1203,$B198,对接源_02物料!$D$4:$D$1203,"次果筐*",对接源_02物料!$L$4:$L$1203,"已付款"),2))</f>
        <v/>
      </c>
      <c r="J198" s="61" t="str">
        <f aca="false">IF($B198="","",ROUND(N($H198)-N($I198),2))</f>
        <v/>
      </c>
      <c r="K198" s="59" t="str">
        <f aca="false">IF($B198="","",IF(ROUND(N($J198),2)&gt;0,"对方欠款",IF(ROUND(N($J198),2)&lt;0,"我方欠款","已两清")))</f>
        <v/>
      </c>
      <c r="L198" s="105"/>
    </row>
    <row r="199" customFormat="false" ht="13.5" hidden="false" customHeight="false" outlineLevel="0" collapsed="false">
      <c r="A199" s="59" t="str">
        <f aca="false">IF($B199="","",ROW()-3)</f>
        <v/>
      </c>
      <c r="B199" s="104" t="str">
        <f aca="false">IFERROR(INDEX(_自动清单!$E$4:$E$303,ROW()-3),"")</f>
        <v/>
      </c>
      <c r="C199" s="61" t="str">
        <f aca="false">IF($B199="","",ROUND(SUMIFS(对接源_01水果!$K$4:$K$1203,对接源_01水果!$C$4:$C$1203,$B199,对接源_01水果!$D$4:$D$1203,"成品出库*"),2))</f>
        <v/>
      </c>
      <c r="D199" s="61" t="str">
        <f aca="false">IF($B199="","",ROUND(SUMIFS(对接源_01水果!$K$4:$K$1203,对接源_01水果!$C$4:$C$1203,$B199,对接源_01水果!$D$4:$D$1203,"其他代存*"),2))</f>
        <v/>
      </c>
      <c r="E199" s="61" t="str">
        <f aca="false">IF($B199="","",ROUND(SUMIFS(对接源_02物料!$K$4:$K$1203,对接源_02物料!$C$4:$C$1203,$B199,对接源_02物料!$D$4:$D$1203,"包装物料*"),2))</f>
        <v/>
      </c>
      <c r="F199" s="61" t="str">
        <f aca="false">IF($B199="","",ROUND(SUMIFS(对接源_02物料!$K$4:$K$1203,对接源_02物料!$C$4:$C$1203,$B199,对接源_02物料!$D$4:$D$1203,"周转筐*"),2))</f>
        <v/>
      </c>
      <c r="G199" s="61" t="str">
        <f aca="false">IF($B199="","",ROUND(SUMIFS(对接源_02物料!$K$4:$K$1203,对接源_02物料!$C$4:$C$1203,$B199,对接源_02物料!$D$4:$D$1203,"次果筐*"),2))</f>
        <v/>
      </c>
      <c r="H199" s="61" t="str">
        <f aca="false">IF($B199="","",ROUND(SUM($C199:$G199),2))</f>
        <v/>
      </c>
      <c r="I199" s="61" t="str">
        <f aca="false">IF($B199="","",ROUND(SUMIFS(对接源_01水果!$K$4:$K$1203,对接源_01水果!$C$4:$C$1203,$B199,对接源_01水果!$D$4:$D$1203,"成品出库*",对接源_01水果!$L$4:$L$1203,"已收讫")+SUMIFS(对接源_01水果!$K$4:$K$1203,对接源_01水果!$C$4:$C$1203,$B199,对接源_01水果!$D$4:$D$1203,"成品出库*",对接源_01水果!$L$4:$L$1203,"已付款")+SUMIFS(对接源_01水果!$K$4:$K$1203,对接源_01水果!$C$4:$C$1203,$B199,对接源_01水果!$D$4:$D$1203,"其他代存*",对接源_01水果!$L$4:$L$1203,"已收讫")+SUMIFS(对接源_01水果!$K$4:$K$1203,对接源_01水果!$C$4:$C$1203,$B199,对接源_01水果!$D$4:$D$1203,"其他代存*",对接源_01水果!$L$4:$L$1203,"已付款")+SUMIFS(对接源_02物料!$K$4:$K$1203,对接源_02物料!$C$4:$C$1203,$B199,对接源_02物料!$D$4:$D$1203,"包装物料*",对接源_02物料!$L$4:$L$1203,"已收讫")+SUMIFS(对接源_02物料!$K$4:$K$1203,对接源_02物料!$C$4:$C$1203,$B199,对接源_02物料!$D$4:$D$1203,"包装物料*",对接源_02物料!$L$4:$L$1203,"已付款")+SUMIFS(对接源_02物料!$K$4:$K$1203,对接源_02物料!$C$4:$C$1203,$B199,对接源_02物料!$D$4:$D$1203,"周转筐*",对接源_02物料!$L$4:$L$1203,"已收讫")+SUMIFS(对接源_02物料!$K$4:$K$1203,对接源_02物料!$C$4:$C$1203,$B199,对接源_02物料!$D$4:$D$1203,"周转筐*",对接源_02物料!$L$4:$L$1203,"已付款")+SUMIFS(对接源_02物料!$K$4:$K$1203,对接源_02物料!$C$4:$C$1203,$B199,对接源_02物料!$D$4:$D$1203,"次果筐*",对接源_02物料!$L$4:$L$1203,"已收讫")+SUMIFS(对接源_02物料!$K$4:$K$1203,对接源_02物料!$C$4:$C$1203,$B199,对接源_02物料!$D$4:$D$1203,"次果筐*",对接源_02物料!$L$4:$L$1203,"已付款"),2))</f>
        <v/>
      </c>
      <c r="J199" s="61" t="str">
        <f aca="false">IF($B199="","",ROUND(N($H199)-N($I199),2))</f>
        <v/>
      </c>
      <c r="K199" s="59" t="str">
        <f aca="false">IF($B199="","",IF(ROUND(N($J199),2)&gt;0,"对方欠款",IF(ROUND(N($J199),2)&lt;0,"我方欠款","已两清")))</f>
        <v/>
      </c>
      <c r="L199" s="105"/>
    </row>
    <row r="200" customFormat="false" ht="13.5" hidden="false" customHeight="false" outlineLevel="0" collapsed="false">
      <c r="A200" s="59" t="str">
        <f aca="false">IF($B200="","",ROW()-3)</f>
        <v/>
      </c>
      <c r="B200" s="104" t="str">
        <f aca="false">IFERROR(INDEX(_自动清单!$E$4:$E$303,ROW()-3),"")</f>
        <v/>
      </c>
      <c r="C200" s="61" t="str">
        <f aca="false">IF($B200="","",ROUND(SUMIFS(对接源_01水果!$K$4:$K$1203,对接源_01水果!$C$4:$C$1203,$B200,对接源_01水果!$D$4:$D$1203,"成品出库*"),2))</f>
        <v/>
      </c>
      <c r="D200" s="61" t="str">
        <f aca="false">IF($B200="","",ROUND(SUMIFS(对接源_01水果!$K$4:$K$1203,对接源_01水果!$C$4:$C$1203,$B200,对接源_01水果!$D$4:$D$1203,"其他代存*"),2))</f>
        <v/>
      </c>
      <c r="E200" s="61" t="str">
        <f aca="false">IF($B200="","",ROUND(SUMIFS(对接源_02物料!$K$4:$K$1203,对接源_02物料!$C$4:$C$1203,$B200,对接源_02物料!$D$4:$D$1203,"包装物料*"),2))</f>
        <v/>
      </c>
      <c r="F200" s="61" t="str">
        <f aca="false">IF($B200="","",ROUND(SUMIFS(对接源_02物料!$K$4:$K$1203,对接源_02物料!$C$4:$C$1203,$B200,对接源_02物料!$D$4:$D$1203,"周转筐*"),2))</f>
        <v/>
      </c>
      <c r="G200" s="61" t="str">
        <f aca="false">IF($B200="","",ROUND(SUMIFS(对接源_02物料!$K$4:$K$1203,对接源_02物料!$C$4:$C$1203,$B200,对接源_02物料!$D$4:$D$1203,"次果筐*"),2))</f>
        <v/>
      </c>
      <c r="H200" s="61" t="str">
        <f aca="false">IF($B200="","",ROUND(SUM($C200:$G200),2))</f>
        <v/>
      </c>
      <c r="I200" s="61" t="str">
        <f aca="false">IF($B200="","",ROUND(SUMIFS(对接源_01水果!$K$4:$K$1203,对接源_01水果!$C$4:$C$1203,$B200,对接源_01水果!$D$4:$D$1203,"成品出库*",对接源_01水果!$L$4:$L$1203,"已收讫")+SUMIFS(对接源_01水果!$K$4:$K$1203,对接源_01水果!$C$4:$C$1203,$B200,对接源_01水果!$D$4:$D$1203,"成品出库*",对接源_01水果!$L$4:$L$1203,"已付款")+SUMIFS(对接源_01水果!$K$4:$K$1203,对接源_01水果!$C$4:$C$1203,$B200,对接源_01水果!$D$4:$D$1203,"其他代存*",对接源_01水果!$L$4:$L$1203,"已收讫")+SUMIFS(对接源_01水果!$K$4:$K$1203,对接源_01水果!$C$4:$C$1203,$B200,对接源_01水果!$D$4:$D$1203,"其他代存*",对接源_01水果!$L$4:$L$1203,"已付款")+SUMIFS(对接源_02物料!$K$4:$K$1203,对接源_02物料!$C$4:$C$1203,$B200,对接源_02物料!$D$4:$D$1203,"包装物料*",对接源_02物料!$L$4:$L$1203,"已收讫")+SUMIFS(对接源_02物料!$K$4:$K$1203,对接源_02物料!$C$4:$C$1203,$B200,对接源_02物料!$D$4:$D$1203,"包装物料*",对接源_02物料!$L$4:$L$1203,"已付款")+SUMIFS(对接源_02物料!$K$4:$K$1203,对接源_02物料!$C$4:$C$1203,$B200,对接源_02物料!$D$4:$D$1203,"周转筐*",对接源_02物料!$L$4:$L$1203,"已收讫")+SUMIFS(对接源_02物料!$K$4:$K$1203,对接源_02物料!$C$4:$C$1203,$B200,对接源_02物料!$D$4:$D$1203,"周转筐*",对接源_02物料!$L$4:$L$1203,"已付款")+SUMIFS(对接源_02物料!$K$4:$K$1203,对接源_02物料!$C$4:$C$1203,$B200,对接源_02物料!$D$4:$D$1203,"次果筐*",对接源_02物料!$L$4:$L$1203,"已收讫")+SUMIFS(对接源_02物料!$K$4:$K$1203,对接源_02物料!$C$4:$C$1203,$B200,对接源_02物料!$D$4:$D$1203,"次果筐*",对接源_02物料!$L$4:$L$1203,"已付款"),2))</f>
        <v/>
      </c>
      <c r="J200" s="61" t="str">
        <f aca="false">IF($B200="","",ROUND(N($H200)-N($I200),2))</f>
        <v/>
      </c>
      <c r="K200" s="59" t="str">
        <f aca="false">IF($B200="","",IF(ROUND(N($J200),2)&gt;0,"对方欠款",IF(ROUND(N($J200),2)&lt;0,"我方欠款","已两清")))</f>
        <v/>
      </c>
      <c r="L200" s="105"/>
    </row>
    <row r="201" customFormat="false" ht="13.5" hidden="false" customHeight="false" outlineLevel="0" collapsed="false">
      <c r="A201" s="59" t="str">
        <f aca="false">IF($B201="","",ROW()-3)</f>
        <v/>
      </c>
      <c r="B201" s="104" t="str">
        <f aca="false">IFERROR(INDEX(_自动清单!$E$4:$E$303,ROW()-3),"")</f>
        <v/>
      </c>
      <c r="C201" s="61" t="str">
        <f aca="false">IF($B201="","",ROUND(SUMIFS(对接源_01水果!$K$4:$K$1203,对接源_01水果!$C$4:$C$1203,$B201,对接源_01水果!$D$4:$D$1203,"成品出库*"),2))</f>
        <v/>
      </c>
      <c r="D201" s="61" t="str">
        <f aca="false">IF($B201="","",ROUND(SUMIFS(对接源_01水果!$K$4:$K$1203,对接源_01水果!$C$4:$C$1203,$B201,对接源_01水果!$D$4:$D$1203,"其他代存*"),2))</f>
        <v/>
      </c>
      <c r="E201" s="61" t="str">
        <f aca="false">IF($B201="","",ROUND(SUMIFS(对接源_02物料!$K$4:$K$1203,对接源_02物料!$C$4:$C$1203,$B201,对接源_02物料!$D$4:$D$1203,"包装物料*"),2))</f>
        <v/>
      </c>
      <c r="F201" s="61" t="str">
        <f aca="false">IF($B201="","",ROUND(SUMIFS(对接源_02物料!$K$4:$K$1203,对接源_02物料!$C$4:$C$1203,$B201,对接源_02物料!$D$4:$D$1203,"周转筐*"),2))</f>
        <v/>
      </c>
      <c r="G201" s="61" t="str">
        <f aca="false">IF($B201="","",ROUND(SUMIFS(对接源_02物料!$K$4:$K$1203,对接源_02物料!$C$4:$C$1203,$B201,对接源_02物料!$D$4:$D$1203,"次果筐*"),2))</f>
        <v/>
      </c>
      <c r="H201" s="61" t="str">
        <f aca="false">IF($B201="","",ROUND(SUM($C201:$G201),2))</f>
        <v/>
      </c>
      <c r="I201" s="61" t="str">
        <f aca="false">IF($B201="","",ROUND(SUMIFS(对接源_01水果!$K$4:$K$1203,对接源_01水果!$C$4:$C$1203,$B201,对接源_01水果!$D$4:$D$1203,"成品出库*",对接源_01水果!$L$4:$L$1203,"已收讫")+SUMIFS(对接源_01水果!$K$4:$K$1203,对接源_01水果!$C$4:$C$1203,$B201,对接源_01水果!$D$4:$D$1203,"成品出库*",对接源_01水果!$L$4:$L$1203,"已付款")+SUMIFS(对接源_01水果!$K$4:$K$1203,对接源_01水果!$C$4:$C$1203,$B201,对接源_01水果!$D$4:$D$1203,"其他代存*",对接源_01水果!$L$4:$L$1203,"已收讫")+SUMIFS(对接源_01水果!$K$4:$K$1203,对接源_01水果!$C$4:$C$1203,$B201,对接源_01水果!$D$4:$D$1203,"其他代存*",对接源_01水果!$L$4:$L$1203,"已付款")+SUMIFS(对接源_02物料!$K$4:$K$1203,对接源_02物料!$C$4:$C$1203,$B201,对接源_02物料!$D$4:$D$1203,"包装物料*",对接源_02物料!$L$4:$L$1203,"已收讫")+SUMIFS(对接源_02物料!$K$4:$K$1203,对接源_02物料!$C$4:$C$1203,$B201,对接源_02物料!$D$4:$D$1203,"包装物料*",对接源_02物料!$L$4:$L$1203,"已付款")+SUMIFS(对接源_02物料!$K$4:$K$1203,对接源_02物料!$C$4:$C$1203,$B201,对接源_02物料!$D$4:$D$1203,"周转筐*",对接源_02物料!$L$4:$L$1203,"已收讫")+SUMIFS(对接源_02物料!$K$4:$K$1203,对接源_02物料!$C$4:$C$1203,$B201,对接源_02物料!$D$4:$D$1203,"周转筐*",对接源_02物料!$L$4:$L$1203,"已付款")+SUMIFS(对接源_02物料!$K$4:$K$1203,对接源_02物料!$C$4:$C$1203,$B201,对接源_02物料!$D$4:$D$1203,"次果筐*",对接源_02物料!$L$4:$L$1203,"已收讫")+SUMIFS(对接源_02物料!$K$4:$K$1203,对接源_02物料!$C$4:$C$1203,$B201,对接源_02物料!$D$4:$D$1203,"次果筐*",对接源_02物料!$L$4:$L$1203,"已付款"),2))</f>
        <v/>
      </c>
      <c r="J201" s="61" t="str">
        <f aca="false">IF($B201="","",ROUND(N($H201)-N($I201),2))</f>
        <v/>
      </c>
      <c r="K201" s="59" t="str">
        <f aca="false">IF($B201="","",IF(ROUND(N($J201),2)&gt;0,"对方欠款",IF(ROUND(N($J201),2)&lt;0,"我方欠款","已两清")))</f>
        <v/>
      </c>
      <c r="L201" s="105"/>
    </row>
    <row r="202" customFormat="false" ht="13.5" hidden="false" customHeight="false" outlineLevel="0" collapsed="false">
      <c r="A202" s="59" t="str">
        <f aca="false">IF($B202="","",ROW()-3)</f>
        <v/>
      </c>
      <c r="B202" s="104" t="str">
        <f aca="false">IFERROR(INDEX(_自动清单!$E$4:$E$303,ROW()-3),"")</f>
        <v/>
      </c>
      <c r="C202" s="61" t="str">
        <f aca="false">IF($B202="","",ROUND(SUMIFS(对接源_01水果!$K$4:$K$1203,对接源_01水果!$C$4:$C$1203,$B202,对接源_01水果!$D$4:$D$1203,"成品出库*"),2))</f>
        <v/>
      </c>
      <c r="D202" s="61" t="str">
        <f aca="false">IF($B202="","",ROUND(SUMIFS(对接源_01水果!$K$4:$K$1203,对接源_01水果!$C$4:$C$1203,$B202,对接源_01水果!$D$4:$D$1203,"其他代存*"),2))</f>
        <v/>
      </c>
      <c r="E202" s="61" t="str">
        <f aca="false">IF($B202="","",ROUND(SUMIFS(对接源_02物料!$K$4:$K$1203,对接源_02物料!$C$4:$C$1203,$B202,对接源_02物料!$D$4:$D$1203,"包装物料*"),2))</f>
        <v/>
      </c>
      <c r="F202" s="61" t="str">
        <f aca="false">IF($B202="","",ROUND(SUMIFS(对接源_02物料!$K$4:$K$1203,对接源_02物料!$C$4:$C$1203,$B202,对接源_02物料!$D$4:$D$1203,"周转筐*"),2))</f>
        <v/>
      </c>
      <c r="G202" s="61" t="str">
        <f aca="false">IF($B202="","",ROUND(SUMIFS(对接源_02物料!$K$4:$K$1203,对接源_02物料!$C$4:$C$1203,$B202,对接源_02物料!$D$4:$D$1203,"次果筐*"),2))</f>
        <v/>
      </c>
      <c r="H202" s="61" t="str">
        <f aca="false">IF($B202="","",ROUND(SUM($C202:$G202),2))</f>
        <v/>
      </c>
      <c r="I202" s="61" t="str">
        <f aca="false">IF($B202="","",ROUND(SUMIFS(对接源_01水果!$K$4:$K$1203,对接源_01水果!$C$4:$C$1203,$B202,对接源_01水果!$D$4:$D$1203,"成品出库*",对接源_01水果!$L$4:$L$1203,"已收讫")+SUMIFS(对接源_01水果!$K$4:$K$1203,对接源_01水果!$C$4:$C$1203,$B202,对接源_01水果!$D$4:$D$1203,"成品出库*",对接源_01水果!$L$4:$L$1203,"已付款")+SUMIFS(对接源_01水果!$K$4:$K$1203,对接源_01水果!$C$4:$C$1203,$B202,对接源_01水果!$D$4:$D$1203,"其他代存*",对接源_01水果!$L$4:$L$1203,"已收讫")+SUMIFS(对接源_01水果!$K$4:$K$1203,对接源_01水果!$C$4:$C$1203,$B202,对接源_01水果!$D$4:$D$1203,"其他代存*",对接源_01水果!$L$4:$L$1203,"已付款")+SUMIFS(对接源_02物料!$K$4:$K$1203,对接源_02物料!$C$4:$C$1203,$B202,对接源_02物料!$D$4:$D$1203,"包装物料*",对接源_02物料!$L$4:$L$1203,"已收讫")+SUMIFS(对接源_02物料!$K$4:$K$1203,对接源_02物料!$C$4:$C$1203,$B202,对接源_02物料!$D$4:$D$1203,"包装物料*",对接源_02物料!$L$4:$L$1203,"已付款")+SUMIFS(对接源_02物料!$K$4:$K$1203,对接源_02物料!$C$4:$C$1203,$B202,对接源_02物料!$D$4:$D$1203,"周转筐*",对接源_02物料!$L$4:$L$1203,"已收讫")+SUMIFS(对接源_02物料!$K$4:$K$1203,对接源_02物料!$C$4:$C$1203,$B202,对接源_02物料!$D$4:$D$1203,"周转筐*",对接源_02物料!$L$4:$L$1203,"已付款")+SUMIFS(对接源_02物料!$K$4:$K$1203,对接源_02物料!$C$4:$C$1203,$B202,对接源_02物料!$D$4:$D$1203,"次果筐*",对接源_02物料!$L$4:$L$1203,"已收讫")+SUMIFS(对接源_02物料!$K$4:$K$1203,对接源_02物料!$C$4:$C$1203,$B202,对接源_02物料!$D$4:$D$1203,"次果筐*",对接源_02物料!$L$4:$L$1203,"已付款"),2))</f>
        <v/>
      </c>
      <c r="J202" s="61" t="str">
        <f aca="false">IF($B202="","",ROUND(N($H202)-N($I202),2))</f>
        <v/>
      </c>
      <c r="K202" s="59" t="str">
        <f aca="false">IF($B202="","",IF(ROUND(N($J202),2)&gt;0,"对方欠款",IF(ROUND(N($J202),2)&lt;0,"我方欠款","已两清")))</f>
        <v/>
      </c>
      <c r="L202" s="105"/>
    </row>
    <row r="203" customFormat="false" ht="13.5" hidden="false" customHeight="false" outlineLevel="0" collapsed="false">
      <c r="A203" s="59" t="str">
        <f aca="false">IF($B203="","",ROW()-3)</f>
        <v/>
      </c>
      <c r="B203" s="104" t="str">
        <f aca="false">IFERROR(INDEX(_自动清单!$E$4:$E$303,ROW()-3),"")</f>
        <v/>
      </c>
      <c r="C203" s="61" t="str">
        <f aca="false">IF($B203="","",ROUND(SUMIFS(对接源_01水果!$K$4:$K$1203,对接源_01水果!$C$4:$C$1203,$B203,对接源_01水果!$D$4:$D$1203,"成品出库*"),2))</f>
        <v/>
      </c>
      <c r="D203" s="61" t="str">
        <f aca="false">IF($B203="","",ROUND(SUMIFS(对接源_01水果!$K$4:$K$1203,对接源_01水果!$C$4:$C$1203,$B203,对接源_01水果!$D$4:$D$1203,"其他代存*"),2))</f>
        <v/>
      </c>
      <c r="E203" s="61" t="str">
        <f aca="false">IF($B203="","",ROUND(SUMIFS(对接源_02物料!$K$4:$K$1203,对接源_02物料!$C$4:$C$1203,$B203,对接源_02物料!$D$4:$D$1203,"包装物料*"),2))</f>
        <v/>
      </c>
      <c r="F203" s="61" t="str">
        <f aca="false">IF($B203="","",ROUND(SUMIFS(对接源_02物料!$K$4:$K$1203,对接源_02物料!$C$4:$C$1203,$B203,对接源_02物料!$D$4:$D$1203,"周转筐*"),2))</f>
        <v/>
      </c>
      <c r="G203" s="61" t="str">
        <f aca="false">IF($B203="","",ROUND(SUMIFS(对接源_02物料!$K$4:$K$1203,对接源_02物料!$C$4:$C$1203,$B203,对接源_02物料!$D$4:$D$1203,"次果筐*"),2))</f>
        <v/>
      </c>
      <c r="H203" s="61" t="str">
        <f aca="false">IF($B203="","",ROUND(SUM($C203:$G203),2))</f>
        <v/>
      </c>
      <c r="I203" s="61" t="str">
        <f aca="false">IF($B203="","",ROUND(SUMIFS(对接源_01水果!$K$4:$K$1203,对接源_01水果!$C$4:$C$1203,$B203,对接源_01水果!$D$4:$D$1203,"成品出库*",对接源_01水果!$L$4:$L$1203,"已收讫")+SUMIFS(对接源_01水果!$K$4:$K$1203,对接源_01水果!$C$4:$C$1203,$B203,对接源_01水果!$D$4:$D$1203,"成品出库*",对接源_01水果!$L$4:$L$1203,"已付款")+SUMIFS(对接源_01水果!$K$4:$K$1203,对接源_01水果!$C$4:$C$1203,$B203,对接源_01水果!$D$4:$D$1203,"其他代存*",对接源_01水果!$L$4:$L$1203,"已收讫")+SUMIFS(对接源_01水果!$K$4:$K$1203,对接源_01水果!$C$4:$C$1203,$B203,对接源_01水果!$D$4:$D$1203,"其他代存*",对接源_01水果!$L$4:$L$1203,"已付款")+SUMIFS(对接源_02物料!$K$4:$K$1203,对接源_02物料!$C$4:$C$1203,$B203,对接源_02物料!$D$4:$D$1203,"包装物料*",对接源_02物料!$L$4:$L$1203,"已收讫")+SUMIFS(对接源_02物料!$K$4:$K$1203,对接源_02物料!$C$4:$C$1203,$B203,对接源_02物料!$D$4:$D$1203,"包装物料*",对接源_02物料!$L$4:$L$1203,"已付款")+SUMIFS(对接源_02物料!$K$4:$K$1203,对接源_02物料!$C$4:$C$1203,$B203,对接源_02物料!$D$4:$D$1203,"周转筐*",对接源_02物料!$L$4:$L$1203,"已收讫")+SUMIFS(对接源_02物料!$K$4:$K$1203,对接源_02物料!$C$4:$C$1203,$B203,对接源_02物料!$D$4:$D$1203,"周转筐*",对接源_02物料!$L$4:$L$1203,"已付款")+SUMIFS(对接源_02物料!$K$4:$K$1203,对接源_02物料!$C$4:$C$1203,$B203,对接源_02物料!$D$4:$D$1203,"次果筐*",对接源_02物料!$L$4:$L$1203,"已收讫")+SUMIFS(对接源_02物料!$K$4:$K$1203,对接源_02物料!$C$4:$C$1203,$B203,对接源_02物料!$D$4:$D$1203,"次果筐*",对接源_02物料!$L$4:$L$1203,"已付款"),2))</f>
        <v/>
      </c>
      <c r="J203" s="61" t="str">
        <f aca="false">IF($B203="","",ROUND(N($H203)-N($I203),2))</f>
        <v/>
      </c>
      <c r="K203" s="59" t="str">
        <f aca="false">IF($B203="","",IF(ROUND(N($J203),2)&gt;0,"对方欠款",IF(ROUND(N($J203),2)&lt;0,"我方欠款","已两清")))</f>
        <v/>
      </c>
      <c r="L203" s="105"/>
    </row>
    <row r="204" customFormat="false" ht="13.5" hidden="false" customHeight="false" outlineLevel="0" collapsed="false">
      <c r="A204" s="59" t="str">
        <f aca="false">IF($B204="","",ROW()-3)</f>
        <v/>
      </c>
      <c r="B204" s="104" t="str">
        <f aca="false">IFERROR(INDEX(_自动清单!$E$4:$E$303,ROW()-3),"")</f>
        <v/>
      </c>
      <c r="C204" s="61" t="str">
        <f aca="false">IF($B204="","",ROUND(SUMIFS(对接源_01水果!$K$4:$K$1203,对接源_01水果!$C$4:$C$1203,$B204,对接源_01水果!$D$4:$D$1203,"成品出库*"),2))</f>
        <v/>
      </c>
      <c r="D204" s="61" t="str">
        <f aca="false">IF($B204="","",ROUND(SUMIFS(对接源_01水果!$K$4:$K$1203,对接源_01水果!$C$4:$C$1203,$B204,对接源_01水果!$D$4:$D$1203,"其他代存*"),2))</f>
        <v/>
      </c>
      <c r="E204" s="61" t="str">
        <f aca="false">IF($B204="","",ROUND(SUMIFS(对接源_02物料!$K$4:$K$1203,对接源_02物料!$C$4:$C$1203,$B204,对接源_02物料!$D$4:$D$1203,"包装物料*"),2))</f>
        <v/>
      </c>
      <c r="F204" s="61" t="str">
        <f aca="false">IF($B204="","",ROUND(SUMIFS(对接源_02物料!$K$4:$K$1203,对接源_02物料!$C$4:$C$1203,$B204,对接源_02物料!$D$4:$D$1203,"周转筐*"),2))</f>
        <v/>
      </c>
      <c r="G204" s="61" t="str">
        <f aca="false">IF($B204="","",ROUND(SUMIFS(对接源_02物料!$K$4:$K$1203,对接源_02物料!$C$4:$C$1203,$B204,对接源_02物料!$D$4:$D$1203,"次果筐*"),2))</f>
        <v/>
      </c>
      <c r="H204" s="61" t="str">
        <f aca="false">IF($B204="","",ROUND(SUM($C204:$G204),2))</f>
        <v/>
      </c>
      <c r="I204" s="61" t="str">
        <f aca="false">IF($B204="","",ROUND(SUMIFS(对接源_01水果!$K$4:$K$1203,对接源_01水果!$C$4:$C$1203,$B204,对接源_01水果!$D$4:$D$1203,"成品出库*",对接源_01水果!$L$4:$L$1203,"已收讫")+SUMIFS(对接源_01水果!$K$4:$K$1203,对接源_01水果!$C$4:$C$1203,$B204,对接源_01水果!$D$4:$D$1203,"成品出库*",对接源_01水果!$L$4:$L$1203,"已付款")+SUMIFS(对接源_01水果!$K$4:$K$1203,对接源_01水果!$C$4:$C$1203,$B204,对接源_01水果!$D$4:$D$1203,"其他代存*",对接源_01水果!$L$4:$L$1203,"已收讫")+SUMIFS(对接源_01水果!$K$4:$K$1203,对接源_01水果!$C$4:$C$1203,$B204,对接源_01水果!$D$4:$D$1203,"其他代存*",对接源_01水果!$L$4:$L$1203,"已付款")+SUMIFS(对接源_02物料!$K$4:$K$1203,对接源_02物料!$C$4:$C$1203,$B204,对接源_02物料!$D$4:$D$1203,"包装物料*",对接源_02物料!$L$4:$L$1203,"已收讫")+SUMIFS(对接源_02物料!$K$4:$K$1203,对接源_02物料!$C$4:$C$1203,$B204,对接源_02物料!$D$4:$D$1203,"包装物料*",对接源_02物料!$L$4:$L$1203,"已付款")+SUMIFS(对接源_02物料!$K$4:$K$1203,对接源_02物料!$C$4:$C$1203,$B204,对接源_02物料!$D$4:$D$1203,"周转筐*",对接源_02物料!$L$4:$L$1203,"已收讫")+SUMIFS(对接源_02物料!$K$4:$K$1203,对接源_02物料!$C$4:$C$1203,$B204,对接源_02物料!$D$4:$D$1203,"周转筐*",对接源_02物料!$L$4:$L$1203,"已付款")+SUMIFS(对接源_02物料!$K$4:$K$1203,对接源_02物料!$C$4:$C$1203,$B204,对接源_02物料!$D$4:$D$1203,"次果筐*",对接源_02物料!$L$4:$L$1203,"已收讫")+SUMIFS(对接源_02物料!$K$4:$K$1203,对接源_02物料!$C$4:$C$1203,$B204,对接源_02物料!$D$4:$D$1203,"次果筐*",对接源_02物料!$L$4:$L$1203,"已付款"),2))</f>
        <v/>
      </c>
      <c r="J204" s="61" t="str">
        <f aca="false">IF($B204="","",ROUND(N($H204)-N($I204),2))</f>
        <v/>
      </c>
      <c r="K204" s="59" t="str">
        <f aca="false">IF($B204="","",IF(ROUND(N($J204),2)&gt;0,"对方欠款",IF(ROUND(N($J204),2)&lt;0,"我方欠款","已两清")))</f>
        <v/>
      </c>
      <c r="L204" s="105"/>
    </row>
    <row r="205" customFormat="false" ht="13.5" hidden="false" customHeight="false" outlineLevel="0" collapsed="false">
      <c r="A205" s="59" t="str">
        <f aca="false">IF($B205="","",ROW()-3)</f>
        <v/>
      </c>
      <c r="B205" s="104" t="str">
        <f aca="false">IFERROR(INDEX(_自动清单!$E$4:$E$303,ROW()-3),"")</f>
        <v/>
      </c>
      <c r="C205" s="61" t="str">
        <f aca="false">IF($B205="","",ROUND(SUMIFS(对接源_01水果!$K$4:$K$1203,对接源_01水果!$C$4:$C$1203,$B205,对接源_01水果!$D$4:$D$1203,"成品出库*"),2))</f>
        <v/>
      </c>
      <c r="D205" s="61" t="str">
        <f aca="false">IF($B205="","",ROUND(SUMIFS(对接源_01水果!$K$4:$K$1203,对接源_01水果!$C$4:$C$1203,$B205,对接源_01水果!$D$4:$D$1203,"其他代存*"),2))</f>
        <v/>
      </c>
      <c r="E205" s="61" t="str">
        <f aca="false">IF($B205="","",ROUND(SUMIFS(对接源_02物料!$K$4:$K$1203,对接源_02物料!$C$4:$C$1203,$B205,对接源_02物料!$D$4:$D$1203,"包装物料*"),2))</f>
        <v/>
      </c>
      <c r="F205" s="61" t="str">
        <f aca="false">IF($B205="","",ROUND(SUMIFS(对接源_02物料!$K$4:$K$1203,对接源_02物料!$C$4:$C$1203,$B205,对接源_02物料!$D$4:$D$1203,"周转筐*"),2))</f>
        <v/>
      </c>
      <c r="G205" s="61" t="str">
        <f aca="false">IF($B205="","",ROUND(SUMIFS(对接源_02物料!$K$4:$K$1203,对接源_02物料!$C$4:$C$1203,$B205,对接源_02物料!$D$4:$D$1203,"次果筐*"),2))</f>
        <v/>
      </c>
      <c r="H205" s="61" t="str">
        <f aca="false">IF($B205="","",ROUND(SUM($C205:$G205),2))</f>
        <v/>
      </c>
      <c r="I205" s="61" t="str">
        <f aca="false">IF($B205="","",ROUND(SUMIFS(对接源_01水果!$K$4:$K$1203,对接源_01水果!$C$4:$C$1203,$B205,对接源_01水果!$D$4:$D$1203,"成品出库*",对接源_01水果!$L$4:$L$1203,"已收讫")+SUMIFS(对接源_01水果!$K$4:$K$1203,对接源_01水果!$C$4:$C$1203,$B205,对接源_01水果!$D$4:$D$1203,"成品出库*",对接源_01水果!$L$4:$L$1203,"已付款")+SUMIFS(对接源_01水果!$K$4:$K$1203,对接源_01水果!$C$4:$C$1203,$B205,对接源_01水果!$D$4:$D$1203,"其他代存*",对接源_01水果!$L$4:$L$1203,"已收讫")+SUMIFS(对接源_01水果!$K$4:$K$1203,对接源_01水果!$C$4:$C$1203,$B205,对接源_01水果!$D$4:$D$1203,"其他代存*",对接源_01水果!$L$4:$L$1203,"已付款")+SUMIFS(对接源_02物料!$K$4:$K$1203,对接源_02物料!$C$4:$C$1203,$B205,对接源_02物料!$D$4:$D$1203,"包装物料*",对接源_02物料!$L$4:$L$1203,"已收讫")+SUMIFS(对接源_02物料!$K$4:$K$1203,对接源_02物料!$C$4:$C$1203,$B205,对接源_02物料!$D$4:$D$1203,"包装物料*",对接源_02物料!$L$4:$L$1203,"已付款")+SUMIFS(对接源_02物料!$K$4:$K$1203,对接源_02物料!$C$4:$C$1203,$B205,对接源_02物料!$D$4:$D$1203,"周转筐*",对接源_02物料!$L$4:$L$1203,"已收讫")+SUMIFS(对接源_02物料!$K$4:$K$1203,对接源_02物料!$C$4:$C$1203,$B205,对接源_02物料!$D$4:$D$1203,"周转筐*",对接源_02物料!$L$4:$L$1203,"已付款")+SUMIFS(对接源_02物料!$K$4:$K$1203,对接源_02物料!$C$4:$C$1203,$B205,对接源_02物料!$D$4:$D$1203,"次果筐*",对接源_02物料!$L$4:$L$1203,"已收讫")+SUMIFS(对接源_02物料!$K$4:$K$1203,对接源_02物料!$C$4:$C$1203,$B205,对接源_02物料!$D$4:$D$1203,"次果筐*",对接源_02物料!$L$4:$L$1203,"已付款"),2))</f>
        <v/>
      </c>
      <c r="J205" s="61" t="str">
        <f aca="false">IF($B205="","",ROUND(N($H205)-N($I205),2))</f>
        <v/>
      </c>
      <c r="K205" s="59" t="str">
        <f aca="false">IF($B205="","",IF(ROUND(N($J205),2)&gt;0,"对方欠款",IF(ROUND(N($J205),2)&lt;0,"我方欠款","已两清")))</f>
        <v/>
      </c>
      <c r="L205" s="105"/>
    </row>
    <row r="206" customFormat="false" ht="13.5" hidden="false" customHeight="false" outlineLevel="0" collapsed="false">
      <c r="A206" s="59" t="str">
        <f aca="false">IF($B206="","",ROW()-3)</f>
        <v/>
      </c>
      <c r="B206" s="104" t="str">
        <f aca="false">IFERROR(INDEX(_自动清单!$E$4:$E$303,ROW()-3),"")</f>
        <v/>
      </c>
      <c r="C206" s="61" t="str">
        <f aca="false">IF($B206="","",ROUND(SUMIFS(对接源_01水果!$K$4:$K$1203,对接源_01水果!$C$4:$C$1203,$B206,对接源_01水果!$D$4:$D$1203,"成品出库*"),2))</f>
        <v/>
      </c>
      <c r="D206" s="61" t="str">
        <f aca="false">IF($B206="","",ROUND(SUMIFS(对接源_01水果!$K$4:$K$1203,对接源_01水果!$C$4:$C$1203,$B206,对接源_01水果!$D$4:$D$1203,"其他代存*"),2))</f>
        <v/>
      </c>
      <c r="E206" s="61" t="str">
        <f aca="false">IF($B206="","",ROUND(SUMIFS(对接源_02物料!$K$4:$K$1203,对接源_02物料!$C$4:$C$1203,$B206,对接源_02物料!$D$4:$D$1203,"包装物料*"),2))</f>
        <v/>
      </c>
      <c r="F206" s="61" t="str">
        <f aca="false">IF($B206="","",ROUND(SUMIFS(对接源_02物料!$K$4:$K$1203,对接源_02物料!$C$4:$C$1203,$B206,对接源_02物料!$D$4:$D$1203,"周转筐*"),2))</f>
        <v/>
      </c>
      <c r="G206" s="61" t="str">
        <f aca="false">IF($B206="","",ROUND(SUMIFS(对接源_02物料!$K$4:$K$1203,对接源_02物料!$C$4:$C$1203,$B206,对接源_02物料!$D$4:$D$1203,"次果筐*"),2))</f>
        <v/>
      </c>
      <c r="H206" s="61" t="str">
        <f aca="false">IF($B206="","",ROUND(SUM($C206:$G206),2))</f>
        <v/>
      </c>
      <c r="I206" s="61" t="str">
        <f aca="false">IF($B206="","",ROUND(SUMIFS(对接源_01水果!$K$4:$K$1203,对接源_01水果!$C$4:$C$1203,$B206,对接源_01水果!$D$4:$D$1203,"成品出库*",对接源_01水果!$L$4:$L$1203,"已收讫")+SUMIFS(对接源_01水果!$K$4:$K$1203,对接源_01水果!$C$4:$C$1203,$B206,对接源_01水果!$D$4:$D$1203,"成品出库*",对接源_01水果!$L$4:$L$1203,"已付款")+SUMIFS(对接源_01水果!$K$4:$K$1203,对接源_01水果!$C$4:$C$1203,$B206,对接源_01水果!$D$4:$D$1203,"其他代存*",对接源_01水果!$L$4:$L$1203,"已收讫")+SUMIFS(对接源_01水果!$K$4:$K$1203,对接源_01水果!$C$4:$C$1203,$B206,对接源_01水果!$D$4:$D$1203,"其他代存*",对接源_01水果!$L$4:$L$1203,"已付款")+SUMIFS(对接源_02物料!$K$4:$K$1203,对接源_02物料!$C$4:$C$1203,$B206,对接源_02物料!$D$4:$D$1203,"包装物料*",对接源_02物料!$L$4:$L$1203,"已收讫")+SUMIFS(对接源_02物料!$K$4:$K$1203,对接源_02物料!$C$4:$C$1203,$B206,对接源_02物料!$D$4:$D$1203,"包装物料*",对接源_02物料!$L$4:$L$1203,"已付款")+SUMIFS(对接源_02物料!$K$4:$K$1203,对接源_02物料!$C$4:$C$1203,$B206,对接源_02物料!$D$4:$D$1203,"周转筐*",对接源_02物料!$L$4:$L$1203,"已收讫")+SUMIFS(对接源_02物料!$K$4:$K$1203,对接源_02物料!$C$4:$C$1203,$B206,对接源_02物料!$D$4:$D$1203,"周转筐*",对接源_02物料!$L$4:$L$1203,"已付款")+SUMIFS(对接源_02物料!$K$4:$K$1203,对接源_02物料!$C$4:$C$1203,$B206,对接源_02物料!$D$4:$D$1203,"次果筐*",对接源_02物料!$L$4:$L$1203,"已收讫")+SUMIFS(对接源_02物料!$K$4:$K$1203,对接源_02物料!$C$4:$C$1203,$B206,对接源_02物料!$D$4:$D$1203,"次果筐*",对接源_02物料!$L$4:$L$1203,"已付款"),2))</f>
        <v/>
      </c>
      <c r="J206" s="61" t="str">
        <f aca="false">IF($B206="","",ROUND(N($H206)-N($I206),2))</f>
        <v/>
      </c>
      <c r="K206" s="59" t="str">
        <f aca="false">IF($B206="","",IF(ROUND(N($J206),2)&gt;0,"对方欠款",IF(ROUND(N($J206),2)&lt;0,"我方欠款","已两清")))</f>
        <v/>
      </c>
      <c r="L206" s="105"/>
    </row>
    <row r="207" customFormat="false" ht="13.5" hidden="false" customHeight="false" outlineLevel="0" collapsed="false">
      <c r="A207" s="59" t="str">
        <f aca="false">IF($B207="","",ROW()-3)</f>
        <v/>
      </c>
      <c r="B207" s="104" t="str">
        <f aca="false">IFERROR(INDEX(_自动清单!$E$4:$E$303,ROW()-3),"")</f>
        <v/>
      </c>
      <c r="C207" s="61" t="str">
        <f aca="false">IF($B207="","",ROUND(SUMIFS(对接源_01水果!$K$4:$K$1203,对接源_01水果!$C$4:$C$1203,$B207,对接源_01水果!$D$4:$D$1203,"成品出库*"),2))</f>
        <v/>
      </c>
      <c r="D207" s="61" t="str">
        <f aca="false">IF($B207="","",ROUND(SUMIFS(对接源_01水果!$K$4:$K$1203,对接源_01水果!$C$4:$C$1203,$B207,对接源_01水果!$D$4:$D$1203,"其他代存*"),2))</f>
        <v/>
      </c>
      <c r="E207" s="61" t="str">
        <f aca="false">IF($B207="","",ROUND(SUMIFS(对接源_02物料!$K$4:$K$1203,对接源_02物料!$C$4:$C$1203,$B207,对接源_02物料!$D$4:$D$1203,"包装物料*"),2))</f>
        <v/>
      </c>
      <c r="F207" s="61" t="str">
        <f aca="false">IF($B207="","",ROUND(SUMIFS(对接源_02物料!$K$4:$K$1203,对接源_02物料!$C$4:$C$1203,$B207,对接源_02物料!$D$4:$D$1203,"周转筐*"),2))</f>
        <v/>
      </c>
      <c r="G207" s="61" t="str">
        <f aca="false">IF($B207="","",ROUND(SUMIFS(对接源_02物料!$K$4:$K$1203,对接源_02物料!$C$4:$C$1203,$B207,对接源_02物料!$D$4:$D$1203,"次果筐*"),2))</f>
        <v/>
      </c>
      <c r="H207" s="61" t="str">
        <f aca="false">IF($B207="","",ROUND(SUM($C207:$G207),2))</f>
        <v/>
      </c>
      <c r="I207" s="61" t="str">
        <f aca="false">IF($B207="","",ROUND(SUMIFS(对接源_01水果!$K$4:$K$1203,对接源_01水果!$C$4:$C$1203,$B207,对接源_01水果!$D$4:$D$1203,"成品出库*",对接源_01水果!$L$4:$L$1203,"已收讫")+SUMIFS(对接源_01水果!$K$4:$K$1203,对接源_01水果!$C$4:$C$1203,$B207,对接源_01水果!$D$4:$D$1203,"成品出库*",对接源_01水果!$L$4:$L$1203,"已付款")+SUMIFS(对接源_01水果!$K$4:$K$1203,对接源_01水果!$C$4:$C$1203,$B207,对接源_01水果!$D$4:$D$1203,"其他代存*",对接源_01水果!$L$4:$L$1203,"已收讫")+SUMIFS(对接源_01水果!$K$4:$K$1203,对接源_01水果!$C$4:$C$1203,$B207,对接源_01水果!$D$4:$D$1203,"其他代存*",对接源_01水果!$L$4:$L$1203,"已付款")+SUMIFS(对接源_02物料!$K$4:$K$1203,对接源_02物料!$C$4:$C$1203,$B207,对接源_02物料!$D$4:$D$1203,"包装物料*",对接源_02物料!$L$4:$L$1203,"已收讫")+SUMIFS(对接源_02物料!$K$4:$K$1203,对接源_02物料!$C$4:$C$1203,$B207,对接源_02物料!$D$4:$D$1203,"包装物料*",对接源_02物料!$L$4:$L$1203,"已付款")+SUMIFS(对接源_02物料!$K$4:$K$1203,对接源_02物料!$C$4:$C$1203,$B207,对接源_02物料!$D$4:$D$1203,"周转筐*",对接源_02物料!$L$4:$L$1203,"已收讫")+SUMIFS(对接源_02物料!$K$4:$K$1203,对接源_02物料!$C$4:$C$1203,$B207,对接源_02物料!$D$4:$D$1203,"周转筐*",对接源_02物料!$L$4:$L$1203,"已付款")+SUMIFS(对接源_02物料!$K$4:$K$1203,对接源_02物料!$C$4:$C$1203,$B207,对接源_02物料!$D$4:$D$1203,"次果筐*",对接源_02物料!$L$4:$L$1203,"已收讫")+SUMIFS(对接源_02物料!$K$4:$K$1203,对接源_02物料!$C$4:$C$1203,$B207,对接源_02物料!$D$4:$D$1203,"次果筐*",对接源_02物料!$L$4:$L$1203,"已付款"),2))</f>
        <v/>
      </c>
      <c r="J207" s="61" t="str">
        <f aca="false">IF($B207="","",ROUND(N($H207)-N($I207),2))</f>
        <v/>
      </c>
      <c r="K207" s="59" t="str">
        <f aca="false">IF($B207="","",IF(ROUND(N($J207),2)&gt;0,"对方欠款",IF(ROUND(N($J207),2)&lt;0,"我方欠款","已两清")))</f>
        <v/>
      </c>
      <c r="L207" s="105"/>
    </row>
    <row r="208" customFormat="false" ht="13.5" hidden="false" customHeight="false" outlineLevel="0" collapsed="false">
      <c r="A208" s="59" t="str">
        <f aca="false">IF($B208="","",ROW()-3)</f>
        <v/>
      </c>
      <c r="B208" s="104" t="str">
        <f aca="false">IFERROR(INDEX(_自动清单!$E$4:$E$303,ROW()-3),"")</f>
        <v/>
      </c>
      <c r="C208" s="61" t="str">
        <f aca="false">IF($B208="","",ROUND(SUMIFS(对接源_01水果!$K$4:$K$1203,对接源_01水果!$C$4:$C$1203,$B208,对接源_01水果!$D$4:$D$1203,"成品出库*"),2))</f>
        <v/>
      </c>
      <c r="D208" s="61" t="str">
        <f aca="false">IF($B208="","",ROUND(SUMIFS(对接源_01水果!$K$4:$K$1203,对接源_01水果!$C$4:$C$1203,$B208,对接源_01水果!$D$4:$D$1203,"其他代存*"),2))</f>
        <v/>
      </c>
      <c r="E208" s="61" t="str">
        <f aca="false">IF($B208="","",ROUND(SUMIFS(对接源_02物料!$K$4:$K$1203,对接源_02物料!$C$4:$C$1203,$B208,对接源_02物料!$D$4:$D$1203,"包装物料*"),2))</f>
        <v/>
      </c>
      <c r="F208" s="61" t="str">
        <f aca="false">IF($B208="","",ROUND(SUMIFS(对接源_02物料!$K$4:$K$1203,对接源_02物料!$C$4:$C$1203,$B208,对接源_02物料!$D$4:$D$1203,"周转筐*"),2))</f>
        <v/>
      </c>
      <c r="G208" s="61" t="str">
        <f aca="false">IF($B208="","",ROUND(SUMIFS(对接源_02物料!$K$4:$K$1203,对接源_02物料!$C$4:$C$1203,$B208,对接源_02物料!$D$4:$D$1203,"次果筐*"),2))</f>
        <v/>
      </c>
      <c r="H208" s="61" t="str">
        <f aca="false">IF($B208="","",ROUND(SUM($C208:$G208),2))</f>
        <v/>
      </c>
      <c r="I208" s="61" t="str">
        <f aca="false">IF($B208="","",ROUND(SUMIFS(对接源_01水果!$K$4:$K$1203,对接源_01水果!$C$4:$C$1203,$B208,对接源_01水果!$D$4:$D$1203,"成品出库*",对接源_01水果!$L$4:$L$1203,"已收讫")+SUMIFS(对接源_01水果!$K$4:$K$1203,对接源_01水果!$C$4:$C$1203,$B208,对接源_01水果!$D$4:$D$1203,"成品出库*",对接源_01水果!$L$4:$L$1203,"已付款")+SUMIFS(对接源_01水果!$K$4:$K$1203,对接源_01水果!$C$4:$C$1203,$B208,对接源_01水果!$D$4:$D$1203,"其他代存*",对接源_01水果!$L$4:$L$1203,"已收讫")+SUMIFS(对接源_01水果!$K$4:$K$1203,对接源_01水果!$C$4:$C$1203,$B208,对接源_01水果!$D$4:$D$1203,"其他代存*",对接源_01水果!$L$4:$L$1203,"已付款")+SUMIFS(对接源_02物料!$K$4:$K$1203,对接源_02物料!$C$4:$C$1203,$B208,对接源_02物料!$D$4:$D$1203,"包装物料*",对接源_02物料!$L$4:$L$1203,"已收讫")+SUMIFS(对接源_02物料!$K$4:$K$1203,对接源_02物料!$C$4:$C$1203,$B208,对接源_02物料!$D$4:$D$1203,"包装物料*",对接源_02物料!$L$4:$L$1203,"已付款")+SUMIFS(对接源_02物料!$K$4:$K$1203,对接源_02物料!$C$4:$C$1203,$B208,对接源_02物料!$D$4:$D$1203,"周转筐*",对接源_02物料!$L$4:$L$1203,"已收讫")+SUMIFS(对接源_02物料!$K$4:$K$1203,对接源_02物料!$C$4:$C$1203,$B208,对接源_02物料!$D$4:$D$1203,"周转筐*",对接源_02物料!$L$4:$L$1203,"已付款")+SUMIFS(对接源_02物料!$K$4:$K$1203,对接源_02物料!$C$4:$C$1203,$B208,对接源_02物料!$D$4:$D$1203,"次果筐*",对接源_02物料!$L$4:$L$1203,"已收讫")+SUMIFS(对接源_02物料!$K$4:$K$1203,对接源_02物料!$C$4:$C$1203,$B208,对接源_02物料!$D$4:$D$1203,"次果筐*",对接源_02物料!$L$4:$L$1203,"已付款"),2))</f>
        <v/>
      </c>
      <c r="J208" s="61" t="str">
        <f aca="false">IF($B208="","",ROUND(N($H208)-N($I208),2))</f>
        <v/>
      </c>
      <c r="K208" s="59" t="str">
        <f aca="false">IF($B208="","",IF(ROUND(N($J208),2)&gt;0,"对方欠款",IF(ROUND(N($J208),2)&lt;0,"我方欠款","已两清")))</f>
        <v/>
      </c>
      <c r="L208" s="105"/>
    </row>
    <row r="209" customFormat="false" ht="13.5" hidden="false" customHeight="false" outlineLevel="0" collapsed="false">
      <c r="A209" s="59" t="str">
        <f aca="false">IF($B209="","",ROW()-3)</f>
        <v/>
      </c>
      <c r="B209" s="104" t="str">
        <f aca="false">IFERROR(INDEX(_自动清单!$E$4:$E$303,ROW()-3),"")</f>
        <v/>
      </c>
      <c r="C209" s="61" t="str">
        <f aca="false">IF($B209="","",ROUND(SUMIFS(对接源_01水果!$K$4:$K$1203,对接源_01水果!$C$4:$C$1203,$B209,对接源_01水果!$D$4:$D$1203,"成品出库*"),2))</f>
        <v/>
      </c>
      <c r="D209" s="61" t="str">
        <f aca="false">IF($B209="","",ROUND(SUMIFS(对接源_01水果!$K$4:$K$1203,对接源_01水果!$C$4:$C$1203,$B209,对接源_01水果!$D$4:$D$1203,"其他代存*"),2))</f>
        <v/>
      </c>
      <c r="E209" s="61" t="str">
        <f aca="false">IF($B209="","",ROUND(SUMIFS(对接源_02物料!$K$4:$K$1203,对接源_02物料!$C$4:$C$1203,$B209,对接源_02物料!$D$4:$D$1203,"包装物料*"),2))</f>
        <v/>
      </c>
      <c r="F209" s="61" t="str">
        <f aca="false">IF($B209="","",ROUND(SUMIFS(对接源_02物料!$K$4:$K$1203,对接源_02物料!$C$4:$C$1203,$B209,对接源_02物料!$D$4:$D$1203,"周转筐*"),2))</f>
        <v/>
      </c>
      <c r="G209" s="61" t="str">
        <f aca="false">IF($B209="","",ROUND(SUMIFS(对接源_02物料!$K$4:$K$1203,对接源_02物料!$C$4:$C$1203,$B209,对接源_02物料!$D$4:$D$1203,"次果筐*"),2))</f>
        <v/>
      </c>
      <c r="H209" s="61" t="str">
        <f aca="false">IF($B209="","",ROUND(SUM($C209:$G209),2))</f>
        <v/>
      </c>
      <c r="I209" s="61" t="str">
        <f aca="false">IF($B209="","",ROUND(SUMIFS(对接源_01水果!$K$4:$K$1203,对接源_01水果!$C$4:$C$1203,$B209,对接源_01水果!$D$4:$D$1203,"成品出库*",对接源_01水果!$L$4:$L$1203,"已收讫")+SUMIFS(对接源_01水果!$K$4:$K$1203,对接源_01水果!$C$4:$C$1203,$B209,对接源_01水果!$D$4:$D$1203,"成品出库*",对接源_01水果!$L$4:$L$1203,"已付款")+SUMIFS(对接源_01水果!$K$4:$K$1203,对接源_01水果!$C$4:$C$1203,$B209,对接源_01水果!$D$4:$D$1203,"其他代存*",对接源_01水果!$L$4:$L$1203,"已收讫")+SUMIFS(对接源_01水果!$K$4:$K$1203,对接源_01水果!$C$4:$C$1203,$B209,对接源_01水果!$D$4:$D$1203,"其他代存*",对接源_01水果!$L$4:$L$1203,"已付款")+SUMIFS(对接源_02物料!$K$4:$K$1203,对接源_02物料!$C$4:$C$1203,$B209,对接源_02物料!$D$4:$D$1203,"包装物料*",对接源_02物料!$L$4:$L$1203,"已收讫")+SUMIFS(对接源_02物料!$K$4:$K$1203,对接源_02物料!$C$4:$C$1203,$B209,对接源_02物料!$D$4:$D$1203,"包装物料*",对接源_02物料!$L$4:$L$1203,"已付款")+SUMIFS(对接源_02物料!$K$4:$K$1203,对接源_02物料!$C$4:$C$1203,$B209,对接源_02物料!$D$4:$D$1203,"周转筐*",对接源_02物料!$L$4:$L$1203,"已收讫")+SUMIFS(对接源_02物料!$K$4:$K$1203,对接源_02物料!$C$4:$C$1203,$B209,对接源_02物料!$D$4:$D$1203,"周转筐*",对接源_02物料!$L$4:$L$1203,"已付款")+SUMIFS(对接源_02物料!$K$4:$K$1203,对接源_02物料!$C$4:$C$1203,$B209,对接源_02物料!$D$4:$D$1203,"次果筐*",对接源_02物料!$L$4:$L$1203,"已收讫")+SUMIFS(对接源_02物料!$K$4:$K$1203,对接源_02物料!$C$4:$C$1203,$B209,对接源_02物料!$D$4:$D$1203,"次果筐*",对接源_02物料!$L$4:$L$1203,"已付款"),2))</f>
        <v/>
      </c>
      <c r="J209" s="61" t="str">
        <f aca="false">IF($B209="","",ROUND(N($H209)-N($I209),2))</f>
        <v/>
      </c>
      <c r="K209" s="59" t="str">
        <f aca="false">IF($B209="","",IF(ROUND(N($J209),2)&gt;0,"对方欠款",IF(ROUND(N($J209),2)&lt;0,"我方欠款","已两清")))</f>
        <v/>
      </c>
      <c r="L209" s="105"/>
    </row>
    <row r="210" customFormat="false" ht="13.5" hidden="false" customHeight="false" outlineLevel="0" collapsed="false">
      <c r="A210" s="59" t="str">
        <f aca="false">IF($B210="","",ROW()-3)</f>
        <v/>
      </c>
      <c r="B210" s="104" t="str">
        <f aca="false">IFERROR(INDEX(_自动清单!$E$4:$E$303,ROW()-3),"")</f>
        <v/>
      </c>
      <c r="C210" s="61" t="str">
        <f aca="false">IF($B210="","",ROUND(SUMIFS(对接源_01水果!$K$4:$K$1203,对接源_01水果!$C$4:$C$1203,$B210,对接源_01水果!$D$4:$D$1203,"成品出库*"),2))</f>
        <v/>
      </c>
      <c r="D210" s="61" t="str">
        <f aca="false">IF($B210="","",ROUND(SUMIFS(对接源_01水果!$K$4:$K$1203,对接源_01水果!$C$4:$C$1203,$B210,对接源_01水果!$D$4:$D$1203,"其他代存*"),2))</f>
        <v/>
      </c>
      <c r="E210" s="61" t="str">
        <f aca="false">IF($B210="","",ROUND(SUMIFS(对接源_02物料!$K$4:$K$1203,对接源_02物料!$C$4:$C$1203,$B210,对接源_02物料!$D$4:$D$1203,"包装物料*"),2))</f>
        <v/>
      </c>
      <c r="F210" s="61" t="str">
        <f aca="false">IF($B210="","",ROUND(SUMIFS(对接源_02物料!$K$4:$K$1203,对接源_02物料!$C$4:$C$1203,$B210,对接源_02物料!$D$4:$D$1203,"周转筐*"),2))</f>
        <v/>
      </c>
      <c r="G210" s="61" t="str">
        <f aca="false">IF($B210="","",ROUND(SUMIFS(对接源_02物料!$K$4:$K$1203,对接源_02物料!$C$4:$C$1203,$B210,对接源_02物料!$D$4:$D$1203,"次果筐*"),2))</f>
        <v/>
      </c>
      <c r="H210" s="61" t="str">
        <f aca="false">IF($B210="","",ROUND(SUM($C210:$G210),2))</f>
        <v/>
      </c>
      <c r="I210" s="61" t="str">
        <f aca="false">IF($B210="","",ROUND(SUMIFS(对接源_01水果!$K$4:$K$1203,对接源_01水果!$C$4:$C$1203,$B210,对接源_01水果!$D$4:$D$1203,"成品出库*",对接源_01水果!$L$4:$L$1203,"已收讫")+SUMIFS(对接源_01水果!$K$4:$K$1203,对接源_01水果!$C$4:$C$1203,$B210,对接源_01水果!$D$4:$D$1203,"成品出库*",对接源_01水果!$L$4:$L$1203,"已付款")+SUMIFS(对接源_01水果!$K$4:$K$1203,对接源_01水果!$C$4:$C$1203,$B210,对接源_01水果!$D$4:$D$1203,"其他代存*",对接源_01水果!$L$4:$L$1203,"已收讫")+SUMIFS(对接源_01水果!$K$4:$K$1203,对接源_01水果!$C$4:$C$1203,$B210,对接源_01水果!$D$4:$D$1203,"其他代存*",对接源_01水果!$L$4:$L$1203,"已付款")+SUMIFS(对接源_02物料!$K$4:$K$1203,对接源_02物料!$C$4:$C$1203,$B210,对接源_02物料!$D$4:$D$1203,"包装物料*",对接源_02物料!$L$4:$L$1203,"已收讫")+SUMIFS(对接源_02物料!$K$4:$K$1203,对接源_02物料!$C$4:$C$1203,$B210,对接源_02物料!$D$4:$D$1203,"包装物料*",对接源_02物料!$L$4:$L$1203,"已付款")+SUMIFS(对接源_02物料!$K$4:$K$1203,对接源_02物料!$C$4:$C$1203,$B210,对接源_02物料!$D$4:$D$1203,"周转筐*",对接源_02物料!$L$4:$L$1203,"已收讫")+SUMIFS(对接源_02物料!$K$4:$K$1203,对接源_02物料!$C$4:$C$1203,$B210,对接源_02物料!$D$4:$D$1203,"周转筐*",对接源_02物料!$L$4:$L$1203,"已付款")+SUMIFS(对接源_02物料!$K$4:$K$1203,对接源_02物料!$C$4:$C$1203,$B210,对接源_02物料!$D$4:$D$1203,"次果筐*",对接源_02物料!$L$4:$L$1203,"已收讫")+SUMIFS(对接源_02物料!$K$4:$K$1203,对接源_02物料!$C$4:$C$1203,$B210,对接源_02物料!$D$4:$D$1203,"次果筐*",对接源_02物料!$L$4:$L$1203,"已付款"),2))</f>
        <v/>
      </c>
      <c r="J210" s="61" t="str">
        <f aca="false">IF($B210="","",ROUND(N($H210)-N($I210),2))</f>
        <v/>
      </c>
      <c r="K210" s="59" t="str">
        <f aca="false">IF($B210="","",IF(ROUND(N($J210),2)&gt;0,"对方欠款",IF(ROUND(N($J210),2)&lt;0,"我方欠款","已两清")))</f>
        <v/>
      </c>
      <c r="L210" s="105"/>
    </row>
    <row r="211" customFormat="false" ht="13.5" hidden="false" customHeight="false" outlineLevel="0" collapsed="false">
      <c r="A211" s="59" t="str">
        <f aca="false">IF($B211="","",ROW()-3)</f>
        <v/>
      </c>
      <c r="B211" s="104" t="str">
        <f aca="false">IFERROR(INDEX(_自动清单!$E$4:$E$303,ROW()-3),"")</f>
        <v/>
      </c>
      <c r="C211" s="61" t="str">
        <f aca="false">IF($B211="","",ROUND(SUMIFS(对接源_01水果!$K$4:$K$1203,对接源_01水果!$C$4:$C$1203,$B211,对接源_01水果!$D$4:$D$1203,"成品出库*"),2))</f>
        <v/>
      </c>
      <c r="D211" s="61" t="str">
        <f aca="false">IF($B211="","",ROUND(SUMIFS(对接源_01水果!$K$4:$K$1203,对接源_01水果!$C$4:$C$1203,$B211,对接源_01水果!$D$4:$D$1203,"其他代存*"),2))</f>
        <v/>
      </c>
      <c r="E211" s="61" t="str">
        <f aca="false">IF($B211="","",ROUND(SUMIFS(对接源_02物料!$K$4:$K$1203,对接源_02物料!$C$4:$C$1203,$B211,对接源_02物料!$D$4:$D$1203,"包装物料*"),2))</f>
        <v/>
      </c>
      <c r="F211" s="61" t="str">
        <f aca="false">IF($B211="","",ROUND(SUMIFS(对接源_02物料!$K$4:$K$1203,对接源_02物料!$C$4:$C$1203,$B211,对接源_02物料!$D$4:$D$1203,"周转筐*"),2))</f>
        <v/>
      </c>
      <c r="G211" s="61" t="str">
        <f aca="false">IF($B211="","",ROUND(SUMIFS(对接源_02物料!$K$4:$K$1203,对接源_02物料!$C$4:$C$1203,$B211,对接源_02物料!$D$4:$D$1203,"次果筐*"),2))</f>
        <v/>
      </c>
      <c r="H211" s="61" t="str">
        <f aca="false">IF($B211="","",ROUND(SUM($C211:$G211),2))</f>
        <v/>
      </c>
      <c r="I211" s="61" t="str">
        <f aca="false">IF($B211="","",ROUND(SUMIFS(对接源_01水果!$K$4:$K$1203,对接源_01水果!$C$4:$C$1203,$B211,对接源_01水果!$D$4:$D$1203,"成品出库*",对接源_01水果!$L$4:$L$1203,"已收讫")+SUMIFS(对接源_01水果!$K$4:$K$1203,对接源_01水果!$C$4:$C$1203,$B211,对接源_01水果!$D$4:$D$1203,"成品出库*",对接源_01水果!$L$4:$L$1203,"已付款")+SUMIFS(对接源_01水果!$K$4:$K$1203,对接源_01水果!$C$4:$C$1203,$B211,对接源_01水果!$D$4:$D$1203,"其他代存*",对接源_01水果!$L$4:$L$1203,"已收讫")+SUMIFS(对接源_01水果!$K$4:$K$1203,对接源_01水果!$C$4:$C$1203,$B211,对接源_01水果!$D$4:$D$1203,"其他代存*",对接源_01水果!$L$4:$L$1203,"已付款")+SUMIFS(对接源_02物料!$K$4:$K$1203,对接源_02物料!$C$4:$C$1203,$B211,对接源_02物料!$D$4:$D$1203,"包装物料*",对接源_02物料!$L$4:$L$1203,"已收讫")+SUMIFS(对接源_02物料!$K$4:$K$1203,对接源_02物料!$C$4:$C$1203,$B211,对接源_02物料!$D$4:$D$1203,"包装物料*",对接源_02物料!$L$4:$L$1203,"已付款")+SUMIFS(对接源_02物料!$K$4:$K$1203,对接源_02物料!$C$4:$C$1203,$B211,对接源_02物料!$D$4:$D$1203,"周转筐*",对接源_02物料!$L$4:$L$1203,"已收讫")+SUMIFS(对接源_02物料!$K$4:$K$1203,对接源_02物料!$C$4:$C$1203,$B211,对接源_02物料!$D$4:$D$1203,"周转筐*",对接源_02物料!$L$4:$L$1203,"已付款")+SUMIFS(对接源_02物料!$K$4:$K$1203,对接源_02物料!$C$4:$C$1203,$B211,对接源_02物料!$D$4:$D$1203,"次果筐*",对接源_02物料!$L$4:$L$1203,"已收讫")+SUMIFS(对接源_02物料!$K$4:$K$1203,对接源_02物料!$C$4:$C$1203,$B211,对接源_02物料!$D$4:$D$1203,"次果筐*",对接源_02物料!$L$4:$L$1203,"已付款"),2))</f>
        <v/>
      </c>
      <c r="J211" s="61" t="str">
        <f aca="false">IF($B211="","",ROUND(N($H211)-N($I211),2))</f>
        <v/>
      </c>
      <c r="K211" s="59" t="str">
        <f aca="false">IF($B211="","",IF(ROUND(N($J211),2)&gt;0,"对方欠款",IF(ROUND(N($J211),2)&lt;0,"我方欠款","已两清")))</f>
        <v/>
      </c>
      <c r="L211" s="105"/>
    </row>
    <row r="212" customFormat="false" ht="13.5" hidden="false" customHeight="false" outlineLevel="0" collapsed="false">
      <c r="A212" s="59" t="str">
        <f aca="false">IF($B212="","",ROW()-3)</f>
        <v/>
      </c>
      <c r="B212" s="104" t="str">
        <f aca="false">IFERROR(INDEX(_自动清单!$E$4:$E$303,ROW()-3),"")</f>
        <v/>
      </c>
      <c r="C212" s="61" t="str">
        <f aca="false">IF($B212="","",ROUND(SUMIFS(对接源_01水果!$K$4:$K$1203,对接源_01水果!$C$4:$C$1203,$B212,对接源_01水果!$D$4:$D$1203,"成品出库*"),2))</f>
        <v/>
      </c>
      <c r="D212" s="61" t="str">
        <f aca="false">IF($B212="","",ROUND(SUMIFS(对接源_01水果!$K$4:$K$1203,对接源_01水果!$C$4:$C$1203,$B212,对接源_01水果!$D$4:$D$1203,"其他代存*"),2))</f>
        <v/>
      </c>
      <c r="E212" s="61" t="str">
        <f aca="false">IF($B212="","",ROUND(SUMIFS(对接源_02物料!$K$4:$K$1203,对接源_02物料!$C$4:$C$1203,$B212,对接源_02物料!$D$4:$D$1203,"包装物料*"),2))</f>
        <v/>
      </c>
      <c r="F212" s="61" t="str">
        <f aca="false">IF($B212="","",ROUND(SUMIFS(对接源_02物料!$K$4:$K$1203,对接源_02物料!$C$4:$C$1203,$B212,对接源_02物料!$D$4:$D$1203,"周转筐*"),2))</f>
        <v/>
      </c>
      <c r="G212" s="61" t="str">
        <f aca="false">IF($B212="","",ROUND(SUMIFS(对接源_02物料!$K$4:$K$1203,对接源_02物料!$C$4:$C$1203,$B212,对接源_02物料!$D$4:$D$1203,"次果筐*"),2))</f>
        <v/>
      </c>
      <c r="H212" s="61" t="str">
        <f aca="false">IF($B212="","",ROUND(SUM($C212:$G212),2))</f>
        <v/>
      </c>
      <c r="I212" s="61" t="str">
        <f aca="false">IF($B212="","",ROUND(SUMIFS(对接源_01水果!$K$4:$K$1203,对接源_01水果!$C$4:$C$1203,$B212,对接源_01水果!$D$4:$D$1203,"成品出库*",对接源_01水果!$L$4:$L$1203,"已收讫")+SUMIFS(对接源_01水果!$K$4:$K$1203,对接源_01水果!$C$4:$C$1203,$B212,对接源_01水果!$D$4:$D$1203,"成品出库*",对接源_01水果!$L$4:$L$1203,"已付款")+SUMIFS(对接源_01水果!$K$4:$K$1203,对接源_01水果!$C$4:$C$1203,$B212,对接源_01水果!$D$4:$D$1203,"其他代存*",对接源_01水果!$L$4:$L$1203,"已收讫")+SUMIFS(对接源_01水果!$K$4:$K$1203,对接源_01水果!$C$4:$C$1203,$B212,对接源_01水果!$D$4:$D$1203,"其他代存*",对接源_01水果!$L$4:$L$1203,"已付款")+SUMIFS(对接源_02物料!$K$4:$K$1203,对接源_02物料!$C$4:$C$1203,$B212,对接源_02物料!$D$4:$D$1203,"包装物料*",对接源_02物料!$L$4:$L$1203,"已收讫")+SUMIFS(对接源_02物料!$K$4:$K$1203,对接源_02物料!$C$4:$C$1203,$B212,对接源_02物料!$D$4:$D$1203,"包装物料*",对接源_02物料!$L$4:$L$1203,"已付款")+SUMIFS(对接源_02物料!$K$4:$K$1203,对接源_02物料!$C$4:$C$1203,$B212,对接源_02物料!$D$4:$D$1203,"周转筐*",对接源_02物料!$L$4:$L$1203,"已收讫")+SUMIFS(对接源_02物料!$K$4:$K$1203,对接源_02物料!$C$4:$C$1203,$B212,对接源_02物料!$D$4:$D$1203,"周转筐*",对接源_02物料!$L$4:$L$1203,"已付款")+SUMIFS(对接源_02物料!$K$4:$K$1203,对接源_02物料!$C$4:$C$1203,$B212,对接源_02物料!$D$4:$D$1203,"次果筐*",对接源_02物料!$L$4:$L$1203,"已收讫")+SUMIFS(对接源_02物料!$K$4:$K$1203,对接源_02物料!$C$4:$C$1203,$B212,对接源_02物料!$D$4:$D$1203,"次果筐*",对接源_02物料!$L$4:$L$1203,"已付款"),2))</f>
        <v/>
      </c>
      <c r="J212" s="61" t="str">
        <f aca="false">IF($B212="","",ROUND(N($H212)-N($I212),2))</f>
        <v/>
      </c>
      <c r="K212" s="59" t="str">
        <f aca="false">IF($B212="","",IF(ROUND(N($J212),2)&gt;0,"对方欠款",IF(ROUND(N($J212),2)&lt;0,"我方欠款","已两清")))</f>
        <v/>
      </c>
      <c r="L212" s="105"/>
    </row>
    <row r="213" customFormat="false" ht="13.5" hidden="false" customHeight="false" outlineLevel="0" collapsed="false">
      <c r="A213" s="59" t="str">
        <f aca="false">IF($B213="","",ROW()-3)</f>
        <v/>
      </c>
      <c r="B213" s="104" t="str">
        <f aca="false">IFERROR(INDEX(_自动清单!$E$4:$E$303,ROW()-3),"")</f>
        <v/>
      </c>
      <c r="C213" s="61" t="str">
        <f aca="false">IF($B213="","",ROUND(SUMIFS(对接源_01水果!$K$4:$K$1203,对接源_01水果!$C$4:$C$1203,$B213,对接源_01水果!$D$4:$D$1203,"成品出库*"),2))</f>
        <v/>
      </c>
      <c r="D213" s="61" t="str">
        <f aca="false">IF($B213="","",ROUND(SUMIFS(对接源_01水果!$K$4:$K$1203,对接源_01水果!$C$4:$C$1203,$B213,对接源_01水果!$D$4:$D$1203,"其他代存*"),2))</f>
        <v/>
      </c>
      <c r="E213" s="61" t="str">
        <f aca="false">IF($B213="","",ROUND(SUMIFS(对接源_02物料!$K$4:$K$1203,对接源_02物料!$C$4:$C$1203,$B213,对接源_02物料!$D$4:$D$1203,"包装物料*"),2))</f>
        <v/>
      </c>
      <c r="F213" s="61" t="str">
        <f aca="false">IF($B213="","",ROUND(SUMIFS(对接源_02物料!$K$4:$K$1203,对接源_02物料!$C$4:$C$1203,$B213,对接源_02物料!$D$4:$D$1203,"周转筐*"),2))</f>
        <v/>
      </c>
      <c r="G213" s="61" t="str">
        <f aca="false">IF($B213="","",ROUND(SUMIFS(对接源_02物料!$K$4:$K$1203,对接源_02物料!$C$4:$C$1203,$B213,对接源_02物料!$D$4:$D$1203,"次果筐*"),2))</f>
        <v/>
      </c>
      <c r="H213" s="61" t="str">
        <f aca="false">IF($B213="","",ROUND(SUM($C213:$G213),2))</f>
        <v/>
      </c>
      <c r="I213" s="61" t="str">
        <f aca="false">IF($B213="","",ROUND(SUMIFS(对接源_01水果!$K$4:$K$1203,对接源_01水果!$C$4:$C$1203,$B213,对接源_01水果!$D$4:$D$1203,"成品出库*",对接源_01水果!$L$4:$L$1203,"已收讫")+SUMIFS(对接源_01水果!$K$4:$K$1203,对接源_01水果!$C$4:$C$1203,$B213,对接源_01水果!$D$4:$D$1203,"成品出库*",对接源_01水果!$L$4:$L$1203,"已付款")+SUMIFS(对接源_01水果!$K$4:$K$1203,对接源_01水果!$C$4:$C$1203,$B213,对接源_01水果!$D$4:$D$1203,"其他代存*",对接源_01水果!$L$4:$L$1203,"已收讫")+SUMIFS(对接源_01水果!$K$4:$K$1203,对接源_01水果!$C$4:$C$1203,$B213,对接源_01水果!$D$4:$D$1203,"其他代存*",对接源_01水果!$L$4:$L$1203,"已付款")+SUMIFS(对接源_02物料!$K$4:$K$1203,对接源_02物料!$C$4:$C$1203,$B213,对接源_02物料!$D$4:$D$1203,"包装物料*",对接源_02物料!$L$4:$L$1203,"已收讫")+SUMIFS(对接源_02物料!$K$4:$K$1203,对接源_02物料!$C$4:$C$1203,$B213,对接源_02物料!$D$4:$D$1203,"包装物料*",对接源_02物料!$L$4:$L$1203,"已付款")+SUMIFS(对接源_02物料!$K$4:$K$1203,对接源_02物料!$C$4:$C$1203,$B213,对接源_02物料!$D$4:$D$1203,"周转筐*",对接源_02物料!$L$4:$L$1203,"已收讫")+SUMIFS(对接源_02物料!$K$4:$K$1203,对接源_02物料!$C$4:$C$1203,$B213,对接源_02物料!$D$4:$D$1203,"周转筐*",对接源_02物料!$L$4:$L$1203,"已付款")+SUMIFS(对接源_02物料!$K$4:$K$1203,对接源_02物料!$C$4:$C$1203,$B213,对接源_02物料!$D$4:$D$1203,"次果筐*",对接源_02物料!$L$4:$L$1203,"已收讫")+SUMIFS(对接源_02物料!$K$4:$K$1203,对接源_02物料!$C$4:$C$1203,$B213,对接源_02物料!$D$4:$D$1203,"次果筐*",对接源_02物料!$L$4:$L$1203,"已付款"),2))</f>
        <v/>
      </c>
      <c r="J213" s="61" t="str">
        <f aca="false">IF($B213="","",ROUND(N($H213)-N($I213),2))</f>
        <v/>
      </c>
      <c r="K213" s="59" t="str">
        <f aca="false">IF($B213="","",IF(ROUND(N($J213),2)&gt;0,"对方欠款",IF(ROUND(N($J213),2)&lt;0,"我方欠款","已两清")))</f>
        <v/>
      </c>
      <c r="L213" s="105"/>
    </row>
    <row r="214" customFormat="false" ht="13.5" hidden="false" customHeight="false" outlineLevel="0" collapsed="false">
      <c r="A214" s="59" t="str">
        <f aca="false">IF($B214="","",ROW()-3)</f>
        <v/>
      </c>
      <c r="B214" s="104" t="str">
        <f aca="false">IFERROR(INDEX(_自动清单!$E$4:$E$303,ROW()-3),"")</f>
        <v/>
      </c>
      <c r="C214" s="61" t="str">
        <f aca="false">IF($B214="","",ROUND(SUMIFS(对接源_01水果!$K$4:$K$1203,对接源_01水果!$C$4:$C$1203,$B214,对接源_01水果!$D$4:$D$1203,"成品出库*"),2))</f>
        <v/>
      </c>
      <c r="D214" s="61" t="str">
        <f aca="false">IF($B214="","",ROUND(SUMIFS(对接源_01水果!$K$4:$K$1203,对接源_01水果!$C$4:$C$1203,$B214,对接源_01水果!$D$4:$D$1203,"其他代存*"),2))</f>
        <v/>
      </c>
      <c r="E214" s="61" t="str">
        <f aca="false">IF($B214="","",ROUND(SUMIFS(对接源_02物料!$K$4:$K$1203,对接源_02物料!$C$4:$C$1203,$B214,对接源_02物料!$D$4:$D$1203,"包装物料*"),2))</f>
        <v/>
      </c>
      <c r="F214" s="61" t="str">
        <f aca="false">IF($B214="","",ROUND(SUMIFS(对接源_02物料!$K$4:$K$1203,对接源_02物料!$C$4:$C$1203,$B214,对接源_02物料!$D$4:$D$1203,"周转筐*"),2))</f>
        <v/>
      </c>
      <c r="G214" s="61" t="str">
        <f aca="false">IF($B214="","",ROUND(SUMIFS(对接源_02物料!$K$4:$K$1203,对接源_02物料!$C$4:$C$1203,$B214,对接源_02物料!$D$4:$D$1203,"次果筐*"),2))</f>
        <v/>
      </c>
      <c r="H214" s="61" t="str">
        <f aca="false">IF($B214="","",ROUND(SUM($C214:$G214),2))</f>
        <v/>
      </c>
      <c r="I214" s="61" t="str">
        <f aca="false">IF($B214="","",ROUND(SUMIFS(对接源_01水果!$K$4:$K$1203,对接源_01水果!$C$4:$C$1203,$B214,对接源_01水果!$D$4:$D$1203,"成品出库*",对接源_01水果!$L$4:$L$1203,"已收讫")+SUMIFS(对接源_01水果!$K$4:$K$1203,对接源_01水果!$C$4:$C$1203,$B214,对接源_01水果!$D$4:$D$1203,"成品出库*",对接源_01水果!$L$4:$L$1203,"已付款")+SUMIFS(对接源_01水果!$K$4:$K$1203,对接源_01水果!$C$4:$C$1203,$B214,对接源_01水果!$D$4:$D$1203,"其他代存*",对接源_01水果!$L$4:$L$1203,"已收讫")+SUMIFS(对接源_01水果!$K$4:$K$1203,对接源_01水果!$C$4:$C$1203,$B214,对接源_01水果!$D$4:$D$1203,"其他代存*",对接源_01水果!$L$4:$L$1203,"已付款")+SUMIFS(对接源_02物料!$K$4:$K$1203,对接源_02物料!$C$4:$C$1203,$B214,对接源_02物料!$D$4:$D$1203,"包装物料*",对接源_02物料!$L$4:$L$1203,"已收讫")+SUMIFS(对接源_02物料!$K$4:$K$1203,对接源_02物料!$C$4:$C$1203,$B214,对接源_02物料!$D$4:$D$1203,"包装物料*",对接源_02物料!$L$4:$L$1203,"已付款")+SUMIFS(对接源_02物料!$K$4:$K$1203,对接源_02物料!$C$4:$C$1203,$B214,对接源_02物料!$D$4:$D$1203,"周转筐*",对接源_02物料!$L$4:$L$1203,"已收讫")+SUMIFS(对接源_02物料!$K$4:$K$1203,对接源_02物料!$C$4:$C$1203,$B214,对接源_02物料!$D$4:$D$1203,"周转筐*",对接源_02物料!$L$4:$L$1203,"已付款")+SUMIFS(对接源_02物料!$K$4:$K$1203,对接源_02物料!$C$4:$C$1203,$B214,对接源_02物料!$D$4:$D$1203,"次果筐*",对接源_02物料!$L$4:$L$1203,"已收讫")+SUMIFS(对接源_02物料!$K$4:$K$1203,对接源_02物料!$C$4:$C$1203,$B214,对接源_02物料!$D$4:$D$1203,"次果筐*",对接源_02物料!$L$4:$L$1203,"已付款"),2))</f>
        <v/>
      </c>
      <c r="J214" s="61" t="str">
        <f aca="false">IF($B214="","",ROUND(N($H214)-N($I214),2))</f>
        <v/>
      </c>
      <c r="K214" s="59" t="str">
        <f aca="false">IF($B214="","",IF(ROUND(N($J214),2)&gt;0,"对方欠款",IF(ROUND(N($J214),2)&lt;0,"我方欠款","已两清")))</f>
        <v/>
      </c>
      <c r="L214" s="105"/>
    </row>
    <row r="215" customFormat="false" ht="13.5" hidden="false" customHeight="false" outlineLevel="0" collapsed="false">
      <c r="A215" s="59" t="str">
        <f aca="false">IF($B215="","",ROW()-3)</f>
        <v/>
      </c>
      <c r="B215" s="104" t="str">
        <f aca="false">IFERROR(INDEX(_自动清单!$E$4:$E$303,ROW()-3),"")</f>
        <v/>
      </c>
      <c r="C215" s="61" t="str">
        <f aca="false">IF($B215="","",ROUND(SUMIFS(对接源_01水果!$K$4:$K$1203,对接源_01水果!$C$4:$C$1203,$B215,对接源_01水果!$D$4:$D$1203,"成品出库*"),2))</f>
        <v/>
      </c>
      <c r="D215" s="61" t="str">
        <f aca="false">IF($B215="","",ROUND(SUMIFS(对接源_01水果!$K$4:$K$1203,对接源_01水果!$C$4:$C$1203,$B215,对接源_01水果!$D$4:$D$1203,"其他代存*"),2))</f>
        <v/>
      </c>
      <c r="E215" s="61" t="str">
        <f aca="false">IF($B215="","",ROUND(SUMIFS(对接源_02物料!$K$4:$K$1203,对接源_02物料!$C$4:$C$1203,$B215,对接源_02物料!$D$4:$D$1203,"包装物料*"),2))</f>
        <v/>
      </c>
      <c r="F215" s="61" t="str">
        <f aca="false">IF($B215="","",ROUND(SUMIFS(对接源_02物料!$K$4:$K$1203,对接源_02物料!$C$4:$C$1203,$B215,对接源_02物料!$D$4:$D$1203,"周转筐*"),2))</f>
        <v/>
      </c>
      <c r="G215" s="61" t="str">
        <f aca="false">IF($B215="","",ROUND(SUMIFS(对接源_02物料!$K$4:$K$1203,对接源_02物料!$C$4:$C$1203,$B215,对接源_02物料!$D$4:$D$1203,"次果筐*"),2))</f>
        <v/>
      </c>
      <c r="H215" s="61" t="str">
        <f aca="false">IF($B215="","",ROUND(SUM($C215:$G215),2))</f>
        <v/>
      </c>
      <c r="I215" s="61" t="str">
        <f aca="false">IF($B215="","",ROUND(SUMIFS(对接源_01水果!$K$4:$K$1203,对接源_01水果!$C$4:$C$1203,$B215,对接源_01水果!$D$4:$D$1203,"成品出库*",对接源_01水果!$L$4:$L$1203,"已收讫")+SUMIFS(对接源_01水果!$K$4:$K$1203,对接源_01水果!$C$4:$C$1203,$B215,对接源_01水果!$D$4:$D$1203,"成品出库*",对接源_01水果!$L$4:$L$1203,"已付款")+SUMIFS(对接源_01水果!$K$4:$K$1203,对接源_01水果!$C$4:$C$1203,$B215,对接源_01水果!$D$4:$D$1203,"其他代存*",对接源_01水果!$L$4:$L$1203,"已收讫")+SUMIFS(对接源_01水果!$K$4:$K$1203,对接源_01水果!$C$4:$C$1203,$B215,对接源_01水果!$D$4:$D$1203,"其他代存*",对接源_01水果!$L$4:$L$1203,"已付款")+SUMIFS(对接源_02物料!$K$4:$K$1203,对接源_02物料!$C$4:$C$1203,$B215,对接源_02物料!$D$4:$D$1203,"包装物料*",对接源_02物料!$L$4:$L$1203,"已收讫")+SUMIFS(对接源_02物料!$K$4:$K$1203,对接源_02物料!$C$4:$C$1203,$B215,对接源_02物料!$D$4:$D$1203,"包装物料*",对接源_02物料!$L$4:$L$1203,"已付款")+SUMIFS(对接源_02物料!$K$4:$K$1203,对接源_02物料!$C$4:$C$1203,$B215,对接源_02物料!$D$4:$D$1203,"周转筐*",对接源_02物料!$L$4:$L$1203,"已收讫")+SUMIFS(对接源_02物料!$K$4:$K$1203,对接源_02物料!$C$4:$C$1203,$B215,对接源_02物料!$D$4:$D$1203,"周转筐*",对接源_02物料!$L$4:$L$1203,"已付款")+SUMIFS(对接源_02物料!$K$4:$K$1203,对接源_02物料!$C$4:$C$1203,$B215,对接源_02物料!$D$4:$D$1203,"次果筐*",对接源_02物料!$L$4:$L$1203,"已收讫")+SUMIFS(对接源_02物料!$K$4:$K$1203,对接源_02物料!$C$4:$C$1203,$B215,对接源_02物料!$D$4:$D$1203,"次果筐*",对接源_02物料!$L$4:$L$1203,"已付款"),2))</f>
        <v/>
      </c>
      <c r="J215" s="61" t="str">
        <f aca="false">IF($B215="","",ROUND(N($H215)-N($I215),2))</f>
        <v/>
      </c>
      <c r="K215" s="59" t="str">
        <f aca="false">IF($B215="","",IF(ROUND(N($J215),2)&gt;0,"对方欠款",IF(ROUND(N($J215),2)&lt;0,"我方欠款","已两清")))</f>
        <v/>
      </c>
      <c r="L215" s="105"/>
    </row>
    <row r="216" customFormat="false" ht="13.5" hidden="false" customHeight="false" outlineLevel="0" collapsed="false">
      <c r="A216" s="59" t="str">
        <f aca="false">IF($B216="","",ROW()-3)</f>
        <v/>
      </c>
      <c r="B216" s="104" t="str">
        <f aca="false">IFERROR(INDEX(_自动清单!$E$4:$E$303,ROW()-3),"")</f>
        <v/>
      </c>
      <c r="C216" s="61" t="str">
        <f aca="false">IF($B216="","",ROUND(SUMIFS(对接源_01水果!$K$4:$K$1203,对接源_01水果!$C$4:$C$1203,$B216,对接源_01水果!$D$4:$D$1203,"成品出库*"),2))</f>
        <v/>
      </c>
      <c r="D216" s="61" t="str">
        <f aca="false">IF($B216="","",ROUND(SUMIFS(对接源_01水果!$K$4:$K$1203,对接源_01水果!$C$4:$C$1203,$B216,对接源_01水果!$D$4:$D$1203,"其他代存*"),2))</f>
        <v/>
      </c>
      <c r="E216" s="61" t="str">
        <f aca="false">IF($B216="","",ROUND(SUMIFS(对接源_02物料!$K$4:$K$1203,对接源_02物料!$C$4:$C$1203,$B216,对接源_02物料!$D$4:$D$1203,"包装物料*"),2))</f>
        <v/>
      </c>
      <c r="F216" s="61" t="str">
        <f aca="false">IF($B216="","",ROUND(SUMIFS(对接源_02物料!$K$4:$K$1203,对接源_02物料!$C$4:$C$1203,$B216,对接源_02物料!$D$4:$D$1203,"周转筐*"),2))</f>
        <v/>
      </c>
      <c r="G216" s="61" t="str">
        <f aca="false">IF($B216="","",ROUND(SUMIFS(对接源_02物料!$K$4:$K$1203,对接源_02物料!$C$4:$C$1203,$B216,对接源_02物料!$D$4:$D$1203,"次果筐*"),2))</f>
        <v/>
      </c>
      <c r="H216" s="61" t="str">
        <f aca="false">IF($B216="","",ROUND(SUM($C216:$G216),2))</f>
        <v/>
      </c>
      <c r="I216" s="61" t="str">
        <f aca="false">IF($B216="","",ROUND(SUMIFS(对接源_01水果!$K$4:$K$1203,对接源_01水果!$C$4:$C$1203,$B216,对接源_01水果!$D$4:$D$1203,"成品出库*",对接源_01水果!$L$4:$L$1203,"已收讫")+SUMIFS(对接源_01水果!$K$4:$K$1203,对接源_01水果!$C$4:$C$1203,$B216,对接源_01水果!$D$4:$D$1203,"成品出库*",对接源_01水果!$L$4:$L$1203,"已付款")+SUMIFS(对接源_01水果!$K$4:$K$1203,对接源_01水果!$C$4:$C$1203,$B216,对接源_01水果!$D$4:$D$1203,"其他代存*",对接源_01水果!$L$4:$L$1203,"已收讫")+SUMIFS(对接源_01水果!$K$4:$K$1203,对接源_01水果!$C$4:$C$1203,$B216,对接源_01水果!$D$4:$D$1203,"其他代存*",对接源_01水果!$L$4:$L$1203,"已付款")+SUMIFS(对接源_02物料!$K$4:$K$1203,对接源_02物料!$C$4:$C$1203,$B216,对接源_02物料!$D$4:$D$1203,"包装物料*",对接源_02物料!$L$4:$L$1203,"已收讫")+SUMIFS(对接源_02物料!$K$4:$K$1203,对接源_02物料!$C$4:$C$1203,$B216,对接源_02物料!$D$4:$D$1203,"包装物料*",对接源_02物料!$L$4:$L$1203,"已付款")+SUMIFS(对接源_02物料!$K$4:$K$1203,对接源_02物料!$C$4:$C$1203,$B216,对接源_02物料!$D$4:$D$1203,"周转筐*",对接源_02物料!$L$4:$L$1203,"已收讫")+SUMIFS(对接源_02物料!$K$4:$K$1203,对接源_02物料!$C$4:$C$1203,$B216,对接源_02物料!$D$4:$D$1203,"周转筐*",对接源_02物料!$L$4:$L$1203,"已付款")+SUMIFS(对接源_02物料!$K$4:$K$1203,对接源_02物料!$C$4:$C$1203,$B216,对接源_02物料!$D$4:$D$1203,"次果筐*",对接源_02物料!$L$4:$L$1203,"已收讫")+SUMIFS(对接源_02物料!$K$4:$K$1203,对接源_02物料!$C$4:$C$1203,$B216,对接源_02物料!$D$4:$D$1203,"次果筐*",对接源_02物料!$L$4:$L$1203,"已付款"),2))</f>
        <v/>
      </c>
      <c r="J216" s="61" t="str">
        <f aca="false">IF($B216="","",ROUND(N($H216)-N($I216),2))</f>
        <v/>
      </c>
      <c r="K216" s="59" t="str">
        <f aca="false">IF($B216="","",IF(ROUND(N($J216),2)&gt;0,"对方欠款",IF(ROUND(N($J216),2)&lt;0,"我方欠款","已两清")))</f>
        <v/>
      </c>
      <c r="L216" s="105"/>
    </row>
    <row r="217" customFormat="false" ht="13.5" hidden="false" customHeight="false" outlineLevel="0" collapsed="false">
      <c r="A217" s="59" t="str">
        <f aca="false">IF($B217="","",ROW()-3)</f>
        <v/>
      </c>
      <c r="B217" s="104" t="str">
        <f aca="false">IFERROR(INDEX(_自动清单!$E$4:$E$303,ROW()-3),"")</f>
        <v/>
      </c>
      <c r="C217" s="61" t="str">
        <f aca="false">IF($B217="","",ROUND(SUMIFS(对接源_01水果!$K$4:$K$1203,对接源_01水果!$C$4:$C$1203,$B217,对接源_01水果!$D$4:$D$1203,"成品出库*"),2))</f>
        <v/>
      </c>
      <c r="D217" s="61" t="str">
        <f aca="false">IF($B217="","",ROUND(SUMIFS(对接源_01水果!$K$4:$K$1203,对接源_01水果!$C$4:$C$1203,$B217,对接源_01水果!$D$4:$D$1203,"其他代存*"),2))</f>
        <v/>
      </c>
      <c r="E217" s="61" t="str">
        <f aca="false">IF($B217="","",ROUND(SUMIFS(对接源_02物料!$K$4:$K$1203,对接源_02物料!$C$4:$C$1203,$B217,对接源_02物料!$D$4:$D$1203,"包装物料*"),2))</f>
        <v/>
      </c>
      <c r="F217" s="61" t="str">
        <f aca="false">IF($B217="","",ROUND(SUMIFS(对接源_02物料!$K$4:$K$1203,对接源_02物料!$C$4:$C$1203,$B217,对接源_02物料!$D$4:$D$1203,"周转筐*"),2))</f>
        <v/>
      </c>
      <c r="G217" s="61" t="str">
        <f aca="false">IF($B217="","",ROUND(SUMIFS(对接源_02物料!$K$4:$K$1203,对接源_02物料!$C$4:$C$1203,$B217,对接源_02物料!$D$4:$D$1203,"次果筐*"),2))</f>
        <v/>
      </c>
      <c r="H217" s="61" t="str">
        <f aca="false">IF($B217="","",ROUND(SUM($C217:$G217),2))</f>
        <v/>
      </c>
      <c r="I217" s="61" t="str">
        <f aca="false">IF($B217="","",ROUND(SUMIFS(对接源_01水果!$K$4:$K$1203,对接源_01水果!$C$4:$C$1203,$B217,对接源_01水果!$D$4:$D$1203,"成品出库*",对接源_01水果!$L$4:$L$1203,"已收讫")+SUMIFS(对接源_01水果!$K$4:$K$1203,对接源_01水果!$C$4:$C$1203,$B217,对接源_01水果!$D$4:$D$1203,"成品出库*",对接源_01水果!$L$4:$L$1203,"已付款")+SUMIFS(对接源_01水果!$K$4:$K$1203,对接源_01水果!$C$4:$C$1203,$B217,对接源_01水果!$D$4:$D$1203,"其他代存*",对接源_01水果!$L$4:$L$1203,"已收讫")+SUMIFS(对接源_01水果!$K$4:$K$1203,对接源_01水果!$C$4:$C$1203,$B217,对接源_01水果!$D$4:$D$1203,"其他代存*",对接源_01水果!$L$4:$L$1203,"已付款")+SUMIFS(对接源_02物料!$K$4:$K$1203,对接源_02物料!$C$4:$C$1203,$B217,对接源_02物料!$D$4:$D$1203,"包装物料*",对接源_02物料!$L$4:$L$1203,"已收讫")+SUMIFS(对接源_02物料!$K$4:$K$1203,对接源_02物料!$C$4:$C$1203,$B217,对接源_02物料!$D$4:$D$1203,"包装物料*",对接源_02物料!$L$4:$L$1203,"已付款")+SUMIFS(对接源_02物料!$K$4:$K$1203,对接源_02物料!$C$4:$C$1203,$B217,对接源_02物料!$D$4:$D$1203,"周转筐*",对接源_02物料!$L$4:$L$1203,"已收讫")+SUMIFS(对接源_02物料!$K$4:$K$1203,对接源_02物料!$C$4:$C$1203,$B217,对接源_02物料!$D$4:$D$1203,"周转筐*",对接源_02物料!$L$4:$L$1203,"已付款")+SUMIFS(对接源_02物料!$K$4:$K$1203,对接源_02物料!$C$4:$C$1203,$B217,对接源_02物料!$D$4:$D$1203,"次果筐*",对接源_02物料!$L$4:$L$1203,"已收讫")+SUMIFS(对接源_02物料!$K$4:$K$1203,对接源_02物料!$C$4:$C$1203,$B217,对接源_02物料!$D$4:$D$1203,"次果筐*",对接源_02物料!$L$4:$L$1203,"已付款"),2))</f>
        <v/>
      </c>
      <c r="J217" s="61" t="str">
        <f aca="false">IF($B217="","",ROUND(N($H217)-N($I217),2))</f>
        <v/>
      </c>
      <c r="K217" s="59" t="str">
        <f aca="false">IF($B217="","",IF(ROUND(N($J217),2)&gt;0,"对方欠款",IF(ROUND(N($J217),2)&lt;0,"我方欠款","已两清")))</f>
        <v/>
      </c>
      <c r="L217" s="105"/>
    </row>
    <row r="218" customFormat="false" ht="13.5" hidden="false" customHeight="false" outlineLevel="0" collapsed="false">
      <c r="A218" s="59" t="str">
        <f aca="false">IF($B218="","",ROW()-3)</f>
        <v/>
      </c>
      <c r="B218" s="104" t="str">
        <f aca="false">IFERROR(INDEX(_自动清单!$E$4:$E$303,ROW()-3),"")</f>
        <v/>
      </c>
      <c r="C218" s="61" t="str">
        <f aca="false">IF($B218="","",ROUND(SUMIFS(对接源_01水果!$K$4:$K$1203,对接源_01水果!$C$4:$C$1203,$B218,对接源_01水果!$D$4:$D$1203,"成品出库*"),2))</f>
        <v/>
      </c>
      <c r="D218" s="61" t="str">
        <f aca="false">IF($B218="","",ROUND(SUMIFS(对接源_01水果!$K$4:$K$1203,对接源_01水果!$C$4:$C$1203,$B218,对接源_01水果!$D$4:$D$1203,"其他代存*"),2))</f>
        <v/>
      </c>
      <c r="E218" s="61" t="str">
        <f aca="false">IF($B218="","",ROUND(SUMIFS(对接源_02物料!$K$4:$K$1203,对接源_02物料!$C$4:$C$1203,$B218,对接源_02物料!$D$4:$D$1203,"包装物料*"),2))</f>
        <v/>
      </c>
      <c r="F218" s="61" t="str">
        <f aca="false">IF($B218="","",ROUND(SUMIFS(对接源_02物料!$K$4:$K$1203,对接源_02物料!$C$4:$C$1203,$B218,对接源_02物料!$D$4:$D$1203,"周转筐*"),2))</f>
        <v/>
      </c>
      <c r="G218" s="61" t="str">
        <f aca="false">IF($B218="","",ROUND(SUMIFS(对接源_02物料!$K$4:$K$1203,对接源_02物料!$C$4:$C$1203,$B218,对接源_02物料!$D$4:$D$1203,"次果筐*"),2))</f>
        <v/>
      </c>
      <c r="H218" s="61" t="str">
        <f aca="false">IF($B218="","",ROUND(SUM($C218:$G218),2))</f>
        <v/>
      </c>
      <c r="I218" s="61" t="str">
        <f aca="false">IF($B218="","",ROUND(SUMIFS(对接源_01水果!$K$4:$K$1203,对接源_01水果!$C$4:$C$1203,$B218,对接源_01水果!$D$4:$D$1203,"成品出库*",对接源_01水果!$L$4:$L$1203,"已收讫")+SUMIFS(对接源_01水果!$K$4:$K$1203,对接源_01水果!$C$4:$C$1203,$B218,对接源_01水果!$D$4:$D$1203,"成品出库*",对接源_01水果!$L$4:$L$1203,"已付款")+SUMIFS(对接源_01水果!$K$4:$K$1203,对接源_01水果!$C$4:$C$1203,$B218,对接源_01水果!$D$4:$D$1203,"其他代存*",对接源_01水果!$L$4:$L$1203,"已收讫")+SUMIFS(对接源_01水果!$K$4:$K$1203,对接源_01水果!$C$4:$C$1203,$B218,对接源_01水果!$D$4:$D$1203,"其他代存*",对接源_01水果!$L$4:$L$1203,"已付款")+SUMIFS(对接源_02物料!$K$4:$K$1203,对接源_02物料!$C$4:$C$1203,$B218,对接源_02物料!$D$4:$D$1203,"包装物料*",对接源_02物料!$L$4:$L$1203,"已收讫")+SUMIFS(对接源_02物料!$K$4:$K$1203,对接源_02物料!$C$4:$C$1203,$B218,对接源_02物料!$D$4:$D$1203,"包装物料*",对接源_02物料!$L$4:$L$1203,"已付款")+SUMIFS(对接源_02物料!$K$4:$K$1203,对接源_02物料!$C$4:$C$1203,$B218,对接源_02物料!$D$4:$D$1203,"周转筐*",对接源_02物料!$L$4:$L$1203,"已收讫")+SUMIFS(对接源_02物料!$K$4:$K$1203,对接源_02物料!$C$4:$C$1203,$B218,对接源_02物料!$D$4:$D$1203,"周转筐*",对接源_02物料!$L$4:$L$1203,"已付款")+SUMIFS(对接源_02物料!$K$4:$K$1203,对接源_02物料!$C$4:$C$1203,$B218,对接源_02物料!$D$4:$D$1203,"次果筐*",对接源_02物料!$L$4:$L$1203,"已收讫")+SUMIFS(对接源_02物料!$K$4:$K$1203,对接源_02物料!$C$4:$C$1203,$B218,对接源_02物料!$D$4:$D$1203,"次果筐*",对接源_02物料!$L$4:$L$1203,"已付款"),2))</f>
        <v/>
      </c>
      <c r="J218" s="61" t="str">
        <f aca="false">IF($B218="","",ROUND(N($H218)-N($I218),2))</f>
        <v/>
      </c>
      <c r="K218" s="59" t="str">
        <f aca="false">IF($B218="","",IF(ROUND(N($J218),2)&gt;0,"对方欠款",IF(ROUND(N($J218),2)&lt;0,"我方欠款","已两清")))</f>
        <v/>
      </c>
      <c r="L218" s="105"/>
    </row>
    <row r="219" customFormat="false" ht="13.5" hidden="false" customHeight="false" outlineLevel="0" collapsed="false">
      <c r="A219" s="59" t="str">
        <f aca="false">IF($B219="","",ROW()-3)</f>
        <v/>
      </c>
      <c r="B219" s="104" t="str">
        <f aca="false">IFERROR(INDEX(_自动清单!$E$4:$E$303,ROW()-3),"")</f>
        <v/>
      </c>
      <c r="C219" s="61" t="str">
        <f aca="false">IF($B219="","",ROUND(SUMIFS(对接源_01水果!$K$4:$K$1203,对接源_01水果!$C$4:$C$1203,$B219,对接源_01水果!$D$4:$D$1203,"成品出库*"),2))</f>
        <v/>
      </c>
      <c r="D219" s="61" t="str">
        <f aca="false">IF($B219="","",ROUND(SUMIFS(对接源_01水果!$K$4:$K$1203,对接源_01水果!$C$4:$C$1203,$B219,对接源_01水果!$D$4:$D$1203,"其他代存*"),2))</f>
        <v/>
      </c>
      <c r="E219" s="61" t="str">
        <f aca="false">IF($B219="","",ROUND(SUMIFS(对接源_02物料!$K$4:$K$1203,对接源_02物料!$C$4:$C$1203,$B219,对接源_02物料!$D$4:$D$1203,"包装物料*"),2))</f>
        <v/>
      </c>
      <c r="F219" s="61" t="str">
        <f aca="false">IF($B219="","",ROUND(SUMIFS(对接源_02物料!$K$4:$K$1203,对接源_02物料!$C$4:$C$1203,$B219,对接源_02物料!$D$4:$D$1203,"周转筐*"),2))</f>
        <v/>
      </c>
      <c r="G219" s="61" t="str">
        <f aca="false">IF($B219="","",ROUND(SUMIFS(对接源_02物料!$K$4:$K$1203,对接源_02物料!$C$4:$C$1203,$B219,对接源_02物料!$D$4:$D$1203,"次果筐*"),2))</f>
        <v/>
      </c>
      <c r="H219" s="61" t="str">
        <f aca="false">IF($B219="","",ROUND(SUM($C219:$G219),2))</f>
        <v/>
      </c>
      <c r="I219" s="61" t="str">
        <f aca="false">IF($B219="","",ROUND(SUMIFS(对接源_01水果!$K$4:$K$1203,对接源_01水果!$C$4:$C$1203,$B219,对接源_01水果!$D$4:$D$1203,"成品出库*",对接源_01水果!$L$4:$L$1203,"已收讫")+SUMIFS(对接源_01水果!$K$4:$K$1203,对接源_01水果!$C$4:$C$1203,$B219,对接源_01水果!$D$4:$D$1203,"成品出库*",对接源_01水果!$L$4:$L$1203,"已付款")+SUMIFS(对接源_01水果!$K$4:$K$1203,对接源_01水果!$C$4:$C$1203,$B219,对接源_01水果!$D$4:$D$1203,"其他代存*",对接源_01水果!$L$4:$L$1203,"已收讫")+SUMIFS(对接源_01水果!$K$4:$K$1203,对接源_01水果!$C$4:$C$1203,$B219,对接源_01水果!$D$4:$D$1203,"其他代存*",对接源_01水果!$L$4:$L$1203,"已付款")+SUMIFS(对接源_02物料!$K$4:$K$1203,对接源_02物料!$C$4:$C$1203,$B219,对接源_02物料!$D$4:$D$1203,"包装物料*",对接源_02物料!$L$4:$L$1203,"已收讫")+SUMIFS(对接源_02物料!$K$4:$K$1203,对接源_02物料!$C$4:$C$1203,$B219,对接源_02物料!$D$4:$D$1203,"包装物料*",对接源_02物料!$L$4:$L$1203,"已付款")+SUMIFS(对接源_02物料!$K$4:$K$1203,对接源_02物料!$C$4:$C$1203,$B219,对接源_02物料!$D$4:$D$1203,"周转筐*",对接源_02物料!$L$4:$L$1203,"已收讫")+SUMIFS(对接源_02物料!$K$4:$K$1203,对接源_02物料!$C$4:$C$1203,$B219,对接源_02物料!$D$4:$D$1203,"周转筐*",对接源_02物料!$L$4:$L$1203,"已付款")+SUMIFS(对接源_02物料!$K$4:$K$1203,对接源_02物料!$C$4:$C$1203,$B219,对接源_02物料!$D$4:$D$1203,"次果筐*",对接源_02物料!$L$4:$L$1203,"已收讫")+SUMIFS(对接源_02物料!$K$4:$K$1203,对接源_02物料!$C$4:$C$1203,$B219,对接源_02物料!$D$4:$D$1203,"次果筐*",对接源_02物料!$L$4:$L$1203,"已付款"),2))</f>
        <v/>
      </c>
      <c r="J219" s="61" t="str">
        <f aca="false">IF($B219="","",ROUND(N($H219)-N($I219),2))</f>
        <v/>
      </c>
      <c r="K219" s="59" t="str">
        <f aca="false">IF($B219="","",IF(ROUND(N($J219),2)&gt;0,"对方欠款",IF(ROUND(N($J219),2)&lt;0,"我方欠款","已两清")))</f>
        <v/>
      </c>
      <c r="L219" s="105"/>
    </row>
    <row r="220" customFormat="false" ht="13.5" hidden="false" customHeight="false" outlineLevel="0" collapsed="false">
      <c r="A220" s="59" t="str">
        <f aca="false">IF($B220="","",ROW()-3)</f>
        <v/>
      </c>
      <c r="B220" s="104" t="str">
        <f aca="false">IFERROR(INDEX(_自动清单!$E$4:$E$303,ROW()-3),"")</f>
        <v/>
      </c>
      <c r="C220" s="61" t="str">
        <f aca="false">IF($B220="","",ROUND(SUMIFS(对接源_01水果!$K$4:$K$1203,对接源_01水果!$C$4:$C$1203,$B220,对接源_01水果!$D$4:$D$1203,"成品出库*"),2))</f>
        <v/>
      </c>
      <c r="D220" s="61" t="str">
        <f aca="false">IF($B220="","",ROUND(SUMIFS(对接源_01水果!$K$4:$K$1203,对接源_01水果!$C$4:$C$1203,$B220,对接源_01水果!$D$4:$D$1203,"其他代存*"),2))</f>
        <v/>
      </c>
      <c r="E220" s="61" t="str">
        <f aca="false">IF($B220="","",ROUND(SUMIFS(对接源_02物料!$K$4:$K$1203,对接源_02物料!$C$4:$C$1203,$B220,对接源_02物料!$D$4:$D$1203,"包装物料*"),2))</f>
        <v/>
      </c>
      <c r="F220" s="61" t="str">
        <f aca="false">IF($B220="","",ROUND(SUMIFS(对接源_02物料!$K$4:$K$1203,对接源_02物料!$C$4:$C$1203,$B220,对接源_02物料!$D$4:$D$1203,"周转筐*"),2))</f>
        <v/>
      </c>
      <c r="G220" s="61" t="str">
        <f aca="false">IF($B220="","",ROUND(SUMIFS(对接源_02物料!$K$4:$K$1203,对接源_02物料!$C$4:$C$1203,$B220,对接源_02物料!$D$4:$D$1203,"次果筐*"),2))</f>
        <v/>
      </c>
      <c r="H220" s="61" t="str">
        <f aca="false">IF($B220="","",ROUND(SUM($C220:$G220),2))</f>
        <v/>
      </c>
      <c r="I220" s="61" t="str">
        <f aca="false">IF($B220="","",ROUND(SUMIFS(对接源_01水果!$K$4:$K$1203,对接源_01水果!$C$4:$C$1203,$B220,对接源_01水果!$D$4:$D$1203,"成品出库*",对接源_01水果!$L$4:$L$1203,"已收讫")+SUMIFS(对接源_01水果!$K$4:$K$1203,对接源_01水果!$C$4:$C$1203,$B220,对接源_01水果!$D$4:$D$1203,"成品出库*",对接源_01水果!$L$4:$L$1203,"已付款")+SUMIFS(对接源_01水果!$K$4:$K$1203,对接源_01水果!$C$4:$C$1203,$B220,对接源_01水果!$D$4:$D$1203,"其他代存*",对接源_01水果!$L$4:$L$1203,"已收讫")+SUMIFS(对接源_01水果!$K$4:$K$1203,对接源_01水果!$C$4:$C$1203,$B220,对接源_01水果!$D$4:$D$1203,"其他代存*",对接源_01水果!$L$4:$L$1203,"已付款")+SUMIFS(对接源_02物料!$K$4:$K$1203,对接源_02物料!$C$4:$C$1203,$B220,对接源_02物料!$D$4:$D$1203,"包装物料*",对接源_02物料!$L$4:$L$1203,"已收讫")+SUMIFS(对接源_02物料!$K$4:$K$1203,对接源_02物料!$C$4:$C$1203,$B220,对接源_02物料!$D$4:$D$1203,"包装物料*",对接源_02物料!$L$4:$L$1203,"已付款")+SUMIFS(对接源_02物料!$K$4:$K$1203,对接源_02物料!$C$4:$C$1203,$B220,对接源_02物料!$D$4:$D$1203,"周转筐*",对接源_02物料!$L$4:$L$1203,"已收讫")+SUMIFS(对接源_02物料!$K$4:$K$1203,对接源_02物料!$C$4:$C$1203,$B220,对接源_02物料!$D$4:$D$1203,"周转筐*",对接源_02物料!$L$4:$L$1203,"已付款")+SUMIFS(对接源_02物料!$K$4:$K$1203,对接源_02物料!$C$4:$C$1203,$B220,对接源_02物料!$D$4:$D$1203,"次果筐*",对接源_02物料!$L$4:$L$1203,"已收讫")+SUMIFS(对接源_02物料!$K$4:$K$1203,对接源_02物料!$C$4:$C$1203,$B220,对接源_02物料!$D$4:$D$1203,"次果筐*",对接源_02物料!$L$4:$L$1203,"已付款"),2))</f>
        <v/>
      </c>
      <c r="J220" s="61" t="str">
        <f aca="false">IF($B220="","",ROUND(N($H220)-N($I220),2))</f>
        <v/>
      </c>
      <c r="K220" s="59" t="str">
        <f aca="false">IF($B220="","",IF(ROUND(N($J220),2)&gt;0,"对方欠款",IF(ROUND(N($J220),2)&lt;0,"我方欠款","已两清")))</f>
        <v/>
      </c>
      <c r="L220" s="105"/>
    </row>
    <row r="221" customFormat="false" ht="13.5" hidden="false" customHeight="false" outlineLevel="0" collapsed="false">
      <c r="A221" s="59" t="str">
        <f aca="false">IF($B221="","",ROW()-3)</f>
        <v/>
      </c>
      <c r="B221" s="104" t="str">
        <f aca="false">IFERROR(INDEX(_自动清单!$E$4:$E$303,ROW()-3),"")</f>
        <v/>
      </c>
      <c r="C221" s="61" t="str">
        <f aca="false">IF($B221="","",ROUND(SUMIFS(对接源_01水果!$K$4:$K$1203,对接源_01水果!$C$4:$C$1203,$B221,对接源_01水果!$D$4:$D$1203,"成品出库*"),2))</f>
        <v/>
      </c>
      <c r="D221" s="61" t="str">
        <f aca="false">IF($B221="","",ROUND(SUMIFS(对接源_01水果!$K$4:$K$1203,对接源_01水果!$C$4:$C$1203,$B221,对接源_01水果!$D$4:$D$1203,"其他代存*"),2))</f>
        <v/>
      </c>
      <c r="E221" s="61" t="str">
        <f aca="false">IF($B221="","",ROUND(SUMIFS(对接源_02物料!$K$4:$K$1203,对接源_02物料!$C$4:$C$1203,$B221,对接源_02物料!$D$4:$D$1203,"包装物料*"),2))</f>
        <v/>
      </c>
      <c r="F221" s="61" t="str">
        <f aca="false">IF($B221="","",ROUND(SUMIFS(对接源_02物料!$K$4:$K$1203,对接源_02物料!$C$4:$C$1203,$B221,对接源_02物料!$D$4:$D$1203,"周转筐*"),2))</f>
        <v/>
      </c>
      <c r="G221" s="61" t="str">
        <f aca="false">IF($B221="","",ROUND(SUMIFS(对接源_02物料!$K$4:$K$1203,对接源_02物料!$C$4:$C$1203,$B221,对接源_02物料!$D$4:$D$1203,"次果筐*"),2))</f>
        <v/>
      </c>
      <c r="H221" s="61" t="str">
        <f aca="false">IF($B221="","",ROUND(SUM($C221:$G221),2))</f>
        <v/>
      </c>
      <c r="I221" s="61" t="str">
        <f aca="false">IF($B221="","",ROUND(SUMIFS(对接源_01水果!$K$4:$K$1203,对接源_01水果!$C$4:$C$1203,$B221,对接源_01水果!$D$4:$D$1203,"成品出库*",对接源_01水果!$L$4:$L$1203,"已收讫")+SUMIFS(对接源_01水果!$K$4:$K$1203,对接源_01水果!$C$4:$C$1203,$B221,对接源_01水果!$D$4:$D$1203,"成品出库*",对接源_01水果!$L$4:$L$1203,"已付款")+SUMIFS(对接源_01水果!$K$4:$K$1203,对接源_01水果!$C$4:$C$1203,$B221,对接源_01水果!$D$4:$D$1203,"其他代存*",对接源_01水果!$L$4:$L$1203,"已收讫")+SUMIFS(对接源_01水果!$K$4:$K$1203,对接源_01水果!$C$4:$C$1203,$B221,对接源_01水果!$D$4:$D$1203,"其他代存*",对接源_01水果!$L$4:$L$1203,"已付款")+SUMIFS(对接源_02物料!$K$4:$K$1203,对接源_02物料!$C$4:$C$1203,$B221,对接源_02物料!$D$4:$D$1203,"包装物料*",对接源_02物料!$L$4:$L$1203,"已收讫")+SUMIFS(对接源_02物料!$K$4:$K$1203,对接源_02物料!$C$4:$C$1203,$B221,对接源_02物料!$D$4:$D$1203,"包装物料*",对接源_02物料!$L$4:$L$1203,"已付款")+SUMIFS(对接源_02物料!$K$4:$K$1203,对接源_02物料!$C$4:$C$1203,$B221,对接源_02物料!$D$4:$D$1203,"周转筐*",对接源_02物料!$L$4:$L$1203,"已收讫")+SUMIFS(对接源_02物料!$K$4:$K$1203,对接源_02物料!$C$4:$C$1203,$B221,对接源_02物料!$D$4:$D$1203,"周转筐*",对接源_02物料!$L$4:$L$1203,"已付款")+SUMIFS(对接源_02物料!$K$4:$K$1203,对接源_02物料!$C$4:$C$1203,$B221,对接源_02物料!$D$4:$D$1203,"次果筐*",对接源_02物料!$L$4:$L$1203,"已收讫")+SUMIFS(对接源_02物料!$K$4:$K$1203,对接源_02物料!$C$4:$C$1203,$B221,对接源_02物料!$D$4:$D$1203,"次果筐*",对接源_02物料!$L$4:$L$1203,"已付款"),2))</f>
        <v/>
      </c>
      <c r="J221" s="61" t="str">
        <f aca="false">IF($B221="","",ROUND(N($H221)-N($I221),2))</f>
        <v/>
      </c>
      <c r="K221" s="59" t="str">
        <f aca="false">IF($B221="","",IF(ROUND(N($J221),2)&gt;0,"对方欠款",IF(ROUND(N($J221),2)&lt;0,"我方欠款","已两清")))</f>
        <v/>
      </c>
      <c r="L221" s="105"/>
    </row>
    <row r="222" customFormat="false" ht="13.5" hidden="false" customHeight="false" outlineLevel="0" collapsed="false">
      <c r="A222" s="59" t="str">
        <f aca="false">IF($B222="","",ROW()-3)</f>
        <v/>
      </c>
      <c r="B222" s="104" t="str">
        <f aca="false">IFERROR(INDEX(_自动清单!$E$4:$E$303,ROW()-3),"")</f>
        <v/>
      </c>
      <c r="C222" s="61" t="str">
        <f aca="false">IF($B222="","",ROUND(SUMIFS(对接源_01水果!$K$4:$K$1203,对接源_01水果!$C$4:$C$1203,$B222,对接源_01水果!$D$4:$D$1203,"成品出库*"),2))</f>
        <v/>
      </c>
      <c r="D222" s="61" t="str">
        <f aca="false">IF($B222="","",ROUND(SUMIFS(对接源_01水果!$K$4:$K$1203,对接源_01水果!$C$4:$C$1203,$B222,对接源_01水果!$D$4:$D$1203,"其他代存*"),2))</f>
        <v/>
      </c>
      <c r="E222" s="61" t="str">
        <f aca="false">IF($B222="","",ROUND(SUMIFS(对接源_02物料!$K$4:$K$1203,对接源_02物料!$C$4:$C$1203,$B222,对接源_02物料!$D$4:$D$1203,"包装物料*"),2))</f>
        <v/>
      </c>
      <c r="F222" s="61" t="str">
        <f aca="false">IF($B222="","",ROUND(SUMIFS(对接源_02物料!$K$4:$K$1203,对接源_02物料!$C$4:$C$1203,$B222,对接源_02物料!$D$4:$D$1203,"周转筐*"),2))</f>
        <v/>
      </c>
      <c r="G222" s="61" t="str">
        <f aca="false">IF($B222="","",ROUND(SUMIFS(对接源_02物料!$K$4:$K$1203,对接源_02物料!$C$4:$C$1203,$B222,对接源_02物料!$D$4:$D$1203,"次果筐*"),2))</f>
        <v/>
      </c>
      <c r="H222" s="61" t="str">
        <f aca="false">IF($B222="","",ROUND(SUM($C222:$G222),2))</f>
        <v/>
      </c>
      <c r="I222" s="61" t="str">
        <f aca="false">IF($B222="","",ROUND(SUMIFS(对接源_01水果!$K$4:$K$1203,对接源_01水果!$C$4:$C$1203,$B222,对接源_01水果!$D$4:$D$1203,"成品出库*",对接源_01水果!$L$4:$L$1203,"已收讫")+SUMIFS(对接源_01水果!$K$4:$K$1203,对接源_01水果!$C$4:$C$1203,$B222,对接源_01水果!$D$4:$D$1203,"成品出库*",对接源_01水果!$L$4:$L$1203,"已付款")+SUMIFS(对接源_01水果!$K$4:$K$1203,对接源_01水果!$C$4:$C$1203,$B222,对接源_01水果!$D$4:$D$1203,"其他代存*",对接源_01水果!$L$4:$L$1203,"已收讫")+SUMIFS(对接源_01水果!$K$4:$K$1203,对接源_01水果!$C$4:$C$1203,$B222,对接源_01水果!$D$4:$D$1203,"其他代存*",对接源_01水果!$L$4:$L$1203,"已付款")+SUMIFS(对接源_02物料!$K$4:$K$1203,对接源_02物料!$C$4:$C$1203,$B222,对接源_02物料!$D$4:$D$1203,"包装物料*",对接源_02物料!$L$4:$L$1203,"已收讫")+SUMIFS(对接源_02物料!$K$4:$K$1203,对接源_02物料!$C$4:$C$1203,$B222,对接源_02物料!$D$4:$D$1203,"包装物料*",对接源_02物料!$L$4:$L$1203,"已付款")+SUMIFS(对接源_02物料!$K$4:$K$1203,对接源_02物料!$C$4:$C$1203,$B222,对接源_02物料!$D$4:$D$1203,"周转筐*",对接源_02物料!$L$4:$L$1203,"已收讫")+SUMIFS(对接源_02物料!$K$4:$K$1203,对接源_02物料!$C$4:$C$1203,$B222,对接源_02物料!$D$4:$D$1203,"周转筐*",对接源_02物料!$L$4:$L$1203,"已付款")+SUMIFS(对接源_02物料!$K$4:$K$1203,对接源_02物料!$C$4:$C$1203,$B222,对接源_02物料!$D$4:$D$1203,"次果筐*",对接源_02物料!$L$4:$L$1203,"已收讫")+SUMIFS(对接源_02物料!$K$4:$K$1203,对接源_02物料!$C$4:$C$1203,$B222,对接源_02物料!$D$4:$D$1203,"次果筐*",对接源_02物料!$L$4:$L$1203,"已付款"),2))</f>
        <v/>
      </c>
      <c r="J222" s="61" t="str">
        <f aca="false">IF($B222="","",ROUND(N($H222)-N($I222),2))</f>
        <v/>
      </c>
      <c r="K222" s="59" t="str">
        <f aca="false">IF($B222="","",IF(ROUND(N($J222),2)&gt;0,"对方欠款",IF(ROUND(N($J222),2)&lt;0,"我方欠款","已两清")))</f>
        <v/>
      </c>
      <c r="L222" s="105"/>
    </row>
    <row r="223" customFormat="false" ht="13.5" hidden="false" customHeight="false" outlineLevel="0" collapsed="false">
      <c r="A223" s="59" t="str">
        <f aca="false">IF($B223="","",ROW()-3)</f>
        <v/>
      </c>
      <c r="B223" s="104" t="str">
        <f aca="false">IFERROR(INDEX(_自动清单!$E$4:$E$303,ROW()-3),"")</f>
        <v/>
      </c>
      <c r="C223" s="61" t="str">
        <f aca="false">IF($B223="","",ROUND(SUMIFS(对接源_01水果!$K$4:$K$1203,对接源_01水果!$C$4:$C$1203,$B223,对接源_01水果!$D$4:$D$1203,"成品出库*"),2))</f>
        <v/>
      </c>
      <c r="D223" s="61" t="str">
        <f aca="false">IF($B223="","",ROUND(SUMIFS(对接源_01水果!$K$4:$K$1203,对接源_01水果!$C$4:$C$1203,$B223,对接源_01水果!$D$4:$D$1203,"其他代存*"),2))</f>
        <v/>
      </c>
      <c r="E223" s="61" t="str">
        <f aca="false">IF($B223="","",ROUND(SUMIFS(对接源_02物料!$K$4:$K$1203,对接源_02物料!$C$4:$C$1203,$B223,对接源_02物料!$D$4:$D$1203,"包装物料*"),2))</f>
        <v/>
      </c>
      <c r="F223" s="61" t="str">
        <f aca="false">IF($B223="","",ROUND(SUMIFS(对接源_02物料!$K$4:$K$1203,对接源_02物料!$C$4:$C$1203,$B223,对接源_02物料!$D$4:$D$1203,"周转筐*"),2))</f>
        <v/>
      </c>
      <c r="G223" s="61" t="str">
        <f aca="false">IF($B223="","",ROUND(SUMIFS(对接源_02物料!$K$4:$K$1203,对接源_02物料!$C$4:$C$1203,$B223,对接源_02物料!$D$4:$D$1203,"次果筐*"),2))</f>
        <v/>
      </c>
      <c r="H223" s="61" t="str">
        <f aca="false">IF($B223="","",ROUND(SUM($C223:$G223),2))</f>
        <v/>
      </c>
      <c r="I223" s="61" t="str">
        <f aca="false">IF($B223="","",ROUND(SUMIFS(对接源_01水果!$K$4:$K$1203,对接源_01水果!$C$4:$C$1203,$B223,对接源_01水果!$D$4:$D$1203,"成品出库*",对接源_01水果!$L$4:$L$1203,"已收讫")+SUMIFS(对接源_01水果!$K$4:$K$1203,对接源_01水果!$C$4:$C$1203,$B223,对接源_01水果!$D$4:$D$1203,"成品出库*",对接源_01水果!$L$4:$L$1203,"已付款")+SUMIFS(对接源_01水果!$K$4:$K$1203,对接源_01水果!$C$4:$C$1203,$B223,对接源_01水果!$D$4:$D$1203,"其他代存*",对接源_01水果!$L$4:$L$1203,"已收讫")+SUMIFS(对接源_01水果!$K$4:$K$1203,对接源_01水果!$C$4:$C$1203,$B223,对接源_01水果!$D$4:$D$1203,"其他代存*",对接源_01水果!$L$4:$L$1203,"已付款")+SUMIFS(对接源_02物料!$K$4:$K$1203,对接源_02物料!$C$4:$C$1203,$B223,对接源_02物料!$D$4:$D$1203,"包装物料*",对接源_02物料!$L$4:$L$1203,"已收讫")+SUMIFS(对接源_02物料!$K$4:$K$1203,对接源_02物料!$C$4:$C$1203,$B223,对接源_02物料!$D$4:$D$1203,"包装物料*",对接源_02物料!$L$4:$L$1203,"已付款")+SUMIFS(对接源_02物料!$K$4:$K$1203,对接源_02物料!$C$4:$C$1203,$B223,对接源_02物料!$D$4:$D$1203,"周转筐*",对接源_02物料!$L$4:$L$1203,"已收讫")+SUMIFS(对接源_02物料!$K$4:$K$1203,对接源_02物料!$C$4:$C$1203,$B223,对接源_02物料!$D$4:$D$1203,"周转筐*",对接源_02物料!$L$4:$L$1203,"已付款")+SUMIFS(对接源_02物料!$K$4:$K$1203,对接源_02物料!$C$4:$C$1203,$B223,对接源_02物料!$D$4:$D$1203,"次果筐*",对接源_02物料!$L$4:$L$1203,"已收讫")+SUMIFS(对接源_02物料!$K$4:$K$1203,对接源_02物料!$C$4:$C$1203,$B223,对接源_02物料!$D$4:$D$1203,"次果筐*",对接源_02物料!$L$4:$L$1203,"已付款"),2))</f>
        <v/>
      </c>
      <c r="J223" s="61" t="str">
        <f aca="false">IF($B223="","",ROUND(N($H223)-N($I223),2))</f>
        <v/>
      </c>
      <c r="K223" s="59" t="str">
        <f aca="false">IF($B223="","",IF(ROUND(N($J223),2)&gt;0,"对方欠款",IF(ROUND(N($J223),2)&lt;0,"我方欠款","已两清")))</f>
        <v/>
      </c>
      <c r="L223" s="105"/>
    </row>
    <row r="224" customFormat="false" ht="13.5" hidden="false" customHeight="false" outlineLevel="0" collapsed="false">
      <c r="A224" s="59" t="str">
        <f aca="false">IF($B224="","",ROW()-3)</f>
        <v/>
      </c>
      <c r="B224" s="104" t="str">
        <f aca="false">IFERROR(INDEX(_自动清单!$E$4:$E$303,ROW()-3),"")</f>
        <v/>
      </c>
      <c r="C224" s="61" t="str">
        <f aca="false">IF($B224="","",ROUND(SUMIFS(对接源_01水果!$K$4:$K$1203,对接源_01水果!$C$4:$C$1203,$B224,对接源_01水果!$D$4:$D$1203,"成品出库*"),2))</f>
        <v/>
      </c>
      <c r="D224" s="61" t="str">
        <f aca="false">IF($B224="","",ROUND(SUMIFS(对接源_01水果!$K$4:$K$1203,对接源_01水果!$C$4:$C$1203,$B224,对接源_01水果!$D$4:$D$1203,"其他代存*"),2))</f>
        <v/>
      </c>
      <c r="E224" s="61" t="str">
        <f aca="false">IF($B224="","",ROUND(SUMIFS(对接源_02物料!$K$4:$K$1203,对接源_02物料!$C$4:$C$1203,$B224,对接源_02物料!$D$4:$D$1203,"包装物料*"),2))</f>
        <v/>
      </c>
      <c r="F224" s="61" t="str">
        <f aca="false">IF($B224="","",ROUND(SUMIFS(对接源_02物料!$K$4:$K$1203,对接源_02物料!$C$4:$C$1203,$B224,对接源_02物料!$D$4:$D$1203,"周转筐*"),2))</f>
        <v/>
      </c>
      <c r="G224" s="61" t="str">
        <f aca="false">IF($B224="","",ROUND(SUMIFS(对接源_02物料!$K$4:$K$1203,对接源_02物料!$C$4:$C$1203,$B224,对接源_02物料!$D$4:$D$1203,"次果筐*"),2))</f>
        <v/>
      </c>
      <c r="H224" s="61" t="str">
        <f aca="false">IF($B224="","",ROUND(SUM($C224:$G224),2))</f>
        <v/>
      </c>
      <c r="I224" s="61" t="str">
        <f aca="false">IF($B224="","",ROUND(SUMIFS(对接源_01水果!$K$4:$K$1203,对接源_01水果!$C$4:$C$1203,$B224,对接源_01水果!$D$4:$D$1203,"成品出库*",对接源_01水果!$L$4:$L$1203,"已收讫")+SUMIFS(对接源_01水果!$K$4:$K$1203,对接源_01水果!$C$4:$C$1203,$B224,对接源_01水果!$D$4:$D$1203,"成品出库*",对接源_01水果!$L$4:$L$1203,"已付款")+SUMIFS(对接源_01水果!$K$4:$K$1203,对接源_01水果!$C$4:$C$1203,$B224,对接源_01水果!$D$4:$D$1203,"其他代存*",对接源_01水果!$L$4:$L$1203,"已收讫")+SUMIFS(对接源_01水果!$K$4:$K$1203,对接源_01水果!$C$4:$C$1203,$B224,对接源_01水果!$D$4:$D$1203,"其他代存*",对接源_01水果!$L$4:$L$1203,"已付款")+SUMIFS(对接源_02物料!$K$4:$K$1203,对接源_02物料!$C$4:$C$1203,$B224,对接源_02物料!$D$4:$D$1203,"包装物料*",对接源_02物料!$L$4:$L$1203,"已收讫")+SUMIFS(对接源_02物料!$K$4:$K$1203,对接源_02物料!$C$4:$C$1203,$B224,对接源_02物料!$D$4:$D$1203,"包装物料*",对接源_02物料!$L$4:$L$1203,"已付款")+SUMIFS(对接源_02物料!$K$4:$K$1203,对接源_02物料!$C$4:$C$1203,$B224,对接源_02物料!$D$4:$D$1203,"周转筐*",对接源_02物料!$L$4:$L$1203,"已收讫")+SUMIFS(对接源_02物料!$K$4:$K$1203,对接源_02物料!$C$4:$C$1203,$B224,对接源_02物料!$D$4:$D$1203,"周转筐*",对接源_02物料!$L$4:$L$1203,"已付款")+SUMIFS(对接源_02物料!$K$4:$K$1203,对接源_02物料!$C$4:$C$1203,$B224,对接源_02物料!$D$4:$D$1203,"次果筐*",对接源_02物料!$L$4:$L$1203,"已收讫")+SUMIFS(对接源_02物料!$K$4:$K$1203,对接源_02物料!$C$4:$C$1203,$B224,对接源_02物料!$D$4:$D$1203,"次果筐*",对接源_02物料!$L$4:$L$1203,"已付款"),2))</f>
        <v/>
      </c>
      <c r="J224" s="61" t="str">
        <f aca="false">IF($B224="","",ROUND(N($H224)-N($I224),2))</f>
        <v/>
      </c>
      <c r="K224" s="59" t="str">
        <f aca="false">IF($B224="","",IF(ROUND(N($J224),2)&gt;0,"对方欠款",IF(ROUND(N($J224),2)&lt;0,"我方欠款","已两清")))</f>
        <v/>
      </c>
      <c r="L224" s="105"/>
    </row>
    <row r="225" customFormat="false" ht="13.5" hidden="false" customHeight="false" outlineLevel="0" collapsed="false">
      <c r="A225" s="59" t="str">
        <f aca="false">IF($B225="","",ROW()-3)</f>
        <v/>
      </c>
      <c r="B225" s="104" t="str">
        <f aca="false">IFERROR(INDEX(_自动清单!$E$4:$E$303,ROW()-3),"")</f>
        <v/>
      </c>
      <c r="C225" s="61" t="str">
        <f aca="false">IF($B225="","",ROUND(SUMIFS(对接源_01水果!$K$4:$K$1203,对接源_01水果!$C$4:$C$1203,$B225,对接源_01水果!$D$4:$D$1203,"成品出库*"),2))</f>
        <v/>
      </c>
      <c r="D225" s="61" t="str">
        <f aca="false">IF($B225="","",ROUND(SUMIFS(对接源_01水果!$K$4:$K$1203,对接源_01水果!$C$4:$C$1203,$B225,对接源_01水果!$D$4:$D$1203,"其他代存*"),2))</f>
        <v/>
      </c>
      <c r="E225" s="61" t="str">
        <f aca="false">IF($B225="","",ROUND(SUMIFS(对接源_02物料!$K$4:$K$1203,对接源_02物料!$C$4:$C$1203,$B225,对接源_02物料!$D$4:$D$1203,"包装物料*"),2))</f>
        <v/>
      </c>
      <c r="F225" s="61" t="str">
        <f aca="false">IF($B225="","",ROUND(SUMIFS(对接源_02物料!$K$4:$K$1203,对接源_02物料!$C$4:$C$1203,$B225,对接源_02物料!$D$4:$D$1203,"周转筐*"),2))</f>
        <v/>
      </c>
      <c r="G225" s="61" t="str">
        <f aca="false">IF($B225="","",ROUND(SUMIFS(对接源_02物料!$K$4:$K$1203,对接源_02物料!$C$4:$C$1203,$B225,对接源_02物料!$D$4:$D$1203,"次果筐*"),2))</f>
        <v/>
      </c>
      <c r="H225" s="61" t="str">
        <f aca="false">IF($B225="","",ROUND(SUM($C225:$G225),2))</f>
        <v/>
      </c>
      <c r="I225" s="61" t="str">
        <f aca="false">IF($B225="","",ROUND(SUMIFS(对接源_01水果!$K$4:$K$1203,对接源_01水果!$C$4:$C$1203,$B225,对接源_01水果!$D$4:$D$1203,"成品出库*",对接源_01水果!$L$4:$L$1203,"已收讫")+SUMIFS(对接源_01水果!$K$4:$K$1203,对接源_01水果!$C$4:$C$1203,$B225,对接源_01水果!$D$4:$D$1203,"成品出库*",对接源_01水果!$L$4:$L$1203,"已付款")+SUMIFS(对接源_01水果!$K$4:$K$1203,对接源_01水果!$C$4:$C$1203,$B225,对接源_01水果!$D$4:$D$1203,"其他代存*",对接源_01水果!$L$4:$L$1203,"已收讫")+SUMIFS(对接源_01水果!$K$4:$K$1203,对接源_01水果!$C$4:$C$1203,$B225,对接源_01水果!$D$4:$D$1203,"其他代存*",对接源_01水果!$L$4:$L$1203,"已付款")+SUMIFS(对接源_02物料!$K$4:$K$1203,对接源_02物料!$C$4:$C$1203,$B225,对接源_02物料!$D$4:$D$1203,"包装物料*",对接源_02物料!$L$4:$L$1203,"已收讫")+SUMIFS(对接源_02物料!$K$4:$K$1203,对接源_02物料!$C$4:$C$1203,$B225,对接源_02物料!$D$4:$D$1203,"包装物料*",对接源_02物料!$L$4:$L$1203,"已付款")+SUMIFS(对接源_02物料!$K$4:$K$1203,对接源_02物料!$C$4:$C$1203,$B225,对接源_02物料!$D$4:$D$1203,"周转筐*",对接源_02物料!$L$4:$L$1203,"已收讫")+SUMIFS(对接源_02物料!$K$4:$K$1203,对接源_02物料!$C$4:$C$1203,$B225,对接源_02物料!$D$4:$D$1203,"周转筐*",对接源_02物料!$L$4:$L$1203,"已付款")+SUMIFS(对接源_02物料!$K$4:$K$1203,对接源_02物料!$C$4:$C$1203,$B225,对接源_02物料!$D$4:$D$1203,"次果筐*",对接源_02物料!$L$4:$L$1203,"已收讫")+SUMIFS(对接源_02物料!$K$4:$K$1203,对接源_02物料!$C$4:$C$1203,$B225,对接源_02物料!$D$4:$D$1203,"次果筐*",对接源_02物料!$L$4:$L$1203,"已付款"),2))</f>
        <v/>
      </c>
      <c r="J225" s="61" t="str">
        <f aca="false">IF($B225="","",ROUND(N($H225)-N($I225),2))</f>
        <v/>
      </c>
      <c r="K225" s="59" t="str">
        <f aca="false">IF($B225="","",IF(ROUND(N($J225),2)&gt;0,"对方欠款",IF(ROUND(N($J225),2)&lt;0,"我方欠款","已两清")))</f>
        <v/>
      </c>
      <c r="L225" s="105"/>
    </row>
    <row r="226" customFormat="false" ht="13.5" hidden="false" customHeight="false" outlineLevel="0" collapsed="false">
      <c r="A226" s="59" t="str">
        <f aca="false">IF($B226="","",ROW()-3)</f>
        <v/>
      </c>
      <c r="B226" s="104" t="str">
        <f aca="false">IFERROR(INDEX(_自动清单!$E$4:$E$303,ROW()-3),"")</f>
        <v/>
      </c>
      <c r="C226" s="61" t="str">
        <f aca="false">IF($B226="","",ROUND(SUMIFS(对接源_01水果!$K$4:$K$1203,对接源_01水果!$C$4:$C$1203,$B226,对接源_01水果!$D$4:$D$1203,"成品出库*"),2))</f>
        <v/>
      </c>
      <c r="D226" s="61" t="str">
        <f aca="false">IF($B226="","",ROUND(SUMIFS(对接源_01水果!$K$4:$K$1203,对接源_01水果!$C$4:$C$1203,$B226,对接源_01水果!$D$4:$D$1203,"其他代存*"),2))</f>
        <v/>
      </c>
      <c r="E226" s="61" t="str">
        <f aca="false">IF($B226="","",ROUND(SUMIFS(对接源_02物料!$K$4:$K$1203,对接源_02物料!$C$4:$C$1203,$B226,对接源_02物料!$D$4:$D$1203,"包装物料*"),2))</f>
        <v/>
      </c>
      <c r="F226" s="61" t="str">
        <f aca="false">IF($B226="","",ROUND(SUMIFS(对接源_02物料!$K$4:$K$1203,对接源_02物料!$C$4:$C$1203,$B226,对接源_02物料!$D$4:$D$1203,"周转筐*"),2))</f>
        <v/>
      </c>
      <c r="G226" s="61" t="str">
        <f aca="false">IF($B226="","",ROUND(SUMIFS(对接源_02物料!$K$4:$K$1203,对接源_02物料!$C$4:$C$1203,$B226,对接源_02物料!$D$4:$D$1203,"次果筐*"),2))</f>
        <v/>
      </c>
      <c r="H226" s="61" t="str">
        <f aca="false">IF($B226="","",ROUND(SUM($C226:$G226),2))</f>
        <v/>
      </c>
      <c r="I226" s="61" t="str">
        <f aca="false">IF($B226="","",ROUND(SUMIFS(对接源_01水果!$K$4:$K$1203,对接源_01水果!$C$4:$C$1203,$B226,对接源_01水果!$D$4:$D$1203,"成品出库*",对接源_01水果!$L$4:$L$1203,"已收讫")+SUMIFS(对接源_01水果!$K$4:$K$1203,对接源_01水果!$C$4:$C$1203,$B226,对接源_01水果!$D$4:$D$1203,"成品出库*",对接源_01水果!$L$4:$L$1203,"已付款")+SUMIFS(对接源_01水果!$K$4:$K$1203,对接源_01水果!$C$4:$C$1203,$B226,对接源_01水果!$D$4:$D$1203,"其他代存*",对接源_01水果!$L$4:$L$1203,"已收讫")+SUMIFS(对接源_01水果!$K$4:$K$1203,对接源_01水果!$C$4:$C$1203,$B226,对接源_01水果!$D$4:$D$1203,"其他代存*",对接源_01水果!$L$4:$L$1203,"已付款")+SUMIFS(对接源_02物料!$K$4:$K$1203,对接源_02物料!$C$4:$C$1203,$B226,对接源_02物料!$D$4:$D$1203,"包装物料*",对接源_02物料!$L$4:$L$1203,"已收讫")+SUMIFS(对接源_02物料!$K$4:$K$1203,对接源_02物料!$C$4:$C$1203,$B226,对接源_02物料!$D$4:$D$1203,"包装物料*",对接源_02物料!$L$4:$L$1203,"已付款")+SUMIFS(对接源_02物料!$K$4:$K$1203,对接源_02物料!$C$4:$C$1203,$B226,对接源_02物料!$D$4:$D$1203,"周转筐*",对接源_02物料!$L$4:$L$1203,"已收讫")+SUMIFS(对接源_02物料!$K$4:$K$1203,对接源_02物料!$C$4:$C$1203,$B226,对接源_02物料!$D$4:$D$1203,"周转筐*",对接源_02物料!$L$4:$L$1203,"已付款")+SUMIFS(对接源_02物料!$K$4:$K$1203,对接源_02物料!$C$4:$C$1203,$B226,对接源_02物料!$D$4:$D$1203,"次果筐*",对接源_02物料!$L$4:$L$1203,"已收讫")+SUMIFS(对接源_02物料!$K$4:$K$1203,对接源_02物料!$C$4:$C$1203,$B226,对接源_02物料!$D$4:$D$1203,"次果筐*",对接源_02物料!$L$4:$L$1203,"已付款"),2))</f>
        <v/>
      </c>
      <c r="J226" s="61" t="str">
        <f aca="false">IF($B226="","",ROUND(N($H226)-N($I226),2))</f>
        <v/>
      </c>
      <c r="K226" s="59" t="str">
        <f aca="false">IF($B226="","",IF(ROUND(N($J226),2)&gt;0,"对方欠款",IF(ROUND(N($J226),2)&lt;0,"我方欠款","已两清")))</f>
        <v/>
      </c>
      <c r="L226" s="105"/>
    </row>
    <row r="227" customFormat="false" ht="13.5" hidden="false" customHeight="false" outlineLevel="0" collapsed="false">
      <c r="A227" s="59" t="str">
        <f aca="false">IF($B227="","",ROW()-3)</f>
        <v/>
      </c>
      <c r="B227" s="104" t="str">
        <f aca="false">IFERROR(INDEX(_自动清单!$E$4:$E$303,ROW()-3),"")</f>
        <v/>
      </c>
      <c r="C227" s="61" t="str">
        <f aca="false">IF($B227="","",ROUND(SUMIFS(对接源_01水果!$K$4:$K$1203,对接源_01水果!$C$4:$C$1203,$B227,对接源_01水果!$D$4:$D$1203,"成品出库*"),2))</f>
        <v/>
      </c>
      <c r="D227" s="61" t="str">
        <f aca="false">IF($B227="","",ROUND(SUMIFS(对接源_01水果!$K$4:$K$1203,对接源_01水果!$C$4:$C$1203,$B227,对接源_01水果!$D$4:$D$1203,"其他代存*"),2))</f>
        <v/>
      </c>
      <c r="E227" s="61" t="str">
        <f aca="false">IF($B227="","",ROUND(SUMIFS(对接源_02物料!$K$4:$K$1203,对接源_02物料!$C$4:$C$1203,$B227,对接源_02物料!$D$4:$D$1203,"包装物料*"),2))</f>
        <v/>
      </c>
      <c r="F227" s="61" t="str">
        <f aca="false">IF($B227="","",ROUND(SUMIFS(对接源_02物料!$K$4:$K$1203,对接源_02物料!$C$4:$C$1203,$B227,对接源_02物料!$D$4:$D$1203,"周转筐*"),2))</f>
        <v/>
      </c>
      <c r="G227" s="61" t="str">
        <f aca="false">IF($B227="","",ROUND(SUMIFS(对接源_02物料!$K$4:$K$1203,对接源_02物料!$C$4:$C$1203,$B227,对接源_02物料!$D$4:$D$1203,"次果筐*"),2))</f>
        <v/>
      </c>
      <c r="H227" s="61" t="str">
        <f aca="false">IF($B227="","",ROUND(SUM($C227:$G227),2))</f>
        <v/>
      </c>
      <c r="I227" s="61" t="str">
        <f aca="false">IF($B227="","",ROUND(SUMIFS(对接源_01水果!$K$4:$K$1203,对接源_01水果!$C$4:$C$1203,$B227,对接源_01水果!$D$4:$D$1203,"成品出库*",对接源_01水果!$L$4:$L$1203,"已收讫")+SUMIFS(对接源_01水果!$K$4:$K$1203,对接源_01水果!$C$4:$C$1203,$B227,对接源_01水果!$D$4:$D$1203,"成品出库*",对接源_01水果!$L$4:$L$1203,"已付款")+SUMIFS(对接源_01水果!$K$4:$K$1203,对接源_01水果!$C$4:$C$1203,$B227,对接源_01水果!$D$4:$D$1203,"其他代存*",对接源_01水果!$L$4:$L$1203,"已收讫")+SUMIFS(对接源_01水果!$K$4:$K$1203,对接源_01水果!$C$4:$C$1203,$B227,对接源_01水果!$D$4:$D$1203,"其他代存*",对接源_01水果!$L$4:$L$1203,"已付款")+SUMIFS(对接源_02物料!$K$4:$K$1203,对接源_02物料!$C$4:$C$1203,$B227,对接源_02物料!$D$4:$D$1203,"包装物料*",对接源_02物料!$L$4:$L$1203,"已收讫")+SUMIFS(对接源_02物料!$K$4:$K$1203,对接源_02物料!$C$4:$C$1203,$B227,对接源_02物料!$D$4:$D$1203,"包装物料*",对接源_02物料!$L$4:$L$1203,"已付款")+SUMIFS(对接源_02物料!$K$4:$K$1203,对接源_02物料!$C$4:$C$1203,$B227,对接源_02物料!$D$4:$D$1203,"周转筐*",对接源_02物料!$L$4:$L$1203,"已收讫")+SUMIFS(对接源_02物料!$K$4:$K$1203,对接源_02物料!$C$4:$C$1203,$B227,对接源_02物料!$D$4:$D$1203,"周转筐*",对接源_02物料!$L$4:$L$1203,"已付款")+SUMIFS(对接源_02物料!$K$4:$K$1203,对接源_02物料!$C$4:$C$1203,$B227,对接源_02物料!$D$4:$D$1203,"次果筐*",对接源_02物料!$L$4:$L$1203,"已收讫")+SUMIFS(对接源_02物料!$K$4:$K$1203,对接源_02物料!$C$4:$C$1203,$B227,对接源_02物料!$D$4:$D$1203,"次果筐*",对接源_02物料!$L$4:$L$1203,"已付款"),2))</f>
        <v/>
      </c>
      <c r="J227" s="61" t="str">
        <f aca="false">IF($B227="","",ROUND(N($H227)-N($I227),2))</f>
        <v/>
      </c>
      <c r="K227" s="59" t="str">
        <f aca="false">IF($B227="","",IF(ROUND(N($J227),2)&gt;0,"对方欠款",IF(ROUND(N($J227),2)&lt;0,"我方欠款","已两清")))</f>
        <v/>
      </c>
      <c r="L227" s="105"/>
    </row>
    <row r="228" customFormat="false" ht="13.5" hidden="false" customHeight="false" outlineLevel="0" collapsed="false">
      <c r="A228" s="59" t="str">
        <f aca="false">IF($B228="","",ROW()-3)</f>
        <v/>
      </c>
      <c r="B228" s="104" t="str">
        <f aca="false">IFERROR(INDEX(_自动清单!$E$4:$E$303,ROW()-3),"")</f>
        <v/>
      </c>
      <c r="C228" s="61" t="str">
        <f aca="false">IF($B228="","",ROUND(SUMIFS(对接源_01水果!$K$4:$K$1203,对接源_01水果!$C$4:$C$1203,$B228,对接源_01水果!$D$4:$D$1203,"成品出库*"),2))</f>
        <v/>
      </c>
      <c r="D228" s="61" t="str">
        <f aca="false">IF($B228="","",ROUND(SUMIFS(对接源_01水果!$K$4:$K$1203,对接源_01水果!$C$4:$C$1203,$B228,对接源_01水果!$D$4:$D$1203,"其他代存*"),2))</f>
        <v/>
      </c>
      <c r="E228" s="61" t="str">
        <f aca="false">IF($B228="","",ROUND(SUMIFS(对接源_02物料!$K$4:$K$1203,对接源_02物料!$C$4:$C$1203,$B228,对接源_02物料!$D$4:$D$1203,"包装物料*"),2))</f>
        <v/>
      </c>
      <c r="F228" s="61" t="str">
        <f aca="false">IF($B228="","",ROUND(SUMIFS(对接源_02物料!$K$4:$K$1203,对接源_02物料!$C$4:$C$1203,$B228,对接源_02物料!$D$4:$D$1203,"周转筐*"),2))</f>
        <v/>
      </c>
      <c r="G228" s="61" t="str">
        <f aca="false">IF($B228="","",ROUND(SUMIFS(对接源_02物料!$K$4:$K$1203,对接源_02物料!$C$4:$C$1203,$B228,对接源_02物料!$D$4:$D$1203,"次果筐*"),2))</f>
        <v/>
      </c>
      <c r="H228" s="61" t="str">
        <f aca="false">IF($B228="","",ROUND(SUM($C228:$G228),2))</f>
        <v/>
      </c>
      <c r="I228" s="61" t="str">
        <f aca="false">IF($B228="","",ROUND(SUMIFS(对接源_01水果!$K$4:$K$1203,对接源_01水果!$C$4:$C$1203,$B228,对接源_01水果!$D$4:$D$1203,"成品出库*",对接源_01水果!$L$4:$L$1203,"已收讫")+SUMIFS(对接源_01水果!$K$4:$K$1203,对接源_01水果!$C$4:$C$1203,$B228,对接源_01水果!$D$4:$D$1203,"成品出库*",对接源_01水果!$L$4:$L$1203,"已付款")+SUMIFS(对接源_01水果!$K$4:$K$1203,对接源_01水果!$C$4:$C$1203,$B228,对接源_01水果!$D$4:$D$1203,"其他代存*",对接源_01水果!$L$4:$L$1203,"已收讫")+SUMIFS(对接源_01水果!$K$4:$K$1203,对接源_01水果!$C$4:$C$1203,$B228,对接源_01水果!$D$4:$D$1203,"其他代存*",对接源_01水果!$L$4:$L$1203,"已付款")+SUMIFS(对接源_02物料!$K$4:$K$1203,对接源_02物料!$C$4:$C$1203,$B228,对接源_02物料!$D$4:$D$1203,"包装物料*",对接源_02物料!$L$4:$L$1203,"已收讫")+SUMIFS(对接源_02物料!$K$4:$K$1203,对接源_02物料!$C$4:$C$1203,$B228,对接源_02物料!$D$4:$D$1203,"包装物料*",对接源_02物料!$L$4:$L$1203,"已付款")+SUMIFS(对接源_02物料!$K$4:$K$1203,对接源_02物料!$C$4:$C$1203,$B228,对接源_02物料!$D$4:$D$1203,"周转筐*",对接源_02物料!$L$4:$L$1203,"已收讫")+SUMIFS(对接源_02物料!$K$4:$K$1203,对接源_02物料!$C$4:$C$1203,$B228,对接源_02物料!$D$4:$D$1203,"周转筐*",对接源_02物料!$L$4:$L$1203,"已付款")+SUMIFS(对接源_02物料!$K$4:$K$1203,对接源_02物料!$C$4:$C$1203,$B228,对接源_02物料!$D$4:$D$1203,"次果筐*",对接源_02物料!$L$4:$L$1203,"已收讫")+SUMIFS(对接源_02物料!$K$4:$K$1203,对接源_02物料!$C$4:$C$1203,$B228,对接源_02物料!$D$4:$D$1203,"次果筐*",对接源_02物料!$L$4:$L$1203,"已付款"),2))</f>
        <v/>
      </c>
      <c r="J228" s="61" t="str">
        <f aca="false">IF($B228="","",ROUND(N($H228)-N($I228),2))</f>
        <v/>
      </c>
      <c r="K228" s="59" t="str">
        <f aca="false">IF($B228="","",IF(ROUND(N($J228),2)&gt;0,"对方欠款",IF(ROUND(N($J228),2)&lt;0,"我方欠款","已两清")))</f>
        <v/>
      </c>
      <c r="L228" s="105"/>
    </row>
    <row r="229" customFormat="false" ht="13.5" hidden="false" customHeight="false" outlineLevel="0" collapsed="false">
      <c r="A229" s="59" t="str">
        <f aca="false">IF($B229="","",ROW()-3)</f>
        <v/>
      </c>
      <c r="B229" s="104" t="str">
        <f aca="false">IFERROR(INDEX(_自动清单!$E$4:$E$303,ROW()-3),"")</f>
        <v/>
      </c>
      <c r="C229" s="61" t="str">
        <f aca="false">IF($B229="","",ROUND(SUMIFS(对接源_01水果!$K$4:$K$1203,对接源_01水果!$C$4:$C$1203,$B229,对接源_01水果!$D$4:$D$1203,"成品出库*"),2))</f>
        <v/>
      </c>
      <c r="D229" s="61" t="str">
        <f aca="false">IF($B229="","",ROUND(SUMIFS(对接源_01水果!$K$4:$K$1203,对接源_01水果!$C$4:$C$1203,$B229,对接源_01水果!$D$4:$D$1203,"其他代存*"),2))</f>
        <v/>
      </c>
      <c r="E229" s="61" t="str">
        <f aca="false">IF($B229="","",ROUND(SUMIFS(对接源_02物料!$K$4:$K$1203,对接源_02物料!$C$4:$C$1203,$B229,对接源_02物料!$D$4:$D$1203,"包装物料*"),2))</f>
        <v/>
      </c>
      <c r="F229" s="61" t="str">
        <f aca="false">IF($B229="","",ROUND(SUMIFS(对接源_02物料!$K$4:$K$1203,对接源_02物料!$C$4:$C$1203,$B229,对接源_02物料!$D$4:$D$1203,"周转筐*"),2))</f>
        <v/>
      </c>
      <c r="G229" s="61" t="str">
        <f aca="false">IF($B229="","",ROUND(SUMIFS(对接源_02物料!$K$4:$K$1203,对接源_02物料!$C$4:$C$1203,$B229,对接源_02物料!$D$4:$D$1203,"次果筐*"),2))</f>
        <v/>
      </c>
      <c r="H229" s="61" t="str">
        <f aca="false">IF($B229="","",ROUND(SUM($C229:$G229),2))</f>
        <v/>
      </c>
      <c r="I229" s="61" t="str">
        <f aca="false">IF($B229="","",ROUND(SUMIFS(对接源_01水果!$K$4:$K$1203,对接源_01水果!$C$4:$C$1203,$B229,对接源_01水果!$D$4:$D$1203,"成品出库*",对接源_01水果!$L$4:$L$1203,"已收讫")+SUMIFS(对接源_01水果!$K$4:$K$1203,对接源_01水果!$C$4:$C$1203,$B229,对接源_01水果!$D$4:$D$1203,"成品出库*",对接源_01水果!$L$4:$L$1203,"已付款")+SUMIFS(对接源_01水果!$K$4:$K$1203,对接源_01水果!$C$4:$C$1203,$B229,对接源_01水果!$D$4:$D$1203,"其他代存*",对接源_01水果!$L$4:$L$1203,"已收讫")+SUMIFS(对接源_01水果!$K$4:$K$1203,对接源_01水果!$C$4:$C$1203,$B229,对接源_01水果!$D$4:$D$1203,"其他代存*",对接源_01水果!$L$4:$L$1203,"已付款")+SUMIFS(对接源_02物料!$K$4:$K$1203,对接源_02物料!$C$4:$C$1203,$B229,对接源_02物料!$D$4:$D$1203,"包装物料*",对接源_02物料!$L$4:$L$1203,"已收讫")+SUMIFS(对接源_02物料!$K$4:$K$1203,对接源_02物料!$C$4:$C$1203,$B229,对接源_02物料!$D$4:$D$1203,"包装物料*",对接源_02物料!$L$4:$L$1203,"已付款")+SUMIFS(对接源_02物料!$K$4:$K$1203,对接源_02物料!$C$4:$C$1203,$B229,对接源_02物料!$D$4:$D$1203,"周转筐*",对接源_02物料!$L$4:$L$1203,"已收讫")+SUMIFS(对接源_02物料!$K$4:$K$1203,对接源_02物料!$C$4:$C$1203,$B229,对接源_02物料!$D$4:$D$1203,"周转筐*",对接源_02物料!$L$4:$L$1203,"已付款")+SUMIFS(对接源_02物料!$K$4:$K$1203,对接源_02物料!$C$4:$C$1203,$B229,对接源_02物料!$D$4:$D$1203,"次果筐*",对接源_02物料!$L$4:$L$1203,"已收讫")+SUMIFS(对接源_02物料!$K$4:$K$1203,对接源_02物料!$C$4:$C$1203,$B229,对接源_02物料!$D$4:$D$1203,"次果筐*",对接源_02物料!$L$4:$L$1203,"已付款"),2))</f>
        <v/>
      </c>
      <c r="J229" s="61" t="str">
        <f aca="false">IF($B229="","",ROUND(N($H229)-N($I229),2))</f>
        <v/>
      </c>
      <c r="K229" s="59" t="str">
        <f aca="false">IF($B229="","",IF(ROUND(N($J229),2)&gt;0,"对方欠款",IF(ROUND(N($J229),2)&lt;0,"我方欠款","已两清")))</f>
        <v/>
      </c>
      <c r="L229" s="105"/>
    </row>
    <row r="230" customFormat="false" ht="13.5" hidden="false" customHeight="false" outlineLevel="0" collapsed="false">
      <c r="A230" s="59" t="str">
        <f aca="false">IF($B230="","",ROW()-3)</f>
        <v/>
      </c>
      <c r="B230" s="104" t="str">
        <f aca="false">IFERROR(INDEX(_自动清单!$E$4:$E$303,ROW()-3),"")</f>
        <v/>
      </c>
      <c r="C230" s="61" t="str">
        <f aca="false">IF($B230="","",ROUND(SUMIFS(对接源_01水果!$K$4:$K$1203,对接源_01水果!$C$4:$C$1203,$B230,对接源_01水果!$D$4:$D$1203,"成品出库*"),2))</f>
        <v/>
      </c>
      <c r="D230" s="61" t="str">
        <f aca="false">IF($B230="","",ROUND(SUMIFS(对接源_01水果!$K$4:$K$1203,对接源_01水果!$C$4:$C$1203,$B230,对接源_01水果!$D$4:$D$1203,"其他代存*"),2))</f>
        <v/>
      </c>
      <c r="E230" s="61" t="str">
        <f aca="false">IF($B230="","",ROUND(SUMIFS(对接源_02物料!$K$4:$K$1203,对接源_02物料!$C$4:$C$1203,$B230,对接源_02物料!$D$4:$D$1203,"包装物料*"),2))</f>
        <v/>
      </c>
      <c r="F230" s="61" t="str">
        <f aca="false">IF($B230="","",ROUND(SUMIFS(对接源_02物料!$K$4:$K$1203,对接源_02物料!$C$4:$C$1203,$B230,对接源_02物料!$D$4:$D$1203,"周转筐*"),2))</f>
        <v/>
      </c>
      <c r="G230" s="61" t="str">
        <f aca="false">IF($B230="","",ROUND(SUMIFS(对接源_02物料!$K$4:$K$1203,对接源_02物料!$C$4:$C$1203,$B230,对接源_02物料!$D$4:$D$1203,"次果筐*"),2))</f>
        <v/>
      </c>
      <c r="H230" s="61" t="str">
        <f aca="false">IF($B230="","",ROUND(SUM($C230:$G230),2))</f>
        <v/>
      </c>
      <c r="I230" s="61" t="str">
        <f aca="false">IF($B230="","",ROUND(SUMIFS(对接源_01水果!$K$4:$K$1203,对接源_01水果!$C$4:$C$1203,$B230,对接源_01水果!$D$4:$D$1203,"成品出库*",对接源_01水果!$L$4:$L$1203,"已收讫")+SUMIFS(对接源_01水果!$K$4:$K$1203,对接源_01水果!$C$4:$C$1203,$B230,对接源_01水果!$D$4:$D$1203,"成品出库*",对接源_01水果!$L$4:$L$1203,"已付款")+SUMIFS(对接源_01水果!$K$4:$K$1203,对接源_01水果!$C$4:$C$1203,$B230,对接源_01水果!$D$4:$D$1203,"其他代存*",对接源_01水果!$L$4:$L$1203,"已收讫")+SUMIFS(对接源_01水果!$K$4:$K$1203,对接源_01水果!$C$4:$C$1203,$B230,对接源_01水果!$D$4:$D$1203,"其他代存*",对接源_01水果!$L$4:$L$1203,"已付款")+SUMIFS(对接源_02物料!$K$4:$K$1203,对接源_02物料!$C$4:$C$1203,$B230,对接源_02物料!$D$4:$D$1203,"包装物料*",对接源_02物料!$L$4:$L$1203,"已收讫")+SUMIFS(对接源_02物料!$K$4:$K$1203,对接源_02物料!$C$4:$C$1203,$B230,对接源_02物料!$D$4:$D$1203,"包装物料*",对接源_02物料!$L$4:$L$1203,"已付款")+SUMIFS(对接源_02物料!$K$4:$K$1203,对接源_02物料!$C$4:$C$1203,$B230,对接源_02物料!$D$4:$D$1203,"周转筐*",对接源_02物料!$L$4:$L$1203,"已收讫")+SUMIFS(对接源_02物料!$K$4:$K$1203,对接源_02物料!$C$4:$C$1203,$B230,对接源_02物料!$D$4:$D$1203,"周转筐*",对接源_02物料!$L$4:$L$1203,"已付款")+SUMIFS(对接源_02物料!$K$4:$K$1203,对接源_02物料!$C$4:$C$1203,$B230,对接源_02物料!$D$4:$D$1203,"次果筐*",对接源_02物料!$L$4:$L$1203,"已收讫")+SUMIFS(对接源_02物料!$K$4:$K$1203,对接源_02物料!$C$4:$C$1203,$B230,对接源_02物料!$D$4:$D$1203,"次果筐*",对接源_02物料!$L$4:$L$1203,"已付款"),2))</f>
        <v/>
      </c>
      <c r="J230" s="61" t="str">
        <f aca="false">IF($B230="","",ROUND(N($H230)-N($I230),2))</f>
        <v/>
      </c>
      <c r="K230" s="59" t="str">
        <f aca="false">IF($B230="","",IF(ROUND(N($J230),2)&gt;0,"对方欠款",IF(ROUND(N($J230),2)&lt;0,"我方欠款","已两清")))</f>
        <v/>
      </c>
      <c r="L230" s="105"/>
    </row>
    <row r="231" customFormat="false" ht="13.5" hidden="false" customHeight="false" outlineLevel="0" collapsed="false">
      <c r="A231" s="59" t="str">
        <f aca="false">IF($B231="","",ROW()-3)</f>
        <v/>
      </c>
      <c r="B231" s="104" t="str">
        <f aca="false">IFERROR(INDEX(_自动清单!$E$4:$E$303,ROW()-3),"")</f>
        <v/>
      </c>
      <c r="C231" s="61" t="str">
        <f aca="false">IF($B231="","",ROUND(SUMIFS(对接源_01水果!$K$4:$K$1203,对接源_01水果!$C$4:$C$1203,$B231,对接源_01水果!$D$4:$D$1203,"成品出库*"),2))</f>
        <v/>
      </c>
      <c r="D231" s="61" t="str">
        <f aca="false">IF($B231="","",ROUND(SUMIFS(对接源_01水果!$K$4:$K$1203,对接源_01水果!$C$4:$C$1203,$B231,对接源_01水果!$D$4:$D$1203,"其他代存*"),2))</f>
        <v/>
      </c>
      <c r="E231" s="61" t="str">
        <f aca="false">IF($B231="","",ROUND(SUMIFS(对接源_02物料!$K$4:$K$1203,对接源_02物料!$C$4:$C$1203,$B231,对接源_02物料!$D$4:$D$1203,"包装物料*"),2))</f>
        <v/>
      </c>
      <c r="F231" s="61" t="str">
        <f aca="false">IF($B231="","",ROUND(SUMIFS(对接源_02物料!$K$4:$K$1203,对接源_02物料!$C$4:$C$1203,$B231,对接源_02物料!$D$4:$D$1203,"周转筐*"),2))</f>
        <v/>
      </c>
      <c r="G231" s="61" t="str">
        <f aca="false">IF($B231="","",ROUND(SUMIFS(对接源_02物料!$K$4:$K$1203,对接源_02物料!$C$4:$C$1203,$B231,对接源_02物料!$D$4:$D$1203,"次果筐*"),2))</f>
        <v/>
      </c>
      <c r="H231" s="61" t="str">
        <f aca="false">IF($B231="","",ROUND(SUM($C231:$G231),2))</f>
        <v/>
      </c>
      <c r="I231" s="61" t="str">
        <f aca="false">IF($B231="","",ROUND(SUMIFS(对接源_01水果!$K$4:$K$1203,对接源_01水果!$C$4:$C$1203,$B231,对接源_01水果!$D$4:$D$1203,"成品出库*",对接源_01水果!$L$4:$L$1203,"已收讫")+SUMIFS(对接源_01水果!$K$4:$K$1203,对接源_01水果!$C$4:$C$1203,$B231,对接源_01水果!$D$4:$D$1203,"成品出库*",对接源_01水果!$L$4:$L$1203,"已付款")+SUMIFS(对接源_01水果!$K$4:$K$1203,对接源_01水果!$C$4:$C$1203,$B231,对接源_01水果!$D$4:$D$1203,"其他代存*",对接源_01水果!$L$4:$L$1203,"已收讫")+SUMIFS(对接源_01水果!$K$4:$K$1203,对接源_01水果!$C$4:$C$1203,$B231,对接源_01水果!$D$4:$D$1203,"其他代存*",对接源_01水果!$L$4:$L$1203,"已付款")+SUMIFS(对接源_02物料!$K$4:$K$1203,对接源_02物料!$C$4:$C$1203,$B231,对接源_02物料!$D$4:$D$1203,"包装物料*",对接源_02物料!$L$4:$L$1203,"已收讫")+SUMIFS(对接源_02物料!$K$4:$K$1203,对接源_02物料!$C$4:$C$1203,$B231,对接源_02物料!$D$4:$D$1203,"包装物料*",对接源_02物料!$L$4:$L$1203,"已付款")+SUMIFS(对接源_02物料!$K$4:$K$1203,对接源_02物料!$C$4:$C$1203,$B231,对接源_02物料!$D$4:$D$1203,"周转筐*",对接源_02物料!$L$4:$L$1203,"已收讫")+SUMIFS(对接源_02物料!$K$4:$K$1203,对接源_02物料!$C$4:$C$1203,$B231,对接源_02物料!$D$4:$D$1203,"周转筐*",对接源_02物料!$L$4:$L$1203,"已付款")+SUMIFS(对接源_02物料!$K$4:$K$1203,对接源_02物料!$C$4:$C$1203,$B231,对接源_02物料!$D$4:$D$1203,"次果筐*",对接源_02物料!$L$4:$L$1203,"已收讫")+SUMIFS(对接源_02物料!$K$4:$K$1203,对接源_02物料!$C$4:$C$1203,$B231,对接源_02物料!$D$4:$D$1203,"次果筐*",对接源_02物料!$L$4:$L$1203,"已付款"),2))</f>
        <v/>
      </c>
      <c r="J231" s="61" t="str">
        <f aca="false">IF($B231="","",ROUND(N($H231)-N($I231),2))</f>
        <v/>
      </c>
      <c r="K231" s="59" t="str">
        <f aca="false">IF($B231="","",IF(ROUND(N($J231),2)&gt;0,"对方欠款",IF(ROUND(N($J231),2)&lt;0,"我方欠款","已两清")))</f>
        <v/>
      </c>
      <c r="L231" s="105"/>
    </row>
    <row r="232" customFormat="false" ht="13.5" hidden="false" customHeight="false" outlineLevel="0" collapsed="false">
      <c r="A232" s="59" t="str">
        <f aca="false">IF($B232="","",ROW()-3)</f>
        <v/>
      </c>
      <c r="B232" s="104" t="str">
        <f aca="false">IFERROR(INDEX(_自动清单!$E$4:$E$303,ROW()-3),"")</f>
        <v/>
      </c>
      <c r="C232" s="61" t="str">
        <f aca="false">IF($B232="","",ROUND(SUMIFS(对接源_01水果!$K$4:$K$1203,对接源_01水果!$C$4:$C$1203,$B232,对接源_01水果!$D$4:$D$1203,"成品出库*"),2))</f>
        <v/>
      </c>
      <c r="D232" s="61" t="str">
        <f aca="false">IF($B232="","",ROUND(SUMIFS(对接源_01水果!$K$4:$K$1203,对接源_01水果!$C$4:$C$1203,$B232,对接源_01水果!$D$4:$D$1203,"其他代存*"),2))</f>
        <v/>
      </c>
      <c r="E232" s="61" t="str">
        <f aca="false">IF($B232="","",ROUND(SUMIFS(对接源_02物料!$K$4:$K$1203,对接源_02物料!$C$4:$C$1203,$B232,对接源_02物料!$D$4:$D$1203,"包装物料*"),2))</f>
        <v/>
      </c>
      <c r="F232" s="61" t="str">
        <f aca="false">IF($B232="","",ROUND(SUMIFS(对接源_02物料!$K$4:$K$1203,对接源_02物料!$C$4:$C$1203,$B232,对接源_02物料!$D$4:$D$1203,"周转筐*"),2))</f>
        <v/>
      </c>
      <c r="G232" s="61" t="str">
        <f aca="false">IF($B232="","",ROUND(SUMIFS(对接源_02物料!$K$4:$K$1203,对接源_02物料!$C$4:$C$1203,$B232,对接源_02物料!$D$4:$D$1203,"次果筐*"),2))</f>
        <v/>
      </c>
      <c r="H232" s="61" t="str">
        <f aca="false">IF($B232="","",ROUND(SUM($C232:$G232),2))</f>
        <v/>
      </c>
      <c r="I232" s="61" t="str">
        <f aca="false">IF($B232="","",ROUND(SUMIFS(对接源_01水果!$K$4:$K$1203,对接源_01水果!$C$4:$C$1203,$B232,对接源_01水果!$D$4:$D$1203,"成品出库*",对接源_01水果!$L$4:$L$1203,"已收讫")+SUMIFS(对接源_01水果!$K$4:$K$1203,对接源_01水果!$C$4:$C$1203,$B232,对接源_01水果!$D$4:$D$1203,"成品出库*",对接源_01水果!$L$4:$L$1203,"已付款")+SUMIFS(对接源_01水果!$K$4:$K$1203,对接源_01水果!$C$4:$C$1203,$B232,对接源_01水果!$D$4:$D$1203,"其他代存*",对接源_01水果!$L$4:$L$1203,"已收讫")+SUMIFS(对接源_01水果!$K$4:$K$1203,对接源_01水果!$C$4:$C$1203,$B232,对接源_01水果!$D$4:$D$1203,"其他代存*",对接源_01水果!$L$4:$L$1203,"已付款")+SUMIFS(对接源_02物料!$K$4:$K$1203,对接源_02物料!$C$4:$C$1203,$B232,对接源_02物料!$D$4:$D$1203,"包装物料*",对接源_02物料!$L$4:$L$1203,"已收讫")+SUMIFS(对接源_02物料!$K$4:$K$1203,对接源_02物料!$C$4:$C$1203,$B232,对接源_02物料!$D$4:$D$1203,"包装物料*",对接源_02物料!$L$4:$L$1203,"已付款")+SUMIFS(对接源_02物料!$K$4:$K$1203,对接源_02物料!$C$4:$C$1203,$B232,对接源_02物料!$D$4:$D$1203,"周转筐*",对接源_02物料!$L$4:$L$1203,"已收讫")+SUMIFS(对接源_02物料!$K$4:$K$1203,对接源_02物料!$C$4:$C$1203,$B232,对接源_02物料!$D$4:$D$1203,"周转筐*",对接源_02物料!$L$4:$L$1203,"已付款")+SUMIFS(对接源_02物料!$K$4:$K$1203,对接源_02物料!$C$4:$C$1203,$B232,对接源_02物料!$D$4:$D$1203,"次果筐*",对接源_02物料!$L$4:$L$1203,"已收讫")+SUMIFS(对接源_02物料!$K$4:$K$1203,对接源_02物料!$C$4:$C$1203,$B232,对接源_02物料!$D$4:$D$1203,"次果筐*",对接源_02物料!$L$4:$L$1203,"已付款"),2))</f>
        <v/>
      </c>
      <c r="J232" s="61" t="str">
        <f aca="false">IF($B232="","",ROUND(N($H232)-N($I232),2))</f>
        <v/>
      </c>
      <c r="K232" s="59" t="str">
        <f aca="false">IF($B232="","",IF(ROUND(N($J232),2)&gt;0,"对方欠款",IF(ROUND(N($J232),2)&lt;0,"我方欠款","已两清")))</f>
        <v/>
      </c>
      <c r="L232" s="105"/>
    </row>
    <row r="233" customFormat="false" ht="13.5" hidden="false" customHeight="false" outlineLevel="0" collapsed="false">
      <c r="A233" s="59" t="str">
        <f aca="false">IF($B233="","",ROW()-3)</f>
        <v/>
      </c>
      <c r="B233" s="104" t="str">
        <f aca="false">IFERROR(INDEX(_自动清单!$E$4:$E$303,ROW()-3),"")</f>
        <v/>
      </c>
      <c r="C233" s="61" t="str">
        <f aca="false">IF($B233="","",ROUND(SUMIFS(对接源_01水果!$K$4:$K$1203,对接源_01水果!$C$4:$C$1203,$B233,对接源_01水果!$D$4:$D$1203,"成品出库*"),2))</f>
        <v/>
      </c>
      <c r="D233" s="61" t="str">
        <f aca="false">IF($B233="","",ROUND(SUMIFS(对接源_01水果!$K$4:$K$1203,对接源_01水果!$C$4:$C$1203,$B233,对接源_01水果!$D$4:$D$1203,"其他代存*"),2))</f>
        <v/>
      </c>
      <c r="E233" s="61" t="str">
        <f aca="false">IF($B233="","",ROUND(SUMIFS(对接源_02物料!$K$4:$K$1203,对接源_02物料!$C$4:$C$1203,$B233,对接源_02物料!$D$4:$D$1203,"包装物料*"),2))</f>
        <v/>
      </c>
      <c r="F233" s="61" t="str">
        <f aca="false">IF($B233="","",ROUND(SUMIFS(对接源_02物料!$K$4:$K$1203,对接源_02物料!$C$4:$C$1203,$B233,对接源_02物料!$D$4:$D$1203,"周转筐*"),2))</f>
        <v/>
      </c>
      <c r="G233" s="61" t="str">
        <f aca="false">IF($B233="","",ROUND(SUMIFS(对接源_02物料!$K$4:$K$1203,对接源_02物料!$C$4:$C$1203,$B233,对接源_02物料!$D$4:$D$1203,"次果筐*"),2))</f>
        <v/>
      </c>
      <c r="H233" s="61" t="str">
        <f aca="false">IF($B233="","",ROUND(SUM($C233:$G233),2))</f>
        <v/>
      </c>
      <c r="I233" s="61" t="str">
        <f aca="false">IF($B233="","",ROUND(SUMIFS(对接源_01水果!$K$4:$K$1203,对接源_01水果!$C$4:$C$1203,$B233,对接源_01水果!$D$4:$D$1203,"成品出库*",对接源_01水果!$L$4:$L$1203,"已收讫")+SUMIFS(对接源_01水果!$K$4:$K$1203,对接源_01水果!$C$4:$C$1203,$B233,对接源_01水果!$D$4:$D$1203,"成品出库*",对接源_01水果!$L$4:$L$1203,"已付款")+SUMIFS(对接源_01水果!$K$4:$K$1203,对接源_01水果!$C$4:$C$1203,$B233,对接源_01水果!$D$4:$D$1203,"其他代存*",对接源_01水果!$L$4:$L$1203,"已收讫")+SUMIFS(对接源_01水果!$K$4:$K$1203,对接源_01水果!$C$4:$C$1203,$B233,对接源_01水果!$D$4:$D$1203,"其他代存*",对接源_01水果!$L$4:$L$1203,"已付款")+SUMIFS(对接源_02物料!$K$4:$K$1203,对接源_02物料!$C$4:$C$1203,$B233,对接源_02物料!$D$4:$D$1203,"包装物料*",对接源_02物料!$L$4:$L$1203,"已收讫")+SUMIFS(对接源_02物料!$K$4:$K$1203,对接源_02物料!$C$4:$C$1203,$B233,对接源_02物料!$D$4:$D$1203,"包装物料*",对接源_02物料!$L$4:$L$1203,"已付款")+SUMIFS(对接源_02物料!$K$4:$K$1203,对接源_02物料!$C$4:$C$1203,$B233,对接源_02物料!$D$4:$D$1203,"周转筐*",对接源_02物料!$L$4:$L$1203,"已收讫")+SUMIFS(对接源_02物料!$K$4:$K$1203,对接源_02物料!$C$4:$C$1203,$B233,对接源_02物料!$D$4:$D$1203,"周转筐*",对接源_02物料!$L$4:$L$1203,"已付款")+SUMIFS(对接源_02物料!$K$4:$K$1203,对接源_02物料!$C$4:$C$1203,$B233,对接源_02物料!$D$4:$D$1203,"次果筐*",对接源_02物料!$L$4:$L$1203,"已收讫")+SUMIFS(对接源_02物料!$K$4:$K$1203,对接源_02物料!$C$4:$C$1203,$B233,对接源_02物料!$D$4:$D$1203,"次果筐*",对接源_02物料!$L$4:$L$1203,"已付款"),2))</f>
        <v/>
      </c>
      <c r="J233" s="61" t="str">
        <f aca="false">IF($B233="","",ROUND(N($H233)-N($I233),2))</f>
        <v/>
      </c>
      <c r="K233" s="59" t="str">
        <f aca="false">IF($B233="","",IF(ROUND(N($J233),2)&gt;0,"对方欠款",IF(ROUND(N($J233),2)&lt;0,"我方欠款","已两清")))</f>
        <v/>
      </c>
      <c r="L233" s="105"/>
    </row>
    <row r="234" customFormat="false" ht="13.5" hidden="false" customHeight="false" outlineLevel="0" collapsed="false">
      <c r="A234" s="59" t="str">
        <f aca="false">IF($B234="","",ROW()-3)</f>
        <v/>
      </c>
      <c r="B234" s="104" t="str">
        <f aca="false">IFERROR(INDEX(_自动清单!$E$4:$E$303,ROW()-3),"")</f>
        <v/>
      </c>
      <c r="C234" s="61" t="str">
        <f aca="false">IF($B234="","",ROUND(SUMIFS(对接源_01水果!$K$4:$K$1203,对接源_01水果!$C$4:$C$1203,$B234,对接源_01水果!$D$4:$D$1203,"成品出库*"),2))</f>
        <v/>
      </c>
      <c r="D234" s="61" t="str">
        <f aca="false">IF($B234="","",ROUND(SUMIFS(对接源_01水果!$K$4:$K$1203,对接源_01水果!$C$4:$C$1203,$B234,对接源_01水果!$D$4:$D$1203,"其他代存*"),2))</f>
        <v/>
      </c>
      <c r="E234" s="61" t="str">
        <f aca="false">IF($B234="","",ROUND(SUMIFS(对接源_02物料!$K$4:$K$1203,对接源_02物料!$C$4:$C$1203,$B234,对接源_02物料!$D$4:$D$1203,"包装物料*"),2))</f>
        <v/>
      </c>
      <c r="F234" s="61" t="str">
        <f aca="false">IF($B234="","",ROUND(SUMIFS(对接源_02物料!$K$4:$K$1203,对接源_02物料!$C$4:$C$1203,$B234,对接源_02物料!$D$4:$D$1203,"周转筐*"),2))</f>
        <v/>
      </c>
      <c r="G234" s="61" t="str">
        <f aca="false">IF($B234="","",ROUND(SUMIFS(对接源_02物料!$K$4:$K$1203,对接源_02物料!$C$4:$C$1203,$B234,对接源_02物料!$D$4:$D$1203,"次果筐*"),2))</f>
        <v/>
      </c>
      <c r="H234" s="61" t="str">
        <f aca="false">IF($B234="","",ROUND(SUM($C234:$G234),2))</f>
        <v/>
      </c>
      <c r="I234" s="61" t="str">
        <f aca="false">IF($B234="","",ROUND(SUMIFS(对接源_01水果!$K$4:$K$1203,对接源_01水果!$C$4:$C$1203,$B234,对接源_01水果!$D$4:$D$1203,"成品出库*",对接源_01水果!$L$4:$L$1203,"已收讫")+SUMIFS(对接源_01水果!$K$4:$K$1203,对接源_01水果!$C$4:$C$1203,$B234,对接源_01水果!$D$4:$D$1203,"成品出库*",对接源_01水果!$L$4:$L$1203,"已付款")+SUMIFS(对接源_01水果!$K$4:$K$1203,对接源_01水果!$C$4:$C$1203,$B234,对接源_01水果!$D$4:$D$1203,"其他代存*",对接源_01水果!$L$4:$L$1203,"已收讫")+SUMIFS(对接源_01水果!$K$4:$K$1203,对接源_01水果!$C$4:$C$1203,$B234,对接源_01水果!$D$4:$D$1203,"其他代存*",对接源_01水果!$L$4:$L$1203,"已付款")+SUMIFS(对接源_02物料!$K$4:$K$1203,对接源_02物料!$C$4:$C$1203,$B234,对接源_02物料!$D$4:$D$1203,"包装物料*",对接源_02物料!$L$4:$L$1203,"已收讫")+SUMIFS(对接源_02物料!$K$4:$K$1203,对接源_02物料!$C$4:$C$1203,$B234,对接源_02物料!$D$4:$D$1203,"包装物料*",对接源_02物料!$L$4:$L$1203,"已付款")+SUMIFS(对接源_02物料!$K$4:$K$1203,对接源_02物料!$C$4:$C$1203,$B234,对接源_02物料!$D$4:$D$1203,"周转筐*",对接源_02物料!$L$4:$L$1203,"已收讫")+SUMIFS(对接源_02物料!$K$4:$K$1203,对接源_02物料!$C$4:$C$1203,$B234,对接源_02物料!$D$4:$D$1203,"周转筐*",对接源_02物料!$L$4:$L$1203,"已付款")+SUMIFS(对接源_02物料!$K$4:$K$1203,对接源_02物料!$C$4:$C$1203,$B234,对接源_02物料!$D$4:$D$1203,"次果筐*",对接源_02物料!$L$4:$L$1203,"已收讫")+SUMIFS(对接源_02物料!$K$4:$K$1203,对接源_02物料!$C$4:$C$1203,$B234,对接源_02物料!$D$4:$D$1203,"次果筐*",对接源_02物料!$L$4:$L$1203,"已付款"),2))</f>
        <v/>
      </c>
      <c r="J234" s="61" t="str">
        <f aca="false">IF($B234="","",ROUND(N($H234)-N($I234),2))</f>
        <v/>
      </c>
      <c r="K234" s="59" t="str">
        <f aca="false">IF($B234="","",IF(ROUND(N($J234),2)&gt;0,"对方欠款",IF(ROUND(N($J234),2)&lt;0,"我方欠款","已两清")))</f>
        <v/>
      </c>
      <c r="L234" s="105"/>
    </row>
    <row r="235" customFormat="false" ht="13.5" hidden="false" customHeight="false" outlineLevel="0" collapsed="false">
      <c r="A235" s="59" t="str">
        <f aca="false">IF($B235="","",ROW()-3)</f>
        <v/>
      </c>
      <c r="B235" s="104" t="str">
        <f aca="false">IFERROR(INDEX(_自动清单!$E$4:$E$303,ROW()-3),"")</f>
        <v/>
      </c>
      <c r="C235" s="61" t="str">
        <f aca="false">IF($B235="","",ROUND(SUMIFS(对接源_01水果!$K$4:$K$1203,对接源_01水果!$C$4:$C$1203,$B235,对接源_01水果!$D$4:$D$1203,"成品出库*"),2))</f>
        <v/>
      </c>
      <c r="D235" s="61" t="str">
        <f aca="false">IF($B235="","",ROUND(SUMIFS(对接源_01水果!$K$4:$K$1203,对接源_01水果!$C$4:$C$1203,$B235,对接源_01水果!$D$4:$D$1203,"其他代存*"),2))</f>
        <v/>
      </c>
      <c r="E235" s="61" t="str">
        <f aca="false">IF($B235="","",ROUND(SUMIFS(对接源_02物料!$K$4:$K$1203,对接源_02物料!$C$4:$C$1203,$B235,对接源_02物料!$D$4:$D$1203,"包装物料*"),2))</f>
        <v/>
      </c>
      <c r="F235" s="61" t="str">
        <f aca="false">IF($B235="","",ROUND(SUMIFS(对接源_02物料!$K$4:$K$1203,对接源_02物料!$C$4:$C$1203,$B235,对接源_02物料!$D$4:$D$1203,"周转筐*"),2))</f>
        <v/>
      </c>
      <c r="G235" s="61" t="str">
        <f aca="false">IF($B235="","",ROUND(SUMIFS(对接源_02物料!$K$4:$K$1203,对接源_02物料!$C$4:$C$1203,$B235,对接源_02物料!$D$4:$D$1203,"次果筐*"),2))</f>
        <v/>
      </c>
      <c r="H235" s="61" t="str">
        <f aca="false">IF($B235="","",ROUND(SUM($C235:$G235),2))</f>
        <v/>
      </c>
      <c r="I235" s="61" t="str">
        <f aca="false">IF($B235="","",ROUND(SUMIFS(对接源_01水果!$K$4:$K$1203,对接源_01水果!$C$4:$C$1203,$B235,对接源_01水果!$D$4:$D$1203,"成品出库*",对接源_01水果!$L$4:$L$1203,"已收讫")+SUMIFS(对接源_01水果!$K$4:$K$1203,对接源_01水果!$C$4:$C$1203,$B235,对接源_01水果!$D$4:$D$1203,"成品出库*",对接源_01水果!$L$4:$L$1203,"已付款")+SUMIFS(对接源_01水果!$K$4:$K$1203,对接源_01水果!$C$4:$C$1203,$B235,对接源_01水果!$D$4:$D$1203,"其他代存*",对接源_01水果!$L$4:$L$1203,"已收讫")+SUMIFS(对接源_01水果!$K$4:$K$1203,对接源_01水果!$C$4:$C$1203,$B235,对接源_01水果!$D$4:$D$1203,"其他代存*",对接源_01水果!$L$4:$L$1203,"已付款")+SUMIFS(对接源_02物料!$K$4:$K$1203,对接源_02物料!$C$4:$C$1203,$B235,对接源_02物料!$D$4:$D$1203,"包装物料*",对接源_02物料!$L$4:$L$1203,"已收讫")+SUMIFS(对接源_02物料!$K$4:$K$1203,对接源_02物料!$C$4:$C$1203,$B235,对接源_02物料!$D$4:$D$1203,"包装物料*",对接源_02物料!$L$4:$L$1203,"已付款")+SUMIFS(对接源_02物料!$K$4:$K$1203,对接源_02物料!$C$4:$C$1203,$B235,对接源_02物料!$D$4:$D$1203,"周转筐*",对接源_02物料!$L$4:$L$1203,"已收讫")+SUMIFS(对接源_02物料!$K$4:$K$1203,对接源_02物料!$C$4:$C$1203,$B235,对接源_02物料!$D$4:$D$1203,"周转筐*",对接源_02物料!$L$4:$L$1203,"已付款")+SUMIFS(对接源_02物料!$K$4:$K$1203,对接源_02物料!$C$4:$C$1203,$B235,对接源_02物料!$D$4:$D$1203,"次果筐*",对接源_02物料!$L$4:$L$1203,"已收讫")+SUMIFS(对接源_02物料!$K$4:$K$1203,对接源_02物料!$C$4:$C$1203,$B235,对接源_02物料!$D$4:$D$1203,"次果筐*",对接源_02物料!$L$4:$L$1203,"已付款"),2))</f>
        <v/>
      </c>
      <c r="J235" s="61" t="str">
        <f aca="false">IF($B235="","",ROUND(N($H235)-N($I235),2))</f>
        <v/>
      </c>
      <c r="K235" s="59" t="str">
        <f aca="false">IF($B235="","",IF(ROUND(N($J235),2)&gt;0,"对方欠款",IF(ROUND(N($J235),2)&lt;0,"我方欠款","已两清")))</f>
        <v/>
      </c>
      <c r="L235" s="105"/>
    </row>
    <row r="236" customFormat="false" ht="13.5" hidden="false" customHeight="false" outlineLevel="0" collapsed="false">
      <c r="A236" s="59" t="str">
        <f aca="false">IF($B236="","",ROW()-3)</f>
        <v/>
      </c>
      <c r="B236" s="104" t="str">
        <f aca="false">IFERROR(INDEX(_自动清单!$E$4:$E$303,ROW()-3),"")</f>
        <v/>
      </c>
      <c r="C236" s="61" t="str">
        <f aca="false">IF($B236="","",ROUND(SUMIFS(对接源_01水果!$K$4:$K$1203,对接源_01水果!$C$4:$C$1203,$B236,对接源_01水果!$D$4:$D$1203,"成品出库*"),2))</f>
        <v/>
      </c>
      <c r="D236" s="61" t="str">
        <f aca="false">IF($B236="","",ROUND(SUMIFS(对接源_01水果!$K$4:$K$1203,对接源_01水果!$C$4:$C$1203,$B236,对接源_01水果!$D$4:$D$1203,"其他代存*"),2))</f>
        <v/>
      </c>
      <c r="E236" s="61" t="str">
        <f aca="false">IF($B236="","",ROUND(SUMIFS(对接源_02物料!$K$4:$K$1203,对接源_02物料!$C$4:$C$1203,$B236,对接源_02物料!$D$4:$D$1203,"包装物料*"),2))</f>
        <v/>
      </c>
      <c r="F236" s="61" t="str">
        <f aca="false">IF($B236="","",ROUND(SUMIFS(对接源_02物料!$K$4:$K$1203,对接源_02物料!$C$4:$C$1203,$B236,对接源_02物料!$D$4:$D$1203,"周转筐*"),2))</f>
        <v/>
      </c>
      <c r="G236" s="61" t="str">
        <f aca="false">IF($B236="","",ROUND(SUMIFS(对接源_02物料!$K$4:$K$1203,对接源_02物料!$C$4:$C$1203,$B236,对接源_02物料!$D$4:$D$1203,"次果筐*"),2))</f>
        <v/>
      </c>
      <c r="H236" s="61" t="str">
        <f aca="false">IF($B236="","",ROUND(SUM($C236:$G236),2))</f>
        <v/>
      </c>
      <c r="I236" s="61" t="str">
        <f aca="false">IF($B236="","",ROUND(SUMIFS(对接源_01水果!$K$4:$K$1203,对接源_01水果!$C$4:$C$1203,$B236,对接源_01水果!$D$4:$D$1203,"成品出库*",对接源_01水果!$L$4:$L$1203,"已收讫")+SUMIFS(对接源_01水果!$K$4:$K$1203,对接源_01水果!$C$4:$C$1203,$B236,对接源_01水果!$D$4:$D$1203,"成品出库*",对接源_01水果!$L$4:$L$1203,"已付款")+SUMIFS(对接源_01水果!$K$4:$K$1203,对接源_01水果!$C$4:$C$1203,$B236,对接源_01水果!$D$4:$D$1203,"其他代存*",对接源_01水果!$L$4:$L$1203,"已收讫")+SUMIFS(对接源_01水果!$K$4:$K$1203,对接源_01水果!$C$4:$C$1203,$B236,对接源_01水果!$D$4:$D$1203,"其他代存*",对接源_01水果!$L$4:$L$1203,"已付款")+SUMIFS(对接源_02物料!$K$4:$K$1203,对接源_02物料!$C$4:$C$1203,$B236,对接源_02物料!$D$4:$D$1203,"包装物料*",对接源_02物料!$L$4:$L$1203,"已收讫")+SUMIFS(对接源_02物料!$K$4:$K$1203,对接源_02物料!$C$4:$C$1203,$B236,对接源_02物料!$D$4:$D$1203,"包装物料*",对接源_02物料!$L$4:$L$1203,"已付款")+SUMIFS(对接源_02物料!$K$4:$K$1203,对接源_02物料!$C$4:$C$1203,$B236,对接源_02物料!$D$4:$D$1203,"周转筐*",对接源_02物料!$L$4:$L$1203,"已收讫")+SUMIFS(对接源_02物料!$K$4:$K$1203,对接源_02物料!$C$4:$C$1203,$B236,对接源_02物料!$D$4:$D$1203,"周转筐*",对接源_02物料!$L$4:$L$1203,"已付款")+SUMIFS(对接源_02物料!$K$4:$K$1203,对接源_02物料!$C$4:$C$1203,$B236,对接源_02物料!$D$4:$D$1203,"次果筐*",对接源_02物料!$L$4:$L$1203,"已收讫")+SUMIFS(对接源_02物料!$K$4:$K$1203,对接源_02物料!$C$4:$C$1203,$B236,对接源_02物料!$D$4:$D$1203,"次果筐*",对接源_02物料!$L$4:$L$1203,"已付款"),2))</f>
        <v/>
      </c>
      <c r="J236" s="61" t="str">
        <f aca="false">IF($B236="","",ROUND(N($H236)-N($I236),2))</f>
        <v/>
      </c>
      <c r="K236" s="59" t="str">
        <f aca="false">IF($B236="","",IF(ROUND(N($J236),2)&gt;0,"对方欠款",IF(ROUND(N($J236),2)&lt;0,"我方欠款","已两清")))</f>
        <v/>
      </c>
      <c r="L236" s="105"/>
    </row>
    <row r="237" customFormat="false" ht="13.5" hidden="false" customHeight="false" outlineLevel="0" collapsed="false">
      <c r="A237" s="59" t="str">
        <f aca="false">IF($B237="","",ROW()-3)</f>
        <v/>
      </c>
      <c r="B237" s="104" t="str">
        <f aca="false">IFERROR(INDEX(_自动清单!$E$4:$E$303,ROW()-3),"")</f>
        <v/>
      </c>
      <c r="C237" s="61" t="str">
        <f aca="false">IF($B237="","",ROUND(SUMIFS(对接源_01水果!$K$4:$K$1203,对接源_01水果!$C$4:$C$1203,$B237,对接源_01水果!$D$4:$D$1203,"成品出库*"),2))</f>
        <v/>
      </c>
      <c r="D237" s="61" t="str">
        <f aca="false">IF($B237="","",ROUND(SUMIFS(对接源_01水果!$K$4:$K$1203,对接源_01水果!$C$4:$C$1203,$B237,对接源_01水果!$D$4:$D$1203,"其他代存*"),2))</f>
        <v/>
      </c>
      <c r="E237" s="61" t="str">
        <f aca="false">IF($B237="","",ROUND(SUMIFS(对接源_02物料!$K$4:$K$1203,对接源_02物料!$C$4:$C$1203,$B237,对接源_02物料!$D$4:$D$1203,"包装物料*"),2))</f>
        <v/>
      </c>
      <c r="F237" s="61" t="str">
        <f aca="false">IF($B237="","",ROUND(SUMIFS(对接源_02物料!$K$4:$K$1203,对接源_02物料!$C$4:$C$1203,$B237,对接源_02物料!$D$4:$D$1203,"周转筐*"),2))</f>
        <v/>
      </c>
      <c r="G237" s="61" t="str">
        <f aca="false">IF($B237="","",ROUND(SUMIFS(对接源_02物料!$K$4:$K$1203,对接源_02物料!$C$4:$C$1203,$B237,对接源_02物料!$D$4:$D$1203,"次果筐*"),2))</f>
        <v/>
      </c>
      <c r="H237" s="61" t="str">
        <f aca="false">IF($B237="","",ROUND(SUM($C237:$G237),2))</f>
        <v/>
      </c>
      <c r="I237" s="61" t="str">
        <f aca="false">IF($B237="","",ROUND(SUMIFS(对接源_01水果!$K$4:$K$1203,对接源_01水果!$C$4:$C$1203,$B237,对接源_01水果!$D$4:$D$1203,"成品出库*",对接源_01水果!$L$4:$L$1203,"已收讫")+SUMIFS(对接源_01水果!$K$4:$K$1203,对接源_01水果!$C$4:$C$1203,$B237,对接源_01水果!$D$4:$D$1203,"成品出库*",对接源_01水果!$L$4:$L$1203,"已付款")+SUMIFS(对接源_01水果!$K$4:$K$1203,对接源_01水果!$C$4:$C$1203,$B237,对接源_01水果!$D$4:$D$1203,"其他代存*",对接源_01水果!$L$4:$L$1203,"已收讫")+SUMIFS(对接源_01水果!$K$4:$K$1203,对接源_01水果!$C$4:$C$1203,$B237,对接源_01水果!$D$4:$D$1203,"其他代存*",对接源_01水果!$L$4:$L$1203,"已付款")+SUMIFS(对接源_02物料!$K$4:$K$1203,对接源_02物料!$C$4:$C$1203,$B237,对接源_02物料!$D$4:$D$1203,"包装物料*",对接源_02物料!$L$4:$L$1203,"已收讫")+SUMIFS(对接源_02物料!$K$4:$K$1203,对接源_02物料!$C$4:$C$1203,$B237,对接源_02物料!$D$4:$D$1203,"包装物料*",对接源_02物料!$L$4:$L$1203,"已付款")+SUMIFS(对接源_02物料!$K$4:$K$1203,对接源_02物料!$C$4:$C$1203,$B237,对接源_02物料!$D$4:$D$1203,"周转筐*",对接源_02物料!$L$4:$L$1203,"已收讫")+SUMIFS(对接源_02物料!$K$4:$K$1203,对接源_02物料!$C$4:$C$1203,$B237,对接源_02物料!$D$4:$D$1203,"周转筐*",对接源_02物料!$L$4:$L$1203,"已付款")+SUMIFS(对接源_02物料!$K$4:$K$1203,对接源_02物料!$C$4:$C$1203,$B237,对接源_02物料!$D$4:$D$1203,"次果筐*",对接源_02物料!$L$4:$L$1203,"已收讫")+SUMIFS(对接源_02物料!$K$4:$K$1203,对接源_02物料!$C$4:$C$1203,$B237,对接源_02物料!$D$4:$D$1203,"次果筐*",对接源_02物料!$L$4:$L$1203,"已付款"),2))</f>
        <v/>
      </c>
      <c r="J237" s="61" t="str">
        <f aca="false">IF($B237="","",ROUND(N($H237)-N($I237),2))</f>
        <v/>
      </c>
      <c r="K237" s="59" t="str">
        <f aca="false">IF($B237="","",IF(ROUND(N($J237),2)&gt;0,"对方欠款",IF(ROUND(N($J237),2)&lt;0,"我方欠款","已两清")))</f>
        <v/>
      </c>
      <c r="L237" s="105"/>
    </row>
    <row r="238" customFormat="false" ht="13.5" hidden="false" customHeight="false" outlineLevel="0" collapsed="false">
      <c r="A238" s="59" t="str">
        <f aca="false">IF($B238="","",ROW()-3)</f>
        <v/>
      </c>
      <c r="B238" s="104" t="str">
        <f aca="false">IFERROR(INDEX(_自动清单!$E$4:$E$303,ROW()-3),"")</f>
        <v/>
      </c>
      <c r="C238" s="61" t="str">
        <f aca="false">IF($B238="","",ROUND(SUMIFS(对接源_01水果!$K$4:$K$1203,对接源_01水果!$C$4:$C$1203,$B238,对接源_01水果!$D$4:$D$1203,"成品出库*"),2))</f>
        <v/>
      </c>
      <c r="D238" s="61" t="str">
        <f aca="false">IF($B238="","",ROUND(SUMIFS(对接源_01水果!$K$4:$K$1203,对接源_01水果!$C$4:$C$1203,$B238,对接源_01水果!$D$4:$D$1203,"其他代存*"),2))</f>
        <v/>
      </c>
      <c r="E238" s="61" t="str">
        <f aca="false">IF($B238="","",ROUND(SUMIFS(对接源_02物料!$K$4:$K$1203,对接源_02物料!$C$4:$C$1203,$B238,对接源_02物料!$D$4:$D$1203,"包装物料*"),2))</f>
        <v/>
      </c>
      <c r="F238" s="61" t="str">
        <f aca="false">IF($B238="","",ROUND(SUMIFS(对接源_02物料!$K$4:$K$1203,对接源_02物料!$C$4:$C$1203,$B238,对接源_02物料!$D$4:$D$1203,"周转筐*"),2))</f>
        <v/>
      </c>
      <c r="G238" s="61" t="str">
        <f aca="false">IF($B238="","",ROUND(SUMIFS(对接源_02物料!$K$4:$K$1203,对接源_02物料!$C$4:$C$1203,$B238,对接源_02物料!$D$4:$D$1203,"次果筐*"),2))</f>
        <v/>
      </c>
      <c r="H238" s="61" t="str">
        <f aca="false">IF($B238="","",ROUND(SUM($C238:$G238),2))</f>
        <v/>
      </c>
      <c r="I238" s="61" t="str">
        <f aca="false">IF($B238="","",ROUND(SUMIFS(对接源_01水果!$K$4:$K$1203,对接源_01水果!$C$4:$C$1203,$B238,对接源_01水果!$D$4:$D$1203,"成品出库*",对接源_01水果!$L$4:$L$1203,"已收讫")+SUMIFS(对接源_01水果!$K$4:$K$1203,对接源_01水果!$C$4:$C$1203,$B238,对接源_01水果!$D$4:$D$1203,"成品出库*",对接源_01水果!$L$4:$L$1203,"已付款")+SUMIFS(对接源_01水果!$K$4:$K$1203,对接源_01水果!$C$4:$C$1203,$B238,对接源_01水果!$D$4:$D$1203,"其他代存*",对接源_01水果!$L$4:$L$1203,"已收讫")+SUMIFS(对接源_01水果!$K$4:$K$1203,对接源_01水果!$C$4:$C$1203,$B238,对接源_01水果!$D$4:$D$1203,"其他代存*",对接源_01水果!$L$4:$L$1203,"已付款")+SUMIFS(对接源_02物料!$K$4:$K$1203,对接源_02物料!$C$4:$C$1203,$B238,对接源_02物料!$D$4:$D$1203,"包装物料*",对接源_02物料!$L$4:$L$1203,"已收讫")+SUMIFS(对接源_02物料!$K$4:$K$1203,对接源_02物料!$C$4:$C$1203,$B238,对接源_02物料!$D$4:$D$1203,"包装物料*",对接源_02物料!$L$4:$L$1203,"已付款")+SUMIFS(对接源_02物料!$K$4:$K$1203,对接源_02物料!$C$4:$C$1203,$B238,对接源_02物料!$D$4:$D$1203,"周转筐*",对接源_02物料!$L$4:$L$1203,"已收讫")+SUMIFS(对接源_02物料!$K$4:$K$1203,对接源_02物料!$C$4:$C$1203,$B238,对接源_02物料!$D$4:$D$1203,"周转筐*",对接源_02物料!$L$4:$L$1203,"已付款")+SUMIFS(对接源_02物料!$K$4:$K$1203,对接源_02物料!$C$4:$C$1203,$B238,对接源_02物料!$D$4:$D$1203,"次果筐*",对接源_02物料!$L$4:$L$1203,"已收讫")+SUMIFS(对接源_02物料!$K$4:$K$1203,对接源_02物料!$C$4:$C$1203,$B238,对接源_02物料!$D$4:$D$1203,"次果筐*",对接源_02物料!$L$4:$L$1203,"已付款"),2))</f>
        <v/>
      </c>
      <c r="J238" s="61" t="str">
        <f aca="false">IF($B238="","",ROUND(N($H238)-N($I238),2))</f>
        <v/>
      </c>
      <c r="K238" s="59" t="str">
        <f aca="false">IF($B238="","",IF(ROUND(N($J238),2)&gt;0,"对方欠款",IF(ROUND(N($J238),2)&lt;0,"我方欠款","已两清")))</f>
        <v/>
      </c>
      <c r="L238" s="105"/>
    </row>
    <row r="239" customFormat="false" ht="13.5" hidden="false" customHeight="false" outlineLevel="0" collapsed="false">
      <c r="A239" s="59" t="str">
        <f aca="false">IF($B239="","",ROW()-3)</f>
        <v/>
      </c>
      <c r="B239" s="104" t="str">
        <f aca="false">IFERROR(INDEX(_自动清单!$E$4:$E$303,ROW()-3),"")</f>
        <v/>
      </c>
      <c r="C239" s="61" t="str">
        <f aca="false">IF($B239="","",ROUND(SUMIFS(对接源_01水果!$K$4:$K$1203,对接源_01水果!$C$4:$C$1203,$B239,对接源_01水果!$D$4:$D$1203,"成品出库*"),2))</f>
        <v/>
      </c>
      <c r="D239" s="61" t="str">
        <f aca="false">IF($B239="","",ROUND(SUMIFS(对接源_01水果!$K$4:$K$1203,对接源_01水果!$C$4:$C$1203,$B239,对接源_01水果!$D$4:$D$1203,"其他代存*"),2))</f>
        <v/>
      </c>
      <c r="E239" s="61" t="str">
        <f aca="false">IF($B239="","",ROUND(SUMIFS(对接源_02物料!$K$4:$K$1203,对接源_02物料!$C$4:$C$1203,$B239,对接源_02物料!$D$4:$D$1203,"包装物料*"),2))</f>
        <v/>
      </c>
      <c r="F239" s="61" t="str">
        <f aca="false">IF($B239="","",ROUND(SUMIFS(对接源_02物料!$K$4:$K$1203,对接源_02物料!$C$4:$C$1203,$B239,对接源_02物料!$D$4:$D$1203,"周转筐*"),2))</f>
        <v/>
      </c>
      <c r="G239" s="61" t="str">
        <f aca="false">IF($B239="","",ROUND(SUMIFS(对接源_02物料!$K$4:$K$1203,对接源_02物料!$C$4:$C$1203,$B239,对接源_02物料!$D$4:$D$1203,"次果筐*"),2))</f>
        <v/>
      </c>
      <c r="H239" s="61" t="str">
        <f aca="false">IF($B239="","",ROUND(SUM($C239:$G239),2))</f>
        <v/>
      </c>
      <c r="I239" s="61" t="str">
        <f aca="false">IF($B239="","",ROUND(SUMIFS(对接源_01水果!$K$4:$K$1203,对接源_01水果!$C$4:$C$1203,$B239,对接源_01水果!$D$4:$D$1203,"成品出库*",对接源_01水果!$L$4:$L$1203,"已收讫")+SUMIFS(对接源_01水果!$K$4:$K$1203,对接源_01水果!$C$4:$C$1203,$B239,对接源_01水果!$D$4:$D$1203,"成品出库*",对接源_01水果!$L$4:$L$1203,"已付款")+SUMIFS(对接源_01水果!$K$4:$K$1203,对接源_01水果!$C$4:$C$1203,$B239,对接源_01水果!$D$4:$D$1203,"其他代存*",对接源_01水果!$L$4:$L$1203,"已收讫")+SUMIFS(对接源_01水果!$K$4:$K$1203,对接源_01水果!$C$4:$C$1203,$B239,对接源_01水果!$D$4:$D$1203,"其他代存*",对接源_01水果!$L$4:$L$1203,"已付款")+SUMIFS(对接源_02物料!$K$4:$K$1203,对接源_02物料!$C$4:$C$1203,$B239,对接源_02物料!$D$4:$D$1203,"包装物料*",对接源_02物料!$L$4:$L$1203,"已收讫")+SUMIFS(对接源_02物料!$K$4:$K$1203,对接源_02物料!$C$4:$C$1203,$B239,对接源_02物料!$D$4:$D$1203,"包装物料*",对接源_02物料!$L$4:$L$1203,"已付款")+SUMIFS(对接源_02物料!$K$4:$K$1203,对接源_02物料!$C$4:$C$1203,$B239,对接源_02物料!$D$4:$D$1203,"周转筐*",对接源_02物料!$L$4:$L$1203,"已收讫")+SUMIFS(对接源_02物料!$K$4:$K$1203,对接源_02物料!$C$4:$C$1203,$B239,对接源_02物料!$D$4:$D$1203,"周转筐*",对接源_02物料!$L$4:$L$1203,"已付款")+SUMIFS(对接源_02物料!$K$4:$K$1203,对接源_02物料!$C$4:$C$1203,$B239,对接源_02物料!$D$4:$D$1203,"次果筐*",对接源_02物料!$L$4:$L$1203,"已收讫")+SUMIFS(对接源_02物料!$K$4:$K$1203,对接源_02物料!$C$4:$C$1203,$B239,对接源_02物料!$D$4:$D$1203,"次果筐*",对接源_02物料!$L$4:$L$1203,"已付款"),2))</f>
        <v/>
      </c>
      <c r="J239" s="61" t="str">
        <f aca="false">IF($B239="","",ROUND(N($H239)-N($I239),2))</f>
        <v/>
      </c>
      <c r="K239" s="59" t="str">
        <f aca="false">IF($B239="","",IF(ROUND(N($J239),2)&gt;0,"对方欠款",IF(ROUND(N($J239),2)&lt;0,"我方欠款","已两清")))</f>
        <v/>
      </c>
      <c r="L239" s="105"/>
    </row>
    <row r="240" customFormat="false" ht="13.5" hidden="false" customHeight="false" outlineLevel="0" collapsed="false">
      <c r="A240" s="59" t="str">
        <f aca="false">IF($B240="","",ROW()-3)</f>
        <v/>
      </c>
      <c r="B240" s="104" t="str">
        <f aca="false">IFERROR(INDEX(_自动清单!$E$4:$E$303,ROW()-3),"")</f>
        <v/>
      </c>
      <c r="C240" s="61" t="str">
        <f aca="false">IF($B240="","",ROUND(SUMIFS(对接源_01水果!$K$4:$K$1203,对接源_01水果!$C$4:$C$1203,$B240,对接源_01水果!$D$4:$D$1203,"成品出库*"),2))</f>
        <v/>
      </c>
      <c r="D240" s="61" t="str">
        <f aca="false">IF($B240="","",ROUND(SUMIFS(对接源_01水果!$K$4:$K$1203,对接源_01水果!$C$4:$C$1203,$B240,对接源_01水果!$D$4:$D$1203,"其他代存*"),2))</f>
        <v/>
      </c>
      <c r="E240" s="61" t="str">
        <f aca="false">IF($B240="","",ROUND(SUMIFS(对接源_02物料!$K$4:$K$1203,对接源_02物料!$C$4:$C$1203,$B240,对接源_02物料!$D$4:$D$1203,"包装物料*"),2))</f>
        <v/>
      </c>
      <c r="F240" s="61" t="str">
        <f aca="false">IF($B240="","",ROUND(SUMIFS(对接源_02物料!$K$4:$K$1203,对接源_02物料!$C$4:$C$1203,$B240,对接源_02物料!$D$4:$D$1203,"周转筐*"),2))</f>
        <v/>
      </c>
      <c r="G240" s="61" t="str">
        <f aca="false">IF($B240="","",ROUND(SUMIFS(对接源_02物料!$K$4:$K$1203,对接源_02物料!$C$4:$C$1203,$B240,对接源_02物料!$D$4:$D$1203,"次果筐*"),2))</f>
        <v/>
      </c>
      <c r="H240" s="61" t="str">
        <f aca="false">IF($B240="","",ROUND(SUM($C240:$G240),2))</f>
        <v/>
      </c>
      <c r="I240" s="61" t="str">
        <f aca="false">IF($B240="","",ROUND(SUMIFS(对接源_01水果!$K$4:$K$1203,对接源_01水果!$C$4:$C$1203,$B240,对接源_01水果!$D$4:$D$1203,"成品出库*",对接源_01水果!$L$4:$L$1203,"已收讫")+SUMIFS(对接源_01水果!$K$4:$K$1203,对接源_01水果!$C$4:$C$1203,$B240,对接源_01水果!$D$4:$D$1203,"成品出库*",对接源_01水果!$L$4:$L$1203,"已付款")+SUMIFS(对接源_01水果!$K$4:$K$1203,对接源_01水果!$C$4:$C$1203,$B240,对接源_01水果!$D$4:$D$1203,"其他代存*",对接源_01水果!$L$4:$L$1203,"已收讫")+SUMIFS(对接源_01水果!$K$4:$K$1203,对接源_01水果!$C$4:$C$1203,$B240,对接源_01水果!$D$4:$D$1203,"其他代存*",对接源_01水果!$L$4:$L$1203,"已付款")+SUMIFS(对接源_02物料!$K$4:$K$1203,对接源_02物料!$C$4:$C$1203,$B240,对接源_02物料!$D$4:$D$1203,"包装物料*",对接源_02物料!$L$4:$L$1203,"已收讫")+SUMIFS(对接源_02物料!$K$4:$K$1203,对接源_02物料!$C$4:$C$1203,$B240,对接源_02物料!$D$4:$D$1203,"包装物料*",对接源_02物料!$L$4:$L$1203,"已付款")+SUMIFS(对接源_02物料!$K$4:$K$1203,对接源_02物料!$C$4:$C$1203,$B240,对接源_02物料!$D$4:$D$1203,"周转筐*",对接源_02物料!$L$4:$L$1203,"已收讫")+SUMIFS(对接源_02物料!$K$4:$K$1203,对接源_02物料!$C$4:$C$1203,$B240,对接源_02物料!$D$4:$D$1203,"周转筐*",对接源_02物料!$L$4:$L$1203,"已付款")+SUMIFS(对接源_02物料!$K$4:$K$1203,对接源_02物料!$C$4:$C$1203,$B240,对接源_02物料!$D$4:$D$1203,"次果筐*",对接源_02物料!$L$4:$L$1203,"已收讫")+SUMIFS(对接源_02物料!$K$4:$K$1203,对接源_02物料!$C$4:$C$1203,$B240,对接源_02物料!$D$4:$D$1203,"次果筐*",对接源_02物料!$L$4:$L$1203,"已付款"),2))</f>
        <v/>
      </c>
      <c r="J240" s="61" t="str">
        <f aca="false">IF($B240="","",ROUND(N($H240)-N($I240),2))</f>
        <v/>
      </c>
      <c r="K240" s="59" t="str">
        <f aca="false">IF($B240="","",IF(ROUND(N($J240),2)&gt;0,"对方欠款",IF(ROUND(N($J240),2)&lt;0,"我方欠款","已两清")))</f>
        <v/>
      </c>
      <c r="L240" s="105"/>
    </row>
    <row r="241" customFormat="false" ht="13.5" hidden="false" customHeight="false" outlineLevel="0" collapsed="false">
      <c r="A241" s="59" t="str">
        <f aca="false">IF($B241="","",ROW()-3)</f>
        <v/>
      </c>
      <c r="B241" s="104" t="str">
        <f aca="false">IFERROR(INDEX(_自动清单!$E$4:$E$303,ROW()-3),"")</f>
        <v/>
      </c>
      <c r="C241" s="61" t="str">
        <f aca="false">IF($B241="","",ROUND(SUMIFS(对接源_01水果!$K$4:$K$1203,对接源_01水果!$C$4:$C$1203,$B241,对接源_01水果!$D$4:$D$1203,"成品出库*"),2))</f>
        <v/>
      </c>
      <c r="D241" s="61" t="str">
        <f aca="false">IF($B241="","",ROUND(SUMIFS(对接源_01水果!$K$4:$K$1203,对接源_01水果!$C$4:$C$1203,$B241,对接源_01水果!$D$4:$D$1203,"其他代存*"),2))</f>
        <v/>
      </c>
      <c r="E241" s="61" t="str">
        <f aca="false">IF($B241="","",ROUND(SUMIFS(对接源_02物料!$K$4:$K$1203,对接源_02物料!$C$4:$C$1203,$B241,对接源_02物料!$D$4:$D$1203,"包装物料*"),2))</f>
        <v/>
      </c>
      <c r="F241" s="61" t="str">
        <f aca="false">IF($B241="","",ROUND(SUMIFS(对接源_02物料!$K$4:$K$1203,对接源_02物料!$C$4:$C$1203,$B241,对接源_02物料!$D$4:$D$1203,"周转筐*"),2))</f>
        <v/>
      </c>
      <c r="G241" s="61" t="str">
        <f aca="false">IF($B241="","",ROUND(SUMIFS(对接源_02物料!$K$4:$K$1203,对接源_02物料!$C$4:$C$1203,$B241,对接源_02物料!$D$4:$D$1203,"次果筐*"),2))</f>
        <v/>
      </c>
      <c r="H241" s="61" t="str">
        <f aca="false">IF($B241="","",ROUND(SUM($C241:$G241),2))</f>
        <v/>
      </c>
      <c r="I241" s="61" t="str">
        <f aca="false">IF($B241="","",ROUND(SUMIFS(对接源_01水果!$K$4:$K$1203,对接源_01水果!$C$4:$C$1203,$B241,对接源_01水果!$D$4:$D$1203,"成品出库*",对接源_01水果!$L$4:$L$1203,"已收讫")+SUMIFS(对接源_01水果!$K$4:$K$1203,对接源_01水果!$C$4:$C$1203,$B241,对接源_01水果!$D$4:$D$1203,"成品出库*",对接源_01水果!$L$4:$L$1203,"已付款")+SUMIFS(对接源_01水果!$K$4:$K$1203,对接源_01水果!$C$4:$C$1203,$B241,对接源_01水果!$D$4:$D$1203,"其他代存*",对接源_01水果!$L$4:$L$1203,"已收讫")+SUMIFS(对接源_01水果!$K$4:$K$1203,对接源_01水果!$C$4:$C$1203,$B241,对接源_01水果!$D$4:$D$1203,"其他代存*",对接源_01水果!$L$4:$L$1203,"已付款")+SUMIFS(对接源_02物料!$K$4:$K$1203,对接源_02物料!$C$4:$C$1203,$B241,对接源_02物料!$D$4:$D$1203,"包装物料*",对接源_02物料!$L$4:$L$1203,"已收讫")+SUMIFS(对接源_02物料!$K$4:$K$1203,对接源_02物料!$C$4:$C$1203,$B241,对接源_02物料!$D$4:$D$1203,"包装物料*",对接源_02物料!$L$4:$L$1203,"已付款")+SUMIFS(对接源_02物料!$K$4:$K$1203,对接源_02物料!$C$4:$C$1203,$B241,对接源_02物料!$D$4:$D$1203,"周转筐*",对接源_02物料!$L$4:$L$1203,"已收讫")+SUMIFS(对接源_02物料!$K$4:$K$1203,对接源_02物料!$C$4:$C$1203,$B241,对接源_02物料!$D$4:$D$1203,"周转筐*",对接源_02物料!$L$4:$L$1203,"已付款")+SUMIFS(对接源_02物料!$K$4:$K$1203,对接源_02物料!$C$4:$C$1203,$B241,对接源_02物料!$D$4:$D$1203,"次果筐*",对接源_02物料!$L$4:$L$1203,"已收讫")+SUMIFS(对接源_02物料!$K$4:$K$1203,对接源_02物料!$C$4:$C$1203,$B241,对接源_02物料!$D$4:$D$1203,"次果筐*",对接源_02物料!$L$4:$L$1203,"已付款"),2))</f>
        <v/>
      </c>
      <c r="J241" s="61" t="str">
        <f aca="false">IF($B241="","",ROUND(N($H241)-N($I241),2))</f>
        <v/>
      </c>
      <c r="K241" s="59" t="str">
        <f aca="false">IF($B241="","",IF(ROUND(N($J241),2)&gt;0,"对方欠款",IF(ROUND(N($J241),2)&lt;0,"我方欠款","已两清")))</f>
        <v/>
      </c>
      <c r="L241" s="105"/>
    </row>
    <row r="242" customFormat="false" ht="13.5" hidden="false" customHeight="false" outlineLevel="0" collapsed="false">
      <c r="A242" s="59" t="str">
        <f aca="false">IF($B242="","",ROW()-3)</f>
        <v/>
      </c>
      <c r="B242" s="104" t="str">
        <f aca="false">IFERROR(INDEX(_自动清单!$E$4:$E$303,ROW()-3),"")</f>
        <v/>
      </c>
      <c r="C242" s="61" t="str">
        <f aca="false">IF($B242="","",ROUND(SUMIFS(对接源_01水果!$K$4:$K$1203,对接源_01水果!$C$4:$C$1203,$B242,对接源_01水果!$D$4:$D$1203,"成品出库*"),2))</f>
        <v/>
      </c>
      <c r="D242" s="61" t="str">
        <f aca="false">IF($B242="","",ROUND(SUMIFS(对接源_01水果!$K$4:$K$1203,对接源_01水果!$C$4:$C$1203,$B242,对接源_01水果!$D$4:$D$1203,"其他代存*"),2))</f>
        <v/>
      </c>
      <c r="E242" s="61" t="str">
        <f aca="false">IF($B242="","",ROUND(SUMIFS(对接源_02物料!$K$4:$K$1203,对接源_02物料!$C$4:$C$1203,$B242,对接源_02物料!$D$4:$D$1203,"包装物料*"),2))</f>
        <v/>
      </c>
      <c r="F242" s="61" t="str">
        <f aca="false">IF($B242="","",ROUND(SUMIFS(对接源_02物料!$K$4:$K$1203,对接源_02物料!$C$4:$C$1203,$B242,对接源_02物料!$D$4:$D$1203,"周转筐*"),2))</f>
        <v/>
      </c>
      <c r="G242" s="61" t="str">
        <f aca="false">IF($B242="","",ROUND(SUMIFS(对接源_02物料!$K$4:$K$1203,对接源_02物料!$C$4:$C$1203,$B242,对接源_02物料!$D$4:$D$1203,"次果筐*"),2))</f>
        <v/>
      </c>
      <c r="H242" s="61" t="str">
        <f aca="false">IF($B242="","",ROUND(SUM($C242:$G242),2))</f>
        <v/>
      </c>
      <c r="I242" s="61" t="str">
        <f aca="false">IF($B242="","",ROUND(SUMIFS(对接源_01水果!$K$4:$K$1203,对接源_01水果!$C$4:$C$1203,$B242,对接源_01水果!$D$4:$D$1203,"成品出库*",对接源_01水果!$L$4:$L$1203,"已收讫")+SUMIFS(对接源_01水果!$K$4:$K$1203,对接源_01水果!$C$4:$C$1203,$B242,对接源_01水果!$D$4:$D$1203,"成品出库*",对接源_01水果!$L$4:$L$1203,"已付款")+SUMIFS(对接源_01水果!$K$4:$K$1203,对接源_01水果!$C$4:$C$1203,$B242,对接源_01水果!$D$4:$D$1203,"其他代存*",对接源_01水果!$L$4:$L$1203,"已收讫")+SUMIFS(对接源_01水果!$K$4:$K$1203,对接源_01水果!$C$4:$C$1203,$B242,对接源_01水果!$D$4:$D$1203,"其他代存*",对接源_01水果!$L$4:$L$1203,"已付款")+SUMIFS(对接源_02物料!$K$4:$K$1203,对接源_02物料!$C$4:$C$1203,$B242,对接源_02物料!$D$4:$D$1203,"包装物料*",对接源_02物料!$L$4:$L$1203,"已收讫")+SUMIFS(对接源_02物料!$K$4:$K$1203,对接源_02物料!$C$4:$C$1203,$B242,对接源_02物料!$D$4:$D$1203,"包装物料*",对接源_02物料!$L$4:$L$1203,"已付款")+SUMIFS(对接源_02物料!$K$4:$K$1203,对接源_02物料!$C$4:$C$1203,$B242,对接源_02物料!$D$4:$D$1203,"周转筐*",对接源_02物料!$L$4:$L$1203,"已收讫")+SUMIFS(对接源_02物料!$K$4:$K$1203,对接源_02物料!$C$4:$C$1203,$B242,对接源_02物料!$D$4:$D$1203,"周转筐*",对接源_02物料!$L$4:$L$1203,"已付款")+SUMIFS(对接源_02物料!$K$4:$K$1203,对接源_02物料!$C$4:$C$1203,$B242,对接源_02物料!$D$4:$D$1203,"次果筐*",对接源_02物料!$L$4:$L$1203,"已收讫")+SUMIFS(对接源_02物料!$K$4:$K$1203,对接源_02物料!$C$4:$C$1203,$B242,对接源_02物料!$D$4:$D$1203,"次果筐*",对接源_02物料!$L$4:$L$1203,"已付款"),2))</f>
        <v/>
      </c>
      <c r="J242" s="61" t="str">
        <f aca="false">IF($B242="","",ROUND(N($H242)-N($I242),2))</f>
        <v/>
      </c>
      <c r="K242" s="59" t="str">
        <f aca="false">IF($B242="","",IF(ROUND(N($J242),2)&gt;0,"对方欠款",IF(ROUND(N($J242),2)&lt;0,"我方欠款","已两清")))</f>
        <v/>
      </c>
      <c r="L242" s="105"/>
    </row>
    <row r="243" customFormat="false" ht="13.5" hidden="false" customHeight="false" outlineLevel="0" collapsed="false">
      <c r="A243" s="59" t="str">
        <f aca="false">IF($B243="","",ROW()-3)</f>
        <v/>
      </c>
      <c r="B243" s="104" t="str">
        <f aca="false">IFERROR(INDEX(_自动清单!$E$4:$E$303,ROW()-3),"")</f>
        <v/>
      </c>
      <c r="C243" s="61" t="str">
        <f aca="false">IF($B243="","",ROUND(SUMIFS(对接源_01水果!$K$4:$K$1203,对接源_01水果!$C$4:$C$1203,$B243,对接源_01水果!$D$4:$D$1203,"成品出库*"),2))</f>
        <v/>
      </c>
      <c r="D243" s="61" t="str">
        <f aca="false">IF($B243="","",ROUND(SUMIFS(对接源_01水果!$K$4:$K$1203,对接源_01水果!$C$4:$C$1203,$B243,对接源_01水果!$D$4:$D$1203,"其他代存*"),2))</f>
        <v/>
      </c>
      <c r="E243" s="61" t="str">
        <f aca="false">IF($B243="","",ROUND(SUMIFS(对接源_02物料!$K$4:$K$1203,对接源_02物料!$C$4:$C$1203,$B243,对接源_02物料!$D$4:$D$1203,"包装物料*"),2))</f>
        <v/>
      </c>
      <c r="F243" s="61" t="str">
        <f aca="false">IF($B243="","",ROUND(SUMIFS(对接源_02物料!$K$4:$K$1203,对接源_02物料!$C$4:$C$1203,$B243,对接源_02物料!$D$4:$D$1203,"周转筐*"),2))</f>
        <v/>
      </c>
      <c r="G243" s="61" t="str">
        <f aca="false">IF($B243="","",ROUND(SUMIFS(对接源_02物料!$K$4:$K$1203,对接源_02物料!$C$4:$C$1203,$B243,对接源_02物料!$D$4:$D$1203,"次果筐*"),2))</f>
        <v/>
      </c>
      <c r="H243" s="61" t="str">
        <f aca="false">IF($B243="","",ROUND(SUM($C243:$G243),2))</f>
        <v/>
      </c>
      <c r="I243" s="61" t="str">
        <f aca="false">IF($B243="","",ROUND(SUMIFS(对接源_01水果!$K$4:$K$1203,对接源_01水果!$C$4:$C$1203,$B243,对接源_01水果!$D$4:$D$1203,"成品出库*",对接源_01水果!$L$4:$L$1203,"已收讫")+SUMIFS(对接源_01水果!$K$4:$K$1203,对接源_01水果!$C$4:$C$1203,$B243,对接源_01水果!$D$4:$D$1203,"成品出库*",对接源_01水果!$L$4:$L$1203,"已付款")+SUMIFS(对接源_01水果!$K$4:$K$1203,对接源_01水果!$C$4:$C$1203,$B243,对接源_01水果!$D$4:$D$1203,"其他代存*",对接源_01水果!$L$4:$L$1203,"已收讫")+SUMIFS(对接源_01水果!$K$4:$K$1203,对接源_01水果!$C$4:$C$1203,$B243,对接源_01水果!$D$4:$D$1203,"其他代存*",对接源_01水果!$L$4:$L$1203,"已付款")+SUMIFS(对接源_02物料!$K$4:$K$1203,对接源_02物料!$C$4:$C$1203,$B243,对接源_02物料!$D$4:$D$1203,"包装物料*",对接源_02物料!$L$4:$L$1203,"已收讫")+SUMIFS(对接源_02物料!$K$4:$K$1203,对接源_02物料!$C$4:$C$1203,$B243,对接源_02物料!$D$4:$D$1203,"包装物料*",对接源_02物料!$L$4:$L$1203,"已付款")+SUMIFS(对接源_02物料!$K$4:$K$1203,对接源_02物料!$C$4:$C$1203,$B243,对接源_02物料!$D$4:$D$1203,"周转筐*",对接源_02物料!$L$4:$L$1203,"已收讫")+SUMIFS(对接源_02物料!$K$4:$K$1203,对接源_02物料!$C$4:$C$1203,$B243,对接源_02物料!$D$4:$D$1203,"周转筐*",对接源_02物料!$L$4:$L$1203,"已付款")+SUMIFS(对接源_02物料!$K$4:$K$1203,对接源_02物料!$C$4:$C$1203,$B243,对接源_02物料!$D$4:$D$1203,"次果筐*",对接源_02物料!$L$4:$L$1203,"已收讫")+SUMIFS(对接源_02物料!$K$4:$K$1203,对接源_02物料!$C$4:$C$1203,$B243,对接源_02物料!$D$4:$D$1203,"次果筐*",对接源_02物料!$L$4:$L$1203,"已付款"),2))</f>
        <v/>
      </c>
      <c r="J243" s="61" t="str">
        <f aca="false">IF($B243="","",ROUND(N($H243)-N($I243),2))</f>
        <v/>
      </c>
      <c r="K243" s="59" t="str">
        <f aca="false">IF($B243="","",IF(ROUND(N($J243),2)&gt;0,"对方欠款",IF(ROUND(N($J243),2)&lt;0,"我方欠款","已两清")))</f>
        <v/>
      </c>
      <c r="L243" s="105"/>
    </row>
    <row r="244" customFormat="false" ht="13.5" hidden="false" customHeight="false" outlineLevel="0" collapsed="false">
      <c r="A244" s="59" t="str">
        <f aca="false">IF($B244="","",ROW()-3)</f>
        <v/>
      </c>
      <c r="B244" s="104" t="str">
        <f aca="false">IFERROR(INDEX(_自动清单!$E$4:$E$303,ROW()-3),"")</f>
        <v/>
      </c>
      <c r="C244" s="61" t="str">
        <f aca="false">IF($B244="","",ROUND(SUMIFS(对接源_01水果!$K$4:$K$1203,对接源_01水果!$C$4:$C$1203,$B244,对接源_01水果!$D$4:$D$1203,"成品出库*"),2))</f>
        <v/>
      </c>
      <c r="D244" s="61" t="str">
        <f aca="false">IF($B244="","",ROUND(SUMIFS(对接源_01水果!$K$4:$K$1203,对接源_01水果!$C$4:$C$1203,$B244,对接源_01水果!$D$4:$D$1203,"其他代存*"),2))</f>
        <v/>
      </c>
      <c r="E244" s="61" t="str">
        <f aca="false">IF($B244="","",ROUND(SUMIFS(对接源_02物料!$K$4:$K$1203,对接源_02物料!$C$4:$C$1203,$B244,对接源_02物料!$D$4:$D$1203,"包装物料*"),2))</f>
        <v/>
      </c>
      <c r="F244" s="61" t="str">
        <f aca="false">IF($B244="","",ROUND(SUMIFS(对接源_02物料!$K$4:$K$1203,对接源_02物料!$C$4:$C$1203,$B244,对接源_02物料!$D$4:$D$1203,"周转筐*"),2))</f>
        <v/>
      </c>
      <c r="G244" s="61" t="str">
        <f aca="false">IF($B244="","",ROUND(SUMIFS(对接源_02物料!$K$4:$K$1203,对接源_02物料!$C$4:$C$1203,$B244,对接源_02物料!$D$4:$D$1203,"次果筐*"),2))</f>
        <v/>
      </c>
      <c r="H244" s="61" t="str">
        <f aca="false">IF($B244="","",ROUND(SUM($C244:$G244),2))</f>
        <v/>
      </c>
      <c r="I244" s="61" t="str">
        <f aca="false">IF($B244="","",ROUND(SUMIFS(对接源_01水果!$K$4:$K$1203,对接源_01水果!$C$4:$C$1203,$B244,对接源_01水果!$D$4:$D$1203,"成品出库*",对接源_01水果!$L$4:$L$1203,"已收讫")+SUMIFS(对接源_01水果!$K$4:$K$1203,对接源_01水果!$C$4:$C$1203,$B244,对接源_01水果!$D$4:$D$1203,"成品出库*",对接源_01水果!$L$4:$L$1203,"已付款")+SUMIFS(对接源_01水果!$K$4:$K$1203,对接源_01水果!$C$4:$C$1203,$B244,对接源_01水果!$D$4:$D$1203,"其他代存*",对接源_01水果!$L$4:$L$1203,"已收讫")+SUMIFS(对接源_01水果!$K$4:$K$1203,对接源_01水果!$C$4:$C$1203,$B244,对接源_01水果!$D$4:$D$1203,"其他代存*",对接源_01水果!$L$4:$L$1203,"已付款")+SUMIFS(对接源_02物料!$K$4:$K$1203,对接源_02物料!$C$4:$C$1203,$B244,对接源_02物料!$D$4:$D$1203,"包装物料*",对接源_02物料!$L$4:$L$1203,"已收讫")+SUMIFS(对接源_02物料!$K$4:$K$1203,对接源_02物料!$C$4:$C$1203,$B244,对接源_02物料!$D$4:$D$1203,"包装物料*",对接源_02物料!$L$4:$L$1203,"已付款")+SUMIFS(对接源_02物料!$K$4:$K$1203,对接源_02物料!$C$4:$C$1203,$B244,对接源_02物料!$D$4:$D$1203,"周转筐*",对接源_02物料!$L$4:$L$1203,"已收讫")+SUMIFS(对接源_02物料!$K$4:$K$1203,对接源_02物料!$C$4:$C$1203,$B244,对接源_02物料!$D$4:$D$1203,"周转筐*",对接源_02物料!$L$4:$L$1203,"已付款")+SUMIFS(对接源_02物料!$K$4:$K$1203,对接源_02物料!$C$4:$C$1203,$B244,对接源_02物料!$D$4:$D$1203,"次果筐*",对接源_02物料!$L$4:$L$1203,"已收讫")+SUMIFS(对接源_02物料!$K$4:$K$1203,对接源_02物料!$C$4:$C$1203,$B244,对接源_02物料!$D$4:$D$1203,"次果筐*",对接源_02物料!$L$4:$L$1203,"已付款"),2))</f>
        <v/>
      </c>
      <c r="J244" s="61" t="str">
        <f aca="false">IF($B244="","",ROUND(N($H244)-N($I244),2))</f>
        <v/>
      </c>
      <c r="K244" s="59" t="str">
        <f aca="false">IF($B244="","",IF(ROUND(N($J244),2)&gt;0,"对方欠款",IF(ROUND(N($J244),2)&lt;0,"我方欠款","已两清")))</f>
        <v/>
      </c>
      <c r="L244" s="105"/>
    </row>
    <row r="245" customFormat="false" ht="13.5" hidden="false" customHeight="false" outlineLevel="0" collapsed="false">
      <c r="A245" s="59" t="str">
        <f aca="false">IF($B245="","",ROW()-3)</f>
        <v/>
      </c>
      <c r="B245" s="104" t="str">
        <f aca="false">IFERROR(INDEX(_自动清单!$E$4:$E$303,ROW()-3),"")</f>
        <v/>
      </c>
      <c r="C245" s="61" t="str">
        <f aca="false">IF($B245="","",ROUND(SUMIFS(对接源_01水果!$K$4:$K$1203,对接源_01水果!$C$4:$C$1203,$B245,对接源_01水果!$D$4:$D$1203,"成品出库*"),2))</f>
        <v/>
      </c>
      <c r="D245" s="61" t="str">
        <f aca="false">IF($B245="","",ROUND(SUMIFS(对接源_01水果!$K$4:$K$1203,对接源_01水果!$C$4:$C$1203,$B245,对接源_01水果!$D$4:$D$1203,"其他代存*"),2))</f>
        <v/>
      </c>
      <c r="E245" s="61" t="str">
        <f aca="false">IF($B245="","",ROUND(SUMIFS(对接源_02物料!$K$4:$K$1203,对接源_02物料!$C$4:$C$1203,$B245,对接源_02物料!$D$4:$D$1203,"包装物料*"),2))</f>
        <v/>
      </c>
      <c r="F245" s="61" t="str">
        <f aca="false">IF($B245="","",ROUND(SUMIFS(对接源_02物料!$K$4:$K$1203,对接源_02物料!$C$4:$C$1203,$B245,对接源_02物料!$D$4:$D$1203,"周转筐*"),2))</f>
        <v/>
      </c>
      <c r="G245" s="61" t="str">
        <f aca="false">IF($B245="","",ROUND(SUMIFS(对接源_02物料!$K$4:$K$1203,对接源_02物料!$C$4:$C$1203,$B245,对接源_02物料!$D$4:$D$1203,"次果筐*"),2))</f>
        <v/>
      </c>
      <c r="H245" s="61" t="str">
        <f aca="false">IF($B245="","",ROUND(SUM($C245:$G245),2))</f>
        <v/>
      </c>
      <c r="I245" s="61" t="str">
        <f aca="false">IF($B245="","",ROUND(SUMIFS(对接源_01水果!$K$4:$K$1203,对接源_01水果!$C$4:$C$1203,$B245,对接源_01水果!$D$4:$D$1203,"成品出库*",对接源_01水果!$L$4:$L$1203,"已收讫")+SUMIFS(对接源_01水果!$K$4:$K$1203,对接源_01水果!$C$4:$C$1203,$B245,对接源_01水果!$D$4:$D$1203,"成品出库*",对接源_01水果!$L$4:$L$1203,"已付款")+SUMIFS(对接源_01水果!$K$4:$K$1203,对接源_01水果!$C$4:$C$1203,$B245,对接源_01水果!$D$4:$D$1203,"其他代存*",对接源_01水果!$L$4:$L$1203,"已收讫")+SUMIFS(对接源_01水果!$K$4:$K$1203,对接源_01水果!$C$4:$C$1203,$B245,对接源_01水果!$D$4:$D$1203,"其他代存*",对接源_01水果!$L$4:$L$1203,"已付款")+SUMIFS(对接源_02物料!$K$4:$K$1203,对接源_02物料!$C$4:$C$1203,$B245,对接源_02物料!$D$4:$D$1203,"包装物料*",对接源_02物料!$L$4:$L$1203,"已收讫")+SUMIFS(对接源_02物料!$K$4:$K$1203,对接源_02物料!$C$4:$C$1203,$B245,对接源_02物料!$D$4:$D$1203,"包装物料*",对接源_02物料!$L$4:$L$1203,"已付款")+SUMIFS(对接源_02物料!$K$4:$K$1203,对接源_02物料!$C$4:$C$1203,$B245,对接源_02物料!$D$4:$D$1203,"周转筐*",对接源_02物料!$L$4:$L$1203,"已收讫")+SUMIFS(对接源_02物料!$K$4:$K$1203,对接源_02物料!$C$4:$C$1203,$B245,对接源_02物料!$D$4:$D$1203,"周转筐*",对接源_02物料!$L$4:$L$1203,"已付款")+SUMIFS(对接源_02物料!$K$4:$K$1203,对接源_02物料!$C$4:$C$1203,$B245,对接源_02物料!$D$4:$D$1203,"次果筐*",对接源_02物料!$L$4:$L$1203,"已收讫")+SUMIFS(对接源_02物料!$K$4:$K$1203,对接源_02物料!$C$4:$C$1203,$B245,对接源_02物料!$D$4:$D$1203,"次果筐*",对接源_02物料!$L$4:$L$1203,"已付款"),2))</f>
        <v/>
      </c>
      <c r="J245" s="61" t="str">
        <f aca="false">IF($B245="","",ROUND(N($H245)-N($I245),2))</f>
        <v/>
      </c>
      <c r="K245" s="59" t="str">
        <f aca="false">IF($B245="","",IF(ROUND(N($J245),2)&gt;0,"对方欠款",IF(ROUND(N($J245),2)&lt;0,"我方欠款","已两清")))</f>
        <v/>
      </c>
      <c r="L245" s="105"/>
    </row>
    <row r="246" customFormat="false" ht="13.5" hidden="false" customHeight="false" outlineLevel="0" collapsed="false">
      <c r="A246" s="59" t="str">
        <f aca="false">IF($B246="","",ROW()-3)</f>
        <v/>
      </c>
      <c r="B246" s="104" t="str">
        <f aca="false">IFERROR(INDEX(_自动清单!$E$4:$E$303,ROW()-3),"")</f>
        <v/>
      </c>
      <c r="C246" s="61" t="str">
        <f aca="false">IF($B246="","",ROUND(SUMIFS(对接源_01水果!$K$4:$K$1203,对接源_01水果!$C$4:$C$1203,$B246,对接源_01水果!$D$4:$D$1203,"成品出库*"),2))</f>
        <v/>
      </c>
      <c r="D246" s="61" t="str">
        <f aca="false">IF($B246="","",ROUND(SUMIFS(对接源_01水果!$K$4:$K$1203,对接源_01水果!$C$4:$C$1203,$B246,对接源_01水果!$D$4:$D$1203,"其他代存*"),2))</f>
        <v/>
      </c>
      <c r="E246" s="61" t="str">
        <f aca="false">IF($B246="","",ROUND(SUMIFS(对接源_02物料!$K$4:$K$1203,对接源_02物料!$C$4:$C$1203,$B246,对接源_02物料!$D$4:$D$1203,"包装物料*"),2))</f>
        <v/>
      </c>
      <c r="F246" s="61" t="str">
        <f aca="false">IF($B246="","",ROUND(SUMIFS(对接源_02物料!$K$4:$K$1203,对接源_02物料!$C$4:$C$1203,$B246,对接源_02物料!$D$4:$D$1203,"周转筐*"),2))</f>
        <v/>
      </c>
      <c r="G246" s="61" t="str">
        <f aca="false">IF($B246="","",ROUND(SUMIFS(对接源_02物料!$K$4:$K$1203,对接源_02物料!$C$4:$C$1203,$B246,对接源_02物料!$D$4:$D$1203,"次果筐*"),2))</f>
        <v/>
      </c>
      <c r="H246" s="61" t="str">
        <f aca="false">IF($B246="","",ROUND(SUM($C246:$G246),2))</f>
        <v/>
      </c>
      <c r="I246" s="61" t="str">
        <f aca="false">IF($B246="","",ROUND(SUMIFS(对接源_01水果!$K$4:$K$1203,对接源_01水果!$C$4:$C$1203,$B246,对接源_01水果!$D$4:$D$1203,"成品出库*",对接源_01水果!$L$4:$L$1203,"已收讫")+SUMIFS(对接源_01水果!$K$4:$K$1203,对接源_01水果!$C$4:$C$1203,$B246,对接源_01水果!$D$4:$D$1203,"成品出库*",对接源_01水果!$L$4:$L$1203,"已付款")+SUMIFS(对接源_01水果!$K$4:$K$1203,对接源_01水果!$C$4:$C$1203,$B246,对接源_01水果!$D$4:$D$1203,"其他代存*",对接源_01水果!$L$4:$L$1203,"已收讫")+SUMIFS(对接源_01水果!$K$4:$K$1203,对接源_01水果!$C$4:$C$1203,$B246,对接源_01水果!$D$4:$D$1203,"其他代存*",对接源_01水果!$L$4:$L$1203,"已付款")+SUMIFS(对接源_02物料!$K$4:$K$1203,对接源_02物料!$C$4:$C$1203,$B246,对接源_02物料!$D$4:$D$1203,"包装物料*",对接源_02物料!$L$4:$L$1203,"已收讫")+SUMIFS(对接源_02物料!$K$4:$K$1203,对接源_02物料!$C$4:$C$1203,$B246,对接源_02物料!$D$4:$D$1203,"包装物料*",对接源_02物料!$L$4:$L$1203,"已付款")+SUMIFS(对接源_02物料!$K$4:$K$1203,对接源_02物料!$C$4:$C$1203,$B246,对接源_02物料!$D$4:$D$1203,"周转筐*",对接源_02物料!$L$4:$L$1203,"已收讫")+SUMIFS(对接源_02物料!$K$4:$K$1203,对接源_02物料!$C$4:$C$1203,$B246,对接源_02物料!$D$4:$D$1203,"周转筐*",对接源_02物料!$L$4:$L$1203,"已付款")+SUMIFS(对接源_02物料!$K$4:$K$1203,对接源_02物料!$C$4:$C$1203,$B246,对接源_02物料!$D$4:$D$1203,"次果筐*",对接源_02物料!$L$4:$L$1203,"已收讫")+SUMIFS(对接源_02物料!$K$4:$K$1203,对接源_02物料!$C$4:$C$1203,$B246,对接源_02物料!$D$4:$D$1203,"次果筐*",对接源_02物料!$L$4:$L$1203,"已付款"),2))</f>
        <v/>
      </c>
      <c r="J246" s="61" t="str">
        <f aca="false">IF($B246="","",ROUND(N($H246)-N($I246),2))</f>
        <v/>
      </c>
      <c r="K246" s="59" t="str">
        <f aca="false">IF($B246="","",IF(ROUND(N($J246),2)&gt;0,"对方欠款",IF(ROUND(N($J246),2)&lt;0,"我方欠款","已两清")))</f>
        <v/>
      </c>
      <c r="L246" s="105"/>
    </row>
    <row r="247" customFormat="false" ht="13.5" hidden="false" customHeight="false" outlineLevel="0" collapsed="false">
      <c r="A247" s="59" t="str">
        <f aca="false">IF($B247="","",ROW()-3)</f>
        <v/>
      </c>
      <c r="B247" s="104" t="str">
        <f aca="false">IFERROR(INDEX(_自动清单!$E$4:$E$303,ROW()-3),"")</f>
        <v/>
      </c>
      <c r="C247" s="61" t="str">
        <f aca="false">IF($B247="","",ROUND(SUMIFS(对接源_01水果!$K$4:$K$1203,对接源_01水果!$C$4:$C$1203,$B247,对接源_01水果!$D$4:$D$1203,"成品出库*"),2))</f>
        <v/>
      </c>
      <c r="D247" s="61" t="str">
        <f aca="false">IF($B247="","",ROUND(SUMIFS(对接源_01水果!$K$4:$K$1203,对接源_01水果!$C$4:$C$1203,$B247,对接源_01水果!$D$4:$D$1203,"其他代存*"),2))</f>
        <v/>
      </c>
      <c r="E247" s="61" t="str">
        <f aca="false">IF($B247="","",ROUND(SUMIFS(对接源_02物料!$K$4:$K$1203,对接源_02物料!$C$4:$C$1203,$B247,对接源_02物料!$D$4:$D$1203,"包装物料*"),2))</f>
        <v/>
      </c>
      <c r="F247" s="61" t="str">
        <f aca="false">IF($B247="","",ROUND(SUMIFS(对接源_02物料!$K$4:$K$1203,对接源_02物料!$C$4:$C$1203,$B247,对接源_02物料!$D$4:$D$1203,"周转筐*"),2))</f>
        <v/>
      </c>
      <c r="G247" s="61" t="str">
        <f aca="false">IF($B247="","",ROUND(SUMIFS(对接源_02物料!$K$4:$K$1203,对接源_02物料!$C$4:$C$1203,$B247,对接源_02物料!$D$4:$D$1203,"次果筐*"),2))</f>
        <v/>
      </c>
      <c r="H247" s="61" t="str">
        <f aca="false">IF($B247="","",ROUND(SUM($C247:$G247),2))</f>
        <v/>
      </c>
      <c r="I247" s="61" t="str">
        <f aca="false">IF($B247="","",ROUND(SUMIFS(对接源_01水果!$K$4:$K$1203,对接源_01水果!$C$4:$C$1203,$B247,对接源_01水果!$D$4:$D$1203,"成品出库*",对接源_01水果!$L$4:$L$1203,"已收讫")+SUMIFS(对接源_01水果!$K$4:$K$1203,对接源_01水果!$C$4:$C$1203,$B247,对接源_01水果!$D$4:$D$1203,"成品出库*",对接源_01水果!$L$4:$L$1203,"已付款")+SUMIFS(对接源_01水果!$K$4:$K$1203,对接源_01水果!$C$4:$C$1203,$B247,对接源_01水果!$D$4:$D$1203,"其他代存*",对接源_01水果!$L$4:$L$1203,"已收讫")+SUMIFS(对接源_01水果!$K$4:$K$1203,对接源_01水果!$C$4:$C$1203,$B247,对接源_01水果!$D$4:$D$1203,"其他代存*",对接源_01水果!$L$4:$L$1203,"已付款")+SUMIFS(对接源_02物料!$K$4:$K$1203,对接源_02物料!$C$4:$C$1203,$B247,对接源_02物料!$D$4:$D$1203,"包装物料*",对接源_02物料!$L$4:$L$1203,"已收讫")+SUMIFS(对接源_02物料!$K$4:$K$1203,对接源_02物料!$C$4:$C$1203,$B247,对接源_02物料!$D$4:$D$1203,"包装物料*",对接源_02物料!$L$4:$L$1203,"已付款")+SUMIFS(对接源_02物料!$K$4:$K$1203,对接源_02物料!$C$4:$C$1203,$B247,对接源_02物料!$D$4:$D$1203,"周转筐*",对接源_02物料!$L$4:$L$1203,"已收讫")+SUMIFS(对接源_02物料!$K$4:$K$1203,对接源_02物料!$C$4:$C$1203,$B247,对接源_02物料!$D$4:$D$1203,"周转筐*",对接源_02物料!$L$4:$L$1203,"已付款")+SUMIFS(对接源_02物料!$K$4:$K$1203,对接源_02物料!$C$4:$C$1203,$B247,对接源_02物料!$D$4:$D$1203,"次果筐*",对接源_02物料!$L$4:$L$1203,"已收讫")+SUMIFS(对接源_02物料!$K$4:$K$1203,对接源_02物料!$C$4:$C$1203,$B247,对接源_02物料!$D$4:$D$1203,"次果筐*",对接源_02物料!$L$4:$L$1203,"已付款"),2))</f>
        <v/>
      </c>
      <c r="J247" s="61" t="str">
        <f aca="false">IF($B247="","",ROUND(N($H247)-N($I247),2))</f>
        <v/>
      </c>
      <c r="K247" s="59" t="str">
        <f aca="false">IF($B247="","",IF(ROUND(N($J247),2)&gt;0,"对方欠款",IF(ROUND(N($J247),2)&lt;0,"我方欠款","已两清")))</f>
        <v/>
      </c>
      <c r="L247" s="105"/>
    </row>
    <row r="248" customFormat="false" ht="13.5" hidden="false" customHeight="false" outlineLevel="0" collapsed="false">
      <c r="A248" s="59" t="str">
        <f aca="false">IF($B248="","",ROW()-3)</f>
        <v/>
      </c>
      <c r="B248" s="104" t="str">
        <f aca="false">IFERROR(INDEX(_自动清单!$E$4:$E$303,ROW()-3),"")</f>
        <v/>
      </c>
      <c r="C248" s="61" t="str">
        <f aca="false">IF($B248="","",ROUND(SUMIFS(对接源_01水果!$K$4:$K$1203,对接源_01水果!$C$4:$C$1203,$B248,对接源_01水果!$D$4:$D$1203,"成品出库*"),2))</f>
        <v/>
      </c>
      <c r="D248" s="61" t="str">
        <f aca="false">IF($B248="","",ROUND(SUMIFS(对接源_01水果!$K$4:$K$1203,对接源_01水果!$C$4:$C$1203,$B248,对接源_01水果!$D$4:$D$1203,"其他代存*"),2))</f>
        <v/>
      </c>
      <c r="E248" s="61" t="str">
        <f aca="false">IF($B248="","",ROUND(SUMIFS(对接源_02物料!$K$4:$K$1203,对接源_02物料!$C$4:$C$1203,$B248,对接源_02物料!$D$4:$D$1203,"包装物料*"),2))</f>
        <v/>
      </c>
      <c r="F248" s="61" t="str">
        <f aca="false">IF($B248="","",ROUND(SUMIFS(对接源_02物料!$K$4:$K$1203,对接源_02物料!$C$4:$C$1203,$B248,对接源_02物料!$D$4:$D$1203,"周转筐*"),2))</f>
        <v/>
      </c>
      <c r="G248" s="61" t="str">
        <f aca="false">IF($B248="","",ROUND(SUMIFS(对接源_02物料!$K$4:$K$1203,对接源_02物料!$C$4:$C$1203,$B248,对接源_02物料!$D$4:$D$1203,"次果筐*"),2))</f>
        <v/>
      </c>
      <c r="H248" s="61" t="str">
        <f aca="false">IF($B248="","",ROUND(SUM($C248:$G248),2))</f>
        <v/>
      </c>
      <c r="I248" s="61" t="str">
        <f aca="false">IF($B248="","",ROUND(SUMIFS(对接源_01水果!$K$4:$K$1203,对接源_01水果!$C$4:$C$1203,$B248,对接源_01水果!$D$4:$D$1203,"成品出库*",对接源_01水果!$L$4:$L$1203,"已收讫")+SUMIFS(对接源_01水果!$K$4:$K$1203,对接源_01水果!$C$4:$C$1203,$B248,对接源_01水果!$D$4:$D$1203,"成品出库*",对接源_01水果!$L$4:$L$1203,"已付款")+SUMIFS(对接源_01水果!$K$4:$K$1203,对接源_01水果!$C$4:$C$1203,$B248,对接源_01水果!$D$4:$D$1203,"其他代存*",对接源_01水果!$L$4:$L$1203,"已收讫")+SUMIFS(对接源_01水果!$K$4:$K$1203,对接源_01水果!$C$4:$C$1203,$B248,对接源_01水果!$D$4:$D$1203,"其他代存*",对接源_01水果!$L$4:$L$1203,"已付款")+SUMIFS(对接源_02物料!$K$4:$K$1203,对接源_02物料!$C$4:$C$1203,$B248,对接源_02物料!$D$4:$D$1203,"包装物料*",对接源_02物料!$L$4:$L$1203,"已收讫")+SUMIFS(对接源_02物料!$K$4:$K$1203,对接源_02物料!$C$4:$C$1203,$B248,对接源_02物料!$D$4:$D$1203,"包装物料*",对接源_02物料!$L$4:$L$1203,"已付款")+SUMIFS(对接源_02物料!$K$4:$K$1203,对接源_02物料!$C$4:$C$1203,$B248,对接源_02物料!$D$4:$D$1203,"周转筐*",对接源_02物料!$L$4:$L$1203,"已收讫")+SUMIFS(对接源_02物料!$K$4:$K$1203,对接源_02物料!$C$4:$C$1203,$B248,对接源_02物料!$D$4:$D$1203,"周转筐*",对接源_02物料!$L$4:$L$1203,"已付款")+SUMIFS(对接源_02物料!$K$4:$K$1203,对接源_02物料!$C$4:$C$1203,$B248,对接源_02物料!$D$4:$D$1203,"次果筐*",对接源_02物料!$L$4:$L$1203,"已收讫")+SUMIFS(对接源_02物料!$K$4:$K$1203,对接源_02物料!$C$4:$C$1203,$B248,对接源_02物料!$D$4:$D$1203,"次果筐*",对接源_02物料!$L$4:$L$1203,"已付款"),2))</f>
        <v/>
      </c>
      <c r="J248" s="61" t="str">
        <f aca="false">IF($B248="","",ROUND(N($H248)-N($I248),2))</f>
        <v/>
      </c>
      <c r="K248" s="59" t="str">
        <f aca="false">IF($B248="","",IF(ROUND(N($J248),2)&gt;0,"对方欠款",IF(ROUND(N($J248),2)&lt;0,"我方欠款","已两清")))</f>
        <v/>
      </c>
      <c r="L248" s="105"/>
    </row>
    <row r="249" customFormat="false" ht="13.5" hidden="false" customHeight="false" outlineLevel="0" collapsed="false">
      <c r="A249" s="59" t="str">
        <f aca="false">IF($B249="","",ROW()-3)</f>
        <v/>
      </c>
      <c r="B249" s="104" t="str">
        <f aca="false">IFERROR(INDEX(_自动清单!$E$4:$E$303,ROW()-3),"")</f>
        <v/>
      </c>
      <c r="C249" s="61" t="str">
        <f aca="false">IF($B249="","",ROUND(SUMIFS(对接源_01水果!$K$4:$K$1203,对接源_01水果!$C$4:$C$1203,$B249,对接源_01水果!$D$4:$D$1203,"成品出库*"),2))</f>
        <v/>
      </c>
      <c r="D249" s="61" t="str">
        <f aca="false">IF($B249="","",ROUND(SUMIFS(对接源_01水果!$K$4:$K$1203,对接源_01水果!$C$4:$C$1203,$B249,对接源_01水果!$D$4:$D$1203,"其他代存*"),2))</f>
        <v/>
      </c>
      <c r="E249" s="61" t="str">
        <f aca="false">IF($B249="","",ROUND(SUMIFS(对接源_02物料!$K$4:$K$1203,对接源_02物料!$C$4:$C$1203,$B249,对接源_02物料!$D$4:$D$1203,"包装物料*"),2))</f>
        <v/>
      </c>
      <c r="F249" s="61" t="str">
        <f aca="false">IF($B249="","",ROUND(SUMIFS(对接源_02物料!$K$4:$K$1203,对接源_02物料!$C$4:$C$1203,$B249,对接源_02物料!$D$4:$D$1203,"周转筐*"),2))</f>
        <v/>
      </c>
      <c r="G249" s="61" t="str">
        <f aca="false">IF($B249="","",ROUND(SUMIFS(对接源_02物料!$K$4:$K$1203,对接源_02物料!$C$4:$C$1203,$B249,对接源_02物料!$D$4:$D$1203,"次果筐*"),2))</f>
        <v/>
      </c>
      <c r="H249" s="61" t="str">
        <f aca="false">IF($B249="","",ROUND(SUM($C249:$G249),2))</f>
        <v/>
      </c>
      <c r="I249" s="61" t="str">
        <f aca="false">IF($B249="","",ROUND(SUMIFS(对接源_01水果!$K$4:$K$1203,对接源_01水果!$C$4:$C$1203,$B249,对接源_01水果!$D$4:$D$1203,"成品出库*",对接源_01水果!$L$4:$L$1203,"已收讫")+SUMIFS(对接源_01水果!$K$4:$K$1203,对接源_01水果!$C$4:$C$1203,$B249,对接源_01水果!$D$4:$D$1203,"成品出库*",对接源_01水果!$L$4:$L$1203,"已付款")+SUMIFS(对接源_01水果!$K$4:$K$1203,对接源_01水果!$C$4:$C$1203,$B249,对接源_01水果!$D$4:$D$1203,"其他代存*",对接源_01水果!$L$4:$L$1203,"已收讫")+SUMIFS(对接源_01水果!$K$4:$K$1203,对接源_01水果!$C$4:$C$1203,$B249,对接源_01水果!$D$4:$D$1203,"其他代存*",对接源_01水果!$L$4:$L$1203,"已付款")+SUMIFS(对接源_02物料!$K$4:$K$1203,对接源_02物料!$C$4:$C$1203,$B249,对接源_02物料!$D$4:$D$1203,"包装物料*",对接源_02物料!$L$4:$L$1203,"已收讫")+SUMIFS(对接源_02物料!$K$4:$K$1203,对接源_02物料!$C$4:$C$1203,$B249,对接源_02物料!$D$4:$D$1203,"包装物料*",对接源_02物料!$L$4:$L$1203,"已付款")+SUMIFS(对接源_02物料!$K$4:$K$1203,对接源_02物料!$C$4:$C$1203,$B249,对接源_02物料!$D$4:$D$1203,"周转筐*",对接源_02物料!$L$4:$L$1203,"已收讫")+SUMIFS(对接源_02物料!$K$4:$K$1203,对接源_02物料!$C$4:$C$1203,$B249,对接源_02物料!$D$4:$D$1203,"周转筐*",对接源_02物料!$L$4:$L$1203,"已付款")+SUMIFS(对接源_02物料!$K$4:$K$1203,对接源_02物料!$C$4:$C$1203,$B249,对接源_02物料!$D$4:$D$1203,"次果筐*",对接源_02物料!$L$4:$L$1203,"已收讫")+SUMIFS(对接源_02物料!$K$4:$K$1203,对接源_02物料!$C$4:$C$1203,$B249,对接源_02物料!$D$4:$D$1203,"次果筐*",对接源_02物料!$L$4:$L$1203,"已付款"),2))</f>
        <v/>
      </c>
      <c r="J249" s="61" t="str">
        <f aca="false">IF($B249="","",ROUND(N($H249)-N($I249),2))</f>
        <v/>
      </c>
      <c r="K249" s="59" t="str">
        <f aca="false">IF($B249="","",IF(ROUND(N($J249),2)&gt;0,"对方欠款",IF(ROUND(N($J249),2)&lt;0,"我方欠款","已两清")))</f>
        <v/>
      </c>
      <c r="L249" s="105"/>
    </row>
    <row r="250" customFormat="false" ht="13.5" hidden="false" customHeight="false" outlineLevel="0" collapsed="false">
      <c r="A250" s="59" t="str">
        <f aca="false">IF($B250="","",ROW()-3)</f>
        <v/>
      </c>
      <c r="B250" s="104" t="str">
        <f aca="false">IFERROR(INDEX(_自动清单!$E$4:$E$303,ROW()-3),"")</f>
        <v/>
      </c>
      <c r="C250" s="61" t="str">
        <f aca="false">IF($B250="","",ROUND(SUMIFS(对接源_01水果!$K$4:$K$1203,对接源_01水果!$C$4:$C$1203,$B250,对接源_01水果!$D$4:$D$1203,"成品出库*"),2))</f>
        <v/>
      </c>
      <c r="D250" s="61" t="str">
        <f aca="false">IF($B250="","",ROUND(SUMIFS(对接源_01水果!$K$4:$K$1203,对接源_01水果!$C$4:$C$1203,$B250,对接源_01水果!$D$4:$D$1203,"其他代存*"),2))</f>
        <v/>
      </c>
      <c r="E250" s="61" t="str">
        <f aca="false">IF($B250="","",ROUND(SUMIFS(对接源_02物料!$K$4:$K$1203,对接源_02物料!$C$4:$C$1203,$B250,对接源_02物料!$D$4:$D$1203,"包装物料*"),2))</f>
        <v/>
      </c>
      <c r="F250" s="61" t="str">
        <f aca="false">IF($B250="","",ROUND(SUMIFS(对接源_02物料!$K$4:$K$1203,对接源_02物料!$C$4:$C$1203,$B250,对接源_02物料!$D$4:$D$1203,"周转筐*"),2))</f>
        <v/>
      </c>
      <c r="G250" s="61" t="str">
        <f aca="false">IF($B250="","",ROUND(SUMIFS(对接源_02物料!$K$4:$K$1203,对接源_02物料!$C$4:$C$1203,$B250,对接源_02物料!$D$4:$D$1203,"次果筐*"),2))</f>
        <v/>
      </c>
      <c r="H250" s="61" t="str">
        <f aca="false">IF($B250="","",ROUND(SUM($C250:$G250),2))</f>
        <v/>
      </c>
      <c r="I250" s="61" t="str">
        <f aca="false">IF($B250="","",ROUND(SUMIFS(对接源_01水果!$K$4:$K$1203,对接源_01水果!$C$4:$C$1203,$B250,对接源_01水果!$D$4:$D$1203,"成品出库*",对接源_01水果!$L$4:$L$1203,"已收讫")+SUMIFS(对接源_01水果!$K$4:$K$1203,对接源_01水果!$C$4:$C$1203,$B250,对接源_01水果!$D$4:$D$1203,"成品出库*",对接源_01水果!$L$4:$L$1203,"已付款")+SUMIFS(对接源_01水果!$K$4:$K$1203,对接源_01水果!$C$4:$C$1203,$B250,对接源_01水果!$D$4:$D$1203,"其他代存*",对接源_01水果!$L$4:$L$1203,"已收讫")+SUMIFS(对接源_01水果!$K$4:$K$1203,对接源_01水果!$C$4:$C$1203,$B250,对接源_01水果!$D$4:$D$1203,"其他代存*",对接源_01水果!$L$4:$L$1203,"已付款")+SUMIFS(对接源_02物料!$K$4:$K$1203,对接源_02物料!$C$4:$C$1203,$B250,对接源_02物料!$D$4:$D$1203,"包装物料*",对接源_02物料!$L$4:$L$1203,"已收讫")+SUMIFS(对接源_02物料!$K$4:$K$1203,对接源_02物料!$C$4:$C$1203,$B250,对接源_02物料!$D$4:$D$1203,"包装物料*",对接源_02物料!$L$4:$L$1203,"已付款")+SUMIFS(对接源_02物料!$K$4:$K$1203,对接源_02物料!$C$4:$C$1203,$B250,对接源_02物料!$D$4:$D$1203,"周转筐*",对接源_02物料!$L$4:$L$1203,"已收讫")+SUMIFS(对接源_02物料!$K$4:$K$1203,对接源_02物料!$C$4:$C$1203,$B250,对接源_02物料!$D$4:$D$1203,"周转筐*",对接源_02物料!$L$4:$L$1203,"已付款")+SUMIFS(对接源_02物料!$K$4:$K$1203,对接源_02物料!$C$4:$C$1203,$B250,对接源_02物料!$D$4:$D$1203,"次果筐*",对接源_02物料!$L$4:$L$1203,"已收讫")+SUMIFS(对接源_02物料!$K$4:$K$1203,对接源_02物料!$C$4:$C$1203,$B250,对接源_02物料!$D$4:$D$1203,"次果筐*",对接源_02物料!$L$4:$L$1203,"已付款"),2))</f>
        <v/>
      </c>
      <c r="J250" s="61" t="str">
        <f aca="false">IF($B250="","",ROUND(N($H250)-N($I250),2))</f>
        <v/>
      </c>
      <c r="K250" s="59" t="str">
        <f aca="false">IF($B250="","",IF(ROUND(N($J250),2)&gt;0,"对方欠款",IF(ROUND(N($J250),2)&lt;0,"我方欠款","已两清")))</f>
        <v/>
      </c>
      <c r="L250" s="105"/>
    </row>
    <row r="251" customFormat="false" ht="13.5" hidden="false" customHeight="false" outlineLevel="0" collapsed="false">
      <c r="A251" s="59" t="str">
        <f aca="false">IF($B251="","",ROW()-3)</f>
        <v/>
      </c>
      <c r="B251" s="104" t="str">
        <f aca="false">IFERROR(INDEX(_自动清单!$E$4:$E$303,ROW()-3),"")</f>
        <v/>
      </c>
      <c r="C251" s="61" t="str">
        <f aca="false">IF($B251="","",ROUND(SUMIFS(对接源_01水果!$K$4:$K$1203,对接源_01水果!$C$4:$C$1203,$B251,对接源_01水果!$D$4:$D$1203,"成品出库*"),2))</f>
        <v/>
      </c>
      <c r="D251" s="61" t="str">
        <f aca="false">IF($B251="","",ROUND(SUMIFS(对接源_01水果!$K$4:$K$1203,对接源_01水果!$C$4:$C$1203,$B251,对接源_01水果!$D$4:$D$1203,"其他代存*"),2))</f>
        <v/>
      </c>
      <c r="E251" s="61" t="str">
        <f aca="false">IF($B251="","",ROUND(SUMIFS(对接源_02物料!$K$4:$K$1203,对接源_02物料!$C$4:$C$1203,$B251,对接源_02物料!$D$4:$D$1203,"包装物料*"),2))</f>
        <v/>
      </c>
      <c r="F251" s="61" t="str">
        <f aca="false">IF($B251="","",ROUND(SUMIFS(对接源_02物料!$K$4:$K$1203,对接源_02物料!$C$4:$C$1203,$B251,对接源_02物料!$D$4:$D$1203,"周转筐*"),2))</f>
        <v/>
      </c>
      <c r="G251" s="61" t="str">
        <f aca="false">IF($B251="","",ROUND(SUMIFS(对接源_02物料!$K$4:$K$1203,对接源_02物料!$C$4:$C$1203,$B251,对接源_02物料!$D$4:$D$1203,"次果筐*"),2))</f>
        <v/>
      </c>
      <c r="H251" s="61" t="str">
        <f aca="false">IF($B251="","",ROUND(SUM($C251:$G251),2))</f>
        <v/>
      </c>
      <c r="I251" s="61" t="str">
        <f aca="false">IF($B251="","",ROUND(SUMIFS(对接源_01水果!$K$4:$K$1203,对接源_01水果!$C$4:$C$1203,$B251,对接源_01水果!$D$4:$D$1203,"成品出库*",对接源_01水果!$L$4:$L$1203,"已收讫")+SUMIFS(对接源_01水果!$K$4:$K$1203,对接源_01水果!$C$4:$C$1203,$B251,对接源_01水果!$D$4:$D$1203,"成品出库*",对接源_01水果!$L$4:$L$1203,"已付款")+SUMIFS(对接源_01水果!$K$4:$K$1203,对接源_01水果!$C$4:$C$1203,$B251,对接源_01水果!$D$4:$D$1203,"其他代存*",对接源_01水果!$L$4:$L$1203,"已收讫")+SUMIFS(对接源_01水果!$K$4:$K$1203,对接源_01水果!$C$4:$C$1203,$B251,对接源_01水果!$D$4:$D$1203,"其他代存*",对接源_01水果!$L$4:$L$1203,"已付款")+SUMIFS(对接源_02物料!$K$4:$K$1203,对接源_02物料!$C$4:$C$1203,$B251,对接源_02物料!$D$4:$D$1203,"包装物料*",对接源_02物料!$L$4:$L$1203,"已收讫")+SUMIFS(对接源_02物料!$K$4:$K$1203,对接源_02物料!$C$4:$C$1203,$B251,对接源_02物料!$D$4:$D$1203,"包装物料*",对接源_02物料!$L$4:$L$1203,"已付款")+SUMIFS(对接源_02物料!$K$4:$K$1203,对接源_02物料!$C$4:$C$1203,$B251,对接源_02物料!$D$4:$D$1203,"周转筐*",对接源_02物料!$L$4:$L$1203,"已收讫")+SUMIFS(对接源_02物料!$K$4:$K$1203,对接源_02物料!$C$4:$C$1203,$B251,对接源_02物料!$D$4:$D$1203,"周转筐*",对接源_02物料!$L$4:$L$1203,"已付款")+SUMIFS(对接源_02物料!$K$4:$K$1203,对接源_02物料!$C$4:$C$1203,$B251,对接源_02物料!$D$4:$D$1203,"次果筐*",对接源_02物料!$L$4:$L$1203,"已收讫")+SUMIFS(对接源_02物料!$K$4:$K$1203,对接源_02物料!$C$4:$C$1203,$B251,对接源_02物料!$D$4:$D$1203,"次果筐*",对接源_02物料!$L$4:$L$1203,"已付款"),2))</f>
        <v/>
      </c>
      <c r="J251" s="61" t="str">
        <f aca="false">IF($B251="","",ROUND(N($H251)-N($I251),2))</f>
        <v/>
      </c>
      <c r="K251" s="59" t="str">
        <f aca="false">IF($B251="","",IF(ROUND(N($J251),2)&gt;0,"对方欠款",IF(ROUND(N($J251),2)&lt;0,"我方欠款","已两清")))</f>
        <v/>
      </c>
      <c r="L251" s="105"/>
    </row>
    <row r="252" customFormat="false" ht="13.5" hidden="false" customHeight="false" outlineLevel="0" collapsed="false">
      <c r="A252" s="59" t="str">
        <f aca="false">IF($B252="","",ROW()-3)</f>
        <v/>
      </c>
      <c r="B252" s="104" t="str">
        <f aca="false">IFERROR(INDEX(_自动清单!$E$4:$E$303,ROW()-3),"")</f>
        <v/>
      </c>
      <c r="C252" s="61" t="str">
        <f aca="false">IF($B252="","",ROUND(SUMIFS(对接源_01水果!$K$4:$K$1203,对接源_01水果!$C$4:$C$1203,$B252,对接源_01水果!$D$4:$D$1203,"成品出库*"),2))</f>
        <v/>
      </c>
      <c r="D252" s="61" t="str">
        <f aca="false">IF($B252="","",ROUND(SUMIFS(对接源_01水果!$K$4:$K$1203,对接源_01水果!$C$4:$C$1203,$B252,对接源_01水果!$D$4:$D$1203,"其他代存*"),2))</f>
        <v/>
      </c>
      <c r="E252" s="61" t="str">
        <f aca="false">IF($B252="","",ROUND(SUMIFS(对接源_02物料!$K$4:$K$1203,对接源_02物料!$C$4:$C$1203,$B252,对接源_02物料!$D$4:$D$1203,"包装物料*"),2))</f>
        <v/>
      </c>
      <c r="F252" s="61" t="str">
        <f aca="false">IF($B252="","",ROUND(SUMIFS(对接源_02物料!$K$4:$K$1203,对接源_02物料!$C$4:$C$1203,$B252,对接源_02物料!$D$4:$D$1203,"周转筐*"),2))</f>
        <v/>
      </c>
      <c r="G252" s="61" t="str">
        <f aca="false">IF($B252="","",ROUND(SUMIFS(对接源_02物料!$K$4:$K$1203,对接源_02物料!$C$4:$C$1203,$B252,对接源_02物料!$D$4:$D$1203,"次果筐*"),2))</f>
        <v/>
      </c>
      <c r="H252" s="61" t="str">
        <f aca="false">IF($B252="","",ROUND(SUM($C252:$G252),2))</f>
        <v/>
      </c>
      <c r="I252" s="61" t="str">
        <f aca="false">IF($B252="","",ROUND(SUMIFS(对接源_01水果!$K$4:$K$1203,对接源_01水果!$C$4:$C$1203,$B252,对接源_01水果!$D$4:$D$1203,"成品出库*",对接源_01水果!$L$4:$L$1203,"已收讫")+SUMIFS(对接源_01水果!$K$4:$K$1203,对接源_01水果!$C$4:$C$1203,$B252,对接源_01水果!$D$4:$D$1203,"成品出库*",对接源_01水果!$L$4:$L$1203,"已付款")+SUMIFS(对接源_01水果!$K$4:$K$1203,对接源_01水果!$C$4:$C$1203,$B252,对接源_01水果!$D$4:$D$1203,"其他代存*",对接源_01水果!$L$4:$L$1203,"已收讫")+SUMIFS(对接源_01水果!$K$4:$K$1203,对接源_01水果!$C$4:$C$1203,$B252,对接源_01水果!$D$4:$D$1203,"其他代存*",对接源_01水果!$L$4:$L$1203,"已付款")+SUMIFS(对接源_02物料!$K$4:$K$1203,对接源_02物料!$C$4:$C$1203,$B252,对接源_02物料!$D$4:$D$1203,"包装物料*",对接源_02物料!$L$4:$L$1203,"已收讫")+SUMIFS(对接源_02物料!$K$4:$K$1203,对接源_02物料!$C$4:$C$1203,$B252,对接源_02物料!$D$4:$D$1203,"包装物料*",对接源_02物料!$L$4:$L$1203,"已付款")+SUMIFS(对接源_02物料!$K$4:$K$1203,对接源_02物料!$C$4:$C$1203,$B252,对接源_02物料!$D$4:$D$1203,"周转筐*",对接源_02物料!$L$4:$L$1203,"已收讫")+SUMIFS(对接源_02物料!$K$4:$K$1203,对接源_02物料!$C$4:$C$1203,$B252,对接源_02物料!$D$4:$D$1203,"周转筐*",对接源_02物料!$L$4:$L$1203,"已付款")+SUMIFS(对接源_02物料!$K$4:$K$1203,对接源_02物料!$C$4:$C$1203,$B252,对接源_02物料!$D$4:$D$1203,"次果筐*",对接源_02物料!$L$4:$L$1203,"已收讫")+SUMIFS(对接源_02物料!$K$4:$K$1203,对接源_02物料!$C$4:$C$1203,$B252,对接源_02物料!$D$4:$D$1203,"次果筐*",对接源_02物料!$L$4:$L$1203,"已付款"),2))</f>
        <v/>
      </c>
      <c r="J252" s="61" t="str">
        <f aca="false">IF($B252="","",ROUND(N($H252)-N($I252),2))</f>
        <v/>
      </c>
      <c r="K252" s="59" t="str">
        <f aca="false">IF($B252="","",IF(ROUND(N($J252),2)&gt;0,"对方欠款",IF(ROUND(N($J252),2)&lt;0,"我方欠款","已两清")))</f>
        <v/>
      </c>
      <c r="L252" s="105"/>
    </row>
    <row r="253" customFormat="false" ht="13.5" hidden="false" customHeight="false" outlineLevel="0" collapsed="false">
      <c r="A253" s="59" t="str">
        <f aca="false">IF($B253="","",ROW()-3)</f>
        <v/>
      </c>
      <c r="B253" s="104" t="str">
        <f aca="false">IFERROR(INDEX(_自动清单!$E$4:$E$303,ROW()-3),"")</f>
        <v/>
      </c>
      <c r="C253" s="61" t="str">
        <f aca="false">IF($B253="","",ROUND(SUMIFS(对接源_01水果!$K$4:$K$1203,对接源_01水果!$C$4:$C$1203,$B253,对接源_01水果!$D$4:$D$1203,"成品出库*"),2))</f>
        <v/>
      </c>
      <c r="D253" s="61" t="str">
        <f aca="false">IF($B253="","",ROUND(SUMIFS(对接源_01水果!$K$4:$K$1203,对接源_01水果!$C$4:$C$1203,$B253,对接源_01水果!$D$4:$D$1203,"其他代存*"),2))</f>
        <v/>
      </c>
      <c r="E253" s="61" t="str">
        <f aca="false">IF($B253="","",ROUND(SUMIFS(对接源_02物料!$K$4:$K$1203,对接源_02物料!$C$4:$C$1203,$B253,对接源_02物料!$D$4:$D$1203,"包装物料*"),2))</f>
        <v/>
      </c>
      <c r="F253" s="61" t="str">
        <f aca="false">IF($B253="","",ROUND(SUMIFS(对接源_02物料!$K$4:$K$1203,对接源_02物料!$C$4:$C$1203,$B253,对接源_02物料!$D$4:$D$1203,"周转筐*"),2))</f>
        <v/>
      </c>
      <c r="G253" s="61" t="str">
        <f aca="false">IF($B253="","",ROUND(SUMIFS(对接源_02物料!$K$4:$K$1203,对接源_02物料!$C$4:$C$1203,$B253,对接源_02物料!$D$4:$D$1203,"次果筐*"),2))</f>
        <v/>
      </c>
      <c r="H253" s="61" t="str">
        <f aca="false">IF($B253="","",ROUND(SUM($C253:$G253),2))</f>
        <v/>
      </c>
      <c r="I253" s="61" t="str">
        <f aca="false">IF($B253="","",ROUND(SUMIFS(对接源_01水果!$K$4:$K$1203,对接源_01水果!$C$4:$C$1203,$B253,对接源_01水果!$D$4:$D$1203,"成品出库*",对接源_01水果!$L$4:$L$1203,"已收讫")+SUMIFS(对接源_01水果!$K$4:$K$1203,对接源_01水果!$C$4:$C$1203,$B253,对接源_01水果!$D$4:$D$1203,"成品出库*",对接源_01水果!$L$4:$L$1203,"已付款")+SUMIFS(对接源_01水果!$K$4:$K$1203,对接源_01水果!$C$4:$C$1203,$B253,对接源_01水果!$D$4:$D$1203,"其他代存*",对接源_01水果!$L$4:$L$1203,"已收讫")+SUMIFS(对接源_01水果!$K$4:$K$1203,对接源_01水果!$C$4:$C$1203,$B253,对接源_01水果!$D$4:$D$1203,"其他代存*",对接源_01水果!$L$4:$L$1203,"已付款")+SUMIFS(对接源_02物料!$K$4:$K$1203,对接源_02物料!$C$4:$C$1203,$B253,对接源_02物料!$D$4:$D$1203,"包装物料*",对接源_02物料!$L$4:$L$1203,"已收讫")+SUMIFS(对接源_02物料!$K$4:$K$1203,对接源_02物料!$C$4:$C$1203,$B253,对接源_02物料!$D$4:$D$1203,"包装物料*",对接源_02物料!$L$4:$L$1203,"已付款")+SUMIFS(对接源_02物料!$K$4:$K$1203,对接源_02物料!$C$4:$C$1203,$B253,对接源_02物料!$D$4:$D$1203,"周转筐*",对接源_02物料!$L$4:$L$1203,"已收讫")+SUMIFS(对接源_02物料!$K$4:$K$1203,对接源_02物料!$C$4:$C$1203,$B253,对接源_02物料!$D$4:$D$1203,"周转筐*",对接源_02物料!$L$4:$L$1203,"已付款")+SUMIFS(对接源_02物料!$K$4:$K$1203,对接源_02物料!$C$4:$C$1203,$B253,对接源_02物料!$D$4:$D$1203,"次果筐*",对接源_02物料!$L$4:$L$1203,"已收讫")+SUMIFS(对接源_02物料!$K$4:$K$1203,对接源_02物料!$C$4:$C$1203,$B253,对接源_02物料!$D$4:$D$1203,"次果筐*",对接源_02物料!$L$4:$L$1203,"已付款"),2))</f>
        <v/>
      </c>
      <c r="J253" s="61" t="str">
        <f aca="false">IF($B253="","",ROUND(N($H253)-N($I253),2))</f>
        <v/>
      </c>
      <c r="K253" s="59" t="str">
        <f aca="false">IF($B253="","",IF(ROUND(N($J253),2)&gt;0,"对方欠款",IF(ROUND(N($J253),2)&lt;0,"我方欠款","已两清")))</f>
        <v/>
      </c>
      <c r="L253" s="105"/>
    </row>
    <row r="254" customFormat="false" ht="13.5" hidden="false" customHeight="false" outlineLevel="0" collapsed="false">
      <c r="A254" s="100"/>
      <c r="B254" s="100" t="s">
        <v>187</v>
      </c>
      <c r="C254" s="106" t="n">
        <f aca="false">ROUND(SUM(C4:C253),2)</f>
        <v>0</v>
      </c>
      <c r="D254" s="106" t="n">
        <f aca="false">ROUND(SUM(D4:D253),2)</f>
        <v>0</v>
      </c>
      <c r="E254" s="106" t="n">
        <f aca="false">ROUND(SUM(E4:E253),2)</f>
        <v>85415</v>
      </c>
      <c r="F254" s="106" t="n">
        <f aca="false">ROUND(SUM(F4:F253),2)</f>
        <v>174720</v>
      </c>
      <c r="G254" s="106" t="n">
        <f aca="false">ROUND(SUM(G4:G253),2)</f>
        <v>0</v>
      </c>
      <c r="H254" s="106" t="n">
        <f aca="false">ROUND(SUM(H4:H253),2)</f>
        <v>260135</v>
      </c>
      <c r="I254" s="106" t="n">
        <f aca="false">ROUND(SUM(I4:I253),2)</f>
        <v>24020</v>
      </c>
      <c r="J254" s="106" t="n">
        <f aca="false">ROUND(SUM(J4:J253),2)</f>
        <v>236115</v>
      </c>
      <c r="K254" s="100"/>
      <c r="L254" s="100"/>
    </row>
  </sheetData>
  <mergeCells count="2">
    <mergeCell ref="A1:L1"/>
    <mergeCell ref="A2:L2"/>
  </mergeCells>
  <conditionalFormatting sqref="A2">
    <cfRule type="expression" priority="2" aboveAverage="0" equalAverage="0" bottom="0" percent="0" rank="0" text="" dxfId="0">
      <formula>(N(_自动清单!$A$1)&gt;250)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H1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115" activePane="bottomRight" state="frozen"/>
      <selection pane="topLeft" activeCell="A1" activeCellId="0" sqref="A1"/>
      <selection pane="topRight" activeCell="B1" activeCellId="0" sqref="B1"/>
      <selection pane="bottomLeft" activeCell="A115" activeCellId="0" sqref="A115"/>
      <selection pane="bottomRight" activeCell="R58" activeCellId="0" sqref="R58"/>
    </sheetView>
  </sheetViews>
  <sheetFormatPr defaultColWidth="12" defaultRowHeight="13.5" zeroHeight="false" outlineLevelRow="0" outlineLevelCol="0"/>
  <cols>
    <col collapsed="false" customWidth="true" hidden="false" outlineLevel="0" max="1" min="1" style="53" width="6"/>
    <col collapsed="false" customWidth="false" hidden="false" outlineLevel="0" max="2" min="2" style="53" width="12"/>
    <col collapsed="false" customWidth="true" hidden="false" outlineLevel="0" max="3" min="3" style="53" width="10.13"/>
    <col collapsed="false" customWidth="true" hidden="false" outlineLevel="0" max="4" min="4" style="53" width="10.5"/>
    <col collapsed="false" customWidth="true" hidden="false" outlineLevel="0" max="5" min="5" style="53" width="14"/>
    <col collapsed="false" customWidth="true" hidden="false" outlineLevel="0" max="6" min="6" style="53" width="8.13"/>
    <col collapsed="false" customWidth="false" hidden="false" outlineLevel="0" max="7" min="7" style="53" width="12"/>
    <col collapsed="false" customWidth="true" hidden="false" outlineLevel="0" max="8" min="8" style="53" width="7.63"/>
    <col collapsed="false" customWidth="true" hidden="false" outlineLevel="0" max="9" min="9" style="53" width="7"/>
    <col collapsed="false" customWidth="false" hidden="false" outlineLevel="0" max="10" min="10" style="53" width="12"/>
    <col collapsed="false" customWidth="true" hidden="false" outlineLevel="0" max="11" min="11" style="53" width="13"/>
    <col collapsed="false" customWidth="true" hidden="false" outlineLevel="0" max="12" min="12" style="53" width="11"/>
    <col collapsed="false" customWidth="true" hidden="false" outlineLevel="0" max="13" min="13" style="53" width="16"/>
    <col collapsed="false" customWidth="true" hidden="false" outlineLevel="0" max="15" min="14" style="53" width="6"/>
    <col collapsed="false" customWidth="true" hidden="false" outlineLevel="0" max="16" min="16" style="53" width="2"/>
    <col collapsed="false" customWidth="true" hidden="false" outlineLevel="0" max="17" min="17" style="53" width="13"/>
    <col collapsed="false" customWidth="true" hidden="false" outlineLevel="0" max="18" min="18" style="53" width="60"/>
    <col collapsed="false" customWidth="true" hidden="false" outlineLevel="0" max="19" min="19" style="53" width="13"/>
    <col collapsed="false" customWidth="true" hidden="false" outlineLevel="0" max="22" min="20" style="53" width="10"/>
    <col collapsed="false" customWidth="false" hidden="false" outlineLevel="0" max="23" min="23" style="53" width="12"/>
    <col collapsed="false" customWidth="true" hidden="false" outlineLevel="0" max="24" min="24" style="53" width="10"/>
    <col collapsed="false" customWidth="true" hidden="false" outlineLevel="0" max="25" min="25" style="53" width="13"/>
    <col collapsed="false" customWidth="true" hidden="false" outlineLevel="0" max="26" min="26" style="53" width="11"/>
    <col collapsed="false" customWidth="true" hidden="false" outlineLevel="0" max="27" min="27" style="53" width="15"/>
    <col collapsed="false" customWidth="true" hidden="false" outlineLevel="0" max="28" min="28" style="53" width="11"/>
    <col collapsed="false" customWidth="false" hidden="false" outlineLevel="0" max="16384" min="29" style="53" width="12"/>
  </cols>
  <sheetData>
    <row r="1" customFormat="false" ht="30" hidden="false" customHeight="true" outlineLevel="0" collapsed="false">
      <c r="A1" s="18" t="s">
        <v>199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Q1" s="107" t="s">
        <v>200</v>
      </c>
      <c r="R1" s="104" t="n">
        <f aca="false">MAX($O$4:$O$1203)</f>
        <v>311</v>
      </c>
    </row>
    <row r="2" customFormat="false" ht="18" hidden="false" customHeight="true" outlineLevel="0" collapsed="false">
      <c r="A2" s="108" t="str">
        <f aca="false">IF($R$4=1,"✔ 链接正常，已取到 "&amp;$R$1&amp;" 笔业务　｜　本表 1:1 对应《01 水果进销存台账》的【对账明细接口】，三个文件必须放在同一个文件夹，文件名也不要改","★★ 链接没接上！→ 请看本表右边 Q6 格的修复说明（往右拉一屏）")</f>
        <v>✔ 链接正常，已取到 311 笔业务　｜　本表 1:1 对应《01 水果进销存台账》的【对账明细接口】，三个文件必须放在同一个文件夹，文件名也不要改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107" t="s">
        <v>201</v>
      </c>
      <c r="R2" s="104" t="str">
        <f aca="false">IFERROR(IF([2]对账明细接口!$C$4=0,"未更新",[2]对账明细接口!$C$4),"断开")</f>
        <v>聂新平</v>
      </c>
    </row>
    <row r="3" customFormat="false" ht="30" hidden="false" customHeight="true" outlineLevel="0" collapsed="false">
      <c r="A3" s="96" t="s">
        <v>202</v>
      </c>
      <c r="B3" s="96" t="s">
        <v>203</v>
      </c>
      <c r="C3" s="96" t="s">
        <v>189</v>
      </c>
      <c r="D3" s="96" t="s">
        <v>102</v>
      </c>
      <c r="E3" s="96" t="s">
        <v>82</v>
      </c>
      <c r="F3" s="96" t="s">
        <v>204</v>
      </c>
      <c r="G3" s="96" t="s">
        <v>205</v>
      </c>
      <c r="H3" s="96" t="s">
        <v>122</v>
      </c>
      <c r="I3" s="96" t="s">
        <v>113</v>
      </c>
      <c r="J3" s="96" t="s">
        <v>206</v>
      </c>
      <c r="K3" s="96" t="s">
        <v>207</v>
      </c>
      <c r="L3" s="96" t="s">
        <v>170</v>
      </c>
      <c r="M3" s="96" t="s">
        <v>186</v>
      </c>
      <c r="N3" s="96" t="s">
        <v>208</v>
      </c>
      <c r="O3" s="96" t="s">
        <v>209</v>
      </c>
      <c r="Q3" s="107" t="s">
        <v>210</v>
      </c>
      <c r="R3" s="104" t="n">
        <f aca="false">COUNTA($C$4:$C$1203)</f>
        <v>1200</v>
      </c>
      <c r="S3" s="96" t="s">
        <v>83</v>
      </c>
      <c r="T3" s="96" t="s">
        <v>211</v>
      </c>
      <c r="U3" s="96" t="s">
        <v>212</v>
      </c>
      <c r="V3" s="96" t="s">
        <v>213</v>
      </c>
      <c r="W3" s="96" t="s">
        <v>85</v>
      </c>
      <c r="X3" s="96" t="s">
        <v>214</v>
      </c>
      <c r="Y3" s="96" t="s">
        <v>215</v>
      </c>
      <c r="Z3" s="96" t="s">
        <v>137</v>
      </c>
      <c r="AA3" s="96" t="s">
        <v>138</v>
      </c>
      <c r="AB3" s="96" t="s">
        <v>139</v>
      </c>
      <c r="AC3" s="78" t="s">
        <v>216</v>
      </c>
      <c r="AD3" s="78" t="s">
        <v>150</v>
      </c>
      <c r="AE3" s="78" t="s">
        <v>151</v>
      </c>
      <c r="AF3" s="78" t="s">
        <v>152</v>
      </c>
      <c r="AG3" s="78" t="s">
        <v>217</v>
      </c>
      <c r="AH3" s="78" t="s">
        <v>218</v>
      </c>
    </row>
    <row r="4" customFormat="false" ht="13.5" hidden="false" customHeight="false" outlineLevel="0" collapsed="false">
      <c r="A4" s="109" t="n">
        <v>4</v>
      </c>
      <c r="B4" s="110" t="n">
        <f aca="false">IFERROR(IF([2]对账明细接口!$B$4=0,"",[2]对账明细接口!$B$4),"")</f>
        <v>46245</v>
      </c>
      <c r="C4" s="59" t="str">
        <f aca="false">IFERROR(IF([2]对账明细接口!$C$4=0,"",[2]对账明细接口!$C$4),"")</f>
        <v>聂新平</v>
      </c>
      <c r="D4" s="59" t="str">
        <f aca="false">IFERROR(IF([2]对账明细接口!$D$4=0,"",[2]对账明细接口!$D$4),"")</f>
        <v>原料入库</v>
      </c>
      <c r="E4" s="59" t="str">
        <f aca="false">IFERROR(IF([2]对账明细接口!$E$4=0,"",[2]对账明细接口!$E$4),"")</f>
        <v>NO0000756</v>
      </c>
      <c r="F4" s="59" t="str">
        <f aca="false">IFERROR(IF([2]对账明细接口!$F$4=0,"",[2]对账明细接口!$F$4),"")</f>
        <v>苹果</v>
      </c>
      <c r="G4" s="59" t="str">
        <f aca="false">IFERROR(IF([2]对账明细接口!$G$4=0,"",[2]对账明细接口!$G$4),"")</f>
        <v>嘎啦85#</v>
      </c>
      <c r="H4" s="60" t="n">
        <f aca="false">IFERROR(IF([2]对账明细接口!$H$4=0,"",[2]对账明细接口!$H$4),"")</f>
        <v>35</v>
      </c>
      <c r="I4" s="59" t="str">
        <f aca="false">IFERROR(IF([2]对账明细接口!$I$4=0,"",[2]对账明细接口!$I$4),"")</f>
        <v>筐</v>
      </c>
      <c r="J4" s="61" t="n">
        <f aca="false">IFERROR(IF([2]对账明细接口!$J$4=0,"",[2]对账明细接口!$J$4),"")</f>
        <v>763</v>
      </c>
      <c r="K4" s="61" t="str">
        <f aca="false">IFERROR(IF([2]对账明细接口!$K$4=0,"",[2]对账明细接口!$K$4),"")</f>
        <v/>
      </c>
      <c r="L4" s="59" t="str">
        <f aca="false">IFERROR(IF([2]对账明细接口!$L$4=0,"",[2]对账明细接口!$L$4),"")</f>
        <v/>
      </c>
      <c r="M4" s="59" t="str">
        <f aca="false">IFERROR(IF([2]对账明细接口!$M$4=0,"",[2]对账明细接口!$M$4),"")</f>
        <v/>
      </c>
      <c r="N4" s="111" t="n">
        <f aca="false">IF($C4="",0,1)</f>
        <v>1</v>
      </c>
      <c r="O4" s="111" t="n">
        <f aca="false">N(O3)+$N4</f>
        <v>1</v>
      </c>
      <c r="Q4" s="107" t="s">
        <v>219</v>
      </c>
      <c r="R4" s="104" t="n">
        <f aca="false">IF(OR($R$2="断开",$R$2="未更新"),0,1)</f>
        <v>1</v>
      </c>
      <c r="S4" s="10" t="str">
        <f aca="false">IFERROR(IF([2]对账明细接口!$N4=0,"",[2]对账明细接口!$N4),"")</f>
        <v>自备一次性筐</v>
      </c>
      <c r="T4" s="112" t="str">
        <f aca="false">IFERROR(IF([2]对账明细接口!$O4=0,"",[2]对账明细接口!$O4),"")</f>
        <v/>
      </c>
      <c r="U4" s="112" t="str">
        <f aca="false">IFERROR(IF([2]对账明细接口!$P4=0,"",[2]对账明细接口!$P4),"")</f>
        <v/>
      </c>
      <c r="V4" s="112" t="n">
        <f aca="false">IFERROR(IF([2]对账明细接口!$Q4=0,"",[2]对账明细接口!$Q4),"")</f>
        <v>35</v>
      </c>
      <c r="W4" s="10" t="str">
        <f aca="false">IFERROR(IF([2]对账明细接口!$R4=0,"",[2]对账明细接口!$R4),"")</f>
        <v>苏M*7G796</v>
      </c>
      <c r="X4" s="10" t="str">
        <f aca="false">IFERROR(IF([2]对账明细接口!$S4=0,"",[2]对账明细接口!$S4),"")</f>
        <v>自备筐</v>
      </c>
      <c r="Y4" s="10" t="str">
        <f aca="false">IFERROR(IF([2]对账明细接口!$T4=0,"",[2]对账明细接口!$T4),"")</f>
        <v/>
      </c>
      <c r="Z4" s="113" t="str">
        <f aca="false">IFERROR(IF([2]对账明细接口!$U4=0,"",[2]对账明细接口!$U4),"")</f>
        <v/>
      </c>
      <c r="AA4" s="113" t="str">
        <f aca="false">IFERROR(IF([2]对账明细接口!$V4=0,"",[2]对账明细接口!$V4),"")</f>
        <v/>
      </c>
      <c r="AB4" s="10" t="str">
        <f aca="false">IFERROR(IF([2]对账明细接口!$W4=0,"",[2]对账明细接口!$W4),"")</f>
        <v/>
      </c>
      <c r="AC4" s="90" t="str">
        <f aca="false">IFERROR(IF([2]对账明细接口!$X5=0,"",[2]对账明细接口!$X5),"")</f>
        <v/>
      </c>
      <c r="AD4" s="90" t="str">
        <f aca="false">IFERROR(IF([2]对账明细接口!$Y5=0,"",[2]对账明细接口!$Y5),"")</f>
        <v/>
      </c>
      <c r="AE4" s="90" t="str">
        <f aca="false">IFERROR(IF([2]对账明细接口!$AA5=0,"",[2]对账明细接口!$AA5),"")</f>
        <v/>
      </c>
      <c r="AF4" s="90" t="str">
        <f aca="false">IFERROR(IF([2]对账明细接口!$AB5=0,"",[2]对账明细接口!$AB5),"")</f>
        <v/>
      </c>
      <c r="AG4" s="90" t="str">
        <f aca="false">IFERROR(IF([2]对账明细接口!$AC5=0,"",[2]对账明细接口!$AC5),"")</f>
        <v/>
      </c>
      <c r="AH4" s="90" t="str">
        <f aca="false">IFERROR(IF([2]对账明细接口!$AD5=0,"",[2]对账明细接口!$AD5),"")</f>
        <v/>
      </c>
    </row>
    <row r="5" customFormat="false" ht="13.5" hidden="false" customHeight="false" outlineLevel="0" collapsed="false">
      <c r="A5" s="109" t="n">
        <v>5</v>
      </c>
      <c r="B5" s="110" t="n">
        <f aca="false">IFERROR(IF([2]对账明细接口!$B$5=0,"",[2]对账明细接口!$B$5),"")</f>
        <v>46245</v>
      </c>
      <c r="C5" s="59" t="str">
        <f aca="false">IFERROR(IF([2]对账明细接口!$C$5=0,"",[2]对账明细接口!$C$5),"")</f>
        <v>聂新平</v>
      </c>
      <c r="D5" s="59" t="str">
        <f aca="false">IFERROR(IF([2]对账明细接口!$D$5=0,"",[2]对账明细接口!$D$5),"")</f>
        <v>原料入库</v>
      </c>
      <c r="E5" s="59" t="str">
        <f aca="false">IFERROR(IF([2]对账明细接口!$E$5=0,"",[2]对账明细接口!$E$5),"")</f>
        <v>NO0000756</v>
      </c>
      <c r="F5" s="59" t="str">
        <f aca="false">IFERROR(IF([2]对账明细接口!$F$5=0,"",[2]对账明细接口!$F$5),"")</f>
        <v>苹果</v>
      </c>
      <c r="G5" s="59" t="str">
        <f aca="false">IFERROR(IF([2]对账明细接口!$G$5=0,"",[2]对账明细接口!$G$5),"")</f>
        <v>嘎啦100#</v>
      </c>
      <c r="H5" s="60" t="n">
        <f aca="false">IFERROR(IF([2]对账明细接口!$H$5=0,"",[2]对账明细接口!$H$5),"")</f>
        <v>20</v>
      </c>
      <c r="I5" s="59" t="str">
        <f aca="false">IFERROR(IF([2]对账明细接口!$I$5=0,"",[2]对账明细接口!$I$5),"")</f>
        <v>筐</v>
      </c>
      <c r="J5" s="61" t="n">
        <f aca="false">IFERROR(IF([2]对账明细接口!$J$5=0,"",[2]对账明细接口!$J$5),"")</f>
        <v>436</v>
      </c>
      <c r="K5" s="61" t="str">
        <f aca="false">IFERROR(IF([2]对账明细接口!$K$5=0,"",[2]对账明细接口!$K$5),"")</f>
        <v/>
      </c>
      <c r="L5" s="59" t="str">
        <f aca="false">IFERROR(IF([2]对账明细接口!$L$5=0,"",[2]对账明细接口!$L$5),"")</f>
        <v/>
      </c>
      <c r="M5" s="59" t="str">
        <f aca="false">IFERROR(IF([2]对账明细接口!$M$5=0,"",[2]对账明细接口!$M$5),"")</f>
        <v/>
      </c>
      <c r="N5" s="111" t="n">
        <f aca="false">IF($C5="",0,1)</f>
        <v>1</v>
      </c>
      <c r="O5" s="111" t="n">
        <f aca="false">N(O4)+$N5</f>
        <v>2</v>
      </c>
      <c r="S5" s="10" t="str">
        <f aca="false">IFERROR(IF([2]对账明细接口!$N5=0,"",[2]对账明细接口!$N5),"")</f>
        <v>自备一次性筐</v>
      </c>
      <c r="T5" s="112" t="str">
        <f aca="false">IFERROR(IF([2]对账明细接口!$O5=0,"",[2]对账明细接口!$O5),"")</f>
        <v/>
      </c>
      <c r="U5" s="112" t="str">
        <f aca="false">IFERROR(IF([2]对账明细接口!$P5=0,"",[2]对账明细接口!$P5),"")</f>
        <v/>
      </c>
      <c r="V5" s="112" t="n">
        <f aca="false">IFERROR(IF([2]对账明细接口!$Q5=0,"",[2]对账明细接口!$Q5),"")</f>
        <v>20</v>
      </c>
      <c r="W5" s="10" t="str">
        <f aca="false">IFERROR(IF([2]对账明细接口!$R5=0,"",[2]对账明细接口!$R5),"")</f>
        <v>苏M*7G796</v>
      </c>
      <c r="X5" s="10" t="str">
        <f aca="false">IFERROR(IF([2]对账明细接口!$S5=0,"",[2]对账明细接口!$S5),"")</f>
        <v>自备筐</v>
      </c>
      <c r="Y5" s="10" t="str">
        <f aca="false">IFERROR(IF([2]对账明细接口!$T5=0,"",[2]对账明细接口!$T5),"")</f>
        <v/>
      </c>
      <c r="Z5" s="113" t="str">
        <f aca="false">IFERROR(IF([2]对账明细接口!$U5=0,"",[2]对账明细接口!$U5),"")</f>
        <v/>
      </c>
      <c r="AA5" s="113" t="str">
        <f aca="false">IFERROR(IF([2]对账明细接口!$V5=0,"",[2]对账明细接口!$V5),"")</f>
        <v/>
      </c>
      <c r="AB5" s="10" t="str">
        <f aca="false">IFERROR(IF([2]对账明细接口!$W5=0,"",[2]对账明细接口!$W5),"")</f>
        <v/>
      </c>
      <c r="AC5" s="90" t="str">
        <f aca="false">IFERROR(IF([2]对账明细接口!$X6=0,"",[2]对账明细接口!$X6),"")</f>
        <v/>
      </c>
      <c r="AD5" s="90" t="str">
        <f aca="false">IFERROR(IF([2]对账明细接口!$Y6=0,"",[2]对账明细接口!$Y6),"")</f>
        <v/>
      </c>
      <c r="AE5" s="90" t="str">
        <f aca="false">IFERROR(IF([2]对账明细接口!$AA6=0,"",[2]对账明细接口!$AA6),"")</f>
        <v/>
      </c>
      <c r="AF5" s="90" t="str">
        <f aca="false">IFERROR(IF([2]对账明细接口!$AB6=0,"",[2]对账明细接口!$AB6),"")</f>
        <v/>
      </c>
      <c r="AG5" s="90" t="str">
        <f aca="false">IFERROR(IF([2]对账明细接口!$AC6=0,"",[2]对账明细接口!$AC6),"")</f>
        <v/>
      </c>
      <c r="AH5" s="90" t="str">
        <f aca="false">IFERROR(IF([2]对账明细接口!$AD6=0,"",[2]对账明细接口!$AD6),"")</f>
        <v/>
      </c>
    </row>
    <row r="6" customFormat="false" ht="13.5" hidden="false" customHeight="false" outlineLevel="0" collapsed="false">
      <c r="A6" s="109" t="n">
        <v>6</v>
      </c>
      <c r="B6" s="110" t="n">
        <f aca="false">IFERROR(IF([2]对账明细接口!$B$6=0,"",[2]对账明细接口!$B$6),"")</f>
        <v>46246</v>
      </c>
      <c r="C6" s="59" t="str">
        <f aca="false">IFERROR(IF([2]对账明细接口!$C$6=0,"",[2]对账明细接口!$C$6),"")</f>
        <v>聂新平</v>
      </c>
      <c r="D6" s="59" t="str">
        <f aca="false">IFERROR(IF([2]对账明细接口!$D$6=0,"",[2]对账明细接口!$D$6),"")</f>
        <v>原料入库</v>
      </c>
      <c r="E6" s="59" t="str">
        <f aca="false">IFERROR(IF([2]对账明细接口!$E$6=0,"",[2]对账明细接口!$E$6),"")</f>
        <v>NO0000758</v>
      </c>
      <c r="F6" s="59" t="str">
        <f aca="false">IFERROR(IF([2]对账明细接口!$F$6=0,"",[2]对账明细接口!$F$6),"")</f>
        <v>苹果</v>
      </c>
      <c r="G6" s="59" t="str">
        <f aca="false">IFERROR(IF([2]对账明细接口!$G$6=0,"",[2]对账明细接口!$G$6),"")</f>
        <v>嘎啦85#</v>
      </c>
      <c r="H6" s="60" t="n">
        <f aca="false">IFERROR(IF([2]对账明细接口!$H$6=0,"",[2]对账明细接口!$H$6),"")</f>
        <v>53</v>
      </c>
      <c r="I6" s="59" t="str">
        <f aca="false">IFERROR(IF([2]对账明细接口!$I$6=0,"",[2]对账明细接口!$I$6),"")</f>
        <v>筐</v>
      </c>
      <c r="J6" s="61" t="n">
        <f aca="false">IFERROR(IF([2]对账明细接口!$J$6=0,"",[2]对账明细接口!$J$6),"")</f>
        <v>1155.4</v>
      </c>
      <c r="K6" s="61" t="str">
        <f aca="false">IFERROR(IF([2]对账明细接口!$K$6=0,"",[2]对账明细接口!$K$6),"")</f>
        <v/>
      </c>
      <c r="L6" s="59" t="str">
        <f aca="false">IFERROR(IF([2]对账明细接口!$L$6=0,"",[2]对账明细接口!$L$6),"")</f>
        <v/>
      </c>
      <c r="M6" s="59" t="str">
        <f aca="false">IFERROR(IF([2]对账明细接口!$M$6=0,"",[2]对账明细接口!$M$6),"")</f>
        <v/>
      </c>
      <c r="N6" s="111" t="n">
        <f aca="false">IF($C6="",0,1)</f>
        <v>1</v>
      </c>
      <c r="O6" s="111" t="n">
        <f aca="false">N(O5)+$N6</f>
        <v>3</v>
      </c>
      <c r="Q6" s="114" t="str">
        <f aca="false">IF($R$4=1,"✔ 链接正常，已自动取到 "&amp;$R$1&amp;" 笔业务。","★★ 取不到《01_水果进销存台账模板.xlsx》的数据。可能是：① 打开本文件时没点【更新】；② 那个文件被改名或挪走了。修复：菜单【数据】→【编辑链接】→先点【立即更新值】；还取不到数就点【更改源】重新指向《01_水果进销存台账模板.xlsx》。注意：本册只是查询工具，取不到数就是空的，不会算错账，放心。")</f>
        <v>✔ 链接正常，已自动取到 311 笔业务。</v>
      </c>
      <c r="R6" s="114"/>
      <c r="S6" s="10" t="str">
        <f aca="false">IFERROR(IF([2]对账明细接口!$N6=0,"",[2]对账明细接口!$N6),"")</f>
        <v>自备一次性筐</v>
      </c>
      <c r="T6" s="112" t="str">
        <f aca="false">IFERROR(IF([2]对账明细接口!$O6=0,"",[2]对账明细接口!$O6),"")</f>
        <v/>
      </c>
      <c r="U6" s="112" t="str">
        <f aca="false">IFERROR(IF([2]对账明细接口!$P6=0,"",[2]对账明细接口!$P6),"")</f>
        <v/>
      </c>
      <c r="V6" s="112" t="n">
        <f aca="false">IFERROR(IF([2]对账明细接口!$Q6=0,"",[2]对账明细接口!$Q6),"")</f>
        <v>53</v>
      </c>
      <c r="W6" s="10" t="str">
        <f aca="false">IFERROR(IF([2]对账明细接口!$R6=0,"",[2]对账明细接口!$R6),"")</f>
        <v>苏M*7G796</v>
      </c>
      <c r="X6" s="10" t="str">
        <f aca="false">IFERROR(IF([2]对账明细接口!$S6=0,"",[2]对账明细接口!$S6),"")</f>
        <v>自备筐</v>
      </c>
      <c r="Y6" s="10" t="str">
        <f aca="false">IFERROR(IF([2]对账明细接口!$T6=0,"",[2]对账明细接口!$T6),"")</f>
        <v/>
      </c>
      <c r="Z6" s="113" t="str">
        <f aca="false">IFERROR(IF([2]对账明细接口!$U6=0,"",[2]对账明细接口!$U6),"")</f>
        <v/>
      </c>
      <c r="AA6" s="113" t="str">
        <f aca="false">IFERROR(IF([2]对账明细接口!$V6=0,"",[2]对账明细接口!$V6),"")</f>
        <v/>
      </c>
      <c r="AB6" s="10" t="str">
        <f aca="false">IFERROR(IF([2]对账明细接口!$W6=0,"",[2]对账明细接口!$W6),"")</f>
        <v/>
      </c>
      <c r="AC6" s="90" t="str">
        <f aca="false">IFERROR(IF([2]对账明细接口!$X7=0,"",[2]对账明细接口!$X7),"")</f>
        <v/>
      </c>
      <c r="AD6" s="90" t="str">
        <f aca="false">IFERROR(IF([2]对账明细接口!$Y7=0,"",[2]对账明细接口!$Y7),"")</f>
        <v/>
      </c>
      <c r="AE6" s="90" t="str">
        <f aca="false">IFERROR(IF([2]对账明细接口!$AA7=0,"",[2]对账明细接口!$AA7),"")</f>
        <v/>
      </c>
      <c r="AF6" s="90" t="str">
        <f aca="false">IFERROR(IF([2]对账明细接口!$AB7=0,"",[2]对账明细接口!$AB7),"")</f>
        <v/>
      </c>
      <c r="AG6" s="90" t="str">
        <f aca="false">IFERROR(IF([2]对账明细接口!$AC7=0,"",[2]对账明细接口!$AC7),"")</f>
        <v/>
      </c>
      <c r="AH6" s="90" t="str">
        <f aca="false">IFERROR(IF([2]对账明细接口!$AD7=0,"",[2]对账明细接口!$AD7),"")</f>
        <v/>
      </c>
    </row>
    <row r="7" customFormat="false" ht="13.5" hidden="false" customHeight="false" outlineLevel="0" collapsed="false">
      <c r="A7" s="109" t="n">
        <v>7</v>
      </c>
      <c r="B7" s="110" t="n">
        <f aca="false">IFERROR(IF([2]对账明细接口!$B$7=0,"",[2]对账明细接口!$B$7),"")</f>
        <v>46246</v>
      </c>
      <c r="C7" s="59" t="str">
        <f aca="false">IFERROR(IF([2]对账明细接口!$C$7=0,"",[2]对账明细接口!$C$7),"")</f>
        <v>聂新平</v>
      </c>
      <c r="D7" s="59" t="str">
        <f aca="false">IFERROR(IF([2]对账明细接口!$D$7=0,"",[2]对账明细接口!$D$7),"")</f>
        <v>原料入库</v>
      </c>
      <c r="E7" s="59" t="str">
        <f aca="false">IFERROR(IF([2]对账明细接口!$E$7=0,"",[2]对账明细接口!$E$7),"")</f>
        <v>NO0000758</v>
      </c>
      <c r="F7" s="59" t="str">
        <f aca="false">IFERROR(IF([2]对账明细接口!$F$7=0,"",[2]对账明细接口!$F$7),"")</f>
        <v>苹果</v>
      </c>
      <c r="G7" s="59" t="str">
        <f aca="false">IFERROR(IF([2]对账明细接口!$G$7=0,"",[2]对账明细接口!$G$7),"")</f>
        <v>嘎啦100#</v>
      </c>
      <c r="H7" s="60" t="n">
        <f aca="false">IFERROR(IF([2]对账明细接口!$H$7=0,"",[2]对账明细接口!$H$7),"")</f>
        <v>7</v>
      </c>
      <c r="I7" s="59" t="str">
        <f aca="false">IFERROR(IF([2]对账明细接口!$I$7=0,"",[2]对账明细接口!$I$7),"")</f>
        <v>筐</v>
      </c>
      <c r="J7" s="61" t="n">
        <f aca="false">IFERROR(IF([2]对账明细接口!$J$7=0,"",[2]对账明细接口!$J$7),"")</f>
        <v>152.6</v>
      </c>
      <c r="K7" s="61" t="str">
        <f aca="false">IFERROR(IF([2]对账明细接口!$K$7=0,"",[2]对账明细接口!$K$7),"")</f>
        <v/>
      </c>
      <c r="L7" s="59" t="str">
        <f aca="false">IFERROR(IF([2]对账明细接口!$L$7=0,"",[2]对账明细接口!$L$7),"")</f>
        <v/>
      </c>
      <c r="M7" s="59" t="str">
        <f aca="false">IFERROR(IF([2]对账明细接口!$M$7=0,"",[2]对账明细接口!$M$7),"")</f>
        <v/>
      </c>
      <c r="N7" s="111" t="n">
        <f aca="false">IF($C7="",0,1)</f>
        <v>1</v>
      </c>
      <c r="O7" s="111" t="n">
        <f aca="false">N(O6)+$N7</f>
        <v>4</v>
      </c>
      <c r="Q7" s="114"/>
      <c r="R7" s="114"/>
      <c r="S7" s="10" t="str">
        <f aca="false">IFERROR(IF([2]对账明细接口!$N7=0,"",[2]对账明细接口!$N7),"")</f>
        <v>自备一次性筐</v>
      </c>
      <c r="T7" s="112" t="str">
        <f aca="false">IFERROR(IF([2]对账明细接口!$O7=0,"",[2]对账明细接口!$O7),"")</f>
        <v/>
      </c>
      <c r="U7" s="112" t="str">
        <f aca="false">IFERROR(IF([2]对账明细接口!$P7=0,"",[2]对账明细接口!$P7),"")</f>
        <v/>
      </c>
      <c r="V7" s="112" t="n">
        <f aca="false">IFERROR(IF([2]对账明细接口!$Q7=0,"",[2]对账明细接口!$Q7),"")</f>
        <v>7</v>
      </c>
      <c r="W7" s="10" t="str">
        <f aca="false">IFERROR(IF([2]对账明细接口!$R7=0,"",[2]对账明细接口!$R7),"")</f>
        <v>苏M*7G796</v>
      </c>
      <c r="X7" s="10" t="str">
        <f aca="false">IFERROR(IF([2]对账明细接口!$S7=0,"",[2]对账明细接口!$S7),"")</f>
        <v>自备筐</v>
      </c>
      <c r="Y7" s="10" t="str">
        <f aca="false">IFERROR(IF([2]对账明细接口!$T7=0,"",[2]对账明细接口!$T7),"")</f>
        <v/>
      </c>
      <c r="Z7" s="113" t="str">
        <f aca="false">IFERROR(IF([2]对账明细接口!$U7=0,"",[2]对账明细接口!$U7),"")</f>
        <v/>
      </c>
      <c r="AA7" s="113" t="str">
        <f aca="false">IFERROR(IF([2]对账明细接口!$V7=0,"",[2]对账明细接口!$V7),"")</f>
        <v/>
      </c>
      <c r="AB7" s="10" t="str">
        <f aca="false">IFERROR(IF([2]对账明细接口!$W7=0,"",[2]对账明细接口!$W7),"")</f>
        <v/>
      </c>
      <c r="AC7" s="90" t="str">
        <f aca="false">IFERROR(IF([2]对账明细接口!$X8=0,"",[2]对账明细接口!$X8),"")</f>
        <v/>
      </c>
      <c r="AD7" s="90" t="str">
        <f aca="false">IFERROR(IF([2]对账明细接口!$Y8=0,"",[2]对账明细接口!$Y8),"")</f>
        <v/>
      </c>
      <c r="AE7" s="90" t="str">
        <f aca="false">IFERROR(IF([2]对账明细接口!$AA8=0,"",[2]对账明细接口!$AA8),"")</f>
        <v/>
      </c>
      <c r="AF7" s="90" t="str">
        <f aca="false">IFERROR(IF([2]对账明细接口!$AB8=0,"",[2]对账明细接口!$AB8),"")</f>
        <v/>
      </c>
      <c r="AG7" s="90" t="str">
        <f aca="false">IFERROR(IF([2]对账明细接口!$AC8=0,"",[2]对账明细接口!$AC8),"")</f>
        <v/>
      </c>
      <c r="AH7" s="90" t="str">
        <f aca="false">IFERROR(IF([2]对账明细接口!$AD8=0,"",[2]对账明细接口!$AD8),"")</f>
        <v/>
      </c>
    </row>
    <row r="8" customFormat="false" ht="13.5" hidden="false" customHeight="false" outlineLevel="0" collapsed="false">
      <c r="A8" s="109" t="n">
        <v>8</v>
      </c>
      <c r="B8" s="110" t="n">
        <f aca="false">IFERROR(IF([2]对账明细接口!$B$8=0,"",[2]对账明细接口!$B$8),"")</f>
        <v>46246</v>
      </c>
      <c r="C8" s="59" t="str">
        <f aca="false">IFERROR(IF([2]对账明细接口!$C$8=0,"",[2]对账明细接口!$C$8),"")</f>
        <v>聂新平</v>
      </c>
      <c r="D8" s="59" t="str">
        <f aca="false">IFERROR(IF([2]对账明细接口!$D$8=0,"",[2]对账明细接口!$D$8),"")</f>
        <v>原料入库</v>
      </c>
      <c r="E8" s="59" t="str">
        <f aca="false">IFERROR(IF([2]对账明细接口!$E$8=0,"",[2]对账明细接口!$E$8),"")</f>
        <v>NO0000759</v>
      </c>
      <c r="F8" s="59" t="str">
        <f aca="false">IFERROR(IF([2]对账明细接口!$F$8=0,"",[2]对账明细接口!$F$8),"")</f>
        <v>苹果</v>
      </c>
      <c r="G8" s="59" t="str">
        <f aca="false">IFERROR(IF([2]对账明细接口!$G$8=0,"",[2]对账明细接口!$G$8),"")</f>
        <v>嘎啦85#</v>
      </c>
      <c r="H8" s="60" t="n">
        <f aca="false">IFERROR(IF([2]对账明细接口!$H$8=0,"",[2]对账明细接口!$H$8),"")</f>
        <v>20</v>
      </c>
      <c r="I8" s="59" t="str">
        <f aca="false">IFERROR(IF([2]对账明细接口!$I$8=0,"",[2]对账明细接口!$I$8),"")</f>
        <v>筐</v>
      </c>
      <c r="J8" s="61" t="n">
        <f aca="false">IFERROR(IF([2]对账明细接口!$J$8=0,"",[2]对账明细接口!$J$8),"")</f>
        <v>436</v>
      </c>
      <c r="K8" s="61" t="str">
        <f aca="false">IFERROR(IF([2]对账明细接口!$K$8=0,"",[2]对账明细接口!$K$8),"")</f>
        <v/>
      </c>
      <c r="L8" s="59" t="str">
        <f aca="false">IFERROR(IF([2]对账明细接口!$L$8=0,"",[2]对账明细接口!$L$8),"")</f>
        <v/>
      </c>
      <c r="M8" s="59" t="str">
        <f aca="false">IFERROR(IF([2]对账明细接口!$M$8=0,"",[2]对账明细接口!$M$8),"")</f>
        <v/>
      </c>
      <c r="N8" s="111" t="n">
        <f aca="false">IF($C8="",0,1)</f>
        <v>1</v>
      </c>
      <c r="O8" s="111" t="n">
        <f aca="false">N(O7)+$N8</f>
        <v>5</v>
      </c>
      <c r="Q8" s="114"/>
      <c r="R8" s="114"/>
      <c r="S8" s="10" t="str">
        <f aca="false">IFERROR(IF([2]对账明细接口!$N8=0,"",[2]对账明细接口!$N8),"")</f>
        <v>自备一次性筐</v>
      </c>
      <c r="T8" s="112" t="str">
        <f aca="false">IFERROR(IF([2]对账明细接口!$O8=0,"",[2]对账明细接口!$O8),"")</f>
        <v/>
      </c>
      <c r="U8" s="112" t="str">
        <f aca="false">IFERROR(IF([2]对账明细接口!$P8=0,"",[2]对账明细接口!$P8),"")</f>
        <v/>
      </c>
      <c r="V8" s="112" t="n">
        <f aca="false">IFERROR(IF([2]对账明细接口!$Q8=0,"",[2]对账明细接口!$Q8),"")</f>
        <v>20</v>
      </c>
      <c r="W8" s="10" t="str">
        <f aca="false">IFERROR(IF([2]对账明细接口!$R8=0,"",[2]对账明细接口!$R8),"")</f>
        <v>苏M*7G796</v>
      </c>
      <c r="X8" s="10" t="str">
        <f aca="false">IFERROR(IF([2]对账明细接口!$S8=0,"",[2]对账明细接口!$S8),"")</f>
        <v>自备筐</v>
      </c>
      <c r="Y8" s="10" t="str">
        <f aca="false">IFERROR(IF([2]对账明细接口!$T8=0,"",[2]对账明细接口!$T8),"")</f>
        <v/>
      </c>
      <c r="Z8" s="113" t="str">
        <f aca="false">IFERROR(IF([2]对账明细接口!$U8=0,"",[2]对账明细接口!$U8),"")</f>
        <v/>
      </c>
      <c r="AA8" s="113" t="str">
        <f aca="false">IFERROR(IF([2]对账明细接口!$V8=0,"",[2]对账明细接口!$V8),"")</f>
        <v/>
      </c>
      <c r="AB8" s="10" t="str">
        <f aca="false">IFERROR(IF([2]对账明细接口!$W8=0,"",[2]对账明细接口!$W8),"")</f>
        <v/>
      </c>
      <c r="AC8" s="90" t="str">
        <f aca="false">IFERROR(IF([2]对账明细接口!$X9=0,"",[2]对账明细接口!$X9),"")</f>
        <v/>
      </c>
      <c r="AD8" s="90" t="str">
        <f aca="false">IFERROR(IF([2]对账明细接口!$Y9=0,"",[2]对账明细接口!$Y9),"")</f>
        <v/>
      </c>
      <c r="AE8" s="90" t="str">
        <f aca="false">IFERROR(IF([2]对账明细接口!$AA9=0,"",[2]对账明细接口!$AA9),"")</f>
        <v/>
      </c>
      <c r="AF8" s="90" t="str">
        <f aca="false">IFERROR(IF([2]对账明细接口!$AB9=0,"",[2]对账明细接口!$AB9),"")</f>
        <v/>
      </c>
      <c r="AG8" s="90" t="str">
        <f aca="false">IFERROR(IF([2]对账明细接口!$AC9=0,"",[2]对账明细接口!$AC9),"")</f>
        <v/>
      </c>
      <c r="AH8" s="90" t="str">
        <f aca="false">IFERROR(IF([2]对账明细接口!$AD9=0,"",[2]对账明细接口!$AD9),"")</f>
        <v/>
      </c>
    </row>
    <row r="9" customFormat="false" ht="13.5" hidden="false" customHeight="false" outlineLevel="0" collapsed="false">
      <c r="A9" s="109" t="n">
        <v>9</v>
      </c>
      <c r="B9" s="110" t="n">
        <f aca="false">IFERROR(IF([2]对账明细接口!$B$9=0,"",[2]对账明细接口!$B$9),"")</f>
        <v>46246</v>
      </c>
      <c r="C9" s="59" t="str">
        <f aca="false">IFERROR(IF([2]对账明细接口!$C$9=0,"",[2]对账明细接口!$C$9),"")</f>
        <v>聂新平</v>
      </c>
      <c r="D9" s="59" t="str">
        <f aca="false">IFERROR(IF([2]对账明细接口!$D$9=0,"",[2]对账明细接口!$D$9),"")</f>
        <v>原料入库</v>
      </c>
      <c r="E9" s="59" t="str">
        <f aca="false">IFERROR(IF([2]对账明细接口!$E$9=0,"",[2]对账明细接口!$E$9),"")</f>
        <v>NO0000759</v>
      </c>
      <c r="F9" s="59" t="str">
        <f aca="false">IFERROR(IF([2]对账明细接口!$F$9=0,"",[2]对账明细接口!$F$9),"")</f>
        <v>苹果</v>
      </c>
      <c r="G9" s="59" t="str">
        <f aca="false">IFERROR(IF([2]对账明细接口!$G$9=0,"",[2]对账明细接口!$G$9),"")</f>
        <v>嘎啦100#</v>
      </c>
      <c r="H9" s="60" t="n">
        <f aca="false">IFERROR(IF([2]对账明细接口!$H$9=0,"",[2]对账明细接口!$H$9),"")</f>
        <v>28</v>
      </c>
      <c r="I9" s="59" t="str">
        <f aca="false">IFERROR(IF([2]对账明细接口!$I$9=0,"",[2]对账明细接口!$I$9),"")</f>
        <v>筐</v>
      </c>
      <c r="J9" s="61" t="n">
        <f aca="false">IFERROR(IF([2]对账明细接口!$J$9=0,"",[2]对账明细接口!$J$9),"")</f>
        <v>610.4</v>
      </c>
      <c r="K9" s="61" t="str">
        <f aca="false">IFERROR(IF([2]对账明细接口!$K$9=0,"",[2]对账明细接口!$K$9),"")</f>
        <v/>
      </c>
      <c r="L9" s="59" t="str">
        <f aca="false">IFERROR(IF([2]对账明细接口!$L$9=0,"",[2]对账明细接口!$L$9),"")</f>
        <v/>
      </c>
      <c r="M9" s="59" t="str">
        <f aca="false">IFERROR(IF([2]对账明细接口!$M$9=0,"",[2]对账明细接口!$M$9),"")</f>
        <v/>
      </c>
      <c r="N9" s="111" t="n">
        <f aca="false">IF($C9="",0,1)</f>
        <v>1</v>
      </c>
      <c r="O9" s="111" t="n">
        <f aca="false">N(O8)+$N9</f>
        <v>6</v>
      </c>
      <c r="Q9" s="114"/>
      <c r="R9" s="114"/>
      <c r="S9" s="10" t="str">
        <f aca="false">IFERROR(IF([2]对账明细接口!$N9=0,"",[2]对账明细接口!$N9),"")</f>
        <v>自备一次性筐</v>
      </c>
      <c r="T9" s="112" t="str">
        <f aca="false">IFERROR(IF([2]对账明细接口!$O9=0,"",[2]对账明细接口!$O9),"")</f>
        <v/>
      </c>
      <c r="U9" s="112" t="str">
        <f aca="false">IFERROR(IF([2]对账明细接口!$P9=0,"",[2]对账明细接口!$P9),"")</f>
        <v/>
      </c>
      <c r="V9" s="112" t="n">
        <f aca="false">IFERROR(IF([2]对账明细接口!$Q9=0,"",[2]对账明细接口!$Q9),"")</f>
        <v>28</v>
      </c>
      <c r="W9" s="10" t="str">
        <f aca="false">IFERROR(IF([2]对账明细接口!$R9=0,"",[2]对账明细接口!$R9),"")</f>
        <v>苏M*7G796</v>
      </c>
      <c r="X9" s="10" t="str">
        <f aca="false">IFERROR(IF([2]对账明细接口!$S9=0,"",[2]对账明细接口!$S9),"")</f>
        <v>自备筐</v>
      </c>
      <c r="Y9" s="10" t="str">
        <f aca="false">IFERROR(IF([2]对账明细接口!$T9=0,"",[2]对账明细接口!$T9),"")</f>
        <v/>
      </c>
      <c r="Z9" s="113" t="str">
        <f aca="false">IFERROR(IF([2]对账明细接口!$U9=0,"",[2]对账明细接口!$U9),"")</f>
        <v/>
      </c>
      <c r="AA9" s="113" t="str">
        <f aca="false">IFERROR(IF([2]对账明细接口!$V9=0,"",[2]对账明细接口!$V9),"")</f>
        <v/>
      </c>
      <c r="AB9" s="10" t="str">
        <f aca="false">IFERROR(IF([2]对账明细接口!$W9=0,"",[2]对账明细接口!$W9),"")</f>
        <v/>
      </c>
      <c r="AC9" s="90" t="str">
        <f aca="false">IFERROR(IF([2]对账明细接口!$X10=0,"",[2]对账明细接口!$X10),"")</f>
        <v/>
      </c>
      <c r="AD9" s="90" t="str">
        <f aca="false">IFERROR(IF([2]对账明细接口!$Y10=0,"",[2]对账明细接口!$Y10),"")</f>
        <v/>
      </c>
      <c r="AE9" s="90" t="str">
        <f aca="false">IFERROR(IF([2]对账明细接口!$AA10=0,"",[2]对账明细接口!$AA10),"")</f>
        <v/>
      </c>
      <c r="AF9" s="90" t="str">
        <f aca="false">IFERROR(IF([2]对账明细接口!$AB10=0,"",[2]对账明细接口!$AB10),"")</f>
        <v/>
      </c>
      <c r="AG9" s="90" t="str">
        <f aca="false">IFERROR(IF([2]对账明细接口!$AC10=0,"",[2]对账明细接口!$AC10),"")</f>
        <v/>
      </c>
      <c r="AH9" s="90" t="str">
        <f aca="false">IFERROR(IF([2]对账明细接口!$AD10=0,"",[2]对账明细接口!$AD10),"")</f>
        <v/>
      </c>
    </row>
    <row r="10" customFormat="false" ht="13.5" hidden="false" customHeight="false" outlineLevel="0" collapsed="false">
      <c r="A10" s="109" t="n">
        <v>10</v>
      </c>
      <c r="B10" s="110" t="n">
        <f aca="false">IFERROR(IF([2]对账明细接口!$B$10=0,"",[2]对账明细接口!$B$10),"")</f>
        <v>46246</v>
      </c>
      <c r="C10" s="59" t="str">
        <f aca="false">IFERROR(IF([2]对账明细接口!$C$10=0,"",[2]对账明细接口!$C$10),"")</f>
        <v>聂新平</v>
      </c>
      <c r="D10" s="59" t="str">
        <f aca="false">IFERROR(IF([2]对账明细接口!$D$10=0,"",[2]对账明细接口!$D$10),"")</f>
        <v>原料入库</v>
      </c>
      <c r="E10" s="59" t="str">
        <f aca="false">IFERROR(IF([2]对账明细接口!$E$10=0,"",[2]对账明细接口!$E$10),"")</f>
        <v>NO0000760</v>
      </c>
      <c r="F10" s="59" t="str">
        <f aca="false">IFERROR(IF([2]对账明细接口!$F$10=0,"",[2]对账明细接口!$F$10),"")</f>
        <v>苹果</v>
      </c>
      <c r="G10" s="59" t="str">
        <f aca="false">IFERROR(IF([2]对账明细接口!$G$10=0,"",[2]对账明细接口!$G$10),"")</f>
        <v>嘎啦85#</v>
      </c>
      <c r="H10" s="60" t="n">
        <f aca="false">IFERROR(IF([2]对账明细接口!$H$10=0,"",[2]对账明细接口!$H$10),"")</f>
        <v>19</v>
      </c>
      <c r="I10" s="59" t="str">
        <f aca="false">IFERROR(IF([2]对账明细接口!$I$10=0,"",[2]对账明细接口!$I$10),"")</f>
        <v>筐</v>
      </c>
      <c r="J10" s="61" t="n">
        <f aca="false">IFERROR(IF([2]对账明细接口!$J$10=0,"",[2]对账明细接口!$J$10),"")</f>
        <v>414.2</v>
      </c>
      <c r="K10" s="61" t="str">
        <f aca="false">IFERROR(IF([2]对账明细接口!$K$10=0,"",[2]对账明细接口!$K$10),"")</f>
        <v/>
      </c>
      <c r="L10" s="59" t="str">
        <f aca="false">IFERROR(IF([2]对账明细接口!$L$10=0,"",[2]对账明细接口!$L$10),"")</f>
        <v/>
      </c>
      <c r="M10" s="59" t="str">
        <f aca="false">IFERROR(IF([2]对账明细接口!$M$10=0,"",[2]对账明细接口!$M$10),"")</f>
        <v/>
      </c>
      <c r="N10" s="111" t="n">
        <f aca="false">IF($C10="",0,1)</f>
        <v>1</v>
      </c>
      <c r="O10" s="111" t="n">
        <f aca="false">N(O9)+$N10</f>
        <v>7</v>
      </c>
      <c r="S10" s="10" t="str">
        <f aca="false">IFERROR(IF([2]对账明细接口!$N10=0,"",[2]对账明细接口!$N10),"")</f>
        <v>自备一次性筐</v>
      </c>
      <c r="T10" s="112" t="str">
        <f aca="false">IFERROR(IF([2]对账明细接口!$O10=0,"",[2]对账明细接口!$O10),"")</f>
        <v/>
      </c>
      <c r="U10" s="112" t="str">
        <f aca="false">IFERROR(IF([2]对账明细接口!$P10=0,"",[2]对账明细接口!$P10),"")</f>
        <v/>
      </c>
      <c r="V10" s="112" t="n">
        <f aca="false">IFERROR(IF([2]对账明细接口!$Q10=0,"",[2]对账明细接口!$Q10),"")</f>
        <v>19</v>
      </c>
      <c r="W10" s="10" t="str">
        <f aca="false">IFERROR(IF([2]对账明细接口!$R10=0,"",[2]对账明细接口!$R10),"")</f>
        <v>苏M*7G796</v>
      </c>
      <c r="X10" s="10" t="str">
        <f aca="false">IFERROR(IF([2]对账明细接口!$S10=0,"",[2]对账明细接口!$S10),"")</f>
        <v>自备筐</v>
      </c>
      <c r="Y10" s="10" t="str">
        <f aca="false">IFERROR(IF([2]对账明细接口!$T10=0,"",[2]对账明细接口!$T10),"")</f>
        <v/>
      </c>
      <c r="Z10" s="113" t="str">
        <f aca="false">IFERROR(IF([2]对账明细接口!$U10=0,"",[2]对账明细接口!$U10),"")</f>
        <v/>
      </c>
      <c r="AA10" s="113" t="str">
        <f aca="false">IFERROR(IF([2]对账明细接口!$V10=0,"",[2]对账明细接口!$V10),"")</f>
        <v/>
      </c>
      <c r="AB10" s="10" t="str">
        <f aca="false">IFERROR(IF([2]对账明细接口!$W10=0,"",[2]对账明细接口!$W10),"")</f>
        <v/>
      </c>
      <c r="AC10" s="90" t="str">
        <f aca="false">IFERROR(IF([2]对账明细接口!$X11=0,"",[2]对账明细接口!$X11),"")</f>
        <v/>
      </c>
      <c r="AD10" s="90" t="str">
        <f aca="false">IFERROR(IF([2]对账明细接口!$Y11=0,"",[2]对账明细接口!$Y11),"")</f>
        <v/>
      </c>
      <c r="AE10" s="90" t="str">
        <f aca="false">IFERROR(IF([2]对账明细接口!$AA11=0,"",[2]对账明细接口!$AA11),"")</f>
        <v/>
      </c>
      <c r="AF10" s="90" t="str">
        <f aca="false">IFERROR(IF([2]对账明细接口!$AB11=0,"",[2]对账明细接口!$AB11),"")</f>
        <v/>
      </c>
      <c r="AG10" s="90" t="str">
        <f aca="false">IFERROR(IF([2]对账明细接口!$AC11=0,"",[2]对账明细接口!$AC11),"")</f>
        <v/>
      </c>
      <c r="AH10" s="90" t="str">
        <f aca="false">IFERROR(IF([2]对账明细接口!$AD11=0,"",[2]对账明细接口!$AD11),"")</f>
        <v/>
      </c>
    </row>
    <row r="11" customFormat="false" ht="13.5" hidden="false" customHeight="false" outlineLevel="0" collapsed="false">
      <c r="A11" s="109" t="n">
        <v>11</v>
      </c>
      <c r="B11" s="110" t="n">
        <f aca="false">IFERROR(IF([2]对账明细接口!$B$11=0,"",[2]对账明细接口!$B$11),"")</f>
        <v>46246</v>
      </c>
      <c r="C11" s="59" t="str">
        <f aca="false">IFERROR(IF([2]对账明细接口!$C$11=0,"",[2]对账明细接口!$C$11),"")</f>
        <v>聂新平</v>
      </c>
      <c r="D11" s="59" t="str">
        <f aca="false">IFERROR(IF([2]对账明细接口!$D$11=0,"",[2]对账明细接口!$D$11),"")</f>
        <v>原料入库</v>
      </c>
      <c r="E11" s="59" t="str">
        <f aca="false">IFERROR(IF([2]对账明细接口!$E$11=0,"",[2]对账明细接口!$E$11),"")</f>
        <v>NO0000760</v>
      </c>
      <c r="F11" s="59" t="str">
        <f aca="false">IFERROR(IF([2]对账明细接口!$F$11=0,"",[2]对账明细接口!$F$11),"")</f>
        <v>苹果</v>
      </c>
      <c r="G11" s="59" t="str">
        <f aca="false">IFERROR(IF([2]对账明细接口!$G$11=0,"",[2]对账明细接口!$G$11),"")</f>
        <v>嘎啦100#</v>
      </c>
      <c r="H11" s="60" t="n">
        <f aca="false">IFERROR(IF([2]对账明细接口!$H$11=0,"",[2]对账明细接口!$H$11),"")</f>
        <v>14</v>
      </c>
      <c r="I11" s="59" t="str">
        <f aca="false">IFERROR(IF([2]对账明细接口!$I$11=0,"",[2]对账明细接口!$I$11),"")</f>
        <v>筐</v>
      </c>
      <c r="J11" s="61" t="n">
        <f aca="false">IFERROR(IF([2]对账明细接口!$J$11=0,"",[2]对账明细接口!$J$11),"")</f>
        <v>305.2</v>
      </c>
      <c r="K11" s="61" t="str">
        <f aca="false">IFERROR(IF([2]对账明细接口!$K$11=0,"",[2]对账明细接口!$K$11),"")</f>
        <v/>
      </c>
      <c r="L11" s="59" t="str">
        <f aca="false">IFERROR(IF([2]对账明细接口!$L$11=0,"",[2]对账明细接口!$L$11),"")</f>
        <v/>
      </c>
      <c r="M11" s="59" t="str">
        <f aca="false">IFERROR(IF([2]对账明细接口!$M$11=0,"",[2]对账明细接口!$M$11),"")</f>
        <v/>
      </c>
      <c r="N11" s="111" t="n">
        <f aca="false">IF($C11="",0,1)</f>
        <v>1</v>
      </c>
      <c r="O11" s="111" t="n">
        <f aca="false">N(O10)+$N11</f>
        <v>8</v>
      </c>
      <c r="S11" s="10" t="str">
        <f aca="false">IFERROR(IF([2]对账明细接口!$N11=0,"",[2]对账明细接口!$N11),"")</f>
        <v>自备一次性筐</v>
      </c>
      <c r="T11" s="112" t="str">
        <f aca="false">IFERROR(IF([2]对账明细接口!$O11=0,"",[2]对账明细接口!$O11),"")</f>
        <v/>
      </c>
      <c r="U11" s="112" t="str">
        <f aca="false">IFERROR(IF([2]对账明细接口!$P11=0,"",[2]对账明细接口!$P11),"")</f>
        <v/>
      </c>
      <c r="V11" s="112" t="n">
        <f aca="false">IFERROR(IF([2]对账明细接口!$Q11=0,"",[2]对账明细接口!$Q11),"")</f>
        <v>14</v>
      </c>
      <c r="W11" s="10" t="str">
        <f aca="false">IFERROR(IF([2]对账明细接口!$R11=0,"",[2]对账明细接口!$R11),"")</f>
        <v>苏M*7G796</v>
      </c>
      <c r="X11" s="10" t="str">
        <f aca="false">IFERROR(IF([2]对账明细接口!$S11=0,"",[2]对账明细接口!$S11),"")</f>
        <v>自备筐</v>
      </c>
      <c r="Y11" s="10" t="str">
        <f aca="false">IFERROR(IF([2]对账明细接口!$T11=0,"",[2]对账明细接口!$T11),"")</f>
        <v/>
      </c>
      <c r="Z11" s="113" t="str">
        <f aca="false">IFERROR(IF([2]对账明细接口!$U11=0,"",[2]对账明细接口!$U11),"")</f>
        <v/>
      </c>
      <c r="AA11" s="113" t="str">
        <f aca="false">IFERROR(IF([2]对账明细接口!$V11=0,"",[2]对账明细接口!$V11),"")</f>
        <v/>
      </c>
      <c r="AB11" s="10" t="str">
        <f aca="false">IFERROR(IF([2]对账明细接口!$W11=0,"",[2]对账明细接口!$W11),"")</f>
        <v/>
      </c>
      <c r="AC11" s="90" t="str">
        <f aca="false">IFERROR(IF([2]对账明细接口!$X12=0,"",[2]对账明细接口!$X12),"")</f>
        <v/>
      </c>
      <c r="AD11" s="90" t="str">
        <f aca="false">IFERROR(IF([2]对账明细接口!$Y12=0,"",[2]对账明细接口!$Y12),"")</f>
        <v/>
      </c>
      <c r="AE11" s="90" t="str">
        <f aca="false">IFERROR(IF([2]对账明细接口!$AA12=0,"",[2]对账明细接口!$AA12),"")</f>
        <v/>
      </c>
      <c r="AF11" s="90" t="str">
        <f aca="false">IFERROR(IF([2]对账明细接口!$AB12=0,"",[2]对账明细接口!$AB12),"")</f>
        <v/>
      </c>
      <c r="AG11" s="90" t="str">
        <f aca="false">IFERROR(IF([2]对账明细接口!$AC12=0,"",[2]对账明细接口!$AC12),"")</f>
        <v/>
      </c>
      <c r="AH11" s="90" t="str">
        <f aca="false">IFERROR(IF([2]对账明细接口!$AD12=0,"",[2]对账明细接口!$AD12),"")</f>
        <v/>
      </c>
    </row>
    <row r="12" customFormat="false" ht="13.5" hidden="false" customHeight="false" outlineLevel="0" collapsed="false">
      <c r="A12" s="109" t="n">
        <v>12</v>
      </c>
      <c r="B12" s="110" t="n">
        <f aca="false">IFERROR(IF([2]对账明细接口!$B$12=0,"",[2]对账明细接口!$B$12),"")</f>
        <v>46247</v>
      </c>
      <c r="C12" s="59" t="str">
        <f aca="false">IFERROR(IF([2]对账明细接口!$C$12=0,"",[2]对账明细接口!$C$12),"")</f>
        <v>聂新平</v>
      </c>
      <c r="D12" s="59" t="str">
        <f aca="false">IFERROR(IF([2]对账明细接口!$D$12=0,"",[2]对账明细接口!$D$12),"")</f>
        <v>原料入库</v>
      </c>
      <c r="E12" s="59" t="str">
        <f aca="false">IFERROR(IF([2]对账明细接口!$E$12=0,"",[2]对账明细接口!$E$12),"")</f>
        <v>NO0000761</v>
      </c>
      <c r="F12" s="59" t="str">
        <f aca="false">IFERROR(IF([2]对账明细接口!$F$12=0,"",[2]对账明细接口!$F$12),"")</f>
        <v>苹果</v>
      </c>
      <c r="G12" s="59" t="str">
        <f aca="false">IFERROR(IF([2]对账明细接口!$G$12=0,"",[2]对账明细接口!$G$12),"")</f>
        <v>嘎啦85#</v>
      </c>
      <c r="H12" s="60" t="n">
        <f aca="false">IFERROR(IF([2]对账明细接口!$H$12=0,"",[2]对账明细接口!$H$12),"")</f>
        <v>17</v>
      </c>
      <c r="I12" s="59" t="str">
        <f aca="false">IFERROR(IF([2]对账明细接口!$I$12=0,"",[2]对账明细接口!$I$12),"")</f>
        <v>筐</v>
      </c>
      <c r="J12" s="61" t="n">
        <f aca="false">IFERROR(IF([2]对账明细接口!$J$12=0,"",[2]对账明细接口!$J$12),"")</f>
        <v>370.6</v>
      </c>
      <c r="K12" s="61" t="str">
        <f aca="false">IFERROR(IF([2]对账明细接口!$K$12=0,"",[2]对账明细接口!$K$12),"")</f>
        <v/>
      </c>
      <c r="L12" s="59" t="str">
        <f aca="false">IFERROR(IF([2]对账明细接口!$L$12=0,"",[2]对账明细接口!$L$12),"")</f>
        <v/>
      </c>
      <c r="M12" s="59" t="str">
        <f aca="false">IFERROR(IF([2]对账明细接口!$M$12=0,"",[2]对账明细接口!$M$12),"")</f>
        <v/>
      </c>
      <c r="N12" s="111" t="n">
        <f aca="false">IF($C12="",0,1)</f>
        <v>1</v>
      </c>
      <c r="O12" s="111" t="n">
        <f aca="false">N(O11)+$N12</f>
        <v>9</v>
      </c>
      <c r="S12" s="10" t="str">
        <f aca="false">IFERROR(IF([2]对账明细接口!$N12=0,"",[2]对账明细接口!$N12),"")</f>
        <v>自备一次性筐</v>
      </c>
      <c r="T12" s="112" t="str">
        <f aca="false">IFERROR(IF([2]对账明细接口!$O12=0,"",[2]对账明细接口!$O12),"")</f>
        <v/>
      </c>
      <c r="U12" s="112" t="str">
        <f aca="false">IFERROR(IF([2]对账明细接口!$P12=0,"",[2]对账明细接口!$P12),"")</f>
        <v/>
      </c>
      <c r="V12" s="112" t="n">
        <f aca="false">IFERROR(IF([2]对账明细接口!$Q12=0,"",[2]对账明细接口!$Q12),"")</f>
        <v>17</v>
      </c>
      <c r="W12" s="10" t="str">
        <f aca="false">IFERROR(IF([2]对账明细接口!$R12=0,"",[2]对账明细接口!$R12),"")</f>
        <v>苏M*7G796</v>
      </c>
      <c r="X12" s="10" t="str">
        <f aca="false">IFERROR(IF([2]对账明细接口!$S12=0,"",[2]对账明细接口!$S12),"")</f>
        <v>自备筐</v>
      </c>
      <c r="Y12" s="10" t="str">
        <f aca="false">IFERROR(IF([2]对账明细接口!$T12=0,"",[2]对账明细接口!$T12),"")</f>
        <v/>
      </c>
      <c r="Z12" s="113" t="str">
        <f aca="false">IFERROR(IF([2]对账明细接口!$U12=0,"",[2]对账明细接口!$U12),"")</f>
        <v/>
      </c>
      <c r="AA12" s="113" t="str">
        <f aca="false">IFERROR(IF([2]对账明细接口!$V12=0,"",[2]对账明细接口!$V12),"")</f>
        <v/>
      </c>
      <c r="AB12" s="10" t="str">
        <f aca="false">IFERROR(IF([2]对账明细接口!$W12=0,"",[2]对账明细接口!$W12),"")</f>
        <v/>
      </c>
      <c r="AC12" s="90" t="str">
        <f aca="false">IFERROR(IF([2]对账明细接口!$X13=0,"",[2]对账明细接口!$X13),"")</f>
        <v/>
      </c>
      <c r="AD12" s="90" t="str">
        <f aca="false">IFERROR(IF([2]对账明细接口!$Y13=0,"",[2]对账明细接口!$Y13),"")</f>
        <v/>
      </c>
      <c r="AE12" s="90" t="str">
        <f aca="false">IFERROR(IF([2]对账明细接口!$AA13=0,"",[2]对账明细接口!$AA13),"")</f>
        <v/>
      </c>
      <c r="AF12" s="90" t="str">
        <f aca="false">IFERROR(IF([2]对账明细接口!$AB13=0,"",[2]对账明细接口!$AB13),"")</f>
        <v/>
      </c>
      <c r="AG12" s="90" t="str">
        <f aca="false">IFERROR(IF([2]对账明细接口!$AC13=0,"",[2]对账明细接口!$AC13),"")</f>
        <v/>
      </c>
      <c r="AH12" s="90" t="str">
        <f aca="false">IFERROR(IF([2]对账明细接口!$AD13=0,"",[2]对账明细接口!$AD13),"")</f>
        <v/>
      </c>
    </row>
    <row r="13" customFormat="false" ht="13.5" hidden="false" customHeight="false" outlineLevel="0" collapsed="false">
      <c r="A13" s="109" t="n">
        <v>13</v>
      </c>
      <c r="B13" s="110" t="n">
        <f aca="false">IFERROR(IF([2]对账明细接口!$B$13=0,"",[2]对账明细接口!$B$13),"")</f>
        <v>46247</v>
      </c>
      <c r="C13" s="59" t="str">
        <f aca="false">IFERROR(IF([2]对账明细接口!$C$13=0,"",[2]对账明细接口!$C$13),"")</f>
        <v>聂新平</v>
      </c>
      <c r="D13" s="59" t="str">
        <f aca="false">IFERROR(IF([2]对账明细接口!$D$13=0,"",[2]对账明细接口!$D$13),"")</f>
        <v>原料入库</v>
      </c>
      <c r="E13" s="59" t="str">
        <f aca="false">IFERROR(IF([2]对账明细接口!$E$13=0,"",[2]对账明细接口!$E$13),"")</f>
        <v>NO0000761</v>
      </c>
      <c r="F13" s="59" t="str">
        <f aca="false">IFERROR(IF([2]对账明细接口!$F$13=0,"",[2]对账明细接口!$F$13),"")</f>
        <v>苹果</v>
      </c>
      <c r="G13" s="59" t="str">
        <f aca="false">IFERROR(IF([2]对账明细接口!$G$13=0,"",[2]对账明细接口!$G$13),"")</f>
        <v>嘎啦100#</v>
      </c>
      <c r="H13" s="60" t="n">
        <f aca="false">IFERROR(IF([2]对账明细接口!$H$13=0,"",[2]对账明细接口!$H$13),"")</f>
        <v>43</v>
      </c>
      <c r="I13" s="59" t="str">
        <f aca="false">IFERROR(IF([2]对账明细接口!$I$13=0,"",[2]对账明细接口!$I$13),"")</f>
        <v>筐</v>
      </c>
      <c r="J13" s="61" t="n">
        <f aca="false">IFERROR(IF([2]对账明细接口!$J$13=0,"",[2]对账明细接口!$J$13),"")</f>
        <v>937.4</v>
      </c>
      <c r="K13" s="61" t="str">
        <f aca="false">IFERROR(IF([2]对账明细接口!$K$13=0,"",[2]对账明细接口!$K$13),"")</f>
        <v/>
      </c>
      <c r="L13" s="59" t="str">
        <f aca="false">IFERROR(IF([2]对账明细接口!$L$13=0,"",[2]对账明细接口!$L$13),"")</f>
        <v/>
      </c>
      <c r="M13" s="59" t="str">
        <f aca="false">IFERROR(IF([2]对账明细接口!$M$13=0,"",[2]对账明细接口!$M$13),"")</f>
        <v/>
      </c>
      <c r="N13" s="111" t="n">
        <f aca="false">IF($C13="",0,1)</f>
        <v>1</v>
      </c>
      <c r="O13" s="111" t="n">
        <f aca="false">N(O12)+$N13</f>
        <v>10</v>
      </c>
      <c r="S13" s="10" t="str">
        <f aca="false">IFERROR(IF([2]对账明细接口!$N13=0,"",[2]对账明细接口!$N13),"")</f>
        <v>自备一次性筐</v>
      </c>
      <c r="T13" s="112" t="str">
        <f aca="false">IFERROR(IF([2]对账明细接口!$O13=0,"",[2]对账明细接口!$O13),"")</f>
        <v/>
      </c>
      <c r="U13" s="112" t="str">
        <f aca="false">IFERROR(IF([2]对账明细接口!$P13=0,"",[2]对账明细接口!$P13),"")</f>
        <v/>
      </c>
      <c r="V13" s="112" t="n">
        <f aca="false">IFERROR(IF([2]对账明细接口!$Q13=0,"",[2]对账明细接口!$Q13),"")</f>
        <v>43</v>
      </c>
      <c r="W13" s="10" t="str">
        <f aca="false">IFERROR(IF([2]对账明细接口!$R13=0,"",[2]对账明细接口!$R13),"")</f>
        <v>苏M*7G796</v>
      </c>
      <c r="X13" s="10" t="str">
        <f aca="false">IFERROR(IF([2]对账明细接口!$S13=0,"",[2]对账明细接口!$S13),"")</f>
        <v>自备筐</v>
      </c>
      <c r="Y13" s="10" t="str">
        <f aca="false">IFERROR(IF([2]对账明细接口!$T13=0,"",[2]对账明细接口!$T13),"")</f>
        <v/>
      </c>
      <c r="Z13" s="113" t="str">
        <f aca="false">IFERROR(IF([2]对账明细接口!$U13=0,"",[2]对账明细接口!$U13),"")</f>
        <v/>
      </c>
      <c r="AA13" s="113" t="str">
        <f aca="false">IFERROR(IF([2]对账明细接口!$V13=0,"",[2]对账明细接口!$V13),"")</f>
        <v/>
      </c>
      <c r="AB13" s="10" t="str">
        <f aca="false">IFERROR(IF([2]对账明细接口!$W13=0,"",[2]对账明细接口!$W13),"")</f>
        <v/>
      </c>
      <c r="AC13" s="90" t="str">
        <f aca="false">IFERROR(IF([2]对账明细接口!$X14=0,"",[2]对账明细接口!$X14),"")</f>
        <v/>
      </c>
      <c r="AD13" s="90" t="str">
        <f aca="false">IFERROR(IF([2]对账明细接口!$Y14=0,"",[2]对账明细接口!$Y14),"")</f>
        <v/>
      </c>
      <c r="AE13" s="90" t="str">
        <f aca="false">IFERROR(IF([2]对账明细接口!$AA14=0,"",[2]对账明细接口!$AA14),"")</f>
        <v/>
      </c>
      <c r="AF13" s="90" t="str">
        <f aca="false">IFERROR(IF([2]对账明细接口!$AB14=0,"",[2]对账明细接口!$AB14),"")</f>
        <v/>
      </c>
      <c r="AG13" s="90" t="str">
        <f aca="false">IFERROR(IF([2]对账明细接口!$AC14=0,"",[2]对账明细接口!$AC14),"")</f>
        <v/>
      </c>
      <c r="AH13" s="90" t="str">
        <f aca="false">IFERROR(IF([2]对账明细接口!$AD14=0,"",[2]对账明细接口!$AD14),"")</f>
        <v/>
      </c>
    </row>
    <row r="14" customFormat="false" ht="13.5" hidden="false" customHeight="false" outlineLevel="0" collapsed="false">
      <c r="A14" s="109" t="n">
        <v>14</v>
      </c>
      <c r="B14" s="110" t="n">
        <f aca="false">IFERROR(IF([2]对账明细接口!$B$14=0,"",[2]对账明细接口!$B$14),"")</f>
        <v>46247</v>
      </c>
      <c r="C14" s="59" t="str">
        <f aca="false">IFERROR(IF([2]对账明细接口!$C$14=0,"",[2]对账明细接口!$C$14),"")</f>
        <v>聂新平</v>
      </c>
      <c r="D14" s="59" t="str">
        <f aca="false">IFERROR(IF([2]对账明细接口!$D$14=0,"",[2]对账明细接口!$D$14),"")</f>
        <v>原料入库</v>
      </c>
      <c r="E14" s="59" t="str">
        <f aca="false">IFERROR(IF([2]对账明细接口!$E$14=0,"",[2]对账明细接口!$E$14),"")</f>
        <v>NO0000762</v>
      </c>
      <c r="F14" s="59" t="str">
        <f aca="false">IFERROR(IF([2]对账明细接口!$F$14=0,"",[2]对账明细接口!$F$14),"")</f>
        <v>苹果</v>
      </c>
      <c r="G14" s="59" t="str">
        <f aca="false">IFERROR(IF([2]对账明细接口!$G$14=0,"",[2]对账明细接口!$G$14),"")</f>
        <v>嘎啦85#</v>
      </c>
      <c r="H14" s="60" t="n">
        <f aca="false">IFERROR(IF([2]对账明细接口!$H$14=0,"",[2]对账明细接口!$H$14),"")</f>
        <v>20</v>
      </c>
      <c r="I14" s="59" t="str">
        <f aca="false">IFERROR(IF([2]对账明细接口!$I$14=0,"",[2]对账明细接口!$I$14),"")</f>
        <v>筐</v>
      </c>
      <c r="J14" s="61" t="n">
        <f aca="false">IFERROR(IF([2]对账明细接口!$J$14=0,"",[2]对账明细接口!$J$14),"")</f>
        <v>436</v>
      </c>
      <c r="K14" s="61" t="str">
        <f aca="false">IFERROR(IF([2]对账明细接口!$K$14=0,"",[2]对账明细接口!$K$14),"")</f>
        <v/>
      </c>
      <c r="L14" s="59" t="str">
        <f aca="false">IFERROR(IF([2]对账明细接口!$L$14=0,"",[2]对账明细接口!$L$14),"")</f>
        <v/>
      </c>
      <c r="M14" s="59" t="str">
        <f aca="false">IFERROR(IF([2]对账明细接口!$M$14=0,"",[2]对账明细接口!$M$14),"")</f>
        <v/>
      </c>
      <c r="N14" s="111" t="n">
        <f aca="false">IF($C14="",0,1)</f>
        <v>1</v>
      </c>
      <c r="O14" s="111" t="n">
        <f aca="false">N(O13)+$N14</f>
        <v>11</v>
      </c>
      <c r="S14" s="10" t="str">
        <f aca="false">IFERROR(IF([2]对账明细接口!$N14=0,"",[2]对账明细接口!$N14),"")</f>
        <v>自备一次性筐</v>
      </c>
      <c r="T14" s="112" t="str">
        <f aca="false">IFERROR(IF([2]对账明细接口!$O14=0,"",[2]对账明细接口!$O14),"")</f>
        <v/>
      </c>
      <c r="U14" s="112" t="str">
        <f aca="false">IFERROR(IF([2]对账明细接口!$P14=0,"",[2]对账明细接口!$P14),"")</f>
        <v/>
      </c>
      <c r="V14" s="112" t="n">
        <f aca="false">IFERROR(IF([2]对账明细接口!$Q14=0,"",[2]对账明细接口!$Q14),"")</f>
        <v>20</v>
      </c>
      <c r="W14" s="10" t="str">
        <f aca="false">IFERROR(IF([2]对账明细接口!$R14=0,"",[2]对账明细接口!$R14),"")</f>
        <v>苏M*7G796</v>
      </c>
      <c r="X14" s="10" t="str">
        <f aca="false">IFERROR(IF([2]对账明细接口!$S14=0,"",[2]对账明细接口!$S14),"")</f>
        <v>自备筐</v>
      </c>
      <c r="Y14" s="10" t="str">
        <f aca="false">IFERROR(IF([2]对账明细接口!$T14=0,"",[2]对账明细接口!$T14),"")</f>
        <v/>
      </c>
      <c r="Z14" s="113" t="str">
        <f aca="false">IFERROR(IF([2]对账明细接口!$U14=0,"",[2]对账明细接口!$U14),"")</f>
        <v/>
      </c>
      <c r="AA14" s="113" t="str">
        <f aca="false">IFERROR(IF([2]对账明细接口!$V14=0,"",[2]对账明细接口!$V14),"")</f>
        <v/>
      </c>
      <c r="AB14" s="10" t="str">
        <f aca="false">IFERROR(IF([2]对账明细接口!$W14=0,"",[2]对账明细接口!$W14),"")</f>
        <v/>
      </c>
      <c r="AC14" s="90" t="str">
        <f aca="false">IFERROR(IF([2]对账明细接口!$X15=0,"",[2]对账明细接口!$X15),"")</f>
        <v/>
      </c>
      <c r="AD14" s="90" t="str">
        <f aca="false">IFERROR(IF([2]对账明细接口!$Y15=0,"",[2]对账明细接口!$Y15),"")</f>
        <v/>
      </c>
      <c r="AE14" s="90" t="str">
        <f aca="false">IFERROR(IF([2]对账明细接口!$AA15=0,"",[2]对账明细接口!$AA15),"")</f>
        <v/>
      </c>
      <c r="AF14" s="90" t="str">
        <f aca="false">IFERROR(IF([2]对账明细接口!$AB15=0,"",[2]对账明细接口!$AB15),"")</f>
        <v/>
      </c>
      <c r="AG14" s="90" t="str">
        <f aca="false">IFERROR(IF([2]对账明细接口!$AC15=0,"",[2]对账明细接口!$AC15),"")</f>
        <v/>
      </c>
      <c r="AH14" s="90" t="str">
        <f aca="false">IFERROR(IF([2]对账明细接口!$AD15=0,"",[2]对账明细接口!$AD15),"")</f>
        <v/>
      </c>
    </row>
    <row r="15" customFormat="false" ht="13.5" hidden="false" customHeight="false" outlineLevel="0" collapsed="false">
      <c r="A15" s="109" t="n">
        <v>15</v>
      </c>
      <c r="B15" s="110" t="n">
        <f aca="false">IFERROR(IF([2]对账明细接口!$B$15=0,"",[2]对账明细接口!$B$15),"")</f>
        <v>46247</v>
      </c>
      <c r="C15" s="59" t="str">
        <f aca="false">IFERROR(IF([2]对账明细接口!$C$15=0,"",[2]对账明细接口!$C$15),"")</f>
        <v>聂新平</v>
      </c>
      <c r="D15" s="59" t="str">
        <f aca="false">IFERROR(IF([2]对账明细接口!$D$15=0,"",[2]对账明细接口!$D$15),"")</f>
        <v>原料入库</v>
      </c>
      <c r="E15" s="59" t="str">
        <f aca="false">IFERROR(IF([2]对账明细接口!$E$15=0,"",[2]对账明细接口!$E$15),"")</f>
        <v>NO0000762</v>
      </c>
      <c r="F15" s="59" t="str">
        <f aca="false">IFERROR(IF([2]对账明细接口!$F$15=0,"",[2]对账明细接口!$F$15),"")</f>
        <v>苹果</v>
      </c>
      <c r="G15" s="59" t="str">
        <f aca="false">IFERROR(IF([2]对账明细接口!$G$15=0,"",[2]对账明细接口!$G$15),"")</f>
        <v>嘎啦100#</v>
      </c>
      <c r="H15" s="60" t="n">
        <f aca="false">IFERROR(IF([2]对账明细接口!$H$15=0,"",[2]对账明细接口!$H$15),"")</f>
        <v>31</v>
      </c>
      <c r="I15" s="59" t="str">
        <f aca="false">IFERROR(IF([2]对账明细接口!$I$15=0,"",[2]对账明细接口!$I$15),"")</f>
        <v>筐</v>
      </c>
      <c r="J15" s="61" t="n">
        <f aca="false">IFERROR(IF([2]对账明细接口!$J$15=0,"",[2]对账明细接口!$J$15),"")</f>
        <v>675.8</v>
      </c>
      <c r="K15" s="61" t="str">
        <f aca="false">IFERROR(IF([2]对账明细接口!$K$15=0,"",[2]对账明细接口!$K$15),"")</f>
        <v/>
      </c>
      <c r="L15" s="59" t="str">
        <f aca="false">IFERROR(IF([2]对账明细接口!$L$15=0,"",[2]对账明细接口!$L$15),"")</f>
        <v/>
      </c>
      <c r="M15" s="59" t="str">
        <f aca="false">IFERROR(IF([2]对账明细接口!$M$15=0,"",[2]对账明细接口!$M$15),"")</f>
        <v/>
      </c>
      <c r="N15" s="111" t="n">
        <f aca="false">IF($C15="",0,1)</f>
        <v>1</v>
      </c>
      <c r="O15" s="111" t="n">
        <f aca="false">N(O14)+$N15</f>
        <v>12</v>
      </c>
      <c r="S15" s="10" t="str">
        <f aca="false">IFERROR(IF([2]对账明细接口!$N15=0,"",[2]对账明细接口!$N15),"")</f>
        <v>自备一次性筐</v>
      </c>
      <c r="T15" s="112" t="str">
        <f aca="false">IFERROR(IF([2]对账明细接口!$O15=0,"",[2]对账明细接口!$O15),"")</f>
        <v/>
      </c>
      <c r="U15" s="112" t="str">
        <f aca="false">IFERROR(IF([2]对账明细接口!$P15=0,"",[2]对账明细接口!$P15),"")</f>
        <v/>
      </c>
      <c r="V15" s="112" t="n">
        <f aca="false">IFERROR(IF([2]对账明细接口!$Q15=0,"",[2]对账明细接口!$Q15),"")</f>
        <v>31</v>
      </c>
      <c r="W15" s="10" t="str">
        <f aca="false">IFERROR(IF([2]对账明细接口!$R15=0,"",[2]对账明细接口!$R15),"")</f>
        <v>苏M*7G796</v>
      </c>
      <c r="X15" s="10" t="str">
        <f aca="false">IFERROR(IF([2]对账明细接口!$S15=0,"",[2]对账明细接口!$S15),"")</f>
        <v>自备筐</v>
      </c>
      <c r="Y15" s="10" t="str">
        <f aca="false">IFERROR(IF([2]对账明细接口!$T15=0,"",[2]对账明细接口!$T15),"")</f>
        <v/>
      </c>
      <c r="Z15" s="113" t="str">
        <f aca="false">IFERROR(IF([2]对账明细接口!$U15=0,"",[2]对账明细接口!$U15),"")</f>
        <v/>
      </c>
      <c r="AA15" s="113" t="str">
        <f aca="false">IFERROR(IF([2]对账明细接口!$V15=0,"",[2]对账明细接口!$V15),"")</f>
        <v/>
      </c>
      <c r="AB15" s="10" t="str">
        <f aca="false">IFERROR(IF([2]对账明细接口!$W15=0,"",[2]对账明细接口!$W15),"")</f>
        <v/>
      </c>
      <c r="AC15" s="90" t="str">
        <f aca="false">IFERROR(IF([2]对账明细接口!$X16=0,"",[2]对账明细接口!$X16),"")</f>
        <v/>
      </c>
      <c r="AD15" s="90" t="str">
        <f aca="false">IFERROR(IF([2]对账明细接口!$Y16=0,"",[2]对账明细接口!$Y16),"")</f>
        <v/>
      </c>
      <c r="AE15" s="90" t="str">
        <f aca="false">IFERROR(IF([2]对账明细接口!$AA16=0,"",[2]对账明细接口!$AA16),"")</f>
        <v/>
      </c>
      <c r="AF15" s="90" t="str">
        <f aca="false">IFERROR(IF([2]对账明细接口!$AB16=0,"",[2]对账明细接口!$AB16),"")</f>
        <v/>
      </c>
      <c r="AG15" s="90" t="str">
        <f aca="false">IFERROR(IF([2]对账明细接口!$AC16=0,"",[2]对账明细接口!$AC16),"")</f>
        <v/>
      </c>
      <c r="AH15" s="90" t="str">
        <f aca="false">IFERROR(IF([2]对账明细接口!$AD16=0,"",[2]对账明细接口!$AD16),"")</f>
        <v/>
      </c>
    </row>
    <row r="16" customFormat="false" ht="13.5" hidden="false" customHeight="false" outlineLevel="0" collapsed="false">
      <c r="A16" s="109" t="n">
        <v>16</v>
      </c>
      <c r="B16" s="110" t="n">
        <f aca="false">IFERROR(IF([2]对账明细接口!$B$16=0,"",[2]对账明细接口!$B$16),"")</f>
        <v>46247</v>
      </c>
      <c r="C16" s="59" t="str">
        <f aca="false">IFERROR(IF([2]对账明细接口!$C$16=0,"",[2]对账明细接口!$C$16),"")</f>
        <v>聂新平</v>
      </c>
      <c r="D16" s="59" t="str">
        <f aca="false">IFERROR(IF([2]对账明细接口!$D$16=0,"",[2]对账明细接口!$D$16),"")</f>
        <v>原料入库</v>
      </c>
      <c r="E16" s="59" t="str">
        <f aca="false">IFERROR(IF([2]对账明细接口!$E$16=0,"",[2]对账明细接口!$E$16),"")</f>
        <v>NO0000764</v>
      </c>
      <c r="F16" s="59" t="str">
        <f aca="false">IFERROR(IF([2]对账明细接口!$F$16=0,"",[2]对账明细接口!$F$16),"")</f>
        <v>苹果</v>
      </c>
      <c r="G16" s="59" t="str">
        <f aca="false">IFERROR(IF([2]对账明细接口!$G$16=0,"",[2]对账明细接口!$G$16),"")</f>
        <v>嘎啦85#</v>
      </c>
      <c r="H16" s="60" t="n">
        <f aca="false">IFERROR(IF([2]对账明细接口!$H$16=0,"",[2]对账明细接口!$H$16),"")</f>
        <v>10</v>
      </c>
      <c r="I16" s="59" t="str">
        <f aca="false">IFERROR(IF([2]对账明细接口!$I$16=0,"",[2]对账明细接口!$I$16),"")</f>
        <v>筐</v>
      </c>
      <c r="J16" s="61" t="n">
        <f aca="false">IFERROR(IF([2]对账明细接口!$J$16=0,"",[2]对账明细接口!$J$16),"")</f>
        <v>218</v>
      </c>
      <c r="K16" s="61" t="str">
        <f aca="false">IFERROR(IF([2]对账明细接口!$K$16=0,"",[2]对账明细接口!$K$16),"")</f>
        <v/>
      </c>
      <c r="L16" s="59" t="str">
        <f aca="false">IFERROR(IF([2]对账明细接口!$L$16=0,"",[2]对账明细接口!$L$16),"")</f>
        <v/>
      </c>
      <c r="M16" s="59" t="str">
        <f aca="false">IFERROR(IF([2]对账明细接口!$M$16=0,"",[2]对账明细接口!$M$16),"")</f>
        <v/>
      </c>
      <c r="N16" s="111" t="n">
        <f aca="false">IF($C16="",0,1)</f>
        <v>1</v>
      </c>
      <c r="O16" s="111" t="n">
        <f aca="false">N(O15)+$N16</f>
        <v>13</v>
      </c>
      <c r="S16" s="10" t="str">
        <f aca="false">IFERROR(IF([2]对账明细接口!$N16=0,"",[2]对账明细接口!$N16),"")</f>
        <v>自备一次性筐</v>
      </c>
      <c r="T16" s="112" t="str">
        <f aca="false">IFERROR(IF([2]对账明细接口!$O16=0,"",[2]对账明细接口!$O16),"")</f>
        <v/>
      </c>
      <c r="U16" s="112" t="str">
        <f aca="false">IFERROR(IF([2]对账明细接口!$P16=0,"",[2]对账明细接口!$P16),"")</f>
        <v/>
      </c>
      <c r="V16" s="112" t="n">
        <f aca="false">IFERROR(IF([2]对账明细接口!$Q16=0,"",[2]对账明细接口!$Q16),"")</f>
        <v>10</v>
      </c>
      <c r="W16" s="10" t="str">
        <f aca="false">IFERROR(IF([2]对账明细接口!$R16=0,"",[2]对账明细接口!$R16),"")</f>
        <v>苏M*7G796</v>
      </c>
      <c r="X16" s="10" t="str">
        <f aca="false">IFERROR(IF([2]对账明细接口!$S16=0,"",[2]对账明细接口!$S16),"")</f>
        <v>自备筐</v>
      </c>
      <c r="Y16" s="10" t="str">
        <f aca="false">IFERROR(IF([2]对账明细接口!$T16=0,"",[2]对账明细接口!$T16),"")</f>
        <v/>
      </c>
      <c r="Z16" s="113" t="str">
        <f aca="false">IFERROR(IF([2]对账明细接口!$U16=0,"",[2]对账明细接口!$U16),"")</f>
        <v/>
      </c>
      <c r="AA16" s="113" t="str">
        <f aca="false">IFERROR(IF([2]对账明细接口!$V16=0,"",[2]对账明细接口!$V16),"")</f>
        <v/>
      </c>
      <c r="AB16" s="10" t="str">
        <f aca="false">IFERROR(IF([2]对账明细接口!$W16=0,"",[2]对账明细接口!$W16),"")</f>
        <v/>
      </c>
      <c r="AC16" s="90" t="str">
        <f aca="false">IFERROR(IF([2]对账明细接口!$X17=0,"",[2]对账明细接口!$X17),"")</f>
        <v/>
      </c>
      <c r="AD16" s="90" t="str">
        <f aca="false">IFERROR(IF([2]对账明细接口!$Y17=0,"",[2]对账明细接口!$Y17),"")</f>
        <v/>
      </c>
      <c r="AE16" s="90" t="str">
        <f aca="false">IFERROR(IF([2]对账明细接口!$AA17=0,"",[2]对账明细接口!$AA17),"")</f>
        <v/>
      </c>
      <c r="AF16" s="90" t="str">
        <f aca="false">IFERROR(IF([2]对账明细接口!$AB17=0,"",[2]对账明细接口!$AB17),"")</f>
        <v/>
      </c>
      <c r="AG16" s="90" t="str">
        <f aca="false">IFERROR(IF([2]对账明细接口!$AC17=0,"",[2]对账明细接口!$AC17),"")</f>
        <v/>
      </c>
      <c r="AH16" s="90" t="str">
        <f aca="false">IFERROR(IF([2]对账明细接口!$AD17=0,"",[2]对账明细接口!$AD17),"")</f>
        <v/>
      </c>
    </row>
    <row r="17" customFormat="false" ht="13.5" hidden="false" customHeight="false" outlineLevel="0" collapsed="false">
      <c r="A17" s="109" t="n">
        <v>17</v>
      </c>
      <c r="B17" s="110" t="n">
        <f aca="false">IFERROR(IF([2]对账明细接口!$B$17=0,"",[2]对账明细接口!$B$17),"")</f>
        <v>46247</v>
      </c>
      <c r="C17" s="59" t="str">
        <f aca="false">IFERROR(IF([2]对账明细接口!$C$17=0,"",[2]对账明细接口!$C$17),"")</f>
        <v>聂新平</v>
      </c>
      <c r="D17" s="59" t="str">
        <f aca="false">IFERROR(IF([2]对账明细接口!$D$17=0,"",[2]对账明细接口!$D$17),"")</f>
        <v>原料入库</v>
      </c>
      <c r="E17" s="59" t="str">
        <f aca="false">IFERROR(IF([2]对账明细接口!$E$17=0,"",[2]对账明细接口!$E$17),"")</f>
        <v>NO0000764</v>
      </c>
      <c r="F17" s="59" t="str">
        <f aca="false">IFERROR(IF([2]对账明细接口!$F$17=0,"",[2]对账明细接口!$F$17),"")</f>
        <v>苹果</v>
      </c>
      <c r="G17" s="59" t="str">
        <f aca="false">IFERROR(IF([2]对账明细接口!$G$17=0,"",[2]对账明细接口!$G$17),"")</f>
        <v>嘎啦100#</v>
      </c>
      <c r="H17" s="60" t="n">
        <f aca="false">IFERROR(IF([2]对账明细接口!$H$17=0,"",[2]对账明细接口!$H$17),"")</f>
        <v>7</v>
      </c>
      <c r="I17" s="59" t="str">
        <f aca="false">IFERROR(IF([2]对账明细接口!$I$17=0,"",[2]对账明细接口!$I$17),"")</f>
        <v>筐</v>
      </c>
      <c r="J17" s="61" t="n">
        <f aca="false">IFERROR(IF([2]对账明细接口!$J$17=0,"",[2]对账明细接口!$J$17),"")</f>
        <v>152.6</v>
      </c>
      <c r="K17" s="61" t="str">
        <f aca="false">IFERROR(IF([2]对账明细接口!$K$17=0,"",[2]对账明细接口!$K$17),"")</f>
        <v/>
      </c>
      <c r="L17" s="59" t="str">
        <f aca="false">IFERROR(IF([2]对账明细接口!$L$17=0,"",[2]对账明细接口!$L$17),"")</f>
        <v/>
      </c>
      <c r="M17" s="59" t="str">
        <f aca="false">IFERROR(IF([2]对账明细接口!$M$17=0,"",[2]对账明细接口!$M$17),"")</f>
        <v/>
      </c>
      <c r="N17" s="111" t="n">
        <f aca="false">IF($C17="",0,1)</f>
        <v>1</v>
      </c>
      <c r="O17" s="111" t="n">
        <f aca="false">N(O16)+$N17</f>
        <v>14</v>
      </c>
      <c r="S17" s="10" t="str">
        <f aca="false">IFERROR(IF([2]对账明细接口!$N17=0,"",[2]对账明细接口!$N17),"")</f>
        <v>自备一次性筐</v>
      </c>
      <c r="T17" s="112" t="str">
        <f aca="false">IFERROR(IF([2]对账明细接口!$O17=0,"",[2]对账明细接口!$O17),"")</f>
        <v/>
      </c>
      <c r="U17" s="112" t="str">
        <f aca="false">IFERROR(IF([2]对账明细接口!$P17=0,"",[2]对账明细接口!$P17),"")</f>
        <v/>
      </c>
      <c r="V17" s="112" t="n">
        <f aca="false">IFERROR(IF([2]对账明细接口!$Q17=0,"",[2]对账明细接口!$Q17),"")</f>
        <v>7</v>
      </c>
      <c r="W17" s="10" t="str">
        <f aca="false">IFERROR(IF([2]对账明细接口!$R17=0,"",[2]对账明细接口!$R17),"")</f>
        <v>苏M*7G796</v>
      </c>
      <c r="X17" s="10" t="str">
        <f aca="false">IFERROR(IF([2]对账明细接口!$S17=0,"",[2]对账明细接口!$S17),"")</f>
        <v>自备筐</v>
      </c>
      <c r="Y17" s="10" t="str">
        <f aca="false">IFERROR(IF([2]对账明细接口!$T17=0,"",[2]对账明细接口!$T17),"")</f>
        <v/>
      </c>
      <c r="Z17" s="113" t="str">
        <f aca="false">IFERROR(IF([2]对账明细接口!$U17=0,"",[2]对账明细接口!$U17),"")</f>
        <v/>
      </c>
      <c r="AA17" s="113" t="str">
        <f aca="false">IFERROR(IF([2]对账明细接口!$V17=0,"",[2]对账明细接口!$V17),"")</f>
        <v/>
      </c>
      <c r="AB17" s="10" t="str">
        <f aca="false">IFERROR(IF([2]对账明细接口!$W17=0,"",[2]对账明细接口!$W17),"")</f>
        <v/>
      </c>
      <c r="AC17" s="90" t="str">
        <f aca="false">IFERROR(IF([2]对账明细接口!$X18=0,"",[2]对账明细接口!$X18),"")</f>
        <v/>
      </c>
      <c r="AD17" s="90" t="str">
        <f aca="false">IFERROR(IF([2]对账明细接口!$Y18=0,"",[2]对账明细接口!$Y18),"")</f>
        <v/>
      </c>
      <c r="AE17" s="90" t="str">
        <f aca="false">IFERROR(IF([2]对账明细接口!$AA18=0,"",[2]对账明细接口!$AA18),"")</f>
        <v/>
      </c>
      <c r="AF17" s="90" t="str">
        <f aca="false">IFERROR(IF([2]对账明细接口!$AB18=0,"",[2]对账明细接口!$AB18),"")</f>
        <v/>
      </c>
      <c r="AG17" s="90" t="str">
        <f aca="false">IFERROR(IF([2]对账明细接口!$AC18=0,"",[2]对账明细接口!$AC18),"")</f>
        <v/>
      </c>
      <c r="AH17" s="90" t="str">
        <f aca="false">IFERROR(IF([2]对账明细接口!$AD18=0,"",[2]对账明细接口!$AD18),"")</f>
        <v/>
      </c>
    </row>
    <row r="18" customFormat="false" ht="13.5" hidden="false" customHeight="false" outlineLevel="0" collapsed="false">
      <c r="A18" s="109" t="n">
        <v>18</v>
      </c>
      <c r="B18" s="110" t="n">
        <f aca="false">IFERROR(IF([2]对账明细接口!$B$18=0,"",[2]对账明细接口!$B$18),"")</f>
        <v>46247</v>
      </c>
      <c r="C18" s="59" t="str">
        <f aca="false">IFERROR(IF([2]对账明细接口!$C$18=0,"",[2]对账明细接口!$C$18),"")</f>
        <v>王照雪</v>
      </c>
      <c r="D18" s="59" t="str">
        <f aca="false">IFERROR(IF([2]对账明细接口!$D$18=0,"",[2]对账明细接口!$D$18),"")</f>
        <v>原料入库</v>
      </c>
      <c r="E18" s="59" t="str">
        <f aca="false">IFERROR(IF([2]对账明细接口!$E$18=0,"",[2]对账明细接口!$E$18),"")</f>
        <v>NO0000765</v>
      </c>
      <c r="F18" s="59" t="str">
        <f aca="false">IFERROR(IF([2]对账明细接口!$F$18=0,"",[2]对账明细接口!$F$18),"")</f>
        <v>苹果</v>
      </c>
      <c r="G18" s="59" t="str">
        <f aca="false">IFERROR(IF([2]对账明细接口!$G$18=0,"",[2]对账明细接口!$G$18),"")</f>
        <v>华硕一级</v>
      </c>
      <c r="H18" s="60" t="n">
        <f aca="false">IFERROR(IF([2]对账明细接口!$H$18=0,"",[2]对账明细接口!$H$18),"")</f>
        <v>187</v>
      </c>
      <c r="I18" s="59" t="str">
        <f aca="false">IFERROR(IF([2]对账明细接口!$I$18=0,"",[2]对账明细接口!$I$18),"")</f>
        <v>筐</v>
      </c>
      <c r="J18" s="61" t="n">
        <f aca="false">IFERROR(IF([2]对账明细接口!$J$18=0,"",[2]对账明细接口!$J$18),"")</f>
        <v>3235.1</v>
      </c>
      <c r="K18" s="61" t="str">
        <f aca="false">IFERROR(IF([2]对账明细接口!$K$18=0,"",[2]对账明细接口!$K$18),"")</f>
        <v/>
      </c>
      <c r="L18" s="59" t="str">
        <f aca="false">IFERROR(IF([2]对账明细接口!$L$18=0,"",[2]对账明细接口!$L$18),"")</f>
        <v/>
      </c>
      <c r="M18" s="59" t="str">
        <f aca="false">IFERROR(IF([2]对账明细接口!$M$18=0,"",[2]对账明细接口!$M$18),"")</f>
        <v/>
      </c>
      <c r="N18" s="111" t="n">
        <f aca="false">IF($C18="",0,1)</f>
        <v>1</v>
      </c>
      <c r="O18" s="111" t="n">
        <f aca="false">N(O17)+$N18</f>
        <v>15</v>
      </c>
      <c r="S18" s="10" t="str">
        <f aca="false">IFERROR(IF([2]对账明细接口!$N18=0,"",[2]对账明细接口!$N18),"")</f>
        <v>公司杂周转筐</v>
      </c>
      <c r="T18" s="112" t="str">
        <f aca="false">IFERROR(IF([2]对账明细接口!$O18=0,"",[2]对账明细接口!$O18),"")</f>
        <v/>
      </c>
      <c r="U18" s="112" t="str">
        <f aca="false">IFERROR(IF([2]对账明细接口!$P18=0,"",[2]对账明细接口!$P18),"")</f>
        <v/>
      </c>
      <c r="V18" s="112" t="n">
        <f aca="false">IFERROR(IF([2]对账明细接口!$Q18=0,"",[2]对账明细接口!$Q18),"")</f>
        <v>187</v>
      </c>
      <c r="W18" s="10" t="str">
        <f aca="false">IFERROR(IF([2]对账明细接口!$R18=0,"",[2]对账明细接口!$R18),"")</f>
        <v>豫L*88X19</v>
      </c>
      <c r="X18" s="10" t="str">
        <f aca="false">IFERROR(IF([2]对账明细接口!$S18=0,"",[2]对账明细接口!$S18),"")</f>
        <v>公司筐</v>
      </c>
      <c r="Y18" s="10" t="str">
        <f aca="false">IFERROR(IF([2]对账明细接口!$T18=0,"",[2]对账明细接口!$T18),"")</f>
        <v/>
      </c>
      <c r="Z18" s="113" t="str">
        <f aca="false">IFERROR(IF([2]对账明细接口!$U18=0,"",[2]对账明细接口!$U18),"")</f>
        <v/>
      </c>
      <c r="AA18" s="113" t="str">
        <f aca="false">IFERROR(IF([2]对账明细接口!$V18=0,"",[2]对账明细接口!$V18),"")</f>
        <v/>
      </c>
      <c r="AB18" s="10" t="str">
        <f aca="false">IFERROR(IF([2]对账明细接口!$W18=0,"",[2]对账明细接口!$W18),"")</f>
        <v/>
      </c>
      <c r="AC18" s="90" t="str">
        <f aca="false">IFERROR(IF([2]对账明细接口!$X19=0,"",[2]对账明细接口!$X19),"")</f>
        <v/>
      </c>
      <c r="AD18" s="90" t="str">
        <f aca="false">IFERROR(IF([2]对账明细接口!$Y19=0,"",[2]对账明细接口!$Y19),"")</f>
        <v/>
      </c>
      <c r="AE18" s="90" t="str">
        <f aca="false">IFERROR(IF([2]对账明细接口!$AA19=0,"",[2]对账明细接口!$AA19),"")</f>
        <v/>
      </c>
      <c r="AF18" s="90" t="str">
        <f aca="false">IFERROR(IF([2]对账明细接口!$AB19=0,"",[2]对账明细接口!$AB19),"")</f>
        <v/>
      </c>
      <c r="AG18" s="90" t="str">
        <f aca="false">IFERROR(IF([2]对账明细接口!$AC19=0,"",[2]对账明细接口!$AC19),"")</f>
        <v/>
      </c>
      <c r="AH18" s="90" t="str">
        <f aca="false">IFERROR(IF([2]对账明细接口!$AD19=0,"",[2]对账明细接口!$AD19),"")</f>
        <v/>
      </c>
    </row>
    <row r="19" customFormat="false" ht="13.5" hidden="false" customHeight="false" outlineLevel="0" collapsed="false">
      <c r="A19" s="109" t="n">
        <v>19</v>
      </c>
      <c r="B19" s="110" t="n">
        <f aca="false">IFERROR(IF([2]对账明细接口!$B$19=0,"",[2]对账明细接口!$B$19),"")</f>
        <v>46247</v>
      </c>
      <c r="C19" s="59" t="str">
        <f aca="false">IFERROR(IF([2]对账明细接口!$C$19=0,"",[2]对账明细接口!$C$19),"")</f>
        <v>王照雪</v>
      </c>
      <c r="D19" s="59" t="str">
        <f aca="false">IFERROR(IF([2]对账明细接口!$D$19=0,"",[2]对账明细接口!$D$19),"")</f>
        <v>原料入库</v>
      </c>
      <c r="E19" s="59" t="str">
        <f aca="false">IFERROR(IF([2]对账明细接口!$E$19=0,"",[2]对账明细接口!$E$19),"")</f>
        <v>NO0000765</v>
      </c>
      <c r="F19" s="59" t="str">
        <f aca="false">IFERROR(IF([2]对账明细接口!$F$19=0,"",[2]对账明细接口!$F$19),"")</f>
        <v>苹果</v>
      </c>
      <c r="G19" s="59" t="str">
        <f aca="false">IFERROR(IF([2]对账明细接口!$G$19=0,"",[2]对账明细接口!$G$19),"")</f>
        <v>华硕二级</v>
      </c>
      <c r="H19" s="60" t="n">
        <f aca="false">IFERROR(IF([2]对账明细接口!$H$19=0,"",[2]对账明细接口!$H$19),"")</f>
        <v>49</v>
      </c>
      <c r="I19" s="59" t="str">
        <f aca="false">IFERROR(IF([2]对账明细接口!$I$19=0,"",[2]对账明细接口!$I$19),"")</f>
        <v>筐</v>
      </c>
      <c r="J19" s="61" t="n">
        <f aca="false">IFERROR(IF([2]对账明细接口!$J$19=0,"",[2]对账明细接口!$J$19),"")</f>
        <v>798.7</v>
      </c>
      <c r="K19" s="61" t="str">
        <f aca="false">IFERROR(IF([2]对账明细接口!$K$19=0,"",[2]对账明细接口!$K$19),"")</f>
        <v/>
      </c>
      <c r="L19" s="59" t="str">
        <f aca="false">IFERROR(IF([2]对账明细接口!$L$19=0,"",[2]对账明细接口!$L$19),"")</f>
        <v/>
      </c>
      <c r="M19" s="59" t="str">
        <f aca="false">IFERROR(IF([2]对账明细接口!$M$19=0,"",[2]对账明细接口!$M$19),"")</f>
        <v/>
      </c>
      <c r="N19" s="111" t="n">
        <f aca="false">IF($C19="",0,1)</f>
        <v>1</v>
      </c>
      <c r="O19" s="111" t="n">
        <f aca="false">N(O18)+$N19</f>
        <v>16</v>
      </c>
      <c r="S19" s="10" t="str">
        <f aca="false">IFERROR(IF([2]对账明细接口!$N19=0,"",[2]对账明细接口!$N19),"")</f>
        <v>公司杂周转筐</v>
      </c>
      <c r="T19" s="112" t="str">
        <f aca="false">IFERROR(IF([2]对账明细接口!$O19=0,"",[2]对账明细接口!$O19),"")</f>
        <v/>
      </c>
      <c r="U19" s="112" t="str">
        <f aca="false">IFERROR(IF([2]对账明细接口!$P19=0,"",[2]对账明细接口!$P19),"")</f>
        <v/>
      </c>
      <c r="V19" s="112" t="n">
        <f aca="false">IFERROR(IF([2]对账明细接口!$Q19=0,"",[2]对账明细接口!$Q19),"")</f>
        <v>49</v>
      </c>
      <c r="W19" s="10" t="str">
        <f aca="false">IFERROR(IF([2]对账明细接口!$R19=0,"",[2]对账明细接口!$R19),"")</f>
        <v>豫L*88X19</v>
      </c>
      <c r="X19" s="10" t="str">
        <f aca="false">IFERROR(IF([2]对账明细接口!$S19=0,"",[2]对账明细接口!$S19),"")</f>
        <v>公司筐</v>
      </c>
      <c r="Y19" s="10" t="str">
        <f aca="false">IFERROR(IF([2]对账明细接口!$T19=0,"",[2]对账明细接口!$T19),"")</f>
        <v/>
      </c>
      <c r="Z19" s="113" t="str">
        <f aca="false">IFERROR(IF([2]对账明细接口!$U19=0,"",[2]对账明细接口!$U19),"")</f>
        <v/>
      </c>
      <c r="AA19" s="113" t="str">
        <f aca="false">IFERROR(IF([2]对账明细接口!$V19=0,"",[2]对账明细接口!$V19),"")</f>
        <v/>
      </c>
      <c r="AB19" s="10" t="str">
        <f aca="false">IFERROR(IF([2]对账明细接口!$W19=0,"",[2]对账明细接口!$W19),"")</f>
        <v/>
      </c>
      <c r="AC19" s="90" t="str">
        <f aca="false">IFERROR(IF([2]对账明细接口!$X20=0,"",[2]对账明细接口!$X20),"")</f>
        <v/>
      </c>
      <c r="AD19" s="90" t="str">
        <f aca="false">IFERROR(IF([2]对账明细接口!$Y20=0,"",[2]对账明细接口!$Y20),"")</f>
        <v/>
      </c>
      <c r="AE19" s="90" t="str">
        <f aca="false">IFERROR(IF([2]对账明细接口!$AA20=0,"",[2]对账明细接口!$AA20),"")</f>
        <v/>
      </c>
      <c r="AF19" s="90" t="str">
        <f aca="false">IFERROR(IF([2]对账明细接口!$AB20=0,"",[2]对账明细接口!$AB20),"")</f>
        <v/>
      </c>
      <c r="AG19" s="90" t="str">
        <f aca="false">IFERROR(IF([2]对账明细接口!$AC20=0,"",[2]对账明细接口!$AC20),"")</f>
        <v/>
      </c>
      <c r="AH19" s="90" t="str">
        <f aca="false">IFERROR(IF([2]对账明细接口!$AD20=0,"",[2]对账明细接口!$AD20),"")</f>
        <v/>
      </c>
    </row>
    <row r="20" customFormat="false" ht="13.5" hidden="false" customHeight="false" outlineLevel="0" collapsed="false">
      <c r="A20" s="109" t="n">
        <v>20</v>
      </c>
      <c r="B20" s="110" t="n">
        <f aca="false">IFERROR(IF([2]对账明细接口!$B$20=0,"",[2]对账明细接口!$B$20),"")</f>
        <v>46247</v>
      </c>
      <c r="C20" s="59" t="str">
        <f aca="false">IFERROR(IF([2]对账明细接口!$C$20=0,"",[2]对账明细接口!$C$20),"")</f>
        <v>王照雪</v>
      </c>
      <c r="D20" s="59" t="str">
        <f aca="false">IFERROR(IF([2]对账明细接口!$D$20=0,"",[2]对账明细接口!$D$20),"")</f>
        <v>原料入库</v>
      </c>
      <c r="E20" s="59" t="str">
        <f aca="false">IFERROR(IF([2]对账明细接口!$E$20=0,"",[2]对账明细接口!$E$20),"")</f>
        <v>NO0000765</v>
      </c>
      <c r="F20" s="59" t="str">
        <f aca="false">IFERROR(IF([2]对账明细接口!$F$20=0,"",[2]对账明细接口!$F$20),"")</f>
        <v>苹果</v>
      </c>
      <c r="G20" s="59" t="str">
        <f aca="false">IFERROR(IF([2]对账明细接口!$G$20=0,"",[2]对账明细接口!$G$20),"")</f>
        <v>华硕高次</v>
      </c>
      <c r="H20" s="60" t="n">
        <f aca="false">IFERROR(IF([2]对账明细接口!$H$20=0,"",[2]对账明细接口!$H$20),"")</f>
        <v>11</v>
      </c>
      <c r="I20" s="59" t="str">
        <f aca="false">IFERROR(IF([2]对账明细接口!$I$20=0,"",[2]对账明细接口!$I$20),"")</f>
        <v>筐</v>
      </c>
      <c r="J20" s="61" t="n">
        <f aca="false">IFERROR(IF([2]对账明细接口!$J$20=0,"",[2]对账明细接口!$J$20),"")</f>
        <v>190.3</v>
      </c>
      <c r="K20" s="61" t="str">
        <f aca="false">IFERROR(IF([2]对账明细接口!$K$20=0,"",[2]对账明细接口!$K$20),"")</f>
        <v/>
      </c>
      <c r="L20" s="59" t="str">
        <f aca="false">IFERROR(IF([2]对账明细接口!$L$20=0,"",[2]对账明细接口!$L$20),"")</f>
        <v/>
      </c>
      <c r="M20" s="59" t="str">
        <f aca="false">IFERROR(IF([2]对账明细接口!$M$20=0,"",[2]对账明细接口!$M$20),"")</f>
        <v/>
      </c>
      <c r="N20" s="111" t="n">
        <f aca="false">IF($C20="",0,1)</f>
        <v>1</v>
      </c>
      <c r="O20" s="111" t="n">
        <f aca="false">N(O19)+$N20</f>
        <v>17</v>
      </c>
      <c r="S20" s="10" t="str">
        <f aca="false">IFERROR(IF([2]对账明细接口!$N20=0,"",[2]对账明细接口!$N20),"")</f>
        <v>公司杂周转筐</v>
      </c>
      <c r="T20" s="112" t="str">
        <f aca="false">IFERROR(IF([2]对账明细接口!$O20=0,"",[2]对账明细接口!$O20),"")</f>
        <v/>
      </c>
      <c r="U20" s="112" t="str">
        <f aca="false">IFERROR(IF([2]对账明细接口!$P20=0,"",[2]对账明细接口!$P20),"")</f>
        <v/>
      </c>
      <c r="V20" s="112" t="n">
        <f aca="false">IFERROR(IF([2]对账明细接口!$Q20=0,"",[2]对账明细接口!$Q20),"")</f>
        <v>11</v>
      </c>
      <c r="W20" s="10" t="str">
        <f aca="false">IFERROR(IF([2]对账明细接口!$R20=0,"",[2]对账明细接口!$R20),"")</f>
        <v>豫L*88X19</v>
      </c>
      <c r="X20" s="10" t="str">
        <f aca="false">IFERROR(IF([2]对账明细接口!$S20=0,"",[2]对账明细接口!$S20),"")</f>
        <v>公司筐</v>
      </c>
      <c r="Y20" s="10" t="str">
        <f aca="false">IFERROR(IF([2]对账明细接口!$T20=0,"",[2]对账明细接口!$T20),"")</f>
        <v/>
      </c>
      <c r="Z20" s="113" t="str">
        <f aca="false">IFERROR(IF([2]对账明细接口!$U20=0,"",[2]对账明细接口!$U20),"")</f>
        <v/>
      </c>
      <c r="AA20" s="113" t="str">
        <f aca="false">IFERROR(IF([2]对账明细接口!$V20=0,"",[2]对账明细接口!$V20),"")</f>
        <v/>
      </c>
      <c r="AB20" s="10" t="str">
        <f aca="false">IFERROR(IF([2]对账明细接口!$W20=0,"",[2]对账明细接口!$W20),"")</f>
        <v/>
      </c>
      <c r="AC20" s="90" t="str">
        <f aca="false">IFERROR(IF([2]对账明细接口!$X21=0,"",[2]对账明细接口!$X21),"")</f>
        <v/>
      </c>
      <c r="AD20" s="90" t="str">
        <f aca="false">IFERROR(IF([2]对账明细接口!$Y21=0,"",[2]对账明细接口!$Y21),"")</f>
        <v/>
      </c>
      <c r="AE20" s="90" t="str">
        <f aca="false">IFERROR(IF([2]对账明细接口!$AA21=0,"",[2]对账明细接口!$AA21),"")</f>
        <v/>
      </c>
      <c r="AF20" s="90" t="str">
        <f aca="false">IFERROR(IF([2]对账明细接口!$AB21=0,"",[2]对账明细接口!$AB21),"")</f>
        <v/>
      </c>
      <c r="AG20" s="90" t="str">
        <f aca="false">IFERROR(IF([2]对账明细接口!$AC21=0,"",[2]对账明细接口!$AC21),"")</f>
        <v/>
      </c>
      <c r="AH20" s="90" t="str">
        <f aca="false">IFERROR(IF([2]对账明细接口!$AD21=0,"",[2]对账明细接口!$AD21),"")</f>
        <v/>
      </c>
    </row>
    <row r="21" customFormat="false" ht="13.5" hidden="false" customHeight="false" outlineLevel="0" collapsed="false">
      <c r="A21" s="109" t="n">
        <v>21</v>
      </c>
      <c r="B21" s="110" t="n">
        <f aca="false">IFERROR(IF([2]对账明细接口!$B$21=0,"",[2]对账明细接口!$B$21),"")</f>
        <v>46248</v>
      </c>
      <c r="C21" s="59" t="str">
        <f aca="false">IFERROR(IF([2]对账明细接口!$C$21=0,"",[2]对账明细接口!$C$21),"")</f>
        <v>聂新平</v>
      </c>
      <c r="D21" s="59" t="str">
        <f aca="false">IFERROR(IF([2]对账明细接口!$D$21=0,"",[2]对账明细接口!$D$21),"")</f>
        <v>原料入库</v>
      </c>
      <c r="E21" s="59" t="str">
        <f aca="false">IFERROR(IF([2]对账明细接口!$E$21=0,"",[2]对账明细接口!$E$21),"")</f>
        <v>NO0000766</v>
      </c>
      <c r="F21" s="59" t="str">
        <f aca="false">IFERROR(IF([2]对账明细接口!$F$21=0,"",[2]对账明细接口!$F$21),"")</f>
        <v>苹果</v>
      </c>
      <c r="G21" s="59" t="str">
        <f aca="false">IFERROR(IF([2]对账明细接口!$G$21=0,"",[2]对账明细接口!$G$21),"")</f>
        <v>嘎啦85#</v>
      </c>
      <c r="H21" s="60" t="n">
        <f aca="false">IFERROR(IF([2]对账明细接口!$H$21=0,"",[2]对账明细接口!$H$21),"")</f>
        <v>40</v>
      </c>
      <c r="I21" s="59" t="str">
        <f aca="false">IFERROR(IF([2]对账明细接口!$I$21=0,"",[2]对账明细接口!$I$21),"")</f>
        <v>筐</v>
      </c>
      <c r="J21" s="61" t="n">
        <f aca="false">IFERROR(IF([2]对账明细接口!$J$21=0,"",[2]对账明细接口!$J$21),"")</f>
        <v>872</v>
      </c>
      <c r="K21" s="61" t="str">
        <f aca="false">IFERROR(IF([2]对账明细接口!$K$21=0,"",[2]对账明细接口!$K$21),"")</f>
        <v/>
      </c>
      <c r="L21" s="59" t="str">
        <f aca="false">IFERROR(IF([2]对账明细接口!$L$21=0,"",[2]对账明细接口!$L$21),"")</f>
        <v/>
      </c>
      <c r="M21" s="59" t="str">
        <f aca="false">IFERROR(IF([2]对账明细接口!$M$21=0,"",[2]对账明细接口!$M$21),"")</f>
        <v/>
      </c>
      <c r="N21" s="111" t="n">
        <f aca="false">IF($C21="",0,1)</f>
        <v>1</v>
      </c>
      <c r="O21" s="111" t="n">
        <f aca="false">N(O20)+$N21</f>
        <v>18</v>
      </c>
      <c r="S21" s="10" t="str">
        <f aca="false">IFERROR(IF([2]对账明细接口!$N21=0,"",[2]对账明细接口!$N21),"")</f>
        <v>自备一次性筐</v>
      </c>
      <c r="T21" s="112" t="str">
        <f aca="false">IFERROR(IF([2]对账明细接口!$O21=0,"",[2]对账明细接口!$O21),"")</f>
        <v/>
      </c>
      <c r="U21" s="112" t="str">
        <f aca="false">IFERROR(IF([2]对账明细接口!$P21=0,"",[2]对账明细接口!$P21),"")</f>
        <v/>
      </c>
      <c r="V21" s="112" t="n">
        <f aca="false">IFERROR(IF([2]对账明细接口!$Q21=0,"",[2]对账明细接口!$Q21),"")</f>
        <v>40</v>
      </c>
      <c r="W21" s="10" t="str">
        <f aca="false">IFERROR(IF([2]对账明细接口!$R21=0,"",[2]对账明细接口!$R21),"")</f>
        <v>苏M*7G796</v>
      </c>
      <c r="X21" s="10" t="str">
        <f aca="false">IFERROR(IF([2]对账明细接口!$S21=0,"",[2]对账明细接口!$S21),"")</f>
        <v>自备筐</v>
      </c>
      <c r="Y21" s="10" t="str">
        <f aca="false">IFERROR(IF([2]对账明细接口!$T21=0,"",[2]对账明细接口!$T21),"")</f>
        <v/>
      </c>
      <c r="Z21" s="113" t="str">
        <f aca="false">IFERROR(IF([2]对账明细接口!$U21=0,"",[2]对账明细接口!$U21),"")</f>
        <v/>
      </c>
      <c r="AA21" s="113" t="str">
        <f aca="false">IFERROR(IF([2]对账明细接口!$V21=0,"",[2]对账明细接口!$V21),"")</f>
        <v/>
      </c>
      <c r="AB21" s="10" t="str">
        <f aca="false">IFERROR(IF([2]对账明细接口!$W21=0,"",[2]对账明细接口!$W21),"")</f>
        <v/>
      </c>
      <c r="AC21" s="90" t="str">
        <f aca="false">IFERROR(IF([2]对账明细接口!$X22=0,"",[2]对账明细接口!$X22),"")</f>
        <v/>
      </c>
      <c r="AD21" s="90" t="str">
        <f aca="false">IFERROR(IF([2]对账明细接口!$Y22=0,"",[2]对账明细接口!$Y22),"")</f>
        <v/>
      </c>
      <c r="AE21" s="90" t="str">
        <f aca="false">IFERROR(IF([2]对账明细接口!$AA22=0,"",[2]对账明细接口!$AA22),"")</f>
        <v/>
      </c>
      <c r="AF21" s="90" t="str">
        <f aca="false">IFERROR(IF([2]对账明细接口!$AB22=0,"",[2]对账明细接口!$AB22),"")</f>
        <v/>
      </c>
      <c r="AG21" s="90" t="str">
        <f aca="false">IFERROR(IF([2]对账明细接口!$AC22=0,"",[2]对账明细接口!$AC22),"")</f>
        <v/>
      </c>
      <c r="AH21" s="90" t="str">
        <f aca="false">IFERROR(IF([2]对账明细接口!$AD22=0,"",[2]对账明细接口!$AD22),"")</f>
        <v/>
      </c>
    </row>
    <row r="22" customFormat="false" ht="13.5" hidden="false" customHeight="false" outlineLevel="0" collapsed="false">
      <c r="A22" s="109" t="n">
        <v>22</v>
      </c>
      <c r="B22" s="110" t="n">
        <f aca="false">IFERROR(IF([2]对账明细接口!$B$22=0,"",[2]对账明细接口!$B$22),"")</f>
        <v>46248</v>
      </c>
      <c r="C22" s="59" t="str">
        <f aca="false">IFERROR(IF([2]对账明细接口!$C$22=0,"",[2]对账明细接口!$C$22),"")</f>
        <v>聂新平</v>
      </c>
      <c r="D22" s="59" t="str">
        <f aca="false">IFERROR(IF([2]对账明细接口!$D$22=0,"",[2]对账明细接口!$D$22),"")</f>
        <v>原料入库</v>
      </c>
      <c r="E22" s="59" t="str">
        <f aca="false">IFERROR(IF([2]对账明细接口!$E$22=0,"",[2]对账明细接口!$E$22),"")</f>
        <v>NO0000766</v>
      </c>
      <c r="F22" s="59" t="str">
        <f aca="false">IFERROR(IF([2]对账明细接口!$F$22=0,"",[2]对账明细接口!$F$22),"")</f>
        <v>苹果</v>
      </c>
      <c r="G22" s="59" t="str">
        <f aca="false">IFERROR(IF([2]对账明细接口!$G$22=0,"",[2]对账明细接口!$G$22),"")</f>
        <v>嘎啦100#</v>
      </c>
      <c r="H22" s="60" t="n">
        <f aca="false">IFERROR(IF([2]对账明细接口!$H$22=0,"",[2]对账明细接口!$H$22),"")</f>
        <v>74</v>
      </c>
      <c r="I22" s="59" t="str">
        <f aca="false">IFERROR(IF([2]对账明细接口!$I$22=0,"",[2]对账明细接口!$I$22),"")</f>
        <v>筐</v>
      </c>
      <c r="J22" s="61" t="n">
        <f aca="false">IFERROR(IF([2]对账明细接口!$J$22=0,"",[2]对账明细接口!$J$22),"")</f>
        <v>1613.2</v>
      </c>
      <c r="K22" s="61" t="str">
        <f aca="false">IFERROR(IF([2]对账明细接口!$K$22=0,"",[2]对账明细接口!$K$22),"")</f>
        <v/>
      </c>
      <c r="L22" s="59" t="str">
        <f aca="false">IFERROR(IF([2]对账明细接口!$L$22=0,"",[2]对账明细接口!$L$22),"")</f>
        <v/>
      </c>
      <c r="M22" s="59" t="str">
        <f aca="false">IFERROR(IF([2]对账明细接口!$M$22=0,"",[2]对账明细接口!$M$22),"")</f>
        <v/>
      </c>
      <c r="N22" s="111" t="n">
        <f aca="false">IF($C22="",0,1)</f>
        <v>1</v>
      </c>
      <c r="O22" s="111" t="n">
        <f aca="false">N(O21)+$N22</f>
        <v>19</v>
      </c>
      <c r="S22" s="10" t="str">
        <f aca="false">IFERROR(IF([2]对账明细接口!$N22=0,"",[2]对账明细接口!$N22),"")</f>
        <v>自备一次性筐</v>
      </c>
      <c r="T22" s="112" t="str">
        <f aca="false">IFERROR(IF([2]对账明细接口!$O22=0,"",[2]对账明细接口!$O22),"")</f>
        <v/>
      </c>
      <c r="U22" s="112" t="str">
        <f aca="false">IFERROR(IF([2]对账明细接口!$P22=0,"",[2]对账明细接口!$P22),"")</f>
        <v/>
      </c>
      <c r="V22" s="112" t="n">
        <f aca="false">IFERROR(IF([2]对账明细接口!$Q22=0,"",[2]对账明细接口!$Q22),"")</f>
        <v>74</v>
      </c>
      <c r="W22" s="10" t="str">
        <f aca="false">IFERROR(IF([2]对账明细接口!$R22=0,"",[2]对账明细接口!$R22),"")</f>
        <v>苏M*7G796</v>
      </c>
      <c r="X22" s="10" t="str">
        <f aca="false">IFERROR(IF([2]对账明细接口!$S22=0,"",[2]对账明细接口!$S22),"")</f>
        <v>自备筐</v>
      </c>
      <c r="Y22" s="10" t="str">
        <f aca="false">IFERROR(IF([2]对账明细接口!$T22=0,"",[2]对账明细接口!$T22),"")</f>
        <v/>
      </c>
      <c r="Z22" s="113" t="str">
        <f aca="false">IFERROR(IF([2]对账明细接口!$U22=0,"",[2]对账明细接口!$U22),"")</f>
        <v/>
      </c>
      <c r="AA22" s="113" t="str">
        <f aca="false">IFERROR(IF([2]对账明细接口!$V22=0,"",[2]对账明细接口!$V22),"")</f>
        <v/>
      </c>
      <c r="AB22" s="10" t="str">
        <f aca="false">IFERROR(IF([2]对账明细接口!$W22=0,"",[2]对账明细接口!$W22),"")</f>
        <v/>
      </c>
      <c r="AC22" s="90" t="str">
        <f aca="false">IFERROR(IF([2]对账明细接口!$X23=0,"",[2]对账明细接口!$X23),"")</f>
        <v/>
      </c>
      <c r="AD22" s="90" t="str">
        <f aca="false">IFERROR(IF([2]对账明细接口!$Y23=0,"",[2]对账明细接口!$Y23),"")</f>
        <v/>
      </c>
      <c r="AE22" s="90" t="str">
        <f aca="false">IFERROR(IF([2]对账明细接口!$AA23=0,"",[2]对账明细接口!$AA23),"")</f>
        <v/>
      </c>
      <c r="AF22" s="90" t="str">
        <f aca="false">IFERROR(IF([2]对账明细接口!$AB23=0,"",[2]对账明细接口!$AB23),"")</f>
        <v/>
      </c>
      <c r="AG22" s="90" t="str">
        <f aca="false">IFERROR(IF([2]对账明细接口!$AC23=0,"",[2]对账明细接口!$AC23),"")</f>
        <v/>
      </c>
      <c r="AH22" s="90" t="str">
        <f aca="false">IFERROR(IF([2]对账明细接口!$AD23=0,"",[2]对账明细接口!$AD23),"")</f>
        <v/>
      </c>
    </row>
    <row r="23" customFormat="false" ht="13.5" hidden="false" customHeight="false" outlineLevel="0" collapsed="false">
      <c r="A23" s="109" t="n">
        <v>23</v>
      </c>
      <c r="B23" s="110" t="n">
        <f aca="false">IFERROR(IF([2]对账明细接口!$B$23=0,"",[2]对账明细接口!$B$23),"")</f>
        <v>46248</v>
      </c>
      <c r="C23" s="59" t="str">
        <f aca="false">IFERROR(IF([2]对账明细接口!$C$23=0,"",[2]对账明细接口!$C$23),"")</f>
        <v>伍元虎</v>
      </c>
      <c r="D23" s="59" t="str">
        <f aca="false">IFERROR(IF([2]对账明细接口!$D$23=0,"",[2]对账明细接口!$D$23),"")</f>
        <v>原料入库</v>
      </c>
      <c r="E23" s="59" t="str">
        <f aca="false">IFERROR(IF([2]对账明细接口!$E$23=0,"",[2]对账明细接口!$E$23),"")</f>
        <v>NO0000767</v>
      </c>
      <c r="F23" s="59" t="str">
        <f aca="false">IFERROR(IF([2]对账明细接口!$F$23=0,"",[2]对账明细接口!$F$23),"")</f>
        <v>苹果</v>
      </c>
      <c r="G23" s="59" t="str">
        <f aca="false">IFERROR(IF([2]对账明细接口!$G$23=0,"",[2]对账明细接口!$G$23),"")</f>
        <v>海棠果</v>
      </c>
      <c r="H23" s="60" t="n">
        <f aca="false">IFERROR(IF([2]对账明细接口!$H$23=0,"",[2]对账明细接口!$H$23),"")</f>
        <v>24</v>
      </c>
      <c r="I23" s="59" t="str">
        <f aca="false">IFERROR(IF([2]对账明细接口!$I$23=0,"",[2]对账明细接口!$I$23),"")</f>
        <v>筐</v>
      </c>
      <c r="J23" s="61" t="n">
        <f aca="false">IFERROR(IF([2]对账明细接口!$J$23=0,"",[2]对账明细接口!$J$23),"")</f>
        <v>540</v>
      </c>
      <c r="K23" s="61" t="str">
        <f aca="false">IFERROR(IF([2]对账明细接口!$K$23=0,"",[2]对账明细接口!$K$23),"")</f>
        <v/>
      </c>
      <c r="L23" s="59" t="str">
        <f aca="false">IFERROR(IF([2]对账明细接口!$L$23=0,"",[2]对账明细接口!$L$23),"")</f>
        <v/>
      </c>
      <c r="M23" s="59" t="str">
        <f aca="false">IFERROR(IF([2]对账明细接口!$M$23=0,"",[2]对账明细接口!$M$23),"")</f>
        <v/>
      </c>
      <c r="N23" s="111" t="n">
        <f aca="false">IF($C23="",0,1)</f>
        <v>1</v>
      </c>
      <c r="O23" s="111" t="n">
        <f aca="false">N(O22)+$N23</f>
        <v>20</v>
      </c>
      <c r="S23" s="10" t="str">
        <f aca="false">IFERROR(IF([2]对账明细接口!$N23=0,"",[2]对账明细接口!$N23),"")</f>
        <v>自备一次性筐</v>
      </c>
      <c r="T23" s="112" t="str">
        <f aca="false">IFERROR(IF([2]对账明细接口!$O23=0,"",[2]对账明细接口!$O23),"")</f>
        <v/>
      </c>
      <c r="U23" s="112" t="str">
        <f aca="false">IFERROR(IF([2]对账明细接口!$P23=0,"",[2]对账明细接口!$P23),"")</f>
        <v/>
      </c>
      <c r="V23" s="112" t="n">
        <f aca="false">IFERROR(IF([2]对账明细接口!$Q23=0,"",[2]对账明细接口!$Q23),"")</f>
        <v>24</v>
      </c>
      <c r="W23" s="10" t="str">
        <f aca="false">IFERROR(IF([2]对账明细接口!$R23=0,"",[2]对账明细接口!$R23),"")</f>
        <v>三轮车</v>
      </c>
      <c r="X23" s="10" t="str">
        <f aca="false">IFERROR(IF([2]对账明细接口!$S23=0,"",[2]对账明细接口!$S23),"")</f>
        <v>自备筐</v>
      </c>
      <c r="Y23" s="10" t="str">
        <f aca="false">IFERROR(IF([2]对账明细接口!$T23=0,"",[2]对账明细接口!$T23),"")</f>
        <v/>
      </c>
      <c r="Z23" s="113" t="str">
        <f aca="false">IFERROR(IF([2]对账明细接口!$U23=0,"",[2]对账明细接口!$U23),"")</f>
        <v/>
      </c>
      <c r="AA23" s="113" t="str">
        <f aca="false">IFERROR(IF([2]对账明细接口!$V23=0,"",[2]对账明细接口!$V23),"")</f>
        <v/>
      </c>
      <c r="AB23" s="10" t="str">
        <f aca="false">IFERROR(IF([2]对账明细接口!$W23=0,"",[2]对账明细接口!$W23),"")</f>
        <v/>
      </c>
      <c r="AC23" s="90" t="str">
        <f aca="false">IFERROR(IF([2]对账明细接口!$X24=0,"",[2]对账明细接口!$X24),"")</f>
        <v/>
      </c>
      <c r="AD23" s="90" t="str">
        <f aca="false">IFERROR(IF([2]对账明细接口!$Y24=0,"",[2]对账明细接口!$Y24),"")</f>
        <v/>
      </c>
      <c r="AE23" s="90" t="str">
        <f aca="false">IFERROR(IF([2]对账明细接口!$AA24=0,"",[2]对账明细接口!$AA24),"")</f>
        <v/>
      </c>
      <c r="AF23" s="90" t="str">
        <f aca="false">IFERROR(IF([2]对账明细接口!$AB24=0,"",[2]对账明细接口!$AB24),"")</f>
        <v/>
      </c>
      <c r="AG23" s="90" t="str">
        <f aca="false">IFERROR(IF([2]对账明细接口!$AC24=0,"",[2]对账明细接口!$AC24),"")</f>
        <v/>
      </c>
      <c r="AH23" s="90" t="str">
        <f aca="false">IFERROR(IF([2]对账明细接口!$AD24=0,"",[2]对账明细接口!$AD24),"")</f>
        <v/>
      </c>
    </row>
    <row r="24" customFormat="false" ht="13.5" hidden="false" customHeight="false" outlineLevel="0" collapsed="false">
      <c r="A24" s="109" t="n">
        <v>24</v>
      </c>
      <c r="B24" s="110" t="n">
        <f aca="false">IFERROR(IF([2]对账明细接口!$B$24=0,"",[2]对账明细接口!$B$24),"")</f>
        <v>46248</v>
      </c>
      <c r="C24" s="59" t="str">
        <f aca="false">IFERROR(IF([2]对账明细接口!$C$24=0,"",[2]对账明细接口!$C$24),"")</f>
        <v>王照雪</v>
      </c>
      <c r="D24" s="59" t="str">
        <f aca="false">IFERROR(IF([2]对账明细接口!$D$24=0,"",[2]对账明细接口!$D$24),"")</f>
        <v>原料入库</v>
      </c>
      <c r="E24" s="59" t="str">
        <f aca="false">IFERROR(IF([2]对账明细接口!$E$24=0,"",[2]对账明细接口!$E$24),"")</f>
        <v>NO0000768</v>
      </c>
      <c r="F24" s="59" t="str">
        <f aca="false">IFERROR(IF([2]对账明细接口!$F$24=0,"",[2]对账明细接口!$F$24),"")</f>
        <v>李子</v>
      </c>
      <c r="G24" s="59" t="str">
        <f aca="false">IFERROR(IF([2]对账明细接口!$G$24=0,"",[2]对账明细接口!$G$24),"")</f>
        <v>樱桃李</v>
      </c>
      <c r="H24" s="60" t="n">
        <f aca="false">IFERROR(IF([2]对账明细接口!$H$24=0,"",[2]对账明细接口!$H$24),"")</f>
        <v>317</v>
      </c>
      <c r="I24" s="59" t="str">
        <f aca="false">IFERROR(IF([2]对账明细接口!$I$24=0,"",[2]对账明细接口!$I$24),"")</f>
        <v>筐</v>
      </c>
      <c r="J24" s="61" t="n">
        <f aca="false">IFERROR(IF([2]对账明细接口!$J$24=0,"",[2]对账明细接口!$J$24),"")</f>
        <v>5167.1</v>
      </c>
      <c r="K24" s="61" t="str">
        <f aca="false">IFERROR(IF([2]对账明细接口!$K$24=0,"",[2]对账明细接口!$K$24),"")</f>
        <v/>
      </c>
      <c r="L24" s="59" t="str">
        <f aca="false">IFERROR(IF([2]对账明细接口!$L$24=0,"",[2]对账明细接口!$L$24),"")</f>
        <v/>
      </c>
      <c r="M24" s="59" t="str">
        <f aca="false">IFERROR(IF([2]对账明细接口!$M$24=0,"",[2]对账明细接口!$M$24),"")</f>
        <v/>
      </c>
      <c r="N24" s="111" t="n">
        <f aca="false">IF($C24="",0,1)</f>
        <v>1</v>
      </c>
      <c r="O24" s="111" t="n">
        <f aca="false">N(O23)+$N24</f>
        <v>21</v>
      </c>
      <c r="S24" s="10" t="str">
        <f aca="false">IFERROR(IF([2]对账明细接口!$N24=0,"",[2]对账明细接口!$N24),"")</f>
        <v>自备一次性筐</v>
      </c>
      <c r="T24" s="112" t="str">
        <f aca="false">IFERROR(IF([2]对账明细接口!$O24=0,"",[2]对账明细接口!$O24),"")</f>
        <v/>
      </c>
      <c r="U24" s="112" t="str">
        <f aca="false">IFERROR(IF([2]对账明细接口!$P24=0,"",[2]对账明细接口!$P24),"")</f>
        <v/>
      </c>
      <c r="V24" s="112" t="n">
        <f aca="false">IFERROR(IF([2]对账明细接口!$Q24=0,"",[2]对账明细接口!$Q24),"")</f>
        <v>317</v>
      </c>
      <c r="W24" s="10" t="str">
        <f aca="false">IFERROR(IF([2]对账明细接口!$R24=0,"",[2]对账明细接口!$R24),"")</f>
        <v>豫L*88X19</v>
      </c>
      <c r="X24" s="10" t="str">
        <f aca="false">IFERROR(IF([2]对账明细接口!$S24=0,"",[2]对账明细接口!$S24),"")</f>
        <v>自备筐</v>
      </c>
      <c r="Y24" s="10" t="str">
        <f aca="false">IFERROR(IF([2]对账明细接口!$T24=0,"",[2]对账明细接口!$T24),"")</f>
        <v/>
      </c>
      <c r="Z24" s="113" t="str">
        <f aca="false">IFERROR(IF([2]对账明细接口!$U24=0,"",[2]对账明细接口!$U24),"")</f>
        <v/>
      </c>
      <c r="AA24" s="113" t="str">
        <f aca="false">IFERROR(IF([2]对账明细接口!$V24=0,"",[2]对账明细接口!$V24),"")</f>
        <v/>
      </c>
      <c r="AB24" s="10" t="str">
        <f aca="false">IFERROR(IF([2]对账明细接口!$W24=0,"",[2]对账明细接口!$W24),"")</f>
        <v/>
      </c>
      <c r="AC24" s="90" t="str">
        <f aca="false">IFERROR(IF([2]对账明细接口!$X25=0,"",[2]对账明细接口!$X25),"")</f>
        <v/>
      </c>
      <c r="AD24" s="90" t="str">
        <f aca="false">IFERROR(IF([2]对账明细接口!$Y25=0,"",[2]对账明细接口!$Y25),"")</f>
        <v/>
      </c>
      <c r="AE24" s="90" t="str">
        <f aca="false">IFERROR(IF([2]对账明细接口!$AA25=0,"",[2]对账明细接口!$AA25),"")</f>
        <v/>
      </c>
      <c r="AF24" s="90" t="str">
        <f aca="false">IFERROR(IF([2]对账明细接口!$AB25=0,"",[2]对账明细接口!$AB25),"")</f>
        <v/>
      </c>
      <c r="AG24" s="90" t="str">
        <f aca="false">IFERROR(IF([2]对账明细接口!$AC25=0,"",[2]对账明细接口!$AC25),"")</f>
        <v/>
      </c>
      <c r="AH24" s="90" t="str">
        <f aca="false">IFERROR(IF([2]对账明细接口!$AD25=0,"",[2]对账明细接口!$AD25),"")</f>
        <v/>
      </c>
    </row>
    <row r="25" customFormat="false" ht="13.5" hidden="false" customHeight="false" outlineLevel="0" collapsed="false">
      <c r="A25" s="109" t="n">
        <v>25</v>
      </c>
      <c r="B25" s="110" t="n">
        <f aca="false">IFERROR(IF([2]对账明细接口!$B$25=0,"",[2]对账明细接口!$B$25),"")</f>
        <v>46249</v>
      </c>
      <c r="C25" s="59" t="str">
        <f aca="false">IFERROR(IF([2]对账明细接口!$C$25=0,"",[2]对账明细接口!$C$25),"")</f>
        <v>伍元虎</v>
      </c>
      <c r="D25" s="59" t="str">
        <f aca="false">IFERROR(IF([2]对账明细接口!$D$25=0,"",[2]对账明细接口!$D$25),"")</f>
        <v>原料入库</v>
      </c>
      <c r="E25" s="59" t="str">
        <f aca="false">IFERROR(IF([2]对账明细接口!$E$25=0,"",[2]对账明细接口!$E$25),"")</f>
        <v>NO0000769</v>
      </c>
      <c r="F25" s="59" t="str">
        <f aca="false">IFERROR(IF([2]对账明细接口!$F$25=0,"",[2]对账明细接口!$F$25),"")</f>
        <v>苹果</v>
      </c>
      <c r="G25" s="59" t="str">
        <f aca="false">IFERROR(IF([2]对账明细接口!$G$25=0,"",[2]对账明细接口!$G$25),"")</f>
        <v>海棠果</v>
      </c>
      <c r="H25" s="60" t="n">
        <f aca="false">IFERROR(IF([2]对账明细接口!$H$25=0,"",[2]对账明细接口!$H$25),"")</f>
        <v>34</v>
      </c>
      <c r="I25" s="59" t="str">
        <f aca="false">IFERROR(IF([2]对账明细接口!$I$25=0,"",[2]对账明细接口!$I$25),"")</f>
        <v>筐</v>
      </c>
      <c r="J25" s="61" t="n">
        <f aca="false">IFERROR(IF([2]对账明细接口!$J$25=0,"",[2]对账明细接口!$J$25),"")</f>
        <v>765</v>
      </c>
      <c r="K25" s="61" t="str">
        <f aca="false">IFERROR(IF([2]对账明细接口!$K$25=0,"",[2]对账明细接口!$K$25),"")</f>
        <v/>
      </c>
      <c r="L25" s="59" t="str">
        <f aca="false">IFERROR(IF([2]对账明细接口!$L$25=0,"",[2]对账明细接口!$L$25),"")</f>
        <v/>
      </c>
      <c r="M25" s="59" t="str">
        <f aca="false">IFERROR(IF([2]对账明细接口!$M$25=0,"",[2]对账明细接口!$M$25),"")</f>
        <v/>
      </c>
      <c r="N25" s="111" t="n">
        <f aca="false">IF($C25="",0,1)</f>
        <v>1</v>
      </c>
      <c r="O25" s="111" t="n">
        <f aca="false">N(O24)+$N25</f>
        <v>22</v>
      </c>
      <c r="S25" s="10" t="str">
        <f aca="false">IFERROR(IF([2]对账明细接口!$N25=0,"",[2]对账明细接口!$N25),"")</f>
        <v>自备一次性筐</v>
      </c>
      <c r="T25" s="112" t="str">
        <f aca="false">IFERROR(IF([2]对账明细接口!$O25=0,"",[2]对账明细接口!$O25),"")</f>
        <v/>
      </c>
      <c r="U25" s="112" t="str">
        <f aca="false">IFERROR(IF([2]对账明细接口!$P25=0,"",[2]对账明细接口!$P25),"")</f>
        <v/>
      </c>
      <c r="V25" s="112" t="n">
        <f aca="false">IFERROR(IF([2]对账明细接口!$Q25=0,"",[2]对账明细接口!$Q25),"")</f>
        <v>34</v>
      </c>
      <c r="W25" s="10" t="str">
        <f aca="false">IFERROR(IF([2]对账明细接口!$R25=0,"",[2]对账明细接口!$R25),"")</f>
        <v>三轮车</v>
      </c>
      <c r="X25" s="10" t="str">
        <f aca="false">IFERROR(IF([2]对账明细接口!$S25=0,"",[2]对账明细接口!$S25),"")</f>
        <v>自备筐</v>
      </c>
      <c r="Y25" s="10" t="str">
        <f aca="false">IFERROR(IF([2]对账明细接口!$T25=0,"",[2]对账明细接口!$T25),"")</f>
        <v/>
      </c>
      <c r="Z25" s="113" t="str">
        <f aca="false">IFERROR(IF([2]对账明细接口!$U25=0,"",[2]对账明细接口!$U25),"")</f>
        <v/>
      </c>
      <c r="AA25" s="113" t="str">
        <f aca="false">IFERROR(IF([2]对账明细接口!$V25=0,"",[2]对账明细接口!$V25),"")</f>
        <v/>
      </c>
      <c r="AB25" s="10" t="str">
        <f aca="false">IFERROR(IF([2]对账明细接口!$W25=0,"",[2]对账明细接口!$W25),"")</f>
        <v/>
      </c>
      <c r="AC25" s="90" t="str">
        <f aca="false">IFERROR(IF([2]对账明细接口!$X26=0,"",[2]对账明细接口!$X26),"")</f>
        <v/>
      </c>
      <c r="AD25" s="90" t="str">
        <f aca="false">IFERROR(IF([2]对账明细接口!$Y26=0,"",[2]对账明细接口!$Y26),"")</f>
        <v/>
      </c>
      <c r="AE25" s="90" t="str">
        <f aca="false">IFERROR(IF([2]对账明细接口!$AA26=0,"",[2]对账明细接口!$AA26),"")</f>
        <v/>
      </c>
      <c r="AF25" s="90" t="str">
        <f aca="false">IFERROR(IF([2]对账明细接口!$AB26=0,"",[2]对账明细接口!$AB26),"")</f>
        <v/>
      </c>
      <c r="AG25" s="90" t="str">
        <f aca="false">IFERROR(IF([2]对账明细接口!$AC26=0,"",[2]对账明细接口!$AC26),"")</f>
        <v/>
      </c>
      <c r="AH25" s="90" t="str">
        <f aca="false">IFERROR(IF([2]对账明细接口!$AD26=0,"",[2]对账明细接口!$AD26),"")</f>
        <v/>
      </c>
    </row>
    <row r="26" customFormat="false" ht="13.5" hidden="false" customHeight="false" outlineLevel="0" collapsed="false">
      <c r="A26" s="109" t="n">
        <v>26</v>
      </c>
      <c r="B26" s="110" t="n">
        <f aca="false">IFERROR(IF([2]对账明细接口!$B$26=0,"",[2]对账明细接口!$B$26),"")</f>
        <v>46249</v>
      </c>
      <c r="C26" s="59" t="str">
        <f aca="false">IFERROR(IF([2]对账明细接口!$C$26=0,"",[2]对账明细接口!$C$26),"")</f>
        <v>聂新平</v>
      </c>
      <c r="D26" s="59" t="str">
        <f aca="false">IFERROR(IF([2]对账明细接口!$D$26=0,"",[2]对账明细接口!$D$26),"")</f>
        <v>原料入库</v>
      </c>
      <c r="E26" s="59" t="str">
        <f aca="false">IFERROR(IF([2]对账明细接口!$E$26=0,"",[2]对账明细接口!$E$26),"")</f>
        <v>NO0000770</v>
      </c>
      <c r="F26" s="59" t="str">
        <f aca="false">IFERROR(IF([2]对账明细接口!$F$26=0,"",[2]对账明细接口!$F$26),"")</f>
        <v>苹果</v>
      </c>
      <c r="G26" s="59" t="str">
        <f aca="false">IFERROR(IF([2]对账明细接口!$G$26=0,"",[2]对账明细接口!$G$26),"")</f>
        <v>嘎啦85#</v>
      </c>
      <c r="H26" s="60" t="n">
        <f aca="false">IFERROR(IF([2]对账明细接口!$H$26=0,"",[2]对账明细接口!$H$26),"")</f>
        <v>34</v>
      </c>
      <c r="I26" s="59" t="str">
        <f aca="false">IFERROR(IF([2]对账明细接口!$I$26=0,"",[2]对账明细接口!$I$26),"")</f>
        <v>筐</v>
      </c>
      <c r="J26" s="61" t="n">
        <f aca="false">IFERROR(IF([2]对账明细接口!$J$26=0,"",[2]对账明细接口!$J$26),"")</f>
        <v>741.2</v>
      </c>
      <c r="K26" s="61" t="str">
        <f aca="false">IFERROR(IF([2]对账明细接口!$K$26=0,"",[2]对账明细接口!$K$26),"")</f>
        <v/>
      </c>
      <c r="L26" s="59" t="str">
        <f aca="false">IFERROR(IF([2]对账明细接口!$L$26=0,"",[2]对账明细接口!$L$26),"")</f>
        <v/>
      </c>
      <c r="M26" s="59" t="str">
        <f aca="false">IFERROR(IF([2]对账明细接口!$M$26=0,"",[2]对账明细接口!$M$26),"")</f>
        <v/>
      </c>
      <c r="N26" s="111" t="n">
        <f aca="false">IF($C26="",0,1)</f>
        <v>1</v>
      </c>
      <c r="O26" s="111" t="n">
        <f aca="false">N(O25)+$N26</f>
        <v>23</v>
      </c>
      <c r="S26" s="10" t="str">
        <f aca="false">IFERROR(IF([2]对账明细接口!$N26=0,"",[2]对账明细接口!$N26),"")</f>
        <v>自备一次性筐</v>
      </c>
      <c r="T26" s="112" t="str">
        <f aca="false">IFERROR(IF([2]对账明细接口!$O26=0,"",[2]对账明细接口!$O26),"")</f>
        <v/>
      </c>
      <c r="U26" s="112" t="str">
        <f aca="false">IFERROR(IF([2]对账明细接口!$P26=0,"",[2]对账明细接口!$P26),"")</f>
        <v/>
      </c>
      <c r="V26" s="112" t="n">
        <f aca="false">IFERROR(IF([2]对账明细接口!$Q26=0,"",[2]对账明细接口!$Q26),"")</f>
        <v>34</v>
      </c>
      <c r="W26" s="10" t="str">
        <f aca="false">IFERROR(IF([2]对账明细接口!$R26=0,"",[2]对账明细接口!$R26),"")</f>
        <v>苏M*7G796</v>
      </c>
      <c r="X26" s="10" t="str">
        <f aca="false">IFERROR(IF([2]对账明细接口!$S26=0,"",[2]对账明细接口!$S26),"")</f>
        <v>自备筐</v>
      </c>
      <c r="Y26" s="10" t="str">
        <f aca="false">IFERROR(IF([2]对账明细接口!$T26=0,"",[2]对账明细接口!$T26),"")</f>
        <v/>
      </c>
      <c r="Z26" s="113" t="str">
        <f aca="false">IFERROR(IF([2]对账明细接口!$U26=0,"",[2]对账明细接口!$U26),"")</f>
        <v/>
      </c>
      <c r="AA26" s="113" t="str">
        <f aca="false">IFERROR(IF([2]对账明细接口!$V26=0,"",[2]对账明细接口!$V26),"")</f>
        <v/>
      </c>
      <c r="AB26" s="10" t="str">
        <f aca="false">IFERROR(IF([2]对账明细接口!$W26=0,"",[2]对账明细接口!$W26),"")</f>
        <v/>
      </c>
      <c r="AC26" s="90" t="str">
        <f aca="false">IFERROR(IF([2]对账明细接口!$X27=0,"",[2]对账明细接口!$X27),"")</f>
        <v/>
      </c>
      <c r="AD26" s="90" t="str">
        <f aca="false">IFERROR(IF([2]对账明细接口!$Y27=0,"",[2]对账明细接口!$Y27),"")</f>
        <v/>
      </c>
      <c r="AE26" s="90" t="str">
        <f aca="false">IFERROR(IF([2]对账明细接口!$AA27=0,"",[2]对账明细接口!$AA27),"")</f>
        <v/>
      </c>
      <c r="AF26" s="90" t="str">
        <f aca="false">IFERROR(IF([2]对账明细接口!$AB27=0,"",[2]对账明细接口!$AB27),"")</f>
        <v/>
      </c>
      <c r="AG26" s="90" t="str">
        <f aca="false">IFERROR(IF([2]对账明细接口!$AC27=0,"",[2]对账明细接口!$AC27),"")</f>
        <v/>
      </c>
      <c r="AH26" s="90" t="str">
        <f aca="false">IFERROR(IF([2]对账明细接口!$AD27=0,"",[2]对账明细接口!$AD27),"")</f>
        <v/>
      </c>
    </row>
    <row r="27" customFormat="false" ht="13.5" hidden="false" customHeight="false" outlineLevel="0" collapsed="false">
      <c r="A27" s="109" t="n">
        <v>27</v>
      </c>
      <c r="B27" s="110" t="n">
        <f aca="false">IFERROR(IF([2]对账明细接口!$B$27=0,"",[2]对账明细接口!$B$27),"")</f>
        <v>46249</v>
      </c>
      <c r="C27" s="59" t="str">
        <f aca="false">IFERROR(IF([2]对账明细接口!$C$27=0,"",[2]对账明细接口!$C$27),"")</f>
        <v>聂新平</v>
      </c>
      <c r="D27" s="59" t="str">
        <f aca="false">IFERROR(IF([2]对账明细接口!$D$27=0,"",[2]对账明细接口!$D$27),"")</f>
        <v>原料入库</v>
      </c>
      <c r="E27" s="59" t="str">
        <f aca="false">IFERROR(IF([2]对账明细接口!$E$27=0,"",[2]对账明细接口!$E$27),"")</f>
        <v>NO0000770</v>
      </c>
      <c r="F27" s="59" t="str">
        <f aca="false">IFERROR(IF([2]对账明细接口!$F$27=0,"",[2]对账明细接口!$F$27),"")</f>
        <v>苹果</v>
      </c>
      <c r="G27" s="59" t="str">
        <f aca="false">IFERROR(IF([2]对账明细接口!$G$27=0,"",[2]对账明细接口!$G$27),"")</f>
        <v>嘎啦100#</v>
      </c>
      <c r="H27" s="60" t="n">
        <f aca="false">IFERROR(IF([2]对账明细接口!$H$27=0,"",[2]对账明细接口!$H$27),"")</f>
        <v>64</v>
      </c>
      <c r="I27" s="59" t="str">
        <f aca="false">IFERROR(IF([2]对账明细接口!$I$27=0,"",[2]对账明细接口!$I$27),"")</f>
        <v>筐</v>
      </c>
      <c r="J27" s="61" t="n">
        <f aca="false">IFERROR(IF([2]对账明细接口!$J$27=0,"",[2]对账明细接口!$J$27),"")</f>
        <v>1395.2</v>
      </c>
      <c r="K27" s="61" t="str">
        <f aca="false">IFERROR(IF([2]对账明细接口!$K$27=0,"",[2]对账明细接口!$K$27),"")</f>
        <v/>
      </c>
      <c r="L27" s="59" t="str">
        <f aca="false">IFERROR(IF([2]对账明细接口!$L$27=0,"",[2]对账明细接口!$L$27),"")</f>
        <v/>
      </c>
      <c r="M27" s="59" t="str">
        <f aca="false">IFERROR(IF([2]对账明细接口!$M$27=0,"",[2]对账明细接口!$M$27),"")</f>
        <v/>
      </c>
      <c r="N27" s="111" t="n">
        <f aca="false">IF($C27="",0,1)</f>
        <v>1</v>
      </c>
      <c r="O27" s="111" t="n">
        <f aca="false">N(O26)+$N27</f>
        <v>24</v>
      </c>
      <c r="S27" s="10" t="str">
        <f aca="false">IFERROR(IF([2]对账明细接口!$N27=0,"",[2]对账明细接口!$N27),"")</f>
        <v>自备一次性筐</v>
      </c>
      <c r="T27" s="112" t="str">
        <f aca="false">IFERROR(IF([2]对账明细接口!$O27=0,"",[2]对账明细接口!$O27),"")</f>
        <v/>
      </c>
      <c r="U27" s="112" t="str">
        <f aca="false">IFERROR(IF([2]对账明细接口!$P27=0,"",[2]对账明细接口!$P27),"")</f>
        <v/>
      </c>
      <c r="V27" s="112" t="n">
        <f aca="false">IFERROR(IF([2]对账明细接口!$Q27=0,"",[2]对账明细接口!$Q27),"")</f>
        <v>64</v>
      </c>
      <c r="W27" s="10" t="str">
        <f aca="false">IFERROR(IF([2]对账明细接口!$R27=0,"",[2]对账明细接口!$R27),"")</f>
        <v>苏M*7G796</v>
      </c>
      <c r="X27" s="10" t="str">
        <f aca="false">IFERROR(IF([2]对账明细接口!$S27=0,"",[2]对账明细接口!$S27),"")</f>
        <v>自备筐</v>
      </c>
      <c r="Y27" s="10" t="str">
        <f aca="false">IFERROR(IF([2]对账明细接口!$T27=0,"",[2]对账明细接口!$T27),"")</f>
        <v/>
      </c>
      <c r="Z27" s="113" t="str">
        <f aca="false">IFERROR(IF([2]对账明细接口!$U27=0,"",[2]对账明细接口!$U27),"")</f>
        <v/>
      </c>
      <c r="AA27" s="113" t="str">
        <f aca="false">IFERROR(IF([2]对账明细接口!$V27=0,"",[2]对账明细接口!$V27),"")</f>
        <v/>
      </c>
      <c r="AB27" s="10" t="str">
        <f aca="false">IFERROR(IF([2]对账明细接口!$W27=0,"",[2]对账明细接口!$W27),"")</f>
        <v/>
      </c>
      <c r="AC27" s="90" t="str">
        <f aca="false">IFERROR(IF([2]对账明细接口!$X28=0,"",[2]对账明细接口!$X28),"")</f>
        <v/>
      </c>
      <c r="AD27" s="90" t="str">
        <f aca="false">IFERROR(IF([2]对账明细接口!$Y28=0,"",[2]对账明细接口!$Y28),"")</f>
        <v/>
      </c>
      <c r="AE27" s="90" t="str">
        <f aca="false">IFERROR(IF([2]对账明细接口!$AA28=0,"",[2]对账明细接口!$AA28),"")</f>
        <v/>
      </c>
      <c r="AF27" s="90" t="str">
        <f aca="false">IFERROR(IF([2]对账明细接口!$AB28=0,"",[2]对账明细接口!$AB28),"")</f>
        <v/>
      </c>
      <c r="AG27" s="90" t="str">
        <f aca="false">IFERROR(IF([2]对账明细接口!$AC28=0,"",[2]对账明细接口!$AC28),"")</f>
        <v/>
      </c>
      <c r="AH27" s="90" t="str">
        <f aca="false">IFERROR(IF([2]对账明细接口!$AD28=0,"",[2]对账明细接口!$AD28),"")</f>
        <v/>
      </c>
    </row>
    <row r="28" customFormat="false" ht="13.5" hidden="false" customHeight="false" outlineLevel="0" collapsed="false">
      <c r="A28" s="109" t="n">
        <v>28</v>
      </c>
      <c r="B28" s="110" t="n">
        <f aca="false">IFERROR(IF([2]对账明细接口!$B$28=0,"",[2]对账明细接口!$B$28),"")</f>
        <v>46249</v>
      </c>
      <c r="C28" s="59" t="str">
        <f aca="false">IFERROR(IF([2]对账明细接口!$C$28=0,"",[2]对账明细接口!$C$28),"")</f>
        <v>王照雪</v>
      </c>
      <c r="D28" s="59" t="str">
        <f aca="false">IFERROR(IF([2]对账明细接口!$D$28=0,"",[2]对账明细接口!$D$28),"")</f>
        <v>原料入库</v>
      </c>
      <c r="E28" s="59" t="str">
        <f aca="false">IFERROR(IF([2]对账明细接口!$E$28=0,"",[2]对账明细接口!$E$28),"")</f>
        <v>NO0000771</v>
      </c>
      <c r="F28" s="59" t="str">
        <f aca="false">IFERROR(IF([2]对账明细接口!$F$28=0,"",[2]对账明细接口!$F$28),"")</f>
        <v>李子</v>
      </c>
      <c r="G28" s="59" t="str">
        <f aca="false">IFERROR(IF([2]对账明细接口!$G$28=0,"",[2]对账明细接口!$G$28),"")</f>
        <v>樱桃李</v>
      </c>
      <c r="H28" s="60" t="n">
        <f aca="false">IFERROR(IF([2]对账明细接口!$H$28=0,"",[2]对账明细接口!$H$28),"")</f>
        <v>105</v>
      </c>
      <c r="I28" s="59" t="str">
        <f aca="false">IFERROR(IF([2]对账明细接口!$I$28=0,"",[2]对账明细接口!$I$28),"")</f>
        <v>筐</v>
      </c>
      <c r="J28" s="61" t="n">
        <f aca="false">IFERROR(IF([2]对账明细接口!$J$28=0,"",[2]对账明细接口!$J$28),"")</f>
        <v>1711.5</v>
      </c>
      <c r="K28" s="61" t="str">
        <f aca="false">IFERROR(IF([2]对账明细接口!$K$28=0,"",[2]对账明细接口!$K$28),"")</f>
        <v/>
      </c>
      <c r="L28" s="59" t="str">
        <f aca="false">IFERROR(IF([2]对账明细接口!$L$28=0,"",[2]对账明细接口!$L$28),"")</f>
        <v/>
      </c>
      <c r="M28" s="59" t="str">
        <f aca="false">IFERROR(IF([2]对账明细接口!$M$28=0,"",[2]对账明细接口!$M$28),"")</f>
        <v/>
      </c>
      <c r="N28" s="111" t="n">
        <f aca="false">IF($C28="",0,1)</f>
        <v>1</v>
      </c>
      <c r="O28" s="111" t="n">
        <f aca="false">N(O27)+$N28</f>
        <v>25</v>
      </c>
      <c r="S28" s="10" t="str">
        <f aca="false">IFERROR(IF([2]对账明细接口!$N28=0,"",[2]对账明细接口!$N28),"")</f>
        <v>自备一次性筐</v>
      </c>
      <c r="T28" s="112" t="str">
        <f aca="false">IFERROR(IF([2]对账明细接口!$O28=0,"",[2]对账明细接口!$O28),"")</f>
        <v/>
      </c>
      <c r="U28" s="112" t="str">
        <f aca="false">IFERROR(IF([2]对账明细接口!$P28=0,"",[2]对账明细接口!$P28),"")</f>
        <v/>
      </c>
      <c r="V28" s="112" t="n">
        <f aca="false">IFERROR(IF([2]对账明细接口!$Q28=0,"",[2]对账明细接口!$Q28),"")</f>
        <v>105</v>
      </c>
      <c r="W28" s="10" t="str">
        <f aca="false">IFERROR(IF([2]对账明细接口!$R28=0,"",[2]对账明细接口!$R28),"")</f>
        <v>豫L*88X19</v>
      </c>
      <c r="X28" s="10" t="str">
        <f aca="false">IFERROR(IF([2]对账明细接口!$S28=0,"",[2]对账明细接口!$S28),"")</f>
        <v>自备筐</v>
      </c>
      <c r="Y28" s="10" t="str">
        <f aca="false">IFERROR(IF([2]对账明细接口!$T28=0,"",[2]对账明细接口!$T28),"")</f>
        <v/>
      </c>
      <c r="Z28" s="113" t="str">
        <f aca="false">IFERROR(IF([2]对账明细接口!$U28=0,"",[2]对账明细接口!$U28),"")</f>
        <v/>
      </c>
      <c r="AA28" s="113" t="str">
        <f aca="false">IFERROR(IF([2]对账明细接口!$V28=0,"",[2]对账明细接口!$V28),"")</f>
        <v/>
      </c>
      <c r="AB28" s="10" t="str">
        <f aca="false">IFERROR(IF([2]对账明细接口!$W28=0,"",[2]对账明细接口!$W28),"")</f>
        <v/>
      </c>
      <c r="AC28" s="90" t="str">
        <f aca="false">IFERROR(IF([2]对账明细接口!$X29=0,"",[2]对账明细接口!$X29),"")</f>
        <v/>
      </c>
      <c r="AD28" s="90" t="str">
        <f aca="false">IFERROR(IF([2]对账明细接口!$Y29=0,"",[2]对账明细接口!$Y29),"")</f>
        <v/>
      </c>
      <c r="AE28" s="90" t="str">
        <f aca="false">IFERROR(IF([2]对账明细接口!$AA29=0,"",[2]对账明细接口!$AA29),"")</f>
        <v/>
      </c>
      <c r="AF28" s="90" t="str">
        <f aca="false">IFERROR(IF([2]对账明细接口!$AB29=0,"",[2]对账明细接口!$AB29),"")</f>
        <v/>
      </c>
      <c r="AG28" s="90" t="str">
        <f aca="false">IFERROR(IF([2]对账明细接口!$AC29=0,"",[2]对账明细接口!$AC29),"")</f>
        <v/>
      </c>
      <c r="AH28" s="90" t="str">
        <f aca="false">IFERROR(IF([2]对账明细接口!$AD29=0,"",[2]对账明细接口!$AD29),"")</f>
        <v/>
      </c>
    </row>
    <row r="29" customFormat="false" ht="13.5" hidden="false" customHeight="false" outlineLevel="0" collapsed="false">
      <c r="A29" s="109" t="n">
        <v>29</v>
      </c>
      <c r="B29" s="110" t="n">
        <f aca="false">IFERROR(IF([2]对账明细接口!$B$29=0,"",[2]对账明细接口!$B$29),"")</f>
        <v>46250</v>
      </c>
      <c r="C29" s="59" t="str">
        <f aca="false">IFERROR(IF([2]对账明细接口!$C$29=0,"",[2]对账明细接口!$C$29),"")</f>
        <v>聂新平</v>
      </c>
      <c r="D29" s="59" t="str">
        <f aca="false">IFERROR(IF([2]对账明细接口!$D$29=0,"",[2]对账明细接口!$D$29),"")</f>
        <v>原料入库</v>
      </c>
      <c r="E29" s="59" t="str">
        <f aca="false">IFERROR(IF([2]对账明细接口!$E$29=0,"",[2]对账明细接口!$E$29),"")</f>
        <v>NO0000772</v>
      </c>
      <c r="F29" s="59" t="str">
        <f aca="false">IFERROR(IF([2]对账明细接口!$F$29=0,"",[2]对账明细接口!$F$29),"")</f>
        <v>苹果</v>
      </c>
      <c r="G29" s="59" t="str">
        <f aca="false">IFERROR(IF([2]对账明细接口!$G$29=0,"",[2]对账明细接口!$G$29),"")</f>
        <v>嘎啦85#</v>
      </c>
      <c r="H29" s="60" t="n">
        <f aca="false">IFERROR(IF([2]对账明细接口!$H$29=0,"",[2]对账明细接口!$H$29),"")</f>
        <v>10</v>
      </c>
      <c r="I29" s="59" t="str">
        <f aca="false">IFERROR(IF([2]对账明细接口!$I$29=0,"",[2]对账明细接口!$I$29),"")</f>
        <v>筐</v>
      </c>
      <c r="J29" s="61" t="n">
        <f aca="false">IFERROR(IF([2]对账明细接口!$J$29=0,"",[2]对账明细接口!$J$29),"")</f>
        <v>218</v>
      </c>
      <c r="K29" s="61" t="str">
        <f aca="false">IFERROR(IF([2]对账明细接口!$K$29=0,"",[2]对账明细接口!$K$29),"")</f>
        <v/>
      </c>
      <c r="L29" s="59" t="str">
        <f aca="false">IFERROR(IF([2]对账明细接口!$L$29=0,"",[2]对账明细接口!$L$29),"")</f>
        <v/>
      </c>
      <c r="M29" s="59" t="str">
        <f aca="false">IFERROR(IF([2]对账明细接口!$M$29=0,"",[2]对账明细接口!$M$29),"")</f>
        <v/>
      </c>
      <c r="N29" s="111" t="n">
        <f aca="false">IF($C29="",0,1)</f>
        <v>1</v>
      </c>
      <c r="O29" s="111" t="n">
        <f aca="false">N(O28)+$N29</f>
        <v>26</v>
      </c>
      <c r="S29" s="10" t="str">
        <f aca="false">IFERROR(IF([2]对账明细接口!$N29=0,"",[2]对账明细接口!$N29),"")</f>
        <v>自备一次性筐</v>
      </c>
      <c r="T29" s="112" t="str">
        <f aca="false">IFERROR(IF([2]对账明细接口!$O29=0,"",[2]对账明细接口!$O29),"")</f>
        <v/>
      </c>
      <c r="U29" s="112" t="str">
        <f aca="false">IFERROR(IF([2]对账明细接口!$P29=0,"",[2]对账明细接口!$P29),"")</f>
        <v/>
      </c>
      <c r="V29" s="112" t="n">
        <f aca="false">IFERROR(IF([2]对账明细接口!$Q29=0,"",[2]对账明细接口!$Q29),"")</f>
        <v>10</v>
      </c>
      <c r="W29" s="10" t="str">
        <f aca="false">IFERROR(IF([2]对账明细接口!$R29=0,"",[2]对账明细接口!$R29),"")</f>
        <v>苏M*7G796</v>
      </c>
      <c r="X29" s="10" t="str">
        <f aca="false">IFERROR(IF([2]对账明细接口!$S29=0,"",[2]对账明细接口!$S29),"")</f>
        <v>自备筐</v>
      </c>
      <c r="Y29" s="10" t="str">
        <f aca="false">IFERROR(IF([2]对账明细接口!$T29=0,"",[2]对账明细接口!$T29),"")</f>
        <v/>
      </c>
      <c r="Z29" s="113" t="str">
        <f aca="false">IFERROR(IF([2]对账明细接口!$U29=0,"",[2]对账明细接口!$U29),"")</f>
        <v/>
      </c>
      <c r="AA29" s="113" t="str">
        <f aca="false">IFERROR(IF([2]对账明细接口!$V29=0,"",[2]对账明细接口!$V29),"")</f>
        <v/>
      </c>
      <c r="AB29" s="10" t="str">
        <f aca="false">IFERROR(IF([2]对账明细接口!$W29=0,"",[2]对账明细接口!$W29),"")</f>
        <v/>
      </c>
      <c r="AC29" s="90" t="str">
        <f aca="false">IFERROR(IF([2]对账明细接口!$X30=0,"",[2]对账明细接口!$X30),"")</f>
        <v/>
      </c>
      <c r="AD29" s="90" t="str">
        <f aca="false">IFERROR(IF([2]对账明细接口!$Y30=0,"",[2]对账明细接口!$Y30),"")</f>
        <v/>
      </c>
      <c r="AE29" s="90" t="str">
        <f aca="false">IFERROR(IF([2]对账明细接口!$AA30=0,"",[2]对账明细接口!$AA30),"")</f>
        <v/>
      </c>
      <c r="AF29" s="90" t="str">
        <f aca="false">IFERROR(IF([2]对账明细接口!$AB30=0,"",[2]对账明细接口!$AB30),"")</f>
        <v/>
      </c>
      <c r="AG29" s="90" t="str">
        <f aca="false">IFERROR(IF([2]对账明细接口!$AC30=0,"",[2]对账明细接口!$AC30),"")</f>
        <v/>
      </c>
      <c r="AH29" s="90" t="str">
        <f aca="false">IFERROR(IF([2]对账明细接口!$AD30=0,"",[2]对账明细接口!$AD30),"")</f>
        <v/>
      </c>
    </row>
    <row r="30" customFormat="false" ht="13.5" hidden="false" customHeight="false" outlineLevel="0" collapsed="false">
      <c r="A30" s="109" t="n">
        <v>30</v>
      </c>
      <c r="B30" s="110" t="n">
        <f aca="false">IFERROR(IF([2]对账明细接口!$B$30=0,"",[2]对账明细接口!$B$30),"")</f>
        <v>46250</v>
      </c>
      <c r="C30" s="59" t="str">
        <f aca="false">IFERROR(IF([2]对账明细接口!$C$30=0,"",[2]对账明细接口!$C$30),"")</f>
        <v>聂新平</v>
      </c>
      <c r="D30" s="59" t="str">
        <f aca="false">IFERROR(IF([2]对账明细接口!$D$30=0,"",[2]对账明细接口!$D$30),"")</f>
        <v>原料入库</v>
      </c>
      <c r="E30" s="59" t="str">
        <f aca="false">IFERROR(IF([2]对账明细接口!$E$30=0,"",[2]对账明细接口!$E$30),"")</f>
        <v>NO0000772</v>
      </c>
      <c r="F30" s="59" t="str">
        <f aca="false">IFERROR(IF([2]对账明细接口!$F$30=0,"",[2]对账明细接口!$F$30),"")</f>
        <v>苹果</v>
      </c>
      <c r="G30" s="59" t="str">
        <f aca="false">IFERROR(IF([2]对账明细接口!$G$30=0,"",[2]对账明细接口!$G$30),"")</f>
        <v>嘎啦100#</v>
      </c>
      <c r="H30" s="60" t="n">
        <f aca="false">IFERROR(IF([2]对账明细接口!$H$30=0,"",[2]对账明细接口!$H$30),"")</f>
        <v>28</v>
      </c>
      <c r="I30" s="59" t="str">
        <f aca="false">IFERROR(IF([2]对账明细接口!$I$30=0,"",[2]对账明细接口!$I$30),"")</f>
        <v>筐</v>
      </c>
      <c r="J30" s="61" t="n">
        <f aca="false">IFERROR(IF([2]对账明细接口!$J$30=0,"",[2]对账明细接口!$J$30),"")</f>
        <v>610.4</v>
      </c>
      <c r="K30" s="61" t="str">
        <f aca="false">IFERROR(IF([2]对账明细接口!$K$30=0,"",[2]对账明细接口!$K$30),"")</f>
        <v/>
      </c>
      <c r="L30" s="59" t="str">
        <f aca="false">IFERROR(IF([2]对账明细接口!$L$30=0,"",[2]对账明细接口!$L$30),"")</f>
        <v/>
      </c>
      <c r="M30" s="59" t="str">
        <f aca="false">IFERROR(IF([2]对账明细接口!$M$30=0,"",[2]对账明细接口!$M$30),"")</f>
        <v/>
      </c>
      <c r="N30" s="111" t="n">
        <f aca="false">IF($C30="",0,1)</f>
        <v>1</v>
      </c>
      <c r="O30" s="111" t="n">
        <f aca="false">N(O29)+$N30</f>
        <v>27</v>
      </c>
      <c r="S30" s="10" t="str">
        <f aca="false">IFERROR(IF([2]对账明细接口!$N30=0,"",[2]对账明细接口!$N30),"")</f>
        <v>自备一次性筐</v>
      </c>
      <c r="T30" s="112" t="str">
        <f aca="false">IFERROR(IF([2]对账明细接口!$O30=0,"",[2]对账明细接口!$O30),"")</f>
        <v/>
      </c>
      <c r="U30" s="112" t="str">
        <f aca="false">IFERROR(IF([2]对账明细接口!$P30=0,"",[2]对账明细接口!$P30),"")</f>
        <v/>
      </c>
      <c r="V30" s="112" t="n">
        <f aca="false">IFERROR(IF([2]对账明细接口!$Q30=0,"",[2]对账明细接口!$Q30),"")</f>
        <v>28</v>
      </c>
      <c r="W30" s="10" t="str">
        <f aca="false">IFERROR(IF([2]对账明细接口!$R30=0,"",[2]对账明细接口!$R30),"")</f>
        <v>苏M*7G796</v>
      </c>
      <c r="X30" s="10" t="str">
        <f aca="false">IFERROR(IF([2]对账明细接口!$S30=0,"",[2]对账明细接口!$S30),"")</f>
        <v>自备筐</v>
      </c>
      <c r="Y30" s="10" t="str">
        <f aca="false">IFERROR(IF([2]对账明细接口!$T30=0,"",[2]对账明细接口!$T30),"")</f>
        <v/>
      </c>
      <c r="Z30" s="113" t="str">
        <f aca="false">IFERROR(IF([2]对账明细接口!$U30=0,"",[2]对账明细接口!$U30),"")</f>
        <v/>
      </c>
      <c r="AA30" s="113" t="str">
        <f aca="false">IFERROR(IF([2]对账明细接口!$V30=0,"",[2]对账明细接口!$V30),"")</f>
        <v/>
      </c>
      <c r="AB30" s="10" t="str">
        <f aca="false">IFERROR(IF([2]对账明细接口!$W30=0,"",[2]对账明细接口!$W30),"")</f>
        <v/>
      </c>
      <c r="AC30" s="90" t="str">
        <f aca="false">IFERROR(IF([2]对账明细接口!$X31=0,"",[2]对账明细接口!$X31),"")</f>
        <v/>
      </c>
      <c r="AD30" s="90" t="str">
        <f aca="false">IFERROR(IF([2]对账明细接口!$Y31=0,"",[2]对账明细接口!$Y31),"")</f>
        <v/>
      </c>
      <c r="AE30" s="90" t="str">
        <f aca="false">IFERROR(IF([2]对账明细接口!$AA31=0,"",[2]对账明细接口!$AA31),"")</f>
        <v/>
      </c>
      <c r="AF30" s="90" t="str">
        <f aca="false">IFERROR(IF([2]对账明细接口!$AB31=0,"",[2]对账明细接口!$AB31),"")</f>
        <v/>
      </c>
      <c r="AG30" s="90" t="str">
        <f aca="false">IFERROR(IF([2]对账明细接口!$AC31=0,"",[2]对账明细接口!$AC31),"")</f>
        <v/>
      </c>
      <c r="AH30" s="90" t="str">
        <f aca="false">IFERROR(IF([2]对账明细接口!$AD31=0,"",[2]对账明细接口!$AD31),"")</f>
        <v/>
      </c>
    </row>
    <row r="31" customFormat="false" ht="13.5" hidden="false" customHeight="false" outlineLevel="0" collapsed="false">
      <c r="A31" s="109" t="n">
        <v>31</v>
      </c>
      <c r="B31" s="110" t="n">
        <f aca="false">IFERROR(IF([2]对账明细接口!$B$31=0,"",[2]对账明细接口!$B$31),"")</f>
        <v>46251</v>
      </c>
      <c r="C31" s="59" t="str">
        <f aca="false">IFERROR(IF([2]对账明细接口!$C$31=0,"",[2]对账明细接口!$C$31),"")</f>
        <v>伍元虎</v>
      </c>
      <c r="D31" s="59" t="str">
        <f aca="false">IFERROR(IF([2]对账明细接口!$D$31=0,"",[2]对账明细接口!$D$31),"")</f>
        <v>原料入库</v>
      </c>
      <c r="E31" s="59" t="str">
        <f aca="false">IFERROR(IF([2]对账明细接口!$E$31=0,"",[2]对账明细接口!$E$31),"")</f>
        <v>NO0000773</v>
      </c>
      <c r="F31" s="59" t="str">
        <f aca="false">IFERROR(IF([2]对账明细接口!$F$31=0,"",[2]对账明细接口!$F$31),"")</f>
        <v>苹果</v>
      </c>
      <c r="G31" s="59" t="str">
        <f aca="false">IFERROR(IF([2]对账明细接口!$G$31=0,"",[2]对账明细接口!$G$31),"")</f>
        <v>海棠果</v>
      </c>
      <c r="H31" s="60" t="n">
        <f aca="false">IFERROR(IF([2]对账明细接口!$H$31=0,"",[2]对账明细接口!$H$31),"")</f>
        <v>29</v>
      </c>
      <c r="I31" s="59" t="str">
        <f aca="false">IFERROR(IF([2]对账明细接口!$I$31=0,"",[2]对账明细接口!$I$31),"")</f>
        <v>筐</v>
      </c>
      <c r="J31" s="61" t="n">
        <f aca="false">IFERROR(IF([2]对账明细接口!$J$31=0,"",[2]对账明细接口!$J$31),"")</f>
        <v>652.5</v>
      </c>
      <c r="K31" s="61" t="str">
        <f aca="false">IFERROR(IF([2]对账明细接口!$K$31=0,"",[2]对账明细接口!$K$31),"")</f>
        <v/>
      </c>
      <c r="L31" s="59" t="str">
        <f aca="false">IFERROR(IF([2]对账明细接口!$L$31=0,"",[2]对账明细接口!$L$31),"")</f>
        <v/>
      </c>
      <c r="M31" s="59" t="str">
        <f aca="false">IFERROR(IF([2]对账明细接口!$M$31=0,"",[2]对账明细接口!$M$31),"")</f>
        <v/>
      </c>
      <c r="N31" s="111" t="n">
        <f aca="false">IF($C31="",0,1)</f>
        <v>1</v>
      </c>
      <c r="O31" s="111" t="n">
        <f aca="false">N(O30)+$N31</f>
        <v>28</v>
      </c>
      <c r="S31" s="10" t="str">
        <f aca="false">IFERROR(IF([2]对账明细接口!$N31=0,"",[2]对账明细接口!$N31),"")</f>
        <v>自备一次性筐</v>
      </c>
      <c r="T31" s="112" t="str">
        <f aca="false">IFERROR(IF([2]对账明细接口!$O31=0,"",[2]对账明细接口!$O31),"")</f>
        <v/>
      </c>
      <c r="U31" s="112" t="str">
        <f aca="false">IFERROR(IF([2]对账明细接口!$P31=0,"",[2]对账明细接口!$P31),"")</f>
        <v/>
      </c>
      <c r="V31" s="112" t="n">
        <f aca="false">IFERROR(IF([2]对账明细接口!$Q31=0,"",[2]对账明细接口!$Q31),"")</f>
        <v>29</v>
      </c>
      <c r="W31" s="10" t="str">
        <f aca="false">IFERROR(IF([2]对账明细接口!$R31=0,"",[2]对账明细接口!$R31),"")</f>
        <v>三轮车</v>
      </c>
      <c r="X31" s="10" t="str">
        <f aca="false">IFERROR(IF([2]对账明细接口!$S31=0,"",[2]对账明细接口!$S31),"")</f>
        <v>自备筐</v>
      </c>
      <c r="Y31" s="10" t="str">
        <f aca="false">IFERROR(IF([2]对账明细接口!$T31=0,"",[2]对账明细接口!$T31),"")</f>
        <v/>
      </c>
      <c r="Z31" s="113" t="str">
        <f aca="false">IFERROR(IF([2]对账明细接口!$U31=0,"",[2]对账明细接口!$U31),"")</f>
        <v/>
      </c>
      <c r="AA31" s="113" t="str">
        <f aca="false">IFERROR(IF([2]对账明细接口!$V31=0,"",[2]对账明细接口!$V31),"")</f>
        <v/>
      </c>
      <c r="AB31" s="10" t="str">
        <f aca="false">IFERROR(IF([2]对账明细接口!$W31=0,"",[2]对账明细接口!$W31),"")</f>
        <v/>
      </c>
      <c r="AC31" s="90" t="str">
        <f aca="false">IFERROR(IF([2]对账明细接口!$X32=0,"",[2]对账明细接口!$X32),"")</f>
        <v/>
      </c>
      <c r="AD31" s="90" t="str">
        <f aca="false">IFERROR(IF([2]对账明细接口!$Y32=0,"",[2]对账明细接口!$Y32),"")</f>
        <v/>
      </c>
      <c r="AE31" s="90" t="str">
        <f aca="false">IFERROR(IF([2]对账明细接口!$AA32=0,"",[2]对账明细接口!$AA32),"")</f>
        <v/>
      </c>
      <c r="AF31" s="90" t="str">
        <f aca="false">IFERROR(IF([2]对账明细接口!$AB32=0,"",[2]对账明细接口!$AB32),"")</f>
        <v/>
      </c>
      <c r="AG31" s="90" t="str">
        <f aca="false">IFERROR(IF([2]对账明细接口!$AC32=0,"",[2]对账明细接口!$AC32),"")</f>
        <v/>
      </c>
      <c r="AH31" s="90" t="str">
        <f aca="false">IFERROR(IF([2]对账明细接口!$AD32=0,"",[2]对账明细接口!$AD32),"")</f>
        <v/>
      </c>
    </row>
    <row r="32" customFormat="false" ht="13.5" hidden="false" customHeight="false" outlineLevel="0" collapsed="false">
      <c r="A32" s="109" t="n">
        <v>32</v>
      </c>
      <c r="B32" s="110" t="n">
        <f aca="false">IFERROR(IF([2]对账明细接口!$B$32=0,"",[2]对账明细接口!$B$32),"")</f>
        <v>46252</v>
      </c>
      <c r="C32" s="59" t="str">
        <f aca="false">IFERROR(IF([2]对账明细接口!$C$32=0,"",[2]对账明细接口!$C$32),"")</f>
        <v>聂新平</v>
      </c>
      <c r="D32" s="59" t="str">
        <f aca="false">IFERROR(IF([2]对账明细接口!$D$32=0,"",[2]对账明细接口!$D$32),"")</f>
        <v>原料入库</v>
      </c>
      <c r="E32" s="59" t="str">
        <f aca="false">IFERROR(IF([2]对账明细接口!$E$32=0,"",[2]对账明细接口!$E$32),"")</f>
        <v>NO0000774</v>
      </c>
      <c r="F32" s="59" t="str">
        <f aca="false">IFERROR(IF([2]对账明细接口!$F$32=0,"",[2]对账明细接口!$F$32),"")</f>
        <v>苹果</v>
      </c>
      <c r="G32" s="59" t="str">
        <f aca="false">IFERROR(IF([2]对账明细接口!$G$32=0,"",[2]对账明细接口!$G$32),"")</f>
        <v>嘎啦85#</v>
      </c>
      <c r="H32" s="60" t="n">
        <f aca="false">IFERROR(IF([2]对账明细接口!$H$32=0,"",[2]对账明细接口!$H$32),"")</f>
        <v>1</v>
      </c>
      <c r="I32" s="59" t="str">
        <f aca="false">IFERROR(IF([2]对账明细接口!$I$32=0,"",[2]对账明细接口!$I$32),"")</f>
        <v>筐</v>
      </c>
      <c r="J32" s="61" t="n">
        <f aca="false">IFERROR(IF([2]对账明细接口!$J$32=0,"",[2]对账明细接口!$J$32),"")</f>
        <v>21.8</v>
      </c>
      <c r="K32" s="61" t="str">
        <f aca="false">IFERROR(IF([2]对账明细接口!$K$32=0,"",[2]对账明细接口!$K$32),"")</f>
        <v/>
      </c>
      <c r="L32" s="59" t="str">
        <f aca="false">IFERROR(IF([2]对账明细接口!$L$32=0,"",[2]对账明细接口!$L$32),"")</f>
        <v/>
      </c>
      <c r="M32" s="59" t="str">
        <f aca="false">IFERROR(IF([2]对账明细接口!$M$32=0,"",[2]对账明细接口!$M$32),"")</f>
        <v/>
      </c>
      <c r="N32" s="111" t="n">
        <f aca="false">IF($C32="",0,1)</f>
        <v>1</v>
      </c>
      <c r="O32" s="111" t="n">
        <f aca="false">N(O31)+$N32</f>
        <v>29</v>
      </c>
      <c r="S32" s="10" t="str">
        <f aca="false">IFERROR(IF([2]对账明细接口!$N32=0,"",[2]对账明细接口!$N32),"")</f>
        <v>自备一次性筐</v>
      </c>
      <c r="T32" s="112" t="str">
        <f aca="false">IFERROR(IF([2]对账明细接口!$O32=0,"",[2]对账明细接口!$O32),"")</f>
        <v/>
      </c>
      <c r="U32" s="112" t="str">
        <f aca="false">IFERROR(IF([2]对账明细接口!$P32=0,"",[2]对账明细接口!$P32),"")</f>
        <v/>
      </c>
      <c r="V32" s="112" t="n">
        <f aca="false">IFERROR(IF([2]对账明细接口!$Q32=0,"",[2]对账明细接口!$Q32),"")</f>
        <v>1</v>
      </c>
      <c r="W32" s="10" t="str">
        <f aca="false">IFERROR(IF([2]对账明细接口!$R32=0,"",[2]对账明细接口!$R32),"")</f>
        <v>苏M*7G796</v>
      </c>
      <c r="X32" s="10" t="str">
        <f aca="false">IFERROR(IF([2]对账明细接口!$S32=0,"",[2]对账明细接口!$S32),"")</f>
        <v>自备筐</v>
      </c>
      <c r="Y32" s="10" t="str">
        <f aca="false">IFERROR(IF([2]对账明细接口!$T32=0,"",[2]对账明细接口!$T32),"")</f>
        <v/>
      </c>
      <c r="Z32" s="113" t="str">
        <f aca="false">IFERROR(IF([2]对账明细接口!$U32=0,"",[2]对账明细接口!$U32),"")</f>
        <v/>
      </c>
      <c r="AA32" s="113" t="str">
        <f aca="false">IFERROR(IF([2]对账明细接口!$V32=0,"",[2]对账明细接口!$V32),"")</f>
        <v/>
      </c>
      <c r="AB32" s="10" t="str">
        <f aca="false">IFERROR(IF([2]对账明细接口!$W32=0,"",[2]对账明细接口!$W32),"")</f>
        <v/>
      </c>
      <c r="AC32" s="90" t="str">
        <f aca="false">IFERROR(IF([2]对账明细接口!$X33=0,"",[2]对账明细接口!$X33),"")</f>
        <v/>
      </c>
      <c r="AD32" s="90" t="str">
        <f aca="false">IFERROR(IF([2]对账明细接口!$Y33=0,"",[2]对账明细接口!$Y33),"")</f>
        <v/>
      </c>
      <c r="AE32" s="90" t="str">
        <f aca="false">IFERROR(IF([2]对账明细接口!$AA33=0,"",[2]对账明细接口!$AA33),"")</f>
        <v/>
      </c>
      <c r="AF32" s="90" t="str">
        <f aca="false">IFERROR(IF([2]对账明细接口!$AB33=0,"",[2]对账明细接口!$AB33),"")</f>
        <v/>
      </c>
      <c r="AG32" s="90" t="str">
        <f aca="false">IFERROR(IF([2]对账明细接口!$AC33=0,"",[2]对账明细接口!$AC33),"")</f>
        <v/>
      </c>
      <c r="AH32" s="90" t="str">
        <f aca="false">IFERROR(IF([2]对账明细接口!$AD33=0,"",[2]对账明细接口!$AD33),"")</f>
        <v/>
      </c>
    </row>
    <row r="33" customFormat="false" ht="13.5" hidden="false" customHeight="false" outlineLevel="0" collapsed="false">
      <c r="A33" s="109" t="n">
        <v>33</v>
      </c>
      <c r="B33" s="110" t="n">
        <f aca="false">IFERROR(IF([2]对账明细接口!$B$33=0,"",[2]对账明细接口!$B$33),"")</f>
        <v>46252</v>
      </c>
      <c r="C33" s="59" t="str">
        <f aca="false">IFERROR(IF([2]对账明细接口!$C$33=0,"",[2]对账明细接口!$C$33),"")</f>
        <v>聂新平</v>
      </c>
      <c r="D33" s="59" t="str">
        <f aca="false">IFERROR(IF([2]对账明细接口!$D$33=0,"",[2]对账明细接口!$D$33),"")</f>
        <v>原料入库</v>
      </c>
      <c r="E33" s="59" t="str">
        <f aca="false">IFERROR(IF([2]对账明细接口!$E$33=0,"",[2]对账明细接口!$E$33),"")</f>
        <v>NO0000774</v>
      </c>
      <c r="F33" s="59" t="str">
        <f aca="false">IFERROR(IF([2]对账明细接口!$F$33=0,"",[2]对账明细接口!$F$33),"")</f>
        <v>苹果</v>
      </c>
      <c r="G33" s="59" t="str">
        <f aca="false">IFERROR(IF([2]对账明细接口!$G$33=0,"",[2]对账明细接口!$G$33),"")</f>
        <v>嘎啦100#</v>
      </c>
      <c r="H33" s="60" t="n">
        <f aca="false">IFERROR(IF([2]对账明细接口!$H$33=0,"",[2]对账明细接口!$H$33),"")</f>
        <v>11</v>
      </c>
      <c r="I33" s="59" t="str">
        <f aca="false">IFERROR(IF([2]对账明细接口!$I$33=0,"",[2]对账明细接口!$I$33),"")</f>
        <v>筐</v>
      </c>
      <c r="J33" s="61" t="n">
        <f aca="false">IFERROR(IF([2]对账明细接口!$J$33=0,"",[2]对账明细接口!$J$33),"")</f>
        <v>239.8</v>
      </c>
      <c r="K33" s="61" t="str">
        <f aca="false">IFERROR(IF([2]对账明细接口!$K$33=0,"",[2]对账明细接口!$K$33),"")</f>
        <v/>
      </c>
      <c r="L33" s="59" t="str">
        <f aca="false">IFERROR(IF([2]对账明细接口!$L$33=0,"",[2]对账明细接口!$L$33),"")</f>
        <v/>
      </c>
      <c r="M33" s="59" t="str">
        <f aca="false">IFERROR(IF([2]对账明细接口!$M$33=0,"",[2]对账明细接口!$M$33),"")</f>
        <v/>
      </c>
      <c r="N33" s="111" t="n">
        <f aca="false">IF($C33="",0,1)</f>
        <v>1</v>
      </c>
      <c r="O33" s="111" t="n">
        <f aca="false">N(O32)+$N33</f>
        <v>30</v>
      </c>
      <c r="S33" s="10" t="str">
        <f aca="false">IFERROR(IF([2]对账明细接口!$N33=0,"",[2]对账明细接口!$N33),"")</f>
        <v>自备一次性筐</v>
      </c>
      <c r="T33" s="112" t="str">
        <f aca="false">IFERROR(IF([2]对账明细接口!$O33=0,"",[2]对账明细接口!$O33),"")</f>
        <v/>
      </c>
      <c r="U33" s="112" t="str">
        <f aca="false">IFERROR(IF([2]对账明细接口!$P33=0,"",[2]对账明细接口!$P33),"")</f>
        <v/>
      </c>
      <c r="V33" s="112" t="n">
        <f aca="false">IFERROR(IF([2]对账明细接口!$Q33=0,"",[2]对账明细接口!$Q33),"")</f>
        <v>11</v>
      </c>
      <c r="W33" s="10" t="str">
        <f aca="false">IFERROR(IF([2]对账明细接口!$R33=0,"",[2]对账明细接口!$R33),"")</f>
        <v>苏M*7G796</v>
      </c>
      <c r="X33" s="10" t="str">
        <f aca="false">IFERROR(IF([2]对账明细接口!$S33=0,"",[2]对账明细接口!$S33),"")</f>
        <v>自备筐</v>
      </c>
      <c r="Y33" s="10" t="str">
        <f aca="false">IFERROR(IF([2]对账明细接口!$T33=0,"",[2]对账明细接口!$T33),"")</f>
        <v/>
      </c>
      <c r="Z33" s="113" t="str">
        <f aca="false">IFERROR(IF([2]对账明细接口!$U33=0,"",[2]对账明细接口!$U33),"")</f>
        <v/>
      </c>
      <c r="AA33" s="113" t="str">
        <f aca="false">IFERROR(IF([2]对账明细接口!$V33=0,"",[2]对账明细接口!$V33),"")</f>
        <v/>
      </c>
      <c r="AB33" s="10" t="str">
        <f aca="false">IFERROR(IF([2]对账明细接口!$W33=0,"",[2]对账明细接口!$W33),"")</f>
        <v/>
      </c>
      <c r="AC33" s="90" t="str">
        <f aca="false">IFERROR(IF([2]对账明细接口!$X34=0,"",[2]对账明细接口!$X34),"")</f>
        <v/>
      </c>
      <c r="AD33" s="90" t="str">
        <f aca="false">IFERROR(IF([2]对账明细接口!$Y34=0,"",[2]对账明细接口!$Y34),"")</f>
        <v/>
      </c>
      <c r="AE33" s="90" t="str">
        <f aca="false">IFERROR(IF([2]对账明细接口!$AA34=0,"",[2]对账明细接口!$AA34),"")</f>
        <v/>
      </c>
      <c r="AF33" s="90" t="str">
        <f aca="false">IFERROR(IF([2]对账明细接口!$AB34=0,"",[2]对账明细接口!$AB34),"")</f>
        <v/>
      </c>
      <c r="AG33" s="90" t="str">
        <f aca="false">IFERROR(IF([2]对账明细接口!$AC34=0,"",[2]对账明细接口!$AC34),"")</f>
        <v/>
      </c>
      <c r="AH33" s="90" t="str">
        <f aca="false">IFERROR(IF([2]对账明细接口!$AD34=0,"",[2]对账明细接口!$AD34),"")</f>
        <v/>
      </c>
    </row>
    <row r="34" customFormat="false" ht="13.5" hidden="false" customHeight="false" outlineLevel="0" collapsed="false">
      <c r="A34" s="109" t="n">
        <v>34</v>
      </c>
      <c r="B34" s="110" t="n">
        <f aca="false">IFERROR(IF([2]对账明细接口!$B$34=0,"",[2]对账明细接口!$B$34),"")</f>
        <v>46253</v>
      </c>
      <c r="C34" s="59" t="str">
        <f aca="false">IFERROR(IF([2]对账明细接口!$C$34=0,"",[2]对账明细接口!$C$34),"")</f>
        <v>聂新平</v>
      </c>
      <c r="D34" s="59" t="str">
        <f aca="false">IFERROR(IF([2]对账明细接口!$D$34=0,"",[2]对账明细接口!$D$34),"")</f>
        <v>原料入库</v>
      </c>
      <c r="E34" s="59" t="str">
        <f aca="false">IFERROR(IF([2]对账明细接口!$E$34=0,"",[2]对账明细接口!$E$34),"")</f>
        <v>NO0000702</v>
      </c>
      <c r="F34" s="59" t="str">
        <f aca="false">IFERROR(IF([2]对账明细接口!$F$34=0,"",[2]对账明细接口!$F$34),"")</f>
        <v>苹果</v>
      </c>
      <c r="G34" s="59" t="str">
        <f aca="false">IFERROR(IF([2]对账明细接口!$G$34=0,"",[2]对账明细接口!$G$34),"")</f>
        <v>嘎啦85#</v>
      </c>
      <c r="H34" s="60" t="n">
        <f aca="false">IFERROR(IF([2]对账明细接口!$H$34=0,"",[2]对账明细接口!$H$34),"")</f>
        <v>8</v>
      </c>
      <c r="I34" s="59" t="str">
        <f aca="false">IFERROR(IF([2]对账明细接口!$I$34=0,"",[2]对账明细接口!$I$34),"")</f>
        <v>筐</v>
      </c>
      <c r="J34" s="61" t="n">
        <f aca="false">IFERROR(IF([2]对账明细接口!$J$34=0,"",[2]对账明细接口!$J$34),"")</f>
        <v>174.4</v>
      </c>
      <c r="K34" s="61" t="str">
        <f aca="false">IFERROR(IF([2]对账明细接口!$K$34=0,"",[2]对账明细接口!$K$34),"")</f>
        <v/>
      </c>
      <c r="L34" s="59" t="str">
        <f aca="false">IFERROR(IF([2]对账明细接口!$L$34=0,"",[2]对账明细接口!$L$34),"")</f>
        <v/>
      </c>
      <c r="M34" s="59" t="str">
        <f aca="false">IFERROR(IF([2]对账明细接口!$M$34=0,"",[2]对账明细接口!$M$34),"")</f>
        <v/>
      </c>
      <c r="N34" s="111" t="n">
        <f aca="false">IF($C34="",0,1)</f>
        <v>1</v>
      </c>
      <c r="O34" s="111" t="n">
        <f aca="false">N(O33)+$N34</f>
        <v>31</v>
      </c>
      <c r="S34" s="10" t="str">
        <f aca="false">IFERROR(IF([2]对账明细接口!$N34=0,"",[2]对账明细接口!$N34),"")</f>
        <v>自备一次性筐</v>
      </c>
      <c r="T34" s="112" t="str">
        <f aca="false">IFERROR(IF([2]对账明细接口!$O34=0,"",[2]对账明细接口!$O34),"")</f>
        <v/>
      </c>
      <c r="U34" s="112" t="str">
        <f aca="false">IFERROR(IF([2]对账明细接口!$P34=0,"",[2]对账明细接口!$P34),"")</f>
        <v/>
      </c>
      <c r="V34" s="112" t="n">
        <f aca="false">IFERROR(IF([2]对账明细接口!$Q34=0,"",[2]对账明细接口!$Q34),"")</f>
        <v>8</v>
      </c>
      <c r="W34" s="10" t="str">
        <f aca="false">IFERROR(IF([2]对账明细接口!$R34=0,"",[2]对账明细接口!$R34),"")</f>
        <v>苏M*7G796</v>
      </c>
      <c r="X34" s="10" t="str">
        <f aca="false">IFERROR(IF([2]对账明细接口!$S34=0,"",[2]对账明细接口!$S34),"")</f>
        <v>自备筐</v>
      </c>
      <c r="Y34" s="10" t="str">
        <f aca="false">IFERROR(IF([2]对账明细接口!$T34=0,"",[2]对账明细接口!$T34),"")</f>
        <v/>
      </c>
      <c r="Z34" s="113" t="str">
        <f aca="false">IFERROR(IF([2]对账明细接口!$U34=0,"",[2]对账明细接口!$U34),"")</f>
        <v/>
      </c>
      <c r="AA34" s="113" t="str">
        <f aca="false">IFERROR(IF([2]对账明细接口!$V34=0,"",[2]对账明细接口!$V34),"")</f>
        <v/>
      </c>
      <c r="AB34" s="10" t="str">
        <f aca="false">IFERROR(IF([2]对账明细接口!$W34=0,"",[2]对账明细接口!$W34),"")</f>
        <v/>
      </c>
      <c r="AC34" s="90" t="str">
        <f aca="false">IFERROR(IF([2]对账明细接口!$X35=0,"",[2]对账明细接口!$X35),"")</f>
        <v/>
      </c>
      <c r="AD34" s="90" t="str">
        <f aca="false">IFERROR(IF([2]对账明细接口!$Y35=0,"",[2]对账明细接口!$Y35),"")</f>
        <v/>
      </c>
      <c r="AE34" s="90" t="str">
        <f aca="false">IFERROR(IF([2]对账明细接口!$AA35=0,"",[2]对账明细接口!$AA35),"")</f>
        <v/>
      </c>
      <c r="AF34" s="90" t="str">
        <f aca="false">IFERROR(IF([2]对账明细接口!$AB35=0,"",[2]对账明细接口!$AB35),"")</f>
        <v/>
      </c>
      <c r="AG34" s="90" t="str">
        <f aca="false">IFERROR(IF([2]对账明细接口!$AC35=0,"",[2]对账明细接口!$AC35),"")</f>
        <v/>
      </c>
      <c r="AH34" s="90" t="str">
        <f aca="false">IFERROR(IF([2]对账明细接口!$AD35=0,"",[2]对账明细接口!$AD35),"")</f>
        <v/>
      </c>
    </row>
    <row r="35" customFormat="false" ht="13.5" hidden="false" customHeight="false" outlineLevel="0" collapsed="false">
      <c r="A35" s="109" t="n">
        <v>35</v>
      </c>
      <c r="B35" s="110" t="n">
        <f aca="false">IFERROR(IF([2]对账明细接口!$B$35=0,"",[2]对账明细接口!$B$35),"")</f>
        <v>46253</v>
      </c>
      <c r="C35" s="59" t="str">
        <f aca="false">IFERROR(IF([2]对账明细接口!$C$35=0,"",[2]对账明细接口!$C$35),"")</f>
        <v>聂新平</v>
      </c>
      <c r="D35" s="59" t="str">
        <f aca="false">IFERROR(IF([2]对账明细接口!$D$35=0,"",[2]对账明细接口!$D$35),"")</f>
        <v>原料入库</v>
      </c>
      <c r="E35" s="59" t="str">
        <f aca="false">IFERROR(IF([2]对账明细接口!$E$35=0,"",[2]对账明细接口!$E$35),"")</f>
        <v>NO0000702</v>
      </c>
      <c r="F35" s="59" t="str">
        <f aca="false">IFERROR(IF([2]对账明细接口!$F$35=0,"",[2]对账明细接口!$F$35),"")</f>
        <v>苹果</v>
      </c>
      <c r="G35" s="59" t="str">
        <f aca="false">IFERROR(IF([2]对账明细接口!$G$35=0,"",[2]对账明细接口!$G$35),"")</f>
        <v>嘎啦100#</v>
      </c>
      <c r="H35" s="60" t="n">
        <f aca="false">IFERROR(IF([2]对账明细接口!$H$35=0,"",[2]对账明细接口!$H$35),"")</f>
        <v>16</v>
      </c>
      <c r="I35" s="59" t="str">
        <f aca="false">IFERROR(IF([2]对账明细接口!$I$35=0,"",[2]对账明细接口!$I$35),"")</f>
        <v>筐</v>
      </c>
      <c r="J35" s="61" t="n">
        <f aca="false">IFERROR(IF([2]对账明细接口!$J$35=0,"",[2]对账明细接口!$J$35),"")</f>
        <v>348.8</v>
      </c>
      <c r="K35" s="61" t="str">
        <f aca="false">IFERROR(IF([2]对账明细接口!$K$35=0,"",[2]对账明细接口!$K$35),"")</f>
        <v/>
      </c>
      <c r="L35" s="59" t="str">
        <f aca="false">IFERROR(IF([2]对账明细接口!$L$35=0,"",[2]对账明细接口!$L$35),"")</f>
        <v/>
      </c>
      <c r="M35" s="59" t="str">
        <f aca="false">IFERROR(IF([2]对账明细接口!$M$35=0,"",[2]对账明细接口!$M$35),"")</f>
        <v/>
      </c>
      <c r="N35" s="111" t="n">
        <f aca="false">IF($C35="",0,1)</f>
        <v>1</v>
      </c>
      <c r="O35" s="111" t="n">
        <f aca="false">N(O34)+$N35</f>
        <v>32</v>
      </c>
      <c r="S35" s="10" t="str">
        <f aca="false">IFERROR(IF([2]对账明细接口!$N35=0,"",[2]对账明细接口!$N35),"")</f>
        <v>自备一次性筐</v>
      </c>
      <c r="T35" s="112" t="str">
        <f aca="false">IFERROR(IF([2]对账明细接口!$O35=0,"",[2]对账明细接口!$O35),"")</f>
        <v/>
      </c>
      <c r="U35" s="112" t="str">
        <f aca="false">IFERROR(IF([2]对账明细接口!$P35=0,"",[2]对账明细接口!$P35),"")</f>
        <v/>
      </c>
      <c r="V35" s="112" t="n">
        <f aca="false">IFERROR(IF([2]对账明细接口!$Q35=0,"",[2]对账明细接口!$Q35),"")</f>
        <v>16</v>
      </c>
      <c r="W35" s="10" t="str">
        <f aca="false">IFERROR(IF([2]对账明细接口!$R35=0,"",[2]对账明细接口!$R35),"")</f>
        <v>苏M*7G796</v>
      </c>
      <c r="X35" s="10" t="str">
        <f aca="false">IFERROR(IF([2]对账明细接口!$S35=0,"",[2]对账明细接口!$S35),"")</f>
        <v>自备筐</v>
      </c>
      <c r="Y35" s="10" t="str">
        <f aca="false">IFERROR(IF([2]对账明细接口!$T35=0,"",[2]对账明细接口!$T35),"")</f>
        <v/>
      </c>
      <c r="Z35" s="113" t="str">
        <f aca="false">IFERROR(IF([2]对账明细接口!$U35=0,"",[2]对账明细接口!$U35),"")</f>
        <v/>
      </c>
      <c r="AA35" s="113" t="str">
        <f aca="false">IFERROR(IF([2]对账明细接口!$V35=0,"",[2]对账明细接口!$V35),"")</f>
        <v/>
      </c>
      <c r="AB35" s="10" t="str">
        <f aca="false">IFERROR(IF([2]对账明细接口!$W35=0,"",[2]对账明细接口!$W35),"")</f>
        <v/>
      </c>
      <c r="AC35" s="90" t="str">
        <f aca="false">IFERROR(IF([2]对账明细接口!$X36=0,"",[2]对账明细接口!$X36),"")</f>
        <v/>
      </c>
      <c r="AD35" s="90" t="str">
        <f aca="false">IFERROR(IF([2]对账明细接口!$Y36=0,"",[2]对账明细接口!$Y36),"")</f>
        <v/>
      </c>
      <c r="AE35" s="90" t="str">
        <f aca="false">IFERROR(IF([2]对账明细接口!$AA36=0,"",[2]对账明细接口!$AA36),"")</f>
        <v/>
      </c>
      <c r="AF35" s="90" t="str">
        <f aca="false">IFERROR(IF([2]对账明细接口!$AB36=0,"",[2]对账明细接口!$AB36),"")</f>
        <v/>
      </c>
      <c r="AG35" s="90" t="str">
        <f aca="false">IFERROR(IF([2]对账明细接口!$AC36=0,"",[2]对账明细接口!$AC36),"")</f>
        <v/>
      </c>
      <c r="AH35" s="90" t="str">
        <f aca="false">IFERROR(IF([2]对账明细接口!$AD36=0,"",[2]对账明细接口!$AD36),"")</f>
        <v/>
      </c>
    </row>
    <row r="36" customFormat="false" ht="13.5" hidden="false" customHeight="false" outlineLevel="0" collapsed="false">
      <c r="A36" s="109" t="n">
        <v>36</v>
      </c>
      <c r="B36" s="110" t="n">
        <f aca="false">IFERROR(IF([2]对账明细接口!$B$36=0,"",[2]对账明细接口!$B$36),"")</f>
        <v>46254</v>
      </c>
      <c r="C36" s="59" t="str">
        <f aca="false">IFERROR(IF([2]对账明细接口!$C$36=0,"",[2]对账明细接口!$C$36),"")</f>
        <v>聂新平</v>
      </c>
      <c r="D36" s="59" t="str">
        <f aca="false">IFERROR(IF([2]对账明细接口!$D$36=0,"",[2]对账明细接口!$D$36),"")</f>
        <v>原料入库</v>
      </c>
      <c r="E36" s="59" t="str">
        <f aca="false">IFERROR(IF([2]对账明细接口!$E$36=0,"",[2]对账明细接口!$E$36),"")</f>
        <v>NO0000708</v>
      </c>
      <c r="F36" s="59" t="str">
        <f aca="false">IFERROR(IF([2]对账明细接口!$F$36=0,"",[2]对账明细接口!$F$36),"")</f>
        <v>苹果</v>
      </c>
      <c r="G36" s="59" t="str">
        <f aca="false">IFERROR(IF([2]对账明细接口!$G$36=0,"",[2]对账明细接口!$G$36),"")</f>
        <v>嘎啦85#</v>
      </c>
      <c r="H36" s="60" t="n">
        <f aca="false">IFERROR(IF([2]对账明细接口!$H$36=0,"",[2]对账明细接口!$H$36),"")</f>
        <v>9</v>
      </c>
      <c r="I36" s="59" t="str">
        <f aca="false">IFERROR(IF([2]对账明细接口!$I$36=0,"",[2]对账明细接口!$I$36),"")</f>
        <v>筐</v>
      </c>
      <c r="J36" s="61" t="n">
        <f aca="false">IFERROR(IF([2]对账明细接口!$J$36=0,"",[2]对账明细接口!$J$36),"")</f>
        <v>196.2</v>
      </c>
      <c r="K36" s="61" t="str">
        <f aca="false">IFERROR(IF([2]对账明细接口!$K$36=0,"",[2]对账明细接口!$K$36),"")</f>
        <v/>
      </c>
      <c r="L36" s="59" t="str">
        <f aca="false">IFERROR(IF([2]对账明细接口!$L$36=0,"",[2]对账明细接口!$L$36),"")</f>
        <v/>
      </c>
      <c r="M36" s="59" t="str">
        <f aca="false">IFERROR(IF([2]对账明细接口!$M$36=0,"",[2]对账明细接口!$M$36),"")</f>
        <v/>
      </c>
      <c r="N36" s="111" t="n">
        <f aca="false">IF($C36="",0,1)</f>
        <v>1</v>
      </c>
      <c r="O36" s="111" t="n">
        <f aca="false">N(O35)+$N36</f>
        <v>33</v>
      </c>
      <c r="S36" s="10" t="str">
        <f aca="false">IFERROR(IF([2]对账明细接口!$N36=0,"",[2]对账明细接口!$N36),"")</f>
        <v>自备一次性筐</v>
      </c>
      <c r="T36" s="112" t="str">
        <f aca="false">IFERROR(IF([2]对账明细接口!$O36=0,"",[2]对账明细接口!$O36),"")</f>
        <v/>
      </c>
      <c r="U36" s="112" t="str">
        <f aca="false">IFERROR(IF([2]对账明细接口!$P36=0,"",[2]对账明细接口!$P36),"")</f>
        <v/>
      </c>
      <c r="V36" s="112" t="n">
        <f aca="false">IFERROR(IF([2]对账明细接口!$Q36=0,"",[2]对账明细接口!$Q36),"")</f>
        <v>9</v>
      </c>
      <c r="W36" s="10" t="str">
        <f aca="false">IFERROR(IF([2]对账明细接口!$R36=0,"",[2]对账明细接口!$R36),"")</f>
        <v>苏M*7G796</v>
      </c>
      <c r="X36" s="10" t="str">
        <f aca="false">IFERROR(IF([2]对账明细接口!$S36=0,"",[2]对账明细接口!$S36),"")</f>
        <v>自备筐</v>
      </c>
      <c r="Y36" s="10" t="str">
        <f aca="false">IFERROR(IF([2]对账明细接口!$T36=0,"",[2]对账明细接口!$T36),"")</f>
        <v/>
      </c>
      <c r="Z36" s="113" t="str">
        <f aca="false">IFERROR(IF([2]对账明细接口!$U36=0,"",[2]对账明细接口!$U36),"")</f>
        <v/>
      </c>
      <c r="AA36" s="113" t="str">
        <f aca="false">IFERROR(IF([2]对账明细接口!$V36=0,"",[2]对账明细接口!$V36),"")</f>
        <v/>
      </c>
      <c r="AB36" s="10" t="str">
        <f aca="false">IFERROR(IF([2]对账明细接口!$W36=0,"",[2]对账明细接口!$W36),"")</f>
        <v/>
      </c>
      <c r="AC36" s="90" t="str">
        <f aca="false">IFERROR(IF([2]对账明细接口!$X37=0,"",[2]对账明细接口!$X37),"")</f>
        <v/>
      </c>
      <c r="AD36" s="90" t="str">
        <f aca="false">IFERROR(IF([2]对账明细接口!$Y37=0,"",[2]对账明细接口!$Y37),"")</f>
        <v/>
      </c>
      <c r="AE36" s="90" t="str">
        <f aca="false">IFERROR(IF([2]对账明细接口!$AA37=0,"",[2]对账明细接口!$AA37),"")</f>
        <v/>
      </c>
      <c r="AF36" s="90" t="str">
        <f aca="false">IFERROR(IF([2]对账明细接口!$AB37=0,"",[2]对账明细接口!$AB37),"")</f>
        <v/>
      </c>
      <c r="AG36" s="90" t="str">
        <f aca="false">IFERROR(IF([2]对账明细接口!$AC37=0,"",[2]对账明细接口!$AC37),"")</f>
        <v/>
      </c>
      <c r="AH36" s="90" t="str">
        <f aca="false">IFERROR(IF([2]对账明细接口!$AD37=0,"",[2]对账明细接口!$AD37),"")</f>
        <v/>
      </c>
    </row>
    <row r="37" customFormat="false" ht="13.5" hidden="false" customHeight="false" outlineLevel="0" collapsed="false">
      <c r="A37" s="109" t="n">
        <v>37</v>
      </c>
      <c r="B37" s="110" t="n">
        <f aca="false">IFERROR(IF([2]对账明细接口!$B$37=0,"",[2]对账明细接口!$B$37),"")</f>
        <v>46255</v>
      </c>
      <c r="C37" s="59" t="str">
        <f aca="false">IFERROR(IF([2]对账明细接口!$C$37=0,"",[2]对账明细接口!$C$37),"")</f>
        <v>王照雪</v>
      </c>
      <c r="D37" s="59" t="str">
        <f aca="false">IFERROR(IF([2]对账明细接口!$D$37=0,"",[2]对账明细接口!$D$37),"")</f>
        <v>原料入库</v>
      </c>
      <c r="E37" s="59" t="str">
        <f aca="false">IFERROR(IF([2]对账明细接口!$E$37=0,"",[2]对账明细接口!$E$37),"")</f>
        <v>NO0000710</v>
      </c>
      <c r="F37" s="59" t="str">
        <f aca="false">IFERROR(IF([2]对账明细接口!$F$37=0,"",[2]对账明细接口!$F$37),"")</f>
        <v>苹果</v>
      </c>
      <c r="G37" s="59" t="str">
        <f aca="false">IFERROR(IF([2]对账明细接口!$G$37=0,"",[2]对账明细接口!$G$37),"")</f>
        <v>华硕一级</v>
      </c>
      <c r="H37" s="60" t="n">
        <f aca="false">IFERROR(IF([2]对账明细接口!$H$37=0,"",[2]对账明细接口!$H$37),"")</f>
        <v>57</v>
      </c>
      <c r="I37" s="59" t="str">
        <f aca="false">IFERROR(IF([2]对账明细接口!$I$37=0,"",[2]对账明细接口!$I$37),"")</f>
        <v>筐</v>
      </c>
      <c r="J37" s="61" t="n">
        <f aca="false">IFERROR(IF([2]对账明细接口!$J$37=0,"",[2]对账明细接口!$J$37),"")</f>
        <v>986.1</v>
      </c>
      <c r="K37" s="61" t="str">
        <f aca="false">IFERROR(IF([2]对账明细接口!$K$37=0,"",[2]对账明细接口!$K$37),"")</f>
        <v/>
      </c>
      <c r="L37" s="59" t="str">
        <f aca="false">IFERROR(IF([2]对账明细接口!$L$37=0,"",[2]对账明细接口!$L$37),"")</f>
        <v/>
      </c>
      <c r="M37" s="59" t="str">
        <f aca="false">IFERROR(IF([2]对账明细接口!$M$37=0,"",[2]对账明细接口!$M$37),"")</f>
        <v/>
      </c>
      <c r="N37" s="111" t="n">
        <f aca="false">IF($C37="",0,1)</f>
        <v>1</v>
      </c>
      <c r="O37" s="111" t="n">
        <f aca="false">N(O36)+$N37</f>
        <v>34</v>
      </c>
      <c r="S37" s="10" t="str">
        <f aca="false">IFERROR(IF([2]对账明细接口!$N37=0,"",[2]对账明细接口!$N37),"")</f>
        <v>公司杂周转筐</v>
      </c>
      <c r="T37" s="112" t="str">
        <f aca="false">IFERROR(IF([2]对账明细接口!$O37=0,"",[2]对账明细接口!$O37),"")</f>
        <v/>
      </c>
      <c r="U37" s="112" t="str">
        <f aca="false">IFERROR(IF([2]对账明细接口!$P37=0,"",[2]对账明细接口!$P37),"")</f>
        <v/>
      </c>
      <c r="V37" s="112" t="n">
        <f aca="false">IFERROR(IF([2]对账明细接口!$Q37=0,"",[2]对账明细接口!$Q37),"")</f>
        <v>57</v>
      </c>
      <c r="W37" s="10" t="str">
        <f aca="false">IFERROR(IF([2]对账明细接口!$R37=0,"",[2]对账明细接口!$R37),"")</f>
        <v>豫L*88X19</v>
      </c>
      <c r="X37" s="10" t="str">
        <f aca="false">IFERROR(IF([2]对账明细接口!$S37=0,"",[2]对账明细接口!$S37),"")</f>
        <v>公司筐</v>
      </c>
      <c r="Y37" s="10" t="str">
        <f aca="false">IFERROR(IF([2]对账明细接口!$T37=0,"",[2]对账明细接口!$T37),"")</f>
        <v/>
      </c>
      <c r="Z37" s="113" t="str">
        <f aca="false">IFERROR(IF([2]对账明细接口!$U37=0,"",[2]对账明细接口!$U37),"")</f>
        <v/>
      </c>
      <c r="AA37" s="113" t="str">
        <f aca="false">IFERROR(IF([2]对账明细接口!$V37=0,"",[2]对账明细接口!$V37),"")</f>
        <v/>
      </c>
      <c r="AB37" s="10" t="str">
        <f aca="false">IFERROR(IF([2]对账明细接口!$W37=0,"",[2]对账明细接口!$W37),"")</f>
        <v/>
      </c>
      <c r="AC37" s="90" t="str">
        <f aca="false">IFERROR(IF([2]对账明细接口!$X38=0,"",[2]对账明细接口!$X38),"")</f>
        <v/>
      </c>
      <c r="AD37" s="90" t="str">
        <f aca="false">IFERROR(IF([2]对账明细接口!$Y38=0,"",[2]对账明细接口!$Y38),"")</f>
        <v/>
      </c>
      <c r="AE37" s="90" t="str">
        <f aca="false">IFERROR(IF([2]对账明细接口!$AA38=0,"",[2]对账明细接口!$AA38),"")</f>
        <v/>
      </c>
      <c r="AF37" s="90" t="str">
        <f aca="false">IFERROR(IF([2]对账明细接口!$AB38=0,"",[2]对账明细接口!$AB38),"")</f>
        <v/>
      </c>
      <c r="AG37" s="90" t="str">
        <f aca="false">IFERROR(IF([2]对账明细接口!$AC38=0,"",[2]对账明细接口!$AC38),"")</f>
        <v/>
      </c>
      <c r="AH37" s="90" t="str">
        <f aca="false">IFERROR(IF([2]对账明细接口!$AD38=0,"",[2]对账明细接口!$AD38),"")</f>
        <v/>
      </c>
    </row>
    <row r="38" customFormat="false" ht="13.5" hidden="false" customHeight="false" outlineLevel="0" collapsed="false">
      <c r="A38" s="109" t="n">
        <v>38</v>
      </c>
      <c r="B38" s="110" t="n">
        <f aca="false">IFERROR(IF([2]对账明细接口!$B$38=0,"",[2]对账明细接口!$B$38),"")</f>
        <v>46255</v>
      </c>
      <c r="C38" s="59" t="str">
        <f aca="false">IFERROR(IF([2]对账明细接口!$C$38=0,"",[2]对账明细接口!$C$38),"")</f>
        <v>王照雪</v>
      </c>
      <c r="D38" s="59" t="str">
        <f aca="false">IFERROR(IF([2]对账明细接口!$D$38=0,"",[2]对账明细接口!$D$38),"")</f>
        <v>原料入库</v>
      </c>
      <c r="E38" s="59" t="str">
        <f aca="false">IFERROR(IF([2]对账明细接口!$E$38=0,"",[2]对账明细接口!$E$38),"")</f>
        <v>NO0000710</v>
      </c>
      <c r="F38" s="59" t="str">
        <f aca="false">IFERROR(IF([2]对账明细接口!$F$38=0,"",[2]对账明细接口!$F$38),"")</f>
        <v>苹果</v>
      </c>
      <c r="G38" s="59" t="str">
        <f aca="false">IFERROR(IF([2]对账明细接口!$G$38=0,"",[2]对账明细接口!$G$38),"")</f>
        <v>华硕二级</v>
      </c>
      <c r="H38" s="60" t="n">
        <f aca="false">IFERROR(IF([2]对账明细接口!$H$38=0,"",[2]对账明细接口!$H$38),"")</f>
        <v>18</v>
      </c>
      <c r="I38" s="59" t="str">
        <f aca="false">IFERROR(IF([2]对账明细接口!$I$38=0,"",[2]对账明细接口!$I$38),"")</f>
        <v>筐</v>
      </c>
      <c r="J38" s="61" t="n">
        <f aca="false">IFERROR(IF([2]对账明细接口!$J$38=0,"",[2]对账明细接口!$J$38),"")</f>
        <v>293.4</v>
      </c>
      <c r="K38" s="61" t="str">
        <f aca="false">IFERROR(IF([2]对账明细接口!$K$38=0,"",[2]对账明细接口!$K$38),"")</f>
        <v/>
      </c>
      <c r="L38" s="59" t="str">
        <f aca="false">IFERROR(IF([2]对账明细接口!$L$38=0,"",[2]对账明细接口!$L$38),"")</f>
        <v/>
      </c>
      <c r="M38" s="59" t="str">
        <f aca="false">IFERROR(IF([2]对账明细接口!$M$38=0,"",[2]对账明细接口!$M$38),"")</f>
        <v/>
      </c>
      <c r="N38" s="111" t="n">
        <f aca="false">IF($C38="",0,1)</f>
        <v>1</v>
      </c>
      <c r="O38" s="111" t="n">
        <f aca="false">N(O37)+$N38</f>
        <v>35</v>
      </c>
      <c r="S38" s="10" t="str">
        <f aca="false">IFERROR(IF([2]对账明细接口!$N38=0,"",[2]对账明细接口!$N38),"")</f>
        <v>公司杂周转筐</v>
      </c>
      <c r="T38" s="112" t="str">
        <f aca="false">IFERROR(IF([2]对账明细接口!$O38=0,"",[2]对账明细接口!$O38),"")</f>
        <v/>
      </c>
      <c r="U38" s="112" t="str">
        <f aca="false">IFERROR(IF([2]对账明细接口!$P38=0,"",[2]对账明细接口!$P38),"")</f>
        <v/>
      </c>
      <c r="V38" s="112" t="n">
        <f aca="false">IFERROR(IF([2]对账明细接口!$Q38=0,"",[2]对账明细接口!$Q38),"")</f>
        <v>18</v>
      </c>
      <c r="W38" s="10" t="str">
        <f aca="false">IFERROR(IF([2]对账明细接口!$R38=0,"",[2]对账明细接口!$R38),"")</f>
        <v>豫L*88X19</v>
      </c>
      <c r="X38" s="10" t="str">
        <f aca="false">IFERROR(IF([2]对账明细接口!$S38=0,"",[2]对账明细接口!$S38),"")</f>
        <v>公司筐</v>
      </c>
      <c r="Y38" s="10" t="str">
        <f aca="false">IFERROR(IF([2]对账明细接口!$T38=0,"",[2]对账明细接口!$T38),"")</f>
        <v/>
      </c>
      <c r="Z38" s="113" t="str">
        <f aca="false">IFERROR(IF([2]对账明细接口!$U38=0,"",[2]对账明细接口!$U38),"")</f>
        <v/>
      </c>
      <c r="AA38" s="113" t="str">
        <f aca="false">IFERROR(IF([2]对账明细接口!$V38=0,"",[2]对账明细接口!$V38),"")</f>
        <v/>
      </c>
      <c r="AB38" s="10" t="str">
        <f aca="false">IFERROR(IF([2]对账明细接口!$W38=0,"",[2]对账明细接口!$W38),"")</f>
        <v/>
      </c>
      <c r="AC38" s="90" t="str">
        <f aca="false">IFERROR(IF([2]对账明细接口!$X39=0,"",[2]对账明细接口!$X39),"")</f>
        <v/>
      </c>
      <c r="AD38" s="90" t="str">
        <f aca="false">IFERROR(IF([2]对账明细接口!$Y39=0,"",[2]对账明细接口!$Y39),"")</f>
        <v/>
      </c>
      <c r="AE38" s="90" t="str">
        <f aca="false">IFERROR(IF([2]对账明细接口!$AA39=0,"",[2]对账明细接口!$AA39),"")</f>
        <v/>
      </c>
      <c r="AF38" s="90" t="str">
        <f aca="false">IFERROR(IF([2]对账明细接口!$AB39=0,"",[2]对账明细接口!$AB39),"")</f>
        <v/>
      </c>
      <c r="AG38" s="90" t="str">
        <f aca="false">IFERROR(IF([2]对账明细接口!$AC39=0,"",[2]对账明细接口!$AC39),"")</f>
        <v/>
      </c>
      <c r="AH38" s="90" t="str">
        <f aca="false">IFERROR(IF([2]对账明细接口!$AD39=0,"",[2]对账明细接口!$AD39),"")</f>
        <v/>
      </c>
    </row>
    <row r="39" customFormat="false" ht="13.5" hidden="false" customHeight="false" outlineLevel="0" collapsed="false">
      <c r="A39" s="109" t="n">
        <v>39</v>
      </c>
      <c r="B39" s="110" t="n">
        <f aca="false">IFERROR(IF([2]对账明细接口!$B$39=0,"",[2]对账明细接口!$B$39),"")</f>
        <v>46255</v>
      </c>
      <c r="C39" s="59" t="str">
        <f aca="false">IFERROR(IF([2]对账明细接口!$C$39=0,"",[2]对账明细接口!$C$39),"")</f>
        <v>王照雪</v>
      </c>
      <c r="D39" s="59" t="str">
        <f aca="false">IFERROR(IF([2]对账明细接口!$D$39=0,"",[2]对账明细接口!$D$39),"")</f>
        <v>原料入库</v>
      </c>
      <c r="E39" s="59" t="str">
        <f aca="false">IFERROR(IF([2]对账明细接口!$E$39=0,"",[2]对账明细接口!$E$39),"")</f>
        <v>NO0000710</v>
      </c>
      <c r="F39" s="59" t="str">
        <f aca="false">IFERROR(IF([2]对账明细接口!$F$39=0,"",[2]对账明细接口!$F$39),"")</f>
        <v>苹果</v>
      </c>
      <c r="G39" s="59" t="str">
        <f aca="false">IFERROR(IF([2]对账明细接口!$G$39=0,"",[2]对账明细接口!$G$39),"")</f>
        <v>华硕高次</v>
      </c>
      <c r="H39" s="60" t="n">
        <f aca="false">IFERROR(IF([2]对账明细接口!$H$39=0,"",[2]对账明细接口!$H$39),"")</f>
        <v>18</v>
      </c>
      <c r="I39" s="59" t="str">
        <f aca="false">IFERROR(IF([2]对账明细接口!$I$39=0,"",[2]对账明细接口!$I$39),"")</f>
        <v>筐</v>
      </c>
      <c r="J39" s="61" t="n">
        <f aca="false">IFERROR(IF([2]对账明细接口!$J$39=0,"",[2]对账明细接口!$J$39),"")</f>
        <v>311.4</v>
      </c>
      <c r="K39" s="61" t="str">
        <f aca="false">IFERROR(IF([2]对账明细接口!$K$39=0,"",[2]对账明细接口!$K$39),"")</f>
        <v/>
      </c>
      <c r="L39" s="59" t="str">
        <f aca="false">IFERROR(IF([2]对账明细接口!$L$39=0,"",[2]对账明细接口!$L$39),"")</f>
        <v/>
      </c>
      <c r="M39" s="59" t="str">
        <f aca="false">IFERROR(IF([2]对账明细接口!$M$39=0,"",[2]对账明细接口!$M$39),"")</f>
        <v/>
      </c>
      <c r="N39" s="111" t="n">
        <f aca="false">IF($C39="",0,1)</f>
        <v>1</v>
      </c>
      <c r="O39" s="111" t="n">
        <f aca="false">N(O38)+$N39</f>
        <v>36</v>
      </c>
      <c r="S39" s="10" t="str">
        <f aca="false">IFERROR(IF([2]对账明细接口!$N39=0,"",[2]对账明细接口!$N39),"")</f>
        <v>公司杂周转筐</v>
      </c>
      <c r="T39" s="112" t="str">
        <f aca="false">IFERROR(IF([2]对账明细接口!$O39=0,"",[2]对账明细接口!$O39),"")</f>
        <v/>
      </c>
      <c r="U39" s="112" t="str">
        <f aca="false">IFERROR(IF([2]对账明细接口!$P39=0,"",[2]对账明细接口!$P39),"")</f>
        <v/>
      </c>
      <c r="V39" s="112" t="n">
        <f aca="false">IFERROR(IF([2]对账明细接口!$Q39=0,"",[2]对账明细接口!$Q39),"")</f>
        <v>18</v>
      </c>
      <c r="W39" s="10" t="str">
        <f aca="false">IFERROR(IF([2]对账明细接口!$R39=0,"",[2]对账明细接口!$R39),"")</f>
        <v>豫L*88X19</v>
      </c>
      <c r="X39" s="10" t="str">
        <f aca="false">IFERROR(IF([2]对账明细接口!$S39=0,"",[2]对账明细接口!$S39),"")</f>
        <v>公司筐</v>
      </c>
      <c r="Y39" s="10" t="str">
        <f aca="false">IFERROR(IF([2]对账明细接口!$T39=0,"",[2]对账明细接口!$T39),"")</f>
        <v/>
      </c>
      <c r="Z39" s="113" t="str">
        <f aca="false">IFERROR(IF([2]对账明细接口!$U39=0,"",[2]对账明细接口!$U39),"")</f>
        <v/>
      </c>
      <c r="AA39" s="113" t="str">
        <f aca="false">IFERROR(IF([2]对账明细接口!$V39=0,"",[2]对账明细接口!$V39),"")</f>
        <v/>
      </c>
      <c r="AB39" s="10" t="str">
        <f aca="false">IFERROR(IF([2]对账明细接口!$W39=0,"",[2]对账明细接口!$W39),"")</f>
        <v/>
      </c>
      <c r="AC39" s="90" t="str">
        <f aca="false">IFERROR(IF([2]对账明细接口!$X40=0,"",[2]对账明细接口!$X40),"")</f>
        <v/>
      </c>
      <c r="AD39" s="90" t="str">
        <f aca="false">IFERROR(IF([2]对账明细接口!$Y40=0,"",[2]对账明细接口!$Y40),"")</f>
        <v/>
      </c>
      <c r="AE39" s="90" t="str">
        <f aca="false">IFERROR(IF([2]对账明细接口!$AA40=0,"",[2]对账明细接口!$AA40),"")</f>
        <v/>
      </c>
      <c r="AF39" s="90" t="str">
        <f aca="false">IFERROR(IF([2]对账明细接口!$AB40=0,"",[2]对账明细接口!$AB40),"")</f>
        <v/>
      </c>
      <c r="AG39" s="90" t="str">
        <f aca="false">IFERROR(IF([2]对账明细接口!$AC40=0,"",[2]对账明细接口!$AC40),"")</f>
        <v/>
      </c>
      <c r="AH39" s="90" t="str">
        <f aca="false">IFERROR(IF([2]对账明细接口!$AD40=0,"",[2]对账明细接口!$AD40),"")</f>
        <v/>
      </c>
    </row>
    <row r="40" customFormat="false" ht="13.5" hidden="false" customHeight="false" outlineLevel="0" collapsed="false">
      <c r="A40" s="109" t="n">
        <v>40</v>
      </c>
      <c r="B40" s="110" t="n">
        <f aca="false">IFERROR(IF([2]对账明细接口!$B$40=0,"",[2]对账明细接口!$B$40),"")</f>
        <v>46256</v>
      </c>
      <c r="C40" s="59" t="str">
        <f aca="false">IFERROR(IF([2]对账明细接口!$C$40=0,"",[2]对账明细接口!$C$40),"")</f>
        <v>聂新平</v>
      </c>
      <c r="D40" s="59" t="str">
        <f aca="false">IFERROR(IF([2]对账明细接口!$D$40=0,"",[2]对账明细接口!$D$40),"")</f>
        <v>原料入库</v>
      </c>
      <c r="E40" s="59" t="str">
        <f aca="false">IFERROR(IF([2]对账明细接口!$E$40=0,"",[2]对账明细接口!$E$40),"")</f>
        <v>NO0000713</v>
      </c>
      <c r="F40" s="59" t="str">
        <f aca="false">IFERROR(IF([2]对账明细接口!$F$40=0,"",[2]对账明细接口!$F$40),"")</f>
        <v>苹果</v>
      </c>
      <c r="G40" s="59" t="str">
        <f aca="false">IFERROR(IF([2]对账明细接口!$G$40=0,"",[2]对账明细接口!$G$40),"")</f>
        <v>嘎啦100#</v>
      </c>
      <c r="H40" s="60" t="n">
        <f aca="false">IFERROR(IF([2]对账明细接口!$H$40=0,"",[2]对账明细接口!$H$40),"")</f>
        <v>92</v>
      </c>
      <c r="I40" s="59" t="str">
        <f aca="false">IFERROR(IF([2]对账明细接口!$I$40=0,"",[2]对账明细接口!$I$40),"")</f>
        <v>筐</v>
      </c>
      <c r="J40" s="61" t="n">
        <f aca="false">IFERROR(IF([2]对账明细接口!$J$40=0,"",[2]对账明细接口!$J$40),"")</f>
        <v>2005.6</v>
      </c>
      <c r="K40" s="61" t="str">
        <f aca="false">IFERROR(IF([2]对账明细接口!$K$40=0,"",[2]对账明细接口!$K$40),"")</f>
        <v/>
      </c>
      <c r="L40" s="59" t="str">
        <f aca="false">IFERROR(IF([2]对账明细接口!$L$40=0,"",[2]对账明细接口!$L$40),"")</f>
        <v/>
      </c>
      <c r="M40" s="59" t="str">
        <f aca="false">IFERROR(IF([2]对账明细接口!$M$40=0,"",[2]对账明细接口!$M$40),"")</f>
        <v/>
      </c>
      <c r="N40" s="111" t="n">
        <f aca="false">IF($C40="",0,1)</f>
        <v>1</v>
      </c>
      <c r="O40" s="111" t="n">
        <f aca="false">N(O39)+$N40</f>
        <v>37</v>
      </c>
      <c r="S40" s="10" t="str">
        <f aca="false">IFERROR(IF([2]对账明细接口!$N40=0,"",[2]对账明细接口!$N40),"")</f>
        <v>自备一次性筐</v>
      </c>
      <c r="T40" s="112" t="str">
        <f aca="false">IFERROR(IF([2]对账明细接口!$O40=0,"",[2]对账明细接口!$O40),"")</f>
        <v/>
      </c>
      <c r="U40" s="112" t="str">
        <f aca="false">IFERROR(IF([2]对账明细接口!$P40=0,"",[2]对账明细接口!$P40),"")</f>
        <v/>
      </c>
      <c r="V40" s="112" t="n">
        <f aca="false">IFERROR(IF([2]对账明细接口!$Q40=0,"",[2]对账明细接口!$Q40),"")</f>
        <v>92</v>
      </c>
      <c r="W40" s="10" t="str">
        <f aca="false">IFERROR(IF([2]对账明细接口!$R40=0,"",[2]对账明细接口!$R40),"")</f>
        <v>新N*9F701</v>
      </c>
      <c r="X40" s="10" t="str">
        <f aca="false">IFERROR(IF([2]对账明细接口!$S40=0,"",[2]对账明细接口!$S40),"")</f>
        <v>自备筐</v>
      </c>
      <c r="Y40" s="10" t="str">
        <f aca="false">IFERROR(IF([2]对账明细接口!$T40=0,"",[2]对账明细接口!$T40),"")</f>
        <v/>
      </c>
      <c r="Z40" s="113" t="str">
        <f aca="false">IFERROR(IF([2]对账明细接口!$U40=0,"",[2]对账明细接口!$U40),"")</f>
        <v/>
      </c>
      <c r="AA40" s="113" t="str">
        <f aca="false">IFERROR(IF([2]对账明细接口!$V40=0,"",[2]对账明细接口!$V40),"")</f>
        <v/>
      </c>
      <c r="AB40" s="10" t="str">
        <f aca="false">IFERROR(IF([2]对账明细接口!$W40=0,"",[2]对账明细接口!$W40),"")</f>
        <v/>
      </c>
      <c r="AC40" s="90" t="str">
        <f aca="false">IFERROR(IF([2]对账明细接口!$X41=0,"",[2]对账明细接口!$X41),"")</f>
        <v/>
      </c>
      <c r="AD40" s="90" t="str">
        <f aca="false">IFERROR(IF([2]对账明细接口!$Y41=0,"",[2]对账明细接口!$Y41),"")</f>
        <v/>
      </c>
      <c r="AE40" s="90" t="str">
        <f aca="false">IFERROR(IF([2]对账明细接口!$AA41=0,"",[2]对账明细接口!$AA41),"")</f>
        <v/>
      </c>
      <c r="AF40" s="90" t="str">
        <f aca="false">IFERROR(IF([2]对账明细接口!$AB41=0,"",[2]对账明细接口!$AB41),"")</f>
        <v/>
      </c>
      <c r="AG40" s="90" t="str">
        <f aca="false">IFERROR(IF([2]对账明细接口!$AC41=0,"",[2]对账明细接口!$AC41),"")</f>
        <v/>
      </c>
      <c r="AH40" s="90" t="str">
        <f aca="false">IFERROR(IF([2]对账明细接口!$AD41=0,"",[2]对账明细接口!$AD41),"")</f>
        <v/>
      </c>
    </row>
    <row r="41" customFormat="false" ht="13.5" hidden="false" customHeight="false" outlineLevel="0" collapsed="false">
      <c r="A41" s="109" t="n">
        <v>41</v>
      </c>
      <c r="B41" s="110" t="n">
        <f aca="false">IFERROR(IF([2]对账明细接口!$B$41=0,"",[2]对账明细接口!$B$41),"")</f>
        <v>46256</v>
      </c>
      <c r="C41" s="59" t="str">
        <f aca="false">IFERROR(IF([2]对账明细接口!$C$41=0,"",[2]对账明细接口!$C$41),"")</f>
        <v>聂新平</v>
      </c>
      <c r="D41" s="59" t="str">
        <f aca="false">IFERROR(IF([2]对账明细接口!$D$41=0,"",[2]对账明细接口!$D$41),"")</f>
        <v>原料入库</v>
      </c>
      <c r="E41" s="59" t="str">
        <f aca="false">IFERROR(IF([2]对账明细接口!$E$41=0,"",[2]对账明细接口!$E$41),"")</f>
        <v>NO0000715</v>
      </c>
      <c r="F41" s="59" t="str">
        <f aca="false">IFERROR(IF([2]对账明细接口!$F$41=0,"",[2]对账明细接口!$F$41),"")</f>
        <v>苹果</v>
      </c>
      <c r="G41" s="59" t="str">
        <f aca="false">IFERROR(IF([2]对账明细接口!$G$41=0,"",[2]对账明细接口!$G$41),"")</f>
        <v>嘎啦100#</v>
      </c>
      <c r="H41" s="60" t="n">
        <f aca="false">IFERROR(IF([2]对账明细接口!$H$41=0,"",[2]对账明细接口!$H$41),"")</f>
        <v>55</v>
      </c>
      <c r="I41" s="59" t="str">
        <f aca="false">IFERROR(IF([2]对账明细接口!$I$41=0,"",[2]对账明细接口!$I$41),"")</f>
        <v>筐</v>
      </c>
      <c r="J41" s="61" t="n">
        <f aca="false">IFERROR(IF([2]对账明细接口!$J$41=0,"",[2]对账明细接口!$J$41),"")</f>
        <v>1199</v>
      </c>
      <c r="K41" s="61" t="str">
        <f aca="false">IFERROR(IF([2]对账明细接口!$K$41=0,"",[2]对账明细接口!$K$41),"")</f>
        <v/>
      </c>
      <c r="L41" s="59" t="str">
        <f aca="false">IFERROR(IF([2]对账明细接口!$L$41=0,"",[2]对账明细接口!$L$41),"")</f>
        <v/>
      </c>
      <c r="M41" s="59" t="str">
        <f aca="false">IFERROR(IF([2]对账明细接口!$M$41=0,"",[2]对账明细接口!$M$41),"")</f>
        <v/>
      </c>
      <c r="N41" s="111" t="n">
        <f aca="false">IF($C41="",0,1)</f>
        <v>1</v>
      </c>
      <c r="O41" s="111" t="n">
        <f aca="false">N(O40)+$N41</f>
        <v>38</v>
      </c>
      <c r="S41" s="10" t="str">
        <f aca="false">IFERROR(IF([2]对账明细接口!$N41=0,"",[2]对账明细接口!$N41),"")</f>
        <v>自备一次性筐</v>
      </c>
      <c r="T41" s="112" t="str">
        <f aca="false">IFERROR(IF([2]对账明细接口!$O41=0,"",[2]对账明细接口!$O41),"")</f>
        <v/>
      </c>
      <c r="U41" s="112" t="str">
        <f aca="false">IFERROR(IF([2]对账明细接口!$P41=0,"",[2]对账明细接口!$P41),"")</f>
        <v/>
      </c>
      <c r="V41" s="112" t="n">
        <f aca="false">IFERROR(IF([2]对账明细接口!$Q41=0,"",[2]对账明细接口!$Q41),"")</f>
        <v>55</v>
      </c>
      <c r="W41" s="10" t="str">
        <f aca="false">IFERROR(IF([2]对账明细接口!$R41=0,"",[2]对账明细接口!$R41),"")</f>
        <v>苏M*7G796</v>
      </c>
      <c r="X41" s="10" t="str">
        <f aca="false">IFERROR(IF([2]对账明细接口!$S41=0,"",[2]对账明细接口!$S41),"")</f>
        <v>自备筐</v>
      </c>
      <c r="Y41" s="10" t="str">
        <f aca="false">IFERROR(IF([2]对账明细接口!$T41=0,"",[2]对账明细接口!$T41),"")</f>
        <v/>
      </c>
      <c r="Z41" s="113" t="str">
        <f aca="false">IFERROR(IF([2]对账明细接口!$U41=0,"",[2]对账明细接口!$U41),"")</f>
        <v/>
      </c>
      <c r="AA41" s="113" t="str">
        <f aca="false">IFERROR(IF([2]对账明细接口!$V41=0,"",[2]对账明细接口!$V41),"")</f>
        <v/>
      </c>
      <c r="AB41" s="10" t="str">
        <f aca="false">IFERROR(IF([2]对账明细接口!$W41=0,"",[2]对账明细接口!$W41),"")</f>
        <v/>
      </c>
      <c r="AC41" s="90" t="str">
        <f aca="false">IFERROR(IF([2]对账明细接口!$X42=0,"",[2]对账明细接口!$X42),"")</f>
        <v/>
      </c>
      <c r="AD41" s="90" t="str">
        <f aca="false">IFERROR(IF([2]对账明细接口!$Y42=0,"",[2]对账明细接口!$Y42),"")</f>
        <v/>
      </c>
      <c r="AE41" s="90" t="str">
        <f aca="false">IFERROR(IF([2]对账明细接口!$AA42=0,"",[2]对账明细接口!$AA42),"")</f>
        <v/>
      </c>
      <c r="AF41" s="90" t="str">
        <f aca="false">IFERROR(IF([2]对账明细接口!$AB42=0,"",[2]对账明细接口!$AB42),"")</f>
        <v/>
      </c>
      <c r="AG41" s="90" t="str">
        <f aca="false">IFERROR(IF([2]对账明细接口!$AC42=0,"",[2]对账明细接口!$AC42),"")</f>
        <v/>
      </c>
      <c r="AH41" s="90" t="str">
        <f aca="false">IFERROR(IF([2]对账明细接口!$AD42=0,"",[2]对账明细接口!$AD42),"")</f>
        <v/>
      </c>
    </row>
    <row r="42" customFormat="false" ht="13.5" hidden="false" customHeight="false" outlineLevel="0" collapsed="false">
      <c r="A42" s="109" t="n">
        <v>42</v>
      </c>
      <c r="B42" s="110" t="n">
        <f aca="false">IFERROR(IF([2]对账明细接口!$B$42=0,"",[2]对账明细接口!$B$42),"")</f>
        <v>46258</v>
      </c>
      <c r="C42" s="59" t="str">
        <f aca="false">IFERROR(IF([2]对账明细接口!$C$42=0,"",[2]对账明细接口!$C$42),"")</f>
        <v>聂新平</v>
      </c>
      <c r="D42" s="59" t="str">
        <f aca="false">IFERROR(IF([2]对账明细接口!$D$42=0,"",[2]对账明细接口!$D$42),"")</f>
        <v>原料入库</v>
      </c>
      <c r="E42" s="59" t="str">
        <f aca="false">IFERROR(IF([2]对账明细接口!$E$42=0,"",[2]对账明细接口!$E$42),"")</f>
        <v>NO0000718</v>
      </c>
      <c r="F42" s="59" t="str">
        <f aca="false">IFERROR(IF([2]对账明细接口!$F$42=0,"",[2]对账明细接口!$F$42),"")</f>
        <v>苹果</v>
      </c>
      <c r="G42" s="59" t="str">
        <f aca="false">IFERROR(IF([2]对账明细接口!$G$42=0,"",[2]对账明细接口!$G$42),"")</f>
        <v>嘎啦85#</v>
      </c>
      <c r="H42" s="60" t="n">
        <f aca="false">IFERROR(IF([2]对账明细接口!$H$42=0,"",[2]对账明细接口!$H$42),"")</f>
        <v>10</v>
      </c>
      <c r="I42" s="59" t="str">
        <f aca="false">IFERROR(IF([2]对账明细接口!$I$42=0,"",[2]对账明细接口!$I$42),"")</f>
        <v>筐</v>
      </c>
      <c r="J42" s="61" t="n">
        <f aca="false">IFERROR(IF([2]对账明细接口!$J$42=0,"",[2]对账明细接口!$J$42),"")</f>
        <v>218</v>
      </c>
      <c r="K42" s="61" t="str">
        <f aca="false">IFERROR(IF([2]对账明细接口!$K$42=0,"",[2]对账明细接口!$K$42),"")</f>
        <v/>
      </c>
      <c r="L42" s="59" t="str">
        <f aca="false">IFERROR(IF([2]对账明细接口!$L$42=0,"",[2]对账明细接口!$L$42),"")</f>
        <v/>
      </c>
      <c r="M42" s="59" t="str">
        <f aca="false">IFERROR(IF([2]对账明细接口!$M$42=0,"",[2]对账明细接口!$M$42),"")</f>
        <v/>
      </c>
      <c r="N42" s="111" t="n">
        <f aca="false">IF($C42="",0,1)</f>
        <v>1</v>
      </c>
      <c r="O42" s="111" t="n">
        <f aca="false">N(O41)+$N42</f>
        <v>39</v>
      </c>
      <c r="S42" s="10" t="str">
        <f aca="false">IFERROR(IF([2]对账明细接口!$N42=0,"",[2]对账明细接口!$N42),"")</f>
        <v>自备一次性筐</v>
      </c>
      <c r="T42" s="112" t="str">
        <f aca="false">IFERROR(IF([2]对账明细接口!$O42=0,"",[2]对账明细接口!$O42),"")</f>
        <v/>
      </c>
      <c r="U42" s="112" t="str">
        <f aca="false">IFERROR(IF([2]对账明细接口!$P42=0,"",[2]对账明细接口!$P42),"")</f>
        <v/>
      </c>
      <c r="V42" s="112" t="n">
        <f aca="false">IFERROR(IF([2]对账明细接口!$Q42=0,"",[2]对账明细接口!$Q42),"")</f>
        <v>10</v>
      </c>
      <c r="W42" s="10" t="str">
        <f aca="false">IFERROR(IF([2]对账明细接口!$R42=0,"",[2]对账明细接口!$R42),"")</f>
        <v>苏M*7G796</v>
      </c>
      <c r="X42" s="10" t="str">
        <f aca="false">IFERROR(IF([2]对账明细接口!$S42=0,"",[2]对账明细接口!$S42),"")</f>
        <v>自备筐</v>
      </c>
      <c r="Y42" s="10" t="str">
        <f aca="false">IFERROR(IF([2]对账明细接口!$T42=0,"",[2]对账明细接口!$T42),"")</f>
        <v/>
      </c>
      <c r="Z42" s="113" t="str">
        <f aca="false">IFERROR(IF([2]对账明细接口!$U42=0,"",[2]对账明细接口!$U42),"")</f>
        <v/>
      </c>
      <c r="AA42" s="113" t="str">
        <f aca="false">IFERROR(IF([2]对账明细接口!$V42=0,"",[2]对账明细接口!$V42),"")</f>
        <v/>
      </c>
      <c r="AB42" s="10" t="str">
        <f aca="false">IFERROR(IF([2]对账明细接口!$W42=0,"",[2]对账明细接口!$W42),"")</f>
        <v/>
      </c>
      <c r="AC42" s="90" t="str">
        <f aca="false">IFERROR(IF([2]对账明细接口!$X43=0,"",[2]对账明细接口!$X43),"")</f>
        <v/>
      </c>
      <c r="AD42" s="90" t="str">
        <f aca="false">IFERROR(IF([2]对账明细接口!$Y43=0,"",[2]对账明细接口!$Y43),"")</f>
        <v/>
      </c>
      <c r="AE42" s="90" t="str">
        <f aca="false">IFERROR(IF([2]对账明细接口!$AA43=0,"",[2]对账明细接口!$AA43),"")</f>
        <v/>
      </c>
      <c r="AF42" s="90" t="str">
        <f aca="false">IFERROR(IF([2]对账明细接口!$AB43=0,"",[2]对账明细接口!$AB43),"")</f>
        <v/>
      </c>
      <c r="AG42" s="90" t="str">
        <f aca="false">IFERROR(IF([2]对账明细接口!$AC43=0,"",[2]对账明细接口!$AC43),"")</f>
        <v/>
      </c>
      <c r="AH42" s="90" t="str">
        <f aca="false">IFERROR(IF([2]对账明细接口!$AD43=0,"",[2]对账明细接口!$AD43),"")</f>
        <v/>
      </c>
    </row>
    <row r="43" customFormat="false" ht="13.5" hidden="false" customHeight="false" outlineLevel="0" collapsed="false">
      <c r="A43" s="109" t="n">
        <v>43</v>
      </c>
      <c r="B43" s="110" t="n">
        <f aca="false">IFERROR(IF([2]对账明细接口!$B$43=0,"",[2]对账明细接口!$B$43),"")</f>
        <v>46258</v>
      </c>
      <c r="C43" s="59" t="str">
        <f aca="false">IFERROR(IF([2]对账明细接口!$C$43=0,"",[2]对账明细接口!$C$43),"")</f>
        <v>聂新平</v>
      </c>
      <c r="D43" s="59" t="str">
        <f aca="false">IFERROR(IF([2]对账明细接口!$D$43=0,"",[2]对账明细接口!$D$43),"")</f>
        <v>原料入库</v>
      </c>
      <c r="E43" s="59" t="str">
        <f aca="false">IFERROR(IF([2]对账明细接口!$E$43=0,"",[2]对账明细接口!$E$43),"")</f>
        <v>NO0000718</v>
      </c>
      <c r="F43" s="59" t="str">
        <f aca="false">IFERROR(IF([2]对账明细接口!$F$43=0,"",[2]对账明细接口!$F$43),"")</f>
        <v>苹果</v>
      </c>
      <c r="G43" s="59" t="str">
        <f aca="false">IFERROR(IF([2]对账明细接口!$G$43=0,"",[2]对账明细接口!$G$43),"")</f>
        <v>嘎啦100#</v>
      </c>
      <c r="H43" s="60" t="n">
        <f aca="false">IFERROR(IF([2]对账明细接口!$H$43=0,"",[2]对账明细接口!$H$43),"")</f>
        <v>19</v>
      </c>
      <c r="I43" s="59" t="str">
        <f aca="false">IFERROR(IF([2]对账明细接口!$I$43=0,"",[2]对账明细接口!$I$43),"")</f>
        <v>筐</v>
      </c>
      <c r="J43" s="61" t="n">
        <f aca="false">IFERROR(IF([2]对账明细接口!$J$43=0,"",[2]对账明细接口!$J$43),"")</f>
        <v>414.2</v>
      </c>
      <c r="K43" s="61" t="str">
        <f aca="false">IFERROR(IF([2]对账明细接口!$K$43=0,"",[2]对账明细接口!$K$43),"")</f>
        <v/>
      </c>
      <c r="L43" s="59" t="str">
        <f aca="false">IFERROR(IF([2]对账明细接口!$L$43=0,"",[2]对账明细接口!$L$43),"")</f>
        <v/>
      </c>
      <c r="M43" s="59" t="str">
        <f aca="false">IFERROR(IF([2]对账明细接口!$M$43=0,"",[2]对账明细接口!$M$43),"")</f>
        <v/>
      </c>
      <c r="N43" s="111" t="n">
        <f aca="false">IF($C43="",0,1)</f>
        <v>1</v>
      </c>
      <c r="O43" s="111" t="n">
        <f aca="false">N(O42)+$N43</f>
        <v>40</v>
      </c>
      <c r="S43" s="10" t="str">
        <f aca="false">IFERROR(IF([2]对账明细接口!$N43=0,"",[2]对账明细接口!$N43),"")</f>
        <v>自备一次性筐</v>
      </c>
      <c r="T43" s="112" t="str">
        <f aca="false">IFERROR(IF([2]对账明细接口!$O43=0,"",[2]对账明细接口!$O43),"")</f>
        <v/>
      </c>
      <c r="U43" s="112" t="str">
        <f aca="false">IFERROR(IF([2]对账明细接口!$P43=0,"",[2]对账明细接口!$P43),"")</f>
        <v/>
      </c>
      <c r="V43" s="112" t="n">
        <f aca="false">IFERROR(IF([2]对账明细接口!$Q43=0,"",[2]对账明细接口!$Q43),"")</f>
        <v>19</v>
      </c>
      <c r="W43" s="10" t="str">
        <f aca="false">IFERROR(IF([2]对账明细接口!$R43=0,"",[2]对账明细接口!$R43),"")</f>
        <v>苏M*7G796</v>
      </c>
      <c r="X43" s="10" t="str">
        <f aca="false">IFERROR(IF([2]对账明细接口!$S43=0,"",[2]对账明细接口!$S43),"")</f>
        <v>自备筐</v>
      </c>
      <c r="Y43" s="10" t="str">
        <f aca="false">IFERROR(IF([2]对账明细接口!$T43=0,"",[2]对账明细接口!$T43),"")</f>
        <v/>
      </c>
      <c r="Z43" s="113" t="str">
        <f aca="false">IFERROR(IF([2]对账明细接口!$U43=0,"",[2]对账明细接口!$U43),"")</f>
        <v/>
      </c>
      <c r="AA43" s="113" t="str">
        <f aca="false">IFERROR(IF([2]对账明细接口!$V43=0,"",[2]对账明细接口!$V43),"")</f>
        <v/>
      </c>
      <c r="AB43" s="10" t="str">
        <f aca="false">IFERROR(IF([2]对账明细接口!$W43=0,"",[2]对账明细接口!$W43),"")</f>
        <v/>
      </c>
      <c r="AC43" s="90" t="str">
        <f aca="false">IFERROR(IF([2]对账明细接口!$X44=0,"",[2]对账明细接口!$X44),"")</f>
        <v/>
      </c>
      <c r="AD43" s="90" t="str">
        <f aca="false">IFERROR(IF([2]对账明细接口!$Y44=0,"",[2]对账明细接口!$Y44),"")</f>
        <v/>
      </c>
      <c r="AE43" s="90" t="str">
        <f aca="false">IFERROR(IF([2]对账明细接口!$AA44=0,"",[2]对账明细接口!$AA44),"")</f>
        <v/>
      </c>
      <c r="AF43" s="90" t="str">
        <f aca="false">IFERROR(IF([2]对账明细接口!$AB44=0,"",[2]对账明细接口!$AB44),"")</f>
        <v/>
      </c>
      <c r="AG43" s="90" t="str">
        <f aca="false">IFERROR(IF([2]对账明细接口!$AC44=0,"",[2]对账明细接口!$AC44),"")</f>
        <v/>
      </c>
      <c r="AH43" s="90" t="str">
        <f aca="false">IFERROR(IF([2]对账明细接口!$AD44=0,"",[2]对账明细接口!$AD44),"")</f>
        <v/>
      </c>
    </row>
    <row r="44" customFormat="false" ht="13.5" hidden="false" customHeight="false" outlineLevel="0" collapsed="false">
      <c r="A44" s="109" t="n">
        <v>44</v>
      </c>
      <c r="B44" s="110" t="n">
        <f aca="false">IFERROR(IF([2]对账明细接口!$B$44=0,"",[2]对账明细接口!$B$44),"")</f>
        <v>46258</v>
      </c>
      <c r="C44" s="59" t="str">
        <f aca="false">IFERROR(IF([2]对账明细接口!$C$44=0,"",[2]对账明细接口!$C$44),"")</f>
        <v>聂新平</v>
      </c>
      <c r="D44" s="59" t="str">
        <f aca="false">IFERROR(IF([2]对账明细接口!$D$44=0,"",[2]对账明细接口!$D$44),"")</f>
        <v>原料入库</v>
      </c>
      <c r="E44" s="59" t="str">
        <f aca="false">IFERROR(IF([2]对账明细接口!$E$44=0,"",[2]对账明细接口!$E$44),"")</f>
        <v>NO0000719</v>
      </c>
      <c r="F44" s="59" t="str">
        <f aca="false">IFERROR(IF([2]对账明细接口!$F$44=0,"",[2]对账明细接口!$F$44),"")</f>
        <v>苹果</v>
      </c>
      <c r="G44" s="59" t="str">
        <f aca="false">IFERROR(IF([2]对账明细接口!$G$44=0,"",[2]对账明细接口!$G$44),"")</f>
        <v>嘎啦85#</v>
      </c>
      <c r="H44" s="60" t="n">
        <f aca="false">IFERROR(IF([2]对账明细接口!$H$44=0,"",[2]对账明细接口!$H$44),"")</f>
        <v>141</v>
      </c>
      <c r="I44" s="59" t="str">
        <f aca="false">IFERROR(IF([2]对账明细接口!$I$44=0,"",[2]对账明细接口!$I$44),"")</f>
        <v>筐</v>
      </c>
      <c r="J44" s="61" t="n">
        <f aca="false">IFERROR(IF([2]对账明细接口!$J$44=0,"",[2]对账明细接口!$J$44),"")</f>
        <v>3073.8</v>
      </c>
      <c r="K44" s="61" t="str">
        <f aca="false">IFERROR(IF([2]对账明细接口!$K$44=0,"",[2]对账明细接口!$K$44),"")</f>
        <v/>
      </c>
      <c r="L44" s="59" t="str">
        <f aca="false">IFERROR(IF([2]对账明细接口!$L$44=0,"",[2]对账明细接口!$L$44),"")</f>
        <v/>
      </c>
      <c r="M44" s="59" t="str">
        <f aca="false">IFERROR(IF([2]对账明细接口!$M$44=0,"",[2]对账明细接口!$M$44),"")</f>
        <v/>
      </c>
      <c r="N44" s="111" t="n">
        <f aca="false">IF($C44="",0,1)</f>
        <v>1</v>
      </c>
      <c r="O44" s="111" t="n">
        <f aca="false">N(O43)+$N44</f>
        <v>41</v>
      </c>
      <c r="S44" s="10" t="str">
        <f aca="false">IFERROR(IF([2]对账明细接口!$N44=0,"",[2]对账明细接口!$N44),"")</f>
        <v>自备一次性筐</v>
      </c>
      <c r="T44" s="112" t="str">
        <f aca="false">IFERROR(IF([2]对账明细接口!$O44=0,"",[2]对账明细接口!$O44),"")</f>
        <v/>
      </c>
      <c r="U44" s="112" t="str">
        <f aca="false">IFERROR(IF([2]对账明细接口!$P44=0,"",[2]对账明细接口!$P44),"")</f>
        <v/>
      </c>
      <c r="V44" s="112" t="n">
        <f aca="false">IFERROR(IF([2]对账明细接口!$Q44=0,"",[2]对账明细接口!$Q44),"")</f>
        <v>141</v>
      </c>
      <c r="W44" s="10" t="str">
        <f aca="false">IFERROR(IF([2]对账明细接口!$R44=0,"",[2]对账明细接口!$R44),"")</f>
        <v>新N*E3V16</v>
      </c>
      <c r="X44" s="10" t="str">
        <f aca="false">IFERROR(IF([2]对账明细接口!$S44=0,"",[2]对账明细接口!$S44),"")</f>
        <v>自备筐</v>
      </c>
      <c r="Y44" s="10" t="str">
        <f aca="false">IFERROR(IF([2]对账明细接口!$T44=0,"",[2]对账明细接口!$T44),"")</f>
        <v/>
      </c>
      <c r="Z44" s="113" t="str">
        <f aca="false">IFERROR(IF([2]对账明细接口!$U44=0,"",[2]对账明细接口!$U44),"")</f>
        <v/>
      </c>
      <c r="AA44" s="113" t="str">
        <f aca="false">IFERROR(IF([2]对账明细接口!$V44=0,"",[2]对账明细接口!$V44),"")</f>
        <v/>
      </c>
      <c r="AB44" s="10" t="str">
        <f aca="false">IFERROR(IF([2]对账明细接口!$W44=0,"",[2]对账明细接口!$W44),"")</f>
        <v/>
      </c>
      <c r="AC44" s="90" t="str">
        <f aca="false">IFERROR(IF([2]对账明细接口!$X45=0,"",[2]对账明细接口!$X45),"")</f>
        <v/>
      </c>
      <c r="AD44" s="90" t="str">
        <f aca="false">IFERROR(IF([2]对账明细接口!$Y45=0,"",[2]对账明细接口!$Y45),"")</f>
        <v/>
      </c>
      <c r="AE44" s="90" t="str">
        <f aca="false">IFERROR(IF([2]对账明细接口!$AA45=0,"",[2]对账明细接口!$AA45),"")</f>
        <v/>
      </c>
      <c r="AF44" s="90" t="str">
        <f aca="false">IFERROR(IF([2]对账明细接口!$AB45=0,"",[2]对账明细接口!$AB45),"")</f>
        <v/>
      </c>
      <c r="AG44" s="90" t="str">
        <f aca="false">IFERROR(IF([2]对账明细接口!$AC45=0,"",[2]对账明细接口!$AC45),"")</f>
        <v/>
      </c>
      <c r="AH44" s="90" t="str">
        <f aca="false">IFERROR(IF([2]对账明细接口!$AD45=0,"",[2]对账明细接口!$AD45),"")</f>
        <v/>
      </c>
    </row>
    <row r="45" customFormat="false" ht="13.5" hidden="false" customHeight="false" outlineLevel="0" collapsed="false">
      <c r="A45" s="109" t="n">
        <v>45</v>
      </c>
      <c r="B45" s="110" t="n">
        <f aca="false">IFERROR(IF([2]对账明细接口!$B$45=0,"",[2]对账明细接口!$B$45),"")</f>
        <v>46258</v>
      </c>
      <c r="C45" s="59" t="str">
        <f aca="false">IFERROR(IF([2]对账明细接口!$C$45=0,"",[2]对账明细接口!$C$45),"")</f>
        <v>聂新平</v>
      </c>
      <c r="D45" s="59" t="str">
        <f aca="false">IFERROR(IF([2]对账明细接口!$D$45=0,"",[2]对账明细接口!$D$45),"")</f>
        <v>原料入库</v>
      </c>
      <c r="E45" s="59" t="str">
        <f aca="false">IFERROR(IF([2]对账明细接口!$E$45=0,"",[2]对账明细接口!$E$45),"")</f>
        <v>NO0000719</v>
      </c>
      <c r="F45" s="59" t="str">
        <f aca="false">IFERROR(IF([2]对账明细接口!$F$45=0,"",[2]对账明细接口!$F$45),"")</f>
        <v>苹果</v>
      </c>
      <c r="G45" s="59" t="str">
        <f aca="false">IFERROR(IF([2]对账明细接口!$G$45=0,"",[2]对账明细接口!$G$45),"")</f>
        <v>嘎啦100#</v>
      </c>
      <c r="H45" s="60" t="n">
        <f aca="false">IFERROR(IF([2]对账明细接口!$H$45=0,"",[2]对账明细接口!$H$45),"")</f>
        <v>233</v>
      </c>
      <c r="I45" s="59" t="str">
        <f aca="false">IFERROR(IF([2]对账明细接口!$I$45=0,"",[2]对账明细接口!$I$45),"")</f>
        <v>筐</v>
      </c>
      <c r="J45" s="61" t="n">
        <f aca="false">IFERROR(IF([2]对账明细接口!$J$45=0,"",[2]对账明细接口!$J$45),"")</f>
        <v>5079.4</v>
      </c>
      <c r="K45" s="61" t="str">
        <f aca="false">IFERROR(IF([2]对账明细接口!$K$45=0,"",[2]对账明细接口!$K$45),"")</f>
        <v/>
      </c>
      <c r="L45" s="59" t="str">
        <f aca="false">IFERROR(IF([2]对账明细接口!$L$45=0,"",[2]对账明细接口!$L$45),"")</f>
        <v/>
      </c>
      <c r="M45" s="59" t="str">
        <f aca="false">IFERROR(IF([2]对账明细接口!$M$45=0,"",[2]对账明细接口!$M$45),"")</f>
        <v/>
      </c>
      <c r="N45" s="111" t="n">
        <f aca="false">IF($C45="",0,1)</f>
        <v>1</v>
      </c>
      <c r="O45" s="111" t="n">
        <f aca="false">N(O44)+$N45</f>
        <v>42</v>
      </c>
      <c r="S45" s="10" t="str">
        <f aca="false">IFERROR(IF([2]对账明细接口!$N45=0,"",[2]对账明细接口!$N45),"")</f>
        <v>自备一次性筐</v>
      </c>
      <c r="T45" s="112" t="str">
        <f aca="false">IFERROR(IF([2]对账明细接口!$O45=0,"",[2]对账明细接口!$O45),"")</f>
        <v/>
      </c>
      <c r="U45" s="112" t="str">
        <f aca="false">IFERROR(IF([2]对账明细接口!$P45=0,"",[2]对账明细接口!$P45),"")</f>
        <v/>
      </c>
      <c r="V45" s="112" t="n">
        <f aca="false">IFERROR(IF([2]对账明细接口!$Q45=0,"",[2]对账明细接口!$Q45),"")</f>
        <v>233</v>
      </c>
      <c r="W45" s="10" t="str">
        <f aca="false">IFERROR(IF([2]对账明细接口!$R45=0,"",[2]对账明细接口!$R45),"")</f>
        <v>新N*E3V16</v>
      </c>
      <c r="X45" s="10" t="str">
        <f aca="false">IFERROR(IF([2]对账明细接口!$S45=0,"",[2]对账明细接口!$S45),"")</f>
        <v>自备筐</v>
      </c>
      <c r="Y45" s="10" t="str">
        <f aca="false">IFERROR(IF([2]对账明细接口!$T45=0,"",[2]对账明细接口!$T45),"")</f>
        <v/>
      </c>
      <c r="Z45" s="113" t="str">
        <f aca="false">IFERROR(IF([2]对账明细接口!$U45=0,"",[2]对账明细接口!$U45),"")</f>
        <v/>
      </c>
      <c r="AA45" s="113" t="str">
        <f aca="false">IFERROR(IF([2]对账明细接口!$V45=0,"",[2]对账明细接口!$V45),"")</f>
        <v/>
      </c>
      <c r="AB45" s="10" t="str">
        <f aca="false">IFERROR(IF([2]对账明细接口!$W45=0,"",[2]对账明细接口!$W45),"")</f>
        <v/>
      </c>
      <c r="AC45" s="90" t="str">
        <f aca="false">IFERROR(IF([2]对账明细接口!$X46=0,"",[2]对账明细接口!$X46),"")</f>
        <v/>
      </c>
      <c r="AD45" s="90" t="str">
        <f aca="false">IFERROR(IF([2]对账明细接口!$Y46=0,"",[2]对账明细接口!$Y46),"")</f>
        <v/>
      </c>
      <c r="AE45" s="90" t="str">
        <f aca="false">IFERROR(IF([2]对账明细接口!$AA46=0,"",[2]对账明细接口!$AA46),"")</f>
        <v/>
      </c>
      <c r="AF45" s="90" t="str">
        <f aca="false">IFERROR(IF([2]对账明细接口!$AB46=0,"",[2]对账明细接口!$AB46),"")</f>
        <v/>
      </c>
      <c r="AG45" s="90" t="str">
        <f aca="false">IFERROR(IF([2]对账明细接口!$AC46=0,"",[2]对账明细接口!$AC46),"")</f>
        <v/>
      </c>
      <c r="AH45" s="90" t="str">
        <f aca="false">IFERROR(IF([2]对账明细接口!$AD46=0,"",[2]对账明细接口!$AD46),"")</f>
        <v/>
      </c>
    </row>
    <row r="46" customFormat="false" ht="13.5" hidden="false" customHeight="false" outlineLevel="0" collapsed="false">
      <c r="A46" s="109" t="n">
        <v>46</v>
      </c>
      <c r="B46" s="110" t="n">
        <f aca="false">IFERROR(IF([2]对账明细接口!$B$46=0,"",[2]对账明细接口!$B$46),"")</f>
        <v>46258</v>
      </c>
      <c r="C46" s="59" t="str">
        <f aca="false">IFERROR(IF([2]对账明细接口!$C$46=0,"",[2]对账明细接口!$C$46),"")</f>
        <v>王照雪</v>
      </c>
      <c r="D46" s="59" t="str">
        <f aca="false">IFERROR(IF([2]对账明细接口!$D$46=0,"",[2]对账明细接口!$D$46),"")</f>
        <v>原料入库</v>
      </c>
      <c r="E46" s="59" t="str">
        <f aca="false">IFERROR(IF([2]对账明细接口!$E$46=0,"",[2]对账明细接口!$E$46),"")</f>
        <v>NO0000721</v>
      </c>
      <c r="F46" s="59" t="str">
        <f aca="false">IFERROR(IF([2]对账明细接口!$F$46=0,"",[2]对账明细接口!$F$46),"")</f>
        <v>苹果</v>
      </c>
      <c r="G46" s="59" t="str">
        <f aca="false">IFERROR(IF([2]对账明细接口!$G$46=0,"",[2]对账明细接口!$G$46),"")</f>
        <v>华硕一级</v>
      </c>
      <c r="H46" s="60" t="n">
        <f aca="false">IFERROR(IF([2]对账明细接口!$H$46=0,"",[2]对账明细接口!$H$46),"")</f>
        <v>136</v>
      </c>
      <c r="I46" s="59" t="str">
        <f aca="false">IFERROR(IF([2]对账明细接口!$I$46=0,"",[2]对账明细接口!$I$46),"")</f>
        <v>筐</v>
      </c>
      <c r="J46" s="61" t="n">
        <f aca="false">IFERROR(IF([2]对账明细接口!$J$46=0,"",[2]对账明细接口!$J$46),"")</f>
        <v>2352.8</v>
      </c>
      <c r="K46" s="61" t="str">
        <f aca="false">IFERROR(IF([2]对账明细接口!$K$46=0,"",[2]对账明细接口!$K$46),"")</f>
        <v/>
      </c>
      <c r="L46" s="59" t="str">
        <f aca="false">IFERROR(IF([2]对账明细接口!$L$46=0,"",[2]对账明细接口!$L$46),"")</f>
        <v/>
      </c>
      <c r="M46" s="59" t="str">
        <f aca="false">IFERROR(IF([2]对账明细接口!$M$46=0,"",[2]对账明细接口!$M$46),"")</f>
        <v/>
      </c>
      <c r="N46" s="111" t="n">
        <f aca="false">IF($C46="",0,1)</f>
        <v>1</v>
      </c>
      <c r="O46" s="111" t="n">
        <f aca="false">N(O45)+$N46</f>
        <v>43</v>
      </c>
      <c r="S46" s="10" t="str">
        <f aca="false">IFERROR(IF([2]对账明细接口!$N46=0,"",[2]对账明细接口!$N46),"")</f>
        <v>公司杂周转筐</v>
      </c>
      <c r="T46" s="112" t="str">
        <f aca="false">IFERROR(IF([2]对账明细接口!$O46=0,"",[2]对账明细接口!$O46),"")</f>
        <v/>
      </c>
      <c r="U46" s="112" t="str">
        <f aca="false">IFERROR(IF([2]对账明细接口!$P46=0,"",[2]对账明细接口!$P46),"")</f>
        <v/>
      </c>
      <c r="V46" s="112" t="n">
        <f aca="false">IFERROR(IF([2]对账明细接口!$Q46=0,"",[2]对账明细接口!$Q46),"")</f>
        <v>136</v>
      </c>
      <c r="W46" s="10" t="str">
        <f aca="false">IFERROR(IF([2]对账明细接口!$R46=0,"",[2]对账明细接口!$R46),"")</f>
        <v>豫L*88X19</v>
      </c>
      <c r="X46" s="10" t="str">
        <f aca="false">IFERROR(IF([2]对账明细接口!$S46=0,"",[2]对账明细接口!$S46),"")</f>
        <v>公司筐</v>
      </c>
      <c r="Y46" s="10" t="str">
        <f aca="false">IFERROR(IF([2]对账明细接口!$T46=0,"",[2]对账明细接口!$T46),"")</f>
        <v/>
      </c>
      <c r="Z46" s="113" t="str">
        <f aca="false">IFERROR(IF([2]对账明细接口!$U46=0,"",[2]对账明细接口!$U46),"")</f>
        <v/>
      </c>
      <c r="AA46" s="113" t="str">
        <f aca="false">IFERROR(IF([2]对账明细接口!$V46=0,"",[2]对账明细接口!$V46),"")</f>
        <v/>
      </c>
      <c r="AB46" s="10" t="str">
        <f aca="false">IFERROR(IF([2]对账明细接口!$W46=0,"",[2]对账明细接口!$W46),"")</f>
        <v/>
      </c>
      <c r="AC46" s="90" t="str">
        <f aca="false">IFERROR(IF([2]对账明细接口!$X47=0,"",[2]对账明细接口!$X47),"")</f>
        <v/>
      </c>
      <c r="AD46" s="90" t="str">
        <f aca="false">IFERROR(IF([2]对账明细接口!$Y47=0,"",[2]对账明细接口!$Y47),"")</f>
        <v/>
      </c>
      <c r="AE46" s="90" t="str">
        <f aca="false">IFERROR(IF([2]对账明细接口!$AA47=0,"",[2]对账明细接口!$AA47),"")</f>
        <v/>
      </c>
      <c r="AF46" s="90" t="str">
        <f aca="false">IFERROR(IF([2]对账明细接口!$AB47=0,"",[2]对账明细接口!$AB47),"")</f>
        <v/>
      </c>
      <c r="AG46" s="90" t="str">
        <f aca="false">IFERROR(IF([2]对账明细接口!$AC47=0,"",[2]对账明细接口!$AC47),"")</f>
        <v/>
      </c>
      <c r="AH46" s="90" t="str">
        <f aca="false">IFERROR(IF([2]对账明细接口!$AD47=0,"",[2]对账明细接口!$AD47),"")</f>
        <v/>
      </c>
    </row>
    <row r="47" customFormat="false" ht="13.5" hidden="false" customHeight="false" outlineLevel="0" collapsed="false">
      <c r="A47" s="109" t="n">
        <v>47</v>
      </c>
      <c r="B47" s="110" t="n">
        <f aca="false">IFERROR(IF([2]对账明细接口!$B$47=0,"",[2]对账明细接口!$B$47),"")</f>
        <v>46258</v>
      </c>
      <c r="C47" s="59" t="str">
        <f aca="false">IFERROR(IF([2]对账明细接口!$C$47=0,"",[2]对账明细接口!$C$47),"")</f>
        <v>王照雪</v>
      </c>
      <c r="D47" s="59" t="str">
        <f aca="false">IFERROR(IF([2]对账明细接口!$D$47=0,"",[2]对账明细接口!$D$47),"")</f>
        <v>原料入库</v>
      </c>
      <c r="E47" s="59" t="str">
        <f aca="false">IFERROR(IF([2]对账明细接口!$E$47=0,"",[2]对账明细接口!$E$47),"")</f>
        <v>NO0000721</v>
      </c>
      <c r="F47" s="59" t="str">
        <f aca="false">IFERROR(IF([2]对账明细接口!$F$47=0,"",[2]对账明细接口!$F$47),"")</f>
        <v>苹果</v>
      </c>
      <c r="G47" s="59" t="str">
        <f aca="false">IFERROR(IF([2]对账明细接口!$G$47=0,"",[2]对账明细接口!$G$47),"")</f>
        <v>华硕二级</v>
      </c>
      <c r="H47" s="60" t="n">
        <f aca="false">IFERROR(IF([2]对账明细接口!$H$47=0,"",[2]对账明细接口!$H$47),"")</f>
        <v>66</v>
      </c>
      <c r="I47" s="59" t="str">
        <f aca="false">IFERROR(IF([2]对账明细接口!$I$47=0,"",[2]对账明细接口!$I$47),"")</f>
        <v>筐</v>
      </c>
      <c r="J47" s="61" t="n">
        <f aca="false">IFERROR(IF([2]对账明细接口!$J$47=0,"",[2]对账明细接口!$J$47),"")</f>
        <v>1075.8</v>
      </c>
      <c r="K47" s="61" t="str">
        <f aca="false">IFERROR(IF([2]对账明细接口!$K$47=0,"",[2]对账明细接口!$K$47),"")</f>
        <v/>
      </c>
      <c r="L47" s="59" t="str">
        <f aca="false">IFERROR(IF([2]对账明细接口!$L$47=0,"",[2]对账明细接口!$L$47),"")</f>
        <v/>
      </c>
      <c r="M47" s="59" t="str">
        <f aca="false">IFERROR(IF([2]对账明细接口!$M$47=0,"",[2]对账明细接口!$M$47),"")</f>
        <v/>
      </c>
      <c r="N47" s="111" t="n">
        <f aca="false">IF($C47="",0,1)</f>
        <v>1</v>
      </c>
      <c r="O47" s="111" t="n">
        <f aca="false">N(O46)+$N47</f>
        <v>44</v>
      </c>
      <c r="S47" s="10" t="str">
        <f aca="false">IFERROR(IF([2]对账明细接口!$N47=0,"",[2]对账明细接口!$N47),"")</f>
        <v>公司杂周转筐</v>
      </c>
      <c r="T47" s="112" t="str">
        <f aca="false">IFERROR(IF([2]对账明细接口!$O47=0,"",[2]对账明细接口!$O47),"")</f>
        <v/>
      </c>
      <c r="U47" s="112" t="str">
        <f aca="false">IFERROR(IF([2]对账明细接口!$P47=0,"",[2]对账明细接口!$P47),"")</f>
        <v/>
      </c>
      <c r="V47" s="112" t="n">
        <f aca="false">IFERROR(IF([2]对账明细接口!$Q47=0,"",[2]对账明细接口!$Q47),"")</f>
        <v>66</v>
      </c>
      <c r="W47" s="10" t="str">
        <f aca="false">IFERROR(IF([2]对账明细接口!$R47=0,"",[2]对账明细接口!$R47),"")</f>
        <v>豫L*88X19</v>
      </c>
      <c r="X47" s="10" t="str">
        <f aca="false">IFERROR(IF([2]对账明细接口!$S47=0,"",[2]对账明细接口!$S47),"")</f>
        <v>公司筐</v>
      </c>
      <c r="Y47" s="10" t="str">
        <f aca="false">IFERROR(IF([2]对账明细接口!$T47=0,"",[2]对账明细接口!$T47),"")</f>
        <v/>
      </c>
      <c r="Z47" s="113" t="str">
        <f aca="false">IFERROR(IF([2]对账明细接口!$U47=0,"",[2]对账明细接口!$U47),"")</f>
        <v/>
      </c>
      <c r="AA47" s="113" t="str">
        <f aca="false">IFERROR(IF([2]对账明细接口!$V47=0,"",[2]对账明细接口!$V47),"")</f>
        <v/>
      </c>
      <c r="AB47" s="10" t="str">
        <f aca="false">IFERROR(IF([2]对账明细接口!$W47=0,"",[2]对账明细接口!$W47),"")</f>
        <v/>
      </c>
      <c r="AC47" s="90" t="str">
        <f aca="false">IFERROR(IF([2]对账明细接口!$X48=0,"",[2]对账明细接口!$X48),"")</f>
        <v/>
      </c>
      <c r="AD47" s="90" t="str">
        <f aca="false">IFERROR(IF([2]对账明细接口!$Y48=0,"",[2]对账明细接口!$Y48),"")</f>
        <v/>
      </c>
      <c r="AE47" s="90" t="str">
        <f aca="false">IFERROR(IF([2]对账明细接口!$AA48=0,"",[2]对账明细接口!$AA48),"")</f>
        <v/>
      </c>
      <c r="AF47" s="90" t="str">
        <f aca="false">IFERROR(IF([2]对账明细接口!$AB48=0,"",[2]对账明细接口!$AB48),"")</f>
        <v/>
      </c>
      <c r="AG47" s="90" t="str">
        <f aca="false">IFERROR(IF([2]对账明细接口!$AC48=0,"",[2]对账明细接口!$AC48),"")</f>
        <v/>
      </c>
      <c r="AH47" s="90" t="str">
        <f aca="false">IFERROR(IF([2]对账明细接口!$AD48=0,"",[2]对账明细接口!$AD48),"")</f>
        <v/>
      </c>
    </row>
    <row r="48" customFormat="false" ht="13.5" hidden="false" customHeight="false" outlineLevel="0" collapsed="false">
      <c r="A48" s="109" t="n">
        <v>48</v>
      </c>
      <c r="B48" s="110" t="n">
        <f aca="false">IFERROR(IF([2]对账明细接口!$B$48=0,"",[2]对账明细接口!$B$48),"")</f>
        <v>46258</v>
      </c>
      <c r="C48" s="59" t="str">
        <f aca="false">IFERROR(IF([2]对账明细接口!$C$48=0,"",[2]对账明细接口!$C$48),"")</f>
        <v>王照雪</v>
      </c>
      <c r="D48" s="59" t="str">
        <f aca="false">IFERROR(IF([2]对账明细接口!$D$48=0,"",[2]对账明细接口!$D$48),"")</f>
        <v>原料入库</v>
      </c>
      <c r="E48" s="59" t="str">
        <f aca="false">IFERROR(IF([2]对账明细接口!$E$48=0,"",[2]对账明细接口!$E$48),"")</f>
        <v>NO0000721</v>
      </c>
      <c r="F48" s="59" t="str">
        <f aca="false">IFERROR(IF([2]对账明细接口!$F$48=0,"",[2]对账明细接口!$F$48),"")</f>
        <v>苹果</v>
      </c>
      <c r="G48" s="59" t="str">
        <f aca="false">IFERROR(IF([2]对账明细接口!$G$48=0,"",[2]对账明细接口!$G$48),"")</f>
        <v>华硕高次</v>
      </c>
      <c r="H48" s="60" t="n">
        <f aca="false">IFERROR(IF([2]对账明细接口!$H$48=0,"",[2]对账明细接口!$H$48),"")</f>
        <v>48</v>
      </c>
      <c r="I48" s="59" t="str">
        <f aca="false">IFERROR(IF([2]对账明细接口!$I$48=0,"",[2]对账明细接口!$I$48),"")</f>
        <v>筐</v>
      </c>
      <c r="J48" s="61" t="n">
        <f aca="false">IFERROR(IF([2]对账明细接口!$J$48=0,"",[2]对账明细接口!$J$48),"")</f>
        <v>830.4</v>
      </c>
      <c r="K48" s="61" t="str">
        <f aca="false">IFERROR(IF([2]对账明细接口!$K$48=0,"",[2]对账明细接口!$K$48),"")</f>
        <v/>
      </c>
      <c r="L48" s="59" t="str">
        <f aca="false">IFERROR(IF([2]对账明细接口!$L$48=0,"",[2]对账明细接口!$L$48),"")</f>
        <v/>
      </c>
      <c r="M48" s="59" t="str">
        <f aca="false">IFERROR(IF([2]对账明细接口!$M$48=0,"",[2]对账明细接口!$M$48),"")</f>
        <v/>
      </c>
      <c r="N48" s="111" t="n">
        <f aca="false">IF($C48="",0,1)</f>
        <v>1</v>
      </c>
      <c r="O48" s="111" t="n">
        <f aca="false">N(O47)+$N48</f>
        <v>45</v>
      </c>
      <c r="S48" s="10" t="str">
        <f aca="false">IFERROR(IF([2]对账明细接口!$N48=0,"",[2]对账明细接口!$N48),"")</f>
        <v>公司杂周转筐</v>
      </c>
      <c r="T48" s="112" t="str">
        <f aca="false">IFERROR(IF([2]对账明细接口!$O48=0,"",[2]对账明细接口!$O48),"")</f>
        <v/>
      </c>
      <c r="U48" s="112" t="str">
        <f aca="false">IFERROR(IF([2]对账明细接口!$P48=0,"",[2]对账明细接口!$P48),"")</f>
        <v/>
      </c>
      <c r="V48" s="112" t="n">
        <f aca="false">IFERROR(IF([2]对账明细接口!$Q48=0,"",[2]对账明细接口!$Q48),"")</f>
        <v>48</v>
      </c>
      <c r="W48" s="10" t="str">
        <f aca="false">IFERROR(IF([2]对账明细接口!$R48=0,"",[2]对账明细接口!$R48),"")</f>
        <v>豫L*88X19</v>
      </c>
      <c r="X48" s="10" t="str">
        <f aca="false">IFERROR(IF([2]对账明细接口!$S48=0,"",[2]对账明细接口!$S48),"")</f>
        <v>公司筐</v>
      </c>
      <c r="Y48" s="10" t="str">
        <f aca="false">IFERROR(IF([2]对账明细接口!$T48=0,"",[2]对账明细接口!$T48),"")</f>
        <v/>
      </c>
      <c r="Z48" s="113" t="str">
        <f aca="false">IFERROR(IF([2]对账明细接口!$U48=0,"",[2]对账明细接口!$U48),"")</f>
        <v/>
      </c>
      <c r="AA48" s="113" t="str">
        <f aca="false">IFERROR(IF([2]对账明细接口!$V48=0,"",[2]对账明细接口!$V48),"")</f>
        <v/>
      </c>
      <c r="AB48" s="10" t="str">
        <f aca="false">IFERROR(IF([2]对账明细接口!$W48=0,"",[2]对账明细接口!$W48),"")</f>
        <v/>
      </c>
      <c r="AC48" s="90" t="str">
        <f aca="false">IFERROR(IF([2]对账明细接口!$X49=0,"",[2]对账明细接口!$X49),"")</f>
        <v/>
      </c>
      <c r="AD48" s="90" t="str">
        <f aca="false">IFERROR(IF([2]对账明细接口!$Y49=0,"",[2]对账明细接口!$Y49),"")</f>
        <v/>
      </c>
      <c r="AE48" s="90" t="str">
        <f aca="false">IFERROR(IF([2]对账明细接口!$AA49=0,"",[2]对账明细接口!$AA49),"")</f>
        <v/>
      </c>
      <c r="AF48" s="90" t="str">
        <f aca="false">IFERROR(IF([2]对账明细接口!$AB49=0,"",[2]对账明细接口!$AB49),"")</f>
        <v/>
      </c>
      <c r="AG48" s="90" t="str">
        <f aca="false">IFERROR(IF([2]对账明细接口!$AC49=0,"",[2]对账明细接口!$AC49),"")</f>
        <v/>
      </c>
      <c r="AH48" s="90" t="str">
        <f aca="false">IFERROR(IF([2]对账明细接口!$AD49=0,"",[2]对账明细接口!$AD49),"")</f>
        <v/>
      </c>
    </row>
    <row r="49" customFormat="false" ht="13.5" hidden="false" customHeight="false" outlineLevel="0" collapsed="false">
      <c r="A49" s="109" t="n">
        <v>49</v>
      </c>
      <c r="B49" s="110" t="n">
        <f aca="false">IFERROR(IF([2]对账明细接口!$B$49=0,"",[2]对账明细接口!$B$49),"")</f>
        <v>46259</v>
      </c>
      <c r="C49" s="59" t="str">
        <f aca="false">IFERROR(IF([2]对账明细接口!$C$49=0,"",[2]对账明细接口!$C$49),"")</f>
        <v>马锦祥</v>
      </c>
      <c r="D49" s="59" t="str">
        <f aca="false">IFERROR(IF([2]对账明细接口!$D$49=0,"",[2]对账明细接口!$D$49),"")</f>
        <v>原料入库</v>
      </c>
      <c r="E49" s="59" t="str">
        <f aca="false">IFERROR(IF([2]对账明细接口!$E$49=0,"",[2]对账明细接口!$E$49),"")</f>
        <v>NO0000727</v>
      </c>
      <c r="F49" s="59" t="str">
        <f aca="false">IFERROR(IF([2]对账明细接口!$F$49=0,"",[2]对账明细接口!$F$49),"")</f>
        <v>苹果</v>
      </c>
      <c r="G49" s="59" t="str">
        <f aca="false">IFERROR(IF([2]对账明细接口!$G$49=0,"",[2]对账明细接口!$G$49),"")</f>
        <v>海棠果</v>
      </c>
      <c r="H49" s="60" t="n">
        <f aca="false">IFERROR(IF([2]对账明细接口!$H$49=0,"",[2]对账明细接口!$H$49),"")</f>
        <v>68</v>
      </c>
      <c r="I49" s="59" t="str">
        <f aca="false">IFERROR(IF([2]对账明细接口!$I$49=0,"",[2]对账明细接口!$I$49),"")</f>
        <v>筐</v>
      </c>
      <c r="J49" s="61" t="n">
        <f aca="false">IFERROR(IF([2]对账明细接口!$J$49=0,"",[2]对账明细接口!$J$49),"")</f>
        <v>204</v>
      </c>
      <c r="K49" s="61" t="str">
        <f aca="false">IFERROR(IF([2]对账明细接口!$K$49=0,"",[2]对账明细接口!$K$49),"")</f>
        <v/>
      </c>
      <c r="L49" s="59" t="str">
        <f aca="false">IFERROR(IF([2]对账明细接口!$L$49=0,"",[2]对账明细接口!$L$49),"")</f>
        <v/>
      </c>
      <c r="M49" s="59" t="str">
        <f aca="false">IFERROR(IF([2]对账明细接口!$M$49=0,"",[2]对账明细接口!$M$49),"")</f>
        <v/>
      </c>
      <c r="N49" s="111" t="n">
        <f aca="false">IF($C49="",0,1)</f>
        <v>1</v>
      </c>
      <c r="O49" s="111" t="n">
        <f aca="false">N(O48)+$N49</f>
        <v>46</v>
      </c>
      <c r="S49" s="10" t="str">
        <f aca="false">IFERROR(IF([2]对账明细接口!$N49=0,"",[2]对账明细接口!$N49),"")</f>
        <v>自备一次性筐</v>
      </c>
      <c r="T49" s="112" t="str">
        <f aca="false">IFERROR(IF([2]对账明细接口!$O49=0,"",[2]对账明细接口!$O49),"")</f>
        <v/>
      </c>
      <c r="U49" s="112" t="str">
        <f aca="false">IFERROR(IF([2]对账明细接口!$P49=0,"",[2]对账明细接口!$P49),"")</f>
        <v/>
      </c>
      <c r="V49" s="112" t="n">
        <f aca="false">IFERROR(IF([2]对账明细接口!$Q49=0,"",[2]对账明细接口!$Q49),"")</f>
        <v>68</v>
      </c>
      <c r="W49" s="10" t="str">
        <f aca="false">IFERROR(IF([2]对账明细接口!$R49=0,"",[2]对账明细接口!$R49),"")</f>
        <v>新N*B6R39</v>
      </c>
      <c r="X49" s="10" t="str">
        <f aca="false">IFERROR(IF([2]对账明细接口!$S49=0,"",[2]对账明细接口!$S49),"")</f>
        <v>自备筐</v>
      </c>
      <c r="Y49" s="10" t="str">
        <f aca="false">IFERROR(IF([2]对账明细接口!$T49=0,"",[2]对账明细接口!$T49),"")</f>
        <v/>
      </c>
      <c r="Z49" s="113" t="str">
        <f aca="false">IFERROR(IF([2]对账明细接口!$U49=0,"",[2]对账明细接口!$U49),"")</f>
        <v/>
      </c>
      <c r="AA49" s="113" t="str">
        <f aca="false">IFERROR(IF([2]对账明细接口!$V49=0,"",[2]对账明细接口!$V49),"")</f>
        <v/>
      </c>
      <c r="AB49" s="10" t="str">
        <f aca="false">IFERROR(IF([2]对账明细接口!$W49=0,"",[2]对账明细接口!$W49),"")</f>
        <v/>
      </c>
      <c r="AC49" s="90" t="str">
        <f aca="false">IFERROR(IF([2]对账明细接口!$X50=0,"",[2]对账明细接口!$X50),"")</f>
        <v/>
      </c>
      <c r="AD49" s="90" t="str">
        <f aca="false">IFERROR(IF([2]对账明细接口!$Y50=0,"",[2]对账明细接口!$Y50),"")</f>
        <v/>
      </c>
      <c r="AE49" s="90" t="str">
        <f aca="false">IFERROR(IF([2]对账明细接口!$AA50=0,"",[2]对账明细接口!$AA50),"")</f>
        <v/>
      </c>
      <c r="AF49" s="90" t="str">
        <f aca="false">IFERROR(IF([2]对账明细接口!$AB50=0,"",[2]对账明细接口!$AB50),"")</f>
        <v/>
      </c>
      <c r="AG49" s="90" t="str">
        <f aca="false">IFERROR(IF([2]对账明细接口!$AC50=0,"",[2]对账明细接口!$AC50),"")</f>
        <v/>
      </c>
      <c r="AH49" s="90" t="str">
        <f aca="false">IFERROR(IF([2]对账明细接口!$AD50=0,"",[2]对账明细接口!$AD50),"")</f>
        <v/>
      </c>
    </row>
    <row r="50" customFormat="false" ht="13.5" hidden="false" customHeight="false" outlineLevel="0" collapsed="false">
      <c r="A50" s="109" t="n">
        <v>50</v>
      </c>
      <c r="B50" s="110" t="n">
        <f aca="false">IFERROR(IF([2]对账明细接口!$B$50=0,"",[2]对账明细接口!$B$50),"")</f>
        <v>46260</v>
      </c>
      <c r="C50" s="59" t="str">
        <f aca="false">IFERROR(IF([2]对账明细接口!$C$50=0,"",[2]对账明细接口!$C$50),"")</f>
        <v>聂新平</v>
      </c>
      <c r="D50" s="59" t="str">
        <f aca="false">IFERROR(IF([2]对账明细接口!$D$50=0,"",[2]对账明细接口!$D$50),"")</f>
        <v>原料入库</v>
      </c>
      <c r="E50" s="59" t="str">
        <f aca="false">IFERROR(IF([2]对账明细接口!$E$50=0,"",[2]对账明细接口!$E$50),"")</f>
        <v>NO0000729</v>
      </c>
      <c r="F50" s="59" t="str">
        <f aca="false">IFERROR(IF([2]对账明细接口!$F$50=0,"",[2]对账明细接口!$F$50),"")</f>
        <v>苹果</v>
      </c>
      <c r="G50" s="59" t="str">
        <f aca="false">IFERROR(IF([2]对账明细接口!$G$50=0,"",[2]对账明细接口!$G$50),"")</f>
        <v>嘎啦85#</v>
      </c>
      <c r="H50" s="60" t="n">
        <f aca="false">IFERROR(IF([2]对账明细接口!$H$50=0,"",[2]对账明细接口!$H$50),"")</f>
        <v>80</v>
      </c>
      <c r="I50" s="59" t="str">
        <f aca="false">IFERROR(IF([2]对账明细接口!$I$50=0,"",[2]对账明细接口!$I$50),"")</f>
        <v>筐</v>
      </c>
      <c r="J50" s="61" t="n">
        <f aca="false">IFERROR(IF([2]对账明细接口!$J$50=0,"",[2]对账明细接口!$J$50),"")</f>
        <v>1744</v>
      </c>
      <c r="K50" s="61" t="str">
        <f aca="false">IFERROR(IF([2]对账明细接口!$K$50=0,"",[2]对账明细接口!$K$50),"")</f>
        <v/>
      </c>
      <c r="L50" s="59" t="str">
        <f aca="false">IFERROR(IF([2]对账明细接口!$L$50=0,"",[2]对账明细接口!$L$50),"")</f>
        <v/>
      </c>
      <c r="M50" s="59" t="str">
        <f aca="false">IFERROR(IF([2]对账明细接口!$M$50=0,"",[2]对账明细接口!$M$50),"")</f>
        <v/>
      </c>
      <c r="N50" s="111" t="n">
        <f aca="false">IF($C50="",0,1)</f>
        <v>1</v>
      </c>
      <c r="O50" s="111" t="n">
        <f aca="false">N(O49)+$N50</f>
        <v>47</v>
      </c>
      <c r="S50" s="10" t="str">
        <f aca="false">IFERROR(IF([2]对账明细接口!$N50=0,"",[2]对账明细接口!$N50),"")</f>
        <v>自备一次性筐</v>
      </c>
      <c r="T50" s="112" t="str">
        <f aca="false">IFERROR(IF([2]对账明细接口!$O50=0,"",[2]对账明细接口!$O50),"")</f>
        <v/>
      </c>
      <c r="U50" s="112" t="str">
        <f aca="false">IFERROR(IF([2]对账明细接口!$P50=0,"",[2]对账明细接口!$P50),"")</f>
        <v/>
      </c>
      <c r="V50" s="112" t="n">
        <f aca="false">IFERROR(IF([2]对账明细接口!$Q50=0,"",[2]对账明细接口!$Q50),"")</f>
        <v>80</v>
      </c>
      <c r="W50" s="10" t="str">
        <f aca="false">IFERROR(IF([2]对账明细接口!$R50=0,"",[2]对账明细接口!$R50),"")</f>
        <v>新N*E3V16</v>
      </c>
      <c r="X50" s="10" t="str">
        <f aca="false">IFERROR(IF([2]对账明细接口!$S50=0,"",[2]对账明细接口!$S50),"")</f>
        <v>自备筐</v>
      </c>
      <c r="Y50" s="10" t="str">
        <f aca="false">IFERROR(IF([2]对账明细接口!$T50=0,"",[2]对账明细接口!$T50),"")</f>
        <v/>
      </c>
      <c r="Z50" s="113" t="str">
        <f aca="false">IFERROR(IF([2]对账明细接口!$U50=0,"",[2]对账明细接口!$U50),"")</f>
        <v/>
      </c>
      <c r="AA50" s="113" t="str">
        <f aca="false">IFERROR(IF([2]对账明细接口!$V50=0,"",[2]对账明细接口!$V50),"")</f>
        <v/>
      </c>
      <c r="AB50" s="10" t="str">
        <f aca="false">IFERROR(IF([2]对账明细接口!$W50=0,"",[2]对账明细接口!$W50),"")</f>
        <v/>
      </c>
      <c r="AC50" s="90" t="str">
        <f aca="false">IFERROR(IF([2]对账明细接口!$X51=0,"",[2]对账明细接口!$X51),"")</f>
        <v/>
      </c>
      <c r="AD50" s="90" t="str">
        <f aca="false">IFERROR(IF([2]对账明细接口!$Y51=0,"",[2]对账明细接口!$Y51),"")</f>
        <v/>
      </c>
      <c r="AE50" s="90" t="str">
        <f aca="false">IFERROR(IF([2]对账明细接口!$AA51=0,"",[2]对账明细接口!$AA51),"")</f>
        <v/>
      </c>
      <c r="AF50" s="90" t="str">
        <f aca="false">IFERROR(IF([2]对账明细接口!$AB51=0,"",[2]对账明细接口!$AB51),"")</f>
        <v/>
      </c>
      <c r="AG50" s="90" t="str">
        <f aca="false">IFERROR(IF([2]对账明细接口!$AC51=0,"",[2]对账明细接口!$AC51),"")</f>
        <v/>
      </c>
      <c r="AH50" s="90" t="str">
        <f aca="false">IFERROR(IF([2]对账明细接口!$AD51=0,"",[2]对账明细接口!$AD51),"")</f>
        <v/>
      </c>
    </row>
    <row r="51" customFormat="false" ht="13.5" hidden="false" customHeight="false" outlineLevel="0" collapsed="false">
      <c r="A51" s="109" t="n">
        <v>51</v>
      </c>
      <c r="B51" s="110" t="n">
        <f aca="false">IFERROR(IF([2]对账明细接口!$B$51=0,"",[2]对账明细接口!$B$51),"")</f>
        <v>46260</v>
      </c>
      <c r="C51" s="59" t="str">
        <f aca="false">IFERROR(IF([2]对账明细接口!$C$51=0,"",[2]对账明细接口!$C$51),"")</f>
        <v>聂新平</v>
      </c>
      <c r="D51" s="59" t="str">
        <f aca="false">IFERROR(IF([2]对账明细接口!$D$51=0,"",[2]对账明细接口!$D$51),"")</f>
        <v>原料入库</v>
      </c>
      <c r="E51" s="59" t="str">
        <f aca="false">IFERROR(IF([2]对账明细接口!$E$51=0,"",[2]对账明细接口!$E$51),"")</f>
        <v>NO0000729</v>
      </c>
      <c r="F51" s="59" t="str">
        <f aca="false">IFERROR(IF([2]对账明细接口!$F$51=0,"",[2]对账明细接口!$F$51),"")</f>
        <v>苹果</v>
      </c>
      <c r="G51" s="59" t="str">
        <f aca="false">IFERROR(IF([2]对账明细接口!$G$51=0,"",[2]对账明细接口!$G$51),"")</f>
        <v>嘎啦100#</v>
      </c>
      <c r="H51" s="60" t="n">
        <f aca="false">IFERROR(IF([2]对账明细接口!$H$51=0,"",[2]对账明细接口!$H$51),"")</f>
        <v>132</v>
      </c>
      <c r="I51" s="59" t="str">
        <f aca="false">IFERROR(IF([2]对账明细接口!$I$51=0,"",[2]对账明细接口!$I$51),"")</f>
        <v>筐</v>
      </c>
      <c r="J51" s="61" t="n">
        <f aca="false">IFERROR(IF([2]对账明细接口!$J$51=0,"",[2]对账明细接口!$J$51),"")</f>
        <v>2877.6</v>
      </c>
      <c r="K51" s="61" t="str">
        <f aca="false">IFERROR(IF([2]对账明细接口!$K$51=0,"",[2]对账明细接口!$K$51),"")</f>
        <v/>
      </c>
      <c r="L51" s="59" t="str">
        <f aca="false">IFERROR(IF([2]对账明细接口!$L$51=0,"",[2]对账明细接口!$L$51),"")</f>
        <v/>
      </c>
      <c r="M51" s="59" t="str">
        <f aca="false">IFERROR(IF([2]对账明细接口!$M$51=0,"",[2]对账明细接口!$M$51),"")</f>
        <v/>
      </c>
      <c r="N51" s="111" t="n">
        <f aca="false">IF($C51="",0,1)</f>
        <v>1</v>
      </c>
      <c r="O51" s="111" t="n">
        <f aca="false">N(O50)+$N51</f>
        <v>48</v>
      </c>
      <c r="S51" s="10" t="str">
        <f aca="false">IFERROR(IF([2]对账明细接口!$N51=0,"",[2]对账明细接口!$N51),"")</f>
        <v>自备一次性筐</v>
      </c>
      <c r="T51" s="112" t="str">
        <f aca="false">IFERROR(IF([2]对账明细接口!$O51=0,"",[2]对账明细接口!$O51),"")</f>
        <v/>
      </c>
      <c r="U51" s="112" t="str">
        <f aca="false">IFERROR(IF([2]对账明细接口!$P51=0,"",[2]对账明细接口!$P51),"")</f>
        <v/>
      </c>
      <c r="V51" s="112" t="n">
        <f aca="false">IFERROR(IF([2]对账明细接口!$Q51=0,"",[2]对账明细接口!$Q51),"")</f>
        <v>132</v>
      </c>
      <c r="W51" s="10" t="str">
        <f aca="false">IFERROR(IF([2]对账明细接口!$R51=0,"",[2]对账明细接口!$R51),"")</f>
        <v>新N*E3V16</v>
      </c>
      <c r="X51" s="10" t="str">
        <f aca="false">IFERROR(IF([2]对账明细接口!$S51=0,"",[2]对账明细接口!$S51),"")</f>
        <v>自备筐</v>
      </c>
      <c r="Y51" s="10" t="str">
        <f aca="false">IFERROR(IF([2]对账明细接口!$T51=0,"",[2]对账明细接口!$T51),"")</f>
        <v/>
      </c>
      <c r="Z51" s="113" t="str">
        <f aca="false">IFERROR(IF([2]对账明细接口!$U51=0,"",[2]对账明细接口!$U51),"")</f>
        <v/>
      </c>
      <c r="AA51" s="113" t="str">
        <f aca="false">IFERROR(IF([2]对账明细接口!$V51=0,"",[2]对账明细接口!$V51),"")</f>
        <v/>
      </c>
      <c r="AB51" s="10" t="str">
        <f aca="false">IFERROR(IF([2]对账明细接口!$W51=0,"",[2]对账明细接口!$W51),"")</f>
        <v/>
      </c>
      <c r="AC51" s="90" t="str">
        <f aca="false">IFERROR(IF([2]对账明细接口!$X52=0,"",[2]对账明细接口!$X52),"")</f>
        <v/>
      </c>
      <c r="AD51" s="90" t="str">
        <f aca="false">IFERROR(IF([2]对账明细接口!$Y52=0,"",[2]对账明细接口!$Y52),"")</f>
        <v/>
      </c>
      <c r="AE51" s="90" t="str">
        <f aca="false">IFERROR(IF([2]对账明细接口!$AA52=0,"",[2]对账明细接口!$AA52),"")</f>
        <v/>
      </c>
      <c r="AF51" s="90" t="str">
        <f aca="false">IFERROR(IF([2]对账明细接口!$AB52=0,"",[2]对账明细接口!$AB52),"")</f>
        <v/>
      </c>
      <c r="AG51" s="90" t="str">
        <f aca="false">IFERROR(IF([2]对账明细接口!$AC52=0,"",[2]对账明细接口!$AC52),"")</f>
        <v/>
      </c>
      <c r="AH51" s="90" t="str">
        <f aca="false">IFERROR(IF([2]对账明细接口!$AD52=0,"",[2]对账明细接口!$AD52),"")</f>
        <v/>
      </c>
    </row>
    <row r="52" customFormat="false" ht="13.5" hidden="false" customHeight="false" outlineLevel="0" collapsed="false">
      <c r="A52" s="109" t="n">
        <v>52</v>
      </c>
      <c r="B52" s="110" t="n">
        <f aca="false">IFERROR(IF([2]对账明细接口!$B$52=0,"",[2]对账明细接口!$B$52),"")</f>
        <v>46260</v>
      </c>
      <c r="C52" s="59" t="str">
        <f aca="false">IFERROR(IF([2]对账明细接口!$C$52=0,"",[2]对账明细接口!$C$52),"")</f>
        <v>王照雪</v>
      </c>
      <c r="D52" s="59" t="str">
        <f aca="false">IFERROR(IF([2]对账明细接口!$D$52=0,"",[2]对账明细接口!$D$52),"")</f>
        <v>原料入库</v>
      </c>
      <c r="E52" s="59" t="str">
        <f aca="false">IFERROR(IF([2]对账明细接口!$E$52=0,"",[2]对账明细接口!$E$52),"")</f>
        <v>NO0000732</v>
      </c>
      <c r="F52" s="59" t="str">
        <f aca="false">IFERROR(IF([2]对账明细接口!$F$52=0,"",[2]对账明细接口!$F$52),"")</f>
        <v>苹果</v>
      </c>
      <c r="G52" s="59" t="str">
        <f aca="false">IFERROR(IF([2]对账明细接口!$G$52=0,"",[2]对账明细接口!$G$52),"")</f>
        <v>华硕一级</v>
      </c>
      <c r="H52" s="60" t="n">
        <f aca="false">IFERROR(IF([2]对账明细接口!$H$52=0,"",[2]对账明细接口!$H$52),"")</f>
        <v>174</v>
      </c>
      <c r="I52" s="59" t="str">
        <f aca="false">IFERROR(IF([2]对账明细接口!$I$52=0,"",[2]对账明细接口!$I$52),"")</f>
        <v>筐</v>
      </c>
      <c r="J52" s="61" t="n">
        <f aca="false">IFERROR(IF([2]对账明细接口!$J$52=0,"",[2]对账明细接口!$J$52),"")</f>
        <v>3010.2</v>
      </c>
      <c r="K52" s="61" t="str">
        <f aca="false">IFERROR(IF([2]对账明细接口!$K$52=0,"",[2]对账明细接口!$K$52),"")</f>
        <v/>
      </c>
      <c r="L52" s="59" t="str">
        <f aca="false">IFERROR(IF([2]对账明细接口!$L$52=0,"",[2]对账明细接口!$L$52),"")</f>
        <v/>
      </c>
      <c r="M52" s="59" t="str">
        <f aca="false">IFERROR(IF([2]对账明细接口!$M$52=0,"",[2]对账明细接口!$M$52),"")</f>
        <v/>
      </c>
      <c r="N52" s="111" t="n">
        <f aca="false">IF($C52="",0,1)</f>
        <v>1</v>
      </c>
      <c r="O52" s="111" t="n">
        <f aca="false">N(O51)+$N52</f>
        <v>49</v>
      </c>
      <c r="S52" s="10" t="str">
        <f aca="false">IFERROR(IF([2]对账明细接口!$N52=0,"",[2]对账明细接口!$N52),"")</f>
        <v>公司杂周转筐</v>
      </c>
      <c r="T52" s="112" t="str">
        <f aca="false">IFERROR(IF([2]对账明细接口!$O52=0,"",[2]对账明细接口!$O52),"")</f>
        <v/>
      </c>
      <c r="U52" s="112" t="str">
        <f aca="false">IFERROR(IF([2]对账明细接口!$P52=0,"",[2]对账明细接口!$P52),"")</f>
        <v/>
      </c>
      <c r="V52" s="112" t="n">
        <f aca="false">IFERROR(IF([2]对账明细接口!$Q52=0,"",[2]对账明细接口!$Q52),"")</f>
        <v>174</v>
      </c>
      <c r="W52" s="10" t="str">
        <f aca="false">IFERROR(IF([2]对账明细接口!$R52=0,"",[2]对账明细接口!$R52),"")</f>
        <v>豫L*88X19</v>
      </c>
      <c r="X52" s="10" t="str">
        <f aca="false">IFERROR(IF([2]对账明细接口!$S52=0,"",[2]对账明细接口!$S52),"")</f>
        <v>公司筐</v>
      </c>
      <c r="Y52" s="10" t="str">
        <f aca="false">IFERROR(IF([2]对账明细接口!$T52=0,"",[2]对账明细接口!$T52),"")</f>
        <v/>
      </c>
      <c r="Z52" s="113" t="str">
        <f aca="false">IFERROR(IF([2]对账明细接口!$U52=0,"",[2]对账明细接口!$U52),"")</f>
        <v/>
      </c>
      <c r="AA52" s="113" t="str">
        <f aca="false">IFERROR(IF([2]对账明细接口!$V52=0,"",[2]对账明细接口!$V52),"")</f>
        <v/>
      </c>
      <c r="AB52" s="10" t="str">
        <f aca="false">IFERROR(IF([2]对账明细接口!$W52=0,"",[2]对账明细接口!$W52),"")</f>
        <v/>
      </c>
      <c r="AC52" s="90" t="str">
        <f aca="false">IFERROR(IF([2]对账明细接口!$X53=0,"",[2]对账明细接口!$X53),"")</f>
        <v/>
      </c>
      <c r="AD52" s="90" t="str">
        <f aca="false">IFERROR(IF([2]对账明细接口!$Y53=0,"",[2]对账明细接口!$Y53),"")</f>
        <v/>
      </c>
      <c r="AE52" s="90" t="str">
        <f aca="false">IFERROR(IF([2]对账明细接口!$AA53=0,"",[2]对账明细接口!$AA53),"")</f>
        <v/>
      </c>
      <c r="AF52" s="90" t="str">
        <f aca="false">IFERROR(IF([2]对账明细接口!$AB53=0,"",[2]对账明细接口!$AB53),"")</f>
        <v/>
      </c>
      <c r="AG52" s="90" t="str">
        <f aca="false">IFERROR(IF([2]对账明细接口!$AC53=0,"",[2]对账明细接口!$AC53),"")</f>
        <v/>
      </c>
      <c r="AH52" s="90" t="str">
        <f aca="false">IFERROR(IF([2]对账明细接口!$AD53=0,"",[2]对账明细接口!$AD53),"")</f>
        <v/>
      </c>
    </row>
    <row r="53" customFormat="false" ht="13.5" hidden="false" customHeight="false" outlineLevel="0" collapsed="false">
      <c r="A53" s="109" t="n">
        <v>53</v>
      </c>
      <c r="B53" s="110" t="n">
        <f aca="false">IFERROR(IF([2]对账明细接口!$B$53=0,"",[2]对账明细接口!$B$53),"")</f>
        <v>46260</v>
      </c>
      <c r="C53" s="59" t="str">
        <f aca="false">IFERROR(IF([2]对账明细接口!$C$53=0,"",[2]对账明细接口!$C$53),"")</f>
        <v>王照雪</v>
      </c>
      <c r="D53" s="59" t="str">
        <f aca="false">IFERROR(IF([2]对账明细接口!$D$53=0,"",[2]对账明细接口!$D$53),"")</f>
        <v>原料入库</v>
      </c>
      <c r="E53" s="59" t="str">
        <f aca="false">IFERROR(IF([2]对账明细接口!$E$53=0,"",[2]对账明细接口!$E$53),"")</f>
        <v>NO0000732</v>
      </c>
      <c r="F53" s="59" t="str">
        <f aca="false">IFERROR(IF([2]对账明细接口!$F$53=0,"",[2]对账明细接口!$F$53),"")</f>
        <v>苹果</v>
      </c>
      <c r="G53" s="59" t="str">
        <f aca="false">IFERROR(IF([2]对账明细接口!$G$53=0,"",[2]对账明细接口!$G$53),"")</f>
        <v>华硕二级</v>
      </c>
      <c r="H53" s="60" t="n">
        <f aca="false">IFERROR(IF([2]对账明细接口!$H$53=0,"",[2]对账明细接口!$H$53),"")</f>
        <v>88</v>
      </c>
      <c r="I53" s="59" t="str">
        <f aca="false">IFERROR(IF([2]对账明细接口!$I$53=0,"",[2]对账明细接口!$I$53),"")</f>
        <v>筐</v>
      </c>
      <c r="J53" s="61" t="n">
        <f aca="false">IFERROR(IF([2]对账明细接口!$J$53=0,"",[2]对账明细接口!$J$53),"")</f>
        <v>1434.4</v>
      </c>
      <c r="K53" s="61" t="str">
        <f aca="false">IFERROR(IF([2]对账明细接口!$K$53=0,"",[2]对账明细接口!$K$53),"")</f>
        <v/>
      </c>
      <c r="L53" s="59" t="str">
        <f aca="false">IFERROR(IF([2]对账明细接口!$L$53=0,"",[2]对账明细接口!$L$53),"")</f>
        <v/>
      </c>
      <c r="M53" s="59" t="str">
        <f aca="false">IFERROR(IF([2]对账明细接口!$M$53=0,"",[2]对账明细接口!$M$53),"")</f>
        <v/>
      </c>
      <c r="N53" s="111" t="n">
        <f aca="false">IF($C53="",0,1)</f>
        <v>1</v>
      </c>
      <c r="O53" s="111" t="n">
        <f aca="false">N(O52)+$N53</f>
        <v>50</v>
      </c>
      <c r="S53" s="10" t="str">
        <f aca="false">IFERROR(IF([2]对账明细接口!$N53=0,"",[2]对账明细接口!$N53),"")</f>
        <v>公司杂周转筐</v>
      </c>
      <c r="T53" s="112" t="str">
        <f aca="false">IFERROR(IF([2]对账明细接口!$O53=0,"",[2]对账明细接口!$O53),"")</f>
        <v/>
      </c>
      <c r="U53" s="112" t="str">
        <f aca="false">IFERROR(IF([2]对账明细接口!$P53=0,"",[2]对账明细接口!$P53),"")</f>
        <v/>
      </c>
      <c r="V53" s="112" t="n">
        <f aca="false">IFERROR(IF([2]对账明细接口!$Q53=0,"",[2]对账明细接口!$Q53),"")</f>
        <v>88</v>
      </c>
      <c r="W53" s="10" t="str">
        <f aca="false">IFERROR(IF([2]对账明细接口!$R53=0,"",[2]对账明细接口!$R53),"")</f>
        <v>豫L*88X19</v>
      </c>
      <c r="X53" s="10" t="str">
        <f aca="false">IFERROR(IF([2]对账明细接口!$S53=0,"",[2]对账明细接口!$S53),"")</f>
        <v>公司筐</v>
      </c>
      <c r="Y53" s="10" t="str">
        <f aca="false">IFERROR(IF([2]对账明细接口!$T53=0,"",[2]对账明细接口!$T53),"")</f>
        <v/>
      </c>
      <c r="Z53" s="113" t="str">
        <f aca="false">IFERROR(IF([2]对账明细接口!$U53=0,"",[2]对账明细接口!$U53),"")</f>
        <v/>
      </c>
      <c r="AA53" s="113" t="str">
        <f aca="false">IFERROR(IF([2]对账明细接口!$V53=0,"",[2]对账明细接口!$V53),"")</f>
        <v/>
      </c>
      <c r="AB53" s="10" t="str">
        <f aca="false">IFERROR(IF([2]对账明细接口!$W53=0,"",[2]对账明细接口!$W53),"")</f>
        <v/>
      </c>
      <c r="AC53" s="90" t="str">
        <f aca="false">IFERROR(IF([2]对账明细接口!$X54=0,"",[2]对账明细接口!$X54),"")</f>
        <v/>
      </c>
      <c r="AD53" s="90" t="str">
        <f aca="false">IFERROR(IF([2]对账明细接口!$Y54=0,"",[2]对账明细接口!$Y54),"")</f>
        <v/>
      </c>
      <c r="AE53" s="90" t="str">
        <f aca="false">IFERROR(IF([2]对账明细接口!$AA54=0,"",[2]对账明细接口!$AA54),"")</f>
        <v/>
      </c>
      <c r="AF53" s="90" t="str">
        <f aca="false">IFERROR(IF([2]对账明细接口!$AB54=0,"",[2]对账明细接口!$AB54),"")</f>
        <v/>
      </c>
      <c r="AG53" s="90" t="str">
        <f aca="false">IFERROR(IF([2]对账明细接口!$AC54=0,"",[2]对账明细接口!$AC54),"")</f>
        <v/>
      </c>
      <c r="AH53" s="90" t="str">
        <f aca="false">IFERROR(IF([2]对账明细接口!$AD54=0,"",[2]对账明细接口!$AD54),"")</f>
        <v/>
      </c>
    </row>
    <row r="54" customFormat="false" ht="13.5" hidden="false" customHeight="false" outlineLevel="0" collapsed="false">
      <c r="A54" s="109" t="n">
        <v>54</v>
      </c>
      <c r="B54" s="110" t="n">
        <f aca="false">IFERROR(IF([2]对账明细接口!$B$54=0,"",[2]对账明细接口!$B$54),"")</f>
        <v>46260</v>
      </c>
      <c r="C54" s="59" t="str">
        <f aca="false">IFERROR(IF([2]对账明细接口!$C$54=0,"",[2]对账明细接口!$C$54),"")</f>
        <v>王照雪</v>
      </c>
      <c r="D54" s="59" t="str">
        <f aca="false">IFERROR(IF([2]对账明细接口!$D$54=0,"",[2]对账明细接口!$D$54),"")</f>
        <v>原料入库</v>
      </c>
      <c r="E54" s="59" t="str">
        <f aca="false">IFERROR(IF([2]对账明细接口!$E$54=0,"",[2]对账明细接口!$E$54),"")</f>
        <v>NO0000732</v>
      </c>
      <c r="F54" s="59" t="str">
        <f aca="false">IFERROR(IF([2]对账明细接口!$F$54=0,"",[2]对账明细接口!$F$54),"")</f>
        <v>苹果</v>
      </c>
      <c r="G54" s="59" t="str">
        <f aca="false">IFERROR(IF([2]对账明细接口!$G$54=0,"",[2]对账明细接口!$G$54),"")</f>
        <v>华硕高次</v>
      </c>
      <c r="H54" s="60" t="n">
        <f aca="false">IFERROR(IF([2]对账明细接口!$H$54=0,"",[2]对账明细接口!$H$54),"")</f>
        <v>64</v>
      </c>
      <c r="I54" s="59" t="str">
        <f aca="false">IFERROR(IF([2]对账明细接口!$I$54=0,"",[2]对账明细接口!$I$54),"")</f>
        <v>筐</v>
      </c>
      <c r="J54" s="61" t="n">
        <f aca="false">IFERROR(IF([2]对账明细接口!$J$54=0,"",[2]对账明细接口!$J$54),"")</f>
        <v>1107.2</v>
      </c>
      <c r="K54" s="61" t="str">
        <f aca="false">IFERROR(IF([2]对账明细接口!$K$54=0,"",[2]对账明细接口!$K$54),"")</f>
        <v/>
      </c>
      <c r="L54" s="59" t="str">
        <f aca="false">IFERROR(IF([2]对账明细接口!$L$54=0,"",[2]对账明细接口!$L$54),"")</f>
        <v/>
      </c>
      <c r="M54" s="59" t="str">
        <f aca="false">IFERROR(IF([2]对账明细接口!$M$54=0,"",[2]对账明细接口!$M$54),"")</f>
        <v/>
      </c>
      <c r="N54" s="111" t="n">
        <f aca="false">IF($C54="",0,1)</f>
        <v>1</v>
      </c>
      <c r="O54" s="111" t="n">
        <f aca="false">N(O53)+$N54</f>
        <v>51</v>
      </c>
      <c r="S54" s="10" t="str">
        <f aca="false">IFERROR(IF([2]对账明细接口!$N54=0,"",[2]对账明细接口!$N54),"")</f>
        <v>公司杂周转筐</v>
      </c>
      <c r="T54" s="112" t="str">
        <f aca="false">IFERROR(IF([2]对账明细接口!$O54=0,"",[2]对账明细接口!$O54),"")</f>
        <v/>
      </c>
      <c r="U54" s="112" t="str">
        <f aca="false">IFERROR(IF([2]对账明细接口!$P54=0,"",[2]对账明细接口!$P54),"")</f>
        <v/>
      </c>
      <c r="V54" s="112" t="n">
        <f aca="false">IFERROR(IF([2]对账明细接口!$Q54=0,"",[2]对账明细接口!$Q54),"")</f>
        <v>64</v>
      </c>
      <c r="W54" s="10" t="str">
        <f aca="false">IFERROR(IF([2]对账明细接口!$R54=0,"",[2]对账明细接口!$R54),"")</f>
        <v>豫L*88X19</v>
      </c>
      <c r="X54" s="10" t="str">
        <f aca="false">IFERROR(IF([2]对账明细接口!$S54=0,"",[2]对账明细接口!$S54),"")</f>
        <v>公司筐</v>
      </c>
      <c r="Y54" s="10" t="str">
        <f aca="false">IFERROR(IF([2]对账明细接口!$T54=0,"",[2]对账明细接口!$T54),"")</f>
        <v/>
      </c>
      <c r="Z54" s="113" t="str">
        <f aca="false">IFERROR(IF([2]对账明细接口!$U54=0,"",[2]对账明细接口!$U54),"")</f>
        <v/>
      </c>
      <c r="AA54" s="113" t="str">
        <f aca="false">IFERROR(IF([2]对账明细接口!$V54=0,"",[2]对账明细接口!$V54),"")</f>
        <v/>
      </c>
      <c r="AB54" s="10" t="str">
        <f aca="false">IFERROR(IF([2]对账明细接口!$W54=0,"",[2]对账明细接口!$W54),"")</f>
        <v/>
      </c>
      <c r="AC54" s="90" t="str">
        <f aca="false">IFERROR(IF([2]对账明细接口!$X55=0,"",[2]对账明细接口!$X55),"")</f>
        <v/>
      </c>
      <c r="AD54" s="90" t="str">
        <f aca="false">IFERROR(IF([2]对账明细接口!$Y55=0,"",[2]对账明细接口!$Y55),"")</f>
        <v/>
      </c>
      <c r="AE54" s="90" t="str">
        <f aca="false">IFERROR(IF([2]对账明细接口!$AA55=0,"",[2]对账明细接口!$AA55),"")</f>
        <v/>
      </c>
      <c r="AF54" s="90" t="str">
        <f aca="false">IFERROR(IF([2]对账明细接口!$AB55=0,"",[2]对账明细接口!$AB55),"")</f>
        <v/>
      </c>
      <c r="AG54" s="90" t="str">
        <f aca="false">IFERROR(IF([2]对账明细接口!$AC55=0,"",[2]对账明细接口!$AC55),"")</f>
        <v/>
      </c>
      <c r="AH54" s="90" t="str">
        <f aca="false">IFERROR(IF([2]对账明细接口!$AD55=0,"",[2]对账明细接口!$AD55),"")</f>
        <v/>
      </c>
    </row>
    <row r="55" customFormat="false" ht="13.5" hidden="false" customHeight="false" outlineLevel="0" collapsed="false">
      <c r="A55" s="109" t="n">
        <v>55</v>
      </c>
      <c r="B55" s="110" t="n">
        <f aca="false">IFERROR(IF([2]对账明细接口!$B$55=0,"",[2]对账明细接口!$B$55),"")</f>
        <v>46262</v>
      </c>
      <c r="C55" s="59" t="str">
        <f aca="false">IFERROR(IF([2]对账明细接口!$C$55=0,"",[2]对账明细接口!$C$55),"")</f>
        <v>聂新平</v>
      </c>
      <c r="D55" s="59" t="str">
        <f aca="false">IFERROR(IF([2]对账明细接口!$D$55=0,"",[2]对账明细接口!$D$55),"")</f>
        <v>原料入库</v>
      </c>
      <c r="E55" s="59" t="str">
        <f aca="false">IFERROR(IF([2]对账明细接口!$E$55=0,"",[2]对账明细接口!$E$55),"")</f>
        <v>NO0000737</v>
      </c>
      <c r="F55" s="59" t="str">
        <f aca="false">IFERROR(IF([2]对账明细接口!$F$55=0,"",[2]对账明细接口!$F$55),"")</f>
        <v>苹果</v>
      </c>
      <c r="G55" s="59" t="str">
        <f aca="false">IFERROR(IF([2]对账明细接口!$G$55=0,"",[2]对账明细接口!$G$55),"")</f>
        <v>嘎啦85#</v>
      </c>
      <c r="H55" s="60" t="n">
        <f aca="false">IFERROR(IF([2]对账明细接口!$H$55=0,"",[2]对账明细接口!$H$55),"")</f>
        <v>69</v>
      </c>
      <c r="I55" s="59" t="str">
        <f aca="false">IFERROR(IF([2]对账明细接口!$I$55=0,"",[2]对账明细接口!$I$55),"")</f>
        <v>筐</v>
      </c>
      <c r="J55" s="61" t="n">
        <f aca="false">IFERROR(IF([2]对账明细接口!$J$55=0,"",[2]对账明细接口!$J$55),"")</f>
        <v>1504.2</v>
      </c>
      <c r="K55" s="61" t="str">
        <f aca="false">IFERROR(IF([2]对账明细接口!$K$55=0,"",[2]对账明细接口!$K$55),"")</f>
        <v/>
      </c>
      <c r="L55" s="59" t="str">
        <f aca="false">IFERROR(IF([2]对账明细接口!$L$55=0,"",[2]对账明细接口!$L$55),"")</f>
        <v/>
      </c>
      <c r="M55" s="59" t="str">
        <f aca="false">IFERROR(IF([2]对账明细接口!$M$55=0,"",[2]对账明细接口!$M$55),"")</f>
        <v/>
      </c>
      <c r="N55" s="111" t="n">
        <f aca="false">IF($C55="",0,1)</f>
        <v>1</v>
      </c>
      <c r="O55" s="111" t="n">
        <f aca="false">N(O54)+$N55</f>
        <v>52</v>
      </c>
      <c r="S55" s="10" t="str">
        <f aca="false">IFERROR(IF([2]对账明细接口!$N55=0,"",[2]对账明细接口!$N55),"")</f>
        <v>自备一次性筐</v>
      </c>
      <c r="T55" s="112" t="str">
        <f aca="false">IFERROR(IF([2]对账明细接口!$O55=0,"",[2]对账明细接口!$O55),"")</f>
        <v/>
      </c>
      <c r="U55" s="112" t="str">
        <f aca="false">IFERROR(IF([2]对账明细接口!$P55=0,"",[2]对账明细接口!$P55),"")</f>
        <v/>
      </c>
      <c r="V55" s="112" t="n">
        <f aca="false">IFERROR(IF([2]对账明细接口!$Q55=0,"",[2]对账明细接口!$Q55),"")</f>
        <v>69</v>
      </c>
      <c r="W55" s="10" t="str">
        <f aca="false">IFERROR(IF([2]对账明细接口!$R55=0,"",[2]对账明细接口!$R55),"")</f>
        <v>新N*E3V16</v>
      </c>
      <c r="X55" s="10" t="str">
        <f aca="false">IFERROR(IF([2]对账明细接口!$S55=0,"",[2]对账明细接口!$S55),"")</f>
        <v>自备筐</v>
      </c>
      <c r="Y55" s="10" t="str">
        <f aca="false">IFERROR(IF([2]对账明细接口!$T55=0,"",[2]对账明细接口!$T55),"")</f>
        <v/>
      </c>
      <c r="Z55" s="113" t="str">
        <f aca="false">IFERROR(IF([2]对账明细接口!$U55=0,"",[2]对账明细接口!$U55),"")</f>
        <v/>
      </c>
      <c r="AA55" s="113" t="str">
        <f aca="false">IFERROR(IF([2]对账明细接口!$V55=0,"",[2]对账明细接口!$V55),"")</f>
        <v/>
      </c>
      <c r="AB55" s="10" t="str">
        <f aca="false">IFERROR(IF([2]对账明细接口!$W55=0,"",[2]对账明细接口!$W55),"")</f>
        <v/>
      </c>
      <c r="AC55" s="90" t="str">
        <f aca="false">IFERROR(IF([2]对账明细接口!$X56=0,"",[2]对账明细接口!$X56),"")</f>
        <v/>
      </c>
      <c r="AD55" s="90" t="str">
        <f aca="false">IFERROR(IF([2]对账明细接口!$Y56=0,"",[2]对账明细接口!$Y56),"")</f>
        <v/>
      </c>
      <c r="AE55" s="90" t="str">
        <f aca="false">IFERROR(IF([2]对账明细接口!$AA56=0,"",[2]对账明细接口!$AA56),"")</f>
        <v/>
      </c>
      <c r="AF55" s="90" t="str">
        <f aca="false">IFERROR(IF([2]对账明细接口!$AB56=0,"",[2]对账明细接口!$AB56),"")</f>
        <v/>
      </c>
      <c r="AG55" s="90" t="str">
        <f aca="false">IFERROR(IF([2]对账明细接口!$AC56=0,"",[2]对账明细接口!$AC56),"")</f>
        <v/>
      </c>
      <c r="AH55" s="90" t="str">
        <f aca="false">IFERROR(IF([2]对账明细接口!$AD56=0,"",[2]对账明细接口!$AD56),"")</f>
        <v/>
      </c>
    </row>
    <row r="56" customFormat="false" ht="13.5" hidden="false" customHeight="false" outlineLevel="0" collapsed="false">
      <c r="A56" s="109" t="n">
        <v>56</v>
      </c>
      <c r="B56" s="110" t="n">
        <f aca="false">IFERROR(IF([2]对账明细接口!$B$56=0,"",[2]对账明细接口!$B$56),"")</f>
        <v>46262</v>
      </c>
      <c r="C56" s="59" t="str">
        <f aca="false">IFERROR(IF([2]对账明细接口!$C$56=0,"",[2]对账明细接口!$C$56),"")</f>
        <v>聂新平</v>
      </c>
      <c r="D56" s="59" t="str">
        <f aca="false">IFERROR(IF([2]对账明细接口!$D$56=0,"",[2]对账明细接口!$D$56),"")</f>
        <v>原料入库</v>
      </c>
      <c r="E56" s="59" t="str">
        <f aca="false">IFERROR(IF([2]对账明细接口!$E$56=0,"",[2]对账明细接口!$E$56),"")</f>
        <v>NO0000737</v>
      </c>
      <c r="F56" s="59" t="str">
        <f aca="false">IFERROR(IF([2]对账明细接口!$F$56=0,"",[2]对账明细接口!$F$56),"")</f>
        <v>苹果</v>
      </c>
      <c r="G56" s="59" t="str">
        <f aca="false">IFERROR(IF([2]对账明细接口!$G$56=0,"",[2]对账明细接口!$G$56),"")</f>
        <v>嘎啦100#</v>
      </c>
      <c r="H56" s="60" t="n">
        <f aca="false">IFERROR(IF([2]对账明细接口!$H$56=0,"",[2]对账明细接口!$H$56),"")</f>
        <v>175</v>
      </c>
      <c r="I56" s="59" t="str">
        <f aca="false">IFERROR(IF([2]对账明细接口!$I$56=0,"",[2]对账明细接口!$I$56),"")</f>
        <v>筐</v>
      </c>
      <c r="J56" s="61" t="n">
        <f aca="false">IFERROR(IF([2]对账明细接口!$J$56=0,"",[2]对账明细接口!$J$56),"")</f>
        <v>3815</v>
      </c>
      <c r="K56" s="61" t="str">
        <f aca="false">IFERROR(IF([2]对账明细接口!$K$56=0,"",[2]对账明细接口!$K$56),"")</f>
        <v/>
      </c>
      <c r="L56" s="59" t="str">
        <f aca="false">IFERROR(IF([2]对账明细接口!$L$56=0,"",[2]对账明细接口!$L$56),"")</f>
        <v/>
      </c>
      <c r="M56" s="59" t="str">
        <f aca="false">IFERROR(IF([2]对账明细接口!$M$56=0,"",[2]对账明细接口!$M$56),"")</f>
        <v/>
      </c>
      <c r="N56" s="111" t="n">
        <f aca="false">IF($C56="",0,1)</f>
        <v>1</v>
      </c>
      <c r="O56" s="111" t="n">
        <f aca="false">N(O55)+$N56</f>
        <v>53</v>
      </c>
      <c r="S56" s="10" t="str">
        <f aca="false">IFERROR(IF([2]对账明细接口!$N56=0,"",[2]对账明细接口!$N56),"")</f>
        <v>自备一次性筐</v>
      </c>
      <c r="T56" s="112" t="str">
        <f aca="false">IFERROR(IF([2]对账明细接口!$O56=0,"",[2]对账明细接口!$O56),"")</f>
        <v/>
      </c>
      <c r="U56" s="112" t="str">
        <f aca="false">IFERROR(IF([2]对账明细接口!$P56=0,"",[2]对账明细接口!$P56),"")</f>
        <v/>
      </c>
      <c r="V56" s="112" t="n">
        <f aca="false">IFERROR(IF([2]对账明细接口!$Q56=0,"",[2]对账明细接口!$Q56),"")</f>
        <v>175</v>
      </c>
      <c r="W56" s="10" t="str">
        <f aca="false">IFERROR(IF([2]对账明细接口!$R56=0,"",[2]对账明细接口!$R56),"")</f>
        <v>新N*E3V16</v>
      </c>
      <c r="X56" s="10" t="str">
        <f aca="false">IFERROR(IF([2]对账明细接口!$S56=0,"",[2]对账明细接口!$S56),"")</f>
        <v>自备筐</v>
      </c>
      <c r="Y56" s="10" t="str">
        <f aca="false">IFERROR(IF([2]对账明细接口!$T56=0,"",[2]对账明细接口!$T56),"")</f>
        <v/>
      </c>
      <c r="Z56" s="113" t="str">
        <f aca="false">IFERROR(IF([2]对账明细接口!$U56=0,"",[2]对账明细接口!$U56),"")</f>
        <v/>
      </c>
      <c r="AA56" s="113" t="str">
        <f aca="false">IFERROR(IF([2]对账明细接口!$V56=0,"",[2]对账明细接口!$V56),"")</f>
        <v/>
      </c>
      <c r="AB56" s="10" t="str">
        <f aca="false">IFERROR(IF([2]对账明细接口!$W56=0,"",[2]对账明细接口!$W56),"")</f>
        <v/>
      </c>
      <c r="AC56" s="90" t="str">
        <f aca="false">IFERROR(IF([2]对账明细接口!$X57=0,"",[2]对账明细接口!$X57),"")</f>
        <v/>
      </c>
      <c r="AD56" s="90" t="str">
        <f aca="false">IFERROR(IF([2]对账明细接口!$Y57=0,"",[2]对账明细接口!$Y57),"")</f>
        <v/>
      </c>
      <c r="AE56" s="90" t="str">
        <f aca="false">IFERROR(IF([2]对账明细接口!$AA57=0,"",[2]对账明细接口!$AA57),"")</f>
        <v/>
      </c>
      <c r="AF56" s="90" t="str">
        <f aca="false">IFERROR(IF([2]对账明细接口!$AB57=0,"",[2]对账明细接口!$AB57),"")</f>
        <v/>
      </c>
      <c r="AG56" s="90" t="str">
        <f aca="false">IFERROR(IF([2]对账明细接口!$AC57=0,"",[2]对账明细接口!$AC57),"")</f>
        <v/>
      </c>
      <c r="AH56" s="90" t="str">
        <f aca="false">IFERROR(IF([2]对账明细接口!$AD57=0,"",[2]对账明细接口!$AD57),"")</f>
        <v/>
      </c>
    </row>
    <row r="57" customFormat="false" ht="13.5" hidden="false" customHeight="false" outlineLevel="0" collapsed="false">
      <c r="A57" s="109" t="n">
        <v>57</v>
      </c>
      <c r="B57" s="110" t="n">
        <f aca="false">IFERROR(IF([2]对账明细接口!$B$57=0,"",[2]对账明细接口!$B$57),"")</f>
        <v>46262</v>
      </c>
      <c r="C57" s="59" t="str">
        <f aca="false">IFERROR(IF([2]对账明细接口!$C$57=0,"",[2]对账明细接口!$C$57),"")</f>
        <v>聂新平</v>
      </c>
      <c r="D57" s="59" t="str">
        <f aca="false">IFERROR(IF([2]对账明细接口!$D$57=0,"",[2]对账明细接口!$D$57),"")</f>
        <v>原料入库</v>
      </c>
      <c r="E57" s="59" t="str">
        <f aca="false">IFERROR(IF([2]对账明细接口!$E$57=0,"",[2]对账明细接口!$E$57),"")</f>
        <v>NO0000738</v>
      </c>
      <c r="F57" s="59" t="str">
        <f aca="false">IFERROR(IF([2]对账明细接口!$F$57=0,"",[2]对账明细接口!$F$57),"")</f>
        <v>苹果</v>
      </c>
      <c r="G57" s="59" t="str">
        <f aca="false">IFERROR(IF([2]对账明细接口!$G$57=0,"",[2]对账明细接口!$G$57),"")</f>
        <v>嘎啦85#</v>
      </c>
      <c r="H57" s="60" t="n">
        <f aca="false">IFERROR(IF([2]对账明细接口!$H$57=0,"",[2]对账明细接口!$H$57),"")</f>
        <v>20</v>
      </c>
      <c r="I57" s="59" t="str">
        <f aca="false">IFERROR(IF([2]对账明细接口!$I$57=0,"",[2]对账明细接口!$I$57),"")</f>
        <v>筐</v>
      </c>
      <c r="J57" s="61" t="n">
        <f aca="false">IFERROR(IF([2]对账明细接口!$J$57=0,"",[2]对账明细接口!$J$57),"")</f>
        <v>436</v>
      </c>
      <c r="K57" s="61" t="str">
        <f aca="false">IFERROR(IF([2]对账明细接口!$K$57=0,"",[2]对账明细接口!$K$57),"")</f>
        <v/>
      </c>
      <c r="L57" s="59" t="str">
        <f aca="false">IFERROR(IF([2]对账明细接口!$L$57=0,"",[2]对账明细接口!$L$57),"")</f>
        <v/>
      </c>
      <c r="M57" s="59" t="str">
        <f aca="false">IFERROR(IF([2]对账明细接口!$M$57=0,"",[2]对账明细接口!$M$57),"")</f>
        <v/>
      </c>
      <c r="N57" s="111" t="n">
        <f aca="false">IF($C57="",0,1)</f>
        <v>1</v>
      </c>
      <c r="O57" s="111" t="n">
        <f aca="false">N(O56)+$N57</f>
        <v>54</v>
      </c>
      <c r="S57" s="10" t="str">
        <f aca="false">IFERROR(IF([2]对账明细接口!$N57=0,"",[2]对账明细接口!$N57),"")</f>
        <v>自备一次性筐</v>
      </c>
      <c r="T57" s="112" t="str">
        <f aca="false">IFERROR(IF([2]对账明细接口!$O57=0,"",[2]对账明细接口!$O57),"")</f>
        <v/>
      </c>
      <c r="U57" s="112" t="str">
        <f aca="false">IFERROR(IF([2]对账明细接口!$P57=0,"",[2]对账明细接口!$P57),"")</f>
        <v/>
      </c>
      <c r="V57" s="112" t="n">
        <f aca="false">IFERROR(IF([2]对账明细接口!$Q57=0,"",[2]对账明细接口!$Q57),"")</f>
        <v>20</v>
      </c>
      <c r="W57" s="10" t="str">
        <f aca="false">IFERROR(IF([2]对账明细接口!$R57=0,"",[2]对账明细接口!$R57),"")</f>
        <v>苏M*7G796</v>
      </c>
      <c r="X57" s="10" t="str">
        <f aca="false">IFERROR(IF([2]对账明细接口!$S57=0,"",[2]对账明细接口!$S57),"")</f>
        <v>自备筐</v>
      </c>
      <c r="Y57" s="10" t="str">
        <f aca="false">IFERROR(IF([2]对账明细接口!$T57=0,"",[2]对账明细接口!$T57),"")</f>
        <v/>
      </c>
      <c r="Z57" s="113" t="str">
        <f aca="false">IFERROR(IF([2]对账明细接口!$U57=0,"",[2]对账明细接口!$U57),"")</f>
        <v/>
      </c>
      <c r="AA57" s="113" t="str">
        <f aca="false">IFERROR(IF([2]对账明细接口!$V57=0,"",[2]对账明细接口!$V57),"")</f>
        <v/>
      </c>
      <c r="AB57" s="10" t="str">
        <f aca="false">IFERROR(IF([2]对账明细接口!$W57=0,"",[2]对账明细接口!$W57),"")</f>
        <v/>
      </c>
      <c r="AC57" s="90" t="str">
        <f aca="false">IFERROR(IF([2]对账明细接口!$X58=0,"",[2]对账明细接口!$X58),"")</f>
        <v/>
      </c>
      <c r="AD57" s="90" t="str">
        <f aca="false">IFERROR(IF([2]对账明细接口!$Y58=0,"",[2]对账明细接口!$Y58),"")</f>
        <v/>
      </c>
      <c r="AE57" s="90" t="str">
        <f aca="false">IFERROR(IF([2]对账明细接口!$AA58=0,"",[2]对账明细接口!$AA58),"")</f>
        <v/>
      </c>
      <c r="AF57" s="90" t="str">
        <f aca="false">IFERROR(IF([2]对账明细接口!$AB58=0,"",[2]对账明细接口!$AB58),"")</f>
        <v/>
      </c>
      <c r="AG57" s="90" t="str">
        <f aca="false">IFERROR(IF([2]对账明细接口!$AC58=0,"",[2]对账明细接口!$AC58),"")</f>
        <v/>
      </c>
      <c r="AH57" s="90" t="str">
        <f aca="false">IFERROR(IF([2]对账明细接口!$AD58=0,"",[2]对账明细接口!$AD58),"")</f>
        <v/>
      </c>
    </row>
    <row r="58" customFormat="false" ht="13.5" hidden="false" customHeight="false" outlineLevel="0" collapsed="false">
      <c r="A58" s="109" t="n">
        <v>58</v>
      </c>
      <c r="B58" s="110" t="n">
        <f aca="false">IFERROR(IF([2]对账明细接口!$B$58=0,"",[2]对账明细接口!$B$58),"")</f>
        <v>46262</v>
      </c>
      <c r="C58" s="59" t="str">
        <f aca="false">IFERROR(IF([2]对账明细接口!$C$58=0,"",[2]对账明细接口!$C$58),"")</f>
        <v>王照雪</v>
      </c>
      <c r="D58" s="59" t="str">
        <f aca="false">IFERROR(IF([2]对账明细接口!$D$58=0,"",[2]对账明细接口!$D$58),"")</f>
        <v>原料入库</v>
      </c>
      <c r="E58" s="59" t="str">
        <f aca="false">IFERROR(IF([2]对账明细接口!$E$58=0,"",[2]对账明细接口!$E$58),"")</f>
        <v>NO0000739</v>
      </c>
      <c r="F58" s="59" t="str">
        <f aca="false">IFERROR(IF([2]对账明细接口!$F$58=0,"",[2]对账明细接口!$F$58),"")</f>
        <v>苹果</v>
      </c>
      <c r="G58" s="59" t="str">
        <f aca="false">IFERROR(IF([2]对账明细接口!$G$58=0,"",[2]对账明细接口!$G$58),"")</f>
        <v>华硕一级</v>
      </c>
      <c r="H58" s="60" t="n">
        <f aca="false">IFERROR(IF([2]对账明细接口!$H$58=0,"",[2]对账明细接口!$H$58),"")</f>
        <v>103</v>
      </c>
      <c r="I58" s="59" t="str">
        <f aca="false">IFERROR(IF([2]对账明细接口!$I$58=0,"",[2]对账明细接口!$I$58),"")</f>
        <v>筐</v>
      </c>
      <c r="J58" s="61" t="n">
        <f aca="false">IFERROR(IF([2]对账明细接口!$J$58=0,"",[2]对账明细接口!$J$58),"")</f>
        <v>1781.9</v>
      </c>
      <c r="K58" s="61" t="str">
        <f aca="false">IFERROR(IF([2]对账明细接口!$K$58=0,"",[2]对账明细接口!$K$58),"")</f>
        <v/>
      </c>
      <c r="L58" s="59" t="str">
        <f aca="false">IFERROR(IF([2]对账明细接口!$L$58=0,"",[2]对账明细接口!$L$58),"")</f>
        <v/>
      </c>
      <c r="M58" s="59" t="str">
        <f aca="false">IFERROR(IF([2]对账明细接口!$M$58=0,"",[2]对账明细接口!$M$58),"")</f>
        <v/>
      </c>
      <c r="N58" s="111" t="n">
        <f aca="false">IF($C58="",0,1)</f>
        <v>1</v>
      </c>
      <c r="O58" s="111" t="n">
        <f aca="false">N(O57)+$N58</f>
        <v>55</v>
      </c>
      <c r="S58" s="10" t="str">
        <f aca="false">IFERROR(IF([2]对账明细接口!$N58=0,"",[2]对账明细接口!$N58),"")</f>
        <v>公司杂周转筐</v>
      </c>
      <c r="T58" s="112" t="str">
        <f aca="false">IFERROR(IF([2]对账明细接口!$O58=0,"",[2]对账明细接口!$O58),"")</f>
        <v/>
      </c>
      <c r="U58" s="112" t="str">
        <f aca="false">IFERROR(IF([2]对账明细接口!$P58=0,"",[2]对账明细接口!$P58),"")</f>
        <v/>
      </c>
      <c r="V58" s="112" t="n">
        <f aca="false">IFERROR(IF([2]对账明细接口!$Q58=0,"",[2]对账明细接口!$Q58),"")</f>
        <v>103</v>
      </c>
      <c r="W58" s="10" t="str">
        <f aca="false">IFERROR(IF([2]对账明细接口!$R58=0,"",[2]对账明细接口!$R58),"")</f>
        <v>豫L*88X19</v>
      </c>
      <c r="X58" s="10" t="str">
        <f aca="false">IFERROR(IF([2]对账明细接口!$S58=0,"",[2]对账明细接口!$S58),"")</f>
        <v>公司筐</v>
      </c>
      <c r="Y58" s="10" t="str">
        <f aca="false">IFERROR(IF([2]对账明细接口!$T58=0,"",[2]对账明细接口!$T58),"")</f>
        <v/>
      </c>
      <c r="Z58" s="113" t="str">
        <f aca="false">IFERROR(IF([2]对账明细接口!$U58=0,"",[2]对账明细接口!$U58),"")</f>
        <v/>
      </c>
      <c r="AA58" s="113" t="str">
        <f aca="false">IFERROR(IF([2]对账明细接口!$V58=0,"",[2]对账明细接口!$V58),"")</f>
        <v/>
      </c>
      <c r="AB58" s="10" t="str">
        <f aca="false">IFERROR(IF([2]对账明细接口!$W58=0,"",[2]对账明细接口!$W58),"")</f>
        <v/>
      </c>
      <c r="AC58" s="90" t="str">
        <f aca="false">IFERROR(IF([2]对账明细接口!$X59=0,"",[2]对账明细接口!$X59),"")</f>
        <v/>
      </c>
      <c r="AD58" s="90" t="str">
        <f aca="false">IFERROR(IF([2]对账明细接口!$Y59=0,"",[2]对账明细接口!$Y59),"")</f>
        <v/>
      </c>
      <c r="AE58" s="90" t="str">
        <f aca="false">IFERROR(IF([2]对账明细接口!$AA59=0,"",[2]对账明细接口!$AA59),"")</f>
        <v/>
      </c>
      <c r="AF58" s="90" t="str">
        <f aca="false">IFERROR(IF([2]对账明细接口!$AB59=0,"",[2]对账明细接口!$AB59),"")</f>
        <v/>
      </c>
      <c r="AG58" s="90" t="str">
        <f aca="false">IFERROR(IF([2]对账明细接口!$AC59=0,"",[2]对账明细接口!$AC59),"")</f>
        <v/>
      </c>
      <c r="AH58" s="90" t="str">
        <f aca="false">IFERROR(IF([2]对账明细接口!$AD59=0,"",[2]对账明细接口!$AD59),"")</f>
        <v/>
      </c>
    </row>
    <row r="59" customFormat="false" ht="13.5" hidden="false" customHeight="false" outlineLevel="0" collapsed="false">
      <c r="A59" s="109" t="n">
        <v>59</v>
      </c>
      <c r="B59" s="110" t="n">
        <f aca="false">IFERROR(IF([2]对账明细接口!$B$59=0,"",[2]对账明细接口!$B$59),"")</f>
        <v>46262</v>
      </c>
      <c r="C59" s="59" t="str">
        <f aca="false">IFERROR(IF([2]对账明细接口!$C$59=0,"",[2]对账明细接口!$C$59),"")</f>
        <v>王照雪</v>
      </c>
      <c r="D59" s="59" t="str">
        <f aca="false">IFERROR(IF([2]对账明细接口!$D$59=0,"",[2]对账明细接口!$D$59),"")</f>
        <v>原料入库</v>
      </c>
      <c r="E59" s="59" t="str">
        <f aca="false">IFERROR(IF([2]对账明细接口!$E$59=0,"",[2]对账明细接口!$E$59),"")</f>
        <v>NO0000739</v>
      </c>
      <c r="F59" s="59" t="str">
        <f aca="false">IFERROR(IF([2]对账明细接口!$F$59=0,"",[2]对账明细接口!$F$59),"")</f>
        <v>苹果</v>
      </c>
      <c r="G59" s="59" t="str">
        <f aca="false">IFERROR(IF([2]对账明细接口!$G$59=0,"",[2]对账明细接口!$G$59),"")</f>
        <v>华硕二级</v>
      </c>
      <c r="H59" s="60" t="n">
        <f aca="false">IFERROR(IF([2]对账明细接口!$H$59=0,"",[2]对账明细接口!$H$59),"")</f>
        <v>81</v>
      </c>
      <c r="I59" s="59" t="str">
        <f aca="false">IFERROR(IF([2]对账明细接口!$I$59=0,"",[2]对账明细接口!$I$59),"")</f>
        <v>筐</v>
      </c>
      <c r="J59" s="61" t="n">
        <f aca="false">IFERROR(IF([2]对账明细接口!$J$59=0,"",[2]对账明细接口!$J$59),"")</f>
        <v>1320.3</v>
      </c>
      <c r="K59" s="61" t="str">
        <f aca="false">IFERROR(IF([2]对账明细接口!$K$59=0,"",[2]对账明细接口!$K$59),"")</f>
        <v/>
      </c>
      <c r="L59" s="59" t="str">
        <f aca="false">IFERROR(IF([2]对账明细接口!$L$59=0,"",[2]对账明细接口!$L$59),"")</f>
        <v/>
      </c>
      <c r="M59" s="59" t="str">
        <f aca="false">IFERROR(IF([2]对账明细接口!$M$59=0,"",[2]对账明细接口!$M$59),"")</f>
        <v/>
      </c>
      <c r="N59" s="111" t="n">
        <f aca="false">IF($C59="",0,1)</f>
        <v>1</v>
      </c>
      <c r="O59" s="111" t="n">
        <f aca="false">N(O58)+$N59</f>
        <v>56</v>
      </c>
      <c r="S59" s="10" t="str">
        <f aca="false">IFERROR(IF([2]对账明细接口!$N59=0,"",[2]对账明细接口!$N59),"")</f>
        <v>公司杂周转筐</v>
      </c>
      <c r="T59" s="112" t="str">
        <f aca="false">IFERROR(IF([2]对账明细接口!$O59=0,"",[2]对账明细接口!$O59),"")</f>
        <v/>
      </c>
      <c r="U59" s="112" t="str">
        <f aca="false">IFERROR(IF([2]对账明细接口!$P59=0,"",[2]对账明细接口!$P59),"")</f>
        <v/>
      </c>
      <c r="V59" s="112" t="n">
        <f aca="false">IFERROR(IF([2]对账明细接口!$Q59=0,"",[2]对账明细接口!$Q59),"")</f>
        <v>81</v>
      </c>
      <c r="W59" s="10" t="str">
        <f aca="false">IFERROR(IF([2]对账明细接口!$R59=0,"",[2]对账明细接口!$R59),"")</f>
        <v>豫L*88X19</v>
      </c>
      <c r="X59" s="10" t="str">
        <f aca="false">IFERROR(IF([2]对账明细接口!$S59=0,"",[2]对账明细接口!$S59),"")</f>
        <v>公司筐</v>
      </c>
      <c r="Y59" s="10" t="str">
        <f aca="false">IFERROR(IF([2]对账明细接口!$T59=0,"",[2]对账明细接口!$T59),"")</f>
        <v/>
      </c>
      <c r="Z59" s="113" t="str">
        <f aca="false">IFERROR(IF([2]对账明细接口!$U59=0,"",[2]对账明细接口!$U59),"")</f>
        <v/>
      </c>
      <c r="AA59" s="113" t="str">
        <f aca="false">IFERROR(IF([2]对账明细接口!$V59=0,"",[2]对账明细接口!$V59),"")</f>
        <v/>
      </c>
      <c r="AB59" s="10" t="str">
        <f aca="false">IFERROR(IF([2]对账明细接口!$W59=0,"",[2]对账明细接口!$W59),"")</f>
        <v/>
      </c>
      <c r="AC59" s="90" t="str">
        <f aca="false">IFERROR(IF([2]对账明细接口!$X60=0,"",[2]对账明细接口!$X60),"")</f>
        <v/>
      </c>
      <c r="AD59" s="90" t="str">
        <f aca="false">IFERROR(IF([2]对账明细接口!$Y60=0,"",[2]对账明细接口!$Y60),"")</f>
        <v/>
      </c>
      <c r="AE59" s="90" t="str">
        <f aca="false">IFERROR(IF([2]对账明细接口!$AA60=0,"",[2]对账明细接口!$AA60),"")</f>
        <v/>
      </c>
      <c r="AF59" s="90" t="str">
        <f aca="false">IFERROR(IF([2]对账明细接口!$AB60=0,"",[2]对账明细接口!$AB60),"")</f>
        <v/>
      </c>
      <c r="AG59" s="90" t="str">
        <f aca="false">IFERROR(IF([2]对账明细接口!$AC60=0,"",[2]对账明细接口!$AC60),"")</f>
        <v/>
      </c>
      <c r="AH59" s="90" t="str">
        <f aca="false">IFERROR(IF([2]对账明细接口!$AD60=0,"",[2]对账明细接口!$AD60),"")</f>
        <v/>
      </c>
    </row>
    <row r="60" customFormat="false" ht="13.5" hidden="false" customHeight="false" outlineLevel="0" collapsed="false">
      <c r="A60" s="109" t="n">
        <v>60</v>
      </c>
      <c r="B60" s="110" t="n">
        <f aca="false">IFERROR(IF([2]对账明细接口!$B$60=0,"",[2]对账明细接口!$B$60),"")</f>
        <v>46262</v>
      </c>
      <c r="C60" s="59" t="str">
        <f aca="false">IFERROR(IF([2]对账明细接口!$C$60=0,"",[2]对账明细接口!$C$60),"")</f>
        <v>王照雪</v>
      </c>
      <c r="D60" s="59" t="str">
        <f aca="false">IFERROR(IF([2]对账明细接口!$D$60=0,"",[2]对账明细接口!$D$60),"")</f>
        <v>原料入库</v>
      </c>
      <c r="E60" s="59" t="str">
        <f aca="false">IFERROR(IF([2]对账明细接口!$E$60=0,"",[2]对账明细接口!$E$60),"")</f>
        <v>NO0000739</v>
      </c>
      <c r="F60" s="59" t="str">
        <f aca="false">IFERROR(IF([2]对账明细接口!$F$60=0,"",[2]对账明细接口!$F$60),"")</f>
        <v>苹果</v>
      </c>
      <c r="G60" s="59" t="str">
        <f aca="false">IFERROR(IF([2]对账明细接口!$G$60=0,"",[2]对账明细接口!$G$60),"")</f>
        <v>华硕高次</v>
      </c>
      <c r="H60" s="60" t="n">
        <f aca="false">IFERROR(IF([2]对账明细接口!$H$60=0,"",[2]对账明细接口!$H$60),"")</f>
        <v>20</v>
      </c>
      <c r="I60" s="59" t="str">
        <f aca="false">IFERROR(IF([2]对账明细接口!$I$60=0,"",[2]对账明细接口!$I$60),"")</f>
        <v>筐</v>
      </c>
      <c r="J60" s="61" t="n">
        <f aca="false">IFERROR(IF([2]对账明细接口!$J$60=0,"",[2]对账明细接口!$J$60),"")</f>
        <v>346</v>
      </c>
      <c r="K60" s="61" t="str">
        <f aca="false">IFERROR(IF([2]对账明细接口!$K$60=0,"",[2]对账明细接口!$K$60),"")</f>
        <v/>
      </c>
      <c r="L60" s="59" t="str">
        <f aca="false">IFERROR(IF([2]对账明细接口!$L$60=0,"",[2]对账明细接口!$L$60),"")</f>
        <v/>
      </c>
      <c r="M60" s="59" t="str">
        <f aca="false">IFERROR(IF([2]对账明细接口!$M$60=0,"",[2]对账明细接口!$M$60),"")</f>
        <v/>
      </c>
      <c r="N60" s="111" t="n">
        <f aca="false">IF($C60="",0,1)</f>
        <v>1</v>
      </c>
      <c r="O60" s="111" t="n">
        <f aca="false">N(O59)+$N60</f>
        <v>57</v>
      </c>
      <c r="S60" s="10" t="str">
        <f aca="false">IFERROR(IF([2]对账明细接口!$N60=0,"",[2]对账明细接口!$N60),"")</f>
        <v>公司杂周转筐</v>
      </c>
      <c r="T60" s="112" t="str">
        <f aca="false">IFERROR(IF([2]对账明细接口!$O60=0,"",[2]对账明细接口!$O60),"")</f>
        <v/>
      </c>
      <c r="U60" s="112" t="str">
        <f aca="false">IFERROR(IF([2]对账明细接口!$P60=0,"",[2]对账明细接口!$P60),"")</f>
        <v/>
      </c>
      <c r="V60" s="112" t="n">
        <f aca="false">IFERROR(IF([2]对账明细接口!$Q60=0,"",[2]对账明细接口!$Q60),"")</f>
        <v>20</v>
      </c>
      <c r="W60" s="10" t="str">
        <f aca="false">IFERROR(IF([2]对账明细接口!$R60=0,"",[2]对账明细接口!$R60),"")</f>
        <v>豫L*88X19</v>
      </c>
      <c r="X60" s="10" t="str">
        <f aca="false">IFERROR(IF([2]对账明细接口!$S60=0,"",[2]对账明细接口!$S60),"")</f>
        <v>公司筐</v>
      </c>
      <c r="Y60" s="10" t="str">
        <f aca="false">IFERROR(IF([2]对账明细接口!$T60=0,"",[2]对账明细接口!$T60),"")</f>
        <v/>
      </c>
      <c r="Z60" s="113" t="str">
        <f aca="false">IFERROR(IF([2]对账明细接口!$U60=0,"",[2]对账明细接口!$U60),"")</f>
        <v/>
      </c>
      <c r="AA60" s="113" t="str">
        <f aca="false">IFERROR(IF([2]对账明细接口!$V60=0,"",[2]对账明细接口!$V60),"")</f>
        <v/>
      </c>
      <c r="AB60" s="10" t="str">
        <f aca="false">IFERROR(IF([2]对账明细接口!$W60=0,"",[2]对账明细接口!$W60),"")</f>
        <v/>
      </c>
      <c r="AC60" s="90" t="str">
        <f aca="false">IFERROR(IF([2]对账明细接口!$X61=0,"",[2]对账明细接口!$X61),"")</f>
        <v/>
      </c>
      <c r="AD60" s="90" t="str">
        <f aca="false">IFERROR(IF([2]对账明细接口!$Y61=0,"",[2]对账明细接口!$Y61),"")</f>
        <v/>
      </c>
      <c r="AE60" s="90" t="str">
        <f aca="false">IFERROR(IF([2]对账明细接口!$AA61=0,"",[2]对账明细接口!$AA61),"")</f>
        <v/>
      </c>
      <c r="AF60" s="90" t="str">
        <f aca="false">IFERROR(IF([2]对账明细接口!$AB61=0,"",[2]对账明细接口!$AB61),"")</f>
        <v/>
      </c>
      <c r="AG60" s="90" t="str">
        <f aca="false">IFERROR(IF([2]对账明细接口!$AC61=0,"",[2]对账明细接口!$AC61),"")</f>
        <v/>
      </c>
      <c r="AH60" s="90" t="str">
        <f aca="false">IFERROR(IF([2]对账明细接口!$AD61=0,"",[2]对账明细接口!$AD61),"")</f>
        <v/>
      </c>
    </row>
    <row r="61" customFormat="false" ht="13.5" hidden="false" customHeight="false" outlineLevel="0" collapsed="false">
      <c r="A61" s="109" t="n">
        <v>61</v>
      </c>
      <c r="B61" s="110" t="n">
        <f aca="false">IFERROR(IF([2]对账明细接口!$B$61=0,"",[2]对账明细接口!$B$61),"")</f>
        <v>46263</v>
      </c>
      <c r="C61" s="59" t="str">
        <f aca="false">IFERROR(IF([2]对账明细接口!$C$61=0,"",[2]对账明细接口!$C$61),"")</f>
        <v>聂新平</v>
      </c>
      <c r="D61" s="59" t="str">
        <f aca="false">IFERROR(IF([2]对账明细接口!$D$61=0,"",[2]对账明细接口!$D$61),"")</f>
        <v>原料入库</v>
      </c>
      <c r="E61" s="59" t="str">
        <f aca="false">IFERROR(IF([2]对账明细接口!$E$61=0,"",[2]对账明细接口!$E$61),"")</f>
        <v>NO0000740</v>
      </c>
      <c r="F61" s="59" t="str">
        <f aca="false">IFERROR(IF([2]对账明细接口!$F$61=0,"",[2]对账明细接口!$F$61),"")</f>
        <v>苹果</v>
      </c>
      <c r="G61" s="59" t="str">
        <f aca="false">IFERROR(IF([2]对账明细接口!$G$61=0,"",[2]对账明细接口!$G$61),"")</f>
        <v>嘎啦85#</v>
      </c>
      <c r="H61" s="60" t="n">
        <f aca="false">IFERROR(IF([2]对账明细接口!$H$61=0,"",[2]对账明细接口!$H$61),"")</f>
        <v>22</v>
      </c>
      <c r="I61" s="59" t="str">
        <f aca="false">IFERROR(IF([2]对账明细接口!$I$61=0,"",[2]对账明细接口!$I$61),"")</f>
        <v>筐</v>
      </c>
      <c r="J61" s="61" t="n">
        <f aca="false">IFERROR(IF([2]对账明细接口!$J$61=0,"",[2]对账明细接口!$J$61),"")</f>
        <v>479.6</v>
      </c>
      <c r="K61" s="61" t="str">
        <f aca="false">IFERROR(IF([2]对账明细接口!$K$61=0,"",[2]对账明细接口!$K$61),"")</f>
        <v/>
      </c>
      <c r="L61" s="59" t="str">
        <f aca="false">IFERROR(IF([2]对账明细接口!$L$61=0,"",[2]对账明细接口!$L$61),"")</f>
        <v/>
      </c>
      <c r="M61" s="59" t="str">
        <f aca="false">IFERROR(IF([2]对账明细接口!$M$61=0,"",[2]对账明细接口!$M$61),"")</f>
        <v/>
      </c>
      <c r="N61" s="111" t="n">
        <f aca="false">IF($C61="",0,1)</f>
        <v>1</v>
      </c>
      <c r="O61" s="111" t="n">
        <f aca="false">N(O60)+$N61</f>
        <v>58</v>
      </c>
      <c r="S61" s="10" t="str">
        <f aca="false">IFERROR(IF([2]对账明细接口!$N61=0,"",[2]对账明细接口!$N61),"")</f>
        <v>自备一次性筐</v>
      </c>
      <c r="T61" s="112" t="str">
        <f aca="false">IFERROR(IF([2]对账明细接口!$O61=0,"",[2]对账明细接口!$O61),"")</f>
        <v/>
      </c>
      <c r="U61" s="112" t="str">
        <f aca="false">IFERROR(IF([2]对账明细接口!$P61=0,"",[2]对账明细接口!$P61),"")</f>
        <v/>
      </c>
      <c r="V61" s="112" t="n">
        <f aca="false">IFERROR(IF([2]对账明细接口!$Q61=0,"",[2]对账明细接口!$Q61),"")</f>
        <v>22</v>
      </c>
      <c r="W61" s="10" t="str">
        <f aca="false">IFERROR(IF([2]对账明细接口!$R61=0,"",[2]对账明细接口!$R61),"")</f>
        <v>新N*E3V16</v>
      </c>
      <c r="X61" s="10" t="str">
        <f aca="false">IFERROR(IF([2]对账明细接口!$S61=0,"",[2]对账明细接口!$S61),"")</f>
        <v>自备筐</v>
      </c>
      <c r="Y61" s="10" t="str">
        <f aca="false">IFERROR(IF([2]对账明细接口!$T61=0,"",[2]对账明细接口!$T61),"")</f>
        <v/>
      </c>
      <c r="Z61" s="113" t="str">
        <f aca="false">IFERROR(IF([2]对账明细接口!$U61=0,"",[2]对账明细接口!$U61),"")</f>
        <v/>
      </c>
      <c r="AA61" s="113" t="str">
        <f aca="false">IFERROR(IF([2]对账明细接口!$V61=0,"",[2]对账明细接口!$V61),"")</f>
        <v/>
      </c>
      <c r="AB61" s="10" t="str">
        <f aca="false">IFERROR(IF([2]对账明细接口!$W61=0,"",[2]对账明细接口!$W61),"")</f>
        <v/>
      </c>
      <c r="AC61" s="90" t="str">
        <f aca="false">IFERROR(IF([2]对账明细接口!$X62=0,"",[2]对账明细接口!$X62),"")</f>
        <v/>
      </c>
      <c r="AD61" s="90" t="str">
        <f aca="false">IFERROR(IF([2]对账明细接口!$Y62=0,"",[2]对账明细接口!$Y62),"")</f>
        <v/>
      </c>
      <c r="AE61" s="90" t="str">
        <f aca="false">IFERROR(IF([2]对账明细接口!$AA62=0,"",[2]对账明细接口!$AA62),"")</f>
        <v/>
      </c>
      <c r="AF61" s="90" t="str">
        <f aca="false">IFERROR(IF([2]对账明细接口!$AB62=0,"",[2]对账明细接口!$AB62),"")</f>
        <v/>
      </c>
      <c r="AG61" s="90" t="str">
        <f aca="false">IFERROR(IF([2]对账明细接口!$AC62=0,"",[2]对账明细接口!$AC62),"")</f>
        <v/>
      </c>
      <c r="AH61" s="90" t="str">
        <f aca="false">IFERROR(IF([2]对账明细接口!$AD62=0,"",[2]对账明细接口!$AD62),"")</f>
        <v/>
      </c>
    </row>
    <row r="62" customFormat="false" ht="13.5" hidden="false" customHeight="false" outlineLevel="0" collapsed="false">
      <c r="A62" s="109" t="n">
        <v>62</v>
      </c>
      <c r="B62" s="110" t="n">
        <f aca="false">IFERROR(IF([2]对账明细接口!$B$62=0,"",[2]对账明细接口!$B$62),"")</f>
        <v>46263</v>
      </c>
      <c r="C62" s="59" t="str">
        <f aca="false">IFERROR(IF([2]对账明细接口!$C$62=0,"",[2]对账明细接口!$C$62),"")</f>
        <v>聂新平</v>
      </c>
      <c r="D62" s="59" t="str">
        <f aca="false">IFERROR(IF([2]对账明细接口!$D$62=0,"",[2]对账明细接口!$D$62),"")</f>
        <v>原料入库</v>
      </c>
      <c r="E62" s="59" t="str">
        <f aca="false">IFERROR(IF([2]对账明细接口!$E$62=0,"",[2]对账明细接口!$E$62),"")</f>
        <v>NO0000740</v>
      </c>
      <c r="F62" s="59" t="str">
        <f aca="false">IFERROR(IF([2]对账明细接口!$F$62=0,"",[2]对账明细接口!$F$62),"")</f>
        <v>苹果</v>
      </c>
      <c r="G62" s="59" t="str">
        <f aca="false">IFERROR(IF([2]对账明细接口!$G$62=0,"",[2]对账明细接口!$G$62),"")</f>
        <v>嘎啦100#</v>
      </c>
      <c r="H62" s="60" t="n">
        <f aca="false">IFERROR(IF([2]对账明细接口!$H$62=0,"",[2]对账明细接口!$H$62),"")</f>
        <v>48</v>
      </c>
      <c r="I62" s="59" t="str">
        <f aca="false">IFERROR(IF([2]对账明细接口!$I$62=0,"",[2]对账明细接口!$I$62),"")</f>
        <v>筐</v>
      </c>
      <c r="J62" s="61" t="n">
        <f aca="false">IFERROR(IF([2]对账明细接口!$J$62=0,"",[2]对账明细接口!$J$62),"")</f>
        <v>1046.4</v>
      </c>
      <c r="K62" s="61" t="str">
        <f aca="false">IFERROR(IF([2]对账明细接口!$K$62=0,"",[2]对账明细接口!$K$62),"")</f>
        <v/>
      </c>
      <c r="L62" s="59" t="str">
        <f aca="false">IFERROR(IF([2]对账明细接口!$L$62=0,"",[2]对账明细接口!$L$62),"")</f>
        <v/>
      </c>
      <c r="M62" s="59" t="str">
        <f aca="false">IFERROR(IF([2]对账明细接口!$M$62=0,"",[2]对账明细接口!$M$62),"")</f>
        <v/>
      </c>
      <c r="N62" s="111" t="n">
        <f aca="false">IF($C62="",0,1)</f>
        <v>1</v>
      </c>
      <c r="O62" s="111" t="n">
        <f aca="false">N(O61)+$N62</f>
        <v>59</v>
      </c>
      <c r="S62" s="10" t="str">
        <f aca="false">IFERROR(IF([2]对账明细接口!$N62=0,"",[2]对账明细接口!$N62),"")</f>
        <v>自备一次性筐</v>
      </c>
      <c r="T62" s="112" t="str">
        <f aca="false">IFERROR(IF([2]对账明细接口!$O62=0,"",[2]对账明细接口!$O62),"")</f>
        <v/>
      </c>
      <c r="U62" s="112" t="str">
        <f aca="false">IFERROR(IF([2]对账明细接口!$P62=0,"",[2]对账明细接口!$P62),"")</f>
        <v/>
      </c>
      <c r="V62" s="112" t="n">
        <f aca="false">IFERROR(IF([2]对账明细接口!$Q62=0,"",[2]对账明细接口!$Q62),"")</f>
        <v>48</v>
      </c>
      <c r="W62" s="10" t="str">
        <f aca="false">IFERROR(IF([2]对账明细接口!$R62=0,"",[2]对账明细接口!$R62),"")</f>
        <v>新N*E3V16</v>
      </c>
      <c r="X62" s="10" t="str">
        <f aca="false">IFERROR(IF([2]对账明细接口!$S62=0,"",[2]对账明细接口!$S62),"")</f>
        <v>自备筐</v>
      </c>
      <c r="Y62" s="10" t="str">
        <f aca="false">IFERROR(IF([2]对账明细接口!$T62=0,"",[2]对账明细接口!$T62),"")</f>
        <v/>
      </c>
      <c r="Z62" s="113" t="str">
        <f aca="false">IFERROR(IF([2]对账明细接口!$U62=0,"",[2]对账明细接口!$U62),"")</f>
        <v/>
      </c>
      <c r="AA62" s="113" t="str">
        <f aca="false">IFERROR(IF([2]对账明细接口!$V62=0,"",[2]对账明细接口!$V62),"")</f>
        <v/>
      </c>
      <c r="AB62" s="10" t="str">
        <f aca="false">IFERROR(IF([2]对账明细接口!$W62=0,"",[2]对账明细接口!$W62),"")</f>
        <v/>
      </c>
      <c r="AC62" s="90" t="str">
        <f aca="false">IFERROR(IF([2]对账明细接口!$X63=0,"",[2]对账明细接口!$X63),"")</f>
        <v/>
      </c>
      <c r="AD62" s="90" t="str">
        <f aca="false">IFERROR(IF([2]对账明细接口!$Y63=0,"",[2]对账明细接口!$Y63),"")</f>
        <v/>
      </c>
      <c r="AE62" s="90" t="str">
        <f aca="false">IFERROR(IF([2]对账明细接口!$AA63=0,"",[2]对账明细接口!$AA63),"")</f>
        <v/>
      </c>
      <c r="AF62" s="90" t="str">
        <f aca="false">IFERROR(IF([2]对账明细接口!$AB63=0,"",[2]对账明细接口!$AB63),"")</f>
        <v/>
      </c>
      <c r="AG62" s="90" t="str">
        <f aca="false">IFERROR(IF([2]对账明细接口!$AC63=0,"",[2]对账明细接口!$AC63),"")</f>
        <v/>
      </c>
      <c r="AH62" s="90" t="str">
        <f aca="false">IFERROR(IF([2]对账明细接口!$AD63=0,"",[2]对账明细接口!$AD63),"")</f>
        <v/>
      </c>
    </row>
    <row r="63" customFormat="false" ht="13.5" hidden="false" customHeight="false" outlineLevel="0" collapsed="false">
      <c r="A63" s="109" t="n">
        <v>63</v>
      </c>
      <c r="B63" s="110" t="n">
        <f aca="false">IFERROR(IF([2]对账明细接口!$B$63=0,"",[2]对账明细接口!$B$63),"")</f>
        <v>46266</v>
      </c>
      <c r="C63" s="59" t="str">
        <f aca="false">IFERROR(IF([2]对账明细接口!$C$63=0,"",[2]对账明细接口!$C$63),"")</f>
        <v>聂新平</v>
      </c>
      <c r="D63" s="59" t="str">
        <f aca="false">IFERROR(IF([2]对账明细接口!$D$63=0,"",[2]对账明细接口!$D$63),"")</f>
        <v>原料入库</v>
      </c>
      <c r="E63" s="59" t="str">
        <f aca="false">IFERROR(IF([2]对账明细接口!$E$63=0,"",[2]对账明细接口!$E$63),"")</f>
        <v>NO0000741</v>
      </c>
      <c r="F63" s="59" t="str">
        <f aca="false">IFERROR(IF([2]对账明细接口!$F$63=0,"",[2]对账明细接口!$F$63),"")</f>
        <v>苹果</v>
      </c>
      <c r="G63" s="59" t="str">
        <f aca="false">IFERROR(IF([2]对账明细接口!$G$63=0,"",[2]对账明细接口!$G$63),"")</f>
        <v>嘎啦85#</v>
      </c>
      <c r="H63" s="60" t="n">
        <f aca="false">IFERROR(IF([2]对账明细接口!$H$63=0,"",[2]对账明细接口!$H$63),"")</f>
        <v>14</v>
      </c>
      <c r="I63" s="59" t="str">
        <f aca="false">IFERROR(IF([2]对账明细接口!$I$63=0,"",[2]对账明细接口!$I$63),"")</f>
        <v>筐</v>
      </c>
      <c r="J63" s="61" t="n">
        <f aca="false">IFERROR(IF([2]对账明细接口!$J$63=0,"",[2]对账明细接口!$J$63),"")</f>
        <v>305.2</v>
      </c>
      <c r="K63" s="61" t="str">
        <f aca="false">IFERROR(IF([2]对账明细接口!$K$63=0,"",[2]对账明细接口!$K$63),"")</f>
        <v/>
      </c>
      <c r="L63" s="59" t="str">
        <f aca="false">IFERROR(IF([2]对账明细接口!$L$63=0,"",[2]对账明细接口!$L$63),"")</f>
        <v/>
      </c>
      <c r="M63" s="59" t="str">
        <f aca="false">IFERROR(IF([2]对账明细接口!$M$63=0,"",[2]对账明细接口!$M$63),"")</f>
        <v/>
      </c>
      <c r="N63" s="111" t="n">
        <f aca="false">IF($C63="",0,1)</f>
        <v>1</v>
      </c>
      <c r="O63" s="111" t="n">
        <f aca="false">N(O62)+$N63</f>
        <v>60</v>
      </c>
      <c r="S63" s="10" t="str">
        <f aca="false">IFERROR(IF([2]对账明细接口!$N63=0,"",[2]对账明细接口!$N63),"")</f>
        <v>自备一次性筐</v>
      </c>
      <c r="T63" s="112" t="str">
        <f aca="false">IFERROR(IF([2]对账明细接口!$O63=0,"",[2]对账明细接口!$O63),"")</f>
        <v/>
      </c>
      <c r="U63" s="112" t="str">
        <f aca="false">IFERROR(IF([2]对账明细接口!$P63=0,"",[2]对账明细接口!$P63),"")</f>
        <v/>
      </c>
      <c r="V63" s="112" t="n">
        <f aca="false">IFERROR(IF([2]对账明细接口!$Q63=0,"",[2]对账明细接口!$Q63),"")</f>
        <v>14</v>
      </c>
      <c r="W63" s="10" t="str">
        <f aca="false">IFERROR(IF([2]对账明细接口!$R63=0,"",[2]对账明细接口!$R63),"")</f>
        <v>苏M*7G796</v>
      </c>
      <c r="X63" s="10" t="str">
        <f aca="false">IFERROR(IF([2]对账明细接口!$S63=0,"",[2]对账明细接口!$S63),"")</f>
        <v>自备筐</v>
      </c>
      <c r="Y63" s="10" t="str">
        <f aca="false">IFERROR(IF([2]对账明细接口!$T63=0,"",[2]对账明细接口!$T63),"")</f>
        <v/>
      </c>
      <c r="Z63" s="113" t="str">
        <f aca="false">IFERROR(IF([2]对账明细接口!$U63=0,"",[2]对账明细接口!$U63),"")</f>
        <v/>
      </c>
      <c r="AA63" s="113" t="str">
        <f aca="false">IFERROR(IF([2]对账明细接口!$V63=0,"",[2]对账明细接口!$V63),"")</f>
        <v/>
      </c>
      <c r="AB63" s="10" t="str">
        <f aca="false">IFERROR(IF([2]对账明细接口!$W63=0,"",[2]对账明细接口!$W63),"")</f>
        <v/>
      </c>
      <c r="AC63" s="90" t="str">
        <f aca="false">IFERROR(IF([2]对账明细接口!$X64=0,"",[2]对账明细接口!$X64),"")</f>
        <v/>
      </c>
      <c r="AD63" s="90" t="str">
        <f aca="false">IFERROR(IF([2]对账明细接口!$Y64=0,"",[2]对账明细接口!$Y64),"")</f>
        <v/>
      </c>
      <c r="AE63" s="90" t="str">
        <f aca="false">IFERROR(IF([2]对账明细接口!$AA64=0,"",[2]对账明细接口!$AA64),"")</f>
        <v/>
      </c>
      <c r="AF63" s="90" t="str">
        <f aca="false">IFERROR(IF([2]对账明细接口!$AB64=0,"",[2]对账明细接口!$AB64),"")</f>
        <v/>
      </c>
      <c r="AG63" s="90" t="str">
        <f aca="false">IFERROR(IF([2]对账明细接口!$AC64=0,"",[2]对账明细接口!$AC64),"")</f>
        <v/>
      </c>
      <c r="AH63" s="90" t="str">
        <f aca="false">IFERROR(IF([2]对账明细接口!$AD64=0,"",[2]对账明细接口!$AD64),"")</f>
        <v/>
      </c>
    </row>
    <row r="64" customFormat="false" ht="13.5" hidden="false" customHeight="false" outlineLevel="0" collapsed="false">
      <c r="A64" s="109" t="n">
        <v>64</v>
      </c>
      <c r="B64" s="110" t="n">
        <f aca="false">IFERROR(IF([2]对账明细接口!$B$64=0,"",[2]对账明细接口!$B$64),"")</f>
        <v>46266</v>
      </c>
      <c r="C64" s="59" t="str">
        <f aca="false">IFERROR(IF([2]对账明细接口!$C$64=0,"",[2]对账明细接口!$C$64),"")</f>
        <v>王照雪</v>
      </c>
      <c r="D64" s="59" t="str">
        <f aca="false">IFERROR(IF([2]对账明细接口!$D$64=0,"",[2]对账明细接口!$D$64),"")</f>
        <v>原料入库</v>
      </c>
      <c r="E64" s="59" t="str">
        <f aca="false">IFERROR(IF([2]对账明细接口!$E$64=0,"",[2]对账明细接口!$E$64),"")</f>
        <v>NO0000742</v>
      </c>
      <c r="F64" s="59" t="str">
        <f aca="false">IFERROR(IF([2]对账明细接口!$F$64=0,"",[2]对账明细接口!$F$64),"")</f>
        <v>苹果</v>
      </c>
      <c r="G64" s="59" t="str">
        <f aca="false">IFERROR(IF([2]对账明细接口!$G$64=0,"",[2]对账明细接口!$G$64),"")</f>
        <v>华硕一级</v>
      </c>
      <c r="H64" s="60" t="n">
        <f aca="false">IFERROR(IF([2]对账明细接口!$H$64=0,"",[2]对账明细接口!$H$64),"")</f>
        <v>13</v>
      </c>
      <c r="I64" s="59" t="str">
        <f aca="false">IFERROR(IF([2]对账明细接口!$I$64=0,"",[2]对账明细接口!$I$64),"")</f>
        <v>筐</v>
      </c>
      <c r="J64" s="61" t="n">
        <f aca="false">IFERROR(IF([2]对账明细接口!$J$64=0,"",[2]对账明细接口!$J$64),"")</f>
        <v>224.9</v>
      </c>
      <c r="K64" s="61" t="str">
        <f aca="false">IFERROR(IF([2]对账明细接口!$K$64=0,"",[2]对账明细接口!$K$64),"")</f>
        <v/>
      </c>
      <c r="L64" s="59" t="str">
        <f aca="false">IFERROR(IF([2]对账明细接口!$L$64=0,"",[2]对账明细接口!$L$64),"")</f>
        <v/>
      </c>
      <c r="M64" s="59" t="str">
        <f aca="false">IFERROR(IF([2]对账明细接口!$M$64=0,"",[2]对账明细接口!$M$64),"")</f>
        <v/>
      </c>
      <c r="N64" s="111" t="n">
        <f aca="false">IF($C64="",0,1)</f>
        <v>1</v>
      </c>
      <c r="O64" s="111" t="n">
        <f aca="false">N(O63)+$N64</f>
        <v>61</v>
      </c>
      <c r="S64" s="10" t="str">
        <f aca="false">IFERROR(IF([2]对账明细接口!$N64=0,"",[2]对账明细接口!$N64),"")</f>
        <v>公司杂周转筐</v>
      </c>
      <c r="T64" s="112" t="str">
        <f aca="false">IFERROR(IF([2]对账明细接口!$O64=0,"",[2]对账明细接口!$O64),"")</f>
        <v/>
      </c>
      <c r="U64" s="112" t="str">
        <f aca="false">IFERROR(IF([2]对账明细接口!$P64=0,"",[2]对账明细接口!$P64),"")</f>
        <v/>
      </c>
      <c r="V64" s="112" t="n">
        <f aca="false">IFERROR(IF([2]对账明细接口!$Q64=0,"",[2]对账明细接口!$Q64),"")</f>
        <v>13</v>
      </c>
      <c r="W64" s="10" t="str">
        <f aca="false">IFERROR(IF([2]对账明细接口!$R64=0,"",[2]对账明细接口!$R64),"")</f>
        <v>新N*D1W48</v>
      </c>
      <c r="X64" s="10" t="str">
        <f aca="false">IFERROR(IF([2]对账明细接口!$S64=0,"",[2]对账明细接口!$S64),"")</f>
        <v>公司筐</v>
      </c>
      <c r="Y64" s="10" t="str">
        <f aca="false">IFERROR(IF([2]对账明细接口!$T64=0,"",[2]对账明细接口!$T64),"")</f>
        <v/>
      </c>
      <c r="Z64" s="113" t="str">
        <f aca="false">IFERROR(IF([2]对账明细接口!$U64=0,"",[2]对账明细接口!$U64),"")</f>
        <v/>
      </c>
      <c r="AA64" s="113" t="str">
        <f aca="false">IFERROR(IF([2]对账明细接口!$V64=0,"",[2]对账明细接口!$V64),"")</f>
        <v/>
      </c>
      <c r="AB64" s="10" t="str">
        <f aca="false">IFERROR(IF([2]对账明细接口!$W64=0,"",[2]对账明细接口!$W64),"")</f>
        <v/>
      </c>
      <c r="AC64" s="90" t="str">
        <f aca="false">IFERROR(IF([2]对账明细接口!$X65=0,"",[2]对账明细接口!$X65),"")</f>
        <v/>
      </c>
      <c r="AD64" s="90" t="str">
        <f aca="false">IFERROR(IF([2]对账明细接口!$Y65=0,"",[2]对账明细接口!$Y65),"")</f>
        <v/>
      </c>
      <c r="AE64" s="90" t="str">
        <f aca="false">IFERROR(IF([2]对账明细接口!$AA65=0,"",[2]对账明细接口!$AA65),"")</f>
        <v/>
      </c>
      <c r="AF64" s="90" t="str">
        <f aca="false">IFERROR(IF([2]对账明细接口!$AB65=0,"",[2]对账明细接口!$AB65),"")</f>
        <v/>
      </c>
      <c r="AG64" s="90" t="str">
        <f aca="false">IFERROR(IF([2]对账明细接口!$AC65=0,"",[2]对账明细接口!$AC65),"")</f>
        <v/>
      </c>
      <c r="AH64" s="90" t="str">
        <f aca="false">IFERROR(IF([2]对账明细接口!$AD65=0,"",[2]对账明细接口!$AD65),"")</f>
        <v/>
      </c>
    </row>
    <row r="65" customFormat="false" ht="13.5" hidden="false" customHeight="false" outlineLevel="0" collapsed="false">
      <c r="A65" s="109" t="n">
        <v>65</v>
      </c>
      <c r="B65" s="110" t="n">
        <f aca="false">IFERROR(IF([2]对账明细接口!$B$65=0,"",[2]对账明细接口!$B$65),"")</f>
        <v>46266</v>
      </c>
      <c r="C65" s="59" t="str">
        <f aca="false">IFERROR(IF([2]对账明细接口!$C$65=0,"",[2]对账明细接口!$C$65),"")</f>
        <v>王照雪</v>
      </c>
      <c r="D65" s="59" t="str">
        <f aca="false">IFERROR(IF([2]对账明细接口!$D$65=0,"",[2]对账明细接口!$D$65),"")</f>
        <v>原料入库</v>
      </c>
      <c r="E65" s="59" t="str">
        <f aca="false">IFERROR(IF([2]对账明细接口!$E$65=0,"",[2]对账明细接口!$E$65),"")</f>
        <v>NO0000742</v>
      </c>
      <c r="F65" s="59" t="str">
        <f aca="false">IFERROR(IF([2]对账明细接口!$F$65=0,"",[2]对账明细接口!$F$65),"")</f>
        <v>苹果</v>
      </c>
      <c r="G65" s="59" t="str">
        <f aca="false">IFERROR(IF([2]对账明细接口!$G$65=0,"",[2]对账明细接口!$G$65),"")</f>
        <v>华硕二级</v>
      </c>
      <c r="H65" s="60" t="n">
        <f aca="false">IFERROR(IF([2]对账明细接口!$H$65=0,"",[2]对账明细接口!$H$65),"")</f>
        <v>27</v>
      </c>
      <c r="I65" s="59" t="str">
        <f aca="false">IFERROR(IF([2]对账明细接口!$I$65=0,"",[2]对账明细接口!$I$65),"")</f>
        <v>筐</v>
      </c>
      <c r="J65" s="61" t="n">
        <f aca="false">IFERROR(IF([2]对账明细接口!$J$65=0,"",[2]对账明细接口!$J$65),"")</f>
        <v>440.1</v>
      </c>
      <c r="K65" s="61" t="str">
        <f aca="false">IFERROR(IF([2]对账明细接口!$K$65=0,"",[2]对账明细接口!$K$65),"")</f>
        <v/>
      </c>
      <c r="L65" s="59" t="str">
        <f aca="false">IFERROR(IF([2]对账明细接口!$L$65=0,"",[2]对账明细接口!$L$65),"")</f>
        <v/>
      </c>
      <c r="M65" s="59" t="str">
        <f aca="false">IFERROR(IF([2]对账明细接口!$M$65=0,"",[2]对账明细接口!$M$65),"")</f>
        <v/>
      </c>
      <c r="N65" s="111" t="n">
        <f aca="false">IF($C65="",0,1)</f>
        <v>1</v>
      </c>
      <c r="O65" s="111" t="n">
        <f aca="false">N(O64)+$N65</f>
        <v>62</v>
      </c>
      <c r="S65" s="10" t="str">
        <f aca="false">IFERROR(IF([2]对账明细接口!$N65=0,"",[2]对账明细接口!$N65),"")</f>
        <v>公司杂周转筐</v>
      </c>
      <c r="T65" s="112" t="str">
        <f aca="false">IFERROR(IF([2]对账明细接口!$O65=0,"",[2]对账明细接口!$O65),"")</f>
        <v/>
      </c>
      <c r="U65" s="112" t="str">
        <f aca="false">IFERROR(IF([2]对账明细接口!$P65=0,"",[2]对账明细接口!$P65),"")</f>
        <v/>
      </c>
      <c r="V65" s="112" t="n">
        <f aca="false">IFERROR(IF([2]对账明细接口!$Q65=0,"",[2]对账明细接口!$Q65),"")</f>
        <v>27</v>
      </c>
      <c r="W65" s="10" t="str">
        <f aca="false">IFERROR(IF([2]对账明细接口!$R65=0,"",[2]对账明细接口!$R65),"")</f>
        <v>新N*D1W48</v>
      </c>
      <c r="X65" s="10" t="str">
        <f aca="false">IFERROR(IF([2]对账明细接口!$S65=0,"",[2]对账明细接口!$S65),"")</f>
        <v>公司筐</v>
      </c>
      <c r="Y65" s="10" t="str">
        <f aca="false">IFERROR(IF([2]对账明细接口!$T65=0,"",[2]对账明细接口!$T65),"")</f>
        <v/>
      </c>
      <c r="Z65" s="113" t="str">
        <f aca="false">IFERROR(IF([2]对账明细接口!$U65=0,"",[2]对账明细接口!$U65),"")</f>
        <v/>
      </c>
      <c r="AA65" s="113" t="str">
        <f aca="false">IFERROR(IF([2]对账明细接口!$V65=0,"",[2]对账明细接口!$V65),"")</f>
        <v/>
      </c>
      <c r="AB65" s="10" t="str">
        <f aca="false">IFERROR(IF([2]对账明细接口!$W65=0,"",[2]对账明细接口!$W65),"")</f>
        <v/>
      </c>
      <c r="AC65" s="90" t="str">
        <f aca="false">IFERROR(IF([2]对账明细接口!$X66=0,"",[2]对账明细接口!$X66),"")</f>
        <v/>
      </c>
      <c r="AD65" s="90" t="str">
        <f aca="false">IFERROR(IF([2]对账明细接口!$Y66=0,"",[2]对账明细接口!$Y66),"")</f>
        <v/>
      </c>
      <c r="AE65" s="90" t="str">
        <f aca="false">IFERROR(IF([2]对账明细接口!$AA66=0,"",[2]对账明细接口!$AA66),"")</f>
        <v/>
      </c>
      <c r="AF65" s="90" t="str">
        <f aca="false">IFERROR(IF([2]对账明细接口!$AB66=0,"",[2]对账明细接口!$AB66),"")</f>
        <v/>
      </c>
      <c r="AG65" s="90" t="str">
        <f aca="false">IFERROR(IF([2]对账明细接口!$AC66=0,"",[2]对账明细接口!$AC66),"")</f>
        <v/>
      </c>
      <c r="AH65" s="90" t="str">
        <f aca="false">IFERROR(IF([2]对账明细接口!$AD66=0,"",[2]对账明细接口!$AD66),"")</f>
        <v/>
      </c>
    </row>
    <row r="66" customFormat="false" ht="13.5" hidden="false" customHeight="false" outlineLevel="0" collapsed="false">
      <c r="A66" s="109" t="n">
        <v>66</v>
      </c>
      <c r="B66" s="110" t="n">
        <f aca="false">IFERROR(IF([2]对账明细接口!$B$66=0,"",[2]对账明细接口!$B$66),"")</f>
        <v>46266</v>
      </c>
      <c r="C66" s="59" t="str">
        <f aca="false">IFERROR(IF([2]对账明细接口!$C$66=0,"",[2]对账明细接口!$C$66),"")</f>
        <v>王照雪</v>
      </c>
      <c r="D66" s="59" t="str">
        <f aca="false">IFERROR(IF([2]对账明细接口!$D$66=0,"",[2]对账明细接口!$D$66),"")</f>
        <v>原料入库</v>
      </c>
      <c r="E66" s="59" t="str">
        <f aca="false">IFERROR(IF([2]对账明细接口!$E$66=0,"",[2]对账明细接口!$E$66),"")</f>
        <v>NO0000742</v>
      </c>
      <c r="F66" s="59" t="str">
        <f aca="false">IFERROR(IF([2]对账明细接口!$F$66=0,"",[2]对账明细接口!$F$66),"")</f>
        <v>苹果</v>
      </c>
      <c r="G66" s="59" t="str">
        <f aca="false">IFERROR(IF([2]对账明细接口!$G$66=0,"",[2]对账明细接口!$G$66),"")</f>
        <v>华硕高次</v>
      </c>
      <c r="H66" s="60" t="n">
        <f aca="false">IFERROR(IF([2]对账明细接口!$H$66=0,"",[2]对账明细接口!$H$66),"")</f>
        <v>13</v>
      </c>
      <c r="I66" s="59" t="str">
        <f aca="false">IFERROR(IF([2]对账明细接口!$I$66=0,"",[2]对账明细接口!$I$66),"")</f>
        <v>筐</v>
      </c>
      <c r="J66" s="61" t="n">
        <f aca="false">IFERROR(IF([2]对账明细接口!$J$66=0,"",[2]对账明细接口!$J$66),"")</f>
        <v>224.9</v>
      </c>
      <c r="K66" s="61" t="str">
        <f aca="false">IFERROR(IF([2]对账明细接口!$K$66=0,"",[2]对账明细接口!$K$66),"")</f>
        <v/>
      </c>
      <c r="L66" s="59" t="str">
        <f aca="false">IFERROR(IF([2]对账明细接口!$L$66=0,"",[2]对账明细接口!$L$66),"")</f>
        <v/>
      </c>
      <c r="M66" s="59" t="str">
        <f aca="false">IFERROR(IF([2]对账明细接口!$M$66=0,"",[2]对账明细接口!$M$66),"")</f>
        <v/>
      </c>
      <c r="N66" s="111" t="n">
        <f aca="false">IF($C66="",0,1)</f>
        <v>1</v>
      </c>
      <c r="O66" s="111" t="n">
        <f aca="false">N(O65)+$N66</f>
        <v>63</v>
      </c>
      <c r="S66" s="10" t="str">
        <f aca="false">IFERROR(IF([2]对账明细接口!$N66=0,"",[2]对账明细接口!$N66),"")</f>
        <v>公司杂周转筐</v>
      </c>
      <c r="T66" s="112" t="str">
        <f aca="false">IFERROR(IF([2]对账明细接口!$O66=0,"",[2]对账明细接口!$O66),"")</f>
        <v/>
      </c>
      <c r="U66" s="112" t="str">
        <f aca="false">IFERROR(IF([2]对账明细接口!$P66=0,"",[2]对账明细接口!$P66),"")</f>
        <v/>
      </c>
      <c r="V66" s="112" t="n">
        <f aca="false">IFERROR(IF([2]对账明细接口!$Q66=0,"",[2]对账明细接口!$Q66),"")</f>
        <v>13</v>
      </c>
      <c r="W66" s="10" t="str">
        <f aca="false">IFERROR(IF([2]对账明细接口!$R66=0,"",[2]对账明细接口!$R66),"")</f>
        <v>新N*D1W48</v>
      </c>
      <c r="X66" s="10" t="str">
        <f aca="false">IFERROR(IF([2]对账明细接口!$S66=0,"",[2]对账明细接口!$S66),"")</f>
        <v>公司筐</v>
      </c>
      <c r="Y66" s="10" t="str">
        <f aca="false">IFERROR(IF([2]对账明细接口!$T66=0,"",[2]对账明细接口!$T66),"")</f>
        <v/>
      </c>
      <c r="Z66" s="113" t="str">
        <f aca="false">IFERROR(IF([2]对账明细接口!$U66=0,"",[2]对账明细接口!$U66),"")</f>
        <v/>
      </c>
      <c r="AA66" s="113" t="str">
        <f aca="false">IFERROR(IF([2]对账明细接口!$V66=0,"",[2]对账明细接口!$V66),"")</f>
        <v/>
      </c>
      <c r="AB66" s="10" t="str">
        <f aca="false">IFERROR(IF([2]对账明细接口!$W66=0,"",[2]对账明细接口!$W66),"")</f>
        <v/>
      </c>
      <c r="AC66" s="90" t="str">
        <f aca="false">IFERROR(IF([2]对账明细接口!$X67=0,"",[2]对账明细接口!$X67),"")</f>
        <v/>
      </c>
      <c r="AD66" s="90" t="str">
        <f aca="false">IFERROR(IF([2]对账明细接口!$Y67=0,"",[2]对账明细接口!$Y67),"")</f>
        <v/>
      </c>
      <c r="AE66" s="90" t="str">
        <f aca="false">IFERROR(IF([2]对账明细接口!$AA67=0,"",[2]对账明细接口!$AA67),"")</f>
        <v/>
      </c>
      <c r="AF66" s="90" t="str">
        <f aca="false">IFERROR(IF([2]对账明细接口!$AB67=0,"",[2]对账明细接口!$AB67),"")</f>
        <v/>
      </c>
      <c r="AG66" s="90" t="str">
        <f aca="false">IFERROR(IF([2]对账明细接口!$AC67=0,"",[2]对账明细接口!$AC67),"")</f>
        <v/>
      </c>
      <c r="AH66" s="90" t="str">
        <f aca="false">IFERROR(IF([2]对账明细接口!$AD67=0,"",[2]对账明细接口!$AD67),"")</f>
        <v/>
      </c>
    </row>
    <row r="67" customFormat="false" ht="13.5" hidden="false" customHeight="false" outlineLevel="0" collapsed="false">
      <c r="A67" s="109" t="n">
        <v>67</v>
      </c>
      <c r="B67" s="110" t="n">
        <f aca="false">IFERROR(IF([2]对账明细接口!$B$67=0,"",[2]对账明细接口!$B$67),"")</f>
        <v>46252</v>
      </c>
      <c r="C67" s="59" t="str">
        <f aca="false">IFERROR(IF([2]对账明细接口!$C$67=0,"",[2]对账明细接口!$C$67),"")</f>
        <v>聂新平</v>
      </c>
      <c r="D67" s="59" t="str">
        <f aca="false">IFERROR(IF([2]对账明细接口!$D$67=0,"",[2]对账明细接口!$D$67),"")</f>
        <v>原料入库</v>
      </c>
      <c r="E67" s="59" t="str">
        <f aca="false">IFERROR(IF([2]对账明细接口!$E$67=0,"",[2]对账明细接口!$E$67),"")</f>
        <v>NO:0000775</v>
      </c>
      <c r="F67" s="59" t="str">
        <f aca="false">IFERROR(IF([2]对账明细接口!$F$67=0,"",[2]对账明细接口!$F$67),"")</f>
        <v>西梅</v>
      </c>
      <c r="G67" s="59" t="str">
        <f aca="false">IFERROR(IF([2]对账明细接口!$G$67=0,"",[2]对账明细接口!$G$67),"")</f>
        <v>西梅二级</v>
      </c>
      <c r="H67" s="60" t="n">
        <f aca="false">IFERROR(IF([2]对账明细接口!$H$67=0,"",[2]对账明细接口!$H$67),"")</f>
        <v>336</v>
      </c>
      <c r="I67" s="59" t="str">
        <f aca="false">IFERROR(IF([2]对账明细接口!$I$67=0,"",[2]对账明细接口!$I$67),"")</f>
        <v>筐</v>
      </c>
      <c r="J67" s="61" t="n">
        <f aca="false">IFERROR(IF([2]对账明细接口!$J$67=0,"",[2]对账明细接口!$J$67),"")</f>
        <v>672</v>
      </c>
      <c r="K67" s="61" t="str">
        <f aca="false">IFERROR(IF([2]对账明细接口!$K$67=0,"",[2]对账明细接口!$K$67),"")</f>
        <v/>
      </c>
      <c r="L67" s="59" t="str">
        <f aca="false">IFERROR(IF([2]对账明细接口!$L$67=0,"",[2]对账明细接口!$L$67),"")</f>
        <v/>
      </c>
      <c r="M67" s="59" t="str">
        <f aca="false">IFERROR(IF([2]对账明细接口!$M$67=0,"",[2]对账明细接口!$M$67),"")</f>
        <v/>
      </c>
      <c r="N67" s="111" t="n">
        <f aca="false">IF($C67="",0,1)</f>
        <v>1</v>
      </c>
      <c r="O67" s="111" t="n">
        <f aca="false">N(O66)+$N67</f>
        <v>64</v>
      </c>
      <c r="S67" s="10" t="str">
        <f aca="false">IFERROR(IF([2]对账明细接口!$N67=0,"",[2]对账明细接口!$N67),"")</f>
        <v>自备一次性筐</v>
      </c>
      <c r="T67" s="112" t="str">
        <f aca="false">IFERROR(IF([2]对账明细接口!$O67=0,"",[2]对账明细接口!$O67),"")</f>
        <v/>
      </c>
      <c r="U67" s="112" t="str">
        <f aca="false">IFERROR(IF([2]对账明细接口!$P67=0,"",[2]对账明细接口!$P67),"")</f>
        <v/>
      </c>
      <c r="V67" s="112" t="n">
        <f aca="false">IFERROR(IF([2]对账明细接口!$Q67=0,"",[2]对账明细接口!$Q67),"")</f>
        <v>336</v>
      </c>
      <c r="W67" s="10" t="str">
        <f aca="false">IFERROR(IF([2]对账明细接口!$R67=0,"",[2]对账明细接口!$R67),"")</f>
        <v>苏M*7G796</v>
      </c>
      <c r="X67" s="10" t="str">
        <f aca="false">IFERROR(IF([2]对账明细接口!$S67=0,"",[2]对账明细接口!$S67),"")</f>
        <v>自备筐</v>
      </c>
      <c r="Y67" s="10" t="str">
        <f aca="false">IFERROR(IF([2]对账明细接口!$T67=0,"",[2]对账明细接口!$T67),"")</f>
        <v/>
      </c>
      <c r="Z67" s="113" t="str">
        <f aca="false">IFERROR(IF([2]对账明细接口!$U67=0,"",[2]对账明细接口!$U67),"")</f>
        <v/>
      </c>
      <c r="AA67" s="113" t="str">
        <f aca="false">IFERROR(IF([2]对账明细接口!$V67=0,"",[2]对账明细接口!$V67),"")</f>
        <v/>
      </c>
      <c r="AB67" s="10" t="str">
        <f aca="false">IFERROR(IF([2]对账明细接口!$W67=0,"",[2]对账明细接口!$W67),"")</f>
        <v/>
      </c>
      <c r="AC67" s="90" t="str">
        <f aca="false">IFERROR(IF([2]对账明细接口!$X68=0,"",[2]对账明细接口!$X68),"")</f>
        <v/>
      </c>
      <c r="AD67" s="90" t="str">
        <f aca="false">IFERROR(IF([2]对账明细接口!$Y68=0,"",[2]对账明细接口!$Y68),"")</f>
        <v/>
      </c>
      <c r="AE67" s="90" t="str">
        <f aca="false">IFERROR(IF([2]对账明细接口!$AA68=0,"",[2]对账明细接口!$AA68),"")</f>
        <v/>
      </c>
      <c r="AF67" s="90" t="str">
        <f aca="false">IFERROR(IF([2]对账明细接口!$AB68=0,"",[2]对账明细接口!$AB68),"")</f>
        <v/>
      </c>
      <c r="AG67" s="90" t="str">
        <f aca="false">IFERROR(IF([2]对账明细接口!$AC68=0,"",[2]对账明细接口!$AC68),"")</f>
        <v/>
      </c>
      <c r="AH67" s="90" t="str">
        <f aca="false">IFERROR(IF([2]对账明细接口!$AD68=0,"",[2]对账明细接口!$AD68),"")</f>
        <v/>
      </c>
    </row>
    <row r="68" customFormat="false" ht="13.5" hidden="false" customHeight="false" outlineLevel="0" collapsed="false">
      <c r="A68" s="109" t="n">
        <v>68</v>
      </c>
      <c r="B68" s="110" t="n">
        <f aca="false">IFERROR(IF([2]对账明细接口!$B$68=0,"",[2]对账明细接口!$B$68),"")</f>
        <v>46252</v>
      </c>
      <c r="C68" s="59" t="str">
        <f aca="false">IFERROR(IF([2]对账明细接口!$C$68=0,"",[2]对账明细接口!$C$68),"")</f>
        <v>聂新平</v>
      </c>
      <c r="D68" s="59" t="str">
        <f aca="false">IFERROR(IF([2]对账明细接口!$D$68=0,"",[2]对账明细接口!$D$68),"")</f>
        <v>原料入库</v>
      </c>
      <c r="E68" s="59" t="str">
        <f aca="false">IFERROR(IF([2]对账明细接口!$E$68=0,"",[2]对账明细接口!$E$68),"")</f>
        <v>NO:0000775</v>
      </c>
      <c r="F68" s="59" t="str">
        <f aca="false">IFERROR(IF([2]对账明细接口!$F$68=0,"",[2]对账明细接口!$F$68),"")</f>
        <v>西梅</v>
      </c>
      <c r="G68" s="59" t="str">
        <f aca="false">IFERROR(IF([2]对账明细接口!$G$68=0,"",[2]对账明细接口!$G$68),"")</f>
        <v>西梅三级</v>
      </c>
      <c r="H68" s="60" t="n">
        <f aca="false">IFERROR(IF([2]对账明细接口!$H$68=0,"",[2]对账明细接口!$H$68),"")</f>
        <v>96</v>
      </c>
      <c r="I68" s="59" t="str">
        <f aca="false">IFERROR(IF([2]对账明细接口!$I$68=0,"",[2]对账明细接口!$I$68),"")</f>
        <v>筐</v>
      </c>
      <c r="J68" s="61" t="n">
        <f aca="false">IFERROR(IF([2]对账明细接口!$J$68=0,"",[2]对账明细接口!$J$68),"")</f>
        <v>192</v>
      </c>
      <c r="K68" s="61" t="str">
        <f aca="false">IFERROR(IF([2]对账明细接口!$K$68=0,"",[2]对账明细接口!$K$68),"")</f>
        <v/>
      </c>
      <c r="L68" s="59" t="str">
        <f aca="false">IFERROR(IF([2]对账明细接口!$L$68=0,"",[2]对账明细接口!$L$68),"")</f>
        <v/>
      </c>
      <c r="M68" s="59" t="str">
        <f aca="false">IFERROR(IF([2]对账明细接口!$M$68=0,"",[2]对账明细接口!$M$68),"")</f>
        <v/>
      </c>
      <c r="N68" s="111" t="n">
        <f aca="false">IF($C68="",0,1)</f>
        <v>1</v>
      </c>
      <c r="O68" s="111" t="n">
        <f aca="false">N(O67)+$N68</f>
        <v>65</v>
      </c>
      <c r="S68" s="10" t="str">
        <f aca="false">IFERROR(IF([2]对账明细接口!$N68=0,"",[2]对账明细接口!$N68),"")</f>
        <v>自备一次性筐</v>
      </c>
      <c r="T68" s="112" t="str">
        <f aca="false">IFERROR(IF([2]对账明细接口!$O68=0,"",[2]对账明细接口!$O68),"")</f>
        <v/>
      </c>
      <c r="U68" s="112" t="str">
        <f aca="false">IFERROR(IF([2]对账明细接口!$P68=0,"",[2]对账明细接口!$P68),"")</f>
        <v/>
      </c>
      <c r="V68" s="112" t="n">
        <f aca="false">IFERROR(IF([2]对账明细接口!$Q68=0,"",[2]对账明细接口!$Q68),"")</f>
        <v>96</v>
      </c>
      <c r="W68" s="10" t="str">
        <f aca="false">IFERROR(IF([2]对账明细接口!$R68=0,"",[2]对账明细接口!$R68),"")</f>
        <v>苏M*7G796</v>
      </c>
      <c r="X68" s="10" t="str">
        <f aca="false">IFERROR(IF([2]对账明细接口!$S68=0,"",[2]对账明细接口!$S68),"")</f>
        <v>自备筐</v>
      </c>
      <c r="Y68" s="10" t="str">
        <f aca="false">IFERROR(IF([2]对账明细接口!$T68=0,"",[2]对账明细接口!$T68),"")</f>
        <v/>
      </c>
      <c r="Z68" s="113" t="str">
        <f aca="false">IFERROR(IF([2]对账明细接口!$U68=0,"",[2]对账明细接口!$U68),"")</f>
        <v/>
      </c>
      <c r="AA68" s="113" t="str">
        <f aca="false">IFERROR(IF([2]对账明细接口!$V68=0,"",[2]对账明细接口!$V68),"")</f>
        <v/>
      </c>
      <c r="AB68" s="10" t="str">
        <f aca="false">IFERROR(IF([2]对账明细接口!$W68=0,"",[2]对账明细接口!$W68),"")</f>
        <v/>
      </c>
      <c r="AC68" s="90" t="str">
        <f aca="false">IFERROR(IF([2]对账明细接口!$X69=0,"",[2]对账明细接口!$X69),"")</f>
        <v/>
      </c>
      <c r="AD68" s="90" t="str">
        <f aca="false">IFERROR(IF([2]对账明细接口!$Y69=0,"",[2]对账明细接口!$Y69),"")</f>
        <v/>
      </c>
      <c r="AE68" s="90" t="str">
        <f aca="false">IFERROR(IF([2]对账明细接口!$AA69=0,"",[2]对账明细接口!$AA69),"")</f>
        <v/>
      </c>
      <c r="AF68" s="90" t="str">
        <f aca="false">IFERROR(IF([2]对账明细接口!$AB69=0,"",[2]对账明细接口!$AB69),"")</f>
        <v/>
      </c>
      <c r="AG68" s="90" t="str">
        <f aca="false">IFERROR(IF([2]对账明细接口!$AC69=0,"",[2]对账明细接口!$AC69),"")</f>
        <v/>
      </c>
      <c r="AH68" s="90" t="str">
        <f aca="false">IFERROR(IF([2]对账明细接口!$AD69=0,"",[2]对账明细接口!$AD69),"")</f>
        <v/>
      </c>
    </row>
    <row r="69" customFormat="false" ht="13.5" hidden="false" customHeight="false" outlineLevel="0" collapsed="false">
      <c r="A69" s="109" t="n">
        <v>69</v>
      </c>
      <c r="B69" s="110" t="n">
        <f aca="false">IFERROR(IF([2]对账明细接口!$B$69=0,"",[2]对账明细接口!$B$69),"")</f>
        <v>46252</v>
      </c>
      <c r="C69" s="59" t="str">
        <f aca="false">IFERROR(IF([2]对账明细接口!$C$69=0,"",[2]对账明细接口!$C$69),"")</f>
        <v>聂新平</v>
      </c>
      <c r="D69" s="59" t="str">
        <f aca="false">IFERROR(IF([2]对账明细接口!$D$69=0,"",[2]对账明细接口!$D$69),"")</f>
        <v>原料入库</v>
      </c>
      <c r="E69" s="59" t="str">
        <f aca="false">IFERROR(IF([2]对账明细接口!$E$69=0,"",[2]对账明细接口!$E$69),"")</f>
        <v>NO:0000701</v>
      </c>
      <c r="F69" s="59" t="str">
        <f aca="false">IFERROR(IF([2]对账明细接口!$F$69=0,"",[2]对账明细接口!$F$69),"")</f>
        <v>西梅</v>
      </c>
      <c r="G69" s="59" t="str">
        <f aca="false">IFERROR(IF([2]对账明细接口!$G$69=0,"",[2]对账明细接口!$G$69),"")</f>
        <v>西梅一级</v>
      </c>
      <c r="H69" s="60" t="n">
        <f aca="false">IFERROR(IF([2]对账明细接口!$H$69=0,"",[2]对账明细接口!$H$69),"")</f>
        <v>41</v>
      </c>
      <c r="I69" s="59" t="str">
        <f aca="false">IFERROR(IF([2]对账明细接口!$I$69=0,"",[2]对账明细接口!$I$69),"")</f>
        <v>筐</v>
      </c>
      <c r="J69" s="61" t="n">
        <f aca="false">IFERROR(IF([2]对账明细接口!$J$69=0,"",[2]对账明细接口!$J$69),"")</f>
        <v>287</v>
      </c>
      <c r="K69" s="61" t="str">
        <f aca="false">IFERROR(IF([2]对账明细接口!$K$69=0,"",[2]对账明细接口!$K$69),"")</f>
        <v/>
      </c>
      <c r="L69" s="59" t="str">
        <f aca="false">IFERROR(IF([2]对账明细接口!$L$69=0,"",[2]对账明细接口!$L$69),"")</f>
        <v/>
      </c>
      <c r="M69" s="59" t="str">
        <f aca="false">IFERROR(IF([2]对账明细接口!$M$69=0,"",[2]对账明细接口!$M$69),"")</f>
        <v/>
      </c>
      <c r="N69" s="111" t="n">
        <f aca="false">IF($C69="",0,1)</f>
        <v>1</v>
      </c>
      <c r="O69" s="111" t="n">
        <f aca="false">N(O68)+$N69</f>
        <v>66</v>
      </c>
      <c r="S69" s="10" t="str">
        <f aca="false">IFERROR(IF([2]对账明细接口!$N69=0,"",[2]对账明细接口!$N69),"")</f>
        <v>自备一次性筐</v>
      </c>
      <c r="T69" s="112" t="str">
        <f aca="false">IFERROR(IF([2]对账明细接口!$O69=0,"",[2]对账明细接口!$O69),"")</f>
        <v/>
      </c>
      <c r="U69" s="112" t="str">
        <f aca="false">IFERROR(IF([2]对账明细接口!$P69=0,"",[2]对账明细接口!$P69),"")</f>
        <v/>
      </c>
      <c r="V69" s="112" t="n">
        <f aca="false">IFERROR(IF([2]对账明细接口!$Q69=0,"",[2]对账明细接口!$Q69),"")</f>
        <v>41</v>
      </c>
      <c r="W69" s="10" t="str">
        <f aca="false">IFERROR(IF([2]对账明细接口!$R69=0,"",[2]对账明细接口!$R69),"")</f>
        <v>苏M*7G796</v>
      </c>
      <c r="X69" s="10" t="str">
        <f aca="false">IFERROR(IF([2]对账明细接口!$S69=0,"",[2]对账明细接口!$S69),"")</f>
        <v>自备筐</v>
      </c>
      <c r="Y69" s="10" t="str">
        <f aca="false">IFERROR(IF([2]对账明细接口!$T69=0,"",[2]对账明细接口!$T69),"")</f>
        <v/>
      </c>
      <c r="Z69" s="113" t="str">
        <f aca="false">IFERROR(IF([2]对账明细接口!$U69=0,"",[2]对账明细接口!$U69),"")</f>
        <v/>
      </c>
      <c r="AA69" s="113" t="str">
        <f aca="false">IFERROR(IF([2]对账明细接口!$V69=0,"",[2]对账明细接口!$V69),"")</f>
        <v/>
      </c>
      <c r="AB69" s="10" t="str">
        <f aca="false">IFERROR(IF([2]对账明细接口!$W69=0,"",[2]对账明细接口!$W69),"")</f>
        <v/>
      </c>
      <c r="AC69" s="90" t="str">
        <f aca="false">IFERROR(IF([2]对账明细接口!$X70=0,"",[2]对账明细接口!$X70),"")</f>
        <v/>
      </c>
      <c r="AD69" s="90" t="str">
        <f aca="false">IFERROR(IF([2]对账明细接口!$Y70=0,"",[2]对账明细接口!$Y70),"")</f>
        <v/>
      </c>
      <c r="AE69" s="90" t="str">
        <f aca="false">IFERROR(IF([2]对账明细接口!$AA70=0,"",[2]对账明细接口!$AA70),"")</f>
        <v/>
      </c>
      <c r="AF69" s="90" t="str">
        <f aca="false">IFERROR(IF([2]对账明细接口!$AB70=0,"",[2]对账明细接口!$AB70),"")</f>
        <v/>
      </c>
      <c r="AG69" s="90" t="str">
        <f aca="false">IFERROR(IF([2]对账明细接口!$AC70=0,"",[2]对账明细接口!$AC70),"")</f>
        <v/>
      </c>
      <c r="AH69" s="90" t="str">
        <f aca="false">IFERROR(IF([2]对账明细接口!$AD70=0,"",[2]对账明细接口!$AD70),"")</f>
        <v/>
      </c>
    </row>
    <row r="70" customFormat="false" ht="13.5" hidden="false" customHeight="false" outlineLevel="0" collapsed="false">
      <c r="A70" s="109" t="n">
        <v>70</v>
      </c>
      <c r="B70" s="110" t="n">
        <f aca="false">IFERROR(IF([2]对账明细接口!$B$70=0,"",[2]对账明细接口!$B$70),"")</f>
        <v>46252</v>
      </c>
      <c r="C70" s="59" t="str">
        <f aca="false">IFERROR(IF([2]对账明细接口!$C$70=0,"",[2]对账明细接口!$C$70),"")</f>
        <v>聂新平</v>
      </c>
      <c r="D70" s="59" t="str">
        <f aca="false">IFERROR(IF([2]对账明细接口!$D$70=0,"",[2]对账明细接口!$D$70),"")</f>
        <v>原料入库</v>
      </c>
      <c r="E70" s="59" t="str">
        <f aca="false">IFERROR(IF([2]对账明细接口!$E$70=0,"",[2]对账明细接口!$E$70),"")</f>
        <v>NO:0000701</v>
      </c>
      <c r="F70" s="59" t="str">
        <f aca="false">IFERROR(IF([2]对账明细接口!$F$70=0,"",[2]对账明细接口!$F$70),"")</f>
        <v>西梅</v>
      </c>
      <c r="G70" s="59" t="str">
        <f aca="false">IFERROR(IF([2]对账明细接口!$G$70=0,"",[2]对账明细接口!$G$70),"")</f>
        <v>西梅二级</v>
      </c>
      <c r="H70" s="60" t="n">
        <f aca="false">IFERROR(IF([2]对账明细接口!$H$70=0,"",[2]对账明细接口!$H$70),"")</f>
        <v>71</v>
      </c>
      <c r="I70" s="59" t="str">
        <f aca="false">IFERROR(IF([2]对账明细接口!$I$70=0,"",[2]对账明细接口!$I$70),"")</f>
        <v>筐</v>
      </c>
      <c r="J70" s="61" t="n">
        <f aca="false">IFERROR(IF([2]对账明细接口!$J$70=0,"",[2]对账明细接口!$J$70),"")</f>
        <v>142</v>
      </c>
      <c r="K70" s="61" t="str">
        <f aca="false">IFERROR(IF([2]对账明细接口!$K$70=0,"",[2]对账明细接口!$K$70),"")</f>
        <v/>
      </c>
      <c r="L70" s="59" t="str">
        <f aca="false">IFERROR(IF([2]对账明细接口!$L$70=0,"",[2]对账明细接口!$L$70),"")</f>
        <v/>
      </c>
      <c r="M70" s="59" t="str">
        <f aca="false">IFERROR(IF([2]对账明细接口!$M$70=0,"",[2]对账明细接口!$M$70),"")</f>
        <v/>
      </c>
      <c r="N70" s="111" t="n">
        <f aca="false">IF($C70="",0,1)</f>
        <v>1</v>
      </c>
      <c r="O70" s="111" t="n">
        <f aca="false">N(O69)+$N70</f>
        <v>67</v>
      </c>
      <c r="S70" s="10" t="str">
        <f aca="false">IFERROR(IF([2]对账明细接口!$N70=0,"",[2]对账明细接口!$N70),"")</f>
        <v>自备一次性筐</v>
      </c>
      <c r="T70" s="112" t="str">
        <f aca="false">IFERROR(IF([2]对账明细接口!$O70=0,"",[2]对账明细接口!$O70),"")</f>
        <v/>
      </c>
      <c r="U70" s="112" t="str">
        <f aca="false">IFERROR(IF([2]对账明细接口!$P70=0,"",[2]对账明细接口!$P70),"")</f>
        <v/>
      </c>
      <c r="V70" s="112" t="n">
        <f aca="false">IFERROR(IF([2]对账明细接口!$Q70=0,"",[2]对账明细接口!$Q70),"")</f>
        <v>71</v>
      </c>
      <c r="W70" s="10" t="str">
        <f aca="false">IFERROR(IF([2]对账明细接口!$R70=0,"",[2]对账明细接口!$R70),"")</f>
        <v>苏M*7G796</v>
      </c>
      <c r="X70" s="10" t="str">
        <f aca="false">IFERROR(IF([2]对账明细接口!$S70=0,"",[2]对账明细接口!$S70),"")</f>
        <v>自备筐</v>
      </c>
      <c r="Y70" s="10" t="str">
        <f aca="false">IFERROR(IF([2]对账明细接口!$T70=0,"",[2]对账明细接口!$T70),"")</f>
        <v/>
      </c>
      <c r="Z70" s="113" t="str">
        <f aca="false">IFERROR(IF([2]对账明细接口!$U70=0,"",[2]对账明细接口!$U70),"")</f>
        <v/>
      </c>
      <c r="AA70" s="113" t="str">
        <f aca="false">IFERROR(IF([2]对账明细接口!$V70=0,"",[2]对账明细接口!$V70),"")</f>
        <v/>
      </c>
      <c r="AB70" s="10" t="str">
        <f aca="false">IFERROR(IF([2]对账明细接口!$W70=0,"",[2]对账明细接口!$W70),"")</f>
        <v/>
      </c>
      <c r="AC70" s="90" t="str">
        <f aca="false">IFERROR(IF([2]对账明细接口!$X71=0,"",[2]对账明细接口!$X71),"")</f>
        <v/>
      </c>
      <c r="AD70" s="90" t="str">
        <f aca="false">IFERROR(IF([2]对账明细接口!$Y71=0,"",[2]对账明细接口!$Y71),"")</f>
        <v/>
      </c>
      <c r="AE70" s="90" t="str">
        <f aca="false">IFERROR(IF([2]对账明细接口!$AA71=0,"",[2]对账明细接口!$AA71),"")</f>
        <v/>
      </c>
      <c r="AF70" s="90" t="str">
        <f aca="false">IFERROR(IF([2]对账明细接口!$AB71=0,"",[2]对账明细接口!$AB71),"")</f>
        <v/>
      </c>
      <c r="AG70" s="90" t="str">
        <f aca="false">IFERROR(IF([2]对账明细接口!$AC71=0,"",[2]对账明细接口!$AC71),"")</f>
        <v/>
      </c>
      <c r="AH70" s="90" t="str">
        <f aca="false">IFERROR(IF([2]对账明细接口!$AD71=0,"",[2]对账明细接口!$AD71),"")</f>
        <v/>
      </c>
    </row>
    <row r="71" customFormat="false" ht="13.5" hidden="false" customHeight="false" outlineLevel="0" collapsed="false">
      <c r="A71" s="109" t="n">
        <v>71</v>
      </c>
      <c r="B71" s="110" t="n">
        <f aca="false">IFERROR(IF([2]对账明细接口!$B$71=0,"",[2]对账明细接口!$B$71),"")</f>
        <v>46252</v>
      </c>
      <c r="C71" s="59" t="str">
        <f aca="false">IFERROR(IF([2]对账明细接口!$C$71=0,"",[2]对账明细接口!$C$71),"")</f>
        <v>聂新平</v>
      </c>
      <c r="D71" s="59" t="str">
        <f aca="false">IFERROR(IF([2]对账明细接口!$D$71=0,"",[2]对账明细接口!$D$71),"")</f>
        <v>原料入库</v>
      </c>
      <c r="E71" s="59" t="str">
        <f aca="false">IFERROR(IF([2]对账明细接口!$E$71=0,"",[2]对账明细接口!$E$71),"")</f>
        <v>NO:0000701</v>
      </c>
      <c r="F71" s="59" t="str">
        <f aca="false">IFERROR(IF([2]对账明细接口!$F$71=0,"",[2]对账明细接口!$F$71),"")</f>
        <v>西梅</v>
      </c>
      <c r="G71" s="59" t="str">
        <f aca="false">IFERROR(IF([2]对账明细接口!$G$71=0,"",[2]对账明细接口!$G$71),"")</f>
        <v>西梅三级</v>
      </c>
      <c r="H71" s="60" t="n">
        <f aca="false">IFERROR(IF([2]对账明细接口!$H$71=0,"",[2]对账明细接口!$H$71),"")</f>
        <v>54</v>
      </c>
      <c r="I71" s="59" t="str">
        <f aca="false">IFERROR(IF([2]对账明细接口!$I$71=0,"",[2]对账明细接口!$I$71),"")</f>
        <v>筐</v>
      </c>
      <c r="J71" s="61" t="n">
        <f aca="false">IFERROR(IF([2]对账明细接口!$J$71=0,"",[2]对账明细接口!$J$71),"")</f>
        <v>108</v>
      </c>
      <c r="K71" s="61" t="str">
        <f aca="false">IFERROR(IF([2]对账明细接口!$K$71=0,"",[2]对账明细接口!$K$71),"")</f>
        <v/>
      </c>
      <c r="L71" s="59" t="str">
        <f aca="false">IFERROR(IF([2]对账明细接口!$L$71=0,"",[2]对账明细接口!$L$71),"")</f>
        <v/>
      </c>
      <c r="M71" s="59" t="str">
        <f aca="false">IFERROR(IF([2]对账明细接口!$M$71=0,"",[2]对账明细接口!$M$71),"")</f>
        <v/>
      </c>
      <c r="N71" s="111" t="n">
        <f aca="false">IF($C71="",0,1)</f>
        <v>1</v>
      </c>
      <c r="O71" s="111" t="n">
        <f aca="false">N(O70)+$N71</f>
        <v>68</v>
      </c>
      <c r="S71" s="10" t="str">
        <f aca="false">IFERROR(IF([2]对账明细接口!$N71=0,"",[2]对账明细接口!$N71),"")</f>
        <v>自备一次性筐</v>
      </c>
      <c r="T71" s="112" t="str">
        <f aca="false">IFERROR(IF([2]对账明细接口!$O71=0,"",[2]对账明细接口!$O71),"")</f>
        <v/>
      </c>
      <c r="U71" s="112" t="str">
        <f aca="false">IFERROR(IF([2]对账明细接口!$P71=0,"",[2]对账明细接口!$P71),"")</f>
        <v/>
      </c>
      <c r="V71" s="112" t="n">
        <f aca="false">IFERROR(IF([2]对账明细接口!$Q71=0,"",[2]对账明细接口!$Q71),"")</f>
        <v>54</v>
      </c>
      <c r="W71" s="10" t="str">
        <f aca="false">IFERROR(IF([2]对账明细接口!$R71=0,"",[2]对账明细接口!$R71),"")</f>
        <v>苏M*7G796</v>
      </c>
      <c r="X71" s="10" t="str">
        <f aca="false">IFERROR(IF([2]对账明细接口!$S71=0,"",[2]对账明细接口!$S71),"")</f>
        <v>自备筐</v>
      </c>
      <c r="Y71" s="10" t="str">
        <f aca="false">IFERROR(IF([2]对账明细接口!$T71=0,"",[2]对账明细接口!$T71),"")</f>
        <v/>
      </c>
      <c r="Z71" s="113" t="str">
        <f aca="false">IFERROR(IF([2]对账明细接口!$U71=0,"",[2]对账明细接口!$U71),"")</f>
        <v/>
      </c>
      <c r="AA71" s="113" t="str">
        <f aca="false">IFERROR(IF([2]对账明细接口!$V71=0,"",[2]对账明细接口!$V71),"")</f>
        <v/>
      </c>
      <c r="AB71" s="10" t="str">
        <f aca="false">IFERROR(IF([2]对账明细接口!$W71=0,"",[2]对账明细接口!$W71),"")</f>
        <v/>
      </c>
      <c r="AC71" s="90" t="str">
        <f aca="false">IFERROR(IF([2]对账明细接口!$X72=0,"",[2]对账明细接口!$X72),"")</f>
        <v/>
      </c>
      <c r="AD71" s="90" t="str">
        <f aca="false">IFERROR(IF([2]对账明细接口!$Y72=0,"",[2]对账明细接口!$Y72),"")</f>
        <v/>
      </c>
      <c r="AE71" s="90" t="str">
        <f aca="false">IFERROR(IF([2]对账明细接口!$AA72=0,"",[2]对账明细接口!$AA72),"")</f>
        <v/>
      </c>
      <c r="AF71" s="90" t="str">
        <f aca="false">IFERROR(IF([2]对账明细接口!$AB72=0,"",[2]对账明细接口!$AB72),"")</f>
        <v/>
      </c>
      <c r="AG71" s="90" t="str">
        <f aca="false">IFERROR(IF([2]对账明细接口!$AC72=0,"",[2]对账明细接口!$AC72),"")</f>
        <v/>
      </c>
      <c r="AH71" s="90" t="str">
        <f aca="false">IFERROR(IF([2]对账明细接口!$AD72=0,"",[2]对账明细接口!$AD72),"")</f>
        <v/>
      </c>
    </row>
    <row r="72" customFormat="false" ht="13.5" hidden="false" customHeight="false" outlineLevel="0" collapsed="false">
      <c r="A72" s="109" t="n">
        <v>72</v>
      </c>
      <c r="B72" s="110" t="n">
        <f aca="false">IFERROR(IF([2]对账明细接口!$B$72=0,"",[2]对账明细接口!$B$72),"")</f>
        <v>46253</v>
      </c>
      <c r="C72" s="59" t="str">
        <f aca="false">IFERROR(IF([2]对账明细接口!$C$72=0,"",[2]对账明细接口!$C$72),"")</f>
        <v>聂新平</v>
      </c>
      <c r="D72" s="59" t="str">
        <f aca="false">IFERROR(IF([2]对账明细接口!$D$72=0,"",[2]对账明细接口!$D$72),"")</f>
        <v>原料入库</v>
      </c>
      <c r="E72" s="59" t="str">
        <f aca="false">IFERROR(IF([2]对账明细接口!$E$72=0,"",[2]对账明细接口!$E$72),"")</f>
        <v>NO:0000703</v>
      </c>
      <c r="F72" s="59" t="str">
        <f aca="false">IFERROR(IF([2]对账明细接口!$F$72=0,"",[2]对账明细接口!$F$72),"")</f>
        <v>西梅</v>
      </c>
      <c r="G72" s="59" t="str">
        <f aca="false">IFERROR(IF([2]对账明细接口!$G$72=0,"",[2]对账明细接口!$G$72),"")</f>
        <v>西梅二级</v>
      </c>
      <c r="H72" s="60" t="n">
        <f aca="false">IFERROR(IF([2]对账明细接口!$H$72=0,"",[2]对账明细接口!$H$72),"")</f>
        <v>432</v>
      </c>
      <c r="I72" s="59" t="str">
        <f aca="false">IFERROR(IF([2]对账明细接口!$I$72=0,"",[2]对账明细接口!$I$72),"")</f>
        <v>筐</v>
      </c>
      <c r="J72" s="61" t="n">
        <f aca="false">IFERROR(IF([2]对账明细接口!$J$72=0,"",[2]对账明细接口!$J$72),"")</f>
        <v>864</v>
      </c>
      <c r="K72" s="61" t="str">
        <f aca="false">IFERROR(IF([2]对账明细接口!$K$72=0,"",[2]对账明细接口!$K$72),"")</f>
        <v/>
      </c>
      <c r="L72" s="59" t="str">
        <f aca="false">IFERROR(IF([2]对账明细接口!$L$72=0,"",[2]对账明细接口!$L$72),"")</f>
        <v/>
      </c>
      <c r="M72" s="59" t="str">
        <f aca="false">IFERROR(IF([2]对账明细接口!$M$72=0,"",[2]对账明细接口!$M$72),"")</f>
        <v/>
      </c>
      <c r="N72" s="111" t="n">
        <f aca="false">IF($C72="",0,1)</f>
        <v>1</v>
      </c>
      <c r="O72" s="111" t="n">
        <f aca="false">N(O71)+$N72</f>
        <v>69</v>
      </c>
      <c r="S72" s="10" t="str">
        <f aca="false">IFERROR(IF([2]对账明细接口!$N72=0,"",[2]对账明细接口!$N72),"")</f>
        <v>自备一次性筐</v>
      </c>
      <c r="T72" s="112" t="str">
        <f aca="false">IFERROR(IF([2]对账明细接口!$O72=0,"",[2]对账明细接口!$O72),"")</f>
        <v/>
      </c>
      <c r="U72" s="112" t="str">
        <f aca="false">IFERROR(IF([2]对账明细接口!$P72=0,"",[2]对账明细接口!$P72),"")</f>
        <v/>
      </c>
      <c r="V72" s="112" t="n">
        <f aca="false">IFERROR(IF([2]对账明细接口!$Q72=0,"",[2]对账明细接口!$Q72),"")</f>
        <v>432</v>
      </c>
      <c r="W72" s="10" t="str">
        <f aca="false">IFERROR(IF([2]对账明细接口!$R72=0,"",[2]对账明细接口!$R72),"")</f>
        <v>苏M*7G796</v>
      </c>
      <c r="X72" s="10" t="str">
        <f aca="false">IFERROR(IF([2]对账明细接口!$S72=0,"",[2]对账明细接口!$S72),"")</f>
        <v>自备筐</v>
      </c>
      <c r="Y72" s="10" t="str">
        <f aca="false">IFERROR(IF([2]对账明细接口!$T72=0,"",[2]对账明细接口!$T72),"")</f>
        <v/>
      </c>
      <c r="Z72" s="113" t="str">
        <f aca="false">IFERROR(IF([2]对账明细接口!$U72=0,"",[2]对账明细接口!$U72),"")</f>
        <v/>
      </c>
      <c r="AA72" s="113" t="str">
        <f aca="false">IFERROR(IF([2]对账明细接口!$V72=0,"",[2]对账明细接口!$V72),"")</f>
        <v/>
      </c>
      <c r="AB72" s="10" t="str">
        <f aca="false">IFERROR(IF([2]对账明细接口!$W72=0,"",[2]对账明细接口!$W72),"")</f>
        <v/>
      </c>
      <c r="AC72" s="90" t="str">
        <f aca="false">IFERROR(IF([2]对账明细接口!$X73=0,"",[2]对账明细接口!$X73),"")</f>
        <v/>
      </c>
      <c r="AD72" s="90" t="str">
        <f aca="false">IFERROR(IF([2]对账明细接口!$Y73=0,"",[2]对账明细接口!$Y73),"")</f>
        <v/>
      </c>
      <c r="AE72" s="90" t="str">
        <f aca="false">IFERROR(IF([2]对账明细接口!$AA73=0,"",[2]对账明细接口!$AA73),"")</f>
        <v/>
      </c>
      <c r="AF72" s="90" t="str">
        <f aca="false">IFERROR(IF([2]对账明细接口!$AB73=0,"",[2]对账明细接口!$AB73),"")</f>
        <v/>
      </c>
      <c r="AG72" s="90" t="str">
        <f aca="false">IFERROR(IF([2]对账明细接口!$AC73=0,"",[2]对账明细接口!$AC73),"")</f>
        <v/>
      </c>
      <c r="AH72" s="90" t="str">
        <f aca="false">IFERROR(IF([2]对账明细接口!$AD73=0,"",[2]对账明细接口!$AD73),"")</f>
        <v/>
      </c>
    </row>
    <row r="73" customFormat="false" ht="13.5" hidden="false" customHeight="false" outlineLevel="0" collapsed="false">
      <c r="A73" s="109" t="n">
        <v>73</v>
      </c>
      <c r="B73" s="110" t="n">
        <f aca="false">IFERROR(IF([2]对账明细接口!$B$73=0,"",[2]对账明细接口!$B$73),"")</f>
        <v>46253</v>
      </c>
      <c r="C73" s="59" t="str">
        <f aca="false">IFERROR(IF([2]对账明细接口!$C$73=0,"",[2]对账明细接口!$C$73),"")</f>
        <v>聂新平</v>
      </c>
      <c r="D73" s="59" t="str">
        <f aca="false">IFERROR(IF([2]对账明细接口!$D$73=0,"",[2]对账明细接口!$D$73),"")</f>
        <v>原料入库</v>
      </c>
      <c r="E73" s="59" t="str">
        <f aca="false">IFERROR(IF([2]对账明细接口!$E$73=0,"",[2]对账明细接口!$E$73),"")</f>
        <v>NO:0000703</v>
      </c>
      <c r="F73" s="59" t="str">
        <f aca="false">IFERROR(IF([2]对账明细接口!$F$73=0,"",[2]对账明细接口!$F$73),"")</f>
        <v>西梅</v>
      </c>
      <c r="G73" s="59" t="str">
        <f aca="false">IFERROR(IF([2]对账明细接口!$G$73=0,"",[2]对账明细接口!$G$73),"")</f>
        <v>西梅三级</v>
      </c>
      <c r="H73" s="60" t="n">
        <f aca="false">IFERROR(IF([2]对账明细接口!$H$73=0,"",[2]对账明细接口!$H$73),"")</f>
        <v>36</v>
      </c>
      <c r="I73" s="59" t="str">
        <f aca="false">IFERROR(IF([2]对账明细接口!$I$73=0,"",[2]对账明细接口!$I$73),"")</f>
        <v>筐</v>
      </c>
      <c r="J73" s="61" t="n">
        <f aca="false">IFERROR(IF([2]对账明细接口!$J$73=0,"",[2]对账明细接口!$J$73),"")</f>
        <v>72</v>
      </c>
      <c r="K73" s="61" t="str">
        <f aca="false">IFERROR(IF([2]对账明细接口!$K$73=0,"",[2]对账明细接口!$K$73),"")</f>
        <v/>
      </c>
      <c r="L73" s="59" t="str">
        <f aca="false">IFERROR(IF([2]对账明细接口!$L$73=0,"",[2]对账明细接口!$L$73),"")</f>
        <v/>
      </c>
      <c r="M73" s="59" t="str">
        <f aca="false">IFERROR(IF([2]对账明细接口!$M$73=0,"",[2]对账明细接口!$M$73),"")</f>
        <v/>
      </c>
      <c r="N73" s="111" t="n">
        <f aca="false">IF($C73="",0,1)</f>
        <v>1</v>
      </c>
      <c r="O73" s="111" t="n">
        <f aca="false">N(O72)+$N73</f>
        <v>70</v>
      </c>
      <c r="S73" s="10" t="str">
        <f aca="false">IFERROR(IF([2]对账明细接口!$N73=0,"",[2]对账明细接口!$N73),"")</f>
        <v>自备一次性筐</v>
      </c>
      <c r="T73" s="112" t="str">
        <f aca="false">IFERROR(IF([2]对账明细接口!$O73=0,"",[2]对账明细接口!$O73),"")</f>
        <v/>
      </c>
      <c r="U73" s="112" t="str">
        <f aca="false">IFERROR(IF([2]对账明细接口!$P73=0,"",[2]对账明细接口!$P73),"")</f>
        <v/>
      </c>
      <c r="V73" s="112" t="n">
        <f aca="false">IFERROR(IF([2]对账明细接口!$Q73=0,"",[2]对账明细接口!$Q73),"")</f>
        <v>36</v>
      </c>
      <c r="W73" s="10" t="str">
        <f aca="false">IFERROR(IF([2]对账明细接口!$R73=0,"",[2]对账明细接口!$R73),"")</f>
        <v>苏M*7G796</v>
      </c>
      <c r="X73" s="10" t="str">
        <f aca="false">IFERROR(IF([2]对账明细接口!$S73=0,"",[2]对账明细接口!$S73),"")</f>
        <v>自备筐</v>
      </c>
      <c r="Y73" s="10" t="str">
        <f aca="false">IFERROR(IF([2]对账明细接口!$T73=0,"",[2]对账明细接口!$T73),"")</f>
        <v/>
      </c>
      <c r="Z73" s="113" t="str">
        <f aca="false">IFERROR(IF([2]对账明细接口!$U73=0,"",[2]对账明细接口!$U73),"")</f>
        <v/>
      </c>
      <c r="AA73" s="113" t="str">
        <f aca="false">IFERROR(IF([2]对账明细接口!$V73=0,"",[2]对账明细接口!$V73),"")</f>
        <v/>
      </c>
      <c r="AB73" s="10" t="str">
        <f aca="false">IFERROR(IF([2]对账明细接口!$W73=0,"",[2]对账明细接口!$W73),"")</f>
        <v/>
      </c>
      <c r="AC73" s="90" t="str">
        <f aca="false">IFERROR(IF([2]对账明细接口!$X74=0,"",[2]对账明细接口!$X74),"")</f>
        <v/>
      </c>
      <c r="AD73" s="90" t="str">
        <f aca="false">IFERROR(IF([2]对账明细接口!$Y74=0,"",[2]对账明细接口!$Y74),"")</f>
        <v/>
      </c>
      <c r="AE73" s="90" t="str">
        <f aca="false">IFERROR(IF([2]对账明细接口!$AA74=0,"",[2]对账明细接口!$AA74),"")</f>
        <v/>
      </c>
      <c r="AF73" s="90" t="str">
        <f aca="false">IFERROR(IF([2]对账明细接口!$AB74=0,"",[2]对账明细接口!$AB74),"")</f>
        <v/>
      </c>
      <c r="AG73" s="90" t="str">
        <f aca="false">IFERROR(IF([2]对账明细接口!$AC74=0,"",[2]对账明细接口!$AC74),"")</f>
        <v/>
      </c>
      <c r="AH73" s="90" t="str">
        <f aca="false">IFERROR(IF([2]对账明细接口!$AD74=0,"",[2]对账明细接口!$AD74),"")</f>
        <v/>
      </c>
    </row>
    <row r="74" customFormat="false" ht="13.5" hidden="false" customHeight="false" outlineLevel="0" collapsed="false">
      <c r="A74" s="109" t="n">
        <v>74</v>
      </c>
      <c r="B74" s="110" t="n">
        <f aca="false">IFERROR(IF([2]对账明细接口!$B$74=0,"",[2]对账明细接口!$B$74),"")</f>
        <v>46253</v>
      </c>
      <c r="C74" s="59" t="str">
        <f aca="false">IFERROR(IF([2]对账明细接口!$C$74=0,"",[2]对账明细接口!$C$74),"")</f>
        <v>聂新平</v>
      </c>
      <c r="D74" s="59" t="str">
        <f aca="false">IFERROR(IF([2]对账明细接口!$D$74=0,"",[2]对账明细接口!$D$74),"")</f>
        <v>原料入库</v>
      </c>
      <c r="E74" s="59" t="str">
        <f aca="false">IFERROR(IF([2]对账明细接口!$E$74=0,"",[2]对账明细接口!$E$74),"")</f>
        <v>NO:0000704</v>
      </c>
      <c r="F74" s="59" t="str">
        <f aca="false">IFERROR(IF([2]对账明细接口!$F$74=0,"",[2]对账明细接口!$F$74),"")</f>
        <v>西梅</v>
      </c>
      <c r="G74" s="59" t="str">
        <f aca="false">IFERROR(IF([2]对账明细接口!$G$74=0,"",[2]对账明细接口!$G$74),"")</f>
        <v>西梅二级</v>
      </c>
      <c r="H74" s="60" t="n">
        <f aca="false">IFERROR(IF([2]对账明细接口!$H$74=0,"",[2]对账明细接口!$H$74),"")</f>
        <v>305</v>
      </c>
      <c r="I74" s="59" t="str">
        <f aca="false">IFERROR(IF([2]对账明细接口!$I$74=0,"",[2]对账明细接口!$I$74),"")</f>
        <v>筐</v>
      </c>
      <c r="J74" s="61" t="n">
        <f aca="false">IFERROR(IF([2]对账明细接口!$J$74=0,"",[2]对账明细接口!$J$74),"")</f>
        <v>610</v>
      </c>
      <c r="K74" s="61" t="str">
        <f aca="false">IFERROR(IF([2]对账明细接口!$K$74=0,"",[2]对账明细接口!$K$74),"")</f>
        <v/>
      </c>
      <c r="L74" s="59" t="str">
        <f aca="false">IFERROR(IF([2]对账明细接口!$L$74=0,"",[2]对账明细接口!$L$74),"")</f>
        <v/>
      </c>
      <c r="M74" s="59" t="str">
        <f aca="false">IFERROR(IF([2]对账明细接口!$M$74=0,"",[2]对账明细接口!$M$74),"")</f>
        <v/>
      </c>
      <c r="N74" s="111" t="n">
        <f aca="false">IF($C74="",0,1)</f>
        <v>1</v>
      </c>
      <c r="O74" s="111" t="n">
        <f aca="false">N(O73)+$N74</f>
        <v>71</v>
      </c>
      <c r="S74" s="10" t="str">
        <f aca="false">IFERROR(IF([2]对账明细接口!$N74=0,"",[2]对账明细接口!$N74),"")</f>
        <v>自备一次性筐</v>
      </c>
      <c r="T74" s="112" t="str">
        <f aca="false">IFERROR(IF([2]对账明细接口!$O74=0,"",[2]对账明细接口!$O74),"")</f>
        <v/>
      </c>
      <c r="U74" s="112" t="str">
        <f aca="false">IFERROR(IF([2]对账明细接口!$P74=0,"",[2]对账明细接口!$P74),"")</f>
        <v/>
      </c>
      <c r="V74" s="112" t="n">
        <f aca="false">IFERROR(IF([2]对账明细接口!$Q74=0,"",[2]对账明细接口!$Q74),"")</f>
        <v>305</v>
      </c>
      <c r="W74" s="10" t="str">
        <f aca="false">IFERROR(IF([2]对账明细接口!$R74=0,"",[2]对账明细接口!$R74),"")</f>
        <v>苏M*7G796</v>
      </c>
      <c r="X74" s="10" t="str">
        <f aca="false">IFERROR(IF([2]对账明细接口!$S74=0,"",[2]对账明细接口!$S74),"")</f>
        <v>自备筐</v>
      </c>
      <c r="Y74" s="10" t="str">
        <f aca="false">IFERROR(IF([2]对账明细接口!$T74=0,"",[2]对账明细接口!$T74),"")</f>
        <v/>
      </c>
      <c r="Z74" s="113" t="str">
        <f aca="false">IFERROR(IF([2]对账明细接口!$U74=0,"",[2]对账明细接口!$U74),"")</f>
        <v/>
      </c>
      <c r="AA74" s="113" t="str">
        <f aca="false">IFERROR(IF([2]对账明细接口!$V74=0,"",[2]对账明细接口!$V74),"")</f>
        <v/>
      </c>
      <c r="AB74" s="10" t="str">
        <f aca="false">IFERROR(IF([2]对账明细接口!$W74=0,"",[2]对账明细接口!$W74),"")</f>
        <v/>
      </c>
      <c r="AC74" s="90" t="str">
        <f aca="false">IFERROR(IF([2]对账明细接口!$X75=0,"",[2]对账明细接口!$X75),"")</f>
        <v/>
      </c>
      <c r="AD74" s="90" t="str">
        <f aca="false">IFERROR(IF([2]对账明细接口!$Y75=0,"",[2]对账明细接口!$Y75),"")</f>
        <v/>
      </c>
      <c r="AE74" s="90" t="str">
        <f aca="false">IFERROR(IF([2]对账明细接口!$AA75=0,"",[2]对账明细接口!$AA75),"")</f>
        <v/>
      </c>
      <c r="AF74" s="90" t="str">
        <f aca="false">IFERROR(IF([2]对账明细接口!$AB75=0,"",[2]对账明细接口!$AB75),"")</f>
        <v/>
      </c>
      <c r="AG74" s="90" t="str">
        <f aca="false">IFERROR(IF([2]对账明细接口!$AC75=0,"",[2]对账明细接口!$AC75),"")</f>
        <v/>
      </c>
      <c r="AH74" s="90" t="str">
        <f aca="false">IFERROR(IF([2]对账明细接口!$AD75=0,"",[2]对账明细接口!$AD75),"")</f>
        <v/>
      </c>
    </row>
    <row r="75" customFormat="false" ht="13.5" hidden="false" customHeight="false" outlineLevel="0" collapsed="false">
      <c r="A75" s="109" t="n">
        <v>75</v>
      </c>
      <c r="B75" s="110" t="n">
        <f aca="false">IFERROR(IF([2]对账明细接口!$B$75=0,"",[2]对账明细接口!$B$75),"")</f>
        <v>46253</v>
      </c>
      <c r="C75" s="59" t="str">
        <f aca="false">IFERROR(IF([2]对账明细接口!$C$75=0,"",[2]对账明细接口!$C$75),"")</f>
        <v>聂新平</v>
      </c>
      <c r="D75" s="59" t="str">
        <f aca="false">IFERROR(IF([2]对账明细接口!$D$75=0,"",[2]对账明细接口!$D$75),"")</f>
        <v>原料入库</v>
      </c>
      <c r="E75" s="59" t="str">
        <f aca="false">IFERROR(IF([2]对账明细接口!$E$75=0,"",[2]对账明细接口!$E$75),"")</f>
        <v>NO:0000704</v>
      </c>
      <c r="F75" s="59" t="str">
        <f aca="false">IFERROR(IF([2]对账明细接口!$F$75=0,"",[2]对账明细接口!$F$75),"")</f>
        <v>西梅</v>
      </c>
      <c r="G75" s="59" t="str">
        <f aca="false">IFERROR(IF([2]对账明细接口!$G$75=0,"",[2]对账明细接口!$G$75),"")</f>
        <v>西梅三级</v>
      </c>
      <c r="H75" s="60" t="n">
        <f aca="false">IFERROR(IF([2]对账明细接口!$H$75=0,"",[2]对账明细接口!$H$75),"")</f>
        <v>163</v>
      </c>
      <c r="I75" s="59" t="str">
        <f aca="false">IFERROR(IF([2]对账明细接口!$I$75=0,"",[2]对账明细接口!$I$75),"")</f>
        <v>筐</v>
      </c>
      <c r="J75" s="61" t="n">
        <f aca="false">IFERROR(IF([2]对账明细接口!$J$75=0,"",[2]对账明细接口!$J$75),"")</f>
        <v>326</v>
      </c>
      <c r="K75" s="61" t="str">
        <f aca="false">IFERROR(IF([2]对账明细接口!$K$75=0,"",[2]对账明细接口!$K$75),"")</f>
        <v/>
      </c>
      <c r="L75" s="59" t="str">
        <f aca="false">IFERROR(IF([2]对账明细接口!$L$75=0,"",[2]对账明细接口!$L$75),"")</f>
        <v/>
      </c>
      <c r="M75" s="59" t="str">
        <f aca="false">IFERROR(IF([2]对账明细接口!$M$75=0,"",[2]对账明细接口!$M$75),"")</f>
        <v/>
      </c>
      <c r="N75" s="111" t="n">
        <f aca="false">IF($C75="",0,1)</f>
        <v>1</v>
      </c>
      <c r="O75" s="111" t="n">
        <f aca="false">N(O74)+$N75</f>
        <v>72</v>
      </c>
      <c r="S75" s="10" t="str">
        <f aca="false">IFERROR(IF([2]对账明细接口!$N75=0,"",[2]对账明细接口!$N75),"")</f>
        <v>自备一次性筐</v>
      </c>
      <c r="T75" s="112" t="str">
        <f aca="false">IFERROR(IF([2]对账明细接口!$O75=0,"",[2]对账明细接口!$O75),"")</f>
        <v/>
      </c>
      <c r="U75" s="112" t="str">
        <f aca="false">IFERROR(IF([2]对账明细接口!$P75=0,"",[2]对账明细接口!$P75),"")</f>
        <v/>
      </c>
      <c r="V75" s="112" t="n">
        <f aca="false">IFERROR(IF([2]对账明细接口!$Q75=0,"",[2]对账明细接口!$Q75),"")</f>
        <v>163</v>
      </c>
      <c r="W75" s="10" t="str">
        <f aca="false">IFERROR(IF([2]对账明细接口!$R75=0,"",[2]对账明细接口!$R75),"")</f>
        <v>苏M*7G796</v>
      </c>
      <c r="X75" s="10" t="str">
        <f aca="false">IFERROR(IF([2]对账明细接口!$S75=0,"",[2]对账明细接口!$S75),"")</f>
        <v>自备筐</v>
      </c>
      <c r="Y75" s="10" t="str">
        <f aca="false">IFERROR(IF([2]对账明细接口!$T75=0,"",[2]对账明细接口!$T75),"")</f>
        <v/>
      </c>
      <c r="Z75" s="113" t="str">
        <f aca="false">IFERROR(IF([2]对账明细接口!$U75=0,"",[2]对账明细接口!$U75),"")</f>
        <v/>
      </c>
      <c r="AA75" s="113" t="str">
        <f aca="false">IFERROR(IF([2]对账明细接口!$V75=0,"",[2]对账明细接口!$V75),"")</f>
        <v/>
      </c>
      <c r="AB75" s="10" t="str">
        <f aca="false">IFERROR(IF([2]对账明细接口!$W75=0,"",[2]对账明细接口!$W75),"")</f>
        <v/>
      </c>
      <c r="AC75" s="90" t="str">
        <f aca="false">IFERROR(IF([2]对账明细接口!$X76=0,"",[2]对账明细接口!$X76),"")</f>
        <v/>
      </c>
      <c r="AD75" s="90" t="str">
        <f aca="false">IFERROR(IF([2]对账明细接口!$Y76=0,"",[2]对账明细接口!$Y76),"")</f>
        <v/>
      </c>
      <c r="AE75" s="90" t="str">
        <f aca="false">IFERROR(IF([2]对账明细接口!$AA76=0,"",[2]对账明细接口!$AA76),"")</f>
        <v/>
      </c>
      <c r="AF75" s="90" t="str">
        <f aca="false">IFERROR(IF([2]对账明细接口!$AB76=0,"",[2]对账明细接口!$AB76),"")</f>
        <v/>
      </c>
      <c r="AG75" s="90" t="str">
        <f aca="false">IFERROR(IF([2]对账明细接口!$AC76=0,"",[2]对账明细接口!$AC76),"")</f>
        <v/>
      </c>
      <c r="AH75" s="90" t="str">
        <f aca="false">IFERROR(IF([2]对账明细接口!$AD76=0,"",[2]对账明细接口!$AD76),"")</f>
        <v/>
      </c>
    </row>
    <row r="76" customFormat="false" ht="13.5" hidden="false" customHeight="false" outlineLevel="0" collapsed="false">
      <c r="A76" s="109" t="n">
        <v>76</v>
      </c>
      <c r="B76" s="110" t="n">
        <f aca="false">IFERROR(IF([2]对账明细接口!$B$76=0,"",[2]对账明细接口!$B$76),"")</f>
        <v>46253</v>
      </c>
      <c r="C76" s="59" t="str">
        <f aca="false">IFERROR(IF([2]对账明细接口!$C$76=0,"",[2]对账明细接口!$C$76),"")</f>
        <v>聂新平</v>
      </c>
      <c r="D76" s="59" t="str">
        <f aca="false">IFERROR(IF([2]对账明细接口!$D$76=0,"",[2]对账明细接口!$D$76),"")</f>
        <v>原料入库</v>
      </c>
      <c r="E76" s="59" t="str">
        <f aca="false">IFERROR(IF([2]对账明细接口!$E$76=0,"",[2]对账明细接口!$E$76),"")</f>
        <v>NO:0000705</v>
      </c>
      <c r="F76" s="59" t="str">
        <f aca="false">IFERROR(IF([2]对账明细接口!$F$76=0,"",[2]对账明细接口!$F$76),"")</f>
        <v>西梅</v>
      </c>
      <c r="G76" s="59" t="str">
        <f aca="false">IFERROR(IF([2]对账明细接口!$G$76=0,"",[2]对账明细接口!$G$76),"")</f>
        <v>西梅一级</v>
      </c>
      <c r="H76" s="60" t="n">
        <f aca="false">IFERROR(IF([2]对账明细接口!$H$76=0,"",[2]对账明细接口!$H$76),"")</f>
        <v>105</v>
      </c>
      <c r="I76" s="59" t="str">
        <f aca="false">IFERROR(IF([2]对账明细接口!$I$76=0,"",[2]对账明细接口!$I$76),"")</f>
        <v>筐</v>
      </c>
      <c r="J76" s="61" t="n">
        <f aca="false">IFERROR(IF([2]对账明细接口!$J$76=0,"",[2]对账明细接口!$J$76),"")</f>
        <v>735</v>
      </c>
      <c r="K76" s="61" t="str">
        <f aca="false">IFERROR(IF([2]对账明细接口!$K$76=0,"",[2]对账明细接口!$K$76),"")</f>
        <v/>
      </c>
      <c r="L76" s="59" t="str">
        <f aca="false">IFERROR(IF([2]对账明细接口!$L$76=0,"",[2]对账明细接口!$L$76),"")</f>
        <v/>
      </c>
      <c r="M76" s="59" t="str">
        <f aca="false">IFERROR(IF([2]对账明细接口!$M$76=0,"",[2]对账明细接口!$M$76),"")</f>
        <v/>
      </c>
      <c r="N76" s="111" t="n">
        <f aca="false">IF($C76="",0,1)</f>
        <v>1</v>
      </c>
      <c r="O76" s="111" t="n">
        <f aca="false">N(O75)+$N76</f>
        <v>73</v>
      </c>
      <c r="S76" s="10" t="str">
        <f aca="false">IFERROR(IF([2]对账明细接口!$N76=0,"",[2]对账明细接口!$N76),"")</f>
        <v>自备一次性筐</v>
      </c>
      <c r="T76" s="112" t="str">
        <f aca="false">IFERROR(IF([2]对账明细接口!$O76=0,"",[2]对账明细接口!$O76),"")</f>
        <v/>
      </c>
      <c r="U76" s="112" t="str">
        <f aca="false">IFERROR(IF([2]对账明细接口!$P76=0,"",[2]对账明细接口!$P76),"")</f>
        <v/>
      </c>
      <c r="V76" s="112" t="n">
        <f aca="false">IFERROR(IF([2]对账明细接口!$Q76=0,"",[2]对账明细接口!$Q76),"")</f>
        <v>105</v>
      </c>
      <c r="W76" s="10" t="str">
        <f aca="false">IFERROR(IF([2]对账明细接口!$R76=0,"",[2]对账明细接口!$R76),"")</f>
        <v>苏M*7G796</v>
      </c>
      <c r="X76" s="10" t="str">
        <f aca="false">IFERROR(IF([2]对账明细接口!$S76=0,"",[2]对账明细接口!$S76),"")</f>
        <v>自备筐</v>
      </c>
      <c r="Y76" s="10" t="str">
        <f aca="false">IFERROR(IF([2]对账明细接口!$T76=0,"",[2]对账明细接口!$T76),"")</f>
        <v/>
      </c>
      <c r="Z76" s="113" t="str">
        <f aca="false">IFERROR(IF([2]对账明细接口!$U76=0,"",[2]对账明细接口!$U76),"")</f>
        <v/>
      </c>
      <c r="AA76" s="113" t="str">
        <f aca="false">IFERROR(IF([2]对账明细接口!$V76=0,"",[2]对账明细接口!$V76),"")</f>
        <v/>
      </c>
      <c r="AB76" s="10" t="str">
        <f aca="false">IFERROR(IF([2]对账明细接口!$W76=0,"",[2]对账明细接口!$W76),"")</f>
        <v/>
      </c>
      <c r="AC76" s="90" t="str">
        <f aca="false">IFERROR(IF([2]对账明细接口!$X77=0,"",[2]对账明细接口!$X77),"")</f>
        <v/>
      </c>
      <c r="AD76" s="90" t="str">
        <f aca="false">IFERROR(IF([2]对账明细接口!$Y77=0,"",[2]对账明细接口!$Y77),"")</f>
        <v/>
      </c>
      <c r="AE76" s="90" t="str">
        <f aca="false">IFERROR(IF([2]对账明细接口!$AA77=0,"",[2]对账明细接口!$AA77),"")</f>
        <v/>
      </c>
      <c r="AF76" s="90" t="str">
        <f aca="false">IFERROR(IF([2]对账明细接口!$AB77=0,"",[2]对账明细接口!$AB77),"")</f>
        <v/>
      </c>
      <c r="AG76" s="90" t="str">
        <f aca="false">IFERROR(IF([2]对账明细接口!$AC77=0,"",[2]对账明细接口!$AC77),"")</f>
        <v/>
      </c>
      <c r="AH76" s="90" t="str">
        <f aca="false">IFERROR(IF([2]对账明细接口!$AD77=0,"",[2]对账明细接口!$AD77),"")</f>
        <v/>
      </c>
    </row>
    <row r="77" customFormat="false" ht="13.5" hidden="false" customHeight="false" outlineLevel="0" collapsed="false">
      <c r="A77" s="109" t="n">
        <v>77</v>
      </c>
      <c r="B77" s="110" t="n">
        <f aca="false">IFERROR(IF([2]对账明细接口!$B$77=0,"",[2]对账明细接口!$B$77),"")</f>
        <v>46253</v>
      </c>
      <c r="C77" s="59" t="str">
        <f aca="false">IFERROR(IF([2]对账明细接口!$C$77=0,"",[2]对账明细接口!$C$77),"")</f>
        <v>聂新平</v>
      </c>
      <c r="D77" s="59" t="str">
        <f aca="false">IFERROR(IF([2]对账明细接口!$D$77=0,"",[2]对账明细接口!$D$77),"")</f>
        <v>原料入库</v>
      </c>
      <c r="E77" s="59" t="str">
        <f aca="false">IFERROR(IF([2]对账明细接口!$E$77=0,"",[2]对账明细接口!$E$77),"")</f>
        <v>NO:0000705</v>
      </c>
      <c r="F77" s="59" t="str">
        <f aca="false">IFERROR(IF([2]对账明细接口!$F$77=0,"",[2]对账明细接口!$F$77),"")</f>
        <v>西梅</v>
      </c>
      <c r="G77" s="59" t="str">
        <f aca="false">IFERROR(IF([2]对账明细接口!$G$77=0,"",[2]对账明细接口!$G$77),"")</f>
        <v>西梅二级</v>
      </c>
      <c r="H77" s="60" t="n">
        <f aca="false">IFERROR(IF([2]对账明细接口!$H$77=0,"",[2]对账明细接口!$H$77),"")</f>
        <v>147</v>
      </c>
      <c r="I77" s="59" t="str">
        <f aca="false">IFERROR(IF([2]对账明细接口!$I$77=0,"",[2]对账明细接口!$I$77),"")</f>
        <v>筐</v>
      </c>
      <c r="J77" s="61" t="n">
        <f aca="false">IFERROR(IF([2]对账明细接口!$J$77=0,"",[2]对账明细接口!$J$77),"")</f>
        <v>294</v>
      </c>
      <c r="K77" s="61" t="str">
        <f aca="false">IFERROR(IF([2]对账明细接口!$K$77=0,"",[2]对账明细接口!$K$77),"")</f>
        <v/>
      </c>
      <c r="L77" s="59" t="str">
        <f aca="false">IFERROR(IF([2]对账明细接口!$L$77=0,"",[2]对账明细接口!$L$77),"")</f>
        <v/>
      </c>
      <c r="M77" s="59" t="str">
        <f aca="false">IFERROR(IF([2]对账明细接口!$M$77=0,"",[2]对账明细接口!$M$77),"")</f>
        <v/>
      </c>
      <c r="N77" s="111" t="n">
        <f aca="false">IF($C77="",0,1)</f>
        <v>1</v>
      </c>
      <c r="O77" s="111" t="n">
        <f aca="false">N(O76)+$N77</f>
        <v>74</v>
      </c>
      <c r="S77" s="10" t="str">
        <f aca="false">IFERROR(IF([2]对账明细接口!$N77=0,"",[2]对账明细接口!$N77),"")</f>
        <v>自备一次性筐</v>
      </c>
      <c r="T77" s="112" t="str">
        <f aca="false">IFERROR(IF([2]对账明细接口!$O77=0,"",[2]对账明细接口!$O77),"")</f>
        <v/>
      </c>
      <c r="U77" s="112" t="str">
        <f aca="false">IFERROR(IF([2]对账明细接口!$P77=0,"",[2]对账明细接口!$P77),"")</f>
        <v/>
      </c>
      <c r="V77" s="112" t="n">
        <f aca="false">IFERROR(IF([2]对账明细接口!$Q77=0,"",[2]对账明细接口!$Q77),"")</f>
        <v>147</v>
      </c>
      <c r="W77" s="10" t="str">
        <f aca="false">IFERROR(IF([2]对账明细接口!$R77=0,"",[2]对账明细接口!$R77),"")</f>
        <v>苏M*7G796</v>
      </c>
      <c r="X77" s="10" t="str">
        <f aca="false">IFERROR(IF([2]对账明细接口!$S77=0,"",[2]对账明细接口!$S77),"")</f>
        <v>自备筐</v>
      </c>
      <c r="Y77" s="10" t="str">
        <f aca="false">IFERROR(IF([2]对账明细接口!$T77=0,"",[2]对账明细接口!$T77),"")</f>
        <v/>
      </c>
      <c r="Z77" s="113" t="str">
        <f aca="false">IFERROR(IF([2]对账明细接口!$U77=0,"",[2]对账明细接口!$U77),"")</f>
        <v/>
      </c>
      <c r="AA77" s="113" t="str">
        <f aca="false">IFERROR(IF([2]对账明细接口!$V77=0,"",[2]对账明细接口!$V77),"")</f>
        <v/>
      </c>
      <c r="AB77" s="10" t="str">
        <f aca="false">IFERROR(IF([2]对账明细接口!$W77=0,"",[2]对账明细接口!$W77),"")</f>
        <v/>
      </c>
      <c r="AC77" s="90" t="str">
        <f aca="false">IFERROR(IF([2]对账明细接口!$X78=0,"",[2]对账明细接口!$X78),"")</f>
        <v/>
      </c>
      <c r="AD77" s="90" t="str">
        <f aca="false">IFERROR(IF([2]对账明细接口!$Y78=0,"",[2]对账明细接口!$Y78),"")</f>
        <v/>
      </c>
      <c r="AE77" s="90" t="str">
        <f aca="false">IFERROR(IF([2]对账明细接口!$AA78=0,"",[2]对账明细接口!$AA78),"")</f>
        <v/>
      </c>
      <c r="AF77" s="90" t="str">
        <f aca="false">IFERROR(IF([2]对账明细接口!$AB78=0,"",[2]对账明细接口!$AB78),"")</f>
        <v/>
      </c>
      <c r="AG77" s="90" t="str">
        <f aca="false">IFERROR(IF([2]对账明细接口!$AC78=0,"",[2]对账明细接口!$AC78),"")</f>
        <v/>
      </c>
      <c r="AH77" s="90" t="str">
        <f aca="false">IFERROR(IF([2]对账明细接口!$AD78=0,"",[2]对账明细接口!$AD78),"")</f>
        <v/>
      </c>
    </row>
    <row r="78" customFormat="false" ht="13.5" hidden="false" customHeight="false" outlineLevel="0" collapsed="false">
      <c r="A78" s="109" t="n">
        <v>78</v>
      </c>
      <c r="B78" s="110" t="n">
        <f aca="false">IFERROR(IF([2]对账明细接口!$B$78=0,"",[2]对账明细接口!$B$78),"")</f>
        <v>46253</v>
      </c>
      <c r="C78" s="59" t="str">
        <f aca="false">IFERROR(IF([2]对账明细接口!$C$78=0,"",[2]对账明细接口!$C$78),"")</f>
        <v>聂新平</v>
      </c>
      <c r="D78" s="59" t="str">
        <f aca="false">IFERROR(IF([2]对账明细接口!$D$78=0,"",[2]对账明细接口!$D$78),"")</f>
        <v>原料入库</v>
      </c>
      <c r="E78" s="59" t="str">
        <f aca="false">IFERROR(IF([2]对账明细接口!$E$78=0,"",[2]对账明细接口!$E$78),"")</f>
        <v>NO:0000705</v>
      </c>
      <c r="F78" s="59" t="str">
        <f aca="false">IFERROR(IF([2]对账明细接口!$F$78=0,"",[2]对账明细接口!$F$78),"")</f>
        <v>西梅</v>
      </c>
      <c r="G78" s="59" t="str">
        <f aca="false">IFERROR(IF([2]对账明细接口!$G$78=0,"",[2]对账明细接口!$G$78),"")</f>
        <v>西梅三级</v>
      </c>
      <c r="H78" s="60" t="n">
        <f aca="false">IFERROR(IF([2]对账明细接口!$H$78=0,"",[2]对账明细接口!$H$78),"")</f>
        <v>107</v>
      </c>
      <c r="I78" s="59" t="str">
        <f aca="false">IFERROR(IF([2]对账明细接口!$I$78=0,"",[2]对账明细接口!$I$78),"")</f>
        <v>筐</v>
      </c>
      <c r="J78" s="61" t="n">
        <f aca="false">IFERROR(IF([2]对账明细接口!$J$78=0,"",[2]对账明细接口!$J$78),"")</f>
        <v>214</v>
      </c>
      <c r="K78" s="61" t="str">
        <f aca="false">IFERROR(IF([2]对账明细接口!$K$78=0,"",[2]对账明细接口!$K$78),"")</f>
        <v/>
      </c>
      <c r="L78" s="59" t="str">
        <f aca="false">IFERROR(IF([2]对账明细接口!$L$78=0,"",[2]对账明细接口!$L$78),"")</f>
        <v/>
      </c>
      <c r="M78" s="59" t="str">
        <f aca="false">IFERROR(IF([2]对账明细接口!$M$78=0,"",[2]对账明细接口!$M$78),"")</f>
        <v/>
      </c>
      <c r="N78" s="111" t="n">
        <f aca="false">IF($C78="",0,1)</f>
        <v>1</v>
      </c>
      <c r="O78" s="111" t="n">
        <f aca="false">N(O77)+$N78</f>
        <v>75</v>
      </c>
      <c r="S78" s="10" t="str">
        <f aca="false">IFERROR(IF([2]对账明细接口!$N78=0,"",[2]对账明细接口!$N78),"")</f>
        <v>自备一次性筐</v>
      </c>
      <c r="T78" s="112" t="str">
        <f aca="false">IFERROR(IF([2]对账明细接口!$O78=0,"",[2]对账明细接口!$O78),"")</f>
        <v/>
      </c>
      <c r="U78" s="112" t="str">
        <f aca="false">IFERROR(IF([2]对账明细接口!$P78=0,"",[2]对账明细接口!$P78),"")</f>
        <v/>
      </c>
      <c r="V78" s="112" t="n">
        <f aca="false">IFERROR(IF([2]对账明细接口!$Q78=0,"",[2]对账明细接口!$Q78),"")</f>
        <v>107</v>
      </c>
      <c r="W78" s="10" t="str">
        <f aca="false">IFERROR(IF([2]对账明细接口!$R78=0,"",[2]对账明细接口!$R78),"")</f>
        <v>苏M*7G796</v>
      </c>
      <c r="X78" s="10" t="str">
        <f aca="false">IFERROR(IF([2]对账明细接口!$S78=0,"",[2]对账明细接口!$S78),"")</f>
        <v>自备筐</v>
      </c>
      <c r="Y78" s="10" t="str">
        <f aca="false">IFERROR(IF([2]对账明细接口!$T78=0,"",[2]对账明细接口!$T78),"")</f>
        <v/>
      </c>
      <c r="Z78" s="113" t="str">
        <f aca="false">IFERROR(IF([2]对账明细接口!$U78=0,"",[2]对账明细接口!$U78),"")</f>
        <v/>
      </c>
      <c r="AA78" s="113" t="str">
        <f aca="false">IFERROR(IF([2]对账明细接口!$V78=0,"",[2]对账明细接口!$V78),"")</f>
        <v/>
      </c>
      <c r="AB78" s="10" t="str">
        <f aca="false">IFERROR(IF([2]对账明细接口!$W78=0,"",[2]对账明细接口!$W78),"")</f>
        <v/>
      </c>
      <c r="AC78" s="90" t="str">
        <f aca="false">IFERROR(IF([2]对账明细接口!$X79=0,"",[2]对账明细接口!$X79),"")</f>
        <v/>
      </c>
      <c r="AD78" s="90" t="str">
        <f aca="false">IFERROR(IF([2]对账明细接口!$Y79=0,"",[2]对账明细接口!$Y79),"")</f>
        <v/>
      </c>
      <c r="AE78" s="90" t="str">
        <f aca="false">IFERROR(IF([2]对账明细接口!$AA79=0,"",[2]对账明细接口!$AA79),"")</f>
        <v/>
      </c>
      <c r="AF78" s="90" t="str">
        <f aca="false">IFERROR(IF([2]对账明细接口!$AB79=0,"",[2]对账明细接口!$AB79),"")</f>
        <v/>
      </c>
      <c r="AG78" s="90" t="str">
        <f aca="false">IFERROR(IF([2]对账明细接口!$AC79=0,"",[2]对账明细接口!$AC79),"")</f>
        <v/>
      </c>
      <c r="AH78" s="90" t="str">
        <f aca="false">IFERROR(IF([2]对账明细接口!$AD79=0,"",[2]对账明细接口!$AD79),"")</f>
        <v/>
      </c>
    </row>
    <row r="79" customFormat="false" ht="13.5" hidden="false" customHeight="false" outlineLevel="0" collapsed="false">
      <c r="A79" s="109" t="n">
        <v>79</v>
      </c>
      <c r="B79" s="110" t="n">
        <f aca="false">IFERROR(IF([2]对账明细接口!$B$79=0,"",[2]对账明细接口!$B$79),"")</f>
        <v>46254</v>
      </c>
      <c r="C79" s="59" t="str">
        <f aca="false">IFERROR(IF([2]对账明细接口!$C$79=0,"",[2]对账明细接口!$C$79),"")</f>
        <v>聂新平</v>
      </c>
      <c r="D79" s="59" t="str">
        <f aca="false">IFERROR(IF([2]对账明细接口!$D$79=0,"",[2]对账明细接口!$D$79),"")</f>
        <v>原料入库</v>
      </c>
      <c r="E79" s="59" t="str">
        <f aca="false">IFERROR(IF([2]对账明细接口!$E$79=0,"",[2]对账明细接口!$E$79),"")</f>
        <v>NO:0000706</v>
      </c>
      <c r="F79" s="59" t="str">
        <f aca="false">IFERROR(IF([2]对账明细接口!$F$79=0,"",[2]对账明细接口!$F$79),"")</f>
        <v>西梅</v>
      </c>
      <c r="G79" s="59" t="str">
        <f aca="false">IFERROR(IF([2]对账明细接口!$G$79=0,"",[2]对账明细接口!$G$79),"")</f>
        <v>西梅二级</v>
      </c>
      <c r="H79" s="60" t="n">
        <f aca="false">IFERROR(IF([2]对账明细接口!$H$79=0,"",[2]对账明细接口!$H$79),"")</f>
        <v>283</v>
      </c>
      <c r="I79" s="59" t="str">
        <f aca="false">IFERROR(IF([2]对账明细接口!$I$79=0,"",[2]对账明细接口!$I$79),"")</f>
        <v>筐</v>
      </c>
      <c r="J79" s="61" t="n">
        <f aca="false">IFERROR(IF([2]对账明细接口!$J$79=0,"",[2]对账明细接口!$J$79),"")</f>
        <v>566</v>
      </c>
      <c r="K79" s="61" t="str">
        <f aca="false">IFERROR(IF([2]对账明细接口!$K$79=0,"",[2]对账明细接口!$K$79),"")</f>
        <v/>
      </c>
      <c r="L79" s="59" t="str">
        <f aca="false">IFERROR(IF([2]对账明细接口!$L$79=0,"",[2]对账明细接口!$L$79),"")</f>
        <v/>
      </c>
      <c r="M79" s="59" t="str">
        <f aca="false">IFERROR(IF([2]对账明细接口!$M$79=0,"",[2]对账明细接口!$M$79),"")</f>
        <v/>
      </c>
      <c r="N79" s="111" t="n">
        <f aca="false">IF($C79="",0,1)</f>
        <v>1</v>
      </c>
      <c r="O79" s="111" t="n">
        <f aca="false">N(O78)+$N79</f>
        <v>76</v>
      </c>
      <c r="S79" s="10" t="str">
        <f aca="false">IFERROR(IF([2]对账明细接口!$N79=0,"",[2]对账明细接口!$N79),"")</f>
        <v>自备一次性筐</v>
      </c>
      <c r="T79" s="112" t="str">
        <f aca="false">IFERROR(IF([2]对账明细接口!$O79=0,"",[2]对账明细接口!$O79),"")</f>
        <v/>
      </c>
      <c r="U79" s="112" t="str">
        <f aca="false">IFERROR(IF([2]对账明细接口!$P79=0,"",[2]对账明细接口!$P79),"")</f>
        <v/>
      </c>
      <c r="V79" s="112" t="n">
        <f aca="false">IFERROR(IF([2]对账明细接口!$Q79=0,"",[2]对账明细接口!$Q79),"")</f>
        <v>283</v>
      </c>
      <c r="W79" s="10" t="str">
        <f aca="false">IFERROR(IF([2]对账明细接口!$R79=0,"",[2]对账明细接口!$R79),"")</f>
        <v>苏M*7G796</v>
      </c>
      <c r="X79" s="10" t="str">
        <f aca="false">IFERROR(IF([2]对账明细接口!$S79=0,"",[2]对账明细接口!$S79),"")</f>
        <v>自备筐</v>
      </c>
      <c r="Y79" s="10" t="str">
        <f aca="false">IFERROR(IF([2]对账明细接口!$T79=0,"",[2]对账明细接口!$T79),"")</f>
        <v/>
      </c>
      <c r="Z79" s="113" t="str">
        <f aca="false">IFERROR(IF([2]对账明细接口!$U79=0,"",[2]对账明细接口!$U79),"")</f>
        <v/>
      </c>
      <c r="AA79" s="113" t="str">
        <f aca="false">IFERROR(IF([2]对账明细接口!$V79=0,"",[2]对账明细接口!$V79),"")</f>
        <v/>
      </c>
      <c r="AB79" s="10" t="str">
        <f aca="false">IFERROR(IF([2]对账明细接口!$W79=0,"",[2]对账明细接口!$W79),"")</f>
        <v/>
      </c>
      <c r="AC79" s="90" t="str">
        <f aca="false">IFERROR(IF([2]对账明细接口!$X80=0,"",[2]对账明细接口!$X80),"")</f>
        <v/>
      </c>
      <c r="AD79" s="90" t="str">
        <f aca="false">IFERROR(IF([2]对账明细接口!$Y80=0,"",[2]对账明细接口!$Y80),"")</f>
        <v/>
      </c>
      <c r="AE79" s="90" t="str">
        <f aca="false">IFERROR(IF([2]对账明细接口!$AA80=0,"",[2]对账明细接口!$AA80),"")</f>
        <v/>
      </c>
      <c r="AF79" s="90" t="str">
        <f aca="false">IFERROR(IF([2]对账明细接口!$AB80=0,"",[2]对账明细接口!$AB80),"")</f>
        <v/>
      </c>
      <c r="AG79" s="90" t="str">
        <f aca="false">IFERROR(IF([2]对账明细接口!$AC80=0,"",[2]对账明细接口!$AC80),"")</f>
        <v/>
      </c>
      <c r="AH79" s="90" t="str">
        <f aca="false">IFERROR(IF([2]对账明细接口!$AD80=0,"",[2]对账明细接口!$AD80),"")</f>
        <v/>
      </c>
    </row>
    <row r="80" customFormat="false" ht="13.5" hidden="false" customHeight="false" outlineLevel="0" collapsed="false">
      <c r="A80" s="109" t="n">
        <v>80</v>
      </c>
      <c r="B80" s="110" t="n">
        <f aca="false">IFERROR(IF([2]对账明细接口!$B$80=0,"",[2]对账明细接口!$B$80),"")</f>
        <v>46254</v>
      </c>
      <c r="C80" s="59" t="str">
        <f aca="false">IFERROR(IF([2]对账明细接口!$C$80=0,"",[2]对账明细接口!$C$80),"")</f>
        <v>聂新平</v>
      </c>
      <c r="D80" s="59" t="str">
        <f aca="false">IFERROR(IF([2]对账明细接口!$D$80=0,"",[2]对账明细接口!$D$80),"")</f>
        <v>原料入库</v>
      </c>
      <c r="E80" s="59" t="str">
        <f aca="false">IFERROR(IF([2]对账明细接口!$E$80=0,"",[2]对账明细接口!$E$80),"")</f>
        <v>NO:0000706</v>
      </c>
      <c r="F80" s="59" t="str">
        <f aca="false">IFERROR(IF([2]对账明细接口!$F$80=0,"",[2]对账明细接口!$F$80),"")</f>
        <v>西梅</v>
      </c>
      <c r="G80" s="59" t="str">
        <f aca="false">IFERROR(IF([2]对账明细接口!$G$80=0,"",[2]对账明细接口!$G$80),"")</f>
        <v>西梅三级</v>
      </c>
      <c r="H80" s="60" t="n">
        <f aca="false">IFERROR(IF([2]对账明细接口!$H$80=0,"",[2]对账明细接口!$H$80),"")</f>
        <v>185</v>
      </c>
      <c r="I80" s="59" t="str">
        <f aca="false">IFERROR(IF([2]对账明细接口!$I$80=0,"",[2]对账明细接口!$I$80),"")</f>
        <v>筐</v>
      </c>
      <c r="J80" s="61" t="n">
        <f aca="false">IFERROR(IF([2]对账明细接口!$J$80=0,"",[2]对账明细接口!$J$80),"")</f>
        <v>370</v>
      </c>
      <c r="K80" s="61" t="str">
        <f aca="false">IFERROR(IF([2]对账明细接口!$K$80=0,"",[2]对账明细接口!$K$80),"")</f>
        <v/>
      </c>
      <c r="L80" s="59" t="str">
        <f aca="false">IFERROR(IF([2]对账明细接口!$L$80=0,"",[2]对账明细接口!$L$80),"")</f>
        <v/>
      </c>
      <c r="M80" s="59" t="str">
        <f aca="false">IFERROR(IF([2]对账明细接口!$M$80=0,"",[2]对账明细接口!$M$80),"")</f>
        <v/>
      </c>
      <c r="N80" s="111" t="n">
        <f aca="false">IF($C80="",0,1)</f>
        <v>1</v>
      </c>
      <c r="O80" s="111" t="n">
        <f aca="false">N(O79)+$N80</f>
        <v>77</v>
      </c>
      <c r="S80" s="10" t="str">
        <f aca="false">IFERROR(IF([2]对账明细接口!$N80=0,"",[2]对账明细接口!$N80),"")</f>
        <v>自备一次性筐</v>
      </c>
      <c r="T80" s="112" t="str">
        <f aca="false">IFERROR(IF([2]对账明细接口!$O80=0,"",[2]对账明细接口!$O80),"")</f>
        <v/>
      </c>
      <c r="U80" s="112" t="str">
        <f aca="false">IFERROR(IF([2]对账明细接口!$P80=0,"",[2]对账明细接口!$P80),"")</f>
        <v/>
      </c>
      <c r="V80" s="112" t="n">
        <f aca="false">IFERROR(IF([2]对账明细接口!$Q80=0,"",[2]对账明细接口!$Q80),"")</f>
        <v>185</v>
      </c>
      <c r="W80" s="10" t="str">
        <f aca="false">IFERROR(IF([2]对账明细接口!$R80=0,"",[2]对账明细接口!$R80),"")</f>
        <v>苏M*7G796</v>
      </c>
      <c r="X80" s="10" t="str">
        <f aca="false">IFERROR(IF([2]对账明细接口!$S80=0,"",[2]对账明细接口!$S80),"")</f>
        <v>自备筐</v>
      </c>
      <c r="Y80" s="10" t="str">
        <f aca="false">IFERROR(IF([2]对账明细接口!$T80=0,"",[2]对账明细接口!$T80),"")</f>
        <v/>
      </c>
      <c r="Z80" s="113" t="str">
        <f aca="false">IFERROR(IF([2]对账明细接口!$U80=0,"",[2]对账明细接口!$U80),"")</f>
        <v/>
      </c>
      <c r="AA80" s="113" t="str">
        <f aca="false">IFERROR(IF([2]对账明细接口!$V80=0,"",[2]对账明细接口!$V80),"")</f>
        <v/>
      </c>
      <c r="AB80" s="10" t="str">
        <f aca="false">IFERROR(IF([2]对账明细接口!$W80=0,"",[2]对账明细接口!$W80),"")</f>
        <v/>
      </c>
      <c r="AC80" s="90" t="str">
        <f aca="false">IFERROR(IF([2]对账明细接口!$X81=0,"",[2]对账明细接口!$X81),"")</f>
        <v/>
      </c>
      <c r="AD80" s="90" t="str">
        <f aca="false">IFERROR(IF([2]对账明细接口!$Y81=0,"",[2]对账明细接口!$Y81),"")</f>
        <v/>
      </c>
      <c r="AE80" s="90" t="str">
        <f aca="false">IFERROR(IF([2]对账明细接口!$AA81=0,"",[2]对账明细接口!$AA81),"")</f>
        <v/>
      </c>
      <c r="AF80" s="90" t="str">
        <f aca="false">IFERROR(IF([2]对账明细接口!$AB81=0,"",[2]对账明细接口!$AB81),"")</f>
        <v/>
      </c>
      <c r="AG80" s="90" t="str">
        <f aca="false">IFERROR(IF([2]对账明细接口!$AC81=0,"",[2]对账明细接口!$AC81),"")</f>
        <v/>
      </c>
      <c r="AH80" s="90" t="str">
        <f aca="false">IFERROR(IF([2]对账明细接口!$AD81=0,"",[2]对账明细接口!$AD81),"")</f>
        <v/>
      </c>
    </row>
    <row r="81" customFormat="false" ht="13.5" hidden="false" customHeight="false" outlineLevel="0" collapsed="false">
      <c r="A81" s="109" t="n">
        <v>81</v>
      </c>
      <c r="B81" s="110" t="n">
        <f aca="false">IFERROR(IF([2]对账明细接口!$B$81=0,"",[2]对账明细接口!$B$81),"")</f>
        <v>46254</v>
      </c>
      <c r="C81" s="59" t="str">
        <f aca="false">IFERROR(IF([2]对账明细接口!$C$81=0,"",[2]对账明细接口!$C$81),"")</f>
        <v>聂新平</v>
      </c>
      <c r="D81" s="59" t="str">
        <f aca="false">IFERROR(IF([2]对账明细接口!$D$81=0,"",[2]对账明细接口!$D$81),"")</f>
        <v>原料入库</v>
      </c>
      <c r="E81" s="59" t="str">
        <f aca="false">IFERROR(IF([2]对账明细接口!$E$81=0,"",[2]对账明细接口!$E$81),"")</f>
        <v>NO:0000707</v>
      </c>
      <c r="F81" s="59" t="str">
        <f aca="false">IFERROR(IF([2]对账明细接口!$F$81=0,"",[2]对账明细接口!$F$81),"")</f>
        <v>西梅</v>
      </c>
      <c r="G81" s="59" t="str">
        <f aca="false">IFERROR(IF([2]对账明细接口!$G$81=0,"",[2]对账明细接口!$G$81),"")</f>
        <v>西梅一级</v>
      </c>
      <c r="H81" s="60" t="n">
        <f aca="false">IFERROR(IF([2]对账明细接口!$H$81=0,"",[2]对账明细接口!$H$81),"")</f>
        <v>16</v>
      </c>
      <c r="I81" s="59" t="str">
        <f aca="false">IFERROR(IF([2]对账明细接口!$I$81=0,"",[2]对账明细接口!$I$81),"")</f>
        <v>筐</v>
      </c>
      <c r="J81" s="61" t="n">
        <f aca="false">IFERROR(IF([2]对账明细接口!$J$81=0,"",[2]对账明细接口!$J$81),"")</f>
        <v>112</v>
      </c>
      <c r="K81" s="61" t="str">
        <f aca="false">IFERROR(IF([2]对账明细接口!$K$81=0,"",[2]对账明细接口!$K$81),"")</f>
        <v/>
      </c>
      <c r="L81" s="59" t="str">
        <f aca="false">IFERROR(IF([2]对账明细接口!$L$81=0,"",[2]对账明细接口!$L$81),"")</f>
        <v/>
      </c>
      <c r="M81" s="59" t="str">
        <f aca="false">IFERROR(IF([2]对账明细接口!$M$81=0,"",[2]对账明细接口!$M$81),"")</f>
        <v/>
      </c>
      <c r="N81" s="111" t="n">
        <f aca="false">IF($C81="",0,1)</f>
        <v>1</v>
      </c>
      <c r="O81" s="111" t="n">
        <f aca="false">N(O80)+$N81</f>
        <v>78</v>
      </c>
      <c r="S81" s="10" t="str">
        <f aca="false">IFERROR(IF([2]对账明细接口!$N81=0,"",[2]对账明细接口!$N81),"")</f>
        <v>自备一次性筐</v>
      </c>
      <c r="T81" s="112" t="str">
        <f aca="false">IFERROR(IF([2]对账明细接口!$O81=0,"",[2]对账明细接口!$O81),"")</f>
        <v/>
      </c>
      <c r="U81" s="112" t="str">
        <f aca="false">IFERROR(IF([2]对账明细接口!$P81=0,"",[2]对账明细接口!$P81),"")</f>
        <v/>
      </c>
      <c r="V81" s="112" t="n">
        <f aca="false">IFERROR(IF([2]对账明细接口!$Q81=0,"",[2]对账明细接口!$Q81),"")</f>
        <v>16</v>
      </c>
      <c r="W81" s="10" t="str">
        <f aca="false">IFERROR(IF([2]对账明细接口!$R81=0,"",[2]对账明细接口!$R81),"")</f>
        <v>苏M*7G796</v>
      </c>
      <c r="X81" s="10" t="str">
        <f aca="false">IFERROR(IF([2]对账明细接口!$S81=0,"",[2]对账明细接口!$S81),"")</f>
        <v>自备筐</v>
      </c>
      <c r="Y81" s="10" t="str">
        <f aca="false">IFERROR(IF([2]对账明细接口!$T81=0,"",[2]对账明细接口!$T81),"")</f>
        <v/>
      </c>
      <c r="Z81" s="113" t="str">
        <f aca="false">IFERROR(IF([2]对账明细接口!$U81=0,"",[2]对账明细接口!$U81),"")</f>
        <v/>
      </c>
      <c r="AA81" s="113" t="str">
        <f aca="false">IFERROR(IF([2]对账明细接口!$V81=0,"",[2]对账明细接口!$V81),"")</f>
        <v/>
      </c>
      <c r="AB81" s="10" t="str">
        <f aca="false">IFERROR(IF([2]对账明细接口!$W81=0,"",[2]对账明细接口!$W81),"")</f>
        <v/>
      </c>
      <c r="AC81" s="90" t="str">
        <f aca="false">IFERROR(IF([2]对账明细接口!$X82=0,"",[2]对账明细接口!$X82),"")</f>
        <v/>
      </c>
      <c r="AD81" s="90" t="str">
        <f aca="false">IFERROR(IF([2]对账明细接口!$Y82=0,"",[2]对账明细接口!$Y82),"")</f>
        <v/>
      </c>
      <c r="AE81" s="90" t="str">
        <f aca="false">IFERROR(IF([2]对账明细接口!$AA82=0,"",[2]对账明细接口!$AA82),"")</f>
        <v/>
      </c>
      <c r="AF81" s="90" t="str">
        <f aca="false">IFERROR(IF([2]对账明细接口!$AB82=0,"",[2]对账明细接口!$AB82),"")</f>
        <v/>
      </c>
      <c r="AG81" s="90" t="str">
        <f aca="false">IFERROR(IF([2]对账明细接口!$AC82=0,"",[2]对账明细接口!$AC82),"")</f>
        <v/>
      </c>
      <c r="AH81" s="90" t="str">
        <f aca="false">IFERROR(IF([2]对账明细接口!$AD82=0,"",[2]对账明细接口!$AD82),"")</f>
        <v/>
      </c>
    </row>
    <row r="82" customFormat="false" ht="13.5" hidden="false" customHeight="false" outlineLevel="0" collapsed="false">
      <c r="A82" s="109" t="n">
        <v>82</v>
      </c>
      <c r="B82" s="110" t="n">
        <f aca="false">IFERROR(IF([2]对账明细接口!$B$82=0,"",[2]对账明细接口!$B$82),"")</f>
        <v>46254</v>
      </c>
      <c r="C82" s="59" t="str">
        <f aca="false">IFERROR(IF([2]对账明细接口!$C$82=0,"",[2]对账明细接口!$C$82),"")</f>
        <v>聂新平</v>
      </c>
      <c r="D82" s="59" t="str">
        <f aca="false">IFERROR(IF([2]对账明细接口!$D$82=0,"",[2]对账明细接口!$D$82),"")</f>
        <v>原料入库</v>
      </c>
      <c r="E82" s="59" t="str">
        <f aca="false">IFERROR(IF([2]对账明细接口!$E$82=0,"",[2]对账明细接口!$E$82),"")</f>
        <v>NO:0000707</v>
      </c>
      <c r="F82" s="59" t="str">
        <f aca="false">IFERROR(IF([2]对账明细接口!$F$82=0,"",[2]对账明细接口!$F$82),"")</f>
        <v>西梅</v>
      </c>
      <c r="G82" s="59" t="str">
        <f aca="false">IFERROR(IF([2]对账明细接口!$G$82=0,"",[2]对账明细接口!$G$82),"")</f>
        <v>西梅三级</v>
      </c>
      <c r="H82" s="60" t="n">
        <f aca="false">IFERROR(IF([2]对账明细接口!$H$82=0,"",[2]对账明细接口!$H$82),"")</f>
        <v>28</v>
      </c>
      <c r="I82" s="59" t="str">
        <f aca="false">IFERROR(IF([2]对账明细接口!$I$82=0,"",[2]对账明细接口!$I$82),"")</f>
        <v>筐</v>
      </c>
      <c r="J82" s="61" t="n">
        <f aca="false">IFERROR(IF([2]对账明细接口!$J$82=0,"",[2]对账明细接口!$J$82),"")</f>
        <v>56</v>
      </c>
      <c r="K82" s="61" t="str">
        <f aca="false">IFERROR(IF([2]对账明细接口!$K$82=0,"",[2]对账明细接口!$K$82),"")</f>
        <v/>
      </c>
      <c r="L82" s="59" t="str">
        <f aca="false">IFERROR(IF([2]对账明细接口!$L$82=0,"",[2]对账明细接口!$L$82),"")</f>
        <v/>
      </c>
      <c r="M82" s="59" t="str">
        <f aca="false">IFERROR(IF([2]对账明细接口!$M$82=0,"",[2]对账明细接口!$M$82),"")</f>
        <v/>
      </c>
      <c r="N82" s="111" t="n">
        <f aca="false">IF($C82="",0,1)</f>
        <v>1</v>
      </c>
      <c r="O82" s="111" t="n">
        <f aca="false">N(O81)+$N82</f>
        <v>79</v>
      </c>
      <c r="S82" s="10" t="str">
        <f aca="false">IFERROR(IF([2]对账明细接口!$N82=0,"",[2]对账明细接口!$N82),"")</f>
        <v>自备一次性筐</v>
      </c>
      <c r="T82" s="112" t="str">
        <f aca="false">IFERROR(IF([2]对账明细接口!$O82=0,"",[2]对账明细接口!$O82),"")</f>
        <v/>
      </c>
      <c r="U82" s="112" t="str">
        <f aca="false">IFERROR(IF([2]对账明细接口!$P82=0,"",[2]对账明细接口!$P82),"")</f>
        <v/>
      </c>
      <c r="V82" s="112" t="n">
        <f aca="false">IFERROR(IF([2]对账明细接口!$Q82=0,"",[2]对账明细接口!$Q82),"")</f>
        <v>28</v>
      </c>
      <c r="W82" s="10" t="str">
        <f aca="false">IFERROR(IF([2]对账明细接口!$R82=0,"",[2]对账明细接口!$R82),"")</f>
        <v>苏M*7G796</v>
      </c>
      <c r="X82" s="10" t="str">
        <f aca="false">IFERROR(IF([2]对账明细接口!$S82=0,"",[2]对账明细接口!$S82),"")</f>
        <v>自备筐</v>
      </c>
      <c r="Y82" s="10" t="str">
        <f aca="false">IFERROR(IF([2]对账明细接口!$T82=0,"",[2]对账明细接口!$T82),"")</f>
        <v/>
      </c>
      <c r="Z82" s="113" t="str">
        <f aca="false">IFERROR(IF([2]对账明细接口!$U82=0,"",[2]对账明细接口!$U82),"")</f>
        <v/>
      </c>
      <c r="AA82" s="113" t="str">
        <f aca="false">IFERROR(IF([2]对账明细接口!$V82=0,"",[2]对账明细接口!$V82),"")</f>
        <v/>
      </c>
      <c r="AB82" s="10" t="str">
        <f aca="false">IFERROR(IF([2]对账明细接口!$W82=0,"",[2]对账明细接口!$W82),"")</f>
        <v/>
      </c>
      <c r="AC82" s="90" t="str">
        <f aca="false">IFERROR(IF([2]对账明细接口!$X83=0,"",[2]对账明细接口!$X83),"")</f>
        <v/>
      </c>
      <c r="AD82" s="90" t="str">
        <f aca="false">IFERROR(IF([2]对账明细接口!$Y83=0,"",[2]对账明细接口!$Y83),"")</f>
        <v/>
      </c>
      <c r="AE82" s="90" t="str">
        <f aca="false">IFERROR(IF([2]对账明细接口!$AA83=0,"",[2]对账明细接口!$AA83),"")</f>
        <v/>
      </c>
      <c r="AF82" s="90" t="str">
        <f aca="false">IFERROR(IF([2]对账明细接口!$AB83=0,"",[2]对账明细接口!$AB83),"")</f>
        <v/>
      </c>
      <c r="AG82" s="90" t="str">
        <f aca="false">IFERROR(IF([2]对账明细接口!$AC83=0,"",[2]对账明细接口!$AC83),"")</f>
        <v/>
      </c>
      <c r="AH82" s="90" t="str">
        <f aca="false">IFERROR(IF([2]对账明细接口!$AD83=0,"",[2]对账明细接口!$AD83),"")</f>
        <v/>
      </c>
    </row>
    <row r="83" customFormat="false" ht="13.5" hidden="false" customHeight="false" outlineLevel="0" collapsed="false">
      <c r="A83" s="109" t="n">
        <v>83</v>
      </c>
      <c r="B83" s="110" t="n">
        <f aca="false">IFERROR(IF([2]对账明细接口!$B$83=0,"",[2]对账明细接口!$B$83),"")</f>
        <v>46254</v>
      </c>
      <c r="C83" s="59" t="str">
        <f aca="false">IFERROR(IF([2]对账明细接口!$C$83=0,"",[2]对账明细接口!$C$83),"")</f>
        <v>聂新平</v>
      </c>
      <c r="D83" s="59" t="str">
        <f aca="false">IFERROR(IF([2]对账明细接口!$D$83=0,"",[2]对账明细接口!$D$83),"")</f>
        <v>原料入库</v>
      </c>
      <c r="E83" s="59" t="str">
        <f aca="false">IFERROR(IF([2]对账明细接口!$E$83=0,"",[2]对账明细接口!$E$83),"")</f>
        <v>NO:0000707</v>
      </c>
      <c r="F83" s="59" t="str">
        <f aca="false">IFERROR(IF([2]对账明细接口!$F$83=0,"",[2]对账明细接口!$F$83),"")</f>
        <v>西梅</v>
      </c>
      <c r="G83" s="59" t="str">
        <f aca="false">IFERROR(IF([2]对账明细接口!$G$83=0,"",[2]对账明细接口!$G$83),"")</f>
        <v>西梅二级</v>
      </c>
      <c r="H83" s="60" t="n">
        <f aca="false">IFERROR(IF([2]对账明细接口!$H$83=0,"",[2]对账明细接口!$H$83),"")</f>
        <v>133</v>
      </c>
      <c r="I83" s="59" t="str">
        <f aca="false">IFERROR(IF([2]对账明细接口!$I$83=0,"",[2]对账明细接口!$I$83),"")</f>
        <v>筐</v>
      </c>
      <c r="J83" s="61" t="n">
        <f aca="false">IFERROR(IF([2]对账明细接口!$J$83=0,"",[2]对账明细接口!$J$83),"")</f>
        <v>1197</v>
      </c>
      <c r="K83" s="61" t="str">
        <f aca="false">IFERROR(IF([2]对账明细接口!$K$83=0,"",[2]对账明细接口!$K$83),"")</f>
        <v/>
      </c>
      <c r="L83" s="59" t="str">
        <f aca="false">IFERROR(IF([2]对账明细接口!$L$83=0,"",[2]对账明细接口!$L$83),"")</f>
        <v/>
      </c>
      <c r="M83" s="59" t="str">
        <f aca="false">IFERROR(IF([2]对账明细接口!$M$83=0,"",[2]对账明细接口!$M$83),"")</f>
        <v/>
      </c>
      <c r="N83" s="111" t="n">
        <f aca="false">IF($C83="",0,1)</f>
        <v>1</v>
      </c>
      <c r="O83" s="111" t="n">
        <f aca="false">N(O82)+$N83</f>
        <v>80</v>
      </c>
      <c r="S83" s="10" t="str">
        <f aca="false">IFERROR(IF([2]对账明细接口!$N83=0,"",[2]对账明细接口!$N83),"")</f>
        <v>自备一次性筐</v>
      </c>
      <c r="T83" s="112" t="str">
        <f aca="false">IFERROR(IF([2]对账明细接口!$O83=0,"",[2]对账明细接口!$O83),"")</f>
        <v/>
      </c>
      <c r="U83" s="112" t="str">
        <f aca="false">IFERROR(IF([2]对账明细接口!$P83=0,"",[2]对账明细接口!$P83),"")</f>
        <v/>
      </c>
      <c r="V83" s="112" t="n">
        <f aca="false">IFERROR(IF([2]对账明细接口!$Q83=0,"",[2]对账明细接口!$Q83),"")</f>
        <v>133</v>
      </c>
      <c r="W83" s="10" t="str">
        <f aca="false">IFERROR(IF([2]对账明细接口!$R83=0,"",[2]对账明细接口!$R83),"")</f>
        <v>苏M*7G796</v>
      </c>
      <c r="X83" s="10" t="str">
        <f aca="false">IFERROR(IF([2]对账明细接口!$S83=0,"",[2]对账明细接口!$S83),"")</f>
        <v>自备筐</v>
      </c>
      <c r="Y83" s="10" t="str">
        <f aca="false">IFERROR(IF([2]对账明细接口!$T83=0,"",[2]对账明细接口!$T83),"")</f>
        <v/>
      </c>
      <c r="Z83" s="113" t="str">
        <f aca="false">IFERROR(IF([2]对账明细接口!$U83=0,"",[2]对账明细接口!$U83),"")</f>
        <v/>
      </c>
      <c r="AA83" s="113" t="str">
        <f aca="false">IFERROR(IF([2]对账明细接口!$V83=0,"",[2]对账明细接口!$V83),"")</f>
        <v/>
      </c>
      <c r="AB83" s="10" t="str">
        <f aca="false">IFERROR(IF([2]对账明细接口!$W83=0,"",[2]对账明细接口!$W83),"")</f>
        <v/>
      </c>
      <c r="AC83" s="90" t="str">
        <f aca="false">IFERROR(IF([2]对账明细接口!$X84=0,"",[2]对账明细接口!$X84),"")</f>
        <v/>
      </c>
      <c r="AD83" s="90" t="str">
        <f aca="false">IFERROR(IF([2]对账明细接口!$Y84=0,"",[2]对账明细接口!$Y84),"")</f>
        <v/>
      </c>
      <c r="AE83" s="90" t="str">
        <f aca="false">IFERROR(IF([2]对账明细接口!$AA84=0,"",[2]对账明细接口!$AA84),"")</f>
        <v/>
      </c>
      <c r="AF83" s="90" t="str">
        <f aca="false">IFERROR(IF([2]对账明细接口!$AB84=0,"",[2]对账明细接口!$AB84),"")</f>
        <v/>
      </c>
      <c r="AG83" s="90" t="str">
        <f aca="false">IFERROR(IF([2]对账明细接口!$AC84=0,"",[2]对账明细接口!$AC84),"")</f>
        <v/>
      </c>
      <c r="AH83" s="90" t="str">
        <f aca="false">IFERROR(IF([2]对账明细接口!$AD84=0,"",[2]对账明细接口!$AD84),"")</f>
        <v/>
      </c>
    </row>
    <row r="84" customFormat="false" ht="13.5" hidden="false" customHeight="false" outlineLevel="0" collapsed="false">
      <c r="A84" s="109" t="n">
        <v>84</v>
      </c>
      <c r="B84" s="110" t="n">
        <f aca="false">IFERROR(IF([2]对账明细接口!$B$84=0,"",[2]对账明细接口!$B$84),"")</f>
        <v>46254</v>
      </c>
      <c r="C84" s="59" t="str">
        <f aca="false">IFERROR(IF([2]对账明细接口!$C$84=0,"",[2]对账明细接口!$C$84),"")</f>
        <v>聂新平</v>
      </c>
      <c r="D84" s="59" t="str">
        <f aca="false">IFERROR(IF([2]对账明细接口!$D$84=0,"",[2]对账明细接口!$D$84),"")</f>
        <v>原料入库</v>
      </c>
      <c r="E84" s="59" t="str">
        <f aca="false">IFERROR(IF([2]对账明细接口!$E$84=0,"",[2]对账明细接口!$E$84),"")</f>
        <v>NO:0000708</v>
      </c>
      <c r="F84" s="59" t="str">
        <f aca="false">IFERROR(IF([2]对账明细接口!$F$84=0,"",[2]对账明细接口!$F$84),"")</f>
        <v>西梅</v>
      </c>
      <c r="G84" s="59" t="str">
        <f aca="false">IFERROR(IF([2]对账明细接口!$G$84=0,"",[2]对账明细接口!$G$84),"")</f>
        <v>西梅一级</v>
      </c>
      <c r="H84" s="60" t="n">
        <f aca="false">IFERROR(IF([2]对账明细接口!$H$84=0,"",[2]对账明细接口!$H$84),"")</f>
        <v>60</v>
      </c>
      <c r="I84" s="59" t="str">
        <f aca="false">IFERROR(IF([2]对账明细接口!$I$84=0,"",[2]对账明细接口!$I$84),"")</f>
        <v>筐</v>
      </c>
      <c r="J84" s="61" t="n">
        <f aca="false">IFERROR(IF([2]对账明细接口!$J$84=0,"",[2]对账明细接口!$J$84),"")</f>
        <v>420</v>
      </c>
      <c r="K84" s="61" t="str">
        <f aca="false">IFERROR(IF([2]对账明细接口!$K$84=0,"",[2]对账明细接口!$K$84),"")</f>
        <v/>
      </c>
      <c r="L84" s="59" t="str">
        <f aca="false">IFERROR(IF([2]对账明细接口!$L$84=0,"",[2]对账明细接口!$L$84),"")</f>
        <v/>
      </c>
      <c r="M84" s="59" t="str">
        <f aca="false">IFERROR(IF([2]对账明细接口!$M$84=0,"",[2]对账明细接口!$M$84),"")</f>
        <v/>
      </c>
      <c r="N84" s="111" t="n">
        <f aca="false">IF($C84="",0,1)</f>
        <v>1</v>
      </c>
      <c r="O84" s="111" t="n">
        <f aca="false">N(O83)+$N84</f>
        <v>81</v>
      </c>
      <c r="S84" s="10" t="str">
        <f aca="false">IFERROR(IF([2]对账明细接口!$N84=0,"",[2]对账明细接口!$N84),"")</f>
        <v>自备一次性筐</v>
      </c>
      <c r="T84" s="112" t="str">
        <f aca="false">IFERROR(IF([2]对账明细接口!$O84=0,"",[2]对账明细接口!$O84),"")</f>
        <v/>
      </c>
      <c r="U84" s="112" t="str">
        <f aca="false">IFERROR(IF([2]对账明细接口!$P84=0,"",[2]对账明细接口!$P84),"")</f>
        <v/>
      </c>
      <c r="V84" s="112" t="n">
        <f aca="false">IFERROR(IF([2]对账明细接口!$Q84=0,"",[2]对账明细接口!$Q84),"")</f>
        <v>60</v>
      </c>
      <c r="W84" s="10" t="str">
        <f aca="false">IFERROR(IF([2]对账明细接口!$R84=0,"",[2]对账明细接口!$R84),"")</f>
        <v>苏M*7G796</v>
      </c>
      <c r="X84" s="10" t="str">
        <f aca="false">IFERROR(IF([2]对账明细接口!$S84=0,"",[2]对账明细接口!$S84),"")</f>
        <v>自备筐</v>
      </c>
      <c r="Y84" s="10" t="str">
        <f aca="false">IFERROR(IF([2]对账明细接口!$T84=0,"",[2]对账明细接口!$T84),"")</f>
        <v/>
      </c>
      <c r="Z84" s="113" t="str">
        <f aca="false">IFERROR(IF([2]对账明细接口!$U84=0,"",[2]对账明细接口!$U84),"")</f>
        <v/>
      </c>
      <c r="AA84" s="113" t="str">
        <f aca="false">IFERROR(IF([2]对账明细接口!$V84=0,"",[2]对账明细接口!$V84),"")</f>
        <v/>
      </c>
      <c r="AB84" s="10" t="str">
        <f aca="false">IFERROR(IF([2]对账明细接口!$W84=0,"",[2]对账明细接口!$W84),"")</f>
        <v/>
      </c>
      <c r="AC84" s="90" t="str">
        <f aca="false">IFERROR(IF([2]对账明细接口!$X85=0,"",[2]对账明细接口!$X85),"")</f>
        <v/>
      </c>
      <c r="AD84" s="90" t="str">
        <f aca="false">IFERROR(IF([2]对账明细接口!$Y85=0,"",[2]对账明细接口!$Y85),"")</f>
        <v/>
      </c>
      <c r="AE84" s="90" t="str">
        <f aca="false">IFERROR(IF([2]对账明细接口!$AA85=0,"",[2]对账明细接口!$AA85),"")</f>
        <v/>
      </c>
      <c r="AF84" s="90" t="str">
        <f aca="false">IFERROR(IF([2]对账明细接口!$AB85=0,"",[2]对账明细接口!$AB85),"")</f>
        <v/>
      </c>
      <c r="AG84" s="90" t="str">
        <f aca="false">IFERROR(IF([2]对账明细接口!$AC85=0,"",[2]对账明细接口!$AC85),"")</f>
        <v/>
      </c>
      <c r="AH84" s="90" t="str">
        <f aca="false">IFERROR(IF([2]对账明细接口!$AD85=0,"",[2]对账明细接口!$AD85),"")</f>
        <v/>
      </c>
    </row>
    <row r="85" customFormat="false" ht="13.5" hidden="false" customHeight="false" outlineLevel="0" collapsed="false">
      <c r="A85" s="109" t="n">
        <v>85</v>
      </c>
      <c r="B85" s="110" t="n">
        <f aca="false">IFERROR(IF([2]对账明细接口!$B$85=0,"",[2]对账明细接口!$B$85),"")</f>
        <v>46254</v>
      </c>
      <c r="C85" s="59" t="str">
        <f aca="false">IFERROR(IF([2]对账明细接口!$C$85=0,"",[2]对账明细接口!$C$85),"")</f>
        <v>聂新平</v>
      </c>
      <c r="D85" s="59" t="str">
        <f aca="false">IFERROR(IF([2]对账明细接口!$D$85=0,"",[2]对账明细接口!$D$85),"")</f>
        <v>原料入库</v>
      </c>
      <c r="E85" s="59" t="str">
        <f aca="false">IFERROR(IF([2]对账明细接口!$E$85=0,"",[2]对账明细接口!$E$85),"")</f>
        <v>NO:0000708</v>
      </c>
      <c r="F85" s="59" t="str">
        <f aca="false">IFERROR(IF([2]对账明细接口!$F$85=0,"",[2]对账明细接口!$F$85),"")</f>
        <v>西梅</v>
      </c>
      <c r="G85" s="59" t="str">
        <f aca="false">IFERROR(IF([2]对账明细接口!$G$85=0,"",[2]对账明细接口!$G$85),"")</f>
        <v>西梅二级</v>
      </c>
      <c r="H85" s="60" t="n">
        <f aca="false">IFERROR(IF([2]对账明细接口!$H$85=0,"",[2]对账明细接口!$H$85),"")</f>
        <v>185</v>
      </c>
      <c r="I85" s="59" t="str">
        <f aca="false">IFERROR(IF([2]对账明细接口!$I$85=0,"",[2]对账明细接口!$I$85),"")</f>
        <v>筐</v>
      </c>
      <c r="J85" s="61" t="n">
        <f aca="false">IFERROR(IF([2]对账明细接口!$J$85=0,"",[2]对账明细接口!$J$85),"")</f>
        <v>370</v>
      </c>
      <c r="K85" s="61" t="str">
        <f aca="false">IFERROR(IF([2]对账明细接口!$K$85=0,"",[2]对账明细接口!$K$85),"")</f>
        <v/>
      </c>
      <c r="L85" s="59" t="str">
        <f aca="false">IFERROR(IF([2]对账明细接口!$L$85=0,"",[2]对账明细接口!$L$85),"")</f>
        <v/>
      </c>
      <c r="M85" s="59" t="str">
        <f aca="false">IFERROR(IF([2]对账明细接口!$M$85=0,"",[2]对账明细接口!$M$85),"")</f>
        <v/>
      </c>
      <c r="N85" s="111" t="n">
        <f aca="false">IF($C85="",0,1)</f>
        <v>1</v>
      </c>
      <c r="O85" s="111" t="n">
        <f aca="false">N(O84)+$N85</f>
        <v>82</v>
      </c>
      <c r="S85" s="10" t="str">
        <f aca="false">IFERROR(IF([2]对账明细接口!$N85=0,"",[2]对账明细接口!$N85),"")</f>
        <v>自备一次性筐</v>
      </c>
      <c r="T85" s="112" t="str">
        <f aca="false">IFERROR(IF([2]对账明细接口!$O85=0,"",[2]对账明细接口!$O85),"")</f>
        <v/>
      </c>
      <c r="U85" s="112" t="str">
        <f aca="false">IFERROR(IF([2]对账明细接口!$P85=0,"",[2]对账明细接口!$P85),"")</f>
        <v/>
      </c>
      <c r="V85" s="112" t="n">
        <f aca="false">IFERROR(IF([2]对账明细接口!$Q85=0,"",[2]对账明细接口!$Q85),"")</f>
        <v>185</v>
      </c>
      <c r="W85" s="10" t="str">
        <f aca="false">IFERROR(IF([2]对账明细接口!$R85=0,"",[2]对账明细接口!$R85),"")</f>
        <v>苏M*7G796</v>
      </c>
      <c r="X85" s="10" t="str">
        <f aca="false">IFERROR(IF([2]对账明细接口!$S85=0,"",[2]对账明细接口!$S85),"")</f>
        <v>自备筐</v>
      </c>
      <c r="Y85" s="10" t="str">
        <f aca="false">IFERROR(IF([2]对账明细接口!$T85=0,"",[2]对账明细接口!$T85),"")</f>
        <v/>
      </c>
      <c r="Z85" s="113" t="str">
        <f aca="false">IFERROR(IF([2]对账明细接口!$U85=0,"",[2]对账明细接口!$U85),"")</f>
        <v/>
      </c>
      <c r="AA85" s="113" t="str">
        <f aca="false">IFERROR(IF([2]对账明细接口!$V85=0,"",[2]对账明细接口!$V85),"")</f>
        <v/>
      </c>
      <c r="AB85" s="10" t="str">
        <f aca="false">IFERROR(IF([2]对账明细接口!$W85=0,"",[2]对账明细接口!$W85),"")</f>
        <v/>
      </c>
      <c r="AC85" s="90" t="str">
        <f aca="false">IFERROR(IF([2]对账明细接口!$X86=0,"",[2]对账明细接口!$X86),"")</f>
        <v/>
      </c>
      <c r="AD85" s="90" t="str">
        <f aca="false">IFERROR(IF([2]对账明细接口!$Y86=0,"",[2]对账明细接口!$Y86),"")</f>
        <v/>
      </c>
      <c r="AE85" s="90" t="str">
        <f aca="false">IFERROR(IF([2]对账明细接口!$AA86=0,"",[2]对账明细接口!$AA86),"")</f>
        <v/>
      </c>
      <c r="AF85" s="90" t="str">
        <f aca="false">IFERROR(IF([2]对账明细接口!$AB86=0,"",[2]对账明细接口!$AB86),"")</f>
        <v/>
      </c>
      <c r="AG85" s="90" t="str">
        <f aca="false">IFERROR(IF([2]对账明细接口!$AC86=0,"",[2]对账明细接口!$AC86),"")</f>
        <v/>
      </c>
      <c r="AH85" s="90" t="str">
        <f aca="false">IFERROR(IF([2]对账明细接口!$AD86=0,"",[2]对账明细接口!$AD86),"")</f>
        <v/>
      </c>
    </row>
    <row r="86" customFormat="false" ht="13.5" hidden="false" customHeight="false" outlineLevel="0" collapsed="false">
      <c r="A86" s="109" t="n">
        <v>86</v>
      </c>
      <c r="B86" s="110" t="n">
        <f aca="false">IFERROR(IF([2]对账明细接口!$B$86=0,"",[2]对账明细接口!$B$86),"")</f>
        <v>46254</v>
      </c>
      <c r="C86" s="59" t="str">
        <f aca="false">IFERROR(IF([2]对账明细接口!$C$86=0,"",[2]对账明细接口!$C$86),"")</f>
        <v>聂新平</v>
      </c>
      <c r="D86" s="59" t="str">
        <f aca="false">IFERROR(IF([2]对账明细接口!$D$86=0,"",[2]对账明细接口!$D$86),"")</f>
        <v>原料入库</v>
      </c>
      <c r="E86" s="59" t="str">
        <f aca="false">IFERROR(IF([2]对账明细接口!$E$86=0,"",[2]对账明细接口!$E$86),"")</f>
        <v>NO:0000708</v>
      </c>
      <c r="F86" s="59" t="str">
        <f aca="false">IFERROR(IF([2]对账明细接口!$F$86=0,"",[2]对账明细接口!$F$86),"")</f>
        <v>西梅</v>
      </c>
      <c r="G86" s="59" t="str">
        <f aca="false">IFERROR(IF([2]对账明细接口!$G$86=0,"",[2]对账明细接口!$G$86),"")</f>
        <v>西梅三级</v>
      </c>
      <c r="H86" s="60" t="n">
        <f aca="false">IFERROR(IF([2]对账明细接口!$H$86=0,"",[2]对账明细接口!$H$86),"")</f>
        <v>115</v>
      </c>
      <c r="I86" s="59" t="str">
        <f aca="false">IFERROR(IF([2]对账明细接口!$I$86=0,"",[2]对账明细接口!$I$86),"")</f>
        <v>筐</v>
      </c>
      <c r="J86" s="61" t="n">
        <f aca="false">IFERROR(IF([2]对账明细接口!$J$86=0,"",[2]对账明细接口!$J$86),"")</f>
        <v>230</v>
      </c>
      <c r="K86" s="61" t="str">
        <f aca="false">IFERROR(IF([2]对账明细接口!$K$86=0,"",[2]对账明细接口!$K$86),"")</f>
        <v/>
      </c>
      <c r="L86" s="59" t="str">
        <f aca="false">IFERROR(IF([2]对账明细接口!$L$86=0,"",[2]对账明细接口!$L$86),"")</f>
        <v/>
      </c>
      <c r="M86" s="59" t="str">
        <f aca="false">IFERROR(IF([2]对账明细接口!$M$86=0,"",[2]对账明细接口!$M$86),"")</f>
        <v/>
      </c>
      <c r="N86" s="111" t="n">
        <f aca="false">IF($C86="",0,1)</f>
        <v>1</v>
      </c>
      <c r="O86" s="111" t="n">
        <f aca="false">N(O85)+$N86</f>
        <v>83</v>
      </c>
      <c r="S86" s="10" t="str">
        <f aca="false">IFERROR(IF([2]对账明细接口!$N86=0,"",[2]对账明细接口!$N86),"")</f>
        <v>自备一次性筐</v>
      </c>
      <c r="T86" s="112" t="str">
        <f aca="false">IFERROR(IF([2]对账明细接口!$O86=0,"",[2]对账明细接口!$O86),"")</f>
        <v/>
      </c>
      <c r="U86" s="112" t="str">
        <f aca="false">IFERROR(IF([2]对账明细接口!$P86=0,"",[2]对账明细接口!$P86),"")</f>
        <v/>
      </c>
      <c r="V86" s="112" t="n">
        <f aca="false">IFERROR(IF([2]对账明细接口!$Q86=0,"",[2]对账明细接口!$Q86),"")</f>
        <v>115</v>
      </c>
      <c r="W86" s="10" t="str">
        <f aca="false">IFERROR(IF([2]对账明细接口!$R86=0,"",[2]对账明细接口!$R86),"")</f>
        <v>苏M*7G796</v>
      </c>
      <c r="X86" s="10" t="str">
        <f aca="false">IFERROR(IF([2]对账明细接口!$S86=0,"",[2]对账明细接口!$S86),"")</f>
        <v>自备筐</v>
      </c>
      <c r="Y86" s="10" t="str">
        <f aca="false">IFERROR(IF([2]对账明细接口!$T86=0,"",[2]对账明细接口!$T86),"")</f>
        <v/>
      </c>
      <c r="Z86" s="113" t="str">
        <f aca="false">IFERROR(IF([2]对账明细接口!$U86=0,"",[2]对账明细接口!$U86),"")</f>
        <v/>
      </c>
      <c r="AA86" s="113" t="str">
        <f aca="false">IFERROR(IF([2]对账明细接口!$V86=0,"",[2]对账明细接口!$V86),"")</f>
        <v/>
      </c>
      <c r="AB86" s="10" t="str">
        <f aca="false">IFERROR(IF([2]对账明细接口!$W86=0,"",[2]对账明细接口!$W86),"")</f>
        <v/>
      </c>
      <c r="AC86" s="90" t="str">
        <f aca="false">IFERROR(IF([2]对账明细接口!$X87=0,"",[2]对账明细接口!$X87),"")</f>
        <v/>
      </c>
      <c r="AD86" s="90" t="str">
        <f aca="false">IFERROR(IF([2]对账明细接口!$Y87=0,"",[2]对账明细接口!$Y87),"")</f>
        <v/>
      </c>
      <c r="AE86" s="90" t="str">
        <f aca="false">IFERROR(IF([2]对账明细接口!$AA87=0,"",[2]对账明细接口!$AA87),"")</f>
        <v/>
      </c>
      <c r="AF86" s="90" t="str">
        <f aca="false">IFERROR(IF([2]对账明细接口!$AB87=0,"",[2]对账明细接口!$AB87),"")</f>
        <v/>
      </c>
      <c r="AG86" s="90" t="str">
        <f aca="false">IFERROR(IF([2]对账明细接口!$AC87=0,"",[2]对账明细接口!$AC87),"")</f>
        <v/>
      </c>
      <c r="AH86" s="90" t="str">
        <f aca="false">IFERROR(IF([2]对账明细接口!$AD87=0,"",[2]对账明细接口!$AD87),"")</f>
        <v/>
      </c>
    </row>
    <row r="87" customFormat="false" ht="13.5" hidden="false" customHeight="false" outlineLevel="0" collapsed="false">
      <c r="A87" s="109" t="n">
        <v>87</v>
      </c>
      <c r="B87" s="110" t="n">
        <f aca="false">IFERROR(IF([2]对账明细接口!$B$87=0,"",[2]对账明细接口!$B$87),"")</f>
        <v>46255</v>
      </c>
      <c r="C87" s="59" t="str">
        <f aca="false">IFERROR(IF([2]对账明细接口!$C$87=0,"",[2]对账明细接口!$C$87),"")</f>
        <v>聂新平</v>
      </c>
      <c r="D87" s="59" t="str">
        <f aca="false">IFERROR(IF([2]对账明细接口!$D$87=0,"",[2]对账明细接口!$D$87),"")</f>
        <v>原料入库</v>
      </c>
      <c r="E87" s="59" t="str">
        <f aca="false">IFERROR(IF([2]对账明细接口!$E$87=0,"",[2]对账明细接口!$E$87),"")</f>
        <v>NO:0000709</v>
      </c>
      <c r="F87" s="59" t="str">
        <f aca="false">IFERROR(IF([2]对账明细接口!$F$87=0,"",[2]对账明细接口!$F$87),"")</f>
        <v>西梅</v>
      </c>
      <c r="G87" s="59" t="str">
        <f aca="false">IFERROR(IF([2]对账明细接口!$G$87=0,"",[2]对账明细接口!$G$87),"")</f>
        <v>西梅一级</v>
      </c>
      <c r="H87" s="60" t="n">
        <f aca="false">IFERROR(IF([2]对账明细接口!$H$87=0,"",[2]对账明细接口!$H$87),"")</f>
        <v>50</v>
      </c>
      <c r="I87" s="59" t="str">
        <f aca="false">IFERROR(IF([2]对账明细接口!$I$87=0,"",[2]对账明细接口!$I$87),"")</f>
        <v>筐</v>
      </c>
      <c r="J87" s="61" t="n">
        <f aca="false">IFERROR(IF([2]对账明细接口!$J$87=0,"",[2]对账明细接口!$J$87),"")</f>
        <v>350</v>
      </c>
      <c r="K87" s="61" t="str">
        <f aca="false">IFERROR(IF([2]对账明细接口!$K$87=0,"",[2]对账明细接口!$K$87),"")</f>
        <v/>
      </c>
      <c r="L87" s="59" t="str">
        <f aca="false">IFERROR(IF([2]对账明细接口!$L$87=0,"",[2]对账明细接口!$L$87),"")</f>
        <v/>
      </c>
      <c r="M87" s="59" t="str">
        <f aca="false">IFERROR(IF([2]对账明细接口!$M$87=0,"",[2]对账明细接口!$M$87),"")</f>
        <v/>
      </c>
      <c r="N87" s="111" t="n">
        <f aca="false">IF($C87="",0,1)</f>
        <v>1</v>
      </c>
      <c r="O87" s="111" t="n">
        <f aca="false">N(O86)+$N87</f>
        <v>84</v>
      </c>
      <c r="S87" s="10" t="str">
        <f aca="false">IFERROR(IF([2]对账明细接口!$N87=0,"",[2]对账明细接口!$N87),"")</f>
        <v>自备一次性筐</v>
      </c>
      <c r="T87" s="112" t="str">
        <f aca="false">IFERROR(IF([2]对账明细接口!$O87=0,"",[2]对账明细接口!$O87),"")</f>
        <v/>
      </c>
      <c r="U87" s="112" t="str">
        <f aca="false">IFERROR(IF([2]对账明细接口!$P87=0,"",[2]对账明细接口!$P87),"")</f>
        <v/>
      </c>
      <c r="V87" s="112" t="n">
        <f aca="false">IFERROR(IF([2]对账明细接口!$Q87=0,"",[2]对账明细接口!$Q87),"")</f>
        <v>50</v>
      </c>
      <c r="W87" s="10" t="str">
        <f aca="false">IFERROR(IF([2]对账明细接口!$R87=0,"",[2]对账明细接口!$R87),"")</f>
        <v>苏M*7G796</v>
      </c>
      <c r="X87" s="10" t="str">
        <f aca="false">IFERROR(IF([2]对账明细接口!$S87=0,"",[2]对账明细接口!$S87),"")</f>
        <v>自备筐</v>
      </c>
      <c r="Y87" s="10" t="str">
        <f aca="false">IFERROR(IF([2]对账明细接口!$T87=0,"",[2]对账明细接口!$T87),"")</f>
        <v/>
      </c>
      <c r="Z87" s="113" t="str">
        <f aca="false">IFERROR(IF([2]对账明细接口!$U87=0,"",[2]对账明细接口!$U87),"")</f>
        <v/>
      </c>
      <c r="AA87" s="113" t="str">
        <f aca="false">IFERROR(IF([2]对账明细接口!$V87=0,"",[2]对账明细接口!$V87),"")</f>
        <v/>
      </c>
      <c r="AB87" s="10" t="str">
        <f aca="false">IFERROR(IF([2]对账明细接口!$W87=0,"",[2]对账明细接口!$W87),"")</f>
        <v/>
      </c>
      <c r="AC87" s="90" t="str">
        <f aca="false">IFERROR(IF([2]对账明细接口!$X88=0,"",[2]对账明细接口!$X88),"")</f>
        <v/>
      </c>
      <c r="AD87" s="90" t="str">
        <f aca="false">IFERROR(IF([2]对账明细接口!$Y88=0,"",[2]对账明细接口!$Y88),"")</f>
        <v/>
      </c>
      <c r="AE87" s="90" t="str">
        <f aca="false">IFERROR(IF([2]对账明细接口!$AA88=0,"",[2]对账明细接口!$AA88),"")</f>
        <v/>
      </c>
      <c r="AF87" s="90" t="str">
        <f aca="false">IFERROR(IF([2]对账明细接口!$AB88=0,"",[2]对账明细接口!$AB88),"")</f>
        <v/>
      </c>
      <c r="AG87" s="90" t="str">
        <f aca="false">IFERROR(IF([2]对账明细接口!$AC88=0,"",[2]对账明细接口!$AC88),"")</f>
        <v/>
      </c>
      <c r="AH87" s="90" t="str">
        <f aca="false">IFERROR(IF([2]对账明细接口!$AD88=0,"",[2]对账明细接口!$AD88),"")</f>
        <v/>
      </c>
    </row>
    <row r="88" customFormat="false" ht="13.5" hidden="false" customHeight="false" outlineLevel="0" collapsed="false">
      <c r="A88" s="109" t="n">
        <v>88</v>
      </c>
      <c r="B88" s="110" t="n">
        <f aca="false">IFERROR(IF([2]对账明细接口!$B$88=0,"",[2]对账明细接口!$B$88),"")</f>
        <v>46255</v>
      </c>
      <c r="C88" s="59" t="str">
        <f aca="false">IFERROR(IF([2]对账明细接口!$C$88=0,"",[2]对账明细接口!$C$88),"")</f>
        <v>聂新平</v>
      </c>
      <c r="D88" s="59" t="str">
        <f aca="false">IFERROR(IF([2]对账明细接口!$D$88=0,"",[2]对账明细接口!$D$88),"")</f>
        <v>原料入库</v>
      </c>
      <c r="E88" s="59" t="str">
        <f aca="false">IFERROR(IF([2]对账明细接口!$E$88=0,"",[2]对账明细接口!$E$88),"")</f>
        <v>NO:0000709</v>
      </c>
      <c r="F88" s="59" t="str">
        <f aca="false">IFERROR(IF([2]对账明细接口!$F$88=0,"",[2]对账明细接口!$F$88),"")</f>
        <v>西梅</v>
      </c>
      <c r="G88" s="59" t="str">
        <f aca="false">IFERROR(IF([2]对账明细接口!$G$88=0,"",[2]对账明细接口!$G$88),"")</f>
        <v>西梅二级</v>
      </c>
      <c r="H88" s="60" t="n">
        <f aca="false">IFERROR(IF([2]对账明细接口!$H$88=0,"",[2]对账明细接口!$H$88),"")</f>
        <v>28</v>
      </c>
      <c r="I88" s="59" t="str">
        <f aca="false">IFERROR(IF([2]对账明细接口!$I$88=0,"",[2]对账明细接口!$I$88),"")</f>
        <v>筐</v>
      </c>
      <c r="J88" s="61" t="n">
        <f aca="false">IFERROR(IF([2]对账明细接口!$J$88=0,"",[2]对账明细接口!$J$88),"")</f>
        <v>252</v>
      </c>
      <c r="K88" s="61" t="str">
        <f aca="false">IFERROR(IF([2]对账明细接口!$K$88=0,"",[2]对账明细接口!$K$88),"")</f>
        <v/>
      </c>
      <c r="L88" s="59" t="str">
        <f aca="false">IFERROR(IF([2]对账明细接口!$L$88=0,"",[2]对账明细接口!$L$88),"")</f>
        <v/>
      </c>
      <c r="M88" s="59" t="str">
        <f aca="false">IFERROR(IF([2]对账明细接口!$M$88=0,"",[2]对账明细接口!$M$88),"")</f>
        <v/>
      </c>
      <c r="N88" s="111" t="n">
        <f aca="false">IF($C88="",0,1)</f>
        <v>1</v>
      </c>
      <c r="O88" s="111" t="n">
        <f aca="false">N(O87)+$N88</f>
        <v>85</v>
      </c>
      <c r="S88" s="10" t="str">
        <f aca="false">IFERROR(IF([2]对账明细接口!$N88=0,"",[2]对账明细接口!$N88),"")</f>
        <v>自备一次性筐</v>
      </c>
      <c r="T88" s="112" t="str">
        <f aca="false">IFERROR(IF([2]对账明细接口!$O88=0,"",[2]对账明细接口!$O88),"")</f>
        <v/>
      </c>
      <c r="U88" s="112" t="str">
        <f aca="false">IFERROR(IF([2]对账明细接口!$P88=0,"",[2]对账明细接口!$P88),"")</f>
        <v/>
      </c>
      <c r="V88" s="112" t="n">
        <f aca="false">IFERROR(IF([2]对账明细接口!$Q88=0,"",[2]对账明细接口!$Q88),"")</f>
        <v>28</v>
      </c>
      <c r="W88" s="10" t="str">
        <f aca="false">IFERROR(IF([2]对账明细接口!$R88=0,"",[2]对账明细接口!$R88),"")</f>
        <v>苏M*7G796</v>
      </c>
      <c r="X88" s="10" t="str">
        <f aca="false">IFERROR(IF([2]对账明细接口!$S88=0,"",[2]对账明细接口!$S88),"")</f>
        <v>自备筐</v>
      </c>
      <c r="Y88" s="10" t="str">
        <f aca="false">IFERROR(IF([2]对账明细接口!$T88=0,"",[2]对账明细接口!$T88),"")</f>
        <v/>
      </c>
      <c r="Z88" s="113" t="str">
        <f aca="false">IFERROR(IF([2]对账明细接口!$U88=0,"",[2]对账明细接口!$U88),"")</f>
        <v/>
      </c>
      <c r="AA88" s="113" t="str">
        <f aca="false">IFERROR(IF([2]对账明细接口!$V88=0,"",[2]对账明细接口!$V88),"")</f>
        <v/>
      </c>
      <c r="AB88" s="10" t="str">
        <f aca="false">IFERROR(IF([2]对账明细接口!$W88=0,"",[2]对账明细接口!$W88),"")</f>
        <v/>
      </c>
      <c r="AC88" s="90" t="str">
        <f aca="false">IFERROR(IF([2]对账明细接口!$X89=0,"",[2]对账明细接口!$X89),"")</f>
        <v/>
      </c>
      <c r="AD88" s="90" t="str">
        <f aca="false">IFERROR(IF([2]对账明细接口!$Y89=0,"",[2]对账明细接口!$Y89),"")</f>
        <v/>
      </c>
      <c r="AE88" s="90" t="str">
        <f aca="false">IFERROR(IF([2]对账明细接口!$AA89=0,"",[2]对账明细接口!$AA89),"")</f>
        <v/>
      </c>
      <c r="AF88" s="90" t="str">
        <f aca="false">IFERROR(IF([2]对账明细接口!$AB89=0,"",[2]对账明细接口!$AB89),"")</f>
        <v/>
      </c>
      <c r="AG88" s="90" t="str">
        <f aca="false">IFERROR(IF([2]对账明细接口!$AC89=0,"",[2]对账明细接口!$AC89),"")</f>
        <v/>
      </c>
      <c r="AH88" s="90" t="str">
        <f aca="false">IFERROR(IF([2]对账明细接口!$AD89=0,"",[2]对账明细接口!$AD89),"")</f>
        <v/>
      </c>
    </row>
    <row r="89" customFormat="false" ht="13.5" hidden="false" customHeight="false" outlineLevel="0" collapsed="false">
      <c r="A89" s="109" t="n">
        <v>89</v>
      </c>
      <c r="B89" s="110" t="n">
        <f aca="false">IFERROR(IF([2]对账明细接口!$B$89=0,"",[2]对账明细接口!$B$89),"")</f>
        <v>46255</v>
      </c>
      <c r="C89" s="59" t="str">
        <f aca="false">IFERROR(IF([2]对账明细接口!$C$89=0,"",[2]对账明细接口!$C$89),"")</f>
        <v>聂新平</v>
      </c>
      <c r="D89" s="59" t="str">
        <f aca="false">IFERROR(IF([2]对账明细接口!$D$89=0,"",[2]对账明细接口!$D$89),"")</f>
        <v>原料入库</v>
      </c>
      <c r="E89" s="59" t="str">
        <f aca="false">IFERROR(IF([2]对账明细接口!$E$89=0,"",[2]对账明细接口!$E$89),"")</f>
        <v>NO:0000709</v>
      </c>
      <c r="F89" s="59" t="str">
        <f aca="false">IFERROR(IF([2]对账明细接口!$F$89=0,"",[2]对账明细接口!$F$89),"")</f>
        <v>西梅</v>
      </c>
      <c r="G89" s="59" t="str">
        <f aca="false">IFERROR(IF([2]对账明细接口!$G$89=0,"",[2]对账明细接口!$G$89),"")</f>
        <v>西梅二级</v>
      </c>
      <c r="H89" s="60" t="n">
        <f aca="false">IFERROR(IF([2]对账明细接口!$H$89=0,"",[2]对账明细接口!$H$89),"")</f>
        <v>70</v>
      </c>
      <c r="I89" s="59" t="str">
        <f aca="false">IFERROR(IF([2]对账明细接口!$I$89=0,"",[2]对账明细接口!$I$89),"")</f>
        <v>筐</v>
      </c>
      <c r="J89" s="61" t="n">
        <f aca="false">IFERROR(IF([2]对账明细接口!$J$89=0,"",[2]对账明细接口!$J$89),"")</f>
        <v>140</v>
      </c>
      <c r="K89" s="61" t="str">
        <f aca="false">IFERROR(IF([2]对账明细接口!$K$89=0,"",[2]对账明细接口!$K$89),"")</f>
        <v/>
      </c>
      <c r="L89" s="59" t="str">
        <f aca="false">IFERROR(IF([2]对账明细接口!$L$89=0,"",[2]对账明细接口!$L$89),"")</f>
        <v/>
      </c>
      <c r="M89" s="59" t="str">
        <f aca="false">IFERROR(IF([2]对账明细接口!$M$89=0,"",[2]对账明细接口!$M$89),"")</f>
        <v/>
      </c>
      <c r="N89" s="111" t="n">
        <f aca="false">IF($C89="",0,1)</f>
        <v>1</v>
      </c>
      <c r="O89" s="111" t="n">
        <f aca="false">N(O88)+$N89</f>
        <v>86</v>
      </c>
      <c r="S89" s="10" t="str">
        <f aca="false">IFERROR(IF([2]对账明细接口!$N89=0,"",[2]对账明细接口!$N89),"")</f>
        <v>自备一次性筐</v>
      </c>
      <c r="T89" s="112" t="str">
        <f aca="false">IFERROR(IF([2]对账明细接口!$O89=0,"",[2]对账明细接口!$O89),"")</f>
        <v/>
      </c>
      <c r="U89" s="112" t="str">
        <f aca="false">IFERROR(IF([2]对账明细接口!$P89=0,"",[2]对账明细接口!$P89),"")</f>
        <v/>
      </c>
      <c r="V89" s="112" t="n">
        <f aca="false">IFERROR(IF([2]对账明细接口!$Q89=0,"",[2]对账明细接口!$Q89),"")</f>
        <v>70</v>
      </c>
      <c r="W89" s="10" t="str">
        <f aca="false">IFERROR(IF([2]对账明细接口!$R89=0,"",[2]对账明细接口!$R89),"")</f>
        <v>苏M*7G796</v>
      </c>
      <c r="X89" s="10" t="str">
        <f aca="false">IFERROR(IF([2]对账明细接口!$S89=0,"",[2]对账明细接口!$S89),"")</f>
        <v>自备筐</v>
      </c>
      <c r="Y89" s="10" t="str">
        <f aca="false">IFERROR(IF([2]对账明细接口!$T89=0,"",[2]对账明细接口!$T89),"")</f>
        <v/>
      </c>
      <c r="Z89" s="113" t="str">
        <f aca="false">IFERROR(IF([2]对账明细接口!$U89=0,"",[2]对账明细接口!$U89),"")</f>
        <v/>
      </c>
      <c r="AA89" s="113" t="str">
        <f aca="false">IFERROR(IF([2]对账明细接口!$V89=0,"",[2]对账明细接口!$V89),"")</f>
        <v/>
      </c>
      <c r="AB89" s="10" t="str">
        <f aca="false">IFERROR(IF([2]对账明细接口!$W89=0,"",[2]对账明细接口!$W89),"")</f>
        <v/>
      </c>
      <c r="AC89" s="90" t="str">
        <f aca="false">IFERROR(IF([2]对账明细接口!$X90=0,"",[2]对账明细接口!$X90),"")</f>
        <v/>
      </c>
      <c r="AD89" s="90" t="str">
        <f aca="false">IFERROR(IF([2]对账明细接口!$Y90=0,"",[2]对账明细接口!$Y90),"")</f>
        <v/>
      </c>
      <c r="AE89" s="90" t="str">
        <f aca="false">IFERROR(IF([2]对账明细接口!$AA90=0,"",[2]对账明细接口!$AA90),"")</f>
        <v/>
      </c>
      <c r="AF89" s="90" t="str">
        <f aca="false">IFERROR(IF([2]对账明细接口!$AB90=0,"",[2]对账明细接口!$AB90),"")</f>
        <v/>
      </c>
      <c r="AG89" s="90" t="str">
        <f aca="false">IFERROR(IF([2]对账明细接口!$AC90=0,"",[2]对账明细接口!$AC90),"")</f>
        <v/>
      </c>
      <c r="AH89" s="90" t="str">
        <f aca="false">IFERROR(IF([2]对账明细接口!$AD90=0,"",[2]对账明细接口!$AD90),"")</f>
        <v/>
      </c>
    </row>
    <row r="90" customFormat="false" ht="13.5" hidden="false" customHeight="false" outlineLevel="0" collapsed="false">
      <c r="A90" s="109" t="n">
        <v>90</v>
      </c>
      <c r="B90" s="110" t="n">
        <f aca="false">IFERROR(IF([2]对账明细接口!$B$90=0,"",[2]对账明细接口!$B$90),"")</f>
        <v>46255</v>
      </c>
      <c r="C90" s="59" t="str">
        <f aca="false">IFERROR(IF([2]对账明细接口!$C$90=0,"",[2]对账明细接口!$C$90),"")</f>
        <v>聂新平</v>
      </c>
      <c r="D90" s="59" t="str">
        <f aca="false">IFERROR(IF([2]对账明细接口!$D$90=0,"",[2]对账明细接口!$D$90),"")</f>
        <v>原料入库</v>
      </c>
      <c r="E90" s="59" t="str">
        <f aca="false">IFERROR(IF([2]对账明细接口!$E$90=0,"",[2]对账明细接口!$E$90),"")</f>
        <v>NO:0000709</v>
      </c>
      <c r="F90" s="59" t="str">
        <f aca="false">IFERROR(IF([2]对账明细接口!$F$90=0,"",[2]对账明细接口!$F$90),"")</f>
        <v>西梅</v>
      </c>
      <c r="G90" s="59" t="str">
        <f aca="false">IFERROR(IF([2]对账明细接口!$G$90=0,"",[2]对账明细接口!$G$90),"")</f>
        <v>西梅三级</v>
      </c>
      <c r="H90" s="60" t="n">
        <f aca="false">IFERROR(IF([2]对账明细接口!$H$90=0,"",[2]对账明细接口!$H$90),"")</f>
        <v>182</v>
      </c>
      <c r="I90" s="59" t="str">
        <f aca="false">IFERROR(IF([2]对账明细接口!$I$90=0,"",[2]对账明细接口!$I$90),"")</f>
        <v>筐</v>
      </c>
      <c r="J90" s="61" t="n">
        <f aca="false">IFERROR(IF([2]对账明细接口!$J$90=0,"",[2]对账明细接口!$J$90),"")</f>
        <v>364</v>
      </c>
      <c r="K90" s="61" t="str">
        <f aca="false">IFERROR(IF([2]对账明细接口!$K$90=0,"",[2]对账明细接口!$K$90),"")</f>
        <v/>
      </c>
      <c r="L90" s="59" t="str">
        <f aca="false">IFERROR(IF([2]对账明细接口!$L$90=0,"",[2]对账明细接口!$L$90),"")</f>
        <v/>
      </c>
      <c r="M90" s="59" t="str">
        <f aca="false">IFERROR(IF([2]对账明细接口!$M$90=0,"",[2]对账明细接口!$M$90),"")</f>
        <v/>
      </c>
      <c r="N90" s="111" t="n">
        <f aca="false">IF($C90="",0,1)</f>
        <v>1</v>
      </c>
      <c r="O90" s="111" t="n">
        <f aca="false">N(O89)+$N90</f>
        <v>87</v>
      </c>
      <c r="S90" s="10" t="str">
        <f aca="false">IFERROR(IF([2]对账明细接口!$N90=0,"",[2]对账明细接口!$N90),"")</f>
        <v>自备一次性筐</v>
      </c>
      <c r="T90" s="112" t="str">
        <f aca="false">IFERROR(IF([2]对账明细接口!$O90=0,"",[2]对账明细接口!$O90),"")</f>
        <v/>
      </c>
      <c r="U90" s="112" t="str">
        <f aca="false">IFERROR(IF([2]对账明细接口!$P90=0,"",[2]对账明细接口!$P90),"")</f>
        <v/>
      </c>
      <c r="V90" s="112" t="n">
        <f aca="false">IFERROR(IF([2]对账明细接口!$Q90=0,"",[2]对账明细接口!$Q90),"")</f>
        <v>182</v>
      </c>
      <c r="W90" s="10" t="str">
        <f aca="false">IFERROR(IF([2]对账明细接口!$R90=0,"",[2]对账明细接口!$R90),"")</f>
        <v>苏M*7G796</v>
      </c>
      <c r="X90" s="10" t="str">
        <f aca="false">IFERROR(IF([2]对账明细接口!$S90=0,"",[2]对账明细接口!$S90),"")</f>
        <v>自备筐</v>
      </c>
      <c r="Y90" s="10" t="str">
        <f aca="false">IFERROR(IF([2]对账明细接口!$T90=0,"",[2]对账明细接口!$T90),"")</f>
        <v/>
      </c>
      <c r="Z90" s="113" t="str">
        <f aca="false">IFERROR(IF([2]对账明细接口!$U90=0,"",[2]对账明细接口!$U90),"")</f>
        <v/>
      </c>
      <c r="AA90" s="113" t="str">
        <f aca="false">IFERROR(IF([2]对账明细接口!$V90=0,"",[2]对账明细接口!$V90),"")</f>
        <v/>
      </c>
      <c r="AB90" s="10" t="str">
        <f aca="false">IFERROR(IF([2]对账明细接口!$W90=0,"",[2]对账明细接口!$W90),"")</f>
        <v/>
      </c>
      <c r="AC90" s="90" t="str">
        <f aca="false">IFERROR(IF([2]对账明细接口!$X91=0,"",[2]对账明细接口!$X91),"")</f>
        <v/>
      </c>
      <c r="AD90" s="90" t="str">
        <f aca="false">IFERROR(IF([2]对账明细接口!$Y91=0,"",[2]对账明细接口!$Y91),"")</f>
        <v/>
      </c>
      <c r="AE90" s="90" t="str">
        <f aca="false">IFERROR(IF([2]对账明细接口!$AA91=0,"",[2]对账明细接口!$AA91),"")</f>
        <v/>
      </c>
      <c r="AF90" s="90" t="str">
        <f aca="false">IFERROR(IF([2]对账明细接口!$AB91=0,"",[2]对账明细接口!$AB91),"")</f>
        <v/>
      </c>
      <c r="AG90" s="90" t="str">
        <f aca="false">IFERROR(IF([2]对账明细接口!$AC91=0,"",[2]对账明细接口!$AC91),"")</f>
        <v/>
      </c>
      <c r="AH90" s="90" t="str">
        <f aca="false">IFERROR(IF([2]对账明细接口!$AD91=0,"",[2]对账明细接口!$AD91),"")</f>
        <v/>
      </c>
    </row>
    <row r="91" customFormat="false" ht="13.5" hidden="false" customHeight="false" outlineLevel="0" collapsed="false">
      <c r="A91" s="109" t="n">
        <v>91</v>
      </c>
      <c r="B91" s="110" t="n">
        <f aca="false">IFERROR(IF([2]对账明细接口!$B$91=0,"",[2]对账明细接口!$B$91),"")</f>
        <v>46255</v>
      </c>
      <c r="C91" s="59" t="str">
        <f aca="false">IFERROR(IF([2]对账明细接口!$C$91=0,"",[2]对账明细接口!$C$91),"")</f>
        <v>聂新平</v>
      </c>
      <c r="D91" s="59" t="str">
        <f aca="false">IFERROR(IF([2]对账明细接口!$D$91=0,"",[2]对账明细接口!$D$91),"")</f>
        <v>原料入库</v>
      </c>
      <c r="E91" s="59" t="str">
        <f aca="false">IFERROR(IF([2]对账明细接口!$E$91=0,"",[2]对账明细接口!$E$91),"")</f>
        <v>NO:0000711</v>
      </c>
      <c r="F91" s="59" t="str">
        <f aca="false">IFERROR(IF([2]对账明细接口!$F$91=0,"",[2]对账明细接口!$F$91),"")</f>
        <v>西梅</v>
      </c>
      <c r="G91" s="59" t="str">
        <f aca="false">IFERROR(IF([2]对账明细接口!$G$91=0,"",[2]对账明细接口!$G$91),"")</f>
        <v>西梅一级</v>
      </c>
      <c r="H91" s="60" t="n">
        <f aca="false">IFERROR(IF([2]对账明细接口!$H$91=0,"",[2]对账明细接口!$H$91),"")</f>
        <v>95</v>
      </c>
      <c r="I91" s="59" t="str">
        <f aca="false">IFERROR(IF([2]对账明细接口!$I$91=0,"",[2]对账明细接口!$I$91),"")</f>
        <v>筐</v>
      </c>
      <c r="J91" s="61" t="n">
        <f aca="false">IFERROR(IF([2]对账明细接口!$J$91=0,"",[2]对账明细接口!$J$91),"")</f>
        <v>665</v>
      </c>
      <c r="K91" s="61" t="str">
        <f aca="false">IFERROR(IF([2]对账明细接口!$K$91=0,"",[2]对账明细接口!$K$91),"")</f>
        <v/>
      </c>
      <c r="L91" s="59" t="str">
        <f aca="false">IFERROR(IF([2]对账明细接口!$L$91=0,"",[2]对账明细接口!$L$91),"")</f>
        <v/>
      </c>
      <c r="M91" s="59" t="str">
        <f aca="false">IFERROR(IF([2]对账明细接口!$M$91=0,"",[2]对账明细接口!$M$91),"")</f>
        <v/>
      </c>
      <c r="N91" s="111" t="n">
        <f aca="false">IF($C91="",0,1)</f>
        <v>1</v>
      </c>
      <c r="O91" s="111" t="n">
        <f aca="false">N(O90)+$N91</f>
        <v>88</v>
      </c>
      <c r="S91" s="10" t="str">
        <f aca="false">IFERROR(IF([2]对账明细接口!$N91=0,"",[2]对账明细接口!$N91),"")</f>
        <v>自备一次性筐</v>
      </c>
      <c r="T91" s="112" t="str">
        <f aca="false">IFERROR(IF([2]对账明细接口!$O91=0,"",[2]对账明细接口!$O91),"")</f>
        <v/>
      </c>
      <c r="U91" s="112" t="str">
        <f aca="false">IFERROR(IF([2]对账明细接口!$P91=0,"",[2]对账明细接口!$P91),"")</f>
        <v/>
      </c>
      <c r="V91" s="112" t="n">
        <f aca="false">IFERROR(IF([2]对账明细接口!$Q91=0,"",[2]对账明细接口!$Q91),"")</f>
        <v>95</v>
      </c>
      <c r="W91" s="10" t="str">
        <f aca="false">IFERROR(IF([2]对账明细接口!$R91=0,"",[2]对账明细接口!$R91),"")</f>
        <v>新N*SQ607</v>
      </c>
      <c r="X91" s="10" t="str">
        <f aca="false">IFERROR(IF([2]对账明细接口!$S91=0,"",[2]对账明细接口!$S91),"")</f>
        <v>自备筐</v>
      </c>
      <c r="Y91" s="10" t="str">
        <f aca="false">IFERROR(IF([2]对账明细接口!$T91=0,"",[2]对账明细接口!$T91),"")</f>
        <v/>
      </c>
      <c r="Z91" s="113" t="str">
        <f aca="false">IFERROR(IF([2]对账明细接口!$U91=0,"",[2]对账明细接口!$U91),"")</f>
        <v/>
      </c>
      <c r="AA91" s="113" t="str">
        <f aca="false">IFERROR(IF([2]对账明细接口!$V91=0,"",[2]对账明细接口!$V91),"")</f>
        <v/>
      </c>
      <c r="AB91" s="10" t="str">
        <f aca="false">IFERROR(IF([2]对账明细接口!$W91=0,"",[2]对账明细接口!$W91),"")</f>
        <v/>
      </c>
      <c r="AC91" s="90" t="str">
        <f aca="false">IFERROR(IF([2]对账明细接口!$X92=0,"",[2]对账明细接口!$X92),"")</f>
        <v/>
      </c>
      <c r="AD91" s="90" t="str">
        <f aca="false">IFERROR(IF([2]对账明细接口!$Y92=0,"",[2]对账明细接口!$Y92),"")</f>
        <v/>
      </c>
      <c r="AE91" s="90" t="str">
        <f aca="false">IFERROR(IF([2]对账明细接口!$AA92=0,"",[2]对账明细接口!$AA92),"")</f>
        <v/>
      </c>
      <c r="AF91" s="90" t="str">
        <f aca="false">IFERROR(IF([2]对账明细接口!$AB92=0,"",[2]对账明细接口!$AB92),"")</f>
        <v/>
      </c>
      <c r="AG91" s="90" t="str">
        <f aca="false">IFERROR(IF([2]对账明细接口!$AC92=0,"",[2]对账明细接口!$AC92),"")</f>
        <v/>
      </c>
      <c r="AH91" s="90" t="str">
        <f aca="false">IFERROR(IF([2]对账明细接口!$AD92=0,"",[2]对账明细接口!$AD92),"")</f>
        <v/>
      </c>
    </row>
    <row r="92" customFormat="false" ht="13.5" hidden="false" customHeight="false" outlineLevel="0" collapsed="false">
      <c r="A92" s="109" t="n">
        <v>92</v>
      </c>
      <c r="B92" s="110" t="n">
        <f aca="false">IFERROR(IF([2]对账明细接口!$B$92=0,"",[2]对账明细接口!$B$92),"")</f>
        <v>46255</v>
      </c>
      <c r="C92" s="59" t="str">
        <f aca="false">IFERROR(IF([2]对账明细接口!$C$92=0,"",[2]对账明细接口!$C$92),"")</f>
        <v>聂新平</v>
      </c>
      <c r="D92" s="59" t="str">
        <f aca="false">IFERROR(IF([2]对账明细接口!$D$92=0,"",[2]对账明细接口!$D$92),"")</f>
        <v>原料入库</v>
      </c>
      <c r="E92" s="59" t="str">
        <f aca="false">IFERROR(IF([2]对账明细接口!$E$92=0,"",[2]对账明细接口!$E$92),"")</f>
        <v>NO:0000711</v>
      </c>
      <c r="F92" s="59" t="str">
        <f aca="false">IFERROR(IF([2]对账明细接口!$F$92=0,"",[2]对账明细接口!$F$92),"")</f>
        <v>西梅</v>
      </c>
      <c r="G92" s="59" t="str">
        <f aca="false">IFERROR(IF([2]对账明细接口!$G$92=0,"",[2]对账明细接口!$G$92),"")</f>
        <v>西梅二级</v>
      </c>
      <c r="H92" s="60" t="n">
        <f aca="false">IFERROR(IF([2]对账明细接口!$H$92=0,"",[2]对账明细接口!$H$92),"")</f>
        <v>35</v>
      </c>
      <c r="I92" s="59" t="str">
        <f aca="false">IFERROR(IF([2]对账明细接口!$I$92=0,"",[2]对账明细接口!$I$92),"")</f>
        <v>筐</v>
      </c>
      <c r="J92" s="61" t="n">
        <f aca="false">IFERROR(IF([2]对账明细接口!$J$92=0,"",[2]对账明细接口!$J$92),"")</f>
        <v>315</v>
      </c>
      <c r="K92" s="61" t="str">
        <f aca="false">IFERROR(IF([2]对账明细接口!$K$92=0,"",[2]对账明细接口!$K$92),"")</f>
        <v/>
      </c>
      <c r="L92" s="59" t="str">
        <f aca="false">IFERROR(IF([2]对账明细接口!$L$92=0,"",[2]对账明细接口!$L$92),"")</f>
        <v/>
      </c>
      <c r="M92" s="59" t="str">
        <f aca="false">IFERROR(IF([2]对账明细接口!$M$92=0,"",[2]对账明细接口!$M$92),"")</f>
        <v/>
      </c>
      <c r="N92" s="111" t="n">
        <f aca="false">IF($C92="",0,1)</f>
        <v>1</v>
      </c>
      <c r="O92" s="111" t="n">
        <f aca="false">N(O91)+$N92</f>
        <v>89</v>
      </c>
      <c r="S92" s="10" t="str">
        <f aca="false">IFERROR(IF([2]对账明细接口!$N92=0,"",[2]对账明细接口!$N92),"")</f>
        <v>自备一次性筐</v>
      </c>
      <c r="T92" s="112" t="str">
        <f aca="false">IFERROR(IF([2]对账明细接口!$O92=0,"",[2]对账明细接口!$O92),"")</f>
        <v/>
      </c>
      <c r="U92" s="112" t="str">
        <f aca="false">IFERROR(IF([2]对账明细接口!$P92=0,"",[2]对账明细接口!$P92),"")</f>
        <v/>
      </c>
      <c r="V92" s="112" t="n">
        <f aca="false">IFERROR(IF([2]对账明细接口!$Q92=0,"",[2]对账明细接口!$Q92),"")</f>
        <v>35</v>
      </c>
      <c r="W92" s="10" t="str">
        <f aca="false">IFERROR(IF([2]对账明细接口!$R92=0,"",[2]对账明细接口!$R92),"")</f>
        <v>新N*SQ607</v>
      </c>
      <c r="X92" s="10" t="str">
        <f aca="false">IFERROR(IF([2]对账明细接口!$S92=0,"",[2]对账明细接口!$S92),"")</f>
        <v>自备筐</v>
      </c>
      <c r="Y92" s="10" t="str">
        <f aca="false">IFERROR(IF([2]对账明细接口!$T92=0,"",[2]对账明细接口!$T92),"")</f>
        <v/>
      </c>
      <c r="Z92" s="113" t="str">
        <f aca="false">IFERROR(IF([2]对账明细接口!$U92=0,"",[2]对账明细接口!$U92),"")</f>
        <v/>
      </c>
      <c r="AA92" s="113" t="str">
        <f aca="false">IFERROR(IF([2]对账明细接口!$V92=0,"",[2]对账明细接口!$V92),"")</f>
        <v/>
      </c>
      <c r="AB92" s="10" t="str">
        <f aca="false">IFERROR(IF([2]对账明细接口!$W92=0,"",[2]对账明细接口!$W92),"")</f>
        <v/>
      </c>
      <c r="AC92" s="90" t="str">
        <f aca="false">IFERROR(IF([2]对账明细接口!$X93=0,"",[2]对账明细接口!$X93),"")</f>
        <v/>
      </c>
      <c r="AD92" s="90" t="str">
        <f aca="false">IFERROR(IF([2]对账明细接口!$Y93=0,"",[2]对账明细接口!$Y93),"")</f>
        <v/>
      </c>
      <c r="AE92" s="90" t="str">
        <f aca="false">IFERROR(IF([2]对账明细接口!$AA93=0,"",[2]对账明细接口!$AA93),"")</f>
        <v/>
      </c>
      <c r="AF92" s="90" t="str">
        <f aca="false">IFERROR(IF([2]对账明细接口!$AB93=0,"",[2]对账明细接口!$AB93),"")</f>
        <v/>
      </c>
      <c r="AG92" s="90" t="str">
        <f aca="false">IFERROR(IF([2]对账明细接口!$AC93=0,"",[2]对账明细接口!$AC93),"")</f>
        <v/>
      </c>
      <c r="AH92" s="90" t="str">
        <f aca="false">IFERROR(IF([2]对账明细接口!$AD93=0,"",[2]对账明细接口!$AD93),"")</f>
        <v/>
      </c>
    </row>
    <row r="93" customFormat="false" ht="13.5" hidden="false" customHeight="false" outlineLevel="0" collapsed="false">
      <c r="A93" s="109" t="n">
        <v>93</v>
      </c>
      <c r="B93" s="110" t="n">
        <f aca="false">IFERROR(IF([2]对账明细接口!$B$93=0,"",[2]对账明细接口!$B$93),"")</f>
        <v>46255</v>
      </c>
      <c r="C93" s="59" t="str">
        <f aca="false">IFERROR(IF([2]对账明细接口!$C$93=0,"",[2]对账明细接口!$C$93),"")</f>
        <v>聂新平</v>
      </c>
      <c r="D93" s="59" t="str">
        <f aca="false">IFERROR(IF([2]对账明细接口!$D$93=0,"",[2]对账明细接口!$D$93),"")</f>
        <v>原料入库</v>
      </c>
      <c r="E93" s="59" t="str">
        <f aca="false">IFERROR(IF([2]对账明细接口!$E$93=0,"",[2]对账明细接口!$E$93),"")</f>
        <v>NO:0000711</v>
      </c>
      <c r="F93" s="59" t="str">
        <f aca="false">IFERROR(IF([2]对账明细接口!$F$93=0,"",[2]对账明细接口!$F$93),"")</f>
        <v>西梅</v>
      </c>
      <c r="G93" s="59" t="str">
        <f aca="false">IFERROR(IF([2]对账明细接口!$G$93=0,"",[2]对账明细接口!$G$93),"")</f>
        <v>西梅二级</v>
      </c>
      <c r="H93" s="60" t="n">
        <f aca="false">IFERROR(IF([2]对账明细接口!$H$93=0,"",[2]对账明细接口!$H$93),"")</f>
        <v>783</v>
      </c>
      <c r="I93" s="59" t="str">
        <f aca="false">IFERROR(IF([2]对账明细接口!$I$93=0,"",[2]对账明细接口!$I$93),"")</f>
        <v>筐</v>
      </c>
      <c r="J93" s="61" t="n">
        <f aca="false">IFERROR(IF([2]对账明细接口!$J$93=0,"",[2]对账明细接口!$J$93),"")</f>
        <v>1566</v>
      </c>
      <c r="K93" s="61" t="str">
        <f aca="false">IFERROR(IF([2]对账明细接口!$K$93=0,"",[2]对账明细接口!$K$93),"")</f>
        <v/>
      </c>
      <c r="L93" s="59" t="str">
        <f aca="false">IFERROR(IF([2]对账明细接口!$L$93=0,"",[2]对账明细接口!$L$93),"")</f>
        <v/>
      </c>
      <c r="M93" s="59" t="str">
        <f aca="false">IFERROR(IF([2]对账明细接口!$M$93=0,"",[2]对账明细接口!$M$93),"")</f>
        <v/>
      </c>
      <c r="N93" s="111" t="n">
        <f aca="false">IF($C93="",0,1)</f>
        <v>1</v>
      </c>
      <c r="O93" s="111" t="n">
        <f aca="false">N(O92)+$N93</f>
        <v>90</v>
      </c>
      <c r="S93" s="10" t="str">
        <f aca="false">IFERROR(IF([2]对账明细接口!$N93=0,"",[2]对账明细接口!$N93),"")</f>
        <v>自备一次性筐</v>
      </c>
      <c r="T93" s="112" t="str">
        <f aca="false">IFERROR(IF([2]对账明细接口!$O93=0,"",[2]对账明细接口!$O93),"")</f>
        <v/>
      </c>
      <c r="U93" s="112" t="str">
        <f aca="false">IFERROR(IF([2]对账明细接口!$P93=0,"",[2]对账明细接口!$P93),"")</f>
        <v/>
      </c>
      <c r="V93" s="112" t="n">
        <f aca="false">IFERROR(IF([2]对账明细接口!$Q93=0,"",[2]对账明细接口!$Q93),"")</f>
        <v>783</v>
      </c>
      <c r="W93" s="10" t="str">
        <f aca="false">IFERROR(IF([2]对账明细接口!$R93=0,"",[2]对账明细接口!$R93),"")</f>
        <v>新N*SQ607</v>
      </c>
      <c r="X93" s="10" t="str">
        <f aca="false">IFERROR(IF([2]对账明细接口!$S93=0,"",[2]对账明细接口!$S93),"")</f>
        <v>自备筐</v>
      </c>
      <c r="Y93" s="10" t="str">
        <f aca="false">IFERROR(IF([2]对账明细接口!$T93=0,"",[2]对账明细接口!$T93),"")</f>
        <v/>
      </c>
      <c r="Z93" s="113" t="str">
        <f aca="false">IFERROR(IF([2]对账明细接口!$U93=0,"",[2]对账明细接口!$U93),"")</f>
        <v/>
      </c>
      <c r="AA93" s="113" t="str">
        <f aca="false">IFERROR(IF([2]对账明细接口!$V93=0,"",[2]对账明细接口!$V93),"")</f>
        <v/>
      </c>
      <c r="AB93" s="10" t="str">
        <f aca="false">IFERROR(IF([2]对账明细接口!$W93=0,"",[2]对账明细接口!$W93),"")</f>
        <v/>
      </c>
      <c r="AC93" s="90" t="str">
        <f aca="false">IFERROR(IF([2]对账明细接口!$X94=0,"",[2]对账明细接口!$X94),"")</f>
        <v/>
      </c>
      <c r="AD93" s="90" t="str">
        <f aca="false">IFERROR(IF([2]对账明细接口!$Y94=0,"",[2]对账明细接口!$Y94),"")</f>
        <v/>
      </c>
      <c r="AE93" s="90" t="str">
        <f aca="false">IFERROR(IF([2]对账明细接口!$AA94=0,"",[2]对账明细接口!$AA94),"")</f>
        <v/>
      </c>
      <c r="AF93" s="90" t="str">
        <f aca="false">IFERROR(IF([2]对账明细接口!$AB94=0,"",[2]对账明细接口!$AB94),"")</f>
        <v/>
      </c>
      <c r="AG93" s="90" t="str">
        <f aca="false">IFERROR(IF([2]对账明细接口!$AC94=0,"",[2]对账明细接口!$AC94),"")</f>
        <v/>
      </c>
      <c r="AH93" s="90" t="str">
        <f aca="false">IFERROR(IF([2]对账明细接口!$AD94=0,"",[2]对账明细接口!$AD94),"")</f>
        <v/>
      </c>
    </row>
    <row r="94" customFormat="false" ht="13.5" hidden="false" customHeight="false" outlineLevel="0" collapsed="false">
      <c r="A94" s="109" t="n">
        <v>94</v>
      </c>
      <c r="B94" s="110" t="n">
        <f aca="false">IFERROR(IF([2]对账明细接口!$B$94=0,"",[2]对账明细接口!$B$94),"")</f>
        <v>46255</v>
      </c>
      <c r="C94" s="59" t="str">
        <f aca="false">IFERROR(IF([2]对账明细接口!$C$94=0,"",[2]对账明细接口!$C$94),"")</f>
        <v>聂新平</v>
      </c>
      <c r="D94" s="59" t="str">
        <f aca="false">IFERROR(IF([2]对账明细接口!$D$94=0,"",[2]对账明细接口!$D$94),"")</f>
        <v>原料入库</v>
      </c>
      <c r="E94" s="59" t="str">
        <f aca="false">IFERROR(IF([2]对账明细接口!$E$94=0,"",[2]对账明细接口!$E$94),"")</f>
        <v>NO:0000711</v>
      </c>
      <c r="F94" s="59" t="str">
        <f aca="false">IFERROR(IF([2]对账明细接口!$F$94=0,"",[2]对账明细接口!$F$94),"")</f>
        <v>西梅</v>
      </c>
      <c r="G94" s="59" t="str">
        <f aca="false">IFERROR(IF([2]对账明细接口!$G$94=0,"",[2]对账明细接口!$G$94),"")</f>
        <v>西梅三级</v>
      </c>
      <c r="H94" s="60" t="n">
        <f aca="false">IFERROR(IF([2]对账明细接口!$H$94=0,"",[2]对账明细接口!$H$94),"")</f>
        <v>264</v>
      </c>
      <c r="I94" s="59" t="str">
        <f aca="false">IFERROR(IF([2]对账明细接口!$I$94=0,"",[2]对账明细接口!$I$94),"")</f>
        <v>筐</v>
      </c>
      <c r="J94" s="61" t="n">
        <f aca="false">IFERROR(IF([2]对账明细接口!$J$94=0,"",[2]对账明细接口!$J$94),"")</f>
        <v>528</v>
      </c>
      <c r="K94" s="61" t="str">
        <f aca="false">IFERROR(IF([2]对账明细接口!$K$94=0,"",[2]对账明细接口!$K$94),"")</f>
        <v/>
      </c>
      <c r="L94" s="59" t="str">
        <f aca="false">IFERROR(IF([2]对账明细接口!$L$94=0,"",[2]对账明细接口!$L$94),"")</f>
        <v/>
      </c>
      <c r="M94" s="59" t="str">
        <f aca="false">IFERROR(IF([2]对账明细接口!$M$94=0,"",[2]对账明细接口!$M$94),"")</f>
        <v/>
      </c>
      <c r="N94" s="111" t="n">
        <f aca="false">IF($C94="",0,1)</f>
        <v>1</v>
      </c>
      <c r="O94" s="111" t="n">
        <f aca="false">N(O93)+$N94</f>
        <v>91</v>
      </c>
      <c r="S94" s="10" t="str">
        <f aca="false">IFERROR(IF([2]对账明细接口!$N94=0,"",[2]对账明细接口!$N94),"")</f>
        <v>自备一次性筐</v>
      </c>
      <c r="T94" s="112" t="str">
        <f aca="false">IFERROR(IF([2]对账明细接口!$O94=0,"",[2]对账明细接口!$O94),"")</f>
        <v/>
      </c>
      <c r="U94" s="112" t="str">
        <f aca="false">IFERROR(IF([2]对账明细接口!$P94=0,"",[2]对账明细接口!$P94),"")</f>
        <v/>
      </c>
      <c r="V94" s="112" t="n">
        <f aca="false">IFERROR(IF([2]对账明细接口!$Q94=0,"",[2]对账明细接口!$Q94),"")</f>
        <v>264</v>
      </c>
      <c r="W94" s="10" t="str">
        <f aca="false">IFERROR(IF([2]对账明细接口!$R94=0,"",[2]对账明细接口!$R94),"")</f>
        <v>新N*SQ607</v>
      </c>
      <c r="X94" s="10" t="str">
        <f aca="false">IFERROR(IF([2]对账明细接口!$S94=0,"",[2]对账明细接口!$S94),"")</f>
        <v>自备筐</v>
      </c>
      <c r="Y94" s="10" t="str">
        <f aca="false">IFERROR(IF([2]对账明细接口!$T94=0,"",[2]对账明细接口!$T94),"")</f>
        <v/>
      </c>
      <c r="Z94" s="113" t="str">
        <f aca="false">IFERROR(IF([2]对账明细接口!$U94=0,"",[2]对账明细接口!$U94),"")</f>
        <v/>
      </c>
      <c r="AA94" s="113" t="str">
        <f aca="false">IFERROR(IF([2]对账明细接口!$V94=0,"",[2]对账明细接口!$V94),"")</f>
        <v/>
      </c>
      <c r="AB94" s="10" t="str">
        <f aca="false">IFERROR(IF([2]对账明细接口!$W94=0,"",[2]对账明细接口!$W94),"")</f>
        <v/>
      </c>
      <c r="AC94" s="90" t="str">
        <f aca="false">IFERROR(IF([2]对账明细接口!$X95=0,"",[2]对账明细接口!$X95),"")</f>
        <v/>
      </c>
      <c r="AD94" s="90" t="str">
        <f aca="false">IFERROR(IF([2]对账明细接口!$Y95=0,"",[2]对账明细接口!$Y95),"")</f>
        <v/>
      </c>
      <c r="AE94" s="90" t="str">
        <f aca="false">IFERROR(IF([2]对账明细接口!$AA95=0,"",[2]对账明细接口!$AA95),"")</f>
        <v/>
      </c>
      <c r="AF94" s="90" t="str">
        <f aca="false">IFERROR(IF([2]对账明细接口!$AB95=0,"",[2]对账明细接口!$AB95),"")</f>
        <v/>
      </c>
      <c r="AG94" s="90" t="str">
        <f aca="false">IFERROR(IF([2]对账明细接口!$AC95=0,"",[2]对账明细接口!$AC95),"")</f>
        <v/>
      </c>
      <c r="AH94" s="90" t="str">
        <f aca="false">IFERROR(IF([2]对账明细接口!$AD95=0,"",[2]对账明细接口!$AD95),"")</f>
        <v/>
      </c>
    </row>
    <row r="95" customFormat="false" ht="13.5" hidden="false" customHeight="false" outlineLevel="0" collapsed="false">
      <c r="A95" s="109" t="n">
        <v>95</v>
      </c>
      <c r="B95" s="110" t="n">
        <f aca="false">IFERROR(IF([2]对账明细接口!$B$95=0,"",[2]对账明细接口!$B$95),"")</f>
        <v>46256</v>
      </c>
      <c r="C95" s="59" t="str">
        <f aca="false">IFERROR(IF([2]对账明细接口!$C$95=0,"",[2]对账明细接口!$C$95),"")</f>
        <v>聂新平</v>
      </c>
      <c r="D95" s="59" t="str">
        <f aca="false">IFERROR(IF([2]对账明细接口!$D$95=0,"",[2]对账明细接口!$D$95),"")</f>
        <v>原料入库</v>
      </c>
      <c r="E95" s="59" t="str">
        <f aca="false">IFERROR(IF([2]对账明细接口!$E$95=0,"",[2]对账明细接口!$E$95),"")</f>
        <v>NO:0000712</v>
      </c>
      <c r="F95" s="59" t="str">
        <f aca="false">IFERROR(IF([2]对账明细接口!$F$95=0,"",[2]对账明细接口!$F$95),"")</f>
        <v>西梅</v>
      </c>
      <c r="G95" s="59" t="str">
        <f aca="false">IFERROR(IF([2]对账明细接口!$G$95=0,"",[2]对账明细接口!$G$95),"")</f>
        <v>西梅一级</v>
      </c>
      <c r="H95" s="60" t="n">
        <f aca="false">IFERROR(IF([2]对账明细接口!$H$95=0,"",[2]对账明细接口!$H$95),"")</f>
        <v>27</v>
      </c>
      <c r="I95" s="59" t="str">
        <f aca="false">IFERROR(IF([2]对账明细接口!$I$95=0,"",[2]对账明细接口!$I$95),"")</f>
        <v>筐</v>
      </c>
      <c r="J95" s="61" t="n">
        <f aca="false">IFERROR(IF([2]对账明细接口!$J$95=0,"",[2]对账明细接口!$J$95),"")</f>
        <v>189</v>
      </c>
      <c r="K95" s="61" t="str">
        <f aca="false">IFERROR(IF([2]对账明细接口!$K$95=0,"",[2]对账明细接口!$K$95),"")</f>
        <v/>
      </c>
      <c r="L95" s="59" t="str">
        <f aca="false">IFERROR(IF([2]对账明细接口!$L$95=0,"",[2]对账明细接口!$L$95),"")</f>
        <v/>
      </c>
      <c r="M95" s="59" t="str">
        <f aca="false">IFERROR(IF([2]对账明细接口!$M$95=0,"",[2]对账明细接口!$M$95),"")</f>
        <v/>
      </c>
      <c r="N95" s="111" t="n">
        <f aca="false">IF($C95="",0,1)</f>
        <v>1</v>
      </c>
      <c r="O95" s="111" t="n">
        <f aca="false">N(O94)+$N95</f>
        <v>92</v>
      </c>
      <c r="S95" s="10" t="str">
        <f aca="false">IFERROR(IF([2]对账明细接口!$N95=0,"",[2]对账明细接口!$N95),"")</f>
        <v>自备一次性筐</v>
      </c>
      <c r="T95" s="112" t="str">
        <f aca="false">IFERROR(IF([2]对账明细接口!$O95=0,"",[2]对账明细接口!$O95),"")</f>
        <v/>
      </c>
      <c r="U95" s="112" t="str">
        <f aca="false">IFERROR(IF([2]对账明细接口!$P95=0,"",[2]对账明细接口!$P95),"")</f>
        <v/>
      </c>
      <c r="V95" s="112" t="n">
        <f aca="false">IFERROR(IF([2]对账明细接口!$Q95=0,"",[2]对账明细接口!$Q95),"")</f>
        <v>27</v>
      </c>
      <c r="W95" s="10" t="str">
        <f aca="false">IFERROR(IF([2]对账明细接口!$R95=0,"",[2]对账明细接口!$R95),"")</f>
        <v>苏M*7G796</v>
      </c>
      <c r="X95" s="10" t="str">
        <f aca="false">IFERROR(IF([2]对账明细接口!$S95=0,"",[2]对账明细接口!$S95),"")</f>
        <v>自备筐</v>
      </c>
      <c r="Y95" s="10" t="str">
        <f aca="false">IFERROR(IF([2]对账明细接口!$T95=0,"",[2]对账明细接口!$T95),"")</f>
        <v/>
      </c>
      <c r="Z95" s="113" t="str">
        <f aca="false">IFERROR(IF([2]对账明细接口!$U95=0,"",[2]对账明细接口!$U95),"")</f>
        <v/>
      </c>
      <c r="AA95" s="113" t="str">
        <f aca="false">IFERROR(IF([2]对账明细接口!$V95=0,"",[2]对账明细接口!$V95),"")</f>
        <v/>
      </c>
      <c r="AB95" s="10" t="str">
        <f aca="false">IFERROR(IF([2]对账明细接口!$W95=0,"",[2]对账明细接口!$W95),"")</f>
        <v/>
      </c>
      <c r="AC95" s="90" t="str">
        <f aca="false">IFERROR(IF([2]对账明细接口!$X96=0,"",[2]对账明细接口!$X96),"")</f>
        <v/>
      </c>
      <c r="AD95" s="90" t="str">
        <f aca="false">IFERROR(IF([2]对账明细接口!$Y96=0,"",[2]对账明细接口!$Y96),"")</f>
        <v/>
      </c>
      <c r="AE95" s="90" t="str">
        <f aca="false">IFERROR(IF([2]对账明细接口!$AA96=0,"",[2]对账明细接口!$AA96),"")</f>
        <v/>
      </c>
      <c r="AF95" s="90" t="str">
        <f aca="false">IFERROR(IF([2]对账明细接口!$AB96=0,"",[2]对账明细接口!$AB96),"")</f>
        <v/>
      </c>
      <c r="AG95" s="90" t="str">
        <f aca="false">IFERROR(IF([2]对账明细接口!$AC96=0,"",[2]对账明细接口!$AC96),"")</f>
        <v/>
      </c>
      <c r="AH95" s="90" t="str">
        <f aca="false">IFERROR(IF([2]对账明细接口!$AD96=0,"",[2]对账明细接口!$AD96),"")</f>
        <v/>
      </c>
    </row>
    <row r="96" customFormat="false" ht="13.5" hidden="false" customHeight="false" outlineLevel="0" collapsed="false">
      <c r="A96" s="109" t="n">
        <v>96</v>
      </c>
      <c r="B96" s="110" t="n">
        <f aca="false">IFERROR(IF([2]对账明细接口!$B$96=0,"",[2]对账明细接口!$B$96),"")</f>
        <v>46256</v>
      </c>
      <c r="C96" s="59" t="str">
        <f aca="false">IFERROR(IF([2]对账明细接口!$C$96=0,"",[2]对账明细接口!$C$96),"")</f>
        <v>聂新平</v>
      </c>
      <c r="D96" s="59" t="str">
        <f aca="false">IFERROR(IF([2]对账明细接口!$D$96=0,"",[2]对账明细接口!$D$96),"")</f>
        <v>原料入库</v>
      </c>
      <c r="E96" s="59" t="str">
        <f aca="false">IFERROR(IF([2]对账明细接口!$E$96=0,"",[2]对账明细接口!$E$96),"")</f>
        <v>NO:0000712</v>
      </c>
      <c r="F96" s="59" t="str">
        <f aca="false">IFERROR(IF([2]对账明细接口!$F$96=0,"",[2]对账明细接口!$F$96),"")</f>
        <v>西梅</v>
      </c>
      <c r="G96" s="59" t="str">
        <f aca="false">IFERROR(IF([2]对账明细接口!$G$96=0,"",[2]对账明细接口!$G$96),"")</f>
        <v>西梅二级</v>
      </c>
      <c r="H96" s="60" t="n">
        <f aca="false">IFERROR(IF([2]对账明细接口!$H$96=0,"",[2]对账明细接口!$H$96),"")</f>
        <v>78</v>
      </c>
      <c r="I96" s="59" t="str">
        <f aca="false">IFERROR(IF([2]对账明细接口!$I$96=0,"",[2]对账明细接口!$I$96),"")</f>
        <v>筐</v>
      </c>
      <c r="J96" s="61" t="n">
        <f aca="false">IFERROR(IF([2]对账明细接口!$J$96=0,"",[2]对账明细接口!$J$96),"")</f>
        <v>936</v>
      </c>
      <c r="K96" s="61" t="str">
        <f aca="false">IFERROR(IF([2]对账明细接口!$K$96=0,"",[2]对账明细接口!$K$96),"")</f>
        <v/>
      </c>
      <c r="L96" s="59" t="str">
        <f aca="false">IFERROR(IF([2]对账明细接口!$L$96=0,"",[2]对账明细接口!$L$96),"")</f>
        <v/>
      </c>
      <c r="M96" s="59" t="str">
        <f aca="false">IFERROR(IF([2]对账明细接口!$M$96=0,"",[2]对账明细接口!$M$96),"")</f>
        <v/>
      </c>
      <c r="N96" s="111" t="n">
        <f aca="false">IF($C96="",0,1)</f>
        <v>1</v>
      </c>
      <c r="O96" s="111" t="n">
        <f aca="false">N(O95)+$N96</f>
        <v>93</v>
      </c>
      <c r="S96" s="10" t="str">
        <f aca="false">IFERROR(IF([2]对账明细接口!$N96=0,"",[2]对账明细接口!$N96),"")</f>
        <v>自备一次性筐</v>
      </c>
      <c r="T96" s="112" t="str">
        <f aca="false">IFERROR(IF([2]对账明细接口!$O96=0,"",[2]对账明细接口!$O96),"")</f>
        <v/>
      </c>
      <c r="U96" s="112" t="str">
        <f aca="false">IFERROR(IF([2]对账明细接口!$P96=0,"",[2]对账明细接口!$P96),"")</f>
        <v/>
      </c>
      <c r="V96" s="112" t="n">
        <f aca="false">IFERROR(IF([2]对账明细接口!$Q96=0,"",[2]对账明细接口!$Q96),"")</f>
        <v>78</v>
      </c>
      <c r="W96" s="10" t="str">
        <f aca="false">IFERROR(IF([2]对账明细接口!$R96=0,"",[2]对账明细接口!$R96),"")</f>
        <v>苏M*7G796</v>
      </c>
      <c r="X96" s="10" t="str">
        <f aca="false">IFERROR(IF([2]对账明细接口!$S96=0,"",[2]对账明细接口!$S96),"")</f>
        <v>自备筐</v>
      </c>
      <c r="Y96" s="10" t="str">
        <f aca="false">IFERROR(IF([2]对账明细接口!$T96=0,"",[2]对账明细接口!$T96),"")</f>
        <v/>
      </c>
      <c r="Z96" s="113" t="str">
        <f aca="false">IFERROR(IF([2]对账明细接口!$U96=0,"",[2]对账明细接口!$U96),"")</f>
        <v/>
      </c>
      <c r="AA96" s="113" t="str">
        <f aca="false">IFERROR(IF([2]对账明细接口!$V96=0,"",[2]对账明细接口!$V96),"")</f>
        <v/>
      </c>
      <c r="AB96" s="10" t="str">
        <f aca="false">IFERROR(IF([2]对账明细接口!$W96=0,"",[2]对账明细接口!$W96),"")</f>
        <v/>
      </c>
      <c r="AC96" s="90" t="str">
        <f aca="false">IFERROR(IF([2]对账明细接口!$X97=0,"",[2]对账明细接口!$X97),"")</f>
        <v/>
      </c>
      <c r="AD96" s="90" t="str">
        <f aca="false">IFERROR(IF([2]对账明细接口!$Y97=0,"",[2]对账明细接口!$Y97),"")</f>
        <v/>
      </c>
      <c r="AE96" s="90" t="str">
        <f aca="false">IFERROR(IF([2]对账明细接口!$AA97=0,"",[2]对账明细接口!$AA97),"")</f>
        <v/>
      </c>
      <c r="AF96" s="90" t="str">
        <f aca="false">IFERROR(IF([2]对账明细接口!$AB97=0,"",[2]对账明细接口!$AB97),"")</f>
        <v/>
      </c>
      <c r="AG96" s="90" t="str">
        <f aca="false">IFERROR(IF([2]对账明细接口!$AC97=0,"",[2]对账明细接口!$AC97),"")</f>
        <v/>
      </c>
      <c r="AH96" s="90" t="str">
        <f aca="false">IFERROR(IF([2]对账明细接口!$AD97=0,"",[2]对账明细接口!$AD97),"")</f>
        <v/>
      </c>
    </row>
    <row r="97" customFormat="false" ht="13.5" hidden="false" customHeight="false" outlineLevel="0" collapsed="false">
      <c r="A97" s="109" t="n">
        <v>97</v>
      </c>
      <c r="B97" s="110" t="n">
        <f aca="false">IFERROR(IF([2]对账明细接口!$B$97=0,"",[2]对账明细接口!$B$97),"")</f>
        <v>46256</v>
      </c>
      <c r="C97" s="59" t="str">
        <f aca="false">IFERROR(IF([2]对账明细接口!$C$97=0,"",[2]对账明细接口!$C$97),"")</f>
        <v>聂新平</v>
      </c>
      <c r="D97" s="59" t="str">
        <f aca="false">IFERROR(IF([2]对账明细接口!$D$97=0,"",[2]对账明细接口!$D$97),"")</f>
        <v>原料入库</v>
      </c>
      <c r="E97" s="59" t="str">
        <f aca="false">IFERROR(IF([2]对账明细接口!$E$97=0,"",[2]对账明细接口!$E$97),"")</f>
        <v>NO:0000714</v>
      </c>
      <c r="F97" s="59" t="str">
        <f aca="false">IFERROR(IF([2]对账明细接口!$F$97=0,"",[2]对账明细接口!$F$97),"")</f>
        <v>西梅</v>
      </c>
      <c r="G97" s="59" t="str">
        <f aca="false">IFERROR(IF([2]对账明细接口!$G$97=0,"",[2]对账明细接口!$G$97),"")</f>
        <v>西梅一级</v>
      </c>
      <c r="H97" s="60" t="n">
        <f aca="false">IFERROR(IF([2]对账明细接口!$H$97=0,"",[2]对账明细接口!$H$97),"")</f>
        <v>189</v>
      </c>
      <c r="I97" s="59" t="str">
        <f aca="false">IFERROR(IF([2]对账明细接口!$I$97=0,"",[2]对账明细接口!$I$97),"")</f>
        <v>筐</v>
      </c>
      <c r="J97" s="61" t="n">
        <f aca="false">IFERROR(IF([2]对账明细接口!$J$97=0,"",[2]对账明细接口!$J$97),"")</f>
        <v>1323</v>
      </c>
      <c r="K97" s="61" t="str">
        <f aca="false">IFERROR(IF([2]对账明细接口!$K$97=0,"",[2]对账明细接口!$K$97),"")</f>
        <v/>
      </c>
      <c r="L97" s="59" t="str">
        <f aca="false">IFERROR(IF([2]对账明细接口!$L$97=0,"",[2]对账明细接口!$L$97),"")</f>
        <v/>
      </c>
      <c r="M97" s="59" t="str">
        <f aca="false">IFERROR(IF([2]对账明细接口!$M$97=0,"",[2]对账明细接口!$M$97),"")</f>
        <v/>
      </c>
      <c r="N97" s="111" t="n">
        <f aca="false">IF($C97="",0,1)</f>
        <v>1</v>
      </c>
      <c r="O97" s="111" t="n">
        <f aca="false">N(O96)+$N97</f>
        <v>94</v>
      </c>
      <c r="S97" s="10" t="str">
        <f aca="false">IFERROR(IF([2]对账明细接口!$N97=0,"",[2]对账明细接口!$N97),"")</f>
        <v>自备一次性筐</v>
      </c>
      <c r="T97" s="112" t="str">
        <f aca="false">IFERROR(IF([2]对账明细接口!$O97=0,"",[2]对账明细接口!$O97),"")</f>
        <v/>
      </c>
      <c r="U97" s="112" t="str">
        <f aca="false">IFERROR(IF([2]对账明细接口!$P97=0,"",[2]对账明细接口!$P97),"")</f>
        <v/>
      </c>
      <c r="V97" s="112" t="n">
        <f aca="false">IFERROR(IF([2]对账明细接口!$Q97=0,"",[2]对账明细接口!$Q97),"")</f>
        <v>189</v>
      </c>
      <c r="W97" s="10" t="str">
        <f aca="false">IFERROR(IF([2]对账明细接口!$R97=0,"",[2]对账明细接口!$R97),"")</f>
        <v>新N*SQ607</v>
      </c>
      <c r="X97" s="10" t="str">
        <f aca="false">IFERROR(IF([2]对账明细接口!$S97=0,"",[2]对账明细接口!$S97),"")</f>
        <v>自备筐</v>
      </c>
      <c r="Y97" s="10" t="str">
        <f aca="false">IFERROR(IF([2]对账明细接口!$T97=0,"",[2]对账明细接口!$T97),"")</f>
        <v/>
      </c>
      <c r="Z97" s="113" t="str">
        <f aca="false">IFERROR(IF([2]对账明细接口!$U97=0,"",[2]对账明细接口!$U97),"")</f>
        <v/>
      </c>
      <c r="AA97" s="113" t="str">
        <f aca="false">IFERROR(IF([2]对账明细接口!$V97=0,"",[2]对账明细接口!$V97),"")</f>
        <v/>
      </c>
      <c r="AB97" s="10" t="str">
        <f aca="false">IFERROR(IF([2]对账明细接口!$W97=0,"",[2]对账明细接口!$W97),"")</f>
        <v/>
      </c>
      <c r="AC97" s="90" t="str">
        <f aca="false">IFERROR(IF([2]对账明细接口!$X98=0,"",[2]对账明细接口!$X98),"")</f>
        <v/>
      </c>
      <c r="AD97" s="90" t="str">
        <f aca="false">IFERROR(IF([2]对账明细接口!$Y98=0,"",[2]对账明细接口!$Y98),"")</f>
        <v/>
      </c>
      <c r="AE97" s="90" t="str">
        <f aca="false">IFERROR(IF([2]对账明细接口!$AA98=0,"",[2]对账明细接口!$AA98),"")</f>
        <v/>
      </c>
      <c r="AF97" s="90" t="str">
        <f aca="false">IFERROR(IF([2]对账明细接口!$AB98=0,"",[2]对账明细接口!$AB98),"")</f>
        <v/>
      </c>
      <c r="AG97" s="90" t="str">
        <f aca="false">IFERROR(IF([2]对账明细接口!$AC98=0,"",[2]对账明细接口!$AC98),"")</f>
        <v/>
      </c>
      <c r="AH97" s="90" t="str">
        <f aca="false">IFERROR(IF([2]对账明细接口!$AD98=0,"",[2]对账明细接口!$AD98),"")</f>
        <v/>
      </c>
    </row>
    <row r="98" customFormat="false" ht="13.5" hidden="false" customHeight="false" outlineLevel="0" collapsed="false">
      <c r="A98" s="109" t="n">
        <v>98</v>
      </c>
      <c r="B98" s="110" t="n">
        <f aca="false">IFERROR(IF([2]对账明细接口!$B$98=0,"",[2]对账明细接口!$B$98),"")</f>
        <v>46256</v>
      </c>
      <c r="C98" s="59" t="str">
        <f aca="false">IFERROR(IF([2]对账明细接口!$C$98=0,"",[2]对账明细接口!$C$98),"")</f>
        <v>聂新平</v>
      </c>
      <c r="D98" s="59" t="str">
        <f aca="false">IFERROR(IF([2]对账明细接口!$D$98=0,"",[2]对账明细接口!$D$98),"")</f>
        <v>原料入库</v>
      </c>
      <c r="E98" s="59" t="str">
        <f aca="false">IFERROR(IF([2]对账明细接口!$E$98=0,"",[2]对账明细接口!$E$98),"")</f>
        <v>NO:0000714</v>
      </c>
      <c r="F98" s="59" t="str">
        <f aca="false">IFERROR(IF([2]对账明细接口!$F$98=0,"",[2]对账明细接口!$F$98),"")</f>
        <v>西梅</v>
      </c>
      <c r="G98" s="59" t="str">
        <f aca="false">IFERROR(IF([2]对账明细接口!$G$98=0,"",[2]对账明细接口!$G$98),"")</f>
        <v>西梅二级</v>
      </c>
      <c r="H98" s="60" t="n">
        <f aca="false">IFERROR(IF([2]对账明细接口!$H$98=0,"",[2]对账明细接口!$H$98),"")</f>
        <v>111</v>
      </c>
      <c r="I98" s="59" t="str">
        <f aca="false">IFERROR(IF([2]对账明细接口!$I$98=0,"",[2]对账明细接口!$I$98),"")</f>
        <v>筐</v>
      </c>
      <c r="J98" s="61" t="n">
        <f aca="false">IFERROR(IF([2]对账明细接口!$J$98=0,"",[2]对账明细接口!$J$98),"")</f>
        <v>1332</v>
      </c>
      <c r="K98" s="61" t="str">
        <f aca="false">IFERROR(IF([2]对账明细接口!$K$98=0,"",[2]对账明细接口!$K$98),"")</f>
        <v/>
      </c>
      <c r="L98" s="59" t="str">
        <f aca="false">IFERROR(IF([2]对账明细接口!$L$98=0,"",[2]对账明细接口!$L$98),"")</f>
        <v/>
      </c>
      <c r="M98" s="59" t="str">
        <f aca="false">IFERROR(IF([2]对账明细接口!$M$98=0,"",[2]对账明细接口!$M$98),"")</f>
        <v/>
      </c>
      <c r="N98" s="111" t="n">
        <f aca="false">IF($C98="",0,1)</f>
        <v>1</v>
      </c>
      <c r="O98" s="111" t="n">
        <f aca="false">N(O97)+$N98</f>
        <v>95</v>
      </c>
      <c r="S98" s="10" t="str">
        <f aca="false">IFERROR(IF([2]对账明细接口!$N98=0,"",[2]对账明细接口!$N98),"")</f>
        <v>自备一次性筐</v>
      </c>
      <c r="T98" s="112" t="str">
        <f aca="false">IFERROR(IF([2]对账明细接口!$O98=0,"",[2]对账明细接口!$O98),"")</f>
        <v/>
      </c>
      <c r="U98" s="112" t="str">
        <f aca="false">IFERROR(IF([2]对账明细接口!$P98=0,"",[2]对账明细接口!$P98),"")</f>
        <v/>
      </c>
      <c r="V98" s="112" t="n">
        <f aca="false">IFERROR(IF([2]对账明细接口!$Q98=0,"",[2]对账明细接口!$Q98),"")</f>
        <v>111</v>
      </c>
      <c r="W98" s="10" t="str">
        <f aca="false">IFERROR(IF([2]对账明细接口!$R98=0,"",[2]对账明细接口!$R98),"")</f>
        <v>新N*SQ607</v>
      </c>
      <c r="X98" s="10" t="str">
        <f aca="false">IFERROR(IF([2]对账明细接口!$S98=0,"",[2]对账明细接口!$S98),"")</f>
        <v>自备筐</v>
      </c>
      <c r="Y98" s="10" t="str">
        <f aca="false">IFERROR(IF([2]对账明细接口!$T98=0,"",[2]对账明细接口!$T98),"")</f>
        <v/>
      </c>
      <c r="Z98" s="113" t="str">
        <f aca="false">IFERROR(IF([2]对账明细接口!$U98=0,"",[2]对账明细接口!$U98),"")</f>
        <v/>
      </c>
      <c r="AA98" s="113" t="str">
        <f aca="false">IFERROR(IF([2]对账明细接口!$V98=0,"",[2]对账明细接口!$V98),"")</f>
        <v/>
      </c>
      <c r="AB98" s="10" t="str">
        <f aca="false">IFERROR(IF([2]对账明细接口!$W98=0,"",[2]对账明细接口!$W98),"")</f>
        <v/>
      </c>
      <c r="AC98" s="90" t="str">
        <f aca="false">IFERROR(IF([2]对账明细接口!$X99=0,"",[2]对账明细接口!$X99),"")</f>
        <v/>
      </c>
      <c r="AD98" s="90" t="str">
        <f aca="false">IFERROR(IF([2]对账明细接口!$Y99=0,"",[2]对账明细接口!$Y99),"")</f>
        <v/>
      </c>
      <c r="AE98" s="90" t="str">
        <f aca="false">IFERROR(IF([2]对账明细接口!$AA99=0,"",[2]对账明细接口!$AA99),"")</f>
        <v/>
      </c>
      <c r="AF98" s="90" t="str">
        <f aca="false">IFERROR(IF([2]对账明细接口!$AB99=0,"",[2]对账明细接口!$AB99),"")</f>
        <v/>
      </c>
      <c r="AG98" s="90" t="str">
        <f aca="false">IFERROR(IF([2]对账明细接口!$AC99=0,"",[2]对账明细接口!$AC99),"")</f>
        <v/>
      </c>
      <c r="AH98" s="90" t="str">
        <f aca="false">IFERROR(IF([2]对账明细接口!$AD99=0,"",[2]对账明细接口!$AD99),"")</f>
        <v/>
      </c>
    </row>
    <row r="99" customFormat="false" ht="13.5" hidden="false" customHeight="false" outlineLevel="0" collapsed="false">
      <c r="A99" s="109" t="n">
        <v>99</v>
      </c>
      <c r="B99" s="110" t="n">
        <f aca="false">IFERROR(IF([2]对账明细接口!$B$99=0,"",[2]对账明细接口!$B$99),"")</f>
        <v>46256</v>
      </c>
      <c r="C99" s="59" t="str">
        <f aca="false">IFERROR(IF([2]对账明细接口!$C$99=0,"",[2]对账明细接口!$C$99),"")</f>
        <v>聂新平</v>
      </c>
      <c r="D99" s="59" t="str">
        <f aca="false">IFERROR(IF([2]对账明细接口!$D$99=0,"",[2]对账明细接口!$D$99),"")</f>
        <v>原料入库</v>
      </c>
      <c r="E99" s="59" t="str">
        <f aca="false">IFERROR(IF([2]对账明细接口!$E$99=0,"",[2]对账明细接口!$E$99),"")</f>
        <v>NO:0000714</v>
      </c>
      <c r="F99" s="59" t="str">
        <f aca="false">IFERROR(IF([2]对账明细接口!$F$99=0,"",[2]对账明细接口!$F$99),"")</f>
        <v>西梅</v>
      </c>
      <c r="G99" s="59" t="str">
        <f aca="false">IFERROR(IF([2]对账明细接口!$G$99=0,"",[2]对账明细接口!$G$99),"")</f>
        <v>西梅二级</v>
      </c>
      <c r="H99" s="60" t="n">
        <f aca="false">IFERROR(IF([2]对账明细接口!$H$99=0,"",[2]对账明细接口!$H$99),"")</f>
        <v>253</v>
      </c>
      <c r="I99" s="59" t="str">
        <f aca="false">IFERROR(IF([2]对账明细接口!$I$99=0,"",[2]对账明细接口!$I$99),"")</f>
        <v>筐</v>
      </c>
      <c r="J99" s="61" t="n">
        <f aca="false">IFERROR(IF([2]对账明细接口!$J$99=0,"",[2]对账明细接口!$J$99),"")</f>
        <v>506</v>
      </c>
      <c r="K99" s="61" t="str">
        <f aca="false">IFERROR(IF([2]对账明细接口!$K$99=0,"",[2]对账明细接口!$K$99),"")</f>
        <v/>
      </c>
      <c r="L99" s="59" t="str">
        <f aca="false">IFERROR(IF([2]对账明细接口!$L$99=0,"",[2]对账明细接口!$L$99),"")</f>
        <v/>
      </c>
      <c r="M99" s="59" t="str">
        <f aca="false">IFERROR(IF([2]对账明细接口!$M$99=0,"",[2]对账明细接口!$M$99),"")</f>
        <v/>
      </c>
      <c r="N99" s="111" t="n">
        <f aca="false">IF($C99="",0,1)</f>
        <v>1</v>
      </c>
      <c r="O99" s="111" t="n">
        <f aca="false">N(O98)+$N99</f>
        <v>96</v>
      </c>
      <c r="S99" s="10" t="str">
        <f aca="false">IFERROR(IF([2]对账明细接口!$N99=0,"",[2]对账明细接口!$N99),"")</f>
        <v>自备一次性筐</v>
      </c>
      <c r="T99" s="112" t="str">
        <f aca="false">IFERROR(IF([2]对账明细接口!$O99=0,"",[2]对账明细接口!$O99),"")</f>
        <v/>
      </c>
      <c r="U99" s="112" t="str">
        <f aca="false">IFERROR(IF([2]对账明细接口!$P99=0,"",[2]对账明细接口!$P99),"")</f>
        <v/>
      </c>
      <c r="V99" s="112" t="n">
        <f aca="false">IFERROR(IF([2]对账明细接口!$Q99=0,"",[2]对账明细接口!$Q99),"")</f>
        <v>253</v>
      </c>
      <c r="W99" s="10" t="str">
        <f aca="false">IFERROR(IF([2]对账明细接口!$R99=0,"",[2]对账明细接口!$R99),"")</f>
        <v>新N*SQ607</v>
      </c>
      <c r="X99" s="10" t="str">
        <f aca="false">IFERROR(IF([2]对账明细接口!$S99=0,"",[2]对账明细接口!$S99),"")</f>
        <v>自备筐</v>
      </c>
      <c r="Y99" s="10" t="str">
        <f aca="false">IFERROR(IF([2]对账明细接口!$T99=0,"",[2]对账明细接口!$T99),"")</f>
        <v/>
      </c>
      <c r="Z99" s="113" t="str">
        <f aca="false">IFERROR(IF([2]对账明细接口!$U99=0,"",[2]对账明细接口!$U99),"")</f>
        <v/>
      </c>
      <c r="AA99" s="113" t="str">
        <f aca="false">IFERROR(IF([2]对账明细接口!$V99=0,"",[2]对账明细接口!$V99),"")</f>
        <v/>
      </c>
      <c r="AB99" s="10" t="str">
        <f aca="false">IFERROR(IF([2]对账明细接口!$W99=0,"",[2]对账明细接口!$W99),"")</f>
        <v/>
      </c>
      <c r="AC99" s="90" t="str">
        <f aca="false">IFERROR(IF([2]对账明细接口!$X100=0,"",[2]对账明细接口!$X100),"")</f>
        <v/>
      </c>
      <c r="AD99" s="90" t="str">
        <f aca="false">IFERROR(IF([2]对账明细接口!$Y100=0,"",[2]对账明细接口!$Y100),"")</f>
        <v/>
      </c>
      <c r="AE99" s="90" t="str">
        <f aca="false">IFERROR(IF([2]对账明细接口!$AA100=0,"",[2]对账明细接口!$AA100),"")</f>
        <v/>
      </c>
      <c r="AF99" s="90" t="str">
        <f aca="false">IFERROR(IF([2]对账明细接口!$AB100=0,"",[2]对账明细接口!$AB100),"")</f>
        <v/>
      </c>
      <c r="AG99" s="90" t="str">
        <f aca="false">IFERROR(IF([2]对账明细接口!$AC100=0,"",[2]对账明细接口!$AC100),"")</f>
        <v/>
      </c>
      <c r="AH99" s="90" t="str">
        <f aca="false">IFERROR(IF([2]对账明细接口!$AD100=0,"",[2]对账明细接口!$AD100),"")</f>
        <v/>
      </c>
    </row>
    <row r="100" customFormat="false" ht="13.5" hidden="false" customHeight="false" outlineLevel="0" collapsed="false">
      <c r="A100" s="109" t="n">
        <v>100</v>
      </c>
      <c r="B100" s="110" t="n">
        <f aca="false">IFERROR(IF([2]对账明细接口!$B$100=0,"",[2]对账明细接口!$B$100),"")</f>
        <v>46256</v>
      </c>
      <c r="C100" s="59" t="str">
        <f aca="false">IFERROR(IF([2]对账明细接口!$C$100=0,"",[2]对账明细接口!$C$100),"")</f>
        <v>聂新平</v>
      </c>
      <c r="D100" s="59" t="str">
        <f aca="false">IFERROR(IF([2]对账明细接口!$D$100=0,"",[2]对账明细接口!$D$100),"")</f>
        <v>原料入库</v>
      </c>
      <c r="E100" s="59" t="str">
        <f aca="false">IFERROR(IF([2]对账明细接口!$E$100=0,"",[2]对账明细接口!$E$100),"")</f>
        <v>NO:0000714</v>
      </c>
      <c r="F100" s="59" t="str">
        <f aca="false">IFERROR(IF([2]对账明细接口!$F$100=0,"",[2]对账明细接口!$F$100),"")</f>
        <v>西梅</v>
      </c>
      <c r="G100" s="59" t="str">
        <f aca="false">IFERROR(IF([2]对账明细接口!$G$100=0,"",[2]对账明细接口!$G$100),"")</f>
        <v>西梅三级</v>
      </c>
      <c r="H100" s="60" t="n">
        <f aca="false">IFERROR(IF([2]对账明细接口!$H$100=0,"",[2]对账明细接口!$H$100),"")</f>
        <v>408</v>
      </c>
      <c r="I100" s="59" t="str">
        <f aca="false">IFERROR(IF([2]对账明细接口!$I$100=0,"",[2]对账明细接口!$I$100),"")</f>
        <v>筐</v>
      </c>
      <c r="J100" s="61" t="n">
        <f aca="false">IFERROR(IF([2]对账明细接口!$J$100=0,"",[2]对账明细接口!$J$100),"")</f>
        <v>816</v>
      </c>
      <c r="K100" s="61" t="str">
        <f aca="false">IFERROR(IF([2]对账明细接口!$K$100=0,"",[2]对账明细接口!$K$100),"")</f>
        <v/>
      </c>
      <c r="L100" s="59" t="str">
        <f aca="false">IFERROR(IF([2]对账明细接口!$L$100=0,"",[2]对账明细接口!$L$100),"")</f>
        <v/>
      </c>
      <c r="M100" s="59" t="str">
        <f aca="false">IFERROR(IF([2]对账明细接口!$M$100=0,"",[2]对账明细接口!$M$100),"")</f>
        <v/>
      </c>
      <c r="N100" s="111" t="n">
        <f aca="false">IF($C100="",0,1)</f>
        <v>1</v>
      </c>
      <c r="O100" s="111" t="n">
        <f aca="false">N(O99)+$N100</f>
        <v>97</v>
      </c>
      <c r="S100" s="10" t="str">
        <f aca="false">IFERROR(IF([2]对账明细接口!$N100=0,"",[2]对账明细接口!$N100),"")</f>
        <v>自备一次性筐</v>
      </c>
      <c r="T100" s="112" t="str">
        <f aca="false">IFERROR(IF([2]对账明细接口!$O100=0,"",[2]对账明细接口!$O100),"")</f>
        <v/>
      </c>
      <c r="U100" s="112" t="str">
        <f aca="false">IFERROR(IF([2]对账明细接口!$P100=0,"",[2]对账明细接口!$P100),"")</f>
        <v/>
      </c>
      <c r="V100" s="112" t="n">
        <f aca="false">IFERROR(IF([2]对账明细接口!$Q100=0,"",[2]对账明细接口!$Q100),"")</f>
        <v>408</v>
      </c>
      <c r="W100" s="10" t="str">
        <f aca="false">IFERROR(IF([2]对账明细接口!$R100=0,"",[2]对账明细接口!$R100),"")</f>
        <v>新N*SQ607</v>
      </c>
      <c r="X100" s="10" t="str">
        <f aca="false">IFERROR(IF([2]对账明细接口!$S100=0,"",[2]对账明细接口!$S100),"")</f>
        <v>自备筐</v>
      </c>
      <c r="Y100" s="10" t="str">
        <f aca="false">IFERROR(IF([2]对账明细接口!$T100=0,"",[2]对账明细接口!$T100),"")</f>
        <v/>
      </c>
      <c r="Z100" s="113" t="str">
        <f aca="false">IFERROR(IF([2]对账明细接口!$U100=0,"",[2]对账明细接口!$U100),"")</f>
        <v/>
      </c>
      <c r="AA100" s="113" t="str">
        <f aca="false">IFERROR(IF([2]对账明细接口!$V100=0,"",[2]对账明细接口!$V100),"")</f>
        <v/>
      </c>
      <c r="AB100" s="10" t="str">
        <f aca="false">IFERROR(IF([2]对账明细接口!$W100=0,"",[2]对账明细接口!$W100),"")</f>
        <v/>
      </c>
      <c r="AC100" s="90" t="str">
        <f aca="false">IFERROR(IF([2]对账明细接口!$X101=0,"",[2]对账明细接口!$X101),"")</f>
        <v/>
      </c>
      <c r="AD100" s="90" t="str">
        <f aca="false">IFERROR(IF([2]对账明细接口!$Y101=0,"",[2]对账明细接口!$Y101),"")</f>
        <v/>
      </c>
      <c r="AE100" s="90" t="str">
        <f aca="false">IFERROR(IF([2]对账明细接口!$AA101=0,"",[2]对账明细接口!$AA101),"")</f>
        <v/>
      </c>
      <c r="AF100" s="90" t="str">
        <f aca="false">IFERROR(IF([2]对账明细接口!$AB101=0,"",[2]对账明细接口!$AB101),"")</f>
        <v/>
      </c>
      <c r="AG100" s="90" t="str">
        <f aca="false">IFERROR(IF([2]对账明细接口!$AC101=0,"",[2]对账明细接口!$AC101),"")</f>
        <v/>
      </c>
      <c r="AH100" s="90" t="str">
        <f aca="false">IFERROR(IF([2]对账明细接口!$AD101=0,"",[2]对账明细接口!$AD101),"")</f>
        <v/>
      </c>
    </row>
    <row r="101" customFormat="false" ht="13.5" hidden="false" customHeight="false" outlineLevel="0" collapsed="false">
      <c r="A101" s="109" t="n">
        <v>101</v>
      </c>
      <c r="B101" s="110" t="n">
        <f aca="false">IFERROR(IF([2]对账明细接口!$B$101=0,"",[2]对账明细接口!$B$101),"")</f>
        <v>46257</v>
      </c>
      <c r="C101" s="59" t="str">
        <f aca="false">IFERROR(IF([2]对账明细接口!$C$101=0,"",[2]对账明细接口!$C$101),"")</f>
        <v>聂新平</v>
      </c>
      <c r="D101" s="59" t="str">
        <f aca="false">IFERROR(IF([2]对账明细接口!$D$101=0,"",[2]对账明细接口!$D$101),"")</f>
        <v>原料入库</v>
      </c>
      <c r="E101" s="59" t="str">
        <f aca="false">IFERROR(IF([2]对账明细接口!$E$101=0,"",[2]对账明细接口!$E$101),"")</f>
        <v>NO:0000716</v>
      </c>
      <c r="F101" s="59" t="str">
        <f aca="false">IFERROR(IF([2]对账明细接口!$F$101=0,"",[2]对账明细接口!$F$101),"")</f>
        <v>西梅</v>
      </c>
      <c r="G101" s="59" t="str">
        <f aca="false">IFERROR(IF([2]对账明细接口!$G$101=0,"",[2]对账明细接口!$G$101),"")</f>
        <v>西梅一级</v>
      </c>
      <c r="H101" s="60" t="n">
        <f aca="false">IFERROR(IF([2]对账明细接口!$H$101=0,"",[2]对账明细接口!$H$101),"")</f>
        <v>81</v>
      </c>
      <c r="I101" s="59" t="str">
        <f aca="false">IFERROR(IF([2]对账明细接口!$I$101=0,"",[2]对账明细接口!$I$101),"")</f>
        <v>筐</v>
      </c>
      <c r="J101" s="61" t="n">
        <f aca="false">IFERROR(IF([2]对账明细接口!$J$101=0,"",[2]对账明细接口!$J$101),"")</f>
        <v>567</v>
      </c>
      <c r="K101" s="61" t="str">
        <f aca="false">IFERROR(IF([2]对账明细接口!$K$101=0,"",[2]对账明细接口!$K$101),"")</f>
        <v/>
      </c>
      <c r="L101" s="59" t="str">
        <f aca="false">IFERROR(IF([2]对账明细接口!$L$101=0,"",[2]对账明细接口!$L$101),"")</f>
        <v/>
      </c>
      <c r="M101" s="59" t="str">
        <f aca="false">IFERROR(IF([2]对账明细接口!$M$101=0,"",[2]对账明细接口!$M$101),"")</f>
        <v/>
      </c>
      <c r="N101" s="111" t="n">
        <f aca="false">IF($C101="",0,1)</f>
        <v>1</v>
      </c>
      <c r="O101" s="111" t="n">
        <f aca="false">N(O100)+$N101</f>
        <v>98</v>
      </c>
      <c r="S101" s="10" t="str">
        <f aca="false">IFERROR(IF([2]对账明细接口!$N101=0,"",[2]对账明细接口!$N101),"")</f>
        <v>自备一次性筐</v>
      </c>
      <c r="T101" s="112" t="str">
        <f aca="false">IFERROR(IF([2]对账明细接口!$O101=0,"",[2]对账明细接口!$O101),"")</f>
        <v/>
      </c>
      <c r="U101" s="112" t="str">
        <f aca="false">IFERROR(IF([2]对账明细接口!$P101=0,"",[2]对账明细接口!$P101),"")</f>
        <v/>
      </c>
      <c r="V101" s="112" t="n">
        <f aca="false">IFERROR(IF([2]对账明细接口!$Q101=0,"",[2]对账明细接口!$Q101),"")</f>
        <v>81</v>
      </c>
      <c r="W101" s="10" t="str">
        <f aca="false">IFERROR(IF([2]对账明细接口!$R101=0,"",[2]对账明细接口!$R101),"")</f>
        <v>苏M*7G796</v>
      </c>
      <c r="X101" s="10" t="str">
        <f aca="false">IFERROR(IF([2]对账明细接口!$S101=0,"",[2]对账明细接口!$S101),"")</f>
        <v>自备筐</v>
      </c>
      <c r="Y101" s="10" t="str">
        <f aca="false">IFERROR(IF([2]对账明细接口!$T101=0,"",[2]对账明细接口!$T101),"")</f>
        <v/>
      </c>
      <c r="Z101" s="113" t="str">
        <f aca="false">IFERROR(IF([2]对账明细接口!$U101=0,"",[2]对账明细接口!$U101),"")</f>
        <v/>
      </c>
      <c r="AA101" s="113" t="str">
        <f aca="false">IFERROR(IF([2]对账明细接口!$V101=0,"",[2]对账明细接口!$V101),"")</f>
        <v/>
      </c>
      <c r="AB101" s="10" t="str">
        <f aca="false">IFERROR(IF([2]对账明细接口!$W101=0,"",[2]对账明细接口!$W101),"")</f>
        <v/>
      </c>
      <c r="AC101" s="90" t="str">
        <f aca="false">IFERROR(IF([2]对账明细接口!$X102=0,"",[2]对账明细接口!$X102),"")</f>
        <v/>
      </c>
      <c r="AD101" s="90" t="str">
        <f aca="false">IFERROR(IF([2]对账明细接口!$Y102=0,"",[2]对账明细接口!$Y102),"")</f>
        <v/>
      </c>
      <c r="AE101" s="90" t="str">
        <f aca="false">IFERROR(IF([2]对账明细接口!$AA102=0,"",[2]对账明细接口!$AA102),"")</f>
        <v/>
      </c>
      <c r="AF101" s="90" t="str">
        <f aca="false">IFERROR(IF([2]对账明细接口!$AB102=0,"",[2]对账明细接口!$AB102),"")</f>
        <v/>
      </c>
      <c r="AG101" s="90" t="str">
        <f aca="false">IFERROR(IF([2]对账明细接口!$AC102=0,"",[2]对账明细接口!$AC102),"")</f>
        <v/>
      </c>
      <c r="AH101" s="90" t="str">
        <f aca="false">IFERROR(IF([2]对账明细接口!$AD102=0,"",[2]对账明细接口!$AD102),"")</f>
        <v/>
      </c>
    </row>
    <row r="102" customFormat="false" ht="13.5" hidden="false" customHeight="false" outlineLevel="0" collapsed="false">
      <c r="A102" s="109" t="n">
        <v>102</v>
      </c>
      <c r="B102" s="110" t="n">
        <f aca="false">IFERROR(IF([2]对账明细接口!$B$102=0,"",[2]对账明细接口!$B$102),"")</f>
        <v>46257</v>
      </c>
      <c r="C102" s="59" t="str">
        <f aca="false">IFERROR(IF([2]对账明细接口!$C$102=0,"",[2]对账明细接口!$C$102),"")</f>
        <v>聂新平</v>
      </c>
      <c r="D102" s="59" t="str">
        <f aca="false">IFERROR(IF([2]对账明细接口!$D$102=0,"",[2]对账明细接口!$D$102),"")</f>
        <v>原料入库</v>
      </c>
      <c r="E102" s="59" t="str">
        <f aca="false">IFERROR(IF([2]对账明细接口!$E$102=0,"",[2]对账明细接口!$E$102),"")</f>
        <v>NO:0000716</v>
      </c>
      <c r="F102" s="59" t="str">
        <f aca="false">IFERROR(IF([2]对账明细接口!$F$102=0,"",[2]对账明细接口!$F$102),"")</f>
        <v>西梅</v>
      </c>
      <c r="G102" s="59" t="str">
        <f aca="false">IFERROR(IF([2]对账明细接口!$G$102=0,"",[2]对账明细接口!$G$102),"")</f>
        <v>西梅二级</v>
      </c>
      <c r="H102" s="60" t="n">
        <f aca="false">IFERROR(IF([2]对账明细接口!$H$102=0,"",[2]对账明细接口!$H$102),"")</f>
        <v>36</v>
      </c>
      <c r="I102" s="59" t="str">
        <f aca="false">IFERROR(IF([2]对账明细接口!$I$102=0,"",[2]对账明细接口!$I$102),"")</f>
        <v>筐</v>
      </c>
      <c r="J102" s="61" t="n">
        <f aca="false">IFERROR(IF([2]对账明细接口!$J$102=0,"",[2]对账明细接口!$J$102),"")</f>
        <v>432</v>
      </c>
      <c r="K102" s="61" t="str">
        <f aca="false">IFERROR(IF([2]对账明细接口!$K$102=0,"",[2]对账明细接口!$K$102),"")</f>
        <v/>
      </c>
      <c r="L102" s="59" t="str">
        <f aca="false">IFERROR(IF([2]对账明细接口!$L$102=0,"",[2]对账明细接口!$L$102),"")</f>
        <v/>
      </c>
      <c r="M102" s="59" t="str">
        <f aca="false">IFERROR(IF([2]对账明细接口!$M$102=0,"",[2]对账明细接口!$M$102),"")</f>
        <v/>
      </c>
      <c r="N102" s="111" t="n">
        <f aca="false">IF($C102="",0,1)</f>
        <v>1</v>
      </c>
      <c r="O102" s="111" t="n">
        <f aca="false">N(O101)+$N102</f>
        <v>99</v>
      </c>
      <c r="S102" s="10" t="str">
        <f aca="false">IFERROR(IF([2]对账明细接口!$N102=0,"",[2]对账明细接口!$N102),"")</f>
        <v>自备一次性筐</v>
      </c>
      <c r="T102" s="112" t="str">
        <f aca="false">IFERROR(IF([2]对账明细接口!$O102=0,"",[2]对账明细接口!$O102),"")</f>
        <v/>
      </c>
      <c r="U102" s="112" t="str">
        <f aca="false">IFERROR(IF([2]对账明细接口!$P102=0,"",[2]对账明细接口!$P102),"")</f>
        <v/>
      </c>
      <c r="V102" s="112" t="n">
        <f aca="false">IFERROR(IF([2]对账明细接口!$Q102=0,"",[2]对账明细接口!$Q102),"")</f>
        <v>36</v>
      </c>
      <c r="W102" s="10" t="str">
        <f aca="false">IFERROR(IF([2]对账明细接口!$R102=0,"",[2]对账明细接口!$R102),"")</f>
        <v>苏M*7G796</v>
      </c>
      <c r="X102" s="10" t="str">
        <f aca="false">IFERROR(IF([2]对账明细接口!$S102=0,"",[2]对账明细接口!$S102),"")</f>
        <v>自备筐</v>
      </c>
      <c r="Y102" s="10" t="str">
        <f aca="false">IFERROR(IF([2]对账明细接口!$T102=0,"",[2]对账明细接口!$T102),"")</f>
        <v/>
      </c>
      <c r="Z102" s="113" t="str">
        <f aca="false">IFERROR(IF([2]对账明细接口!$U102=0,"",[2]对账明细接口!$U102),"")</f>
        <v/>
      </c>
      <c r="AA102" s="113" t="str">
        <f aca="false">IFERROR(IF([2]对账明细接口!$V102=0,"",[2]对账明细接口!$V102),"")</f>
        <v/>
      </c>
      <c r="AB102" s="10" t="str">
        <f aca="false">IFERROR(IF([2]对账明细接口!$W102=0,"",[2]对账明细接口!$W102),"")</f>
        <v/>
      </c>
      <c r="AC102" s="90" t="str">
        <f aca="false">IFERROR(IF([2]对账明细接口!$X103=0,"",[2]对账明细接口!$X103),"")</f>
        <v/>
      </c>
      <c r="AD102" s="90" t="str">
        <f aca="false">IFERROR(IF([2]对账明细接口!$Y103=0,"",[2]对账明细接口!$Y103),"")</f>
        <v/>
      </c>
      <c r="AE102" s="90" t="str">
        <f aca="false">IFERROR(IF([2]对账明细接口!$AA103=0,"",[2]对账明细接口!$AA103),"")</f>
        <v/>
      </c>
      <c r="AF102" s="90" t="str">
        <f aca="false">IFERROR(IF([2]对账明细接口!$AB103=0,"",[2]对账明细接口!$AB103),"")</f>
        <v/>
      </c>
      <c r="AG102" s="90" t="str">
        <f aca="false">IFERROR(IF([2]对账明细接口!$AC103=0,"",[2]对账明细接口!$AC103),"")</f>
        <v/>
      </c>
      <c r="AH102" s="90" t="str">
        <f aca="false">IFERROR(IF([2]对账明细接口!$AD103=0,"",[2]对账明细接口!$AD103),"")</f>
        <v/>
      </c>
    </row>
    <row r="103" customFormat="false" ht="13.5" hidden="false" customHeight="false" outlineLevel="0" collapsed="false">
      <c r="A103" s="109" t="n">
        <v>103</v>
      </c>
      <c r="B103" s="110" t="n">
        <f aca="false">IFERROR(IF([2]对账明细接口!$B$103=0,"",[2]对账明细接口!$B$103),"")</f>
        <v>46257</v>
      </c>
      <c r="C103" s="59" t="str">
        <f aca="false">IFERROR(IF([2]对账明细接口!$C$103=0,"",[2]对账明细接口!$C$103),"")</f>
        <v>聂新平</v>
      </c>
      <c r="D103" s="59" t="str">
        <f aca="false">IFERROR(IF([2]对账明细接口!$D$103=0,"",[2]对账明细接口!$D$103),"")</f>
        <v>原料入库</v>
      </c>
      <c r="E103" s="59" t="str">
        <f aca="false">IFERROR(IF([2]对账明细接口!$E$103=0,"",[2]对账明细接口!$E$103),"")</f>
        <v>NO:0000716</v>
      </c>
      <c r="F103" s="59" t="str">
        <f aca="false">IFERROR(IF([2]对账明细接口!$F$103=0,"",[2]对账明细接口!$F$103),"")</f>
        <v>西梅</v>
      </c>
      <c r="G103" s="59" t="str">
        <f aca="false">IFERROR(IF([2]对账明细接口!$G$103=0,"",[2]对账明细接口!$G$103),"")</f>
        <v>西梅三级</v>
      </c>
      <c r="H103" s="60" t="n">
        <f aca="false">IFERROR(IF([2]对账明细接口!$H$103=0,"",[2]对账明细接口!$H$103),"")</f>
        <v>13</v>
      </c>
      <c r="I103" s="59" t="str">
        <f aca="false">IFERROR(IF([2]对账明细接口!$I$103=0,"",[2]对账明细接口!$I$103),"")</f>
        <v>筐</v>
      </c>
      <c r="J103" s="61" t="n">
        <f aca="false">IFERROR(IF([2]对账明细接口!$J$103=0,"",[2]对账明细接口!$J$103),"")</f>
        <v>26</v>
      </c>
      <c r="K103" s="61" t="str">
        <f aca="false">IFERROR(IF([2]对账明细接口!$K$103=0,"",[2]对账明细接口!$K$103),"")</f>
        <v/>
      </c>
      <c r="L103" s="59" t="str">
        <f aca="false">IFERROR(IF([2]对账明细接口!$L$103=0,"",[2]对账明细接口!$L$103),"")</f>
        <v/>
      </c>
      <c r="M103" s="59" t="str">
        <f aca="false">IFERROR(IF([2]对账明细接口!$M$103=0,"",[2]对账明细接口!$M$103),"")</f>
        <v/>
      </c>
      <c r="N103" s="111" t="n">
        <f aca="false">IF($C103="",0,1)</f>
        <v>1</v>
      </c>
      <c r="O103" s="111" t="n">
        <f aca="false">N(O102)+$N103</f>
        <v>100</v>
      </c>
      <c r="S103" s="10" t="str">
        <f aca="false">IFERROR(IF([2]对账明细接口!$N103=0,"",[2]对账明细接口!$N103),"")</f>
        <v>自备一次性筐</v>
      </c>
      <c r="T103" s="112" t="str">
        <f aca="false">IFERROR(IF([2]对账明细接口!$O103=0,"",[2]对账明细接口!$O103),"")</f>
        <v/>
      </c>
      <c r="U103" s="112" t="str">
        <f aca="false">IFERROR(IF([2]对账明细接口!$P103=0,"",[2]对账明细接口!$P103),"")</f>
        <v/>
      </c>
      <c r="V103" s="112" t="n">
        <f aca="false">IFERROR(IF([2]对账明细接口!$Q103=0,"",[2]对账明细接口!$Q103),"")</f>
        <v>13</v>
      </c>
      <c r="W103" s="10" t="str">
        <f aca="false">IFERROR(IF([2]对账明细接口!$R103=0,"",[2]对账明细接口!$R103),"")</f>
        <v>苏M*7G796</v>
      </c>
      <c r="X103" s="10" t="str">
        <f aca="false">IFERROR(IF([2]对账明细接口!$S103=0,"",[2]对账明细接口!$S103),"")</f>
        <v>自备筐</v>
      </c>
      <c r="Y103" s="10" t="str">
        <f aca="false">IFERROR(IF([2]对账明细接口!$T103=0,"",[2]对账明细接口!$T103),"")</f>
        <v/>
      </c>
      <c r="Z103" s="113" t="str">
        <f aca="false">IFERROR(IF([2]对账明细接口!$U103=0,"",[2]对账明细接口!$U103),"")</f>
        <v/>
      </c>
      <c r="AA103" s="113" t="str">
        <f aca="false">IFERROR(IF([2]对账明细接口!$V103=0,"",[2]对账明细接口!$V103),"")</f>
        <v/>
      </c>
      <c r="AB103" s="10" t="str">
        <f aca="false">IFERROR(IF([2]对账明细接口!$W103=0,"",[2]对账明细接口!$W103),"")</f>
        <v/>
      </c>
      <c r="AC103" s="90" t="str">
        <f aca="false">IFERROR(IF([2]对账明细接口!$X104=0,"",[2]对账明细接口!$X104),"")</f>
        <v/>
      </c>
      <c r="AD103" s="90" t="str">
        <f aca="false">IFERROR(IF([2]对账明细接口!$Y104=0,"",[2]对账明细接口!$Y104),"")</f>
        <v/>
      </c>
      <c r="AE103" s="90" t="str">
        <f aca="false">IFERROR(IF([2]对账明细接口!$AA104=0,"",[2]对账明细接口!$AA104),"")</f>
        <v/>
      </c>
      <c r="AF103" s="90" t="str">
        <f aca="false">IFERROR(IF([2]对账明细接口!$AB104=0,"",[2]对账明细接口!$AB104),"")</f>
        <v/>
      </c>
      <c r="AG103" s="90" t="str">
        <f aca="false">IFERROR(IF([2]对账明细接口!$AC104=0,"",[2]对账明细接口!$AC104),"")</f>
        <v/>
      </c>
      <c r="AH103" s="90" t="str">
        <f aca="false">IFERROR(IF([2]对账明细接口!$AD104=0,"",[2]对账明细接口!$AD104),"")</f>
        <v/>
      </c>
    </row>
    <row r="104" customFormat="false" ht="13.5" hidden="false" customHeight="false" outlineLevel="0" collapsed="false">
      <c r="A104" s="109" t="n">
        <v>104</v>
      </c>
      <c r="B104" s="110" t="n">
        <f aca="false">IFERROR(IF([2]对账明细接口!$B$104=0,"",[2]对账明细接口!$B$104),"")</f>
        <v>46257</v>
      </c>
      <c r="C104" s="59" t="str">
        <f aca="false">IFERROR(IF([2]对账明细接口!$C$104=0,"",[2]对账明细接口!$C$104),"")</f>
        <v>聂新平</v>
      </c>
      <c r="D104" s="59" t="str">
        <f aca="false">IFERROR(IF([2]对账明细接口!$D$104=0,"",[2]对账明细接口!$D$104),"")</f>
        <v>原料入库</v>
      </c>
      <c r="E104" s="59" t="str">
        <f aca="false">IFERROR(IF([2]对账明细接口!$E$104=0,"",[2]对账明细接口!$E$104),"")</f>
        <v>NO:0000717</v>
      </c>
      <c r="F104" s="59" t="str">
        <f aca="false">IFERROR(IF([2]对账明细接口!$F$104=0,"",[2]对账明细接口!$F$104),"")</f>
        <v>西梅</v>
      </c>
      <c r="G104" s="59" t="str">
        <f aca="false">IFERROR(IF([2]对账明细接口!$G$104=0,"",[2]对账明细接口!$G$104),"")</f>
        <v>西梅一级</v>
      </c>
      <c r="H104" s="60" t="n">
        <f aca="false">IFERROR(IF([2]对账明细接口!$H$104=0,"",[2]对账明细接口!$H$104),"")</f>
        <v>73</v>
      </c>
      <c r="I104" s="59" t="str">
        <f aca="false">IFERROR(IF([2]对账明细接口!$I$104=0,"",[2]对账明细接口!$I$104),"")</f>
        <v>筐</v>
      </c>
      <c r="J104" s="61" t="n">
        <f aca="false">IFERROR(IF([2]对账明细接口!$J$104=0,"",[2]对账明细接口!$J$104),"")</f>
        <v>511</v>
      </c>
      <c r="K104" s="61" t="str">
        <f aca="false">IFERROR(IF([2]对账明细接口!$K$104=0,"",[2]对账明细接口!$K$104),"")</f>
        <v/>
      </c>
      <c r="L104" s="59" t="str">
        <f aca="false">IFERROR(IF([2]对账明细接口!$L$104=0,"",[2]对账明细接口!$L$104),"")</f>
        <v/>
      </c>
      <c r="M104" s="59" t="str">
        <f aca="false">IFERROR(IF([2]对账明细接口!$M$104=0,"",[2]对账明细接口!$M$104),"")</f>
        <v/>
      </c>
      <c r="N104" s="111" t="n">
        <f aca="false">IF($C104="",0,1)</f>
        <v>1</v>
      </c>
      <c r="O104" s="111" t="n">
        <f aca="false">N(O103)+$N104</f>
        <v>101</v>
      </c>
      <c r="S104" s="10" t="str">
        <f aca="false">IFERROR(IF([2]对账明细接口!$N104=0,"",[2]对账明细接口!$N104),"")</f>
        <v>自备一次性筐</v>
      </c>
      <c r="T104" s="112" t="str">
        <f aca="false">IFERROR(IF([2]对账明细接口!$O104=0,"",[2]对账明细接口!$O104),"")</f>
        <v/>
      </c>
      <c r="U104" s="112" t="str">
        <f aca="false">IFERROR(IF([2]对账明细接口!$P104=0,"",[2]对账明细接口!$P104),"")</f>
        <v/>
      </c>
      <c r="V104" s="112" t="n">
        <f aca="false">IFERROR(IF([2]对账明细接口!$Q104=0,"",[2]对账明细接口!$Q104),"")</f>
        <v>73</v>
      </c>
      <c r="W104" s="10" t="str">
        <f aca="false">IFERROR(IF([2]对账明细接口!$R104=0,"",[2]对账明细接口!$R104),"")</f>
        <v>新N*SQ607</v>
      </c>
      <c r="X104" s="10" t="str">
        <f aca="false">IFERROR(IF([2]对账明细接口!$S104=0,"",[2]对账明细接口!$S104),"")</f>
        <v>自备筐</v>
      </c>
      <c r="Y104" s="10" t="str">
        <f aca="false">IFERROR(IF([2]对账明细接口!$T104=0,"",[2]对账明细接口!$T104),"")</f>
        <v/>
      </c>
      <c r="Z104" s="113" t="str">
        <f aca="false">IFERROR(IF([2]对账明细接口!$U104=0,"",[2]对账明细接口!$U104),"")</f>
        <v/>
      </c>
      <c r="AA104" s="113" t="str">
        <f aca="false">IFERROR(IF([2]对账明细接口!$V104=0,"",[2]对账明细接口!$V104),"")</f>
        <v/>
      </c>
      <c r="AB104" s="10" t="str">
        <f aca="false">IFERROR(IF([2]对账明细接口!$W104=0,"",[2]对账明细接口!$W104),"")</f>
        <v/>
      </c>
      <c r="AC104" s="90" t="str">
        <f aca="false">IFERROR(IF([2]对账明细接口!$X105=0,"",[2]对账明细接口!$X105),"")</f>
        <v/>
      </c>
      <c r="AD104" s="90" t="str">
        <f aca="false">IFERROR(IF([2]对账明细接口!$Y105=0,"",[2]对账明细接口!$Y105),"")</f>
        <v/>
      </c>
      <c r="AE104" s="90" t="str">
        <f aca="false">IFERROR(IF([2]对账明细接口!$AA105=0,"",[2]对账明细接口!$AA105),"")</f>
        <v/>
      </c>
      <c r="AF104" s="90" t="str">
        <f aca="false">IFERROR(IF([2]对账明细接口!$AB105=0,"",[2]对账明细接口!$AB105),"")</f>
        <v/>
      </c>
      <c r="AG104" s="90" t="str">
        <f aca="false">IFERROR(IF([2]对账明细接口!$AC105=0,"",[2]对账明细接口!$AC105),"")</f>
        <v/>
      </c>
      <c r="AH104" s="90" t="str">
        <f aca="false">IFERROR(IF([2]对账明细接口!$AD105=0,"",[2]对账明细接口!$AD105),"")</f>
        <v/>
      </c>
    </row>
    <row r="105" customFormat="false" ht="13.5" hidden="false" customHeight="false" outlineLevel="0" collapsed="false">
      <c r="A105" s="109" t="n">
        <v>105</v>
      </c>
      <c r="B105" s="110" t="n">
        <f aca="false">IFERROR(IF([2]对账明细接口!$B$105=0,"",[2]对账明细接口!$B$105),"")</f>
        <v>46257</v>
      </c>
      <c r="C105" s="59" t="str">
        <f aca="false">IFERROR(IF([2]对账明细接口!$C$105=0,"",[2]对账明细接口!$C$105),"")</f>
        <v>聂新平</v>
      </c>
      <c r="D105" s="59" t="str">
        <f aca="false">IFERROR(IF([2]对账明细接口!$D$105=0,"",[2]对账明细接口!$D$105),"")</f>
        <v>原料入库</v>
      </c>
      <c r="E105" s="59" t="str">
        <f aca="false">IFERROR(IF([2]对账明细接口!$E$105=0,"",[2]对账明细接口!$E$105),"")</f>
        <v>NO:0000717</v>
      </c>
      <c r="F105" s="59" t="str">
        <f aca="false">IFERROR(IF([2]对账明细接口!$F$105=0,"",[2]对账明细接口!$F$105),"")</f>
        <v>西梅</v>
      </c>
      <c r="G105" s="59" t="str">
        <f aca="false">IFERROR(IF([2]对账明细接口!$G$105=0,"",[2]对账明细接口!$G$105),"")</f>
        <v>西梅二级</v>
      </c>
      <c r="H105" s="60" t="n">
        <f aca="false">IFERROR(IF([2]对账明细接口!$H$105=0,"",[2]对账明细接口!$H$105),"")</f>
        <v>140</v>
      </c>
      <c r="I105" s="59" t="str">
        <f aca="false">IFERROR(IF([2]对账明细接口!$I$105=0,"",[2]对账明细接口!$I$105),"")</f>
        <v>筐</v>
      </c>
      <c r="J105" s="61" t="n">
        <f aca="false">IFERROR(IF([2]对账明细接口!$J$105=0,"",[2]对账明细接口!$J$105),"")</f>
        <v>1680</v>
      </c>
      <c r="K105" s="61" t="str">
        <f aca="false">IFERROR(IF([2]对账明细接口!$K$105=0,"",[2]对账明细接口!$K$105),"")</f>
        <v/>
      </c>
      <c r="L105" s="59" t="str">
        <f aca="false">IFERROR(IF([2]对账明细接口!$L$105=0,"",[2]对账明细接口!$L$105),"")</f>
        <v/>
      </c>
      <c r="M105" s="59" t="str">
        <f aca="false">IFERROR(IF([2]对账明细接口!$M$105=0,"",[2]对账明细接口!$M$105),"")</f>
        <v/>
      </c>
      <c r="N105" s="111" t="n">
        <f aca="false">IF($C105="",0,1)</f>
        <v>1</v>
      </c>
      <c r="O105" s="111" t="n">
        <f aca="false">N(O104)+$N105</f>
        <v>102</v>
      </c>
      <c r="S105" s="10" t="str">
        <f aca="false">IFERROR(IF([2]对账明细接口!$N105=0,"",[2]对账明细接口!$N105),"")</f>
        <v>自备一次性筐</v>
      </c>
      <c r="T105" s="112" t="str">
        <f aca="false">IFERROR(IF([2]对账明细接口!$O105=0,"",[2]对账明细接口!$O105),"")</f>
        <v/>
      </c>
      <c r="U105" s="112" t="str">
        <f aca="false">IFERROR(IF([2]对账明细接口!$P105=0,"",[2]对账明细接口!$P105),"")</f>
        <v/>
      </c>
      <c r="V105" s="112" t="n">
        <f aca="false">IFERROR(IF([2]对账明细接口!$Q105=0,"",[2]对账明细接口!$Q105),"")</f>
        <v>140</v>
      </c>
      <c r="W105" s="10" t="str">
        <f aca="false">IFERROR(IF([2]对账明细接口!$R105=0,"",[2]对账明细接口!$R105),"")</f>
        <v>新N*SQ607</v>
      </c>
      <c r="X105" s="10" t="str">
        <f aca="false">IFERROR(IF([2]对账明细接口!$S105=0,"",[2]对账明细接口!$S105),"")</f>
        <v>自备筐</v>
      </c>
      <c r="Y105" s="10" t="str">
        <f aca="false">IFERROR(IF([2]对账明细接口!$T105=0,"",[2]对账明细接口!$T105),"")</f>
        <v/>
      </c>
      <c r="Z105" s="113" t="str">
        <f aca="false">IFERROR(IF([2]对账明细接口!$U105=0,"",[2]对账明细接口!$U105),"")</f>
        <v/>
      </c>
      <c r="AA105" s="113" t="str">
        <f aca="false">IFERROR(IF([2]对账明细接口!$V105=0,"",[2]对账明细接口!$V105),"")</f>
        <v/>
      </c>
      <c r="AB105" s="10" t="str">
        <f aca="false">IFERROR(IF([2]对账明细接口!$W105=0,"",[2]对账明细接口!$W105),"")</f>
        <v/>
      </c>
      <c r="AC105" s="90" t="str">
        <f aca="false">IFERROR(IF([2]对账明细接口!$X106=0,"",[2]对账明细接口!$X106),"")</f>
        <v/>
      </c>
      <c r="AD105" s="90" t="str">
        <f aca="false">IFERROR(IF([2]对账明细接口!$Y106=0,"",[2]对账明细接口!$Y106),"")</f>
        <v/>
      </c>
      <c r="AE105" s="90" t="str">
        <f aca="false">IFERROR(IF([2]对账明细接口!$AA106=0,"",[2]对账明细接口!$AA106),"")</f>
        <v/>
      </c>
      <c r="AF105" s="90" t="str">
        <f aca="false">IFERROR(IF([2]对账明细接口!$AB106=0,"",[2]对账明细接口!$AB106),"")</f>
        <v/>
      </c>
      <c r="AG105" s="90" t="str">
        <f aca="false">IFERROR(IF([2]对账明细接口!$AC106=0,"",[2]对账明细接口!$AC106),"")</f>
        <v/>
      </c>
      <c r="AH105" s="90" t="str">
        <f aca="false">IFERROR(IF([2]对账明细接口!$AD106=0,"",[2]对账明细接口!$AD106),"")</f>
        <v/>
      </c>
    </row>
    <row r="106" customFormat="false" ht="13.5" hidden="false" customHeight="false" outlineLevel="0" collapsed="false">
      <c r="A106" s="109" t="n">
        <v>106</v>
      </c>
      <c r="B106" s="110" t="n">
        <f aca="false">IFERROR(IF([2]对账明细接口!$B$106=0,"",[2]对账明细接口!$B$106),"")</f>
        <v>46257</v>
      </c>
      <c r="C106" s="59" t="str">
        <f aca="false">IFERROR(IF([2]对账明细接口!$C$106=0,"",[2]对账明细接口!$C$106),"")</f>
        <v>聂新平</v>
      </c>
      <c r="D106" s="59" t="str">
        <f aca="false">IFERROR(IF([2]对账明细接口!$D$106=0,"",[2]对账明细接口!$D$106),"")</f>
        <v>原料入库</v>
      </c>
      <c r="E106" s="59" t="str">
        <f aca="false">IFERROR(IF([2]对账明细接口!$E$106=0,"",[2]对账明细接口!$E$106),"")</f>
        <v>NO:0000717</v>
      </c>
      <c r="F106" s="59" t="str">
        <f aca="false">IFERROR(IF([2]对账明细接口!$F$106=0,"",[2]对账明细接口!$F$106),"")</f>
        <v>西梅</v>
      </c>
      <c r="G106" s="59" t="str">
        <f aca="false">IFERROR(IF([2]对账明细接口!$G$106=0,"",[2]对账明细接口!$G$106),"")</f>
        <v>西梅三级</v>
      </c>
      <c r="H106" s="60" t="n">
        <f aca="false">IFERROR(IF([2]对账明细接口!$H$106=0,"",[2]对账明细接口!$H$106),"")</f>
        <v>354</v>
      </c>
      <c r="I106" s="59" t="str">
        <f aca="false">IFERROR(IF([2]对账明细接口!$I$106=0,"",[2]对账明细接口!$I$106),"")</f>
        <v>筐</v>
      </c>
      <c r="J106" s="61" t="n">
        <f aca="false">IFERROR(IF([2]对账明细接口!$J$106=0,"",[2]对账明细接口!$J$106),"")</f>
        <v>708</v>
      </c>
      <c r="K106" s="61" t="str">
        <f aca="false">IFERROR(IF([2]对账明细接口!$K$106=0,"",[2]对账明细接口!$K$106),"")</f>
        <v/>
      </c>
      <c r="L106" s="59" t="str">
        <f aca="false">IFERROR(IF([2]对账明细接口!$L$106=0,"",[2]对账明细接口!$L$106),"")</f>
        <v/>
      </c>
      <c r="M106" s="59" t="str">
        <f aca="false">IFERROR(IF([2]对账明细接口!$M$106=0,"",[2]对账明细接口!$M$106),"")</f>
        <v/>
      </c>
      <c r="N106" s="111" t="n">
        <f aca="false">IF($C106="",0,1)</f>
        <v>1</v>
      </c>
      <c r="O106" s="111" t="n">
        <f aca="false">N(O105)+$N106</f>
        <v>103</v>
      </c>
      <c r="S106" s="10" t="str">
        <f aca="false">IFERROR(IF([2]对账明细接口!$N106=0,"",[2]对账明细接口!$N106),"")</f>
        <v>自备一次性筐</v>
      </c>
      <c r="T106" s="112" t="str">
        <f aca="false">IFERROR(IF([2]对账明细接口!$O106=0,"",[2]对账明细接口!$O106),"")</f>
        <v/>
      </c>
      <c r="U106" s="112" t="str">
        <f aca="false">IFERROR(IF([2]对账明细接口!$P106=0,"",[2]对账明细接口!$P106),"")</f>
        <v/>
      </c>
      <c r="V106" s="112" t="n">
        <f aca="false">IFERROR(IF([2]对账明细接口!$Q106=0,"",[2]对账明细接口!$Q106),"")</f>
        <v>354</v>
      </c>
      <c r="W106" s="10" t="str">
        <f aca="false">IFERROR(IF([2]对账明细接口!$R106=0,"",[2]对账明细接口!$R106),"")</f>
        <v>新N*SQ607</v>
      </c>
      <c r="X106" s="10" t="str">
        <f aca="false">IFERROR(IF([2]对账明细接口!$S106=0,"",[2]对账明细接口!$S106),"")</f>
        <v>自备筐</v>
      </c>
      <c r="Y106" s="10" t="str">
        <f aca="false">IFERROR(IF([2]对账明细接口!$T106=0,"",[2]对账明细接口!$T106),"")</f>
        <v/>
      </c>
      <c r="Z106" s="113" t="str">
        <f aca="false">IFERROR(IF([2]对账明细接口!$U106=0,"",[2]对账明细接口!$U106),"")</f>
        <v/>
      </c>
      <c r="AA106" s="113" t="str">
        <f aca="false">IFERROR(IF([2]对账明细接口!$V106=0,"",[2]对账明细接口!$V106),"")</f>
        <v/>
      </c>
      <c r="AB106" s="10" t="str">
        <f aca="false">IFERROR(IF([2]对账明细接口!$W106=0,"",[2]对账明细接口!$W106),"")</f>
        <v/>
      </c>
      <c r="AC106" s="90" t="str">
        <f aca="false">IFERROR(IF([2]对账明细接口!$X107=0,"",[2]对账明细接口!$X107),"")</f>
        <v/>
      </c>
      <c r="AD106" s="90" t="str">
        <f aca="false">IFERROR(IF([2]对账明细接口!$Y107=0,"",[2]对账明细接口!$Y107),"")</f>
        <v/>
      </c>
      <c r="AE106" s="90" t="str">
        <f aca="false">IFERROR(IF([2]对账明细接口!$AA107=0,"",[2]对账明细接口!$AA107),"")</f>
        <v/>
      </c>
      <c r="AF106" s="90" t="str">
        <f aca="false">IFERROR(IF([2]对账明细接口!$AB107=0,"",[2]对账明细接口!$AB107),"")</f>
        <v/>
      </c>
      <c r="AG106" s="90" t="str">
        <f aca="false">IFERROR(IF([2]对账明细接口!$AC107=0,"",[2]对账明细接口!$AC107),"")</f>
        <v/>
      </c>
      <c r="AH106" s="90" t="str">
        <f aca="false">IFERROR(IF([2]对账明细接口!$AD107=0,"",[2]对账明细接口!$AD107),"")</f>
        <v/>
      </c>
    </row>
    <row r="107" customFormat="false" ht="13.5" hidden="false" customHeight="false" outlineLevel="0" collapsed="false">
      <c r="A107" s="109" t="n">
        <v>107</v>
      </c>
      <c r="B107" s="110" t="n">
        <f aca="false">IFERROR(IF([2]对账明细接口!$B$107=0,"",[2]对账明细接口!$B$107),"")</f>
        <v>46258</v>
      </c>
      <c r="C107" s="59" t="str">
        <f aca="false">IFERROR(IF([2]对账明细接口!$C$107=0,"",[2]对账明细接口!$C$107),"")</f>
        <v>聂新平</v>
      </c>
      <c r="D107" s="59" t="str">
        <f aca="false">IFERROR(IF([2]对账明细接口!$D$107=0,"",[2]对账明细接口!$D$107),"")</f>
        <v>原料入库</v>
      </c>
      <c r="E107" s="59" t="str">
        <f aca="false">IFERROR(IF([2]对账明细接口!$E$107=0,"",[2]对账明细接口!$E$107),"")</f>
        <v>NO:0000720</v>
      </c>
      <c r="F107" s="59" t="str">
        <f aca="false">IFERROR(IF([2]对账明细接口!$F$107=0,"",[2]对账明细接口!$F$107),"")</f>
        <v>西梅</v>
      </c>
      <c r="G107" s="59" t="str">
        <f aca="false">IFERROR(IF([2]对账明细接口!$G$107=0,"",[2]对账明细接口!$G$107),"")</f>
        <v>西梅一级</v>
      </c>
      <c r="H107" s="60" t="n">
        <f aca="false">IFERROR(IF([2]对账明细接口!$H$107=0,"",[2]对账明细接口!$H$107),"")</f>
        <v>81</v>
      </c>
      <c r="I107" s="59" t="str">
        <f aca="false">IFERROR(IF([2]对账明细接口!$I$107=0,"",[2]对账明细接口!$I$107),"")</f>
        <v>筐</v>
      </c>
      <c r="J107" s="61" t="n">
        <f aca="false">IFERROR(IF([2]对账明细接口!$J$107=0,"",[2]对账明细接口!$J$107),"")</f>
        <v>567</v>
      </c>
      <c r="K107" s="61" t="str">
        <f aca="false">IFERROR(IF([2]对账明细接口!$K$107=0,"",[2]对账明细接口!$K$107),"")</f>
        <v/>
      </c>
      <c r="L107" s="59" t="str">
        <f aca="false">IFERROR(IF([2]对账明细接口!$L$107=0,"",[2]对账明细接口!$L$107),"")</f>
        <v/>
      </c>
      <c r="M107" s="59" t="str">
        <f aca="false">IFERROR(IF([2]对账明细接口!$M$107=0,"",[2]对账明细接口!$M$107),"")</f>
        <v/>
      </c>
      <c r="N107" s="111" t="n">
        <f aca="false">IF($C107="",0,1)</f>
        <v>1</v>
      </c>
      <c r="O107" s="111" t="n">
        <f aca="false">N(O106)+$N107</f>
        <v>104</v>
      </c>
      <c r="S107" s="10" t="str">
        <f aca="false">IFERROR(IF([2]对账明细接口!$N107=0,"",[2]对账明细接口!$N107),"")</f>
        <v>自备一次性筐</v>
      </c>
      <c r="T107" s="112" t="str">
        <f aca="false">IFERROR(IF([2]对账明细接口!$O107=0,"",[2]对账明细接口!$O107),"")</f>
        <v/>
      </c>
      <c r="U107" s="112" t="str">
        <f aca="false">IFERROR(IF([2]对账明细接口!$P107=0,"",[2]对账明细接口!$P107),"")</f>
        <v/>
      </c>
      <c r="V107" s="112" t="n">
        <f aca="false">IFERROR(IF([2]对账明细接口!$Q107=0,"",[2]对账明细接口!$Q107),"")</f>
        <v>81</v>
      </c>
      <c r="W107" s="10" t="str">
        <f aca="false">IFERROR(IF([2]对账明细接口!$R107=0,"",[2]对账明细接口!$R107),"")</f>
        <v>苏M*7G796</v>
      </c>
      <c r="X107" s="10" t="str">
        <f aca="false">IFERROR(IF([2]对账明细接口!$S107=0,"",[2]对账明细接口!$S107),"")</f>
        <v>自备筐</v>
      </c>
      <c r="Y107" s="10" t="str">
        <f aca="false">IFERROR(IF([2]对账明细接口!$T107=0,"",[2]对账明细接口!$T107),"")</f>
        <v/>
      </c>
      <c r="Z107" s="113" t="str">
        <f aca="false">IFERROR(IF([2]对账明细接口!$U107=0,"",[2]对账明细接口!$U107),"")</f>
        <v/>
      </c>
      <c r="AA107" s="113" t="str">
        <f aca="false">IFERROR(IF([2]对账明细接口!$V107=0,"",[2]对账明细接口!$V107),"")</f>
        <v/>
      </c>
      <c r="AB107" s="10" t="str">
        <f aca="false">IFERROR(IF([2]对账明细接口!$W107=0,"",[2]对账明细接口!$W107),"")</f>
        <v/>
      </c>
      <c r="AC107" s="90" t="str">
        <f aca="false">IFERROR(IF([2]对账明细接口!$X108=0,"",[2]对账明细接口!$X108),"")</f>
        <v/>
      </c>
      <c r="AD107" s="90" t="str">
        <f aca="false">IFERROR(IF([2]对账明细接口!$Y108=0,"",[2]对账明细接口!$Y108),"")</f>
        <v/>
      </c>
      <c r="AE107" s="90" t="str">
        <f aca="false">IFERROR(IF([2]对账明细接口!$AA108=0,"",[2]对账明细接口!$AA108),"")</f>
        <v/>
      </c>
      <c r="AF107" s="90" t="str">
        <f aca="false">IFERROR(IF([2]对账明细接口!$AB108=0,"",[2]对账明细接口!$AB108),"")</f>
        <v/>
      </c>
      <c r="AG107" s="90" t="str">
        <f aca="false">IFERROR(IF([2]对账明细接口!$AC108=0,"",[2]对账明细接口!$AC108),"")</f>
        <v/>
      </c>
      <c r="AH107" s="90" t="str">
        <f aca="false">IFERROR(IF([2]对账明细接口!$AD108=0,"",[2]对账明细接口!$AD108),"")</f>
        <v/>
      </c>
    </row>
    <row r="108" customFormat="false" ht="13.5" hidden="false" customHeight="false" outlineLevel="0" collapsed="false">
      <c r="A108" s="109" t="n">
        <v>108</v>
      </c>
      <c r="B108" s="110" t="n">
        <f aca="false">IFERROR(IF([2]对账明细接口!$B$108=0,"",[2]对账明细接口!$B$108),"")</f>
        <v>46258</v>
      </c>
      <c r="C108" s="59" t="str">
        <f aca="false">IFERROR(IF([2]对账明细接口!$C$108=0,"",[2]对账明细接口!$C$108),"")</f>
        <v>聂新平</v>
      </c>
      <c r="D108" s="59" t="str">
        <f aca="false">IFERROR(IF([2]对账明细接口!$D$108=0,"",[2]对账明细接口!$D$108),"")</f>
        <v>原料入库</v>
      </c>
      <c r="E108" s="59" t="str">
        <f aca="false">IFERROR(IF([2]对账明细接口!$E$108=0,"",[2]对账明细接口!$E$108),"")</f>
        <v>NO:0000720</v>
      </c>
      <c r="F108" s="59" t="str">
        <f aca="false">IFERROR(IF([2]对账明细接口!$F$108=0,"",[2]对账明细接口!$F$108),"")</f>
        <v>西梅</v>
      </c>
      <c r="G108" s="59" t="str">
        <f aca="false">IFERROR(IF([2]对账明细接口!$G$108=0,"",[2]对账明细接口!$G$108),"")</f>
        <v>西梅二级</v>
      </c>
      <c r="H108" s="60" t="n">
        <f aca="false">IFERROR(IF([2]对账明细接口!$H$108=0,"",[2]对账明细接口!$H$108),"")</f>
        <v>43</v>
      </c>
      <c r="I108" s="59" t="str">
        <f aca="false">IFERROR(IF([2]对账明细接口!$I$108=0,"",[2]对账明细接口!$I$108),"")</f>
        <v>筐</v>
      </c>
      <c r="J108" s="61" t="n">
        <f aca="false">IFERROR(IF([2]对账明细接口!$J$108=0,"",[2]对账明细接口!$J$108),"")</f>
        <v>516</v>
      </c>
      <c r="K108" s="61" t="str">
        <f aca="false">IFERROR(IF([2]对账明细接口!$K$108=0,"",[2]对账明细接口!$K$108),"")</f>
        <v/>
      </c>
      <c r="L108" s="59" t="str">
        <f aca="false">IFERROR(IF([2]对账明细接口!$L$108=0,"",[2]对账明细接口!$L$108),"")</f>
        <v/>
      </c>
      <c r="M108" s="59" t="str">
        <f aca="false">IFERROR(IF([2]对账明细接口!$M$108=0,"",[2]对账明细接口!$M$108),"")</f>
        <v/>
      </c>
      <c r="N108" s="111" t="n">
        <f aca="false">IF($C108="",0,1)</f>
        <v>1</v>
      </c>
      <c r="O108" s="111" t="n">
        <f aca="false">N(O107)+$N108</f>
        <v>105</v>
      </c>
      <c r="S108" s="10" t="str">
        <f aca="false">IFERROR(IF([2]对账明细接口!$N108=0,"",[2]对账明细接口!$N108),"")</f>
        <v>自备一次性筐</v>
      </c>
      <c r="T108" s="112" t="str">
        <f aca="false">IFERROR(IF([2]对账明细接口!$O108=0,"",[2]对账明细接口!$O108),"")</f>
        <v/>
      </c>
      <c r="U108" s="112" t="str">
        <f aca="false">IFERROR(IF([2]对账明细接口!$P108=0,"",[2]对账明细接口!$P108),"")</f>
        <v/>
      </c>
      <c r="V108" s="112" t="n">
        <f aca="false">IFERROR(IF([2]对账明细接口!$Q108=0,"",[2]对账明细接口!$Q108),"")</f>
        <v>43</v>
      </c>
      <c r="W108" s="10" t="str">
        <f aca="false">IFERROR(IF([2]对账明细接口!$R108=0,"",[2]对账明细接口!$R108),"")</f>
        <v>苏M*7G796</v>
      </c>
      <c r="X108" s="10" t="str">
        <f aca="false">IFERROR(IF([2]对账明细接口!$S108=0,"",[2]对账明细接口!$S108),"")</f>
        <v>自备筐</v>
      </c>
      <c r="Y108" s="10" t="str">
        <f aca="false">IFERROR(IF([2]对账明细接口!$T108=0,"",[2]对账明细接口!$T108),"")</f>
        <v/>
      </c>
      <c r="Z108" s="113" t="str">
        <f aca="false">IFERROR(IF([2]对账明细接口!$U108=0,"",[2]对账明细接口!$U108),"")</f>
        <v/>
      </c>
      <c r="AA108" s="113" t="str">
        <f aca="false">IFERROR(IF([2]对账明细接口!$V108=0,"",[2]对账明细接口!$V108),"")</f>
        <v/>
      </c>
      <c r="AB108" s="10" t="str">
        <f aca="false">IFERROR(IF([2]对账明细接口!$W108=0,"",[2]对账明细接口!$W108),"")</f>
        <v/>
      </c>
      <c r="AC108" s="90" t="str">
        <f aca="false">IFERROR(IF([2]对账明细接口!$X109=0,"",[2]对账明细接口!$X109),"")</f>
        <v/>
      </c>
      <c r="AD108" s="90" t="str">
        <f aca="false">IFERROR(IF([2]对账明细接口!$Y109=0,"",[2]对账明细接口!$Y109),"")</f>
        <v/>
      </c>
      <c r="AE108" s="90" t="str">
        <f aca="false">IFERROR(IF([2]对账明细接口!$AA109=0,"",[2]对账明细接口!$AA109),"")</f>
        <v/>
      </c>
      <c r="AF108" s="90" t="str">
        <f aca="false">IFERROR(IF([2]对账明细接口!$AB109=0,"",[2]对账明细接口!$AB109),"")</f>
        <v/>
      </c>
      <c r="AG108" s="90" t="str">
        <f aca="false">IFERROR(IF([2]对账明细接口!$AC109=0,"",[2]对账明细接口!$AC109),"")</f>
        <v/>
      </c>
      <c r="AH108" s="90" t="str">
        <f aca="false">IFERROR(IF([2]对账明细接口!$AD109=0,"",[2]对账明细接口!$AD109),"")</f>
        <v/>
      </c>
    </row>
    <row r="109" customFormat="false" ht="13.5" hidden="false" customHeight="false" outlineLevel="0" collapsed="false">
      <c r="A109" s="109" t="n">
        <v>109</v>
      </c>
      <c r="B109" s="110" t="n">
        <f aca="false">IFERROR(IF([2]对账明细接口!$B$109=0,"",[2]对账明细接口!$B$109),"")</f>
        <v>46258</v>
      </c>
      <c r="C109" s="59" t="str">
        <f aca="false">IFERROR(IF([2]对账明细接口!$C$109=0,"",[2]对账明细接口!$C$109),"")</f>
        <v>聂新平</v>
      </c>
      <c r="D109" s="59" t="str">
        <f aca="false">IFERROR(IF([2]对账明细接口!$D$109=0,"",[2]对账明细接口!$D$109),"")</f>
        <v>原料入库</v>
      </c>
      <c r="E109" s="59" t="str">
        <f aca="false">IFERROR(IF([2]对账明细接口!$E$109=0,"",[2]对账明细接口!$E$109),"")</f>
        <v>NO:0000722</v>
      </c>
      <c r="F109" s="59" t="str">
        <f aca="false">IFERROR(IF([2]对账明细接口!$F$109=0,"",[2]对账明细接口!$F$109),"")</f>
        <v>西梅</v>
      </c>
      <c r="G109" s="59" t="str">
        <f aca="false">IFERROR(IF([2]对账明细接口!$G$109=0,"",[2]对账明细接口!$G$109),"")</f>
        <v>西梅二级</v>
      </c>
      <c r="H109" s="60" t="n">
        <f aca="false">IFERROR(IF([2]对账明细接口!$H$109=0,"",[2]对账明细接口!$H$109),"")</f>
        <v>96</v>
      </c>
      <c r="I109" s="59" t="str">
        <f aca="false">IFERROR(IF([2]对账明细接口!$I$109=0,"",[2]对账明细接口!$I$109),"")</f>
        <v>筐</v>
      </c>
      <c r="J109" s="61" t="n">
        <f aca="false">IFERROR(IF([2]对账明细接口!$J$109=0,"",[2]对账明细接口!$J$109),"")</f>
        <v>1152</v>
      </c>
      <c r="K109" s="61" t="str">
        <f aca="false">IFERROR(IF([2]对账明细接口!$K$109=0,"",[2]对账明细接口!$K$109),"")</f>
        <v/>
      </c>
      <c r="L109" s="59" t="str">
        <f aca="false">IFERROR(IF([2]对账明细接口!$L$109=0,"",[2]对账明细接口!$L$109),"")</f>
        <v/>
      </c>
      <c r="M109" s="59" t="str">
        <f aca="false">IFERROR(IF([2]对账明细接口!$M$109=0,"",[2]对账明细接口!$M$109),"")</f>
        <v/>
      </c>
      <c r="N109" s="111" t="n">
        <f aca="false">IF($C109="",0,1)</f>
        <v>1</v>
      </c>
      <c r="O109" s="111" t="n">
        <f aca="false">N(O108)+$N109</f>
        <v>106</v>
      </c>
      <c r="S109" s="10" t="str">
        <f aca="false">IFERROR(IF([2]对账明细接口!$N109=0,"",[2]对账明细接口!$N109),"")</f>
        <v>自备一次性筐</v>
      </c>
      <c r="T109" s="112" t="str">
        <f aca="false">IFERROR(IF([2]对账明细接口!$O109=0,"",[2]对账明细接口!$O109),"")</f>
        <v/>
      </c>
      <c r="U109" s="112" t="str">
        <f aca="false">IFERROR(IF([2]对账明细接口!$P109=0,"",[2]对账明细接口!$P109),"")</f>
        <v/>
      </c>
      <c r="V109" s="112" t="n">
        <f aca="false">IFERROR(IF([2]对账明细接口!$Q109=0,"",[2]对账明细接口!$Q109),"")</f>
        <v>96</v>
      </c>
      <c r="W109" s="10" t="str">
        <f aca="false">IFERROR(IF([2]对账明细接口!$R109=0,"",[2]对账明细接口!$R109),"")</f>
        <v>苏M*7G796</v>
      </c>
      <c r="X109" s="10" t="str">
        <f aca="false">IFERROR(IF([2]对账明细接口!$S109=0,"",[2]对账明细接口!$S109),"")</f>
        <v>自备筐</v>
      </c>
      <c r="Y109" s="10" t="str">
        <f aca="false">IFERROR(IF([2]对账明细接口!$T109=0,"",[2]对账明细接口!$T109),"")</f>
        <v/>
      </c>
      <c r="Z109" s="113" t="str">
        <f aca="false">IFERROR(IF([2]对账明细接口!$U109=0,"",[2]对账明细接口!$U109),"")</f>
        <v/>
      </c>
      <c r="AA109" s="113" t="str">
        <f aca="false">IFERROR(IF([2]对账明细接口!$V109=0,"",[2]对账明细接口!$V109),"")</f>
        <v/>
      </c>
      <c r="AB109" s="10" t="str">
        <f aca="false">IFERROR(IF([2]对账明细接口!$W109=0,"",[2]对账明细接口!$W109),"")</f>
        <v/>
      </c>
      <c r="AC109" s="90" t="str">
        <f aca="false">IFERROR(IF([2]对账明细接口!$X110=0,"",[2]对账明细接口!$X110),"")</f>
        <v/>
      </c>
      <c r="AD109" s="90" t="str">
        <f aca="false">IFERROR(IF([2]对账明细接口!$Y110=0,"",[2]对账明细接口!$Y110),"")</f>
        <v/>
      </c>
      <c r="AE109" s="90" t="str">
        <f aca="false">IFERROR(IF([2]对账明细接口!$AA110=0,"",[2]对账明细接口!$AA110),"")</f>
        <v/>
      </c>
      <c r="AF109" s="90" t="str">
        <f aca="false">IFERROR(IF([2]对账明细接口!$AB110=0,"",[2]对账明细接口!$AB110),"")</f>
        <v/>
      </c>
      <c r="AG109" s="90" t="str">
        <f aca="false">IFERROR(IF([2]对账明细接口!$AC110=0,"",[2]对账明细接口!$AC110),"")</f>
        <v/>
      </c>
      <c r="AH109" s="90" t="str">
        <f aca="false">IFERROR(IF([2]对账明细接口!$AD110=0,"",[2]对账明细接口!$AD110),"")</f>
        <v/>
      </c>
    </row>
    <row r="110" customFormat="false" ht="13.5" hidden="false" customHeight="false" outlineLevel="0" collapsed="false">
      <c r="A110" s="109" t="n">
        <v>110</v>
      </c>
      <c r="B110" s="110" t="n">
        <f aca="false">IFERROR(IF([2]对账明细接口!$B$110=0,"",[2]对账明细接口!$B$110),"")</f>
        <v>46258</v>
      </c>
      <c r="C110" s="59" t="str">
        <f aca="false">IFERROR(IF([2]对账明细接口!$C$110=0,"",[2]对账明细接口!$C$110),"")</f>
        <v>聂新平</v>
      </c>
      <c r="D110" s="59" t="str">
        <f aca="false">IFERROR(IF([2]对账明细接口!$D$110=0,"",[2]对账明细接口!$D$110),"")</f>
        <v>原料入库</v>
      </c>
      <c r="E110" s="59" t="str">
        <f aca="false">IFERROR(IF([2]对账明细接口!$E$110=0,"",[2]对账明细接口!$E$110),"")</f>
        <v>NO:0000722</v>
      </c>
      <c r="F110" s="59" t="str">
        <f aca="false">IFERROR(IF([2]对账明细接口!$F$110=0,"",[2]对账明细接口!$F$110),"")</f>
        <v>西梅</v>
      </c>
      <c r="G110" s="59" t="str">
        <f aca="false">IFERROR(IF([2]对账明细接口!$G$110=0,"",[2]对账明细接口!$G$110),"")</f>
        <v>西梅三级</v>
      </c>
      <c r="H110" s="60" t="n">
        <f aca="false">IFERROR(IF([2]对账明细接口!$H$110=0,"",[2]对账明细接口!$H$110),"")</f>
        <v>35</v>
      </c>
      <c r="I110" s="59" t="str">
        <f aca="false">IFERROR(IF([2]对账明细接口!$I$110=0,"",[2]对账明细接口!$I$110),"")</f>
        <v>筐</v>
      </c>
      <c r="J110" s="61" t="n">
        <f aca="false">IFERROR(IF([2]对账明细接口!$J$110=0,"",[2]对账明细接口!$J$110),"")</f>
        <v>70</v>
      </c>
      <c r="K110" s="61" t="str">
        <f aca="false">IFERROR(IF([2]对账明细接口!$K$110=0,"",[2]对账明细接口!$K$110),"")</f>
        <v/>
      </c>
      <c r="L110" s="59" t="str">
        <f aca="false">IFERROR(IF([2]对账明细接口!$L$110=0,"",[2]对账明细接口!$L$110),"")</f>
        <v/>
      </c>
      <c r="M110" s="59" t="str">
        <f aca="false">IFERROR(IF([2]对账明细接口!$M$110=0,"",[2]对账明细接口!$M$110),"")</f>
        <v/>
      </c>
      <c r="N110" s="111" t="n">
        <f aca="false">IF($C110="",0,1)</f>
        <v>1</v>
      </c>
      <c r="O110" s="111" t="n">
        <f aca="false">N(O109)+$N110</f>
        <v>107</v>
      </c>
      <c r="S110" s="10" t="str">
        <f aca="false">IFERROR(IF([2]对账明细接口!$N110=0,"",[2]对账明细接口!$N110),"")</f>
        <v>自备一次性筐</v>
      </c>
      <c r="T110" s="112" t="str">
        <f aca="false">IFERROR(IF([2]对账明细接口!$O110=0,"",[2]对账明细接口!$O110),"")</f>
        <v/>
      </c>
      <c r="U110" s="112" t="str">
        <f aca="false">IFERROR(IF([2]对账明细接口!$P110=0,"",[2]对账明细接口!$P110),"")</f>
        <v/>
      </c>
      <c r="V110" s="112" t="n">
        <f aca="false">IFERROR(IF([2]对账明细接口!$Q110=0,"",[2]对账明细接口!$Q110),"")</f>
        <v>35</v>
      </c>
      <c r="W110" s="10" t="str">
        <f aca="false">IFERROR(IF([2]对账明细接口!$R110=0,"",[2]对账明细接口!$R110),"")</f>
        <v>苏M*7G796</v>
      </c>
      <c r="X110" s="10" t="str">
        <f aca="false">IFERROR(IF([2]对账明细接口!$S110=0,"",[2]对账明细接口!$S110),"")</f>
        <v>自备筐</v>
      </c>
      <c r="Y110" s="10" t="str">
        <f aca="false">IFERROR(IF([2]对账明细接口!$T110=0,"",[2]对账明细接口!$T110),"")</f>
        <v/>
      </c>
      <c r="Z110" s="113" t="str">
        <f aca="false">IFERROR(IF([2]对账明细接口!$U110=0,"",[2]对账明细接口!$U110),"")</f>
        <v/>
      </c>
      <c r="AA110" s="113" t="str">
        <f aca="false">IFERROR(IF([2]对账明细接口!$V110=0,"",[2]对账明细接口!$V110),"")</f>
        <v/>
      </c>
      <c r="AB110" s="10" t="str">
        <f aca="false">IFERROR(IF([2]对账明细接口!$W110=0,"",[2]对账明细接口!$W110),"")</f>
        <v/>
      </c>
      <c r="AC110" s="90" t="str">
        <f aca="false">IFERROR(IF([2]对账明细接口!$X111=0,"",[2]对账明细接口!$X111),"")</f>
        <v/>
      </c>
      <c r="AD110" s="90" t="str">
        <f aca="false">IFERROR(IF([2]对账明细接口!$Y111=0,"",[2]对账明细接口!$Y111),"")</f>
        <v/>
      </c>
      <c r="AE110" s="90" t="str">
        <f aca="false">IFERROR(IF([2]对账明细接口!$AA111=0,"",[2]对账明细接口!$AA111),"")</f>
        <v/>
      </c>
      <c r="AF110" s="90" t="str">
        <f aca="false">IFERROR(IF([2]对账明细接口!$AB111=0,"",[2]对账明细接口!$AB111),"")</f>
        <v/>
      </c>
      <c r="AG110" s="90" t="str">
        <f aca="false">IFERROR(IF([2]对账明细接口!$AC111=0,"",[2]对账明细接口!$AC111),"")</f>
        <v/>
      </c>
      <c r="AH110" s="90" t="str">
        <f aca="false">IFERROR(IF([2]对账明细接口!$AD111=0,"",[2]对账明细接口!$AD111),"")</f>
        <v/>
      </c>
    </row>
    <row r="111" customFormat="false" ht="13.5" hidden="false" customHeight="false" outlineLevel="0" collapsed="false">
      <c r="A111" s="109" t="n">
        <v>111</v>
      </c>
      <c r="B111" s="110" t="n">
        <f aca="false">IFERROR(IF([2]对账明细接口!$B$111=0,"",[2]对账明细接口!$B$111),"")</f>
        <v>46258</v>
      </c>
      <c r="C111" s="59" t="str">
        <f aca="false">IFERROR(IF([2]对账明细接口!$C$111=0,"",[2]对账明细接口!$C$111),"")</f>
        <v>聂新平</v>
      </c>
      <c r="D111" s="59" t="str">
        <f aca="false">IFERROR(IF([2]对账明细接口!$D$111=0,"",[2]对账明细接口!$D$111),"")</f>
        <v>原料入库</v>
      </c>
      <c r="E111" s="59" t="str">
        <f aca="false">IFERROR(IF([2]对账明细接口!$E$111=0,"",[2]对账明细接口!$E$111),"")</f>
        <v>NO:0000723</v>
      </c>
      <c r="F111" s="59" t="str">
        <f aca="false">IFERROR(IF([2]对账明细接口!$F$111=0,"",[2]对账明细接口!$F$111),"")</f>
        <v>西梅</v>
      </c>
      <c r="G111" s="59" t="str">
        <f aca="false">IFERROR(IF([2]对账明细接口!$G$111=0,"",[2]对账明细接口!$G$111),"")</f>
        <v>西梅一级</v>
      </c>
      <c r="H111" s="60" t="n">
        <f aca="false">IFERROR(IF([2]对账明细接口!$H$111=0,"",[2]对账明细接口!$H$111),"")</f>
        <v>112</v>
      </c>
      <c r="I111" s="59" t="str">
        <f aca="false">IFERROR(IF([2]对账明细接口!$I$111=0,"",[2]对账明细接口!$I$111),"")</f>
        <v>筐</v>
      </c>
      <c r="J111" s="61" t="n">
        <f aca="false">IFERROR(IF([2]对账明细接口!$J$111=0,"",[2]对账明细接口!$J$111),"")</f>
        <v>784</v>
      </c>
      <c r="K111" s="61" t="str">
        <f aca="false">IFERROR(IF([2]对账明细接口!$K$111=0,"",[2]对账明细接口!$K$111),"")</f>
        <v/>
      </c>
      <c r="L111" s="59" t="str">
        <f aca="false">IFERROR(IF([2]对账明细接口!$L$111=0,"",[2]对账明细接口!$L$111),"")</f>
        <v/>
      </c>
      <c r="M111" s="59" t="str">
        <f aca="false">IFERROR(IF([2]对账明细接口!$M$111=0,"",[2]对账明细接口!$M$111),"")</f>
        <v/>
      </c>
      <c r="N111" s="111" t="n">
        <f aca="false">IF($C111="",0,1)</f>
        <v>1</v>
      </c>
      <c r="O111" s="111" t="n">
        <f aca="false">N(O110)+$N111</f>
        <v>108</v>
      </c>
      <c r="S111" s="10" t="str">
        <f aca="false">IFERROR(IF([2]对账明细接口!$N111=0,"",[2]对账明细接口!$N111),"")</f>
        <v>自备一次性筐</v>
      </c>
      <c r="T111" s="112" t="str">
        <f aca="false">IFERROR(IF([2]对账明细接口!$O111=0,"",[2]对账明细接口!$O111),"")</f>
        <v/>
      </c>
      <c r="U111" s="112" t="str">
        <f aca="false">IFERROR(IF([2]对账明细接口!$P111=0,"",[2]对账明细接口!$P111),"")</f>
        <v/>
      </c>
      <c r="V111" s="112" t="n">
        <f aca="false">IFERROR(IF([2]对账明细接口!$Q111=0,"",[2]对账明细接口!$Q111),"")</f>
        <v>112</v>
      </c>
      <c r="W111" s="10" t="str">
        <f aca="false">IFERROR(IF([2]对账明细接口!$R111=0,"",[2]对账明细接口!$R111),"")</f>
        <v>苏M*7G796</v>
      </c>
      <c r="X111" s="10" t="str">
        <f aca="false">IFERROR(IF([2]对账明细接口!$S111=0,"",[2]对账明细接口!$S111),"")</f>
        <v>自备筐</v>
      </c>
      <c r="Y111" s="10" t="str">
        <f aca="false">IFERROR(IF([2]对账明细接口!$T111=0,"",[2]对账明细接口!$T111),"")</f>
        <v/>
      </c>
      <c r="Z111" s="113" t="str">
        <f aca="false">IFERROR(IF([2]对账明细接口!$U111=0,"",[2]对账明细接口!$U111),"")</f>
        <v/>
      </c>
      <c r="AA111" s="113" t="str">
        <f aca="false">IFERROR(IF([2]对账明细接口!$V111=0,"",[2]对账明细接口!$V111),"")</f>
        <v/>
      </c>
      <c r="AB111" s="10" t="str">
        <f aca="false">IFERROR(IF([2]对账明细接口!$W111=0,"",[2]对账明细接口!$W111),"")</f>
        <v/>
      </c>
      <c r="AC111" s="90" t="str">
        <f aca="false">IFERROR(IF([2]对账明细接口!$X112=0,"",[2]对账明细接口!$X112),"")</f>
        <v/>
      </c>
      <c r="AD111" s="90" t="str">
        <f aca="false">IFERROR(IF([2]对账明细接口!$Y112=0,"",[2]对账明细接口!$Y112),"")</f>
        <v/>
      </c>
      <c r="AE111" s="90" t="str">
        <f aca="false">IFERROR(IF([2]对账明细接口!$AA112=0,"",[2]对账明细接口!$AA112),"")</f>
        <v/>
      </c>
      <c r="AF111" s="90" t="str">
        <f aca="false">IFERROR(IF([2]对账明细接口!$AB112=0,"",[2]对账明细接口!$AB112),"")</f>
        <v/>
      </c>
      <c r="AG111" s="90" t="str">
        <f aca="false">IFERROR(IF([2]对账明细接口!$AC112=0,"",[2]对账明细接口!$AC112),"")</f>
        <v/>
      </c>
      <c r="AH111" s="90" t="str">
        <f aca="false">IFERROR(IF([2]对账明细接口!$AD112=0,"",[2]对账明细接口!$AD112),"")</f>
        <v/>
      </c>
    </row>
    <row r="112" customFormat="false" ht="13.5" hidden="false" customHeight="false" outlineLevel="0" collapsed="false">
      <c r="A112" s="109" t="n">
        <v>112</v>
      </c>
      <c r="B112" s="110" t="n">
        <f aca="false">IFERROR(IF([2]对账明细接口!$B$112=0,"",[2]对账明细接口!$B$112),"")</f>
        <v>46258</v>
      </c>
      <c r="C112" s="59" t="str">
        <f aca="false">IFERROR(IF([2]对账明细接口!$C$112=0,"",[2]对账明细接口!$C$112),"")</f>
        <v>聂新平</v>
      </c>
      <c r="D112" s="59" t="str">
        <f aca="false">IFERROR(IF([2]对账明细接口!$D$112=0,"",[2]对账明细接口!$D$112),"")</f>
        <v>原料入库</v>
      </c>
      <c r="E112" s="59" t="str">
        <f aca="false">IFERROR(IF([2]对账明细接口!$E$112=0,"",[2]对账明细接口!$E$112),"")</f>
        <v>NO:0000723</v>
      </c>
      <c r="F112" s="59" t="str">
        <f aca="false">IFERROR(IF([2]对账明细接口!$F$112=0,"",[2]对账明细接口!$F$112),"")</f>
        <v>西梅</v>
      </c>
      <c r="G112" s="59" t="str">
        <f aca="false">IFERROR(IF([2]对账明细接口!$G$112=0,"",[2]对账明细接口!$G$112),"")</f>
        <v>西梅二级</v>
      </c>
      <c r="H112" s="60" t="n">
        <f aca="false">IFERROR(IF([2]对账明细接口!$H$112=0,"",[2]对账明细接口!$H$112),"")</f>
        <v>30</v>
      </c>
      <c r="I112" s="59" t="str">
        <f aca="false">IFERROR(IF([2]对账明细接口!$I$112=0,"",[2]对账明细接口!$I$112),"")</f>
        <v>筐</v>
      </c>
      <c r="J112" s="61" t="n">
        <f aca="false">IFERROR(IF([2]对账明细接口!$J$112=0,"",[2]对账明细接口!$J$112),"")</f>
        <v>360</v>
      </c>
      <c r="K112" s="61" t="str">
        <f aca="false">IFERROR(IF([2]对账明细接口!$K$112=0,"",[2]对账明细接口!$K$112),"")</f>
        <v/>
      </c>
      <c r="L112" s="59" t="str">
        <f aca="false">IFERROR(IF([2]对账明细接口!$L$112=0,"",[2]对账明细接口!$L$112),"")</f>
        <v/>
      </c>
      <c r="M112" s="59" t="str">
        <f aca="false">IFERROR(IF([2]对账明细接口!$M$112=0,"",[2]对账明细接口!$M$112),"")</f>
        <v/>
      </c>
      <c r="N112" s="111" t="n">
        <f aca="false">IF($C112="",0,1)</f>
        <v>1</v>
      </c>
      <c r="O112" s="111" t="n">
        <f aca="false">N(O111)+$N112</f>
        <v>109</v>
      </c>
      <c r="S112" s="10" t="str">
        <f aca="false">IFERROR(IF([2]对账明细接口!$N112=0,"",[2]对账明细接口!$N112),"")</f>
        <v>自备一次性筐</v>
      </c>
      <c r="T112" s="112" t="str">
        <f aca="false">IFERROR(IF([2]对账明细接口!$O112=0,"",[2]对账明细接口!$O112),"")</f>
        <v/>
      </c>
      <c r="U112" s="112" t="str">
        <f aca="false">IFERROR(IF([2]对账明细接口!$P112=0,"",[2]对账明细接口!$P112),"")</f>
        <v/>
      </c>
      <c r="V112" s="112" t="n">
        <f aca="false">IFERROR(IF([2]对账明细接口!$Q112=0,"",[2]对账明细接口!$Q112),"")</f>
        <v>30</v>
      </c>
      <c r="W112" s="10" t="str">
        <f aca="false">IFERROR(IF([2]对账明细接口!$R112=0,"",[2]对账明细接口!$R112),"")</f>
        <v>苏M*7G796</v>
      </c>
      <c r="X112" s="10" t="str">
        <f aca="false">IFERROR(IF([2]对账明细接口!$S112=0,"",[2]对账明细接口!$S112),"")</f>
        <v>自备筐</v>
      </c>
      <c r="Y112" s="10" t="str">
        <f aca="false">IFERROR(IF([2]对账明细接口!$T112=0,"",[2]对账明细接口!$T112),"")</f>
        <v/>
      </c>
      <c r="Z112" s="113" t="str">
        <f aca="false">IFERROR(IF([2]对账明细接口!$U112=0,"",[2]对账明细接口!$U112),"")</f>
        <v/>
      </c>
      <c r="AA112" s="113" t="str">
        <f aca="false">IFERROR(IF([2]对账明细接口!$V112=0,"",[2]对账明细接口!$V112),"")</f>
        <v/>
      </c>
      <c r="AB112" s="10" t="str">
        <f aca="false">IFERROR(IF([2]对账明细接口!$W112=0,"",[2]对账明细接口!$W112),"")</f>
        <v/>
      </c>
      <c r="AC112" s="90" t="str">
        <f aca="false">IFERROR(IF([2]对账明细接口!$X113=0,"",[2]对账明细接口!$X113),"")</f>
        <v/>
      </c>
      <c r="AD112" s="90" t="str">
        <f aca="false">IFERROR(IF([2]对账明细接口!$Y113=0,"",[2]对账明细接口!$Y113),"")</f>
        <v/>
      </c>
      <c r="AE112" s="90" t="str">
        <f aca="false">IFERROR(IF([2]对账明细接口!$AA113=0,"",[2]对账明细接口!$AA113),"")</f>
        <v/>
      </c>
      <c r="AF112" s="90" t="str">
        <f aca="false">IFERROR(IF([2]对账明细接口!$AB113=0,"",[2]对账明细接口!$AB113),"")</f>
        <v/>
      </c>
      <c r="AG112" s="90" t="str">
        <f aca="false">IFERROR(IF([2]对账明细接口!$AC113=0,"",[2]对账明细接口!$AC113),"")</f>
        <v/>
      </c>
      <c r="AH112" s="90" t="str">
        <f aca="false">IFERROR(IF([2]对账明细接口!$AD113=0,"",[2]对账明细接口!$AD113),"")</f>
        <v/>
      </c>
    </row>
    <row r="113" customFormat="false" ht="13.5" hidden="false" customHeight="false" outlineLevel="0" collapsed="false">
      <c r="A113" s="109" t="n">
        <v>113</v>
      </c>
      <c r="B113" s="110" t="n">
        <f aca="false">IFERROR(IF([2]对账明细接口!$B$113=0,"",[2]对账明细接口!$B$113),"")</f>
        <v>46259</v>
      </c>
      <c r="C113" s="59" t="str">
        <f aca="false">IFERROR(IF([2]对账明细接口!$C$113=0,"",[2]对账明细接口!$C$113),"")</f>
        <v>聂新平</v>
      </c>
      <c r="D113" s="59" t="str">
        <f aca="false">IFERROR(IF([2]对账明细接口!$D$113=0,"",[2]对账明细接口!$D$113),"")</f>
        <v>原料入库</v>
      </c>
      <c r="E113" s="59" t="str">
        <f aca="false">IFERROR(IF([2]对账明细接口!$E$113=0,"",[2]对账明细接口!$E$113),"")</f>
        <v>NO:0000724</v>
      </c>
      <c r="F113" s="59" t="str">
        <f aca="false">IFERROR(IF([2]对账明细接口!$F$113=0,"",[2]对账明细接口!$F$113),"")</f>
        <v>西梅</v>
      </c>
      <c r="G113" s="59" t="str">
        <f aca="false">IFERROR(IF([2]对账明细接口!$G$113=0,"",[2]对账明细接口!$G$113),"")</f>
        <v>西梅二级</v>
      </c>
      <c r="H113" s="60" t="n">
        <f aca="false">IFERROR(IF([2]对账明细接口!$H$113=0,"",[2]对账明细接口!$H$113),"")</f>
        <v>97</v>
      </c>
      <c r="I113" s="59" t="str">
        <f aca="false">IFERROR(IF([2]对账明细接口!$I$113=0,"",[2]对账明细接口!$I$113),"")</f>
        <v>筐</v>
      </c>
      <c r="J113" s="61" t="n">
        <f aca="false">IFERROR(IF([2]对账明细接口!$J$113=0,"",[2]对账明细接口!$J$113),"")</f>
        <v>194</v>
      </c>
      <c r="K113" s="61" t="str">
        <f aca="false">IFERROR(IF([2]对账明细接口!$K$113=0,"",[2]对账明细接口!$K$113),"")</f>
        <v/>
      </c>
      <c r="L113" s="59" t="str">
        <f aca="false">IFERROR(IF([2]对账明细接口!$L$113=0,"",[2]对账明细接口!$L$113),"")</f>
        <v/>
      </c>
      <c r="M113" s="59" t="str">
        <f aca="false">IFERROR(IF([2]对账明细接口!$M$113=0,"",[2]对账明细接口!$M$113),"")</f>
        <v/>
      </c>
      <c r="N113" s="111" t="n">
        <f aca="false">IF($C113="",0,1)</f>
        <v>1</v>
      </c>
      <c r="O113" s="111" t="n">
        <f aca="false">N(O112)+$N113</f>
        <v>110</v>
      </c>
      <c r="S113" s="10" t="str">
        <f aca="false">IFERROR(IF([2]对账明细接口!$N113=0,"",[2]对账明细接口!$N113),"")</f>
        <v>自备一次性筐</v>
      </c>
      <c r="T113" s="112" t="str">
        <f aca="false">IFERROR(IF([2]对账明细接口!$O113=0,"",[2]对账明细接口!$O113),"")</f>
        <v/>
      </c>
      <c r="U113" s="112" t="str">
        <f aca="false">IFERROR(IF([2]对账明细接口!$P113=0,"",[2]对账明细接口!$P113),"")</f>
        <v/>
      </c>
      <c r="V113" s="112" t="n">
        <f aca="false">IFERROR(IF([2]对账明细接口!$Q113=0,"",[2]对账明细接口!$Q113),"")</f>
        <v>97</v>
      </c>
      <c r="W113" s="10" t="str">
        <f aca="false">IFERROR(IF([2]对账明细接口!$R113=0,"",[2]对账明细接口!$R113),"")</f>
        <v>苏M*7G796</v>
      </c>
      <c r="X113" s="10" t="str">
        <f aca="false">IFERROR(IF([2]对账明细接口!$S113=0,"",[2]对账明细接口!$S113),"")</f>
        <v>自备筐</v>
      </c>
      <c r="Y113" s="10" t="str">
        <f aca="false">IFERROR(IF([2]对账明细接口!$T113=0,"",[2]对账明细接口!$T113),"")</f>
        <v/>
      </c>
      <c r="Z113" s="113" t="str">
        <f aca="false">IFERROR(IF([2]对账明细接口!$U113=0,"",[2]对账明细接口!$U113),"")</f>
        <v/>
      </c>
      <c r="AA113" s="113" t="str">
        <f aca="false">IFERROR(IF([2]对账明细接口!$V113=0,"",[2]对账明细接口!$V113),"")</f>
        <v/>
      </c>
      <c r="AB113" s="10" t="str">
        <f aca="false">IFERROR(IF([2]对账明细接口!$W113=0,"",[2]对账明细接口!$W113),"")</f>
        <v/>
      </c>
      <c r="AC113" s="90" t="str">
        <f aca="false">IFERROR(IF([2]对账明细接口!$X114=0,"",[2]对账明细接口!$X114),"")</f>
        <v/>
      </c>
      <c r="AD113" s="90" t="str">
        <f aca="false">IFERROR(IF([2]对账明细接口!$Y114=0,"",[2]对账明细接口!$Y114),"")</f>
        <v/>
      </c>
      <c r="AE113" s="90" t="str">
        <f aca="false">IFERROR(IF([2]对账明细接口!$AA114=0,"",[2]对账明细接口!$AA114),"")</f>
        <v/>
      </c>
      <c r="AF113" s="90" t="str">
        <f aca="false">IFERROR(IF([2]对账明细接口!$AB114=0,"",[2]对账明细接口!$AB114),"")</f>
        <v/>
      </c>
      <c r="AG113" s="90" t="str">
        <f aca="false">IFERROR(IF([2]对账明细接口!$AC114=0,"",[2]对账明细接口!$AC114),"")</f>
        <v/>
      </c>
      <c r="AH113" s="90" t="str">
        <f aca="false">IFERROR(IF([2]对账明细接口!$AD114=0,"",[2]对账明细接口!$AD114),"")</f>
        <v/>
      </c>
    </row>
    <row r="114" customFormat="false" ht="13.5" hidden="false" customHeight="false" outlineLevel="0" collapsed="false">
      <c r="A114" s="109" t="n">
        <v>114</v>
      </c>
      <c r="B114" s="110" t="n">
        <f aca="false">IFERROR(IF([2]对账明细接口!$B$114=0,"",[2]对账明细接口!$B$114),"")</f>
        <v>46259</v>
      </c>
      <c r="C114" s="59" t="str">
        <f aca="false">IFERROR(IF([2]对账明细接口!$C$114=0,"",[2]对账明细接口!$C$114),"")</f>
        <v>聂新平</v>
      </c>
      <c r="D114" s="59" t="str">
        <f aca="false">IFERROR(IF([2]对账明细接口!$D$114=0,"",[2]对账明细接口!$D$114),"")</f>
        <v>原料入库</v>
      </c>
      <c r="E114" s="59" t="str">
        <f aca="false">IFERROR(IF([2]对账明细接口!$E$114=0,"",[2]对账明细接口!$E$114),"")</f>
        <v>NO:0000724</v>
      </c>
      <c r="F114" s="59" t="str">
        <f aca="false">IFERROR(IF([2]对账明细接口!$F$114=0,"",[2]对账明细接口!$F$114),"")</f>
        <v>西梅</v>
      </c>
      <c r="G114" s="59" t="str">
        <f aca="false">IFERROR(IF([2]对账明细接口!$G$114=0,"",[2]对账明细接口!$G$114),"")</f>
        <v>西梅三级</v>
      </c>
      <c r="H114" s="60" t="n">
        <f aca="false">IFERROR(IF([2]对账明细接口!$H$114=0,"",[2]对账明细接口!$H$114),"")</f>
        <v>371</v>
      </c>
      <c r="I114" s="59" t="str">
        <f aca="false">IFERROR(IF([2]对账明细接口!$I$114=0,"",[2]对账明细接口!$I$114),"")</f>
        <v>筐</v>
      </c>
      <c r="J114" s="61" t="n">
        <f aca="false">IFERROR(IF([2]对账明细接口!$J$114=0,"",[2]对账明细接口!$J$114),"")</f>
        <v>742</v>
      </c>
      <c r="K114" s="61" t="str">
        <f aca="false">IFERROR(IF([2]对账明细接口!$K$114=0,"",[2]对账明细接口!$K$114),"")</f>
        <v/>
      </c>
      <c r="L114" s="59" t="str">
        <f aca="false">IFERROR(IF([2]对账明细接口!$L$114=0,"",[2]对账明细接口!$L$114),"")</f>
        <v/>
      </c>
      <c r="M114" s="59" t="str">
        <f aca="false">IFERROR(IF([2]对账明细接口!$M$114=0,"",[2]对账明细接口!$M$114),"")</f>
        <v/>
      </c>
      <c r="N114" s="111" t="n">
        <f aca="false">IF($C114="",0,1)</f>
        <v>1</v>
      </c>
      <c r="O114" s="111" t="n">
        <f aca="false">N(O113)+$N114</f>
        <v>111</v>
      </c>
      <c r="S114" s="10" t="str">
        <f aca="false">IFERROR(IF([2]对账明细接口!$N114=0,"",[2]对账明细接口!$N114),"")</f>
        <v>自备一次性筐</v>
      </c>
      <c r="T114" s="112" t="str">
        <f aca="false">IFERROR(IF([2]对账明细接口!$O114=0,"",[2]对账明细接口!$O114),"")</f>
        <v/>
      </c>
      <c r="U114" s="112" t="str">
        <f aca="false">IFERROR(IF([2]对账明细接口!$P114=0,"",[2]对账明细接口!$P114),"")</f>
        <v/>
      </c>
      <c r="V114" s="112" t="n">
        <f aca="false">IFERROR(IF([2]对账明细接口!$Q114=0,"",[2]对账明细接口!$Q114),"")</f>
        <v>371</v>
      </c>
      <c r="W114" s="10" t="str">
        <f aca="false">IFERROR(IF([2]对账明细接口!$R114=0,"",[2]对账明细接口!$R114),"")</f>
        <v>苏M*7G796</v>
      </c>
      <c r="X114" s="10" t="str">
        <f aca="false">IFERROR(IF([2]对账明细接口!$S114=0,"",[2]对账明细接口!$S114),"")</f>
        <v>自备筐</v>
      </c>
      <c r="Y114" s="10" t="str">
        <f aca="false">IFERROR(IF([2]对账明细接口!$T114=0,"",[2]对账明细接口!$T114),"")</f>
        <v/>
      </c>
      <c r="Z114" s="113" t="str">
        <f aca="false">IFERROR(IF([2]对账明细接口!$U114=0,"",[2]对账明细接口!$U114),"")</f>
        <v/>
      </c>
      <c r="AA114" s="113" t="str">
        <f aca="false">IFERROR(IF([2]对账明细接口!$V114=0,"",[2]对账明细接口!$V114),"")</f>
        <v/>
      </c>
      <c r="AB114" s="10" t="str">
        <f aca="false">IFERROR(IF([2]对账明细接口!$W114=0,"",[2]对账明细接口!$W114),"")</f>
        <v/>
      </c>
      <c r="AC114" s="90" t="str">
        <f aca="false">IFERROR(IF([2]对账明细接口!$X115=0,"",[2]对账明细接口!$X115),"")</f>
        <v/>
      </c>
      <c r="AD114" s="90" t="str">
        <f aca="false">IFERROR(IF([2]对账明细接口!$Y115=0,"",[2]对账明细接口!$Y115),"")</f>
        <v/>
      </c>
      <c r="AE114" s="90" t="str">
        <f aca="false">IFERROR(IF([2]对账明细接口!$AA115=0,"",[2]对账明细接口!$AA115),"")</f>
        <v/>
      </c>
      <c r="AF114" s="90" t="str">
        <f aca="false">IFERROR(IF([2]对账明细接口!$AB115=0,"",[2]对账明细接口!$AB115),"")</f>
        <v/>
      </c>
      <c r="AG114" s="90" t="str">
        <f aca="false">IFERROR(IF([2]对账明细接口!$AC115=0,"",[2]对账明细接口!$AC115),"")</f>
        <v/>
      </c>
      <c r="AH114" s="90" t="str">
        <f aca="false">IFERROR(IF([2]对账明细接口!$AD115=0,"",[2]对账明细接口!$AD115),"")</f>
        <v/>
      </c>
    </row>
    <row r="115" customFormat="false" ht="13.5" hidden="false" customHeight="false" outlineLevel="0" collapsed="false">
      <c r="A115" s="109" t="n">
        <v>115</v>
      </c>
      <c r="B115" s="110" t="n">
        <f aca="false">IFERROR(IF([2]对账明细接口!$B$115=0,"",[2]对账明细接口!$B$115),"")</f>
        <v>46259</v>
      </c>
      <c r="C115" s="59" t="str">
        <f aca="false">IFERROR(IF([2]对账明细接口!$C$115=0,"",[2]对账明细接口!$C$115),"")</f>
        <v>聂新平</v>
      </c>
      <c r="D115" s="59" t="str">
        <f aca="false">IFERROR(IF([2]对账明细接口!$D$115=0,"",[2]对账明细接口!$D$115),"")</f>
        <v>原料入库</v>
      </c>
      <c r="E115" s="59" t="str">
        <f aca="false">IFERROR(IF([2]对账明细接口!$E$115=0,"",[2]对账明细接口!$E$115),"")</f>
        <v>NO:0000724</v>
      </c>
      <c r="F115" s="59" t="str">
        <f aca="false">IFERROR(IF([2]对账明细接口!$F$115=0,"",[2]对账明细接口!$F$115),"")</f>
        <v>西梅</v>
      </c>
      <c r="G115" s="59" t="str">
        <f aca="false">IFERROR(IF([2]对账明细接口!$G$115=0,"",[2]对账明细接口!$G$115),"")</f>
        <v>西梅二级</v>
      </c>
      <c r="H115" s="60" t="n">
        <f aca="false">IFERROR(IF([2]对账明细接口!$H$115=0,"",[2]对账明细接口!$H$115),"")</f>
        <v>4</v>
      </c>
      <c r="I115" s="59" t="str">
        <f aca="false">IFERROR(IF([2]对账明细接口!$I$115=0,"",[2]对账明细接口!$I$115),"")</f>
        <v>筐</v>
      </c>
      <c r="J115" s="61" t="n">
        <f aca="false">IFERROR(IF([2]对账明细接口!$J$115=0,"",[2]对账明细接口!$J$115),"")</f>
        <v>48</v>
      </c>
      <c r="K115" s="61" t="str">
        <f aca="false">IFERROR(IF([2]对账明细接口!$K$115=0,"",[2]对账明细接口!$K$115),"")</f>
        <v/>
      </c>
      <c r="L115" s="59" t="str">
        <f aca="false">IFERROR(IF([2]对账明细接口!$L$115=0,"",[2]对账明细接口!$L$115),"")</f>
        <v/>
      </c>
      <c r="M115" s="59" t="str">
        <f aca="false">IFERROR(IF([2]对账明细接口!$M$115=0,"",[2]对账明细接口!$M$115),"")</f>
        <v/>
      </c>
      <c r="N115" s="111" t="n">
        <f aca="false">IF($C115="",0,1)</f>
        <v>1</v>
      </c>
      <c r="O115" s="111" t="n">
        <f aca="false">N(O114)+$N115</f>
        <v>112</v>
      </c>
      <c r="S115" s="10" t="str">
        <f aca="false">IFERROR(IF([2]对账明细接口!$N115=0,"",[2]对账明细接口!$N115),"")</f>
        <v>自备一次性筐</v>
      </c>
      <c r="T115" s="112" t="str">
        <f aca="false">IFERROR(IF([2]对账明细接口!$O115=0,"",[2]对账明细接口!$O115),"")</f>
        <v/>
      </c>
      <c r="U115" s="112" t="str">
        <f aca="false">IFERROR(IF([2]对账明细接口!$P115=0,"",[2]对账明细接口!$P115),"")</f>
        <v/>
      </c>
      <c r="V115" s="112" t="n">
        <f aca="false">IFERROR(IF([2]对账明细接口!$Q115=0,"",[2]对账明细接口!$Q115),"")</f>
        <v>4</v>
      </c>
      <c r="W115" s="10" t="str">
        <f aca="false">IFERROR(IF([2]对账明细接口!$R115=0,"",[2]对账明细接口!$R115),"")</f>
        <v>苏M*7G796</v>
      </c>
      <c r="X115" s="10" t="str">
        <f aca="false">IFERROR(IF([2]对账明细接口!$S115=0,"",[2]对账明细接口!$S115),"")</f>
        <v>自备筐</v>
      </c>
      <c r="Y115" s="10" t="str">
        <f aca="false">IFERROR(IF([2]对账明细接口!$T115=0,"",[2]对账明细接口!$T115),"")</f>
        <v/>
      </c>
      <c r="Z115" s="113" t="str">
        <f aca="false">IFERROR(IF([2]对账明细接口!$U115=0,"",[2]对账明细接口!$U115),"")</f>
        <v/>
      </c>
      <c r="AA115" s="113" t="str">
        <f aca="false">IFERROR(IF([2]对账明细接口!$V115=0,"",[2]对账明细接口!$V115),"")</f>
        <v/>
      </c>
      <c r="AB115" s="10" t="str">
        <f aca="false">IFERROR(IF([2]对账明细接口!$W115=0,"",[2]对账明细接口!$W115),"")</f>
        <v/>
      </c>
      <c r="AC115" s="90" t="str">
        <f aca="false">IFERROR(IF([2]对账明细接口!$X116=0,"",[2]对账明细接口!$X116),"")</f>
        <v/>
      </c>
      <c r="AD115" s="90" t="str">
        <f aca="false">IFERROR(IF([2]对账明细接口!$Y116=0,"",[2]对账明细接口!$Y116),"")</f>
        <v/>
      </c>
      <c r="AE115" s="90" t="str">
        <f aca="false">IFERROR(IF([2]对账明细接口!$AA116=0,"",[2]对账明细接口!$AA116),"")</f>
        <v/>
      </c>
      <c r="AF115" s="90" t="str">
        <f aca="false">IFERROR(IF([2]对账明细接口!$AB116=0,"",[2]对账明细接口!$AB116),"")</f>
        <v/>
      </c>
      <c r="AG115" s="90" t="str">
        <f aca="false">IFERROR(IF([2]对账明细接口!$AC116=0,"",[2]对账明细接口!$AC116),"")</f>
        <v/>
      </c>
      <c r="AH115" s="90" t="str">
        <f aca="false">IFERROR(IF([2]对账明细接口!$AD116=0,"",[2]对账明细接口!$AD116),"")</f>
        <v/>
      </c>
    </row>
    <row r="116" customFormat="false" ht="13.5" hidden="false" customHeight="false" outlineLevel="0" collapsed="false">
      <c r="A116" s="109" t="n">
        <v>116</v>
      </c>
      <c r="B116" s="110" t="n">
        <f aca="false">IFERROR(IF([2]对账明细接口!$B$116=0,"",[2]对账明细接口!$B$116),"")</f>
        <v>46259</v>
      </c>
      <c r="C116" s="59" t="str">
        <f aca="false">IFERROR(IF([2]对账明细接口!$C$116=0,"",[2]对账明细接口!$C$116),"")</f>
        <v>聂新平</v>
      </c>
      <c r="D116" s="59" t="str">
        <f aca="false">IFERROR(IF([2]对账明细接口!$D$116=0,"",[2]对账明细接口!$D$116),"")</f>
        <v>原料入库</v>
      </c>
      <c r="E116" s="59" t="str">
        <f aca="false">IFERROR(IF([2]对账明细接口!$E$116=0,"",[2]对账明细接口!$E$116),"")</f>
        <v>NO:0000725</v>
      </c>
      <c r="F116" s="59" t="str">
        <f aca="false">IFERROR(IF([2]对账明细接口!$F$116=0,"",[2]对账明细接口!$F$116),"")</f>
        <v>西梅</v>
      </c>
      <c r="G116" s="59" t="str">
        <f aca="false">IFERROR(IF([2]对账明细接口!$G$116=0,"",[2]对账明细接口!$G$116),"")</f>
        <v>西梅一级</v>
      </c>
      <c r="H116" s="60" t="n">
        <f aca="false">IFERROR(IF([2]对账明细接口!$H$116=0,"",[2]对账明细接口!$H$116),"")</f>
        <v>72</v>
      </c>
      <c r="I116" s="59" t="str">
        <f aca="false">IFERROR(IF([2]对账明细接口!$I$116=0,"",[2]对账明细接口!$I$116),"")</f>
        <v>筐</v>
      </c>
      <c r="J116" s="61" t="n">
        <f aca="false">IFERROR(IF([2]对账明细接口!$J$116=0,"",[2]对账明细接口!$J$116),"")</f>
        <v>504</v>
      </c>
      <c r="K116" s="61" t="str">
        <f aca="false">IFERROR(IF([2]对账明细接口!$K$116=0,"",[2]对账明细接口!$K$116),"")</f>
        <v/>
      </c>
      <c r="L116" s="59" t="str">
        <f aca="false">IFERROR(IF([2]对账明细接口!$L$116=0,"",[2]对账明细接口!$L$116),"")</f>
        <v/>
      </c>
      <c r="M116" s="59" t="str">
        <f aca="false">IFERROR(IF([2]对账明细接口!$M$116=0,"",[2]对账明细接口!$M$116),"")</f>
        <v/>
      </c>
      <c r="N116" s="111" t="n">
        <f aca="false">IF($C116="",0,1)</f>
        <v>1</v>
      </c>
      <c r="O116" s="111" t="n">
        <f aca="false">N(O115)+$N116</f>
        <v>113</v>
      </c>
      <c r="S116" s="10" t="str">
        <f aca="false">IFERROR(IF([2]对账明细接口!$N116=0,"",[2]对账明细接口!$N116),"")</f>
        <v>自备一次性筐</v>
      </c>
      <c r="T116" s="112" t="str">
        <f aca="false">IFERROR(IF([2]对账明细接口!$O116=0,"",[2]对账明细接口!$O116),"")</f>
        <v/>
      </c>
      <c r="U116" s="112" t="str">
        <f aca="false">IFERROR(IF([2]对账明细接口!$P116=0,"",[2]对账明细接口!$P116),"")</f>
        <v/>
      </c>
      <c r="V116" s="112" t="n">
        <f aca="false">IFERROR(IF([2]对账明细接口!$Q116=0,"",[2]对账明细接口!$Q116),"")</f>
        <v>72</v>
      </c>
      <c r="W116" s="10" t="str">
        <f aca="false">IFERROR(IF([2]对账明细接口!$R116=0,"",[2]对账明细接口!$R116),"")</f>
        <v>苏M*7G796</v>
      </c>
      <c r="X116" s="10" t="str">
        <f aca="false">IFERROR(IF([2]对账明细接口!$S116=0,"",[2]对账明细接口!$S116),"")</f>
        <v>自备筐</v>
      </c>
      <c r="Y116" s="10" t="str">
        <f aca="false">IFERROR(IF([2]对账明细接口!$T116=0,"",[2]对账明细接口!$T116),"")</f>
        <v/>
      </c>
      <c r="Z116" s="113" t="str">
        <f aca="false">IFERROR(IF([2]对账明细接口!$U116=0,"",[2]对账明细接口!$U116),"")</f>
        <v/>
      </c>
      <c r="AA116" s="113" t="str">
        <f aca="false">IFERROR(IF([2]对账明细接口!$V116=0,"",[2]对账明细接口!$V116),"")</f>
        <v/>
      </c>
      <c r="AB116" s="10" t="str">
        <f aca="false">IFERROR(IF([2]对账明细接口!$W116=0,"",[2]对账明细接口!$W116),"")</f>
        <v/>
      </c>
      <c r="AC116" s="90" t="str">
        <f aca="false">IFERROR(IF([2]对账明细接口!$X117=0,"",[2]对账明细接口!$X117),"")</f>
        <v/>
      </c>
      <c r="AD116" s="90" t="str">
        <f aca="false">IFERROR(IF([2]对账明细接口!$Y117=0,"",[2]对账明细接口!$Y117),"")</f>
        <v/>
      </c>
      <c r="AE116" s="90" t="str">
        <f aca="false">IFERROR(IF([2]对账明细接口!$AA117=0,"",[2]对账明细接口!$AA117),"")</f>
        <v/>
      </c>
      <c r="AF116" s="90" t="str">
        <f aca="false">IFERROR(IF([2]对账明细接口!$AB117=0,"",[2]对账明细接口!$AB117),"")</f>
        <v/>
      </c>
      <c r="AG116" s="90" t="str">
        <f aca="false">IFERROR(IF([2]对账明细接口!$AC117=0,"",[2]对账明细接口!$AC117),"")</f>
        <v/>
      </c>
      <c r="AH116" s="90" t="str">
        <f aca="false">IFERROR(IF([2]对账明细接口!$AD117=0,"",[2]对账明细接口!$AD117),"")</f>
        <v/>
      </c>
    </row>
    <row r="117" customFormat="false" ht="13.5" hidden="false" customHeight="false" outlineLevel="0" collapsed="false">
      <c r="A117" s="109" t="n">
        <v>117</v>
      </c>
      <c r="B117" s="110" t="n">
        <f aca="false">IFERROR(IF([2]对账明细接口!$B$117=0,"",[2]对账明细接口!$B$117),"")</f>
        <v>46259</v>
      </c>
      <c r="C117" s="59" t="str">
        <f aca="false">IFERROR(IF([2]对账明细接口!$C$117=0,"",[2]对账明细接口!$C$117),"")</f>
        <v>聂新平</v>
      </c>
      <c r="D117" s="59" t="str">
        <f aca="false">IFERROR(IF([2]对账明细接口!$D$117=0,"",[2]对账明细接口!$D$117),"")</f>
        <v>原料入库</v>
      </c>
      <c r="E117" s="59" t="str">
        <f aca="false">IFERROR(IF([2]对账明细接口!$E$117=0,"",[2]对账明细接口!$E$117),"")</f>
        <v>NO:0000725</v>
      </c>
      <c r="F117" s="59" t="str">
        <f aca="false">IFERROR(IF([2]对账明细接口!$F$117=0,"",[2]对账明细接口!$F$117),"")</f>
        <v>西梅</v>
      </c>
      <c r="G117" s="59" t="str">
        <f aca="false">IFERROR(IF([2]对账明细接口!$G$117=0,"",[2]对账明细接口!$G$117),"")</f>
        <v>西梅二级</v>
      </c>
      <c r="H117" s="60" t="n">
        <f aca="false">IFERROR(IF([2]对账明细接口!$H$117=0,"",[2]对账明细接口!$H$117),"")</f>
        <v>238</v>
      </c>
      <c r="I117" s="59" t="str">
        <f aca="false">IFERROR(IF([2]对账明细接口!$I$117=0,"",[2]对账明细接口!$I$117),"")</f>
        <v>筐</v>
      </c>
      <c r="J117" s="61" t="n">
        <f aca="false">IFERROR(IF([2]对账明细接口!$J$117=0,"",[2]对账明细接口!$J$117),"")</f>
        <v>476</v>
      </c>
      <c r="K117" s="61" t="str">
        <f aca="false">IFERROR(IF([2]对账明细接口!$K$117=0,"",[2]对账明细接口!$K$117),"")</f>
        <v/>
      </c>
      <c r="L117" s="59" t="str">
        <f aca="false">IFERROR(IF([2]对账明细接口!$L$117=0,"",[2]对账明细接口!$L$117),"")</f>
        <v/>
      </c>
      <c r="M117" s="59" t="str">
        <f aca="false">IFERROR(IF([2]对账明细接口!$M$117=0,"",[2]对账明细接口!$M$117),"")</f>
        <v/>
      </c>
      <c r="N117" s="111" t="n">
        <f aca="false">IF($C117="",0,1)</f>
        <v>1</v>
      </c>
      <c r="O117" s="111" t="n">
        <f aca="false">N(O116)+$N117</f>
        <v>114</v>
      </c>
      <c r="S117" s="10" t="str">
        <f aca="false">IFERROR(IF([2]对账明细接口!$N117=0,"",[2]对账明细接口!$N117),"")</f>
        <v>自备一次性筐</v>
      </c>
      <c r="T117" s="112" t="str">
        <f aca="false">IFERROR(IF([2]对账明细接口!$O117=0,"",[2]对账明细接口!$O117),"")</f>
        <v/>
      </c>
      <c r="U117" s="112" t="str">
        <f aca="false">IFERROR(IF([2]对账明细接口!$P117=0,"",[2]对账明细接口!$P117),"")</f>
        <v/>
      </c>
      <c r="V117" s="112" t="n">
        <f aca="false">IFERROR(IF([2]对账明细接口!$Q117=0,"",[2]对账明细接口!$Q117),"")</f>
        <v>238</v>
      </c>
      <c r="W117" s="10" t="str">
        <f aca="false">IFERROR(IF([2]对账明细接口!$R117=0,"",[2]对账明细接口!$R117),"")</f>
        <v>苏M*7G796</v>
      </c>
      <c r="X117" s="10" t="str">
        <f aca="false">IFERROR(IF([2]对账明细接口!$S117=0,"",[2]对账明细接口!$S117),"")</f>
        <v>自备筐</v>
      </c>
      <c r="Y117" s="10" t="str">
        <f aca="false">IFERROR(IF([2]对账明细接口!$T117=0,"",[2]对账明细接口!$T117),"")</f>
        <v/>
      </c>
      <c r="Z117" s="113" t="str">
        <f aca="false">IFERROR(IF([2]对账明细接口!$U117=0,"",[2]对账明细接口!$U117),"")</f>
        <v/>
      </c>
      <c r="AA117" s="113" t="str">
        <f aca="false">IFERROR(IF([2]对账明细接口!$V117=0,"",[2]对账明细接口!$V117),"")</f>
        <v/>
      </c>
      <c r="AB117" s="10" t="str">
        <f aca="false">IFERROR(IF([2]对账明细接口!$W117=0,"",[2]对账明细接口!$W117),"")</f>
        <v/>
      </c>
      <c r="AC117" s="90" t="str">
        <f aca="false">IFERROR(IF([2]对账明细接口!$X118=0,"",[2]对账明细接口!$X118),"")</f>
        <v/>
      </c>
      <c r="AD117" s="90" t="str">
        <f aca="false">IFERROR(IF([2]对账明细接口!$Y118=0,"",[2]对账明细接口!$Y118),"")</f>
        <v/>
      </c>
      <c r="AE117" s="90" t="str">
        <f aca="false">IFERROR(IF([2]对账明细接口!$AA118=0,"",[2]对账明细接口!$AA118),"")</f>
        <v/>
      </c>
      <c r="AF117" s="90" t="str">
        <f aca="false">IFERROR(IF([2]对账明细接口!$AB118=0,"",[2]对账明细接口!$AB118),"")</f>
        <v/>
      </c>
      <c r="AG117" s="90" t="str">
        <f aca="false">IFERROR(IF([2]对账明细接口!$AC118=0,"",[2]对账明细接口!$AC118),"")</f>
        <v/>
      </c>
      <c r="AH117" s="90" t="str">
        <f aca="false">IFERROR(IF([2]对账明细接口!$AD118=0,"",[2]对账明细接口!$AD118),"")</f>
        <v/>
      </c>
    </row>
    <row r="118" customFormat="false" ht="13.5" hidden="false" customHeight="false" outlineLevel="0" collapsed="false">
      <c r="A118" s="109" t="n">
        <v>118</v>
      </c>
      <c r="B118" s="110" t="n">
        <f aca="false">IFERROR(IF([2]对账明细接口!$B$118=0,"",[2]对账明细接口!$B$118),"")</f>
        <v>46259</v>
      </c>
      <c r="C118" s="59" t="str">
        <f aca="false">IFERROR(IF([2]对账明细接口!$C$118=0,"",[2]对账明细接口!$C$118),"")</f>
        <v>聂新平</v>
      </c>
      <c r="D118" s="59" t="str">
        <f aca="false">IFERROR(IF([2]对账明细接口!$D$118=0,"",[2]对账明细接口!$D$118),"")</f>
        <v>原料入库</v>
      </c>
      <c r="E118" s="59" t="str">
        <f aca="false">IFERROR(IF([2]对账明细接口!$E$118=0,"",[2]对账明细接口!$E$118),"")</f>
        <v>NO:0000726</v>
      </c>
      <c r="F118" s="59" t="str">
        <f aca="false">IFERROR(IF([2]对账明细接口!$F$118=0,"",[2]对账明细接口!$F$118),"")</f>
        <v>西梅</v>
      </c>
      <c r="G118" s="59" t="str">
        <f aca="false">IFERROR(IF([2]对账明细接口!$G$118=0,"",[2]对账明细接口!$G$118),"")</f>
        <v>西梅一级</v>
      </c>
      <c r="H118" s="60" t="n">
        <f aca="false">IFERROR(IF([2]对账明细接口!$H$118=0,"",[2]对账明细接口!$H$118),"")</f>
        <v>50</v>
      </c>
      <c r="I118" s="59" t="str">
        <f aca="false">IFERROR(IF([2]对账明细接口!$I$118=0,"",[2]对账明细接口!$I$118),"")</f>
        <v>筐</v>
      </c>
      <c r="J118" s="61" t="n">
        <f aca="false">IFERROR(IF([2]对账明细接口!$J$118=0,"",[2]对账明细接口!$J$118),"")</f>
        <v>350</v>
      </c>
      <c r="K118" s="61" t="str">
        <f aca="false">IFERROR(IF([2]对账明细接口!$K$118=0,"",[2]对账明细接口!$K$118),"")</f>
        <v/>
      </c>
      <c r="L118" s="59" t="str">
        <f aca="false">IFERROR(IF([2]对账明细接口!$L$118=0,"",[2]对账明细接口!$L$118),"")</f>
        <v/>
      </c>
      <c r="M118" s="59" t="str">
        <f aca="false">IFERROR(IF([2]对账明细接口!$M$118=0,"",[2]对账明细接口!$M$118),"")</f>
        <v/>
      </c>
      <c r="N118" s="111" t="n">
        <f aca="false">IF($C118="",0,1)</f>
        <v>1</v>
      </c>
      <c r="O118" s="111" t="n">
        <f aca="false">N(O117)+$N118</f>
        <v>115</v>
      </c>
      <c r="S118" s="10" t="str">
        <f aca="false">IFERROR(IF([2]对账明细接口!$N118=0,"",[2]对账明细接口!$N118),"")</f>
        <v>自备一次性筐</v>
      </c>
      <c r="T118" s="112" t="str">
        <f aca="false">IFERROR(IF([2]对账明细接口!$O118=0,"",[2]对账明细接口!$O118),"")</f>
        <v/>
      </c>
      <c r="U118" s="112" t="str">
        <f aca="false">IFERROR(IF([2]对账明细接口!$P118=0,"",[2]对账明细接口!$P118),"")</f>
        <v/>
      </c>
      <c r="V118" s="112" t="n">
        <f aca="false">IFERROR(IF([2]对账明细接口!$Q118=0,"",[2]对账明细接口!$Q118),"")</f>
        <v>50</v>
      </c>
      <c r="W118" s="10" t="str">
        <f aca="false">IFERROR(IF([2]对账明细接口!$R118=0,"",[2]对账明细接口!$R118),"")</f>
        <v>苏M*7G796</v>
      </c>
      <c r="X118" s="10" t="str">
        <f aca="false">IFERROR(IF([2]对账明细接口!$S118=0,"",[2]对账明细接口!$S118),"")</f>
        <v>自备筐</v>
      </c>
      <c r="Y118" s="10" t="str">
        <f aca="false">IFERROR(IF([2]对账明细接口!$T118=0,"",[2]对账明细接口!$T118),"")</f>
        <v/>
      </c>
      <c r="Z118" s="113" t="str">
        <f aca="false">IFERROR(IF([2]对账明细接口!$U118=0,"",[2]对账明细接口!$U118),"")</f>
        <v/>
      </c>
      <c r="AA118" s="113" t="str">
        <f aca="false">IFERROR(IF([2]对账明细接口!$V118=0,"",[2]对账明细接口!$V118),"")</f>
        <v/>
      </c>
      <c r="AB118" s="10" t="str">
        <f aca="false">IFERROR(IF([2]对账明细接口!$W118=0,"",[2]对账明细接口!$W118),"")</f>
        <v/>
      </c>
      <c r="AC118" s="90" t="str">
        <f aca="false">IFERROR(IF([2]对账明细接口!$X119=0,"",[2]对账明细接口!$X119),"")</f>
        <v/>
      </c>
      <c r="AD118" s="90" t="str">
        <f aca="false">IFERROR(IF([2]对账明细接口!$Y119=0,"",[2]对账明细接口!$Y119),"")</f>
        <v/>
      </c>
      <c r="AE118" s="90" t="str">
        <f aca="false">IFERROR(IF([2]对账明细接口!$AA119=0,"",[2]对账明细接口!$AA119),"")</f>
        <v/>
      </c>
      <c r="AF118" s="90" t="str">
        <f aca="false">IFERROR(IF([2]对账明细接口!$AB119=0,"",[2]对账明细接口!$AB119),"")</f>
        <v/>
      </c>
      <c r="AG118" s="90" t="str">
        <f aca="false">IFERROR(IF([2]对账明细接口!$AC119=0,"",[2]对账明细接口!$AC119),"")</f>
        <v/>
      </c>
      <c r="AH118" s="90" t="str">
        <f aca="false">IFERROR(IF([2]对账明细接口!$AD119=0,"",[2]对账明细接口!$AD119),"")</f>
        <v/>
      </c>
    </row>
    <row r="119" customFormat="false" ht="13.5" hidden="false" customHeight="false" outlineLevel="0" collapsed="false">
      <c r="A119" s="109" t="n">
        <v>119</v>
      </c>
      <c r="B119" s="110" t="n">
        <f aca="false">IFERROR(IF([2]对账明细接口!$B$119=0,"",[2]对账明细接口!$B$119),"")</f>
        <v>46259</v>
      </c>
      <c r="C119" s="59" t="str">
        <f aca="false">IFERROR(IF([2]对账明细接口!$C$119=0,"",[2]对账明细接口!$C$119),"")</f>
        <v>聂新平</v>
      </c>
      <c r="D119" s="59" t="str">
        <f aca="false">IFERROR(IF([2]对账明细接口!$D$119=0,"",[2]对账明细接口!$D$119),"")</f>
        <v>原料入库</v>
      </c>
      <c r="E119" s="59" t="str">
        <f aca="false">IFERROR(IF([2]对账明细接口!$E$119=0,"",[2]对账明细接口!$E$119),"")</f>
        <v>NO:0000726</v>
      </c>
      <c r="F119" s="59" t="str">
        <f aca="false">IFERROR(IF([2]对账明细接口!$F$119=0,"",[2]对账明细接口!$F$119),"")</f>
        <v>西梅</v>
      </c>
      <c r="G119" s="59" t="str">
        <f aca="false">IFERROR(IF([2]对账明细接口!$G$119=0,"",[2]对账明细接口!$G$119),"")</f>
        <v>西梅二级</v>
      </c>
      <c r="H119" s="60" t="n">
        <f aca="false">IFERROR(IF([2]对账明细接口!$H$119=0,"",[2]对账明细接口!$H$119),"")</f>
        <v>22</v>
      </c>
      <c r="I119" s="59" t="str">
        <f aca="false">IFERROR(IF([2]对账明细接口!$I$119=0,"",[2]对账明细接口!$I$119),"")</f>
        <v>筐</v>
      </c>
      <c r="J119" s="61" t="n">
        <f aca="false">IFERROR(IF([2]对账明细接口!$J$119=0,"",[2]对账明细接口!$J$119),"")</f>
        <v>264</v>
      </c>
      <c r="K119" s="61" t="str">
        <f aca="false">IFERROR(IF([2]对账明细接口!$K$119=0,"",[2]对账明细接口!$K$119),"")</f>
        <v/>
      </c>
      <c r="L119" s="59" t="str">
        <f aca="false">IFERROR(IF([2]对账明细接口!$L$119=0,"",[2]对账明细接口!$L$119),"")</f>
        <v/>
      </c>
      <c r="M119" s="59" t="str">
        <f aca="false">IFERROR(IF([2]对账明细接口!$M$119=0,"",[2]对账明细接口!$M$119),"")</f>
        <v/>
      </c>
      <c r="N119" s="111" t="n">
        <f aca="false">IF($C119="",0,1)</f>
        <v>1</v>
      </c>
      <c r="O119" s="111" t="n">
        <f aca="false">N(O118)+$N119</f>
        <v>116</v>
      </c>
      <c r="S119" s="10" t="str">
        <f aca="false">IFERROR(IF([2]对账明细接口!$N119=0,"",[2]对账明细接口!$N119),"")</f>
        <v>自备一次性筐</v>
      </c>
      <c r="T119" s="112" t="str">
        <f aca="false">IFERROR(IF([2]对账明细接口!$O119=0,"",[2]对账明细接口!$O119),"")</f>
        <v/>
      </c>
      <c r="U119" s="112" t="str">
        <f aca="false">IFERROR(IF([2]对账明细接口!$P119=0,"",[2]对账明细接口!$P119),"")</f>
        <v/>
      </c>
      <c r="V119" s="112" t="n">
        <f aca="false">IFERROR(IF([2]对账明细接口!$Q119=0,"",[2]对账明细接口!$Q119),"")</f>
        <v>22</v>
      </c>
      <c r="W119" s="10" t="str">
        <f aca="false">IFERROR(IF([2]对账明细接口!$R119=0,"",[2]对账明细接口!$R119),"")</f>
        <v>苏M*7G796</v>
      </c>
      <c r="X119" s="10" t="str">
        <f aca="false">IFERROR(IF([2]对账明细接口!$S119=0,"",[2]对账明细接口!$S119),"")</f>
        <v>自备筐</v>
      </c>
      <c r="Y119" s="10" t="str">
        <f aca="false">IFERROR(IF([2]对账明细接口!$T119=0,"",[2]对账明细接口!$T119),"")</f>
        <v/>
      </c>
      <c r="Z119" s="113" t="str">
        <f aca="false">IFERROR(IF([2]对账明细接口!$U119=0,"",[2]对账明细接口!$U119),"")</f>
        <v/>
      </c>
      <c r="AA119" s="113" t="str">
        <f aca="false">IFERROR(IF([2]对账明细接口!$V119=0,"",[2]对账明细接口!$V119),"")</f>
        <v/>
      </c>
      <c r="AB119" s="10" t="str">
        <f aca="false">IFERROR(IF([2]对账明细接口!$W119=0,"",[2]对账明细接口!$W119),"")</f>
        <v/>
      </c>
      <c r="AC119" s="90" t="str">
        <f aca="false">IFERROR(IF([2]对账明细接口!$X120=0,"",[2]对账明细接口!$X120),"")</f>
        <v/>
      </c>
      <c r="AD119" s="90" t="str">
        <f aca="false">IFERROR(IF([2]对账明细接口!$Y120=0,"",[2]对账明细接口!$Y120),"")</f>
        <v/>
      </c>
      <c r="AE119" s="90" t="str">
        <f aca="false">IFERROR(IF([2]对账明细接口!$AA120=0,"",[2]对账明细接口!$AA120),"")</f>
        <v/>
      </c>
      <c r="AF119" s="90" t="str">
        <f aca="false">IFERROR(IF([2]对账明细接口!$AB120=0,"",[2]对账明细接口!$AB120),"")</f>
        <v/>
      </c>
      <c r="AG119" s="90" t="str">
        <f aca="false">IFERROR(IF([2]对账明细接口!$AC120=0,"",[2]对账明细接口!$AC120),"")</f>
        <v/>
      </c>
      <c r="AH119" s="90" t="str">
        <f aca="false">IFERROR(IF([2]对账明细接口!$AD120=0,"",[2]对账明细接口!$AD120),"")</f>
        <v/>
      </c>
    </row>
    <row r="120" customFormat="false" ht="13.5" hidden="false" customHeight="false" outlineLevel="0" collapsed="false">
      <c r="A120" s="109" t="n">
        <v>120</v>
      </c>
      <c r="B120" s="110" t="n">
        <f aca="false">IFERROR(IF([2]对账明细接口!$B$120=0,"",[2]对账明细接口!$B$120),"")</f>
        <v>46259</v>
      </c>
      <c r="C120" s="59" t="str">
        <f aca="false">IFERROR(IF([2]对账明细接口!$C$120=0,"",[2]对账明细接口!$C$120),"")</f>
        <v>聂新平</v>
      </c>
      <c r="D120" s="59" t="str">
        <f aca="false">IFERROR(IF([2]对账明细接口!$D$120=0,"",[2]对账明细接口!$D$120),"")</f>
        <v>原料入库</v>
      </c>
      <c r="E120" s="59" t="str">
        <f aca="false">IFERROR(IF([2]对账明细接口!$E$120=0,"",[2]对账明细接口!$E$120),"")</f>
        <v>NO:0000726</v>
      </c>
      <c r="F120" s="59" t="str">
        <f aca="false">IFERROR(IF([2]对账明细接口!$F$120=0,"",[2]对账明细接口!$F$120),"")</f>
        <v>西梅</v>
      </c>
      <c r="G120" s="59" t="str">
        <f aca="false">IFERROR(IF([2]对账明细接口!$G$120=0,"",[2]对账明细接口!$G$120),"")</f>
        <v>西梅二级</v>
      </c>
      <c r="H120" s="60" t="n">
        <f aca="false">IFERROR(IF([2]对账明细接口!$H$120=0,"",[2]对账明细接口!$H$120),"")</f>
        <v>288</v>
      </c>
      <c r="I120" s="59" t="str">
        <f aca="false">IFERROR(IF([2]对账明细接口!$I$120=0,"",[2]对账明细接口!$I$120),"")</f>
        <v>筐</v>
      </c>
      <c r="J120" s="61" t="n">
        <f aca="false">IFERROR(IF([2]对账明细接口!$J$120=0,"",[2]对账明细接口!$J$120),"")</f>
        <v>576</v>
      </c>
      <c r="K120" s="61" t="str">
        <f aca="false">IFERROR(IF([2]对账明细接口!$K$120=0,"",[2]对账明细接口!$K$120),"")</f>
        <v/>
      </c>
      <c r="L120" s="59" t="str">
        <f aca="false">IFERROR(IF([2]对账明细接口!$L$120=0,"",[2]对账明细接口!$L$120),"")</f>
        <v/>
      </c>
      <c r="M120" s="59" t="str">
        <f aca="false">IFERROR(IF([2]对账明细接口!$M$120=0,"",[2]对账明细接口!$M$120),"")</f>
        <v/>
      </c>
      <c r="N120" s="111" t="n">
        <f aca="false">IF($C120="",0,1)</f>
        <v>1</v>
      </c>
      <c r="O120" s="111" t="n">
        <f aca="false">N(O119)+$N120</f>
        <v>117</v>
      </c>
      <c r="S120" s="10" t="str">
        <f aca="false">IFERROR(IF([2]对账明细接口!$N120=0,"",[2]对账明细接口!$N120),"")</f>
        <v>自备一次性筐</v>
      </c>
      <c r="T120" s="112" t="str">
        <f aca="false">IFERROR(IF([2]对账明细接口!$O120=0,"",[2]对账明细接口!$O120),"")</f>
        <v/>
      </c>
      <c r="U120" s="112" t="str">
        <f aca="false">IFERROR(IF([2]对账明细接口!$P120=0,"",[2]对账明细接口!$P120),"")</f>
        <v/>
      </c>
      <c r="V120" s="112" t="n">
        <f aca="false">IFERROR(IF([2]对账明细接口!$Q120=0,"",[2]对账明细接口!$Q120),"")</f>
        <v>288</v>
      </c>
      <c r="W120" s="10" t="str">
        <f aca="false">IFERROR(IF([2]对账明细接口!$R120=0,"",[2]对账明细接口!$R120),"")</f>
        <v>苏M*7G796</v>
      </c>
      <c r="X120" s="10" t="str">
        <f aca="false">IFERROR(IF([2]对账明细接口!$S120=0,"",[2]对账明细接口!$S120),"")</f>
        <v>自备筐</v>
      </c>
      <c r="Y120" s="10" t="str">
        <f aca="false">IFERROR(IF([2]对账明细接口!$T120=0,"",[2]对账明细接口!$T120),"")</f>
        <v/>
      </c>
      <c r="Z120" s="113" t="str">
        <f aca="false">IFERROR(IF([2]对账明细接口!$U120=0,"",[2]对账明细接口!$U120),"")</f>
        <v/>
      </c>
      <c r="AA120" s="113" t="str">
        <f aca="false">IFERROR(IF([2]对账明细接口!$V120=0,"",[2]对账明细接口!$V120),"")</f>
        <v/>
      </c>
      <c r="AB120" s="10" t="str">
        <f aca="false">IFERROR(IF([2]对账明细接口!$W120=0,"",[2]对账明细接口!$W120),"")</f>
        <v/>
      </c>
      <c r="AC120" s="90" t="str">
        <f aca="false">IFERROR(IF([2]对账明细接口!$X121=0,"",[2]对账明细接口!$X121),"")</f>
        <v/>
      </c>
      <c r="AD120" s="90" t="str">
        <f aca="false">IFERROR(IF([2]对账明细接口!$Y121=0,"",[2]对账明细接口!$Y121),"")</f>
        <v/>
      </c>
      <c r="AE120" s="90" t="str">
        <f aca="false">IFERROR(IF([2]对账明细接口!$AA121=0,"",[2]对账明细接口!$AA121),"")</f>
        <v/>
      </c>
      <c r="AF120" s="90" t="str">
        <f aca="false">IFERROR(IF([2]对账明细接口!$AB121=0,"",[2]对账明细接口!$AB121),"")</f>
        <v/>
      </c>
      <c r="AG120" s="90" t="str">
        <f aca="false">IFERROR(IF([2]对账明细接口!$AC121=0,"",[2]对账明细接口!$AC121),"")</f>
        <v/>
      </c>
      <c r="AH120" s="90" t="str">
        <f aca="false">IFERROR(IF([2]对账明细接口!$AD121=0,"",[2]对账明细接口!$AD121),"")</f>
        <v/>
      </c>
    </row>
    <row r="121" customFormat="false" ht="13.5" hidden="false" customHeight="false" outlineLevel="0" collapsed="false">
      <c r="A121" s="109" t="n">
        <v>121</v>
      </c>
      <c r="B121" s="110" t="n">
        <f aca="false">IFERROR(IF([2]对账明细接口!$B$121=0,"",[2]对账明细接口!$B$121),"")</f>
        <v>46259</v>
      </c>
      <c r="C121" s="59" t="str">
        <f aca="false">IFERROR(IF([2]对账明细接口!$C$121=0,"",[2]对账明细接口!$C$121),"")</f>
        <v>聂新平</v>
      </c>
      <c r="D121" s="59" t="str">
        <f aca="false">IFERROR(IF([2]对账明细接口!$D$121=0,"",[2]对账明细接口!$D$121),"")</f>
        <v>原料入库</v>
      </c>
      <c r="E121" s="59" t="str">
        <f aca="false">IFERROR(IF([2]对账明细接口!$E$121=0,"",[2]对账明细接口!$E$121),"")</f>
        <v>NO:0000726</v>
      </c>
      <c r="F121" s="59" t="str">
        <f aca="false">IFERROR(IF([2]对账明细接口!$F$121=0,"",[2]对账明细接口!$F$121),"")</f>
        <v>西梅</v>
      </c>
      <c r="G121" s="59" t="str">
        <f aca="false">IFERROR(IF([2]对账明细接口!$G$121=0,"",[2]对账明细接口!$G$121),"")</f>
        <v>西梅三级</v>
      </c>
      <c r="H121" s="60" t="n">
        <f aca="false">IFERROR(IF([2]对账明细接口!$H$121=0,"",[2]对账明细接口!$H$121),"")</f>
        <v>68</v>
      </c>
      <c r="I121" s="59" t="str">
        <f aca="false">IFERROR(IF([2]对账明细接口!$I$121=0,"",[2]对账明细接口!$I$121),"")</f>
        <v>筐</v>
      </c>
      <c r="J121" s="61" t="n">
        <f aca="false">IFERROR(IF([2]对账明细接口!$J$121=0,"",[2]对账明细接口!$J$121),"")</f>
        <v>136</v>
      </c>
      <c r="K121" s="61" t="str">
        <f aca="false">IFERROR(IF([2]对账明细接口!$K$121=0,"",[2]对账明细接口!$K$121),"")</f>
        <v/>
      </c>
      <c r="L121" s="59" t="str">
        <f aca="false">IFERROR(IF([2]对账明细接口!$L$121=0,"",[2]对账明细接口!$L$121),"")</f>
        <v/>
      </c>
      <c r="M121" s="59" t="str">
        <f aca="false">IFERROR(IF([2]对账明细接口!$M$121=0,"",[2]对账明细接口!$M$121),"")</f>
        <v/>
      </c>
      <c r="N121" s="111" t="n">
        <f aca="false">IF($C121="",0,1)</f>
        <v>1</v>
      </c>
      <c r="O121" s="111" t="n">
        <f aca="false">N(O120)+$N121</f>
        <v>118</v>
      </c>
      <c r="S121" s="10" t="str">
        <f aca="false">IFERROR(IF([2]对账明细接口!$N121=0,"",[2]对账明细接口!$N121),"")</f>
        <v>自备一次性筐</v>
      </c>
      <c r="T121" s="112" t="str">
        <f aca="false">IFERROR(IF([2]对账明细接口!$O121=0,"",[2]对账明细接口!$O121),"")</f>
        <v/>
      </c>
      <c r="U121" s="112" t="str">
        <f aca="false">IFERROR(IF([2]对账明细接口!$P121=0,"",[2]对账明细接口!$P121),"")</f>
        <v/>
      </c>
      <c r="V121" s="112" t="n">
        <f aca="false">IFERROR(IF([2]对账明细接口!$Q121=0,"",[2]对账明细接口!$Q121),"")</f>
        <v>68</v>
      </c>
      <c r="W121" s="10" t="str">
        <f aca="false">IFERROR(IF([2]对账明细接口!$R121=0,"",[2]对账明细接口!$R121),"")</f>
        <v>苏M*7G796</v>
      </c>
      <c r="X121" s="10" t="str">
        <f aca="false">IFERROR(IF([2]对账明细接口!$S121=0,"",[2]对账明细接口!$S121),"")</f>
        <v>自备筐</v>
      </c>
      <c r="Y121" s="10" t="str">
        <f aca="false">IFERROR(IF([2]对账明细接口!$T121=0,"",[2]对账明细接口!$T121),"")</f>
        <v/>
      </c>
      <c r="Z121" s="113" t="str">
        <f aca="false">IFERROR(IF([2]对账明细接口!$U121=0,"",[2]对账明细接口!$U121),"")</f>
        <v/>
      </c>
      <c r="AA121" s="113" t="str">
        <f aca="false">IFERROR(IF([2]对账明细接口!$V121=0,"",[2]对账明细接口!$V121),"")</f>
        <v/>
      </c>
      <c r="AB121" s="10" t="str">
        <f aca="false">IFERROR(IF([2]对账明细接口!$W121=0,"",[2]对账明细接口!$W121),"")</f>
        <v/>
      </c>
      <c r="AC121" s="90" t="str">
        <f aca="false">IFERROR(IF([2]对账明细接口!$X122=0,"",[2]对账明细接口!$X122),"")</f>
        <v/>
      </c>
      <c r="AD121" s="90" t="str">
        <f aca="false">IFERROR(IF([2]对账明细接口!$Y122=0,"",[2]对账明细接口!$Y122),"")</f>
        <v/>
      </c>
      <c r="AE121" s="90" t="str">
        <f aca="false">IFERROR(IF([2]对账明细接口!$AA122=0,"",[2]对账明细接口!$AA122),"")</f>
        <v/>
      </c>
      <c r="AF121" s="90" t="str">
        <f aca="false">IFERROR(IF([2]对账明细接口!$AB122=0,"",[2]对账明细接口!$AB122),"")</f>
        <v/>
      </c>
      <c r="AG121" s="90" t="str">
        <f aca="false">IFERROR(IF([2]对账明细接口!$AC122=0,"",[2]对账明细接口!$AC122),"")</f>
        <v/>
      </c>
      <c r="AH121" s="90" t="str">
        <f aca="false">IFERROR(IF([2]对账明细接口!$AD122=0,"",[2]对账明细接口!$AD122),"")</f>
        <v/>
      </c>
    </row>
    <row r="122" customFormat="false" ht="13.5" hidden="false" customHeight="false" outlineLevel="0" collapsed="false">
      <c r="A122" s="109" t="n">
        <v>122</v>
      </c>
      <c r="B122" s="110" t="n">
        <f aca="false">IFERROR(IF([2]对账明细接口!$B$122=0,"",[2]对账明细接口!$B$122),"")</f>
        <v>46259</v>
      </c>
      <c r="C122" s="59" t="str">
        <f aca="false">IFERROR(IF([2]对账明细接口!$C$122=0,"",[2]对账明细接口!$C$122),"")</f>
        <v>聂新平</v>
      </c>
      <c r="D122" s="59" t="str">
        <f aca="false">IFERROR(IF([2]对账明细接口!$D$122=0,"",[2]对账明细接口!$D$122),"")</f>
        <v>原料入库</v>
      </c>
      <c r="E122" s="59" t="str">
        <f aca="false">IFERROR(IF([2]对账明细接口!$E$122=0,"",[2]对账明细接口!$E$122),"")</f>
        <v>NO:0000728</v>
      </c>
      <c r="F122" s="59" t="str">
        <f aca="false">IFERROR(IF([2]对账明细接口!$F$122=0,"",[2]对账明细接口!$F$122),"")</f>
        <v>西梅</v>
      </c>
      <c r="G122" s="59" t="str">
        <f aca="false">IFERROR(IF([2]对账明细接口!$G$122=0,"",[2]对账明细接口!$G$122),"")</f>
        <v>西梅一级</v>
      </c>
      <c r="H122" s="60" t="n">
        <f aca="false">IFERROR(IF([2]对账明细接口!$H$122=0,"",[2]对账明细接口!$H$122),"")</f>
        <v>50</v>
      </c>
      <c r="I122" s="59" t="str">
        <f aca="false">IFERROR(IF([2]对账明细接口!$I$122=0,"",[2]对账明细接口!$I$122),"")</f>
        <v>筐</v>
      </c>
      <c r="J122" s="61" t="n">
        <f aca="false">IFERROR(IF([2]对账明细接口!$J$122=0,"",[2]对账明细接口!$J$122),"")</f>
        <v>350</v>
      </c>
      <c r="K122" s="61" t="str">
        <f aca="false">IFERROR(IF([2]对账明细接口!$K$122=0,"",[2]对账明细接口!$K$122),"")</f>
        <v/>
      </c>
      <c r="L122" s="59" t="str">
        <f aca="false">IFERROR(IF([2]对账明细接口!$L$122=0,"",[2]对账明细接口!$L$122),"")</f>
        <v/>
      </c>
      <c r="M122" s="59" t="str">
        <f aca="false">IFERROR(IF([2]对账明细接口!$M$122=0,"",[2]对账明细接口!$M$122),"")</f>
        <v/>
      </c>
      <c r="N122" s="111" t="n">
        <f aca="false">IF($C122="",0,1)</f>
        <v>1</v>
      </c>
      <c r="O122" s="111" t="n">
        <f aca="false">N(O121)+$N122</f>
        <v>119</v>
      </c>
      <c r="S122" s="10" t="str">
        <f aca="false">IFERROR(IF([2]对账明细接口!$N122=0,"",[2]对账明细接口!$N122),"")</f>
        <v>自备一次性筐</v>
      </c>
      <c r="T122" s="112" t="str">
        <f aca="false">IFERROR(IF([2]对账明细接口!$O122=0,"",[2]对账明细接口!$O122),"")</f>
        <v/>
      </c>
      <c r="U122" s="112" t="str">
        <f aca="false">IFERROR(IF([2]对账明细接口!$P122=0,"",[2]对账明细接口!$P122),"")</f>
        <v/>
      </c>
      <c r="V122" s="112" t="n">
        <f aca="false">IFERROR(IF([2]对账明细接口!$Q122=0,"",[2]对账明细接口!$Q122),"")</f>
        <v>50</v>
      </c>
      <c r="W122" s="10" t="str">
        <f aca="false">IFERROR(IF([2]对账明细接口!$R122=0,"",[2]对账明细接口!$R122),"")</f>
        <v>苏M*7G796</v>
      </c>
      <c r="X122" s="10" t="str">
        <f aca="false">IFERROR(IF([2]对账明细接口!$S122=0,"",[2]对账明细接口!$S122),"")</f>
        <v>自备筐</v>
      </c>
      <c r="Y122" s="10" t="str">
        <f aca="false">IFERROR(IF([2]对账明细接口!$T122=0,"",[2]对账明细接口!$T122),"")</f>
        <v/>
      </c>
      <c r="Z122" s="113" t="str">
        <f aca="false">IFERROR(IF([2]对账明细接口!$U122=0,"",[2]对账明细接口!$U122),"")</f>
        <v/>
      </c>
      <c r="AA122" s="113" t="str">
        <f aca="false">IFERROR(IF([2]对账明细接口!$V122=0,"",[2]对账明细接口!$V122),"")</f>
        <v/>
      </c>
      <c r="AB122" s="10" t="str">
        <f aca="false">IFERROR(IF([2]对账明细接口!$W122=0,"",[2]对账明细接口!$W122),"")</f>
        <v/>
      </c>
      <c r="AC122" s="90" t="str">
        <f aca="false">IFERROR(IF([2]对账明细接口!$X123=0,"",[2]对账明细接口!$X123),"")</f>
        <v/>
      </c>
      <c r="AD122" s="90" t="str">
        <f aca="false">IFERROR(IF([2]对账明细接口!$Y123=0,"",[2]对账明细接口!$Y123),"")</f>
        <v/>
      </c>
      <c r="AE122" s="90" t="str">
        <f aca="false">IFERROR(IF([2]对账明细接口!$AA123=0,"",[2]对账明细接口!$AA123),"")</f>
        <v/>
      </c>
      <c r="AF122" s="90" t="str">
        <f aca="false">IFERROR(IF([2]对账明细接口!$AB123=0,"",[2]对账明细接口!$AB123),"")</f>
        <v/>
      </c>
      <c r="AG122" s="90" t="str">
        <f aca="false">IFERROR(IF([2]对账明细接口!$AC123=0,"",[2]对账明细接口!$AC123),"")</f>
        <v/>
      </c>
      <c r="AH122" s="90" t="str">
        <f aca="false">IFERROR(IF([2]对账明细接口!$AD123=0,"",[2]对账明细接口!$AD123),"")</f>
        <v/>
      </c>
    </row>
    <row r="123" customFormat="false" ht="13.5" hidden="false" customHeight="false" outlineLevel="0" collapsed="false">
      <c r="A123" s="109" t="n">
        <v>123</v>
      </c>
      <c r="B123" s="110" t="n">
        <f aca="false">IFERROR(IF([2]对账明细接口!$B$123=0,"",[2]对账明细接口!$B$123),"")</f>
        <v>46259</v>
      </c>
      <c r="C123" s="59" t="str">
        <f aca="false">IFERROR(IF([2]对账明细接口!$C$123=0,"",[2]对账明细接口!$C$123),"")</f>
        <v>聂新平</v>
      </c>
      <c r="D123" s="59" t="str">
        <f aca="false">IFERROR(IF([2]对账明细接口!$D$123=0,"",[2]对账明细接口!$D$123),"")</f>
        <v>原料入库</v>
      </c>
      <c r="E123" s="59" t="str">
        <f aca="false">IFERROR(IF([2]对账明细接口!$E$123=0,"",[2]对账明细接口!$E$123),"")</f>
        <v>NO:0000728</v>
      </c>
      <c r="F123" s="59" t="str">
        <f aca="false">IFERROR(IF([2]对账明细接口!$F$123=0,"",[2]对账明细接口!$F$123),"")</f>
        <v>西梅</v>
      </c>
      <c r="G123" s="59" t="str">
        <f aca="false">IFERROR(IF([2]对账明细接口!$G$123=0,"",[2]对账明细接口!$G$123),"")</f>
        <v>西梅二级</v>
      </c>
      <c r="H123" s="60" t="n">
        <f aca="false">IFERROR(IF([2]对账明细接口!$H$123=0,"",[2]对账明细接口!$H$123),"")</f>
        <v>12</v>
      </c>
      <c r="I123" s="59" t="str">
        <f aca="false">IFERROR(IF([2]对账明细接口!$I$123=0,"",[2]对账明细接口!$I$123),"")</f>
        <v>筐</v>
      </c>
      <c r="J123" s="61" t="n">
        <f aca="false">IFERROR(IF([2]对账明细接口!$J$123=0,"",[2]对账明细接口!$J$123),"")</f>
        <v>144</v>
      </c>
      <c r="K123" s="61" t="str">
        <f aca="false">IFERROR(IF([2]对账明细接口!$K$123=0,"",[2]对账明细接口!$K$123),"")</f>
        <v/>
      </c>
      <c r="L123" s="59" t="str">
        <f aca="false">IFERROR(IF([2]对账明细接口!$L$123=0,"",[2]对账明细接口!$L$123),"")</f>
        <v/>
      </c>
      <c r="M123" s="59" t="str">
        <f aca="false">IFERROR(IF([2]对账明细接口!$M$123=0,"",[2]对账明细接口!$M$123),"")</f>
        <v/>
      </c>
      <c r="N123" s="111" t="n">
        <f aca="false">IF($C123="",0,1)</f>
        <v>1</v>
      </c>
      <c r="O123" s="111" t="n">
        <f aca="false">N(O122)+$N123</f>
        <v>120</v>
      </c>
      <c r="S123" s="10" t="str">
        <f aca="false">IFERROR(IF([2]对账明细接口!$N123=0,"",[2]对账明细接口!$N123),"")</f>
        <v>自备一次性筐</v>
      </c>
      <c r="T123" s="112" t="str">
        <f aca="false">IFERROR(IF([2]对账明细接口!$O123=0,"",[2]对账明细接口!$O123),"")</f>
        <v/>
      </c>
      <c r="U123" s="112" t="str">
        <f aca="false">IFERROR(IF([2]对账明细接口!$P123=0,"",[2]对账明细接口!$P123),"")</f>
        <v/>
      </c>
      <c r="V123" s="112" t="n">
        <f aca="false">IFERROR(IF([2]对账明细接口!$Q123=0,"",[2]对账明细接口!$Q123),"")</f>
        <v>12</v>
      </c>
      <c r="W123" s="10" t="str">
        <f aca="false">IFERROR(IF([2]对账明细接口!$R123=0,"",[2]对账明细接口!$R123),"")</f>
        <v>苏M*7G796</v>
      </c>
      <c r="X123" s="10" t="str">
        <f aca="false">IFERROR(IF([2]对账明细接口!$S123=0,"",[2]对账明细接口!$S123),"")</f>
        <v>自备筐</v>
      </c>
      <c r="Y123" s="10" t="str">
        <f aca="false">IFERROR(IF([2]对账明细接口!$T123=0,"",[2]对账明细接口!$T123),"")</f>
        <v/>
      </c>
      <c r="Z123" s="113" t="str">
        <f aca="false">IFERROR(IF([2]对账明细接口!$U123=0,"",[2]对账明细接口!$U123),"")</f>
        <v/>
      </c>
      <c r="AA123" s="113" t="str">
        <f aca="false">IFERROR(IF([2]对账明细接口!$V123=0,"",[2]对账明细接口!$V123),"")</f>
        <v/>
      </c>
      <c r="AB123" s="10" t="str">
        <f aca="false">IFERROR(IF([2]对账明细接口!$W123=0,"",[2]对账明细接口!$W123),"")</f>
        <v/>
      </c>
      <c r="AC123" s="90" t="str">
        <f aca="false">IFERROR(IF([2]对账明细接口!$X124=0,"",[2]对账明细接口!$X124),"")</f>
        <v/>
      </c>
      <c r="AD123" s="90" t="str">
        <f aca="false">IFERROR(IF([2]对账明细接口!$Y124=0,"",[2]对账明细接口!$Y124),"")</f>
        <v/>
      </c>
      <c r="AE123" s="90" t="str">
        <f aca="false">IFERROR(IF([2]对账明细接口!$AA124=0,"",[2]对账明细接口!$AA124),"")</f>
        <v/>
      </c>
      <c r="AF123" s="90" t="str">
        <f aca="false">IFERROR(IF([2]对账明细接口!$AB124=0,"",[2]对账明细接口!$AB124),"")</f>
        <v/>
      </c>
      <c r="AG123" s="90" t="str">
        <f aca="false">IFERROR(IF([2]对账明细接口!$AC124=0,"",[2]对账明细接口!$AC124),"")</f>
        <v/>
      </c>
      <c r="AH123" s="90" t="str">
        <f aca="false">IFERROR(IF([2]对账明细接口!$AD124=0,"",[2]对账明细接口!$AD124),"")</f>
        <v/>
      </c>
    </row>
    <row r="124" customFormat="false" ht="13.5" hidden="false" customHeight="false" outlineLevel="0" collapsed="false">
      <c r="A124" s="109" t="n">
        <v>124</v>
      </c>
      <c r="B124" s="110" t="n">
        <f aca="false">IFERROR(IF([2]对账明细接口!$B$124=0,"",[2]对账明细接口!$B$124),"")</f>
        <v>46259</v>
      </c>
      <c r="C124" s="59" t="str">
        <f aca="false">IFERROR(IF([2]对账明细接口!$C$124=0,"",[2]对账明细接口!$C$124),"")</f>
        <v>聂新平</v>
      </c>
      <c r="D124" s="59" t="str">
        <f aca="false">IFERROR(IF([2]对账明细接口!$D$124=0,"",[2]对账明细接口!$D$124),"")</f>
        <v>原料入库</v>
      </c>
      <c r="E124" s="59" t="str">
        <f aca="false">IFERROR(IF([2]对账明细接口!$E$124=0,"",[2]对账明细接口!$E$124),"")</f>
        <v>NO:0000728</v>
      </c>
      <c r="F124" s="59" t="str">
        <f aca="false">IFERROR(IF([2]对账明细接口!$F$124=0,"",[2]对账明细接口!$F$124),"")</f>
        <v>西梅</v>
      </c>
      <c r="G124" s="59" t="str">
        <f aca="false">IFERROR(IF([2]对账明细接口!$G$124=0,"",[2]对账明细接口!$G$124),"")</f>
        <v>西梅二级</v>
      </c>
      <c r="H124" s="60" t="n">
        <f aca="false">IFERROR(IF([2]对账明细接口!$H$124=0,"",[2]对账明细接口!$H$124),"")</f>
        <v>312</v>
      </c>
      <c r="I124" s="59" t="str">
        <f aca="false">IFERROR(IF([2]对账明细接口!$I$124=0,"",[2]对账明细接口!$I$124),"")</f>
        <v>筐</v>
      </c>
      <c r="J124" s="61" t="n">
        <f aca="false">IFERROR(IF([2]对账明细接口!$J$124=0,"",[2]对账明细接口!$J$124),"")</f>
        <v>624</v>
      </c>
      <c r="K124" s="61" t="str">
        <f aca="false">IFERROR(IF([2]对账明细接口!$K$124=0,"",[2]对账明细接口!$K$124),"")</f>
        <v/>
      </c>
      <c r="L124" s="59" t="str">
        <f aca="false">IFERROR(IF([2]对账明细接口!$L$124=0,"",[2]对账明细接口!$L$124),"")</f>
        <v/>
      </c>
      <c r="M124" s="59" t="str">
        <f aca="false">IFERROR(IF([2]对账明细接口!$M$124=0,"",[2]对账明细接口!$M$124),"")</f>
        <v/>
      </c>
      <c r="N124" s="111" t="n">
        <f aca="false">IF($C124="",0,1)</f>
        <v>1</v>
      </c>
      <c r="O124" s="111" t="n">
        <f aca="false">N(O123)+$N124</f>
        <v>121</v>
      </c>
      <c r="S124" s="10" t="str">
        <f aca="false">IFERROR(IF([2]对账明细接口!$N124=0,"",[2]对账明细接口!$N124),"")</f>
        <v>自备一次性筐</v>
      </c>
      <c r="T124" s="112" t="str">
        <f aca="false">IFERROR(IF([2]对账明细接口!$O124=0,"",[2]对账明细接口!$O124),"")</f>
        <v/>
      </c>
      <c r="U124" s="112" t="str">
        <f aca="false">IFERROR(IF([2]对账明细接口!$P124=0,"",[2]对账明细接口!$P124),"")</f>
        <v/>
      </c>
      <c r="V124" s="112" t="n">
        <f aca="false">IFERROR(IF([2]对账明细接口!$Q124=0,"",[2]对账明细接口!$Q124),"")</f>
        <v>312</v>
      </c>
      <c r="W124" s="10" t="str">
        <f aca="false">IFERROR(IF([2]对账明细接口!$R124=0,"",[2]对账明细接口!$R124),"")</f>
        <v>苏M*7G796</v>
      </c>
      <c r="X124" s="10" t="str">
        <f aca="false">IFERROR(IF([2]对账明细接口!$S124=0,"",[2]对账明细接口!$S124),"")</f>
        <v>自备筐</v>
      </c>
      <c r="Y124" s="10" t="str">
        <f aca="false">IFERROR(IF([2]对账明细接口!$T124=0,"",[2]对账明细接口!$T124),"")</f>
        <v/>
      </c>
      <c r="Z124" s="113" t="str">
        <f aca="false">IFERROR(IF([2]对账明细接口!$U124=0,"",[2]对账明细接口!$U124),"")</f>
        <v/>
      </c>
      <c r="AA124" s="113" t="str">
        <f aca="false">IFERROR(IF([2]对账明细接口!$V124=0,"",[2]对账明细接口!$V124),"")</f>
        <v/>
      </c>
      <c r="AB124" s="10" t="str">
        <f aca="false">IFERROR(IF([2]对账明细接口!$W124=0,"",[2]对账明细接口!$W124),"")</f>
        <v/>
      </c>
      <c r="AC124" s="90" t="str">
        <f aca="false">IFERROR(IF([2]对账明细接口!$X125=0,"",[2]对账明细接口!$X125),"")</f>
        <v/>
      </c>
      <c r="AD124" s="90" t="str">
        <f aca="false">IFERROR(IF([2]对账明细接口!$Y125=0,"",[2]对账明细接口!$Y125),"")</f>
        <v/>
      </c>
      <c r="AE124" s="90" t="str">
        <f aca="false">IFERROR(IF([2]对账明细接口!$AA125=0,"",[2]对账明细接口!$AA125),"")</f>
        <v/>
      </c>
      <c r="AF124" s="90" t="str">
        <f aca="false">IFERROR(IF([2]对账明细接口!$AB125=0,"",[2]对账明细接口!$AB125),"")</f>
        <v/>
      </c>
      <c r="AG124" s="90" t="str">
        <f aca="false">IFERROR(IF([2]对账明细接口!$AC125=0,"",[2]对账明细接口!$AC125),"")</f>
        <v/>
      </c>
      <c r="AH124" s="90" t="str">
        <f aca="false">IFERROR(IF([2]对账明细接口!$AD125=0,"",[2]对账明细接口!$AD125),"")</f>
        <v/>
      </c>
    </row>
    <row r="125" customFormat="false" ht="13.5" hidden="false" customHeight="false" outlineLevel="0" collapsed="false">
      <c r="A125" s="109" t="n">
        <v>125</v>
      </c>
      <c r="B125" s="110" t="n">
        <f aca="false">IFERROR(IF([2]对账明细接口!$B$125=0,"",[2]对账明细接口!$B$125),"")</f>
        <v>46260</v>
      </c>
      <c r="C125" s="59" t="str">
        <f aca="false">IFERROR(IF([2]对账明细接口!$C$125=0,"",[2]对账明细接口!$C$125),"")</f>
        <v>聂新平</v>
      </c>
      <c r="D125" s="59" t="str">
        <f aca="false">IFERROR(IF([2]对账明细接口!$D$125=0,"",[2]对账明细接口!$D$125),"")</f>
        <v>原料入库</v>
      </c>
      <c r="E125" s="59" t="str">
        <f aca="false">IFERROR(IF([2]对账明细接口!$E$125=0,"",[2]对账明细接口!$E$125),"")</f>
        <v>NO:0000730</v>
      </c>
      <c r="F125" s="59" t="str">
        <f aca="false">IFERROR(IF([2]对账明细接口!$F$125=0,"",[2]对账明细接口!$F$125),"")</f>
        <v>西梅</v>
      </c>
      <c r="G125" s="59" t="str">
        <f aca="false">IFERROR(IF([2]对账明细接口!$G$125=0,"",[2]对账明细接口!$G$125),"")</f>
        <v>西梅一级</v>
      </c>
      <c r="H125" s="60" t="n">
        <f aca="false">IFERROR(IF([2]对账明细接口!$H$125=0,"",[2]对账明细接口!$H$125),"")</f>
        <v>20</v>
      </c>
      <c r="I125" s="59" t="str">
        <f aca="false">IFERROR(IF([2]对账明细接口!$I$125=0,"",[2]对账明细接口!$I$125),"")</f>
        <v>筐</v>
      </c>
      <c r="J125" s="61" t="n">
        <f aca="false">IFERROR(IF([2]对账明细接口!$J$125=0,"",[2]对账明细接口!$J$125),"")</f>
        <v>140</v>
      </c>
      <c r="K125" s="61" t="str">
        <f aca="false">IFERROR(IF([2]对账明细接口!$K$125=0,"",[2]对账明细接口!$K$125),"")</f>
        <v/>
      </c>
      <c r="L125" s="59" t="str">
        <f aca="false">IFERROR(IF([2]对账明细接口!$L$125=0,"",[2]对账明细接口!$L$125),"")</f>
        <v/>
      </c>
      <c r="M125" s="59" t="str">
        <f aca="false">IFERROR(IF([2]对账明细接口!$M$125=0,"",[2]对账明细接口!$M$125),"")</f>
        <v/>
      </c>
      <c r="N125" s="111" t="n">
        <f aca="false">IF($C125="",0,1)</f>
        <v>1</v>
      </c>
      <c r="O125" s="111" t="n">
        <f aca="false">N(O124)+$N125</f>
        <v>122</v>
      </c>
      <c r="S125" s="10" t="str">
        <f aca="false">IFERROR(IF([2]对账明细接口!$N125=0,"",[2]对账明细接口!$N125),"")</f>
        <v>自备一次性筐</v>
      </c>
      <c r="T125" s="112" t="str">
        <f aca="false">IFERROR(IF([2]对账明细接口!$O125=0,"",[2]对账明细接口!$O125),"")</f>
        <v/>
      </c>
      <c r="U125" s="112" t="str">
        <f aca="false">IFERROR(IF([2]对账明细接口!$P125=0,"",[2]对账明细接口!$P125),"")</f>
        <v/>
      </c>
      <c r="V125" s="112" t="n">
        <f aca="false">IFERROR(IF([2]对账明细接口!$Q125=0,"",[2]对账明细接口!$Q125),"")</f>
        <v>20</v>
      </c>
      <c r="W125" s="10" t="str">
        <f aca="false">IFERROR(IF([2]对账明细接口!$R125=0,"",[2]对账明细接口!$R125),"")</f>
        <v>苏M*7G796</v>
      </c>
      <c r="X125" s="10" t="str">
        <f aca="false">IFERROR(IF([2]对账明细接口!$S125=0,"",[2]对账明细接口!$S125),"")</f>
        <v>自备筐</v>
      </c>
      <c r="Y125" s="10" t="str">
        <f aca="false">IFERROR(IF([2]对账明细接口!$T125=0,"",[2]对账明细接口!$T125),"")</f>
        <v/>
      </c>
      <c r="Z125" s="113" t="str">
        <f aca="false">IFERROR(IF([2]对账明细接口!$U125=0,"",[2]对账明细接口!$U125),"")</f>
        <v/>
      </c>
      <c r="AA125" s="113" t="str">
        <f aca="false">IFERROR(IF([2]对账明细接口!$V125=0,"",[2]对账明细接口!$V125),"")</f>
        <v/>
      </c>
      <c r="AB125" s="10" t="str">
        <f aca="false">IFERROR(IF([2]对账明细接口!$W125=0,"",[2]对账明细接口!$W125),"")</f>
        <v/>
      </c>
      <c r="AC125" s="90" t="str">
        <f aca="false">IFERROR(IF([2]对账明细接口!$X126=0,"",[2]对账明细接口!$X126),"")</f>
        <v/>
      </c>
      <c r="AD125" s="90" t="str">
        <f aca="false">IFERROR(IF([2]对账明细接口!$Y126=0,"",[2]对账明细接口!$Y126),"")</f>
        <v/>
      </c>
      <c r="AE125" s="90" t="str">
        <f aca="false">IFERROR(IF([2]对账明细接口!$AA126=0,"",[2]对账明细接口!$AA126),"")</f>
        <v/>
      </c>
      <c r="AF125" s="90" t="str">
        <f aca="false">IFERROR(IF([2]对账明细接口!$AB126=0,"",[2]对账明细接口!$AB126),"")</f>
        <v/>
      </c>
      <c r="AG125" s="90" t="str">
        <f aca="false">IFERROR(IF([2]对账明细接口!$AC126=0,"",[2]对账明细接口!$AC126),"")</f>
        <v/>
      </c>
      <c r="AH125" s="90" t="str">
        <f aca="false">IFERROR(IF([2]对账明细接口!$AD126=0,"",[2]对账明细接口!$AD126),"")</f>
        <v/>
      </c>
    </row>
    <row r="126" customFormat="false" ht="13.5" hidden="false" customHeight="false" outlineLevel="0" collapsed="false">
      <c r="A126" s="109" t="n">
        <v>126</v>
      </c>
      <c r="B126" s="110" t="n">
        <f aca="false">IFERROR(IF([2]对账明细接口!$B$126=0,"",[2]对账明细接口!$B$126),"")</f>
        <v>46260</v>
      </c>
      <c r="C126" s="59" t="str">
        <f aca="false">IFERROR(IF([2]对账明细接口!$C$126=0,"",[2]对账明细接口!$C$126),"")</f>
        <v>聂新平</v>
      </c>
      <c r="D126" s="59" t="str">
        <f aca="false">IFERROR(IF([2]对账明细接口!$D$126=0,"",[2]对账明细接口!$D$126),"")</f>
        <v>原料入库</v>
      </c>
      <c r="E126" s="59" t="str">
        <f aca="false">IFERROR(IF([2]对账明细接口!$E$126=0,"",[2]对账明细接口!$E$126),"")</f>
        <v>NO:0000730</v>
      </c>
      <c r="F126" s="59" t="str">
        <f aca="false">IFERROR(IF([2]对账明细接口!$F$126=0,"",[2]对账明细接口!$F$126),"")</f>
        <v>西梅</v>
      </c>
      <c r="G126" s="59" t="str">
        <f aca="false">IFERROR(IF([2]对账明细接口!$G$126=0,"",[2]对账明细接口!$G$126),"")</f>
        <v>西梅二级</v>
      </c>
      <c r="H126" s="60" t="n">
        <f aca="false">IFERROR(IF([2]对账明细接口!$H$126=0,"",[2]对账明细接口!$H$126),"")</f>
        <v>222</v>
      </c>
      <c r="I126" s="59" t="str">
        <f aca="false">IFERROR(IF([2]对账明细接口!$I$126=0,"",[2]对账明细接口!$I$126),"")</f>
        <v>筐</v>
      </c>
      <c r="J126" s="61" t="n">
        <f aca="false">IFERROR(IF([2]对账明细接口!$J$126=0,"",[2]对账明细接口!$J$126),"")</f>
        <v>444</v>
      </c>
      <c r="K126" s="61" t="str">
        <f aca="false">IFERROR(IF([2]对账明细接口!$K$126=0,"",[2]对账明细接口!$K$126),"")</f>
        <v/>
      </c>
      <c r="L126" s="59" t="str">
        <f aca="false">IFERROR(IF([2]对账明细接口!$L$126=0,"",[2]对账明细接口!$L$126),"")</f>
        <v/>
      </c>
      <c r="M126" s="59" t="str">
        <f aca="false">IFERROR(IF([2]对账明细接口!$M$126=0,"",[2]对账明细接口!$M$126),"")</f>
        <v/>
      </c>
      <c r="N126" s="111" t="n">
        <f aca="false">IF($C126="",0,1)</f>
        <v>1</v>
      </c>
      <c r="O126" s="111" t="n">
        <f aca="false">N(O125)+$N126</f>
        <v>123</v>
      </c>
      <c r="S126" s="10" t="str">
        <f aca="false">IFERROR(IF([2]对账明细接口!$N126=0,"",[2]对账明细接口!$N126),"")</f>
        <v>自备一次性筐</v>
      </c>
      <c r="T126" s="112" t="str">
        <f aca="false">IFERROR(IF([2]对账明细接口!$O126=0,"",[2]对账明细接口!$O126),"")</f>
        <v/>
      </c>
      <c r="U126" s="112" t="str">
        <f aca="false">IFERROR(IF([2]对账明细接口!$P126=0,"",[2]对账明细接口!$P126),"")</f>
        <v/>
      </c>
      <c r="V126" s="112" t="n">
        <f aca="false">IFERROR(IF([2]对账明细接口!$Q126=0,"",[2]对账明细接口!$Q126),"")</f>
        <v>222</v>
      </c>
      <c r="W126" s="10" t="str">
        <f aca="false">IFERROR(IF([2]对账明细接口!$R126=0,"",[2]对账明细接口!$R126),"")</f>
        <v>苏M*7G796</v>
      </c>
      <c r="X126" s="10" t="str">
        <f aca="false">IFERROR(IF([2]对账明细接口!$S126=0,"",[2]对账明细接口!$S126),"")</f>
        <v>自备筐</v>
      </c>
      <c r="Y126" s="10" t="str">
        <f aca="false">IFERROR(IF([2]对账明细接口!$T126=0,"",[2]对账明细接口!$T126),"")</f>
        <v/>
      </c>
      <c r="Z126" s="113" t="str">
        <f aca="false">IFERROR(IF([2]对账明细接口!$U126=0,"",[2]对账明细接口!$U126),"")</f>
        <v/>
      </c>
      <c r="AA126" s="113" t="str">
        <f aca="false">IFERROR(IF([2]对账明细接口!$V126=0,"",[2]对账明细接口!$V126),"")</f>
        <v/>
      </c>
      <c r="AB126" s="10" t="str">
        <f aca="false">IFERROR(IF([2]对账明细接口!$W126=0,"",[2]对账明细接口!$W126),"")</f>
        <v/>
      </c>
      <c r="AC126" s="90" t="str">
        <f aca="false">IFERROR(IF([2]对账明细接口!$X127=0,"",[2]对账明细接口!$X127),"")</f>
        <v/>
      </c>
      <c r="AD126" s="90" t="str">
        <f aca="false">IFERROR(IF([2]对账明细接口!$Y127=0,"",[2]对账明细接口!$Y127),"")</f>
        <v/>
      </c>
      <c r="AE126" s="90" t="str">
        <f aca="false">IFERROR(IF([2]对账明细接口!$AA127=0,"",[2]对账明细接口!$AA127),"")</f>
        <v/>
      </c>
      <c r="AF126" s="90" t="str">
        <f aca="false">IFERROR(IF([2]对账明细接口!$AB127=0,"",[2]对账明细接口!$AB127),"")</f>
        <v/>
      </c>
      <c r="AG126" s="90" t="str">
        <f aca="false">IFERROR(IF([2]对账明细接口!$AC127=0,"",[2]对账明细接口!$AC127),"")</f>
        <v/>
      </c>
      <c r="AH126" s="90" t="str">
        <f aca="false">IFERROR(IF([2]对账明细接口!$AD127=0,"",[2]对账明细接口!$AD127),"")</f>
        <v/>
      </c>
    </row>
    <row r="127" customFormat="false" ht="13.5" hidden="false" customHeight="false" outlineLevel="0" collapsed="false">
      <c r="A127" s="109" t="n">
        <v>127</v>
      </c>
      <c r="B127" s="110" t="n">
        <f aca="false">IFERROR(IF([2]对账明细接口!$B$127=0,"",[2]对账明细接口!$B$127),"")</f>
        <v>46260</v>
      </c>
      <c r="C127" s="59" t="str">
        <f aca="false">IFERROR(IF([2]对账明细接口!$C$127=0,"",[2]对账明细接口!$C$127),"")</f>
        <v>聂新平</v>
      </c>
      <c r="D127" s="59" t="str">
        <f aca="false">IFERROR(IF([2]对账明细接口!$D$127=0,"",[2]对账明细接口!$D$127),"")</f>
        <v>原料入库</v>
      </c>
      <c r="E127" s="59" t="str">
        <f aca="false">IFERROR(IF([2]对账明细接口!$E$127=0,"",[2]对账明细接口!$E$127),"")</f>
        <v>NO:0000730</v>
      </c>
      <c r="F127" s="59" t="str">
        <f aca="false">IFERROR(IF([2]对账明细接口!$F$127=0,"",[2]对账明细接口!$F$127),"")</f>
        <v>西梅</v>
      </c>
      <c r="G127" s="59" t="str">
        <f aca="false">IFERROR(IF([2]对账明细接口!$G$127=0,"",[2]对账明细接口!$G$127),"")</f>
        <v>西梅三级</v>
      </c>
      <c r="H127" s="60" t="n">
        <f aca="false">IFERROR(IF([2]对账明细接口!$H$127=0,"",[2]对账明细接口!$H$127),"")</f>
        <v>243</v>
      </c>
      <c r="I127" s="59" t="str">
        <f aca="false">IFERROR(IF([2]对账明细接口!$I$127=0,"",[2]对账明细接口!$I$127),"")</f>
        <v>筐</v>
      </c>
      <c r="J127" s="61" t="n">
        <f aca="false">IFERROR(IF([2]对账明细接口!$J$127=0,"",[2]对账明细接口!$J$127),"")</f>
        <v>486</v>
      </c>
      <c r="K127" s="61" t="str">
        <f aca="false">IFERROR(IF([2]对账明细接口!$K$127=0,"",[2]对账明细接口!$K$127),"")</f>
        <v/>
      </c>
      <c r="L127" s="59" t="str">
        <f aca="false">IFERROR(IF([2]对账明细接口!$L$127=0,"",[2]对账明细接口!$L$127),"")</f>
        <v/>
      </c>
      <c r="M127" s="59" t="str">
        <f aca="false">IFERROR(IF([2]对账明细接口!$M$127=0,"",[2]对账明细接口!$M$127),"")</f>
        <v/>
      </c>
      <c r="N127" s="111" t="n">
        <f aca="false">IF($C127="",0,1)</f>
        <v>1</v>
      </c>
      <c r="O127" s="111" t="n">
        <f aca="false">N(O126)+$N127</f>
        <v>124</v>
      </c>
      <c r="S127" s="10" t="str">
        <f aca="false">IFERROR(IF([2]对账明细接口!$N127=0,"",[2]对账明细接口!$N127),"")</f>
        <v>自备一次性筐</v>
      </c>
      <c r="T127" s="112" t="str">
        <f aca="false">IFERROR(IF([2]对账明细接口!$O127=0,"",[2]对账明细接口!$O127),"")</f>
        <v/>
      </c>
      <c r="U127" s="112" t="str">
        <f aca="false">IFERROR(IF([2]对账明细接口!$P127=0,"",[2]对账明细接口!$P127),"")</f>
        <v/>
      </c>
      <c r="V127" s="112" t="n">
        <f aca="false">IFERROR(IF([2]对账明细接口!$Q127=0,"",[2]对账明细接口!$Q127),"")</f>
        <v>243</v>
      </c>
      <c r="W127" s="10" t="str">
        <f aca="false">IFERROR(IF([2]对账明细接口!$R127=0,"",[2]对账明细接口!$R127),"")</f>
        <v>苏M*7G796</v>
      </c>
      <c r="X127" s="10" t="str">
        <f aca="false">IFERROR(IF([2]对账明细接口!$S127=0,"",[2]对账明细接口!$S127),"")</f>
        <v>自备筐</v>
      </c>
      <c r="Y127" s="10" t="str">
        <f aca="false">IFERROR(IF([2]对账明细接口!$T127=0,"",[2]对账明细接口!$T127),"")</f>
        <v/>
      </c>
      <c r="Z127" s="113" t="str">
        <f aca="false">IFERROR(IF([2]对账明细接口!$U127=0,"",[2]对账明细接口!$U127),"")</f>
        <v/>
      </c>
      <c r="AA127" s="113" t="str">
        <f aca="false">IFERROR(IF([2]对账明细接口!$V127=0,"",[2]对账明细接口!$V127),"")</f>
        <v/>
      </c>
      <c r="AB127" s="10" t="str">
        <f aca="false">IFERROR(IF([2]对账明细接口!$W127=0,"",[2]对账明细接口!$W127),"")</f>
        <v/>
      </c>
      <c r="AC127" s="90" t="str">
        <f aca="false">IFERROR(IF([2]对账明细接口!$X128=0,"",[2]对账明细接口!$X128),"")</f>
        <v/>
      </c>
      <c r="AD127" s="90" t="str">
        <f aca="false">IFERROR(IF([2]对账明细接口!$Y128=0,"",[2]对账明细接口!$Y128),"")</f>
        <v/>
      </c>
      <c r="AE127" s="90" t="str">
        <f aca="false">IFERROR(IF([2]对账明细接口!$AA128=0,"",[2]对账明细接口!$AA128),"")</f>
        <v/>
      </c>
      <c r="AF127" s="90" t="str">
        <f aca="false">IFERROR(IF([2]对账明细接口!$AB128=0,"",[2]对账明细接口!$AB128),"")</f>
        <v/>
      </c>
      <c r="AG127" s="90" t="str">
        <f aca="false">IFERROR(IF([2]对账明细接口!$AC128=0,"",[2]对账明细接口!$AC128),"")</f>
        <v/>
      </c>
      <c r="AH127" s="90" t="str">
        <f aca="false">IFERROR(IF([2]对账明细接口!$AD128=0,"",[2]对账明细接口!$AD128),"")</f>
        <v/>
      </c>
    </row>
    <row r="128" customFormat="false" ht="13.5" hidden="false" customHeight="false" outlineLevel="0" collapsed="false">
      <c r="A128" s="109" t="n">
        <v>128</v>
      </c>
      <c r="B128" s="110" t="n">
        <f aca="false">IFERROR(IF([2]对账明细接口!$B$128=0,"",[2]对账明细接口!$B$128),"")</f>
        <v>46260</v>
      </c>
      <c r="C128" s="59" t="str">
        <f aca="false">IFERROR(IF([2]对账明细接口!$C$128=0,"",[2]对账明细接口!$C$128),"")</f>
        <v>聂新平</v>
      </c>
      <c r="D128" s="59" t="str">
        <f aca="false">IFERROR(IF([2]对账明细接口!$D$128=0,"",[2]对账明细接口!$D$128),"")</f>
        <v>原料入库</v>
      </c>
      <c r="E128" s="59" t="str">
        <f aca="false">IFERROR(IF([2]对账明细接口!$E$128=0,"",[2]对账明细接口!$E$128),"")</f>
        <v>NO:0000731</v>
      </c>
      <c r="F128" s="59" t="str">
        <f aca="false">IFERROR(IF([2]对账明细接口!$F$128=0,"",[2]对账明细接口!$F$128),"")</f>
        <v>西梅</v>
      </c>
      <c r="G128" s="59" t="str">
        <f aca="false">IFERROR(IF([2]对账明细接口!$G$128=0,"",[2]对账明细接口!$G$128),"")</f>
        <v>西梅一级</v>
      </c>
      <c r="H128" s="60" t="n">
        <f aca="false">IFERROR(IF([2]对账明细接口!$H$128=0,"",[2]对账明细接口!$H$128),"")</f>
        <v>101</v>
      </c>
      <c r="I128" s="59" t="str">
        <f aca="false">IFERROR(IF([2]对账明细接口!$I$128=0,"",[2]对账明细接口!$I$128),"")</f>
        <v>筐</v>
      </c>
      <c r="J128" s="61" t="n">
        <f aca="false">IFERROR(IF([2]对账明细接口!$J$128=0,"",[2]对账明细接口!$J$128),"")</f>
        <v>707</v>
      </c>
      <c r="K128" s="61" t="str">
        <f aca="false">IFERROR(IF([2]对账明细接口!$K$128=0,"",[2]对账明细接口!$K$128),"")</f>
        <v/>
      </c>
      <c r="L128" s="59" t="str">
        <f aca="false">IFERROR(IF([2]对账明细接口!$L$128=0,"",[2]对账明细接口!$L$128),"")</f>
        <v/>
      </c>
      <c r="M128" s="59" t="str">
        <f aca="false">IFERROR(IF([2]对账明细接口!$M$128=0,"",[2]对账明细接口!$M$128),"")</f>
        <v/>
      </c>
      <c r="N128" s="111" t="n">
        <f aca="false">IF($C128="",0,1)</f>
        <v>1</v>
      </c>
      <c r="O128" s="111" t="n">
        <f aca="false">N(O127)+$N128</f>
        <v>125</v>
      </c>
      <c r="S128" s="10" t="str">
        <f aca="false">IFERROR(IF([2]对账明细接口!$N128=0,"",[2]对账明细接口!$N128),"")</f>
        <v>自备一次性筐</v>
      </c>
      <c r="T128" s="112" t="str">
        <f aca="false">IFERROR(IF([2]对账明细接口!$O128=0,"",[2]对账明细接口!$O128),"")</f>
        <v/>
      </c>
      <c r="U128" s="112" t="str">
        <f aca="false">IFERROR(IF([2]对账明细接口!$P128=0,"",[2]对账明细接口!$P128),"")</f>
        <v/>
      </c>
      <c r="V128" s="112" t="n">
        <f aca="false">IFERROR(IF([2]对账明细接口!$Q128=0,"",[2]对账明细接口!$Q128),"")</f>
        <v>101</v>
      </c>
      <c r="W128" s="10" t="str">
        <f aca="false">IFERROR(IF([2]对账明细接口!$R128=0,"",[2]对账明细接口!$R128),"")</f>
        <v>苏M*7G796</v>
      </c>
      <c r="X128" s="10" t="str">
        <f aca="false">IFERROR(IF([2]对账明细接口!$S128=0,"",[2]对账明细接口!$S128),"")</f>
        <v>自备筐</v>
      </c>
      <c r="Y128" s="10" t="str">
        <f aca="false">IFERROR(IF([2]对账明细接口!$T128=0,"",[2]对账明细接口!$T128),"")</f>
        <v/>
      </c>
      <c r="Z128" s="113" t="str">
        <f aca="false">IFERROR(IF([2]对账明细接口!$U128=0,"",[2]对账明细接口!$U128),"")</f>
        <v/>
      </c>
      <c r="AA128" s="113" t="str">
        <f aca="false">IFERROR(IF([2]对账明细接口!$V128=0,"",[2]对账明细接口!$V128),"")</f>
        <v/>
      </c>
      <c r="AB128" s="10" t="str">
        <f aca="false">IFERROR(IF([2]对账明细接口!$W128=0,"",[2]对账明细接口!$W128),"")</f>
        <v/>
      </c>
      <c r="AC128" s="90" t="str">
        <f aca="false">IFERROR(IF([2]对账明细接口!$X129=0,"",[2]对账明细接口!$X129),"")</f>
        <v/>
      </c>
      <c r="AD128" s="90" t="str">
        <f aca="false">IFERROR(IF([2]对账明细接口!$Y129=0,"",[2]对账明细接口!$Y129),"")</f>
        <v/>
      </c>
      <c r="AE128" s="90" t="str">
        <f aca="false">IFERROR(IF([2]对账明细接口!$AA129=0,"",[2]对账明细接口!$AA129),"")</f>
        <v/>
      </c>
      <c r="AF128" s="90" t="str">
        <f aca="false">IFERROR(IF([2]对账明细接口!$AB129=0,"",[2]对账明细接口!$AB129),"")</f>
        <v/>
      </c>
      <c r="AG128" s="90" t="str">
        <f aca="false">IFERROR(IF([2]对账明细接口!$AC129=0,"",[2]对账明细接口!$AC129),"")</f>
        <v/>
      </c>
      <c r="AH128" s="90" t="str">
        <f aca="false">IFERROR(IF([2]对账明细接口!$AD129=0,"",[2]对账明细接口!$AD129),"")</f>
        <v/>
      </c>
    </row>
    <row r="129" customFormat="false" ht="13.5" hidden="false" customHeight="false" outlineLevel="0" collapsed="false">
      <c r="A129" s="109" t="n">
        <v>129</v>
      </c>
      <c r="B129" s="110" t="n">
        <f aca="false">IFERROR(IF([2]对账明细接口!$B$129=0,"",[2]对账明细接口!$B$129),"")</f>
        <v>46260</v>
      </c>
      <c r="C129" s="59" t="str">
        <f aca="false">IFERROR(IF([2]对账明细接口!$C$129=0,"",[2]对账明细接口!$C$129),"")</f>
        <v>聂新平</v>
      </c>
      <c r="D129" s="59" t="str">
        <f aca="false">IFERROR(IF([2]对账明细接口!$D$129=0,"",[2]对账明细接口!$D$129),"")</f>
        <v>原料入库</v>
      </c>
      <c r="E129" s="59" t="str">
        <f aca="false">IFERROR(IF([2]对账明细接口!$E$129=0,"",[2]对账明细接口!$E$129),"")</f>
        <v>NO:0000731</v>
      </c>
      <c r="F129" s="59" t="str">
        <f aca="false">IFERROR(IF([2]对账明细接口!$F$129=0,"",[2]对账明细接口!$F$129),"")</f>
        <v>西梅</v>
      </c>
      <c r="G129" s="59" t="str">
        <f aca="false">IFERROR(IF([2]对账明细接口!$G$129=0,"",[2]对账明细接口!$G$129),"")</f>
        <v>西梅二级</v>
      </c>
      <c r="H129" s="60" t="n">
        <f aca="false">IFERROR(IF([2]对账明细接口!$H$129=0,"",[2]对账明细接口!$H$129),"")</f>
        <v>24</v>
      </c>
      <c r="I129" s="59" t="str">
        <f aca="false">IFERROR(IF([2]对账明细接口!$I$129=0,"",[2]对账明细接口!$I$129),"")</f>
        <v>筐</v>
      </c>
      <c r="J129" s="61" t="n">
        <f aca="false">IFERROR(IF([2]对账明细接口!$J$129=0,"",[2]对账明细接口!$J$129),"")</f>
        <v>288</v>
      </c>
      <c r="K129" s="61" t="str">
        <f aca="false">IFERROR(IF([2]对账明细接口!$K$129=0,"",[2]对账明细接口!$K$129),"")</f>
        <v/>
      </c>
      <c r="L129" s="59" t="str">
        <f aca="false">IFERROR(IF([2]对账明细接口!$L$129=0,"",[2]对账明细接口!$L$129),"")</f>
        <v/>
      </c>
      <c r="M129" s="59" t="str">
        <f aca="false">IFERROR(IF([2]对账明细接口!$M$129=0,"",[2]对账明细接口!$M$129),"")</f>
        <v/>
      </c>
      <c r="N129" s="111" t="n">
        <f aca="false">IF($C129="",0,1)</f>
        <v>1</v>
      </c>
      <c r="O129" s="111" t="n">
        <f aca="false">N(O128)+$N129</f>
        <v>126</v>
      </c>
      <c r="S129" s="10" t="str">
        <f aca="false">IFERROR(IF([2]对账明细接口!$N129=0,"",[2]对账明细接口!$N129),"")</f>
        <v>自备一次性筐</v>
      </c>
      <c r="T129" s="112" t="str">
        <f aca="false">IFERROR(IF([2]对账明细接口!$O129=0,"",[2]对账明细接口!$O129),"")</f>
        <v/>
      </c>
      <c r="U129" s="112" t="str">
        <f aca="false">IFERROR(IF([2]对账明细接口!$P129=0,"",[2]对账明细接口!$P129),"")</f>
        <v/>
      </c>
      <c r="V129" s="112" t="n">
        <f aca="false">IFERROR(IF([2]对账明细接口!$Q129=0,"",[2]对账明细接口!$Q129),"")</f>
        <v>24</v>
      </c>
      <c r="W129" s="10" t="str">
        <f aca="false">IFERROR(IF([2]对账明细接口!$R129=0,"",[2]对账明细接口!$R129),"")</f>
        <v>苏M*7G796</v>
      </c>
      <c r="X129" s="10" t="str">
        <f aca="false">IFERROR(IF([2]对账明细接口!$S129=0,"",[2]对账明细接口!$S129),"")</f>
        <v>自备筐</v>
      </c>
      <c r="Y129" s="10" t="str">
        <f aca="false">IFERROR(IF([2]对账明细接口!$T129=0,"",[2]对账明细接口!$T129),"")</f>
        <v/>
      </c>
      <c r="Z129" s="113" t="str">
        <f aca="false">IFERROR(IF([2]对账明细接口!$U129=0,"",[2]对账明细接口!$U129),"")</f>
        <v/>
      </c>
      <c r="AA129" s="113" t="str">
        <f aca="false">IFERROR(IF([2]对账明细接口!$V129=0,"",[2]对账明细接口!$V129),"")</f>
        <v/>
      </c>
      <c r="AB129" s="10" t="str">
        <f aca="false">IFERROR(IF([2]对账明细接口!$W129=0,"",[2]对账明细接口!$W129),"")</f>
        <v/>
      </c>
      <c r="AC129" s="90" t="str">
        <f aca="false">IFERROR(IF([2]对账明细接口!$X130=0,"",[2]对账明细接口!$X130),"")</f>
        <v/>
      </c>
      <c r="AD129" s="90" t="str">
        <f aca="false">IFERROR(IF([2]对账明细接口!$Y130=0,"",[2]对账明细接口!$Y130),"")</f>
        <v/>
      </c>
      <c r="AE129" s="90" t="str">
        <f aca="false">IFERROR(IF([2]对账明细接口!$AA130=0,"",[2]对账明细接口!$AA130),"")</f>
        <v/>
      </c>
      <c r="AF129" s="90" t="str">
        <f aca="false">IFERROR(IF([2]对账明细接口!$AB130=0,"",[2]对账明细接口!$AB130),"")</f>
        <v/>
      </c>
      <c r="AG129" s="90" t="str">
        <f aca="false">IFERROR(IF([2]对账明细接口!$AC130=0,"",[2]对账明细接口!$AC130),"")</f>
        <v/>
      </c>
      <c r="AH129" s="90" t="str">
        <f aca="false">IFERROR(IF([2]对账明细接口!$AD130=0,"",[2]对账明细接口!$AD130),"")</f>
        <v/>
      </c>
    </row>
    <row r="130" customFormat="false" ht="13.5" hidden="false" customHeight="false" outlineLevel="0" collapsed="false">
      <c r="A130" s="109" t="n">
        <v>130</v>
      </c>
      <c r="B130" s="110" t="n">
        <f aca="false">IFERROR(IF([2]对账明细接口!$B$130=0,"",[2]对账明细接口!$B$130),"")</f>
        <v>46260</v>
      </c>
      <c r="C130" s="59" t="str">
        <f aca="false">IFERROR(IF([2]对账明细接口!$C$130=0,"",[2]对账明细接口!$C$130),"")</f>
        <v>聂新平</v>
      </c>
      <c r="D130" s="59" t="str">
        <f aca="false">IFERROR(IF([2]对账明细接口!$D$130=0,"",[2]对账明细接口!$D$130),"")</f>
        <v>原料入库</v>
      </c>
      <c r="E130" s="59" t="str">
        <f aca="false">IFERROR(IF([2]对账明细接口!$E$130=0,"",[2]对账明细接口!$E$130),"")</f>
        <v>NO:0000731</v>
      </c>
      <c r="F130" s="59" t="str">
        <f aca="false">IFERROR(IF([2]对账明细接口!$F$130=0,"",[2]对账明细接口!$F$130),"")</f>
        <v>西梅</v>
      </c>
      <c r="G130" s="59" t="str">
        <f aca="false">IFERROR(IF([2]对账明细接口!$G$130=0,"",[2]对账明细接口!$G$130),"")</f>
        <v>西梅二级</v>
      </c>
      <c r="H130" s="60" t="n">
        <f aca="false">IFERROR(IF([2]对账明细接口!$H$130=0,"",[2]对账明细接口!$H$130),"")</f>
        <v>60</v>
      </c>
      <c r="I130" s="59" t="str">
        <f aca="false">IFERROR(IF([2]对账明细接口!$I$130=0,"",[2]对账明细接口!$I$130),"")</f>
        <v>筐</v>
      </c>
      <c r="J130" s="61" t="n">
        <f aca="false">IFERROR(IF([2]对账明细接口!$J$130=0,"",[2]对账明细接口!$J$130),"")</f>
        <v>120</v>
      </c>
      <c r="K130" s="61" t="str">
        <f aca="false">IFERROR(IF([2]对账明细接口!$K$130=0,"",[2]对账明细接口!$K$130),"")</f>
        <v/>
      </c>
      <c r="L130" s="59" t="str">
        <f aca="false">IFERROR(IF([2]对账明细接口!$L$130=0,"",[2]对账明细接口!$L$130),"")</f>
        <v/>
      </c>
      <c r="M130" s="59" t="str">
        <f aca="false">IFERROR(IF([2]对账明细接口!$M$130=0,"",[2]对账明细接口!$M$130),"")</f>
        <v/>
      </c>
      <c r="N130" s="111" t="n">
        <f aca="false">IF($C130="",0,1)</f>
        <v>1</v>
      </c>
      <c r="O130" s="111" t="n">
        <f aca="false">N(O129)+$N130</f>
        <v>127</v>
      </c>
      <c r="S130" s="10" t="str">
        <f aca="false">IFERROR(IF([2]对账明细接口!$N130=0,"",[2]对账明细接口!$N130),"")</f>
        <v>自备一次性筐</v>
      </c>
      <c r="T130" s="112" t="str">
        <f aca="false">IFERROR(IF([2]对账明细接口!$O130=0,"",[2]对账明细接口!$O130),"")</f>
        <v/>
      </c>
      <c r="U130" s="112" t="str">
        <f aca="false">IFERROR(IF([2]对账明细接口!$P130=0,"",[2]对账明细接口!$P130),"")</f>
        <v/>
      </c>
      <c r="V130" s="112" t="n">
        <f aca="false">IFERROR(IF([2]对账明细接口!$Q130=0,"",[2]对账明细接口!$Q130),"")</f>
        <v>60</v>
      </c>
      <c r="W130" s="10" t="str">
        <f aca="false">IFERROR(IF([2]对账明细接口!$R130=0,"",[2]对账明细接口!$R130),"")</f>
        <v>苏M*7G796</v>
      </c>
      <c r="X130" s="10" t="str">
        <f aca="false">IFERROR(IF([2]对账明细接口!$S130=0,"",[2]对账明细接口!$S130),"")</f>
        <v>自备筐</v>
      </c>
      <c r="Y130" s="10" t="str">
        <f aca="false">IFERROR(IF([2]对账明细接口!$T130=0,"",[2]对账明细接口!$T130),"")</f>
        <v/>
      </c>
      <c r="Z130" s="113" t="str">
        <f aca="false">IFERROR(IF([2]对账明细接口!$U130=0,"",[2]对账明细接口!$U130),"")</f>
        <v/>
      </c>
      <c r="AA130" s="113" t="str">
        <f aca="false">IFERROR(IF([2]对账明细接口!$V130=0,"",[2]对账明细接口!$V130),"")</f>
        <v/>
      </c>
      <c r="AB130" s="10" t="str">
        <f aca="false">IFERROR(IF([2]对账明细接口!$W130=0,"",[2]对账明细接口!$W130),"")</f>
        <v/>
      </c>
      <c r="AC130" s="90" t="str">
        <f aca="false">IFERROR(IF([2]对账明细接口!$X131=0,"",[2]对账明细接口!$X131),"")</f>
        <v/>
      </c>
      <c r="AD130" s="90" t="str">
        <f aca="false">IFERROR(IF([2]对账明细接口!$Y131=0,"",[2]对账明细接口!$Y131),"")</f>
        <v/>
      </c>
      <c r="AE130" s="90" t="str">
        <f aca="false">IFERROR(IF([2]对账明细接口!$AA131=0,"",[2]对账明细接口!$AA131),"")</f>
        <v/>
      </c>
      <c r="AF130" s="90" t="str">
        <f aca="false">IFERROR(IF([2]对账明细接口!$AB131=0,"",[2]对账明细接口!$AB131),"")</f>
        <v/>
      </c>
      <c r="AG130" s="90" t="str">
        <f aca="false">IFERROR(IF([2]对账明细接口!$AC131=0,"",[2]对账明细接口!$AC131),"")</f>
        <v/>
      </c>
      <c r="AH130" s="90" t="str">
        <f aca="false">IFERROR(IF([2]对账明细接口!$AD131=0,"",[2]对账明细接口!$AD131),"")</f>
        <v/>
      </c>
    </row>
    <row r="131" customFormat="false" ht="13.5" hidden="false" customHeight="false" outlineLevel="0" collapsed="false">
      <c r="A131" s="109" t="n">
        <v>131</v>
      </c>
      <c r="B131" s="110" t="n">
        <f aca="false">IFERROR(IF([2]对账明细接口!$B$131=0,"",[2]对账明细接口!$B$131),"")</f>
        <v>46260</v>
      </c>
      <c r="C131" s="59" t="str">
        <f aca="false">IFERROR(IF([2]对账明细接口!$C$131=0,"",[2]对账明细接口!$C$131),"")</f>
        <v>聂新平</v>
      </c>
      <c r="D131" s="59" t="str">
        <f aca="false">IFERROR(IF([2]对账明细接口!$D$131=0,"",[2]对账明细接口!$D$131),"")</f>
        <v>原料入库</v>
      </c>
      <c r="E131" s="59" t="str">
        <f aca="false">IFERROR(IF([2]对账明细接口!$E$131=0,"",[2]对账明细接口!$E$131),"")</f>
        <v>NO:0000733</v>
      </c>
      <c r="F131" s="59" t="str">
        <f aca="false">IFERROR(IF([2]对账明细接口!$F$131=0,"",[2]对账明细接口!$F$131),"")</f>
        <v>西梅</v>
      </c>
      <c r="G131" s="59" t="str">
        <f aca="false">IFERROR(IF([2]对账明细接口!$G$131=0,"",[2]对账明细接口!$G$131),"")</f>
        <v>西梅一级</v>
      </c>
      <c r="H131" s="60" t="n">
        <f aca="false">IFERROR(IF([2]对账明细接口!$H$131=0,"",[2]对账明细接口!$H$131),"")</f>
        <v>86</v>
      </c>
      <c r="I131" s="59" t="str">
        <f aca="false">IFERROR(IF([2]对账明细接口!$I$131=0,"",[2]对账明细接口!$I$131),"")</f>
        <v>筐</v>
      </c>
      <c r="J131" s="61" t="n">
        <f aca="false">IFERROR(IF([2]对账明细接口!$J$131=0,"",[2]对账明细接口!$J$131),"")</f>
        <v>602</v>
      </c>
      <c r="K131" s="61" t="str">
        <f aca="false">IFERROR(IF([2]对账明细接口!$K$131=0,"",[2]对账明细接口!$K$131),"")</f>
        <v/>
      </c>
      <c r="L131" s="59" t="str">
        <f aca="false">IFERROR(IF([2]对账明细接口!$L$131=0,"",[2]对账明细接口!$L$131),"")</f>
        <v/>
      </c>
      <c r="M131" s="59" t="str">
        <f aca="false">IFERROR(IF([2]对账明细接口!$M$131=0,"",[2]对账明细接口!$M$131),"")</f>
        <v/>
      </c>
      <c r="N131" s="111" t="n">
        <f aca="false">IF($C131="",0,1)</f>
        <v>1</v>
      </c>
      <c r="O131" s="111" t="n">
        <f aca="false">N(O130)+$N131</f>
        <v>128</v>
      </c>
      <c r="S131" s="10" t="str">
        <f aca="false">IFERROR(IF([2]对账明细接口!$N131=0,"",[2]对账明细接口!$N131),"")</f>
        <v>自备一次性筐</v>
      </c>
      <c r="T131" s="112" t="str">
        <f aca="false">IFERROR(IF([2]对账明细接口!$O131=0,"",[2]对账明细接口!$O131),"")</f>
        <v/>
      </c>
      <c r="U131" s="112" t="str">
        <f aca="false">IFERROR(IF([2]对账明细接口!$P131=0,"",[2]对账明细接口!$P131),"")</f>
        <v/>
      </c>
      <c r="V131" s="112" t="n">
        <f aca="false">IFERROR(IF([2]对账明细接口!$Q131=0,"",[2]对账明细接口!$Q131),"")</f>
        <v>86</v>
      </c>
      <c r="W131" s="10" t="str">
        <f aca="false">IFERROR(IF([2]对账明细接口!$R131=0,"",[2]对账明细接口!$R131),"")</f>
        <v>苏M*7G796</v>
      </c>
      <c r="X131" s="10" t="str">
        <f aca="false">IFERROR(IF([2]对账明细接口!$S131=0,"",[2]对账明细接口!$S131),"")</f>
        <v>自备筐</v>
      </c>
      <c r="Y131" s="10" t="str">
        <f aca="false">IFERROR(IF([2]对账明细接口!$T131=0,"",[2]对账明细接口!$T131),"")</f>
        <v/>
      </c>
      <c r="Z131" s="113" t="str">
        <f aca="false">IFERROR(IF([2]对账明细接口!$U131=0,"",[2]对账明细接口!$U131),"")</f>
        <v/>
      </c>
      <c r="AA131" s="113" t="str">
        <f aca="false">IFERROR(IF([2]对账明细接口!$V131=0,"",[2]对账明细接口!$V131),"")</f>
        <v/>
      </c>
      <c r="AB131" s="10" t="str">
        <f aca="false">IFERROR(IF([2]对账明细接口!$W131=0,"",[2]对账明细接口!$W131),"")</f>
        <v/>
      </c>
      <c r="AC131" s="90" t="str">
        <f aca="false">IFERROR(IF([2]对账明细接口!$X132=0,"",[2]对账明细接口!$X132),"")</f>
        <v/>
      </c>
      <c r="AD131" s="90" t="str">
        <f aca="false">IFERROR(IF([2]对账明细接口!$Y132=0,"",[2]对账明细接口!$Y132),"")</f>
        <v/>
      </c>
      <c r="AE131" s="90" t="str">
        <f aca="false">IFERROR(IF([2]对账明细接口!$AA132=0,"",[2]对账明细接口!$AA132),"")</f>
        <v/>
      </c>
      <c r="AF131" s="90" t="str">
        <f aca="false">IFERROR(IF([2]对账明细接口!$AB132=0,"",[2]对账明细接口!$AB132),"")</f>
        <v/>
      </c>
      <c r="AG131" s="90" t="str">
        <f aca="false">IFERROR(IF([2]对账明细接口!$AC132=0,"",[2]对账明细接口!$AC132),"")</f>
        <v/>
      </c>
      <c r="AH131" s="90" t="str">
        <f aca="false">IFERROR(IF([2]对账明细接口!$AD132=0,"",[2]对账明细接口!$AD132),"")</f>
        <v/>
      </c>
    </row>
    <row r="132" customFormat="false" ht="13.5" hidden="false" customHeight="false" outlineLevel="0" collapsed="false">
      <c r="A132" s="109" t="n">
        <v>132</v>
      </c>
      <c r="B132" s="110" t="n">
        <f aca="false">IFERROR(IF([2]对账明细接口!$B$132=0,"",[2]对账明细接口!$B$132),"")</f>
        <v>46260</v>
      </c>
      <c r="C132" s="59" t="str">
        <f aca="false">IFERROR(IF([2]对账明细接口!$C$132=0,"",[2]对账明细接口!$C$132),"")</f>
        <v>聂新平</v>
      </c>
      <c r="D132" s="59" t="str">
        <f aca="false">IFERROR(IF([2]对账明细接口!$D$132=0,"",[2]对账明细接口!$D$132),"")</f>
        <v>原料入库</v>
      </c>
      <c r="E132" s="59" t="str">
        <f aca="false">IFERROR(IF([2]对账明细接口!$E$132=0,"",[2]对账明细接口!$E$132),"")</f>
        <v>NO:0000733</v>
      </c>
      <c r="F132" s="59" t="str">
        <f aca="false">IFERROR(IF([2]对账明细接口!$F$132=0,"",[2]对账明细接口!$F$132),"")</f>
        <v>西梅</v>
      </c>
      <c r="G132" s="59" t="str">
        <f aca="false">IFERROR(IF([2]对账明细接口!$G$132=0,"",[2]对账明细接口!$G$132),"")</f>
        <v>西梅二级</v>
      </c>
      <c r="H132" s="60" t="n">
        <f aca="false">IFERROR(IF([2]对账明细接口!$H$132=0,"",[2]对账明细接口!$H$132),"")</f>
        <v>54</v>
      </c>
      <c r="I132" s="59" t="str">
        <f aca="false">IFERROR(IF([2]对账明细接口!$I$132=0,"",[2]对账明细接口!$I$132),"")</f>
        <v>筐</v>
      </c>
      <c r="J132" s="61" t="n">
        <f aca="false">IFERROR(IF([2]对账明细接口!$J$132=0,"",[2]对账明细接口!$J$132),"")</f>
        <v>648</v>
      </c>
      <c r="K132" s="61" t="str">
        <f aca="false">IFERROR(IF([2]对账明细接口!$K$132=0,"",[2]对账明细接口!$K$132),"")</f>
        <v/>
      </c>
      <c r="L132" s="59" t="str">
        <f aca="false">IFERROR(IF([2]对账明细接口!$L$132=0,"",[2]对账明细接口!$L$132),"")</f>
        <v/>
      </c>
      <c r="M132" s="59" t="str">
        <f aca="false">IFERROR(IF([2]对账明细接口!$M$132=0,"",[2]对账明细接口!$M$132),"")</f>
        <v/>
      </c>
      <c r="N132" s="111" t="n">
        <f aca="false">IF($C132="",0,1)</f>
        <v>1</v>
      </c>
      <c r="O132" s="111" t="n">
        <f aca="false">N(O131)+$N132</f>
        <v>129</v>
      </c>
      <c r="S132" s="10" t="str">
        <f aca="false">IFERROR(IF([2]对账明细接口!$N132=0,"",[2]对账明细接口!$N132),"")</f>
        <v>自备一次性筐</v>
      </c>
      <c r="T132" s="112" t="str">
        <f aca="false">IFERROR(IF([2]对账明细接口!$O132=0,"",[2]对账明细接口!$O132),"")</f>
        <v/>
      </c>
      <c r="U132" s="112" t="str">
        <f aca="false">IFERROR(IF([2]对账明细接口!$P132=0,"",[2]对账明细接口!$P132),"")</f>
        <v/>
      </c>
      <c r="V132" s="112" t="n">
        <f aca="false">IFERROR(IF([2]对账明细接口!$Q132=0,"",[2]对账明细接口!$Q132),"")</f>
        <v>54</v>
      </c>
      <c r="W132" s="10" t="str">
        <f aca="false">IFERROR(IF([2]对账明细接口!$R132=0,"",[2]对账明细接口!$R132),"")</f>
        <v>苏M*7G796</v>
      </c>
      <c r="X132" s="10" t="str">
        <f aca="false">IFERROR(IF([2]对账明细接口!$S132=0,"",[2]对账明细接口!$S132),"")</f>
        <v>自备筐</v>
      </c>
      <c r="Y132" s="10" t="str">
        <f aca="false">IFERROR(IF([2]对账明细接口!$T132=0,"",[2]对账明细接口!$T132),"")</f>
        <v/>
      </c>
      <c r="Z132" s="113" t="str">
        <f aca="false">IFERROR(IF([2]对账明细接口!$U132=0,"",[2]对账明细接口!$U132),"")</f>
        <v/>
      </c>
      <c r="AA132" s="113" t="str">
        <f aca="false">IFERROR(IF([2]对账明细接口!$V132=0,"",[2]对账明细接口!$V132),"")</f>
        <v/>
      </c>
      <c r="AB132" s="10" t="str">
        <f aca="false">IFERROR(IF([2]对账明细接口!$W132=0,"",[2]对账明细接口!$W132),"")</f>
        <v/>
      </c>
      <c r="AC132" s="90" t="str">
        <f aca="false">IFERROR(IF([2]对账明细接口!$X133=0,"",[2]对账明细接口!$X133),"")</f>
        <v/>
      </c>
      <c r="AD132" s="90" t="str">
        <f aca="false">IFERROR(IF([2]对账明细接口!$Y133=0,"",[2]对账明细接口!$Y133),"")</f>
        <v/>
      </c>
      <c r="AE132" s="90" t="str">
        <f aca="false">IFERROR(IF([2]对账明细接口!$AA133=0,"",[2]对账明细接口!$AA133),"")</f>
        <v/>
      </c>
      <c r="AF132" s="90" t="str">
        <f aca="false">IFERROR(IF([2]对账明细接口!$AB133=0,"",[2]对账明细接口!$AB133),"")</f>
        <v/>
      </c>
      <c r="AG132" s="90" t="str">
        <f aca="false">IFERROR(IF([2]对账明细接口!$AC133=0,"",[2]对账明细接口!$AC133),"")</f>
        <v/>
      </c>
      <c r="AH132" s="90" t="str">
        <f aca="false">IFERROR(IF([2]对账明细接口!$AD133=0,"",[2]对账明细接口!$AD133),"")</f>
        <v/>
      </c>
    </row>
    <row r="133" customFormat="false" ht="13.5" hidden="false" customHeight="false" outlineLevel="0" collapsed="false">
      <c r="A133" s="109" t="n">
        <v>133</v>
      </c>
      <c r="B133" s="110" t="n">
        <f aca="false">IFERROR(IF([2]对账明细接口!$B$133=0,"",[2]对账明细接口!$B$133),"")</f>
        <v>46260</v>
      </c>
      <c r="C133" s="59" t="str">
        <f aca="false">IFERROR(IF([2]对账明细接口!$C$133=0,"",[2]对账明细接口!$C$133),"")</f>
        <v>聂新平</v>
      </c>
      <c r="D133" s="59" t="str">
        <f aca="false">IFERROR(IF([2]对账明细接口!$D$133=0,"",[2]对账明细接口!$D$133),"")</f>
        <v>原料入库</v>
      </c>
      <c r="E133" s="59" t="str">
        <f aca="false">IFERROR(IF([2]对账明细接口!$E$133=0,"",[2]对账明细接口!$E$133),"")</f>
        <v>NO:0000733</v>
      </c>
      <c r="F133" s="59" t="str">
        <f aca="false">IFERROR(IF([2]对账明细接口!$F$133=0,"",[2]对账明细接口!$F$133),"")</f>
        <v>西梅</v>
      </c>
      <c r="G133" s="59" t="str">
        <f aca="false">IFERROR(IF([2]对账明细接口!$G$133=0,"",[2]对账明细接口!$G$133),"")</f>
        <v>西梅三级</v>
      </c>
      <c r="H133" s="60" t="n">
        <f aca="false">IFERROR(IF([2]对账明细接口!$H$133=0,"",[2]对账明细接口!$H$133),"")</f>
        <v>53</v>
      </c>
      <c r="I133" s="59" t="str">
        <f aca="false">IFERROR(IF([2]对账明细接口!$I$133=0,"",[2]对账明细接口!$I$133),"")</f>
        <v>筐</v>
      </c>
      <c r="J133" s="61" t="n">
        <f aca="false">IFERROR(IF([2]对账明细接口!$J$133=0,"",[2]对账明细接口!$J$133),"")</f>
        <v>106</v>
      </c>
      <c r="K133" s="61" t="str">
        <f aca="false">IFERROR(IF([2]对账明细接口!$K$133=0,"",[2]对账明细接口!$K$133),"")</f>
        <v/>
      </c>
      <c r="L133" s="59" t="str">
        <f aca="false">IFERROR(IF([2]对账明细接口!$L$133=0,"",[2]对账明细接口!$L$133),"")</f>
        <v/>
      </c>
      <c r="M133" s="59" t="str">
        <f aca="false">IFERROR(IF([2]对账明细接口!$M$133=0,"",[2]对账明细接口!$M$133),"")</f>
        <v/>
      </c>
      <c r="N133" s="111" t="n">
        <f aca="false">IF($C133="",0,1)</f>
        <v>1</v>
      </c>
      <c r="O133" s="111" t="n">
        <f aca="false">N(O132)+$N133</f>
        <v>130</v>
      </c>
      <c r="S133" s="10" t="str">
        <f aca="false">IFERROR(IF([2]对账明细接口!$N133=0,"",[2]对账明细接口!$N133),"")</f>
        <v>自备一次性筐</v>
      </c>
      <c r="T133" s="112" t="str">
        <f aca="false">IFERROR(IF([2]对账明细接口!$O133=0,"",[2]对账明细接口!$O133),"")</f>
        <v/>
      </c>
      <c r="U133" s="112" t="str">
        <f aca="false">IFERROR(IF([2]对账明细接口!$P133=0,"",[2]对账明细接口!$P133),"")</f>
        <v/>
      </c>
      <c r="V133" s="112" t="n">
        <f aca="false">IFERROR(IF([2]对账明细接口!$Q133=0,"",[2]对账明细接口!$Q133),"")</f>
        <v>53</v>
      </c>
      <c r="W133" s="10" t="str">
        <f aca="false">IFERROR(IF([2]对账明细接口!$R133=0,"",[2]对账明细接口!$R133),"")</f>
        <v>苏M*7G796</v>
      </c>
      <c r="X133" s="10" t="str">
        <f aca="false">IFERROR(IF([2]对账明细接口!$S133=0,"",[2]对账明细接口!$S133),"")</f>
        <v>自备筐</v>
      </c>
      <c r="Y133" s="10" t="str">
        <f aca="false">IFERROR(IF([2]对账明细接口!$T133=0,"",[2]对账明细接口!$T133),"")</f>
        <v/>
      </c>
      <c r="Z133" s="113" t="str">
        <f aca="false">IFERROR(IF([2]对账明细接口!$U133=0,"",[2]对账明细接口!$U133),"")</f>
        <v/>
      </c>
      <c r="AA133" s="113" t="str">
        <f aca="false">IFERROR(IF([2]对账明细接口!$V133=0,"",[2]对账明细接口!$V133),"")</f>
        <v/>
      </c>
      <c r="AB133" s="10" t="str">
        <f aca="false">IFERROR(IF([2]对账明细接口!$W133=0,"",[2]对账明细接口!$W133),"")</f>
        <v/>
      </c>
      <c r="AC133" s="90" t="str">
        <f aca="false">IFERROR(IF([2]对账明细接口!$X134=0,"",[2]对账明细接口!$X134),"")</f>
        <v/>
      </c>
      <c r="AD133" s="90" t="str">
        <f aca="false">IFERROR(IF([2]对账明细接口!$Y134=0,"",[2]对账明细接口!$Y134),"")</f>
        <v/>
      </c>
      <c r="AE133" s="90" t="str">
        <f aca="false">IFERROR(IF([2]对账明细接口!$AA134=0,"",[2]对账明细接口!$AA134),"")</f>
        <v/>
      </c>
      <c r="AF133" s="90" t="str">
        <f aca="false">IFERROR(IF([2]对账明细接口!$AB134=0,"",[2]对账明细接口!$AB134),"")</f>
        <v/>
      </c>
      <c r="AG133" s="90" t="str">
        <f aca="false">IFERROR(IF([2]对账明细接口!$AC134=0,"",[2]对账明细接口!$AC134),"")</f>
        <v/>
      </c>
      <c r="AH133" s="90" t="str">
        <f aca="false">IFERROR(IF([2]对账明细接口!$AD134=0,"",[2]对账明细接口!$AD134),"")</f>
        <v/>
      </c>
    </row>
    <row r="134" customFormat="false" ht="13.5" hidden="false" customHeight="false" outlineLevel="0" collapsed="false">
      <c r="A134" s="109" t="n">
        <v>134</v>
      </c>
      <c r="B134" s="110" t="n">
        <f aca="false">IFERROR(IF([2]对账明细接口!$B$134=0,"",[2]对账明细接口!$B$134),"")</f>
        <v>46260</v>
      </c>
      <c r="C134" s="59" t="str">
        <f aca="false">IFERROR(IF([2]对账明细接口!$C$134=0,"",[2]对账明细接口!$C$134),"")</f>
        <v>聂新平</v>
      </c>
      <c r="D134" s="59" t="str">
        <f aca="false">IFERROR(IF([2]对账明细接口!$D$134=0,"",[2]对账明细接口!$D$134),"")</f>
        <v>原料入库</v>
      </c>
      <c r="E134" s="59" t="str">
        <f aca="false">IFERROR(IF([2]对账明细接口!$E$134=0,"",[2]对账明细接口!$E$134),"")</f>
        <v>NO:0000734</v>
      </c>
      <c r="F134" s="59" t="str">
        <f aca="false">IFERROR(IF([2]对账明细接口!$F$134=0,"",[2]对账明细接口!$F$134),"")</f>
        <v>西梅</v>
      </c>
      <c r="G134" s="59" t="str">
        <f aca="false">IFERROR(IF([2]对账明细接口!$G$134=0,"",[2]对账明细接口!$G$134),"")</f>
        <v>西梅二级</v>
      </c>
      <c r="H134" s="60" t="n">
        <f aca="false">IFERROR(IF([2]对账明细接口!$H$134=0,"",[2]对账明细接口!$H$134),"")</f>
        <v>21</v>
      </c>
      <c r="I134" s="59" t="str">
        <f aca="false">IFERROR(IF([2]对账明细接口!$I$134=0,"",[2]对账明细接口!$I$134),"")</f>
        <v>筐</v>
      </c>
      <c r="J134" s="61" t="n">
        <f aca="false">IFERROR(IF([2]对账明细接口!$J$134=0,"",[2]对账明细接口!$J$134),"")</f>
        <v>252</v>
      </c>
      <c r="K134" s="61" t="str">
        <f aca="false">IFERROR(IF([2]对账明细接口!$K$134=0,"",[2]对账明细接口!$K$134),"")</f>
        <v/>
      </c>
      <c r="L134" s="59" t="str">
        <f aca="false">IFERROR(IF([2]对账明细接口!$L$134=0,"",[2]对账明细接口!$L$134),"")</f>
        <v/>
      </c>
      <c r="M134" s="59" t="str">
        <f aca="false">IFERROR(IF([2]对账明细接口!$M$134=0,"",[2]对账明细接口!$M$134),"")</f>
        <v/>
      </c>
      <c r="N134" s="111" t="n">
        <f aca="false">IF($C134="",0,1)</f>
        <v>1</v>
      </c>
      <c r="O134" s="111" t="n">
        <f aca="false">N(O133)+$N134</f>
        <v>131</v>
      </c>
      <c r="S134" s="10" t="str">
        <f aca="false">IFERROR(IF([2]对账明细接口!$N134=0,"",[2]对账明细接口!$N134),"")</f>
        <v>自备一次性筐</v>
      </c>
      <c r="T134" s="112" t="str">
        <f aca="false">IFERROR(IF([2]对账明细接口!$O134=0,"",[2]对账明细接口!$O134),"")</f>
        <v/>
      </c>
      <c r="U134" s="112" t="str">
        <f aca="false">IFERROR(IF([2]对账明细接口!$P134=0,"",[2]对账明细接口!$P134),"")</f>
        <v/>
      </c>
      <c r="V134" s="112" t="n">
        <f aca="false">IFERROR(IF([2]对账明细接口!$Q134=0,"",[2]对账明细接口!$Q134),"")</f>
        <v>21</v>
      </c>
      <c r="W134" s="10" t="str">
        <f aca="false">IFERROR(IF([2]对账明细接口!$R134=0,"",[2]对账明细接口!$R134),"")</f>
        <v>苏M*7G796</v>
      </c>
      <c r="X134" s="10" t="str">
        <f aca="false">IFERROR(IF([2]对账明细接口!$S134=0,"",[2]对账明细接口!$S134),"")</f>
        <v>自备筐</v>
      </c>
      <c r="Y134" s="10" t="str">
        <f aca="false">IFERROR(IF([2]对账明细接口!$T134=0,"",[2]对账明细接口!$T134),"")</f>
        <v/>
      </c>
      <c r="Z134" s="113" t="str">
        <f aca="false">IFERROR(IF([2]对账明细接口!$U134=0,"",[2]对账明细接口!$U134),"")</f>
        <v/>
      </c>
      <c r="AA134" s="113" t="str">
        <f aca="false">IFERROR(IF([2]对账明细接口!$V134=0,"",[2]对账明细接口!$V134),"")</f>
        <v/>
      </c>
      <c r="AB134" s="10" t="str">
        <f aca="false">IFERROR(IF([2]对账明细接口!$W134=0,"",[2]对账明细接口!$W134),"")</f>
        <v/>
      </c>
      <c r="AC134" s="90" t="str">
        <f aca="false">IFERROR(IF([2]对账明细接口!$X135=0,"",[2]对账明细接口!$X135),"")</f>
        <v/>
      </c>
      <c r="AD134" s="90" t="str">
        <f aca="false">IFERROR(IF([2]对账明细接口!$Y135=0,"",[2]对账明细接口!$Y135),"")</f>
        <v/>
      </c>
      <c r="AE134" s="90" t="str">
        <f aca="false">IFERROR(IF([2]对账明细接口!$AA135=0,"",[2]对账明细接口!$AA135),"")</f>
        <v/>
      </c>
      <c r="AF134" s="90" t="str">
        <f aca="false">IFERROR(IF([2]对账明细接口!$AB135=0,"",[2]对账明细接口!$AB135),"")</f>
        <v/>
      </c>
      <c r="AG134" s="90" t="str">
        <f aca="false">IFERROR(IF([2]对账明细接口!$AC135=0,"",[2]对账明细接口!$AC135),"")</f>
        <v/>
      </c>
      <c r="AH134" s="90" t="str">
        <f aca="false">IFERROR(IF([2]对账明细接口!$AD135=0,"",[2]对账明细接口!$AD135),"")</f>
        <v/>
      </c>
    </row>
    <row r="135" customFormat="false" ht="13.5" hidden="false" customHeight="false" outlineLevel="0" collapsed="false">
      <c r="A135" s="109" t="n">
        <v>135</v>
      </c>
      <c r="B135" s="110" t="n">
        <f aca="false">IFERROR(IF([2]对账明细接口!$B$135=0,"",[2]对账明细接口!$B$135),"")</f>
        <v>46260</v>
      </c>
      <c r="C135" s="59" t="str">
        <f aca="false">IFERROR(IF([2]对账明细接口!$C$135=0,"",[2]对账明细接口!$C$135),"")</f>
        <v>聂新平</v>
      </c>
      <c r="D135" s="59" t="str">
        <f aca="false">IFERROR(IF([2]对账明细接口!$D$135=0,"",[2]对账明细接口!$D$135),"")</f>
        <v>原料入库</v>
      </c>
      <c r="E135" s="59" t="str">
        <f aca="false">IFERROR(IF([2]对账明细接口!$E$135=0,"",[2]对账明细接口!$E$135),"")</f>
        <v>NO:0000734</v>
      </c>
      <c r="F135" s="59" t="str">
        <f aca="false">IFERROR(IF([2]对账明细接口!$F$135=0,"",[2]对账明细接口!$F$135),"")</f>
        <v>西梅</v>
      </c>
      <c r="G135" s="59" t="str">
        <f aca="false">IFERROR(IF([2]对账明细接口!$G$135=0,"",[2]对账明细接口!$G$135),"")</f>
        <v>西梅二级</v>
      </c>
      <c r="H135" s="60" t="n">
        <f aca="false">IFERROR(IF([2]对账明细接口!$H$135=0,"",[2]对账明细接口!$H$135),"")</f>
        <v>216</v>
      </c>
      <c r="I135" s="59" t="str">
        <f aca="false">IFERROR(IF([2]对账明细接口!$I$135=0,"",[2]对账明细接口!$I$135),"")</f>
        <v>筐</v>
      </c>
      <c r="J135" s="61" t="n">
        <f aca="false">IFERROR(IF([2]对账明细接口!$J$135=0,"",[2]对账明细接口!$J$135),"")</f>
        <v>432</v>
      </c>
      <c r="K135" s="61" t="str">
        <f aca="false">IFERROR(IF([2]对账明细接口!$K$135=0,"",[2]对账明细接口!$K$135),"")</f>
        <v/>
      </c>
      <c r="L135" s="59" t="str">
        <f aca="false">IFERROR(IF([2]对账明细接口!$L$135=0,"",[2]对账明细接口!$L$135),"")</f>
        <v/>
      </c>
      <c r="M135" s="59" t="str">
        <f aca="false">IFERROR(IF([2]对账明细接口!$M$135=0,"",[2]对账明细接口!$M$135),"")</f>
        <v/>
      </c>
      <c r="N135" s="111" t="n">
        <f aca="false">IF($C135="",0,1)</f>
        <v>1</v>
      </c>
      <c r="O135" s="111" t="n">
        <f aca="false">N(O134)+$N135</f>
        <v>132</v>
      </c>
      <c r="S135" s="10" t="str">
        <f aca="false">IFERROR(IF([2]对账明细接口!$N135=0,"",[2]对账明细接口!$N135),"")</f>
        <v>自备一次性筐</v>
      </c>
      <c r="T135" s="112" t="str">
        <f aca="false">IFERROR(IF([2]对账明细接口!$O135=0,"",[2]对账明细接口!$O135),"")</f>
        <v/>
      </c>
      <c r="U135" s="112" t="str">
        <f aca="false">IFERROR(IF([2]对账明细接口!$P135=0,"",[2]对账明细接口!$P135),"")</f>
        <v/>
      </c>
      <c r="V135" s="112" t="n">
        <f aca="false">IFERROR(IF([2]对账明细接口!$Q135=0,"",[2]对账明细接口!$Q135),"")</f>
        <v>216</v>
      </c>
      <c r="W135" s="10" t="str">
        <f aca="false">IFERROR(IF([2]对账明细接口!$R135=0,"",[2]对账明细接口!$R135),"")</f>
        <v>苏M*7G796</v>
      </c>
      <c r="X135" s="10" t="str">
        <f aca="false">IFERROR(IF([2]对账明细接口!$S135=0,"",[2]对账明细接口!$S135),"")</f>
        <v>自备筐</v>
      </c>
      <c r="Y135" s="10" t="str">
        <f aca="false">IFERROR(IF([2]对账明细接口!$T135=0,"",[2]对账明细接口!$T135),"")</f>
        <v/>
      </c>
      <c r="Z135" s="113" t="str">
        <f aca="false">IFERROR(IF([2]对账明细接口!$U135=0,"",[2]对账明细接口!$U135),"")</f>
        <v/>
      </c>
      <c r="AA135" s="113" t="str">
        <f aca="false">IFERROR(IF([2]对账明细接口!$V135=0,"",[2]对账明细接口!$V135),"")</f>
        <v/>
      </c>
      <c r="AB135" s="10" t="str">
        <f aca="false">IFERROR(IF([2]对账明细接口!$W135=0,"",[2]对账明细接口!$W135),"")</f>
        <v/>
      </c>
      <c r="AC135" s="90" t="str">
        <f aca="false">IFERROR(IF([2]对账明细接口!$X136=0,"",[2]对账明细接口!$X136),"")</f>
        <v/>
      </c>
      <c r="AD135" s="90" t="str">
        <f aca="false">IFERROR(IF([2]对账明细接口!$Y136=0,"",[2]对账明细接口!$Y136),"")</f>
        <v/>
      </c>
      <c r="AE135" s="90" t="str">
        <f aca="false">IFERROR(IF([2]对账明细接口!$AA136=0,"",[2]对账明细接口!$AA136),"")</f>
        <v/>
      </c>
      <c r="AF135" s="90" t="str">
        <f aca="false">IFERROR(IF([2]对账明细接口!$AB136=0,"",[2]对账明细接口!$AB136),"")</f>
        <v/>
      </c>
      <c r="AG135" s="90" t="str">
        <f aca="false">IFERROR(IF([2]对账明细接口!$AC136=0,"",[2]对账明细接口!$AC136),"")</f>
        <v/>
      </c>
      <c r="AH135" s="90" t="str">
        <f aca="false">IFERROR(IF([2]对账明细接口!$AD136=0,"",[2]对账明细接口!$AD136),"")</f>
        <v/>
      </c>
    </row>
    <row r="136" customFormat="false" ht="13.5" hidden="false" customHeight="false" outlineLevel="0" collapsed="false">
      <c r="A136" s="109" t="n">
        <v>136</v>
      </c>
      <c r="B136" s="110" t="n">
        <f aca="false">IFERROR(IF([2]对账明细接口!$B$136=0,"",[2]对账明细接口!$B$136),"")</f>
        <v>46260</v>
      </c>
      <c r="C136" s="59" t="str">
        <f aca="false">IFERROR(IF([2]对账明细接口!$C$136=0,"",[2]对账明细接口!$C$136),"")</f>
        <v>聂新平</v>
      </c>
      <c r="D136" s="59" t="str">
        <f aca="false">IFERROR(IF([2]对账明细接口!$D$136=0,"",[2]对账明细接口!$D$136),"")</f>
        <v>原料入库</v>
      </c>
      <c r="E136" s="59" t="str">
        <f aca="false">IFERROR(IF([2]对账明细接口!$E$136=0,"",[2]对账明细接口!$E$136),"")</f>
        <v>NO:0000734</v>
      </c>
      <c r="F136" s="59" t="str">
        <f aca="false">IFERROR(IF([2]对账明细接口!$F$136=0,"",[2]对账明细接口!$F$136),"")</f>
        <v>西梅</v>
      </c>
      <c r="G136" s="59" t="str">
        <f aca="false">IFERROR(IF([2]对账明细接口!$G$136=0,"",[2]对账明细接口!$G$136),"")</f>
        <v>西梅三级</v>
      </c>
      <c r="H136" s="60" t="n">
        <f aca="false">IFERROR(IF([2]对账明细接口!$H$136=0,"",[2]对账明细接口!$H$136),"")</f>
        <v>153</v>
      </c>
      <c r="I136" s="59" t="str">
        <f aca="false">IFERROR(IF([2]对账明细接口!$I$136=0,"",[2]对账明细接口!$I$136),"")</f>
        <v>筐</v>
      </c>
      <c r="J136" s="61" t="n">
        <f aca="false">IFERROR(IF([2]对账明细接口!$J$136=0,"",[2]对账明细接口!$J$136),"")</f>
        <v>306</v>
      </c>
      <c r="K136" s="61" t="str">
        <f aca="false">IFERROR(IF([2]对账明细接口!$K$136=0,"",[2]对账明细接口!$K$136),"")</f>
        <v/>
      </c>
      <c r="L136" s="59" t="str">
        <f aca="false">IFERROR(IF([2]对账明细接口!$L$136=0,"",[2]对账明细接口!$L$136),"")</f>
        <v/>
      </c>
      <c r="M136" s="59" t="str">
        <f aca="false">IFERROR(IF([2]对账明细接口!$M$136=0,"",[2]对账明细接口!$M$136),"")</f>
        <v/>
      </c>
      <c r="N136" s="111" t="n">
        <f aca="false">IF($C136="",0,1)</f>
        <v>1</v>
      </c>
      <c r="O136" s="111" t="n">
        <f aca="false">N(O135)+$N136</f>
        <v>133</v>
      </c>
      <c r="S136" s="10" t="str">
        <f aca="false">IFERROR(IF([2]对账明细接口!$N136=0,"",[2]对账明细接口!$N136),"")</f>
        <v>自备一次性筐</v>
      </c>
      <c r="T136" s="112" t="str">
        <f aca="false">IFERROR(IF([2]对账明细接口!$O136=0,"",[2]对账明细接口!$O136),"")</f>
        <v/>
      </c>
      <c r="U136" s="112" t="str">
        <f aca="false">IFERROR(IF([2]对账明细接口!$P136=0,"",[2]对账明细接口!$P136),"")</f>
        <v/>
      </c>
      <c r="V136" s="112" t="n">
        <f aca="false">IFERROR(IF([2]对账明细接口!$Q136=0,"",[2]对账明细接口!$Q136),"")</f>
        <v>153</v>
      </c>
      <c r="W136" s="10" t="str">
        <f aca="false">IFERROR(IF([2]对账明细接口!$R136=0,"",[2]对账明细接口!$R136),"")</f>
        <v>苏M*7G796</v>
      </c>
      <c r="X136" s="10" t="str">
        <f aca="false">IFERROR(IF([2]对账明细接口!$S136=0,"",[2]对账明细接口!$S136),"")</f>
        <v>自备筐</v>
      </c>
      <c r="Y136" s="10" t="str">
        <f aca="false">IFERROR(IF([2]对账明细接口!$T136=0,"",[2]对账明细接口!$T136),"")</f>
        <v/>
      </c>
      <c r="Z136" s="113" t="str">
        <f aca="false">IFERROR(IF([2]对账明细接口!$U136=0,"",[2]对账明细接口!$U136),"")</f>
        <v/>
      </c>
      <c r="AA136" s="113" t="str">
        <f aca="false">IFERROR(IF([2]对账明细接口!$V136=0,"",[2]对账明细接口!$V136),"")</f>
        <v/>
      </c>
      <c r="AB136" s="10" t="str">
        <f aca="false">IFERROR(IF([2]对账明细接口!$W136=0,"",[2]对账明细接口!$W136),"")</f>
        <v/>
      </c>
      <c r="AC136" s="90" t="str">
        <f aca="false">IFERROR(IF([2]对账明细接口!$X137=0,"",[2]对账明细接口!$X137),"")</f>
        <v/>
      </c>
      <c r="AD136" s="90" t="str">
        <f aca="false">IFERROR(IF([2]对账明细接口!$Y137=0,"",[2]对账明细接口!$Y137),"")</f>
        <v/>
      </c>
      <c r="AE136" s="90" t="str">
        <f aca="false">IFERROR(IF([2]对账明细接口!$AA137=0,"",[2]对账明细接口!$AA137),"")</f>
        <v/>
      </c>
      <c r="AF136" s="90" t="str">
        <f aca="false">IFERROR(IF([2]对账明细接口!$AB137=0,"",[2]对账明细接口!$AB137),"")</f>
        <v/>
      </c>
      <c r="AG136" s="90" t="str">
        <f aca="false">IFERROR(IF([2]对账明细接口!$AC137=0,"",[2]对账明细接口!$AC137),"")</f>
        <v/>
      </c>
      <c r="AH136" s="90" t="str">
        <f aca="false">IFERROR(IF([2]对账明细接口!$AD137=0,"",[2]对账明细接口!$AD137),"")</f>
        <v/>
      </c>
    </row>
    <row r="137" customFormat="false" ht="13.5" hidden="false" customHeight="false" outlineLevel="0" collapsed="false">
      <c r="A137" s="109" t="n">
        <v>137</v>
      </c>
      <c r="B137" s="110" t="n">
        <f aca="false">IFERROR(IF([2]对账明细接口!$B$137=0,"",[2]对账明细接口!$B$137),"")</f>
        <v>46261</v>
      </c>
      <c r="C137" s="59" t="str">
        <f aca="false">IFERROR(IF([2]对账明细接口!$C$137=0,"",[2]对账明细接口!$C$137),"")</f>
        <v>聂新平</v>
      </c>
      <c r="D137" s="59" t="str">
        <f aca="false">IFERROR(IF([2]对账明细接口!$D$137=0,"",[2]对账明细接口!$D$137),"")</f>
        <v>原料入库</v>
      </c>
      <c r="E137" s="59" t="str">
        <f aca="false">IFERROR(IF([2]对账明细接口!$E$137=0,"",[2]对账明细接口!$E$137),"")</f>
        <v>NO:0000735</v>
      </c>
      <c r="F137" s="59" t="str">
        <f aca="false">IFERROR(IF([2]对账明细接口!$F$137=0,"",[2]对账明细接口!$F$137),"")</f>
        <v>西梅</v>
      </c>
      <c r="G137" s="59" t="str">
        <f aca="false">IFERROR(IF([2]对账明细接口!$G$137=0,"",[2]对账明细接口!$G$137),"")</f>
        <v>西梅一级</v>
      </c>
      <c r="H137" s="60" t="n">
        <f aca="false">IFERROR(IF([2]对账明细接口!$H$137=0,"",[2]对账明细接口!$H$137),"")</f>
        <v>100</v>
      </c>
      <c r="I137" s="59" t="str">
        <f aca="false">IFERROR(IF([2]对账明细接口!$I$137=0,"",[2]对账明细接口!$I$137),"")</f>
        <v>筐</v>
      </c>
      <c r="J137" s="61" t="n">
        <f aca="false">IFERROR(IF([2]对账明细接口!$J$137=0,"",[2]对账明细接口!$J$137),"")</f>
        <v>700</v>
      </c>
      <c r="K137" s="61" t="str">
        <f aca="false">IFERROR(IF([2]对账明细接口!$K$137=0,"",[2]对账明细接口!$K$137),"")</f>
        <v/>
      </c>
      <c r="L137" s="59" t="str">
        <f aca="false">IFERROR(IF([2]对账明细接口!$L$137=0,"",[2]对账明细接口!$L$137),"")</f>
        <v/>
      </c>
      <c r="M137" s="59" t="str">
        <f aca="false">IFERROR(IF([2]对账明细接口!$M$137=0,"",[2]对账明细接口!$M$137),"")</f>
        <v/>
      </c>
      <c r="N137" s="111" t="n">
        <f aca="false">IF($C137="",0,1)</f>
        <v>1</v>
      </c>
      <c r="O137" s="111" t="n">
        <f aca="false">N(O136)+$N137</f>
        <v>134</v>
      </c>
      <c r="S137" s="10" t="str">
        <f aca="false">IFERROR(IF([2]对账明细接口!$N137=0,"",[2]对账明细接口!$N137),"")</f>
        <v>自备一次性筐</v>
      </c>
      <c r="T137" s="112" t="str">
        <f aca="false">IFERROR(IF([2]对账明细接口!$O137=0,"",[2]对账明细接口!$O137),"")</f>
        <v/>
      </c>
      <c r="U137" s="112" t="str">
        <f aca="false">IFERROR(IF([2]对账明细接口!$P137=0,"",[2]对账明细接口!$P137),"")</f>
        <v/>
      </c>
      <c r="V137" s="112" t="n">
        <f aca="false">IFERROR(IF([2]对账明细接口!$Q137=0,"",[2]对账明细接口!$Q137),"")</f>
        <v>100</v>
      </c>
      <c r="W137" s="10" t="str">
        <f aca="false">IFERROR(IF([2]对账明细接口!$R137=0,"",[2]对账明细接口!$R137),"")</f>
        <v>苏M*7G796</v>
      </c>
      <c r="X137" s="10" t="str">
        <f aca="false">IFERROR(IF([2]对账明细接口!$S137=0,"",[2]对账明细接口!$S137),"")</f>
        <v>自备筐</v>
      </c>
      <c r="Y137" s="10" t="str">
        <f aca="false">IFERROR(IF([2]对账明细接口!$T137=0,"",[2]对账明细接口!$T137),"")</f>
        <v/>
      </c>
      <c r="Z137" s="113" t="str">
        <f aca="false">IFERROR(IF([2]对账明细接口!$U137=0,"",[2]对账明细接口!$U137),"")</f>
        <v/>
      </c>
      <c r="AA137" s="113" t="str">
        <f aca="false">IFERROR(IF([2]对账明细接口!$V137=0,"",[2]对账明细接口!$V137),"")</f>
        <v/>
      </c>
      <c r="AB137" s="10" t="str">
        <f aca="false">IFERROR(IF([2]对账明细接口!$W137=0,"",[2]对账明细接口!$W137),"")</f>
        <v/>
      </c>
      <c r="AC137" s="90" t="str">
        <f aca="false">IFERROR(IF([2]对账明细接口!$X138=0,"",[2]对账明细接口!$X138),"")</f>
        <v/>
      </c>
      <c r="AD137" s="90" t="str">
        <f aca="false">IFERROR(IF([2]对账明细接口!$Y138=0,"",[2]对账明细接口!$Y138),"")</f>
        <v/>
      </c>
      <c r="AE137" s="90" t="str">
        <f aca="false">IFERROR(IF([2]对账明细接口!$AA138=0,"",[2]对账明细接口!$AA138),"")</f>
        <v/>
      </c>
      <c r="AF137" s="90" t="str">
        <f aca="false">IFERROR(IF([2]对账明细接口!$AB138=0,"",[2]对账明细接口!$AB138),"")</f>
        <v/>
      </c>
      <c r="AG137" s="90" t="str">
        <f aca="false">IFERROR(IF([2]对账明细接口!$AC138=0,"",[2]对账明细接口!$AC138),"")</f>
        <v/>
      </c>
      <c r="AH137" s="90" t="str">
        <f aca="false">IFERROR(IF([2]对账明细接口!$AD138=0,"",[2]对账明细接口!$AD138),"")</f>
        <v/>
      </c>
    </row>
    <row r="138" customFormat="false" ht="13.5" hidden="false" customHeight="false" outlineLevel="0" collapsed="false">
      <c r="A138" s="109" t="n">
        <v>138</v>
      </c>
      <c r="B138" s="110" t="n">
        <f aca="false">IFERROR(IF([2]对账明细接口!$B$138=0,"",[2]对账明细接口!$B$138),"")</f>
        <v>46261</v>
      </c>
      <c r="C138" s="59" t="str">
        <f aca="false">IFERROR(IF([2]对账明细接口!$C$138=0,"",[2]对账明细接口!$C$138),"")</f>
        <v>聂新平</v>
      </c>
      <c r="D138" s="59" t="str">
        <f aca="false">IFERROR(IF([2]对账明细接口!$D$138=0,"",[2]对账明细接口!$D$138),"")</f>
        <v>原料入库</v>
      </c>
      <c r="E138" s="59" t="str">
        <f aca="false">IFERROR(IF([2]对账明细接口!$E$138=0,"",[2]对账明细接口!$E$138),"")</f>
        <v>NO:0000735</v>
      </c>
      <c r="F138" s="59" t="str">
        <f aca="false">IFERROR(IF([2]对账明细接口!$F$138=0,"",[2]对账明细接口!$F$138),"")</f>
        <v>西梅</v>
      </c>
      <c r="G138" s="59" t="str">
        <f aca="false">IFERROR(IF([2]对账明细接口!$G$138=0,"",[2]对账明细接口!$G$138),"")</f>
        <v>西梅二级</v>
      </c>
      <c r="H138" s="60" t="n">
        <f aca="false">IFERROR(IF([2]对账明细接口!$H$138=0,"",[2]对账明细接口!$H$138),"")</f>
        <v>42</v>
      </c>
      <c r="I138" s="59" t="str">
        <f aca="false">IFERROR(IF([2]对账明细接口!$I$138=0,"",[2]对账明细接口!$I$138),"")</f>
        <v>筐</v>
      </c>
      <c r="J138" s="61" t="n">
        <f aca="false">IFERROR(IF([2]对账明细接口!$J$138=0,"",[2]对账明细接口!$J$138),"")</f>
        <v>504</v>
      </c>
      <c r="K138" s="61" t="str">
        <f aca="false">IFERROR(IF([2]对账明细接口!$K$138=0,"",[2]对账明细接口!$K$138),"")</f>
        <v/>
      </c>
      <c r="L138" s="59" t="str">
        <f aca="false">IFERROR(IF([2]对账明细接口!$L$138=0,"",[2]对账明细接口!$L$138),"")</f>
        <v/>
      </c>
      <c r="M138" s="59" t="str">
        <f aca="false">IFERROR(IF([2]对账明细接口!$M$138=0,"",[2]对账明细接口!$M$138),"")</f>
        <v/>
      </c>
      <c r="N138" s="111" t="n">
        <f aca="false">IF($C138="",0,1)</f>
        <v>1</v>
      </c>
      <c r="O138" s="111" t="n">
        <f aca="false">N(O137)+$N138</f>
        <v>135</v>
      </c>
      <c r="S138" s="10" t="str">
        <f aca="false">IFERROR(IF([2]对账明细接口!$N138=0,"",[2]对账明细接口!$N138),"")</f>
        <v>自备一次性筐</v>
      </c>
      <c r="T138" s="112" t="str">
        <f aca="false">IFERROR(IF([2]对账明细接口!$O138=0,"",[2]对账明细接口!$O138),"")</f>
        <v/>
      </c>
      <c r="U138" s="112" t="str">
        <f aca="false">IFERROR(IF([2]对账明细接口!$P138=0,"",[2]对账明细接口!$P138),"")</f>
        <v/>
      </c>
      <c r="V138" s="112" t="n">
        <f aca="false">IFERROR(IF([2]对账明细接口!$Q138=0,"",[2]对账明细接口!$Q138),"")</f>
        <v>42</v>
      </c>
      <c r="W138" s="10" t="str">
        <f aca="false">IFERROR(IF([2]对账明细接口!$R138=0,"",[2]对账明细接口!$R138),"")</f>
        <v>苏M*7G796</v>
      </c>
      <c r="X138" s="10" t="str">
        <f aca="false">IFERROR(IF([2]对账明细接口!$S138=0,"",[2]对账明细接口!$S138),"")</f>
        <v>自备筐</v>
      </c>
      <c r="Y138" s="10" t="str">
        <f aca="false">IFERROR(IF([2]对账明细接口!$T138=0,"",[2]对账明细接口!$T138),"")</f>
        <v/>
      </c>
      <c r="Z138" s="113" t="str">
        <f aca="false">IFERROR(IF([2]对账明细接口!$U138=0,"",[2]对账明细接口!$U138),"")</f>
        <v/>
      </c>
      <c r="AA138" s="113" t="str">
        <f aca="false">IFERROR(IF([2]对账明细接口!$V138=0,"",[2]对账明细接口!$V138),"")</f>
        <v/>
      </c>
      <c r="AB138" s="10" t="str">
        <f aca="false">IFERROR(IF([2]对账明细接口!$W138=0,"",[2]对账明细接口!$W138),"")</f>
        <v/>
      </c>
      <c r="AC138" s="90" t="str">
        <f aca="false">IFERROR(IF([2]对账明细接口!$X139=0,"",[2]对账明细接口!$X139),"")</f>
        <v/>
      </c>
      <c r="AD138" s="90" t="str">
        <f aca="false">IFERROR(IF([2]对账明细接口!$Y139=0,"",[2]对账明细接口!$Y139),"")</f>
        <v/>
      </c>
      <c r="AE138" s="90" t="str">
        <f aca="false">IFERROR(IF([2]对账明细接口!$AA139=0,"",[2]对账明细接口!$AA139),"")</f>
        <v/>
      </c>
      <c r="AF138" s="90" t="str">
        <f aca="false">IFERROR(IF([2]对账明细接口!$AB139=0,"",[2]对账明细接口!$AB139),"")</f>
        <v/>
      </c>
      <c r="AG138" s="90" t="str">
        <f aca="false">IFERROR(IF([2]对账明细接口!$AC139=0,"",[2]对账明细接口!$AC139),"")</f>
        <v/>
      </c>
      <c r="AH138" s="90" t="str">
        <f aca="false">IFERROR(IF([2]对账明细接口!$AD139=0,"",[2]对账明细接口!$AD139),"")</f>
        <v/>
      </c>
    </row>
    <row r="139" customFormat="false" ht="13.5" hidden="false" customHeight="false" outlineLevel="0" collapsed="false">
      <c r="A139" s="109" t="n">
        <v>139</v>
      </c>
      <c r="B139" s="110" t="n">
        <f aca="false">IFERROR(IF([2]对账明细接口!$B$139=0,"",[2]对账明细接口!$B$139),"")</f>
        <v>46261</v>
      </c>
      <c r="C139" s="59" t="str">
        <f aca="false">IFERROR(IF([2]对账明细接口!$C$139=0,"",[2]对账明细接口!$C$139),"")</f>
        <v>聂新平</v>
      </c>
      <c r="D139" s="59" t="str">
        <f aca="false">IFERROR(IF([2]对账明细接口!$D$139=0,"",[2]对账明细接口!$D$139),"")</f>
        <v>原料入库</v>
      </c>
      <c r="E139" s="59" t="str">
        <f aca="false">IFERROR(IF([2]对账明细接口!$E$139=0,"",[2]对账明细接口!$E$139),"")</f>
        <v>NO:0000736</v>
      </c>
      <c r="F139" s="59" t="str">
        <f aca="false">IFERROR(IF([2]对账明细接口!$F$139=0,"",[2]对账明细接口!$F$139),"")</f>
        <v>西梅</v>
      </c>
      <c r="G139" s="59" t="str">
        <f aca="false">IFERROR(IF([2]对账明细接口!$G$139=0,"",[2]对账明细接口!$G$139),"")</f>
        <v>西梅一级</v>
      </c>
      <c r="H139" s="60" t="n">
        <f aca="false">IFERROR(IF([2]对账明细接口!$H$139=0,"",[2]对账明细接口!$H$139),"")</f>
        <v>1</v>
      </c>
      <c r="I139" s="59" t="str">
        <f aca="false">IFERROR(IF([2]对账明细接口!$I$139=0,"",[2]对账明细接口!$I$139),"")</f>
        <v>筐</v>
      </c>
      <c r="J139" s="61" t="n">
        <f aca="false">IFERROR(IF([2]对账明细接口!$J$139=0,"",[2]对账明细接口!$J$139),"")</f>
        <v>7</v>
      </c>
      <c r="K139" s="61" t="str">
        <f aca="false">IFERROR(IF([2]对账明细接口!$K$139=0,"",[2]对账明细接口!$K$139),"")</f>
        <v/>
      </c>
      <c r="L139" s="59" t="str">
        <f aca="false">IFERROR(IF([2]对账明细接口!$L$139=0,"",[2]对账明细接口!$L$139),"")</f>
        <v/>
      </c>
      <c r="M139" s="59" t="str">
        <f aca="false">IFERROR(IF([2]对账明细接口!$M$139=0,"",[2]对账明细接口!$M$139),"")</f>
        <v/>
      </c>
      <c r="N139" s="111" t="n">
        <f aca="false">IF($C139="",0,1)</f>
        <v>1</v>
      </c>
      <c r="O139" s="111" t="n">
        <f aca="false">N(O138)+$N139</f>
        <v>136</v>
      </c>
      <c r="S139" s="10" t="str">
        <f aca="false">IFERROR(IF([2]对账明细接口!$N139=0,"",[2]对账明细接口!$N139),"")</f>
        <v>自备一次性筐</v>
      </c>
      <c r="T139" s="112" t="str">
        <f aca="false">IFERROR(IF([2]对账明细接口!$O139=0,"",[2]对账明细接口!$O139),"")</f>
        <v/>
      </c>
      <c r="U139" s="112" t="str">
        <f aca="false">IFERROR(IF([2]对账明细接口!$P139=0,"",[2]对账明细接口!$P139),"")</f>
        <v/>
      </c>
      <c r="V139" s="112" t="n">
        <f aca="false">IFERROR(IF([2]对账明细接口!$Q139=0,"",[2]对账明细接口!$Q139),"")</f>
        <v>1</v>
      </c>
      <c r="W139" s="10" t="str">
        <f aca="false">IFERROR(IF([2]对账明细接口!$R139=0,"",[2]对账明细接口!$R139),"")</f>
        <v>苏M*7G796</v>
      </c>
      <c r="X139" s="10" t="str">
        <f aca="false">IFERROR(IF([2]对账明细接口!$S139=0,"",[2]对账明细接口!$S139),"")</f>
        <v>自备筐</v>
      </c>
      <c r="Y139" s="10" t="str">
        <f aca="false">IFERROR(IF([2]对账明细接口!$T139=0,"",[2]对账明细接口!$T139),"")</f>
        <v/>
      </c>
      <c r="Z139" s="113" t="str">
        <f aca="false">IFERROR(IF([2]对账明细接口!$U139=0,"",[2]对账明细接口!$U139),"")</f>
        <v/>
      </c>
      <c r="AA139" s="113" t="str">
        <f aca="false">IFERROR(IF([2]对账明细接口!$V139=0,"",[2]对账明细接口!$V139),"")</f>
        <v/>
      </c>
      <c r="AB139" s="10" t="str">
        <f aca="false">IFERROR(IF([2]对账明细接口!$W139=0,"",[2]对账明细接口!$W139),"")</f>
        <v/>
      </c>
      <c r="AC139" s="90" t="str">
        <f aca="false">IFERROR(IF([2]对账明细接口!$X140=0,"",[2]对账明细接口!$X140),"")</f>
        <v/>
      </c>
      <c r="AD139" s="90" t="str">
        <f aca="false">IFERROR(IF([2]对账明细接口!$Y140=0,"",[2]对账明细接口!$Y140),"")</f>
        <v/>
      </c>
      <c r="AE139" s="90" t="str">
        <f aca="false">IFERROR(IF([2]对账明细接口!$AA140=0,"",[2]对账明细接口!$AA140),"")</f>
        <v/>
      </c>
      <c r="AF139" s="90" t="str">
        <f aca="false">IFERROR(IF([2]对账明细接口!$AB140=0,"",[2]对账明细接口!$AB140),"")</f>
        <v/>
      </c>
      <c r="AG139" s="90" t="str">
        <f aca="false">IFERROR(IF([2]对账明细接口!$AC140=0,"",[2]对账明细接口!$AC140),"")</f>
        <v/>
      </c>
      <c r="AH139" s="90" t="str">
        <f aca="false">IFERROR(IF([2]对账明细接口!$AD140=0,"",[2]对账明细接口!$AD140),"")</f>
        <v/>
      </c>
    </row>
    <row r="140" customFormat="false" ht="13.5" hidden="false" customHeight="false" outlineLevel="0" collapsed="false">
      <c r="A140" s="109" t="n">
        <v>140</v>
      </c>
      <c r="B140" s="110" t="n">
        <f aca="false">IFERROR(IF([2]对账明细接口!$B$140=0,"",[2]对账明细接口!$B$140),"")</f>
        <v>46261</v>
      </c>
      <c r="C140" s="59" t="str">
        <f aca="false">IFERROR(IF([2]对账明细接口!$C$140=0,"",[2]对账明细接口!$C$140),"")</f>
        <v>聂新平</v>
      </c>
      <c r="D140" s="59" t="str">
        <f aca="false">IFERROR(IF([2]对账明细接口!$D$140=0,"",[2]对账明细接口!$D$140),"")</f>
        <v>原料入库</v>
      </c>
      <c r="E140" s="59" t="str">
        <f aca="false">IFERROR(IF([2]对账明细接口!$E$140=0,"",[2]对账明细接口!$E$140),"")</f>
        <v>NO:0000736</v>
      </c>
      <c r="F140" s="59" t="str">
        <f aca="false">IFERROR(IF([2]对账明细接口!$F$140=0,"",[2]对账明细接口!$F$140),"")</f>
        <v>西梅</v>
      </c>
      <c r="G140" s="59" t="str">
        <f aca="false">IFERROR(IF([2]对账明细接口!$G$140=0,"",[2]对账明细接口!$G$140),"")</f>
        <v>西梅二级</v>
      </c>
      <c r="H140" s="60" t="n">
        <f aca="false">IFERROR(IF([2]对账明细接口!$H$140=0,"",[2]对账明细接口!$H$140),"")</f>
        <v>40</v>
      </c>
      <c r="I140" s="59" t="str">
        <f aca="false">IFERROR(IF([2]对账明细接口!$I$140=0,"",[2]对账明细接口!$I$140),"")</f>
        <v>筐</v>
      </c>
      <c r="J140" s="61" t="n">
        <f aca="false">IFERROR(IF([2]对账明细接口!$J$140=0,"",[2]对账明细接口!$J$140),"")</f>
        <v>480</v>
      </c>
      <c r="K140" s="61" t="str">
        <f aca="false">IFERROR(IF([2]对账明细接口!$K$140=0,"",[2]对账明细接口!$K$140),"")</f>
        <v/>
      </c>
      <c r="L140" s="59" t="str">
        <f aca="false">IFERROR(IF([2]对账明细接口!$L$140=0,"",[2]对账明细接口!$L$140),"")</f>
        <v/>
      </c>
      <c r="M140" s="59" t="str">
        <f aca="false">IFERROR(IF([2]对账明细接口!$M$140=0,"",[2]对账明细接口!$M$140),"")</f>
        <v/>
      </c>
      <c r="N140" s="111" t="n">
        <f aca="false">IF($C140="",0,1)</f>
        <v>1</v>
      </c>
      <c r="O140" s="111" t="n">
        <f aca="false">N(O139)+$N140</f>
        <v>137</v>
      </c>
      <c r="S140" s="10" t="str">
        <f aca="false">IFERROR(IF([2]对账明细接口!$N140=0,"",[2]对账明细接口!$N140),"")</f>
        <v>自备一次性筐</v>
      </c>
      <c r="T140" s="112" t="str">
        <f aca="false">IFERROR(IF([2]对账明细接口!$O140=0,"",[2]对账明细接口!$O140),"")</f>
        <v/>
      </c>
      <c r="U140" s="112" t="str">
        <f aca="false">IFERROR(IF([2]对账明细接口!$P140=0,"",[2]对账明细接口!$P140),"")</f>
        <v/>
      </c>
      <c r="V140" s="112" t="n">
        <f aca="false">IFERROR(IF([2]对账明细接口!$Q140=0,"",[2]对账明细接口!$Q140),"")</f>
        <v>40</v>
      </c>
      <c r="W140" s="10" t="str">
        <f aca="false">IFERROR(IF([2]对账明细接口!$R140=0,"",[2]对账明细接口!$R140),"")</f>
        <v>苏M*7G796</v>
      </c>
      <c r="X140" s="10" t="str">
        <f aca="false">IFERROR(IF([2]对账明细接口!$S140=0,"",[2]对账明细接口!$S140),"")</f>
        <v>自备筐</v>
      </c>
      <c r="Y140" s="10" t="str">
        <f aca="false">IFERROR(IF([2]对账明细接口!$T140=0,"",[2]对账明细接口!$T140),"")</f>
        <v/>
      </c>
      <c r="Z140" s="113" t="str">
        <f aca="false">IFERROR(IF([2]对账明细接口!$U140=0,"",[2]对账明细接口!$U140),"")</f>
        <v/>
      </c>
      <c r="AA140" s="113" t="str">
        <f aca="false">IFERROR(IF([2]对账明细接口!$V140=0,"",[2]对账明细接口!$V140),"")</f>
        <v/>
      </c>
      <c r="AB140" s="10" t="str">
        <f aca="false">IFERROR(IF([2]对账明细接口!$W140=0,"",[2]对账明细接口!$W140),"")</f>
        <v/>
      </c>
      <c r="AC140" s="90" t="str">
        <f aca="false">IFERROR(IF([2]对账明细接口!$X141=0,"",[2]对账明细接口!$X141),"")</f>
        <v/>
      </c>
      <c r="AD140" s="90" t="str">
        <f aca="false">IFERROR(IF([2]对账明细接口!$Y141=0,"",[2]对账明细接口!$Y141),"")</f>
        <v/>
      </c>
      <c r="AE140" s="90" t="str">
        <f aca="false">IFERROR(IF([2]对账明细接口!$AA141=0,"",[2]对账明细接口!$AA141),"")</f>
        <v/>
      </c>
      <c r="AF140" s="90" t="str">
        <f aca="false">IFERROR(IF([2]对账明细接口!$AB141=0,"",[2]对账明细接口!$AB141),"")</f>
        <v/>
      </c>
      <c r="AG140" s="90" t="str">
        <f aca="false">IFERROR(IF([2]对账明细接口!$AC141=0,"",[2]对账明细接口!$AC141),"")</f>
        <v/>
      </c>
      <c r="AH140" s="90" t="str">
        <f aca="false">IFERROR(IF([2]对账明细接口!$AD141=0,"",[2]对账明细接口!$AD141),"")</f>
        <v/>
      </c>
    </row>
    <row r="141" customFormat="false" ht="13.5" hidden="false" customHeight="false" outlineLevel="0" collapsed="false">
      <c r="A141" s="109" t="n">
        <v>141</v>
      </c>
      <c r="B141" s="110" t="n">
        <f aca="false">IFERROR(IF([2]对账明细接口!$B$141=0,"",[2]对账明细接口!$B$141),"")</f>
        <v>46261</v>
      </c>
      <c r="C141" s="59" t="str">
        <f aca="false">IFERROR(IF([2]对账明细接口!$C$141=0,"",[2]对账明细接口!$C$141),"")</f>
        <v>聂新平</v>
      </c>
      <c r="D141" s="59" t="str">
        <f aca="false">IFERROR(IF([2]对账明细接口!$D$141=0,"",[2]对账明细接口!$D$141),"")</f>
        <v>原料入库</v>
      </c>
      <c r="E141" s="59" t="str">
        <f aca="false">IFERROR(IF([2]对账明细接口!$E$141=0,"",[2]对账明细接口!$E$141),"")</f>
        <v>NO:0000736</v>
      </c>
      <c r="F141" s="59" t="str">
        <f aca="false">IFERROR(IF([2]对账明细接口!$F$141=0,"",[2]对账明细接口!$F$141),"")</f>
        <v>西梅</v>
      </c>
      <c r="G141" s="59" t="str">
        <f aca="false">IFERROR(IF([2]对账明细接口!$G$141=0,"",[2]对账明细接口!$G$141),"")</f>
        <v>西梅三级</v>
      </c>
      <c r="H141" s="60" t="n">
        <f aca="false">IFERROR(IF([2]对账明细接口!$H$141=0,"",[2]对账明细接口!$H$141),"")</f>
        <v>107</v>
      </c>
      <c r="I141" s="59" t="str">
        <f aca="false">IFERROR(IF([2]对账明细接口!$I$141=0,"",[2]对账明细接口!$I$141),"")</f>
        <v>筐</v>
      </c>
      <c r="J141" s="61" t="n">
        <f aca="false">IFERROR(IF([2]对账明细接口!$J$141=0,"",[2]对账明细接口!$J$141),"")</f>
        <v>214</v>
      </c>
      <c r="K141" s="61" t="str">
        <f aca="false">IFERROR(IF([2]对账明细接口!$K$141=0,"",[2]对账明细接口!$K$141),"")</f>
        <v/>
      </c>
      <c r="L141" s="59" t="str">
        <f aca="false">IFERROR(IF([2]对账明细接口!$L$141=0,"",[2]对账明细接口!$L$141),"")</f>
        <v/>
      </c>
      <c r="M141" s="59" t="str">
        <f aca="false">IFERROR(IF([2]对账明细接口!$M$141=0,"",[2]对账明细接口!$M$141),"")</f>
        <v/>
      </c>
      <c r="N141" s="111" t="n">
        <f aca="false">IF($C141="",0,1)</f>
        <v>1</v>
      </c>
      <c r="O141" s="111" t="n">
        <f aca="false">N(O140)+$N141</f>
        <v>138</v>
      </c>
      <c r="S141" s="10" t="str">
        <f aca="false">IFERROR(IF([2]对账明细接口!$N141=0,"",[2]对账明细接口!$N141),"")</f>
        <v>自备一次性筐</v>
      </c>
      <c r="T141" s="112" t="str">
        <f aca="false">IFERROR(IF([2]对账明细接口!$O141=0,"",[2]对账明细接口!$O141),"")</f>
        <v/>
      </c>
      <c r="U141" s="112" t="str">
        <f aca="false">IFERROR(IF([2]对账明细接口!$P141=0,"",[2]对账明细接口!$P141),"")</f>
        <v/>
      </c>
      <c r="V141" s="112" t="n">
        <f aca="false">IFERROR(IF([2]对账明细接口!$Q141=0,"",[2]对账明细接口!$Q141),"")</f>
        <v>107</v>
      </c>
      <c r="W141" s="10" t="str">
        <f aca="false">IFERROR(IF([2]对账明细接口!$R141=0,"",[2]对账明细接口!$R141),"")</f>
        <v>苏M*7G796</v>
      </c>
      <c r="X141" s="10" t="str">
        <f aca="false">IFERROR(IF([2]对账明细接口!$S141=0,"",[2]对账明细接口!$S141),"")</f>
        <v>自备筐</v>
      </c>
      <c r="Y141" s="10" t="str">
        <f aca="false">IFERROR(IF([2]对账明细接口!$T141=0,"",[2]对账明细接口!$T141),"")</f>
        <v/>
      </c>
      <c r="Z141" s="113" t="str">
        <f aca="false">IFERROR(IF([2]对账明细接口!$U141=0,"",[2]对账明细接口!$U141),"")</f>
        <v/>
      </c>
      <c r="AA141" s="113" t="str">
        <f aca="false">IFERROR(IF([2]对账明细接口!$V141=0,"",[2]对账明细接口!$V141),"")</f>
        <v/>
      </c>
      <c r="AB141" s="10" t="str">
        <f aca="false">IFERROR(IF([2]对账明细接口!$W141=0,"",[2]对账明细接口!$W141),"")</f>
        <v/>
      </c>
      <c r="AC141" s="90" t="str">
        <f aca="false">IFERROR(IF([2]对账明细接口!$X142=0,"",[2]对账明细接口!$X142),"")</f>
        <v/>
      </c>
      <c r="AD141" s="90" t="str">
        <f aca="false">IFERROR(IF([2]对账明细接口!$Y142=0,"",[2]对账明细接口!$Y142),"")</f>
        <v/>
      </c>
      <c r="AE141" s="90" t="str">
        <f aca="false">IFERROR(IF([2]对账明细接口!$AA142=0,"",[2]对账明细接口!$AA142),"")</f>
        <v/>
      </c>
      <c r="AF141" s="90" t="str">
        <f aca="false">IFERROR(IF([2]对账明细接口!$AB142=0,"",[2]对账明细接口!$AB142),"")</f>
        <v/>
      </c>
      <c r="AG141" s="90" t="str">
        <f aca="false">IFERROR(IF([2]对账明细接口!$AC142=0,"",[2]对账明细接口!$AC142),"")</f>
        <v/>
      </c>
      <c r="AH141" s="90" t="str">
        <f aca="false">IFERROR(IF([2]对账明细接口!$AD142=0,"",[2]对账明细接口!$AD142),"")</f>
        <v/>
      </c>
    </row>
    <row r="142" customFormat="false" ht="13.5" hidden="false" customHeight="false" outlineLevel="0" collapsed="false">
      <c r="A142" s="109" t="n">
        <v>142</v>
      </c>
      <c r="B142" s="110" t="n">
        <f aca="false">IFERROR(IF([2]对账明细接口!$B$142=0,"",[2]对账明细接口!$B$142),"")</f>
        <v>46269</v>
      </c>
      <c r="C142" s="59" t="str">
        <f aca="false">IFERROR(IF([2]对账明细接口!$C$142=0,"",[2]对账明细接口!$C$142),"")</f>
        <v>马锦祥</v>
      </c>
      <c r="D142" s="59" t="str">
        <f aca="false">IFERROR(IF([2]对账明细接口!$D$142=0,"",[2]对账明细接口!$D$142),"")</f>
        <v>原料入库</v>
      </c>
      <c r="E142" s="59" t="str">
        <f aca="false">IFERROR(IF([2]对账明细接口!$E$142=0,"",[2]对账明细接口!$E$142),"")</f>
        <v>NO:0000752</v>
      </c>
      <c r="F142" s="59" t="str">
        <f aca="false">IFERROR(IF([2]对账明细接口!$F$142=0,"",[2]对账明细接口!$F$142),"")</f>
        <v>香梨</v>
      </c>
      <c r="G142" s="59" t="str">
        <f aca="false">IFERROR(IF([2]对账明细接口!$G$142=0,"",[2]对账明细接口!$G$142),"")</f>
        <v>香梨一级</v>
      </c>
      <c r="H142" s="60" t="n">
        <f aca="false">IFERROR(IF([2]对账明细接口!$H$142=0,"",[2]对账明细接口!$H$142),"")</f>
        <v>266</v>
      </c>
      <c r="I142" s="59" t="str">
        <f aca="false">IFERROR(IF([2]对账明细接口!$I$142=0,"",[2]对账明细接口!$I$142),"")</f>
        <v>筐</v>
      </c>
      <c r="J142" s="61" t="n">
        <f aca="false">IFERROR(IF([2]对账明细接口!$J$142=0,"",[2]对账明细接口!$J$142),"")</f>
        <v>4867.8</v>
      </c>
      <c r="K142" s="61" t="str">
        <f aca="false">IFERROR(IF([2]对账明细接口!$K$142=0,"",[2]对账明细接口!$K$142),"")</f>
        <v/>
      </c>
      <c r="L142" s="59" t="str">
        <f aca="false">IFERROR(IF([2]对账明细接口!$L$142=0,"",[2]对账明细接口!$L$142),"")</f>
        <v/>
      </c>
      <c r="M142" s="59" t="str">
        <f aca="false">IFERROR(IF([2]对账明细接口!$M$142=0,"",[2]对账明细接口!$M$142),"")</f>
        <v/>
      </c>
      <c r="N142" s="111" t="n">
        <f aca="false">IF($C142="",0,1)</f>
        <v>1</v>
      </c>
      <c r="O142" s="111" t="n">
        <f aca="false">N(O141)+$N142</f>
        <v>139</v>
      </c>
      <c r="S142" s="10" t="str">
        <f aca="false">IFERROR(IF([2]对账明细接口!$N142=0,"",[2]对账明细接口!$N142),"")</f>
        <v>公司杂周转筐</v>
      </c>
      <c r="T142" s="112" t="str">
        <f aca="false">IFERROR(IF([2]对账明细接口!$O142=0,"",[2]对账明细接口!$O142),"")</f>
        <v/>
      </c>
      <c r="U142" s="112" t="str">
        <f aca="false">IFERROR(IF([2]对账明细接口!$P142=0,"",[2]对账明细接口!$P142),"")</f>
        <v/>
      </c>
      <c r="V142" s="112" t="n">
        <f aca="false">IFERROR(IF([2]对账明细接口!$Q142=0,"",[2]对账明细接口!$Q142),"")</f>
        <v>266</v>
      </c>
      <c r="W142" s="10" t="str">
        <f aca="false">IFERROR(IF([2]对账明细接口!$R142=0,"",[2]对账明细接口!$R142),"")</f>
        <v>新N*K7V85</v>
      </c>
      <c r="X142" s="10" t="str">
        <f aca="false">IFERROR(IF([2]对账明细接口!$S142=0,"",[2]对账明细接口!$S142),"")</f>
        <v>公司筐</v>
      </c>
      <c r="Y142" s="10" t="str">
        <f aca="false">IFERROR(IF([2]对账明细接口!$T142=0,"",[2]对账明细接口!$T142),"")</f>
        <v/>
      </c>
      <c r="Z142" s="113" t="str">
        <f aca="false">IFERROR(IF([2]对账明细接口!$U142=0,"",[2]对账明细接口!$U142),"")</f>
        <v/>
      </c>
      <c r="AA142" s="113" t="str">
        <f aca="false">IFERROR(IF([2]对账明细接口!$V142=0,"",[2]对账明细接口!$V142),"")</f>
        <v/>
      </c>
      <c r="AB142" s="10" t="str">
        <f aca="false">IFERROR(IF([2]对账明细接口!$W142=0,"",[2]对账明细接口!$W142),"")</f>
        <v/>
      </c>
      <c r="AC142" s="90" t="str">
        <f aca="false">IFERROR(IF([2]对账明细接口!$X143=0,"",[2]对账明细接口!$X143),"")</f>
        <v/>
      </c>
      <c r="AD142" s="90" t="str">
        <f aca="false">IFERROR(IF([2]对账明细接口!$Y143=0,"",[2]对账明细接口!$Y143),"")</f>
        <v/>
      </c>
      <c r="AE142" s="90" t="str">
        <f aca="false">IFERROR(IF([2]对账明细接口!$AA143=0,"",[2]对账明细接口!$AA143),"")</f>
        <v/>
      </c>
      <c r="AF142" s="90" t="str">
        <f aca="false">IFERROR(IF([2]对账明细接口!$AB143=0,"",[2]对账明细接口!$AB143),"")</f>
        <v/>
      </c>
      <c r="AG142" s="90" t="str">
        <f aca="false">IFERROR(IF([2]对账明细接口!$AC143=0,"",[2]对账明细接口!$AC143),"")</f>
        <v/>
      </c>
      <c r="AH142" s="90" t="str">
        <f aca="false">IFERROR(IF([2]对账明细接口!$AD143=0,"",[2]对账明细接口!$AD143),"")</f>
        <v/>
      </c>
    </row>
    <row r="143" customFormat="false" ht="13.5" hidden="false" customHeight="false" outlineLevel="0" collapsed="false">
      <c r="A143" s="109" t="n">
        <v>143</v>
      </c>
      <c r="B143" s="110" t="n">
        <f aca="false">IFERROR(IF([2]对账明细接口!$B$143=0,"",[2]对账明细接口!$B$143),"")</f>
        <v>46269</v>
      </c>
      <c r="C143" s="59" t="str">
        <f aca="false">IFERROR(IF([2]对账明细接口!$C$143=0,"",[2]对账明细接口!$C$143),"")</f>
        <v>马锦祥</v>
      </c>
      <c r="D143" s="59" t="str">
        <f aca="false">IFERROR(IF([2]对账明细接口!$D$143=0,"",[2]对账明细接口!$D$143),"")</f>
        <v>原料入库</v>
      </c>
      <c r="E143" s="59" t="str">
        <f aca="false">IFERROR(IF([2]对账明细接口!$E$143=0,"",[2]对账明细接口!$E$143),"")</f>
        <v>NO:0000752</v>
      </c>
      <c r="F143" s="59" t="str">
        <f aca="false">IFERROR(IF([2]对账明细接口!$F$143=0,"",[2]对账明细接口!$F$143),"")</f>
        <v>香梨</v>
      </c>
      <c r="G143" s="59" t="str">
        <f aca="false">IFERROR(IF([2]对账明细接口!$G$143=0,"",[2]对账明细接口!$G$143),"")</f>
        <v>香梨二级</v>
      </c>
      <c r="H143" s="60" t="n">
        <f aca="false">IFERROR(IF([2]对账明细接口!$H$143=0,"",[2]对账明细接口!$H$143),"")</f>
        <v>70</v>
      </c>
      <c r="I143" s="59" t="str">
        <f aca="false">IFERROR(IF([2]对账明细接口!$I$143=0,"",[2]对账明细接口!$I$143),"")</f>
        <v>筐</v>
      </c>
      <c r="J143" s="61" t="n">
        <f aca="false">IFERROR(IF([2]对账明细接口!$J$143=0,"",[2]对账明细接口!$J$143),"")</f>
        <v>1561</v>
      </c>
      <c r="K143" s="61" t="str">
        <f aca="false">IFERROR(IF([2]对账明细接口!$K$143=0,"",[2]对账明细接口!$K$143),"")</f>
        <v/>
      </c>
      <c r="L143" s="59" t="str">
        <f aca="false">IFERROR(IF([2]对账明细接口!$L$143=0,"",[2]对账明细接口!$L$143),"")</f>
        <v/>
      </c>
      <c r="M143" s="59" t="str">
        <f aca="false">IFERROR(IF([2]对账明细接口!$M$143=0,"",[2]对账明细接口!$M$143),"")</f>
        <v/>
      </c>
      <c r="N143" s="111" t="n">
        <f aca="false">IF($C143="",0,1)</f>
        <v>1</v>
      </c>
      <c r="O143" s="111" t="n">
        <f aca="false">N(O142)+$N143</f>
        <v>140</v>
      </c>
      <c r="S143" s="10" t="str">
        <f aca="false">IFERROR(IF([2]对账明细接口!$N143=0,"",[2]对账明细接口!$N143),"")</f>
        <v>公司杂周转筐</v>
      </c>
      <c r="T143" s="112" t="str">
        <f aca="false">IFERROR(IF([2]对账明细接口!$O143=0,"",[2]对账明细接口!$O143),"")</f>
        <v/>
      </c>
      <c r="U143" s="112" t="str">
        <f aca="false">IFERROR(IF([2]对账明细接口!$P143=0,"",[2]对账明细接口!$P143),"")</f>
        <v/>
      </c>
      <c r="V143" s="112" t="n">
        <f aca="false">IFERROR(IF([2]对账明细接口!$Q143=0,"",[2]对账明细接口!$Q143),"")</f>
        <v>70</v>
      </c>
      <c r="W143" s="10" t="str">
        <f aca="false">IFERROR(IF([2]对账明细接口!$R143=0,"",[2]对账明细接口!$R143),"")</f>
        <v>新N*K7V85</v>
      </c>
      <c r="X143" s="10" t="str">
        <f aca="false">IFERROR(IF([2]对账明细接口!$S143=0,"",[2]对账明细接口!$S143),"")</f>
        <v>公司筐</v>
      </c>
      <c r="Y143" s="10" t="str">
        <f aca="false">IFERROR(IF([2]对账明细接口!$T143=0,"",[2]对账明细接口!$T143),"")</f>
        <v/>
      </c>
      <c r="Z143" s="113" t="str">
        <f aca="false">IFERROR(IF([2]对账明细接口!$U143=0,"",[2]对账明细接口!$U143),"")</f>
        <v/>
      </c>
      <c r="AA143" s="113" t="str">
        <f aca="false">IFERROR(IF([2]对账明细接口!$V143=0,"",[2]对账明细接口!$V143),"")</f>
        <v/>
      </c>
      <c r="AB143" s="10" t="str">
        <f aca="false">IFERROR(IF([2]对账明细接口!$W143=0,"",[2]对账明细接口!$W143),"")</f>
        <v/>
      </c>
      <c r="AC143" s="90" t="str">
        <f aca="false">IFERROR(IF([2]对账明细接口!$X144=0,"",[2]对账明细接口!$X144),"")</f>
        <v/>
      </c>
      <c r="AD143" s="90" t="str">
        <f aca="false">IFERROR(IF([2]对账明细接口!$Y144=0,"",[2]对账明细接口!$Y144),"")</f>
        <v/>
      </c>
      <c r="AE143" s="90" t="str">
        <f aca="false">IFERROR(IF([2]对账明细接口!$AA144=0,"",[2]对账明细接口!$AA144),"")</f>
        <v/>
      </c>
      <c r="AF143" s="90" t="str">
        <f aca="false">IFERROR(IF([2]对账明细接口!$AB144=0,"",[2]对账明细接口!$AB144),"")</f>
        <v/>
      </c>
      <c r="AG143" s="90" t="str">
        <f aca="false">IFERROR(IF([2]对账明细接口!$AC144=0,"",[2]对账明细接口!$AC144),"")</f>
        <v/>
      </c>
      <c r="AH143" s="90" t="str">
        <f aca="false">IFERROR(IF([2]对账明细接口!$AD144=0,"",[2]对账明细接口!$AD144),"")</f>
        <v/>
      </c>
    </row>
    <row r="144" customFormat="false" ht="13.5" hidden="false" customHeight="false" outlineLevel="0" collapsed="false">
      <c r="A144" s="109" t="n">
        <v>144</v>
      </c>
      <c r="B144" s="110" t="n">
        <f aca="false">IFERROR(IF([2]对账明细接口!$B$144=0,"",[2]对账明细接口!$B$144),"")</f>
        <v>46269</v>
      </c>
      <c r="C144" s="59" t="str">
        <f aca="false">IFERROR(IF([2]对账明细接口!$C$144=0,"",[2]对账明细接口!$C$144),"")</f>
        <v>马锦祥</v>
      </c>
      <c r="D144" s="59" t="str">
        <f aca="false">IFERROR(IF([2]对账明细接口!$D$144=0,"",[2]对账明细接口!$D$144),"")</f>
        <v>原料入库</v>
      </c>
      <c r="E144" s="59" t="str">
        <f aca="false">IFERROR(IF([2]对账明细接口!$E$144=0,"",[2]对账明细接口!$E$144),"")</f>
        <v>NO:0000752</v>
      </c>
      <c r="F144" s="59" t="str">
        <f aca="false">IFERROR(IF([2]对账明细接口!$F$144=0,"",[2]对账明细接口!$F$144),"")</f>
        <v>香梨</v>
      </c>
      <c r="G144" s="59" t="str">
        <f aca="false">IFERROR(IF([2]对账明细接口!$G$144=0,"",[2]对账明细接口!$G$144),"")</f>
        <v>香梨副特</v>
      </c>
      <c r="H144" s="60" t="n">
        <f aca="false">IFERROR(IF([2]对账明细接口!$H$144=0,"",[2]对账明细接口!$H$144),"")</f>
        <v>21</v>
      </c>
      <c r="I144" s="59" t="str">
        <f aca="false">IFERROR(IF([2]对账明细接口!$I$144=0,"",[2]对账明细接口!$I$144),"")</f>
        <v>筐</v>
      </c>
      <c r="J144" s="61" t="n">
        <f aca="false">IFERROR(IF([2]对账明细接口!$J$144=0,"",[2]对账明细接口!$J$144),"")</f>
        <v>384.3</v>
      </c>
      <c r="K144" s="61" t="str">
        <f aca="false">IFERROR(IF([2]对账明细接口!$K$144=0,"",[2]对账明细接口!$K$144),"")</f>
        <v/>
      </c>
      <c r="L144" s="59" t="str">
        <f aca="false">IFERROR(IF([2]对账明细接口!$L$144=0,"",[2]对账明细接口!$L$144),"")</f>
        <v/>
      </c>
      <c r="M144" s="59" t="str">
        <f aca="false">IFERROR(IF([2]对账明细接口!$M$144=0,"",[2]对账明细接口!$M$144),"")</f>
        <v/>
      </c>
      <c r="N144" s="111" t="n">
        <f aca="false">IF($C144="",0,1)</f>
        <v>1</v>
      </c>
      <c r="O144" s="111" t="n">
        <f aca="false">N(O143)+$N144</f>
        <v>141</v>
      </c>
      <c r="S144" s="10" t="str">
        <f aca="false">IFERROR(IF([2]对账明细接口!$N144=0,"",[2]对账明细接口!$N144),"")</f>
        <v>公司杂周转筐</v>
      </c>
      <c r="T144" s="112" t="str">
        <f aca="false">IFERROR(IF([2]对账明细接口!$O144=0,"",[2]对账明细接口!$O144),"")</f>
        <v/>
      </c>
      <c r="U144" s="112" t="str">
        <f aca="false">IFERROR(IF([2]对账明细接口!$P144=0,"",[2]对账明细接口!$P144),"")</f>
        <v/>
      </c>
      <c r="V144" s="112" t="n">
        <f aca="false">IFERROR(IF([2]对账明细接口!$Q144=0,"",[2]对账明细接口!$Q144),"")</f>
        <v>21</v>
      </c>
      <c r="W144" s="10" t="str">
        <f aca="false">IFERROR(IF([2]对账明细接口!$R144=0,"",[2]对账明细接口!$R144),"")</f>
        <v>新N*K7V85</v>
      </c>
      <c r="X144" s="10" t="str">
        <f aca="false">IFERROR(IF([2]对账明细接口!$S144=0,"",[2]对账明细接口!$S144),"")</f>
        <v>公司筐</v>
      </c>
      <c r="Y144" s="10" t="str">
        <f aca="false">IFERROR(IF([2]对账明细接口!$T144=0,"",[2]对账明细接口!$T144),"")</f>
        <v/>
      </c>
      <c r="Z144" s="113" t="str">
        <f aca="false">IFERROR(IF([2]对账明细接口!$U144=0,"",[2]对账明细接口!$U144),"")</f>
        <v/>
      </c>
      <c r="AA144" s="113" t="str">
        <f aca="false">IFERROR(IF([2]对账明细接口!$V144=0,"",[2]对账明细接口!$V144),"")</f>
        <v/>
      </c>
      <c r="AB144" s="10" t="str">
        <f aca="false">IFERROR(IF([2]对账明细接口!$W144=0,"",[2]对账明细接口!$W144),"")</f>
        <v/>
      </c>
      <c r="AC144" s="90" t="str">
        <f aca="false">IFERROR(IF([2]对账明细接口!$X145=0,"",[2]对账明细接口!$X145),"")</f>
        <v/>
      </c>
      <c r="AD144" s="90" t="str">
        <f aca="false">IFERROR(IF([2]对账明细接口!$Y145=0,"",[2]对账明细接口!$Y145),"")</f>
        <v/>
      </c>
      <c r="AE144" s="90" t="str">
        <f aca="false">IFERROR(IF([2]对账明细接口!$AA145=0,"",[2]对账明细接口!$AA145),"")</f>
        <v/>
      </c>
      <c r="AF144" s="90" t="str">
        <f aca="false">IFERROR(IF([2]对账明细接口!$AB145=0,"",[2]对账明细接口!$AB145),"")</f>
        <v/>
      </c>
      <c r="AG144" s="90" t="str">
        <f aca="false">IFERROR(IF([2]对账明细接口!$AC145=0,"",[2]对账明细接口!$AC145),"")</f>
        <v/>
      </c>
      <c r="AH144" s="90" t="str">
        <f aca="false">IFERROR(IF([2]对账明细接口!$AD145=0,"",[2]对账明细接口!$AD145),"")</f>
        <v/>
      </c>
    </row>
    <row r="145" customFormat="false" ht="13.5" hidden="false" customHeight="false" outlineLevel="0" collapsed="false">
      <c r="A145" s="109" t="n">
        <v>145</v>
      </c>
      <c r="B145" s="110" t="n">
        <f aca="false">IFERROR(IF([2]对账明细接口!$B$145=0,"",[2]对账明细接口!$B$145),"")</f>
        <v>46271</v>
      </c>
      <c r="C145" s="59" t="str">
        <f aca="false">IFERROR(IF([2]对账明细接口!$C$145=0,"",[2]对账明细接口!$C$145),"")</f>
        <v>麦麦提</v>
      </c>
      <c r="D145" s="59" t="str">
        <f aca="false">IFERROR(IF([2]对账明细接口!$D$145=0,"",[2]对账明细接口!$D$145),"")</f>
        <v>原料入库</v>
      </c>
      <c r="E145" s="59" t="str">
        <f aca="false">IFERROR(IF([2]对账明细接口!$E$145=0,"",[2]对账明细接口!$E$145),"")</f>
        <v>NO:0000754</v>
      </c>
      <c r="F145" s="59" t="str">
        <f aca="false">IFERROR(IF([2]对账明细接口!$F$145=0,"",[2]对账明细接口!$F$145),"")</f>
        <v>香梨</v>
      </c>
      <c r="G145" s="59" t="str">
        <f aca="false">IFERROR(IF([2]对账明细接口!$G$145=0,"",[2]对账明细接口!$G$145),"")</f>
        <v>香梨特级</v>
      </c>
      <c r="H145" s="60" t="n">
        <f aca="false">IFERROR(IF([2]对账明细接口!$H$145=0,"",[2]对账明细接口!$H$145),"")</f>
        <v>280</v>
      </c>
      <c r="I145" s="59" t="str">
        <f aca="false">IFERROR(IF([2]对账明细接口!$I$145=0,"",[2]对账明细接口!$I$145),"")</f>
        <v>筐</v>
      </c>
      <c r="J145" s="61" t="n">
        <f aca="false">IFERROR(IF([2]对账明细接口!$J$145=0,"",[2]对账明细接口!$J$145),"")</f>
        <v>5124</v>
      </c>
      <c r="K145" s="61" t="str">
        <f aca="false">IFERROR(IF([2]对账明细接口!$K$145=0,"",[2]对账明细接口!$K$145),"")</f>
        <v/>
      </c>
      <c r="L145" s="59" t="str">
        <f aca="false">IFERROR(IF([2]对账明细接口!$L$145=0,"",[2]对账明细接口!$L$145),"")</f>
        <v/>
      </c>
      <c r="M145" s="59" t="str">
        <f aca="false">IFERROR(IF([2]对账明细接口!$M$145=0,"",[2]对账明细接口!$M$145),"")</f>
        <v/>
      </c>
      <c r="N145" s="111" t="n">
        <f aca="false">IF($C145="",0,1)</f>
        <v>1</v>
      </c>
      <c r="O145" s="111" t="n">
        <f aca="false">N(O144)+$N145</f>
        <v>142</v>
      </c>
      <c r="S145" s="10" t="str">
        <f aca="false">IFERROR(IF([2]对账明细接口!$N145=0,"",[2]对账明细接口!$N145),"")</f>
        <v>公司红周转筐</v>
      </c>
      <c r="T145" s="112" t="str">
        <f aca="false">IFERROR(IF([2]对账明细接口!$O145=0,"",[2]对账明细接口!$O145),"")</f>
        <v/>
      </c>
      <c r="U145" s="112" t="str">
        <f aca="false">IFERROR(IF([2]对账明细接口!$P145=0,"",[2]对账明细接口!$P145),"")</f>
        <v/>
      </c>
      <c r="V145" s="112" t="n">
        <f aca="false">IFERROR(IF([2]对账明细接口!$Q145=0,"",[2]对账明细接口!$Q145),"")</f>
        <v>280</v>
      </c>
      <c r="W145" s="10" t="str">
        <f aca="false">IFERROR(IF([2]对账明细接口!$R145=0,"",[2]对账明细接口!$R145),"")</f>
        <v>新A*G0554</v>
      </c>
      <c r="X145" s="10" t="str">
        <f aca="false">IFERROR(IF([2]对账明细接口!$S145=0,"",[2]对账明细接口!$S145),"")</f>
        <v>公司筐</v>
      </c>
      <c r="Y145" s="10" t="str">
        <f aca="false">IFERROR(IF([2]对账明细接口!$T145=0,"",[2]对账明细接口!$T145),"")</f>
        <v/>
      </c>
      <c r="Z145" s="113" t="str">
        <f aca="false">IFERROR(IF([2]对账明细接口!$U145=0,"",[2]对账明细接口!$U145),"")</f>
        <v/>
      </c>
      <c r="AA145" s="113" t="str">
        <f aca="false">IFERROR(IF([2]对账明细接口!$V145=0,"",[2]对账明细接口!$V145),"")</f>
        <v/>
      </c>
      <c r="AB145" s="10" t="str">
        <f aca="false">IFERROR(IF([2]对账明细接口!$W145=0,"",[2]对账明细接口!$W145),"")</f>
        <v/>
      </c>
      <c r="AC145" s="90" t="str">
        <f aca="false">IFERROR(IF([2]对账明细接口!$X146=0,"",[2]对账明细接口!$X146),"")</f>
        <v/>
      </c>
      <c r="AD145" s="90" t="str">
        <f aca="false">IFERROR(IF([2]对账明细接口!$Y146=0,"",[2]对账明细接口!$Y146),"")</f>
        <v/>
      </c>
      <c r="AE145" s="90" t="str">
        <f aca="false">IFERROR(IF([2]对账明细接口!$AA146=0,"",[2]对账明细接口!$AA146),"")</f>
        <v/>
      </c>
      <c r="AF145" s="90" t="str">
        <f aca="false">IFERROR(IF([2]对账明细接口!$AB146=0,"",[2]对账明细接口!$AB146),"")</f>
        <v/>
      </c>
      <c r="AG145" s="90" t="str">
        <f aca="false">IFERROR(IF([2]对账明细接口!$AC146=0,"",[2]对账明细接口!$AC146),"")</f>
        <v/>
      </c>
      <c r="AH145" s="90" t="str">
        <f aca="false">IFERROR(IF([2]对账明细接口!$AD146=0,"",[2]对账明细接口!$AD146),"")</f>
        <v/>
      </c>
    </row>
    <row r="146" customFormat="false" ht="13.5" hidden="false" customHeight="false" outlineLevel="0" collapsed="false">
      <c r="A146" s="109" t="n">
        <v>146</v>
      </c>
      <c r="B146" s="110" t="n">
        <f aca="false">IFERROR(IF([2]对账明细接口!$B$146=0,"",[2]对账明细接口!$B$146),"")</f>
        <v>46271</v>
      </c>
      <c r="C146" s="59" t="str">
        <f aca="false">IFERROR(IF([2]对账明细接口!$C$146=0,"",[2]对账明细接口!$C$146),"")</f>
        <v>麦麦提</v>
      </c>
      <c r="D146" s="59" t="str">
        <f aca="false">IFERROR(IF([2]对账明细接口!$D$146=0,"",[2]对账明细接口!$D$146),"")</f>
        <v>原料入库</v>
      </c>
      <c r="E146" s="59" t="str">
        <f aca="false">IFERROR(IF([2]对账明细接口!$E$146=0,"",[2]对账明细接口!$E$146),"")</f>
        <v>NO:0000754</v>
      </c>
      <c r="F146" s="59" t="str">
        <f aca="false">IFERROR(IF([2]对账明细接口!$F$146=0,"",[2]对账明细接口!$F$146),"")</f>
        <v>香梨</v>
      </c>
      <c r="G146" s="59" t="str">
        <f aca="false">IFERROR(IF([2]对账明细接口!$G$146=0,"",[2]对账明细接口!$G$146),"")</f>
        <v>香梨一级</v>
      </c>
      <c r="H146" s="60" t="n">
        <f aca="false">IFERROR(IF([2]对账明细接口!$H$146=0,"",[2]对账明细接口!$H$146),"")</f>
        <v>194</v>
      </c>
      <c r="I146" s="59" t="str">
        <f aca="false">IFERROR(IF([2]对账明细接口!$I$146=0,"",[2]对账明细接口!$I$146),"")</f>
        <v>筐</v>
      </c>
      <c r="J146" s="61" t="n">
        <f aca="false">IFERROR(IF([2]对账明细接口!$J$146=0,"",[2]对账明细接口!$J$146),"")</f>
        <v>3550.2</v>
      </c>
      <c r="K146" s="61" t="str">
        <f aca="false">IFERROR(IF([2]对账明细接口!$K$146=0,"",[2]对账明细接口!$K$146),"")</f>
        <v/>
      </c>
      <c r="L146" s="59" t="str">
        <f aca="false">IFERROR(IF([2]对账明细接口!$L$146=0,"",[2]对账明细接口!$L$146),"")</f>
        <v/>
      </c>
      <c r="M146" s="59" t="str">
        <f aca="false">IFERROR(IF([2]对账明细接口!$M$146=0,"",[2]对账明细接口!$M$146),"")</f>
        <v/>
      </c>
      <c r="N146" s="111" t="n">
        <f aca="false">IF($C146="",0,1)</f>
        <v>1</v>
      </c>
      <c r="O146" s="111" t="n">
        <f aca="false">N(O145)+$N146</f>
        <v>143</v>
      </c>
      <c r="S146" s="10" t="str">
        <f aca="false">IFERROR(IF([2]对账明细接口!$N146=0,"",[2]对账明细接口!$N146),"")</f>
        <v>公司红周转筐</v>
      </c>
      <c r="T146" s="112" t="str">
        <f aca="false">IFERROR(IF([2]对账明细接口!$O146=0,"",[2]对账明细接口!$O146),"")</f>
        <v/>
      </c>
      <c r="U146" s="112" t="str">
        <f aca="false">IFERROR(IF([2]对账明细接口!$P146=0,"",[2]对账明细接口!$P146),"")</f>
        <v/>
      </c>
      <c r="V146" s="112" t="n">
        <f aca="false">IFERROR(IF([2]对账明细接口!$Q146=0,"",[2]对账明细接口!$Q146),"")</f>
        <v>194</v>
      </c>
      <c r="W146" s="10" t="str">
        <f aca="false">IFERROR(IF([2]对账明细接口!$R146=0,"",[2]对账明细接口!$R146),"")</f>
        <v>新A*G0554</v>
      </c>
      <c r="X146" s="10" t="str">
        <f aca="false">IFERROR(IF([2]对账明细接口!$S146=0,"",[2]对账明细接口!$S146),"")</f>
        <v>公司筐</v>
      </c>
      <c r="Y146" s="10" t="str">
        <f aca="false">IFERROR(IF([2]对账明细接口!$T146=0,"",[2]对账明细接口!$T146),"")</f>
        <v/>
      </c>
      <c r="Z146" s="113" t="str">
        <f aca="false">IFERROR(IF([2]对账明细接口!$U146=0,"",[2]对账明细接口!$U146),"")</f>
        <v/>
      </c>
      <c r="AA146" s="113" t="str">
        <f aca="false">IFERROR(IF([2]对账明细接口!$V146=0,"",[2]对账明细接口!$V146),"")</f>
        <v/>
      </c>
      <c r="AB146" s="10" t="str">
        <f aca="false">IFERROR(IF([2]对账明细接口!$W146=0,"",[2]对账明细接口!$W146),"")</f>
        <v/>
      </c>
      <c r="AC146" s="90" t="str">
        <f aca="false">IFERROR(IF([2]对账明细接口!$X147=0,"",[2]对账明细接口!$X147),"")</f>
        <v/>
      </c>
      <c r="AD146" s="90" t="str">
        <f aca="false">IFERROR(IF([2]对账明细接口!$Y147=0,"",[2]对账明细接口!$Y147),"")</f>
        <v/>
      </c>
      <c r="AE146" s="90" t="str">
        <f aca="false">IFERROR(IF([2]对账明细接口!$AA147=0,"",[2]对账明细接口!$AA147),"")</f>
        <v/>
      </c>
      <c r="AF146" s="90" t="str">
        <f aca="false">IFERROR(IF([2]对账明细接口!$AB147=0,"",[2]对账明细接口!$AB147),"")</f>
        <v/>
      </c>
      <c r="AG146" s="90" t="str">
        <f aca="false">IFERROR(IF([2]对账明细接口!$AC147=0,"",[2]对账明细接口!$AC147),"")</f>
        <v/>
      </c>
      <c r="AH146" s="90" t="str">
        <f aca="false">IFERROR(IF([2]对账明细接口!$AD147=0,"",[2]对账明细接口!$AD147),"")</f>
        <v/>
      </c>
    </row>
    <row r="147" customFormat="false" ht="13.5" hidden="false" customHeight="false" outlineLevel="0" collapsed="false">
      <c r="A147" s="109" t="n">
        <v>147</v>
      </c>
      <c r="B147" s="110" t="n">
        <f aca="false">IFERROR(IF([2]对账明细接口!$B$147=0,"",[2]对账明细接口!$B$147),"")</f>
        <v>46271</v>
      </c>
      <c r="C147" s="59" t="str">
        <f aca="false">IFERROR(IF([2]对账明细接口!$C$147=0,"",[2]对账明细接口!$C$147),"")</f>
        <v>麦麦提</v>
      </c>
      <c r="D147" s="59" t="str">
        <f aca="false">IFERROR(IF([2]对账明细接口!$D$147=0,"",[2]对账明细接口!$D$147),"")</f>
        <v>原料入库</v>
      </c>
      <c r="E147" s="59" t="str">
        <f aca="false">IFERROR(IF([2]对账明细接口!$E$147=0,"",[2]对账明细接口!$E$147),"")</f>
        <v>NO:0000754</v>
      </c>
      <c r="F147" s="59" t="str">
        <f aca="false">IFERROR(IF([2]对账明细接口!$F$147=0,"",[2]对账明细接口!$F$147),"")</f>
        <v>香梨</v>
      </c>
      <c r="G147" s="59" t="str">
        <f aca="false">IFERROR(IF([2]对账明细接口!$G$147=0,"",[2]对账明细接口!$G$147),"")</f>
        <v>香梨二级</v>
      </c>
      <c r="H147" s="60" t="n">
        <f aca="false">IFERROR(IF([2]对账明细接口!$H$147=0,"",[2]对账明细接口!$H$147),"")</f>
        <v>152</v>
      </c>
      <c r="I147" s="59" t="str">
        <f aca="false">IFERROR(IF([2]对账明细接口!$I$147=0,"",[2]对账明细接口!$I$147),"")</f>
        <v>筐</v>
      </c>
      <c r="J147" s="61" t="n">
        <f aca="false">IFERROR(IF([2]对账明细接口!$J$147=0,"",[2]对账明细接口!$J$147),"")</f>
        <v>3389.6</v>
      </c>
      <c r="K147" s="61" t="str">
        <f aca="false">IFERROR(IF([2]对账明细接口!$K$147=0,"",[2]对账明细接口!$K$147),"")</f>
        <v/>
      </c>
      <c r="L147" s="59" t="str">
        <f aca="false">IFERROR(IF([2]对账明细接口!$L$147=0,"",[2]对账明细接口!$L$147),"")</f>
        <v/>
      </c>
      <c r="M147" s="59" t="str">
        <f aca="false">IFERROR(IF([2]对账明细接口!$M$147=0,"",[2]对账明细接口!$M$147),"")</f>
        <v/>
      </c>
      <c r="N147" s="111" t="n">
        <f aca="false">IF($C147="",0,1)</f>
        <v>1</v>
      </c>
      <c r="O147" s="111" t="n">
        <f aca="false">N(O146)+$N147</f>
        <v>144</v>
      </c>
      <c r="S147" s="10" t="str">
        <f aca="false">IFERROR(IF([2]对账明细接口!$N147=0,"",[2]对账明细接口!$N147),"")</f>
        <v>公司红周转筐</v>
      </c>
      <c r="T147" s="112" t="str">
        <f aca="false">IFERROR(IF([2]对账明细接口!$O147=0,"",[2]对账明细接口!$O147),"")</f>
        <v/>
      </c>
      <c r="U147" s="112" t="str">
        <f aca="false">IFERROR(IF([2]对账明细接口!$P147=0,"",[2]对账明细接口!$P147),"")</f>
        <v/>
      </c>
      <c r="V147" s="112" t="n">
        <f aca="false">IFERROR(IF([2]对账明细接口!$Q147=0,"",[2]对账明细接口!$Q147),"")</f>
        <v>152</v>
      </c>
      <c r="W147" s="10" t="str">
        <f aca="false">IFERROR(IF([2]对账明细接口!$R147=0,"",[2]对账明细接口!$R147),"")</f>
        <v>新A*G0554</v>
      </c>
      <c r="X147" s="10" t="str">
        <f aca="false">IFERROR(IF([2]对账明细接口!$S147=0,"",[2]对账明细接口!$S147),"")</f>
        <v>公司筐</v>
      </c>
      <c r="Y147" s="10" t="str">
        <f aca="false">IFERROR(IF([2]对账明细接口!$T147=0,"",[2]对账明细接口!$T147),"")</f>
        <v/>
      </c>
      <c r="Z147" s="113" t="str">
        <f aca="false">IFERROR(IF([2]对账明细接口!$U147=0,"",[2]对账明细接口!$U147),"")</f>
        <v/>
      </c>
      <c r="AA147" s="113" t="str">
        <f aca="false">IFERROR(IF([2]对账明细接口!$V147=0,"",[2]对账明细接口!$V147),"")</f>
        <v/>
      </c>
      <c r="AB147" s="10" t="str">
        <f aca="false">IFERROR(IF([2]对账明细接口!$W147=0,"",[2]对账明细接口!$W147),"")</f>
        <v/>
      </c>
      <c r="AC147" s="90" t="str">
        <f aca="false">IFERROR(IF([2]对账明细接口!$X148=0,"",[2]对账明细接口!$X148),"")</f>
        <v/>
      </c>
      <c r="AD147" s="90" t="str">
        <f aca="false">IFERROR(IF([2]对账明细接口!$Y148=0,"",[2]对账明细接口!$Y148),"")</f>
        <v/>
      </c>
      <c r="AE147" s="90" t="str">
        <f aca="false">IFERROR(IF([2]对账明细接口!$AA148=0,"",[2]对账明细接口!$AA148),"")</f>
        <v/>
      </c>
      <c r="AF147" s="90" t="str">
        <f aca="false">IFERROR(IF([2]对账明细接口!$AB148=0,"",[2]对账明细接口!$AB148),"")</f>
        <v/>
      </c>
      <c r="AG147" s="90" t="str">
        <f aca="false">IFERROR(IF([2]对账明细接口!$AC148=0,"",[2]对账明细接口!$AC148),"")</f>
        <v/>
      </c>
      <c r="AH147" s="90" t="str">
        <f aca="false">IFERROR(IF([2]对账明细接口!$AD148=0,"",[2]对账明细接口!$AD148),"")</f>
        <v/>
      </c>
    </row>
    <row r="148" customFormat="false" ht="13.5" hidden="false" customHeight="false" outlineLevel="0" collapsed="false">
      <c r="A148" s="109" t="n">
        <v>148</v>
      </c>
      <c r="B148" s="110" t="n">
        <f aca="false">IFERROR(IF([2]对账明细接口!$B$148=0,"",[2]对账明细接口!$B$148),"")</f>
        <v>46272</v>
      </c>
      <c r="C148" s="59" t="str">
        <f aca="false">IFERROR(IF([2]对账明细接口!$C$148=0,"",[2]对账明细接口!$C$148),"")</f>
        <v>吐尔洪</v>
      </c>
      <c r="D148" s="59" t="str">
        <f aca="false">IFERROR(IF([2]对账明细接口!$D$148=0,"",[2]对账明细接口!$D$148),"")</f>
        <v>原料入库</v>
      </c>
      <c r="E148" s="59" t="str">
        <f aca="false">IFERROR(IF([2]对账明细接口!$E$148=0,"",[2]对账明细接口!$E$148),"")</f>
        <v>NO:0000756</v>
      </c>
      <c r="F148" s="59" t="str">
        <f aca="false">IFERROR(IF([2]对账明细接口!$F$148=0,"",[2]对账明细接口!$F$148),"")</f>
        <v>香梨</v>
      </c>
      <c r="G148" s="59" t="str">
        <f aca="false">IFERROR(IF([2]对账明细接口!$G$148=0,"",[2]对账明细接口!$G$148),"")</f>
        <v>香梨特级</v>
      </c>
      <c r="H148" s="60" t="n">
        <f aca="false">IFERROR(IF([2]对账明细接口!$H$148=0,"",[2]对账明细接口!$H$148),"")</f>
        <v>110</v>
      </c>
      <c r="I148" s="59" t="str">
        <f aca="false">IFERROR(IF([2]对账明细接口!$I$148=0,"",[2]对账明细接口!$I$148),"")</f>
        <v>筐</v>
      </c>
      <c r="J148" s="61" t="n">
        <f aca="false">IFERROR(IF([2]对账明细接口!$J$148=0,"",[2]对账明细接口!$J$148),"")</f>
        <v>2013</v>
      </c>
      <c r="K148" s="61" t="str">
        <f aca="false">IFERROR(IF([2]对账明细接口!$K$148=0,"",[2]对账明细接口!$K$148),"")</f>
        <v/>
      </c>
      <c r="L148" s="59" t="str">
        <f aca="false">IFERROR(IF([2]对账明细接口!$L$148=0,"",[2]对账明细接口!$L$148),"")</f>
        <v/>
      </c>
      <c r="M148" s="59" t="str">
        <f aca="false">IFERROR(IF([2]对账明细接口!$M$148=0,"",[2]对账明细接口!$M$148),"")</f>
        <v/>
      </c>
      <c r="N148" s="111" t="n">
        <f aca="false">IF($C148="",0,1)</f>
        <v>1</v>
      </c>
      <c r="O148" s="111" t="n">
        <f aca="false">N(O147)+$N148</f>
        <v>145</v>
      </c>
      <c r="S148" s="10" t="str">
        <f aca="false">IFERROR(IF([2]对账明细接口!$N148=0,"",[2]对账明细接口!$N148),"")</f>
        <v>公司红周转筐</v>
      </c>
      <c r="T148" s="112" t="str">
        <f aca="false">IFERROR(IF([2]对账明细接口!$O148=0,"",[2]对账明细接口!$O148),"")</f>
        <v/>
      </c>
      <c r="U148" s="112" t="str">
        <f aca="false">IFERROR(IF([2]对账明细接口!$P148=0,"",[2]对账明细接口!$P148),"")</f>
        <v/>
      </c>
      <c r="V148" s="112" t="n">
        <f aca="false">IFERROR(IF([2]对账明细接口!$Q148=0,"",[2]对账明细接口!$Q148),"")</f>
        <v>110</v>
      </c>
      <c r="W148" s="10" t="str">
        <f aca="false">IFERROR(IF([2]对账明细接口!$R148=0,"",[2]对账明细接口!$R148),"")</f>
        <v>新N*X8S48</v>
      </c>
      <c r="X148" s="10" t="str">
        <f aca="false">IFERROR(IF([2]对账明细接口!$S148=0,"",[2]对账明细接口!$S148),"")</f>
        <v>公司筐</v>
      </c>
      <c r="Y148" s="10" t="str">
        <f aca="false">IFERROR(IF([2]对账明细接口!$T148=0,"",[2]对账明细接口!$T148),"")</f>
        <v/>
      </c>
      <c r="Z148" s="113" t="str">
        <f aca="false">IFERROR(IF([2]对账明细接口!$U148=0,"",[2]对账明细接口!$U148),"")</f>
        <v/>
      </c>
      <c r="AA148" s="113" t="str">
        <f aca="false">IFERROR(IF([2]对账明细接口!$V148=0,"",[2]对账明细接口!$V148),"")</f>
        <v/>
      </c>
      <c r="AB148" s="10" t="str">
        <f aca="false">IFERROR(IF([2]对账明细接口!$W148=0,"",[2]对账明细接口!$W148),"")</f>
        <v/>
      </c>
      <c r="AC148" s="90" t="str">
        <f aca="false">IFERROR(IF([2]对账明细接口!$X149=0,"",[2]对账明细接口!$X149),"")</f>
        <v/>
      </c>
      <c r="AD148" s="90" t="str">
        <f aca="false">IFERROR(IF([2]对账明细接口!$Y149=0,"",[2]对账明细接口!$Y149),"")</f>
        <v/>
      </c>
      <c r="AE148" s="90" t="str">
        <f aca="false">IFERROR(IF([2]对账明细接口!$AA149=0,"",[2]对账明细接口!$AA149),"")</f>
        <v/>
      </c>
      <c r="AF148" s="90" t="str">
        <f aca="false">IFERROR(IF([2]对账明细接口!$AB149=0,"",[2]对账明细接口!$AB149),"")</f>
        <v/>
      </c>
      <c r="AG148" s="90" t="str">
        <f aca="false">IFERROR(IF([2]对账明细接口!$AC149=0,"",[2]对账明细接口!$AC149),"")</f>
        <v/>
      </c>
      <c r="AH148" s="90" t="str">
        <f aca="false">IFERROR(IF([2]对账明细接口!$AD149=0,"",[2]对账明细接口!$AD149),"")</f>
        <v/>
      </c>
    </row>
    <row r="149" customFormat="false" ht="13.5" hidden="false" customHeight="false" outlineLevel="0" collapsed="false">
      <c r="A149" s="109" t="n">
        <v>149</v>
      </c>
      <c r="B149" s="110" t="n">
        <f aca="false">IFERROR(IF([2]对账明细接口!$B$149=0,"",[2]对账明细接口!$B$149),"")</f>
        <v>46272</v>
      </c>
      <c r="C149" s="59" t="str">
        <f aca="false">IFERROR(IF([2]对账明细接口!$C$149=0,"",[2]对账明细接口!$C$149),"")</f>
        <v>吐尔洪</v>
      </c>
      <c r="D149" s="59" t="str">
        <f aca="false">IFERROR(IF([2]对账明细接口!$D$149=0,"",[2]对账明细接口!$D$149),"")</f>
        <v>原料入库</v>
      </c>
      <c r="E149" s="59" t="str">
        <f aca="false">IFERROR(IF([2]对账明细接口!$E$149=0,"",[2]对账明细接口!$E$149),"")</f>
        <v>NO:0000756</v>
      </c>
      <c r="F149" s="59" t="str">
        <f aca="false">IFERROR(IF([2]对账明细接口!$F$149=0,"",[2]对账明细接口!$F$149),"")</f>
        <v>香梨</v>
      </c>
      <c r="G149" s="59" t="str">
        <f aca="false">IFERROR(IF([2]对账明细接口!$G$149=0,"",[2]对账明细接口!$G$149),"")</f>
        <v>香梨二级</v>
      </c>
      <c r="H149" s="60" t="n">
        <f aca="false">IFERROR(IF([2]对账明细接口!$H$149=0,"",[2]对账明细接口!$H$149),"")</f>
        <v>21</v>
      </c>
      <c r="I149" s="59" t="str">
        <f aca="false">IFERROR(IF([2]对账明细接口!$I$149=0,"",[2]对账明细接口!$I$149),"")</f>
        <v>筐</v>
      </c>
      <c r="J149" s="61" t="n">
        <f aca="false">IFERROR(IF([2]对账明细接口!$J$149=0,"",[2]对账明细接口!$J$149),"")</f>
        <v>384.3</v>
      </c>
      <c r="K149" s="61" t="str">
        <f aca="false">IFERROR(IF([2]对账明细接口!$K$149=0,"",[2]对账明细接口!$K$149),"")</f>
        <v/>
      </c>
      <c r="L149" s="59" t="str">
        <f aca="false">IFERROR(IF([2]对账明细接口!$L$149=0,"",[2]对账明细接口!$L$149),"")</f>
        <v/>
      </c>
      <c r="M149" s="59" t="str">
        <f aca="false">IFERROR(IF([2]对账明细接口!$M$149=0,"",[2]对账明细接口!$M$149),"")</f>
        <v/>
      </c>
      <c r="N149" s="111" t="n">
        <f aca="false">IF($C149="",0,1)</f>
        <v>1</v>
      </c>
      <c r="O149" s="111" t="n">
        <f aca="false">N(O148)+$N149</f>
        <v>146</v>
      </c>
      <c r="S149" s="10" t="str">
        <f aca="false">IFERROR(IF([2]对账明细接口!$N149=0,"",[2]对账明细接口!$N149),"")</f>
        <v>公司红周转筐</v>
      </c>
      <c r="T149" s="112" t="str">
        <f aca="false">IFERROR(IF([2]对账明细接口!$O149=0,"",[2]对账明细接口!$O149),"")</f>
        <v/>
      </c>
      <c r="U149" s="112" t="str">
        <f aca="false">IFERROR(IF([2]对账明细接口!$P149=0,"",[2]对账明细接口!$P149),"")</f>
        <v/>
      </c>
      <c r="V149" s="112" t="n">
        <f aca="false">IFERROR(IF([2]对账明细接口!$Q149=0,"",[2]对账明细接口!$Q149),"")</f>
        <v>21</v>
      </c>
      <c r="W149" s="10" t="str">
        <f aca="false">IFERROR(IF([2]对账明细接口!$R149=0,"",[2]对账明细接口!$R149),"")</f>
        <v>新N*X8S48</v>
      </c>
      <c r="X149" s="10" t="str">
        <f aca="false">IFERROR(IF([2]对账明细接口!$S149=0,"",[2]对账明细接口!$S149),"")</f>
        <v>公司筐</v>
      </c>
      <c r="Y149" s="10" t="str">
        <f aca="false">IFERROR(IF([2]对账明细接口!$T149=0,"",[2]对账明细接口!$T149),"")</f>
        <v/>
      </c>
      <c r="Z149" s="113" t="str">
        <f aca="false">IFERROR(IF([2]对账明细接口!$U149=0,"",[2]对账明细接口!$U149),"")</f>
        <v/>
      </c>
      <c r="AA149" s="113" t="str">
        <f aca="false">IFERROR(IF([2]对账明细接口!$V149=0,"",[2]对账明细接口!$V149),"")</f>
        <v/>
      </c>
      <c r="AB149" s="10" t="str">
        <f aca="false">IFERROR(IF([2]对账明细接口!$W149=0,"",[2]对账明细接口!$W149),"")</f>
        <v/>
      </c>
      <c r="AC149" s="90" t="str">
        <f aca="false">IFERROR(IF([2]对账明细接口!$X150=0,"",[2]对账明细接口!$X150),"")</f>
        <v/>
      </c>
      <c r="AD149" s="90" t="str">
        <f aca="false">IFERROR(IF([2]对账明细接口!$Y150=0,"",[2]对账明细接口!$Y150),"")</f>
        <v/>
      </c>
      <c r="AE149" s="90" t="str">
        <f aca="false">IFERROR(IF([2]对账明细接口!$AA150=0,"",[2]对账明细接口!$AA150),"")</f>
        <v/>
      </c>
      <c r="AF149" s="90" t="str">
        <f aca="false">IFERROR(IF([2]对账明细接口!$AB150=0,"",[2]对账明细接口!$AB150),"")</f>
        <v/>
      </c>
      <c r="AG149" s="90" t="str">
        <f aca="false">IFERROR(IF([2]对账明细接口!$AC150=0,"",[2]对账明细接口!$AC150),"")</f>
        <v/>
      </c>
      <c r="AH149" s="90" t="str">
        <f aca="false">IFERROR(IF([2]对账明细接口!$AD150=0,"",[2]对账明细接口!$AD150),"")</f>
        <v/>
      </c>
    </row>
    <row r="150" customFormat="false" ht="13.5" hidden="false" customHeight="false" outlineLevel="0" collapsed="false">
      <c r="A150" s="109" t="n">
        <v>150</v>
      </c>
      <c r="B150" s="110" t="n">
        <f aca="false">IFERROR(IF([2]对账明细接口!$B$150=0,"",[2]对账明细接口!$B$150),"")</f>
        <v>46272</v>
      </c>
      <c r="C150" s="59" t="str">
        <f aca="false">IFERROR(IF([2]对账明细接口!$C$150=0,"",[2]对账明细接口!$C$150),"")</f>
        <v>吐尔洪</v>
      </c>
      <c r="D150" s="59" t="str">
        <f aca="false">IFERROR(IF([2]对账明细接口!$D$150=0,"",[2]对账明细接口!$D$150),"")</f>
        <v>原料入库</v>
      </c>
      <c r="E150" s="59" t="str">
        <f aca="false">IFERROR(IF([2]对账明细接口!$E$150=0,"",[2]对账明细接口!$E$150),"")</f>
        <v>NO:0000756</v>
      </c>
      <c r="F150" s="59" t="str">
        <f aca="false">IFERROR(IF([2]对账明细接口!$F$150=0,"",[2]对账明细接口!$F$150),"")</f>
        <v>香梨</v>
      </c>
      <c r="G150" s="59" t="str">
        <f aca="false">IFERROR(IF([2]对账明细接口!$G$150=0,"",[2]对账明细接口!$G$150),"")</f>
        <v>香梨二级</v>
      </c>
      <c r="H150" s="60" t="n">
        <f aca="false">IFERROR(IF([2]对账明细接口!$H$150=0,"",[2]对账明细接口!$H$150),"")</f>
        <v>67</v>
      </c>
      <c r="I150" s="59" t="str">
        <f aca="false">IFERROR(IF([2]对账明细接口!$I$150=0,"",[2]对账明细接口!$I$150),"")</f>
        <v>筐</v>
      </c>
      <c r="J150" s="61" t="n">
        <f aca="false">IFERROR(IF([2]对账明细接口!$J$150=0,"",[2]对账明细接口!$J$150),"")</f>
        <v>1494.1</v>
      </c>
      <c r="K150" s="61" t="str">
        <f aca="false">IFERROR(IF([2]对账明细接口!$K$150=0,"",[2]对账明细接口!$K$150),"")</f>
        <v/>
      </c>
      <c r="L150" s="59" t="str">
        <f aca="false">IFERROR(IF([2]对账明细接口!$L$150=0,"",[2]对账明细接口!$L$150),"")</f>
        <v/>
      </c>
      <c r="M150" s="59" t="str">
        <f aca="false">IFERROR(IF([2]对账明细接口!$M$150=0,"",[2]对账明细接口!$M$150),"")</f>
        <v/>
      </c>
      <c r="N150" s="111" t="n">
        <f aca="false">IF($C150="",0,1)</f>
        <v>1</v>
      </c>
      <c r="O150" s="111" t="n">
        <f aca="false">N(O149)+$N150</f>
        <v>147</v>
      </c>
      <c r="S150" s="10" t="str">
        <f aca="false">IFERROR(IF([2]对账明细接口!$N150=0,"",[2]对账明细接口!$N150),"")</f>
        <v>公司红周转筐</v>
      </c>
      <c r="T150" s="112" t="str">
        <f aca="false">IFERROR(IF([2]对账明细接口!$O150=0,"",[2]对账明细接口!$O150),"")</f>
        <v/>
      </c>
      <c r="U150" s="112" t="str">
        <f aca="false">IFERROR(IF([2]对账明细接口!$P150=0,"",[2]对账明细接口!$P150),"")</f>
        <v/>
      </c>
      <c r="V150" s="112" t="n">
        <f aca="false">IFERROR(IF([2]对账明细接口!$Q150=0,"",[2]对账明细接口!$Q150),"")</f>
        <v>67</v>
      </c>
      <c r="W150" s="10" t="str">
        <f aca="false">IFERROR(IF([2]对账明细接口!$R150=0,"",[2]对账明细接口!$R150),"")</f>
        <v>新N*X8S48</v>
      </c>
      <c r="X150" s="10" t="str">
        <f aca="false">IFERROR(IF([2]对账明细接口!$S150=0,"",[2]对账明细接口!$S150),"")</f>
        <v>公司筐</v>
      </c>
      <c r="Y150" s="10" t="str">
        <f aca="false">IFERROR(IF([2]对账明细接口!$T150=0,"",[2]对账明细接口!$T150),"")</f>
        <v/>
      </c>
      <c r="Z150" s="113" t="str">
        <f aca="false">IFERROR(IF([2]对账明细接口!$U150=0,"",[2]对账明细接口!$U150),"")</f>
        <v/>
      </c>
      <c r="AA150" s="113" t="str">
        <f aca="false">IFERROR(IF([2]对账明细接口!$V150=0,"",[2]对账明细接口!$V150),"")</f>
        <v/>
      </c>
      <c r="AB150" s="10" t="str">
        <f aca="false">IFERROR(IF([2]对账明细接口!$W150=0,"",[2]对账明细接口!$W150),"")</f>
        <v/>
      </c>
      <c r="AC150" s="90" t="str">
        <f aca="false">IFERROR(IF([2]对账明细接口!$X151=0,"",[2]对账明细接口!$X151),"")</f>
        <v/>
      </c>
      <c r="AD150" s="90" t="str">
        <f aca="false">IFERROR(IF([2]对账明细接口!$Y151=0,"",[2]对账明细接口!$Y151),"")</f>
        <v/>
      </c>
      <c r="AE150" s="90" t="str">
        <f aca="false">IFERROR(IF([2]对账明细接口!$AA151=0,"",[2]对账明细接口!$AA151),"")</f>
        <v/>
      </c>
      <c r="AF150" s="90" t="str">
        <f aca="false">IFERROR(IF([2]对账明细接口!$AB151=0,"",[2]对账明细接口!$AB151),"")</f>
        <v/>
      </c>
      <c r="AG150" s="90" t="str">
        <f aca="false">IFERROR(IF([2]对账明细接口!$AC151=0,"",[2]对账明细接口!$AC151),"")</f>
        <v/>
      </c>
      <c r="AH150" s="90" t="str">
        <f aca="false">IFERROR(IF([2]对账明细接口!$AD151=0,"",[2]对账明细接口!$AD151),"")</f>
        <v/>
      </c>
    </row>
    <row r="151" customFormat="false" ht="13.5" hidden="false" customHeight="false" outlineLevel="0" collapsed="false">
      <c r="A151" s="109" t="n">
        <v>151</v>
      </c>
      <c r="B151" s="110" t="n">
        <f aca="false">IFERROR(IF([2]对账明细接口!$B$151=0,"",[2]对账明细接口!$B$151),"")</f>
        <v>46272</v>
      </c>
      <c r="C151" s="59" t="str">
        <f aca="false">IFERROR(IF([2]对账明细接口!$C$151=0,"",[2]对账明细接口!$C$151),"")</f>
        <v>马锦祥</v>
      </c>
      <c r="D151" s="59" t="str">
        <f aca="false">IFERROR(IF([2]对账明细接口!$D$151=0,"",[2]对账明细接口!$D$151),"")</f>
        <v>原料入库</v>
      </c>
      <c r="E151" s="59" t="str">
        <f aca="false">IFERROR(IF([2]对账明细接口!$E$151=0,"",[2]对账明细接口!$E$151),"")</f>
        <v>NO:0000757</v>
      </c>
      <c r="F151" s="59" t="str">
        <f aca="false">IFERROR(IF([2]对账明细接口!$F$151=0,"",[2]对账明细接口!$F$151),"")</f>
        <v>香梨</v>
      </c>
      <c r="G151" s="59" t="str">
        <f aca="false">IFERROR(IF([2]对账明细接口!$G$151=0,"",[2]对账明细接口!$G$151),"")</f>
        <v>香梨一级</v>
      </c>
      <c r="H151" s="60" t="n">
        <f aca="false">IFERROR(IF([2]对账明细接口!$H$151=0,"",[2]对账明细接口!$H$151),"")</f>
        <v>320</v>
      </c>
      <c r="I151" s="59" t="str">
        <f aca="false">IFERROR(IF([2]对账明细接口!$I$151=0,"",[2]对账明细接口!$I$151),"")</f>
        <v>筐</v>
      </c>
      <c r="J151" s="61" t="n">
        <f aca="false">IFERROR(IF([2]对账明细接口!$J$151=0,"",[2]对账明细接口!$J$151),"")</f>
        <v>5856</v>
      </c>
      <c r="K151" s="61" t="str">
        <f aca="false">IFERROR(IF([2]对账明细接口!$K$151=0,"",[2]对账明细接口!$K$151),"")</f>
        <v/>
      </c>
      <c r="L151" s="59" t="str">
        <f aca="false">IFERROR(IF([2]对账明细接口!$L$151=0,"",[2]对账明细接口!$L$151),"")</f>
        <v/>
      </c>
      <c r="M151" s="59" t="str">
        <f aca="false">IFERROR(IF([2]对账明细接口!$M$151=0,"",[2]对账明细接口!$M$151),"")</f>
        <v/>
      </c>
      <c r="N151" s="111" t="n">
        <f aca="false">IF($C151="",0,1)</f>
        <v>1</v>
      </c>
      <c r="O151" s="111" t="n">
        <f aca="false">N(O150)+$N151</f>
        <v>148</v>
      </c>
      <c r="S151" s="10" t="str">
        <f aca="false">IFERROR(IF([2]对账明细接口!$N151=0,"",[2]对账明细接口!$N151),"")</f>
        <v>公司杂周转筐</v>
      </c>
      <c r="T151" s="112" t="str">
        <f aca="false">IFERROR(IF([2]对账明细接口!$O151=0,"",[2]对账明细接口!$O151),"")</f>
        <v/>
      </c>
      <c r="U151" s="112" t="str">
        <f aca="false">IFERROR(IF([2]对账明细接口!$P151=0,"",[2]对账明细接口!$P151),"")</f>
        <v/>
      </c>
      <c r="V151" s="112" t="n">
        <f aca="false">IFERROR(IF([2]对账明细接口!$Q151=0,"",[2]对账明细接口!$Q151),"")</f>
        <v>320</v>
      </c>
      <c r="W151" s="10" t="str">
        <f aca="false">IFERROR(IF([2]对账明细接口!$R151=0,"",[2]对账明细接口!$R151),"")</f>
        <v>新N*K7V85</v>
      </c>
      <c r="X151" s="10" t="str">
        <f aca="false">IFERROR(IF([2]对账明细接口!$S151=0,"",[2]对账明细接口!$S151),"")</f>
        <v>公司筐</v>
      </c>
      <c r="Y151" s="10" t="str">
        <f aca="false">IFERROR(IF([2]对账明细接口!$T151=0,"",[2]对账明细接口!$T151),"")</f>
        <v/>
      </c>
      <c r="Z151" s="113" t="str">
        <f aca="false">IFERROR(IF([2]对账明细接口!$U151=0,"",[2]对账明细接口!$U151),"")</f>
        <v/>
      </c>
      <c r="AA151" s="113" t="str">
        <f aca="false">IFERROR(IF([2]对账明细接口!$V151=0,"",[2]对账明细接口!$V151),"")</f>
        <v/>
      </c>
      <c r="AB151" s="10" t="str">
        <f aca="false">IFERROR(IF([2]对账明细接口!$W151=0,"",[2]对账明细接口!$W151),"")</f>
        <v/>
      </c>
      <c r="AC151" s="90" t="str">
        <f aca="false">IFERROR(IF([2]对账明细接口!$X152=0,"",[2]对账明细接口!$X152),"")</f>
        <v/>
      </c>
      <c r="AD151" s="90" t="str">
        <f aca="false">IFERROR(IF([2]对账明细接口!$Y152=0,"",[2]对账明细接口!$Y152),"")</f>
        <v/>
      </c>
      <c r="AE151" s="90" t="str">
        <f aca="false">IFERROR(IF([2]对账明细接口!$AA152=0,"",[2]对账明细接口!$AA152),"")</f>
        <v/>
      </c>
      <c r="AF151" s="90" t="str">
        <f aca="false">IFERROR(IF([2]对账明细接口!$AB152=0,"",[2]对账明细接口!$AB152),"")</f>
        <v/>
      </c>
      <c r="AG151" s="90" t="str">
        <f aca="false">IFERROR(IF([2]对账明细接口!$AC152=0,"",[2]对账明细接口!$AC152),"")</f>
        <v/>
      </c>
      <c r="AH151" s="90" t="str">
        <f aca="false">IFERROR(IF([2]对账明细接口!$AD152=0,"",[2]对账明细接口!$AD152),"")</f>
        <v/>
      </c>
    </row>
    <row r="152" customFormat="false" ht="13.5" hidden="false" customHeight="false" outlineLevel="0" collapsed="false">
      <c r="A152" s="109" t="n">
        <v>152</v>
      </c>
      <c r="B152" s="110" t="n">
        <f aca="false">IFERROR(IF([2]对账明细接口!$B$152=0,"",[2]对账明细接口!$B$152),"")</f>
        <v>46272</v>
      </c>
      <c r="C152" s="59" t="str">
        <f aca="false">IFERROR(IF([2]对账明细接口!$C$152=0,"",[2]对账明细接口!$C$152),"")</f>
        <v>马锦祥</v>
      </c>
      <c r="D152" s="59" t="str">
        <f aca="false">IFERROR(IF([2]对账明细接口!$D$152=0,"",[2]对账明细接口!$D$152),"")</f>
        <v>原料入库</v>
      </c>
      <c r="E152" s="59" t="str">
        <f aca="false">IFERROR(IF([2]对账明细接口!$E$152=0,"",[2]对账明细接口!$E$152),"")</f>
        <v>NO:0000757</v>
      </c>
      <c r="F152" s="59" t="str">
        <f aca="false">IFERROR(IF([2]对账明细接口!$F$152=0,"",[2]对账明细接口!$F$152),"")</f>
        <v>香梨</v>
      </c>
      <c r="G152" s="59" t="str">
        <f aca="false">IFERROR(IF([2]对账明细接口!$G$152=0,"",[2]对账明细接口!$G$152),"")</f>
        <v>香梨二级</v>
      </c>
      <c r="H152" s="60" t="n">
        <f aca="false">IFERROR(IF([2]对账明细接口!$H$152=0,"",[2]对账明细接口!$H$152),"")</f>
        <v>64</v>
      </c>
      <c r="I152" s="59" t="str">
        <f aca="false">IFERROR(IF([2]对账明细接口!$I$152=0,"",[2]对账明细接口!$I$152),"")</f>
        <v>筐</v>
      </c>
      <c r="J152" s="61" t="n">
        <f aca="false">IFERROR(IF([2]对账明细接口!$J$152=0,"",[2]对账明细接口!$J$152),"")</f>
        <v>1427.2</v>
      </c>
      <c r="K152" s="61" t="str">
        <f aca="false">IFERROR(IF([2]对账明细接口!$K$152=0,"",[2]对账明细接口!$K$152),"")</f>
        <v/>
      </c>
      <c r="L152" s="59" t="str">
        <f aca="false">IFERROR(IF([2]对账明细接口!$L$152=0,"",[2]对账明细接口!$L$152),"")</f>
        <v/>
      </c>
      <c r="M152" s="59" t="str">
        <f aca="false">IFERROR(IF([2]对账明细接口!$M$152=0,"",[2]对账明细接口!$M$152),"")</f>
        <v/>
      </c>
      <c r="N152" s="111" t="n">
        <f aca="false">IF($C152="",0,1)</f>
        <v>1</v>
      </c>
      <c r="O152" s="111" t="n">
        <f aca="false">N(O151)+$N152</f>
        <v>149</v>
      </c>
      <c r="S152" s="10" t="str">
        <f aca="false">IFERROR(IF([2]对账明细接口!$N152=0,"",[2]对账明细接口!$N152),"")</f>
        <v>公司杂周转筐</v>
      </c>
      <c r="T152" s="112" t="str">
        <f aca="false">IFERROR(IF([2]对账明细接口!$O152=0,"",[2]对账明细接口!$O152),"")</f>
        <v/>
      </c>
      <c r="U152" s="112" t="str">
        <f aca="false">IFERROR(IF([2]对账明细接口!$P152=0,"",[2]对账明细接口!$P152),"")</f>
        <v/>
      </c>
      <c r="V152" s="112" t="n">
        <f aca="false">IFERROR(IF([2]对账明细接口!$Q152=0,"",[2]对账明细接口!$Q152),"")</f>
        <v>64</v>
      </c>
      <c r="W152" s="10" t="str">
        <f aca="false">IFERROR(IF([2]对账明细接口!$R152=0,"",[2]对账明细接口!$R152),"")</f>
        <v>新N*K7V85</v>
      </c>
      <c r="X152" s="10" t="str">
        <f aca="false">IFERROR(IF([2]对账明细接口!$S152=0,"",[2]对账明细接口!$S152),"")</f>
        <v>公司筐</v>
      </c>
      <c r="Y152" s="10" t="str">
        <f aca="false">IFERROR(IF([2]对账明细接口!$T152=0,"",[2]对账明细接口!$T152),"")</f>
        <v/>
      </c>
      <c r="Z152" s="113" t="str">
        <f aca="false">IFERROR(IF([2]对账明细接口!$U152=0,"",[2]对账明细接口!$U152),"")</f>
        <v/>
      </c>
      <c r="AA152" s="113" t="str">
        <f aca="false">IFERROR(IF([2]对账明细接口!$V152=0,"",[2]对账明细接口!$V152),"")</f>
        <v/>
      </c>
      <c r="AB152" s="10" t="str">
        <f aca="false">IFERROR(IF([2]对账明细接口!$W152=0,"",[2]对账明细接口!$W152),"")</f>
        <v/>
      </c>
      <c r="AC152" s="90" t="str">
        <f aca="false">IFERROR(IF([2]对账明细接口!$X153=0,"",[2]对账明细接口!$X153),"")</f>
        <v/>
      </c>
      <c r="AD152" s="90" t="str">
        <f aca="false">IFERROR(IF([2]对账明细接口!$Y153=0,"",[2]对账明细接口!$Y153),"")</f>
        <v/>
      </c>
      <c r="AE152" s="90" t="str">
        <f aca="false">IFERROR(IF([2]对账明细接口!$AA153=0,"",[2]对账明细接口!$AA153),"")</f>
        <v/>
      </c>
      <c r="AF152" s="90" t="str">
        <f aca="false">IFERROR(IF([2]对账明细接口!$AB153=0,"",[2]对账明细接口!$AB153),"")</f>
        <v/>
      </c>
      <c r="AG152" s="90" t="str">
        <f aca="false">IFERROR(IF([2]对账明细接口!$AC153=0,"",[2]对账明细接口!$AC153),"")</f>
        <v/>
      </c>
      <c r="AH152" s="90" t="str">
        <f aca="false">IFERROR(IF([2]对账明细接口!$AD153=0,"",[2]对账明细接口!$AD153),"")</f>
        <v/>
      </c>
    </row>
    <row r="153" customFormat="false" ht="13.5" hidden="false" customHeight="false" outlineLevel="0" collapsed="false">
      <c r="A153" s="109" t="n">
        <v>153</v>
      </c>
      <c r="B153" s="110" t="n">
        <f aca="false">IFERROR(IF([2]对账明细接口!$B$153=0,"",[2]对账明细接口!$B$153),"")</f>
        <v>46272</v>
      </c>
      <c r="C153" s="59" t="str">
        <f aca="false">IFERROR(IF([2]对账明细接口!$C$153=0,"",[2]对账明细接口!$C$153),"")</f>
        <v>马锦祥</v>
      </c>
      <c r="D153" s="59" t="str">
        <f aca="false">IFERROR(IF([2]对账明细接口!$D$153=0,"",[2]对账明细接口!$D$153),"")</f>
        <v>原料入库</v>
      </c>
      <c r="E153" s="59" t="str">
        <f aca="false">IFERROR(IF([2]对账明细接口!$E$153=0,"",[2]对账明细接口!$E$153),"")</f>
        <v>NO:0000757</v>
      </c>
      <c r="F153" s="59" t="str">
        <f aca="false">IFERROR(IF([2]对账明细接口!$F$153=0,"",[2]对账明细接口!$F$153),"")</f>
        <v>香梨</v>
      </c>
      <c r="G153" s="59" t="str">
        <f aca="false">IFERROR(IF([2]对账明细接口!$G$153=0,"",[2]对账明细接口!$G$153),"")</f>
        <v>香梨副特</v>
      </c>
      <c r="H153" s="60" t="n">
        <f aca="false">IFERROR(IF([2]对账明细接口!$H$153=0,"",[2]对账明细接口!$H$153),"")</f>
        <v>16</v>
      </c>
      <c r="I153" s="59" t="str">
        <f aca="false">IFERROR(IF([2]对账明细接口!$I$153=0,"",[2]对账明细接口!$I$153),"")</f>
        <v>筐</v>
      </c>
      <c r="J153" s="61" t="n">
        <f aca="false">IFERROR(IF([2]对账明细接口!$J$153=0,"",[2]对账明细接口!$J$153),"")</f>
        <v>292.8</v>
      </c>
      <c r="K153" s="61" t="str">
        <f aca="false">IFERROR(IF([2]对账明细接口!$K$153=0,"",[2]对账明细接口!$K$153),"")</f>
        <v/>
      </c>
      <c r="L153" s="59" t="str">
        <f aca="false">IFERROR(IF([2]对账明细接口!$L$153=0,"",[2]对账明细接口!$L$153),"")</f>
        <v/>
      </c>
      <c r="M153" s="59" t="str">
        <f aca="false">IFERROR(IF([2]对账明细接口!$M$153=0,"",[2]对账明细接口!$M$153),"")</f>
        <v/>
      </c>
      <c r="N153" s="111" t="n">
        <f aca="false">IF($C153="",0,1)</f>
        <v>1</v>
      </c>
      <c r="O153" s="111" t="n">
        <f aca="false">N(O152)+$N153</f>
        <v>150</v>
      </c>
      <c r="S153" s="10" t="str">
        <f aca="false">IFERROR(IF([2]对账明细接口!$N153=0,"",[2]对账明细接口!$N153),"")</f>
        <v>公司杂周转筐</v>
      </c>
      <c r="T153" s="112" t="str">
        <f aca="false">IFERROR(IF([2]对账明细接口!$O153=0,"",[2]对账明细接口!$O153),"")</f>
        <v/>
      </c>
      <c r="U153" s="112" t="str">
        <f aca="false">IFERROR(IF([2]对账明细接口!$P153=0,"",[2]对账明细接口!$P153),"")</f>
        <v/>
      </c>
      <c r="V153" s="112" t="n">
        <f aca="false">IFERROR(IF([2]对账明细接口!$Q153=0,"",[2]对账明细接口!$Q153),"")</f>
        <v>16</v>
      </c>
      <c r="W153" s="10" t="str">
        <f aca="false">IFERROR(IF([2]对账明细接口!$R153=0,"",[2]对账明细接口!$R153),"")</f>
        <v>新N*K7V85</v>
      </c>
      <c r="X153" s="10" t="str">
        <f aca="false">IFERROR(IF([2]对账明细接口!$S153=0,"",[2]对账明细接口!$S153),"")</f>
        <v>公司筐</v>
      </c>
      <c r="Y153" s="10" t="str">
        <f aca="false">IFERROR(IF([2]对账明细接口!$T153=0,"",[2]对账明细接口!$T153),"")</f>
        <v/>
      </c>
      <c r="Z153" s="113" t="str">
        <f aca="false">IFERROR(IF([2]对账明细接口!$U153=0,"",[2]对账明细接口!$U153),"")</f>
        <v/>
      </c>
      <c r="AA153" s="113" t="str">
        <f aca="false">IFERROR(IF([2]对账明细接口!$V153=0,"",[2]对账明细接口!$V153),"")</f>
        <v/>
      </c>
      <c r="AB153" s="10" t="str">
        <f aca="false">IFERROR(IF([2]对账明细接口!$W153=0,"",[2]对账明细接口!$W153),"")</f>
        <v/>
      </c>
      <c r="AC153" s="90" t="str">
        <f aca="false">IFERROR(IF([2]对账明细接口!$X154=0,"",[2]对账明细接口!$X154),"")</f>
        <v/>
      </c>
      <c r="AD153" s="90" t="str">
        <f aca="false">IFERROR(IF([2]对账明细接口!$Y154=0,"",[2]对账明细接口!$Y154),"")</f>
        <v/>
      </c>
      <c r="AE153" s="90" t="str">
        <f aca="false">IFERROR(IF([2]对账明细接口!$AA154=0,"",[2]对账明细接口!$AA154),"")</f>
        <v/>
      </c>
      <c r="AF153" s="90" t="str">
        <f aca="false">IFERROR(IF([2]对账明细接口!$AB154=0,"",[2]对账明细接口!$AB154),"")</f>
        <v/>
      </c>
      <c r="AG153" s="90" t="str">
        <f aca="false">IFERROR(IF([2]对账明细接口!$AC154=0,"",[2]对账明细接口!$AC154),"")</f>
        <v/>
      </c>
      <c r="AH153" s="90" t="str">
        <f aca="false">IFERROR(IF([2]对账明细接口!$AD154=0,"",[2]对账明细接口!$AD154),"")</f>
        <v/>
      </c>
    </row>
    <row r="154" customFormat="false" ht="13.5" hidden="false" customHeight="false" outlineLevel="0" collapsed="false">
      <c r="A154" s="109" t="n">
        <v>154</v>
      </c>
      <c r="B154" s="110" t="n">
        <f aca="false">IFERROR(IF([2]对账明细接口!$B$154=0,"",[2]对账明细接口!$B$154),"")</f>
        <v>46272</v>
      </c>
      <c r="C154" s="59" t="str">
        <f aca="false">IFERROR(IF([2]对账明细接口!$C$154=0,"",[2]对账明细接口!$C$154),"")</f>
        <v>热合曼</v>
      </c>
      <c r="D154" s="59" t="str">
        <f aca="false">IFERROR(IF([2]对账明细接口!$D$154=0,"",[2]对账明细接口!$D$154),"")</f>
        <v>原料入库</v>
      </c>
      <c r="E154" s="59" t="str">
        <f aca="false">IFERROR(IF([2]对账明细接口!$E$154=0,"",[2]对账明细接口!$E$154),"")</f>
        <v>NO:0000758</v>
      </c>
      <c r="F154" s="59" t="str">
        <f aca="false">IFERROR(IF([2]对账明细接口!$F$154=0,"",[2]对账明细接口!$F$154),"")</f>
        <v>香梨</v>
      </c>
      <c r="G154" s="59" t="str">
        <f aca="false">IFERROR(IF([2]对账明细接口!$G$154=0,"",[2]对账明细接口!$G$154),"")</f>
        <v>香梨一级</v>
      </c>
      <c r="H154" s="60" t="n">
        <f aca="false">IFERROR(IF([2]对账明细接口!$H$154=0,"",[2]对账明细接口!$H$154),"")</f>
        <v>129</v>
      </c>
      <c r="I154" s="59" t="str">
        <f aca="false">IFERROR(IF([2]对账明细接口!$I$154=0,"",[2]对账明细接口!$I$154),"")</f>
        <v>筐</v>
      </c>
      <c r="J154" s="61" t="n">
        <f aca="false">IFERROR(IF([2]对账明细接口!$J$154=0,"",[2]对账明细接口!$J$154),"")</f>
        <v>2360.7</v>
      </c>
      <c r="K154" s="61" t="str">
        <f aca="false">IFERROR(IF([2]对账明细接口!$K$154=0,"",[2]对账明细接口!$K$154),"")</f>
        <v/>
      </c>
      <c r="L154" s="59" t="str">
        <f aca="false">IFERROR(IF([2]对账明细接口!$L$154=0,"",[2]对账明细接口!$L$154),"")</f>
        <v/>
      </c>
      <c r="M154" s="59" t="str">
        <f aca="false">IFERROR(IF([2]对账明细接口!$M$154=0,"",[2]对账明细接口!$M$154),"")</f>
        <v/>
      </c>
      <c r="N154" s="111" t="n">
        <f aca="false">IF($C154="",0,1)</f>
        <v>1</v>
      </c>
      <c r="O154" s="111" t="n">
        <f aca="false">N(O153)+$N154</f>
        <v>151</v>
      </c>
      <c r="S154" s="10" t="str">
        <f aca="false">IFERROR(IF([2]对账明细接口!$N154=0,"",[2]对账明细接口!$N154),"")</f>
        <v>公司红周转筐</v>
      </c>
      <c r="T154" s="112" t="str">
        <f aca="false">IFERROR(IF([2]对账明细接口!$O154=0,"",[2]对账明细接口!$O154),"")</f>
        <v/>
      </c>
      <c r="U154" s="112" t="str">
        <f aca="false">IFERROR(IF([2]对账明细接口!$P154=0,"",[2]对账明细接口!$P154),"")</f>
        <v/>
      </c>
      <c r="V154" s="112" t="n">
        <f aca="false">IFERROR(IF([2]对账明细接口!$Q154=0,"",[2]对账明细接口!$Q154),"")</f>
        <v>129</v>
      </c>
      <c r="W154" s="10" t="str">
        <f aca="false">IFERROR(IF([2]对账明细接口!$R154=0,"",[2]对账明细接口!$R154),"")</f>
        <v>新A*G0554</v>
      </c>
      <c r="X154" s="10" t="str">
        <f aca="false">IFERROR(IF([2]对账明细接口!$S154=0,"",[2]对账明细接口!$S154),"")</f>
        <v>公司筐</v>
      </c>
      <c r="Y154" s="10" t="str">
        <f aca="false">IFERROR(IF([2]对账明细接口!$T154=0,"",[2]对账明细接口!$T154),"")</f>
        <v/>
      </c>
      <c r="Z154" s="113" t="str">
        <f aca="false">IFERROR(IF([2]对账明细接口!$U154=0,"",[2]对账明细接口!$U154),"")</f>
        <v/>
      </c>
      <c r="AA154" s="113" t="str">
        <f aca="false">IFERROR(IF([2]对账明细接口!$V154=0,"",[2]对账明细接口!$V154),"")</f>
        <v/>
      </c>
      <c r="AB154" s="10" t="str">
        <f aca="false">IFERROR(IF([2]对账明细接口!$W154=0,"",[2]对账明细接口!$W154),"")</f>
        <v/>
      </c>
      <c r="AC154" s="90" t="str">
        <f aca="false">IFERROR(IF([2]对账明细接口!$X155=0,"",[2]对账明细接口!$X155),"")</f>
        <v/>
      </c>
      <c r="AD154" s="90" t="str">
        <f aca="false">IFERROR(IF([2]对账明细接口!$Y155=0,"",[2]对账明细接口!$Y155),"")</f>
        <v/>
      </c>
      <c r="AE154" s="90" t="str">
        <f aca="false">IFERROR(IF([2]对账明细接口!$AA155=0,"",[2]对账明细接口!$AA155),"")</f>
        <v/>
      </c>
      <c r="AF154" s="90" t="str">
        <f aca="false">IFERROR(IF([2]对账明细接口!$AB155=0,"",[2]对账明细接口!$AB155),"")</f>
        <v/>
      </c>
      <c r="AG154" s="90" t="str">
        <f aca="false">IFERROR(IF([2]对账明细接口!$AC155=0,"",[2]对账明细接口!$AC155),"")</f>
        <v/>
      </c>
      <c r="AH154" s="90" t="str">
        <f aca="false">IFERROR(IF([2]对账明细接口!$AD155=0,"",[2]对账明细接口!$AD155),"")</f>
        <v/>
      </c>
    </row>
    <row r="155" customFormat="false" ht="13.5" hidden="false" customHeight="false" outlineLevel="0" collapsed="false">
      <c r="A155" s="109" t="n">
        <v>155</v>
      </c>
      <c r="B155" s="110" t="n">
        <f aca="false">IFERROR(IF([2]对账明细接口!$B$155=0,"",[2]对账明细接口!$B$155),"")</f>
        <v>46272</v>
      </c>
      <c r="C155" s="59" t="str">
        <f aca="false">IFERROR(IF([2]对账明细接口!$C$155=0,"",[2]对账明细接口!$C$155),"")</f>
        <v>热合曼</v>
      </c>
      <c r="D155" s="59" t="str">
        <f aca="false">IFERROR(IF([2]对账明细接口!$D$155=0,"",[2]对账明细接口!$D$155),"")</f>
        <v>原料入库</v>
      </c>
      <c r="E155" s="59" t="str">
        <f aca="false">IFERROR(IF([2]对账明细接口!$E$155=0,"",[2]对账明细接口!$E$155),"")</f>
        <v>NO:0000758</v>
      </c>
      <c r="F155" s="59" t="str">
        <f aca="false">IFERROR(IF([2]对账明细接口!$F$155=0,"",[2]对账明细接口!$F$155),"")</f>
        <v>香梨</v>
      </c>
      <c r="G155" s="59" t="str">
        <f aca="false">IFERROR(IF([2]对账明细接口!$G$155=0,"",[2]对账明细接口!$G$155),"")</f>
        <v>香梨二级</v>
      </c>
      <c r="H155" s="60" t="n">
        <f aca="false">IFERROR(IF([2]对账明细接口!$H$155=0,"",[2]对账明细接口!$H$155),"")</f>
        <v>119</v>
      </c>
      <c r="I155" s="59" t="str">
        <f aca="false">IFERROR(IF([2]对账明细接口!$I$155=0,"",[2]对账明细接口!$I$155),"")</f>
        <v>筐</v>
      </c>
      <c r="J155" s="61" t="n">
        <f aca="false">IFERROR(IF([2]对账明细接口!$J$155=0,"",[2]对账明细接口!$J$155),"")</f>
        <v>2653.7</v>
      </c>
      <c r="K155" s="61" t="str">
        <f aca="false">IFERROR(IF([2]对账明细接口!$K$155=0,"",[2]对账明细接口!$K$155),"")</f>
        <v/>
      </c>
      <c r="L155" s="59" t="str">
        <f aca="false">IFERROR(IF([2]对账明细接口!$L$155=0,"",[2]对账明细接口!$L$155),"")</f>
        <v/>
      </c>
      <c r="M155" s="59" t="str">
        <f aca="false">IFERROR(IF([2]对账明细接口!$M$155=0,"",[2]对账明细接口!$M$155),"")</f>
        <v/>
      </c>
      <c r="N155" s="111" t="n">
        <f aca="false">IF($C155="",0,1)</f>
        <v>1</v>
      </c>
      <c r="O155" s="111" t="n">
        <f aca="false">N(O154)+$N155</f>
        <v>152</v>
      </c>
      <c r="S155" s="10" t="str">
        <f aca="false">IFERROR(IF([2]对账明细接口!$N155=0,"",[2]对账明细接口!$N155),"")</f>
        <v>公司红周转筐</v>
      </c>
      <c r="T155" s="112" t="str">
        <f aca="false">IFERROR(IF([2]对账明细接口!$O155=0,"",[2]对账明细接口!$O155),"")</f>
        <v/>
      </c>
      <c r="U155" s="112" t="str">
        <f aca="false">IFERROR(IF([2]对账明细接口!$P155=0,"",[2]对账明细接口!$P155),"")</f>
        <v/>
      </c>
      <c r="V155" s="112" t="n">
        <f aca="false">IFERROR(IF([2]对账明细接口!$Q155=0,"",[2]对账明细接口!$Q155),"")</f>
        <v>119</v>
      </c>
      <c r="W155" s="10" t="str">
        <f aca="false">IFERROR(IF([2]对账明细接口!$R155=0,"",[2]对账明细接口!$R155),"")</f>
        <v>新A*G0554</v>
      </c>
      <c r="X155" s="10" t="str">
        <f aca="false">IFERROR(IF([2]对账明细接口!$S155=0,"",[2]对账明细接口!$S155),"")</f>
        <v>公司筐</v>
      </c>
      <c r="Y155" s="10" t="str">
        <f aca="false">IFERROR(IF([2]对账明细接口!$T155=0,"",[2]对账明细接口!$T155),"")</f>
        <v/>
      </c>
      <c r="Z155" s="113" t="str">
        <f aca="false">IFERROR(IF([2]对账明细接口!$U155=0,"",[2]对账明细接口!$U155),"")</f>
        <v/>
      </c>
      <c r="AA155" s="113" t="str">
        <f aca="false">IFERROR(IF([2]对账明细接口!$V155=0,"",[2]对账明细接口!$V155),"")</f>
        <v/>
      </c>
      <c r="AB155" s="10" t="str">
        <f aca="false">IFERROR(IF([2]对账明细接口!$W155=0,"",[2]对账明细接口!$W155),"")</f>
        <v/>
      </c>
      <c r="AC155" s="90" t="str">
        <f aca="false">IFERROR(IF([2]对账明细接口!$X156=0,"",[2]对账明细接口!$X156),"")</f>
        <v/>
      </c>
      <c r="AD155" s="90" t="str">
        <f aca="false">IFERROR(IF([2]对账明细接口!$Y156=0,"",[2]对账明细接口!$Y156),"")</f>
        <v/>
      </c>
      <c r="AE155" s="90" t="str">
        <f aca="false">IFERROR(IF([2]对账明细接口!$AA156=0,"",[2]对账明细接口!$AA156),"")</f>
        <v/>
      </c>
      <c r="AF155" s="90" t="str">
        <f aca="false">IFERROR(IF([2]对账明细接口!$AB156=0,"",[2]对账明细接口!$AB156),"")</f>
        <v/>
      </c>
      <c r="AG155" s="90" t="str">
        <f aca="false">IFERROR(IF([2]对账明细接口!$AC156=0,"",[2]对账明细接口!$AC156),"")</f>
        <v/>
      </c>
      <c r="AH155" s="90" t="str">
        <f aca="false">IFERROR(IF([2]对账明细接口!$AD156=0,"",[2]对账明细接口!$AD156),"")</f>
        <v/>
      </c>
    </row>
    <row r="156" customFormat="false" ht="13.5" hidden="false" customHeight="false" outlineLevel="0" collapsed="false">
      <c r="A156" s="109" t="n">
        <v>156</v>
      </c>
      <c r="B156" s="110" t="n">
        <f aca="false">IFERROR(IF([2]对账明细接口!$B$156=0,"",[2]对账明细接口!$B$156),"")</f>
        <v>46272</v>
      </c>
      <c r="C156" s="59" t="str">
        <f aca="false">IFERROR(IF([2]对账明细接口!$C$156=0,"",[2]对账明细接口!$C$156),"")</f>
        <v>热合曼</v>
      </c>
      <c r="D156" s="59" t="str">
        <f aca="false">IFERROR(IF([2]对账明细接口!$D$156=0,"",[2]对账明细接口!$D$156),"")</f>
        <v>原料入库</v>
      </c>
      <c r="E156" s="59" t="str">
        <f aca="false">IFERROR(IF([2]对账明细接口!$E$156=0,"",[2]对账明细接口!$E$156),"")</f>
        <v>NO:0000758</v>
      </c>
      <c r="F156" s="59" t="str">
        <f aca="false">IFERROR(IF([2]对账明细接口!$F$156=0,"",[2]对账明细接口!$F$156),"")</f>
        <v>香梨</v>
      </c>
      <c r="G156" s="59" t="str">
        <f aca="false">IFERROR(IF([2]对账明细接口!$G$156=0,"",[2]对账明细接口!$G$156),"")</f>
        <v>香梨副特</v>
      </c>
      <c r="H156" s="60" t="n">
        <f aca="false">IFERROR(IF([2]对账明细接口!$H$156=0,"",[2]对账明细接口!$H$156),"")</f>
        <v>262</v>
      </c>
      <c r="I156" s="59" t="str">
        <f aca="false">IFERROR(IF([2]对账明细接口!$I$156=0,"",[2]对账明细接口!$I$156),"")</f>
        <v>筐</v>
      </c>
      <c r="J156" s="61" t="n">
        <f aca="false">IFERROR(IF([2]对账明细接口!$J$156=0,"",[2]对账明细接口!$J$156),"")</f>
        <v>5056.6</v>
      </c>
      <c r="K156" s="61" t="str">
        <f aca="false">IFERROR(IF([2]对账明细接口!$K$156=0,"",[2]对账明细接口!$K$156),"")</f>
        <v/>
      </c>
      <c r="L156" s="59" t="str">
        <f aca="false">IFERROR(IF([2]对账明细接口!$L$156=0,"",[2]对账明细接口!$L$156),"")</f>
        <v/>
      </c>
      <c r="M156" s="59" t="str">
        <f aca="false">IFERROR(IF([2]对账明细接口!$M$156=0,"",[2]对账明细接口!$M$156),"")</f>
        <v/>
      </c>
      <c r="N156" s="111" t="n">
        <f aca="false">IF($C156="",0,1)</f>
        <v>1</v>
      </c>
      <c r="O156" s="111" t="n">
        <f aca="false">N(O155)+$N156</f>
        <v>153</v>
      </c>
      <c r="S156" s="10" t="str">
        <f aca="false">IFERROR(IF([2]对账明细接口!$N156=0,"",[2]对账明细接口!$N156),"")</f>
        <v>公司红周转筐</v>
      </c>
      <c r="T156" s="112" t="str">
        <f aca="false">IFERROR(IF([2]对账明细接口!$O156=0,"",[2]对账明细接口!$O156),"")</f>
        <v/>
      </c>
      <c r="U156" s="112" t="str">
        <f aca="false">IFERROR(IF([2]对账明细接口!$P156=0,"",[2]对账明细接口!$P156),"")</f>
        <v/>
      </c>
      <c r="V156" s="112" t="n">
        <f aca="false">IFERROR(IF([2]对账明细接口!$Q156=0,"",[2]对账明细接口!$Q156),"")</f>
        <v>262</v>
      </c>
      <c r="W156" s="10" t="str">
        <f aca="false">IFERROR(IF([2]对账明细接口!$R156=0,"",[2]对账明细接口!$R156),"")</f>
        <v>新A*G0554</v>
      </c>
      <c r="X156" s="10" t="str">
        <f aca="false">IFERROR(IF([2]对账明细接口!$S156=0,"",[2]对账明细接口!$S156),"")</f>
        <v>公司筐</v>
      </c>
      <c r="Y156" s="10" t="str">
        <f aca="false">IFERROR(IF([2]对账明细接口!$T156=0,"",[2]对账明细接口!$T156),"")</f>
        <v/>
      </c>
      <c r="Z156" s="113" t="str">
        <f aca="false">IFERROR(IF([2]对账明细接口!$U156=0,"",[2]对账明细接口!$U156),"")</f>
        <v/>
      </c>
      <c r="AA156" s="113" t="str">
        <f aca="false">IFERROR(IF([2]对账明细接口!$V156=0,"",[2]对账明细接口!$V156),"")</f>
        <v/>
      </c>
      <c r="AB156" s="10" t="str">
        <f aca="false">IFERROR(IF([2]对账明细接口!$W156=0,"",[2]对账明细接口!$W156),"")</f>
        <v/>
      </c>
      <c r="AC156" s="90" t="str">
        <f aca="false">IFERROR(IF([2]对账明细接口!$X157=0,"",[2]对账明细接口!$X157),"")</f>
        <v/>
      </c>
      <c r="AD156" s="90" t="str">
        <f aca="false">IFERROR(IF([2]对账明细接口!$Y157=0,"",[2]对账明细接口!$Y157),"")</f>
        <v/>
      </c>
      <c r="AE156" s="90" t="str">
        <f aca="false">IFERROR(IF([2]对账明细接口!$AA157=0,"",[2]对账明细接口!$AA157),"")</f>
        <v/>
      </c>
      <c r="AF156" s="90" t="str">
        <f aca="false">IFERROR(IF([2]对账明细接口!$AB157=0,"",[2]对账明细接口!$AB157),"")</f>
        <v/>
      </c>
      <c r="AG156" s="90" t="str">
        <f aca="false">IFERROR(IF([2]对账明细接口!$AC157=0,"",[2]对账明细接口!$AC157),"")</f>
        <v/>
      </c>
      <c r="AH156" s="90" t="str">
        <f aca="false">IFERROR(IF([2]对账明细接口!$AD157=0,"",[2]对账明细接口!$AD157),"")</f>
        <v/>
      </c>
    </row>
    <row r="157" customFormat="false" ht="13.5" hidden="false" customHeight="false" outlineLevel="0" collapsed="false">
      <c r="A157" s="109" t="n">
        <v>157</v>
      </c>
      <c r="B157" s="110" t="n">
        <f aca="false">IFERROR(IF([2]对账明细接口!$B$157=0,"",[2]对账明细接口!$B$157),"")</f>
        <v>46273</v>
      </c>
      <c r="C157" s="59" t="str">
        <f aca="false">IFERROR(IF([2]对账明细接口!$C$157=0,"",[2]对账明细接口!$C$157),"")</f>
        <v>贾建国</v>
      </c>
      <c r="D157" s="59" t="str">
        <f aca="false">IFERROR(IF([2]对账明细接口!$D$157=0,"",[2]对账明细接口!$D$157),"")</f>
        <v>原料入库</v>
      </c>
      <c r="E157" s="59" t="str">
        <f aca="false">IFERROR(IF([2]对账明细接口!$E$157=0,"",[2]对账明细接口!$E$157),"")</f>
        <v>NO:0000760</v>
      </c>
      <c r="F157" s="59" t="str">
        <f aca="false">IFERROR(IF([2]对账明细接口!$F$157=0,"",[2]对账明细接口!$F$157),"")</f>
        <v>香梨</v>
      </c>
      <c r="G157" s="59" t="str">
        <f aca="false">IFERROR(IF([2]对账明细接口!$G$157=0,"",[2]对账明细接口!$G$157),"")</f>
        <v>香梨副特</v>
      </c>
      <c r="H157" s="60" t="n">
        <f aca="false">IFERROR(IF([2]对账明细接口!$H$157=0,"",[2]对账明细接口!$H$157),"")</f>
        <v>144</v>
      </c>
      <c r="I157" s="59" t="str">
        <f aca="false">IFERROR(IF([2]对账明细接口!$I$157=0,"",[2]对账明细接口!$I$157),"")</f>
        <v>筐</v>
      </c>
      <c r="J157" s="61" t="n">
        <f aca="false">IFERROR(IF([2]对账明细接口!$J$157=0,"",[2]对账明细接口!$J$157),"")</f>
        <v>2779.2</v>
      </c>
      <c r="K157" s="61" t="str">
        <f aca="false">IFERROR(IF([2]对账明细接口!$K$157=0,"",[2]对账明细接口!$K$157),"")</f>
        <v/>
      </c>
      <c r="L157" s="59" t="str">
        <f aca="false">IFERROR(IF([2]对账明细接口!$L$157=0,"",[2]对账明细接口!$L$157),"")</f>
        <v/>
      </c>
      <c r="M157" s="59" t="str">
        <f aca="false">IFERROR(IF([2]对账明细接口!$M$157=0,"",[2]对账明细接口!$M$157),"")</f>
        <v/>
      </c>
      <c r="N157" s="111" t="n">
        <f aca="false">IF($C157="",0,1)</f>
        <v>1</v>
      </c>
      <c r="O157" s="111" t="n">
        <f aca="false">N(O156)+$N157</f>
        <v>154</v>
      </c>
      <c r="S157" s="10" t="str">
        <f aca="false">IFERROR(IF([2]对账明细接口!$N157=0,"",[2]对账明细接口!$N157),"")</f>
        <v>自备一次性筐</v>
      </c>
      <c r="T157" s="112" t="str">
        <f aca="false">IFERROR(IF([2]对账明细接口!$O157=0,"",[2]对账明细接口!$O157),"")</f>
        <v/>
      </c>
      <c r="U157" s="112" t="str">
        <f aca="false">IFERROR(IF([2]对账明细接口!$P157=0,"",[2]对账明细接口!$P157),"")</f>
        <v/>
      </c>
      <c r="V157" s="112" t="n">
        <f aca="false">IFERROR(IF([2]对账明细接口!$Q157=0,"",[2]对账明细接口!$Q157),"")</f>
        <v>144</v>
      </c>
      <c r="W157" s="10" t="str">
        <f aca="false">IFERROR(IF([2]对账明细接口!$R157=0,"",[2]对账明细接口!$R157),"")</f>
        <v>豫Q*H5591</v>
      </c>
      <c r="X157" s="10" t="str">
        <f aca="false">IFERROR(IF([2]对账明细接口!$S157=0,"",[2]对账明细接口!$S157),"")</f>
        <v>自备筐</v>
      </c>
      <c r="Y157" s="10" t="str">
        <f aca="false">IFERROR(IF([2]对账明细接口!$T157=0,"",[2]对账明细接口!$T157),"")</f>
        <v/>
      </c>
      <c r="Z157" s="113" t="str">
        <f aca="false">IFERROR(IF([2]对账明细接口!$U157=0,"",[2]对账明细接口!$U157),"")</f>
        <v/>
      </c>
      <c r="AA157" s="113" t="str">
        <f aca="false">IFERROR(IF([2]对账明细接口!$V157=0,"",[2]对账明细接口!$V157),"")</f>
        <v/>
      </c>
      <c r="AB157" s="10" t="str">
        <f aca="false">IFERROR(IF([2]对账明细接口!$W157=0,"",[2]对账明细接口!$W157),"")</f>
        <v/>
      </c>
      <c r="AC157" s="90" t="str">
        <f aca="false">IFERROR(IF([2]对账明细接口!$X158=0,"",[2]对账明细接口!$X158),"")</f>
        <v/>
      </c>
      <c r="AD157" s="90" t="str">
        <f aca="false">IFERROR(IF([2]对账明细接口!$Y158=0,"",[2]对账明细接口!$Y158),"")</f>
        <v/>
      </c>
      <c r="AE157" s="90" t="str">
        <f aca="false">IFERROR(IF([2]对账明细接口!$AA158=0,"",[2]对账明细接口!$AA158),"")</f>
        <v/>
      </c>
      <c r="AF157" s="90" t="str">
        <f aca="false">IFERROR(IF([2]对账明细接口!$AB158=0,"",[2]对账明细接口!$AB158),"")</f>
        <v/>
      </c>
      <c r="AG157" s="90" t="str">
        <f aca="false">IFERROR(IF([2]对账明细接口!$AC158=0,"",[2]对账明细接口!$AC158),"")</f>
        <v/>
      </c>
      <c r="AH157" s="90" t="str">
        <f aca="false">IFERROR(IF([2]对账明细接口!$AD158=0,"",[2]对账明细接口!$AD158),"")</f>
        <v/>
      </c>
    </row>
    <row r="158" customFormat="false" ht="13.5" hidden="false" customHeight="false" outlineLevel="0" collapsed="false">
      <c r="A158" s="109" t="n">
        <v>158</v>
      </c>
      <c r="B158" s="110" t="n">
        <f aca="false">IFERROR(IF([2]对账明细接口!$B$158=0,"",[2]对账明细接口!$B$158),"")</f>
        <v>46273</v>
      </c>
      <c r="C158" s="59" t="str">
        <f aca="false">IFERROR(IF([2]对账明细接口!$C$158=0,"",[2]对账明细接口!$C$158),"")</f>
        <v>贾建国</v>
      </c>
      <c r="D158" s="59" t="str">
        <f aca="false">IFERROR(IF([2]对账明细接口!$D$158=0,"",[2]对账明细接口!$D$158),"")</f>
        <v>原料入库</v>
      </c>
      <c r="E158" s="59" t="str">
        <f aca="false">IFERROR(IF([2]对账明细接口!$E$158=0,"",[2]对账明细接口!$E$158),"")</f>
        <v>NO:0000760</v>
      </c>
      <c r="F158" s="59" t="str">
        <f aca="false">IFERROR(IF([2]对账明细接口!$F$158=0,"",[2]对账明细接口!$F$158),"")</f>
        <v>香梨</v>
      </c>
      <c r="G158" s="59" t="str">
        <f aca="false">IFERROR(IF([2]对账明细接口!$G$158=0,"",[2]对账明细接口!$G$158),"")</f>
        <v>香梨二级</v>
      </c>
      <c r="H158" s="60" t="n">
        <f aca="false">IFERROR(IF([2]对账明细接口!$H$158=0,"",[2]对账明细接口!$H$158),"")</f>
        <v>24</v>
      </c>
      <c r="I158" s="59" t="str">
        <f aca="false">IFERROR(IF([2]对账明细接口!$I$158=0,"",[2]对账明细接口!$I$158),"")</f>
        <v>筐</v>
      </c>
      <c r="J158" s="61" t="n">
        <f aca="false">IFERROR(IF([2]对账明细接口!$J$158=0,"",[2]对账明细接口!$J$158),"")</f>
        <v>540</v>
      </c>
      <c r="K158" s="61" t="str">
        <f aca="false">IFERROR(IF([2]对账明细接口!$K$158=0,"",[2]对账明细接口!$K$158),"")</f>
        <v/>
      </c>
      <c r="L158" s="59" t="str">
        <f aca="false">IFERROR(IF([2]对账明细接口!$L$158=0,"",[2]对账明细接口!$L$158),"")</f>
        <v/>
      </c>
      <c r="M158" s="59" t="str">
        <f aca="false">IFERROR(IF([2]对账明细接口!$M$158=0,"",[2]对账明细接口!$M$158),"")</f>
        <v/>
      </c>
      <c r="N158" s="111" t="n">
        <f aca="false">IF($C158="",0,1)</f>
        <v>1</v>
      </c>
      <c r="O158" s="111" t="n">
        <f aca="false">N(O157)+$N158</f>
        <v>155</v>
      </c>
      <c r="S158" s="10" t="str">
        <f aca="false">IFERROR(IF([2]对账明细接口!$N158=0,"",[2]对账明细接口!$N158),"")</f>
        <v>自备杂周转筐</v>
      </c>
      <c r="T158" s="112" t="str">
        <f aca="false">IFERROR(IF([2]对账明细接口!$O158=0,"",[2]对账明细接口!$O158),"")</f>
        <v/>
      </c>
      <c r="U158" s="112" t="str">
        <f aca="false">IFERROR(IF([2]对账明细接口!$P158=0,"",[2]对账明细接口!$P158),"")</f>
        <v/>
      </c>
      <c r="V158" s="112" t="n">
        <f aca="false">IFERROR(IF([2]对账明细接口!$Q158=0,"",[2]对账明细接口!$Q158),"")</f>
        <v>24</v>
      </c>
      <c r="W158" s="10" t="str">
        <f aca="false">IFERROR(IF([2]对账明细接口!$R158=0,"",[2]对账明细接口!$R158),"")</f>
        <v>豫Q*H5591</v>
      </c>
      <c r="X158" s="10" t="str">
        <f aca="false">IFERROR(IF([2]对账明细接口!$S158=0,"",[2]对账明细接口!$S158),"")</f>
        <v>自备筐</v>
      </c>
      <c r="Y158" s="10" t="str">
        <f aca="false">IFERROR(IF([2]对账明细接口!$T158=0,"",[2]对账明细接口!$T158),"")</f>
        <v/>
      </c>
      <c r="Z158" s="113" t="str">
        <f aca="false">IFERROR(IF([2]对账明细接口!$U158=0,"",[2]对账明细接口!$U158),"")</f>
        <v/>
      </c>
      <c r="AA158" s="113" t="str">
        <f aca="false">IFERROR(IF([2]对账明细接口!$V158=0,"",[2]对账明细接口!$V158),"")</f>
        <v/>
      </c>
      <c r="AB158" s="10" t="str">
        <f aca="false">IFERROR(IF([2]对账明细接口!$W158=0,"",[2]对账明细接口!$W158),"")</f>
        <v/>
      </c>
      <c r="AC158" s="90" t="str">
        <f aca="false">IFERROR(IF([2]对账明细接口!$X159=0,"",[2]对账明细接口!$X159),"")</f>
        <v/>
      </c>
      <c r="AD158" s="90" t="str">
        <f aca="false">IFERROR(IF([2]对账明细接口!$Y159=0,"",[2]对账明细接口!$Y159),"")</f>
        <v/>
      </c>
      <c r="AE158" s="90" t="str">
        <f aca="false">IFERROR(IF([2]对账明细接口!$AA159=0,"",[2]对账明细接口!$AA159),"")</f>
        <v/>
      </c>
      <c r="AF158" s="90" t="str">
        <f aca="false">IFERROR(IF([2]对账明细接口!$AB159=0,"",[2]对账明细接口!$AB159),"")</f>
        <v/>
      </c>
      <c r="AG158" s="90" t="str">
        <f aca="false">IFERROR(IF([2]对账明细接口!$AC159=0,"",[2]对账明细接口!$AC159),"")</f>
        <v/>
      </c>
      <c r="AH158" s="90" t="str">
        <f aca="false">IFERROR(IF([2]对账明细接口!$AD159=0,"",[2]对账明细接口!$AD159),"")</f>
        <v/>
      </c>
    </row>
    <row r="159" customFormat="false" ht="13.5" hidden="false" customHeight="false" outlineLevel="0" collapsed="false">
      <c r="A159" s="109" t="n">
        <v>159</v>
      </c>
      <c r="B159" s="110" t="n">
        <f aca="false">IFERROR(IF([2]对账明细接口!$B$159=0,"",[2]对账明细接口!$B$159),"")</f>
        <v>46274</v>
      </c>
      <c r="C159" s="59" t="str">
        <f aca="false">IFERROR(IF([2]对账明细接口!$C$159=0,"",[2]对账明细接口!$C$159),"")</f>
        <v>吐尔洪</v>
      </c>
      <c r="D159" s="59" t="str">
        <f aca="false">IFERROR(IF([2]对账明细接口!$D$159=0,"",[2]对账明细接口!$D$159),"")</f>
        <v>原料入库</v>
      </c>
      <c r="E159" s="59" t="str">
        <f aca="false">IFERROR(IF([2]对账明细接口!$E$159=0,"",[2]对账明细接口!$E$159),"")</f>
        <v>NO:0000762</v>
      </c>
      <c r="F159" s="59" t="str">
        <f aca="false">IFERROR(IF([2]对账明细接口!$F$159=0,"",[2]对账明细接口!$F$159),"")</f>
        <v>香梨</v>
      </c>
      <c r="G159" s="59" t="str">
        <f aca="false">IFERROR(IF([2]对账明细接口!$G$159=0,"",[2]对账明细接口!$G$159),"")</f>
        <v>香梨特级</v>
      </c>
      <c r="H159" s="60" t="n">
        <f aca="false">IFERROR(IF([2]对账明细接口!$H$159=0,"",[2]对账明细接口!$H$159),"")</f>
        <v>91</v>
      </c>
      <c r="I159" s="59" t="str">
        <f aca="false">IFERROR(IF([2]对账明细接口!$I$159=0,"",[2]对账明细接口!$I$159),"")</f>
        <v>筐</v>
      </c>
      <c r="J159" s="61" t="n">
        <f aca="false">IFERROR(IF([2]对账明细接口!$J$159=0,"",[2]对账明细接口!$J$159),"")</f>
        <v>1665.3</v>
      </c>
      <c r="K159" s="61" t="str">
        <f aca="false">IFERROR(IF([2]对账明细接口!$K$159=0,"",[2]对账明细接口!$K$159),"")</f>
        <v/>
      </c>
      <c r="L159" s="59" t="str">
        <f aca="false">IFERROR(IF([2]对账明细接口!$L$159=0,"",[2]对账明细接口!$L$159),"")</f>
        <v/>
      </c>
      <c r="M159" s="59" t="str">
        <f aca="false">IFERROR(IF([2]对账明细接口!$M$159=0,"",[2]对账明细接口!$M$159),"")</f>
        <v/>
      </c>
      <c r="N159" s="111" t="n">
        <f aca="false">IF($C159="",0,1)</f>
        <v>1</v>
      </c>
      <c r="O159" s="111" t="n">
        <f aca="false">N(O158)+$N159</f>
        <v>156</v>
      </c>
      <c r="S159" s="10" t="str">
        <f aca="false">IFERROR(IF([2]对账明细接口!$N159=0,"",[2]对账明细接口!$N159),"")</f>
        <v>公司红周转筐</v>
      </c>
      <c r="T159" s="112" t="str">
        <f aca="false">IFERROR(IF([2]对账明细接口!$O159=0,"",[2]对账明细接口!$O159),"")</f>
        <v/>
      </c>
      <c r="U159" s="112" t="str">
        <f aca="false">IFERROR(IF([2]对账明细接口!$P159=0,"",[2]对账明细接口!$P159),"")</f>
        <v/>
      </c>
      <c r="V159" s="112" t="n">
        <f aca="false">IFERROR(IF([2]对账明细接口!$Q159=0,"",[2]对账明细接口!$Q159),"")</f>
        <v>91</v>
      </c>
      <c r="W159" s="10" t="str">
        <f aca="false">IFERROR(IF([2]对账明细接口!$R159=0,"",[2]对账明细接口!$R159),"")</f>
        <v>新N*X8S48</v>
      </c>
      <c r="X159" s="10" t="str">
        <f aca="false">IFERROR(IF([2]对账明细接口!$S159=0,"",[2]对账明细接口!$S159),"")</f>
        <v>公司筐</v>
      </c>
      <c r="Y159" s="10" t="str">
        <f aca="false">IFERROR(IF([2]对账明细接口!$T159=0,"",[2]对账明细接口!$T159),"")</f>
        <v/>
      </c>
      <c r="Z159" s="113" t="str">
        <f aca="false">IFERROR(IF([2]对账明细接口!$U159=0,"",[2]对账明细接口!$U159),"")</f>
        <v/>
      </c>
      <c r="AA159" s="113" t="str">
        <f aca="false">IFERROR(IF([2]对账明细接口!$V159=0,"",[2]对账明细接口!$V159),"")</f>
        <v/>
      </c>
      <c r="AB159" s="10" t="str">
        <f aca="false">IFERROR(IF([2]对账明细接口!$W159=0,"",[2]对账明细接口!$W159),"")</f>
        <v/>
      </c>
      <c r="AC159" s="90" t="str">
        <f aca="false">IFERROR(IF([2]对账明细接口!$X160=0,"",[2]对账明细接口!$X160),"")</f>
        <v/>
      </c>
      <c r="AD159" s="90" t="str">
        <f aca="false">IFERROR(IF([2]对账明细接口!$Y160=0,"",[2]对账明细接口!$Y160),"")</f>
        <v/>
      </c>
      <c r="AE159" s="90" t="str">
        <f aca="false">IFERROR(IF([2]对账明细接口!$AA160=0,"",[2]对账明细接口!$AA160),"")</f>
        <v/>
      </c>
      <c r="AF159" s="90" t="str">
        <f aca="false">IFERROR(IF([2]对账明细接口!$AB160=0,"",[2]对账明细接口!$AB160),"")</f>
        <v/>
      </c>
      <c r="AG159" s="90" t="str">
        <f aca="false">IFERROR(IF([2]对账明细接口!$AC160=0,"",[2]对账明细接口!$AC160),"")</f>
        <v/>
      </c>
      <c r="AH159" s="90" t="str">
        <f aca="false">IFERROR(IF([2]对账明细接口!$AD160=0,"",[2]对账明细接口!$AD160),"")</f>
        <v/>
      </c>
    </row>
    <row r="160" customFormat="false" ht="13.5" hidden="false" customHeight="false" outlineLevel="0" collapsed="false">
      <c r="A160" s="109" t="n">
        <v>160</v>
      </c>
      <c r="B160" s="110" t="n">
        <f aca="false">IFERROR(IF([2]对账明细接口!$B$160=0,"",[2]对账明细接口!$B$160),"")</f>
        <v>46274</v>
      </c>
      <c r="C160" s="59" t="str">
        <f aca="false">IFERROR(IF([2]对账明细接口!$C$160=0,"",[2]对账明细接口!$C$160),"")</f>
        <v>吐尔洪</v>
      </c>
      <c r="D160" s="59" t="str">
        <f aca="false">IFERROR(IF([2]对账明细接口!$D$160=0,"",[2]对账明细接口!$D$160),"")</f>
        <v>原料入库</v>
      </c>
      <c r="E160" s="59" t="str">
        <f aca="false">IFERROR(IF([2]对账明细接口!$E$160=0,"",[2]对账明细接口!$E$160),"")</f>
        <v>NO:0000762</v>
      </c>
      <c r="F160" s="59" t="str">
        <f aca="false">IFERROR(IF([2]对账明细接口!$F$160=0,"",[2]对账明细接口!$F$160),"")</f>
        <v>香梨</v>
      </c>
      <c r="G160" s="59" t="str">
        <f aca="false">IFERROR(IF([2]对账明细接口!$G$160=0,"",[2]对账明细接口!$G$160),"")</f>
        <v>香梨一级</v>
      </c>
      <c r="H160" s="60" t="n">
        <f aca="false">IFERROR(IF([2]对账明细接口!$H$160=0,"",[2]对账明细接口!$H$160),"")</f>
        <v>79</v>
      </c>
      <c r="I160" s="59" t="str">
        <f aca="false">IFERROR(IF([2]对账明细接口!$I$160=0,"",[2]对账明细接口!$I$160),"")</f>
        <v>筐</v>
      </c>
      <c r="J160" s="61" t="n">
        <f aca="false">IFERROR(IF([2]对账明细接口!$J$160=0,"",[2]对账明细接口!$J$160),"")</f>
        <v>1445.7</v>
      </c>
      <c r="K160" s="61" t="str">
        <f aca="false">IFERROR(IF([2]对账明细接口!$K$160=0,"",[2]对账明细接口!$K$160),"")</f>
        <v/>
      </c>
      <c r="L160" s="59" t="str">
        <f aca="false">IFERROR(IF([2]对账明细接口!$L$160=0,"",[2]对账明细接口!$L$160),"")</f>
        <v/>
      </c>
      <c r="M160" s="59" t="str">
        <f aca="false">IFERROR(IF([2]对账明细接口!$M$160=0,"",[2]对账明细接口!$M$160),"")</f>
        <v/>
      </c>
      <c r="N160" s="111" t="n">
        <f aca="false">IF($C160="",0,1)</f>
        <v>1</v>
      </c>
      <c r="O160" s="111" t="n">
        <f aca="false">N(O159)+$N160</f>
        <v>157</v>
      </c>
      <c r="S160" s="10" t="str">
        <f aca="false">IFERROR(IF([2]对账明细接口!$N160=0,"",[2]对账明细接口!$N160),"")</f>
        <v>公司红周转筐</v>
      </c>
      <c r="T160" s="112" t="str">
        <f aca="false">IFERROR(IF([2]对账明细接口!$O160=0,"",[2]对账明细接口!$O160),"")</f>
        <v/>
      </c>
      <c r="U160" s="112" t="str">
        <f aca="false">IFERROR(IF([2]对账明细接口!$P160=0,"",[2]对账明细接口!$P160),"")</f>
        <v/>
      </c>
      <c r="V160" s="112" t="n">
        <f aca="false">IFERROR(IF([2]对账明细接口!$Q160=0,"",[2]对账明细接口!$Q160),"")</f>
        <v>79</v>
      </c>
      <c r="W160" s="10" t="str">
        <f aca="false">IFERROR(IF([2]对账明细接口!$R160=0,"",[2]对账明细接口!$R160),"")</f>
        <v>新N*X8S48</v>
      </c>
      <c r="X160" s="10" t="str">
        <f aca="false">IFERROR(IF([2]对账明细接口!$S160=0,"",[2]对账明细接口!$S160),"")</f>
        <v>公司筐</v>
      </c>
      <c r="Y160" s="10" t="str">
        <f aca="false">IFERROR(IF([2]对账明细接口!$T160=0,"",[2]对账明细接口!$T160),"")</f>
        <v/>
      </c>
      <c r="Z160" s="113" t="str">
        <f aca="false">IFERROR(IF([2]对账明细接口!$U160=0,"",[2]对账明细接口!$U160),"")</f>
        <v/>
      </c>
      <c r="AA160" s="113" t="str">
        <f aca="false">IFERROR(IF([2]对账明细接口!$V160=0,"",[2]对账明细接口!$V160),"")</f>
        <v/>
      </c>
      <c r="AB160" s="10" t="str">
        <f aca="false">IFERROR(IF([2]对账明细接口!$W160=0,"",[2]对账明细接口!$W160),"")</f>
        <v/>
      </c>
      <c r="AC160" s="90" t="str">
        <f aca="false">IFERROR(IF([2]对账明细接口!$X161=0,"",[2]对账明细接口!$X161),"")</f>
        <v/>
      </c>
      <c r="AD160" s="90" t="str">
        <f aca="false">IFERROR(IF([2]对账明细接口!$Y161=0,"",[2]对账明细接口!$Y161),"")</f>
        <v/>
      </c>
      <c r="AE160" s="90" t="str">
        <f aca="false">IFERROR(IF([2]对账明细接口!$AA161=0,"",[2]对账明细接口!$AA161),"")</f>
        <v/>
      </c>
      <c r="AF160" s="90" t="str">
        <f aca="false">IFERROR(IF([2]对账明细接口!$AB161=0,"",[2]对账明细接口!$AB161),"")</f>
        <v/>
      </c>
      <c r="AG160" s="90" t="str">
        <f aca="false">IFERROR(IF([2]对账明细接口!$AC161=0,"",[2]对账明细接口!$AC161),"")</f>
        <v/>
      </c>
      <c r="AH160" s="90" t="str">
        <f aca="false">IFERROR(IF([2]对账明细接口!$AD161=0,"",[2]对账明细接口!$AD161),"")</f>
        <v/>
      </c>
    </row>
    <row r="161" customFormat="false" ht="13.5" hidden="false" customHeight="false" outlineLevel="0" collapsed="false">
      <c r="A161" s="109" t="n">
        <v>161</v>
      </c>
      <c r="B161" s="110" t="n">
        <f aca="false">IFERROR(IF([2]对账明细接口!$B$161=0,"",[2]对账明细接口!$B$161),"")</f>
        <v>46274</v>
      </c>
      <c r="C161" s="59" t="str">
        <f aca="false">IFERROR(IF([2]对账明细接口!$C$161=0,"",[2]对账明细接口!$C$161),"")</f>
        <v>吐尔洪</v>
      </c>
      <c r="D161" s="59" t="str">
        <f aca="false">IFERROR(IF([2]对账明细接口!$D$161=0,"",[2]对账明细接口!$D$161),"")</f>
        <v>原料入库</v>
      </c>
      <c r="E161" s="59" t="str">
        <f aca="false">IFERROR(IF([2]对账明细接口!$E$161=0,"",[2]对账明细接口!$E$161),"")</f>
        <v>NO:0000762</v>
      </c>
      <c r="F161" s="59" t="str">
        <f aca="false">IFERROR(IF([2]对账明细接口!$F$161=0,"",[2]对账明细接口!$F$161),"")</f>
        <v>香梨</v>
      </c>
      <c r="G161" s="59" t="str">
        <f aca="false">IFERROR(IF([2]对账明细接口!$G$161=0,"",[2]对账明细接口!$G$161),"")</f>
        <v>香梨二级</v>
      </c>
      <c r="H161" s="60" t="n">
        <f aca="false">IFERROR(IF([2]对账明细接口!$H$161=0,"",[2]对账明细接口!$H$161),"")</f>
        <v>72</v>
      </c>
      <c r="I161" s="59" t="str">
        <f aca="false">IFERROR(IF([2]对账明细接口!$I$161=0,"",[2]对账明细接口!$I$161),"")</f>
        <v>筐</v>
      </c>
      <c r="J161" s="61" t="n">
        <f aca="false">IFERROR(IF([2]对账明细接口!$J$161=0,"",[2]对账明细接口!$J$161),"")</f>
        <v>1605.6</v>
      </c>
      <c r="K161" s="61" t="str">
        <f aca="false">IFERROR(IF([2]对账明细接口!$K$161=0,"",[2]对账明细接口!$K$161),"")</f>
        <v/>
      </c>
      <c r="L161" s="59" t="str">
        <f aca="false">IFERROR(IF([2]对账明细接口!$L$161=0,"",[2]对账明细接口!$L$161),"")</f>
        <v/>
      </c>
      <c r="M161" s="59" t="str">
        <f aca="false">IFERROR(IF([2]对账明细接口!$M$161=0,"",[2]对账明细接口!$M$161),"")</f>
        <v/>
      </c>
      <c r="N161" s="111" t="n">
        <f aca="false">IF($C161="",0,1)</f>
        <v>1</v>
      </c>
      <c r="O161" s="111" t="n">
        <f aca="false">N(O160)+$N161</f>
        <v>158</v>
      </c>
      <c r="S161" s="10" t="str">
        <f aca="false">IFERROR(IF([2]对账明细接口!$N161=0,"",[2]对账明细接口!$N161),"")</f>
        <v>公司红周转筐</v>
      </c>
      <c r="T161" s="112" t="str">
        <f aca="false">IFERROR(IF([2]对账明细接口!$O161=0,"",[2]对账明细接口!$O161),"")</f>
        <v/>
      </c>
      <c r="U161" s="112" t="str">
        <f aca="false">IFERROR(IF([2]对账明细接口!$P161=0,"",[2]对账明细接口!$P161),"")</f>
        <v/>
      </c>
      <c r="V161" s="112" t="n">
        <f aca="false">IFERROR(IF([2]对账明细接口!$Q161=0,"",[2]对账明细接口!$Q161),"")</f>
        <v>72</v>
      </c>
      <c r="W161" s="10" t="str">
        <f aca="false">IFERROR(IF([2]对账明细接口!$R161=0,"",[2]对账明细接口!$R161),"")</f>
        <v>新N*X8S48</v>
      </c>
      <c r="X161" s="10" t="str">
        <f aca="false">IFERROR(IF([2]对账明细接口!$S161=0,"",[2]对账明细接口!$S161),"")</f>
        <v>公司筐</v>
      </c>
      <c r="Y161" s="10" t="str">
        <f aca="false">IFERROR(IF([2]对账明细接口!$T161=0,"",[2]对账明细接口!$T161),"")</f>
        <v/>
      </c>
      <c r="Z161" s="113" t="str">
        <f aca="false">IFERROR(IF([2]对账明细接口!$U161=0,"",[2]对账明细接口!$U161),"")</f>
        <v/>
      </c>
      <c r="AA161" s="113" t="str">
        <f aca="false">IFERROR(IF([2]对账明细接口!$V161=0,"",[2]对账明细接口!$V161),"")</f>
        <v/>
      </c>
      <c r="AB161" s="10" t="str">
        <f aca="false">IFERROR(IF([2]对账明细接口!$W161=0,"",[2]对账明细接口!$W161),"")</f>
        <v/>
      </c>
      <c r="AC161" s="90" t="str">
        <f aca="false">IFERROR(IF([2]对账明细接口!$X162=0,"",[2]对账明细接口!$X162),"")</f>
        <v/>
      </c>
      <c r="AD161" s="90" t="str">
        <f aca="false">IFERROR(IF([2]对账明细接口!$Y162=0,"",[2]对账明细接口!$Y162),"")</f>
        <v/>
      </c>
      <c r="AE161" s="90" t="str">
        <f aca="false">IFERROR(IF([2]对账明细接口!$AA162=0,"",[2]对账明细接口!$AA162),"")</f>
        <v/>
      </c>
      <c r="AF161" s="90" t="str">
        <f aca="false">IFERROR(IF([2]对账明细接口!$AB162=0,"",[2]对账明细接口!$AB162),"")</f>
        <v/>
      </c>
      <c r="AG161" s="90" t="str">
        <f aca="false">IFERROR(IF([2]对账明细接口!$AC162=0,"",[2]对账明细接口!$AC162),"")</f>
        <v/>
      </c>
      <c r="AH161" s="90" t="str">
        <f aca="false">IFERROR(IF([2]对账明细接口!$AD162=0,"",[2]对账明细接口!$AD162),"")</f>
        <v/>
      </c>
    </row>
    <row r="162" customFormat="false" ht="13.5" hidden="false" customHeight="false" outlineLevel="0" collapsed="false">
      <c r="A162" s="109" t="n">
        <v>162</v>
      </c>
      <c r="B162" s="110" t="n">
        <f aca="false">IFERROR(IF([2]对账明细接口!$B$162=0,"",[2]对账明细接口!$B$162),"")</f>
        <v>46274</v>
      </c>
      <c r="C162" s="59" t="str">
        <f aca="false">IFERROR(IF([2]对账明细接口!$C$162=0,"",[2]对账明细接口!$C$162),"")</f>
        <v>麦麦提</v>
      </c>
      <c r="D162" s="59" t="str">
        <f aca="false">IFERROR(IF([2]对账明细接口!$D$162=0,"",[2]对账明细接口!$D$162),"")</f>
        <v>原料入库</v>
      </c>
      <c r="E162" s="59" t="str">
        <f aca="false">IFERROR(IF([2]对账明细接口!$E$162=0,"",[2]对账明细接口!$E$162),"")</f>
        <v>NO:0000764</v>
      </c>
      <c r="F162" s="59" t="str">
        <f aca="false">IFERROR(IF([2]对账明细接口!$F$162=0,"",[2]对账明细接口!$F$162),"")</f>
        <v>香梨</v>
      </c>
      <c r="G162" s="59" t="str">
        <f aca="false">IFERROR(IF([2]对账明细接口!$G$162=0,"",[2]对账明细接口!$G$162),"")</f>
        <v>香梨特级</v>
      </c>
      <c r="H162" s="60" t="n">
        <f aca="false">IFERROR(IF([2]对账明细接口!$H$162=0,"",[2]对账明细接口!$H$162),"")</f>
        <v>264</v>
      </c>
      <c r="I162" s="59" t="str">
        <f aca="false">IFERROR(IF([2]对账明细接口!$I$162=0,"",[2]对账明细接口!$I$162),"")</f>
        <v>筐</v>
      </c>
      <c r="J162" s="61" t="n">
        <f aca="false">IFERROR(IF([2]对账明细接口!$J$162=0,"",[2]对账明细接口!$J$162),"")</f>
        <v>4831.2</v>
      </c>
      <c r="K162" s="61" t="str">
        <f aca="false">IFERROR(IF([2]对账明细接口!$K$162=0,"",[2]对账明细接口!$K$162),"")</f>
        <v/>
      </c>
      <c r="L162" s="59" t="str">
        <f aca="false">IFERROR(IF([2]对账明细接口!$L$162=0,"",[2]对账明细接口!$L$162),"")</f>
        <v/>
      </c>
      <c r="M162" s="59" t="str">
        <f aca="false">IFERROR(IF([2]对账明细接口!$M$162=0,"",[2]对账明细接口!$M$162),"")</f>
        <v/>
      </c>
      <c r="N162" s="111" t="n">
        <f aca="false">IF($C162="",0,1)</f>
        <v>1</v>
      </c>
      <c r="O162" s="111" t="n">
        <f aca="false">N(O161)+$N162</f>
        <v>159</v>
      </c>
      <c r="S162" s="10" t="str">
        <f aca="false">IFERROR(IF([2]对账明细接口!$N162=0,"",[2]对账明细接口!$N162),"")</f>
        <v>公司红周转筐</v>
      </c>
      <c r="T162" s="112" t="str">
        <f aca="false">IFERROR(IF([2]对账明细接口!$O162=0,"",[2]对账明细接口!$O162),"")</f>
        <v/>
      </c>
      <c r="U162" s="112" t="str">
        <f aca="false">IFERROR(IF([2]对账明细接口!$P162=0,"",[2]对账明细接口!$P162),"")</f>
        <v/>
      </c>
      <c r="V162" s="112" t="n">
        <f aca="false">IFERROR(IF([2]对账明细接口!$Q162=0,"",[2]对账明细接口!$Q162),"")</f>
        <v>264</v>
      </c>
      <c r="W162" s="10" t="str">
        <f aca="false">IFERROR(IF([2]对账明细接口!$R162=0,"",[2]对账明细接口!$R162),"")</f>
        <v>新A*G0554</v>
      </c>
      <c r="X162" s="10" t="str">
        <f aca="false">IFERROR(IF([2]对账明细接口!$S162=0,"",[2]对账明细接口!$S162),"")</f>
        <v>公司筐</v>
      </c>
      <c r="Y162" s="10" t="str">
        <f aca="false">IFERROR(IF([2]对账明细接口!$T162=0,"",[2]对账明细接口!$T162),"")</f>
        <v/>
      </c>
      <c r="Z162" s="113" t="str">
        <f aca="false">IFERROR(IF([2]对账明细接口!$U162=0,"",[2]对账明细接口!$U162),"")</f>
        <v/>
      </c>
      <c r="AA162" s="113" t="str">
        <f aca="false">IFERROR(IF([2]对账明细接口!$V162=0,"",[2]对账明细接口!$V162),"")</f>
        <v/>
      </c>
      <c r="AB162" s="10" t="str">
        <f aca="false">IFERROR(IF([2]对账明细接口!$W162=0,"",[2]对账明细接口!$W162),"")</f>
        <v/>
      </c>
      <c r="AC162" s="90" t="str">
        <f aca="false">IFERROR(IF([2]对账明细接口!$X163=0,"",[2]对账明细接口!$X163),"")</f>
        <v/>
      </c>
      <c r="AD162" s="90" t="str">
        <f aca="false">IFERROR(IF([2]对账明细接口!$Y163=0,"",[2]对账明细接口!$Y163),"")</f>
        <v/>
      </c>
      <c r="AE162" s="90" t="str">
        <f aca="false">IFERROR(IF([2]对账明细接口!$AA163=0,"",[2]对账明细接口!$AA163),"")</f>
        <v/>
      </c>
      <c r="AF162" s="90" t="str">
        <f aca="false">IFERROR(IF([2]对账明细接口!$AB163=0,"",[2]对账明细接口!$AB163),"")</f>
        <v/>
      </c>
      <c r="AG162" s="90" t="str">
        <f aca="false">IFERROR(IF([2]对账明细接口!$AC163=0,"",[2]对账明细接口!$AC163),"")</f>
        <v/>
      </c>
      <c r="AH162" s="90" t="str">
        <f aca="false">IFERROR(IF([2]对账明细接口!$AD163=0,"",[2]对账明细接口!$AD163),"")</f>
        <v/>
      </c>
    </row>
    <row r="163" customFormat="false" ht="13.5" hidden="false" customHeight="false" outlineLevel="0" collapsed="false">
      <c r="A163" s="109" t="n">
        <v>163</v>
      </c>
      <c r="B163" s="110" t="n">
        <f aca="false">IFERROR(IF([2]对账明细接口!$B$163=0,"",[2]对账明细接口!$B$163),"")</f>
        <v>46274</v>
      </c>
      <c r="C163" s="59" t="str">
        <f aca="false">IFERROR(IF([2]对账明细接口!$C$163=0,"",[2]对账明细接口!$C$163),"")</f>
        <v>麦麦提</v>
      </c>
      <c r="D163" s="59" t="str">
        <f aca="false">IFERROR(IF([2]对账明细接口!$D$163=0,"",[2]对账明细接口!$D$163),"")</f>
        <v>原料入库</v>
      </c>
      <c r="E163" s="59" t="str">
        <f aca="false">IFERROR(IF([2]对账明细接口!$E$163=0,"",[2]对账明细接口!$E$163),"")</f>
        <v>NO:0000764</v>
      </c>
      <c r="F163" s="59" t="str">
        <f aca="false">IFERROR(IF([2]对账明细接口!$F$163=0,"",[2]对账明细接口!$F$163),"")</f>
        <v>香梨</v>
      </c>
      <c r="G163" s="59" t="str">
        <f aca="false">IFERROR(IF([2]对账明细接口!$G$163=0,"",[2]对账明细接口!$G$163),"")</f>
        <v>香梨一级</v>
      </c>
      <c r="H163" s="60" t="n">
        <f aca="false">IFERROR(IF([2]对账明细接口!$H$163=0,"",[2]对账明细接口!$H$163),"")</f>
        <v>191</v>
      </c>
      <c r="I163" s="59" t="str">
        <f aca="false">IFERROR(IF([2]对账明细接口!$I$163=0,"",[2]对账明细接口!$I$163),"")</f>
        <v>筐</v>
      </c>
      <c r="J163" s="61" t="n">
        <f aca="false">IFERROR(IF([2]对账明细接口!$J$163=0,"",[2]对账明细接口!$J$163),"")</f>
        <v>3495.3</v>
      </c>
      <c r="K163" s="61" t="str">
        <f aca="false">IFERROR(IF([2]对账明细接口!$K$163=0,"",[2]对账明细接口!$K$163),"")</f>
        <v/>
      </c>
      <c r="L163" s="59" t="str">
        <f aca="false">IFERROR(IF([2]对账明细接口!$L$163=0,"",[2]对账明细接口!$L$163),"")</f>
        <v/>
      </c>
      <c r="M163" s="59" t="str">
        <f aca="false">IFERROR(IF([2]对账明细接口!$M$163=0,"",[2]对账明细接口!$M$163),"")</f>
        <v/>
      </c>
      <c r="N163" s="111" t="n">
        <f aca="false">IF($C163="",0,1)</f>
        <v>1</v>
      </c>
      <c r="O163" s="111" t="n">
        <f aca="false">N(O162)+$N163</f>
        <v>160</v>
      </c>
      <c r="S163" s="10" t="str">
        <f aca="false">IFERROR(IF([2]对账明细接口!$N163=0,"",[2]对账明细接口!$N163),"")</f>
        <v>公司红周转筐</v>
      </c>
      <c r="T163" s="112" t="str">
        <f aca="false">IFERROR(IF([2]对账明细接口!$O163=0,"",[2]对账明细接口!$O163),"")</f>
        <v/>
      </c>
      <c r="U163" s="112" t="str">
        <f aca="false">IFERROR(IF([2]对账明细接口!$P163=0,"",[2]对账明细接口!$P163),"")</f>
        <v/>
      </c>
      <c r="V163" s="112" t="n">
        <f aca="false">IFERROR(IF([2]对账明细接口!$Q163=0,"",[2]对账明细接口!$Q163),"")</f>
        <v>191</v>
      </c>
      <c r="W163" s="10" t="str">
        <f aca="false">IFERROR(IF([2]对账明细接口!$R163=0,"",[2]对账明细接口!$R163),"")</f>
        <v>新A*G0554</v>
      </c>
      <c r="X163" s="10" t="str">
        <f aca="false">IFERROR(IF([2]对账明细接口!$S163=0,"",[2]对账明细接口!$S163),"")</f>
        <v>公司筐</v>
      </c>
      <c r="Y163" s="10" t="str">
        <f aca="false">IFERROR(IF([2]对账明细接口!$T163=0,"",[2]对账明细接口!$T163),"")</f>
        <v/>
      </c>
      <c r="Z163" s="113" t="str">
        <f aca="false">IFERROR(IF([2]对账明细接口!$U163=0,"",[2]对账明细接口!$U163),"")</f>
        <v/>
      </c>
      <c r="AA163" s="113" t="str">
        <f aca="false">IFERROR(IF([2]对账明细接口!$V163=0,"",[2]对账明细接口!$V163),"")</f>
        <v/>
      </c>
      <c r="AB163" s="10" t="str">
        <f aca="false">IFERROR(IF([2]对账明细接口!$W163=0,"",[2]对账明细接口!$W163),"")</f>
        <v/>
      </c>
      <c r="AC163" s="90" t="str">
        <f aca="false">IFERROR(IF([2]对账明细接口!$X164=0,"",[2]对账明细接口!$X164),"")</f>
        <v/>
      </c>
      <c r="AD163" s="90" t="str">
        <f aca="false">IFERROR(IF([2]对账明细接口!$Y164=0,"",[2]对账明细接口!$Y164),"")</f>
        <v/>
      </c>
      <c r="AE163" s="90" t="str">
        <f aca="false">IFERROR(IF([2]对账明细接口!$AA164=0,"",[2]对账明细接口!$AA164),"")</f>
        <v/>
      </c>
      <c r="AF163" s="90" t="str">
        <f aca="false">IFERROR(IF([2]对账明细接口!$AB164=0,"",[2]对账明细接口!$AB164),"")</f>
        <v/>
      </c>
      <c r="AG163" s="90" t="str">
        <f aca="false">IFERROR(IF([2]对账明细接口!$AC164=0,"",[2]对账明细接口!$AC164),"")</f>
        <v/>
      </c>
      <c r="AH163" s="90" t="str">
        <f aca="false">IFERROR(IF([2]对账明细接口!$AD164=0,"",[2]对账明细接口!$AD164),"")</f>
        <v/>
      </c>
    </row>
    <row r="164" customFormat="false" ht="13.5" hidden="false" customHeight="false" outlineLevel="0" collapsed="false">
      <c r="A164" s="109" t="n">
        <v>164</v>
      </c>
      <c r="B164" s="110" t="n">
        <f aca="false">IFERROR(IF([2]对账明细接口!$B$164=0,"",[2]对账明细接口!$B$164),"")</f>
        <v>46274</v>
      </c>
      <c r="C164" s="59" t="str">
        <f aca="false">IFERROR(IF([2]对账明细接口!$C$164=0,"",[2]对账明细接口!$C$164),"")</f>
        <v>麦麦提</v>
      </c>
      <c r="D164" s="59" t="str">
        <f aca="false">IFERROR(IF([2]对账明细接口!$D$164=0,"",[2]对账明细接口!$D$164),"")</f>
        <v>原料入库</v>
      </c>
      <c r="E164" s="59" t="str">
        <f aca="false">IFERROR(IF([2]对账明细接口!$E$164=0,"",[2]对账明细接口!$E$164),"")</f>
        <v>NO:0000764</v>
      </c>
      <c r="F164" s="59" t="str">
        <f aca="false">IFERROR(IF([2]对账明细接口!$F$164=0,"",[2]对账明细接口!$F$164),"")</f>
        <v>香梨</v>
      </c>
      <c r="G164" s="59" t="str">
        <f aca="false">IFERROR(IF([2]对账明细接口!$G$164=0,"",[2]对账明细接口!$G$164),"")</f>
        <v>香梨二级</v>
      </c>
      <c r="H164" s="60" t="n">
        <f aca="false">IFERROR(IF([2]对账明细接口!$H$164=0,"",[2]对账明细接口!$H$164),"")</f>
        <v>177</v>
      </c>
      <c r="I164" s="59" t="str">
        <f aca="false">IFERROR(IF([2]对账明细接口!$I$164=0,"",[2]对账明细接口!$I$164),"")</f>
        <v>筐</v>
      </c>
      <c r="J164" s="61" t="n">
        <f aca="false">IFERROR(IF([2]对账明细接口!$J$164=0,"",[2]对账明细接口!$J$164),"")</f>
        <v>3947.1</v>
      </c>
      <c r="K164" s="61" t="str">
        <f aca="false">IFERROR(IF([2]对账明细接口!$K$164=0,"",[2]对账明细接口!$K$164),"")</f>
        <v/>
      </c>
      <c r="L164" s="59" t="str">
        <f aca="false">IFERROR(IF([2]对账明细接口!$L$164=0,"",[2]对账明细接口!$L$164),"")</f>
        <v/>
      </c>
      <c r="M164" s="59" t="str">
        <f aca="false">IFERROR(IF([2]对账明细接口!$M$164=0,"",[2]对账明细接口!$M$164),"")</f>
        <v/>
      </c>
      <c r="N164" s="111" t="n">
        <f aca="false">IF($C164="",0,1)</f>
        <v>1</v>
      </c>
      <c r="O164" s="111" t="n">
        <f aca="false">N(O163)+$N164</f>
        <v>161</v>
      </c>
      <c r="S164" s="10" t="str">
        <f aca="false">IFERROR(IF([2]对账明细接口!$N164=0,"",[2]对账明细接口!$N164),"")</f>
        <v>公司红周转筐</v>
      </c>
      <c r="T164" s="112" t="str">
        <f aca="false">IFERROR(IF([2]对账明细接口!$O164=0,"",[2]对账明细接口!$O164),"")</f>
        <v/>
      </c>
      <c r="U164" s="112" t="str">
        <f aca="false">IFERROR(IF([2]对账明细接口!$P164=0,"",[2]对账明细接口!$P164),"")</f>
        <v/>
      </c>
      <c r="V164" s="112" t="n">
        <f aca="false">IFERROR(IF([2]对账明细接口!$Q164=0,"",[2]对账明细接口!$Q164),"")</f>
        <v>177</v>
      </c>
      <c r="W164" s="10" t="str">
        <f aca="false">IFERROR(IF([2]对账明细接口!$R164=0,"",[2]对账明细接口!$R164),"")</f>
        <v>新A*G0554</v>
      </c>
      <c r="X164" s="10" t="str">
        <f aca="false">IFERROR(IF([2]对账明细接口!$S164=0,"",[2]对账明细接口!$S164),"")</f>
        <v>公司筐</v>
      </c>
      <c r="Y164" s="10" t="str">
        <f aca="false">IFERROR(IF([2]对账明细接口!$T164=0,"",[2]对账明细接口!$T164),"")</f>
        <v/>
      </c>
      <c r="Z164" s="113" t="str">
        <f aca="false">IFERROR(IF([2]对账明细接口!$U164=0,"",[2]对账明细接口!$U164),"")</f>
        <v/>
      </c>
      <c r="AA164" s="113" t="str">
        <f aca="false">IFERROR(IF([2]对账明细接口!$V164=0,"",[2]对账明细接口!$V164),"")</f>
        <v/>
      </c>
      <c r="AB164" s="10" t="str">
        <f aca="false">IFERROR(IF([2]对账明细接口!$W164=0,"",[2]对账明细接口!$W164),"")</f>
        <v/>
      </c>
      <c r="AC164" s="90" t="str">
        <f aca="false">IFERROR(IF([2]对账明细接口!$X165=0,"",[2]对账明细接口!$X165),"")</f>
        <v/>
      </c>
      <c r="AD164" s="90" t="str">
        <f aca="false">IFERROR(IF([2]对账明细接口!$Y165=0,"",[2]对账明细接口!$Y165),"")</f>
        <v/>
      </c>
      <c r="AE164" s="90" t="str">
        <f aca="false">IFERROR(IF([2]对账明细接口!$AA165=0,"",[2]对账明细接口!$AA165),"")</f>
        <v/>
      </c>
      <c r="AF164" s="90" t="str">
        <f aca="false">IFERROR(IF([2]对账明细接口!$AB165=0,"",[2]对账明细接口!$AB165),"")</f>
        <v/>
      </c>
      <c r="AG164" s="90" t="str">
        <f aca="false">IFERROR(IF([2]对账明细接口!$AC165=0,"",[2]对账明细接口!$AC165),"")</f>
        <v/>
      </c>
      <c r="AH164" s="90" t="str">
        <f aca="false">IFERROR(IF([2]对账明细接口!$AD165=0,"",[2]对账明细接口!$AD165),"")</f>
        <v/>
      </c>
    </row>
    <row r="165" customFormat="false" ht="13.5" hidden="false" customHeight="false" outlineLevel="0" collapsed="false">
      <c r="A165" s="109" t="n">
        <v>165</v>
      </c>
      <c r="B165" s="110" t="n">
        <f aca="false">IFERROR(IF([2]对账明细接口!$B$165=0,"",[2]对账明细接口!$B$165),"")</f>
        <v>46274</v>
      </c>
      <c r="C165" s="59" t="str">
        <f aca="false">IFERROR(IF([2]对账明细接口!$C$165=0,"",[2]对账明细接口!$C$165),"")</f>
        <v>贾建国</v>
      </c>
      <c r="D165" s="59" t="str">
        <f aca="false">IFERROR(IF([2]对账明细接口!$D$165=0,"",[2]对账明细接口!$D$165),"")</f>
        <v>原料入库</v>
      </c>
      <c r="E165" s="59" t="str">
        <f aca="false">IFERROR(IF([2]对账明细接口!$E$165=0,"",[2]对账明细接口!$E$165),"")</f>
        <v>NO:0000767</v>
      </c>
      <c r="F165" s="59" t="str">
        <f aca="false">IFERROR(IF([2]对账明细接口!$F$165=0,"",[2]对账明细接口!$F$165),"")</f>
        <v>香梨</v>
      </c>
      <c r="G165" s="59" t="str">
        <f aca="false">IFERROR(IF([2]对账明细接口!$G$165=0,"",[2]对账明细接口!$G$165),"")</f>
        <v>香梨二级</v>
      </c>
      <c r="H165" s="60" t="n">
        <f aca="false">IFERROR(IF([2]对账明细接口!$H$165=0,"",[2]对账明细接口!$H$165),"")</f>
        <v>170</v>
      </c>
      <c r="I165" s="59" t="str">
        <f aca="false">IFERROR(IF([2]对账明细接口!$I$165=0,"",[2]对账明细接口!$I$165),"")</f>
        <v>筐</v>
      </c>
      <c r="J165" s="61" t="n">
        <f aca="false">IFERROR(IF([2]对账明细接口!$J$165=0,"",[2]对账明细接口!$J$165),"")</f>
        <v>3825</v>
      </c>
      <c r="K165" s="61" t="str">
        <f aca="false">IFERROR(IF([2]对账明细接口!$K$165=0,"",[2]对账明细接口!$K$165),"")</f>
        <v/>
      </c>
      <c r="L165" s="59" t="str">
        <f aca="false">IFERROR(IF([2]对账明细接口!$L$165=0,"",[2]对账明细接口!$L$165),"")</f>
        <v/>
      </c>
      <c r="M165" s="59" t="str">
        <f aca="false">IFERROR(IF([2]对账明细接口!$M$165=0,"",[2]对账明细接口!$M$165),"")</f>
        <v>二黄</v>
      </c>
      <c r="N165" s="111" t="n">
        <f aca="false">IF($C165="",0,1)</f>
        <v>1</v>
      </c>
      <c r="O165" s="111" t="n">
        <f aca="false">N(O164)+$N165</f>
        <v>162</v>
      </c>
      <c r="S165" s="10" t="str">
        <f aca="false">IFERROR(IF([2]对账明细接口!$N165=0,"",[2]对账明细接口!$N165),"")</f>
        <v>自备杂周转筐</v>
      </c>
      <c r="T165" s="112" t="str">
        <f aca="false">IFERROR(IF([2]对账明细接口!$O165=0,"",[2]对账明细接口!$O165),"")</f>
        <v/>
      </c>
      <c r="U165" s="112" t="str">
        <f aca="false">IFERROR(IF([2]对账明细接口!$P165=0,"",[2]对账明细接口!$P165),"")</f>
        <v/>
      </c>
      <c r="V165" s="112" t="n">
        <f aca="false">IFERROR(IF([2]对账明细接口!$Q165=0,"",[2]对账明细接口!$Q165),"")</f>
        <v>170</v>
      </c>
      <c r="W165" s="10" t="str">
        <f aca="false">IFERROR(IF([2]对账明细接口!$R165=0,"",[2]对账明细接口!$R165),"")</f>
        <v>豫Q*H5591</v>
      </c>
      <c r="X165" s="10" t="str">
        <f aca="false">IFERROR(IF([2]对账明细接口!$S165=0,"",[2]对账明细接口!$S165),"")</f>
        <v>自备筐</v>
      </c>
      <c r="Y165" s="10" t="str">
        <f aca="false">IFERROR(IF([2]对账明细接口!$T165=0,"",[2]对账明细接口!$T165),"")</f>
        <v/>
      </c>
      <c r="Z165" s="113" t="str">
        <f aca="false">IFERROR(IF([2]对账明细接口!$U165=0,"",[2]对账明细接口!$U165),"")</f>
        <v/>
      </c>
      <c r="AA165" s="113" t="str">
        <f aca="false">IFERROR(IF([2]对账明细接口!$V165=0,"",[2]对账明细接口!$V165),"")</f>
        <v/>
      </c>
      <c r="AB165" s="10" t="str">
        <f aca="false">IFERROR(IF([2]对账明细接口!$W165=0,"",[2]对账明细接口!$W165),"")</f>
        <v/>
      </c>
      <c r="AC165" s="90" t="str">
        <f aca="false">IFERROR(IF([2]对账明细接口!$X166=0,"",[2]对账明细接口!$X166),"")</f>
        <v/>
      </c>
      <c r="AD165" s="90" t="str">
        <f aca="false">IFERROR(IF([2]对账明细接口!$Y166=0,"",[2]对账明细接口!$Y166),"")</f>
        <v/>
      </c>
      <c r="AE165" s="90" t="str">
        <f aca="false">IFERROR(IF([2]对账明细接口!$AA166=0,"",[2]对账明细接口!$AA166),"")</f>
        <v/>
      </c>
      <c r="AF165" s="90" t="str">
        <f aca="false">IFERROR(IF([2]对账明细接口!$AB166=0,"",[2]对账明细接口!$AB166),"")</f>
        <v/>
      </c>
      <c r="AG165" s="90" t="str">
        <f aca="false">IFERROR(IF([2]对账明细接口!$AC166=0,"",[2]对账明细接口!$AC166),"")</f>
        <v/>
      </c>
      <c r="AH165" s="90" t="str">
        <f aca="false">IFERROR(IF([2]对账明细接口!$AD166=0,"",[2]对账明细接口!$AD166),"")</f>
        <v/>
      </c>
    </row>
    <row r="166" customFormat="false" ht="13.5" hidden="false" customHeight="false" outlineLevel="0" collapsed="false">
      <c r="A166" s="109" t="n">
        <v>166</v>
      </c>
      <c r="B166" s="110" t="n">
        <f aca="false">IFERROR(IF([2]对账明细接口!$B$166=0,"",[2]对账明细接口!$B$166),"")</f>
        <v>46274</v>
      </c>
      <c r="C166" s="59" t="str">
        <f aca="false">IFERROR(IF([2]对账明细接口!$C$166=0,"",[2]对账明细接口!$C$166),"")</f>
        <v>贾建国</v>
      </c>
      <c r="D166" s="59" t="str">
        <f aca="false">IFERROR(IF([2]对账明细接口!$D$166=0,"",[2]对账明细接口!$D$166),"")</f>
        <v>原料入库</v>
      </c>
      <c r="E166" s="59" t="str">
        <f aca="false">IFERROR(IF([2]对账明细接口!$E$166=0,"",[2]对账明细接口!$E$166),"")</f>
        <v>NO:0000767</v>
      </c>
      <c r="F166" s="59" t="str">
        <f aca="false">IFERROR(IF([2]对账明细接口!$F$166=0,"",[2]对账明细接口!$F$166),"")</f>
        <v>香梨</v>
      </c>
      <c r="G166" s="59" t="str">
        <f aca="false">IFERROR(IF([2]对账明细接口!$G$166=0,"",[2]对账明细接口!$G$166),"")</f>
        <v>香梨副特</v>
      </c>
      <c r="H166" s="60" t="n">
        <f aca="false">IFERROR(IF([2]对账明细接口!$H$166=0,"",[2]对账明细接口!$H$166),"")</f>
        <v>28</v>
      </c>
      <c r="I166" s="59" t="str">
        <f aca="false">IFERROR(IF([2]对账明细接口!$I$166=0,"",[2]对账明细接口!$I$166),"")</f>
        <v>筐</v>
      </c>
      <c r="J166" s="61" t="n">
        <f aca="false">IFERROR(IF([2]对账明细接口!$J$166=0,"",[2]对账明细接口!$J$166),"")</f>
        <v>540.4</v>
      </c>
      <c r="K166" s="61" t="str">
        <f aca="false">IFERROR(IF([2]对账明细接口!$K$166=0,"",[2]对账明细接口!$K$166),"")</f>
        <v/>
      </c>
      <c r="L166" s="59" t="str">
        <f aca="false">IFERROR(IF([2]对账明细接口!$L$166=0,"",[2]对账明细接口!$L$166),"")</f>
        <v/>
      </c>
      <c r="M166" s="59" t="str">
        <f aca="false">IFERROR(IF([2]对账明细接口!$M$166=0,"",[2]对账明细接口!$M$166),"")</f>
        <v>二黄</v>
      </c>
      <c r="N166" s="111" t="n">
        <f aca="false">IF($C166="",0,1)</f>
        <v>1</v>
      </c>
      <c r="O166" s="111" t="n">
        <f aca="false">N(O165)+$N166</f>
        <v>163</v>
      </c>
      <c r="S166" s="10" t="str">
        <f aca="false">IFERROR(IF([2]对账明细接口!$N166=0,"",[2]对账明细接口!$N166),"")</f>
        <v>自备一次性筐</v>
      </c>
      <c r="T166" s="112" t="str">
        <f aca="false">IFERROR(IF([2]对账明细接口!$O166=0,"",[2]对账明细接口!$O166),"")</f>
        <v/>
      </c>
      <c r="U166" s="112" t="str">
        <f aca="false">IFERROR(IF([2]对账明细接口!$P166=0,"",[2]对账明细接口!$P166),"")</f>
        <v/>
      </c>
      <c r="V166" s="112" t="n">
        <f aca="false">IFERROR(IF([2]对账明细接口!$Q166=0,"",[2]对账明细接口!$Q166),"")</f>
        <v>28</v>
      </c>
      <c r="W166" s="10" t="str">
        <f aca="false">IFERROR(IF([2]对账明细接口!$R166=0,"",[2]对账明细接口!$R166),"")</f>
        <v>豫Q*H5591</v>
      </c>
      <c r="X166" s="10" t="str">
        <f aca="false">IFERROR(IF([2]对账明细接口!$S166=0,"",[2]对账明细接口!$S166),"")</f>
        <v>自备筐</v>
      </c>
      <c r="Y166" s="10" t="str">
        <f aca="false">IFERROR(IF([2]对账明细接口!$T166=0,"",[2]对账明细接口!$T166),"")</f>
        <v/>
      </c>
      <c r="Z166" s="113" t="str">
        <f aca="false">IFERROR(IF([2]对账明细接口!$U166=0,"",[2]对账明细接口!$U166),"")</f>
        <v/>
      </c>
      <c r="AA166" s="113" t="str">
        <f aca="false">IFERROR(IF([2]对账明细接口!$V166=0,"",[2]对账明细接口!$V166),"")</f>
        <v/>
      </c>
      <c r="AB166" s="10" t="str">
        <f aca="false">IFERROR(IF([2]对账明细接口!$W166=0,"",[2]对账明细接口!$W166),"")</f>
        <v/>
      </c>
      <c r="AC166" s="90" t="str">
        <f aca="false">IFERROR(IF([2]对账明细接口!$X167=0,"",[2]对账明细接口!$X167),"")</f>
        <v/>
      </c>
      <c r="AD166" s="90" t="str">
        <f aca="false">IFERROR(IF([2]对账明细接口!$Y167=0,"",[2]对账明细接口!$Y167),"")</f>
        <v/>
      </c>
      <c r="AE166" s="90" t="str">
        <f aca="false">IFERROR(IF([2]对账明细接口!$AA167=0,"",[2]对账明细接口!$AA167),"")</f>
        <v/>
      </c>
      <c r="AF166" s="90" t="str">
        <f aca="false">IFERROR(IF([2]对账明细接口!$AB167=0,"",[2]对账明细接口!$AB167),"")</f>
        <v/>
      </c>
      <c r="AG166" s="90" t="str">
        <f aca="false">IFERROR(IF([2]对账明细接口!$AC167=0,"",[2]对账明细接口!$AC167),"")</f>
        <v/>
      </c>
      <c r="AH166" s="90" t="str">
        <f aca="false">IFERROR(IF([2]对账明细接口!$AD167=0,"",[2]对账明细接口!$AD167),"")</f>
        <v/>
      </c>
    </row>
    <row r="167" customFormat="false" ht="13.5" hidden="false" customHeight="false" outlineLevel="0" collapsed="false">
      <c r="A167" s="109" t="n">
        <v>167</v>
      </c>
      <c r="B167" s="110" t="n">
        <f aca="false">IFERROR(IF([2]对账明细接口!$B$167=0,"",[2]对账明细接口!$B$167),"")</f>
        <v>46275</v>
      </c>
      <c r="C167" s="59" t="str">
        <f aca="false">IFERROR(IF([2]对账明细接口!$C$167=0,"",[2]对账明细接口!$C$167),"")</f>
        <v>王灵云</v>
      </c>
      <c r="D167" s="59" t="str">
        <f aca="false">IFERROR(IF([2]对账明细接口!$D$167=0,"",[2]对账明细接口!$D$167),"")</f>
        <v>原料入库</v>
      </c>
      <c r="E167" s="59" t="str">
        <f aca="false">IFERROR(IF([2]对账明细接口!$E$167=0,"",[2]对账明细接口!$E$167),"")</f>
        <v>NO:0000768</v>
      </c>
      <c r="F167" s="59" t="str">
        <f aca="false">IFERROR(IF([2]对账明细接口!$F$167=0,"",[2]对账明细接口!$F$167),"")</f>
        <v>香梨</v>
      </c>
      <c r="G167" s="59" t="str">
        <f aca="false">IFERROR(IF([2]对账明细接口!$G$167=0,"",[2]对账明细接口!$G$167),"")</f>
        <v>香梨一级</v>
      </c>
      <c r="H167" s="60" t="n">
        <f aca="false">IFERROR(IF([2]对账明细接口!$H$167=0,"",[2]对账明细接口!$H$167),"")</f>
        <v>195</v>
      </c>
      <c r="I167" s="59" t="str">
        <f aca="false">IFERROR(IF([2]对账明细接口!$I$167=0,"",[2]对账明细接口!$I$167),"")</f>
        <v>筐</v>
      </c>
      <c r="J167" s="61" t="n">
        <f aca="false">IFERROR(IF([2]对账明细接口!$J$167=0,"",[2]对账明细接口!$J$167),"")</f>
        <v>3568.5</v>
      </c>
      <c r="K167" s="61" t="str">
        <f aca="false">IFERROR(IF([2]对账明细接口!$K$167=0,"",[2]对账明细接口!$K$167),"")</f>
        <v/>
      </c>
      <c r="L167" s="59" t="str">
        <f aca="false">IFERROR(IF([2]对账明细接口!$L$167=0,"",[2]对账明细接口!$L$167),"")</f>
        <v/>
      </c>
      <c r="M167" s="59" t="str">
        <f aca="false">IFERROR(IF([2]对账明细接口!$M$167=0,"",[2]对账明细接口!$M$167),"")</f>
        <v/>
      </c>
      <c r="N167" s="111" t="n">
        <f aca="false">IF($C167="",0,1)</f>
        <v>1</v>
      </c>
      <c r="O167" s="111" t="n">
        <f aca="false">N(O166)+$N167</f>
        <v>164</v>
      </c>
      <c r="S167" s="10" t="str">
        <f aca="false">IFERROR(IF([2]对账明细接口!$N167=0,"",[2]对账明细接口!$N167),"")</f>
        <v>公司红周转筐</v>
      </c>
      <c r="T167" s="112" t="str">
        <f aca="false">IFERROR(IF([2]对账明细接口!$O167=0,"",[2]对账明细接口!$O167),"")</f>
        <v/>
      </c>
      <c r="U167" s="112" t="str">
        <f aca="false">IFERROR(IF([2]对账明细接口!$P167=0,"",[2]对账明细接口!$P167),"")</f>
        <v/>
      </c>
      <c r="V167" s="112" t="n">
        <f aca="false">IFERROR(IF([2]对账明细接口!$Q167=0,"",[2]对账明细接口!$Q167),"")</f>
        <v>195</v>
      </c>
      <c r="W167" s="10" t="str">
        <f aca="false">IFERROR(IF([2]对账明细接口!$R167=0,"",[2]对账明细接口!$R167),"")</f>
        <v>新N*49209</v>
      </c>
      <c r="X167" s="10" t="str">
        <f aca="false">IFERROR(IF([2]对账明细接口!$S167=0,"",[2]对账明细接口!$S167),"")</f>
        <v>公司筐</v>
      </c>
      <c r="Y167" s="10" t="str">
        <f aca="false">IFERROR(IF([2]对账明细接口!$T167=0,"",[2]对账明细接口!$T167),"")</f>
        <v/>
      </c>
      <c r="Z167" s="113" t="str">
        <f aca="false">IFERROR(IF([2]对账明细接口!$U167=0,"",[2]对账明细接口!$U167),"")</f>
        <v/>
      </c>
      <c r="AA167" s="113" t="str">
        <f aca="false">IFERROR(IF([2]对账明细接口!$V167=0,"",[2]对账明细接口!$V167),"")</f>
        <v/>
      </c>
      <c r="AB167" s="10" t="str">
        <f aca="false">IFERROR(IF([2]对账明细接口!$W167=0,"",[2]对账明细接口!$W167),"")</f>
        <v/>
      </c>
      <c r="AC167" s="90" t="str">
        <f aca="false">IFERROR(IF([2]对账明细接口!$X168=0,"",[2]对账明细接口!$X168),"")</f>
        <v/>
      </c>
      <c r="AD167" s="90" t="str">
        <f aca="false">IFERROR(IF([2]对账明细接口!$Y168=0,"",[2]对账明细接口!$Y168),"")</f>
        <v/>
      </c>
      <c r="AE167" s="90" t="str">
        <f aca="false">IFERROR(IF([2]对账明细接口!$AA168=0,"",[2]对账明细接口!$AA168),"")</f>
        <v/>
      </c>
      <c r="AF167" s="90" t="str">
        <f aca="false">IFERROR(IF([2]对账明细接口!$AB168=0,"",[2]对账明细接口!$AB168),"")</f>
        <v/>
      </c>
      <c r="AG167" s="90" t="str">
        <f aca="false">IFERROR(IF([2]对账明细接口!$AC168=0,"",[2]对账明细接口!$AC168),"")</f>
        <v/>
      </c>
      <c r="AH167" s="90" t="str">
        <f aca="false">IFERROR(IF([2]对账明细接口!$AD168=0,"",[2]对账明细接口!$AD168),"")</f>
        <v/>
      </c>
    </row>
    <row r="168" customFormat="false" ht="13.5" hidden="false" customHeight="false" outlineLevel="0" collapsed="false">
      <c r="A168" s="109" t="n">
        <v>168</v>
      </c>
      <c r="B168" s="110" t="n">
        <f aca="false">IFERROR(IF([2]对账明细接口!$B$168=0,"",[2]对账明细接口!$B$168),"")</f>
        <v>46275</v>
      </c>
      <c r="C168" s="59" t="str">
        <f aca="false">IFERROR(IF([2]对账明细接口!$C$168=0,"",[2]对账明细接口!$C$168),"")</f>
        <v>王灵云</v>
      </c>
      <c r="D168" s="59" t="str">
        <f aca="false">IFERROR(IF([2]对账明细接口!$D$168=0,"",[2]对账明细接口!$D$168),"")</f>
        <v>原料入库</v>
      </c>
      <c r="E168" s="59" t="str">
        <f aca="false">IFERROR(IF([2]对账明细接口!$E$168=0,"",[2]对账明细接口!$E$168),"")</f>
        <v>NO:0000768</v>
      </c>
      <c r="F168" s="59" t="str">
        <f aca="false">IFERROR(IF([2]对账明细接口!$F$168=0,"",[2]对账明细接口!$F$168),"")</f>
        <v>香梨</v>
      </c>
      <c r="G168" s="59" t="str">
        <f aca="false">IFERROR(IF([2]对账明细接口!$G$168=0,"",[2]对账明细接口!$G$168),"")</f>
        <v>香梨副特</v>
      </c>
      <c r="H168" s="60" t="n">
        <f aca="false">IFERROR(IF([2]对账明细接口!$H$168=0,"",[2]对账明细接口!$H$168),"")</f>
        <v>134</v>
      </c>
      <c r="I168" s="59" t="str">
        <f aca="false">IFERROR(IF([2]对账明细接口!$I$168=0,"",[2]对账明细接口!$I$168),"")</f>
        <v>筐</v>
      </c>
      <c r="J168" s="61" t="n">
        <f aca="false">IFERROR(IF([2]对账明细接口!$J$168=0,"",[2]对账明细接口!$J$168),"")</f>
        <v>2452.2</v>
      </c>
      <c r="K168" s="61" t="str">
        <f aca="false">IFERROR(IF([2]对账明细接口!$K$168=0,"",[2]对账明细接口!$K$168),"")</f>
        <v/>
      </c>
      <c r="L168" s="59" t="str">
        <f aca="false">IFERROR(IF([2]对账明细接口!$L$168=0,"",[2]对账明细接口!$L$168),"")</f>
        <v/>
      </c>
      <c r="M168" s="59" t="str">
        <f aca="false">IFERROR(IF([2]对账明细接口!$M$168=0,"",[2]对账明细接口!$M$168),"")</f>
        <v/>
      </c>
      <c r="N168" s="111" t="n">
        <f aca="false">IF($C168="",0,1)</f>
        <v>1</v>
      </c>
      <c r="O168" s="111" t="n">
        <f aca="false">N(O167)+$N168</f>
        <v>165</v>
      </c>
      <c r="S168" s="10" t="str">
        <f aca="false">IFERROR(IF([2]对账明细接口!$N168=0,"",[2]对账明细接口!$N168),"")</f>
        <v>公司红周转筐</v>
      </c>
      <c r="T168" s="112" t="str">
        <f aca="false">IFERROR(IF([2]对账明细接口!$O168=0,"",[2]对账明细接口!$O168),"")</f>
        <v/>
      </c>
      <c r="U168" s="112" t="str">
        <f aca="false">IFERROR(IF([2]对账明细接口!$P168=0,"",[2]对账明细接口!$P168),"")</f>
        <v/>
      </c>
      <c r="V168" s="112" t="n">
        <f aca="false">IFERROR(IF([2]对账明细接口!$Q168=0,"",[2]对账明细接口!$Q168),"")</f>
        <v>134</v>
      </c>
      <c r="W168" s="10" t="str">
        <f aca="false">IFERROR(IF([2]对账明细接口!$R168=0,"",[2]对账明细接口!$R168),"")</f>
        <v>新N*49209</v>
      </c>
      <c r="X168" s="10" t="str">
        <f aca="false">IFERROR(IF([2]对账明细接口!$S168=0,"",[2]对账明细接口!$S168),"")</f>
        <v>公司筐</v>
      </c>
      <c r="Y168" s="10" t="str">
        <f aca="false">IFERROR(IF([2]对账明细接口!$T168=0,"",[2]对账明细接口!$T168),"")</f>
        <v/>
      </c>
      <c r="Z168" s="113" t="str">
        <f aca="false">IFERROR(IF([2]对账明细接口!$U168=0,"",[2]对账明细接口!$U168),"")</f>
        <v/>
      </c>
      <c r="AA168" s="113" t="str">
        <f aca="false">IFERROR(IF([2]对账明细接口!$V168=0,"",[2]对账明细接口!$V168),"")</f>
        <v/>
      </c>
      <c r="AB168" s="10" t="str">
        <f aca="false">IFERROR(IF([2]对账明细接口!$W168=0,"",[2]对账明细接口!$W168),"")</f>
        <v/>
      </c>
      <c r="AC168" s="90" t="str">
        <f aca="false">IFERROR(IF([2]对账明细接口!$X169=0,"",[2]对账明细接口!$X169),"")</f>
        <v/>
      </c>
      <c r="AD168" s="90" t="str">
        <f aca="false">IFERROR(IF([2]对账明细接口!$Y169=0,"",[2]对账明细接口!$Y169),"")</f>
        <v/>
      </c>
      <c r="AE168" s="90" t="str">
        <f aca="false">IFERROR(IF([2]对账明细接口!$AA169=0,"",[2]对账明细接口!$AA169),"")</f>
        <v/>
      </c>
      <c r="AF168" s="90" t="str">
        <f aca="false">IFERROR(IF([2]对账明细接口!$AB169=0,"",[2]对账明细接口!$AB169),"")</f>
        <v/>
      </c>
      <c r="AG168" s="90" t="str">
        <f aca="false">IFERROR(IF([2]对账明细接口!$AC169=0,"",[2]对账明细接口!$AC169),"")</f>
        <v/>
      </c>
      <c r="AH168" s="90" t="str">
        <f aca="false">IFERROR(IF([2]对账明细接口!$AD169=0,"",[2]对账明细接口!$AD169),"")</f>
        <v/>
      </c>
    </row>
    <row r="169" customFormat="false" ht="13.5" hidden="false" customHeight="false" outlineLevel="0" collapsed="false">
      <c r="A169" s="109" t="n">
        <v>169</v>
      </c>
      <c r="B169" s="110" t="n">
        <f aca="false">IFERROR(IF([2]对账明细接口!$B$169=0,"",[2]对账明细接口!$B$169),"")</f>
        <v>46275</v>
      </c>
      <c r="C169" s="59" t="str">
        <f aca="false">IFERROR(IF([2]对账明细接口!$C$169=0,"",[2]对账明细接口!$C$169),"")</f>
        <v>王灵云</v>
      </c>
      <c r="D169" s="59" t="str">
        <f aca="false">IFERROR(IF([2]对账明细接口!$D$169=0,"",[2]对账明细接口!$D$169),"")</f>
        <v>原料入库</v>
      </c>
      <c r="E169" s="59" t="str">
        <f aca="false">IFERROR(IF([2]对账明细接口!$E$169=0,"",[2]对账明细接口!$E$169),"")</f>
        <v>NO:0000768</v>
      </c>
      <c r="F169" s="59" t="str">
        <f aca="false">IFERROR(IF([2]对账明细接口!$F$169=0,"",[2]对账明细接口!$F$169),"")</f>
        <v>香梨</v>
      </c>
      <c r="G169" s="59" t="str">
        <f aca="false">IFERROR(IF([2]对账明细接口!$G$169=0,"",[2]对账明细接口!$G$169),"")</f>
        <v>香梨二级</v>
      </c>
      <c r="H169" s="60" t="n">
        <f aca="false">IFERROR(IF([2]对账明细接口!$H$169=0,"",[2]对账明细接口!$H$169),"")</f>
        <v>64</v>
      </c>
      <c r="I169" s="59" t="str">
        <f aca="false">IFERROR(IF([2]对账明细接口!$I$169=0,"",[2]对账明细接口!$I$169),"")</f>
        <v>筐</v>
      </c>
      <c r="J169" s="61" t="n">
        <f aca="false">IFERROR(IF([2]对账明细接口!$J$169=0,"",[2]对账明细接口!$J$169),"")</f>
        <v>1491.2</v>
      </c>
      <c r="K169" s="61" t="str">
        <f aca="false">IFERROR(IF([2]对账明细接口!$K$169=0,"",[2]对账明细接口!$K$169),"")</f>
        <v/>
      </c>
      <c r="L169" s="59" t="str">
        <f aca="false">IFERROR(IF([2]对账明细接口!$L$169=0,"",[2]对账明细接口!$L$169),"")</f>
        <v/>
      </c>
      <c r="M169" s="59" t="str">
        <f aca="false">IFERROR(IF([2]对账明细接口!$M$169=0,"",[2]对账明细接口!$M$169),"")</f>
        <v>押金3000元已退还</v>
      </c>
      <c r="N169" s="111" t="n">
        <f aca="false">IF($C169="",0,1)</f>
        <v>1</v>
      </c>
      <c r="O169" s="111" t="n">
        <f aca="false">N(O168)+$N169</f>
        <v>166</v>
      </c>
      <c r="S169" s="10" t="str">
        <f aca="false">IFERROR(IF([2]对账明细接口!$N169=0,"",[2]对账明细接口!$N169),"")</f>
        <v>公司红周转筐</v>
      </c>
      <c r="T169" s="112" t="str">
        <f aca="false">IFERROR(IF([2]对账明细接口!$O169=0,"",[2]对账明细接口!$O169),"")</f>
        <v/>
      </c>
      <c r="U169" s="112" t="str">
        <f aca="false">IFERROR(IF([2]对账明细接口!$P169=0,"",[2]对账明细接口!$P169),"")</f>
        <v/>
      </c>
      <c r="V169" s="112" t="n">
        <f aca="false">IFERROR(IF([2]对账明细接口!$Q169=0,"",[2]对账明细接口!$Q169),"")</f>
        <v>64</v>
      </c>
      <c r="W169" s="10" t="str">
        <f aca="false">IFERROR(IF([2]对账明细接口!$R169=0,"",[2]对账明细接口!$R169),"")</f>
        <v>新N*49209</v>
      </c>
      <c r="X169" s="10" t="str">
        <f aca="false">IFERROR(IF([2]对账明细接口!$S169=0,"",[2]对账明细接口!$S169),"")</f>
        <v>公司筐</v>
      </c>
      <c r="Y169" s="10" t="str">
        <f aca="false">IFERROR(IF([2]对账明细接口!$T169=0,"",[2]对账明细接口!$T169),"")</f>
        <v/>
      </c>
      <c r="Z169" s="113" t="str">
        <f aca="false">IFERROR(IF([2]对账明细接口!$U169=0,"",[2]对账明细接口!$U169),"")</f>
        <v/>
      </c>
      <c r="AA169" s="113" t="str">
        <f aca="false">IFERROR(IF([2]对账明细接口!$V169=0,"",[2]对账明细接口!$V169),"")</f>
        <v/>
      </c>
      <c r="AB169" s="10" t="str">
        <f aca="false">IFERROR(IF([2]对账明细接口!$W169=0,"",[2]对账明细接口!$W169),"")</f>
        <v/>
      </c>
      <c r="AC169" s="90" t="str">
        <f aca="false">IFERROR(IF([2]对账明细接口!$X170=0,"",[2]对账明细接口!$X170),"")</f>
        <v/>
      </c>
      <c r="AD169" s="90" t="str">
        <f aca="false">IFERROR(IF([2]对账明细接口!$Y170=0,"",[2]对账明细接口!$Y170),"")</f>
        <v/>
      </c>
      <c r="AE169" s="90" t="str">
        <f aca="false">IFERROR(IF([2]对账明细接口!$AA170=0,"",[2]对账明细接口!$AA170),"")</f>
        <v/>
      </c>
      <c r="AF169" s="90" t="str">
        <f aca="false">IFERROR(IF([2]对账明细接口!$AB170=0,"",[2]对账明细接口!$AB170),"")</f>
        <v/>
      </c>
      <c r="AG169" s="90" t="str">
        <f aca="false">IFERROR(IF([2]对账明细接口!$AC170=0,"",[2]对账明细接口!$AC170),"")</f>
        <v/>
      </c>
      <c r="AH169" s="90" t="str">
        <f aca="false">IFERROR(IF([2]对账明细接口!$AD170=0,"",[2]对账明细接口!$AD170),"")</f>
        <v/>
      </c>
    </row>
    <row r="170" customFormat="false" ht="13.5" hidden="false" customHeight="false" outlineLevel="0" collapsed="false">
      <c r="A170" s="109" t="n">
        <v>170</v>
      </c>
      <c r="B170" s="110" t="n">
        <f aca="false">IFERROR(IF([2]对账明细接口!$B$170=0,"",[2]对账明细接口!$B$170),"")</f>
        <v>46275</v>
      </c>
      <c r="C170" s="59" t="str">
        <f aca="false">IFERROR(IF([2]对账明细接口!$C$170=0,"",[2]对账明细接口!$C$170),"")</f>
        <v>杨艳玲</v>
      </c>
      <c r="D170" s="59" t="str">
        <f aca="false">IFERROR(IF([2]对账明细接口!$D$170=0,"",[2]对账明细接口!$D$170),"")</f>
        <v>原料入库</v>
      </c>
      <c r="E170" s="59" t="str">
        <f aca="false">IFERROR(IF([2]对账明细接口!$E$170=0,"",[2]对账明细接口!$E$170),"")</f>
        <v>NO:0000769</v>
      </c>
      <c r="F170" s="59" t="str">
        <f aca="false">IFERROR(IF([2]对账明细接口!$F$170=0,"",[2]对账明细接口!$F$170),"")</f>
        <v>香梨</v>
      </c>
      <c r="G170" s="59" t="str">
        <f aca="false">IFERROR(IF([2]对账明细接口!$G$170=0,"",[2]对账明细接口!$G$170),"")</f>
        <v>香梨玉露</v>
      </c>
      <c r="H170" s="60" t="n">
        <f aca="false">IFERROR(IF([2]对账明细接口!$H$170=0,"",[2]对账明细接口!$H$170),"")</f>
        <v>104</v>
      </c>
      <c r="I170" s="59" t="str">
        <f aca="false">IFERROR(IF([2]对账明细接口!$I$170=0,"",[2]对账明细接口!$I$170),"")</f>
        <v>筐</v>
      </c>
      <c r="J170" s="61" t="n">
        <f aca="false">IFERROR(IF([2]对账明细接口!$J$170=0,"",[2]对账明细接口!$J$170),"")</f>
        <v>1799.2</v>
      </c>
      <c r="K170" s="61" t="str">
        <f aca="false">IFERROR(IF([2]对账明细接口!$K$170=0,"",[2]对账明细接口!$K$170),"")</f>
        <v/>
      </c>
      <c r="L170" s="59" t="str">
        <f aca="false">IFERROR(IF([2]对账明细接口!$L$170=0,"",[2]对账明细接口!$L$170),"")</f>
        <v/>
      </c>
      <c r="M170" s="59" t="str">
        <f aca="false">IFERROR(IF([2]对账明细接口!$M$170=0,"",[2]对账明细接口!$M$170),"")</f>
        <v/>
      </c>
      <c r="N170" s="111" t="n">
        <f aca="false">IF($C170="",0,1)</f>
        <v>1</v>
      </c>
      <c r="O170" s="111" t="n">
        <f aca="false">N(O169)+$N170</f>
        <v>167</v>
      </c>
      <c r="S170" s="10" t="str">
        <f aca="false">IFERROR(IF([2]对账明细接口!$N170=0,"",[2]对账明细接口!$N170),"")</f>
        <v>自备一次性筐</v>
      </c>
      <c r="T170" s="112" t="str">
        <f aca="false">IFERROR(IF([2]对账明细接口!$O170=0,"",[2]对账明细接口!$O170),"")</f>
        <v/>
      </c>
      <c r="U170" s="112" t="str">
        <f aca="false">IFERROR(IF([2]对账明细接口!$P170=0,"",[2]对账明细接口!$P170),"")</f>
        <v/>
      </c>
      <c r="V170" s="112" t="n">
        <f aca="false">IFERROR(IF([2]对账明细接口!$Q170=0,"",[2]对账明细接口!$Q170),"")</f>
        <v>104</v>
      </c>
      <c r="W170" s="10" t="str">
        <f aca="false">IFERROR(IF([2]对账明细接口!$R170=0,"",[2]对账明细接口!$R170),"")</f>
        <v>新N*E3H01</v>
      </c>
      <c r="X170" s="10" t="str">
        <f aca="false">IFERROR(IF([2]对账明细接口!$S170=0,"",[2]对账明细接口!$S170),"")</f>
        <v>自备筐</v>
      </c>
      <c r="Y170" s="10" t="str">
        <f aca="false">IFERROR(IF([2]对账明细接口!$T170=0,"",[2]对账明细接口!$T170),"")</f>
        <v/>
      </c>
      <c r="Z170" s="113" t="str">
        <f aca="false">IFERROR(IF([2]对账明细接口!$U170=0,"",[2]对账明细接口!$U170),"")</f>
        <v/>
      </c>
      <c r="AA170" s="113" t="str">
        <f aca="false">IFERROR(IF([2]对账明细接口!$V170=0,"",[2]对账明细接口!$V170),"")</f>
        <v/>
      </c>
      <c r="AB170" s="10" t="str">
        <f aca="false">IFERROR(IF([2]对账明细接口!$W170=0,"",[2]对账明细接口!$W170),"")</f>
        <v/>
      </c>
      <c r="AC170" s="90" t="str">
        <f aca="false">IFERROR(IF([2]对账明细接口!$X171=0,"",[2]对账明细接口!$X171),"")</f>
        <v/>
      </c>
      <c r="AD170" s="90" t="str">
        <f aca="false">IFERROR(IF([2]对账明细接口!$Y171=0,"",[2]对账明细接口!$Y171),"")</f>
        <v/>
      </c>
      <c r="AE170" s="90" t="str">
        <f aca="false">IFERROR(IF([2]对账明细接口!$AA171=0,"",[2]对账明细接口!$AA171),"")</f>
        <v/>
      </c>
      <c r="AF170" s="90" t="str">
        <f aca="false">IFERROR(IF([2]对账明细接口!$AB171=0,"",[2]对账明细接口!$AB171),"")</f>
        <v/>
      </c>
      <c r="AG170" s="90" t="str">
        <f aca="false">IFERROR(IF([2]对账明细接口!$AC171=0,"",[2]对账明细接口!$AC171),"")</f>
        <v/>
      </c>
      <c r="AH170" s="90" t="str">
        <f aca="false">IFERROR(IF([2]对账明细接口!$AD171=0,"",[2]对账明细接口!$AD171),"")</f>
        <v/>
      </c>
    </row>
    <row r="171" customFormat="false" ht="13.5" hidden="false" customHeight="false" outlineLevel="0" collapsed="false">
      <c r="A171" s="109" t="n">
        <v>171</v>
      </c>
      <c r="B171" s="110" t="n">
        <f aca="false">IFERROR(IF([2]对账明细接口!$B$171=0,"",[2]对账明细接口!$B$171),"")</f>
        <v>46275</v>
      </c>
      <c r="C171" s="59" t="str">
        <f aca="false">IFERROR(IF([2]对账明细接口!$C$171=0,"",[2]对账明细接口!$C$171),"")</f>
        <v>荆建君</v>
      </c>
      <c r="D171" s="59" t="str">
        <f aca="false">IFERROR(IF([2]对账明细接口!$D$171=0,"",[2]对账明细接口!$D$171),"")</f>
        <v>原料入库</v>
      </c>
      <c r="E171" s="59" t="str">
        <f aca="false">IFERROR(IF([2]对账明细接口!$E$171=0,"",[2]对账明细接口!$E$171),"")</f>
        <v>NO:0000770</v>
      </c>
      <c r="F171" s="59" t="str">
        <f aca="false">IFERROR(IF([2]对账明细接口!$F$171=0,"",[2]对账明细接口!$F$171),"")</f>
        <v>香梨</v>
      </c>
      <c r="G171" s="59" t="str">
        <f aca="false">IFERROR(IF([2]对账明细接口!$G$171=0,"",[2]对账明细接口!$G$171),"")</f>
        <v>香梨一级</v>
      </c>
      <c r="H171" s="60" t="n">
        <f aca="false">IFERROR(IF([2]对账明细接口!$H$171=0,"",[2]对账明细接口!$H$171),"")</f>
        <v>239</v>
      </c>
      <c r="I171" s="59" t="str">
        <f aca="false">IFERROR(IF([2]对账明细接口!$I$171=0,"",[2]对账明细接口!$I$171),"")</f>
        <v>筐</v>
      </c>
      <c r="J171" s="61" t="n">
        <f aca="false">IFERROR(IF([2]对账明细接口!$J$171=0,"",[2]对账明细接口!$J$171),"")</f>
        <v>4373.7</v>
      </c>
      <c r="K171" s="61" t="str">
        <f aca="false">IFERROR(IF([2]对账明细接口!$K$171=0,"",[2]对账明细接口!$K$171),"")</f>
        <v/>
      </c>
      <c r="L171" s="59" t="str">
        <f aca="false">IFERROR(IF([2]对账明细接口!$L$171=0,"",[2]对账明细接口!$L$171),"")</f>
        <v/>
      </c>
      <c r="M171" s="59" t="str">
        <f aca="false">IFERROR(IF([2]对账明细接口!$M$171=0,"",[2]对账明细接口!$M$171),"")</f>
        <v/>
      </c>
      <c r="N171" s="111" t="n">
        <f aca="false">IF($C171="",0,1)</f>
        <v>1</v>
      </c>
      <c r="O171" s="111" t="n">
        <f aca="false">N(O170)+$N171</f>
        <v>168</v>
      </c>
      <c r="S171" s="10" t="str">
        <f aca="false">IFERROR(IF([2]对账明细接口!$N171=0,"",[2]对账明细接口!$N171),"")</f>
        <v>公司红周转筐</v>
      </c>
      <c r="T171" s="112" t="str">
        <f aca="false">IFERROR(IF([2]对账明细接口!$O171=0,"",[2]对账明细接口!$O171),"")</f>
        <v/>
      </c>
      <c r="U171" s="112" t="str">
        <f aca="false">IFERROR(IF([2]对账明细接口!$P171=0,"",[2]对账明细接口!$P171),"")</f>
        <v/>
      </c>
      <c r="V171" s="112" t="n">
        <f aca="false">IFERROR(IF([2]对账明细接口!$Q171=0,"",[2]对账明细接口!$Q171),"")</f>
        <v>239</v>
      </c>
      <c r="W171" s="10" t="str">
        <f aca="false">IFERROR(IF([2]对账明细接口!$R171=0,"",[2]对账明细接口!$R171),"")</f>
        <v>豫A*2737K</v>
      </c>
      <c r="X171" s="10" t="str">
        <f aca="false">IFERROR(IF([2]对账明细接口!$S171=0,"",[2]对账明细接口!$S171),"")</f>
        <v>公司筐</v>
      </c>
      <c r="Y171" s="10" t="str">
        <f aca="false">IFERROR(IF([2]对账明细接口!$T171=0,"",[2]对账明细接口!$T171),"")</f>
        <v/>
      </c>
      <c r="Z171" s="113" t="str">
        <f aca="false">IFERROR(IF([2]对账明细接口!$U171=0,"",[2]对账明细接口!$U171),"")</f>
        <v/>
      </c>
      <c r="AA171" s="113" t="str">
        <f aca="false">IFERROR(IF([2]对账明细接口!$V171=0,"",[2]对账明细接口!$V171),"")</f>
        <v/>
      </c>
      <c r="AB171" s="10" t="str">
        <f aca="false">IFERROR(IF([2]对账明细接口!$W171=0,"",[2]对账明细接口!$W171),"")</f>
        <v/>
      </c>
      <c r="AC171" s="90" t="str">
        <f aca="false">IFERROR(IF([2]对账明细接口!$X172=0,"",[2]对账明细接口!$X172),"")</f>
        <v/>
      </c>
      <c r="AD171" s="90" t="str">
        <f aca="false">IFERROR(IF([2]对账明细接口!$Y172=0,"",[2]对账明细接口!$Y172),"")</f>
        <v/>
      </c>
      <c r="AE171" s="90" t="str">
        <f aca="false">IFERROR(IF([2]对账明细接口!$AA172=0,"",[2]对账明细接口!$AA172),"")</f>
        <v/>
      </c>
      <c r="AF171" s="90" t="str">
        <f aca="false">IFERROR(IF([2]对账明细接口!$AB172=0,"",[2]对账明细接口!$AB172),"")</f>
        <v/>
      </c>
      <c r="AG171" s="90" t="str">
        <f aca="false">IFERROR(IF([2]对账明细接口!$AC172=0,"",[2]对账明细接口!$AC172),"")</f>
        <v/>
      </c>
      <c r="AH171" s="90" t="str">
        <f aca="false">IFERROR(IF([2]对账明细接口!$AD172=0,"",[2]对账明细接口!$AD172),"")</f>
        <v/>
      </c>
    </row>
    <row r="172" customFormat="false" ht="13.5" hidden="false" customHeight="false" outlineLevel="0" collapsed="false">
      <c r="A172" s="109" t="n">
        <v>172</v>
      </c>
      <c r="B172" s="110" t="n">
        <f aca="false">IFERROR(IF([2]对账明细接口!$B$172=0,"",[2]对账明细接口!$B$172),"")</f>
        <v>46275</v>
      </c>
      <c r="C172" s="59" t="str">
        <f aca="false">IFERROR(IF([2]对账明细接口!$C$172=0,"",[2]对账明细接口!$C$172),"")</f>
        <v>荆建君</v>
      </c>
      <c r="D172" s="59" t="str">
        <f aca="false">IFERROR(IF([2]对账明细接口!$D$172=0,"",[2]对账明细接口!$D$172),"")</f>
        <v>原料入库</v>
      </c>
      <c r="E172" s="59" t="str">
        <f aca="false">IFERROR(IF([2]对账明细接口!$E$172=0,"",[2]对账明细接口!$E$172),"")</f>
        <v>NO:0000770</v>
      </c>
      <c r="F172" s="59" t="str">
        <f aca="false">IFERROR(IF([2]对账明细接口!$F$172=0,"",[2]对账明细接口!$F$172),"")</f>
        <v>香梨</v>
      </c>
      <c r="G172" s="59" t="str">
        <f aca="false">IFERROR(IF([2]对账明细接口!$G$172=0,"",[2]对账明细接口!$G$172),"")</f>
        <v>香梨二级</v>
      </c>
      <c r="H172" s="60" t="n">
        <f aca="false">IFERROR(IF([2]对账明细接口!$H$172=0,"",[2]对账明细接口!$H$172),"")</f>
        <v>329</v>
      </c>
      <c r="I172" s="59" t="str">
        <f aca="false">IFERROR(IF([2]对账明细接口!$I$172=0,"",[2]对账明细接口!$I$172),"")</f>
        <v>筐</v>
      </c>
      <c r="J172" s="61" t="n">
        <f aca="false">IFERROR(IF([2]对账明细接口!$J$172=0,"",[2]对账明细接口!$J$172),"")</f>
        <v>6020.7</v>
      </c>
      <c r="K172" s="61" t="str">
        <f aca="false">IFERROR(IF([2]对账明细接口!$K$172=0,"",[2]对账明细接口!$K$172),"")</f>
        <v/>
      </c>
      <c r="L172" s="59" t="str">
        <f aca="false">IFERROR(IF([2]对账明细接口!$L$172=0,"",[2]对账明细接口!$L$172),"")</f>
        <v/>
      </c>
      <c r="M172" s="59" t="str">
        <f aca="false">IFERROR(IF([2]对账明细接口!$M$172=0,"",[2]对账明细接口!$M$172),"")</f>
        <v/>
      </c>
      <c r="N172" s="111" t="n">
        <f aca="false">IF($C172="",0,1)</f>
        <v>1</v>
      </c>
      <c r="O172" s="111" t="n">
        <f aca="false">N(O171)+$N172</f>
        <v>169</v>
      </c>
      <c r="S172" s="10" t="str">
        <f aca="false">IFERROR(IF([2]对账明细接口!$N172=0,"",[2]对账明细接口!$N172),"")</f>
        <v>公司红周转筐</v>
      </c>
      <c r="T172" s="112" t="str">
        <f aca="false">IFERROR(IF([2]对账明细接口!$O172=0,"",[2]对账明细接口!$O172),"")</f>
        <v/>
      </c>
      <c r="U172" s="112" t="str">
        <f aca="false">IFERROR(IF([2]对账明细接口!$P172=0,"",[2]对账明细接口!$P172),"")</f>
        <v/>
      </c>
      <c r="V172" s="112" t="n">
        <f aca="false">IFERROR(IF([2]对账明细接口!$Q172=0,"",[2]对账明细接口!$Q172),"")</f>
        <v>329</v>
      </c>
      <c r="W172" s="10" t="str">
        <f aca="false">IFERROR(IF([2]对账明细接口!$R172=0,"",[2]对账明细接口!$R172),"")</f>
        <v>豫A*2737K</v>
      </c>
      <c r="X172" s="10" t="str">
        <f aca="false">IFERROR(IF([2]对账明细接口!$S172=0,"",[2]对账明细接口!$S172),"")</f>
        <v>公司筐</v>
      </c>
      <c r="Y172" s="10" t="str">
        <f aca="false">IFERROR(IF([2]对账明细接口!$T172=0,"",[2]对账明细接口!$T172),"")</f>
        <v/>
      </c>
      <c r="Z172" s="113" t="str">
        <f aca="false">IFERROR(IF([2]对账明细接口!$U172=0,"",[2]对账明细接口!$U172),"")</f>
        <v/>
      </c>
      <c r="AA172" s="113" t="str">
        <f aca="false">IFERROR(IF([2]对账明细接口!$V172=0,"",[2]对账明细接口!$V172),"")</f>
        <v/>
      </c>
      <c r="AB172" s="10" t="str">
        <f aca="false">IFERROR(IF([2]对账明细接口!$W172=0,"",[2]对账明细接口!$W172),"")</f>
        <v/>
      </c>
      <c r="AC172" s="90" t="str">
        <f aca="false">IFERROR(IF([2]对账明细接口!$X173=0,"",[2]对账明细接口!$X173),"")</f>
        <v/>
      </c>
      <c r="AD172" s="90" t="str">
        <f aca="false">IFERROR(IF([2]对账明细接口!$Y173=0,"",[2]对账明细接口!$Y173),"")</f>
        <v/>
      </c>
      <c r="AE172" s="90" t="str">
        <f aca="false">IFERROR(IF([2]对账明细接口!$AA173=0,"",[2]对账明细接口!$AA173),"")</f>
        <v/>
      </c>
      <c r="AF172" s="90" t="str">
        <f aca="false">IFERROR(IF([2]对账明细接口!$AB173=0,"",[2]对账明细接口!$AB173),"")</f>
        <v/>
      </c>
      <c r="AG172" s="90" t="str">
        <f aca="false">IFERROR(IF([2]对账明细接口!$AC173=0,"",[2]对账明细接口!$AC173),"")</f>
        <v/>
      </c>
      <c r="AH172" s="90" t="str">
        <f aca="false">IFERROR(IF([2]对账明细接口!$AD173=0,"",[2]对账明细接口!$AD173),"")</f>
        <v/>
      </c>
    </row>
    <row r="173" customFormat="false" ht="13.5" hidden="false" customHeight="false" outlineLevel="0" collapsed="false">
      <c r="A173" s="109" t="n">
        <v>173</v>
      </c>
      <c r="B173" s="110" t="n">
        <f aca="false">IFERROR(IF([2]对账明细接口!$B$173=0,"",[2]对账明细接口!$B$173),"")</f>
        <v>46275</v>
      </c>
      <c r="C173" s="59" t="str">
        <f aca="false">IFERROR(IF([2]对账明细接口!$C$173=0,"",[2]对账明细接口!$C$173),"")</f>
        <v>贾建国</v>
      </c>
      <c r="D173" s="59" t="str">
        <f aca="false">IFERROR(IF([2]对账明细接口!$D$173=0,"",[2]对账明细接口!$D$173),"")</f>
        <v>原料入库</v>
      </c>
      <c r="E173" s="59" t="str">
        <f aca="false">IFERROR(IF([2]对账明细接口!$E$173=0,"",[2]对账明细接口!$E$173),"")</f>
        <v>NO:0000772</v>
      </c>
      <c r="F173" s="59" t="str">
        <f aca="false">IFERROR(IF([2]对账明细接口!$F$173=0,"",[2]对账明细接口!$F$173),"")</f>
        <v>香梨</v>
      </c>
      <c r="G173" s="59" t="str">
        <f aca="false">IFERROR(IF([2]对账明细接口!$G$173=0,"",[2]对账明细接口!$G$173),"")</f>
        <v>香梨副特</v>
      </c>
      <c r="H173" s="60" t="n">
        <f aca="false">IFERROR(IF([2]对账明细接口!$H$173=0,"",[2]对账明细接口!$H$173),"")</f>
        <v>74</v>
      </c>
      <c r="I173" s="59" t="str">
        <f aca="false">IFERROR(IF([2]对账明细接口!$I$173=0,"",[2]对账明细接口!$I$173),"")</f>
        <v>筐</v>
      </c>
      <c r="J173" s="61" t="n">
        <f aca="false">IFERROR(IF([2]对账明细接口!$J$173=0,"",[2]对账明细接口!$J$173),"")</f>
        <v>1665</v>
      </c>
      <c r="K173" s="61" t="str">
        <f aca="false">IFERROR(IF([2]对账明细接口!$K$173=0,"",[2]对账明细接口!$K$173),"")</f>
        <v/>
      </c>
      <c r="L173" s="59" t="str">
        <f aca="false">IFERROR(IF([2]对账明细接口!$L$173=0,"",[2]对账明细接口!$L$173),"")</f>
        <v/>
      </c>
      <c r="M173" s="59" t="str">
        <f aca="false">IFERROR(IF([2]对账明细接口!$M$173=0,"",[2]对账明细接口!$M$173),"")</f>
        <v/>
      </c>
      <c r="N173" s="111" t="n">
        <f aca="false">IF($C173="",0,1)</f>
        <v>1</v>
      </c>
      <c r="O173" s="111" t="n">
        <f aca="false">N(O172)+$N173</f>
        <v>170</v>
      </c>
      <c r="S173" s="10" t="str">
        <f aca="false">IFERROR(IF([2]对账明细接口!$N173=0,"",[2]对账明细接口!$N173),"")</f>
        <v>公司新周转筐</v>
      </c>
      <c r="T173" s="112" t="str">
        <f aca="false">IFERROR(IF([2]对账明细接口!$O173=0,"",[2]对账明细接口!$O173),"")</f>
        <v/>
      </c>
      <c r="U173" s="112" t="str">
        <f aca="false">IFERROR(IF([2]对账明细接口!$P173=0,"",[2]对账明细接口!$P173),"")</f>
        <v/>
      </c>
      <c r="V173" s="112" t="n">
        <f aca="false">IFERROR(IF([2]对账明细接口!$Q173=0,"",[2]对账明细接口!$Q173),"")</f>
        <v>74</v>
      </c>
      <c r="W173" s="10" t="str">
        <f aca="false">IFERROR(IF([2]对账明细接口!$R173=0,"",[2]对账明细接口!$R173),"")</f>
        <v>新N*56508</v>
      </c>
      <c r="X173" s="10" t="str">
        <f aca="false">IFERROR(IF([2]对账明细接口!$S173=0,"",[2]对账明细接口!$S173),"")</f>
        <v>公司筐</v>
      </c>
      <c r="Y173" s="10" t="str">
        <f aca="false">IFERROR(IF([2]对账明细接口!$T173=0,"",[2]对账明细接口!$T173),"")</f>
        <v/>
      </c>
      <c r="Z173" s="113" t="str">
        <f aca="false">IFERROR(IF([2]对账明细接口!$U173=0,"",[2]对账明细接口!$U173),"")</f>
        <v/>
      </c>
      <c r="AA173" s="113" t="str">
        <f aca="false">IFERROR(IF([2]对账明细接口!$V173=0,"",[2]对账明细接口!$V173),"")</f>
        <v/>
      </c>
      <c r="AB173" s="10" t="str">
        <f aca="false">IFERROR(IF([2]对账明细接口!$W173=0,"",[2]对账明细接口!$W173),"")</f>
        <v/>
      </c>
      <c r="AC173" s="90" t="str">
        <f aca="false">IFERROR(IF([2]对账明细接口!$X174=0,"",[2]对账明细接口!$X174),"")</f>
        <v/>
      </c>
      <c r="AD173" s="90" t="str">
        <f aca="false">IFERROR(IF([2]对账明细接口!$Y174=0,"",[2]对账明细接口!$Y174),"")</f>
        <v/>
      </c>
      <c r="AE173" s="90" t="str">
        <f aca="false">IFERROR(IF([2]对账明细接口!$AA174=0,"",[2]对账明细接口!$AA174),"")</f>
        <v/>
      </c>
      <c r="AF173" s="90" t="str">
        <f aca="false">IFERROR(IF([2]对账明细接口!$AB174=0,"",[2]对账明细接口!$AB174),"")</f>
        <v/>
      </c>
      <c r="AG173" s="90" t="str">
        <f aca="false">IFERROR(IF([2]对账明细接口!$AC174=0,"",[2]对账明细接口!$AC174),"")</f>
        <v/>
      </c>
      <c r="AH173" s="90" t="str">
        <f aca="false">IFERROR(IF([2]对账明细接口!$AD174=0,"",[2]对账明细接口!$AD174),"")</f>
        <v/>
      </c>
    </row>
    <row r="174" customFormat="false" ht="13.5" hidden="false" customHeight="false" outlineLevel="0" collapsed="false">
      <c r="A174" s="109" t="n">
        <v>174</v>
      </c>
      <c r="B174" s="110" t="n">
        <f aca="false">IFERROR(IF([2]对账明细接口!$B$174=0,"",[2]对账明细接口!$B$174),"")</f>
        <v>46275</v>
      </c>
      <c r="C174" s="59" t="str">
        <f aca="false">IFERROR(IF([2]对账明细接口!$C$174=0,"",[2]对账明细接口!$C$174),"")</f>
        <v>吐尔洪</v>
      </c>
      <c r="D174" s="59" t="str">
        <f aca="false">IFERROR(IF([2]对账明细接口!$D$174=0,"",[2]对账明细接口!$D$174),"")</f>
        <v>原料入库</v>
      </c>
      <c r="E174" s="59" t="str">
        <f aca="false">IFERROR(IF([2]对账明细接口!$E$174=0,"",[2]对账明细接口!$E$174),"")</f>
        <v>NO:0000773</v>
      </c>
      <c r="F174" s="59" t="str">
        <f aca="false">IFERROR(IF([2]对账明细接口!$F$174=0,"",[2]对账明细接口!$F$174),"")</f>
        <v>香梨</v>
      </c>
      <c r="G174" s="59" t="str">
        <f aca="false">IFERROR(IF([2]对账明细接口!$G$174=0,"",[2]对账明细接口!$G$174),"")</f>
        <v>香梨特级</v>
      </c>
      <c r="H174" s="60" t="n">
        <f aca="false">IFERROR(IF([2]对账明细接口!$H$174=0,"",[2]对账明细接口!$H$174),"")</f>
        <v>108</v>
      </c>
      <c r="I174" s="59" t="str">
        <f aca="false">IFERROR(IF([2]对账明细接口!$I$174=0,"",[2]对账明细接口!$I$174),"")</f>
        <v>筐</v>
      </c>
      <c r="J174" s="61" t="n">
        <f aca="false">IFERROR(IF([2]对账明细接口!$J$174=0,"",[2]对账明细接口!$J$174),"")</f>
        <v>1976.4</v>
      </c>
      <c r="K174" s="61" t="str">
        <f aca="false">IFERROR(IF([2]对账明细接口!$K$174=0,"",[2]对账明细接口!$K$174),"")</f>
        <v/>
      </c>
      <c r="L174" s="59" t="str">
        <f aca="false">IFERROR(IF([2]对账明细接口!$L$174=0,"",[2]对账明细接口!$L$174),"")</f>
        <v/>
      </c>
      <c r="M174" s="59" t="str">
        <f aca="false">IFERROR(IF([2]对账明细接口!$M$174=0,"",[2]对账明细接口!$M$174),"")</f>
        <v/>
      </c>
      <c r="N174" s="111" t="n">
        <f aca="false">IF($C174="",0,1)</f>
        <v>1</v>
      </c>
      <c r="O174" s="111" t="n">
        <f aca="false">N(O173)+$N174</f>
        <v>171</v>
      </c>
      <c r="S174" s="10" t="str">
        <f aca="false">IFERROR(IF([2]对账明细接口!$N174=0,"",[2]对账明细接口!$N174),"")</f>
        <v>公司红周转筐</v>
      </c>
      <c r="T174" s="112" t="str">
        <f aca="false">IFERROR(IF([2]对账明细接口!$O174=0,"",[2]对账明细接口!$O174),"")</f>
        <v/>
      </c>
      <c r="U174" s="112" t="str">
        <f aca="false">IFERROR(IF([2]对账明细接口!$P174=0,"",[2]对账明细接口!$P174),"")</f>
        <v/>
      </c>
      <c r="V174" s="112" t="n">
        <f aca="false">IFERROR(IF([2]对账明细接口!$Q174=0,"",[2]对账明细接口!$Q174),"")</f>
        <v>108</v>
      </c>
      <c r="W174" s="10" t="str">
        <f aca="false">IFERROR(IF([2]对账明细接口!$R174=0,"",[2]对账明细接口!$R174),"")</f>
        <v>新N*X8S48</v>
      </c>
      <c r="X174" s="10" t="str">
        <f aca="false">IFERROR(IF([2]对账明细接口!$S174=0,"",[2]对账明细接口!$S174),"")</f>
        <v>公司筐</v>
      </c>
      <c r="Y174" s="10" t="str">
        <f aca="false">IFERROR(IF([2]对账明细接口!$T174=0,"",[2]对账明细接口!$T174),"")</f>
        <v/>
      </c>
      <c r="Z174" s="113" t="str">
        <f aca="false">IFERROR(IF([2]对账明细接口!$U174=0,"",[2]对账明细接口!$U174),"")</f>
        <v/>
      </c>
      <c r="AA174" s="113" t="str">
        <f aca="false">IFERROR(IF([2]对账明细接口!$V174=0,"",[2]对账明细接口!$V174),"")</f>
        <v/>
      </c>
      <c r="AB174" s="10" t="str">
        <f aca="false">IFERROR(IF([2]对账明细接口!$W174=0,"",[2]对账明细接口!$W174),"")</f>
        <v/>
      </c>
      <c r="AC174" s="90" t="str">
        <f aca="false">IFERROR(IF([2]对账明细接口!$X175=0,"",[2]对账明细接口!$X175),"")</f>
        <v/>
      </c>
      <c r="AD174" s="90" t="str">
        <f aca="false">IFERROR(IF([2]对账明细接口!$Y175=0,"",[2]对账明细接口!$Y175),"")</f>
        <v/>
      </c>
      <c r="AE174" s="90" t="str">
        <f aca="false">IFERROR(IF([2]对账明细接口!$AA175=0,"",[2]对账明细接口!$AA175),"")</f>
        <v/>
      </c>
      <c r="AF174" s="90" t="str">
        <f aca="false">IFERROR(IF([2]对账明细接口!$AB175=0,"",[2]对账明细接口!$AB175),"")</f>
        <v/>
      </c>
      <c r="AG174" s="90" t="str">
        <f aca="false">IFERROR(IF([2]对账明细接口!$AC175=0,"",[2]对账明细接口!$AC175),"")</f>
        <v/>
      </c>
      <c r="AH174" s="90" t="str">
        <f aca="false">IFERROR(IF([2]对账明细接口!$AD175=0,"",[2]对账明细接口!$AD175),"")</f>
        <v/>
      </c>
    </row>
    <row r="175" customFormat="false" ht="13.5" hidden="false" customHeight="false" outlineLevel="0" collapsed="false">
      <c r="A175" s="109" t="n">
        <v>175</v>
      </c>
      <c r="B175" s="110" t="n">
        <f aca="false">IFERROR(IF([2]对账明细接口!$B$175=0,"",[2]对账明细接口!$B$175),"")</f>
        <v>46275</v>
      </c>
      <c r="C175" s="59" t="str">
        <f aca="false">IFERROR(IF([2]对账明细接口!$C$175=0,"",[2]对账明细接口!$C$175),"")</f>
        <v>吐尔洪</v>
      </c>
      <c r="D175" s="59" t="str">
        <f aca="false">IFERROR(IF([2]对账明细接口!$D$175=0,"",[2]对账明细接口!$D$175),"")</f>
        <v>原料入库</v>
      </c>
      <c r="E175" s="59" t="str">
        <f aca="false">IFERROR(IF([2]对账明细接口!$E$175=0,"",[2]对账明细接口!$E$175),"")</f>
        <v>NO:0000773</v>
      </c>
      <c r="F175" s="59" t="str">
        <f aca="false">IFERROR(IF([2]对账明细接口!$F$175=0,"",[2]对账明细接口!$F$175),"")</f>
        <v>香梨</v>
      </c>
      <c r="G175" s="59" t="str">
        <f aca="false">IFERROR(IF([2]对账明细接口!$G$175=0,"",[2]对账明细接口!$G$175),"")</f>
        <v>香梨一级</v>
      </c>
      <c r="H175" s="60" t="n">
        <f aca="false">IFERROR(IF([2]对账明细接口!$H$175=0,"",[2]对账明细接口!$H$175),"")</f>
        <v>38</v>
      </c>
      <c r="I175" s="59" t="str">
        <f aca="false">IFERROR(IF([2]对账明细接口!$I$175=0,"",[2]对账明细接口!$I$175),"")</f>
        <v>筐</v>
      </c>
      <c r="J175" s="61" t="n">
        <f aca="false">IFERROR(IF([2]对账明细接口!$J$175=0,"",[2]对账明细接口!$J$175),"")</f>
        <v>695.4</v>
      </c>
      <c r="K175" s="61" t="str">
        <f aca="false">IFERROR(IF([2]对账明细接口!$K$175=0,"",[2]对账明细接口!$K$175),"")</f>
        <v/>
      </c>
      <c r="L175" s="59" t="str">
        <f aca="false">IFERROR(IF([2]对账明细接口!$L$175=0,"",[2]对账明细接口!$L$175),"")</f>
        <v/>
      </c>
      <c r="M175" s="59" t="str">
        <f aca="false">IFERROR(IF([2]对账明细接口!$M$175=0,"",[2]对账明细接口!$M$175),"")</f>
        <v/>
      </c>
      <c r="N175" s="111" t="n">
        <f aca="false">IF($C175="",0,1)</f>
        <v>1</v>
      </c>
      <c r="O175" s="111" t="n">
        <f aca="false">N(O174)+$N175</f>
        <v>172</v>
      </c>
      <c r="S175" s="10" t="str">
        <f aca="false">IFERROR(IF([2]对账明细接口!$N175=0,"",[2]对账明细接口!$N175),"")</f>
        <v>公司红周转筐</v>
      </c>
      <c r="T175" s="112" t="str">
        <f aca="false">IFERROR(IF([2]对账明细接口!$O175=0,"",[2]对账明细接口!$O175),"")</f>
        <v/>
      </c>
      <c r="U175" s="112" t="str">
        <f aca="false">IFERROR(IF([2]对账明细接口!$P175=0,"",[2]对账明细接口!$P175),"")</f>
        <v/>
      </c>
      <c r="V175" s="112" t="n">
        <f aca="false">IFERROR(IF([2]对账明细接口!$Q175=0,"",[2]对账明细接口!$Q175),"")</f>
        <v>38</v>
      </c>
      <c r="W175" s="10" t="str">
        <f aca="false">IFERROR(IF([2]对账明细接口!$R175=0,"",[2]对账明细接口!$R175),"")</f>
        <v>新N*X8S48</v>
      </c>
      <c r="X175" s="10" t="str">
        <f aca="false">IFERROR(IF([2]对账明细接口!$S175=0,"",[2]对账明细接口!$S175),"")</f>
        <v>公司筐</v>
      </c>
      <c r="Y175" s="10" t="str">
        <f aca="false">IFERROR(IF([2]对账明细接口!$T175=0,"",[2]对账明细接口!$T175),"")</f>
        <v/>
      </c>
      <c r="Z175" s="113" t="str">
        <f aca="false">IFERROR(IF([2]对账明细接口!$U175=0,"",[2]对账明细接口!$U175),"")</f>
        <v/>
      </c>
      <c r="AA175" s="113" t="str">
        <f aca="false">IFERROR(IF([2]对账明细接口!$V175=0,"",[2]对账明细接口!$V175),"")</f>
        <v/>
      </c>
      <c r="AB175" s="10" t="str">
        <f aca="false">IFERROR(IF([2]对账明细接口!$W175=0,"",[2]对账明细接口!$W175),"")</f>
        <v/>
      </c>
      <c r="AC175" s="90" t="str">
        <f aca="false">IFERROR(IF([2]对账明细接口!$X176=0,"",[2]对账明细接口!$X176),"")</f>
        <v/>
      </c>
      <c r="AD175" s="90" t="str">
        <f aca="false">IFERROR(IF([2]对账明细接口!$Y176=0,"",[2]对账明细接口!$Y176),"")</f>
        <v/>
      </c>
      <c r="AE175" s="90" t="str">
        <f aca="false">IFERROR(IF([2]对账明细接口!$AA176=0,"",[2]对账明细接口!$AA176),"")</f>
        <v/>
      </c>
      <c r="AF175" s="90" t="str">
        <f aca="false">IFERROR(IF([2]对账明细接口!$AB176=0,"",[2]对账明细接口!$AB176),"")</f>
        <v/>
      </c>
      <c r="AG175" s="90" t="str">
        <f aca="false">IFERROR(IF([2]对账明细接口!$AC176=0,"",[2]对账明细接口!$AC176),"")</f>
        <v/>
      </c>
      <c r="AH175" s="90" t="str">
        <f aca="false">IFERROR(IF([2]对账明细接口!$AD176=0,"",[2]对账明细接口!$AD176),"")</f>
        <v/>
      </c>
    </row>
    <row r="176" customFormat="false" ht="13.5" hidden="false" customHeight="false" outlineLevel="0" collapsed="false">
      <c r="A176" s="109" t="n">
        <v>176</v>
      </c>
      <c r="B176" s="110" t="n">
        <f aca="false">IFERROR(IF([2]对账明细接口!$B$176=0,"",[2]对账明细接口!$B$176),"")</f>
        <v>46275</v>
      </c>
      <c r="C176" s="59" t="str">
        <f aca="false">IFERROR(IF([2]对账明细接口!$C$176=0,"",[2]对账明细接口!$C$176),"")</f>
        <v>吐尔洪</v>
      </c>
      <c r="D176" s="59" t="str">
        <f aca="false">IFERROR(IF([2]对账明细接口!$D$176=0,"",[2]对账明细接口!$D$176),"")</f>
        <v>原料入库</v>
      </c>
      <c r="E176" s="59" t="str">
        <f aca="false">IFERROR(IF([2]对账明细接口!$E$176=0,"",[2]对账明细接口!$E$176),"")</f>
        <v>NO:0000773</v>
      </c>
      <c r="F176" s="59" t="str">
        <f aca="false">IFERROR(IF([2]对账明细接口!$F$176=0,"",[2]对账明细接口!$F$176),"")</f>
        <v>香梨</v>
      </c>
      <c r="G176" s="59" t="str">
        <f aca="false">IFERROR(IF([2]对账明细接口!$G$176=0,"",[2]对账明细接口!$G$176),"")</f>
        <v>香梨二级</v>
      </c>
      <c r="H176" s="60" t="n">
        <f aca="false">IFERROR(IF([2]对账明细接口!$H$176=0,"",[2]对账明细接口!$H$176),"")</f>
        <v>106</v>
      </c>
      <c r="I176" s="59" t="str">
        <f aca="false">IFERROR(IF([2]对账明细接口!$I$176=0,"",[2]对账明细接口!$I$176),"")</f>
        <v>筐</v>
      </c>
      <c r="J176" s="61" t="n">
        <f aca="false">IFERROR(IF([2]对账明细接口!$J$176=0,"",[2]对账明细接口!$J$176),"")</f>
        <v>2363.8</v>
      </c>
      <c r="K176" s="61" t="str">
        <f aca="false">IFERROR(IF([2]对账明细接口!$K$176=0,"",[2]对账明细接口!$K$176),"")</f>
        <v/>
      </c>
      <c r="L176" s="59" t="str">
        <f aca="false">IFERROR(IF([2]对账明细接口!$L$176=0,"",[2]对账明细接口!$L$176),"")</f>
        <v/>
      </c>
      <c r="M176" s="59" t="str">
        <f aca="false">IFERROR(IF([2]对账明细接口!$M$176=0,"",[2]对账明细接口!$M$176),"")</f>
        <v/>
      </c>
      <c r="N176" s="111" t="n">
        <f aca="false">IF($C176="",0,1)</f>
        <v>1</v>
      </c>
      <c r="O176" s="111" t="n">
        <f aca="false">N(O175)+$N176</f>
        <v>173</v>
      </c>
      <c r="S176" s="10" t="str">
        <f aca="false">IFERROR(IF([2]对账明细接口!$N176=0,"",[2]对账明细接口!$N176),"")</f>
        <v>公司红周转筐</v>
      </c>
      <c r="T176" s="112" t="str">
        <f aca="false">IFERROR(IF([2]对账明细接口!$O176=0,"",[2]对账明细接口!$O176),"")</f>
        <v/>
      </c>
      <c r="U176" s="112" t="str">
        <f aca="false">IFERROR(IF([2]对账明细接口!$P176=0,"",[2]对账明细接口!$P176),"")</f>
        <v/>
      </c>
      <c r="V176" s="112" t="n">
        <f aca="false">IFERROR(IF([2]对账明细接口!$Q176=0,"",[2]对账明细接口!$Q176),"")</f>
        <v>106</v>
      </c>
      <c r="W176" s="10" t="str">
        <f aca="false">IFERROR(IF([2]对账明细接口!$R176=0,"",[2]对账明细接口!$R176),"")</f>
        <v>新N*X8S48</v>
      </c>
      <c r="X176" s="10" t="str">
        <f aca="false">IFERROR(IF([2]对账明细接口!$S176=0,"",[2]对账明细接口!$S176),"")</f>
        <v>公司筐</v>
      </c>
      <c r="Y176" s="10" t="str">
        <f aca="false">IFERROR(IF([2]对账明细接口!$T176=0,"",[2]对账明细接口!$T176),"")</f>
        <v/>
      </c>
      <c r="Z176" s="113" t="str">
        <f aca="false">IFERROR(IF([2]对账明细接口!$U176=0,"",[2]对账明细接口!$U176),"")</f>
        <v/>
      </c>
      <c r="AA176" s="113" t="str">
        <f aca="false">IFERROR(IF([2]对账明细接口!$V176=0,"",[2]对账明细接口!$V176),"")</f>
        <v/>
      </c>
      <c r="AB176" s="10" t="str">
        <f aca="false">IFERROR(IF([2]对账明细接口!$W176=0,"",[2]对账明细接口!$W176),"")</f>
        <v/>
      </c>
      <c r="AC176" s="90" t="str">
        <f aca="false">IFERROR(IF([2]对账明细接口!$X177=0,"",[2]对账明细接口!$X177),"")</f>
        <v/>
      </c>
      <c r="AD176" s="90" t="str">
        <f aca="false">IFERROR(IF([2]对账明细接口!$Y177=0,"",[2]对账明细接口!$Y177),"")</f>
        <v/>
      </c>
      <c r="AE176" s="90" t="str">
        <f aca="false">IFERROR(IF([2]对账明细接口!$AA177=0,"",[2]对账明细接口!$AA177),"")</f>
        <v/>
      </c>
      <c r="AF176" s="90" t="str">
        <f aca="false">IFERROR(IF([2]对账明细接口!$AB177=0,"",[2]对账明细接口!$AB177),"")</f>
        <v/>
      </c>
      <c r="AG176" s="90" t="str">
        <f aca="false">IFERROR(IF([2]对账明细接口!$AC177=0,"",[2]对账明细接口!$AC177),"")</f>
        <v/>
      </c>
      <c r="AH176" s="90" t="str">
        <f aca="false">IFERROR(IF([2]对账明细接口!$AD177=0,"",[2]对账明细接口!$AD177),"")</f>
        <v/>
      </c>
    </row>
    <row r="177" customFormat="false" ht="13.5" hidden="false" customHeight="false" outlineLevel="0" collapsed="false">
      <c r="A177" s="109" t="n">
        <v>177</v>
      </c>
      <c r="B177" s="110" t="n">
        <f aca="false">IFERROR(IF([2]对账明细接口!$B$177=0,"",[2]对账明细接口!$B$177),"")</f>
        <v>46275</v>
      </c>
      <c r="C177" s="59" t="str">
        <f aca="false">IFERROR(IF([2]对账明细接口!$C$177=0,"",[2]对账明细接口!$C$177),"")</f>
        <v>王照雪</v>
      </c>
      <c r="D177" s="59" t="str">
        <f aca="false">IFERROR(IF([2]对账明细接口!$D$177=0,"",[2]对账明细接口!$D$177),"")</f>
        <v>原料入库</v>
      </c>
      <c r="E177" s="59" t="str">
        <f aca="false">IFERROR(IF([2]对账明细接口!$E$177=0,"",[2]对账明细接口!$E$177),"")</f>
        <v>NO:0000775</v>
      </c>
      <c r="F177" s="59" t="str">
        <f aca="false">IFERROR(IF([2]对账明细接口!$F$177=0,"",[2]对账明细接口!$F$177),"")</f>
        <v>香梨</v>
      </c>
      <c r="G177" s="59" t="str">
        <f aca="false">IFERROR(IF([2]对账明细接口!$G$177=0,"",[2]对账明细接口!$G$177),"")</f>
        <v>香梨一级</v>
      </c>
      <c r="H177" s="60" t="n">
        <f aca="false">IFERROR(IF([2]对账明细接口!$H$177=0,"",[2]对账明细接口!$H$177),"")</f>
        <v>196</v>
      </c>
      <c r="I177" s="59" t="str">
        <f aca="false">IFERROR(IF([2]对账明细接口!$I$177=0,"",[2]对账明细接口!$I$177),"")</f>
        <v>筐</v>
      </c>
      <c r="J177" s="61" t="n">
        <f aca="false">IFERROR(IF([2]对账明细接口!$J$177=0,"",[2]对账明细接口!$J$177),"")</f>
        <v>3626</v>
      </c>
      <c r="K177" s="61" t="str">
        <f aca="false">IFERROR(IF([2]对账明细接口!$K$177=0,"",[2]对账明细接口!$K$177),"")</f>
        <v/>
      </c>
      <c r="L177" s="59" t="str">
        <f aca="false">IFERROR(IF([2]对账明细接口!$L$177=0,"",[2]对账明细接口!$L$177),"")</f>
        <v/>
      </c>
      <c r="M177" s="59" t="str">
        <f aca="false">IFERROR(IF([2]对账明细接口!$M$177=0,"",[2]对账明细接口!$M$177),"")</f>
        <v/>
      </c>
      <c r="N177" s="111" t="n">
        <f aca="false">IF($C177="",0,1)</f>
        <v>1</v>
      </c>
      <c r="O177" s="111" t="n">
        <f aca="false">N(O176)+$N177</f>
        <v>174</v>
      </c>
      <c r="S177" s="10" t="str">
        <f aca="false">IFERROR(IF([2]对账明细接口!$N177=0,"",[2]对账明细接口!$N177),"")</f>
        <v>公司一次性筐</v>
      </c>
      <c r="T177" s="112" t="str">
        <f aca="false">IFERROR(IF([2]对账明细接口!$O177=0,"",[2]对账明细接口!$O177),"")</f>
        <v/>
      </c>
      <c r="U177" s="112" t="str">
        <f aca="false">IFERROR(IF([2]对账明细接口!$P177=0,"",[2]对账明细接口!$P177),"")</f>
        <v/>
      </c>
      <c r="V177" s="112" t="n">
        <f aca="false">IFERROR(IF([2]对账明细接口!$Q177=0,"",[2]对账明细接口!$Q177),"")</f>
        <v>196</v>
      </c>
      <c r="W177" s="10" t="str">
        <f aca="false">IFERROR(IF([2]对账明细接口!$R177=0,"",[2]对账明细接口!$R177),"")</f>
        <v>豫L*88X19</v>
      </c>
      <c r="X177" s="10" t="str">
        <f aca="false">IFERROR(IF([2]对账明细接口!$S177=0,"",[2]对账明细接口!$S177),"")</f>
        <v>公司筐</v>
      </c>
      <c r="Y177" s="10" t="str">
        <f aca="false">IFERROR(IF([2]对账明细接口!$T177=0,"",[2]对账明细接口!$T177),"")</f>
        <v/>
      </c>
      <c r="Z177" s="113" t="str">
        <f aca="false">IFERROR(IF([2]对账明细接口!$U177=0,"",[2]对账明细接口!$U177),"")</f>
        <v/>
      </c>
      <c r="AA177" s="113" t="str">
        <f aca="false">IFERROR(IF([2]对账明细接口!$V177=0,"",[2]对账明细接口!$V177),"")</f>
        <v/>
      </c>
      <c r="AB177" s="10" t="str">
        <f aca="false">IFERROR(IF([2]对账明细接口!$W177=0,"",[2]对账明细接口!$W177),"")</f>
        <v/>
      </c>
      <c r="AC177" s="90" t="str">
        <f aca="false">IFERROR(IF([2]对账明细接口!$X178=0,"",[2]对账明细接口!$X178),"")</f>
        <v/>
      </c>
      <c r="AD177" s="90" t="str">
        <f aca="false">IFERROR(IF([2]对账明细接口!$Y178=0,"",[2]对账明细接口!$Y178),"")</f>
        <v/>
      </c>
      <c r="AE177" s="90" t="str">
        <f aca="false">IFERROR(IF([2]对账明细接口!$AA178=0,"",[2]对账明细接口!$AA178),"")</f>
        <v/>
      </c>
      <c r="AF177" s="90" t="str">
        <f aca="false">IFERROR(IF([2]对账明细接口!$AB178=0,"",[2]对账明细接口!$AB178),"")</f>
        <v/>
      </c>
      <c r="AG177" s="90" t="str">
        <f aca="false">IFERROR(IF([2]对账明细接口!$AC178=0,"",[2]对账明细接口!$AC178),"")</f>
        <v/>
      </c>
      <c r="AH177" s="90" t="str">
        <f aca="false">IFERROR(IF([2]对账明细接口!$AD178=0,"",[2]对账明细接口!$AD178),"")</f>
        <v/>
      </c>
    </row>
    <row r="178" customFormat="false" ht="13.5" hidden="false" customHeight="false" outlineLevel="0" collapsed="false">
      <c r="A178" s="109" t="n">
        <v>178</v>
      </c>
      <c r="B178" s="110" t="n">
        <f aca="false">IFERROR(IF([2]对账明细接口!$B$178=0,"",[2]对账明细接口!$B$178),"")</f>
        <v>46275</v>
      </c>
      <c r="C178" s="59" t="str">
        <f aca="false">IFERROR(IF([2]对账明细接口!$C$178=0,"",[2]对账明细接口!$C$178),"")</f>
        <v>王照雪</v>
      </c>
      <c r="D178" s="59" t="str">
        <f aca="false">IFERROR(IF([2]对账明细接口!$D$178=0,"",[2]对账明细接口!$D$178),"")</f>
        <v>原料入库</v>
      </c>
      <c r="E178" s="59" t="str">
        <f aca="false">IFERROR(IF([2]对账明细接口!$E$178=0,"",[2]对账明细接口!$E$178),"")</f>
        <v>NO:0000775</v>
      </c>
      <c r="F178" s="59" t="str">
        <f aca="false">IFERROR(IF([2]对账明细接口!$F$178=0,"",[2]对账明细接口!$F$178),"")</f>
        <v>香梨</v>
      </c>
      <c r="G178" s="59" t="str">
        <f aca="false">IFERROR(IF([2]对账明细接口!$G$178=0,"",[2]对账明细接口!$G$178),"")</f>
        <v>香梨副特</v>
      </c>
      <c r="H178" s="60" t="n">
        <f aca="false">IFERROR(IF([2]对账明细接口!$H$178=0,"",[2]对账明细接口!$H$178),"")</f>
        <v>133</v>
      </c>
      <c r="I178" s="59" t="str">
        <f aca="false">IFERROR(IF([2]对账明细接口!$I$178=0,"",[2]对账明细接口!$I$178),"")</f>
        <v>筐</v>
      </c>
      <c r="J178" s="61" t="n">
        <f aca="false">IFERROR(IF([2]对账明细接口!$J$178=0,"",[2]对账明细接口!$J$178),"")</f>
        <v>2460.5</v>
      </c>
      <c r="K178" s="61" t="str">
        <f aca="false">IFERROR(IF([2]对账明细接口!$K$178=0,"",[2]对账明细接口!$K$178),"")</f>
        <v/>
      </c>
      <c r="L178" s="59" t="str">
        <f aca="false">IFERROR(IF([2]对账明细接口!$L$178=0,"",[2]对账明细接口!$L$178),"")</f>
        <v/>
      </c>
      <c r="M178" s="59" t="str">
        <f aca="false">IFERROR(IF([2]对账明细接口!$M$178=0,"",[2]对账明细接口!$M$178),"")</f>
        <v/>
      </c>
      <c r="N178" s="111" t="n">
        <f aca="false">IF($C178="",0,1)</f>
        <v>1</v>
      </c>
      <c r="O178" s="111" t="n">
        <f aca="false">N(O177)+$N178</f>
        <v>175</v>
      </c>
      <c r="S178" s="10" t="str">
        <f aca="false">IFERROR(IF([2]对账明细接口!$N178=0,"",[2]对账明细接口!$N178),"")</f>
        <v>公司一次性筐</v>
      </c>
      <c r="T178" s="112" t="str">
        <f aca="false">IFERROR(IF([2]对账明细接口!$O178=0,"",[2]对账明细接口!$O178),"")</f>
        <v/>
      </c>
      <c r="U178" s="112" t="str">
        <f aca="false">IFERROR(IF([2]对账明细接口!$P178=0,"",[2]对账明细接口!$P178),"")</f>
        <v/>
      </c>
      <c r="V178" s="112" t="n">
        <f aca="false">IFERROR(IF([2]对账明细接口!$Q178=0,"",[2]对账明细接口!$Q178),"")</f>
        <v>133</v>
      </c>
      <c r="W178" s="10" t="str">
        <f aca="false">IFERROR(IF([2]对账明细接口!$R178=0,"",[2]对账明细接口!$R178),"")</f>
        <v>豫L*88X19</v>
      </c>
      <c r="X178" s="10" t="str">
        <f aca="false">IFERROR(IF([2]对账明细接口!$S178=0,"",[2]对账明细接口!$S178),"")</f>
        <v>公司筐</v>
      </c>
      <c r="Y178" s="10" t="str">
        <f aca="false">IFERROR(IF([2]对账明细接口!$T178=0,"",[2]对账明细接口!$T178),"")</f>
        <v/>
      </c>
      <c r="Z178" s="113" t="str">
        <f aca="false">IFERROR(IF([2]对账明细接口!$U178=0,"",[2]对账明细接口!$U178),"")</f>
        <v/>
      </c>
      <c r="AA178" s="113" t="str">
        <f aca="false">IFERROR(IF([2]对账明细接口!$V178=0,"",[2]对账明细接口!$V178),"")</f>
        <v/>
      </c>
      <c r="AB178" s="10" t="str">
        <f aca="false">IFERROR(IF([2]对账明细接口!$W178=0,"",[2]对账明细接口!$W178),"")</f>
        <v/>
      </c>
      <c r="AC178" s="90" t="str">
        <f aca="false">IFERROR(IF([2]对账明细接口!$X179=0,"",[2]对账明细接口!$X179),"")</f>
        <v/>
      </c>
      <c r="AD178" s="90" t="str">
        <f aca="false">IFERROR(IF([2]对账明细接口!$Y179=0,"",[2]对账明细接口!$Y179),"")</f>
        <v/>
      </c>
      <c r="AE178" s="90" t="str">
        <f aca="false">IFERROR(IF([2]对账明细接口!$AA179=0,"",[2]对账明细接口!$AA179),"")</f>
        <v/>
      </c>
      <c r="AF178" s="90" t="str">
        <f aca="false">IFERROR(IF([2]对账明细接口!$AB179=0,"",[2]对账明细接口!$AB179),"")</f>
        <v/>
      </c>
      <c r="AG178" s="90" t="str">
        <f aca="false">IFERROR(IF([2]对账明细接口!$AC179=0,"",[2]对账明细接口!$AC179),"")</f>
        <v/>
      </c>
      <c r="AH178" s="90" t="str">
        <f aca="false">IFERROR(IF([2]对账明细接口!$AD179=0,"",[2]对账明细接口!$AD179),"")</f>
        <v/>
      </c>
    </row>
    <row r="179" customFormat="false" ht="13.5" hidden="false" customHeight="false" outlineLevel="0" collapsed="false">
      <c r="A179" s="109" t="n">
        <v>179</v>
      </c>
      <c r="B179" s="110" t="n">
        <f aca="false">IFERROR(IF([2]对账明细接口!$B$179=0,"",[2]对账明细接口!$B$179),"")</f>
        <v>46275</v>
      </c>
      <c r="C179" s="59" t="str">
        <f aca="false">IFERROR(IF([2]对账明细接口!$C$179=0,"",[2]对账明细接口!$C$179),"")</f>
        <v>热合曼</v>
      </c>
      <c r="D179" s="59" t="str">
        <f aca="false">IFERROR(IF([2]对账明细接口!$D$179=0,"",[2]对账明细接口!$D$179),"")</f>
        <v>原料入库</v>
      </c>
      <c r="E179" s="59" t="str">
        <f aca="false">IFERROR(IF([2]对账明细接口!$E$179=0,"",[2]对账明细接口!$E$179),"")</f>
        <v>NO:0000776</v>
      </c>
      <c r="F179" s="59" t="str">
        <f aca="false">IFERROR(IF([2]对账明细接口!$F$179=0,"",[2]对账明细接口!$F$179),"")</f>
        <v>香梨</v>
      </c>
      <c r="G179" s="59" t="str">
        <f aca="false">IFERROR(IF([2]对账明细接口!$G$179=0,"",[2]对账明细接口!$G$179),"")</f>
        <v>香梨一级</v>
      </c>
      <c r="H179" s="60" t="n">
        <f aca="false">IFERROR(IF([2]对账明细接口!$H$179=0,"",[2]对账明细接口!$H$179),"")</f>
        <v>220</v>
      </c>
      <c r="I179" s="59" t="str">
        <f aca="false">IFERROR(IF([2]对账明细接口!$I$179=0,"",[2]对账明细接口!$I$179),"")</f>
        <v>筐</v>
      </c>
      <c r="J179" s="61" t="n">
        <f aca="false">IFERROR(IF([2]对账明细接口!$J$179=0,"",[2]对账明细接口!$J$179),"")</f>
        <v>4026</v>
      </c>
      <c r="K179" s="61" t="str">
        <f aca="false">IFERROR(IF([2]对账明细接口!$K$179=0,"",[2]对账明细接口!$K$179),"")</f>
        <v/>
      </c>
      <c r="L179" s="59" t="str">
        <f aca="false">IFERROR(IF([2]对账明细接口!$L$179=0,"",[2]对账明细接口!$L$179),"")</f>
        <v/>
      </c>
      <c r="M179" s="59" t="str">
        <f aca="false">IFERROR(IF([2]对账明细接口!$M$179=0,"",[2]对账明细接口!$M$179),"")</f>
        <v/>
      </c>
      <c r="N179" s="111" t="n">
        <f aca="false">IF($C179="",0,1)</f>
        <v>1</v>
      </c>
      <c r="O179" s="111" t="n">
        <f aca="false">N(O178)+$N179</f>
        <v>176</v>
      </c>
      <c r="S179" s="10" t="str">
        <f aca="false">IFERROR(IF([2]对账明细接口!$N179=0,"",[2]对账明细接口!$N179),"")</f>
        <v>公司红周转筐</v>
      </c>
      <c r="T179" s="112" t="str">
        <f aca="false">IFERROR(IF([2]对账明细接口!$O179=0,"",[2]对账明细接口!$O179),"")</f>
        <v/>
      </c>
      <c r="U179" s="112" t="str">
        <f aca="false">IFERROR(IF([2]对账明细接口!$P179=0,"",[2]对账明细接口!$P179),"")</f>
        <v/>
      </c>
      <c r="V179" s="112" t="n">
        <f aca="false">IFERROR(IF([2]对账明细接口!$Q179=0,"",[2]对账明细接口!$Q179),"")</f>
        <v>220</v>
      </c>
      <c r="W179" s="10" t="str">
        <f aca="false">IFERROR(IF([2]对账明细接口!$R179=0,"",[2]对账明细接口!$R179),"")</f>
        <v>新A*G0554</v>
      </c>
      <c r="X179" s="10" t="str">
        <f aca="false">IFERROR(IF([2]对账明细接口!$S179=0,"",[2]对账明细接口!$S179),"")</f>
        <v>公司筐</v>
      </c>
      <c r="Y179" s="10" t="str">
        <f aca="false">IFERROR(IF([2]对账明细接口!$T179=0,"",[2]对账明细接口!$T179),"")</f>
        <v/>
      </c>
      <c r="Z179" s="113" t="str">
        <f aca="false">IFERROR(IF([2]对账明细接口!$U179=0,"",[2]对账明细接口!$U179),"")</f>
        <v/>
      </c>
      <c r="AA179" s="113" t="str">
        <f aca="false">IFERROR(IF([2]对账明细接口!$V179=0,"",[2]对账明细接口!$V179),"")</f>
        <v/>
      </c>
      <c r="AB179" s="10" t="str">
        <f aca="false">IFERROR(IF([2]对账明细接口!$W179=0,"",[2]对账明细接口!$W179),"")</f>
        <v/>
      </c>
      <c r="AC179" s="90" t="str">
        <f aca="false">IFERROR(IF([2]对账明细接口!$X180=0,"",[2]对账明细接口!$X180),"")</f>
        <v/>
      </c>
      <c r="AD179" s="90" t="str">
        <f aca="false">IFERROR(IF([2]对账明细接口!$Y180=0,"",[2]对账明细接口!$Y180),"")</f>
        <v/>
      </c>
      <c r="AE179" s="90" t="str">
        <f aca="false">IFERROR(IF([2]对账明细接口!$AA180=0,"",[2]对账明细接口!$AA180),"")</f>
        <v/>
      </c>
      <c r="AF179" s="90" t="str">
        <f aca="false">IFERROR(IF([2]对账明细接口!$AB180=0,"",[2]对账明细接口!$AB180),"")</f>
        <v/>
      </c>
      <c r="AG179" s="90" t="str">
        <f aca="false">IFERROR(IF([2]对账明细接口!$AC180=0,"",[2]对账明细接口!$AC180),"")</f>
        <v/>
      </c>
      <c r="AH179" s="90" t="str">
        <f aca="false">IFERROR(IF([2]对账明细接口!$AD180=0,"",[2]对账明细接口!$AD180),"")</f>
        <v/>
      </c>
    </row>
    <row r="180" customFormat="false" ht="13.5" hidden="false" customHeight="false" outlineLevel="0" collapsed="false">
      <c r="A180" s="109" t="n">
        <v>180</v>
      </c>
      <c r="B180" s="110" t="n">
        <f aca="false">IFERROR(IF([2]对账明细接口!$B$180=0,"",[2]对账明细接口!$B$180),"")</f>
        <v>46275</v>
      </c>
      <c r="C180" s="59" t="str">
        <f aca="false">IFERROR(IF([2]对账明细接口!$C$180=0,"",[2]对账明细接口!$C$180),"")</f>
        <v>热合曼</v>
      </c>
      <c r="D180" s="59" t="str">
        <f aca="false">IFERROR(IF([2]对账明细接口!$D$180=0,"",[2]对账明细接口!$D$180),"")</f>
        <v>原料入库</v>
      </c>
      <c r="E180" s="59" t="str">
        <f aca="false">IFERROR(IF([2]对账明细接口!$E$180=0,"",[2]对账明细接口!$E$180),"")</f>
        <v>NO:0000776</v>
      </c>
      <c r="F180" s="59" t="str">
        <f aca="false">IFERROR(IF([2]对账明细接口!$F$180=0,"",[2]对账明细接口!$F$180),"")</f>
        <v>香梨</v>
      </c>
      <c r="G180" s="59" t="str">
        <f aca="false">IFERROR(IF([2]对账明细接口!$G$180=0,"",[2]对账明细接口!$G$180),"")</f>
        <v>香梨二级</v>
      </c>
      <c r="H180" s="60" t="n">
        <f aca="false">IFERROR(IF([2]对账明细接口!$H$180=0,"",[2]对账明细接口!$H$180),"")</f>
        <v>54</v>
      </c>
      <c r="I180" s="59" t="str">
        <f aca="false">IFERROR(IF([2]对账明细接口!$I$180=0,"",[2]对账明细接口!$I$180),"")</f>
        <v>筐</v>
      </c>
      <c r="J180" s="61" t="n">
        <f aca="false">IFERROR(IF([2]对账明细接口!$J$180=0,"",[2]对账明细接口!$J$180),"")</f>
        <v>1204.2</v>
      </c>
      <c r="K180" s="61" t="str">
        <f aca="false">IFERROR(IF([2]对账明细接口!$K$180=0,"",[2]对账明细接口!$K$180),"")</f>
        <v/>
      </c>
      <c r="L180" s="59" t="str">
        <f aca="false">IFERROR(IF([2]对账明细接口!$L$180=0,"",[2]对账明细接口!$L$180),"")</f>
        <v/>
      </c>
      <c r="M180" s="59" t="str">
        <f aca="false">IFERROR(IF([2]对账明细接口!$M$180=0,"",[2]对账明细接口!$M$180),"")</f>
        <v/>
      </c>
      <c r="N180" s="111" t="n">
        <f aca="false">IF($C180="",0,1)</f>
        <v>1</v>
      </c>
      <c r="O180" s="111" t="n">
        <f aca="false">N(O179)+$N180</f>
        <v>177</v>
      </c>
      <c r="S180" s="10" t="str">
        <f aca="false">IFERROR(IF([2]对账明细接口!$N180=0,"",[2]对账明细接口!$N180),"")</f>
        <v>公司红周转筐</v>
      </c>
      <c r="T180" s="112" t="str">
        <f aca="false">IFERROR(IF([2]对账明细接口!$O180=0,"",[2]对账明细接口!$O180),"")</f>
        <v/>
      </c>
      <c r="U180" s="112" t="str">
        <f aca="false">IFERROR(IF([2]对账明细接口!$P180=0,"",[2]对账明细接口!$P180),"")</f>
        <v/>
      </c>
      <c r="V180" s="112" t="n">
        <f aca="false">IFERROR(IF([2]对账明细接口!$Q180=0,"",[2]对账明细接口!$Q180),"")</f>
        <v>54</v>
      </c>
      <c r="W180" s="10" t="str">
        <f aca="false">IFERROR(IF([2]对账明细接口!$R180=0,"",[2]对账明细接口!$R180),"")</f>
        <v>新A*G0554</v>
      </c>
      <c r="X180" s="10" t="str">
        <f aca="false">IFERROR(IF([2]对账明细接口!$S180=0,"",[2]对账明细接口!$S180),"")</f>
        <v>公司筐</v>
      </c>
      <c r="Y180" s="10" t="str">
        <f aca="false">IFERROR(IF([2]对账明细接口!$T180=0,"",[2]对账明细接口!$T180),"")</f>
        <v/>
      </c>
      <c r="Z180" s="113" t="str">
        <f aca="false">IFERROR(IF([2]对账明细接口!$U180=0,"",[2]对账明细接口!$U180),"")</f>
        <v/>
      </c>
      <c r="AA180" s="113" t="str">
        <f aca="false">IFERROR(IF([2]对账明细接口!$V180=0,"",[2]对账明细接口!$V180),"")</f>
        <v/>
      </c>
      <c r="AB180" s="10" t="str">
        <f aca="false">IFERROR(IF([2]对账明细接口!$W180=0,"",[2]对账明细接口!$W180),"")</f>
        <v/>
      </c>
      <c r="AC180" s="90" t="str">
        <f aca="false">IFERROR(IF([2]对账明细接口!$X181=0,"",[2]对账明细接口!$X181),"")</f>
        <v/>
      </c>
      <c r="AD180" s="90" t="str">
        <f aca="false">IFERROR(IF([2]对账明细接口!$Y181=0,"",[2]对账明细接口!$Y181),"")</f>
        <v/>
      </c>
      <c r="AE180" s="90" t="str">
        <f aca="false">IFERROR(IF([2]对账明细接口!$AA181=0,"",[2]对账明细接口!$AA181),"")</f>
        <v/>
      </c>
      <c r="AF180" s="90" t="str">
        <f aca="false">IFERROR(IF([2]对账明细接口!$AB181=0,"",[2]对账明细接口!$AB181),"")</f>
        <v/>
      </c>
      <c r="AG180" s="90" t="str">
        <f aca="false">IFERROR(IF([2]对账明细接口!$AC181=0,"",[2]对账明细接口!$AC181),"")</f>
        <v/>
      </c>
      <c r="AH180" s="90" t="str">
        <f aca="false">IFERROR(IF([2]对账明细接口!$AD181=0,"",[2]对账明细接口!$AD181),"")</f>
        <v/>
      </c>
    </row>
    <row r="181" customFormat="false" ht="13.5" hidden="false" customHeight="false" outlineLevel="0" collapsed="false">
      <c r="A181" s="109" t="n">
        <v>181</v>
      </c>
      <c r="B181" s="110" t="n">
        <f aca="false">IFERROR(IF([2]对账明细接口!$B$181=0,"",[2]对账明细接口!$B$181),"")</f>
        <v>46275</v>
      </c>
      <c r="C181" s="59" t="str">
        <f aca="false">IFERROR(IF([2]对账明细接口!$C$181=0,"",[2]对账明细接口!$C$181),"")</f>
        <v>热合曼</v>
      </c>
      <c r="D181" s="59" t="str">
        <f aca="false">IFERROR(IF([2]对账明细接口!$D$181=0,"",[2]对账明细接口!$D$181),"")</f>
        <v>原料入库</v>
      </c>
      <c r="E181" s="59" t="str">
        <f aca="false">IFERROR(IF([2]对账明细接口!$E$181=0,"",[2]对账明细接口!$E$181),"")</f>
        <v>NO:0000776</v>
      </c>
      <c r="F181" s="59" t="str">
        <f aca="false">IFERROR(IF([2]对账明细接口!$F$181=0,"",[2]对账明细接口!$F$181),"")</f>
        <v>香梨</v>
      </c>
      <c r="G181" s="59" t="str">
        <f aca="false">IFERROR(IF([2]对账明细接口!$G$181=0,"",[2]对账明细接口!$G$181),"")</f>
        <v>香梨副特</v>
      </c>
      <c r="H181" s="60" t="n">
        <f aca="false">IFERROR(IF([2]对账明细接口!$H$181=0,"",[2]对账明细接口!$H$181),"")</f>
        <v>305</v>
      </c>
      <c r="I181" s="59" t="str">
        <f aca="false">IFERROR(IF([2]对账明细接口!$I$181=0,"",[2]对账明细接口!$I$181),"")</f>
        <v>筐</v>
      </c>
      <c r="J181" s="61" t="n">
        <f aca="false">IFERROR(IF([2]对账明细接口!$J$181=0,"",[2]对账明细接口!$J$181),"")</f>
        <v>5886.5</v>
      </c>
      <c r="K181" s="61" t="str">
        <f aca="false">IFERROR(IF([2]对账明细接口!$K$181=0,"",[2]对账明细接口!$K$181),"")</f>
        <v/>
      </c>
      <c r="L181" s="59" t="str">
        <f aca="false">IFERROR(IF([2]对账明细接口!$L$181=0,"",[2]对账明细接口!$L$181),"")</f>
        <v/>
      </c>
      <c r="M181" s="59" t="str">
        <f aca="false">IFERROR(IF([2]对账明细接口!$M$181=0,"",[2]对账明细接口!$M$181),"")</f>
        <v/>
      </c>
      <c r="N181" s="111" t="n">
        <f aca="false">IF($C181="",0,1)</f>
        <v>1</v>
      </c>
      <c r="O181" s="111" t="n">
        <f aca="false">N(O180)+$N181</f>
        <v>178</v>
      </c>
      <c r="S181" s="10" t="str">
        <f aca="false">IFERROR(IF([2]对账明细接口!$N181=0,"",[2]对账明细接口!$N181),"")</f>
        <v>公司红周转筐</v>
      </c>
      <c r="T181" s="112" t="str">
        <f aca="false">IFERROR(IF([2]对账明细接口!$O181=0,"",[2]对账明细接口!$O181),"")</f>
        <v/>
      </c>
      <c r="U181" s="112" t="str">
        <f aca="false">IFERROR(IF([2]对账明细接口!$P181=0,"",[2]对账明细接口!$P181),"")</f>
        <v/>
      </c>
      <c r="V181" s="112" t="n">
        <f aca="false">IFERROR(IF([2]对账明细接口!$Q181=0,"",[2]对账明细接口!$Q181),"")</f>
        <v>305</v>
      </c>
      <c r="W181" s="10" t="str">
        <f aca="false">IFERROR(IF([2]对账明细接口!$R181=0,"",[2]对账明细接口!$R181),"")</f>
        <v>新A*G0554</v>
      </c>
      <c r="X181" s="10" t="str">
        <f aca="false">IFERROR(IF([2]对账明细接口!$S181=0,"",[2]对账明细接口!$S181),"")</f>
        <v>公司筐</v>
      </c>
      <c r="Y181" s="10" t="str">
        <f aca="false">IFERROR(IF([2]对账明细接口!$T181=0,"",[2]对账明细接口!$T181),"")</f>
        <v/>
      </c>
      <c r="Z181" s="113" t="str">
        <f aca="false">IFERROR(IF([2]对账明细接口!$U181=0,"",[2]对账明细接口!$U181),"")</f>
        <v/>
      </c>
      <c r="AA181" s="113" t="str">
        <f aca="false">IFERROR(IF([2]对账明细接口!$V181=0,"",[2]对账明细接口!$V181),"")</f>
        <v/>
      </c>
      <c r="AB181" s="10" t="str">
        <f aca="false">IFERROR(IF([2]对账明细接口!$W181=0,"",[2]对账明细接口!$W181),"")</f>
        <v/>
      </c>
      <c r="AC181" s="90" t="str">
        <f aca="false">IFERROR(IF([2]对账明细接口!$X182=0,"",[2]对账明细接口!$X182),"")</f>
        <v/>
      </c>
      <c r="AD181" s="90" t="str">
        <f aca="false">IFERROR(IF([2]对账明细接口!$Y182=0,"",[2]对账明细接口!$Y182),"")</f>
        <v/>
      </c>
      <c r="AE181" s="90" t="str">
        <f aca="false">IFERROR(IF([2]对账明细接口!$AA182=0,"",[2]对账明细接口!$AA182),"")</f>
        <v/>
      </c>
      <c r="AF181" s="90" t="str">
        <f aca="false">IFERROR(IF([2]对账明细接口!$AB182=0,"",[2]对账明细接口!$AB182),"")</f>
        <v/>
      </c>
      <c r="AG181" s="90" t="str">
        <f aca="false">IFERROR(IF([2]对账明细接口!$AC182=0,"",[2]对账明细接口!$AC182),"")</f>
        <v/>
      </c>
      <c r="AH181" s="90" t="str">
        <f aca="false">IFERROR(IF([2]对账明细接口!$AD182=0,"",[2]对账明细接口!$AD182),"")</f>
        <v/>
      </c>
    </row>
    <row r="182" customFormat="false" ht="13.5" hidden="false" customHeight="false" outlineLevel="0" collapsed="false">
      <c r="A182" s="109" t="n">
        <v>182</v>
      </c>
      <c r="B182" s="110" t="n">
        <f aca="false">IFERROR(IF([2]对账明细接口!$B$182=0,"",[2]对账明细接口!$B$182),"")</f>
        <v>46276</v>
      </c>
      <c r="C182" s="59" t="str">
        <f aca="false">IFERROR(IF([2]对账明细接口!$C$182=0,"",[2]对账明细接口!$C$182),"")</f>
        <v>马锦祥</v>
      </c>
      <c r="D182" s="59" t="str">
        <f aca="false">IFERROR(IF([2]对账明细接口!$D$182=0,"",[2]对账明细接口!$D$182),"")</f>
        <v>原料入库</v>
      </c>
      <c r="E182" s="59" t="str">
        <f aca="false">IFERROR(IF([2]对账明细接口!$E$182=0,"",[2]对账明细接口!$E$182),"")</f>
        <v>NO:0000780</v>
      </c>
      <c r="F182" s="59" t="str">
        <f aca="false">IFERROR(IF([2]对账明细接口!$F$182=0,"",[2]对账明细接口!$F$182),"")</f>
        <v>香梨</v>
      </c>
      <c r="G182" s="59" t="str">
        <f aca="false">IFERROR(IF([2]对账明细接口!$G$182=0,"",[2]对账明细接口!$G$182),"")</f>
        <v>香梨一级</v>
      </c>
      <c r="H182" s="60" t="n">
        <f aca="false">IFERROR(IF([2]对账明细接口!$H$182=0,"",[2]对账明细接口!$H$182),"")</f>
        <v>320</v>
      </c>
      <c r="I182" s="59" t="str">
        <f aca="false">IFERROR(IF([2]对账明细接口!$I$182=0,"",[2]对账明细接口!$I$182),"")</f>
        <v>筐</v>
      </c>
      <c r="J182" s="61" t="n">
        <f aca="false">IFERROR(IF([2]对账明细接口!$J$182=0,"",[2]对账明细接口!$J$182),"")</f>
        <v>5856</v>
      </c>
      <c r="K182" s="61" t="str">
        <f aca="false">IFERROR(IF([2]对账明细接口!$K$182=0,"",[2]对账明细接口!$K$182),"")</f>
        <v/>
      </c>
      <c r="L182" s="59" t="str">
        <f aca="false">IFERROR(IF([2]对账明细接口!$L$182=0,"",[2]对账明细接口!$L$182),"")</f>
        <v/>
      </c>
      <c r="M182" s="59" t="str">
        <f aca="false">IFERROR(IF([2]对账明细接口!$M$182=0,"",[2]对账明细接口!$M$182),"")</f>
        <v/>
      </c>
      <c r="N182" s="111" t="n">
        <f aca="false">IF($C182="",0,1)</f>
        <v>1</v>
      </c>
      <c r="O182" s="111" t="n">
        <f aca="false">N(O181)+$N182</f>
        <v>179</v>
      </c>
      <c r="S182" s="10" t="str">
        <f aca="false">IFERROR(IF([2]对账明细接口!$N182=0,"",[2]对账明细接口!$N182),"")</f>
        <v>公司杂周转筐</v>
      </c>
      <c r="T182" s="112" t="str">
        <f aca="false">IFERROR(IF([2]对账明细接口!$O182=0,"",[2]对账明细接口!$O182),"")</f>
        <v/>
      </c>
      <c r="U182" s="112" t="str">
        <f aca="false">IFERROR(IF([2]对账明细接口!$P182=0,"",[2]对账明细接口!$P182),"")</f>
        <v/>
      </c>
      <c r="V182" s="112" t="n">
        <f aca="false">IFERROR(IF([2]对账明细接口!$Q182=0,"",[2]对账明细接口!$Q182),"")</f>
        <v>320</v>
      </c>
      <c r="W182" s="10" t="str">
        <f aca="false">IFERROR(IF([2]对账明细接口!$R182=0,"",[2]对账明细接口!$R182),"")</f>
        <v>新N*K7V85</v>
      </c>
      <c r="X182" s="10" t="str">
        <f aca="false">IFERROR(IF([2]对账明细接口!$S182=0,"",[2]对账明细接口!$S182),"")</f>
        <v>公司筐</v>
      </c>
      <c r="Y182" s="10" t="str">
        <f aca="false">IFERROR(IF([2]对账明细接口!$T182=0,"",[2]对账明细接口!$T182),"")</f>
        <v/>
      </c>
      <c r="Z182" s="113" t="str">
        <f aca="false">IFERROR(IF([2]对账明细接口!$U182=0,"",[2]对账明细接口!$U182),"")</f>
        <v/>
      </c>
      <c r="AA182" s="113" t="str">
        <f aca="false">IFERROR(IF([2]对账明细接口!$V182=0,"",[2]对账明细接口!$V182),"")</f>
        <v/>
      </c>
      <c r="AB182" s="10" t="str">
        <f aca="false">IFERROR(IF([2]对账明细接口!$W182=0,"",[2]对账明细接口!$W182),"")</f>
        <v/>
      </c>
      <c r="AC182" s="90" t="str">
        <f aca="false">IFERROR(IF([2]对账明细接口!$X183=0,"",[2]对账明细接口!$X183),"")</f>
        <v/>
      </c>
      <c r="AD182" s="90" t="str">
        <f aca="false">IFERROR(IF([2]对账明细接口!$Y183=0,"",[2]对账明细接口!$Y183),"")</f>
        <v/>
      </c>
      <c r="AE182" s="90" t="str">
        <f aca="false">IFERROR(IF([2]对账明细接口!$AA183=0,"",[2]对账明细接口!$AA183),"")</f>
        <v/>
      </c>
      <c r="AF182" s="90" t="str">
        <f aca="false">IFERROR(IF([2]对账明细接口!$AB183=0,"",[2]对账明细接口!$AB183),"")</f>
        <v/>
      </c>
      <c r="AG182" s="90" t="str">
        <f aca="false">IFERROR(IF([2]对账明细接口!$AC183=0,"",[2]对账明细接口!$AC183),"")</f>
        <v/>
      </c>
      <c r="AH182" s="90" t="str">
        <f aca="false">IFERROR(IF([2]对账明细接口!$AD183=0,"",[2]对账明细接口!$AD183),"")</f>
        <v/>
      </c>
    </row>
    <row r="183" customFormat="false" ht="13.5" hidden="false" customHeight="false" outlineLevel="0" collapsed="false">
      <c r="A183" s="109" t="n">
        <v>183</v>
      </c>
      <c r="B183" s="110" t="n">
        <f aca="false">IFERROR(IF([2]对账明细接口!$B$183=0,"",[2]对账明细接口!$B$183),"")</f>
        <v>46276</v>
      </c>
      <c r="C183" s="59" t="str">
        <f aca="false">IFERROR(IF([2]对账明细接口!$C$183=0,"",[2]对账明细接口!$C$183),"")</f>
        <v>马锦祥</v>
      </c>
      <c r="D183" s="59" t="str">
        <f aca="false">IFERROR(IF([2]对账明细接口!$D$183=0,"",[2]对账明细接口!$D$183),"")</f>
        <v>原料入库</v>
      </c>
      <c r="E183" s="59" t="str">
        <f aca="false">IFERROR(IF([2]对账明细接口!$E$183=0,"",[2]对账明细接口!$E$183),"")</f>
        <v>NO:0000780</v>
      </c>
      <c r="F183" s="59" t="str">
        <f aca="false">IFERROR(IF([2]对账明细接口!$F$183=0,"",[2]对账明细接口!$F$183),"")</f>
        <v>香梨</v>
      </c>
      <c r="G183" s="59" t="str">
        <f aca="false">IFERROR(IF([2]对账明细接口!$G$183=0,"",[2]对账明细接口!$G$183),"")</f>
        <v>香梨二级</v>
      </c>
      <c r="H183" s="60" t="n">
        <f aca="false">IFERROR(IF([2]对账明细接口!$H$183=0,"",[2]对账明细接口!$H$183),"")</f>
        <v>64</v>
      </c>
      <c r="I183" s="59" t="str">
        <f aca="false">IFERROR(IF([2]对账明细接口!$I$183=0,"",[2]对账明细接口!$I$183),"")</f>
        <v>筐</v>
      </c>
      <c r="J183" s="61" t="n">
        <f aca="false">IFERROR(IF([2]对账明细接口!$J$183=0,"",[2]对账明细接口!$J$183),"")</f>
        <v>1427.2</v>
      </c>
      <c r="K183" s="61" t="str">
        <f aca="false">IFERROR(IF([2]对账明细接口!$K$183=0,"",[2]对账明细接口!$K$183),"")</f>
        <v/>
      </c>
      <c r="L183" s="59" t="str">
        <f aca="false">IFERROR(IF([2]对账明细接口!$L$183=0,"",[2]对账明细接口!$L$183),"")</f>
        <v/>
      </c>
      <c r="M183" s="59" t="str">
        <f aca="false">IFERROR(IF([2]对账明细接口!$M$183=0,"",[2]对账明细接口!$M$183),"")</f>
        <v/>
      </c>
      <c r="N183" s="111" t="n">
        <f aca="false">IF($C183="",0,1)</f>
        <v>1</v>
      </c>
      <c r="O183" s="111" t="n">
        <f aca="false">N(O182)+$N183</f>
        <v>180</v>
      </c>
      <c r="S183" s="10" t="str">
        <f aca="false">IFERROR(IF([2]对账明细接口!$N183=0,"",[2]对账明细接口!$N183),"")</f>
        <v>公司杂周转筐</v>
      </c>
      <c r="T183" s="112" t="str">
        <f aca="false">IFERROR(IF([2]对账明细接口!$O183=0,"",[2]对账明细接口!$O183),"")</f>
        <v/>
      </c>
      <c r="U183" s="112" t="str">
        <f aca="false">IFERROR(IF([2]对账明细接口!$P183=0,"",[2]对账明细接口!$P183),"")</f>
        <v/>
      </c>
      <c r="V183" s="112" t="n">
        <f aca="false">IFERROR(IF([2]对账明细接口!$Q183=0,"",[2]对账明细接口!$Q183),"")</f>
        <v>64</v>
      </c>
      <c r="W183" s="10" t="str">
        <f aca="false">IFERROR(IF([2]对账明细接口!$R183=0,"",[2]对账明细接口!$R183),"")</f>
        <v>新N*K7V85</v>
      </c>
      <c r="X183" s="10" t="str">
        <f aca="false">IFERROR(IF([2]对账明细接口!$S183=0,"",[2]对账明细接口!$S183),"")</f>
        <v>公司筐</v>
      </c>
      <c r="Y183" s="10" t="str">
        <f aca="false">IFERROR(IF([2]对账明细接口!$T183=0,"",[2]对账明细接口!$T183),"")</f>
        <v/>
      </c>
      <c r="Z183" s="113" t="str">
        <f aca="false">IFERROR(IF([2]对账明细接口!$U183=0,"",[2]对账明细接口!$U183),"")</f>
        <v/>
      </c>
      <c r="AA183" s="113" t="str">
        <f aca="false">IFERROR(IF([2]对账明细接口!$V183=0,"",[2]对账明细接口!$V183),"")</f>
        <v/>
      </c>
      <c r="AB183" s="10" t="str">
        <f aca="false">IFERROR(IF([2]对账明细接口!$W183=0,"",[2]对账明细接口!$W183),"")</f>
        <v/>
      </c>
      <c r="AC183" s="90" t="str">
        <f aca="false">IFERROR(IF([2]对账明细接口!$X184=0,"",[2]对账明细接口!$X184),"")</f>
        <v/>
      </c>
      <c r="AD183" s="90" t="str">
        <f aca="false">IFERROR(IF([2]对账明细接口!$Y184=0,"",[2]对账明细接口!$Y184),"")</f>
        <v/>
      </c>
      <c r="AE183" s="90" t="str">
        <f aca="false">IFERROR(IF([2]对账明细接口!$AA184=0,"",[2]对账明细接口!$AA184),"")</f>
        <v/>
      </c>
      <c r="AF183" s="90" t="str">
        <f aca="false">IFERROR(IF([2]对账明细接口!$AB184=0,"",[2]对账明细接口!$AB184),"")</f>
        <v/>
      </c>
      <c r="AG183" s="90" t="str">
        <f aca="false">IFERROR(IF([2]对账明细接口!$AC184=0,"",[2]对账明细接口!$AC184),"")</f>
        <v/>
      </c>
      <c r="AH183" s="90" t="str">
        <f aca="false">IFERROR(IF([2]对账明细接口!$AD184=0,"",[2]对账明细接口!$AD184),"")</f>
        <v/>
      </c>
    </row>
    <row r="184" customFormat="false" ht="13.5" hidden="false" customHeight="false" outlineLevel="0" collapsed="false">
      <c r="A184" s="109" t="n">
        <v>184</v>
      </c>
      <c r="B184" s="110" t="n">
        <f aca="false">IFERROR(IF([2]对账明细接口!$B$184=0,"",[2]对账明细接口!$B$184),"")</f>
        <v>46276</v>
      </c>
      <c r="C184" s="59" t="str">
        <f aca="false">IFERROR(IF([2]对账明细接口!$C$184=0,"",[2]对账明细接口!$C$184),"")</f>
        <v>马锦祥</v>
      </c>
      <c r="D184" s="59" t="str">
        <f aca="false">IFERROR(IF([2]对账明细接口!$D$184=0,"",[2]对账明细接口!$D$184),"")</f>
        <v>原料入库</v>
      </c>
      <c r="E184" s="59" t="str">
        <f aca="false">IFERROR(IF([2]对账明细接口!$E$184=0,"",[2]对账明细接口!$E$184),"")</f>
        <v>NO:0000780</v>
      </c>
      <c r="F184" s="59" t="str">
        <f aca="false">IFERROR(IF([2]对账明细接口!$F$184=0,"",[2]对账明细接口!$F$184),"")</f>
        <v>香梨</v>
      </c>
      <c r="G184" s="59" t="str">
        <f aca="false">IFERROR(IF([2]对账明细接口!$G$184=0,"",[2]对账明细接口!$G$184),"")</f>
        <v>香梨副特</v>
      </c>
      <c r="H184" s="60" t="n">
        <f aca="false">IFERROR(IF([2]对账明细接口!$H$184=0,"",[2]对账明细接口!$H$184),"")</f>
        <v>16</v>
      </c>
      <c r="I184" s="59" t="str">
        <f aca="false">IFERROR(IF([2]对账明细接口!$I$184=0,"",[2]对账明细接口!$I$184),"")</f>
        <v>筐</v>
      </c>
      <c r="J184" s="61" t="n">
        <f aca="false">IFERROR(IF([2]对账明细接口!$J$184=0,"",[2]对账明细接口!$J$184),"")</f>
        <v>292.8</v>
      </c>
      <c r="K184" s="61" t="str">
        <f aca="false">IFERROR(IF([2]对账明细接口!$K$184=0,"",[2]对账明细接口!$K$184),"")</f>
        <v/>
      </c>
      <c r="L184" s="59" t="str">
        <f aca="false">IFERROR(IF([2]对账明细接口!$L$184=0,"",[2]对账明细接口!$L$184),"")</f>
        <v/>
      </c>
      <c r="M184" s="59" t="str">
        <f aca="false">IFERROR(IF([2]对账明细接口!$M$184=0,"",[2]对账明细接口!$M$184),"")</f>
        <v/>
      </c>
      <c r="N184" s="111" t="n">
        <f aca="false">IF($C184="",0,1)</f>
        <v>1</v>
      </c>
      <c r="O184" s="111" t="n">
        <f aca="false">N(O183)+$N184</f>
        <v>181</v>
      </c>
      <c r="S184" s="10" t="str">
        <f aca="false">IFERROR(IF([2]对账明细接口!$N184=0,"",[2]对账明细接口!$N184),"")</f>
        <v>公司杂周转筐</v>
      </c>
      <c r="T184" s="112" t="str">
        <f aca="false">IFERROR(IF([2]对账明细接口!$O184=0,"",[2]对账明细接口!$O184),"")</f>
        <v/>
      </c>
      <c r="U184" s="112" t="str">
        <f aca="false">IFERROR(IF([2]对账明细接口!$P184=0,"",[2]对账明细接口!$P184),"")</f>
        <v/>
      </c>
      <c r="V184" s="112" t="n">
        <f aca="false">IFERROR(IF([2]对账明细接口!$Q184=0,"",[2]对账明细接口!$Q184),"")</f>
        <v>16</v>
      </c>
      <c r="W184" s="10" t="str">
        <f aca="false">IFERROR(IF([2]对账明细接口!$R184=0,"",[2]对账明细接口!$R184),"")</f>
        <v>新N*K7V85</v>
      </c>
      <c r="X184" s="10" t="str">
        <f aca="false">IFERROR(IF([2]对账明细接口!$S184=0,"",[2]对账明细接口!$S184),"")</f>
        <v>公司筐</v>
      </c>
      <c r="Y184" s="10" t="str">
        <f aca="false">IFERROR(IF([2]对账明细接口!$T184=0,"",[2]对账明细接口!$T184),"")</f>
        <v/>
      </c>
      <c r="Z184" s="113" t="str">
        <f aca="false">IFERROR(IF([2]对账明细接口!$U184=0,"",[2]对账明细接口!$U184),"")</f>
        <v/>
      </c>
      <c r="AA184" s="113" t="str">
        <f aca="false">IFERROR(IF([2]对账明细接口!$V184=0,"",[2]对账明细接口!$V184),"")</f>
        <v/>
      </c>
      <c r="AB184" s="10" t="str">
        <f aca="false">IFERROR(IF([2]对账明细接口!$W184=0,"",[2]对账明细接口!$W184),"")</f>
        <v/>
      </c>
      <c r="AC184" s="90" t="str">
        <f aca="false">IFERROR(IF([2]对账明细接口!$X185=0,"",[2]对账明细接口!$X185),"")</f>
        <v/>
      </c>
      <c r="AD184" s="90" t="str">
        <f aca="false">IFERROR(IF([2]对账明细接口!$Y185=0,"",[2]对账明细接口!$Y185),"")</f>
        <v/>
      </c>
      <c r="AE184" s="90" t="str">
        <f aca="false">IFERROR(IF([2]对账明细接口!$AA185=0,"",[2]对账明细接口!$AA185),"")</f>
        <v/>
      </c>
      <c r="AF184" s="90" t="str">
        <f aca="false">IFERROR(IF([2]对账明细接口!$AB185=0,"",[2]对账明细接口!$AB185),"")</f>
        <v/>
      </c>
      <c r="AG184" s="90" t="str">
        <f aca="false">IFERROR(IF([2]对账明细接口!$AC185=0,"",[2]对账明细接口!$AC185),"")</f>
        <v/>
      </c>
      <c r="AH184" s="90" t="str">
        <f aca="false">IFERROR(IF([2]对账明细接口!$AD185=0,"",[2]对账明细接口!$AD185),"")</f>
        <v/>
      </c>
    </row>
    <row r="185" customFormat="false" ht="13.5" hidden="false" customHeight="false" outlineLevel="0" collapsed="false">
      <c r="A185" s="109" t="n">
        <v>185</v>
      </c>
      <c r="B185" s="110" t="n">
        <f aca="false">IFERROR(IF([2]对账明细接口!$B$185=0,"",[2]对账明细接口!$B$185),"")</f>
        <v>46276</v>
      </c>
      <c r="C185" s="59" t="str">
        <f aca="false">IFERROR(IF([2]对账明细接口!$C$185=0,"",[2]对账明细接口!$C$185),"")</f>
        <v>努尔敦</v>
      </c>
      <c r="D185" s="59" t="str">
        <f aca="false">IFERROR(IF([2]对账明细接口!$D$185=0,"",[2]对账明细接口!$D$185),"")</f>
        <v>原料入库</v>
      </c>
      <c r="E185" s="59" t="str">
        <f aca="false">IFERROR(IF([2]对账明细接口!$E$185=0,"",[2]对账明细接口!$E$185),"")</f>
        <v>NO:0000781</v>
      </c>
      <c r="F185" s="59" t="str">
        <f aca="false">IFERROR(IF([2]对账明细接口!$F$185=0,"",[2]对账明细接口!$F$185),"")</f>
        <v>香梨</v>
      </c>
      <c r="G185" s="59" t="str">
        <f aca="false">IFERROR(IF([2]对账明细接口!$G$185=0,"",[2]对账明细接口!$G$185),"")</f>
        <v>香梨特级</v>
      </c>
      <c r="H185" s="60" t="n">
        <f aca="false">IFERROR(IF([2]对账明细接口!$H$185=0,"",[2]对账明细接口!$H$185),"")</f>
        <v>160</v>
      </c>
      <c r="I185" s="59" t="str">
        <f aca="false">IFERROR(IF([2]对账明细接口!$I$185=0,"",[2]对账明细接口!$I$185),"")</f>
        <v>筐</v>
      </c>
      <c r="J185" s="61" t="n">
        <f aca="false">IFERROR(IF([2]对账明细接口!$J$185=0,"",[2]对账明细接口!$J$185),"")</f>
        <v>2928</v>
      </c>
      <c r="K185" s="61" t="str">
        <f aca="false">IFERROR(IF([2]对账明细接口!$K$185=0,"",[2]对账明细接口!$K$185),"")</f>
        <v/>
      </c>
      <c r="L185" s="59" t="str">
        <f aca="false">IFERROR(IF([2]对账明细接口!$L$185=0,"",[2]对账明细接口!$L$185),"")</f>
        <v/>
      </c>
      <c r="M185" s="59" t="str">
        <f aca="false">IFERROR(IF([2]对账明细接口!$M$185=0,"",[2]对账明细接口!$M$185),"")</f>
        <v>有标签</v>
      </c>
      <c r="N185" s="111" t="n">
        <f aca="false">IF($C185="",0,1)</f>
        <v>1</v>
      </c>
      <c r="O185" s="111" t="n">
        <f aca="false">N(O184)+$N185</f>
        <v>182</v>
      </c>
      <c r="S185" s="10" t="str">
        <f aca="false">IFERROR(IF([2]对账明细接口!$N185=0,"",[2]对账明细接口!$N185),"")</f>
        <v>公司红周转筐</v>
      </c>
      <c r="T185" s="112" t="str">
        <f aca="false">IFERROR(IF([2]对账明细接口!$O185=0,"",[2]对账明细接口!$O185),"")</f>
        <v/>
      </c>
      <c r="U185" s="112" t="str">
        <f aca="false">IFERROR(IF([2]对账明细接口!$P185=0,"",[2]对账明细接口!$P185),"")</f>
        <v/>
      </c>
      <c r="V185" s="112" t="n">
        <f aca="false">IFERROR(IF([2]对账明细接口!$Q185=0,"",[2]对账明细接口!$Q185),"")</f>
        <v>160</v>
      </c>
      <c r="W185" s="10" t="str">
        <f aca="false">IFERROR(IF([2]对账明细接口!$R185=0,"",[2]对账明细接口!$R185),"")</f>
        <v>新F*75240</v>
      </c>
      <c r="X185" s="10" t="str">
        <f aca="false">IFERROR(IF([2]对账明细接口!$S185=0,"",[2]对账明细接口!$S185),"")</f>
        <v>公司筐</v>
      </c>
      <c r="Y185" s="10" t="str">
        <f aca="false">IFERROR(IF([2]对账明细接口!$T185=0,"",[2]对账明细接口!$T185),"")</f>
        <v/>
      </c>
      <c r="Z185" s="113" t="str">
        <f aca="false">IFERROR(IF([2]对账明细接口!$U185=0,"",[2]对账明细接口!$U185),"")</f>
        <v/>
      </c>
      <c r="AA185" s="113" t="str">
        <f aca="false">IFERROR(IF([2]对账明细接口!$V185=0,"",[2]对账明细接口!$V185),"")</f>
        <v/>
      </c>
      <c r="AB185" s="10" t="str">
        <f aca="false">IFERROR(IF([2]对账明细接口!$W185=0,"",[2]对账明细接口!$W185),"")</f>
        <v/>
      </c>
      <c r="AC185" s="90" t="str">
        <f aca="false">IFERROR(IF([2]对账明细接口!$X186=0,"",[2]对账明细接口!$X186),"")</f>
        <v/>
      </c>
      <c r="AD185" s="90" t="str">
        <f aca="false">IFERROR(IF([2]对账明细接口!$Y186=0,"",[2]对账明细接口!$Y186),"")</f>
        <v/>
      </c>
      <c r="AE185" s="90" t="str">
        <f aca="false">IFERROR(IF([2]对账明细接口!$AA186=0,"",[2]对账明细接口!$AA186),"")</f>
        <v/>
      </c>
      <c r="AF185" s="90" t="str">
        <f aca="false">IFERROR(IF([2]对账明细接口!$AB186=0,"",[2]对账明细接口!$AB186),"")</f>
        <v/>
      </c>
      <c r="AG185" s="90" t="str">
        <f aca="false">IFERROR(IF([2]对账明细接口!$AC186=0,"",[2]对账明细接口!$AC186),"")</f>
        <v/>
      </c>
      <c r="AH185" s="90" t="str">
        <f aca="false">IFERROR(IF([2]对账明细接口!$AD186=0,"",[2]对账明细接口!$AD186),"")</f>
        <v/>
      </c>
    </row>
    <row r="186" customFormat="false" ht="13.5" hidden="false" customHeight="false" outlineLevel="0" collapsed="false">
      <c r="A186" s="109" t="n">
        <v>186</v>
      </c>
      <c r="B186" s="110" t="n">
        <f aca="false">IFERROR(IF([2]对账明细接口!$B$186=0,"",[2]对账明细接口!$B$186),"")</f>
        <v>46276</v>
      </c>
      <c r="C186" s="59" t="str">
        <f aca="false">IFERROR(IF([2]对账明细接口!$C$186=0,"",[2]对账明细接口!$C$186),"")</f>
        <v>努尔敦</v>
      </c>
      <c r="D186" s="59" t="str">
        <f aca="false">IFERROR(IF([2]对账明细接口!$D$186=0,"",[2]对账明细接口!$D$186),"")</f>
        <v>原料入库</v>
      </c>
      <c r="E186" s="59" t="str">
        <f aca="false">IFERROR(IF([2]对账明细接口!$E$186=0,"",[2]对账明细接口!$E$186),"")</f>
        <v>NO:0000781</v>
      </c>
      <c r="F186" s="59" t="str">
        <f aca="false">IFERROR(IF([2]对账明细接口!$F$186=0,"",[2]对账明细接口!$F$186),"")</f>
        <v>香梨</v>
      </c>
      <c r="G186" s="59" t="str">
        <f aca="false">IFERROR(IF([2]对账明细接口!$G$186=0,"",[2]对账明细接口!$G$186),"")</f>
        <v>香梨一级</v>
      </c>
      <c r="H186" s="60" t="n">
        <f aca="false">IFERROR(IF([2]对账明细接口!$H$186=0,"",[2]对账明细接口!$H$186),"")</f>
        <v>232</v>
      </c>
      <c r="I186" s="59" t="str">
        <f aca="false">IFERROR(IF([2]对账明细接口!$I$186=0,"",[2]对账明细接口!$I$186),"")</f>
        <v>筐</v>
      </c>
      <c r="J186" s="61" t="n">
        <f aca="false">IFERROR(IF([2]对账明细接口!$J$186=0,"",[2]对账明细接口!$J$186),"")</f>
        <v>4245.6</v>
      </c>
      <c r="K186" s="61" t="str">
        <f aca="false">IFERROR(IF([2]对账明细接口!$K$186=0,"",[2]对账明细接口!$K$186),"")</f>
        <v/>
      </c>
      <c r="L186" s="59" t="str">
        <f aca="false">IFERROR(IF([2]对账明细接口!$L$186=0,"",[2]对账明细接口!$L$186),"")</f>
        <v/>
      </c>
      <c r="M186" s="59" t="str">
        <f aca="false">IFERROR(IF([2]对账明细接口!$M$186=0,"",[2]对账明细接口!$M$186),"")</f>
        <v/>
      </c>
      <c r="N186" s="111" t="n">
        <f aca="false">IF($C186="",0,1)</f>
        <v>1</v>
      </c>
      <c r="O186" s="111" t="n">
        <f aca="false">N(O185)+$N186</f>
        <v>183</v>
      </c>
      <c r="S186" s="10" t="str">
        <f aca="false">IFERROR(IF([2]对账明细接口!$N186=0,"",[2]对账明细接口!$N186),"")</f>
        <v>公司红周转筐</v>
      </c>
      <c r="T186" s="112" t="str">
        <f aca="false">IFERROR(IF([2]对账明细接口!$O186=0,"",[2]对账明细接口!$O186),"")</f>
        <v/>
      </c>
      <c r="U186" s="112" t="str">
        <f aca="false">IFERROR(IF([2]对账明细接口!$P186=0,"",[2]对账明细接口!$P186),"")</f>
        <v/>
      </c>
      <c r="V186" s="112" t="n">
        <f aca="false">IFERROR(IF([2]对账明细接口!$Q186=0,"",[2]对账明细接口!$Q186),"")</f>
        <v>232</v>
      </c>
      <c r="W186" s="10" t="str">
        <f aca="false">IFERROR(IF([2]对账明细接口!$R186=0,"",[2]对账明细接口!$R186),"")</f>
        <v>新F*75240</v>
      </c>
      <c r="X186" s="10" t="str">
        <f aca="false">IFERROR(IF([2]对账明细接口!$S186=0,"",[2]对账明细接口!$S186),"")</f>
        <v>公司筐</v>
      </c>
      <c r="Y186" s="10" t="str">
        <f aca="false">IFERROR(IF([2]对账明细接口!$T186=0,"",[2]对账明细接口!$T186),"")</f>
        <v/>
      </c>
      <c r="Z186" s="113" t="str">
        <f aca="false">IFERROR(IF([2]对账明细接口!$U186=0,"",[2]对账明细接口!$U186),"")</f>
        <v/>
      </c>
      <c r="AA186" s="113" t="str">
        <f aca="false">IFERROR(IF([2]对账明细接口!$V186=0,"",[2]对账明细接口!$V186),"")</f>
        <v/>
      </c>
      <c r="AB186" s="10" t="str">
        <f aca="false">IFERROR(IF([2]对账明细接口!$W186=0,"",[2]对账明细接口!$W186),"")</f>
        <v/>
      </c>
      <c r="AC186" s="90" t="str">
        <f aca="false">IFERROR(IF([2]对账明细接口!$X187=0,"",[2]对账明细接口!$X187),"")</f>
        <v/>
      </c>
      <c r="AD186" s="90" t="str">
        <f aca="false">IFERROR(IF([2]对账明细接口!$Y187=0,"",[2]对账明细接口!$Y187),"")</f>
        <v/>
      </c>
      <c r="AE186" s="90" t="str">
        <f aca="false">IFERROR(IF([2]对账明细接口!$AA187=0,"",[2]对账明细接口!$AA187),"")</f>
        <v/>
      </c>
      <c r="AF186" s="90" t="str">
        <f aca="false">IFERROR(IF([2]对账明细接口!$AB187=0,"",[2]对账明细接口!$AB187),"")</f>
        <v/>
      </c>
      <c r="AG186" s="90" t="str">
        <f aca="false">IFERROR(IF([2]对账明细接口!$AC187=0,"",[2]对账明细接口!$AC187),"")</f>
        <v/>
      </c>
      <c r="AH186" s="90" t="str">
        <f aca="false">IFERROR(IF([2]对账明细接口!$AD187=0,"",[2]对账明细接口!$AD187),"")</f>
        <v/>
      </c>
    </row>
    <row r="187" customFormat="false" ht="13.5" hidden="false" customHeight="false" outlineLevel="0" collapsed="false">
      <c r="A187" s="109" t="n">
        <v>187</v>
      </c>
      <c r="B187" s="110" t="n">
        <f aca="false">IFERROR(IF([2]对账明细接口!$B$187=0,"",[2]对账明细接口!$B$187),"")</f>
        <v>46276</v>
      </c>
      <c r="C187" s="59" t="str">
        <f aca="false">IFERROR(IF([2]对账明细接口!$C$187=0,"",[2]对账明细接口!$C$187),"")</f>
        <v>努尔敦</v>
      </c>
      <c r="D187" s="59" t="str">
        <f aca="false">IFERROR(IF([2]对账明细接口!$D$187=0,"",[2]对账明细接口!$D$187),"")</f>
        <v>原料入库</v>
      </c>
      <c r="E187" s="59" t="str">
        <f aca="false">IFERROR(IF([2]对账明细接口!$E$187=0,"",[2]对账明细接口!$E$187),"")</f>
        <v>NO:0000781</v>
      </c>
      <c r="F187" s="59" t="str">
        <f aca="false">IFERROR(IF([2]对账明细接口!$F$187=0,"",[2]对账明细接口!$F$187),"")</f>
        <v>香梨</v>
      </c>
      <c r="G187" s="59" t="str">
        <f aca="false">IFERROR(IF([2]对账明细接口!$G$187=0,"",[2]对账明细接口!$G$187),"")</f>
        <v>香梨二级</v>
      </c>
      <c r="H187" s="60" t="n">
        <f aca="false">IFERROR(IF([2]对账明细接口!$H$187=0,"",[2]对账明细接口!$H$187),"")</f>
        <v>248</v>
      </c>
      <c r="I187" s="59" t="str">
        <f aca="false">IFERROR(IF([2]对账明细接口!$I$187=0,"",[2]对账明细接口!$I$187),"")</f>
        <v>筐</v>
      </c>
      <c r="J187" s="61" t="n">
        <f aca="false">IFERROR(IF([2]对账明细接口!$J$187=0,"",[2]对账明细接口!$J$187),"")</f>
        <v>5530.4</v>
      </c>
      <c r="K187" s="61" t="str">
        <f aca="false">IFERROR(IF([2]对账明细接口!$K$187=0,"",[2]对账明细接口!$K$187),"")</f>
        <v/>
      </c>
      <c r="L187" s="59" t="str">
        <f aca="false">IFERROR(IF([2]对账明细接口!$L$187=0,"",[2]对账明细接口!$L$187),"")</f>
        <v/>
      </c>
      <c r="M187" s="59" t="str">
        <f aca="false">IFERROR(IF([2]对账明细接口!$M$187=0,"",[2]对账明细接口!$M$187),"")</f>
        <v/>
      </c>
      <c r="N187" s="111" t="n">
        <f aca="false">IF($C187="",0,1)</f>
        <v>1</v>
      </c>
      <c r="O187" s="111" t="n">
        <f aca="false">N(O186)+$N187</f>
        <v>184</v>
      </c>
      <c r="S187" s="10" t="str">
        <f aca="false">IFERROR(IF([2]对账明细接口!$N187=0,"",[2]对账明细接口!$N187),"")</f>
        <v>公司红周转筐</v>
      </c>
      <c r="T187" s="112" t="str">
        <f aca="false">IFERROR(IF([2]对账明细接口!$O187=0,"",[2]对账明细接口!$O187),"")</f>
        <v/>
      </c>
      <c r="U187" s="112" t="str">
        <f aca="false">IFERROR(IF([2]对账明细接口!$P187=0,"",[2]对账明细接口!$P187),"")</f>
        <v/>
      </c>
      <c r="V187" s="112" t="n">
        <f aca="false">IFERROR(IF([2]对账明细接口!$Q187=0,"",[2]对账明细接口!$Q187),"")</f>
        <v>248</v>
      </c>
      <c r="W187" s="10" t="str">
        <f aca="false">IFERROR(IF([2]对账明细接口!$R187=0,"",[2]对账明细接口!$R187),"")</f>
        <v>新F*75240</v>
      </c>
      <c r="X187" s="10" t="str">
        <f aca="false">IFERROR(IF([2]对账明细接口!$S187=0,"",[2]对账明细接口!$S187),"")</f>
        <v>公司筐</v>
      </c>
      <c r="Y187" s="10" t="str">
        <f aca="false">IFERROR(IF([2]对账明细接口!$T187=0,"",[2]对账明细接口!$T187),"")</f>
        <v/>
      </c>
      <c r="Z187" s="113" t="str">
        <f aca="false">IFERROR(IF([2]对账明细接口!$U187=0,"",[2]对账明细接口!$U187),"")</f>
        <v/>
      </c>
      <c r="AA187" s="113" t="str">
        <f aca="false">IFERROR(IF([2]对账明细接口!$V187=0,"",[2]对账明细接口!$V187),"")</f>
        <v/>
      </c>
      <c r="AB187" s="10" t="str">
        <f aca="false">IFERROR(IF([2]对账明细接口!$W187=0,"",[2]对账明细接口!$W187),"")</f>
        <v/>
      </c>
      <c r="AC187" s="90" t="str">
        <f aca="false">IFERROR(IF([2]对账明细接口!$X188=0,"",[2]对账明细接口!$X188),"")</f>
        <v/>
      </c>
      <c r="AD187" s="90" t="str">
        <f aca="false">IFERROR(IF([2]对账明细接口!$Y188=0,"",[2]对账明细接口!$Y188),"")</f>
        <v/>
      </c>
      <c r="AE187" s="90" t="str">
        <f aca="false">IFERROR(IF([2]对账明细接口!$AA188=0,"",[2]对账明细接口!$AA188),"")</f>
        <v/>
      </c>
      <c r="AF187" s="90" t="str">
        <f aca="false">IFERROR(IF([2]对账明细接口!$AB188=0,"",[2]对账明细接口!$AB188),"")</f>
        <v/>
      </c>
      <c r="AG187" s="90" t="str">
        <f aca="false">IFERROR(IF([2]对账明细接口!$AC188=0,"",[2]对账明细接口!$AC188),"")</f>
        <v/>
      </c>
      <c r="AH187" s="90" t="str">
        <f aca="false">IFERROR(IF([2]对账明细接口!$AD188=0,"",[2]对账明细接口!$AD188),"")</f>
        <v/>
      </c>
    </row>
    <row r="188" customFormat="false" ht="13.5" hidden="false" customHeight="false" outlineLevel="0" collapsed="false">
      <c r="A188" s="109" t="n">
        <v>188</v>
      </c>
      <c r="B188" s="110" t="n">
        <f aca="false">IFERROR(IF([2]对账明细接口!$B$188=0,"",[2]对账明细接口!$B$188),"")</f>
        <v>46276</v>
      </c>
      <c r="C188" s="59" t="str">
        <f aca="false">IFERROR(IF([2]对账明细接口!$C$188=0,"",[2]对账明细接口!$C$188),"")</f>
        <v>麦麦提</v>
      </c>
      <c r="D188" s="59" t="str">
        <f aca="false">IFERROR(IF([2]对账明细接口!$D$188=0,"",[2]对账明细接口!$D$188),"")</f>
        <v>原料入库</v>
      </c>
      <c r="E188" s="59" t="str">
        <f aca="false">IFERROR(IF([2]对账明细接口!$E$188=0,"",[2]对账明细接口!$E$188),"")</f>
        <v>NO:0000782</v>
      </c>
      <c r="F188" s="59" t="str">
        <f aca="false">IFERROR(IF([2]对账明细接口!$F$188=0,"",[2]对账明细接口!$F$188),"")</f>
        <v>香梨</v>
      </c>
      <c r="G188" s="59" t="str">
        <f aca="false">IFERROR(IF([2]对账明细接口!$G$188=0,"",[2]对账明细接口!$G$188),"")</f>
        <v>香梨特级</v>
      </c>
      <c r="H188" s="60" t="n">
        <f aca="false">IFERROR(IF([2]对账明细接口!$H$188=0,"",[2]对账明细接口!$H$188),"")</f>
        <v>322</v>
      </c>
      <c r="I188" s="59" t="str">
        <f aca="false">IFERROR(IF([2]对账明细接口!$I$188=0,"",[2]对账明细接口!$I$188),"")</f>
        <v>筐</v>
      </c>
      <c r="J188" s="61" t="n">
        <f aca="false">IFERROR(IF([2]对账明细接口!$J$188=0,"",[2]对账明细接口!$J$188),"")</f>
        <v>5892.6</v>
      </c>
      <c r="K188" s="61" t="str">
        <f aca="false">IFERROR(IF([2]对账明细接口!$K$188=0,"",[2]对账明细接口!$K$188),"")</f>
        <v/>
      </c>
      <c r="L188" s="59" t="str">
        <f aca="false">IFERROR(IF([2]对账明细接口!$L$188=0,"",[2]对账明细接口!$L$188),"")</f>
        <v/>
      </c>
      <c r="M188" s="59" t="str">
        <f aca="false">IFERROR(IF([2]对账明细接口!$M$188=0,"",[2]对账明细接口!$M$188),"")</f>
        <v/>
      </c>
      <c r="N188" s="111" t="n">
        <f aca="false">IF($C188="",0,1)</f>
        <v>1</v>
      </c>
      <c r="O188" s="111" t="n">
        <f aca="false">N(O187)+$N188</f>
        <v>185</v>
      </c>
      <c r="S188" s="10" t="str">
        <f aca="false">IFERROR(IF([2]对账明细接口!$N188=0,"",[2]对账明细接口!$N188),"")</f>
        <v>公司红周转筐</v>
      </c>
      <c r="T188" s="112" t="str">
        <f aca="false">IFERROR(IF([2]对账明细接口!$O188=0,"",[2]对账明细接口!$O188),"")</f>
        <v/>
      </c>
      <c r="U188" s="112" t="str">
        <f aca="false">IFERROR(IF([2]对账明细接口!$P188=0,"",[2]对账明细接口!$P188),"")</f>
        <v/>
      </c>
      <c r="V188" s="112" t="n">
        <f aca="false">IFERROR(IF([2]对账明细接口!$Q188=0,"",[2]对账明细接口!$Q188),"")</f>
        <v>322</v>
      </c>
      <c r="W188" s="10" t="str">
        <f aca="false">IFERROR(IF([2]对账明细接口!$R188=0,"",[2]对账明细接口!$R188),"")</f>
        <v>新A*G0554</v>
      </c>
      <c r="X188" s="10" t="str">
        <f aca="false">IFERROR(IF([2]对账明细接口!$S188=0,"",[2]对账明细接口!$S188),"")</f>
        <v>公司筐</v>
      </c>
      <c r="Y188" s="10" t="str">
        <f aca="false">IFERROR(IF([2]对账明细接口!$T188=0,"",[2]对账明细接口!$T188),"")</f>
        <v/>
      </c>
      <c r="Z188" s="113" t="str">
        <f aca="false">IFERROR(IF([2]对账明细接口!$U188=0,"",[2]对账明细接口!$U188),"")</f>
        <v/>
      </c>
      <c r="AA188" s="113" t="str">
        <f aca="false">IFERROR(IF([2]对账明细接口!$V188=0,"",[2]对账明细接口!$V188),"")</f>
        <v/>
      </c>
      <c r="AB188" s="10" t="str">
        <f aca="false">IFERROR(IF([2]对账明细接口!$W188=0,"",[2]对账明细接口!$W188),"")</f>
        <v/>
      </c>
      <c r="AC188" s="90" t="str">
        <f aca="false">IFERROR(IF([2]对账明细接口!$X189=0,"",[2]对账明细接口!$X189),"")</f>
        <v/>
      </c>
      <c r="AD188" s="90" t="str">
        <f aca="false">IFERROR(IF([2]对账明细接口!$Y189=0,"",[2]对账明细接口!$Y189),"")</f>
        <v/>
      </c>
      <c r="AE188" s="90" t="str">
        <f aca="false">IFERROR(IF([2]对账明细接口!$AA189=0,"",[2]对账明细接口!$AA189),"")</f>
        <v/>
      </c>
      <c r="AF188" s="90" t="str">
        <f aca="false">IFERROR(IF([2]对账明细接口!$AB189=0,"",[2]对账明细接口!$AB189),"")</f>
        <v/>
      </c>
      <c r="AG188" s="90" t="str">
        <f aca="false">IFERROR(IF([2]对账明细接口!$AC189=0,"",[2]对账明细接口!$AC189),"")</f>
        <v/>
      </c>
      <c r="AH188" s="90" t="str">
        <f aca="false">IFERROR(IF([2]对账明细接口!$AD189=0,"",[2]对账明细接口!$AD189),"")</f>
        <v/>
      </c>
    </row>
    <row r="189" customFormat="false" ht="13.5" hidden="false" customHeight="false" outlineLevel="0" collapsed="false">
      <c r="A189" s="109" t="n">
        <v>189</v>
      </c>
      <c r="B189" s="110" t="n">
        <f aca="false">IFERROR(IF([2]对账明细接口!$B$189=0,"",[2]对账明细接口!$B$189),"")</f>
        <v>46276</v>
      </c>
      <c r="C189" s="59" t="str">
        <f aca="false">IFERROR(IF([2]对账明细接口!$C$189=0,"",[2]对账明细接口!$C$189),"")</f>
        <v>麦麦提</v>
      </c>
      <c r="D189" s="59" t="str">
        <f aca="false">IFERROR(IF([2]对账明细接口!$D$189=0,"",[2]对账明细接口!$D$189),"")</f>
        <v>原料入库</v>
      </c>
      <c r="E189" s="59" t="str">
        <f aca="false">IFERROR(IF([2]对账明细接口!$E$189=0,"",[2]对账明细接口!$E$189),"")</f>
        <v>NO:0000782</v>
      </c>
      <c r="F189" s="59" t="str">
        <f aca="false">IFERROR(IF([2]对账明细接口!$F$189=0,"",[2]对账明细接口!$F$189),"")</f>
        <v>香梨</v>
      </c>
      <c r="G189" s="59" t="str">
        <f aca="false">IFERROR(IF([2]对账明细接口!$G$189=0,"",[2]对账明细接口!$G$189),"")</f>
        <v>香梨一级</v>
      </c>
      <c r="H189" s="60" t="n">
        <f aca="false">IFERROR(IF([2]对账明细接口!$H$189=0,"",[2]对账明细接口!$H$189),"")</f>
        <v>158</v>
      </c>
      <c r="I189" s="59" t="str">
        <f aca="false">IFERROR(IF([2]对账明细接口!$I$189=0,"",[2]对账明细接口!$I$189),"")</f>
        <v>筐</v>
      </c>
      <c r="J189" s="61" t="n">
        <f aca="false">IFERROR(IF([2]对账明细接口!$J$189=0,"",[2]对账明细接口!$J$189),"")</f>
        <v>2891.4</v>
      </c>
      <c r="K189" s="61" t="str">
        <f aca="false">IFERROR(IF([2]对账明细接口!$K$189=0,"",[2]对账明细接口!$K$189),"")</f>
        <v/>
      </c>
      <c r="L189" s="59" t="str">
        <f aca="false">IFERROR(IF([2]对账明细接口!$L$189=0,"",[2]对账明细接口!$L$189),"")</f>
        <v/>
      </c>
      <c r="M189" s="59" t="str">
        <f aca="false">IFERROR(IF([2]对账明细接口!$M$189=0,"",[2]对账明细接口!$M$189),"")</f>
        <v/>
      </c>
      <c r="N189" s="111" t="n">
        <f aca="false">IF($C189="",0,1)</f>
        <v>1</v>
      </c>
      <c r="O189" s="111" t="n">
        <f aca="false">N(O188)+$N189</f>
        <v>186</v>
      </c>
      <c r="S189" s="10" t="str">
        <f aca="false">IFERROR(IF([2]对账明细接口!$N189=0,"",[2]对账明细接口!$N189),"")</f>
        <v>公司红周转筐</v>
      </c>
      <c r="T189" s="112" t="str">
        <f aca="false">IFERROR(IF([2]对账明细接口!$O189=0,"",[2]对账明细接口!$O189),"")</f>
        <v/>
      </c>
      <c r="U189" s="112" t="str">
        <f aca="false">IFERROR(IF([2]对账明细接口!$P189=0,"",[2]对账明细接口!$P189),"")</f>
        <v/>
      </c>
      <c r="V189" s="112" t="n">
        <f aca="false">IFERROR(IF([2]对账明细接口!$Q189=0,"",[2]对账明细接口!$Q189),"")</f>
        <v>158</v>
      </c>
      <c r="W189" s="10" t="str">
        <f aca="false">IFERROR(IF([2]对账明细接口!$R189=0,"",[2]对账明细接口!$R189),"")</f>
        <v>新A*G0554</v>
      </c>
      <c r="X189" s="10" t="str">
        <f aca="false">IFERROR(IF([2]对账明细接口!$S189=0,"",[2]对账明细接口!$S189),"")</f>
        <v>公司筐</v>
      </c>
      <c r="Y189" s="10" t="str">
        <f aca="false">IFERROR(IF([2]对账明细接口!$T189=0,"",[2]对账明细接口!$T189),"")</f>
        <v/>
      </c>
      <c r="Z189" s="113" t="str">
        <f aca="false">IFERROR(IF([2]对账明细接口!$U189=0,"",[2]对账明细接口!$U189),"")</f>
        <v/>
      </c>
      <c r="AA189" s="113" t="str">
        <f aca="false">IFERROR(IF([2]对账明细接口!$V189=0,"",[2]对账明细接口!$V189),"")</f>
        <v/>
      </c>
      <c r="AB189" s="10" t="str">
        <f aca="false">IFERROR(IF([2]对账明细接口!$W189=0,"",[2]对账明细接口!$W189),"")</f>
        <v/>
      </c>
      <c r="AC189" s="90" t="str">
        <f aca="false">IFERROR(IF([2]对账明细接口!$X190=0,"",[2]对账明细接口!$X190),"")</f>
        <v/>
      </c>
      <c r="AD189" s="90" t="str">
        <f aca="false">IFERROR(IF([2]对账明细接口!$Y190=0,"",[2]对账明细接口!$Y190),"")</f>
        <v/>
      </c>
      <c r="AE189" s="90" t="str">
        <f aca="false">IFERROR(IF([2]对账明细接口!$AA190=0,"",[2]对账明细接口!$AA190),"")</f>
        <v/>
      </c>
      <c r="AF189" s="90" t="str">
        <f aca="false">IFERROR(IF([2]对账明细接口!$AB190=0,"",[2]对账明细接口!$AB190),"")</f>
        <v/>
      </c>
      <c r="AG189" s="90" t="str">
        <f aca="false">IFERROR(IF([2]对账明细接口!$AC190=0,"",[2]对账明细接口!$AC190),"")</f>
        <v/>
      </c>
      <c r="AH189" s="90" t="str">
        <f aca="false">IFERROR(IF([2]对账明细接口!$AD190=0,"",[2]对账明细接口!$AD190),"")</f>
        <v/>
      </c>
    </row>
    <row r="190" customFormat="false" ht="13.5" hidden="false" customHeight="false" outlineLevel="0" collapsed="false">
      <c r="A190" s="109" t="n">
        <v>190</v>
      </c>
      <c r="B190" s="110" t="n">
        <f aca="false">IFERROR(IF([2]对账明细接口!$B$190=0,"",[2]对账明细接口!$B$190),"")</f>
        <v>46276</v>
      </c>
      <c r="C190" s="59" t="str">
        <f aca="false">IFERROR(IF([2]对账明细接口!$C$190=0,"",[2]对账明细接口!$C$190),"")</f>
        <v>麦麦提</v>
      </c>
      <c r="D190" s="59" t="str">
        <f aca="false">IFERROR(IF([2]对账明细接口!$D$190=0,"",[2]对账明细接口!$D$190),"")</f>
        <v>原料入库</v>
      </c>
      <c r="E190" s="59" t="str">
        <f aca="false">IFERROR(IF([2]对账明细接口!$E$190=0,"",[2]对账明细接口!$E$190),"")</f>
        <v>NO:0000782</v>
      </c>
      <c r="F190" s="59" t="str">
        <f aca="false">IFERROR(IF([2]对账明细接口!$F$190=0,"",[2]对账明细接口!$F$190),"")</f>
        <v>香梨</v>
      </c>
      <c r="G190" s="59" t="str">
        <f aca="false">IFERROR(IF([2]对账明细接口!$G$190=0,"",[2]对账明细接口!$G$190),"")</f>
        <v>香梨二级</v>
      </c>
      <c r="H190" s="60" t="n">
        <f aca="false">IFERROR(IF([2]对账明细接口!$H$190=0,"",[2]对账明细接口!$H$190),"")</f>
        <v>146</v>
      </c>
      <c r="I190" s="59" t="str">
        <f aca="false">IFERROR(IF([2]对账明细接口!$I$190=0,"",[2]对账明细接口!$I$190),"")</f>
        <v>筐</v>
      </c>
      <c r="J190" s="61" t="n">
        <f aca="false">IFERROR(IF([2]对账明细接口!$J$190=0,"",[2]对账明细接口!$J$190),"")</f>
        <v>3255.8</v>
      </c>
      <c r="K190" s="61" t="str">
        <f aca="false">IFERROR(IF([2]对账明细接口!$K$190=0,"",[2]对账明细接口!$K$190),"")</f>
        <v/>
      </c>
      <c r="L190" s="59" t="str">
        <f aca="false">IFERROR(IF([2]对账明细接口!$L$190=0,"",[2]对账明细接口!$L$190),"")</f>
        <v/>
      </c>
      <c r="M190" s="59" t="str">
        <f aca="false">IFERROR(IF([2]对账明细接口!$M$190=0,"",[2]对账明细接口!$M$190),"")</f>
        <v/>
      </c>
      <c r="N190" s="111" t="n">
        <f aca="false">IF($C190="",0,1)</f>
        <v>1</v>
      </c>
      <c r="O190" s="111" t="n">
        <f aca="false">N(O189)+$N190</f>
        <v>187</v>
      </c>
      <c r="S190" s="10" t="str">
        <f aca="false">IFERROR(IF([2]对账明细接口!$N190=0,"",[2]对账明细接口!$N190),"")</f>
        <v>公司红周转筐</v>
      </c>
      <c r="T190" s="112" t="str">
        <f aca="false">IFERROR(IF([2]对账明细接口!$O190=0,"",[2]对账明细接口!$O190),"")</f>
        <v/>
      </c>
      <c r="U190" s="112" t="str">
        <f aca="false">IFERROR(IF([2]对账明细接口!$P190=0,"",[2]对账明细接口!$P190),"")</f>
        <v/>
      </c>
      <c r="V190" s="112" t="n">
        <f aca="false">IFERROR(IF([2]对账明细接口!$Q190=0,"",[2]对账明细接口!$Q190),"")</f>
        <v>146</v>
      </c>
      <c r="W190" s="10" t="str">
        <f aca="false">IFERROR(IF([2]对账明细接口!$R190=0,"",[2]对账明细接口!$R190),"")</f>
        <v>新A*G0554</v>
      </c>
      <c r="X190" s="10" t="str">
        <f aca="false">IFERROR(IF([2]对账明细接口!$S190=0,"",[2]对账明细接口!$S190),"")</f>
        <v>公司筐</v>
      </c>
      <c r="Y190" s="10" t="str">
        <f aca="false">IFERROR(IF([2]对账明细接口!$T190=0,"",[2]对账明细接口!$T190),"")</f>
        <v/>
      </c>
      <c r="Z190" s="113" t="str">
        <f aca="false">IFERROR(IF([2]对账明细接口!$U190=0,"",[2]对账明细接口!$U190),"")</f>
        <v/>
      </c>
      <c r="AA190" s="113" t="str">
        <f aca="false">IFERROR(IF([2]对账明细接口!$V190=0,"",[2]对账明细接口!$V190),"")</f>
        <v/>
      </c>
      <c r="AB190" s="10" t="str">
        <f aca="false">IFERROR(IF([2]对账明细接口!$W190=0,"",[2]对账明细接口!$W190),"")</f>
        <v/>
      </c>
      <c r="AC190" s="90" t="str">
        <f aca="false">IFERROR(IF([2]对账明细接口!$X191=0,"",[2]对账明细接口!$X191),"")</f>
        <v/>
      </c>
      <c r="AD190" s="90" t="str">
        <f aca="false">IFERROR(IF([2]对账明细接口!$Y191=0,"",[2]对账明细接口!$Y191),"")</f>
        <v/>
      </c>
      <c r="AE190" s="90" t="str">
        <f aca="false">IFERROR(IF([2]对账明细接口!$AA191=0,"",[2]对账明细接口!$AA191),"")</f>
        <v/>
      </c>
      <c r="AF190" s="90" t="str">
        <f aca="false">IFERROR(IF([2]对账明细接口!$AB191=0,"",[2]对账明细接口!$AB191),"")</f>
        <v/>
      </c>
      <c r="AG190" s="90" t="str">
        <f aca="false">IFERROR(IF([2]对账明细接口!$AC191=0,"",[2]对账明细接口!$AC191),"")</f>
        <v/>
      </c>
      <c r="AH190" s="90" t="str">
        <f aca="false">IFERROR(IF([2]对账明细接口!$AD191=0,"",[2]对账明细接口!$AD191),"")</f>
        <v/>
      </c>
    </row>
    <row r="191" customFormat="false" ht="13.5" hidden="false" customHeight="false" outlineLevel="0" collapsed="false">
      <c r="A191" s="109" t="n">
        <v>191</v>
      </c>
      <c r="B191" s="110" t="n">
        <f aca="false">IFERROR(IF([2]对账明细接口!$B$191=0,"",[2]对账明细接口!$B$191),"")</f>
        <v>46276</v>
      </c>
      <c r="C191" s="59" t="str">
        <f aca="false">IFERROR(IF([2]对账明细接口!$C$191=0,"",[2]对账明细接口!$C$191),"")</f>
        <v>王浩</v>
      </c>
      <c r="D191" s="59" t="str">
        <f aca="false">IFERROR(IF([2]对账明细接口!$D$191=0,"",[2]对账明细接口!$D$191),"")</f>
        <v>原料入库</v>
      </c>
      <c r="E191" s="59" t="str">
        <f aca="false">IFERROR(IF([2]对账明细接口!$E$191=0,"",[2]对账明细接口!$E$191),"")</f>
        <v>NO:0000783</v>
      </c>
      <c r="F191" s="59" t="str">
        <f aca="false">IFERROR(IF([2]对账明细接口!$F$191=0,"",[2]对账明细接口!$F$191),"")</f>
        <v>香梨</v>
      </c>
      <c r="G191" s="59" t="str">
        <f aca="false">IFERROR(IF([2]对账明细接口!$G$191=0,"",[2]对账明细接口!$G$191),"")</f>
        <v>香梨一级</v>
      </c>
      <c r="H191" s="60" t="n">
        <f aca="false">IFERROR(IF([2]对账明细接口!$H$191=0,"",[2]对账明细接口!$H$191),"")</f>
        <v>1184</v>
      </c>
      <c r="I191" s="59" t="str">
        <f aca="false">IFERROR(IF([2]对账明细接口!$I$191=0,"",[2]对账明细接口!$I$191),"")</f>
        <v>筐</v>
      </c>
      <c r="J191" s="61" t="n">
        <f aca="false">IFERROR(IF([2]对账明细接口!$J$191=0,"",[2]对账明细接口!$J$191),"")</f>
        <v>21667.2</v>
      </c>
      <c r="K191" s="61" t="str">
        <f aca="false">IFERROR(IF([2]对账明细接口!$K$191=0,"",[2]对账明细接口!$K$191),"")</f>
        <v/>
      </c>
      <c r="L191" s="59" t="str">
        <f aca="false">IFERROR(IF([2]对账明细接口!$L$191=0,"",[2]对账明细接口!$L$191),"")</f>
        <v/>
      </c>
      <c r="M191" s="59" t="str">
        <f aca="false">IFERROR(IF([2]对账明细接口!$M$191=0,"",[2]对账明细接口!$M$191),"")</f>
        <v/>
      </c>
      <c r="N191" s="111" t="n">
        <f aca="false">IF($C191="",0,1)</f>
        <v>1</v>
      </c>
      <c r="O191" s="111" t="n">
        <f aca="false">N(O190)+$N191</f>
        <v>188</v>
      </c>
      <c r="S191" s="10" t="str">
        <f aca="false">IFERROR(IF([2]对账明细接口!$N191=0,"",[2]对账明细接口!$N191),"")</f>
        <v>公司一次性筐</v>
      </c>
      <c r="T191" s="112" t="str">
        <f aca="false">IFERROR(IF([2]对账明细接口!$O191=0,"",[2]对账明细接口!$O191),"")</f>
        <v/>
      </c>
      <c r="U191" s="112" t="str">
        <f aca="false">IFERROR(IF([2]对账明细接口!$P191=0,"",[2]对账明细接口!$P191),"")</f>
        <v/>
      </c>
      <c r="V191" s="112" t="n">
        <f aca="false">IFERROR(IF([2]对账明细接口!$Q191=0,"",[2]对账明细接口!$Q191),"")</f>
        <v>1184</v>
      </c>
      <c r="W191" s="10" t="str">
        <f aca="false">IFERROR(IF([2]对账明细接口!$R191=0,"",[2]对账明细接口!$R191),"")</f>
        <v>新M*65781</v>
      </c>
      <c r="X191" s="10" t="str">
        <f aca="false">IFERROR(IF([2]对账明细接口!$S191=0,"",[2]对账明细接口!$S191),"")</f>
        <v>公司筐</v>
      </c>
      <c r="Y191" s="10" t="str">
        <f aca="false">IFERROR(IF([2]对账明细接口!$T191=0,"",[2]对账明细接口!$T191),"")</f>
        <v/>
      </c>
      <c r="Z191" s="113" t="str">
        <f aca="false">IFERROR(IF([2]对账明细接口!$U191=0,"",[2]对账明细接口!$U191),"")</f>
        <v/>
      </c>
      <c r="AA191" s="113" t="str">
        <f aca="false">IFERROR(IF([2]对账明细接口!$V191=0,"",[2]对账明细接口!$V191),"")</f>
        <v/>
      </c>
      <c r="AB191" s="10" t="str">
        <f aca="false">IFERROR(IF([2]对账明细接口!$W191=0,"",[2]对账明细接口!$W191),"")</f>
        <v/>
      </c>
      <c r="AC191" s="90" t="str">
        <f aca="false">IFERROR(IF([2]对账明细接口!$X192=0,"",[2]对账明细接口!$X192),"")</f>
        <v/>
      </c>
      <c r="AD191" s="90" t="str">
        <f aca="false">IFERROR(IF([2]对账明细接口!$Y192=0,"",[2]对账明细接口!$Y192),"")</f>
        <v/>
      </c>
      <c r="AE191" s="90" t="str">
        <f aca="false">IFERROR(IF([2]对账明细接口!$AA192=0,"",[2]对账明细接口!$AA192),"")</f>
        <v/>
      </c>
      <c r="AF191" s="90" t="str">
        <f aca="false">IFERROR(IF([2]对账明细接口!$AB192=0,"",[2]对账明细接口!$AB192),"")</f>
        <v/>
      </c>
      <c r="AG191" s="90" t="str">
        <f aca="false">IFERROR(IF([2]对账明细接口!$AC192=0,"",[2]对账明细接口!$AC192),"")</f>
        <v/>
      </c>
      <c r="AH191" s="90" t="str">
        <f aca="false">IFERROR(IF([2]对账明细接口!$AD192=0,"",[2]对账明细接口!$AD192),"")</f>
        <v/>
      </c>
    </row>
    <row r="192" customFormat="false" ht="13.5" hidden="false" customHeight="false" outlineLevel="0" collapsed="false">
      <c r="A192" s="109" t="n">
        <v>192</v>
      </c>
      <c r="B192" s="110" t="n">
        <f aca="false">IFERROR(IF([2]对账明细接口!$B$192=0,"",[2]对账明细接口!$B$192),"")</f>
        <v>46276</v>
      </c>
      <c r="C192" s="59" t="str">
        <f aca="false">IFERROR(IF([2]对账明细接口!$C$192=0,"",[2]对账明细接口!$C$192),"")</f>
        <v>吐尔洪</v>
      </c>
      <c r="D192" s="59" t="str">
        <f aca="false">IFERROR(IF([2]对账明细接口!$D$192=0,"",[2]对账明细接口!$D$192),"")</f>
        <v>原料入库</v>
      </c>
      <c r="E192" s="59" t="str">
        <f aca="false">IFERROR(IF([2]对账明细接口!$E$192=0,"",[2]对账明细接口!$E$192),"")</f>
        <v>NO:0000786</v>
      </c>
      <c r="F192" s="59" t="str">
        <f aca="false">IFERROR(IF([2]对账明细接口!$F$192=0,"",[2]对账明细接口!$F$192),"")</f>
        <v>香梨</v>
      </c>
      <c r="G192" s="59" t="str">
        <f aca="false">IFERROR(IF([2]对账明细接口!$G$192=0,"",[2]对账明细接口!$G$192),"")</f>
        <v>香梨特级</v>
      </c>
      <c r="H192" s="60" t="n">
        <f aca="false">IFERROR(IF([2]对账明细接口!$H$192=0,"",[2]对账明细接口!$H$192),"")</f>
        <v>88</v>
      </c>
      <c r="I192" s="59" t="str">
        <f aca="false">IFERROR(IF([2]对账明细接口!$I$192=0,"",[2]对账明细接口!$I$192),"")</f>
        <v>筐</v>
      </c>
      <c r="J192" s="61" t="n">
        <f aca="false">IFERROR(IF([2]对账明细接口!$J$192=0,"",[2]对账明细接口!$J$192),"")</f>
        <v>1610.4</v>
      </c>
      <c r="K192" s="61" t="str">
        <f aca="false">IFERROR(IF([2]对账明细接口!$K$192=0,"",[2]对账明细接口!$K$192),"")</f>
        <v/>
      </c>
      <c r="L192" s="59" t="str">
        <f aca="false">IFERROR(IF([2]对账明细接口!$L$192=0,"",[2]对账明细接口!$L$192),"")</f>
        <v/>
      </c>
      <c r="M192" s="59" t="str">
        <f aca="false">IFERROR(IF([2]对账明细接口!$M$192=0,"",[2]对账明细接口!$M$192),"")</f>
        <v/>
      </c>
      <c r="N192" s="111" t="n">
        <f aca="false">IF($C192="",0,1)</f>
        <v>1</v>
      </c>
      <c r="O192" s="111" t="n">
        <f aca="false">N(O191)+$N192</f>
        <v>189</v>
      </c>
      <c r="S192" s="10" t="str">
        <f aca="false">IFERROR(IF([2]对账明细接口!$N192=0,"",[2]对账明细接口!$N192),"")</f>
        <v>公司红周转筐</v>
      </c>
      <c r="T192" s="112" t="str">
        <f aca="false">IFERROR(IF([2]对账明细接口!$O192=0,"",[2]对账明细接口!$O192),"")</f>
        <v/>
      </c>
      <c r="U192" s="112" t="str">
        <f aca="false">IFERROR(IF([2]对账明细接口!$P192=0,"",[2]对账明细接口!$P192),"")</f>
        <v/>
      </c>
      <c r="V192" s="112" t="n">
        <f aca="false">IFERROR(IF([2]对账明细接口!$Q192=0,"",[2]对账明细接口!$Q192),"")</f>
        <v>88</v>
      </c>
      <c r="W192" s="10" t="str">
        <f aca="false">IFERROR(IF([2]对账明细接口!$R192=0,"",[2]对账明细接口!$R192),"")</f>
        <v>新N*X8S48</v>
      </c>
      <c r="X192" s="10" t="str">
        <f aca="false">IFERROR(IF([2]对账明细接口!$S192=0,"",[2]对账明细接口!$S192),"")</f>
        <v>公司筐</v>
      </c>
      <c r="Y192" s="10" t="str">
        <f aca="false">IFERROR(IF([2]对账明细接口!$T192=0,"",[2]对账明细接口!$T192),"")</f>
        <v/>
      </c>
      <c r="Z192" s="113" t="str">
        <f aca="false">IFERROR(IF([2]对账明细接口!$U192=0,"",[2]对账明细接口!$U192),"")</f>
        <v/>
      </c>
      <c r="AA192" s="113" t="str">
        <f aca="false">IFERROR(IF([2]对账明细接口!$V192=0,"",[2]对账明细接口!$V192),"")</f>
        <v/>
      </c>
      <c r="AB192" s="10" t="str">
        <f aca="false">IFERROR(IF([2]对账明细接口!$W192=0,"",[2]对账明细接口!$W192),"")</f>
        <v/>
      </c>
      <c r="AC192" s="90" t="str">
        <f aca="false">IFERROR(IF([2]对账明细接口!$X193=0,"",[2]对账明细接口!$X193),"")</f>
        <v/>
      </c>
      <c r="AD192" s="90" t="str">
        <f aca="false">IFERROR(IF([2]对账明细接口!$Y193=0,"",[2]对账明细接口!$Y193),"")</f>
        <v/>
      </c>
      <c r="AE192" s="90" t="str">
        <f aca="false">IFERROR(IF([2]对账明细接口!$AA193=0,"",[2]对账明细接口!$AA193),"")</f>
        <v/>
      </c>
      <c r="AF192" s="90" t="str">
        <f aca="false">IFERROR(IF([2]对账明细接口!$AB193=0,"",[2]对账明细接口!$AB193),"")</f>
        <v/>
      </c>
      <c r="AG192" s="90" t="str">
        <f aca="false">IFERROR(IF([2]对账明细接口!$AC193=0,"",[2]对账明细接口!$AC193),"")</f>
        <v/>
      </c>
      <c r="AH192" s="90" t="str">
        <f aca="false">IFERROR(IF([2]对账明细接口!$AD193=0,"",[2]对账明细接口!$AD193),"")</f>
        <v/>
      </c>
    </row>
    <row r="193" customFormat="false" ht="13.5" hidden="false" customHeight="false" outlineLevel="0" collapsed="false">
      <c r="A193" s="109" t="n">
        <v>193</v>
      </c>
      <c r="B193" s="110" t="n">
        <f aca="false">IFERROR(IF([2]对账明细接口!$B$193=0,"",[2]对账明细接口!$B$193),"")</f>
        <v>46276</v>
      </c>
      <c r="C193" s="59" t="str">
        <f aca="false">IFERROR(IF([2]对账明细接口!$C$193=0,"",[2]对账明细接口!$C$193),"")</f>
        <v>吐尔洪</v>
      </c>
      <c r="D193" s="59" t="str">
        <f aca="false">IFERROR(IF([2]对账明细接口!$D$193=0,"",[2]对账明细接口!$D$193),"")</f>
        <v>原料入库</v>
      </c>
      <c r="E193" s="59" t="str">
        <f aca="false">IFERROR(IF([2]对账明细接口!$E$193=0,"",[2]对账明细接口!$E$193),"")</f>
        <v>NO:0000786</v>
      </c>
      <c r="F193" s="59" t="str">
        <f aca="false">IFERROR(IF([2]对账明细接口!$F$193=0,"",[2]对账明细接口!$F$193),"")</f>
        <v>香梨</v>
      </c>
      <c r="G193" s="59" t="str">
        <f aca="false">IFERROR(IF([2]对账明细接口!$G$193=0,"",[2]对账明细接口!$G$193),"")</f>
        <v>香梨一级</v>
      </c>
      <c r="H193" s="60" t="n">
        <f aca="false">IFERROR(IF([2]对账明细接口!$H$193=0,"",[2]对账明细接口!$H$193),"")</f>
        <v>43</v>
      </c>
      <c r="I193" s="59" t="str">
        <f aca="false">IFERROR(IF([2]对账明细接口!$I$193=0,"",[2]对账明细接口!$I$193),"")</f>
        <v>筐</v>
      </c>
      <c r="J193" s="61" t="n">
        <f aca="false">IFERROR(IF([2]对账明细接口!$J$193=0,"",[2]对账明细接口!$J$193),"")</f>
        <v>786.9</v>
      </c>
      <c r="K193" s="61" t="str">
        <f aca="false">IFERROR(IF([2]对账明细接口!$K$193=0,"",[2]对账明细接口!$K$193),"")</f>
        <v/>
      </c>
      <c r="L193" s="59" t="str">
        <f aca="false">IFERROR(IF([2]对账明细接口!$L$193=0,"",[2]对账明细接口!$L$193),"")</f>
        <v/>
      </c>
      <c r="M193" s="59" t="str">
        <f aca="false">IFERROR(IF([2]对账明细接口!$M$193=0,"",[2]对账明细接口!$M$193),"")</f>
        <v/>
      </c>
      <c r="N193" s="111" t="n">
        <f aca="false">IF($C193="",0,1)</f>
        <v>1</v>
      </c>
      <c r="O193" s="111" t="n">
        <f aca="false">N(O192)+$N193</f>
        <v>190</v>
      </c>
      <c r="S193" s="10" t="str">
        <f aca="false">IFERROR(IF([2]对账明细接口!$N193=0,"",[2]对账明细接口!$N193),"")</f>
        <v>公司红周转筐</v>
      </c>
      <c r="T193" s="112" t="str">
        <f aca="false">IFERROR(IF([2]对账明细接口!$O193=0,"",[2]对账明细接口!$O193),"")</f>
        <v/>
      </c>
      <c r="U193" s="112" t="str">
        <f aca="false">IFERROR(IF([2]对账明细接口!$P193=0,"",[2]对账明细接口!$P193),"")</f>
        <v/>
      </c>
      <c r="V193" s="112" t="n">
        <f aca="false">IFERROR(IF([2]对账明细接口!$Q193=0,"",[2]对账明细接口!$Q193),"")</f>
        <v>43</v>
      </c>
      <c r="W193" s="10" t="str">
        <f aca="false">IFERROR(IF([2]对账明细接口!$R193=0,"",[2]对账明细接口!$R193),"")</f>
        <v>新N*X8S48</v>
      </c>
      <c r="X193" s="10" t="str">
        <f aca="false">IFERROR(IF([2]对账明细接口!$S193=0,"",[2]对账明细接口!$S193),"")</f>
        <v>公司筐</v>
      </c>
      <c r="Y193" s="10" t="str">
        <f aca="false">IFERROR(IF([2]对账明细接口!$T193=0,"",[2]对账明细接口!$T193),"")</f>
        <v/>
      </c>
      <c r="Z193" s="113" t="str">
        <f aca="false">IFERROR(IF([2]对账明细接口!$U193=0,"",[2]对账明细接口!$U193),"")</f>
        <v/>
      </c>
      <c r="AA193" s="113" t="str">
        <f aca="false">IFERROR(IF([2]对账明细接口!$V193=0,"",[2]对账明细接口!$V193),"")</f>
        <v/>
      </c>
      <c r="AB193" s="10" t="str">
        <f aca="false">IFERROR(IF([2]对账明细接口!$W193=0,"",[2]对账明细接口!$W193),"")</f>
        <v/>
      </c>
      <c r="AC193" s="90" t="str">
        <f aca="false">IFERROR(IF([2]对账明细接口!$X194=0,"",[2]对账明细接口!$X194),"")</f>
        <v/>
      </c>
      <c r="AD193" s="90" t="str">
        <f aca="false">IFERROR(IF([2]对账明细接口!$Y194=0,"",[2]对账明细接口!$Y194),"")</f>
        <v/>
      </c>
      <c r="AE193" s="90" t="str">
        <f aca="false">IFERROR(IF([2]对账明细接口!$AA194=0,"",[2]对账明细接口!$AA194),"")</f>
        <v/>
      </c>
      <c r="AF193" s="90" t="str">
        <f aca="false">IFERROR(IF([2]对账明细接口!$AB194=0,"",[2]对账明细接口!$AB194),"")</f>
        <v/>
      </c>
      <c r="AG193" s="90" t="str">
        <f aca="false">IFERROR(IF([2]对账明细接口!$AC194=0,"",[2]对账明细接口!$AC194),"")</f>
        <v/>
      </c>
      <c r="AH193" s="90" t="str">
        <f aca="false">IFERROR(IF([2]对账明细接口!$AD194=0,"",[2]对账明细接口!$AD194),"")</f>
        <v/>
      </c>
    </row>
    <row r="194" customFormat="false" ht="13.5" hidden="false" customHeight="false" outlineLevel="0" collapsed="false">
      <c r="A194" s="109" t="n">
        <v>194</v>
      </c>
      <c r="B194" s="110" t="n">
        <f aca="false">IFERROR(IF([2]对账明细接口!$B$194=0,"",[2]对账明细接口!$B$194),"")</f>
        <v>46276</v>
      </c>
      <c r="C194" s="59" t="str">
        <f aca="false">IFERROR(IF([2]对账明细接口!$C$194=0,"",[2]对账明细接口!$C$194),"")</f>
        <v>吐尔洪</v>
      </c>
      <c r="D194" s="59" t="str">
        <f aca="false">IFERROR(IF([2]对账明细接口!$D$194=0,"",[2]对账明细接口!$D$194),"")</f>
        <v>原料入库</v>
      </c>
      <c r="E194" s="59" t="str">
        <f aca="false">IFERROR(IF([2]对账明细接口!$E$194=0,"",[2]对账明细接口!$E$194),"")</f>
        <v>NO:0000786</v>
      </c>
      <c r="F194" s="59" t="str">
        <f aca="false">IFERROR(IF([2]对账明细接口!$F$194=0,"",[2]对账明细接口!$F$194),"")</f>
        <v>香梨</v>
      </c>
      <c r="G194" s="59" t="str">
        <f aca="false">IFERROR(IF([2]对账明细接口!$G$194=0,"",[2]对账明细接口!$G$194),"")</f>
        <v>香梨二级</v>
      </c>
      <c r="H194" s="60" t="n">
        <f aca="false">IFERROR(IF([2]对账明细接口!$H$194=0,"",[2]对账明细接口!$H$194),"")</f>
        <v>88</v>
      </c>
      <c r="I194" s="59" t="str">
        <f aca="false">IFERROR(IF([2]对账明细接口!$I$194=0,"",[2]对账明细接口!$I$194),"")</f>
        <v>筐</v>
      </c>
      <c r="J194" s="61" t="n">
        <f aca="false">IFERROR(IF([2]对账明细接口!$J$194=0,"",[2]对账明细接口!$J$194),"")</f>
        <v>1962.4</v>
      </c>
      <c r="K194" s="61" t="str">
        <f aca="false">IFERROR(IF([2]对账明细接口!$K$194=0,"",[2]对账明细接口!$K$194),"")</f>
        <v/>
      </c>
      <c r="L194" s="59" t="str">
        <f aca="false">IFERROR(IF([2]对账明细接口!$L$194=0,"",[2]对账明细接口!$L$194),"")</f>
        <v/>
      </c>
      <c r="M194" s="59" t="str">
        <f aca="false">IFERROR(IF([2]对账明细接口!$M$194=0,"",[2]对账明细接口!$M$194),"")</f>
        <v/>
      </c>
      <c r="N194" s="111" t="n">
        <f aca="false">IF($C194="",0,1)</f>
        <v>1</v>
      </c>
      <c r="O194" s="111" t="n">
        <f aca="false">N(O193)+$N194</f>
        <v>191</v>
      </c>
      <c r="S194" s="10" t="str">
        <f aca="false">IFERROR(IF([2]对账明细接口!$N194=0,"",[2]对账明细接口!$N194),"")</f>
        <v>公司红周转筐</v>
      </c>
      <c r="T194" s="112" t="str">
        <f aca="false">IFERROR(IF([2]对账明细接口!$O194=0,"",[2]对账明细接口!$O194),"")</f>
        <v/>
      </c>
      <c r="U194" s="112" t="str">
        <f aca="false">IFERROR(IF([2]对账明细接口!$P194=0,"",[2]对账明细接口!$P194),"")</f>
        <v/>
      </c>
      <c r="V194" s="112" t="n">
        <f aca="false">IFERROR(IF([2]对账明细接口!$Q194=0,"",[2]对账明细接口!$Q194),"")</f>
        <v>88</v>
      </c>
      <c r="W194" s="10" t="str">
        <f aca="false">IFERROR(IF([2]对账明细接口!$R194=0,"",[2]对账明细接口!$R194),"")</f>
        <v>新N*X8S48</v>
      </c>
      <c r="X194" s="10" t="str">
        <f aca="false">IFERROR(IF([2]对账明细接口!$S194=0,"",[2]对账明细接口!$S194),"")</f>
        <v>公司筐</v>
      </c>
      <c r="Y194" s="10" t="str">
        <f aca="false">IFERROR(IF([2]对账明细接口!$T194=0,"",[2]对账明细接口!$T194),"")</f>
        <v/>
      </c>
      <c r="Z194" s="113" t="str">
        <f aca="false">IFERROR(IF([2]对账明细接口!$U194=0,"",[2]对账明细接口!$U194),"")</f>
        <v/>
      </c>
      <c r="AA194" s="113" t="str">
        <f aca="false">IFERROR(IF([2]对账明细接口!$V194=0,"",[2]对账明细接口!$V194),"")</f>
        <v/>
      </c>
      <c r="AB194" s="10" t="str">
        <f aca="false">IFERROR(IF([2]对账明细接口!$W194=0,"",[2]对账明细接口!$W194),"")</f>
        <v/>
      </c>
      <c r="AC194" s="90" t="str">
        <f aca="false">IFERROR(IF([2]对账明细接口!$X195=0,"",[2]对账明细接口!$X195),"")</f>
        <v/>
      </c>
      <c r="AD194" s="90" t="str">
        <f aca="false">IFERROR(IF([2]对账明细接口!$Y195=0,"",[2]对账明细接口!$Y195),"")</f>
        <v/>
      </c>
      <c r="AE194" s="90" t="str">
        <f aca="false">IFERROR(IF([2]对账明细接口!$AA195=0,"",[2]对账明细接口!$AA195),"")</f>
        <v/>
      </c>
      <c r="AF194" s="90" t="str">
        <f aca="false">IFERROR(IF([2]对账明细接口!$AB195=0,"",[2]对账明细接口!$AB195),"")</f>
        <v/>
      </c>
      <c r="AG194" s="90" t="str">
        <f aca="false">IFERROR(IF([2]对账明细接口!$AC195=0,"",[2]对账明细接口!$AC195),"")</f>
        <v/>
      </c>
      <c r="AH194" s="90" t="str">
        <f aca="false">IFERROR(IF([2]对账明细接口!$AD195=0,"",[2]对账明细接口!$AD195),"")</f>
        <v/>
      </c>
    </row>
    <row r="195" customFormat="false" ht="13.5" hidden="false" customHeight="false" outlineLevel="0" collapsed="false">
      <c r="A195" s="109" t="n">
        <v>195</v>
      </c>
      <c r="B195" s="110" t="n">
        <f aca="false">IFERROR(IF([2]对账明细接口!$B$195=0,"",[2]对账明细接口!$B$195),"")</f>
        <v>46276</v>
      </c>
      <c r="C195" s="59" t="str">
        <f aca="false">IFERROR(IF([2]对账明细接口!$C$195=0,"",[2]对账明细接口!$C$195),"")</f>
        <v>贾建国</v>
      </c>
      <c r="D195" s="59" t="str">
        <f aca="false">IFERROR(IF([2]对账明细接口!$D$195=0,"",[2]对账明细接口!$D$195),"")</f>
        <v>原料入库</v>
      </c>
      <c r="E195" s="59" t="str">
        <f aca="false">IFERROR(IF([2]对账明细接口!$E$195=0,"",[2]对账明细接口!$E$195),"")</f>
        <v>NO:0000787</v>
      </c>
      <c r="F195" s="59" t="str">
        <f aca="false">IFERROR(IF([2]对账明细接口!$F$195=0,"",[2]对账明细接口!$F$195),"")</f>
        <v>香梨</v>
      </c>
      <c r="G195" s="59" t="str">
        <f aca="false">IFERROR(IF([2]对账明细接口!$G$195=0,"",[2]对账明细接口!$G$195),"")</f>
        <v>香梨副特</v>
      </c>
      <c r="H195" s="60" t="n">
        <f aca="false">IFERROR(IF([2]对账明细接口!$H$195=0,"",[2]对账明细接口!$H$195),"")</f>
        <v>393</v>
      </c>
      <c r="I195" s="59" t="str">
        <f aca="false">IFERROR(IF([2]对账明细接口!$I$195=0,"",[2]对账明细接口!$I$195),"")</f>
        <v>筐</v>
      </c>
      <c r="J195" s="61" t="n">
        <f aca="false">IFERROR(IF([2]对账明细接口!$J$195=0,"",[2]对账明细接口!$J$195),"")</f>
        <v>7584.9</v>
      </c>
      <c r="K195" s="61" t="str">
        <f aca="false">IFERROR(IF([2]对账明细接口!$K$195=0,"",[2]对账明细接口!$K$195),"")</f>
        <v/>
      </c>
      <c r="L195" s="59" t="str">
        <f aca="false">IFERROR(IF([2]对账明细接口!$L$195=0,"",[2]对账明细接口!$L$195),"")</f>
        <v/>
      </c>
      <c r="M195" s="59" t="str">
        <f aca="false">IFERROR(IF([2]对账明细接口!$M$195=0,"",[2]对账明细接口!$M$195),"")</f>
        <v/>
      </c>
      <c r="N195" s="111" t="n">
        <f aca="false">IF($C195="",0,1)</f>
        <v>1</v>
      </c>
      <c r="O195" s="111" t="n">
        <f aca="false">N(O194)+$N195</f>
        <v>192</v>
      </c>
      <c r="S195" s="10" t="str">
        <f aca="false">IFERROR(IF([2]对账明细接口!$N195=0,"",[2]对账明细接口!$N195),"")</f>
        <v>自备一次性筐</v>
      </c>
      <c r="T195" s="112" t="str">
        <f aca="false">IFERROR(IF([2]对账明细接口!$O195=0,"",[2]对账明细接口!$O195),"")</f>
        <v/>
      </c>
      <c r="U195" s="112" t="str">
        <f aca="false">IFERROR(IF([2]对账明细接口!$P195=0,"",[2]对账明细接口!$P195),"")</f>
        <v/>
      </c>
      <c r="V195" s="112" t="n">
        <f aca="false">IFERROR(IF([2]对账明细接口!$Q195=0,"",[2]对账明细接口!$Q195),"")</f>
        <v>393</v>
      </c>
      <c r="W195" s="10" t="str">
        <f aca="false">IFERROR(IF([2]对账明细接口!$R195=0,"",[2]对账明细接口!$R195),"")</f>
        <v>豫Q*H5591</v>
      </c>
      <c r="X195" s="10" t="str">
        <f aca="false">IFERROR(IF([2]对账明细接口!$S195=0,"",[2]对账明细接口!$S195),"")</f>
        <v>自备筐</v>
      </c>
      <c r="Y195" s="10" t="str">
        <f aca="false">IFERROR(IF([2]对账明细接口!$T195=0,"",[2]对账明细接口!$T195),"")</f>
        <v/>
      </c>
      <c r="Z195" s="113" t="str">
        <f aca="false">IFERROR(IF([2]对账明细接口!$U195=0,"",[2]对账明细接口!$U195),"")</f>
        <v/>
      </c>
      <c r="AA195" s="113" t="str">
        <f aca="false">IFERROR(IF([2]对账明细接口!$V195=0,"",[2]对账明细接口!$V195),"")</f>
        <v/>
      </c>
      <c r="AB195" s="10" t="str">
        <f aca="false">IFERROR(IF([2]对账明细接口!$W195=0,"",[2]对账明细接口!$W195),"")</f>
        <v/>
      </c>
      <c r="AC195" s="90" t="str">
        <f aca="false">IFERROR(IF([2]对账明细接口!$X196=0,"",[2]对账明细接口!$X196),"")</f>
        <v/>
      </c>
      <c r="AD195" s="90" t="str">
        <f aca="false">IFERROR(IF([2]对账明细接口!$Y196=0,"",[2]对账明细接口!$Y196),"")</f>
        <v/>
      </c>
      <c r="AE195" s="90" t="str">
        <f aca="false">IFERROR(IF([2]对账明细接口!$AA196=0,"",[2]对账明细接口!$AA196),"")</f>
        <v/>
      </c>
      <c r="AF195" s="90" t="str">
        <f aca="false">IFERROR(IF([2]对账明细接口!$AB196=0,"",[2]对账明细接口!$AB196),"")</f>
        <v/>
      </c>
      <c r="AG195" s="90" t="str">
        <f aca="false">IFERROR(IF([2]对账明细接口!$AC196=0,"",[2]对账明细接口!$AC196),"")</f>
        <v/>
      </c>
      <c r="AH195" s="90" t="str">
        <f aca="false">IFERROR(IF([2]对账明细接口!$AD196=0,"",[2]对账明细接口!$AD196),"")</f>
        <v/>
      </c>
    </row>
    <row r="196" customFormat="false" ht="13.5" hidden="false" customHeight="false" outlineLevel="0" collapsed="false">
      <c r="A196" s="109" t="n">
        <v>196</v>
      </c>
      <c r="B196" s="110" t="n">
        <f aca="false">IFERROR(IF([2]对账明细接口!$B$196=0,"",[2]对账明细接口!$B$196),"")</f>
        <v>46276</v>
      </c>
      <c r="C196" s="59" t="str">
        <f aca="false">IFERROR(IF([2]对账明细接口!$C$196=0,"",[2]对账明细接口!$C$196),"")</f>
        <v>贾建国</v>
      </c>
      <c r="D196" s="59" t="str">
        <f aca="false">IFERROR(IF([2]对账明细接口!$D$196=0,"",[2]对账明细接口!$D$196),"")</f>
        <v>原料入库</v>
      </c>
      <c r="E196" s="59" t="str">
        <f aca="false">IFERROR(IF([2]对账明细接口!$E$196=0,"",[2]对账明细接口!$E$196),"")</f>
        <v>NO:0000787</v>
      </c>
      <c r="F196" s="59" t="str">
        <f aca="false">IFERROR(IF([2]对账明细接口!$F$196=0,"",[2]对账明细接口!$F$196),"")</f>
        <v>香梨</v>
      </c>
      <c r="G196" s="59" t="str">
        <f aca="false">IFERROR(IF([2]对账明细接口!$G$196=0,"",[2]对账明细接口!$G$196),"")</f>
        <v>香梨副特</v>
      </c>
      <c r="H196" s="60" t="n">
        <f aca="false">IFERROR(IF([2]对账明细接口!$H$196=0,"",[2]对账明细接口!$H$196),"")</f>
        <v>3</v>
      </c>
      <c r="I196" s="59" t="str">
        <f aca="false">IFERROR(IF([2]对账明细接口!$I$196=0,"",[2]对账明细接口!$I$196),"")</f>
        <v>筐</v>
      </c>
      <c r="J196" s="61" t="n">
        <f aca="false">IFERROR(IF([2]对账明细接口!$J$196=0,"",[2]对账明细接口!$J$196),"")</f>
        <v>57.9</v>
      </c>
      <c r="K196" s="61" t="str">
        <f aca="false">IFERROR(IF([2]对账明细接口!$K$196=0,"",[2]对账明细接口!$K$196),"")</f>
        <v/>
      </c>
      <c r="L196" s="59" t="str">
        <f aca="false">IFERROR(IF([2]对账明细接口!$L$196=0,"",[2]对账明细接口!$L$196),"")</f>
        <v/>
      </c>
      <c r="M196" s="59" t="str">
        <f aca="false">IFERROR(IF([2]对账明细接口!$M$196=0,"",[2]对账明细接口!$M$196),"")</f>
        <v/>
      </c>
      <c r="N196" s="111" t="n">
        <f aca="false">IF($C196="",0,1)</f>
        <v>1</v>
      </c>
      <c r="O196" s="111" t="n">
        <f aca="false">N(O195)+$N196</f>
        <v>193</v>
      </c>
      <c r="S196" s="10" t="str">
        <f aca="false">IFERROR(IF([2]对账明细接口!$N196=0,"",[2]对账明细接口!$N196),"")</f>
        <v>公司一次性筐</v>
      </c>
      <c r="T196" s="112" t="str">
        <f aca="false">IFERROR(IF([2]对账明细接口!$O196=0,"",[2]对账明细接口!$O196),"")</f>
        <v/>
      </c>
      <c r="U196" s="112" t="str">
        <f aca="false">IFERROR(IF([2]对账明细接口!$P196=0,"",[2]对账明细接口!$P196),"")</f>
        <v/>
      </c>
      <c r="V196" s="112" t="n">
        <f aca="false">IFERROR(IF([2]对账明细接口!$Q196=0,"",[2]对账明细接口!$Q196),"")</f>
        <v>3</v>
      </c>
      <c r="W196" s="10" t="str">
        <f aca="false">IFERROR(IF([2]对账明细接口!$R196=0,"",[2]对账明细接口!$R196),"")</f>
        <v>豫Q*H5591</v>
      </c>
      <c r="X196" s="10" t="str">
        <f aca="false">IFERROR(IF([2]对账明细接口!$S196=0,"",[2]对账明细接口!$S196),"")</f>
        <v>公司筐</v>
      </c>
      <c r="Y196" s="10" t="str">
        <f aca="false">IFERROR(IF([2]对账明细接口!$T196=0,"",[2]对账明细接口!$T196),"")</f>
        <v/>
      </c>
      <c r="Z196" s="113" t="str">
        <f aca="false">IFERROR(IF([2]对账明细接口!$U196=0,"",[2]对账明细接口!$U196),"")</f>
        <v/>
      </c>
      <c r="AA196" s="113" t="str">
        <f aca="false">IFERROR(IF([2]对账明细接口!$V196=0,"",[2]对账明细接口!$V196),"")</f>
        <v/>
      </c>
      <c r="AB196" s="10" t="str">
        <f aca="false">IFERROR(IF([2]对账明细接口!$W196=0,"",[2]对账明细接口!$W196),"")</f>
        <v/>
      </c>
      <c r="AC196" s="90" t="str">
        <f aca="false">IFERROR(IF([2]对账明细接口!$X197=0,"",[2]对账明细接口!$X197),"")</f>
        <v/>
      </c>
      <c r="AD196" s="90" t="str">
        <f aca="false">IFERROR(IF([2]对账明细接口!$Y197=0,"",[2]对账明细接口!$Y197),"")</f>
        <v/>
      </c>
      <c r="AE196" s="90" t="str">
        <f aca="false">IFERROR(IF([2]对账明细接口!$AA197=0,"",[2]对账明细接口!$AA197),"")</f>
        <v/>
      </c>
      <c r="AF196" s="90" t="str">
        <f aca="false">IFERROR(IF([2]对账明细接口!$AB197=0,"",[2]对账明细接口!$AB197),"")</f>
        <v/>
      </c>
      <c r="AG196" s="90" t="str">
        <f aca="false">IFERROR(IF([2]对账明细接口!$AC197=0,"",[2]对账明细接口!$AC197),"")</f>
        <v/>
      </c>
      <c r="AH196" s="90" t="str">
        <f aca="false">IFERROR(IF([2]对账明细接口!$AD197=0,"",[2]对账明细接口!$AD197),"")</f>
        <v/>
      </c>
    </row>
    <row r="197" customFormat="false" ht="13.5" hidden="false" customHeight="false" outlineLevel="0" collapsed="false">
      <c r="A197" s="109" t="n">
        <v>197</v>
      </c>
      <c r="B197" s="110" t="n">
        <f aca="false">IFERROR(IF([2]对账明细接口!$B$197=0,"",[2]对账明细接口!$B$197),"")</f>
        <v>46277</v>
      </c>
      <c r="C197" s="59" t="str">
        <f aca="false">IFERROR(IF([2]对账明细接口!$C$197=0,"",[2]对账明细接口!$C$197),"")</f>
        <v>王照雪</v>
      </c>
      <c r="D197" s="59" t="str">
        <f aca="false">IFERROR(IF([2]对账明细接口!$D$197=0,"",[2]对账明细接口!$D$197),"")</f>
        <v>原料入库</v>
      </c>
      <c r="E197" s="59" t="str">
        <f aca="false">IFERROR(IF([2]对账明细接口!$E$197=0,"",[2]对账明细接口!$E$197),"")</f>
        <v>NO:0000789</v>
      </c>
      <c r="F197" s="59" t="str">
        <f aca="false">IFERROR(IF([2]对账明细接口!$F$197=0,"",[2]对账明细接口!$F$197),"")</f>
        <v>香梨</v>
      </c>
      <c r="G197" s="59" t="str">
        <f aca="false">IFERROR(IF([2]对账明细接口!$G$197=0,"",[2]对账明细接口!$G$197),"")</f>
        <v>香梨一级</v>
      </c>
      <c r="H197" s="60" t="n">
        <f aca="false">IFERROR(IF([2]对账明细接口!$H$197=0,"",[2]对账明细接口!$H$197),"")</f>
        <v>99</v>
      </c>
      <c r="I197" s="59" t="str">
        <f aca="false">IFERROR(IF([2]对账明细接口!$I$197=0,"",[2]对账明细接口!$I$197),"")</f>
        <v>筐</v>
      </c>
      <c r="J197" s="61" t="n">
        <f aca="false">IFERROR(IF([2]对账明细接口!$J$197=0,"",[2]对账明细接口!$J$197),"")</f>
        <v>1831.5</v>
      </c>
      <c r="K197" s="61" t="str">
        <f aca="false">IFERROR(IF([2]对账明细接口!$K$197=0,"",[2]对账明细接口!$K$197),"")</f>
        <v/>
      </c>
      <c r="L197" s="59" t="str">
        <f aca="false">IFERROR(IF([2]对账明细接口!$L$197=0,"",[2]对账明细接口!$L$197),"")</f>
        <v/>
      </c>
      <c r="M197" s="59" t="str">
        <f aca="false">IFERROR(IF([2]对账明细接口!$M$197=0,"",[2]对账明细接口!$M$197),"")</f>
        <v/>
      </c>
      <c r="N197" s="111" t="n">
        <f aca="false">IF($C197="",0,1)</f>
        <v>1</v>
      </c>
      <c r="O197" s="111" t="n">
        <f aca="false">N(O196)+$N197</f>
        <v>194</v>
      </c>
      <c r="S197" s="10" t="str">
        <f aca="false">IFERROR(IF([2]对账明细接口!$N197=0,"",[2]对账明细接口!$N197),"")</f>
        <v>公司一次性筐</v>
      </c>
      <c r="T197" s="112" t="str">
        <f aca="false">IFERROR(IF([2]对账明细接口!$O197=0,"",[2]对账明细接口!$O197),"")</f>
        <v/>
      </c>
      <c r="U197" s="112" t="str">
        <f aca="false">IFERROR(IF([2]对账明细接口!$P197=0,"",[2]对账明细接口!$P197),"")</f>
        <v/>
      </c>
      <c r="V197" s="112" t="n">
        <f aca="false">IFERROR(IF([2]对账明细接口!$Q197=0,"",[2]对账明细接口!$Q197),"")</f>
        <v>99</v>
      </c>
      <c r="W197" s="10" t="str">
        <f aca="false">IFERROR(IF([2]对账明细接口!$R197=0,"",[2]对账明细接口!$R197),"")</f>
        <v>豫L*88X19</v>
      </c>
      <c r="X197" s="10" t="str">
        <f aca="false">IFERROR(IF([2]对账明细接口!$S197=0,"",[2]对账明细接口!$S197),"")</f>
        <v>公司筐</v>
      </c>
      <c r="Y197" s="10" t="str">
        <f aca="false">IFERROR(IF([2]对账明细接口!$T197=0,"",[2]对账明细接口!$T197),"")</f>
        <v/>
      </c>
      <c r="Z197" s="113" t="str">
        <f aca="false">IFERROR(IF([2]对账明细接口!$U197=0,"",[2]对账明细接口!$U197),"")</f>
        <v/>
      </c>
      <c r="AA197" s="113" t="str">
        <f aca="false">IFERROR(IF([2]对账明细接口!$V197=0,"",[2]对账明细接口!$V197),"")</f>
        <v/>
      </c>
      <c r="AB197" s="10" t="str">
        <f aca="false">IFERROR(IF([2]对账明细接口!$W197=0,"",[2]对账明细接口!$W197),"")</f>
        <v/>
      </c>
      <c r="AC197" s="90" t="str">
        <f aca="false">IFERROR(IF([2]对账明细接口!$X198=0,"",[2]对账明细接口!$X198),"")</f>
        <v/>
      </c>
      <c r="AD197" s="90" t="str">
        <f aca="false">IFERROR(IF([2]对账明细接口!$Y198=0,"",[2]对账明细接口!$Y198),"")</f>
        <v/>
      </c>
      <c r="AE197" s="90" t="str">
        <f aca="false">IFERROR(IF([2]对账明细接口!$AA198=0,"",[2]对账明细接口!$AA198),"")</f>
        <v/>
      </c>
      <c r="AF197" s="90" t="str">
        <f aca="false">IFERROR(IF([2]对账明细接口!$AB198=0,"",[2]对账明细接口!$AB198),"")</f>
        <v/>
      </c>
      <c r="AG197" s="90" t="str">
        <f aca="false">IFERROR(IF([2]对账明细接口!$AC198=0,"",[2]对账明细接口!$AC198),"")</f>
        <v/>
      </c>
      <c r="AH197" s="90" t="str">
        <f aca="false">IFERROR(IF([2]对账明细接口!$AD198=0,"",[2]对账明细接口!$AD198),"")</f>
        <v/>
      </c>
    </row>
    <row r="198" customFormat="false" ht="13.5" hidden="false" customHeight="false" outlineLevel="0" collapsed="false">
      <c r="A198" s="109" t="n">
        <v>198</v>
      </c>
      <c r="B198" s="110" t="n">
        <f aca="false">IFERROR(IF([2]对账明细接口!$B$198=0,"",[2]对账明细接口!$B$198),"")</f>
        <v>46277</v>
      </c>
      <c r="C198" s="59" t="str">
        <f aca="false">IFERROR(IF([2]对账明细接口!$C$198=0,"",[2]对账明细接口!$C$198),"")</f>
        <v>王照雪</v>
      </c>
      <c r="D198" s="59" t="str">
        <f aca="false">IFERROR(IF([2]对账明细接口!$D$198=0,"",[2]对账明细接口!$D$198),"")</f>
        <v>原料入库</v>
      </c>
      <c r="E198" s="59" t="str">
        <f aca="false">IFERROR(IF([2]对账明细接口!$E$198=0,"",[2]对账明细接口!$E$198),"")</f>
        <v>NO:0000789</v>
      </c>
      <c r="F198" s="59" t="str">
        <f aca="false">IFERROR(IF([2]对账明细接口!$F$198=0,"",[2]对账明细接口!$F$198),"")</f>
        <v>香梨</v>
      </c>
      <c r="G198" s="59" t="str">
        <f aca="false">IFERROR(IF([2]对账明细接口!$G$198=0,"",[2]对账明细接口!$G$198),"")</f>
        <v>香梨二级</v>
      </c>
      <c r="H198" s="60" t="n">
        <f aca="false">IFERROR(IF([2]对账明细接口!$H$198=0,"",[2]对账明细接口!$H$198),"")</f>
        <v>26</v>
      </c>
      <c r="I198" s="59" t="str">
        <f aca="false">IFERROR(IF([2]对账明细接口!$I$198=0,"",[2]对账明细接口!$I$198),"")</f>
        <v>筐</v>
      </c>
      <c r="J198" s="61" t="n">
        <f aca="false">IFERROR(IF([2]对账明细接口!$J$198=0,"",[2]对账明细接口!$J$198),"")</f>
        <v>585</v>
      </c>
      <c r="K198" s="61" t="str">
        <f aca="false">IFERROR(IF([2]对账明细接口!$K$198=0,"",[2]对账明细接口!$K$198),"")</f>
        <v/>
      </c>
      <c r="L198" s="59" t="str">
        <f aca="false">IFERROR(IF([2]对账明细接口!$L$198=0,"",[2]对账明细接口!$L$198),"")</f>
        <v/>
      </c>
      <c r="M198" s="59" t="str">
        <f aca="false">IFERROR(IF([2]对账明细接口!$M$198=0,"",[2]对账明细接口!$M$198),"")</f>
        <v/>
      </c>
      <c r="N198" s="111" t="n">
        <f aca="false">IF($C198="",0,1)</f>
        <v>1</v>
      </c>
      <c r="O198" s="111" t="n">
        <f aca="false">N(O197)+$N198</f>
        <v>195</v>
      </c>
      <c r="S198" s="10" t="str">
        <f aca="false">IFERROR(IF([2]对账明细接口!$N198=0,"",[2]对账明细接口!$N198),"")</f>
        <v>公司一次性筐</v>
      </c>
      <c r="T198" s="112" t="str">
        <f aca="false">IFERROR(IF([2]对账明细接口!$O198=0,"",[2]对账明细接口!$O198),"")</f>
        <v/>
      </c>
      <c r="U198" s="112" t="str">
        <f aca="false">IFERROR(IF([2]对账明细接口!$P198=0,"",[2]对账明细接口!$P198),"")</f>
        <v/>
      </c>
      <c r="V198" s="112" t="n">
        <f aca="false">IFERROR(IF([2]对账明细接口!$Q198=0,"",[2]对账明细接口!$Q198),"")</f>
        <v>26</v>
      </c>
      <c r="W198" s="10" t="str">
        <f aca="false">IFERROR(IF([2]对账明细接口!$R198=0,"",[2]对账明细接口!$R198),"")</f>
        <v>豫L*88X19</v>
      </c>
      <c r="X198" s="10" t="str">
        <f aca="false">IFERROR(IF([2]对账明细接口!$S198=0,"",[2]对账明细接口!$S198),"")</f>
        <v>公司筐</v>
      </c>
      <c r="Y198" s="10" t="str">
        <f aca="false">IFERROR(IF([2]对账明细接口!$T198=0,"",[2]对账明细接口!$T198),"")</f>
        <v/>
      </c>
      <c r="Z198" s="113" t="str">
        <f aca="false">IFERROR(IF([2]对账明细接口!$U198=0,"",[2]对账明细接口!$U198),"")</f>
        <v/>
      </c>
      <c r="AA198" s="113" t="str">
        <f aca="false">IFERROR(IF([2]对账明细接口!$V198=0,"",[2]对账明细接口!$V198),"")</f>
        <v/>
      </c>
      <c r="AB198" s="10" t="str">
        <f aca="false">IFERROR(IF([2]对账明细接口!$W198=0,"",[2]对账明细接口!$W198),"")</f>
        <v/>
      </c>
      <c r="AC198" s="90" t="str">
        <f aca="false">IFERROR(IF([2]对账明细接口!$X199=0,"",[2]对账明细接口!$X199),"")</f>
        <v/>
      </c>
      <c r="AD198" s="90" t="str">
        <f aca="false">IFERROR(IF([2]对账明细接口!$Y199=0,"",[2]对账明细接口!$Y199),"")</f>
        <v/>
      </c>
      <c r="AE198" s="90" t="str">
        <f aca="false">IFERROR(IF([2]对账明细接口!$AA199=0,"",[2]对账明细接口!$AA199),"")</f>
        <v/>
      </c>
      <c r="AF198" s="90" t="str">
        <f aca="false">IFERROR(IF([2]对账明细接口!$AB199=0,"",[2]对账明细接口!$AB199),"")</f>
        <v/>
      </c>
      <c r="AG198" s="90" t="str">
        <f aca="false">IFERROR(IF([2]对账明细接口!$AC199=0,"",[2]对账明细接口!$AC199),"")</f>
        <v/>
      </c>
      <c r="AH198" s="90" t="str">
        <f aca="false">IFERROR(IF([2]对账明细接口!$AD199=0,"",[2]对账明细接口!$AD199),"")</f>
        <v/>
      </c>
    </row>
    <row r="199" customFormat="false" ht="13.5" hidden="false" customHeight="false" outlineLevel="0" collapsed="false">
      <c r="A199" s="109" t="n">
        <v>199</v>
      </c>
      <c r="B199" s="110" t="n">
        <f aca="false">IFERROR(IF([2]对账明细接口!$B$199=0,"",[2]对账明细接口!$B$199),"")</f>
        <v>46277</v>
      </c>
      <c r="C199" s="59" t="str">
        <f aca="false">IFERROR(IF([2]对账明细接口!$C$199=0,"",[2]对账明细接口!$C$199),"")</f>
        <v>王照雪</v>
      </c>
      <c r="D199" s="59" t="str">
        <f aca="false">IFERROR(IF([2]对账明细接口!$D$199=0,"",[2]对账明细接口!$D$199),"")</f>
        <v>原料入库</v>
      </c>
      <c r="E199" s="59" t="str">
        <f aca="false">IFERROR(IF([2]对账明细接口!$E$199=0,"",[2]对账明细接口!$E$199),"")</f>
        <v>NO:0000789</v>
      </c>
      <c r="F199" s="59" t="str">
        <f aca="false">IFERROR(IF([2]对账明细接口!$F$199=0,"",[2]对账明细接口!$F$199),"")</f>
        <v>香梨</v>
      </c>
      <c r="G199" s="59" t="str">
        <f aca="false">IFERROR(IF([2]对账明细接口!$G$199=0,"",[2]对账明细接口!$G$199),"")</f>
        <v>香梨副特</v>
      </c>
      <c r="H199" s="60" t="n">
        <f aca="false">IFERROR(IF([2]对账明细接口!$H$199=0,"",[2]对账明细接口!$H$199),"")</f>
        <v>89</v>
      </c>
      <c r="I199" s="59" t="str">
        <f aca="false">IFERROR(IF([2]对账明细接口!$I$199=0,"",[2]对账明细接口!$I$199),"")</f>
        <v>筐</v>
      </c>
      <c r="J199" s="61" t="n">
        <f aca="false">IFERROR(IF([2]对账明细接口!$J$199=0,"",[2]对账明细接口!$J$199),"")</f>
        <v>1646.5</v>
      </c>
      <c r="K199" s="61" t="str">
        <f aca="false">IFERROR(IF([2]对账明细接口!$K$199=0,"",[2]对账明细接口!$K$199),"")</f>
        <v/>
      </c>
      <c r="L199" s="59" t="str">
        <f aca="false">IFERROR(IF([2]对账明细接口!$L$199=0,"",[2]对账明细接口!$L$199),"")</f>
        <v/>
      </c>
      <c r="M199" s="59" t="str">
        <f aca="false">IFERROR(IF([2]对账明细接口!$M$199=0,"",[2]对账明细接口!$M$199),"")</f>
        <v/>
      </c>
      <c r="N199" s="111" t="n">
        <f aca="false">IF($C199="",0,1)</f>
        <v>1</v>
      </c>
      <c r="O199" s="111" t="n">
        <f aca="false">N(O198)+$N199</f>
        <v>196</v>
      </c>
      <c r="S199" s="10" t="str">
        <f aca="false">IFERROR(IF([2]对账明细接口!$N199=0,"",[2]对账明细接口!$N199),"")</f>
        <v>公司一次性筐</v>
      </c>
      <c r="T199" s="112" t="str">
        <f aca="false">IFERROR(IF([2]对账明细接口!$O199=0,"",[2]对账明细接口!$O199),"")</f>
        <v/>
      </c>
      <c r="U199" s="112" t="str">
        <f aca="false">IFERROR(IF([2]对账明细接口!$P199=0,"",[2]对账明细接口!$P199),"")</f>
        <v/>
      </c>
      <c r="V199" s="112" t="n">
        <f aca="false">IFERROR(IF([2]对账明细接口!$Q199=0,"",[2]对账明细接口!$Q199),"")</f>
        <v>89</v>
      </c>
      <c r="W199" s="10" t="str">
        <f aca="false">IFERROR(IF([2]对账明细接口!$R199=0,"",[2]对账明细接口!$R199),"")</f>
        <v>豫L*88X19</v>
      </c>
      <c r="X199" s="10" t="str">
        <f aca="false">IFERROR(IF([2]对账明细接口!$S199=0,"",[2]对账明细接口!$S199),"")</f>
        <v>公司筐</v>
      </c>
      <c r="Y199" s="10" t="str">
        <f aca="false">IFERROR(IF([2]对账明细接口!$T199=0,"",[2]对账明细接口!$T199),"")</f>
        <v/>
      </c>
      <c r="Z199" s="113" t="str">
        <f aca="false">IFERROR(IF([2]对账明细接口!$U199=0,"",[2]对账明细接口!$U199),"")</f>
        <v/>
      </c>
      <c r="AA199" s="113" t="str">
        <f aca="false">IFERROR(IF([2]对账明细接口!$V199=0,"",[2]对账明细接口!$V199),"")</f>
        <v/>
      </c>
      <c r="AB199" s="10" t="str">
        <f aca="false">IFERROR(IF([2]对账明细接口!$W199=0,"",[2]对账明细接口!$W199),"")</f>
        <v/>
      </c>
      <c r="AC199" s="90" t="str">
        <f aca="false">IFERROR(IF([2]对账明细接口!$X200=0,"",[2]对账明细接口!$X200),"")</f>
        <v/>
      </c>
      <c r="AD199" s="90" t="str">
        <f aca="false">IFERROR(IF([2]对账明细接口!$Y200=0,"",[2]对账明细接口!$Y200),"")</f>
        <v/>
      </c>
      <c r="AE199" s="90" t="str">
        <f aca="false">IFERROR(IF([2]对账明细接口!$AA200=0,"",[2]对账明细接口!$AA200),"")</f>
        <v/>
      </c>
      <c r="AF199" s="90" t="str">
        <f aca="false">IFERROR(IF([2]对账明细接口!$AB200=0,"",[2]对账明细接口!$AB200),"")</f>
        <v/>
      </c>
      <c r="AG199" s="90" t="str">
        <f aca="false">IFERROR(IF([2]对账明细接口!$AC200=0,"",[2]对账明细接口!$AC200),"")</f>
        <v/>
      </c>
      <c r="AH199" s="90" t="str">
        <f aca="false">IFERROR(IF([2]对账明细接口!$AD200=0,"",[2]对账明细接口!$AD200),"")</f>
        <v/>
      </c>
    </row>
    <row r="200" customFormat="false" ht="13.5" hidden="false" customHeight="false" outlineLevel="0" collapsed="false">
      <c r="A200" s="109" t="n">
        <v>200</v>
      </c>
      <c r="B200" s="110" t="n">
        <f aca="false">IFERROR(IF([2]对账明细接口!$B$200=0,"",[2]对账明细接口!$B$200),"")</f>
        <v>46277</v>
      </c>
      <c r="C200" s="59" t="str">
        <f aca="false">IFERROR(IF([2]对账明细接口!$C$200=0,"",[2]对账明细接口!$C$200),"")</f>
        <v>马锦祥</v>
      </c>
      <c r="D200" s="59" t="str">
        <f aca="false">IFERROR(IF([2]对账明细接口!$D$200=0,"",[2]对账明细接口!$D$200),"")</f>
        <v>原料入库</v>
      </c>
      <c r="E200" s="59" t="str">
        <f aca="false">IFERROR(IF([2]对账明细接口!$E$200=0,"",[2]对账明细接口!$E$200),"")</f>
        <v>NO:0000790</v>
      </c>
      <c r="F200" s="59" t="str">
        <f aca="false">IFERROR(IF([2]对账明细接口!$F$200=0,"",[2]对账明细接口!$F$200),"")</f>
        <v>香梨</v>
      </c>
      <c r="G200" s="59" t="str">
        <f aca="false">IFERROR(IF([2]对账明细接口!$G$200=0,"",[2]对账明细接口!$G$200),"")</f>
        <v>香梨一级</v>
      </c>
      <c r="H200" s="60" t="n">
        <f aca="false">IFERROR(IF([2]对账明细接口!$H$200=0,"",[2]对账明细接口!$H$200),"")</f>
        <v>312</v>
      </c>
      <c r="I200" s="59" t="str">
        <f aca="false">IFERROR(IF([2]对账明细接口!$I$200=0,"",[2]对账明细接口!$I$200),"")</f>
        <v>筐</v>
      </c>
      <c r="J200" s="61" t="n">
        <f aca="false">IFERROR(IF([2]对账明细接口!$J$200=0,"",[2]对账明细接口!$J$200),"")</f>
        <v>5709.6</v>
      </c>
      <c r="K200" s="61" t="str">
        <f aca="false">IFERROR(IF([2]对账明细接口!$K$200=0,"",[2]对账明细接口!$K$200),"")</f>
        <v/>
      </c>
      <c r="L200" s="59" t="str">
        <f aca="false">IFERROR(IF([2]对账明细接口!$L$200=0,"",[2]对账明细接口!$L$200),"")</f>
        <v/>
      </c>
      <c r="M200" s="59" t="str">
        <f aca="false">IFERROR(IF([2]对账明细接口!$M$200=0,"",[2]对账明细接口!$M$200),"")</f>
        <v/>
      </c>
      <c r="N200" s="111" t="n">
        <f aca="false">IF($C200="",0,1)</f>
        <v>1</v>
      </c>
      <c r="O200" s="111" t="n">
        <f aca="false">N(O199)+$N200</f>
        <v>197</v>
      </c>
      <c r="S200" s="10" t="str">
        <f aca="false">IFERROR(IF([2]对账明细接口!$N200=0,"",[2]对账明细接口!$N200),"")</f>
        <v>公司杂周转筐</v>
      </c>
      <c r="T200" s="112" t="str">
        <f aca="false">IFERROR(IF([2]对账明细接口!$O200=0,"",[2]对账明细接口!$O200),"")</f>
        <v/>
      </c>
      <c r="U200" s="112" t="str">
        <f aca="false">IFERROR(IF([2]对账明细接口!$P200=0,"",[2]对账明细接口!$P200),"")</f>
        <v/>
      </c>
      <c r="V200" s="112" t="n">
        <f aca="false">IFERROR(IF([2]对账明细接口!$Q200=0,"",[2]对账明细接口!$Q200),"")</f>
        <v>312</v>
      </c>
      <c r="W200" s="10" t="str">
        <f aca="false">IFERROR(IF([2]对账明细接口!$R200=0,"",[2]对账明细接口!$R200),"")</f>
        <v>新N*K7V85</v>
      </c>
      <c r="X200" s="10" t="str">
        <f aca="false">IFERROR(IF([2]对账明细接口!$S200=0,"",[2]对账明细接口!$S200),"")</f>
        <v>公司筐</v>
      </c>
      <c r="Y200" s="10" t="str">
        <f aca="false">IFERROR(IF([2]对账明细接口!$T200=0,"",[2]对账明细接口!$T200),"")</f>
        <v/>
      </c>
      <c r="Z200" s="113" t="str">
        <f aca="false">IFERROR(IF([2]对账明细接口!$U200=0,"",[2]对账明细接口!$U200),"")</f>
        <v/>
      </c>
      <c r="AA200" s="113" t="str">
        <f aca="false">IFERROR(IF([2]对账明细接口!$V200=0,"",[2]对账明细接口!$V200),"")</f>
        <v/>
      </c>
      <c r="AB200" s="10" t="str">
        <f aca="false">IFERROR(IF([2]对账明细接口!$W200=0,"",[2]对账明细接口!$W200),"")</f>
        <v/>
      </c>
      <c r="AC200" s="90" t="str">
        <f aca="false">IFERROR(IF([2]对账明细接口!$X201=0,"",[2]对账明细接口!$X201),"")</f>
        <v/>
      </c>
      <c r="AD200" s="90" t="str">
        <f aca="false">IFERROR(IF([2]对账明细接口!$Y201=0,"",[2]对账明细接口!$Y201),"")</f>
        <v/>
      </c>
      <c r="AE200" s="90" t="str">
        <f aca="false">IFERROR(IF([2]对账明细接口!$AA201=0,"",[2]对账明细接口!$AA201),"")</f>
        <v/>
      </c>
      <c r="AF200" s="90" t="str">
        <f aca="false">IFERROR(IF([2]对账明细接口!$AB201=0,"",[2]对账明细接口!$AB201),"")</f>
        <v/>
      </c>
      <c r="AG200" s="90" t="str">
        <f aca="false">IFERROR(IF([2]对账明细接口!$AC201=0,"",[2]对账明细接口!$AC201),"")</f>
        <v/>
      </c>
      <c r="AH200" s="90" t="str">
        <f aca="false">IFERROR(IF([2]对账明细接口!$AD201=0,"",[2]对账明细接口!$AD201),"")</f>
        <v/>
      </c>
    </row>
    <row r="201" customFormat="false" ht="13.5" hidden="false" customHeight="false" outlineLevel="0" collapsed="false">
      <c r="A201" s="109" t="n">
        <v>201</v>
      </c>
      <c r="B201" s="110" t="n">
        <f aca="false">IFERROR(IF([2]对账明细接口!$B$201=0,"",[2]对账明细接口!$B$201),"")</f>
        <v>46277</v>
      </c>
      <c r="C201" s="59" t="str">
        <f aca="false">IFERROR(IF([2]对账明细接口!$C$201=0,"",[2]对账明细接口!$C$201),"")</f>
        <v>马锦祥</v>
      </c>
      <c r="D201" s="59" t="str">
        <f aca="false">IFERROR(IF([2]对账明细接口!$D$201=0,"",[2]对账明细接口!$D$201),"")</f>
        <v>原料入库</v>
      </c>
      <c r="E201" s="59" t="str">
        <f aca="false">IFERROR(IF([2]对账明细接口!$E$201=0,"",[2]对账明细接口!$E$201),"")</f>
        <v>NO:0000790</v>
      </c>
      <c r="F201" s="59" t="str">
        <f aca="false">IFERROR(IF([2]对账明细接口!$F$201=0,"",[2]对账明细接口!$F$201),"")</f>
        <v>香梨</v>
      </c>
      <c r="G201" s="59" t="str">
        <f aca="false">IFERROR(IF([2]对账明细接口!$G$201=0,"",[2]对账明细接口!$G$201),"")</f>
        <v>香梨二级</v>
      </c>
      <c r="H201" s="60" t="n">
        <f aca="false">IFERROR(IF([2]对账明细接口!$H$201=0,"",[2]对账明细接口!$H$201),"")</f>
        <v>53</v>
      </c>
      <c r="I201" s="59" t="str">
        <f aca="false">IFERROR(IF([2]对账明细接口!$I$201=0,"",[2]对账明细接口!$I$201),"")</f>
        <v>筐</v>
      </c>
      <c r="J201" s="61" t="n">
        <f aca="false">IFERROR(IF([2]对账明细接口!$J$201=0,"",[2]对账明细接口!$J$201),"")</f>
        <v>1181.9</v>
      </c>
      <c r="K201" s="61" t="str">
        <f aca="false">IFERROR(IF([2]对账明细接口!$K$201=0,"",[2]对账明细接口!$K$201),"")</f>
        <v/>
      </c>
      <c r="L201" s="59" t="str">
        <f aca="false">IFERROR(IF([2]对账明细接口!$L$201=0,"",[2]对账明细接口!$L$201),"")</f>
        <v/>
      </c>
      <c r="M201" s="59" t="str">
        <f aca="false">IFERROR(IF([2]对账明细接口!$M$201=0,"",[2]对账明细接口!$M$201),"")</f>
        <v/>
      </c>
      <c r="N201" s="111" t="n">
        <f aca="false">IF($C201="",0,1)</f>
        <v>1</v>
      </c>
      <c r="O201" s="111" t="n">
        <f aca="false">N(O200)+$N201</f>
        <v>198</v>
      </c>
      <c r="S201" s="10" t="str">
        <f aca="false">IFERROR(IF([2]对账明细接口!$N201=0,"",[2]对账明细接口!$N201),"")</f>
        <v>公司杂周转筐</v>
      </c>
      <c r="T201" s="112" t="str">
        <f aca="false">IFERROR(IF([2]对账明细接口!$O201=0,"",[2]对账明细接口!$O201),"")</f>
        <v/>
      </c>
      <c r="U201" s="112" t="str">
        <f aca="false">IFERROR(IF([2]对账明细接口!$P201=0,"",[2]对账明细接口!$P201),"")</f>
        <v/>
      </c>
      <c r="V201" s="112" t="n">
        <f aca="false">IFERROR(IF([2]对账明细接口!$Q201=0,"",[2]对账明细接口!$Q201),"")</f>
        <v>53</v>
      </c>
      <c r="W201" s="10" t="str">
        <f aca="false">IFERROR(IF([2]对账明细接口!$R201=0,"",[2]对账明细接口!$R201),"")</f>
        <v>新N*K7V85</v>
      </c>
      <c r="X201" s="10" t="str">
        <f aca="false">IFERROR(IF([2]对账明细接口!$S201=0,"",[2]对账明细接口!$S201),"")</f>
        <v>公司筐</v>
      </c>
      <c r="Y201" s="10" t="str">
        <f aca="false">IFERROR(IF([2]对账明细接口!$T201=0,"",[2]对账明细接口!$T201),"")</f>
        <v/>
      </c>
      <c r="Z201" s="113" t="str">
        <f aca="false">IFERROR(IF([2]对账明细接口!$U201=0,"",[2]对账明细接口!$U201),"")</f>
        <v/>
      </c>
      <c r="AA201" s="113" t="str">
        <f aca="false">IFERROR(IF([2]对账明细接口!$V201=0,"",[2]对账明细接口!$V201),"")</f>
        <v/>
      </c>
      <c r="AB201" s="10" t="str">
        <f aca="false">IFERROR(IF([2]对账明细接口!$W201=0,"",[2]对账明细接口!$W201),"")</f>
        <v/>
      </c>
      <c r="AC201" s="90" t="str">
        <f aca="false">IFERROR(IF([2]对账明细接口!$X202=0,"",[2]对账明细接口!$X202),"")</f>
        <v/>
      </c>
      <c r="AD201" s="90" t="str">
        <f aca="false">IFERROR(IF([2]对账明细接口!$Y202=0,"",[2]对账明细接口!$Y202),"")</f>
        <v/>
      </c>
      <c r="AE201" s="90" t="str">
        <f aca="false">IFERROR(IF([2]对账明细接口!$AA202=0,"",[2]对账明细接口!$AA202),"")</f>
        <v/>
      </c>
      <c r="AF201" s="90" t="str">
        <f aca="false">IFERROR(IF([2]对账明细接口!$AB202=0,"",[2]对账明细接口!$AB202),"")</f>
        <v/>
      </c>
      <c r="AG201" s="90" t="str">
        <f aca="false">IFERROR(IF([2]对账明细接口!$AC202=0,"",[2]对账明细接口!$AC202),"")</f>
        <v/>
      </c>
      <c r="AH201" s="90" t="str">
        <f aca="false">IFERROR(IF([2]对账明细接口!$AD202=0,"",[2]对账明细接口!$AD202),"")</f>
        <v/>
      </c>
    </row>
    <row r="202" customFormat="false" ht="13.5" hidden="false" customHeight="false" outlineLevel="0" collapsed="false">
      <c r="A202" s="109" t="n">
        <v>202</v>
      </c>
      <c r="B202" s="110" t="n">
        <f aca="false">IFERROR(IF([2]对账明细接口!$B$202=0,"",[2]对账明细接口!$B$202),"")</f>
        <v>46277</v>
      </c>
      <c r="C202" s="59" t="str">
        <f aca="false">IFERROR(IF([2]对账明细接口!$C$202=0,"",[2]对账明细接口!$C$202),"")</f>
        <v>马锦祥</v>
      </c>
      <c r="D202" s="59" t="str">
        <f aca="false">IFERROR(IF([2]对账明细接口!$D$202=0,"",[2]对账明细接口!$D$202),"")</f>
        <v>原料入库</v>
      </c>
      <c r="E202" s="59" t="str">
        <f aca="false">IFERROR(IF([2]对账明细接口!$E$202=0,"",[2]对账明细接口!$E$202),"")</f>
        <v>NO:0000790</v>
      </c>
      <c r="F202" s="59" t="str">
        <f aca="false">IFERROR(IF([2]对账明细接口!$F$202=0,"",[2]对账明细接口!$F$202),"")</f>
        <v>香梨</v>
      </c>
      <c r="G202" s="59" t="str">
        <f aca="false">IFERROR(IF([2]对账明细接口!$G$202=0,"",[2]对账明细接口!$G$202),"")</f>
        <v>香梨副特</v>
      </c>
      <c r="H202" s="60" t="n">
        <f aca="false">IFERROR(IF([2]对账明细接口!$H$202=0,"",[2]对账明细接口!$H$202),"")</f>
        <v>35</v>
      </c>
      <c r="I202" s="59" t="str">
        <f aca="false">IFERROR(IF([2]对账明细接口!$I$202=0,"",[2]对账明细接口!$I$202),"")</f>
        <v>筐</v>
      </c>
      <c r="J202" s="61" t="n">
        <f aca="false">IFERROR(IF([2]对账明细接口!$J$202=0,"",[2]对账明细接口!$J$202),"")</f>
        <v>640.5</v>
      </c>
      <c r="K202" s="61" t="str">
        <f aca="false">IFERROR(IF([2]对账明细接口!$K$202=0,"",[2]对账明细接口!$K$202),"")</f>
        <v/>
      </c>
      <c r="L202" s="59" t="str">
        <f aca="false">IFERROR(IF([2]对账明细接口!$L$202=0,"",[2]对账明细接口!$L$202),"")</f>
        <v/>
      </c>
      <c r="M202" s="59" t="str">
        <f aca="false">IFERROR(IF([2]对账明细接口!$M$202=0,"",[2]对账明细接口!$M$202),"")</f>
        <v/>
      </c>
      <c r="N202" s="111" t="n">
        <f aca="false">IF($C202="",0,1)</f>
        <v>1</v>
      </c>
      <c r="O202" s="111" t="n">
        <f aca="false">N(O201)+$N202</f>
        <v>199</v>
      </c>
      <c r="S202" s="10" t="str">
        <f aca="false">IFERROR(IF([2]对账明细接口!$N202=0,"",[2]对账明细接口!$N202),"")</f>
        <v>公司杂周转筐</v>
      </c>
      <c r="T202" s="112" t="str">
        <f aca="false">IFERROR(IF([2]对账明细接口!$O202=0,"",[2]对账明细接口!$O202),"")</f>
        <v/>
      </c>
      <c r="U202" s="112" t="str">
        <f aca="false">IFERROR(IF([2]对账明细接口!$P202=0,"",[2]对账明细接口!$P202),"")</f>
        <v/>
      </c>
      <c r="V202" s="112" t="n">
        <f aca="false">IFERROR(IF([2]对账明细接口!$Q202=0,"",[2]对账明细接口!$Q202),"")</f>
        <v>35</v>
      </c>
      <c r="W202" s="10" t="str">
        <f aca="false">IFERROR(IF([2]对账明细接口!$R202=0,"",[2]对账明细接口!$R202),"")</f>
        <v>新N*K7V85</v>
      </c>
      <c r="X202" s="10" t="str">
        <f aca="false">IFERROR(IF([2]对账明细接口!$S202=0,"",[2]对账明细接口!$S202),"")</f>
        <v>公司筐</v>
      </c>
      <c r="Y202" s="10" t="str">
        <f aca="false">IFERROR(IF([2]对账明细接口!$T202=0,"",[2]对账明细接口!$T202),"")</f>
        <v/>
      </c>
      <c r="Z202" s="113" t="str">
        <f aca="false">IFERROR(IF([2]对账明细接口!$U202=0,"",[2]对账明细接口!$U202),"")</f>
        <v/>
      </c>
      <c r="AA202" s="113" t="str">
        <f aca="false">IFERROR(IF([2]对账明细接口!$V202=0,"",[2]对账明细接口!$V202),"")</f>
        <v/>
      </c>
      <c r="AB202" s="10" t="str">
        <f aca="false">IFERROR(IF([2]对账明细接口!$W202=0,"",[2]对账明细接口!$W202),"")</f>
        <v/>
      </c>
      <c r="AC202" s="90" t="str">
        <f aca="false">IFERROR(IF([2]对账明细接口!$X203=0,"",[2]对账明细接口!$X203),"")</f>
        <v/>
      </c>
      <c r="AD202" s="90" t="str">
        <f aca="false">IFERROR(IF([2]对账明细接口!$Y203=0,"",[2]对账明细接口!$Y203),"")</f>
        <v/>
      </c>
      <c r="AE202" s="90" t="str">
        <f aca="false">IFERROR(IF([2]对账明细接口!$AA203=0,"",[2]对账明细接口!$AA203),"")</f>
        <v/>
      </c>
      <c r="AF202" s="90" t="str">
        <f aca="false">IFERROR(IF([2]对账明细接口!$AB203=0,"",[2]对账明细接口!$AB203),"")</f>
        <v/>
      </c>
      <c r="AG202" s="90" t="str">
        <f aca="false">IFERROR(IF([2]对账明细接口!$AC203=0,"",[2]对账明细接口!$AC203),"")</f>
        <v/>
      </c>
      <c r="AH202" s="90" t="str">
        <f aca="false">IFERROR(IF([2]对账明细接口!$AD203=0,"",[2]对账明细接口!$AD203),"")</f>
        <v/>
      </c>
    </row>
    <row r="203" customFormat="false" ht="13.5" hidden="false" customHeight="false" outlineLevel="0" collapsed="false">
      <c r="A203" s="109" t="n">
        <v>203</v>
      </c>
      <c r="B203" s="110" t="n">
        <f aca="false">IFERROR(IF([2]对账明细接口!$B$203=0,"",[2]对账明细接口!$B$203),"")</f>
        <v>46277</v>
      </c>
      <c r="C203" s="59" t="str">
        <f aca="false">IFERROR(IF([2]对账明细接口!$C$203=0,"",[2]对账明细接口!$C$203),"")</f>
        <v>王照雪</v>
      </c>
      <c r="D203" s="59" t="str">
        <f aca="false">IFERROR(IF([2]对账明细接口!$D$203=0,"",[2]对账明细接口!$D$203),"")</f>
        <v>原料入库</v>
      </c>
      <c r="E203" s="59" t="str">
        <f aca="false">IFERROR(IF([2]对账明细接口!$E$203=0,"",[2]对账明细接口!$E$203),"")</f>
        <v>NO:0000792</v>
      </c>
      <c r="F203" s="59" t="str">
        <f aca="false">IFERROR(IF([2]对账明细接口!$F$203=0,"",[2]对账明细接口!$F$203),"")</f>
        <v>苹果</v>
      </c>
      <c r="G203" s="59" t="str">
        <f aca="false">IFERROR(IF([2]对账明细接口!$G$203=0,"",[2]对账明细接口!$G$203),"")</f>
        <v>新世纪一级</v>
      </c>
      <c r="H203" s="60" t="n">
        <f aca="false">IFERROR(IF([2]对账明细接口!$H$203=0,"",[2]对账明细接口!$H$203),"")</f>
        <v>110</v>
      </c>
      <c r="I203" s="59" t="str">
        <f aca="false">IFERROR(IF([2]对账明细接口!$I$203=0,"",[2]对账明细接口!$I$203),"")</f>
        <v>筐</v>
      </c>
      <c r="J203" s="61" t="n">
        <f aca="false">IFERROR(IF([2]对账明细接口!$J$203=0,"",[2]对账明细接口!$J$203),"")</f>
        <v>1903</v>
      </c>
      <c r="K203" s="61" t="str">
        <f aca="false">IFERROR(IF([2]对账明细接口!$K$203=0,"",[2]对账明细接口!$K$203),"")</f>
        <v/>
      </c>
      <c r="L203" s="59" t="str">
        <f aca="false">IFERROR(IF([2]对账明细接口!$L$203=0,"",[2]对账明细接口!$L$203),"")</f>
        <v/>
      </c>
      <c r="M203" s="59" t="str">
        <f aca="false">IFERROR(IF([2]对账明细接口!$M$203=0,"",[2]对账明细接口!$M$203),"")</f>
        <v/>
      </c>
      <c r="N203" s="111" t="n">
        <f aca="false">IF($C203="",0,1)</f>
        <v>1</v>
      </c>
      <c r="O203" s="111" t="n">
        <f aca="false">N(O202)+$N203</f>
        <v>200</v>
      </c>
      <c r="S203" s="10" t="str">
        <f aca="false">IFERROR(IF([2]对账明细接口!$N203=0,"",[2]对账明细接口!$N203),"")</f>
        <v>公司杂周转筐</v>
      </c>
      <c r="T203" s="112" t="str">
        <f aca="false">IFERROR(IF([2]对账明细接口!$O203=0,"",[2]对账明细接口!$O203),"")</f>
        <v/>
      </c>
      <c r="U203" s="112" t="str">
        <f aca="false">IFERROR(IF([2]对账明细接口!$P203=0,"",[2]对账明细接口!$P203),"")</f>
        <v/>
      </c>
      <c r="V203" s="112" t="n">
        <f aca="false">IFERROR(IF([2]对账明细接口!$Q203=0,"",[2]对账明细接口!$Q203),"")</f>
        <v>110</v>
      </c>
      <c r="W203" s="10" t="str">
        <f aca="false">IFERROR(IF([2]对账明细接口!$R203=0,"",[2]对账明细接口!$R203),"")</f>
        <v>豫L*88X19</v>
      </c>
      <c r="X203" s="10" t="str">
        <f aca="false">IFERROR(IF([2]对账明细接口!$S203=0,"",[2]对账明细接口!$S203),"")</f>
        <v>公司筐</v>
      </c>
      <c r="Y203" s="10" t="str">
        <f aca="false">IFERROR(IF([2]对账明细接口!$T203=0,"",[2]对账明细接口!$T203),"")</f>
        <v/>
      </c>
      <c r="Z203" s="113" t="str">
        <f aca="false">IFERROR(IF([2]对账明细接口!$U203=0,"",[2]对账明细接口!$U203),"")</f>
        <v/>
      </c>
      <c r="AA203" s="113" t="str">
        <f aca="false">IFERROR(IF([2]对账明细接口!$V203=0,"",[2]对账明细接口!$V203),"")</f>
        <v/>
      </c>
      <c r="AB203" s="10" t="str">
        <f aca="false">IFERROR(IF([2]对账明细接口!$W203=0,"",[2]对账明细接口!$W203),"")</f>
        <v/>
      </c>
      <c r="AC203" s="90" t="str">
        <f aca="false">IFERROR(IF([2]对账明细接口!$X204=0,"",[2]对账明细接口!$X204),"")</f>
        <v/>
      </c>
      <c r="AD203" s="90" t="str">
        <f aca="false">IFERROR(IF([2]对账明细接口!$Y204=0,"",[2]对账明细接口!$Y204),"")</f>
        <v/>
      </c>
      <c r="AE203" s="90" t="str">
        <f aca="false">IFERROR(IF([2]对账明细接口!$AA204=0,"",[2]对账明细接口!$AA204),"")</f>
        <v/>
      </c>
      <c r="AF203" s="90" t="str">
        <f aca="false">IFERROR(IF([2]对账明细接口!$AB204=0,"",[2]对账明细接口!$AB204),"")</f>
        <v/>
      </c>
      <c r="AG203" s="90" t="str">
        <f aca="false">IFERROR(IF([2]对账明细接口!$AC204=0,"",[2]对账明细接口!$AC204),"")</f>
        <v/>
      </c>
      <c r="AH203" s="90" t="str">
        <f aca="false">IFERROR(IF([2]对账明细接口!$AD204=0,"",[2]对账明细接口!$AD204),"")</f>
        <v/>
      </c>
    </row>
    <row r="204" customFormat="false" ht="13.5" hidden="false" customHeight="false" outlineLevel="0" collapsed="false">
      <c r="A204" s="109" t="n">
        <v>204</v>
      </c>
      <c r="B204" s="110" t="n">
        <f aca="false">IFERROR(IF([2]对账明细接口!$B$204=0,"",[2]对账明细接口!$B$204),"")</f>
        <v>46277</v>
      </c>
      <c r="C204" s="59" t="str">
        <f aca="false">IFERROR(IF([2]对账明细接口!$C$204=0,"",[2]对账明细接口!$C$204),"")</f>
        <v>王照雪</v>
      </c>
      <c r="D204" s="59" t="str">
        <f aca="false">IFERROR(IF([2]对账明细接口!$D$204=0,"",[2]对账明细接口!$D$204),"")</f>
        <v>原料入库</v>
      </c>
      <c r="E204" s="59" t="str">
        <f aca="false">IFERROR(IF([2]对账明细接口!$E$204=0,"",[2]对账明细接口!$E$204),"")</f>
        <v>NO:0000792</v>
      </c>
      <c r="F204" s="59" t="str">
        <f aca="false">IFERROR(IF([2]对账明细接口!$F$204=0,"",[2]对账明细接口!$F$204),"")</f>
        <v>苹果</v>
      </c>
      <c r="G204" s="59" t="str">
        <f aca="false">IFERROR(IF([2]对账明细接口!$G$204=0,"",[2]对账明细接口!$G$204),"")</f>
        <v>新世纪二级</v>
      </c>
      <c r="H204" s="60" t="n">
        <f aca="false">IFERROR(IF([2]对账明细接口!$H$204=0,"",[2]对账明细接口!$H$204),"")</f>
        <v>58</v>
      </c>
      <c r="I204" s="59" t="str">
        <f aca="false">IFERROR(IF([2]对账明细接口!$I$204=0,"",[2]对账明细接口!$I$204),"")</f>
        <v>筐</v>
      </c>
      <c r="J204" s="61" t="n">
        <f aca="false">IFERROR(IF([2]对账明细接口!$J$204=0,"",[2]对账明细接口!$J$204),"")</f>
        <v>1293.4</v>
      </c>
      <c r="K204" s="61" t="str">
        <f aca="false">IFERROR(IF([2]对账明细接口!$K$204=0,"",[2]对账明细接口!$K$204),"")</f>
        <v/>
      </c>
      <c r="L204" s="59" t="str">
        <f aca="false">IFERROR(IF([2]对账明细接口!$L$204=0,"",[2]对账明细接口!$L$204),"")</f>
        <v/>
      </c>
      <c r="M204" s="59" t="str">
        <f aca="false">IFERROR(IF([2]对账明细接口!$M$204=0,"",[2]对账明细接口!$M$204),"")</f>
        <v/>
      </c>
      <c r="N204" s="111" t="n">
        <f aca="false">IF($C204="",0,1)</f>
        <v>1</v>
      </c>
      <c r="O204" s="111" t="n">
        <f aca="false">N(O203)+$N204</f>
        <v>201</v>
      </c>
      <c r="S204" s="10" t="str">
        <f aca="false">IFERROR(IF([2]对账明细接口!$N204=0,"",[2]对账明细接口!$N204),"")</f>
        <v>公司杂周转筐</v>
      </c>
      <c r="T204" s="112" t="str">
        <f aca="false">IFERROR(IF([2]对账明细接口!$O204=0,"",[2]对账明细接口!$O204),"")</f>
        <v/>
      </c>
      <c r="U204" s="112" t="str">
        <f aca="false">IFERROR(IF([2]对账明细接口!$P204=0,"",[2]对账明细接口!$P204),"")</f>
        <v/>
      </c>
      <c r="V204" s="112" t="n">
        <f aca="false">IFERROR(IF([2]对账明细接口!$Q204=0,"",[2]对账明细接口!$Q204),"")</f>
        <v>58</v>
      </c>
      <c r="W204" s="10" t="str">
        <f aca="false">IFERROR(IF([2]对账明细接口!$R204=0,"",[2]对账明细接口!$R204),"")</f>
        <v>豫L*88X19</v>
      </c>
      <c r="X204" s="10" t="str">
        <f aca="false">IFERROR(IF([2]对账明细接口!$S204=0,"",[2]对账明细接口!$S204),"")</f>
        <v>公司筐</v>
      </c>
      <c r="Y204" s="10" t="str">
        <f aca="false">IFERROR(IF([2]对账明细接口!$T204=0,"",[2]对账明细接口!$T204),"")</f>
        <v/>
      </c>
      <c r="Z204" s="113" t="str">
        <f aca="false">IFERROR(IF([2]对账明细接口!$U204=0,"",[2]对账明细接口!$U204),"")</f>
        <v/>
      </c>
      <c r="AA204" s="113" t="str">
        <f aca="false">IFERROR(IF([2]对账明细接口!$V204=0,"",[2]对账明细接口!$V204),"")</f>
        <v/>
      </c>
      <c r="AB204" s="10" t="str">
        <f aca="false">IFERROR(IF([2]对账明细接口!$W204=0,"",[2]对账明细接口!$W204),"")</f>
        <v/>
      </c>
      <c r="AC204" s="90" t="str">
        <f aca="false">IFERROR(IF([2]对账明细接口!$X205=0,"",[2]对账明细接口!$X205),"")</f>
        <v/>
      </c>
      <c r="AD204" s="90" t="str">
        <f aca="false">IFERROR(IF([2]对账明细接口!$Y205=0,"",[2]对账明细接口!$Y205),"")</f>
        <v/>
      </c>
      <c r="AE204" s="90" t="str">
        <f aca="false">IFERROR(IF([2]对账明细接口!$AA205=0,"",[2]对账明细接口!$AA205),"")</f>
        <v/>
      </c>
      <c r="AF204" s="90" t="str">
        <f aca="false">IFERROR(IF([2]对账明细接口!$AB205=0,"",[2]对账明细接口!$AB205),"")</f>
        <v/>
      </c>
      <c r="AG204" s="90" t="str">
        <f aca="false">IFERROR(IF([2]对账明细接口!$AC205=0,"",[2]对账明细接口!$AC205),"")</f>
        <v/>
      </c>
      <c r="AH204" s="90" t="str">
        <f aca="false">IFERROR(IF([2]对账明细接口!$AD205=0,"",[2]对账明细接口!$AD205),"")</f>
        <v/>
      </c>
    </row>
    <row r="205" customFormat="false" ht="13.5" hidden="false" customHeight="false" outlineLevel="0" collapsed="false">
      <c r="A205" s="109" t="n">
        <v>205</v>
      </c>
      <c r="B205" s="110" t="n">
        <f aca="false">IFERROR(IF([2]对账明细接口!$B$205=0,"",[2]对账明细接口!$B$205),"")</f>
        <v>46277</v>
      </c>
      <c r="C205" s="59" t="str">
        <f aca="false">IFERROR(IF([2]对账明细接口!$C$205=0,"",[2]对账明细接口!$C$205),"")</f>
        <v>麦麦提</v>
      </c>
      <c r="D205" s="59" t="str">
        <f aca="false">IFERROR(IF([2]对账明细接口!$D$205=0,"",[2]对账明细接口!$D$205),"")</f>
        <v>原料入库</v>
      </c>
      <c r="E205" s="59" t="str">
        <f aca="false">IFERROR(IF([2]对账明细接口!$E$205=0,"",[2]对账明细接口!$E$205),"")</f>
        <v>NO:0000793</v>
      </c>
      <c r="F205" s="59" t="str">
        <f aca="false">IFERROR(IF([2]对账明细接口!$F$205=0,"",[2]对账明细接口!$F$205),"")</f>
        <v>香梨</v>
      </c>
      <c r="G205" s="59" t="str">
        <f aca="false">IFERROR(IF([2]对账明细接口!$G$205=0,"",[2]对账明细接口!$G$205),"")</f>
        <v>香梨特级</v>
      </c>
      <c r="H205" s="60" t="n">
        <f aca="false">IFERROR(IF([2]对账明细接口!$H$205=0,"",[2]对账明细接口!$H$205),"")</f>
        <v>291</v>
      </c>
      <c r="I205" s="59" t="str">
        <f aca="false">IFERROR(IF([2]对账明细接口!$I$205=0,"",[2]对账明细接口!$I$205),"")</f>
        <v>筐</v>
      </c>
      <c r="J205" s="61" t="n">
        <f aca="false">IFERROR(IF([2]对账明细接口!$J$205=0,"",[2]对账明细接口!$J$205),"")</f>
        <v>5325.3</v>
      </c>
      <c r="K205" s="61" t="str">
        <f aca="false">IFERROR(IF([2]对账明细接口!$K$205=0,"",[2]对账明细接口!$K$205),"")</f>
        <v/>
      </c>
      <c r="L205" s="59" t="str">
        <f aca="false">IFERROR(IF([2]对账明细接口!$L$205=0,"",[2]对账明细接口!$L$205),"")</f>
        <v/>
      </c>
      <c r="M205" s="59" t="str">
        <f aca="false">IFERROR(IF([2]对账明细接口!$M$205=0,"",[2]对账明细接口!$M$205),"")</f>
        <v/>
      </c>
      <c r="N205" s="111" t="n">
        <f aca="false">IF($C205="",0,1)</f>
        <v>1</v>
      </c>
      <c r="O205" s="111" t="n">
        <f aca="false">N(O204)+$N205</f>
        <v>202</v>
      </c>
      <c r="S205" s="10" t="str">
        <f aca="false">IFERROR(IF([2]对账明细接口!$N205=0,"",[2]对账明细接口!$N205),"")</f>
        <v>公司红周转筐</v>
      </c>
      <c r="T205" s="112" t="str">
        <f aca="false">IFERROR(IF([2]对账明细接口!$O205=0,"",[2]对账明细接口!$O205),"")</f>
        <v/>
      </c>
      <c r="U205" s="112" t="str">
        <f aca="false">IFERROR(IF([2]对账明细接口!$P205=0,"",[2]对账明细接口!$P205),"")</f>
        <v/>
      </c>
      <c r="V205" s="112" t="n">
        <f aca="false">IFERROR(IF([2]对账明细接口!$Q205=0,"",[2]对账明细接口!$Q205),"")</f>
        <v>291</v>
      </c>
      <c r="W205" s="10" t="str">
        <f aca="false">IFERROR(IF([2]对账明细接口!$R205=0,"",[2]对账明细接口!$R205),"")</f>
        <v>新A*G0554</v>
      </c>
      <c r="X205" s="10" t="str">
        <f aca="false">IFERROR(IF([2]对账明细接口!$S205=0,"",[2]对账明细接口!$S205),"")</f>
        <v>公司筐</v>
      </c>
      <c r="Y205" s="10" t="str">
        <f aca="false">IFERROR(IF([2]对账明细接口!$T205=0,"",[2]对账明细接口!$T205),"")</f>
        <v/>
      </c>
      <c r="Z205" s="113" t="str">
        <f aca="false">IFERROR(IF([2]对账明细接口!$U205=0,"",[2]对账明细接口!$U205),"")</f>
        <v/>
      </c>
      <c r="AA205" s="113" t="str">
        <f aca="false">IFERROR(IF([2]对账明细接口!$V205=0,"",[2]对账明细接口!$V205),"")</f>
        <v/>
      </c>
      <c r="AB205" s="10" t="str">
        <f aca="false">IFERROR(IF([2]对账明细接口!$W205=0,"",[2]对账明细接口!$W205),"")</f>
        <v/>
      </c>
      <c r="AC205" s="90" t="str">
        <f aca="false">IFERROR(IF([2]对账明细接口!$X206=0,"",[2]对账明细接口!$X206),"")</f>
        <v/>
      </c>
      <c r="AD205" s="90" t="str">
        <f aca="false">IFERROR(IF([2]对账明细接口!$Y206=0,"",[2]对账明细接口!$Y206),"")</f>
        <v/>
      </c>
      <c r="AE205" s="90" t="str">
        <f aca="false">IFERROR(IF([2]对账明细接口!$AA206=0,"",[2]对账明细接口!$AA206),"")</f>
        <v/>
      </c>
      <c r="AF205" s="90" t="str">
        <f aca="false">IFERROR(IF([2]对账明细接口!$AB206=0,"",[2]对账明细接口!$AB206),"")</f>
        <v/>
      </c>
      <c r="AG205" s="90" t="str">
        <f aca="false">IFERROR(IF([2]对账明细接口!$AC206=0,"",[2]对账明细接口!$AC206),"")</f>
        <v/>
      </c>
      <c r="AH205" s="90" t="str">
        <f aca="false">IFERROR(IF([2]对账明细接口!$AD206=0,"",[2]对账明细接口!$AD206),"")</f>
        <v/>
      </c>
    </row>
    <row r="206" customFormat="false" ht="13.5" hidden="false" customHeight="false" outlineLevel="0" collapsed="false">
      <c r="A206" s="109" t="n">
        <v>206</v>
      </c>
      <c r="B206" s="110" t="n">
        <f aca="false">IFERROR(IF([2]对账明细接口!$B$206=0,"",[2]对账明细接口!$B$206),"")</f>
        <v>46277</v>
      </c>
      <c r="C206" s="59" t="str">
        <f aca="false">IFERROR(IF([2]对账明细接口!$C$206=0,"",[2]对账明细接口!$C$206),"")</f>
        <v>麦麦提</v>
      </c>
      <c r="D206" s="59" t="str">
        <f aca="false">IFERROR(IF([2]对账明细接口!$D$206=0,"",[2]对账明细接口!$D$206),"")</f>
        <v>原料入库</v>
      </c>
      <c r="E206" s="59" t="str">
        <f aca="false">IFERROR(IF([2]对账明细接口!$E$206=0,"",[2]对账明细接口!$E$206),"")</f>
        <v>NO:0000793</v>
      </c>
      <c r="F206" s="59" t="str">
        <f aca="false">IFERROR(IF([2]对账明细接口!$F$206=0,"",[2]对账明细接口!$F$206),"")</f>
        <v>香梨</v>
      </c>
      <c r="G206" s="59" t="str">
        <f aca="false">IFERROR(IF([2]对账明细接口!$G$206=0,"",[2]对账明细接口!$G$206),"")</f>
        <v>香梨一级</v>
      </c>
      <c r="H206" s="60" t="n">
        <f aca="false">IFERROR(IF([2]对账明细接口!$H$206=0,"",[2]对账明细接口!$H$206),"")</f>
        <v>194</v>
      </c>
      <c r="I206" s="59" t="str">
        <f aca="false">IFERROR(IF([2]对账明细接口!$I$206=0,"",[2]对账明细接口!$I$206),"")</f>
        <v>筐</v>
      </c>
      <c r="J206" s="61" t="n">
        <f aca="false">IFERROR(IF([2]对账明细接口!$J$206=0,"",[2]对账明细接口!$J$206),"")</f>
        <v>3550.2</v>
      </c>
      <c r="K206" s="61" t="str">
        <f aca="false">IFERROR(IF([2]对账明细接口!$K$206=0,"",[2]对账明细接口!$K$206),"")</f>
        <v/>
      </c>
      <c r="L206" s="59" t="str">
        <f aca="false">IFERROR(IF([2]对账明细接口!$L$206=0,"",[2]对账明细接口!$L$206),"")</f>
        <v/>
      </c>
      <c r="M206" s="59" t="str">
        <f aca="false">IFERROR(IF([2]对账明细接口!$M$206=0,"",[2]对账明细接口!$M$206),"")</f>
        <v/>
      </c>
      <c r="N206" s="111" t="n">
        <f aca="false">IF($C206="",0,1)</f>
        <v>1</v>
      </c>
      <c r="O206" s="111" t="n">
        <f aca="false">N(O205)+$N206</f>
        <v>203</v>
      </c>
      <c r="S206" s="10" t="str">
        <f aca="false">IFERROR(IF([2]对账明细接口!$N206=0,"",[2]对账明细接口!$N206),"")</f>
        <v>公司红周转筐</v>
      </c>
      <c r="T206" s="112" t="str">
        <f aca="false">IFERROR(IF([2]对账明细接口!$O206=0,"",[2]对账明细接口!$O206),"")</f>
        <v/>
      </c>
      <c r="U206" s="112" t="str">
        <f aca="false">IFERROR(IF([2]对账明细接口!$P206=0,"",[2]对账明细接口!$P206),"")</f>
        <v/>
      </c>
      <c r="V206" s="112" t="n">
        <f aca="false">IFERROR(IF([2]对账明细接口!$Q206=0,"",[2]对账明细接口!$Q206),"")</f>
        <v>194</v>
      </c>
      <c r="W206" s="10" t="str">
        <f aca="false">IFERROR(IF([2]对账明细接口!$R206=0,"",[2]对账明细接口!$R206),"")</f>
        <v>新A*G0554</v>
      </c>
      <c r="X206" s="10" t="str">
        <f aca="false">IFERROR(IF([2]对账明细接口!$S206=0,"",[2]对账明细接口!$S206),"")</f>
        <v>公司筐</v>
      </c>
      <c r="Y206" s="10" t="str">
        <f aca="false">IFERROR(IF([2]对账明细接口!$T206=0,"",[2]对账明细接口!$T206),"")</f>
        <v/>
      </c>
      <c r="Z206" s="113" t="str">
        <f aca="false">IFERROR(IF([2]对账明细接口!$U206=0,"",[2]对账明细接口!$U206),"")</f>
        <v/>
      </c>
      <c r="AA206" s="113" t="str">
        <f aca="false">IFERROR(IF([2]对账明细接口!$V206=0,"",[2]对账明细接口!$V206),"")</f>
        <v/>
      </c>
      <c r="AB206" s="10" t="str">
        <f aca="false">IFERROR(IF([2]对账明细接口!$W206=0,"",[2]对账明细接口!$W206),"")</f>
        <v/>
      </c>
      <c r="AC206" s="90" t="str">
        <f aca="false">IFERROR(IF([2]对账明细接口!$X207=0,"",[2]对账明细接口!$X207),"")</f>
        <v/>
      </c>
      <c r="AD206" s="90" t="str">
        <f aca="false">IFERROR(IF([2]对账明细接口!$Y207=0,"",[2]对账明细接口!$Y207),"")</f>
        <v/>
      </c>
      <c r="AE206" s="90" t="str">
        <f aca="false">IFERROR(IF([2]对账明细接口!$AA207=0,"",[2]对账明细接口!$AA207),"")</f>
        <v/>
      </c>
      <c r="AF206" s="90" t="str">
        <f aca="false">IFERROR(IF([2]对账明细接口!$AB207=0,"",[2]对账明细接口!$AB207),"")</f>
        <v/>
      </c>
      <c r="AG206" s="90" t="str">
        <f aca="false">IFERROR(IF([2]对账明细接口!$AC207=0,"",[2]对账明细接口!$AC207),"")</f>
        <v/>
      </c>
      <c r="AH206" s="90" t="str">
        <f aca="false">IFERROR(IF([2]对账明细接口!$AD207=0,"",[2]对账明细接口!$AD207),"")</f>
        <v/>
      </c>
    </row>
    <row r="207" customFormat="false" ht="13.5" hidden="false" customHeight="false" outlineLevel="0" collapsed="false">
      <c r="A207" s="109" t="n">
        <v>207</v>
      </c>
      <c r="B207" s="110" t="n">
        <f aca="false">IFERROR(IF([2]对账明细接口!$B$207=0,"",[2]对账明细接口!$B$207),"")</f>
        <v>46277</v>
      </c>
      <c r="C207" s="59" t="str">
        <f aca="false">IFERROR(IF([2]对账明细接口!$C$207=0,"",[2]对账明细接口!$C$207),"")</f>
        <v>麦麦提</v>
      </c>
      <c r="D207" s="59" t="str">
        <f aca="false">IFERROR(IF([2]对账明细接口!$D$207=0,"",[2]对账明细接口!$D$207),"")</f>
        <v>原料入库</v>
      </c>
      <c r="E207" s="59" t="str">
        <f aca="false">IFERROR(IF([2]对账明细接口!$E$207=0,"",[2]对账明细接口!$E$207),"")</f>
        <v>NO:0000793</v>
      </c>
      <c r="F207" s="59" t="str">
        <f aca="false">IFERROR(IF([2]对账明细接口!$F$207=0,"",[2]对账明细接口!$F$207),"")</f>
        <v>香梨</v>
      </c>
      <c r="G207" s="59" t="str">
        <f aca="false">IFERROR(IF([2]对账明细接口!$G$207=0,"",[2]对账明细接口!$G$207),"")</f>
        <v>香梨二级</v>
      </c>
      <c r="H207" s="60" t="n">
        <f aca="false">IFERROR(IF([2]对账明细接口!$H$207=0,"",[2]对账明细接口!$H$207),"")</f>
        <v>168</v>
      </c>
      <c r="I207" s="59" t="str">
        <f aca="false">IFERROR(IF([2]对账明细接口!$I$207=0,"",[2]对账明细接口!$I$207),"")</f>
        <v>筐</v>
      </c>
      <c r="J207" s="61" t="n">
        <f aca="false">IFERROR(IF([2]对账明细接口!$J$207=0,"",[2]对账明细接口!$J$207),"")</f>
        <v>3746.4</v>
      </c>
      <c r="K207" s="61" t="str">
        <f aca="false">IFERROR(IF([2]对账明细接口!$K$207=0,"",[2]对账明细接口!$K$207),"")</f>
        <v/>
      </c>
      <c r="L207" s="59" t="str">
        <f aca="false">IFERROR(IF([2]对账明细接口!$L$207=0,"",[2]对账明细接口!$L$207),"")</f>
        <v/>
      </c>
      <c r="M207" s="59" t="str">
        <f aca="false">IFERROR(IF([2]对账明细接口!$M$207=0,"",[2]对账明细接口!$M$207),"")</f>
        <v/>
      </c>
      <c r="N207" s="111" t="n">
        <f aca="false">IF($C207="",0,1)</f>
        <v>1</v>
      </c>
      <c r="O207" s="111" t="n">
        <f aca="false">N(O206)+$N207</f>
        <v>204</v>
      </c>
      <c r="S207" s="10" t="str">
        <f aca="false">IFERROR(IF([2]对账明细接口!$N207=0,"",[2]对账明细接口!$N207),"")</f>
        <v>公司红周转筐</v>
      </c>
      <c r="T207" s="112" t="str">
        <f aca="false">IFERROR(IF([2]对账明细接口!$O207=0,"",[2]对账明细接口!$O207),"")</f>
        <v/>
      </c>
      <c r="U207" s="112" t="str">
        <f aca="false">IFERROR(IF([2]对账明细接口!$P207=0,"",[2]对账明细接口!$P207),"")</f>
        <v/>
      </c>
      <c r="V207" s="112" t="n">
        <f aca="false">IFERROR(IF([2]对账明细接口!$Q207=0,"",[2]对账明细接口!$Q207),"")</f>
        <v>168</v>
      </c>
      <c r="W207" s="10" t="str">
        <f aca="false">IFERROR(IF([2]对账明细接口!$R207=0,"",[2]对账明细接口!$R207),"")</f>
        <v>新A*G0554</v>
      </c>
      <c r="X207" s="10" t="str">
        <f aca="false">IFERROR(IF([2]对账明细接口!$S207=0,"",[2]对账明细接口!$S207),"")</f>
        <v>公司筐</v>
      </c>
      <c r="Y207" s="10" t="str">
        <f aca="false">IFERROR(IF([2]对账明细接口!$T207=0,"",[2]对账明细接口!$T207),"")</f>
        <v/>
      </c>
      <c r="Z207" s="113" t="str">
        <f aca="false">IFERROR(IF([2]对账明细接口!$U207=0,"",[2]对账明细接口!$U207),"")</f>
        <v/>
      </c>
      <c r="AA207" s="113" t="str">
        <f aca="false">IFERROR(IF([2]对账明细接口!$V207=0,"",[2]对账明细接口!$V207),"")</f>
        <v/>
      </c>
      <c r="AB207" s="10" t="str">
        <f aca="false">IFERROR(IF([2]对账明细接口!$W207=0,"",[2]对账明细接口!$W207),"")</f>
        <v/>
      </c>
      <c r="AC207" s="90" t="str">
        <f aca="false">IFERROR(IF([2]对账明细接口!$X208=0,"",[2]对账明细接口!$X208),"")</f>
        <v/>
      </c>
      <c r="AD207" s="90" t="str">
        <f aca="false">IFERROR(IF([2]对账明细接口!$Y208=0,"",[2]对账明细接口!$Y208),"")</f>
        <v/>
      </c>
      <c r="AE207" s="90" t="str">
        <f aca="false">IFERROR(IF([2]对账明细接口!$AA208=0,"",[2]对账明细接口!$AA208),"")</f>
        <v/>
      </c>
      <c r="AF207" s="90" t="str">
        <f aca="false">IFERROR(IF([2]对账明细接口!$AB208=0,"",[2]对账明细接口!$AB208),"")</f>
        <v/>
      </c>
      <c r="AG207" s="90" t="str">
        <f aca="false">IFERROR(IF([2]对账明细接口!$AC208=0,"",[2]对账明细接口!$AC208),"")</f>
        <v/>
      </c>
      <c r="AH207" s="90" t="str">
        <f aca="false">IFERROR(IF([2]对账明细接口!$AD208=0,"",[2]对账明细接口!$AD208),"")</f>
        <v/>
      </c>
    </row>
    <row r="208" customFormat="false" ht="13.5" hidden="false" customHeight="false" outlineLevel="0" collapsed="false">
      <c r="A208" s="109" t="n">
        <v>208</v>
      </c>
      <c r="B208" s="110" t="n">
        <f aca="false">IFERROR(IF([2]对账明细接口!$B$208=0,"",[2]对账明细接口!$B$208),"")</f>
        <v>46277</v>
      </c>
      <c r="C208" s="59" t="str">
        <f aca="false">IFERROR(IF([2]对账明细接口!$C$208=0,"",[2]对账明细接口!$C$208),"")</f>
        <v>王灵云</v>
      </c>
      <c r="D208" s="59" t="str">
        <f aca="false">IFERROR(IF([2]对账明细接口!$D$208=0,"",[2]对账明细接口!$D$208),"")</f>
        <v>原料入库</v>
      </c>
      <c r="E208" s="59" t="str">
        <f aca="false">IFERROR(IF([2]对账明细接口!$E$208=0,"",[2]对账明细接口!$E$208),"")</f>
        <v>NO:0000794</v>
      </c>
      <c r="F208" s="59" t="str">
        <f aca="false">IFERROR(IF([2]对账明细接口!$F$208=0,"",[2]对账明细接口!$F$208),"")</f>
        <v>香梨</v>
      </c>
      <c r="G208" s="59" t="str">
        <f aca="false">IFERROR(IF([2]对账明细接口!$G$208=0,"",[2]对账明细接口!$G$208),"")</f>
        <v>香梨一级</v>
      </c>
      <c r="H208" s="60" t="n">
        <f aca="false">IFERROR(IF([2]对账明细接口!$H$208=0,"",[2]对账明细接口!$H$208),"")</f>
        <v>384</v>
      </c>
      <c r="I208" s="59" t="str">
        <f aca="false">IFERROR(IF([2]对账明细接口!$I$208=0,"",[2]对账明细接口!$I$208),"")</f>
        <v>筐</v>
      </c>
      <c r="J208" s="61" t="n">
        <f aca="false">IFERROR(IF([2]对账明细接口!$J$208=0,"",[2]对账明细接口!$J$208),"")</f>
        <v>7027.2</v>
      </c>
      <c r="K208" s="61" t="str">
        <f aca="false">IFERROR(IF([2]对账明细接口!$K$208=0,"",[2]对账明细接口!$K$208),"")</f>
        <v/>
      </c>
      <c r="L208" s="59" t="str">
        <f aca="false">IFERROR(IF([2]对账明细接口!$L$208=0,"",[2]对账明细接口!$L$208),"")</f>
        <v/>
      </c>
      <c r="M208" s="59" t="str">
        <f aca="false">IFERROR(IF([2]对账明细接口!$M$208=0,"",[2]对账明细接口!$M$208),"")</f>
        <v/>
      </c>
      <c r="N208" s="111" t="n">
        <f aca="false">IF($C208="",0,1)</f>
        <v>1</v>
      </c>
      <c r="O208" s="111" t="n">
        <f aca="false">N(O207)+$N208</f>
        <v>205</v>
      </c>
      <c r="S208" s="10" t="str">
        <f aca="false">IFERROR(IF([2]对账明细接口!$N208=0,"",[2]对账明细接口!$N208),"")</f>
        <v>公司红周转筐</v>
      </c>
      <c r="T208" s="112" t="str">
        <f aca="false">IFERROR(IF([2]对账明细接口!$O208=0,"",[2]对账明细接口!$O208),"")</f>
        <v/>
      </c>
      <c r="U208" s="112" t="str">
        <f aca="false">IFERROR(IF([2]对账明细接口!$P208=0,"",[2]对账明细接口!$P208),"")</f>
        <v/>
      </c>
      <c r="V208" s="112" t="n">
        <f aca="false">IFERROR(IF([2]对账明细接口!$Q208=0,"",[2]对账明细接口!$Q208),"")</f>
        <v>384</v>
      </c>
      <c r="W208" s="10" t="str">
        <f aca="false">IFERROR(IF([2]对账明细接口!$R208=0,"",[2]对账明细接口!$R208),"")</f>
        <v>新N*49209</v>
      </c>
      <c r="X208" s="10" t="str">
        <f aca="false">IFERROR(IF([2]对账明细接口!$S208=0,"",[2]对账明细接口!$S208),"")</f>
        <v>公司筐</v>
      </c>
      <c r="Y208" s="10" t="str">
        <f aca="false">IFERROR(IF([2]对账明细接口!$T208=0,"",[2]对账明细接口!$T208),"")</f>
        <v/>
      </c>
      <c r="Z208" s="113" t="str">
        <f aca="false">IFERROR(IF([2]对账明细接口!$U208=0,"",[2]对账明细接口!$U208),"")</f>
        <v/>
      </c>
      <c r="AA208" s="113" t="str">
        <f aca="false">IFERROR(IF([2]对账明细接口!$V208=0,"",[2]对账明细接口!$V208),"")</f>
        <v/>
      </c>
      <c r="AB208" s="10" t="str">
        <f aca="false">IFERROR(IF([2]对账明细接口!$W208=0,"",[2]对账明细接口!$W208),"")</f>
        <v/>
      </c>
      <c r="AC208" s="90" t="str">
        <f aca="false">IFERROR(IF([2]对账明细接口!$X209=0,"",[2]对账明细接口!$X209),"")</f>
        <v/>
      </c>
      <c r="AD208" s="90" t="str">
        <f aca="false">IFERROR(IF([2]对账明细接口!$Y209=0,"",[2]对账明细接口!$Y209),"")</f>
        <v/>
      </c>
      <c r="AE208" s="90" t="str">
        <f aca="false">IFERROR(IF([2]对账明细接口!$AA209=0,"",[2]对账明细接口!$AA209),"")</f>
        <v/>
      </c>
      <c r="AF208" s="90" t="str">
        <f aca="false">IFERROR(IF([2]对账明细接口!$AB209=0,"",[2]对账明细接口!$AB209),"")</f>
        <v/>
      </c>
      <c r="AG208" s="90" t="str">
        <f aca="false">IFERROR(IF([2]对账明细接口!$AC209=0,"",[2]对账明细接口!$AC209),"")</f>
        <v/>
      </c>
      <c r="AH208" s="90" t="str">
        <f aca="false">IFERROR(IF([2]对账明细接口!$AD209=0,"",[2]对账明细接口!$AD209),"")</f>
        <v/>
      </c>
    </row>
    <row r="209" customFormat="false" ht="13.5" hidden="false" customHeight="false" outlineLevel="0" collapsed="false">
      <c r="A209" s="109" t="n">
        <v>209</v>
      </c>
      <c r="B209" s="110" t="n">
        <f aca="false">IFERROR(IF([2]对账明细接口!$B$209=0,"",[2]对账明细接口!$B$209),"")</f>
        <v>46277</v>
      </c>
      <c r="C209" s="59" t="str">
        <f aca="false">IFERROR(IF([2]对账明细接口!$C$209=0,"",[2]对账明细接口!$C$209),"")</f>
        <v>王灵云</v>
      </c>
      <c r="D209" s="59" t="str">
        <f aca="false">IFERROR(IF([2]对账明细接口!$D$209=0,"",[2]对账明细接口!$D$209),"")</f>
        <v>原料入库</v>
      </c>
      <c r="E209" s="59" t="str">
        <f aca="false">IFERROR(IF([2]对账明细接口!$E$209=0,"",[2]对账明细接口!$E$209),"")</f>
        <v>NO:0000794</v>
      </c>
      <c r="F209" s="59" t="str">
        <f aca="false">IFERROR(IF([2]对账明细接口!$F$209=0,"",[2]对账明细接口!$F$209),"")</f>
        <v>香梨</v>
      </c>
      <c r="G209" s="59" t="str">
        <f aca="false">IFERROR(IF([2]对账明细接口!$G$209=0,"",[2]对账明细接口!$G$209),"")</f>
        <v>香梨二级</v>
      </c>
      <c r="H209" s="60" t="n">
        <f aca="false">IFERROR(IF([2]对账明细接口!$H$209=0,"",[2]对账明细接口!$H$209),"")</f>
        <v>52</v>
      </c>
      <c r="I209" s="59" t="str">
        <f aca="false">IFERROR(IF([2]对账明细接口!$I$209=0,"",[2]对账明细接口!$I$209),"")</f>
        <v>筐</v>
      </c>
      <c r="J209" s="61" t="n">
        <f aca="false">IFERROR(IF([2]对账明细接口!$J$209=0,"",[2]对账明细接口!$J$209),"")</f>
        <v>1211.6</v>
      </c>
      <c r="K209" s="61" t="str">
        <f aca="false">IFERROR(IF([2]对账明细接口!$K$209=0,"",[2]对账明细接口!$K$209),"")</f>
        <v/>
      </c>
      <c r="L209" s="59" t="str">
        <f aca="false">IFERROR(IF([2]对账明细接口!$L$209=0,"",[2]对账明细接口!$L$209),"")</f>
        <v/>
      </c>
      <c r="M209" s="59" t="str">
        <f aca="false">IFERROR(IF([2]对账明细接口!$M$209=0,"",[2]对账明细接口!$M$209),"")</f>
        <v/>
      </c>
      <c r="N209" s="111" t="n">
        <f aca="false">IF($C209="",0,1)</f>
        <v>1</v>
      </c>
      <c r="O209" s="111" t="n">
        <f aca="false">N(O208)+$N209</f>
        <v>206</v>
      </c>
      <c r="S209" s="10" t="str">
        <f aca="false">IFERROR(IF([2]对账明细接口!$N209=0,"",[2]对账明细接口!$N209),"")</f>
        <v>公司红周转筐</v>
      </c>
      <c r="T209" s="112" t="str">
        <f aca="false">IFERROR(IF([2]对账明细接口!$O209=0,"",[2]对账明细接口!$O209),"")</f>
        <v/>
      </c>
      <c r="U209" s="112" t="str">
        <f aca="false">IFERROR(IF([2]对账明细接口!$P209=0,"",[2]对账明细接口!$P209),"")</f>
        <v/>
      </c>
      <c r="V209" s="112" t="n">
        <f aca="false">IFERROR(IF([2]对账明细接口!$Q209=0,"",[2]对账明细接口!$Q209),"")</f>
        <v>52</v>
      </c>
      <c r="W209" s="10" t="str">
        <f aca="false">IFERROR(IF([2]对账明细接口!$R209=0,"",[2]对账明细接口!$R209),"")</f>
        <v>新N*49209</v>
      </c>
      <c r="X209" s="10" t="str">
        <f aca="false">IFERROR(IF([2]对账明细接口!$S209=0,"",[2]对账明细接口!$S209),"")</f>
        <v>公司筐</v>
      </c>
      <c r="Y209" s="10" t="str">
        <f aca="false">IFERROR(IF([2]对账明细接口!$T209=0,"",[2]对账明细接口!$T209),"")</f>
        <v/>
      </c>
      <c r="Z209" s="113" t="str">
        <f aca="false">IFERROR(IF([2]对账明细接口!$U209=0,"",[2]对账明细接口!$U209),"")</f>
        <v/>
      </c>
      <c r="AA209" s="113" t="str">
        <f aca="false">IFERROR(IF([2]对账明细接口!$V209=0,"",[2]对账明细接口!$V209),"")</f>
        <v/>
      </c>
      <c r="AB209" s="10" t="str">
        <f aca="false">IFERROR(IF([2]对账明细接口!$W209=0,"",[2]对账明细接口!$W209),"")</f>
        <v/>
      </c>
      <c r="AC209" s="90" t="str">
        <f aca="false">IFERROR(IF([2]对账明细接口!$X210=0,"",[2]对账明细接口!$X210),"")</f>
        <v/>
      </c>
      <c r="AD209" s="90" t="str">
        <f aca="false">IFERROR(IF([2]对账明细接口!$Y210=0,"",[2]对账明细接口!$Y210),"")</f>
        <v/>
      </c>
      <c r="AE209" s="90" t="str">
        <f aca="false">IFERROR(IF([2]对账明细接口!$AA210=0,"",[2]对账明细接口!$AA210),"")</f>
        <v/>
      </c>
      <c r="AF209" s="90" t="str">
        <f aca="false">IFERROR(IF([2]对账明细接口!$AB210=0,"",[2]对账明细接口!$AB210),"")</f>
        <v/>
      </c>
      <c r="AG209" s="90" t="str">
        <f aca="false">IFERROR(IF([2]对账明细接口!$AC210=0,"",[2]对账明细接口!$AC210),"")</f>
        <v/>
      </c>
      <c r="AH209" s="90" t="str">
        <f aca="false">IFERROR(IF([2]对账明细接口!$AD210=0,"",[2]对账明细接口!$AD210),"")</f>
        <v/>
      </c>
    </row>
    <row r="210" customFormat="false" ht="13.5" hidden="false" customHeight="false" outlineLevel="0" collapsed="false">
      <c r="A210" s="109" t="n">
        <v>210</v>
      </c>
      <c r="B210" s="110" t="n">
        <f aca="false">IFERROR(IF([2]对账明细接口!$B$210=0,"",[2]对账明细接口!$B$210),"")</f>
        <v>46277</v>
      </c>
      <c r="C210" s="59" t="str">
        <f aca="false">IFERROR(IF([2]对账明细接口!$C$210=0,"",[2]对账明细接口!$C$210),"")</f>
        <v>王灵云</v>
      </c>
      <c r="D210" s="59" t="str">
        <f aca="false">IFERROR(IF([2]对账明细接口!$D$210=0,"",[2]对账明细接口!$D$210),"")</f>
        <v>原料入库</v>
      </c>
      <c r="E210" s="59" t="str">
        <f aca="false">IFERROR(IF([2]对账明细接口!$E$210=0,"",[2]对账明细接口!$E$210),"")</f>
        <v>NO:0000794</v>
      </c>
      <c r="F210" s="59" t="str">
        <f aca="false">IFERROR(IF([2]对账明细接口!$F$210=0,"",[2]对账明细接口!$F$210),"")</f>
        <v>香梨</v>
      </c>
      <c r="G210" s="59" t="str">
        <f aca="false">IFERROR(IF([2]对账明细接口!$G$210=0,"",[2]对账明细接口!$G$210),"")</f>
        <v>香梨副特</v>
      </c>
      <c r="H210" s="60" t="n">
        <f aca="false">IFERROR(IF([2]对账明细接口!$H$210=0,"",[2]对账明细接口!$H$210),"")</f>
        <v>208</v>
      </c>
      <c r="I210" s="59" t="str">
        <f aca="false">IFERROR(IF([2]对账明细接口!$I$210=0,"",[2]对账明细接口!$I$210),"")</f>
        <v>筐</v>
      </c>
      <c r="J210" s="61" t="n">
        <f aca="false">IFERROR(IF([2]对账明细接口!$J$210=0,"",[2]对账明细接口!$J$210),"")</f>
        <v>3806.4</v>
      </c>
      <c r="K210" s="61" t="str">
        <f aca="false">IFERROR(IF([2]对账明细接口!$K$210=0,"",[2]对账明细接口!$K$210),"")</f>
        <v/>
      </c>
      <c r="L210" s="59" t="str">
        <f aca="false">IFERROR(IF([2]对账明细接口!$L$210=0,"",[2]对账明细接口!$L$210),"")</f>
        <v/>
      </c>
      <c r="M210" s="59" t="str">
        <f aca="false">IFERROR(IF([2]对账明细接口!$M$210=0,"",[2]对账明细接口!$M$210),"")</f>
        <v/>
      </c>
      <c r="N210" s="111" t="n">
        <f aca="false">IF($C210="",0,1)</f>
        <v>1</v>
      </c>
      <c r="O210" s="111" t="n">
        <f aca="false">N(O209)+$N210</f>
        <v>207</v>
      </c>
      <c r="S210" s="10" t="str">
        <f aca="false">IFERROR(IF([2]对账明细接口!$N210=0,"",[2]对账明细接口!$N210),"")</f>
        <v>公司红周转筐</v>
      </c>
      <c r="T210" s="112" t="str">
        <f aca="false">IFERROR(IF([2]对账明细接口!$O210=0,"",[2]对账明细接口!$O210),"")</f>
        <v/>
      </c>
      <c r="U210" s="112" t="str">
        <f aca="false">IFERROR(IF([2]对账明细接口!$P210=0,"",[2]对账明细接口!$P210),"")</f>
        <v/>
      </c>
      <c r="V210" s="112" t="n">
        <f aca="false">IFERROR(IF([2]对账明细接口!$Q210=0,"",[2]对账明细接口!$Q210),"")</f>
        <v>208</v>
      </c>
      <c r="W210" s="10" t="str">
        <f aca="false">IFERROR(IF([2]对账明细接口!$R210=0,"",[2]对账明细接口!$R210),"")</f>
        <v>新N*49209</v>
      </c>
      <c r="X210" s="10" t="str">
        <f aca="false">IFERROR(IF([2]对账明细接口!$S210=0,"",[2]对账明细接口!$S210),"")</f>
        <v>公司筐</v>
      </c>
      <c r="Y210" s="10" t="str">
        <f aca="false">IFERROR(IF([2]对账明细接口!$T210=0,"",[2]对账明细接口!$T210),"")</f>
        <v/>
      </c>
      <c r="Z210" s="113" t="str">
        <f aca="false">IFERROR(IF([2]对账明细接口!$U210=0,"",[2]对账明细接口!$U210),"")</f>
        <v/>
      </c>
      <c r="AA210" s="113" t="str">
        <f aca="false">IFERROR(IF([2]对账明细接口!$V210=0,"",[2]对账明细接口!$V210),"")</f>
        <v/>
      </c>
      <c r="AB210" s="10" t="str">
        <f aca="false">IFERROR(IF([2]对账明细接口!$W210=0,"",[2]对账明细接口!$W210),"")</f>
        <v/>
      </c>
      <c r="AC210" s="90" t="str">
        <f aca="false">IFERROR(IF([2]对账明细接口!$X211=0,"",[2]对账明细接口!$X211),"")</f>
        <v/>
      </c>
      <c r="AD210" s="90" t="str">
        <f aca="false">IFERROR(IF([2]对账明细接口!$Y211=0,"",[2]对账明细接口!$Y211),"")</f>
        <v/>
      </c>
      <c r="AE210" s="90" t="str">
        <f aca="false">IFERROR(IF([2]对账明细接口!$AA211=0,"",[2]对账明细接口!$AA211),"")</f>
        <v/>
      </c>
      <c r="AF210" s="90" t="str">
        <f aca="false">IFERROR(IF([2]对账明细接口!$AB211=0,"",[2]对账明细接口!$AB211),"")</f>
        <v/>
      </c>
      <c r="AG210" s="90" t="str">
        <f aca="false">IFERROR(IF([2]对账明细接口!$AC211=0,"",[2]对账明细接口!$AC211),"")</f>
        <v/>
      </c>
      <c r="AH210" s="90" t="str">
        <f aca="false">IFERROR(IF([2]对账明细接口!$AD211=0,"",[2]对账明细接口!$AD211),"")</f>
        <v/>
      </c>
    </row>
    <row r="211" customFormat="false" ht="13.5" hidden="false" customHeight="false" outlineLevel="0" collapsed="false">
      <c r="A211" s="109" t="n">
        <v>211</v>
      </c>
      <c r="B211" s="110" t="n">
        <f aca="false">IFERROR(IF([2]对账明细接口!$B$211=0,"",[2]对账明细接口!$B$211),"")</f>
        <v>46278</v>
      </c>
      <c r="C211" s="59" t="str">
        <f aca="false">IFERROR(IF([2]对账明细接口!$C$211=0,"",[2]对账明细接口!$C$211),"")</f>
        <v>贾建国</v>
      </c>
      <c r="D211" s="59" t="str">
        <f aca="false">IFERROR(IF([2]对账明细接口!$D$211=0,"",[2]对账明细接口!$D$211),"")</f>
        <v>原料入库</v>
      </c>
      <c r="E211" s="59" t="str">
        <f aca="false">IFERROR(IF([2]对账明细接口!$E$211=0,"",[2]对账明细接口!$E$211),"")</f>
        <v>NO:0000797</v>
      </c>
      <c r="F211" s="59" t="str">
        <f aca="false">IFERROR(IF([2]对账明细接口!$F$211=0,"",[2]对账明细接口!$F$211),"")</f>
        <v>香梨</v>
      </c>
      <c r="G211" s="59" t="str">
        <f aca="false">IFERROR(IF([2]对账明细接口!$G$211=0,"",[2]对账明细接口!$G$211),"")</f>
        <v>香梨二级</v>
      </c>
      <c r="H211" s="60" t="n">
        <f aca="false">IFERROR(IF([2]对账明细接口!$H$211=0,"",[2]对账明细接口!$H$211),"")</f>
        <v>160</v>
      </c>
      <c r="I211" s="59" t="str">
        <f aca="false">IFERROR(IF([2]对账明细接口!$I$211=0,"",[2]对账明细接口!$I$211),"")</f>
        <v>筐</v>
      </c>
      <c r="J211" s="61" t="n">
        <f aca="false">IFERROR(IF([2]对账明细接口!$J$211=0,"",[2]对账明细接口!$J$211),"")</f>
        <v>3600</v>
      </c>
      <c r="K211" s="61" t="str">
        <f aca="false">IFERROR(IF([2]对账明细接口!$K$211=0,"",[2]对账明细接口!$K$211),"")</f>
        <v/>
      </c>
      <c r="L211" s="59" t="str">
        <f aca="false">IFERROR(IF([2]对账明细接口!$L$211=0,"",[2]对账明细接口!$L$211),"")</f>
        <v/>
      </c>
      <c r="M211" s="59" t="str">
        <f aca="false">IFERROR(IF([2]对账明细接口!$M$211=0,"",[2]对账明细接口!$M$211),"")</f>
        <v/>
      </c>
      <c r="N211" s="111" t="n">
        <f aca="false">IF($C211="",0,1)</f>
        <v>1</v>
      </c>
      <c r="O211" s="111" t="n">
        <f aca="false">N(O210)+$N211</f>
        <v>208</v>
      </c>
      <c r="S211" s="10" t="str">
        <f aca="false">IFERROR(IF([2]对账明细接口!$N211=0,"",[2]对账明细接口!$N211),"")</f>
        <v>自备杂周转筐</v>
      </c>
      <c r="T211" s="112" t="str">
        <f aca="false">IFERROR(IF([2]对账明细接口!$O211=0,"",[2]对账明细接口!$O211),"")</f>
        <v/>
      </c>
      <c r="U211" s="112" t="str">
        <f aca="false">IFERROR(IF([2]对账明细接口!$P211=0,"",[2]对账明细接口!$P211),"")</f>
        <v/>
      </c>
      <c r="V211" s="112" t="n">
        <f aca="false">IFERROR(IF([2]对账明细接口!$Q211=0,"",[2]对账明细接口!$Q211),"")</f>
        <v>160</v>
      </c>
      <c r="W211" s="10" t="str">
        <f aca="false">IFERROR(IF([2]对账明细接口!$R211=0,"",[2]对账明细接口!$R211),"")</f>
        <v>豫Q*H5591</v>
      </c>
      <c r="X211" s="10" t="str">
        <f aca="false">IFERROR(IF([2]对账明细接口!$S211=0,"",[2]对账明细接口!$S211),"")</f>
        <v>自备筐</v>
      </c>
      <c r="Y211" s="10" t="str">
        <f aca="false">IFERROR(IF([2]对账明细接口!$T211=0,"",[2]对账明细接口!$T211),"")</f>
        <v/>
      </c>
      <c r="Z211" s="113" t="str">
        <f aca="false">IFERROR(IF([2]对账明细接口!$U211=0,"",[2]对账明细接口!$U211),"")</f>
        <v/>
      </c>
      <c r="AA211" s="113" t="str">
        <f aca="false">IFERROR(IF([2]对账明细接口!$V211=0,"",[2]对账明细接口!$V211),"")</f>
        <v/>
      </c>
      <c r="AB211" s="10" t="str">
        <f aca="false">IFERROR(IF([2]对账明细接口!$W211=0,"",[2]对账明细接口!$W211),"")</f>
        <v/>
      </c>
      <c r="AC211" s="90" t="str">
        <f aca="false">IFERROR(IF([2]对账明细接口!$X212=0,"",[2]对账明细接口!$X212),"")</f>
        <v/>
      </c>
      <c r="AD211" s="90" t="str">
        <f aca="false">IFERROR(IF([2]对账明细接口!$Y212=0,"",[2]对账明细接口!$Y212),"")</f>
        <v/>
      </c>
      <c r="AE211" s="90" t="str">
        <f aca="false">IFERROR(IF([2]对账明细接口!$AA212=0,"",[2]对账明细接口!$AA212),"")</f>
        <v/>
      </c>
      <c r="AF211" s="90" t="str">
        <f aca="false">IFERROR(IF([2]对账明细接口!$AB212=0,"",[2]对账明细接口!$AB212),"")</f>
        <v/>
      </c>
      <c r="AG211" s="90" t="str">
        <f aca="false">IFERROR(IF([2]对账明细接口!$AC212=0,"",[2]对账明细接口!$AC212),"")</f>
        <v/>
      </c>
      <c r="AH211" s="90" t="str">
        <f aca="false">IFERROR(IF([2]对账明细接口!$AD212=0,"",[2]对账明细接口!$AD212),"")</f>
        <v/>
      </c>
    </row>
    <row r="212" customFormat="false" ht="13.5" hidden="false" customHeight="false" outlineLevel="0" collapsed="false">
      <c r="A212" s="109" t="n">
        <v>212</v>
      </c>
      <c r="B212" s="110" t="n">
        <f aca="false">IFERROR(IF([2]对账明细接口!$B$212=0,"",[2]对账明细接口!$B$212),"")</f>
        <v>46278</v>
      </c>
      <c r="C212" s="59" t="str">
        <f aca="false">IFERROR(IF([2]对账明细接口!$C$212=0,"",[2]对账明细接口!$C$212),"")</f>
        <v>贾建国</v>
      </c>
      <c r="D212" s="59" t="str">
        <f aca="false">IFERROR(IF([2]对账明细接口!$D$212=0,"",[2]对账明细接口!$D$212),"")</f>
        <v>原料入库</v>
      </c>
      <c r="E212" s="59" t="str">
        <f aca="false">IFERROR(IF([2]对账明细接口!$E$212=0,"",[2]对账明细接口!$E$212),"")</f>
        <v>NO:0000797</v>
      </c>
      <c r="F212" s="59" t="str">
        <f aca="false">IFERROR(IF([2]对账明细接口!$F$212=0,"",[2]对账明细接口!$F$212),"")</f>
        <v>香梨</v>
      </c>
      <c r="G212" s="59" t="str">
        <f aca="false">IFERROR(IF([2]对账明细接口!$G$212=0,"",[2]对账明细接口!$G$212),"")</f>
        <v>香梨副特</v>
      </c>
      <c r="H212" s="60" t="n">
        <f aca="false">IFERROR(IF([2]对账明细接口!$H$212=0,"",[2]对账明细接口!$H$212),"")</f>
        <v>267</v>
      </c>
      <c r="I212" s="59" t="str">
        <f aca="false">IFERROR(IF([2]对账明细接口!$I$212=0,"",[2]对账明细接口!$I$212),"")</f>
        <v>筐</v>
      </c>
      <c r="J212" s="61" t="n">
        <f aca="false">IFERROR(IF([2]对账明细接口!$J$212=0,"",[2]对账明细接口!$J$212),"")</f>
        <v>5153.1</v>
      </c>
      <c r="K212" s="61" t="str">
        <f aca="false">IFERROR(IF([2]对账明细接口!$K$212=0,"",[2]对账明细接口!$K$212),"")</f>
        <v/>
      </c>
      <c r="L212" s="59" t="str">
        <f aca="false">IFERROR(IF([2]对账明细接口!$L$212=0,"",[2]对账明细接口!$L$212),"")</f>
        <v/>
      </c>
      <c r="M212" s="59" t="str">
        <f aca="false">IFERROR(IF([2]对账明细接口!$M$212=0,"",[2]对账明细接口!$M$212),"")</f>
        <v/>
      </c>
      <c r="N212" s="111" t="n">
        <f aca="false">IF($C212="",0,1)</f>
        <v>1</v>
      </c>
      <c r="O212" s="111" t="n">
        <f aca="false">N(O211)+$N212</f>
        <v>209</v>
      </c>
      <c r="S212" s="10" t="str">
        <f aca="false">IFERROR(IF([2]对账明细接口!$N212=0,"",[2]对账明细接口!$N212),"")</f>
        <v>自备一次性筐</v>
      </c>
      <c r="T212" s="112" t="str">
        <f aca="false">IFERROR(IF([2]对账明细接口!$O212=0,"",[2]对账明细接口!$O212),"")</f>
        <v/>
      </c>
      <c r="U212" s="112" t="str">
        <f aca="false">IFERROR(IF([2]对账明细接口!$P212=0,"",[2]对账明细接口!$P212),"")</f>
        <v/>
      </c>
      <c r="V212" s="112" t="n">
        <f aca="false">IFERROR(IF([2]对账明细接口!$Q212=0,"",[2]对账明细接口!$Q212),"")</f>
        <v>267</v>
      </c>
      <c r="W212" s="10" t="str">
        <f aca="false">IFERROR(IF([2]对账明细接口!$R212=0,"",[2]对账明细接口!$R212),"")</f>
        <v>豫Q*H5591</v>
      </c>
      <c r="X212" s="10" t="str">
        <f aca="false">IFERROR(IF([2]对账明细接口!$S212=0,"",[2]对账明细接口!$S212),"")</f>
        <v>自备筐</v>
      </c>
      <c r="Y212" s="10" t="str">
        <f aca="false">IFERROR(IF([2]对账明细接口!$T212=0,"",[2]对账明细接口!$T212),"")</f>
        <v/>
      </c>
      <c r="Z212" s="113" t="str">
        <f aca="false">IFERROR(IF([2]对账明细接口!$U212=0,"",[2]对账明细接口!$U212),"")</f>
        <v/>
      </c>
      <c r="AA212" s="113" t="str">
        <f aca="false">IFERROR(IF([2]对账明细接口!$V212=0,"",[2]对账明细接口!$V212),"")</f>
        <v/>
      </c>
      <c r="AB212" s="10" t="str">
        <f aca="false">IFERROR(IF([2]对账明细接口!$W212=0,"",[2]对账明细接口!$W212),"")</f>
        <v/>
      </c>
      <c r="AC212" s="90" t="str">
        <f aca="false">IFERROR(IF([2]对账明细接口!$X213=0,"",[2]对账明细接口!$X213),"")</f>
        <v/>
      </c>
      <c r="AD212" s="90" t="str">
        <f aca="false">IFERROR(IF([2]对账明细接口!$Y213=0,"",[2]对账明细接口!$Y213),"")</f>
        <v/>
      </c>
      <c r="AE212" s="90" t="str">
        <f aca="false">IFERROR(IF([2]对账明细接口!$AA213=0,"",[2]对账明细接口!$AA213),"")</f>
        <v/>
      </c>
      <c r="AF212" s="90" t="str">
        <f aca="false">IFERROR(IF([2]对账明细接口!$AB213=0,"",[2]对账明细接口!$AB213),"")</f>
        <v/>
      </c>
      <c r="AG212" s="90" t="str">
        <f aca="false">IFERROR(IF([2]对账明细接口!$AC213=0,"",[2]对账明细接口!$AC213),"")</f>
        <v/>
      </c>
      <c r="AH212" s="90" t="str">
        <f aca="false">IFERROR(IF([2]对账明细接口!$AD213=0,"",[2]对账明细接口!$AD213),"")</f>
        <v/>
      </c>
    </row>
    <row r="213" customFormat="false" ht="13.5" hidden="false" customHeight="false" outlineLevel="0" collapsed="false">
      <c r="A213" s="109" t="n">
        <v>213</v>
      </c>
      <c r="B213" s="110" t="n">
        <f aca="false">IFERROR(IF([2]对账明细接口!$B$213=0,"",[2]对账明细接口!$B$213),"")</f>
        <v>46278</v>
      </c>
      <c r="C213" s="59" t="str">
        <f aca="false">IFERROR(IF([2]对账明细接口!$C$213=0,"",[2]对账明细接口!$C$213),"")</f>
        <v>贾建国</v>
      </c>
      <c r="D213" s="59" t="str">
        <f aca="false">IFERROR(IF([2]对账明细接口!$D$213=0,"",[2]对账明细接口!$D$213),"")</f>
        <v>原料入库</v>
      </c>
      <c r="E213" s="59" t="str">
        <f aca="false">IFERROR(IF([2]对账明细接口!$E$213=0,"",[2]对账明细接口!$E$213),"")</f>
        <v>NO:0000797</v>
      </c>
      <c r="F213" s="59" t="str">
        <f aca="false">IFERROR(IF([2]对账明细接口!$F$213=0,"",[2]对账明细接口!$F$213),"")</f>
        <v>香梨</v>
      </c>
      <c r="G213" s="59" t="str">
        <f aca="false">IFERROR(IF([2]对账明细接口!$G$213=0,"",[2]对账明细接口!$G$213),"")</f>
        <v>香梨副特</v>
      </c>
      <c r="H213" s="60" t="n">
        <f aca="false">IFERROR(IF([2]对账明细接口!$H$213=0,"",[2]对账明细接口!$H$213),"")</f>
        <v>2</v>
      </c>
      <c r="I213" s="59" t="str">
        <f aca="false">IFERROR(IF([2]对账明细接口!$I$213=0,"",[2]对账明细接口!$I$213),"")</f>
        <v>筐</v>
      </c>
      <c r="J213" s="61" t="n">
        <f aca="false">IFERROR(IF([2]对账明细接口!$J$213=0,"",[2]对账明细接口!$J$213),"")</f>
        <v>38.6</v>
      </c>
      <c r="K213" s="61" t="str">
        <f aca="false">IFERROR(IF([2]对账明细接口!$K$213=0,"",[2]对账明细接口!$K$213),"")</f>
        <v/>
      </c>
      <c r="L213" s="59" t="str">
        <f aca="false">IFERROR(IF([2]对账明细接口!$L$213=0,"",[2]对账明细接口!$L$213),"")</f>
        <v/>
      </c>
      <c r="M213" s="59" t="str">
        <f aca="false">IFERROR(IF([2]对账明细接口!$M$213=0,"",[2]对账明细接口!$M$213),"")</f>
        <v/>
      </c>
      <c r="N213" s="111" t="n">
        <f aca="false">IF($C213="",0,1)</f>
        <v>1</v>
      </c>
      <c r="O213" s="111" t="n">
        <f aca="false">N(O212)+$N213</f>
        <v>210</v>
      </c>
      <c r="S213" s="10" t="str">
        <f aca="false">IFERROR(IF([2]对账明细接口!$N213=0,"",[2]对账明细接口!$N213),"")</f>
        <v>公司一次性筐</v>
      </c>
      <c r="T213" s="112" t="str">
        <f aca="false">IFERROR(IF([2]对账明细接口!$O213=0,"",[2]对账明细接口!$O213),"")</f>
        <v/>
      </c>
      <c r="U213" s="112" t="str">
        <f aca="false">IFERROR(IF([2]对账明细接口!$P213=0,"",[2]对账明细接口!$P213),"")</f>
        <v/>
      </c>
      <c r="V213" s="112" t="n">
        <f aca="false">IFERROR(IF([2]对账明细接口!$Q213=0,"",[2]对账明细接口!$Q213),"")</f>
        <v>2</v>
      </c>
      <c r="W213" s="10" t="str">
        <f aca="false">IFERROR(IF([2]对账明细接口!$R213=0,"",[2]对账明细接口!$R213),"")</f>
        <v>豫Q*H5591</v>
      </c>
      <c r="X213" s="10" t="str">
        <f aca="false">IFERROR(IF([2]对账明细接口!$S213=0,"",[2]对账明细接口!$S213),"")</f>
        <v>公司筐</v>
      </c>
      <c r="Y213" s="10" t="str">
        <f aca="false">IFERROR(IF([2]对账明细接口!$T213=0,"",[2]对账明细接口!$T213),"")</f>
        <v/>
      </c>
      <c r="Z213" s="113" t="str">
        <f aca="false">IFERROR(IF([2]对账明细接口!$U213=0,"",[2]对账明细接口!$U213),"")</f>
        <v/>
      </c>
      <c r="AA213" s="113" t="str">
        <f aca="false">IFERROR(IF([2]对账明细接口!$V213=0,"",[2]对账明细接口!$V213),"")</f>
        <v/>
      </c>
      <c r="AB213" s="10" t="str">
        <f aca="false">IFERROR(IF([2]对账明细接口!$W213=0,"",[2]对账明细接口!$W213),"")</f>
        <v/>
      </c>
      <c r="AC213" s="90" t="str">
        <f aca="false">IFERROR(IF([2]对账明细接口!$X214=0,"",[2]对账明细接口!$X214),"")</f>
        <v/>
      </c>
      <c r="AD213" s="90" t="str">
        <f aca="false">IFERROR(IF([2]对账明细接口!$Y214=0,"",[2]对账明细接口!$Y214),"")</f>
        <v/>
      </c>
      <c r="AE213" s="90" t="str">
        <f aca="false">IFERROR(IF([2]对账明细接口!$AA214=0,"",[2]对账明细接口!$AA214),"")</f>
        <v/>
      </c>
      <c r="AF213" s="90" t="str">
        <f aca="false">IFERROR(IF([2]对账明细接口!$AB214=0,"",[2]对账明细接口!$AB214),"")</f>
        <v/>
      </c>
      <c r="AG213" s="90" t="str">
        <f aca="false">IFERROR(IF([2]对账明细接口!$AC214=0,"",[2]对账明细接口!$AC214),"")</f>
        <v/>
      </c>
      <c r="AH213" s="90" t="str">
        <f aca="false">IFERROR(IF([2]对账明细接口!$AD214=0,"",[2]对账明细接口!$AD214),"")</f>
        <v/>
      </c>
    </row>
    <row r="214" customFormat="false" ht="13.5" hidden="false" customHeight="false" outlineLevel="0" collapsed="false">
      <c r="A214" s="109" t="n">
        <v>214</v>
      </c>
      <c r="B214" s="110" t="n">
        <f aca="false">IFERROR(IF([2]对账明细接口!$B$214=0,"",[2]对账明细接口!$B$214),"")</f>
        <v>46278</v>
      </c>
      <c r="C214" s="59" t="str">
        <f aca="false">IFERROR(IF([2]对账明细接口!$C$214=0,"",[2]对账明细接口!$C$214),"")</f>
        <v>吐尔洪</v>
      </c>
      <c r="D214" s="59" t="str">
        <f aca="false">IFERROR(IF([2]对账明细接口!$D$214=0,"",[2]对账明细接口!$D$214),"")</f>
        <v>原料入库</v>
      </c>
      <c r="E214" s="59" t="str">
        <f aca="false">IFERROR(IF([2]对账明细接口!$E$214=0,"",[2]对账明细接口!$E$214),"")</f>
        <v>NO:0000799</v>
      </c>
      <c r="F214" s="59" t="str">
        <f aca="false">IFERROR(IF([2]对账明细接口!$F$214=0,"",[2]对账明细接口!$F$214),"")</f>
        <v>香梨</v>
      </c>
      <c r="G214" s="59" t="str">
        <f aca="false">IFERROR(IF([2]对账明细接口!$G$214=0,"",[2]对账明细接口!$G$214),"")</f>
        <v>香梨特级</v>
      </c>
      <c r="H214" s="60" t="n">
        <f aca="false">IFERROR(IF([2]对账明细接口!$H$214=0,"",[2]对账明细接口!$H$214),"")</f>
        <v>133</v>
      </c>
      <c r="I214" s="59" t="str">
        <f aca="false">IFERROR(IF([2]对账明细接口!$I$214=0,"",[2]对账明细接口!$I$214),"")</f>
        <v>筐</v>
      </c>
      <c r="J214" s="61" t="n">
        <f aca="false">IFERROR(IF([2]对账明细接口!$J$214=0,"",[2]对账明细接口!$J$214),"")</f>
        <v>2433.9</v>
      </c>
      <c r="K214" s="61" t="str">
        <f aca="false">IFERROR(IF([2]对账明细接口!$K$214=0,"",[2]对账明细接口!$K$214),"")</f>
        <v/>
      </c>
      <c r="L214" s="59" t="str">
        <f aca="false">IFERROR(IF([2]对账明细接口!$L$214=0,"",[2]对账明细接口!$L$214),"")</f>
        <v/>
      </c>
      <c r="M214" s="59" t="str">
        <f aca="false">IFERROR(IF([2]对账明细接口!$M$214=0,"",[2]对账明细接口!$M$214),"")</f>
        <v/>
      </c>
      <c r="N214" s="111" t="n">
        <f aca="false">IF($C214="",0,1)</f>
        <v>1</v>
      </c>
      <c r="O214" s="111" t="n">
        <f aca="false">N(O213)+$N214</f>
        <v>211</v>
      </c>
      <c r="S214" s="10" t="str">
        <f aca="false">IFERROR(IF([2]对账明细接口!$N214=0,"",[2]对账明细接口!$N214),"")</f>
        <v>公司红周转筐</v>
      </c>
      <c r="T214" s="112" t="str">
        <f aca="false">IFERROR(IF([2]对账明细接口!$O214=0,"",[2]对账明细接口!$O214),"")</f>
        <v/>
      </c>
      <c r="U214" s="112" t="str">
        <f aca="false">IFERROR(IF([2]对账明细接口!$P214=0,"",[2]对账明细接口!$P214),"")</f>
        <v/>
      </c>
      <c r="V214" s="112" t="n">
        <f aca="false">IFERROR(IF([2]对账明细接口!$Q214=0,"",[2]对账明细接口!$Q214),"")</f>
        <v>133</v>
      </c>
      <c r="W214" s="10" t="str">
        <f aca="false">IFERROR(IF([2]对账明细接口!$R214=0,"",[2]对账明细接口!$R214),"")</f>
        <v>新N*X8S48</v>
      </c>
      <c r="X214" s="10" t="str">
        <f aca="false">IFERROR(IF([2]对账明细接口!$S214=0,"",[2]对账明细接口!$S214),"")</f>
        <v>公司筐</v>
      </c>
      <c r="Y214" s="10" t="str">
        <f aca="false">IFERROR(IF([2]对账明细接口!$T214=0,"",[2]对账明细接口!$T214),"")</f>
        <v/>
      </c>
      <c r="Z214" s="113" t="str">
        <f aca="false">IFERROR(IF([2]对账明细接口!$U214=0,"",[2]对账明细接口!$U214),"")</f>
        <v/>
      </c>
      <c r="AA214" s="113" t="str">
        <f aca="false">IFERROR(IF([2]对账明细接口!$V214=0,"",[2]对账明细接口!$V214),"")</f>
        <v/>
      </c>
      <c r="AB214" s="10" t="str">
        <f aca="false">IFERROR(IF([2]对账明细接口!$W214=0,"",[2]对账明细接口!$W214),"")</f>
        <v/>
      </c>
      <c r="AC214" s="90" t="str">
        <f aca="false">IFERROR(IF([2]对账明细接口!$X215=0,"",[2]对账明细接口!$X215),"")</f>
        <v/>
      </c>
      <c r="AD214" s="90" t="str">
        <f aca="false">IFERROR(IF([2]对账明细接口!$Y215=0,"",[2]对账明细接口!$Y215),"")</f>
        <v/>
      </c>
      <c r="AE214" s="90" t="str">
        <f aca="false">IFERROR(IF([2]对账明细接口!$AA215=0,"",[2]对账明细接口!$AA215),"")</f>
        <v/>
      </c>
      <c r="AF214" s="90" t="str">
        <f aca="false">IFERROR(IF([2]对账明细接口!$AB215=0,"",[2]对账明细接口!$AB215),"")</f>
        <v/>
      </c>
      <c r="AG214" s="90" t="str">
        <f aca="false">IFERROR(IF([2]对账明细接口!$AC215=0,"",[2]对账明细接口!$AC215),"")</f>
        <v/>
      </c>
      <c r="AH214" s="90" t="str">
        <f aca="false">IFERROR(IF([2]对账明细接口!$AD215=0,"",[2]对账明细接口!$AD215),"")</f>
        <v/>
      </c>
    </row>
    <row r="215" customFormat="false" ht="13.5" hidden="false" customHeight="false" outlineLevel="0" collapsed="false">
      <c r="A215" s="109" t="n">
        <v>215</v>
      </c>
      <c r="B215" s="110" t="n">
        <f aca="false">IFERROR(IF([2]对账明细接口!$B$215=0,"",[2]对账明细接口!$B$215),"")</f>
        <v>46278</v>
      </c>
      <c r="C215" s="59" t="str">
        <f aca="false">IFERROR(IF([2]对账明细接口!$C$215=0,"",[2]对账明细接口!$C$215),"")</f>
        <v>吐尔洪</v>
      </c>
      <c r="D215" s="59" t="str">
        <f aca="false">IFERROR(IF([2]对账明细接口!$D$215=0,"",[2]对账明细接口!$D$215),"")</f>
        <v>原料入库</v>
      </c>
      <c r="E215" s="59" t="str">
        <f aca="false">IFERROR(IF([2]对账明细接口!$E$215=0,"",[2]对账明细接口!$E$215),"")</f>
        <v>NO:0000799</v>
      </c>
      <c r="F215" s="59" t="str">
        <f aca="false">IFERROR(IF([2]对账明细接口!$F$215=0,"",[2]对账明细接口!$F$215),"")</f>
        <v>香梨</v>
      </c>
      <c r="G215" s="59" t="str">
        <f aca="false">IFERROR(IF([2]对账明细接口!$G$215=0,"",[2]对账明细接口!$G$215),"")</f>
        <v>香梨一级</v>
      </c>
      <c r="H215" s="60" t="n">
        <f aca="false">IFERROR(IF([2]对账明细接口!$H$215=0,"",[2]对账明细接口!$H$215),"")</f>
        <v>50</v>
      </c>
      <c r="I215" s="59" t="str">
        <f aca="false">IFERROR(IF([2]对账明细接口!$I$215=0,"",[2]对账明细接口!$I$215),"")</f>
        <v>筐</v>
      </c>
      <c r="J215" s="61" t="n">
        <f aca="false">IFERROR(IF([2]对账明细接口!$J$215=0,"",[2]对账明细接口!$J$215),"")</f>
        <v>915</v>
      </c>
      <c r="K215" s="61" t="str">
        <f aca="false">IFERROR(IF([2]对账明细接口!$K$215=0,"",[2]对账明细接口!$K$215),"")</f>
        <v/>
      </c>
      <c r="L215" s="59" t="str">
        <f aca="false">IFERROR(IF([2]对账明细接口!$L$215=0,"",[2]对账明细接口!$L$215),"")</f>
        <v/>
      </c>
      <c r="M215" s="59" t="str">
        <f aca="false">IFERROR(IF([2]对账明细接口!$M$215=0,"",[2]对账明细接口!$M$215),"")</f>
        <v/>
      </c>
      <c r="N215" s="111" t="n">
        <f aca="false">IF($C215="",0,1)</f>
        <v>1</v>
      </c>
      <c r="O215" s="111" t="n">
        <f aca="false">N(O214)+$N215</f>
        <v>212</v>
      </c>
      <c r="S215" s="10" t="str">
        <f aca="false">IFERROR(IF([2]对账明细接口!$N215=0,"",[2]对账明细接口!$N215),"")</f>
        <v>公司红周转筐</v>
      </c>
      <c r="T215" s="112" t="str">
        <f aca="false">IFERROR(IF([2]对账明细接口!$O215=0,"",[2]对账明细接口!$O215),"")</f>
        <v/>
      </c>
      <c r="U215" s="112" t="str">
        <f aca="false">IFERROR(IF([2]对账明细接口!$P215=0,"",[2]对账明细接口!$P215),"")</f>
        <v/>
      </c>
      <c r="V215" s="112" t="n">
        <f aca="false">IFERROR(IF([2]对账明细接口!$Q215=0,"",[2]对账明细接口!$Q215),"")</f>
        <v>50</v>
      </c>
      <c r="W215" s="10" t="str">
        <f aca="false">IFERROR(IF([2]对账明细接口!$R215=0,"",[2]对账明细接口!$R215),"")</f>
        <v>新N*X8S48</v>
      </c>
      <c r="X215" s="10" t="str">
        <f aca="false">IFERROR(IF([2]对账明细接口!$S215=0,"",[2]对账明细接口!$S215),"")</f>
        <v>公司筐</v>
      </c>
      <c r="Y215" s="10" t="str">
        <f aca="false">IFERROR(IF([2]对账明细接口!$T215=0,"",[2]对账明细接口!$T215),"")</f>
        <v/>
      </c>
      <c r="Z215" s="113" t="str">
        <f aca="false">IFERROR(IF([2]对账明细接口!$U215=0,"",[2]对账明细接口!$U215),"")</f>
        <v/>
      </c>
      <c r="AA215" s="113" t="str">
        <f aca="false">IFERROR(IF([2]对账明细接口!$V215=0,"",[2]对账明细接口!$V215),"")</f>
        <v/>
      </c>
      <c r="AB215" s="10" t="str">
        <f aca="false">IFERROR(IF([2]对账明细接口!$W215=0,"",[2]对账明细接口!$W215),"")</f>
        <v/>
      </c>
      <c r="AC215" s="90" t="str">
        <f aca="false">IFERROR(IF([2]对账明细接口!$X216=0,"",[2]对账明细接口!$X216),"")</f>
        <v/>
      </c>
      <c r="AD215" s="90" t="str">
        <f aca="false">IFERROR(IF([2]对账明细接口!$Y216=0,"",[2]对账明细接口!$Y216),"")</f>
        <v/>
      </c>
      <c r="AE215" s="90" t="str">
        <f aca="false">IFERROR(IF([2]对账明细接口!$AA216=0,"",[2]对账明细接口!$AA216),"")</f>
        <v/>
      </c>
      <c r="AF215" s="90" t="str">
        <f aca="false">IFERROR(IF([2]对账明细接口!$AB216=0,"",[2]对账明细接口!$AB216),"")</f>
        <v/>
      </c>
      <c r="AG215" s="90" t="str">
        <f aca="false">IFERROR(IF([2]对账明细接口!$AC216=0,"",[2]对账明细接口!$AC216),"")</f>
        <v/>
      </c>
      <c r="AH215" s="90" t="str">
        <f aca="false">IFERROR(IF([2]对账明细接口!$AD216=0,"",[2]对账明细接口!$AD216),"")</f>
        <v/>
      </c>
    </row>
    <row r="216" customFormat="false" ht="13.5" hidden="false" customHeight="false" outlineLevel="0" collapsed="false">
      <c r="A216" s="109" t="n">
        <v>216</v>
      </c>
      <c r="B216" s="110" t="n">
        <f aca="false">IFERROR(IF([2]对账明细接口!$B$216=0,"",[2]对账明细接口!$B$216),"")</f>
        <v>46278</v>
      </c>
      <c r="C216" s="59" t="str">
        <f aca="false">IFERROR(IF([2]对账明细接口!$C$216=0,"",[2]对账明细接口!$C$216),"")</f>
        <v>吐尔洪</v>
      </c>
      <c r="D216" s="59" t="str">
        <f aca="false">IFERROR(IF([2]对账明细接口!$D$216=0,"",[2]对账明细接口!$D$216),"")</f>
        <v>原料入库</v>
      </c>
      <c r="E216" s="59" t="str">
        <f aca="false">IFERROR(IF([2]对账明细接口!$E$216=0,"",[2]对账明细接口!$E$216),"")</f>
        <v>NO:0000799</v>
      </c>
      <c r="F216" s="59" t="str">
        <f aca="false">IFERROR(IF([2]对账明细接口!$F$216=0,"",[2]对账明细接口!$F$216),"")</f>
        <v>香梨</v>
      </c>
      <c r="G216" s="59" t="str">
        <f aca="false">IFERROR(IF([2]对账明细接口!$G$216=0,"",[2]对账明细接口!$G$216),"")</f>
        <v>香梨二级</v>
      </c>
      <c r="H216" s="60" t="n">
        <f aca="false">IFERROR(IF([2]对账明细接口!$H$216=0,"",[2]对账明细接口!$H$216),"")</f>
        <v>101</v>
      </c>
      <c r="I216" s="59" t="str">
        <f aca="false">IFERROR(IF([2]对账明细接口!$I$216=0,"",[2]对账明细接口!$I$216),"")</f>
        <v>筐</v>
      </c>
      <c r="J216" s="61" t="n">
        <f aca="false">IFERROR(IF([2]对账明细接口!$J$216=0,"",[2]对账明细接口!$J$216),"")</f>
        <v>2252.3</v>
      </c>
      <c r="K216" s="61" t="str">
        <f aca="false">IFERROR(IF([2]对账明细接口!$K$216=0,"",[2]对账明细接口!$K$216),"")</f>
        <v/>
      </c>
      <c r="L216" s="59" t="str">
        <f aca="false">IFERROR(IF([2]对账明细接口!$L$216=0,"",[2]对账明细接口!$L$216),"")</f>
        <v/>
      </c>
      <c r="M216" s="59" t="str">
        <f aca="false">IFERROR(IF([2]对账明细接口!$M$216=0,"",[2]对账明细接口!$M$216),"")</f>
        <v/>
      </c>
      <c r="N216" s="111" t="n">
        <f aca="false">IF($C216="",0,1)</f>
        <v>1</v>
      </c>
      <c r="O216" s="111" t="n">
        <f aca="false">N(O215)+$N216</f>
        <v>213</v>
      </c>
      <c r="S216" s="10" t="str">
        <f aca="false">IFERROR(IF([2]对账明细接口!$N216=0,"",[2]对账明细接口!$N216),"")</f>
        <v>公司红周转筐</v>
      </c>
      <c r="T216" s="112" t="str">
        <f aca="false">IFERROR(IF([2]对账明细接口!$O216=0,"",[2]对账明细接口!$O216),"")</f>
        <v/>
      </c>
      <c r="U216" s="112" t="str">
        <f aca="false">IFERROR(IF([2]对账明细接口!$P216=0,"",[2]对账明细接口!$P216),"")</f>
        <v/>
      </c>
      <c r="V216" s="112" t="n">
        <f aca="false">IFERROR(IF([2]对账明细接口!$Q216=0,"",[2]对账明细接口!$Q216),"")</f>
        <v>101</v>
      </c>
      <c r="W216" s="10" t="str">
        <f aca="false">IFERROR(IF([2]对账明细接口!$R216=0,"",[2]对账明细接口!$R216),"")</f>
        <v>新N*X8S48</v>
      </c>
      <c r="X216" s="10" t="str">
        <f aca="false">IFERROR(IF([2]对账明细接口!$S216=0,"",[2]对账明细接口!$S216),"")</f>
        <v>公司筐</v>
      </c>
      <c r="Y216" s="10" t="str">
        <f aca="false">IFERROR(IF([2]对账明细接口!$T216=0,"",[2]对账明细接口!$T216),"")</f>
        <v/>
      </c>
      <c r="Z216" s="113" t="str">
        <f aca="false">IFERROR(IF([2]对账明细接口!$U216=0,"",[2]对账明细接口!$U216),"")</f>
        <v/>
      </c>
      <c r="AA216" s="113" t="str">
        <f aca="false">IFERROR(IF([2]对账明细接口!$V216=0,"",[2]对账明细接口!$V216),"")</f>
        <v/>
      </c>
      <c r="AB216" s="10" t="str">
        <f aca="false">IFERROR(IF([2]对账明细接口!$W216=0,"",[2]对账明细接口!$W216),"")</f>
        <v/>
      </c>
      <c r="AC216" s="90" t="str">
        <f aca="false">IFERROR(IF([2]对账明细接口!$X217=0,"",[2]对账明细接口!$X217),"")</f>
        <v/>
      </c>
      <c r="AD216" s="90" t="str">
        <f aca="false">IFERROR(IF([2]对账明细接口!$Y217=0,"",[2]对账明细接口!$Y217),"")</f>
        <v/>
      </c>
      <c r="AE216" s="90" t="str">
        <f aca="false">IFERROR(IF([2]对账明细接口!$AA217=0,"",[2]对账明细接口!$AA217),"")</f>
        <v/>
      </c>
      <c r="AF216" s="90" t="str">
        <f aca="false">IFERROR(IF([2]对账明细接口!$AB217=0,"",[2]对账明细接口!$AB217),"")</f>
        <v/>
      </c>
      <c r="AG216" s="90" t="str">
        <f aca="false">IFERROR(IF([2]对账明细接口!$AC217=0,"",[2]对账明细接口!$AC217),"")</f>
        <v/>
      </c>
      <c r="AH216" s="90" t="str">
        <f aca="false">IFERROR(IF([2]对账明细接口!$AD217=0,"",[2]对账明细接口!$AD217),"")</f>
        <v/>
      </c>
    </row>
    <row r="217" customFormat="false" ht="13.5" hidden="false" customHeight="false" outlineLevel="0" collapsed="false">
      <c r="A217" s="109" t="n">
        <v>217</v>
      </c>
      <c r="B217" s="110" t="n">
        <f aca="false">IFERROR(IF([2]对账明细接口!$B$217=0,"",[2]对账明细接口!$B$217),"")</f>
        <v>46278</v>
      </c>
      <c r="C217" s="59" t="str">
        <f aca="false">IFERROR(IF([2]对账明细接口!$C$217=0,"",[2]对账明细接口!$C$217),"")</f>
        <v>热合曼</v>
      </c>
      <c r="D217" s="59" t="str">
        <f aca="false">IFERROR(IF([2]对账明细接口!$D$217=0,"",[2]对账明细接口!$D$217),"")</f>
        <v>原料入库</v>
      </c>
      <c r="E217" s="59" t="str">
        <f aca="false">IFERROR(IF([2]对账明细接口!$E$217=0,"",[2]对账明细接口!$E$217),"")</f>
        <v>NO:0000800</v>
      </c>
      <c r="F217" s="59" t="str">
        <f aca="false">IFERROR(IF([2]对账明细接口!$F$217=0,"",[2]对账明细接口!$F$217),"")</f>
        <v>香梨</v>
      </c>
      <c r="G217" s="59" t="str">
        <f aca="false">IFERROR(IF([2]对账明细接口!$G$217=0,"",[2]对账明细接口!$G$217),"")</f>
        <v>香梨副特</v>
      </c>
      <c r="H217" s="60" t="n">
        <f aca="false">IFERROR(IF([2]对账明细接口!$H$217=0,"",[2]对账明细接口!$H$217),"")</f>
        <v>232</v>
      </c>
      <c r="I217" s="59" t="str">
        <f aca="false">IFERROR(IF([2]对账明细接口!$I$217=0,"",[2]对账明细接口!$I$217),"")</f>
        <v>筐</v>
      </c>
      <c r="J217" s="61" t="n">
        <f aca="false">IFERROR(IF([2]对账明细接口!$J$217=0,"",[2]对账明细接口!$J$217),"")</f>
        <v>4477.6</v>
      </c>
      <c r="K217" s="61" t="str">
        <f aca="false">IFERROR(IF([2]对账明细接口!$K$217=0,"",[2]对账明细接口!$K$217),"")</f>
        <v/>
      </c>
      <c r="L217" s="59" t="str">
        <f aca="false">IFERROR(IF([2]对账明细接口!$L$217=0,"",[2]对账明细接口!$L$217),"")</f>
        <v/>
      </c>
      <c r="M217" s="59" t="str">
        <f aca="false">IFERROR(IF([2]对账明细接口!$M$217=0,"",[2]对账明细接口!$M$217),"")</f>
        <v/>
      </c>
      <c r="N217" s="111" t="n">
        <f aca="false">IF($C217="",0,1)</f>
        <v>1</v>
      </c>
      <c r="O217" s="111" t="n">
        <f aca="false">N(O216)+$N217</f>
        <v>214</v>
      </c>
      <c r="S217" s="10" t="str">
        <f aca="false">IFERROR(IF([2]对账明细接口!$N217=0,"",[2]对账明细接口!$N217),"")</f>
        <v>公司红周转筐</v>
      </c>
      <c r="T217" s="112" t="str">
        <f aca="false">IFERROR(IF([2]对账明细接口!$O217=0,"",[2]对账明细接口!$O217),"")</f>
        <v/>
      </c>
      <c r="U217" s="112" t="str">
        <f aca="false">IFERROR(IF([2]对账明细接口!$P217=0,"",[2]对账明细接口!$P217),"")</f>
        <v/>
      </c>
      <c r="V217" s="112" t="n">
        <f aca="false">IFERROR(IF([2]对账明细接口!$Q217=0,"",[2]对账明细接口!$Q217),"")</f>
        <v>232</v>
      </c>
      <c r="W217" s="10" t="str">
        <f aca="false">IFERROR(IF([2]对账明细接口!$R217=0,"",[2]对账明细接口!$R217),"")</f>
        <v>新A*G0554</v>
      </c>
      <c r="X217" s="10" t="str">
        <f aca="false">IFERROR(IF([2]对账明细接口!$S217=0,"",[2]对账明细接口!$S217),"")</f>
        <v>公司筐</v>
      </c>
      <c r="Y217" s="10" t="str">
        <f aca="false">IFERROR(IF([2]对账明细接口!$T217=0,"",[2]对账明细接口!$T217),"")</f>
        <v/>
      </c>
      <c r="Z217" s="113" t="str">
        <f aca="false">IFERROR(IF([2]对账明细接口!$U217=0,"",[2]对账明细接口!$U217),"")</f>
        <v/>
      </c>
      <c r="AA217" s="113" t="str">
        <f aca="false">IFERROR(IF([2]对账明细接口!$V217=0,"",[2]对账明细接口!$V217),"")</f>
        <v/>
      </c>
      <c r="AB217" s="10" t="str">
        <f aca="false">IFERROR(IF([2]对账明细接口!$W217=0,"",[2]对账明细接口!$W217),"")</f>
        <v/>
      </c>
      <c r="AC217" s="90" t="str">
        <f aca="false">IFERROR(IF([2]对账明细接口!$X218=0,"",[2]对账明细接口!$X218),"")</f>
        <v/>
      </c>
      <c r="AD217" s="90" t="str">
        <f aca="false">IFERROR(IF([2]对账明细接口!$Y218=0,"",[2]对账明细接口!$Y218),"")</f>
        <v/>
      </c>
      <c r="AE217" s="90" t="str">
        <f aca="false">IFERROR(IF([2]对账明细接口!$AA218=0,"",[2]对账明细接口!$AA218),"")</f>
        <v/>
      </c>
      <c r="AF217" s="90" t="str">
        <f aca="false">IFERROR(IF([2]对账明细接口!$AB218=0,"",[2]对账明细接口!$AB218),"")</f>
        <v/>
      </c>
      <c r="AG217" s="90" t="str">
        <f aca="false">IFERROR(IF([2]对账明细接口!$AC218=0,"",[2]对账明细接口!$AC218),"")</f>
        <v/>
      </c>
      <c r="AH217" s="90" t="str">
        <f aca="false">IFERROR(IF([2]对账明细接口!$AD218=0,"",[2]对账明细接口!$AD218),"")</f>
        <v/>
      </c>
    </row>
    <row r="218" customFormat="false" ht="13.5" hidden="false" customHeight="false" outlineLevel="0" collapsed="false">
      <c r="A218" s="109" t="n">
        <v>218</v>
      </c>
      <c r="B218" s="110" t="n">
        <f aca="false">IFERROR(IF([2]对账明细接口!$B$218=0,"",[2]对账明细接口!$B$218),"")</f>
        <v>46278</v>
      </c>
      <c r="C218" s="59" t="str">
        <f aca="false">IFERROR(IF([2]对账明细接口!$C$218=0,"",[2]对账明细接口!$C$218),"")</f>
        <v>热合曼</v>
      </c>
      <c r="D218" s="59" t="str">
        <f aca="false">IFERROR(IF([2]对账明细接口!$D$218=0,"",[2]对账明细接口!$D$218),"")</f>
        <v>原料入库</v>
      </c>
      <c r="E218" s="59" t="str">
        <f aca="false">IFERROR(IF([2]对账明细接口!$E$218=0,"",[2]对账明细接口!$E$218),"")</f>
        <v>NO:0000800</v>
      </c>
      <c r="F218" s="59" t="str">
        <f aca="false">IFERROR(IF([2]对账明细接口!$F$218=0,"",[2]对账明细接口!$F$218),"")</f>
        <v>香梨</v>
      </c>
      <c r="G218" s="59" t="str">
        <f aca="false">IFERROR(IF([2]对账明细接口!$G$218=0,"",[2]对账明细接口!$G$218),"")</f>
        <v>香梨一级</v>
      </c>
      <c r="H218" s="60" t="n">
        <f aca="false">IFERROR(IF([2]对账明细接口!$H$218=0,"",[2]对账明细接口!$H$218),"")</f>
        <v>170</v>
      </c>
      <c r="I218" s="59" t="str">
        <f aca="false">IFERROR(IF([2]对账明细接口!$I$218=0,"",[2]对账明细接口!$I$218),"")</f>
        <v>筐</v>
      </c>
      <c r="J218" s="61" t="n">
        <f aca="false">IFERROR(IF([2]对账明细接口!$J$218=0,"",[2]对账明细接口!$J$218),"")</f>
        <v>3111</v>
      </c>
      <c r="K218" s="61" t="str">
        <f aca="false">IFERROR(IF([2]对账明细接口!$K$218=0,"",[2]对账明细接口!$K$218),"")</f>
        <v/>
      </c>
      <c r="L218" s="59" t="str">
        <f aca="false">IFERROR(IF([2]对账明细接口!$L$218=0,"",[2]对账明细接口!$L$218),"")</f>
        <v/>
      </c>
      <c r="M218" s="59" t="str">
        <f aca="false">IFERROR(IF([2]对账明细接口!$M$218=0,"",[2]对账明细接口!$M$218),"")</f>
        <v/>
      </c>
      <c r="N218" s="111" t="n">
        <f aca="false">IF($C218="",0,1)</f>
        <v>1</v>
      </c>
      <c r="O218" s="111" t="n">
        <f aca="false">N(O217)+$N218</f>
        <v>215</v>
      </c>
      <c r="S218" s="10" t="str">
        <f aca="false">IFERROR(IF([2]对账明细接口!$N218=0,"",[2]对账明细接口!$N218),"")</f>
        <v>公司红周转筐</v>
      </c>
      <c r="T218" s="112" t="str">
        <f aca="false">IFERROR(IF([2]对账明细接口!$O218=0,"",[2]对账明细接口!$O218),"")</f>
        <v/>
      </c>
      <c r="U218" s="112" t="str">
        <f aca="false">IFERROR(IF([2]对账明细接口!$P218=0,"",[2]对账明细接口!$P218),"")</f>
        <v/>
      </c>
      <c r="V218" s="112" t="n">
        <f aca="false">IFERROR(IF([2]对账明细接口!$Q218=0,"",[2]对账明细接口!$Q218),"")</f>
        <v>170</v>
      </c>
      <c r="W218" s="10" t="str">
        <f aca="false">IFERROR(IF([2]对账明细接口!$R218=0,"",[2]对账明细接口!$R218),"")</f>
        <v>新A*G0554</v>
      </c>
      <c r="X218" s="10" t="str">
        <f aca="false">IFERROR(IF([2]对账明细接口!$S218=0,"",[2]对账明细接口!$S218),"")</f>
        <v>公司筐</v>
      </c>
      <c r="Y218" s="10" t="str">
        <f aca="false">IFERROR(IF([2]对账明细接口!$T218=0,"",[2]对账明细接口!$T218),"")</f>
        <v/>
      </c>
      <c r="Z218" s="113" t="str">
        <f aca="false">IFERROR(IF([2]对账明细接口!$U218=0,"",[2]对账明细接口!$U218),"")</f>
        <v/>
      </c>
      <c r="AA218" s="113" t="str">
        <f aca="false">IFERROR(IF([2]对账明细接口!$V218=0,"",[2]对账明细接口!$V218),"")</f>
        <v/>
      </c>
      <c r="AB218" s="10" t="str">
        <f aca="false">IFERROR(IF([2]对账明细接口!$W218=0,"",[2]对账明细接口!$W218),"")</f>
        <v/>
      </c>
      <c r="AC218" s="90" t="str">
        <f aca="false">IFERROR(IF([2]对账明细接口!$X219=0,"",[2]对账明细接口!$X219),"")</f>
        <v/>
      </c>
      <c r="AD218" s="90" t="str">
        <f aca="false">IFERROR(IF([2]对账明细接口!$Y219=0,"",[2]对账明细接口!$Y219),"")</f>
        <v/>
      </c>
      <c r="AE218" s="90" t="str">
        <f aca="false">IFERROR(IF([2]对账明细接口!$AA219=0,"",[2]对账明细接口!$AA219),"")</f>
        <v/>
      </c>
      <c r="AF218" s="90" t="str">
        <f aca="false">IFERROR(IF([2]对账明细接口!$AB219=0,"",[2]对账明细接口!$AB219),"")</f>
        <v/>
      </c>
      <c r="AG218" s="90" t="str">
        <f aca="false">IFERROR(IF([2]对账明细接口!$AC219=0,"",[2]对账明细接口!$AC219),"")</f>
        <v/>
      </c>
      <c r="AH218" s="90" t="str">
        <f aca="false">IFERROR(IF([2]对账明细接口!$AD219=0,"",[2]对账明细接口!$AD219),"")</f>
        <v/>
      </c>
    </row>
    <row r="219" customFormat="false" ht="13.5" hidden="false" customHeight="false" outlineLevel="0" collapsed="false">
      <c r="A219" s="109" t="n">
        <v>219</v>
      </c>
      <c r="B219" s="110" t="n">
        <f aca="false">IFERROR(IF([2]对账明细接口!$B$219=0,"",[2]对账明细接口!$B$219),"")</f>
        <v>46278</v>
      </c>
      <c r="C219" s="59" t="str">
        <f aca="false">IFERROR(IF([2]对账明细接口!$C$219=0,"",[2]对账明细接口!$C$219),"")</f>
        <v>热合曼</v>
      </c>
      <c r="D219" s="59" t="str">
        <f aca="false">IFERROR(IF([2]对账明细接口!$D$219=0,"",[2]对账明细接口!$D$219),"")</f>
        <v>原料入库</v>
      </c>
      <c r="E219" s="59" t="str">
        <f aca="false">IFERROR(IF([2]对账明细接口!$E$219=0,"",[2]对账明细接口!$E$219),"")</f>
        <v>NO:0000800</v>
      </c>
      <c r="F219" s="59" t="str">
        <f aca="false">IFERROR(IF([2]对账明细接口!$F$219=0,"",[2]对账明细接口!$F$219),"")</f>
        <v>香梨</v>
      </c>
      <c r="G219" s="59" t="str">
        <f aca="false">IFERROR(IF([2]对账明细接口!$G$219=0,"",[2]对账明细接口!$G$219),"")</f>
        <v>香梨二级</v>
      </c>
      <c r="H219" s="60" t="n">
        <f aca="false">IFERROR(IF([2]对账明细接口!$H$219=0,"",[2]对账明细接口!$H$219),"")</f>
        <v>30</v>
      </c>
      <c r="I219" s="59" t="str">
        <f aca="false">IFERROR(IF([2]对账明细接口!$I$219=0,"",[2]对账明细接口!$I$219),"")</f>
        <v>筐</v>
      </c>
      <c r="J219" s="61" t="n">
        <f aca="false">IFERROR(IF([2]对账明细接口!$J$219=0,"",[2]对账明细接口!$J$219),"")</f>
        <v>669</v>
      </c>
      <c r="K219" s="61" t="str">
        <f aca="false">IFERROR(IF([2]对账明细接口!$K$219=0,"",[2]对账明细接口!$K$219),"")</f>
        <v/>
      </c>
      <c r="L219" s="59" t="str">
        <f aca="false">IFERROR(IF([2]对账明细接口!$L$219=0,"",[2]对账明细接口!$L$219),"")</f>
        <v/>
      </c>
      <c r="M219" s="59" t="str">
        <f aca="false">IFERROR(IF([2]对账明细接口!$M$219=0,"",[2]对账明细接口!$M$219),"")</f>
        <v/>
      </c>
      <c r="N219" s="111" t="n">
        <f aca="false">IF($C219="",0,1)</f>
        <v>1</v>
      </c>
      <c r="O219" s="111" t="n">
        <f aca="false">N(O218)+$N219</f>
        <v>216</v>
      </c>
      <c r="S219" s="10" t="str">
        <f aca="false">IFERROR(IF([2]对账明细接口!$N219=0,"",[2]对账明细接口!$N219),"")</f>
        <v>公司红周转筐</v>
      </c>
      <c r="T219" s="112" t="str">
        <f aca="false">IFERROR(IF([2]对账明细接口!$O219=0,"",[2]对账明细接口!$O219),"")</f>
        <v/>
      </c>
      <c r="U219" s="112" t="str">
        <f aca="false">IFERROR(IF([2]对账明细接口!$P219=0,"",[2]对账明细接口!$P219),"")</f>
        <v/>
      </c>
      <c r="V219" s="112" t="n">
        <f aca="false">IFERROR(IF([2]对账明细接口!$Q219=0,"",[2]对账明细接口!$Q219),"")</f>
        <v>30</v>
      </c>
      <c r="W219" s="10" t="str">
        <f aca="false">IFERROR(IF([2]对账明细接口!$R219=0,"",[2]对账明细接口!$R219),"")</f>
        <v>新A*G0554</v>
      </c>
      <c r="X219" s="10" t="str">
        <f aca="false">IFERROR(IF([2]对账明细接口!$S219=0,"",[2]对账明细接口!$S219),"")</f>
        <v>公司筐</v>
      </c>
      <c r="Y219" s="10" t="str">
        <f aca="false">IFERROR(IF([2]对账明细接口!$T219=0,"",[2]对账明细接口!$T219),"")</f>
        <v/>
      </c>
      <c r="Z219" s="113" t="str">
        <f aca="false">IFERROR(IF([2]对账明细接口!$U219=0,"",[2]对账明细接口!$U219),"")</f>
        <v/>
      </c>
      <c r="AA219" s="113" t="str">
        <f aca="false">IFERROR(IF([2]对账明细接口!$V219=0,"",[2]对账明细接口!$V219),"")</f>
        <v/>
      </c>
      <c r="AB219" s="10" t="str">
        <f aca="false">IFERROR(IF([2]对账明细接口!$W219=0,"",[2]对账明细接口!$W219),"")</f>
        <v/>
      </c>
      <c r="AC219" s="90" t="str">
        <f aca="false">IFERROR(IF([2]对账明细接口!$X220=0,"",[2]对账明细接口!$X220),"")</f>
        <v/>
      </c>
      <c r="AD219" s="90" t="str">
        <f aca="false">IFERROR(IF([2]对账明细接口!$Y220=0,"",[2]对账明细接口!$Y220),"")</f>
        <v/>
      </c>
      <c r="AE219" s="90" t="str">
        <f aca="false">IFERROR(IF([2]对账明细接口!$AA220=0,"",[2]对账明细接口!$AA220),"")</f>
        <v/>
      </c>
      <c r="AF219" s="90" t="str">
        <f aca="false">IFERROR(IF([2]对账明细接口!$AB220=0,"",[2]对账明细接口!$AB220),"")</f>
        <v/>
      </c>
      <c r="AG219" s="90" t="str">
        <f aca="false">IFERROR(IF([2]对账明细接口!$AC220=0,"",[2]对账明细接口!$AC220),"")</f>
        <v/>
      </c>
      <c r="AH219" s="90" t="str">
        <f aca="false">IFERROR(IF([2]对账明细接口!$AD220=0,"",[2]对账明细接口!$AD220),"")</f>
        <v/>
      </c>
    </row>
    <row r="220" customFormat="false" ht="13.5" hidden="false" customHeight="false" outlineLevel="0" collapsed="false">
      <c r="A220" s="109" t="n">
        <v>220</v>
      </c>
      <c r="B220" s="110" t="n">
        <f aca="false">IFERROR(IF([2]对账明细接口!$B$220=0,"",[2]对账明细接口!$B$220),"")</f>
        <v>46278</v>
      </c>
      <c r="C220" s="59" t="str">
        <f aca="false">IFERROR(IF([2]对账明细接口!$C$220=0,"",[2]对账明细接口!$C$220),"")</f>
        <v>努尔敦</v>
      </c>
      <c r="D220" s="59" t="str">
        <f aca="false">IFERROR(IF([2]对账明细接口!$D$220=0,"",[2]对账明细接口!$D$220),"")</f>
        <v>原料入库</v>
      </c>
      <c r="E220" s="59" t="str">
        <f aca="false">IFERROR(IF([2]对账明细接口!$E$220=0,"",[2]对账明细接口!$E$220),"")</f>
        <v>NO:0000851</v>
      </c>
      <c r="F220" s="59" t="str">
        <f aca="false">IFERROR(IF([2]对账明细接口!$F$220=0,"",[2]对账明细接口!$F$220),"")</f>
        <v>香梨</v>
      </c>
      <c r="G220" s="59" t="str">
        <f aca="false">IFERROR(IF([2]对账明细接口!$G$220=0,"",[2]对账明细接口!$G$220),"")</f>
        <v>香梨特级</v>
      </c>
      <c r="H220" s="60" t="n">
        <f aca="false">IFERROR(IF([2]对账明细接口!$H$220=0,"",[2]对账明细接口!$H$220),"")</f>
        <v>162</v>
      </c>
      <c r="I220" s="59" t="str">
        <f aca="false">IFERROR(IF([2]对账明细接口!$I$220=0,"",[2]对账明细接口!$I$220),"")</f>
        <v>筐</v>
      </c>
      <c r="J220" s="61" t="n">
        <f aca="false">IFERROR(IF([2]对账明细接口!$J$220=0,"",[2]对账明细接口!$J$220),"")</f>
        <v>2964.6</v>
      </c>
      <c r="K220" s="61" t="str">
        <f aca="false">IFERROR(IF([2]对账明细接口!$K$220=0,"",[2]对账明细接口!$K$220),"")</f>
        <v/>
      </c>
      <c r="L220" s="59" t="str">
        <f aca="false">IFERROR(IF([2]对账明细接口!$L$220=0,"",[2]对账明细接口!$L$220),"")</f>
        <v/>
      </c>
      <c r="M220" s="59" t="str">
        <f aca="false">IFERROR(IF([2]对账明细接口!$M$220=0,"",[2]对账明细接口!$M$220),"")</f>
        <v/>
      </c>
      <c r="N220" s="111" t="n">
        <f aca="false">IF($C220="",0,1)</f>
        <v>1</v>
      </c>
      <c r="O220" s="111" t="n">
        <f aca="false">N(O219)+$N220</f>
        <v>217</v>
      </c>
      <c r="S220" s="10" t="str">
        <f aca="false">IFERROR(IF([2]对账明细接口!$N220=0,"",[2]对账明细接口!$N220),"")</f>
        <v>公司红周转筐</v>
      </c>
      <c r="T220" s="112" t="str">
        <f aca="false">IFERROR(IF([2]对账明细接口!$O220=0,"",[2]对账明细接口!$O220),"")</f>
        <v/>
      </c>
      <c r="U220" s="112" t="str">
        <f aca="false">IFERROR(IF([2]对账明细接口!$P220=0,"",[2]对账明细接口!$P220),"")</f>
        <v/>
      </c>
      <c r="V220" s="112" t="n">
        <f aca="false">IFERROR(IF([2]对账明细接口!$Q220=0,"",[2]对账明细接口!$Q220),"")</f>
        <v>162</v>
      </c>
      <c r="W220" s="10" t="str">
        <f aca="false">IFERROR(IF([2]对账明细接口!$R220=0,"",[2]对账明细接口!$R220),"")</f>
        <v>新F*75240</v>
      </c>
      <c r="X220" s="10" t="str">
        <f aca="false">IFERROR(IF([2]对账明细接口!$S220=0,"",[2]对账明细接口!$S220),"")</f>
        <v>公司筐</v>
      </c>
      <c r="Y220" s="10" t="str">
        <f aca="false">IFERROR(IF([2]对账明细接口!$T220=0,"",[2]对账明细接口!$T220),"")</f>
        <v/>
      </c>
      <c r="Z220" s="113" t="str">
        <f aca="false">IFERROR(IF([2]对账明细接口!$U220=0,"",[2]对账明细接口!$U220),"")</f>
        <v/>
      </c>
      <c r="AA220" s="113" t="str">
        <f aca="false">IFERROR(IF([2]对账明细接口!$V220=0,"",[2]对账明细接口!$V220),"")</f>
        <v/>
      </c>
      <c r="AB220" s="10" t="str">
        <f aca="false">IFERROR(IF([2]对账明细接口!$W220=0,"",[2]对账明细接口!$W220),"")</f>
        <v/>
      </c>
      <c r="AC220" s="90" t="str">
        <f aca="false">IFERROR(IF([2]对账明细接口!$X221=0,"",[2]对账明细接口!$X221),"")</f>
        <v/>
      </c>
      <c r="AD220" s="90" t="str">
        <f aca="false">IFERROR(IF([2]对账明细接口!$Y221=0,"",[2]对账明细接口!$Y221),"")</f>
        <v/>
      </c>
      <c r="AE220" s="90" t="str">
        <f aca="false">IFERROR(IF([2]对账明细接口!$AA221=0,"",[2]对账明细接口!$AA221),"")</f>
        <v/>
      </c>
      <c r="AF220" s="90" t="str">
        <f aca="false">IFERROR(IF([2]对账明细接口!$AB221=0,"",[2]对账明细接口!$AB221),"")</f>
        <v/>
      </c>
      <c r="AG220" s="90" t="str">
        <f aca="false">IFERROR(IF([2]对账明细接口!$AC221=0,"",[2]对账明细接口!$AC221),"")</f>
        <v/>
      </c>
      <c r="AH220" s="90" t="str">
        <f aca="false">IFERROR(IF([2]对账明细接口!$AD221=0,"",[2]对账明细接口!$AD221),"")</f>
        <v/>
      </c>
    </row>
    <row r="221" customFormat="false" ht="13.5" hidden="false" customHeight="false" outlineLevel="0" collapsed="false">
      <c r="A221" s="109" t="n">
        <v>221</v>
      </c>
      <c r="B221" s="110" t="n">
        <f aca="false">IFERROR(IF([2]对账明细接口!$B$221=0,"",[2]对账明细接口!$B$221),"")</f>
        <v>46278</v>
      </c>
      <c r="C221" s="59" t="str">
        <f aca="false">IFERROR(IF([2]对账明细接口!$C$221=0,"",[2]对账明细接口!$C$221),"")</f>
        <v>努尔敦</v>
      </c>
      <c r="D221" s="59" t="str">
        <f aca="false">IFERROR(IF([2]对账明细接口!$D$221=0,"",[2]对账明细接口!$D$221),"")</f>
        <v>原料入库</v>
      </c>
      <c r="E221" s="59" t="str">
        <f aca="false">IFERROR(IF([2]对账明细接口!$E$221=0,"",[2]对账明细接口!$E$221),"")</f>
        <v>NO:0000851</v>
      </c>
      <c r="F221" s="59" t="str">
        <f aca="false">IFERROR(IF([2]对账明细接口!$F$221=0,"",[2]对账明细接口!$F$221),"")</f>
        <v>香梨</v>
      </c>
      <c r="G221" s="59" t="str">
        <f aca="false">IFERROR(IF([2]对账明细接口!$G$221=0,"",[2]对账明细接口!$G$221),"")</f>
        <v>香梨一级</v>
      </c>
      <c r="H221" s="60" t="n">
        <f aca="false">IFERROR(IF([2]对账明细接口!$H$221=0,"",[2]对账明细接口!$H$221),"")</f>
        <v>300</v>
      </c>
      <c r="I221" s="59" t="str">
        <f aca="false">IFERROR(IF([2]对账明细接口!$I$221=0,"",[2]对账明细接口!$I$221),"")</f>
        <v>筐</v>
      </c>
      <c r="J221" s="61" t="n">
        <f aca="false">IFERROR(IF([2]对账明细接口!$J$221=0,"",[2]对账明细接口!$J$221),"")</f>
        <v>5490</v>
      </c>
      <c r="K221" s="61" t="str">
        <f aca="false">IFERROR(IF([2]对账明细接口!$K$221=0,"",[2]对账明细接口!$K$221),"")</f>
        <v/>
      </c>
      <c r="L221" s="59" t="str">
        <f aca="false">IFERROR(IF([2]对账明细接口!$L$221=0,"",[2]对账明细接口!$L$221),"")</f>
        <v/>
      </c>
      <c r="M221" s="59" t="str">
        <f aca="false">IFERROR(IF([2]对账明细接口!$M$221=0,"",[2]对账明细接口!$M$221),"")</f>
        <v/>
      </c>
      <c r="N221" s="111" t="n">
        <f aca="false">IF($C221="",0,1)</f>
        <v>1</v>
      </c>
      <c r="O221" s="111" t="n">
        <f aca="false">N(O220)+$N221</f>
        <v>218</v>
      </c>
      <c r="S221" s="10" t="str">
        <f aca="false">IFERROR(IF([2]对账明细接口!$N221=0,"",[2]对账明细接口!$N221),"")</f>
        <v>公司红周转筐</v>
      </c>
      <c r="T221" s="112" t="str">
        <f aca="false">IFERROR(IF([2]对账明细接口!$O221=0,"",[2]对账明细接口!$O221),"")</f>
        <v/>
      </c>
      <c r="U221" s="112" t="str">
        <f aca="false">IFERROR(IF([2]对账明细接口!$P221=0,"",[2]对账明细接口!$P221),"")</f>
        <v/>
      </c>
      <c r="V221" s="112" t="n">
        <f aca="false">IFERROR(IF([2]对账明细接口!$Q221=0,"",[2]对账明细接口!$Q221),"")</f>
        <v>300</v>
      </c>
      <c r="W221" s="10" t="str">
        <f aca="false">IFERROR(IF([2]对账明细接口!$R221=0,"",[2]对账明细接口!$R221),"")</f>
        <v>新F*75240</v>
      </c>
      <c r="X221" s="10" t="str">
        <f aca="false">IFERROR(IF([2]对账明细接口!$S221=0,"",[2]对账明细接口!$S221),"")</f>
        <v>公司筐</v>
      </c>
      <c r="Y221" s="10" t="str">
        <f aca="false">IFERROR(IF([2]对账明细接口!$T221=0,"",[2]对账明细接口!$T221),"")</f>
        <v/>
      </c>
      <c r="Z221" s="113" t="str">
        <f aca="false">IFERROR(IF([2]对账明细接口!$U221=0,"",[2]对账明细接口!$U221),"")</f>
        <v/>
      </c>
      <c r="AA221" s="113" t="str">
        <f aca="false">IFERROR(IF([2]对账明细接口!$V221=0,"",[2]对账明细接口!$V221),"")</f>
        <v/>
      </c>
      <c r="AB221" s="10" t="str">
        <f aca="false">IFERROR(IF([2]对账明细接口!$W221=0,"",[2]对账明细接口!$W221),"")</f>
        <v/>
      </c>
      <c r="AC221" s="90" t="str">
        <f aca="false">IFERROR(IF([2]对账明细接口!$X222=0,"",[2]对账明细接口!$X222),"")</f>
        <v/>
      </c>
      <c r="AD221" s="90" t="str">
        <f aca="false">IFERROR(IF([2]对账明细接口!$Y222=0,"",[2]对账明细接口!$Y222),"")</f>
        <v/>
      </c>
      <c r="AE221" s="90" t="str">
        <f aca="false">IFERROR(IF([2]对账明细接口!$AA222=0,"",[2]对账明细接口!$AA222),"")</f>
        <v/>
      </c>
      <c r="AF221" s="90" t="str">
        <f aca="false">IFERROR(IF([2]对账明细接口!$AB222=0,"",[2]对账明细接口!$AB222),"")</f>
        <v/>
      </c>
      <c r="AG221" s="90" t="str">
        <f aca="false">IFERROR(IF([2]对账明细接口!$AC222=0,"",[2]对账明细接口!$AC222),"")</f>
        <v/>
      </c>
      <c r="AH221" s="90" t="str">
        <f aca="false">IFERROR(IF([2]对账明细接口!$AD222=0,"",[2]对账明细接口!$AD222),"")</f>
        <v/>
      </c>
    </row>
    <row r="222" customFormat="false" ht="13.5" hidden="false" customHeight="false" outlineLevel="0" collapsed="false">
      <c r="A222" s="109" t="n">
        <v>222</v>
      </c>
      <c r="B222" s="110" t="n">
        <f aca="false">IFERROR(IF([2]对账明细接口!$B$222=0,"",[2]对账明细接口!$B$222),"")</f>
        <v>46278</v>
      </c>
      <c r="C222" s="59" t="str">
        <f aca="false">IFERROR(IF([2]对账明细接口!$C$222=0,"",[2]对账明细接口!$C$222),"")</f>
        <v>努尔敦</v>
      </c>
      <c r="D222" s="59" t="str">
        <f aca="false">IFERROR(IF([2]对账明细接口!$D$222=0,"",[2]对账明细接口!$D$222),"")</f>
        <v>原料入库</v>
      </c>
      <c r="E222" s="59" t="str">
        <f aca="false">IFERROR(IF([2]对账明细接口!$E$222=0,"",[2]对账明细接口!$E$222),"")</f>
        <v>NO:0000851</v>
      </c>
      <c r="F222" s="59" t="str">
        <f aca="false">IFERROR(IF([2]对账明细接口!$F$222=0,"",[2]对账明细接口!$F$222),"")</f>
        <v>香梨</v>
      </c>
      <c r="G222" s="59" t="str">
        <f aca="false">IFERROR(IF([2]对账明细接口!$G$222=0,"",[2]对账明细接口!$G$222),"")</f>
        <v>香梨二级</v>
      </c>
      <c r="H222" s="60" t="n">
        <f aca="false">IFERROR(IF([2]对账明细接口!$H$222=0,"",[2]对账明细接口!$H$222),"")</f>
        <v>188</v>
      </c>
      <c r="I222" s="59" t="str">
        <f aca="false">IFERROR(IF([2]对账明细接口!$I$222=0,"",[2]对账明细接口!$I$222),"")</f>
        <v>筐</v>
      </c>
      <c r="J222" s="61" t="n">
        <f aca="false">IFERROR(IF([2]对账明细接口!$J$222=0,"",[2]对账明细接口!$J$222),"")</f>
        <v>4192.4</v>
      </c>
      <c r="K222" s="61" t="str">
        <f aca="false">IFERROR(IF([2]对账明细接口!$K$222=0,"",[2]对账明细接口!$K$222),"")</f>
        <v/>
      </c>
      <c r="L222" s="59" t="str">
        <f aca="false">IFERROR(IF([2]对账明细接口!$L$222=0,"",[2]对账明细接口!$L$222),"")</f>
        <v/>
      </c>
      <c r="M222" s="59" t="str">
        <f aca="false">IFERROR(IF([2]对账明细接口!$M$222=0,"",[2]对账明细接口!$M$222),"")</f>
        <v/>
      </c>
      <c r="N222" s="111" t="n">
        <f aca="false">IF($C222="",0,1)</f>
        <v>1</v>
      </c>
      <c r="O222" s="111" t="n">
        <f aca="false">N(O221)+$N222</f>
        <v>219</v>
      </c>
      <c r="S222" s="10" t="str">
        <f aca="false">IFERROR(IF([2]对账明细接口!$N222=0,"",[2]对账明细接口!$N222),"")</f>
        <v>公司红周转筐</v>
      </c>
      <c r="T222" s="112" t="str">
        <f aca="false">IFERROR(IF([2]对账明细接口!$O222=0,"",[2]对账明细接口!$O222),"")</f>
        <v/>
      </c>
      <c r="U222" s="112" t="str">
        <f aca="false">IFERROR(IF([2]对账明细接口!$P222=0,"",[2]对账明细接口!$P222),"")</f>
        <v/>
      </c>
      <c r="V222" s="112" t="n">
        <f aca="false">IFERROR(IF([2]对账明细接口!$Q222=0,"",[2]对账明细接口!$Q222),"")</f>
        <v>188</v>
      </c>
      <c r="W222" s="10" t="str">
        <f aca="false">IFERROR(IF([2]对账明细接口!$R222=0,"",[2]对账明细接口!$R222),"")</f>
        <v>新F*75240</v>
      </c>
      <c r="X222" s="10" t="str">
        <f aca="false">IFERROR(IF([2]对账明细接口!$S222=0,"",[2]对账明细接口!$S222),"")</f>
        <v>公司筐</v>
      </c>
      <c r="Y222" s="10" t="str">
        <f aca="false">IFERROR(IF([2]对账明细接口!$T222=0,"",[2]对账明细接口!$T222),"")</f>
        <v/>
      </c>
      <c r="Z222" s="113" t="str">
        <f aca="false">IFERROR(IF([2]对账明细接口!$U222=0,"",[2]对账明细接口!$U222),"")</f>
        <v/>
      </c>
      <c r="AA222" s="113" t="str">
        <f aca="false">IFERROR(IF([2]对账明细接口!$V222=0,"",[2]对账明细接口!$V222),"")</f>
        <v/>
      </c>
      <c r="AB222" s="10" t="str">
        <f aca="false">IFERROR(IF([2]对账明细接口!$W222=0,"",[2]对账明细接口!$W222),"")</f>
        <v/>
      </c>
      <c r="AC222" s="90" t="str">
        <f aca="false">IFERROR(IF([2]对账明细接口!$X223=0,"",[2]对账明细接口!$X223),"")</f>
        <v/>
      </c>
      <c r="AD222" s="90" t="str">
        <f aca="false">IFERROR(IF([2]对账明细接口!$Y223=0,"",[2]对账明细接口!$Y223),"")</f>
        <v/>
      </c>
      <c r="AE222" s="90" t="str">
        <f aca="false">IFERROR(IF([2]对账明细接口!$AA223=0,"",[2]对账明细接口!$AA223),"")</f>
        <v/>
      </c>
      <c r="AF222" s="90" t="str">
        <f aca="false">IFERROR(IF([2]对账明细接口!$AB223=0,"",[2]对账明细接口!$AB223),"")</f>
        <v/>
      </c>
      <c r="AG222" s="90" t="str">
        <f aca="false">IFERROR(IF([2]对账明细接口!$AC223=0,"",[2]对账明细接口!$AC223),"")</f>
        <v/>
      </c>
      <c r="AH222" s="90" t="str">
        <f aca="false">IFERROR(IF([2]对账明细接口!$AD223=0,"",[2]对账明细接口!$AD223),"")</f>
        <v/>
      </c>
    </row>
    <row r="223" customFormat="false" ht="13.5" hidden="false" customHeight="false" outlineLevel="0" collapsed="false">
      <c r="A223" s="109" t="n">
        <v>223</v>
      </c>
      <c r="B223" s="110" t="n">
        <f aca="false">IFERROR(IF([2]对账明细接口!$B$223=0,"",[2]对账明细接口!$B$223),"")</f>
        <v>46278</v>
      </c>
      <c r="C223" s="59" t="str">
        <f aca="false">IFERROR(IF([2]对账明细接口!$C$223=0,"",[2]对账明细接口!$C$223),"")</f>
        <v>马锦祥</v>
      </c>
      <c r="D223" s="59" t="str">
        <f aca="false">IFERROR(IF([2]对账明细接口!$D$223=0,"",[2]对账明细接口!$D$223),"")</f>
        <v>原料入库</v>
      </c>
      <c r="E223" s="59" t="str">
        <f aca="false">IFERROR(IF([2]对账明细接口!$E$223=0,"",[2]对账明细接口!$E$223),"")</f>
        <v>NO:0000852</v>
      </c>
      <c r="F223" s="59" t="str">
        <f aca="false">IFERROR(IF([2]对账明细接口!$F$223=0,"",[2]对账明细接口!$F$223),"")</f>
        <v>香梨</v>
      </c>
      <c r="G223" s="59" t="str">
        <f aca="false">IFERROR(IF([2]对账明细接口!$G$223=0,"",[2]对账明细接口!$G$223),"")</f>
        <v>香梨一级</v>
      </c>
      <c r="H223" s="60" t="n">
        <f aca="false">IFERROR(IF([2]对账明细接口!$H$223=0,"",[2]对账明细接口!$H$223),"")</f>
        <v>294</v>
      </c>
      <c r="I223" s="59" t="str">
        <f aca="false">IFERROR(IF([2]对账明细接口!$I$223=0,"",[2]对账明细接口!$I$223),"")</f>
        <v>筐</v>
      </c>
      <c r="J223" s="61" t="n">
        <f aca="false">IFERROR(IF([2]对账明细接口!$J$223=0,"",[2]对账明细接口!$J$223),"")</f>
        <v>5380.2</v>
      </c>
      <c r="K223" s="61" t="str">
        <f aca="false">IFERROR(IF([2]对账明细接口!$K$223=0,"",[2]对账明细接口!$K$223),"")</f>
        <v/>
      </c>
      <c r="L223" s="59" t="str">
        <f aca="false">IFERROR(IF([2]对账明细接口!$L$223=0,"",[2]对账明细接口!$L$223),"")</f>
        <v/>
      </c>
      <c r="M223" s="59" t="str">
        <f aca="false">IFERROR(IF([2]对账明细接口!$M$223=0,"",[2]对账明细接口!$M$223),"")</f>
        <v/>
      </c>
      <c r="N223" s="111" t="n">
        <f aca="false">IF($C223="",0,1)</f>
        <v>1</v>
      </c>
      <c r="O223" s="111" t="n">
        <f aca="false">N(O222)+$N223</f>
        <v>220</v>
      </c>
      <c r="S223" s="10" t="str">
        <f aca="false">IFERROR(IF([2]对账明细接口!$N223=0,"",[2]对账明细接口!$N223),"")</f>
        <v>公司杂周转筐</v>
      </c>
      <c r="T223" s="112" t="str">
        <f aca="false">IFERROR(IF([2]对账明细接口!$O223=0,"",[2]对账明细接口!$O223),"")</f>
        <v/>
      </c>
      <c r="U223" s="112" t="str">
        <f aca="false">IFERROR(IF([2]对账明细接口!$P223=0,"",[2]对账明细接口!$P223),"")</f>
        <v/>
      </c>
      <c r="V223" s="112" t="n">
        <f aca="false">IFERROR(IF([2]对账明细接口!$Q223=0,"",[2]对账明细接口!$Q223),"")</f>
        <v>294</v>
      </c>
      <c r="W223" s="10" t="str">
        <f aca="false">IFERROR(IF([2]对账明细接口!$R223=0,"",[2]对账明细接口!$R223),"")</f>
        <v>新N*K7V85</v>
      </c>
      <c r="X223" s="10" t="str">
        <f aca="false">IFERROR(IF([2]对账明细接口!$S223=0,"",[2]对账明细接口!$S223),"")</f>
        <v>公司筐</v>
      </c>
      <c r="Y223" s="10" t="str">
        <f aca="false">IFERROR(IF([2]对账明细接口!$T223=0,"",[2]对账明细接口!$T223),"")</f>
        <v/>
      </c>
      <c r="Z223" s="113" t="str">
        <f aca="false">IFERROR(IF([2]对账明细接口!$U223=0,"",[2]对账明细接口!$U223),"")</f>
        <v/>
      </c>
      <c r="AA223" s="113" t="str">
        <f aca="false">IFERROR(IF([2]对账明细接口!$V223=0,"",[2]对账明细接口!$V223),"")</f>
        <v/>
      </c>
      <c r="AB223" s="10" t="str">
        <f aca="false">IFERROR(IF([2]对账明细接口!$W223=0,"",[2]对账明细接口!$W223),"")</f>
        <v/>
      </c>
      <c r="AC223" s="90" t="str">
        <f aca="false">IFERROR(IF([2]对账明细接口!$X224=0,"",[2]对账明细接口!$X224),"")</f>
        <v/>
      </c>
      <c r="AD223" s="90" t="str">
        <f aca="false">IFERROR(IF([2]对账明细接口!$Y224=0,"",[2]对账明细接口!$Y224),"")</f>
        <v/>
      </c>
      <c r="AE223" s="90" t="str">
        <f aca="false">IFERROR(IF([2]对账明细接口!$AA224=0,"",[2]对账明细接口!$AA224),"")</f>
        <v/>
      </c>
      <c r="AF223" s="90" t="str">
        <f aca="false">IFERROR(IF([2]对账明细接口!$AB224=0,"",[2]对账明细接口!$AB224),"")</f>
        <v/>
      </c>
      <c r="AG223" s="90" t="str">
        <f aca="false">IFERROR(IF([2]对账明细接口!$AC224=0,"",[2]对账明细接口!$AC224),"")</f>
        <v/>
      </c>
      <c r="AH223" s="90" t="str">
        <f aca="false">IFERROR(IF([2]对账明细接口!$AD224=0,"",[2]对账明细接口!$AD224),"")</f>
        <v/>
      </c>
    </row>
    <row r="224" customFormat="false" ht="13.5" hidden="false" customHeight="false" outlineLevel="0" collapsed="false">
      <c r="A224" s="109" t="n">
        <v>224</v>
      </c>
      <c r="B224" s="110" t="n">
        <f aca="false">IFERROR(IF([2]对账明细接口!$B$224=0,"",[2]对账明细接口!$B$224),"")</f>
        <v>46278</v>
      </c>
      <c r="C224" s="59" t="str">
        <f aca="false">IFERROR(IF([2]对账明细接口!$C$224=0,"",[2]对账明细接口!$C$224),"")</f>
        <v>马锦祥</v>
      </c>
      <c r="D224" s="59" t="str">
        <f aca="false">IFERROR(IF([2]对账明细接口!$D$224=0,"",[2]对账明细接口!$D$224),"")</f>
        <v>原料入库</v>
      </c>
      <c r="E224" s="59" t="str">
        <f aca="false">IFERROR(IF([2]对账明细接口!$E$224=0,"",[2]对账明细接口!$E$224),"")</f>
        <v>NO:0000852</v>
      </c>
      <c r="F224" s="59" t="str">
        <f aca="false">IFERROR(IF([2]对账明细接口!$F$224=0,"",[2]对账明细接口!$F$224),"")</f>
        <v>香梨</v>
      </c>
      <c r="G224" s="59" t="str">
        <f aca="false">IFERROR(IF([2]对账明细接口!$G$224=0,"",[2]对账明细接口!$G$224),"")</f>
        <v>香梨二级</v>
      </c>
      <c r="H224" s="60" t="n">
        <f aca="false">IFERROR(IF([2]对账明细接口!$H$224=0,"",[2]对账明细接口!$H$224),"")</f>
        <v>42</v>
      </c>
      <c r="I224" s="59" t="str">
        <f aca="false">IFERROR(IF([2]对账明细接口!$I$224=0,"",[2]对账明细接口!$I$224),"")</f>
        <v>筐</v>
      </c>
      <c r="J224" s="61" t="n">
        <f aca="false">IFERROR(IF([2]对账明细接口!$J$224=0,"",[2]对账明细接口!$J$224),"")</f>
        <v>936.6</v>
      </c>
      <c r="K224" s="61" t="str">
        <f aca="false">IFERROR(IF([2]对账明细接口!$K$224=0,"",[2]对账明细接口!$K$224),"")</f>
        <v/>
      </c>
      <c r="L224" s="59" t="str">
        <f aca="false">IFERROR(IF([2]对账明细接口!$L$224=0,"",[2]对账明细接口!$L$224),"")</f>
        <v/>
      </c>
      <c r="M224" s="59" t="str">
        <f aca="false">IFERROR(IF([2]对账明细接口!$M$224=0,"",[2]对账明细接口!$M$224),"")</f>
        <v/>
      </c>
      <c r="N224" s="111" t="n">
        <f aca="false">IF($C224="",0,1)</f>
        <v>1</v>
      </c>
      <c r="O224" s="111" t="n">
        <f aca="false">N(O223)+$N224</f>
        <v>221</v>
      </c>
      <c r="S224" s="10" t="str">
        <f aca="false">IFERROR(IF([2]对账明细接口!$N224=0,"",[2]对账明细接口!$N224),"")</f>
        <v>公司杂周转筐</v>
      </c>
      <c r="T224" s="112" t="str">
        <f aca="false">IFERROR(IF([2]对账明细接口!$O224=0,"",[2]对账明细接口!$O224),"")</f>
        <v/>
      </c>
      <c r="U224" s="112" t="str">
        <f aca="false">IFERROR(IF([2]对账明细接口!$P224=0,"",[2]对账明细接口!$P224),"")</f>
        <v/>
      </c>
      <c r="V224" s="112" t="n">
        <f aca="false">IFERROR(IF([2]对账明细接口!$Q224=0,"",[2]对账明细接口!$Q224),"")</f>
        <v>42</v>
      </c>
      <c r="W224" s="10" t="str">
        <f aca="false">IFERROR(IF([2]对账明细接口!$R224=0,"",[2]对账明细接口!$R224),"")</f>
        <v>新N*K7V85</v>
      </c>
      <c r="X224" s="10" t="str">
        <f aca="false">IFERROR(IF([2]对账明细接口!$S224=0,"",[2]对账明细接口!$S224),"")</f>
        <v>公司筐</v>
      </c>
      <c r="Y224" s="10" t="str">
        <f aca="false">IFERROR(IF([2]对账明细接口!$T224=0,"",[2]对账明细接口!$T224),"")</f>
        <v/>
      </c>
      <c r="Z224" s="113" t="str">
        <f aca="false">IFERROR(IF([2]对账明细接口!$U224=0,"",[2]对账明细接口!$U224),"")</f>
        <v/>
      </c>
      <c r="AA224" s="113" t="str">
        <f aca="false">IFERROR(IF([2]对账明细接口!$V224=0,"",[2]对账明细接口!$V224),"")</f>
        <v/>
      </c>
      <c r="AB224" s="10" t="str">
        <f aca="false">IFERROR(IF([2]对账明细接口!$W224=0,"",[2]对账明细接口!$W224),"")</f>
        <v/>
      </c>
      <c r="AC224" s="90" t="str">
        <f aca="false">IFERROR(IF([2]对账明细接口!$X225=0,"",[2]对账明细接口!$X225),"")</f>
        <v/>
      </c>
      <c r="AD224" s="90" t="str">
        <f aca="false">IFERROR(IF([2]对账明细接口!$Y225=0,"",[2]对账明细接口!$Y225),"")</f>
        <v/>
      </c>
      <c r="AE224" s="90" t="str">
        <f aca="false">IFERROR(IF([2]对账明细接口!$AA225=0,"",[2]对账明细接口!$AA225),"")</f>
        <v/>
      </c>
      <c r="AF224" s="90" t="str">
        <f aca="false">IFERROR(IF([2]对账明细接口!$AB225=0,"",[2]对账明细接口!$AB225),"")</f>
        <v/>
      </c>
      <c r="AG224" s="90" t="str">
        <f aca="false">IFERROR(IF([2]对账明细接口!$AC225=0,"",[2]对账明细接口!$AC225),"")</f>
        <v/>
      </c>
      <c r="AH224" s="90" t="str">
        <f aca="false">IFERROR(IF([2]对账明细接口!$AD225=0,"",[2]对账明细接口!$AD225),"")</f>
        <v/>
      </c>
    </row>
    <row r="225" customFormat="false" ht="13.5" hidden="false" customHeight="false" outlineLevel="0" collapsed="false">
      <c r="A225" s="109" t="n">
        <v>225</v>
      </c>
      <c r="B225" s="110" t="n">
        <f aca="false">IFERROR(IF([2]对账明细接口!$B$225=0,"",[2]对账明细接口!$B$225),"")</f>
        <v>46278</v>
      </c>
      <c r="C225" s="59" t="str">
        <f aca="false">IFERROR(IF([2]对账明细接口!$C$225=0,"",[2]对账明细接口!$C$225),"")</f>
        <v>马锦祥</v>
      </c>
      <c r="D225" s="59" t="str">
        <f aca="false">IFERROR(IF([2]对账明细接口!$D$225=0,"",[2]对账明细接口!$D$225),"")</f>
        <v>原料入库</v>
      </c>
      <c r="E225" s="59" t="str">
        <f aca="false">IFERROR(IF([2]对账明细接口!$E$225=0,"",[2]对账明细接口!$E$225),"")</f>
        <v>NO:0000852</v>
      </c>
      <c r="F225" s="59" t="str">
        <f aca="false">IFERROR(IF([2]对账明细接口!$F$225=0,"",[2]对账明细接口!$F$225),"")</f>
        <v>香梨</v>
      </c>
      <c r="G225" s="59" t="str">
        <f aca="false">IFERROR(IF([2]对账明细接口!$G$225=0,"",[2]对账明细接口!$G$225),"")</f>
        <v>香梨副特</v>
      </c>
      <c r="H225" s="60" t="n">
        <f aca="false">IFERROR(IF([2]对账明细接口!$H$225=0,"",[2]对账明细接口!$H$225),"")</f>
        <v>7</v>
      </c>
      <c r="I225" s="59" t="str">
        <f aca="false">IFERROR(IF([2]对账明细接口!$I$225=0,"",[2]对账明细接口!$I$225),"")</f>
        <v>筐</v>
      </c>
      <c r="J225" s="61" t="n">
        <f aca="false">IFERROR(IF([2]对账明细接口!$J$225=0,"",[2]对账明细接口!$J$225),"")</f>
        <v>128.1</v>
      </c>
      <c r="K225" s="61" t="str">
        <f aca="false">IFERROR(IF([2]对账明细接口!$K$225=0,"",[2]对账明细接口!$K$225),"")</f>
        <v/>
      </c>
      <c r="L225" s="59" t="str">
        <f aca="false">IFERROR(IF([2]对账明细接口!$L$225=0,"",[2]对账明细接口!$L$225),"")</f>
        <v/>
      </c>
      <c r="M225" s="59" t="str">
        <f aca="false">IFERROR(IF([2]对账明细接口!$M$225=0,"",[2]对账明细接口!$M$225),"")</f>
        <v/>
      </c>
      <c r="N225" s="111" t="n">
        <f aca="false">IF($C225="",0,1)</f>
        <v>1</v>
      </c>
      <c r="O225" s="111" t="n">
        <f aca="false">N(O224)+$N225</f>
        <v>222</v>
      </c>
      <c r="S225" s="10" t="str">
        <f aca="false">IFERROR(IF([2]对账明细接口!$N225=0,"",[2]对账明细接口!$N225),"")</f>
        <v>公司杂周转筐</v>
      </c>
      <c r="T225" s="112" t="str">
        <f aca="false">IFERROR(IF([2]对账明细接口!$O225=0,"",[2]对账明细接口!$O225),"")</f>
        <v/>
      </c>
      <c r="U225" s="112" t="str">
        <f aca="false">IFERROR(IF([2]对账明细接口!$P225=0,"",[2]对账明细接口!$P225),"")</f>
        <v/>
      </c>
      <c r="V225" s="112" t="n">
        <f aca="false">IFERROR(IF([2]对账明细接口!$Q225=0,"",[2]对账明细接口!$Q225),"")</f>
        <v>7</v>
      </c>
      <c r="W225" s="10" t="str">
        <f aca="false">IFERROR(IF([2]对账明细接口!$R225=0,"",[2]对账明细接口!$R225),"")</f>
        <v>新N*K7V85</v>
      </c>
      <c r="X225" s="10" t="str">
        <f aca="false">IFERROR(IF([2]对账明细接口!$S225=0,"",[2]对账明细接口!$S225),"")</f>
        <v>公司筐</v>
      </c>
      <c r="Y225" s="10" t="str">
        <f aca="false">IFERROR(IF([2]对账明细接口!$T225=0,"",[2]对账明细接口!$T225),"")</f>
        <v/>
      </c>
      <c r="Z225" s="113" t="str">
        <f aca="false">IFERROR(IF([2]对账明细接口!$U225=0,"",[2]对账明细接口!$U225),"")</f>
        <v/>
      </c>
      <c r="AA225" s="113" t="str">
        <f aca="false">IFERROR(IF([2]对账明细接口!$V225=0,"",[2]对账明细接口!$V225),"")</f>
        <v/>
      </c>
      <c r="AB225" s="10" t="str">
        <f aca="false">IFERROR(IF([2]对账明细接口!$W225=0,"",[2]对账明细接口!$W225),"")</f>
        <v/>
      </c>
      <c r="AC225" s="90" t="str">
        <f aca="false">IFERROR(IF([2]对账明细接口!$X226=0,"",[2]对账明细接口!$X226),"")</f>
        <v/>
      </c>
      <c r="AD225" s="90" t="str">
        <f aca="false">IFERROR(IF([2]对账明细接口!$Y226=0,"",[2]对账明细接口!$Y226),"")</f>
        <v/>
      </c>
      <c r="AE225" s="90" t="str">
        <f aca="false">IFERROR(IF([2]对账明细接口!$AA226=0,"",[2]对账明细接口!$AA226),"")</f>
        <v/>
      </c>
      <c r="AF225" s="90" t="str">
        <f aca="false">IFERROR(IF([2]对账明细接口!$AB226=0,"",[2]对账明细接口!$AB226),"")</f>
        <v/>
      </c>
      <c r="AG225" s="90" t="str">
        <f aca="false">IFERROR(IF([2]对账明细接口!$AC226=0,"",[2]对账明细接口!$AC226),"")</f>
        <v/>
      </c>
      <c r="AH225" s="90" t="str">
        <f aca="false">IFERROR(IF([2]对账明细接口!$AD226=0,"",[2]对账明细接口!$AD226),"")</f>
        <v/>
      </c>
    </row>
    <row r="226" customFormat="false" ht="13.5" hidden="false" customHeight="false" outlineLevel="0" collapsed="false">
      <c r="A226" s="109" t="n">
        <v>226</v>
      </c>
      <c r="B226" s="110" t="n">
        <f aca="false">IFERROR(IF([2]对账明细接口!$B$226=0,"",[2]对账明细接口!$B$226),"")</f>
        <v>46278</v>
      </c>
      <c r="C226" s="59" t="str">
        <f aca="false">IFERROR(IF([2]对账明细接口!$C$226=0,"",[2]对账明细接口!$C$226),"")</f>
        <v>荆建君</v>
      </c>
      <c r="D226" s="59" t="str">
        <f aca="false">IFERROR(IF([2]对账明细接口!$D$226=0,"",[2]对账明细接口!$D$226),"")</f>
        <v>原料入库</v>
      </c>
      <c r="E226" s="59" t="str">
        <f aca="false">IFERROR(IF([2]对账明细接口!$E$226=0,"",[2]对账明细接口!$E$226),"")</f>
        <v>NO:0000854</v>
      </c>
      <c r="F226" s="59" t="str">
        <f aca="false">IFERROR(IF([2]对账明细接口!$F$226=0,"",[2]对账明细接口!$F$226),"")</f>
        <v>香梨</v>
      </c>
      <c r="G226" s="59" t="str">
        <f aca="false">IFERROR(IF([2]对账明细接口!$G$226=0,"",[2]对账明细接口!$G$226),"")</f>
        <v>香梨一级</v>
      </c>
      <c r="H226" s="60" t="n">
        <f aca="false">IFERROR(IF([2]对账明细接口!$H$226=0,"",[2]对账明细接口!$H$226),"")</f>
        <v>383</v>
      </c>
      <c r="I226" s="59" t="str">
        <f aca="false">IFERROR(IF([2]对账明细接口!$I$226=0,"",[2]对账明细接口!$I$226),"")</f>
        <v>筐</v>
      </c>
      <c r="J226" s="61" t="n">
        <f aca="false">IFERROR(IF([2]对账明细接口!$J$226=0,"",[2]对账明细接口!$J$226),"")</f>
        <v>7008.9</v>
      </c>
      <c r="K226" s="61" t="str">
        <f aca="false">IFERROR(IF([2]对账明细接口!$K$226=0,"",[2]对账明细接口!$K$226),"")</f>
        <v/>
      </c>
      <c r="L226" s="59" t="str">
        <f aca="false">IFERROR(IF([2]对账明细接口!$L$226=0,"",[2]对账明细接口!$L$226),"")</f>
        <v/>
      </c>
      <c r="M226" s="59" t="str">
        <f aca="false">IFERROR(IF([2]对账明细接口!$M$226=0,"",[2]对账明细接口!$M$226),"")</f>
        <v/>
      </c>
      <c r="N226" s="111" t="n">
        <f aca="false">IF($C226="",0,1)</f>
        <v>1</v>
      </c>
      <c r="O226" s="111" t="n">
        <f aca="false">N(O225)+$N226</f>
        <v>223</v>
      </c>
      <c r="S226" s="10" t="str">
        <f aca="false">IFERROR(IF([2]对账明细接口!$N226=0,"",[2]对账明细接口!$N226),"")</f>
        <v>公司红周转筐</v>
      </c>
      <c r="T226" s="112" t="str">
        <f aca="false">IFERROR(IF([2]对账明细接口!$O226=0,"",[2]对账明细接口!$O226),"")</f>
        <v/>
      </c>
      <c r="U226" s="112" t="str">
        <f aca="false">IFERROR(IF([2]对账明细接口!$P226=0,"",[2]对账明细接口!$P226),"")</f>
        <v/>
      </c>
      <c r="V226" s="112" t="n">
        <f aca="false">IFERROR(IF([2]对账明细接口!$Q226=0,"",[2]对账明细接口!$Q226),"")</f>
        <v>383</v>
      </c>
      <c r="W226" s="10" t="str">
        <f aca="false">IFERROR(IF([2]对账明细接口!$R226=0,"",[2]对账明细接口!$R226),"")</f>
        <v>豫A*2737K</v>
      </c>
      <c r="X226" s="10" t="str">
        <f aca="false">IFERROR(IF([2]对账明细接口!$S226=0,"",[2]对账明细接口!$S226),"")</f>
        <v>公司筐</v>
      </c>
      <c r="Y226" s="10" t="str">
        <f aca="false">IFERROR(IF([2]对账明细接口!$T226=0,"",[2]对账明细接口!$T226),"")</f>
        <v/>
      </c>
      <c r="Z226" s="113" t="str">
        <f aca="false">IFERROR(IF([2]对账明细接口!$U226=0,"",[2]对账明细接口!$U226),"")</f>
        <v/>
      </c>
      <c r="AA226" s="113" t="str">
        <f aca="false">IFERROR(IF([2]对账明细接口!$V226=0,"",[2]对账明细接口!$V226),"")</f>
        <v/>
      </c>
      <c r="AB226" s="10" t="str">
        <f aca="false">IFERROR(IF([2]对账明细接口!$W226=0,"",[2]对账明细接口!$W226),"")</f>
        <v/>
      </c>
      <c r="AC226" s="90" t="str">
        <f aca="false">IFERROR(IF([2]对账明细接口!$X227=0,"",[2]对账明细接口!$X227),"")</f>
        <v/>
      </c>
      <c r="AD226" s="90" t="str">
        <f aca="false">IFERROR(IF([2]对账明细接口!$Y227=0,"",[2]对账明细接口!$Y227),"")</f>
        <v/>
      </c>
      <c r="AE226" s="90" t="str">
        <f aca="false">IFERROR(IF([2]对账明细接口!$AA227=0,"",[2]对账明细接口!$AA227),"")</f>
        <v/>
      </c>
      <c r="AF226" s="90" t="str">
        <f aca="false">IFERROR(IF([2]对账明细接口!$AB227=0,"",[2]对账明细接口!$AB227),"")</f>
        <v/>
      </c>
      <c r="AG226" s="90" t="str">
        <f aca="false">IFERROR(IF([2]对账明细接口!$AC227=0,"",[2]对账明细接口!$AC227),"")</f>
        <v/>
      </c>
      <c r="AH226" s="90" t="str">
        <f aca="false">IFERROR(IF([2]对账明细接口!$AD227=0,"",[2]对账明细接口!$AD227),"")</f>
        <v/>
      </c>
    </row>
    <row r="227" customFormat="false" ht="13.5" hidden="false" customHeight="false" outlineLevel="0" collapsed="false">
      <c r="A227" s="109" t="n">
        <v>227</v>
      </c>
      <c r="B227" s="110" t="n">
        <f aca="false">IFERROR(IF([2]对账明细接口!$B$227=0,"",[2]对账明细接口!$B$227),"")</f>
        <v>46278</v>
      </c>
      <c r="C227" s="59" t="str">
        <f aca="false">IFERROR(IF([2]对账明细接口!$C$227=0,"",[2]对账明细接口!$C$227),"")</f>
        <v>荆建君</v>
      </c>
      <c r="D227" s="59" t="str">
        <f aca="false">IFERROR(IF([2]对账明细接口!$D$227=0,"",[2]对账明细接口!$D$227),"")</f>
        <v>原料入库</v>
      </c>
      <c r="E227" s="59" t="str">
        <f aca="false">IFERROR(IF([2]对账明细接口!$E$227=0,"",[2]对账明细接口!$E$227),"")</f>
        <v>NO:0000854</v>
      </c>
      <c r="F227" s="59" t="str">
        <f aca="false">IFERROR(IF([2]对账明细接口!$F$227=0,"",[2]对账明细接口!$F$227),"")</f>
        <v>香梨</v>
      </c>
      <c r="G227" s="59" t="str">
        <f aca="false">IFERROR(IF([2]对账明细接口!$G$227=0,"",[2]对账明细接口!$G$227),"")</f>
        <v>香梨二级</v>
      </c>
      <c r="H227" s="60" t="n">
        <f aca="false">IFERROR(IF([2]对账明细接口!$H$227=0,"",[2]对账明细接口!$H$227),"")</f>
        <v>265</v>
      </c>
      <c r="I227" s="59" t="str">
        <f aca="false">IFERROR(IF([2]对账明细接口!$I$227=0,"",[2]对账明细接口!$I$227),"")</f>
        <v>筐</v>
      </c>
      <c r="J227" s="61" t="n">
        <f aca="false">IFERROR(IF([2]对账明细接口!$J$227=0,"",[2]对账明细接口!$J$227),"")</f>
        <v>4849.5</v>
      </c>
      <c r="K227" s="61" t="str">
        <f aca="false">IFERROR(IF([2]对账明细接口!$K$227=0,"",[2]对账明细接口!$K$227),"")</f>
        <v/>
      </c>
      <c r="L227" s="59" t="str">
        <f aca="false">IFERROR(IF([2]对账明细接口!$L$227=0,"",[2]对账明细接口!$L$227),"")</f>
        <v/>
      </c>
      <c r="M227" s="59" t="str">
        <f aca="false">IFERROR(IF([2]对账明细接口!$M$227=0,"",[2]对账明细接口!$M$227),"")</f>
        <v/>
      </c>
      <c r="N227" s="111" t="n">
        <f aca="false">IF($C227="",0,1)</f>
        <v>1</v>
      </c>
      <c r="O227" s="111" t="n">
        <f aca="false">N(O226)+$N227</f>
        <v>224</v>
      </c>
      <c r="S227" s="10" t="str">
        <f aca="false">IFERROR(IF([2]对账明细接口!$N227=0,"",[2]对账明细接口!$N227),"")</f>
        <v>公司红周转筐</v>
      </c>
      <c r="T227" s="112" t="str">
        <f aca="false">IFERROR(IF([2]对账明细接口!$O227=0,"",[2]对账明细接口!$O227),"")</f>
        <v/>
      </c>
      <c r="U227" s="112" t="str">
        <f aca="false">IFERROR(IF([2]对账明细接口!$P227=0,"",[2]对账明细接口!$P227),"")</f>
        <v/>
      </c>
      <c r="V227" s="112" t="n">
        <f aca="false">IFERROR(IF([2]对账明细接口!$Q227=0,"",[2]对账明细接口!$Q227),"")</f>
        <v>265</v>
      </c>
      <c r="W227" s="10" t="str">
        <f aca="false">IFERROR(IF([2]对账明细接口!$R227=0,"",[2]对账明细接口!$R227),"")</f>
        <v>豫A*2737K</v>
      </c>
      <c r="X227" s="10" t="str">
        <f aca="false">IFERROR(IF([2]对账明细接口!$S227=0,"",[2]对账明细接口!$S227),"")</f>
        <v>公司筐</v>
      </c>
      <c r="Y227" s="10" t="str">
        <f aca="false">IFERROR(IF([2]对账明细接口!$T227=0,"",[2]对账明细接口!$T227),"")</f>
        <v/>
      </c>
      <c r="Z227" s="113" t="str">
        <f aca="false">IFERROR(IF([2]对账明细接口!$U227=0,"",[2]对账明细接口!$U227),"")</f>
        <v/>
      </c>
      <c r="AA227" s="113" t="str">
        <f aca="false">IFERROR(IF([2]对账明细接口!$V227=0,"",[2]对账明细接口!$V227),"")</f>
        <v/>
      </c>
      <c r="AB227" s="10" t="str">
        <f aca="false">IFERROR(IF([2]对账明细接口!$W227=0,"",[2]对账明细接口!$W227),"")</f>
        <v/>
      </c>
      <c r="AC227" s="90" t="str">
        <f aca="false">IFERROR(IF([2]对账明细接口!$X228=0,"",[2]对账明细接口!$X228),"")</f>
        <v/>
      </c>
      <c r="AD227" s="90" t="str">
        <f aca="false">IFERROR(IF([2]对账明细接口!$Y228=0,"",[2]对账明细接口!$Y228),"")</f>
        <v/>
      </c>
      <c r="AE227" s="90" t="str">
        <f aca="false">IFERROR(IF([2]对账明细接口!$AA228=0,"",[2]对账明细接口!$AA228),"")</f>
        <v/>
      </c>
      <c r="AF227" s="90" t="str">
        <f aca="false">IFERROR(IF([2]对账明细接口!$AB228=0,"",[2]对账明细接口!$AB228),"")</f>
        <v/>
      </c>
      <c r="AG227" s="90" t="str">
        <f aca="false">IFERROR(IF([2]对账明细接口!$AC228=0,"",[2]对账明细接口!$AC228),"")</f>
        <v/>
      </c>
      <c r="AH227" s="90" t="str">
        <f aca="false">IFERROR(IF([2]对账明细接口!$AD228=0,"",[2]对账明细接口!$AD228),"")</f>
        <v/>
      </c>
    </row>
    <row r="228" customFormat="false" ht="13.5" hidden="false" customHeight="false" outlineLevel="0" collapsed="false">
      <c r="A228" s="109" t="n">
        <v>228</v>
      </c>
      <c r="B228" s="110" t="n">
        <f aca="false">IFERROR(IF([2]对账明细接口!$B$228=0,"",[2]对账明细接口!$B$228),"")</f>
        <v>46278</v>
      </c>
      <c r="C228" s="59" t="str">
        <f aca="false">IFERROR(IF([2]对账明细接口!$C$228=0,"",[2]对账明细接口!$C$228),"")</f>
        <v>王照雪</v>
      </c>
      <c r="D228" s="59" t="str">
        <f aca="false">IFERROR(IF([2]对账明细接口!$D$228=0,"",[2]对账明细接口!$D$228),"")</f>
        <v>原料入库</v>
      </c>
      <c r="E228" s="59" t="str">
        <f aca="false">IFERROR(IF([2]对账明细接口!$E$228=0,"",[2]对账明细接口!$E$228),"")</f>
        <v>NO:0000855</v>
      </c>
      <c r="F228" s="59" t="str">
        <f aca="false">IFERROR(IF([2]对账明细接口!$F$228=0,"",[2]对账明细接口!$F$228),"")</f>
        <v>苹果</v>
      </c>
      <c r="G228" s="59" t="str">
        <f aca="false">IFERROR(IF([2]对账明细接口!$G$228=0,"",[2]对账明细接口!$G$228),"")</f>
        <v>新世纪特级</v>
      </c>
      <c r="H228" s="60" t="n">
        <f aca="false">IFERROR(IF([2]对账明细接口!$H$228=0,"",[2]对账明细接口!$H$228),"")</f>
        <v>73</v>
      </c>
      <c r="I228" s="59" t="str">
        <f aca="false">IFERROR(IF([2]对账明细接口!$I$228=0,"",[2]对账明细接口!$I$228),"")</f>
        <v>筐</v>
      </c>
      <c r="J228" s="61" t="n">
        <f aca="false">IFERROR(IF([2]对账明细接口!$J$228=0,"",[2]对账明细接口!$J$228),"")</f>
        <v>1262.9</v>
      </c>
      <c r="K228" s="61" t="str">
        <f aca="false">IFERROR(IF([2]对账明细接口!$K$228=0,"",[2]对账明细接口!$K$228),"")</f>
        <v/>
      </c>
      <c r="L228" s="59" t="str">
        <f aca="false">IFERROR(IF([2]对账明细接口!$L$228=0,"",[2]对账明细接口!$L$228),"")</f>
        <v/>
      </c>
      <c r="M228" s="59" t="str">
        <f aca="false">IFERROR(IF([2]对账明细接口!$M$228=0,"",[2]对账明细接口!$M$228),"")</f>
        <v/>
      </c>
      <c r="N228" s="111" t="n">
        <f aca="false">IF($C228="",0,1)</f>
        <v>1</v>
      </c>
      <c r="O228" s="111" t="n">
        <f aca="false">N(O227)+$N228</f>
        <v>225</v>
      </c>
      <c r="S228" s="10" t="str">
        <f aca="false">IFERROR(IF([2]对账明细接口!$N228=0,"",[2]对账明细接口!$N228),"")</f>
        <v>公司杂周转筐</v>
      </c>
      <c r="T228" s="112" t="str">
        <f aca="false">IFERROR(IF([2]对账明细接口!$O228=0,"",[2]对账明细接口!$O228),"")</f>
        <v/>
      </c>
      <c r="U228" s="112" t="str">
        <f aca="false">IFERROR(IF([2]对账明细接口!$P228=0,"",[2]对账明细接口!$P228),"")</f>
        <v/>
      </c>
      <c r="V228" s="112" t="n">
        <f aca="false">IFERROR(IF([2]对账明细接口!$Q228=0,"",[2]对账明细接口!$Q228),"")</f>
        <v>73</v>
      </c>
      <c r="W228" s="10" t="str">
        <f aca="false">IFERROR(IF([2]对账明细接口!$R228=0,"",[2]对账明细接口!$R228),"")</f>
        <v>豫L*88X19</v>
      </c>
      <c r="X228" s="10" t="str">
        <f aca="false">IFERROR(IF([2]对账明细接口!$S228=0,"",[2]对账明细接口!$S228),"")</f>
        <v>公司筐</v>
      </c>
      <c r="Y228" s="10" t="str">
        <f aca="false">IFERROR(IF([2]对账明细接口!$T228=0,"",[2]对账明细接口!$T228),"")</f>
        <v/>
      </c>
      <c r="Z228" s="113" t="str">
        <f aca="false">IFERROR(IF([2]对账明细接口!$U228=0,"",[2]对账明细接口!$U228),"")</f>
        <v/>
      </c>
      <c r="AA228" s="113" t="str">
        <f aca="false">IFERROR(IF([2]对账明细接口!$V228=0,"",[2]对账明细接口!$V228),"")</f>
        <v/>
      </c>
      <c r="AB228" s="10" t="str">
        <f aca="false">IFERROR(IF([2]对账明细接口!$W228=0,"",[2]对账明细接口!$W228),"")</f>
        <v/>
      </c>
      <c r="AC228" s="90" t="str">
        <f aca="false">IFERROR(IF([2]对账明细接口!$X229=0,"",[2]对账明细接口!$X229),"")</f>
        <v/>
      </c>
      <c r="AD228" s="90" t="str">
        <f aca="false">IFERROR(IF([2]对账明细接口!$Y229=0,"",[2]对账明细接口!$Y229),"")</f>
        <v/>
      </c>
      <c r="AE228" s="90" t="str">
        <f aca="false">IFERROR(IF([2]对账明细接口!$AA229=0,"",[2]对账明细接口!$AA229),"")</f>
        <v/>
      </c>
      <c r="AF228" s="90" t="str">
        <f aca="false">IFERROR(IF([2]对账明细接口!$AB229=0,"",[2]对账明细接口!$AB229),"")</f>
        <v/>
      </c>
      <c r="AG228" s="90" t="str">
        <f aca="false">IFERROR(IF([2]对账明细接口!$AC229=0,"",[2]对账明细接口!$AC229),"")</f>
        <v/>
      </c>
      <c r="AH228" s="90" t="str">
        <f aca="false">IFERROR(IF([2]对账明细接口!$AD229=0,"",[2]对账明细接口!$AD229),"")</f>
        <v/>
      </c>
    </row>
    <row r="229" customFormat="false" ht="13.5" hidden="false" customHeight="false" outlineLevel="0" collapsed="false">
      <c r="A229" s="109" t="n">
        <v>229</v>
      </c>
      <c r="B229" s="110" t="n">
        <f aca="false">IFERROR(IF([2]对账明细接口!$B$229=0,"",[2]对账明细接口!$B$229),"")</f>
        <v>46278</v>
      </c>
      <c r="C229" s="59" t="str">
        <f aca="false">IFERROR(IF([2]对账明细接口!$C$229=0,"",[2]对账明细接口!$C$229),"")</f>
        <v>王照雪</v>
      </c>
      <c r="D229" s="59" t="str">
        <f aca="false">IFERROR(IF([2]对账明细接口!$D$229=0,"",[2]对账明细接口!$D$229),"")</f>
        <v>原料入库</v>
      </c>
      <c r="E229" s="59" t="str">
        <f aca="false">IFERROR(IF([2]对账明细接口!$E$229=0,"",[2]对账明细接口!$E$229),"")</f>
        <v>NO:0000855</v>
      </c>
      <c r="F229" s="59" t="str">
        <f aca="false">IFERROR(IF([2]对账明细接口!$F$229=0,"",[2]对账明细接口!$F$229),"")</f>
        <v>苹果</v>
      </c>
      <c r="G229" s="59" t="str">
        <f aca="false">IFERROR(IF([2]对账明细接口!$G$229=0,"",[2]对账明细接口!$G$229),"")</f>
        <v>新世纪一级</v>
      </c>
      <c r="H229" s="60" t="n">
        <f aca="false">IFERROR(IF([2]对账明细接口!$H$229=0,"",[2]对账明细接口!$H$229),"")</f>
        <v>182</v>
      </c>
      <c r="I229" s="59" t="str">
        <f aca="false">IFERROR(IF([2]对账明细接口!$I$229=0,"",[2]对账明细接口!$I$229),"")</f>
        <v>筐</v>
      </c>
      <c r="J229" s="61" t="n">
        <f aca="false">IFERROR(IF([2]对账明细接口!$J$229=0,"",[2]对账明细接口!$J$229),"")</f>
        <v>3148.6</v>
      </c>
      <c r="K229" s="61" t="str">
        <f aca="false">IFERROR(IF([2]对账明细接口!$K$229=0,"",[2]对账明细接口!$K$229),"")</f>
        <v/>
      </c>
      <c r="L229" s="59" t="str">
        <f aca="false">IFERROR(IF([2]对账明细接口!$L$229=0,"",[2]对账明细接口!$L$229),"")</f>
        <v/>
      </c>
      <c r="M229" s="59" t="str">
        <f aca="false">IFERROR(IF([2]对账明细接口!$M$229=0,"",[2]对账明细接口!$M$229),"")</f>
        <v/>
      </c>
      <c r="N229" s="111" t="n">
        <f aca="false">IF($C229="",0,1)</f>
        <v>1</v>
      </c>
      <c r="O229" s="111" t="n">
        <f aca="false">N(O228)+$N229</f>
        <v>226</v>
      </c>
      <c r="S229" s="10" t="str">
        <f aca="false">IFERROR(IF([2]对账明细接口!$N229=0,"",[2]对账明细接口!$N229),"")</f>
        <v>公司杂周转筐</v>
      </c>
      <c r="T229" s="112" t="str">
        <f aca="false">IFERROR(IF([2]对账明细接口!$O229=0,"",[2]对账明细接口!$O229),"")</f>
        <v/>
      </c>
      <c r="U229" s="112" t="str">
        <f aca="false">IFERROR(IF([2]对账明细接口!$P229=0,"",[2]对账明细接口!$P229),"")</f>
        <v/>
      </c>
      <c r="V229" s="112" t="n">
        <f aca="false">IFERROR(IF([2]对账明细接口!$Q229=0,"",[2]对账明细接口!$Q229),"")</f>
        <v>182</v>
      </c>
      <c r="W229" s="10" t="str">
        <f aca="false">IFERROR(IF([2]对账明细接口!$R229=0,"",[2]对账明细接口!$R229),"")</f>
        <v>豫L*88X19</v>
      </c>
      <c r="X229" s="10" t="str">
        <f aca="false">IFERROR(IF([2]对账明细接口!$S229=0,"",[2]对账明细接口!$S229),"")</f>
        <v>公司筐</v>
      </c>
      <c r="Y229" s="10" t="str">
        <f aca="false">IFERROR(IF([2]对账明细接口!$T229=0,"",[2]对账明细接口!$T229),"")</f>
        <v/>
      </c>
      <c r="Z229" s="113" t="str">
        <f aca="false">IFERROR(IF([2]对账明细接口!$U229=0,"",[2]对账明细接口!$U229),"")</f>
        <v/>
      </c>
      <c r="AA229" s="113" t="str">
        <f aca="false">IFERROR(IF([2]对账明细接口!$V229=0,"",[2]对账明细接口!$V229),"")</f>
        <v/>
      </c>
      <c r="AB229" s="10" t="str">
        <f aca="false">IFERROR(IF([2]对账明细接口!$W229=0,"",[2]对账明细接口!$W229),"")</f>
        <v/>
      </c>
      <c r="AC229" s="90" t="str">
        <f aca="false">IFERROR(IF([2]对账明细接口!$X230=0,"",[2]对账明细接口!$X230),"")</f>
        <v/>
      </c>
      <c r="AD229" s="90" t="str">
        <f aca="false">IFERROR(IF([2]对账明细接口!$Y230=0,"",[2]对账明细接口!$Y230),"")</f>
        <v/>
      </c>
      <c r="AE229" s="90" t="str">
        <f aca="false">IFERROR(IF([2]对账明细接口!$AA230=0,"",[2]对账明细接口!$AA230),"")</f>
        <v/>
      </c>
      <c r="AF229" s="90" t="str">
        <f aca="false">IFERROR(IF([2]对账明细接口!$AB230=0,"",[2]对账明细接口!$AB230),"")</f>
        <v/>
      </c>
      <c r="AG229" s="90" t="str">
        <f aca="false">IFERROR(IF([2]对账明细接口!$AC230=0,"",[2]对账明细接口!$AC230),"")</f>
        <v/>
      </c>
      <c r="AH229" s="90" t="str">
        <f aca="false">IFERROR(IF([2]对账明细接口!$AD230=0,"",[2]对账明细接口!$AD230),"")</f>
        <v/>
      </c>
    </row>
    <row r="230" customFormat="false" ht="13.5" hidden="false" customHeight="false" outlineLevel="0" collapsed="false">
      <c r="A230" s="109" t="n">
        <v>230</v>
      </c>
      <c r="B230" s="110" t="n">
        <f aca="false">IFERROR(IF([2]对账明细接口!$B$230=0,"",[2]对账明细接口!$B$230),"")</f>
        <v>46278</v>
      </c>
      <c r="C230" s="59" t="str">
        <f aca="false">IFERROR(IF([2]对账明细接口!$C$230=0,"",[2]对账明细接口!$C$230),"")</f>
        <v>王照雪</v>
      </c>
      <c r="D230" s="59" t="str">
        <f aca="false">IFERROR(IF([2]对账明细接口!$D$230=0,"",[2]对账明细接口!$D$230),"")</f>
        <v>原料入库</v>
      </c>
      <c r="E230" s="59" t="str">
        <f aca="false">IFERROR(IF([2]对账明细接口!$E$230=0,"",[2]对账明细接口!$E$230),"")</f>
        <v>NO:0000855</v>
      </c>
      <c r="F230" s="59" t="str">
        <f aca="false">IFERROR(IF([2]对账明细接口!$F$230=0,"",[2]对账明细接口!$F$230),"")</f>
        <v>苹果</v>
      </c>
      <c r="G230" s="59" t="str">
        <f aca="false">IFERROR(IF([2]对账明细接口!$G$230=0,"",[2]对账明细接口!$G$230),"")</f>
        <v>新世纪二级</v>
      </c>
      <c r="H230" s="60" t="n">
        <f aca="false">IFERROR(IF([2]对账明细接口!$H$230=0,"",[2]对账明细接口!$H$230),"")</f>
        <v>74</v>
      </c>
      <c r="I230" s="59" t="str">
        <f aca="false">IFERROR(IF([2]对账明细接口!$I$230=0,"",[2]对账明细接口!$I$230),"")</f>
        <v>筐</v>
      </c>
      <c r="J230" s="61" t="n">
        <f aca="false">IFERROR(IF([2]对账明细接口!$J$230=0,"",[2]对账明细接口!$J$230),"")</f>
        <v>1650.2</v>
      </c>
      <c r="K230" s="61" t="str">
        <f aca="false">IFERROR(IF([2]对账明细接口!$K$230=0,"",[2]对账明细接口!$K$230),"")</f>
        <v/>
      </c>
      <c r="L230" s="59" t="str">
        <f aca="false">IFERROR(IF([2]对账明细接口!$L$230=0,"",[2]对账明细接口!$L$230),"")</f>
        <v/>
      </c>
      <c r="M230" s="59" t="str">
        <f aca="false">IFERROR(IF([2]对账明细接口!$M$230=0,"",[2]对账明细接口!$M$230),"")</f>
        <v/>
      </c>
      <c r="N230" s="111" t="n">
        <f aca="false">IF($C230="",0,1)</f>
        <v>1</v>
      </c>
      <c r="O230" s="111" t="n">
        <f aca="false">N(O229)+$N230</f>
        <v>227</v>
      </c>
      <c r="S230" s="10" t="str">
        <f aca="false">IFERROR(IF([2]对账明细接口!$N230=0,"",[2]对账明细接口!$N230),"")</f>
        <v>公司杂周转筐</v>
      </c>
      <c r="T230" s="112" t="str">
        <f aca="false">IFERROR(IF([2]对账明细接口!$O230=0,"",[2]对账明细接口!$O230),"")</f>
        <v/>
      </c>
      <c r="U230" s="112" t="str">
        <f aca="false">IFERROR(IF([2]对账明细接口!$P230=0,"",[2]对账明细接口!$P230),"")</f>
        <v/>
      </c>
      <c r="V230" s="112" t="n">
        <f aca="false">IFERROR(IF([2]对账明细接口!$Q230=0,"",[2]对账明细接口!$Q230),"")</f>
        <v>74</v>
      </c>
      <c r="W230" s="10" t="str">
        <f aca="false">IFERROR(IF([2]对账明细接口!$R230=0,"",[2]对账明细接口!$R230),"")</f>
        <v>豫L*88X19</v>
      </c>
      <c r="X230" s="10" t="str">
        <f aca="false">IFERROR(IF([2]对账明细接口!$S230=0,"",[2]对账明细接口!$S230),"")</f>
        <v>公司筐</v>
      </c>
      <c r="Y230" s="10" t="str">
        <f aca="false">IFERROR(IF([2]对账明细接口!$T230=0,"",[2]对账明细接口!$T230),"")</f>
        <v/>
      </c>
      <c r="Z230" s="113" t="str">
        <f aca="false">IFERROR(IF([2]对账明细接口!$U230=0,"",[2]对账明细接口!$U230),"")</f>
        <v/>
      </c>
      <c r="AA230" s="113" t="str">
        <f aca="false">IFERROR(IF([2]对账明细接口!$V230=0,"",[2]对账明细接口!$V230),"")</f>
        <v/>
      </c>
      <c r="AB230" s="10" t="str">
        <f aca="false">IFERROR(IF([2]对账明细接口!$W230=0,"",[2]对账明细接口!$W230),"")</f>
        <v/>
      </c>
      <c r="AC230" s="90" t="str">
        <f aca="false">IFERROR(IF([2]对账明细接口!$X231=0,"",[2]对账明细接口!$X231),"")</f>
        <v/>
      </c>
      <c r="AD230" s="90" t="str">
        <f aca="false">IFERROR(IF([2]对账明细接口!$Y231=0,"",[2]对账明细接口!$Y231),"")</f>
        <v/>
      </c>
      <c r="AE230" s="90" t="str">
        <f aca="false">IFERROR(IF([2]对账明细接口!$AA231=0,"",[2]对账明细接口!$AA231),"")</f>
        <v/>
      </c>
      <c r="AF230" s="90" t="str">
        <f aca="false">IFERROR(IF([2]对账明细接口!$AB231=0,"",[2]对账明细接口!$AB231),"")</f>
        <v/>
      </c>
      <c r="AG230" s="90" t="str">
        <f aca="false">IFERROR(IF([2]对账明细接口!$AC231=0,"",[2]对账明细接口!$AC231),"")</f>
        <v/>
      </c>
      <c r="AH230" s="90" t="str">
        <f aca="false">IFERROR(IF([2]对账明细接口!$AD231=0,"",[2]对账明细接口!$AD231),"")</f>
        <v/>
      </c>
    </row>
    <row r="231" customFormat="false" ht="13.5" hidden="false" customHeight="false" outlineLevel="0" collapsed="false">
      <c r="A231" s="109" t="n">
        <v>231</v>
      </c>
      <c r="B231" s="110" t="n">
        <f aca="false">IFERROR(IF([2]对账明细接口!$B$231=0,"",[2]对账明细接口!$B$231),"")</f>
        <v>46250</v>
      </c>
      <c r="C231" s="59" t="str">
        <f aca="false">IFERROR(IF([2]对账明细接口!$C$231=0,"",[2]对账明细接口!$C$231),"")</f>
        <v>王照雪</v>
      </c>
      <c r="D231" s="59" t="str">
        <f aca="false">IFERROR(IF([2]对账明细接口!$D$231=0,"",[2]对账明细接口!$D$231),"")</f>
        <v>原料出库－原筐出库</v>
      </c>
      <c r="E231" s="59" t="str">
        <f aca="false">IFERROR(IF([2]对账明细接口!$E$231=0,"",[2]对账明细接口!$E$231),"")</f>
        <v>NO:0001018</v>
      </c>
      <c r="F231" s="59" t="str">
        <f aca="false">IFERROR(IF([2]对账明细接口!$F$231=0,"",[2]对账明细接口!$F$231),"")</f>
        <v>李子</v>
      </c>
      <c r="G231" s="59" t="str">
        <f aca="false">IFERROR(IF([2]对账明细接口!$G$231=0,"",[2]对账明细接口!$G$231),"")</f>
        <v>樱桃李</v>
      </c>
      <c r="H231" s="60" t="n">
        <f aca="false">IFERROR(IF([2]对账明细接口!$H$231=0,"",[2]对账明细接口!$H$231),"")</f>
        <v>402</v>
      </c>
      <c r="I231" s="59" t="str">
        <f aca="false">IFERROR(IF([2]对账明细接口!$I$231=0,"",[2]对账明细接口!$I$231),"")</f>
        <v>筐</v>
      </c>
      <c r="J231" s="61" t="n">
        <f aca="false">IFERROR(IF([2]对账明细接口!$J$231=0,"",[2]对账明细接口!$J$231),"")</f>
        <v>6552.6</v>
      </c>
      <c r="K231" s="61" t="str">
        <f aca="false">IFERROR(IF([2]对账明细接口!$K$231=0,"",[2]对账明细接口!$K$231),"")</f>
        <v/>
      </c>
      <c r="L231" s="59" t="str">
        <f aca="false">IFERROR(IF([2]对账明细接口!$L$231=0,"",[2]对账明细接口!$L$231),"")</f>
        <v/>
      </c>
      <c r="M231" s="59" t="str">
        <f aca="false">IFERROR(IF([2]对账明细接口!$M$231=0,"",[2]对账明细接口!$M$231),"")</f>
        <v/>
      </c>
      <c r="N231" s="111" t="n">
        <f aca="false">IF($C231="",0,1)</f>
        <v>1</v>
      </c>
      <c r="O231" s="111" t="n">
        <f aca="false">N(O230)+$N231</f>
        <v>228</v>
      </c>
      <c r="S231" s="10" t="str">
        <f aca="false">IFERROR(IF([2]对账明细接口!$N231=0,"",[2]对账明细接口!$N231),"")</f>
        <v>自备一次性筐</v>
      </c>
      <c r="T231" s="112" t="n">
        <f aca="false">IFERROR(IF([2]对账明细接口!$O231=0,"",[2]对账明细接口!$O231),"")</f>
        <v>402</v>
      </c>
      <c r="U231" s="112" t="str">
        <f aca="false">IFERROR(IF([2]对账明细接口!$P231=0,"",[2]对账明细接口!$P231),"")</f>
        <v/>
      </c>
      <c r="V231" s="112" t="str">
        <f aca="false">IFERROR(IF([2]对账明细接口!$Q231=0,"",[2]对账明细接口!$Q231),"")</f>
        <v/>
      </c>
      <c r="W231" s="10" t="str">
        <f aca="false">IFERROR(IF([2]对账明细接口!$R231=0,"",[2]对账明细接口!$R231),"")</f>
        <v>苏C*HB310</v>
      </c>
      <c r="X231" s="10" t="str">
        <f aca="false">IFERROR(IF([2]对账明细接口!$S231=0,"",[2]对账明细接口!$S231),"")</f>
        <v>自备筐</v>
      </c>
      <c r="Y231" s="10" t="str">
        <f aca="false">IFERROR(IF([2]对账明细接口!$T231=0,"",[2]对账明细接口!$T231),"")</f>
        <v/>
      </c>
      <c r="Z231" s="113" t="str">
        <f aca="false">IFERROR(IF([2]对账明细接口!$U231=0,"",[2]对账明细接口!$U231),"")</f>
        <v/>
      </c>
      <c r="AA231" s="113" t="str">
        <f aca="false">IFERROR(IF([2]对账明细接口!$V231=0,"",[2]对账明细接口!$V231),"")</f>
        <v/>
      </c>
      <c r="AB231" s="10" t="str">
        <f aca="false">IFERROR(IF([2]对账明细接口!$W231=0,"",[2]对账明细接口!$W231),"")</f>
        <v/>
      </c>
      <c r="AC231" s="90" t="str">
        <f aca="false">IFERROR(IF([2]对账明细接口!$X232=0,"",[2]对账明细接口!$X232),"")</f>
        <v/>
      </c>
      <c r="AD231" s="90" t="str">
        <f aca="false">IFERROR(IF([2]对账明细接口!$Y232=0,"",[2]对账明细接口!$Y232),"")</f>
        <v/>
      </c>
      <c r="AE231" s="90" t="str">
        <f aca="false">IFERROR(IF([2]对账明细接口!$AA232=0,"",[2]对账明细接口!$AA232),"")</f>
        <v/>
      </c>
      <c r="AF231" s="90" t="str">
        <f aca="false">IFERROR(IF([2]对账明细接口!$AB232=0,"",[2]对账明细接口!$AB232),"")</f>
        <v/>
      </c>
      <c r="AG231" s="90" t="str">
        <f aca="false">IFERROR(IF([2]对账明细接口!$AC232=0,"",[2]对账明细接口!$AC232),"")</f>
        <v/>
      </c>
      <c r="AH231" s="90" t="str">
        <f aca="false">IFERROR(IF([2]对账明细接口!$AD232=0,"",[2]对账明细接口!$AD232),"")</f>
        <v/>
      </c>
    </row>
    <row r="232" customFormat="false" ht="13.5" hidden="false" customHeight="false" outlineLevel="0" collapsed="false">
      <c r="A232" s="109" t="n">
        <v>232</v>
      </c>
      <c r="B232" s="110" t="n">
        <f aca="false">IFERROR(IF([2]对账明细接口!$B$232=0,"",[2]对账明细接口!$B$232),"")</f>
        <v>46251</v>
      </c>
      <c r="C232" s="59" t="str">
        <f aca="false">IFERROR(IF([2]对账明细接口!$C$232=0,"",[2]对账明细接口!$C$232),"")</f>
        <v>王照雪</v>
      </c>
      <c r="D232" s="59" t="str">
        <f aca="false">IFERROR(IF([2]对账明细接口!$D$232=0,"",[2]对账明细接口!$D$232),"")</f>
        <v>原料出库－公司购买</v>
      </c>
      <c r="E232" s="59" t="str">
        <f aca="false">IFERROR(IF([2]对账明细接口!$E$232=0,"",[2]对账明细接口!$E$232),"")</f>
        <v>NO:0000140</v>
      </c>
      <c r="F232" s="59" t="str">
        <f aca="false">IFERROR(IF([2]对账明细接口!$F$232=0,"",[2]对账明细接口!$F$232),"")</f>
        <v>李子</v>
      </c>
      <c r="G232" s="59" t="str">
        <f aca="false">IFERROR(IF([2]对账明细接口!$G$232=0,"",[2]对账明细接口!$G$232),"")</f>
        <v>樱桃李</v>
      </c>
      <c r="H232" s="60" t="n">
        <f aca="false">IFERROR(IF([2]对账明细接口!$H$232=0,"",[2]对账明细接口!$H$232),"")</f>
        <v>1</v>
      </c>
      <c r="I232" s="59" t="str">
        <f aca="false">IFERROR(IF([2]对账明细接口!$I$232=0,"",[2]对账明细接口!$I$232),"")</f>
        <v>筐</v>
      </c>
      <c r="J232" s="61" t="n">
        <f aca="false">IFERROR(IF([2]对账明细接口!$J$232=0,"",[2]对账明细接口!$J$232),"")</f>
        <v>16.3</v>
      </c>
      <c r="K232" s="61" t="str">
        <f aca="false">IFERROR(IF([2]对账明细接口!$K$232=0,"",[2]对账明细接口!$K$232),"")</f>
        <v/>
      </c>
      <c r="L232" s="59" t="str">
        <f aca="false">IFERROR(IF([2]对账明细接口!$L$232=0,"",[2]对账明细接口!$L$232),"")</f>
        <v/>
      </c>
      <c r="M232" s="59" t="str">
        <f aca="false">IFERROR(IF([2]对账明细接口!$M$232=0,"",[2]对账明细接口!$M$232),"")</f>
        <v/>
      </c>
      <c r="N232" s="111" t="n">
        <f aca="false">IF($C232="",0,1)</f>
        <v>1</v>
      </c>
      <c r="O232" s="111" t="n">
        <f aca="false">N(O231)+$N232</f>
        <v>229</v>
      </c>
      <c r="S232" s="10" t="str">
        <f aca="false">IFERROR(IF([2]对账明细接口!$N232=0,"",[2]对账明细接口!$N232),"")</f>
        <v>自备一次性筐</v>
      </c>
      <c r="T232" s="112" t="n">
        <f aca="false">IFERROR(IF([2]对账明细接口!$O232=0,"",[2]对账明细接口!$O232),"")</f>
        <v>1</v>
      </c>
      <c r="U232" s="112" t="str">
        <f aca="false">IFERROR(IF([2]对账明细接口!$P232=0,"",[2]对账明细接口!$P232),"")</f>
        <v/>
      </c>
      <c r="V232" s="112" t="str">
        <f aca="false">IFERROR(IF([2]对账明细接口!$Q232=0,"",[2]对账明细接口!$Q232),"")</f>
        <v/>
      </c>
      <c r="W232" s="10" t="str">
        <f aca="false">IFERROR(IF([2]对账明细接口!$R232=0,"",[2]对账明细接口!$R232),"")</f>
        <v/>
      </c>
      <c r="X232" s="10" t="str">
        <f aca="false">IFERROR(IF([2]对账明细接口!$S232=0,"",[2]对账明细接口!$S232),"")</f>
        <v>自备筐</v>
      </c>
      <c r="Y232" s="10" t="str">
        <f aca="false">IFERROR(IF([2]对账明细接口!$T232=0,"",[2]对账明细接口!$T232),"")</f>
        <v/>
      </c>
      <c r="Z232" s="113" t="str">
        <f aca="false">IFERROR(IF([2]对账明细接口!$U232=0,"",[2]对账明细接口!$U232),"")</f>
        <v/>
      </c>
      <c r="AA232" s="113" t="str">
        <f aca="false">IFERROR(IF([2]对账明细接口!$V232=0,"",[2]对账明细接口!$V232),"")</f>
        <v/>
      </c>
      <c r="AB232" s="10" t="str">
        <f aca="false">IFERROR(IF([2]对账明细接口!$W232=0,"",[2]对账明细接口!$W232),"")</f>
        <v/>
      </c>
      <c r="AC232" s="90" t="str">
        <f aca="false">IFERROR(IF([2]对账明细接口!$X233=0,"",[2]对账明细接口!$X233),"")</f>
        <v/>
      </c>
      <c r="AD232" s="90" t="str">
        <f aca="false">IFERROR(IF([2]对账明细接口!$Y233=0,"",[2]对账明细接口!$Y233),"")</f>
        <v/>
      </c>
      <c r="AE232" s="90" t="str">
        <f aca="false">IFERROR(IF([2]对账明细接口!$AA233=0,"",[2]对账明细接口!$AA233),"")</f>
        <v/>
      </c>
      <c r="AF232" s="90" t="str">
        <f aca="false">IFERROR(IF([2]对账明细接口!$AB233=0,"",[2]对账明细接口!$AB233),"")</f>
        <v/>
      </c>
      <c r="AG232" s="90" t="str">
        <f aca="false">IFERROR(IF([2]对账明细接口!$AC233=0,"",[2]对账明细接口!$AC233),"")</f>
        <v/>
      </c>
      <c r="AH232" s="90" t="str">
        <f aca="false">IFERROR(IF([2]对账明细接口!$AD233=0,"",[2]对账明细接口!$AD233),"")</f>
        <v/>
      </c>
    </row>
    <row r="233" customFormat="false" ht="13.5" hidden="false" customHeight="false" outlineLevel="0" collapsed="false">
      <c r="A233" s="109" t="n">
        <v>233</v>
      </c>
      <c r="B233" s="110" t="n">
        <f aca="false">IFERROR(IF([2]对账明细接口!$B$233=0,"",[2]对账明细接口!$B$233),"")</f>
        <v>46255</v>
      </c>
      <c r="C233" s="59" t="str">
        <f aca="false">IFERROR(IF([2]对账明细接口!$C$233=0,"",[2]对账明细接口!$C$233),"")</f>
        <v>伍元虎</v>
      </c>
      <c r="D233" s="59" t="str">
        <f aca="false">IFERROR(IF([2]对账明细接口!$D$233=0,"",[2]对账明细接口!$D$233),"")</f>
        <v>原料出库－原筐出库</v>
      </c>
      <c r="E233" s="59" t="str">
        <f aca="false">IFERROR(IF([2]对账明细接口!$E$233=0,"",[2]对账明细接口!$E$233),"")</f>
        <v>NO:0001021</v>
      </c>
      <c r="F233" s="59" t="str">
        <f aca="false">IFERROR(IF([2]对账明细接口!$F$233=0,"",[2]对账明细接口!$F$233),"")</f>
        <v>苹果</v>
      </c>
      <c r="G233" s="59" t="str">
        <f aca="false">IFERROR(IF([2]对账明细接口!$G$233=0,"",[2]对账明细接口!$G$233),"")</f>
        <v>海棠果</v>
      </c>
      <c r="H233" s="60" t="n">
        <f aca="false">IFERROR(IF([2]对账明细接口!$H$233=0,"",[2]对账明细接口!$H$233),"")</f>
        <v>87</v>
      </c>
      <c r="I233" s="59" t="str">
        <f aca="false">IFERROR(IF([2]对账明细接口!$I$233=0,"",[2]对账明细接口!$I$233),"")</f>
        <v>筐</v>
      </c>
      <c r="J233" s="61" t="n">
        <f aca="false">IFERROR(IF([2]对账明细接口!$J$233=0,"",[2]对账明细接口!$J$233),"")</f>
        <v>1957.5</v>
      </c>
      <c r="K233" s="61" t="str">
        <f aca="false">IFERROR(IF([2]对账明细接口!$K$233=0,"",[2]对账明细接口!$K$233),"")</f>
        <v/>
      </c>
      <c r="L233" s="59" t="str">
        <f aca="false">IFERROR(IF([2]对账明细接口!$L$233=0,"",[2]对账明细接口!$L$233),"")</f>
        <v/>
      </c>
      <c r="M233" s="59" t="str">
        <f aca="false">IFERROR(IF([2]对账明细接口!$M$233=0,"",[2]对账明细接口!$M$233),"")</f>
        <v>出库完毕</v>
      </c>
      <c r="N233" s="111" t="n">
        <f aca="false">IF($C233="",0,1)</f>
        <v>1</v>
      </c>
      <c r="O233" s="111" t="n">
        <f aca="false">N(O232)+$N233</f>
        <v>230</v>
      </c>
      <c r="S233" s="10" t="str">
        <f aca="false">IFERROR(IF([2]对账明细接口!$N233=0,"",[2]对账明细接口!$N233),"")</f>
        <v>自备一次性筐</v>
      </c>
      <c r="T233" s="112" t="n">
        <f aca="false">IFERROR(IF([2]对账明细接口!$O233=0,"",[2]对账明细接口!$O233),"")</f>
        <v>87</v>
      </c>
      <c r="U233" s="112" t="str">
        <f aca="false">IFERROR(IF([2]对账明细接口!$P233=0,"",[2]对账明细接口!$P233),"")</f>
        <v/>
      </c>
      <c r="V233" s="112" t="str">
        <f aca="false">IFERROR(IF([2]对账明细接口!$Q233=0,"",[2]对账明细接口!$Q233),"")</f>
        <v/>
      </c>
      <c r="W233" s="10" t="str">
        <f aca="false">IFERROR(IF([2]对账明细接口!$R233=0,"",[2]对账明细接口!$R233),"")</f>
        <v>新N*4377B</v>
      </c>
      <c r="X233" s="10" t="str">
        <f aca="false">IFERROR(IF([2]对账明细接口!$S233=0,"",[2]对账明细接口!$S233),"")</f>
        <v>自备筐</v>
      </c>
      <c r="Y233" s="10" t="str">
        <f aca="false">IFERROR(IF([2]对账明细接口!$T233=0,"",[2]对账明细接口!$T233),"")</f>
        <v/>
      </c>
      <c r="Z233" s="113" t="str">
        <f aca="false">IFERROR(IF([2]对账明细接口!$U233=0,"",[2]对账明细接口!$U233),"")</f>
        <v/>
      </c>
      <c r="AA233" s="113" t="str">
        <f aca="false">IFERROR(IF([2]对账明细接口!$V233=0,"",[2]对账明细接口!$V233),"")</f>
        <v/>
      </c>
      <c r="AB233" s="10" t="str">
        <f aca="false">IFERROR(IF([2]对账明细接口!$W233=0,"",[2]对账明细接口!$W233),"")</f>
        <v/>
      </c>
      <c r="AC233" s="90" t="str">
        <f aca="false">IFERROR(IF([2]对账明细接口!$X234=0,"",[2]对账明细接口!$X234),"")</f>
        <v/>
      </c>
      <c r="AD233" s="90" t="str">
        <f aca="false">IFERROR(IF([2]对账明细接口!$Y234=0,"",[2]对账明细接口!$Y234),"")</f>
        <v/>
      </c>
      <c r="AE233" s="90" t="str">
        <f aca="false">IFERROR(IF([2]对账明细接口!$AA234=0,"",[2]对账明细接口!$AA234),"")</f>
        <v/>
      </c>
      <c r="AF233" s="90" t="str">
        <f aca="false">IFERROR(IF([2]对账明细接口!$AB234=0,"",[2]对账明细接口!$AB234),"")</f>
        <v/>
      </c>
      <c r="AG233" s="90" t="str">
        <f aca="false">IFERROR(IF([2]对账明细接口!$AC234=0,"",[2]对账明细接口!$AC234),"")</f>
        <v/>
      </c>
      <c r="AH233" s="90" t="str">
        <f aca="false">IFERROR(IF([2]对账明细接口!$AD234=0,"",[2]对账明细接口!$AD234),"")</f>
        <v/>
      </c>
    </row>
    <row r="234" customFormat="false" ht="13.5" hidden="false" customHeight="false" outlineLevel="0" collapsed="false">
      <c r="A234" s="109" t="n">
        <v>234</v>
      </c>
      <c r="B234" s="110" t="n">
        <f aca="false">IFERROR(IF([2]对账明细接口!$B$234=0,"",[2]对账明细接口!$B$234),"")</f>
        <v>46255</v>
      </c>
      <c r="C234" s="59" t="str">
        <f aca="false">IFERROR(IF([2]对账明细接口!$C$234=0,"",[2]对账明细接口!$C$234),"")</f>
        <v>聂新平</v>
      </c>
      <c r="D234" s="59" t="str">
        <f aca="false">IFERROR(IF([2]对账明细接口!$D$234=0,"",[2]对账明细接口!$D$234),"")</f>
        <v>原料出库－原筐出库</v>
      </c>
      <c r="E234" s="59" t="str">
        <f aca="false">IFERROR(IF([2]对账明细接口!$E$234=0,"",[2]对账明细接口!$E$234),"")</f>
        <v>NO:0001024</v>
      </c>
      <c r="F234" s="59" t="str">
        <f aca="false">IFERROR(IF([2]对账明细接口!$F$234=0,"",[2]对账明细接口!$F$234),"")</f>
        <v>苹果</v>
      </c>
      <c r="G234" s="59" t="str">
        <f aca="false">IFERROR(IF([2]对账明细接口!$G$234=0,"",[2]对账明细接口!$G$234),"")</f>
        <v>嘎啦85#</v>
      </c>
      <c r="H234" s="60" t="n">
        <f aca="false">IFERROR(IF([2]对账明细接口!$H$234=0,"",[2]对账明细接口!$H$234),"")</f>
        <v>212</v>
      </c>
      <c r="I234" s="59" t="str">
        <f aca="false">IFERROR(IF([2]对账明细接口!$I$234=0,"",[2]对账明细接口!$I$234),"")</f>
        <v>筐</v>
      </c>
      <c r="J234" s="61" t="n">
        <f aca="false">IFERROR(IF([2]对账明细接口!$J$234=0,"",[2]对账明细接口!$J$234),"")</f>
        <v>4621.6</v>
      </c>
      <c r="K234" s="61" t="str">
        <f aca="false">IFERROR(IF([2]对账明细接口!$K$234=0,"",[2]对账明细接口!$K$234),"")</f>
        <v/>
      </c>
      <c r="L234" s="59" t="str">
        <f aca="false">IFERROR(IF([2]对账明细接口!$L$234=0,"",[2]对账明细接口!$L$234),"")</f>
        <v/>
      </c>
      <c r="M234" s="59" t="str">
        <f aca="false">IFERROR(IF([2]对账明细接口!$M$234=0,"",[2]对账明细接口!$M$234),"")</f>
        <v/>
      </c>
      <c r="N234" s="111" t="n">
        <f aca="false">IF($C234="",0,1)</f>
        <v>1</v>
      </c>
      <c r="O234" s="111" t="n">
        <f aca="false">N(O233)+$N234</f>
        <v>231</v>
      </c>
      <c r="S234" s="10" t="str">
        <f aca="false">IFERROR(IF([2]对账明细接口!$N234=0,"",[2]对账明细接口!$N234),"")</f>
        <v>自备一次性筐</v>
      </c>
      <c r="T234" s="112" t="n">
        <f aca="false">IFERROR(IF([2]对账明细接口!$O234=0,"",[2]对账明细接口!$O234),"")</f>
        <v>212</v>
      </c>
      <c r="U234" s="112" t="str">
        <f aca="false">IFERROR(IF([2]对账明细接口!$P234=0,"",[2]对账明细接口!$P234),"")</f>
        <v/>
      </c>
      <c r="V234" s="112" t="str">
        <f aca="false">IFERROR(IF([2]对账明细接口!$Q234=0,"",[2]对账明细接口!$Q234),"")</f>
        <v/>
      </c>
      <c r="W234" s="10" t="str">
        <f aca="false">IFERROR(IF([2]对账明细接口!$R234=0,"",[2]对账明细接口!$R234),"")</f>
        <v>晋M*H8582</v>
      </c>
      <c r="X234" s="10" t="str">
        <f aca="false">IFERROR(IF([2]对账明细接口!$S234=0,"",[2]对账明细接口!$S234),"")</f>
        <v>自备筐</v>
      </c>
      <c r="Y234" s="10" t="str">
        <f aca="false">IFERROR(IF([2]对账明细接口!$T234=0,"",[2]对账明细接口!$T234),"")</f>
        <v/>
      </c>
      <c r="Z234" s="113" t="str">
        <f aca="false">IFERROR(IF([2]对账明细接口!$U234=0,"",[2]对账明细接口!$U234),"")</f>
        <v/>
      </c>
      <c r="AA234" s="113" t="str">
        <f aca="false">IFERROR(IF([2]对账明细接口!$V234=0,"",[2]对账明细接口!$V234),"")</f>
        <v/>
      </c>
      <c r="AB234" s="10" t="str">
        <f aca="false">IFERROR(IF([2]对账明细接口!$W234=0,"",[2]对账明细接口!$W234),"")</f>
        <v/>
      </c>
      <c r="AC234" s="90" t="str">
        <f aca="false">IFERROR(IF([2]对账明细接口!$X235=0,"",[2]对账明细接口!$X235),"")</f>
        <v/>
      </c>
      <c r="AD234" s="90" t="str">
        <f aca="false">IFERROR(IF([2]对账明细接口!$Y235=0,"",[2]对账明细接口!$Y235),"")</f>
        <v/>
      </c>
      <c r="AE234" s="90" t="str">
        <f aca="false">IFERROR(IF([2]对账明细接口!$AA235=0,"",[2]对账明细接口!$AA235),"")</f>
        <v/>
      </c>
      <c r="AF234" s="90" t="str">
        <f aca="false">IFERROR(IF([2]对账明细接口!$AB235=0,"",[2]对账明细接口!$AB235),"")</f>
        <v/>
      </c>
      <c r="AG234" s="90" t="str">
        <f aca="false">IFERROR(IF([2]对账明细接口!$AC235=0,"",[2]对账明细接口!$AC235),"")</f>
        <v/>
      </c>
      <c r="AH234" s="90" t="str">
        <f aca="false">IFERROR(IF([2]对账明细接口!$AD235=0,"",[2]对账明细接口!$AD235),"")</f>
        <v/>
      </c>
    </row>
    <row r="235" customFormat="false" ht="13.5" hidden="false" customHeight="false" outlineLevel="0" collapsed="false">
      <c r="A235" s="109" t="n">
        <v>235</v>
      </c>
      <c r="B235" s="110" t="n">
        <f aca="false">IFERROR(IF([2]对账明细接口!$B$235=0,"",[2]对账明细接口!$B$235),"")</f>
        <v>46255</v>
      </c>
      <c r="C235" s="59" t="str">
        <f aca="false">IFERROR(IF([2]对账明细接口!$C$235=0,"",[2]对账明细接口!$C$235),"")</f>
        <v>聂新平</v>
      </c>
      <c r="D235" s="59" t="str">
        <f aca="false">IFERROR(IF([2]对账明细接口!$D$235=0,"",[2]对账明细接口!$D$235),"")</f>
        <v>原料出库－原筐出库</v>
      </c>
      <c r="E235" s="59" t="str">
        <f aca="false">IFERROR(IF([2]对账明细接口!$E$235=0,"",[2]对账明细接口!$E$235),"")</f>
        <v>NO:0001024</v>
      </c>
      <c r="F235" s="59" t="str">
        <f aca="false">IFERROR(IF([2]对账明细接口!$F$235=0,"",[2]对账明细接口!$F$235),"")</f>
        <v>苹果</v>
      </c>
      <c r="G235" s="59" t="str">
        <f aca="false">IFERROR(IF([2]对账明细接口!$G$235=0,"",[2]对账明细接口!$G$235),"")</f>
        <v>嘎啦100#</v>
      </c>
      <c r="H235" s="60" t="n">
        <f aca="false">IFERROR(IF([2]对账明细接口!$H$235=0,"",[2]对账明细接口!$H$235),"")</f>
        <v>240</v>
      </c>
      <c r="I235" s="59" t="str">
        <f aca="false">IFERROR(IF([2]对账明细接口!$I$235=0,"",[2]对账明细接口!$I$235),"")</f>
        <v>筐</v>
      </c>
      <c r="J235" s="61" t="n">
        <f aca="false">IFERROR(IF([2]对账明细接口!$J$235=0,"",[2]对账明细接口!$J$235),"")</f>
        <v>5232</v>
      </c>
      <c r="K235" s="61" t="str">
        <f aca="false">IFERROR(IF([2]对账明细接口!$K$235=0,"",[2]对账明细接口!$K$235),"")</f>
        <v/>
      </c>
      <c r="L235" s="59" t="str">
        <f aca="false">IFERROR(IF([2]对账明细接口!$L$235=0,"",[2]对账明细接口!$L$235),"")</f>
        <v/>
      </c>
      <c r="M235" s="59" t="str">
        <f aca="false">IFERROR(IF([2]对账明细接口!$M$235=0,"",[2]对账明细接口!$M$235),"")</f>
        <v/>
      </c>
      <c r="N235" s="111" t="n">
        <f aca="false">IF($C235="",0,1)</f>
        <v>1</v>
      </c>
      <c r="O235" s="111" t="n">
        <f aca="false">N(O234)+$N235</f>
        <v>232</v>
      </c>
      <c r="S235" s="10" t="str">
        <f aca="false">IFERROR(IF([2]对账明细接口!$N235=0,"",[2]对账明细接口!$N235),"")</f>
        <v>自备一次性筐</v>
      </c>
      <c r="T235" s="112" t="n">
        <f aca="false">IFERROR(IF([2]对账明细接口!$O235=0,"",[2]对账明细接口!$O235),"")</f>
        <v>240</v>
      </c>
      <c r="U235" s="112" t="str">
        <f aca="false">IFERROR(IF([2]对账明细接口!$P235=0,"",[2]对账明细接口!$P235),"")</f>
        <v/>
      </c>
      <c r="V235" s="112" t="str">
        <f aca="false">IFERROR(IF([2]对账明细接口!$Q235=0,"",[2]对账明细接口!$Q235),"")</f>
        <v/>
      </c>
      <c r="W235" s="10" t="str">
        <f aca="false">IFERROR(IF([2]对账明细接口!$R235=0,"",[2]对账明细接口!$R235),"")</f>
        <v>晋M*H8582</v>
      </c>
      <c r="X235" s="10" t="str">
        <f aca="false">IFERROR(IF([2]对账明细接口!$S235=0,"",[2]对账明细接口!$S235),"")</f>
        <v>自备筐</v>
      </c>
      <c r="Y235" s="10" t="str">
        <f aca="false">IFERROR(IF([2]对账明细接口!$T235=0,"",[2]对账明细接口!$T235),"")</f>
        <v/>
      </c>
      <c r="Z235" s="113" t="str">
        <f aca="false">IFERROR(IF([2]对账明细接口!$U235=0,"",[2]对账明细接口!$U235),"")</f>
        <v/>
      </c>
      <c r="AA235" s="113" t="str">
        <f aca="false">IFERROR(IF([2]对账明细接口!$V235=0,"",[2]对账明细接口!$V235),"")</f>
        <v/>
      </c>
      <c r="AB235" s="10" t="str">
        <f aca="false">IFERROR(IF([2]对账明细接口!$W235=0,"",[2]对账明细接口!$W235),"")</f>
        <v/>
      </c>
      <c r="AC235" s="90" t="str">
        <f aca="false">IFERROR(IF([2]对账明细接口!$X236=0,"",[2]对账明细接口!$X236),"")</f>
        <v/>
      </c>
      <c r="AD235" s="90" t="str">
        <f aca="false">IFERROR(IF([2]对账明细接口!$Y236=0,"",[2]对账明细接口!$Y236),"")</f>
        <v/>
      </c>
      <c r="AE235" s="90" t="str">
        <f aca="false">IFERROR(IF([2]对账明细接口!$AA236=0,"",[2]对账明细接口!$AA236),"")</f>
        <v/>
      </c>
      <c r="AF235" s="90" t="str">
        <f aca="false">IFERROR(IF([2]对账明细接口!$AB236=0,"",[2]对账明细接口!$AB236),"")</f>
        <v/>
      </c>
      <c r="AG235" s="90" t="str">
        <f aca="false">IFERROR(IF([2]对账明细接口!$AC236=0,"",[2]对账明细接口!$AC236),"")</f>
        <v/>
      </c>
      <c r="AH235" s="90" t="str">
        <f aca="false">IFERROR(IF([2]对账明细接口!$AD236=0,"",[2]对账明细接口!$AD236),"")</f>
        <v/>
      </c>
    </row>
    <row r="236" customFormat="false" ht="13.5" hidden="false" customHeight="false" outlineLevel="0" collapsed="false">
      <c r="A236" s="109" t="n">
        <v>236</v>
      </c>
      <c r="B236" s="110" t="n">
        <f aca="false">IFERROR(IF([2]对账明细接口!$B$236=0,"",[2]对账明细接口!$B$236),"")</f>
        <v>46258</v>
      </c>
      <c r="C236" s="59" t="str">
        <f aca="false">IFERROR(IF([2]对账明细接口!$C$236=0,"",[2]对账明细接口!$C$236),"")</f>
        <v>王照雪</v>
      </c>
      <c r="D236" s="59" t="str">
        <f aca="false">IFERROR(IF([2]对账明细接口!$D$236=0,"",[2]对账明细接口!$D$236),"")</f>
        <v>原料出库－原筐出库</v>
      </c>
      <c r="E236" s="59" t="str">
        <f aca="false">IFERROR(IF([2]对账明细接口!$E$236=0,"",[2]对账明细接口!$E$236),"")</f>
        <v>NO:0001032</v>
      </c>
      <c r="F236" s="59" t="str">
        <f aca="false">IFERROR(IF([2]对账明细接口!$F$236=0,"",[2]对账明细接口!$F$236),"")</f>
        <v>苹果</v>
      </c>
      <c r="G236" s="59" t="str">
        <f aca="false">IFERROR(IF([2]对账明细接口!$G$236=0,"",[2]对账明细接口!$G$236),"")</f>
        <v>华硕高次</v>
      </c>
      <c r="H236" s="60" t="n">
        <f aca="false">IFERROR(IF([2]对账明细接口!$H$236=0,"",[2]对账明细接口!$H$236),"")</f>
        <v>1</v>
      </c>
      <c r="I236" s="59" t="str">
        <f aca="false">IFERROR(IF([2]对账明细接口!$I$236=0,"",[2]对账明细接口!$I$236),"")</f>
        <v>筐</v>
      </c>
      <c r="J236" s="61" t="n">
        <f aca="false">IFERROR(IF([2]对账明细接口!$J$236=0,"",[2]对账明细接口!$J$236),"")</f>
        <v>17.3</v>
      </c>
      <c r="K236" s="61" t="str">
        <f aca="false">IFERROR(IF([2]对账明细接口!$K$236=0,"",[2]对账明细接口!$K$236),"")</f>
        <v/>
      </c>
      <c r="L236" s="59" t="str">
        <f aca="false">IFERROR(IF([2]对账明细接口!$L$236=0,"",[2]对账明细接口!$L$236),"")</f>
        <v/>
      </c>
      <c r="M236" s="59" t="str">
        <f aca="false">IFERROR(IF([2]对账明细接口!$M$236=0,"",[2]对账明细接口!$M$236),"")</f>
        <v>主播拿走</v>
      </c>
      <c r="N236" s="111" t="n">
        <f aca="false">IF($C236="",0,1)</f>
        <v>1</v>
      </c>
      <c r="O236" s="111" t="n">
        <f aca="false">N(O235)+$N236</f>
        <v>233</v>
      </c>
      <c r="S236" s="10" t="str">
        <f aca="false">IFERROR(IF([2]对账明细接口!$N236=0,"",[2]对账明细接口!$N236),"")</f>
        <v>公司杂周转筐</v>
      </c>
      <c r="T236" s="112" t="n">
        <f aca="false">IFERROR(IF([2]对账明细接口!$O236=0,"",[2]对账明细接口!$O236),"")</f>
        <v>1</v>
      </c>
      <c r="U236" s="112" t="str">
        <f aca="false">IFERROR(IF([2]对账明细接口!$P236=0,"",[2]对账明细接口!$P236),"")</f>
        <v/>
      </c>
      <c r="V236" s="112" t="str">
        <f aca="false">IFERROR(IF([2]对账明细接口!$Q236=0,"",[2]对账明细接口!$Q236),"")</f>
        <v/>
      </c>
      <c r="W236" s="10" t="str">
        <f aca="false">IFERROR(IF([2]对账明细接口!$R236=0,"",[2]对账明细接口!$R236),"")</f>
        <v/>
      </c>
      <c r="X236" s="10" t="str">
        <f aca="false">IFERROR(IF([2]对账明细接口!$S236=0,"",[2]对账明细接口!$S236),"")</f>
        <v>公司筐</v>
      </c>
      <c r="Y236" s="10" t="str">
        <f aca="false">IFERROR(IF([2]对账明细接口!$T236=0,"",[2]对账明细接口!$T236),"")</f>
        <v/>
      </c>
      <c r="Z236" s="113" t="str">
        <f aca="false">IFERROR(IF([2]对账明细接口!$U236=0,"",[2]对账明细接口!$U236),"")</f>
        <v/>
      </c>
      <c r="AA236" s="113" t="str">
        <f aca="false">IFERROR(IF([2]对账明细接口!$V236=0,"",[2]对账明细接口!$V236),"")</f>
        <v/>
      </c>
      <c r="AB236" s="10" t="str">
        <f aca="false">IFERROR(IF([2]对账明细接口!$W236=0,"",[2]对账明细接口!$W236),"")</f>
        <v/>
      </c>
      <c r="AC236" s="90" t="str">
        <f aca="false">IFERROR(IF([2]对账明细接口!$X237=0,"",[2]对账明细接口!$X237),"")</f>
        <v/>
      </c>
      <c r="AD236" s="90" t="str">
        <f aca="false">IFERROR(IF([2]对账明细接口!$Y237=0,"",[2]对账明细接口!$Y237),"")</f>
        <v/>
      </c>
      <c r="AE236" s="90" t="str">
        <f aca="false">IFERROR(IF([2]对账明细接口!$AA237=0,"",[2]对账明细接口!$AA237),"")</f>
        <v/>
      </c>
      <c r="AF236" s="90" t="str">
        <f aca="false">IFERROR(IF([2]对账明细接口!$AB237=0,"",[2]对账明细接口!$AB237),"")</f>
        <v/>
      </c>
      <c r="AG236" s="90" t="str">
        <f aca="false">IFERROR(IF([2]对账明细接口!$AC237=0,"",[2]对账明细接口!$AC237),"")</f>
        <v/>
      </c>
      <c r="AH236" s="90" t="str">
        <f aca="false">IFERROR(IF([2]对账明细接口!$AD237=0,"",[2]对账明细接口!$AD237),"")</f>
        <v/>
      </c>
    </row>
    <row r="237" customFormat="false" ht="13.5" hidden="false" customHeight="false" outlineLevel="0" collapsed="false">
      <c r="A237" s="109" t="n">
        <v>237</v>
      </c>
      <c r="B237" s="110" t="n">
        <f aca="false">IFERROR(IF([2]对账明细接口!$B$237=0,"",[2]对账明细接口!$B$237),"")</f>
        <v>46259</v>
      </c>
      <c r="C237" s="59" t="str">
        <f aca="false">IFERROR(IF([2]对账明细接口!$C$237=0,"",[2]对账明细接口!$C$237),"")</f>
        <v>王照雪</v>
      </c>
      <c r="D237" s="59" t="str">
        <f aca="false">IFERROR(IF([2]对账明细接口!$D$237=0,"",[2]对账明细接口!$D$237),"")</f>
        <v>原料出库－出库加工</v>
      </c>
      <c r="E237" s="59" t="str">
        <f aca="false">IFERROR(IF([2]对账明细接口!$E$237=0,"",[2]对账明细接口!$E$237),"")</f>
        <v>NO:0001034</v>
      </c>
      <c r="F237" s="59" t="str">
        <f aca="false">IFERROR(IF([2]对账明细接口!$F$237=0,"",[2]对账明细接口!$F$237),"")</f>
        <v>苹果</v>
      </c>
      <c r="G237" s="59" t="str">
        <f aca="false">IFERROR(IF([2]对账明细接口!$G$237=0,"",[2]对账明细接口!$G$237),"")</f>
        <v>华硕一级</v>
      </c>
      <c r="H237" s="60" t="n">
        <f aca="false">IFERROR(IF([2]对账明细接口!$H$237=0,"",[2]对账明细接口!$H$237),"")</f>
        <v>44</v>
      </c>
      <c r="I237" s="59" t="str">
        <f aca="false">IFERROR(IF([2]对账明细接口!$I$237=0,"",[2]对账明细接口!$I$237),"")</f>
        <v>筐</v>
      </c>
      <c r="J237" s="61" t="str">
        <f aca="false">IFERROR(IF([2]对账明细接口!$J$237=0,"",[2]对账明细接口!$J$237),"")</f>
        <v/>
      </c>
      <c r="K237" s="61" t="str">
        <f aca="false">IFERROR(IF([2]对账明细接口!$K$237=0,"",[2]对账明细接口!$K$237),"")</f>
        <v/>
      </c>
      <c r="L237" s="59" t="str">
        <f aca="false">IFERROR(IF([2]对账明细接口!$L$237=0,"",[2]对账明细接口!$L$237),"")</f>
        <v/>
      </c>
      <c r="M237" s="59" t="str">
        <f aca="false">IFERROR(IF([2]对账明细接口!$M$237=0,"",[2]对账明细接口!$M$237),"")</f>
        <v/>
      </c>
      <c r="N237" s="111" t="n">
        <f aca="false">IF($C237="",0,1)</f>
        <v>1</v>
      </c>
      <c r="O237" s="111" t="n">
        <f aca="false">N(O236)+$N237</f>
        <v>234</v>
      </c>
      <c r="S237" s="10" t="str">
        <f aca="false">IFERROR(IF([2]对账明细接口!$N237=0,"",[2]对账明细接口!$N237),"")</f>
        <v/>
      </c>
      <c r="T237" s="112" t="str">
        <f aca="false">IFERROR(IF([2]对账明细接口!$O237=0,"",[2]对账明细接口!$O237),"")</f>
        <v/>
      </c>
      <c r="U237" s="112" t="str">
        <f aca="false">IFERROR(IF([2]对账明细接口!$P237=0,"",[2]对账明细接口!$P237),"")</f>
        <v/>
      </c>
      <c r="V237" s="112" t="str">
        <f aca="false">IFERROR(IF([2]对账明细接口!$Q237=0,"",[2]对账明细接口!$Q237),"")</f>
        <v/>
      </c>
      <c r="W237" s="10" t="str">
        <f aca="false">IFERROR(IF([2]对账明细接口!$R237=0,"",[2]对账明细接口!$R237),"")</f>
        <v/>
      </c>
      <c r="X237" s="10" t="str">
        <f aca="false">IFERROR(IF([2]对账明细接口!$S237=0,"",[2]对账明细接口!$S237),"")</f>
        <v/>
      </c>
      <c r="Y237" s="10" t="str">
        <f aca="false">IFERROR(IF([2]对账明细接口!$T237=0,"",[2]对账明细接口!$T237),"")</f>
        <v/>
      </c>
      <c r="Z237" s="113" t="str">
        <f aca="false">IFERROR(IF([2]对账明细接口!$U237=0,"",[2]对账明细接口!$U237),"")</f>
        <v/>
      </c>
      <c r="AA237" s="113" t="str">
        <f aca="false">IFERROR(IF([2]对账明细接口!$V237=0,"",[2]对账明细接口!$V237),"")</f>
        <v/>
      </c>
      <c r="AB237" s="10" t="str">
        <f aca="false">IFERROR(IF([2]对账明细接口!$W237=0,"",[2]对账明细接口!$W237),"")</f>
        <v/>
      </c>
      <c r="AC237" s="90" t="str">
        <f aca="false">IFERROR(IF([2]对账明细接口!$X238=0,"",[2]对账明细接口!$X238),"")</f>
        <v/>
      </c>
      <c r="AD237" s="90" t="str">
        <f aca="false">IFERROR(IF([2]对账明细接口!$Y238=0,"",[2]对账明细接口!$Y238),"")</f>
        <v/>
      </c>
      <c r="AE237" s="90" t="str">
        <f aca="false">IFERROR(IF([2]对账明细接口!$AA238=0,"",[2]对账明细接口!$AA238),"")</f>
        <v/>
      </c>
      <c r="AF237" s="90" t="str">
        <f aca="false">IFERROR(IF([2]对账明细接口!$AB238=0,"",[2]对账明细接口!$AB238),"")</f>
        <v/>
      </c>
      <c r="AG237" s="90" t="str">
        <f aca="false">IFERROR(IF([2]对账明细接口!$AC238=0,"",[2]对账明细接口!$AC238),"")</f>
        <v/>
      </c>
      <c r="AH237" s="90" t="str">
        <f aca="false">IFERROR(IF([2]对账明细接口!$AD238=0,"",[2]对账明细接口!$AD238),"")</f>
        <v/>
      </c>
    </row>
    <row r="238" customFormat="false" ht="13.5" hidden="false" customHeight="false" outlineLevel="0" collapsed="false">
      <c r="A238" s="109" t="n">
        <v>238</v>
      </c>
      <c r="B238" s="110" t="n">
        <f aca="false">IFERROR(IF([2]对账明细接口!$B$238=0,"",[2]对账明细接口!$B$238),"")</f>
        <v>46261</v>
      </c>
      <c r="C238" s="59" t="str">
        <f aca="false">IFERROR(IF([2]对账明细接口!$C$238=0,"",[2]对账明细接口!$C$238),"")</f>
        <v>王照雪</v>
      </c>
      <c r="D238" s="59" t="str">
        <f aca="false">IFERROR(IF([2]对账明细接口!$D$238=0,"",[2]对账明细接口!$D$238),"")</f>
        <v>原料出库－出库加工</v>
      </c>
      <c r="E238" s="59" t="str">
        <f aca="false">IFERROR(IF([2]对账明细接口!$E$238=0,"",[2]对账明细接口!$E$238),"")</f>
        <v>NO:0001038</v>
      </c>
      <c r="F238" s="59" t="str">
        <f aca="false">IFERROR(IF([2]对账明细接口!$F$238=0,"",[2]对账明细接口!$F$238),"")</f>
        <v>苹果</v>
      </c>
      <c r="G238" s="59" t="str">
        <f aca="false">IFERROR(IF([2]对账明细接口!$G$238=0,"",[2]对账明细接口!$G$238),"")</f>
        <v>华硕一级</v>
      </c>
      <c r="H238" s="60" t="n">
        <f aca="false">IFERROR(IF([2]对账明细接口!$H$238=0,"",[2]对账明细接口!$H$238),"")</f>
        <v>78</v>
      </c>
      <c r="I238" s="59" t="str">
        <f aca="false">IFERROR(IF([2]对账明细接口!$I$238=0,"",[2]对账明细接口!$I$238),"")</f>
        <v>筐</v>
      </c>
      <c r="J238" s="61" t="str">
        <f aca="false">IFERROR(IF([2]对账明细接口!$J$238=0,"",[2]对账明细接口!$J$238),"")</f>
        <v/>
      </c>
      <c r="K238" s="61" t="str">
        <f aca="false">IFERROR(IF([2]对账明细接口!$K$238=0,"",[2]对账明细接口!$K$238),"")</f>
        <v/>
      </c>
      <c r="L238" s="59" t="str">
        <f aca="false">IFERROR(IF([2]对账明细接口!$L$238=0,"",[2]对账明细接口!$L$238),"")</f>
        <v/>
      </c>
      <c r="M238" s="59" t="str">
        <f aca="false">IFERROR(IF([2]对账明细接口!$M$238=0,"",[2]对账明细接口!$M$238),"")</f>
        <v/>
      </c>
      <c r="N238" s="111" t="n">
        <f aca="false">IF($C238="",0,1)</f>
        <v>1</v>
      </c>
      <c r="O238" s="111" t="n">
        <f aca="false">N(O237)+$N238</f>
        <v>235</v>
      </c>
      <c r="S238" s="10" t="str">
        <f aca="false">IFERROR(IF([2]对账明细接口!$N238=0,"",[2]对账明细接口!$N238),"")</f>
        <v/>
      </c>
      <c r="T238" s="112" t="str">
        <f aca="false">IFERROR(IF([2]对账明细接口!$O238=0,"",[2]对账明细接口!$O238),"")</f>
        <v/>
      </c>
      <c r="U238" s="112" t="str">
        <f aca="false">IFERROR(IF([2]对账明细接口!$P238=0,"",[2]对账明细接口!$P238),"")</f>
        <v/>
      </c>
      <c r="V238" s="112" t="str">
        <f aca="false">IFERROR(IF([2]对账明细接口!$Q238=0,"",[2]对账明细接口!$Q238),"")</f>
        <v/>
      </c>
      <c r="W238" s="10" t="str">
        <f aca="false">IFERROR(IF([2]对账明细接口!$R238=0,"",[2]对账明细接口!$R238),"")</f>
        <v/>
      </c>
      <c r="X238" s="10" t="str">
        <f aca="false">IFERROR(IF([2]对账明细接口!$S238=0,"",[2]对账明细接口!$S238),"")</f>
        <v/>
      </c>
      <c r="Y238" s="10" t="str">
        <f aca="false">IFERROR(IF([2]对账明细接口!$T238=0,"",[2]对账明细接口!$T238),"")</f>
        <v/>
      </c>
      <c r="Z238" s="113" t="str">
        <f aca="false">IFERROR(IF([2]对账明细接口!$U238=0,"",[2]对账明细接口!$U238),"")</f>
        <v/>
      </c>
      <c r="AA238" s="113" t="str">
        <f aca="false">IFERROR(IF([2]对账明细接口!$V238=0,"",[2]对账明细接口!$V238),"")</f>
        <v/>
      </c>
      <c r="AB238" s="10" t="str">
        <f aca="false">IFERROR(IF([2]对账明细接口!$W238=0,"",[2]对账明细接口!$W238),"")</f>
        <v/>
      </c>
      <c r="AC238" s="90" t="str">
        <f aca="false">IFERROR(IF([2]对账明细接口!$X239=0,"",[2]对账明细接口!$X239),"")</f>
        <v/>
      </c>
      <c r="AD238" s="90" t="str">
        <f aca="false">IFERROR(IF([2]对账明细接口!$Y239=0,"",[2]对账明细接口!$Y239),"")</f>
        <v/>
      </c>
      <c r="AE238" s="90" t="str">
        <f aca="false">IFERROR(IF([2]对账明细接口!$AA239=0,"",[2]对账明细接口!$AA239),"")</f>
        <v/>
      </c>
      <c r="AF238" s="90" t="str">
        <f aca="false">IFERROR(IF([2]对账明细接口!$AB239=0,"",[2]对账明细接口!$AB239),"")</f>
        <v/>
      </c>
      <c r="AG238" s="90" t="str">
        <f aca="false">IFERROR(IF([2]对账明细接口!$AC239=0,"",[2]对账明细接口!$AC239),"")</f>
        <v/>
      </c>
      <c r="AH238" s="90" t="str">
        <f aca="false">IFERROR(IF([2]对账明细接口!$AD239=0,"",[2]对账明细接口!$AD239),"")</f>
        <v/>
      </c>
    </row>
    <row r="239" customFormat="false" ht="13.5" hidden="false" customHeight="false" outlineLevel="0" collapsed="false">
      <c r="A239" s="109" t="n">
        <v>239</v>
      </c>
      <c r="B239" s="110" t="n">
        <f aca="false">IFERROR(IF([2]对账明细接口!$B$239=0,"",[2]对账明细接口!$B$239),"")</f>
        <v>46261</v>
      </c>
      <c r="C239" s="59" t="str">
        <f aca="false">IFERROR(IF([2]对账明细接口!$C$239=0,"",[2]对账明细接口!$C$239),"")</f>
        <v>王照雪</v>
      </c>
      <c r="D239" s="59" t="str">
        <f aca="false">IFERROR(IF([2]对账明细接口!$D$239=0,"",[2]对账明细接口!$D$239),"")</f>
        <v>原料出库－出库加工</v>
      </c>
      <c r="E239" s="59" t="str">
        <f aca="false">IFERROR(IF([2]对账明细接口!$E$239=0,"",[2]对账明细接口!$E$239),"")</f>
        <v>NO:0001038</v>
      </c>
      <c r="F239" s="59" t="str">
        <f aca="false">IFERROR(IF([2]对账明细接口!$F$239=0,"",[2]对账明细接口!$F$239),"")</f>
        <v>苹果</v>
      </c>
      <c r="G239" s="59" t="str">
        <f aca="false">IFERROR(IF([2]对账明细接口!$G$239=0,"",[2]对账明细接口!$G$239),"")</f>
        <v>华硕高次</v>
      </c>
      <c r="H239" s="60" t="n">
        <f aca="false">IFERROR(IF([2]对账明细接口!$H$239=0,"",[2]对账明细接口!$H$239),"")</f>
        <v>44</v>
      </c>
      <c r="I239" s="59" t="str">
        <f aca="false">IFERROR(IF([2]对账明细接口!$I$239=0,"",[2]对账明细接口!$I$239),"")</f>
        <v>筐</v>
      </c>
      <c r="J239" s="61" t="str">
        <f aca="false">IFERROR(IF([2]对账明细接口!$J$239=0,"",[2]对账明细接口!$J$239),"")</f>
        <v/>
      </c>
      <c r="K239" s="61" t="str">
        <f aca="false">IFERROR(IF([2]对账明细接口!$K$239=0,"",[2]对账明细接口!$K$239),"")</f>
        <v/>
      </c>
      <c r="L239" s="59" t="str">
        <f aca="false">IFERROR(IF([2]对账明细接口!$L$239=0,"",[2]对账明细接口!$L$239),"")</f>
        <v/>
      </c>
      <c r="M239" s="59" t="str">
        <f aca="false">IFERROR(IF([2]对账明细接口!$M$239=0,"",[2]对账明细接口!$M$239),"")</f>
        <v/>
      </c>
      <c r="N239" s="111" t="n">
        <f aca="false">IF($C239="",0,1)</f>
        <v>1</v>
      </c>
      <c r="O239" s="111" t="n">
        <f aca="false">N(O238)+$N239</f>
        <v>236</v>
      </c>
      <c r="S239" s="10" t="str">
        <f aca="false">IFERROR(IF([2]对账明细接口!$N239=0,"",[2]对账明细接口!$N239),"")</f>
        <v/>
      </c>
      <c r="T239" s="112" t="str">
        <f aca="false">IFERROR(IF([2]对账明细接口!$O239=0,"",[2]对账明细接口!$O239),"")</f>
        <v/>
      </c>
      <c r="U239" s="112" t="str">
        <f aca="false">IFERROR(IF([2]对账明细接口!$P239=0,"",[2]对账明细接口!$P239),"")</f>
        <v/>
      </c>
      <c r="V239" s="112" t="str">
        <f aca="false">IFERROR(IF([2]对账明细接口!$Q239=0,"",[2]对账明细接口!$Q239),"")</f>
        <v/>
      </c>
      <c r="W239" s="10" t="str">
        <f aca="false">IFERROR(IF([2]对账明细接口!$R239=0,"",[2]对账明细接口!$R239),"")</f>
        <v/>
      </c>
      <c r="X239" s="10" t="str">
        <f aca="false">IFERROR(IF([2]对账明细接口!$S239=0,"",[2]对账明细接口!$S239),"")</f>
        <v/>
      </c>
      <c r="Y239" s="10" t="str">
        <f aca="false">IFERROR(IF([2]对账明细接口!$T239=0,"",[2]对账明细接口!$T239),"")</f>
        <v/>
      </c>
      <c r="Z239" s="113" t="str">
        <f aca="false">IFERROR(IF([2]对账明细接口!$U239=0,"",[2]对账明细接口!$U239),"")</f>
        <v/>
      </c>
      <c r="AA239" s="113" t="str">
        <f aca="false">IFERROR(IF([2]对账明细接口!$V239=0,"",[2]对账明细接口!$V239),"")</f>
        <v/>
      </c>
      <c r="AB239" s="10" t="str">
        <f aca="false">IFERROR(IF([2]对账明细接口!$W239=0,"",[2]对账明细接口!$W239),"")</f>
        <v/>
      </c>
      <c r="AC239" s="90" t="str">
        <f aca="false">IFERROR(IF([2]对账明细接口!$X240=0,"",[2]对账明细接口!$X240),"")</f>
        <v/>
      </c>
      <c r="AD239" s="90" t="str">
        <f aca="false">IFERROR(IF([2]对账明细接口!$Y240=0,"",[2]对账明细接口!$Y240),"")</f>
        <v/>
      </c>
      <c r="AE239" s="90" t="str">
        <f aca="false">IFERROR(IF([2]对账明细接口!$AA240=0,"",[2]对账明细接口!$AA240),"")</f>
        <v/>
      </c>
      <c r="AF239" s="90" t="str">
        <f aca="false">IFERROR(IF([2]对账明细接口!$AB240=0,"",[2]对账明细接口!$AB240),"")</f>
        <v/>
      </c>
      <c r="AG239" s="90" t="str">
        <f aca="false">IFERROR(IF([2]对账明细接口!$AC240=0,"",[2]对账明细接口!$AC240),"")</f>
        <v/>
      </c>
      <c r="AH239" s="90" t="str">
        <f aca="false">IFERROR(IF([2]对账明细接口!$AD240=0,"",[2]对账明细接口!$AD240),"")</f>
        <v/>
      </c>
    </row>
    <row r="240" customFormat="false" ht="13.5" hidden="false" customHeight="false" outlineLevel="0" collapsed="false">
      <c r="A240" s="109" t="n">
        <v>240</v>
      </c>
      <c r="B240" s="110" t="n">
        <f aca="false">IFERROR(IF([2]对账明细接口!$B$240=0,"",[2]对账明细接口!$B$240),"")</f>
        <v>46262</v>
      </c>
      <c r="C240" s="59" t="str">
        <f aca="false">IFERROR(IF([2]对账明细接口!$C$240=0,"",[2]对账明细接口!$C$240),"")</f>
        <v>马锦祥</v>
      </c>
      <c r="D240" s="59" t="str">
        <f aca="false">IFERROR(IF([2]对账明细接口!$D$240=0,"",[2]对账明细接口!$D$240),"")</f>
        <v>原料出库－原筐出库</v>
      </c>
      <c r="E240" s="59" t="str">
        <f aca="false">IFERROR(IF([2]对账明细接口!$E$240=0,"",[2]对账明细接口!$E$240),"")</f>
        <v>NO:0001042</v>
      </c>
      <c r="F240" s="59" t="str">
        <f aca="false">IFERROR(IF([2]对账明细接口!$F$240=0,"",[2]对账明细接口!$F$240),"")</f>
        <v>苹果</v>
      </c>
      <c r="G240" s="59" t="str">
        <f aca="false">IFERROR(IF([2]对账明细接口!$G$240=0,"",[2]对账明细接口!$G$240),"")</f>
        <v>海棠果</v>
      </c>
      <c r="H240" s="60" t="n">
        <f aca="false">IFERROR(IF([2]对账明细接口!$H$240=0,"",[2]对账明细接口!$H$240),"")</f>
        <v>2</v>
      </c>
      <c r="I240" s="59" t="str">
        <f aca="false">IFERROR(IF([2]对账明细接口!$I$240=0,"",[2]对账明细接口!$I$240),"")</f>
        <v>筐</v>
      </c>
      <c r="J240" s="61" t="n">
        <f aca="false">IFERROR(IF([2]对账明细接口!$J$240=0,"",[2]对账明细接口!$J$240),"")</f>
        <v>6</v>
      </c>
      <c r="K240" s="61" t="str">
        <f aca="false">IFERROR(IF([2]对账明细接口!$K$240=0,"",[2]对账明细接口!$K$240),"")</f>
        <v/>
      </c>
      <c r="L240" s="59" t="str">
        <f aca="false">IFERROR(IF([2]对账明细接口!$L$240=0,"",[2]对账明细接口!$L$240),"")</f>
        <v/>
      </c>
      <c r="M240" s="59" t="str">
        <f aca="false">IFERROR(IF([2]对账明细接口!$M$240=0,"",[2]对账明细接口!$M$240),"")</f>
        <v>司机老王拿</v>
      </c>
      <c r="N240" s="111" t="n">
        <f aca="false">IF($C240="",0,1)</f>
        <v>1</v>
      </c>
      <c r="O240" s="111" t="n">
        <f aca="false">N(O239)+$N240</f>
        <v>237</v>
      </c>
      <c r="S240" s="10" t="str">
        <f aca="false">IFERROR(IF([2]对账明细接口!$N240=0,"",[2]对账明细接口!$N240),"")</f>
        <v>自备一次性筐</v>
      </c>
      <c r="T240" s="112" t="n">
        <f aca="false">IFERROR(IF([2]对账明细接口!$O240=0,"",[2]对账明细接口!$O240),"")</f>
        <v>2</v>
      </c>
      <c r="U240" s="112" t="str">
        <f aca="false">IFERROR(IF([2]对账明细接口!$P240=0,"",[2]对账明细接口!$P240),"")</f>
        <v/>
      </c>
      <c r="V240" s="112" t="str">
        <f aca="false">IFERROR(IF([2]对账明细接口!$Q240=0,"",[2]对账明细接口!$Q240),"")</f>
        <v/>
      </c>
      <c r="W240" s="10" t="str">
        <f aca="false">IFERROR(IF([2]对账明细接口!$R240=0,"",[2]对账明细接口!$R240),"")</f>
        <v/>
      </c>
      <c r="X240" s="10" t="str">
        <f aca="false">IFERROR(IF([2]对账明细接口!$S240=0,"",[2]对账明细接口!$S240),"")</f>
        <v>自备筐</v>
      </c>
      <c r="Y240" s="10" t="str">
        <f aca="false">IFERROR(IF([2]对账明细接口!$T240=0,"",[2]对账明细接口!$T240),"")</f>
        <v/>
      </c>
      <c r="Z240" s="113" t="str">
        <f aca="false">IFERROR(IF([2]对账明细接口!$U240=0,"",[2]对账明细接口!$U240),"")</f>
        <v/>
      </c>
      <c r="AA240" s="113" t="str">
        <f aca="false">IFERROR(IF([2]对账明细接口!$V240=0,"",[2]对账明细接口!$V240),"")</f>
        <v/>
      </c>
      <c r="AB240" s="10" t="str">
        <f aca="false">IFERROR(IF([2]对账明细接口!$W240=0,"",[2]对账明细接口!$W240),"")</f>
        <v/>
      </c>
      <c r="AC240" s="90" t="str">
        <f aca="false">IFERROR(IF([2]对账明细接口!$X241=0,"",[2]对账明细接口!$X241),"")</f>
        <v/>
      </c>
      <c r="AD240" s="90" t="str">
        <f aca="false">IFERROR(IF([2]对账明细接口!$Y241=0,"",[2]对账明细接口!$Y241),"")</f>
        <v/>
      </c>
      <c r="AE240" s="90" t="str">
        <f aca="false">IFERROR(IF([2]对账明细接口!$AA241=0,"",[2]对账明细接口!$AA241),"")</f>
        <v/>
      </c>
      <c r="AF240" s="90" t="str">
        <f aca="false">IFERROR(IF([2]对账明细接口!$AB241=0,"",[2]对账明细接口!$AB241),"")</f>
        <v/>
      </c>
      <c r="AG240" s="90" t="str">
        <f aca="false">IFERROR(IF([2]对账明细接口!$AC241=0,"",[2]对账明细接口!$AC241),"")</f>
        <v/>
      </c>
      <c r="AH240" s="90" t="str">
        <f aca="false">IFERROR(IF([2]对账明细接口!$AD241=0,"",[2]对账明细接口!$AD241),"")</f>
        <v/>
      </c>
    </row>
    <row r="241" customFormat="false" ht="13.5" hidden="false" customHeight="false" outlineLevel="0" collapsed="false">
      <c r="A241" s="109" t="n">
        <v>241</v>
      </c>
      <c r="B241" s="110" t="n">
        <f aca="false">IFERROR(IF([2]对账明细接口!$B$241=0,"",[2]对账明细接口!$B$241),"")</f>
        <v>46263</v>
      </c>
      <c r="C241" s="59" t="str">
        <f aca="false">IFERROR(IF([2]对账明细接口!$C$241=0,"",[2]对账明细接口!$C$241),"")</f>
        <v>聂新平</v>
      </c>
      <c r="D241" s="59" t="str">
        <f aca="false">IFERROR(IF([2]对账明细接口!$D$241=0,"",[2]对账明细接口!$D$241),"")</f>
        <v>原料出库－出库加工</v>
      </c>
      <c r="E241" s="59" t="str">
        <f aca="false">IFERROR(IF([2]对账明细接口!$E$241=0,"",[2]对账明细接口!$E$241),"")</f>
        <v>NO:0001044</v>
      </c>
      <c r="F241" s="59" t="str">
        <f aca="false">IFERROR(IF([2]对账明细接口!$F$241=0,"",[2]对账明细接口!$F$241),"")</f>
        <v>苹果</v>
      </c>
      <c r="G241" s="59" t="str">
        <f aca="false">IFERROR(IF([2]对账明细接口!$G$241=0,"",[2]对账明细接口!$G$241),"")</f>
        <v>嘎啦100#</v>
      </c>
      <c r="H241" s="60" t="n">
        <f aca="false">IFERROR(IF([2]对账明细接口!$H$241=0,"",[2]对账明细接口!$H$241),"")</f>
        <v>80</v>
      </c>
      <c r="I241" s="59" t="str">
        <f aca="false">IFERROR(IF([2]对账明细接口!$I$241=0,"",[2]对账明细接口!$I$241),"")</f>
        <v>筐</v>
      </c>
      <c r="J241" s="61" t="str">
        <f aca="false">IFERROR(IF([2]对账明细接口!$J$241=0,"",[2]对账明细接口!$J$241),"")</f>
        <v/>
      </c>
      <c r="K241" s="61" t="str">
        <f aca="false">IFERROR(IF([2]对账明细接口!$K$241=0,"",[2]对账明细接口!$K$241),"")</f>
        <v/>
      </c>
      <c r="L241" s="59" t="str">
        <f aca="false">IFERROR(IF([2]对账明细接口!$L$241=0,"",[2]对账明细接口!$L$241),"")</f>
        <v/>
      </c>
      <c r="M241" s="59" t="str">
        <f aca="false">IFERROR(IF([2]对账明细接口!$M$241=0,"",[2]对账明细接口!$M$241),"")</f>
        <v/>
      </c>
      <c r="N241" s="111" t="n">
        <f aca="false">IF($C241="",0,1)</f>
        <v>1</v>
      </c>
      <c r="O241" s="111" t="n">
        <f aca="false">N(O240)+$N241</f>
        <v>238</v>
      </c>
      <c r="S241" s="10" t="str">
        <f aca="false">IFERROR(IF([2]对账明细接口!$N241=0,"",[2]对账明细接口!$N241),"")</f>
        <v/>
      </c>
      <c r="T241" s="112" t="str">
        <f aca="false">IFERROR(IF([2]对账明细接口!$O241=0,"",[2]对账明细接口!$O241),"")</f>
        <v/>
      </c>
      <c r="U241" s="112" t="str">
        <f aca="false">IFERROR(IF([2]对账明细接口!$P241=0,"",[2]对账明细接口!$P241),"")</f>
        <v/>
      </c>
      <c r="V241" s="112" t="str">
        <f aca="false">IFERROR(IF([2]对账明细接口!$Q241=0,"",[2]对账明细接口!$Q241),"")</f>
        <v/>
      </c>
      <c r="W241" s="10" t="str">
        <f aca="false">IFERROR(IF([2]对账明细接口!$R241=0,"",[2]对账明细接口!$R241),"")</f>
        <v/>
      </c>
      <c r="X241" s="10" t="str">
        <f aca="false">IFERROR(IF([2]对账明细接口!$S241=0,"",[2]对账明细接口!$S241),"")</f>
        <v/>
      </c>
      <c r="Y241" s="10" t="str">
        <f aca="false">IFERROR(IF([2]对账明细接口!$T241=0,"",[2]对账明细接口!$T241),"")</f>
        <v/>
      </c>
      <c r="Z241" s="113" t="str">
        <f aca="false">IFERROR(IF([2]对账明细接口!$U241=0,"",[2]对账明细接口!$U241),"")</f>
        <v/>
      </c>
      <c r="AA241" s="113" t="str">
        <f aca="false">IFERROR(IF([2]对账明细接口!$V241=0,"",[2]对账明细接口!$V241),"")</f>
        <v/>
      </c>
      <c r="AB241" s="10" t="str">
        <f aca="false">IFERROR(IF([2]对账明细接口!$W241=0,"",[2]对账明细接口!$W241),"")</f>
        <v/>
      </c>
      <c r="AC241" s="90" t="str">
        <f aca="false">IFERROR(IF([2]对账明细接口!$X242=0,"",[2]对账明细接口!$X242),"")</f>
        <v/>
      </c>
      <c r="AD241" s="90" t="str">
        <f aca="false">IFERROR(IF([2]对账明细接口!$Y242=0,"",[2]对账明细接口!$Y242),"")</f>
        <v/>
      </c>
      <c r="AE241" s="90" t="str">
        <f aca="false">IFERROR(IF([2]对账明细接口!$AA242=0,"",[2]对账明细接口!$AA242),"")</f>
        <v/>
      </c>
      <c r="AF241" s="90" t="str">
        <f aca="false">IFERROR(IF([2]对账明细接口!$AB242=0,"",[2]对账明细接口!$AB242),"")</f>
        <v/>
      </c>
      <c r="AG241" s="90" t="str">
        <f aca="false">IFERROR(IF([2]对账明细接口!$AC242=0,"",[2]对账明细接口!$AC242),"")</f>
        <v/>
      </c>
      <c r="AH241" s="90" t="str">
        <f aca="false">IFERROR(IF([2]对账明细接口!$AD242=0,"",[2]对账明细接口!$AD242),"")</f>
        <v/>
      </c>
    </row>
    <row r="242" customFormat="false" ht="13.5" hidden="false" customHeight="false" outlineLevel="0" collapsed="false">
      <c r="A242" s="109" t="n">
        <v>242</v>
      </c>
      <c r="B242" s="110" t="n">
        <f aca="false">IFERROR(IF([2]对账明细接口!$B$242=0,"",[2]对账明细接口!$B$242),"")</f>
        <v>46263</v>
      </c>
      <c r="C242" s="59" t="str">
        <f aca="false">IFERROR(IF([2]对账明细接口!$C$242=0,"",[2]对账明细接口!$C$242),"")</f>
        <v>王照雪</v>
      </c>
      <c r="D242" s="59" t="str">
        <f aca="false">IFERROR(IF([2]对账明细接口!$D$242=0,"",[2]对账明细接口!$D$242),"")</f>
        <v>原料出库－出库加工</v>
      </c>
      <c r="E242" s="59" t="str">
        <f aca="false">IFERROR(IF([2]对账明细接口!$E$242=0,"",[2]对账明细接口!$E$242),"")</f>
        <v>NO:0001045</v>
      </c>
      <c r="F242" s="59" t="str">
        <f aca="false">IFERROR(IF([2]对账明细接口!$F$242=0,"",[2]对账明细接口!$F$242),"")</f>
        <v>苹果</v>
      </c>
      <c r="G242" s="59" t="str">
        <f aca="false">IFERROR(IF([2]对账明细接口!$G$242=0,"",[2]对账明细接口!$G$242),"")</f>
        <v>华硕一级</v>
      </c>
      <c r="H242" s="60" t="n">
        <f aca="false">IFERROR(IF([2]对账明细接口!$H$242=0,"",[2]对账明细接口!$H$242),"")</f>
        <v>240</v>
      </c>
      <c r="I242" s="59" t="str">
        <f aca="false">IFERROR(IF([2]对账明细接口!$I$242=0,"",[2]对账明细接口!$I$242),"")</f>
        <v>筐</v>
      </c>
      <c r="J242" s="61" t="str">
        <f aca="false">IFERROR(IF([2]对账明细接口!$J$242=0,"",[2]对账明细接口!$J$242),"")</f>
        <v/>
      </c>
      <c r="K242" s="61" t="str">
        <f aca="false">IFERROR(IF([2]对账明细接口!$K$242=0,"",[2]对账明细接口!$K$242),"")</f>
        <v/>
      </c>
      <c r="L242" s="59" t="str">
        <f aca="false">IFERROR(IF([2]对账明细接口!$L$242=0,"",[2]对账明细接口!$L$242),"")</f>
        <v/>
      </c>
      <c r="M242" s="59" t="str">
        <f aca="false">IFERROR(IF([2]对账明细接口!$M$242=0,"",[2]对账明细接口!$M$242),"")</f>
        <v/>
      </c>
      <c r="N242" s="111" t="n">
        <f aca="false">IF($C242="",0,1)</f>
        <v>1</v>
      </c>
      <c r="O242" s="111" t="n">
        <f aca="false">N(O241)+$N242</f>
        <v>239</v>
      </c>
      <c r="S242" s="10" t="str">
        <f aca="false">IFERROR(IF([2]对账明细接口!$N242=0,"",[2]对账明细接口!$N242),"")</f>
        <v/>
      </c>
      <c r="T242" s="112" t="str">
        <f aca="false">IFERROR(IF([2]对账明细接口!$O242=0,"",[2]对账明细接口!$O242),"")</f>
        <v/>
      </c>
      <c r="U242" s="112" t="str">
        <f aca="false">IFERROR(IF([2]对账明细接口!$P242=0,"",[2]对账明细接口!$P242),"")</f>
        <v/>
      </c>
      <c r="V242" s="112" t="str">
        <f aca="false">IFERROR(IF([2]对账明细接口!$Q242=0,"",[2]对账明细接口!$Q242),"")</f>
        <v/>
      </c>
      <c r="W242" s="10" t="str">
        <f aca="false">IFERROR(IF([2]对账明细接口!$R242=0,"",[2]对账明细接口!$R242),"")</f>
        <v/>
      </c>
      <c r="X242" s="10" t="str">
        <f aca="false">IFERROR(IF([2]对账明细接口!$S242=0,"",[2]对账明细接口!$S242),"")</f>
        <v/>
      </c>
      <c r="Y242" s="10" t="str">
        <f aca="false">IFERROR(IF([2]对账明细接口!$T242=0,"",[2]对账明细接口!$T242),"")</f>
        <v/>
      </c>
      <c r="Z242" s="113" t="str">
        <f aca="false">IFERROR(IF([2]对账明细接口!$U242=0,"",[2]对账明细接口!$U242),"")</f>
        <v/>
      </c>
      <c r="AA242" s="113" t="str">
        <f aca="false">IFERROR(IF([2]对账明细接口!$V242=0,"",[2]对账明细接口!$V242),"")</f>
        <v/>
      </c>
      <c r="AB242" s="10" t="str">
        <f aca="false">IFERROR(IF([2]对账明细接口!$W242=0,"",[2]对账明细接口!$W242),"")</f>
        <v/>
      </c>
      <c r="AC242" s="90" t="str">
        <f aca="false">IFERROR(IF([2]对账明细接口!$X243=0,"",[2]对账明细接口!$X243),"")</f>
        <v/>
      </c>
      <c r="AD242" s="90" t="str">
        <f aca="false">IFERROR(IF([2]对账明细接口!$Y243=0,"",[2]对账明细接口!$Y243),"")</f>
        <v/>
      </c>
      <c r="AE242" s="90" t="str">
        <f aca="false">IFERROR(IF([2]对账明细接口!$AA243=0,"",[2]对账明细接口!$AA243),"")</f>
        <v/>
      </c>
      <c r="AF242" s="90" t="str">
        <f aca="false">IFERROR(IF([2]对账明细接口!$AB243=0,"",[2]对账明细接口!$AB243),"")</f>
        <v/>
      </c>
      <c r="AG242" s="90" t="str">
        <f aca="false">IFERROR(IF([2]对账明细接口!$AC243=0,"",[2]对账明细接口!$AC243),"")</f>
        <v/>
      </c>
      <c r="AH242" s="90" t="str">
        <f aca="false">IFERROR(IF([2]对账明细接口!$AD243=0,"",[2]对账明细接口!$AD243),"")</f>
        <v/>
      </c>
    </row>
    <row r="243" customFormat="false" ht="13.5" hidden="false" customHeight="false" outlineLevel="0" collapsed="false">
      <c r="A243" s="109" t="n">
        <v>243</v>
      </c>
      <c r="B243" s="110" t="n">
        <f aca="false">IFERROR(IF([2]对账明细接口!$B$243=0,"",[2]对账明细接口!$B$243),"")</f>
        <v>46263</v>
      </c>
      <c r="C243" s="59" t="str">
        <f aca="false">IFERROR(IF([2]对账明细接口!$C$243=0,"",[2]对账明细接口!$C$243),"")</f>
        <v>聂新平</v>
      </c>
      <c r="D243" s="59" t="str">
        <f aca="false">IFERROR(IF([2]对账明细接口!$D$243=0,"",[2]对账明细接口!$D$243),"")</f>
        <v>原料出库－出库加工</v>
      </c>
      <c r="E243" s="59" t="str">
        <f aca="false">IFERROR(IF([2]对账明细接口!$E$243=0,"",[2]对账明细接口!$E$243),"")</f>
        <v>NO:0001047</v>
      </c>
      <c r="F243" s="59" t="str">
        <f aca="false">IFERROR(IF([2]对账明细接口!$F$243=0,"",[2]对账明细接口!$F$243),"")</f>
        <v>苹果</v>
      </c>
      <c r="G243" s="59" t="str">
        <f aca="false">IFERROR(IF([2]对账明细接口!$G$243=0,"",[2]对账明细接口!$G$243),"")</f>
        <v>嘎啦100#</v>
      </c>
      <c r="H243" s="60" t="n">
        <f aca="false">IFERROR(IF([2]对账明细接口!$H$243=0,"",[2]对账明细接口!$H$243),"")</f>
        <v>240</v>
      </c>
      <c r="I243" s="59" t="str">
        <f aca="false">IFERROR(IF([2]对账明细接口!$I$243=0,"",[2]对账明细接口!$I$243),"")</f>
        <v>筐</v>
      </c>
      <c r="J243" s="61" t="str">
        <f aca="false">IFERROR(IF([2]对账明细接口!$J$243=0,"",[2]对账明细接口!$J$243),"")</f>
        <v/>
      </c>
      <c r="K243" s="61" t="str">
        <f aca="false">IFERROR(IF([2]对账明细接口!$K$243=0,"",[2]对账明细接口!$K$243),"")</f>
        <v/>
      </c>
      <c r="L243" s="59" t="str">
        <f aca="false">IFERROR(IF([2]对账明细接口!$L$243=0,"",[2]对账明细接口!$L$243),"")</f>
        <v/>
      </c>
      <c r="M243" s="59" t="str">
        <f aca="false">IFERROR(IF([2]对账明细接口!$M$243=0,"",[2]对账明细接口!$M$243),"")</f>
        <v/>
      </c>
      <c r="N243" s="111" t="n">
        <f aca="false">IF($C243="",0,1)</f>
        <v>1</v>
      </c>
      <c r="O243" s="111" t="n">
        <f aca="false">N(O242)+$N243</f>
        <v>240</v>
      </c>
      <c r="S243" s="10" t="str">
        <f aca="false">IFERROR(IF([2]对账明细接口!$N243=0,"",[2]对账明细接口!$N243),"")</f>
        <v/>
      </c>
      <c r="T243" s="112" t="str">
        <f aca="false">IFERROR(IF([2]对账明细接口!$O243=0,"",[2]对账明细接口!$O243),"")</f>
        <v/>
      </c>
      <c r="U243" s="112" t="str">
        <f aca="false">IFERROR(IF([2]对账明细接口!$P243=0,"",[2]对账明细接口!$P243),"")</f>
        <v/>
      </c>
      <c r="V243" s="112" t="str">
        <f aca="false">IFERROR(IF([2]对账明细接口!$Q243=0,"",[2]对账明细接口!$Q243),"")</f>
        <v/>
      </c>
      <c r="W243" s="10" t="str">
        <f aca="false">IFERROR(IF([2]对账明细接口!$R243=0,"",[2]对账明细接口!$R243),"")</f>
        <v/>
      </c>
      <c r="X243" s="10" t="str">
        <f aca="false">IFERROR(IF([2]对账明细接口!$S243=0,"",[2]对账明细接口!$S243),"")</f>
        <v/>
      </c>
      <c r="Y243" s="10" t="str">
        <f aca="false">IFERROR(IF([2]对账明细接口!$T243=0,"",[2]对账明细接口!$T243),"")</f>
        <v/>
      </c>
      <c r="Z243" s="113" t="str">
        <f aca="false">IFERROR(IF([2]对账明细接口!$U243=0,"",[2]对账明细接口!$U243),"")</f>
        <v/>
      </c>
      <c r="AA243" s="113" t="str">
        <f aca="false">IFERROR(IF([2]对账明细接口!$V243=0,"",[2]对账明细接口!$V243),"")</f>
        <v/>
      </c>
      <c r="AB243" s="10" t="str">
        <f aca="false">IFERROR(IF([2]对账明细接口!$W243=0,"",[2]对账明细接口!$W243),"")</f>
        <v/>
      </c>
      <c r="AC243" s="90" t="str">
        <f aca="false">IFERROR(IF([2]对账明细接口!$X244=0,"",[2]对账明细接口!$X244),"")</f>
        <v/>
      </c>
      <c r="AD243" s="90" t="str">
        <f aca="false">IFERROR(IF([2]对账明细接口!$Y244=0,"",[2]对账明细接口!$Y244),"")</f>
        <v/>
      </c>
      <c r="AE243" s="90" t="str">
        <f aca="false">IFERROR(IF([2]对账明细接口!$AA244=0,"",[2]对账明细接口!$AA244),"")</f>
        <v/>
      </c>
      <c r="AF243" s="90" t="str">
        <f aca="false">IFERROR(IF([2]对账明细接口!$AB244=0,"",[2]对账明细接口!$AB244),"")</f>
        <v/>
      </c>
      <c r="AG243" s="90" t="str">
        <f aca="false">IFERROR(IF([2]对账明细接口!$AC244=0,"",[2]对账明细接口!$AC244),"")</f>
        <v/>
      </c>
      <c r="AH243" s="90" t="str">
        <f aca="false">IFERROR(IF([2]对账明细接口!$AD244=0,"",[2]对账明细接口!$AD244),"")</f>
        <v/>
      </c>
    </row>
    <row r="244" customFormat="false" ht="13.5" hidden="false" customHeight="false" outlineLevel="0" collapsed="false">
      <c r="A244" s="109" t="n">
        <v>244</v>
      </c>
      <c r="B244" s="110" t="n">
        <f aca="false">IFERROR(IF([2]对账明细接口!$B$244=0,"",[2]对账明细接口!$B$244),"")</f>
        <v>46264</v>
      </c>
      <c r="C244" s="59" t="str">
        <f aca="false">IFERROR(IF([2]对账明细接口!$C$244=0,"",[2]对账明细接口!$C$244),"")</f>
        <v>王照雪</v>
      </c>
      <c r="D244" s="59" t="str">
        <f aca="false">IFERROR(IF([2]对账明细接口!$D$244=0,"",[2]对账明细接口!$D$244),"")</f>
        <v>原料出库－出库加工</v>
      </c>
      <c r="E244" s="59" t="str">
        <f aca="false">IFERROR(IF([2]对账明细接口!$E$244=0,"",[2]对账明细接口!$E$244),"")</f>
        <v>NO:0001050</v>
      </c>
      <c r="F244" s="59" t="str">
        <f aca="false">IFERROR(IF([2]对账明细接口!$F$244=0,"",[2]对账明细接口!$F$244),"")</f>
        <v>苹果</v>
      </c>
      <c r="G244" s="59" t="str">
        <f aca="false">IFERROR(IF([2]对账明细接口!$G$244=0,"",[2]对账明细接口!$G$244),"")</f>
        <v>华硕二级</v>
      </c>
      <c r="H244" s="60" t="n">
        <f aca="false">IFERROR(IF([2]对账明细接口!$H$244=0,"",[2]对账明细接口!$H$244),"")</f>
        <v>302</v>
      </c>
      <c r="I244" s="59" t="str">
        <f aca="false">IFERROR(IF([2]对账明细接口!$I$244=0,"",[2]对账明细接口!$I$244),"")</f>
        <v>筐</v>
      </c>
      <c r="J244" s="61" t="str">
        <f aca="false">IFERROR(IF([2]对账明细接口!$J$244=0,"",[2]对账明细接口!$J$244),"")</f>
        <v/>
      </c>
      <c r="K244" s="61" t="str">
        <f aca="false">IFERROR(IF([2]对账明细接口!$K$244=0,"",[2]对账明细接口!$K$244),"")</f>
        <v/>
      </c>
      <c r="L244" s="59" t="str">
        <f aca="false">IFERROR(IF([2]对账明细接口!$L$244=0,"",[2]对账明细接口!$L$244),"")</f>
        <v/>
      </c>
      <c r="M244" s="59" t="str">
        <f aca="false">IFERROR(IF([2]对账明细接口!$M$244=0,"",[2]对账明细接口!$M$244),"")</f>
        <v/>
      </c>
      <c r="N244" s="111" t="n">
        <f aca="false">IF($C244="",0,1)</f>
        <v>1</v>
      </c>
      <c r="O244" s="111" t="n">
        <f aca="false">N(O243)+$N244</f>
        <v>241</v>
      </c>
      <c r="S244" s="10" t="str">
        <f aca="false">IFERROR(IF([2]对账明细接口!$N244=0,"",[2]对账明细接口!$N244),"")</f>
        <v/>
      </c>
      <c r="T244" s="112" t="str">
        <f aca="false">IFERROR(IF([2]对账明细接口!$O244=0,"",[2]对账明细接口!$O244),"")</f>
        <v/>
      </c>
      <c r="U244" s="112" t="str">
        <f aca="false">IFERROR(IF([2]对账明细接口!$P244=0,"",[2]对账明细接口!$P244),"")</f>
        <v/>
      </c>
      <c r="V244" s="112" t="str">
        <f aca="false">IFERROR(IF([2]对账明细接口!$Q244=0,"",[2]对账明细接口!$Q244),"")</f>
        <v/>
      </c>
      <c r="W244" s="10" t="str">
        <f aca="false">IFERROR(IF([2]对账明细接口!$R244=0,"",[2]对账明细接口!$R244),"")</f>
        <v/>
      </c>
      <c r="X244" s="10" t="str">
        <f aca="false">IFERROR(IF([2]对账明细接口!$S244=0,"",[2]对账明细接口!$S244),"")</f>
        <v/>
      </c>
      <c r="Y244" s="10" t="str">
        <f aca="false">IFERROR(IF([2]对账明细接口!$T244=0,"",[2]对账明细接口!$T244),"")</f>
        <v/>
      </c>
      <c r="Z244" s="113" t="str">
        <f aca="false">IFERROR(IF([2]对账明细接口!$U244=0,"",[2]对账明细接口!$U244),"")</f>
        <v/>
      </c>
      <c r="AA244" s="113" t="str">
        <f aca="false">IFERROR(IF([2]对账明细接口!$V244=0,"",[2]对账明细接口!$V244),"")</f>
        <v/>
      </c>
      <c r="AB244" s="10" t="str">
        <f aca="false">IFERROR(IF([2]对账明细接口!$W244=0,"",[2]对账明细接口!$W244),"")</f>
        <v/>
      </c>
      <c r="AC244" s="90" t="str">
        <f aca="false">IFERROR(IF([2]对账明细接口!$X245=0,"",[2]对账明细接口!$X245),"")</f>
        <v/>
      </c>
      <c r="AD244" s="90" t="str">
        <f aca="false">IFERROR(IF([2]对账明细接口!$Y245=0,"",[2]对账明细接口!$Y245),"")</f>
        <v/>
      </c>
      <c r="AE244" s="90" t="str">
        <f aca="false">IFERROR(IF([2]对账明细接口!$AA245=0,"",[2]对账明细接口!$AA245),"")</f>
        <v/>
      </c>
      <c r="AF244" s="90" t="str">
        <f aca="false">IFERROR(IF([2]对账明细接口!$AB245=0,"",[2]对账明细接口!$AB245),"")</f>
        <v/>
      </c>
      <c r="AG244" s="90" t="str">
        <f aca="false">IFERROR(IF([2]对账明细接口!$AC245=0,"",[2]对账明细接口!$AC245),"")</f>
        <v/>
      </c>
      <c r="AH244" s="90" t="str">
        <f aca="false">IFERROR(IF([2]对账明细接口!$AD245=0,"",[2]对账明细接口!$AD245),"")</f>
        <v/>
      </c>
    </row>
    <row r="245" customFormat="false" ht="13.5" hidden="false" customHeight="false" outlineLevel="0" collapsed="false">
      <c r="A245" s="109" t="n">
        <v>245</v>
      </c>
      <c r="B245" s="110" t="n">
        <f aca="false">IFERROR(IF([2]对账明细接口!$B$245=0,"",[2]对账明细接口!$B$245),"")</f>
        <v>46264</v>
      </c>
      <c r="C245" s="59" t="str">
        <f aca="false">IFERROR(IF([2]对账明细接口!$C$245=0,"",[2]对账明细接口!$C$245),"")</f>
        <v>王照雪</v>
      </c>
      <c r="D245" s="59" t="str">
        <f aca="false">IFERROR(IF([2]对账明细接口!$D$245=0,"",[2]对账明细接口!$D$245),"")</f>
        <v>原料出库－出库加工</v>
      </c>
      <c r="E245" s="59" t="str">
        <f aca="false">IFERROR(IF([2]对账明细接口!$E$245=0,"",[2]对账明细接口!$E$245),"")</f>
        <v>NO:0001050</v>
      </c>
      <c r="F245" s="59" t="str">
        <f aca="false">IFERROR(IF([2]对账明细接口!$F$245=0,"",[2]对账明细接口!$F$245),"")</f>
        <v>苹果</v>
      </c>
      <c r="G245" s="59" t="str">
        <f aca="false">IFERROR(IF([2]对账明细接口!$G$245=0,"",[2]对账明细接口!$G$245),"")</f>
        <v>华硕一级</v>
      </c>
      <c r="H245" s="60" t="n">
        <f aca="false">IFERROR(IF([2]对账明细接口!$H$245=0,"",[2]对账明细接口!$H$245),"")</f>
        <v>27</v>
      </c>
      <c r="I245" s="59" t="str">
        <f aca="false">IFERROR(IF([2]对账明细接口!$I$245=0,"",[2]对账明细接口!$I$245),"")</f>
        <v>筐</v>
      </c>
      <c r="J245" s="61" t="str">
        <f aca="false">IFERROR(IF([2]对账明细接口!$J$245=0,"",[2]对账明细接口!$J$245),"")</f>
        <v/>
      </c>
      <c r="K245" s="61" t="str">
        <f aca="false">IFERROR(IF([2]对账明细接口!$K$245=0,"",[2]对账明细接口!$K$245),"")</f>
        <v/>
      </c>
      <c r="L245" s="59" t="str">
        <f aca="false">IFERROR(IF([2]对账明细接口!$L$245=0,"",[2]对账明细接口!$L$245),"")</f>
        <v/>
      </c>
      <c r="M245" s="59" t="str">
        <f aca="false">IFERROR(IF([2]对账明细接口!$M$245=0,"",[2]对账明细接口!$M$245),"")</f>
        <v/>
      </c>
      <c r="N245" s="111" t="n">
        <f aca="false">IF($C245="",0,1)</f>
        <v>1</v>
      </c>
      <c r="O245" s="111" t="n">
        <f aca="false">N(O244)+$N245</f>
        <v>242</v>
      </c>
      <c r="S245" s="10" t="str">
        <f aca="false">IFERROR(IF([2]对账明细接口!$N245=0,"",[2]对账明细接口!$N245),"")</f>
        <v/>
      </c>
      <c r="T245" s="112" t="str">
        <f aca="false">IFERROR(IF([2]对账明细接口!$O245=0,"",[2]对账明细接口!$O245),"")</f>
        <v/>
      </c>
      <c r="U245" s="112" t="str">
        <f aca="false">IFERROR(IF([2]对账明细接口!$P245=0,"",[2]对账明细接口!$P245),"")</f>
        <v/>
      </c>
      <c r="V245" s="112" t="str">
        <f aca="false">IFERROR(IF([2]对账明细接口!$Q245=0,"",[2]对账明细接口!$Q245),"")</f>
        <v/>
      </c>
      <c r="W245" s="10" t="str">
        <f aca="false">IFERROR(IF([2]对账明细接口!$R245=0,"",[2]对账明细接口!$R245),"")</f>
        <v/>
      </c>
      <c r="X245" s="10" t="str">
        <f aca="false">IFERROR(IF([2]对账明细接口!$S245=0,"",[2]对账明细接口!$S245),"")</f>
        <v/>
      </c>
      <c r="Y245" s="10" t="str">
        <f aca="false">IFERROR(IF([2]对账明细接口!$T245=0,"",[2]对账明细接口!$T245),"")</f>
        <v/>
      </c>
      <c r="Z245" s="113" t="str">
        <f aca="false">IFERROR(IF([2]对账明细接口!$U245=0,"",[2]对账明细接口!$U245),"")</f>
        <v/>
      </c>
      <c r="AA245" s="113" t="str">
        <f aca="false">IFERROR(IF([2]对账明细接口!$V245=0,"",[2]对账明细接口!$V245),"")</f>
        <v/>
      </c>
      <c r="AB245" s="10" t="str">
        <f aca="false">IFERROR(IF([2]对账明细接口!$W245=0,"",[2]对账明细接口!$W245),"")</f>
        <v/>
      </c>
      <c r="AC245" s="90" t="str">
        <f aca="false">IFERROR(IF([2]对账明细接口!$X246=0,"",[2]对账明细接口!$X246),"")</f>
        <v/>
      </c>
      <c r="AD245" s="90" t="str">
        <f aca="false">IFERROR(IF([2]对账明细接口!$Y246=0,"",[2]对账明细接口!$Y246),"")</f>
        <v/>
      </c>
      <c r="AE245" s="90" t="str">
        <f aca="false">IFERROR(IF([2]对账明细接口!$AA246=0,"",[2]对账明细接口!$AA246),"")</f>
        <v/>
      </c>
      <c r="AF245" s="90" t="str">
        <f aca="false">IFERROR(IF([2]对账明细接口!$AB246=0,"",[2]对账明细接口!$AB246),"")</f>
        <v/>
      </c>
      <c r="AG245" s="90" t="str">
        <f aca="false">IFERROR(IF([2]对账明细接口!$AC246=0,"",[2]对账明细接口!$AC246),"")</f>
        <v/>
      </c>
      <c r="AH245" s="90" t="str">
        <f aca="false">IFERROR(IF([2]对账明细接口!$AD246=0,"",[2]对账明细接口!$AD246),"")</f>
        <v/>
      </c>
    </row>
    <row r="246" customFormat="false" ht="13.5" hidden="false" customHeight="false" outlineLevel="0" collapsed="false">
      <c r="A246" s="109" t="n">
        <v>246</v>
      </c>
      <c r="B246" s="110" t="n">
        <f aca="false">IFERROR(IF([2]对账明细接口!$B$246=0,"",[2]对账明细接口!$B$246),"")</f>
        <v>46264</v>
      </c>
      <c r="C246" s="59" t="str">
        <f aca="false">IFERROR(IF([2]对账明细接口!$C$246=0,"",[2]对账明细接口!$C$246),"")</f>
        <v>聂新平</v>
      </c>
      <c r="D246" s="59" t="str">
        <f aca="false">IFERROR(IF([2]对账明细接口!$D$246=0,"",[2]对账明细接口!$D$246),"")</f>
        <v>原料出库－出库加工</v>
      </c>
      <c r="E246" s="59" t="str">
        <f aca="false">IFERROR(IF([2]对账明细接口!$E$246=0,"",[2]对账明细接口!$E$246),"")</f>
        <v>NO:0001051</v>
      </c>
      <c r="F246" s="59" t="str">
        <f aca="false">IFERROR(IF([2]对账明细接口!$F$246=0,"",[2]对账明细接口!$F$246),"")</f>
        <v>苹果</v>
      </c>
      <c r="G246" s="59" t="str">
        <f aca="false">IFERROR(IF([2]对账明细接口!$G$246=0,"",[2]对账明细接口!$G$246),"")</f>
        <v>嘎啦100#</v>
      </c>
      <c r="H246" s="60" t="n">
        <f aca="false">IFERROR(IF([2]对账明细接口!$H$246=0,"",[2]对账明细接口!$H$246),"")</f>
        <v>336</v>
      </c>
      <c r="I246" s="59" t="str">
        <f aca="false">IFERROR(IF([2]对账明细接口!$I$246=0,"",[2]对账明细接口!$I$246),"")</f>
        <v>筐</v>
      </c>
      <c r="J246" s="61" t="str">
        <f aca="false">IFERROR(IF([2]对账明细接口!$J$246=0,"",[2]对账明细接口!$J$246),"")</f>
        <v/>
      </c>
      <c r="K246" s="61" t="str">
        <f aca="false">IFERROR(IF([2]对账明细接口!$K$246=0,"",[2]对账明细接口!$K$246),"")</f>
        <v/>
      </c>
      <c r="L246" s="59" t="str">
        <f aca="false">IFERROR(IF([2]对账明细接口!$L$246=0,"",[2]对账明细接口!$L$246),"")</f>
        <v/>
      </c>
      <c r="M246" s="59" t="str">
        <f aca="false">IFERROR(IF([2]对账明细接口!$M$246=0,"",[2]对账明细接口!$M$246),"")</f>
        <v/>
      </c>
      <c r="N246" s="111" t="n">
        <f aca="false">IF($C246="",0,1)</f>
        <v>1</v>
      </c>
      <c r="O246" s="111" t="n">
        <f aca="false">N(O245)+$N246</f>
        <v>243</v>
      </c>
      <c r="S246" s="10" t="str">
        <f aca="false">IFERROR(IF([2]对账明细接口!$N246=0,"",[2]对账明细接口!$N246),"")</f>
        <v/>
      </c>
      <c r="T246" s="112" t="str">
        <f aca="false">IFERROR(IF([2]对账明细接口!$O246=0,"",[2]对账明细接口!$O246),"")</f>
        <v/>
      </c>
      <c r="U246" s="112" t="str">
        <f aca="false">IFERROR(IF([2]对账明细接口!$P246=0,"",[2]对账明细接口!$P246),"")</f>
        <v/>
      </c>
      <c r="V246" s="112" t="str">
        <f aca="false">IFERROR(IF([2]对账明细接口!$Q246=0,"",[2]对账明细接口!$Q246),"")</f>
        <v/>
      </c>
      <c r="W246" s="10" t="str">
        <f aca="false">IFERROR(IF([2]对账明细接口!$R246=0,"",[2]对账明细接口!$R246),"")</f>
        <v/>
      </c>
      <c r="X246" s="10" t="str">
        <f aca="false">IFERROR(IF([2]对账明细接口!$S246=0,"",[2]对账明细接口!$S246),"")</f>
        <v/>
      </c>
      <c r="Y246" s="10" t="str">
        <f aca="false">IFERROR(IF([2]对账明细接口!$T246=0,"",[2]对账明细接口!$T246),"")</f>
        <v/>
      </c>
      <c r="Z246" s="113" t="str">
        <f aca="false">IFERROR(IF([2]对账明细接口!$U246=0,"",[2]对账明细接口!$U246),"")</f>
        <v/>
      </c>
      <c r="AA246" s="113" t="str">
        <f aca="false">IFERROR(IF([2]对账明细接口!$V246=0,"",[2]对账明细接口!$V246),"")</f>
        <v/>
      </c>
      <c r="AB246" s="10" t="str">
        <f aca="false">IFERROR(IF([2]对账明细接口!$W246=0,"",[2]对账明细接口!$W246),"")</f>
        <v/>
      </c>
      <c r="AC246" s="90" t="str">
        <f aca="false">IFERROR(IF([2]对账明细接口!$X247=0,"",[2]对账明细接口!$X247),"")</f>
        <v/>
      </c>
      <c r="AD246" s="90" t="str">
        <f aca="false">IFERROR(IF([2]对账明细接口!$Y247=0,"",[2]对账明细接口!$Y247),"")</f>
        <v/>
      </c>
      <c r="AE246" s="90" t="str">
        <f aca="false">IFERROR(IF([2]对账明细接口!$AA247=0,"",[2]对账明细接口!$AA247),"")</f>
        <v/>
      </c>
      <c r="AF246" s="90" t="str">
        <f aca="false">IFERROR(IF([2]对账明细接口!$AB247=0,"",[2]对账明细接口!$AB247),"")</f>
        <v/>
      </c>
      <c r="AG246" s="90" t="str">
        <f aca="false">IFERROR(IF([2]对账明细接口!$AC247=0,"",[2]对账明细接口!$AC247),"")</f>
        <v/>
      </c>
      <c r="AH246" s="90" t="str">
        <f aca="false">IFERROR(IF([2]对账明细接口!$AD247=0,"",[2]对账明细接口!$AD247),"")</f>
        <v/>
      </c>
    </row>
    <row r="247" customFormat="false" ht="13.5" hidden="false" customHeight="false" outlineLevel="0" collapsed="false">
      <c r="A247" s="109" t="n">
        <v>247</v>
      </c>
      <c r="B247" s="110" t="n">
        <f aca="false">IFERROR(IF([2]对账明细接口!$B$247=0,"",[2]对账明细接口!$B$247),"")</f>
        <v>46265</v>
      </c>
      <c r="C247" s="59" t="str">
        <f aca="false">IFERROR(IF([2]对账明细接口!$C$247=0,"",[2]对账明细接口!$C$247),"")</f>
        <v>王照雪</v>
      </c>
      <c r="D247" s="59" t="str">
        <f aca="false">IFERROR(IF([2]对账明细接口!$D$247=0,"",[2]对账明细接口!$D$247),"")</f>
        <v>原料出库－出库加工</v>
      </c>
      <c r="E247" s="59" t="str">
        <f aca="false">IFERROR(IF([2]对账明细接口!$E$247=0,"",[2]对账明细接口!$E$247),"")</f>
        <v>NO:0001054</v>
      </c>
      <c r="F247" s="59" t="str">
        <f aca="false">IFERROR(IF([2]对账明细接口!$F$247=0,"",[2]对账明细接口!$F$247),"")</f>
        <v>苹果</v>
      </c>
      <c r="G247" s="59" t="str">
        <f aca="false">IFERROR(IF([2]对账明细接口!$G$247=0,"",[2]对账明细接口!$G$247),"")</f>
        <v>华硕一级</v>
      </c>
      <c r="H247" s="60" t="n">
        <f aca="false">IFERROR(IF([2]对账明细接口!$H$247=0,"",[2]对账明细接口!$H$247),"")</f>
        <v>117</v>
      </c>
      <c r="I247" s="59" t="str">
        <f aca="false">IFERROR(IF([2]对账明细接口!$I$247=0,"",[2]对账明细接口!$I$247),"")</f>
        <v>筐</v>
      </c>
      <c r="J247" s="61" t="str">
        <f aca="false">IFERROR(IF([2]对账明细接口!$J$247=0,"",[2]对账明细接口!$J$247),"")</f>
        <v/>
      </c>
      <c r="K247" s="61" t="str">
        <f aca="false">IFERROR(IF([2]对账明细接口!$K$247=0,"",[2]对账明细接口!$K$247),"")</f>
        <v/>
      </c>
      <c r="L247" s="59" t="str">
        <f aca="false">IFERROR(IF([2]对账明细接口!$L$247=0,"",[2]对账明细接口!$L$247),"")</f>
        <v/>
      </c>
      <c r="M247" s="59" t="str">
        <f aca="false">IFERROR(IF([2]对账明细接口!$M$247=0,"",[2]对账明细接口!$M$247),"")</f>
        <v/>
      </c>
      <c r="N247" s="111" t="n">
        <f aca="false">IF($C247="",0,1)</f>
        <v>1</v>
      </c>
      <c r="O247" s="111" t="n">
        <f aca="false">N(O246)+$N247</f>
        <v>244</v>
      </c>
      <c r="S247" s="10" t="str">
        <f aca="false">IFERROR(IF([2]对账明细接口!$N247=0,"",[2]对账明细接口!$N247),"")</f>
        <v/>
      </c>
      <c r="T247" s="112" t="str">
        <f aca="false">IFERROR(IF([2]对账明细接口!$O247=0,"",[2]对账明细接口!$O247),"")</f>
        <v/>
      </c>
      <c r="U247" s="112" t="str">
        <f aca="false">IFERROR(IF([2]对账明细接口!$P247=0,"",[2]对账明细接口!$P247),"")</f>
        <v/>
      </c>
      <c r="V247" s="112" t="str">
        <f aca="false">IFERROR(IF([2]对账明细接口!$Q247=0,"",[2]对账明细接口!$Q247),"")</f>
        <v/>
      </c>
      <c r="W247" s="10" t="str">
        <f aca="false">IFERROR(IF([2]对账明细接口!$R247=0,"",[2]对账明细接口!$R247),"")</f>
        <v/>
      </c>
      <c r="X247" s="10" t="str">
        <f aca="false">IFERROR(IF([2]对账明细接口!$S247=0,"",[2]对账明细接口!$S247),"")</f>
        <v/>
      </c>
      <c r="Y247" s="10" t="str">
        <f aca="false">IFERROR(IF([2]对账明细接口!$T247=0,"",[2]对账明细接口!$T247),"")</f>
        <v/>
      </c>
      <c r="Z247" s="113" t="str">
        <f aca="false">IFERROR(IF([2]对账明细接口!$U247=0,"",[2]对账明细接口!$U247),"")</f>
        <v/>
      </c>
      <c r="AA247" s="113" t="str">
        <f aca="false">IFERROR(IF([2]对账明细接口!$V247=0,"",[2]对账明细接口!$V247),"")</f>
        <v/>
      </c>
      <c r="AB247" s="10" t="str">
        <f aca="false">IFERROR(IF([2]对账明细接口!$W247=0,"",[2]对账明细接口!$W247),"")</f>
        <v/>
      </c>
      <c r="AC247" s="90" t="str">
        <f aca="false">IFERROR(IF([2]对账明细接口!$X248=0,"",[2]对账明细接口!$X248),"")</f>
        <v/>
      </c>
      <c r="AD247" s="90" t="str">
        <f aca="false">IFERROR(IF([2]对账明细接口!$Y248=0,"",[2]对账明细接口!$Y248),"")</f>
        <v/>
      </c>
      <c r="AE247" s="90" t="str">
        <f aca="false">IFERROR(IF([2]对账明细接口!$AA248=0,"",[2]对账明细接口!$AA248),"")</f>
        <v/>
      </c>
      <c r="AF247" s="90" t="str">
        <f aca="false">IFERROR(IF([2]对账明细接口!$AB248=0,"",[2]对账明细接口!$AB248),"")</f>
        <v/>
      </c>
      <c r="AG247" s="90" t="str">
        <f aca="false">IFERROR(IF([2]对账明细接口!$AC248=0,"",[2]对账明细接口!$AC248),"")</f>
        <v/>
      </c>
      <c r="AH247" s="90" t="str">
        <f aca="false">IFERROR(IF([2]对账明细接口!$AD248=0,"",[2]对账明细接口!$AD248),"")</f>
        <v/>
      </c>
    </row>
    <row r="248" customFormat="false" ht="13.5" hidden="false" customHeight="false" outlineLevel="0" collapsed="false">
      <c r="A248" s="109" t="n">
        <v>248</v>
      </c>
      <c r="B248" s="110" t="n">
        <f aca="false">IFERROR(IF([2]对账明细接口!$B$248=0,"",[2]对账明细接口!$B$248),"")</f>
        <v>46265</v>
      </c>
      <c r="C248" s="59" t="str">
        <f aca="false">IFERROR(IF([2]对账明细接口!$C$248=0,"",[2]对账明细接口!$C$248),"")</f>
        <v>聂新平</v>
      </c>
      <c r="D248" s="59" t="str">
        <f aca="false">IFERROR(IF([2]对账明细接口!$D$248=0,"",[2]对账明细接口!$D$248),"")</f>
        <v>原料出库－出库加工</v>
      </c>
      <c r="E248" s="59" t="str">
        <f aca="false">IFERROR(IF([2]对账明细接口!$E$248=0,"",[2]对账明细接口!$E$248),"")</f>
        <v>NO:0001056</v>
      </c>
      <c r="F248" s="59" t="str">
        <f aca="false">IFERROR(IF([2]对账明细接口!$F$248=0,"",[2]对账明细接口!$F$248),"")</f>
        <v>苹果</v>
      </c>
      <c r="G248" s="59" t="str">
        <f aca="false">IFERROR(IF([2]对账明细接口!$G$248=0,"",[2]对账明细接口!$G$248),"")</f>
        <v>嘎啦100#</v>
      </c>
      <c r="H248" s="60" t="n">
        <f aca="false">IFERROR(IF([2]对账明细接口!$H$248=0,"",[2]对账明细接口!$H$248),"")</f>
        <v>201</v>
      </c>
      <c r="I248" s="59" t="str">
        <f aca="false">IFERROR(IF([2]对账明细接口!$I$248=0,"",[2]对账明细接口!$I$248),"")</f>
        <v>筐</v>
      </c>
      <c r="J248" s="61" t="str">
        <f aca="false">IFERROR(IF([2]对账明细接口!$J$248=0,"",[2]对账明细接口!$J$248),"")</f>
        <v/>
      </c>
      <c r="K248" s="61" t="str">
        <f aca="false">IFERROR(IF([2]对账明细接口!$K$248=0,"",[2]对账明细接口!$K$248),"")</f>
        <v/>
      </c>
      <c r="L248" s="59" t="str">
        <f aca="false">IFERROR(IF([2]对账明细接口!$L$248=0,"",[2]对账明细接口!$L$248),"")</f>
        <v/>
      </c>
      <c r="M248" s="59" t="str">
        <f aca="false">IFERROR(IF([2]对账明细接口!$M$248=0,"",[2]对账明细接口!$M$248),"")</f>
        <v/>
      </c>
      <c r="N248" s="111" t="n">
        <f aca="false">IF($C248="",0,1)</f>
        <v>1</v>
      </c>
      <c r="O248" s="111" t="n">
        <f aca="false">N(O247)+$N248</f>
        <v>245</v>
      </c>
      <c r="S248" s="10" t="str">
        <f aca="false">IFERROR(IF([2]对账明细接口!$N248=0,"",[2]对账明细接口!$N248),"")</f>
        <v/>
      </c>
      <c r="T248" s="112" t="str">
        <f aca="false">IFERROR(IF([2]对账明细接口!$O248=0,"",[2]对账明细接口!$O248),"")</f>
        <v/>
      </c>
      <c r="U248" s="112" t="str">
        <f aca="false">IFERROR(IF([2]对账明细接口!$P248=0,"",[2]对账明细接口!$P248),"")</f>
        <v/>
      </c>
      <c r="V248" s="112" t="str">
        <f aca="false">IFERROR(IF([2]对账明细接口!$Q248=0,"",[2]对账明细接口!$Q248),"")</f>
        <v/>
      </c>
      <c r="W248" s="10" t="str">
        <f aca="false">IFERROR(IF([2]对账明细接口!$R248=0,"",[2]对账明细接口!$R248),"")</f>
        <v/>
      </c>
      <c r="X248" s="10" t="str">
        <f aca="false">IFERROR(IF([2]对账明细接口!$S248=0,"",[2]对账明细接口!$S248),"")</f>
        <v/>
      </c>
      <c r="Y248" s="10" t="str">
        <f aca="false">IFERROR(IF([2]对账明细接口!$T248=0,"",[2]对账明细接口!$T248),"")</f>
        <v/>
      </c>
      <c r="Z248" s="113" t="str">
        <f aca="false">IFERROR(IF([2]对账明细接口!$U248=0,"",[2]对账明细接口!$U248),"")</f>
        <v/>
      </c>
      <c r="AA248" s="113" t="str">
        <f aca="false">IFERROR(IF([2]对账明细接口!$V248=0,"",[2]对账明细接口!$V248),"")</f>
        <v/>
      </c>
      <c r="AB248" s="10" t="str">
        <f aca="false">IFERROR(IF([2]对账明细接口!$W248=0,"",[2]对账明细接口!$W248),"")</f>
        <v/>
      </c>
      <c r="AC248" s="90" t="str">
        <f aca="false">IFERROR(IF([2]对账明细接口!$X249=0,"",[2]对账明细接口!$X249),"")</f>
        <v/>
      </c>
      <c r="AD248" s="90" t="str">
        <f aca="false">IFERROR(IF([2]对账明细接口!$Y249=0,"",[2]对账明细接口!$Y249),"")</f>
        <v/>
      </c>
      <c r="AE248" s="90" t="str">
        <f aca="false">IFERROR(IF([2]对账明细接口!$AA249=0,"",[2]对账明细接口!$AA249),"")</f>
        <v/>
      </c>
      <c r="AF248" s="90" t="str">
        <f aca="false">IFERROR(IF([2]对账明细接口!$AB249=0,"",[2]对账明细接口!$AB249),"")</f>
        <v/>
      </c>
      <c r="AG248" s="90" t="str">
        <f aca="false">IFERROR(IF([2]对账明细接口!$AC249=0,"",[2]对账明细接口!$AC249),"")</f>
        <v/>
      </c>
      <c r="AH248" s="90" t="str">
        <f aca="false">IFERROR(IF([2]对账明细接口!$AD249=0,"",[2]对账明细接口!$AD249),"")</f>
        <v/>
      </c>
    </row>
    <row r="249" customFormat="false" ht="13.5" hidden="false" customHeight="false" outlineLevel="0" collapsed="false">
      <c r="A249" s="109" t="n">
        <v>249</v>
      </c>
      <c r="B249" s="110" t="n">
        <f aca="false">IFERROR(IF([2]对账明细接口!$B$249=0,"",[2]对账明细接口!$B$249),"")</f>
        <v>46265</v>
      </c>
      <c r="C249" s="59" t="str">
        <f aca="false">IFERROR(IF([2]对账明细接口!$C$249=0,"",[2]对账明细接口!$C$249),"")</f>
        <v>聂新平</v>
      </c>
      <c r="D249" s="59" t="str">
        <f aca="false">IFERROR(IF([2]对账明细接口!$D$249=0,"",[2]对账明细接口!$D$249),"")</f>
        <v>原料出库－出库加工</v>
      </c>
      <c r="E249" s="59" t="str">
        <f aca="false">IFERROR(IF([2]对账明细接口!$E$249=0,"",[2]对账明细接口!$E$249),"")</f>
        <v>NO:0001056</v>
      </c>
      <c r="F249" s="59" t="str">
        <f aca="false">IFERROR(IF([2]对账明细接口!$F$249=0,"",[2]对账明细接口!$F$249),"")</f>
        <v>苹果</v>
      </c>
      <c r="G249" s="59" t="str">
        <f aca="false">IFERROR(IF([2]对账明细接口!$G$249=0,"",[2]对账明细接口!$G$249),"")</f>
        <v>嘎啦85#</v>
      </c>
      <c r="H249" s="60" t="n">
        <f aca="false">IFERROR(IF([2]对账明细接口!$H$249=0,"",[2]对账明细接口!$H$249),"")</f>
        <v>166</v>
      </c>
      <c r="I249" s="59" t="str">
        <f aca="false">IFERROR(IF([2]对账明细接口!$I$249=0,"",[2]对账明细接口!$I$249),"")</f>
        <v>筐</v>
      </c>
      <c r="J249" s="61" t="str">
        <f aca="false">IFERROR(IF([2]对账明细接口!$J$249=0,"",[2]对账明细接口!$J$249),"")</f>
        <v/>
      </c>
      <c r="K249" s="61" t="str">
        <f aca="false">IFERROR(IF([2]对账明细接口!$K$249=0,"",[2]对账明细接口!$K$249),"")</f>
        <v/>
      </c>
      <c r="L249" s="59" t="str">
        <f aca="false">IFERROR(IF([2]对账明细接口!$L$249=0,"",[2]对账明细接口!$L$249),"")</f>
        <v/>
      </c>
      <c r="M249" s="59" t="str">
        <f aca="false">IFERROR(IF([2]对账明细接口!$M$249=0,"",[2]对账明细接口!$M$249),"")</f>
        <v/>
      </c>
      <c r="N249" s="111" t="n">
        <f aca="false">IF($C249="",0,1)</f>
        <v>1</v>
      </c>
      <c r="O249" s="111" t="n">
        <f aca="false">N(O248)+$N249</f>
        <v>246</v>
      </c>
      <c r="S249" s="10" t="str">
        <f aca="false">IFERROR(IF([2]对账明细接口!$N249=0,"",[2]对账明细接口!$N249),"")</f>
        <v/>
      </c>
      <c r="T249" s="112" t="str">
        <f aca="false">IFERROR(IF([2]对账明细接口!$O249=0,"",[2]对账明细接口!$O249),"")</f>
        <v/>
      </c>
      <c r="U249" s="112" t="str">
        <f aca="false">IFERROR(IF([2]对账明细接口!$P249=0,"",[2]对账明细接口!$P249),"")</f>
        <v/>
      </c>
      <c r="V249" s="112" t="str">
        <f aca="false">IFERROR(IF([2]对账明细接口!$Q249=0,"",[2]对账明细接口!$Q249),"")</f>
        <v/>
      </c>
      <c r="W249" s="10" t="str">
        <f aca="false">IFERROR(IF([2]对账明细接口!$R249=0,"",[2]对账明细接口!$R249),"")</f>
        <v/>
      </c>
      <c r="X249" s="10" t="str">
        <f aca="false">IFERROR(IF([2]对账明细接口!$S249=0,"",[2]对账明细接口!$S249),"")</f>
        <v/>
      </c>
      <c r="Y249" s="10" t="str">
        <f aca="false">IFERROR(IF([2]对账明细接口!$T249=0,"",[2]对账明细接口!$T249),"")</f>
        <v/>
      </c>
      <c r="Z249" s="113" t="str">
        <f aca="false">IFERROR(IF([2]对账明细接口!$U249=0,"",[2]对账明细接口!$U249),"")</f>
        <v/>
      </c>
      <c r="AA249" s="113" t="str">
        <f aca="false">IFERROR(IF([2]对账明细接口!$V249=0,"",[2]对账明细接口!$V249),"")</f>
        <v/>
      </c>
      <c r="AB249" s="10" t="str">
        <f aca="false">IFERROR(IF([2]对账明细接口!$W249=0,"",[2]对账明细接口!$W249),"")</f>
        <v/>
      </c>
      <c r="AC249" s="90" t="str">
        <f aca="false">IFERROR(IF([2]对账明细接口!$X250=0,"",[2]对账明细接口!$X250),"")</f>
        <v/>
      </c>
      <c r="AD249" s="90" t="str">
        <f aca="false">IFERROR(IF([2]对账明细接口!$Y250=0,"",[2]对账明细接口!$Y250),"")</f>
        <v/>
      </c>
      <c r="AE249" s="90" t="str">
        <f aca="false">IFERROR(IF([2]对账明细接口!$AA250=0,"",[2]对账明细接口!$AA250),"")</f>
        <v/>
      </c>
      <c r="AF249" s="90" t="str">
        <f aca="false">IFERROR(IF([2]对账明细接口!$AB250=0,"",[2]对账明细接口!$AB250),"")</f>
        <v/>
      </c>
      <c r="AG249" s="90" t="str">
        <f aca="false">IFERROR(IF([2]对账明细接口!$AC250=0,"",[2]对账明细接口!$AC250),"")</f>
        <v/>
      </c>
      <c r="AH249" s="90" t="str">
        <f aca="false">IFERROR(IF([2]对账明细接口!$AD250=0,"",[2]对账明细接口!$AD250),"")</f>
        <v/>
      </c>
    </row>
    <row r="250" customFormat="false" ht="13.5" hidden="false" customHeight="false" outlineLevel="0" collapsed="false">
      <c r="A250" s="109" t="n">
        <v>250</v>
      </c>
      <c r="B250" s="110" t="n">
        <f aca="false">IFERROR(IF([2]对账明细接口!$B$250=0,"",[2]对账明细接口!$B$250),"")</f>
        <v>46266</v>
      </c>
      <c r="C250" s="59" t="str">
        <f aca="false">IFERROR(IF([2]对账明细接口!$C$250=0,"",[2]对账明细接口!$C$250),"")</f>
        <v>聂新平</v>
      </c>
      <c r="D250" s="59" t="str">
        <f aca="false">IFERROR(IF([2]对账明细接口!$D$250=0,"",[2]对账明细接口!$D$250),"")</f>
        <v>原料出库－出库加工</v>
      </c>
      <c r="E250" s="59" t="str">
        <f aca="false">IFERROR(IF([2]对账明细接口!$E$250=0,"",[2]对账明细接口!$E$250),"")</f>
        <v>NO:0001059</v>
      </c>
      <c r="F250" s="59" t="str">
        <f aca="false">IFERROR(IF([2]对账明细接口!$F$250=0,"",[2]对账明细接口!$F$250),"")</f>
        <v>苹果</v>
      </c>
      <c r="G250" s="59" t="str">
        <f aca="false">IFERROR(IF([2]对账明细接口!$G$250=0,"",[2]对账明细接口!$G$250),"")</f>
        <v>嘎啦85#</v>
      </c>
      <c r="H250" s="60" t="n">
        <f aca="false">IFERROR(IF([2]对账明细接口!$H$250=0,"",[2]对账明细接口!$H$250),"")</f>
        <v>254</v>
      </c>
      <c r="I250" s="59" t="str">
        <f aca="false">IFERROR(IF([2]对账明细接口!$I$250=0,"",[2]对账明细接口!$I$250),"")</f>
        <v>筐</v>
      </c>
      <c r="J250" s="61" t="str">
        <f aca="false">IFERROR(IF([2]对账明细接口!$J$250=0,"",[2]对账明细接口!$J$250),"")</f>
        <v/>
      </c>
      <c r="K250" s="61" t="str">
        <f aca="false">IFERROR(IF([2]对账明细接口!$K$250=0,"",[2]对账明细接口!$K$250),"")</f>
        <v/>
      </c>
      <c r="L250" s="59" t="str">
        <f aca="false">IFERROR(IF([2]对账明细接口!$L$250=0,"",[2]对账明细接口!$L$250),"")</f>
        <v/>
      </c>
      <c r="M250" s="59" t="str">
        <f aca="false">IFERROR(IF([2]对账明细接口!$M$250=0,"",[2]对账明细接口!$M$250),"")</f>
        <v>嘎啦原料全部出库</v>
      </c>
      <c r="N250" s="111" t="n">
        <f aca="false">IF($C250="",0,1)</f>
        <v>1</v>
      </c>
      <c r="O250" s="111" t="n">
        <f aca="false">N(O249)+$N250</f>
        <v>247</v>
      </c>
      <c r="S250" s="10" t="str">
        <f aca="false">IFERROR(IF([2]对账明细接口!$N250=0,"",[2]对账明细接口!$N250),"")</f>
        <v/>
      </c>
      <c r="T250" s="112" t="str">
        <f aca="false">IFERROR(IF([2]对账明细接口!$O250=0,"",[2]对账明细接口!$O250),"")</f>
        <v/>
      </c>
      <c r="U250" s="112" t="str">
        <f aca="false">IFERROR(IF([2]对账明细接口!$P250=0,"",[2]对账明细接口!$P250),"")</f>
        <v/>
      </c>
      <c r="V250" s="112" t="str">
        <f aca="false">IFERROR(IF([2]对账明细接口!$Q250=0,"",[2]对账明细接口!$Q250),"")</f>
        <v/>
      </c>
      <c r="W250" s="10" t="str">
        <f aca="false">IFERROR(IF([2]对账明细接口!$R250=0,"",[2]对账明细接口!$R250),"")</f>
        <v/>
      </c>
      <c r="X250" s="10" t="str">
        <f aca="false">IFERROR(IF([2]对账明细接口!$S250=0,"",[2]对账明细接口!$S250),"")</f>
        <v/>
      </c>
      <c r="Y250" s="10" t="str">
        <f aca="false">IFERROR(IF([2]对账明细接口!$T250=0,"",[2]对账明细接口!$T250),"")</f>
        <v/>
      </c>
      <c r="Z250" s="113" t="str">
        <f aca="false">IFERROR(IF([2]对账明细接口!$U250=0,"",[2]对账明细接口!$U250),"")</f>
        <v/>
      </c>
      <c r="AA250" s="113" t="str">
        <f aca="false">IFERROR(IF([2]对账明细接口!$V250=0,"",[2]对账明细接口!$V250),"")</f>
        <v/>
      </c>
      <c r="AB250" s="10" t="str">
        <f aca="false">IFERROR(IF([2]对账明细接口!$W250=0,"",[2]对账明细接口!$W250),"")</f>
        <v/>
      </c>
      <c r="AC250" s="90" t="str">
        <f aca="false">IFERROR(IF([2]对账明细接口!$X251=0,"",[2]对账明细接口!$X251),"")</f>
        <v/>
      </c>
      <c r="AD250" s="90" t="str">
        <f aca="false">IFERROR(IF([2]对账明细接口!$Y251=0,"",[2]对账明细接口!$Y251),"")</f>
        <v/>
      </c>
      <c r="AE250" s="90" t="str">
        <f aca="false">IFERROR(IF([2]对账明细接口!$AA251=0,"",[2]对账明细接口!$AA251),"")</f>
        <v/>
      </c>
      <c r="AF250" s="90" t="str">
        <f aca="false">IFERROR(IF([2]对账明细接口!$AB251=0,"",[2]对账明细接口!$AB251),"")</f>
        <v/>
      </c>
      <c r="AG250" s="90" t="str">
        <f aca="false">IFERROR(IF([2]对账明细接口!$AC251=0,"",[2]对账明细接口!$AC251),"")</f>
        <v/>
      </c>
      <c r="AH250" s="90" t="str">
        <f aca="false">IFERROR(IF([2]对账明细接口!$AD251=0,"",[2]对账明细接口!$AD251),"")</f>
        <v/>
      </c>
    </row>
    <row r="251" customFormat="false" ht="13.5" hidden="false" customHeight="false" outlineLevel="0" collapsed="false">
      <c r="A251" s="109" t="n">
        <v>251</v>
      </c>
      <c r="B251" s="110" t="n">
        <f aca="false">IFERROR(IF([2]对账明细接口!$B$251=0,"",[2]对账明细接口!$B$251),"")</f>
        <v>46266</v>
      </c>
      <c r="C251" s="59" t="str">
        <f aca="false">IFERROR(IF([2]对账明细接口!$C$251=0,"",[2]对账明细接口!$C$251),"")</f>
        <v>王照雪</v>
      </c>
      <c r="D251" s="59" t="str">
        <f aca="false">IFERROR(IF([2]对账明细接口!$D$251=0,"",[2]对账明细接口!$D$251),"")</f>
        <v>原料出库－出库加工</v>
      </c>
      <c r="E251" s="59" t="str">
        <f aca="false">IFERROR(IF([2]对账明细接口!$E$251=0,"",[2]对账明细接口!$E$251),"")</f>
        <v>NO:0001060</v>
      </c>
      <c r="F251" s="59" t="str">
        <f aca="false">IFERROR(IF([2]对账明细接口!$F$251=0,"",[2]对账明细接口!$F$251),"")</f>
        <v>苹果</v>
      </c>
      <c r="G251" s="59" t="str">
        <f aca="false">IFERROR(IF([2]对账明细接口!$G$251=0,"",[2]对账明细接口!$G$251),"")</f>
        <v>华硕一级</v>
      </c>
      <c r="H251" s="60" t="n">
        <f aca="false">IFERROR(IF([2]对账明细接口!$H$251=0,"",[2]对账明细接口!$H$251),"")</f>
        <v>164</v>
      </c>
      <c r="I251" s="59" t="str">
        <f aca="false">IFERROR(IF([2]对账明细接口!$I$251=0,"",[2]对账明细接口!$I$251),"")</f>
        <v>筐</v>
      </c>
      <c r="J251" s="61" t="str">
        <f aca="false">IFERROR(IF([2]对账明细接口!$J$251=0,"",[2]对账明细接口!$J$251),"")</f>
        <v/>
      </c>
      <c r="K251" s="61" t="str">
        <f aca="false">IFERROR(IF([2]对账明细接口!$K$251=0,"",[2]对账明细接口!$K$251),"")</f>
        <v/>
      </c>
      <c r="L251" s="59" t="str">
        <f aca="false">IFERROR(IF([2]对账明细接口!$L$251=0,"",[2]对账明细接口!$L$251),"")</f>
        <v/>
      </c>
      <c r="M251" s="59" t="str">
        <f aca="false">IFERROR(IF([2]对账明细接口!$M$251=0,"",[2]对账明细接口!$M$251),"")</f>
        <v/>
      </c>
      <c r="N251" s="111" t="n">
        <f aca="false">IF($C251="",0,1)</f>
        <v>1</v>
      </c>
      <c r="O251" s="111" t="n">
        <f aca="false">N(O250)+$N251</f>
        <v>248</v>
      </c>
      <c r="S251" s="10" t="str">
        <f aca="false">IFERROR(IF([2]对账明细接口!$N251=0,"",[2]对账明细接口!$N251),"")</f>
        <v/>
      </c>
      <c r="T251" s="112" t="str">
        <f aca="false">IFERROR(IF([2]对账明细接口!$O251=0,"",[2]对账明细接口!$O251),"")</f>
        <v/>
      </c>
      <c r="U251" s="112" t="str">
        <f aca="false">IFERROR(IF([2]对账明细接口!$P251=0,"",[2]对账明细接口!$P251),"")</f>
        <v/>
      </c>
      <c r="V251" s="112" t="str">
        <f aca="false">IFERROR(IF([2]对账明细接口!$Q251=0,"",[2]对账明细接口!$Q251),"")</f>
        <v/>
      </c>
      <c r="W251" s="10" t="str">
        <f aca="false">IFERROR(IF([2]对账明细接口!$R251=0,"",[2]对账明细接口!$R251),"")</f>
        <v/>
      </c>
      <c r="X251" s="10" t="str">
        <f aca="false">IFERROR(IF([2]对账明细接口!$S251=0,"",[2]对账明细接口!$S251),"")</f>
        <v/>
      </c>
      <c r="Y251" s="10" t="str">
        <f aca="false">IFERROR(IF([2]对账明细接口!$T251=0,"",[2]对账明细接口!$T251),"")</f>
        <v/>
      </c>
      <c r="Z251" s="113" t="str">
        <f aca="false">IFERROR(IF([2]对账明细接口!$U251=0,"",[2]对账明细接口!$U251),"")</f>
        <v/>
      </c>
      <c r="AA251" s="113" t="str">
        <f aca="false">IFERROR(IF([2]对账明细接口!$V251=0,"",[2]对账明细接口!$V251),"")</f>
        <v/>
      </c>
      <c r="AB251" s="10" t="str">
        <f aca="false">IFERROR(IF([2]对账明细接口!$W251=0,"",[2]对账明细接口!$W251),"")</f>
        <v/>
      </c>
      <c r="AC251" s="90" t="str">
        <f aca="false">IFERROR(IF([2]对账明细接口!$X252=0,"",[2]对账明细接口!$X252),"")</f>
        <v/>
      </c>
      <c r="AD251" s="90" t="str">
        <f aca="false">IFERROR(IF([2]对账明细接口!$Y252=0,"",[2]对账明细接口!$Y252),"")</f>
        <v/>
      </c>
      <c r="AE251" s="90" t="str">
        <f aca="false">IFERROR(IF([2]对账明细接口!$AA252=0,"",[2]对账明细接口!$AA252),"")</f>
        <v/>
      </c>
      <c r="AF251" s="90" t="str">
        <f aca="false">IFERROR(IF([2]对账明细接口!$AB252=0,"",[2]对账明细接口!$AB252),"")</f>
        <v/>
      </c>
      <c r="AG251" s="90" t="str">
        <f aca="false">IFERROR(IF([2]对账明细接口!$AC252=0,"",[2]对账明细接口!$AC252),"")</f>
        <v/>
      </c>
      <c r="AH251" s="90" t="str">
        <f aca="false">IFERROR(IF([2]对账明细接口!$AD252=0,"",[2]对账明细接口!$AD252),"")</f>
        <v/>
      </c>
    </row>
    <row r="252" customFormat="false" ht="13.5" hidden="false" customHeight="false" outlineLevel="0" collapsed="false">
      <c r="A252" s="109" t="n">
        <v>252</v>
      </c>
      <c r="B252" s="110" t="n">
        <f aca="false">IFERROR(IF([2]对账明细接口!$B$252=0,"",[2]对账明细接口!$B$252),"")</f>
        <v>46266</v>
      </c>
      <c r="C252" s="59" t="str">
        <f aca="false">IFERROR(IF([2]对账明细接口!$C$252=0,"",[2]对账明细接口!$C$252),"")</f>
        <v>王照雪</v>
      </c>
      <c r="D252" s="59" t="str">
        <f aca="false">IFERROR(IF([2]对账明细接口!$D$252=0,"",[2]对账明细接口!$D$252),"")</f>
        <v>原料出库－出库加工</v>
      </c>
      <c r="E252" s="59" t="str">
        <f aca="false">IFERROR(IF([2]对账明细接口!$E$252=0,"",[2]对账明细接口!$E$252),"")</f>
        <v>NO:0001060</v>
      </c>
      <c r="F252" s="59" t="str">
        <f aca="false">IFERROR(IF([2]对账明细接口!$F$252=0,"",[2]对账明细接口!$F$252),"")</f>
        <v>苹果</v>
      </c>
      <c r="G252" s="59" t="str">
        <f aca="false">IFERROR(IF([2]对账明细接口!$G$252=0,"",[2]对账明细接口!$G$252),"")</f>
        <v>华硕二级</v>
      </c>
      <c r="H252" s="60" t="n">
        <f aca="false">IFERROR(IF([2]对账明细接口!$H$252=0,"",[2]对账明细接口!$H$252),"")</f>
        <v>27</v>
      </c>
      <c r="I252" s="59" t="str">
        <f aca="false">IFERROR(IF([2]对账明细接口!$I$252=0,"",[2]对账明细接口!$I$252),"")</f>
        <v>筐</v>
      </c>
      <c r="J252" s="61" t="str">
        <f aca="false">IFERROR(IF([2]对账明细接口!$J$252=0,"",[2]对账明细接口!$J$252),"")</f>
        <v/>
      </c>
      <c r="K252" s="61" t="str">
        <f aca="false">IFERROR(IF([2]对账明细接口!$K$252=0,"",[2]对账明细接口!$K$252),"")</f>
        <v/>
      </c>
      <c r="L252" s="59" t="str">
        <f aca="false">IFERROR(IF([2]对账明细接口!$L$252=0,"",[2]对账明细接口!$L$252),"")</f>
        <v/>
      </c>
      <c r="M252" s="59" t="str">
        <f aca="false">IFERROR(IF([2]对账明细接口!$M$252=0,"",[2]对账明细接口!$M$252),"")</f>
        <v/>
      </c>
      <c r="N252" s="111" t="n">
        <f aca="false">IF($C252="",0,1)</f>
        <v>1</v>
      </c>
      <c r="O252" s="111" t="n">
        <f aca="false">N(O251)+$N252</f>
        <v>249</v>
      </c>
      <c r="S252" s="10" t="str">
        <f aca="false">IFERROR(IF([2]对账明细接口!$N252=0,"",[2]对账明细接口!$N252),"")</f>
        <v/>
      </c>
      <c r="T252" s="112" t="str">
        <f aca="false">IFERROR(IF([2]对账明细接口!$O252=0,"",[2]对账明细接口!$O252),"")</f>
        <v/>
      </c>
      <c r="U252" s="112" t="str">
        <f aca="false">IFERROR(IF([2]对账明细接口!$P252=0,"",[2]对账明细接口!$P252),"")</f>
        <v/>
      </c>
      <c r="V252" s="112" t="str">
        <f aca="false">IFERROR(IF([2]对账明细接口!$Q252=0,"",[2]对账明细接口!$Q252),"")</f>
        <v/>
      </c>
      <c r="W252" s="10" t="str">
        <f aca="false">IFERROR(IF([2]对账明细接口!$R252=0,"",[2]对账明细接口!$R252),"")</f>
        <v/>
      </c>
      <c r="X252" s="10" t="str">
        <f aca="false">IFERROR(IF([2]对账明细接口!$S252=0,"",[2]对账明细接口!$S252),"")</f>
        <v/>
      </c>
      <c r="Y252" s="10" t="str">
        <f aca="false">IFERROR(IF([2]对账明细接口!$T252=0,"",[2]对账明细接口!$T252),"")</f>
        <v/>
      </c>
      <c r="Z252" s="113" t="str">
        <f aca="false">IFERROR(IF([2]对账明细接口!$U252=0,"",[2]对账明细接口!$U252),"")</f>
        <v/>
      </c>
      <c r="AA252" s="113" t="str">
        <f aca="false">IFERROR(IF([2]对账明细接口!$V252=0,"",[2]对账明细接口!$V252),"")</f>
        <v/>
      </c>
      <c r="AB252" s="10" t="str">
        <f aca="false">IFERROR(IF([2]对账明细接口!$W252=0,"",[2]对账明细接口!$W252),"")</f>
        <v/>
      </c>
      <c r="AC252" s="90" t="str">
        <f aca="false">IFERROR(IF([2]对账明细接口!$X253=0,"",[2]对账明细接口!$X253),"")</f>
        <v/>
      </c>
      <c r="AD252" s="90" t="str">
        <f aca="false">IFERROR(IF([2]对账明细接口!$Y253=0,"",[2]对账明细接口!$Y253),"")</f>
        <v/>
      </c>
      <c r="AE252" s="90" t="str">
        <f aca="false">IFERROR(IF([2]对账明细接口!$AA253=0,"",[2]对账明细接口!$AA253),"")</f>
        <v/>
      </c>
      <c r="AF252" s="90" t="str">
        <f aca="false">IFERROR(IF([2]对账明细接口!$AB253=0,"",[2]对账明细接口!$AB253),"")</f>
        <v/>
      </c>
      <c r="AG252" s="90" t="str">
        <f aca="false">IFERROR(IF([2]对账明细接口!$AC253=0,"",[2]对账明细接口!$AC253),"")</f>
        <v/>
      </c>
      <c r="AH252" s="90" t="str">
        <f aca="false">IFERROR(IF([2]对账明细接口!$AD253=0,"",[2]对账明细接口!$AD253),"")</f>
        <v/>
      </c>
    </row>
    <row r="253" customFormat="false" ht="13.5" hidden="false" customHeight="false" outlineLevel="0" collapsed="false">
      <c r="A253" s="109" t="n">
        <v>253</v>
      </c>
      <c r="B253" s="110" t="n">
        <f aca="false">IFERROR(IF([2]对账明细接口!$B$253=0,"",[2]对账明细接口!$B$253),"")</f>
        <v>46255</v>
      </c>
      <c r="C253" s="59" t="str">
        <f aca="false">IFERROR(IF([2]对账明细接口!$C$253=0,"",[2]对账明细接口!$C$253),"")</f>
        <v>聂新平</v>
      </c>
      <c r="D253" s="59" t="str">
        <f aca="false">IFERROR(IF([2]对账明细接口!$D$253=0,"",[2]对账明细接口!$D$253),"")</f>
        <v>原料出库－原筐出库</v>
      </c>
      <c r="E253" s="59" t="str">
        <f aca="false">IFERROR(IF([2]对账明细接口!$E$253=0,"",[2]对账明细接口!$E$253),"")</f>
        <v>NO:0001023</v>
      </c>
      <c r="F253" s="59" t="str">
        <f aca="false">IFERROR(IF([2]对账明细接口!$F$253=0,"",[2]对账明细接口!$F$253),"")</f>
        <v>西梅</v>
      </c>
      <c r="G253" s="59" t="str">
        <f aca="false">IFERROR(IF([2]对账明细接口!$G$253=0,"",[2]对账明细接口!$G$253),"")</f>
        <v>西梅三级</v>
      </c>
      <c r="H253" s="60" t="n">
        <f aca="false">IFERROR(IF([2]对账明细接口!$H$253=0,"",[2]对账明细接口!$H$253),"")</f>
        <v>784</v>
      </c>
      <c r="I253" s="59" t="str">
        <f aca="false">IFERROR(IF([2]对账明细接口!$I$253=0,"",[2]对账明细接口!$I$253),"")</f>
        <v>筐</v>
      </c>
      <c r="J253" s="61" t="n">
        <f aca="false">IFERROR(IF([2]对账明细接口!$J$253=0,"",[2]对账明细接口!$J$253),"")</f>
        <v>1568</v>
      </c>
      <c r="K253" s="61" t="str">
        <f aca="false">IFERROR(IF([2]对账明细接口!$K$253=0,"",[2]对账明细接口!$K$253),"")</f>
        <v/>
      </c>
      <c r="L253" s="59" t="str">
        <f aca="false">IFERROR(IF([2]对账明细接口!$L$253=0,"",[2]对账明细接口!$L$253),"")</f>
        <v/>
      </c>
      <c r="M253" s="59" t="str">
        <f aca="false">IFERROR(IF([2]对账明细接口!$M$253=0,"",[2]对账明细接口!$M$253),"")</f>
        <v/>
      </c>
      <c r="N253" s="111" t="n">
        <f aca="false">IF($C253="",0,1)</f>
        <v>1</v>
      </c>
      <c r="O253" s="111" t="n">
        <f aca="false">N(O252)+$N253</f>
        <v>250</v>
      </c>
      <c r="S253" s="10" t="str">
        <f aca="false">IFERROR(IF([2]对账明细接口!$N253=0,"",[2]对账明细接口!$N253),"")</f>
        <v>自备一次性筐</v>
      </c>
      <c r="T253" s="112" t="n">
        <f aca="false">IFERROR(IF([2]对账明细接口!$O253=0,"",[2]对账明细接口!$O253),"")</f>
        <v>784</v>
      </c>
      <c r="U253" s="112" t="str">
        <f aca="false">IFERROR(IF([2]对账明细接口!$P253=0,"",[2]对账明细接口!$P253),"")</f>
        <v/>
      </c>
      <c r="V253" s="112" t="str">
        <f aca="false">IFERROR(IF([2]对账明细接口!$Q253=0,"",[2]对账明细接口!$Q253),"")</f>
        <v/>
      </c>
      <c r="W253" s="10" t="str">
        <f aca="false">IFERROR(IF([2]对账明细接口!$R253=0,"",[2]对账明细接口!$R253),"")</f>
        <v>晋M*H8582</v>
      </c>
      <c r="X253" s="10" t="str">
        <f aca="false">IFERROR(IF([2]对账明细接口!$S253=0,"",[2]对账明细接口!$S253),"")</f>
        <v>自备筐</v>
      </c>
      <c r="Y253" s="10" t="str">
        <f aca="false">IFERROR(IF([2]对账明细接口!$T253=0,"",[2]对账明细接口!$T253),"")</f>
        <v/>
      </c>
      <c r="Z253" s="113" t="str">
        <f aca="false">IFERROR(IF([2]对账明细接口!$U253=0,"",[2]对账明细接口!$U253),"")</f>
        <v/>
      </c>
      <c r="AA253" s="113" t="str">
        <f aca="false">IFERROR(IF([2]对账明细接口!$V253=0,"",[2]对账明细接口!$V253),"")</f>
        <v/>
      </c>
      <c r="AB253" s="10" t="str">
        <f aca="false">IFERROR(IF([2]对账明细接口!$W253=0,"",[2]对账明细接口!$W253),"")</f>
        <v/>
      </c>
      <c r="AC253" s="90" t="str">
        <f aca="false">IFERROR(IF([2]对账明细接口!$X254=0,"",[2]对账明细接口!$X254),"")</f>
        <v/>
      </c>
      <c r="AD253" s="90" t="str">
        <f aca="false">IFERROR(IF([2]对账明细接口!$Y254=0,"",[2]对账明细接口!$Y254),"")</f>
        <v/>
      </c>
      <c r="AE253" s="90" t="str">
        <f aca="false">IFERROR(IF([2]对账明细接口!$AA254=0,"",[2]对账明细接口!$AA254),"")</f>
        <v/>
      </c>
      <c r="AF253" s="90" t="str">
        <f aca="false">IFERROR(IF([2]对账明细接口!$AB254=0,"",[2]对账明细接口!$AB254),"")</f>
        <v/>
      </c>
      <c r="AG253" s="90" t="str">
        <f aca="false">IFERROR(IF([2]对账明细接口!$AC254=0,"",[2]对账明细接口!$AC254),"")</f>
        <v/>
      </c>
      <c r="AH253" s="90" t="str">
        <f aca="false">IFERROR(IF([2]对账明细接口!$AD254=0,"",[2]对账明细接口!$AD254),"")</f>
        <v/>
      </c>
    </row>
    <row r="254" customFormat="false" ht="13.5" hidden="false" customHeight="false" outlineLevel="0" collapsed="false">
      <c r="A254" s="109" t="n">
        <v>254</v>
      </c>
      <c r="B254" s="110" t="n">
        <f aca="false">IFERROR(IF([2]对账明细接口!$B$254=0,"",[2]对账明细接口!$B$254),"")</f>
        <v>46255</v>
      </c>
      <c r="C254" s="59" t="str">
        <f aca="false">IFERROR(IF([2]对账明细接口!$C$254=0,"",[2]对账明细接口!$C$254),"")</f>
        <v>聂新平</v>
      </c>
      <c r="D254" s="59" t="str">
        <f aca="false">IFERROR(IF([2]对账明细接口!$D$254=0,"",[2]对账明细接口!$D$254),"")</f>
        <v>原料出库－原筐出库</v>
      </c>
      <c r="E254" s="59" t="str">
        <f aca="false">IFERROR(IF([2]对账明细接口!$E$254=0,"",[2]对账明细接口!$E$254),"")</f>
        <v>NO:0001023</v>
      </c>
      <c r="F254" s="59" t="str">
        <f aca="false">IFERROR(IF([2]对账明细接口!$F$254=0,"",[2]对账明细接口!$F$254),"")</f>
        <v>西梅</v>
      </c>
      <c r="G254" s="59" t="str">
        <f aca="false">IFERROR(IF([2]对账明细接口!$G$254=0,"",[2]对账明细接口!$G$254),"")</f>
        <v>西梅二级</v>
      </c>
      <c r="H254" s="60" t="n">
        <f aca="false">IFERROR(IF([2]对账明细接口!$H$254=0,"",[2]对账明细接口!$H$254),"")</f>
        <v>1759</v>
      </c>
      <c r="I254" s="59" t="str">
        <f aca="false">IFERROR(IF([2]对账明细接口!$I$254=0,"",[2]对账明细接口!$I$254),"")</f>
        <v>筐</v>
      </c>
      <c r="J254" s="61" t="n">
        <f aca="false">IFERROR(IF([2]对账明细接口!$J$254=0,"",[2]对账明细接口!$J$254),"")</f>
        <v>3518</v>
      </c>
      <c r="K254" s="61" t="str">
        <f aca="false">IFERROR(IF([2]对账明细接口!$K$254=0,"",[2]对账明细接口!$K$254),"")</f>
        <v/>
      </c>
      <c r="L254" s="59" t="str">
        <f aca="false">IFERROR(IF([2]对账明细接口!$L$254=0,"",[2]对账明细接口!$L$254),"")</f>
        <v/>
      </c>
      <c r="M254" s="59" t="str">
        <f aca="false">IFERROR(IF([2]对账明细接口!$M$254=0,"",[2]对账明细接口!$M$254),"")</f>
        <v/>
      </c>
      <c r="N254" s="111" t="n">
        <f aca="false">IF($C254="",0,1)</f>
        <v>1</v>
      </c>
      <c r="O254" s="111" t="n">
        <f aca="false">N(O253)+$N254</f>
        <v>251</v>
      </c>
      <c r="S254" s="10" t="str">
        <f aca="false">IFERROR(IF([2]对账明细接口!$N254=0,"",[2]对账明细接口!$N254),"")</f>
        <v>自备一次性筐</v>
      </c>
      <c r="T254" s="112" t="n">
        <f aca="false">IFERROR(IF([2]对账明细接口!$O254=0,"",[2]对账明细接口!$O254),"")</f>
        <v>1759</v>
      </c>
      <c r="U254" s="112" t="str">
        <f aca="false">IFERROR(IF([2]对账明细接口!$P254=0,"",[2]对账明细接口!$P254),"")</f>
        <v/>
      </c>
      <c r="V254" s="112" t="str">
        <f aca="false">IFERROR(IF([2]对账明细接口!$Q254=0,"",[2]对账明细接口!$Q254),"")</f>
        <v/>
      </c>
      <c r="W254" s="10" t="str">
        <f aca="false">IFERROR(IF([2]对账明细接口!$R254=0,"",[2]对账明细接口!$R254),"")</f>
        <v>晋M*H8582</v>
      </c>
      <c r="X254" s="10" t="str">
        <f aca="false">IFERROR(IF([2]对账明细接口!$S254=0,"",[2]对账明细接口!$S254),"")</f>
        <v>自备筐</v>
      </c>
      <c r="Y254" s="10" t="str">
        <f aca="false">IFERROR(IF([2]对账明细接口!$T254=0,"",[2]对账明细接口!$T254),"")</f>
        <v/>
      </c>
      <c r="Z254" s="113" t="str">
        <f aca="false">IFERROR(IF([2]对账明细接口!$U254=0,"",[2]对账明细接口!$U254),"")</f>
        <v/>
      </c>
      <c r="AA254" s="113" t="str">
        <f aca="false">IFERROR(IF([2]对账明细接口!$V254=0,"",[2]对账明细接口!$V254),"")</f>
        <v/>
      </c>
      <c r="AB254" s="10" t="str">
        <f aca="false">IFERROR(IF([2]对账明细接口!$W254=0,"",[2]对账明细接口!$W254),"")</f>
        <v/>
      </c>
      <c r="AC254" s="90" t="str">
        <f aca="false">IFERROR(IF([2]对账明细接口!$X255=0,"",[2]对账明细接口!$X255),"")</f>
        <v/>
      </c>
      <c r="AD254" s="90" t="str">
        <f aca="false">IFERROR(IF([2]对账明细接口!$Y255=0,"",[2]对账明细接口!$Y255),"")</f>
        <v/>
      </c>
      <c r="AE254" s="90" t="str">
        <f aca="false">IFERROR(IF([2]对账明细接口!$AA255=0,"",[2]对账明细接口!$AA255),"")</f>
        <v/>
      </c>
      <c r="AF254" s="90" t="str">
        <f aca="false">IFERROR(IF([2]对账明细接口!$AB255=0,"",[2]对账明细接口!$AB255),"")</f>
        <v/>
      </c>
      <c r="AG254" s="90" t="str">
        <f aca="false">IFERROR(IF([2]对账明细接口!$AC255=0,"",[2]对账明细接口!$AC255),"")</f>
        <v/>
      </c>
      <c r="AH254" s="90" t="str">
        <f aca="false">IFERROR(IF([2]对账明细接口!$AD255=0,"",[2]对账明细接口!$AD255),"")</f>
        <v/>
      </c>
    </row>
    <row r="255" customFormat="false" ht="13.5" hidden="false" customHeight="false" outlineLevel="0" collapsed="false">
      <c r="A255" s="109" t="n">
        <v>255</v>
      </c>
      <c r="B255" s="110" t="n">
        <f aca="false">IFERROR(IF([2]对账明细接口!$B$255=0,"",[2]对账明细接口!$B$255),"")</f>
        <v>46255</v>
      </c>
      <c r="C255" s="59" t="str">
        <f aca="false">IFERROR(IF([2]对账明细接口!$C$255=0,"",[2]对账明细接口!$C$255),"")</f>
        <v>聂新平</v>
      </c>
      <c r="D255" s="59" t="str">
        <f aca="false">IFERROR(IF([2]对账明细接口!$D$255=0,"",[2]对账明细接口!$D$255),"")</f>
        <v>原料出库－原筐出库</v>
      </c>
      <c r="E255" s="59" t="str">
        <f aca="false">IFERROR(IF([2]对账明细接口!$E$255=0,"",[2]对账明细接口!$E$255),"")</f>
        <v>NO:0001023</v>
      </c>
      <c r="F255" s="59" t="str">
        <f aca="false">IFERROR(IF([2]对账明细接口!$F$255=0,"",[2]对账明细接口!$F$255),"")</f>
        <v>西梅</v>
      </c>
      <c r="G255" s="59" t="str">
        <f aca="false">IFERROR(IF([2]对账明细接口!$G$255=0,"",[2]对账明细接口!$G$255),"")</f>
        <v>西梅一级</v>
      </c>
      <c r="H255" s="60" t="n">
        <f aca="false">IFERROR(IF([2]对账明细接口!$H$255=0,"",[2]对账明细接口!$H$255),"")</f>
        <v>216</v>
      </c>
      <c r="I255" s="59" t="str">
        <f aca="false">IFERROR(IF([2]对账明细接口!$I$255=0,"",[2]对账明细接口!$I$255),"")</f>
        <v>筐</v>
      </c>
      <c r="J255" s="61" t="n">
        <f aca="false">IFERROR(IF([2]对账明细接口!$J$255=0,"",[2]对账明细接口!$J$255),"")</f>
        <v>1512</v>
      </c>
      <c r="K255" s="61" t="str">
        <f aca="false">IFERROR(IF([2]对账明细接口!$K$255=0,"",[2]对账明细接口!$K$255),"")</f>
        <v/>
      </c>
      <c r="L255" s="59" t="str">
        <f aca="false">IFERROR(IF([2]对账明细接口!$L$255=0,"",[2]对账明细接口!$L$255),"")</f>
        <v/>
      </c>
      <c r="M255" s="59" t="str">
        <f aca="false">IFERROR(IF([2]对账明细接口!$M$255=0,"",[2]对账明细接口!$M$255),"")</f>
        <v/>
      </c>
      <c r="N255" s="111" t="n">
        <f aca="false">IF($C255="",0,1)</f>
        <v>1</v>
      </c>
      <c r="O255" s="111" t="n">
        <f aca="false">N(O254)+$N255</f>
        <v>252</v>
      </c>
      <c r="S255" s="10" t="str">
        <f aca="false">IFERROR(IF([2]对账明细接口!$N255=0,"",[2]对账明细接口!$N255),"")</f>
        <v>自备一次性筐</v>
      </c>
      <c r="T255" s="112" t="n">
        <f aca="false">IFERROR(IF([2]对账明细接口!$O255=0,"",[2]对账明细接口!$O255),"")</f>
        <v>216</v>
      </c>
      <c r="U255" s="112" t="str">
        <f aca="false">IFERROR(IF([2]对账明细接口!$P255=0,"",[2]对账明细接口!$P255),"")</f>
        <v/>
      </c>
      <c r="V255" s="112" t="str">
        <f aca="false">IFERROR(IF([2]对账明细接口!$Q255=0,"",[2]对账明细接口!$Q255),"")</f>
        <v/>
      </c>
      <c r="W255" s="10" t="str">
        <f aca="false">IFERROR(IF([2]对账明细接口!$R255=0,"",[2]对账明细接口!$R255),"")</f>
        <v>晋M*H8582</v>
      </c>
      <c r="X255" s="10" t="str">
        <f aca="false">IFERROR(IF([2]对账明细接口!$S255=0,"",[2]对账明细接口!$S255),"")</f>
        <v>自备筐</v>
      </c>
      <c r="Y255" s="10" t="str">
        <f aca="false">IFERROR(IF([2]对账明细接口!$T255=0,"",[2]对账明细接口!$T255),"")</f>
        <v/>
      </c>
      <c r="Z255" s="113" t="str">
        <f aca="false">IFERROR(IF([2]对账明细接口!$U255=0,"",[2]对账明细接口!$U255),"")</f>
        <v/>
      </c>
      <c r="AA255" s="113" t="str">
        <f aca="false">IFERROR(IF([2]对账明细接口!$V255=0,"",[2]对账明细接口!$V255),"")</f>
        <v/>
      </c>
      <c r="AB255" s="10" t="str">
        <f aca="false">IFERROR(IF([2]对账明细接口!$W255=0,"",[2]对账明细接口!$W255),"")</f>
        <v/>
      </c>
      <c r="AC255" s="90" t="str">
        <f aca="false">IFERROR(IF([2]对账明细接口!$X256=0,"",[2]对账明细接口!$X256),"")</f>
        <v/>
      </c>
      <c r="AD255" s="90" t="str">
        <f aca="false">IFERROR(IF([2]对账明细接口!$Y256=0,"",[2]对账明细接口!$Y256),"")</f>
        <v/>
      </c>
      <c r="AE255" s="90" t="str">
        <f aca="false">IFERROR(IF([2]对账明细接口!$AA256=0,"",[2]对账明细接口!$AA256),"")</f>
        <v/>
      </c>
      <c r="AF255" s="90" t="str">
        <f aca="false">IFERROR(IF([2]对账明细接口!$AB256=0,"",[2]对账明细接口!$AB256),"")</f>
        <v/>
      </c>
      <c r="AG255" s="90" t="str">
        <f aca="false">IFERROR(IF([2]对账明细接口!$AC256=0,"",[2]对账明细接口!$AC256),"")</f>
        <v/>
      </c>
      <c r="AH255" s="90" t="str">
        <f aca="false">IFERROR(IF([2]对账明细接口!$AD256=0,"",[2]对账明细接口!$AD256),"")</f>
        <v/>
      </c>
    </row>
    <row r="256" customFormat="false" ht="13.5" hidden="false" customHeight="false" outlineLevel="0" collapsed="false">
      <c r="A256" s="109" t="n">
        <v>256</v>
      </c>
      <c r="B256" s="110" t="n">
        <f aca="false">IFERROR(IF([2]对账明细接口!$B$256=0,"",[2]对账明细接口!$B$256),"")</f>
        <v>46255</v>
      </c>
      <c r="C256" s="59" t="str">
        <f aca="false">IFERROR(IF([2]对账明细接口!$C$256=0,"",[2]对账明细接口!$C$256),"")</f>
        <v>聂新平</v>
      </c>
      <c r="D256" s="59" t="str">
        <f aca="false">IFERROR(IF([2]对账明细接口!$D$256=0,"",[2]对账明细接口!$D$256),"")</f>
        <v>原料出库－原筐出库</v>
      </c>
      <c r="E256" s="59" t="str">
        <f aca="false">IFERROR(IF([2]对账明细接口!$E$256=0,"",[2]对账明细接口!$E$256),"")</f>
        <v>NO:0001023</v>
      </c>
      <c r="F256" s="59" t="str">
        <f aca="false">IFERROR(IF([2]对账明细接口!$F$256=0,"",[2]对账明细接口!$F$256),"")</f>
        <v>西梅</v>
      </c>
      <c r="G256" s="59" t="str">
        <f aca="false">IFERROR(IF([2]对账明细接口!$G$256=0,"",[2]对账明细接口!$G$256),"")</f>
        <v>西梅二级</v>
      </c>
      <c r="H256" s="60" t="n">
        <f aca="false">IFERROR(IF([2]对账明细接口!$H$256=0,"",[2]对账明细接口!$H$256),"")</f>
        <v>132</v>
      </c>
      <c r="I256" s="59" t="str">
        <f aca="false">IFERROR(IF([2]对账明细接口!$I$256=0,"",[2]对账明细接口!$I$256),"")</f>
        <v>筐</v>
      </c>
      <c r="J256" s="61" t="n">
        <f aca="false">IFERROR(IF([2]对账明细接口!$J$256=0,"",[2]对账明细接口!$J$256),"")</f>
        <v>1188</v>
      </c>
      <c r="K256" s="61" t="str">
        <f aca="false">IFERROR(IF([2]对账明细接口!$K$256=0,"",[2]对账明细接口!$K$256),"")</f>
        <v/>
      </c>
      <c r="L256" s="59" t="str">
        <f aca="false">IFERROR(IF([2]对账明细接口!$L$256=0,"",[2]对账明细接口!$L$256),"")</f>
        <v/>
      </c>
      <c r="M256" s="59" t="str">
        <f aca="false">IFERROR(IF([2]对账明细接口!$M$256=0,"",[2]对账明细接口!$M$256),"")</f>
        <v/>
      </c>
      <c r="N256" s="111" t="n">
        <f aca="false">IF($C256="",0,1)</f>
        <v>1</v>
      </c>
      <c r="O256" s="111" t="n">
        <f aca="false">N(O255)+$N256</f>
        <v>253</v>
      </c>
      <c r="S256" s="10" t="str">
        <f aca="false">IFERROR(IF([2]对账明细接口!$N256=0,"",[2]对账明细接口!$N256),"")</f>
        <v>自备一次性筐</v>
      </c>
      <c r="T256" s="112" t="n">
        <f aca="false">IFERROR(IF([2]对账明细接口!$O256=0,"",[2]对账明细接口!$O256),"")</f>
        <v>132</v>
      </c>
      <c r="U256" s="112" t="str">
        <f aca="false">IFERROR(IF([2]对账明细接口!$P256=0,"",[2]对账明细接口!$P256),"")</f>
        <v/>
      </c>
      <c r="V256" s="112" t="str">
        <f aca="false">IFERROR(IF([2]对账明细接口!$Q256=0,"",[2]对账明细接口!$Q256),"")</f>
        <v/>
      </c>
      <c r="W256" s="10" t="str">
        <f aca="false">IFERROR(IF([2]对账明细接口!$R256=0,"",[2]对账明细接口!$R256),"")</f>
        <v>晋M*H8582</v>
      </c>
      <c r="X256" s="10" t="str">
        <f aca="false">IFERROR(IF([2]对账明细接口!$S256=0,"",[2]对账明细接口!$S256),"")</f>
        <v>自备筐</v>
      </c>
      <c r="Y256" s="10" t="str">
        <f aca="false">IFERROR(IF([2]对账明细接口!$T256=0,"",[2]对账明细接口!$T256),"")</f>
        <v/>
      </c>
      <c r="Z256" s="113" t="str">
        <f aca="false">IFERROR(IF([2]对账明细接口!$U256=0,"",[2]对账明细接口!$U256),"")</f>
        <v/>
      </c>
      <c r="AA256" s="113" t="str">
        <f aca="false">IFERROR(IF([2]对账明细接口!$V256=0,"",[2]对账明细接口!$V256),"")</f>
        <v/>
      </c>
      <c r="AB256" s="10" t="str">
        <f aca="false">IFERROR(IF([2]对账明细接口!$W256=0,"",[2]对账明细接口!$W256),"")</f>
        <v/>
      </c>
      <c r="AC256" s="90" t="str">
        <f aca="false">IFERROR(IF([2]对账明细接口!$X257=0,"",[2]对账明细接口!$X257),"")</f>
        <v/>
      </c>
      <c r="AD256" s="90" t="str">
        <f aca="false">IFERROR(IF([2]对账明细接口!$Y257=0,"",[2]对账明细接口!$Y257),"")</f>
        <v/>
      </c>
      <c r="AE256" s="90" t="str">
        <f aca="false">IFERROR(IF([2]对账明细接口!$AA257=0,"",[2]对账明细接口!$AA257),"")</f>
        <v/>
      </c>
      <c r="AF256" s="90" t="str">
        <f aca="false">IFERROR(IF([2]对账明细接口!$AB257=0,"",[2]对账明细接口!$AB257),"")</f>
        <v/>
      </c>
      <c r="AG256" s="90" t="str">
        <f aca="false">IFERROR(IF([2]对账明细接口!$AC257=0,"",[2]对账明细接口!$AC257),"")</f>
        <v/>
      </c>
      <c r="AH256" s="90" t="str">
        <f aca="false">IFERROR(IF([2]对账明细接口!$AD257=0,"",[2]对账明细接口!$AD257),"")</f>
        <v/>
      </c>
    </row>
    <row r="257" customFormat="false" ht="13.5" hidden="false" customHeight="false" outlineLevel="0" collapsed="false">
      <c r="A257" s="109" t="n">
        <v>257</v>
      </c>
      <c r="B257" s="110" t="n">
        <f aca="false">IFERROR(IF([2]对账明细接口!$B$257=0,"",[2]对账明细接口!$B$257),"")</f>
        <v>46263</v>
      </c>
      <c r="C257" s="59" t="str">
        <f aca="false">IFERROR(IF([2]对账明细接口!$C$257=0,"",[2]对账明细接口!$C$257),"")</f>
        <v>聂新平</v>
      </c>
      <c r="D257" s="59" t="str">
        <f aca="false">IFERROR(IF([2]对账明细接口!$D$257=0,"",[2]对账明细接口!$D$257),"")</f>
        <v>原料出库－原筐出库</v>
      </c>
      <c r="E257" s="59" t="str">
        <f aca="false">IFERROR(IF([2]对账明细接口!$E$257=0,"",[2]对账明细接口!$E$257),"")</f>
        <v>NO:0001049</v>
      </c>
      <c r="F257" s="59" t="str">
        <f aca="false">IFERROR(IF([2]对账明细接口!$F$257=0,"",[2]对账明细接口!$F$257),"")</f>
        <v>西梅</v>
      </c>
      <c r="G257" s="59" t="str">
        <f aca="false">IFERROR(IF([2]对账明细接口!$G$257=0,"",[2]对账明细接口!$G$257),"")</f>
        <v>西梅一级</v>
      </c>
      <c r="H257" s="60" t="n">
        <f aca="false">IFERROR(IF([2]对账明细接口!$H$257=0,"",[2]对账明细接口!$H$257),"")</f>
        <v>773</v>
      </c>
      <c r="I257" s="59" t="str">
        <f aca="false">IFERROR(IF([2]对账明细接口!$I$257=0,"",[2]对账明细接口!$I$257),"")</f>
        <v>筐</v>
      </c>
      <c r="J257" s="61" t="n">
        <f aca="false">IFERROR(IF([2]对账明细接口!$J$257=0,"",[2]对账明细接口!$J$257),"")</f>
        <v>5411</v>
      </c>
      <c r="K257" s="61" t="str">
        <f aca="false">IFERROR(IF([2]对账明细接口!$K$257=0,"",[2]对账明细接口!$K$257),"")</f>
        <v/>
      </c>
      <c r="L257" s="59" t="str">
        <f aca="false">IFERROR(IF([2]对账明细接口!$L$257=0,"",[2]对账明细接口!$L$257),"")</f>
        <v/>
      </c>
      <c r="M257" s="59" t="str">
        <f aca="false">IFERROR(IF([2]对账明细接口!$M$257=0,"",[2]对账明细接口!$M$257),"")</f>
        <v/>
      </c>
      <c r="N257" s="111" t="n">
        <f aca="false">IF($C257="",0,1)</f>
        <v>1</v>
      </c>
      <c r="O257" s="111" t="n">
        <f aca="false">N(O256)+$N257</f>
        <v>254</v>
      </c>
      <c r="S257" s="10" t="str">
        <f aca="false">IFERROR(IF([2]对账明细接口!$N257=0,"",[2]对账明细接口!$N257),"")</f>
        <v>自备一次性筐</v>
      </c>
      <c r="T257" s="112" t="n">
        <f aca="false">IFERROR(IF([2]对账明细接口!$O257=0,"",[2]对账明细接口!$O257),"")</f>
        <v>773</v>
      </c>
      <c r="U257" s="112" t="str">
        <f aca="false">IFERROR(IF([2]对账明细接口!$P257=0,"",[2]对账明细接口!$P257),"")</f>
        <v/>
      </c>
      <c r="V257" s="112" t="str">
        <f aca="false">IFERROR(IF([2]对账明细接口!$Q257=0,"",[2]对账明细接口!$Q257),"")</f>
        <v/>
      </c>
      <c r="W257" s="10" t="str">
        <f aca="false">IFERROR(IF([2]对账明细接口!$R257=0,"",[2]对账明细接口!$R257),"")</f>
        <v>鲁G*BJ206</v>
      </c>
      <c r="X257" s="10" t="str">
        <f aca="false">IFERROR(IF([2]对账明细接口!$S257=0,"",[2]对账明细接口!$S257),"")</f>
        <v>自备筐</v>
      </c>
      <c r="Y257" s="10" t="str">
        <f aca="false">IFERROR(IF([2]对账明细接口!$T257=0,"",[2]对账明细接口!$T257),"")</f>
        <v/>
      </c>
      <c r="Z257" s="113" t="str">
        <f aca="false">IFERROR(IF([2]对账明细接口!$U257=0,"",[2]对账明细接口!$U257),"")</f>
        <v/>
      </c>
      <c r="AA257" s="113" t="str">
        <f aca="false">IFERROR(IF([2]对账明细接口!$V257=0,"",[2]对账明细接口!$V257),"")</f>
        <v/>
      </c>
      <c r="AB257" s="10" t="str">
        <f aca="false">IFERROR(IF([2]对账明细接口!$W257=0,"",[2]对账明细接口!$W257),"")</f>
        <v/>
      </c>
      <c r="AC257" s="90" t="str">
        <f aca="false">IFERROR(IF([2]对账明细接口!$X258=0,"",[2]对账明细接口!$X258),"")</f>
        <v/>
      </c>
      <c r="AD257" s="90" t="str">
        <f aca="false">IFERROR(IF([2]对账明细接口!$Y258=0,"",[2]对账明细接口!$Y258),"")</f>
        <v/>
      </c>
      <c r="AE257" s="90" t="str">
        <f aca="false">IFERROR(IF([2]对账明细接口!$AA258=0,"",[2]对账明细接口!$AA258),"")</f>
        <v/>
      </c>
      <c r="AF257" s="90" t="str">
        <f aca="false">IFERROR(IF([2]对账明细接口!$AB258=0,"",[2]对账明细接口!$AB258),"")</f>
        <v/>
      </c>
      <c r="AG257" s="90" t="str">
        <f aca="false">IFERROR(IF([2]对账明细接口!$AC258=0,"",[2]对账明细接口!$AC258),"")</f>
        <v/>
      </c>
      <c r="AH257" s="90" t="str">
        <f aca="false">IFERROR(IF([2]对账明细接口!$AD258=0,"",[2]对账明细接口!$AD258),"")</f>
        <v/>
      </c>
    </row>
    <row r="258" customFormat="false" ht="13.5" hidden="false" customHeight="false" outlineLevel="0" collapsed="false">
      <c r="A258" s="109" t="n">
        <v>258</v>
      </c>
      <c r="B258" s="110" t="n">
        <f aca="false">IFERROR(IF([2]对账明细接口!$B$258=0,"",[2]对账明细接口!$B$258),"")</f>
        <v>46263</v>
      </c>
      <c r="C258" s="59" t="str">
        <f aca="false">IFERROR(IF([2]对账明细接口!$C$258=0,"",[2]对账明细接口!$C$258),"")</f>
        <v>聂新平</v>
      </c>
      <c r="D258" s="59" t="str">
        <f aca="false">IFERROR(IF([2]对账明细接口!$D$258=0,"",[2]对账明细接口!$D$258),"")</f>
        <v>原料出库－原筐出库</v>
      </c>
      <c r="E258" s="59" t="str">
        <f aca="false">IFERROR(IF([2]对账明细接口!$E$258=0,"",[2]对账明细接口!$E$258),"")</f>
        <v>NO:0001049</v>
      </c>
      <c r="F258" s="59" t="str">
        <f aca="false">IFERROR(IF([2]对账明细接口!$F$258=0,"",[2]对账明细接口!$F$258),"")</f>
        <v>西梅</v>
      </c>
      <c r="G258" s="59" t="str">
        <f aca="false">IFERROR(IF([2]对账明细接口!$G$258=0,"",[2]对账明细接口!$G$258),"")</f>
        <v>西梅二级</v>
      </c>
      <c r="H258" s="60" t="n">
        <f aca="false">IFERROR(IF([2]对账明细接口!$H$258=0,"",[2]对账明细接口!$H$258),"")</f>
        <v>423</v>
      </c>
      <c r="I258" s="59" t="str">
        <f aca="false">IFERROR(IF([2]对账明细接口!$I$258=0,"",[2]对账明细接口!$I$258),"")</f>
        <v>筐</v>
      </c>
      <c r="J258" s="61" t="n">
        <f aca="false">IFERROR(IF([2]对账明细接口!$J$258=0,"",[2]对账明细接口!$J$258),"")</f>
        <v>5076</v>
      </c>
      <c r="K258" s="61" t="str">
        <f aca="false">IFERROR(IF([2]对账明细接口!$K$258=0,"",[2]对账明细接口!$K$258),"")</f>
        <v/>
      </c>
      <c r="L258" s="59" t="str">
        <f aca="false">IFERROR(IF([2]对账明细接口!$L$258=0,"",[2]对账明细接口!$L$258),"")</f>
        <v/>
      </c>
      <c r="M258" s="59" t="str">
        <f aca="false">IFERROR(IF([2]对账明细接口!$M$258=0,"",[2]对账明细接口!$M$258),"")</f>
        <v/>
      </c>
      <c r="N258" s="111" t="n">
        <f aca="false">IF($C258="",0,1)</f>
        <v>1</v>
      </c>
      <c r="O258" s="111" t="n">
        <f aca="false">N(O257)+$N258</f>
        <v>255</v>
      </c>
      <c r="S258" s="10" t="str">
        <f aca="false">IFERROR(IF([2]对账明细接口!$N258=0,"",[2]对账明细接口!$N258),"")</f>
        <v>自备一次性筐</v>
      </c>
      <c r="T258" s="112" t="n">
        <f aca="false">IFERROR(IF([2]对账明细接口!$O258=0,"",[2]对账明细接口!$O258),"")</f>
        <v>423</v>
      </c>
      <c r="U258" s="112" t="str">
        <f aca="false">IFERROR(IF([2]对账明细接口!$P258=0,"",[2]对账明细接口!$P258),"")</f>
        <v/>
      </c>
      <c r="V258" s="112" t="str">
        <f aca="false">IFERROR(IF([2]对账明细接口!$Q258=0,"",[2]对账明细接口!$Q258),"")</f>
        <v/>
      </c>
      <c r="W258" s="10" t="str">
        <f aca="false">IFERROR(IF([2]对账明细接口!$R258=0,"",[2]对账明细接口!$R258),"")</f>
        <v>鲁G*BJ206</v>
      </c>
      <c r="X258" s="10" t="str">
        <f aca="false">IFERROR(IF([2]对账明细接口!$S258=0,"",[2]对账明细接口!$S258),"")</f>
        <v>自备筐</v>
      </c>
      <c r="Y258" s="10" t="str">
        <f aca="false">IFERROR(IF([2]对账明细接口!$T258=0,"",[2]对账明细接口!$T258),"")</f>
        <v/>
      </c>
      <c r="Z258" s="113" t="str">
        <f aca="false">IFERROR(IF([2]对账明细接口!$U258=0,"",[2]对账明细接口!$U258),"")</f>
        <v/>
      </c>
      <c r="AA258" s="113" t="str">
        <f aca="false">IFERROR(IF([2]对账明细接口!$V258=0,"",[2]对账明细接口!$V258),"")</f>
        <v/>
      </c>
      <c r="AB258" s="10" t="str">
        <f aca="false">IFERROR(IF([2]对账明细接口!$W258=0,"",[2]对账明细接口!$W258),"")</f>
        <v/>
      </c>
      <c r="AC258" s="90" t="str">
        <f aca="false">IFERROR(IF([2]对账明细接口!$X259=0,"",[2]对账明细接口!$X259),"")</f>
        <v/>
      </c>
      <c r="AD258" s="90" t="str">
        <f aca="false">IFERROR(IF([2]对账明细接口!$Y259=0,"",[2]对账明细接口!$Y259),"")</f>
        <v/>
      </c>
      <c r="AE258" s="90" t="str">
        <f aca="false">IFERROR(IF([2]对账明细接口!$AA259=0,"",[2]对账明细接口!$AA259),"")</f>
        <v/>
      </c>
      <c r="AF258" s="90" t="str">
        <f aca="false">IFERROR(IF([2]对账明细接口!$AB259=0,"",[2]对账明细接口!$AB259),"")</f>
        <v/>
      </c>
      <c r="AG258" s="90" t="str">
        <f aca="false">IFERROR(IF([2]对账明细接口!$AC259=0,"",[2]对账明细接口!$AC259),"")</f>
        <v/>
      </c>
      <c r="AH258" s="90" t="str">
        <f aca="false">IFERROR(IF([2]对账明细接口!$AD259=0,"",[2]对账明细接口!$AD259),"")</f>
        <v/>
      </c>
    </row>
    <row r="259" customFormat="false" ht="13.5" hidden="false" customHeight="false" outlineLevel="0" collapsed="false">
      <c r="A259" s="109" t="n">
        <v>259</v>
      </c>
      <c r="B259" s="110" t="n">
        <f aca="false">IFERROR(IF([2]对账明细接口!$B$259=0,"",[2]对账明细接口!$B$259),"")</f>
        <v>46272</v>
      </c>
      <c r="C259" s="59" t="str">
        <f aca="false">IFERROR(IF([2]对账明细接口!$C$259=0,"",[2]对账明细接口!$C$259),"")</f>
        <v>王照雪</v>
      </c>
      <c r="D259" s="59" t="str">
        <f aca="false">IFERROR(IF([2]对账明细接口!$D$259=0,"",[2]对账明细接口!$D$259),"")</f>
        <v>原料出库－原筐出库</v>
      </c>
      <c r="E259" s="59" t="str">
        <f aca="false">IFERROR(IF([2]对账明细接口!$E$259=0,"",[2]对账明细接口!$E$259),"")</f>
        <v>NO:0001091</v>
      </c>
      <c r="F259" s="59" t="str">
        <f aca="false">IFERROR(IF([2]对账明细接口!$F$259=0,"",[2]对账明细接口!$F$259),"")</f>
        <v>李子</v>
      </c>
      <c r="G259" s="59" t="str">
        <f aca="false">IFERROR(IF([2]对账明细接口!$G$259=0,"",[2]对账明细接口!$G$259),"")</f>
        <v>樱桃李</v>
      </c>
      <c r="H259" s="60" t="n">
        <f aca="false">IFERROR(IF([2]对账明细接口!$H$259=0,"",[2]对账明细接口!$H$259),"")</f>
        <v>19</v>
      </c>
      <c r="I259" s="59" t="str">
        <f aca="false">IFERROR(IF([2]对账明细接口!$I$259=0,"",[2]对账明细接口!$I$259),"")</f>
        <v>筐</v>
      </c>
      <c r="J259" s="61" t="n">
        <f aca="false">IFERROR(IF([2]对账明细接口!$J$259=0,"",[2]对账明细接口!$J$259),"")</f>
        <v>309.7</v>
      </c>
      <c r="K259" s="61" t="str">
        <f aca="false">IFERROR(IF([2]对账明细接口!$K$259=0,"",[2]对账明细接口!$K$259),"")</f>
        <v/>
      </c>
      <c r="L259" s="59" t="str">
        <f aca="false">IFERROR(IF([2]对账明细接口!$L$259=0,"",[2]对账明细接口!$L$259),"")</f>
        <v/>
      </c>
      <c r="M259" s="59" t="str">
        <f aca="false">IFERROR(IF([2]对账明细接口!$M$259=0,"",[2]对账明细接口!$M$259),"")</f>
        <v>樱桃李全部出库</v>
      </c>
      <c r="N259" s="111" t="n">
        <f aca="false">IF($C259="",0,1)</f>
        <v>1</v>
      </c>
      <c r="O259" s="111" t="n">
        <f aca="false">N(O258)+$N259</f>
        <v>256</v>
      </c>
      <c r="S259" s="10" t="str">
        <f aca="false">IFERROR(IF([2]对账明细接口!$N259=0,"",[2]对账明细接口!$N259),"")</f>
        <v>自备一次性筐</v>
      </c>
      <c r="T259" s="112" t="n">
        <f aca="false">IFERROR(IF([2]对账明细接口!$O259=0,"",[2]对账明细接口!$O259),"")</f>
        <v>19</v>
      </c>
      <c r="U259" s="112" t="str">
        <f aca="false">IFERROR(IF([2]对账明细接口!$P259=0,"",[2]对账明细接口!$P259),"")</f>
        <v/>
      </c>
      <c r="V259" s="112" t="str">
        <f aca="false">IFERROR(IF([2]对账明细接口!$Q259=0,"",[2]对账明细接口!$Q259),"")</f>
        <v/>
      </c>
      <c r="W259" s="10" t="str">
        <f aca="false">IFERROR(IF([2]对账明细接口!$R259=0,"",[2]对账明细接口!$R259),"")</f>
        <v>自提</v>
      </c>
      <c r="X259" s="10" t="str">
        <f aca="false">IFERROR(IF([2]对账明细接口!$S259=0,"",[2]对账明细接口!$S259),"")</f>
        <v>自备筐</v>
      </c>
      <c r="Y259" s="10" t="str">
        <f aca="false">IFERROR(IF([2]对账明细接口!$T259=0,"",[2]对账明细接口!$T259),"")</f>
        <v/>
      </c>
      <c r="Z259" s="113" t="str">
        <f aca="false">IFERROR(IF([2]对账明细接口!$U259=0,"",[2]对账明细接口!$U259),"")</f>
        <v/>
      </c>
      <c r="AA259" s="113" t="str">
        <f aca="false">IFERROR(IF([2]对账明细接口!$V259=0,"",[2]对账明细接口!$V259),"")</f>
        <v/>
      </c>
      <c r="AB259" s="10" t="str">
        <f aca="false">IFERROR(IF([2]对账明细接口!$W259=0,"",[2]对账明细接口!$W259),"")</f>
        <v/>
      </c>
      <c r="AC259" s="90" t="str">
        <f aca="false">IFERROR(IF([2]对账明细接口!$X260=0,"",[2]对账明细接口!$X260),"")</f>
        <v/>
      </c>
      <c r="AD259" s="90" t="str">
        <f aca="false">IFERROR(IF([2]对账明细接口!$Y260=0,"",[2]对账明细接口!$Y260),"")</f>
        <v/>
      </c>
      <c r="AE259" s="90" t="str">
        <f aca="false">IFERROR(IF([2]对账明细接口!$AA260=0,"",[2]对账明细接口!$AA260),"")</f>
        <v/>
      </c>
      <c r="AF259" s="90" t="str">
        <f aca="false">IFERROR(IF([2]对账明细接口!$AB260=0,"",[2]对账明细接口!$AB260),"")</f>
        <v/>
      </c>
      <c r="AG259" s="90" t="str">
        <f aca="false">IFERROR(IF([2]对账明细接口!$AC260=0,"",[2]对账明细接口!$AC260),"")</f>
        <v/>
      </c>
      <c r="AH259" s="90" t="str">
        <f aca="false">IFERROR(IF([2]对账明细接口!$AD260=0,"",[2]对账明细接口!$AD260),"")</f>
        <v/>
      </c>
    </row>
    <row r="260" customFormat="false" ht="13.5" hidden="false" customHeight="false" outlineLevel="0" collapsed="false">
      <c r="A260" s="109" t="n">
        <v>260</v>
      </c>
      <c r="B260" s="110" t="n">
        <f aca="false">IFERROR(IF([2]对账明细接口!$B$260=0,"",[2]对账明细接口!$B$260),"")</f>
        <v>46273</v>
      </c>
      <c r="C260" s="59" t="str">
        <f aca="false">IFERROR(IF([2]对账明细接口!$C$260=0,"",[2]对账明细接口!$C$260),"")</f>
        <v>聂新平</v>
      </c>
      <c r="D260" s="59" t="str">
        <f aca="false">IFERROR(IF([2]对账明细接口!$D$260=0,"",[2]对账明细接口!$D$260),"")</f>
        <v>原料出库－原筐出库</v>
      </c>
      <c r="E260" s="59" t="str">
        <f aca="false">IFERROR(IF([2]对账明细接口!$E$260=0,"",[2]对账明细接口!$E$260),"")</f>
        <v>NO:0001096</v>
      </c>
      <c r="F260" s="59" t="str">
        <f aca="false">IFERROR(IF([2]对账明细接口!$F$260=0,"",[2]对账明细接口!$F$260),"")</f>
        <v>西梅</v>
      </c>
      <c r="G260" s="59" t="str">
        <f aca="false">IFERROR(IF([2]对账明细接口!$G$260=0,"",[2]对账明细接口!$G$260),"")</f>
        <v>西梅二级</v>
      </c>
      <c r="H260" s="60" t="n">
        <f aca="false">IFERROR(IF([2]对账明细接口!$H$260=0,"",[2]对账明细接口!$H$260),"")</f>
        <v>64</v>
      </c>
      <c r="I260" s="59" t="str">
        <f aca="false">IFERROR(IF([2]对账明细接口!$I$260=0,"",[2]对账明细接口!$I$260),"")</f>
        <v>筐</v>
      </c>
      <c r="J260" s="61" t="n">
        <f aca="false">IFERROR(IF([2]对账明细接口!$J$260=0,"",[2]对账明细接口!$J$260),"")</f>
        <v>576</v>
      </c>
      <c r="K260" s="61" t="str">
        <f aca="false">IFERROR(IF([2]对账明细接口!$K$260=0,"",[2]对账明细接口!$K$260),"")</f>
        <v/>
      </c>
      <c r="L260" s="59" t="str">
        <f aca="false">IFERROR(IF([2]对账明细接口!$L$260=0,"",[2]对账明细接口!$L$260),"")</f>
        <v/>
      </c>
      <c r="M260" s="59" t="str">
        <f aca="false">IFERROR(IF([2]对账明细接口!$M$260=0,"",[2]对账明细接口!$M$260),"")</f>
        <v/>
      </c>
      <c r="N260" s="111" t="n">
        <f aca="false">IF($C260="",0,1)</f>
        <v>1</v>
      </c>
      <c r="O260" s="111" t="n">
        <f aca="false">N(O259)+$N260</f>
        <v>257</v>
      </c>
      <c r="S260" s="10" t="str">
        <f aca="false">IFERROR(IF([2]对账明细接口!$N260=0,"",[2]对账明细接口!$N260),"")</f>
        <v>自备一次性筐</v>
      </c>
      <c r="T260" s="112" t="n">
        <f aca="false">IFERROR(IF([2]对账明细接口!$O260=0,"",[2]对账明细接口!$O260),"")</f>
        <v>64</v>
      </c>
      <c r="U260" s="112" t="str">
        <f aca="false">IFERROR(IF([2]对账明细接口!$P260=0,"",[2]对账明细接口!$P260),"")</f>
        <v/>
      </c>
      <c r="V260" s="112" t="str">
        <f aca="false">IFERROR(IF([2]对账明细接口!$Q260=0,"",[2]对账明细接口!$Q260),"")</f>
        <v/>
      </c>
      <c r="W260" s="10" t="str">
        <f aca="false">IFERROR(IF([2]对账明细接口!$R260=0,"",[2]对账明细接口!$R260),"")</f>
        <v>吉A*ZM856</v>
      </c>
      <c r="X260" s="10" t="str">
        <f aca="false">IFERROR(IF([2]对账明细接口!$S260=0,"",[2]对账明细接口!$S260),"")</f>
        <v>自备筐</v>
      </c>
      <c r="Y260" s="10" t="str">
        <f aca="false">IFERROR(IF([2]对账明细接口!$T260=0,"",[2]对账明细接口!$T260),"")</f>
        <v/>
      </c>
      <c r="Z260" s="113" t="str">
        <f aca="false">IFERROR(IF([2]对账明细接口!$U260=0,"",[2]对账明细接口!$U260),"")</f>
        <v/>
      </c>
      <c r="AA260" s="113" t="str">
        <f aca="false">IFERROR(IF([2]对账明细接口!$V260=0,"",[2]对账明细接口!$V260),"")</f>
        <v/>
      </c>
      <c r="AB260" s="10" t="str">
        <f aca="false">IFERROR(IF([2]对账明细接口!$W260=0,"",[2]对账明细接口!$W260),"")</f>
        <v/>
      </c>
      <c r="AC260" s="90" t="str">
        <f aca="false">IFERROR(IF([2]对账明细接口!$X261=0,"",[2]对账明细接口!$X261),"")</f>
        <v/>
      </c>
      <c r="AD260" s="90" t="str">
        <f aca="false">IFERROR(IF([2]对账明细接口!$Y261=0,"",[2]对账明细接口!$Y261),"")</f>
        <v/>
      </c>
      <c r="AE260" s="90" t="str">
        <f aca="false">IFERROR(IF([2]对账明细接口!$AA261=0,"",[2]对账明细接口!$AA261),"")</f>
        <v/>
      </c>
      <c r="AF260" s="90" t="str">
        <f aca="false">IFERROR(IF([2]对账明细接口!$AB261=0,"",[2]对账明细接口!$AB261),"")</f>
        <v/>
      </c>
      <c r="AG260" s="90" t="str">
        <f aca="false">IFERROR(IF([2]对账明细接口!$AC261=0,"",[2]对账明细接口!$AC261),"")</f>
        <v/>
      </c>
      <c r="AH260" s="90" t="str">
        <f aca="false">IFERROR(IF([2]对账明细接口!$AD261=0,"",[2]对账明细接口!$AD261),"")</f>
        <v/>
      </c>
    </row>
    <row r="261" customFormat="false" ht="13.5" hidden="false" customHeight="false" outlineLevel="0" collapsed="false">
      <c r="A261" s="109" t="n">
        <v>261</v>
      </c>
      <c r="B261" s="110" t="n">
        <f aca="false">IFERROR(IF([2]对账明细接口!$B$261=0,"",[2]对账明细接口!$B$261),"")</f>
        <v>46273</v>
      </c>
      <c r="C261" s="59" t="str">
        <f aca="false">IFERROR(IF([2]对账明细接口!$C$261=0,"",[2]对账明细接口!$C$261),"")</f>
        <v>聂新平</v>
      </c>
      <c r="D261" s="59" t="str">
        <f aca="false">IFERROR(IF([2]对账明细接口!$D$261=0,"",[2]对账明细接口!$D$261),"")</f>
        <v>原料出库－原筐出库</v>
      </c>
      <c r="E261" s="59" t="str">
        <f aca="false">IFERROR(IF([2]对账明细接口!$E$261=0,"",[2]对账明细接口!$E$261),"")</f>
        <v>NO:0001096</v>
      </c>
      <c r="F261" s="59" t="str">
        <f aca="false">IFERROR(IF([2]对账明细接口!$F$261=0,"",[2]对账明细接口!$F$261),"")</f>
        <v>西梅</v>
      </c>
      <c r="G261" s="59" t="str">
        <f aca="false">IFERROR(IF([2]对账明细接口!$G$261=0,"",[2]对账明细接口!$G$261),"")</f>
        <v>西梅一级</v>
      </c>
      <c r="H261" s="60" t="n">
        <f aca="false">IFERROR(IF([2]对账明细接口!$H$261=0,"",[2]对账明细接口!$H$261),"")</f>
        <v>421</v>
      </c>
      <c r="I261" s="59" t="str">
        <f aca="false">IFERROR(IF([2]对账明细接口!$I$261=0,"",[2]对账明细接口!$I$261),"")</f>
        <v>筐</v>
      </c>
      <c r="J261" s="61" t="n">
        <f aca="false">IFERROR(IF([2]对账明细接口!$J$261=0,"",[2]对账明细接口!$J$261),"")</f>
        <v>2947</v>
      </c>
      <c r="K261" s="61" t="str">
        <f aca="false">IFERROR(IF([2]对账明细接口!$K$261=0,"",[2]对账明细接口!$K$261),"")</f>
        <v/>
      </c>
      <c r="L261" s="59" t="str">
        <f aca="false">IFERROR(IF([2]对账明细接口!$L$261=0,"",[2]对账明细接口!$L$261),"")</f>
        <v/>
      </c>
      <c r="M261" s="59" t="str">
        <f aca="false">IFERROR(IF([2]对账明细接口!$M$261=0,"",[2]对账明细接口!$M$261),"")</f>
        <v/>
      </c>
      <c r="N261" s="111" t="n">
        <f aca="false">IF($C261="",0,1)</f>
        <v>1</v>
      </c>
      <c r="O261" s="111" t="n">
        <f aca="false">N(O260)+$N261</f>
        <v>258</v>
      </c>
      <c r="S261" s="10" t="str">
        <f aca="false">IFERROR(IF([2]对账明细接口!$N261=0,"",[2]对账明细接口!$N261),"")</f>
        <v>自备一次性筐</v>
      </c>
      <c r="T261" s="112" t="n">
        <f aca="false">IFERROR(IF([2]对账明细接口!$O261=0,"",[2]对账明细接口!$O261),"")</f>
        <v>421</v>
      </c>
      <c r="U261" s="112" t="str">
        <f aca="false">IFERROR(IF([2]对账明细接口!$P261=0,"",[2]对账明细接口!$P261),"")</f>
        <v/>
      </c>
      <c r="V261" s="112" t="str">
        <f aca="false">IFERROR(IF([2]对账明细接口!$Q261=0,"",[2]对账明细接口!$Q261),"")</f>
        <v/>
      </c>
      <c r="W261" s="10" t="str">
        <f aca="false">IFERROR(IF([2]对账明细接口!$R261=0,"",[2]对账明细接口!$R261),"")</f>
        <v>吉A*ZM856</v>
      </c>
      <c r="X261" s="10" t="str">
        <f aca="false">IFERROR(IF([2]对账明细接口!$S261=0,"",[2]对账明细接口!$S261),"")</f>
        <v>自备筐</v>
      </c>
      <c r="Y261" s="10" t="str">
        <f aca="false">IFERROR(IF([2]对账明细接口!$T261=0,"",[2]对账明细接口!$T261),"")</f>
        <v/>
      </c>
      <c r="Z261" s="113" t="str">
        <f aca="false">IFERROR(IF([2]对账明细接口!$U261=0,"",[2]对账明细接口!$U261),"")</f>
        <v/>
      </c>
      <c r="AA261" s="113" t="str">
        <f aca="false">IFERROR(IF([2]对账明细接口!$V261=0,"",[2]对账明细接口!$V261),"")</f>
        <v/>
      </c>
      <c r="AB261" s="10" t="str">
        <f aca="false">IFERROR(IF([2]对账明细接口!$W261=0,"",[2]对账明细接口!$W261),"")</f>
        <v/>
      </c>
      <c r="AC261" s="90" t="str">
        <f aca="false">IFERROR(IF([2]对账明细接口!$X262=0,"",[2]对账明细接口!$X262),"")</f>
        <v/>
      </c>
      <c r="AD261" s="90" t="str">
        <f aca="false">IFERROR(IF([2]对账明细接口!$Y262=0,"",[2]对账明细接口!$Y262),"")</f>
        <v/>
      </c>
      <c r="AE261" s="90" t="str">
        <f aca="false">IFERROR(IF([2]对账明细接口!$AA262=0,"",[2]对账明细接口!$AA262),"")</f>
        <v/>
      </c>
      <c r="AF261" s="90" t="str">
        <f aca="false">IFERROR(IF([2]对账明细接口!$AB262=0,"",[2]对账明细接口!$AB262),"")</f>
        <v/>
      </c>
      <c r="AG261" s="90" t="str">
        <f aca="false">IFERROR(IF([2]对账明细接口!$AC262=0,"",[2]对账明细接口!$AC262),"")</f>
        <v/>
      </c>
      <c r="AH261" s="90" t="str">
        <f aca="false">IFERROR(IF([2]对账明细接口!$AD262=0,"",[2]对账明细接口!$AD262),"")</f>
        <v/>
      </c>
    </row>
    <row r="262" customFormat="false" ht="13.5" hidden="false" customHeight="false" outlineLevel="0" collapsed="false">
      <c r="A262" s="109" t="n">
        <v>262</v>
      </c>
      <c r="B262" s="110" t="n">
        <f aca="false">IFERROR(IF([2]对账明细接口!$B$262=0,"",[2]对账明细接口!$B$262),"")</f>
        <v>46273</v>
      </c>
      <c r="C262" s="59" t="str">
        <f aca="false">IFERROR(IF([2]对账明细接口!$C$262=0,"",[2]对账明细接口!$C$262),"")</f>
        <v>聂新平</v>
      </c>
      <c r="D262" s="59" t="str">
        <f aca="false">IFERROR(IF([2]对账明细接口!$D$262=0,"",[2]对账明细接口!$D$262),"")</f>
        <v>原料出库－原筐出库</v>
      </c>
      <c r="E262" s="59" t="str">
        <f aca="false">IFERROR(IF([2]对账明细接口!$E$262=0,"",[2]对账明细接口!$E$262),"")</f>
        <v>NO:0001096</v>
      </c>
      <c r="F262" s="59" t="str">
        <f aca="false">IFERROR(IF([2]对账明细接口!$F$262=0,"",[2]对账明细接口!$F$262),"")</f>
        <v>西梅</v>
      </c>
      <c r="G262" s="59" t="str">
        <f aca="false">IFERROR(IF([2]对账明细接口!$G$262=0,"",[2]对账明细接口!$G$262),"")</f>
        <v>西梅二级</v>
      </c>
      <c r="H262" s="60" t="n">
        <f aca="false">IFERROR(IF([2]对账明细接口!$H$262=0,"",[2]对账明细接口!$H$262),"")</f>
        <v>330</v>
      </c>
      <c r="I262" s="59" t="str">
        <f aca="false">IFERROR(IF([2]对账明细接口!$I$262=0,"",[2]对账明细接口!$I$262),"")</f>
        <v>筐</v>
      </c>
      <c r="J262" s="61" t="n">
        <f aca="false">IFERROR(IF([2]对账明细接口!$J$262=0,"",[2]对账明细接口!$J$262),"")</f>
        <v>3960</v>
      </c>
      <c r="K262" s="61" t="str">
        <f aca="false">IFERROR(IF([2]对账明细接口!$K$262=0,"",[2]对账明细接口!$K$262),"")</f>
        <v/>
      </c>
      <c r="L262" s="59" t="str">
        <f aca="false">IFERROR(IF([2]对账明细接口!$L$262=0,"",[2]对账明细接口!$L$262),"")</f>
        <v/>
      </c>
      <c r="M262" s="59" t="str">
        <f aca="false">IFERROR(IF([2]对账明细接口!$M$262=0,"",[2]对账明细接口!$M$262),"")</f>
        <v/>
      </c>
      <c r="N262" s="111" t="n">
        <f aca="false">IF($C262="",0,1)</f>
        <v>1</v>
      </c>
      <c r="O262" s="111" t="n">
        <f aca="false">N(O261)+$N262</f>
        <v>259</v>
      </c>
      <c r="S262" s="10" t="str">
        <f aca="false">IFERROR(IF([2]对账明细接口!$N262=0,"",[2]对账明细接口!$N262),"")</f>
        <v>自备一次性筐</v>
      </c>
      <c r="T262" s="112" t="n">
        <f aca="false">IFERROR(IF([2]对账明细接口!$O262=0,"",[2]对账明细接口!$O262),"")</f>
        <v>330</v>
      </c>
      <c r="U262" s="112" t="str">
        <f aca="false">IFERROR(IF([2]对账明细接口!$P262=0,"",[2]对账明细接口!$P262),"")</f>
        <v/>
      </c>
      <c r="V262" s="112" t="str">
        <f aca="false">IFERROR(IF([2]对账明细接口!$Q262=0,"",[2]对账明细接口!$Q262),"")</f>
        <v/>
      </c>
      <c r="W262" s="10" t="str">
        <f aca="false">IFERROR(IF([2]对账明细接口!$R262=0,"",[2]对账明细接口!$R262),"")</f>
        <v>吉A*ZM856</v>
      </c>
      <c r="X262" s="10" t="str">
        <f aca="false">IFERROR(IF([2]对账明细接口!$S262=0,"",[2]对账明细接口!$S262),"")</f>
        <v>自备筐</v>
      </c>
      <c r="Y262" s="10" t="str">
        <f aca="false">IFERROR(IF([2]对账明细接口!$T262=0,"",[2]对账明细接口!$T262),"")</f>
        <v/>
      </c>
      <c r="Z262" s="113" t="str">
        <f aca="false">IFERROR(IF([2]对账明细接口!$U262=0,"",[2]对账明细接口!$U262),"")</f>
        <v/>
      </c>
      <c r="AA262" s="113" t="str">
        <f aca="false">IFERROR(IF([2]对账明细接口!$V262=0,"",[2]对账明细接口!$V262),"")</f>
        <v/>
      </c>
      <c r="AB262" s="10" t="str">
        <f aca="false">IFERROR(IF([2]对账明细接口!$W262=0,"",[2]对账明细接口!$W262),"")</f>
        <v/>
      </c>
      <c r="AC262" s="90" t="str">
        <f aca="false">IFERROR(IF([2]对账明细接口!$X263=0,"",[2]对账明细接口!$X263),"")</f>
        <v/>
      </c>
      <c r="AD262" s="90" t="str">
        <f aca="false">IFERROR(IF([2]对账明细接口!$Y263=0,"",[2]对账明细接口!$Y263),"")</f>
        <v/>
      </c>
      <c r="AE262" s="90" t="str">
        <f aca="false">IFERROR(IF([2]对账明细接口!$AA263=0,"",[2]对账明细接口!$AA263),"")</f>
        <v/>
      </c>
      <c r="AF262" s="90" t="str">
        <f aca="false">IFERROR(IF([2]对账明细接口!$AB263=0,"",[2]对账明细接口!$AB263),"")</f>
        <v/>
      </c>
      <c r="AG262" s="90" t="str">
        <f aca="false">IFERROR(IF([2]对账明细接口!$AC263=0,"",[2]对账明细接口!$AC263),"")</f>
        <v/>
      </c>
      <c r="AH262" s="90" t="str">
        <f aca="false">IFERROR(IF([2]对账明细接口!$AD263=0,"",[2]对账明细接口!$AD263),"")</f>
        <v/>
      </c>
    </row>
    <row r="263" customFormat="false" ht="13.5" hidden="false" customHeight="false" outlineLevel="0" collapsed="false">
      <c r="A263" s="109" t="n">
        <v>263</v>
      </c>
      <c r="B263" s="110" t="n">
        <f aca="false">IFERROR(IF([2]对账明细接口!$B$263=0,"",[2]对账明细接口!$B$263),"")</f>
        <v>46273</v>
      </c>
      <c r="C263" s="59" t="str">
        <f aca="false">IFERROR(IF([2]对账明细接口!$C$263=0,"",[2]对账明细接口!$C$263),"")</f>
        <v>聂新平</v>
      </c>
      <c r="D263" s="59" t="str">
        <f aca="false">IFERROR(IF([2]对账明细接口!$D$263=0,"",[2]对账明细接口!$D$263),"")</f>
        <v>原料出库－原筐出库</v>
      </c>
      <c r="E263" s="59" t="str">
        <f aca="false">IFERROR(IF([2]对账明细接口!$E$263=0,"",[2]对账明细接口!$E$263),"")</f>
        <v>NO:0001096</v>
      </c>
      <c r="F263" s="59" t="str">
        <f aca="false">IFERROR(IF([2]对账明细接口!$F$263=0,"",[2]对账明细接口!$F$263),"")</f>
        <v>西梅</v>
      </c>
      <c r="G263" s="59" t="str">
        <f aca="false">IFERROR(IF([2]对账明细接口!$G$263=0,"",[2]对账明细接口!$G$263),"")</f>
        <v>西梅二级</v>
      </c>
      <c r="H263" s="60" t="n">
        <f aca="false">IFERROR(IF([2]对账明细接口!$H$263=0,"",[2]对账明细接口!$H$263),"")</f>
        <v>2538</v>
      </c>
      <c r="I263" s="59" t="str">
        <f aca="false">IFERROR(IF([2]对账明细接口!$I$263=0,"",[2]对账明细接口!$I$263),"")</f>
        <v>筐</v>
      </c>
      <c r="J263" s="61" t="n">
        <f aca="false">IFERROR(IF([2]对账明细接口!$J$263=0,"",[2]对账明细接口!$J$263),"")</f>
        <v>5076</v>
      </c>
      <c r="K263" s="61" t="str">
        <f aca="false">IFERROR(IF([2]对账明细接口!$K$263=0,"",[2]对账明细接口!$K$263),"")</f>
        <v/>
      </c>
      <c r="L263" s="59" t="str">
        <f aca="false">IFERROR(IF([2]对账明细接口!$L$263=0,"",[2]对账明细接口!$L$263),"")</f>
        <v/>
      </c>
      <c r="M263" s="59" t="str">
        <f aca="false">IFERROR(IF([2]对账明细接口!$M$263=0,"",[2]对账明细接口!$M$263),"")</f>
        <v/>
      </c>
      <c r="N263" s="111" t="n">
        <f aca="false">IF($C263="",0,1)</f>
        <v>1</v>
      </c>
      <c r="O263" s="111" t="n">
        <f aca="false">N(O262)+$N263</f>
        <v>260</v>
      </c>
      <c r="S263" s="10" t="str">
        <f aca="false">IFERROR(IF([2]对账明细接口!$N263=0,"",[2]对账明细接口!$N263),"")</f>
        <v>自备一次性筐</v>
      </c>
      <c r="T263" s="112" t="n">
        <f aca="false">IFERROR(IF([2]对账明细接口!$O263=0,"",[2]对账明细接口!$O263),"")</f>
        <v>2538</v>
      </c>
      <c r="U263" s="112" t="str">
        <f aca="false">IFERROR(IF([2]对账明细接口!$P263=0,"",[2]对账明细接口!$P263),"")</f>
        <v/>
      </c>
      <c r="V263" s="112" t="str">
        <f aca="false">IFERROR(IF([2]对账明细接口!$Q263=0,"",[2]对账明细接口!$Q263),"")</f>
        <v/>
      </c>
      <c r="W263" s="10" t="str">
        <f aca="false">IFERROR(IF([2]对账明细接口!$R263=0,"",[2]对账明细接口!$R263),"")</f>
        <v>吉A*ZM856</v>
      </c>
      <c r="X263" s="10" t="str">
        <f aca="false">IFERROR(IF([2]对账明细接口!$S263=0,"",[2]对账明细接口!$S263),"")</f>
        <v>自备筐</v>
      </c>
      <c r="Y263" s="10" t="str">
        <f aca="false">IFERROR(IF([2]对账明细接口!$T263=0,"",[2]对账明细接口!$T263),"")</f>
        <v/>
      </c>
      <c r="Z263" s="113" t="str">
        <f aca="false">IFERROR(IF([2]对账明细接口!$U263=0,"",[2]对账明细接口!$U263),"")</f>
        <v/>
      </c>
      <c r="AA263" s="113" t="str">
        <f aca="false">IFERROR(IF([2]对账明细接口!$V263=0,"",[2]对账明细接口!$V263),"")</f>
        <v/>
      </c>
      <c r="AB263" s="10" t="str">
        <f aca="false">IFERROR(IF([2]对账明细接口!$W263=0,"",[2]对账明细接口!$W263),"")</f>
        <v/>
      </c>
      <c r="AC263" s="90" t="str">
        <f aca="false">IFERROR(IF([2]对账明细接口!$X264=0,"",[2]对账明细接口!$X264),"")</f>
        <v/>
      </c>
      <c r="AD263" s="90" t="str">
        <f aca="false">IFERROR(IF([2]对账明细接口!$Y264=0,"",[2]对账明细接口!$Y264),"")</f>
        <v/>
      </c>
      <c r="AE263" s="90" t="str">
        <f aca="false">IFERROR(IF([2]对账明细接口!$AA264=0,"",[2]对账明细接口!$AA264),"")</f>
        <v/>
      </c>
      <c r="AF263" s="90" t="str">
        <f aca="false">IFERROR(IF([2]对账明细接口!$AB264=0,"",[2]对账明细接口!$AB264),"")</f>
        <v/>
      </c>
      <c r="AG263" s="90" t="str">
        <f aca="false">IFERROR(IF([2]对账明细接口!$AC264=0,"",[2]对账明细接口!$AC264),"")</f>
        <v/>
      </c>
      <c r="AH263" s="90" t="str">
        <f aca="false">IFERROR(IF([2]对账明细接口!$AD264=0,"",[2]对账明细接口!$AD264),"")</f>
        <v/>
      </c>
    </row>
    <row r="264" customFormat="false" ht="13.5" hidden="false" customHeight="false" outlineLevel="0" collapsed="false">
      <c r="A264" s="109" t="n">
        <v>264</v>
      </c>
      <c r="B264" s="110" t="n">
        <f aca="false">IFERROR(IF([2]对账明细接口!$B$264=0,"",[2]对账明细接口!$B$264),"")</f>
        <v>46273</v>
      </c>
      <c r="C264" s="59" t="str">
        <f aca="false">IFERROR(IF([2]对账明细接口!$C$264=0,"",[2]对账明细接口!$C$264),"")</f>
        <v>聂新平</v>
      </c>
      <c r="D264" s="59" t="str">
        <f aca="false">IFERROR(IF([2]对账明细接口!$D$264=0,"",[2]对账明细接口!$D$264),"")</f>
        <v>原料出库－原筐出库</v>
      </c>
      <c r="E264" s="59" t="str">
        <f aca="false">IFERROR(IF([2]对账明细接口!$E$264=0,"",[2]对账明细接口!$E$264),"")</f>
        <v>NO:0001096</v>
      </c>
      <c r="F264" s="59" t="str">
        <f aca="false">IFERROR(IF([2]对账明细接口!$F$264=0,"",[2]对账明细接口!$F$264),"")</f>
        <v>西梅</v>
      </c>
      <c r="G264" s="59" t="str">
        <f aca="false">IFERROR(IF([2]对账明细接口!$G$264=0,"",[2]对账明细接口!$G$264),"")</f>
        <v>西梅三级</v>
      </c>
      <c r="H264" s="60" t="n">
        <f aca="false">IFERROR(IF([2]对账明细接口!$H$264=0,"",[2]对账明细接口!$H$264),"")</f>
        <v>1238</v>
      </c>
      <c r="I264" s="59" t="str">
        <f aca="false">IFERROR(IF([2]对账明细接口!$I$264=0,"",[2]对账明细接口!$I$264),"")</f>
        <v>筐</v>
      </c>
      <c r="J264" s="61" t="n">
        <f aca="false">IFERROR(IF([2]对账明细接口!$J$264=0,"",[2]对账明细接口!$J$264),"")</f>
        <v>2476</v>
      </c>
      <c r="K264" s="61" t="str">
        <f aca="false">IFERROR(IF([2]对账明细接口!$K$264=0,"",[2]对账明细接口!$K$264),"")</f>
        <v/>
      </c>
      <c r="L264" s="59" t="str">
        <f aca="false">IFERROR(IF([2]对账明细接口!$L$264=0,"",[2]对账明细接口!$L$264),"")</f>
        <v/>
      </c>
      <c r="M264" s="59" t="str">
        <f aca="false">IFERROR(IF([2]对账明细接口!$M$264=0,"",[2]对账明细接口!$M$264),"")</f>
        <v/>
      </c>
      <c r="N264" s="111" t="n">
        <f aca="false">IF($C264="",0,1)</f>
        <v>1</v>
      </c>
      <c r="O264" s="111" t="n">
        <f aca="false">N(O263)+$N264</f>
        <v>261</v>
      </c>
      <c r="S264" s="10" t="str">
        <f aca="false">IFERROR(IF([2]对账明细接口!$N264=0,"",[2]对账明细接口!$N264),"")</f>
        <v>自备一次性筐</v>
      </c>
      <c r="T264" s="112" t="n">
        <f aca="false">IFERROR(IF([2]对账明细接口!$O264=0,"",[2]对账明细接口!$O264),"")</f>
        <v>1238</v>
      </c>
      <c r="U264" s="112" t="str">
        <f aca="false">IFERROR(IF([2]对账明细接口!$P264=0,"",[2]对账明细接口!$P264),"")</f>
        <v/>
      </c>
      <c r="V264" s="112" t="str">
        <f aca="false">IFERROR(IF([2]对账明细接口!$Q264=0,"",[2]对账明细接口!$Q264),"")</f>
        <v/>
      </c>
      <c r="W264" s="10" t="str">
        <f aca="false">IFERROR(IF([2]对账明细接口!$R264=0,"",[2]对账明细接口!$R264),"")</f>
        <v>吉A*ZM856</v>
      </c>
      <c r="X264" s="10" t="str">
        <f aca="false">IFERROR(IF([2]对账明细接口!$S264=0,"",[2]对账明细接口!$S264),"")</f>
        <v>自备筐</v>
      </c>
      <c r="Y264" s="10" t="str">
        <f aca="false">IFERROR(IF([2]对账明细接口!$T264=0,"",[2]对账明细接口!$T264),"")</f>
        <v/>
      </c>
      <c r="Z264" s="113" t="str">
        <f aca="false">IFERROR(IF([2]对账明细接口!$U264=0,"",[2]对账明细接口!$U264),"")</f>
        <v/>
      </c>
      <c r="AA264" s="113" t="str">
        <f aca="false">IFERROR(IF([2]对账明细接口!$V264=0,"",[2]对账明细接口!$V264),"")</f>
        <v/>
      </c>
      <c r="AB264" s="10" t="str">
        <f aca="false">IFERROR(IF([2]对账明细接口!$W264=0,"",[2]对账明细接口!$W264),"")</f>
        <v/>
      </c>
      <c r="AC264" s="90" t="str">
        <f aca="false">IFERROR(IF([2]对账明细接口!$X265=0,"",[2]对账明细接口!$X265),"")</f>
        <v/>
      </c>
      <c r="AD264" s="90" t="str">
        <f aca="false">IFERROR(IF([2]对账明细接口!$Y265=0,"",[2]对账明细接口!$Y265),"")</f>
        <v/>
      </c>
      <c r="AE264" s="90" t="str">
        <f aca="false">IFERROR(IF([2]对账明细接口!$AA265=0,"",[2]对账明细接口!$AA265),"")</f>
        <v/>
      </c>
      <c r="AF264" s="90" t="str">
        <f aca="false">IFERROR(IF([2]对账明细接口!$AB265=0,"",[2]对账明细接口!$AB265),"")</f>
        <v/>
      </c>
      <c r="AG264" s="90" t="str">
        <f aca="false">IFERROR(IF([2]对账明细接口!$AC265=0,"",[2]对账明细接口!$AC265),"")</f>
        <v/>
      </c>
      <c r="AH264" s="90" t="str">
        <f aca="false">IFERROR(IF([2]对账明细接口!$AD265=0,"",[2]对账明细接口!$AD265),"")</f>
        <v/>
      </c>
    </row>
    <row r="265" customFormat="false" ht="13.5" hidden="false" customHeight="false" outlineLevel="0" collapsed="false">
      <c r="A265" s="109" t="n">
        <v>265</v>
      </c>
      <c r="B265" s="110" t="n">
        <f aca="false">IFERROR(IF([2]对账明细接口!$B$265=0,"",[2]对账明细接口!$B$265),"")</f>
        <v>46274</v>
      </c>
      <c r="C265" s="59" t="str">
        <f aca="false">IFERROR(IF([2]对账明细接口!$C$265=0,"",[2]对账明细接口!$C$265),"")</f>
        <v>王照雪</v>
      </c>
      <c r="D265" s="59" t="str">
        <f aca="false">IFERROR(IF([2]对账明细接口!$D$265=0,"",[2]对账明细接口!$D$265),"")</f>
        <v>原料出库－出库加工</v>
      </c>
      <c r="E265" s="59" t="str">
        <f aca="false">IFERROR(IF([2]对账明细接口!$E$265=0,"",[2]对账明细接口!$E$265),"")</f>
        <v>NO:0001101</v>
      </c>
      <c r="F265" s="59" t="str">
        <f aca="false">IFERROR(IF([2]对账明细接口!$F$265=0,"",[2]对账明细接口!$F$265),"")</f>
        <v>苹果</v>
      </c>
      <c r="G265" s="59" t="str">
        <f aca="false">IFERROR(IF([2]对账明细接口!$G$265=0,"",[2]对账明细接口!$G$265),"")</f>
        <v>华硕高次</v>
      </c>
      <c r="H265" s="60" t="n">
        <f aca="false">IFERROR(IF([2]对账明细接口!$H$265=0,"",[2]对账明细接口!$H$265),"")</f>
        <v>129</v>
      </c>
      <c r="I265" s="59" t="str">
        <f aca="false">IFERROR(IF([2]对账明细接口!$I$265=0,"",[2]对账明细接口!$I$265),"")</f>
        <v>筐</v>
      </c>
      <c r="J265" s="61" t="str">
        <f aca="false">IFERROR(IF([2]对账明细接口!$J$265=0,"",[2]对账明细接口!$J$265),"")</f>
        <v/>
      </c>
      <c r="K265" s="61" t="str">
        <f aca="false">IFERROR(IF([2]对账明细接口!$K$265=0,"",[2]对账明细接口!$K$265),"")</f>
        <v/>
      </c>
      <c r="L265" s="59" t="str">
        <f aca="false">IFERROR(IF([2]对账明细接口!$L$265=0,"",[2]对账明细接口!$L$265),"")</f>
        <v/>
      </c>
      <c r="M265" s="59" t="str">
        <f aca="false">IFERROR(IF([2]对账明细接口!$M$265=0,"",[2]对账明细接口!$M$265),"")</f>
        <v>华硕原料全部出库</v>
      </c>
      <c r="N265" s="111" t="n">
        <f aca="false">IF($C265="",0,1)</f>
        <v>1</v>
      </c>
      <c r="O265" s="111" t="n">
        <f aca="false">N(O264)+$N265</f>
        <v>262</v>
      </c>
      <c r="S265" s="10" t="str">
        <f aca="false">IFERROR(IF([2]对账明细接口!$N265=0,"",[2]对账明细接口!$N265),"")</f>
        <v/>
      </c>
      <c r="T265" s="112" t="str">
        <f aca="false">IFERROR(IF([2]对账明细接口!$O265=0,"",[2]对账明细接口!$O265),"")</f>
        <v/>
      </c>
      <c r="U265" s="112" t="str">
        <f aca="false">IFERROR(IF([2]对账明细接口!$P265=0,"",[2]对账明细接口!$P265),"")</f>
        <v/>
      </c>
      <c r="V265" s="112" t="str">
        <f aca="false">IFERROR(IF([2]对账明细接口!$Q265=0,"",[2]对账明细接口!$Q265),"")</f>
        <v/>
      </c>
      <c r="W265" s="10" t="str">
        <f aca="false">IFERROR(IF([2]对账明细接口!$R265=0,"",[2]对账明细接口!$R265),"")</f>
        <v/>
      </c>
      <c r="X265" s="10" t="str">
        <f aca="false">IFERROR(IF([2]对账明细接口!$S265=0,"",[2]对账明细接口!$S265),"")</f>
        <v/>
      </c>
      <c r="Y265" s="10" t="str">
        <f aca="false">IFERROR(IF([2]对账明细接口!$T265=0,"",[2]对账明细接口!$T265),"")</f>
        <v/>
      </c>
      <c r="Z265" s="113" t="str">
        <f aca="false">IFERROR(IF([2]对账明细接口!$U265=0,"",[2]对账明细接口!$U265),"")</f>
        <v/>
      </c>
      <c r="AA265" s="113" t="str">
        <f aca="false">IFERROR(IF([2]对账明细接口!$V265=0,"",[2]对账明细接口!$V265),"")</f>
        <v/>
      </c>
      <c r="AB265" s="10" t="str">
        <f aca="false">IFERROR(IF([2]对账明细接口!$W265=0,"",[2]对账明细接口!$W265),"")</f>
        <v/>
      </c>
      <c r="AC265" s="90" t="str">
        <f aca="false">IFERROR(IF([2]对账明细接口!$X266=0,"",[2]对账明细接口!$X266),"")</f>
        <v/>
      </c>
      <c r="AD265" s="90" t="str">
        <f aca="false">IFERROR(IF([2]对账明细接口!$Y266=0,"",[2]对账明细接口!$Y266),"")</f>
        <v/>
      </c>
      <c r="AE265" s="90" t="str">
        <f aca="false">IFERROR(IF([2]对账明细接口!$AA266=0,"",[2]对账明细接口!$AA266),"")</f>
        <v/>
      </c>
      <c r="AF265" s="90" t="str">
        <f aca="false">IFERROR(IF([2]对账明细接口!$AB266=0,"",[2]对账明细接口!$AB266),"")</f>
        <v/>
      </c>
      <c r="AG265" s="90" t="str">
        <f aca="false">IFERROR(IF([2]对账明细接口!$AC266=0,"",[2]对账明细接口!$AC266),"")</f>
        <v/>
      </c>
      <c r="AH265" s="90" t="str">
        <f aca="false">IFERROR(IF([2]对账明细接口!$AD266=0,"",[2]对账明细接口!$AD266),"")</f>
        <v/>
      </c>
    </row>
    <row r="266" customFormat="false" ht="13.5" hidden="false" customHeight="false" outlineLevel="0" collapsed="false">
      <c r="A266" s="109" t="n">
        <v>266</v>
      </c>
      <c r="B266" s="110" t="n">
        <f aca="false">IFERROR(IF([2]对账明细接口!$B$266=0,"",[2]对账明细接口!$B$266),"")</f>
        <v>46274</v>
      </c>
      <c r="C266" s="59" t="str">
        <f aca="false">IFERROR(IF([2]对账明细接口!$C$266=0,"",[2]对账明细接口!$C$266),"")</f>
        <v>麦麦提</v>
      </c>
      <c r="D266" s="59" t="str">
        <f aca="false">IFERROR(IF([2]对账明细接口!$D$266=0,"",[2]对账明细接口!$D$266),"")</f>
        <v>原料出库－公司购买</v>
      </c>
      <c r="E266" s="59" t="str">
        <f aca="false">IFERROR(IF([2]对账明细接口!$E$266=0,"",[2]对账明细接口!$E$266),"")</f>
        <v>NO:0001103</v>
      </c>
      <c r="F266" s="59" t="str">
        <f aca="false">IFERROR(IF([2]对账明细接口!$F$266=0,"",[2]对账明细接口!$F$266),"")</f>
        <v>香梨</v>
      </c>
      <c r="G266" s="59" t="str">
        <f aca="false">IFERROR(IF([2]对账明细接口!$G$266=0,"",[2]对账明细接口!$G$266),"")</f>
        <v>香梨特级</v>
      </c>
      <c r="H266" s="60" t="n">
        <f aca="false">IFERROR(IF([2]对账明细接口!$H$266=0,"",[2]对账明细接口!$H$266),"")</f>
        <v>2</v>
      </c>
      <c r="I266" s="59" t="str">
        <f aca="false">IFERROR(IF([2]对账明细接口!$I$266=0,"",[2]对账明细接口!$I$266),"")</f>
        <v>筐</v>
      </c>
      <c r="J266" s="61" t="str">
        <f aca="false">IFERROR(IF([2]对账明细接口!$J$266=0,"",[2]对账明细接口!$J$266),"")</f>
        <v/>
      </c>
      <c r="K266" s="61" t="str">
        <f aca="false">IFERROR(IF([2]对账明细接口!$K$266=0,"",[2]对账明细接口!$K$266),"")</f>
        <v/>
      </c>
      <c r="L266" s="59" t="str">
        <f aca="false">IFERROR(IF([2]对账明细接口!$L$266=0,"",[2]对账明细接口!$L$266),"")</f>
        <v/>
      </c>
      <c r="M266" s="59" t="str">
        <f aca="false">IFERROR(IF([2]对账明细接口!$M$266=0,"",[2]对账明细接口!$M$266),"")</f>
        <v/>
      </c>
      <c r="N266" s="111" t="n">
        <f aca="false">IF($C266="",0,1)</f>
        <v>1</v>
      </c>
      <c r="O266" s="111" t="n">
        <f aca="false">N(O265)+$N266</f>
        <v>263</v>
      </c>
      <c r="S266" s="10" t="str">
        <f aca="false">IFERROR(IF([2]对账明细接口!$N266=0,"",[2]对账明细接口!$N266),"")</f>
        <v/>
      </c>
      <c r="T266" s="112" t="str">
        <f aca="false">IFERROR(IF([2]对账明细接口!$O266=0,"",[2]对账明细接口!$O266),"")</f>
        <v/>
      </c>
      <c r="U266" s="112" t="str">
        <f aca="false">IFERROR(IF([2]对账明细接口!$P266=0,"",[2]对账明细接口!$P266),"")</f>
        <v/>
      </c>
      <c r="V266" s="112" t="str">
        <f aca="false">IFERROR(IF([2]对账明细接口!$Q266=0,"",[2]对账明细接口!$Q266),"")</f>
        <v/>
      </c>
      <c r="W266" s="10" t="str">
        <f aca="false">IFERROR(IF([2]对账明细接口!$R266=0,"",[2]对账明细接口!$R266),"")</f>
        <v/>
      </c>
      <c r="X266" s="10" t="str">
        <f aca="false">IFERROR(IF([2]对账明细接口!$S266=0,"",[2]对账明细接口!$S266),"")</f>
        <v/>
      </c>
      <c r="Y266" s="10" t="str">
        <f aca="false">IFERROR(IF([2]对账明细接口!$T266=0,"",[2]对账明细接口!$T266),"")</f>
        <v/>
      </c>
      <c r="Z266" s="113" t="str">
        <f aca="false">IFERROR(IF([2]对账明细接口!$U266=0,"",[2]对账明细接口!$U266),"")</f>
        <v/>
      </c>
      <c r="AA266" s="113" t="str">
        <f aca="false">IFERROR(IF([2]对账明细接口!$V266=0,"",[2]对账明细接口!$V266),"")</f>
        <v/>
      </c>
      <c r="AB266" s="10" t="str">
        <f aca="false">IFERROR(IF([2]对账明细接口!$W266=0,"",[2]对账明细接口!$W266),"")</f>
        <v/>
      </c>
      <c r="AC266" s="90" t="str">
        <f aca="false">IFERROR(IF([2]对账明细接口!$X267=0,"",[2]对账明细接口!$X267),"")</f>
        <v/>
      </c>
      <c r="AD266" s="90" t="str">
        <f aca="false">IFERROR(IF([2]对账明细接口!$Y267=0,"",[2]对账明细接口!$Y267),"")</f>
        <v/>
      </c>
      <c r="AE266" s="90" t="str">
        <f aca="false">IFERROR(IF([2]对账明细接口!$AA267=0,"",[2]对账明细接口!$AA267),"")</f>
        <v/>
      </c>
      <c r="AF266" s="90" t="str">
        <f aca="false">IFERROR(IF([2]对账明细接口!$AB267=0,"",[2]对账明细接口!$AB267),"")</f>
        <v/>
      </c>
      <c r="AG266" s="90" t="str">
        <f aca="false">IFERROR(IF([2]对账明细接口!$AC267=0,"",[2]对账明细接口!$AC267),"")</f>
        <v/>
      </c>
      <c r="AH266" s="90" t="str">
        <f aca="false">IFERROR(IF([2]对账明细接口!$AD267=0,"",[2]对账明细接口!$AD267),"")</f>
        <v/>
      </c>
    </row>
    <row r="267" customFormat="false" ht="13.5" hidden="false" customHeight="false" outlineLevel="0" collapsed="false">
      <c r="A267" s="109" t="n">
        <v>267</v>
      </c>
      <c r="B267" s="110" t="n">
        <f aca="false">IFERROR(IF([2]对账明细接口!$B$267=0,"",[2]对账明细接口!$B$267),"")</f>
        <v>46275</v>
      </c>
      <c r="C267" s="59" t="str">
        <f aca="false">IFERROR(IF([2]对账明细接口!$C$267=0,"",[2]对账明细接口!$C$267),"")</f>
        <v>聂新平</v>
      </c>
      <c r="D267" s="59" t="str">
        <f aca="false">IFERROR(IF([2]对账明细接口!$D$267=0,"",[2]对账明细接口!$D$267),"")</f>
        <v>原料出库－原筐出库</v>
      </c>
      <c r="E267" s="59" t="str">
        <f aca="false">IFERROR(IF([2]对账明细接口!$E$267=0,"",[2]对账明细接口!$E$267),"")</f>
        <v>NO:0001112</v>
      </c>
      <c r="F267" s="59" t="str">
        <f aca="false">IFERROR(IF([2]对账明细接口!$F$267=0,"",[2]对账明细接口!$F$267),"")</f>
        <v>西梅</v>
      </c>
      <c r="G267" s="59" t="str">
        <f aca="false">IFERROR(IF([2]对账明细接口!$G$267=0,"",[2]对账明细接口!$G$267),"")</f>
        <v>西梅三级</v>
      </c>
      <c r="H267" s="60" t="n">
        <f aca="false">IFERROR(IF([2]对账明细接口!$H$267=0,"",[2]对账明细接口!$H$267),"")</f>
        <v>1013</v>
      </c>
      <c r="I267" s="59" t="str">
        <f aca="false">IFERROR(IF([2]对账明细接口!$I$267=0,"",[2]对账明细接口!$I$267),"")</f>
        <v>筐</v>
      </c>
      <c r="J267" s="61" t="n">
        <f aca="false">IFERROR(IF([2]对账明细接口!$J$267=0,"",[2]对账明细接口!$J$267),"")</f>
        <v>2026</v>
      </c>
      <c r="K267" s="61" t="str">
        <f aca="false">IFERROR(IF([2]对账明细接口!$K$267=0,"",[2]对账明细接口!$K$267),"")</f>
        <v/>
      </c>
      <c r="L267" s="59" t="str">
        <f aca="false">IFERROR(IF([2]对账明细接口!$L$267=0,"",[2]对账明细接口!$L$267),"")</f>
        <v/>
      </c>
      <c r="M267" s="59" t="str">
        <f aca="false">IFERROR(IF([2]对账明细接口!$M$267=0,"",[2]对账明细接口!$M$267),"")</f>
        <v>西梅出库完毕</v>
      </c>
      <c r="N267" s="111" t="n">
        <f aca="false">IF($C267="",0,1)</f>
        <v>1</v>
      </c>
      <c r="O267" s="111" t="n">
        <f aca="false">N(O266)+$N267</f>
        <v>264</v>
      </c>
      <c r="S267" s="10" t="str">
        <f aca="false">IFERROR(IF([2]对账明细接口!$N267=0,"",[2]对账明细接口!$N267),"")</f>
        <v>自备一次性筐</v>
      </c>
      <c r="T267" s="112" t="n">
        <f aca="false">IFERROR(IF([2]对账明细接口!$O267=0,"",[2]对账明细接口!$O267),"")</f>
        <v>1013</v>
      </c>
      <c r="U267" s="112" t="str">
        <f aca="false">IFERROR(IF([2]对账明细接口!$P267=0,"",[2]对账明细接口!$P267),"")</f>
        <v/>
      </c>
      <c r="V267" s="112" t="str">
        <f aca="false">IFERROR(IF([2]对账明细接口!$Q267=0,"",[2]对账明细接口!$Q267),"")</f>
        <v/>
      </c>
      <c r="W267" s="10" t="str">
        <f aca="false">IFERROR(IF([2]对账明细接口!$R267=0,"",[2]对账明细接口!$R267),"")</f>
        <v>新A*H0050</v>
      </c>
      <c r="X267" s="10" t="str">
        <f aca="false">IFERROR(IF([2]对账明细接口!$S267=0,"",[2]对账明细接口!$S267),"")</f>
        <v>自备筐</v>
      </c>
      <c r="Y267" s="10" t="str">
        <f aca="false">IFERROR(IF([2]对账明细接口!$T267=0,"",[2]对账明细接口!$T267),"")</f>
        <v/>
      </c>
      <c r="Z267" s="113" t="str">
        <f aca="false">IFERROR(IF([2]对账明细接口!$U267=0,"",[2]对账明细接口!$U267),"")</f>
        <v/>
      </c>
      <c r="AA267" s="113" t="str">
        <f aca="false">IFERROR(IF([2]对账明细接口!$V267=0,"",[2]对账明细接口!$V267),"")</f>
        <v/>
      </c>
      <c r="AB267" s="10" t="str">
        <f aca="false">IFERROR(IF([2]对账明细接口!$W267=0,"",[2]对账明细接口!$W267),"")</f>
        <v/>
      </c>
      <c r="AC267" s="90" t="str">
        <f aca="false">IFERROR(IF([2]对账明细接口!$X268=0,"",[2]对账明细接口!$X268),"")</f>
        <v/>
      </c>
      <c r="AD267" s="90" t="str">
        <f aca="false">IFERROR(IF([2]对账明细接口!$Y268=0,"",[2]对账明细接口!$Y268),"")</f>
        <v/>
      </c>
      <c r="AE267" s="90" t="str">
        <f aca="false">IFERROR(IF([2]对账明细接口!$AA268=0,"",[2]对账明细接口!$AA268),"")</f>
        <v/>
      </c>
      <c r="AF267" s="90" t="str">
        <f aca="false">IFERROR(IF([2]对账明细接口!$AB268=0,"",[2]对账明细接口!$AB268),"")</f>
        <v/>
      </c>
      <c r="AG267" s="90" t="str">
        <f aca="false">IFERROR(IF([2]对账明细接口!$AC268=0,"",[2]对账明细接口!$AC268),"")</f>
        <v/>
      </c>
      <c r="AH267" s="90" t="str">
        <f aca="false">IFERROR(IF([2]对账明细接口!$AD268=0,"",[2]对账明细接口!$AD268),"")</f>
        <v/>
      </c>
    </row>
    <row r="268" customFormat="false" ht="13.5" hidden="false" customHeight="false" outlineLevel="0" collapsed="false">
      <c r="A268" s="109" t="n">
        <v>268</v>
      </c>
      <c r="B268" s="110" t="n">
        <f aca="false">IFERROR(IF([2]对账明细接口!$B$268=0,"",[2]对账明细接口!$B$268),"")</f>
        <v>46277</v>
      </c>
      <c r="C268" s="59" t="str">
        <f aca="false">IFERROR(IF([2]对账明细接口!$C$268=0,"",[2]对账明细接口!$C$268),"")</f>
        <v>王照雪</v>
      </c>
      <c r="D268" s="59" t="str">
        <f aca="false">IFERROR(IF([2]对账明细接口!$D$268=0,"",[2]对账明细接口!$D$268),"")</f>
        <v>原料出库－出库加工</v>
      </c>
      <c r="E268" s="59" t="str">
        <f aca="false">IFERROR(IF([2]对账明细接口!$E$268=0,"",[2]对账明细接口!$E$268),"")</f>
        <v>NO:0001123</v>
      </c>
      <c r="F268" s="59" t="str">
        <f aca="false">IFERROR(IF([2]对账明细接口!$F$268=0,"",[2]对账明细接口!$F$268),"")</f>
        <v>香梨</v>
      </c>
      <c r="G268" s="59" t="str">
        <f aca="false">IFERROR(IF([2]对账明细接口!$G$268=0,"",[2]对账明细接口!$G$268),"")</f>
        <v>香梨一级</v>
      </c>
      <c r="H268" s="60" t="n">
        <f aca="false">IFERROR(IF([2]对账明细接口!$H$268=0,"",[2]对账明细接口!$H$268),"")</f>
        <v>2</v>
      </c>
      <c r="I268" s="59" t="str">
        <f aca="false">IFERROR(IF([2]对账明细接口!$I$268=0,"",[2]对账明细接口!$I$268),"")</f>
        <v>筐</v>
      </c>
      <c r="J268" s="61" t="str">
        <f aca="false">IFERROR(IF([2]对账明细接口!$J$268=0,"",[2]对账明细接口!$J$268),"")</f>
        <v/>
      </c>
      <c r="K268" s="61" t="str">
        <f aca="false">IFERROR(IF([2]对账明细接口!$K$268=0,"",[2]对账明细接口!$K$268),"")</f>
        <v/>
      </c>
      <c r="L268" s="59" t="str">
        <f aca="false">IFERROR(IF([2]对账明细接口!$L$268=0,"",[2]对账明细接口!$L$268),"")</f>
        <v/>
      </c>
      <c r="M268" s="59" t="str">
        <f aca="false">IFERROR(IF([2]对账明细接口!$M$268=0,"",[2]对账明细接口!$M$268),"")</f>
        <v/>
      </c>
      <c r="N268" s="111" t="n">
        <f aca="false">IF($C268="",0,1)</f>
        <v>1</v>
      </c>
      <c r="O268" s="111" t="n">
        <f aca="false">N(O267)+$N268</f>
        <v>265</v>
      </c>
      <c r="S268" s="10" t="str">
        <f aca="false">IFERROR(IF([2]对账明细接口!$N268=0,"",[2]对账明细接口!$N268),"")</f>
        <v/>
      </c>
      <c r="T268" s="112" t="str">
        <f aca="false">IFERROR(IF([2]对账明细接口!$O268=0,"",[2]对账明细接口!$O268),"")</f>
        <v/>
      </c>
      <c r="U268" s="112" t="str">
        <f aca="false">IFERROR(IF([2]对账明细接口!$P268=0,"",[2]对账明细接口!$P268),"")</f>
        <v/>
      </c>
      <c r="V268" s="112" t="str">
        <f aca="false">IFERROR(IF([2]对账明细接口!$Q268=0,"",[2]对账明细接口!$Q268),"")</f>
        <v/>
      </c>
      <c r="W268" s="10" t="str">
        <f aca="false">IFERROR(IF([2]对账明细接口!$R268=0,"",[2]对账明细接口!$R268),"")</f>
        <v/>
      </c>
      <c r="X268" s="10" t="str">
        <f aca="false">IFERROR(IF([2]对账明细接口!$S268=0,"",[2]对账明细接口!$S268),"")</f>
        <v/>
      </c>
      <c r="Y268" s="10" t="str">
        <f aca="false">IFERROR(IF([2]对账明细接口!$T268=0,"",[2]对账明细接口!$T268),"")</f>
        <v/>
      </c>
      <c r="Z268" s="113" t="str">
        <f aca="false">IFERROR(IF([2]对账明细接口!$U268=0,"",[2]对账明细接口!$U268),"")</f>
        <v/>
      </c>
      <c r="AA268" s="113" t="str">
        <f aca="false">IFERROR(IF([2]对账明细接口!$V268=0,"",[2]对账明细接口!$V268),"")</f>
        <v/>
      </c>
      <c r="AB268" s="10" t="str">
        <f aca="false">IFERROR(IF([2]对账明细接口!$W268=0,"",[2]对账明细接口!$W268),"")</f>
        <v/>
      </c>
      <c r="AC268" s="90" t="str">
        <f aca="false">IFERROR(IF([2]对账明细接口!$X269=0,"",[2]对账明细接口!$X269),"")</f>
        <v/>
      </c>
      <c r="AD268" s="90" t="str">
        <f aca="false">IFERROR(IF([2]对账明细接口!$Y269=0,"",[2]对账明细接口!$Y269),"")</f>
        <v/>
      </c>
      <c r="AE268" s="90" t="str">
        <f aca="false">IFERROR(IF([2]对账明细接口!$AA269=0,"",[2]对账明细接口!$AA269),"")</f>
        <v/>
      </c>
      <c r="AF268" s="90" t="str">
        <f aca="false">IFERROR(IF([2]对账明细接口!$AB269=0,"",[2]对账明细接口!$AB269),"")</f>
        <v/>
      </c>
      <c r="AG268" s="90" t="str">
        <f aca="false">IFERROR(IF([2]对账明细接口!$AC269=0,"",[2]对账明细接口!$AC269),"")</f>
        <v/>
      </c>
      <c r="AH268" s="90" t="str">
        <f aca="false">IFERROR(IF([2]对账明细接口!$AD269=0,"",[2]对账明细接口!$AD269),"")</f>
        <v/>
      </c>
    </row>
    <row r="269" customFormat="false" ht="13.5" hidden="false" customHeight="false" outlineLevel="0" collapsed="false">
      <c r="A269" s="109" t="n">
        <v>269</v>
      </c>
      <c r="B269" s="110" t="n">
        <f aca="false">IFERROR(IF([2]对账明细接口!$B$269=0,"",[2]对账明细接口!$B$269),"")</f>
        <v>46278</v>
      </c>
      <c r="C269" s="59" t="str">
        <f aca="false">IFERROR(IF([2]对账明细接口!$C$269=0,"",[2]对账明细接口!$C$269),"")</f>
        <v>王照雪</v>
      </c>
      <c r="D269" s="59" t="str">
        <f aca="false">IFERROR(IF([2]对账明细接口!$D$269=0,"",[2]对账明细接口!$D$269),"")</f>
        <v>原料出库－出库加工</v>
      </c>
      <c r="E269" s="59" t="str">
        <f aca="false">IFERROR(IF([2]对账明细接口!$E$269=0,"",[2]对账明细接口!$E$269),"")</f>
        <v>NO:0001127</v>
      </c>
      <c r="F269" s="59" t="str">
        <f aca="false">IFERROR(IF([2]对账明细接口!$F$269=0,"",[2]对账明细接口!$F$269),"")</f>
        <v>苹果</v>
      </c>
      <c r="G269" s="59" t="str">
        <f aca="false">IFERROR(IF([2]对账明细接口!$G$269=0,"",[2]对账明细接口!$G$269),"")</f>
        <v>新世纪一级</v>
      </c>
      <c r="H269" s="60" t="n">
        <f aca="false">IFERROR(IF([2]对账明细接口!$H$269=0,"",[2]对账明细接口!$H$269),"")</f>
        <v>110</v>
      </c>
      <c r="I269" s="59" t="str">
        <f aca="false">IFERROR(IF([2]对账明细接口!$I$269=0,"",[2]对账明细接口!$I$269),"")</f>
        <v>筐</v>
      </c>
      <c r="J269" s="61" t="str">
        <f aca="false">IFERROR(IF([2]对账明细接口!$J$269=0,"",[2]对账明细接口!$J$269),"")</f>
        <v/>
      </c>
      <c r="K269" s="61" t="str">
        <f aca="false">IFERROR(IF([2]对账明细接口!$K$269=0,"",[2]对账明细接口!$K$269),"")</f>
        <v/>
      </c>
      <c r="L269" s="59" t="str">
        <f aca="false">IFERROR(IF([2]对账明细接口!$L$269=0,"",[2]对账明细接口!$L$269),"")</f>
        <v/>
      </c>
      <c r="M269" s="59" t="str">
        <f aca="false">IFERROR(IF([2]对账明细接口!$M$269=0,"",[2]对账明细接口!$M$269),"")</f>
        <v/>
      </c>
      <c r="N269" s="111" t="n">
        <f aca="false">IF($C269="",0,1)</f>
        <v>1</v>
      </c>
      <c r="O269" s="111" t="n">
        <f aca="false">N(O268)+$N269</f>
        <v>266</v>
      </c>
      <c r="S269" s="10" t="str">
        <f aca="false">IFERROR(IF([2]对账明细接口!$N269=0,"",[2]对账明细接口!$N269),"")</f>
        <v/>
      </c>
      <c r="T269" s="112" t="str">
        <f aca="false">IFERROR(IF([2]对账明细接口!$O269=0,"",[2]对账明细接口!$O269),"")</f>
        <v/>
      </c>
      <c r="U269" s="112" t="str">
        <f aca="false">IFERROR(IF([2]对账明细接口!$P269=0,"",[2]对账明细接口!$P269),"")</f>
        <v/>
      </c>
      <c r="V269" s="112" t="str">
        <f aca="false">IFERROR(IF([2]对账明细接口!$Q269=0,"",[2]对账明细接口!$Q269),"")</f>
        <v/>
      </c>
      <c r="W269" s="10" t="str">
        <f aca="false">IFERROR(IF([2]对账明细接口!$R269=0,"",[2]对账明细接口!$R269),"")</f>
        <v/>
      </c>
      <c r="X269" s="10" t="str">
        <f aca="false">IFERROR(IF([2]对账明细接口!$S269=0,"",[2]对账明细接口!$S269),"")</f>
        <v/>
      </c>
      <c r="Y269" s="10" t="str">
        <f aca="false">IFERROR(IF([2]对账明细接口!$T269=0,"",[2]对账明细接口!$T269),"")</f>
        <v/>
      </c>
      <c r="Z269" s="113" t="str">
        <f aca="false">IFERROR(IF([2]对账明细接口!$U269=0,"",[2]对账明细接口!$U269),"")</f>
        <v/>
      </c>
      <c r="AA269" s="113" t="str">
        <f aca="false">IFERROR(IF([2]对账明细接口!$V269=0,"",[2]对账明细接口!$V269),"")</f>
        <v/>
      </c>
      <c r="AB269" s="10" t="str">
        <f aca="false">IFERROR(IF([2]对账明细接口!$W269=0,"",[2]对账明细接口!$W269),"")</f>
        <v/>
      </c>
      <c r="AC269" s="90" t="str">
        <f aca="false">IFERROR(IF([2]对账明细接口!$X270=0,"",[2]对账明细接口!$X270),"")</f>
        <v/>
      </c>
      <c r="AD269" s="90" t="str">
        <f aca="false">IFERROR(IF([2]对账明细接口!$Y270=0,"",[2]对账明细接口!$Y270),"")</f>
        <v/>
      </c>
      <c r="AE269" s="90" t="str">
        <f aca="false">IFERROR(IF([2]对账明细接口!$AA270=0,"",[2]对账明细接口!$AA270),"")</f>
        <v/>
      </c>
      <c r="AF269" s="90" t="str">
        <f aca="false">IFERROR(IF([2]对账明细接口!$AB270=0,"",[2]对账明细接口!$AB270),"")</f>
        <v/>
      </c>
      <c r="AG269" s="90" t="str">
        <f aca="false">IFERROR(IF([2]对账明细接口!$AC270=0,"",[2]对账明细接口!$AC270),"")</f>
        <v/>
      </c>
      <c r="AH269" s="90" t="str">
        <f aca="false">IFERROR(IF([2]对账明细接口!$AD270=0,"",[2]对账明细接口!$AD270),"")</f>
        <v/>
      </c>
    </row>
    <row r="270" customFormat="false" ht="13.5" hidden="false" customHeight="false" outlineLevel="0" collapsed="false">
      <c r="A270" s="109" t="n">
        <v>270</v>
      </c>
      <c r="B270" s="110" t="n">
        <f aca="false">IFERROR(IF([2]对账明细接口!$B$270=0,"",[2]对账明细接口!$B$270),"")</f>
        <v>46279</v>
      </c>
      <c r="C270" s="59" t="str">
        <f aca="false">IFERROR(IF([2]对账明细接口!$C$270=0,"",[2]对账明细接口!$C$270),"")</f>
        <v>王照雪</v>
      </c>
      <c r="D270" s="59" t="str">
        <f aca="false">IFERROR(IF([2]对账明细接口!$D$270=0,"",[2]对账明细接口!$D$270),"")</f>
        <v>原料出库－出库加工</v>
      </c>
      <c r="E270" s="59" t="str">
        <f aca="false">IFERROR(IF([2]对账明细接口!$E$270=0,"",[2]对账明细接口!$E$270),"")</f>
        <v>NO:0001139</v>
      </c>
      <c r="F270" s="59" t="str">
        <f aca="false">IFERROR(IF([2]对账明细接口!$F$270=0,"",[2]对账明细接口!$F$270),"")</f>
        <v>苹果</v>
      </c>
      <c r="G270" s="59" t="str">
        <f aca="false">IFERROR(IF([2]对账明细接口!$G$270=0,"",[2]对账明细接口!$G$270),"")</f>
        <v>新世纪特级</v>
      </c>
      <c r="H270" s="60" t="n">
        <f aca="false">IFERROR(IF([2]对账明细接口!$H$270=0,"",[2]对账明细接口!$H$270),"")</f>
        <v>73</v>
      </c>
      <c r="I270" s="59" t="str">
        <f aca="false">IFERROR(IF([2]对账明细接口!$I$270=0,"",[2]对账明细接口!$I$270),"")</f>
        <v>筐</v>
      </c>
      <c r="J270" s="61" t="str">
        <f aca="false">IFERROR(IF([2]对账明细接口!$J$270=0,"",[2]对账明细接口!$J$270),"")</f>
        <v/>
      </c>
      <c r="K270" s="61" t="str">
        <f aca="false">IFERROR(IF([2]对账明细接口!$K$270=0,"",[2]对账明细接口!$K$270),"")</f>
        <v/>
      </c>
      <c r="L270" s="59" t="str">
        <f aca="false">IFERROR(IF([2]对账明细接口!$L$270=0,"",[2]对账明细接口!$L$270),"")</f>
        <v/>
      </c>
      <c r="M270" s="59" t="str">
        <f aca="false">IFERROR(IF([2]对账明细接口!$M$270=0,"",[2]对账明细接口!$M$270),"")</f>
        <v/>
      </c>
      <c r="N270" s="111" t="n">
        <f aca="false">IF($C270="",0,1)</f>
        <v>1</v>
      </c>
      <c r="O270" s="111" t="n">
        <f aca="false">N(O269)+$N270</f>
        <v>267</v>
      </c>
      <c r="S270" s="10" t="str">
        <f aca="false">IFERROR(IF([2]对账明细接口!$N270=0,"",[2]对账明细接口!$N270),"")</f>
        <v/>
      </c>
      <c r="T270" s="112" t="str">
        <f aca="false">IFERROR(IF([2]对账明细接口!$O270=0,"",[2]对账明细接口!$O270),"")</f>
        <v/>
      </c>
      <c r="U270" s="112" t="str">
        <f aca="false">IFERROR(IF([2]对账明细接口!$P270=0,"",[2]对账明细接口!$P270),"")</f>
        <v/>
      </c>
      <c r="V270" s="112" t="str">
        <f aca="false">IFERROR(IF([2]对账明细接口!$Q270=0,"",[2]对账明细接口!$Q270),"")</f>
        <v/>
      </c>
      <c r="W270" s="10" t="str">
        <f aca="false">IFERROR(IF([2]对账明细接口!$R270=0,"",[2]对账明细接口!$R270),"")</f>
        <v/>
      </c>
      <c r="X270" s="10" t="str">
        <f aca="false">IFERROR(IF([2]对账明细接口!$S270=0,"",[2]对账明细接口!$S270),"")</f>
        <v/>
      </c>
      <c r="Y270" s="10" t="str">
        <f aca="false">IFERROR(IF([2]对账明细接口!$T270=0,"",[2]对账明细接口!$T270),"")</f>
        <v/>
      </c>
      <c r="Z270" s="113" t="str">
        <f aca="false">IFERROR(IF([2]对账明细接口!$U270=0,"",[2]对账明细接口!$U270),"")</f>
        <v/>
      </c>
      <c r="AA270" s="113" t="str">
        <f aca="false">IFERROR(IF([2]对账明细接口!$V270=0,"",[2]对账明细接口!$V270),"")</f>
        <v/>
      </c>
      <c r="AB270" s="10" t="str">
        <f aca="false">IFERROR(IF([2]对账明细接口!$W270=0,"",[2]对账明细接口!$W270),"")</f>
        <v/>
      </c>
      <c r="AC270" s="90" t="str">
        <f aca="false">IFERROR(IF([2]对账明细接口!$X271=0,"",[2]对账明细接口!$X271),"")</f>
        <v/>
      </c>
      <c r="AD270" s="90" t="str">
        <f aca="false">IFERROR(IF([2]对账明细接口!$Y271=0,"",[2]对账明细接口!$Y271),"")</f>
        <v/>
      </c>
      <c r="AE270" s="90" t="str">
        <f aca="false">IFERROR(IF([2]对账明细接口!$AA271=0,"",[2]对账明细接口!$AA271),"")</f>
        <v/>
      </c>
      <c r="AF270" s="90" t="str">
        <f aca="false">IFERROR(IF([2]对账明细接口!$AB271=0,"",[2]对账明细接口!$AB271),"")</f>
        <v/>
      </c>
      <c r="AG270" s="90" t="str">
        <f aca="false">IFERROR(IF([2]对账明细接口!$AC271=0,"",[2]对账明细接口!$AC271),"")</f>
        <v/>
      </c>
      <c r="AH270" s="90" t="str">
        <f aca="false">IFERROR(IF([2]对账明细接口!$AD271=0,"",[2]对账明细接口!$AD271),"")</f>
        <v/>
      </c>
    </row>
    <row r="271" customFormat="false" ht="13.5" hidden="false" customHeight="false" outlineLevel="0" collapsed="false">
      <c r="A271" s="109" t="n">
        <v>271</v>
      </c>
      <c r="B271" s="110" t="n">
        <f aca="false">IFERROR(IF([2]对账明细接口!$B$271=0,"",[2]对账明细接口!$B$271),"")</f>
        <v>46279</v>
      </c>
      <c r="C271" s="59" t="str">
        <f aca="false">IFERROR(IF([2]对账明细接口!$C$271=0,"",[2]对账明细接口!$C$271),"")</f>
        <v>王照雪</v>
      </c>
      <c r="D271" s="59" t="str">
        <f aca="false">IFERROR(IF([2]对账明细接口!$D$271=0,"",[2]对账明细接口!$D$271),"")</f>
        <v>原料出库－出库加工</v>
      </c>
      <c r="E271" s="59" t="str">
        <f aca="false">IFERROR(IF([2]对账明细接口!$E$271=0,"",[2]对账明细接口!$E$271),"")</f>
        <v>NO:0001139</v>
      </c>
      <c r="F271" s="59" t="str">
        <f aca="false">IFERROR(IF([2]对账明细接口!$F$271=0,"",[2]对账明细接口!$F$271),"")</f>
        <v>苹果</v>
      </c>
      <c r="G271" s="59" t="str">
        <f aca="false">IFERROR(IF([2]对账明细接口!$G$271=0,"",[2]对账明细接口!$G$271),"")</f>
        <v>新世纪一级</v>
      </c>
      <c r="H271" s="60" t="n">
        <f aca="false">IFERROR(IF([2]对账明细接口!$H$271=0,"",[2]对账明细接口!$H$271),"")</f>
        <v>86</v>
      </c>
      <c r="I271" s="59" t="str">
        <f aca="false">IFERROR(IF([2]对账明细接口!$I$271=0,"",[2]对账明细接口!$I$271),"")</f>
        <v>筐</v>
      </c>
      <c r="J271" s="61" t="str">
        <f aca="false">IFERROR(IF([2]对账明细接口!$J$271=0,"",[2]对账明细接口!$J$271),"")</f>
        <v/>
      </c>
      <c r="K271" s="61" t="str">
        <f aca="false">IFERROR(IF([2]对账明细接口!$K$271=0,"",[2]对账明细接口!$K$271),"")</f>
        <v/>
      </c>
      <c r="L271" s="59" t="str">
        <f aca="false">IFERROR(IF([2]对账明细接口!$L$271=0,"",[2]对账明细接口!$L$271),"")</f>
        <v/>
      </c>
      <c r="M271" s="59" t="str">
        <f aca="false">IFERROR(IF([2]对账明细接口!$M$271=0,"",[2]对账明细接口!$M$271),"")</f>
        <v/>
      </c>
      <c r="N271" s="111" t="n">
        <f aca="false">IF($C271="",0,1)</f>
        <v>1</v>
      </c>
      <c r="O271" s="111" t="n">
        <f aca="false">N(O270)+$N271</f>
        <v>268</v>
      </c>
      <c r="S271" s="10" t="str">
        <f aca="false">IFERROR(IF([2]对账明细接口!$N271=0,"",[2]对账明细接口!$N271),"")</f>
        <v/>
      </c>
      <c r="T271" s="112" t="str">
        <f aca="false">IFERROR(IF([2]对账明细接口!$O271=0,"",[2]对账明细接口!$O271),"")</f>
        <v/>
      </c>
      <c r="U271" s="112" t="str">
        <f aca="false">IFERROR(IF([2]对账明细接口!$P271=0,"",[2]对账明细接口!$P271),"")</f>
        <v/>
      </c>
      <c r="V271" s="112" t="str">
        <f aca="false">IFERROR(IF([2]对账明细接口!$Q271=0,"",[2]对账明细接口!$Q271),"")</f>
        <v/>
      </c>
      <c r="W271" s="10" t="str">
        <f aca="false">IFERROR(IF([2]对账明细接口!$R271=0,"",[2]对账明细接口!$R271),"")</f>
        <v/>
      </c>
      <c r="X271" s="10" t="str">
        <f aca="false">IFERROR(IF([2]对账明细接口!$S271=0,"",[2]对账明细接口!$S271),"")</f>
        <v/>
      </c>
      <c r="Y271" s="10" t="str">
        <f aca="false">IFERROR(IF([2]对账明细接口!$T271=0,"",[2]对账明细接口!$T271),"")</f>
        <v/>
      </c>
      <c r="Z271" s="113" t="str">
        <f aca="false">IFERROR(IF([2]对账明细接口!$U271=0,"",[2]对账明细接口!$U271),"")</f>
        <v/>
      </c>
      <c r="AA271" s="113" t="str">
        <f aca="false">IFERROR(IF([2]对账明细接口!$V271=0,"",[2]对账明细接口!$V271),"")</f>
        <v/>
      </c>
      <c r="AB271" s="10" t="str">
        <f aca="false">IFERROR(IF([2]对账明细接口!$W271=0,"",[2]对账明细接口!$W271),"")</f>
        <v/>
      </c>
      <c r="AC271" s="90" t="str">
        <f aca="false">IFERROR(IF([2]对账明细接口!$X272=0,"",[2]对账明细接口!$X272),"")</f>
        <v/>
      </c>
      <c r="AD271" s="90" t="str">
        <f aca="false">IFERROR(IF([2]对账明细接口!$Y272=0,"",[2]对账明细接口!$Y272),"")</f>
        <v/>
      </c>
      <c r="AE271" s="90" t="str">
        <f aca="false">IFERROR(IF([2]对账明细接口!$AA272=0,"",[2]对账明细接口!$AA272),"")</f>
        <v/>
      </c>
      <c r="AF271" s="90" t="str">
        <f aca="false">IFERROR(IF([2]对账明细接口!$AB272=0,"",[2]对账明细接口!$AB272),"")</f>
        <v/>
      </c>
      <c r="AG271" s="90" t="str">
        <f aca="false">IFERROR(IF([2]对账明细接口!$AC272=0,"",[2]对账明细接口!$AC272),"")</f>
        <v/>
      </c>
      <c r="AH271" s="90" t="str">
        <f aca="false">IFERROR(IF([2]对账明细接口!$AD272=0,"",[2]对账明细接口!$AD272),"")</f>
        <v/>
      </c>
    </row>
    <row r="272" customFormat="false" ht="13.5" hidden="false" customHeight="false" outlineLevel="0" collapsed="false">
      <c r="A272" s="109" t="n">
        <v>272</v>
      </c>
      <c r="B272" s="110" t="n">
        <f aca="false">IFERROR(IF([2]对账明细接口!$B$272=0,"",[2]对账明细接口!$B$272),"")</f>
        <v>46279</v>
      </c>
      <c r="C272" s="59" t="str">
        <f aca="false">IFERROR(IF([2]对账明细接口!$C$272=0,"",[2]对账明细接口!$C$272),"")</f>
        <v>王照雪</v>
      </c>
      <c r="D272" s="59" t="str">
        <f aca="false">IFERROR(IF([2]对账明细接口!$D$272=0,"",[2]对账明细接口!$D$272),"")</f>
        <v>原料出库－出库加工</v>
      </c>
      <c r="E272" s="59" t="str">
        <f aca="false">IFERROR(IF([2]对账明细接口!$E$272=0,"",[2]对账明细接口!$E$272),"")</f>
        <v>NO:0001139</v>
      </c>
      <c r="F272" s="59" t="str">
        <f aca="false">IFERROR(IF([2]对账明细接口!$F$272=0,"",[2]对账明细接口!$F$272),"")</f>
        <v>香梨</v>
      </c>
      <c r="G272" s="59" t="str">
        <f aca="false">IFERROR(IF([2]对账明细接口!$G$272=0,"",[2]对账明细接口!$G$272),"")</f>
        <v>香梨一级</v>
      </c>
      <c r="H272" s="60" t="n">
        <f aca="false">IFERROR(IF([2]对账明细接口!$H$272=0,"",[2]对账明细接口!$H$272),"")</f>
        <v>1</v>
      </c>
      <c r="I272" s="59" t="str">
        <f aca="false">IFERROR(IF([2]对账明细接口!$I$272=0,"",[2]对账明细接口!$I$272),"")</f>
        <v>筐</v>
      </c>
      <c r="J272" s="61" t="str">
        <f aca="false">IFERROR(IF([2]对账明细接口!$J$272=0,"",[2]对账明细接口!$J$272),"")</f>
        <v/>
      </c>
      <c r="K272" s="61" t="str">
        <f aca="false">IFERROR(IF([2]对账明细接口!$K$272=0,"",[2]对账明细接口!$K$272),"")</f>
        <v/>
      </c>
      <c r="L272" s="59" t="str">
        <f aca="false">IFERROR(IF([2]对账明细接口!$L$272=0,"",[2]对账明细接口!$L$272),"")</f>
        <v/>
      </c>
      <c r="M272" s="59" t="str">
        <f aca="false">IFERROR(IF([2]对账明细接口!$M$272=0,"",[2]对账明细接口!$M$272),"")</f>
        <v/>
      </c>
      <c r="N272" s="111" t="n">
        <f aca="false">IF($C272="",0,1)</f>
        <v>1</v>
      </c>
      <c r="O272" s="111" t="n">
        <f aca="false">N(O271)+$N272</f>
        <v>269</v>
      </c>
      <c r="S272" s="10" t="str">
        <f aca="false">IFERROR(IF([2]对账明细接口!$N272=0,"",[2]对账明细接口!$N272),"")</f>
        <v/>
      </c>
      <c r="T272" s="112" t="str">
        <f aca="false">IFERROR(IF([2]对账明细接口!$O272=0,"",[2]对账明细接口!$O272),"")</f>
        <v/>
      </c>
      <c r="U272" s="112" t="str">
        <f aca="false">IFERROR(IF([2]对账明细接口!$P272=0,"",[2]对账明细接口!$P272),"")</f>
        <v/>
      </c>
      <c r="V272" s="112" t="str">
        <f aca="false">IFERROR(IF([2]对账明细接口!$Q272=0,"",[2]对账明细接口!$Q272),"")</f>
        <v/>
      </c>
      <c r="W272" s="10" t="str">
        <f aca="false">IFERROR(IF([2]对账明细接口!$R272=0,"",[2]对账明细接口!$R272),"")</f>
        <v/>
      </c>
      <c r="X272" s="10" t="str">
        <f aca="false">IFERROR(IF([2]对账明细接口!$S272=0,"",[2]对账明细接口!$S272),"")</f>
        <v/>
      </c>
      <c r="Y272" s="10" t="str">
        <f aca="false">IFERROR(IF([2]对账明细接口!$T272=0,"",[2]对账明细接口!$T272),"")</f>
        <v/>
      </c>
      <c r="Z272" s="113" t="str">
        <f aca="false">IFERROR(IF([2]对账明细接口!$U272=0,"",[2]对账明细接口!$U272),"")</f>
        <v/>
      </c>
      <c r="AA272" s="113" t="str">
        <f aca="false">IFERROR(IF([2]对账明细接口!$V272=0,"",[2]对账明细接口!$V272),"")</f>
        <v/>
      </c>
      <c r="AB272" s="10" t="str">
        <f aca="false">IFERROR(IF([2]对账明细接口!$W272=0,"",[2]对账明细接口!$W272),"")</f>
        <v/>
      </c>
      <c r="AC272" s="90" t="str">
        <f aca="false">IFERROR(IF([2]对账明细接口!$X273=0,"",[2]对账明细接口!$X273),"")</f>
        <v>电商/主播</v>
      </c>
      <c r="AD272" s="90" t="str">
        <f aca="false">IFERROR(IF([2]对账明细接口!$Y273=0,"",[2]对账明细接口!$Y273),"")</f>
        <v/>
      </c>
      <c r="AE272" s="90" t="str">
        <f aca="false">IFERROR(IF([2]对账明细接口!$AA273=0,"",[2]对账明细接口!$AA273),"")</f>
        <v/>
      </c>
      <c r="AF272" s="90" t="str">
        <f aca="false">IFERROR(IF([2]对账明细接口!$AB273=0,"",[2]对账明细接口!$AB273),"")</f>
        <v/>
      </c>
      <c r="AG272" s="90" t="str">
        <f aca="false">IFERROR(IF([2]对账明细接口!$AC273=0,"",[2]对账明细接口!$AC273),"")</f>
        <v/>
      </c>
      <c r="AH272" s="90" t="str">
        <f aca="false">IFERROR(IF([2]对账明细接口!$AD273=0,"",[2]对账明细接口!$AD273),"")</f>
        <v>成品出库</v>
      </c>
    </row>
    <row r="273" customFormat="false" ht="13.5" hidden="false" customHeight="false" outlineLevel="0" collapsed="false">
      <c r="A273" s="109" t="n">
        <v>273</v>
      </c>
      <c r="B273" s="110" t="n">
        <f aca="false">IFERROR(IF([2]对账明细接口!$B$273=0,"",[2]对账明细接口!$B$273),"")</f>
        <v>46259</v>
      </c>
      <c r="C273" s="59" t="str">
        <f aca="false">IFERROR(IF([2]对账明细接口!$C$273=0,"",[2]对账明细接口!$C$273),"")</f>
        <v>王照雪</v>
      </c>
      <c r="D273" s="59" t="str">
        <f aca="false">IFERROR(IF([2]对账明细接口!$D$273=0,"",[2]对账明细接口!$D$273),"")</f>
        <v>成品出库－成品出库</v>
      </c>
      <c r="E273" s="59" t="str">
        <f aca="false">IFERROR(IF([2]对账明细接口!$E$273=0,"",[2]对账明细接口!$E$273),"")</f>
        <v>NO:0001035</v>
      </c>
      <c r="F273" s="59" t="str">
        <f aca="false">IFERROR(IF([2]对账明细接口!$F$273=0,"",[2]对账明细接口!$F$273),"")</f>
        <v>苹果</v>
      </c>
      <c r="G273" s="59" t="str">
        <f aca="false">IFERROR(IF([2]对账明细接口!$G$273=0,"",[2]对账明细接口!$G$273),"")</f>
        <v>华硕一级</v>
      </c>
      <c r="H273" s="60" t="n">
        <f aca="false">IFERROR(IF([2]对账明细接口!$H$273=0,"",[2]对账明细接口!$H$273),"")</f>
        <v>74</v>
      </c>
      <c r="I273" s="59" t="str">
        <f aca="false">IFERROR(IF([2]对账明细接口!$I$273=0,"",[2]对账明细接口!$I$273),"")</f>
        <v>箱</v>
      </c>
      <c r="J273" s="61" t="n">
        <f aca="false">IFERROR(IF([2]对账明细接口!$J$273=0,"",[2]对账明细接口!$J$273),"")</f>
        <v>370</v>
      </c>
      <c r="K273" s="61" t="str">
        <f aca="false">IFERROR(IF([2]对账明细接口!$K$273=0,"",[2]对账明细接口!$K$273),"")</f>
        <v/>
      </c>
      <c r="L273" s="59" t="str">
        <f aca="false">IFERROR(IF([2]对账明细接口!$L$273=0,"",[2]对账明细接口!$L$273),"")</f>
        <v/>
      </c>
      <c r="M273" s="59" t="str">
        <f aca="false">IFERROR(IF([2]对账明细接口!$M$273=0,"",[2]对账明细接口!$M$273),"")</f>
        <v/>
      </c>
      <c r="N273" s="111" t="n">
        <f aca="false">IF($C273="",0,1)</f>
        <v>1</v>
      </c>
      <c r="O273" s="111" t="n">
        <f aca="false">N(O272)+$N273</f>
        <v>270</v>
      </c>
      <c r="S273" s="10" t="str">
        <f aca="false">IFERROR(IF([2]对账明细接口!$N273=0,"",[2]对账明细接口!$N273),"")</f>
        <v>纸箱</v>
      </c>
      <c r="T273" s="112" t="str">
        <f aca="false">IFERROR(IF([2]对账明细接口!$O273=0,"",[2]对账明细接口!$O273),"")</f>
        <v/>
      </c>
      <c r="U273" s="112" t="str">
        <f aca="false">IFERROR(IF([2]对账明细接口!$P273=0,"",[2]对账明细接口!$P273),"")</f>
        <v/>
      </c>
      <c r="V273" s="112" t="str">
        <f aca="false">IFERROR(IF([2]对账明细接口!$Q273=0,"",[2]对账明细接口!$Q273),"")</f>
        <v/>
      </c>
      <c r="W273" s="10" t="str">
        <f aca="false">IFERROR(IF([2]对账明细接口!$R273=0,"",[2]对账明细接口!$R273),"")</f>
        <v>新N*622UR</v>
      </c>
      <c r="X273" s="10" t="str">
        <f aca="false">IFERROR(IF([2]对账明细接口!$S273=0,"",[2]对账明细接口!$S273),"")</f>
        <v>公司筐</v>
      </c>
      <c r="Y273" s="10" t="str">
        <f aca="false">IFERROR(IF([2]对账明细接口!$T273=0,"",[2]对账明细接口!$T273),"")</f>
        <v>王照雪</v>
      </c>
      <c r="Z273" s="113" t="str">
        <f aca="false">IFERROR(IF([2]对账明细接口!$U273=0,"",[2]对账明细接口!$U273),"")</f>
        <v/>
      </c>
      <c r="AA273" s="113" t="str">
        <f aca="false">IFERROR(IF([2]对账明细接口!$V273=0,"",[2]对账明细接口!$V273),"")</f>
        <v/>
      </c>
      <c r="AB273" s="10" t="str">
        <f aca="false">IFERROR(IF([2]对账明细接口!$W273=0,"",[2]对账明细接口!$W273),"")</f>
        <v/>
      </c>
      <c r="AC273" s="90" t="str">
        <f aca="false">IFERROR(IF([2]对账明细接口!$X274=0,"",[2]对账明细接口!$X274),"")</f>
        <v>电商/主播</v>
      </c>
      <c r="AD273" s="90" t="str">
        <f aca="false">IFERROR(IF([2]对账明细接口!$Y274=0,"",[2]对账明细接口!$Y274),"")</f>
        <v/>
      </c>
      <c r="AE273" s="90" t="str">
        <f aca="false">IFERROR(IF([2]对账明细接口!$AA274=0,"",[2]对账明细接口!$AA274),"")</f>
        <v/>
      </c>
      <c r="AF273" s="90" t="str">
        <f aca="false">IFERROR(IF([2]对账明细接口!$AB274=0,"",[2]对账明细接口!$AB274),"")</f>
        <v/>
      </c>
      <c r="AG273" s="90" t="str">
        <f aca="false">IFERROR(IF([2]对账明细接口!$AC274=0,"",[2]对账明细接口!$AC274),"")</f>
        <v/>
      </c>
      <c r="AH273" s="90" t="str">
        <f aca="false">IFERROR(IF([2]对账明细接口!$AD274=0,"",[2]对账明细接口!$AD274),"")</f>
        <v>成品出库</v>
      </c>
    </row>
    <row r="274" customFormat="false" ht="13.5" hidden="false" customHeight="false" outlineLevel="0" collapsed="false">
      <c r="A274" s="109" t="n">
        <v>274</v>
      </c>
      <c r="B274" s="110" t="n">
        <f aca="false">IFERROR(IF([2]对账明细接口!$B$274=0,"",[2]对账明细接口!$B$274),"")</f>
        <v>46259</v>
      </c>
      <c r="C274" s="59" t="str">
        <f aca="false">IFERROR(IF([2]对账明细接口!$C$274=0,"",[2]对账明细接口!$C$274),"")</f>
        <v>王照雪</v>
      </c>
      <c r="D274" s="59" t="str">
        <f aca="false">IFERROR(IF([2]对账明细接口!$D$274=0,"",[2]对账明细接口!$D$274),"")</f>
        <v>成品出库－成品出库</v>
      </c>
      <c r="E274" s="59" t="str">
        <f aca="false">IFERROR(IF([2]对账明细接口!$E$274=0,"",[2]对账明细接口!$E$274),"")</f>
        <v>NO:0001035</v>
      </c>
      <c r="F274" s="59" t="str">
        <f aca="false">IFERROR(IF([2]对账明细接口!$F$274=0,"",[2]对账明细接口!$F$274),"")</f>
        <v>苹果</v>
      </c>
      <c r="G274" s="59" t="str">
        <f aca="false">IFERROR(IF([2]对账明细接口!$G$274=0,"",[2]对账明细接口!$G$274),"")</f>
        <v>华硕一级</v>
      </c>
      <c r="H274" s="60" t="n">
        <f aca="false">IFERROR(IF([2]对账明细接口!$H$274=0,"",[2]对账明细接口!$H$274),"")</f>
        <v>13</v>
      </c>
      <c r="I274" s="59" t="str">
        <f aca="false">IFERROR(IF([2]对账明细接口!$I$274=0,"",[2]对账明细接口!$I$274),"")</f>
        <v>箱</v>
      </c>
      <c r="J274" s="61" t="n">
        <f aca="false">IFERROR(IF([2]对账明细接口!$J$274=0,"",[2]对账明细接口!$J$274),"")</f>
        <v>32.5</v>
      </c>
      <c r="K274" s="61" t="str">
        <f aca="false">IFERROR(IF([2]对账明细接口!$K$274=0,"",[2]对账明细接口!$K$274),"")</f>
        <v/>
      </c>
      <c r="L274" s="59" t="str">
        <f aca="false">IFERROR(IF([2]对账明细接口!$L$274=0,"",[2]对账明细接口!$L$274),"")</f>
        <v/>
      </c>
      <c r="M274" s="59" t="str">
        <f aca="false">IFERROR(IF([2]对账明细接口!$M$274=0,"",[2]对账明细接口!$M$274),"")</f>
        <v/>
      </c>
      <c r="N274" s="111" t="n">
        <f aca="false">IF($C274="",0,1)</f>
        <v>1</v>
      </c>
      <c r="O274" s="111" t="n">
        <f aca="false">N(O273)+$N274</f>
        <v>271</v>
      </c>
      <c r="S274" s="10" t="str">
        <f aca="false">IFERROR(IF([2]对账明细接口!$N274=0,"",[2]对账明细接口!$N274),"")</f>
        <v>纸箱</v>
      </c>
      <c r="T274" s="112" t="str">
        <f aca="false">IFERROR(IF([2]对账明细接口!$O274=0,"",[2]对账明细接口!$O274),"")</f>
        <v/>
      </c>
      <c r="U274" s="112" t="str">
        <f aca="false">IFERROR(IF([2]对账明细接口!$P274=0,"",[2]对账明细接口!$P274),"")</f>
        <v/>
      </c>
      <c r="V274" s="112" t="str">
        <f aca="false">IFERROR(IF([2]对账明细接口!$Q274=0,"",[2]对账明细接口!$Q274),"")</f>
        <v/>
      </c>
      <c r="W274" s="10" t="str">
        <f aca="false">IFERROR(IF([2]对账明细接口!$R274=0,"",[2]对账明细接口!$R274),"")</f>
        <v>新N*622UR</v>
      </c>
      <c r="X274" s="10" t="str">
        <f aca="false">IFERROR(IF([2]对账明细接口!$S274=0,"",[2]对账明细接口!$S274),"")</f>
        <v>公司筐</v>
      </c>
      <c r="Y274" s="10" t="str">
        <f aca="false">IFERROR(IF([2]对账明细接口!$T274=0,"",[2]对账明细接口!$T274),"")</f>
        <v>王照雪</v>
      </c>
      <c r="Z274" s="113" t="str">
        <f aca="false">IFERROR(IF([2]对账明细接口!$U274=0,"",[2]对账明细接口!$U274),"")</f>
        <v/>
      </c>
      <c r="AA274" s="113" t="str">
        <f aca="false">IFERROR(IF([2]对账明细接口!$V274=0,"",[2]对账明细接口!$V274),"")</f>
        <v/>
      </c>
      <c r="AB274" s="10" t="str">
        <f aca="false">IFERROR(IF([2]对账明细接口!$W274=0,"",[2]对账明细接口!$W274),"")</f>
        <v/>
      </c>
      <c r="AC274" s="90" t="str">
        <f aca="false">IFERROR(IF([2]对账明细接口!$X275=0,"",[2]对账明细接口!$X275),"")</f>
        <v>电商/主播</v>
      </c>
      <c r="AD274" s="90" t="str">
        <f aca="false">IFERROR(IF([2]对账明细接口!$Y275=0,"",[2]对账明细接口!$Y275),"")</f>
        <v/>
      </c>
      <c r="AE274" s="90" t="str">
        <f aca="false">IFERROR(IF([2]对账明细接口!$AA275=0,"",[2]对账明细接口!$AA275),"")</f>
        <v/>
      </c>
      <c r="AF274" s="90" t="str">
        <f aca="false">IFERROR(IF([2]对账明细接口!$AB275=0,"",[2]对账明细接口!$AB275),"")</f>
        <v/>
      </c>
      <c r="AG274" s="90" t="str">
        <f aca="false">IFERROR(IF([2]对账明细接口!$AC275=0,"",[2]对账明细接口!$AC275),"")</f>
        <v/>
      </c>
      <c r="AH274" s="90" t="str">
        <f aca="false">IFERROR(IF([2]对账明细接口!$AD275=0,"",[2]对账明细接口!$AD275),"")</f>
        <v>成品出库</v>
      </c>
    </row>
    <row r="275" customFormat="false" ht="13.5" hidden="false" customHeight="false" outlineLevel="0" collapsed="false">
      <c r="A275" s="109" t="n">
        <v>275</v>
      </c>
      <c r="B275" s="110" t="n">
        <f aca="false">IFERROR(IF([2]对账明细接口!$B$275=0,"",[2]对账明细接口!$B$275),"")</f>
        <v>46261</v>
      </c>
      <c r="C275" s="59" t="str">
        <f aca="false">IFERROR(IF([2]对账明细接口!$C$275=0,"",[2]对账明细接口!$C$275),"")</f>
        <v>王照雪</v>
      </c>
      <c r="D275" s="59" t="str">
        <f aca="false">IFERROR(IF([2]对账明细接口!$D$275=0,"",[2]对账明细接口!$D$275),"")</f>
        <v>成品出库－成品出库</v>
      </c>
      <c r="E275" s="59" t="str">
        <f aca="false">IFERROR(IF([2]对账明细接口!$E$275=0,"",[2]对账明细接口!$E$275),"")</f>
        <v>NO:0001040</v>
      </c>
      <c r="F275" s="59" t="str">
        <f aca="false">IFERROR(IF([2]对账明细接口!$F$275=0,"",[2]对账明细接口!$F$275),"")</f>
        <v>苹果</v>
      </c>
      <c r="G275" s="59" t="str">
        <f aca="false">IFERROR(IF([2]对账明细接口!$G$275=0,"",[2]对账明细接口!$G$275),"")</f>
        <v>华硕一级</v>
      </c>
      <c r="H275" s="60" t="n">
        <f aca="false">IFERROR(IF([2]对账明细接口!$H$275=0,"",[2]对账明细接口!$H$275),"")</f>
        <v>63</v>
      </c>
      <c r="I275" s="59" t="str">
        <f aca="false">IFERROR(IF([2]对账明细接口!$I$275=0,"",[2]对账明细接口!$I$275),"")</f>
        <v>箱</v>
      </c>
      <c r="J275" s="61" t="n">
        <f aca="false">IFERROR(IF([2]对账明细接口!$J$275=0,"",[2]对账明细接口!$J$275),"")</f>
        <v>321.3</v>
      </c>
      <c r="K275" s="61" t="str">
        <f aca="false">IFERROR(IF([2]对账明细接口!$K$275=0,"",[2]对账明细接口!$K$275),"")</f>
        <v/>
      </c>
      <c r="L275" s="59" t="str">
        <f aca="false">IFERROR(IF([2]对账明细接口!$L$275=0,"",[2]对账明细接口!$L$275),"")</f>
        <v/>
      </c>
      <c r="M275" s="59" t="str">
        <f aca="false">IFERROR(IF([2]对账明细接口!$M$275=0,"",[2]对账明细接口!$M$275),"")</f>
        <v/>
      </c>
      <c r="N275" s="111" t="n">
        <f aca="false">IF($C275="",0,1)</f>
        <v>1</v>
      </c>
      <c r="O275" s="111" t="n">
        <f aca="false">N(O274)+$N275</f>
        <v>272</v>
      </c>
      <c r="S275" s="10" t="str">
        <f aca="false">IFERROR(IF([2]对账明细接口!$N275=0,"",[2]对账明细接口!$N275),"")</f>
        <v>纸箱</v>
      </c>
      <c r="T275" s="112" t="str">
        <f aca="false">IFERROR(IF([2]对账明细接口!$O275=0,"",[2]对账明细接口!$O275),"")</f>
        <v/>
      </c>
      <c r="U275" s="112" t="str">
        <f aca="false">IFERROR(IF([2]对账明细接口!$P275=0,"",[2]对账明细接口!$P275),"")</f>
        <v/>
      </c>
      <c r="V275" s="112" t="str">
        <f aca="false">IFERROR(IF([2]对账明细接口!$Q275=0,"",[2]对账明细接口!$Q275),"")</f>
        <v/>
      </c>
      <c r="W275" s="10" t="str">
        <f aca="false">IFERROR(IF([2]对账明细接口!$R275=0,"",[2]对账明细接口!$R275),"")</f>
        <v>豫N*P269J</v>
      </c>
      <c r="X275" s="10" t="str">
        <f aca="false">IFERROR(IF([2]对账明细接口!$S275=0,"",[2]对账明细接口!$S275),"")</f>
        <v>公司筐</v>
      </c>
      <c r="Y275" s="10" t="str">
        <f aca="false">IFERROR(IF([2]对账明细接口!$T275=0,"",[2]对账明细接口!$T275),"")</f>
        <v>王照雪</v>
      </c>
      <c r="Z275" s="113" t="str">
        <f aca="false">IFERROR(IF([2]对账明细接口!$U275=0,"",[2]对账明细接口!$U275),"")</f>
        <v/>
      </c>
      <c r="AA275" s="113" t="str">
        <f aca="false">IFERROR(IF([2]对账明细接口!$V275=0,"",[2]对账明细接口!$V275),"")</f>
        <v/>
      </c>
      <c r="AB275" s="10" t="str">
        <f aca="false">IFERROR(IF([2]对账明细接口!$W275=0,"",[2]对账明细接口!$W275),"")</f>
        <v/>
      </c>
      <c r="AC275" s="90" t="str">
        <f aca="false">IFERROR(IF([2]对账明细接口!$X276=0,"",[2]对账明细接口!$X276),"")</f>
        <v>电商/主播</v>
      </c>
      <c r="AD275" s="90" t="str">
        <f aca="false">IFERROR(IF([2]对账明细接口!$Y276=0,"",[2]对账明细接口!$Y276),"")</f>
        <v/>
      </c>
      <c r="AE275" s="90" t="str">
        <f aca="false">IFERROR(IF([2]对账明细接口!$AA276=0,"",[2]对账明细接口!$AA276),"")</f>
        <v/>
      </c>
      <c r="AF275" s="90" t="str">
        <f aca="false">IFERROR(IF([2]对账明细接口!$AB276=0,"",[2]对账明细接口!$AB276),"")</f>
        <v/>
      </c>
      <c r="AG275" s="90" t="str">
        <f aca="false">IFERROR(IF([2]对账明细接口!$AC276=0,"",[2]对账明细接口!$AC276),"")</f>
        <v/>
      </c>
      <c r="AH275" s="90" t="str">
        <f aca="false">IFERROR(IF([2]对账明细接口!$AD276=0,"",[2]对账明细接口!$AD276),"")</f>
        <v>成品出库</v>
      </c>
    </row>
    <row r="276" customFormat="false" ht="13.5" hidden="false" customHeight="false" outlineLevel="0" collapsed="false">
      <c r="A276" s="109" t="n">
        <v>276</v>
      </c>
      <c r="B276" s="110" t="n">
        <f aca="false">IFERROR(IF([2]对账明细接口!$B$276=0,"",[2]对账明细接口!$B$276),"")</f>
        <v>46261</v>
      </c>
      <c r="C276" s="59" t="str">
        <f aca="false">IFERROR(IF([2]对账明细接口!$C$276=0,"",[2]对账明细接口!$C$276),"")</f>
        <v>王照雪</v>
      </c>
      <c r="D276" s="59" t="str">
        <f aca="false">IFERROR(IF([2]对账明细接口!$D$276=0,"",[2]对账明细接口!$D$276),"")</f>
        <v>成品出库－成品出库</v>
      </c>
      <c r="E276" s="59" t="str">
        <f aca="false">IFERROR(IF([2]对账明细接口!$E$276=0,"",[2]对账明细接口!$E$276),"")</f>
        <v>NO:0001040</v>
      </c>
      <c r="F276" s="59" t="str">
        <f aca="false">IFERROR(IF([2]对账明细接口!$F$276=0,"",[2]对账明细接口!$F$276),"")</f>
        <v>苹果</v>
      </c>
      <c r="G276" s="59" t="str">
        <f aca="false">IFERROR(IF([2]对账明细接口!$G$276=0,"",[2]对账明细接口!$G$276),"")</f>
        <v>华硕一级</v>
      </c>
      <c r="H276" s="60" t="n">
        <f aca="false">IFERROR(IF([2]对账明细接口!$H$276=0,"",[2]对账明细接口!$H$276),"")</f>
        <v>26</v>
      </c>
      <c r="I276" s="59" t="str">
        <f aca="false">IFERROR(IF([2]对账明细接口!$I$276=0,"",[2]对账明细接口!$I$276),"")</f>
        <v>箱</v>
      </c>
      <c r="J276" s="61" t="n">
        <f aca="false">IFERROR(IF([2]对账明细接口!$J$276=0,"",[2]对账明细接口!$J$276),"")</f>
        <v>67.6</v>
      </c>
      <c r="K276" s="61" t="str">
        <f aca="false">IFERROR(IF([2]对账明细接口!$K$276=0,"",[2]对账明细接口!$K$276),"")</f>
        <v/>
      </c>
      <c r="L276" s="59" t="str">
        <f aca="false">IFERROR(IF([2]对账明细接口!$L$276=0,"",[2]对账明细接口!$L$276),"")</f>
        <v/>
      </c>
      <c r="M276" s="59" t="str">
        <f aca="false">IFERROR(IF([2]对账明细接口!$M$276=0,"",[2]对账明细接口!$M$276),"")</f>
        <v/>
      </c>
      <c r="N276" s="111" t="n">
        <f aca="false">IF($C276="",0,1)</f>
        <v>1</v>
      </c>
      <c r="O276" s="111" t="n">
        <f aca="false">N(O275)+$N276</f>
        <v>273</v>
      </c>
      <c r="S276" s="10" t="str">
        <f aca="false">IFERROR(IF([2]对账明细接口!$N276=0,"",[2]对账明细接口!$N276),"")</f>
        <v>纸箱</v>
      </c>
      <c r="T276" s="112" t="str">
        <f aca="false">IFERROR(IF([2]对账明细接口!$O276=0,"",[2]对账明细接口!$O276),"")</f>
        <v/>
      </c>
      <c r="U276" s="112" t="str">
        <f aca="false">IFERROR(IF([2]对账明细接口!$P276=0,"",[2]对账明细接口!$P276),"")</f>
        <v/>
      </c>
      <c r="V276" s="112" t="str">
        <f aca="false">IFERROR(IF([2]对账明细接口!$Q276=0,"",[2]对账明细接口!$Q276),"")</f>
        <v/>
      </c>
      <c r="W276" s="10" t="str">
        <f aca="false">IFERROR(IF([2]对账明细接口!$R276=0,"",[2]对账明细接口!$R276),"")</f>
        <v>豫N*P269J</v>
      </c>
      <c r="X276" s="10" t="str">
        <f aca="false">IFERROR(IF([2]对账明细接口!$S276=0,"",[2]对账明细接口!$S276),"")</f>
        <v>公司筐</v>
      </c>
      <c r="Y276" s="10" t="str">
        <f aca="false">IFERROR(IF([2]对账明细接口!$T276=0,"",[2]对账明细接口!$T276),"")</f>
        <v>王照雪</v>
      </c>
      <c r="Z276" s="113" t="str">
        <f aca="false">IFERROR(IF([2]对账明细接口!$U276=0,"",[2]对账明细接口!$U276),"")</f>
        <v/>
      </c>
      <c r="AA276" s="113" t="str">
        <f aca="false">IFERROR(IF([2]对账明细接口!$V276=0,"",[2]对账明细接口!$V276),"")</f>
        <v/>
      </c>
      <c r="AB276" s="10" t="str">
        <f aca="false">IFERROR(IF([2]对账明细接口!$W276=0,"",[2]对账明细接口!$W276),"")</f>
        <v/>
      </c>
      <c r="AC276" s="90" t="str">
        <f aca="false">IFERROR(IF([2]对账明细接口!$X277=0,"",[2]对账明细接口!$X277),"")</f>
        <v>电商/主播</v>
      </c>
      <c r="AD276" s="90" t="str">
        <f aca="false">IFERROR(IF([2]对账明细接口!$Y277=0,"",[2]对账明细接口!$Y277),"")</f>
        <v/>
      </c>
      <c r="AE276" s="90" t="str">
        <f aca="false">IFERROR(IF([2]对账明细接口!$AA277=0,"",[2]对账明细接口!$AA277),"")</f>
        <v/>
      </c>
      <c r="AF276" s="90" t="str">
        <f aca="false">IFERROR(IF([2]对账明细接口!$AB277=0,"",[2]对账明细接口!$AB277),"")</f>
        <v/>
      </c>
      <c r="AG276" s="90" t="str">
        <f aca="false">IFERROR(IF([2]对账明细接口!$AC277=0,"",[2]对账明细接口!$AC277),"")</f>
        <v/>
      </c>
      <c r="AH276" s="90" t="str">
        <f aca="false">IFERROR(IF([2]对账明细接口!$AD277=0,"",[2]对账明细接口!$AD277),"")</f>
        <v>成品出库</v>
      </c>
    </row>
    <row r="277" customFormat="false" ht="13.5" hidden="false" customHeight="false" outlineLevel="0" collapsed="false">
      <c r="A277" s="109" t="n">
        <v>277</v>
      </c>
      <c r="B277" s="110" t="n">
        <f aca="false">IFERROR(IF([2]对账明细接口!$B$277=0,"",[2]对账明细接口!$B$277),"")</f>
        <v>46262</v>
      </c>
      <c r="C277" s="59" t="str">
        <f aca="false">IFERROR(IF([2]对账明细接口!$C$277=0,"",[2]对账明细接口!$C$277),"")</f>
        <v>王照雪</v>
      </c>
      <c r="D277" s="59" t="str">
        <f aca="false">IFERROR(IF([2]对账明细接口!$D$277=0,"",[2]对账明细接口!$D$277),"")</f>
        <v>成品出库－成品出库</v>
      </c>
      <c r="E277" s="59" t="str">
        <f aca="false">IFERROR(IF([2]对账明细接口!$E$277=0,"",[2]对账明细接口!$E$277),"")</f>
        <v>NO:0001043</v>
      </c>
      <c r="F277" s="59" t="str">
        <f aca="false">IFERROR(IF([2]对账明细接口!$F$277=0,"",[2]对账明细接口!$F$277),"")</f>
        <v>苹果</v>
      </c>
      <c r="G277" s="59" t="str">
        <f aca="false">IFERROR(IF([2]对账明细接口!$G$277=0,"",[2]对账明细接口!$G$277),"")</f>
        <v>华硕一级</v>
      </c>
      <c r="H277" s="60" t="n">
        <f aca="false">IFERROR(IF([2]对账明细接口!$H$277=0,"",[2]对账明细接口!$H$277),"")</f>
        <v>29</v>
      </c>
      <c r="I277" s="59" t="str">
        <f aca="false">IFERROR(IF([2]对账明细接口!$I$277=0,"",[2]对账明细接口!$I$277),"")</f>
        <v>箱</v>
      </c>
      <c r="J277" s="61" t="n">
        <f aca="false">IFERROR(IF([2]对账明细接口!$J$277=0,"",[2]对账明细接口!$J$277),"")</f>
        <v>147.9</v>
      </c>
      <c r="K277" s="61" t="str">
        <f aca="false">IFERROR(IF([2]对账明细接口!$K$277=0,"",[2]对账明细接口!$K$277),"")</f>
        <v/>
      </c>
      <c r="L277" s="59" t="str">
        <f aca="false">IFERROR(IF([2]对账明细接口!$L$277=0,"",[2]对账明细接口!$L$277),"")</f>
        <v/>
      </c>
      <c r="M277" s="59" t="str">
        <f aca="false">IFERROR(IF([2]对账明细接口!$M$277=0,"",[2]对账明细接口!$M$277),"")</f>
        <v/>
      </c>
      <c r="N277" s="111" t="n">
        <f aca="false">IF($C277="",0,1)</f>
        <v>1</v>
      </c>
      <c r="O277" s="111" t="n">
        <f aca="false">N(O276)+$N277</f>
        <v>274</v>
      </c>
      <c r="S277" s="10" t="str">
        <f aca="false">IFERROR(IF([2]对账明细接口!$N277=0,"",[2]对账明细接口!$N277),"")</f>
        <v>纸箱</v>
      </c>
      <c r="T277" s="112" t="str">
        <f aca="false">IFERROR(IF([2]对账明细接口!$O277=0,"",[2]对账明细接口!$O277),"")</f>
        <v/>
      </c>
      <c r="U277" s="112" t="str">
        <f aca="false">IFERROR(IF([2]对账明细接口!$P277=0,"",[2]对账明细接口!$P277),"")</f>
        <v/>
      </c>
      <c r="V277" s="112" t="str">
        <f aca="false">IFERROR(IF([2]对账明细接口!$Q277=0,"",[2]对账明细接口!$Q277),"")</f>
        <v/>
      </c>
      <c r="W277" s="10" t="str">
        <f aca="false">IFERROR(IF([2]对账明细接口!$R277=0,"",[2]对账明细接口!$R277),"")</f>
        <v>豫N*P269J</v>
      </c>
      <c r="X277" s="10" t="str">
        <f aca="false">IFERROR(IF([2]对账明细接口!$S277=0,"",[2]对账明细接口!$S277),"")</f>
        <v>公司筐</v>
      </c>
      <c r="Y277" s="10" t="str">
        <f aca="false">IFERROR(IF([2]对账明细接口!$T277=0,"",[2]对账明细接口!$T277),"")</f>
        <v>王照雪</v>
      </c>
      <c r="Z277" s="113" t="str">
        <f aca="false">IFERROR(IF([2]对账明细接口!$U277=0,"",[2]对账明细接口!$U277),"")</f>
        <v/>
      </c>
      <c r="AA277" s="113" t="str">
        <f aca="false">IFERROR(IF([2]对账明细接口!$V277=0,"",[2]对账明细接口!$V277),"")</f>
        <v/>
      </c>
      <c r="AB277" s="10" t="str">
        <f aca="false">IFERROR(IF([2]对账明细接口!$W277=0,"",[2]对账明细接口!$W277),"")</f>
        <v/>
      </c>
      <c r="AC277" s="90" t="str">
        <f aca="false">IFERROR(IF([2]对账明细接口!$X278=0,"",[2]对账明细接口!$X278),"")</f>
        <v>电商/主播</v>
      </c>
      <c r="AD277" s="90" t="str">
        <f aca="false">IFERROR(IF([2]对账明细接口!$Y278=0,"",[2]对账明细接口!$Y278),"")</f>
        <v/>
      </c>
      <c r="AE277" s="90" t="str">
        <f aca="false">IFERROR(IF([2]对账明细接口!$AA278=0,"",[2]对账明细接口!$AA278),"")</f>
        <v/>
      </c>
      <c r="AF277" s="90" t="str">
        <f aca="false">IFERROR(IF([2]对账明细接口!$AB278=0,"",[2]对账明细接口!$AB278),"")</f>
        <v/>
      </c>
      <c r="AG277" s="90" t="str">
        <f aca="false">IFERROR(IF([2]对账明细接口!$AC278=0,"",[2]对账明细接口!$AC278),"")</f>
        <v/>
      </c>
      <c r="AH277" s="90" t="str">
        <f aca="false">IFERROR(IF([2]对账明细接口!$AD278=0,"",[2]对账明细接口!$AD278),"")</f>
        <v>成品出库</v>
      </c>
    </row>
    <row r="278" customFormat="false" ht="13.5" hidden="false" customHeight="false" outlineLevel="0" collapsed="false">
      <c r="A278" s="109" t="n">
        <v>278</v>
      </c>
      <c r="B278" s="110" t="n">
        <f aca="false">IFERROR(IF([2]对账明细接口!$B$278=0,"",[2]对账明细接口!$B$278),"")</f>
        <v>46262</v>
      </c>
      <c r="C278" s="59" t="str">
        <f aca="false">IFERROR(IF([2]对账明细接口!$C$278=0,"",[2]对账明细接口!$C$278),"")</f>
        <v>王照雪</v>
      </c>
      <c r="D278" s="59" t="str">
        <f aca="false">IFERROR(IF([2]对账明细接口!$D$278=0,"",[2]对账明细接口!$D$278),"")</f>
        <v>成品出库－成品出库</v>
      </c>
      <c r="E278" s="59" t="str">
        <f aca="false">IFERROR(IF([2]对账明细接口!$E$278=0,"",[2]对账明细接口!$E$278),"")</f>
        <v>NO:0001043</v>
      </c>
      <c r="F278" s="59" t="str">
        <f aca="false">IFERROR(IF([2]对账明细接口!$F$278=0,"",[2]对账明细接口!$F$278),"")</f>
        <v>苹果</v>
      </c>
      <c r="G278" s="59" t="str">
        <f aca="false">IFERROR(IF([2]对账明细接口!$G$278=0,"",[2]对账明细接口!$G$278),"")</f>
        <v>华硕一级</v>
      </c>
      <c r="H278" s="60" t="n">
        <f aca="false">IFERROR(IF([2]对账明细接口!$H$278=0,"",[2]对账明细接口!$H$278),"")</f>
        <v>12</v>
      </c>
      <c r="I278" s="59" t="str">
        <f aca="false">IFERROR(IF([2]对账明细接口!$I$278=0,"",[2]对账明细接口!$I$278),"")</f>
        <v>箱</v>
      </c>
      <c r="J278" s="61" t="n">
        <f aca="false">IFERROR(IF([2]对账明细接口!$J$278=0,"",[2]对账明细接口!$J$278),"")</f>
        <v>31.2</v>
      </c>
      <c r="K278" s="61" t="str">
        <f aca="false">IFERROR(IF([2]对账明细接口!$K$278=0,"",[2]对账明细接口!$K$278),"")</f>
        <v/>
      </c>
      <c r="L278" s="59" t="str">
        <f aca="false">IFERROR(IF([2]对账明细接口!$L$278=0,"",[2]对账明细接口!$L$278),"")</f>
        <v/>
      </c>
      <c r="M278" s="59" t="str">
        <f aca="false">IFERROR(IF([2]对账明细接口!$M$278=0,"",[2]对账明细接口!$M$278),"")</f>
        <v/>
      </c>
      <c r="N278" s="111" t="n">
        <f aca="false">IF($C278="",0,1)</f>
        <v>1</v>
      </c>
      <c r="O278" s="111" t="n">
        <f aca="false">N(O277)+$N278</f>
        <v>275</v>
      </c>
      <c r="S278" s="10" t="str">
        <f aca="false">IFERROR(IF([2]对账明细接口!$N278=0,"",[2]对账明细接口!$N278),"")</f>
        <v>纸箱</v>
      </c>
      <c r="T278" s="112" t="str">
        <f aca="false">IFERROR(IF([2]对账明细接口!$O278=0,"",[2]对账明细接口!$O278),"")</f>
        <v/>
      </c>
      <c r="U278" s="112" t="str">
        <f aca="false">IFERROR(IF([2]对账明细接口!$P278=0,"",[2]对账明细接口!$P278),"")</f>
        <v/>
      </c>
      <c r="V278" s="112" t="str">
        <f aca="false">IFERROR(IF([2]对账明细接口!$Q278=0,"",[2]对账明细接口!$Q278),"")</f>
        <v/>
      </c>
      <c r="W278" s="10" t="str">
        <f aca="false">IFERROR(IF([2]对账明细接口!$R278=0,"",[2]对账明细接口!$R278),"")</f>
        <v>豫N*P269J</v>
      </c>
      <c r="X278" s="10" t="str">
        <f aca="false">IFERROR(IF([2]对账明细接口!$S278=0,"",[2]对账明细接口!$S278),"")</f>
        <v>公司筐</v>
      </c>
      <c r="Y278" s="10" t="str">
        <f aca="false">IFERROR(IF([2]对账明细接口!$T278=0,"",[2]对账明细接口!$T278),"")</f>
        <v>王照雪</v>
      </c>
      <c r="Z278" s="113" t="str">
        <f aca="false">IFERROR(IF([2]对账明细接口!$U278=0,"",[2]对账明细接口!$U278),"")</f>
        <v/>
      </c>
      <c r="AA278" s="113" t="str">
        <f aca="false">IFERROR(IF([2]对账明细接口!$V278=0,"",[2]对账明细接口!$V278),"")</f>
        <v/>
      </c>
      <c r="AB278" s="10" t="str">
        <f aca="false">IFERROR(IF([2]对账明细接口!$W278=0,"",[2]对账明细接口!$W278),"")</f>
        <v/>
      </c>
      <c r="AC278" s="90" t="str">
        <f aca="false">IFERROR(IF([2]对账明细接口!$X279=0,"",[2]对账明细接口!$X279),"")</f>
        <v>电商/主播</v>
      </c>
      <c r="AD278" s="90" t="str">
        <f aca="false">IFERROR(IF([2]对账明细接口!$Y279=0,"",[2]对账明细接口!$Y279),"")</f>
        <v/>
      </c>
      <c r="AE278" s="90" t="str">
        <f aca="false">IFERROR(IF([2]对账明细接口!$AA279=0,"",[2]对账明细接口!$AA279),"")</f>
        <v/>
      </c>
      <c r="AF278" s="90" t="str">
        <f aca="false">IFERROR(IF([2]对账明细接口!$AB279=0,"",[2]对账明细接口!$AB279),"")</f>
        <v/>
      </c>
      <c r="AG278" s="90" t="str">
        <f aca="false">IFERROR(IF([2]对账明细接口!$AC279=0,"",[2]对账明细接口!$AC279),"")</f>
        <v/>
      </c>
      <c r="AH278" s="90" t="str">
        <f aca="false">IFERROR(IF([2]对账明细接口!$AD279=0,"",[2]对账明细接口!$AD279),"")</f>
        <v>成品出库</v>
      </c>
    </row>
    <row r="279" customFormat="false" ht="13.5" hidden="false" customHeight="false" outlineLevel="0" collapsed="false">
      <c r="A279" s="109" t="n">
        <v>279</v>
      </c>
      <c r="B279" s="110" t="n">
        <f aca="false">IFERROR(IF([2]对账明细接口!$B$279=0,"",[2]对账明细接口!$B$279),"")</f>
        <v>46263</v>
      </c>
      <c r="C279" s="59" t="str">
        <f aca="false">IFERROR(IF([2]对账明细接口!$C$279=0,"",[2]对账明细接口!$C$279),"")</f>
        <v>王照雪</v>
      </c>
      <c r="D279" s="59" t="str">
        <f aca="false">IFERROR(IF([2]对账明细接口!$D$279=0,"",[2]对账明细接口!$D$279),"")</f>
        <v>成品出库－成品出库</v>
      </c>
      <c r="E279" s="59" t="str">
        <f aca="false">IFERROR(IF([2]对账明细接口!$E$279=0,"",[2]对账明细接口!$E$279),"")</f>
        <v>NO:0001048</v>
      </c>
      <c r="F279" s="59" t="str">
        <f aca="false">IFERROR(IF([2]对账明细接口!$F$279=0,"",[2]对账明细接口!$F$279),"")</f>
        <v>苹果</v>
      </c>
      <c r="G279" s="59" t="str">
        <f aca="false">IFERROR(IF([2]对账明细接口!$G$279=0,"",[2]对账明细接口!$G$279),"")</f>
        <v>华硕一级</v>
      </c>
      <c r="H279" s="60" t="n">
        <f aca="false">IFERROR(IF([2]对账明细接口!$H$279=0,"",[2]对账明细接口!$H$279),"")</f>
        <v>68</v>
      </c>
      <c r="I279" s="59" t="str">
        <f aca="false">IFERROR(IF([2]对账明细接口!$I$279=0,"",[2]对账明细接口!$I$279),"")</f>
        <v>箱</v>
      </c>
      <c r="J279" s="61" t="n">
        <f aca="false">IFERROR(IF([2]对账明细接口!$J$279=0,"",[2]对账明细接口!$J$279),"")</f>
        <v>346.8</v>
      </c>
      <c r="K279" s="61" t="str">
        <f aca="false">IFERROR(IF([2]对账明细接口!$K$279=0,"",[2]对账明细接口!$K$279),"")</f>
        <v/>
      </c>
      <c r="L279" s="59" t="str">
        <f aca="false">IFERROR(IF([2]对账明细接口!$L$279=0,"",[2]对账明细接口!$L$279),"")</f>
        <v/>
      </c>
      <c r="M279" s="59" t="str">
        <f aca="false">IFERROR(IF([2]对账明细接口!$M$279=0,"",[2]对账明细接口!$M$279),"")</f>
        <v/>
      </c>
      <c r="N279" s="111" t="n">
        <f aca="false">IF($C279="",0,1)</f>
        <v>1</v>
      </c>
      <c r="O279" s="111" t="n">
        <f aca="false">N(O278)+$N279</f>
        <v>276</v>
      </c>
      <c r="S279" s="10" t="str">
        <f aca="false">IFERROR(IF([2]对账明细接口!$N279=0,"",[2]对账明细接口!$N279),"")</f>
        <v>纸箱</v>
      </c>
      <c r="T279" s="112" t="str">
        <f aca="false">IFERROR(IF([2]对账明细接口!$O279=0,"",[2]对账明细接口!$O279),"")</f>
        <v/>
      </c>
      <c r="U279" s="112" t="str">
        <f aca="false">IFERROR(IF([2]对账明细接口!$P279=0,"",[2]对账明细接口!$P279),"")</f>
        <v/>
      </c>
      <c r="V279" s="112" t="str">
        <f aca="false">IFERROR(IF([2]对账明细接口!$Q279=0,"",[2]对账明细接口!$Q279),"")</f>
        <v/>
      </c>
      <c r="W279" s="10" t="str">
        <f aca="false">IFERROR(IF([2]对账明细接口!$R279=0,"",[2]对账明细接口!$R279),"")</f>
        <v>豫N*P269J</v>
      </c>
      <c r="X279" s="10" t="str">
        <f aca="false">IFERROR(IF([2]对账明细接口!$S279=0,"",[2]对账明细接口!$S279),"")</f>
        <v>公司筐</v>
      </c>
      <c r="Y279" s="10" t="str">
        <f aca="false">IFERROR(IF([2]对账明细接口!$T279=0,"",[2]对账明细接口!$T279),"")</f>
        <v>王照雪</v>
      </c>
      <c r="Z279" s="113" t="str">
        <f aca="false">IFERROR(IF([2]对账明细接口!$U279=0,"",[2]对账明细接口!$U279),"")</f>
        <v/>
      </c>
      <c r="AA279" s="113" t="str">
        <f aca="false">IFERROR(IF([2]对账明细接口!$V279=0,"",[2]对账明细接口!$V279),"")</f>
        <v/>
      </c>
      <c r="AB279" s="10" t="str">
        <f aca="false">IFERROR(IF([2]对账明细接口!$W279=0,"",[2]对账明细接口!$W279),"")</f>
        <v/>
      </c>
      <c r="AC279" s="90" t="str">
        <f aca="false">IFERROR(IF([2]对账明细接口!$X280=0,"",[2]对账明细接口!$X280),"")</f>
        <v>电商/主播</v>
      </c>
      <c r="AD279" s="90" t="str">
        <f aca="false">IFERROR(IF([2]对账明细接口!$Y280=0,"",[2]对账明细接口!$Y280),"")</f>
        <v/>
      </c>
      <c r="AE279" s="90" t="str">
        <f aca="false">IFERROR(IF([2]对账明细接口!$AA280=0,"",[2]对账明细接口!$AA280),"")</f>
        <v/>
      </c>
      <c r="AF279" s="90" t="str">
        <f aca="false">IFERROR(IF([2]对账明细接口!$AB280=0,"",[2]对账明细接口!$AB280),"")</f>
        <v/>
      </c>
      <c r="AG279" s="90" t="str">
        <f aca="false">IFERROR(IF([2]对账明细接口!$AC280=0,"",[2]对账明细接口!$AC280),"")</f>
        <v/>
      </c>
      <c r="AH279" s="90" t="str">
        <f aca="false">IFERROR(IF([2]对账明细接口!$AD280=0,"",[2]对账明细接口!$AD280),"")</f>
        <v>成品出库</v>
      </c>
    </row>
    <row r="280" customFormat="false" ht="13.5" hidden="false" customHeight="false" outlineLevel="0" collapsed="false">
      <c r="A280" s="109" t="n">
        <v>280</v>
      </c>
      <c r="B280" s="110" t="n">
        <f aca="false">IFERROR(IF([2]对账明细接口!$B$280=0,"",[2]对账明细接口!$B$280),"")</f>
        <v>46263</v>
      </c>
      <c r="C280" s="59" t="str">
        <f aca="false">IFERROR(IF([2]对账明细接口!$C$280=0,"",[2]对账明细接口!$C$280),"")</f>
        <v>王照雪</v>
      </c>
      <c r="D280" s="59" t="str">
        <f aca="false">IFERROR(IF([2]对账明细接口!$D$280=0,"",[2]对账明细接口!$D$280),"")</f>
        <v>成品出库－成品出库</v>
      </c>
      <c r="E280" s="59" t="str">
        <f aca="false">IFERROR(IF([2]对账明细接口!$E$280=0,"",[2]对账明细接口!$E$280),"")</f>
        <v>NO:0001048</v>
      </c>
      <c r="F280" s="59" t="str">
        <f aca="false">IFERROR(IF([2]对账明细接口!$F$280=0,"",[2]对账明细接口!$F$280),"")</f>
        <v>苹果</v>
      </c>
      <c r="G280" s="59" t="str">
        <f aca="false">IFERROR(IF([2]对账明细接口!$G$280=0,"",[2]对账明细接口!$G$280),"")</f>
        <v>华硕一级</v>
      </c>
      <c r="H280" s="60" t="n">
        <f aca="false">IFERROR(IF([2]对账明细接口!$H$280=0,"",[2]对账明细接口!$H$280),"")</f>
        <v>22</v>
      </c>
      <c r="I280" s="59" t="str">
        <f aca="false">IFERROR(IF([2]对账明细接口!$I$280=0,"",[2]对账明细接口!$I$280),"")</f>
        <v>箱</v>
      </c>
      <c r="J280" s="61" t="n">
        <f aca="false">IFERROR(IF([2]对账明细接口!$J$280=0,"",[2]对账明细接口!$J$280),"")</f>
        <v>57.2</v>
      </c>
      <c r="K280" s="61" t="str">
        <f aca="false">IFERROR(IF([2]对账明细接口!$K$280=0,"",[2]对账明细接口!$K$280),"")</f>
        <v/>
      </c>
      <c r="L280" s="59" t="str">
        <f aca="false">IFERROR(IF([2]对账明细接口!$L$280=0,"",[2]对账明细接口!$L$280),"")</f>
        <v/>
      </c>
      <c r="M280" s="59" t="str">
        <f aca="false">IFERROR(IF([2]对账明细接口!$M$280=0,"",[2]对账明细接口!$M$280),"")</f>
        <v/>
      </c>
      <c r="N280" s="111" t="n">
        <f aca="false">IF($C280="",0,1)</f>
        <v>1</v>
      </c>
      <c r="O280" s="111" t="n">
        <f aca="false">N(O279)+$N280</f>
        <v>277</v>
      </c>
      <c r="S280" s="10" t="str">
        <f aca="false">IFERROR(IF([2]对账明细接口!$N280=0,"",[2]对账明细接口!$N280),"")</f>
        <v>纸箱</v>
      </c>
      <c r="T280" s="112" t="str">
        <f aca="false">IFERROR(IF([2]对账明细接口!$O280=0,"",[2]对账明细接口!$O280),"")</f>
        <v/>
      </c>
      <c r="U280" s="112" t="str">
        <f aca="false">IFERROR(IF([2]对账明细接口!$P280=0,"",[2]对账明细接口!$P280),"")</f>
        <v/>
      </c>
      <c r="V280" s="112" t="str">
        <f aca="false">IFERROR(IF([2]对账明细接口!$Q280=0,"",[2]对账明细接口!$Q280),"")</f>
        <v/>
      </c>
      <c r="W280" s="10" t="str">
        <f aca="false">IFERROR(IF([2]对账明细接口!$R280=0,"",[2]对账明细接口!$R280),"")</f>
        <v>豫N*P269J</v>
      </c>
      <c r="X280" s="10" t="str">
        <f aca="false">IFERROR(IF([2]对账明细接口!$S280=0,"",[2]对账明细接口!$S280),"")</f>
        <v>公司筐</v>
      </c>
      <c r="Y280" s="10" t="str">
        <f aca="false">IFERROR(IF([2]对账明细接口!$T280=0,"",[2]对账明细接口!$T280),"")</f>
        <v>王照雪</v>
      </c>
      <c r="Z280" s="113" t="str">
        <f aca="false">IFERROR(IF([2]对账明细接口!$U280=0,"",[2]对账明细接口!$U280),"")</f>
        <v/>
      </c>
      <c r="AA280" s="113" t="str">
        <f aca="false">IFERROR(IF([2]对账明细接口!$V280=0,"",[2]对账明细接口!$V280),"")</f>
        <v/>
      </c>
      <c r="AB280" s="10" t="str">
        <f aca="false">IFERROR(IF([2]对账明细接口!$W280=0,"",[2]对账明细接口!$W280),"")</f>
        <v/>
      </c>
      <c r="AC280" s="90" t="str">
        <f aca="false">IFERROR(IF([2]对账明细接口!$X281=0,"",[2]对账明细接口!$X281),"")</f>
        <v>电商/主播</v>
      </c>
      <c r="AD280" s="90" t="str">
        <f aca="false">IFERROR(IF([2]对账明细接口!$Y281=0,"",[2]对账明细接口!$Y281),"")</f>
        <v/>
      </c>
      <c r="AE280" s="90" t="str">
        <f aca="false">IFERROR(IF([2]对账明细接口!$AA281=0,"",[2]对账明细接口!$AA281),"")</f>
        <v/>
      </c>
      <c r="AF280" s="90" t="str">
        <f aca="false">IFERROR(IF([2]对账明细接口!$AB281=0,"",[2]对账明细接口!$AB281),"")</f>
        <v/>
      </c>
      <c r="AG280" s="90" t="str">
        <f aca="false">IFERROR(IF([2]对账明细接口!$AC281=0,"",[2]对账明细接口!$AC281),"")</f>
        <v/>
      </c>
      <c r="AH280" s="90" t="str">
        <f aca="false">IFERROR(IF([2]对账明细接口!$AD281=0,"",[2]对账明细接口!$AD281),"")</f>
        <v>成品出库</v>
      </c>
    </row>
    <row r="281" customFormat="false" ht="13.5" hidden="false" customHeight="false" outlineLevel="0" collapsed="false">
      <c r="A281" s="109" t="n">
        <v>281</v>
      </c>
      <c r="B281" s="110" t="n">
        <f aca="false">IFERROR(IF([2]对账明细接口!$B$281=0,"",[2]对账明细接口!$B$281),"")</f>
        <v>46264</v>
      </c>
      <c r="C281" s="59" t="str">
        <f aca="false">IFERROR(IF([2]对账明细接口!$C$281=0,"",[2]对账明细接口!$C$281),"")</f>
        <v>王照雪</v>
      </c>
      <c r="D281" s="59" t="str">
        <f aca="false">IFERROR(IF([2]对账明细接口!$D$281=0,"",[2]对账明细接口!$D$281),"")</f>
        <v>成品出库－成品出库</v>
      </c>
      <c r="E281" s="59" t="str">
        <f aca="false">IFERROR(IF([2]对账明细接口!$E$281=0,"",[2]对账明细接口!$E$281),"")</f>
        <v>NO:0001052</v>
      </c>
      <c r="F281" s="59" t="str">
        <f aca="false">IFERROR(IF([2]对账明细接口!$F$281=0,"",[2]对账明细接口!$F$281),"")</f>
        <v>苹果</v>
      </c>
      <c r="G281" s="59" t="str">
        <f aca="false">IFERROR(IF([2]对账明细接口!$G$281=0,"",[2]对账明细接口!$G$281),"")</f>
        <v>华硕一级</v>
      </c>
      <c r="H281" s="60" t="n">
        <f aca="false">IFERROR(IF([2]对账明细接口!$H$281=0,"",[2]对账明细接口!$H$281),"")</f>
        <v>484</v>
      </c>
      <c r="I281" s="59" t="str">
        <f aca="false">IFERROR(IF([2]对账明细接口!$I$281=0,"",[2]对账明细接口!$I$281),"")</f>
        <v>箱</v>
      </c>
      <c r="J281" s="61" t="n">
        <f aca="false">IFERROR(IF([2]对账明细接口!$J$281=0,"",[2]对账明细接口!$J$281),"")</f>
        <v>2468.4</v>
      </c>
      <c r="K281" s="61" t="str">
        <f aca="false">IFERROR(IF([2]对账明细接口!$K$281=0,"",[2]对账明细接口!$K$281),"")</f>
        <v/>
      </c>
      <c r="L281" s="59" t="str">
        <f aca="false">IFERROR(IF([2]对账明细接口!$L$281=0,"",[2]对账明细接口!$L$281),"")</f>
        <v/>
      </c>
      <c r="M281" s="59" t="str">
        <f aca="false">IFERROR(IF([2]对账明细接口!$M$281=0,"",[2]对账明细接口!$M$281),"")</f>
        <v/>
      </c>
      <c r="N281" s="111" t="n">
        <f aca="false">IF($C281="",0,1)</f>
        <v>1</v>
      </c>
      <c r="O281" s="111" t="n">
        <f aca="false">N(O280)+$N281</f>
        <v>278</v>
      </c>
      <c r="S281" s="10" t="str">
        <f aca="false">IFERROR(IF([2]对账明细接口!$N281=0,"",[2]对账明细接口!$N281),"")</f>
        <v>纸箱</v>
      </c>
      <c r="T281" s="112" t="str">
        <f aca="false">IFERROR(IF([2]对账明细接口!$O281=0,"",[2]对账明细接口!$O281),"")</f>
        <v/>
      </c>
      <c r="U281" s="112" t="str">
        <f aca="false">IFERROR(IF([2]对账明细接口!$P281=0,"",[2]对账明细接口!$P281),"")</f>
        <v/>
      </c>
      <c r="V281" s="112" t="str">
        <f aca="false">IFERROR(IF([2]对账明细接口!$Q281=0,"",[2]对账明细接口!$Q281),"")</f>
        <v/>
      </c>
      <c r="W281" s="10" t="str">
        <f aca="false">IFERROR(IF([2]对账明细接口!$R281=0,"",[2]对账明细接口!$R281),"")</f>
        <v>豫N*P269J</v>
      </c>
      <c r="X281" s="10" t="str">
        <f aca="false">IFERROR(IF([2]对账明细接口!$S281=0,"",[2]对账明细接口!$S281),"")</f>
        <v>公司筐</v>
      </c>
      <c r="Y281" s="10" t="str">
        <f aca="false">IFERROR(IF([2]对账明细接口!$T281=0,"",[2]对账明细接口!$T281),"")</f>
        <v>王照雪</v>
      </c>
      <c r="Z281" s="113" t="str">
        <f aca="false">IFERROR(IF([2]对账明细接口!$U281=0,"",[2]对账明细接口!$U281),"")</f>
        <v/>
      </c>
      <c r="AA281" s="113" t="str">
        <f aca="false">IFERROR(IF([2]对账明细接口!$V281=0,"",[2]对账明细接口!$V281),"")</f>
        <v/>
      </c>
      <c r="AB281" s="10" t="str">
        <f aca="false">IFERROR(IF([2]对账明细接口!$W281=0,"",[2]对账明细接口!$W281),"")</f>
        <v/>
      </c>
      <c r="AC281" s="90" t="str">
        <f aca="false">IFERROR(IF([2]对账明细接口!$X282=0,"",[2]对账明细接口!$X282),"")</f>
        <v>电商/主播</v>
      </c>
      <c r="AD281" s="90" t="str">
        <f aca="false">IFERROR(IF([2]对账明细接口!$Y282=0,"",[2]对账明细接口!$Y282),"")</f>
        <v/>
      </c>
      <c r="AE281" s="90" t="str">
        <f aca="false">IFERROR(IF([2]对账明细接口!$AA282=0,"",[2]对账明细接口!$AA282),"")</f>
        <v/>
      </c>
      <c r="AF281" s="90" t="str">
        <f aca="false">IFERROR(IF([2]对账明细接口!$AB282=0,"",[2]对账明细接口!$AB282),"")</f>
        <v/>
      </c>
      <c r="AG281" s="90" t="str">
        <f aca="false">IFERROR(IF([2]对账明细接口!$AC282=0,"",[2]对账明细接口!$AC282),"")</f>
        <v/>
      </c>
      <c r="AH281" s="90" t="str">
        <f aca="false">IFERROR(IF([2]对账明细接口!$AD282=0,"",[2]对账明细接口!$AD282),"")</f>
        <v>成品出库</v>
      </c>
    </row>
    <row r="282" customFormat="false" ht="13.5" hidden="false" customHeight="false" outlineLevel="0" collapsed="false">
      <c r="A282" s="109" t="n">
        <v>282</v>
      </c>
      <c r="B282" s="110" t="n">
        <f aca="false">IFERROR(IF([2]对账明细接口!$B$282=0,"",[2]对账明细接口!$B$282),"")</f>
        <v>46264</v>
      </c>
      <c r="C282" s="59" t="str">
        <f aca="false">IFERROR(IF([2]对账明细接口!$C$282=0,"",[2]对账明细接口!$C$282),"")</f>
        <v>王照雪</v>
      </c>
      <c r="D282" s="59" t="str">
        <f aca="false">IFERROR(IF([2]对账明细接口!$D$282=0,"",[2]对账明细接口!$D$282),"")</f>
        <v>成品出库－成品出库</v>
      </c>
      <c r="E282" s="59" t="str">
        <f aca="false">IFERROR(IF([2]对账明细接口!$E$282=0,"",[2]对账明细接口!$E$282),"")</f>
        <v>NO:0001053</v>
      </c>
      <c r="F282" s="59" t="str">
        <f aca="false">IFERROR(IF([2]对账明细接口!$F$282=0,"",[2]对账明细接口!$F$282),"")</f>
        <v>苹果</v>
      </c>
      <c r="G282" s="59" t="str">
        <f aca="false">IFERROR(IF([2]对账明细接口!$G$282=0,"",[2]对账明细接口!$G$282),"")</f>
        <v>华硕一级</v>
      </c>
      <c r="H282" s="60" t="n">
        <f aca="false">IFERROR(IF([2]对账明细接口!$H$282=0,"",[2]对账明细接口!$H$282),"")</f>
        <v>320</v>
      </c>
      <c r="I282" s="59" t="str">
        <f aca="false">IFERROR(IF([2]对账明细接口!$I$282=0,"",[2]对账明细接口!$I$282),"")</f>
        <v>箱</v>
      </c>
      <c r="J282" s="61" t="n">
        <f aca="false">IFERROR(IF([2]对账明细接口!$J$282=0,"",[2]对账明细接口!$J$282),"")</f>
        <v>1632</v>
      </c>
      <c r="K282" s="61" t="str">
        <f aca="false">IFERROR(IF([2]对账明细接口!$K$282=0,"",[2]对账明细接口!$K$282),"")</f>
        <v/>
      </c>
      <c r="L282" s="59" t="str">
        <f aca="false">IFERROR(IF([2]对账明细接口!$L$282=0,"",[2]对账明细接口!$L$282),"")</f>
        <v/>
      </c>
      <c r="M282" s="59" t="str">
        <f aca="false">IFERROR(IF([2]对账明细接口!$M$282=0,"",[2]对账明细接口!$M$282),"")</f>
        <v/>
      </c>
      <c r="N282" s="111" t="n">
        <f aca="false">IF($C282="",0,1)</f>
        <v>1</v>
      </c>
      <c r="O282" s="111" t="n">
        <f aca="false">N(O281)+$N282</f>
        <v>279</v>
      </c>
      <c r="S282" s="10" t="str">
        <f aca="false">IFERROR(IF([2]对账明细接口!$N282=0,"",[2]对账明细接口!$N282),"")</f>
        <v>纸箱</v>
      </c>
      <c r="T282" s="112" t="str">
        <f aca="false">IFERROR(IF([2]对账明细接口!$O282=0,"",[2]对账明细接口!$O282),"")</f>
        <v/>
      </c>
      <c r="U282" s="112" t="str">
        <f aca="false">IFERROR(IF([2]对账明细接口!$P282=0,"",[2]对账明细接口!$P282),"")</f>
        <v/>
      </c>
      <c r="V282" s="112" t="str">
        <f aca="false">IFERROR(IF([2]对账明细接口!$Q282=0,"",[2]对账明细接口!$Q282),"")</f>
        <v/>
      </c>
      <c r="W282" s="10" t="str">
        <f aca="false">IFERROR(IF([2]对账明细接口!$R282=0,"",[2]对账明细接口!$R282),"")</f>
        <v>豫N*P269J</v>
      </c>
      <c r="X282" s="10" t="str">
        <f aca="false">IFERROR(IF([2]对账明细接口!$S282=0,"",[2]对账明细接口!$S282),"")</f>
        <v>公司筐</v>
      </c>
      <c r="Y282" s="10" t="str">
        <f aca="false">IFERROR(IF([2]对账明细接口!$T282=0,"",[2]对账明细接口!$T282),"")</f>
        <v>王照雪</v>
      </c>
      <c r="Z282" s="113" t="str">
        <f aca="false">IFERROR(IF([2]对账明细接口!$U282=0,"",[2]对账明细接口!$U282),"")</f>
        <v/>
      </c>
      <c r="AA282" s="113" t="str">
        <f aca="false">IFERROR(IF([2]对账明细接口!$V282=0,"",[2]对账明细接口!$V282),"")</f>
        <v/>
      </c>
      <c r="AB282" s="10" t="str">
        <f aca="false">IFERROR(IF([2]对账明细接口!$W282=0,"",[2]对账明细接口!$W282),"")</f>
        <v/>
      </c>
      <c r="AC282" s="90" t="str">
        <f aca="false">IFERROR(IF([2]对账明细接口!$X283=0,"",[2]对账明细接口!$X283),"")</f>
        <v>电商/主播</v>
      </c>
      <c r="AD282" s="90" t="str">
        <f aca="false">IFERROR(IF([2]对账明细接口!$Y283=0,"",[2]对账明细接口!$Y283),"")</f>
        <v/>
      </c>
      <c r="AE282" s="90" t="str">
        <f aca="false">IFERROR(IF([2]对账明细接口!$AA283=0,"",[2]对账明细接口!$AA283),"")</f>
        <v/>
      </c>
      <c r="AF282" s="90" t="str">
        <f aca="false">IFERROR(IF([2]对账明细接口!$AB283=0,"",[2]对账明细接口!$AB283),"")</f>
        <v/>
      </c>
      <c r="AG282" s="90" t="str">
        <f aca="false">IFERROR(IF([2]对账明细接口!$AC283=0,"",[2]对账明细接口!$AC283),"")</f>
        <v/>
      </c>
      <c r="AH282" s="90" t="str">
        <f aca="false">IFERROR(IF([2]对账明细接口!$AD283=0,"",[2]对账明细接口!$AD283),"")</f>
        <v>成品出库</v>
      </c>
    </row>
    <row r="283" customFormat="false" ht="13.5" hidden="false" customHeight="false" outlineLevel="0" collapsed="false">
      <c r="A283" s="109" t="n">
        <v>283</v>
      </c>
      <c r="B283" s="110" t="n">
        <f aca="false">IFERROR(IF([2]对账明细接口!$B$283=0,"",[2]对账明细接口!$B$283),"")</f>
        <v>46265</v>
      </c>
      <c r="C283" s="59" t="str">
        <f aca="false">IFERROR(IF([2]对账明细接口!$C$283=0,"",[2]对账明细接口!$C$283),"")</f>
        <v>王照雪</v>
      </c>
      <c r="D283" s="59" t="str">
        <f aca="false">IFERROR(IF([2]对账明细接口!$D$283=0,"",[2]对账明细接口!$D$283),"")</f>
        <v>成品出库－成品出库</v>
      </c>
      <c r="E283" s="59" t="str">
        <f aca="false">IFERROR(IF([2]对账明细接口!$E$283=0,"",[2]对账明细接口!$E$283),"")</f>
        <v>NO:0001058</v>
      </c>
      <c r="F283" s="59" t="str">
        <f aca="false">IFERROR(IF([2]对账明细接口!$F$283=0,"",[2]对账明细接口!$F$283),"")</f>
        <v>苹果</v>
      </c>
      <c r="G283" s="59" t="str">
        <f aca="false">IFERROR(IF([2]对账明细接口!$G$283=0,"",[2]对账明细接口!$G$283),"")</f>
        <v>华硕一级</v>
      </c>
      <c r="H283" s="60" t="n">
        <f aca="false">IFERROR(IF([2]对账明细接口!$H$283=0,"",[2]对账明细接口!$H$283),"")</f>
        <v>307</v>
      </c>
      <c r="I283" s="59" t="str">
        <f aca="false">IFERROR(IF([2]对账明细接口!$I$283=0,"",[2]对账明细接口!$I$283),"")</f>
        <v>箱</v>
      </c>
      <c r="J283" s="61" t="n">
        <f aca="false">IFERROR(IF([2]对账明细接口!$J$283=0,"",[2]对账明细接口!$J$283),"")</f>
        <v>1565.7</v>
      </c>
      <c r="K283" s="61" t="str">
        <f aca="false">IFERROR(IF([2]对账明细接口!$K$283=0,"",[2]对账明细接口!$K$283),"")</f>
        <v/>
      </c>
      <c r="L283" s="59" t="str">
        <f aca="false">IFERROR(IF([2]对账明细接口!$L$283=0,"",[2]对账明细接口!$L$283),"")</f>
        <v/>
      </c>
      <c r="M283" s="59" t="str">
        <f aca="false">IFERROR(IF([2]对账明细接口!$M$283=0,"",[2]对账明细接口!$M$283),"")</f>
        <v/>
      </c>
      <c r="N283" s="111" t="n">
        <f aca="false">IF($C283="",0,1)</f>
        <v>1</v>
      </c>
      <c r="O283" s="111" t="n">
        <f aca="false">N(O282)+$N283</f>
        <v>280</v>
      </c>
      <c r="S283" s="10" t="str">
        <f aca="false">IFERROR(IF([2]对账明细接口!$N283=0,"",[2]对账明细接口!$N283),"")</f>
        <v>纸箱</v>
      </c>
      <c r="T283" s="112" t="str">
        <f aca="false">IFERROR(IF([2]对账明细接口!$O283=0,"",[2]对账明细接口!$O283),"")</f>
        <v/>
      </c>
      <c r="U283" s="112" t="str">
        <f aca="false">IFERROR(IF([2]对账明细接口!$P283=0,"",[2]对账明细接口!$P283),"")</f>
        <v/>
      </c>
      <c r="V283" s="112" t="str">
        <f aca="false">IFERROR(IF([2]对账明细接口!$Q283=0,"",[2]对账明细接口!$Q283),"")</f>
        <v/>
      </c>
      <c r="W283" s="10" t="str">
        <f aca="false">IFERROR(IF([2]对账明细接口!$R283=0,"",[2]对账明细接口!$R283),"")</f>
        <v>豫N*P269J</v>
      </c>
      <c r="X283" s="10" t="str">
        <f aca="false">IFERROR(IF([2]对账明细接口!$S283=0,"",[2]对账明细接口!$S283),"")</f>
        <v>公司筐</v>
      </c>
      <c r="Y283" s="10" t="str">
        <f aca="false">IFERROR(IF([2]对账明细接口!$T283=0,"",[2]对账明细接口!$T283),"")</f>
        <v>王照雪</v>
      </c>
      <c r="Z283" s="113" t="str">
        <f aca="false">IFERROR(IF([2]对账明细接口!$U283=0,"",[2]对账明细接口!$U283),"")</f>
        <v/>
      </c>
      <c r="AA283" s="113" t="str">
        <f aca="false">IFERROR(IF([2]对账明细接口!$V283=0,"",[2]对账明细接口!$V283),"")</f>
        <v/>
      </c>
      <c r="AB283" s="10" t="str">
        <f aca="false">IFERROR(IF([2]对账明细接口!$W283=0,"",[2]对账明细接口!$W283),"")</f>
        <v/>
      </c>
      <c r="AC283" s="90" t="str">
        <f aca="false">IFERROR(IF([2]对账明细接口!$X284=0,"",[2]对账明细接口!$X284),"")</f>
        <v>电商/主播</v>
      </c>
      <c r="AD283" s="90" t="str">
        <f aca="false">IFERROR(IF([2]对账明细接口!$Y284=0,"",[2]对账明细接口!$Y284),"")</f>
        <v/>
      </c>
      <c r="AE283" s="90" t="str">
        <f aca="false">IFERROR(IF([2]对账明细接口!$AA284=0,"",[2]对账明细接口!$AA284),"")</f>
        <v/>
      </c>
      <c r="AF283" s="90" t="str">
        <f aca="false">IFERROR(IF([2]对账明细接口!$AB284=0,"",[2]对账明细接口!$AB284),"")</f>
        <v/>
      </c>
      <c r="AG283" s="90" t="str">
        <f aca="false">IFERROR(IF([2]对账明细接口!$AC284=0,"",[2]对账明细接口!$AC284),"")</f>
        <v/>
      </c>
      <c r="AH283" s="90" t="str">
        <f aca="false">IFERROR(IF([2]对账明细接口!$AD284=0,"",[2]对账明细接口!$AD284),"")</f>
        <v>成品出库</v>
      </c>
    </row>
    <row r="284" customFormat="false" ht="13.5" hidden="false" customHeight="false" outlineLevel="0" collapsed="false">
      <c r="A284" s="109" t="n">
        <v>284</v>
      </c>
      <c r="B284" s="110" t="n">
        <f aca="false">IFERROR(IF([2]对账明细接口!$B$284=0,"",[2]对账明细接口!$B$284),"")</f>
        <v>46265</v>
      </c>
      <c r="C284" s="59" t="str">
        <f aca="false">IFERROR(IF([2]对账明细接口!$C$284=0,"",[2]对账明细接口!$C$284),"")</f>
        <v>王照雪</v>
      </c>
      <c r="D284" s="59" t="str">
        <f aca="false">IFERROR(IF([2]对账明细接口!$D$284=0,"",[2]对账明细接口!$D$284),"")</f>
        <v>成品出库－成品出库</v>
      </c>
      <c r="E284" s="59" t="str">
        <f aca="false">IFERROR(IF([2]对账明细接口!$E$284=0,"",[2]对账明细接口!$E$284),"")</f>
        <v>NO:0001058</v>
      </c>
      <c r="F284" s="59" t="str">
        <f aca="false">IFERROR(IF([2]对账明细接口!$F$284=0,"",[2]对账明细接口!$F$284),"")</f>
        <v>苹果</v>
      </c>
      <c r="G284" s="59" t="str">
        <f aca="false">IFERROR(IF([2]对账明细接口!$G$284=0,"",[2]对账明细接口!$G$284),"")</f>
        <v>华硕一级</v>
      </c>
      <c r="H284" s="60" t="n">
        <f aca="false">IFERROR(IF([2]对账明细接口!$H$284=0,"",[2]对账明细接口!$H$284),"")</f>
        <v>1</v>
      </c>
      <c r="I284" s="59" t="str">
        <f aca="false">IFERROR(IF([2]对账明细接口!$I$284=0,"",[2]对账明细接口!$I$284),"")</f>
        <v>箱</v>
      </c>
      <c r="J284" s="61" t="n">
        <f aca="false">IFERROR(IF([2]对账明细接口!$J$284=0,"",[2]对账明细接口!$J$284),"")</f>
        <v>2.6</v>
      </c>
      <c r="K284" s="61" t="str">
        <f aca="false">IFERROR(IF([2]对账明细接口!$K$284=0,"",[2]对账明细接口!$K$284),"")</f>
        <v/>
      </c>
      <c r="L284" s="59" t="str">
        <f aca="false">IFERROR(IF([2]对账明细接口!$L$284=0,"",[2]对账明细接口!$L$284),"")</f>
        <v/>
      </c>
      <c r="M284" s="59" t="str">
        <f aca="false">IFERROR(IF([2]对账明细接口!$M$284=0,"",[2]对账明细接口!$M$284),"")</f>
        <v/>
      </c>
      <c r="N284" s="111" t="n">
        <f aca="false">IF($C284="",0,1)</f>
        <v>1</v>
      </c>
      <c r="O284" s="111" t="n">
        <f aca="false">N(O283)+$N284</f>
        <v>281</v>
      </c>
      <c r="S284" s="10" t="str">
        <f aca="false">IFERROR(IF([2]对账明细接口!$N284=0,"",[2]对账明细接口!$N284),"")</f>
        <v>纸箱</v>
      </c>
      <c r="T284" s="112" t="str">
        <f aca="false">IFERROR(IF([2]对账明细接口!$O284=0,"",[2]对账明细接口!$O284),"")</f>
        <v/>
      </c>
      <c r="U284" s="112" t="str">
        <f aca="false">IFERROR(IF([2]对账明细接口!$P284=0,"",[2]对账明细接口!$P284),"")</f>
        <v/>
      </c>
      <c r="V284" s="112" t="str">
        <f aca="false">IFERROR(IF([2]对账明细接口!$Q284=0,"",[2]对账明细接口!$Q284),"")</f>
        <v/>
      </c>
      <c r="W284" s="10" t="str">
        <f aca="false">IFERROR(IF([2]对账明细接口!$R284=0,"",[2]对账明细接口!$R284),"")</f>
        <v>豫N*P269J</v>
      </c>
      <c r="X284" s="10" t="str">
        <f aca="false">IFERROR(IF([2]对账明细接口!$S284=0,"",[2]对账明细接口!$S284),"")</f>
        <v>公司筐</v>
      </c>
      <c r="Y284" s="10" t="str">
        <f aca="false">IFERROR(IF([2]对账明细接口!$T284=0,"",[2]对账明细接口!$T284),"")</f>
        <v>王照雪</v>
      </c>
      <c r="Z284" s="113" t="str">
        <f aca="false">IFERROR(IF([2]对账明细接口!$U284=0,"",[2]对账明细接口!$U284),"")</f>
        <v/>
      </c>
      <c r="AA284" s="113" t="str">
        <f aca="false">IFERROR(IF([2]对账明细接口!$V284=0,"",[2]对账明细接口!$V284),"")</f>
        <v/>
      </c>
      <c r="AB284" s="10" t="str">
        <f aca="false">IFERROR(IF([2]对账明细接口!$W284=0,"",[2]对账明细接口!$W284),"")</f>
        <v/>
      </c>
      <c r="AC284" s="90" t="str">
        <f aca="false">IFERROR(IF([2]对账明细接口!$X285=0,"",[2]对账明细接口!$X285),"")</f>
        <v>电商/主播</v>
      </c>
      <c r="AD284" s="90" t="str">
        <f aca="false">IFERROR(IF([2]对账明细接口!$Y285=0,"",[2]对账明细接口!$Y285),"")</f>
        <v/>
      </c>
      <c r="AE284" s="90" t="str">
        <f aca="false">IFERROR(IF([2]对账明细接口!$AA285=0,"",[2]对账明细接口!$AA285),"")</f>
        <v/>
      </c>
      <c r="AF284" s="90" t="str">
        <f aca="false">IFERROR(IF([2]对账明细接口!$AB285=0,"",[2]对账明细接口!$AB285),"")</f>
        <v/>
      </c>
      <c r="AG284" s="90" t="str">
        <f aca="false">IFERROR(IF([2]对账明细接口!$AC285=0,"",[2]对账明细接口!$AC285),"")</f>
        <v/>
      </c>
      <c r="AH284" s="90" t="str">
        <f aca="false">IFERROR(IF([2]对账明细接口!$AD285=0,"",[2]对账明细接口!$AD285),"")</f>
        <v>成品出库</v>
      </c>
    </row>
    <row r="285" customFormat="false" ht="13.5" hidden="false" customHeight="false" outlineLevel="0" collapsed="false">
      <c r="A285" s="109" t="n">
        <v>285</v>
      </c>
      <c r="B285" s="110" t="n">
        <f aca="false">IFERROR(IF([2]对账明细接口!$B$285=0,"",[2]对账明细接口!$B$285),"")</f>
        <v>46266</v>
      </c>
      <c r="C285" s="59" t="str">
        <f aca="false">IFERROR(IF([2]对账明细接口!$C$285=0,"",[2]对账明细接口!$C$285),"")</f>
        <v>王照雪</v>
      </c>
      <c r="D285" s="59" t="str">
        <f aca="false">IFERROR(IF([2]对账明细接口!$D$285=0,"",[2]对账明细接口!$D$285),"")</f>
        <v>成品出库－成品出库</v>
      </c>
      <c r="E285" s="59" t="str">
        <f aca="false">IFERROR(IF([2]对账明细接口!$E$285=0,"",[2]对账明细接口!$E$285),"")</f>
        <v>NO:0001062</v>
      </c>
      <c r="F285" s="59" t="str">
        <f aca="false">IFERROR(IF([2]对账明细接口!$F$285=0,"",[2]对账明细接口!$F$285),"")</f>
        <v>苹果</v>
      </c>
      <c r="G285" s="59" t="str">
        <f aca="false">IFERROR(IF([2]对账明细接口!$G$285=0,"",[2]对账明细接口!$G$285),"")</f>
        <v>华硕一级</v>
      </c>
      <c r="H285" s="60" t="n">
        <f aca="false">IFERROR(IF([2]对账明细接口!$H$285=0,"",[2]对账明细接口!$H$285),"")</f>
        <v>346</v>
      </c>
      <c r="I285" s="59" t="str">
        <f aca="false">IFERROR(IF([2]对账明细接口!$I$285=0,"",[2]对账明细接口!$I$285),"")</f>
        <v>箱</v>
      </c>
      <c r="J285" s="61" t="n">
        <f aca="false">IFERROR(IF([2]对账明细接口!$J$285=0,"",[2]对账明细接口!$J$285),"")</f>
        <v>1764.6</v>
      </c>
      <c r="K285" s="61" t="str">
        <f aca="false">IFERROR(IF([2]对账明细接口!$K$285=0,"",[2]对账明细接口!$K$285),"")</f>
        <v/>
      </c>
      <c r="L285" s="59" t="str">
        <f aca="false">IFERROR(IF([2]对账明细接口!$L$285=0,"",[2]对账明细接口!$L$285),"")</f>
        <v/>
      </c>
      <c r="M285" s="59" t="str">
        <f aca="false">IFERROR(IF([2]对账明细接口!$M$285=0,"",[2]对账明细接口!$M$285),"")</f>
        <v/>
      </c>
      <c r="N285" s="111" t="n">
        <f aca="false">IF($C285="",0,1)</f>
        <v>1</v>
      </c>
      <c r="O285" s="111" t="n">
        <f aca="false">N(O284)+$N285</f>
        <v>282</v>
      </c>
      <c r="S285" s="10" t="str">
        <f aca="false">IFERROR(IF([2]对账明细接口!$N285=0,"",[2]对账明细接口!$N285),"")</f>
        <v>纸箱</v>
      </c>
      <c r="T285" s="112" t="str">
        <f aca="false">IFERROR(IF([2]对账明细接口!$O285=0,"",[2]对账明细接口!$O285),"")</f>
        <v/>
      </c>
      <c r="U285" s="112" t="str">
        <f aca="false">IFERROR(IF([2]对账明细接口!$P285=0,"",[2]对账明细接口!$P285),"")</f>
        <v/>
      </c>
      <c r="V285" s="112" t="str">
        <f aca="false">IFERROR(IF([2]对账明细接口!$Q285=0,"",[2]对账明细接口!$Q285),"")</f>
        <v/>
      </c>
      <c r="W285" s="10" t="str">
        <f aca="false">IFERROR(IF([2]对账明细接口!$R285=0,"",[2]对账明细接口!$R285),"")</f>
        <v>豫N*P269J</v>
      </c>
      <c r="X285" s="10" t="str">
        <f aca="false">IFERROR(IF([2]对账明细接口!$S285=0,"",[2]对账明细接口!$S285),"")</f>
        <v>公司筐</v>
      </c>
      <c r="Y285" s="10" t="str">
        <f aca="false">IFERROR(IF([2]对账明细接口!$T285=0,"",[2]对账明细接口!$T285),"")</f>
        <v>王照雪</v>
      </c>
      <c r="Z285" s="113" t="str">
        <f aca="false">IFERROR(IF([2]对账明细接口!$U285=0,"",[2]对账明细接口!$U285),"")</f>
        <v/>
      </c>
      <c r="AA285" s="113" t="str">
        <f aca="false">IFERROR(IF([2]对账明细接口!$V285=0,"",[2]对账明细接口!$V285),"")</f>
        <v/>
      </c>
      <c r="AB285" s="10" t="str">
        <f aca="false">IFERROR(IF([2]对账明细接口!$W285=0,"",[2]对账明细接口!$W285),"")</f>
        <v/>
      </c>
      <c r="AC285" s="90" t="str">
        <f aca="false">IFERROR(IF([2]对账明细接口!$X286=0,"",[2]对账明细接口!$X286),"")</f>
        <v>王照雪</v>
      </c>
      <c r="AD285" s="90" t="str">
        <f aca="false">IFERROR(IF([2]对账明细接口!$Y286=0,"",[2]对账明细接口!$Y286),"")</f>
        <v/>
      </c>
      <c r="AE285" s="90" t="str">
        <f aca="false">IFERROR(IF([2]对账明细接口!$AA286=0,"",[2]对账明细接口!$AA286),"")</f>
        <v/>
      </c>
      <c r="AF285" s="90" t="str">
        <f aca="false">IFERROR(IF([2]对账明细接口!$AB286=0,"",[2]对账明细接口!$AB286),"")</f>
        <v/>
      </c>
      <c r="AG285" s="90" t="str">
        <f aca="false">IFERROR(IF([2]对账明细接口!$AC286=0,"",[2]对账明细接口!$AC286),"")</f>
        <v/>
      </c>
      <c r="AH285" s="90" t="str">
        <f aca="false">IFERROR(IF([2]对账明细接口!$AD286=0,"",[2]对账明细接口!$AD286),"")</f>
        <v>成品出库</v>
      </c>
    </row>
    <row r="286" customFormat="false" ht="13.5" hidden="false" customHeight="false" outlineLevel="0" collapsed="false">
      <c r="A286" s="109" t="n">
        <v>286</v>
      </c>
      <c r="B286" s="110" t="n">
        <f aca="false">IFERROR(IF([2]对账明细接口!$B$286=0,"",[2]对账明细接口!$B$286),"")</f>
        <v>46267</v>
      </c>
      <c r="C286" s="59" t="str">
        <f aca="false">IFERROR(IF([2]对账明细接口!$C$286=0,"",[2]对账明细接口!$C$286),"")</f>
        <v>王照雪</v>
      </c>
      <c r="D286" s="59" t="str">
        <f aca="false">IFERROR(IF([2]对账明细接口!$D$286=0,"",[2]对账明细接口!$D$286),"")</f>
        <v>成品出库－成品出库</v>
      </c>
      <c r="E286" s="59" t="str">
        <f aca="false">IFERROR(IF([2]对账明细接口!$E$286=0,"",[2]对账明细接口!$E$286),"")</f>
        <v>NO:0001063</v>
      </c>
      <c r="F286" s="59" t="str">
        <f aca="false">IFERROR(IF([2]对账明细接口!$F$286=0,"",[2]对账明细接口!$F$286),"")</f>
        <v>苹果</v>
      </c>
      <c r="G286" s="59" t="str">
        <f aca="false">IFERROR(IF([2]对账明细接口!$G$286=0,"",[2]对账明细接口!$G$286),"")</f>
        <v>苹果扎伤</v>
      </c>
      <c r="H286" s="60" t="n">
        <f aca="false">IFERROR(IF([2]对账明细接口!$H$286=0,"",[2]对账明细接口!$H$286),"")</f>
        <v>1</v>
      </c>
      <c r="I286" s="59" t="str">
        <f aca="false">IFERROR(IF([2]对账明细接口!$I$286=0,"",[2]对账明细接口!$I$286),"")</f>
        <v>筐</v>
      </c>
      <c r="J286" s="61" t="n">
        <f aca="false">IFERROR(IF([2]对账明细接口!$J$286=0,"",[2]对账明细接口!$J$286),"")</f>
        <v>17.3</v>
      </c>
      <c r="K286" s="61" t="str">
        <f aca="false">IFERROR(IF([2]对账明细接口!$K$286=0,"",[2]对账明细接口!$K$286),"")</f>
        <v/>
      </c>
      <c r="L286" s="59" t="str">
        <f aca="false">IFERROR(IF([2]对账明细接口!$L$286=0,"",[2]对账明细接口!$L$286),"")</f>
        <v/>
      </c>
      <c r="M286" s="59" t="str">
        <f aca="false">IFERROR(IF([2]对账明细接口!$M$286=0,"",[2]对账明细接口!$M$286),"")</f>
        <v/>
      </c>
      <c r="N286" s="111" t="n">
        <f aca="false">IF($C286="",0,1)</f>
        <v>1</v>
      </c>
      <c r="O286" s="111" t="n">
        <f aca="false">N(O285)+$N286</f>
        <v>283</v>
      </c>
      <c r="S286" s="10" t="str">
        <f aca="false">IFERROR(IF([2]对账明细接口!$N286=0,"",[2]对账明细接口!$N286),"")</f>
        <v>公司杂周转筐</v>
      </c>
      <c r="T286" s="112" t="n">
        <f aca="false">IFERROR(IF([2]对账明细接口!$O286=0,"",[2]对账明细接口!$O286),"")</f>
        <v>1</v>
      </c>
      <c r="U286" s="112" t="str">
        <f aca="false">IFERROR(IF([2]对账明细接口!$P286=0,"",[2]对账明细接口!$P286),"")</f>
        <v/>
      </c>
      <c r="V286" s="112" t="str">
        <f aca="false">IFERROR(IF([2]对账明细接口!$Q286=0,"",[2]对账明细接口!$Q286),"")</f>
        <v/>
      </c>
      <c r="W286" s="10" t="str">
        <f aca="false">IFERROR(IF([2]对账明细接口!$R286=0,"",[2]对账明细接口!$R286),"")</f>
        <v>自提</v>
      </c>
      <c r="X286" s="10" t="str">
        <f aca="false">IFERROR(IF([2]对账明细接口!$S286=0,"",[2]对账明细接口!$S286),"")</f>
        <v>公司筐</v>
      </c>
      <c r="Y286" s="10" t="str">
        <f aca="false">IFERROR(IF([2]对账明细接口!$T286=0,"",[2]对账明细接口!$T286),"")</f>
        <v>王照雪</v>
      </c>
      <c r="Z286" s="113" t="str">
        <f aca="false">IFERROR(IF([2]对账明细接口!$U286=0,"",[2]对账明细接口!$U286),"")</f>
        <v/>
      </c>
      <c r="AA286" s="113" t="str">
        <f aca="false">IFERROR(IF([2]对账明细接口!$V286=0,"",[2]对账明细接口!$V286),"")</f>
        <v/>
      </c>
      <c r="AB286" s="10" t="str">
        <f aca="false">IFERROR(IF([2]对账明细接口!$W286=0,"",[2]对账明细接口!$W286),"")</f>
        <v/>
      </c>
      <c r="AC286" s="90" t="str">
        <f aca="false">IFERROR(IF([2]对账明细接口!$X287=0,"",[2]对账明细接口!$X287),"")</f>
        <v>电商/主播</v>
      </c>
      <c r="AD286" s="90" t="str">
        <f aca="false">IFERROR(IF([2]对账明细接口!$Y287=0,"",[2]对账明细接口!$Y287),"")</f>
        <v/>
      </c>
      <c r="AE286" s="90" t="str">
        <f aca="false">IFERROR(IF([2]对账明细接口!$AA287=0,"",[2]对账明细接口!$AA287),"")</f>
        <v/>
      </c>
      <c r="AF286" s="90" t="str">
        <f aca="false">IFERROR(IF([2]对账明细接口!$AB287=0,"",[2]对账明细接口!$AB287),"")</f>
        <v/>
      </c>
      <c r="AG286" s="90" t="str">
        <f aca="false">IFERROR(IF([2]对账明细接口!$AC287=0,"",[2]对账明细接口!$AC287),"")</f>
        <v/>
      </c>
      <c r="AH286" s="90" t="str">
        <f aca="false">IFERROR(IF([2]对账明细接口!$AD287=0,"",[2]对账明细接口!$AD287),"")</f>
        <v>成品出库</v>
      </c>
    </row>
    <row r="287" customFormat="false" ht="13.5" hidden="false" customHeight="false" outlineLevel="0" collapsed="false">
      <c r="A287" s="109" t="n">
        <v>287</v>
      </c>
      <c r="B287" s="110" t="n">
        <f aca="false">IFERROR(IF([2]对账明细接口!$B$287=0,"",[2]对账明细接口!$B$287),"")</f>
        <v>46267</v>
      </c>
      <c r="C287" s="59" t="str">
        <f aca="false">IFERROR(IF([2]对账明细接口!$C$287=0,"",[2]对账明细接口!$C$287),"")</f>
        <v>王照雪</v>
      </c>
      <c r="D287" s="59" t="str">
        <f aca="false">IFERROR(IF([2]对账明细接口!$D$287=0,"",[2]对账明细接口!$D$287),"")</f>
        <v>成品出库－成品出库</v>
      </c>
      <c r="E287" s="59" t="str">
        <f aca="false">IFERROR(IF([2]对账明细接口!$E$287=0,"",[2]对账明细接口!$E$287),"")</f>
        <v>NO:0001065</v>
      </c>
      <c r="F287" s="59" t="str">
        <f aca="false">IFERROR(IF([2]对账明细接口!$F$287=0,"",[2]对账明细接口!$F$287),"")</f>
        <v>苹果</v>
      </c>
      <c r="G287" s="59" t="str">
        <f aca="false">IFERROR(IF([2]对账明细接口!$G$287=0,"",[2]对账明细接口!$G$287),"")</f>
        <v>华硕一级</v>
      </c>
      <c r="H287" s="60" t="n">
        <f aca="false">IFERROR(IF([2]对账明细接口!$H$287=0,"",[2]对账明细接口!$H$287),"")</f>
        <v>242</v>
      </c>
      <c r="I287" s="59" t="str">
        <f aca="false">IFERROR(IF([2]对账明细接口!$I$287=0,"",[2]对账明细接口!$I$287),"")</f>
        <v>箱</v>
      </c>
      <c r="J287" s="61" t="n">
        <f aca="false">IFERROR(IF([2]对账明细接口!$J$287=0,"",[2]对账明细接口!$J$287),"")</f>
        <v>1234.2</v>
      </c>
      <c r="K287" s="61" t="str">
        <f aca="false">IFERROR(IF([2]对账明细接口!$K$287=0,"",[2]对账明细接口!$K$287),"")</f>
        <v/>
      </c>
      <c r="L287" s="59" t="str">
        <f aca="false">IFERROR(IF([2]对账明细接口!$L$287=0,"",[2]对账明细接口!$L$287),"")</f>
        <v/>
      </c>
      <c r="M287" s="59" t="str">
        <f aca="false">IFERROR(IF([2]对账明细接口!$M$287=0,"",[2]对账明细接口!$M$287),"")</f>
        <v/>
      </c>
      <c r="N287" s="111" t="n">
        <f aca="false">IF($C287="",0,1)</f>
        <v>1</v>
      </c>
      <c r="O287" s="111" t="n">
        <f aca="false">N(O286)+$N287</f>
        <v>284</v>
      </c>
      <c r="S287" s="10" t="str">
        <f aca="false">IFERROR(IF([2]对账明细接口!$N287=0,"",[2]对账明细接口!$N287),"")</f>
        <v>纸箱</v>
      </c>
      <c r="T287" s="112" t="str">
        <f aca="false">IFERROR(IF([2]对账明细接口!$O287=0,"",[2]对账明细接口!$O287),"")</f>
        <v/>
      </c>
      <c r="U287" s="112" t="str">
        <f aca="false">IFERROR(IF([2]对账明细接口!$P287=0,"",[2]对账明细接口!$P287),"")</f>
        <v/>
      </c>
      <c r="V287" s="112" t="str">
        <f aca="false">IFERROR(IF([2]对账明细接口!$Q287=0,"",[2]对账明细接口!$Q287),"")</f>
        <v/>
      </c>
      <c r="W287" s="10" t="str">
        <f aca="false">IFERROR(IF([2]对账明细接口!$R287=0,"",[2]对账明细接口!$R287),"")</f>
        <v>豫N*P269J</v>
      </c>
      <c r="X287" s="10" t="str">
        <f aca="false">IFERROR(IF([2]对账明细接口!$S287=0,"",[2]对账明细接口!$S287),"")</f>
        <v>公司筐</v>
      </c>
      <c r="Y287" s="10" t="str">
        <f aca="false">IFERROR(IF([2]对账明细接口!$T287=0,"",[2]对账明细接口!$T287),"")</f>
        <v>王照雪</v>
      </c>
      <c r="Z287" s="113" t="str">
        <f aca="false">IFERROR(IF([2]对账明细接口!$U287=0,"",[2]对账明细接口!$U287),"")</f>
        <v/>
      </c>
      <c r="AA287" s="113" t="str">
        <f aca="false">IFERROR(IF([2]对账明细接口!$V287=0,"",[2]对账明细接口!$V287),"")</f>
        <v/>
      </c>
      <c r="AB287" s="10" t="str">
        <f aca="false">IFERROR(IF([2]对账明细接口!$W287=0,"",[2]对账明细接口!$W287),"")</f>
        <v/>
      </c>
      <c r="AC287" s="90" t="str">
        <f aca="false">IFERROR(IF([2]对账明细接口!$X288=0,"",[2]对账明细接口!$X288),"")</f>
        <v>电商/主播</v>
      </c>
      <c r="AD287" s="90" t="str">
        <f aca="false">IFERROR(IF([2]对账明细接口!$Y288=0,"",[2]对账明细接口!$Y288),"")</f>
        <v/>
      </c>
      <c r="AE287" s="90" t="str">
        <f aca="false">IFERROR(IF([2]对账明细接口!$AA288=0,"",[2]对账明细接口!$AA288),"")</f>
        <v/>
      </c>
      <c r="AF287" s="90" t="str">
        <f aca="false">IFERROR(IF([2]对账明细接口!$AB288=0,"",[2]对账明细接口!$AB288),"")</f>
        <v/>
      </c>
      <c r="AG287" s="90" t="str">
        <f aca="false">IFERROR(IF([2]对账明细接口!$AC288=0,"",[2]对账明细接口!$AC288),"")</f>
        <v/>
      </c>
      <c r="AH287" s="90" t="str">
        <f aca="false">IFERROR(IF([2]对账明细接口!$AD288=0,"",[2]对账明细接口!$AD288),"")</f>
        <v>成品出库</v>
      </c>
    </row>
    <row r="288" customFormat="false" ht="13.5" hidden="false" customHeight="false" outlineLevel="0" collapsed="false">
      <c r="A288" s="109" t="n">
        <v>288</v>
      </c>
      <c r="B288" s="110" t="n">
        <f aca="false">IFERROR(IF([2]对账明细接口!$B$288=0,"",[2]对账明细接口!$B$288),"")</f>
        <v>46267</v>
      </c>
      <c r="C288" s="59" t="str">
        <f aca="false">IFERROR(IF([2]对账明细接口!$C$288=0,"",[2]对账明细接口!$C$288),"")</f>
        <v>王照雪</v>
      </c>
      <c r="D288" s="59" t="str">
        <f aca="false">IFERROR(IF([2]对账明细接口!$D$288=0,"",[2]对账明细接口!$D$288),"")</f>
        <v>成品出库－成品出库</v>
      </c>
      <c r="E288" s="59" t="str">
        <f aca="false">IFERROR(IF([2]对账明细接口!$E$288=0,"",[2]对账明细接口!$E$288),"")</f>
        <v>NO:0001065</v>
      </c>
      <c r="F288" s="59" t="str">
        <f aca="false">IFERROR(IF([2]对账明细接口!$F$288=0,"",[2]对账明细接口!$F$288),"")</f>
        <v>苹果</v>
      </c>
      <c r="G288" s="59" t="str">
        <f aca="false">IFERROR(IF([2]对账明细接口!$G$288=0,"",[2]对账明细接口!$G$288),"")</f>
        <v>华硕一级</v>
      </c>
      <c r="H288" s="60" t="n">
        <f aca="false">IFERROR(IF([2]对账明细接口!$H$288=0,"",[2]对账明细接口!$H$288),"")</f>
        <v>28</v>
      </c>
      <c r="I288" s="59" t="str">
        <f aca="false">IFERROR(IF([2]对账明细接口!$I$288=0,"",[2]对账明细接口!$I$288),"")</f>
        <v>箱</v>
      </c>
      <c r="J288" s="61" t="n">
        <f aca="false">IFERROR(IF([2]对账明细接口!$J$288=0,"",[2]对账明细接口!$J$288),"")</f>
        <v>72.8</v>
      </c>
      <c r="K288" s="61" t="str">
        <f aca="false">IFERROR(IF([2]对账明细接口!$K$288=0,"",[2]对账明细接口!$K$288),"")</f>
        <v/>
      </c>
      <c r="L288" s="59" t="str">
        <f aca="false">IFERROR(IF([2]对账明细接口!$L$288=0,"",[2]对账明细接口!$L$288),"")</f>
        <v/>
      </c>
      <c r="M288" s="59" t="str">
        <f aca="false">IFERROR(IF([2]对账明细接口!$M$288=0,"",[2]对账明细接口!$M$288),"")</f>
        <v/>
      </c>
      <c r="N288" s="111" t="n">
        <f aca="false">IF($C288="",0,1)</f>
        <v>1</v>
      </c>
      <c r="O288" s="111" t="n">
        <f aca="false">N(O287)+$N288</f>
        <v>285</v>
      </c>
      <c r="S288" s="10" t="str">
        <f aca="false">IFERROR(IF([2]对账明细接口!$N288=0,"",[2]对账明细接口!$N288),"")</f>
        <v>纸箱</v>
      </c>
      <c r="T288" s="112" t="str">
        <f aca="false">IFERROR(IF([2]对账明细接口!$O288=0,"",[2]对账明细接口!$O288),"")</f>
        <v/>
      </c>
      <c r="U288" s="112" t="str">
        <f aca="false">IFERROR(IF([2]对账明细接口!$P288=0,"",[2]对账明细接口!$P288),"")</f>
        <v/>
      </c>
      <c r="V288" s="112" t="str">
        <f aca="false">IFERROR(IF([2]对账明细接口!$Q288=0,"",[2]对账明细接口!$Q288),"")</f>
        <v/>
      </c>
      <c r="W288" s="10" t="str">
        <f aca="false">IFERROR(IF([2]对账明细接口!$R288=0,"",[2]对账明细接口!$R288),"")</f>
        <v>豫N*P269J</v>
      </c>
      <c r="X288" s="10" t="str">
        <f aca="false">IFERROR(IF([2]对账明细接口!$S288=0,"",[2]对账明细接口!$S288),"")</f>
        <v>公司筐</v>
      </c>
      <c r="Y288" s="10" t="str">
        <f aca="false">IFERROR(IF([2]对账明细接口!$T288=0,"",[2]对账明细接口!$T288),"")</f>
        <v>王照雪</v>
      </c>
      <c r="Z288" s="113" t="str">
        <f aca="false">IFERROR(IF([2]对账明细接口!$U288=0,"",[2]对账明细接口!$U288),"")</f>
        <v/>
      </c>
      <c r="AA288" s="113" t="str">
        <f aca="false">IFERROR(IF([2]对账明细接口!$V288=0,"",[2]对账明细接口!$V288),"")</f>
        <v/>
      </c>
      <c r="AB288" s="10" t="str">
        <f aca="false">IFERROR(IF([2]对账明细接口!$W288=0,"",[2]对账明细接口!$W288),"")</f>
        <v/>
      </c>
      <c r="AC288" s="90" t="str">
        <f aca="false">IFERROR(IF([2]对账明细接口!$X289=0,"",[2]对账明细接口!$X289),"")</f>
        <v>伍元虎</v>
      </c>
      <c r="AD288" s="90" t="str">
        <f aca="false">IFERROR(IF([2]对账明细接口!$Y289=0,"",[2]对账明细接口!$Y289),"")</f>
        <v/>
      </c>
      <c r="AE288" s="90" t="str">
        <f aca="false">IFERROR(IF([2]对账明细接口!$AA289=0,"",[2]对账明细接口!$AA289),"")</f>
        <v/>
      </c>
      <c r="AF288" s="90" t="str">
        <f aca="false">IFERROR(IF([2]对账明细接口!$AB289=0,"",[2]对账明细接口!$AB289),"")</f>
        <v/>
      </c>
      <c r="AG288" s="90" t="str">
        <f aca="false">IFERROR(IF([2]对账明细接口!$AC289=0,"",[2]对账明细接口!$AC289),"")</f>
        <v/>
      </c>
      <c r="AH288" s="90" t="str">
        <f aca="false">IFERROR(IF([2]对账明细接口!$AD289=0,"",[2]对账明细接口!$AD289),"")</f>
        <v>成品出库</v>
      </c>
    </row>
    <row r="289" customFormat="false" ht="13.5" hidden="false" customHeight="false" outlineLevel="0" collapsed="false">
      <c r="A289" s="109" t="n">
        <v>289</v>
      </c>
      <c r="B289" s="110" t="n">
        <f aca="false">IFERROR(IF([2]对账明细接口!$B$289=0,"",[2]对账明细接口!$B$289),"")</f>
        <v>46269</v>
      </c>
      <c r="C289" s="59" t="str">
        <f aca="false">IFERROR(IF([2]对账明细接口!$C$289=0,"",[2]对账明细接口!$C$289),"")</f>
        <v>聂新平</v>
      </c>
      <c r="D289" s="59" t="str">
        <f aca="false">IFERROR(IF([2]对账明细接口!$D$289=0,"",[2]对账明细接口!$D$289),"")</f>
        <v>成品出库－成品出库</v>
      </c>
      <c r="E289" s="59" t="str">
        <f aca="false">IFERROR(IF([2]对账明细接口!$E$289=0,"",[2]对账明细接口!$E$289),"")</f>
        <v>NO:0001081</v>
      </c>
      <c r="F289" s="59" t="str">
        <f aca="false">IFERROR(IF([2]对账明细接口!$F$289=0,"",[2]对账明细接口!$F$289),"")</f>
        <v>苹果</v>
      </c>
      <c r="G289" s="59" t="str">
        <f aca="false">IFERROR(IF([2]对账明细接口!$G$289=0,"",[2]对账明细接口!$G$289),"")</f>
        <v>苹果扎伤</v>
      </c>
      <c r="H289" s="60" t="n">
        <f aca="false">IFERROR(IF([2]对账明细接口!$H$289=0,"",[2]对账明细接口!$H$289),"")</f>
        <v>113</v>
      </c>
      <c r="I289" s="59" t="str">
        <f aca="false">IFERROR(IF([2]对账明细接口!$I$289=0,"",[2]对账明细接口!$I$289),"")</f>
        <v>筐</v>
      </c>
      <c r="J289" s="61" t="n">
        <f aca="false">IFERROR(IF([2]对账明细接口!$J$289=0,"",[2]对账明细接口!$J$289),"")</f>
        <v>2440.8</v>
      </c>
      <c r="K289" s="61" t="str">
        <f aca="false">IFERROR(IF([2]对账明细接口!$K$289=0,"",[2]对账明细接口!$K$289),"")</f>
        <v/>
      </c>
      <c r="L289" s="59" t="str">
        <f aca="false">IFERROR(IF([2]对账明细接口!$L$289=0,"",[2]对账明细接口!$L$289),"")</f>
        <v/>
      </c>
      <c r="M289" s="59" t="str">
        <f aca="false">IFERROR(IF([2]对账明细接口!$M$289=0,"",[2]对账明细接口!$M$289),"")</f>
        <v/>
      </c>
      <c r="N289" s="111" t="n">
        <f aca="false">IF($C289="",0,1)</f>
        <v>1</v>
      </c>
      <c r="O289" s="111" t="n">
        <f aca="false">N(O288)+$N289</f>
        <v>286</v>
      </c>
      <c r="S289" s="10" t="str">
        <f aca="false">IFERROR(IF([2]对账明细接口!$N289=0,"",[2]对账明细接口!$N289),"")</f>
        <v>公司一次性筐</v>
      </c>
      <c r="T289" s="112" t="n">
        <f aca="false">IFERROR(IF([2]对账明细接口!$O289=0,"",[2]对账明细接口!$O289),"")</f>
        <v>113</v>
      </c>
      <c r="U289" s="112" t="str">
        <f aca="false">IFERROR(IF([2]对账明细接口!$P289=0,"",[2]对账明细接口!$P289),"")</f>
        <v/>
      </c>
      <c r="V289" s="112" t="str">
        <f aca="false">IFERROR(IF([2]对账明细接口!$Q289=0,"",[2]对账明细接口!$Q289),"")</f>
        <v/>
      </c>
      <c r="W289" s="10" t="str">
        <f aca="false">IFERROR(IF([2]对账明细接口!$R289=0,"",[2]对账明细接口!$R289),"")</f>
        <v>新Q*61781</v>
      </c>
      <c r="X289" s="10" t="str">
        <f aca="false">IFERROR(IF([2]对账明细接口!$S289=0,"",[2]对账明细接口!$S289),"")</f>
        <v>公司筐</v>
      </c>
      <c r="Y289" s="10" t="str">
        <f aca="false">IFERROR(IF([2]对账明细接口!$T289=0,"",[2]对账明细接口!$T289),"")</f>
        <v>聂新平</v>
      </c>
      <c r="Z289" s="113" t="str">
        <f aca="false">IFERROR(IF([2]对账明细接口!$U289=0,"",[2]对账明细接口!$U289),"")</f>
        <v/>
      </c>
      <c r="AA289" s="113" t="str">
        <f aca="false">IFERROR(IF([2]对账明细接口!$V289=0,"",[2]对账明细接口!$V289),"")</f>
        <v/>
      </c>
      <c r="AB289" s="10" t="str">
        <f aca="false">IFERROR(IF([2]对账明细接口!$W289=0,"",[2]对账明细接口!$W289),"")</f>
        <v/>
      </c>
      <c r="AC289" s="90" t="str">
        <f aca="false">IFERROR(IF([2]对账明细接口!$X290=0,"",[2]对账明细接口!$X290),"")</f>
        <v>王照雪</v>
      </c>
      <c r="AD289" s="90" t="str">
        <f aca="false">IFERROR(IF([2]对账明细接口!$Y290=0,"",[2]对账明细接口!$Y290),"")</f>
        <v/>
      </c>
      <c r="AE289" s="90" t="str">
        <f aca="false">IFERROR(IF([2]对账明细接口!$AA290=0,"",[2]对账明细接口!$AA290),"")</f>
        <v/>
      </c>
      <c r="AF289" s="90" t="str">
        <f aca="false">IFERROR(IF([2]对账明细接口!$AB290=0,"",[2]对账明细接口!$AB290),"")</f>
        <v/>
      </c>
      <c r="AG289" s="90" t="str">
        <f aca="false">IFERROR(IF([2]对账明细接口!$AC290=0,"",[2]对账明细接口!$AC290),"")</f>
        <v/>
      </c>
      <c r="AH289" s="90" t="str">
        <f aca="false">IFERROR(IF([2]对账明细接口!$AD290=0,"",[2]对账明细接口!$AD290),"")</f>
        <v>成品出库</v>
      </c>
    </row>
    <row r="290" customFormat="false" ht="13.5" hidden="false" customHeight="false" outlineLevel="0" collapsed="false">
      <c r="A290" s="109" t="n">
        <v>290</v>
      </c>
      <c r="B290" s="110" t="n">
        <f aca="false">IFERROR(IF([2]对账明细接口!$B$290=0,"",[2]对账明细接口!$B$290),"")</f>
        <v>46269</v>
      </c>
      <c r="C290" s="59" t="str">
        <f aca="false">IFERROR(IF([2]对账明细接口!$C$290=0,"",[2]对账明细接口!$C$290),"")</f>
        <v>王照雪</v>
      </c>
      <c r="D290" s="59" t="str">
        <f aca="false">IFERROR(IF([2]对账明细接口!$D$290=0,"",[2]对账明细接口!$D$290),"")</f>
        <v>成品出库－成品出库</v>
      </c>
      <c r="E290" s="59" t="str">
        <f aca="false">IFERROR(IF([2]对账明细接口!$E$290=0,"",[2]对账明细接口!$E$290),"")</f>
        <v>NO:0001082</v>
      </c>
      <c r="F290" s="59" t="str">
        <f aca="false">IFERROR(IF([2]对账明细接口!$F$290=0,"",[2]对账明细接口!$F$290),"")</f>
        <v>苹果</v>
      </c>
      <c r="G290" s="59" t="str">
        <f aca="false">IFERROR(IF([2]对账明细接口!$G$290=0,"",[2]对账明细接口!$G$290),"")</f>
        <v>苹果扎伤</v>
      </c>
      <c r="H290" s="60" t="n">
        <f aca="false">IFERROR(IF([2]对账明细接口!$H$290=0,"",[2]对账明细接口!$H$290),"")</f>
        <v>81</v>
      </c>
      <c r="I290" s="59" t="str">
        <f aca="false">IFERROR(IF([2]对账明细接口!$I$290=0,"",[2]对账明细接口!$I$290),"")</f>
        <v>箱</v>
      </c>
      <c r="J290" s="61" t="n">
        <f aca="false">IFERROR(IF([2]对账明细接口!$J$290=0,"",[2]对账明细接口!$J$290),"")</f>
        <v>599.4</v>
      </c>
      <c r="K290" s="61" t="str">
        <f aca="false">IFERROR(IF([2]对账明细接口!$K$290=0,"",[2]对账明细接口!$K$290),"")</f>
        <v/>
      </c>
      <c r="L290" s="59" t="str">
        <f aca="false">IFERROR(IF([2]对账明细接口!$L$290=0,"",[2]对账明细接口!$L$290),"")</f>
        <v/>
      </c>
      <c r="M290" s="59" t="str">
        <f aca="false">IFERROR(IF([2]对账明细接口!$M$290=0,"",[2]对账明细接口!$M$290),"")</f>
        <v/>
      </c>
      <c r="N290" s="111" t="n">
        <f aca="false">IF($C290="",0,1)</f>
        <v>1</v>
      </c>
      <c r="O290" s="111" t="n">
        <f aca="false">N(O289)+$N290</f>
        <v>287</v>
      </c>
      <c r="S290" s="10" t="str">
        <f aca="false">IFERROR(IF([2]对账明细接口!$N290=0,"",[2]对账明细接口!$N290),"")</f>
        <v>纸箱</v>
      </c>
      <c r="T290" s="112" t="str">
        <f aca="false">IFERROR(IF([2]对账明细接口!$O290=0,"",[2]对账明细接口!$O290),"")</f>
        <v/>
      </c>
      <c r="U290" s="112" t="str">
        <f aca="false">IFERROR(IF([2]对账明细接口!$P290=0,"",[2]对账明细接口!$P290),"")</f>
        <v/>
      </c>
      <c r="V290" s="112" t="str">
        <f aca="false">IFERROR(IF([2]对账明细接口!$Q290=0,"",[2]对账明细接口!$Q290),"")</f>
        <v/>
      </c>
      <c r="W290" s="10" t="str">
        <f aca="false">IFERROR(IF([2]对账明细接口!$R290=0,"",[2]对账明细接口!$R290),"")</f>
        <v>新Q*61781</v>
      </c>
      <c r="X290" s="10" t="str">
        <f aca="false">IFERROR(IF([2]对账明细接口!$S290=0,"",[2]对账明细接口!$S290),"")</f>
        <v>公司筐</v>
      </c>
      <c r="Y290" s="10" t="str">
        <f aca="false">IFERROR(IF([2]对账明细接口!$T290=0,"",[2]对账明细接口!$T290),"")</f>
        <v>王照雪</v>
      </c>
      <c r="Z290" s="113" t="str">
        <f aca="false">IFERROR(IF([2]对账明细接口!$U290=0,"",[2]对账明细接口!$U290),"")</f>
        <v/>
      </c>
      <c r="AA290" s="113" t="str">
        <f aca="false">IFERROR(IF([2]对账明细接口!$V290=0,"",[2]对账明细接口!$V290),"")</f>
        <v/>
      </c>
      <c r="AB290" s="10" t="str">
        <f aca="false">IFERROR(IF([2]对账明细接口!$W290=0,"",[2]对账明细接口!$W290),"")</f>
        <v/>
      </c>
      <c r="AC290" s="90" t="str">
        <f aca="false">IFERROR(IF([2]对账明细接口!$X291=0,"",[2]对账明细接口!$X291),"")</f>
        <v>电商/主播</v>
      </c>
      <c r="AD290" s="90" t="str">
        <f aca="false">IFERROR(IF([2]对账明细接口!$Y291=0,"",[2]对账明细接口!$Y291),"")</f>
        <v/>
      </c>
      <c r="AE290" s="90" t="str">
        <f aca="false">IFERROR(IF([2]对账明细接口!$AA291=0,"",[2]对账明细接口!$AA291),"")</f>
        <v/>
      </c>
      <c r="AF290" s="90" t="str">
        <f aca="false">IFERROR(IF([2]对账明细接口!$AB291=0,"",[2]对账明细接口!$AB291),"")</f>
        <v/>
      </c>
      <c r="AG290" s="90" t="str">
        <f aca="false">IFERROR(IF([2]对账明细接口!$AC291=0,"",[2]对账明细接口!$AC291),"")</f>
        <v/>
      </c>
      <c r="AH290" s="90" t="str">
        <f aca="false">IFERROR(IF([2]对账明细接口!$AD291=0,"",[2]对账明细接口!$AD291),"")</f>
        <v>成品出库</v>
      </c>
    </row>
    <row r="291" customFormat="false" ht="13.5" hidden="false" customHeight="false" outlineLevel="0" collapsed="false">
      <c r="A291" s="109" t="n">
        <v>291</v>
      </c>
      <c r="B291" s="110" t="n">
        <f aca="false">IFERROR(IF([2]对账明细接口!$B$291=0,"",[2]对账明细接口!$B$291),"")</f>
        <v>46269</v>
      </c>
      <c r="C291" s="59" t="str">
        <f aca="false">IFERROR(IF([2]对账明细接口!$C$291=0,"",[2]对账明细接口!$C$291),"")</f>
        <v>王照雪</v>
      </c>
      <c r="D291" s="59" t="str">
        <f aca="false">IFERROR(IF([2]对账明细接口!$D$291=0,"",[2]对账明细接口!$D$291),"")</f>
        <v>成品出库－成品出库</v>
      </c>
      <c r="E291" s="59" t="str">
        <f aca="false">IFERROR(IF([2]对账明细接口!$E$291=0,"",[2]对账明细接口!$E$291),"")</f>
        <v>NO:0001083</v>
      </c>
      <c r="F291" s="59" t="str">
        <f aca="false">IFERROR(IF([2]对账明细接口!$F$291=0,"",[2]对账明细接口!$F$291),"")</f>
        <v>苹果</v>
      </c>
      <c r="G291" s="59" t="str">
        <f aca="false">IFERROR(IF([2]对账明细接口!$G$291=0,"",[2]对账明细接口!$G$291),"")</f>
        <v>华硕一级</v>
      </c>
      <c r="H291" s="60" t="n">
        <f aca="false">IFERROR(IF([2]对账明细接口!$H$291=0,"",[2]对账明细接口!$H$291),"")</f>
        <v>9</v>
      </c>
      <c r="I291" s="59" t="str">
        <f aca="false">IFERROR(IF([2]对账明细接口!$I$291=0,"",[2]对账明细接口!$I$291),"")</f>
        <v>箱</v>
      </c>
      <c r="J291" s="61" t="n">
        <f aca="false">IFERROR(IF([2]对账明细接口!$J$291=0,"",[2]对账明细接口!$J$291),"")</f>
        <v>45.9</v>
      </c>
      <c r="K291" s="61" t="str">
        <f aca="false">IFERROR(IF([2]对账明细接口!$K$291=0,"",[2]对账明细接口!$K$291),"")</f>
        <v/>
      </c>
      <c r="L291" s="59" t="str">
        <f aca="false">IFERROR(IF([2]对账明细接口!$L$291=0,"",[2]对账明细接口!$L$291),"")</f>
        <v/>
      </c>
      <c r="M291" s="59" t="str">
        <f aca="false">IFERROR(IF([2]对账明细接口!$M$291=0,"",[2]对账明细接口!$M$291),"")</f>
        <v/>
      </c>
      <c r="N291" s="111" t="n">
        <f aca="false">IF($C291="",0,1)</f>
        <v>1</v>
      </c>
      <c r="O291" s="111" t="n">
        <f aca="false">N(O290)+$N291</f>
        <v>288</v>
      </c>
      <c r="S291" s="10" t="str">
        <f aca="false">IFERROR(IF([2]对账明细接口!$N291=0,"",[2]对账明细接口!$N291),"")</f>
        <v>纸箱</v>
      </c>
      <c r="T291" s="112" t="str">
        <f aca="false">IFERROR(IF([2]对账明细接口!$O291=0,"",[2]对账明细接口!$O291),"")</f>
        <v/>
      </c>
      <c r="U291" s="112" t="str">
        <f aca="false">IFERROR(IF([2]对账明细接口!$P291=0,"",[2]对账明细接口!$P291),"")</f>
        <v/>
      </c>
      <c r="V291" s="112" t="str">
        <f aca="false">IFERROR(IF([2]对账明细接口!$Q291=0,"",[2]对账明细接口!$Q291),"")</f>
        <v/>
      </c>
      <c r="W291" s="10" t="str">
        <f aca="false">IFERROR(IF([2]对账明细接口!$R291=0,"",[2]对账明细接口!$R291),"")</f>
        <v>豫N*P269J</v>
      </c>
      <c r="X291" s="10" t="str">
        <f aca="false">IFERROR(IF([2]对账明细接口!$S291=0,"",[2]对账明细接口!$S291),"")</f>
        <v>公司筐</v>
      </c>
      <c r="Y291" s="10" t="str">
        <f aca="false">IFERROR(IF([2]对账明细接口!$T291=0,"",[2]对账明细接口!$T291),"")</f>
        <v>王照雪</v>
      </c>
      <c r="Z291" s="113" t="str">
        <f aca="false">IFERROR(IF([2]对账明细接口!$U291=0,"",[2]对账明细接口!$U291),"")</f>
        <v/>
      </c>
      <c r="AA291" s="113" t="str">
        <f aca="false">IFERROR(IF([2]对账明细接口!$V291=0,"",[2]对账明细接口!$V291),"")</f>
        <v/>
      </c>
      <c r="AB291" s="10" t="str">
        <f aca="false">IFERROR(IF([2]对账明细接口!$W291=0,"",[2]对账明细接口!$W291),"")</f>
        <v/>
      </c>
      <c r="AC291" s="90" t="str">
        <f aca="false">IFERROR(IF([2]对账明细接口!$X292=0,"",[2]对账明细接口!$X292),"")</f>
        <v>电商/主播</v>
      </c>
      <c r="AD291" s="90" t="str">
        <f aca="false">IFERROR(IF([2]对账明细接口!$Y292=0,"",[2]对账明细接口!$Y292),"")</f>
        <v/>
      </c>
      <c r="AE291" s="90" t="str">
        <f aca="false">IFERROR(IF([2]对账明细接口!$AA292=0,"",[2]对账明细接口!$AA292),"")</f>
        <v/>
      </c>
      <c r="AF291" s="90" t="str">
        <f aca="false">IFERROR(IF([2]对账明细接口!$AB292=0,"",[2]对账明细接口!$AB292),"")</f>
        <v/>
      </c>
      <c r="AG291" s="90" t="str">
        <f aca="false">IFERROR(IF([2]对账明细接口!$AC292=0,"",[2]对账明细接口!$AC292),"")</f>
        <v/>
      </c>
      <c r="AH291" s="90" t="str">
        <f aca="false">IFERROR(IF([2]对账明细接口!$AD292=0,"",[2]对账明细接口!$AD292),"")</f>
        <v>成品出库</v>
      </c>
    </row>
    <row r="292" customFormat="false" ht="13.5" hidden="false" customHeight="false" outlineLevel="0" collapsed="false">
      <c r="A292" s="109" t="n">
        <v>292</v>
      </c>
      <c r="B292" s="110" t="n">
        <f aca="false">IFERROR(IF([2]对账明细接口!$B$292=0,"",[2]对账明细接口!$B$292),"")</f>
        <v>46269</v>
      </c>
      <c r="C292" s="59" t="str">
        <f aca="false">IFERROR(IF([2]对账明细接口!$C$292=0,"",[2]对账明细接口!$C$292),"")</f>
        <v>王照雪</v>
      </c>
      <c r="D292" s="59" t="str">
        <f aca="false">IFERROR(IF([2]对账明细接口!$D$292=0,"",[2]对账明细接口!$D$292),"")</f>
        <v>成品出库－成品出库</v>
      </c>
      <c r="E292" s="59" t="str">
        <f aca="false">IFERROR(IF([2]对账明细接口!$E$292=0,"",[2]对账明细接口!$E$292),"")</f>
        <v>NO:0001083</v>
      </c>
      <c r="F292" s="59" t="str">
        <f aca="false">IFERROR(IF([2]对账明细接口!$F$292=0,"",[2]对账明细接口!$F$292),"")</f>
        <v>苹果</v>
      </c>
      <c r="G292" s="59" t="str">
        <f aca="false">IFERROR(IF([2]对账明细接口!$G$292=0,"",[2]对账明细接口!$G$292),"")</f>
        <v>华硕一级</v>
      </c>
      <c r="H292" s="60" t="n">
        <f aca="false">IFERROR(IF([2]对账明细接口!$H$292=0,"",[2]对账明细接口!$H$292),"")</f>
        <v>4</v>
      </c>
      <c r="I292" s="59" t="str">
        <f aca="false">IFERROR(IF([2]对账明细接口!$I$292=0,"",[2]对账明细接口!$I$292),"")</f>
        <v>箱</v>
      </c>
      <c r="J292" s="61" t="n">
        <f aca="false">IFERROR(IF([2]对账明细接口!$J$292=0,"",[2]对账明细接口!$J$292),"")</f>
        <v>10.4</v>
      </c>
      <c r="K292" s="61" t="str">
        <f aca="false">IFERROR(IF([2]对账明细接口!$K$292=0,"",[2]对账明细接口!$K$292),"")</f>
        <v/>
      </c>
      <c r="L292" s="59" t="str">
        <f aca="false">IFERROR(IF([2]对账明细接口!$L$292=0,"",[2]对账明细接口!$L$292),"")</f>
        <v/>
      </c>
      <c r="M292" s="59" t="str">
        <f aca="false">IFERROR(IF([2]对账明细接口!$M$292=0,"",[2]对账明细接口!$M$292),"")</f>
        <v/>
      </c>
      <c r="N292" s="111" t="n">
        <f aca="false">IF($C292="",0,1)</f>
        <v>1</v>
      </c>
      <c r="O292" s="111" t="n">
        <f aca="false">N(O291)+$N292</f>
        <v>289</v>
      </c>
      <c r="S292" s="10" t="str">
        <f aca="false">IFERROR(IF([2]对账明细接口!$N292=0,"",[2]对账明细接口!$N292),"")</f>
        <v>纸箱</v>
      </c>
      <c r="T292" s="112" t="str">
        <f aca="false">IFERROR(IF([2]对账明细接口!$O292=0,"",[2]对账明细接口!$O292),"")</f>
        <v/>
      </c>
      <c r="U292" s="112" t="str">
        <f aca="false">IFERROR(IF([2]对账明细接口!$P292=0,"",[2]对账明细接口!$P292),"")</f>
        <v/>
      </c>
      <c r="V292" s="112" t="str">
        <f aca="false">IFERROR(IF([2]对账明细接口!$Q292=0,"",[2]对账明细接口!$Q292),"")</f>
        <v/>
      </c>
      <c r="W292" s="10" t="str">
        <f aca="false">IFERROR(IF([2]对账明细接口!$R292=0,"",[2]对账明细接口!$R292),"")</f>
        <v>豫N*P269J</v>
      </c>
      <c r="X292" s="10" t="str">
        <f aca="false">IFERROR(IF([2]对账明细接口!$S292=0,"",[2]对账明细接口!$S292),"")</f>
        <v>公司筐</v>
      </c>
      <c r="Y292" s="10" t="str">
        <f aca="false">IFERROR(IF([2]对账明细接口!$T292=0,"",[2]对账明细接口!$T292),"")</f>
        <v>王照雪</v>
      </c>
      <c r="Z292" s="113" t="str">
        <f aca="false">IFERROR(IF([2]对账明细接口!$U292=0,"",[2]对账明细接口!$U292),"")</f>
        <v/>
      </c>
      <c r="AA292" s="113" t="str">
        <f aca="false">IFERROR(IF([2]对账明细接口!$V292=0,"",[2]对账明细接口!$V292),"")</f>
        <v/>
      </c>
      <c r="AB292" s="10" t="str">
        <f aca="false">IFERROR(IF([2]对账明细接口!$W292=0,"",[2]对账明细接口!$W292),"")</f>
        <v/>
      </c>
      <c r="AC292" s="90" t="str">
        <f aca="false">IFERROR(IF([2]对账明细接口!$X293=0,"",[2]对账明细接口!$X293),"")</f>
        <v>王照雪</v>
      </c>
      <c r="AD292" s="90" t="str">
        <f aca="false">IFERROR(IF([2]对账明细接口!$Y293=0,"",[2]对账明细接口!$Y293),"")</f>
        <v/>
      </c>
      <c r="AE292" s="90" t="str">
        <f aca="false">IFERROR(IF([2]对账明细接口!$AA293=0,"",[2]对账明细接口!$AA293),"")</f>
        <v/>
      </c>
      <c r="AF292" s="90" t="str">
        <f aca="false">IFERROR(IF([2]对账明细接口!$AB293=0,"",[2]对账明细接口!$AB293),"")</f>
        <v/>
      </c>
      <c r="AG292" s="90" t="str">
        <f aca="false">IFERROR(IF([2]对账明细接口!$AC293=0,"",[2]对账明细接口!$AC293),"")</f>
        <v/>
      </c>
      <c r="AH292" s="90" t="str">
        <f aca="false">IFERROR(IF([2]对账明细接口!$AD293=0,"",[2]对账明细接口!$AD293),"")</f>
        <v>成品出库</v>
      </c>
    </row>
    <row r="293" customFormat="false" ht="13.5" hidden="false" customHeight="false" outlineLevel="0" collapsed="false">
      <c r="A293" s="109" t="n">
        <v>293</v>
      </c>
      <c r="B293" s="110" t="n">
        <f aca="false">IFERROR(IF([2]对账明细接口!$B$293=0,"",[2]对账明细接口!$B$293),"")</f>
        <v>46269</v>
      </c>
      <c r="C293" s="59" t="str">
        <f aca="false">IFERROR(IF([2]对账明细接口!$C$293=0,"",[2]对账明细接口!$C$293),"")</f>
        <v>王照雪</v>
      </c>
      <c r="D293" s="59" t="str">
        <f aca="false">IFERROR(IF([2]对账明细接口!$D$293=0,"",[2]对账明细接口!$D$293),"")</f>
        <v>成品出库－成品出库</v>
      </c>
      <c r="E293" s="59" t="str">
        <f aca="false">IFERROR(IF([2]对账明细接口!$E$293=0,"",[2]对账明细接口!$E$293),"")</f>
        <v>NO:0001083</v>
      </c>
      <c r="F293" s="59" t="str">
        <f aca="false">IFERROR(IF([2]对账明细接口!$F$293=0,"",[2]对账明细接口!$F$293),"")</f>
        <v>苹果</v>
      </c>
      <c r="G293" s="59" t="str">
        <f aca="false">IFERROR(IF([2]对账明细接口!$G$293=0,"",[2]对账明细接口!$G$293),"")</f>
        <v>苹果扎伤</v>
      </c>
      <c r="H293" s="60" t="n">
        <f aca="false">IFERROR(IF([2]对账明细接口!$H$293=0,"",[2]对账明细接口!$H$293),"")</f>
        <v>3</v>
      </c>
      <c r="I293" s="59" t="str">
        <f aca="false">IFERROR(IF([2]对账明细接口!$I$293=0,"",[2]对账明细接口!$I$293),"")</f>
        <v>筐</v>
      </c>
      <c r="J293" s="61" t="n">
        <f aca="false">IFERROR(IF([2]对账明细接口!$J$293=0,"",[2]对账明细接口!$J$293),"")</f>
        <v>51.9</v>
      </c>
      <c r="K293" s="61" t="str">
        <f aca="false">IFERROR(IF([2]对账明细接口!$K$293=0,"",[2]对账明细接口!$K$293),"")</f>
        <v/>
      </c>
      <c r="L293" s="59" t="str">
        <f aca="false">IFERROR(IF([2]对账明细接口!$L$293=0,"",[2]对账明细接口!$L$293),"")</f>
        <v/>
      </c>
      <c r="M293" s="59" t="str">
        <f aca="false">IFERROR(IF([2]对账明细接口!$M$293=0,"",[2]对账明细接口!$M$293),"")</f>
        <v/>
      </c>
      <c r="N293" s="111" t="n">
        <f aca="false">IF($C293="",0,1)</f>
        <v>1</v>
      </c>
      <c r="O293" s="111" t="n">
        <f aca="false">N(O292)+$N293</f>
        <v>290</v>
      </c>
      <c r="S293" s="10" t="str">
        <f aca="false">IFERROR(IF([2]对账明细接口!$N293=0,"",[2]对账明细接口!$N293),"")</f>
        <v>公司杂周转筐</v>
      </c>
      <c r="T293" s="112" t="n">
        <f aca="false">IFERROR(IF([2]对账明细接口!$O293=0,"",[2]对账明细接口!$O293),"")</f>
        <v>3</v>
      </c>
      <c r="U293" s="112" t="str">
        <f aca="false">IFERROR(IF([2]对账明细接口!$P293=0,"",[2]对账明细接口!$P293),"")</f>
        <v/>
      </c>
      <c r="V293" s="112" t="str">
        <f aca="false">IFERROR(IF([2]对账明细接口!$Q293=0,"",[2]对账明细接口!$Q293),"")</f>
        <v/>
      </c>
      <c r="W293" s="10" t="str">
        <f aca="false">IFERROR(IF([2]对账明细接口!$R293=0,"",[2]对账明细接口!$R293),"")</f>
        <v>豫N*P269J</v>
      </c>
      <c r="X293" s="10" t="str">
        <f aca="false">IFERROR(IF([2]对账明细接口!$S293=0,"",[2]对账明细接口!$S293),"")</f>
        <v>公司筐</v>
      </c>
      <c r="Y293" s="10" t="str">
        <f aca="false">IFERROR(IF([2]对账明细接口!$T293=0,"",[2]对账明细接口!$T293),"")</f>
        <v>王照雪</v>
      </c>
      <c r="Z293" s="113" t="str">
        <f aca="false">IFERROR(IF([2]对账明细接口!$U293=0,"",[2]对账明细接口!$U293),"")</f>
        <v/>
      </c>
      <c r="AA293" s="113" t="str">
        <f aca="false">IFERROR(IF([2]对账明细接口!$V293=0,"",[2]对账明细接口!$V293),"")</f>
        <v/>
      </c>
      <c r="AB293" s="10" t="str">
        <f aca="false">IFERROR(IF([2]对账明细接口!$W293=0,"",[2]对账明细接口!$W293),"")</f>
        <v/>
      </c>
      <c r="AC293" s="90" t="str">
        <f aca="false">IFERROR(IF([2]对账明细接口!$X294=0,"",[2]对账明细接口!$X294),"")</f>
        <v>电商/主播</v>
      </c>
      <c r="AD293" s="90" t="str">
        <f aca="false">IFERROR(IF([2]对账明细接口!$Y294=0,"",[2]对账明细接口!$Y294),"")</f>
        <v/>
      </c>
      <c r="AE293" s="90" t="str">
        <f aca="false">IFERROR(IF([2]对账明细接口!$AA294=0,"",[2]对账明细接口!$AA294),"")</f>
        <v/>
      </c>
      <c r="AF293" s="90" t="str">
        <f aca="false">IFERROR(IF([2]对账明细接口!$AB294=0,"",[2]对账明细接口!$AB294),"")</f>
        <v/>
      </c>
      <c r="AG293" s="90" t="str">
        <f aca="false">IFERROR(IF([2]对账明细接口!$AC294=0,"",[2]对账明细接口!$AC294),"")</f>
        <v/>
      </c>
      <c r="AH293" s="90" t="str">
        <f aca="false">IFERROR(IF([2]对账明细接口!$AD294=0,"",[2]对账明细接口!$AD294),"")</f>
        <v>成品出库</v>
      </c>
    </row>
    <row r="294" customFormat="false" ht="13.5" hidden="false" customHeight="false" outlineLevel="0" collapsed="false">
      <c r="A294" s="109" t="n">
        <v>294</v>
      </c>
      <c r="B294" s="110" t="n">
        <f aca="false">IFERROR(IF([2]对账明细接口!$B$294=0,"",[2]对账明细接口!$B$294),"")</f>
        <v>46269</v>
      </c>
      <c r="C294" s="59" t="str">
        <f aca="false">IFERROR(IF([2]对账明细接口!$C$294=0,"",[2]对账明细接口!$C$294),"")</f>
        <v>王照雪</v>
      </c>
      <c r="D294" s="59" t="str">
        <f aca="false">IFERROR(IF([2]对账明细接口!$D$294=0,"",[2]对账明细接口!$D$294),"")</f>
        <v>成品出库－成品出库</v>
      </c>
      <c r="E294" s="59" t="str">
        <f aca="false">IFERROR(IF([2]对账明细接口!$E$294=0,"",[2]对账明细接口!$E$294),"")</f>
        <v>NO:0001085</v>
      </c>
      <c r="F294" s="59" t="str">
        <f aca="false">IFERROR(IF([2]对账明细接口!$F$294=0,"",[2]对账明细接口!$F$294),"")</f>
        <v>苹果</v>
      </c>
      <c r="G294" s="59" t="str">
        <f aca="false">IFERROR(IF([2]对账明细接口!$G$294=0,"",[2]对账明细接口!$G$294),"")</f>
        <v>华硕一级</v>
      </c>
      <c r="H294" s="60" t="n">
        <f aca="false">IFERROR(IF([2]对账明细接口!$H$294=0,"",[2]对账明细接口!$H$294),"")</f>
        <v>93</v>
      </c>
      <c r="I294" s="59" t="str">
        <f aca="false">IFERROR(IF([2]对账明细接口!$I$294=0,"",[2]对账明细接口!$I$294),"")</f>
        <v>箱</v>
      </c>
      <c r="J294" s="61" t="n">
        <f aca="false">IFERROR(IF([2]对账明细接口!$J$294=0,"",[2]对账明细接口!$J$294),"")</f>
        <v>474.3</v>
      </c>
      <c r="K294" s="61" t="str">
        <f aca="false">IFERROR(IF([2]对账明细接口!$K$294=0,"",[2]对账明细接口!$K$294),"")</f>
        <v/>
      </c>
      <c r="L294" s="59" t="str">
        <f aca="false">IFERROR(IF([2]对账明细接口!$L$294=0,"",[2]对账明细接口!$L$294),"")</f>
        <v/>
      </c>
      <c r="M294" s="59" t="str">
        <f aca="false">IFERROR(IF([2]对账明细接口!$M$294=0,"",[2]对账明细接口!$M$294),"")</f>
        <v/>
      </c>
      <c r="N294" s="111" t="n">
        <f aca="false">IF($C294="",0,1)</f>
        <v>1</v>
      </c>
      <c r="O294" s="111" t="n">
        <f aca="false">N(O293)+$N294</f>
        <v>291</v>
      </c>
      <c r="S294" s="10" t="str">
        <f aca="false">IFERROR(IF([2]对账明细接口!$N294=0,"",[2]对账明细接口!$N294),"")</f>
        <v>纸箱</v>
      </c>
      <c r="T294" s="112" t="str">
        <f aca="false">IFERROR(IF([2]对账明细接口!$O294=0,"",[2]对账明细接口!$O294),"")</f>
        <v/>
      </c>
      <c r="U294" s="112" t="str">
        <f aca="false">IFERROR(IF([2]对账明细接口!$P294=0,"",[2]对账明细接口!$P294),"")</f>
        <v/>
      </c>
      <c r="V294" s="112" t="str">
        <f aca="false">IFERROR(IF([2]对账明细接口!$Q294=0,"",[2]对账明细接口!$Q294),"")</f>
        <v/>
      </c>
      <c r="W294" s="10" t="str">
        <f aca="false">IFERROR(IF([2]对账明细接口!$R294=0,"",[2]对账明细接口!$R294),"")</f>
        <v>豫N*P269J</v>
      </c>
      <c r="X294" s="10" t="str">
        <f aca="false">IFERROR(IF([2]对账明细接口!$S294=0,"",[2]对账明细接口!$S294),"")</f>
        <v>公司筐</v>
      </c>
      <c r="Y294" s="10" t="str">
        <f aca="false">IFERROR(IF([2]对账明细接口!$T294=0,"",[2]对账明细接口!$T294),"")</f>
        <v>王照雪</v>
      </c>
      <c r="Z294" s="113" t="str">
        <f aca="false">IFERROR(IF([2]对账明细接口!$U294=0,"",[2]对账明细接口!$U294),"")</f>
        <v/>
      </c>
      <c r="AA294" s="113" t="str">
        <f aca="false">IFERROR(IF([2]对账明细接口!$V294=0,"",[2]对账明细接口!$V294),"")</f>
        <v/>
      </c>
      <c r="AB294" s="10" t="str">
        <f aca="false">IFERROR(IF([2]对账明细接口!$W294=0,"",[2]对账明细接口!$W294),"")</f>
        <v/>
      </c>
      <c r="AC294" s="90" t="str">
        <f aca="false">IFERROR(IF([2]对账明细接口!$X295=0,"",[2]对账明细接口!$X295),"")</f>
        <v>电商/主播</v>
      </c>
      <c r="AD294" s="90" t="str">
        <f aca="false">IFERROR(IF([2]对账明细接口!$Y295=0,"",[2]对账明细接口!$Y295),"")</f>
        <v/>
      </c>
      <c r="AE294" s="90" t="str">
        <f aca="false">IFERROR(IF([2]对账明细接口!$AA295=0,"",[2]对账明细接口!$AA295),"")</f>
        <v/>
      </c>
      <c r="AF294" s="90" t="str">
        <f aca="false">IFERROR(IF([2]对账明细接口!$AB295=0,"",[2]对账明细接口!$AB295),"")</f>
        <v/>
      </c>
      <c r="AG294" s="90" t="str">
        <f aca="false">IFERROR(IF([2]对账明细接口!$AC295=0,"",[2]对账明细接口!$AC295),"")</f>
        <v/>
      </c>
      <c r="AH294" s="90" t="str">
        <f aca="false">IFERROR(IF([2]对账明细接口!$AD295=0,"",[2]对账明细接口!$AD295),"")</f>
        <v>成品出库</v>
      </c>
    </row>
    <row r="295" customFormat="false" ht="13.5" hidden="false" customHeight="false" outlineLevel="0" collapsed="false">
      <c r="A295" s="109" t="n">
        <v>295</v>
      </c>
      <c r="B295" s="110" t="n">
        <f aca="false">IFERROR(IF([2]对账明细接口!$B$295=0,"",[2]对账明细接口!$B$295),"")</f>
        <v>46270</v>
      </c>
      <c r="C295" s="59" t="str">
        <f aca="false">IFERROR(IF([2]对账明细接口!$C$295=0,"",[2]对账明细接口!$C$295),"")</f>
        <v>王照雪</v>
      </c>
      <c r="D295" s="59" t="str">
        <f aca="false">IFERROR(IF([2]对账明细接口!$D$295=0,"",[2]对账明细接口!$D$295),"")</f>
        <v>成品出库－成品出库</v>
      </c>
      <c r="E295" s="59" t="str">
        <f aca="false">IFERROR(IF([2]对账明细接口!$E$295=0,"",[2]对账明细接口!$E$295),"")</f>
        <v>NO:0001085</v>
      </c>
      <c r="F295" s="59" t="str">
        <f aca="false">IFERROR(IF([2]对账明细接口!$F$295=0,"",[2]对账明细接口!$F$295),"")</f>
        <v>苹果</v>
      </c>
      <c r="G295" s="59" t="str">
        <f aca="false">IFERROR(IF([2]对账明细接口!$G$295=0,"",[2]对账明细接口!$G$295),"")</f>
        <v>华硕一级</v>
      </c>
      <c r="H295" s="60" t="n">
        <f aca="false">IFERROR(IF([2]对账明细接口!$H$295=0,"",[2]对账明细接口!$H$295),"")</f>
        <v>3</v>
      </c>
      <c r="I295" s="59" t="str">
        <f aca="false">IFERROR(IF([2]对账明细接口!$I$295=0,"",[2]对账明细接口!$I$295),"")</f>
        <v>箱</v>
      </c>
      <c r="J295" s="61" t="n">
        <f aca="false">IFERROR(IF([2]对账明细接口!$J$295=0,"",[2]对账明细接口!$J$295),"")</f>
        <v>7.8</v>
      </c>
      <c r="K295" s="61" t="str">
        <f aca="false">IFERROR(IF([2]对账明细接口!$K$295=0,"",[2]对账明细接口!$K$295),"")</f>
        <v/>
      </c>
      <c r="L295" s="59" t="str">
        <f aca="false">IFERROR(IF([2]对账明细接口!$L$295=0,"",[2]对账明细接口!$L$295),"")</f>
        <v/>
      </c>
      <c r="M295" s="59" t="str">
        <f aca="false">IFERROR(IF([2]对账明细接口!$M$295=0,"",[2]对账明细接口!$M$295),"")</f>
        <v/>
      </c>
      <c r="N295" s="111" t="n">
        <f aca="false">IF($C295="",0,1)</f>
        <v>1</v>
      </c>
      <c r="O295" s="111" t="n">
        <f aca="false">N(O294)+$N295</f>
        <v>292</v>
      </c>
      <c r="S295" s="10" t="str">
        <f aca="false">IFERROR(IF([2]对账明细接口!$N295=0,"",[2]对账明细接口!$N295),"")</f>
        <v>纸箱</v>
      </c>
      <c r="T295" s="112" t="str">
        <f aca="false">IFERROR(IF([2]对账明细接口!$O295=0,"",[2]对账明细接口!$O295),"")</f>
        <v/>
      </c>
      <c r="U295" s="112" t="str">
        <f aca="false">IFERROR(IF([2]对账明细接口!$P295=0,"",[2]对账明细接口!$P295),"")</f>
        <v/>
      </c>
      <c r="V295" s="112" t="str">
        <f aca="false">IFERROR(IF([2]对账明细接口!$Q295=0,"",[2]对账明细接口!$Q295),"")</f>
        <v/>
      </c>
      <c r="W295" s="10" t="str">
        <f aca="false">IFERROR(IF([2]对账明细接口!$R295=0,"",[2]对账明细接口!$R295),"")</f>
        <v>豫N*P269J</v>
      </c>
      <c r="X295" s="10" t="str">
        <f aca="false">IFERROR(IF([2]对账明细接口!$S295=0,"",[2]对账明细接口!$S295),"")</f>
        <v>公司筐</v>
      </c>
      <c r="Y295" s="10" t="str">
        <f aca="false">IFERROR(IF([2]对账明细接口!$T295=0,"",[2]对账明细接口!$T295),"")</f>
        <v>王照雪</v>
      </c>
      <c r="Z295" s="113" t="str">
        <f aca="false">IFERROR(IF([2]对账明细接口!$U295=0,"",[2]对账明细接口!$U295),"")</f>
        <v/>
      </c>
      <c r="AA295" s="113" t="str">
        <f aca="false">IFERROR(IF([2]对账明细接口!$V295=0,"",[2]对账明细接口!$V295),"")</f>
        <v/>
      </c>
      <c r="AB295" s="10" t="str">
        <f aca="false">IFERROR(IF([2]对账明细接口!$W295=0,"",[2]对账明细接口!$W295),"")</f>
        <v/>
      </c>
      <c r="AC295" s="90" t="str">
        <f aca="false">IFERROR(IF([2]对账明细接口!$X296=0,"",[2]对账明细接口!$X296),"")</f>
        <v>电商/主播</v>
      </c>
      <c r="AD295" s="90" t="str">
        <f aca="false">IFERROR(IF([2]对账明细接口!$Y296=0,"",[2]对账明细接口!$Y296),"")</f>
        <v/>
      </c>
      <c r="AE295" s="90" t="str">
        <f aca="false">IFERROR(IF([2]对账明细接口!$AA296=0,"",[2]对账明细接口!$AA296),"")</f>
        <v/>
      </c>
      <c r="AF295" s="90" t="str">
        <f aca="false">IFERROR(IF([2]对账明细接口!$AB296=0,"",[2]对账明细接口!$AB296),"")</f>
        <v/>
      </c>
      <c r="AG295" s="90" t="str">
        <f aca="false">IFERROR(IF([2]对账明细接口!$AC296=0,"",[2]对账明细接口!$AC296),"")</f>
        <v/>
      </c>
      <c r="AH295" s="90" t="str">
        <f aca="false">IFERROR(IF([2]对账明细接口!$AD296=0,"",[2]对账明细接口!$AD296),"")</f>
        <v>成品出库</v>
      </c>
    </row>
    <row r="296" customFormat="false" ht="13.5" hidden="false" customHeight="false" outlineLevel="0" collapsed="false">
      <c r="A296" s="109" t="n">
        <v>296</v>
      </c>
      <c r="B296" s="110" t="n">
        <f aca="false">IFERROR(IF([2]对账明细接口!$B$296=0,"",[2]对账明细接口!$B$296),"")</f>
        <v>46271</v>
      </c>
      <c r="C296" s="59" t="str">
        <f aca="false">IFERROR(IF([2]对账明细接口!$C$296=0,"",[2]对账明细接口!$C$296),"")</f>
        <v>王照雪</v>
      </c>
      <c r="D296" s="59" t="str">
        <f aca="false">IFERROR(IF([2]对账明细接口!$D$296=0,"",[2]对账明细接口!$D$296),"")</f>
        <v>成品出库－成品出库</v>
      </c>
      <c r="E296" s="59" t="str">
        <f aca="false">IFERROR(IF([2]对账明细接口!$E$296=0,"",[2]对账明细接口!$E$296),"")</f>
        <v>NO:0001088</v>
      </c>
      <c r="F296" s="59" t="str">
        <f aca="false">IFERROR(IF([2]对账明细接口!$F$296=0,"",[2]对账明细接口!$F$296),"")</f>
        <v>苹果</v>
      </c>
      <c r="G296" s="59" t="str">
        <f aca="false">IFERROR(IF([2]对账明细接口!$G$296=0,"",[2]对账明细接口!$G$296),"")</f>
        <v>华硕一级</v>
      </c>
      <c r="H296" s="60" t="n">
        <f aca="false">IFERROR(IF([2]对账明细接口!$H$296=0,"",[2]对账明细接口!$H$296),"")</f>
        <v>105</v>
      </c>
      <c r="I296" s="59" t="str">
        <f aca="false">IFERROR(IF([2]对账明细接口!$I$296=0,"",[2]对账明细接口!$I$296),"")</f>
        <v>箱</v>
      </c>
      <c r="J296" s="61" t="n">
        <f aca="false">IFERROR(IF([2]对账明细接口!$J$296=0,"",[2]对账明细接口!$J$296),"")</f>
        <v>535.5</v>
      </c>
      <c r="K296" s="61" t="str">
        <f aca="false">IFERROR(IF([2]对账明细接口!$K$296=0,"",[2]对账明细接口!$K$296),"")</f>
        <v/>
      </c>
      <c r="L296" s="59" t="str">
        <f aca="false">IFERROR(IF([2]对账明细接口!$L$296=0,"",[2]对账明细接口!$L$296),"")</f>
        <v/>
      </c>
      <c r="M296" s="59" t="str">
        <f aca="false">IFERROR(IF([2]对账明细接口!$M$296=0,"",[2]对账明细接口!$M$296),"")</f>
        <v/>
      </c>
      <c r="N296" s="111" t="n">
        <f aca="false">IF($C296="",0,1)</f>
        <v>1</v>
      </c>
      <c r="O296" s="111" t="n">
        <f aca="false">N(O295)+$N296</f>
        <v>293</v>
      </c>
      <c r="S296" s="10" t="str">
        <f aca="false">IFERROR(IF([2]对账明细接口!$N296=0,"",[2]对账明细接口!$N296),"")</f>
        <v>纸箱</v>
      </c>
      <c r="T296" s="112" t="str">
        <f aca="false">IFERROR(IF([2]对账明细接口!$O296=0,"",[2]对账明细接口!$O296),"")</f>
        <v/>
      </c>
      <c r="U296" s="112" t="str">
        <f aca="false">IFERROR(IF([2]对账明细接口!$P296=0,"",[2]对账明细接口!$P296),"")</f>
        <v/>
      </c>
      <c r="V296" s="112" t="str">
        <f aca="false">IFERROR(IF([2]对账明细接口!$Q296=0,"",[2]对账明细接口!$Q296),"")</f>
        <v/>
      </c>
      <c r="W296" s="10" t="str">
        <f aca="false">IFERROR(IF([2]对账明细接口!$R296=0,"",[2]对账明细接口!$R296),"")</f>
        <v>豫N*P269J</v>
      </c>
      <c r="X296" s="10" t="str">
        <f aca="false">IFERROR(IF([2]对账明细接口!$S296=0,"",[2]对账明细接口!$S296),"")</f>
        <v>公司筐</v>
      </c>
      <c r="Y296" s="10" t="str">
        <f aca="false">IFERROR(IF([2]对账明细接口!$T296=0,"",[2]对账明细接口!$T296),"")</f>
        <v>王照雪</v>
      </c>
      <c r="Z296" s="113" t="str">
        <f aca="false">IFERROR(IF([2]对账明细接口!$U296=0,"",[2]对账明细接口!$U296),"")</f>
        <v/>
      </c>
      <c r="AA296" s="113" t="str">
        <f aca="false">IFERROR(IF([2]对账明细接口!$V296=0,"",[2]对账明细接口!$V296),"")</f>
        <v/>
      </c>
      <c r="AB296" s="10" t="str">
        <f aca="false">IFERROR(IF([2]对账明细接口!$W296=0,"",[2]对账明细接口!$W296),"")</f>
        <v/>
      </c>
      <c r="AC296" s="90" t="str">
        <f aca="false">IFERROR(IF([2]对账明细接口!$X297=0,"",[2]对账明细接口!$X297),"")</f>
        <v>电商/主播</v>
      </c>
      <c r="AD296" s="90" t="str">
        <f aca="false">IFERROR(IF([2]对账明细接口!$Y297=0,"",[2]对账明细接口!$Y297),"")</f>
        <v/>
      </c>
      <c r="AE296" s="90" t="str">
        <f aca="false">IFERROR(IF([2]对账明细接口!$AA297=0,"",[2]对账明细接口!$AA297),"")</f>
        <v/>
      </c>
      <c r="AF296" s="90" t="str">
        <f aca="false">IFERROR(IF([2]对账明细接口!$AB297=0,"",[2]对账明细接口!$AB297),"")</f>
        <v/>
      </c>
      <c r="AG296" s="90" t="str">
        <f aca="false">IFERROR(IF([2]对账明细接口!$AC297=0,"",[2]对账明细接口!$AC297),"")</f>
        <v/>
      </c>
      <c r="AH296" s="90" t="str">
        <f aca="false">IFERROR(IF([2]对账明细接口!$AD297=0,"",[2]对账明细接口!$AD297),"")</f>
        <v>成品出库</v>
      </c>
    </row>
    <row r="297" customFormat="false" ht="13.5" hidden="false" customHeight="false" outlineLevel="0" collapsed="false">
      <c r="A297" s="109" t="n">
        <v>297</v>
      </c>
      <c r="B297" s="110" t="n">
        <f aca="false">IFERROR(IF([2]对账明细接口!$B$297=0,"",[2]对账明细接口!$B$297),"")</f>
        <v>46272</v>
      </c>
      <c r="C297" s="59" t="str">
        <f aca="false">IFERROR(IF([2]对账明细接口!$C$297=0,"",[2]对账明细接口!$C$297),"")</f>
        <v>王照雪</v>
      </c>
      <c r="D297" s="59" t="str">
        <f aca="false">IFERROR(IF([2]对账明细接口!$D$297=0,"",[2]对账明细接口!$D$297),"")</f>
        <v>成品出库－成品出库</v>
      </c>
      <c r="E297" s="59" t="str">
        <f aca="false">IFERROR(IF([2]对账明细接口!$E$297=0,"",[2]对账明细接口!$E$297),"")</f>
        <v>NO:0001093</v>
      </c>
      <c r="F297" s="59" t="str">
        <f aca="false">IFERROR(IF([2]对账明细接口!$F$297=0,"",[2]对账明细接口!$F$297),"")</f>
        <v>苹果</v>
      </c>
      <c r="G297" s="59" t="str">
        <f aca="false">IFERROR(IF([2]对账明细接口!$G$297=0,"",[2]对账明细接口!$G$297),"")</f>
        <v>华硕一级</v>
      </c>
      <c r="H297" s="60" t="n">
        <f aca="false">IFERROR(IF([2]对账明细接口!$H$297=0,"",[2]对账明细接口!$H$297),"")</f>
        <v>150</v>
      </c>
      <c r="I297" s="59" t="str">
        <f aca="false">IFERROR(IF([2]对账明细接口!$I$297=0,"",[2]对账明细接口!$I$297),"")</f>
        <v>箱</v>
      </c>
      <c r="J297" s="61" t="n">
        <f aca="false">IFERROR(IF([2]对账明细接口!$J$297=0,"",[2]对账明细接口!$J$297),"")</f>
        <v>765</v>
      </c>
      <c r="K297" s="61" t="str">
        <f aca="false">IFERROR(IF([2]对账明细接口!$K$297=0,"",[2]对账明细接口!$K$297),"")</f>
        <v/>
      </c>
      <c r="L297" s="59" t="str">
        <f aca="false">IFERROR(IF([2]对账明细接口!$L$297=0,"",[2]对账明细接口!$L$297),"")</f>
        <v/>
      </c>
      <c r="M297" s="59" t="str">
        <f aca="false">IFERROR(IF([2]对账明细接口!$M$297=0,"",[2]对账明细接口!$M$297),"")</f>
        <v/>
      </c>
      <c r="N297" s="111" t="n">
        <f aca="false">IF($C297="",0,1)</f>
        <v>1</v>
      </c>
      <c r="O297" s="111" t="n">
        <f aca="false">N(O296)+$N297</f>
        <v>294</v>
      </c>
      <c r="S297" s="10" t="str">
        <f aca="false">IFERROR(IF([2]对账明细接口!$N297=0,"",[2]对账明细接口!$N297),"")</f>
        <v>纸箱</v>
      </c>
      <c r="T297" s="112" t="str">
        <f aca="false">IFERROR(IF([2]对账明细接口!$O297=0,"",[2]对账明细接口!$O297),"")</f>
        <v/>
      </c>
      <c r="U297" s="112" t="str">
        <f aca="false">IFERROR(IF([2]对账明细接口!$P297=0,"",[2]对账明细接口!$P297),"")</f>
        <v/>
      </c>
      <c r="V297" s="112" t="str">
        <f aca="false">IFERROR(IF([2]对账明细接口!$Q297=0,"",[2]对账明细接口!$Q297),"")</f>
        <v/>
      </c>
      <c r="W297" s="10" t="str">
        <f aca="false">IFERROR(IF([2]对账明细接口!$R297=0,"",[2]对账明细接口!$R297),"")</f>
        <v>豫N*P269J</v>
      </c>
      <c r="X297" s="10" t="str">
        <f aca="false">IFERROR(IF([2]对账明细接口!$S297=0,"",[2]对账明细接口!$S297),"")</f>
        <v>公司筐</v>
      </c>
      <c r="Y297" s="10" t="str">
        <f aca="false">IFERROR(IF([2]对账明细接口!$T297=0,"",[2]对账明细接口!$T297),"")</f>
        <v>王照雪</v>
      </c>
      <c r="Z297" s="113" t="str">
        <f aca="false">IFERROR(IF([2]对账明细接口!$U297=0,"",[2]对账明细接口!$U297),"")</f>
        <v/>
      </c>
      <c r="AA297" s="113" t="str">
        <f aca="false">IFERROR(IF([2]对账明细接口!$V297=0,"",[2]对账明细接口!$V297),"")</f>
        <v/>
      </c>
      <c r="AB297" s="10" t="str">
        <f aca="false">IFERROR(IF([2]对账明细接口!$W297=0,"",[2]对账明细接口!$W297),"")</f>
        <v/>
      </c>
      <c r="AC297" s="90" t="str">
        <f aca="false">IFERROR(IF([2]对账明细接口!$X298=0,"",[2]对账明细接口!$X298),"")</f>
        <v>电商/主播</v>
      </c>
      <c r="AD297" s="90" t="str">
        <f aca="false">IFERROR(IF([2]对账明细接口!$Y298=0,"",[2]对账明细接口!$Y298),"")</f>
        <v/>
      </c>
      <c r="AE297" s="90" t="str">
        <f aca="false">IFERROR(IF([2]对账明细接口!$AA298=0,"",[2]对账明细接口!$AA298),"")</f>
        <v/>
      </c>
      <c r="AF297" s="90" t="str">
        <f aca="false">IFERROR(IF([2]对账明细接口!$AB298=0,"",[2]对账明细接口!$AB298),"")</f>
        <v/>
      </c>
      <c r="AG297" s="90" t="str">
        <f aca="false">IFERROR(IF([2]对账明细接口!$AC298=0,"",[2]对账明细接口!$AC298),"")</f>
        <v/>
      </c>
      <c r="AH297" s="90" t="str">
        <f aca="false">IFERROR(IF([2]对账明细接口!$AD298=0,"",[2]对账明细接口!$AD298),"")</f>
        <v>成品出库</v>
      </c>
    </row>
    <row r="298" customFormat="false" ht="13.5" hidden="false" customHeight="false" outlineLevel="0" collapsed="false">
      <c r="A298" s="109" t="n">
        <v>298</v>
      </c>
      <c r="B298" s="110" t="n">
        <f aca="false">IFERROR(IF([2]对账明细接口!$B$298=0,"",[2]对账明细接口!$B$298),"")</f>
        <v>46273</v>
      </c>
      <c r="C298" s="59" t="str">
        <f aca="false">IFERROR(IF([2]对账明细接口!$C$298=0,"",[2]对账明细接口!$C$298),"")</f>
        <v>王照雪</v>
      </c>
      <c r="D298" s="59" t="str">
        <f aca="false">IFERROR(IF([2]对账明细接口!$D$298=0,"",[2]对账明细接口!$D$298),"")</f>
        <v>成品出库－成品出库</v>
      </c>
      <c r="E298" s="59" t="str">
        <f aca="false">IFERROR(IF([2]对账明细接口!$E$298=0,"",[2]对账明细接口!$E$298),"")</f>
        <v>NO:0001095</v>
      </c>
      <c r="F298" s="59" t="str">
        <f aca="false">IFERROR(IF([2]对账明细接口!$F$298=0,"",[2]对账明细接口!$F$298),"")</f>
        <v>苹果</v>
      </c>
      <c r="G298" s="59" t="str">
        <f aca="false">IFERROR(IF([2]对账明细接口!$G$298=0,"",[2]对账明细接口!$G$298),"")</f>
        <v>华硕一级</v>
      </c>
      <c r="H298" s="60" t="n">
        <f aca="false">IFERROR(IF([2]对账明细接口!$H$298=0,"",[2]对账明细接口!$H$298),"")</f>
        <v>296</v>
      </c>
      <c r="I298" s="59" t="str">
        <f aca="false">IFERROR(IF([2]对账明细接口!$I$298=0,"",[2]对账明细接口!$I$298),"")</f>
        <v>箱</v>
      </c>
      <c r="J298" s="61" t="n">
        <f aca="false">IFERROR(IF([2]对账明细接口!$J$298=0,"",[2]对账明细接口!$J$298),"")</f>
        <v>1509.6</v>
      </c>
      <c r="K298" s="61" t="str">
        <f aca="false">IFERROR(IF([2]对账明细接口!$K$298=0,"",[2]对账明细接口!$K$298),"")</f>
        <v/>
      </c>
      <c r="L298" s="59" t="str">
        <f aca="false">IFERROR(IF([2]对账明细接口!$L$298=0,"",[2]对账明细接口!$L$298),"")</f>
        <v/>
      </c>
      <c r="M298" s="59" t="str">
        <f aca="false">IFERROR(IF([2]对账明细接口!$M$298=0,"",[2]对账明细接口!$M$298),"")</f>
        <v/>
      </c>
      <c r="N298" s="111" t="n">
        <f aca="false">IF($C298="",0,1)</f>
        <v>1</v>
      </c>
      <c r="O298" s="111" t="n">
        <f aca="false">N(O297)+$N298</f>
        <v>295</v>
      </c>
      <c r="S298" s="10" t="str">
        <f aca="false">IFERROR(IF([2]对账明细接口!$N298=0,"",[2]对账明细接口!$N298),"")</f>
        <v>纸箱</v>
      </c>
      <c r="T298" s="112" t="str">
        <f aca="false">IFERROR(IF([2]对账明细接口!$O298=0,"",[2]对账明细接口!$O298),"")</f>
        <v/>
      </c>
      <c r="U298" s="112" t="str">
        <f aca="false">IFERROR(IF([2]对账明细接口!$P298=0,"",[2]对账明细接口!$P298),"")</f>
        <v/>
      </c>
      <c r="V298" s="112" t="str">
        <f aca="false">IFERROR(IF([2]对账明细接口!$Q298=0,"",[2]对账明细接口!$Q298),"")</f>
        <v/>
      </c>
      <c r="W298" s="10" t="str">
        <f aca="false">IFERROR(IF([2]对账明细接口!$R298=0,"",[2]对账明细接口!$R298),"")</f>
        <v>豫N*P269J</v>
      </c>
      <c r="X298" s="10" t="str">
        <f aca="false">IFERROR(IF([2]对账明细接口!$S298=0,"",[2]对账明细接口!$S298),"")</f>
        <v>公司筐</v>
      </c>
      <c r="Y298" s="10" t="str">
        <f aca="false">IFERROR(IF([2]对账明细接口!$T298=0,"",[2]对账明细接口!$T298),"")</f>
        <v>王照雪</v>
      </c>
      <c r="Z298" s="113" t="str">
        <f aca="false">IFERROR(IF([2]对账明细接口!$U298=0,"",[2]对账明细接口!$U298),"")</f>
        <v/>
      </c>
      <c r="AA298" s="113" t="str">
        <f aca="false">IFERROR(IF([2]对账明细接口!$V298=0,"",[2]对账明细接口!$V298),"")</f>
        <v/>
      </c>
      <c r="AB298" s="10" t="str">
        <f aca="false">IFERROR(IF([2]对账明细接口!$W298=0,"",[2]对账明细接口!$W298),"")</f>
        <v/>
      </c>
      <c r="AC298" s="90" t="str">
        <f aca="false">IFERROR(IF([2]对账明细接口!$X299=0,"",[2]对账明细接口!$X299),"")</f>
        <v>电商/主播</v>
      </c>
      <c r="AD298" s="90" t="str">
        <f aca="false">IFERROR(IF([2]对账明细接口!$Y299=0,"",[2]对账明细接口!$Y299),"")</f>
        <v/>
      </c>
      <c r="AE298" s="90" t="str">
        <f aca="false">IFERROR(IF([2]对账明细接口!$AA299=0,"",[2]对账明细接口!$AA299),"")</f>
        <v/>
      </c>
      <c r="AF298" s="90" t="str">
        <f aca="false">IFERROR(IF([2]对账明细接口!$AB299=0,"",[2]对账明细接口!$AB299),"")</f>
        <v/>
      </c>
      <c r="AG298" s="90" t="str">
        <f aca="false">IFERROR(IF([2]对账明细接口!$AC299=0,"",[2]对账明细接口!$AC299),"")</f>
        <v/>
      </c>
      <c r="AH298" s="90" t="str">
        <f aca="false">IFERROR(IF([2]对账明细接口!$AD299=0,"",[2]对账明细接口!$AD299),"")</f>
        <v>成品出库</v>
      </c>
    </row>
    <row r="299" customFormat="false" ht="13.5" hidden="false" customHeight="false" outlineLevel="0" collapsed="false">
      <c r="A299" s="109" t="n">
        <v>299</v>
      </c>
      <c r="B299" s="110" t="n">
        <f aca="false">IFERROR(IF([2]对账明细接口!$B$299=0,"",[2]对账明细接口!$B$299),"")</f>
        <v>46273</v>
      </c>
      <c r="C299" s="59" t="str">
        <f aca="false">IFERROR(IF([2]对账明细接口!$C$299=0,"",[2]对账明细接口!$C$299),"")</f>
        <v>王照雪</v>
      </c>
      <c r="D299" s="59" t="str">
        <f aca="false">IFERROR(IF([2]对账明细接口!$D$299=0,"",[2]对账明细接口!$D$299),"")</f>
        <v>成品出库－成品出库</v>
      </c>
      <c r="E299" s="59" t="str">
        <f aca="false">IFERROR(IF([2]对账明细接口!$E$299=0,"",[2]对账明细接口!$E$299),"")</f>
        <v>NO:0001095</v>
      </c>
      <c r="F299" s="59" t="str">
        <f aca="false">IFERROR(IF([2]对账明细接口!$F$299=0,"",[2]对账明细接口!$F$299),"")</f>
        <v>苹果</v>
      </c>
      <c r="G299" s="59" t="str">
        <f aca="false">IFERROR(IF([2]对账明细接口!$G$299=0,"",[2]对账明细接口!$G$299),"")</f>
        <v>华硕一级</v>
      </c>
      <c r="H299" s="60" t="n">
        <f aca="false">IFERROR(IF([2]对账明细接口!$H$299=0,"",[2]对账明细接口!$H$299),"")</f>
        <v>16</v>
      </c>
      <c r="I299" s="59" t="str">
        <f aca="false">IFERROR(IF([2]对账明细接口!$I$299=0,"",[2]对账明细接口!$I$299),"")</f>
        <v>箱</v>
      </c>
      <c r="J299" s="61" t="n">
        <f aca="false">IFERROR(IF([2]对账明细接口!$J$299=0,"",[2]对账明细接口!$J$299),"")</f>
        <v>41.6</v>
      </c>
      <c r="K299" s="61" t="str">
        <f aca="false">IFERROR(IF([2]对账明细接口!$K$299=0,"",[2]对账明细接口!$K$299),"")</f>
        <v/>
      </c>
      <c r="L299" s="59" t="str">
        <f aca="false">IFERROR(IF([2]对账明细接口!$L$299=0,"",[2]对账明细接口!$L$299),"")</f>
        <v/>
      </c>
      <c r="M299" s="59" t="str">
        <f aca="false">IFERROR(IF([2]对账明细接口!$M$299=0,"",[2]对账明细接口!$M$299),"")</f>
        <v/>
      </c>
      <c r="N299" s="111" t="n">
        <f aca="false">IF($C299="",0,1)</f>
        <v>1</v>
      </c>
      <c r="O299" s="111" t="n">
        <f aca="false">N(O298)+$N299</f>
        <v>296</v>
      </c>
      <c r="S299" s="10" t="str">
        <f aca="false">IFERROR(IF([2]对账明细接口!$N299=0,"",[2]对账明细接口!$N299),"")</f>
        <v>纸箱</v>
      </c>
      <c r="T299" s="112" t="str">
        <f aca="false">IFERROR(IF([2]对账明细接口!$O299=0,"",[2]对账明细接口!$O299),"")</f>
        <v/>
      </c>
      <c r="U299" s="112" t="str">
        <f aca="false">IFERROR(IF([2]对账明细接口!$P299=0,"",[2]对账明细接口!$P299),"")</f>
        <v/>
      </c>
      <c r="V299" s="112" t="str">
        <f aca="false">IFERROR(IF([2]对账明细接口!$Q299=0,"",[2]对账明细接口!$Q299),"")</f>
        <v/>
      </c>
      <c r="W299" s="10" t="str">
        <f aca="false">IFERROR(IF([2]对账明细接口!$R299=0,"",[2]对账明细接口!$R299),"")</f>
        <v>豫N*P269J</v>
      </c>
      <c r="X299" s="10" t="str">
        <f aca="false">IFERROR(IF([2]对账明细接口!$S299=0,"",[2]对账明细接口!$S299),"")</f>
        <v>公司筐</v>
      </c>
      <c r="Y299" s="10" t="str">
        <f aca="false">IFERROR(IF([2]对账明细接口!$T299=0,"",[2]对账明细接口!$T299),"")</f>
        <v>王照雪</v>
      </c>
      <c r="Z299" s="113" t="str">
        <f aca="false">IFERROR(IF([2]对账明细接口!$U299=0,"",[2]对账明细接口!$U299),"")</f>
        <v/>
      </c>
      <c r="AA299" s="113" t="str">
        <f aca="false">IFERROR(IF([2]对账明细接口!$V299=0,"",[2]对账明细接口!$V299),"")</f>
        <v/>
      </c>
      <c r="AB299" s="10" t="str">
        <f aca="false">IFERROR(IF([2]对账明细接口!$W299=0,"",[2]对账明细接口!$W299),"")</f>
        <v/>
      </c>
      <c r="AC299" s="90" t="str">
        <f aca="false">IFERROR(IF([2]对账明细接口!$X300=0,"",[2]对账明细接口!$X300),"")</f>
        <v>聂新平</v>
      </c>
      <c r="AD299" s="90" t="str">
        <f aca="false">IFERROR(IF([2]对账明细接口!$Y300=0,"",[2]对账明细接口!$Y300),"")</f>
        <v/>
      </c>
      <c r="AE299" s="90" t="str">
        <f aca="false">IFERROR(IF([2]对账明细接口!$AA300=0,"",[2]对账明细接口!$AA300),"")</f>
        <v/>
      </c>
      <c r="AF299" s="90" t="str">
        <f aca="false">IFERROR(IF([2]对账明细接口!$AB300=0,"",[2]对账明细接口!$AB300),"")</f>
        <v/>
      </c>
      <c r="AG299" s="90" t="str">
        <f aca="false">IFERROR(IF([2]对账明细接口!$AC300=0,"",[2]对账明细接口!$AC300),"")</f>
        <v/>
      </c>
      <c r="AH299" s="90" t="str">
        <f aca="false">IFERROR(IF([2]对账明细接口!$AD300=0,"",[2]对账明细接口!$AD300),"")</f>
        <v>成品出库</v>
      </c>
    </row>
    <row r="300" customFormat="false" ht="13.5" hidden="false" customHeight="false" outlineLevel="0" collapsed="false">
      <c r="A300" s="109" t="n">
        <v>300</v>
      </c>
      <c r="B300" s="110" t="n">
        <f aca="false">IFERROR(IF([2]对账明细接口!$B$300=0,"",[2]对账明细接口!$B$300),"")</f>
        <v>46273</v>
      </c>
      <c r="C300" s="59" t="str">
        <f aca="false">IFERROR(IF([2]对账明细接口!$C$300=0,"",[2]对账明细接口!$C$300),"")</f>
        <v>聂新平</v>
      </c>
      <c r="D300" s="59" t="str">
        <f aca="false">IFERROR(IF([2]对账明细接口!$D$300=0,"",[2]对账明细接口!$D$300),"")</f>
        <v>成品出库－成品出库</v>
      </c>
      <c r="E300" s="59" t="str">
        <f aca="false">IFERROR(IF([2]对账明细接口!$E$300=0,"",[2]对账明细接口!$E$300),"")</f>
        <v>NO:0001097</v>
      </c>
      <c r="F300" s="59" t="str">
        <f aca="false">IFERROR(IF([2]对账明细接口!$F$300=0,"",[2]对账明细接口!$F$300),"")</f>
        <v>苹果</v>
      </c>
      <c r="G300" s="59" t="str">
        <f aca="false">IFERROR(IF([2]对账明细接口!$G$300=0,"",[2]对账明细接口!$G$300),"")</f>
        <v>嘎啦100#</v>
      </c>
      <c r="H300" s="60" t="n">
        <f aca="false">IFERROR(IF([2]对账明细接口!$H$300=0,"",[2]对账明细接口!$H$300),"")</f>
        <v>90</v>
      </c>
      <c r="I300" s="59" t="str">
        <f aca="false">IFERROR(IF([2]对账明细接口!$I$300=0,"",[2]对账明细接口!$I$300),"")</f>
        <v>筐</v>
      </c>
      <c r="J300" s="61" t="n">
        <f aca="false">IFERROR(IF([2]对账明细接口!$J$300=0,"",[2]对账明细接口!$J$300),"")</f>
        <v>1800</v>
      </c>
      <c r="K300" s="61" t="str">
        <f aca="false">IFERROR(IF([2]对账明细接口!$K$300=0,"",[2]对账明细接口!$K$300),"")</f>
        <v/>
      </c>
      <c r="L300" s="59" t="str">
        <f aca="false">IFERROR(IF([2]对账明细接口!$L$300=0,"",[2]对账明细接口!$L$300),"")</f>
        <v/>
      </c>
      <c r="M300" s="59" t="str">
        <f aca="false">IFERROR(IF([2]对账明细接口!$M$300=0,"",[2]对账明细接口!$M$300),"")</f>
        <v/>
      </c>
      <c r="N300" s="111" t="n">
        <f aca="false">IF($C300="",0,1)</f>
        <v>1</v>
      </c>
      <c r="O300" s="111" t="n">
        <f aca="false">N(O299)+$N300</f>
        <v>297</v>
      </c>
      <c r="S300" s="10" t="str">
        <f aca="false">IFERROR(IF([2]对账明细接口!$N300=0,"",[2]对账明细接口!$N300),"")</f>
        <v>自备一次性筐</v>
      </c>
      <c r="T300" s="112" t="n">
        <f aca="false">IFERROR(IF([2]对账明细接口!$O300=0,"",[2]对账明细接口!$O300),"")</f>
        <v>90</v>
      </c>
      <c r="U300" s="112" t="str">
        <f aca="false">IFERROR(IF([2]对账明细接口!$P300=0,"",[2]对账明细接口!$P300),"")</f>
        <v/>
      </c>
      <c r="V300" s="112" t="str">
        <f aca="false">IFERROR(IF([2]对账明细接口!$Q300=0,"",[2]对账明细接口!$Q300),"")</f>
        <v/>
      </c>
      <c r="W300" s="10" t="str">
        <f aca="false">IFERROR(IF([2]对账明细接口!$R300=0,"",[2]对账明细接口!$R300),"")</f>
        <v>吉A*ZM856</v>
      </c>
      <c r="X300" s="10" t="str">
        <f aca="false">IFERROR(IF([2]对账明细接口!$S300=0,"",[2]对账明细接口!$S300),"")</f>
        <v>自备筐</v>
      </c>
      <c r="Y300" s="10" t="str">
        <f aca="false">IFERROR(IF([2]对账明细接口!$T300=0,"",[2]对账明细接口!$T300),"")</f>
        <v>聂新平</v>
      </c>
      <c r="Z300" s="113" t="str">
        <f aca="false">IFERROR(IF([2]对账明细接口!$U300=0,"",[2]对账明细接口!$U300),"")</f>
        <v/>
      </c>
      <c r="AA300" s="113" t="str">
        <f aca="false">IFERROR(IF([2]对账明细接口!$V300=0,"",[2]对账明细接口!$V300),"")</f>
        <v/>
      </c>
      <c r="AB300" s="10" t="str">
        <f aca="false">IFERROR(IF([2]对账明细接口!$W300=0,"",[2]对账明细接口!$W300),"")</f>
        <v/>
      </c>
      <c r="AC300" s="90" t="str">
        <f aca="false">IFERROR(IF([2]对账明细接口!$X301=0,"",[2]对账明细接口!$X301),"")</f>
        <v>电商/主播</v>
      </c>
      <c r="AD300" s="90" t="str">
        <f aca="false">IFERROR(IF([2]对账明细接口!$Y301=0,"",[2]对账明细接口!$Y301),"")</f>
        <v/>
      </c>
      <c r="AE300" s="90" t="str">
        <f aca="false">IFERROR(IF([2]对账明细接口!$AA301=0,"",[2]对账明细接口!$AA301),"")</f>
        <v/>
      </c>
      <c r="AF300" s="90" t="str">
        <f aca="false">IFERROR(IF([2]对账明细接口!$AB301=0,"",[2]对账明细接口!$AB301),"")</f>
        <v/>
      </c>
      <c r="AG300" s="90" t="str">
        <f aca="false">IFERROR(IF([2]对账明细接口!$AC301=0,"",[2]对账明细接口!$AC301),"")</f>
        <v/>
      </c>
      <c r="AH300" s="90" t="str">
        <f aca="false">IFERROR(IF([2]对账明细接口!$AD301=0,"",[2]对账明细接口!$AD301),"")</f>
        <v>成品出库</v>
      </c>
    </row>
    <row r="301" customFormat="false" ht="13.5" hidden="false" customHeight="false" outlineLevel="0" collapsed="false">
      <c r="A301" s="109" t="n">
        <v>301</v>
      </c>
      <c r="B301" s="110" t="n">
        <f aca="false">IFERROR(IF([2]对账明细接口!$B$301=0,"",[2]对账明细接口!$B$301),"")</f>
        <v>46274</v>
      </c>
      <c r="C301" s="59" t="str">
        <f aca="false">IFERROR(IF([2]对账明细接口!$C$301=0,"",[2]对账明细接口!$C$301),"")</f>
        <v>王照雪</v>
      </c>
      <c r="D301" s="59" t="str">
        <f aca="false">IFERROR(IF([2]对账明细接口!$D$301=0,"",[2]对账明细接口!$D$301),"")</f>
        <v>成品出库－成品出库</v>
      </c>
      <c r="E301" s="59" t="str">
        <f aca="false">IFERROR(IF([2]对账明细接口!$E$301=0,"",[2]对账明细接口!$E$301),"")</f>
        <v>NO:0001104</v>
      </c>
      <c r="F301" s="59" t="str">
        <f aca="false">IFERROR(IF([2]对账明细接口!$F$301=0,"",[2]对账明细接口!$F$301),"")</f>
        <v>苹果</v>
      </c>
      <c r="G301" s="59" t="str">
        <f aca="false">IFERROR(IF([2]对账明细接口!$G$301=0,"",[2]对账明细接口!$G$301),"")</f>
        <v>华硕一级</v>
      </c>
      <c r="H301" s="60" t="n">
        <f aca="false">IFERROR(IF([2]对账明细接口!$H$301=0,"",[2]对账明细接口!$H$301),"")</f>
        <v>27</v>
      </c>
      <c r="I301" s="59" t="str">
        <f aca="false">IFERROR(IF([2]对账明细接口!$I$301=0,"",[2]对账明细接口!$I$301),"")</f>
        <v>箱</v>
      </c>
      <c r="J301" s="61" t="n">
        <f aca="false">IFERROR(IF([2]对账明细接口!$J$301=0,"",[2]对账明细接口!$J$301),"")</f>
        <v>137.7</v>
      </c>
      <c r="K301" s="61" t="str">
        <f aca="false">IFERROR(IF([2]对账明细接口!$K$301=0,"",[2]对账明细接口!$K$301),"")</f>
        <v/>
      </c>
      <c r="L301" s="59" t="str">
        <f aca="false">IFERROR(IF([2]对账明细接口!$L$301=0,"",[2]对账明细接口!$L$301),"")</f>
        <v/>
      </c>
      <c r="M301" s="59" t="str">
        <f aca="false">IFERROR(IF([2]对账明细接口!$M$301=0,"",[2]对账明细接口!$M$301),"")</f>
        <v/>
      </c>
      <c r="N301" s="111" t="n">
        <f aca="false">IF($C301="",0,1)</f>
        <v>1</v>
      </c>
      <c r="O301" s="111" t="n">
        <f aca="false">N(O300)+$N301</f>
        <v>298</v>
      </c>
      <c r="S301" s="10" t="str">
        <f aca="false">IFERROR(IF([2]对账明细接口!$N301=0,"",[2]对账明细接口!$N301),"")</f>
        <v>纸箱</v>
      </c>
      <c r="T301" s="112" t="str">
        <f aca="false">IFERROR(IF([2]对账明细接口!$O301=0,"",[2]对账明细接口!$O301),"")</f>
        <v/>
      </c>
      <c r="U301" s="112" t="str">
        <f aca="false">IFERROR(IF([2]对账明细接口!$P301=0,"",[2]对账明细接口!$P301),"")</f>
        <v/>
      </c>
      <c r="V301" s="112" t="str">
        <f aca="false">IFERROR(IF([2]对账明细接口!$Q301=0,"",[2]对账明细接口!$Q301),"")</f>
        <v/>
      </c>
      <c r="W301" s="10" t="str">
        <f aca="false">IFERROR(IF([2]对账明细接口!$R301=0,"",[2]对账明细接口!$R301),"")</f>
        <v>豫N*P269J</v>
      </c>
      <c r="X301" s="10" t="str">
        <f aca="false">IFERROR(IF([2]对账明细接口!$S301=0,"",[2]对账明细接口!$S301),"")</f>
        <v>公司筐</v>
      </c>
      <c r="Y301" s="10" t="str">
        <f aca="false">IFERROR(IF([2]对账明细接口!$T301=0,"",[2]对账明细接口!$T301),"")</f>
        <v>王照雪</v>
      </c>
      <c r="Z301" s="113" t="str">
        <f aca="false">IFERROR(IF([2]对账明细接口!$U301=0,"",[2]对账明细接口!$U301),"")</f>
        <v/>
      </c>
      <c r="AA301" s="113" t="str">
        <f aca="false">IFERROR(IF([2]对账明细接口!$V301=0,"",[2]对账明细接口!$V301),"")</f>
        <v/>
      </c>
      <c r="AB301" s="10" t="str">
        <f aca="false">IFERROR(IF([2]对账明细接口!$W301=0,"",[2]对账明细接口!$W301),"")</f>
        <v/>
      </c>
      <c r="AC301" s="90" t="str">
        <f aca="false">IFERROR(IF([2]对账明细接口!$X302=0,"",[2]对账明细接口!$X302),"")</f>
        <v>电商/主播</v>
      </c>
      <c r="AD301" s="90" t="str">
        <f aca="false">IFERROR(IF([2]对账明细接口!$Y302=0,"",[2]对账明细接口!$Y302),"")</f>
        <v/>
      </c>
      <c r="AE301" s="90" t="str">
        <f aca="false">IFERROR(IF([2]对账明细接口!$AA302=0,"",[2]对账明细接口!$AA302),"")</f>
        <v/>
      </c>
      <c r="AF301" s="90" t="str">
        <f aca="false">IFERROR(IF([2]对账明细接口!$AB302=0,"",[2]对账明细接口!$AB302),"")</f>
        <v/>
      </c>
      <c r="AG301" s="90" t="str">
        <f aca="false">IFERROR(IF([2]对账明细接口!$AC302=0,"",[2]对账明细接口!$AC302),"")</f>
        <v/>
      </c>
      <c r="AH301" s="90" t="str">
        <f aca="false">IFERROR(IF([2]对账明细接口!$AD302=0,"",[2]对账明细接口!$AD302),"")</f>
        <v>成品出库</v>
      </c>
    </row>
    <row r="302" customFormat="false" ht="13.5" hidden="false" customHeight="false" outlineLevel="0" collapsed="false">
      <c r="A302" s="109" t="n">
        <v>302</v>
      </c>
      <c r="B302" s="110" t="n">
        <f aca="false">IFERROR(IF([2]对账明细接口!$B$302=0,"",[2]对账明细接口!$B$302),"")</f>
        <v>46275</v>
      </c>
      <c r="C302" s="59" t="str">
        <f aca="false">IFERROR(IF([2]对账明细接口!$C$302=0,"",[2]对账明细接口!$C$302),"")</f>
        <v>王照雪</v>
      </c>
      <c r="D302" s="59" t="str">
        <f aca="false">IFERROR(IF([2]对账明细接口!$D$302=0,"",[2]对账明细接口!$D$302),"")</f>
        <v>成品出库－成品出库</v>
      </c>
      <c r="E302" s="59" t="str">
        <f aca="false">IFERROR(IF([2]对账明细接口!$E$302=0,"",[2]对账明细接口!$E$302),"")</f>
        <v>NO:0001109</v>
      </c>
      <c r="F302" s="59" t="str">
        <f aca="false">IFERROR(IF([2]对账明细接口!$F$302=0,"",[2]对账明细接口!$F$302),"")</f>
        <v>苹果</v>
      </c>
      <c r="G302" s="59" t="str">
        <f aca="false">IFERROR(IF([2]对账明细接口!$G$302=0,"",[2]对账明细接口!$G$302),"")</f>
        <v>华硕一级</v>
      </c>
      <c r="H302" s="60" t="n">
        <f aca="false">IFERROR(IF([2]对账明细接口!$H$302=0,"",[2]对账明细接口!$H$302),"")</f>
        <v>132</v>
      </c>
      <c r="I302" s="59" t="str">
        <f aca="false">IFERROR(IF([2]对账明细接口!$I$302=0,"",[2]对账明细接口!$I$302),"")</f>
        <v>箱</v>
      </c>
      <c r="J302" s="61" t="n">
        <f aca="false">IFERROR(IF([2]对账明细接口!$J$302=0,"",[2]对账明细接口!$J$302),"")</f>
        <v>673.2</v>
      </c>
      <c r="K302" s="61" t="str">
        <f aca="false">IFERROR(IF([2]对账明细接口!$K$302=0,"",[2]对账明细接口!$K$302),"")</f>
        <v/>
      </c>
      <c r="L302" s="59" t="str">
        <f aca="false">IFERROR(IF([2]对账明细接口!$L$302=0,"",[2]对账明细接口!$L$302),"")</f>
        <v/>
      </c>
      <c r="M302" s="59" t="str">
        <f aca="false">IFERROR(IF([2]对账明细接口!$M$302=0,"",[2]对账明细接口!$M$302),"")</f>
        <v/>
      </c>
      <c r="N302" s="111" t="n">
        <f aca="false">IF($C302="",0,1)</f>
        <v>1</v>
      </c>
      <c r="O302" s="111" t="n">
        <f aca="false">N(O301)+$N302</f>
        <v>299</v>
      </c>
      <c r="S302" s="10" t="str">
        <f aca="false">IFERROR(IF([2]对账明细接口!$N302=0,"",[2]对账明细接口!$N302),"")</f>
        <v>纸箱</v>
      </c>
      <c r="T302" s="112" t="str">
        <f aca="false">IFERROR(IF([2]对账明细接口!$O302=0,"",[2]对账明细接口!$O302),"")</f>
        <v/>
      </c>
      <c r="U302" s="112" t="str">
        <f aca="false">IFERROR(IF([2]对账明细接口!$P302=0,"",[2]对账明细接口!$P302),"")</f>
        <v/>
      </c>
      <c r="V302" s="112" t="str">
        <f aca="false">IFERROR(IF([2]对账明细接口!$Q302=0,"",[2]对账明细接口!$Q302),"")</f>
        <v/>
      </c>
      <c r="W302" s="10" t="str">
        <f aca="false">IFERROR(IF([2]对账明细接口!$R302=0,"",[2]对账明细接口!$R302),"")</f>
        <v>新N*2865J</v>
      </c>
      <c r="X302" s="10" t="str">
        <f aca="false">IFERROR(IF([2]对账明细接口!$S302=0,"",[2]对账明细接口!$S302),"")</f>
        <v>公司筐</v>
      </c>
      <c r="Y302" s="10" t="str">
        <f aca="false">IFERROR(IF([2]对账明细接口!$T302=0,"",[2]对账明细接口!$T302),"")</f>
        <v>王照雪</v>
      </c>
      <c r="Z302" s="113" t="str">
        <f aca="false">IFERROR(IF([2]对账明细接口!$U302=0,"",[2]对账明细接口!$U302),"")</f>
        <v/>
      </c>
      <c r="AA302" s="113" t="str">
        <f aca="false">IFERROR(IF([2]对账明细接口!$V302=0,"",[2]对账明细接口!$V302),"")</f>
        <v/>
      </c>
      <c r="AB302" s="10" t="str">
        <f aca="false">IFERROR(IF([2]对账明细接口!$W302=0,"",[2]对账明细接口!$W302),"")</f>
        <v/>
      </c>
      <c r="AC302" s="90" t="str">
        <f aca="false">IFERROR(IF([2]对账明细接口!$X303=0,"",[2]对账明细接口!$X303),"")</f>
        <v>电商/主播</v>
      </c>
      <c r="AD302" s="90" t="str">
        <f aca="false">IFERROR(IF([2]对账明细接口!$Y303=0,"",[2]对账明细接口!$Y303),"")</f>
        <v/>
      </c>
      <c r="AE302" s="90" t="str">
        <f aca="false">IFERROR(IF([2]对账明细接口!$AA303=0,"",[2]对账明细接口!$AA303),"")</f>
        <v/>
      </c>
      <c r="AF302" s="90" t="str">
        <f aca="false">IFERROR(IF([2]对账明细接口!$AB303=0,"",[2]对账明细接口!$AB303),"")</f>
        <v/>
      </c>
      <c r="AG302" s="90" t="str">
        <f aca="false">IFERROR(IF([2]对账明细接口!$AC303=0,"",[2]对账明细接口!$AC303),"")</f>
        <v/>
      </c>
      <c r="AH302" s="90" t="str">
        <f aca="false">IFERROR(IF([2]对账明细接口!$AD303=0,"",[2]对账明细接口!$AD303),"")</f>
        <v>成品出库</v>
      </c>
    </row>
    <row r="303" customFormat="false" ht="13.5" hidden="false" customHeight="false" outlineLevel="0" collapsed="false">
      <c r="A303" s="109" t="n">
        <v>303</v>
      </c>
      <c r="B303" s="110" t="n">
        <f aca="false">IFERROR(IF([2]对账明细接口!$B$303=0,"",[2]对账明细接口!$B$303),"")</f>
        <v>46275</v>
      </c>
      <c r="C303" s="59" t="str">
        <f aca="false">IFERROR(IF([2]对账明细接口!$C$303=0,"",[2]对账明细接口!$C$303),"")</f>
        <v>王照雪</v>
      </c>
      <c r="D303" s="59" t="str">
        <f aca="false">IFERROR(IF([2]对账明细接口!$D$303=0,"",[2]对账明细接口!$D$303),"")</f>
        <v>成品出库－成品出库</v>
      </c>
      <c r="E303" s="59" t="str">
        <f aca="false">IFERROR(IF([2]对账明细接口!$E$303=0,"",[2]对账明细接口!$E$303),"")</f>
        <v>NO:0001109</v>
      </c>
      <c r="F303" s="59" t="str">
        <f aca="false">IFERROR(IF([2]对账明细接口!$F$303=0,"",[2]对账明细接口!$F$303),"")</f>
        <v>苹果</v>
      </c>
      <c r="G303" s="59" t="str">
        <f aca="false">IFERROR(IF([2]对账明细接口!$G$303=0,"",[2]对账明细接口!$G$303),"")</f>
        <v>华硕一级</v>
      </c>
      <c r="H303" s="60" t="n">
        <f aca="false">IFERROR(IF([2]对账明细接口!$H$303=0,"",[2]对账明细接口!$H$303),"")</f>
        <v>17</v>
      </c>
      <c r="I303" s="59" t="str">
        <f aca="false">IFERROR(IF([2]对账明细接口!$I$303=0,"",[2]对账明细接口!$I$303),"")</f>
        <v>箱</v>
      </c>
      <c r="J303" s="61" t="n">
        <f aca="false">IFERROR(IF([2]对账明细接口!$J$303=0,"",[2]对账明细接口!$J$303),"")</f>
        <v>44.2</v>
      </c>
      <c r="K303" s="61" t="str">
        <f aca="false">IFERROR(IF([2]对账明细接口!$K$303=0,"",[2]对账明细接口!$K$303),"")</f>
        <v/>
      </c>
      <c r="L303" s="59" t="str">
        <f aca="false">IFERROR(IF([2]对账明细接口!$L$303=0,"",[2]对账明细接口!$L$303),"")</f>
        <v/>
      </c>
      <c r="M303" s="59" t="str">
        <f aca="false">IFERROR(IF([2]对账明细接口!$M$303=0,"",[2]对账明细接口!$M$303),"")</f>
        <v/>
      </c>
      <c r="N303" s="111" t="n">
        <f aca="false">IF($C303="",0,1)</f>
        <v>1</v>
      </c>
      <c r="O303" s="111" t="n">
        <f aca="false">N(O302)+$N303</f>
        <v>300</v>
      </c>
      <c r="S303" s="10" t="str">
        <f aca="false">IFERROR(IF([2]对账明细接口!$N303=0,"",[2]对账明细接口!$N303),"")</f>
        <v>纸箱</v>
      </c>
      <c r="T303" s="112" t="str">
        <f aca="false">IFERROR(IF([2]对账明细接口!$O303=0,"",[2]对账明细接口!$O303),"")</f>
        <v/>
      </c>
      <c r="U303" s="112" t="str">
        <f aca="false">IFERROR(IF([2]对账明细接口!$P303=0,"",[2]对账明细接口!$P303),"")</f>
        <v/>
      </c>
      <c r="V303" s="112" t="str">
        <f aca="false">IFERROR(IF([2]对账明细接口!$Q303=0,"",[2]对账明细接口!$Q303),"")</f>
        <v/>
      </c>
      <c r="W303" s="10" t="str">
        <f aca="false">IFERROR(IF([2]对账明细接口!$R303=0,"",[2]对账明细接口!$R303),"")</f>
        <v>新N*2865J</v>
      </c>
      <c r="X303" s="10" t="str">
        <f aca="false">IFERROR(IF([2]对账明细接口!$S303=0,"",[2]对账明细接口!$S303),"")</f>
        <v>公司筐</v>
      </c>
      <c r="Y303" s="10" t="str">
        <f aca="false">IFERROR(IF([2]对账明细接口!$T303=0,"",[2]对账明细接口!$T303),"")</f>
        <v>王照雪</v>
      </c>
      <c r="Z303" s="113" t="str">
        <f aca="false">IFERROR(IF([2]对账明细接口!$U303=0,"",[2]对账明细接口!$U303),"")</f>
        <v/>
      </c>
      <c r="AA303" s="113" t="str">
        <f aca="false">IFERROR(IF([2]对账明细接口!$V303=0,"",[2]对账明细接口!$V303),"")</f>
        <v/>
      </c>
      <c r="AB303" s="10" t="str">
        <f aca="false">IFERROR(IF([2]对账明细接口!$W303=0,"",[2]对账明细接口!$W303),"")</f>
        <v/>
      </c>
      <c r="AC303" s="90" t="str">
        <f aca="false">IFERROR(IF([2]对账明细接口!$X304=0,"",[2]对账明细接口!$X304),"")</f>
        <v>聂新平</v>
      </c>
      <c r="AD303" s="90" t="str">
        <f aca="false">IFERROR(IF([2]对账明细接口!$Y304=0,"",[2]对账明细接口!$Y304),"")</f>
        <v/>
      </c>
      <c r="AE303" s="90" t="str">
        <f aca="false">IFERROR(IF([2]对账明细接口!$AA304=0,"",[2]对账明细接口!$AA304),"")</f>
        <v/>
      </c>
      <c r="AF303" s="90" t="str">
        <f aca="false">IFERROR(IF([2]对账明细接口!$AB304=0,"",[2]对账明细接口!$AB304),"")</f>
        <v/>
      </c>
      <c r="AG303" s="90" t="str">
        <f aca="false">IFERROR(IF([2]对账明细接口!$AC304=0,"",[2]对账明细接口!$AC304),"")</f>
        <v/>
      </c>
      <c r="AH303" s="90" t="str">
        <f aca="false">IFERROR(IF([2]对账明细接口!$AD304=0,"",[2]对账明细接口!$AD304),"")</f>
        <v>成品出库</v>
      </c>
    </row>
    <row r="304" customFormat="false" ht="13.5" hidden="false" customHeight="false" outlineLevel="0" collapsed="false">
      <c r="A304" s="109" t="n">
        <v>304</v>
      </c>
      <c r="B304" s="110" t="n">
        <f aca="false">IFERROR(IF([2]对账明细接口!$B$304=0,"",[2]对账明细接口!$B$304),"")</f>
        <v>46275</v>
      </c>
      <c r="C304" s="59" t="str">
        <f aca="false">IFERROR(IF([2]对账明细接口!$C$304=0,"",[2]对账明细接口!$C$304),"")</f>
        <v>聂新平</v>
      </c>
      <c r="D304" s="59" t="str">
        <f aca="false">IFERROR(IF([2]对账明细接口!$D$304=0,"",[2]对账明细接口!$D$304),"")</f>
        <v>成品出库－成品出库</v>
      </c>
      <c r="E304" s="59" t="str">
        <f aca="false">IFERROR(IF([2]对账明细接口!$E$304=0,"",[2]对账明细接口!$E$304),"")</f>
        <v>NO:0001112</v>
      </c>
      <c r="F304" s="59" t="str">
        <f aca="false">IFERROR(IF([2]对账明细接口!$F$304=0,"",[2]对账明细接口!$F$304),"")</f>
        <v>苹果</v>
      </c>
      <c r="G304" s="59" t="str">
        <f aca="false">IFERROR(IF([2]对账明细接口!$G$304=0,"",[2]对账明细接口!$G$304),"")</f>
        <v>嘎啦85#</v>
      </c>
      <c r="H304" s="60" t="n">
        <f aca="false">IFERROR(IF([2]对账明细接口!$H$304=0,"",[2]对账明细接口!$H$304),"")</f>
        <v>736</v>
      </c>
      <c r="I304" s="59" t="str">
        <f aca="false">IFERROR(IF([2]对账明细接口!$I$304=0,"",[2]对账明细接口!$I$304),"")</f>
        <v>筐</v>
      </c>
      <c r="J304" s="61" t="n">
        <f aca="false">IFERROR(IF([2]对账明细接口!$J$304=0,"",[2]对账明细接口!$J$304),"")</f>
        <v>14720</v>
      </c>
      <c r="K304" s="61" t="str">
        <f aca="false">IFERROR(IF([2]对账明细接口!$K$304=0,"",[2]对账明细接口!$K$304),"")</f>
        <v/>
      </c>
      <c r="L304" s="59" t="str">
        <f aca="false">IFERROR(IF([2]对账明细接口!$L$304=0,"",[2]对账明细接口!$L$304),"")</f>
        <v/>
      </c>
      <c r="M304" s="59" t="str">
        <f aca="false">IFERROR(IF([2]对账明细接口!$M$304=0,"",[2]对账明细接口!$M$304),"")</f>
        <v/>
      </c>
      <c r="N304" s="111" t="n">
        <f aca="false">IF($C304="",0,1)</f>
        <v>1</v>
      </c>
      <c r="O304" s="111" t="n">
        <f aca="false">N(O303)+$N304</f>
        <v>301</v>
      </c>
      <c r="S304" s="10" t="str">
        <f aca="false">IFERROR(IF([2]对账明细接口!$N304=0,"",[2]对账明细接口!$N304),"")</f>
        <v>自备一次性筐</v>
      </c>
      <c r="T304" s="112" t="n">
        <f aca="false">IFERROR(IF([2]对账明细接口!$O304=0,"",[2]对账明细接口!$O304),"")</f>
        <v>736</v>
      </c>
      <c r="U304" s="112" t="str">
        <f aca="false">IFERROR(IF([2]对账明细接口!$P304=0,"",[2]对账明细接口!$P304),"")</f>
        <v/>
      </c>
      <c r="V304" s="112" t="str">
        <f aca="false">IFERROR(IF([2]对账明细接口!$Q304=0,"",[2]对账明细接口!$Q304),"")</f>
        <v/>
      </c>
      <c r="W304" s="10" t="str">
        <f aca="false">IFERROR(IF([2]对账明细接口!$R304=0,"",[2]对账明细接口!$R304),"")</f>
        <v>新A*H0050</v>
      </c>
      <c r="X304" s="10" t="str">
        <f aca="false">IFERROR(IF([2]对账明细接口!$S304=0,"",[2]对账明细接口!$S304),"")</f>
        <v>自备筐</v>
      </c>
      <c r="Y304" s="10" t="str">
        <f aca="false">IFERROR(IF([2]对账明细接口!$T304=0,"",[2]对账明细接口!$T304),"")</f>
        <v>聂新平</v>
      </c>
      <c r="Z304" s="113" t="str">
        <f aca="false">IFERROR(IF([2]对账明细接口!$U304=0,"",[2]对账明细接口!$U304),"")</f>
        <v/>
      </c>
      <c r="AA304" s="113" t="str">
        <f aca="false">IFERROR(IF([2]对账明细接口!$V304=0,"",[2]对账明细接口!$V304),"")</f>
        <v/>
      </c>
      <c r="AB304" s="10" t="str">
        <f aca="false">IFERROR(IF([2]对账明细接口!$W304=0,"",[2]对账明细接口!$W304),"")</f>
        <v/>
      </c>
      <c r="AC304" s="90" t="str">
        <f aca="false">IFERROR(IF([2]对账明细接口!$X305=0,"",[2]对账明细接口!$X305),"")</f>
        <v>聂新平</v>
      </c>
      <c r="AD304" s="90" t="str">
        <f aca="false">IFERROR(IF([2]对账明细接口!$Y305=0,"",[2]对账明细接口!$Y305),"")</f>
        <v/>
      </c>
      <c r="AE304" s="90" t="str">
        <f aca="false">IFERROR(IF([2]对账明细接口!$AA305=0,"",[2]对账明细接口!$AA305),"")</f>
        <v/>
      </c>
      <c r="AF304" s="90" t="str">
        <f aca="false">IFERROR(IF([2]对账明细接口!$AB305=0,"",[2]对账明细接口!$AB305),"")</f>
        <v/>
      </c>
      <c r="AG304" s="90" t="str">
        <f aca="false">IFERROR(IF([2]对账明细接口!$AC305=0,"",[2]对账明细接口!$AC305),"")</f>
        <v/>
      </c>
      <c r="AH304" s="90" t="str">
        <f aca="false">IFERROR(IF([2]对账明细接口!$AD305=0,"",[2]对账明细接口!$AD305),"")</f>
        <v>成品出库</v>
      </c>
    </row>
    <row r="305" customFormat="false" ht="13.5" hidden="false" customHeight="false" outlineLevel="0" collapsed="false">
      <c r="A305" s="109" t="n">
        <v>305</v>
      </c>
      <c r="B305" s="110" t="n">
        <f aca="false">IFERROR(IF([2]对账明细接口!$B$305=0,"",[2]对账明细接口!$B$305),"")</f>
        <v>46275</v>
      </c>
      <c r="C305" s="59" t="str">
        <f aca="false">IFERROR(IF([2]对账明细接口!$C$305=0,"",[2]对账明细接口!$C$305),"")</f>
        <v>聂新平</v>
      </c>
      <c r="D305" s="59" t="str">
        <f aca="false">IFERROR(IF([2]对账明细接口!$D$305=0,"",[2]对账明细接口!$D$305),"")</f>
        <v>成品出库－成品出库</v>
      </c>
      <c r="E305" s="59" t="str">
        <f aca="false">IFERROR(IF([2]对账明细接口!$E$305=0,"",[2]对账明细接口!$E$305),"")</f>
        <v>NO:0001112</v>
      </c>
      <c r="F305" s="59" t="str">
        <f aca="false">IFERROR(IF([2]对账明细接口!$F$305=0,"",[2]对账明细接口!$F$305),"")</f>
        <v>苹果</v>
      </c>
      <c r="G305" s="59" t="str">
        <f aca="false">IFERROR(IF([2]对账明细接口!$G$305=0,"",[2]对账明细接口!$G$305),"")</f>
        <v>嘎啦100#</v>
      </c>
      <c r="H305" s="60" t="n">
        <f aca="false">IFERROR(IF([2]对账明细接口!$H$305=0,"",[2]对账明细接口!$H$305),"")</f>
        <v>434</v>
      </c>
      <c r="I305" s="59" t="str">
        <f aca="false">IFERROR(IF([2]对账明细接口!$I$305=0,"",[2]对账明细接口!$I$305),"")</f>
        <v>筐</v>
      </c>
      <c r="J305" s="61" t="n">
        <f aca="false">IFERROR(IF([2]对账明细接口!$J$305=0,"",[2]对账明细接口!$J$305),"")</f>
        <v>8680</v>
      </c>
      <c r="K305" s="61" t="str">
        <f aca="false">IFERROR(IF([2]对账明细接口!$K$305=0,"",[2]对账明细接口!$K$305),"")</f>
        <v/>
      </c>
      <c r="L305" s="59" t="str">
        <f aca="false">IFERROR(IF([2]对账明细接口!$L$305=0,"",[2]对账明细接口!$L$305),"")</f>
        <v/>
      </c>
      <c r="M305" s="59" t="str">
        <f aca="false">IFERROR(IF([2]对账明细接口!$M$305=0,"",[2]对账明细接口!$M$305),"")</f>
        <v/>
      </c>
      <c r="N305" s="111" t="n">
        <f aca="false">IF($C305="",0,1)</f>
        <v>1</v>
      </c>
      <c r="O305" s="111" t="n">
        <f aca="false">N(O304)+$N305</f>
        <v>302</v>
      </c>
      <c r="S305" s="10" t="str">
        <f aca="false">IFERROR(IF([2]对账明细接口!$N305=0,"",[2]对账明细接口!$N305),"")</f>
        <v>自备一次性筐</v>
      </c>
      <c r="T305" s="112" t="n">
        <f aca="false">IFERROR(IF([2]对账明细接口!$O305=0,"",[2]对账明细接口!$O305),"")</f>
        <v>434</v>
      </c>
      <c r="U305" s="112" t="str">
        <f aca="false">IFERROR(IF([2]对账明细接口!$P305=0,"",[2]对账明细接口!$P305),"")</f>
        <v/>
      </c>
      <c r="V305" s="112" t="str">
        <f aca="false">IFERROR(IF([2]对账明细接口!$Q305=0,"",[2]对账明细接口!$Q305),"")</f>
        <v/>
      </c>
      <c r="W305" s="10" t="str">
        <f aca="false">IFERROR(IF([2]对账明细接口!$R305=0,"",[2]对账明细接口!$R305),"")</f>
        <v>新A*H0050</v>
      </c>
      <c r="X305" s="10" t="str">
        <f aca="false">IFERROR(IF([2]对账明细接口!$S305=0,"",[2]对账明细接口!$S305),"")</f>
        <v>自备筐</v>
      </c>
      <c r="Y305" s="10" t="str">
        <f aca="false">IFERROR(IF([2]对账明细接口!$T305=0,"",[2]对账明细接口!$T305),"")</f>
        <v>聂新平</v>
      </c>
      <c r="Z305" s="113" t="str">
        <f aca="false">IFERROR(IF([2]对账明细接口!$U305=0,"",[2]对账明细接口!$U305),"")</f>
        <v/>
      </c>
      <c r="AA305" s="113" t="str">
        <f aca="false">IFERROR(IF([2]对账明细接口!$V305=0,"",[2]对账明细接口!$V305),"")</f>
        <v/>
      </c>
      <c r="AB305" s="10" t="str">
        <f aca="false">IFERROR(IF([2]对账明细接口!$W305=0,"",[2]对账明细接口!$W305),"")</f>
        <v/>
      </c>
      <c r="AC305" s="90" t="str">
        <f aca="false">IFERROR(IF([2]对账明细接口!$X306=0,"",[2]对账明细接口!$X306),"")</f>
        <v>电商/主播</v>
      </c>
      <c r="AD305" s="90" t="str">
        <f aca="false">IFERROR(IF([2]对账明细接口!$Y306=0,"",[2]对账明细接口!$Y306),"")</f>
        <v/>
      </c>
      <c r="AE305" s="90" t="str">
        <f aca="false">IFERROR(IF([2]对账明细接口!$AA306=0,"",[2]对账明细接口!$AA306),"")</f>
        <v/>
      </c>
      <c r="AF305" s="90" t="str">
        <f aca="false">IFERROR(IF([2]对账明细接口!$AB306=0,"",[2]对账明细接口!$AB306),"")</f>
        <v/>
      </c>
      <c r="AG305" s="90" t="str">
        <f aca="false">IFERROR(IF([2]对账明细接口!$AC306=0,"",[2]对账明细接口!$AC306),"")</f>
        <v/>
      </c>
      <c r="AH305" s="90" t="str">
        <f aca="false">IFERROR(IF([2]对账明细接口!$AD306=0,"",[2]对账明细接口!$AD306),"")</f>
        <v>成品出库</v>
      </c>
    </row>
    <row r="306" customFormat="false" ht="13.5" hidden="false" customHeight="false" outlineLevel="0" collapsed="false">
      <c r="A306" s="109" t="n">
        <v>306</v>
      </c>
      <c r="B306" s="110" t="n">
        <f aca="false">IFERROR(IF([2]对账明细接口!$B$306=0,"",[2]对账明细接口!$B$306),"")</f>
        <v>46276</v>
      </c>
      <c r="C306" s="59" t="str">
        <f aca="false">IFERROR(IF([2]对账明细接口!$C$306=0,"",[2]对账明细接口!$C$306),"")</f>
        <v>王照雪</v>
      </c>
      <c r="D306" s="59" t="str">
        <f aca="false">IFERROR(IF([2]对账明细接口!$D$306=0,"",[2]对账明细接口!$D$306),"")</f>
        <v>成品出库－成品出库</v>
      </c>
      <c r="E306" s="59" t="str">
        <f aca="false">IFERROR(IF([2]对账明细接口!$E$306=0,"",[2]对账明细接口!$E$306),"")</f>
        <v>NO:0001119</v>
      </c>
      <c r="F306" s="59" t="str">
        <f aca="false">IFERROR(IF([2]对账明细接口!$F$306=0,"",[2]对账明细接口!$F$306),"")</f>
        <v>苹果</v>
      </c>
      <c r="G306" s="59" t="str">
        <f aca="false">IFERROR(IF([2]对账明细接口!$G$306=0,"",[2]对账明细接口!$G$306),"")</f>
        <v>华硕一级</v>
      </c>
      <c r="H306" s="60" t="n">
        <f aca="false">IFERROR(IF([2]对账明细接口!$H$306=0,"",[2]对账明细接口!$H$306),"")</f>
        <v>228</v>
      </c>
      <c r="I306" s="59" t="str">
        <f aca="false">IFERROR(IF([2]对账明细接口!$I$306=0,"",[2]对账明细接口!$I$306),"")</f>
        <v>箱</v>
      </c>
      <c r="J306" s="61" t="n">
        <f aca="false">IFERROR(IF([2]对账明细接口!$J$306=0,"",[2]对账明细接口!$J$306),"")</f>
        <v>1162.8</v>
      </c>
      <c r="K306" s="61" t="str">
        <f aca="false">IFERROR(IF([2]对账明细接口!$K$306=0,"",[2]对账明细接口!$K$306),"")</f>
        <v/>
      </c>
      <c r="L306" s="59" t="str">
        <f aca="false">IFERROR(IF([2]对账明细接口!$L$306=0,"",[2]对账明细接口!$L$306),"")</f>
        <v/>
      </c>
      <c r="M306" s="59" t="str">
        <f aca="false">IFERROR(IF([2]对账明细接口!$M$306=0,"",[2]对账明细接口!$M$306),"")</f>
        <v/>
      </c>
      <c r="N306" s="111" t="n">
        <f aca="false">IF($C306="",0,1)</f>
        <v>1</v>
      </c>
      <c r="O306" s="111" t="n">
        <f aca="false">N(O305)+$N306</f>
        <v>303</v>
      </c>
      <c r="S306" s="10" t="str">
        <f aca="false">IFERROR(IF([2]对账明细接口!$N306=0,"",[2]对账明细接口!$N306),"")</f>
        <v>纸箱</v>
      </c>
      <c r="T306" s="112" t="str">
        <f aca="false">IFERROR(IF([2]对账明细接口!$O306=0,"",[2]对账明细接口!$O306),"")</f>
        <v/>
      </c>
      <c r="U306" s="112" t="str">
        <f aca="false">IFERROR(IF([2]对账明细接口!$P306=0,"",[2]对账明细接口!$P306),"")</f>
        <v/>
      </c>
      <c r="V306" s="112" t="str">
        <f aca="false">IFERROR(IF([2]对账明细接口!$Q306=0,"",[2]对账明细接口!$Q306),"")</f>
        <v/>
      </c>
      <c r="W306" s="10" t="str">
        <f aca="false">IFERROR(IF([2]对账明细接口!$R306=0,"",[2]对账明细接口!$R306),"")</f>
        <v>豫N*P269J</v>
      </c>
      <c r="X306" s="10" t="str">
        <f aca="false">IFERROR(IF([2]对账明细接口!$S306=0,"",[2]对账明细接口!$S306),"")</f>
        <v>公司筐</v>
      </c>
      <c r="Y306" s="10" t="str">
        <f aca="false">IFERROR(IF([2]对账明细接口!$T306=0,"",[2]对账明细接口!$T306),"")</f>
        <v>王照雪</v>
      </c>
      <c r="Z306" s="113" t="str">
        <f aca="false">IFERROR(IF([2]对账明细接口!$U306=0,"",[2]对账明细接口!$U306),"")</f>
        <v/>
      </c>
      <c r="AA306" s="113" t="str">
        <f aca="false">IFERROR(IF([2]对账明细接口!$V306=0,"",[2]对账明细接口!$V306),"")</f>
        <v/>
      </c>
      <c r="AB306" s="10" t="str">
        <f aca="false">IFERROR(IF([2]对账明细接口!$W306=0,"",[2]对账明细接口!$W306),"")</f>
        <v/>
      </c>
      <c r="AC306" s="90" t="str">
        <f aca="false">IFERROR(IF([2]对账明细接口!$X307=0,"",[2]对账明细接口!$X307),"")</f>
        <v>电商/主播</v>
      </c>
      <c r="AD306" s="90" t="str">
        <f aca="false">IFERROR(IF([2]对账明细接口!$Y307=0,"",[2]对账明细接口!$Y307),"")</f>
        <v/>
      </c>
      <c r="AE306" s="90" t="str">
        <f aca="false">IFERROR(IF([2]对账明细接口!$AA307=0,"",[2]对账明细接口!$AA307),"")</f>
        <v/>
      </c>
      <c r="AF306" s="90" t="str">
        <f aca="false">IFERROR(IF([2]对账明细接口!$AB307=0,"",[2]对账明细接口!$AB307),"")</f>
        <v/>
      </c>
      <c r="AG306" s="90" t="str">
        <f aca="false">IFERROR(IF([2]对账明细接口!$AC307=0,"",[2]对账明细接口!$AC307),"")</f>
        <v/>
      </c>
      <c r="AH306" s="90" t="str">
        <f aca="false">IFERROR(IF([2]对账明细接口!$AD307=0,"",[2]对账明细接口!$AD307),"")</f>
        <v>成品出库</v>
      </c>
    </row>
    <row r="307" customFormat="false" ht="13.5" hidden="false" customHeight="false" outlineLevel="0" collapsed="false">
      <c r="A307" s="109" t="n">
        <v>307</v>
      </c>
      <c r="B307" s="110" t="n">
        <f aca="false">IFERROR(IF([2]对账明细接口!$B$307=0,"",[2]对账明细接口!$B$307),"")</f>
        <v>46276</v>
      </c>
      <c r="C307" s="59" t="str">
        <f aca="false">IFERROR(IF([2]对账明细接口!$C$307=0,"",[2]对账明细接口!$C$307),"")</f>
        <v>王照雪</v>
      </c>
      <c r="D307" s="59" t="str">
        <f aca="false">IFERROR(IF([2]对账明细接口!$D$307=0,"",[2]对账明细接口!$D$307),"")</f>
        <v>成品出库－成品出库</v>
      </c>
      <c r="E307" s="59" t="str">
        <f aca="false">IFERROR(IF([2]对账明细接口!$E$307=0,"",[2]对账明细接口!$E$307),"")</f>
        <v>NO:0001119</v>
      </c>
      <c r="F307" s="59" t="str">
        <f aca="false">IFERROR(IF([2]对账明细接口!$F$307=0,"",[2]对账明细接口!$F$307),"")</f>
        <v>苹果</v>
      </c>
      <c r="G307" s="59" t="str">
        <f aca="false">IFERROR(IF([2]对账明细接口!$G$307=0,"",[2]对账明细接口!$G$307),"")</f>
        <v>华硕一级</v>
      </c>
      <c r="H307" s="60" t="n">
        <f aca="false">IFERROR(IF([2]对账明细接口!$H$307=0,"",[2]对账明细接口!$H$307),"")</f>
        <v>6</v>
      </c>
      <c r="I307" s="59" t="str">
        <f aca="false">IFERROR(IF([2]对账明细接口!$I$307=0,"",[2]对账明细接口!$I$307),"")</f>
        <v>箱</v>
      </c>
      <c r="J307" s="61" t="n">
        <f aca="false">IFERROR(IF([2]对账明细接口!$J$307=0,"",[2]对账明细接口!$J$307),"")</f>
        <v>15.6</v>
      </c>
      <c r="K307" s="61" t="str">
        <f aca="false">IFERROR(IF([2]对账明细接口!$K$307=0,"",[2]对账明细接口!$K$307),"")</f>
        <v/>
      </c>
      <c r="L307" s="59" t="str">
        <f aca="false">IFERROR(IF([2]对账明细接口!$L$307=0,"",[2]对账明细接口!$L$307),"")</f>
        <v/>
      </c>
      <c r="M307" s="59" t="str">
        <f aca="false">IFERROR(IF([2]对账明细接口!$M$307=0,"",[2]对账明细接口!$M$307),"")</f>
        <v/>
      </c>
      <c r="N307" s="111" t="n">
        <f aca="false">IF($C307="",0,1)</f>
        <v>1</v>
      </c>
      <c r="O307" s="111" t="n">
        <f aca="false">N(O306)+$N307</f>
        <v>304</v>
      </c>
      <c r="S307" s="10" t="str">
        <f aca="false">IFERROR(IF([2]对账明细接口!$N307=0,"",[2]对账明细接口!$N307),"")</f>
        <v>纸箱</v>
      </c>
      <c r="T307" s="112" t="str">
        <f aca="false">IFERROR(IF([2]对账明细接口!$O307=0,"",[2]对账明细接口!$O307),"")</f>
        <v/>
      </c>
      <c r="U307" s="112" t="str">
        <f aca="false">IFERROR(IF([2]对账明细接口!$P307=0,"",[2]对账明细接口!$P307),"")</f>
        <v/>
      </c>
      <c r="V307" s="112" t="str">
        <f aca="false">IFERROR(IF([2]对账明细接口!$Q307=0,"",[2]对账明细接口!$Q307),"")</f>
        <v/>
      </c>
      <c r="W307" s="10" t="str">
        <f aca="false">IFERROR(IF([2]对账明细接口!$R307=0,"",[2]对账明细接口!$R307),"")</f>
        <v>豫N*P269J</v>
      </c>
      <c r="X307" s="10" t="str">
        <f aca="false">IFERROR(IF([2]对账明细接口!$S307=0,"",[2]对账明细接口!$S307),"")</f>
        <v>公司筐</v>
      </c>
      <c r="Y307" s="10" t="str">
        <f aca="false">IFERROR(IF([2]对账明细接口!$T307=0,"",[2]对账明细接口!$T307),"")</f>
        <v>王照雪</v>
      </c>
      <c r="Z307" s="113" t="str">
        <f aca="false">IFERROR(IF([2]对账明细接口!$U307=0,"",[2]对账明细接口!$U307),"")</f>
        <v/>
      </c>
      <c r="AA307" s="113" t="str">
        <f aca="false">IFERROR(IF([2]对账明细接口!$V307=0,"",[2]对账明细接口!$V307),"")</f>
        <v/>
      </c>
      <c r="AB307" s="10" t="str">
        <f aca="false">IFERROR(IF([2]对账明细接口!$W307=0,"",[2]对账明细接口!$W307),"")</f>
        <v/>
      </c>
      <c r="AC307" s="90" t="str">
        <f aca="false">IFERROR(IF([2]对账明细接口!$X308=0,"",[2]对账明细接口!$X308),"")</f>
        <v>电商/主播</v>
      </c>
      <c r="AD307" s="90" t="str">
        <f aca="false">IFERROR(IF([2]对账明细接口!$Y308=0,"",[2]对账明细接口!$Y308),"")</f>
        <v/>
      </c>
      <c r="AE307" s="90" t="str">
        <f aca="false">IFERROR(IF([2]对账明细接口!$AA308=0,"",[2]对账明细接口!$AA308),"")</f>
        <v/>
      </c>
      <c r="AF307" s="90" t="str">
        <f aca="false">IFERROR(IF([2]对账明细接口!$AB308=0,"",[2]对账明细接口!$AB308),"")</f>
        <v/>
      </c>
      <c r="AG307" s="90" t="str">
        <f aca="false">IFERROR(IF([2]对账明细接口!$AC308=0,"",[2]对账明细接口!$AC308),"")</f>
        <v/>
      </c>
      <c r="AH307" s="90" t="str">
        <f aca="false">IFERROR(IF([2]对账明细接口!$AD308=0,"",[2]对账明细接口!$AD308),"")</f>
        <v>成品出库</v>
      </c>
    </row>
    <row r="308" customFormat="false" ht="13.5" hidden="false" customHeight="false" outlineLevel="0" collapsed="false">
      <c r="A308" s="109" t="n">
        <v>308</v>
      </c>
      <c r="B308" s="110" t="n">
        <f aca="false">IFERROR(IF([2]对账明细接口!$B$308=0,"",[2]对账明细接口!$B$308),"")</f>
        <v>46277</v>
      </c>
      <c r="C308" s="59" t="str">
        <f aca="false">IFERROR(IF([2]对账明细接口!$C$308=0,"",[2]对账明细接口!$C$308),"")</f>
        <v>王照雪</v>
      </c>
      <c r="D308" s="59" t="str">
        <f aca="false">IFERROR(IF([2]对账明细接口!$D$308=0,"",[2]对账明细接口!$D$308),"")</f>
        <v>成品出库－成品出库</v>
      </c>
      <c r="E308" s="59" t="str">
        <f aca="false">IFERROR(IF([2]对账明细接口!$E$308=0,"",[2]对账明细接口!$E$308),"")</f>
        <v>NO:0001124</v>
      </c>
      <c r="F308" s="59" t="str">
        <f aca="false">IFERROR(IF([2]对账明细接口!$F$308=0,"",[2]对账明细接口!$F$308),"")</f>
        <v>苹果</v>
      </c>
      <c r="G308" s="59" t="str">
        <f aca="false">IFERROR(IF([2]对账明细接口!$G$308=0,"",[2]对账明细接口!$G$308),"")</f>
        <v>华硕一级</v>
      </c>
      <c r="H308" s="60" t="n">
        <f aca="false">IFERROR(IF([2]对账明细接口!$H$308=0,"",[2]对账明细接口!$H$308),"")</f>
        <v>220</v>
      </c>
      <c r="I308" s="59" t="str">
        <f aca="false">IFERROR(IF([2]对账明细接口!$I$308=0,"",[2]对账明细接口!$I$308),"")</f>
        <v>箱</v>
      </c>
      <c r="J308" s="61" t="n">
        <f aca="false">IFERROR(IF([2]对账明细接口!$J$308=0,"",[2]对账明细接口!$J$308),"")</f>
        <v>1122</v>
      </c>
      <c r="K308" s="61" t="str">
        <f aca="false">IFERROR(IF([2]对账明细接口!$K$308=0,"",[2]对账明细接口!$K$308),"")</f>
        <v/>
      </c>
      <c r="L308" s="59" t="str">
        <f aca="false">IFERROR(IF([2]对账明细接口!$L$308=0,"",[2]对账明细接口!$L$308),"")</f>
        <v/>
      </c>
      <c r="M308" s="59" t="str">
        <f aca="false">IFERROR(IF([2]对账明细接口!$M$308=0,"",[2]对账明细接口!$M$308),"")</f>
        <v/>
      </c>
      <c r="N308" s="111" t="n">
        <f aca="false">IF($C308="",0,1)</f>
        <v>1</v>
      </c>
      <c r="O308" s="111" t="n">
        <f aca="false">N(O307)+$N308</f>
        <v>305</v>
      </c>
      <c r="S308" s="10" t="str">
        <f aca="false">IFERROR(IF([2]对账明细接口!$N308=0,"",[2]对账明细接口!$N308),"")</f>
        <v>纸箱</v>
      </c>
      <c r="T308" s="112" t="str">
        <f aca="false">IFERROR(IF([2]对账明细接口!$O308=0,"",[2]对账明细接口!$O308),"")</f>
        <v/>
      </c>
      <c r="U308" s="112" t="str">
        <f aca="false">IFERROR(IF([2]对账明细接口!$P308=0,"",[2]对账明细接口!$P308),"")</f>
        <v/>
      </c>
      <c r="V308" s="112" t="str">
        <f aca="false">IFERROR(IF([2]对账明细接口!$Q308=0,"",[2]对账明细接口!$Q308),"")</f>
        <v/>
      </c>
      <c r="W308" s="10" t="str">
        <f aca="false">IFERROR(IF([2]对账明细接口!$R308=0,"",[2]对账明细接口!$R308),"")</f>
        <v>豫N*P269J</v>
      </c>
      <c r="X308" s="10" t="str">
        <f aca="false">IFERROR(IF([2]对账明细接口!$S308=0,"",[2]对账明细接口!$S308),"")</f>
        <v>公司筐</v>
      </c>
      <c r="Y308" s="10" t="str">
        <f aca="false">IFERROR(IF([2]对账明细接口!$T308=0,"",[2]对账明细接口!$T308),"")</f>
        <v>王照雪</v>
      </c>
      <c r="Z308" s="113" t="str">
        <f aca="false">IFERROR(IF([2]对账明细接口!$U308=0,"",[2]对账明细接口!$U308),"")</f>
        <v/>
      </c>
      <c r="AA308" s="113" t="str">
        <f aca="false">IFERROR(IF([2]对账明细接口!$V308=0,"",[2]对账明细接口!$V308),"")</f>
        <v/>
      </c>
      <c r="AB308" s="10" t="str">
        <f aca="false">IFERROR(IF([2]对账明细接口!$W308=0,"",[2]对账明细接口!$W308),"")</f>
        <v/>
      </c>
      <c r="AC308" s="90" t="str">
        <f aca="false">IFERROR(IF([2]对账明细接口!$X309=0,"",[2]对账明细接口!$X309),"")</f>
        <v>电商/主播</v>
      </c>
      <c r="AD308" s="90" t="str">
        <f aca="false">IFERROR(IF([2]对账明细接口!$Y309=0,"",[2]对账明细接口!$Y309),"")</f>
        <v/>
      </c>
      <c r="AE308" s="90" t="str">
        <f aca="false">IFERROR(IF([2]对账明细接口!$AA309=0,"",[2]对账明细接口!$AA309),"")</f>
        <v/>
      </c>
      <c r="AF308" s="90" t="str">
        <f aca="false">IFERROR(IF([2]对账明细接口!$AB309=0,"",[2]对账明细接口!$AB309),"")</f>
        <v/>
      </c>
      <c r="AG308" s="90" t="str">
        <f aca="false">IFERROR(IF([2]对账明细接口!$AC309=0,"",[2]对账明细接口!$AC309),"")</f>
        <v/>
      </c>
      <c r="AH308" s="90" t="str">
        <f aca="false">IFERROR(IF([2]对账明细接口!$AD309=0,"",[2]对账明细接口!$AD309),"")</f>
        <v>成品出库</v>
      </c>
    </row>
    <row r="309" customFormat="false" ht="13.5" hidden="false" customHeight="false" outlineLevel="0" collapsed="false">
      <c r="A309" s="109" t="n">
        <v>309</v>
      </c>
      <c r="B309" s="110" t="n">
        <f aca="false">IFERROR(IF([2]对账明细接口!$B$309=0,"",[2]对账明细接口!$B$309),"")</f>
        <v>46277</v>
      </c>
      <c r="C309" s="59" t="str">
        <f aca="false">IFERROR(IF([2]对账明细接口!$C$309=0,"",[2]对账明细接口!$C$309),"")</f>
        <v>王照雪</v>
      </c>
      <c r="D309" s="59" t="str">
        <f aca="false">IFERROR(IF([2]对账明细接口!$D$309=0,"",[2]对账明细接口!$D$309),"")</f>
        <v>成品出库－成品出库</v>
      </c>
      <c r="E309" s="59" t="str">
        <f aca="false">IFERROR(IF([2]对账明细接口!$E$309=0,"",[2]对账明细接口!$E$309),"")</f>
        <v>NO:0001124</v>
      </c>
      <c r="F309" s="59" t="str">
        <f aca="false">IFERROR(IF([2]对账明细接口!$F$309=0,"",[2]对账明细接口!$F$309),"")</f>
        <v>苹果</v>
      </c>
      <c r="G309" s="59" t="str">
        <f aca="false">IFERROR(IF([2]对账明细接口!$G$309=0,"",[2]对账明细接口!$G$309),"")</f>
        <v>华硕一级</v>
      </c>
      <c r="H309" s="60" t="n">
        <f aca="false">IFERROR(IF([2]对账明细接口!$H$309=0,"",[2]对账明细接口!$H$309),"")</f>
        <v>3</v>
      </c>
      <c r="I309" s="59" t="str">
        <f aca="false">IFERROR(IF([2]对账明细接口!$I$309=0,"",[2]对账明细接口!$I$309),"")</f>
        <v>箱</v>
      </c>
      <c r="J309" s="61" t="n">
        <f aca="false">IFERROR(IF([2]对账明细接口!$J$309=0,"",[2]对账明细接口!$J$309),"")</f>
        <v>7.8</v>
      </c>
      <c r="K309" s="61" t="str">
        <f aca="false">IFERROR(IF([2]对账明细接口!$K$309=0,"",[2]对账明细接口!$K$309),"")</f>
        <v/>
      </c>
      <c r="L309" s="59" t="str">
        <f aca="false">IFERROR(IF([2]对账明细接口!$L$309=0,"",[2]对账明细接口!$L$309),"")</f>
        <v/>
      </c>
      <c r="M309" s="59" t="str">
        <f aca="false">IFERROR(IF([2]对账明细接口!$M$309=0,"",[2]对账明细接口!$M$309),"")</f>
        <v/>
      </c>
      <c r="N309" s="111" t="n">
        <f aca="false">IF($C309="",0,1)</f>
        <v>1</v>
      </c>
      <c r="O309" s="111" t="n">
        <f aca="false">N(O308)+$N309</f>
        <v>306</v>
      </c>
      <c r="S309" s="10" t="str">
        <f aca="false">IFERROR(IF([2]对账明细接口!$N309=0,"",[2]对账明细接口!$N309),"")</f>
        <v>纸箱</v>
      </c>
      <c r="T309" s="112" t="str">
        <f aca="false">IFERROR(IF([2]对账明细接口!$O309=0,"",[2]对账明细接口!$O309),"")</f>
        <v/>
      </c>
      <c r="U309" s="112" t="str">
        <f aca="false">IFERROR(IF([2]对账明细接口!$P309=0,"",[2]对账明细接口!$P309),"")</f>
        <v/>
      </c>
      <c r="V309" s="112" t="str">
        <f aca="false">IFERROR(IF([2]对账明细接口!$Q309=0,"",[2]对账明细接口!$Q309),"")</f>
        <v/>
      </c>
      <c r="W309" s="10" t="str">
        <f aca="false">IFERROR(IF([2]对账明细接口!$R309=0,"",[2]对账明细接口!$R309),"")</f>
        <v>豫N*P269J</v>
      </c>
      <c r="X309" s="10" t="str">
        <f aca="false">IFERROR(IF([2]对账明细接口!$S309=0,"",[2]对账明细接口!$S309),"")</f>
        <v>公司筐</v>
      </c>
      <c r="Y309" s="10" t="str">
        <f aca="false">IFERROR(IF([2]对账明细接口!$T309=0,"",[2]对账明细接口!$T309),"")</f>
        <v>王照雪</v>
      </c>
      <c r="Z309" s="113" t="str">
        <f aca="false">IFERROR(IF([2]对账明细接口!$U309=0,"",[2]对账明细接口!$U309),"")</f>
        <v/>
      </c>
      <c r="AA309" s="113" t="str">
        <f aca="false">IFERROR(IF([2]对账明细接口!$V309=0,"",[2]对账明细接口!$V309),"")</f>
        <v/>
      </c>
      <c r="AB309" s="10" t="str">
        <f aca="false">IFERROR(IF([2]对账明细接口!$W309=0,"",[2]对账明细接口!$W309),"")</f>
        <v/>
      </c>
      <c r="AC309" s="90" t="str">
        <f aca="false">IFERROR(IF([2]对账明细接口!$X310=0,"",[2]对账明细接口!$X310),"")</f>
        <v>电商/主播</v>
      </c>
      <c r="AD309" s="90" t="str">
        <f aca="false">IFERROR(IF([2]对账明细接口!$Y310=0,"",[2]对账明细接口!$Y310),"")</f>
        <v/>
      </c>
      <c r="AE309" s="90" t="str">
        <f aca="false">IFERROR(IF([2]对账明细接口!$AA310=0,"",[2]对账明细接口!$AA310),"")</f>
        <v/>
      </c>
      <c r="AF309" s="90" t="str">
        <f aca="false">IFERROR(IF([2]对账明细接口!$AB310=0,"",[2]对账明细接口!$AB310),"")</f>
        <v/>
      </c>
      <c r="AG309" s="90" t="str">
        <f aca="false">IFERROR(IF([2]对账明细接口!$AC310=0,"",[2]对账明细接口!$AC310),"")</f>
        <v/>
      </c>
      <c r="AH309" s="90" t="str">
        <f aca="false">IFERROR(IF([2]对账明细接口!$AD310=0,"",[2]对账明细接口!$AD310),"")</f>
        <v>成品出库</v>
      </c>
    </row>
    <row r="310" customFormat="false" ht="13.5" hidden="false" customHeight="false" outlineLevel="0" collapsed="false">
      <c r="A310" s="109" t="n">
        <v>310</v>
      </c>
      <c r="B310" s="110" t="n">
        <f aca="false">IFERROR(IF([2]对账明细接口!$B$310=0,"",[2]对账明细接口!$B$310),"")</f>
        <v>46277</v>
      </c>
      <c r="C310" s="59" t="str">
        <f aca="false">IFERROR(IF([2]对账明细接口!$C$310=0,"",[2]对账明细接口!$C$310),"")</f>
        <v>王照雪</v>
      </c>
      <c r="D310" s="59" t="str">
        <f aca="false">IFERROR(IF([2]对账明细接口!$D$310=0,"",[2]对账明细接口!$D$310),"")</f>
        <v>成品出库－成品出库</v>
      </c>
      <c r="E310" s="59" t="str">
        <f aca="false">IFERROR(IF([2]对账明细接口!$E$310=0,"",[2]对账明细接口!$E$310),"")</f>
        <v>NO:0001124</v>
      </c>
      <c r="F310" s="59" t="str">
        <f aca="false">IFERROR(IF([2]对账明细接口!$F$310=0,"",[2]对账明细接口!$F$310),"")</f>
        <v>香梨</v>
      </c>
      <c r="G310" s="59" t="str">
        <f aca="false">IFERROR(IF([2]对账明细接口!$G$310=0,"",[2]对账明细接口!$G$310),"")</f>
        <v>香梨一级</v>
      </c>
      <c r="H310" s="60" t="n">
        <f aca="false">IFERROR(IF([2]对账明细接口!$H$310=0,"",[2]对账明细接口!$H$310),"")</f>
        <v>7</v>
      </c>
      <c r="I310" s="59" t="str">
        <f aca="false">IFERROR(IF([2]对账明细接口!$I$310=0,"",[2]对账明细接口!$I$310),"")</f>
        <v>箱</v>
      </c>
      <c r="J310" s="61" t="n">
        <f aca="false">IFERROR(IF([2]对账明细接口!$J$310=0,"",[2]对账明细接口!$J$310),"")</f>
        <v>35.7</v>
      </c>
      <c r="K310" s="61" t="str">
        <f aca="false">IFERROR(IF([2]对账明细接口!$K$310=0,"",[2]对账明细接口!$K$310),"")</f>
        <v/>
      </c>
      <c r="L310" s="59" t="str">
        <f aca="false">IFERROR(IF([2]对账明细接口!$L$310=0,"",[2]对账明细接口!$L$310),"")</f>
        <v/>
      </c>
      <c r="M310" s="59" t="str">
        <f aca="false">IFERROR(IF([2]对账明细接口!$M$310=0,"",[2]对账明细接口!$M$310),"")</f>
        <v/>
      </c>
      <c r="N310" s="111" t="n">
        <f aca="false">IF($C310="",0,1)</f>
        <v>1</v>
      </c>
      <c r="O310" s="111" t="n">
        <f aca="false">N(O309)+$N310</f>
        <v>307</v>
      </c>
      <c r="S310" s="10" t="str">
        <f aca="false">IFERROR(IF([2]对账明细接口!$N310=0,"",[2]对账明细接口!$N310),"")</f>
        <v>纸箱</v>
      </c>
      <c r="T310" s="112" t="str">
        <f aca="false">IFERROR(IF([2]对账明细接口!$O310=0,"",[2]对账明细接口!$O310),"")</f>
        <v/>
      </c>
      <c r="U310" s="112" t="str">
        <f aca="false">IFERROR(IF([2]对账明细接口!$P310=0,"",[2]对账明细接口!$P310),"")</f>
        <v/>
      </c>
      <c r="V310" s="112" t="str">
        <f aca="false">IFERROR(IF([2]对账明细接口!$Q310=0,"",[2]对账明细接口!$Q310),"")</f>
        <v/>
      </c>
      <c r="W310" s="10" t="str">
        <f aca="false">IFERROR(IF([2]对账明细接口!$R310=0,"",[2]对账明细接口!$R310),"")</f>
        <v>豫N*P269J</v>
      </c>
      <c r="X310" s="10" t="str">
        <f aca="false">IFERROR(IF([2]对账明细接口!$S310=0,"",[2]对账明细接口!$S310),"")</f>
        <v>公司筐</v>
      </c>
      <c r="Y310" s="10" t="str">
        <f aca="false">IFERROR(IF([2]对账明细接口!$T310=0,"",[2]对账明细接口!$T310),"")</f>
        <v>王照雪</v>
      </c>
      <c r="Z310" s="113" t="str">
        <f aca="false">IFERROR(IF([2]对账明细接口!$U310=0,"",[2]对账明细接口!$U310),"")</f>
        <v/>
      </c>
      <c r="AA310" s="113" t="str">
        <f aca="false">IFERROR(IF([2]对账明细接口!$V310=0,"",[2]对账明细接口!$V310),"")</f>
        <v/>
      </c>
      <c r="AB310" s="10" t="str">
        <f aca="false">IFERROR(IF([2]对账明细接口!$W310=0,"",[2]对账明细接口!$W310),"")</f>
        <v/>
      </c>
      <c r="AC310" s="90" t="str">
        <f aca="false">IFERROR(IF([2]对账明细接口!$X311=0,"",[2]对账明细接口!$X311),"")</f>
        <v>王照雪</v>
      </c>
      <c r="AD310" s="90" t="str">
        <f aca="false">IFERROR(IF([2]对账明细接口!$Y311=0,"",[2]对账明细接口!$Y311),"")</f>
        <v/>
      </c>
      <c r="AE310" s="90" t="str">
        <f aca="false">IFERROR(IF([2]对账明细接口!$AA311=0,"",[2]对账明细接口!$AA311),"")</f>
        <v/>
      </c>
      <c r="AF310" s="90" t="str">
        <f aca="false">IFERROR(IF([2]对账明细接口!$AB311=0,"",[2]对账明细接口!$AB311),"")</f>
        <v/>
      </c>
      <c r="AG310" s="90" t="str">
        <f aca="false">IFERROR(IF([2]对账明细接口!$AC311=0,"",[2]对账明细接口!$AC311),"")</f>
        <v/>
      </c>
      <c r="AH310" s="90" t="str">
        <f aca="false">IFERROR(IF([2]对账明细接口!$AD311=0,"",[2]对账明细接口!$AD311),"")</f>
        <v>成品出库</v>
      </c>
    </row>
    <row r="311" customFormat="false" ht="13.5" hidden="false" customHeight="false" outlineLevel="0" collapsed="false">
      <c r="A311" s="109" t="n">
        <v>311</v>
      </c>
      <c r="B311" s="110" t="n">
        <f aca="false">IFERROR(IF([2]对账明细接口!$B$311=0,"",[2]对账明细接口!$B$311),"")</f>
        <v>46278</v>
      </c>
      <c r="C311" s="59" t="str">
        <f aca="false">IFERROR(IF([2]对账明细接口!$C$311=0,"",[2]对账明细接口!$C$311),"")</f>
        <v>王照雪</v>
      </c>
      <c r="D311" s="59" t="str">
        <f aca="false">IFERROR(IF([2]对账明细接口!$D$311=0,"",[2]对账明细接口!$D$311),"")</f>
        <v>成品出库－成品出库</v>
      </c>
      <c r="E311" s="59" t="str">
        <f aca="false">IFERROR(IF([2]对账明细接口!$E$311=0,"",[2]对账明细接口!$E$311),"")</f>
        <v>NO:0001134</v>
      </c>
      <c r="F311" s="59" t="str">
        <f aca="false">IFERROR(IF([2]对账明细接口!$F$311=0,"",[2]对账明细接口!$F$311),"")</f>
        <v>苹果</v>
      </c>
      <c r="G311" s="59" t="str">
        <f aca="false">IFERROR(IF([2]对账明细接口!$G$311=0,"",[2]对账明细接口!$G$311),"")</f>
        <v>苹果扎伤</v>
      </c>
      <c r="H311" s="60" t="n">
        <f aca="false">IFERROR(IF([2]对账明细接口!$H$311=0,"",[2]对账明细接口!$H$311),"")</f>
        <v>60</v>
      </c>
      <c r="I311" s="59" t="str">
        <f aca="false">IFERROR(IF([2]对账明细接口!$I$311=0,"",[2]对账明细接口!$I$311),"")</f>
        <v>箱</v>
      </c>
      <c r="J311" s="61" t="n">
        <f aca="false">IFERROR(IF([2]对账明细接口!$J$311=0,"",[2]对账明细接口!$J$311),"")</f>
        <v>979.8</v>
      </c>
      <c r="K311" s="61" t="str">
        <f aca="false">IFERROR(IF([2]对账明细接口!$K$311=0,"",[2]对账明细接口!$K$311),"")</f>
        <v/>
      </c>
      <c r="L311" s="59" t="str">
        <f aca="false">IFERROR(IF([2]对账明细接口!$L$311=0,"",[2]对账明细接口!$L$311),"")</f>
        <v/>
      </c>
      <c r="M311" s="59" t="str">
        <f aca="false">IFERROR(IF([2]对账明细接口!$M$311=0,"",[2]对账明细接口!$M$311),"")</f>
        <v/>
      </c>
      <c r="N311" s="111" t="n">
        <f aca="false">IF($C311="",0,1)</f>
        <v>1</v>
      </c>
      <c r="O311" s="111" t="n">
        <f aca="false">N(O310)+$N311</f>
        <v>308</v>
      </c>
      <c r="S311" s="10" t="str">
        <f aca="false">IFERROR(IF([2]对账明细接口!$N311=0,"",[2]对账明细接口!$N311),"")</f>
        <v>纸箱</v>
      </c>
      <c r="T311" s="112" t="str">
        <f aca="false">IFERROR(IF([2]对账明细接口!$O311=0,"",[2]对账明细接口!$O311),"")</f>
        <v/>
      </c>
      <c r="U311" s="112" t="str">
        <f aca="false">IFERROR(IF([2]对账明细接口!$P311=0,"",[2]对账明细接口!$P311),"")</f>
        <v/>
      </c>
      <c r="V311" s="112" t="str">
        <f aca="false">IFERROR(IF([2]对账明细接口!$Q311=0,"",[2]对账明细接口!$Q311),"")</f>
        <v/>
      </c>
      <c r="W311" s="10" t="str">
        <f aca="false">IFERROR(IF([2]对账明细接口!$R311=0,"",[2]对账明细接口!$R311),"")</f>
        <v>新R*45654</v>
      </c>
      <c r="X311" s="10" t="str">
        <f aca="false">IFERROR(IF([2]对账明细接口!$S311=0,"",[2]对账明细接口!$S311),"")</f>
        <v>公司筐</v>
      </c>
      <c r="Y311" s="10" t="str">
        <f aca="false">IFERROR(IF([2]对账明细接口!$T311=0,"",[2]对账明细接口!$T311),"")</f>
        <v>王照雪</v>
      </c>
      <c r="Z311" s="113" t="str">
        <f aca="false">IFERROR(IF([2]对账明细接口!$U311=0,"",[2]对账明细接口!$U311),"")</f>
        <v/>
      </c>
      <c r="AA311" s="113" t="str">
        <f aca="false">IFERROR(IF([2]对账明细接口!$V311=0,"",[2]对账明细接口!$V311),"")</f>
        <v/>
      </c>
      <c r="AB311" s="10" t="str">
        <f aca="false">IFERROR(IF([2]对账明细接口!$W311=0,"",[2]对账明细接口!$W311),"")</f>
        <v/>
      </c>
      <c r="AC311" s="90" t="str">
        <f aca="false">IFERROR(IF([2]对账明细接口!$X312=0,"",[2]对账明细接口!$X312),"")</f>
        <v>电商/主播</v>
      </c>
      <c r="AD311" s="90" t="str">
        <f aca="false">IFERROR(IF([2]对账明细接口!$Y312=0,"",[2]对账明细接口!$Y312),"")</f>
        <v/>
      </c>
      <c r="AE311" s="90" t="str">
        <f aca="false">IFERROR(IF([2]对账明细接口!$AA312=0,"",[2]对账明细接口!$AA312),"")</f>
        <v/>
      </c>
      <c r="AF311" s="90" t="str">
        <f aca="false">IFERROR(IF([2]对账明细接口!$AB312=0,"",[2]对账明细接口!$AB312),"")</f>
        <v/>
      </c>
      <c r="AG311" s="90" t="str">
        <f aca="false">IFERROR(IF([2]对账明细接口!$AC312=0,"",[2]对账明细接口!$AC312),"")</f>
        <v/>
      </c>
      <c r="AH311" s="90" t="str">
        <f aca="false">IFERROR(IF([2]对账明细接口!$AD312=0,"",[2]对账明细接口!$AD312),"")</f>
        <v>成品出库</v>
      </c>
    </row>
    <row r="312" customFormat="false" ht="13.5" hidden="false" customHeight="false" outlineLevel="0" collapsed="false">
      <c r="A312" s="109" t="n">
        <v>312</v>
      </c>
      <c r="B312" s="110" t="n">
        <f aca="false">IFERROR(IF([2]对账明细接口!$B$312=0,"",[2]对账明细接口!$B$312),"")</f>
        <v>46278</v>
      </c>
      <c r="C312" s="59" t="str">
        <f aca="false">IFERROR(IF([2]对账明细接口!$C$312=0,"",[2]对账明细接口!$C$312),"")</f>
        <v>王照雪</v>
      </c>
      <c r="D312" s="59" t="str">
        <f aca="false">IFERROR(IF([2]对账明细接口!$D$312=0,"",[2]对账明细接口!$D$312),"")</f>
        <v>成品出库－成品出库</v>
      </c>
      <c r="E312" s="59" t="str">
        <f aca="false">IFERROR(IF([2]对账明细接口!$E$312=0,"",[2]对账明细接口!$E$312),"")</f>
        <v>NO:0001136</v>
      </c>
      <c r="F312" s="59" t="str">
        <f aca="false">IFERROR(IF([2]对账明细接口!$F$312=0,"",[2]对账明细接口!$F$312),"")</f>
        <v>苹果</v>
      </c>
      <c r="G312" s="59" t="str">
        <f aca="false">IFERROR(IF([2]对账明细接口!$G$312=0,"",[2]对账明细接口!$G$312),"")</f>
        <v>华硕一级</v>
      </c>
      <c r="H312" s="60" t="n">
        <f aca="false">IFERROR(IF([2]对账明细接口!$H$312=0,"",[2]对账明细接口!$H$312),"")</f>
        <v>151</v>
      </c>
      <c r="I312" s="59" t="str">
        <f aca="false">IFERROR(IF([2]对账明细接口!$I$312=0,"",[2]对账明细接口!$I$312),"")</f>
        <v>箱</v>
      </c>
      <c r="J312" s="61" t="n">
        <f aca="false">IFERROR(IF([2]对账明细接口!$J$312=0,"",[2]对账明细接口!$J$312),"")</f>
        <v>770.1</v>
      </c>
      <c r="K312" s="61" t="str">
        <f aca="false">IFERROR(IF([2]对账明细接口!$K$312=0,"",[2]对账明细接口!$K$312),"")</f>
        <v/>
      </c>
      <c r="L312" s="59" t="str">
        <f aca="false">IFERROR(IF([2]对账明细接口!$L$312=0,"",[2]对账明细接口!$L$312),"")</f>
        <v/>
      </c>
      <c r="M312" s="59" t="str">
        <f aca="false">IFERROR(IF([2]对账明细接口!$M$312=0,"",[2]对账明细接口!$M$312),"")</f>
        <v/>
      </c>
      <c r="N312" s="111" t="n">
        <f aca="false">IF($C312="",0,1)</f>
        <v>1</v>
      </c>
      <c r="O312" s="111" t="n">
        <f aca="false">N(O311)+$N312</f>
        <v>309</v>
      </c>
      <c r="S312" s="10" t="str">
        <f aca="false">IFERROR(IF([2]对账明细接口!$N312=0,"",[2]对账明细接口!$N312),"")</f>
        <v>纸箱</v>
      </c>
      <c r="T312" s="112" t="str">
        <f aca="false">IFERROR(IF([2]对账明细接口!$O312=0,"",[2]对账明细接口!$O312),"")</f>
        <v/>
      </c>
      <c r="U312" s="112" t="str">
        <f aca="false">IFERROR(IF([2]对账明细接口!$P312=0,"",[2]对账明细接口!$P312),"")</f>
        <v/>
      </c>
      <c r="V312" s="112" t="str">
        <f aca="false">IFERROR(IF([2]对账明细接口!$Q312=0,"",[2]对账明细接口!$Q312),"")</f>
        <v/>
      </c>
      <c r="W312" s="10" t="str">
        <f aca="false">IFERROR(IF([2]对账明细接口!$R312=0,"",[2]对账明细接口!$R312),"")</f>
        <v>豫N*P269J</v>
      </c>
      <c r="X312" s="10" t="str">
        <f aca="false">IFERROR(IF([2]对账明细接口!$S312=0,"",[2]对账明细接口!$S312),"")</f>
        <v>公司筐</v>
      </c>
      <c r="Y312" s="10" t="str">
        <f aca="false">IFERROR(IF([2]对账明细接口!$T312=0,"",[2]对账明细接口!$T312),"")</f>
        <v>王照雪</v>
      </c>
      <c r="Z312" s="113" t="str">
        <f aca="false">IFERROR(IF([2]对账明细接口!$U312=0,"",[2]对账明细接口!$U312),"")</f>
        <v/>
      </c>
      <c r="AA312" s="113" t="str">
        <f aca="false">IFERROR(IF([2]对账明细接口!$V312=0,"",[2]对账明细接口!$V312),"")</f>
        <v/>
      </c>
      <c r="AB312" s="10" t="str">
        <f aca="false">IFERROR(IF([2]对账明细接口!$W312=0,"",[2]对账明细接口!$W312),"")</f>
        <v/>
      </c>
      <c r="AC312" s="90" t="str">
        <f aca="false">IFERROR(IF([2]对账明细接口!$X313=0,"",[2]对账明细接口!$X313),"")</f>
        <v>电商/主播</v>
      </c>
      <c r="AD312" s="90" t="str">
        <f aca="false">IFERROR(IF([2]对账明细接口!$Y313=0,"",[2]对账明细接口!$Y313),"")</f>
        <v/>
      </c>
      <c r="AE312" s="90" t="str">
        <f aca="false">IFERROR(IF([2]对账明细接口!$AA313=0,"",[2]对账明细接口!$AA313),"")</f>
        <v/>
      </c>
      <c r="AF312" s="90" t="str">
        <f aca="false">IFERROR(IF([2]对账明细接口!$AB313=0,"",[2]对账明细接口!$AB313),"")</f>
        <v/>
      </c>
      <c r="AG312" s="90" t="str">
        <f aca="false">IFERROR(IF([2]对账明细接口!$AC313=0,"",[2]对账明细接口!$AC313),"")</f>
        <v/>
      </c>
      <c r="AH312" s="90" t="str">
        <f aca="false">IFERROR(IF([2]对账明细接口!$AD313=0,"",[2]对账明细接口!$AD313),"")</f>
        <v>成品出库</v>
      </c>
    </row>
    <row r="313" customFormat="false" ht="13.5" hidden="false" customHeight="false" outlineLevel="0" collapsed="false">
      <c r="A313" s="109" t="n">
        <v>313</v>
      </c>
      <c r="B313" s="110" t="n">
        <f aca="false">IFERROR(IF([2]对账明细接口!$B$313=0,"",[2]对账明细接口!$B$313),"")</f>
        <v>46278</v>
      </c>
      <c r="C313" s="59" t="str">
        <f aca="false">IFERROR(IF([2]对账明细接口!$C$313=0,"",[2]对账明细接口!$C$313),"")</f>
        <v>王照雪</v>
      </c>
      <c r="D313" s="59" t="str">
        <f aca="false">IFERROR(IF([2]对账明细接口!$D$313=0,"",[2]对账明细接口!$D$313),"")</f>
        <v>成品出库－成品出库</v>
      </c>
      <c r="E313" s="59" t="str">
        <f aca="false">IFERROR(IF([2]对账明细接口!$E$313=0,"",[2]对账明细接口!$E$313),"")</f>
        <v>NO:0001136</v>
      </c>
      <c r="F313" s="59" t="str">
        <f aca="false">IFERROR(IF([2]对账明细接口!$F$313=0,"",[2]对账明细接口!$F$313),"")</f>
        <v>苹果</v>
      </c>
      <c r="G313" s="59" t="str">
        <f aca="false">IFERROR(IF([2]对账明细接口!$G$313=0,"",[2]对账明细接口!$G$313),"")</f>
        <v>华硕一级</v>
      </c>
      <c r="H313" s="60" t="n">
        <f aca="false">IFERROR(IF([2]对账明细接口!$H$313=0,"",[2]对账明细接口!$H$313),"")</f>
        <v>11</v>
      </c>
      <c r="I313" s="59" t="str">
        <f aca="false">IFERROR(IF([2]对账明细接口!$I$313=0,"",[2]对账明细接口!$I$313),"")</f>
        <v>箱</v>
      </c>
      <c r="J313" s="61" t="n">
        <f aca="false">IFERROR(IF([2]对账明细接口!$J$313=0,"",[2]对账明细接口!$J$313),"")</f>
        <v>28.6</v>
      </c>
      <c r="K313" s="61" t="str">
        <f aca="false">IFERROR(IF([2]对账明细接口!$K$313=0,"",[2]对账明细接口!$K$313),"")</f>
        <v/>
      </c>
      <c r="L313" s="59" t="str">
        <f aca="false">IFERROR(IF([2]对账明细接口!$L$313=0,"",[2]对账明细接口!$L$313),"")</f>
        <v/>
      </c>
      <c r="M313" s="59" t="str">
        <f aca="false">IFERROR(IF([2]对账明细接口!$M$313=0,"",[2]对账明细接口!$M$313),"")</f>
        <v/>
      </c>
      <c r="N313" s="111" t="n">
        <f aca="false">IF($C313="",0,1)</f>
        <v>1</v>
      </c>
      <c r="O313" s="111" t="n">
        <f aca="false">N(O312)+$N313</f>
        <v>310</v>
      </c>
      <c r="S313" s="10" t="str">
        <f aca="false">IFERROR(IF([2]对账明细接口!$N313=0,"",[2]对账明细接口!$N313),"")</f>
        <v>纸箱</v>
      </c>
      <c r="T313" s="112" t="str">
        <f aca="false">IFERROR(IF([2]对账明细接口!$O313=0,"",[2]对账明细接口!$O313),"")</f>
        <v/>
      </c>
      <c r="U313" s="112" t="str">
        <f aca="false">IFERROR(IF([2]对账明细接口!$P313=0,"",[2]对账明细接口!$P313),"")</f>
        <v/>
      </c>
      <c r="V313" s="112" t="str">
        <f aca="false">IFERROR(IF([2]对账明细接口!$Q313=0,"",[2]对账明细接口!$Q313),"")</f>
        <v/>
      </c>
      <c r="W313" s="10" t="str">
        <f aca="false">IFERROR(IF([2]对账明细接口!$R313=0,"",[2]对账明细接口!$R313),"")</f>
        <v>豫N*P269J</v>
      </c>
      <c r="X313" s="10" t="str">
        <f aca="false">IFERROR(IF([2]对账明细接口!$S313=0,"",[2]对账明细接口!$S313),"")</f>
        <v>公司筐</v>
      </c>
      <c r="Y313" s="10" t="str">
        <f aca="false">IFERROR(IF([2]对账明细接口!$T313=0,"",[2]对账明细接口!$T313),"")</f>
        <v>王照雪</v>
      </c>
      <c r="Z313" s="113" t="str">
        <f aca="false">IFERROR(IF([2]对账明细接口!$U313=0,"",[2]对账明细接口!$U313),"")</f>
        <v/>
      </c>
      <c r="AA313" s="113" t="str">
        <f aca="false">IFERROR(IF([2]对账明细接口!$V313=0,"",[2]对账明细接口!$V313),"")</f>
        <v/>
      </c>
      <c r="AB313" s="10" t="str">
        <f aca="false">IFERROR(IF([2]对账明细接口!$W313=0,"",[2]对账明细接口!$W313),"")</f>
        <v/>
      </c>
      <c r="AC313" s="90" t="str">
        <f aca="false">IFERROR(IF([2]对账明细接口!$X314=0,"",[2]对账明细接口!$X314),"")</f>
        <v>电商/主播</v>
      </c>
      <c r="AD313" s="90" t="str">
        <f aca="false">IFERROR(IF([2]对账明细接口!$Y314=0,"",[2]对账明细接口!$Y314),"")</f>
        <v/>
      </c>
      <c r="AE313" s="90" t="str">
        <f aca="false">IFERROR(IF([2]对账明细接口!$AA314=0,"",[2]对账明细接口!$AA314),"")</f>
        <v/>
      </c>
      <c r="AF313" s="90" t="str">
        <f aca="false">IFERROR(IF([2]对账明细接口!$AB314=0,"",[2]对账明细接口!$AB314),"")</f>
        <v/>
      </c>
      <c r="AG313" s="90" t="str">
        <f aca="false">IFERROR(IF([2]对账明细接口!$AC314=0,"",[2]对账明细接口!$AC314),"")</f>
        <v/>
      </c>
      <c r="AH313" s="90" t="str">
        <f aca="false">IFERROR(IF([2]对账明细接口!$AD314=0,"",[2]对账明细接口!$AD314),"")</f>
        <v>成品出库</v>
      </c>
    </row>
    <row r="314" customFormat="false" ht="13.5" hidden="false" customHeight="false" outlineLevel="0" collapsed="false">
      <c r="A314" s="109" t="n">
        <v>314</v>
      </c>
      <c r="B314" s="110" t="n">
        <f aca="false">IFERROR(IF([2]对账明细接口!$B$314=0,"",[2]对账明细接口!$B$314),"")</f>
        <v>46278</v>
      </c>
      <c r="C314" s="59" t="str">
        <f aca="false">IFERROR(IF([2]对账明细接口!$C$314=0,"",[2]对账明细接口!$C$314),"")</f>
        <v>王照雪</v>
      </c>
      <c r="D314" s="59" t="str">
        <f aca="false">IFERROR(IF([2]对账明细接口!$D$314=0,"",[2]对账明细接口!$D$314),"")</f>
        <v>成品出库－成品出库</v>
      </c>
      <c r="E314" s="59" t="str">
        <f aca="false">IFERROR(IF([2]对账明细接口!$E$314=0,"",[2]对账明细接口!$E$314),"")</f>
        <v>NO:0001136</v>
      </c>
      <c r="F314" s="59" t="str">
        <f aca="false">IFERROR(IF([2]对账明细接口!$F$314=0,"",[2]对账明细接口!$F$314),"")</f>
        <v>香梨</v>
      </c>
      <c r="G314" s="59" t="str">
        <f aca="false">IFERROR(IF([2]对账明细接口!$G$314=0,"",[2]对账明细接口!$G$314),"")</f>
        <v>香梨一级</v>
      </c>
      <c r="H314" s="60" t="n">
        <f aca="false">IFERROR(IF([2]对账明细接口!$H$314=0,"",[2]对账明细接口!$H$314),"")</f>
        <v>3</v>
      </c>
      <c r="I314" s="59" t="str">
        <f aca="false">IFERROR(IF([2]对账明细接口!$I$314=0,"",[2]对账明细接口!$I$314),"")</f>
        <v>箱</v>
      </c>
      <c r="J314" s="61" t="n">
        <f aca="false">IFERROR(IF([2]对账明细接口!$J$314=0,"",[2]对账明细接口!$J$314),"")</f>
        <v>15.3</v>
      </c>
      <c r="K314" s="61" t="str">
        <f aca="false">IFERROR(IF([2]对账明细接口!$K$314=0,"",[2]对账明细接口!$K$314),"")</f>
        <v/>
      </c>
      <c r="L314" s="59" t="str">
        <f aca="false">IFERROR(IF([2]对账明细接口!$L$314=0,"",[2]对账明细接口!$L$314),"")</f>
        <v/>
      </c>
      <c r="M314" s="59" t="str">
        <f aca="false">IFERROR(IF([2]对账明细接口!$M$314=0,"",[2]对账明细接口!$M$314),"")</f>
        <v/>
      </c>
      <c r="N314" s="111" t="n">
        <f aca="false">IF($C314="",0,1)</f>
        <v>1</v>
      </c>
      <c r="O314" s="111" t="n">
        <f aca="false">N(O313)+$N314</f>
        <v>311</v>
      </c>
      <c r="S314" s="10" t="str">
        <f aca="false">IFERROR(IF([2]对账明细接口!$N314=0,"",[2]对账明细接口!$N314),"")</f>
        <v>纸箱</v>
      </c>
      <c r="T314" s="112" t="str">
        <f aca="false">IFERROR(IF([2]对账明细接口!$O314=0,"",[2]对账明细接口!$O314),"")</f>
        <v/>
      </c>
      <c r="U314" s="112" t="str">
        <f aca="false">IFERROR(IF([2]对账明细接口!$P314=0,"",[2]对账明细接口!$P314),"")</f>
        <v/>
      </c>
      <c r="V314" s="112" t="str">
        <f aca="false">IFERROR(IF([2]对账明细接口!$Q314=0,"",[2]对账明细接口!$Q314),"")</f>
        <v/>
      </c>
      <c r="W314" s="10" t="str">
        <f aca="false">IFERROR(IF([2]对账明细接口!$R314=0,"",[2]对账明细接口!$R314),"")</f>
        <v>豫N*P269J</v>
      </c>
      <c r="X314" s="10" t="str">
        <f aca="false">IFERROR(IF([2]对账明细接口!$S314=0,"",[2]对账明细接口!$S314),"")</f>
        <v>公司筐</v>
      </c>
      <c r="Y314" s="10" t="str">
        <f aca="false">IFERROR(IF([2]对账明细接口!$T314=0,"",[2]对账明细接口!$T314),"")</f>
        <v>王照雪</v>
      </c>
      <c r="Z314" s="113" t="str">
        <f aca="false">IFERROR(IF([2]对账明细接口!$U314=0,"",[2]对账明细接口!$U314),"")</f>
        <v/>
      </c>
      <c r="AA314" s="113" t="str">
        <f aca="false">IFERROR(IF([2]对账明细接口!$V314=0,"",[2]对账明细接口!$V314),"")</f>
        <v/>
      </c>
      <c r="AB314" s="10" t="str">
        <f aca="false">IFERROR(IF([2]对账明细接口!$W314=0,"",[2]对账明细接口!$W314),"")</f>
        <v/>
      </c>
      <c r="AC314" s="90" t="str">
        <f aca="false">IFERROR(IF([2]对账明细接口!$X315=0,"",[2]对账明细接口!$X315),"")</f>
        <v/>
      </c>
      <c r="AD314" s="90" t="str">
        <f aca="false">IFERROR(IF([2]对账明细接口!$Y315=0,"",[2]对账明细接口!$Y315),"")</f>
        <v/>
      </c>
      <c r="AE314" s="90" t="str">
        <f aca="false">IFERROR(IF([2]对账明细接口!$AA315=0,"",[2]对账明细接口!$AA315),"")</f>
        <v/>
      </c>
      <c r="AF314" s="90" t="str">
        <f aca="false">IFERROR(IF([2]对账明细接口!$AB315=0,"",[2]对账明细接口!$AB315),"")</f>
        <v/>
      </c>
      <c r="AG314" s="90" t="str">
        <f aca="false">IFERROR(IF([2]对账明细接口!$AC315=0,"",[2]对账明细接口!$AC315),"")</f>
        <v/>
      </c>
      <c r="AH314" s="90" t="str">
        <f aca="false">IFERROR(IF([2]对账明细接口!$AD315=0,"",[2]对账明细接口!$AD315),"")</f>
        <v/>
      </c>
    </row>
    <row r="315" customFormat="false" ht="13.5" hidden="false" customHeight="false" outlineLevel="0" collapsed="false">
      <c r="A315" s="109" t="n">
        <v>315</v>
      </c>
      <c r="B315" s="110" t="str">
        <f aca="false">IFERROR(IF([2]对账明细接口!$B$315=0,"",[2]对账明细接口!$B$315),"")</f>
        <v/>
      </c>
      <c r="C315" s="59" t="str">
        <f aca="false">IFERROR(IF([2]对账明细接口!$C$315=0,"",[2]对账明细接口!$C$315),"")</f>
        <v/>
      </c>
      <c r="D315" s="59" t="str">
        <f aca="false">IFERROR(IF([2]对账明细接口!$D$315=0,"",[2]对账明细接口!$D$315),"")</f>
        <v/>
      </c>
      <c r="E315" s="59" t="str">
        <f aca="false">IFERROR(IF([2]对账明细接口!$E$315=0,"",[2]对账明细接口!$E$315),"")</f>
        <v/>
      </c>
      <c r="F315" s="59" t="str">
        <f aca="false">IFERROR(IF([2]对账明细接口!$F$315=0,"",[2]对账明细接口!$F$315),"")</f>
        <v/>
      </c>
      <c r="G315" s="59" t="str">
        <f aca="false">IFERROR(IF([2]对账明细接口!$G$315=0,"",[2]对账明细接口!$G$315),"")</f>
        <v/>
      </c>
      <c r="H315" s="60" t="str">
        <f aca="false">IFERROR(IF([2]对账明细接口!$H$315=0,"",[2]对账明细接口!$H$315),"")</f>
        <v/>
      </c>
      <c r="I315" s="59" t="str">
        <f aca="false">IFERROR(IF([2]对账明细接口!$I$315=0,"",[2]对账明细接口!$I$315),"")</f>
        <v/>
      </c>
      <c r="J315" s="61" t="str">
        <f aca="false">IFERROR(IF([2]对账明细接口!$J$315=0,"",[2]对账明细接口!$J$315),"")</f>
        <v/>
      </c>
      <c r="K315" s="61" t="str">
        <f aca="false">IFERROR(IF([2]对账明细接口!$K$315=0,"",[2]对账明细接口!$K$315),"")</f>
        <v/>
      </c>
      <c r="L315" s="59" t="str">
        <f aca="false">IFERROR(IF([2]对账明细接口!$L$315=0,"",[2]对账明细接口!$L$315),"")</f>
        <v/>
      </c>
      <c r="M315" s="59" t="str">
        <f aca="false">IFERROR(IF([2]对账明细接口!$M$315=0,"",[2]对账明细接口!$M$315),"")</f>
        <v/>
      </c>
      <c r="N315" s="111" t="n">
        <f aca="false">IF($C315="",0,1)</f>
        <v>0</v>
      </c>
      <c r="O315" s="111" t="n">
        <f aca="false">N(O314)+$N315</f>
        <v>311</v>
      </c>
      <c r="S315" s="10" t="str">
        <f aca="false">IFERROR(IF([2]对账明细接口!$N315=0,"",[2]对账明细接口!$N315),"")</f>
        <v/>
      </c>
      <c r="T315" s="112" t="str">
        <f aca="false">IFERROR(IF([2]对账明细接口!$O315=0,"",[2]对账明细接口!$O315),"")</f>
        <v/>
      </c>
      <c r="U315" s="112" t="str">
        <f aca="false">IFERROR(IF([2]对账明细接口!$P315=0,"",[2]对账明细接口!$P315),"")</f>
        <v/>
      </c>
      <c r="V315" s="112" t="str">
        <f aca="false">IFERROR(IF([2]对账明细接口!$Q315=0,"",[2]对账明细接口!$Q315),"")</f>
        <v/>
      </c>
      <c r="W315" s="10" t="str">
        <f aca="false">IFERROR(IF([2]对账明细接口!$R315=0,"",[2]对账明细接口!$R315),"")</f>
        <v/>
      </c>
      <c r="X315" s="10" t="str">
        <f aca="false">IFERROR(IF([2]对账明细接口!$S315=0,"",[2]对账明细接口!$S315),"")</f>
        <v/>
      </c>
      <c r="Y315" s="10" t="str">
        <f aca="false">IFERROR(IF([2]对账明细接口!$T315=0,"",[2]对账明细接口!$T315),"")</f>
        <v/>
      </c>
      <c r="Z315" s="113" t="str">
        <f aca="false">IFERROR(IF([2]对账明细接口!$U315=0,"",[2]对账明细接口!$U315),"")</f>
        <v/>
      </c>
      <c r="AA315" s="113" t="str">
        <f aca="false">IFERROR(IF([2]对账明细接口!$V315=0,"",[2]对账明细接口!$V315),"")</f>
        <v/>
      </c>
      <c r="AB315" s="10" t="str">
        <f aca="false">IFERROR(IF([2]对账明细接口!$W315=0,"",[2]对账明细接口!$W315),"")</f>
        <v/>
      </c>
      <c r="AC315" s="90" t="str">
        <f aca="false">IFERROR(IF([2]对账明细接口!$X316=0,"",[2]对账明细接口!$X316),"")</f>
        <v/>
      </c>
      <c r="AD315" s="90" t="str">
        <f aca="false">IFERROR(IF([2]对账明细接口!$Y316=0,"",[2]对账明细接口!$Y316),"")</f>
        <v/>
      </c>
      <c r="AE315" s="90" t="str">
        <f aca="false">IFERROR(IF([2]对账明细接口!$AA316=0,"",[2]对账明细接口!$AA316),"")</f>
        <v/>
      </c>
      <c r="AF315" s="90" t="str">
        <f aca="false">IFERROR(IF([2]对账明细接口!$AB316=0,"",[2]对账明细接口!$AB316),"")</f>
        <v/>
      </c>
      <c r="AG315" s="90" t="str">
        <f aca="false">IFERROR(IF([2]对账明细接口!$AC316=0,"",[2]对账明细接口!$AC316),"")</f>
        <v/>
      </c>
      <c r="AH315" s="90" t="str">
        <f aca="false">IFERROR(IF([2]对账明细接口!$AD316=0,"",[2]对账明细接口!$AD316),"")</f>
        <v/>
      </c>
    </row>
    <row r="316" customFormat="false" ht="13.5" hidden="false" customHeight="false" outlineLevel="0" collapsed="false">
      <c r="A316" s="109" t="n">
        <v>316</v>
      </c>
      <c r="B316" s="110" t="str">
        <f aca="false">IFERROR(IF([2]对账明细接口!$B$316=0,"",[2]对账明细接口!$B$316),"")</f>
        <v/>
      </c>
      <c r="C316" s="59" t="str">
        <f aca="false">IFERROR(IF([2]对账明细接口!$C$316=0,"",[2]对账明细接口!$C$316),"")</f>
        <v/>
      </c>
      <c r="D316" s="59" t="str">
        <f aca="false">IFERROR(IF([2]对账明细接口!$D$316=0,"",[2]对账明细接口!$D$316),"")</f>
        <v/>
      </c>
      <c r="E316" s="59" t="str">
        <f aca="false">IFERROR(IF([2]对账明细接口!$E$316=0,"",[2]对账明细接口!$E$316),"")</f>
        <v/>
      </c>
      <c r="F316" s="59" t="str">
        <f aca="false">IFERROR(IF([2]对账明细接口!$F$316=0,"",[2]对账明细接口!$F$316),"")</f>
        <v/>
      </c>
      <c r="G316" s="59" t="str">
        <f aca="false">IFERROR(IF([2]对账明细接口!$G$316=0,"",[2]对账明细接口!$G$316),"")</f>
        <v/>
      </c>
      <c r="H316" s="60" t="str">
        <f aca="false">IFERROR(IF([2]对账明细接口!$H$316=0,"",[2]对账明细接口!$H$316),"")</f>
        <v/>
      </c>
      <c r="I316" s="59" t="str">
        <f aca="false">IFERROR(IF([2]对账明细接口!$I$316=0,"",[2]对账明细接口!$I$316),"")</f>
        <v/>
      </c>
      <c r="J316" s="61" t="str">
        <f aca="false">IFERROR(IF([2]对账明细接口!$J$316=0,"",[2]对账明细接口!$J$316),"")</f>
        <v/>
      </c>
      <c r="K316" s="61" t="str">
        <f aca="false">IFERROR(IF([2]对账明细接口!$K$316=0,"",[2]对账明细接口!$K$316),"")</f>
        <v/>
      </c>
      <c r="L316" s="59" t="str">
        <f aca="false">IFERROR(IF([2]对账明细接口!$L$316=0,"",[2]对账明细接口!$L$316),"")</f>
        <v/>
      </c>
      <c r="M316" s="59" t="str">
        <f aca="false">IFERROR(IF([2]对账明细接口!$M$316=0,"",[2]对账明细接口!$M$316),"")</f>
        <v/>
      </c>
      <c r="N316" s="111" t="n">
        <f aca="false">IF($C316="",0,1)</f>
        <v>0</v>
      </c>
      <c r="O316" s="111" t="n">
        <f aca="false">N(O315)+$N316</f>
        <v>311</v>
      </c>
      <c r="S316" s="10" t="str">
        <f aca="false">IFERROR(IF([2]对账明细接口!$N316=0,"",[2]对账明细接口!$N316),"")</f>
        <v/>
      </c>
      <c r="T316" s="112" t="str">
        <f aca="false">IFERROR(IF([2]对账明细接口!$O316=0,"",[2]对账明细接口!$O316),"")</f>
        <v/>
      </c>
      <c r="U316" s="112" t="str">
        <f aca="false">IFERROR(IF([2]对账明细接口!$P316=0,"",[2]对账明细接口!$P316),"")</f>
        <v/>
      </c>
      <c r="V316" s="112" t="str">
        <f aca="false">IFERROR(IF([2]对账明细接口!$Q316=0,"",[2]对账明细接口!$Q316),"")</f>
        <v/>
      </c>
      <c r="W316" s="10" t="str">
        <f aca="false">IFERROR(IF([2]对账明细接口!$R316=0,"",[2]对账明细接口!$R316),"")</f>
        <v/>
      </c>
      <c r="X316" s="10" t="str">
        <f aca="false">IFERROR(IF([2]对账明细接口!$S316=0,"",[2]对账明细接口!$S316),"")</f>
        <v/>
      </c>
      <c r="Y316" s="10" t="str">
        <f aca="false">IFERROR(IF([2]对账明细接口!$T316=0,"",[2]对账明细接口!$T316),"")</f>
        <v/>
      </c>
      <c r="Z316" s="113" t="str">
        <f aca="false">IFERROR(IF([2]对账明细接口!$U316=0,"",[2]对账明细接口!$U316),"")</f>
        <v/>
      </c>
      <c r="AA316" s="113" t="str">
        <f aca="false">IFERROR(IF([2]对账明细接口!$V316=0,"",[2]对账明细接口!$V316),"")</f>
        <v/>
      </c>
      <c r="AB316" s="10" t="str">
        <f aca="false">IFERROR(IF([2]对账明细接口!$W316=0,"",[2]对账明细接口!$W316),"")</f>
        <v/>
      </c>
      <c r="AC316" s="90" t="str">
        <f aca="false">IFERROR(IF([2]对账明细接口!$X317=0,"",[2]对账明细接口!$X317),"")</f>
        <v/>
      </c>
      <c r="AD316" s="90" t="str">
        <f aca="false">IFERROR(IF([2]对账明细接口!$Y317=0,"",[2]对账明细接口!$Y317),"")</f>
        <v/>
      </c>
      <c r="AE316" s="90" t="str">
        <f aca="false">IFERROR(IF([2]对账明细接口!$AA317=0,"",[2]对账明细接口!$AA317),"")</f>
        <v/>
      </c>
      <c r="AF316" s="90" t="str">
        <f aca="false">IFERROR(IF([2]对账明细接口!$AB317=0,"",[2]对账明细接口!$AB317),"")</f>
        <v/>
      </c>
      <c r="AG316" s="90" t="str">
        <f aca="false">IFERROR(IF([2]对账明细接口!$AC317=0,"",[2]对账明细接口!$AC317),"")</f>
        <v/>
      </c>
      <c r="AH316" s="90" t="str">
        <f aca="false">IFERROR(IF([2]对账明细接口!$AD317=0,"",[2]对账明细接口!$AD317),"")</f>
        <v/>
      </c>
    </row>
    <row r="317" customFormat="false" ht="13.5" hidden="false" customHeight="false" outlineLevel="0" collapsed="false">
      <c r="A317" s="109" t="n">
        <v>317</v>
      </c>
      <c r="B317" s="110" t="str">
        <f aca="false">IFERROR(IF([2]对账明细接口!$B$317=0,"",[2]对账明细接口!$B$317),"")</f>
        <v/>
      </c>
      <c r="C317" s="59" t="str">
        <f aca="false">IFERROR(IF([2]对账明细接口!$C$317=0,"",[2]对账明细接口!$C$317),"")</f>
        <v/>
      </c>
      <c r="D317" s="59" t="str">
        <f aca="false">IFERROR(IF([2]对账明细接口!$D$317=0,"",[2]对账明细接口!$D$317),"")</f>
        <v/>
      </c>
      <c r="E317" s="59" t="str">
        <f aca="false">IFERROR(IF([2]对账明细接口!$E$317=0,"",[2]对账明细接口!$E$317),"")</f>
        <v/>
      </c>
      <c r="F317" s="59" t="str">
        <f aca="false">IFERROR(IF([2]对账明细接口!$F$317=0,"",[2]对账明细接口!$F$317),"")</f>
        <v/>
      </c>
      <c r="G317" s="59" t="str">
        <f aca="false">IFERROR(IF([2]对账明细接口!$G$317=0,"",[2]对账明细接口!$G$317),"")</f>
        <v/>
      </c>
      <c r="H317" s="60" t="str">
        <f aca="false">IFERROR(IF([2]对账明细接口!$H$317=0,"",[2]对账明细接口!$H$317),"")</f>
        <v/>
      </c>
      <c r="I317" s="59" t="str">
        <f aca="false">IFERROR(IF([2]对账明细接口!$I$317=0,"",[2]对账明细接口!$I$317),"")</f>
        <v/>
      </c>
      <c r="J317" s="61" t="str">
        <f aca="false">IFERROR(IF([2]对账明细接口!$J$317=0,"",[2]对账明细接口!$J$317),"")</f>
        <v/>
      </c>
      <c r="K317" s="61" t="str">
        <f aca="false">IFERROR(IF([2]对账明细接口!$K$317=0,"",[2]对账明细接口!$K$317),"")</f>
        <v/>
      </c>
      <c r="L317" s="59" t="str">
        <f aca="false">IFERROR(IF([2]对账明细接口!$L$317=0,"",[2]对账明细接口!$L$317),"")</f>
        <v/>
      </c>
      <c r="M317" s="59" t="str">
        <f aca="false">IFERROR(IF([2]对账明细接口!$M$317=0,"",[2]对账明细接口!$M$317),"")</f>
        <v/>
      </c>
      <c r="N317" s="111" t="n">
        <f aca="false">IF($C317="",0,1)</f>
        <v>0</v>
      </c>
      <c r="O317" s="111" t="n">
        <f aca="false">N(O316)+$N317</f>
        <v>311</v>
      </c>
      <c r="S317" s="10" t="str">
        <f aca="false">IFERROR(IF([2]对账明细接口!$N317=0,"",[2]对账明细接口!$N317),"")</f>
        <v/>
      </c>
      <c r="T317" s="112" t="str">
        <f aca="false">IFERROR(IF([2]对账明细接口!$O317=0,"",[2]对账明细接口!$O317),"")</f>
        <v/>
      </c>
      <c r="U317" s="112" t="str">
        <f aca="false">IFERROR(IF([2]对账明细接口!$P317=0,"",[2]对账明细接口!$P317),"")</f>
        <v/>
      </c>
      <c r="V317" s="112" t="str">
        <f aca="false">IFERROR(IF([2]对账明细接口!$Q317=0,"",[2]对账明细接口!$Q317),"")</f>
        <v/>
      </c>
      <c r="W317" s="10" t="str">
        <f aca="false">IFERROR(IF([2]对账明细接口!$R317=0,"",[2]对账明细接口!$R317),"")</f>
        <v/>
      </c>
      <c r="X317" s="10" t="str">
        <f aca="false">IFERROR(IF([2]对账明细接口!$S317=0,"",[2]对账明细接口!$S317),"")</f>
        <v/>
      </c>
      <c r="Y317" s="10" t="str">
        <f aca="false">IFERROR(IF([2]对账明细接口!$T317=0,"",[2]对账明细接口!$T317),"")</f>
        <v/>
      </c>
      <c r="Z317" s="113" t="str">
        <f aca="false">IFERROR(IF([2]对账明细接口!$U317=0,"",[2]对账明细接口!$U317),"")</f>
        <v/>
      </c>
      <c r="AA317" s="113" t="str">
        <f aca="false">IFERROR(IF([2]对账明细接口!$V317=0,"",[2]对账明细接口!$V317),"")</f>
        <v/>
      </c>
      <c r="AB317" s="10" t="str">
        <f aca="false">IFERROR(IF([2]对账明细接口!$W317=0,"",[2]对账明细接口!$W317),"")</f>
        <v/>
      </c>
      <c r="AC317" s="90" t="str">
        <f aca="false">IFERROR(IF([2]对账明细接口!$X318=0,"",[2]对账明细接口!$X318),"")</f>
        <v/>
      </c>
      <c r="AD317" s="90" t="str">
        <f aca="false">IFERROR(IF([2]对账明细接口!$Y318=0,"",[2]对账明细接口!$Y318),"")</f>
        <v/>
      </c>
      <c r="AE317" s="90" t="str">
        <f aca="false">IFERROR(IF([2]对账明细接口!$AA318=0,"",[2]对账明细接口!$AA318),"")</f>
        <v/>
      </c>
      <c r="AF317" s="90" t="str">
        <f aca="false">IFERROR(IF([2]对账明细接口!$AB318=0,"",[2]对账明细接口!$AB318),"")</f>
        <v/>
      </c>
      <c r="AG317" s="90" t="str">
        <f aca="false">IFERROR(IF([2]对账明细接口!$AC318=0,"",[2]对账明细接口!$AC318),"")</f>
        <v/>
      </c>
      <c r="AH317" s="90" t="str">
        <f aca="false">IFERROR(IF([2]对账明细接口!$AD318=0,"",[2]对账明细接口!$AD318),"")</f>
        <v/>
      </c>
    </row>
    <row r="318" customFormat="false" ht="13.5" hidden="false" customHeight="false" outlineLevel="0" collapsed="false">
      <c r="A318" s="109" t="n">
        <v>318</v>
      </c>
      <c r="B318" s="110" t="str">
        <f aca="false">IFERROR(IF([2]对账明细接口!$B$318=0,"",[2]对账明细接口!$B$318),"")</f>
        <v/>
      </c>
      <c r="C318" s="59" t="str">
        <f aca="false">IFERROR(IF([2]对账明细接口!$C$318=0,"",[2]对账明细接口!$C$318),"")</f>
        <v/>
      </c>
      <c r="D318" s="59" t="str">
        <f aca="false">IFERROR(IF([2]对账明细接口!$D$318=0,"",[2]对账明细接口!$D$318),"")</f>
        <v/>
      </c>
      <c r="E318" s="59" t="str">
        <f aca="false">IFERROR(IF([2]对账明细接口!$E$318=0,"",[2]对账明细接口!$E$318),"")</f>
        <v/>
      </c>
      <c r="F318" s="59" t="str">
        <f aca="false">IFERROR(IF([2]对账明细接口!$F$318=0,"",[2]对账明细接口!$F$318),"")</f>
        <v/>
      </c>
      <c r="G318" s="59" t="str">
        <f aca="false">IFERROR(IF([2]对账明细接口!$G$318=0,"",[2]对账明细接口!$G$318),"")</f>
        <v/>
      </c>
      <c r="H318" s="60" t="str">
        <f aca="false">IFERROR(IF([2]对账明细接口!$H$318=0,"",[2]对账明细接口!$H$318),"")</f>
        <v/>
      </c>
      <c r="I318" s="59" t="str">
        <f aca="false">IFERROR(IF([2]对账明细接口!$I$318=0,"",[2]对账明细接口!$I$318),"")</f>
        <v/>
      </c>
      <c r="J318" s="61" t="str">
        <f aca="false">IFERROR(IF([2]对账明细接口!$J$318=0,"",[2]对账明细接口!$J$318),"")</f>
        <v/>
      </c>
      <c r="K318" s="61" t="str">
        <f aca="false">IFERROR(IF([2]对账明细接口!$K$318=0,"",[2]对账明细接口!$K$318),"")</f>
        <v/>
      </c>
      <c r="L318" s="59" t="str">
        <f aca="false">IFERROR(IF([2]对账明细接口!$L$318=0,"",[2]对账明细接口!$L$318),"")</f>
        <v/>
      </c>
      <c r="M318" s="59" t="str">
        <f aca="false">IFERROR(IF([2]对账明细接口!$M$318=0,"",[2]对账明细接口!$M$318),"")</f>
        <v/>
      </c>
      <c r="N318" s="111" t="n">
        <f aca="false">IF($C318="",0,1)</f>
        <v>0</v>
      </c>
      <c r="O318" s="111" t="n">
        <f aca="false">N(O317)+$N318</f>
        <v>311</v>
      </c>
      <c r="S318" s="10" t="str">
        <f aca="false">IFERROR(IF([2]对账明细接口!$N318=0,"",[2]对账明细接口!$N318),"")</f>
        <v/>
      </c>
      <c r="T318" s="112" t="str">
        <f aca="false">IFERROR(IF([2]对账明细接口!$O318=0,"",[2]对账明细接口!$O318),"")</f>
        <v/>
      </c>
      <c r="U318" s="112" t="str">
        <f aca="false">IFERROR(IF([2]对账明细接口!$P318=0,"",[2]对账明细接口!$P318),"")</f>
        <v/>
      </c>
      <c r="V318" s="112" t="str">
        <f aca="false">IFERROR(IF([2]对账明细接口!$Q318=0,"",[2]对账明细接口!$Q318),"")</f>
        <v/>
      </c>
      <c r="W318" s="10" t="str">
        <f aca="false">IFERROR(IF([2]对账明细接口!$R318=0,"",[2]对账明细接口!$R318),"")</f>
        <v/>
      </c>
      <c r="X318" s="10" t="str">
        <f aca="false">IFERROR(IF([2]对账明细接口!$S318=0,"",[2]对账明细接口!$S318),"")</f>
        <v/>
      </c>
      <c r="Y318" s="10" t="str">
        <f aca="false">IFERROR(IF([2]对账明细接口!$T318=0,"",[2]对账明细接口!$T318),"")</f>
        <v/>
      </c>
      <c r="Z318" s="113" t="str">
        <f aca="false">IFERROR(IF([2]对账明细接口!$U318=0,"",[2]对账明细接口!$U318),"")</f>
        <v/>
      </c>
      <c r="AA318" s="113" t="str">
        <f aca="false">IFERROR(IF([2]对账明细接口!$V318=0,"",[2]对账明细接口!$V318),"")</f>
        <v/>
      </c>
      <c r="AB318" s="10" t="str">
        <f aca="false">IFERROR(IF([2]对账明细接口!$W318=0,"",[2]对账明细接口!$W318),"")</f>
        <v/>
      </c>
      <c r="AC318" s="90" t="str">
        <f aca="false">IFERROR(IF([2]对账明细接口!$X319=0,"",[2]对账明细接口!$X319),"")</f>
        <v/>
      </c>
      <c r="AD318" s="90" t="str">
        <f aca="false">IFERROR(IF([2]对账明细接口!$Y319=0,"",[2]对账明细接口!$Y319),"")</f>
        <v/>
      </c>
      <c r="AE318" s="90" t="str">
        <f aca="false">IFERROR(IF([2]对账明细接口!$AA319=0,"",[2]对账明细接口!$AA319),"")</f>
        <v/>
      </c>
      <c r="AF318" s="90" t="str">
        <f aca="false">IFERROR(IF([2]对账明细接口!$AB319=0,"",[2]对账明细接口!$AB319),"")</f>
        <v/>
      </c>
      <c r="AG318" s="90" t="str">
        <f aca="false">IFERROR(IF([2]对账明细接口!$AC319=0,"",[2]对账明细接口!$AC319),"")</f>
        <v/>
      </c>
      <c r="AH318" s="90" t="str">
        <f aca="false">IFERROR(IF([2]对账明细接口!$AD319=0,"",[2]对账明细接口!$AD319),"")</f>
        <v/>
      </c>
    </row>
    <row r="319" customFormat="false" ht="13.5" hidden="false" customHeight="false" outlineLevel="0" collapsed="false">
      <c r="A319" s="109" t="n">
        <v>319</v>
      </c>
      <c r="B319" s="110" t="str">
        <f aca="false">IFERROR(IF([2]对账明细接口!$B$319=0,"",[2]对账明细接口!$B$319),"")</f>
        <v/>
      </c>
      <c r="C319" s="59" t="str">
        <f aca="false">IFERROR(IF([2]对账明细接口!$C$319=0,"",[2]对账明细接口!$C$319),"")</f>
        <v/>
      </c>
      <c r="D319" s="59" t="str">
        <f aca="false">IFERROR(IF([2]对账明细接口!$D$319=0,"",[2]对账明细接口!$D$319),"")</f>
        <v/>
      </c>
      <c r="E319" s="59" t="str">
        <f aca="false">IFERROR(IF([2]对账明细接口!$E$319=0,"",[2]对账明细接口!$E$319),"")</f>
        <v/>
      </c>
      <c r="F319" s="59" t="str">
        <f aca="false">IFERROR(IF([2]对账明细接口!$F$319=0,"",[2]对账明细接口!$F$319),"")</f>
        <v/>
      </c>
      <c r="G319" s="59" t="str">
        <f aca="false">IFERROR(IF([2]对账明细接口!$G$319=0,"",[2]对账明细接口!$G$319),"")</f>
        <v/>
      </c>
      <c r="H319" s="60" t="str">
        <f aca="false">IFERROR(IF([2]对账明细接口!$H$319=0,"",[2]对账明细接口!$H$319),"")</f>
        <v/>
      </c>
      <c r="I319" s="59" t="str">
        <f aca="false">IFERROR(IF([2]对账明细接口!$I$319=0,"",[2]对账明细接口!$I$319),"")</f>
        <v/>
      </c>
      <c r="J319" s="61" t="str">
        <f aca="false">IFERROR(IF([2]对账明细接口!$J$319=0,"",[2]对账明细接口!$J$319),"")</f>
        <v/>
      </c>
      <c r="K319" s="61" t="str">
        <f aca="false">IFERROR(IF([2]对账明细接口!$K$319=0,"",[2]对账明细接口!$K$319),"")</f>
        <v/>
      </c>
      <c r="L319" s="59" t="str">
        <f aca="false">IFERROR(IF([2]对账明细接口!$L$319=0,"",[2]对账明细接口!$L$319),"")</f>
        <v/>
      </c>
      <c r="M319" s="59" t="str">
        <f aca="false">IFERROR(IF([2]对账明细接口!$M$319=0,"",[2]对账明细接口!$M$319),"")</f>
        <v/>
      </c>
      <c r="N319" s="111" t="n">
        <f aca="false">IF($C319="",0,1)</f>
        <v>0</v>
      </c>
      <c r="O319" s="111" t="n">
        <f aca="false">N(O318)+$N319</f>
        <v>311</v>
      </c>
      <c r="S319" s="10" t="str">
        <f aca="false">IFERROR(IF([2]对账明细接口!$N319=0,"",[2]对账明细接口!$N319),"")</f>
        <v/>
      </c>
      <c r="T319" s="112" t="str">
        <f aca="false">IFERROR(IF([2]对账明细接口!$O319=0,"",[2]对账明细接口!$O319),"")</f>
        <v/>
      </c>
      <c r="U319" s="112" t="str">
        <f aca="false">IFERROR(IF([2]对账明细接口!$P319=0,"",[2]对账明细接口!$P319),"")</f>
        <v/>
      </c>
      <c r="V319" s="112" t="str">
        <f aca="false">IFERROR(IF([2]对账明细接口!$Q319=0,"",[2]对账明细接口!$Q319),"")</f>
        <v/>
      </c>
      <c r="W319" s="10" t="str">
        <f aca="false">IFERROR(IF([2]对账明细接口!$R319=0,"",[2]对账明细接口!$R319),"")</f>
        <v/>
      </c>
      <c r="X319" s="10" t="str">
        <f aca="false">IFERROR(IF([2]对账明细接口!$S319=0,"",[2]对账明细接口!$S319),"")</f>
        <v/>
      </c>
      <c r="Y319" s="10" t="str">
        <f aca="false">IFERROR(IF([2]对账明细接口!$T319=0,"",[2]对账明细接口!$T319),"")</f>
        <v/>
      </c>
      <c r="Z319" s="113" t="str">
        <f aca="false">IFERROR(IF([2]对账明细接口!$U319=0,"",[2]对账明细接口!$U319),"")</f>
        <v/>
      </c>
      <c r="AA319" s="113" t="str">
        <f aca="false">IFERROR(IF([2]对账明细接口!$V319=0,"",[2]对账明细接口!$V319),"")</f>
        <v/>
      </c>
      <c r="AB319" s="10" t="str">
        <f aca="false">IFERROR(IF([2]对账明细接口!$W319=0,"",[2]对账明细接口!$W319),"")</f>
        <v/>
      </c>
      <c r="AC319" s="90" t="str">
        <f aca="false">IFERROR(IF([2]对账明细接口!$X320=0,"",[2]对账明细接口!$X320),"")</f>
        <v/>
      </c>
      <c r="AD319" s="90" t="str">
        <f aca="false">IFERROR(IF([2]对账明细接口!$Y320=0,"",[2]对账明细接口!$Y320),"")</f>
        <v/>
      </c>
      <c r="AE319" s="90" t="str">
        <f aca="false">IFERROR(IF([2]对账明细接口!$AA320=0,"",[2]对账明细接口!$AA320),"")</f>
        <v/>
      </c>
      <c r="AF319" s="90" t="str">
        <f aca="false">IFERROR(IF([2]对账明细接口!$AB320=0,"",[2]对账明细接口!$AB320),"")</f>
        <v/>
      </c>
      <c r="AG319" s="90" t="str">
        <f aca="false">IFERROR(IF([2]对账明细接口!$AC320=0,"",[2]对账明细接口!$AC320),"")</f>
        <v/>
      </c>
      <c r="AH319" s="90" t="str">
        <f aca="false">IFERROR(IF([2]对账明细接口!$AD320=0,"",[2]对账明细接口!$AD320),"")</f>
        <v/>
      </c>
    </row>
    <row r="320" customFormat="false" ht="13.5" hidden="false" customHeight="false" outlineLevel="0" collapsed="false">
      <c r="A320" s="109" t="n">
        <v>320</v>
      </c>
      <c r="B320" s="110" t="str">
        <f aca="false">IFERROR(IF([2]对账明细接口!$B$320=0,"",[2]对账明细接口!$B$320),"")</f>
        <v/>
      </c>
      <c r="C320" s="59" t="str">
        <f aca="false">IFERROR(IF([2]对账明细接口!$C$320=0,"",[2]对账明细接口!$C$320),"")</f>
        <v/>
      </c>
      <c r="D320" s="59" t="str">
        <f aca="false">IFERROR(IF([2]对账明细接口!$D$320=0,"",[2]对账明细接口!$D$320),"")</f>
        <v/>
      </c>
      <c r="E320" s="59" t="str">
        <f aca="false">IFERROR(IF([2]对账明细接口!$E$320=0,"",[2]对账明细接口!$E$320),"")</f>
        <v/>
      </c>
      <c r="F320" s="59" t="str">
        <f aca="false">IFERROR(IF([2]对账明细接口!$F$320=0,"",[2]对账明细接口!$F$320),"")</f>
        <v/>
      </c>
      <c r="G320" s="59" t="str">
        <f aca="false">IFERROR(IF([2]对账明细接口!$G$320=0,"",[2]对账明细接口!$G$320),"")</f>
        <v/>
      </c>
      <c r="H320" s="60" t="str">
        <f aca="false">IFERROR(IF([2]对账明细接口!$H$320=0,"",[2]对账明细接口!$H$320),"")</f>
        <v/>
      </c>
      <c r="I320" s="59" t="str">
        <f aca="false">IFERROR(IF([2]对账明细接口!$I$320=0,"",[2]对账明细接口!$I$320),"")</f>
        <v/>
      </c>
      <c r="J320" s="61" t="str">
        <f aca="false">IFERROR(IF([2]对账明细接口!$J$320=0,"",[2]对账明细接口!$J$320),"")</f>
        <v/>
      </c>
      <c r="K320" s="61" t="str">
        <f aca="false">IFERROR(IF([2]对账明细接口!$K$320=0,"",[2]对账明细接口!$K$320),"")</f>
        <v/>
      </c>
      <c r="L320" s="59" t="str">
        <f aca="false">IFERROR(IF([2]对账明细接口!$L$320=0,"",[2]对账明细接口!$L$320),"")</f>
        <v/>
      </c>
      <c r="M320" s="59" t="str">
        <f aca="false">IFERROR(IF([2]对账明细接口!$M$320=0,"",[2]对账明细接口!$M$320),"")</f>
        <v/>
      </c>
      <c r="N320" s="111" t="n">
        <f aca="false">IF($C320="",0,1)</f>
        <v>0</v>
      </c>
      <c r="O320" s="111" t="n">
        <f aca="false">N(O319)+$N320</f>
        <v>311</v>
      </c>
      <c r="S320" s="10" t="str">
        <f aca="false">IFERROR(IF([2]对账明细接口!$N320=0,"",[2]对账明细接口!$N320),"")</f>
        <v/>
      </c>
      <c r="T320" s="112" t="str">
        <f aca="false">IFERROR(IF([2]对账明细接口!$O320=0,"",[2]对账明细接口!$O320),"")</f>
        <v/>
      </c>
      <c r="U320" s="112" t="str">
        <f aca="false">IFERROR(IF([2]对账明细接口!$P320=0,"",[2]对账明细接口!$P320),"")</f>
        <v/>
      </c>
      <c r="V320" s="112" t="str">
        <f aca="false">IFERROR(IF([2]对账明细接口!$Q320=0,"",[2]对账明细接口!$Q320),"")</f>
        <v/>
      </c>
      <c r="W320" s="10" t="str">
        <f aca="false">IFERROR(IF([2]对账明细接口!$R320=0,"",[2]对账明细接口!$R320),"")</f>
        <v/>
      </c>
      <c r="X320" s="10" t="str">
        <f aca="false">IFERROR(IF([2]对账明细接口!$S320=0,"",[2]对账明细接口!$S320),"")</f>
        <v/>
      </c>
      <c r="Y320" s="10" t="str">
        <f aca="false">IFERROR(IF([2]对账明细接口!$T320=0,"",[2]对账明细接口!$T320),"")</f>
        <v/>
      </c>
      <c r="Z320" s="113" t="str">
        <f aca="false">IFERROR(IF([2]对账明细接口!$U320=0,"",[2]对账明细接口!$U320),"")</f>
        <v/>
      </c>
      <c r="AA320" s="113" t="str">
        <f aca="false">IFERROR(IF([2]对账明细接口!$V320=0,"",[2]对账明细接口!$V320),"")</f>
        <v/>
      </c>
      <c r="AB320" s="10" t="str">
        <f aca="false">IFERROR(IF([2]对账明细接口!$W320=0,"",[2]对账明细接口!$W320),"")</f>
        <v/>
      </c>
      <c r="AC320" s="90" t="str">
        <f aca="false">IFERROR(IF([2]对账明细接口!$X321=0,"",[2]对账明细接口!$X321),"")</f>
        <v/>
      </c>
      <c r="AD320" s="90" t="str">
        <f aca="false">IFERROR(IF([2]对账明细接口!$Y321=0,"",[2]对账明细接口!$Y321),"")</f>
        <v/>
      </c>
      <c r="AE320" s="90" t="str">
        <f aca="false">IFERROR(IF([2]对账明细接口!$AA321=0,"",[2]对账明细接口!$AA321),"")</f>
        <v/>
      </c>
      <c r="AF320" s="90" t="str">
        <f aca="false">IFERROR(IF([2]对账明细接口!$AB321=0,"",[2]对账明细接口!$AB321),"")</f>
        <v/>
      </c>
      <c r="AG320" s="90" t="str">
        <f aca="false">IFERROR(IF([2]对账明细接口!$AC321=0,"",[2]对账明细接口!$AC321),"")</f>
        <v/>
      </c>
      <c r="AH320" s="90" t="str">
        <f aca="false">IFERROR(IF([2]对账明细接口!$AD321=0,"",[2]对账明细接口!$AD321),"")</f>
        <v/>
      </c>
    </row>
    <row r="321" customFormat="false" ht="13.5" hidden="false" customHeight="false" outlineLevel="0" collapsed="false">
      <c r="A321" s="109" t="n">
        <v>321</v>
      </c>
      <c r="B321" s="110" t="str">
        <f aca="false">IFERROR(IF([2]对账明细接口!$B$321=0,"",[2]对账明细接口!$B$321),"")</f>
        <v/>
      </c>
      <c r="C321" s="59" t="str">
        <f aca="false">IFERROR(IF([2]对账明细接口!$C$321=0,"",[2]对账明细接口!$C$321),"")</f>
        <v/>
      </c>
      <c r="D321" s="59" t="str">
        <f aca="false">IFERROR(IF([2]对账明细接口!$D$321=0,"",[2]对账明细接口!$D$321),"")</f>
        <v/>
      </c>
      <c r="E321" s="59" t="str">
        <f aca="false">IFERROR(IF([2]对账明细接口!$E$321=0,"",[2]对账明细接口!$E$321),"")</f>
        <v/>
      </c>
      <c r="F321" s="59" t="str">
        <f aca="false">IFERROR(IF([2]对账明细接口!$F$321=0,"",[2]对账明细接口!$F$321),"")</f>
        <v/>
      </c>
      <c r="G321" s="59" t="str">
        <f aca="false">IFERROR(IF([2]对账明细接口!$G$321=0,"",[2]对账明细接口!$G$321),"")</f>
        <v/>
      </c>
      <c r="H321" s="60" t="str">
        <f aca="false">IFERROR(IF([2]对账明细接口!$H$321=0,"",[2]对账明细接口!$H$321),"")</f>
        <v/>
      </c>
      <c r="I321" s="59" t="str">
        <f aca="false">IFERROR(IF([2]对账明细接口!$I$321=0,"",[2]对账明细接口!$I$321),"")</f>
        <v/>
      </c>
      <c r="J321" s="61" t="str">
        <f aca="false">IFERROR(IF([2]对账明细接口!$J$321=0,"",[2]对账明细接口!$J$321),"")</f>
        <v/>
      </c>
      <c r="K321" s="61" t="str">
        <f aca="false">IFERROR(IF([2]对账明细接口!$K$321=0,"",[2]对账明细接口!$K$321),"")</f>
        <v/>
      </c>
      <c r="L321" s="59" t="str">
        <f aca="false">IFERROR(IF([2]对账明细接口!$L$321=0,"",[2]对账明细接口!$L$321),"")</f>
        <v/>
      </c>
      <c r="M321" s="59" t="str">
        <f aca="false">IFERROR(IF([2]对账明细接口!$M$321=0,"",[2]对账明细接口!$M$321),"")</f>
        <v/>
      </c>
      <c r="N321" s="111" t="n">
        <f aca="false">IF($C321="",0,1)</f>
        <v>0</v>
      </c>
      <c r="O321" s="111" t="n">
        <f aca="false">N(O320)+$N321</f>
        <v>311</v>
      </c>
      <c r="S321" s="10" t="str">
        <f aca="false">IFERROR(IF([2]对账明细接口!$N321=0,"",[2]对账明细接口!$N321),"")</f>
        <v/>
      </c>
      <c r="T321" s="112" t="str">
        <f aca="false">IFERROR(IF([2]对账明细接口!$O321=0,"",[2]对账明细接口!$O321),"")</f>
        <v/>
      </c>
      <c r="U321" s="112" t="str">
        <f aca="false">IFERROR(IF([2]对账明细接口!$P321=0,"",[2]对账明细接口!$P321),"")</f>
        <v/>
      </c>
      <c r="V321" s="112" t="str">
        <f aca="false">IFERROR(IF([2]对账明细接口!$Q321=0,"",[2]对账明细接口!$Q321),"")</f>
        <v/>
      </c>
      <c r="W321" s="10" t="str">
        <f aca="false">IFERROR(IF([2]对账明细接口!$R321=0,"",[2]对账明细接口!$R321),"")</f>
        <v/>
      </c>
      <c r="X321" s="10" t="str">
        <f aca="false">IFERROR(IF([2]对账明细接口!$S321=0,"",[2]对账明细接口!$S321),"")</f>
        <v/>
      </c>
      <c r="Y321" s="10" t="str">
        <f aca="false">IFERROR(IF([2]对账明细接口!$T321=0,"",[2]对账明细接口!$T321),"")</f>
        <v/>
      </c>
      <c r="Z321" s="113" t="str">
        <f aca="false">IFERROR(IF([2]对账明细接口!$U321=0,"",[2]对账明细接口!$U321),"")</f>
        <v/>
      </c>
      <c r="AA321" s="113" t="str">
        <f aca="false">IFERROR(IF([2]对账明细接口!$V321=0,"",[2]对账明细接口!$V321),"")</f>
        <v/>
      </c>
      <c r="AB321" s="10" t="str">
        <f aca="false">IFERROR(IF([2]对账明细接口!$W321=0,"",[2]对账明细接口!$W321),"")</f>
        <v/>
      </c>
      <c r="AC321" s="90" t="str">
        <f aca="false">IFERROR(IF([2]对账明细接口!$X322=0,"",[2]对账明细接口!$X322),"")</f>
        <v/>
      </c>
      <c r="AD321" s="90" t="str">
        <f aca="false">IFERROR(IF([2]对账明细接口!$Y322=0,"",[2]对账明细接口!$Y322),"")</f>
        <v/>
      </c>
      <c r="AE321" s="90" t="str">
        <f aca="false">IFERROR(IF([2]对账明细接口!$AA322=0,"",[2]对账明细接口!$AA322),"")</f>
        <v/>
      </c>
      <c r="AF321" s="90" t="str">
        <f aca="false">IFERROR(IF([2]对账明细接口!$AB322=0,"",[2]对账明细接口!$AB322),"")</f>
        <v/>
      </c>
      <c r="AG321" s="90" t="str">
        <f aca="false">IFERROR(IF([2]对账明细接口!$AC322=0,"",[2]对账明细接口!$AC322),"")</f>
        <v/>
      </c>
      <c r="AH321" s="90" t="str">
        <f aca="false">IFERROR(IF([2]对账明细接口!$AD322=0,"",[2]对账明细接口!$AD322),"")</f>
        <v/>
      </c>
    </row>
    <row r="322" customFormat="false" ht="13.5" hidden="false" customHeight="false" outlineLevel="0" collapsed="false">
      <c r="A322" s="109" t="n">
        <v>322</v>
      </c>
      <c r="B322" s="110" t="str">
        <f aca="false">IFERROR(IF([2]对账明细接口!$B$322=0,"",[2]对账明细接口!$B$322),"")</f>
        <v/>
      </c>
      <c r="C322" s="59" t="str">
        <f aca="false">IFERROR(IF([2]对账明细接口!$C$322=0,"",[2]对账明细接口!$C$322),"")</f>
        <v/>
      </c>
      <c r="D322" s="59" t="str">
        <f aca="false">IFERROR(IF([2]对账明细接口!$D$322=0,"",[2]对账明细接口!$D$322),"")</f>
        <v/>
      </c>
      <c r="E322" s="59" t="str">
        <f aca="false">IFERROR(IF([2]对账明细接口!$E$322=0,"",[2]对账明细接口!$E$322),"")</f>
        <v/>
      </c>
      <c r="F322" s="59" t="str">
        <f aca="false">IFERROR(IF([2]对账明细接口!$F$322=0,"",[2]对账明细接口!$F$322),"")</f>
        <v/>
      </c>
      <c r="G322" s="59" t="str">
        <f aca="false">IFERROR(IF([2]对账明细接口!$G$322=0,"",[2]对账明细接口!$G$322),"")</f>
        <v/>
      </c>
      <c r="H322" s="60" t="str">
        <f aca="false">IFERROR(IF([2]对账明细接口!$H$322=0,"",[2]对账明细接口!$H$322),"")</f>
        <v/>
      </c>
      <c r="I322" s="59" t="str">
        <f aca="false">IFERROR(IF([2]对账明细接口!$I$322=0,"",[2]对账明细接口!$I$322),"")</f>
        <v/>
      </c>
      <c r="J322" s="61" t="str">
        <f aca="false">IFERROR(IF([2]对账明细接口!$J$322=0,"",[2]对账明细接口!$J$322),"")</f>
        <v/>
      </c>
      <c r="K322" s="61" t="str">
        <f aca="false">IFERROR(IF([2]对账明细接口!$K$322=0,"",[2]对账明细接口!$K$322),"")</f>
        <v/>
      </c>
      <c r="L322" s="59" t="str">
        <f aca="false">IFERROR(IF([2]对账明细接口!$L$322=0,"",[2]对账明细接口!$L$322),"")</f>
        <v/>
      </c>
      <c r="M322" s="59" t="str">
        <f aca="false">IFERROR(IF([2]对账明细接口!$M$322=0,"",[2]对账明细接口!$M$322),"")</f>
        <v/>
      </c>
      <c r="N322" s="111" t="n">
        <f aca="false">IF($C322="",0,1)</f>
        <v>0</v>
      </c>
      <c r="O322" s="111" t="n">
        <f aca="false">N(O321)+$N322</f>
        <v>311</v>
      </c>
      <c r="S322" s="10" t="str">
        <f aca="false">IFERROR(IF([2]对账明细接口!$N322=0,"",[2]对账明细接口!$N322),"")</f>
        <v/>
      </c>
      <c r="T322" s="112" t="str">
        <f aca="false">IFERROR(IF([2]对账明细接口!$O322=0,"",[2]对账明细接口!$O322),"")</f>
        <v/>
      </c>
      <c r="U322" s="112" t="str">
        <f aca="false">IFERROR(IF([2]对账明细接口!$P322=0,"",[2]对账明细接口!$P322),"")</f>
        <v/>
      </c>
      <c r="V322" s="112" t="str">
        <f aca="false">IFERROR(IF([2]对账明细接口!$Q322=0,"",[2]对账明细接口!$Q322),"")</f>
        <v/>
      </c>
      <c r="W322" s="10" t="str">
        <f aca="false">IFERROR(IF([2]对账明细接口!$R322=0,"",[2]对账明细接口!$R322),"")</f>
        <v/>
      </c>
      <c r="X322" s="10" t="str">
        <f aca="false">IFERROR(IF([2]对账明细接口!$S322=0,"",[2]对账明细接口!$S322),"")</f>
        <v/>
      </c>
      <c r="Y322" s="10" t="str">
        <f aca="false">IFERROR(IF([2]对账明细接口!$T322=0,"",[2]对账明细接口!$T322),"")</f>
        <v/>
      </c>
      <c r="Z322" s="113" t="str">
        <f aca="false">IFERROR(IF([2]对账明细接口!$U322=0,"",[2]对账明细接口!$U322),"")</f>
        <v/>
      </c>
      <c r="AA322" s="113" t="str">
        <f aca="false">IFERROR(IF([2]对账明细接口!$V322=0,"",[2]对账明细接口!$V322),"")</f>
        <v/>
      </c>
      <c r="AB322" s="10" t="str">
        <f aca="false">IFERROR(IF([2]对账明细接口!$W322=0,"",[2]对账明细接口!$W322),"")</f>
        <v/>
      </c>
      <c r="AC322" s="90" t="str">
        <f aca="false">IFERROR(IF([2]对账明细接口!$X323=0,"",[2]对账明细接口!$X323),"")</f>
        <v/>
      </c>
      <c r="AD322" s="90" t="str">
        <f aca="false">IFERROR(IF([2]对账明细接口!$Y323=0,"",[2]对账明细接口!$Y323),"")</f>
        <v/>
      </c>
      <c r="AE322" s="90" t="str">
        <f aca="false">IFERROR(IF([2]对账明细接口!$AA323=0,"",[2]对账明细接口!$AA323),"")</f>
        <v/>
      </c>
      <c r="AF322" s="90" t="str">
        <f aca="false">IFERROR(IF([2]对账明细接口!$AB323=0,"",[2]对账明细接口!$AB323),"")</f>
        <v/>
      </c>
      <c r="AG322" s="90" t="str">
        <f aca="false">IFERROR(IF([2]对账明细接口!$AC323=0,"",[2]对账明细接口!$AC323),"")</f>
        <v/>
      </c>
      <c r="AH322" s="90" t="str">
        <f aca="false">IFERROR(IF([2]对账明细接口!$AD323=0,"",[2]对账明细接口!$AD323),"")</f>
        <v/>
      </c>
    </row>
    <row r="323" customFormat="false" ht="13.5" hidden="false" customHeight="false" outlineLevel="0" collapsed="false">
      <c r="A323" s="109" t="n">
        <v>323</v>
      </c>
      <c r="B323" s="110" t="str">
        <f aca="false">IFERROR(IF([2]对账明细接口!$B$323=0,"",[2]对账明细接口!$B$323),"")</f>
        <v/>
      </c>
      <c r="C323" s="59" t="str">
        <f aca="false">IFERROR(IF([2]对账明细接口!$C$323=0,"",[2]对账明细接口!$C$323),"")</f>
        <v/>
      </c>
      <c r="D323" s="59" t="str">
        <f aca="false">IFERROR(IF([2]对账明细接口!$D$323=0,"",[2]对账明细接口!$D$323),"")</f>
        <v/>
      </c>
      <c r="E323" s="59" t="str">
        <f aca="false">IFERROR(IF([2]对账明细接口!$E$323=0,"",[2]对账明细接口!$E$323),"")</f>
        <v/>
      </c>
      <c r="F323" s="59" t="str">
        <f aca="false">IFERROR(IF([2]对账明细接口!$F$323=0,"",[2]对账明细接口!$F$323),"")</f>
        <v/>
      </c>
      <c r="G323" s="59" t="str">
        <f aca="false">IFERROR(IF([2]对账明细接口!$G$323=0,"",[2]对账明细接口!$G$323),"")</f>
        <v/>
      </c>
      <c r="H323" s="60" t="str">
        <f aca="false">IFERROR(IF([2]对账明细接口!$H$323=0,"",[2]对账明细接口!$H$323),"")</f>
        <v/>
      </c>
      <c r="I323" s="59" t="str">
        <f aca="false">IFERROR(IF([2]对账明细接口!$I$323=0,"",[2]对账明细接口!$I$323),"")</f>
        <v/>
      </c>
      <c r="J323" s="61" t="str">
        <f aca="false">IFERROR(IF([2]对账明细接口!$J$323=0,"",[2]对账明细接口!$J$323),"")</f>
        <v/>
      </c>
      <c r="K323" s="61" t="str">
        <f aca="false">IFERROR(IF([2]对账明细接口!$K$323=0,"",[2]对账明细接口!$K$323),"")</f>
        <v/>
      </c>
      <c r="L323" s="59" t="str">
        <f aca="false">IFERROR(IF([2]对账明细接口!$L$323=0,"",[2]对账明细接口!$L$323),"")</f>
        <v/>
      </c>
      <c r="M323" s="59" t="str">
        <f aca="false">IFERROR(IF([2]对账明细接口!$M$323=0,"",[2]对账明细接口!$M$323),"")</f>
        <v/>
      </c>
      <c r="N323" s="111" t="n">
        <f aca="false">IF($C323="",0,1)</f>
        <v>0</v>
      </c>
      <c r="O323" s="111" t="n">
        <f aca="false">N(O322)+$N323</f>
        <v>311</v>
      </c>
      <c r="S323" s="10" t="str">
        <f aca="false">IFERROR(IF([2]对账明细接口!$N323=0,"",[2]对账明细接口!$N323),"")</f>
        <v/>
      </c>
      <c r="T323" s="112" t="str">
        <f aca="false">IFERROR(IF([2]对账明细接口!$O323=0,"",[2]对账明细接口!$O323),"")</f>
        <v/>
      </c>
      <c r="U323" s="112" t="str">
        <f aca="false">IFERROR(IF([2]对账明细接口!$P323=0,"",[2]对账明细接口!$P323),"")</f>
        <v/>
      </c>
      <c r="V323" s="112" t="str">
        <f aca="false">IFERROR(IF([2]对账明细接口!$Q323=0,"",[2]对账明细接口!$Q323),"")</f>
        <v/>
      </c>
      <c r="W323" s="10" t="str">
        <f aca="false">IFERROR(IF([2]对账明细接口!$R323=0,"",[2]对账明细接口!$R323),"")</f>
        <v/>
      </c>
      <c r="X323" s="10" t="str">
        <f aca="false">IFERROR(IF([2]对账明细接口!$S323=0,"",[2]对账明细接口!$S323),"")</f>
        <v/>
      </c>
      <c r="Y323" s="10" t="str">
        <f aca="false">IFERROR(IF([2]对账明细接口!$T323=0,"",[2]对账明细接口!$T323),"")</f>
        <v/>
      </c>
      <c r="Z323" s="113" t="str">
        <f aca="false">IFERROR(IF([2]对账明细接口!$U323=0,"",[2]对账明细接口!$U323),"")</f>
        <v/>
      </c>
      <c r="AA323" s="113" t="str">
        <f aca="false">IFERROR(IF([2]对账明细接口!$V323=0,"",[2]对账明细接口!$V323),"")</f>
        <v/>
      </c>
      <c r="AB323" s="10" t="str">
        <f aca="false">IFERROR(IF([2]对账明细接口!$W323=0,"",[2]对账明细接口!$W323),"")</f>
        <v/>
      </c>
      <c r="AC323" s="90" t="str">
        <f aca="false">IFERROR(IF([2]对账明细接口!$X324=0,"",[2]对账明细接口!$X324),"")</f>
        <v/>
      </c>
      <c r="AD323" s="90" t="str">
        <f aca="false">IFERROR(IF([2]对账明细接口!$Y324=0,"",[2]对账明细接口!$Y324),"")</f>
        <v/>
      </c>
      <c r="AE323" s="90" t="str">
        <f aca="false">IFERROR(IF([2]对账明细接口!$AA324=0,"",[2]对账明细接口!$AA324),"")</f>
        <v/>
      </c>
      <c r="AF323" s="90" t="str">
        <f aca="false">IFERROR(IF([2]对账明细接口!$AB324=0,"",[2]对账明细接口!$AB324),"")</f>
        <v/>
      </c>
      <c r="AG323" s="90" t="str">
        <f aca="false">IFERROR(IF([2]对账明细接口!$AC324=0,"",[2]对账明细接口!$AC324),"")</f>
        <v/>
      </c>
      <c r="AH323" s="90" t="str">
        <f aca="false">IFERROR(IF([2]对账明细接口!$AD324=0,"",[2]对账明细接口!$AD324),"")</f>
        <v/>
      </c>
    </row>
    <row r="324" customFormat="false" ht="13.5" hidden="false" customHeight="false" outlineLevel="0" collapsed="false">
      <c r="A324" s="109" t="n">
        <v>324</v>
      </c>
      <c r="B324" s="110" t="str">
        <f aca="false">IFERROR(IF([2]对账明细接口!$B$324=0,"",[2]对账明细接口!$B$324),"")</f>
        <v/>
      </c>
      <c r="C324" s="59" t="str">
        <f aca="false">IFERROR(IF([2]对账明细接口!$C$324=0,"",[2]对账明细接口!$C$324),"")</f>
        <v/>
      </c>
      <c r="D324" s="59" t="str">
        <f aca="false">IFERROR(IF([2]对账明细接口!$D$324=0,"",[2]对账明细接口!$D$324),"")</f>
        <v/>
      </c>
      <c r="E324" s="59" t="str">
        <f aca="false">IFERROR(IF([2]对账明细接口!$E$324=0,"",[2]对账明细接口!$E$324),"")</f>
        <v/>
      </c>
      <c r="F324" s="59" t="str">
        <f aca="false">IFERROR(IF([2]对账明细接口!$F$324=0,"",[2]对账明细接口!$F$324),"")</f>
        <v/>
      </c>
      <c r="G324" s="59" t="str">
        <f aca="false">IFERROR(IF([2]对账明细接口!$G$324=0,"",[2]对账明细接口!$G$324),"")</f>
        <v/>
      </c>
      <c r="H324" s="60" t="str">
        <f aca="false">IFERROR(IF([2]对账明细接口!$H$324=0,"",[2]对账明细接口!$H$324),"")</f>
        <v/>
      </c>
      <c r="I324" s="59" t="str">
        <f aca="false">IFERROR(IF([2]对账明细接口!$I$324=0,"",[2]对账明细接口!$I$324),"")</f>
        <v/>
      </c>
      <c r="J324" s="61" t="str">
        <f aca="false">IFERROR(IF([2]对账明细接口!$J$324=0,"",[2]对账明细接口!$J$324),"")</f>
        <v/>
      </c>
      <c r="K324" s="61" t="str">
        <f aca="false">IFERROR(IF([2]对账明细接口!$K$324=0,"",[2]对账明细接口!$K$324),"")</f>
        <v/>
      </c>
      <c r="L324" s="59" t="str">
        <f aca="false">IFERROR(IF([2]对账明细接口!$L$324=0,"",[2]对账明细接口!$L$324),"")</f>
        <v/>
      </c>
      <c r="M324" s="59" t="str">
        <f aca="false">IFERROR(IF([2]对账明细接口!$M$324=0,"",[2]对账明细接口!$M$324),"")</f>
        <v/>
      </c>
      <c r="N324" s="111" t="n">
        <f aca="false">IF($C324="",0,1)</f>
        <v>0</v>
      </c>
      <c r="O324" s="111" t="n">
        <f aca="false">N(O323)+$N324</f>
        <v>311</v>
      </c>
      <c r="S324" s="10" t="str">
        <f aca="false">IFERROR(IF([2]对账明细接口!$N324=0,"",[2]对账明细接口!$N324),"")</f>
        <v/>
      </c>
      <c r="T324" s="112" t="str">
        <f aca="false">IFERROR(IF([2]对账明细接口!$O324=0,"",[2]对账明细接口!$O324),"")</f>
        <v/>
      </c>
      <c r="U324" s="112" t="str">
        <f aca="false">IFERROR(IF([2]对账明细接口!$P324=0,"",[2]对账明细接口!$P324),"")</f>
        <v/>
      </c>
      <c r="V324" s="112" t="str">
        <f aca="false">IFERROR(IF([2]对账明细接口!$Q324=0,"",[2]对账明细接口!$Q324),"")</f>
        <v/>
      </c>
      <c r="W324" s="10" t="str">
        <f aca="false">IFERROR(IF([2]对账明细接口!$R324=0,"",[2]对账明细接口!$R324),"")</f>
        <v/>
      </c>
      <c r="X324" s="10" t="str">
        <f aca="false">IFERROR(IF([2]对账明细接口!$S324=0,"",[2]对账明细接口!$S324),"")</f>
        <v/>
      </c>
      <c r="Y324" s="10" t="str">
        <f aca="false">IFERROR(IF([2]对账明细接口!$T324=0,"",[2]对账明细接口!$T324),"")</f>
        <v/>
      </c>
      <c r="Z324" s="113" t="str">
        <f aca="false">IFERROR(IF([2]对账明细接口!$U324=0,"",[2]对账明细接口!$U324),"")</f>
        <v/>
      </c>
      <c r="AA324" s="113" t="str">
        <f aca="false">IFERROR(IF([2]对账明细接口!$V324=0,"",[2]对账明细接口!$V324),"")</f>
        <v/>
      </c>
      <c r="AB324" s="10" t="str">
        <f aca="false">IFERROR(IF([2]对账明细接口!$W324=0,"",[2]对账明细接口!$W324),"")</f>
        <v/>
      </c>
      <c r="AC324" s="90" t="str">
        <f aca="false">IFERROR(IF([2]对账明细接口!$X325=0,"",[2]对账明细接口!$X325),"")</f>
        <v/>
      </c>
      <c r="AD324" s="90" t="str">
        <f aca="false">IFERROR(IF([2]对账明细接口!$Y325=0,"",[2]对账明细接口!$Y325),"")</f>
        <v/>
      </c>
      <c r="AE324" s="90" t="str">
        <f aca="false">IFERROR(IF([2]对账明细接口!$AA325=0,"",[2]对账明细接口!$AA325),"")</f>
        <v/>
      </c>
      <c r="AF324" s="90" t="str">
        <f aca="false">IFERROR(IF([2]对账明细接口!$AB325=0,"",[2]对账明细接口!$AB325),"")</f>
        <v/>
      </c>
      <c r="AG324" s="90" t="str">
        <f aca="false">IFERROR(IF([2]对账明细接口!$AC325=0,"",[2]对账明细接口!$AC325),"")</f>
        <v/>
      </c>
      <c r="AH324" s="90" t="str">
        <f aca="false">IFERROR(IF([2]对账明细接口!$AD325=0,"",[2]对账明细接口!$AD325),"")</f>
        <v/>
      </c>
    </row>
    <row r="325" customFormat="false" ht="13.5" hidden="false" customHeight="false" outlineLevel="0" collapsed="false">
      <c r="A325" s="109" t="n">
        <v>325</v>
      </c>
      <c r="B325" s="110" t="str">
        <f aca="false">IFERROR(IF([2]对账明细接口!$B$325=0,"",[2]对账明细接口!$B$325),"")</f>
        <v/>
      </c>
      <c r="C325" s="59" t="str">
        <f aca="false">IFERROR(IF([2]对账明细接口!$C$325=0,"",[2]对账明细接口!$C$325),"")</f>
        <v/>
      </c>
      <c r="D325" s="59" t="str">
        <f aca="false">IFERROR(IF([2]对账明细接口!$D$325=0,"",[2]对账明细接口!$D$325),"")</f>
        <v/>
      </c>
      <c r="E325" s="59" t="str">
        <f aca="false">IFERROR(IF([2]对账明细接口!$E$325=0,"",[2]对账明细接口!$E$325),"")</f>
        <v/>
      </c>
      <c r="F325" s="59" t="str">
        <f aca="false">IFERROR(IF([2]对账明细接口!$F$325=0,"",[2]对账明细接口!$F$325),"")</f>
        <v/>
      </c>
      <c r="G325" s="59" t="str">
        <f aca="false">IFERROR(IF([2]对账明细接口!$G$325=0,"",[2]对账明细接口!$G$325),"")</f>
        <v/>
      </c>
      <c r="H325" s="60" t="str">
        <f aca="false">IFERROR(IF([2]对账明细接口!$H$325=0,"",[2]对账明细接口!$H$325),"")</f>
        <v/>
      </c>
      <c r="I325" s="59" t="str">
        <f aca="false">IFERROR(IF([2]对账明细接口!$I$325=0,"",[2]对账明细接口!$I$325),"")</f>
        <v/>
      </c>
      <c r="J325" s="61" t="str">
        <f aca="false">IFERROR(IF([2]对账明细接口!$J$325=0,"",[2]对账明细接口!$J$325),"")</f>
        <v/>
      </c>
      <c r="K325" s="61" t="str">
        <f aca="false">IFERROR(IF([2]对账明细接口!$K$325=0,"",[2]对账明细接口!$K$325),"")</f>
        <v/>
      </c>
      <c r="L325" s="59" t="str">
        <f aca="false">IFERROR(IF([2]对账明细接口!$L$325=0,"",[2]对账明细接口!$L$325),"")</f>
        <v/>
      </c>
      <c r="M325" s="59" t="str">
        <f aca="false">IFERROR(IF([2]对账明细接口!$M$325=0,"",[2]对账明细接口!$M$325),"")</f>
        <v/>
      </c>
      <c r="N325" s="111" t="n">
        <f aca="false">IF($C325="",0,1)</f>
        <v>0</v>
      </c>
      <c r="O325" s="111" t="n">
        <f aca="false">N(O324)+$N325</f>
        <v>311</v>
      </c>
      <c r="S325" s="10" t="str">
        <f aca="false">IFERROR(IF([2]对账明细接口!$N325=0,"",[2]对账明细接口!$N325),"")</f>
        <v/>
      </c>
      <c r="T325" s="112" t="str">
        <f aca="false">IFERROR(IF([2]对账明细接口!$O325=0,"",[2]对账明细接口!$O325),"")</f>
        <v/>
      </c>
      <c r="U325" s="112" t="str">
        <f aca="false">IFERROR(IF([2]对账明细接口!$P325=0,"",[2]对账明细接口!$P325),"")</f>
        <v/>
      </c>
      <c r="V325" s="112" t="str">
        <f aca="false">IFERROR(IF([2]对账明细接口!$Q325=0,"",[2]对账明细接口!$Q325),"")</f>
        <v/>
      </c>
      <c r="W325" s="10" t="str">
        <f aca="false">IFERROR(IF([2]对账明细接口!$R325=0,"",[2]对账明细接口!$R325),"")</f>
        <v/>
      </c>
      <c r="X325" s="10" t="str">
        <f aca="false">IFERROR(IF([2]对账明细接口!$S325=0,"",[2]对账明细接口!$S325),"")</f>
        <v/>
      </c>
      <c r="Y325" s="10" t="str">
        <f aca="false">IFERROR(IF([2]对账明细接口!$T325=0,"",[2]对账明细接口!$T325),"")</f>
        <v/>
      </c>
      <c r="Z325" s="113" t="str">
        <f aca="false">IFERROR(IF([2]对账明细接口!$U325=0,"",[2]对账明细接口!$U325),"")</f>
        <v/>
      </c>
      <c r="AA325" s="113" t="str">
        <f aca="false">IFERROR(IF([2]对账明细接口!$V325=0,"",[2]对账明细接口!$V325),"")</f>
        <v/>
      </c>
      <c r="AB325" s="10" t="str">
        <f aca="false">IFERROR(IF([2]对账明细接口!$W325=0,"",[2]对账明细接口!$W325),"")</f>
        <v/>
      </c>
      <c r="AC325" s="90" t="str">
        <f aca="false">IFERROR(IF([2]对账明细接口!$X326=0,"",[2]对账明细接口!$X326),"")</f>
        <v/>
      </c>
      <c r="AD325" s="90" t="str">
        <f aca="false">IFERROR(IF([2]对账明细接口!$Y326=0,"",[2]对账明细接口!$Y326),"")</f>
        <v/>
      </c>
      <c r="AE325" s="90" t="str">
        <f aca="false">IFERROR(IF([2]对账明细接口!$AA326=0,"",[2]对账明细接口!$AA326),"")</f>
        <v/>
      </c>
      <c r="AF325" s="90" t="str">
        <f aca="false">IFERROR(IF([2]对账明细接口!$AB326=0,"",[2]对账明细接口!$AB326),"")</f>
        <v/>
      </c>
      <c r="AG325" s="90" t="str">
        <f aca="false">IFERROR(IF([2]对账明细接口!$AC326=0,"",[2]对账明细接口!$AC326),"")</f>
        <v/>
      </c>
      <c r="AH325" s="90" t="str">
        <f aca="false">IFERROR(IF([2]对账明细接口!$AD326=0,"",[2]对账明细接口!$AD326),"")</f>
        <v/>
      </c>
    </row>
    <row r="326" customFormat="false" ht="13.5" hidden="false" customHeight="false" outlineLevel="0" collapsed="false">
      <c r="A326" s="109" t="n">
        <v>326</v>
      </c>
      <c r="B326" s="110" t="str">
        <f aca="false">IFERROR(IF([2]对账明细接口!$B$326=0,"",[2]对账明细接口!$B$326),"")</f>
        <v/>
      </c>
      <c r="C326" s="59" t="str">
        <f aca="false">IFERROR(IF([2]对账明细接口!$C$326=0,"",[2]对账明细接口!$C$326),"")</f>
        <v/>
      </c>
      <c r="D326" s="59" t="str">
        <f aca="false">IFERROR(IF([2]对账明细接口!$D$326=0,"",[2]对账明细接口!$D$326),"")</f>
        <v/>
      </c>
      <c r="E326" s="59" t="str">
        <f aca="false">IFERROR(IF([2]对账明细接口!$E$326=0,"",[2]对账明细接口!$E$326),"")</f>
        <v/>
      </c>
      <c r="F326" s="59" t="str">
        <f aca="false">IFERROR(IF([2]对账明细接口!$F$326=0,"",[2]对账明细接口!$F$326),"")</f>
        <v/>
      </c>
      <c r="G326" s="59" t="str">
        <f aca="false">IFERROR(IF([2]对账明细接口!$G$326=0,"",[2]对账明细接口!$G$326),"")</f>
        <v/>
      </c>
      <c r="H326" s="60" t="str">
        <f aca="false">IFERROR(IF([2]对账明细接口!$H$326=0,"",[2]对账明细接口!$H$326),"")</f>
        <v/>
      </c>
      <c r="I326" s="59" t="str">
        <f aca="false">IFERROR(IF([2]对账明细接口!$I$326=0,"",[2]对账明细接口!$I$326),"")</f>
        <v/>
      </c>
      <c r="J326" s="61" t="str">
        <f aca="false">IFERROR(IF([2]对账明细接口!$J$326=0,"",[2]对账明细接口!$J$326),"")</f>
        <v/>
      </c>
      <c r="K326" s="61" t="str">
        <f aca="false">IFERROR(IF([2]对账明细接口!$K$326=0,"",[2]对账明细接口!$K$326),"")</f>
        <v/>
      </c>
      <c r="L326" s="59" t="str">
        <f aca="false">IFERROR(IF([2]对账明细接口!$L$326=0,"",[2]对账明细接口!$L$326),"")</f>
        <v/>
      </c>
      <c r="M326" s="59" t="str">
        <f aca="false">IFERROR(IF([2]对账明细接口!$M$326=0,"",[2]对账明细接口!$M$326),"")</f>
        <v/>
      </c>
      <c r="N326" s="111" t="n">
        <f aca="false">IF($C326="",0,1)</f>
        <v>0</v>
      </c>
      <c r="O326" s="111" t="n">
        <f aca="false">N(O325)+$N326</f>
        <v>311</v>
      </c>
      <c r="S326" s="10" t="str">
        <f aca="false">IFERROR(IF([2]对账明细接口!$N326=0,"",[2]对账明细接口!$N326),"")</f>
        <v/>
      </c>
      <c r="T326" s="112" t="str">
        <f aca="false">IFERROR(IF([2]对账明细接口!$O326=0,"",[2]对账明细接口!$O326),"")</f>
        <v/>
      </c>
      <c r="U326" s="112" t="str">
        <f aca="false">IFERROR(IF([2]对账明细接口!$P326=0,"",[2]对账明细接口!$P326),"")</f>
        <v/>
      </c>
      <c r="V326" s="112" t="str">
        <f aca="false">IFERROR(IF([2]对账明细接口!$Q326=0,"",[2]对账明细接口!$Q326),"")</f>
        <v/>
      </c>
      <c r="W326" s="10" t="str">
        <f aca="false">IFERROR(IF([2]对账明细接口!$R326=0,"",[2]对账明细接口!$R326),"")</f>
        <v/>
      </c>
      <c r="X326" s="10" t="str">
        <f aca="false">IFERROR(IF([2]对账明细接口!$S326=0,"",[2]对账明细接口!$S326),"")</f>
        <v/>
      </c>
      <c r="Y326" s="10" t="str">
        <f aca="false">IFERROR(IF([2]对账明细接口!$T326=0,"",[2]对账明细接口!$T326),"")</f>
        <v/>
      </c>
      <c r="Z326" s="113" t="str">
        <f aca="false">IFERROR(IF([2]对账明细接口!$U326=0,"",[2]对账明细接口!$U326),"")</f>
        <v/>
      </c>
      <c r="AA326" s="113" t="str">
        <f aca="false">IFERROR(IF([2]对账明细接口!$V326=0,"",[2]对账明细接口!$V326),"")</f>
        <v/>
      </c>
      <c r="AB326" s="10" t="str">
        <f aca="false">IFERROR(IF([2]对账明细接口!$W326=0,"",[2]对账明细接口!$W326),"")</f>
        <v/>
      </c>
      <c r="AC326" s="90" t="str">
        <f aca="false">IFERROR(IF([2]对账明细接口!$X327=0,"",[2]对账明细接口!$X327),"")</f>
        <v/>
      </c>
      <c r="AD326" s="90" t="str">
        <f aca="false">IFERROR(IF([2]对账明细接口!$Y327=0,"",[2]对账明细接口!$Y327),"")</f>
        <v/>
      </c>
      <c r="AE326" s="90" t="str">
        <f aca="false">IFERROR(IF([2]对账明细接口!$AA327=0,"",[2]对账明细接口!$AA327),"")</f>
        <v/>
      </c>
      <c r="AF326" s="90" t="str">
        <f aca="false">IFERROR(IF([2]对账明细接口!$AB327=0,"",[2]对账明细接口!$AB327),"")</f>
        <v/>
      </c>
      <c r="AG326" s="90" t="str">
        <f aca="false">IFERROR(IF([2]对账明细接口!$AC327=0,"",[2]对账明细接口!$AC327),"")</f>
        <v/>
      </c>
      <c r="AH326" s="90" t="str">
        <f aca="false">IFERROR(IF([2]对账明细接口!$AD327=0,"",[2]对账明细接口!$AD327),"")</f>
        <v/>
      </c>
    </row>
    <row r="327" customFormat="false" ht="13.5" hidden="false" customHeight="false" outlineLevel="0" collapsed="false">
      <c r="A327" s="109" t="n">
        <v>327</v>
      </c>
      <c r="B327" s="110" t="str">
        <f aca="false">IFERROR(IF([2]对账明细接口!$B$327=0,"",[2]对账明细接口!$B$327),"")</f>
        <v/>
      </c>
      <c r="C327" s="59" t="str">
        <f aca="false">IFERROR(IF([2]对账明细接口!$C$327=0,"",[2]对账明细接口!$C$327),"")</f>
        <v/>
      </c>
      <c r="D327" s="59" t="str">
        <f aca="false">IFERROR(IF([2]对账明细接口!$D$327=0,"",[2]对账明细接口!$D$327),"")</f>
        <v/>
      </c>
      <c r="E327" s="59" t="str">
        <f aca="false">IFERROR(IF([2]对账明细接口!$E$327=0,"",[2]对账明细接口!$E$327),"")</f>
        <v/>
      </c>
      <c r="F327" s="59" t="str">
        <f aca="false">IFERROR(IF([2]对账明细接口!$F$327=0,"",[2]对账明细接口!$F$327),"")</f>
        <v/>
      </c>
      <c r="G327" s="59" t="str">
        <f aca="false">IFERROR(IF([2]对账明细接口!$G$327=0,"",[2]对账明细接口!$G$327),"")</f>
        <v/>
      </c>
      <c r="H327" s="60" t="str">
        <f aca="false">IFERROR(IF([2]对账明细接口!$H$327=0,"",[2]对账明细接口!$H$327),"")</f>
        <v/>
      </c>
      <c r="I327" s="59" t="str">
        <f aca="false">IFERROR(IF([2]对账明细接口!$I$327=0,"",[2]对账明细接口!$I$327),"")</f>
        <v/>
      </c>
      <c r="J327" s="61" t="str">
        <f aca="false">IFERROR(IF([2]对账明细接口!$J$327=0,"",[2]对账明细接口!$J$327),"")</f>
        <v/>
      </c>
      <c r="K327" s="61" t="str">
        <f aca="false">IFERROR(IF([2]对账明细接口!$K$327=0,"",[2]对账明细接口!$K$327),"")</f>
        <v/>
      </c>
      <c r="L327" s="59" t="str">
        <f aca="false">IFERROR(IF([2]对账明细接口!$L$327=0,"",[2]对账明细接口!$L$327),"")</f>
        <v/>
      </c>
      <c r="M327" s="59" t="str">
        <f aca="false">IFERROR(IF([2]对账明细接口!$M$327=0,"",[2]对账明细接口!$M$327),"")</f>
        <v/>
      </c>
      <c r="N327" s="111" t="n">
        <f aca="false">IF($C327="",0,1)</f>
        <v>0</v>
      </c>
      <c r="O327" s="111" t="n">
        <f aca="false">N(O326)+$N327</f>
        <v>311</v>
      </c>
      <c r="S327" s="10" t="str">
        <f aca="false">IFERROR(IF([2]对账明细接口!$N327=0,"",[2]对账明细接口!$N327),"")</f>
        <v/>
      </c>
      <c r="T327" s="112" t="str">
        <f aca="false">IFERROR(IF([2]对账明细接口!$O327=0,"",[2]对账明细接口!$O327),"")</f>
        <v/>
      </c>
      <c r="U327" s="112" t="str">
        <f aca="false">IFERROR(IF([2]对账明细接口!$P327=0,"",[2]对账明细接口!$P327),"")</f>
        <v/>
      </c>
      <c r="V327" s="112" t="str">
        <f aca="false">IFERROR(IF([2]对账明细接口!$Q327=0,"",[2]对账明细接口!$Q327),"")</f>
        <v/>
      </c>
      <c r="W327" s="10" t="str">
        <f aca="false">IFERROR(IF([2]对账明细接口!$R327=0,"",[2]对账明细接口!$R327),"")</f>
        <v/>
      </c>
      <c r="X327" s="10" t="str">
        <f aca="false">IFERROR(IF([2]对账明细接口!$S327=0,"",[2]对账明细接口!$S327),"")</f>
        <v/>
      </c>
      <c r="Y327" s="10" t="str">
        <f aca="false">IFERROR(IF([2]对账明细接口!$T327=0,"",[2]对账明细接口!$T327),"")</f>
        <v/>
      </c>
      <c r="Z327" s="113" t="str">
        <f aca="false">IFERROR(IF([2]对账明细接口!$U327=0,"",[2]对账明细接口!$U327),"")</f>
        <v/>
      </c>
      <c r="AA327" s="113" t="str">
        <f aca="false">IFERROR(IF([2]对账明细接口!$V327=0,"",[2]对账明细接口!$V327),"")</f>
        <v/>
      </c>
      <c r="AB327" s="10" t="str">
        <f aca="false">IFERROR(IF([2]对账明细接口!$W327=0,"",[2]对账明细接口!$W327),"")</f>
        <v/>
      </c>
      <c r="AC327" s="90" t="str">
        <f aca="false">IFERROR(IF([2]对账明细接口!$X328=0,"",[2]对账明细接口!$X328),"")</f>
        <v/>
      </c>
      <c r="AD327" s="90" t="str">
        <f aca="false">IFERROR(IF([2]对账明细接口!$Y328=0,"",[2]对账明细接口!$Y328),"")</f>
        <v/>
      </c>
      <c r="AE327" s="90" t="str">
        <f aca="false">IFERROR(IF([2]对账明细接口!$AA328=0,"",[2]对账明细接口!$AA328),"")</f>
        <v/>
      </c>
      <c r="AF327" s="90" t="str">
        <f aca="false">IFERROR(IF([2]对账明细接口!$AB328=0,"",[2]对账明细接口!$AB328),"")</f>
        <v/>
      </c>
      <c r="AG327" s="90" t="str">
        <f aca="false">IFERROR(IF([2]对账明细接口!$AC328=0,"",[2]对账明细接口!$AC328),"")</f>
        <v/>
      </c>
      <c r="AH327" s="90" t="str">
        <f aca="false">IFERROR(IF([2]对账明细接口!$AD328=0,"",[2]对账明细接口!$AD328),"")</f>
        <v/>
      </c>
    </row>
    <row r="328" customFormat="false" ht="13.5" hidden="false" customHeight="false" outlineLevel="0" collapsed="false">
      <c r="A328" s="109" t="n">
        <v>328</v>
      </c>
      <c r="B328" s="110" t="str">
        <f aca="false">IFERROR(IF([2]对账明细接口!$B$328=0,"",[2]对账明细接口!$B$328),"")</f>
        <v/>
      </c>
      <c r="C328" s="59" t="str">
        <f aca="false">IFERROR(IF([2]对账明细接口!$C$328=0,"",[2]对账明细接口!$C$328),"")</f>
        <v/>
      </c>
      <c r="D328" s="59" t="str">
        <f aca="false">IFERROR(IF([2]对账明细接口!$D$328=0,"",[2]对账明细接口!$D$328),"")</f>
        <v/>
      </c>
      <c r="E328" s="59" t="str">
        <f aca="false">IFERROR(IF([2]对账明细接口!$E$328=0,"",[2]对账明细接口!$E$328),"")</f>
        <v/>
      </c>
      <c r="F328" s="59" t="str">
        <f aca="false">IFERROR(IF([2]对账明细接口!$F$328=0,"",[2]对账明细接口!$F$328),"")</f>
        <v/>
      </c>
      <c r="G328" s="59" t="str">
        <f aca="false">IFERROR(IF([2]对账明细接口!$G$328=0,"",[2]对账明细接口!$G$328),"")</f>
        <v/>
      </c>
      <c r="H328" s="60" t="str">
        <f aca="false">IFERROR(IF([2]对账明细接口!$H$328=0,"",[2]对账明细接口!$H$328),"")</f>
        <v/>
      </c>
      <c r="I328" s="59" t="str">
        <f aca="false">IFERROR(IF([2]对账明细接口!$I$328=0,"",[2]对账明细接口!$I$328),"")</f>
        <v/>
      </c>
      <c r="J328" s="61" t="str">
        <f aca="false">IFERROR(IF([2]对账明细接口!$J$328=0,"",[2]对账明细接口!$J$328),"")</f>
        <v/>
      </c>
      <c r="K328" s="61" t="str">
        <f aca="false">IFERROR(IF([2]对账明细接口!$K$328=0,"",[2]对账明细接口!$K$328),"")</f>
        <v/>
      </c>
      <c r="L328" s="59" t="str">
        <f aca="false">IFERROR(IF([2]对账明细接口!$L$328=0,"",[2]对账明细接口!$L$328),"")</f>
        <v/>
      </c>
      <c r="M328" s="59" t="str">
        <f aca="false">IFERROR(IF([2]对账明细接口!$M$328=0,"",[2]对账明细接口!$M$328),"")</f>
        <v/>
      </c>
      <c r="N328" s="111" t="n">
        <f aca="false">IF($C328="",0,1)</f>
        <v>0</v>
      </c>
      <c r="O328" s="111" t="n">
        <f aca="false">N(O327)+$N328</f>
        <v>311</v>
      </c>
      <c r="S328" s="10" t="str">
        <f aca="false">IFERROR(IF([2]对账明细接口!$N328=0,"",[2]对账明细接口!$N328),"")</f>
        <v/>
      </c>
      <c r="T328" s="112" t="str">
        <f aca="false">IFERROR(IF([2]对账明细接口!$O328=0,"",[2]对账明细接口!$O328),"")</f>
        <v/>
      </c>
      <c r="U328" s="112" t="str">
        <f aca="false">IFERROR(IF([2]对账明细接口!$P328=0,"",[2]对账明细接口!$P328),"")</f>
        <v/>
      </c>
      <c r="V328" s="112" t="str">
        <f aca="false">IFERROR(IF([2]对账明细接口!$Q328=0,"",[2]对账明细接口!$Q328),"")</f>
        <v/>
      </c>
      <c r="W328" s="10" t="str">
        <f aca="false">IFERROR(IF([2]对账明细接口!$R328=0,"",[2]对账明细接口!$R328),"")</f>
        <v/>
      </c>
      <c r="X328" s="10" t="str">
        <f aca="false">IFERROR(IF([2]对账明细接口!$S328=0,"",[2]对账明细接口!$S328),"")</f>
        <v/>
      </c>
      <c r="Y328" s="10" t="str">
        <f aca="false">IFERROR(IF([2]对账明细接口!$T328=0,"",[2]对账明细接口!$T328),"")</f>
        <v/>
      </c>
      <c r="Z328" s="113" t="str">
        <f aca="false">IFERROR(IF([2]对账明细接口!$U328=0,"",[2]对账明细接口!$U328),"")</f>
        <v/>
      </c>
      <c r="AA328" s="113" t="str">
        <f aca="false">IFERROR(IF([2]对账明细接口!$V328=0,"",[2]对账明细接口!$V328),"")</f>
        <v/>
      </c>
      <c r="AB328" s="10" t="str">
        <f aca="false">IFERROR(IF([2]对账明细接口!$W328=0,"",[2]对账明细接口!$W328),"")</f>
        <v/>
      </c>
      <c r="AC328" s="90" t="str">
        <f aca="false">IFERROR(IF([2]对账明细接口!$X329=0,"",[2]对账明细接口!$X329),"")</f>
        <v/>
      </c>
      <c r="AD328" s="90" t="str">
        <f aca="false">IFERROR(IF([2]对账明细接口!$Y329=0,"",[2]对账明细接口!$Y329),"")</f>
        <v/>
      </c>
      <c r="AE328" s="90" t="str">
        <f aca="false">IFERROR(IF([2]对账明细接口!$AA329=0,"",[2]对账明细接口!$AA329),"")</f>
        <v/>
      </c>
      <c r="AF328" s="90" t="str">
        <f aca="false">IFERROR(IF([2]对账明细接口!$AB329=0,"",[2]对账明细接口!$AB329),"")</f>
        <v/>
      </c>
      <c r="AG328" s="90" t="str">
        <f aca="false">IFERROR(IF([2]对账明细接口!$AC329=0,"",[2]对账明细接口!$AC329),"")</f>
        <v/>
      </c>
      <c r="AH328" s="90" t="str">
        <f aca="false">IFERROR(IF([2]对账明细接口!$AD329=0,"",[2]对账明细接口!$AD329),"")</f>
        <v/>
      </c>
    </row>
    <row r="329" customFormat="false" ht="13.5" hidden="false" customHeight="false" outlineLevel="0" collapsed="false">
      <c r="A329" s="109" t="n">
        <v>329</v>
      </c>
      <c r="B329" s="110" t="str">
        <f aca="false">IFERROR(IF([2]对账明细接口!$B$329=0,"",[2]对账明细接口!$B$329),"")</f>
        <v/>
      </c>
      <c r="C329" s="59" t="str">
        <f aca="false">IFERROR(IF([2]对账明细接口!$C$329=0,"",[2]对账明细接口!$C$329),"")</f>
        <v/>
      </c>
      <c r="D329" s="59" t="str">
        <f aca="false">IFERROR(IF([2]对账明细接口!$D$329=0,"",[2]对账明细接口!$D$329),"")</f>
        <v/>
      </c>
      <c r="E329" s="59" t="str">
        <f aca="false">IFERROR(IF([2]对账明细接口!$E$329=0,"",[2]对账明细接口!$E$329),"")</f>
        <v/>
      </c>
      <c r="F329" s="59" t="str">
        <f aca="false">IFERROR(IF([2]对账明细接口!$F$329=0,"",[2]对账明细接口!$F$329),"")</f>
        <v/>
      </c>
      <c r="G329" s="59" t="str">
        <f aca="false">IFERROR(IF([2]对账明细接口!$G$329=0,"",[2]对账明细接口!$G$329),"")</f>
        <v/>
      </c>
      <c r="H329" s="60" t="str">
        <f aca="false">IFERROR(IF([2]对账明细接口!$H$329=0,"",[2]对账明细接口!$H$329),"")</f>
        <v/>
      </c>
      <c r="I329" s="59" t="str">
        <f aca="false">IFERROR(IF([2]对账明细接口!$I$329=0,"",[2]对账明细接口!$I$329),"")</f>
        <v/>
      </c>
      <c r="J329" s="61" t="str">
        <f aca="false">IFERROR(IF([2]对账明细接口!$J$329=0,"",[2]对账明细接口!$J$329),"")</f>
        <v/>
      </c>
      <c r="K329" s="61" t="str">
        <f aca="false">IFERROR(IF([2]对账明细接口!$K$329=0,"",[2]对账明细接口!$K$329),"")</f>
        <v/>
      </c>
      <c r="L329" s="59" t="str">
        <f aca="false">IFERROR(IF([2]对账明细接口!$L$329=0,"",[2]对账明细接口!$L$329),"")</f>
        <v/>
      </c>
      <c r="M329" s="59" t="str">
        <f aca="false">IFERROR(IF([2]对账明细接口!$M$329=0,"",[2]对账明细接口!$M$329),"")</f>
        <v/>
      </c>
      <c r="N329" s="111" t="n">
        <f aca="false">IF($C329="",0,1)</f>
        <v>0</v>
      </c>
      <c r="O329" s="111" t="n">
        <f aca="false">N(O328)+$N329</f>
        <v>311</v>
      </c>
      <c r="S329" s="10" t="str">
        <f aca="false">IFERROR(IF([2]对账明细接口!$N329=0,"",[2]对账明细接口!$N329),"")</f>
        <v/>
      </c>
      <c r="T329" s="112" t="str">
        <f aca="false">IFERROR(IF([2]对账明细接口!$O329=0,"",[2]对账明细接口!$O329),"")</f>
        <v/>
      </c>
      <c r="U329" s="112" t="str">
        <f aca="false">IFERROR(IF([2]对账明细接口!$P329=0,"",[2]对账明细接口!$P329),"")</f>
        <v/>
      </c>
      <c r="V329" s="112" t="str">
        <f aca="false">IFERROR(IF([2]对账明细接口!$Q329=0,"",[2]对账明细接口!$Q329),"")</f>
        <v/>
      </c>
      <c r="W329" s="10" t="str">
        <f aca="false">IFERROR(IF([2]对账明细接口!$R329=0,"",[2]对账明细接口!$R329),"")</f>
        <v/>
      </c>
      <c r="X329" s="10" t="str">
        <f aca="false">IFERROR(IF([2]对账明细接口!$S329=0,"",[2]对账明细接口!$S329),"")</f>
        <v/>
      </c>
      <c r="Y329" s="10" t="str">
        <f aca="false">IFERROR(IF([2]对账明细接口!$T329=0,"",[2]对账明细接口!$T329),"")</f>
        <v/>
      </c>
      <c r="Z329" s="113" t="str">
        <f aca="false">IFERROR(IF([2]对账明细接口!$U329=0,"",[2]对账明细接口!$U329),"")</f>
        <v/>
      </c>
      <c r="AA329" s="113" t="str">
        <f aca="false">IFERROR(IF([2]对账明细接口!$V329=0,"",[2]对账明细接口!$V329),"")</f>
        <v/>
      </c>
      <c r="AB329" s="10" t="str">
        <f aca="false">IFERROR(IF([2]对账明细接口!$W329=0,"",[2]对账明细接口!$W329),"")</f>
        <v/>
      </c>
      <c r="AC329" s="90" t="str">
        <f aca="false">IFERROR(IF([2]对账明细接口!$X330=0,"",[2]对账明细接口!$X330),"")</f>
        <v/>
      </c>
      <c r="AD329" s="90" t="str">
        <f aca="false">IFERROR(IF([2]对账明细接口!$Y330=0,"",[2]对账明细接口!$Y330),"")</f>
        <v/>
      </c>
      <c r="AE329" s="90" t="str">
        <f aca="false">IFERROR(IF([2]对账明细接口!$AA330=0,"",[2]对账明细接口!$AA330),"")</f>
        <v/>
      </c>
      <c r="AF329" s="90" t="str">
        <f aca="false">IFERROR(IF([2]对账明细接口!$AB330=0,"",[2]对账明细接口!$AB330),"")</f>
        <v/>
      </c>
      <c r="AG329" s="90" t="str">
        <f aca="false">IFERROR(IF([2]对账明细接口!$AC330=0,"",[2]对账明细接口!$AC330),"")</f>
        <v/>
      </c>
      <c r="AH329" s="90" t="str">
        <f aca="false">IFERROR(IF([2]对账明细接口!$AD330=0,"",[2]对账明细接口!$AD330),"")</f>
        <v/>
      </c>
    </row>
    <row r="330" customFormat="false" ht="13.5" hidden="false" customHeight="false" outlineLevel="0" collapsed="false">
      <c r="A330" s="109" t="n">
        <v>330</v>
      </c>
      <c r="B330" s="110" t="str">
        <f aca="false">IFERROR(IF([2]对账明细接口!$B$330=0,"",[2]对账明细接口!$B$330),"")</f>
        <v/>
      </c>
      <c r="C330" s="59" t="str">
        <f aca="false">IFERROR(IF([2]对账明细接口!$C$330=0,"",[2]对账明细接口!$C$330),"")</f>
        <v/>
      </c>
      <c r="D330" s="59" t="str">
        <f aca="false">IFERROR(IF([2]对账明细接口!$D$330=0,"",[2]对账明细接口!$D$330),"")</f>
        <v/>
      </c>
      <c r="E330" s="59" t="str">
        <f aca="false">IFERROR(IF([2]对账明细接口!$E$330=0,"",[2]对账明细接口!$E$330),"")</f>
        <v/>
      </c>
      <c r="F330" s="59" t="str">
        <f aca="false">IFERROR(IF([2]对账明细接口!$F$330=0,"",[2]对账明细接口!$F$330),"")</f>
        <v/>
      </c>
      <c r="G330" s="59" t="str">
        <f aca="false">IFERROR(IF([2]对账明细接口!$G$330=0,"",[2]对账明细接口!$G$330),"")</f>
        <v/>
      </c>
      <c r="H330" s="60" t="str">
        <f aca="false">IFERROR(IF([2]对账明细接口!$H$330=0,"",[2]对账明细接口!$H$330),"")</f>
        <v/>
      </c>
      <c r="I330" s="59" t="str">
        <f aca="false">IFERROR(IF([2]对账明细接口!$I$330=0,"",[2]对账明细接口!$I$330),"")</f>
        <v/>
      </c>
      <c r="J330" s="61" t="str">
        <f aca="false">IFERROR(IF([2]对账明细接口!$J$330=0,"",[2]对账明细接口!$J$330),"")</f>
        <v/>
      </c>
      <c r="K330" s="61" t="str">
        <f aca="false">IFERROR(IF([2]对账明细接口!$K$330=0,"",[2]对账明细接口!$K$330),"")</f>
        <v/>
      </c>
      <c r="L330" s="59" t="str">
        <f aca="false">IFERROR(IF([2]对账明细接口!$L$330=0,"",[2]对账明细接口!$L$330),"")</f>
        <v/>
      </c>
      <c r="M330" s="59" t="str">
        <f aca="false">IFERROR(IF([2]对账明细接口!$M$330=0,"",[2]对账明细接口!$M$330),"")</f>
        <v/>
      </c>
      <c r="N330" s="111" t="n">
        <f aca="false">IF($C330="",0,1)</f>
        <v>0</v>
      </c>
      <c r="O330" s="111" t="n">
        <f aca="false">N(O329)+$N330</f>
        <v>311</v>
      </c>
      <c r="S330" s="10" t="str">
        <f aca="false">IFERROR(IF([2]对账明细接口!$N330=0,"",[2]对账明细接口!$N330),"")</f>
        <v/>
      </c>
      <c r="T330" s="112" t="str">
        <f aca="false">IFERROR(IF([2]对账明细接口!$O330=0,"",[2]对账明细接口!$O330),"")</f>
        <v/>
      </c>
      <c r="U330" s="112" t="str">
        <f aca="false">IFERROR(IF([2]对账明细接口!$P330=0,"",[2]对账明细接口!$P330),"")</f>
        <v/>
      </c>
      <c r="V330" s="112" t="str">
        <f aca="false">IFERROR(IF([2]对账明细接口!$Q330=0,"",[2]对账明细接口!$Q330),"")</f>
        <v/>
      </c>
      <c r="W330" s="10" t="str">
        <f aca="false">IFERROR(IF([2]对账明细接口!$R330=0,"",[2]对账明细接口!$R330),"")</f>
        <v/>
      </c>
      <c r="X330" s="10" t="str">
        <f aca="false">IFERROR(IF([2]对账明细接口!$S330=0,"",[2]对账明细接口!$S330),"")</f>
        <v/>
      </c>
      <c r="Y330" s="10" t="str">
        <f aca="false">IFERROR(IF([2]对账明细接口!$T330=0,"",[2]对账明细接口!$T330),"")</f>
        <v/>
      </c>
      <c r="Z330" s="113" t="str">
        <f aca="false">IFERROR(IF([2]对账明细接口!$U330=0,"",[2]对账明细接口!$U330),"")</f>
        <v/>
      </c>
      <c r="AA330" s="113" t="str">
        <f aca="false">IFERROR(IF([2]对账明细接口!$V330=0,"",[2]对账明细接口!$V330),"")</f>
        <v/>
      </c>
      <c r="AB330" s="10" t="str">
        <f aca="false">IFERROR(IF([2]对账明细接口!$W330=0,"",[2]对账明细接口!$W330),"")</f>
        <v/>
      </c>
      <c r="AC330" s="90" t="str">
        <f aca="false">IFERROR(IF([2]对账明细接口!$X331=0,"",[2]对账明细接口!$X331),"")</f>
        <v/>
      </c>
      <c r="AD330" s="90" t="str">
        <f aca="false">IFERROR(IF([2]对账明细接口!$Y331=0,"",[2]对账明细接口!$Y331),"")</f>
        <v/>
      </c>
      <c r="AE330" s="90" t="str">
        <f aca="false">IFERROR(IF([2]对账明细接口!$AA331=0,"",[2]对账明细接口!$AA331),"")</f>
        <v/>
      </c>
      <c r="AF330" s="90" t="str">
        <f aca="false">IFERROR(IF([2]对账明细接口!$AB331=0,"",[2]对账明细接口!$AB331),"")</f>
        <v/>
      </c>
      <c r="AG330" s="90" t="str">
        <f aca="false">IFERROR(IF([2]对账明细接口!$AC331=0,"",[2]对账明细接口!$AC331),"")</f>
        <v/>
      </c>
      <c r="AH330" s="90" t="str">
        <f aca="false">IFERROR(IF([2]对账明细接口!$AD331=0,"",[2]对账明细接口!$AD331),"")</f>
        <v/>
      </c>
    </row>
    <row r="331" customFormat="false" ht="13.5" hidden="false" customHeight="false" outlineLevel="0" collapsed="false">
      <c r="A331" s="109" t="n">
        <v>331</v>
      </c>
      <c r="B331" s="110" t="str">
        <f aca="false">IFERROR(IF([2]对账明细接口!$B$331=0,"",[2]对账明细接口!$B$331),"")</f>
        <v/>
      </c>
      <c r="C331" s="59" t="str">
        <f aca="false">IFERROR(IF([2]对账明细接口!$C$331=0,"",[2]对账明细接口!$C$331),"")</f>
        <v/>
      </c>
      <c r="D331" s="59" t="str">
        <f aca="false">IFERROR(IF([2]对账明细接口!$D$331=0,"",[2]对账明细接口!$D$331),"")</f>
        <v/>
      </c>
      <c r="E331" s="59" t="str">
        <f aca="false">IFERROR(IF([2]对账明细接口!$E$331=0,"",[2]对账明细接口!$E$331),"")</f>
        <v/>
      </c>
      <c r="F331" s="59" t="str">
        <f aca="false">IFERROR(IF([2]对账明细接口!$F$331=0,"",[2]对账明细接口!$F$331),"")</f>
        <v/>
      </c>
      <c r="G331" s="59" t="str">
        <f aca="false">IFERROR(IF([2]对账明细接口!$G$331=0,"",[2]对账明细接口!$G$331),"")</f>
        <v/>
      </c>
      <c r="H331" s="60" t="str">
        <f aca="false">IFERROR(IF([2]对账明细接口!$H$331=0,"",[2]对账明细接口!$H$331),"")</f>
        <v/>
      </c>
      <c r="I331" s="59" t="str">
        <f aca="false">IFERROR(IF([2]对账明细接口!$I$331=0,"",[2]对账明细接口!$I$331),"")</f>
        <v/>
      </c>
      <c r="J331" s="61" t="str">
        <f aca="false">IFERROR(IF([2]对账明细接口!$J$331=0,"",[2]对账明细接口!$J$331),"")</f>
        <v/>
      </c>
      <c r="K331" s="61" t="str">
        <f aca="false">IFERROR(IF([2]对账明细接口!$K$331=0,"",[2]对账明细接口!$K$331),"")</f>
        <v/>
      </c>
      <c r="L331" s="59" t="str">
        <f aca="false">IFERROR(IF([2]对账明细接口!$L$331=0,"",[2]对账明细接口!$L$331),"")</f>
        <v/>
      </c>
      <c r="M331" s="59" t="str">
        <f aca="false">IFERROR(IF([2]对账明细接口!$M$331=0,"",[2]对账明细接口!$M$331),"")</f>
        <v/>
      </c>
      <c r="N331" s="111" t="n">
        <f aca="false">IF($C331="",0,1)</f>
        <v>0</v>
      </c>
      <c r="O331" s="111" t="n">
        <f aca="false">N(O330)+$N331</f>
        <v>311</v>
      </c>
      <c r="S331" s="10" t="str">
        <f aca="false">IFERROR(IF([2]对账明细接口!$N331=0,"",[2]对账明细接口!$N331),"")</f>
        <v/>
      </c>
      <c r="T331" s="112" t="str">
        <f aca="false">IFERROR(IF([2]对账明细接口!$O331=0,"",[2]对账明细接口!$O331),"")</f>
        <v/>
      </c>
      <c r="U331" s="112" t="str">
        <f aca="false">IFERROR(IF([2]对账明细接口!$P331=0,"",[2]对账明细接口!$P331),"")</f>
        <v/>
      </c>
      <c r="V331" s="112" t="str">
        <f aca="false">IFERROR(IF([2]对账明细接口!$Q331=0,"",[2]对账明细接口!$Q331),"")</f>
        <v/>
      </c>
      <c r="W331" s="10" t="str">
        <f aca="false">IFERROR(IF([2]对账明细接口!$R331=0,"",[2]对账明细接口!$R331),"")</f>
        <v/>
      </c>
      <c r="X331" s="10" t="str">
        <f aca="false">IFERROR(IF([2]对账明细接口!$S331=0,"",[2]对账明细接口!$S331),"")</f>
        <v/>
      </c>
      <c r="Y331" s="10" t="str">
        <f aca="false">IFERROR(IF([2]对账明细接口!$T331=0,"",[2]对账明细接口!$T331),"")</f>
        <v/>
      </c>
      <c r="Z331" s="113" t="str">
        <f aca="false">IFERROR(IF([2]对账明细接口!$U331=0,"",[2]对账明细接口!$U331),"")</f>
        <v/>
      </c>
      <c r="AA331" s="113" t="str">
        <f aca="false">IFERROR(IF([2]对账明细接口!$V331=0,"",[2]对账明细接口!$V331),"")</f>
        <v/>
      </c>
      <c r="AB331" s="10" t="str">
        <f aca="false">IFERROR(IF([2]对账明细接口!$W331=0,"",[2]对账明细接口!$W331),"")</f>
        <v/>
      </c>
      <c r="AC331" s="90" t="str">
        <f aca="false">IFERROR(IF([2]对账明细接口!$X332=0,"",[2]对账明细接口!$X332),"")</f>
        <v/>
      </c>
      <c r="AD331" s="90" t="str">
        <f aca="false">IFERROR(IF([2]对账明细接口!$Y332=0,"",[2]对账明细接口!$Y332),"")</f>
        <v/>
      </c>
      <c r="AE331" s="90" t="str">
        <f aca="false">IFERROR(IF([2]对账明细接口!$AA332=0,"",[2]对账明细接口!$AA332),"")</f>
        <v/>
      </c>
      <c r="AF331" s="90" t="str">
        <f aca="false">IFERROR(IF([2]对账明细接口!$AB332=0,"",[2]对账明细接口!$AB332),"")</f>
        <v/>
      </c>
      <c r="AG331" s="90" t="str">
        <f aca="false">IFERROR(IF([2]对账明细接口!$AC332=0,"",[2]对账明细接口!$AC332),"")</f>
        <v/>
      </c>
      <c r="AH331" s="90" t="str">
        <f aca="false">IFERROR(IF([2]对账明细接口!$AD332=0,"",[2]对账明细接口!$AD332),"")</f>
        <v/>
      </c>
    </row>
    <row r="332" customFormat="false" ht="13.5" hidden="false" customHeight="false" outlineLevel="0" collapsed="false">
      <c r="A332" s="109" t="n">
        <v>332</v>
      </c>
      <c r="B332" s="110" t="str">
        <f aca="false">IFERROR(IF([2]对账明细接口!$B$332=0,"",[2]对账明细接口!$B$332),"")</f>
        <v/>
      </c>
      <c r="C332" s="59" t="str">
        <f aca="false">IFERROR(IF([2]对账明细接口!$C$332=0,"",[2]对账明细接口!$C$332),"")</f>
        <v/>
      </c>
      <c r="D332" s="59" t="str">
        <f aca="false">IFERROR(IF([2]对账明细接口!$D$332=0,"",[2]对账明细接口!$D$332),"")</f>
        <v/>
      </c>
      <c r="E332" s="59" t="str">
        <f aca="false">IFERROR(IF([2]对账明细接口!$E$332=0,"",[2]对账明细接口!$E$332),"")</f>
        <v/>
      </c>
      <c r="F332" s="59" t="str">
        <f aca="false">IFERROR(IF([2]对账明细接口!$F$332=0,"",[2]对账明细接口!$F$332),"")</f>
        <v/>
      </c>
      <c r="G332" s="59" t="str">
        <f aca="false">IFERROR(IF([2]对账明细接口!$G$332=0,"",[2]对账明细接口!$G$332),"")</f>
        <v/>
      </c>
      <c r="H332" s="60" t="str">
        <f aca="false">IFERROR(IF([2]对账明细接口!$H$332=0,"",[2]对账明细接口!$H$332),"")</f>
        <v/>
      </c>
      <c r="I332" s="59" t="str">
        <f aca="false">IFERROR(IF([2]对账明细接口!$I$332=0,"",[2]对账明细接口!$I$332),"")</f>
        <v/>
      </c>
      <c r="J332" s="61" t="str">
        <f aca="false">IFERROR(IF([2]对账明细接口!$J$332=0,"",[2]对账明细接口!$J$332),"")</f>
        <v/>
      </c>
      <c r="K332" s="61" t="str">
        <f aca="false">IFERROR(IF([2]对账明细接口!$K$332=0,"",[2]对账明细接口!$K$332),"")</f>
        <v/>
      </c>
      <c r="L332" s="59" t="str">
        <f aca="false">IFERROR(IF([2]对账明细接口!$L$332=0,"",[2]对账明细接口!$L$332),"")</f>
        <v/>
      </c>
      <c r="M332" s="59" t="str">
        <f aca="false">IFERROR(IF([2]对账明细接口!$M$332=0,"",[2]对账明细接口!$M$332),"")</f>
        <v/>
      </c>
      <c r="N332" s="111" t="n">
        <f aca="false">IF($C332="",0,1)</f>
        <v>0</v>
      </c>
      <c r="O332" s="111" t="n">
        <f aca="false">N(O331)+$N332</f>
        <v>311</v>
      </c>
      <c r="S332" s="10" t="str">
        <f aca="false">IFERROR(IF([2]对账明细接口!$N332=0,"",[2]对账明细接口!$N332),"")</f>
        <v/>
      </c>
      <c r="T332" s="112" t="str">
        <f aca="false">IFERROR(IF([2]对账明细接口!$O332=0,"",[2]对账明细接口!$O332),"")</f>
        <v/>
      </c>
      <c r="U332" s="112" t="str">
        <f aca="false">IFERROR(IF([2]对账明细接口!$P332=0,"",[2]对账明细接口!$P332),"")</f>
        <v/>
      </c>
      <c r="V332" s="112" t="str">
        <f aca="false">IFERROR(IF([2]对账明细接口!$Q332=0,"",[2]对账明细接口!$Q332),"")</f>
        <v/>
      </c>
      <c r="W332" s="10" t="str">
        <f aca="false">IFERROR(IF([2]对账明细接口!$R332=0,"",[2]对账明细接口!$R332),"")</f>
        <v/>
      </c>
      <c r="X332" s="10" t="str">
        <f aca="false">IFERROR(IF([2]对账明细接口!$S332=0,"",[2]对账明细接口!$S332),"")</f>
        <v/>
      </c>
      <c r="Y332" s="10" t="str">
        <f aca="false">IFERROR(IF([2]对账明细接口!$T332=0,"",[2]对账明细接口!$T332),"")</f>
        <v/>
      </c>
      <c r="Z332" s="113" t="str">
        <f aca="false">IFERROR(IF([2]对账明细接口!$U332=0,"",[2]对账明细接口!$U332),"")</f>
        <v/>
      </c>
      <c r="AA332" s="113" t="str">
        <f aca="false">IFERROR(IF([2]对账明细接口!$V332=0,"",[2]对账明细接口!$V332),"")</f>
        <v/>
      </c>
      <c r="AB332" s="10" t="str">
        <f aca="false">IFERROR(IF([2]对账明细接口!$W332=0,"",[2]对账明细接口!$W332),"")</f>
        <v/>
      </c>
      <c r="AC332" s="90" t="str">
        <f aca="false">IFERROR(IF([2]对账明细接口!$X333=0,"",[2]对账明细接口!$X333),"")</f>
        <v/>
      </c>
      <c r="AD332" s="90" t="str">
        <f aca="false">IFERROR(IF([2]对账明细接口!$Y333=0,"",[2]对账明细接口!$Y333),"")</f>
        <v/>
      </c>
      <c r="AE332" s="90" t="str">
        <f aca="false">IFERROR(IF([2]对账明细接口!$AA333=0,"",[2]对账明细接口!$AA333),"")</f>
        <v/>
      </c>
      <c r="AF332" s="90" t="str">
        <f aca="false">IFERROR(IF([2]对账明细接口!$AB333=0,"",[2]对账明细接口!$AB333),"")</f>
        <v/>
      </c>
      <c r="AG332" s="90" t="str">
        <f aca="false">IFERROR(IF([2]对账明细接口!$AC333=0,"",[2]对账明细接口!$AC333),"")</f>
        <v/>
      </c>
      <c r="AH332" s="90" t="str">
        <f aca="false">IFERROR(IF([2]对账明细接口!$AD333=0,"",[2]对账明细接口!$AD333),"")</f>
        <v/>
      </c>
    </row>
    <row r="333" customFormat="false" ht="13.5" hidden="false" customHeight="false" outlineLevel="0" collapsed="false">
      <c r="A333" s="109" t="n">
        <v>333</v>
      </c>
      <c r="B333" s="110" t="str">
        <f aca="false">IFERROR(IF([2]对账明细接口!$B$333=0,"",[2]对账明细接口!$B$333),"")</f>
        <v/>
      </c>
      <c r="C333" s="59" t="str">
        <f aca="false">IFERROR(IF([2]对账明细接口!$C$333=0,"",[2]对账明细接口!$C$333),"")</f>
        <v/>
      </c>
      <c r="D333" s="59" t="str">
        <f aca="false">IFERROR(IF([2]对账明细接口!$D$333=0,"",[2]对账明细接口!$D$333),"")</f>
        <v/>
      </c>
      <c r="E333" s="59" t="str">
        <f aca="false">IFERROR(IF([2]对账明细接口!$E$333=0,"",[2]对账明细接口!$E$333),"")</f>
        <v/>
      </c>
      <c r="F333" s="59" t="str">
        <f aca="false">IFERROR(IF([2]对账明细接口!$F$333=0,"",[2]对账明细接口!$F$333),"")</f>
        <v/>
      </c>
      <c r="G333" s="59" t="str">
        <f aca="false">IFERROR(IF([2]对账明细接口!$G$333=0,"",[2]对账明细接口!$G$333),"")</f>
        <v/>
      </c>
      <c r="H333" s="60" t="str">
        <f aca="false">IFERROR(IF([2]对账明细接口!$H$333=0,"",[2]对账明细接口!$H$333),"")</f>
        <v/>
      </c>
      <c r="I333" s="59" t="str">
        <f aca="false">IFERROR(IF([2]对账明细接口!$I$333=0,"",[2]对账明细接口!$I$333),"")</f>
        <v/>
      </c>
      <c r="J333" s="61" t="str">
        <f aca="false">IFERROR(IF([2]对账明细接口!$J$333=0,"",[2]对账明细接口!$J$333),"")</f>
        <v/>
      </c>
      <c r="K333" s="61" t="str">
        <f aca="false">IFERROR(IF([2]对账明细接口!$K$333=0,"",[2]对账明细接口!$K$333),"")</f>
        <v/>
      </c>
      <c r="L333" s="59" t="str">
        <f aca="false">IFERROR(IF([2]对账明细接口!$L$333=0,"",[2]对账明细接口!$L$333),"")</f>
        <v/>
      </c>
      <c r="M333" s="59" t="str">
        <f aca="false">IFERROR(IF([2]对账明细接口!$M$333=0,"",[2]对账明细接口!$M$333),"")</f>
        <v/>
      </c>
      <c r="N333" s="111" t="n">
        <f aca="false">IF($C333="",0,1)</f>
        <v>0</v>
      </c>
      <c r="O333" s="111" t="n">
        <f aca="false">N(O332)+$N333</f>
        <v>311</v>
      </c>
      <c r="S333" s="10" t="str">
        <f aca="false">IFERROR(IF([2]对账明细接口!$N333=0,"",[2]对账明细接口!$N333),"")</f>
        <v/>
      </c>
      <c r="T333" s="112" t="str">
        <f aca="false">IFERROR(IF([2]对账明细接口!$O333=0,"",[2]对账明细接口!$O333),"")</f>
        <v/>
      </c>
      <c r="U333" s="112" t="str">
        <f aca="false">IFERROR(IF([2]对账明细接口!$P333=0,"",[2]对账明细接口!$P333),"")</f>
        <v/>
      </c>
      <c r="V333" s="112" t="str">
        <f aca="false">IFERROR(IF([2]对账明细接口!$Q333=0,"",[2]对账明细接口!$Q333),"")</f>
        <v/>
      </c>
      <c r="W333" s="10" t="str">
        <f aca="false">IFERROR(IF([2]对账明细接口!$R333=0,"",[2]对账明细接口!$R333),"")</f>
        <v/>
      </c>
      <c r="X333" s="10" t="str">
        <f aca="false">IFERROR(IF([2]对账明细接口!$S333=0,"",[2]对账明细接口!$S333),"")</f>
        <v/>
      </c>
      <c r="Y333" s="10" t="str">
        <f aca="false">IFERROR(IF([2]对账明细接口!$T333=0,"",[2]对账明细接口!$T333),"")</f>
        <v/>
      </c>
      <c r="Z333" s="113" t="str">
        <f aca="false">IFERROR(IF([2]对账明细接口!$U333=0,"",[2]对账明细接口!$U333),"")</f>
        <v/>
      </c>
      <c r="AA333" s="113" t="str">
        <f aca="false">IFERROR(IF([2]对账明细接口!$V333=0,"",[2]对账明细接口!$V333),"")</f>
        <v/>
      </c>
      <c r="AB333" s="10" t="str">
        <f aca="false">IFERROR(IF([2]对账明细接口!$W333=0,"",[2]对账明细接口!$W333),"")</f>
        <v/>
      </c>
      <c r="AC333" s="90" t="str">
        <f aca="false">IFERROR(IF([2]对账明细接口!$X334=0,"",[2]对账明细接口!$X334),"")</f>
        <v/>
      </c>
      <c r="AD333" s="90" t="str">
        <f aca="false">IFERROR(IF([2]对账明细接口!$Y334=0,"",[2]对账明细接口!$Y334),"")</f>
        <v/>
      </c>
      <c r="AE333" s="90" t="str">
        <f aca="false">IFERROR(IF([2]对账明细接口!$AA334=0,"",[2]对账明细接口!$AA334),"")</f>
        <v/>
      </c>
      <c r="AF333" s="90" t="str">
        <f aca="false">IFERROR(IF([2]对账明细接口!$AB334=0,"",[2]对账明细接口!$AB334),"")</f>
        <v/>
      </c>
      <c r="AG333" s="90" t="str">
        <f aca="false">IFERROR(IF([2]对账明细接口!$AC334=0,"",[2]对账明细接口!$AC334),"")</f>
        <v/>
      </c>
      <c r="AH333" s="90" t="str">
        <f aca="false">IFERROR(IF([2]对账明细接口!$AD334=0,"",[2]对账明细接口!$AD334),"")</f>
        <v/>
      </c>
    </row>
    <row r="334" customFormat="false" ht="13.5" hidden="false" customHeight="false" outlineLevel="0" collapsed="false">
      <c r="A334" s="109" t="n">
        <v>334</v>
      </c>
      <c r="B334" s="110" t="str">
        <f aca="false">IFERROR(IF([2]对账明细接口!$B$334=0,"",[2]对账明细接口!$B$334),"")</f>
        <v/>
      </c>
      <c r="C334" s="59" t="str">
        <f aca="false">IFERROR(IF([2]对账明细接口!$C$334=0,"",[2]对账明细接口!$C$334),"")</f>
        <v/>
      </c>
      <c r="D334" s="59" t="str">
        <f aca="false">IFERROR(IF([2]对账明细接口!$D$334=0,"",[2]对账明细接口!$D$334),"")</f>
        <v/>
      </c>
      <c r="E334" s="59" t="str">
        <f aca="false">IFERROR(IF([2]对账明细接口!$E$334=0,"",[2]对账明细接口!$E$334),"")</f>
        <v/>
      </c>
      <c r="F334" s="59" t="str">
        <f aca="false">IFERROR(IF([2]对账明细接口!$F$334=0,"",[2]对账明细接口!$F$334),"")</f>
        <v/>
      </c>
      <c r="G334" s="59" t="str">
        <f aca="false">IFERROR(IF([2]对账明细接口!$G$334=0,"",[2]对账明细接口!$G$334),"")</f>
        <v/>
      </c>
      <c r="H334" s="60" t="str">
        <f aca="false">IFERROR(IF([2]对账明细接口!$H$334=0,"",[2]对账明细接口!$H$334),"")</f>
        <v/>
      </c>
      <c r="I334" s="59" t="str">
        <f aca="false">IFERROR(IF([2]对账明细接口!$I$334=0,"",[2]对账明细接口!$I$334),"")</f>
        <v/>
      </c>
      <c r="J334" s="61" t="str">
        <f aca="false">IFERROR(IF([2]对账明细接口!$J$334=0,"",[2]对账明细接口!$J$334),"")</f>
        <v/>
      </c>
      <c r="K334" s="61" t="str">
        <f aca="false">IFERROR(IF([2]对账明细接口!$K$334=0,"",[2]对账明细接口!$K$334),"")</f>
        <v/>
      </c>
      <c r="L334" s="59" t="str">
        <f aca="false">IFERROR(IF([2]对账明细接口!$L$334=0,"",[2]对账明细接口!$L$334),"")</f>
        <v/>
      </c>
      <c r="M334" s="59" t="str">
        <f aca="false">IFERROR(IF([2]对账明细接口!$M$334=0,"",[2]对账明细接口!$M$334),"")</f>
        <v/>
      </c>
      <c r="N334" s="111" t="n">
        <f aca="false">IF($C334="",0,1)</f>
        <v>0</v>
      </c>
      <c r="O334" s="111" t="n">
        <f aca="false">N(O333)+$N334</f>
        <v>311</v>
      </c>
      <c r="S334" s="10" t="str">
        <f aca="false">IFERROR(IF([2]对账明细接口!$N334=0,"",[2]对账明细接口!$N334),"")</f>
        <v/>
      </c>
      <c r="T334" s="112" t="str">
        <f aca="false">IFERROR(IF([2]对账明细接口!$O334=0,"",[2]对账明细接口!$O334),"")</f>
        <v/>
      </c>
      <c r="U334" s="112" t="str">
        <f aca="false">IFERROR(IF([2]对账明细接口!$P334=0,"",[2]对账明细接口!$P334),"")</f>
        <v/>
      </c>
      <c r="V334" s="112" t="str">
        <f aca="false">IFERROR(IF([2]对账明细接口!$Q334=0,"",[2]对账明细接口!$Q334),"")</f>
        <v/>
      </c>
      <c r="W334" s="10" t="str">
        <f aca="false">IFERROR(IF([2]对账明细接口!$R334=0,"",[2]对账明细接口!$R334),"")</f>
        <v/>
      </c>
      <c r="X334" s="10" t="str">
        <f aca="false">IFERROR(IF([2]对账明细接口!$S334=0,"",[2]对账明细接口!$S334),"")</f>
        <v/>
      </c>
      <c r="Y334" s="10" t="str">
        <f aca="false">IFERROR(IF([2]对账明细接口!$T334=0,"",[2]对账明细接口!$T334),"")</f>
        <v/>
      </c>
      <c r="Z334" s="113" t="str">
        <f aca="false">IFERROR(IF([2]对账明细接口!$U334=0,"",[2]对账明细接口!$U334),"")</f>
        <v/>
      </c>
      <c r="AA334" s="113" t="str">
        <f aca="false">IFERROR(IF([2]对账明细接口!$V334=0,"",[2]对账明细接口!$V334),"")</f>
        <v/>
      </c>
      <c r="AB334" s="10" t="str">
        <f aca="false">IFERROR(IF([2]对账明细接口!$W334=0,"",[2]对账明细接口!$W334),"")</f>
        <v/>
      </c>
      <c r="AC334" s="90" t="str">
        <f aca="false">IFERROR(IF([2]对账明细接口!$X335=0,"",[2]对账明细接口!$X335),"")</f>
        <v/>
      </c>
      <c r="AD334" s="90" t="str">
        <f aca="false">IFERROR(IF([2]对账明细接口!$Y335=0,"",[2]对账明细接口!$Y335),"")</f>
        <v/>
      </c>
      <c r="AE334" s="90" t="str">
        <f aca="false">IFERROR(IF([2]对账明细接口!$AA335=0,"",[2]对账明细接口!$AA335),"")</f>
        <v/>
      </c>
      <c r="AF334" s="90" t="str">
        <f aca="false">IFERROR(IF([2]对账明细接口!$AB335=0,"",[2]对账明细接口!$AB335),"")</f>
        <v/>
      </c>
      <c r="AG334" s="90" t="str">
        <f aca="false">IFERROR(IF([2]对账明细接口!$AC335=0,"",[2]对账明细接口!$AC335),"")</f>
        <v/>
      </c>
      <c r="AH334" s="90" t="str">
        <f aca="false">IFERROR(IF([2]对账明细接口!$AD335=0,"",[2]对账明细接口!$AD335),"")</f>
        <v/>
      </c>
    </row>
    <row r="335" customFormat="false" ht="13.5" hidden="false" customHeight="false" outlineLevel="0" collapsed="false">
      <c r="A335" s="109" t="n">
        <v>335</v>
      </c>
      <c r="B335" s="110" t="str">
        <f aca="false">IFERROR(IF([2]对账明细接口!$B$335=0,"",[2]对账明细接口!$B$335),"")</f>
        <v/>
      </c>
      <c r="C335" s="59" t="str">
        <f aca="false">IFERROR(IF([2]对账明细接口!$C$335=0,"",[2]对账明细接口!$C$335),"")</f>
        <v/>
      </c>
      <c r="D335" s="59" t="str">
        <f aca="false">IFERROR(IF([2]对账明细接口!$D$335=0,"",[2]对账明细接口!$D$335),"")</f>
        <v/>
      </c>
      <c r="E335" s="59" t="str">
        <f aca="false">IFERROR(IF([2]对账明细接口!$E$335=0,"",[2]对账明细接口!$E$335),"")</f>
        <v/>
      </c>
      <c r="F335" s="59" t="str">
        <f aca="false">IFERROR(IF([2]对账明细接口!$F$335=0,"",[2]对账明细接口!$F$335),"")</f>
        <v/>
      </c>
      <c r="G335" s="59" t="str">
        <f aca="false">IFERROR(IF([2]对账明细接口!$G$335=0,"",[2]对账明细接口!$G$335),"")</f>
        <v/>
      </c>
      <c r="H335" s="60" t="str">
        <f aca="false">IFERROR(IF([2]对账明细接口!$H$335=0,"",[2]对账明细接口!$H$335),"")</f>
        <v/>
      </c>
      <c r="I335" s="59" t="str">
        <f aca="false">IFERROR(IF([2]对账明细接口!$I$335=0,"",[2]对账明细接口!$I$335),"")</f>
        <v/>
      </c>
      <c r="J335" s="61" t="str">
        <f aca="false">IFERROR(IF([2]对账明细接口!$J$335=0,"",[2]对账明细接口!$J$335),"")</f>
        <v/>
      </c>
      <c r="K335" s="61" t="str">
        <f aca="false">IFERROR(IF([2]对账明细接口!$K$335=0,"",[2]对账明细接口!$K$335),"")</f>
        <v/>
      </c>
      <c r="L335" s="59" t="str">
        <f aca="false">IFERROR(IF([2]对账明细接口!$L$335=0,"",[2]对账明细接口!$L$335),"")</f>
        <v/>
      </c>
      <c r="M335" s="59" t="str">
        <f aca="false">IFERROR(IF([2]对账明细接口!$M$335=0,"",[2]对账明细接口!$M$335),"")</f>
        <v/>
      </c>
      <c r="N335" s="111" t="n">
        <f aca="false">IF($C335="",0,1)</f>
        <v>0</v>
      </c>
      <c r="O335" s="111" t="n">
        <f aca="false">N(O334)+$N335</f>
        <v>311</v>
      </c>
      <c r="S335" s="10" t="str">
        <f aca="false">IFERROR(IF([2]对账明细接口!$N335=0,"",[2]对账明细接口!$N335),"")</f>
        <v/>
      </c>
      <c r="T335" s="112" t="str">
        <f aca="false">IFERROR(IF([2]对账明细接口!$O335=0,"",[2]对账明细接口!$O335),"")</f>
        <v/>
      </c>
      <c r="U335" s="112" t="str">
        <f aca="false">IFERROR(IF([2]对账明细接口!$P335=0,"",[2]对账明细接口!$P335),"")</f>
        <v/>
      </c>
      <c r="V335" s="112" t="str">
        <f aca="false">IFERROR(IF([2]对账明细接口!$Q335=0,"",[2]对账明细接口!$Q335),"")</f>
        <v/>
      </c>
      <c r="W335" s="10" t="str">
        <f aca="false">IFERROR(IF([2]对账明细接口!$R335=0,"",[2]对账明细接口!$R335),"")</f>
        <v/>
      </c>
      <c r="X335" s="10" t="str">
        <f aca="false">IFERROR(IF([2]对账明细接口!$S335=0,"",[2]对账明细接口!$S335),"")</f>
        <v/>
      </c>
      <c r="Y335" s="10" t="str">
        <f aca="false">IFERROR(IF([2]对账明细接口!$T335=0,"",[2]对账明细接口!$T335),"")</f>
        <v/>
      </c>
      <c r="Z335" s="113" t="str">
        <f aca="false">IFERROR(IF([2]对账明细接口!$U335=0,"",[2]对账明细接口!$U335),"")</f>
        <v/>
      </c>
      <c r="AA335" s="113" t="str">
        <f aca="false">IFERROR(IF([2]对账明细接口!$V335=0,"",[2]对账明细接口!$V335),"")</f>
        <v/>
      </c>
      <c r="AB335" s="10" t="str">
        <f aca="false">IFERROR(IF([2]对账明细接口!$W335=0,"",[2]对账明细接口!$W335),"")</f>
        <v/>
      </c>
      <c r="AC335" s="90" t="str">
        <f aca="false">IFERROR(IF([2]对账明细接口!$X336=0,"",[2]对账明细接口!$X336),"")</f>
        <v/>
      </c>
      <c r="AD335" s="90" t="str">
        <f aca="false">IFERROR(IF([2]对账明细接口!$Y336=0,"",[2]对账明细接口!$Y336),"")</f>
        <v/>
      </c>
      <c r="AE335" s="90" t="str">
        <f aca="false">IFERROR(IF([2]对账明细接口!$AA336=0,"",[2]对账明细接口!$AA336),"")</f>
        <v/>
      </c>
      <c r="AF335" s="90" t="str">
        <f aca="false">IFERROR(IF([2]对账明细接口!$AB336=0,"",[2]对账明细接口!$AB336),"")</f>
        <v/>
      </c>
      <c r="AG335" s="90" t="str">
        <f aca="false">IFERROR(IF([2]对账明细接口!$AC336=0,"",[2]对账明细接口!$AC336),"")</f>
        <v/>
      </c>
      <c r="AH335" s="90" t="str">
        <f aca="false">IFERROR(IF([2]对账明细接口!$AD336=0,"",[2]对账明细接口!$AD336),"")</f>
        <v/>
      </c>
    </row>
    <row r="336" customFormat="false" ht="13.5" hidden="false" customHeight="false" outlineLevel="0" collapsed="false">
      <c r="A336" s="109" t="n">
        <v>336</v>
      </c>
      <c r="B336" s="110" t="str">
        <f aca="false">IFERROR(IF([2]对账明细接口!$B$336=0,"",[2]对账明细接口!$B$336),"")</f>
        <v/>
      </c>
      <c r="C336" s="59" t="str">
        <f aca="false">IFERROR(IF([2]对账明细接口!$C$336=0,"",[2]对账明细接口!$C$336),"")</f>
        <v/>
      </c>
      <c r="D336" s="59" t="str">
        <f aca="false">IFERROR(IF([2]对账明细接口!$D$336=0,"",[2]对账明细接口!$D$336),"")</f>
        <v/>
      </c>
      <c r="E336" s="59" t="str">
        <f aca="false">IFERROR(IF([2]对账明细接口!$E$336=0,"",[2]对账明细接口!$E$336),"")</f>
        <v/>
      </c>
      <c r="F336" s="59" t="str">
        <f aca="false">IFERROR(IF([2]对账明细接口!$F$336=0,"",[2]对账明细接口!$F$336),"")</f>
        <v/>
      </c>
      <c r="G336" s="59" t="str">
        <f aca="false">IFERROR(IF([2]对账明细接口!$G$336=0,"",[2]对账明细接口!$G$336),"")</f>
        <v/>
      </c>
      <c r="H336" s="60" t="str">
        <f aca="false">IFERROR(IF([2]对账明细接口!$H$336=0,"",[2]对账明细接口!$H$336),"")</f>
        <v/>
      </c>
      <c r="I336" s="59" t="str">
        <f aca="false">IFERROR(IF([2]对账明细接口!$I$336=0,"",[2]对账明细接口!$I$336),"")</f>
        <v/>
      </c>
      <c r="J336" s="61" t="str">
        <f aca="false">IFERROR(IF([2]对账明细接口!$J$336=0,"",[2]对账明细接口!$J$336),"")</f>
        <v/>
      </c>
      <c r="K336" s="61" t="str">
        <f aca="false">IFERROR(IF([2]对账明细接口!$K$336=0,"",[2]对账明细接口!$K$336),"")</f>
        <v/>
      </c>
      <c r="L336" s="59" t="str">
        <f aca="false">IFERROR(IF([2]对账明细接口!$L$336=0,"",[2]对账明细接口!$L$336),"")</f>
        <v/>
      </c>
      <c r="M336" s="59" t="str">
        <f aca="false">IFERROR(IF([2]对账明细接口!$M$336=0,"",[2]对账明细接口!$M$336),"")</f>
        <v/>
      </c>
      <c r="N336" s="111" t="n">
        <f aca="false">IF($C336="",0,1)</f>
        <v>0</v>
      </c>
      <c r="O336" s="111" t="n">
        <f aca="false">N(O335)+$N336</f>
        <v>311</v>
      </c>
      <c r="S336" s="10" t="str">
        <f aca="false">IFERROR(IF([2]对账明细接口!$N336=0,"",[2]对账明细接口!$N336),"")</f>
        <v/>
      </c>
      <c r="T336" s="112" t="str">
        <f aca="false">IFERROR(IF([2]对账明细接口!$O336=0,"",[2]对账明细接口!$O336),"")</f>
        <v/>
      </c>
      <c r="U336" s="112" t="str">
        <f aca="false">IFERROR(IF([2]对账明细接口!$P336=0,"",[2]对账明细接口!$P336),"")</f>
        <v/>
      </c>
      <c r="V336" s="112" t="str">
        <f aca="false">IFERROR(IF([2]对账明细接口!$Q336=0,"",[2]对账明细接口!$Q336),"")</f>
        <v/>
      </c>
      <c r="W336" s="10" t="str">
        <f aca="false">IFERROR(IF([2]对账明细接口!$R336=0,"",[2]对账明细接口!$R336),"")</f>
        <v/>
      </c>
      <c r="X336" s="10" t="str">
        <f aca="false">IFERROR(IF([2]对账明细接口!$S336=0,"",[2]对账明细接口!$S336),"")</f>
        <v/>
      </c>
      <c r="Y336" s="10" t="str">
        <f aca="false">IFERROR(IF([2]对账明细接口!$T336=0,"",[2]对账明细接口!$T336),"")</f>
        <v/>
      </c>
      <c r="Z336" s="113" t="str">
        <f aca="false">IFERROR(IF([2]对账明细接口!$U336=0,"",[2]对账明细接口!$U336),"")</f>
        <v/>
      </c>
      <c r="AA336" s="113" t="str">
        <f aca="false">IFERROR(IF([2]对账明细接口!$V336=0,"",[2]对账明细接口!$V336),"")</f>
        <v/>
      </c>
      <c r="AB336" s="10" t="str">
        <f aca="false">IFERROR(IF([2]对账明细接口!$W336=0,"",[2]对账明细接口!$W336),"")</f>
        <v/>
      </c>
      <c r="AC336" s="90" t="str">
        <f aca="false">IFERROR(IF([2]对账明细接口!$X337=0,"",[2]对账明细接口!$X337),"")</f>
        <v/>
      </c>
      <c r="AD336" s="90" t="str">
        <f aca="false">IFERROR(IF([2]对账明细接口!$Y337=0,"",[2]对账明细接口!$Y337),"")</f>
        <v/>
      </c>
      <c r="AE336" s="90" t="str">
        <f aca="false">IFERROR(IF([2]对账明细接口!$AA337=0,"",[2]对账明细接口!$AA337),"")</f>
        <v/>
      </c>
      <c r="AF336" s="90" t="str">
        <f aca="false">IFERROR(IF([2]对账明细接口!$AB337=0,"",[2]对账明细接口!$AB337),"")</f>
        <v/>
      </c>
      <c r="AG336" s="90" t="str">
        <f aca="false">IFERROR(IF([2]对账明细接口!$AC337=0,"",[2]对账明细接口!$AC337),"")</f>
        <v/>
      </c>
      <c r="AH336" s="90" t="str">
        <f aca="false">IFERROR(IF([2]对账明细接口!$AD337=0,"",[2]对账明细接口!$AD337),"")</f>
        <v/>
      </c>
    </row>
    <row r="337" customFormat="false" ht="13.5" hidden="false" customHeight="false" outlineLevel="0" collapsed="false">
      <c r="A337" s="109" t="n">
        <v>337</v>
      </c>
      <c r="B337" s="110" t="str">
        <f aca="false">IFERROR(IF([2]对账明细接口!$B$337=0,"",[2]对账明细接口!$B$337),"")</f>
        <v/>
      </c>
      <c r="C337" s="59" t="str">
        <f aca="false">IFERROR(IF([2]对账明细接口!$C$337=0,"",[2]对账明细接口!$C$337),"")</f>
        <v/>
      </c>
      <c r="D337" s="59" t="str">
        <f aca="false">IFERROR(IF([2]对账明细接口!$D$337=0,"",[2]对账明细接口!$D$337),"")</f>
        <v/>
      </c>
      <c r="E337" s="59" t="str">
        <f aca="false">IFERROR(IF([2]对账明细接口!$E$337=0,"",[2]对账明细接口!$E$337),"")</f>
        <v/>
      </c>
      <c r="F337" s="59" t="str">
        <f aca="false">IFERROR(IF([2]对账明细接口!$F$337=0,"",[2]对账明细接口!$F$337),"")</f>
        <v/>
      </c>
      <c r="G337" s="59" t="str">
        <f aca="false">IFERROR(IF([2]对账明细接口!$G$337=0,"",[2]对账明细接口!$G$337),"")</f>
        <v/>
      </c>
      <c r="H337" s="60" t="str">
        <f aca="false">IFERROR(IF([2]对账明细接口!$H$337=0,"",[2]对账明细接口!$H$337),"")</f>
        <v/>
      </c>
      <c r="I337" s="59" t="str">
        <f aca="false">IFERROR(IF([2]对账明细接口!$I$337=0,"",[2]对账明细接口!$I$337),"")</f>
        <v/>
      </c>
      <c r="J337" s="61" t="str">
        <f aca="false">IFERROR(IF([2]对账明细接口!$J$337=0,"",[2]对账明细接口!$J$337),"")</f>
        <v/>
      </c>
      <c r="K337" s="61" t="str">
        <f aca="false">IFERROR(IF([2]对账明细接口!$K$337=0,"",[2]对账明细接口!$K$337),"")</f>
        <v/>
      </c>
      <c r="L337" s="59" t="str">
        <f aca="false">IFERROR(IF([2]对账明细接口!$L$337=0,"",[2]对账明细接口!$L$337),"")</f>
        <v/>
      </c>
      <c r="M337" s="59" t="str">
        <f aca="false">IFERROR(IF([2]对账明细接口!$M$337=0,"",[2]对账明细接口!$M$337),"")</f>
        <v/>
      </c>
      <c r="N337" s="111" t="n">
        <f aca="false">IF($C337="",0,1)</f>
        <v>0</v>
      </c>
      <c r="O337" s="111" t="n">
        <f aca="false">N(O336)+$N337</f>
        <v>311</v>
      </c>
      <c r="S337" s="10" t="str">
        <f aca="false">IFERROR(IF([2]对账明细接口!$N337=0,"",[2]对账明细接口!$N337),"")</f>
        <v/>
      </c>
      <c r="T337" s="112" t="str">
        <f aca="false">IFERROR(IF([2]对账明细接口!$O337=0,"",[2]对账明细接口!$O337),"")</f>
        <v/>
      </c>
      <c r="U337" s="112" t="str">
        <f aca="false">IFERROR(IF([2]对账明细接口!$P337=0,"",[2]对账明细接口!$P337),"")</f>
        <v/>
      </c>
      <c r="V337" s="112" t="str">
        <f aca="false">IFERROR(IF([2]对账明细接口!$Q337=0,"",[2]对账明细接口!$Q337),"")</f>
        <v/>
      </c>
      <c r="W337" s="10" t="str">
        <f aca="false">IFERROR(IF([2]对账明细接口!$R337=0,"",[2]对账明细接口!$R337),"")</f>
        <v/>
      </c>
      <c r="X337" s="10" t="str">
        <f aca="false">IFERROR(IF([2]对账明细接口!$S337=0,"",[2]对账明细接口!$S337),"")</f>
        <v/>
      </c>
      <c r="Y337" s="10" t="str">
        <f aca="false">IFERROR(IF([2]对账明细接口!$T337=0,"",[2]对账明细接口!$T337),"")</f>
        <v/>
      </c>
      <c r="Z337" s="113" t="str">
        <f aca="false">IFERROR(IF([2]对账明细接口!$U337=0,"",[2]对账明细接口!$U337),"")</f>
        <v/>
      </c>
      <c r="AA337" s="113" t="str">
        <f aca="false">IFERROR(IF([2]对账明细接口!$V337=0,"",[2]对账明细接口!$V337),"")</f>
        <v/>
      </c>
      <c r="AB337" s="10" t="str">
        <f aca="false">IFERROR(IF([2]对账明细接口!$W337=0,"",[2]对账明细接口!$W337),"")</f>
        <v/>
      </c>
      <c r="AC337" s="90" t="str">
        <f aca="false">IFERROR(IF([2]对账明细接口!$X338=0,"",[2]对账明细接口!$X338),"")</f>
        <v/>
      </c>
      <c r="AD337" s="90" t="str">
        <f aca="false">IFERROR(IF([2]对账明细接口!$Y338=0,"",[2]对账明细接口!$Y338),"")</f>
        <v/>
      </c>
      <c r="AE337" s="90" t="str">
        <f aca="false">IFERROR(IF([2]对账明细接口!$AA338=0,"",[2]对账明细接口!$AA338),"")</f>
        <v/>
      </c>
      <c r="AF337" s="90" t="str">
        <f aca="false">IFERROR(IF([2]对账明细接口!$AB338=0,"",[2]对账明细接口!$AB338),"")</f>
        <v/>
      </c>
      <c r="AG337" s="90" t="str">
        <f aca="false">IFERROR(IF([2]对账明细接口!$AC338=0,"",[2]对账明细接口!$AC338),"")</f>
        <v/>
      </c>
      <c r="AH337" s="90" t="str">
        <f aca="false">IFERROR(IF([2]对账明细接口!$AD338=0,"",[2]对账明细接口!$AD338),"")</f>
        <v/>
      </c>
    </row>
    <row r="338" customFormat="false" ht="13.5" hidden="false" customHeight="false" outlineLevel="0" collapsed="false">
      <c r="A338" s="109" t="n">
        <v>338</v>
      </c>
      <c r="B338" s="110" t="str">
        <f aca="false">IFERROR(IF([2]对账明细接口!$B$338=0,"",[2]对账明细接口!$B$338),"")</f>
        <v/>
      </c>
      <c r="C338" s="59" t="str">
        <f aca="false">IFERROR(IF([2]对账明细接口!$C$338=0,"",[2]对账明细接口!$C$338),"")</f>
        <v/>
      </c>
      <c r="D338" s="59" t="str">
        <f aca="false">IFERROR(IF([2]对账明细接口!$D$338=0,"",[2]对账明细接口!$D$338),"")</f>
        <v/>
      </c>
      <c r="E338" s="59" t="str">
        <f aca="false">IFERROR(IF([2]对账明细接口!$E$338=0,"",[2]对账明细接口!$E$338),"")</f>
        <v/>
      </c>
      <c r="F338" s="59" t="str">
        <f aca="false">IFERROR(IF([2]对账明细接口!$F$338=0,"",[2]对账明细接口!$F$338),"")</f>
        <v/>
      </c>
      <c r="G338" s="59" t="str">
        <f aca="false">IFERROR(IF([2]对账明细接口!$G$338=0,"",[2]对账明细接口!$G$338),"")</f>
        <v/>
      </c>
      <c r="H338" s="60" t="str">
        <f aca="false">IFERROR(IF([2]对账明细接口!$H$338=0,"",[2]对账明细接口!$H$338),"")</f>
        <v/>
      </c>
      <c r="I338" s="59" t="str">
        <f aca="false">IFERROR(IF([2]对账明细接口!$I$338=0,"",[2]对账明细接口!$I$338),"")</f>
        <v/>
      </c>
      <c r="J338" s="61" t="str">
        <f aca="false">IFERROR(IF([2]对账明细接口!$J$338=0,"",[2]对账明细接口!$J$338),"")</f>
        <v/>
      </c>
      <c r="K338" s="61" t="str">
        <f aca="false">IFERROR(IF([2]对账明细接口!$K$338=0,"",[2]对账明细接口!$K$338),"")</f>
        <v/>
      </c>
      <c r="L338" s="59" t="str">
        <f aca="false">IFERROR(IF([2]对账明细接口!$L$338=0,"",[2]对账明细接口!$L$338),"")</f>
        <v/>
      </c>
      <c r="M338" s="59" t="str">
        <f aca="false">IFERROR(IF([2]对账明细接口!$M$338=0,"",[2]对账明细接口!$M$338),"")</f>
        <v/>
      </c>
      <c r="N338" s="111" t="n">
        <f aca="false">IF($C338="",0,1)</f>
        <v>0</v>
      </c>
      <c r="O338" s="111" t="n">
        <f aca="false">N(O337)+$N338</f>
        <v>311</v>
      </c>
      <c r="S338" s="10" t="str">
        <f aca="false">IFERROR(IF([2]对账明细接口!$N338=0,"",[2]对账明细接口!$N338),"")</f>
        <v/>
      </c>
      <c r="T338" s="112" t="str">
        <f aca="false">IFERROR(IF([2]对账明细接口!$O338=0,"",[2]对账明细接口!$O338),"")</f>
        <v/>
      </c>
      <c r="U338" s="112" t="str">
        <f aca="false">IFERROR(IF([2]对账明细接口!$P338=0,"",[2]对账明细接口!$P338),"")</f>
        <v/>
      </c>
      <c r="V338" s="112" t="str">
        <f aca="false">IFERROR(IF([2]对账明细接口!$Q338=0,"",[2]对账明细接口!$Q338),"")</f>
        <v/>
      </c>
      <c r="W338" s="10" t="str">
        <f aca="false">IFERROR(IF([2]对账明细接口!$R338=0,"",[2]对账明细接口!$R338),"")</f>
        <v/>
      </c>
      <c r="X338" s="10" t="str">
        <f aca="false">IFERROR(IF([2]对账明细接口!$S338=0,"",[2]对账明细接口!$S338),"")</f>
        <v/>
      </c>
      <c r="Y338" s="10" t="str">
        <f aca="false">IFERROR(IF([2]对账明细接口!$T338=0,"",[2]对账明细接口!$T338),"")</f>
        <v/>
      </c>
      <c r="Z338" s="113" t="str">
        <f aca="false">IFERROR(IF([2]对账明细接口!$U338=0,"",[2]对账明细接口!$U338),"")</f>
        <v/>
      </c>
      <c r="AA338" s="113" t="str">
        <f aca="false">IFERROR(IF([2]对账明细接口!$V338=0,"",[2]对账明细接口!$V338),"")</f>
        <v/>
      </c>
      <c r="AB338" s="10" t="str">
        <f aca="false">IFERROR(IF([2]对账明细接口!$W338=0,"",[2]对账明细接口!$W338),"")</f>
        <v/>
      </c>
      <c r="AC338" s="90" t="str">
        <f aca="false">IFERROR(IF([2]对账明细接口!$X339=0,"",[2]对账明细接口!$X339),"")</f>
        <v/>
      </c>
      <c r="AD338" s="90" t="str">
        <f aca="false">IFERROR(IF([2]对账明细接口!$Y339=0,"",[2]对账明细接口!$Y339),"")</f>
        <v/>
      </c>
      <c r="AE338" s="90" t="str">
        <f aca="false">IFERROR(IF([2]对账明细接口!$AA339=0,"",[2]对账明细接口!$AA339),"")</f>
        <v/>
      </c>
      <c r="AF338" s="90" t="str">
        <f aca="false">IFERROR(IF([2]对账明细接口!$AB339=0,"",[2]对账明细接口!$AB339),"")</f>
        <v/>
      </c>
      <c r="AG338" s="90" t="str">
        <f aca="false">IFERROR(IF([2]对账明细接口!$AC339=0,"",[2]对账明细接口!$AC339),"")</f>
        <v/>
      </c>
      <c r="AH338" s="90" t="str">
        <f aca="false">IFERROR(IF([2]对账明细接口!$AD339=0,"",[2]对账明细接口!$AD339),"")</f>
        <v/>
      </c>
    </row>
    <row r="339" customFormat="false" ht="13.5" hidden="false" customHeight="false" outlineLevel="0" collapsed="false">
      <c r="A339" s="109" t="n">
        <v>339</v>
      </c>
      <c r="B339" s="110" t="str">
        <f aca="false">IFERROR(IF([2]对账明细接口!$B$339=0,"",[2]对账明细接口!$B$339),"")</f>
        <v/>
      </c>
      <c r="C339" s="59" t="str">
        <f aca="false">IFERROR(IF([2]对账明细接口!$C$339=0,"",[2]对账明细接口!$C$339),"")</f>
        <v/>
      </c>
      <c r="D339" s="59" t="str">
        <f aca="false">IFERROR(IF([2]对账明细接口!$D$339=0,"",[2]对账明细接口!$D$339),"")</f>
        <v/>
      </c>
      <c r="E339" s="59" t="str">
        <f aca="false">IFERROR(IF([2]对账明细接口!$E$339=0,"",[2]对账明细接口!$E$339),"")</f>
        <v/>
      </c>
      <c r="F339" s="59" t="str">
        <f aca="false">IFERROR(IF([2]对账明细接口!$F$339=0,"",[2]对账明细接口!$F$339),"")</f>
        <v/>
      </c>
      <c r="G339" s="59" t="str">
        <f aca="false">IFERROR(IF([2]对账明细接口!$G$339=0,"",[2]对账明细接口!$G$339),"")</f>
        <v/>
      </c>
      <c r="H339" s="60" t="str">
        <f aca="false">IFERROR(IF([2]对账明细接口!$H$339=0,"",[2]对账明细接口!$H$339),"")</f>
        <v/>
      </c>
      <c r="I339" s="59" t="str">
        <f aca="false">IFERROR(IF([2]对账明细接口!$I$339=0,"",[2]对账明细接口!$I$339),"")</f>
        <v/>
      </c>
      <c r="J339" s="61" t="str">
        <f aca="false">IFERROR(IF([2]对账明细接口!$J$339=0,"",[2]对账明细接口!$J$339),"")</f>
        <v/>
      </c>
      <c r="K339" s="61" t="str">
        <f aca="false">IFERROR(IF([2]对账明细接口!$K$339=0,"",[2]对账明细接口!$K$339),"")</f>
        <v/>
      </c>
      <c r="L339" s="59" t="str">
        <f aca="false">IFERROR(IF([2]对账明细接口!$L$339=0,"",[2]对账明细接口!$L$339),"")</f>
        <v/>
      </c>
      <c r="M339" s="59" t="str">
        <f aca="false">IFERROR(IF([2]对账明细接口!$M$339=0,"",[2]对账明细接口!$M$339),"")</f>
        <v/>
      </c>
      <c r="N339" s="111" t="n">
        <f aca="false">IF($C339="",0,1)</f>
        <v>0</v>
      </c>
      <c r="O339" s="111" t="n">
        <f aca="false">N(O338)+$N339</f>
        <v>311</v>
      </c>
      <c r="S339" s="10" t="str">
        <f aca="false">IFERROR(IF([2]对账明细接口!$N339=0,"",[2]对账明细接口!$N339),"")</f>
        <v/>
      </c>
      <c r="T339" s="112" t="str">
        <f aca="false">IFERROR(IF([2]对账明细接口!$O339=0,"",[2]对账明细接口!$O339),"")</f>
        <v/>
      </c>
      <c r="U339" s="112" t="str">
        <f aca="false">IFERROR(IF([2]对账明细接口!$P339=0,"",[2]对账明细接口!$P339),"")</f>
        <v/>
      </c>
      <c r="V339" s="112" t="str">
        <f aca="false">IFERROR(IF([2]对账明细接口!$Q339=0,"",[2]对账明细接口!$Q339),"")</f>
        <v/>
      </c>
      <c r="W339" s="10" t="str">
        <f aca="false">IFERROR(IF([2]对账明细接口!$R339=0,"",[2]对账明细接口!$R339),"")</f>
        <v/>
      </c>
      <c r="X339" s="10" t="str">
        <f aca="false">IFERROR(IF([2]对账明细接口!$S339=0,"",[2]对账明细接口!$S339),"")</f>
        <v/>
      </c>
      <c r="Y339" s="10" t="str">
        <f aca="false">IFERROR(IF([2]对账明细接口!$T339=0,"",[2]对账明细接口!$T339),"")</f>
        <v/>
      </c>
      <c r="Z339" s="113" t="str">
        <f aca="false">IFERROR(IF([2]对账明细接口!$U339=0,"",[2]对账明细接口!$U339),"")</f>
        <v/>
      </c>
      <c r="AA339" s="113" t="str">
        <f aca="false">IFERROR(IF([2]对账明细接口!$V339=0,"",[2]对账明细接口!$V339),"")</f>
        <v/>
      </c>
      <c r="AB339" s="10" t="str">
        <f aca="false">IFERROR(IF([2]对账明细接口!$W339=0,"",[2]对账明细接口!$W339),"")</f>
        <v/>
      </c>
      <c r="AC339" s="90" t="str">
        <f aca="false">IFERROR(IF([2]对账明细接口!$X340=0,"",[2]对账明细接口!$X340),"")</f>
        <v/>
      </c>
      <c r="AD339" s="90" t="str">
        <f aca="false">IFERROR(IF([2]对账明细接口!$Y340=0,"",[2]对账明细接口!$Y340),"")</f>
        <v/>
      </c>
      <c r="AE339" s="90" t="str">
        <f aca="false">IFERROR(IF([2]对账明细接口!$AA340=0,"",[2]对账明细接口!$AA340),"")</f>
        <v/>
      </c>
      <c r="AF339" s="90" t="str">
        <f aca="false">IFERROR(IF([2]对账明细接口!$AB340=0,"",[2]对账明细接口!$AB340),"")</f>
        <v/>
      </c>
      <c r="AG339" s="90" t="str">
        <f aca="false">IFERROR(IF([2]对账明细接口!$AC340=0,"",[2]对账明细接口!$AC340),"")</f>
        <v/>
      </c>
      <c r="AH339" s="90" t="str">
        <f aca="false">IFERROR(IF([2]对账明细接口!$AD340=0,"",[2]对账明细接口!$AD340),"")</f>
        <v/>
      </c>
    </row>
    <row r="340" customFormat="false" ht="13.5" hidden="false" customHeight="false" outlineLevel="0" collapsed="false">
      <c r="A340" s="109" t="n">
        <v>340</v>
      </c>
      <c r="B340" s="110" t="str">
        <f aca="false">IFERROR(IF([2]对账明细接口!$B$340=0,"",[2]对账明细接口!$B$340),"")</f>
        <v/>
      </c>
      <c r="C340" s="59" t="str">
        <f aca="false">IFERROR(IF([2]对账明细接口!$C$340=0,"",[2]对账明细接口!$C$340),"")</f>
        <v/>
      </c>
      <c r="D340" s="59" t="str">
        <f aca="false">IFERROR(IF([2]对账明细接口!$D$340=0,"",[2]对账明细接口!$D$340),"")</f>
        <v/>
      </c>
      <c r="E340" s="59" t="str">
        <f aca="false">IFERROR(IF([2]对账明细接口!$E$340=0,"",[2]对账明细接口!$E$340),"")</f>
        <v/>
      </c>
      <c r="F340" s="59" t="str">
        <f aca="false">IFERROR(IF([2]对账明细接口!$F$340=0,"",[2]对账明细接口!$F$340),"")</f>
        <v/>
      </c>
      <c r="G340" s="59" t="str">
        <f aca="false">IFERROR(IF([2]对账明细接口!$G$340=0,"",[2]对账明细接口!$G$340),"")</f>
        <v/>
      </c>
      <c r="H340" s="60" t="str">
        <f aca="false">IFERROR(IF([2]对账明细接口!$H$340=0,"",[2]对账明细接口!$H$340),"")</f>
        <v/>
      </c>
      <c r="I340" s="59" t="str">
        <f aca="false">IFERROR(IF([2]对账明细接口!$I$340=0,"",[2]对账明细接口!$I$340),"")</f>
        <v/>
      </c>
      <c r="J340" s="61" t="str">
        <f aca="false">IFERROR(IF([2]对账明细接口!$J$340=0,"",[2]对账明细接口!$J$340),"")</f>
        <v/>
      </c>
      <c r="K340" s="61" t="str">
        <f aca="false">IFERROR(IF([2]对账明细接口!$K$340=0,"",[2]对账明细接口!$K$340),"")</f>
        <v/>
      </c>
      <c r="L340" s="59" t="str">
        <f aca="false">IFERROR(IF([2]对账明细接口!$L$340=0,"",[2]对账明细接口!$L$340),"")</f>
        <v/>
      </c>
      <c r="M340" s="59" t="str">
        <f aca="false">IFERROR(IF([2]对账明细接口!$M$340=0,"",[2]对账明细接口!$M$340),"")</f>
        <v/>
      </c>
      <c r="N340" s="111" t="n">
        <f aca="false">IF($C340="",0,1)</f>
        <v>0</v>
      </c>
      <c r="O340" s="111" t="n">
        <f aca="false">N(O339)+$N340</f>
        <v>311</v>
      </c>
      <c r="S340" s="10" t="str">
        <f aca="false">IFERROR(IF([2]对账明细接口!$N340=0,"",[2]对账明细接口!$N340),"")</f>
        <v/>
      </c>
      <c r="T340" s="112" t="str">
        <f aca="false">IFERROR(IF([2]对账明细接口!$O340=0,"",[2]对账明细接口!$O340),"")</f>
        <v/>
      </c>
      <c r="U340" s="112" t="str">
        <f aca="false">IFERROR(IF([2]对账明细接口!$P340=0,"",[2]对账明细接口!$P340),"")</f>
        <v/>
      </c>
      <c r="V340" s="112" t="str">
        <f aca="false">IFERROR(IF([2]对账明细接口!$Q340=0,"",[2]对账明细接口!$Q340),"")</f>
        <v/>
      </c>
      <c r="W340" s="10" t="str">
        <f aca="false">IFERROR(IF([2]对账明细接口!$R340=0,"",[2]对账明细接口!$R340),"")</f>
        <v/>
      </c>
      <c r="X340" s="10" t="str">
        <f aca="false">IFERROR(IF([2]对账明细接口!$S340=0,"",[2]对账明细接口!$S340),"")</f>
        <v/>
      </c>
      <c r="Y340" s="10" t="str">
        <f aca="false">IFERROR(IF([2]对账明细接口!$T340=0,"",[2]对账明细接口!$T340),"")</f>
        <v/>
      </c>
      <c r="Z340" s="113" t="str">
        <f aca="false">IFERROR(IF([2]对账明细接口!$U340=0,"",[2]对账明细接口!$U340),"")</f>
        <v/>
      </c>
      <c r="AA340" s="113" t="str">
        <f aca="false">IFERROR(IF([2]对账明细接口!$V340=0,"",[2]对账明细接口!$V340),"")</f>
        <v/>
      </c>
      <c r="AB340" s="10" t="str">
        <f aca="false">IFERROR(IF([2]对账明细接口!$W340=0,"",[2]对账明细接口!$W340),"")</f>
        <v/>
      </c>
      <c r="AC340" s="90" t="str">
        <f aca="false">IFERROR(IF([2]对账明细接口!$X341=0,"",[2]对账明细接口!$X341),"")</f>
        <v/>
      </c>
      <c r="AD340" s="90" t="str">
        <f aca="false">IFERROR(IF([2]对账明细接口!$Y341=0,"",[2]对账明细接口!$Y341),"")</f>
        <v/>
      </c>
      <c r="AE340" s="90" t="str">
        <f aca="false">IFERROR(IF([2]对账明细接口!$AA341=0,"",[2]对账明细接口!$AA341),"")</f>
        <v/>
      </c>
      <c r="AF340" s="90" t="str">
        <f aca="false">IFERROR(IF([2]对账明细接口!$AB341=0,"",[2]对账明细接口!$AB341),"")</f>
        <v/>
      </c>
      <c r="AG340" s="90" t="str">
        <f aca="false">IFERROR(IF([2]对账明细接口!$AC341=0,"",[2]对账明细接口!$AC341),"")</f>
        <v/>
      </c>
      <c r="AH340" s="90" t="str">
        <f aca="false">IFERROR(IF([2]对账明细接口!$AD341=0,"",[2]对账明细接口!$AD341),"")</f>
        <v/>
      </c>
    </row>
    <row r="341" customFormat="false" ht="13.5" hidden="false" customHeight="false" outlineLevel="0" collapsed="false">
      <c r="A341" s="109" t="n">
        <v>341</v>
      </c>
      <c r="B341" s="110" t="str">
        <f aca="false">IFERROR(IF([2]对账明细接口!$B$341=0,"",[2]对账明细接口!$B$341),"")</f>
        <v/>
      </c>
      <c r="C341" s="59" t="str">
        <f aca="false">IFERROR(IF([2]对账明细接口!$C$341=0,"",[2]对账明细接口!$C$341),"")</f>
        <v/>
      </c>
      <c r="D341" s="59" t="str">
        <f aca="false">IFERROR(IF([2]对账明细接口!$D$341=0,"",[2]对账明细接口!$D$341),"")</f>
        <v/>
      </c>
      <c r="E341" s="59" t="str">
        <f aca="false">IFERROR(IF([2]对账明细接口!$E$341=0,"",[2]对账明细接口!$E$341),"")</f>
        <v/>
      </c>
      <c r="F341" s="59" t="str">
        <f aca="false">IFERROR(IF([2]对账明细接口!$F$341=0,"",[2]对账明细接口!$F$341),"")</f>
        <v/>
      </c>
      <c r="G341" s="59" t="str">
        <f aca="false">IFERROR(IF([2]对账明细接口!$G$341=0,"",[2]对账明细接口!$G$341),"")</f>
        <v/>
      </c>
      <c r="H341" s="60" t="str">
        <f aca="false">IFERROR(IF([2]对账明细接口!$H$341=0,"",[2]对账明细接口!$H$341),"")</f>
        <v/>
      </c>
      <c r="I341" s="59" t="str">
        <f aca="false">IFERROR(IF([2]对账明细接口!$I$341=0,"",[2]对账明细接口!$I$341),"")</f>
        <v/>
      </c>
      <c r="J341" s="61" t="str">
        <f aca="false">IFERROR(IF([2]对账明细接口!$J$341=0,"",[2]对账明细接口!$J$341),"")</f>
        <v/>
      </c>
      <c r="K341" s="61" t="str">
        <f aca="false">IFERROR(IF([2]对账明细接口!$K$341=0,"",[2]对账明细接口!$K$341),"")</f>
        <v/>
      </c>
      <c r="L341" s="59" t="str">
        <f aca="false">IFERROR(IF([2]对账明细接口!$L$341=0,"",[2]对账明细接口!$L$341),"")</f>
        <v/>
      </c>
      <c r="M341" s="59" t="str">
        <f aca="false">IFERROR(IF([2]对账明细接口!$M$341=0,"",[2]对账明细接口!$M$341),"")</f>
        <v/>
      </c>
      <c r="N341" s="111" t="n">
        <f aca="false">IF($C341="",0,1)</f>
        <v>0</v>
      </c>
      <c r="O341" s="111" t="n">
        <f aca="false">N(O340)+$N341</f>
        <v>311</v>
      </c>
      <c r="S341" s="10" t="str">
        <f aca="false">IFERROR(IF([2]对账明细接口!$N341=0,"",[2]对账明细接口!$N341),"")</f>
        <v/>
      </c>
      <c r="T341" s="112" t="str">
        <f aca="false">IFERROR(IF([2]对账明细接口!$O341=0,"",[2]对账明细接口!$O341),"")</f>
        <v/>
      </c>
      <c r="U341" s="112" t="str">
        <f aca="false">IFERROR(IF([2]对账明细接口!$P341=0,"",[2]对账明细接口!$P341),"")</f>
        <v/>
      </c>
      <c r="V341" s="112" t="str">
        <f aca="false">IFERROR(IF([2]对账明细接口!$Q341=0,"",[2]对账明细接口!$Q341),"")</f>
        <v/>
      </c>
      <c r="W341" s="10" t="str">
        <f aca="false">IFERROR(IF([2]对账明细接口!$R341=0,"",[2]对账明细接口!$R341),"")</f>
        <v/>
      </c>
      <c r="X341" s="10" t="str">
        <f aca="false">IFERROR(IF([2]对账明细接口!$S341=0,"",[2]对账明细接口!$S341),"")</f>
        <v/>
      </c>
      <c r="Y341" s="10" t="str">
        <f aca="false">IFERROR(IF([2]对账明细接口!$T341=0,"",[2]对账明细接口!$T341),"")</f>
        <v/>
      </c>
      <c r="Z341" s="113" t="str">
        <f aca="false">IFERROR(IF([2]对账明细接口!$U341=0,"",[2]对账明细接口!$U341),"")</f>
        <v/>
      </c>
      <c r="AA341" s="113" t="str">
        <f aca="false">IFERROR(IF([2]对账明细接口!$V341=0,"",[2]对账明细接口!$V341),"")</f>
        <v/>
      </c>
      <c r="AB341" s="10" t="str">
        <f aca="false">IFERROR(IF([2]对账明细接口!$W341=0,"",[2]对账明细接口!$W341),"")</f>
        <v/>
      </c>
      <c r="AC341" s="90" t="str">
        <f aca="false">IFERROR(IF([2]对账明细接口!$X342=0,"",[2]对账明细接口!$X342),"")</f>
        <v/>
      </c>
      <c r="AD341" s="90" t="str">
        <f aca="false">IFERROR(IF([2]对账明细接口!$Y342=0,"",[2]对账明细接口!$Y342),"")</f>
        <v/>
      </c>
      <c r="AE341" s="90" t="str">
        <f aca="false">IFERROR(IF([2]对账明细接口!$AA342=0,"",[2]对账明细接口!$AA342),"")</f>
        <v/>
      </c>
      <c r="AF341" s="90" t="str">
        <f aca="false">IFERROR(IF([2]对账明细接口!$AB342=0,"",[2]对账明细接口!$AB342),"")</f>
        <v/>
      </c>
      <c r="AG341" s="90" t="str">
        <f aca="false">IFERROR(IF([2]对账明细接口!$AC342=0,"",[2]对账明细接口!$AC342),"")</f>
        <v/>
      </c>
      <c r="AH341" s="90" t="str">
        <f aca="false">IFERROR(IF([2]对账明细接口!$AD342=0,"",[2]对账明细接口!$AD342),"")</f>
        <v/>
      </c>
    </row>
    <row r="342" customFormat="false" ht="13.5" hidden="false" customHeight="false" outlineLevel="0" collapsed="false">
      <c r="A342" s="109" t="n">
        <v>342</v>
      </c>
      <c r="B342" s="110" t="str">
        <f aca="false">IFERROR(IF([2]对账明细接口!$B$342=0,"",[2]对账明细接口!$B$342),"")</f>
        <v/>
      </c>
      <c r="C342" s="59" t="str">
        <f aca="false">IFERROR(IF([2]对账明细接口!$C$342=0,"",[2]对账明细接口!$C$342),"")</f>
        <v/>
      </c>
      <c r="D342" s="59" t="str">
        <f aca="false">IFERROR(IF([2]对账明细接口!$D$342=0,"",[2]对账明细接口!$D$342),"")</f>
        <v/>
      </c>
      <c r="E342" s="59" t="str">
        <f aca="false">IFERROR(IF([2]对账明细接口!$E$342=0,"",[2]对账明细接口!$E$342),"")</f>
        <v/>
      </c>
      <c r="F342" s="59" t="str">
        <f aca="false">IFERROR(IF([2]对账明细接口!$F$342=0,"",[2]对账明细接口!$F$342),"")</f>
        <v/>
      </c>
      <c r="G342" s="59" t="str">
        <f aca="false">IFERROR(IF([2]对账明细接口!$G$342=0,"",[2]对账明细接口!$G$342),"")</f>
        <v/>
      </c>
      <c r="H342" s="60" t="str">
        <f aca="false">IFERROR(IF([2]对账明细接口!$H$342=0,"",[2]对账明细接口!$H$342),"")</f>
        <v/>
      </c>
      <c r="I342" s="59" t="str">
        <f aca="false">IFERROR(IF([2]对账明细接口!$I$342=0,"",[2]对账明细接口!$I$342),"")</f>
        <v/>
      </c>
      <c r="J342" s="61" t="str">
        <f aca="false">IFERROR(IF([2]对账明细接口!$J$342=0,"",[2]对账明细接口!$J$342),"")</f>
        <v/>
      </c>
      <c r="K342" s="61" t="str">
        <f aca="false">IFERROR(IF([2]对账明细接口!$K$342=0,"",[2]对账明细接口!$K$342),"")</f>
        <v/>
      </c>
      <c r="L342" s="59" t="str">
        <f aca="false">IFERROR(IF([2]对账明细接口!$L$342=0,"",[2]对账明细接口!$L$342),"")</f>
        <v/>
      </c>
      <c r="M342" s="59" t="str">
        <f aca="false">IFERROR(IF([2]对账明细接口!$M$342=0,"",[2]对账明细接口!$M$342),"")</f>
        <v/>
      </c>
      <c r="N342" s="111" t="n">
        <f aca="false">IF($C342="",0,1)</f>
        <v>0</v>
      </c>
      <c r="O342" s="111" t="n">
        <f aca="false">N(O341)+$N342</f>
        <v>311</v>
      </c>
      <c r="S342" s="10" t="str">
        <f aca="false">IFERROR(IF([2]对账明细接口!$N342=0,"",[2]对账明细接口!$N342),"")</f>
        <v/>
      </c>
      <c r="T342" s="112" t="str">
        <f aca="false">IFERROR(IF([2]对账明细接口!$O342=0,"",[2]对账明细接口!$O342),"")</f>
        <v/>
      </c>
      <c r="U342" s="112" t="str">
        <f aca="false">IFERROR(IF([2]对账明细接口!$P342=0,"",[2]对账明细接口!$P342),"")</f>
        <v/>
      </c>
      <c r="V342" s="112" t="str">
        <f aca="false">IFERROR(IF([2]对账明细接口!$Q342=0,"",[2]对账明细接口!$Q342),"")</f>
        <v/>
      </c>
      <c r="W342" s="10" t="str">
        <f aca="false">IFERROR(IF([2]对账明细接口!$R342=0,"",[2]对账明细接口!$R342),"")</f>
        <v/>
      </c>
      <c r="X342" s="10" t="str">
        <f aca="false">IFERROR(IF([2]对账明细接口!$S342=0,"",[2]对账明细接口!$S342),"")</f>
        <v/>
      </c>
      <c r="Y342" s="10" t="str">
        <f aca="false">IFERROR(IF([2]对账明细接口!$T342=0,"",[2]对账明细接口!$T342),"")</f>
        <v/>
      </c>
      <c r="Z342" s="113" t="str">
        <f aca="false">IFERROR(IF([2]对账明细接口!$U342=0,"",[2]对账明细接口!$U342),"")</f>
        <v/>
      </c>
      <c r="AA342" s="113" t="str">
        <f aca="false">IFERROR(IF([2]对账明细接口!$V342=0,"",[2]对账明细接口!$V342),"")</f>
        <v/>
      </c>
      <c r="AB342" s="10" t="str">
        <f aca="false">IFERROR(IF([2]对账明细接口!$W342=0,"",[2]对账明细接口!$W342),"")</f>
        <v/>
      </c>
      <c r="AC342" s="90" t="str">
        <f aca="false">IFERROR(IF([2]对账明细接口!$X343=0,"",[2]对账明细接口!$X343),"")</f>
        <v/>
      </c>
      <c r="AD342" s="90" t="str">
        <f aca="false">IFERROR(IF([2]对账明细接口!$Y343=0,"",[2]对账明细接口!$Y343),"")</f>
        <v/>
      </c>
      <c r="AE342" s="90" t="str">
        <f aca="false">IFERROR(IF([2]对账明细接口!$AA343=0,"",[2]对账明细接口!$AA343),"")</f>
        <v/>
      </c>
      <c r="AF342" s="90" t="str">
        <f aca="false">IFERROR(IF([2]对账明细接口!$AB343=0,"",[2]对账明细接口!$AB343),"")</f>
        <v/>
      </c>
      <c r="AG342" s="90" t="str">
        <f aca="false">IFERROR(IF([2]对账明细接口!$AC343=0,"",[2]对账明细接口!$AC343),"")</f>
        <v/>
      </c>
      <c r="AH342" s="90" t="str">
        <f aca="false">IFERROR(IF([2]对账明细接口!$AD343=0,"",[2]对账明细接口!$AD343),"")</f>
        <v/>
      </c>
    </row>
    <row r="343" customFormat="false" ht="13.5" hidden="false" customHeight="false" outlineLevel="0" collapsed="false">
      <c r="A343" s="109" t="n">
        <v>343</v>
      </c>
      <c r="B343" s="110" t="str">
        <f aca="false">IFERROR(IF([2]对账明细接口!$B$343=0,"",[2]对账明细接口!$B$343),"")</f>
        <v/>
      </c>
      <c r="C343" s="59" t="str">
        <f aca="false">IFERROR(IF([2]对账明细接口!$C$343=0,"",[2]对账明细接口!$C$343),"")</f>
        <v/>
      </c>
      <c r="D343" s="59" t="str">
        <f aca="false">IFERROR(IF([2]对账明细接口!$D$343=0,"",[2]对账明细接口!$D$343),"")</f>
        <v/>
      </c>
      <c r="E343" s="59" t="str">
        <f aca="false">IFERROR(IF([2]对账明细接口!$E$343=0,"",[2]对账明细接口!$E$343),"")</f>
        <v/>
      </c>
      <c r="F343" s="59" t="str">
        <f aca="false">IFERROR(IF([2]对账明细接口!$F$343=0,"",[2]对账明细接口!$F$343),"")</f>
        <v/>
      </c>
      <c r="G343" s="59" t="str">
        <f aca="false">IFERROR(IF([2]对账明细接口!$G$343=0,"",[2]对账明细接口!$G$343),"")</f>
        <v/>
      </c>
      <c r="H343" s="60" t="str">
        <f aca="false">IFERROR(IF([2]对账明细接口!$H$343=0,"",[2]对账明细接口!$H$343),"")</f>
        <v/>
      </c>
      <c r="I343" s="59" t="str">
        <f aca="false">IFERROR(IF([2]对账明细接口!$I$343=0,"",[2]对账明细接口!$I$343),"")</f>
        <v/>
      </c>
      <c r="J343" s="61" t="str">
        <f aca="false">IFERROR(IF([2]对账明细接口!$J$343=0,"",[2]对账明细接口!$J$343),"")</f>
        <v/>
      </c>
      <c r="K343" s="61" t="str">
        <f aca="false">IFERROR(IF([2]对账明细接口!$K$343=0,"",[2]对账明细接口!$K$343),"")</f>
        <v/>
      </c>
      <c r="L343" s="59" t="str">
        <f aca="false">IFERROR(IF([2]对账明细接口!$L$343=0,"",[2]对账明细接口!$L$343),"")</f>
        <v/>
      </c>
      <c r="M343" s="59" t="str">
        <f aca="false">IFERROR(IF([2]对账明细接口!$M$343=0,"",[2]对账明细接口!$M$343),"")</f>
        <v/>
      </c>
      <c r="N343" s="111" t="n">
        <f aca="false">IF($C343="",0,1)</f>
        <v>0</v>
      </c>
      <c r="O343" s="111" t="n">
        <f aca="false">N(O342)+$N343</f>
        <v>311</v>
      </c>
      <c r="S343" s="10" t="str">
        <f aca="false">IFERROR(IF([2]对账明细接口!$N343=0,"",[2]对账明细接口!$N343),"")</f>
        <v/>
      </c>
      <c r="T343" s="112" t="str">
        <f aca="false">IFERROR(IF([2]对账明细接口!$O343=0,"",[2]对账明细接口!$O343),"")</f>
        <v/>
      </c>
      <c r="U343" s="112" t="str">
        <f aca="false">IFERROR(IF([2]对账明细接口!$P343=0,"",[2]对账明细接口!$P343),"")</f>
        <v/>
      </c>
      <c r="V343" s="112" t="str">
        <f aca="false">IFERROR(IF([2]对账明细接口!$Q343=0,"",[2]对账明细接口!$Q343),"")</f>
        <v/>
      </c>
      <c r="W343" s="10" t="str">
        <f aca="false">IFERROR(IF([2]对账明细接口!$R343=0,"",[2]对账明细接口!$R343),"")</f>
        <v/>
      </c>
      <c r="X343" s="10" t="str">
        <f aca="false">IFERROR(IF([2]对账明细接口!$S343=0,"",[2]对账明细接口!$S343),"")</f>
        <v/>
      </c>
      <c r="Y343" s="10" t="str">
        <f aca="false">IFERROR(IF([2]对账明细接口!$T343=0,"",[2]对账明细接口!$T343),"")</f>
        <v/>
      </c>
      <c r="Z343" s="113" t="str">
        <f aca="false">IFERROR(IF([2]对账明细接口!$U343=0,"",[2]对账明细接口!$U343),"")</f>
        <v/>
      </c>
      <c r="AA343" s="113" t="str">
        <f aca="false">IFERROR(IF([2]对账明细接口!$V343=0,"",[2]对账明细接口!$V343),"")</f>
        <v/>
      </c>
      <c r="AB343" s="10" t="str">
        <f aca="false">IFERROR(IF([2]对账明细接口!$W343=0,"",[2]对账明细接口!$W343),"")</f>
        <v/>
      </c>
      <c r="AC343" s="90" t="str">
        <f aca="false">IFERROR(IF([2]对账明细接口!$X344=0,"",[2]对账明细接口!$X344),"")</f>
        <v/>
      </c>
      <c r="AD343" s="90" t="str">
        <f aca="false">IFERROR(IF([2]对账明细接口!$Y344=0,"",[2]对账明细接口!$Y344),"")</f>
        <v/>
      </c>
      <c r="AE343" s="90" t="str">
        <f aca="false">IFERROR(IF([2]对账明细接口!$AA344=0,"",[2]对账明细接口!$AA344),"")</f>
        <v/>
      </c>
      <c r="AF343" s="90" t="str">
        <f aca="false">IFERROR(IF([2]对账明细接口!$AB344=0,"",[2]对账明细接口!$AB344),"")</f>
        <v/>
      </c>
      <c r="AG343" s="90" t="str">
        <f aca="false">IFERROR(IF([2]对账明细接口!$AC344=0,"",[2]对账明细接口!$AC344),"")</f>
        <v/>
      </c>
      <c r="AH343" s="90" t="str">
        <f aca="false">IFERROR(IF([2]对账明细接口!$AD344=0,"",[2]对账明细接口!$AD344),"")</f>
        <v/>
      </c>
    </row>
    <row r="344" customFormat="false" ht="13.5" hidden="false" customHeight="false" outlineLevel="0" collapsed="false">
      <c r="A344" s="109" t="n">
        <v>344</v>
      </c>
      <c r="B344" s="110" t="str">
        <f aca="false">IFERROR(IF([2]对账明细接口!$B$344=0,"",[2]对账明细接口!$B$344),"")</f>
        <v/>
      </c>
      <c r="C344" s="59" t="str">
        <f aca="false">IFERROR(IF([2]对账明细接口!$C$344=0,"",[2]对账明细接口!$C$344),"")</f>
        <v/>
      </c>
      <c r="D344" s="59" t="str">
        <f aca="false">IFERROR(IF([2]对账明细接口!$D$344=0,"",[2]对账明细接口!$D$344),"")</f>
        <v/>
      </c>
      <c r="E344" s="59" t="str">
        <f aca="false">IFERROR(IF([2]对账明细接口!$E$344=0,"",[2]对账明细接口!$E$344),"")</f>
        <v/>
      </c>
      <c r="F344" s="59" t="str">
        <f aca="false">IFERROR(IF([2]对账明细接口!$F$344=0,"",[2]对账明细接口!$F$344),"")</f>
        <v/>
      </c>
      <c r="G344" s="59" t="str">
        <f aca="false">IFERROR(IF([2]对账明细接口!$G$344=0,"",[2]对账明细接口!$G$344),"")</f>
        <v/>
      </c>
      <c r="H344" s="60" t="str">
        <f aca="false">IFERROR(IF([2]对账明细接口!$H$344=0,"",[2]对账明细接口!$H$344),"")</f>
        <v/>
      </c>
      <c r="I344" s="59" t="str">
        <f aca="false">IFERROR(IF([2]对账明细接口!$I$344=0,"",[2]对账明细接口!$I$344),"")</f>
        <v/>
      </c>
      <c r="J344" s="61" t="str">
        <f aca="false">IFERROR(IF([2]对账明细接口!$J$344=0,"",[2]对账明细接口!$J$344),"")</f>
        <v/>
      </c>
      <c r="K344" s="61" t="str">
        <f aca="false">IFERROR(IF([2]对账明细接口!$K$344=0,"",[2]对账明细接口!$K$344),"")</f>
        <v/>
      </c>
      <c r="L344" s="59" t="str">
        <f aca="false">IFERROR(IF([2]对账明细接口!$L$344=0,"",[2]对账明细接口!$L$344),"")</f>
        <v/>
      </c>
      <c r="M344" s="59" t="str">
        <f aca="false">IFERROR(IF([2]对账明细接口!$M$344=0,"",[2]对账明细接口!$M$344),"")</f>
        <v/>
      </c>
      <c r="N344" s="111" t="n">
        <f aca="false">IF($C344="",0,1)</f>
        <v>0</v>
      </c>
      <c r="O344" s="111" t="n">
        <f aca="false">N(O343)+$N344</f>
        <v>311</v>
      </c>
      <c r="S344" s="10" t="str">
        <f aca="false">IFERROR(IF([2]对账明细接口!$N344=0,"",[2]对账明细接口!$N344),"")</f>
        <v/>
      </c>
      <c r="T344" s="112" t="str">
        <f aca="false">IFERROR(IF([2]对账明细接口!$O344=0,"",[2]对账明细接口!$O344),"")</f>
        <v/>
      </c>
      <c r="U344" s="112" t="str">
        <f aca="false">IFERROR(IF([2]对账明细接口!$P344=0,"",[2]对账明细接口!$P344),"")</f>
        <v/>
      </c>
      <c r="V344" s="112" t="str">
        <f aca="false">IFERROR(IF([2]对账明细接口!$Q344=0,"",[2]对账明细接口!$Q344),"")</f>
        <v/>
      </c>
      <c r="W344" s="10" t="str">
        <f aca="false">IFERROR(IF([2]对账明细接口!$R344=0,"",[2]对账明细接口!$R344),"")</f>
        <v/>
      </c>
      <c r="X344" s="10" t="str">
        <f aca="false">IFERROR(IF([2]对账明细接口!$S344=0,"",[2]对账明细接口!$S344),"")</f>
        <v/>
      </c>
      <c r="Y344" s="10" t="str">
        <f aca="false">IFERROR(IF([2]对账明细接口!$T344=0,"",[2]对账明细接口!$T344),"")</f>
        <v/>
      </c>
      <c r="Z344" s="113" t="str">
        <f aca="false">IFERROR(IF([2]对账明细接口!$U344=0,"",[2]对账明细接口!$U344),"")</f>
        <v/>
      </c>
      <c r="AA344" s="113" t="str">
        <f aca="false">IFERROR(IF([2]对账明细接口!$V344=0,"",[2]对账明细接口!$V344),"")</f>
        <v/>
      </c>
      <c r="AB344" s="10" t="str">
        <f aca="false">IFERROR(IF([2]对账明细接口!$W344=0,"",[2]对账明细接口!$W344),"")</f>
        <v/>
      </c>
      <c r="AC344" s="90" t="str">
        <f aca="false">IFERROR(IF([2]对账明细接口!$X345=0,"",[2]对账明细接口!$X345),"")</f>
        <v/>
      </c>
      <c r="AD344" s="90" t="str">
        <f aca="false">IFERROR(IF([2]对账明细接口!$Y345=0,"",[2]对账明细接口!$Y345),"")</f>
        <v/>
      </c>
      <c r="AE344" s="90" t="str">
        <f aca="false">IFERROR(IF([2]对账明细接口!$AA345=0,"",[2]对账明细接口!$AA345),"")</f>
        <v/>
      </c>
      <c r="AF344" s="90" t="str">
        <f aca="false">IFERROR(IF([2]对账明细接口!$AB345=0,"",[2]对账明细接口!$AB345),"")</f>
        <v/>
      </c>
      <c r="AG344" s="90" t="str">
        <f aca="false">IFERROR(IF([2]对账明细接口!$AC345=0,"",[2]对账明细接口!$AC345),"")</f>
        <v/>
      </c>
      <c r="AH344" s="90" t="str">
        <f aca="false">IFERROR(IF([2]对账明细接口!$AD345=0,"",[2]对账明细接口!$AD345),"")</f>
        <v/>
      </c>
    </row>
    <row r="345" customFormat="false" ht="13.5" hidden="false" customHeight="false" outlineLevel="0" collapsed="false">
      <c r="A345" s="109" t="n">
        <v>345</v>
      </c>
      <c r="B345" s="110" t="str">
        <f aca="false">IFERROR(IF([2]对账明细接口!$B$345=0,"",[2]对账明细接口!$B$345),"")</f>
        <v/>
      </c>
      <c r="C345" s="59" t="str">
        <f aca="false">IFERROR(IF([2]对账明细接口!$C$345=0,"",[2]对账明细接口!$C$345),"")</f>
        <v/>
      </c>
      <c r="D345" s="59" t="str">
        <f aca="false">IFERROR(IF([2]对账明细接口!$D$345=0,"",[2]对账明细接口!$D$345),"")</f>
        <v/>
      </c>
      <c r="E345" s="59" t="str">
        <f aca="false">IFERROR(IF([2]对账明细接口!$E$345=0,"",[2]对账明细接口!$E$345),"")</f>
        <v/>
      </c>
      <c r="F345" s="59" t="str">
        <f aca="false">IFERROR(IF([2]对账明细接口!$F$345=0,"",[2]对账明细接口!$F$345),"")</f>
        <v/>
      </c>
      <c r="G345" s="59" t="str">
        <f aca="false">IFERROR(IF([2]对账明细接口!$G$345=0,"",[2]对账明细接口!$G$345),"")</f>
        <v/>
      </c>
      <c r="H345" s="60" t="str">
        <f aca="false">IFERROR(IF([2]对账明细接口!$H$345=0,"",[2]对账明细接口!$H$345),"")</f>
        <v/>
      </c>
      <c r="I345" s="59" t="str">
        <f aca="false">IFERROR(IF([2]对账明细接口!$I$345=0,"",[2]对账明细接口!$I$345),"")</f>
        <v/>
      </c>
      <c r="J345" s="61" t="str">
        <f aca="false">IFERROR(IF([2]对账明细接口!$J$345=0,"",[2]对账明细接口!$J$345),"")</f>
        <v/>
      </c>
      <c r="K345" s="61" t="str">
        <f aca="false">IFERROR(IF([2]对账明细接口!$K$345=0,"",[2]对账明细接口!$K$345),"")</f>
        <v/>
      </c>
      <c r="L345" s="59" t="str">
        <f aca="false">IFERROR(IF([2]对账明细接口!$L$345=0,"",[2]对账明细接口!$L$345),"")</f>
        <v/>
      </c>
      <c r="M345" s="59" t="str">
        <f aca="false">IFERROR(IF([2]对账明细接口!$M$345=0,"",[2]对账明细接口!$M$345),"")</f>
        <v/>
      </c>
      <c r="N345" s="111" t="n">
        <f aca="false">IF($C345="",0,1)</f>
        <v>0</v>
      </c>
      <c r="O345" s="111" t="n">
        <f aca="false">N(O344)+$N345</f>
        <v>311</v>
      </c>
      <c r="S345" s="10" t="str">
        <f aca="false">IFERROR(IF([2]对账明细接口!$N345=0,"",[2]对账明细接口!$N345),"")</f>
        <v/>
      </c>
      <c r="T345" s="112" t="str">
        <f aca="false">IFERROR(IF([2]对账明细接口!$O345=0,"",[2]对账明细接口!$O345),"")</f>
        <v/>
      </c>
      <c r="U345" s="112" t="str">
        <f aca="false">IFERROR(IF([2]对账明细接口!$P345=0,"",[2]对账明细接口!$P345),"")</f>
        <v/>
      </c>
      <c r="V345" s="112" t="str">
        <f aca="false">IFERROR(IF([2]对账明细接口!$Q345=0,"",[2]对账明细接口!$Q345),"")</f>
        <v/>
      </c>
      <c r="W345" s="10" t="str">
        <f aca="false">IFERROR(IF([2]对账明细接口!$R345=0,"",[2]对账明细接口!$R345),"")</f>
        <v/>
      </c>
      <c r="X345" s="10" t="str">
        <f aca="false">IFERROR(IF([2]对账明细接口!$S345=0,"",[2]对账明细接口!$S345),"")</f>
        <v/>
      </c>
      <c r="Y345" s="10" t="str">
        <f aca="false">IFERROR(IF([2]对账明细接口!$T345=0,"",[2]对账明细接口!$T345),"")</f>
        <v/>
      </c>
      <c r="Z345" s="113" t="str">
        <f aca="false">IFERROR(IF([2]对账明细接口!$U345=0,"",[2]对账明细接口!$U345),"")</f>
        <v/>
      </c>
      <c r="AA345" s="113" t="str">
        <f aca="false">IFERROR(IF([2]对账明细接口!$V345=0,"",[2]对账明细接口!$V345),"")</f>
        <v/>
      </c>
      <c r="AB345" s="10" t="str">
        <f aca="false">IFERROR(IF([2]对账明细接口!$W345=0,"",[2]对账明细接口!$W345),"")</f>
        <v/>
      </c>
      <c r="AC345" s="90" t="str">
        <f aca="false">IFERROR(IF([2]对账明细接口!$X346=0,"",[2]对账明细接口!$X346),"")</f>
        <v/>
      </c>
      <c r="AD345" s="90" t="str">
        <f aca="false">IFERROR(IF([2]对账明细接口!$Y346=0,"",[2]对账明细接口!$Y346),"")</f>
        <v/>
      </c>
      <c r="AE345" s="90" t="str">
        <f aca="false">IFERROR(IF([2]对账明细接口!$AA346=0,"",[2]对账明细接口!$AA346),"")</f>
        <v/>
      </c>
      <c r="AF345" s="90" t="str">
        <f aca="false">IFERROR(IF([2]对账明细接口!$AB346=0,"",[2]对账明细接口!$AB346),"")</f>
        <v/>
      </c>
      <c r="AG345" s="90" t="str">
        <f aca="false">IFERROR(IF([2]对账明细接口!$AC346=0,"",[2]对账明细接口!$AC346),"")</f>
        <v/>
      </c>
      <c r="AH345" s="90" t="str">
        <f aca="false">IFERROR(IF([2]对账明细接口!$AD346=0,"",[2]对账明细接口!$AD346),"")</f>
        <v/>
      </c>
    </row>
    <row r="346" customFormat="false" ht="13.5" hidden="false" customHeight="false" outlineLevel="0" collapsed="false">
      <c r="A346" s="109" t="n">
        <v>346</v>
      </c>
      <c r="B346" s="110" t="str">
        <f aca="false">IFERROR(IF([2]对账明细接口!$B$346=0,"",[2]对账明细接口!$B$346),"")</f>
        <v/>
      </c>
      <c r="C346" s="59" t="str">
        <f aca="false">IFERROR(IF([2]对账明细接口!$C$346=0,"",[2]对账明细接口!$C$346),"")</f>
        <v/>
      </c>
      <c r="D346" s="59" t="str">
        <f aca="false">IFERROR(IF([2]对账明细接口!$D$346=0,"",[2]对账明细接口!$D$346),"")</f>
        <v/>
      </c>
      <c r="E346" s="59" t="str">
        <f aca="false">IFERROR(IF([2]对账明细接口!$E$346=0,"",[2]对账明细接口!$E$346),"")</f>
        <v/>
      </c>
      <c r="F346" s="59" t="str">
        <f aca="false">IFERROR(IF([2]对账明细接口!$F$346=0,"",[2]对账明细接口!$F$346),"")</f>
        <v/>
      </c>
      <c r="G346" s="59" t="str">
        <f aca="false">IFERROR(IF([2]对账明细接口!$G$346=0,"",[2]对账明细接口!$G$346),"")</f>
        <v/>
      </c>
      <c r="H346" s="60" t="str">
        <f aca="false">IFERROR(IF([2]对账明细接口!$H$346=0,"",[2]对账明细接口!$H$346),"")</f>
        <v/>
      </c>
      <c r="I346" s="59" t="str">
        <f aca="false">IFERROR(IF([2]对账明细接口!$I$346=0,"",[2]对账明细接口!$I$346),"")</f>
        <v/>
      </c>
      <c r="J346" s="61" t="str">
        <f aca="false">IFERROR(IF([2]对账明细接口!$J$346=0,"",[2]对账明细接口!$J$346),"")</f>
        <v/>
      </c>
      <c r="K346" s="61" t="str">
        <f aca="false">IFERROR(IF([2]对账明细接口!$K$346=0,"",[2]对账明细接口!$K$346),"")</f>
        <v/>
      </c>
      <c r="L346" s="59" t="str">
        <f aca="false">IFERROR(IF([2]对账明细接口!$L$346=0,"",[2]对账明细接口!$L$346),"")</f>
        <v/>
      </c>
      <c r="M346" s="59" t="str">
        <f aca="false">IFERROR(IF([2]对账明细接口!$M$346=0,"",[2]对账明细接口!$M$346),"")</f>
        <v/>
      </c>
      <c r="N346" s="111" t="n">
        <f aca="false">IF($C346="",0,1)</f>
        <v>0</v>
      </c>
      <c r="O346" s="111" t="n">
        <f aca="false">N(O345)+$N346</f>
        <v>311</v>
      </c>
      <c r="S346" s="10" t="str">
        <f aca="false">IFERROR(IF([2]对账明细接口!$N346=0,"",[2]对账明细接口!$N346),"")</f>
        <v/>
      </c>
      <c r="T346" s="112" t="str">
        <f aca="false">IFERROR(IF([2]对账明细接口!$O346=0,"",[2]对账明细接口!$O346),"")</f>
        <v/>
      </c>
      <c r="U346" s="112" t="str">
        <f aca="false">IFERROR(IF([2]对账明细接口!$P346=0,"",[2]对账明细接口!$P346),"")</f>
        <v/>
      </c>
      <c r="V346" s="112" t="str">
        <f aca="false">IFERROR(IF([2]对账明细接口!$Q346=0,"",[2]对账明细接口!$Q346),"")</f>
        <v/>
      </c>
      <c r="W346" s="10" t="str">
        <f aca="false">IFERROR(IF([2]对账明细接口!$R346=0,"",[2]对账明细接口!$R346),"")</f>
        <v/>
      </c>
      <c r="X346" s="10" t="str">
        <f aca="false">IFERROR(IF([2]对账明细接口!$S346=0,"",[2]对账明细接口!$S346),"")</f>
        <v/>
      </c>
      <c r="Y346" s="10" t="str">
        <f aca="false">IFERROR(IF([2]对账明细接口!$T346=0,"",[2]对账明细接口!$T346),"")</f>
        <v/>
      </c>
      <c r="Z346" s="113" t="str">
        <f aca="false">IFERROR(IF([2]对账明细接口!$U346=0,"",[2]对账明细接口!$U346),"")</f>
        <v/>
      </c>
      <c r="AA346" s="113" t="str">
        <f aca="false">IFERROR(IF([2]对账明细接口!$V346=0,"",[2]对账明细接口!$V346),"")</f>
        <v/>
      </c>
      <c r="AB346" s="10" t="str">
        <f aca="false">IFERROR(IF([2]对账明细接口!$W346=0,"",[2]对账明细接口!$W346),"")</f>
        <v/>
      </c>
      <c r="AC346" s="90" t="str">
        <f aca="false">IFERROR(IF([2]对账明细接口!$X347=0,"",[2]对账明细接口!$X347),"")</f>
        <v/>
      </c>
      <c r="AD346" s="90" t="str">
        <f aca="false">IFERROR(IF([2]对账明细接口!$Y347=0,"",[2]对账明细接口!$Y347),"")</f>
        <v/>
      </c>
      <c r="AE346" s="90" t="str">
        <f aca="false">IFERROR(IF([2]对账明细接口!$AA347=0,"",[2]对账明细接口!$AA347),"")</f>
        <v/>
      </c>
      <c r="AF346" s="90" t="str">
        <f aca="false">IFERROR(IF([2]对账明细接口!$AB347=0,"",[2]对账明细接口!$AB347),"")</f>
        <v/>
      </c>
      <c r="AG346" s="90" t="str">
        <f aca="false">IFERROR(IF([2]对账明细接口!$AC347=0,"",[2]对账明细接口!$AC347),"")</f>
        <v/>
      </c>
      <c r="AH346" s="90" t="str">
        <f aca="false">IFERROR(IF([2]对账明细接口!$AD347=0,"",[2]对账明细接口!$AD347),"")</f>
        <v/>
      </c>
    </row>
    <row r="347" customFormat="false" ht="13.5" hidden="false" customHeight="false" outlineLevel="0" collapsed="false">
      <c r="A347" s="109" t="n">
        <v>347</v>
      </c>
      <c r="B347" s="110" t="str">
        <f aca="false">IFERROR(IF([2]对账明细接口!$B$347=0,"",[2]对账明细接口!$B$347),"")</f>
        <v/>
      </c>
      <c r="C347" s="59" t="str">
        <f aca="false">IFERROR(IF([2]对账明细接口!$C$347=0,"",[2]对账明细接口!$C$347),"")</f>
        <v/>
      </c>
      <c r="D347" s="59" t="str">
        <f aca="false">IFERROR(IF([2]对账明细接口!$D$347=0,"",[2]对账明细接口!$D$347),"")</f>
        <v/>
      </c>
      <c r="E347" s="59" t="str">
        <f aca="false">IFERROR(IF([2]对账明细接口!$E$347=0,"",[2]对账明细接口!$E$347),"")</f>
        <v/>
      </c>
      <c r="F347" s="59" t="str">
        <f aca="false">IFERROR(IF([2]对账明细接口!$F$347=0,"",[2]对账明细接口!$F$347),"")</f>
        <v/>
      </c>
      <c r="G347" s="59" t="str">
        <f aca="false">IFERROR(IF([2]对账明细接口!$G$347=0,"",[2]对账明细接口!$G$347),"")</f>
        <v/>
      </c>
      <c r="H347" s="60" t="str">
        <f aca="false">IFERROR(IF([2]对账明细接口!$H$347=0,"",[2]对账明细接口!$H$347),"")</f>
        <v/>
      </c>
      <c r="I347" s="59" t="str">
        <f aca="false">IFERROR(IF([2]对账明细接口!$I$347=0,"",[2]对账明细接口!$I$347),"")</f>
        <v/>
      </c>
      <c r="J347" s="61" t="str">
        <f aca="false">IFERROR(IF([2]对账明细接口!$J$347=0,"",[2]对账明细接口!$J$347),"")</f>
        <v/>
      </c>
      <c r="K347" s="61" t="str">
        <f aca="false">IFERROR(IF([2]对账明细接口!$K$347=0,"",[2]对账明细接口!$K$347),"")</f>
        <v/>
      </c>
      <c r="L347" s="59" t="str">
        <f aca="false">IFERROR(IF([2]对账明细接口!$L$347=0,"",[2]对账明细接口!$L$347),"")</f>
        <v/>
      </c>
      <c r="M347" s="59" t="str">
        <f aca="false">IFERROR(IF([2]对账明细接口!$M$347=0,"",[2]对账明细接口!$M$347),"")</f>
        <v/>
      </c>
      <c r="N347" s="111" t="n">
        <f aca="false">IF($C347="",0,1)</f>
        <v>0</v>
      </c>
      <c r="O347" s="111" t="n">
        <f aca="false">N(O346)+$N347</f>
        <v>311</v>
      </c>
      <c r="S347" s="10" t="str">
        <f aca="false">IFERROR(IF([2]对账明细接口!$N347=0,"",[2]对账明细接口!$N347),"")</f>
        <v/>
      </c>
      <c r="T347" s="112" t="str">
        <f aca="false">IFERROR(IF([2]对账明细接口!$O347=0,"",[2]对账明细接口!$O347),"")</f>
        <v/>
      </c>
      <c r="U347" s="112" t="str">
        <f aca="false">IFERROR(IF([2]对账明细接口!$P347=0,"",[2]对账明细接口!$P347),"")</f>
        <v/>
      </c>
      <c r="V347" s="112" t="str">
        <f aca="false">IFERROR(IF([2]对账明细接口!$Q347=0,"",[2]对账明细接口!$Q347),"")</f>
        <v/>
      </c>
      <c r="W347" s="10" t="str">
        <f aca="false">IFERROR(IF([2]对账明细接口!$R347=0,"",[2]对账明细接口!$R347),"")</f>
        <v/>
      </c>
      <c r="X347" s="10" t="str">
        <f aca="false">IFERROR(IF([2]对账明细接口!$S347=0,"",[2]对账明细接口!$S347),"")</f>
        <v/>
      </c>
      <c r="Y347" s="10" t="str">
        <f aca="false">IFERROR(IF([2]对账明细接口!$T347=0,"",[2]对账明细接口!$T347),"")</f>
        <v/>
      </c>
      <c r="Z347" s="113" t="str">
        <f aca="false">IFERROR(IF([2]对账明细接口!$U347=0,"",[2]对账明细接口!$U347),"")</f>
        <v/>
      </c>
      <c r="AA347" s="113" t="str">
        <f aca="false">IFERROR(IF([2]对账明细接口!$V347=0,"",[2]对账明细接口!$V347),"")</f>
        <v/>
      </c>
      <c r="AB347" s="10" t="str">
        <f aca="false">IFERROR(IF([2]对账明细接口!$W347=0,"",[2]对账明细接口!$W347),"")</f>
        <v/>
      </c>
      <c r="AC347" s="90" t="str">
        <f aca="false">IFERROR(IF([2]对账明细接口!$X348=0,"",[2]对账明细接口!$X348),"")</f>
        <v/>
      </c>
      <c r="AD347" s="90" t="str">
        <f aca="false">IFERROR(IF([2]对账明细接口!$Y348=0,"",[2]对账明细接口!$Y348),"")</f>
        <v/>
      </c>
      <c r="AE347" s="90" t="str">
        <f aca="false">IFERROR(IF([2]对账明细接口!$AA348=0,"",[2]对账明细接口!$AA348),"")</f>
        <v/>
      </c>
      <c r="AF347" s="90" t="str">
        <f aca="false">IFERROR(IF([2]对账明细接口!$AB348=0,"",[2]对账明细接口!$AB348),"")</f>
        <v/>
      </c>
      <c r="AG347" s="90" t="str">
        <f aca="false">IFERROR(IF([2]对账明细接口!$AC348=0,"",[2]对账明细接口!$AC348),"")</f>
        <v/>
      </c>
      <c r="AH347" s="90" t="str">
        <f aca="false">IFERROR(IF([2]对账明细接口!$AD348=0,"",[2]对账明细接口!$AD348),"")</f>
        <v/>
      </c>
    </row>
    <row r="348" customFormat="false" ht="13.5" hidden="false" customHeight="false" outlineLevel="0" collapsed="false">
      <c r="A348" s="109" t="n">
        <v>348</v>
      </c>
      <c r="B348" s="110" t="str">
        <f aca="false">IFERROR(IF([2]对账明细接口!$B$348=0,"",[2]对账明细接口!$B$348),"")</f>
        <v/>
      </c>
      <c r="C348" s="59" t="str">
        <f aca="false">IFERROR(IF([2]对账明细接口!$C$348=0,"",[2]对账明细接口!$C$348),"")</f>
        <v/>
      </c>
      <c r="D348" s="59" t="str">
        <f aca="false">IFERROR(IF([2]对账明细接口!$D$348=0,"",[2]对账明细接口!$D$348),"")</f>
        <v/>
      </c>
      <c r="E348" s="59" t="str">
        <f aca="false">IFERROR(IF([2]对账明细接口!$E$348=0,"",[2]对账明细接口!$E$348),"")</f>
        <v/>
      </c>
      <c r="F348" s="59" t="str">
        <f aca="false">IFERROR(IF([2]对账明细接口!$F$348=0,"",[2]对账明细接口!$F$348),"")</f>
        <v/>
      </c>
      <c r="G348" s="59" t="str">
        <f aca="false">IFERROR(IF([2]对账明细接口!$G$348=0,"",[2]对账明细接口!$G$348),"")</f>
        <v/>
      </c>
      <c r="H348" s="60" t="str">
        <f aca="false">IFERROR(IF([2]对账明细接口!$H$348=0,"",[2]对账明细接口!$H$348),"")</f>
        <v/>
      </c>
      <c r="I348" s="59" t="str">
        <f aca="false">IFERROR(IF([2]对账明细接口!$I$348=0,"",[2]对账明细接口!$I$348),"")</f>
        <v/>
      </c>
      <c r="J348" s="61" t="str">
        <f aca="false">IFERROR(IF([2]对账明细接口!$J$348=0,"",[2]对账明细接口!$J$348),"")</f>
        <v/>
      </c>
      <c r="K348" s="61" t="str">
        <f aca="false">IFERROR(IF([2]对账明细接口!$K$348=0,"",[2]对账明细接口!$K$348),"")</f>
        <v/>
      </c>
      <c r="L348" s="59" t="str">
        <f aca="false">IFERROR(IF([2]对账明细接口!$L$348=0,"",[2]对账明细接口!$L$348),"")</f>
        <v/>
      </c>
      <c r="M348" s="59" t="str">
        <f aca="false">IFERROR(IF([2]对账明细接口!$M$348=0,"",[2]对账明细接口!$M$348),"")</f>
        <v/>
      </c>
      <c r="N348" s="111" t="n">
        <f aca="false">IF($C348="",0,1)</f>
        <v>0</v>
      </c>
      <c r="O348" s="111" t="n">
        <f aca="false">N(O347)+$N348</f>
        <v>311</v>
      </c>
      <c r="S348" s="10" t="str">
        <f aca="false">IFERROR(IF([2]对账明细接口!$N348=0,"",[2]对账明细接口!$N348),"")</f>
        <v/>
      </c>
      <c r="T348" s="112" t="str">
        <f aca="false">IFERROR(IF([2]对账明细接口!$O348=0,"",[2]对账明细接口!$O348),"")</f>
        <v/>
      </c>
      <c r="U348" s="112" t="str">
        <f aca="false">IFERROR(IF([2]对账明细接口!$P348=0,"",[2]对账明细接口!$P348),"")</f>
        <v/>
      </c>
      <c r="V348" s="112" t="str">
        <f aca="false">IFERROR(IF([2]对账明细接口!$Q348=0,"",[2]对账明细接口!$Q348),"")</f>
        <v/>
      </c>
      <c r="W348" s="10" t="str">
        <f aca="false">IFERROR(IF([2]对账明细接口!$R348=0,"",[2]对账明细接口!$R348),"")</f>
        <v/>
      </c>
      <c r="X348" s="10" t="str">
        <f aca="false">IFERROR(IF([2]对账明细接口!$S348=0,"",[2]对账明细接口!$S348),"")</f>
        <v/>
      </c>
      <c r="Y348" s="10" t="str">
        <f aca="false">IFERROR(IF([2]对账明细接口!$T348=0,"",[2]对账明细接口!$T348),"")</f>
        <v/>
      </c>
      <c r="Z348" s="113" t="str">
        <f aca="false">IFERROR(IF([2]对账明细接口!$U348=0,"",[2]对账明细接口!$U348),"")</f>
        <v/>
      </c>
      <c r="AA348" s="113" t="str">
        <f aca="false">IFERROR(IF([2]对账明细接口!$V348=0,"",[2]对账明细接口!$V348),"")</f>
        <v/>
      </c>
      <c r="AB348" s="10" t="str">
        <f aca="false">IFERROR(IF([2]对账明细接口!$W348=0,"",[2]对账明细接口!$W348),"")</f>
        <v/>
      </c>
      <c r="AC348" s="90" t="str">
        <f aca="false">IFERROR(IF([2]对账明细接口!$X349=0,"",[2]对账明细接口!$X349),"")</f>
        <v/>
      </c>
      <c r="AD348" s="90" t="str">
        <f aca="false">IFERROR(IF([2]对账明细接口!$Y349=0,"",[2]对账明细接口!$Y349),"")</f>
        <v/>
      </c>
      <c r="AE348" s="90" t="str">
        <f aca="false">IFERROR(IF([2]对账明细接口!$AA349=0,"",[2]对账明细接口!$AA349),"")</f>
        <v/>
      </c>
      <c r="AF348" s="90" t="str">
        <f aca="false">IFERROR(IF([2]对账明细接口!$AB349=0,"",[2]对账明细接口!$AB349),"")</f>
        <v/>
      </c>
      <c r="AG348" s="90" t="str">
        <f aca="false">IFERROR(IF([2]对账明细接口!$AC349=0,"",[2]对账明细接口!$AC349),"")</f>
        <v/>
      </c>
      <c r="AH348" s="90" t="str">
        <f aca="false">IFERROR(IF([2]对账明细接口!$AD349=0,"",[2]对账明细接口!$AD349),"")</f>
        <v/>
      </c>
    </row>
    <row r="349" customFormat="false" ht="13.5" hidden="false" customHeight="false" outlineLevel="0" collapsed="false">
      <c r="A349" s="109" t="n">
        <v>349</v>
      </c>
      <c r="B349" s="110" t="str">
        <f aca="false">IFERROR(IF([2]对账明细接口!$B$349=0,"",[2]对账明细接口!$B$349),"")</f>
        <v/>
      </c>
      <c r="C349" s="59" t="str">
        <f aca="false">IFERROR(IF([2]对账明细接口!$C$349=0,"",[2]对账明细接口!$C$349),"")</f>
        <v/>
      </c>
      <c r="D349" s="59" t="str">
        <f aca="false">IFERROR(IF([2]对账明细接口!$D$349=0,"",[2]对账明细接口!$D$349),"")</f>
        <v/>
      </c>
      <c r="E349" s="59" t="str">
        <f aca="false">IFERROR(IF([2]对账明细接口!$E$349=0,"",[2]对账明细接口!$E$349),"")</f>
        <v/>
      </c>
      <c r="F349" s="59" t="str">
        <f aca="false">IFERROR(IF([2]对账明细接口!$F$349=0,"",[2]对账明细接口!$F$349),"")</f>
        <v/>
      </c>
      <c r="G349" s="59" t="str">
        <f aca="false">IFERROR(IF([2]对账明细接口!$G$349=0,"",[2]对账明细接口!$G$349),"")</f>
        <v/>
      </c>
      <c r="H349" s="60" t="str">
        <f aca="false">IFERROR(IF([2]对账明细接口!$H$349=0,"",[2]对账明细接口!$H$349),"")</f>
        <v/>
      </c>
      <c r="I349" s="59" t="str">
        <f aca="false">IFERROR(IF([2]对账明细接口!$I$349=0,"",[2]对账明细接口!$I$349),"")</f>
        <v/>
      </c>
      <c r="J349" s="61" t="str">
        <f aca="false">IFERROR(IF([2]对账明细接口!$J$349=0,"",[2]对账明细接口!$J$349),"")</f>
        <v/>
      </c>
      <c r="K349" s="61" t="str">
        <f aca="false">IFERROR(IF([2]对账明细接口!$K$349=0,"",[2]对账明细接口!$K$349),"")</f>
        <v/>
      </c>
      <c r="L349" s="59" t="str">
        <f aca="false">IFERROR(IF([2]对账明细接口!$L$349=0,"",[2]对账明细接口!$L$349),"")</f>
        <v/>
      </c>
      <c r="M349" s="59" t="str">
        <f aca="false">IFERROR(IF([2]对账明细接口!$M$349=0,"",[2]对账明细接口!$M$349),"")</f>
        <v/>
      </c>
      <c r="N349" s="111" t="n">
        <f aca="false">IF($C349="",0,1)</f>
        <v>0</v>
      </c>
      <c r="O349" s="111" t="n">
        <f aca="false">N(O348)+$N349</f>
        <v>311</v>
      </c>
      <c r="S349" s="10" t="str">
        <f aca="false">IFERROR(IF([2]对账明细接口!$N349=0,"",[2]对账明细接口!$N349),"")</f>
        <v/>
      </c>
      <c r="T349" s="112" t="str">
        <f aca="false">IFERROR(IF([2]对账明细接口!$O349=0,"",[2]对账明细接口!$O349),"")</f>
        <v/>
      </c>
      <c r="U349" s="112" t="str">
        <f aca="false">IFERROR(IF([2]对账明细接口!$P349=0,"",[2]对账明细接口!$P349),"")</f>
        <v/>
      </c>
      <c r="V349" s="112" t="str">
        <f aca="false">IFERROR(IF([2]对账明细接口!$Q349=0,"",[2]对账明细接口!$Q349),"")</f>
        <v/>
      </c>
      <c r="W349" s="10" t="str">
        <f aca="false">IFERROR(IF([2]对账明细接口!$R349=0,"",[2]对账明细接口!$R349),"")</f>
        <v/>
      </c>
      <c r="X349" s="10" t="str">
        <f aca="false">IFERROR(IF([2]对账明细接口!$S349=0,"",[2]对账明细接口!$S349),"")</f>
        <v/>
      </c>
      <c r="Y349" s="10" t="str">
        <f aca="false">IFERROR(IF([2]对账明细接口!$T349=0,"",[2]对账明细接口!$T349),"")</f>
        <v/>
      </c>
      <c r="Z349" s="113" t="str">
        <f aca="false">IFERROR(IF([2]对账明细接口!$U349=0,"",[2]对账明细接口!$U349),"")</f>
        <v/>
      </c>
      <c r="AA349" s="113" t="str">
        <f aca="false">IFERROR(IF([2]对账明细接口!$V349=0,"",[2]对账明细接口!$V349),"")</f>
        <v/>
      </c>
      <c r="AB349" s="10" t="str">
        <f aca="false">IFERROR(IF([2]对账明细接口!$W349=0,"",[2]对账明细接口!$W349),"")</f>
        <v/>
      </c>
      <c r="AC349" s="90" t="str">
        <f aca="false">IFERROR(IF([2]对账明细接口!$X350=0,"",[2]对账明细接口!$X350),"")</f>
        <v/>
      </c>
      <c r="AD349" s="90" t="str">
        <f aca="false">IFERROR(IF([2]对账明细接口!$Y350=0,"",[2]对账明细接口!$Y350),"")</f>
        <v/>
      </c>
      <c r="AE349" s="90" t="str">
        <f aca="false">IFERROR(IF([2]对账明细接口!$AA350=0,"",[2]对账明细接口!$AA350),"")</f>
        <v/>
      </c>
      <c r="AF349" s="90" t="str">
        <f aca="false">IFERROR(IF([2]对账明细接口!$AB350=0,"",[2]对账明细接口!$AB350),"")</f>
        <v/>
      </c>
      <c r="AG349" s="90" t="str">
        <f aca="false">IFERROR(IF([2]对账明细接口!$AC350=0,"",[2]对账明细接口!$AC350),"")</f>
        <v/>
      </c>
      <c r="AH349" s="90" t="str">
        <f aca="false">IFERROR(IF([2]对账明细接口!$AD350=0,"",[2]对账明细接口!$AD350),"")</f>
        <v/>
      </c>
    </row>
    <row r="350" customFormat="false" ht="13.5" hidden="false" customHeight="false" outlineLevel="0" collapsed="false">
      <c r="A350" s="109" t="n">
        <v>350</v>
      </c>
      <c r="B350" s="110" t="str">
        <f aca="false">IFERROR(IF([2]对账明细接口!$B$350=0,"",[2]对账明细接口!$B$350),"")</f>
        <v/>
      </c>
      <c r="C350" s="59" t="str">
        <f aca="false">IFERROR(IF([2]对账明细接口!$C$350=0,"",[2]对账明细接口!$C$350),"")</f>
        <v/>
      </c>
      <c r="D350" s="59" t="str">
        <f aca="false">IFERROR(IF([2]对账明细接口!$D$350=0,"",[2]对账明细接口!$D$350),"")</f>
        <v/>
      </c>
      <c r="E350" s="59" t="str">
        <f aca="false">IFERROR(IF([2]对账明细接口!$E$350=0,"",[2]对账明细接口!$E$350),"")</f>
        <v/>
      </c>
      <c r="F350" s="59" t="str">
        <f aca="false">IFERROR(IF([2]对账明细接口!$F$350=0,"",[2]对账明细接口!$F$350),"")</f>
        <v/>
      </c>
      <c r="G350" s="59" t="str">
        <f aca="false">IFERROR(IF([2]对账明细接口!$G$350=0,"",[2]对账明细接口!$G$350),"")</f>
        <v/>
      </c>
      <c r="H350" s="60" t="str">
        <f aca="false">IFERROR(IF([2]对账明细接口!$H$350=0,"",[2]对账明细接口!$H$350),"")</f>
        <v/>
      </c>
      <c r="I350" s="59" t="str">
        <f aca="false">IFERROR(IF([2]对账明细接口!$I$350=0,"",[2]对账明细接口!$I$350),"")</f>
        <v/>
      </c>
      <c r="J350" s="61" t="str">
        <f aca="false">IFERROR(IF([2]对账明细接口!$J$350=0,"",[2]对账明细接口!$J$350),"")</f>
        <v/>
      </c>
      <c r="K350" s="61" t="str">
        <f aca="false">IFERROR(IF([2]对账明细接口!$K$350=0,"",[2]对账明细接口!$K$350),"")</f>
        <v/>
      </c>
      <c r="L350" s="59" t="str">
        <f aca="false">IFERROR(IF([2]对账明细接口!$L$350=0,"",[2]对账明细接口!$L$350),"")</f>
        <v/>
      </c>
      <c r="M350" s="59" t="str">
        <f aca="false">IFERROR(IF([2]对账明细接口!$M$350=0,"",[2]对账明细接口!$M$350),"")</f>
        <v/>
      </c>
      <c r="N350" s="111" t="n">
        <f aca="false">IF($C350="",0,1)</f>
        <v>0</v>
      </c>
      <c r="O350" s="111" t="n">
        <f aca="false">N(O349)+$N350</f>
        <v>311</v>
      </c>
      <c r="S350" s="10" t="str">
        <f aca="false">IFERROR(IF([2]对账明细接口!$N350=0,"",[2]对账明细接口!$N350),"")</f>
        <v/>
      </c>
      <c r="T350" s="112" t="str">
        <f aca="false">IFERROR(IF([2]对账明细接口!$O350=0,"",[2]对账明细接口!$O350),"")</f>
        <v/>
      </c>
      <c r="U350" s="112" t="str">
        <f aca="false">IFERROR(IF([2]对账明细接口!$P350=0,"",[2]对账明细接口!$P350),"")</f>
        <v/>
      </c>
      <c r="V350" s="112" t="str">
        <f aca="false">IFERROR(IF([2]对账明细接口!$Q350=0,"",[2]对账明细接口!$Q350),"")</f>
        <v/>
      </c>
      <c r="W350" s="10" t="str">
        <f aca="false">IFERROR(IF([2]对账明细接口!$R350=0,"",[2]对账明细接口!$R350),"")</f>
        <v/>
      </c>
      <c r="X350" s="10" t="str">
        <f aca="false">IFERROR(IF([2]对账明细接口!$S350=0,"",[2]对账明细接口!$S350),"")</f>
        <v/>
      </c>
      <c r="Y350" s="10" t="str">
        <f aca="false">IFERROR(IF([2]对账明细接口!$T350=0,"",[2]对账明细接口!$T350),"")</f>
        <v/>
      </c>
      <c r="Z350" s="113" t="str">
        <f aca="false">IFERROR(IF([2]对账明细接口!$U350=0,"",[2]对账明细接口!$U350),"")</f>
        <v/>
      </c>
      <c r="AA350" s="113" t="str">
        <f aca="false">IFERROR(IF([2]对账明细接口!$V350=0,"",[2]对账明细接口!$V350),"")</f>
        <v/>
      </c>
      <c r="AB350" s="10" t="str">
        <f aca="false">IFERROR(IF([2]对账明细接口!$W350=0,"",[2]对账明细接口!$W350),"")</f>
        <v/>
      </c>
      <c r="AC350" s="90" t="str">
        <f aca="false">IFERROR(IF([2]对账明细接口!$X351=0,"",[2]对账明细接口!$X351),"")</f>
        <v/>
      </c>
      <c r="AD350" s="90" t="str">
        <f aca="false">IFERROR(IF([2]对账明细接口!$Y351=0,"",[2]对账明细接口!$Y351),"")</f>
        <v/>
      </c>
      <c r="AE350" s="90" t="str">
        <f aca="false">IFERROR(IF([2]对账明细接口!$AA351=0,"",[2]对账明细接口!$AA351),"")</f>
        <v/>
      </c>
      <c r="AF350" s="90" t="str">
        <f aca="false">IFERROR(IF([2]对账明细接口!$AB351=0,"",[2]对账明细接口!$AB351),"")</f>
        <v/>
      </c>
      <c r="AG350" s="90" t="str">
        <f aca="false">IFERROR(IF([2]对账明细接口!$AC351=0,"",[2]对账明细接口!$AC351),"")</f>
        <v/>
      </c>
      <c r="AH350" s="90" t="str">
        <f aca="false">IFERROR(IF([2]对账明细接口!$AD351=0,"",[2]对账明细接口!$AD351),"")</f>
        <v/>
      </c>
    </row>
    <row r="351" customFormat="false" ht="13.5" hidden="false" customHeight="false" outlineLevel="0" collapsed="false">
      <c r="A351" s="109" t="n">
        <v>351</v>
      </c>
      <c r="B351" s="110" t="str">
        <f aca="false">IFERROR(IF([2]对账明细接口!$B$351=0,"",[2]对账明细接口!$B$351),"")</f>
        <v/>
      </c>
      <c r="C351" s="59" t="str">
        <f aca="false">IFERROR(IF([2]对账明细接口!$C$351=0,"",[2]对账明细接口!$C$351),"")</f>
        <v/>
      </c>
      <c r="D351" s="59" t="str">
        <f aca="false">IFERROR(IF([2]对账明细接口!$D$351=0,"",[2]对账明细接口!$D$351),"")</f>
        <v/>
      </c>
      <c r="E351" s="59" t="str">
        <f aca="false">IFERROR(IF([2]对账明细接口!$E$351=0,"",[2]对账明细接口!$E$351),"")</f>
        <v/>
      </c>
      <c r="F351" s="59" t="str">
        <f aca="false">IFERROR(IF([2]对账明细接口!$F$351=0,"",[2]对账明细接口!$F$351),"")</f>
        <v/>
      </c>
      <c r="G351" s="59" t="str">
        <f aca="false">IFERROR(IF([2]对账明细接口!$G$351=0,"",[2]对账明细接口!$G$351),"")</f>
        <v/>
      </c>
      <c r="H351" s="60" t="str">
        <f aca="false">IFERROR(IF([2]对账明细接口!$H$351=0,"",[2]对账明细接口!$H$351),"")</f>
        <v/>
      </c>
      <c r="I351" s="59" t="str">
        <f aca="false">IFERROR(IF([2]对账明细接口!$I$351=0,"",[2]对账明细接口!$I$351),"")</f>
        <v/>
      </c>
      <c r="J351" s="61" t="str">
        <f aca="false">IFERROR(IF([2]对账明细接口!$J$351=0,"",[2]对账明细接口!$J$351),"")</f>
        <v/>
      </c>
      <c r="K351" s="61" t="str">
        <f aca="false">IFERROR(IF([2]对账明细接口!$K$351=0,"",[2]对账明细接口!$K$351),"")</f>
        <v/>
      </c>
      <c r="L351" s="59" t="str">
        <f aca="false">IFERROR(IF([2]对账明细接口!$L$351=0,"",[2]对账明细接口!$L$351),"")</f>
        <v/>
      </c>
      <c r="M351" s="59" t="str">
        <f aca="false">IFERROR(IF([2]对账明细接口!$M$351=0,"",[2]对账明细接口!$M$351),"")</f>
        <v/>
      </c>
      <c r="N351" s="111" t="n">
        <f aca="false">IF($C351="",0,1)</f>
        <v>0</v>
      </c>
      <c r="O351" s="111" t="n">
        <f aca="false">N(O350)+$N351</f>
        <v>311</v>
      </c>
      <c r="S351" s="10" t="str">
        <f aca="false">IFERROR(IF([2]对账明细接口!$N351=0,"",[2]对账明细接口!$N351),"")</f>
        <v/>
      </c>
      <c r="T351" s="112" t="str">
        <f aca="false">IFERROR(IF([2]对账明细接口!$O351=0,"",[2]对账明细接口!$O351),"")</f>
        <v/>
      </c>
      <c r="U351" s="112" t="str">
        <f aca="false">IFERROR(IF([2]对账明细接口!$P351=0,"",[2]对账明细接口!$P351),"")</f>
        <v/>
      </c>
      <c r="V351" s="112" t="str">
        <f aca="false">IFERROR(IF([2]对账明细接口!$Q351=0,"",[2]对账明细接口!$Q351),"")</f>
        <v/>
      </c>
      <c r="W351" s="10" t="str">
        <f aca="false">IFERROR(IF([2]对账明细接口!$R351=0,"",[2]对账明细接口!$R351),"")</f>
        <v/>
      </c>
      <c r="X351" s="10" t="str">
        <f aca="false">IFERROR(IF([2]对账明细接口!$S351=0,"",[2]对账明细接口!$S351),"")</f>
        <v/>
      </c>
      <c r="Y351" s="10" t="str">
        <f aca="false">IFERROR(IF([2]对账明细接口!$T351=0,"",[2]对账明细接口!$T351),"")</f>
        <v/>
      </c>
      <c r="Z351" s="113" t="str">
        <f aca="false">IFERROR(IF([2]对账明细接口!$U351=0,"",[2]对账明细接口!$U351),"")</f>
        <v/>
      </c>
      <c r="AA351" s="113" t="str">
        <f aca="false">IFERROR(IF([2]对账明细接口!$V351=0,"",[2]对账明细接口!$V351),"")</f>
        <v/>
      </c>
      <c r="AB351" s="10" t="str">
        <f aca="false">IFERROR(IF([2]对账明细接口!$W351=0,"",[2]对账明细接口!$W351),"")</f>
        <v/>
      </c>
      <c r="AC351" s="90" t="str">
        <f aca="false">IFERROR(IF([2]对账明细接口!$X352=0,"",[2]对账明细接口!$X352),"")</f>
        <v/>
      </c>
      <c r="AD351" s="90" t="str">
        <f aca="false">IFERROR(IF([2]对账明细接口!$Y352=0,"",[2]对账明细接口!$Y352),"")</f>
        <v/>
      </c>
      <c r="AE351" s="90" t="str">
        <f aca="false">IFERROR(IF([2]对账明细接口!$AA352=0,"",[2]对账明细接口!$AA352),"")</f>
        <v/>
      </c>
      <c r="AF351" s="90" t="str">
        <f aca="false">IFERROR(IF([2]对账明细接口!$AB352=0,"",[2]对账明细接口!$AB352),"")</f>
        <v/>
      </c>
      <c r="AG351" s="90" t="str">
        <f aca="false">IFERROR(IF([2]对账明细接口!$AC352=0,"",[2]对账明细接口!$AC352),"")</f>
        <v/>
      </c>
      <c r="AH351" s="90" t="str">
        <f aca="false">IFERROR(IF([2]对账明细接口!$AD352=0,"",[2]对账明细接口!$AD352),"")</f>
        <v/>
      </c>
    </row>
    <row r="352" customFormat="false" ht="13.5" hidden="false" customHeight="false" outlineLevel="0" collapsed="false">
      <c r="A352" s="109" t="n">
        <v>352</v>
      </c>
      <c r="B352" s="110" t="str">
        <f aca="false">IFERROR(IF([2]对账明细接口!$B$352=0,"",[2]对账明细接口!$B$352),"")</f>
        <v/>
      </c>
      <c r="C352" s="59" t="str">
        <f aca="false">IFERROR(IF([2]对账明细接口!$C$352=0,"",[2]对账明细接口!$C$352),"")</f>
        <v/>
      </c>
      <c r="D352" s="59" t="str">
        <f aca="false">IFERROR(IF([2]对账明细接口!$D$352=0,"",[2]对账明细接口!$D$352),"")</f>
        <v/>
      </c>
      <c r="E352" s="59" t="str">
        <f aca="false">IFERROR(IF([2]对账明细接口!$E$352=0,"",[2]对账明细接口!$E$352),"")</f>
        <v/>
      </c>
      <c r="F352" s="59" t="str">
        <f aca="false">IFERROR(IF([2]对账明细接口!$F$352=0,"",[2]对账明细接口!$F$352),"")</f>
        <v/>
      </c>
      <c r="G352" s="59" t="str">
        <f aca="false">IFERROR(IF([2]对账明细接口!$G$352=0,"",[2]对账明细接口!$G$352),"")</f>
        <v/>
      </c>
      <c r="H352" s="60" t="str">
        <f aca="false">IFERROR(IF([2]对账明细接口!$H$352=0,"",[2]对账明细接口!$H$352),"")</f>
        <v/>
      </c>
      <c r="I352" s="59" t="str">
        <f aca="false">IFERROR(IF([2]对账明细接口!$I$352=0,"",[2]对账明细接口!$I$352),"")</f>
        <v/>
      </c>
      <c r="J352" s="61" t="str">
        <f aca="false">IFERROR(IF([2]对账明细接口!$J$352=0,"",[2]对账明细接口!$J$352),"")</f>
        <v/>
      </c>
      <c r="K352" s="61" t="str">
        <f aca="false">IFERROR(IF([2]对账明细接口!$K$352=0,"",[2]对账明细接口!$K$352),"")</f>
        <v/>
      </c>
      <c r="L352" s="59" t="str">
        <f aca="false">IFERROR(IF([2]对账明细接口!$L$352=0,"",[2]对账明细接口!$L$352),"")</f>
        <v/>
      </c>
      <c r="M352" s="59" t="str">
        <f aca="false">IFERROR(IF([2]对账明细接口!$M$352=0,"",[2]对账明细接口!$M$352),"")</f>
        <v/>
      </c>
      <c r="N352" s="111" t="n">
        <f aca="false">IF($C352="",0,1)</f>
        <v>0</v>
      </c>
      <c r="O352" s="111" t="n">
        <f aca="false">N(O351)+$N352</f>
        <v>311</v>
      </c>
      <c r="S352" s="10" t="str">
        <f aca="false">IFERROR(IF([2]对账明细接口!$N352=0,"",[2]对账明细接口!$N352),"")</f>
        <v/>
      </c>
      <c r="T352" s="112" t="str">
        <f aca="false">IFERROR(IF([2]对账明细接口!$O352=0,"",[2]对账明细接口!$O352),"")</f>
        <v/>
      </c>
      <c r="U352" s="112" t="str">
        <f aca="false">IFERROR(IF([2]对账明细接口!$P352=0,"",[2]对账明细接口!$P352),"")</f>
        <v/>
      </c>
      <c r="V352" s="112" t="str">
        <f aca="false">IFERROR(IF([2]对账明细接口!$Q352=0,"",[2]对账明细接口!$Q352),"")</f>
        <v/>
      </c>
      <c r="W352" s="10" t="str">
        <f aca="false">IFERROR(IF([2]对账明细接口!$R352=0,"",[2]对账明细接口!$R352),"")</f>
        <v/>
      </c>
      <c r="X352" s="10" t="str">
        <f aca="false">IFERROR(IF([2]对账明细接口!$S352=0,"",[2]对账明细接口!$S352),"")</f>
        <v/>
      </c>
      <c r="Y352" s="10" t="str">
        <f aca="false">IFERROR(IF([2]对账明细接口!$T352=0,"",[2]对账明细接口!$T352),"")</f>
        <v/>
      </c>
      <c r="Z352" s="113" t="str">
        <f aca="false">IFERROR(IF([2]对账明细接口!$U352=0,"",[2]对账明细接口!$U352),"")</f>
        <v/>
      </c>
      <c r="AA352" s="113" t="str">
        <f aca="false">IFERROR(IF([2]对账明细接口!$V352=0,"",[2]对账明细接口!$V352),"")</f>
        <v/>
      </c>
      <c r="AB352" s="10" t="str">
        <f aca="false">IFERROR(IF([2]对账明细接口!$W352=0,"",[2]对账明细接口!$W352),"")</f>
        <v/>
      </c>
      <c r="AC352" s="90" t="str">
        <f aca="false">IFERROR(IF([2]对账明细接口!$X353=0,"",[2]对账明细接口!$X353),"")</f>
        <v/>
      </c>
      <c r="AD352" s="90" t="str">
        <f aca="false">IFERROR(IF([2]对账明细接口!$Y353=0,"",[2]对账明细接口!$Y353),"")</f>
        <v/>
      </c>
      <c r="AE352" s="90" t="str">
        <f aca="false">IFERROR(IF([2]对账明细接口!$AA353=0,"",[2]对账明细接口!$AA353),"")</f>
        <v/>
      </c>
      <c r="AF352" s="90" t="str">
        <f aca="false">IFERROR(IF([2]对账明细接口!$AB353=0,"",[2]对账明细接口!$AB353),"")</f>
        <v/>
      </c>
      <c r="AG352" s="90" t="str">
        <f aca="false">IFERROR(IF([2]对账明细接口!$AC353=0,"",[2]对账明细接口!$AC353),"")</f>
        <v/>
      </c>
      <c r="AH352" s="90" t="str">
        <f aca="false">IFERROR(IF([2]对账明细接口!$AD353=0,"",[2]对账明细接口!$AD353),"")</f>
        <v/>
      </c>
    </row>
    <row r="353" customFormat="false" ht="13.5" hidden="false" customHeight="false" outlineLevel="0" collapsed="false">
      <c r="A353" s="109" t="n">
        <v>353</v>
      </c>
      <c r="B353" s="110" t="str">
        <f aca="false">IFERROR(IF([2]对账明细接口!$B$353=0,"",[2]对账明细接口!$B$353),"")</f>
        <v/>
      </c>
      <c r="C353" s="59" t="str">
        <f aca="false">IFERROR(IF([2]对账明细接口!$C$353=0,"",[2]对账明细接口!$C$353),"")</f>
        <v/>
      </c>
      <c r="D353" s="59" t="str">
        <f aca="false">IFERROR(IF([2]对账明细接口!$D$353=0,"",[2]对账明细接口!$D$353),"")</f>
        <v/>
      </c>
      <c r="E353" s="59" t="str">
        <f aca="false">IFERROR(IF([2]对账明细接口!$E$353=0,"",[2]对账明细接口!$E$353),"")</f>
        <v/>
      </c>
      <c r="F353" s="59" t="str">
        <f aca="false">IFERROR(IF([2]对账明细接口!$F$353=0,"",[2]对账明细接口!$F$353),"")</f>
        <v/>
      </c>
      <c r="G353" s="59" t="str">
        <f aca="false">IFERROR(IF([2]对账明细接口!$G$353=0,"",[2]对账明细接口!$G$353),"")</f>
        <v/>
      </c>
      <c r="H353" s="60" t="str">
        <f aca="false">IFERROR(IF([2]对账明细接口!$H$353=0,"",[2]对账明细接口!$H$353),"")</f>
        <v/>
      </c>
      <c r="I353" s="59" t="str">
        <f aca="false">IFERROR(IF([2]对账明细接口!$I$353=0,"",[2]对账明细接口!$I$353),"")</f>
        <v/>
      </c>
      <c r="J353" s="61" t="str">
        <f aca="false">IFERROR(IF([2]对账明细接口!$J$353=0,"",[2]对账明细接口!$J$353),"")</f>
        <v/>
      </c>
      <c r="K353" s="61" t="str">
        <f aca="false">IFERROR(IF([2]对账明细接口!$K$353=0,"",[2]对账明细接口!$K$353),"")</f>
        <v/>
      </c>
      <c r="L353" s="59" t="str">
        <f aca="false">IFERROR(IF([2]对账明细接口!$L$353=0,"",[2]对账明细接口!$L$353),"")</f>
        <v/>
      </c>
      <c r="M353" s="59" t="str">
        <f aca="false">IFERROR(IF([2]对账明细接口!$M$353=0,"",[2]对账明细接口!$M$353),"")</f>
        <v/>
      </c>
      <c r="N353" s="111" t="n">
        <f aca="false">IF($C353="",0,1)</f>
        <v>0</v>
      </c>
      <c r="O353" s="111" t="n">
        <f aca="false">N(O352)+$N353</f>
        <v>311</v>
      </c>
      <c r="S353" s="10" t="str">
        <f aca="false">IFERROR(IF([2]对账明细接口!$N353=0,"",[2]对账明细接口!$N353),"")</f>
        <v/>
      </c>
      <c r="T353" s="112" t="str">
        <f aca="false">IFERROR(IF([2]对账明细接口!$O353=0,"",[2]对账明细接口!$O353),"")</f>
        <v/>
      </c>
      <c r="U353" s="112" t="str">
        <f aca="false">IFERROR(IF([2]对账明细接口!$P353=0,"",[2]对账明细接口!$P353),"")</f>
        <v/>
      </c>
      <c r="V353" s="112" t="str">
        <f aca="false">IFERROR(IF([2]对账明细接口!$Q353=0,"",[2]对账明细接口!$Q353),"")</f>
        <v/>
      </c>
      <c r="W353" s="10" t="str">
        <f aca="false">IFERROR(IF([2]对账明细接口!$R353=0,"",[2]对账明细接口!$R353),"")</f>
        <v/>
      </c>
      <c r="X353" s="10" t="str">
        <f aca="false">IFERROR(IF([2]对账明细接口!$S353=0,"",[2]对账明细接口!$S353),"")</f>
        <v/>
      </c>
      <c r="Y353" s="10" t="str">
        <f aca="false">IFERROR(IF([2]对账明细接口!$T353=0,"",[2]对账明细接口!$T353),"")</f>
        <v/>
      </c>
      <c r="Z353" s="113" t="str">
        <f aca="false">IFERROR(IF([2]对账明细接口!$U353=0,"",[2]对账明细接口!$U353),"")</f>
        <v/>
      </c>
      <c r="AA353" s="113" t="str">
        <f aca="false">IFERROR(IF([2]对账明细接口!$V353=0,"",[2]对账明细接口!$V353),"")</f>
        <v/>
      </c>
      <c r="AB353" s="10" t="str">
        <f aca="false">IFERROR(IF([2]对账明细接口!$W353=0,"",[2]对账明细接口!$W353),"")</f>
        <v/>
      </c>
      <c r="AC353" s="90" t="str">
        <f aca="false">IFERROR(IF([2]对账明细接口!$X354=0,"",[2]对账明细接口!$X354),"")</f>
        <v/>
      </c>
      <c r="AD353" s="90" t="str">
        <f aca="false">IFERROR(IF([2]对账明细接口!$Y354=0,"",[2]对账明细接口!$Y354),"")</f>
        <v/>
      </c>
      <c r="AE353" s="90" t="str">
        <f aca="false">IFERROR(IF([2]对账明细接口!$AA354=0,"",[2]对账明细接口!$AA354),"")</f>
        <v/>
      </c>
      <c r="AF353" s="90" t="str">
        <f aca="false">IFERROR(IF([2]对账明细接口!$AB354=0,"",[2]对账明细接口!$AB354),"")</f>
        <v/>
      </c>
      <c r="AG353" s="90" t="str">
        <f aca="false">IFERROR(IF([2]对账明细接口!$AC354=0,"",[2]对账明细接口!$AC354),"")</f>
        <v/>
      </c>
      <c r="AH353" s="90" t="str">
        <f aca="false">IFERROR(IF([2]对账明细接口!$AD354=0,"",[2]对账明细接口!$AD354),"")</f>
        <v/>
      </c>
    </row>
    <row r="354" customFormat="false" ht="13.5" hidden="false" customHeight="false" outlineLevel="0" collapsed="false">
      <c r="A354" s="109" t="n">
        <v>354</v>
      </c>
      <c r="B354" s="110" t="str">
        <f aca="false">IFERROR(IF([2]对账明细接口!$B$354=0,"",[2]对账明细接口!$B$354),"")</f>
        <v/>
      </c>
      <c r="C354" s="59" t="str">
        <f aca="false">IFERROR(IF([2]对账明细接口!$C$354=0,"",[2]对账明细接口!$C$354),"")</f>
        <v/>
      </c>
      <c r="D354" s="59" t="str">
        <f aca="false">IFERROR(IF([2]对账明细接口!$D$354=0,"",[2]对账明细接口!$D$354),"")</f>
        <v/>
      </c>
      <c r="E354" s="59" t="str">
        <f aca="false">IFERROR(IF([2]对账明细接口!$E$354=0,"",[2]对账明细接口!$E$354),"")</f>
        <v/>
      </c>
      <c r="F354" s="59" t="str">
        <f aca="false">IFERROR(IF([2]对账明细接口!$F$354=0,"",[2]对账明细接口!$F$354),"")</f>
        <v/>
      </c>
      <c r="G354" s="59" t="str">
        <f aca="false">IFERROR(IF([2]对账明细接口!$G$354=0,"",[2]对账明细接口!$G$354),"")</f>
        <v/>
      </c>
      <c r="H354" s="60" t="str">
        <f aca="false">IFERROR(IF([2]对账明细接口!$H$354=0,"",[2]对账明细接口!$H$354),"")</f>
        <v/>
      </c>
      <c r="I354" s="59" t="str">
        <f aca="false">IFERROR(IF([2]对账明细接口!$I$354=0,"",[2]对账明细接口!$I$354),"")</f>
        <v/>
      </c>
      <c r="J354" s="61" t="str">
        <f aca="false">IFERROR(IF([2]对账明细接口!$J$354=0,"",[2]对账明细接口!$J$354),"")</f>
        <v/>
      </c>
      <c r="K354" s="61" t="str">
        <f aca="false">IFERROR(IF([2]对账明细接口!$K$354=0,"",[2]对账明细接口!$K$354),"")</f>
        <v/>
      </c>
      <c r="L354" s="59" t="str">
        <f aca="false">IFERROR(IF([2]对账明细接口!$L$354=0,"",[2]对账明细接口!$L$354),"")</f>
        <v/>
      </c>
      <c r="M354" s="59" t="str">
        <f aca="false">IFERROR(IF([2]对账明细接口!$M$354=0,"",[2]对账明细接口!$M$354),"")</f>
        <v/>
      </c>
      <c r="N354" s="111" t="n">
        <f aca="false">IF($C354="",0,1)</f>
        <v>0</v>
      </c>
      <c r="O354" s="111" t="n">
        <f aca="false">N(O353)+$N354</f>
        <v>311</v>
      </c>
      <c r="S354" s="10" t="str">
        <f aca="false">IFERROR(IF([2]对账明细接口!$N354=0,"",[2]对账明细接口!$N354),"")</f>
        <v/>
      </c>
      <c r="T354" s="112" t="str">
        <f aca="false">IFERROR(IF([2]对账明细接口!$O354=0,"",[2]对账明细接口!$O354),"")</f>
        <v/>
      </c>
      <c r="U354" s="112" t="str">
        <f aca="false">IFERROR(IF([2]对账明细接口!$P354=0,"",[2]对账明细接口!$P354),"")</f>
        <v/>
      </c>
      <c r="V354" s="112" t="str">
        <f aca="false">IFERROR(IF([2]对账明细接口!$Q354=0,"",[2]对账明细接口!$Q354),"")</f>
        <v/>
      </c>
      <c r="W354" s="10" t="str">
        <f aca="false">IFERROR(IF([2]对账明细接口!$R354=0,"",[2]对账明细接口!$R354),"")</f>
        <v/>
      </c>
      <c r="X354" s="10" t="str">
        <f aca="false">IFERROR(IF([2]对账明细接口!$S354=0,"",[2]对账明细接口!$S354),"")</f>
        <v/>
      </c>
      <c r="Y354" s="10" t="str">
        <f aca="false">IFERROR(IF([2]对账明细接口!$T354=0,"",[2]对账明细接口!$T354),"")</f>
        <v/>
      </c>
      <c r="Z354" s="113" t="str">
        <f aca="false">IFERROR(IF([2]对账明细接口!$U354=0,"",[2]对账明细接口!$U354),"")</f>
        <v/>
      </c>
      <c r="AA354" s="113" t="str">
        <f aca="false">IFERROR(IF([2]对账明细接口!$V354=0,"",[2]对账明细接口!$V354),"")</f>
        <v/>
      </c>
      <c r="AB354" s="10" t="str">
        <f aca="false">IFERROR(IF([2]对账明细接口!$W354=0,"",[2]对账明细接口!$W354),"")</f>
        <v/>
      </c>
      <c r="AC354" s="90" t="str">
        <f aca="false">IFERROR(IF([2]对账明细接口!$X355=0,"",[2]对账明细接口!$X355),"")</f>
        <v/>
      </c>
      <c r="AD354" s="90" t="str">
        <f aca="false">IFERROR(IF([2]对账明细接口!$Y355=0,"",[2]对账明细接口!$Y355),"")</f>
        <v/>
      </c>
      <c r="AE354" s="90" t="str">
        <f aca="false">IFERROR(IF([2]对账明细接口!$AA355=0,"",[2]对账明细接口!$AA355),"")</f>
        <v/>
      </c>
      <c r="AF354" s="90" t="str">
        <f aca="false">IFERROR(IF([2]对账明细接口!$AB355=0,"",[2]对账明细接口!$AB355),"")</f>
        <v/>
      </c>
      <c r="AG354" s="90" t="str">
        <f aca="false">IFERROR(IF([2]对账明细接口!$AC355=0,"",[2]对账明细接口!$AC355),"")</f>
        <v/>
      </c>
      <c r="AH354" s="90" t="str">
        <f aca="false">IFERROR(IF([2]对账明细接口!$AD355=0,"",[2]对账明细接口!$AD355),"")</f>
        <v/>
      </c>
    </row>
    <row r="355" customFormat="false" ht="13.5" hidden="false" customHeight="false" outlineLevel="0" collapsed="false">
      <c r="A355" s="109" t="n">
        <v>355</v>
      </c>
      <c r="B355" s="110" t="str">
        <f aca="false">IFERROR(IF([2]对账明细接口!$B$355=0,"",[2]对账明细接口!$B$355),"")</f>
        <v/>
      </c>
      <c r="C355" s="59" t="str">
        <f aca="false">IFERROR(IF([2]对账明细接口!$C$355=0,"",[2]对账明细接口!$C$355),"")</f>
        <v/>
      </c>
      <c r="D355" s="59" t="str">
        <f aca="false">IFERROR(IF([2]对账明细接口!$D$355=0,"",[2]对账明细接口!$D$355),"")</f>
        <v/>
      </c>
      <c r="E355" s="59" t="str">
        <f aca="false">IFERROR(IF([2]对账明细接口!$E$355=0,"",[2]对账明细接口!$E$355),"")</f>
        <v/>
      </c>
      <c r="F355" s="59" t="str">
        <f aca="false">IFERROR(IF([2]对账明细接口!$F$355=0,"",[2]对账明细接口!$F$355),"")</f>
        <v/>
      </c>
      <c r="G355" s="59" t="str">
        <f aca="false">IFERROR(IF([2]对账明细接口!$G$355=0,"",[2]对账明细接口!$G$355),"")</f>
        <v/>
      </c>
      <c r="H355" s="60" t="str">
        <f aca="false">IFERROR(IF([2]对账明细接口!$H$355=0,"",[2]对账明细接口!$H$355),"")</f>
        <v/>
      </c>
      <c r="I355" s="59" t="str">
        <f aca="false">IFERROR(IF([2]对账明细接口!$I$355=0,"",[2]对账明细接口!$I$355),"")</f>
        <v/>
      </c>
      <c r="J355" s="61" t="str">
        <f aca="false">IFERROR(IF([2]对账明细接口!$J$355=0,"",[2]对账明细接口!$J$355),"")</f>
        <v/>
      </c>
      <c r="K355" s="61" t="str">
        <f aca="false">IFERROR(IF([2]对账明细接口!$K$355=0,"",[2]对账明细接口!$K$355),"")</f>
        <v/>
      </c>
      <c r="L355" s="59" t="str">
        <f aca="false">IFERROR(IF([2]对账明细接口!$L$355=0,"",[2]对账明细接口!$L$355),"")</f>
        <v/>
      </c>
      <c r="M355" s="59" t="str">
        <f aca="false">IFERROR(IF([2]对账明细接口!$M$355=0,"",[2]对账明细接口!$M$355),"")</f>
        <v/>
      </c>
      <c r="N355" s="111" t="n">
        <f aca="false">IF($C355="",0,1)</f>
        <v>0</v>
      </c>
      <c r="O355" s="111" t="n">
        <f aca="false">N(O354)+$N355</f>
        <v>311</v>
      </c>
      <c r="S355" s="10" t="str">
        <f aca="false">IFERROR(IF([2]对账明细接口!$N355=0,"",[2]对账明细接口!$N355),"")</f>
        <v/>
      </c>
      <c r="T355" s="112" t="str">
        <f aca="false">IFERROR(IF([2]对账明细接口!$O355=0,"",[2]对账明细接口!$O355),"")</f>
        <v/>
      </c>
      <c r="U355" s="112" t="str">
        <f aca="false">IFERROR(IF([2]对账明细接口!$P355=0,"",[2]对账明细接口!$P355),"")</f>
        <v/>
      </c>
      <c r="V355" s="112" t="str">
        <f aca="false">IFERROR(IF([2]对账明细接口!$Q355=0,"",[2]对账明细接口!$Q355),"")</f>
        <v/>
      </c>
      <c r="W355" s="10" t="str">
        <f aca="false">IFERROR(IF([2]对账明细接口!$R355=0,"",[2]对账明细接口!$R355),"")</f>
        <v/>
      </c>
      <c r="X355" s="10" t="str">
        <f aca="false">IFERROR(IF([2]对账明细接口!$S355=0,"",[2]对账明细接口!$S355),"")</f>
        <v/>
      </c>
      <c r="Y355" s="10" t="str">
        <f aca="false">IFERROR(IF([2]对账明细接口!$T355=0,"",[2]对账明细接口!$T355),"")</f>
        <v/>
      </c>
      <c r="Z355" s="113" t="str">
        <f aca="false">IFERROR(IF([2]对账明细接口!$U355=0,"",[2]对账明细接口!$U355),"")</f>
        <v/>
      </c>
      <c r="AA355" s="113" t="str">
        <f aca="false">IFERROR(IF([2]对账明细接口!$V355=0,"",[2]对账明细接口!$V355),"")</f>
        <v/>
      </c>
      <c r="AB355" s="10" t="str">
        <f aca="false">IFERROR(IF([2]对账明细接口!$W355=0,"",[2]对账明细接口!$W355),"")</f>
        <v/>
      </c>
      <c r="AC355" s="90" t="str">
        <f aca="false">IFERROR(IF([2]对账明细接口!$X356=0,"",[2]对账明细接口!$X356),"")</f>
        <v/>
      </c>
      <c r="AD355" s="90" t="str">
        <f aca="false">IFERROR(IF([2]对账明细接口!$Y356=0,"",[2]对账明细接口!$Y356),"")</f>
        <v/>
      </c>
      <c r="AE355" s="90" t="str">
        <f aca="false">IFERROR(IF([2]对账明细接口!$AA356=0,"",[2]对账明细接口!$AA356),"")</f>
        <v/>
      </c>
      <c r="AF355" s="90" t="str">
        <f aca="false">IFERROR(IF([2]对账明细接口!$AB356=0,"",[2]对账明细接口!$AB356),"")</f>
        <v/>
      </c>
      <c r="AG355" s="90" t="str">
        <f aca="false">IFERROR(IF([2]对账明细接口!$AC356=0,"",[2]对账明细接口!$AC356),"")</f>
        <v/>
      </c>
      <c r="AH355" s="90" t="str">
        <f aca="false">IFERROR(IF([2]对账明细接口!$AD356=0,"",[2]对账明细接口!$AD356),"")</f>
        <v/>
      </c>
    </row>
    <row r="356" customFormat="false" ht="13.5" hidden="false" customHeight="false" outlineLevel="0" collapsed="false">
      <c r="A356" s="109" t="n">
        <v>356</v>
      </c>
      <c r="B356" s="110" t="str">
        <f aca="false">IFERROR(IF([2]对账明细接口!$B$356=0,"",[2]对账明细接口!$B$356),"")</f>
        <v/>
      </c>
      <c r="C356" s="59" t="str">
        <f aca="false">IFERROR(IF([2]对账明细接口!$C$356=0,"",[2]对账明细接口!$C$356),"")</f>
        <v/>
      </c>
      <c r="D356" s="59" t="str">
        <f aca="false">IFERROR(IF([2]对账明细接口!$D$356=0,"",[2]对账明细接口!$D$356),"")</f>
        <v/>
      </c>
      <c r="E356" s="59" t="str">
        <f aca="false">IFERROR(IF([2]对账明细接口!$E$356=0,"",[2]对账明细接口!$E$356),"")</f>
        <v/>
      </c>
      <c r="F356" s="59" t="str">
        <f aca="false">IFERROR(IF([2]对账明细接口!$F$356=0,"",[2]对账明细接口!$F$356),"")</f>
        <v/>
      </c>
      <c r="G356" s="59" t="str">
        <f aca="false">IFERROR(IF([2]对账明细接口!$G$356=0,"",[2]对账明细接口!$G$356),"")</f>
        <v/>
      </c>
      <c r="H356" s="60" t="str">
        <f aca="false">IFERROR(IF([2]对账明细接口!$H$356=0,"",[2]对账明细接口!$H$356),"")</f>
        <v/>
      </c>
      <c r="I356" s="59" t="str">
        <f aca="false">IFERROR(IF([2]对账明细接口!$I$356=0,"",[2]对账明细接口!$I$356),"")</f>
        <v/>
      </c>
      <c r="J356" s="61" t="str">
        <f aca="false">IFERROR(IF([2]对账明细接口!$J$356=0,"",[2]对账明细接口!$J$356),"")</f>
        <v/>
      </c>
      <c r="K356" s="61" t="str">
        <f aca="false">IFERROR(IF([2]对账明细接口!$K$356=0,"",[2]对账明细接口!$K$356),"")</f>
        <v/>
      </c>
      <c r="L356" s="59" t="str">
        <f aca="false">IFERROR(IF([2]对账明细接口!$L$356=0,"",[2]对账明细接口!$L$356),"")</f>
        <v/>
      </c>
      <c r="M356" s="59" t="str">
        <f aca="false">IFERROR(IF([2]对账明细接口!$M$356=0,"",[2]对账明细接口!$M$356),"")</f>
        <v/>
      </c>
      <c r="N356" s="111" t="n">
        <f aca="false">IF($C356="",0,1)</f>
        <v>0</v>
      </c>
      <c r="O356" s="111" t="n">
        <f aca="false">N(O355)+$N356</f>
        <v>311</v>
      </c>
      <c r="S356" s="10" t="str">
        <f aca="false">IFERROR(IF([2]对账明细接口!$N356=0,"",[2]对账明细接口!$N356),"")</f>
        <v/>
      </c>
      <c r="T356" s="112" t="str">
        <f aca="false">IFERROR(IF([2]对账明细接口!$O356=0,"",[2]对账明细接口!$O356),"")</f>
        <v/>
      </c>
      <c r="U356" s="112" t="str">
        <f aca="false">IFERROR(IF([2]对账明细接口!$P356=0,"",[2]对账明细接口!$P356),"")</f>
        <v/>
      </c>
      <c r="V356" s="112" t="str">
        <f aca="false">IFERROR(IF([2]对账明细接口!$Q356=0,"",[2]对账明细接口!$Q356),"")</f>
        <v/>
      </c>
      <c r="W356" s="10" t="str">
        <f aca="false">IFERROR(IF([2]对账明细接口!$R356=0,"",[2]对账明细接口!$R356),"")</f>
        <v/>
      </c>
      <c r="X356" s="10" t="str">
        <f aca="false">IFERROR(IF([2]对账明细接口!$S356=0,"",[2]对账明细接口!$S356),"")</f>
        <v/>
      </c>
      <c r="Y356" s="10" t="str">
        <f aca="false">IFERROR(IF([2]对账明细接口!$T356=0,"",[2]对账明细接口!$T356),"")</f>
        <v/>
      </c>
      <c r="Z356" s="113" t="str">
        <f aca="false">IFERROR(IF([2]对账明细接口!$U356=0,"",[2]对账明细接口!$U356),"")</f>
        <v/>
      </c>
      <c r="AA356" s="113" t="str">
        <f aca="false">IFERROR(IF([2]对账明细接口!$V356=0,"",[2]对账明细接口!$V356),"")</f>
        <v/>
      </c>
      <c r="AB356" s="10" t="str">
        <f aca="false">IFERROR(IF([2]对账明细接口!$W356=0,"",[2]对账明细接口!$W356),"")</f>
        <v/>
      </c>
      <c r="AC356" s="90" t="str">
        <f aca="false">IFERROR(IF([2]对账明细接口!$X357=0,"",[2]对账明细接口!$X357),"")</f>
        <v/>
      </c>
      <c r="AD356" s="90" t="str">
        <f aca="false">IFERROR(IF([2]对账明细接口!$Y357=0,"",[2]对账明细接口!$Y357),"")</f>
        <v/>
      </c>
      <c r="AE356" s="90" t="str">
        <f aca="false">IFERROR(IF([2]对账明细接口!$AA357=0,"",[2]对账明细接口!$AA357),"")</f>
        <v/>
      </c>
      <c r="AF356" s="90" t="str">
        <f aca="false">IFERROR(IF([2]对账明细接口!$AB357=0,"",[2]对账明细接口!$AB357),"")</f>
        <v/>
      </c>
      <c r="AG356" s="90" t="str">
        <f aca="false">IFERROR(IF([2]对账明细接口!$AC357=0,"",[2]对账明细接口!$AC357),"")</f>
        <v/>
      </c>
      <c r="AH356" s="90" t="str">
        <f aca="false">IFERROR(IF([2]对账明细接口!$AD357=0,"",[2]对账明细接口!$AD357),"")</f>
        <v/>
      </c>
    </row>
    <row r="357" customFormat="false" ht="13.5" hidden="false" customHeight="false" outlineLevel="0" collapsed="false">
      <c r="A357" s="109" t="n">
        <v>357</v>
      </c>
      <c r="B357" s="110" t="str">
        <f aca="false">IFERROR(IF([2]对账明细接口!$B$357=0,"",[2]对账明细接口!$B$357),"")</f>
        <v/>
      </c>
      <c r="C357" s="59" t="str">
        <f aca="false">IFERROR(IF([2]对账明细接口!$C$357=0,"",[2]对账明细接口!$C$357),"")</f>
        <v/>
      </c>
      <c r="D357" s="59" t="str">
        <f aca="false">IFERROR(IF([2]对账明细接口!$D$357=0,"",[2]对账明细接口!$D$357),"")</f>
        <v/>
      </c>
      <c r="E357" s="59" t="str">
        <f aca="false">IFERROR(IF([2]对账明细接口!$E$357=0,"",[2]对账明细接口!$E$357),"")</f>
        <v/>
      </c>
      <c r="F357" s="59" t="str">
        <f aca="false">IFERROR(IF([2]对账明细接口!$F$357=0,"",[2]对账明细接口!$F$357),"")</f>
        <v/>
      </c>
      <c r="G357" s="59" t="str">
        <f aca="false">IFERROR(IF([2]对账明细接口!$G$357=0,"",[2]对账明细接口!$G$357),"")</f>
        <v/>
      </c>
      <c r="H357" s="60" t="str">
        <f aca="false">IFERROR(IF([2]对账明细接口!$H$357=0,"",[2]对账明细接口!$H$357),"")</f>
        <v/>
      </c>
      <c r="I357" s="59" t="str">
        <f aca="false">IFERROR(IF([2]对账明细接口!$I$357=0,"",[2]对账明细接口!$I$357),"")</f>
        <v/>
      </c>
      <c r="J357" s="61" t="str">
        <f aca="false">IFERROR(IF([2]对账明细接口!$J$357=0,"",[2]对账明细接口!$J$357),"")</f>
        <v/>
      </c>
      <c r="K357" s="61" t="str">
        <f aca="false">IFERROR(IF([2]对账明细接口!$K$357=0,"",[2]对账明细接口!$K$357),"")</f>
        <v/>
      </c>
      <c r="L357" s="59" t="str">
        <f aca="false">IFERROR(IF([2]对账明细接口!$L$357=0,"",[2]对账明细接口!$L$357),"")</f>
        <v/>
      </c>
      <c r="M357" s="59" t="str">
        <f aca="false">IFERROR(IF([2]对账明细接口!$M$357=0,"",[2]对账明细接口!$M$357),"")</f>
        <v/>
      </c>
      <c r="N357" s="111" t="n">
        <f aca="false">IF($C357="",0,1)</f>
        <v>0</v>
      </c>
      <c r="O357" s="111" t="n">
        <f aca="false">N(O356)+$N357</f>
        <v>311</v>
      </c>
      <c r="S357" s="10" t="str">
        <f aca="false">IFERROR(IF([2]对账明细接口!$N357=0,"",[2]对账明细接口!$N357),"")</f>
        <v/>
      </c>
      <c r="T357" s="112" t="str">
        <f aca="false">IFERROR(IF([2]对账明细接口!$O357=0,"",[2]对账明细接口!$O357),"")</f>
        <v/>
      </c>
      <c r="U357" s="112" t="str">
        <f aca="false">IFERROR(IF([2]对账明细接口!$P357=0,"",[2]对账明细接口!$P357),"")</f>
        <v/>
      </c>
      <c r="V357" s="112" t="str">
        <f aca="false">IFERROR(IF([2]对账明细接口!$Q357=0,"",[2]对账明细接口!$Q357),"")</f>
        <v/>
      </c>
      <c r="W357" s="10" t="str">
        <f aca="false">IFERROR(IF([2]对账明细接口!$R357=0,"",[2]对账明细接口!$R357),"")</f>
        <v/>
      </c>
      <c r="X357" s="10" t="str">
        <f aca="false">IFERROR(IF([2]对账明细接口!$S357=0,"",[2]对账明细接口!$S357),"")</f>
        <v/>
      </c>
      <c r="Y357" s="10" t="str">
        <f aca="false">IFERROR(IF([2]对账明细接口!$T357=0,"",[2]对账明细接口!$T357),"")</f>
        <v/>
      </c>
      <c r="Z357" s="113" t="str">
        <f aca="false">IFERROR(IF([2]对账明细接口!$U357=0,"",[2]对账明细接口!$U357),"")</f>
        <v/>
      </c>
      <c r="AA357" s="113" t="str">
        <f aca="false">IFERROR(IF([2]对账明细接口!$V357=0,"",[2]对账明细接口!$V357),"")</f>
        <v/>
      </c>
      <c r="AB357" s="10" t="str">
        <f aca="false">IFERROR(IF([2]对账明细接口!$W357=0,"",[2]对账明细接口!$W357),"")</f>
        <v/>
      </c>
      <c r="AC357" s="90" t="str">
        <f aca="false">IFERROR(IF([2]对账明细接口!$X358=0,"",[2]对账明细接口!$X358),"")</f>
        <v/>
      </c>
      <c r="AD357" s="90" t="str">
        <f aca="false">IFERROR(IF([2]对账明细接口!$Y358=0,"",[2]对账明细接口!$Y358),"")</f>
        <v/>
      </c>
      <c r="AE357" s="90" t="str">
        <f aca="false">IFERROR(IF([2]对账明细接口!$AA358=0,"",[2]对账明细接口!$AA358),"")</f>
        <v/>
      </c>
      <c r="AF357" s="90" t="str">
        <f aca="false">IFERROR(IF([2]对账明细接口!$AB358=0,"",[2]对账明细接口!$AB358),"")</f>
        <v/>
      </c>
      <c r="AG357" s="90" t="str">
        <f aca="false">IFERROR(IF([2]对账明细接口!$AC358=0,"",[2]对账明细接口!$AC358),"")</f>
        <v/>
      </c>
      <c r="AH357" s="90" t="str">
        <f aca="false">IFERROR(IF([2]对账明细接口!$AD358=0,"",[2]对账明细接口!$AD358),"")</f>
        <v/>
      </c>
    </row>
    <row r="358" customFormat="false" ht="13.5" hidden="false" customHeight="false" outlineLevel="0" collapsed="false">
      <c r="A358" s="109" t="n">
        <v>358</v>
      </c>
      <c r="B358" s="110" t="str">
        <f aca="false">IFERROR(IF([2]对账明细接口!$B$358=0,"",[2]对账明细接口!$B$358),"")</f>
        <v/>
      </c>
      <c r="C358" s="59" t="str">
        <f aca="false">IFERROR(IF([2]对账明细接口!$C$358=0,"",[2]对账明细接口!$C$358),"")</f>
        <v/>
      </c>
      <c r="D358" s="59" t="str">
        <f aca="false">IFERROR(IF([2]对账明细接口!$D$358=0,"",[2]对账明细接口!$D$358),"")</f>
        <v/>
      </c>
      <c r="E358" s="59" t="str">
        <f aca="false">IFERROR(IF([2]对账明细接口!$E$358=0,"",[2]对账明细接口!$E$358),"")</f>
        <v/>
      </c>
      <c r="F358" s="59" t="str">
        <f aca="false">IFERROR(IF([2]对账明细接口!$F$358=0,"",[2]对账明细接口!$F$358),"")</f>
        <v/>
      </c>
      <c r="G358" s="59" t="str">
        <f aca="false">IFERROR(IF([2]对账明细接口!$G$358=0,"",[2]对账明细接口!$G$358),"")</f>
        <v/>
      </c>
      <c r="H358" s="60" t="str">
        <f aca="false">IFERROR(IF([2]对账明细接口!$H$358=0,"",[2]对账明细接口!$H$358),"")</f>
        <v/>
      </c>
      <c r="I358" s="59" t="str">
        <f aca="false">IFERROR(IF([2]对账明细接口!$I$358=0,"",[2]对账明细接口!$I$358),"")</f>
        <v/>
      </c>
      <c r="J358" s="61" t="str">
        <f aca="false">IFERROR(IF([2]对账明细接口!$J$358=0,"",[2]对账明细接口!$J$358),"")</f>
        <v/>
      </c>
      <c r="K358" s="61" t="str">
        <f aca="false">IFERROR(IF([2]对账明细接口!$K$358=0,"",[2]对账明细接口!$K$358),"")</f>
        <v/>
      </c>
      <c r="L358" s="59" t="str">
        <f aca="false">IFERROR(IF([2]对账明细接口!$L$358=0,"",[2]对账明细接口!$L$358),"")</f>
        <v/>
      </c>
      <c r="M358" s="59" t="str">
        <f aca="false">IFERROR(IF([2]对账明细接口!$M$358=0,"",[2]对账明细接口!$M$358),"")</f>
        <v/>
      </c>
      <c r="N358" s="111" t="n">
        <f aca="false">IF($C358="",0,1)</f>
        <v>0</v>
      </c>
      <c r="O358" s="111" t="n">
        <f aca="false">N(O357)+$N358</f>
        <v>311</v>
      </c>
      <c r="S358" s="10" t="str">
        <f aca="false">IFERROR(IF([2]对账明细接口!$N358=0,"",[2]对账明细接口!$N358),"")</f>
        <v/>
      </c>
      <c r="T358" s="112" t="str">
        <f aca="false">IFERROR(IF([2]对账明细接口!$O358=0,"",[2]对账明细接口!$O358),"")</f>
        <v/>
      </c>
      <c r="U358" s="112" t="str">
        <f aca="false">IFERROR(IF([2]对账明细接口!$P358=0,"",[2]对账明细接口!$P358),"")</f>
        <v/>
      </c>
      <c r="V358" s="112" t="str">
        <f aca="false">IFERROR(IF([2]对账明细接口!$Q358=0,"",[2]对账明细接口!$Q358),"")</f>
        <v/>
      </c>
      <c r="W358" s="10" t="str">
        <f aca="false">IFERROR(IF([2]对账明细接口!$R358=0,"",[2]对账明细接口!$R358),"")</f>
        <v/>
      </c>
      <c r="X358" s="10" t="str">
        <f aca="false">IFERROR(IF([2]对账明细接口!$S358=0,"",[2]对账明细接口!$S358),"")</f>
        <v/>
      </c>
      <c r="Y358" s="10" t="str">
        <f aca="false">IFERROR(IF([2]对账明细接口!$T358=0,"",[2]对账明细接口!$T358),"")</f>
        <v/>
      </c>
      <c r="Z358" s="113" t="str">
        <f aca="false">IFERROR(IF([2]对账明细接口!$U358=0,"",[2]对账明细接口!$U358),"")</f>
        <v/>
      </c>
      <c r="AA358" s="113" t="str">
        <f aca="false">IFERROR(IF([2]对账明细接口!$V358=0,"",[2]对账明细接口!$V358),"")</f>
        <v/>
      </c>
      <c r="AB358" s="10" t="str">
        <f aca="false">IFERROR(IF([2]对账明细接口!$W358=0,"",[2]对账明细接口!$W358),"")</f>
        <v/>
      </c>
      <c r="AC358" s="90" t="str">
        <f aca="false">IFERROR(IF([2]对账明细接口!$X359=0,"",[2]对账明细接口!$X359),"")</f>
        <v/>
      </c>
      <c r="AD358" s="90" t="str">
        <f aca="false">IFERROR(IF([2]对账明细接口!$Y359=0,"",[2]对账明细接口!$Y359),"")</f>
        <v/>
      </c>
      <c r="AE358" s="90" t="str">
        <f aca="false">IFERROR(IF([2]对账明细接口!$AA359=0,"",[2]对账明细接口!$AA359),"")</f>
        <v/>
      </c>
      <c r="AF358" s="90" t="str">
        <f aca="false">IFERROR(IF([2]对账明细接口!$AB359=0,"",[2]对账明细接口!$AB359),"")</f>
        <v/>
      </c>
      <c r="AG358" s="90" t="str">
        <f aca="false">IFERROR(IF([2]对账明细接口!$AC359=0,"",[2]对账明细接口!$AC359),"")</f>
        <v/>
      </c>
      <c r="AH358" s="90" t="str">
        <f aca="false">IFERROR(IF([2]对账明细接口!$AD359=0,"",[2]对账明细接口!$AD359),"")</f>
        <v/>
      </c>
    </row>
    <row r="359" customFormat="false" ht="13.5" hidden="false" customHeight="false" outlineLevel="0" collapsed="false">
      <c r="A359" s="109" t="n">
        <v>359</v>
      </c>
      <c r="B359" s="110" t="str">
        <f aca="false">IFERROR(IF([2]对账明细接口!$B$359=0,"",[2]对账明细接口!$B$359),"")</f>
        <v/>
      </c>
      <c r="C359" s="59" t="str">
        <f aca="false">IFERROR(IF([2]对账明细接口!$C$359=0,"",[2]对账明细接口!$C$359),"")</f>
        <v/>
      </c>
      <c r="D359" s="59" t="str">
        <f aca="false">IFERROR(IF([2]对账明细接口!$D$359=0,"",[2]对账明细接口!$D$359),"")</f>
        <v/>
      </c>
      <c r="E359" s="59" t="str">
        <f aca="false">IFERROR(IF([2]对账明细接口!$E$359=0,"",[2]对账明细接口!$E$359),"")</f>
        <v/>
      </c>
      <c r="F359" s="59" t="str">
        <f aca="false">IFERROR(IF([2]对账明细接口!$F$359=0,"",[2]对账明细接口!$F$359),"")</f>
        <v/>
      </c>
      <c r="G359" s="59" t="str">
        <f aca="false">IFERROR(IF([2]对账明细接口!$G$359=0,"",[2]对账明细接口!$G$359),"")</f>
        <v/>
      </c>
      <c r="H359" s="60" t="str">
        <f aca="false">IFERROR(IF([2]对账明细接口!$H$359=0,"",[2]对账明细接口!$H$359),"")</f>
        <v/>
      </c>
      <c r="I359" s="59" t="str">
        <f aca="false">IFERROR(IF([2]对账明细接口!$I$359=0,"",[2]对账明细接口!$I$359),"")</f>
        <v/>
      </c>
      <c r="J359" s="61" t="str">
        <f aca="false">IFERROR(IF([2]对账明细接口!$J$359=0,"",[2]对账明细接口!$J$359),"")</f>
        <v/>
      </c>
      <c r="K359" s="61" t="str">
        <f aca="false">IFERROR(IF([2]对账明细接口!$K$359=0,"",[2]对账明细接口!$K$359),"")</f>
        <v/>
      </c>
      <c r="L359" s="59" t="str">
        <f aca="false">IFERROR(IF([2]对账明细接口!$L$359=0,"",[2]对账明细接口!$L$359),"")</f>
        <v/>
      </c>
      <c r="M359" s="59" t="str">
        <f aca="false">IFERROR(IF([2]对账明细接口!$M$359=0,"",[2]对账明细接口!$M$359),"")</f>
        <v/>
      </c>
      <c r="N359" s="111" t="n">
        <f aca="false">IF($C359="",0,1)</f>
        <v>0</v>
      </c>
      <c r="O359" s="111" t="n">
        <f aca="false">N(O358)+$N359</f>
        <v>311</v>
      </c>
      <c r="S359" s="10" t="str">
        <f aca="false">IFERROR(IF([2]对账明细接口!$N359=0,"",[2]对账明细接口!$N359),"")</f>
        <v/>
      </c>
      <c r="T359" s="112" t="str">
        <f aca="false">IFERROR(IF([2]对账明细接口!$O359=0,"",[2]对账明细接口!$O359),"")</f>
        <v/>
      </c>
      <c r="U359" s="112" t="str">
        <f aca="false">IFERROR(IF([2]对账明细接口!$P359=0,"",[2]对账明细接口!$P359),"")</f>
        <v/>
      </c>
      <c r="V359" s="112" t="str">
        <f aca="false">IFERROR(IF([2]对账明细接口!$Q359=0,"",[2]对账明细接口!$Q359),"")</f>
        <v/>
      </c>
      <c r="W359" s="10" t="str">
        <f aca="false">IFERROR(IF([2]对账明细接口!$R359=0,"",[2]对账明细接口!$R359),"")</f>
        <v/>
      </c>
      <c r="X359" s="10" t="str">
        <f aca="false">IFERROR(IF([2]对账明细接口!$S359=0,"",[2]对账明细接口!$S359),"")</f>
        <v/>
      </c>
      <c r="Y359" s="10" t="str">
        <f aca="false">IFERROR(IF([2]对账明细接口!$T359=0,"",[2]对账明细接口!$T359),"")</f>
        <v/>
      </c>
      <c r="Z359" s="113" t="str">
        <f aca="false">IFERROR(IF([2]对账明细接口!$U359=0,"",[2]对账明细接口!$U359),"")</f>
        <v/>
      </c>
      <c r="AA359" s="113" t="str">
        <f aca="false">IFERROR(IF([2]对账明细接口!$V359=0,"",[2]对账明细接口!$V359),"")</f>
        <v/>
      </c>
      <c r="AB359" s="10" t="str">
        <f aca="false">IFERROR(IF([2]对账明细接口!$W359=0,"",[2]对账明细接口!$W359),"")</f>
        <v/>
      </c>
      <c r="AC359" s="90" t="str">
        <f aca="false">IFERROR(IF([2]对账明细接口!$X360=0,"",[2]对账明细接口!$X360),"")</f>
        <v/>
      </c>
      <c r="AD359" s="90" t="str">
        <f aca="false">IFERROR(IF([2]对账明细接口!$Y360=0,"",[2]对账明细接口!$Y360),"")</f>
        <v/>
      </c>
      <c r="AE359" s="90" t="str">
        <f aca="false">IFERROR(IF([2]对账明细接口!$AA360=0,"",[2]对账明细接口!$AA360),"")</f>
        <v/>
      </c>
      <c r="AF359" s="90" t="str">
        <f aca="false">IFERROR(IF([2]对账明细接口!$AB360=0,"",[2]对账明细接口!$AB360),"")</f>
        <v/>
      </c>
      <c r="AG359" s="90" t="str">
        <f aca="false">IFERROR(IF([2]对账明细接口!$AC360=0,"",[2]对账明细接口!$AC360),"")</f>
        <v/>
      </c>
      <c r="AH359" s="90" t="str">
        <f aca="false">IFERROR(IF([2]对账明细接口!$AD360=0,"",[2]对账明细接口!$AD360),"")</f>
        <v/>
      </c>
    </row>
    <row r="360" customFormat="false" ht="13.5" hidden="false" customHeight="false" outlineLevel="0" collapsed="false">
      <c r="A360" s="109" t="n">
        <v>360</v>
      </c>
      <c r="B360" s="110" t="str">
        <f aca="false">IFERROR(IF([2]对账明细接口!$B$360=0,"",[2]对账明细接口!$B$360),"")</f>
        <v/>
      </c>
      <c r="C360" s="59" t="str">
        <f aca="false">IFERROR(IF([2]对账明细接口!$C$360=0,"",[2]对账明细接口!$C$360),"")</f>
        <v/>
      </c>
      <c r="D360" s="59" t="str">
        <f aca="false">IFERROR(IF([2]对账明细接口!$D$360=0,"",[2]对账明细接口!$D$360),"")</f>
        <v/>
      </c>
      <c r="E360" s="59" t="str">
        <f aca="false">IFERROR(IF([2]对账明细接口!$E$360=0,"",[2]对账明细接口!$E$360),"")</f>
        <v/>
      </c>
      <c r="F360" s="59" t="str">
        <f aca="false">IFERROR(IF([2]对账明细接口!$F$360=0,"",[2]对账明细接口!$F$360),"")</f>
        <v/>
      </c>
      <c r="G360" s="59" t="str">
        <f aca="false">IFERROR(IF([2]对账明细接口!$G$360=0,"",[2]对账明细接口!$G$360),"")</f>
        <v/>
      </c>
      <c r="H360" s="60" t="str">
        <f aca="false">IFERROR(IF([2]对账明细接口!$H$360=0,"",[2]对账明细接口!$H$360),"")</f>
        <v/>
      </c>
      <c r="I360" s="59" t="str">
        <f aca="false">IFERROR(IF([2]对账明细接口!$I$360=0,"",[2]对账明细接口!$I$360),"")</f>
        <v/>
      </c>
      <c r="J360" s="61" t="str">
        <f aca="false">IFERROR(IF([2]对账明细接口!$J$360=0,"",[2]对账明细接口!$J$360),"")</f>
        <v/>
      </c>
      <c r="K360" s="61" t="str">
        <f aca="false">IFERROR(IF([2]对账明细接口!$K$360=0,"",[2]对账明细接口!$K$360),"")</f>
        <v/>
      </c>
      <c r="L360" s="59" t="str">
        <f aca="false">IFERROR(IF([2]对账明细接口!$L$360=0,"",[2]对账明细接口!$L$360),"")</f>
        <v/>
      </c>
      <c r="M360" s="59" t="str">
        <f aca="false">IFERROR(IF([2]对账明细接口!$M$360=0,"",[2]对账明细接口!$M$360),"")</f>
        <v/>
      </c>
      <c r="N360" s="111" t="n">
        <f aca="false">IF($C360="",0,1)</f>
        <v>0</v>
      </c>
      <c r="O360" s="111" t="n">
        <f aca="false">N(O359)+$N360</f>
        <v>311</v>
      </c>
      <c r="S360" s="10" t="str">
        <f aca="false">IFERROR(IF([2]对账明细接口!$N360=0,"",[2]对账明细接口!$N360),"")</f>
        <v/>
      </c>
      <c r="T360" s="112" t="str">
        <f aca="false">IFERROR(IF([2]对账明细接口!$O360=0,"",[2]对账明细接口!$O360),"")</f>
        <v/>
      </c>
      <c r="U360" s="112" t="str">
        <f aca="false">IFERROR(IF([2]对账明细接口!$P360=0,"",[2]对账明细接口!$P360),"")</f>
        <v/>
      </c>
      <c r="V360" s="112" t="str">
        <f aca="false">IFERROR(IF([2]对账明细接口!$Q360=0,"",[2]对账明细接口!$Q360),"")</f>
        <v/>
      </c>
      <c r="W360" s="10" t="str">
        <f aca="false">IFERROR(IF([2]对账明细接口!$R360=0,"",[2]对账明细接口!$R360),"")</f>
        <v/>
      </c>
      <c r="X360" s="10" t="str">
        <f aca="false">IFERROR(IF([2]对账明细接口!$S360=0,"",[2]对账明细接口!$S360),"")</f>
        <v/>
      </c>
      <c r="Y360" s="10" t="str">
        <f aca="false">IFERROR(IF([2]对账明细接口!$T360=0,"",[2]对账明细接口!$T360),"")</f>
        <v/>
      </c>
      <c r="Z360" s="113" t="str">
        <f aca="false">IFERROR(IF([2]对账明细接口!$U360=0,"",[2]对账明细接口!$U360),"")</f>
        <v/>
      </c>
      <c r="AA360" s="113" t="str">
        <f aca="false">IFERROR(IF([2]对账明细接口!$V360=0,"",[2]对账明细接口!$V360),"")</f>
        <v/>
      </c>
      <c r="AB360" s="10" t="str">
        <f aca="false">IFERROR(IF([2]对账明细接口!$W360=0,"",[2]对账明细接口!$W360),"")</f>
        <v/>
      </c>
      <c r="AC360" s="90" t="str">
        <f aca="false">IFERROR(IF([2]对账明细接口!$X361=0,"",[2]对账明细接口!$X361),"")</f>
        <v/>
      </c>
      <c r="AD360" s="90" t="str">
        <f aca="false">IFERROR(IF([2]对账明细接口!$Y361=0,"",[2]对账明细接口!$Y361),"")</f>
        <v/>
      </c>
      <c r="AE360" s="90" t="str">
        <f aca="false">IFERROR(IF([2]对账明细接口!$AA361=0,"",[2]对账明细接口!$AA361),"")</f>
        <v/>
      </c>
      <c r="AF360" s="90" t="str">
        <f aca="false">IFERROR(IF([2]对账明细接口!$AB361=0,"",[2]对账明细接口!$AB361),"")</f>
        <v/>
      </c>
      <c r="AG360" s="90" t="str">
        <f aca="false">IFERROR(IF([2]对账明细接口!$AC361=0,"",[2]对账明细接口!$AC361),"")</f>
        <v/>
      </c>
      <c r="AH360" s="90" t="str">
        <f aca="false">IFERROR(IF([2]对账明细接口!$AD361=0,"",[2]对账明细接口!$AD361),"")</f>
        <v/>
      </c>
    </row>
    <row r="361" customFormat="false" ht="13.5" hidden="false" customHeight="false" outlineLevel="0" collapsed="false">
      <c r="A361" s="109" t="n">
        <v>361</v>
      </c>
      <c r="B361" s="110" t="str">
        <f aca="false">IFERROR(IF([2]对账明细接口!$B$361=0,"",[2]对账明细接口!$B$361),"")</f>
        <v/>
      </c>
      <c r="C361" s="59" t="str">
        <f aca="false">IFERROR(IF([2]对账明细接口!$C$361=0,"",[2]对账明细接口!$C$361),"")</f>
        <v/>
      </c>
      <c r="D361" s="59" t="str">
        <f aca="false">IFERROR(IF([2]对账明细接口!$D$361=0,"",[2]对账明细接口!$D$361),"")</f>
        <v/>
      </c>
      <c r="E361" s="59" t="str">
        <f aca="false">IFERROR(IF([2]对账明细接口!$E$361=0,"",[2]对账明细接口!$E$361),"")</f>
        <v/>
      </c>
      <c r="F361" s="59" t="str">
        <f aca="false">IFERROR(IF([2]对账明细接口!$F$361=0,"",[2]对账明细接口!$F$361),"")</f>
        <v/>
      </c>
      <c r="G361" s="59" t="str">
        <f aca="false">IFERROR(IF([2]对账明细接口!$G$361=0,"",[2]对账明细接口!$G$361),"")</f>
        <v/>
      </c>
      <c r="H361" s="60" t="str">
        <f aca="false">IFERROR(IF([2]对账明细接口!$H$361=0,"",[2]对账明细接口!$H$361),"")</f>
        <v/>
      </c>
      <c r="I361" s="59" t="str">
        <f aca="false">IFERROR(IF([2]对账明细接口!$I$361=0,"",[2]对账明细接口!$I$361),"")</f>
        <v/>
      </c>
      <c r="J361" s="61" t="str">
        <f aca="false">IFERROR(IF([2]对账明细接口!$J$361=0,"",[2]对账明细接口!$J$361),"")</f>
        <v/>
      </c>
      <c r="K361" s="61" t="str">
        <f aca="false">IFERROR(IF([2]对账明细接口!$K$361=0,"",[2]对账明细接口!$K$361),"")</f>
        <v/>
      </c>
      <c r="L361" s="59" t="str">
        <f aca="false">IFERROR(IF([2]对账明细接口!$L$361=0,"",[2]对账明细接口!$L$361),"")</f>
        <v/>
      </c>
      <c r="M361" s="59" t="str">
        <f aca="false">IFERROR(IF([2]对账明细接口!$M$361=0,"",[2]对账明细接口!$M$361),"")</f>
        <v/>
      </c>
      <c r="N361" s="111" t="n">
        <f aca="false">IF($C361="",0,1)</f>
        <v>0</v>
      </c>
      <c r="O361" s="111" t="n">
        <f aca="false">N(O360)+$N361</f>
        <v>311</v>
      </c>
      <c r="S361" s="10" t="str">
        <f aca="false">IFERROR(IF([2]对账明细接口!$N361=0,"",[2]对账明细接口!$N361),"")</f>
        <v/>
      </c>
      <c r="T361" s="112" t="str">
        <f aca="false">IFERROR(IF([2]对账明细接口!$O361=0,"",[2]对账明细接口!$O361),"")</f>
        <v/>
      </c>
      <c r="U361" s="112" t="str">
        <f aca="false">IFERROR(IF([2]对账明细接口!$P361=0,"",[2]对账明细接口!$P361),"")</f>
        <v/>
      </c>
      <c r="V361" s="112" t="str">
        <f aca="false">IFERROR(IF([2]对账明细接口!$Q361=0,"",[2]对账明细接口!$Q361),"")</f>
        <v/>
      </c>
      <c r="W361" s="10" t="str">
        <f aca="false">IFERROR(IF([2]对账明细接口!$R361=0,"",[2]对账明细接口!$R361),"")</f>
        <v/>
      </c>
      <c r="X361" s="10" t="str">
        <f aca="false">IFERROR(IF([2]对账明细接口!$S361=0,"",[2]对账明细接口!$S361),"")</f>
        <v/>
      </c>
      <c r="Y361" s="10" t="str">
        <f aca="false">IFERROR(IF([2]对账明细接口!$T361=0,"",[2]对账明细接口!$T361),"")</f>
        <v/>
      </c>
      <c r="Z361" s="113" t="str">
        <f aca="false">IFERROR(IF([2]对账明细接口!$U361=0,"",[2]对账明细接口!$U361),"")</f>
        <v/>
      </c>
      <c r="AA361" s="113" t="str">
        <f aca="false">IFERROR(IF([2]对账明细接口!$V361=0,"",[2]对账明细接口!$V361),"")</f>
        <v/>
      </c>
      <c r="AB361" s="10" t="str">
        <f aca="false">IFERROR(IF([2]对账明细接口!$W361=0,"",[2]对账明细接口!$W361),"")</f>
        <v/>
      </c>
      <c r="AC361" s="90" t="str">
        <f aca="false">IFERROR(IF([2]对账明细接口!$X362=0,"",[2]对账明细接口!$X362),"")</f>
        <v/>
      </c>
      <c r="AD361" s="90" t="str">
        <f aca="false">IFERROR(IF([2]对账明细接口!$Y362=0,"",[2]对账明细接口!$Y362),"")</f>
        <v/>
      </c>
      <c r="AE361" s="90" t="str">
        <f aca="false">IFERROR(IF([2]对账明细接口!$AA362=0,"",[2]对账明细接口!$AA362),"")</f>
        <v/>
      </c>
      <c r="AF361" s="90" t="str">
        <f aca="false">IFERROR(IF([2]对账明细接口!$AB362=0,"",[2]对账明细接口!$AB362),"")</f>
        <v/>
      </c>
      <c r="AG361" s="90" t="str">
        <f aca="false">IFERROR(IF([2]对账明细接口!$AC362=0,"",[2]对账明细接口!$AC362),"")</f>
        <v/>
      </c>
      <c r="AH361" s="90" t="str">
        <f aca="false">IFERROR(IF([2]对账明细接口!$AD362=0,"",[2]对账明细接口!$AD362),"")</f>
        <v/>
      </c>
    </row>
    <row r="362" customFormat="false" ht="13.5" hidden="false" customHeight="false" outlineLevel="0" collapsed="false">
      <c r="A362" s="109" t="n">
        <v>362</v>
      </c>
      <c r="B362" s="110" t="str">
        <f aca="false">IFERROR(IF([2]对账明细接口!$B$362=0,"",[2]对账明细接口!$B$362),"")</f>
        <v/>
      </c>
      <c r="C362" s="59" t="str">
        <f aca="false">IFERROR(IF([2]对账明细接口!$C$362=0,"",[2]对账明细接口!$C$362),"")</f>
        <v/>
      </c>
      <c r="D362" s="59" t="str">
        <f aca="false">IFERROR(IF([2]对账明细接口!$D$362=0,"",[2]对账明细接口!$D$362),"")</f>
        <v/>
      </c>
      <c r="E362" s="59" t="str">
        <f aca="false">IFERROR(IF([2]对账明细接口!$E$362=0,"",[2]对账明细接口!$E$362),"")</f>
        <v/>
      </c>
      <c r="F362" s="59" t="str">
        <f aca="false">IFERROR(IF([2]对账明细接口!$F$362=0,"",[2]对账明细接口!$F$362),"")</f>
        <v/>
      </c>
      <c r="G362" s="59" t="str">
        <f aca="false">IFERROR(IF([2]对账明细接口!$G$362=0,"",[2]对账明细接口!$G$362),"")</f>
        <v/>
      </c>
      <c r="H362" s="60" t="str">
        <f aca="false">IFERROR(IF([2]对账明细接口!$H$362=0,"",[2]对账明细接口!$H$362),"")</f>
        <v/>
      </c>
      <c r="I362" s="59" t="str">
        <f aca="false">IFERROR(IF([2]对账明细接口!$I$362=0,"",[2]对账明细接口!$I$362),"")</f>
        <v/>
      </c>
      <c r="J362" s="61" t="str">
        <f aca="false">IFERROR(IF([2]对账明细接口!$J$362=0,"",[2]对账明细接口!$J$362),"")</f>
        <v/>
      </c>
      <c r="K362" s="61" t="str">
        <f aca="false">IFERROR(IF([2]对账明细接口!$K$362=0,"",[2]对账明细接口!$K$362),"")</f>
        <v/>
      </c>
      <c r="L362" s="59" t="str">
        <f aca="false">IFERROR(IF([2]对账明细接口!$L$362=0,"",[2]对账明细接口!$L$362),"")</f>
        <v/>
      </c>
      <c r="M362" s="59" t="str">
        <f aca="false">IFERROR(IF([2]对账明细接口!$M$362=0,"",[2]对账明细接口!$M$362),"")</f>
        <v/>
      </c>
      <c r="N362" s="111" t="n">
        <f aca="false">IF($C362="",0,1)</f>
        <v>0</v>
      </c>
      <c r="O362" s="111" t="n">
        <f aca="false">N(O361)+$N362</f>
        <v>311</v>
      </c>
      <c r="S362" s="10" t="str">
        <f aca="false">IFERROR(IF([2]对账明细接口!$N362=0,"",[2]对账明细接口!$N362),"")</f>
        <v/>
      </c>
      <c r="T362" s="112" t="str">
        <f aca="false">IFERROR(IF([2]对账明细接口!$O362=0,"",[2]对账明细接口!$O362),"")</f>
        <v/>
      </c>
      <c r="U362" s="112" t="str">
        <f aca="false">IFERROR(IF([2]对账明细接口!$P362=0,"",[2]对账明细接口!$P362),"")</f>
        <v/>
      </c>
      <c r="V362" s="112" t="str">
        <f aca="false">IFERROR(IF([2]对账明细接口!$Q362=0,"",[2]对账明细接口!$Q362),"")</f>
        <v/>
      </c>
      <c r="W362" s="10" t="str">
        <f aca="false">IFERROR(IF([2]对账明细接口!$R362=0,"",[2]对账明细接口!$R362),"")</f>
        <v/>
      </c>
      <c r="X362" s="10" t="str">
        <f aca="false">IFERROR(IF([2]对账明细接口!$S362=0,"",[2]对账明细接口!$S362),"")</f>
        <v/>
      </c>
      <c r="Y362" s="10" t="str">
        <f aca="false">IFERROR(IF([2]对账明细接口!$T362=0,"",[2]对账明细接口!$T362),"")</f>
        <v/>
      </c>
      <c r="Z362" s="113" t="str">
        <f aca="false">IFERROR(IF([2]对账明细接口!$U362=0,"",[2]对账明细接口!$U362),"")</f>
        <v/>
      </c>
      <c r="AA362" s="113" t="str">
        <f aca="false">IFERROR(IF([2]对账明细接口!$V362=0,"",[2]对账明细接口!$V362),"")</f>
        <v/>
      </c>
      <c r="AB362" s="10" t="str">
        <f aca="false">IFERROR(IF([2]对账明细接口!$W362=0,"",[2]对账明细接口!$W362),"")</f>
        <v/>
      </c>
      <c r="AC362" s="90" t="str">
        <f aca="false">IFERROR(IF([2]对账明细接口!$X363=0,"",[2]对账明细接口!$X363),"")</f>
        <v/>
      </c>
      <c r="AD362" s="90" t="str">
        <f aca="false">IFERROR(IF([2]对账明细接口!$Y363=0,"",[2]对账明细接口!$Y363),"")</f>
        <v/>
      </c>
      <c r="AE362" s="90" t="str">
        <f aca="false">IFERROR(IF([2]对账明细接口!$AA363=0,"",[2]对账明细接口!$AA363),"")</f>
        <v/>
      </c>
      <c r="AF362" s="90" t="str">
        <f aca="false">IFERROR(IF([2]对账明细接口!$AB363=0,"",[2]对账明细接口!$AB363),"")</f>
        <v/>
      </c>
      <c r="AG362" s="90" t="str">
        <f aca="false">IFERROR(IF([2]对账明细接口!$AC363=0,"",[2]对账明细接口!$AC363),"")</f>
        <v/>
      </c>
      <c r="AH362" s="90" t="str">
        <f aca="false">IFERROR(IF([2]对账明细接口!$AD363=0,"",[2]对账明细接口!$AD363),"")</f>
        <v/>
      </c>
    </row>
    <row r="363" customFormat="false" ht="13.5" hidden="false" customHeight="false" outlineLevel="0" collapsed="false">
      <c r="A363" s="109" t="n">
        <v>363</v>
      </c>
      <c r="B363" s="110" t="str">
        <f aca="false">IFERROR(IF([2]对账明细接口!$B$363=0,"",[2]对账明细接口!$B$363),"")</f>
        <v/>
      </c>
      <c r="C363" s="59" t="str">
        <f aca="false">IFERROR(IF([2]对账明细接口!$C$363=0,"",[2]对账明细接口!$C$363),"")</f>
        <v/>
      </c>
      <c r="D363" s="59" t="str">
        <f aca="false">IFERROR(IF([2]对账明细接口!$D$363=0,"",[2]对账明细接口!$D$363),"")</f>
        <v/>
      </c>
      <c r="E363" s="59" t="str">
        <f aca="false">IFERROR(IF([2]对账明细接口!$E$363=0,"",[2]对账明细接口!$E$363),"")</f>
        <v/>
      </c>
      <c r="F363" s="59" t="str">
        <f aca="false">IFERROR(IF([2]对账明细接口!$F$363=0,"",[2]对账明细接口!$F$363),"")</f>
        <v/>
      </c>
      <c r="G363" s="59" t="str">
        <f aca="false">IFERROR(IF([2]对账明细接口!$G$363=0,"",[2]对账明细接口!$G$363),"")</f>
        <v/>
      </c>
      <c r="H363" s="60" t="str">
        <f aca="false">IFERROR(IF([2]对账明细接口!$H$363=0,"",[2]对账明细接口!$H$363),"")</f>
        <v/>
      </c>
      <c r="I363" s="59" t="str">
        <f aca="false">IFERROR(IF([2]对账明细接口!$I$363=0,"",[2]对账明细接口!$I$363),"")</f>
        <v/>
      </c>
      <c r="J363" s="61" t="str">
        <f aca="false">IFERROR(IF([2]对账明细接口!$J$363=0,"",[2]对账明细接口!$J$363),"")</f>
        <v/>
      </c>
      <c r="K363" s="61" t="str">
        <f aca="false">IFERROR(IF([2]对账明细接口!$K$363=0,"",[2]对账明细接口!$K$363),"")</f>
        <v/>
      </c>
      <c r="L363" s="59" t="str">
        <f aca="false">IFERROR(IF([2]对账明细接口!$L$363=0,"",[2]对账明细接口!$L$363),"")</f>
        <v/>
      </c>
      <c r="M363" s="59" t="str">
        <f aca="false">IFERROR(IF([2]对账明细接口!$M$363=0,"",[2]对账明细接口!$M$363),"")</f>
        <v/>
      </c>
      <c r="N363" s="111" t="n">
        <f aca="false">IF($C363="",0,1)</f>
        <v>0</v>
      </c>
      <c r="O363" s="111" t="n">
        <f aca="false">N(O362)+$N363</f>
        <v>311</v>
      </c>
      <c r="S363" s="10" t="str">
        <f aca="false">IFERROR(IF([2]对账明细接口!$N363=0,"",[2]对账明细接口!$N363),"")</f>
        <v/>
      </c>
      <c r="T363" s="112" t="str">
        <f aca="false">IFERROR(IF([2]对账明细接口!$O363=0,"",[2]对账明细接口!$O363),"")</f>
        <v/>
      </c>
      <c r="U363" s="112" t="str">
        <f aca="false">IFERROR(IF([2]对账明细接口!$P363=0,"",[2]对账明细接口!$P363),"")</f>
        <v/>
      </c>
      <c r="V363" s="112" t="str">
        <f aca="false">IFERROR(IF([2]对账明细接口!$Q363=0,"",[2]对账明细接口!$Q363),"")</f>
        <v/>
      </c>
      <c r="W363" s="10" t="str">
        <f aca="false">IFERROR(IF([2]对账明细接口!$R363=0,"",[2]对账明细接口!$R363),"")</f>
        <v/>
      </c>
      <c r="X363" s="10" t="str">
        <f aca="false">IFERROR(IF([2]对账明细接口!$S363=0,"",[2]对账明细接口!$S363),"")</f>
        <v/>
      </c>
      <c r="Y363" s="10" t="str">
        <f aca="false">IFERROR(IF([2]对账明细接口!$T363=0,"",[2]对账明细接口!$T363),"")</f>
        <v/>
      </c>
      <c r="Z363" s="113" t="str">
        <f aca="false">IFERROR(IF([2]对账明细接口!$U363=0,"",[2]对账明细接口!$U363),"")</f>
        <v/>
      </c>
      <c r="AA363" s="113" t="str">
        <f aca="false">IFERROR(IF([2]对账明细接口!$V363=0,"",[2]对账明细接口!$V363),"")</f>
        <v/>
      </c>
      <c r="AB363" s="10" t="str">
        <f aca="false">IFERROR(IF([2]对账明细接口!$W363=0,"",[2]对账明细接口!$W363),"")</f>
        <v/>
      </c>
      <c r="AC363" s="90" t="str">
        <f aca="false">IFERROR(IF([2]对账明细接口!$X364=0,"",[2]对账明细接口!$X364),"")</f>
        <v/>
      </c>
      <c r="AD363" s="90" t="str">
        <f aca="false">IFERROR(IF([2]对账明细接口!$Y364=0,"",[2]对账明细接口!$Y364),"")</f>
        <v/>
      </c>
      <c r="AE363" s="90" t="str">
        <f aca="false">IFERROR(IF([2]对账明细接口!$AA364=0,"",[2]对账明细接口!$AA364),"")</f>
        <v/>
      </c>
      <c r="AF363" s="90" t="str">
        <f aca="false">IFERROR(IF([2]对账明细接口!$AB364=0,"",[2]对账明细接口!$AB364),"")</f>
        <v/>
      </c>
      <c r="AG363" s="90" t="str">
        <f aca="false">IFERROR(IF([2]对账明细接口!$AC364=0,"",[2]对账明细接口!$AC364),"")</f>
        <v/>
      </c>
      <c r="AH363" s="90" t="str">
        <f aca="false">IFERROR(IF([2]对账明细接口!$AD364=0,"",[2]对账明细接口!$AD364),"")</f>
        <v/>
      </c>
    </row>
    <row r="364" customFormat="false" ht="13.5" hidden="false" customHeight="false" outlineLevel="0" collapsed="false">
      <c r="A364" s="109" t="n">
        <v>364</v>
      </c>
      <c r="B364" s="110" t="str">
        <f aca="false">IFERROR(IF([2]对账明细接口!$B$364=0,"",[2]对账明细接口!$B$364),"")</f>
        <v/>
      </c>
      <c r="C364" s="59" t="str">
        <f aca="false">IFERROR(IF([2]对账明细接口!$C$364=0,"",[2]对账明细接口!$C$364),"")</f>
        <v/>
      </c>
      <c r="D364" s="59" t="str">
        <f aca="false">IFERROR(IF([2]对账明细接口!$D$364=0,"",[2]对账明细接口!$D$364),"")</f>
        <v/>
      </c>
      <c r="E364" s="59" t="str">
        <f aca="false">IFERROR(IF([2]对账明细接口!$E$364=0,"",[2]对账明细接口!$E$364),"")</f>
        <v/>
      </c>
      <c r="F364" s="59" t="str">
        <f aca="false">IFERROR(IF([2]对账明细接口!$F$364=0,"",[2]对账明细接口!$F$364),"")</f>
        <v/>
      </c>
      <c r="G364" s="59" t="str">
        <f aca="false">IFERROR(IF([2]对账明细接口!$G$364=0,"",[2]对账明细接口!$G$364),"")</f>
        <v/>
      </c>
      <c r="H364" s="60" t="str">
        <f aca="false">IFERROR(IF([2]对账明细接口!$H$364=0,"",[2]对账明细接口!$H$364),"")</f>
        <v/>
      </c>
      <c r="I364" s="59" t="str">
        <f aca="false">IFERROR(IF([2]对账明细接口!$I$364=0,"",[2]对账明细接口!$I$364),"")</f>
        <v/>
      </c>
      <c r="J364" s="61" t="str">
        <f aca="false">IFERROR(IF([2]对账明细接口!$J$364=0,"",[2]对账明细接口!$J$364),"")</f>
        <v/>
      </c>
      <c r="K364" s="61" t="str">
        <f aca="false">IFERROR(IF([2]对账明细接口!$K$364=0,"",[2]对账明细接口!$K$364),"")</f>
        <v/>
      </c>
      <c r="L364" s="59" t="str">
        <f aca="false">IFERROR(IF([2]对账明细接口!$L$364=0,"",[2]对账明细接口!$L$364),"")</f>
        <v/>
      </c>
      <c r="M364" s="59" t="str">
        <f aca="false">IFERROR(IF([2]对账明细接口!$M$364=0,"",[2]对账明细接口!$M$364),"")</f>
        <v/>
      </c>
      <c r="N364" s="111" t="n">
        <f aca="false">IF($C364="",0,1)</f>
        <v>0</v>
      </c>
      <c r="O364" s="111" t="n">
        <f aca="false">N(O363)+$N364</f>
        <v>311</v>
      </c>
      <c r="S364" s="10" t="str">
        <f aca="false">IFERROR(IF([2]对账明细接口!$N364=0,"",[2]对账明细接口!$N364),"")</f>
        <v/>
      </c>
      <c r="T364" s="112" t="str">
        <f aca="false">IFERROR(IF([2]对账明细接口!$O364=0,"",[2]对账明细接口!$O364),"")</f>
        <v/>
      </c>
      <c r="U364" s="112" t="str">
        <f aca="false">IFERROR(IF([2]对账明细接口!$P364=0,"",[2]对账明细接口!$P364),"")</f>
        <v/>
      </c>
      <c r="V364" s="112" t="str">
        <f aca="false">IFERROR(IF([2]对账明细接口!$Q364=0,"",[2]对账明细接口!$Q364),"")</f>
        <v/>
      </c>
      <c r="W364" s="10" t="str">
        <f aca="false">IFERROR(IF([2]对账明细接口!$R364=0,"",[2]对账明细接口!$R364),"")</f>
        <v/>
      </c>
      <c r="X364" s="10" t="str">
        <f aca="false">IFERROR(IF([2]对账明细接口!$S364=0,"",[2]对账明细接口!$S364),"")</f>
        <v/>
      </c>
      <c r="Y364" s="10" t="str">
        <f aca="false">IFERROR(IF([2]对账明细接口!$T364=0,"",[2]对账明细接口!$T364),"")</f>
        <v/>
      </c>
      <c r="Z364" s="113" t="str">
        <f aca="false">IFERROR(IF([2]对账明细接口!$U364=0,"",[2]对账明细接口!$U364),"")</f>
        <v/>
      </c>
      <c r="AA364" s="113" t="str">
        <f aca="false">IFERROR(IF([2]对账明细接口!$V364=0,"",[2]对账明细接口!$V364),"")</f>
        <v/>
      </c>
      <c r="AB364" s="10" t="str">
        <f aca="false">IFERROR(IF([2]对账明细接口!$W364=0,"",[2]对账明细接口!$W364),"")</f>
        <v/>
      </c>
      <c r="AC364" s="90" t="str">
        <f aca="false">IFERROR(IF([2]对账明细接口!$X365=0,"",[2]对账明细接口!$X365),"")</f>
        <v/>
      </c>
      <c r="AD364" s="90" t="str">
        <f aca="false">IFERROR(IF([2]对账明细接口!$Y365=0,"",[2]对账明细接口!$Y365),"")</f>
        <v/>
      </c>
      <c r="AE364" s="90" t="str">
        <f aca="false">IFERROR(IF([2]对账明细接口!$AA365=0,"",[2]对账明细接口!$AA365),"")</f>
        <v/>
      </c>
      <c r="AF364" s="90" t="str">
        <f aca="false">IFERROR(IF([2]对账明细接口!$AB365=0,"",[2]对账明细接口!$AB365),"")</f>
        <v/>
      </c>
      <c r="AG364" s="90" t="str">
        <f aca="false">IFERROR(IF([2]对账明细接口!$AC365=0,"",[2]对账明细接口!$AC365),"")</f>
        <v/>
      </c>
      <c r="AH364" s="90" t="str">
        <f aca="false">IFERROR(IF([2]对账明细接口!$AD365=0,"",[2]对账明细接口!$AD365),"")</f>
        <v/>
      </c>
    </row>
    <row r="365" customFormat="false" ht="13.5" hidden="false" customHeight="false" outlineLevel="0" collapsed="false">
      <c r="A365" s="109" t="n">
        <v>365</v>
      </c>
      <c r="B365" s="110" t="str">
        <f aca="false">IFERROR(IF([2]对账明细接口!$B$365=0,"",[2]对账明细接口!$B$365),"")</f>
        <v/>
      </c>
      <c r="C365" s="59" t="str">
        <f aca="false">IFERROR(IF([2]对账明细接口!$C$365=0,"",[2]对账明细接口!$C$365),"")</f>
        <v/>
      </c>
      <c r="D365" s="59" t="str">
        <f aca="false">IFERROR(IF([2]对账明细接口!$D$365=0,"",[2]对账明细接口!$D$365),"")</f>
        <v/>
      </c>
      <c r="E365" s="59" t="str">
        <f aca="false">IFERROR(IF([2]对账明细接口!$E$365=0,"",[2]对账明细接口!$E$365),"")</f>
        <v/>
      </c>
      <c r="F365" s="59" t="str">
        <f aca="false">IFERROR(IF([2]对账明细接口!$F$365=0,"",[2]对账明细接口!$F$365),"")</f>
        <v/>
      </c>
      <c r="G365" s="59" t="str">
        <f aca="false">IFERROR(IF([2]对账明细接口!$G$365=0,"",[2]对账明细接口!$G$365),"")</f>
        <v/>
      </c>
      <c r="H365" s="60" t="str">
        <f aca="false">IFERROR(IF([2]对账明细接口!$H$365=0,"",[2]对账明细接口!$H$365),"")</f>
        <v/>
      </c>
      <c r="I365" s="59" t="str">
        <f aca="false">IFERROR(IF([2]对账明细接口!$I$365=0,"",[2]对账明细接口!$I$365),"")</f>
        <v/>
      </c>
      <c r="J365" s="61" t="str">
        <f aca="false">IFERROR(IF([2]对账明细接口!$J$365=0,"",[2]对账明细接口!$J$365),"")</f>
        <v/>
      </c>
      <c r="K365" s="61" t="str">
        <f aca="false">IFERROR(IF([2]对账明细接口!$K$365=0,"",[2]对账明细接口!$K$365),"")</f>
        <v/>
      </c>
      <c r="L365" s="59" t="str">
        <f aca="false">IFERROR(IF([2]对账明细接口!$L$365=0,"",[2]对账明细接口!$L$365),"")</f>
        <v/>
      </c>
      <c r="M365" s="59" t="str">
        <f aca="false">IFERROR(IF([2]对账明细接口!$M$365=0,"",[2]对账明细接口!$M$365),"")</f>
        <v/>
      </c>
      <c r="N365" s="111" t="n">
        <f aca="false">IF($C365="",0,1)</f>
        <v>0</v>
      </c>
      <c r="O365" s="111" t="n">
        <f aca="false">N(O364)+$N365</f>
        <v>311</v>
      </c>
      <c r="S365" s="10" t="str">
        <f aca="false">IFERROR(IF([2]对账明细接口!$N365=0,"",[2]对账明细接口!$N365),"")</f>
        <v/>
      </c>
      <c r="T365" s="112" t="str">
        <f aca="false">IFERROR(IF([2]对账明细接口!$O365=0,"",[2]对账明细接口!$O365),"")</f>
        <v/>
      </c>
      <c r="U365" s="112" t="str">
        <f aca="false">IFERROR(IF([2]对账明细接口!$P365=0,"",[2]对账明细接口!$P365),"")</f>
        <v/>
      </c>
      <c r="V365" s="112" t="str">
        <f aca="false">IFERROR(IF([2]对账明细接口!$Q365=0,"",[2]对账明细接口!$Q365),"")</f>
        <v/>
      </c>
      <c r="W365" s="10" t="str">
        <f aca="false">IFERROR(IF([2]对账明细接口!$R365=0,"",[2]对账明细接口!$R365),"")</f>
        <v/>
      </c>
      <c r="X365" s="10" t="str">
        <f aca="false">IFERROR(IF([2]对账明细接口!$S365=0,"",[2]对账明细接口!$S365),"")</f>
        <v/>
      </c>
      <c r="Y365" s="10" t="str">
        <f aca="false">IFERROR(IF([2]对账明细接口!$T365=0,"",[2]对账明细接口!$T365),"")</f>
        <v/>
      </c>
      <c r="Z365" s="113" t="str">
        <f aca="false">IFERROR(IF([2]对账明细接口!$U365=0,"",[2]对账明细接口!$U365),"")</f>
        <v/>
      </c>
      <c r="AA365" s="113" t="str">
        <f aca="false">IFERROR(IF([2]对账明细接口!$V365=0,"",[2]对账明细接口!$V365),"")</f>
        <v/>
      </c>
      <c r="AB365" s="10" t="str">
        <f aca="false">IFERROR(IF([2]对账明细接口!$W365=0,"",[2]对账明细接口!$W365),"")</f>
        <v/>
      </c>
      <c r="AC365" s="90" t="str">
        <f aca="false">IFERROR(IF([2]对账明细接口!$X366=0,"",[2]对账明细接口!$X366),"")</f>
        <v/>
      </c>
      <c r="AD365" s="90" t="str">
        <f aca="false">IFERROR(IF([2]对账明细接口!$Y366=0,"",[2]对账明细接口!$Y366),"")</f>
        <v/>
      </c>
      <c r="AE365" s="90" t="str">
        <f aca="false">IFERROR(IF([2]对账明细接口!$AA366=0,"",[2]对账明细接口!$AA366),"")</f>
        <v/>
      </c>
      <c r="AF365" s="90" t="str">
        <f aca="false">IFERROR(IF([2]对账明细接口!$AB366=0,"",[2]对账明细接口!$AB366),"")</f>
        <v/>
      </c>
      <c r="AG365" s="90" t="str">
        <f aca="false">IFERROR(IF([2]对账明细接口!$AC366=0,"",[2]对账明细接口!$AC366),"")</f>
        <v/>
      </c>
      <c r="AH365" s="90" t="str">
        <f aca="false">IFERROR(IF([2]对账明细接口!$AD366=0,"",[2]对账明细接口!$AD366),"")</f>
        <v/>
      </c>
    </row>
    <row r="366" customFormat="false" ht="13.5" hidden="false" customHeight="false" outlineLevel="0" collapsed="false">
      <c r="A366" s="109" t="n">
        <v>366</v>
      </c>
      <c r="B366" s="110" t="str">
        <f aca="false">IFERROR(IF([2]对账明细接口!$B$366=0,"",[2]对账明细接口!$B$366),"")</f>
        <v/>
      </c>
      <c r="C366" s="59" t="str">
        <f aca="false">IFERROR(IF([2]对账明细接口!$C$366=0,"",[2]对账明细接口!$C$366),"")</f>
        <v/>
      </c>
      <c r="D366" s="59" t="str">
        <f aca="false">IFERROR(IF([2]对账明细接口!$D$366=0,"",[2]对账明细接口!$D$366),"")</f>
        <v/>
      </c>
      <c r="E366" s="59" t="str">
        <f aca="false">IFERROR(IF([2]对账明细接口!$E$366=0,"",[2]对账明细接口!$E$366),"")</f>
        <v/>
      </c>
      <c r="F366" s="59" t="str">
        <f aca="false">IFERROR(IF([2]对账明细接口!$F$366=0,"",[2]对账明细接口!$F$366),"")</f>
        <v/>
      </c>
      <c r="G366" s="59" t="str">
        <f aca="false">IFERROR(IF([2]对账明细接口!$G$366=0,"",[2]对账明细接口!$G$366),"")</f>
        <v/>
      </c>
      <c r="H366" s="60" t="str">
        <f aca="false">IFERROR(IF([2]对账明细接口!$H$366=0,"",[2]对账明细接口!$H$366),"")</f>
        <v/>
      </c>
      <c r="I366" s="59" t="str">
        <f aca="false">IFERROR(IF([2]对账明细接口!$I$366=0,"",[2]对账明细接口!$I$366),"")</f>
        <v/>
      </c>
      <c r="J366" s="61" t="str">
        <f aca="false">IFERROR(IF([2]对账明细接口!$J$366=0,"",[2]对账明细接口!$J$366),"")</f>
        <v/>
      </c>
      <c r="K366" s="61" t="str">
        <f aca="false">IFERROR(IF([2]对账明细接口!$K$366=0,"",[2]对账明细接口!$K$366),"")</f>
        <v/>
      </c>
      <c r="L366" s="59" t="str">
        <f aca="false">IFERROR(IF([2]对账明细接口!$L$366=0,"",[2]对账明细接口!$L$366),"")</f>
        <v/>
      </c>
      <c r="M366" s="59" t="str">
        <f aca="false">IFERROR(IF([2]对账明细接口!$M$366=0,"",[2]对账明细接口!$M$366),"")</f>
        <v/>
      </c>
      <c r="N366" s="111" t="n">
        <f aca="false">IF($C366="",0,1)</f>
        <v>0</v>
      </c>
      <c r="O366" s="111" t="n">
        <f aca="false">N(O365)+$N366</f>
        <v>311</v>
      </c>
      <c r="S366" s="10" t="str">
        <f aca="false">IFERROR(IF([2]对账明细接口!$N366=0,"",[2]对账明细接口!$N366),"")</f>
        <v/>
      </c>
      <c r="T366" s="112" t="str">
        <f aca="false">IFERROR(IF([2]对账明细接口!$O366=0,"",[2]对账明细接口!$O366),"")</f>
        <v/>
      </c>
      <c r="U366" s="112" t="str">
        <f aca="false">IFERROR(IF([2]对账明细接口!$P366=0,"",[2]对账明细接口!$P366),"")</f>
        <v/>
      </c>
      <c r="V366" s="112" t="str">
        <f aca="false">IFERROR(IF([2]对账明细接口!$Q366=0,"",[2]对账明细接口!$Q366),"")</f>
        <v/>
      </c>
      <c r="W366" s="10" t="str">
        <f aca="false">IFERROR(IF([2]对账明细接口!$R366=0,"",[2]对账明细接口!$R366),"")</f>
        <v/>
      </c>
      <c r="X366" s="10" t="str">
        <f aca="false">IFERROR(IF([2]对账明细接口!$S366=0,"",[2]对账明细接口!$S366),"")</f>
        <v/>
      </c>
      <c r="Y366" s="10" t="str">
        <f aca="false">IFERROR(IF([2]对账明细接口!$T366=0,"",[2]对账明细接口!$T366),"")</f>
        <v/>
      </c>
      <c r="Z366" s="113" t="str">
        <f aca="false">IFERROR(IF([2]对账明细接口!$U366=0,"",[2]对账明细接口!$U366),"")</f>
        <v/>
      </c>
      <c r="AA366" s="113" t="str">
        <f aca="false">IFERROR(IF([2]对账明细接口!$V366=0,"",[2]对账明细接口!$V366),"")</f>
        <v/>
      </c>
      <c r="AB366" s="10" t="str">
        <f aca="false">IFERROR(IF([2]对账明细接口!$W366=0,"",[2]对账明细接口!$W366),"")</f>
        <v/>
      </c>
      <c r="AC366" s="90" t="str">
        <f aca="false">IFERROR(IF([2]对账明细接口!$X367=0,"",[2]对账明细接口!$X367),"")</f>
        <v/>
      </c>
      <c r="AD366" s="90" t="str">
        <f aca="false">IFERROR(IF([2]对账明细接口!$Y367=0,"",[2]对账明细接口!$Y367),"")</f>
        <v/>
      </c>
      <c r="AE366" s="90" t="str">
        <f aca="false">IFERROR(IF([2]对账明细接口!$AA367=0,"",[2]对账明细接口!$AA367),"")</f>
        <v/>
      </c>
      <c r="AF366" s="90" t="str">
        <f aca="false">IFERROR(IF([2]对账明细接口!$AB367=0,"",[2]对账明细接口!$AB367),"")</f>
        <v/>
      </c>
      <c r="AG366" s="90" t="str">
        <f aca="false">IFERROR(IF([2]对账明细接口!$AC367=0,"",[2]对账明细接口!$AC367),"")</f>
        <v/>
      </c>
      <c r="AH366" s="90" t="str">
        <f aca="false">IFERROR(IF([2]对账明细接口!$AD367=0,"",[2]对账明细接口!$AD367),"")</f>
        <v/>
      </c>
    </row>
    <row r="367" customFormat="false" ht="13.5" hidden="false" customHeight="false" outlineLevel="0" collapsed="false">
      <c r="A367" s="109" t="n">
        <v>367</v>
      </c>
      <c r="B367" s="110" t="str">
        <f aca="false">IFERROR(IF([2]对账明细接口!$B$367=0,"",[2]对账明细接口!$B$367),"")</f>
        <v/>
      </c>
      <c r="C367" s="59" t="str">
        <f aca="false">IFERROR(IF([2]对账明细接口!$C$367=0,"",[2]对账明细接口!$C$367),"")</f>
        <v/>
      </c>
      <c r="D367" s="59" t="str">
        <f aca="false">IFERROR(IF([2]对账明细接口!$D$367=0,"",[2]对账明细接口!$D$367),"")</f>
        <v/>
      </c>
      <c r="E367" s="59" t="str">
        <f aca="false">IFERROR(IF([2]对账明细接口!$E$367=0,"",[2]对账明细接口!$E$367),"")</f>
        <v/>
      </c>
      <c r="F367" s="59" t="str">
        <f aca="false">IFERROR(IF([2]对账明细接口!$F$367=0,"",[2]对账明细接口!$F$367),"")</f>
        <v/>
      </c>
      <c r="G367" s="59" t="str">
        <f aca="false">IFERROR(IF([2]对账明细接口!$G$367=0,"",[2]对账明细接口!$G$367),"")</f>
        <v/>
      </c>
      <c r="H367" s="60" t="str">
        <f aca="false">IFERROR(IF([2]对账明细接口!$H$367=0,"",[2]对账明细接口!$H$367),"")</f>
        <v/>
      </c>
      <c r="I367" s="59" t="str">
        <f aca="false">IFERROR(IF([2]对账明细接口!$I$367=0,"",[2]对账明细接口!$I$367),"")</f>
        <v/>
      </c>
      <c r="J367" s="61" t="str">
        <f aca="false">IFERROR(IF([2]对账明细接口!$J$367=0,"",[2]对账明细接口!$J$367),"")</f>
        <v/>
      </c>
      <c r="K367" s="61" t="str">
        <f aca="false">IFERROR(IF([2]对账明细接口!$K$367=0,"",[2]对账明细接口!$K$367),"")</f>
        <v/>
      </c>
      <c r="L367" s="59" t="str">
        <f aca="false">IFERROR(IF([2]对账明细接口!$L$367=0,"",[2]对账明细接口!$L$367),"")</f>
        <v/>
      </c>
      <c r="M367" s="59" t="str">
        <f aca="false">IFERROR(IF([2]对账明细接口!$M$367=0,"",[2]对账明细接口!$M$367),"")</f>
        <v/>
      </c>
      <c r="N367" s="111" t="n">
        <f aca="false">IF($C367="",0,1)</f>
        <v>0</v>
      </c>
      <c r="O367" s="111" t="n">
        <f aca="false">N(O366)+$N367</f>
        <v>311</v>
      </c>
      <c r="S367" s="10" t="str">
        <f aca="false">IFERROR(IF([2]对账明细接口!$N367=0,"",[2]对账明细接口!$N367),"")</f>
        <v/>
      </c>
      <c r="T367" s="112" t="str">
        <f aca="false">IFERROR(IF([2]对账明细接口!$O367=0,"",[2]对账明细接口!$O367),"")</f>
        <v/>
      </c>
      <c r="U367" s="112" t="str">
        <f aca="false">IFERROR(IF([2]对账明细接口!$P367=0,"",[2]对账明细接口!$P367),"")</f>
        <v/>
      </c>
      <c r="V367" s="112" t="str">
        <f aca="false">IFERROR(IF([2]对账明细接口!$Q367=0,"",[2]对账明细接口!$Q367),"")</f>
        <v/>
      </c>
      <c r="W367" s="10" t="str">
        <f aca="false">IFERROR(IF([2]对账明细接口!$R367=0,"",[2]对账明细接口!$R367),"")</f>
        <v/>
      </c>
      <c r="X367" s="10" t="str">
        <f aca="false">IFERROR(IF([2]对账明细接口!$S367=0,"",[2]对账明细接口!$S367),"")</f>
        <v/>
      </c>
      <c r="Y367" s="10" t="str">
        <f aca="false">IFERROR(IF([2]对账明细接口!$T367=0,"",[2]对账明细接口!$T367),"")</f>
        <v/>
      </c>
      <c r="Z367" s="113" t="str">
        <f aca="false">IFERROR(IF([2]对账明细接口!$U367=0,"",[2]对账明细接口!$U367),"")</f>
        <v/>
      </c>
      <c r="AA367" s="113" t="str">
        <f aca="false">IFERROR(IF([2]对账明细接口!$V367=0,"",[2]对账明细接口!$V367),"")</f>
        <v/>
      </c>
      <c r="AB367" s="10" t="str">
        <f aca="false">IFERROR(IF([2]对账明细接口!$W367=0,"",[2]对账明细接口!$W367),"")</f>
        <v/>
      </c>
      <c r="AC367" s="90" t="str">
        <f aca="false">IFERROR(IF([2]对账明细接口!$X368=0,"",[2]对账明细接口!$X368),"")</f>
        <v/>
      </c>
      <c r="AD367" s="90" t="str">
        <f aca="false">IFERROR(IF([2]对账明细接口!$Y368=0,"",[2]对账明细接口!$Y368),"")</f>
        <v/>
      </c>
      <c r="AE367" s="90" t="str">
        <f aca="false">IFERROR(IF([2]对账明细接口!$AA368=0,"",[2]对账明细接口!$AA368),"")</f>
        <v/>
      </c>
      <c r="AF367" s="90" t="str">
        <f aca="false">IFERROR(IF([2]对账明细接口!$AB368=0,"",[2]对账明细接口!$AB368),"")</f>
        <v/>
      </c>
      <c r="AG367" s="90" t="str">
        <f aca="false">IFERROR(IF([2]对账明细接口!$AC368=0,"",[2]对账明细接口!$AC368),"")</f>
        <v/>
      </c>
      <c r="AH367" s="90" t="str">
        <f aca="false">IFERROR(IF([2]对账明细接口!$AD368=0,"",[2]对账明细接口!$AD368),"")</f>
        <v/>
      </c>
    </row>
    <row r="368" customFormat="false" ht="13.5" hidden="false" customHeight="false" outlineLevel="0" collapsed="false">
      <c r="A368" s="109" t="n">
        <v>368</v>
      </c>
      <c r="B368" s="110" t="str">
        <f aca="false">IFERROR(IF([2]对账明细接口!$B$368=0,"",[2]对账明细接口!$B$368),"")</f>
        <v/>
      </c>
      <c r="C368" s="59" t="str">
        <f aca="false">IFERROR(IF([2]对账明细接口!$C$368=0,"",[2]对账明细接口!$C$368),"")</f>
        <v/>
      </c>
      <c r="D368" s="59" t="str">
        <f aca="false">IFERROR(IF([2]对账明细接口!$D$368=0,"",[2]对账明细接口!$D$368),"")</f>
        <v/>
      </c>
      <c r="E368" s="59" t="str">
        <f aca="false">IFERROR(IF([2]对账明细接口!$E$368=0,"",[2]对账明细接口!$E$368),"")</f>
        <v/>
      </c>
      <c r="F368" s="59" t="str">
        <f aca="false">IFERROR(IF([2]对账明细接口!$F$368=0,"",[2]对账明细接口!$F$368),"")</f>
        <v/>
      </c>
      <c r="G368" s="59" t="str">
        <f aca="false">IFERROR(IF([2]对账明细接口!$G$368=0,"",[2]对账明细接口!$G$368),"")</f>
        <v/>
      </c>
      <c r="H368" s="60" t="str">
        <f aca="false">IFERROR(IF([2]对账明细接口!$H$368=0,"",[2]对账明细接口!$H$368),"")</f>
        <v/>
      </c>
      <c r="I368" s="59" t="str">
        <f aca="false">IFERROR(IF([2]对账明细接口!$I$368=0,"",[2]对账明细接口!$I$368),"")</f>
        <v/>
      </c>
      <c r="J368" s="61" t="str">
        <f aca="false">IFERROR(IF([2]对账明细接口!$J$368=0,"",[2]对账明细接口!$J$368),"")</f>
        <v/>
      </c>
      <c r="K368" s="61" t="str">
        <f aca="false">IFERROR(IF([2]对账明细接口!$K$368=0,"",[2]对账明细接口!$K$368),"")</f>
        <v/>
      </c>
      <c r="L368" s="59" t="str">
        <f aca="false">IFERROR(IF([2]对账明细接口!$L$368=0,"",[2]对账明细接口!$L$368),"")</f>
        <v/>
      </c>
      <c r="M368" s="59" t="str">
        <f aca="false">IFERROR(IF([2]对账明细接口!$M$368=0,"",[2]对账明细接口!$M$368),"")</f>
        <v/>
      </c>
      <c r="N368" s="111" t="n">
        <f aca="false">IF($C368="",0,1)</f>
        <v>0</v>
      </c>
      <c r="O368" s="111" t="n">
        <f aca="false">N(O367)+$N368</f>
        <v>311</v>
      </c>
      <c r="S368" s="10" t="str">
        <f aca="false">IFERROR(IF([2]对账明细接口!$N368=0,"",[2]对账明细接口!$N368),"")</f>
        <v/>
      </c>
      <c r="T368" s="112" t="str">
        <f aca="false">IFERROR(IF([2]对账明细接口!$O368=0,"",[2]对账明细接口!$O368),"")</f>
        <v/>
      </c>
      <c r="U368" s="112" t="str">
        <f aca="false">IFERROR(IF([2]对账明细接口!$P368=0,"",[2]对账明细接口!$P368),"")</f>
        <v/>
      </c>
      <c r="V368" s="112" t="str">
        <f aca="false">IFERROR(IF([2]对账明细接口!$Q368=0,"",[2]对账明细接口!$Q368),"")</f>
        <v/>
      </c>
      <c r="W368" s="10" t="str">
        <f aca="false">IFERROR(IF([2]对账明细接口!$R368=0,"",[2]对账明细接口!$R368),"")</f>
        <v/>
      </c>
      <c r="X368" s="10" t="str">
        <f aca="false">IFERROR(IF([2]对账明细接口!$S368=0,"",[2]对账明细接口!$S368),"")</f>
        <v/>
      </c>
      <c r="Y368" s="10" t="str">
        <f aca="false">IFERROR(IF([2]对账明细接口!$T368=0,"",[2]对账明细接口!$T368),"")</f>
        <v/>
      </c>
      <c r="Z368" s="113" t="str">
        <f aca="false">IFERROR(IF([2]对账明细接口!$U368=0,"",[2]对账明细接口!$U368),"")</f>
        <v/>
      </c>
      <c r="AA368" s="113" t="str">
        <f aca="false">IFERROR(IF([2]对账明细接口!$V368=0,"",[2]对账明细接口!$V368),"")</f>
        <v/>
      </c>
      <c r="AB368" s="10" t="str">
        <f aca="false">IFERROR(IF([2]对账明细接口!$W368=0,"",[2]对账明细接口!$W368),"")</f>
        <v/>
      </c>
      <c r="AC368" s="90" t="str">
        <f aca="false">IFERROR(IF([2]对账明细接口!$X369=0,"",[2]对账明细接口!$X369),"")</f>
        <v/>
      </c>
      <c r="AD368" s="90" t="str">
        <f aca="false">IFERROR(IF([2]对账明细接口!$Y369=0,"",[2]对账明细接口!$Y369),"")</f>
        <v/>
      </c>
      <c r="AE368" s="90" t="str">
        <f aca="false">IFERROR(IF([2]对账明细接口!$AA369=0,"",[2]对账明细接口!$AA369),"")</f>
        <v/>
      </c>
      <c r="AF368" s="90" t="str">
        <f aca="false">IFERROR(IF([2]对账明细接口!$AB369=0,"",[2]对账明细接口!$AB369),"")</f>
        <v/>
      </c>
      <c r="AG368" s="90" t="str">
        <f aca="false">IFERROR(IF([2]对账明细接口!$AC369=0,"",[2]对账明细接口!$AC369),"")</f>
        <v/>
      </c>
      <c r="AH368" s="90" t="str">
        <f aca="false">IFERROR(IF([2]对账明细接口!$AD369=0,"",[2]对账明细接口!$AD369),"")</f>
        <v/>
      </c>
    </row>
    <row r="369" customFormat="false" ht="13.5" hidden="false" customHeight="false" outlineLevel="0" collapsed="false">
      <c r="A369" s="109" t="n">
        <v>369</v>
      </c>
      <c r="B369" s="110" t="str">
        <f aca="false">IFERROR(IF([2]对账明细接口!$B$369=0,"",[2]对账明细接口!$B$369),"")</f>
        <v/>
      </c>
      <c r="C369" s="59" t="str">
        <f aca="false">IFERROR(IF([2]对账明细接口!$C$369=0,"",[2]对账明细接口!$C$369),"")</f>
        <v/>
      </c>
      <c r="D369" s="59" t="str">
        <f aca="false">IFERROR(IF([2]对账明细接口!$D$369=0,"",[2]对账明细接口!$D$369),"")</f>
        <v/>
      </c>
      <c r="E369" s="59" t="str">
        <f aca="false">IFERROR(IF([2]对账明细接口!$E$369=0,"",[2]对账明细接口!$E$369),"")</f>
        <v/>
      </c>
      <c r="F369" s="59" t="str">
        <f aca="false">IFERROR(IF([2]对账明细接口!$F$369=0,"",[2]对账明细接口!$F$369),"")</f>
        <v/>
      </c>
      <c r="G369" s="59" t="str">
        <f aca="false">IFERROR(IF([2]对账明细接口!$G$369=0,"",[2]对账明细接口!$G$369),"")</f>
        <v/>
      </c>
      <c r="H369" s="60" t="str">
        <f aca="false">IFERROR(IF([2]对账明细接口!$H$369=0,"",[2]对账明细接口!$H$369),"")</f>
        <v/>
      </c>
      <c r="I369" s="59" t="str">
        <f aca="false">IFERROR(IF([2]对账明细接口!$I$369=0,"",[2]对账明细接口!$I$369),"")</f>
        <v/>
      </c>
      <c r="J369" s="61" t="str">
        <f aca="false">IFERROR(IF([2]对账明细接口!$J$369=0,"",[2]对账明细接口!$J$369),"")</f>
        <v/>
      </c>
      <c r="K369" s="61" t="str">
        <f aca="false">IFERROR(IF([2]对账明细接口!$K$369=0,"",[2]对账明细接口!$K$369),"")</f>
        <v/>
      </c>
      <c r="L369" s="59" t="str">
        <f aca="false">IFERROR(IF([2]对账明细接口!$L$369=0,"",[2]对账明细接口!$L$369),"")</f>
        <v/>
      </c>
      <c r="M369" s="59" t="str">
        <f aca="false">IFERROR(IF([2]对账明细接口!$M$369=0,"",[2]对账明细接口!$M$369),"")</f>
        <v/>
      </c>
      <c r="N369" s="111" t="n">
        <f aca="false">IF($C369="",0,1)</f>
        <v>0</v>
      </c>
      <c r="O369" s="111" t="n">
        <f aca="false">N(O368)+$N369</f>
        <v>311</v>
      </c>
      <c r="S369" s="10" t="str">
        <f aca="false">IFERROR(IF([2]对账明细接口!$N369=0,"",[2]对账明细接口!$N369),"")</f>
        <v/>
      </c>
      <c r="T369" s="112" t="str">
        <f aca="false">IFERROR(IF([2]对账明细接口!$O369=0,"",[2]对账明细接口!$O369),"")</f>
        <v/>
      </c>
      <c r="U369" s="112" t="str">
        <f aca="false">IFERROR(IF([2]对账明细接口!$P369=0,"",[2]对账明细接口!$P369),"")</f>
        <v/>
      </c>
      <c r="V369" s="112" t="str">
        <f aca="false">IFERROR(IF([2]对账明细接口!$Q369=0,"",[2]对账明细接口!$Q369),"")</f>
        <v/>
      </c>
      <c r="W369" s="10" t="str">
        <f aca="false">IFERROR(IF([2]对账明细接口!$R369=0,"",[2]对账明细接口!$R369),"")</f>
        <v/>
      </c>
      <c r="X369" s="10" t="str">
        <f aca="false">IFERROR(IF([2]对账明细接口!$S369=0,"",[2]对账明细接口!$S369),"")</f>
        <v/>
      </c>
      <c r="Y369" s="10" t="str">
        <f aca="false">IFERROR(IF([2]对账明细接口!$T369=0,"",[2]对账明细接口!$T369),"")</f>
        <v/>
      </c>
      <c r="Z369" s="113" t="str">
        <f aca="false">IFERROR(IF([2]对账明细接口!$U369=0,"",[2]对账明细接口!$U369),"")</f>
        <v/>
      </c>
      <c r="AA369" s="113" t="str">
        <f aca="false">IFERROR(IF([2]对账明细接口!$V369=0,"",[2]对账明细接口!$V369),"")</f>
        <v/>
      </c>
      <c r="AB369" s="10" t="str">
        <f aca="false">IFERROR(IF([2]对账明细接口!$W369=0,"",[2]对账明细接口!$W369),"")</f>
        <v/>
      </c>
      <c r="AC369" s="90" t="str">
        <f aca="false">IFERROR(IF([2]对账明细接口!$X370=0,"",[2]对账明细接口!$X370),"")</f>
        <v/>
      </c>
      <c r="AD369" s="90" t="str">
        <f aca="false">IFERROR(IF([2]对账明细接口!$Y370=0,"",[2]对账明细接口!$Y370),"")</f>
        <v/>
      </c>
      <c r="AE369" s="90" t="str">
        <f aca="false">IFERROR(IF([2]对账明细接口!$AA370=0,"",[2]对账明细接口!$AA370),"")</f>
        <v/>
      </c>
      <c r="AF369" s="90" t="str">
        <f aca="false">IFERROR(IF([2]对账明细接口!$AB370=0,"",[2]对账明细接口!$AB370),"")</f>
        <v/>
      </c>
      <c r="AG369" s="90" t="str">
        <f aca="false">IFERROR(IF([2]对账明细接口!$AC370=0,"",[2]对账明细接口!$AC370),"")</f>
        <v/>
      </c>
      <c r="AH369" s="90" t="str">
        <f aca="false">IFERROR(IF([2]对账明细接口!$AD370=0,"",[2]对账明细接口!$AD370),"")</f>
        <v/>
      </c>
    </row>
    <row r="370" customFormat="false" ht="13.5" hidden="false" customHeight="false" outlineLevel="0" collapsed="false">
      <c r="A370" s="109" t="n">
        <v>370</v>
      </c>
      <c r="B370" s="110" t="str">
        <f aca="false">IFERROR(IF([2]对账明细接口!$B$370=0,"",[2]对账明细接口!$B$370),"")</f>
        <v/>
      </c>
      <c r="C370" s="59" t="str">
        <f aca="false">IFERROR(IF([2]对账明细接口!$C$370=0,"",[2]对账明细接口!$C$370),"")</f>
        <v/>
      </c>
      <c r="D370" s="59" t="str">
        <f aca="false">IFERROR(IF([2]对账明细接口!$D$370=0,"",[2]对账明细接口!$D$370),"")</f>
        <v/>
      </c>
      <c r="E370" s="59" t="str">
        <f aca="false">IFERROR(IF([2]对账明细接口!$E$370=0,"",[2]对账明细接口!$E$370),"")</f>
        <v/>
      </c>
      <c r="F370" s="59" t="str">
        <f aca="false">IFERROR(IF([2]对账明细接口!$F$370=0,"",[2]对账明细接口!$F$370),"")</f>
        <v/>
      </c>
      <c r="G370" s="59" t="str">
        <f aca="false">IFERROR(IF([2]对账明细接口!$G$370=0,"",[2]对账明细接口!$G$370),"")</f>
        <v/>
      </c>
      <c r="H370" s="60" t="str">
        <f aca="false">IFERROR(IF([2]对账明细接口!$H$370=0,"",[2]对账明细接口!$H$370),"")</f>
        <v/>
      </c>
      <c r="I370" s="59" t="str">
        <f aca="false">IFERROR(IF([2]对账明细接口!$I$370=0,"",[2]对账明细接口!$I$370),"")</f>
        <v/>
      </c>
      <c r="J370" s="61" t="str">
        <f aca="false">IFERROR(IF([2]对账明细接口!$J$370=0,"",[2]对账明细接口!$J$370),"")</f>
        <v/>
      </c>
      <c r="K370" s="61" t="str">
        <f aca="false">IFERROR(IF([2]对账明细接口!$K$370=0,"",[2]对账明细接口!$K$370),"")</f>
        <v/>
      </c>
      <c r="L370" s="59" t="str">
        <f aca="false">IFERROR(IF([2]对账明细接口!$L$370=0,"",[2]对账明细接口!$L$370),"")</f>
        <v/>
      </c>
      <c r="M370" s="59" t="str">
        <f aca="false">IFERROR(IF([2]对账明细接口!$M$370=0,"",[2]对账明细接口!$M$370),"")</f>
        <v/>
      </c>
      <c r="N370" s="111" t="n">
        <f aca="false">IF($C370="",0,1)</f>
        <v>0</v>
      </c>
      <c r="O370" s="111" t="n">
        <f aca="false">N(O369)+$N370</f>
        <v>311</v>
      </c>
      <c r="S370" s="10" t="str">
        <f aca="false">IFERROR(IF([2]对账明细接口!$N370=0,"",[2]对账明细接口!$N370),"")</f>
        <v/>
      </c>
      <c r="T370" s="112" t="str">
        <f aca="false">IFERROR(IF([2]对账明细接口!$O370=0,"",[2]对账明细接口!$O370),"")</f>
        <v/>
      </c>
      <c r="U370" s="112" t="str">
        <f aca="false">IFERROR(IF([2]对账明细接口!$P370=0,"",[2]对账明细接口!$P370),"")</f>
        <v/>
      </c>
      <c r="V370" s="112" t="str">
        <f aca="false">IFERROR(IF([2]对账明细接口!$Q370=0,"",[2]对账明细接口!$Q370),"")</f>
        <v/>
      </c>
      <c r="W370" s="10" t="str">
        <f aca="false">IFERROR(IF([2]对账明细接口!$R370=0,"",[2]对账明细接口!$R370),"")</f>
        <v/>
      </c>
      <c r="X370" s="10" t="str">
        <f aca="false">IFERROR(IF([2]对账明细接口!$S370=0,"",[2]对账明细接口!$S370),"")</f>
        <v/>
      </c>
      <c r="Y370" s="10" t="str">
        <f aca="false">IFERROR(IF([2]对账明细接口!$T370=0,"",[2]对账明细接口!$T370),"")</f>
        <v/>
      </c>
      <c r="Z370" s="113" t="str">
        <f aca="false">IFERROR(IF([2]对账明细接口!$U370=0,"",[2]对账明细接口!$U370),"")</f>
        <v/>
      </c>
      <c r="AA370" s="113" t="str">
        <f aca="false">IFERROR(IF([2]对账明细接口!$V370=0,"",[2]对账明细接口!$V370),"")</f>
        <v/>
      </c>
      <c r="AB370" s="10" t="str">
        <f aca="false">IFERROR(IF([2]对账明细接口!$W370=0,"",[2]对账明细接口!$W370),"")</f>
        <v/>
      </c>
      <c r="AC370" s="90" t="str">
        <f aca="false">IFERROR(IF([2]对账明细接口!$X371=0,"",[2]对账明细接口!$X371),"")</f>
        <v/>
      </c>
      <c r="AD370" s="90" t="str">
        <f aca="false">IFERROR(IF([2]对账明细接口!$Y371=0,"",[2]对账明细接口!$Y371),"")</f>
        <v/>
      </c>
      <c r="AE370" s="90" t="str">
        <f aca="false">IFERROR(IF([2]对账明细接口!$AA371=0,"",[2]对账明细接口!$AA371),"")</f>
        <v/>
      </c>
      <c r="AF370" s="90" t="str">
        <f aca="false">IFERROR(IF([2]对账明细接口!$AB371=0,"",[2]对账明细接口!$AB371),"")</f>
        <v/>
      </c>
      <c r="AG370" s="90" t="str">
        <f aca="false">IFERROR(IF([2]对账明细接口!$AC371=0,"",[2]对账明细接口!$AC371),"")</f>
        <v/>
      </c>
      <c r="AH370" s="90" t="str">
        <f aca="false">IFERROR(IF([2]对账明细接口!$AD371=0,"",[2]对账明细接口!$AD371),"")</f>
        <v/>
      </c>
    </row>
    <row r="371" customFormat="false" ht="13.5" hidden="false" customHeight="false" outlineLevel="0" collapsed="false">
      <c r="A371" s="109" t="n">
        <v>371</v>
      </c>
      <c r="B371" s="110" t="str">
        <f aca="false">IFERROR(IF([2]对账明细接口!$B$371=0,"",[2]对账明细接口!$B$371),"")</f>
        <v/>
      </c>
      <c r="C371" s="59" t="str">
        <f aca="false">IFERROR(IF([2]对账明细接口!$C$371=0,"",[2]对账明细接口!$C$371),"")</f>
        <v/>
      </c>
      <c r="D371" s="59" t="str">
        <f aca="false">IFERROR(IF([2]对账明细接口!$D$371=0,"",[2]对账明细接口!$D$371),"")</f>
        <v/>
      </c>
      <c r="E371" s="59" t="str">
        <f aca="false">IFERROR(IF([2]对账明细接口!$E$371=0,"",[2]对账明细接口!$E$371),"")</f>
        <v/>
      </c>
      <c r="F371" s="59" t="str">
        <f aca="false">IFERROR(IF([2]对账明细接口!$F$371=0,"",[2]对账明细接口!$F$371),"")</f>
        <v/>
      </c>
      <c r="G371" s="59" t="str">
        <f aca="false">IFERROR(IF([2]对账明细接口!$G$371=0,"",[2]对账明细接口!$G$371),"")</f>
        <v/>
      </c>
      <c r="H371" s="60" t="str">
        <f aca="false">IFERROR(IF([2]对账明细接口!$H$371=0,"",[2]对账明细接口!$H$371),"")</f>
        <v/>
      </c>
      <c r="I371" s="59" t="str">
        <f aca="false">IFERROR(IF([2]对账明细接口!$I$371=0,"",[2]对账明细接口!$I$371),"")</f>
        <v/>
      </c>
      <c r="J371" s="61" t="str">
        <f aca="false">IFERROR(IF([2]对账明细接口!$J$371=0,"",[2]对账明细接口!$J$371),"")</f>
        <v/>
      </c>
      <c r="K371" s="61" t="str">
        <f aca="false">IFERROR(IF([2]对账明细接口!$K$371=0,"",[2]对账明细接口!$K$371),"")</f>
        <v/>
      </c>
      <c r="L371" s="59" t="str">
        <f aca="false">IFERROR(IF([2]对账明细接口!$L$371=0,"",[2]对账明细接口!$L$371),"")</f>
        <v/>
      </c>
      <c r="M371" s="59" t="str">
        <f aca="false">IFERROR(IF([2]对账明细接口!$M$371=0,"",[2]对账明细接口!$M$371),"")</f>
        <v/>
      </c>
      <c r="N371" s="111" t="n">
        <f aca="false">IF($C371="",0,1)</f>
        <v>0</v>
      </c>
      <c r="O371" s="111" t="n">
        <f aca="false">N(O370)+$N371</f>
        <v>311</v>
      </c>
      <c r="S371" s="10" t="str">
        <f aca="false">IFERROR(IF([2]对账明细接口!$N371=0,"",[2]对账明细接口!$N371),"")</f>
        <v/>
      </c>
      <c r="T371" s="112" t="str">
        <f aca="false">IFERROR(IF([2]对账明细接口!$O371=0,"",[2]对账明细接口!$O371),"")</f>
        <v/>
      </c>
      <c r="U371" s="112" t="str">
        <f aca="false">IFERROR(IF([2]对账明细接口!$P371=0,"",[2]对账明细接口!$P371),"")</f>
        <v/>
      </c>
      <c r="V371" s="112" t="str">
        <f aca="false">IFERROR(IF([2]对账明细接口!$Q371=0,"",[2]对账明细接口!$Q371),"")</f>
        <v/>
      </c>
      <c r="W371" s="10" t="str">
        <f aca="false">IFERROR(IF([2]对账明细接口!$R371=0,"",[2]对账明细接口!$R371),"")</f>
        <v/>
      </c>
      <c r="X371" s="10" t="str">
        <f aca="false">IFERROR(IF([2]对账明细接口!$S371=0,"",[2]对账明细接口!$S371),"")</f>
        <v/>
      </c>
      <c r="Y371" s="10" t="str">
        <f aca="false">IFERROR(IF([2]对账明细接口!$T371=0,"",[2]对账明细接口!$T371),"")</f>
        <v/>
      </c>
      <c r="Z371" s="113" t="str">
        <f aca="false">IFERROR(IF([2]对账明细接口!$U371=0,"",[2]对账明细接口!$U371),"")</f>
        <v/>
      </c>
      <c r="AA371" s="113" t="str">
        <f aca="false">IFERROR(IF([2]对账明细接口!$V371=0,"",[2]对账明细接口!$V371),"")</f>
        <v/>
      </c>
      <c r="AB371" s="10" t="str">
        <f aca="false">IFERROR(IF([2]对账明细接口!$W371=0,"",[2]对账明细接口!$W371),"")</f>
        <v/>
      </c>
      <c r="AC371" s="90" t="str">
        <f aca="false">IFERROR(IF([2]对账明细接口!$X372=0,"",[2]对账明细接口!$X372),"")</f>
        <v/>
      </c>
      <c r="AD371" s="90" t="str">
        <f aca="false">IFERROR(IF([2]对账明细接口!$Y372=0,"",[2]对账明细接口!$Y372),"")</f>
        <v/>
      </c>
      <c r="AE371" s="90" t="str">
        <f aca="false">IFERROR(IF([2]对账明细接口!$AA372=0,"",[2]对账明细接口!$AA372),"")</f>
        <v/>
      </c>
      <c r="AF371" s="90" t="str">
        <f aca="false">IFERROR(IF([2]对账明细接口!$AB372=0,"",[2]对账明细接口!$AB372),"")</f>
        <v/>
      </c>
      <c r="AG371" s="90" t="str">
        <f aca="false">IFERROR(IF([2]对账明细接口!$AC372=0,"",[2]对账明细接口!$AC372),"")</f>
        <v/>
      </c>
      <c r="AH371" s="90" t="str">
        <f aca="false">IFERROR(IF([2]对账明细接口!$AD372=0,"",[2]对账明细接口!$AD372),"")</f>
        <v/>
      </c>
    </row>
    <row r="372" customFormat="false" ht="13.5" hidden="false" customHeight="false" outlineLevel="0" collapsed="false">
      <c r="A372" s="109" t="n">
        <v>372</v>
      </c>
      <c r="B372" s="110" t="str">
        <f aca="false">IFERROR(IF([2]对账明细接口!$B$372=0,"",[2]对账明细接口!$B$372),"")</f>
        <v/>
      </c>
      <c r="C372" s="59" t="str">
        <f aca="false">IFERROR(IF([2]对账明细接口!$C$372=0,"",[2]对账明细接口!$C$372),"")</f>
        <v/>
      </c>
      <c r="D372" s="59" t="str">
        <f aca="false">IFERROR(IF([2]对账明细接口!$D$372=0,"",[2]对账明细接口!$D$372),"")</f>
        <v/>
      </c>
      <c r="E372" s="59" t="str">
        <f aca="false">IFERROR(IF([2]对账明细接口!$E$372=0,"",[2]对账明细接口!$E$372),"")</f>
        <v/>
      </c>
      <c r="F372" s="59" t="str">
        <f aca="false">IFERROR(IF([2]对账明细接口!$F$372=0,"",[2]对账明细接口!$F$372),"")</f>
        <v/>
      </c>
      <c r="G372" s="59" t="str">
        <f aca="false">IFERROR(IF([2]对账明细接口!$G$372=0,"",[2]对账明细接口!$G$372),"")</f>
        <v/>
      </c>
      <c r="H372" s="60" t="str">
        <f aca="false">IFERROR(IF([2]对账明细接口!$H$372=0,"",[2]对账明细接口!$H$372),"")</f>
        <v/>
      </c>
      <c r="I372" s="59" t="str">
        <f aca="false">IFERROR(IF([2]对账明细接口!$I$372=0,"",[2]对账明细接口!$I$372),"")</f>
        <v/>
      </c>
      <c r="J372" s="61" t="str">
        <f aca="false">IFERROR(IF([2]对账明细接口!$J$372=0,"",[2]对账明细接口!$J$372),"")</f>
        <v/>
      </c>
      <c r="K372" s="61" t="str">
        <f aca="false">IFERROR(IF([2]对账明细接口!$K$372=0,"",[2]对账明细接口!$K$372),"")</f>
        <v/>
      </c>
      <c r="L372" s="59" t="str">
        <f aca="false">IFERROR(IF([2]对账明细接口!$L$372=0,"",[2]对账明细接口!$L$372),"")</f>
        <v/>
      </c>
      <c r="M372" s="59" t="str">
        <f aca="false">IFERROR(IF([2]对账明细接口!$M$372=0,"",[2]对账明细接口!$M$372),"")</f>
        <v/>
      </c>
      <c r="N372" s="111" t="n">
        <f aca="false">IF($C372="",0,1)</f>
        <v>0</v>
      </c>
      <c r="O372" s="111" t="n">
        <f aca="false">N(O371)+$N372</f>
        <v>311</v>
      </c>
      <c r="S372" s="10" t="str">
        <f aca="false">IFERROR(IF([2]对账明细接口!$N372=0,"",[2]对账明细接口!$N372),"")</f>
        <v/>
      </c>
      <c r="T372" s="112" t="str">
        <f aca="false">IFERROR(IF([2]对账明细接口!$O372=0,"",[2]对账明细接口!$O372),"")</f>
        <v/>
      </c>
      <c r="U372" s="112" t="str">
        <f aca="false">IFERROR(IF([2]对账明细接口!$P372=0,"",[2]对账明细接口!$P372),"")</f>
        <v/>
      </c>
      <c r="V372" s="112" t="str">
        <f aca="false">IFERROR(IF([2]对账明细接口!$Q372=0,"",[2]对账明细接口!$Q372),"")</f>
        <v/>
      </c>
      <c r="W372" s="10" t="str">
        <f aca="false">IFERROR(IF([2]对账明细接口!$R372=0,"",[2]对账明细接口!$R372),"")</f>
        <v/>
      </c>
      <c r="X372" s="10" t="str">
        <f aca="false">IFERROR(IF([2]对账明细接口!$S372=0,"",[2]对账明细接口!$S372),"")</f>
        <v/>
      </c>
      <c r="Y372" s="10" t="str">
        <f aca="false">IFERROR(IF([2]对账明细接口!$T372=0,"",[2]对账明细接口!$T372),"")</f>
        <v/>
      </c>
      <c r="Z372" s="113" t="str">
        <f aca="false">IFERROR(IF([2]对账明细接口!$U372=0,"",[2]对账明细接口!$U372),"")</f>
        <v/>
      </c>
      <c r="AA372" s="113" t="str">
        <f aca="false">IFERROR(IF([2]对账明细接口!$V372=0,"",[2]对账明细接口!$V372),"")</f>
        <v/>
      </c>
      <c r="AB372" s="10" t="str">
        <f aca="false">IFERROR(IF([2]对账明细接口!$W372=0,"",[2]对账明细接口!$W372),"")</f>
        <v/>
      </c>
      <c r="AC372" s="90" t="str">
        <f aca="false">IFERROR(IF([2]对账明细接口!$X373=0,"",[2]对账明细接口!$X373),"")</f>
        <v/>
      </c>
      <c r="AD372" s="90" t="str">
        <f aca="false">IFERROR(IF([2]对账明细接口!$Y373=0,"",[2]对账明细接口!$Y373),"")</f>
        <v/>
      </c>
      <c r="AE372" s="90" t="str">
        <f aca="false">IFERROR(IF([2]对账明细接口!$AA373=0,"",[2]对账明细接口!$AA373),"")</f>
        <v/>
      </c>
      <c r="AF372" s="90" t="str">
        <f aca="false">IFERROR(IF([2]对账明细接口!$AB373=0,"",[2]对账明细接口!$AB373),"")</f>
        <v/>
      </c>
      <c r="AG372" s="90" t="str">
        <f aca="false">IFERROR(IF([2]对账明细接口!$AC373=0,"",[2]对账明细接口!$AC373),"")</f>
        <v/>
      </c>
      <c r="AH372" s="90" t="str">
        <f aca="false">IFERROR(IF([2]对账明细接口!$AD373=0,"",[2]对账明细接口!$AD373),"")</f>
        <v/>
      </c>
    </row>
    <row r="373" customFormat="false" ht="13.5" hidden="false" customHeight="false" outlineLevel="0" collapsed="false">
      <c r="A373" s="109" t="n">
        <v>373</v>
      </c>
      <c r="B373" s="110" t="str">
        <f aca="false">IFERROR(IF([2]对账明细接口!$B$373=0,"",[2]对账明细接口!$B$373),"")</f>
        <v/>
      </c>
      <c r="C373" s="59" t="str">
        <f aca="false">IFERROR(IF([2]对账明细接口!$C$373=0,"",[2]对账明细接口!$C$373),"")</f>
        <v/>
      </c>
      <c r="D373" s="59" t="str">
        <f aca="false">IFERROR(IF([2]对账明细接口!$D$373=0,"",[2]对账明细接口!$D$373),"")</f>
        <v/>
      </c>
      <c r="E373" s="59" t="str">
        <f aca="false">IFERROR(IF([2]对账明细接口!$E$373=0,"",[2]对账明细接口!$E$373),"")</f>
        <v/>
      </c>
      <c r="F373" s="59" t="str">
        <f aca="false">IFERROR(IF([2]对账明细接口!$F$373=0,"",[2]对账明细接口!$F$373),"")</f>
        <v/>
      </c>
      <c r="G373" s="59" t="str">
        <f aca="false">IFERROR(IF([2]对账明细接口!$G$373=0,"",[2]对账明细接口!$G$373),"")</f>
        <v/>
      </c>
      <c r="H373" s="60" t="str">
        <f aca="false">IFERROR(IF([2]对账明细接口!$H$373=0,"",[2]对账明细接口!$H$373),"")</f>
        <v/>
      </c>
      <c r="I373" s="59" t="str">
        <f aca="false">IFERROR(IF([2]对账明细接口!$I$373=0,"",[2]对账明细接口!$I$373),"")</f>
        <v/>
      </c>
      <c r="J373" s="61" t="str">
        <f aca="false">IFERROR(IF([2]对账明细接口!$J$373=0,"",[2]对账明细接口!$J$373),"")</f>
        <v/>
      </c>
      <c r="K373" s="61" t="str">
        <f aca="false">IFERROR(IF([2]对账明细接口!$K$373=0,"",[2]对账明细接口!$K$373),"")</f>
        <v/>
      </c>
      <c r="L373" s="59" t="str">
        <f aca="false">IFERROR(IF([2]对账明细接口!$L$373=0,"",[2]对账明细接口!$L$373),"")</f>
        <v/>
      </c>
      <c r="M373" s="59" t="str">
        <f aca="false">IFERROR(IF([2]对账明细接口!$M$373=0,"",[2]对账明细接口!$M$373),"")</f>
        <v/>
      </c>
      <c r="N373" s="111" t="n">
        <f aca="false">IF($C373="",0,1)</f>
        <v>0</v>
      </c>
      <c r="O373" s="111" t="n">
        <f aca="false">N(O372)+$N373</f>
        <v>311</v>
      </c>
      <c r="S373" s="10" t="str">
        <f aca="false">IFERROR(IF([2]对账明细接口!$N373=0,"",[2]对账明细接口!$N373),"")</f>
        <v/>
      </c>
      <c r="T373" s="112" t="str">
        <f aca="false">IFERROR(IF([2]对账明细接口!$O373=0,"",[2]对账明细接口!$O373),"")</f>
        <v/>
      </c>
      <c r="U373" s="112" t="str">
        <f aca="false">IFERROR(IF([2]对账明细接口!$P373=0,"",[2]对账明细接口!$P373),"")</f>
        <v/>
      </c>
      <c r="V373" s="112" t="str">
        <f aca="false">IFERROR(IF([2]对账明细接口!$Q373=0,"",[2]对账明细接口!$Q373),"")</f>
        <v/>
      </c>
      <c r="W373" s="10" t="str">
        <f aca="false">IFERROR(IF([2]对账明细接口!$R373=0,"",[2]对账明细接口!$R373),"")</f>
        <v/>
      </c>
      <c r="X373" s="10" t="str">
        <f aca="false">IFERROR(IF([2]对账明细接口!$S373=0,"",[2]对账明细接口!$S373),"")</f>
        <v/>
      </c>
      <c r="Y373" s="10" t="str">
        <f aca="false">IFERROR(IF([2]对账明细接口!$T373=0,"",[2]对账明细接口!$T373),"")</f>
        <v/>
      </c>
      <c r="Z373" s="113" t="str">
        <f aca="false">IFERROR(IF([2]对账明细接口!$U373=0,"",[2]对账明细接口!$U373),"")</f>
        <v/>
      </c>
      <c r="AA373" s="113" t="str">
        <f aca="false">IFERROR(IF([2]对账明细接口!$V373=0,"",[2]对账明细接口!$V373),"")</f>
        <v/>
      </c>
      <c r="AB373" s="10" t="str">
        <f aca="false">IFERROR(IF([2]对账明细接口!$W373=0,"",[2]对账明细接口!$W373),"")</f>
        <v/>
      </c>
      <c r="AC373" s="90" t="str">
        <f aca="false">IFERROR(IF([2]对账明细接口!$X374=0,"",[2]对账明细接口!$X374),"")</f>
        <v/>
      </c>
      <c r="AD373" s="90" t="str">
        <f aca="false">IFERROR(IF([2]对账明细接口!$Y374=0,"",[2]对账明细接口!$Y374),"")</f>
        <v/>
      </c>
      <c r="AE373" s="90" t="str">
        <f aca="false">IFERROR(IF([2]对账明细接口!$AA374=0,"",[2]对账明细接口!$AA374),"")</f>
        <v/>
      </c>
      <c r="AF373" s="90" t="str">
        <f aca="false">IFERROR(IF([2]对账明细接口!$AB374=0,"",[2]对账明细接口!$AB374),"")</f>
        <v/>
      </c>
      <c r="AG373" s="90" t="str">
        <f aca="false">IFERROR(IF([2]对账明细接口!$AC374=0,"",[2]对账明细接口!$AC374),"")</f>
        <v/>
      </c>
      <c r="AH373" s="90" t="str">
        <f aca="false">IFERROR(IF([2]对账明细接口!$AD374=0,"",[2]对账明细接口!$AD374),"")</f>
        <v/>
      </c>
    </row>
    <row r="374" customFormat="false" ht="13.5" hidden="false" customHeight="false" outlineLevel="0" collapsed="false">
      <c r="A374" s="109" t="n">
        <v>374</v>
      </c>
      <c r="B374" s="110" t="str">
        <f aca="false">IFERROR(IF([2]对账明细接口!$B$374=0,"",[2]对账明细接口!$B$374),"")</f>
        <v/>
      </c>
      <c r="C374" s="59" t="str">
        <f aca="false">IFERROR(IF([2]对账明细接口!$C$374=0,"",[2]对账明细接口!$C$374),"")</f>
        <v/>
      </c>
      <c r="D374" s="59" t="str">
        <f aca="false">IFERROR(IF([2]对账明细接口!$D$374=0,"",[2]对账明细接口!$D$374),"")</f>
        <v/>
      </c>
      <c r="E374" s="59" t="str">
        <f aca="false">IFERROR(IF([2]对账明细接口!$E$374=0,"",[2]对账明细接口!$E$374),"")</f>
        <v/>
      </c>
      <c r="F374" s="59" t="str">
        <f aca="false">IFERROR(IF([2]对账明细接口!$F$374=0,"",[2]对账明细接口!$F$374),"")</f>
        <v/>
      </c>
      <c r="G374" s="59" t="str">
        <f aca="false">IFERROR(IF([2]对账明细接口!$G$374=0,"",[2]对账明细接口!$G$374),"")</f>
        <v/>
      </c>
      <c r="H374" s="60" t="str">
        <f aca="false">IFERROR(IF([2]对账明细接口!$H$374=0,"",[2]对账明细接口!$H$374),"")</f>
        <v/>
      </c>
      <c r="I374" s="59" t="str">
        <f aca="false">IFERROR(IF([2]对账明细接口!$I$374=0,"",[2]对账明细接口!$I$374),"")</f>
        <v/>
      </c>
      <c r="J374" s="61" t="str">
        <f aca="false">IFERROR(IF([2]对账明细接口!$J$374=0,"",[2]对账明细接口!$J$374),"")</f>
        <v/>
      </c>
      <c r="K374" s="61" t="str">
        <f aca="false">IFERROR(IF([2]对账明细接口!$K$374=0,"",[2]对账明细接口!$K$374),"")</f>
        <v/>
      </c>
      <c r="L374" s="59" t="str">
        <f aca="false">IFERROR(IF([2]对账明细接口!$L$374=0,"",[2]对账明细接口!$L$374),"")</f>
        <v/>
      </c>
      <c r="M374" s="59" t="str">
        <f aca="false">IFERROR(IF([2]对账明细接口!$M$374=0,"",[2]对账明细接口!$M$374),"")</f>
        <v/>
      </c>
      <c r="N374" s="111" t="n">
        <f aca="false">IF($C374="",0,1)</f>
        <v>0</v>
      </c>
      <c r="O374" s="111" t="n">
        <f aca="false">N(O373)+$N374</f>
        <v>311</v>
      </c>
      <c r="S374" s="10" t="str">
        <f aca="false">IFERROR(IF([2]对账明细接口!$N374=0,"",[2]对账明细接口!$N374),"")</f>
        <v/>
      </c>
      <c r="T374" s="112" t="str">
        <f aca="false">IFERROR(IF([2]对账明细接口!$O374=0,"",[2]对账明细接口!$O374),"")</f>
        <v/>
      </c>
      <c r="U374" s="112" t="str">
        <f aca="false">IFERROR(IF([2]对账明细接口!$P374=0,"",[2]对账明细接口!$P374),"")</f>
        <v/>
      </c>
      <c r="V374" s="112" t="str">
        <f aca="false">IFERROR(IF([2]对账明细接口!$Q374=0,"",[2]对账明细接口!$Q374),"")</f>
        <v/>
      </c>
      <c r="W374" s="10" t="str">
        <f aca="false">IFERROR(IF([2]对账明细接口!$R374=0,"",[2]对账明细接口!$R374),"")</f>
        <v/>
      </c>
      <c r="X374" s="10" t="str">
        <f aca="false">IFERROR(IF([2]对账明细接口!$S374=0,"",[2]对账明细接口!$S374),"")</f>
        <v/>
      </c>
      <c r="Y374" s="10" t="str">
        <f aca="false">IFERROR(IF([2]对账明细接口!$T374=0,"",[2]对账明细接口!$T374),"")</f>
        <v/>
      </c>
      <c r="Z374" s="113" t="str">
        <f aca="false">IFERROR(IF([2]对账明细接口!$U374=0,"",[2]对账明细接口!$U374),"")</f>
        <v/>
      </c>
      <c r="AA374" s="113" t="str">
        <f aca="false">IFERROR(IF([2]对账明细接口!$V374=0,"",[2]对账明细接口!$V374),"")</f>
        <v/>
      </c>
      <c r="AB374" s="10" t="str">
        <f aca="false">IFERROR(IF([2]对账明细接口!$W374=0,"",[2]对账明细接口!$W374),"")</f>
        <v/>
      </c>
      <c r="AC374" s="90" t="str">
        <f aca="false">IFERROR(IF([2]对账明细接口!$X375=0,"",[2]对账明细接口!$X375),"")</f>
        <v/>
      </c>
      <c r="AD374" s="90" t="str">
        <f aca="false">IFERROR(IF([2]对账明细接口!$Y375=0,"",[2]对账明细接口!$Y375),"")</f>
        <v/>
      </c>
      <c r="AE374" s="90" t="str">
        <f aca="false">IFERROR(IF([2]对账明细接口!$AA375=0,"",[2]对账明细接口!$AA375),"")</f>
        <v/>
      </c>
      <c r="AF374" s="90" t="str">
        <f aca="false">IFERROR(IF([2]对账明细接口!$AB375=0,"",[2]对账明细接口!$AB375),"")</f>
        <v/>
      </c>
      <c r="AG374" s="90" t="str">
        <f aca="false">IFERROR(IF([2]对账明细接口!$AC375=0,"",[2]对账明细接口!$AC375),"")</f>
        <v/>
      </c>
      <c r="AH374" s="90" t="str">
        <f aca="false">IFERROR(IF([2]对账明细接口!$AD375=0,"",[2]对账明细接口!$AD375),"")</f>
        <v/>
      </c>
    </row>
    <row r="375" customFormat="false" ht="13.5" hidden="false" customHeight="false" outlineLevel="0" collapsed="false">
      <c r="A375" s="109" t="n">
        <v>375</v>
      </c>
      <c r="B375" s="110" t="str">
        <f aca="false">IFERROR(IF([2]对账明细接口!$B$375=0,"",[2]对账明细接口!$B$375),"")</f>
        <v/>
      </c>
      <c r="C375" s="59" t="str">
        <f aca="false">IFERROR(IF([2]对账明细接口!$C$375=0,"",[2]对账明细接口!$C$375),"")</f>
        <v/>
      </c>
      <c r="D375" s="59" t="str">
        <f aca="false">IFERROR(IF([2]对账明细接口!$D$375=0,"",[2]对账明细接口!$D$375),"")</f>
        <v/>
      </c>
      <c r="E375" s="59" t="str">
        <f aca="false">IFERROR(IF([2]对账明细接口!$E$375=0,"",[2]对账明细接口!$E$375),"")</f>
        <v/>
      </c>
      <c r="F375" s="59" t="str">
        <f aca="false">IFERROR(IF([2]对账明细接口!$F$375=0,"",[2]对账明细接口!$F$375),"")</f>
        <v/>
      </c>
      <c r="G375" s="59" t="str">
        <f aca="false">IFERROR(IF([2]对账明细接口!$G$375=0,"",[2]对账明细接口!$G$375),"")</f>
        <v/>
      </c>
      <c r="H375" s="60" t="str">
        <f aca="false">IFERROR(IF([2]对账明细接口!$H$375=0,"",[2]对账明细接口!$H$375),"")</f>
        <v/>
      </c>
      <c r="I375" s="59" t="str">
        <f aca="false">IFERROR(IF([2]对账明细接口!$I$375=0,"",[2]对账明细接口!$I$375),"")</f>
        <v/>
      </c>
      <c r="J375" s="61" t="str">
        <f aca="false">IFERROR(IF([2]对账明细接口!$J$375=0,"",[2]对账明细接口!$J$375),"")</f>
        <v/>
      </c>
      <c r="K375" s="61" t="str">
        <f aca="false">IFERROR(IF([2]对账明细接口!$K$375=0,"",[2]对账明细接口!$K$375),"")</f>
        <v/>
      </c>
      <c r="L375" s="59" t="str">
        <f aca="false">IFERROR(IF([2]对账明细接口!$L$375=0,"",[2]对账明细接口!$L$375),"")</f>
        <v/>
      </c>
      <c r="M375" s="59" t="str">
        <f aca="false">IFERROR(IF([2]对账明细接口!$M$375=0,"",[2]对账明细接口!$M$375),"")</f>
        <v/>
      </c>
      <c r="N375" s="111" t="n">
        <f aca="false">IF($C375="",0,1)</f>
        <v>0</v>
      </c>
      <c r="O375" s="111" t="n">
        <f aca="false">N(O374)+$N375</f>
        <v>311</v>
      </c>
      <c r="S375" s="10" t="str">
        <f aca="false">IFERROR(IF([2]对账明细接口!$N375=0,"",[2]对账明细接口!$N375),"")</f>
        <v/>
      </c>
      <c r="T375" s="112" t="str">
        <f aca="false">IFERROR(IF([2]对账明细接口!$O375=0,"",[2]对账明细接口!$O375),"")</f>
        <v/>
      </c>
      <c r="U375" s="112" t="str">
        <f aca="false">IFERROR(IF([2]对账明细接口!$P375=0,"",[2]对账明细接口!$P375),"")</f>
        <v/>
      </c>
      <c r="V375" s="112" t="str">
        <f aca="false">IFERROR(IF([2]对账明细接口!$Q375=0,"",[2]对账明细接口!$Q375),"")</f>
        <v/>
      </c>
      <c r="W375" s="10" t="str">
        <f aca="false">IFERROR(IF([2]对账明细接口!$R375=0,"",[2]对账明细接口!$R375),"")</f>
        <v/>
      </c>
      <c r="X375" s="10" t="str">
        <f aca="false">IFERROR(IF([2]对账明细接口!$S375=0,"",[2]对账明细接口!$S375),"")</f>
        <v/>
      </c>
      <c r="Y375" s="10" t="str">
        <f aca="false">IFERROR(IF([2]对账明细接口!$T375=0,"",[2]对账明细接口!$T375),"")</f>
        <v/>
      </c>
      <c r="Z375" s="113" t="str">
        <f aca="false">IFERROR(IF([2]对账明细接口!$U375=0,"",[2]对账明细接口!$U375),"")</f>
        <v/>
      </c>
      <c r="AA375" s="113" t="str">
        <f aca="false">IFERROR(IF([2]对账明细接口!$V375=0,"",[2]对账明细接口!$V375),"")</f>
        <v/>
      </c>
      <c r="AB375" s="10" t="str">
        <f aca="false">IFERROR(IF([2]对账明细接口!$W375=0,"",[2]对账明细接口!$W375),"")</f>
        <v/>
      </c>
      <c r="AC375" s="90" t="str">
        <f aca="false">IFERROR(IF([2]对账明细接口!$X376=0,"",[2]对账明细接口!$X376),"")</f>
        <v/>
      </c>
      <c r="AD375" s="90" t="str">
        <f aca="false">IFERROR(IF([2]对账明细接口!$Y376=0,"",[2]对账明细接口!$Y376),"")</f>
        <v/>
      </c>
      <c r="AE375" s="90" t="str">
        <f aca="false">IFERROR(IF([2]对账明细接口!$AA376=0,"",[2]对账明细接口!$AA376),"")</f>
        <v/>
      </c>
      <c r="AF375" s="90" t="str">
        <f aca="false">IFERROR(IF([2]对账明细接口!$AB376=0,"",[2]对账明细接口!$AB376),"")</f>
        <v/>
      </c>
      <c r="AG375" s="90" t="str">
        <f aca="false">IFERROR(IF([2]对账明细接口!$AC376=0,"",[2]对账明细接口!$AC376),"")</f>
        <v/>
      </c>
      <c r="AH375" s="90" t="str">
        <f aca="false">IFERROR(IF([2]对账明细接口!$AD376=0,"",[2]对账明细接口!$AD376),"")</f>
        <v/>
      </c>
    </row>
    <row r="376" customFormat="false" ht="13.5" hidden="false" customHeight="false" outlineLevel="0" collapsed="false">
      <c r="A376" s="109" t="n">
        <v>376</v>
      </c>
      <c r="B376" s="110" t="str">
        <f aca="false">IFERROR(IF([2]对账明细接口!$B$376=0,"",[2]对账明细接口!$B$376),"")</f>
        <v/>
      </c>
      <c r="C376" s="59" t="str">
        <f aca="false">IFERROR(IF([2]对账明细接口!$C$376=0,"",[2]对账明细接口!$C$376),"")</f>
        <v/>
      </c>
      <c r="D376" s="59" t="str">
        <f aca="false">IFERROR(IF([2]对账明细接口!$D$376=0,"",[2]对账明细接口!$D$376),"")</f>
        <v/>
      </c>
      <c r="E376" s="59" t="str">
        <f aca="false">IFERROR(IF([2]对账明细接口!$E$376=0,"",[2]对账明细接口!$E$376),"")</f>
        <v/>
      </c>
      <c r="F376" s="59" t="str">
        <f aca="false">IFERROR(IF([2]对账明细接口!$F$376=0,"",[2]对账明细接口!$F$376),"")</f>
        <v/>
      </c>
      <c r="G376" s="59" t="str">
        <f aca="false">IFERROR(IF([2]对账明细接口!$G$376=0,"",[2]对账明细接口!$G$376),"")</f>
        <v/>
      </c>
      <c r="H376" s="60" t="str">
        <f aca="false">IFERROR(IF([2]对账明细接口!$H$376=0,"",[2]对账明细接口!$H$376),"")</f>
        <v/>
      </c>
      <c r="I376" s="59" t="str">
        <f aca="false">IFERROR(IF([2]对账明细接口!$I$376=0,"",[2]对账明细接口!$I$376),"")</f>
        <v/>
      </c>
      <c r="J376" s="61" t="str">
        <f aca="false">IFERROR(IF([2]对账明细接口!$J$376=0,"",[2]对账明细接口!$J$376),"")</f>
        <v/>
      </c>
      <c r="K376" s="61" t="str">
        <f aca="false">IFERROR(IF([2]对账明细接口!$K$376=0,"",[2]对账明细接口!$K$376),"")</f>
        <v/>
      </c>
      <c r="L376" s="59" t="str">
        <f aca="false">IFERROR(IF([2]对账明细接口!$L$376=0,"",[2]对账明细接口!$L$376),"")</f>
        <v/>
      </c>
      <c r="M376" s="59" t="str">
        <f aca="false">IFERROR(IF([2]对账明细接口!$M$376=0,"",[2]对账明细接口!$M$376),"")</f>
        <v/>
      </c>
      <c r="N376" s="111" t="n">
        <f aca="false">IF($C376="",0,1)</f>
        <v>0</v>
      </c>
      <c r="O376" s="111" t="n">
        <f aca="false">N(O375)+$N376</f>
        <v>311</v>
      </c>
      <c r="S376" s="10" t="str">
        <f aca="false">IFERROR(IF([2]对账明细接口!$N376=0,"",[2]对账明细接口!$N376),"")</f>
        <v/>
      </c>
      <c r="T376" s="112" t="str">
        <f aca="false">IFERROR(IF([2]对账明细接口!$O376=0,"",[2]对账明细接口!$O376),"")</f>
        <v/>
      </c>
      <c r="U376" s="112" t="str">
        <f aca="false">IFERROR(IF([2]对账明细接口!$P376=0,"",[2]对账明细接口!$P376),"")</f>
        <v/>
      </c>
      <c r="V376" s="112" t="str">
        <f aca="false">IFERROR(IF([2]对账明细接口!$Q376=0,"",[2]对账明细接口!$Q376),"")</f>
        <v/>
      </c>
      <c r="W376" s="10" t="str">
        <f aca="false">IFERROR(IF([2]对账明细接口!$R376=0,"",[2]对账明细接口!$R376),"")</f>
        <v/>
      </c>
      <c r="X376" s="10" t="str">
        <f aca="false">IFERROR(IF([2]对账明细接口!$S376=0,"",[2]对账明细接口!$S376),"")</f>
        <v/>
      </c>
      <c r="Y376" s="10" t="str">
        <f aca="false">IFERROR(IF([2]对账明细接口!$T376=0,"",[2]对账明细接口!$T376),"")</f>
        <v/>
      </c>
      <c r="Z376" s="113" t="str">
        <f aca="false">IFERROR(IF([2]对账明细接口!$U376=0,"",[2]对账明细接口!$U376),"")</f>
        <v/>
      </c>
      <c r="AA376" s="113" t="str">
        <f aca="false">IFERROR(IF([2]对账明细接口!$V376=0,"",[2]对账明细接口!$V376),"")</f>
        <v/>
      </c>
      <c r="AB376" s="10" t="str">
        <f aca="false">IFERROR(IF([2]对账明细接口!$W376=0,"",[2]对账明细接口!$W376),"")</f>
        <v/>
      </c>
      <c r="AC376" s="90" t="str">
        <f aca="false">IFERROR(IF([2]对账明细接口!$X377=0,"",[2]对账明细接口!$X377),"")</f>
        <v/>
      </c>
      <c r="AD376" s="90" t="str">
        <f aca="false">IFERROR(IF([2]对账明细接口!$Y377=0,"",[2]对账明细接口!$Y377),"")</f>
        <v/>
      </c>
      <c r="AE376" s="90" t="str">
        <f aca="false">IFERROR(IF([2]对账明细接口!$AA377=0,"",[2]对账明细接口!$AA377),"")</f>
        <v/>
      </c>
      <c r="AF376" s="90" t="str">
        <f aca="false">IFERROR(IF([2]对账明细接口!$AB377=0,"",[2]对账明细接口!$AB377),"")</f>
        <v/>
      </c>
      <c r="AG376" s="90" t="str">
        <f aca="false">IFERROR(IF([2]对账明细接口!$AC377=0,"",[2]对账明细接口!$AC377),"")</f>
        <v/>
      </c>
      <c r="AH376" s="90" t="str">
        <f aca="false">IFERROR(IF([2]对账明细接口!$AD377=0,"",[2]对账明细接口!$AD377),"")</f>
        <v/>
      </c>
    </row>
    <row r="377" customFormat="false" ht="13.5" hidden="false" customHeight="false" outlineLevel="0" collapsed="false">
      <c r="A377" s="109" t="n">
        <v>377</v>
      </c>
      <c r="B377" s="110" t="str">
        <f aca="false">IFERROR(IF([2]对账明细接口!$B$377=0,"",[2]对账明细接口!$B$377),"")</f>
        <v/>
      </c>
      <c r="C377" s="59" t="str">
        <f aca="false">IFERROR(IF([2]对账明细接口!$C$377=0,"",[2]对账明细接口!$C$377),"")</f>
        <v/>
      </c>
      <c r="D377" s="59" t="str">
        <f aca="false">IFERROR(IF([2]对账明细接口!$D$377=0,"",[2]对账明细接口!$D$377),"")</f>
        <v/>
      </c>
      <c r="E377" s="59" t="str">
        <f aca="false">IFERROR(IF([2]对账明细接口!$E$377=0,"",[2]对账明细接口!$E$377),"")</f>
        <v/>
      </c>
      <c r="F377" s="59" t="str">
        <f aca="false">IFERROR(IF([2]对账明细接口!$F$377=0,"",[2]对账明细接口!$F$377),"")</f>
        <v/>
      </c>
      <c r="G377" s="59" t="str">
        <f aca="false">IFERROR(IF([2]对账明细接口!$G$377=0,"",[2]对账明细接口!$G$377),"")</f>
        <v/>
      </c>
      <c r="H377" s="60" t="str">
        <f aca="false">IFERROR(IF([2]对账明细接口!$H$377=0,"",[2]对账明细接口!$H$377),"")</f>
        <v/>
      </c>
      <c r="I377" s="59" t="str">
        <f aca="false">IFERROR(IF([2]对账明细接口!$I$377=0,"",[2]对账明细接口!$I$377),"")</f>
        <v/>
      </c>
      <c r="J377" s="61" t="str">
        <f aca="false">IFERROR(IF([2]对账明细接口!$J$377=0,"",[2]对账明细接口!$J$377),"")</f>
        <v/>
      </c>
      <c r="K377" s="61" t="str">
        <f aca="false">IFERROR(IF([2]对账明细接口!$K$377=0,"",[2]对账明细接口!$K$377),"")</f>
        <v/>
      </c>
      <c r="L377" s="59" t="str">
        <f aca="false">IFERROR(IF([2]对账明细接口!$L$377=0,"",[2]对账明细接口!$L$377),"")</f>
        <v/>
      </c>
      <c r="M377" s="59" t="str">
        <f aca="false">IFERROR(IF([2]对账明细接口!$M$377=0,"",[2]对账明细接口!$M$377),"")</f>
        <v/>
      </c>
      <c r="N377" s="111" t="n">
        <f aca="false">IF($C377="",0,1)</f>
        <v>0</v>
      </c>
      <c r="O377" s="111" t="n">
        <f aca="false">N(O376)+$N377</f>
        <v>311</v>
      </c>
      <c r="S377" s="10" t="str">
        <f aca="false">IFERROR(IF([2]对账明细接口!$N377=0,"",[2]对账明细接口!$N377),"")</f>
        <v/>
      </c>
      <c r="T377" s="112" t="str">
        <f aca="false">IFERROR(IF([2]对账明细接口!$O377=0,"",[2]对账明细接口!$O377),"")</f>
        <v/>
      </c>
      <c r="U377" s="112" t="str">
        <f aca="false">IFERROR(IF([2]对账明细接口!$P377=0,"",[2]对账明细接口!$P377),"")</f>
        <v/>
      </c>
      <c r="V377" s="112" t="str">
        <f aca="false">IFERROR(IF([2]对账明细接口!$Q377=0,"",[2]对账明细接口!$Q377),"")</f>
        <v/>
      </c>
      <c r="W377" s="10" t="str">
        <f aca="false">IFERROR(IF([2]对账明细接口!$R377=0,"",[2]对账明细接口!$R377),"")</f>
        <v/>
      </c>
      <c r="X377" s="10" t="str">
        <f aca="false">IFERROR(IF([2]对账明细接口!$S377=0,"",[2]对账明细接口!$S377),"")</f>
        <v/>
      </c>
      <c r="Y377" s="10" t="str">
        <f aca="false">IFERROR(IF([2]对账明细接口!$T377=0,"",[2]对账明细接口!$T377),"")</f>
        <v/>
      </c>
      <c r="Z377" s="113" t="str">
        <f aca="false">IFERROR(IF([2]对账明细接口!$U377=0,"",[2]对账明细接口!$U377),"")</f>
        <v/>
      </c>
      <c r="AA377" s="113" t="str">
        <f aca="false">IFERROR(IF([2]对账明细接口!$V377=0,"",[2]对账明细接口!$V377),"")</f>
        <v/>
      </c>
      <c r="AB377" s="10" t="str">
        <f aca="false">IFERROR(IF([2]对账明细接口!$W377=0,"",[2]对账明细接口!$W377),"")</f>
        <v/>
      </c>
      <c r="AC377" s="90" t="str">
        <f aca="false">IFERROR(IF([2]对账明细接口!$X378=0,"",[2]对账明细接口!$X378),"")</f>
        <v/>
      </c>
      <c r="AD377" s="90" t="str">
        <f aca="false">IFERROR(IF([2]对账明细接口!$Y378=0,"",[2]对账明细接口!$Y378),"")</f>
        <v/>
      </c>
      <c r="AE377" s="90" t="str">
        <f aca="false">IFERROR(IF([2]对账明细接口!$AA378=0,"",[2]对账明细接口!$AA378),"")</f>
        <v/>
      </c>
      <c r="AF377" s="90" t="str">
        <f aca="false">IFERROR(IF([2]对账明细接口!$AB378=0,"",[2]对账明细接口!$AB378),"")</f>
        <v/>
      </c>
      <c r="AG377" s="90" t="str">
        <f aca="false">IFERROR(IF([2]对账明细接口!$AC378=0,"",[2]对账明细接口!$AC378),"")</f>
        <v/>
      </c>
      <c r="AH377" s="90" t="str">
        <f aca="false">IFERROR(IF([2]对账明细接口!$AD378=0,"",[2]对账明细接口!$AD378),"")</f>
        <v/>
      </c>
    </row>
    <row r="378" customFormat="false" ht="13.5" hidden="false" customHeight="false" outlineLevel="0" collapsed="false">
      <c r="A378" s="109" t="n">
        <v>378</v>
      </c>
      <c r="B378" s="110" t="str">
        <f aca="false">IFERROR(IF([2]对账明细接口!$B$378=0,"",[2]对账明细接口!$B$378),"")</f>
        <v/>
      </c>
      <c r="C378" s="59" t="str">
        <f aca="false">IFERROR(IF([2]对账明细接口!$C$378=0,"",[2]对账明细接口!$C$378),"")</f>
        <v/>
      </c>
      <c r="D378" s="59" t="str">
        <f aca="false">IFERROR(IF([2]对账明细接口!$D$378=0,"",[2]对账明细接口!$D$378),"")</f>
        <v/>
      </c>
      <c r="E378" s="59" t="str">
        <f aca="false">IFERROR(IF([2]对账明细接口!$E$378=0,"",[2]对账明细接口!$E$378),"")</f>
        <v/>
      </c>
      <c r="F378" s="59" t="str">
        <f aca="false">IFERROR(IF([2]对账明细接口!$F$378=0,"",[2]对账明细接口!$F$378),"")</f>
        <v/>
      </c>
      <c r="G378" s="59" t="str">
        <f aca="false">IFERROR(IF([2]对账明细接口!$G$378=0,"",[2]对账明细接口!$G$378),"")</f>
        <v/>
      </c>
      <c r="H378" s="60" t="str">
        <f aca="false">IFERROR(IF([2]对账明细接口!$H$378=0,"",[2]对账明细接口!$H$378),"")</f>
        <v/>
      </c>
      <c r="I378" s="59" t="str">
        <f aca="false">IFERROR(IF([2]对账明细接口!$I$378=0,"",[2]对账明细接口!$I$378),"")</f>
        <v/>
      </c>
      <c r="J378" s="61" t="str">
        <f aca="false">IFERROR(IF([2]对账明细接口!$J$378=0,"",[2]对账明细接口!$J$378),"")</f>
        <v/>
      </c>
      <c r="K378" s="61" t="str">
        <f aca="false">IFERROR(IF([2]对账明细接口!$K$378=0,"",[2]对账明细接口!$K$378),"")</f>
        <v/>
      </c>
      <c r="L378" s="59" t="str">
        <f aca="false">IFERROR(IF([2]对账明细接口!$L$378=0,"",[2]对账明细接口!$L$378),"")</f>
        <v/>
      </c>
      <c r="M378" s="59" t="str">
        <f aca="false">IFERROR(IF([2]对账明细接口!$M$378=0,"",[2]对账明细接口!$M$378),"")</f>
        <v/>
      </c>
      <c r="N378" s="111" t="n">
        <f aca="false">IF($C378="",0,1)</f>
        <v>0</v>
      </c>
      <c r="O378" s="111" t="n">
        <f aca="false">N(O377)+$N378</f>
        <v>311</v>
      </c>
      <c r="S378" s="10" t="str">
        <f aca="false">IFERROR(IF([2]对账明细接口!$N378=0,"",[2]对账明细接口!$N378),"")</f>
        <v/>
      </c>
      <c r="T378" s="112" t="str">
        <f aca="false">IFERROR(IF([2]对账明细接口!$O378=0,"",[2]对账明细接口!$O378),"")</f>
        <v/>
      </c>
      <c r="U378" s="112" t="str">
        <f aca="false">IFERROR(IF([2]对账明细接口!$P378=0,"",[2]对账明细接口!$P378),"")</f>
        <v/>
      </c>
      <c r="V378" s="112" t="str">
        <f aca="false">IFERROR(IF([2]对账明细接口!$Q378=0,"",[2]对账明细接口!$Q378),"")</f>
        <v/>
      </c>
      <c r="W378" s="10" t="str">
        <f aca="false">IFERROR(IF([2]对账明细接口!$R378=0,"",[2]对账明细接口!$R378),"")</f>
        <v/>
      </c>
      <c r="X378" s="10" t="str">
        <f aca="false">IFERROR(IF([2]对账明细接口!$S378=0,"",[2]对账明细接口!$S378),"")</f>
        <v/>
      </c>
      <c r="Y378" s="10" t="str">
        <f aca="false">IFERROR(IF([2]对账明细接口!$T378=0,"",[2]对账明细接口!$T378),"")</f>
        <v/>
      </c>
      <c r="Z378" s="113" t="str">
        <f aca="false">IFERROR(IF([2]对账明细接口!$U378=0,"",[2]对账明细接口!$U378),"")</f>
        <v/>
      </c>
      <c r="AA378" s="113" t="str">
        <f aca="false">IFERROR(IF([2]对账明细接口!$V378=0,"",[2]对账明细接口!$V378),"")</f>
        <v/>
      </c>
      <c r="AB378" s="10" t="str">
        <f aca="false">IFERROR(IF([2]对账明细接口!$W378=0,"",[2]对账明细接口!$W378),"")</f>
        <v/>
      </c>
      <c r="AC378" s="90" t="str">
        <f aca="false">IFERROR(IF([2]对账明细接口!$X379=0,"",[2]对账明细接口!$X379),"")</f>
        <v/>
      </c>
      <c r="AD378" s="90" t="str">
        <f aca="false">IFERROR(IF([2]对账明细接口!$Y379=0,"",[2]对账明细接口!$Y379),"")</f>
        <v/>
      </c>
      <c r="AE378" s="90" t="str">
        <f aca="false">IFERROR(IF([2]对账明细接口!$AA379=0,"",[2]对账明细接口!$AA379),"")</f>
        <v/>
      </c>
      <c r="AF378" s="90" t="str">
        <f aca="false">IFERROR(IF([2]对账明细接口!$AB379=0,"",[2]对账明细接口!$AB379),"")</f>
        <v/>
      </c>
      <c r="AG378" s="90" t="str">
        <f aca="false">IFERROR(IF([2]对账明细接口!$AC379=0,"",[2]对账明细接口!$AC379),"")</f>
        <v/>
      </c>
      <c r="AH378" s="90" t="str">
        <f aca="false">IFERROR(IF([2]对账明细接口!$AD379=0,"",[2]对账明细接口!$AD379),"")</f>
        <v/>
      </c>
    </row>
    <row r="379" customFormat="false" ht="13.5" hidden="false" customHeight="false" outlineLevel="0" collapsed="false">
      <c r="A379" s="109" t="n">
        <v>379</v>
      </c>
      <c r="B379" s="110" t="str">
        <f aca="false">IFERROR(IF([2]对账明细接口!$B$379=0,"",[2]对账明细接口!$B$379),"")</f>
        <v/>
      </c>
      <c r="C379" s="59" t="str">
        <f aca="false">IFERROR(IF([2]对账明细接口!$C$379=0,"",[2]对账明细接口!$C$379),"")</f>
        <v/>
      </c>
      <c r="D379" s="59" t="str">
        <f aca="false">IFERROR(IF([2]对账明细接口!$D$379=0,"",[2]对账明细接口!$D$379),"")</f>
        <v/>
      </c>
      <c r="E379" s="59" t="str">
        <f aca="false">IFERROR(IF([2]对账明细接口!$E$379=0,"",[2]对账明细接口!$E$379),"")</f>
        <v/>
      </c>
      <c r="F379" s="59" t="str">
        <f aca="false">IFERROR(IF([2]对账明细接口!$F$379=0,"",[2]对账明细接口!$F$379),"")</f>
        <v/>
      </c>
      <c r="G379" s="59" t="str">
        <f aca="false">IFERROR(IF([2]对账明细接口!$G$379=0,"",[2]对账明细接口!$G$379),"")</f>
        <v/>
      </c>
      <c r="H379" s="60" t="str">
        <f aca="false">IFERROR(IF([2]对账明细接口!$H$379=0,"",[2]对账明细接口!$H$379),"")</f>
        <v/>
      </c>
      <c r="I379" s="59" t="str">
        <f aca="false">IFERROR(IF([2]对账明细接口!$I$379=0,"",[2]对账明细接口!$I$379),"")</f>
        <v/>
      </c>
      <c r="J379" s="61" t="str">
        <f aca="false">IFERROR(IF([2]对账明细接口!$J$379=0,"",[2]对账明细接口!$J$379),"")</f>
        <v/>
      </c>
      <c r="K379" s="61" t="str">
        <f aca="false">IFERROR(IF([2]对账明细接口!$K$379=0,"",[2]对账明细接口!$K$379),"")</f>
        <v/>
      </c>
      <c r="L379" s="59" t="str">
        <f aca="false">IFERROR(IF([2]对账明细接口!$L$379=0,"",[2]对账明细接口!$L$379),"")</f>
        <v/>
      </c>
      <c r="M379" s="59" t="str">
        <f aca="false">IFERROR(IF([2]对账明细接口!$M$379=0,"",[2]对账明细接口!$M$379),"")</f>
        <v/>
      </c>
      <c r="N379" s="111" t="n">
        <f aca="false">IF($C379="",0,1)</f>
        <v>0</v>
      </c>
      <c r="O379" s="111" t="n">
        <f aca="false">N(O378)+$N379</f>
        <v>311</v>
      </c>
      <c r="S379" s="10" t="str">
        <f aca="false">IFERROR(IF([2]对账明细接口!$N379=0,"",[2]对账明细接口!$N379),"")</f>
        <v/>
      </c>
      <c r="T379" s="112" t="str">
        <f aca="false">IFERROR(IF([2]对账明细接口!$O379=0,"",[2]对账明细接口!$O379),"")</f>
        <v/>
      </c>
      <c r="U379" s="112" t="str">
        <f aca="false">IFERROR(IF([2]对账明细接口!$P379=0,"",[2]对账明细接口!$P379),"")</f>
        <v/>
      </c>
      <c r="V379" s="112" t="str">
        <f aca="false">IFERROR(IF([2]对账明细接口!$Q379=0,"",[2]对账明细接口!$Q379),"")</f>
        <v/>
      </c>
      <c r="W379" s="10" t="str">
        <f aca="false">IFERROR(IF([2]对账明细接口!$R379=0,"",[2]对账明细接口!$R379),"")</f>
        <v/>
      </c>
      <c r="X379" s="10" t="str">
        <f aca="false">IFERROR(IF([2]对账明细接口!$S379=0,"",[2]对账明细接口!$S379),"")</f>
        <v/>
      </c>
      <c r="Y379" s="10" t="str">
        <f aca="false">IFERROR(IF([2]对账明细接口!$T379=0,"",[2]对账明细接口!$T379),"")</f>
        <v/>
      </c>
      <c r="Z379" s="113" t="str">
        <f aca="false">IFERROR(IF([2]对账明细接口!$U379=0,"",[2]对账明细接口!$U379),"")</f>
        <v/>
      </c>
      <c r="AA379" s="113" t="str">
        <f aca="false">IFERROR(IF([2]对账明细接口!$V379=0,"",[2]对账明细接口!$V379),"")</f>
        <v/>
      </c>
      <c r="AB379" s="10" t="str">
        <f aca="false">IFERROR(IF([2]对账明细接口!$W379=0,"",[2]对账明细接口!$W379),"")</f>
        <v/>
      </c>
      <c r="AC379" s="90" t="str">
        <f aca="false">IFERROR(IF([2]对账明细接口!$X380=0,"",[2]对账明细接口!$X380),"")</f>
        <v/>
      </c>
      <c r="AD379" s="90" t="str">
        <f aca="false">IFERROR(IF([2]对账明细接口!$Y380=0,"",[2]对账明细接口!$Y380),"")</f>
        <v/>
      </c>
      <c r="AE379" s="90" t="str">
        <f aca="false">IFERROR(IF([2]对账明细接口!$AA380=0,"",[2]对账明细接口!$AA380),"")</f>
        <v/>
      </c>
      <c r="AF379" s="90" t="str">
        <f aca="false">IFERROR(IF([2]对账明细接口!$AB380=0,"",[2]对账明细接口!$AB380),"")</f>
        <v/>
      </c>
      <c r="AG379" s="90" t="str">
        <f aca="false">IFERROR(IF([2]对账明细接口!$AC380=0,"",[2]对账明细接口!$AC380),"")</f>
        <v/>
      </c>
      <c r="AH379" s="90" t="str">
        <f aca="false">IFERROR(IF([2]对账明细接口!$AD380=0,"",[2]对账明细接口!$AD380),"")</f>
        <v/>
      </c>
    </row>
    <row r="380" customFormat="false" ht="13.5" hidden="false" customHeight="false" outlineLevel="0" collapsed="false">
      <c r="A380" s="109" t="n">
        <v>380</v>
      </c>
      <c r="B380" s="110" t="str">
        <f aca="false">IFERROR(IF([2]对账明细接口!$B$380=0,"",[2]对账明细接口!$B$380),"")</f>
        <v/>
      </c>
      <c r="C380" s="59" t="str">
        <f aca="false">IFERROR(IF([2]对账明细接口!$C$380=0,"",[2]对账明细接口!$C$380),"")</f>
        <v/>
      </c>
      <c r="D380" s="59" t="str">
        <f aca="false">IFERROR(IF([2]对账明细接口!$D$380=0,"",[2]对账明细接口!$D$380),"")</f>
        <v/>
      </c>
      <c r="E380" s="59" t="str">
        <f aca="false">IFERROR(IF([2]对账明细接口!$E$380=0,"",[2]对账明细接口!$E$380),"")</f>
        <v/>
      </c>
      <c r="F380" s="59" t="str">
        <f aca="false">IFERROR(IF([2]对账明细接口!$F$380=0,"",[2]对账明细接口!$F$380),"")</f>
        <v/>
      </c>
      <c r="G380" s="59" t="str">
        <f aca="false">IFERROR(IF([2]对账明细接口!$G$380=0,"",[2]对账明细接口!$G$380),"")</f>
        <v/>
      </c>
      <c r="H380" s="60" t="str">
        <f aca="false">IFERROR(IF([2]对账明细接口!$H$380=0,"",[2]对账明细接口!$H$380),"")</f>
        <v/>
      </c>
      <c r="I380" s="59" t="str">
        <f aca="false">IFERROR(IF([2]对账明细接口!$I$380=0,"",[2]对账明细接口!$I$380),"")</f>
        <v/>
      </c>
      <c r="J380" s="61" t="str">
        <f aca="false">IFERROR(IF([2]对账明细接口!$J$380=0,"",[2]对账明细接口!$J$380),"")</f>
        <v/>
      </c>
      <c r="K380" s="61" t="str">
        <f aca="false">IFERROR(IF([2]对账明细接口!$K$380=0,"",[2]对账明细接口!$K$380),"")</f>
        <v/>
      </c>
      <c r="L380" s="59" t="str">
        <f aca="false">IFERROR(IF([2]对账明细接口!$L$380=0,"",[2]对账明细接口!$L$380),"")</f>
        <v/>
      </c>
      <c r="M380" s="59" t="str">
        <f aca="false">IFERROR(IF([2]对账明细接口!$M$380=0,"",[2]对账明细接口!$M$380),"")</f>
        <v/>
      </c>
      <c r="N380" s="111" t="n">
        <f aca="false">IF($C380="",0,1)</f>
        <v>0</v>
      </c>
      <c r="O380" s="111" t="n">
        <f aca="false">N(O379)+$N380</f>
        <v>311</v>
      </c>
      <c r="S380" s="10" t="str">
        <f aca="false">IFERROR(IF([2]对账明细接口!$N380=0,"",[2]对账明细接口!$N380),"")</f>
        <v/>
      </c>
      <c r="T380" s="112" t="str">
        <f aca="false">IFERROR(IF([2]对账明细接口!$O380=0,"",[2]对账明细接口!$O380),"")</f>
        <v/>
      </c>
      <c r="U380" s="112" t="str">
        <f aca="false">IFERROR(IF([2]对账明细接口!$P380=0,"",[2]对账明细接口!$P380),"")</f>
        <v/>
      </c>
      <c r="V380" s="112" t="str">
        <f aca="false">IFERROR(IF([2]对账明细接口!$Q380=0,"",[2]对账明细接口!$Q380),"")</f>
        <v/>
      </c>
      <c r="W380" s="10" t="str">
        <f aca="false">IFERROR(IF([2]对账明细接口!$R380=0,"",[2]对账明细接口!$R380),"")</f>
        <v/>
      </c>
      <c r="X380" s="10" t="str">
        <f aca="false">IFERROR(IF([2]对账明细接口!$S380=0,"",[2]对账明细接口!$S380),"")</f>
        <v/>
      </c>
      <c r="Y380" s="10" t="str">
        <f aca="false">IFERROR(IF([2]对账明细接口!$T380=0,"",[2]对账明细接口!$T380),"")</f>
        <v/>
      </c>
      <c r="Z380" s="113" t="str">
        <f aca="false">IFERROR(IF([2]对账明细接口!$U380=0,"",[2]对账明细接口!$U380),"")</f>
        <v/>
      </c>
      <c r="AA380" s="113" t="str">
        <f aca="false">IFERROR(IF([2]对账明细接口!$V380=0,"",[2]对账明细接口!$V380),"")</f>
        <v/>
      </c>
      <c r="AB380" s="10" t="str">
        <f aca="false">IFERROR(IF([2]对账明细接口!$W380=0,"",[2]对账明细接口!$W380),"")</f>
        <v/>
      </c>
      <c r="AC380" s="90" t="str">
        <f aca="false">IFERROR(IF([2]对账明细接口!$X381=0,"",[2]对账明细接口!$X381),"")</f>
        <v/>
      </c>
      <c r="AD380" s="90" t="str">
        <f aca="false">IFERROR(IF([2]对账明细接口!$Y381=0,"",[2]对账明细接口!$Y381),"")</f>
        <v/>
      </c>
      <c r="AE380" s="90" t="str">
        <f aca="false">IFERROR(IF([2]对账明细接口!$AA381=0,"",[2]对账明细接口!$AA381),"")</f>
        <v/>
      </c>
      <c r="AF380" s="90" t="str">
        <f aca="false">IFERROR(IF([2]对账明细接口!$AB381=0,"",[2]对账明细接口!$AB381),"")</f>
        <v/>
      </c>
      <c r="AG380" s="90" t="str">
        <f aca="false">IFERROR(IF([2]对账明细接口!$AC381=0,"",[2]对账明细接口!$AC381),"")</f>
        <v/>
      </c>
      <c r="AH380" s="90" t="str">
        <f aca="false">IFERROR(IF([2]对账明细接口!$AD381=0,"",[2]对账明细接口!$AD381),"")</f>
        <v/>
      </c>
    </row>
    <row r="381" customFormat="false" ht="13.5" hidden="false" customHeight="false" outlineLevel="0" collapsed="false">
      <c r="A381" s="109" t="n">
        <v>381</v>
      </c>
      <c r="B381" s="110" t="str">
        <f aca="false">IFERROR(IF([2]对账明细接口!$B$381=0,"",[2]对账明细接口!$B$381),"")</f>
        <v/>
      </c>
      <c r="C381" s="59" t="str">
        <f aca="false">IFERROR(IF([2]对账明细接口!$C$381=0,"",[2]对账明细接口!$C$381),"")</f>
        <v/>
      </c>
      <c r="D381" s="59" t="str">
        <f aca="false">IFERROR(IF([2]对账明细接口!$D$381=0,"",[2]对账明细接口!$D$381),"")</f>
        <v/>
      </c>
      <c r="E381" s="59" t="str">
        <f aca="false">IFERROR(IF([2]对账明细接口!$E$381=0,"",[2]对账明细接口!$E$381),"")</f>
        <v/>
      </c>
      <c r="F381" s="59" t="str">
        <f aca="false">IFERROR(IF([2]对账明细接口!$F$381=0,"",[2]对账明细接口!$F$381),"")</f>
        <v/>
      </c>
      <c r="G381" s="59" t="str">
        <f aca="false">IFERROR(IF([2]对账明细接口!$G$381=0,"",[2]对账明细接口!$G$381),"")</f>
        <v/>
      </c>
      <c r="H381" s="60" t="str">
        <f aca="false">IFERROR(IF([2]对账明细接口!$H$381=0,"",[2]对账明细接口!$H$381),"")</f>
        <v/>
      </c>
      <c r="I381" s="59" t="str">
        <f aca="false">IFERROR(IF([2]对账明细接口!$I$381=0,"",[2]对账明细接口!$I$381),"")</f>
        <v/>
      </c>
      <c r="J381" s="61" t="str">
        <f aca="false">IFERROR(IF([2]对账明细接口!$J$381=0,"",[2]对账明细接口!$J$381),"")</f>
        <v/>
      </c>
      <c r="K381" s="61" t="str">
        <f aca="false">IFERROR(IF([2]对账明细接口!$K$381=0,"",[2]对账明细接口!$K$381),"")</f>
        <v/>
      </c>
      <c r="L381" s="59" t="str">
        <f aca="false">IFERROR(IF([2]对账明细接口!$L$381=0,"",[2]对账明细接口!$L$381),"")</f>
        <v/>
      </c>
      <c r="M381" s="59" t="str">
        <f aca="false">IFERROR(IF([2]对账明细接口!$M$381=0,"",[2]对账明细接口!$M$381),"")</f>
        <v/>
      </c>
      <c r="N381" s="111" t="n">
        <f aca="false">IF($C381="",0,1)</f>
        <v>0</v>
      </c>
      <c r="O381" s="111" t="n">
        <f aca="false">N(O380)+$N381</f>
        <v>311</v>
      </c>
      <c r="S381" s="10" t="str">
        <f aca="false">IFERROR(IF([2]对账明细接口!$N381=0,"",[2]对账明细接口!$N381),"")</f>
        <v/>
      </c>
      <c r="T381" s="112" t="str">
        <f aca="false">IFERROR(IF([2]对账明细接口!$O381=0,"",[2]对账明细接口!$O381),"")</f>
        <v/>
      </c>
      <c r="U381" s="112" t="str">
        <f aca="false">IFERROR(IF([2]对账明细接口!$P381=0,"",[2]对账明细接口!$P381),"")</f>
        <v/>
      </c>
      <c r="V381" s="112" t="str">
        <f aca="false">IFERROR(IF([2]对账明细接口!$Q381=0,"",[2]对账明细接口!$Q381),"")</f>
        <v/>
      </c>
      <c r="W381" s="10" t="str">
        <f aca="false">IFERROR(IF([2]对账明细接口!$R381=0,"",[2]对账明细接口!$R381),"")</f>
        <v/>
      </c>
      <c r="X381" s="10" t="str">
        <f aca="false">IFERROR(IF([2]对账明细接口!$S381=0,"",[2]对账明细接口!$S381),"")</f>
        <v/>
      </c>
      <c r="Y381" s="10" t="str">
        <f aca="false">IFERROR(IF([2]对账明细接口!$T381=0,"",[2]对账明细接口!$T381),"")</f>
        <v/>
      </c>
      <c r="Z381" s="113" t="str">
        <f aca="false">IFERROR(IF([2]对账明细接口!$U381=0,"",[2]对账明细接口!$U381),"")</f>
        <v/>
      </c>
      <c r="AA381" s="113" t="str">
        <f aca="false">IFERROR(IF([2]对账明细接口!$V381=0,"",[2]对账明细接口!$V381),"")</f>
        <v/>
      </c>
      <c r="AB381" s="10" t="str">
        <f aca="false">IFERROR(IF([2]对账明细接口!$W381=0,"",[2]对账明细接口!$W381),"")</f>
        <v/>
      </c>
      <c r="AC381" s="90" t="str">
        <f aca="false">IFERROR(IF([2]对账明细接口!$X382=0,"",[2]对账明细接口!$X382),"")</f>
        <v/>
      </c>
      <c r="AD381" s="90" t="str">
        <f aca="false">IFERROR(IF([2]对账明细接口!$Y382=0,"",[2]对账明细接口!$Y382),"")</f>
        <v/>
      </c>
      <c r="AE381" s="90" t="str">
        <f aca="false">IFERROR(IF([2]对账明细接口!$AA382=0,"",[2]对账明细接口!$AA382),"")</f>
        <v/>
      </c>
      <c r="AF381" s="90" t="str">
        <f aca="false">IFERROR(IF([2]对账明细接口!$AB382=0,"",[2]对账明细接口!$AB382),"")</f>
        <v/>
      </c>
      <c r="AG381" s="90" t="str">
        <f aca="false">IFERROR(IF([2]对账明细接口!$AC382=0,"",[2]对账明细接口!$AC382),"")</f>
        <v/>
      </c>
      <c r="AH381" s="90" t="str">
        <f aca="false">IFERROR(IF([2]对账明细接口!$AD382=0,"",[2]对账明细接口!$AD382),"")</f>
        <v/>
      </c>
    </row>
    <row r="382" customFormat="false" ht="13.5" hidden="false" customHeight="false" outlineLevel="0" collapsed="false">
      <c r="A382" s="109" t="n">
        <v>382</v>
      </c>
      <c r="B382" s="110" t="str">
        <f aca="false">IFERROR(IF([2]对账明细接口!$B$382=0,"",[2]对账明细接口!$B$382),"")</f>
        <v/>
      </c>
      <c r="C382" s="59" t="str">
        <f aca="false">IFERROR(IF([2]对账明细接口!$C$382=0,"",[2]对账明细接口!$C$382),"")</f>
        <v/>
      </c>
      <c r="D382" s="59" t="str">
        <f aca="false">IFERROR(IF([2]对账明细接口!$D$382=0,"",[2]对账明细接口!$D$382),"")</f>
        <v/>
      </c>
      <c r="E382" s="59" t="str">
        <f aca="false">IFERROR(IF([2]对账明细接口!$E$382=0,"",[2]对账明细接口!$E$382),"")</f>
        <v/>
      </c>
      <c r="F382" s="59" t="str">
        <f aca="false">IFERROR(IF([2]对账明细接口!$F$382=0,"",[2]对账明细接口!$F$382),"")</f>
        <v/>
      </c>
      <c r="G382" s="59" t="str">
        <f aca="false">IFERROR(IF([2]对账明细接口!$G$382=0,"",[2]对账明细接口!$G$382),"")</f>
        <v/>
      </c>
      <c r="H382" s="60" t="str">
        <f aca="false">IFERROR(IF([2]对账明细接口!$H$382=0,"",[2]对账明细接口!$H$382),"")</f>
        <v/>
      </c>
      <c r="I382" s="59" t="str">
        <f aca="false">IFERROR(IF([2]对账明细接口!$I$382=0,"",[2]对账明细接口!$I$382),"")</f>
        <v/>
      </c>
      <c r="J382" s="61" t="str">
        <f aca="false">IFERROR(IF([2]对账明细接口!$J$382=0,"",[2]对账明细接口!$J$382),"")</f>
        <v/>
      </c>
      <c r="K382" s="61" t="str">
        <f aca="false">IFERROR(IF([2]对账明细接口!$K$382=0,"",[2]对账明细接口!$K$382),"")</f>
        <v/>
      </c>
      <c r="L382" s="59" t="str">
        <f aca="false">IFERROR(IF([2]对账明细接口!$L$382=0,"",[2]对账明细接口!$L$382),"")</f>
        <v/>
      </c>
      <c r="M382" s="59" t="str">
        <f aca="false">IFERROR(IF([2]对账明细接口!$M$382=0,"",[2]对账明细接口!$M$382),"")</f>
        <v/>
      </c>
      <c r="N382" s="111" t="n">
        <f aca="false">IF($C382="",0,1)</f>
        <v>0</v>
      </c>
      <c r="O382" s="111" t="n">
        <f aca="false">N(O381)+$N382</f>
        <v>311</v>
      </c>
      <c r="S382" s="10" t="str">
        <f aca="false">IFERROR(IF([2]对账明细接口!$N382=0,"",[2]对账明细接口!$N382),"")</f>
        <v/>
      </c>
      <c r="T382" s="112" t="str">
        <f aca="false">IFERROR(IF([2]对账明细接口!$O382=0,"",[2]对账明细接口!$O382),"")</f>
        <v/>
      </c>
      <c r="U382" s="112" t="str">
        <f aca="false">IFERROR(IF([2]对账明细接口!$P382=0,"",[2]对账明细接口!$P382),"")</f>
        <v/>
      </c>
      <c r="V382" s="112" t="str">
        <f aca="false">IFERROR(IF([2]对账明细接口!$Q382=0,"",[2]对账明细接口!$Q382),"")</f>
        <v/>
      </c>
      <c r="W382" s="10" t="str">
        <f aca="false">IFERROR(IF([2]对账明细接口!$R382=0,"",[2]对账明细接口!$R382),"")</f>
        <v/>
      </c>
      <c r="X382" s="10" t="str">
        <f aca="false">IFERROR(IF([2]对账明细接口!$S382=0,"",[2]对账明细接口!$S382),"")</f>
        <v/>
      </c>
      <c r="Y382" s="10" t="str">
        <f aca="false">IFERROR(IF([2]对账明细接口!$T382=0,"",[2]对账明细接口!$T382),"")</f>
        <v/>
      </c>
      <c r="Z382" s="113" t="str">
        <f aca="false">IFERROR(IF([2]对账明细接口!$U382=0,"",[2]对账明细接口!$U382),"")</f>
        <v/>
      </c>
      <c r="AA382" s="113" t="str">
        <f aca="false">IFERROR(IF([2]对账明细接口!$V382=0,"",[2]对账明细接口!$V382),"")</f>
        <v/>
      </c>
      <c r="AB382" s="10" t="str">
        <f aca="false">IFERROR(IF([2]对账明细接口!$W382=0,"",[2]对账明细接口!$W382),"")</f>
        <v/>
      </c>
      <c r="AC382" s="90" t="str">
        <f aca="false">IFERROR(IF([2]对账明细接口!$X383=0,"",[2]对账明细接口!$X383),"")</f>
        <v/>
      </c>
      <c r="AD382" s="90" t="str">
        <f aca="false">IFERROR(IF([2]对账明细接口!$Y383=0,"",[2]对账明细接口!$Y383),"")</f>
        <v/>
      </c>
      <c r="AE382" s="90" t="str">
        <f aca="false">IFERROR(IF([2]对账明细接口!$AA383=0,"",[2]对账明细接口!$AA383),"")</f>
        <v/>
      </c>
      <c r="AF382" s="90" t="str">
        <f aca="false">IFERROR(IF([2]对账明细接口!$AB383=0,"",[2]对账明细接口!$AB383),"")</f>
        <v/>
      </c>
      <c r="AG382" s="90" t="str">
        <f aca="false">IFERROR(IF([2]对账明细接口!$AC383=0,"",[2]对账明细接口!$AC383),"")</f>
        <v/>
      </c>
      <c r="AH382" s="90" t="str">
        <f aca="false">IFERROR(IF([2]对账明细接口!$AD383=0,"",[2]对账明细接口!$AD383),"")</f>
        <v/>
      </c>
    </row>
    <row r="383" customFormat="false" ht="13.5" hidden="false" customHeight="false" outlineLevel="0" collapsed="false">
      <c r="A383" s="109" t="n">
        <v>383</v>
      </c>
      <c r="B383" s="110" t="str">
        <f aca="false">IFERROR(IF([2]对账明细接口!$B$383=0,"",[2]对账明细接口!$B$383),"")</f>
        <v/>
      </c>
      <c r="C383" s="59" t="str">
        <f aca="false">IFERROR(IF([2]对账明细接口!$C$383=0,"",[2]对账明细接口!$C$383),"")</f>
        <v/>
      </c>
      <c r="D383" s="59" t="str">
        <f aca="false">IFERROR(IF([2]对账明细接口!$D$383=0,"",[2]对账明细接口!$D$383),"")</f>
        <v/>
      </c>
      <c r="E383" s="59" t="str">
        <f aca="false">IFERROR(IF([2]对账明细接口!$E$383=0,"",[2]对账明细接口!$E$383),"")</f>
        <v/>
      </c>
      <c r="F383" s="59" t="str">
        <f aca="false">IFERROR(IF([2]对账明细接口!$F$383=0,"",[2]对账明细接口!$F$383),"")</f>
        <v/>
      </c>
      <c r="G383" s="59" t="str">
        <f aca="false">IFERROR(IF([2]对账明细接口!$G$383=0,"",[2]对账明细接口!$G$383),"")</f>
        <v/>
      </c>
      <c r="H383" s="60" t="str">
        <f aca="false">IFERROR(IF([2]对账明细接口!$H$383=0,"",[2]对账明细接口!$H$383),"")</f>
        <v/>
      </c>
      <c r="I383" s="59" t="str">
        <f aca="false">IFERROR(IF([2]对账明细接口!$I$383=0,"",[2]对账明细接口!$I$383),"")</f>
        <v/>
      </c>
      <c r="J383" s="61" t="str">
        <f aca="false">IFERROR(IF([2]对账明细接口!$J$383=0,"",[2]对账明细接口!$J$383),"")</f>
        <v/>
      </c>
      <c r="K383" s="61" t="str">
        <f aca="false">IFERROR(IF([2]对账明细接口!$K$383=0,"",[2]对账明细接口!$K$383),"")</f>
        <v/>
      </c>
      <c r="L383" s="59" t="str">
        <f aca="false">IFERROR(IF([2]对账明细接口!$L$383=0,"",[2]对账明细接口!$L$383),"")</f>
        <v/>
      </c>
      <c r="M383" s="59" t="str">
        <f aca="false">IFERROR(IF([2]对账明细接口!$M$383=0,"",[2]对账明细接口!$M$383),"")</f>
        <v/>
      </c>
      <c r="N383" s="111" t="n">
        <f aca="false">IF($C383="",0,1)</f>
        <v>0</v>
      </c>
      <c r="O383" s="111" t="n">
        <f aca="false">N(O382)+$N383</f>
        <v>311</v>
      </c>
      <c r="S383" s="10" t="str">
        <f aca="false">IFERROR(IF([2]对账明细接口!$N383=0,"",[2]对账明细接口!$N383),"")</f>
        <v/>
      </c>
      <c r="T383" s="112" t="str">
        <f aca="false">IFERROR(IF([2]对账明细接口!$O383=0,"",[2]对账明细接口!$O383),"")</f>
        <v/>
      </c>
      <c r="U383" s="112" t="str">
        <f aca="false">IFERROR(IF([2]对账明细接口!$P383=0,"",[2]对账明细接口!$P383),"")</f>
        <v/>
      </c>
      <c r="V383" s="112" t="str">
        <f aca="false">IFERROR(IF([2]对账明细接口!$Q383=0,"",[2]对账明细接口!$Q383),"")</f>
        <v/>
      </c>
      <c r="W383" s="10" t="str">
        <f aca="false">IFERROR(IF([2]对账明细接口!$R383=0,"",[2]对账明细接口!$R383),"")</f>
        <v/>
      </c>
      <c r="X383" s="10" t="str">
        <f aca="false">IFERROR(IF([2]对账明细接口!$S383=0,"",[2]对账明细接口!$S383),"")</f>
        <v/>
      </c>
      <c r="Y383" s="10" t="str">
        <f aca="false">IFERROR(IF([2]对账明细接口!$T383=0,"",[2]对账明细接口!$T383),"")</f>
        <v/>
      </c>
      <c r="Z383" s="113" t="str">
        <f aca="false">IFERROR(IF([2]对账明细接口!$U383=0,"",[2]对账明细接口!$U383),"")</f>
        <v/>
      </c>
      <c r="AA383" s="113" t="str">
        <f aca="false">IFERROR(IF([2]对账明细接口!$V383=0,"",[2]对账明细接口!$V383),"")</f>
        <v/>
      </c>
      <c r="AB383" s="10" t="str">
        <f aca="false">IFERROR(IF([2]对账明细接口!$W383=0,"",[2]对账明细接口!$W383),"")</f>
        <v/>
      </c>
      <c r="AC383" s="90" t="str">
        <f aca="false">IFERROR(IF([2]对账明细接口!$X384=0,"",[2]对账明细接口!$X384),"")</f>
        <v/>
      </c>
      <c r="AD383" s="90" t="str">
        <f aca="false">IFERROR(IF([2]对账明细接口!$Y384=0,"",[2]对账明细接口!$Y384),"")</f>
        <v/>
      </c>
      <c r="AE383" s="90" t="str">
        <f aca="false">IFERROR(IF([2]对账明细接口!$AA384=0,"",[2]对账明细接口!$AA384),"")</f>
        <v/>
      </c>
      <c r="AF383" s="90" t="str">
        <f aca="false">IFERROR(IF([2]对账明细接口!$AB384=0,"",[2]对账明细接口!$AB384),"")</f>
        <v/>
      </c>
      <c r="AG383" s="90" t="str">
        <f aca="false">IFERROR(IF([2]对账明细接口!$AC384=0,"",[2]对账明细接口!$AC384),"")</f>
        <v/>
      </c>
      <c r="AH383" s="90" t="str">
        <f aca="false">IFERROR(IF([2]对账明细接口!$AD384=0,"",[2]对账明细接口!$AD384),"")</f>
        <v/>
      </c>
    </row>
    <row r="384" customFormat="false" ht="13.5" hidden="false" customHeight="false" outlineLevel="0" collapsed="false">
      <c r="A384" s="109" t="n">
        <v>384</v>
      </c>
      <c r="B384" s="110" t="str">
        <f aca="false">IFERROR(IF([2]对账明细接口!$B$384=0,"",[2]对账明细接口!$B$384),"")</f>
        <v/>
      </c>
      <c r="C384" s="59" t="str">
        <f aca="false">IFERROR(IF([2]对账明细接口!$C$384=0,"",[2]对账明细接口!$C$384),"")</f>
        <v/>
      </c>
      <c r="D384" s="59" t="str">
        <f aca="false">IFERROR(IF([2]对账明细接口!$D$384=0,"",[2]对账明细接口!$D$384),"")</f>
        <v/>
      </c>
      <c r="E384" s="59" t="str">
        <f aca="false">IFERROR(IF([2]对账明细接口!$E$384=0,"",[2]对账明细接口!$E$384),"")</f>
        <v/>
      </c>
      <c r="F384" s="59" t="str">
        <f aca="false">IFERROR(IF([2]对账明细接口!$F$384=0,"",[2]对账明细接口!$F$384),"")</f>
        <v/>
      </c>
      <c r="G384" s="59" t="str">
        <f aca="false">IFERROR(IF([2]对账明细接口!$G$384=0,"",[2]对账明细接口!$G$384),"")</f>
        <v/>
      </c>
      <c r="H384" s="60" t="str">
        <f aca="false">IFERROR(IF([2]对账明细接口!$H$384=0,"",[2]对账明细接口!$H$384),"")</f>
        <v/>
      </c>
      <c r="I384" s="59" t="str">
        <f aca="false">IFERROR(IF([2]对账明细接口!$I$384=0,"",[2]对账明细接口!$I$384),"")</f>
        <v/>
      </c>
      <c r="J384" s="61" t="str">
        <f aca="false">IFERROR(IF([2]对账明细接口!$J$384=0,"",[2]对账明细接口!$J$384),"")</f>
        <v/>
      </c>
      <c r="K384" s="61" t="str">
        <f aca="false">IFERROR(IF([2]对账明细接口!$K$384=0,"",[2]对账明细接口!$K$384),"")</f>
        <v/>
      </c>
      <c r="L384" s="59" t="str">
        <f aca="false">IFERROR(IF([2]对账明细接口!$L$384=0,"",[2]对账明细接口!$L$384),"")</f>
        <v/>
      </c>
      <c r="M384" s="59" t="str">
        <f aca="false">IFERROR(IF([2]对账明细接口!$M$384=0,"",[2]对账明细接口!$M$384),"")</f>
        <v/>
      </c>
      <c r="N384" s="111" t="n">
        <f aca="false">IF($C384="",0,1)</f>
        <v>0</v>
      </c>
      <c r="O384" s="111" t="n">
        <f aca="false">N(O383)+$N384</f>
        <v>311</v>
      </c>
      <c r="S384" s="10" t="str">
        <f aca="false">IFERROR(IF([2]对账明细接口!$N384=0,"",[2]对账明细接口!$N384),"")</f>
        <v/>
      </c>
      <c r="T384" s="112" t="str">
        <f aca="false">IFERROR(IF([2]对账明细接口!$O384=0,"",[2]对账明细接口!$O384),"")</f>
        <v/>
      </c>
      <c r="U384" s="112" t="str">
        <f aca="false">IFERROR(IF([2]对账明细接口!$P384=0,"",[2]对账明细接口!$P384),"")</f>
        <v/>
      </c>
      <c r="V384" s="112" t="str">
        <f aca="false">IFERROR(IF([2]对账明细接口!$Q384=0,"",[2]对账明细接口!$Q384),"")</f>
        <v/>
      </c>
      <c r="W384" s="10" t="str">
        <f aca="false">IFERROR(IF([2]对账明细接口!$R384=0,"",[2]对账明细接口!$R384),"")</f>
        <v/>
      </c>
      <c r="X384" s="10" t="str">
        <f aca="false">IFERROR(IF([2]对账明细接口!$S384=0,"",[2]对账明细接口!$S384),"")</f>
        <v/>
      </c>
      <c r="Y384" s="10" t="str">
        <f aca="false">IFERROR(IF([2]对账明细接口!$T384=0,"",[2]对账明细接口!$T384),"")</f>
        <v/>
      </c>
      <c r="Z384" s="113" t="str">
        <f aca="false">IFERROR(IF([2]对账明细接口!$U384=0,"",[2]对账明细接口!$U384),"")</f>
        <v/>
      </c>
      <c r="AA384" s="113" t="str">
        <f aca="false">IFERROR(IF([2]对账明细接口!$V384=0,"",[2]对账明细接口!$V384),"")</f>
        <v/>
      </c>
      <c r="AB384" s="10" t="str">
        <f aca="false">IFERROR(IF([2]对账明细接口!$W384=0,"",[2]对账明细接口!$W384),"")</f>
        <v/>
      </c>
      <c r="AC384" s="90" t="str">
        <f aca="false">IFERROR(IF([2]对账明细接口!$X385=0,"",[2]对账明细接口!$X385),"")</f>
        <v/>
      </c>
      <c r="AD384" s="90" t="str">
        <f aca="false">IFERROR(IF([2]对账明细接口!$Y385=0,"",[2]对账明细接口!$Y385),"")</f>
        <v/>
      </c>
      <c r="AE384" s="90" t="str">
        <f aca="false">IFERROR(IF([2]对账明细接口!$AA385=0,"",[2]对账明细接口!$AA385),"")</f>
        <v/>
      </c>
      <c r="AF384" s="90" t="str">
        <f aca="false">IFERROR(IF([2]对账明细接口!$AB385=0,"",[2]对账明细接口!$AB385),"")</f>
        <v/>
      </c>
      <c r="AG384" s="90" t="str">
        <f aca="false">IFERROR(IF([2]对账明细接口!$AC385=0,"",[2]对账明细接口!$AC385),"")</f>
        <v/>
      </c>
      <c r="AH384" s="90" t="str">
        <f aca="false">IFERROR(IF([2]对账明细接口!$AD385=0,"",[2]对账明细接口!$AD385),"")</f>
        <v/>
      </c>
    </row>
    <row r="385" customFormat="false" ht="13.5" hidden="false" customHeight="false" outlineLevel="0" collapsed="false">
      <c r="A385" s="109" t="n">
        <v>385</v>
      </c>
      <c r="B385" s="110" t="str">
        <f aca="false">IFERROR(IF([2]对账明细接口!$B$385=0,"",[2]对账明细接口!$B$385),"")</f>
        <v/>
      </c>
      <c r="C385" s="59" t="str">
        <f aca="false">IFERROR(IF([2]对账明细接口!$C$385=0,"",[2]对账明细接口!$C$385),"")</f>
        <v/>
      </c>
      <c r="D385" s="59" t="str">
        <f aca="false">IFERROR(IF([2]对账明细接口!$D$385=0,"",[2]对账明细接口!$D$385),"")</f>
        <v/>
      </c>
      <c r="E385" s="59" t="str">
        <f aca="false">IFERROR(IF([2]对账明细接口!$E$385=0,"",[2]对账明细接口!$E$385),"")</f>
        <v/>
      </c>
      <c r="F385" s="59" t="str">
        <f aca="false">IFERROR(IF([2]对账明细接口!$F$385=0,"",[2]对账明细接口!$F$385),"")</f>
        <v/>
      </c>
      <c r="G385" s="59" t="str">
        <f aca="false">IFERROR(IF([2]对账明细接口!$G$385=0,"",[2]对账明细接口!$G$385),"")</f>
        <v/>
      </c>
      <c r="H385" s="60" t="str">
        <f aca="false">IFERROR(IF([2]对账明细接口!$H$385=0,"",[2]对账明细接口!$H$385),"")</f>
        <v/>
      </c>
      <c r="I385" s="59" t="str">
        <f aca="false">IFERROR(IF([2]对账明细接口!$I$385=0,"",[2]对账明细接口!$I$385),"")</f>
        <v/>
      </c>
      <c r="J385" s="61" t="str">
        <f aca="false">IFERROR(IF([2]对账明细接口!$J$385=0,"",[2]对账明细接口!$J$385),"")</f>
        <v/>
      </c>
      <c r="K385" s="61" t="str">
        <f aca="false">IFERROR(IF([2]对账明细接口!$K$385=0,"",[2]对账明细接口!$K$385),"")</f>
        <v/>
      </c>
      <c r="L385" s="59" t="str">
        <f aca="false">IFERROR(IF([2]对账明细接口!$L$385=0,"",[2]对账明细接口!$L$385),"")</f>
        <v/>
      </c>
      <c r="M385" s="59" t="str">
        <f aca="false">IFERROR(IF([2]对账明细接口!$M$385=0,"",[2]对账明细接口!$M$385),"")</f>
        <v/>
      </c>
      <c r="N385" s="111" t="n">
        <f aca="false">IF($C385="",0,1)</f>
        <v>0</v>
      </c>
      <c r="O385" s="111" t="n">
        <f aca="false">N(O384)+$N385</f>
        <v>311</v>
      </c>
      <c r="S385" s="10" t="str">
        <f aca="false">IFERROR(IF([2]对账明细接口!$N385=0,"",[2]对账明细接口!$N385),"")</f>
        <v/>
      </c>
      <c r="T385" s="112" t="str">
        <f aca="false">IFERROR(IF([2]对账明细接口!$O385=0,"",[2]对账明细接口!$O385),"")</f>
        <v/>
      </c>
      <c r="U385" s="112" t="str">
        <f aca="false">IFERROR(IF([2]对账明细接口!$P385=0,"",[2]对账明细接口!$P385),"")</f>
        <v/>
      </c>
      <c r="V385" s="112" t="str">
        <f aca="false">IFERROR(IF([2]对账明细接口!$Q385=0,"",[2]对账明细接口!$Q385),"")</f>
        <v/>
      </c>
      <c r="W385" s="10" t="str">
        <f aca="false">IFERROR(IF([2]对账明细接口!$R385=0,"",[2]对账明细接口!$R385),"")</f>
        <v/>
      </c>
      <c r="X385" s="10" t="str">
        <f aca="false">IFERROR(IF([2]对账明细接口!$S385=0,"",[2]对账明细接口!$S385),"")</f>
        <v/>
      </c>
      <c r="Y385" s="10" t="str">
        <f aca="false">IFERROR(IF([2]对账明细接口!$T385=0,"",[2]对账明细接口!$T385),"")</f>
        <v/>
      </c>
      <c r="Z385" s="113" t="str">
        <f aca="false">IFERROR(IF([2]对账明细接口!$U385=0,"",[2]对账明细接口!$U385),"")</f>
        <v/>
      </c>
      <c r="AA385" s="113" t="str">
        <f aca="false">IFERROR(IF([2]对账明细接口!$V385=0,"",[2]对账明细接口!$V385),"")</f>
        <v/>
      </c>
      <c r="AB385" s="10" t="str">
        <f aca="false">IFERROR(IF([2]对账明细接口!$W385=0,"",[2]对账明细接口!$W385),"")</f>
        <v/>
      </c>
      <c r="AC385" s="90" t="str">
        <f aca="false">IFERROR(IF([2]对账明细接口!$X386=0,"",[2]对账明细接口!$X386),"")</f>
        <v/>
      </c>
      <c r="AD385" s="90" t="str">
        <f aca="false">IFERROR(IF([2]对账明细接口!$Y386=0,"",[2]对账明细接口!$Y386),"")</f>
        <v/>
      </c>
      <c r="AE385" s="90" t="str">
        <f aca="false">IFERROR(IF([2]对账明细接口!$AA386=0,"",[2]对账明细接口!$AA386),"")</f>
        <v/>
      </c>
      <c r="AF385" s="90" t="str">
        <f aca="false">IFERROR(IF([2]对账明细接口!$AB386=0,"",[2]对账明细接口!$AB386),"")</f>
        <v/>
      </c>
      <c r="AG385" s="90" t="str">
        <f aca="false">IFERROR(IF([2]对账明细接口!$AC386=0,"",[2]对账明细接口!$AC386),"")</f>
        <v/>
      </c>
      <c r="AH385" s="90" t="str">
        <f aca="false">IFERROR(IF([2]对账明细接口!$AD386=0,"",[2]对账明细接口!$AD386),"")</f>
        <v/>
      </c>
    </row>
    <row r="386" customFormat="false" ht="13.5" hidden="false" customHeight="false" outlineLevel="0" collapsed="false">
      <c r="A386" s="109" t="n">
        <v>386</v>
      </c>
      <c r="B386" s="110" t="str">
        <f aca="false">IFERROR(IF([2]对账明细接口!$B$386=0,"",[2]对账明细接口!$B$386),"")</f>
        <v/>
      </c>
      <c r="C386" s="59" t="str">
        <f aca="false">IFERROR(IF([2]对账明细接口!$C$386=0,"",[2]对账明细接口!$C$386),"")</f>
        <v/>
      </c>
      <c r="D386" s="59" t="str">
        <f aca="false">IFERROR(IF([2]对账明细接口!$D$386=0,"",[2]对账明细接口!$D$386),"")</f>
        <v/>
      </c>
      <c r="E386" s="59" t="str">
        <f aca="false">IFERROR(IF([2]对账明细接口!$E$386=0,"",[2]对账明细接口!$E$386),"")</f>
        <v/>
      </c>
      <c r="F386" s="59" t="str">
        <f aca="false">IFERROR(IF([2]对账明细接口!$F$386=0,"",[2]对账明细接口!$F$386),"")</f>
        <v/>
      </c>
      <c r="G386" s="59" t="str">
        <f aca="false">IFERROR(IF([2]对账明细接口!$G$386=0,"",[2]对账明细接口!$G$386),"")</f>
        <v/>
      </c>
      <c r="H386" s="60" t="str">
        <f aca="false">IFERROR(IF([2]对账明细接口!$H$386=0,"",[2]对账明细接口!$H$386),"")</f>
        <v/>
      </c>
      <c r="I386" s="59" t="str">
        <f aca="false">IFERROR(IF([2]对账明细接口!$I$386=0,"",[2]对账明细接口!$I$386),"")</f>
        <v/>
      </c>
      <c r="J386" s="61" t="str">
        <f aca="false">IFERROR(IF([2]对账明细接口!$J$386=0,"",[2]对账明细接口!$J$386),"")</f>
        <v/>
      </c>
      <c r="K386" s="61" t="str">
        <f aca="false">IFERROR(IF([2]对账明细接口!$K$386=0,"",[2]对账明细接口!$K$386),"")</f>
        <v/>
      </c>
      <c r="L386" s="59" t="str">
        <f aca="false">IFERROR(IF([2]对账明细接口!$L$386=0,"",[2]对账明细接口!$L$386),"")</f>
        <v/>
      </c>
      <c r="M386" s="59" t="str">
        <f aca="false">IFERROR(IF([2]对账明细接口!$M$386=0,"",[2]对账明细接口!$M$386),"")</f>
        <v/>
      </c>
      <c r="N386" s="111" t="n">
        <f aca="false">IF($C386="",0,1)</f>
        <v>0</v>
      </c>
      <c r="O386" s="111" t="n">
        <f aca="false">N(O385)+$N386</f>
        <v>311</v>
      </c>
      <c r="S386" s="10" t="str">
        <f aca="false">IFERROR(IF([2]对账明细接口!$N386=0,"",[2]对账明细接口!$N386),"")</f>
        <v/>
      </c>
      <c r="T386" s="112" t="str">
        <f aca="false">IFERROR(IF([2]对账明细接口!$O386=0,"",[2]对账明细接口!$O386),"")</f>
        <v/>
      </c>
      <c r="U386" s="112" t="str">
        <f aca="false">IFERROR(IF([2]对账明细接口!$P386=0,"",[2]对账明细接口!$P386),"")</f>
        <v/>
      </c>
      <c r="V386" s="112" t="str">
        <f aca="false">IFERROR(IF([2]对账明细接口!$Q386=0,"",[2]对账明细接口!$Q386),"")</f>
        <v/>
      </c>
      <c r="W386" s="10" t="str">
        <f aca="false">IFERROR(IF([2]对账明细接口!$R386=0,"",[2]对账明细接口!$R386),"")</f>
        <v/>
      </c>
      <c r="X386" s="10" t="str">
        <f aca="false">IFERROR(IF([2]对账明细接口!$S386=0,"",[2]对账明细接口!$S386),"")</f>
        <v/>
      </c>
      <c r="Y386" s="10" t="str">
        <f aca="false">IFERROR(IF([2]对账明细接口!$T386=0,"",[2]对账明细接口!$T386),"")</f>
        <v/>
      </c>
      <c r="Z386" s="113" t="str">
        <f aca="false">IFERROR(IF([2]对账明细接口!$U386=0,"",[2]对账明细接口!$U386),"")</f>
        <v/>
      </c>
      <c r="AA386" s="113" t="str">
        <f aca="false">IFERROR(IF([2]对账明细接口!$V386=0,"",[2]对账明细接口!$V386),"")</f>
        <v/>
      </c>
      <c r="AB386" s="10" t="str">
        <f aca="false">IFERROR(IF([2]对账明细接口!$W386=0,"",[2]对账明细接口!$W386),"")</f>
        <v/>
      </c>
      <c r="AC386" s="90" t="str">
        <f aca="false">IFERROR(IF([2]对账明细接口!$X387=0,"",[2]对账明细接口!$X387),"")</f>
        <v/>
      </c>
      <c r="AD386" s="90" t="str">
        <f aca="false">IFERROR(IF([2]对账明细接口!$Y387=0,"",[2]对账明细接口!$Y387),"")</f>
        <v/>
      </c>
      <c r="AE386" s="90" t="str">
        <f aca="false">IFERROR(IF([2]对账明细接口!$AA387=0,"",[2]对账明细接口!$AA387),"")</f>
        <v/>
      </c>
      <c r="AF386" s="90" t="str">
        <f aca="false">IFERROR(IF([2]对账明细接口!$AB387=0,"",[2]对账明细接口!$AB387),"")</f>
        <v/>
      </c>
      <c r="AG386" s="90" t="str">
        <f aca="false">IFERROR(IF([2]对账明细接口!$AC387=0,"",[2]对账明细接口!$AC387),"")</f>
        <v/>
      </c>
      <c r="AH386" s="90" t="str">
        <f aca="false">IFERROR(IF([2]对账明细接口!$AD387=0,"",[2]对账明细接口!$AD387),"")</f>
        <v/>
      </c>
    </row>
    <row r="387" customFormat="false" ht="13.5" hidden="false" customHeight="false" outlineLevel="0" collapsed="false">
      <c r="A387" s="109" t="n">
        <v>387</v>
      </c>
      <c r="B387" s="110" t="str">
        <f aca="false">IFERROR(IF([2]对账明细接口!$B$387=0,"",[2]对账明细接口!$B$387),"")</f>
        <v/>
      </c>
      <c r="C387" s="59" t="str">
        <f aca="false">IFERROR(IF([2]对账明细接口!$C$387=0,"",[2]对账明细接口!$C$387),"")</f>
        <v/>
      </c>
      <c r="D387" s="59" t="str">
        <f aca="false">IFERROR(IF([2]对账明细接口!$D$387=0,"",[2]对账明细接口!$D$387),"")</f>
        <v/>
      </c>
      <c r="E387" s="59" t="str">
        <f aca="false">IFERROR(IF([2]对账明细接口!$E$387=0,"",[2]对账明细接口!$E$387),"")</f>
        <v/>
      </c>
      <c r="F387" s="59" t="str">
        <f aca="false">IFERROR(IF([2]对账明细接口!$F$387=0,"",[2]对账明细接口!$F$387),"")</f>
        <v/>
      </c>
      <c r="G387" s="59" t="str">
        <f aca="false">IFERROR(IF([2]对账明细接口!$G$387=0,"",[2]对账明细接口!$G$387),"")</f>
        <v/>
      </c>
      <c r="H387" s="60" t="str">
        <f aca="false">IFERROR(IF([2]对账明细接口!$H$387=0,"",[2]对账明细接口!$H$387),"")</f>
        <v/>
      </c>
      <c r="I387" s="59" t="str">
        <f aca="false">IFERROR(IF([2]对账明细接口!$I$387=0,"",[2]对账明细接口!$I$387),"")</f>
        <v/>
      </c>
      <c r="J387" s="61" t="str">
        <f aca="false">IFERROR(IF([2]对账明细接口!$J$387=0,"",[2]对账明细接口!$J$387),"")</f>
        <v/>
      </c>
      <c r="K387" s="61" t="str">
        <f aca="false">IFERROR(IF([2]对账明细接口!$K$387=0,"",[2]对账明细接口!$K$387),"")</f>
        <v/>
      </c>
      <c r="L387" s="59" t="str">
        <f aca="false">IFERROR(IF([2]对账明细接口!$L$387=0,"",[2]对账明细接口!$L$387),"")</f>
        <v/>
      </c>
      <c r="M387" s="59" t="str">
        <f aca="false">IFERROR(IF([2]对账明细接口!$M$387=0,"",[2]对账明细接口!$M$387),"")</f>
        <v/>
      </c>
      <c r="N387" s="111" t="n">
        <f aca="false">IF($C387="",0,1)</f>
        <v>0</v>
      </c>
      <c r="O387" s="111" t="n">
        <f aca="false">N(O386)+$N387</f>
        <v>311</v>
      </c>
      <c r="S387" s="10" t="str">
        <f aca="false">IFERROR(IF([2]对账明细接口!$N387=0,"",[2]对账明细接口!$N387),"")</f>
        <v/>
      </c>
      <c r="T387" s="112" t="str">
        <f aca="false">IFERROR(IF([2]对账明细接口!$O387=0,"",[2]对账明细接口!$O387),"")</f>
        <v/>
      </c>
      <c r="U387" s="112" t="str">
        <f aca="false">IFERROR(IF([2]对账明细接口!$P387=0,"",[2]对账明细接口!$P387),"")</f>
        <v/>
      </c>
      <c r="V387" s="112" t="str">
        <f aca="false">IFERROR(IF([2]对账明细接口!$Q387=0,"",[2]对账明细接口!$Q387),"")</f>
        <v/>
      </c>
      <c r="W387" s="10" t="str">
        <f aca="false">IFERROR(IF([2]对账明细接口!$R387=0,"",[2]对账明细接口!$R387),"")</f>
        <v/>
      </c>
      <c r="X387" s="10" t="str">
        <f aca="false">IFERROR(IF([2]对账明细接口!$S387=0,"",[2]对账明细接口!$S387),"")</f>
        <v/>
      </c>
      <c r="Y387" s="10" t="str">
        <f aca="false">IFERROR(IF([2]对账明细接口!$T387=0,"",[2]对账明细接口!$T387),"")</f>
        <v/>
      </c>
      <c r="Z387" s="113" t="str">
        <f aca="false">IFERROR(IF([2]对账明细接口!$U387=0,"",[2]对账明细接口!$U387),"")</f>
        <v/>
      </c>
      <c r="AA387" s="113" t="str">
        <f aca="false">IFERROR(IF([2]对账明细接口!$V387=0,"",[2]对账明细接口!$V387),"")</f>
        <v/>
      </c>
      <c r="AB387" s="10" t="str">
        <f aca="false">IFERROR(IF([2]对账明细接口!$W387=0,"",[2]对账明细接口!$W387),"")</f>
        <v/>
      </c>
      <c r="AC387" s="90" t="str">
        <f aca="false">IFERROR(IF([2]对账明细接口!$X388=0,"",[2]对账明细接口!$X388),"")</f>
        <v/>
      </c>
      <c r="AD387" s="90" t="str">
        <f aca="false">IFERROR(IF([2]对账明细接口!$Y388=0,"",[2]对账明细接口!$Y388),"")</f>
        <v/>
      </c>
      <c r="AE387" s="90" t="str">
        <f aca="false">IFERROR(IF([2]对账明细接口!$AA388=0,"",[2]对账明细接口!$AA388),"")</f>
        <v/>
      </c>
      <c r="AF387" s="90" t="str">
        <f aca="false">IFERROR(IF([2]对账明细接口!$AB388=0,"",[2]对账明细接口!$AB388),"")</f>
        <v/>
      </c>
      <c r="AG387" s="90" t="str">
        <f aca="false">IFERROR(IF([2]对账明细接口!$AC388=0,"",[2]对账明细接口!$AC388),"")</f>
        <v/>
      </c>
      <c r="AH387" s="90" t="str">
        <f aca="false">IFERROR(IF([2]对账明细接口!$AD388=0,"",[2]对账明细接口!$AD388),"")</f>
        <v/>
      </c>
    </row>
    <row r="388" customFormat="false" ht="13.5" hidden="false" customHeight="false" outlineLevel="0" collapsed="false">
      <c r="A388" s="109" t="n">
        <v>388</v>
      </c>
      <c r="B388" s="110" t="str">
        <f aca="false">IFERROR(IF([2]对账明细接口!$B$388=0,"",[2]对账明细接口!$B$388),"")</f>
        <v/>
      </c>
      <c r="C388" s="59" t="str">
        <f aca="false">IFERROR(IF([2]对账明细接口!$C$388=0,"",[2]对账明细接口!$C$388),"")</f>
        <v/>
      </c>
      <c r="D388" s="59" t="str">
        <f aca="false">IFERROR(IF([2]对账明细接口!$D$388=0,"",[2]对账明细接口!$D$388),"")</f>
        <v/>
      </c>
      <c r="E388" s="59" t="str">
        <f aca="false">IFERROR(IF([2]对账明细接口!$E$388=0,"",[2]对账明细接口!$E$388),"")</f>
        <v/>
      </c>
      <c r="F388" s="59" t="str">
        <f aca="false">IFERROR(IF([2]对账明细接口!$F$388=0,"",[2]对账明细接口!$F$388),"")</f>
        <v/>
      </c>
      <c r="G388" s="59" t="str">
        <f aca="false">IFERROR(IF([2]对账明细接口!$G$388=0,"",[2]对账明细接口!$G$388),"")</f>
        <v/>
      </c>
      <c r="H388" s="60" t="str">
        <f aca="false">IFERROR(IF([2]对账明细接口!$H$388=0,"",[2]对账明细接口!$H$388),"")</f>
        <v/>
      </c>
      <c r="I388" s="59" t="str">
        <f aca="false">IFERROR(IF([2]对账明细接口!$I$388=0,"",[2]对账明细接口!$I$388),"")</f>
        <v/>
      </c>
      <c r="J388" s="61" t="str">
        <f aca="false">IFERROR(IF([2]对账明细接口!$J$388=0,"",[2]对账明细接口!$J$388),"")</f>
        <v/>
      </c>
      <c r="K388" s="61" t="str">
        <f aca="false">IFERROR(IF([2]对账明细接口!$K$388=0,"",[2]对账明细接口!$K$388),"")</f>
        <v/>
      </c>
      <c r="L388" s="59" t="str">
        <f aca="false">IFERROR(IF([2]对账明细接口!$L$388=0,"",[2]对账明细接口!$L$388),"")</f>
        <v/>
      </c>
      <c r="M388" s="59" t="str">
        <f aca="false">IFERROR(IF([2]对账明细接口!$M$388=0,"",[2]对账明细接口!$M$388),"")</f>
        <v/>
      </c>
      <c r="N388" s="111" t="n">
        <f aca="false">IF($C388="",0,1)</f>
        <v>0</v>
      </c>
      <c r="O388" s="111" t="n">
        <f aca="false">N(O387)+$N388</f>
        <v>311</v>
      </c>
      <c r="S388" s="10" t="str">
        <f aca="false">IFERROR(IF([2]对账明细接口!$N388=0,"",[2]对账明细接口!$N388),"")</f>
        <v/>
      </c>
      <c r="T388" s="112" t="str">
        <f aca="false">IFERROR(IF([2]对账明细接口!$O388=0,"",[2]对账明细接口!$O388),"")</f>
        <v/>
      </c>
      <c r="U388" s="112" t="str">
        <f aca="false">IFERROR(IF([2]对账明细接口!$P388=0,"",[2]对账明细接口!$P388),"")</f>
        <v/>
      </c>
      <c r="V388" s="112" t="str">
        <f aca="false">IFERROR(IF([2]对账明细接口!$Q388=0,"",[2]对账明细接口!$Q388),"")</f>
        <v/>
      </c>
      <c r="W388" s="10" t="str">
        <f aca="false">IFERROR(IF([2]对账明细接口!$R388=0,"",[2]对账明细接口!$R388),"")</f>
        <v/>
      </c>
      <c r="X388" s="10" t="str">
        <f aca="false">IFERROR(IF([2]对账明细接口!$S388=0,"",[2]对账明细接口!$S388),"")</f>
        <v/>
      </c>
      <c r="Y388" s="10" t="str">
        <f aca="false">IFERROR(IF([2]对账明细接口!$T388=0,"",[2]对账明细接口!$T388),"")</f>
        <v/>
      </c>
      <c r="Z388" s="113" t="str">
        <f aca="false">IFERROR(IF([2]对账明细接口!$U388=0,"",[2]对账明细接口!$U388),"")</f>
        <v/>
      </c>
      <c r="AA388" s="113" t="str">
        <f aca="false">IFERROR(IF([2]对账明细接口!$V388=0,"",[2]对账明细接口!$V388),"")</f>
        <v/>
      </c>
      <c r="AB388" s="10" t="str">
        <f aca="false">IFERROR(IF([2]对账明细接口!$W388=0,"",[2]对账明细接口!$W388),"")</f>
        <v/>
      </c>
      <c r="AC388" s="90" t="str">
        <f aca="false">IFERROR(IF([2]对账明细接口!$X389=0,"",[2]对账明细接口!$X389),"")</f>
        <v/>
      </c>
      <c r="AD388" s="90" t="str">
        <f aca="false">IFERROR(IF([2]对账明细接口!$Y389=0,"",[2]对账明细接口!$Y389),"")</f>
        <v/>
      </c>
      <c r="AE388" s="90" t="str">
        <f aca="false">IFERROR(IF([2]对账明细接口!$AA389=0,"",[2]对账明细接口!$AA389),"")</f>
        <v/>
      </c>
      <c r="AF388" s="90" t="str">
        <f aca="false">IFERROR(IF([2]对账明细接口!$AB389=0,"",[2]对账明细接口!$AB389),"")</f>
        <v/>
      </c>
      <c r="AG388" s="90" t="str">
        <f aca="false">IFERROR(IF([2]对账明细接口!$AC389=0,"",[2]对账明细接口!$AC389),"")</f>
        <v/>
      </c>
      <c r="AH388" s="90" t="str">
        <f aca="false">IFERROR(IF([2]对账明细接口!$AD389=0,"",[2]对账明细接口!$AD389),"")</f>
        <v/>
      </c>
    </row>
    <row r="389" customFormat="false" ht="13.5" hidden="false" customHeight="false" outlineLevel="0" collapsed="false">
      <c r="A389" s="109" t="n">
        <v>389</v>
      </c>
      <c r="B389" s="110" t="str">
        <f aca="false">IFERROR(IF([2]对账明细接口!$B$389=0,"",[2]对账明细接口!$B$389),"")</f>
        <v/>
      </c>
      <c r="C389" s="59" t="str">
        <f aca="false">IFERROR(IF([2]对账明细接口!$C$389=0,"",[2]对账明细接口!$C$389),"")</f>
        <v/>
      </c>
      <c r="D389" s="59" t="str">
        <f aca="false">IFERROR(IF([2]对账明细接口!$D$389=0,"",[2]对账明细接口!$D$389),"")</f>
        <v/>
      </c>
      <c r="E389" s="59" t="str">
        <f aca="false">IFERROR(IF([2]对账明细接口!$E$389=0,"",[2]对账明细接口!$E$389),"")</f>
        <v/>
      </c>
      <c r="F389" s="59" t="str">
        <f aca="false">IFERROR(IF([2]对账明细接口!$F$389=0,"",[2]对账明细接口!$F$389),"")</f>
        <v/>
      </c>
      <c r="G389" s="59" t="str">
        <f aca="false">IFERROR(IF([2]对账明细接口!$G$389=0,"",[2]对账明细接口!$G$389),"")</f>
        <v/>
      </c>
      <c r="H389" s="60" t="str">
        <f aca="false">IFERROR(IF([2]对账明细接口!$H$389=0,"",[2]对账明细接口!$H$389),"")</f>
        <v/>
      </c>
      <c r="I389" s="59" t="str">
        <f aca="false">IFERROR(IF([2]对账明细接口!$I$389=0,"",[2]对账明细接口!$I$389),"")</f>
        <v/>
      </c>
      <c r="J389" s="61" t="str">
        <f aca="false">IFERROR(IF([2]对账明细接口!$J$389=0,"",[2]对账明细接口!$J$389),"")</f>
        <v/>
      </c>
      <c r="K389" s="61" t="str">
        <f aca="false">IFERROR(IF([2]对账明细接口!$K$389=0,"",[2]对账明细接口!$K$389),"")</f>
        <v/>
      </c>
      <c r="L389" s="59" t="str">
        <f aca="false">IFERROR(IF([2]对账明细接口!$L$389=0,"",[2]对账明细接口!$L$389),"")</f>
        <v/>
      </c>
      <c r="M389" s="59" t="str">
        <f aca="false">IFERROR(IF([2]对账明细接口!$M$389=0,"",[2]对账明细接口!$M$389),"")</f>
        <v/>
      </c>
      <c r="N389" s="111" t="n">
        <f aca="false">IF($C389="",0,1)</f>
        <v>0</v>
      </c>
      <c r="O389" s="111" t="n">
        <f aca="false">N(O388)+$N389</f>
        <v>311</v>
      </c>
      <c r="S389" s="10" t="str">
        <f aca="false">IFERROR(IF([2]对账明细接口!$N389=0,"",[2]对账明细接口!$N389),"")</f>
        <v/>
      </c>
      <c r="T389" s="112" t="str">
        <f aca="false">IFERROR(IF([2]对账明细接口!$O389=0,"",[2]对账明细接口!$O389),"")</f>
        <v/>
      </c>
      <c r="U389" s="112" t="str">
        <f aca="false">IFERROR(IF([2]对账明细接口!$P389=0,"",[2]对账明细接口!$P389),"")</f>
        <v/>
      </c>
      <c r="V389" s="112" t="str">
        <f aca="false">IFERROR(IF([2]对账明细接口!$Q389=0,"",[2]对账明细接口!$Q389),"")</f>
        <v/>
      </c>
      <c r="W389" s="10" t="str">
        <f aca="false">IFERROR(IF([2]对账明细接口!$R389=0,"",[2]对账明细接口!$R389),"")</f>
        <v/>
      </c>
      <c r="X389" s="10" t="str">
        <f aca="false">IFERROR(IF([2]对账明细接口!$S389=0,"",[2]对账明细接口!$S389),"")</f>
        <v/>
      </c>
      <c r="Y389" s="10" t="str">
        <f aca="false">IFERROR(IF([2]对账明细接口!$T389=0,"",[2]对账明细接口!$T389),"")</f>
        <v/>
      </c>
      <c r="Z389" s="113" t="str">
        <f aca="false">IFERROR(IF([2]对账明细接口!$U389=0,"",[2]对账明细接口!$U389),"")</f>
        <v/>
      </c>
      <c r="AA389" s="113" t="str">
        <f aca="false">IFERROR(IF([2]对账明细接口!$V389=0,"",[2]对账明细接口!$V389),"")</f>
        <v/>
      </c>
      <c r="AB389" s="10" t="str">
        <f aca="false">IFERROR(IF([2]对账明细接口!$W389=0,"",[2]对账明细接口!$W389),"")</f>
        <v/>
      </c>
      <c r="AC389" s="90" t="str">
        <f aca="false">IFERROR(IF([2]对账明细接口!$X390=0,"",[2]对账明细接口!$X390),"")</f>
        <v/>
      </c>
      <c r="AD389" s="90" t="str">
        <f aca="false">IFERROR(IF([2]对账明细接口!$Y390=0,"",[2]对账明细接口!$Y390),"")</f>
        <v/>
      </c>
      <c r="AE389" s="90" t="str">
        <f aca="false">IFERROR(IF([2]对账明细接口!$AA390=0,"",[2]对账明细接口!$AA390),"")</f>
        <v/>
      </c>
      <c r="AF389" s="90" t="str">
        <f aca="false">IFERROR(IF([2]对账明细接口!$AB390=0,"",[2]对账明细接口!$AB390),"")</f>
        <v/>
      </c>
      <c r="AG389" s="90" t="str">
        <f aca="false">IFERROR(IF([2]对账明细接口!$AC390=0,"",[2]对账明细接口!$AC390),"")</f>
        <v/>
      </c>
      <c r="AH389" s="90" t="str">
        <f aca="false">IFERROR(IF([2]对账明细接口!$AD390=0,"",[2]对账明细接口!$AD390),"")</f>
        <v/>
      </c>
    </row>
    <row r="390" customFormat="false" ht="13.5" hidden="false" customHeight="false" outlineLevel="0" collapsed="false">
      <c r="A390" s="109" t="n">
        <v>390</v>
      </c>
      <c r="B390" s="110" t="str">
        <f aca="false">IFERROR(IF([2]对账明细接口!$B$390=0,"",[2]对账明细接口!$B$390),"")</f>
        <v/>
      </c>
      <c r="C390" s="59" t="str">
        <f aca="false">IFERROR(IF([2]对账明细接口!$C$390=0,"",[2]对账明细接口!$C$390),"")</f>
        <v/>
      </c>
      <c r="D390" s="59" t="str">
        <f aca="false">IFERROR(IF([2]对账明细接口!$D$390=0,"",[2]对账明细接口!$D$390),"")</f>
        <v/>
      </c>
      <c r="E390" s="59" t="str">
        <f aca="false">IFERROR(IF([2]对账明细接口!$E$390=0,"",[2]对账明细接口!$E$390),"")</f>
        <v/>
      </c>
      <c r="F390" s="59" t="str">
        <f aca="false">IFERROR(IF([2]对账明细接口!$F$390=0,"",[2]对账明细接口!$F$390),"")</f>
        <v/>
      </c>
      <c r="G390" s="59" t="str">
        <f aca="false">IFERROR(IF([2]对账明细接口!$G$390=0,"",[2]对账明细接口!$G$390),"")</f>
        <v/>
      </c>
      <c r="H390" s="60" t="str">
        <f aca="false">IFERROR(IF([2]对账明细接口!$H$390=0,"",[2]对账明细接口!$H$390),"")</f>
        <v/>
      </c>
      <c r="I390" s="59" t="str">
        <f aca="false">IFERROR(IF([2]对账明细接口!$I$390=0,"",[2]对账明细接口!$I$390),"")</f>
        <v/>
      </c>
      <c r="J390" s="61" t="str">
        <f aca="false">IFERROR(IF([2]对账明细接口!$J$390=0,"",[2]对账明细接口!$J$390),"")</f>
        <v/>
      </c>
      <c r="K390" s="61" t="str">
        <f aca="false">IFERROR(IF([2]对账明细接口!$K$390=0,"",[2]对账明细接口!$K$390),"")</f>
        <v/>
      </c>
      <c r="L390" s="59" t="str">
        <f aca="false">IFERROR(IF([2]对账明细接口!$L$390=0,"",[2]对账明细接口!$L$390),"")</f>
        <v/>
      </c>
      <c r="M390" s="59" t="str">
        <f aca="false">IFERROR(IF([2]对账明细接口!$M$390=0,"",[2]对账明细接口!$M$390),"")</f>
        <v/>
      </c>
      <c r="N390" s="111" t="n">
        <f aca="false">IF($C390="",0,1)</f>
        <v>0</v>
      </c>
      <c r="O390" s="111" t="n">
        <f aca="false">N(O389)+$N390</f>
        <v>311</v>
      </c>
      <c r="S390" s="10" t="str">
        <f aca="false">IFERROR(IF([2]对账明细接口!$N390=0,"",[2]对账明细接口!$N390),"")</f>
        <v/>
      </c>
      <c r="T390" s="112" t="str">
        <f aca="false">IFERROR(IF([2]对账明细接口!$O390=0,"",[2]对账明细接口!$O390),"")</f>
        <v/>
      </c>
      <c r="U390" s="112" t="str">
        <f aca="false">IFERROR(IF([2]对账明细接口!$P390=0,"",[2]对账明细接口!$P390),"")</f>
        <v/>
      </c>
      <c r="V390" s="112" t="str">
        <f aca="false">IFERROR(IF([2]对账明细接口!$Q390=0,"",[2]对账明细接口!$Q390),"")</f>
        <v/>
      </c>
      <c r="W390" s="10" t="str">
        <f aca="false">IFERROR(IF([2]对账明细接口!$R390=0,"",[2]对账明细接口!$R390),"")</f>
        <v/>
      </c>
      <c r="X390" s="10" t="str">
        <f aca="false">IFERROR(IF([2]对账明细接口!$S390=0,"",[2]对账明细接口!$S390),"")</f>
        <v/>
      </c>
      <c r="Y390" s="10" t="str">
        <f aca="false">IFERROR(IF([2]对账明细接口!$T390=0,"",[2]对账明细接口!$T390),"")</f>
        <v/>
      </c>
      <c r="Z390" s="113" t="str">
        <f aca="false">IFERROR(IF([2]对账明细接口!$U390=0,"",[2]对账明细接口!$U390),"")</f>
        <v/>
      </c>
      <c r="AA390" s="113" t="str">
        <f aca="false">IFERROR(IF([2]对账明细接口!$V390=0,"",[2]对账明细接口!$V390),"")</f>
        <v/>
      </c>
      <c r="AB390" s="10" t="str">
        <f aca="false">IFERROR(IF([2]对账明细接口!$W390=0,"",[2]对账明细接口!$W390),"")</f>
        <v/>
      </c>
      <c r="AC390" s="90" t="str">
        <f aca="false">IFERROR(IF([2]对账明细接口!$X391=0,"",[2]对账明细接口!$X391),"")</f>
        <v/>
      </c>
      <c r="AD390" s="90" t="str">
        <f aca="false">IFERROR(IF([2]对账明细接口!$Y391=0,"",[2]对账明细接口!$Y391),"")</f>
        <v/>
      </c>
      <c r="AE390" s="90" t="str">
        <f aca="false">IFERROR(IF([2]对账明细接口!$AA391=0,"",[2]对账明细接口!$AA391),"")</f>
        <v/>
      </c>
      <c r="AF390" s="90" t="str">
        <f aca="false">IFERROR(IF([2]对账明细接口!$AB391=0,"",[2]对账明细接口!$AB391),"")</f>
        <v/>
      </c>
      <c r="AG390" s="90" t="str">
        <f aca="false">IFERROR(IF([2]对账明细接口!$AC391=0,"",[2]对账明细接口!$AC391),"")</f>
        <v/>
      </c>
      <c r="AH390" s="90" t="str">
        <f aca="false">IFERROR(IF([2]对账明细接口!$AD391=0,"",[2]对账明细接口!$AD391),"")</f>
        <v/>
      </c>
    </row>
    <row r="391" customFormat="false" ht="13.5" hidden="false" customHeight="false" outlineLevel="0" collapsed="false">
      <c r="A391" s="109" t="n">
        <v>391</v>
      </c>
      <c r="B391" s="110" t="str">
        <f aca="false">IFERROR(IF([2]对账明细接口!$B$391=0,"",[2]对账明细接口!$B$391),"")</f>
        <v/>
      </c>
      <c r="C391" s="59" t="str">
        <f aca="false">IFERROR(IF([2]对账明细接口!$C$391=0,"",[2]对账明细接口!$C$391),"")</f>
        <v/>
      </c>
      <c r="D391" s="59" t="str">
        <f aca="false">IFERROR(IF([2]对账明细接口!$D$391=0,"",[2]对账明细接口!$D$391),"")</f>
        <v/>
      </c>
      <c r="E391" s="59" t="str">
        <f aca="false">IFERROR(IF([2]对账明细接口!$E$391=0,"",[2]对账明细接口!$E$391),"")</f>
        <v/>
      </c>
      <c r="F391" s="59" t="str">
        <f aca="false">IFERROR(IF([2]对账明细接口!$F$391=0,"",[2]对账明细接口!$F$391),"")</f>
        <v/>
      </c>
      <c r="G391" s="59" t="str">
        <f aca="false">IFERROR(IF([2]对账明细接口!$G$391=0,"",[2]对账明细接口!$G$391),"")</f>
        <v/>
      </c>
      <c r="H391" s="60" t="str">
        <f aca="false">IFERROR(IF([2]对账明细接口!$H$391=0,"",[2]对账明细接口!$H$391),"")</f>
        <v/>
      </c>
      <c r="I391" s="59" t="str">
        <f aca="false">IFERROR(IF([2]对账明细接口!$I$391=0,"",[2]对账明细接口!$I$391),"")</f>
        <v/>
      </c>
      <c r="J391" s="61" t="str">
        <f aca="false">IFERROR(IF([2]对账明细接口!$J$391=0,"",[2]对账明细接口!$J$391),"")</f>
        <v/>
      </c>
      <c r="K391" s="61" t="str">
        <f aca="false">IFERROR(IF([2]对账明细接口!$K$391=0,"",[2]对账明细接口!$K$391),"")</f>
        <v/>
      </c>
      <c r="L391" s="59" t="str">
        <f aca="false">IFERROR(IF([2]对账明细接口!$L$391=0,"",[2]对账明细接口!$L$391),"")</f>
        <v/>
      </c>
      <c r="M391" s="59" t="str">
        <f aca="false">IFERROR(IF([2]对账明细接口!$M$391=0,"",[2]对账明细接口!$M$391),"")</f>
        <v/>
      </c>
      <c r="N391" s="111" t="n">
        <f aca="false">IF($C391="",0,1)</f>
        <v>0</v>
      </c>
      <c r="O391" s="111" t="n">
        <f aca="false">N(O390)+$N391</f>
        <v>311</v>
      </c>
      <c r="S391" s="10" t="str">
        <f aca="false">IFERROR(IF([2]对账明细接口!$N391=0,"",[2]对账明细接口!$N391),"")</f>
        <v/>
      </c>
      <c r="T391" s="112" t="str">
        <f aca="false">IFERROR(IF([2]对账明细接口!$O391=0,"",[2]对账明细接口!$O391),"")</f>
        <v/>
      </c>
      <c r="U391" s="112" t="str">
        <f aca="false">IFERROR(IF([2]对账明细接口!$P391=0,"",[2]对账明细接口!$P391),"")</f>
        <v/>
      </c>
      <c r="V391" s="112" t="str">
        <f aca="false">IFERROR(IF([2]对账明细接口!$Q391=0,"",[2]对账明细接口!$Q391),"")</f>
        <v/>
      </c>
      <c r="W391" s="10" t="str">
        <f aca="false">IFERROR(IF([2]对账明细接口!$R391=0,"",[2]对账明细接口!$R391),"")</f>
        <v/>
      </c>
      <c r="X391" s="10" t="str">
        <f aca="false">IFERROR(IF([2]对账明细接口!$S391=0,"",[2]对账明细接口!$S391),"")</f>
        <v/>
      </c>
      <c r="Y391" s="10" t="str">
        <f aca="false">IFERROR(IF([2]对账明细接口!$T391=0,"",[2]对账明细接口!$T391),"")</f>
        <v/>
      </c>
      <c r="Z391" s="113" t="str">
        <f aca="false">IFERROR(IF([2]对账明细接口!$U391=0,"",[2]对账明细接口!$U391),"")</f>
        <v/>
      </c>
      <c r="AA391" s="113" t="str">
        <f aca="false">IFERROR(IF([2]对账明细接口!$V391=0,"",[2]对账明细接口!$V391),"")</f>
        <v/>
      </c>
      <c r="AB391" s="10" t="str">
        <f aca="false">IFERROR(IF([2]对账明细接口!$W391=0,"",[2]对账明细接口!$W391),"")</f>
        <v/>
      </c>
      <c r="AC391" s="90" t="str">
        <f aca="false">IFERROR(IF([2]对账明细接口!$X392=0,"",[2]对账明细接口!$X392),"")</f>
        <v/>
      </c>
      <c r="AD391" s="90" t="str">
        <f aca="false">IFERROR(IF([2]对账明细接口!$Y392=0,"",[2]对账明细接口!$Y392),"")</f>
        <v/>
      </c>
      <c r="AE391" s="90" t="str">
        <f aca="false">IFERROR(IF([2]对账明细接口!$AA392=0,"",[2]对账明细接口!$AA392),"")</f>
        <v/>
      </c>
      <c r="AF391" s="90" t="str">
        <f aca="false">IFERROR(IF([2]对账明细接口!$AB392=0,"",[2]对账明细接口!$AB392),"")</f>
        <v/>
      </c>
      <c r="AG391" s="90" t="str">
        <f aca="false">IFERROR(IF([2]对账明细接口!$AC392=0,"",[2]对账明细接口!$AC392),"")</f>
        <v/>
      </c>
      <c r="AH391" s="90" t="str">
        <f aca="false">IFERROR(IF([2]对账明细接口!$AD392=0,"",[2]对账明细接口!$AD392),"")</f>
        <v/>
      </c>
    </row>
    <row r="392" customFormat="false" ht="13.5" hidden="false" customHeight="false" outlineLevel="0" collapsed="false">
      <c r="A392" s="109" t="n">
        <v>392</v>
      </c>
      <c r="B392" s="110" t="str">
        <f aca="false">IFERROR(IF([2]对账明细接口!$B$392=0,"",[2]对账明细接口!$B$392),"")</f>
        <v/>
      </c>
      <c r="C392" s="59" t="str">
        <f aca="false">IFERROR(IF([2]对账明细接口!$C$392=0,"",[2]对账明细接口!$C$392),"")</f>
        <v/>
      </c>
      <c r="D392" s="59" t="str">
        <f aca="false">IFERROR(IF([2]对账明细接口!$D$392=0,"",[2]对账明细接口!$D$392),"")</f>
        <v/>
      </c>
      <c r="E392" s="59" t="str">
        <f aca="false">IFERROR(IF([2]对账明细接口!$E$392=0,"",[2]对账明细接口!$E$392),"")</f>
        <v/>
      </c>
      <c r="F392" s="59" t="str">
        <f aca="false">IFERROR(IF([2]对账明细接口!$F$392=0,"",[2]对账明细接口!$F$392),"")</f>
        <v/>
      </c>
      <c r="G392" s="59" t="str">
        <f aca="false">IFERROR(IF([2]对账明细接口!$G$392=0,"",[2]对账明细接口!$G$392),"")</f>
        <v/>
      </c>
      <c r="H392" s="60" t="str">
        <f aca="false">IFERROR(IF([2]对账明细接口!$H$392=0,"",[2]对账明细接口!$H$392),"")</f>
        <v/>
      </c>
      <c r="I392" s="59" t="str">
        <f aca="false">IFERROR(IF([2]对账明细接口!$I$392=0,"",[2]对账明细接口!$I$392),"")</f>
        <v/>
      </c>
      <c r="J392" s="61" t="str">
        <f aca="false">IFERROR(IF([2]对账明细接口!$J$392=0,"",[2]对账明细接口!$J$392),"")</f>
        <v/>
      </c>
      <c r="K392" s="61" t="str">
        <f aca="false">IFERROR(IF([2]对账明细接口!$K$392=0,"",[2]对账明细接口!$K$392),"")</f>
        <v/>
      </c>
      <c r="L392" s="59" t="str">
        <f aca="false">IFERROR(IF([2]对账明细接口!$L$392=0,"",[2]对账明细接口!$L$392),"")</f>
        <v/>
      </c>
      <c r="M392" s="59" t="str">
        <f aca="false">IFERROR(IF([2]对账明细接口!$M$392=0,"",[2]对账明细接口!$M$392),"")</f>
        <v/>
      </c>
      <c r="N392" s="111" t="n">
        <f aca="false">IF($C392="",0,1)</f>
        <v>0</v>
      </c>
      <c r="O392" s="111" t="n">
        <f aca="false">N(O391)+$N392</f>
        <v>311</v>
      </c>
      <c r="S392" s="10" t="str">
        <f aca="false">IFERROR(IF([2]对账明细接口!$N392=0,"",[2]对账明细接口!$N392),"")</f>
        <v/>
      </c>
      <c r="T392" s="112" t="str">
        <f aca="false">IFERROR(IF([2]对账明细接口!$O392=0,"",[2]对账明细接口!$O392),"")</f>
        <v/>
      </c>
      <c r="U392" s="112" t="str">
        <f aca="false">IFERROR(IF([2]对账明细接口!$P392=0,"",[2]对账明细接口!$P392),"")</f>
        <v/>
      </c>
      <c r="V392" s="112" t="str">
        <f aca="false">IFERROR(IF([2]对账明细接口!$Q392=0,"",[2]对账明细接口!$Q392),"")</f>
        <v/>
      </c>
      <c r="W392" s="10" t="str">
        <f aca="false">IFERROR(IF([2]对账明细接口!$R392=0,"",[2]对账明细接口!$R392),"")</f>
        <v/>
      </c>
      <c r="X392" s="10" t="str">
        <f aca="false">IFERROR(IF([2]对账明细接口!$S392=0,"",[2]对账明细接口!$S392),"")</f>
        <v/>
      </c>
      <c r="Y392" s="10" t="str">
        <f aca="false">IFERROR(IF([2]对账明细接口!$T392=0,"",[2]对账明细接口!$T392),"")</f>
        <v/>
      </c>
      <c r="Z392" s="113" t="str">
        <f aca="false">IFERROR(IF([2]对账明细接口!$U392=0,"",[2]对账明细接口!$U392),"")</f>
        <v/>
      </c>
      <c r="AA392" s="113" t="str">
        <f aca="false">IFERROR(IF([2]对账明细接口!$V392=0,"",[2]对账明细接口!$V392),"")</f>
        <v/>
      </c>
      <c r="AB392" s="10" t="str">
        <f aca="false">IFERROR(IF([2]对账明细接口!$W392=0,"",[2]对账明细接口!$W392),"")</f>
        <v/>
      </c>
      <c r="AC392" s="90" t="str">
        <f aca="false">IFERROR(IF([2]对账明细接口!$X393=0,"",[2]对账明细接口!$X393),"")</f>
        <v/>
      </c>
      <c r="AD392" s="90" t="str">
        <f aca="false">IFERROR(IF([2]对账明细接口!$Y393=0,"",[2]对账明细接口!$Y393),"")</f>
        <v/>
      </c>
      <c r="AE392" s="90" t="str">
        <f aca="false">IFERROR(IF([2]对账明细接口!$AA393=0,"",[2]对账明细接口!$AA393),"")</f>
        <v/>
      </c>
      <c r="AF392" s="90" t="str">
        <f aca="false">IFERROR(IF([2]对账明细接口!$AB393=0,"",[2]对账明细接口!$AB393),"")</f>
        <v/>
      </c>
      <c r="AG392" s="90" t="str">
        <f aca="false">IFERROR(IF([2]对账明细接口!$AC393=0,"",[2]对账明细接口!$AC393),"")</f>
        <v/>
      </c>
      <c r="AH392" s="90" t="str">
        <f aca="false">IFERROR(IF([2]对账明细接口!$AD393=0,"",[2]对账明细接口!$AD393),"")</f>
        <v/>
      </c>
    </row>
    <row r="393" customFormat="false" ht="13.5" hidden="false" customHeight="false" outlineLevel="0" collapsed="false">
      <c r="A393" s="109" t="n">
        <v>393</v>
      </c>
      <c r="B393" s="110" t="str">
        <f aca="false">IFERROR(IF([2]对账明细接口!$B$393=0,"",[2]对账明细接口!$B$393),"")</f>
        <v/>
      </c>
      <c r="C393" s="59" t="str">
        <f aca="false">IFERROR(IF([2]对账明细接口!$C$393=0,"",[2]对账明细接口!$C$393),"")</f>
        <v/>
      </c>
      <c r="D393" s="59" t="str">
        <f aca="false">IFERROR(IF([2]对账明细接口!$D$393=0,"",[2]对账明细接口!$D$393),"")</f>
        <v/>
      </c>
      <c r="E393" s="59" t="str">
        <f aca="false">IFERROR(IF([2]对账明细接口!$E$393=0,"",[2]对账明细接口!$E$393),"")</f>
        <v/>
      </c>
      <c r="F393" s="59" t="str">
        <f aca="false">IFERROR(IF([2]对账明细接口!$F$393=0,"",[2]对账明细接口!$F$393),"")</f>
        <v/>
      </c>
      <c r="G393" s="59" t="str">
        <f aca="false">IFERROR(IF([2]对账明细接口!$G$393=0,"",[2]对账明细接口!$G$393),"")</f>
        <v/>
      </c>
      <c r="H393" s="60" t="str">
        <f aca="false">IFERROR(IF([2]对账明细接口!$H$393=0,"",[2]对账明细接口!$H$393),"")</f>
        <v/>
      </c>
      <c r="I393" s="59" t="str">
        <f aca="false">IFERROR(IF([2]对账明细接口!$I$393=0,"",[2]对账明细接口!$I$393),"")</f>
        <v/>
      </c>
      <c r="J393" s="61" t="str">
        <f aca="false">IFERROR(IF([2]对账明细接口!$J$393=0,"",[2]对账明细接口!$J$393),"")</f>
        <v/>
      </c>
      <c r="K393" s="61" t="str">
        <f aca="false">IFERROR(IF([2]对账明细接口!$K$393=0,"",[2]对账明细接口!$K$393),"")</f>
        <v/>
      </c>
      <c r="L393" s="59" t="str">
        <f aca="false">IFERROR(IF([2]对账明细接口!$L$393=0,"",[2]对账明细接口!$L$393),"")</f>
        <v/>
      </c>
      <c r="M393" s="59" t="str">
        <f aca="false">IFERROR(IF([2]对账明细接口!$M$393=0,"",[2]对账明细接口!$M$393),"")</f>
        <v/>
      </c>
      <c r="N393" s="111" t="n">
        <f aca="false">IF($C393="",0,1)</f>
        <v>0</v>
      </c>
      <c r="O393" s="111" t="n">
        <f aca="false">N(O392)+$N393</f>
        <v>311</v>
      </c>
      <c r="S393" s="10" t="str">
        <f aca="false">IFERROR(IF([2]对账明细接口!$N393=0,"",[2]对账明细接口!$N393),"")</f>
        <v/>
      </c>
      <c r="T393" s="112" t="str">
        <f aca="false">IFERROR(IF([2]对账明细接口!$O393=0,"",[2]对账明细接口!$O393),"")</f>
        <v/>
      </c>
      <c r="U393" s="112" t="str">
        <f aca="false">IFERROR(IF([2]对账明细接口!$P393=0,"",[2]对账明细接口!$P393),"")</f>
        <v/>
      </c>
      <c r="V393" s="112" t="str">
        <f aca="false">IFERROR(IF([2]对账明细接口!$Q393=0,"",[2]对账明细接口!$Q393),"")</f>
        <v/>
      </c>
      <c r="W393" s="10" t="str">
        <f aca="false">IFERROR(IF([2]对账明细接口!$R393=0,"",[2]对账明细接口!$R393),"")</f>
        <v/>
      </c>
      <c r="X393" s="10" t="str">
        <f aca="false">IFERROR(IF([2]对账明细接口!$S393=0,"",[2]对账明细接口!$S393),"")</f>
        <v/>
      </c>
      <c r="Y393" s="10" t="str">
        <f aca="false">IFERROR(IF([2]对账明细接口!$T393=0,"",[2]对账明细接口!$T393),"")</f>
        <v/>
      </c>
      <c r="Z393" s="113" t="str">
        <f aca="false">IFERROR(IF([2]对账明细接口!$U393=0,"",[2]对账明细接口!$U393),"")</f>
        <v/>
      </c>
      <c r="AA393" s="113" t="str">
        <f aca="false">IFERROR(IF([2]对账明细接口!$V393=0,"",[2]对账明细接口!$V393),"")</f>
        <v/>
      </c>
      <c r="AB393" s="10" t="str">
        <f aca="false">IFERROR(IF([2]对账明细接口!$W393=0,"",[2]对账明细接口!$W393),"")</f>
        <v/>
      </c>
      <c r="AC393" s="90" t="str">
        <f aca="false">IFERROR(IF([2]对账明细接口!$X394=0,"",[2]对账明细接口!$X394),"")</f>
        <v/>
      </c>
      <c r="AD393" s="90" t="str">
        <f aca="false">IFERROR(IF([2]对账明细接口!$Y394=0,"",[2]对账明细接口!$Y394),"")</f>
        <v/>
      </c>
      <c r="AE393" s="90" t="str">
        <f aca="false">IFERROR(IF([2]对账明细接口!$AA394=0,"",[2]对账明细接口!$AA394),"")</f>
        <v/>
      </c>
      <c r="AF393" s="90" t="str">
        <f aca="false">IFERROR(IF([2]对账明细接口!$AB394=0,"",[2]对账明细接口!$AB394),"")</f>
        <v/>
      </c>
      <c r="AG393" s="90" t="str">
        <f aca="false">IFERROR(IF([2]对账明细接口!$AC394=0,"",[2]对账明细接口!$AC394),"")</f>
        <v/>
      </c>
      <c r="AH393" s="90" t="str">
        <f aca="false">IFERROR(IF([2]对账明细接口!$AD394=0,"",[2]对账明细接口!$AD394),"")</f>
        <v/>
      </c>
    </row>
    <row r="394" customFormat="false" ht="13.5" hidden="false" customHeight="false" outlineLevel="0" collapsed="false">
      <c r="A394" s="109" t="n">
        <v>394</v>
      </c>
      <c r="B394" s="110" t="str">
        <f aca="false">IFERROR(IF([2]对账明细接口!$B$394=0,"",[2]对账明细接口!$B$394),"")</f>
        <v/>
      </c>
      <c r="C394" s="59" t="str">
        <f aca="false">IFERROR(IF([2]对账明细接口!$C$394=0,"",[2]对账明细接口!$C$394),"")</f>
        <v/>
      </c>
      <c r="D394" s="59" t="str">
        <f aca="false">IFERROR(IF([2]对账明细接口!$D$394=0,"",[2]对账明细接口!$D$394),"")</f>
        <v/>
      </c>
      <c r="E394" s="59" t="str">
        <f aca="false">IFERROR(IF([2]对账明细接口!$E$394=0,"",[2]对账明细接口!$E$394),"")</f>
        <v/>
      </c>
      <c r="F394" s="59" t="str">
        <f aca="false">IFERROR(IF([2]对账明细接口!$F$394=0,"",[2]对账明细接口!$F$394),"")</f>
        <v/>
      </c>
      <c r="G394" s="59" t="str">
        <f aca="false">IFERROR(IF([2]对账明细接口!$G$394=0,"",[2]对账明细接口!$G$394),"")</f>
        <v/>
      </c>
      <c r="H394" s="60" t="str">
        <f aca="false">IFERROR(IF([2]对账明细接口!$H$394=0,"",[2]对账明细接口!$H$394),"")</f>
        <v/>
      </c>
      <c r="I394" s="59" t="str">
        <f aca="false">IFERROR(IF([2]对账明细接口!$I$394=0,"",[2]对账明细接口!$I$394),"")</f>
        <v/>
      </c>
      <c r="J394" s="61" t="str">
        <f aca="false">IFERROR(IF([2]对账明细接口!$J$394=0,"",[2]对账明细接口!$J$394),"")</f>
        <v/>
      </c>
      <c r="K394" s="61" t="str">
        <f aca="false">IFERROR(IF([2]对账明细接口!$K$394=0,"",[2]对账明细接口!$K$394),"")</f>
        <v/>
      </c>
      <c r="L394" s="59" t="str">
        <f aca="false">IFERROR(IF([2]对账明细接口!$L$394=0,"",[2]对账明细接口!$L$394),"")</f>
        <v/>
      </c>
      <c r="M394" s="59" t="str">
        <f aca="false">IFERROR(IF([2]对账明细接口!$M$394=0,"",[2]对账明细接口!$M$394),"")</f>
        <v/>
      </c>
      <c r="N394" s="111" t="n">
        <f aca="false">IF($C394="",0,1)</f>
        <v>0</v>
      </c>
      <c r="O394" s="111" t="n">
        <f aca="false">N(O393)+$N394</f>
        <v>311</v>
      </c>
      <c r="S394" s="10" t="str">
        <f aca="false">IFERROR(IF([2]对账明细接口!$N394=0,"",[2]对账明细接口!$N394),"")</f>
        <v/>
      </c>
      <c r="T394" s="112" t="str">
        <f aca="false">IFERROR(IF([2]对账明细接口!$O394=0,"",[2]对账明细接口!$O394),"")</f>
        <v/>
      </c>
      <c r="U394" s="112" t="str">
        <f aca="false">IFERROR(IF([2]对账明细接口!$P394=0,"",[2]对账明细接口!$P394),"")</f>
        <v/>
      </c>
      <c r="V394" s="112" t="str">
        <f aca="false">IFERROR(IF([2]对账明细接口!$Q394=0,"",[2]对账明细接口!$Q394),"")</f>
        <v/>
      </c>
      <c r="W394" s="10" t="str">
        <f aca="false">IFERROR(IF([2]对账明细接口!$R394=0,"",[2]对账明细接口!$R394),"")</f>
        <v/>
      </c>
      <c r="X394" s="10" t="str">
        <f aca="false">IFERROR(IF([2]对账明细接口!$S394=0,"",[2]对账明细接口!$S394),"")</f>
        <v/>
      </c>
      <c r="Y394" s="10" t="str">
        <f aca="false">IFERROR(IF([2]对账明细接口!$T394=0,"",[2]对账明细接口!$T394),"")</f>
        <v/>
      </c>
      <c r="Z394" s="113" t="str">
        <f aca="false">IFERROR(IF([2]对账明细接口!$U394=0,"",[2]对账明细接口!$U394),"")</f>
        <v/>
      </c>
      <c r="AA394" s="113" t="str">
        <f aca="false">IFERROR(IF([2]对账明细接口!$V394=0,"",[2]对账明细接口!$V394),"")</f>
        <v/>
      </c>
      <c r="AB394" s="10" t="str">
        <f aca="false">IFERROR(IF([2]对账明细接口!$W394=0,"",[2]对账明细接口!$W394),"")</f>
        <v/>
      </c>
      <c r="AC394" s="90" t="str">
        <f aca="false">IFERROR(IF([2]对账明细接口!$X395=0,"",[2]对账明细接口!$X395),"")</f>
        <v/>
      </c>
      <c r="AD394" s="90" t="str">
        <f aca="false">IFERROR(IF([2]对账明细接口!$Y395=0,"",[2]对账明细接口!$Y395),"")</f>
        <v/>
      </c>
      <c r="AE394" s="90" t="str">
        <f aca="false">IFERROR(IF([2]对账明细接口!$AA395=0,"",[2]对账明细接口!$AA395),"")</f>
        <v/>
      </c>
      <c r="AF394" s="90" t="str">
        <f aca="false">IFERROR(IF([2]对账明细接口!$AB395=0,"",[2]对账明细接口!$AB395),"")</f>
        <v/>
      </c>
      <c r="AG394" s="90" t="str">
        <f aca="false">IFERROR(IF([2]对账明细接口!$AC395=0,"",[2]对账明细接口!$AC395),"")</f>
        <v/>
      </c>
      <c r="AH394" s="90" t="str">
        <f aca="false">IFERROR(IF([2]对账明细接口!$AD395=0,"",[2]对账明细接口!$AD395),"")</f>
        <v/>
      </c>
    </row>
    <row r="395" customFormat="false" ht="13.5" hidden="false" customHeight="false" outlineLevel="0" collapsed="false">
      <c r="A395" s="109" t="n">
        <v>395</v>
      </c>
      <c r="B395" s="110" t="str">
        <f aca="false">IFERROR(IF([2]对账明细接口!$B$395=0,"",[2]对账明细接口!$B$395),"")</f>
        <v/>
      </c>
      <c r="C395" s="59" t="str">
        <f aca="false">IFERROR(IF([2]对账明细接口!$C$395=0,"",[2]对账明细接口!$C$395),"")</f>
        <v/>
      </c>
      <c r="D395" s="59" t="str">
        <f aca="false">IFERROR(IF([2]对账明细接口!$D$395=0,"",[2]对账明细接口!$D$395),"")</f>
        <v/>
      </c>
      <c r="E395" s="59" t="str">
        <f aca="false">IFERROR(IF([2]对账明细接口!$E$395=0,"",[2]对账明细接口!$E$395),"")</f>
        <v/>
      </c>
      <c r="F395" s="59" t="str">
        <f aca="false">IFERROR(IF([2]对账明细接口!$F$395=0,"",[2]对账明细接口!$F$395),"")</f>
        <v/>
      </c>
      <c r="G395" s="59" t="str">
        <f aca="false">IFERROR(IF([2]对账明细接口!$G$395=0,"",[2]对账明细接口!$G$395),"")</f>
        <v/>
      </c>
      <c r="H395" s="60" t="str">
        <f aca="false">IFERROR(IF([2]对账明细接口!$H$395=0,"",[2]对账明细接口!$H$395),"")</f>
        <v/>
      </c>
      <c r="I395" s="59" t="str">
        <f aca="false">IFERROR(IF([2]对账明细接口!$I$395=0,"",[2]对账明细接口!$I$395),"")</f>
        <v/>
      </c>
      <c r="J395" s="61" t="str">
        <f aca="false">IFERROR(IF([2]对账明细接口!$J$395=0,"",[2]对账明细接口!$J$395),"")</f>
        <v/>
      </c>
      <c r="K395" s="61" t="str">
        <f aca="false">IFERROR(IF([2]对账明细接口!$K$395=0,"",[2]对账明细接口!$K$395),"")</f>
        <v/>
      </c>
      <c r="L395" s="59" t="str">
        <f aca="false">IFERROR(IF([2]对账明细接口!$L$395=0,"",[2]对账明细接口!$L$395),"")</f>
        <v/>
      </c>
      <c r="M395" s="59" t="str">
        <f aca="false">IFERROR(IF([2]对账明细接口!$M$395=0,"",[2]对账明细接口!$M$395),"")</f>
        <v/>
      </c>
      <c r="N395" s="111" t="n">
        <f aca="false">IF($C395="",0,1)</f>
        <v>0</v>
      </c>
      <c r="O395" s="111" t="n">
        <f aca="false">N(O394)+$N395</f>
        <v>311</v>
      </c>
      <c r="S395" s="10" t="str">
        <f aca="false">IFERROR(IF([2]对账明细接口!$N395=0,"",[2]对账明细接口!$N395),"")</f>
        <v/>
      </c>
      <c r="T395" s="112" t="str">
        <f aca="false">IFERROR(IF([2]对账明细接口!$O395=0,"",[2]对账明细接口!$O395),"")</f>
        <v/>
      </c>
      <c r="U395" s="112" t="str">
        <f aca="false">IFERROR(IF([2]对账明细接口!$P395=0,"",[2]对账明细接口!$P395),"")</f>
        <v/>
      </c>
      <c r="V395" s="112" t="str">
        <f aca="false">IFERROR(IF([2]对账明细接口!$Q395=0,"",[2]对账明细接口!$Q395),"")</f>
        <v/>
      </c>
      <c r="W395" s="10" t="str">
        <f aca="false">IFERROR(IF([2]对账明细接口!$R395=0,"",[2]对账明细接口!$R395),"")</f>
        <v/>
      </c>
      <c r="X395" s="10" t="str">
        <f aca="false">IFERROR(IF([2]对账明细接口!$S395=0,"",[2]对账明细接口!$S395),"")</f>
        <v/>
      </c>
      <c r="Y395" s="10" t="str">
        <f aca="false">IFERROR(IF([2]对账明细接口!$T395=0,"",[2]对账明细接口!$T395),"")</f>
        <v/>
      </c>
      <c r="Z395" s="113" t="str">
        <f aca="false">IFERROR(IF([2]对账明细接口!$U395=0,"",[2]对账明细接口!$U395),"")</f>
        <v/>
      </c>
      <c r="AA395" s="113" t="str">
        <f aca="false">IFERROR(IF([2]对账明细接口!$V395=0,"",[2]对账明细接口!$V395),"")</f>
        <v/>
      </c>
      <c r="AB395" s="10" t="str">
        <f aca="false">IFERROR(IF([2]对账明细接口!$W395=0,"",[2]对账明细接口!$W395),"")</f>
        <v/>
      </c>
      <c r="AC395" s="90" t="str">
        <f aca="false">IFERROR(IF([2]对账明细接口!$X396=0,"",[2]对账明细接口!$X396),"")</f>
        <v/>
      </c>
      <c r="AD395" s="90" t="str">
        <f aca="false">IFERROR(IF([2]对账明细接口!$Y396=0,"",[2]对账明细接口!$Y396),"")</f>
        <v/>
      </c>
      <c r="AE395" s="90" t="str">
        <f aca="false">IFERROR(IF([2]对账明细接口!$AA396=0,"",[2]对账明细接口!$AA396),"")</f>
        <v/>
      </c>
      <c r="AF395" s="90" t="str">
        <f aca="false">IFERROR(IF([2]对账明细接口!$AB396=0,"",[2]对账明细接口!$AB396),"")</f>
        <v/>
      </c>
      <c r="AG395" s="90" t="str">
        <f aca="false">IFERROR(IF([2]对账明细接口!$AC396=0,"",[2]对账明细接口!$AC396),"")</f>
        <v/>
      </c>
      <c r="AH395" s="90" t="str">
        <f aca="false">IFERROR(IF([2]对账明细接口!$AD396=0,"",[2]对账明细接口!$AD396),"")</f>
        <v/>
      </c>
    </row>
    <row r="396" customFormat="false" ht="13.5" hidden="false" customHeight="false" outlineLevel="0" collapsed="false">
      <c r="A396" s="109" t="n">
        <v>396</v>
      </c>
      <c r="B396" s="110" t="str">
        <f aca="false">IFERROR(IF([2]对账明细接口!$B$396=0,"",[2]对账明细接口!$B$396),"")</f>
        <v/>
      </c>
      <c r="C396" s="59" t="str">
        <f aca="false">IFERROR(IF([2]对账明细接口!$C$396=0,"",[2]对账明细接口!$C$396),"")</f>
        <v/>
      </c>
      <c r="D396" s="59" t="str">
        <f aca="false">IFERROR(IF([2]对账明细接口!$D$396=0,"",[2]对账明细接口!$D$396),"")</f>
        <v/>
      </c>
      <c r="E396" s="59" t="str">
        <f aca="false">IFERROR(IF([2]对账明细接口!$E$396=0,"",[2]对账明细接口!$E$396),"")</f>
        <v/>
      </c>
      <c r="F396" s="59" t="str">
        <f aca="false">IFERROR(IF([2]对账明细接口!$F$396=0,"",[2]对账明细接口!$F$396),"")</f>
        <v/>
      </c>
      <c r="G396" s="59" t="str">
        <f aca="false">IFERROR(IF([2]对账明细接口!$G$396=0,"",[2]对账明细接口!$G$396),"")</f>
        <v/>
      </c>
      <c r="H396" s="60" t="str">
        <f aca="false">IFERROR(IF([2]对账明细接口!$H$396=0,"",[2]对账明细接口!$H$396),"")</f>
        <v/>
      </c>
      <c r="I396" s="59" t="str">
        <f aca="false">IFERROR(IF([2]对账明细接口!$I$396=0,"",[2]对账明细接口!$I$396),"")</f>
        <v/>
      </c>
      <c r="J396" s="61" t="str">
        <f aca="false">IFERROR(IF([2]对账明细接口!$J$396=0,"",[2]对账明细接口!$J$396),"")</f>
        <v/>
      </c>
      <c r="K396" s="61" t="str">
        <f aca="false">IFERROR(IF([2]对账明细接口!$K$396=0,"",[2]对账明细接口!$K$396),"")</f>
        <v/>
      </c>
      <c r="L396" s="59" t="str">
        <f aca="false">IFERROR(IF([2]对账明细接口!$L$396=0,"",[2]对账明细接口!$L$396),"")</f>
        <v/>
      </c>
      <c r="M396" s="59" t="str">
        <f aca="false">IFERROR(IF([2]对账明细接口!$M$396=0,"",[2]对账明细接口!$M$396),"")</f>
        <v/>
      </c>
      <c r="N396" s="111" t="n">
        <f aca="false">IF($C396="",0,1)</f>
        <v>0</v>
      </c>
      <c r="O396" s="111" t="n">
        <f aca="false">N(O395)+$N396</f>
        <v>311</v>
      </c>
      <c r="S396" s="10" t="str">
        <f aca="false">IFERROR(IF([2]对账明细接口!$N396=0,"",[2]对账明细接口!$N396),"")</f>
        <v/>
      </c>
      <c r="T396" s="112" t="str">
        <f aca="false">IFERROR(IF([2]对账明细接口!$O396=0,"",[2]对账明细接口!$O396),"")</f>
        <v/>
      </c>
      <c r="U396" s="112" t="str">
        <f aca="false">IFERROR(IF([2]对账明细接口!$P396=0,"",[2]对账明细接口!$P396),"")</f>
        <v/>
      </c>
      <c r="V396" s="112" t="str">
        <f aca="false">IFERROR(IF([2]对账明细接口!$Q396=0,"",[2]对账明细接口!$Q396),"")</f>
        <v/>
      </c>
      <c r="W396" s="10" t="str">
        <f aca="false">IFERROR(IF([2]对账明细接口!$R396=0,"",[2]对账明细接口!$R396),"")</f>
        <v/>
      </c>
      <c r="X396" s="10" t="str">
        <f aca="false">IFERROR(IF([2]对账明细接口!$S396=0,"",[2]对账明细接口!$S396),"")</f>
        <v/>
      </c>
      <c r="Y396" s="10" t="str">
        <f aca="false">IFERROR(IF([2]对账明细接口!$T396=0,"",[2]对账明细接口!$T396),"")</f>
        <v/>
      </c>
      <c r="Z396" s="113" t="str">
        <f aca="false">IFERROR(IF([2]对账明细接口!$U396=0,"",[2]对账明细接口!$U396),"")</f>
        <v/>
      </c>
      <c r="AA396" s="113" t="str">
        <f aca="false">IFERROR(IF([2]对账明细接口!$V396=0,"",[2]对账明细接口!$V396),"")</f>
        <v/>
      </c>
      <c r="AB396" s="10" t="str">
        <f aca="false">IFERROR(IF([2]对账明细接口!$W396=0,"",[2]对账明细接口!$W396),"")</f>
        <v/>
      </c>
      <c r="AC396" s="90" t="str">
        <f aca="false">IFERROR(IF([2]对账明细接口!$X397=0,"",[2]对账明细接口!$X397),"")</f>
        <v/>
      </c>
      <c r="AD396" s="90" t="str">
        <f aca="false">IFERROR(IF([2]对账明细接口!$Y397=0,"",[2]对账明细接口!$Y397),"")</f>
        <v/>
      </c>
      <c r="AE396" s="90" t="str">
        <f aca="false">IFERROR(IF([2]对账明细接口!$AA397=0,"",[2]对账明细接口!$AA397),"")</f>
        <v/>
      </c>
      <c r="AF396" s="90" t="str">
        <f aca="false">IFERROR(IF([2]对账明细接口!$AB397=0,"",[2]对账明细接口!$AB397),"")</f>
        <v/>
      </c>
      <c r="AG396" s="90" t="str">
        <f aca="false">IFERROR(IF([2]对账明细接口!$AC397=0,"",[2]对账明细接口!$AC397),"")</f>
        <v/>
      </c>
      <c r="AH396" s="90" t="str">
        <f aca="false">IFERROR(IF([2]对账明细接口!$AD397=0,"",[2]对账明细接口!$AD397),"")</f>
        <v/>
      </c>
    </row>
    <row r="397" customFormat="false" ht="13.5" hidden="false" customHeight="false" outlineLevel="0" collapsed="false">
      <c r="A397" s="109" t="n">
        <v>397</v>
      </c>
      <c r="B397" s="110" t="str">
        <f aca="false">IFERROR(IF([2]对账明细接口!$B$397=0,"",[2]对账明细接口!$B$397),"")</f>
        <v/>
      </c>
      <c r="C397" s="59" t="str">
        <f aca="false">IFERROR(IF([2]对账明细接口!$C$397=0,"",[2]对账明细接口!$C$397),"")</f>
        <v/>
      </c>
      <c r="D397" s="59" t="str">
        <f aca="false">IFERROR(IF([2]对账明细接口!$D$397=0,"",[2]对账明细接口!$D$397),"")</f>
        <v/>
      </c>
      <c r="E397" s="59" t="str">
        <f aca="false">IFERROR(IF([2]对账明细接口!$E$397=0,"",[2]对账明细接口!$E$397),"")</f>
        <v/>
      </c>
      <c r="F397" s="59" t="str">
        <f aca="false">IFERROR(IF([2]对账明细接口!$F$397=0,"",[2]对账明细接口!$F$397),"")</f>
        <v/>
      </c>
      <c r="G397" s="59" t="str">
        <f aca="false">IFERROR(IF([2]对账明细接口!$G$397=0,"",[2]对账明细接口!$G$397),"")</f>
        <v/>
      </c>
      <c r="H397" s="60" t="str">
        <f aca="false">IFERROR(IF([2]对账明细接口!$H$397=0,"",[2]对账明细接口!$H$397),"")</f>
        <v/>
      </c>
      <c r="I397" s="59" t="str">
        <f aca="false">IFERROR(IF([2]对账明细接口!$I$397=0,"",[2]对账明细接口!$I$397),"")</f>
        <v/>
      </c>
      <c r="J397" s="61" t="str">
        <f aca="false">IFERROR(IF([2]对账明细接口!$J$397=0,"",[2]对账明细接口!$J$397),"")</f>
        <v/>
      </c>
      <c r="K397" s="61" t="str">
        <f aca="false">IFERROR(IF([2]对账明细接口!$K$397=0,"",[2]对账明细接口!$K$397),"")</f>
        <v/>
      </c>
      <c r="L397" s="59" t="str">
        <f aca="false">IFERROR(IF([2]对账明细接口!$L$397=0,"",[2]对账明细接口!$L$397),"")</f>
        <v/>
      </c>
      <c r="M397" s="59" t="str">
        <f aca="false">IFERROR(IF([2]对账明细接口!$M$397=0,"",[2]对账明细接口!$M$397),"")</f>
        <v/>
      </c>
      <c r="N397" s="111" t="n">
        <f aca="false">IF($C397="",0,1)</f>
        <v>0</v>
      </c>
      <c r="O397" s="111" t="n">
        <f aca="false">N(O396)+$N397</f>
        <v>311</v>
      </c>
      <c r="S397" s="10" t="str">
        <f aca="false">IFERROR(IF([2]对账明细接口!$N397=0,"",[2]对账明细接口!$N397),"")</f>
        <v/>
      </c>
      <c r="T397" s="112" t="str">
        <f aca="false">IFERROR(IF([2]对账明细接口!$O397=0,"",[2]对账明细接口!$O397),"")</f>
        <v/>
      </c>
      <c r="U397" s="112" t="str">
        <f aca="false">IFERROR(IF([2]对账明细接口!$P397=0,"",[2]对账明细接口!$P397),"")</f>
        <v/>
      </c>
      <c r="V397" s="112" t="str">
        <f aca="false">IFERROR(IF([2]对账明细接口!$Q397=0,"",[2]对账明细接口!$Q397),"")</f>
        <v/>
      </c>
      <c r="W397" s="10" t="str">
        <f aca="false">IFERROR(IF([2]对账明细接口!$R397=0,"",[2]对账明细接口!$R397),"")</f>
        <v/>
      </c>
      <c r="X397" s="10" t="str">
        <f aca="false">IFERROR(IF([2]对账明细接口!$S397=0,"",[2]对账明细接口!$S397),"")</f>
        <v/>
      </c>
      <c r="Y397" s="10" t="str">
        <f aca="false">IFERROR(IF([2]对账明细接口!$T397=0,"",[2]对账明细接口!$T397),"")</f>
        <v/>
      </c>
      <c r="Z397" s="113" t="str">
        <f aca="false">IFERROR(IF([2]对账明细接口!$U397=0,"",[2]对账明细接口!$U397),"")</f>
        <v/>
      </c>
      <c r="AA397" s="113" t="str">
        <f aca="false">IFERROR(IF([2]对账明细接口!$V397=0,"",[2]对账明细接口!$V397),"")</f>
        <v/>
      </c>
      <c r="AB397" s="10" t="str">
        <f aca="false">IFERROR(IF([2]对账明细接口!$W397=0,"",[2]对账明细接口!$W397),"")</f>
        <v/>
      </c>
      <c r="AC397" s="90" t="str">
        <f aca="false">IFERROR(IF([2]对账明细接口!$X398=0,"",[2]对账明细接口!$X398),"")</f>
        <v/>
      </c>
      <c r="AD397" s="90" t="str">
        <f aca="false">IFERROR(IF([2]对账明细接口!$Y398=0,"",[2]对账明细接口!$Y398),"")</f>
        <v/>
      </c>
      <c r="AE397" s="90" t="str">
        <f aca="false">IFERROR(IF([2]对账明细接口!$AA398=0,"",[2]对账明细接口!$AA398),"")</f>
        <v/>
      </c>
      <c r="AF397" s="90" t="str">
        <f aca="false">IFERROR(IF([2]对账明细接口!$AB398=0,"",[2]对账明细接口!$AB398),"")</f>
        <v/>
      </c>
      <c r="AG397" s="90" t="str">
        <f aca="false">IFERROR(IF([2]对账明细接口!$AC398=0,"",[2]对账明细接口!$AC398),"")</f>
        <v/>
      </c>
      <c r="AH397" s="90" t="str">
        <f aca="false">IFERROR(IF([2]对账明细接口!$AD398=0,"",[2]对账明细接口!$AD398),"")</f>
        <v/>
      </c>
    </row>
    <row r="398" customFormat="false" ht="13.5" hidden="false" customHeight="false" outlineLevel="0" collapsed="false">
      <c r="A398" s="109" t="n">
        <v>398</v>
      </c>
      <c r="B398" s="110" t="str">
        <f aca="false">IFERROR(IF([2]对账明细接口!$B$398=0,"",[2]对账明细接口!$B$398),"")</f>
        <v/>
      </c>
      <c r="C398" s="59" t="str">
        <f aca="false">IFERROR(IF([2]对账明细接口!$C$398=0,"",[2]对账明细接口!$C$398),"")</f>
        <v/>
      </c>
      <c r="D398" s="59" t="str">
        <f aca="false">IFERROR(IF([2]对账明细接口!$D$398=0,"",[2]对账明细接口!$D$398),"")</f>
        <v/>
      </c>
      <c r="E398" s="59" t="str">
        <f aca="false">IFERROR(IF([2]对账明细接口!$E$398=0,"",[2]对账明细接口!$E$398),"")</f>
        <v/>
      </c>
      <c r="F398" s="59" t="str">
        <f aca="false">IFERROR(IF([2]对账明细接口!$F$398=0,"",[2]对账明细接口!$F$398),"")</f>
        <v/>
      </c>
      <c r="G398" s="59" t="str">
        <f aca="false">IFERROR(IF([2]对账明细接口!$G$398=0,"",[2]对账明细接口!$G$398),"")</f>
        <v/>
      </c>
      <c r="H398" s="60" t="str">
        <f aca="false">IFERROR(IF([2]对账明细接口!$H$398=0,"",[2]对账明细接口!$H$398),"")</f>
        <v/>
      </c>
      <c r="I398" s="59" t="str">
        <f aca="false">IFERROR(IF([2]对账明细接口!$I$398=0,"",[2]对账明细接口!$I$398),"")</f>
        <v/>
      </c>
      <c r="J398" s="61" t="str">
        <f aca="false">IFERROR(IF([2]对账明细接口!$J$398=0,"",[2]对账明细接口!$J$398),"")</f>
        <v/>
      </c>
      <c r="K398" s="61" t="str">
        <f aca="false">IFERROR(IF([2]对账明细接口!$K$398=0,"",[2]对账明细接口!$K$398),"")</f>
        <v/>
      </c>
      <c r="L398" s="59" t="str">
        <f aca="false">IFERROR(IF([2]对账明细接口!$L$398=0,"",[2]对账明细接口!$L$398),"")</f>
        <v/>
      </c>
      <c r="M398" s="59" t="str">
        <f aca="false">IFERROR(IF([2]对账明细接口!$M$398=0,"",[2]对账明细接口!$M$398),"")</f>
        <v/>
      </c>
      <c r="N398" s="111" t="n">
        <f aca="false">IF($C398="",0,1)</f>
        <v>0</v>
      </c>
      <c r="O398" s="111" t="n">
        <f aca="false">N(O397)+$N398</f>
        <v>311</v>
      </c>
      <c r="S398" s="10" t="str">
        <f aca="false">IFERROR(IF([2]对账明细接口!$N398=0,"",[2]对账明细接口!$N398),"")</f>
        <v/>
      </c>
      <c r="T398" s="112" t="str">
        <f aca="false">IFERROR(IF([2]对账明细接口!$O398=0,"",[2]对账明细接口!$O398),"")</f>
        <v/>
      </c>
      <c r="U398" s="112" t="str">
        <f aca="false">IFERROR(IF([2]对账明细接口!$P398=0,"",[2]对账明细接口!$P398),"")</f>
        <v/>
      </c>
      <c r="V398" s="112" t="str">
        <f aca="false">IFERROR(IF([2]对账明细接口!$Q398=0,"",[2]对账明细接口!$Q398),"")</f>
        <v/>
      </c>
      <c r="W398" s="10" t="str">
        <f aca="false">IFERROR(IF([2]对账明细接口!$R398=0,"",[2]对账明细接口!$R398),"")</f>
        <v/>
      </c>
      <c r="X398" s="10" t="str">
        <f aca="false">IFERROR(IF([2]对账明细接口!$S398=0,"",[2]对账明细接口!$S398),"")</f>
        <v/>
      </c>
      <c r="Y398" s="10" t="str">
        <f aca="false">IFERROR(IF([2]对账明细接口!$T398=0,"",[2]对账明细接口!$T398),"")</f>
        <v/>
      </c>
      <c r="Z398" s="113" t="str">
        <f aca="false">IFERROR(IF([2]对账明细接口!$U398=0,"",[2]对账明细接口!$U398),"")</f>
        <v/>
      </c>
      <c r="AA398" s="113" t="str">
        <f aca="false">IFERROR(IF([2]对账明细接口!$V398=0,"",[2]对账明细接口!$V398),"")</f>
        <v/>
      </c>
      <c r="AB398" s="10" t="str">
        <f aca="false">IFERROR(IF([2]对账明细接口!$W398=0,"",[2]对账明细接口!$W398),"")</f>
        <v/>
      </c>
      <c r="AC398" s="90" t="str">
        <f aca="false">IFERROR(IF([2]对账明细接口!$X399=0,"",[2]对账明细接口!$X399),"")</f>
        <v/>
      </c>
      <c r="AD398" s="90" t="str">
        <f aca="false">IFERROR(IF([2]对账明细接口!$Y399=0,"",[2]对账明细接口!$Y399),"")</f>
        <v/>
      </c>
      <c r="AE398" s="90" t="str">
        <f aca="false">IFERROR(IF([2]对账明细接口!$AA399=0,"",[2]对账明细接口!$AA399),"")</f>
        <v/>
      </c>
      <c r="AF398" s="90" t="str">
        <f aca="false">IFERROR(IF([2]对账明细接口!$AB399=0,"",[2]对账明细接口!$AB399),"")</f>
        <v/>
      </c>
      <c r="AG398" s="90" t="str">
        <f aca="false">IFERROR(IF([2]对账明细接口!$AC399=0,"",[2]对账明细接口!$AC399),"")</f>
        <v/>
      </c>
      <c r="AH398" s="90" t="str">
        <f aca="false">IFERROR(IF([2]对账明细接口!$AD399=0,"",[2]对账明细接口!$AD399),"")</f>
        <v/>
      </c>
    </row>
    <row r="399" customFormat="false" ht="13.5" hidden="false" customHeight="false" outlineLevel="0" collapsed="false">
      <c r="A399" s="109" t="n">
        <v>399</v>
      </c>
      <c r="B399" s="110" t="str">
        <f aca="false">IFERROR(IF([2]对账明细接口!$B$399=0,"",[2]对账明细接口!$B$399),"")</f>
        <v/>
      </c>
      <c r="C399" s="59" t="str">
        <f aca="false">IFERROR(IF([2]对账明细接口!$C$399=0,"",[2]对账明细接口!$C$399),"")</f>
        <v/>
      </c>
      <c r="D399" s="59" t="str">
        <f aca="false">IFERROR(IF([2]对账明细接口!$D$399=0,"",[2]对账明细接口!$D$399),"")</f>
        <v/>
      </c>
      <c r="E399" s="59" t="str">
        <f aca="false">IFERROR(IF([2]对账明细接口!$E$399=0,"",[2]对账明细接口!$E$399),"")</f>
        <v/>
      </c>
      <c r="F399" s="59" t="str">
        <f aca="false">IFERROR(IF([2]对账明细接口!$F$399=0,"",[2]对账明细接口!$F$399),"")</f>
        <v/>
      </c>
      <c r="G399" s="59" t="str">
        <f aca="false">IFERROR(IF([2]对账明细接口!$G$399=0,"",[2]对账明细接口!$G$399),"")</f>
        <v/>
      </c>
      <c r="H399" s="60" t="str">
        <f aca="false">IFERROR(IF([2]对账明细接口!$H$399=0,"",[2]对账明细接口!$H$399),"")</f>
        <v/>
      </c>
      <c r="I399" s="59" t="str">
        <f aca="false">IFERROR(IF([2]对账明细接口!$I$399=0,"",[2]对账明细接口!$I$399),"")</f>
        <v/>
      </c>
      <c r="J399" s="61" t="str">
        <f aca="false">IFERROR(IF([2]对账明细接口!$J$399=0,"",[2]对账明细接口!$J$399),"")</f>
        <v/>
      </c>
      <c r="K399" s="61" t="str">
        <f aca="false">IFERROR(IF([2]对账明细接口!$K$399=0,"",[2]对账明细接口!$K$399),"")</f>
        <v/>
      </c>
      <c r="L399" s="59" t="str">
        <f aca="false">IFERROR(IF([2]对账明细接口!$L$399=0,"",[2]对账明细接口!$L$399),"")</f>
        <v/>
      </c>
      <c r="M399" s="59" t="str">
        <f aca="false">IFERROR(IF([2]对账明细接口!$M$399=0,"",[2]对账明细接口!$M$399),"")</f>
        <v/>
      </c>
      <c r="N399" s="111" t="n">
        <f aca="false">IF($C399="",0,1)</f>
        <v>0</v>
      </c>
      <c r="O399" s="111" t="n">
        <f aca="false">N(O398)+$N399</f>
        <v>311</v>
      </c>
      <c r="S399" s="10" t="str">
        <f aca="false">IFERROR(IF([2]对账明细接口!$N399=0,"",[2]对账明细接口!$N399),"")</f>
        <v/>
      </c>
      <c r="T399" s="112" t="str">
        <f aca="false">IFERROR(IF([2]对账明细接口!$O399=0,"",[2]对账明细接口!$O399),"")</f>
        <v/>
      </c>
      <c r="U399" s="112" t="str">
        <f aca="false">IFERROR(IF([2]对账明细接口!$P399=0,"",[2]对账明细接口!$P399),"")</f>
        <v/>
      </c>
      <c r="V399" s="112" t="str">
        <f aca="false">IFERROR(IF([2]对账明细接口!$Q399=0,"",[2]对账明细接口!$Q399),"")</f>
        <v/>
      </c>
      <c r="W399" s="10" t="str">
        <f aca="false">IFERROR(IF([2]对账明细接口!$R399=0,"",[2]对账明细接口!$R399),"")</f>
        <v/>
      </c>
      <c r="X399" s="10" t="str">
        <f aca="false">IFERROR(IF([2]对账明细接口!$S399=0,"",[2]对账明细接口!$S399),"")</f>
        <v/>
      </c>
      <c r="Y399" s="10" t="str">
        <f aca="false">IFERROR(IF([2]对账明细接口!$T399=0,"",[2]对账明细接口!$T399),"")</f>
        <v/>
      </c>
      <c r="Z399" s="113" t="str">
        <f aca="false">IFERROR(IF([2]对账明细接口!$U399=0,"",[2]对账明细接口!$U399),"")</f>
        <v/>
      </c>
      <c r="AA399" s="113" t="str">
        <f aca="false">IFERROR(IF([2]对账明细接口!$V399=0,"",[2]对账明细接口!$V399),"")</f>
        <v/>
      </c>
      <c r="AB399" s="10" t="str">
        <f aca="false">IFERROR(IF([2]对账明细接口!$W399=0,"",[2]对账明细接口!$W399),"")</f>
        <v/>
      </c>
      <c r="AC399" s="90" t="str">
        <f aca="false">IFERROR(IF([2]对账明细接口!$X400=0,"",[2]对账明细接口!$X400),"")</f>
        <v/>
      </c>
      <c r="AD399" s="90" t="str">
        <f aca="false">IFERROR(IF([2]对账明细接口!$Y400=0,"",[2]对账明细接口!$Y400),"")</f>
        <v/>
      </c>
      <c r="AE399" s="90" t="str">
        <f aca="false">IFERROR(IF([2]对账明细接口!$AA400=0,"",[2]对账明细接口!$AA400),"")</f>
        <v/>
      </c>
      <c r="AF399" s="90" t="str">
        <f aca="false">IFERROR(IF([2]对账明细接口!$AB400=0,"",[2]对账明细接口!$AB400),"")</f>
        <v/>
      </c>
      <c r="AG399" s="90" t="str">
        <f aca="false">IFERROR(IF([2]对账明细接口!$AC400=0,"",[2]对账明细接口!$AC400),"")</f>
        <v/>
      </c>
      <c r="AH399" s="90" t="str">
        <f aca="false">IFERROR(IF([2]对账明细接口!$AD400=0,"",[2]对账明细接口!$AD400),"")</f>
        <v/>
      </c>
    </row>
    <row r="400" customFormat="false" ht="13.5" hidden="false" customHeight="false" outlineLevel="0" collapsed="false">
      <c r="A400" s="109" t="n">
        <v>400</v>
      </c>
      <c r="B400" s="110" t="str">
        <f aca="false">IFERROR(IF([2]对账明细接口!$B$400=0,"",[2]对账明细接口!$B$400),"")</f>
        <v/>
      </c>
      <c r="C400" s="59" t="str">
        <f aca="false">IFERROR(IF([2]对账明细接口!$C$400=0,"",[2]对账明细接口!$C$400),"")</f>
        <v/>
      </c>
      <c r="D400" s="59" t="str">
        <f aca="false">IFERROR(IF([2]对账明细接口!$D$400=0,"",[2]对账明细接口!$D$400),"")</f>
        <v/>
      </c>
      <c r="E400" s="59" t="str">
        <f aca="false">IFERROR(IF([2]对账明细接口!$E$400=0,"",[2]对账明细接口!$E$400),"")</f>
        <v/>
      </c>
      <c r="F400" s="59" t="str">
        <f aca="false">IFERROR(IF([2]对账明细接口!$F$400=0,"",[2]对账明细接口!$F$400),"")</f>
        <v/>
      </c>
      <c r="G400" s="59" t="str">
        <f aca="false">IFERROR(IF([2]对账明细接口!$G$400=0,"",[2]对账明细接口!$G$400),"")</f>
        <v/>
      </c>
      <c r="H400" s="60" t="str">
        <f aca="false">IFERROR(IF([2]对账明细接口!$H$400=0,"",[2]对账明细接口!$H$400),"")</f>
        <v/>
      </c>
      <c r="I400" s="59" t="str">
        <f aca="false">IFERROR(IF([2]对账明细接口!$I$400=0,"",[2]对账明细接口!$I$400),"")</f>
        <v/>
      </c>
      <c r="J400" s="61" t="str">
        <f aca="false">IFERROR(IF([2]对账明细接口!$J$400=0,"",[2]对账明细接口!$J$400),"")</f>
        <v/>
      </c>
      <c r="K400" s="61" t="str">
        <f aca="false">IFERROR(IF([2]对账明细接口!$K$400=0,"",[2]对账明细接口!$K$400),"")</f>
        <v/>
      </c>
      <c r="L400" s="59" t="str">
        <f aca="false">IFERROR(IF([2]对账明细接口!$L$400=0,"",[2]对账明细接口!$L$400),"")</f>
        <v/>
      </c>
      <c r="M400" s="59" t="str">
        <f aca="false">IFERROR(IF([2]对账明细接口!$M$400=0,"",[2]对账明细接口!$M$400),"")</f>
        <v/>
      </c>
      <c r="N400" s="111" t="n">
        <f aca="false">IF($C400="",0,1)</f>
        <v>0</v>
      </c>
      <c r="O400" s="111" t="n">
        <f aca="false">N(O399)+$N400</f>
        <v>311</v>
      </c>
      <c r="S400" s="10" t="str">
        <f aca="false">IFERROR(IF([2]对账明细接口!$N400=0,"",[2]对账明细接口!$N400),"")</f>
        <v/>
      </c>
      <c r="T400" s="112" t="str">
        <f aca="false">IFERROR(IF([2]对账明细接口!$O400=0,"",[2]对账明细接口!$O400),"")</f>
        <v/>
      </c>
      <c r="U400" s="112" t="str">
        <f aca="false">IFERROR(IF([2]对账明细接口!$P400=0,"",[2]对账明细接口!$P400),"")</f>
        <v/>
      </c>
      <c r="V400" s="112" t="str">
        <f aca="false">IFERROR(IF([2]对账明细接口!$Q400=0,"",[2]对账明细接口!$Q400),"")</f>
        <v/>
      </c>
      <c r="W400" s="10" t="str">
        <f aca="false">IFERROR(IF([2]对账明细接口!$R400=0,"",[2]对账明细接口!$R400),"")</f>
        <v/>
      </c>
      <c r="X400" s="10" t="str">
        <f aca="false">IFERROR(IF([2]对账明细接口!$S400=0,"",[2]对账明细接口!$S400),"")</f>
        <v/>
      </c>
      <c r="Y400" s="10" t="str">
        <f aca="false">IFERROR(IF([2]对账明细接口!$T400=0,"",[2]对账明细接口!$T400),"")</f>
        <v/>
      </c>
      <c r="Z400" s="113" t="str">
        <f aca="false">IFERROR(IF([2]对账明细接口!$U400=0,"",[2]对账明细接口!$U400),"")</f>
        <v/>
      </c>
      <c r="AA400" s="113" t="str">
        <f aca="false">IFERROR(IF([2]对账明细接口!$V400=0,"",[2]对账明细接口!$V400),"")</f>
        <v/>
      </c>
      <c r="AB400" s="10" t="str">
        <f aca="false">IFERROR(IF([2]对账明细接口!$W400=0,"",[2]对账明细接口!$W400),"")</f>
        <v/>
      </c>
      <c r="AC400" s="90" t="str">
        <f aca="false">IFERROR(IF([2]对账明细接口!$X401=0,"",[2]对账明细接口!$X401),"")</f>
        <v/>
      </c>
      <c r="AD400" s="90" t="str">
        <f aca="false">IFERROR(IF([2]对账明细接口!$Y401=0,"",[2]对账明细接口!$Y401),"")</f>
        <v/>
      </c>
      <c r="AE400" s="90" t="str">
        <f aca="false">IFERROR(IF([2]对账明细接口!$AA401=0,"",[2]对账明细接口!$AA401),"")</f>
        <v/>
      </c>
      <c r="AF400" s="90" t="str">
        <f aca="false">IFERROR(IF([2]对账明细接口!$AB401=0,"",[2]对账明细接口!$AB401),"")</f>
        <v/>
      </c>
      <c r="AG400" s="90" t="str">
        <f aca="false">IFERROR(IF([2]对账明细接口!$AC401=0,"",[2]对账明细接口!$AC401),"")</f>
        <v/>
      </c>
      <c r="AH400" s="90" t="str">
        <f aca="false">IFERROR(IF([2]对账明细接口!$AD401=0,"",[2]对账明细接口!$AD401),"")</f>
        <v/>
      </c>
    </row>
    <row r="401" customFormat="false" ht="13.5" hidden="false" customHeight="false" outlineLevel="0" collapsed="false">
      <c r="A401" s="109" t="n">
        <v>401</v>
      </c>
      <c r="B401" s="110" t="str">
        <f aca="false">IFERROR(IF([2]对账明细接口!$B$401=0,"",[2]对账明细接口!$B$401),"")</f>
        <v/>
      </c>
      <c r="C401" s="59" t="str">
        <f aca="false">IFERROR(IF([2]对账明细接口!$C$401=0,"",[2]对账明细接口!$C$401),"")</f>
        <v/>
      </c>
      <c r="D401" s="59" t="str">
        <f aca="false">IFERROR(IF([2]对账明细接口!$D$401=0,"",[2]对账明细接口!$D$401),"")</f>
        <v/>
      </c>
      <c r="E401" s="59" t="str">
        <f aca="false">IFERROR(IF([2]对账明细接口!$E$401=0,"",[2]对账明细接口!$E$401),"")</f>
        <v/>
      </c>
      <c r="F401" s="59" t="str">
        <f aca="false">IFERROR(IF([2]对账明细接口!$F$401=0,"",[2]对账明细接口!$F$401),"")</f>
        <v/>
      </c>
      <c r="G401" s="59" t="str">
        <f aca="false">IFERROR(IF([2]对账明细接口!$G$401=0,"",[2]对账明细接口!$G$401),"")</f>
        <v/>
      </c>
      <c r="H401" s="60" t="str">
        <f aca="false">IFERROR(IF([2]对账明细接口!$H$401=0,"",[2]对账明细接口!$H$401),"")</f>
        <v/>
      </c>
      <c r="I401" s="59" t="str">
        <f aca="false">IFERROR(IF([2]对账明细接口!$I$401=0,"",[2]对账明细接口!$I$401),"")</f>
        <v/>
      </c>
      <c r="J401" s="61" t="str">
        <f aca="false">IFERROR(IF([2]对账明细接口!$J$401=0,"",[2]对账明细接口!$J$401),"")</f>
        <v/>
      </c>
      <c r="K401" s="61" t="str">
        <f aca="false">IFERROR(IF([2]对账明细接口!$K$401=0,"",[2]对账明细接口!$K$401),"")</f>
        <v/>
      </c>
      <c r="L401" s="59" t="str">
        <f aca="false">IFERROR(IF([2]对账明细接口!$L$401=0,"",[2]对账明细接口!$L$401),"")</f>
        <v/>
      </c>
      <c r="M401" s="59" t="str">
        <f aca="false">IFERROR(IF([2]对账明细接口!$M$401=0,"",[2]对账明细接口!$M$401),"")</f>
        <v/>
      </c>
      <c r="N401" s="111" t="n">
        <f aca="false">IF($C401="",0,1)</f>
        <v>0</v>
      </c>
      <c r="O401" s="111" t="n">
        <f aca="false">N(O400)+$N401</f>
        <v>311</v>
      </c>
      <c r="S401" s="10" t="str">
        <f aca="false">IFERROR(IF([2]对账明细接口!$N401=0,"",[2]对账明细接口!$N401),"")</f>
        <v/>
      </c>
      <c r="T401" s="112" t="str">
        <f aca="false">IFERROR(IF([2]对账明细接口!$O401=0,"",[2]对账明细接口!$O401),"")</f>
        <v/>
      </c>
      <c r="U401" s="112" t="str">
        <f aca="false">IFERROR(IF([2]对账明细接口!$P401=0,"",[2]对账明细接口!$P401),"")</f>
        <v/>
      </c>
      <c r="V401" s="112" t="str">
        <f aca="false">IFERROR(IF([2]对账明细接口!$Q401=0,"",[2]对账明细接口!$Q401),"")</f>
        <v/>
      </c>
      <c r="W401" s="10" t="str">
        <f aca="false">IFERROR(IF([2]对账明细接口!$R401=0,"",[2]对账明细接口!$R401),"")</f>
        <v/>
      </c>
      <c r="X401" s="10" t="str">
        <f aca="false">IFERROR(IF([2]对账明细接口!$S401=0,"",[2]对账明细接口!$S401),"")</f>
        <v/>
      </c>
      <c r="Y401" s="10" t="str">
        <f aca="false">IFERROR(IF([2]对账明细接口!$T401=0,"",[2]对账明细接口!$T401),"")</f>
        <v/>
      </c>
      <c r="Z401" s="113" t="str">
        <f aca="false">IFERROR(IF([2]对账明细接口!$U401=0,"",[2]对账明细接口!$U401),"")</f>
        <v/>
      </c>
      <c r="AA401" s="113" t="str">
        <f aca="false">IFERROR(IF([2]对账明细接口!$V401=0,"",[2]对账明细接口!$V401),"")</f>
        <v/>
      </c>
      <c r="AB401" s="10" t="str">
        <f aca="false">IFERROR(IF([2]对账明细接口!$W401=0,"",[2]对账明细接口!$W401),"")</f>
        <v/>
      </c>
      <c r="AC401" s="90" t="str">
        <f aca="false">IFERROR(IF([2]对账明细接口!$X402=0,"",[2]对账明细接口!$X402),"")</f>
        <v/>
      </c>
      <c r="AD401" s="90" t="str">
        <f aca="false">IFERROR(IF([2]对账明细接口!$Y402=0,"",[2]对账明细接口!$Y402),"")</f>
        <v/>
      </c>
      <c r="AE401" s="90" t="str">
        <f aca="false">IFERROR(IF([2]对账明细接口!$AA402=0,"",[2]对账明细接口!$AA402),"")</f>
        <v/>
      </c>
      <c r="AF401" s="90" t="str">
        <f aca="false">IFERROR(IF([2]对账明细接口!$AB402=0,"",[2]对账明细接口!$AB402),"")</f>
        <v/>
      </c>
      <c r="AG401" s="90" t="str">
        <f aca="false">IFERROR(IF([2]对账明细接口!$AC402=0,"",[2]对账明细接口!$AC402),"")</f>
        <v/>
      </c>
      <c r="AH401" s="90" t="str">
        <f aca="false">IFERROR(IF([2]对账明细接口!$AD402=0,"",[2]对账明细接口!$AD402),"")</f>
        <v/>
      </c>
    </row>
    <row r="402" customFormat="false" ht="13.5" hidden="false" customHeight="false" outlineLevel="0" collapsed="false">
      <c r="A402" s="109" t="n">
        <v>402</v>
      </c>
      <c r="B402" s="110" t="str">
        <f aca="false">IFERROR(IF([2]对账明细接口!$B$402=0,"",[2]对账明细接口!$B$402),"")</f>
        <v/>
      </c>
      <c r="C402" s="59" t="str">
        <f aca="false">IFERROR(IF([2]对账明细接口!$C$402=0,"",[2]对账明细接口!$C$402),"")</f>
        <v/>
      </c>
      <c r="D402" s="59" t="str">
        <f aca="false">IFERROR(IF([2]对账明细接口!$D$402=0,"",[2]对账明细接口!$D$402),"")</f>
        <v/>
      </c>
      <c r="E402" s="59" t="str">
        <f aca="false">IFERROR(IF([2]对账明细接口!$E$402=0,"",[2]对账明细接口!$E$402),"")</f>
        <v/>
      </c>
      <c r="F402" s="59" t="str">
        <f aca="false">IFERROR(IF([2]对账明细接口!$F$402=0,"",[2]对账明细接口!$F$402),"")</f>
        <v/>
      </c>
      <c r="G402" s="59" t="str">
        <f aca="false">IFERROR(IF([2]对账明细接口!$G$402=0,"",[2]对账明细接口!$G$402),"")</f>
        <v/>
      </c>
      <c r="H402" s="60" t="str">
        <f aca="false">IFERROR(IF([2]对账明细接口!$H$402=0,"",[2]对账明细接口!$H$402),"")</f>
        <v/>
      </c>
      <c r="I402" s="59" t="str">
        <f aca="false">IFERROR(IF([2]对账明细接口!$I$402=0,"",[2]对账明细接口!$I$402),"")</f>
        <v/>
      </c>
      <c r="J402" s="61" t="str">
        <f aca="false">IFERROR(IF([2]对账明细接口!$J$402=0,"",[2]对账明细接口!$J$402),"")</f>
        <v/>
      </c>
      <c r="K402" s="61" t="str">
        <f aca="false">IFERROR(IF([2]对账明细接口!$K$402=0,"",[2]对账明细接口!$K$402),"")</f>
        <v/>
      </c>
      <c r="L402" s="59" t="str">
        <f aca="false">IFERROR(IF([2]对账明细接口!$L$402=0,"",[2]对账明细接口!$L$402),"")</f>
        <v/>
      </c>
      <c r="M402" s="59" t="str">
        <f aca="false">IFERROR(IF([2]对账明细接口!$M$402=0,"",[2]对账明细接口!$M$402),"")</f>
        <v/>
      </c>
      <c r="N402" s="111" t="n">
        <f aca="false">IF($C402="",0,1)</f>
        <v>0</v>
      </c>
      <c r="O402" s="111" t="n">
        <f aca="false">N(O401)+$N402</f>
        <v>311</v>
      </c>
      <c r="S402" s="10" t="str">
        <f aca="false">IFERROR(IF([2]对账明细接口!$N402=0,"",[2]对账明细接口!$N402),"")</f>
        <v/>
      </c>
      <c r="T402" s="112" t="str">
        <f aca="false">IFERROR(IF([2]对账明细接口!$O402=0,"",[2]对账明细接口!$O402),"")</f>
        <v/>
      </c>
      <c r="U402" s="112" t="str">
        <f aca="false">IFERROR(IF([2]对账明细接口!$P402=0,"",[2]对账明细接口!$P402),"")</f>
        <v/>
      </c>
      <c r="V402" s="112" t="str">
        <f aca="false">IFERROR(IF([2]对账明细接口!$Q402=0,"",[2]对账明细接口!$Q402),"")</f>
        <v/>
      </c>
      <c r="W402" s="10" t="str">
        <f aca="false">IFERROR(IF([2]对账明细接口!$R402=0,"",[2]对账明细接口!$R402),"")</f>
        <v/>
      </c>
      <c r="X402" s="10" t="str">
        <f aca="false">IFERROR(IF([2]对账明细接口!$S402=0,"",[2]对账明细接口!$S402),"")</f>
        <v/>
      </c>
      <c r="Y402" s="10" t="str">
        <f aca="false">IFERROR(IF([2]对账明细接口!$T402=0,"",[2]对账明细接口!$T402),"")</f>
        <v/>
      </c>
      <c r="Z402" s="113" t="str">
        <f aca="false">IFERROR(IF([2]对账明细接口!$U402=0,"",[2]对账明细接口!$U402),"")</f>
        <v/>
      </c>
      <c r="AA402" s="113" t="str">
        <f aca="false">IFERROR(IF([2]对账明细接口!$V402=0,"",[2]对账明细接口!$V402),"")</f>
        <v/>
      </c>
      <c r="AB402" s="10" t="str">
        <f aca="false">IFERROR(IF([2]对账明细接口!$W402=0,"",[2]对账明细接口!$W402),"")</f>
        <v/>
      </c>
      <c r="AC402" s="90" t="str">
        <f aca="false">IFERROR(IF([2]对账明细接口!$X403=0,"",[2]对账明细接口!$X403),"")</f>
        <v/>
      </c>
      <c r="AD402" s="90" t="str">
        <f aca="false">IFERROR(IF([2]对账明细接口!$Y403=0,"",[2]对账明细接口!$Y403),"")</f>
        <v/>
      </c>
      <c r="AE402" s="90" t="str">
        <f aca="false">IFERROR(IF([2]对账明细接口!$AA403=0,"",[2]对账明细接口!$AA403),"")</f>
        <v/>
      </c>
      <c r="AF402" s="90" t="str">
        <f aca="false">IFERROR(IF([2]对账明细接口!$AB403=0,"",[2]对账明细接口!$AB403),"")</f>
        <v/>
      </c>
      <c r="AG402" s="90" t="str">
        <f aca="false">IFERROR(IF([2]对账明细接口!$AC403=0,"",[2]对账明细接口!$AC403),"")</f>
        <v/>
      </c>
      <c r="AH402" s="90" t="str">
        <f aca="false">IFERROR(IF([2]对账明细接口!$AD403=0,"",[2]对账明细接口!$AD403),"")</f>
        <v/>
      </c>
    </row>
    <row r="403" customFormat="false" ht="13.5" hidden="false" customHeight="false" outlineLevel="0" collapsed="false">
      <c r="A403" s="109" t="n">
        <v>403</v>
      </c>
      <c r="B403" s="110" t="str">
        <f aca="false">IFERROR(IF([2]对账明细接口!$B$403=0,"",[2]对账明细接口!$B$403),"")</f>
        <v/>
      </c>
      <c r="C403" s="59" t="str">
        <f aca="false">IFERROR(IF([2]对账明细接口!$C$403=0,"",[2]对账明细接口!$C$403),"")</f>
        <v/>
      </c>
      <c r="D403" s="59" t="str">
        <f aca="false">IFERROR(IF([2]对账明细接口!$D$403=0,"",[2]对账明细接口!$D$403),"")</f>
        <v/>
      </c>
      <c r="E403" s="59" t="str">
        <f aca="false">IFERROR(IF([2]对账明细接口!$E$403=0,"",[2]对账明细接口!$E$403),"")</f>
        <v/>
      </c>
      <c r="F403" s="59" t="str">
        <f aca="false">IFERROR(IF([2]对账明细接口!$F$403=0,"",[2]对账明细接口!$F$403),"")</f>
        <v/>
      </c>
      <c r="G403" s="59" t="str">
        <f aca="false">IFERROR(IF([2]对账明细接口!$G$403=0,"",[2]对账明细接口!$G$403),"")</f>
        <v/>
      </c>
      <c r="H403" s="60" t="str">
        <f aca="false">IFERROR(IF([2]对账明细接口!$H$403=0,"",[2]对账明细接口!$H$403),"")</f>
        <v/>
      </c>
      <c r="I403" s="59" t="str">
        <f aca="false">IFERROR(IF([2]对账明细接口!$I$403=0,"",[2]对账明细接口!$I$403),"")</f>
        <v/>
      </c>
      <c r="J403" s="61" t="str">
        <f aca="false">IFERROR(IF([2]对账明细接口!$J$403=0,"",[2]对账明细接口!$J$403),"")</f>
        <v/>
      </c>
      <c r="K403" s="61" t="str">
        <f aca="false">IFERROR(IF([2]对账明细接口!$K$403=0,"",[2]对账明细接口!$K$403),"")</f>
        <v/>
      </c>
      <c r="L403" s="59" t="str">
        <f aca="false">IFERROR(IF([2]对账明细接口!$L$403=0,"",[2]对账明细接口!$L$403),"")</f>
        <v/>
      </c>
      <c r="M403" s="59" t="str">
        <f aca="false">IFERROR(IF([2]对账明细接口!$M$403=0,"",[2]对账明细接口!$M$403),"")</f>
        <v/>
      </c>
      <c r="N403" s="111" t="n">
        <f aca="false">IF($C403="",0,1)</f>
        <v>0</v>
      </c>
      <c r="O403" s="111" t="n">
        <f aca="false">N(O402)+$N403</f>
        <v>311</v>
      </c>
      <c r="S403" s="10" t="str">
        <f aca="false">IFERROR(IF([2]对账明细接口!$N403=0,"",[2]对账明细接口!$N403),"")</f>
        <v/>
      </c>
      <c r="T403" s="112" t="str">
        <f aca="false">IFERROR(IF([2]对账明细接口!$O403=0,"",[2]对账明细接口!$O403),"")</f>
        <v/>
      </c>
      <c r="U403" s="112" t="str">
        <f aca="false">IFERROR(IF([2]对账明细接口!$P403=0,"",[2]对账明细接口!$P403),"")</f>
        <v/>
      </c>
      <c r="V403" s="112" t="str">
        <f aca="false">IFERROR(IF([2]对账明细接口!$Q403=0,"",[2]对账明细接口!$Q403),"")</f>
        <v/>
      </c>
      <c r="W403" s="10" t="str">
        <f aca="false">IFERROR(IF([2]对账明细接口!$R403=0,"",[2]对账明细接口!$R403),"")</f>
        <v/>
      </c>
      <c r="X403" s="10" t="str">
        <f aca="false">IFERROR(IF([2]对账明细接口!$S403=0,"",[2]对账明细接口!$S403),"")</f>
        <v/>
      </c>
      <c r="Y403" s="10" t="str">
        <f aca="false">IFERROR(IF([2]对账明细接口!$T403=0,"",[2]对账明细接口!$T403),"")</f>
        <v/>
      </c>
      <c r="Z403" s="113" t="str">
        <f aca="false">IFERROR(IF([2]对账明细接口!$U403=0,"",[2]对账明细接口!$U403),"")</f>
        <v/>
      </c>
      <c r="AA403" s="113" t="str">
        <f aca="false">IFERROR(IF([2]对账明细接口!$V403=0,"",[2]对账明细接口!$V403),"")</f>
        <v/>
      </c>
      <c r="AB403" s="10" t="str">
        <f aca="false">IFERROR(IF([2]对账明细接口!$W403=0,"",[2]对账明细接口!$W403),"")</f>
        <v/>
      </c>
      <c r="AC403" s="90" t="str">
        <f aca="false">IFERROR(IF([2]对账明细接口!$X404=0,"",[2]对账明细接口!$X404),"")</f>
        <v/>
      </c>
      <c r="AD403" s="90" t="str">
        <f aca="false">IFERROR(IF([2]对账明细接口!$Y404=0,"",[2]对账明细接口!$Y404),"")</f>
        <v/>
      </c>
      <c r="AE403" s="90" t="str">
        <f aca="false">IFERROR(IF([2]对账明细接口!$AA404=0,"",[2]对账明细接口!$AA404),"")</f>
        <v/>
      </c>
      <c r="AF403" s="90" t="str">
        <f aca="false">IFERROR(IF([2]对账明细接口!$AB404=0,"",[2]对账明细接口!$AB404),"")</f>
        <v/>
      </c>
      <c r="AG403" s="90" t="str">
        <f aca="false">IFERROR(IF([2]对账明细接口!$AC404=0,"",[2]对账明细接口!$AC404),"")</f>
        <v/>
      </c>
      <c r="AH403" s="90" t="str">
        <f aca="false">IFERROR(IF([2]对账明细接口!$AD404=0,"",[2]对账明细接口!$AD404),"")</f>
        <v/>
      </c>
    </row>
    <row r="404" customFormat="false" ht="13.5" hidden="false" customHeight="false" outlineLevel="0" collapsed="false">
      <c r="A404" s="109" t="n">
        <v>404</v>
      </c>
      <c r="B404" s="110" t="str">
        <f aca="false">IFERROR(IF([2]对账明细接口!$B$404=0,"",[2]对账明细接口!$B$404),"")</f>
        <v/>
      </c>
      <c r="C404" s="59" t="str">
        <f aca="false">IFERROR(IF([2]对账明细接口!$C$404=0,"",[2]对账明细接口!$C$404),"")</f>
        <v/>
      </c>
      <c r="D404" s="59" t="str">
        <f aca="false">IFERROR(IF([2]对账明细接口!$D$404=0,"",[2]对账明细接口!$D$404),"")</f>
        <v/>
      </c>
      <c r="E404" s="59" t="str">
        <f aca="false">IFERROR(IF([2]对账明细接口!$E$404=0,"",[2]对账明细接口!$E$404),"")</f>
        <v/>
      </c>
      <c r="F404" s="59" t="str">
        <f aca="false">IFERROR(IF([2]对账明细接口!$F$404=0,"",[2]对账明细接口!$F$404),"")</f>
        <v/>
      </c>
      <c r="G404" s="59" t="str">
        <f aca="false">IFERROR(IF([2]对账明细接口!$G$404=0,"",[2]对账明细接口!$G$404),"")</f>
        <v/>
      </c>
      <c r="H404" s="60" t="str">
        <f aca="false">IFERROR(IF([2]对账明细接口!$H$404=0,"",[2]对账明细接口!$H$404),"")</f>
        <v/>
      </c>
      <c r="I404" s="59" t="str">
        <f aca="false">IFERROR(IF([2]对账明细接口!$I$404=0,"",[2]对账明细接口!$I$404),"")</f>
        <v/>
      </c>
      <c r="J404" s="61" t="str">
        <f aca="false">IFERROR(IF([2]对账明细接口!$J$404=0,"",[2]对账明细接口!$J$404),"")</f>
        <v/>
      </c>
      <c r="K404" s="61" t="str">
        <f aca="false">IFERROR(IF([2]对账明细接口!$K$404=0,"",[2]对账明细接口!$K$404),"")</f>
        <v/>
      </c>
      <c r="L404" s="59" t="str">
        <f aca="false">IFERROR(IF([2]对账明细接口!$L$404=0,"",[2]对账明细接口!$L$404),"")</f>
        <v/>
      </c>
      <c r="M404" s="59" t="str">
        <f aca="false">IFERROR(IF([2]对账明细接口!$M$404=0,"",[2]对账明细接口!$M$404),"")</f>
        <v/>
      </c>
      <c r="N404" s="111" t="n">
        <f aca="false">IF($C404="",0,1)</f>
        <v>0</v>
      </c>
      <c r="O404" s="111" t="n">
        <f aca="false">N(O403)+$N404</f>
        <v>311</v>
      </c>
      <c r="S404" s="10" t="str">
        <f aca="false">IFERROR(IF([2]对账明细接口!$N404=0,"",[2]对账明细接口!$N404),"")</f>
        <v/>
      </c>
      <c r="T404" s="112" t="str">
        <f aca="false">IFERROR(IF([2]对账明细接口!$O404=0,"",[2]对账明细接口!$O404),"")</f>
        <v/>
      </c>
      <c r="U404" s="112" t="str">
        <f aca="false">IFERROR(IF([2]对账明细接口!$P404=0,"",[2]对账明细接口!$P404),"")</f>
        <v/>
      </c>
      <c r="V404" s="112" t="str">
        <f aca="false">IFERROR(IF([2]对账明细接口!$Q404=0,"",[2]对账明细接口!$Q404),"")</f>
        <v/>
      </c>
      <c r="W404" s="10" t="str">
        <f aca="false">IFERROR(IF([2]对账明细接口!$R404=0,"",[2]对账明细接口!$R404),"")</f>
        <v/>
      </c>
      <c r="X404" s="10" t="str">
        <f aca="false">IFERROR(IF([2]对账明细接口!$S404=0,"",[2]对账明细接口!$S404),"")</f>
        <v/>
      </c>
      <c r="Y404" s="10" t="str">
        <f aca="false">IFERROR(IF([2]对账明细接口!$T404=0,"",[2]对账明细接口!$T404),"")</f>
        <v/>
      </c>
      <c r="Z404" s="113" t="str">
        <f aca="false">IFERROR(IF([2]对账明细接口!$U404=0,"",[2]对账明细接口!$U404),"")</f>
        <v/>
      </c>
      <c r="AA404" s="113" t="str">
        <f aca="false">IFERROR(IF([2]对账明细接口!$V404=0,"",[2]对账明细接口!$V404),"")</f>
        <v/>
      </c>
      <c r="AB404" s="10" t="str">
        <f aca="false">IFERROR(IF([2]对账明细接口!$W404=0,"",[2]对账明细接口!$W404),"")</f>
        <v/>
      </c>
      <c r="AC404" s="90" t="str">
        <f aca="false">IFERROR(IF([2]对账明细接口!$X405=0,"",[2]对账明细接口!$X405),"")</f>
        <v/>
      </c>
      <c r="AD404" s="90" t="str">
        <f aca="false">IFERROR(IF([2]对账明细接口!$Y405=0,"",[2]对账明细接口!$Y405),"")</f>
        <v/>
      </c>
      <c r="AE404" s="90" t="str">
        <f aca="false">IFERROR(IF([2]对账明细接口!$AA405=0,"",[2]对账明细接口!$AA405),"")</f>
        <v/>
      </c>
      <c r="AF404" s="90" t="str">
        <f aca="false">IFERROR(IF([2]对账明细接口!$AB405=0,"",[2]对账明细接口!$AB405),"")</f>
        <v/>
      </c>
      <c r="AG404" s="90" t="str">
        <f aca="false">IFERROR(IF([2]对账明细接口!$AC405=0,"",[2]对账明细接口!$AC405),"")</f>
        <v/>
      </c>
      <c r="AH404" s="90" t="str">
        <f aca="false">IFERROR(IF([2]对账明细接口!$AD405=0,"",[2]对账明细接口!$AD405),"")</f>
        <v/>
      </c>
    </row>
    <row r="405" customFormat="false" ht="13.5" hidden="false" customHeight="false" outlineLevel="0" collapsed="false">
      <c r="A405" s="109" t="n">
        <v>405</v>
      </c>
      <c r="B405" s="110" t="str">
        <f aca="false">IFERROR(IF([2]对账明细接口!$B$405=0,"",[2]对账明细接口!$B$405),"")</f>
        <v/>
      </c>
      <c r="C405" s="59" t="str">
        <f aca="false">IFERROR(IF([2]对账明细接口!$C$405=0,"",[2]对账明细接口!$C$405),"")</f>
        <v/>
      </c>
      <c r="D405" s="59" t="str">
        <f aca="false">IFERROR(IF([2]对账明细接口!$D$405=0,"",[2]对账明细接口!$D$405),"")</f>
        <v/>
      </c>
      <c r="E405" s="59" t="str">
        <f aca="false">IFERROR(IF([2]对账明细接口!$E$405=0,"",[2]对账明细接口!$E$405),"")</f>
        <v/>
      </c>
      <c r="F405" s="59" t="str">
        <f aca="false">IFERROR(IF([2]对账明细接口!$F$405=0,"",[2]对账明细接口!$F$405),"")</f>
        <v/>
      </c>
      <c r="G405" s="59" t="str">
        <f aca="false">IFERROR(IF([2]对账明细接口!$G$405=0,"",[2]对账明细接口!$G$405),"")</f>
        <v/>
      </c>
      <c r="H405" s="60" t="str">
        <f aca="false">IFERROR(IF([2]对账明细接口!$H$405=0,"",[2]对账明细接口!$H$405),"")</f>
        <v/>
      </c>
      <c r="I405" s="59" t="str">
        <f aca="false">IFERROR(IF([2]对账明细接口!$I$405=0,"",[2]对账明细接口!$I$405),"")</f>
        <v/>
      </c>
      <c r="J405" s="61" t="str">
        <f aca="false">IFERROR(IF([2]对账明细接口!$J$405=0,"",[2]对账明细接口!$J$405),"")</f>
        <v/>
      </c>
      <c r="K405" s="61" t="str">
        <f aca="false">IFERROR(IF([2]对账明细接口!$K$405=0,"",[2]对账明细接口!$K$405),"")</f>
        <v/>
      </c>
      <c r="L405" s="59" t="str">
        <f aca="false">IFERROR(IF([2]对账明细接口!$L$405=0,"",[2]对账明细接口!$L$405),"")</f>
        <v/>
      </c>
      <c r="M405" s="59" t="str">
        <f aca="false">IFERROR(IF([2]对账明细接口!$M$405=0,"",[2]对账明细接口!$M$405),"")</f>
        <v/>
      </c>
      <c r="N405" s="111" t="n">
        <f aca="false">IF($C405="",0,1)</f>
        <v>0</v>
      </c>
      <c r="O405" s="111" t="n">
        <f aca="false">N(O404)+$N405</f>
        <v>311</v>
      </c>
      <c r="S405" s="10" t="str">
        <f aca="false">IFERROR(IF([2]对账明细接口!$N405=0,"",[2]对账明细接口!$N405),"")</f>
        <v/>
      </c>
      <c r="T405" s="112" t="str">
        <f aca="false">IFERROR(IF([2]对账明细接口!$O405=0,"",[2]对账明细接口!$O405),"")</f>
        <v/>
      </c>
      <c r="U405" s="112" t="str">
        <f aca="false">IFERROR(IF([2]对账明细接口!$P405=0,"",[2]对账明细接口!$P405),"")</f>
        <v/>
      </c>
      <c r="V405" s="112" t="str">
        <f aca="false">IFERROR(IF([2]对账明细接口!$Q405=0,"",[2]对账明细接口!$Q405),"")</f>
        <v/>
      </c>
      <c r="W405" s="10" t="str">
        <f aca="false">IFERROR(IF([2]对账明细接口!$R405=0,"",[2]对账明细接口!$R405),"")</f>
        <v/>
      </c>
      <c r="X405" s="10" t="str">
        <f aca="false">IFERROR(IF([2]对账明细接口!$S405=0,"",[2]对账明细接口!$S405),"")</f>
        <v/>
      </c>
      <c r="Y405" s="10" t="str">
        <f aca="false">IFERROR(IF([2]对账明细接口!$T405=0,"",[2]对账明细接口!$T405),"")</f>
        <v/>
      </c>
      <c r="Z405" s="113" t="str">
        <f aca="false">IFERROR(IF([2]对账明细接口!$U405=0,"",[2]对账明细接口!$U405),"")</f>
        <v/>
      </c>
      <c r="AA405" s="113" t="str">
        <f aca="false">IFERROR(IF([2]对账明细接口!$V405=0,"",[2]对账明细接口!$V405),"")</f>
        <v/>
      </c>
      <c r="AB405" s="10" t="str">
        <f aca="false">IFERROR(IF([2]对账明细接口!$W405=0,"",[2]对账明细接口!$W405),"")</f>
        <v/>
      </c>
      <c r="AC405" s="90" t="str">
        <f aca="false">IFERROR(IF([2]对账明细接口!$X406=0,"",[2]对账明细接口!$X406),"")</f>
        <v/>
      </c>
      <c r="AD405" s="90" t="str">
        <f aca="false">IFERROR(IF([2]对账明细接口!$Y406=0,"",[2]对账明细接口!$Y406),"")</f>
        <v/>
      </c>
      <c r="AE405" s="90" t="str">
        <f aca="false">IFERROR(IF([2]对账明细接口!$AA406=0,"",[2]对账明细接口!$AA406),"")</f>
        <v/>
      </c>
      <c r="AF405" s="90" t="str">
        <f aca="false">IFERROR(IF([2]对账明细接口!$AB406=0,"",[2]对账明细接口!$AB406),"")</f>
        <v/>
      </c>
      <c r="AG405" s="90" t="str">
        <f aca="false">IFERROR(IF([2]对账明细接口!$AC406=0,"",[2]对账明细接口!$AC406),"")</f>
        <v/>
      </c>
      <c r="AH405" s="90" t="str">
        <f aca="false">IFERROR(IF([2]对账明细接口!$AD406=0,"",[2]对账明细接口!$AD406),"")</f>
        <v/>
      </c>
    </row>
    <row r="406" customFormat="false" ht="13.5" hidden="false" customHeight="false" outlineLevel="0" collapsed="false">
      <c r="A406" s="109" t="n">
        <v>406</v>
      </c>
      <c r="B406" s="110" t="str">
        <f aca="false">IFERROR(IF([2]对账明细接口!$B$406=0,"",[2]对账明细接口!$B$406),"")</f>
        <v/>
      </c>
      <c r="C406" s="59" t="str">
        <f aca="false">IFERROR(IF([2]对账明细接口!$C$406=0,"",[2]对账明细接口!$C$406),"")</f>
        <v/>
      </c>
      <c r="D406" s="59" t="str">
        <f aca="false">IFERROR(IF([2]对账明细接口!$D$406=0,"",[2]对账明细接口!$D$406),"")</f>
        <v/>
      </c>
      <c r="E406" s="59" t="str">
        <f aca="false">IFERROR(IF([2]对账明细接口!$E$406=0,"",[2]对账明细接口!$E$406),"")</f>
        <v/>
      </c>
      <c r="F406" s="59" t="str">
        <f aca="false">IFERROR(IF([2]对账明细接口!$F$406=0,"",[2]对账明细接口!$F$406),"")</f>
        <v/>
      </c>
      <c r="G406" s="59" t="str">
        <f aca="false">IFERROR(IF([2]对账明细接口!$G$406=0,"",[2]对账明细接口!$G$406),"")</f>
        <v/>
      </c>
      <c r="H406" s="60" t="str">
        <f aca="false">IFERROR(IF([2]对账明细接口!$H$406=0,"",[2]对账明细接口!$H$406),"")</f>
        <v/>
      </c>
      <c r="I406" s="59" t="str">
        <f aca="false">IFERROR(IF([2]对账明细接口!$I$406=0,"",[2]对账明细接口!$I$406),"")</f>
        <v/>
      </c>
      <c r="J406" s="61" t="str">
        <f aca="false">IFERROR(IF([2]对账明细接口!$J$406=0,"",[2]对账明细接口!$J$406),"")</f>
        <v/>
      </c>
      <c r="K406" s="61" t="str">
        <f aca="false">IFERROR(IF([2]对账明细接口!$K$406=0,"",[2]对账明细接口!$K$406),"")</f>
        <v/>
      </c>
      <c r="L406" s="59" t="str">
        <f aca="false">IFERROR(IF([2]对账明细接口!$L$406=0,"",[2]对账明细接口!$L$406),"")</f>
        <v/>
      </c>
      <c r="M406" s="59" t="str">
        <f aca="false">IFERROR(IF([2]对账明细接口!$M$406=0,"",[2]对账明细接口!$M$406),"")</f>
        <v/>
      </c>
      <c r="N406" s="111" t="n">
        <f aca="false">IF($C406="",0,1)</f>
        <v>0</v>
      </c>
      <c r="O406" s="111" t="n">
        <f aca="false">N(O405)+$N406</f>
        <v>311</v>
      </c>
      <c r="S406" s="10" t="str">
        <f aca="false">IFERROR(IF([2]对账明细接口!$N406=0,"",[2]对账明细接口!$N406),"")</f>
        <v/>
      </c>
      <c r="T406" s="112" t="str">
        <f aca="false">IFERROR(IF([2]对账明细接口!$O406=0,"",[2]对账明细接口!$O406),"")</f>
        <v/>
      </c>
      <c r="U406" s="112" t="str">
        <f aca="false">IFERROR(IF([2]对账明细接口!$P406=0,"",[2]对账明细接口!$P406),"")</f>
        <v/>
      </c>
      <c r="V406" s="112" t="str">
        <f aca="false">IFERROR(IF([2]对账明细接口!$Q406=0,"",[2]对账明细接口!$Q406),"")</f>
        <v/>
      </c>
      <c r="W406" s="10" t="str">
        <f aca="false">IFERROR(IF([2]对账明细接口!$R406=0,"",[2]对账明细接口!$R406),"")</f>
        <v/>
      </c>
      <c r="X406" s="10" t="str">
        <f aca="false">IFERROR(IF([2]对账明细接口!$S406=0,"",[2]对账明细接口!$S406),"")</f>
        <v/>
      </c>
      <c r="Y406" s="10" t="str">
        <f aca="false">IFERROR(IF([2]对账明细接口!$T406=0,"",[2]对账明细接口!$T406),"")</f>
        <v/>
      </c>
      <c r="Z406" s="113" t="str">
        <f aca="false">IFERROR(IF([2]对账明细接口!$U406=0,"",[2]对账明细接口!$U406),"")</f>
        <v/>
      </c>
      <c r="AA406" s="113" t="str">
        <f aca="false">IFERROR(IF([2]对账明细接口!$V406=0,"",[2]对账明细接口!$V406),"")</f>
        <v/>
      </c>
      <c r="AB406" s="10" t="str">
        <f aca="false">IFERROR(IF([2]对账明细接口!$W406=0,"",[2]对账明细接口!$W406),"")</f>
        <v/>
      </c>
      <c r="AC406" s="90" t="str">
        <f aca="false">IFERROR(IF([2]对账明细接口!$X407=0,"",[2]对账明细接口!$X407),"")</f>
        <v/>
      </c>
      <c r="AD406" s="90" t="str">
        <f aca="false">IFERROR(IF([2]对账明细接口!$Y407=0,"",[2]对账明细接口!$Y407),"")</f>
        <v/>
      </c>
      <c r="AE406" s="90" t="str">
        <f aca="false">IFERROR(IF([2]对账明细接口!$AA407=0,"",[2]对账明细接口!$AA407),"")</f>
        <v/>
      </c>
      <c r="AF406" s="90" t="str">
        <f aca="false">IFERROR(IF([2]对账明细接口!$AB407=0,"",[2]对账明细接口!$AB407),"")</f>
        <v/>
      </c>
      <c r="AG406" s="90" t="str">
        <f aca="false">IFERROR(IF([2]对账明细接口!$AC407=0,"",[2]对账明细接口!$AC407),"")</f>
        <v/>
      </c>
      <c r="AH406" s="90" t="str">
        <f aca="false">IFERROR(IF([2]对账明细接口!$AD407=0,"",[2]对账明细接口!$AD407),"")</f>
        <v/>
      </c>
    </row>
    <row r="407" customFormat="false" ht="13.5" hidden="false" customHeight="false" outlineLevel="0" collapsed="false">
      <c r="A407" s="109" t="n">
        <v>407</v>
      </c>
      <c r="B407" s="110" t="str">
        <f aca="false">IFERROR(IF([2]对账明细接口!$B$407=0,"",[2]对账明细接口!$B$407),"")</f>
        <v/>
      </c>
      <c r="C407" s="59" t="str">
        <f aca="false">IFERROR(IF([2]对账明细接口!$C$407=0,"",[2]对账明细接口!$C$407),"")</f>
        <v/>
      </c>
      <c r="D407" s="59" t="str">
        <f aca="false">IFERROR(IF([2]对账明细接口!$D$407=0,"",[2]对账明细接口!$D$407),"")</f>
        <v/>
      </c>
      <c r="E407" s="59" t="str">
        <f aca="false">IFERROR(IF([2]对账明细接口!$E$407=0,"",[2]对账明细接口!$E$407),"")</f>
        <v/>
      </c>
      <c r="F407" s="59" t="str">
        <f aca="false">IFERROR(IF([2]对账明细接口!$F$407=0,"",[2]对账明细接口!$F$407),"")</f>
        <v/>
      </c>
      <c r="G407" s="59" t="str">
        <f aca="false">IFERROR(IF([2]对账明细接口!$G$407=0,"",[2]对账明细接口!$G$407),"")</f>
        <v/>
      </c>
      <c r="H407" s="60" t="str">
        <f aca="false">IFERROR(IF([2]对账明细接口!$H$407=0,"",[2]对账明细接口!$H$407),"")</f>
        <v/>
      </c>
      <c r="I407" s="59" t="str">
        <f aca="false">IFERROR(IF([2]对账明细接口!$I$407=0,"",[2]对账明细接口!$I$407),"")</f>
        <v/>
      </c>
      <c r="J407" s="61" t="str">
        <f aca="false">IFERROR(IF([2]对账明细接口!$J$407=0,"",[2]对账明细接口!$J$407),"")</f>
        <v/>
      </c>
      <c r="K407" s="61" t="str">
        <f aca="false">IFERROR(IF([2]对账明细接口!$K$407=0,"",[2]对账明细接口!$K$407),"")</f>
        <v/>
      </c>
      <c r="L407" s="59" t="str">
        <f aca="false">IFERROR(IF([2]对账明细接口!$L$407=0,"",[2]对账明细接口!$L$407),"")</f>
        <v/>
      </c>
      <c r="M407" s="59" t="str">
        <f aca="false">IFERROR(IF([2]对账明细接口!$M$407=0,"",[2]对账明细接口!$M$407),"")</f>
        <v/>
      </c>
      <c r="N407" s="111" t="n">
        <f aca="false">IF($C407="",0,1)</f>
        <v>0</v>
      </c>
      <c r="O407" s="111" t="n">
        <f aca="false">N(O406)+$N407</f>
        <v>311</v>
      </c>
      <c r="S407" s="10" t="str">
        <f aca="false">IFERROR(IF([2]对账明细接口!$N407=0,"",[2]对账明细接口!$N407),"")</f>
        <v/>
      </c>
      <c r="T407" s="112" t="str">
        <f aca="false">IFERROR(IF([2]对账明细接口!$O407=0,"",[2]对账明细接口!$O407),"")</f>
        <v/>
      </c>
      <c r="U407" s="112" t="str">
        <f aca="false">IFERROR(IF([2]对账明细接口!$P407=0,"",[2]对账明细接口!$P407),"")</f>
        <v/>
      </c>
      <c r="V407" s="112" t="str">
        <f aca="false">IFERROR(IF([2]对账明细接口!$Q407=0,"",[2]对账明细接口!$Q407),"")</f>
        <v/>
      </c>
      <c r="W407" s="10" t="str">
        <f aca="false">IFERROR(IF([2]对账明细接口!$R407=0,"",[2]对账明细接口!$R407),"")</f>
        <v/>
      </c>
      <c r="X407" s="10" t="str">
        <f aca="false">IFERROR(IF([2]对账明细接口!$S407=0,"",[2]对账明细接口!$S407),"")</f>
        <v/>
      </c>
      <c r="Y407" s="10" t="str">
        <f aca="false">IFERROR(IF([2]对账明细接口!$T407=0,"",[2]对账明细接口!$T407),"")</f>
        <v/>
      </c>
      <c r="Z407" s="113" t="str">
        <f aca="false">IFERROR(IF([2]对账明细接口!$U407=0,"",[2]对账明细接口!$U407),"")</f>
        <v/>
      </c>
      <c r="AA407" s="113" t="str">
        <f aca="false">IFERROR(IF([2]对账明细接口!$V407=0,"",[2]对账明细接口!$V407),"")</f>
        <v/>
      </c>
      <c r="AB407" s="10" t="str">
        <f aca="false">IFERROR(IF([2]对账明细接口!$W407=0,"",[2]对账明细接口!$W407),"")</f>
        <v/>
      </c>
      <c r="AC407" s="90" t="str">
        <f aca="false">IFERROR(IF([2]对账明细接口!$X408=0,"",[2]对账明细接口!$X408),"")</f>
        <v/>
      </c>
      <c r="AD407" s="90" t="str">
        <f aca="false">IFERROR(IF([2]对账明细接口!$Y408=0,"",[2]对账明细接口!$Y408),"")</f>
        <v/>
      </c>
      <c r="AE407" s="90" t="str">
        <f aca="false">IFERROR(IF([2]对账明细接口!$AA408=0,"",[2]对账明细接口!$AA408),"")</f>
        <v/>
      </c>
      <c r="AF407" s="90" t="str">
        <f aca="false">IFERROR(IF([2]对账明细接口!$AB408=0,"",[2]对账明细接口!$AB408),"")</f>
        <v/>
      </c>
      <c r="AG407" s="90" t="str">
        <f aca="false">IFERROR(IF([2]对账明细接口!$AC408=0,"",[2]对账明细接口!$AC408),"")</f>
        <v/>
      </c>
      <c r="AH407" s="90" t="str">
        <f aca="false">IFERROR(IF([2]对账明细接口!$AD408=0,"",[2]对账明细接口!$AD408),"")</f>
        <v/>
      </c>
    </row>
    <row r="408" customFormat="false" ht="13.5" hidden="false" customHeight="false" outlineLevel="0" collapsed="false">
      <c r="A408" s="109" t="n">
        <v>408</v>
      </c>
      <c r="B408" s="110" t="str">
        <f aca="false">IFERROR(IF([2]对账明细接口!$B$408=0,"",[2]对账明细接口!$B$408),"")</f>
        <v/>
      </c>
      <c r="C408" s="59" t="str">
        <f aca="false">IFERROR(IF([2]对账明细接口!$C$408=0,"",[2]对账明细接口!$C$408),"")</f>
        <v/>
      </c>
      <c r="D408" s="59" t="str">
        <f aca="false">IFERROR(IF([2]对账明细接口!$D$408=0,"",[2]对账明细接口!$D$408),"")</f>
        <v/>
      </c>
      <c r="E408" s="59" t="str">
        <f aca="false">IFERROR(IF([2]对账明细接口!$E$408=0,"",[2]对账明细接口!$E$408),"")</f>
        <v/>
      </c>
      <c r="F408" s="59" t="str">
        <f aca="false">IFERROR(IF([2]对账明细接口!$F$408=0,"",[2]对账明细接口!$F$408),"")</f>
        <v/>
      </c>
      <c r="G408" s="59" t="str">
        <f aca="false">IFERROR(IF([2]对账明细接口!$G$408=0,"",[2]对账明细接口!$G$408),"")</f>
        <v/>
      </c>
      <c r="H408" s="60" t="str">
        <f aca="false">IFERROR(IF([2]对账明细接口!$H$408=0,"",[2]对账明细接口!$H$408),"")</f>
        <v/>
      </c>
      <c r="I408" s="59" t="str">
        <f aca="false">IFERROR(IF([2]对账明细接口!$I$408=0,"",[2]对账明细接口!$I$408),"")</f>
        <v/>
      </c>
      <c r="J408" s="61" t="str">
        <f aca="false">IFERROR(IF([2]对账明细接口!$J$408=0,"",[2]对账明细接口!$J$408),"")</f>
        <v/>
      </c>
      <c r="K408" s="61" t="str">
        <f aca="false">IFERROR(IF([2]对账明细接口!$K$408=0,"",[2]对账明细接口!$K$408),"")</f>
        <v/>
      </c>
      <c r="L408" s="59" t="str">
        <f aca="false">IFERROR(IF([2]对账明细接口!$L$408=0,"",[2]对账明细接口!$L$408),"")</f>
        <v/>
      </c>
      <c r="M408" s="59" t="str">
        <f aca="false">IFERROR(IF([2]对账明细接口!$M$408=0,"",[2]对账明细接口!$M$408),"")</f>
        <v/>
      </c>
      <c r="N408" s="111" t="n">
        <f aca="false">IF($C408="",0,1)</f>
        <v>0</v>
      </c>
      <c r="O408" s="111" t="n">
        <f aca="false">N(O407)+$N408</f>
        <v>311</v>
      </c>
      <c r="S408" s="10" t="str">
        <f aca="false">IFERROR(IF([2]对账明细接口!$N408=0,"",[2]对账明细接口!$N408),"")</f>
        <v/>
      </c>
      <c r="T408" s="112" t="str">
        <f aca="false">IFERROR(IF([2]对账明细接口!$O408=0,"",[2]对账明细接口!$O408),"")</f>
        <v/>
      </c>
      <c r="U408" s="112" t="str">
        <f aca="false">IFERROR(IF([2]对账明细接口!$P408=0,"",[2]对账明细接口!$P408),"")</f>
        <v/>
      </c>
      <c r="V408" s="112" t="str">
        <f aca="false">IFERROR(IF([2]对账明细接口!$Q408=0,"",[2]对账明细接口!$Q408),"")</f>
        <v/>
      </c>
      <c r="W408" s="10" t="str">
        <f aca="false">IFERROR(IF([2]对账明细接口!$R408=0,"",[2]对账明细接口!$R408),"")</f>
        <v/>
      </c>
      <c r="X408" s="10" t="str">
        <f aca="false">IFERROR(IF([2]对账明细接口!$S408=0,"",[2]对账明细接口!$S408),"")</f>
        <v/>
      </c>
      <c r="Y408" s="10" t="str">
        <f aca="false">IFERROR(IF([2]对账明细接口!$T408=0,"",[2]对账明细接口!$T408),"")</f>
        <v/>
      </c>
      <c r="Z408" s="113" t="str">
        <f aca="false">IFERROR(IF([2]对账明细接口!$U408=0,"",[2]对账明细接口!$U408),"")</f>
        <v/>
      </c>
      <c r="AA408" s="113" t="str">
        <f aca="false">IFERROR(IF([2]对账明细接口!$V408=0,"",[2]对账明细接口!$V408),"")</f>
        <v/>
      </c>
      <c r="AB408" s="10" t="str">
        <f aca="false">IFERROR(IF([2]对账明细接口!$W408=0,"",[2]对账明细接口!$W408),"")</f>
        <v/>
      </c>
      <c r="AC408" s="90" t="str">
        <f aca="false">IFERROR(IF([2]对账明细接口!$X409=0,"",[2]对账明细接口!$X409),"")</f>
        <v/>
      </c>
      <c r="AD408" s="90" t="str">
        <f aca="false">IFERROR(IF([2]对账明细接口!$Y409=0,"",[2]对账明细接口!$Y409),"")</f>
        <v/>
      </c>
      <c r="AE408" s="90" t="str">
        <f aca="false">IFERROR(IF([2]对账明细接口!$AA409=0,"",[2]对账明细接口!$AA409),"")</f>
        <v/>
      </c>
      <c r="AF408" s="90" t="str">
        <f aca="false">IFERROR(IF([2]对账明细接口!$AB409=0,"",[2]对账明细接口!$AB409),"")</f>
        <v/>
      </c>
      <c r="AG408" s="90" t="str">
        <f aca="false">IFERROR(IF([2]对账明细接口!$AC409=0,"",[2]对账明细接口!$AC409),"")</f>
        <v/>
      </c>
      <c r="AH408" s="90" t="str">
        <f aca="false">IFERROR(IF([2]对账明细接口!$AD409=0,"",[2]对账明细接口!$AD409),"")</f>
        <v/>
      </c>
    </row>
    <row r="409" customFormat="false" ht="13.5" hidden="false" customHeight="false" outlineLevel="0" collapsed="false">
      <c r="A409" s="109" t="n">
        <v>409</v>
      </c>
      <c r="B409" s="110" t="str">
        <f aca="false">IFERROR(IF([2]对账明细接口!$B$409=0,"",[2]对账明细接口!$B$409),"")</f>
        <v/>
      </c>
      <c r="C409" s="59" t="str">
        <f aca="false">IFERROR(IF([2]对账明细接口!$C$409=0,"",[2]对账明细接口!$C$409),"")</f>
        <v/>
      </c>
      <c r="D409" s="59" t="str">
        <f aca="false">IFERROR(IF([2]对账明细接口!$D$409=0,"",[2]对账明细接口!$D$409),"")</f>
        <v/>
      </c>
      <c r="E409" s="59" t="str">
        <f aca="false">IFERROR(IF([2]对账明细接口!$E$409=0,"",[2]对账明细接口!$E$409),"")</f>
        <v/>
      </c>
      <c r="F409" s="59" t="str">
        <f aca="false">IFERROR(IF([2]对账明细接口!$F$409=0,"",[2]对账明细接口!$F$409),"")</f>
        <v/>
      </c>
      <c r="G409" s="59" t="str">
        <f aca="false">IFERROR(IF([2]对账明细接口!$G$409=0,"",[2]对账明细接口!$G$409),"")</f>
        <v/>
      </c>
      <c r="H409" s="60" t="str">
        <f aca="false">IFERROR(IF([2]对账明细接口!$H$409=0,"",[2]对账明细接口!$H$409),"")</f>
        <v/>
      </c>
      <c r="I409" s="59" t="str">
        <f aca="false">IFERROR(IF([2]对账明细接口!$I$409=0,"",[2]对账明细接口!$I$409),"")</f>
        <v/>
      </c>
      <c r="J409" s="61" t="str">
        <f aca="false">IFERROR(IF([2]对账明细接口!$J$409=0,"",[2]对账明细接口!$J$409),"")</f>
        <v/>
      </c>
      <c r="K409" s="61" t="str">
        <f aca="false">IFERROR(IF([2]对账明细接口!$K$409=0,"",[2]对账明细接口!$K$409),"")</f>
        <v/>
      </c>
      <c r="L409" s="59" t="str">
        <f aca="false">IFERROR(IF([2]对账明细接口!$L$409=0,"",[2]对账明细接口!$L$409),"")</f>
        <v/>
      </c>
      <c r="M409" s="59" t="str">
        <f aca="false">IFERROR(IF([2]对账明细接口!$M$409=0,"",[2]对账明细接口!$M$409),"")</f>
        <v/>
      </c>
      <c r="N409" s="111" t="n">
        <f aca="false">IF($C409="",0,1)</f>
        <v>0</v>
      </c>
      <c r="O409" s="111" t="n">
        <f aca="false">N(O408)+$N409</f>
        <v>311</v>
      </c>
      <c r="S409" s="10" t="str">
        <f aca="false">IFERROR(IF([2]对账明细接口!$N409=0,"",[2]对账明细接口!$N409),"")</f>
        <v/>
      </c>
      <c r="T409" s="112" t="str">
        <f aca="false">IFERROR(IF([2]对账明细接口!$O409=0,"",[2]对账明细接口!$O409),"")</f>
        <v/>
      </c>
      <c r="U409" s="112" t="str">
        <f aca="false">IFERROR(IF([2]对账明细接口!$P409=0,"",[2]对账明细接口!$P409),"")</f>
        <v/>
      </c>
      <c r="V409" s="112" t="str">
        <f aca="false">IFERROR(IF([2]对账明细接口!$Q409=0,"",[2]对账明细接口!$Q409),"")</f>
        <v/>
      </c>
      <c r="W409" s="10" t="str">
        <f aca="false">IFERROR(IF([2]对账明细接口!$R409=0,"",[2]对账明细接口!$R409),"")</f>
        <v/>
      </c>
      <c r="X409" s="10" t="str">
        <f aca="false">IFERROR(IF([2]对账明细接口!$S409=0,"",[2]对账明细接口!$S409),"")</f>
        <v/>
      </c>
      <c r="Y409" s="10" t="str">
        <f aca="false">IFERROR(IF([2]对账明细接口!$T409=0,"",[2]对账明细接口!$T409),"")</f>
        <v/>
      </c>
      <c r="Z409" s="113" t="str">
        <f aca="false">IFERROR(IF([2]对账明细接口!$U409=0,"",[2]对账明细接口!$U409),"")</f>
        <v/>
      </c>
      <c r="AA409" s="113" t="str">
        <f aca="false">IFERROR(IF([2]对账明细接口!$V409=0,"",[2]对账明细接口!$V409),"")</f>
        <v/>
      </c>
      <c r="AB409" s="10" t="str">
        <f aca="false">IFERROR(IF([2]对账明细接口!$W409=0,"",[2]对账明细接口!$W409),"")</f>
        <v/>
      </c>
      <c r="AC409" s="90" t="str">
        <f aca="false">IFERROR(IF([2]对账明细接口!$X410=0,"",[2]对账明细接口!$X410),"")</f>
        <v/>
      </c>
      <c r="AD409" s="90" t="str">
        <f aca="false">IFERROR(IF([2]对账明细接口!$Y410=0,"",[2]对账明细接口!$Y410),"")</f>
        <v/>
      </c>
      <c r="AE409" s="90" t="str">
        <f aca="false">IFERROR(IF([2]对账明细接口!$AA410=0,"",[2]对账明细接口!$AA410),"")</f>
        <v/>
      </c>
      <c r="AF409" s="90" t="str">
        <f aca="false">IFERROR(IF([2]对账明细接口!$AB410=0,"",[2]对账明细接口!$AB410),"")</f>
        <v/>
      </c>
      <c r="AG409" s="90" t="str">
        <f aca="false">IFERROR(IF([2]对账明细接口!$AC410=0,"",[2]对账明细接口!$AC410),"")</f>
        <v/>
      </c>
      <c r="AH409" s="90" t="str">
        <f aca="false">IFERROR(IF([2]对账明细接口!$AD410=0,"",[2]对账明细接口!$AD410),"")</f>
        <v/>
      </c>
    </row>
    <row r="410" customFormat="false" ht="13.5" hidden="false" customHeight="false" outlineLevel="0" collapsed="false">
      <c r="A410" s="109" t="n">
        <v>410</v>
      </c>
      <c r="B410" s="110" t="str">
        <f aca="false">IFERROR(IF([2]对账明细接口!$B$410=0,"",[2]对账明细接口!$B$410),"")</f>
        <v/>
      </c>
      <c r="C410" s="59" t="str">
        <f aca="false">IFERROR(IF([2]对账明细接口!$C$410=0,"",[2]对账明细接口!$C$410),"")</f>
        <v/>
      </c>
      <c r="D410" s="59" t="str">
        <f aca="false">IFERROR(IF([2]对账明细接口!$D$410=0,"",[2]对账明细接口!$D$410),"")</f>
        <v/>
      </c>
      <c r="E410" s="59" t="str">
        <f aca="false">IFERROR(IF([2]对账明细接口!$E$410=0,"",[2]对账明细接口!$E$410),"")</f>
        <v/>
      </c>
      <c r="F410" s="59" t="str">
        <f aca="false">IFERROR(IF([2]对账明细接口!$F$410=0,"",[2]对账明细接口!$F$410),"")</f>
        <v/>
      </c>
      <c r="G410" s="59" t="str">
        <f aca="false">IFERROR(IF([2]对账明细接口!$G$410=0,"",[2]对账明细接口!$G$410),"")</f>
        <v/>
      </c>
      <c r="H410" s="60" t="str">
        <f aca="false">IFERROR(IF([2]对账明细接口!$H$410=0,"",[2]对账明细接口!$H$410),"")</f>
        <v/>
      </c>
      <c r="I410" s="59" t="str">
        <f aca="false">IFERROR(IF([2]对账明细接口!$I$410=0,"",[2]对账明细接口!$I$410),"")</f>
        <v/>
      </c>
      <c r="J410" s="61" t="str">
        <f aca="false">IFERROR(IF([2]对账明细接口!$J$410=0,"",[2]对账明细接口!$J$410),"")</f>
        <v/>
      </c>
      <c r="K410" s="61" t="str">
        <f aca="false">IFERROR(IF([2]对账明细接口!$K$410=0,"",[2]对账明细接口!$K$410),"")</f>
        <v/>
      </c>
      <c r="L410" s="59" t="str">
        <f aca="false">IFERROR(IF([2]对账明细接口!$L$410=0,"",[2]对账明细接口!$L$410),"")</f>
        <v/>
      </c>
      <c r="M410" s="59" t="str">
        <f aca="false">IFERROR(IF([2]对账明细接口!$M$410=0,"",[2]对账明细接口!$M$410),"")</f>
        <v/>
      </c>
      <c r="N410" s="111" t="n">
        <f aca="false">IF($C410="",0,1)</f>
        <v>0</v>
      </c>
      <c r="O410" s="111" t="n">
        <f aca="false">N(O409)+$N410</f>
        <v>311</v>
      </c>
      <c r="S410" s="10" t="str">
        <f aca="false">IFERROR(IF([2]对账明细接口!$N410=0,"",[2]对账明细接口!$N410),"")</f>
        <v/>
      </c>
      <c r="T410" s="112" t="str">
        <f aca="false">IFERROR(IF([2]对账明细接口!$O410=0,"",[2]对账明细接口!$O410),"")</f>
        <v/>
      </c>
      <c r="U410" s="112" t="str">
        <f aca="false">IFERROR(IF([2]对账明细接口!$P410=0,"",[2]对账明细接口!$P410),"")</f>
        <v/>
      </c>
      <c r="V410" s="112" t="str">
        <f aca="false">IFERROR(IF([2]对账明细接口!$Q410=0,"",[2]对账明细接口!$Q410),"")</f>
        <v/>
      </c>
      <c r="W410" s="10" t="str">
        <f aca="false">IFERROR(IF([2]对账明细接口!$R410=0,"",[2]对账明细接口!$R410),"")</f>
        <v/>
      </c>
      <c r="X410" s="10" t="str">
        <f aca="false">IFERROR(IF([2]对账明细接口!$S410=0,"",[2]对账明细接口!$S410),"")</f>
        <v/>
      </c>
      <c r="Y410" s="10" t="str">
        <f aca="false">IFERROR(IF([2]对账明细接口!$T410=0,"",[2]对账明细接口!$T410),"")</f>
        <v/>
      </c>
      <c r="Z410" s="113" t="str">
        <f aca="false">IFERROR(IF([2]对账明细接口!$U410=0,"",[2]对账明细接口!$U410),"")</f>
        <v/>
      </c>
      <c r="AA410" s="113" t="str">
        <f aca="false">IFERROR(IF([2]对账明细接口!$V410=0,"",[2]对账明细接口!$V410),"")</f>
        <v/>
      </c>
      <c r="AB410" s="10" t="str">
        <f aca="false">IFERROR(IF([2]对账明细接口!$W410=0,"",[2]对账明细接口!$W410),"")</f>
        <v/>
      </c>
      <c r="AC410" s="90" t="str">
        <f aca="false">IFERROR(IF([2]对账明细接口!$X411=0,"",[2]对账明细接口!$X411),"")</f>
        <v/>
      </c>
      <c r="AD410" s="90" t="str">
        <f aca="false">IFERROR(IF([2]对账明细接口!$Y411=0,"",[2]对账明细接口!$Y411),"")</f>
        <v/>
      </c>
      <c r="AE410" s="90" t="str">
        <f aca="false">IFERROR(IF([2]对账明细接口!$AA411=0,"",[2]对账明细接口!$AA411),"")</f>
        <v/>
      </c>
      <c r="AF410" s="90" t="str">
        <f aca="false">IFERROR(IF([2]对账明细接口!$AB411=0,"",[2]对账明细接口!$AB411),"")</f>
        <v/>
      </c>
      <c r="AG410" s="90" t="str">
        <f aca="false">IFERROR(IF([2]对账明细接口!$AC411=0,"",[2]对账明细接口!$AC411),"")</f>
        <v/>
      </c>
      <c r="AH410" s="90" t="str">
        <f aca="false">IFERROR(IF([2]对账明细接口!$AD411=0,"",[2]对账明细接口!$AD411),"")</f>
        <v/>
      </c>
    </row>
    <row r="411" customFormat="false" ht="13.5" hidden="false" customHeight="false" outlineLevel="0" collapsed="false">
      <c r="A411" s="109" t="n">
        <v>411</v>
      </c>
      <c r="B411" s="110" t="str">
        <f aca="false">IFERROR(IF([2]对账明细接口!$B$411=0,"",[2]对账明细接口!$B$411),"")</f>
        <v/>
      </c>
      <c r="C411" s="59" t="str">
        <f aca="false">IFERROR(IF([2]对账明细接口!$C$411=0,"",[2]对账明细接口!$C$411),"")</f>
        <v/>
      </c>
      <c r="D411" s="59" t="str">
        <f aca="false">IFERROR(IF([2]对账明细接口!$D$411=0,"",[2]对账明细接口!$D$411),"")</f>
        <v/>
      </c>
      <c r="E411" s="59" t="str">
        <f aca="false">IFERROR(IF([2]对账明细接口!$E$411=0,"",[2]对账明细接口!$E$411),"")</f>
        <v/>
      </c>
      <c r="F411" s="59" t="str">
        <f aca="false">IFERROR(IF([2]对账明细接口!$F$411=0,"",[2]对账明细接口!$F$411),"")</f>
        <v/>
      </c>
      <c r="G411" s="59" t="str">
        <f aca="false">IFERROR(IF([2]对账明细接口!$G$411=0,"",[2]对账明细接口!$G$411),"")</f>
        <v/>
      </c>
      <c r="H411" s="60" t="str">
        <f aca="false">IFERROR(IF([2]对账明细接口!$H$411=0,"",[2]对账明细接口!$H$411),"")</f>
        <v/>
      </c>
      <c r="I411" s="59" t="str">
        <f aca="false">IFERROR(IF([2]对账明细接口!$I$411=0,"",[2]对账明细接口!$I$411),"")</f>
        <v/>
      </c>
      <c r="J411" s="61" t="str">
        <f aca="false">IFERROR(IF([2]对账明细接口!$J$411=0,"",[2]对账明细接口!$J$411),"")</f>
        <v/>
      </c>
      <c r="K411" s="61" t="str">
        <f aca="false">IFERROR(IF([2]对账明细接口!$K$411=0,"",[2]对账明细接口!$K$411),"")</f>
        <v/>
      </c>
      <c r="L411" s="59" t="str">
        <f aca="false">IFERROR(IF([2]对账明细接口!$L$411=0,"",[2]对账明细接口!$L$411),"")</f>
        <v/>
      </c>
      <c r="M411" s="59" t="str">
        <f aca="false">IFERROR(IF([2]对账明细接口!$M$411=0,"",[2]对账明细接口!$M$411),"")</f>
        <v/>
      </c>
      <c r="N411" s="111" t="n">
        <f aca="false">IF($C411="",0,1)</f>
        <v>0</v>
      </c>
      <c r="O411" s="111" t="n">
        <f aca="false">N(O410)+$N411</f>
        <v>311</v>
      </c>
      <c r="S411" s="10" t="str">
        <f aca="false">IFERROR(IF([2]对账明细接口!$N411=0,"",[2]对账明细接口!$N411),"")</f>
        <v/>
      </c>
      <c r="T411" s="112" t="str">
        <f aca="false">IFERROR(IF([2]对账明细接口!$O411=0,"",[2]对账明细接口!$O411),"")</f>
        <v/>
      </c>
      <c r="U411" s="112" t="str">
        <f aca="false">IFERROR(IF([2]对账明细接口!$P411=0,"",[2]对账明细接口!$P411),"")</f>
        <v/>
      </c>
      <c r="V411" s="112" t="str">
        <f aca="false">IFERROR(IF([2]对账明细接口!$Q411=0,"",[2]对账明细接口!$Q411),"")</f>
        <v/>
      </c>
      <c r="W411" s="10" t="str">
        <f aca="false">IFERROR(IF([2]对账明细接口!$R411=0,"",[2]对账明细接口!$R411),"")</f>
        <v/>
      </c>
      <c r="X411" s="10" t="str">
        <f aca="false">IFERROR(IF([2]对账明细接口!$S411=0,"",[2]对账明细接口!$S411),"")</f>
        <v/>
      </c>
      <c r="Y411" s="10" t="str">
        <f aca="false">IFERROR(IF([2]对账明细接口!$T411=0,"",[2]对账明细接口!$T411),"")</f>
        <v/>
      </c>
      <c r="Z411" s="113" t="str">
        <f aca="false">IFERROR(IF([2]对账明细接口!$U411=0,"",[2]对账明细接口!$U411),"")</f>
        <v/>
      </c>
      <c r="AA411" s="113" t="str">
        <f aca="false">IFERROR(IF([2]对账明细接口!$V411=0,"",[2]对账明细接口!$V411),"")</f>
        <v/>
      </c>
      <c r="AB411" s="10" t="str">
        <f aca="false">IFERROR(IF([2]对账明细接口!$W411=0,"",[2]对账明细接口!$W411),"")</f>
        <v/>
      </c>
      <c r="AC411" s="90" t="str">
        <f aca="false">IFERROR(IF([2]对账明细接口!$X412=0,"",[2]对账明细接口!$X412),"")</f>
        <v/>
      </c>
      <c r="AD411" s="90" t="str">
        <f aca="false">IFERROR(IF([2]对账明细接口!$Y412=0,"",[2]对账明细接口!$Y412),"")</f>
        <v/>
      </c>
      <c r="AE411" s="90" t="str">
        <f aca="false">IFERROR(IF([2]对账明细接口!$AA412=0,"",[2]对账明细接口!$AA412),"")</f>
        <v/>
      </c>
      <c r="AF411" s="90" t="str">
        <f aca="false">IFERROR(IF([2]对账明细接口!$AB412=0,"",[2]对账明细接口!$AB412),"")</f>
        <v/>
      </c>
      <c r="AG411" s="90" t="str">
        <f aca="false">IFERROR(IF([2]对账明细接口!$AC412=0,"",[2]对账明细接口!$AC412),"")</f>
        <v/>
      </c>
      <c r="AH411" s="90" t="str">
        <f aca="false">IFERROR(IF([2]对账明细接口!$AD412=0,"",[2]对账明细接口!$AD412),"")</f>
        <v/>
      </c>
    </row>
    <row r="412" customFormat="false" ht="13.5" hidden="false" customHeight="false" outlineLevel="0" collapsed="false">
      <c r="A412" s="109" t="n">
        <v>412</v>
      </c>
      <c r="B412" s="110" t="str">
        <f aca="false">IFERROR(IF([2]对账明细接口!$B$412=0,"",[2]对账明细接口!$B$412),"")</f>
        <v/>
      </c>
      <c r="C412" s="59" t="str">
        <f aca="false">IFERROR(IF([2]对账明细接口!$C$412=0,"",[2]对账明细接口!$C$412),"")</f>
        <v/>
      </c>
      <c r="D412" s="59" t="str">
        <f aca="false">IFERROR(IF([2]对账明细接口!$D$412=0,"",[2]对账明细接口!$D$412),"")</f>
        <v/>
      </c>
      <c r="E412" s="59" t="str">
        <f aca="false">IFERROR(IF([2]对账明细接口!$E$412=0,"",[2]对账明细接口!$E$412),"")</f>
        <v/>
      </c>
      <c r="F412" s="59" t="str">
        <f aca="false">IFERROR(IF([2]对账明细接口!$F$412=0,"",[2]对账明细接口!$F$412),"")</f>
        <v/>
      </c>
      <c r="G412" s="59" t="str">
        <f aca="false">IFERROR(IF([2]对账明细接口!$G$412=0,"",[2]对账明细接口!$G$412),"")</f>
        <v/>
      </c>
      <c r="H412" s="60" t="str">
        <f aca="false">IFERROR(IF([2]对账明细接口!$H$412=0,"",[2]对账明细接口!$H$412),"")</f>
        <v/>
      </c>
      <c r="I412" s="59" t="str">
        <f aca="false">IFERROR(IF([2]对账明细接口!$I$412=0,"",[2]对账明细接口!$I$412),"")</f>
        <v/>
      </c>
      <c r="J412" s="61" t="str">
        <f aca="false">IFERROR(IF([2]对账明细接口!$J$412=0,"",[2]对账明细接口!$J$412),"")</f>
        <v/>
      </c>
      <c r="K412" s="61" t="str">
        <f aca="false">IFERROR(IF([2]对账明细接口!$K$412=0,"",[2]对账明细接口!$K$412),"")</f>
        <v/>
      </c>
      <c r="L412" s="59" t="str">
        <f aca="false">IFERROR(IF([2]对账明细接口!$L$412=0,"",[2]对账明细接口!$L$412),"")</f>
        <v/>
      </c>
      <c r="M412" s="59" t="str">
        <f aca="false">IFERROR(IF([2]对账明细接口!$M$412=0,"",[2]对账明细接口!$M$412),"")</f>
        <v/>
      </c>
      <c r="N412" s="111" t="n">
        <f aca="false">IF($C412="",0,1)</f>
        <v>0</v>
      </c>
      <c r="O412" s="111" t="n">
        <f aca="false">N(O411)+$N412</f>
        <v>311</v>
      </c>
      <c r="S412" s="10" t="str">
        <f aca="false">IFERROR(IF([2]对账明细接口!$N412=0,"",[2]对账明细接口!$N412),"")</f>
        <v/>
      </c>
      <c r="T412" s="112" t="str">
        <f aca="false">IFERROR(IF([2]对账明细接口!$O412=0,"",[2]对账明细接口!$O412),"")</f>
        <v/>
      </c>
      <c r="U412" s="112" t="str">
        <f aca="false">IFERROR(IF([2]对账明细接口!$P412=0,"",[2]对账明细接口!$P412),"")</f>
        <v/>
      </c>
      <c r="V412" s="112" t="str">
        <f aca="false">IFERROR(IF([2]对账明细接口!$Q412=0,"",[2]对账明细接口!$Q412),"")</f>
        <v/>
      </c>
      <c r="W412" s="10" t="str">
        <f aca="false">IFERROR(IF([2]对账明细接口!$R412=0,"",[2]对账明细接口!$R412),"")</f>
        <v/>
      </c>
      <c r="X412" s="10" t="str">
        <f aca="false">IFERROR(IF([2]对账明细接口!$S412=0,"",[2]对账明细接口!$S412),"")</f>
        <v/>
      </c>
      <c r="Y412" s="10" t="str">
        <f aca="false">IFERROR(IF([2]对账明细接口!$T412=0,"",[2]对账明细接口!$T412),"")</f>
        <v/>
      </c>
      <c r="Z412" s="113" t="str">
        <f aca="false">IFERROR(IF([2]对账明细接口!$U412=0,"",[2]对账明细接口!$U412),"")</f>
        <v/>
      </c>
      <c r="AA412" s="113" t="str">
        <f aca="false">IFERROR(IF([2]对账明细接口!$V412=0,"",[2]对账明细接口!$V412),"")</f>
        <v/>
      </c>
      <c r="AB412" s="10" t="str">
        <f aca="false">IFERROR(IF([2]对账明细接口!$W412=0,"",[2]对账明细接口!$W412),"")</f>
        <v/>
      </c>
      <c r="AC412" s="90" t="str">
        <f aca="false">IFERROR(IF([2]对账明细接口!$X413=0,"",[2]对账明细接口!$X413),"")</f>
        <v/>
      </c>
      <c r="AD412" s="90" t="str">
        <f aca="false">IFERROR(IF([2]对账明细接口!$Y413=0,"",[2]对账明细接口!$Y413),"")</f>
        <v/>
      </c>
      <c r="AE412" s="90" t="str">
        <f aca="false">IFERROR(IF([2]对账明细接口!$AA413=0,"",[2]对账明细接口!$AA413),"")</f>
        <v/>
      </c>
      <c r="AF412" s="90" t="str">
        <f aca="false">IFERROR(IF([2]对账明细接口!$AB413=0,"",[2]对账明细接口!$AB413),"")</f>
        <v/>
      </c>
      <c r="AG412" s="90" t="str">
        <f aca="false">IFERROR(IF([2]对账明细接口!$AC413=0,"",[2]对账明细接口!$AC413),"")</f>
        <v/>
      </c>
      <c r="AH412" s="90" t="str">
        <f aca="false">IFERROR(IF([2]对账明细接口!$AD413=0,"",[2]对账明细接口!$AD413),"")</f>
        <v/>
      </c>
    </row>
    <row r="413" customFormat="false" ht="13.5" hidden="false" customHeight="false" outlineLevel="0" collapsed="false">
      <c r="A413" s="109" t="n">
        <v>413</v>
      </c>
      <c r="B413" s="110" t="str">
        <f aca="false">IFERROR(IF([2]对账明细接口!$B$413=0,"",[2]对账明细接口!$B$413),"")</f>
        <v/>
      </c>
      <c r="C413" s="59" t="str">
        <f aca="false">IFERROR(IF([2]对账明细接口!$C$413=0,"",[2]对账明细接口!$C$413),"")</f>
        <v/>
      </c>
      <c r="D413" s="59" t="str">
        <f aca="false">IFERROR(IF([2]对账明细接口!$D$413=0,"",[2]对账明细接口!$D$413),"")</f>
        <v/>
      </c>
      <c r="E413" s="59" t="str">
        <f aca="false">IFERROR(IF([2]对账明细接口!$E$413=0,"",[2]对账明细接口!$E$413),"")</f>
        <v/>
      </c>
      <c r="F413" s="59" t="str">
        <f aca="false">IFERROR(IF([2]对账明细接口!$F$413=0,"",[2]对账明细接口!$F$413),"")</f>
        <v/>
      </c>
      <c r="G413" s="59" t="str">
        <f aca="false">IFERROR(IF([2]对账明细接口!$G$413=0,"",[2]对账明细接口!$G$413),"")</f>
        <v/>
      </c>
      <c r="H413" s="60" t="str">
        <f aca="false">IFERROR(IF([2]对账明细接口!$H$413=0,"",[2]对账明细接口!$H$413),"")</f>
        <v/>
      </c>
      <c r="I413" s="59" t="str">
        <f aca="false">IFERROR(IF([2]对账明细接口!$I$413=0,"",[2]对账明细接口!$I$413),"")</f>
        <v/>
      </c>
      <c r="J413" s="61" t="str">
        <f aca="false">IFERROR(IF([2]对账明细接口!$J$413=0,"",[2]对账明细接口!$J$413),"")</f>
        <v/>
      </c>
      <c r="K413" s="61" t="str">
        <f aca="false">IFERROR(IF([2]对账明细接口!$K$413=0,"",[2]对账明细接口!$K$413),"")</f>
        <v/>
      </c>
      <c r="L413" s="59" t="str">
        <f aca="false">IFERROR(IF([2]对账明细接口!$L$413=0,"",[2]对账明细接口!$L$413),"")</f>
        <v/>
      </c>
      <c r="M413" s="59" t="str">
        <f aca="false">IFERROR(IF([2]对账明细接口!$M$413=0,"",[2]对账明细接口!$M$413),"")</f>
        <v/>
      </c>
      <c r="N413" s="111" t="n">
        <f aca="false">IF($C413="",0,1)</f>
        <v>0</v>
      </c>
      <c r="O413" s="111" t="n">
        <f aca="false">N(O412)+$N413</f>
        <v>311</v>
      </c>
      <c r="S413" s="10" t="str">
        <f aca="false">IFERROR(IF([2]对账明细接口!$N413=0,"",[2]对账明细接口!$N413),"")</f>
        <v/>
      </c>
      <c r="T413" s="112" t="str">
        <f aca="false">IFERROR(IF([2]对账明细接口!$O413=0,"",[2]对账明细接口!$O413),"")</f>
        <v/>
      </c>
      <c r="U413" s="112" t="str">
        <f aca="false">IFERROR(IF([2]对账明细接口!$P413=0,"",[2]对账明细接口!$P413),"")</f>
        <v/>
      </c>
      <c r="V413" s="112" t="str">
        <f aca="false">IFERROR(IF([2]对账明细接口!$Q413=0,"",[2]对账明细接口!$Q413),"")</f>
        <v/>
      </c>
      <c r="W413" s="10" t="str">
        <f aca="false">IFERROR(IF([2]对账明细接口!$R413=0,"",[2]对账明细接口!$R413),"")</f>
        <v/>
      </c>
      <c r="X413" s="10" t="str">
        <f aca="false">IFERROR(IF([2]对账明细接口!$S413=0,"",[2]对账明细接口!$S413),"")</f>
        <v/>
      </c>
      <c r="Y413" s="10" t="str">
        <f aca="false">IFERROR(IF([2]对账明细接口!$T413=0,"",[2]对账明细接口!$T413),"")</f>
        <v/>
      </c>
      <c r="Z413" s="113" t="str">
        <f aca="false">IFERROR(IF([2]对账明细接口!$U413=0,"",[2]对账明细接口!$U413),"")</f>
        <v/>
      </c>
      <c r="AA413" s="113" t="str">
        <f aca="false">IFERROR(IF([2]对账明细接口!$V413=0,"",[2]对账明细接口!$V413),"")</f>
        <v/>
      </c>
      <c r="AB413" s="10" t="str">
        <f aca="false">IFERROR(IF([2]对账明细接口!$W413=0,"",[2]对账明细接口!$W413),"")</f>
        <v/>
      </c>
      <c r="AC413" s="90" t="str">
        <f aca="false">IFERROR(IF([2]对账明细接口!$X414=0,"",[2]对账明细接口!$X414),"")</f>
        <v/>
      </c>
      <c r="AD413" s="90" t="str">
        <f aca="false">IFERROR(IF([2]对账明细接口!$Y414=0,"",[2]对账明细接口!$Y414),"")</f>
        <v/>
      </c>
      <c r="AE413" s="90" t="str">
        <f aca="false">IFERROR(IF([2]对账明细接口!$AA414=0,"",[2]对账明细接口!$AA414),"")</f>
        <v/>
      </c>
      <c r="AF413" s="90" t="str">
        <f aca="false">IFERROR(IF([2]对账明细接口!$AB414=0,"",[2]对账明细接口!$AB414),"")</f>
        <v/>
      </c>
      <c r="AG413" s="90" t="str">
        <f aca="false">IFERROR(IF([2]对账明细接口!$AC414=0,"",[2]对账明细接口!$AC414),"")</f>
        <v/>
      </c>
      <c r="AH413" s="90" t="str">
        <f aca="false">IFERROR(IF([2]对账明细接口!$AD414=0,"",[2]对账明细接口!$AD414),"")</f>
        <v/>
      </c>
    </row>
    <row r="414" customFormat="false" ht="13.5" hidden="false" customHeight="false" outlineLevel="0" collapsed="false">
      <c r="A414" s="109" t="n">
        <v>414</v>
      </c>
      <c r="B414" s="110" t="str">
        <f aca="false">IFERROR(IF([2]对账明细接口!$B$414=0,"",[2]对账明细接口!$B$414),"")</f>
        <v/>
      </c>
      <c r="C414" s="59" t="str">
        <f aca="false">IFERROR(IF([2]对账明细接口!$C$414=0,"",[2]对账明细接口!$C$414),"")</f>
        <v/>
      </c>
      <c r="D414" s="59" t="str">
        <f aca="false">IFERROR(IF([2]对账明细接口!$D$414=0,"",[2]对账明细接口!$D$414),"")</f>
        <v/>
      </c>
      <c r="E414" s="59" t="str">
        <f aca="false">IFERROR(IF([2]对账明细接口!$E$414=0,"",[2]对账明细接口!$E$414),"")</f>
        <v/>
      </c>
      <c r="F414" s="59" t="str">
        <f aca="false">IFERROR(IF([2]对账明细接口!$F$414=0,"",[2]对账明细接口!$F$414),"")</f>
        <v/>
      </c>
      <c r="G414" s="59" t="str">
        <f aca="false">IFERROR(IF([2]对账明细接口!$G$414=0,"",[2]对账明细接口!$G$414),"")</f>
        <v/>
      </c>
      <c r="H414" s="60" t="str">
        <f aca="false">IFERROR(IF([2]对账明细接口!$H$414=0,"",[2]对账明细接口!$H$414),"")</f>
        <v/>
      </c>
      <c r="I414" s="59" t="str">
        <f aca="false">IFERROR(IF([2]对账明细接口!$I$414=0,"",[2]对账明细接口!$I$414),"")</f>
        <v/>
      </c>
      <c r="J414" s="61" t="str">
        <f aca="false">IFERROR(IF([2]对账明细接口!$J$414=0,"",[2]对账明细接口!$J$414),"")</f>
        <v/>
      </c>
      <c r="K414" s="61" t="str">
        <f aca="false">IFERROR(IF([2]对账明细接口!$K$414=0,"",[2]对账明细接口!$K$414),"")</f>
        <v/>
      </c>
      <c r="L414" s="59" t="str">
        <f aca="false">IFERROR(IF([2]对账明细接口!$L$414=0,"",[2]对账明细接口!$L$414),"")</f>
        <v/>
      </c>
      <c r="M414" s="59" t="str">
        <f aca="false">IFERROR(IF([2]对账明细接口!$M$414=0,"",[2]对账明细接口!$M$414),"")</f>
        <v/>
      </c>
      <c r="N414" s="111" t="n">
        <f aca="false">IF($C414="",0,1)</f>
        <v>0</v>
      </c>
      <c r="O414" s="111" t="n">
        <f aca="false">N(O413)+$N414</f>
        <v>311</v>
      </c>
      <c r="S414" s="10" t="str">
        <f aca="false">IFERROR(IF([2]对账明细接口!$N414=0,"",[2]对账明细接口!$N414),"")</f>
        <v/>
      </c>
      <c r="T414" s="112" t="str">
        <f aca="false">IFERROR(IF([2]对账明细接口!$O414=0,"",[2]对账明细接口!$O414),"")</f>
        <v/>
      </c>
      <c r="U414" s="112" t="str">
        <f aca="false">IFERROR(IF([2]对账明细接口!$P414=0,"",[2]对账明细接口!$P414),"")</f>
        <v/>
      </c>
      <c r="V414" s="112" t="str">
        <f aca="false">IFERROR(IF([2]对账明细接口!$Q414=0,"",[2]对账明细接口!$Q414),"")</f>
        <v/>
      </c>
      <c r="W414" s="10" t="str">
        <f aca="false">IFERROR(IF([2]对账明细接口!$R414=0,"",[2]对账明细接口!$R414),"")</f>
        <v/>
      </c>
      <c r="X414" s="10" t="str">
        <f aca="false">IFERROR(IF([2]对账明细接口!$S414=0,"",[2]对账明细接口!$S414),"")</f>
        <v/>
      </c>
      <c r="Y414" s="10" t="str">
        <f aca="false">IFERROR(IF([2]对账明细接口!$T414=0,"",[2]对账明细接口!$T414),"")</f>
        <v/>
      </c>
      <c r="Z414" s="113" t="str">
        <f aca="false">IFERROR(IF([2]对账明细接口!$U414=0,"",[2]对账明细接口!$U414),"")</f>
        <v/>
      </c>
      <c r="AA414" s="113" t="str">
        <f aca="false">IFERROR(IF([2]对账明细接口!$V414=0,"",[2]对账明细接口!$V414),"")</f>
        <v/>
      </c>
      <c r="AB414" s="10" t="str">
        <f aca="false">IFERROR(IF([2]对账明细接口!$W414=0,"",[2]对账明细接口!$W414),"")</f>
        <v/>
      </c>
      <c r="AC414" s="90" t="str">
        <f aca="false">IFERROR(IF([2]对账明细接口!$X415=0,"",[2]对账明细接口!$X415),"")</f>
        <v/>
      </c>
      <c r="AD414" s="90" t="str">
        <f aca="false">IFERROR(IF([2]对账明细接口!$Y415=0,"",[2]对账明细接口!$Y415),"")</f>
        <v/>
      </c>
      <c r="AE414" s="90" t="str">
        <f aca="false">IFERROR(IF([2]对账明细接口!$AA415=0,"",[2]对账明细接口!$AA415),"")</f>
        <v/>
      </c>
      <c r="AF414" s="90" t="str">
        <f aca="false">IFERROR(IF([2]对账明细接口!$AB415=0,"",[2]对账明细接口!$AB415),"")</f>
        <v/>
      </c>
      <c r="AG414" s="90" t="str">
        <f aca="false">IFERROR(IF([2]对账明细接口!$AC415=0,"",[2]对账明细接口!$AC415),"")</f>
        <v/>
      </c>
      <c r="AH414" s="90" t="str">
        <f aca="false">IFERROR(IF([2]对账明细接口!$AD415=0,"",[2]对账明细接口!$AD415),"")</f>
        <v/>
      </c>
    </row>
    <row r="415" customFormat="false" ht="13.5" hidden="false" customHeight="false" outlineLevel="0" collapsed="false">
      <c r="A415" s="109" t="n">
        <v>415</v>
      </c>
      <c r="B415" s="110" t="str">
        <f aca="false">IFERROR(IF([2]对账明细接口!$B$415=0,"",[2]对账明细接口!$B$415),"")</f>
        <v/>
      </c>
      <c r="C415" s="59" t="str">
        <f aca="false">IFERROR(IF([2]对账明细接口!$C$415=0,"",[2]对账明细接口!$C$415),"")</f>
        <v/>
      </c>
      <c r="D415" s="59" t="str">
        <f aca="false">IFERROR(IF([2]对账明细接口!$D$415=0,"",[2]对账明细接口!$D$415),"")</f>
        <v/>
      </c>
      <c r="E415" s="59" t="str">
        <f aca="false">IFERROR(IF([2]对账明细接口!$E$415=0,"",[2]对账明细接口!$E$415),"")</f>
        <v/>
      </c>
      <c r="F415" s="59" t="str">
        <f aca="false">IFERROR(IF([2]对账明细接口!$F$415=0,"",[2]对账明细接口!$F$415),"")</f>
        <v/>
      </c>
      <c r="G415" s="59" t="str">
        <f aca="false">IFERROR(IF([2]对账明细接口!$G$415=0,"",[2]对账明细接口!$G$415),"")</f>
        <v/>
      </c>
      <c r="H415" s="60" t="str">
        <f aca="false">IFERROR(IF([2]对账明细接口!$H$415=0,"",[2]对账明细接口!$H$415),"")</f>
        <v/>
      </c>
      <c r="I415" s="59" t="str">
        <f aca="false">IFERROR(IF([2]对账明细接口!$I$415=0,"",[2]对账明细接口!$I$415),"")</f>
        <v/>
      </c>
      <c r="J415" s="61" t="str">
        <f aca="false">IFERROR(IF([2]对账明细接口!$J$415=0,"",[2]对账明细接口!$J$415),"")</f>
        <v/>
      </c>
      <c r="K415" s="61" t="str">
        <f aca="false">IFERROR(IF([2]对账明细接口!$K$415=0,"",[2]对账明细接口!$K$415),"")</f>
        <v/>
      </c>
      <c r="L415" s="59" t="str">
        <f aca="false">IFERROR(IF([2]对账明细接口!$L$415=0,"",[2]对账明细接口!$L$415),"")</f>
        <v/>
      </c>
      <c r="M415" s="59" t="str">
        <f aca="false">IFERROR(IF([2]对账明细接口!$M$415=0,"",[2]对账明细接口!$M$415),"")</f>
        <v/>
      </c>
      <c r="N415" s="111" t="n">
        <f aca="false">IF($C415="",0,1)</f>
        <v>0</v>
      </c>
      <c r="O415" s="111" t="n">
        <f aca="false">N(O414)+$N415</f>
        <v>311</v>
      </c>
      <c r="S415" s="10" t="str">
        <f aca="false">IFERROR(IF([2]对账明细接口!$N415=0,"",[2]对账明细接口!$N415),"")</f>
        <v/>
      </c>
      <c r="T415" s="112" t="str">
        <f aca="false">IFERROR(IF([2]对账明细接口!$O415=0,"",[2]对账明细接口!$O415),"")</f>
        <v/>
      </c>
      <c r="U415" s="112" t="str">
        <f aca="false">IFERROR(IF([2]对账明细接口!$P415=0,"",[2]对账明细接口!$P415),"")</f>
        <v/>
      </c>
      <c r="V415" s="112" t="str">
        <f aca="false">IFERROR(IF([2]对账明细接口!$Q415=0,"",[2]对账明细接口!$Q415),"")</f>
        <v/>
      </c>
      <c r="W415" s="10" t="str">
        <f aca="false">IFERROR(IF([2]对账明细接口!$R415=0,"",[2]对账明细接口!$R415),"")</f>
        <v/>
      </c>
      <c r="X415" s="10" t="str">
        <f aca="false">IFERROR(IF([2]对账明细接口!$S415=0,"",[2]对账明细接口!$S415),"")</f>
        <v/>
      </c>
      <c r="Y415" s="10" t="str">
        <f aca="false">IFERROR(IF([2]对账明细接口!$T415=0,"",[2]对账明细接口!$T415),"")</f>
        <v/>
      </c>
      <c r="Z415" s="113" t="str">
        <f aca="false">IFERROR(IF([2]对账明细接口!$U415=0,"",[2]对账明细接口!$U415),"")</f>
        <v/>
      </c>
      <c r="AA415" s="113" t="str">
        <f aca="false">IFERROR(IF([2]对账明细接口!$V415=0,"",[2]对账明细接口!$V415),"")</f>
        <v/>
      </c>
      <c r="AB415" s="10" t="str">
        <f aca="false">IFERROR(IF([2]对账明细接口!$W415=0,"",[2]对账明细接口!$W415),"")</f>
        <v/>
      </c>
      <c r="AC415" s="90" t="str">
        <f aca="false">IFERROR(IF([2]对账明细接口!$X416=0,"",[2]对账明细接口!$X416),"")</f>
        <v/>
      </c>
      <c r="AD415" s="90" t="str">
        <f aca="false">IFERROR(IF([2]对账明细接口!$Y416=0,"",[2]对账明细接口!$Y416),"")</f>
        <v/>
      </c>
      <c r="AE415" s="90" t="str">
        <f aca="false">IFERROR(IF([2]对账明细接口!$AA416=0,"",[2]对账明细接口!$AA416),"")</f>
        <v/>
      </c>
      <c r="AF415" s="90" t="str">
        <f aca="false">IFERROR(IF([2]对账明细接口!$AB416=0,"",[2]对账明细接口!$AB416),"")</f>
        <v/>
      </c>
      <c r="AG415" s="90" t="str">
        <f aca="false">IFERROR(IF([2]对账明细接口!$AC416=0,"",[2]对账明细接口!$AC416),"")</f>
        <v/>
      </c>
      <c r="AH415" s="90" t="str">
        <f aca="false">IFERROR(IF([2]对账明细接口!$AD416=0,"",[2]对账明细接口!$AD416),"")</f>
        <v/>
      </c>
    </row>
    <row r="416" customFormat="false" ht="13.5" hidden="false" customHeight="false" outlineLevel="0" collapsed="false">
      <c r="A416" s="109" t="n">
        <v>416</v>
      </c>
      <c r="B416" s="110" t="str">
        <f aca="false">IFERROR(IF([2]对账明细接口!$B$416=0,"",[2]对账明细接口!$B$416),"")</f>
        <v/>
      </c>
      <c r="C416" s="59" t="str">
        <f aca="false">IFERROR(IF([2]对账明细接口!$C$416=0,"",[2]对账明细接口!$C$416),"")</f>
        <v/>
      </c>
      <c r="D416" s="59" t="str">
        <f aca="false">IFERROR(IF([2]对账明细接口!$D$416=0,"",[2]对账明细接口!$D$416),"")</f>
        <v/>
      </c>
      <c r="E416" s="59" t="str">
        <f aca="false">IFERROR(IF([2]对账明细接口!$E$416=0,"",[2]对账明细接口!$E$416),"")</f>
        <v/>
      </c>
      <c r="F416" s="59" t="str">
        <f aca="false">IFERROR(IF([2]对账明细接口!$F$416=0,"",[2]对账明细接口!$F$416),"")</f>
        <v/>
      </c>
      <c r="G416" s="59" t="str">
        <f aca="false">IFERROR(IF([2]对账明细接口!$G$416=0,"",[2]对账明细接口!$G$416),"")</f>
        <v/>
      </c>
      <c r="H416" s="60" t="str">
        <f aca="false">IFERROR(IF([2]对账明细接口!$H$416=0,"",[2]对账明细接口!$H$416),"")</f>
        <v/>
      </c>
      <c r="I416" s="59" t="str">
        <f aca="false">IFERROR(IF([2]对账明细接口!$I$416=0,"",[2]对账明细接口!$I$416),"")</f>
        <v/>
      </c>
      <c r="J416" s="61" t="str">
        <f aca="false">IFERROR(IF([2]对账明细接口!$J$416=0,"",[2]对账明细接口!$J$416),"")</f>
        <v/>
      </c>
      <c r="K416" s="61" t="str">
        <f aca="false">IFERROR(IF([2]对账明细接口!$K$416=0,"",[2]对账明细接口!$K$416),"")</f>
        <v/>
      </c>
      <c r="L416" s="59" t="str">
        <f aca="false">IFERROR(IF([2]对账明细接口!$L$416=0,"",[2]对账明细接口!$L$416),"")</f>
        <v/>
      </c>
      <c r="M416" s="59" t="str">
        <f aca="false">IFERROR(IF([2]对账明细接口!$M$416=0,"",[2]对账明细接口!$M$416),"")</f>
        <v/>
      </c>
      <c r="N416" s="111" t="n">
        <f aca="false">IF($C416="",0,1)</f>
        <v>0</v>
      </c>
      <c r="O416" s="111" t="n">
        <f aca="false">N(O415)+$N416</f>
        <v>311</v>
      </c>
      <c r="S416" s="10" t="str">
        <f aca="false">IFERROR(IF([2]对账明细接口!$N416=0,"",[2]对账明细接口!$N416),"")</f>
        <v/>
      </c>
      <c r="T416" s="112" t="str">
        <f aca="false">IFERROR(IF([2]对账明细接口!$O416=0,"",[2]对账明细接口!$O416),"")</f>
        <v/>
      </c>
      <c r="U416" s="112" t="str">
        <f aca="false">IFERROR(IF([2]对账明细接口!$P416=0,"",[2]对账明细接口!$P416),"")</f>
        <v/>
      </c>
      <c r="V416" s="112" t="str">
        <f aca="false">IFERROR(IF([2]对账明细接口!$Q416=0,"",[2]对账明细接口!$Q416),"")</f>
        <v/>
      </c>
      <c r="W416" s="10" t="str">
        <f aca="false">IFERROR(IF([2]对账明细接口!$R416=0,"",[2]对账明细接口!$R416),"")</f>
        <v/>
      </c>
      <c r="X416" s="10" t="str">
        <f aca="false">IFERROR(IF([2]对账明细接口!$S416=0,"",[2]对账明细接口!$S416),"")</f>
        <v/>
      </c>
      <c r="Y416" s="10" t="str">
        <f aca="false">IFERROR(IF([2]对账明细接口!$T416=0,"",[2]对账明细接口!$T416),"")</f>
        <v/>
      </c>
      <c r="Z416" s="113" t="str">
        <f aca="false">IFERROR(IF([2]对账明细接口!$U416=0,"",[2]对账明细接口!$U416),"")</f>
        <v/>
      </c>
      <c r="AA416" s="113" t="str">
        <f aca="false">IFERROR(IF([2]对账明细接口!$V416=0,"",[2]对账明细接口!$V416),"")</f>
        <v/>
      </c>
      <c r="AB416" s="10" t="str">
        <f aca="false">IFERROR(IF([2]对账明细接口!$W416=0,"",[2]对账明细接口!$W416),"")</f>
        <v/>
      </c>
      <c r="AC416" s="90" t="str">
        <f aca="false">IFERROR(IF([2]对账明细接口!$X417=0,"",[2]对账明细接口!$X417),"")</f>
        <v/>
      </c>
      <c r="AD416" s="90" t="str">
        <f aca="false">IFERROR(IF([2]对账明细接口!$Y417=0,"",[2]对账明细接口!$Y417),"")</f>
        <v/>
      </c>
      <c r="AE416" s="90" t="str">
        <f aca="false">IFERROR(IF([2]对账明细接口!$AA417=0,"",[2]对账明细接口!$AA417),"")</f>
        <v/>
      </c>
      <c r="AF416" s="90" t="str">
        <f aca="false">IFERROR(IF([2]对账明细接口!$AB417=0,"",[2]对账明细接口!$AB417),"")</f>
        <v/>
      </c>
      <c r="AG416" s="90" t="str">
        <f aca="false">IFERROR(IF([2]对账明细接口!$AC417=0,"",[2]对账明细接口!$AC417),"")</f>
        <v/>
      </c>
      <c r="AH416" s="90" t="str">
        <f aca="false">IFERROR(IF([2]对账明细接口!$AD417=0,"",[2]对账明细接口!$AD417),"")</f>
        <v/>
      </c>
    </row>
    <row r="417" customFormat="false" ht="13.5" hidden="false" customHeight="false" outlineLevel="0" collapsed="false">
      <c r="A417" s="109" t="n">
        <v>417</v>
      </c>
      <c r="B417" s="110" t="str">
        <f aca="false">IFERROR(IF([2]对账明细接口!$B$417=0,"",[2]对账明细接口!$B$417),"")</f>
        <v/>
      </c>
      <c r="C417" s="59" t="str">
        <f aca="false">IFERROR(IF([2]对账明细接口!$C$417=0,"",[2]对账明细接口!$C$417),"")</f>
        <v/>
      </c>
      <c r="D417" s="59" t="str">
        <f aca="false">IFERROR(IF([2]对账明细接口!$D$417=0,"",[2]对账明细接口!$D$417),"")</f>
        <v/>
      </c>
      <c r="E417" s="59" t="str">
        <f aca="false">IFERROR(IF([2]对账明细接口!$E$417=0,"",[2]对账明细接口!$E$417),"")</f>
        <v/>
      </c>
      <c r="F417" s="59" t="str">
        <f aca="false">IFERROR(IF([2]对账明细接口!$F$417=0,"",[2]对账明细接口!$F$417),"")</f>
        <v/>
      </c>
      <c r="G417" s="59" t="str">
        <f aca="false">IFERROR(IF([2]对账明细接口!$G$417=0,"",[2]对账明细接口!$G$417),"")</f>
        <v/>
      </c>
      <c r="H417" s="60" t="str">
        <f aca="false">IFERROR(IF([2]对账明细接口!$H$417=0,"",[2]对账明细接口!$H$417),"")</f>
        <v/>
      </c>
      <c r="I417" s="59" t="str">
        <f aca="false">IFERROR(IF([2]对账明细接口!$I$417=0,"",[2]对账明细接口!$I$417),"")</f>
        <v/>
      </c>
      <c r="J417" s="61" t="str">
        <f aca="false">IFERROR(IF([2]对账明细接口!$J$417=0,"",[2]对账明细接口!$J$417),"")</f>
        <v/>
      </c>
      <c r="K417" s="61" t="str">
        <f aca="false">IFERROR(IF([2]对账明细接口!$K$417=0,"",[2]对账明细接口!$K$417),"")</f>
        <v/>
      </c>
      <c r="L417" s="59" t="str">
        <f aca="false">IFERROR(IF([2]对账明细接口!$L$417=0,"",[2]对账明细接口!$L$417),"")</f>
        <v/>
      </c>
      <c r="M417" s="59" t="str">
        <f aca="false">IFERROR(IF([2]对账明细接口!$M$417=0,"",[2]对账明细接口!$M$417),"")</f>
        <v/>
      </c>
      <c r="N417" s="111" t="n">
        <f aca="false">IF($C417="",0,1)</f>
        <v>0</v>
      </c>
      <c r="O417" s="111" t="n">
        <f aca="false">N(O416)+$N417</f>
        <v>311</v>
      </c>
      <c r="S417" s="10" t="str">
        <f aca="false">IFERROR(IF([2]对账明细接口!$N417=0,"",[2]对账明细接口!$N417),"")</f>
        <v/>
      </c>
      <c r="T417" s="112" t="str">
        <f aca="false">IFERROR(IF([2]对账明细接口!$O417=0,"",[2]对账明细接口!$O417),"")</f>
        <v/>
      </c>
      <c r="U417" s="112" t="str">
        <f aca="false">IFERROR(IF([2]对账明细接口!$P417=0,"",[2]对账明细接口!$P417),"")</f>
        <v/>
      </c>
      <c r="V417" s="112" t="str">
        <f aca="false">IFERROR(IF([2]对账明细接口!$Q417=0,"",[2]对账明细接口!$Q417),"")</f>
        <v/>
      </c>
      <c r="W417" s="10" t="str">
        <f aca="false">IFERROR(IF([2]对账明细接口!$R417=0,"",[2]对账明细接口!$R417),"")</f>
        <v/>
      </c>
      <c r="X417" s="10" t="str">
        <f aca="false">IFERROR(IF([2]对账明细接口!$S417=0,"",[2]对账明细接口!$S417),"")</f>
        <v/>
      </c>
      <c r="Y417" s="10" t="str">
        <f aca="false">IFERROR(IF([2]对账明细接口!$T417=0,"",[2]对账明细接口!$T417),"")</f>
        <v/>
      </c>
      <c r="Z417" s="113" t="str">
        <f aca="false">IFERROR(IF([2]对账明细接口!$U417=0,"",[2]对账明细接口!$U417),"")</f>
        <v/>
      </c>
      <c r="AA417" s="113" t="str">
        <f aca="false">IFERROR(IF([2]对账明细接口!$V417=0,"",[2]对账明细接口!$V417),"")</f>
        <v/>
      </c>
      <c r="AB417" s="10" t="str">
        <f aca="false">IFERROR(IF([2]对账明细接口!$W417=0,"",[2]对账明细接口!$W417),"")</f>
        <v/>
      </c>
      <c r="AC417" s="90" t="str">
        <f aca="false">IFERROR(IF([2]对账明细接口!$X418=0,"",[2]对账明细接口!$X418),"")</f>
        <v/>
      </c>
      <c r="AD417" s="90" t="str">
        <f aca="false">IFERROR(IF([2]对账明细接口!$Y418=0,"",[2]对账明细接口!$Y418),"")</f>
        <v/>
      </c>
      <c r="AE417" s="90" t="str">
        <f aca="false">IFERROR(IF([2]对账明细接口!$AA418=0,"",[2]对账明细接口!$AA418),"")</f>
        <v/>
      </c>
      <c r="AF417" s="90" t="str">
        <f aca="false">IFERROR(IF([2]对账明细接口!$AB418=0,"",[2]对账明细接口!$AB418),"")</f>
        <v/>
      </c>
      <c r="AG417" s="90" t="str">
        <f aca="false">IFERROR(IF([2]对账明细接口!$AC418=0,"",[2]对账明细接口!$AC418),"")</f>
        <v/>
      </c>
      <c r="AH417" s="90" t="str">
        <f aca="false">IFERROR(IF([2]对账明细接口!$AD418=0,"",[2]对账明细接口!$AD418),"")</f>
        <v/>
      </c>
    </row>
    <row r="418" customFormat="false" ht="13.5" hidden="false" customHeight="false" outlineLevel="0" collapsed="false">
      <c r="A418" s="109" t="n">
        <v>418</v>
      </c>
      <c r="B418" s="110" t="str">
        <f aca="false">IFERROR(IF([2]对账明细接口!$B$418=0,"",[2]对账明细接口!$B$418),"")</f>
        <v/>
      </c>
      <c r="C418" s="59" t="str">
        <f aca="false">IFERROR(IF([2]对账明细接口!$C$418=0,"",[2]对账明细接口!$C$418),"")</f>
        <v/>
      </c>
      <c r="D418" s="59" t="str">
        <f aca="false">IFERROR(IF([2]对账明细接口!$D$418=0,"",[2]对账明细接口!$D$418),"")</f>
        <v/>
      </c>
      <c r="E418" s="59" t="str">
        <f aca="false">IFERROR(IF([2]对账明细接口!$E$418=0,"",[2]对账明细接口!$E$418),"")</f>
        <v/>
      </c>
      <c r="F418" s="59" t="str">
        <f aca="false">IFERROR(IF([2]对账明细接口!$F$418=0,"",[2]对账明细接口!$F$418),"")</f>
        <v/>
      </c>
      <c r="G418" s="59" t="str">
        <f aca="false">IFERROR(IF([2]对账明细接口!$G$418=0,"",[2]对账明细接口!$G$418),"")</f>
        <v/>
      </c>
      <c r="H418" s="60" t="str">
        <f aca="false">IFERROR(IF([2]对账明细接口!$H$418=0,"",[2]对账明细接口!$H$418),"")</f>
        <v/>
      </c>
      <c r="I418" s="59" t="str">
        <f aca="false">IFERROR(IF([2]对账明细接口!$I$418=0,"",[2]对账明细接口!$I$418),"")</f>
        <v/>
      </c>
      <c r="J418" s="61" t="str">
        <f aca="false">IFERROR(IF([2]对账明细接口!$J$418=0,"",[2]对账明细接口!$J$418),"")</f>
        <v/>
      </c>
      <c r="K418" s="61" t="str">
        <f aca="false">IFERROR(IF([2]对账明细接口!$K$418=0,"",[2]对账明细接口!$K$418),"")</f>
        <v/>
      </c>
      <c r="L418" s="59" t="str">
        <f aca="false">IFERROR(IF([2]对账明细接口!$L$418=0,"",[2]对账明细接口!$L$418),"")</f>
        <v/>
      </c>
      <c r="M418" s="59" t="str">
        <f aca="false">IFERROR(IF([2]对账明细接口!$M$418=0,"",[2]对账明细接口!$M$418),"")</f>
        <v/>
      </c>
      <c r="N418" s="111" t="n">
        <f aca="false">IF($C418="",0,1)</f>
        <v>0</v>
      </c>
      <c r="O418" s="111" t="n">
        <f aca="false">N(O417)+$N418</f>
        <v>311</v>
      </c>
      <c r="S418" s="10" t="str">
        <f aca="false">IFERROR(IF([2]对账明细接口!$N418=0,"",[2]对账明细接口!$N418),"")</f>
        <v/>
      </c>
      <c r="T418" s="112" t="str">
        <f aca="false">IFERROR(IF([2]对账明细接口!$O418=0,"",[2]对账明细接口!$O418),"")</f>
        <v/>
      </c>
      <c r="U418" s="112" t="str">
        <f aca="false">IFERROR(IF([2]对账明细接口!$P418=0,"",[2]对账明细接口!$P418),"")</f>
        <v/>
      </c>
      <c r="V418" s="112" t="str">
        <f aca="false">IFERROR(IF([2]对账明细接口!$Q418=0,"",[2]对账明细接口!$Q418),"")</f>
        <v/>
      </c>
      <c r="W418" s="10" t="str">
        <f aca="false">IFERROR(IF([2]对账明细接口!$R418=0,"",[2]对账明细接口!$R418),"")</f>
        <v/>
      </c>
      <c r="X418" s="10" t="str">
        <f aca="false">IFERROR(IF([2]对账明细接口!$S418=0,"",[2]对账明细接口!$S418),"")</f>
        <v/>
      </c>
      <c r="Y418" s="10" t="str">
        <f aca="false">IFERROR(IF([2]对账明细接口!$T418=0,"",[2]对账明细接口!$T418),"")</f>
        <v/>
      </c>
      <c r="Z418" s="113" t="str">
        <f aca="false">IFERROR(IF([2]对账明细接口!$U418=0,"",[2]对账明细接口!$U418),"")</f>
        <v/>
      </c>
      <c r="AA418" s="113" t="str">
        <f aca="false">IFERROR(IF([2]对账明细接口!$V418=0,"",[2]对账明细接口!$V418),"")</f>
        <v/>
      </c>
      <c r="AB418" s="10" t="str">
        <f aca="false">IFERROR(IF([2]对账明细接口!$W418=0,"",[2]对账明细接口!$W418),"")</f>
        <v/>
      </c>
      <c r="AC418" s="90" t="str">
        <f aca="false">IFERROR(IF([2]对账明细接口!$X419=0,"",[2]对账明细接口!$X419),"")</f>
        <v/>
      </c>
      <c r="AD418" s="90" t="str">
        <f aca="false">IFERROR(IF([2]对账明细接口!$Y419=0,"",[2]对账明细接口!$Y419),"")</f>
        <v/>
      </c>
      <c r="AE418" s="90" t="str">
        <f aca="false">IFERROR(IF([2]对账明细接口!$AA419=0,"",[2]对账明细接口!$AA419),"")</f>
        <v/>
      </c>
      <c r="AF418" s="90" t="str">
        <f aca="false">IFERROR(IF([2]对账明细接口!$AB419=0,"",[2]对账明细接口!$AB419),"")</f>
        <v/>
      </c>
      <c r="AG418" s="90" t="str">
        <f aca="false">IFERROR(IF([2]对账明细接口!$AC419=0,"",[2]对账明细接口!$AC419),"")</f>
        <v/>
      </c>
      <c r="AH418" s="90" t="str">
        <f aca="false">IFERROR(IF([2]对账明细接口!$AD419=0,"",[2]对账明细接口!$AD419),"")</f>
        <v/>
      </c>
    </row>
    <row r="419" customFormat="false" ht="13.5" hidden="false" customHeight="false" outlineLevel="0" collapsed="false">
      <c r="A419" s="109" t="n">
        <v>419</v>
      </c>
      <c r="B419" s="110" t="str">
        <f aca="false">IFERROR(IF([2]对账明细接口!$B$419=0,"",[2]对账明细接口!$B$419),"")</f>
        <v/>
      </c>
      <c r="C419" s="59" t="str">
        <f aca="false">IFERROR(IF([2]对账明细接口!$C$419=0,"",[2]对账明细接口!$C$419),"")</f>
        <v/>
      </c>
      <c r="D419" s="59" t="str">
        <f aca="false">IFERROR(IF([2]对账明细接口!$D$419=0,"",[2]对账明细接口!$D$419),"")</f>
        <v/>
      </c>
      <c r="E419" s="59" t="str">
        <f aca="false">IFERROR(IF([2]对账明细接口!$E$419=0,"",[2]对账明细接口!$E$419),"")</f>
        <v/>
      </c>
      <c r="F419" s="59" t="str">
        <f aca="false">IFERROR(IF([2]对账明细接口!$F$419=0,"",[2]对账明细接口!$F$419),"")</f>
        <v/>
      </c>
      <c r="G419" s="59" t="str">
        <f aca="false">IFERROR(IF([2]对账明细接口!$G$419=0,"",[2]对账明细接口!$G$419),"")</f>
        <v/>
      </c>
      <c r="H419" s="60" t="str">
        <f aca="false">IFERROR(IF([2]对账明细接口!$H$419=0,"",[2]对账明细接口!$H$419),"")</f>
        <v/>
      </c>
      <c r="I419" s="59" t="str">
        <f aca="false">IFERROR(IF([2]对账明细接口!$I$419=0,"",[2]对账明细接口!$I$419),"")</f>
        <v/>
      </c>
      <c r="J419" s="61" t="str">
        <f aca="false">IFERROR(IF([2]对账明细接口!$J$419=0,"",[2]对账明细接口!$J$419),"")</f>
        <v/>
      </c>
      <c r="K419" s="61" t="str">
        <f aca="false">IFERROR(IF([2]对账明细接口!$K$419=0,"",[2]对账明细接口!$K$419),"")</f>
        <v/>
      </c>
      <c r="L419" s="59" t="str">
        <f aca="false">IFERROR(IF([2]对账明细接口!$L$419=0,"",[2]对账明细接口!$L$419),"")</f>
        <v/>
      </c>
      <c r="M419" s="59" t="str">
        <f aca="false">IFERROR(IF([2]对账明细接口!$M$419=0,"",[2]对账明细接口!$M$419),"")</f>
        <v/>
      </c>
      <c r="N419" s="111" t="n">
        <f aca="false">IF($C419="",0,1)</f>
        <v>0</v>
      </c>
      <c r="O419" s="111" t="n">
        <f aca="false">N(O418)+$N419</f>
        <v>311</v>
      </c>
      <c r="S419" s="10" t="str">
        <f aca="false">IFERROR(IF([2]对账明细接口!$N419=0,"",[2]对账明细接口!$N419),"")</f>
        <v/>
      </c>
      <c r="T419" s="112" t="str">
        <f aca="false">IFERROR(IF([2]对账明细接口!$O419=0,"",[2]对账明细接口!$O419),"")</f>
        <v/>
      </c>
      <c r="U419" s="112" t="str">
        <f aca="false">IFERROR(IF([2]对账明细接口!$P419=0,"",[2]对账明细接口!$P419),"")</f>
        <v/>
      </c>
      <c r="V419" s="112" t="str">
        <f aca="false">IFERROR(IF([2]对账明细接口!$Q419=0,"",[2]对账明细接口!$Q419),"")</f>
        <v/>
      </c>
      <c r="W419" s="10" t="str">
        <f aca="false">IFERROR(IF([2]对账明细接口!$R419=0,"",[2]对账明细接口!$R419),"")</f>
        <v/>
      </c>
      <c r="X419" s="10" t="str">
        <f aca="false">IFERROR(IF([2]对账明细接口!$S419=0,"",[2]对账明细接口!$S419),"")</f>
        <v/>
      </c>
      <c r="Y419" s="10" t="str">
        <f aca="false">IFERROR(IF([2]对账明细接口!$T419=0,"",[2]对账明细接口!$T419),"")</f>
        <v/>
      </c>
      <c r="Z419" s="113" t="str">
        <f aca="false">IFERROR(IF([2]对账明细接口!$U419=0,"",[2]对账明细接口!$U419),"")</f>
        <v/>
      </c>
      <c r="AA419" s="113" t="str">
        <f aca="false">IFERROR(IF([2]对账明细接口!$V419=0,"",[2]对账明细接口!$V419),"")</f>
        <v/>
      </c>
      <c r="AB419" s="10" t="str">
        <f aca="false">IFERROR(IF([2]对账明细接口!$W419=0,"",[2]对账明细接口!$W419),"")</f>
        <v/>
      </c>
      <c r="AC419" s="90" t="str">
        <f aca="false">IFERROR(IF([2]对账明细接口!$X420=0,"",[2]对账明细接口!$X420),"")</f>
        <v/>
      </c>
      <c r="AD419" s="90" t="str">
        <f aca="false">IFERROR(IF([2]对账明细接口!$Y420=0,"",[2]对账明细接口!$Y420),"")</f>
        <v/>
      </c>
      <c r="AE419" s="90" t="str">
        <f aca="false">IFERROR(IF([2]对账明细接口!$AA420=0,"",[2]对账明细接口!$AA420),"")</f>
        <v/>
      </c>
      <c r="AF419" s="90" t="str">
        <f aca="false">IFERROR(IF([2]对账明细接口!$AB420=0,"",[2]对账明细接口!$AB420),"")</f>
        <v/>
      </c>
      <c r="AG419" s="90" t="str">
        <f aca="false">IFERROR(IF([2]对账明细接口!$AC420=0,"",[2]对账明细接口!$AC420),"")</f>
        <v/>
      </c>
      <c r="AH419" s="90" t="str">
        <f aca="false">IFERROR(IF([2]对账明细接口!$AD420=0,"",[2]对账明细接口!$AD420),"")</f>
        <v/>
      </c>
    </row>
    <row r="420" customFormat="false" ht="13.5" hidden="false" customHeight="false" outlineLevel="0" collapsed="false">
      <c r="A420" s="109" t="n">
        <v>420</v>
      </c>
      <c r="B420" s="110" t="str">
        <f aca="false">IFERROR(IF([2]对账明细接口!$B$420=0,"",[2]对账明细接口!$B$420),"")</f>
        <v/>
      </c>
      <c r="C420" s="59" t="str">
        <f aca="false">IFERROR(IF([2]对账明细接口!$C$420=0,"",[2]对账明细接口!$C$420),"")</f>
        <v/>
      </c>
      <c r="D420" s="59" t="str">
        <f aca="false">IFERROR(IF([2]对账明细接口!$D$420=0,"",[2]对账明细接口!$D$420),"")</f>
        <v/>
      </c>
      <c r="E420" s="59" t="str">
        <f aca="false">IFERROR(IF([2]对账明细接口!$E$420=0,"",[2]对账明细接口!$E$420),"")</f>
        <v/>
      </c>
      <c r="F420" s="59" t="str">
        <f aca="false">IFERROR(IF([2]对账明细接口!$F$420=0,"",[2]对账明细接口!$F$420),"")</f>
        <v/>
      </c>
      <c r="G420" s="59" t="str">
        <f aca="false">IFERROR(IF([2]对账明细接口!$G$420=0,"",[2]对账明细接口!$G$420),"")</f>
        <v/>
      </c>
      <c r="H420" s="60" t="str">
        <f aca="false">IFERROR(IF([2]对账明细接口!$H$420=0,"",[2]对账明细接口!$H$420),"")</f>
        <v/>
      </c>
      <c r="I420" s="59" t="str">
        <f aca="false">IFERROR(IF([2]对账明细接口!$I$420=0,"",[2]对账明细接口!$I$420),"")</f>
        <v/>
      </c>
      <c r="J420" s="61" t="str">
        <f aca="false">IFERROR(IF([2]对账明细接口!$J$420=0,"",[2]对账明细接口!$J$420),"")</f>
        <v/>
      </c>
      <c r="K420" s="61" t="str">
        <f aca="false">IFERROR(IF([2]对账明细接口!$K$420=0,"",[2]对账明细接口!$K$420),"")</f>
        <v/>
      </c>
      <c r="L420" s="59" t="str">
        <f aca="false">IFERROR(IF([2]对账明细接口!$L$420=0,"",[2]对账明细接口!$L$420),"")</f>
        <v/>
      </c>
      <c r="M420" s="59" t="str">
        <f aca="false">IFERROR(IF([2]对账明细接口!$M$420=0,"",[2]对账明细接口!$M$420),"")</f>
        <v/>
      </c>
      <c r="N420" s="111" t="n">
        <f aca="false">IF($C420="",0,1)</f>
        <v>0</v>
      </c>
      <c r="O420" s="111" t="n">
        <f aca="false">N(O419)+$N420</f>
        <v>311</v>
      </c>
      <c r="S420" s="10" t="str">
        <f aca="false">IFERROR(IF([2]对账明细接口!$N420=0,"",[2]对账明细接口!$N420),"")</f>
        <v/>
      </c>
      <c r="T420" s="112" t="str">
        <f aca="false">IFERROR(IF([2]对账明细接口!$O420=0,"",[2]对账明细接口!$O420),"")</f>
        <v/>
      </c>
      <c r="U420" s="112" t="str">
        <f aca="false">IFERROR(IF([2]对账明细接口!$P420=0,"",[2]对账明细接口!$P420),"")</f>
        <v/>
      </c>
      <c r="V420" s="112" t="str">
        <f aca="false">IFERROR(IF([2]对账明细接口!$Q420=0,"",[2]对账明细接口!$Q420),"")</f>
        <v/>
      </c>
      <c r="W420" s="10" t="str">
        <f aca="false">IFERROR(IF([2]对账明细接口!$R420=0,"",[2]对账明细接口!$R420),"")</f>
        <v/>
      </c>
      <c r="X420" s="10" t="str">
        <f aca="false">IFERROR(IF([2]对账明细接口!$S420=0,"",[2]对账明细接口!$S420),"")</f>
        <v/>
      </c>
      <c r="Y420" s="10" t="str">
        <f aca="false">IFERROR(IF([2]对账明细接口!$T420=0,"",[2]对账明细接口!$T420),"")</f>
        <v/>
      </c>
      <c r="Z420" s="113" t="str">
        <f aca="false">IFERROR(IF([2]对账明细接口!$U420=0,"",[2]对账明细接口!$U420),"")</f>
        <v/>
      </c>
      <c r="AA420" s="113" t="str">
        <f aca="false">IFERROR(IF([2]对账明细接口!$V420=0,"",[2]对账明细接口!$V420),"")</f>
        <v/>
      </c>
      <c r="AB420" s="10" t="str">
        <f aca="false">IFERROR(IF([2]对账明细接口!$W420=0,"",[2]对账明细接口!$W420),"")</f>
        <v/>
      </c>
      <c r="AC420" s="90" t="str">
        <f aca="false">IFERROR(IF([2]对账明细接口!$X421=0,"",[2]对账明细接口!$X421),"")</f>
        <v/>
      </c>
      <c r="AD420" s="90" t="str">
        <f aca="false">IFERROR(IF([2]对账明细接口!$Y421=0,"",[2]对账明细接口!$Y421),"")</f>
        <v/>
      </c>
      <c r="AE420" s="90" t="str">
        <f aca="false">IFERROR(IF([2]对账明细接口!$AA421=0,"",[2]对账明细接口!$AA421),"")</f>
        <v/>
      </c>
      <c r="AF420" s="90" t="str">
        <f aca="false">IFERROR(IF([2]对账明细接口!$AB421=0,"",[2]对账明细接口!$AB421),"")</f>
        <v/>
      </c>
      <c r="AG420" s="90" t="str">
        <f aca="false">IFERROR(IF([2]对账明细接口!$AC421=0,"",[2]对账明细接口!$AC421),"")</f>
        <v/>
      </c>
      <c r="AH420" s="90" t="str">
        <f aca="false">IFERROR(IF([2]对账明细接口!$AD421=0,"",[2]对账明细接口!$AD421),"")</f>
        <v/>
      </c>
    </row>
    <row r="421" customFormat="false" ht="13.5" hidden="false" customHeight="false" outlineLevel="0" collapsed="false">
      <c r="A421" s="109" t="n">
        <v>421</v>
      </c>
      <c r="B421" s="110" t="str">
        <f aca="false">IFERROR(IF([2]对账明细接口!$B$421=0,"",[2]对账明细接口!$B$421),"")</f>
        <v/>
      </c>
      <c r="C421" s="59" t="str">
        <f aca="false">IFERROR(IF([2]对账明细接口!$C$421=0,"",[2]对账明细接口!$C$421),"")</f>
        <v/>
      </c>
      <c r="D421" s="59" t="str">
        <f aca="false">IFERROR(IF([2]对账明细接口!$D$421=0,"",[2]对账明细接口!$D$421),"")</f>
        <v/>
      </c>
      <c r="E421" s="59" t="str">
        <f aca="false">IFERROR(IF([2]对账明细接口!$E$421=0,"",[2]对账明细接口!$E$421),"")</f>
        <v/>
      </c>
      <c r="F421" s="59" t="str">
        <f aca="false">IFERROR(IF([2]对账明细接口!$F$421=0,"",[2]对账明细接口!$F$421),"")</f>
        <v/>
      </c>
      <c r="G421" s="59" t="str">
        <f aca="false">IFERROR(IF([2]对账明细接口!$G$421=0,"",[2]对账明细接口!$G$421),"")</f>
        <v/>
      </c>
      <c r="H421" s="60" t="str">
        <f aca="false">IFERROR(IF([2]对账明细接口!$H$421=0,"",[2]对账明细接口!$H$421),"")</f>
        <v/>
      </c>
      <c r="I421" s="59" t="str">
        <f aca="false">IFERROR(IF([2]对账明细接口!$I$421=0,"",[2]对账明细接口!$I$421),"")</f>
        <v/>
      </c>
      <c r="J421" s="61" t="str">
        <f aca="false">IFERROR(IF([2]对账明细接口!$J$421=0,"",[2]对账明细接口!$J$421),"")</f>
        <v/>
      </c>
      <c r="K421" s="61" t="str">
        <f aca="false">IFERROR(IF([2]对账明细接口!$K$421=0,"",[2]对账明细接口!$K$421),"")</f>
        <v/>
      </c>
      <c r="L421" s="59" t="str">
        <f aca="false">IFERROR(IF([2]对账明细接口!$L$421=0,"",[2]对账明细接口!$L$421),"")</f>
        <v/>
      </c>
      <c r="M421" s="59" t="str">
        <f aca="false">IFERROR(IF([2]对账明细接口!$M$421=0,"",[2]对账明细接口!$M$421),"")</f>
        <v/>
      </c>
      <c r="N421" s="111" t="n">
        <f aca="false">IF($C421="",0,1)</f>
        <v>0</v>
      </c>
      <c r="O421" s="111" t="n">
        <f aca="false">N(O420)+$N421</f>
        <v>311</v>
      </c>
      <c r="S421" s="10" t="str">
        <f aca="false">IFERROR(IF([2]对账明细接口!$N421=0,"",[2]对账明细接口!$N421),"")</f>
        <v/>
      </c>
      <c r="T421" s="112" t="str">
        <f aca="false">IFERROR(IF([2]对账明细接口!$O421=0,"",[2]对账明细接口!$O421),"")</f>
        <v/>
      </c>
      <c r="U421" s="112" t="str">
        <f aca="false">IFERROR(IF([2]对账明细接口!$P421=0,"",[2]对账明细接口!$P421),"")</f>
        <v/>
      </c>
      <c r="V421" s="112" t="str">
        <f aca="false">IFERROR(IF([2]对账明细接口!$Q421=0,"",[2]对账明细接口!$Q421),"")</f>
        <v/>
      </c>
      <c r="W421" s="10" t="str">
        <f aca="false">IFERROR(IF([2]对账明细接口!$R421=0,"",[2]对账明细接口!$R421),"")</f>
        <v/>
      </c>
      <c r="X421" s="10" t="str">
        <f aca="false">IFERROR(IF([2]对账明细接口!$S421=0,"",[2]对账明细接口!$S421),"")</f>
        <v/>
      </c>
      <c r="Y421" s="10" t="str">
        <f aca="false">IFERROR(IF([2]对账明细接口!$T421=0,"",[2]对账明细接口!$T421),"")</f>
        <v/>
      </c>
      <c r="Z421" s="113" t="str">
        <f aca="false">IFERROR(IF([2]对账明细接口!$U421=0,"",[2]对账明细接口!$U421),"")</f>
        <v/>
      </c>
      <c r="AA421" s="113" t="str">
        <f aca="false">IFERROR(IF([2]对账明细接口!$V421=0,"",[2]对账明细接口!$V421),"")</f>
        <v/>
      </c>
      <c r="AB421" s="10" t="str">
        <f aca="false">IFERROR(IF([2]对账明细接口!$W421=0,"",[2]对账明细接口!$W421),"")</f>
        <v/>
      </c>
      <c r="AC421" s="90" t="str">
        <f aca="false">IFERROR(IF([2]对账明细接口!$X422=0,"",[2]对账明细接口!$X422),"")</f>
        <v/>
      </c>
      <c r="AD421" s="90" t="str">
        <f aca="false">IFERROR(IF([2]对账明细接口!$Y422=0,"",[2]对账明细接口!$Y422),"")</f>
        <v/>
      </c>
      <c r="AE421" s="90" t="str">
        <f aca="false">IFERROR(IF([2]对账明细接口!$AA422=0,"",[2]对账明细接口!$AA422),"")</f>
        <v/>
      </c>
      <c r="AF421" s="90" t="str">
        <f aca="false">IFERROR(IF([2]对账明细接口!$AB422=0,"",[2]对账明细接口!$AB422),"")</f>
        <v/>
      </c>
      <c r="AG421" s="90" t="str">
        <f aca="false">IFERROR(IF([2]对账明细接口!$AC422=0,"",[2]对账明细接口!$AC422),"")</f>
        <v/>
      </c>
      <c r="AH421" s="90" t="str">
        <f aca="false">IFERROR(IF([2]对账明细接口!$AD422=0,"",[2]对账明细接口!$AD422),"")</f>
        <v/>
      </c>
    </row>
    <row r="422" customFormat="false" ht="13.5" hidden="false" customHeight="false" outlineLevel="0" collapsed="false">
      <c r="A422" s="109" t="n">
        <v>422</v>
      </c>
      <c r="B422" s="110" t="str">
        <f aca="false">IFERROR(IF([2]对账明细接口!$B$422=0,"",[2]对账明细接口!$B$422),"")</f>
        <v/>
      </c>
      <c r="C422" s="59" t="str">
        <f aca="false">IFERROR(IF([2]对账明细接口!$C$422=0,"",[2]对账明细接口!$C$422),"")</f>
        <v/>
      </c>
      <c r="D422" s="59" t="str">
        <f aca="false">IFERROR(IF([2]对账明细接口!$D$422=0,"",[2]对账明细接口!$D$422),"")</f>
        <v/>
      </c>
      <c r="E422" s="59" t="str">
        <f aca="false">IFERROR(IF([2]对账明细接口!$E$422=0,"",[2]对账明细接口!$E$422),"")</f>
        <v/>
      </c>
      <c r="F422" s="59" t="str">
        <f aca="false">IFERROR(IF([2]对账明细接口!$F$422=0,"",[2]对账明细接口!$F$422),"")</f>
        <v/>
      </c>
      <c r="G422" s="59" t="str">
        <f aca="false">IFERROR(IF([2]对账明细接口!$G$422=0,"",[2]对账明细接口!$G$422),"")</f>
        <v/>
      </c>
      <c r="H422" s="60" t="str">
        <f aca="false">IFERROR(IF([2]对账明细接口!$H$422=0,"",[2]对账明细接口!$H$422),"")</f>
        <v/>
      </c>
      <c r="I422" s="59" t="str">
        <f aca="false">IFERROR(IF([2]对账明细接口!$I$422=0,"",[2]对账明细接口!$I$422),"")</f>
        <v/>
      </c>
      <c r="J422" s="61" t="str">
        <f aca="false">IFERROR(IF([2]对账明细接口!$J$422=0,"",[2]对账明细接口!$J$422),"")</f>
        <v/>
      </c>
      <c r="K422" s="61" t="str">
        <f aca="false">IFERROR(IF([2]对账明细接口!$K$422=0,"",[2]对账明细接口!$K$422),"")</f>
        <v/>
      </c>
      <c r="L422" s="59" t="str">
        <f aca="false">IFERROR(IF([2]对账明细接口!$L$422=0,"",[2]对账明细接口!$L$422),"")</f>
        <v/>
      </c>
      <c r="M422" s="59" t="str">
        <f aca="false">IFERROR(IF([2]对账明细接口!$M$422=0,"",[2]对账明细接口!$M$422),"")</f>
        <v/>
      </c>
      <c r="N422" s="111" t="n">
        <f aca="false">IF($C422="",0,1)</f>
        <v>0</v>
      </c>
      <c r="O422" s="111" t="n">
        <f aca="false">N(O421)+$N422</f>
        <v>311</v>
      </c>
      <c r="S422" s="10" t="str">
        <f aca="false">IFERROR(IF([2]对账明细接口!$N422=0,"",[2]对账明细接口!$N422),"")</f>
        <v/>
      </c>
      <c r="T422" s="112" t="str">
        <f aca="false">IFERROR(IF([2]对账明细接口!$O422=0,"",[2]对账明细接口!$O422),"")</f>
        <v/>
      </c>
      <c r="U422" s="112" t="str">
        <f aca="false">IFERROR(IF([2]对账明细接口!$P422=0,"",[2]对账明细接口!$P422),"")</f>
        <v/>
      </c>
      <c r="V422" s="112" t="str">
        <f aca="false">IFERROR(IF([2]对账明细接口!$Q422=0,"",[2]对账明细接口!$Q422),"")</f>
        <v/>
      </c>
      <c r="W422" s="10" t="str">
        <f aca="false">IFERROR(IF([2]对账明细接口!$R422=0,"",[2]对账明细接口!$R422),"")</f>
        <v/>
      </c>
      <c r="X422" s="10" t="str">
        <f aca="false">IFERROR(IF([2]对账明细接口!$S422=0,"",[2]对账明细接口!$S422),"")</f>
        <v/>
      </c>
      <c r="Y422" s="10" t="str">
        <f aca="false">IFERROR(IF([2]对账明细接口!$T422=0,"",[2]对账明细接口!$T422),"")</f>
        <v/>
      </c>
      <c r="Z422" s="113" t="str">
        <f aca="false">IFERROR(IF([2]对账明细接口!$U422=0,"",[2]对账明细接口!$U422),"")</f>
        <v/>
      </c>
      <c r="AA422" s="113" t="str">
        <f aca="false">IFERROR(IF([2]对账明细接口!$V422=0,"",[2]对账明细接口!$V422),"")</f>
        <v/>
      </c>
      <c r="AB422" s="10" t="str">
        <f aca="false">IFERROR(IF([2]对账明细接口!$W422=0,"",[2]对账明细接口!$W422),"")</f>
        <v/>
      </c>
      <c r="AC422" s="90" t="str">
        <f aca="false">IFERROR(IF([2]对账明细接口!$X423=0,"",[2]对账明细接口!$X423),"")</f>
        <v/>
      </c>
      <c r="AD422" s="90" t="str">
        <f aca="false">IFERROR(IF([2]对账明细接口!$Y423=0,"",[2]对账明细接口!$Y423),"")</f>
        <v/>
      </c>
      <c r="AE422" s="90" t="str">
        <f aca="false">IFERROR(IF([2]对账明细接口!$AA423=0,"",[2]对账明细接口!$AA423),"")</f>
        <v/>
      </c>
      <c r="AF422" s="90" t="str">
        <f aca="false">IFERROR(IF([2]对账明细接口!$AB423=0,"",[2]对账明细接口!$AB423),"")</f>
        <v/>
      </c>
      <c r="AG422" s="90" t="str">
        <f aca="false">IFERROR(IF([2]对账明细接口!$AC423=0,"",[2]对账明细接口!$AC423),"")</f>
        <v/>
      </c>
      <c r="AH422" s="90" t="str">
        <f aca="false">IFERROR(IF([2]对账明细接口!$AD423=0,"",[2]对账明细接口!$AD423),"")</f>
        <v/>
      </c>
    </row>
    <row r="423" customFormat="false" ht="13.5" hidden="false" customHeight="false" outlineLevel="0" collapsed="false">
      <c r="A423" s="109" t="n">
        <v>423</v>
      </c>
      <c r="B423" s="110" t="str">
        <f aca="false">IFERROR(IF([2]对账明细接口!$B$423=0,"",[2]对账明细接口!$B$423),"")</f>
        <v/>
      </c>
      <c r="C423" s="59" t="str">
        <f aca="false">IFERROR(IF([2]对账明细接口!$C$423=0,"",[2]对账明细接口!$C$423),"")</f>
        <v/>
      </c>
      <c r="D423" s="59" t="str">
        <f aca="false">IFERROR(IF([2]对账明细接口!$D$423=0,"",[2]对账明细接口!$D$423),"")</f>
        <v/>
      </c>
      <c r="E423" s="59" t="str">
        <f aca="false">IFERROR(IF([2]对账明细接口!$E$423=0,"",[2]对账明细接口!$E$423),"")</f>
        <v/>
      </c>
      <c r="F423" s="59" t="str">
        <f aca="false">IFERROR(IF([2]对账明细接口!$F$423=0,"",[2]对账明细接口!$F$423),"")</f>
        <v/>
      </c>
      <c r="G423" s="59" t="str">
        <f aca="false">IFERROR(IF([2]对账明细接口!$G$423=0,"",[2]对账明细接口!$G$423),"")</f>
        <v/>
      </c>
      <c r="H423" s="60" t="str">
        <f aca="false">IFERROR(IF([2]对账明细接口!$H$423=0,"",[2]对账明细接口!$H$423),"")</f>
        <v/>
      </c>
      <c r="I423" s="59" t="str">
        <f aca="false">IFERROR(IF([2]对账明细接口!$I$423=0,"",[2]对账明细接口!$I$423),"")</f>
        <v/>
      </c>
      <c r="J423" s="61" t="str">
        <f aca="false">IFERROR(IF([2]对账明细接口!$J$423=0,"",[2]对账明细接口!$J$423),"")</f>
        <v/>
      </c>
      <c r="K423" s="61" t="str">
        <f aca="false">IFERROR(IF([2]对账明细接口!$K$423=0,"",[2]对账明细接口!$K$423),"")</f>
        <v/>
      </c>
      <c r="L423" s="59" t="str">
        <f aca="false">IFERROR(IF([2]对账明细接口!$L$423=0,"",[2]对账明细接口!$L$423),"")</f>
        <v/>
      </c>
      <c r="M423" s="59" t="str">
        <f aca="false">IFERROR(IF([2]对账明细接口!$M$423=0,"",[2]对账明细接口!$M$423),"")</f>
        <v/>
      </c>
      <c r="N423" s="111" t="n">
        <f aca="false">IF($C423="",0,1)</f>
        <v>0</v>
      </c>
      <c r="O423" s="111" t="n">
        <f aca="false">N(O422)+$N423</f>
        <v>311</v>
      </c>
      <c r="S423" s="10" t="str">
        <f aca="false">IFERROR(IF([2]对账明细接口!$N423=0,"",[2]对账明细接口!$N423),"")</f>
        <v/>
      </c>
      <c r="T423" s="112" t="str">
        <f aca="false">IFERROR(IF([2]对账明细接口!$O423=0,"",[2]对账明细接口!$O423),"")</f>
        <v/>
      </c>
      <c r="U423" s="112" t="str">
        <f aca="false">IFERROR(IF([2]对账明细接口!$P423=0,"",[2]对账明细接口!$P423),"")</f>
        <v/>
      </c>
      <c r="V423" s="112" t="str">
        <f aca="false">IFERROR(IF([2]对账明细接口!$Q423=0,"",[2]对账明细接口!$Q423),"")</f>
        <v/>
      </c>
      <c r="W423" s="10" t="str">
        <f aca="false">IFERROR(IF([2]对账明细接口!$R423=0,"",[2]对账明细接口!$R423),"")</f>
        <v/>
      </c>
      <c r="X423" s="10" t="str">
        <f aca="false">IFERROR(IF([2]对账明细接口!$S423=0,"",[2]对账明细接口!$S423),"")</f>
        <v/>
      </c>
      <c r="Y423" s="10" t="str">
        <f aca="false">IFERROR(IF([2]对账明细接口!$T423=0,"",[2]对账明细接口!$T423),"")</f>
        <v/>
      </c>
      <c r="Z423" s="113" t="str">
        <f aca="false">IFERROR(IF([2]对账明细接口!$U423=0,"",[2]对账明细接口!$U423),"")</f>
        <v/>
      </c>
      <c r="AA423" s="113" t="str">
        <f aca="false">IFERROR(IF([2]对账明细接口!$V423=0,"",[2]对账明细接口!$V423),"")</f>
        <v/>
      </c>
      <c r="AB423" s="10" t="str">
        <f aca="false">IFERROR(IF([2]对账明细接口!$W423=0,"",[2]对账明细接口!$W423),"")</f>
        <v/>
      </c>
      <c r="AC423" s="90" t="str">
        <f aca="false">IFERROR(IF([2]对账明细接口!$X424=0,"",[2]对账明细接口!$X424),"")</f>
        <v/>
      </c>
      <c r="AD423" s="90" t="str">
        <f aca="false">IFERROR(IF([2]对账明细接口!$Y424=0,"",[2]对账明细接口!$Y424),"")</f>
        <v/>
      </c>
      <c r="AE423" s="90" t="str">
        <f aca="false">IFERROR(IF([2]对账明细接口!$AA424=0,"",[2]对账明细接口!$AA424),"")</f>
        <v/>
      </c>
      <c r="AF423" s="90" t="str">
        <f aca="false">IFERROR(IF([2]对账明细接口!$AB424=0,"",[2]对账明细接口!$AB424),"")</f>
        <v/>
      </c>
      <c r="AG423" s="90" t="str">
        <f aca="false">IFERROR(IF([2]对账明细接口!$AC424=0,"",[2]对账明细接口!$AC424),"")</f>
        <v/>
      </c>
      <c r="AH423" s="90" t="str">
        <f aca="false">IFERROR(IF([2]对账明细接口!$AD424=0,"",[2]对账明细接口!$AD424),"")</f>
        <v/>
      </c>
    </row>
    <row r="424" customFormat="false" ht="13.5" hidden="false" customHeight="false" outlineLevel="0" collapsed="false">
      <c r="A424" s="109" t="n">
        <v>424</v>
      </c>
      <c r="B424" s="110" t="str">
        <f aca="false">IFERROR(IF([2]对账明细接口!$B$424=0,"",[2]对账明细接口!$B$424),"")</f>
        <v/>
      </c>
      <c r="C424" s="59" t="str">
        <f aca="false">IFERROR(IF([2]对账明细接口!$C$424=0,"",[2]对账明细接口!$C$424),"")</f>
        <v/>
      </c>
      <c r="D424" s="59" t="str">
        <f aca="false">IFERROR(IF([2]对账明细接口!$D$424=0,"",[2]对账明细接口!$D$424),"")</f>
        <v/>
      </c>
      <c r="E424" s="59" t="str">
        <f aca="false">IFERROR(IF([2]对账明细接口!$E$424=0,"",[2]对账明细接口!$E$424),"")</f>
        <v/>
      </c>
      <c r="F424" s="59" t="str">
        <f aca="false">IFERROR(IF([2]对账明细接口!$F$424=0,"",[2]对账明细接口!$F$424),"")</f>
        <v/>
      </c>
      <c r="G424" s="59" t="str">
        <f aca="false">IFERROR(IF([2]对账明细接口!$G$424=0,"",[2]对账明细接口!$G$424),"")</f>
        <v/>
      </c>
      <c r="H424" s="60" t="str">
        <f aca="false">IFERROR(IF([2]对账明细接口!$H$424=0,"",[2]对账明细接口!$H$424),"")</f>
        <v/>
      </c>
      <c r="I424" s="59" t="str">
        <f aca="false">IFERROR(IF([2]对账明细接口!$I$424=0,"",[2]对账明细接口!$I$424),"")</f>
        <v/>
      </c>
      <c r="J424" s="61" t="str">
        <f aca="false">IFERROR(IF([2]对账明细接口!$J$424=0,"",[2]对账明细接口!$J$424),"")</f>
        <v/>
      </c>
      <c r="K424" s="61" t="str">
        <f aca="false">IFERROR(IF([2]对账明细接口!$K$424=0,"",[2]对账明细接口!$K$424),"")</f>
        <v/>
      </c>
      <c r="L424" s="59" t="str">
        <f aca="false">IFERROR(IF([2]对账明细接口!$L$424=0,"",[2]对账明细接口!$L$424),"")</f>
        <v/>
      </c>
      <c r="M424" s="59" t="str">
        <f aca="false">IFERROR(IF([2]对账明细接口!$M$424=0,"",[2]对账明细接口!$M$424),"")</f>
        <v/>
      </c>
      <c r="N424" s="111" t="n">
        <f aca="false">IF($C424="",0,1)</f>
        <v>0</v>
      </c>
      <c r="O424" s="111" t="n">
        <f aca="false">N(O423)+$N424</f>
        <v>311</v>
      </c>
      <c r="S424" s="10" t="str">
        <f aca="false">IFERROR(IF([2]对账明细接口!$N424=0,"",[2]对账明细接口!$N424),"")</f>
        <v/>
      </c>
      <c r="T424" s="112" t="str">
        <f aca="false">IFERROR(IF([2]对账明细接口!$O424=0,"",[2]对账明细接口!$O424),"")</f>
        <v/>
      </c>
      <c r="U424" s="112" t="str">
        <f aca="false">IFERROR(IF([2]对账明细接口!$P424=0,"",[2]对账明细接口!$P424),"")</f>
        <v/>
      </c>
      <c r="V424" s="112" t="str">
        <f aca="false">IFERROR(IF([2]对账明细接口!$Q424=0,"",[2]对账明细接口!$Q424),"")</f>
        <v/>
      </c>
      <c r="W424" s="10" t="str">
        <f aca="false">IFERROR(IF([2]对账明细接口!$R424=0,"",[2]对账明细接口!$R424),"")</f>
        <v/>
      </c>
      <c r="X424" s="10" t="str">
        <f aca="false">IFERROR(IF([2]对账明细接口!$S424=0,"",[2]对账明细接口!$S424),"")</f>
        <v/>
      </c>
      <c r="Y424" s="10" t="str">
        <f aca="false">IFERROR(IF([2]对账明细接口!$T424=0,"",[2]对账明细接口!$T424),"")</f>
        <v/>
      </c>
      <c r="Z424" s="113" t="str">
        <f aca="false">IFERROR(IF([2]对账明细接口!$U424=0,"",[2]对账明细接口!$U424),"")</f>
        <v/>
      </c>
      <c r="AA424" s="113" t="str">
        <f aca="false">IFERROR(IF([2]对账明细接口!$V424=0,"",[2]对账明细接口!$V424),"")</f>
        <v/>
      </c>
      <c r="AB424" s="10" t="str">
        <f aca="false">IFERROR(IF([2]对账明细接口!$W424=0,"",[2]对账明细接口!$W424),"")</f>
        <v/>
      </c>
      <c r="AC424" s="90" t="str">
        <f aca="false">IFERROR(IF([2]对账明细接口!$X425=0,"",[2]对账明细接口!$X425),"")</f>
        <v/>
      </c>
      <c r="AD424" s="90" t="str">
        <f aca="false">IFERROR(IF([2]对账明细接口!$Y425=0,"",[2]对账明细接口!$Y425),"")</f>
        <v/>
      </c>
      <c r="AE424" s="90" t="str">
        <f aca="false">IFERROR(IF([2]对账明细接口!$AA425=0,"",[2]对账明细接口!$AA425),"")</f>
        <v/>
      </c>
      <c r="AF424" s="90" t="str">
        <f aca="false">IFERROR(IF([2]对账明细接口!$AB425=0,"",[2]对账明细接口!$AB425),"")</f>
        <v/>
      </c>
      <c r="AG424" s="90" t="str">
        <f aca="false">IFERROR(IF([2]对账明细接口!$AC425=0,"",[2]对账明细接口!$AC425),"")</f>
        <v/>
      </c>
      <c r="AH424" s="90" t="str">
        <f aca="false">IFERROR(IF([2]对账明细接口!$AD425=0,"",[2]对账明细接口!$AD425),"")</f>
        <v/>
      </c>
    </row>
    <row r="425" customFormat="false" ht="13.5" hidden="false" customHeight="false" outlineLevel="0" collapsed="false">
      <c r="A425" s="109" t="n">
        <v>425</v>
      </c>
      <c r="B425" s="110" t="str">
        <f aca="false">IFERROR(IF([2]对账明细接口!$B$425=0,"",[2]对账明细接口!$B$425),"")</f>
        <v/>
      </c>
      <c r="C425" s="59" t="str">
        <f aca="false">IFERROR(IF([2]对账明细接口!$C$425=0,"",[2]对账明细接口!$C$425),"")</f>
        <v/>
      </c>
      <c r="D425" s="59" t="str">
        <f aca="false">IFERROR(IF([2]对账明细接口!$D$425=0,"",[2]对账明细接口!$D$425),"")</f>
        <v/>
      </c>
      <c r="E425" s="59" t="str">
        <f aca="false">IFERROR(IF([2]对账明细接口!$E$425=0,"",[2]对账明细接口!$E$425),"")</f>
        <v/>
      </c>
      <c r="F425" s="59" t="str">
        <f aca="false">IFERROR(IF([2]对账明细接口!$F$425=0,"",[2]对账明细接口!$F$425),"")</f>
        <v/>
      </c>
      <c r="G425" s="59" t="str">
        <f aca="false">IFERROR(IF([2]对账明细接口!$G$425=0,"",[2]对账明细接口!$G$425),"")</f>
        <v/>
      </c>
      <c r="H425" s="60" t="str">
        <f aca="false">IFERROR(IF([2]对账明细接口!$H$425=0,"",[2]对账明细接口!$H$425),"")</f>
        <v/>
      </c>
      <c r="I425" s="59" t="str">
        <f aca="false">IFERROR(IF([2]对账明细接口!$I$425=0,"",[2]对账明细接口!$I$425),"")</f>
        <v/>
      </c>
      <c r="J425" s="61" t="str">
        <f aca="false">IFERROR(IF([2]对账明细接口!$J$425=0,"",[2]对账明细接口!$J$425),"")</f>
        <v/>
      </c>
      <c r="K425" s="61" t="str">
        <f aca="false">IFERROR(IF([2]对账明细接口!$K$425=0,"",[2]对账明细接口!$K$425),"")</f>
        <v/>
      </c>
      <c r="L425" s="59" t="str">
        <f aca="false">IFERROR(IF([2]对账明细接口!$L$425=0,"",[2]对账明细接口!$L$425),"")</f>
        <v/>
      </c>
      <c r="M425" s="59" t="str">
        <f aca="false">IFERROR(IF([2]对账明细接口!$M$425=0,"",[2]对账明细接口!$M$425),"")</f>
        <v/>
      </c>
      <c r="N425" s="111" t="n">
        <f aca="false">IF($C425="",0,1)</f>
        <v>0</v>
      </c>
      <c r="O425" s="111" t="n">
        <f aca="false">N(O424)+$N425</f>
        <v>311</v>
      </c>
      <c r="S425" s="10" t="str">
        <f aca="false">IFERROR(IF([2]对账明细接口!$N425=0,"",[2]对账明细接口!$N425),"")</f>
        <v/>
      </c>
      <c r="T425" s="112" t="str">
        <f aca="false">IFERROR(IF([2]对账明细接口!$O425=0,"",[2]对账明细接口!$O425),"")</f>
        <v/>
      </c>
      <c r="U425" s="112" t="str">
        <f aca="false">IFERROR(IF([2]对账明细接口!$P425=0,"",[2]对账明细接口!$P425),"")</f>
        <v/>
      </c>
      <c r="V425" s="112" t="str">
        <f aca="false">IFERROR(IF([2]对账明细接口!$Q425=0,"",[2]对账明细接口!$Q425),"")</f>
        <v/>
      </c>
      <c r="W425" s="10" t="str">
        <f aca="false">IFERROR(IF([2]对账明细接口!$R425=0,"",[2]对账明细接口!$R425),"")</f>
        <v/>
      </c>
      <c r="X425" s="10" t="str">
        <f aca="false">IFERROR(IF([2]对账明细接口!$S425=0,"",[2]对账明细接口!$S425),"")</f>
        <v/>
      </c>
      <c r="Y425" s="10" t="str">
        <f aca="false">IFERROR(IF([2]对账明细接口!$T425=0,"",[2]对账明细接口!$T425),"")</f>
        <v/>
      </c>
      <c r="Z425" s="113" t="str">
        <f aca="false">IFERROR(IF([2]对账明细接口!$U425=0,"",[2]对账明细接口!$U425),"")</f>
        <v/>
      </c>
      <c r="AA425" s="113" t="str">
        <f aca="false">IFERROR(IF([2]对账明细接口!$V425=0,"",[2]对账明细接口!$V425),"")</f>
        <v/>
      </c>
      <c r="AB425" s="10" t="str">
        <f aca="false">IFERROR(IF([2]对账明细接口!$W425=0,"",[2]对账明细接口!$W425),"")</f>
        <v/>
      </c>
      <c r="AC425" s="90" t="str">
        <f aca="false">IFERROR(IF([2]对账明细接口!$X426=0,"",[2]对账明细接口!$X426),"")</f>
        <v/>
      </c>
      <c r="AD425" s="90" t="str">
        <f aca="false">IFERROR(IF([2]对账明细接口!$Y426=0,"",[2]对账明细接口!$Y426),"")</f>
        <v/>
      </c>
      <c r="AE425" s="90" t="str">
        <f aca="false">IFERROR(IF([2]对账明细接口!$AA426=0,"",[2]对账明细接口!$AA426),"")</f>
        <v/>
      </c>
      <c r="AF425" s="90" t="str">
        <f aca="false">IFERROR(IF([2]对账明细接口!$AB426=0,"",[2]对账明细接口!$AB426),"")</f>
        <v/>
      </c>
      <c r="AG425" s="90" t="str">
        <f aca="false">IFERROR(IF([2]对账明细接口!$AC426=0,"",[2]对账明细接口!$AC426),"")</f>
        <v/>
      </c>
      <c r="AH425" s="90" t="str">
        <f aca="false">IFERROR(IF([2]对账明细接口!$AD426=0,"",[2]对账明细接口!$AD426),"")</f>
        <v/>
      </c>
    </row>
    <row r="426" customFormat="false" ht="13.5" hidden="false" customHeight="false" outlineLevel="0" collapsed="false">
      <c r="A426" s="109" t="n">
        <v>426</v>
      </c>
      <c r="B426" s="110" t="str">
        <f aca="false">IFERROR(IF([2]对账明细接口!$B$426=0,"",[2]对账明细接口!$B$426),"")</f>
        <v/>
      </c>
      <c r="C426" s="59" t="str">
        <f aca="false">IFERROR(IF([2]对账明细接口!$C$426=0,"",[2]对账明细接口!$C$426),"")</f>
        <v/>
      </c>
      <c r="D426" s="59" t="str">
        <f aca="false">IFERROR(IF([2]对账明细接口!$D$426=0,"",[2]对账明细接口!$D$426),"")</f>
        <v/>
      </c>
      <c r="E426" s="59" t="str">
        <f aca="false">IFERROR(IF([2]对账明细接口!$E$426=0,"",[2]对账明细接口!$E$426),"")</f>
        <v/>
      </c>
      <c r="F426" s="59" t="str">
        <f aca="false">IFERROR(IF([2]对账明细接口!$F$426=0,"",[2]对账明细接口!$F$426),"")</f>
        <v/>
      </c>
      <c r="G426" s="59" t="str">
        <f aca="false">IFERROR(IF([2]对账明细接口!$G$426=0,"",[2]对账明细接口!$G$426),"")</f>
        <v/>
      </c>
      <c r="H426" s="60" t="str">
        <f aca="false">IFERROR(IF([2]对账明细接口!$H$426=0,"",[2]对账明细接口!$H$426),"")</f>
        <v/>
      </c>
      <c r="I426" s="59" t="str">
        <f aca="false">IFERROR(IF([2]对账明细接口!$I$426=0,"",[2]对账明细接口!$I$426),"")</f>
        <v/>
      </c>
      <c r="J426" s="61" t="str">
        <f aca="false">IFERROR(IF([2]对账明细接口!$J$426=0,"",[2]对账明细接口!$J$426),"")</f>
        <v/>
      </c>
      <c r="K426" s="61" t="str">
        <f aca="false">IFERROR(IF([2]对账明细接口!$K$426=0,"",[2]对账明细接口!$K$426),"")</f>
        <v/>
      </c>
      <c r="L426" s="59" t="str">
        <f aca="false">IFERROR(IF([2]对账明细接口!$L$426=0,"",[2]对账明细接口!$L$426),"")</f>
        <v/>
      </c>
      <c r="M426" s="59" t="str">
        <f aca="false">IFERROR(IF([2]对账明细接口!$M$426=0,"",[2]对账明细接口!$M$426),"")</f>
        <v/>
      </c>
      <c r="N426" s="111" t="n">
        <f aca="false">IF($C426="",0,1)</f>
        <v>0</v>
      </c>
      <c r="O426" s="111" t="n">
        <f aca="false">N(O425)+$N426</f>
        <v>311</v>
      </c>
      <c r="S426" s="10" t="str">
        <f aca="false">IFERROR(IF([2]对账明细接口!$N426=0,"",[2]对账明细接口!$N426),"")</f>
        <v/>
      </c>
      <c r="T426" s="112" t="str">
        <f aca="false">IFERROR(IF([2]对账明细接口!$O426=0,"",[2]对账明细接口!$O426),"")</f>
        <v/>
      </c>
      <c r="U426" s="112" t="str">
        <f aca="false">IFERROR(IF([2]对账明细接口!$P426=0,"",[2]对账明细接口!$P426),"")</f>
        <v/>
      </c>
      <c r="V426" s="112" t="str">
        <f aca="false">IFERROR(IF([2]对账明细接口!$Q426=0,"",[2]对账明细接口!$Q426),"")</f>
        <v/>
      </c>
      <c r="W426" s="10" t="str">
        <f aca="false">IFERROR(IF([2]对账明细接口!$R426=0,"",[2]对账明细接口!$R426),"")</f>
        <v/>
      </c>
      <c r="X426" s="10" t="str">
        <f aca="false">IFERROR(IF([2]对账明细接口!$S426=0,"",[2]对账明细接口!$S426),"")</f>
        <v/>
      </c>
      <c r="Y426" s="10" t="str">
        <f aca="false">IFERROR(IF([2]对账明细接口!$T426=0,"",[2]对账明细接口!$T426),"")</f>
        <v/>
      </c>
      <c r="Z426" s="113" t="str">
        <f aca="false">IFERROR(IF([2]对账明细接口!$U426=0,"",[2]对账明细接口!$U426),"")</f>
        <v/>
      </c>
      <c r="AA426" s="113" t="str">
        <f aca="false">IFERROR(IF([2]对账明细接口!$V426=0,"",[2]对账明细接口!$V426),"")</f>
        <v/>
      </c>
      <c r="AB426" s="10" t="str">
        <f aca="false">IFERROR(IF([2]对账明细接口!$W426=0,"",[2]对账明细接口!$W426),"")</f>
        <v/>
      </c>
      <c r="AC426" s="90" t="str">
        <f aca="false">IFERROR(IF([2]对账明细接口!$X427=0,"",[2]对账明细接口!$X427),"")</f>
        <v/>
      </c>
      <c r="AD426" s="90" t="str">
        <f aca="false">IFERROR(IF([2]对账明细接口!$Y427=0,"",[2]对账明细接口!$Y427),"")</f>
        <v/>
      </c>
      <c r="AE426" s="90" t="str">
        <f aca="false">IFERROR(IF([2]对账明细接口!$AA427=0,"",[2]对账明细接口!$AA427),"")</f>
        <v/>
      </c>
      <c r="AF426" s="90" t="str">
        <f aca="false">IFERROR(IF([2]对账明细接口!$AB427=0,"",[2]对账明细接口!$AB427),"")</f>
        <v/>
      </c>
      <c r="AG426" s="90" t="str">
        <f aca="false">IFERROR(IF([2]对账明细接口!$AC427=0,"",[2]对账明细接口!$AC427),"")</f>
        <v/>
      </c>
      <c r="AH426" s="90" t="str">
        <f aca="false">IFERROR(IF([2]对账明细接口!$AD427=0,"",[2]对账明细接口!$AD427),"")</f>
        <v/>
      </c>
    </row>
    <row r="427" customFormat="false" ht="13.5" hidden="false" customHeight="false" outlineLevel="0" collapsed="false">
      <c r="A427" s="109" t="n">
        <v>427</v>
      </c>
      <c r="B427" s="110" t="str">
        <f aca="false">IFERROR(IF([2]对账明细接口!$B$427=0,"",[2]对账明细接口!$B$427),"")</f>
        <v/>
      </c>
      <c r="C427" s="59" t="str">
        <f aca="false">IFERROR(IF([2]对账明细接口!$C$427=0,"",[2]对账明细接口!$C$427),"")</f>
        <v/>
      </c>
      <c r="D427" s="59" t="str">
        <f aca="false">IFERROR(IF([2]对账明细接口!$D$427=0,"",[2]对账明细接口!$D$427),"")</f>
        <v/>
      </c>
      <c r="E427" s="59" t="str">
        <f aca="false">IFERROR(IF([2]对账明细接口!$E$427=0,"",[2]对账明细接口!$E$427),"")</f>
        <v/>
      </c>
      <c r="F427" s="59" t="str">
        <f aca="false">IFERROR(IF([2]对账明细接口!$F$427=0,"",[2]对账明细接口!$F$427),"")</f>
        <v/>
      </c>
      <c r="G427" s="59" t="str">
        <f aca="false">IFERROR(IF([2]对账明细接口!$G$427=0,"",[2]对账明细接口!$G$427),"")</f>
        <v/>
      </c>
      <c r="H427" s="60" t="str">
        <f aca="false">IFERROR(IF([2]对账明细接口!$H$427=0,"",[2]对账明细接口!$H$427),"")</f>
        <v/>
      </c>
      <c r="I427" s="59" t="str">
        <f aca="false">IFERROR(IF([2]对账明细接口!$I$427=0,"",[2]对账明细接口!$I$427),"")</f>
        <v/>
      </c>
      <c r="J427" s="61" t="str">
        <f aca="false">IFERROR(IF([2]对账明细接口!$J$427=0,"",[2]对账明细接口!$J$427),"")</f>
        <v/>
      </c>
      <c r="K427" s="61" t="str">
        <f aca="false">IFERROR(IF([2]对账明细接口!$K$427=0,"",[2]对账明细接口!$K$427),"")</f>
        <v/>
      </c>
      <c r="L427" s="59" t="str">
        <f aca="false">IFERROR(IF([2]对账明细接口!$L$427=0,"",[2]对账明细接口!$L$427),"")</f>
        <v/>
      </c>
      <c r="M427" s="59" t="str">
        <f aca="false">IFERROR(IF([2]对账明细接口!$M$427=0,"",[2]对账明细接口!$M$427),"")</f>
        <v/>
      </c>
      <c r="N427" s="111" t="n">
        <f aca="false">IF($C427="",0,1)</f>
        <v>0</v>
      </c>
      <c r="O427" s="111" t="n">
        <f aca="false">N(O426)+$N427</f>
        <v>311</v>
      </c>
      <c r="S427" s="10" t="str">
        <f aca="false">IFERROR(IF([2]对账明细接口!$N427=0,"",[2]对账明细接口!$N427),"")</f>
        <v/>
      </c>
      <c r="T427" s="112" t="str">
        <f aca="false">IFERROR(IF([2]对账明细接口!$O427=0,"",[2]对账明细接口!$O427),"")</f>
        <v/>
      </c>
      <c r="U427" s="112" t="str">
        <f aca="false">IFERROR(IF([2]对账明细接口!$P427=0,"",[2]对账明细接口!$P427),"")</f>
        <v/>
      </c>
      <c r="V427" s="112" t="str">
        <f aca="false">IFERROR(IF([2]对账明细接口!$Q427=0,"",[2]对账明细接口!$Q427),"")</f>
        <v/>
      </c>
      <c r="W427" s="10" t="str">
        <f aca="false">IFERROR(IF([2]对账明细接口!$R427=0,"",[2]对账明细接口!$R427),"")</f>
        <v/>
      </c>
      <c r="X427" s="10" t="str">
        <f aca="false">IFERROR(IF([2]对账明细接口!$S427=0,"",[2]对账明细接口!$S427),"")</f>
        <v/>
      </c>
      <c r="Y427" s="10" t="str">
        <f aca="false">IFERROR(IF([2]对账明细接口!$T427=0,"",[2]对账明细接口!$T427),"")</f>
        <v/>
      </c>
      <c r="Z427" s="113" t="str">
        <f aca="false">IFERROR(IF([2]对账明细接口!$U427=0,"",[2]对账明细接口!$U427),"")</f>
        <v/>
      </c>
      <c r="AA427" s="113" t="str">
        <f aca="false">IFERROR(IF([2]对账明细接口!$V427=0,"",[2]对账明细接口!$V427),"")</f>
        <v/>
      </c>
      <c r="AB427" s="10" t="str">
        <f aca="false">IFERROR(IF([2]对账明细接口!$W427=0,"",[2]对账明细接口!$W427),"")</f>
        <v/>
      </c>
      <c r="AC427" s="90" t="str">
        <f aca="false">IFERROR(IF([2]对账明细接口!$X428=0,"",[2]对账明细接口!$X428),"")</f>
        <v/>
      </c>
      <c r="AD427" s="90" t="str">
        <f aca="false">IFERROR(IF([2]对账明细接口!$Y428=0,"",[2]对账明细接口!$Y428),"")</f>
        <v/>
      </c>
      <c r="AE427" s="90" t="str">
        <f aca="false">IFERROR(IF([2]对账明细接口!$AA428=0,"",[2]对账明细接口!$AA428),"")</f>
        <v/>
      </c>
      <c r="AF427" s="90" t="str">
        <f aca="false">IFERROR(IF([2]对账明细接口!$AB428=0,"",[2]对账明细接口!$AB428),"")</f>
        <v/>
      </c>
      <c r="AG427" s="90" t="str">
        <f aca="false">IFERROR(IF([2]对账明细接口!$AC428=0,"",[2]对账明细接口!$AC428),"")</f>
        <v/>
      </c>
      <c r="AH427" s="90" t="str">
        <f aca="false">IFERROR(IF([2]对账明细接口!$AD428=0,"",[2]对账明细接口!$AD428),"")</f>
        <v/>
      </c>
    </row>
    <row r="428" customFormat="false" ht="13.5" hidden="false" customHeight="false" outlineLevel="0" collapsed="false">
      <c r="A428" s="109" t="n">
        <v>428</v>
      </c>
      <c r="B428" s="110" t="str">
        <f aca="false">IFERROR(IF([2]对账明细接口!$B$428=0,"",[2]对账明细接口!$B$428),"")</f>
        <v/>
      </c>
      <c r="C428" s="59" t="str">
        <f aca="false">IFERROR(IF([2]对账明细接口!$C$428=0,"",[2]对账明细接口!$C$428),"")</f>
        <v/>
      </c>
      <c r="D428" s="59" t="str">
        <f aca="false">IFERROR(IF([2]对账明细接口!$D$428=0,"",[2]对账明细接口!$D$428),"")</f>
        <v/>
      </c>
      <c r="E428" s="59" t="str">
        <f aca="false">IFERROR(IF([2]对账明细接口!$E$428=0,"",[2]对账明细接口!$E$428),"")</f>
        <v/>
      </c>
      <c r="F428" s="59" t="str">
        <f aca="false">IFERROR(IF([2]对账明细接口!$F$428=0,"",[2]对账明细接口!$F$428),"")</f>
        <v/>
      </c>
      <c r="G428" s="59" t="str">
        <f aca="false">IFERROR(IF([2]对账明细接口!$G$428=0,"",[2]对账明细接口!$G$428),"")</f>
        <v/>
      </c>
      <c r="H428" s="60" t="str">
        <f aca="false">IFERROR(IF([2]对账明细接口!$H$428=0,"",[2]对账明细接口!$H$428),"")</f>
        <v/>
      </c>
      <c r="I428" s="59" t="str">
        <f aca="false">IFERROR(IF([2]对账明细接口!$I$428=0,"",[2]对账明细接口!$I$428),"")</f>
        <v/>
      </c>
      <c r="J428" s="61" t="str">
        <f aca="false">IFERROR(IF([2]对账明细接口!$J$428=0,"",[2]对账明细接口!$J$428),"")</f>
        <v/>
      </c>
      <c r="K428" s="61" t="str">
        <f aca="false">IFERROR(IF([2]对账明细接口!$K$428=0,"",[2]对账明细接口!$K$428),"")</f>
        <v/>
      </c>
      <c r="L428" s="59" t="str">
        <f aca="false">IFERROR(IF([2]对账明细接口!$L$428=0,"",[2]对账明细接口!$L$428),"")</f>
        <v/>
      </c>
      <c r="M428" s="59" t="str">
        <f aca="false">IFERROR(IF([2]对账明细接口!$M$428=0,"",[2]对账明细接口!$M$428),"")</f>
        <v/>
      </c>
      <c r="N428" s="111" t="n">
        <f aca="false">IF($C428="",0,1)</f>
        <v>0</v>
      </c>
      <c r="O428" s="111" t="n">
        <f aca="false">N(O427)+$N428</f>
        <v>311</v>
      </c>
      <c r="S428" s="10" t="str">
        <f aca="false">IFERROR(IF([2]对账明细接口!$N428=0,"",[2]对账明细接口!$N428),"")</f>
        <v/>
      </c>
      <c r="T428" s="112" t="str">
        <f aca="false">IFERROR(IF([2]对账明细接口!$O428=0,"",[2]对账明细接口!$O428),"")</f>
        <v/>
      </c>
      <c r="U428" s="112" t="str">
        <f aca="false">IFERROR(IF([2]对账明细接口!$P428=0,"",[2]对账明细接口!$P428),"")</f>
        <v/>
      </c>
      <c r="V428" s="112" t="str">
        <f aca="false">IFERROR(IF([2]对账明细接口!$Q428=0,"",[2]对账明细接口!$Q428),"")</f>
        <v/>
      </c>
      <c r="W428" s="10" t="str">
        <f aca="false">IFERROR(IF([2]对账明细接口!$R428=0,"",[2]对账明细接口!$R428),"")</f>
        <v/>
      </c>
      <c r="X428" s="10" t="str">
        <f aca="false">IFERROR(IF([2]对账明细接口!$S428=0,"",[2]对账明细接口!$S428),"")</f>
        <v/>
      </c>
      <c r="Y428" s="10" t="str">
        <f aca="false">IFERROR(IF([2]对账明细接口!$T428=0,"",[2]对账明细接口!$T428),"")</f>
        <v/>
      </c>
      <c r="Z428" s="113" t="str">
        <f aca="false">IFERROR(IF([2]对账明细接口!$U428=0,"",[2]对账明细接口!$U428),"")</f>
        <v/>
      </c>
      <c r="AA428" s="113" t="str">
        <f aca="false">IFERROR(IF([2]对账明细接口!$V428=0,"",[2]对账明细接口!$V428),"")</f>
        <v/>
      </c>
      <c r="AB428" s="10" t="str">
        <f aca="false">IFERROR(IF([2]对账明细接口!$W428=0,"",[2]对账明细接口!$W428),"")</f>
        <v/>
      </c>
      <c r="AC428" s="90" t="str">
        <f aca="false">IFERROR(IF([2]对账明细接口!$X429=0,"",[2]对账明细接口!$X429),"")</f>
        <v/>
      </c>
      <c r="AD428" s="90" t="str">
        <f aca="false">IFERROR(IF([2]对账明细接口!$Y429=0,"",[2]对账明细接口!$Y429),"")</f>
        <v/>
      </c>
      <c r="AE428" s="90" t="str">
        <f aca="false">IFERROR(IF([2]对账明细接口!$AA429=0,"",[2]对账明细接口!$AA429),"")</f>
        <v/>
      </c>
      <c r="AF428" s="90" t="str">
        <f aca="false">IFERROR(IF([2]对账明细接口!$AB429=0,"",[2]对账明细接口!$AB429),"")</f>
        <v/>
      </c>
      <c r="AG428" s="90" t="str">
        <f aca="false">IFERROR(IF([2]对账明细接口!$AC429=0,"",[2]对账明细接口!$AC429),"")</f>
        <v/>
      </c>
      <c r="AH428" s="90" t="str">
        <f aca="false">IFERROR(IF([2]对账明细接口!$AD429=0,"",[2]对账明细接口!$AD429),"")</f>
        <v/>
      </c>
    </row>
    <row r="429" customFormat="false" ht="13.5" hidden="false" customHeight="false" outlineLevel="0" collapsed="false">
      <c r="A429" s="109" t="n">
        <v>429</v>
      </c>
      <c r="B429" s="110" t="str">
        <f aca="false">IFERROR(IF([2]对账明细接口!$B$429=0,"",[2]对账明细接口!$B$429),"")</f>
        <v/>
      </c>
      <c r="C429" s="59" t="str">
        <f aca="false">IFERROR(IF([2]对账明细接口!$C$429=0,"",[2]对账明细接口!$C$429),"")</f>
        <v/>
      </c>
      <c r="D429" s="59" t="str">
        <f aca="false">IFERROR(IF([2]对账明细接口!$D$429=0,"",[2]对账明细接口!$D$429),"")</f>
        <v/>
      </c>
      <c r="E429" s="59" t="str">
        <f aca="false">IFERROR(IF([2]对账明细接口!$E$429=0,"",[2]对账明细接口!$E$429),"")</f>
        <v/>
      </c>
      <c r="F429" s="59" t="str">
        <f aca="false">IFERROR(IF([2]对账明细接口!$F$429=0,"",[2]对账明细接口!$F$429),"")</f>
        <v/>
      </c>
      <c r="G429" s="59" t="str">
        <f aca="false">IFERROR(IF([2]对账明细接口!$G$429=0,"",[2]对账明细接口!$G$429),"")</f>
        <v/>
      </c>
      <c r="H429" s="60" t="str">
        <f aca="false">IFERROR(IF([2]对账明细接口!$H$429=0,"",[2]对账明细接口!$H$429),"")</f>
        <v/>
      </c>
      <c r="I429" s="59" t="str">
        <f aca="false">IFERROR(IF([2]对账明细接口!$I$429=0,"",[2]对账明细接口!$I$429),"")</f>
        <v/>
      </c>
      <c r="J429" s="61" t="str">
        <f aca="false">IFERROR(IF([2]对账明细接口!$J$429=0,"",[2]对账明细接口!$J$429),"")</f>
        <v/>
      </c>
      <c r="K429" s="61" t="str">
        <f aca="false">IFERROR(IF([2]对账明细接口!$K$429=0,"",[2]对账明细接口!$K$429),"")</f>
        <v/>
      </c>
      <c r="L429" s="59" t="str">
        <f aca="false">IFERROR(IF([2]对账明细接口!$L$429=0,"",[2]对账明细接口!$L$429),"")</f>
        <v/>
      </c>
      <c r="M429" s="59" t="str">
        <f aca="false">IFERROR(IF([2]对账明细接口!$M$429=0,"",[2]对账明细接口!$M$429),"")</f>
        <v/>
      </c>
      <c r="N429" s="111" t="n">
        <f aca="false">IF($C429="",0,1)</f>
        <v>0</v>
      </c>
      <c r="O429" s="111" t="n">
        <f aca="false">N(O428)+$N429</f>
        <v>311</v>
      </c>
      <c r="S429" s="10" t="str">
        <f aca="false">IFERROR(IF([2]对账明细接口!$N429=0,"",[2]对账明细接口!$N429),"")</f>
        <v/>
      </c>
      <c r="T429" s="112" t="str">
        <f aca="false">IFERROR(IF([2]对账明细接口!$O429=0,"",[2]对账明细接口!$O429),"")</f>
        <v/>
      </c>
      <c r="U429" s="112" t="str">
        <f aca="false">IFERROR(IF([2]对账明细接口!$P429=0,"",[2]对账明细接口!$P429),"")</f>
        <v/>
      </c>
      <c r="V429" s="112" t="str">
        <f aca="false">IFERROR(IF([2]对账明细接口!$Q429=0,"",[2]对账明细接口!$Q429),"")</f>
        <v/>
      </c>
      <c r="W429" s="10" t="str">
        <f aca="false">IFERROR(IF([2]对账明细接口!$R429=0,"",[2]对账明细接口!$R429),"")</f>
        <v/>
      </c>
      <c r="X429" s="10" t="str">
        <f aca="false">IFERROR(IF([2]对账明细接口!$S429=0,"",[2]对账明细接口!$S429),"")</f>
        <v/>
      </c>
      <c r="Y429" s="10" t="str">
        <f aca="false">IFERROR(IF([2]对账明细接口!$T429=0,"",[2]对账明细接口!$T429),"")</f>
        <v/>
      </c>
      <c r="Z429" s="113" t="str">
        <f aca="false">IFERROR(IF([2]对账明细接口!$U429=0,"",[2]对账明细接口!$U429),"")</f>
        <v/>
      </c>
      <c r="AA429" s="113" t="str">
        <f aca="false">IFERROR(IF([2]对账明细接口!$V429=0,"",[2]对账明细接口!$V429),"")</f>
        <v/>
      </c>
      <c r="AB429" s="10" t="str">
        <f aca="false">IFERROR(IF([2]对账明细接口!$W429=0,"",[2]对账明细接口!$W429),"")</f>
        <v/>
      </c>
      <c r="AC429" s="90" t="str">
        <f aca="false">IFERROR(IF([2]对账明细接口!$X430=0,"",[2]对账明细接口!$X430),"")</f>
        <v/>
      </c>
      <c r="AD429" s="90" t="str">
        <f aca="false">IFERROR(IF([2]对账明细接口!$Y430=0,"",[2]对账明细接口!$Y430),"")</f>
        <v/>
      </c>
      <c r="AE429" s="90" t="str">
        <f aca="false">IFERROR(IF([2]对账明细接口!$AA430=0,"",[2]对账明细接口!$AA430),"")</f>
        <v/>
      </c>
      <c r="AF429" s="90" t="str">
        <f aca="false">IFERROR(IF([2]对账明细接口!$AB430=0,"",[2]对账明细接口!$AB430),"")</f>
        <v/>
      </c>
      <c r="AG429" s="90" t="str">
        <f aca="false">IFERROR(IF([2]对账明细接口!$AC430=0,"",[2]对账明细接口!$AC430),"")</f>
        <v/>
      </c>
      <c r="AH429" s="90" t="str">
        <f aca="false">IFERROR(IF([2]对账明细接口!$AD430=0,"",[2]对账明细接口!$AD430),"")</f>
        <v/>
      </c>
    </row>
    <row r="430" customFormat="false" ht="13.5" hidden="false" customHeight="false" outlineLevel="0" collapsed="false">
      <c r="A430" s="109" t="n">
        <v>430</v>
      </c>
      <c r="B430" s="110" t="str">
        <f aca="false">IFERROR(IF([2]对账明细接口!$B$430=0,"",[2]对账明细接口!$B$430),"")</f>
        <v/>
      </c>
      <c r="C430" s="59" t="str">
        <f aca="false">IFERROR(IF([2]对账明细接口!$C$430=0,"",[2]对账明细接口!$C$430),"")</f>
        <v/>
      </c>
      <c r="D430" s="59" t="str">
        <f aca="false">IFERROR(IF([2]对账明细接口!$D$430=0,"",[2]对账明细接口!$D$430),"")</f>
        <v/>
      </c>
      <c r="E430" s="59" t="str">
        <f aca="false">IFERROR(IF([2]对账明细接口!$E$430=0,"",[2]对账明细接口!$E$430),"")</f>
        <v/>
      </c>
      <c r="F430" s="59" t="str">
        <f aca="false">IFERROR(IF([2]对账明细接口!$F$430=0,"",[2]对账明细接口!$F$430),"")</f>
        <v/>
      </c>
      <c r="G430" s="59" t="str">
        <f aca="false">IFERROR(IF([2]对账明细接口!$G$430=0,"",[2]对账明细接口!$G$430),"")</f>
        <v/>
      </c>
      <c r="H430" s="60" t="str">
        <f aca="false">IFERROR(IF([2]对账明细接口!$H$430=0,"",[2]对账明细接口!$H$430),"")</f>
        <v/>
      </c>
      <c r="I430" s="59" t="str">
        <f aca="false">IFERROR(IF([2]对账明细接口!$I$430=0,"",[2]对账明细接口!$I$430),"")</f>
        <v/>
      </c>
      <c r="J430" s="61" t="str">
        <f aca="false">IFERROR(IF([2]对账明细接口!$J$430=0,"",[2]对账明细接口!$J$430),"")</f>
        <v/>
      </c>
      <c r="K430" s="61" t="str">
        <f aca="false">IFERROR(IF([2]对账明细接口!$K$430=0,"",[2]对账明细接口!$K$430),"")</f>
        <v/>
      </c>
      <c r="L430" s="59" t="str">
        <f aca="false">IFERROR(IF([2]对账明细接口!$L$430=0,"",[2]对账明细接口!$L$430),"")</f>
        <v/>
      </c>
      <c r="M430" s="59" t="str">
        <f aca="false">IFERROR(IF([2]对账明细接口!$M$430=0,"",[2]对账明细接口!$M$430),"")</f>
        <v/>
      </c>
      <c r="N430" s="111" t="n">
        <f aca="false">IF($C430="",0,1)</f>
        <v>0</v>
      </c>
      <c r="O430" s="111" t="n">
        <f aca="false">N(O429)+$N430</f>
        <v>311</v>
      </c>
      <c r="S430" s="10" t="str">
        <f aca="false">IFERROR(IF([2]对账明细接口!$N430=0,"",[2]对账明细接口!$N430),"")</f>
        <v/>
      </c>
      <c r="T430" s="112" t="str">
        <f aca="false">IFERROR(IF([2]对账明细接口!$O430=0,"",[2]对账明细接口!$O430),"")</f>
        <v/>
      </c>
      <c r="U430" s="112" t="str">
        <f aca="false">IFERROR(IF([2]对账明细接口!$P430=0,"",[2]对账明细接口!$P430),"")</f>
        <v/>
      </c>
      <c r="V430" s="112" t="str">
        <f aca="false">IFERROR(IF([2]对账明细接口!$Q430=0,"",[2]对账明细接口!$Q430),"")</f>
        <v/>
      </c>
      <c r="W430" s="10" t="str">
        <f aca="false">IFERROR(IF([2]对账明细接口!$R430=0,"",[2]对账明细接口!$R430),"")</f>
        <v/>
      </c>
      <c r="X430" s="10" t="str">
        <f aca="false">IFERROR(IF([2]对账明细接口!$S430=0,"",[2]对账明细接口!$S430),"")</f>
        <v/>
      </c>
      <c r="Y430" s="10" t="str">
        <f aca="false">IFERROR(IF([2]对账明细接口!$T430=0,"",[2]对账明细接口!$T430),"")</f>
        <v/>
      </c>
      <c r="Z430" s="113" t="str">
        <f aca="false">IFERROR(IF([2]对账明细接口!$U430=0,"",[2]对账明细接口!$U430),"")</f>
        <v/>
      </c>
      <c r="AA430" s="113" t="str">
        <f aca="false">IFERROR(IF([2]对账明细接口!$V430=0,"",[2]对账明细接口!$V430),"")</f>
        <v/>
      </c>
      <c r="AB430" s="10" t="str">
        <f aca="false">IFERROR(IF([2]对账明细接口!$W430=0,"",[2]对账明细接口!$W430),"")</f>
        <v/>
      </c>
      <c r="AC430" s="90" t="str">
        <f aca="false">IFERROR(IF([2]对账明细接口!$X431=0,"",[2]对账明细接口!$X431),"")</f>
        <v/>
      </c>
      <c r="AD430" s="90" t="str">
        <f aca="false">IFERROR(IF([2]对账明细接口!$Y431=0,"",[2]对账明细接口!$Y431),"")</f>
        <v/>
      </c>
      <c r="AE430" s="90" t="str">
        <f aca="false">IFERROR(IF([2]对账明细接口!$AA431=0,"",[2]对账明细接口!$AA431),"")</f>
        <v/>
      </c>
      <c r="AF430" s="90" t="str">
        <f aca="false">IFERROR(IF([2]对账明细接口!$AB431=0,"",[2]对账明细接口!$AB431),"")</f>
        <v/>
      </c>
      <c r="AG430" s="90" t="str">
        <f aca="false">IFERROR(IF([2]对账明细接口!$AC431=0,"",[2]对账明细接口!$AC431),"")</f>
        <v/>
      </c>
      <c r="AH430" s="90" t="str">
        <f aca="false">IFERROR(IF([2]对账明细接口!$AD431=0,"",[2]对账明细接口!$AD431),"")</f>
        <v/>
      </c>
    </row>
    <row r="431" customFormat="false" ht="13.5" hidden="false" customHeight="false" outlineLevel="0" collapsed="false">
      <c r="A431" s="109" t="n">
        <v>431</v>
      </c>
      <c r="B431" s="110" t="str">
        <f aca="false">IFERROR(IF([2]对账明细接口!$B$431=0,"",[2]对账明细接口!$B$431),"")</f>
        <v/>
      </c>
      <c r="C431" s="59" t="str">
        <f aca="false">IFERROR(IF([2]对账明细接口!$C$431=0,"",[2]对账明细接口!$C$431),"")</f>
        <v/>
      </c>
      <c r="D431" s="59" t="str">
        <f aca="false">IFERROR(IF([2]对账明细接口!$D$431=0,"",[2]对账明细接口!$D$431),"")</f>
        <v/>
      </c>
      <c r="E431" s="59" t="str">
        <f aca="false">IFERROR(IF([2]对账明细接口!$E$431=0,"",[2]对账明细接口!$E$431),"")</f>
        <v/>
      </c>
      <c r="F431" s="59" t="str">
        <f aca="false">IFERROR(IF([2]对账明细接口!$F$431=0,"",[2]对账明细接口!$F$431),"")</f>
        <v/>
      </c>
      <c r="G431" s="59" t="str">
        <f aca="false">IFERROR(IF([2]对账明细接口!$G$431=0,"",[2]对账明细接口!$G$431),"")</f>
        <v/>
      </c>
      <c r="H431" s="60" t="str">
        <f aca="false">IFERROR(IF([2]对账明细接口!$H$431=0,"",[2]对账明细接口!$H$431),"")</f>
        <v/>
      </c>
      <c r="I431" s="59" t="str">
        <f aca="false">IFERROR(IF([2]对账明细接口!$I$431=0,"",[2]对账明细接口!$I$431),"")</f>
        <v/>
      </c>
      <c r="J431" s="61" t="str">
        <f aca="false">IFERROR(IF([2]对账明细接口!$J$431=0,"",[2]对账明细接口!$J$431),"")</f>
        <v/>
      </c>
      <c r="K431" s="61" t="str">
        <f aca="false">IFERROR(IF([2]对账明细接口!$K$431=0,"",[2]对账明细接口!$K$431),"")</f>
        <v/>
      </c>
      <c r="L431" s="59" t="str">
        <f aca="false">IFERROR(IF([2]对账明细接口!$L$431=0,"",[2]对账明细接口!$L$431),"")</f>
        <v/>
      </c>
      <c r="M431" s="59" t="str">
        <f aca="false">IFERROR(IF([2]对账明细接口!$M$431=0,"",[2]对账明细接口!$M$431),"")</f>
        <v/>
      </c>
      <c r="N431" s="111" t="n">
        <f aca="false">IF($C431="",0,1)</f>
        <v>0</v>
      </c>
      <c r="O431" s="111" t="n">
        <f aca="false">N(O430)+$N431</f>
        <v>311</v>
      </c>
      <c r="S431" s="10" t="str">
        <f aca="false">IFERROR(IF([2]对账明细接口!$N431=0,"",[2]对账明细接口!$N431),"")</f>
        <v/>
      </c>
      <c r="T431" s="112" t="str">
        <f aca="false">IFERROR(IF([2]对账明细接口!$O431=0,"",[2]对账明细接口!$O431),"")</f>
        <v/>
      </c>
      <c r="U431" s="112" t="str">
        <f aca="false">IFERROR(IF([2]对账明细接口!$P431=0,"",[2]对账明细接口!$P431),"")</f>
        <v/>
      </c>
      <c r="V431" s="112" t="str">
        <f aca="false">IFERROR(IF([2]对账明细接口!$Q431=0,"",[2]对账明细接口!$Q431),"")</f>
        <v/>
      </c>
      <c r="W431" s="10" t="str">
        <f aca="false">IFERROR(IF([2]对账明细接口!$R431=0,"",[2]对账明细接口!$R431),"")</f>
        <v/>
      </c>
      <c r="X431" s="10" t="str">
        <f aca="false">IFERROR(IF([2]对账明细接口!$S431=0,"",[2]对账明细接口!$S431),"")</f>
        <v/>
      </c>
      <c r="Y431" s="10" t="str">
        <f aca="false">IFERROR(IF([2]对账明细接口!$T431=0,"",[2]对账明细接口!$T431),"")</f>
        <v/>
      </c>
      <c r="Z431" s="113" t="str">
        <f aca="false">IFERROR(IF([2]对账明细接口!$U431=0,"",[2]对账明细接口!$U431),"")</f>
        <v/>
      </c>
      <c r="AA431" s="113" t="str">
        <f aca="false">IFERROR(IF([2]对账明细接口!$V431=0,"",[2]对账明细接口!$V431),"")</f>
        <v/>
      </c>
      <c r="AB431" s="10" t="str">
        <f aca="false">IFERROR(IF([2]对账明细接口!$W431=0,"",[2]对账明细接口!$W431),"")</f>
        <v/>
      </c>
      <c r="AC431" s="90" t="str">
        <f aca="false">IFERROR(IF([2]对账明细接口!$X432=0,"",[2]对账明细接口!$X432),"")</f>
        <v/>
      </c>
      <c r="AD431" s="90" t="str">
        <f aca="false">IFERROR(IF([2]对账明细接口!$Y432=0,"",[2]对账明细接口!$Y432),"")</f>
        <v/>
      </c>
      <c r="AE431" s="90" t="str">
        <f aca="false">IFERROR(IF([2]对账明细接口!$AA432=0,"",[2]对账明细接口!$AA432),"")</f>
        <v/>
      </c>
      <c r="AF431" s="90" t="str">
        <f aca="false">IFERROR(IF([2]对账明细接口!$AB432=0,"",[2]对账明细接口!$AB432),"")</f>
        <v/>
      </c>
      <c r="AG431" s="90" t="str">
        <f aca="false">IFERROR(IF([2]对账明细接口!$AC432=0,"",[2]对账明细接口!$AC432),"")</f>
        <v/>
      </c>
      <c r="AH431" s="90" t="str">
        <f aca="false">IFERROR(IF([2]对账明细接口!$AD432=0,"",[2]对账明细接口!$AD432),"")</f>
        <v/>
      </c>
    </row>
    <row r="432" customFormat="false" ht="13.5" hidden="false" customHeight="false" outlineLevel="0" collapsed="false">
      <c r="A432" s="109" t="n">
        <v>432</v>
      </c>
      <c r="B432" s="110" t="str">
        <f aca="false">IFERROR(IF([2]对账明细接口!$B$432=0,"",[2]对账明细接口!$B$432),"")</f>
        <v/>
      </c>
      <c r="C432" s="59" t="str">
        <f aca="false">IFERROR(IF([2]对账明细接口!$C$432=0,"",[2]对账明细接口!$C$432),"")</f>
        <v/>
      </c>
      <c r="D432" s="59" t="str">
        <f aca="false">IFERROR(IF([2]对账明细接口!$D$432=0,"",[2]对账明细接口!$D$432),"")</f>
        <v/>
      </c>
      <c r="E432" s="59" t="str">
        <f aca="false">IFERROR(IF([2]对账明细接口!$E$432=0,"",[2]对账明细接口!$E$432),"")</f>
        <v/>
      </c>
      <c r="F432" s="59" t="str">
        <f aca="false">IFERROR(IF([2]对账明细接口!$F$432=0,"",[2]对账明细接口!$F$432),"")</f>
        <v/>
      </c>
      <c r="G432" s="59" t="str">
        <f aca="false">IFERROR(IF([2]对账明细接口!$G$432=0,"",[2]对账明细接口!$G$432),"")</f>
        <v/>
      </c>
      <c r="H432" s="60" t="str">
        <f aca="false">IFERROR(IF([2]对账明细接口!$H$432=0,"",[2]对账明细接口!$H$432),"")</f>
        <v/>
      </c>
      <c r="I432" s="59" t="str">
        <f aca="false">IFERROR(IF([2]对账明细接口!$I$432=0,"",[2]对账明细接口!$I$432),"")</f>
        <v/>
      </c>
      <c r="J432" s="61" t="str">
        <f aca="false">IFERROR(IF([2]对账明细接口!$J$432=0,"",[2]对账明细接口!$J$432),"")</f>
        <v/>
      </c>
      <c r="K432" s="61" t="str">
        <f aca="false">IFERROR(IF([2]对账明细接口!$K$432=0,"",[2]对账明细接口!$K$432),"")</f>
        <v/>
      </c>
      <c r="L432" s="59" t="str">
        <f aca="false">IFERROR(IF([2]对账明细接口!$L$432=0,"",[2]对账明细接口!$L$432),"")</f>
        <v/>
      </c>
      <c r="M432" s="59" t="str">
        <f aca="false">IFERROR(IF([2]对账明细接口!$M$432=0,"",[2]对账明细接口!$M$432),"")</f>
        <v/>
      </c>
      <c r="N432" s="111" t="n">
        <f aca="false">IF($C432="",0,1)</f>
        <v>0</v>
      </c>
      <c r="O432" s="111" t="n">
        <f aca="false">N(O431)+$N432</f>
        <v>311</v>
      </c>
      <c r="S432" s="10" t="str">
        <f aca="false">IFERROR(IF([2]对账明细接口!$N432=0,"",[2]对账明细接口!$N432),"")</f>
        <v/>
      </c>
      <c r="T432" s="112" t="str">
        <f aca="false">IFERROR(IF([2]对账明细接口!$O432=0,"",[2]对账明细接口!$O432),"")</f>
        <v/>
      </c>
      <c r="U432" s="112" t="str">
        <f aca="false">IFERROR(IF([2]对账明细接口!$P432=0,"",[2]对账明细接口!$P432),"")</f>
        <v/>
      </c>
      <c r="V432" s="112" t="str">
        <f aca="false">IFERROR(IF([2]对账明细接口!$Q432=0,"",[2]对账明细接口!$Q432),"")</f>
        <v/>
      </c>
      <c r="W432" s="10" t="str">
        <f aca="false">IFERROR(IF([2]对账明细接口!$R432=0,"",[2]对账明细接口!$R432),"")</f>
        <v/>
      </c>
      <c r="X432" s="10" t="str">
        <f aca="false">IFERROR(IF([2]对账明细接口!$S432=0,"",[2]对账明细接口!$S432),"")</f>
        <v/>
      </c>
      <c r="Y432" s="10" t="str">
        <f aca="false">IFERROR(IF([2]对账明细接口!$T432=0,"",[2]对账明细接口!$T432),"")</f>
        <v/>
      </c>
      <c r="Z432" s="113" t="str">
        <f aca="false">IFERROR(IF([2]对账明细接口!$U432=0,"",[2]对账明细接口!$U432),"")</f>
        <v/>
      </c>
      <c r="AA432" s="113" t="str">
        <f aca="false">IFERROR(IF([2]对账明细接口!$V432=0,"",[2]对账明细接口!$V432),"")</f>
        <v/>
      </c>
      <c r="AB432" s="10" t="str">
        <f aca="false">IFERROR(IF([2]对账明细接口!$W432=0,"",[2]对账明细接口!$W432),"")</f>
        <v/>
      </c>
      <c r="AC432" s="90" t="str">
        <f aca="false">IFERROR(IF([2]对账明细接口!$X433=0,"",[2]对账明细接口!$X433),"")</f>
        <v/>
      </c>
      <c r="AD432" s="90" t="str">
        <f aca="false">IFERROR(IF([2]对账明细接口!$Y433=0,"",[2]对账明细接口!$Y433),"")</f>
        <v/>
      </c>
      <c r="AE432" s="90" t="str">
        <f aca="false">IFERROR(IF([2]对账明细接口!$AA433=0,"",[2]对账明细接口!$AA433),"")</f>
        <v/>
      </c>
      <c r="AF432" s="90" t="str">
        <f aca="false">IFERROR(IF([2]对账明细接口!$AB433=0,"",[2]对账明细接口!$AB433),"")</f>
        <v/>
      </c>
      <c r="AG432" s="90" t="str">
        <f aca="false">IFERROR(IF([2]对账明细接口!$AC433=0,"",[2]对账明细接口!$AC433),"")</f>
        <v/>
      </c>
      <c r="AH432" s="90" t="str">
        <f aca="false">IFERROR(IF([2]对账明细接口!$AD433=0,"",[2]对账明细接口!$AD433),"")</f>
        <v/>
      </c>
    </row>
    <row r="433" customFormat="false" ht="13.5" hidden="false" customHeight="false" outlineLevel="0" collapsed="false">
      <c r="A433" s="109" t="n">
        <v>433</v>
      </c>
      <c r="B433" s="110" t="str">
        <f aca="false">IFERROR(IF([2]对账明细接口!$B$433=0,"",[2]对账明细接口!$B$433),"")</f>
        <v/>
      </c>
      <c r="C433" s="59" t="str">
        <f aca="false">IFERROR(IF([2]对账明细接口!$C$433=0,"",[2]对账明细接口!$C$433),"")</f>
        <v/>
      </c>
      <c r="D433" s="59" t="str">
        <f aca="false">IFERROR(IF([2]对账明细接口!$D$433=0,"",[2]对账明细接口!$D$433),"")</f>
        <v/>
      </c>
      <c r="E433" s="59" t="str">
        <f aca="false">IFERROR(IF([2]对账明细接口!$E$433=0,"",[2]对账明细接口!$E$433),"")</f>
        <v/>
      </c>
      <c r="F433" s="59" t="str">
        <f aca="false">IFERROR(IF([2]对账明细接口!$F$433=0,"",[2]对账明细接口!$F$433),"")</f>
        <v/>
      </c>
      <c r="G433" s="59" t="str">
        <f aca="false">IFERROR(IF([2]对账明细接口!$G$433=0,"",[2]对账明细接口!$G$433),"")</f>
        <v/>
      </c>
      <c r="H433" s="60" t="str">
        <f aca="false">IFERROR(IF([2]对账明细接口!$H$433=0,"",[2]对账明细接口!$H$433),"")</f>
        <v/>
      </c>
      <c r="I433" s="59" t="str">
        <f aca="false">IFERROR(IF([2]对账明细接口!$I$433=0,"",[2]对账明细接口!$I$433),"")</f>
        <v/>
      </c>
      <c r="J433" s="61" t="str">
        <f aca="false">IFERROR(IF([2]对账明细接口!$J$433=0,"",[2]对账明细接口!$J$433),"")</f>
        <v/>
      </c>
      <c r="K433" s="61" t="str">
        <f aca="false">IFERROR(IF([2]对账明细接口!$K$433=0,"",[2]对账明细接口!$K$433),"")</f>
        <v/>
      </c>
      <c r="L433" s="59" t="str">
        <f aca="false">IFERROR(IF([2]对账明细接口!$L$433=0,"",[2]对账明细接口!$L$433),"")</f>
        <v/>
      </c>
      <c r="M433" s="59" t="str">
        <f aca="false">IFERROR(IF([2]对账明细接口!$M$433=0,"",[2]对账明细接口!$M$433),"")</f>
        <v/>
      </c>
      <c r="N433" s="111" t="n">
        <f aca="false">IF($C433="",0,1)</f>
        <v>0</v>
      </c>
      <c r="O433" s="111" t="n">
        <f aca="false">N(O432)+$N433</f>
        <v>311</v>
      </c>
      <c r="S433" s="10" t="str">
        <f aca="false">IFERROR(IF([2]对账明细接口!$N433=0,"",[2]对账明细接口!$N433),"")</f>
        <v/>
      </c>
      <c r="T433" s="112" t="str">
        <f aca="false">IFERROR(IF([2]对账明细接口!$O433=0,"",[2]对账明细接口!$O433),"")</f>
        <v/>
      </c>
      <c r="U433" s="112" t="str">
        <f aca="false">IFERROR(IF([2]对账明细接口!$P433=0,"",[2]对账明细接口!$P433),"")</f>
        <v/>
      </c>
      <c r="V433" s="112" t="str">
        <f aca="false">IFERROR(IF([2]对账明细接口!$Q433=0,"",[2]对账明细接口!$Q433),"")</f>
        <v/>
      </c>
      <c r="W433" s="10" t="str">
        <f aca="false">IFERROR(IF([2]对账明细接口!$R433=0,"",[2]对账明细接口!$R433),"")</f>
        <v/>
      </c>
      <c r="X433" s="10" t="str">
        <f aca="false">IFERROR(IF([2]对账明细接口!$S433=0,"",[2]对账明细接口!$S433),"")</f>
        <v/>
      </c>
      <c r="Y433" s="10" t="str">
        <f aca="false">IFERROR(IF([2]对账明细接口!$T433=0,"",[2]对账明细接口!$T433),"")</f>
        <v/>
      </c>
      <c r="Z433" s="113" t="str">
        <f aca="false">IFERROR(IF([2]对账明细接口!$U433=0,"",[2]对账明细接口!$U433),"")</f>
        <v/>
      </c>
      <c r="AA433" s="113" t="str">
        <f aca="false">IFERROR(IF([2]对账明细接口!$V433=0,"",[2]对账明细接口!$V433),"")</f>
        <v/>
      </c>
      <c r="AB433" s="10" t="str">
        <f aca="false">IFERROR(IF([2]对账明细接口!$W433=0,"",[2]对账明细接口!$W433),"")</f>
        <v/>
      </c>
      <c r="AC433" s="90" t="str">
        <f aca="false">IFERROR(IF([2]对账明细接口!$X434=0,"",[2]对账明细接口!$X434),"")</f>
        <v/>
      </c>
      <c r="AD433" s="90" t="str">
        <f aca="false">IFERROR(IF([2]对账明细接口!$Y434=0,"",[2]对账明细接口!$Y434),"")</f>
        <v/>
      </c>
      <c r="AE433" s="90" t="str">
        <f aca="false">IFERROR(IF([2]对账明细接口!$AA434=0,"",[2]对账明细接口!$AA434),"")</f>
        <v/>
      </c>
      <c r="AF433" s="90" t="str">
        <f aca="false">IFERROR(IF([2]对账明细接口!$AB434=0,"",[2]对账明细接口!$AB434),"")</f>
        <v/>
      </c>
      <c r="AG433" s="90" t="str">
        <f aca="false">IFERROR(IF([2]对账明细接口!$AC434=0,"",[2]对账明细接口!$AC434),"")</f>
        <v/>
      </c>
      <c r="AH433" s="90" t="str">
        <f aca="false">IFERROR(IF([2]对账明细接口!$AD434=0,"",[2]对账明细接口!$AD434),"")</f>
        <v/>
      </c>
    </row>
    <row r="434" customFormat="false" ht="13.5" hidden="false" customHeight="false" outlineLevel="0" collapsed="false">
      <c r="A434" s="109" t="n">
        <v>434</v>
      </c>
      <c r="B434" s="110" t="str">
        <f aca="false">IFERROR(IF([2]对账明细接口!$B$434=0,"",[2]对账明细接口!$B$434),"")</f>
        <v/>
      </c>
      <c r="C434" s="59" t="str">
        <f aca="false">IFERROR(IF([2]对账明细接口!$C$434=0,"",[2]对账明细接口!$C$434),"")</f>
        <v/>
      </c>
      <c r="D434" s="59" t="str">
        <f aca="false">IFERROR(IF([2]对账明细接口!$D$434=0,"",[2]对账明细接口!$D$434),"")</f>
        <v/>
      </c>
      <c r="E434" s="59" t="str">
        <f aca="false">IFERROR(IF([2]对账明细接口!$E$434=0,"",[2]对账明细接口!$E$434),"")</f>
        <v/>
      </c>
      <c r="F434" s="59" t="str">
        <f aca="false">IFERROR(IF([2]对账明细接口!$F$434=0,"",[2]对账明细接口!$F$434),"")</f>
        <v/>
      </c>
      <c r="G434" s="59" t="str">
        <f aca="false">IFERROR(IF([2]对账明细接口!$G$434=0,"",[2]对账明细接口!$G$434),"")</f>
        <v/>
      </c>
      <c r="H434" s="60" t="str">
        <f aca="false">IFERROR(IF([2]对账明细接口!$H$434=0,"",[2]对账明细接口!$H$434),"")</f>
        <v/>
      </c>
      <c r="I434" s="59" t="str">
        <f aca="false">IFERROR(IF([2]对账明细接口!$I$434=0,"",[2]对账明细接口!$I$434),"")</f>
        <v/>
      </c>
      <c r="J434" s="61" t="str">
        <f aca="false">IFERROR(IF([2]对账明细接口!$J$434=0,"",[2]对账明细接口!$J$434),"")</f>
        <v/>
      </c>
      <c r="K434" s="61" t="str">
        <f aca="false">IFERROR(IF([2]对账明细接口!$K$434=0,"",[2]对账明细接口!$K$434),"")</f>
        <v/>
      </c>
      <c r="L434" s="59" t="str">
        <f aca="false">IFERROR(IF([2]对账明细接口!$L$434=0,"",[2]对账明细接口!$L$434),"")</f>
        <v/>
      </c>
      <c r="M434" s="59" t="str">
        <f aca="false">IFERROR(IF([2]对账明细接口!$M$434=0,"",[2]对账明细接口!$M$434),"")</f>
        <v/>
      </c>
      <c r="N434" s="111" t="n">
        <f aca="false">IF($C434="",0,1)</f>
        <v>0</v>
      </c>
      <c r="O434" s="111" t="n">
        <f aca="false">N(O433)+$N434</f>
        <v>311</v>
      </c>
      <c r="S434" s="10" t="str">
        <f aca="false">IFERROR(IF([2]对账明细接口!$N434=0,"",[2]对账明细接口!$N434),"")</f>
        <v/>
      </c>
      <c r="T434" s="112" t="str">
        <f aca="false">IFERROR(IF([2]对账明细接口!$O434=0,"",[2]对账明细接口!$O434),"")</f>
        <v/>
      </c>
      <c r="U434" s="112" t="str">
        <f aca="false">IFERROR(IF([2]对账明细接口!$P434=0,"",[2]对账明细接口!$P434),"")</f>
        <v/>
      </c>
      <c r="V434" s="112" t="str">
        <f aca="false">IFERROR(IF([2]对账明细接口!$Q434=0,"",[2]对账明细接口!$Q434),"")</f>
        <v/>
      </c>
      <c r="W434" s="10" t="str">
        <f aca="false">IFERROR(IF([2]对账明细接口!$R434=0,"",[2]对账明细接口!$R434),"")</f>
        <v/>
      </c>
      <c r="X434" s="10" t="str">
        <f aca="false">IFERROR(IF([2]对账明细接口!$S434=0,"",[2]对账明细接口!$S434),"")</f>
        <v/>
      </c>
      <c r="Y434" s="10" t="str">
        <f aca="false">IFERROR(IF([2]对账明细接口!$T434=0,"",[2]对账明细接口!$T434),"")</f>
        <v/>
      </c>
      <c r="Z434" s="113" t="str">
        <f aca="false">IFERROR(IF([2]对账明细接口!$U434=0,"",[2]对账明细接口!$U434),"")</f>
        <v/>
      </c>
      <c r="AA434" s="113" t="str">
        <f aca="false">IFERROR(IF([2]对账明细接口!$V434=0,"",[2]对账明细接口!$V434),"")</f>
        <v/>
      </c>
      <c r="AB434" s="10" t="str">
        <f aca="false">IFERROR(IF([2]对账明细接口!$W434=0,"",[2]对账明细接口!$W434),"")</f>
        <v/>
      </c>
      <c r="AC434" s="90" t="str">
        <f aca="false">IFERROR(IF([2]对账明细接口!$X435=0,"",[2]对账明细接口!$X435),"")</f>
        <v/>
      </c>
      <c r="AD434" s="90" t="str">
        <f aca="false">IFERROR(IF([2]对账明细接口!$Y435=0,"",[2]对账明细接口!$Y435),"")</f>
        <v/>
      </c>
      <c r="AE434" s="90" t="str">
        <f aca="false">IFERROR(IF([2]对账明细接口!$AA435=0,"",[2]对账明细接口!$AA435),"")</f>
        <v/>
      </c>
      <c r="AF434" s="90" t="str">
        <f aca="false">IFERROR(IF([2]对账明细接口!$AB435=0,"",[2]对账明细接口!$AB435),"")</f>
        <v/>
      </c>
      <c r="AG434" s="90" t="str">
        <f aca="false">IFERROR(IF([2]对账明细接口!$AC435=0,"",[2]对账明细接口!$AC435),"")</f>
        <v/>
      </c>
      <c r="AH434" s="90" t="str">
        <f aca="false">IFERROR(IF([2]对账明细接口!$AD435=0,"",[2]对账明细接口!$AD435),"")</f>
        <v/>
      </c>
    </row>
    <row r="435" customFormat="false" ht="13.5" hidden="false" customHeight="false" outlineLevel="0" collapsed="false">
      <c r="A435" s="109" t="n">
        <v>435</v>
      </c>
      <c r="B435" s="110" t="str">
        <f aca="false">IFERROR(IF([2]对账明细接口!$B$435=0,"",[2]对账明细接口!$B$435),"")</f>
        <v/>
      </c>
      <c r="C435" s="59" t="str">
        <f aca="false">IFERROR(IF([2]对账明细接口!$C$435=0,"",[2]对账明细接口!$C$435),"")</f>
        <v/>
      </c>
      <c r="D435" s="59" t="str">
        <f aca="false">IFERROR(IF([2]对账明细接口!$D$435=0,"",[2]对账明细接口!$D$435),"")</f>
        <v/>
      </c>
      <c r="E435" s="59" t="str">
        <f aca="false">IFERROR(IF([2]对账明细接口!$E$435=0,"",[2]对账明细接口!$E$435),"")</f>
        <v/>
      </c>
      <c r="F435" s="59" t="str">
        <f aca="false">IFERROR(IF([2]对账明细接口!$F$435=0,"",[2]对账明细接口!$F$435),"")</f>
        <v/>
      </c>
      <c r="G435" s="59" t="str">
        <f aca="false">IFERROR(IF([2]对账明细接口!$G$435=0,"",[2]对账明细接口!$G$435),"")</f>
        <v/>
      </c>
      <c r="H435" s="60" t="str">
        <f aca="false">IFERROR(IF([2]对账明细接口!$H$435=0,"",[2]对账明细接口!$H$435),"")</f>
        <v/>
      </c>
      <c r="I435" s="59" t="str">
        <f aca="false">IFERROR(IF([2]对账明细接口!$I$435=0,"",[2]对账明细接口!$I$435),"")</f>
        <v/>
      </c>
      <c r="J435" s="61" t="str">
        <f aca="false">IFERROR(IF([2]对账明细接口!$J$435=0,"",[2]对账明细接口!$J$435),"")</f>
        <v/>
      </c>
      <c r="K435" s="61" t="str">
        <f aca="false">IFERROR(IF([2]对账明细接口!$K$435=0,"",[2]对账明细接口!$K$435),"")</f>
        <v/>
      </c>
      <c r="L435" s="59" t="str">
        <f aca="false">IFERROR(IF([2]对账明细接口!$L$435=0,"",[2]对账明细接口!$L$435),"")</f>
        <v/>
      </c>
      <c r="M435" s="59" t="str">
        <f aca="false">IFERROR(IF([2]对账明细接口!$M$435=0,"",[2]对账明细接口!$M$435),"")</f>
        <v/>
      </c>
      <c r="N435" s="111" t="n">
        <f aca="false">IF($C435="",0,1)</f>
        <v>0</v>
      </c>
      <c r="O435" s="111" t="n">
        <f aca="false">N(O434)+$N435</f>
        <v>311</v>
      </c>
      <c r="S435" s="10" t="str">
        <f aca="false">IFERROR(IF([2]对账明细接口!$N435=0,"",[2]对账明细接口!$N435),"")</f>
        <v/>
      </c>
      <c r="T435" s="112" t="str">
        <f aca="false">IFERROR(IF([2]对账明细接口!$O435=0,"",[2]对账明细接口!$O435),"")</f>
        <v/>
      </c>
      <c r="U435" s="112" t="str">
        <f aca="false">IFERROR(IF([2]对账明细接口!$P435=0,"",[2]对账明细接口!$P435),"")</f>
        <v/>
      </c>
      <c r="V435" s="112" t="str">
        <f aca="false">IFERROR(IF([2]对账明细接口!$Q435=0,"",[2]对账明细接口!$Q435),"")</f>
        <v/>
      </c>
      <c r="W435" s="10" t="str">
        <f aca="false">IFERROR(IF([2]对账明细接口!$R435=0,"",[2]对账明细接口!$R435),"")</f>
        <v/>
      </c>
      <c r="X435" s="10" t="str">
        <f aca="false">IFERROR(IF([2]对账明细接口!$S435=0,"",[2]对账明细接口!$S435),"")</f>
        <v/>
      </c>
      <c r="Y435" s="10" t="str">
        <f aca="false">IFERROR(IF([2]对账明细接口!$T435=0,"",[2]对账明细接口!$T435),"")</f>
        <v/>
      </c>
      <c r="Z435" s="113" t="str">
        <f aca="false">IFERROR(IF([2]对账明细接口!$U435=0,"",[2]对账明细接口!$U435),"")</f>
        <v/>
      </c>
      <c r="AA435" s="113" t="str">
        <f aca="false">IFERROR(IF([2]对账明细接口!$V435=0,"",[2]对账明细接口!$V435),"")</f>
        <v/>
      </c>
      <c r="AB435" s="10" t="str">
        <f aca="false">IFERROR(IF([2]对账明细接口!$W435=0,"",[2]对账明细接口!$W435),"")</f>
        <v/>
      </c>
      <c r="AC435" s="90" t="str">
        <f aca="false">IFERROR(IF([2]对账明细接口!$X436=0,"",[2]对账明细接口!$X436),"")</f>
        <v/>
      </c>
      <c r="AD435" s="90" t="str">
        <f aca="false">IFERROR(IF([2]对账明细接口!$Y436=0,"",[2]对账明细接口!$Y436),"")</f>
        <v/>
      </c>
      <c r="AE435" s="90" t="str">
        <f aca="false">IFERROR(IF([2]对账明细接口!$AA436=0,"",[2]对账明细接口!$AA436),"")</f>
        <v/>
      </c>
      <c r="AF435" s="90" t="str">
        <f aca="false">IFERROR(IF([2]对账明细接口!$AB436=0,"",[2]对账明细接口!$AB436),"")</f>
        <v/>
      </c>
      <c r="AG435" s="90" t="str">
        <f aca="false">IFERROR(IF([2]对账明细接口!$AC436=0,"",[2]对账明细接口!$AC436),"")</f>
        <v/>
      </c>
      <c r="AH435" s="90" t="str">
        <f aca="false">IFERROR(IF([2]对账明细接口!$AD436=0,"",[2]对账明细接口!$AD436),"")</f>
        <v/>
      </c>
    </row>
    <row r="436" customFormat="false" ht="13.5" hidden="false" customHeight="false" outlineLevel="0" collapsed="false">
      <c r="A436" s="109" t="n">
        <v>436</v>
      </c>
      <c r="B436" s="110" t="str">
        <f aca="false">IFERROR(IF([2]对账明细接口!$B$436=0,"",[2]对账明细接口!$B$436),"")</f>
        <v/>
      </c>
      <c r="C436" s="59" t="str">
        <f aca="false">IFERROR(IF([2]对账明细接口!$C$436=0,"",[2]对账明细接口!$C$436),"")</f>
        <v/>
      </c>
      <c r="D436" s="59" t="str">
        <f aca="false">IFERROR(IF([2]对账明细接口!$D$436=0,"",[2]对账明细接口!$D$436),"")</f>
        <v/>
      </c>
      <c r="E436" s="59" t="str">
        <f aca="false">IFERROR(IF([2]对账明细接口!$E$436=0,"",[2]对账明细接口!$E$436),"")</f>
        <v/>
      </c>
      <c r="F436" s="59" t="str">
        <f aca="false">IFERROR(IF([2]对账明细接口!$F$436=0,"",[2]对账明细接口!$F$436),"")</f>
        <v/>
      </c>
      <c r="G436" s="59" t="str">
        <f aca="false">IFERROR(IF([2]对账明细接口!$G$436=0,"",[2]对账明细接口!$G$436),"")</f>
        <v/>
      </c>
      <c r="H436" s="60" t="str">
        <f aca="false">IFERROR(IF([2]对账明细接口!$H$436=0,"",[2]对账明细接口!$H$436),"")</f>
        <v/>
      </c>
      <c r="I436" s="59" t="str">
        <f aca="false">IFERROR(IF([2]对账明细接口!$I$436=0,"",[2]对账明细接口!$I$436),"")</f>
        <v/>
      </c>
      <c r="J436" s="61" t="str">
        <f aca="false">IFERROR(IF([2]对账明细接口!$J$436=0,"",[2]对账明细接口!$J$436),"")</f>
        <v/>
      </c>
      <c r="K436" s="61" t="str">
        <f aca="false">IFERROR(IF([2]对账明细接口!$K$436=0,"",[2]对账明细接口!$K$436),"")</f>
        <v/>
      </c>
      <c r="L436" s="59" t="str">
        <f aca="false">IFERROR(IF([2]对账明细接口!$L$436=0,"",[2]对账明细接口!$L$436),"")</f>
        <v/>
      </c>
      <c r="M436" s="59" t="str">
        <f aca="false">IFERROR(IF([2]对账明细接口!$M$436=0,"",[2]对账明细接口!$M$436),"")</f>
        <v/>
      </c>
      <c r="N436" s="111" t="n">
        <f aca="false">IF($C436="",0,1)</f>
        <v>0</v>
      </c>
      <c r="O436" s="111" t="n">
        <f aca="false">N(O435)+$N436</f>
        <v>311</v>
      </c>
      <c r="S436" s="10" t="str">
        <f aca="false">IFERROR(IF([2]对账明细接口!$N436=0,"",[2]对账明细接口!$N436),"")</f>
        <v/>
      </c>
      <c r="T436" s="112" t="str">
        <f aca="false">IFERROR(IF([2]对账明细接口!$O436=0,"",[2]对账明细接口!$O436),"")</f>
        <v/>
      </c>
      <c r="U436" s="112" t="str">
        <f aca="false">IFERROR(IF([2]对账明细接口!$P436=0,"",[2]对账明细接口!$P436),"")</f>
        <v/>
      </c>
      <c r="V436" s="112" t="str">
        <f aca="false">IFERROR(IF([2]对账明细接口!$Q436=0,"",[2]对账明细接口!$Q436),"")</f>
        <v/>
      </c>
      <c r="W436" s="10" t="str">
        <f aca="false">IFERROR(IF([2]对账明细接口!$R436=0,"",[2]对账明细接口!$R436),"")</f>
        <v/>
      </c>
      <c r="X436" s="10" t="str">
        <f aca="false">IFERROR(IF([2]对账明细接口!$S436=0,"",[2]对账明细接口!$S436),"")</f>
        <v/>
      </c>
      <c r="Y436" s="10" t="str">
        <f aca="false">IFERROR(IF([2]对账明细接口!$T436=0,"",[2]对账明细接口!$T436),"")</f>
        <v/>
      </c>
      <c r="Z436" s="113" t="str">
        <f aca="false">IFERROR(IF([2]对账明细接口!$U436=0,"",[2]对账明细接口!$U436),"")</f>
        <v/>
      </c>
      <c r="AA436" s="113" t="str">
        <f aca="false">IFERROR(IF([2]对账明细接口!$V436=0,"",[2]对账明细接口!$V436),"")</f>
        <v/>
      </c>
      <c r="AB436" s="10" t="str">
        <f aca="false">IFERROR(IF([2]对账明细接口!$W436=0,"",[2]对账明细接口!$W436),"")</f>
        <v/>
      </c>
      <c r="AC436" s="90" t="str">
        <f aca="false">IFERROR(IF([2]对账明细接口!$X437=0,"",[2]对账明细接口!$X437),"")</f>
        <v/>
      </c>
      <c r="AD436" s="90" t="str">
        <f aca="false">IFERROR(IF([2]对账明细接口!$Y437=0,"",[2]对账明细接口!$Y437),"")</f>
        <v/>
      </c>
      <c r="AE436" s="90" t="str">
        <f aca="false">IFERROR(IF([2]对账明细接口!$AA437=0,"",[2]对账明细接口!$AA437),"")</f>
        <v/>
      </c>
      <c r="AF436" s="90" t="str">
        <f aca="false">IFERROR(IF([2]对账明细接口!$AB437=0,"",[2]对账明细接口!$AB437),"")</f>
        <v/>
      </c>
      <c r="AG436" s="90" t="str">
        <f aca="false">IFERROR(IF([2]对账明细接口!$AC437=0,"",[2]对账明细接口!$AC437),"")</f>
        <v/>
      </c>
      <c r="AH436" s="90" t="str">
        <f aca="false">IFERROR(IF([2]对账明细接口!$AD437=0,"",[2]对账明细接口!$AD437),"")</f>
        <v/>
      </c>
    </row>
    <row r="437" customFormat="false" ht="13.5" hidden="false" customHeight="false" outlineLevel="0" collapsed="false">
      <c r="A437" s="109" t="n">
        <v>437</v>
      </c>
      <c r="B437" s="110" t="str">
        <f aca="false">IFERROR(IF([2]对账明细接口!$B$437=0,"",[2]对账明细接口!$B$437),"")</f>
        <v/>
      </c>
      <c r="C437" s="59" t="str">
        <f aca="false">IFERROR(IF([2]对账明细接口!$C$437=0,"",[2]对账明细接口!$C$437),"")</f>
        <v/>
      </c>
      <c r="D437" s="59" t="str">
        <f aca="false">IFERROR(IF([2]对账明细接口!$D$437=0,"",[2]对账明细接口!$D$437),"")</f>
        <v/>
      </c>
      <c r="E437" s="59" t="str">
        <f aca="false">IFERROR(IF([2]对账明细接口!$E$437=0,"",[2]对账明细接口!$E$437),"")</f>
        <v/>
      </c>
      <c r="F437" s="59" t="str">
        <f aca="false">IFERROR(IF([2]对账明细接口!$F$437=0,"",[2]对账明细接口!$F$437),"")</f>
        <v/>
      </c>
      <c r="G437" s="59" t="str">
        <f aca="false">IFERROR(IF([2]对账明细接口!$G$437=0,"",[2]对账明细接口!$G$437),"")</f>
        <v/>
      </c>
      <c r="H437" s="60" t="str">
        <f aca="false">IFERROR(IF([2]对账明细接口!$H$437=0,"",[2]对账明细接口!$H$437),"")</f>
        <v/>
      </c>
      <c r="I437" s="59" t="str">
        <f aca="false">IFERROR(IF([2]对账明细接口!$I$437=0,"",[2]对账明细接口!$I$437),"")</f>
        <v/>
      </c>
      <c r="J437" s="61" t="str">
        <f aca="false">IFERROR(IF([2]对账明细接口!$J$437=0,"",[2]对账明细接口!$J$437),"")</f>
        <v/>
      </c>
      <c r="K437" s="61" t="str">
        <f aca="false">IFERROR(IF([2]对账明细接口!$K$437=0,"",[2]对账明细接口!$K$437),"")</f>
        <v/>
      </c>
      <c r="L437" s="59" t="str">
        <f aca="false">IFERROR(IF([2]对账明细接口!$L$437=0,"",[2]对账明细接口!$L$437),"")</f>
        <v/>
      </c>
      <c r="M437" s="59" t="str">
        <f aca="false">IFERROR(IF([2]对账明细接口!$M$437=0,"",[2]对账明细接口!$M$437),"")</f>
        <v/>
      </c>
      <c r="N437" s="111" t="n">
        <f aca="false">IF($C437="",0,1)</f>
        <v>0</v>
      </c>
      <c r="O437" s="111" t="n">
        <f aca="false">N(O436)+$N437</f>
        <v>311</v>
      </c>
      <c r="S437" s="10" t="str">
        <f aca="false">IFERROR(IF([2]对账明细接口!$N437=0,"",[2]对账明细接口!$N437),"")</f>
        <v/>
      </c>
      <c r="T437" s="112" t="str">
        <f aca="false">IFERROR(IF([2]对账明细接口!$O437=0,"",[2]对账明细接口!$O437),"")</f>
        <v/>
      </c>
      <c r="U437" s="112" t="str">
        <f aca="false">IFERROR(IF([2]对账明细接口!$P437=0,"",[2]对账明细接口!$P437),"")</f>
        <v/>
      </c>
      <c r="V437" s="112" t="str">
        <f aca="false">IFERROR(IF([2]对账明细接口!$Q437=0,"",[2]对账明细接口!$Q437),"")</f>
        <v/>
      </c>
      <c r="W437" s="10" t="str">
        <f aca="false">IFERROR(IF([2]对账明细接口!$R437=0,"",[2]对账明细接口!$R437),"")</f>
        <v/>
      </c>
      <c r="X437" s="10" t="str">
        <f aca="false">IFERROR(IF([2]对账明细接口!$S437=0,"",[2]对账明细接口!$S437),"")</f>
        <v/>
      </c>
      <c r="Y437" s="10" t="str">
        <f aca="false">IFERROR(IF([2]对账明细接口!$T437=0,"",[2]对账明细接口!$T437),"")</f>
        <v/>
      </c>
      <c r="Z437" s="113" t="str">
        <f aca="false">IFERROR(IF([2]对账明细接口!$U437=0,"",[2]对账明细接口!$U437),"")</f>
        <v/>
      </c>
      <c r="AA437" s="113" t="str">
        <f aca="false">IFERROR(IF([2]对账明细接口!$V437=0,"",[2]对账明细接口!$V437),"")</f>
        <v/>
      </c>
      <c r="AB437" s="10" t="str">
        <f aca="false">IFERROR(IF([2]对账明细接口!$W437=0,"",[2]对账明细接口!$W437),"")</f>
        <v/>
      </c>
      <c r="AC437" s="90" t="str">
        <f aca="false">IFERROR(IF([2]对账明细接口!$X438=0,"",[2]对账明细接口!$X438),"")</f>
        <v/>
      </c>
      <c r="AD437" s="90" t="str">
        <f aca="false">IFERROR(IF([2]对账明细接口!$Y438=0,"",[2]对账明细接口!$Y438),"")</f>
        <v/>
      </c>
      <c r="AE437" s="90" t="str">
        <f aca="false">IFERROR(IF([2]对账明细接口!$AA438=0,"",[2]对账明细接口!$AA438),"")</f>
        <v/>
      </c>
      <c r="AF437" s="90" t="str">
        <f aca="false">IFERROR(IF([2]对账明细接口!$AB438=0,"",[2]对账明细接口!$AB438),"")</f>
        <v/>
      </c>
      <c r="AG437" s="90" t="str">
        <f aca="false">IFERROR(IF([2]对账明细接口!$AC438=0,"",[2]对账明细接口!$AC438),"")</f>
        <v/>
      </c>
      <c r="AH437" s="90" t="str">
        <f aca="false">IFERROR(IF([2]对账明细接口!$AD438=0,"",[2]对账明细接口!$AD438),"")</f>
        <v/>
      </c>
    </row>
    <row r="438" customFormat="false" ht="13.5" hidden="false" customHeight="false" outlineLevel="0" collapsed="false">
      <c r="A438" s="109" t="n">
        <v>438</v>
      </c>
      <c r="B438" s="110" t="str">
        <f aca="false">IFERROR(IF([2]对账明细接口!$B$438=0,"",[2]对账明细接口!$B$438),"")</f>
        <v/>
      </c>
      <c r="C438" s="59" t="str">
        <f aca="false">IFERROR(IF([2]对账明细接口!$C$438=0,"",[2]对账明细接口!$C$438),"")</f>
        <v/>
      </c>
      <c r="D438" s="59" t="str">
        <f aca="false">IFERROR(IF([2]对账明细接口!$D$438=0,"",[2]对账明细接口!$D$438),"")</f>
        <v/>
      </c>
      <c r="E438" s="59" t="str">
        <f aca="false">IFERROR(IF([2]对账明细接口!$E$438=0,"",[2]对账明细接口!$E$438),"")</f>
        <v/>
      </c>
      <c r="F438" s="59" t="str">
        <f aca="false">IFERROR(IF([2]对账明细接口!$F$438=0,"",[2]对账明细接口!$F$438),"")</f>
        <v/>
      </c>
      <c r="G438" s="59" t="str">
        <f aca="false">IFERROR(IF([2]对账明细接口!$G$438=0,"",[2]对账明细接口!$G$438),"")</f>
        <v/>
      </c>
      <c r="H438" s="60" t="str">
        <f aca="false">IFERROR(IF([2]对账明细接口!$H$438=0,"",[2]对账明细接口!$H$438),"")</f>
        <v/>
      </c>
      <c r="I438" s="59" t="str">
        <f aca="false">IFERROR(IF([2]对账明细接口!$I$438=0,"",[2]对账明细接口!$I$438),"")</f>
        <v/>
      </c>
      <c r="J438" s="61" t="str">
        <f aca="false">IFERROR(IF([2]对账明细接口!$J$438=0,"",[2]对账明细接口!$J$438),"")</f>
        <v/>
      </c>
      <c r="K438" s="61" t="str">
        <f aca="false">IFERROR(IF([2]对账明细接口!$K$438=0,"",[2]对账明细接口!$K$438),"")</f>
        <v/>
      </c>
      <c r="L438" s="59" t="str">
        <f aca="false">IFERROR(IF([2]对账明细接口!$L$438=0,"",[2]对账明细接口!$L$438),"")</f>
        <v/>
      </c>
      <c r="M438" s="59" t="str">
        <f aca="false">IFERROR(IF([2]对账明细接口!$M$438=0,"",[2]对账明细接口!$M$438),"")</f>
        <v/>
      </c>
      <c r="N438" s="111" t="n">
        <f aca="false">IF($C438="",0,1)</f>
        <v>0</v>
      </c>
      <c r="O438" s="111" t="n">
        <f aca="false">N(O437)+$N438</f>
        <v>311</v>
      </c>
      <c r="S438" s="10" t="str">
        <f aca="false">IFERROR(IF([2]对账明细接口!$N438=0,"",[2]对账明细接口!$N438),"")</f>
        <v/>
      </c>
      <c r="T438" s="112" t="str">
        <f aca="false">IFERROR(IF([2]对账明细接口!$O438=0,"",[2]对账明细接口!$O438),"")</f>
        <v/>
      </c>
      <c r="U438" s="112" t="str">
        <f aca="false">IFERROR(IF([2]对账明细接口!$P438=0,"",[2]对账明细接口!$P438),"")</f>
        <v/>
      </c>
      <c r="V438" s="112" t="str">
        <f aca="false">IFERROR(IF([2]对账明细接口!$Q438=0,"",[2]对账明细接口!$Q438),"")</f>
        <v/>
      </c>
      <c r="W438" s="10" t="str">
        <f aca="false">IFERROR(IF([2]对账明细接口!$R438=0,"",[2]对账明细接口!$R438),"")</f>
        <v/>
      </c>
      <c r="X438" s="10" t="str">
        <f aca="false">IFERROR(IF([2]对账明细接口!$S438=0,"",[2]对账明细接口!$S438),"")</f>
        <v/>
      </c>
      <c r="Y438" s="10" t="str">
        <f aca="false">IFERROR(IF([2]对账明细接口!$T438=0,"",[2]对账明细接口!$T438),"")</f>
        <v/>
      </c>
      <c r="Z438" s="113" t="str">
        <f aca="false">IFERROR(IF([2]对账明细接口!$U438=0,"",[2]对账明细接口!$U438),"")</f>
        <v/>
      </c>
      <c r="AA438" s="113" t="str">
        <f aca="false">IFERROR(IF([2]对账明细接口!$V438=0,"",[2]对账明细接口!$V438),"")</f>
        <v/>
      </c>
      <c r="AB438" s="10" t="str">
        <f aca="false">IFERROR(IF([2]对账明细接口!$W438=0,"",[2]对账明细接口!$W438),"")</f>
        <v/>
      </c>
      <c r="AC438" s="90" t="str">
        <f aca="false">IFERROR(IF([2]对账明细接口!$X439=0,"",[2]对账明细接口!$X439),"")</f>
        <v/>
      </c>
      <c r="AD438" s="90" t="str">
        <f aca="false">IFERROR(IF([2]对账明细接口!$Y439=0,"",[2]对账明细接口!$Y439),"")</f>
        <v/>
      </c>
      <c r="AE438" s="90" t="str">
        <f aca="false">IFERROR(IF([2]对账明细接口!$AA439=0,"",[2]对账明细接口!$AA439),"")</f>
        <v/>
      </c>
      <c r="AF438" s="90" t="str">
        <f aca="false">IFERROR(IF([2]对账明细接口!$AB439=0,"",[2]对账明细接口!$AB439),"")</f>
        <v/>
      </c>
      <c r="AG438" s="90" t="str">
        <f aca="false">IFERROR(IF([2]对账明细接口!$AC439=0,"",[2]对账明细接口!$AC439),"")</f>
        <v/>
      </c>
      <c r="AH438" s="90" t="str">
        <f aca="false">IFERROR(IF([2]对账明细接口!$AD439=0,"",[2]对账明细接口!$AD439),"")</f>
        <v/>
      </c>
    </row>
    <row r="439" customFormat="false" ht="13.5" hidden="false" customHeight="false" outlineLevel="0" collapsed="false">
      <c r="A439" s="109" t="n">
        <v>439</v>
      </c>
      <c r="B439" s="110" t="str">
        <f aca="false">IFERROR(IF([2]对账明细接口!$B$439=0,"",[2]对账明细接口!$B$439),"")</f>
        <v/>
      </c>
      <c r="C439" s="59" t="str">
        <f aca="false">IFERROR(IF([2]对账明细接口!$C$439=0,"",[2]对账明细接口!$C$439),"")</f>
        <v/>
      </c>
      <c r="D439" s="59" t="str">
        <f aca="false">IFERROR(IF([2]对账明细接口!$D$439=0,"",[2]对账明细接口!$D$439),"")</f>
        <v/>
      </c>
      <c r="E439" s="59" t="str">
        <f aca="false">IFERROR(IF([2]对账明细接口!$E$439=0,"",[2]对账明细接口!$E$439),"")</f>
        <v/>
      </c>
      <c r="F439" s="59" t="str">
        <f aca="false">IFERROR(IF([2]对账明细接口!$F$439=0,"",[2]对账明细接口!$F$439),"")</f>
        <v/>
      </c>
      <c r="G439" s="59" t="str">
        <f aca="false">IFERROR(IF([2]对账明细接口!$G$439=0,"",[2]对账明细接口!$G$439),"")</f>
        <v/>
      </c>
      <c r="H439" s="60" t="str">
        <f aca="false">IFERROR(IF([2]对账明细接口!$H$439=0,"",[2]对账明细接口!$H$439),"")</f>
        <v/>
      </c>
      <c r="I439" s="59" t="str">
        <f aca="false">IFERROR(IF([2]对账明细接口!$I$439=0,"",[2]对账明细接口!$I$439),"")</f>
        <v/>
      </c>
      <c r="J439" s="61" t="str">
        <f aca="false">IFERROR(IF([2]对账明细接口!$J$439=0,"",[2]对账明细接口!$J$439),"")</f>
        <v/>
      </c>
      <c r="K439" s="61" t="str">
        <f aca="false">IFERROR(IF([2]对账明细接口!$K$439=0,"",[2]对账明细接口!$K$439),"")</f>
        <v/>
      </c>
      <c r="L439" s="59" t="str">
        <f aca="false">IFERROR(IF([2]对账明细接口!$L$439=0,"",[2]对账明细接口!$L$439),"")</f>
        <v/>
      </c>
      <c r="M439" s="59" t="str">
        <f aca="false">IFERROR(IF([2]对账明细接口!$M$439=0,"",[2]对账明细接口!$M$439),"")</f>
        <v/>
      </c>
      <c r="N439" s="111" t="n">
        <f aca="false">IF($C439="",0,1)</f>
        <v>0</v>
      </c>
      <c r="O439" s="111" t="n">
        <f aca="false">N(O438)+$N439</f>
        <v>311</v>
      </c>
      <c r="S439" s="10" t="str">
        <f aca="false">IFERROR(IF([2]对账明细接口!$N439=0,"",[2]对账明细接口!$N439),"")</f>
        <v/>
      </c>
      <c r="T439" s="112" t="str">
        <f aca="false">IFERROR(IF([2]对账明细接口!$O439=0,"",[2]对账明细接口!$O439),"")</f>
        <v/>
      </c>
      <c r="U439" s="112" t="str">
        <f aca="false">IFERROR(IF([2]对账明细接口!$P439=0,"",[2]对账明细接口!$P439),"")</f>
        <v/>
      </c>
      <c r="V439" s="112" t="str">
        <f aca="false">IFERROR(IF([2]对账明细接口!$Q439=0,"",[2]对账明细接口!$Q439),"")</f>
        <v/>
      </c>
      <c r="W439" s="10" t="str">
        <f aca="false">IFERROR(IF([2]对账明细接口!$R439=0,"",[2]对账明细接口!$R439),"")</f>
        <v/>
      </c>
      <c r="X439" s="10" t="str">
        <f aca="false">IFERROR(IF([2]对账明细接口!$S439=0,"",[2]对账明细接口!$S439),"")</f>
        <v/>
      </c>
      <c r="Y439" s="10" t="str">
        <f aca="false">IFERROR(IF([2]对账明细接口!$T439=0,"",[2]对账明细接口!$T439),"")</f>
        <v/>
      </c>
      <c r="Z439" s="113" t="str">
        <f aca="false">IFERROR(IF([2]对账明细接口!$U439=0,"",[2]对账明细接口!$U439),"")</f>
        <v/>
      </c>
      <c r="AA439" s="113" t="str">
        <f aca="false">IFERROR(IF([2]对账明细接口!$V439=0,"",[2]对账明细接口!$V439),"")</f>
        <v/>
      </c>
      <c r="AB439" s="10" t="str">
        <f aca="false">IFERROR(IF([2]对账明细接口!$W439=0,"",[2]对账明细接口!$W439),"")</f>
        <v/>
      </c>
      <c r="AC439" s="90" t="str">
        <f aca="false">IFERROR(IF([2]对账明细接口!$X440=0,"",[2]对账明细接口!$X440),"")</f>
        <v/>
      </c>
      <c r="AD439" s="90" t="str">
        <f aca="false">IFERROR(IF([2]对账明细接口!$Y440=0,"",[2]对账明细接口!$Y440),"")</f>
        <v/>
      </c>
      <c r="AE439" s="90" t="str">
        <f aca="false">IFERROR(IF([2]对账明细接口!$AA440=0,"",[2]对账明细接口!$AA440),"")</f>
        <v/>
      </c>
      <c r="AF439" s="90" t="str">
        <f aca="false">IFERROR(IF([2]对账明细接口!$AB440=0,"",[2]对账明细接口!$AB440),"")</f>
        <v/>
      </c>
      <c r="AG439" s="90" t="str">
        <f aca="false">IFERROR(IF([2]对账明细接口!$AC440=0,"",[2]对账明细接口!$AC440),"")</f>
        <v/>
      </c>
      <c r="AH439" s="90" t="str">
        <f aca="false">IFERROR(IF([2]对账明细接口!$AD440=0,"",[2]对账明细接口!$AD440),"")</f>
        <v/>
      </c>
    </row>
    <row r="440" customFormat="false" ht="13.5" hidden="false" customHeight="false" outlineLevel="0" collapsed="false">
      <c r="A440" s="109" t="n">
        <v>440</v>
      </c>
      <c r="B440" s="110" t="str">
        <f aca="false">IFERROR(IF([2]对账明细接口!$B$440=0,"",[2]对账明细接口!$B$440),"")</f>
        <v/>
      </c>
      <c r="C440" s="59" t="str">
        <f aca="false">IFERROR(IF([2]对账明细接口!$C$440=0,"",[2]对账明细接口!$C$440),"")</f>
        <v/>
      </c>
      <c r="D440" s="59" t="str">
        <f aca="false">IFERROR(IF([2]对账明细接口!$D$440=0,"",[2]对账明细接口!$D$440),"")</f>
        <v/>
      </c>
      <c r="E440" s="59" t="str">
        <f aca="false">IFERROR(IF([2]对账明细接口!$E$440=0,"",[2]对账明细接口!$E$440),"")</f>
        <v/>
      </c>
      <c r="F440" s="59" t="str">
        <f aca="false">IFERROR(IF([2]对账明细接口!$F$440=0,"",[2]对账明细接口!$F$440),"")</f>
        <v/>
      </c>
      <c r="G440" s="59" t="str">
        <f aca="false">IFERROR(IF([2]对账明细接口!$G$440=0,"",[2]对账明细接口!$G$440),"")</f>
        <v/>
      </c>
      <c r="H440" s="60" t="str">
        <f aca="false">IFERROR(IF([2]对账明细接口!$H$440=0,"",[2]对账明细接口!$H$440),"")</f>
        <v/>
      </c>
      <c r="I440" s="59" t="str">
        <f aca="false">IFERROR(IF([2]对账明细接口!$I$440=0,"",[2]对账明细接口!$I$440),"")</f>
        <v/>
      </c>
      <c r="J440" s="61" t="str">
        <f aca="false">IFERROR(IF([2]对账明细接口!$J$440=0,"",[2]对账明细接口!$J$440),"")</f>
        <v/>
      </c>
      <c r="K440" s="61" t="str">
        <f aca="false">IFERROR(IF([2]对账明细接口!$K$440=0,"",[2]对账明细接口!$K$440),"")</f>
        <v/>
      </c>
      <c r="L440" s="59" t="str">
        <f aca="false">IFERROR(IF([2]对账明细接口!$L$440=0,"",[2]对账明细接口!$L$440),"")</f>
        <v/>
      </c>
      <c r="M440" s="59" t="str">
        <f aca="false">IFERROR(IF([2]对账明细接口!$M$440=0,"",[2]对账明细接口!$M$440),"")</f>
        <v/>
      </c>
      <c r="N440" s="111" t="n">
        <f aca="false">IF($C440="",0,1)</f>
        <v>0</v>
      </c>
      <c r="O440" s="111" t="n">
        <f aca="false">N(O439)+$N440</f>
        <v>311</v>
      </c>
      <c r="S440" s="10" t="str">
        <f aca="false">IFERROR(IF([2]对账明细接口!$N440=0,"",[2]对账明细接口!$N440),"")</f>
        <v/>
      </c>
      <c r="T440" s="112" t="str">
        <f aca="false">IFERROR(IF([2]对账明细接口!$O440=0,"",[2]对账明细接口!$O440),"")</f>
        <v/>
      </c>
      <c r="U440" s="112" t="str">
        <f aca="false">IFERROR(IF([2]对账明细接口!$P440=0,"",[2]对账明细接口!$P440),"")</f>
        <v/>
      </c>
      <c r="V440" s="112" t="str">
        <f aca="false">IFERROR(IF([2]对账明细接口!$Q440=0,"",[2]对账明细接口!$Q440),"")</f>
        <v/>
      </c>
      <c r="W440" s="10" t="str">
        <f aca="false">IFERROR(IF([2]对账明细接口!$R440=0,"",[2]对账明细接口!$R440),"")</f>
        <v/>
      </c>
      <c r="X440" s="10" t="str">
        <f aca="false">IFERROR(IF([2]对账明细接口!$S440=0,"",[2]对账明细接口!$S440),"")</f>
        <v/>
      </c>
      <c r="Y440" s="10" t="str">
        <f aca="false">IFERROR(IF([2]对账明细接口!$T440=0,"",[2]对账明细接口!$T440),"")</f>
        <v/>
      </c>
      <c r="Z440" s="113" t="str">
        <f aca="false">IFERROR(IF([2]对账明细接口!$U440=0,"",[2]对账明细接口!$U440),"")</f>
        <v/>
      </c>
      <c r="AA440" s="113" t="str">
        <f aca="false">IFERROR(IF([2]对账明细接口!$V440=0,"",[2]对账明细接口!$V440),"")</f>
        <v/>
      </c>
      <c r="AB440" s="10" t="str">
        <f aca="false">IFERROR(IF([2]对账明细接口!$W440=0,"",[2]对账明细接口!$W440),"")</f>
        <v/>
      </c>
      <c r="AC440" s="90" t="str">
        <f aca="false">IFERROR(IF([2]对账明细接口!$X441=0,"",[2]对账明细接口!$X441),"")</f>
        <v/>
      </c>
      <c r="AD440" s="90" t="str">
        <f aca="false">IFERROR(IF([2]对账明细接口!$Y441=0,"",[2]对账明细接口!$Y441),"")</f>
        <v/>
      </c>
      <c r="AE440" s="90" t="str">
        <f aca="false">IFERROR(IF([2]对账明细接口!$AA441=0,"",[2]对账明细接口!$AA441),"")</f>
        <v/>
      </c>
      <c r="AF440" s="90" t="str">
        <f aca="false">IFERROR(IF([2]对账明细接口!$AB441=0,"",[2]对账明细接口!$AB441),"")</f>
        <v/>
      </c>
      <c r="AG440" s="90" t="str">
        <f aca="false">IFERROR(IF([2]对账明细接口!$AC441=0,"",[2]对账明细接口!$AC441),"")</f>
        <v/>
      </c>
      <c r="AH440" s="90" t="str">
        <f aca="false">IFERROR(IF([2]对账明细接口!$AD441=0,"",[2]对账明细接口!$AD441),"")</f>
        <v/>
      </c>
    </row>
    <row r="441" customFormat="false" ht="13.5" hidden="false" customHeight="false" outlineLevel="0" collapsed="false">
      <c r="A441" s="109" t="n">
        <v>441</v>
      </c>
      <c r="B441" s="110" t="str">
        <f aca="false">IFERROR(IF([2]对账明细接口!$B$441=0,"",[2]对账明细接口!$B$441),"")</f>
        <v/>
      </c>
      <c r="C441" s="59" t="str">
        <f aca="false">IFERROR(IF([2]对账明细接口!$C$441=0,"",[2]对账明细接口!$C$441),"")</f>
        <v/>
      </c>
      <c r="D441" s="59" t="str">
        <f aca="false">IFERROR(IF([2]对账明细接口!$D$441=0,"",[2]对账明细接口!$D$441),"")</f>
        <v/>
      </c>
      <c r="E441" s="59" t="str">
        <f aca="false">IFERROR(IF([2]对账明细接口!$E$441=0,"",[2]对账明细接口!$E$441),"")</f>
        <v/>
      </c>
      <c r="F441" s="59" t="str">
        <f aca="false">IFERROR(IF([2]对账明细接口!$F$441=0,"",[2]对账明细接口!$F$441),"")</f>
        <v/>
      </c>
      <c r="G441" s="59" t="str">
        <f aca="false">IFERROR(IF([2]对账明细接口!$G$441=0,"",[2]对账明细接口!$G$441),"")</f>
        <v/>
      </c>
      <c r="H441" s="60" t="str">
        <f aca="false">IFERROR(IF([2]对账明细接口!$H$441=0,"",[2]对账明细接口!$H$441),"")</f>
        <v/>
      </c>
      <c r="I441" s="59" t="str">
        <f aca="false">IFERROR(IF([2]对账明细接口!$I$441=0,"",[2]对账明细接口!$I$441),"")</f>
        <v/>
      </c>
      <c r="J441" s="61" t="str">
        <f aca="false">IFERROR(IF([2]对账明细接口!$J$441=0,"",[2]对账明细接口!$J$441),"")</f>
        <v/>
      </c>
      <c r="K441" s="61" t="str">
        <f aca="false">IFERROR(IF([2]对账明细接口!$K$441=0,"",[2]对账明细接口!$K$441),"")</f>
        <v/>
      </c>
      <c r="L441" s="59" t="str">
        <f aca="false">IFERROR(IF([2]对账明细接口!$L$441=0,"",[2]对账明细接口!$L$441),"")</f>
        <v/>
      </c>
      <c r="M441" s="59" t="str">
        <f aca="false">IFERROR(IF([2]对账明细接口!$M$441=0,"",[2]对账明细接口!$M$441),"")</f>
        <v/>
      </c>
      <c r="N441" s="111" t="n">
        <f aca="false">IF($C441="",0,1)</f>
        <v>0</v>
      </c>
      <c r="O441" s="111" t="n">
        <f aca="false">N(O440)+$N441</f>
        <v>311</v>
      </c>
      <c r="S441" s="10" t="str">
        <f aca="false">IFERROR(IF([2]对账明细接口!$N441=0,"",[2]对账明细接口!$N441),"")</f>
        <v/>
      </c>
      <c r="T441" s="112" t="str">
        <f aca="false">IFERROR(IF([2]对账明细接口!$O441=0,"",[2]对账明细接口!$O441),"")</f>
        <v/>
      </c>
      <c r="U441" s="112" t="str">
        <f aca="false">IFERROR(IF([2]对账明细接口!$P441=0,"",[2]对账明细接口!$P441),"")</f>
        <v/>
      </c>
      <c r="V441" s="112" t="str">
        <f aca="false">IFERROR(IF([2]对账明细接口!$Q441=0,"",[2]对账明细接口!$Q441),"")</f>
        <v/>
      </c>
      <c r="W441" s="10" t="str">
        <f aca="false">IFERROR(IF([2]对账明细接口!$R441=0,"",[2]对账明细接口!$R441),"")</f>
        <v/>
      </c>
      <c r="X441" s="10" t="str">
        <f aca="false">IFERROR(IF([2]对账明细接口!$S441=0,"",[2]对账明细接口!$S441),"")</f>
        <v/>
      </c>
      <c r="Y441" s="10" t="str">
        <f aca="false">IFERROR(IF([2]对账明细接口!$T441=0,"",[2]对账明细接口!$T441),"")</f>
        <v/>
      </c>
      <c r="Z441" s="113" t="str">
        <f aca="false">IFERROR(IF([2]对账明细接口!$U441=0,"",[2]对账明细接口!$U441),"")</f>
        <v/>
      </c>
      <c r="AA441" s="113" t="str">
        <f aca="false">IFERROR(IF([2]对账明细接口!$V441=0,"",[2]对账明细接口!$V441),"")</f>
        <v/>
      </c>
      <c r="AB441" s="10" t="str">
        <f aca="false">IFERROR(IF([2]对账明细接口!$W441=0,"",[2]对账明细接口!$W441),"")</f>
        <v/>
      </c>
      <c r="AC441" s="90" t="str">
        <f aca="false">IFERROR(IF([2]对账明细接口!$X442=0,"",[2]对账明细接口!$X442),"")</f>
        <v/>
      </c>
      <c r="AD441" s="90" t="str">
        <f aca="false">IFERROR(IF([2]对账明细接口!$Y442=0,"",[2]对账明细接口!$Y442),"")</f>
        <v/>
      </c>
      <c r="AE441" s="90" t="str">
        <f aca="false">IFERROR(IF([2]对账明细接口!$AA442=0,"",[2]对账明细接口!$AA442),"")</f>
        <v/>
      </c>
      <c r="AF441" s="90" t="str">
        <f aca="false">IFERROR(IF([2]对账明细接口!$AB442=0,"",[2]对账明细接口!$AB442),"")</f>
        <v/>
      </c>
      <c r="AG441" s="90" t="str">
        <f aca="false">IFERROR(IF([2]对账明细接口!$AC442=0,"",[2]对账明细接口!$AC442),"")</f>
        <v/>
      </c>
      <c r="AH441" s="90" t="str">
        <f aca="false">IFERROR(IF([2]对账明细接口!$AD442=0,"",[2]对账明细接口!$AD442),"")</f>
        <v/>
      </c>
    </row>
    <row r="442" customFormat="false" ht="13.5" hidden="false" customHeight="false" outlineLevel="0" collapsed="false">
      <c r="A442" s="109" t="n">
        <v>442</v>
      </c>
      <c r="B442" s="110" t="str">
        <f aca="false">IFERROR(IF([2]对账明细接口!$B$442=0,"",[2]对账明细接口!$B$442),"")</f>
        <v/>
      </c>
      <c r="C442" s="59" t="str">
        <f aca="false">IFERROR(IF([2]对账明细接口!$C$442=0,"",[2]对账明细接口!$C$442),"")</f>
        <v/>
      </c>
      <c r="D442" s="59" t="str">
        <f aca="false">IFERROR(IF([2]对账明细接口!$D$442=0,"",[2]对账明细接口!$D$442),"")</f>
        <v/>
      </c>
      <c r="E442" s="59" t="str">
        <f aca="false">IFERROR(IF([2]对账明细接口!$E$442=0,"",[2]对账明细接口!$E$442),"")</f>
        <v/>
      </c>
      <c r="F442" s="59" t="str">
        <f aca="false">IFERROR(IF([2]对账明细接口!$F$442=0,"",[2]对账明细接口!$F$442),"")</f>
        <v/>
      </c>
      <c r="G442" s="59" t="str">
        <f aca="false">IFERROR(IF([2]对账明细接口!$G$442=0,"",[2]对账明细接口!$G$442),"")</f>
        <v/>
      </c>
      <c r="H442" s="60" t="str">
        <f aca="false">IFERROR(IF([2]对账明细接口!$H$442=0,"",[2]对账明细接口!$H$442),"")</f>
        <v/>
      </c>
      <c r="I442" s="59" t="str">
        <f aca="false">IFERROR(IF([2]对账明细接口!$I$442=0,"",[2]对账明细接口!$I$442),"")</f>
        <v/>
      </c>
      <c r="J442" s="61" t="str">
        <f aca="false">IFERROR(IF([2]对账明细接口!$J$442=0,"",[2]对账明细接口!$J$442),"")</f>
        <v/>
      </c>
      <c r="K442" s="61" t="str">
        <f aca="false">IFERROR(IF([2]对账明细接口!$K$442=0,"",[2]对账明细接口!$K$442),"")</f>
        <v/>
      </c>
      <c r="L442" s="59" t="str">
        <f aca="false">IFERROR(IF([2]对账明细接口!$L$442=0,"",[2]对账明细接口!$L$442),"")</f>
        <v/>
      </c>
      <c r="M442" s="59" t="str">
        <f aca="false">IFERROR(IF([2]对账明细接口!$M$442=0,"",[2]对账明细接口!$M$442),"")</f>
        <v/>
      </c>
      <c r="N442" s="111" t="n">
        <f aca="false">IF($C442="",0,1)</f>
        <v>0</v>
      </c>
      <c r="O442" s="111" t="n">
        <f aca="false">N(O441)+$N442</f>
        <v>311</v>
      </c>
      <c r="S442" s="10" t="str">
        <f aca="false">IFERROR(IF([2]对账明细接口!$N442=0,"",[2]对账明细接口!$N442),"")</f>
        <v/>
      </c>
      <c r="T442" s="112" t="str">
        <f aca="false">IFERROR(IF([2]对账明细接口!$O442=0,"",[2]对账明细接口!$O442),"")</f>
        <v/>
      </c>
      <c r="U442" s="112" t="str">
        <f aca="false">IFERROR(IF([2]对账明细接口!$P442=0,"",[2]对账明细接口!$P442),"")</f>
        <v/>
      </c>
      <c r="V442" s="112" t="str">
        <f aca="false">IFERROR(IF([2]对账明细接口!$Q442=0,"",[2]对账明细接口!$Q442),"")</f>
        <v/>
      </c>
      <c r="W442" s="10" t="str">
        <f aca="false">IFERROR(IF([2]对账明细接口!$R442=0,"",[2]对账明细接口!$R442),"")</f>
        <v/>
      </c>
      <c r="X442" s="10" t="str">
        <f aca="false">IFERROR(IF([2]对账明细接口!$S442=0,"",[2]对账明细接口!$S442),"")</f>
        <v/>
      </c>
      <c r="Y442" s="10" t="str">
        <f aca="false">IFERROR(IF([2]对账明细接口!$T442=0,"",[2]对账明细接口!$T442),"")</f>
        <v/>
      </c>
      <c r="Z442" s="113" t="str">
        <f aca="false">IFERROR(IF([2]对账明细接口!$U442=0,"",[2]对账明细接口!$U442),"")</f>
        <v/>
      </c>
      <c r="AA442" s="113" t="str">
        <f aca="false">IFERROR(IF([2]对账明细接口!$V442=0,"",[2]对账明细接口!$V442),"")</f>
        <v/>
      </c>
      <c r="AB442" s="10" t="str">
        <f aca="false">IFERROR(IF([2]对账明细接口!$W442=0,"",[2]对账明细接口!$W442),"")</f>
        <v/>
      </c>
      <c r="AC442" s="90" t="str">
        <f aca="false">IFERROR(IF([2]对账明细接口!$X443=0,"",[2]对账明细接口!$X443),"")</f>
        <v/>
      </c>
      <c r="AD442" s="90" t="str">
        <f aca="false">IFERROR(IF([2]对账明细接口!$Y443=0,"",[2]对账明细接口!$Y443),"")</f>
        <v/>
      </c>
      <c r="AE442" s="90" t="str">
        <f aca="false">IFERROR(IF([2]对账明细接口!$AA443=0,"",[2]对账明细接口!$AA443),"")</f>
        <v/>
      </c>
      <c r="AF442" s="90" t="str">
        <f aca="false">IFERROR(IF([2]对账明细接口!$AB443=0,"",[2]对账明细接口!$AB443),"")</f>
        <v/>
      </c>
      <c r="AG442" s="90" t="str">
        <f aca="false">IFERROR(IF([2]对账明细接口!$AC443=0,"",[2]对账明细接口!$AC443),"")</f>
        <v/>
      </c>
      <c r="AH442" s="90" t="str">
        <f aca="false">IFERROR(IF([2]对账明细接口!$AD443=0,"",[2]对账明细接口!$AD443),"")</f>
        <v/>
      </c>
    </row>
    <row r="443" customFormat="false" ht="13.5" hidden="false" customHeight="false" outlineLevel="0" collapsed="false">
      <c r="A443" s="109" t="n">
        <v>443</v>
      </c>
      <c r="B443" s="110" t="str">
        <f aca="false">IFERROR(IF([2]对账明细接口!$B$443=0,"",[2]对账明细接口!$B$443),"")</f>
        <v/>
      </c>
      <c r="C443" s="59" t="str">
        <f aca="false">IFERROR(IF([2]对账明细接口!$C$443=0,"",[2]对账明细接口!$C$443),"")</f>
        <v/>
      </c>
      <c r="D443" s="59" t="str">
        <f aca="false">IFERROR(IF([2]对账明细接口!$D$443=0,"",[2]对账明细接口!$D$443),"")</f>
        <v/>
      </c>
      <c r="E443" s="59" t="str">
        <f aca="false">IFERROR(IF([2]对账明细接口!$E$443=0,"",[2]对账明细接口!$E$443),"")</f>
        <v/>
      </c>
      <c r="F443" s="59" t="str">
        <f aca="false">IFERROR(IF([2]对账明细接口!$F$443=0,"",[2]对账明细接口!$F$443),"")</f>
        <v/>
      </c>
      <c r="G443" s="59" t="str">
        <f aca="false">IFERROR(IF([2]对账明细接口!$G$443=0,"",[2]对账明细接口!$G$443),"")</f>
        <v/>
      </c>
      <c r="H443" s="60" t="str">
        <f aca="false">IFERROR(IF([2]对账明细接口!$H$443=0,"",[2]对账明细接口!$H$443),"")</f>
        <v/>
      </c>
      <c r="I443" s="59" t="str">
        <f aca="false">IFERROR(IF([2]对账明细接口!$I$443=0,"",[2]对账明细接口!$I$443),"")</f>
        <v/>
      </c>
      <c r="J443" s="61" t="str">
        <f aca="false">IFERROR(IF([2]对账明细接口!$J$443=0,"",[2]对账明细接口!$J$443),"")</f>
        <v/>
      </c>
      <c r="K443" s="61" t="str">
        <f aca="false">IFERROR(IF([2]对账明细接口!$K$443=0,"",[2]对账明细接口!$K$443),"")</f>
        <v/>
      </c>
      <c r="L443" s="59" t="str">
        <f aca="false">IFERROR(IF([2]对账明细接口!$L$443=0,"",[2]对账明细接口!$L$443),"")</f>
        <v/>
      </c>
      <c r="M443" s="59" t="str">
        <f aca="false">IFERROR(IF([2]对账明细接口!$M$443=0,"",[2]对账明细接口!$M$443),"")</f>
        <v/>
      </c>
      <c r="N443" s="111" t="n">
        <f aca="false">IF($C443="",0,1)</f>
        <v>0</v>
      </c>
      <c r="O443" s="111" t="n">
        <f aca="false">N(O442)+$N443</f>
        <v>311</v>
      </c>
      <c r="S443" s="10" t="str">
        <f aca="false">IFERROR(IF([2]对账明细接口!$N443=0,"",[2]对账明细接口!$N443),"")</f>
        <v/>
      </c>
      <c r="T443" s="112" t="str">
        <f aca="false">IFERROR(IF([2]对账明细接口!$O443=0,"",[2]对账明细接口!$O443),"")</f>
        <v/>
      </c>
      <c r="U443" s="112" t="str">
        <f aca="false">IFERROR(IF([2]对账明细接口!$P443=0,"",[2]对账明细接口!$P443),"")</f>
        <v/>
      </c>
      <c r="V443" s="112" t="str">
        <f aca="false">IFERROR(IF([2]对账明细接口!$Q443=0,"",[2]对账明细接口!$Q443),"")</f>
        <v/>
      </c>
      <c r="W443" s="10" t="str">
        <f aca="false">IFERROR(IF([2]对账明细接口!$R443=0,"",[2]对账明细接口!$R443),"")</f>
        <v/>
      </c>
      <c r="X443" s="10" t="str">
        <f aca="false">IFERROR(IF([2]对账明细接口!$S443=0,"",[2]对账明细接口!$S443),"")</f>
        <v/>
      </c>
      <c r="Y443" s="10" t="str">
        <f aca="false">IFERROR(IF([2]对账明细接口!$T443=0,"",[2]对账明细接口!$T443),"")</f>
        <v/>
      </c>
      <c r="Z443" s="113" t="str">
        <f aca="false">IFERROR(IF([2]对账明细接口!$U443=0,"",[2]对账明细接口!$U443),"")</f>
        <v/>
      </c>
      <c r="AA443" s="113" t="str">
        <f aca="false">IFERROR(IF([2]对账明细接口!$V443=0,"",[2]对账明细接口!$V443),"")</f>
        <v/>
      </c>
      <c r="AB443" s="10" t="str">
        <f aca="false">IFERROR(IF([2]对账明细接口!$W443=0,"",[2]对账明细接口!$W443),"")</f>
        <v/>
      </c>
      <c r="AC443" s="90" t="str">
        <f aca="false">IFERROR(IF([2]对账明细接口!$X444=0,"",[2]对账明细接口!$X444),"")</f>
        <v/>
      </c>
      <c r="AD443" s="90" t="str">
        <f aca="false">IFERROR(IF([2]对账明细接口!$Y444=0,"",[2]对账明细接口!$Y444),"")</f>
        <v/>
      </c>
      <c r="AE443" s="90" t="str">
        <f aca="false">IFERROR(IF([2]对账明细接口!$AA444=0,"",[2]对账明细接口!$AA444),"")</f>
        <v/>
      </c>
      <c r="AF443" s="90" t="str">
        <f aca="false">IFERROR(IF([2]对账明细接口!$AB444=0,"",[2]对账明细接口!$AB444),"")</f>
        <v/>
      </c>
      <c r="AG443" s="90" t="str">
        <f aca="false">IFERROR(IF([2]对账明细接口!$AC444=0,"",[2]对账明细接口!$AC444),"")</f>
        <v/>
      </c>
      <c r="AH443" s="90" t="str">
        <f aca="false">IFERROR(IF([2]对账明细接口!$AD444=0,"",[2]对账明细接口!$AD444),"")</f>
        <v/>
      </c>
    </row>
    <row r="444" customFormat="false" ht="13.5" hidden="false" customHeight="false" outlineLevel="0" collapsed="false">
      <c r="A444" s="109" t="n">
        <v>444</v>
      </c>
      <c r="B444" s="110" t="str">
        <f aca="false">IFERROR(IF([2]对账明细接口!$B$444=0,"",[2]对账明细接口!$B$444),"")</f>
        <v/>
      </c>
      <c r="C444" s="59" t="str">
        <f aca="false">IFERROR(IF([2]对账明细接口!$C$444=0,"",[2]对账明细接口!$C$444),"")</f>
        <v/>
      </c>
      <c r="D444" s="59" t="str">
        <f aca="false">IFERROR(IF([2]对账明细接口!$D$444=0,"",[2]对账明细接口!$D$444),"")</f>
        <v/>
      </c>
      <c r="E444" s="59" t="str">
        <f aca="false">IFERROR(IF([2]对账明细接口!$E$444=0,"",[2]对账明细接口!$E$444),"")</f>
        <v/>
      </c>
      <c r="F444" s="59" t="str">
        <f aca="false">IFERROR(IF([2]对账明细接口!$F$444=0,"",[2]对账明细接口!$F$444),"")</f>
        <v/>
      </c>
      <c r="G444" s="59" t="str">
        <f aca="false">IFERROR(IF([2]对账明细接口!$G$444=0,"",[2]对账明细接口!$G$444),"")</f>
        <v/>
      </c>
      <c r="H444" s="60" t="str">
        <f aca="false">IFERROR(IF([2]对账明细接口!$H$444=0,"",[2]对账明细接口!$H$444),"")</f>
        <v/>
      </c>
      <c r="I444" s="59" t="str">
        <f aca="false">IFERROR(IF([2]对账明细接口!$I$444=0,"",[2]对账明细接口!$I$444),"")</f>
        <v/>
      </c>
      <c r="J444" s="61" t="str">
        <f aca="false">IFERROR(IF([2]对账明细接口!$J$444=0,"",[2]对账明细接口!$J$444),"")</f>
        <v/>
      </c>
      <c r="K444" s="61" t="str">
        <f aca="false">IFERROR(IF([2]对账明细接口!$K$444=0,"",[2]对账明细接口!$K$444),"")</f>
        <v/>
      </c>
      <c r="L444" s="59" t="str">
        <f aca="false">IFERROR(IF([2]对账明细接口!$L$444=0,"",[2]对账明细接口!$L$444),"")</f>
        <v/>
      </c>
      <c r="M444" s="59" t="str">
        <f aca="false">IFERROR(IF([2]对账明细接口!$M$444=0,"",[2]对账明细接口!$M$444),"")</f>
        <v/>
      </c>
      <c r="N444" s="111" t="n">
        <f aca="false">IF($C444="",0,1)</f>
        <v>0</v>
      </c>
      <c r="O444" s="111" t="n">
        <f aca="false">N(O443)+$N444</f>
        <v>311</v>
      </c>
      <c r="S444" s="10" t="str">
        <f aca="false">IFERROR(IF([2]对账明细接口!$N444=0,"",[2]对账明细接口!$N444),"")</f>
        <v/>
      </c>
      <c r="T444" s="112" t="str">
        <f aca="false">IFERROR(IF([2]对账明细接口!$O444=0,"",[2]对账明细接口!$O444),"")</f>
        <v/>
      </c>
      <c r="U444" s="112" t="str">
        <f aca="false">IFERROR(IF([2]对账明细接口!$P444=0,"",[2]对账明细接口!$P444),"")</f>
        <v/>
      </c>
      <c r="V444" s="112" t="str">
        <f aca="false">IFERROR(IF([2]对账明细接口!$Q444=0,"",[2]对账明细接口!$Q444),"")</f>
        <v/>
      </c>
      <c r="W444" s="10" t="str">
        <f aca="false">IFERROR(IF([2]对账明细接口!$R444=0,"",[2]对账明细接口!$R444),"")</f>
        <v/>
      </c>
      <c r="X444" s="10" t="str">
        <f aca="false">IFERROR(IF([2]对账明细接口!$S444=0,"",[2]对账明细接口!$S444),"")</f>
        <v/>
      </c>
      <c r="Y444" s="10" t="str">
        <f aca="false">IFERROR(IF([2]对账明细接口!$T444=0,"",[2]对账明细接口!$T444),"")</f>
        <v/>
      </c>
      <c r="Z444" s="113" t="str">
        <f aca="false">IFERROR(IF([2]对账明细接口!$U444=0,"",[2]对账明细接口!$U444),"")</f>
        <v/>
      </c>
      <c r="AA444" s="113" t="str">
        <f aca="false">IFERROR(IF([2]对账明细接口!$V444=0,"",[2]对账明细接口!$V444),"")</f>
        <v/>
      </c>
      <c r="AB444" s="10" t="str">
        <f aca="false">IFERROR(IF([2]对账明细接口!$W444=0,"",[2]对账明细接口!$W444),"")</f>
        <v/>
      </c>
      <c r="AC444" s="90" t="str">
        <f aca="false">IFERROR(IF([2]对账明细接口!$X445=0,"",[2]对账明细接口!$X445),"")</f>
        <v/>
      </c>
      <c r="AD444" s="90" t="str">
        <f aca="false">IFERROR(IF([2]对账明细接口!$Y445=0,"",[2]对账明细接口!$Y445),"")</f>
        <v/>
      </c>
      <c r="AE444" s="90" t="str">
        <f aca="false">IFERROR(IF([2]对账明细接口!$AA445=0,"",[2]对账明细接口!$AA445),"")</f>
        <v/>
      </c>
      <c r="AF444" s="90" t="str">
        <f aca="false">IFERROR(IF([2]对账明细接口!$AB445=0,"",[2]对账明细接口!$AB445),"")</f>
        <v/>
      </c>
      <c r="AG444" s="90" t="str">
        <f aca="false">IFERROR(IF([2]对账明细接口!$AC445=0,"",[2]对账明细接口!$AC445),"")</f>
        <v/>
      </c>
      <c r="AH444" s="90" t="str">
        <f aca="false">IFERROR(IF([2]对账明细接口!$AD445=0,"",[2]对账明细接口!$AD445),"")</f>
        <v/>
      </c>
    </row>
    <row r="445" customFormat="false" ht="13.5" hidden="false" customHeight="false" outlineLevel="0" collapsed="false">
      <c r="A445" s="109" t="n">
        <v>445</v>
      </c>
      <c r="B445" s="110" t="str">
        <f aca="false">IFERROR(IF([2]对账明细接口!$B$445=0,"",[2]对账明细接口!$B$445),"")</f>
        <v/>
      </c>
      <c r="C445" s="59" t="str">
        <f aca="false">IFERROR(IF([2]对账明细接口!$C$445=0,"",[2]对账明细接口!$C$445),"")</f>
        <v/>
      </c>
      <c r="D445" s="59" t="str">
        <f aca="false">IFERROR(IF([2]对账明细接口!$D$445=0,"",[2]对账明细接口!$D$445),"")</f>
        <v/>
      </c>
      <c r="E445" s="59" t="str">
        <f aca="false">IFERROR(IF([2]对账明细接口!$E$445=0,"",[2]对账明细接口!$E$445),"")</f>
        <v/>
      </c>
      <c r="F445" s="59" t="str">
        <f aca="false">IFERROR(IF([2]对账明细接口!$F$445=0,"",[2]对账明细接口!$F$445),"")</f>
        <v/>
      </c>
      <c r="G445" s="59" t="str">
        <f aca="false">IFERROR(IF([2]对账明细接口!$G$445=0,"",[2]对账明细接口!$G$445),"")</f>
        <v/>
      </c>
      <c r="H445" s="60" t="str">
        <f aca="false">IFERROR(IF([2]对账明细接口!$H$445=0,"",[2]对账明细接口!$H$445),"")</f>
        <v/>
      </c>
      <c r="I445" s="59" t="str">
        <f aca="false">IFERROR(IF([2]对账明细接口!$I$445=0,"",[2]对账明细接口!$I$445),"")</f>
        <v/>
      </c>
      <c r="J445" s="61" t="str">
        <f aca="false">IFERROR(IF([2]对账明细接口!$J$445=0,"",[2]对账明细接口!$J$445),"")</f>
        <v/>
      </c>
      <c r="K445" s="61" t="str">
        <f aca="false">IFERROR(IF([2]对账明细接口!$K$445=0,"",[2]对账明细接口!$K$445),"")</f>
        <v/>
      </c>
      <c r="L445" s="59" t="str">
        <f aca="false">IFERROR(IF([2]对账明细接口!$L$445=0,"",[2]对账明细接口!$L$445),"")</f>
        <v/>
      </c>
      <c r="M445" s="59" t="str">
        <f aca="false">IFERROR(IF([2]对账明细接口!$M$445=0,"",[2]对账明细接口!$M$445),"")</f>
        <v/>
      </c>
      <c r="N445" s="111" t="n">
        <f aca="false">IF($C445="",0,1)</f>
        <v>0</v>
      </c>
      <c r="O445" s="111" t="n">
        <f aca="false">N(O444)+$N445</f>
        <v>311</v>
      </c>
      <c r="S445" s="10" t="str">
        <f aca="false">IFERROR(IF([2]对账明细接口!$N445=0,"",[2]对账明细接口!$N445),"")</f>
        <v/>
      </c>
      <c r="T445" s="112" t="str">
        <f aca="false">IFERROR(IF([2]对账明细接口!$O445=0,"",[2]对账明细接口!$O445),"")</f>
        <v/>
      </c>
      <c r="U445" s="112" t="str">
        <f aca="false">IFERROR(IF([2]对账明细接口!$P445=0,"",[2]对账明细接口!$P445),"")</f>
        <v/>
      </c>
      <c r="V445" s="112" t="str">
        <f aca="false">IFERROR(IF([2]对账明细接口!$Q445=0,"",[2]对账明细接口!$Q445),"")</f>
        <v/>
      </c>
      <c r="W445" s="10" t="str">
        <f aca="false">IFERROR(IF([2]对账明细接口!$R445=0,"",[2]对账明细接口!$R445),"")</f>
        <v/>
      </c>
      <c r="X445" s="10" t="str">
        <f aca="false">IFERROR(IF([2]对账明细接口!$S445=0,"",[2]对账明细接口!$S445),"")</f>
        <v/>
      </c>
      <c r="Y445" s="10" t="str">
        <f aca="false">IFERROR(IF([2]对账明细接口!$T445=0,"",[2]对账明细接口!$T445),"")</f>
        <v/>
      </c>
      <c r="Z445" s="113" t="str">
        <f aca="false">IFERROR(IF([2]对账明细接口!$U445=0,"",[2]对账明细接口!$U445),"")</f>
        <v/>
      </c>
      <c r="AA445" s="113" t="str">
        <f aca="false">IFERROR(IF([2]对账明细接口!$V445=0,"",[2]对账明细接口!$V445),"")</f>
        <v/>
      </c>
      <c r="AB445" s="10" t="str">
        <f aca="false">IFERROR(IF([2]对账明细接口!$W445=0,"",[2]对账明细接口!$W445),"")</f>
        <v/>
      </c>
      <c r="AC445" s="90" t="str">
        <f aca="false">IFERROR(IF([2]对账明细接口!$X446=0,"",[2]对账明细接口!$X446),"")</f>
        <v/>
      </c>
      <c r="AD445" s="90" t="str">
        <f aca="false">IFERROR(IF([2]对账明细接口!$Y446=0,"",[2]对账明细接口!$Y446),"")</f>
        <v/>
      </c>
      <c r="AE445" s="90" t="str">
        <f aca="false">IFERROR(IF([2]对账明细接口!$AA446=0,"",[2]对账明细接口!$AA446),"")</f>
        <v/>
      </c>
      <c r="AF445" s="90" t="str">
        <f aca="false">IFERROR(IF([2]对账明细接口!$AB446=0,"",[2]对账明细接口!$AB446),"")</f>
        <v/>
      </c>
      <c r="AG445" s="90" t="str">
        <f aca="false">IFERROR(IF([2]对账明细接口!$AC446=0,"",[2]对账明细接口!$AC446),"")</f>
        <v/>
      </c>
      <c r="AH445" s="90" t="str">
        <f aca="false">IFERROR(IF([2]对账明细接口!$AD446=0,"",[2]对账明细接口!$AD446),"")</f>
        <v/>
      </c>
    </row>
    <row r="446" customFormat="false" ht="13.5" hidden="false" customHeight="false" outlineLevel="0" collapsed="false">
      <c r="A446" s="109" t="n">
        <v>446</v>
      </c>
      <c r="B446" s="110" t="str">
        <f aca="false">IFERROR(IF([2]对账明细接口!$B$446=0,"",[2]对账明细接口!$B$446),"")</f>
        <v/>
      </c>
      <c r="C446" s="59" t="str">
        <f aca="false">IFERROR(IF([2]对账明细接口!$C$446=0,"",[2]对账明细接口!$C$446),"")</f>
        <v/>
      </c>
      <c r="D446" s="59" t="str">
        <f aca="false">IFERROR(IF([2]对账明细接口!$D$446=0,"",[2]对账明细接口!$D$446),"")</f>
        <v/>
      </c>
      <c r="E446" s="59" t="str">
        <f aca="false">IFERROR(IF([2]对账明细接口!$E$446=0,"",[2]对账明细接口!$E$446),"")</f>
        <v/>
      </c>
      <c r="F446" s="59" t="str">
        <f aca="false">IFERROR(IF([2]对账明细接口!$F$446=0,"",[2]对账明细接口!$F$446),"")</f>
        <v/>
      </c>
      <c r="G446" s="59" t="str">
        <f aca="false">IFERROR(IF([2]对账明细接口!$G$446=0,"",[2]对账明细接口!$G$446),"")</f>
        <v/>
      </c>
      <c r="H446" s="60" t="str">
        <f aca="false">IFERROR(IF([2]对账明细接口!$H$446=0,"",[2]对账明细接口!$H$446),"")</f>
        <v/>
      </c>
      <c r="I446" s="59" t="str">
        <f aca="false">IFERROR(IF([2]对账明细接口!$I$446=0,"",[2]对账明细接口!$I$446),"")</f>
        <v/>
      </c>
      <c r="J446" s="61" t="str">
        <f aca="false">IFERROR(IF([2]对账明细接口!$J$446=0,"",[2]对账明细接口!$J$446),"")</f>
        <v/>
      </c>
      <c r="K446" s="61" t="str">
        <f aca="false">IFERROR(IF([2]对账明细接口!$K$446=0,"",[2]对账明细接口!$K$446),"")</f>
        <v/>
      </c>
      <c r="L446" s="59" t="str">
        <f aca="false">IFERROR(IF([2]对账明细接口!$L$446=0,"",[2]对账明细接口!$L$446),"")</f>
        <v/>
      </c>
      <c r="M446" s="59" t="str">
        <f aca="false">IFERROR(IF([2]对账明细接口!$M$446=0,"",[2]对账明细接口!$M$446),"")</f>
        <v/>
      </c>
      <c r="N446" s="111" t="n">
        <f aca="false">IF($C446="",0,1)</f>
        <v>0</v>
      </c>
      <c r="O446" s="111" t="n">
        <f aca="false">N(O445)+$N446</f>
        <v>311</v>
      </c>
      <c r="S446" s="10" t="str">
        <f aca="false">IFERROR(IF([2]对账明细接口!$N446=0,"",[2]对账明细接口!$N446),"")</f>
        <v/>
      </c>
      <c r="T446" s="112" t="str">
        <f aca="false">IFERROR(IF([2]对账明细接口!$O446=0,"",[2]对账明细接口!$O446),"")</f>
        <v/>
      </c>
      <c r="U446" s="112" t="str">
        <f aca="false">IFERROR(IF([2]对账明细接口!$P446=0,"",[2]对账明细接口!$P446),"")</f>
        <v/>
      </c>
      <c r="V446" s="112" t="str">
        <f aca="false">IFERROR(IF([2]对账明细接口!$Q446=0,"",[2]对账明细接口!$Q446),"")</f>
        <v/>
      </c>
      <c r="W446" s="10" t="str">
        <f aca="false">IFERROR(IF([2]对账明细接口!$R446=0,"",[2]对账明细接口!$R446),"")</f>
        <v/>
      </c>
      <c r="X446" s="10" t="str">
        <f aca="false">IFERROR(IF([2]对账明细接口!$S446=0,"",[2]对账明细接口!$S446),"")</f>
        <v/>
      </c>
      <c r="Y446" s="10" t="str">
        <f aca="false">IFERROR(IF([2]对账明细接口!$T446=0,"",[2]对账明细接口!$T446),"")</f>
        <v/>
      </c>
      <c r="Z446" s="113" t="str">
        <f aca="false">IFERROR(IF([2]对账明细接口!$U446=0,"",[2]对账明细接口!$U446),"")</f>
        <v/>
      </c>
      <c r="AA446" s="113" t="str">
        <f aca="false">IFERROR(IF([2]对账明细接口!$V446=0,"",[2]对账明细接口!$V446),"")</f>
        <v/>
      </c>
      <c r="AB446" s="10" t="str">
        <f aca="false">IFERROR(IF([2]对账明细接口!$W446=0,"",[2]对账明细接口!$W446),"")</f>
        <v/>
      </c>
      <c r="AC446" s="90" t="str">
        <f aca="false">IFERROR(IF([2]对账明细接口!$X447=0,"",[2]对账明细接口!$X447),"")</f>
        <v/>
      </c>
      <c r="AD446" s="90" t="str">
        <f aca="false">IFERROR(IF([2]对账明细接口!$Y447=0,"",[2]对账明细接口!$Y447),"")</f>
        <v/>
      </c>
      <c r="AE446" s="90" t="str">
        <f aca="false">IFERROR(IF([2]对账明细接口!$AA447=0,"",[2]对账明细接口!$AA447),"")</f>
        <v/>
      </c>
      <c r="AF446" s="90" t="str">
        <f aca="false">IFERROR(IF([2]对账明细接口!$AB447=0,"",[2]对账明细接口!$AB447),"")</f>
        <v/>
      </c>
      <c r="AG446" s="90" t="str">
        <f aca="false">IFERROR(IF([2]对账明细接口!$AC447=0,"",[2]对账明细接口!$AC447),"")</f>
        <v/>
      </c>
      <c r="AH446" s="90" t="str">
        <f aca="false">IFERROR(IF([2]对账明细接口!$AD447=0,"",[2]对账明细接口!$AD447),"")</f>
        <v/>
      </c>
    </row>
    <row r="447" customFormat="false" ht="13.5" hidden="false" customHeight="false" outlineLevel="0" collapsed="false">
      <c r="A447" s="109" t="n">
        <v>447</v>
      </c>
      <c r="B447" s="110" t="str">
        <f aca="false">IFERROR(IF([2]对账明细接口!$B$447=0,"",[2]对账明细接口!$B$447),"")</f>
        <v/>
      </c>
      <c r="C447" s="59" t="str">
        <f aca="false">IFERROR(IF([2]对账明细接口!$C$447=0,"",[2]对账明细接口!$C$447),"")</f>
        <v/>
      </c>
      <c r="D447" s="59" t="str">
        <f aca="false">IFERROR(IF([2]对账明细接口!$D$447=0,"",[2]对账明细接口!$D$447),"")</f>
        <v/>
      </c>
      <c r="E447" s="59" t="str">
        <f aca="false">IFERROR(IF([2]对账明细接口!$E$447=0,"",[2]对账明细接口!$E$447),"")</f>
        <v/>
      </c>
      <c r="F447" s="59" t="str">
        <f aca="false">IFERROR(IF([2]对账明细接口!$F$447=0,"",[2]对账明细接口!$F$447),"")</f>
        <v/>
      </c>
      <c r="G447" s="59" t="str">
        <f aca="false">IFERROR(IF([2]对账明细接口!$G$447=0,"",[2]对账明细接口!$G$447),"")</f>
        <v/>
      </c>
      <c r="H447" s="60" t="str">
        <f aca="false">IFERROR(IF([2]对账明细接口!$H$447=0,"",[2]对账明细接口!$H$447),"")</f>
        <v/>
      </c>
      <c r="I447" s="59" t="str">
        <f aca="false">IFERROR(IF([2]对账明细接口!$I$447=0,"",[2]对账明细接口!$I$447),"")</f>
        <v/>
      </c>
      <c r="J447" s="61" t="str">
        <f aca="false">IFERROR(IF([2]对账明细接口!$J$447=0,"",[2]对账明细接口!$J$447),"")</f>
        <v/>
      </c>
      <c r="K447" s="61" t="str">
        <f aca="false">IFERROR(IF([2]对账明细接口!$K$447=0,"",[2]对账明细接口!$K$447),"")</f>
        <v/>
      </c>
      <c r="L447" s="59" t="str">
        <f aca="false">IFERROR(IF([2]对账明细接口!$L$447=0,"",[2]对账明细接口!$L$447),"")</f>
        <v/>
      </c>
      <c r="M447" s="59" t="str">
        <f aca="false">IFERROR(IF([2]对账明细接口!$M$447=0,"",[2]对账明细接口!$M$447),"")</f>
        <v/>
      </c>
      <c r="N447" s="111" t="n">
        <f aca="false">IF($C447="",0,1)</f>
        <v>0</v>
      </c>
      <c r="O447" s="111" t="n">
        <f aca="false">N(O446)+$N447</f>
        <v>311</v>
      </c>
      <c r="S447" s="10" t="str">
        <f aca="false">IFERROR(IF([2]对账明细接口!$N447=0,"",[2]对账明细接口!$N447),"")</f>
        <v/>
      </c>
      <c r="T447" s="112" t="str">
        <f aca="false">IFERROR(IF([2]对账明细接口!$O447=0,"",[2]对账明细接口!$O447),"")</f>
        <v/>
      </c>
      <c r="U447" s="112" t="str">
        <f aca="false">IFERROR(IF([2]对账明细接口!$P447=0,"",[2]对账明细接口!$P447),"")</f>
        <v/>
      </c>
      <c r="V447" s="112" t="str">
        <f aca="false">IFERROR(IF([2]对账明细接口!$Q447=0,"",[2]对账明细接口!$Q447),"")</f>
        <v/>
      </c>
      <c r="W447" s="10" t="str">
        <f aca="false">IFERROR(IF([2]对账明细接口!$R447=0,"",[2]对账明细接口!$R447),"")</f>
        <v/>
      </c>
      <c r="X447" s="10" t="str">
        <f aca="false">IFERROR(IF([2]对账明细接口!$S447=0,"",[2]对账明细接口!$S447),"")</f>
        <v/>
      </c>
      <c r="Y447" s="10" t="str">
        <f aca="false">IFERROR(IF([2]对账明细接口!$T447=0,"",[2]对账明细接口!$T447),"")</f>
        <v/>
      </c>
      <c r="Z447" s="113" t="str">
        <f aca="false">IFERROR(IF([2]对账明细接口!$U447=0,"",[2]对账明细接口!$U447),"")</f>
        <v/>
      </c>
      <c r="AA447" s="113" t="str">
        <f aca="false">IFERROR(IF([2]对账明细接口!$V447=0,"",[2]对账明细接口!$V447),"")</f>
        <v/>
      </c>
      <c r="AB447" s="10" t="str">
        <f aca="false">IFERROR(IF([2]对账明细接口!$W447=0,"",[2]对账明细接口!$W447),"")</f>
        <v/>
      </c>
      <c r="AC447" s="90" t="str">
        <f aca="false">IFERROR(IF([2]对账明细接口!$X448=0,"",[2]对账明细接口!$X448),"")</f>
        <v/>
      </c>
      <c r="AD447" s="90" t="str">
        <f aca="false">IFERROR(IF([2]对账明细接口!$Y448=0,"",[2]对账明细接口!$Y448),"")</f>
        <v/>
      </c>
      <c r="AE447" s="90" t="str">
        <f aca="false">IFERROR(IF([2]对账明细接口!$AA448=0,"",[2]对账明细接口!$AA448),"")</f>
        <v/>
      </c>
      <c r="AF447" s="90" t="str">
        <f aca="false">IFERROR(IF([2]对账明细接口!$AB448=0,"",[2]对账明细接口!$AB448),"")</f>
        <v/>
      </c>
      <c r="AG447" s="90" t="str">
        <f aca="false">IFERROR(IF([2]对账明细接口!$AC448=0,"",[2]对账明细接口!$AC448),"")</f>
        <v/>
      </c>
      <c r="AH447" s="90" t="str">
        <f aca="false">IFERROR(IF([2]对账明细接口!$AD448=0,"",[2]对账明细接口!$AD448),"")</f>
        <v/>
      </c>
    </row>
    <row r="448" customFormat="false" ht="13.5" hidden="false" customHeight="false" outlineLevel="0" collapsed="false">
      <c r="A448" s="109" t="n">
        <v>448</v>
      </c>
      <c r="B448" s="110" t="str">
        <f aca="false">IFERROR(IF([2]对账明细接口!$B$448=0,"",[2]对账明细接口!$B$448),"")</f>
        <v/>
      </c>
      <c r="C448" s="59" t="str">
        <f aca="false">IFERROR(IF([2]对账明细接口!$C$448=0,"",[2]对账明细接口!$C$448),"")</f>
        <v/>
      </c>
      <c r="D448" s="59" t="str">
        <f aca="false">IFERROR(IF([2]对账明细接口!$D$448=0,"",[2]对账明细接口!$D$448),"")</f>
        <v/>
      </c>
      <c r="E448" s="59" t="str">
        <f aca="false">IFERROR(IF([2]对账明细接口!$E$448=0,"",[2]对账明细接口!$E$448),"")</f>
        <v/>
      </c>
      <c r="F448" s="59" t="str">
        <f aca="false">IFERROR(IF([2]对账明细接口!$F$448=0,"",[2]对账明细接口!$F$448),"")</f>
        <v/>
      </c>
      <c r="G448" s="59" t="str">
        <f aca="false">IFERROR(IF([2]对账明细接口!$G$448=0,"",[2]对账明细接口!$G$448),"")</f>
        <v/>
      </c>
      <c r="H448" s="60" t="str">
        <f aca="false">IFERROR(IF([2]对账明细接口!$H$448=0,"",[2]对账明细接口!$H$448),"")</f>
        <v/>
      </c>
      <c r="I448" s="59" t="str">
        <f aca="false">IFERROR(IF([2]对账明细接口!$I$448=0,"",[2]对账明细接口!$I$448),"")</f>
        <v/>
      </c>
      <c r="J448" s="61" t="str">
        <f aca="false">IFERROR(IF([2]对账明细接口!$J$448=0,"",[2]对账明细接口!$J$448),"")</f>
        <v/>
      </c>
      <c r="K448" s="61" t="str">
        <f aca="false">IFERROR(IF([2]对账明细接口!$K$448=0,"",[2]对账明细接口!$K$448),"")</f>
        <v/>
      </c>
      <c r="L448" s="59" t="str">
        <f aca="false">IFERROR(IF([2]对账明细接口!$L$448=0,"",[2]对账明细接口!$L$448),"")</f>
        <v/>
      </c>
      <c r="M448" s="59" t="str">
        <f aca="false">IFERROR(IF([2]对账明细接口!$M$448=0,"",[2]对账明细接口!$M$448),"")</f>
        <v/>
      </c>
      <c r="N448" s="111" t="n">
        <f aca="false">IF($C448="",0,1)</f>
        <v>0</v>
      </c>
      <c r="O448" s="111" t="n">
        <f aca="false">N(O447)+$N448</f>
        <v>311</v>
      </c>
      <c r="S448" s="10" t="str">
        <f aca="false">IFERROR(IF([2]对账明细接口!$N448=0,"",[2]对账明细接口!$N448),"")</f>
        <v/>
      </c>
      <c r="T448" s="112" t="str">
        <f aca="false">IFERROR(IF([2]对账明细接口!$O448=0,"",[2]对账明细接口!$O448),"")</f>
        <v/>
      </c>
      <c r="U448" s="112" t="str">
        <f aca="false">IFERROR(IF([2]对账明细接口!$P448=0,"",[2]对账明细接口!$P448),"")</f>
        <v/>
      </c>
      <c r="V448" s="112" t="str">
        <f aca="false">IFERROR(IF([2]对账明细接口!$Q448=0,"",[2]对账明细接口!$Q448),"")</f>
        <v/>
      </c>
      <c r="W448" s="10" t="str">
        <f aca="false">IFERROR(IF([2]对账明细接口!$R448=0,"",[2]对账明细接口!$R448),"")</f>
        <v/>
      </c>
      <c r="X448" s="10" t="str">
        <f aca="false">IFERROR(IF([2]对账明细接口!$S448=0,"",[2]对账明细接口!$S448),"")</f>
        <v/>
      </c>
      <c r="Y448" s="10" t="str">
        <f aca="false">IFERROR(IF([2]对账明细接口!$T448=0,"",[2]对账明细接口!$T448),"")</f>
        <v/>
      </c>
      <c r="Z448" s="113" t="str">
        <f aca="false">IFERROR(IF([2]对账明细接口!$U448=0,"",[2]对账明细接口!$U448),"")</f>
        <v/>
      </c>
      <c r="AA448" s="113" t="str">
        <f aca="false">IFERROR(IF([2]对账明细接口!$V448=0,"",[2]对账明细接口!$V448),"")</f>
        <v/>
      </c>
      <c r="AB448" s="10" t="str">
        <f aca="false">IFERROR(IF([2]对账明细接口!$W448=0,"",[2]对账明细接口!$W448),"")</f>
        <v/>
      </c>
      <c r="AC448" s="90" t="str">
        <f aca="false">IFERROR(IF([2]对账明细接口!$X449=0,"",[2]对账明细接口!$X449),"")</f>
        <v/>
      </c>
      <c r="AD448" s="90" t="str">
        <f aca="false">IFERROR(IF([2]对账明细接口!$Y449=0,"",[2]对账明细接口!$Y449),"")</f>
        <v/>
      </c>
      <c r="AE448" s="90" t="str">
        <f aca="false">IFERROR(IF([2]对账明细接口!$AA449=0,"",[2]对账明细接口!$AA449),"")</f>
        <v/>
      </c>
      <c r="AF448" s="90" t="str">
        <f aca="false">IFERROR(IF([2]对账明细接口!$AB449=0,"",[2]对账明细接口!$AB449),"")</f>
        <v/>
      </c>
      <c r="AG448" s="90" t="str">
        <f aca="false">IFERROR(IF([2]对账明细接口!$AC449=0,"",[2]对账明细接口!$AC449),"")</f>
        <v/>
      </c>
      <c r="AH448" s="90" t="str">
        <f aca="false">IFERROR(IF([2]对账明细接口!$AD449=0,"",[2]对账明细接口!$AD449),"")</f>
        <v/>
      </c>
    </row>
    <row r="449" customFormat="false" ht="13.5" hidden="false" customHeight="false" outlineLevel="0" collapsed="false">
      <c r="A449" s="109" t="n">
        <v>449</v>
      </c>
      <c r="B449" s="110" t="str">
        <f aca="false">IFERROR(IF([2]对账明细接口!$B$449=0,"",[2]对账明细接口!$B$449),"")</f>
        <v/>
      </c>
      <c r="C449" s="59" t="str">
        <f aca="false">IFERROR(IF([2]对账明细接口!$C$449=0,"",[2]对账明细接口!$C$449),"")</f>
        <v/>
      </c>
      <c r="D449" s="59" t="str">
        <f aca="false">IFERROR(IF([2]对账明细接口!$D$449=0,"",[2]对账明细接口!$D$449),"")</f>
        <v/>
      </c>
      <c r="E449" s="59" t="str">
        <f aca="false">IFERROR(IF([2]对账明细接口!$E$449=0,"",[2]对账明细接口!$E$449),"")</f>
        <v/>
      </c>
      <c r="F449" s="59" t="str">
        <f aca="false">IFERROR(IF([2]对账明细接口!$F$449=0,"",[2]对账明细接口!$F$449),"")</f>
        <v/>
      </c>
      <c r="G449" s="59" t="str">
        <f aca="false">IFERROR(IF([2]对账明细接口!$G$449=0,"",[2]对账明细接口!$G$449),"")</f>
        <v/>
      </c>
      <c r="H449" s="60" t="str">
        <f aca="false">IFERROR(IF([2]对账明细接口!$H$449=0,"",[2]对账明细接口!$H$449),"")</f>
        <v/>
      </c>
      <c r="I449" s="59" t="str">
        <f aca="false">IFERROR(IF([2]对账明细接口!$I$449=0,"",[2]对账明细接口!$I$449),"")</f>
        <v/>
      </c>
      <c r="J449" s="61" t="str">
        <f aca="false">IFERROR(IF([2]对账明细接口!$J$449=0,"",[2]对账明细接口!$J$449),"")</f>
        <v/>
      </c>
      <c r="K449" s="61" t="str">
        <f aca="false">IFERROR(IF([2]对账明细接口!$K$449=0,"",[2]对账明细接口!$K$449),"")</f>
        <v/>
      </c>
      <c r="L449" s="59" t="str">
        <f aca="false">IFERROR(IF([2]对账明细接口!$L$449=0,"",[2]对账明细接口!$L$449),"")</f>
        <v/>
      </c>
      <c r="M449" s="59" t="str">
        <f aca="false">IFERROR(IF([2]对账明细接口!$M$449=0,"",[2]对账明细接口!$M$449),"")</f>
        <v/>
      </c>
      <c r="N449" s="111" t="n">
        <f aca="false">IF($C449="",0,1)</f>
        <v>0</v>
      </c>
      <c r="O449" s="111" t="n">
        <f aca="false">N(O448)+$N449</f>
        <v>311</v>
      </c>
      <c r="S449" s="10" t="str">
        <f aca="false">IFERROR(IF([2]对账明细接口!$N449=0,"",[2]对账明细接口!$N449),"")</f>
        <v/>
      </c>
      <c r="T449" s="112" t="str">
        <f aca="false">IFERROR(IF([2]对账明细接口!$O449=0,"",[2]对账明细接口!$O449),"")</f>
        <v/>
      </c>
      <c r="U449" s="112" t="str">
        <f aca="false">IFERROR(IF([2]对账明细接口!$P449=0,"",[2]对账明细接口!$P449),"")</f>
        <v/>
      </c>
      <c r="V449" s="112" t="str">
        <f aca="false">IFERROR(IF([2]对账明细接口!$Q449=0,"",[2]对账明细接口!$Q449),"")</f>
        <v/>
      </c>
      <c r="W449" s="10" t="str">
        <f aca="false">IFERROR(IF([2]对账明细接口!$R449=0,"",[2]对账明细接口!$R449),"")</f>
        <v/>
      </c>
      <c r="X449" s="10" t="str">
        <f aca="false">IFERROR(IF([2]对账明细接口!$S449=0,"",[2]对账明细接口!$S449),"")</f>
        <v/>
      </c>
      <c r="Y449" s="10" t="str">
        <f aca="false">IFERROR(IF([2]对账明细接口!$T449=0,"",[2]对账明细接口!$T449),"")</f>
        <v/>
      </c>
      <c r="Z449" s="113" t="str">
        <f aca="false">IFERROR(IF([2]对账明细接口!$U449=0,"",[2]对账明细接口!$U449),"")</f>
        <v/>
      </c>
      <c r="AA449" s="113" t="str">
        <f aca="false">IFERROR(IF([2]对账明细接口!$V449=0,"",[2]对账明细接口!$V449),"")</f>
        <v/>
      </c>
      <c r="AB449" s="10" t="str">
        <f aca="false">IFERROR(IF([2]对账明细接口!$W449=0,"",[2]对账明细接口!$W449),"")</f>
        <v/>
      </c>
      <c r="AC449" s="90" t="str">
        <f aca="false">IFERROR(IF([2]对账明细接口!$X450=0,"",[2]对账明细接口!$X450),"")</f>
        <v/>
      </c>
      <c r="AD449" s="90" t="str">
        <f aca="false">IFERROR(IF([2]对账明细接口!$Y450=0,"",[2]对账明细接口!$Y450),"")</f>
        <v/>
      </c>
      <c r="AE449" s="90" t="str">
        <f aca="false">IFERROR(IF([2]对账明细接口!$AA450=0,"",[2]对账明细接口!$AA450),"")</f>
        <v/>
      </c>
      <c r="AF449" s="90" t="str">
        <f aca="false">IFERROR(IF([2]对账明细接口!$AB450=0,"",[2]对账明细接口!$AB450),"")</f>
        <v/>
      </c>
      <c r="AG449" s="90" t="str">
        <f aca="false">IFERROR(IF([2]对账明细接口!$AC450=0,"",[2]对账明细接口!$AC450),"")</f>
        <v/>
      </c>
      <c r="AH449" s="90" t="str">
        <f aca="false">IFERROR(IF([2]对账明细接口!$AD450=0,"",[2]对账明细接口!$AD450),"")</f>
        <v/>
      </c>
    </row>
    <row r="450" customFormat="false" ht="13.5" hidden="false" customHeight="false" outlineLevel="0" collapsed="false">
      <c r="A450" s="109" t="n">
        <v>450</v>
      </c>
      <c r="B450" s="110" t="str">
        <f aca="false">IFERROR(IF([2]对账明细接口!$B$450=0,"",[2]对账明细接口!$B$450),"")</f>
        <v/>
      </c>
      <c r="C450" s="59" t="str">
        <f aca="false">IFERROR(IF([2]对账明细接口!$C$450=0,"",[2]对账明细接口!$C$450),"")</f>
        <v/>
      </c>
      <c r="D450" s="59" t="str">
        <f aca="false">IFERROR(IF([2]对账明细接口!$D$450=0,"",[2]对账明细接口!$D$450),"")</f>
        <v/>
      </c>
      <c r="E450" s="59" t="str">
        <f aca="false">IFERROR(IF([2]对账明细接口!$E$450=0,"",[2]对账明细接口!$E$450),"")</f>
        <v/>
      </c>
      <c r="F450" s="59" t="str">
        <f aca="false">IFERROR(IF([2]对账明细接口!$F$450=0,"",[2]对账明细接口!$F$450),"")</f>
        <v/>
      </c>
      <c r="G450" s="59" t="str">
        <f aca="false">IFERROR(IF([2]对账明细接口!$G$450=0,"",[2]对账明细接口!$G$450),"")</f>
        <v/>
      </c>
      <c r="H450" s="60" t="str">
        <f aca="false">IFERROR(IF([2]对账明细接口!$H$450=0,"",[2]对账明细接口!$H$450),"")</f>
        <v/>
      </c>
      <c r="I450" s="59" t="str">
        <f aca="false">IFERROR(IF([2]对账明细接口!$I$450=0,"",[2]对账明细接口!$I$450),"")</f>
        <v/>
      </c>
      <c r="J450" s="61" t="str">
        <f aca="false">IFERROR(IF([2]对账明细接口!$J$450=0,"",[2]对账明细接口!$J$450),"")</f>
        <v/>
      </c>
      <c r="K450" s="61" t="str">
        <f aca="false">IFERROR(IF([2]对账明细接口!$K$450=0,"",[2]对账明细接口!$K$450),"")</f>
        <v/>
      </c>
      <c r="L450" s="59" t="str">
        <f aca="false">IFERROR(IF([2]对账明细接口!$L$450=0,"",[2]对账明细接口!$L$450),"")</f>
        <v/>
      </c>
      <c r="M450" s="59" t="str">
        <f aca="false">IFERROR(IF([2]对账明细接口!$M$450=0,"",[2]对账明细接口!$M$450),"")</f>
        <v/>
      </c>
      <c r="N450" s="111" t="n">
        <f aca="false">IF($C450="",0,1)</f>
        <v>0</v>
      </c>
      <c r="O450" s="111" t="n">
        <f aca="false">N(O449)+$N450</f>
        <v>311</v>
      </c>
      <c r="S450" s="10" t="str">
        <f aca="false">IFERROR(IF([2]对账明细接口!$N450=0,"",[2]对账明细接口!$N450),"")</f>
        <v/>
      </c>
      <c r="T450" s="112" t="str">
        <f aca="false">IFERROR(IF([2]对账明细接口!$O450=0,"",[2]对账明细接口!$O450),"")</f>
        <v/>
      </c>
      <c r="U450" s="112" t="str">
        <f aca="false">IFERROR(IF([2]对账明细接口!$P450=0,"",[2]对账明细接口!$P450),"")</f>
        <v/>
      </c>
      <c r="V450" s="112" t="str">
        <f aca="false">IFERROR(IF([2]对账明细接口!$Q450=0,"",[2]对账明细接口!$Q450),"")</f>
        <v/>
      </c>
      <c r="W450" s="10" t="str">
        <f aca="false">IFERROR(IF([2]对账明细接口!$R450=0,"",[2]对账明细接口!$R450),"")</f>
        <v/>
      </c>
      <c r="X450" s="10" t="str">
        <f aca="false">IFERROR(IF([2]对账明细接口!$S450=0,"",[2]对账明细接口!$S450),"")</f>
        <v/>
      </c>
      <c r="Y450" s="10" t="str">
        <f aca="false">IFERROR(IF([2]对账明细接口!$T450=0,"",[2]对账明细接口!$T450),"")</f>
        <v/>
      </c>
      <c r="Z450" s="113" t="str">
        <f aca="false">IFERROR(IF([2]对账明细接口!$U450=0,"",[2]对账明细接口!$U450),"")</f>
        <v/>
      </c>
      <c r="AA450" s="113" t="str">
        <f aca="false">IFERROR(IF([2]对账明细接口!$V450=0,"",[2]对账明细接口!$V450),"")</f>
        <v/>
      </c>
      <c r="AB450" s="10" t="str">
        <f aca="false">IFERROR(IF([2]对账明细接口!$W450=0,"",[2]对账明细接口!$W450),"")</f>
        <v/>
      </c>
      <c r="AC450" s="90" t="str">
        <f aca="false">IFERROR(IF([2]对账明细接口!$X451=0,"",[2]对账明细接口!$X451),"")</f>
        <v/>
      </c>
      <c r="AD450" s="90" t="str">
        <f aca="false">IFERROR(IF([2]对账明细接口!$Y451=0,"",[2]对账明细接口!$Y451),"")</f>
        <v/>
      </c>
      <c r="AE450" s="90" t="str">
        <f aca="false">IFERROR(IF([2]对账明细接口!$AA451=0,"",[2]对账明细接口!$AA451),"")</f>
        <v/>
      </c>
      <c r="AF450" s="90" t="str">
        <f aca="false">IFERROR(IF([2]对账明细接口!$AB451=0,"",[2]对账明细接口!$AB451),"")</f>
        <v/>
      </c>
      <c r="AG450" s="90" t="str">
        <f aca="false">IFERROR(IF([2]对账明细接口!$AC451=0,"",[2]对账明细接口!$AC451),"")</f>
        <v/>
      </c>
      <c r="AH450" s="90" t="str">
        <f aca="false">IFERROR(IF([2]对账明细接口!$AD451=0,"",[2]对账明细接口!$AD451),"")</f>
        <v/>
      </c>
    </row>
    <row r="451" customFormat="false" ht="13.5" hidden="false" customHeight="false" outlineLevel="0" collapsed="false">
      <c r="A451" s="109" t="n">
        <v>451</v>
      </c>
      <c r="B451" s="110" t="str">
        <f aca="false">IFERROR(IF([2]对账明细接口!$B$451=0,"",[2]对账明细接口!$B$451),"")</f>
        <v/>
      </c>
      <c r="C451" s="59" t="str">
        <f aca="false">IFERROR(IF([2]对账明细接口!$C$451=0,"",[2]对账明细接口!$C$451),"")</f>
        <v/>
      </c>
      <c r="D451" s="59" t="str">
        <f aca="false">IFERROR(IF([2]对账明细接口!$D$451=0,"",[2]对账明细接口!$D$451),"")</f>
        <v/>
      </c>
      <c r="E451" s="59" t="str">
        <f aca="false">IFERROR(IF([2]对账明细接口!$E$451=0,"",[2]对账明细接口!$E$451),"")</f>
        <v/>
      </c>
      <c r="F451" s="59" t="str">
        <f aca="false">IFERROR(IF([2]对账明细接口!$F$451=0,"",[2]对账明细接口!$F$451),"")</f>
        <v/>
      </c>
      <c r="G451" s="59" t="str">
        <f aca="false">IFERROR(IF([2]对账明细接口!$G$451=0,"",[2]对账明细接口!$G$451),"")</f>
        <v/>
      </c>
      <c r="H451" s="60" t="str">
        <f aca="false">IFERROR(IF([2]对账明细接口!$H$451=0,"",[2]对账明细接口!$H$451),"")</f>
        <v/>
      </c>
      <c r="I451" s="59" t="str">
        <f aca="false">IFERROR(IF([2]对账明细接口!$I$451=0,"",[2]对账明细接口!$I$451),"")</f>
        <v/>
      </c>
      <c r="J451" s="61" t="str">
        <f aca="false">IFERROR(IF([2]对账明细接口!$J$451=0,"",[2]对账明细接口!$J$451),"")</f>
        <v/>
      </c>
      <c r="K451" s="61" t="str">
        <f aca="false">IFERROR(IF([2]对账明细接口!$K$451=0,"",[2]对账明细接口!$K$451),"")</f>
        <v/>
      </c>
      <c r="L451" s="59" t="str">
        <f aca="false">IFERROR(IF([2]对账明细接口!$L$451=0,"",[2]对账明细接口!$L$451),"")</f>
        <v/>
      </c>
      <c r="M451" s="59" t="str">
        <f aca="false">IFERROR(IF([2]对账明细接口!$M$451=0,"",[2]对账明细接口!$M$451),"")</f>
        <v/>
      </c>
      <c r="N451" s="111" t="n">
        <f aca="false">IF($C451="",0,1)</f>
        <v>0</v>
      </c>
      <c r="O451" s="111" t="n">
        <f aca="false">N(O450)+$N451</f>
        <v>311</v>
      </c>
      <c r="S451" s="10" t="str">
        <f aca="false">IFERROR(IF([2]对账明细接口!$N451=0,"",[2]对账明细接口!$N451),"")</f>
        <v/>
      </c>
      <c r="T451" s="112" t="str">
        <f aca="false">IFERROR(IF([2]对账明细接口!$O451=0,"",[2]对账明细接口!$O451),"")</f>
        <v/>
      </c>
      <c r="U451" s="112" t="str">
        <f aca="false">IFERROR(IF([2]对账明细接口!$P451=0,"",[2]对账明细接口!$P451),"")</f>
        <v/>
      </c>
      <c r="V451" s="112" t="str">
        <f aca="false">IFERROR(IF([2]对账明细接口!$Q451=0,"",[2]对账明细接口!$Q451),"")</f>
        <v/>
      </c>
      <c r="W451" s="10" t="str">
        <f aca="false">IFERROR(IF([2]对账明细接口!$R451=0,"",[2]对账明细接口!$R451),"")</f>
        <v/>
      </c>
      <c r="X451" s="10" t="str">
        <f aca="false">IFERROR(IF([2]对账明细接口!$S451=0,"",[2]对账明细接口!$S451),"")</f>
        <v/>
      </c>
      <c r="Y451" s="10" t="str">
        <f aca="false">IFERROR(IF([2]对账明细接口!$T451=0,"",[2]对账明细接口!$T451),"")</f>
        <v/>
      </c>
      <c r="Z451" s="113" t="str">
        <f aca="false">IFERROR(IF([2]对账明细接口!$U451=0,"",[2]对账明细接口!$U451),"")</f>
        <v/>
      </c>
      <c r="AA451" s="113" t="str">
        <f aca="false">IFERROR(IF([2]对账明细接口!$V451=0,"",[2]对账明细接口!$V451),"")</f>
        <v/>
      </c>
      <c r="AB451" s="10" t="str">
        <f aca="false">IFERROR(IF([2]对账明细接口!$W451=0,"",[2]对账明细接口!$W451),"")</f>
        <v/>
      </c>
      <c r="AC451" s="90" t="str">
        <f aca="false">IFERROR(IF([2]对账明细接口!$X452=0,"",[2]对账明细接口!$X452),"")</f>
        <v/>
      </c>
      <c r="AD451" s="90" t="str">
        <f aca="false">IFERROR(IF([2]对账明细接口!$Y452=0,"",[2]对账明细接口!$Y452),"")</f>
        <v/>
      </c>
      <c r="AE451" s="90" t="str">
        <f aca="false">IFERROR(IF([2]对账明细接口!$AA452=0,"",[2]对账明细接口!$AA452),"")</f>
        <v/>
      </c>
      <c r="AF451" s="90" t="str">
        <f aca="false">IFERROR(IF([2]对账明细接口!$AB452=0,"",[2]对账明细接口!$AB452),"")</f>
        <v/>
      </c>
      <c r="AG451" s="90" t="str">
        <f aca="false">IFERROR(IF([2]对账明细接口!$AC452=0,"",[2]对账明细接口!$AC452),"")</f>
        <v/>
      </c>
      <c r="AH451" s="90" t="str">
        <f aca="false">IFERROR(IF([2]对账明细接口!$AD452=0,"",[2]对账明细接口!$AD452),"")</f>
        <v/>
      </c>
    </row>
    <row r="452" customFormat="false" ht="13.5" hidden="false" customHeight="false" outlineLevel="0" collapsed="false">
      <c r="A452" s="109" t="n">
        <v>452</v>
      </c>
      <c r="B452" s="110" t="str">
        <f aca="false">IFERROR(IF([2]对账明细接口!$B$452=0,"",[2]对账明细接口!$B$452),"")</f>
        <v/>
      </c>
      <c r="C452" s="59" t="str">
        <f aca="false">IFERROR(IF([2]对账明细接口!$C$452=0,"",[2]对账明细接口!$C$452),"")</f>
        <v/>
      </c>
      <c r="D452" s="59" t="str">
        <f aca="false">IFERROR(IF([2]对账明细接口!$D$452=0,"",[2]对账明细接口!$D$452),"")</f>
        <v/>
      </c>
      <c r="E452" s="59" t="str">
        <f aca="false">IFERROR(IF([2]对账明细接口!$E$452=0,"",[2]对账明细接口!$E$452),"")</f>
        <v/>
      </c>
      <c r="F452" s="59" t="str">
        <f aca="false">IFERROR(IF([2]对账明细接口!$F$452=0,"",[2]对账明细接口!$F$452),"")</f>
        <v/>
      </c>
      <c r="G452" s="59" t="str">
        <f aca="false">IFERROR(IF([2]对账明细接口!$G$452=0,"",[2]对账明细接口!$G$452),"")</f>
        <v/>
      </c>
      <c r="H452" s="60" t="str">
        <f aca="false">IFERROR(IF([2]对账明细接口!$H$452=0,"",[2]对账明细接口!$H$452),"")</f>
        <v/>
      </c>
      <c r="I452" s="59" t="str">
        <f aca="false">IFERROR(IF([2]对账明细接口!$I$452=0,"",[2]对账明细接口!$I$452),"")</f>
        <v/>
      </c>
      <c r="J452" s="61" t="str">
        <f aca="false">IFERROR(IF([2]对账明细接口!$J$452=0,"",[2]对账明细接口!$J$452),"")</f>
        <v/>
      </c>
      <c r="K452" s="61" t="str">
        <f aca="false">IFERROR(IF([2]对账明细接口!$K$452=0,"",[2]对账明细接口!$K$452),"")</f>
        <v/>
      </c>
      <c r="L452" s="59" t="str">
        <f aca="false">IFERROR(IF([2]对账明细接口!$L$452=0,"",[2]对账明细接口!$L$452),"")</f>
        <v/>
      </c>
      <c r="M452" s="59" t="str">
        <f aca="false">IFERROR(IF([2]对账明细接口!$M$452=0,"",[2]对账明细接口!$M$452),"")</f>
        <v/>
      </c>
      <c r="N452" s="111" t="n">
        <f aca="false">IF($C452="",0,1)</f>
        <v>0</v>
      </c>
      <c r="O452" s="111" t="n">
        <f aca="false">N(O451)+$N452</f>
        <v>311</v>
      </c>
      <c r="S452" s="10" t="str">
        <f aca="false">IFERROR(IF([2]对账明细接口!$N452=0,"",[2]对账明细接口!$N452),"")</f>
        <v/>
      </c>
      <c r="T452" s="112" t="str">
        <f aca="false">IFERROR(IF([2]对账明细接口!$O452=0,"",[2]对账明细接口!$O452),"")</f>
        <v/>
      </c>
      <c r="U452" s="112" t="str">
        <f aca="false">IFERROR(IF([2]对账明细接口!$P452=0,"",[2]对账明细接口!$P452),"")</f>
        <v/>
      </c>
      <c r="V452" s="112" t="str">
        <f aca="false">IFERROR(IF([2]对账明细接口!$Q452=0,"",[2]对账明细接口!$Q452),"")</f>
        <v/>
      </c>
      <c r="W452" s="10" t="str">
        <f aca="false">IFERROR(IF([2]对账明细接口!$R452=0,"",[2]对账明细接口!$R452),"")</f>
        <v/>
      </c>
      <c r="X452" s="10" t="str">
        <f aca="false">IFERROR(IF([2]对账明细接口!$S452=0,"",[2]对账明细接口!$S452),"")</f>
        <v/>
      </c>
      <c r="Y452" s="10" t="str">
        <f aca="false">IFERROR(IF([2]对账明细接口!$T452=0,"",[2]对账明细接口!$T452),"")</f>
        <v/>
      </c>
      <c r="Z452" s="113" t="str">
        <f aca="false">IFERROR(IF([2]对账明细接口!$U452=0,"",[2]对账明细接口!$U452),"")</f>
        <v/>
      </c>
      <c r="AA452" s="113" t="str">
        <f aca="false">IFERROR(IF([2]对账明细接口!$V452=0,"",[2]对账明细接口!$V452),"")</f>
        <v/>
      </c>
      <c r="AB452" s="10" t="str">
        <f aca="false">IFERROR(IF([2]对账明细接口!$W452=0,"",[2]对账明细接口!$W452),"")</f>
        <v/>
      </c>
      <c r="AC452" s="90" t="str">
        <f aca="false">IFERROR(IF([2]对账明细接口!$X453=0,"",[2]对账明细接口!$X453),"")</f>
        <v/>
      </c>
      <c r="AD452" s="90" t="str">
        <f aca="false">IFERROR(IF([2]对账明细接口!$Y453=0,"",[2]对账明细接口!$Y453),"")</f>
        <v/>
      </c>
      <c r="AE452" s="90" t="str">
        <f aca="false">IFERROR(IF([2]对账明细接口!$AA453=0,"",[2]对账明细接口!$AA453),"")</f>
        <v/>
      </c>
      <c r="AF452" s="90" t="str">
        <f aca="false">IFERROR(IF([2]对账明细接口!$AB453=0,"",[2]对账明细接口!$AB453),"")</f>
        <v/>
      </c>
      <c r="AG452" s="90" t="str">
        <f aca="false">IFERROR(IF([2]对账明细接口!$AC453=0,"",[2]对账明细接口!$AC453),"")</f>
        <v/>
      </c>
      <c r="AH452" s="90" t="str">
        <f aca="false">IFERROR(IF([2]对账明细接口!$AD453=0,"",[2]对账明细接口!$AD453),"")</f>
        <v/>
      </c>
    </row>
    <row r="453" customFormat="false" ht="13.5" hidden="false" customHeight="false" outlineLevel="0" collapsed="false">
      <c r="A453" s="109" t="n">
        <v>453</v>
      </c>
      <c r="B453" s="110" t="str">
        <f aca="false">IFERROR(IF([2]对账明细接口!$B$453=0,"",[2]对账明细接口!$B$453),"")</f>
        <v/>
      </c>
      <c r="C453" s="59" t="str">
        <f aca="false">IFERROR(IF([2]对账明细接口!$C$453=0,"",[2]对账明细接口!$C$453),"")</f>
        <v/>
      </c>
      <c r="D453" s="59" t="str">
        <f aca="false">IFERROR(IF([2]对账明细接口!$D$453=0,"",[2]对账明细接口!$D$453),"")</f>
        <v/>
      </c>
      <c r="E453" s="59" t="str">
        <f aca="false">IFERROR(IF([2]对账明细接口!$E$453=0,"",[2]对账明细接口!$E$453),"")</f>
        <v/>
      </c>
      <c r="F453" s="59" t="str">
        <f aca="false">IFERROR(IF([2]对账明细接口!$F$453=0,"",[2]对账明细接口!$F$453),"")</f>
        <v/>
      </c>
      <c r="G453" s="59" t="str">
        <f aca="false">IFERROR(IF([2]对账明细接口!$G$453=0,"",[2]对账明细接口!$G$453),"")</f>
        <v/>
      </c>
      <c r="H453" s="60" t="str">
        <f aca="false">IFERROR(IF([2]对账明细接口!$H$453=0,"",[2]对账明细接口!$H$453),"")</f>
        <v/>
      </c>
      <c r="I453" s="59" t="str">
        <f aca="false">IFERROR(IF([2]对账明细接口!$I$453=0,"",[2]对账明细接口!$I$453),"")</f>
        <v/>
      </c>
      <c r="J453" s="61" t="str">
        <f aca="false">IFERROR(IF([2]对账明细接口!$J$453=0,"",[2]对账明细接口!$J$453),"")</f>
        <v/>
      </c>
      <c r="K453" s="61" t="str">
        <f aca="false">IFERROR(IF([2]对账明细接口!$K$453=0,"",[2]对账明细接口!$K$453),"")</f>
        <v/>
      </c>
      <c r="L453" s="59" t="str">
        <f aca="false">IFERROR(IF([2]对账明细接口!$L$453=0,"",[2]对账明细接口!$L$453),"")</f>
        <v/>
      </c>
      <c r="M453" s="59" t="str">
        <f aca="false">IFERROR(IF([2]对账明细接口!$M$453=0,"",[2]对账明细接口!$M$453),"")</f>
        <v/>
      </c>
      <c r="N453" s="111" t="n">
        <f aca="false">IF($C453="",0,1)</f>
        <v>0</v>
      </c>
      <c r="O453" s="111" t="n">
        <f aca="false">N(O452)+$N453</f>
        <v>311</v>
      </c>
      <c r="S453" s="10" t="str">
        <f aca="false">IFERROR(IF([2]对账明细接口!$N453=0,"",[2]对账明细接口!$N453),"")</f>
        <v/>
      </c>
      <c r="T453" s="112" t="str">
        <f aca="false">IFERROR(IF([2]对账明细接口!$O453=0,"",[2]对账明细接口!$O453),"")</f>
        <v/>
      </c>
      <c r="U453" s="112" t="str">
        <f aca="false">IFERROR(IF([2]对账明细接口!$P453=0,"",[2]对账明细接口!$P453),"")</f>
        <v/>
      </c>
      <c r="V453" s="112" t="str">
        <f aca="false">IFERROR(IF([2]对账明细接口!$Q453=0,"",[2]对账明细接口!$Q453),"")</f>
        <v/>
      </c>
      <c r="W453" s="10" t="str">
        <f aca="false">IFERROR(IF([2]对账明细接口!$R453=0,"",[2]对账明细接口!$R453),"")</f>
        <v/>
      </c>
      <c r="X453" s="10" t="str">
        <f aca="false">IFERROR(IF([2]对账明细接口!$S453=0,"",[2]对账明细接口!$S453),"")</f>
        <v/>
      </c>
      <c r="Y453" s="10" t="str">
        <f aca="false">IFERROR(IF([2]对账明细接口!$T453=0,"",[2]对账明细接口!$T453),"")</f>
        <v/>
      </c>
      <c r="Z453" s="113" t="str">
        <f aca="false">IFERROR(IF([2]对账明细接口!$U453=0,"",[2]对账明细接口!$U453),"")</f>
        <v/>
      </c>
      <c r="AA453" s="113" t="str">
        <f aca="false">IFERROR(IF([2]对账明细接口!$V453=0,"",[2]对账明细接口!$V453),"")</f>
        <v/>
      </c>
      <c r="AB453" s="10" t="str">
        <f aca="false">IFERROR(IF([2]对账明细接口!$W453=0,"",[2]对账明细接口!$W453),"")</f>
        <v/>
      </c>
      <c r="AC453" s="90" t="str">
        <f aca="false">IFERROR(IF([2]对账明细接口!$X454=0,"",[2]对账明细接口!$X454),"")</f>
        <v/>
      </c>
      <c r="AD453" s="90" t="str">
        <f aca="false">IFERROR(IF([2]对账明细接口!$Y454=0,"",[2]对账明细接口!$Y454),"")</f>
        <v/>
      </c>
      <c r="AE453" s="90" t="str">
        <f aca="false">IFERROR(IF([2]对账明细接口!$AA454=0,"",[2]对账明细接口!$AA454),"")</f>
        <v/>
      </c>
      <c r="AF453" s="90" t="str">
        <f aca="false">IFERROR(IF([2]对账明细接口!$AB454=0,"",[2]对账明细接口!$AB454),"")</f>
        <v/>
      </c>
      <c r="AG453" s="90" t="str">
        <f aca="false">IFERROR(IF([2]对账明细接口!$AC454=0,"",[2]对账明细接口!$AC454),"")</f>
        <v/>
      </c>
      <c r="AH453" s="90" t="str">
        <f aca="false">IFERROR(IF([2]对账明细接口!$AD454=0,"",[2]对账明细接口!$AD454),"")</f>
        <v/>
      </c>
    </row>
    <row r="454" customFormat="false" ht="13.5" hidden="false" customHeight="false" outlineLevel="0" collapsed="false">
      <c r="A454" s="109" t="n">
        <v>454</v>
      </c>
      <c r="B454" s="110" t="str">
        <f aca="false">IFERROR(IF([2]对账明细接口!$B$454=0,"",[2]对账明细接口!$B$454),"")</f>
        <v/>
      </c>
      <c r="C454" s="59" t="str">
        <f aca="false">IFERROR(IF([2]对账明细接口!$C$454=0,"",[2]对账明细接口!$C$454),"")</f>
        <v/>
      </c>
      <c r="D454" s="59" t="str">
        <f aca="false">IFERROR(IF([2]对账明细接口!$D$454=0,"",[2]对账明细接口!$D$454),"")</f>
        <v/>
      </c>
      <c r="E454" s="59" t="str">
        <f aca="false">IFERROR(IF([2]对账明细接口!$E$454=0,"",[2]对账明细接口!$E$454),"")</f>
        <v/>
      </c>
      <c r="F454" s="59" t="str">
        <f aca="false">IFERROR(IF([2]对账明细接口!$F$454=0,"",[2]对账明细接口!$F$454),"")</f>
        <v/>
      </c>
      <c r="G454" s="59" t="str">
        <f aca="false">IFERROR(IF([2]对账明细接口!$G$454=0,"",[2]对账明细接口!$G$454),"")</f>
        <v/>
      </c>
      <c r="H454" s="60" t="str">
        <f aca="false">IFERROR(IF([2]对账明细接口!$H$454=0,"",[2]对账明细接口!$H$454),"")</f>
        <v/>
      </c>
      <c r="I454" s="59" t="str">
        <f aca="false">IFERROR(IF([2]对账明细接口!$I$454=0,"",[2]对账明细接口!$I$454),"")</f>
        <v/>
      </c>
      <c r="J454" s="61" t="str">
        <f aca="false">IFERROR(IF([2]对账明细接口!$J$454=0,"",[2]对账明细接口!$J$454),"")</f>
        <v/>
      </c>
      <c r="K454" s="61" t="str">
        <f aca="false">IFERROR(IF([2]对账明细接口!$K$454=0,"",[2]对账明细接口!$K$454),"")</f>
        <v/>
      </c>
      <c r="L454" s="59" t="str">
        <f aca="false">IFERROR(IF([2]对账明细接口!$L$454=0,"",[2]对账明细接口!$L$454),"")</f>
        <v/>
      </c>
      <c r="M454" s="59" t="str">
        <f aca="false">IFERROR(IF([2]对账明细接口!$M$454=0,"",[2]对账明细接口!$M$454),"")</f>
        <v/>
      </c>
      <c r="N454" s="111" t="n">
        <f aca="false">IF($C454="",0,1)</f>
        <v>0</v>
      </c>
      <c r="O454" s="111" t="n">
        <f aca="false">N(O453)+$N454</f>
        <v>311</v>
      </c>
      <c r="S454" s="10" t="str">
        <f aca="false">IFERROR(IF([2]对账明细接口!$N454=0,"",[2]对账明细接口!$N454),"")</f>
        <v/>
      </c>
      <c r="T454" s="112" t="str">
        <f aca="false">IFERROR(IF([2]对账明细接口!$O454=0,"",[2]对账明细接口!$O454),"")</f>
        <v/>
      </c>
      <c r="U454" s="112" t="str">
        <f aca="false">IFERROR(IF([2]对账明细接口!$P454=0,"",[2]对账明细接口!$P454),"")</f>
        <v/>
      </c>
      <c r="V454" s="112" t="str">
        <f aca="false">IFERROR(IF([2]对账明细接口!$Q454=0,"",[2]对账明细接口!$Q454),"")</f>
        <v/>
      </c>
      <c r="W454" s="10" t="str">
        <f aca="false">IFERROR(IF([2]对账明细接口!$R454=0,"",[2]对账明细接口!$R454),"")</f>
        <v/>
      </c>
      <c r="X454" s="10" t="str">
        <f aca="false">IFERROR(IF([2]对账明细接口!$S454=0,"",[2]对账明细接口!$S454),"")</f>
        <v/>
      </c>
      <c r="Y454" s="10" t="str">
        <f aca="false">IFERROR(IF([2]对账明细接口!$T454=0,"",[2]对账明细接口!$T454),"")</f>
        <v/>
      </c>
      <c r="Z454" s="113" t="str">
        <f aca="false">IFERROR(IF([2]对账明细接口!$U454=0,"",[2]对账明细接口!$U454),"")</f>
        <v/>
      </c>
      <c r="AA454" s="113" t="str">
        <f aca="false">IFERROR(IF([2]对账明细接口!$V454=0,"",[2]对账明细接口!$V454),"")</f>
        <v/>
      </c>
      <c r="AB454" s="10" t="str">
        <f aca="false">IFERROR(IF([2]对账明细接口!$W454=0,"",[2]对账明细接口!$W454),"")</f>
        <v/>
      </c>
      <c r="AC454" s="90" t="str">
        <f aca="false">IFERROR(IF([2]对账明细接口!$X455=0,"",[2]对账明细接口!$X455),"")</f>
        <v/>
      </c>
      <c r="AD454" s="90" t="str">
        <f aca="false">IFERROR(IF([2]对账明细接口!$Y455=0,"",[2]对账明细接口!$Y455),"")</f>
        <v/>
      </c>
      <c r="AE454" s="90" t="str">
        <f aca="false">IFERROR(IF([2]对账明细接口!$AA455=0,"",[2]对账明细接口!$AA455),"")</f>
        <v/>
      </c>
      <c r="AF454" s="90" t="str">
        <f aca="false">IFERROR(IF([2]对账明细接口!$AB455=0,"",[2]对账明细接口!$AB455),"")</f>
        <v/>
      </c>
      <c r="AG454" s="90" t="str">
        <f aca="false">IFERROR(IF([2]对账明细接口!$AC455=0,"",[2]对账明细接口!$AC455),"")</f>
        <v/>
      </c>
      <c r="AH454" s="90" t="str">
        <f aca="false">IFERROR(IF([2]对账明细接口!$AD455=0,"",[2]对账明细接口!$AD455),"")</f>
        <v/>
      </c>
    </row>
    <row r="455" customFormat="false" ht="13.5" hidden="false" customHeight="false" outlineLevel="0" collapsed="false">
      <c r="A455" s="109" t="n">
        <v>455</v>
      </c>
      <c r="B455" s="110" t="str">
        <f aca="false">IFERROR(IF([2]对账明细接口!$B$455=0,"",[2]对账明细接口!$B$455),"")</f>
        <v/>
      </c>
      <c r="C455" s="59" t="str">
        <f aca="false">IFERROR(IF([2]对账明细接口!$C$455=0,"",[2]对账明细接口!$C$455),"")</f>
        <v/>
      </c>
      <c r="D455" s="59" t="str">
        <f aca="false">IFERROR(IF([2]对账明细接口!$D$455=0,"",[2]对账明细接口!$D$455),"")</f>
        <v/>
      </c>
      <c r="E455" s="59" t="str">
        <f aca="false">IFERROR(IF([2]对账明细接口!$E$455=0,"",[2]对账明细接口!$E$455),"")</f>
        <v/>
      </c>
      <c r="F455" s="59" t="str">
        <f aca="false">IFERROR(IF([2]对账明细接口!$F$455=0,"",[2]对账明细接口!$F$455),"")</f>
        <v/>
      </c>
      <c r="G455" s="59" t="str">
        <f aca="false">IFERROR(IF([2]对账明细接口!$G$455=0,"",[2]对账明细接口!$G$455),"")</f>
        <v/>
      </c>
      <c r="H455" s="60" t="str">
        <f aca="false">IFERROR(IF([2]对账明细接口!$H$455=0,"",[2]对账明细接口!$H$455),"")</f>
        <v/>
      </c>
      <c r="I455" s="59" t="str">
        <f aca="false">IFERROR(IF([2]对账明细接口!$I$455=0,"",[2]对账明细接口!$I$455),"")</f>
        <v/>
      </c>
      <c r="J455" s="61" t="str">
        <f aca="false">IFERROR(IF([2]对账明细接口!$J$455=0,"",[2]对账明细接口!$J$455),"")</f>
        <v/>
      </c>
      <c r="K455" s="61" t="str">
        <f aca="false">IFERROR(IF([2]对账明细接口!$K$455=0,"",[2]对账明细接口!$K$455),"")</f>
        <v/>
      </c>
      <c r="L455" s="59" t="str">
        <f aca="false">IFERROR(IF([2]对账明细接口!$L$455=0,"",[2]对账明细接口!$L$455),"")</f>
        <v/>
      </c>
      <c r="M455" s="59" t="str">
        <f aca="false">IFERROR(IF([2]对账明细接口!$M$455=0,"",[2]对账明细接口!$M$455),"")</f>
        <v/>
      </c>
      <c r="N455" s="111" t="n">
        <f aca="false">IF($C455="",0,1)</f>
        <v>0</v>
      </c>
      <c r="O455" s="111" t="n">
        <f aca="false">N(O454)+$N455</f>
        <v>311</v>
      </c>
      <c r="S455" s="10" t="str">
        <f aca="false">IFERROR(IF([2]对账明细接口!$N455=0,"",[2]对账明细接口!$N455),"")</f>
        <v/>
      </c>
      <c r="T455" s="112" t="str">
        <f aca="false">IFERROR(IF([2]对账明细接口!$O455=0,"",[2]对账明细接口!$O455),"")</f>
        <v/>
      </c>
      <c r="U455" s="112" t="str">
        <f aca="false">IFERROR(IF([2]对账明细接口!$P455=0,"",[2]对账明细接口!$P455),"")</f>
        <v/>
      </c>
      <c r="V455" s="112" t="str">
        <f aca="false">IFERROR(IF([2]对账明细接口!$Q455=0,"",[2]对账明细接口!$Q455),"")</f>
        <v/>
      </c>
      <c r="W455" s="10" t="str">
        <f aca="false">IFERROR(IF([2]对账明细接口!$R455=0,"",[2]对账明细接口!$R455),"")</f>
        <v/>
      </c>
      <c r="X455" s="10" t="str">
        <f aca="false">IFERROR(IF([2]对账明细接口!$S455=0,"",[2]对账明细接口!$S455),"")</f>
        <v/>
      </c>
      <c r="Y455" s="10" t="str">
        <f aca="false">IFERROR(IF([2]对账明细接口!$T455=0,"",[2]对账明细接口!$T455),"")</f>
        <v/>
      </c>
      <c r="Z455" s="113" t="str">
        <f aca="false">IFERROR(IF([2]对账明细接口!$U455=0,"",[2]对账明细接口!$U455),"")</f>
        <v/>
      </c>
      <c r="AA455" s="113" t="str">
        <f aca="false">IFERROR(IF([2]对账明细接口!$V455=0,"",[2]对账明细接口!$V455),"")</f>
        <v/>
      </c>
      <c r="AB455" s="10" t="str">
        <f aca="false">IFERROR(IF([2]对账明细接口!$W455=0,"",[2]对账明细接口!$W455),"")</f>
        <v/>
      </c>
      <c r="AC455" s="90" t="str">
        <f aca="false">IFERROR(IF([2]对账明细接口!$X456=0,"",[2]对账明细接口!$X456),"")</f>
        <v/>
      </c>
      <c r="AD455" s="90" t="str">
        <f aca="false">IFERROR(IF([2]对账明细接口!$Y456=0,"",[2]对账明细接口!$Y456),"")</f>
        <v/>
      </c>
      <c r="AE455" s="90" t="str">
        <f aca="false">IFERROR(IF([2]对账明细接口!$AA456=0,"",[2]对账明细接口!$AA456),"")</f>
        <v/>
      </c>
      <c r="AF455" s="90" t="str">
        <f aca="false">IFERROR(IF([2]对账明细接口!$AB456=0,"",[2]对账明细接口!$AB456),"")</f>
        <v/>
      </c>
      <c r="AG455" s="90" t="str">
        <f aca="false">IFERROR(IF([2]对账明细接口!$AC456=0,"",[2]对账明细接口!$AC456),"")</f>
        <v/>
      </c>
      <c r="AH455" s="90" t="str">
        <f aca="false">IFERROR(IF([2]对账明细接口!$AD456=0,"",[2]对账明细接口!$AD456),"")</f>
        <v/>
      </c>
    </row>
    <row r="456" customFormat="false" ht="13.5" hidden="false" customHeight="false" outlineLevel="0" collapsed="false">
      <c r="A456" s="109" t="n">
        <v>456</v>
      </c>
      <c r="B456" s="110" t="str">
        <f aca="false">IFERROR(IF([2]对账明细接口!$B$456=0,"",[2]对账明细接口!$B$456),"")</f>
        <v/>
      </c>
      <c r="C456" s="59" t="str">
        <f aca="false">IFERROR(IF([2]对账明细接口!$C$456=0,"",[2]对账明细接口!$C$456),"")</f>
        <v/>
      </c>
      <c r="D456" s="59" t="str">
        <f aca="false">IFERROR(IF([2]对账明细接口!$D$456=0,"",[2]对账明细接口!$D$456),"")</f>
        <v/>
      </c>
      <c r="E456" s="59" t="str">
        <f aca="false">IFERROR(IF([2]对账明细接口!$E$456=0,"",[2]对账明细接口!$E$456),"")</f>
        <v/>
      </c>
      <c r="F456" s="59" t="str">
        <f aca="false">IFERROR(IF([2]对账明细接口!$F$456=0,"",[2]对账明细接口!$F$456),"")</f>
        <v/>
      </c>
      <c r="G456" s="59" t="str">
        <f aca="false">IFERROR(IF([2]对账明细接口!$G$456=0,"",[2]对账明细接口!$G$456),"")</f>
        <v/>
      </c>
      <c r="H456" s="60" t="str">
        <f aca="false">IFERROR(IF([2]对账明细接口!$H$456=0,"",[2]对账明细接口!$H$456),"")</f>
        <v/>
      </c>
      <c r="I456" s="59" t="str">
        <f aca="false">IFERROR(IF([2]对账明细接口!$I$456=0,"",[2]对账明细接口!$I$456),"")</f>
        <v/>
      </c>
      <c r="J456" s="61" t="str">
        <f aca="false">IFERROR(IF([2]对账明细接口!$J$456=0,"",[2]对账明细接口!$J$456),"")</f>
        <v/>
      </c>
      <c r="K456" s="61" t="str">
        <f aca="false">IFERROR(IF([2]对账明细接口!$K$456=0,"",[2]对账明细接口!$K$456),"")</f>
        <v/>
      </c>
      <c r="L456" s="59" t="str">
        <f aca="false">IFERROR(IF([2]对账明细接口!$L$456=0,"",[2]对账明细接口!$L$456),"")</f>
        <v/>
      </c>
      <c r="M456" s="59" t="str">
        <f aca="false">IFERROR(IF([2]对账明细接口!$M$456=0,"",[2]对账明细接口!$M$456),"")</f>
        <v/>
      </c>
      <c r="N456" s="111" t="n">
        <f aca="false">IF($C456="",0,1)</f>
        <v>0</v>
      </c>
      <c r="O456" s="111" t="n">
        <f aca="false">N(O455)+$N456</f>
        <v>311</v>
      </c>
      <c r="S456" s="10" t="str">
        <f aca="false">IFERROR(IF([2]对账明细接口!$N456=0,"",[2]对账明细接口!$N456),"")</f>
        <v/>
      </c>
      <c r="T456" s="112" t="str">
        <f aca="false">IFERROR(IF([2]对账明细接口!$O456=0,"",[2]对账明细接口!$O456),"")</f>
        <v/>
      </c>
      <c r="U456" s="112" t="str">
        <f aca="false">IFERROR(IF([2]对账明细接口!$P456=0,"",[2]对账明细接口!$P456),"")</f>
        <v/>
      </c>
      <c r="V456" s="112" t="str">
        <f aca="false">IFERROR(IF([2]对账明细接口!$Q456=0,"",[2]对账明细接口!$Q456),"")</f>
        <v/>
      </c>
      <c r="W456" s="10" t="str">
        <f aca="false">IFERROR(IF([2]对账明细接口!$R456=0,"",[2]对账明细接口!$R456),"")</f>
        <v/>
      </c>
      <c r="X456" s="10" t="str">
        <f aca="false">IFERROR(IF([2]对账明细接口!$S456=0,"",[2]对账明细接口!$S456),"")</f>
        <v/>
      </c>
      <c r="Y456" s="10" t="str">
        <f aca="false">IFERROR(IF([2]对账明细接口!$T456=0,"",[2]对账明细接口!$T456),"")</f>
        <v/>
      </c>
      <c r="Z456" s="113" t="str">
        <f aca="false">IFERROR(IF([2]对账明细接口!$U456=0,"",[2]对账明细接口!$U456),"")</f>
        <v/>
      </c>
      <c r="AA456" s="113" t="str">
        <f aca="false">IFERROR(IF([2]对账明细接口!$V456=0,"",[2]对账明细接口!$V456),"")</f>
        <v/>
      </c>
      <c r="AB456" s="10" t="str">
        <f aca="false">IFERROR(IF([2]对账明细接口!$W456=0,"",[2]对账明细接口!$W456),"")</f>
        <v/>
      </c>
      <c r="AC456" s="90" t="str">
        <f aca="false">IFERROR(IF([2]对账明细接口!$X457=0,"",[2]对账明细接口!$X457),"")</f>
        <v/>
      </c>
      <c r="AD456" s="90" t="str">
        <f aca="false">IFERROR(IF([2]对账明细接口!$Y457=0,"",[2]对账明细接口!$Y457),"")</f>
        <v/>
      </c>
      <c r="AE456" s="90" t="str">
        <f aca="false">IFERROR(IF([2]对账明细接口!$AA457=0,"",[2]对账明细接口!$AA457),"")</f>
        <v/>
      </c>
      <c r="AF456" s="90" t="str">
        <f aca="false">IFERROR(IF([2]对账明细接口!$AB457=0,"",[2]对账明细接口!$AB457),"")</f>
        <v/>
      </c>
      <c r="AG456" s="90" t="str">
        <f aca="false">IFERROR(IF([2]对账明细接口!$AC457=0,"",[2]对账明细接口!$AC457),"")</f>
        <v/>
      </c>
      <c r="AH456" s="90" t="str">
        <f aca="false">IFERROR(IF([2]对账明细接口!$AD457=0,"",[2]对账明细接口!$AD457),"")</f>
        <v/>
      </c>
    </row>
    <row r="457" customFormat="false" ht="13.5" hidden="false" customHeight="false" outlineLevel="0" collapsed="false">
      <c r="A457" s="109" t="n">
        <v>457</v>
      </c>
      <c r="B457" s="110" t="str">
        <f aca="false">IFERROR(IF([2]对账明细接口!$B$457=0,"",[2]对账明细接口!$B$457),"")</f>
        <v/>
      </c>
      <c r="C457" s="59" t="str">
        <f aca="false">IFERROR(IF([2]对账明细接口!$C$457=0,"",[2]对账明细接口!$C$457),"")</f>
        <v/>
      </c>
      <c r="D457" s="59" t="str">
        <f aca="false">IFERROR(IF([2]对账明细接口!$D$457=0,"",[2]对账明细接口!$D$457),"")</f>
        <v/>
      </c>
      <c r="E457" s="59" t="str">
        <f aca="false">IFERROR(IF([2]对账明细接口!$E$457=0,"",[2]对账明细接口!$E$457),"")</f>
        <v/>
      </c>
      <c r="F457" s="59" t="str">
        <f aca="false">IFERROR(IF([2]对账明细接口!$F$457=0,"",[2]对账明细接口!$F$457),"")</f>
        <v/>
      </c>
      <c r="G457" s="59" t="str">
        <f aca="false">IFERROR(IF([2]对账明细接口!$G$457=0,"",[2]对账明细接口!$G$457),"")</f>
        <v/>
      </c>
      <c r="H457" s="60" t="str">
        <f aca="false">IFERROR(IF([2]对账明细接口!$H$457=0,"",[2]对账明细接口!$H$457),"")</f>
        <v/>
      </c>
      <c r="I457" s="59" t="str">
        <f aca="false">IFERROR(IF([2]对账明细接口!$I$457=0,"",[2]对账明细接口!$I$457),"")</f>
        <v/>
      </c>
      <c r="J457" s="61" t="str">
        <f aca="false">IFERROR(IF([2]对账明细接口!$J$457=0,"",[2]对账明细接口!$J$457),"")</f>
        <v/>
      </c>
      <c r="K457" s="61" t="str">
        <f aca="false">IFERROR(IF([2]对账明细接口!$K$457=0,"",[2]对账明细接口!$K$457),"")</f>
        <v/>
      </c>
      <c r="L457" s="59" t="str">
        <f aca="false">IFERROR(IF([2]对账明细接口!$L$457=0,"",[2]对账明细接口!$L$457),"")</f>
        <v/>
      </c>
      <c r="M457" s="59" t="str">
        <f aca="false">IFERROR(IF([2]对账明细接口!$M$457=0,"",[2]对账明细接口!$M$457),"")</f>
        <v/>
      </c>
      <c r="N457" s="111" t="n">
        <f aca="false">IF($C457="",0,1)</f>
        <v>0</v>
      </c>
      <c r="O457" s="111" t="n">
        <f aca="false">N(O456)+$N457</f>
        <v>311</v>
      </c>
      <c r="S457" s="10" t="str">
        <f aca="false">IFERROR(IF([2]对账明细接口!$N457=0,"",[2]对账明细接口!$N457),"")</f>
        <v/>
      </c>
      <c r="T457" s="112" t="str">
        <f aca="false">IFERROR(IF([2]对账明细接口!$O457=0,"",[2]对账明细接口!$O457),"")</f>
        <v/>
      </c>
      <c r="U457" s="112" t="str">
        <f aca="false">IFERROR(IF([2]对账明细接口!$P457=0,"",[2]对账明细接口!$P457),"")</f>
        <v/>
      </c>
      <c r="V457" s="112" t="str">
        <f aca="false">IFERROR(IF([2]对账明细接口!$Q457=0,"",[2]对账明细接口!$Q457),"")</f>
        <v/>
      </c>
      <c r="W457" s="10" t="str">
        <f aca="false">IFERROR(IF([2]对账明细接口!$R457=0,"",[2]对账明细接口!$R457),"")</f>
        <v/>
      </c>
      <c r="X457" s="10" t="str">
        <f aca="false">IFERROR(IF([2]对账明细接口!$S457=0,"",[2]对账明细接口!$S457),"")</f>
        <v/>
      </c>
      <c r="Y457" s="10" t="str">
        <f aca="false">IFERROR(IF([2]对账明细接口!$T457=0,"",[2]对账明细接口!$T457),"")</f>
        <v/>
      </c>
      <c r="Z457" s="113" t="str">
        <f aca="false">IFERROR(IF([2]对账明细接口!$U457=0,"",[2]对账明细接口!$U457),"")</f>
        <v/>
      </c>
      <c r="AA457" s="113" t="str">
        <f aca="false">IFERROR(IF([2]对账明细接口!$V457=0,"",[2]对账明细接口!$V457),"")</f>
        <v/>
      </c>
      <c r="AB457" s="10" t="str">
        <f aca="false">IFERROR(IF([2]对账明细接口!$W457=0,"",[2]对账明细接口!$W457),"")</f>
        <v/>
      </c>
      <c r="AC457" s="90" t="str">
        <f aca="false">IFERROR(IF([2]对账明细接口!$X458=0,"",[2]对账明细接口!$X458),"")</f>
        <v/>
      </c>
      <c r="AD457" s="90" t="str">
        <f aca="false">IFERROR(IF([2]对账明细接口!$Y458=0,"",[2]对账明细接口!$Y458),"")</f>
        <v/>
      </c>
      <c r="AE457" s="90" t="str">
        <f aca="false">IFERROR(IF([2]对账明细接口!$AA458=0,"",[2]对账明细接口!$AA458),"")</f>
        <v/>
      </c>
      <c r="AF457" s="90" t="str">
        <f aca="false">IFERROR(IF([2]对账明细接口!$AB458=0,"",[2]对账明细接口!$AB458),"")</f>
        <v/>
      </c>
      <c r="AG457" s="90" t="str">
        <f aca="false">IFERROR(IF([2]对账明细接口!$AC458=0,"",[2]对账明细接口!$AC458),"")</f>
        <v/>
      </c>
      <c r="AH457" s="90" t="str">
        <f aca="false">IFERROR(IF([2]对账明细接口!$AD458=0,"",[2]对账明细接口!$AD458),"")</f>
        <v/>
      </c>
    </row>
    <row r="458" customFormat="false" ht="13.5" hidden="false" customHeight="false" outlineLevel="0" collapsed="false">
      <c r="A458" s="109" t="n">
        <v>458</v>
      </c>
      <c r="B458" s="110" t="str">
        <f aca="false">IFERROR(IF([2]对账明细接口!$B$458=0,"",[2]对账明细接口!$B$458),"")</f>
        <v/>
      </c>
      <c r="C458" s="59" t="str">
        <f aca="false">IFERROR(IF([2]对账明细接口!$C$458=0,"",[2]对账明细接口!$C$458),"")</f>
        <v/>
      </c>
      <c r="D458" s="59" t="str">
        <f aca="false">IFERROR(IF([2]对账明细接口!$D$458=0,"",[2]对账明细接口!$D$458),"")</f>
        <v/>
      </c>
      <c r="E458" s="59" t="str">
        <f aca="false">IFERROR(IF([2]对账明细接口!$E$458=0,"",[2]对账明细接口!$E$458),"")</f>
        <v/>
      </c>
      <c r="F458" s="59" t="str">
        <f aca="false">IFERROR(IF([2]对账明细接口!$F$458=0,"",[2]对账明细接口!$F$458),"")</f>
        <v/>
      </c>
      <c r="G458" s="59" t="str">
        <f aca="false">IFERROR(IF([2]对账明细接口!$G$458=0,"",[2]对账明细接口!$G$458),"")</f>
        <v/>
      </c>
      <c r="H458" s="60" t="str">
        <f aca="false">IFERROR(IF([2]对账明细接口!$H$458=0,"",[2]对账明细接口!$H$458),"")</f>
        <v/>
      </c>
      <c r="I458" s="59" t="str">
        <f aca="false">IFERROR(IF([2]对账明细接口!$I$458=0,"",[2]对账明细接口!$I$458),"")</f>
        <v/>
      </c>
      <c r="J458" s="61" t="str">
        <f aca="false">IFERROR(IF([2]对账明细接口!$J$458=0,"",[2]对账明细接口!$J$458),"")</f>
        <v/>
      </c>
      <c r="K458" s="61" t="str">
        <f aca="false">IFERROR(IF([2]对账明细接口!$K$458=0,"",[2]对账明细接口!$K$458),"")</f>
        <v/>
      </c>
      <c r="L458" s="59" t="str">
        <f aca="false">IFERROR(IF([2]对账明细接口!$L$458=0,"",[2]对账明细接口!$L$458),"")</f>
        <v/>
      </c>
      <c r="M458" s="59" t="str">
        <f aca="false">IFERROR(IF([2]对账明细接口!$M$458=0,"",[2]对账明细接口!$M$458),"")</f>
        <v/>
      </c>
      <c r="N458" s="111" t="n">
        <f aca="false">IF($C458="",0,1)</f>
        <v>0</v>
      </c>
      <c r="O458" s="111" t="n">
        <f aca="false">N(O457)+$N458</f>
        <v>311</v>
      </c>
      <c r="S458" s="10" t="str">
        <f aca="false">IFERROR(IF([2]对账明细接口!$N458=0,"",[2]对账明细接口!$N458),"")</f>
        <v/>
      </c>
      <c r="T458" s="112" t="str">
        <f aca="false">IFERROR(IF([2]对账明细接口!$O458=0,"",[2]对账明细接口!$O458),"")</f>
        <v/>
      </c>
      <c r="U458" s="112" t="str">
        <f aca="false">IFERROR(IF([2]对账明细接口!$P458=0,"",[2]对账明细接口!$P458),"")</f>
        <v/>
      </c>
      <c r="V458" s="112" t="str">
        <f aca="false">IFERROR(IF([2]对账明细接口!$Q458=0,"",[2]对账明细接口!$Q458),"")</f>
        <v/>
      </c>
      <c r="W458" s="10" t="str">
        <f aca="false">IFERROR(IF([2]对账明细接口!$R458=0,"",[2]对账明细接口!$R458),"")</f>
        <v/>
      </c>
      <c r="X458" s="10" t="str">
        <f aca="false">IFERROR(IF([2]对账明细接口!$S458=0,"",[2]对账明细接口!$S458),"")</f>
        <v/>
      </c>
      <c r="Y458" s="10" t="str">
        <f aca="false">IFERROR(IF([2]对账明细接口!$T458=0,"",[2]对账明细接口!$T458),"")</f>
        <v/>
      </c>
      <c r="Z458" s="113" t="str">
        <f aca="false">IFERROR(IF([2]对账明细接口!$U458=0,"",[2]对账明细接口!$U458),"")</f>
        <v/>
      </c>
      <c r="AA458" s="113" t="str">
        <f aca="false">IFERROR(IF([2]对账明细接口!$V458=0,"",[2]对账明细接口!$V458),"")</f>
        <v/>
      </c>
      <c r="AB458" s="10" t="str">
        <f aca="false">IFERROR(IF([2]对账明细接口!$W458=0,"",[2]对账明细接口!$W458),"")</f>
        <v/>
      </c>
      <c r="AC458" s="90" t="str">
        <f aca="false">IFERROR(IF([2]对账明细接口!$X459=0,"",[2]对账明细接口!$X459),"")</f>
        <v/>
      </c>
      <c r="AD458" s="90" t="str">
        <f aca="false">IFERROR(IF([2]对账明细接口!$Y459=0,"",[2]对账明细接口!$Y459),"")</f>
        <v/>
      </c>
      <c r="AE458" s="90" t="str">
        <f aca="false">IFERROR(IF([2]对账明细接口!$AA459=0,"",[2]对账明细接口!$AA459),"")</f>
        <v/>
      </c>
      <c r="AF458" s="90" t="str">
        <f aca="false">IFERROR(IF([2]对账明细接口!$AB459=0,"",[2]对账明细接口!$AB459),"")</f>
        <v/>
      </c>
      <c r="AG458" s="90" t="str">
        <f aca="false">IFERROR(IF([2]对账明细接口!$AC459=0,"",[2]对账明细接口!$AC459),"")</f>
        <v/>
      </c>
      <c r="AH458" s="90" t="str">
        <f aca="false">IFERROR(IF([2]对账明细接口!$AD459=0,"",[2]对账明细接口!$AD459),"")</f>
        <v/>
      </c>
    </row>
    <row r="459" customFormat="false" ht="13.5" hidden="false" customHeight="false" outlineLevel="0" collapsed="false">
      <c r="A459" s="109" t="n">
        <v>459</v>
      </c>
      <c r="B459" s="110" t="str">
        <f aca="false">IFERROR(IF([2]对账明细接口!$B$459=0,"",[2]对账明细接口!$B$459),"")</f>
        <v/>
      </c>
      <c r="C459" s="59" t="str">
        <f aca="false">IFERROR(IF([2]对账明细接口!$C$459=0,"",[2]对账明细接口!$C$459),"")</f>
        <v/>
      </c>
      <c r="D459" s="59" t="str">
        <f aca="false">IFERROR(IF([2]对账明细接口!$D$459=0,"",[2]对账明细接口!$D$459),"")</f>
        <v/>
      </c>
      <c r="E459" s="59" t="str">
        <f aca="false">IFERROR(IF([2]对账明细接口!$E$459=0,"",[2]对账明细接口!$E$459),"")</f>
        <v/>
      </c>
      <c r="F459" s="59" t="str">
        <f aca="false">IFERROR(IF([2]对账明细接口!$F$459=0,"",[2]对账明细接口!$F$459),"")</f>
        <v/>
      </c>
      <c r="G459" s="59" t="str">
        <f aca="false">IFERROR(IF([2]对账明细接口!$G$459=0,"",[2]对账明细接口!$G$459),"")</f>
        <v/>
      </c>
      <c r="H459" s="60" t="str">
        <f aca="false">IFERROR(IF([2]对账明细接口!$H$459=0,"",[2]对账明细接口!$H$459),"")</f>
        <v/>
      </c>
      <c r="I459" s="59" t="str">
        <f aca="false">IFERROR(IF([2]对账明细接口!$I$459=0,"",[2]对账明细接口!$I$459),"")</f>
        <v/>
      </c>
      <c r="J459" s="61" t="str">
        <f aca="false">IFERROR(IF([2]对账明细接口!$J$459=0,"",[2]对账明细接口!$J$459),"")</f>
        <v/>
      </c>
      <c r="K459" s="61" t="str">
        <f aca="false">IFERROR(IF([2]对账明细接口!$K$459=0,"",[2]对账明细接口!$K$459),"")</f>
        <v/>
      </c>
      <c r="L459" s="59" t="str">
        <f aca="false">IFERROR(IF([2]对账明细接口!$L$459=0,"",[2]对账明细接口!$L$459),"")</f>
        <v/>
      </c>
      <c r="M459" s="59" t="str">
        <f aca="false">IFERROR(IF([2]对账明细接口!$M$459=0,"",[2]对账明细接口!$M$459),"")</f>
        <v/>
      </c>
      <c r="N459" s="111" t="n">
        <f aca="false">IF($C459="",0,1)</f>
        <v>0</v>
      </c>
      <c r="O459" s="111" t="n">
        <f aca="false">N(O458)+$N459</f>
        <v>311</v>
      </c>
      <c r="S459" s="10" t="str">
        <f aca="false">IFERROR(IF([2]对账明细接口!$N459=0,"",[2]对账明细接口!$N459),"")</f>
        <v/>
      </c>
      <c r="T459" s="112" t="str">
        <f aca="false">IFERROR(IF([2]对账明细接口!$O459=0,"",[2]对账明细接口!$O459),"")</f>
        <v/>
      </c>
      <c r="U459" s="112" t="str">
        <f aca="false">IFERROR(IF([2]对账明细接口!$P459=0,"",[2]对账明细接口!$P459),"")</f>
        <v/>
      </c>
      <c r="V459" s="112" t="str">
        <f aca="false">IFERROR(IF([2]对账明细接口!$Q459=0,"",[2]对账明细接口!$Q459),"")</f>
        <v/>
      </c>
      <c r="W459" s="10" t="str">
        <f aca="false">IFERROR(IF([2]对账明细接口!$R459=0,"",[2]对账明细接口!$R459),"")</f>
        <v/>
      </c>
      <c r="X459" s="10" t="str">
        <f aca="false">IFERROR(IF([2]对账明细接口!$S459=0,"",[2]对账明细接口!$S459),"")</f>
        <v/>
      </c>
      <c r="Y459" s="10" t="str">
        <f aca="false">IFERROR(IF([2]对账明细接口!$T459=0,"",[2]对账明细接口!$T459),"")</f>
        <v/>
      </c>
      <c r="Z459" s="113" t="str">
        <f aca="false">IFERROR(IF([2]对账明细接口!$U459=0,"",[2]对账明细接口!$U459),"")</f>
        <v/>
      </c>
      <c r="AA459" s="113" t="str">
        <f aca="false">IFERROR(IF([2]对账明细接口!$V459=0,"",[2]对账明细接口!$V459),"")</f>
        <v/>
      </c>
      <c r="AB459" s="10" t="str">
        <f aca="false">IFERROR(IF([2]对账明细接口!$W459=0,"",[2]对账明细接口!$W459),"")</f>
        <v/>
      </c>
      <c r="AC459" s="90" t="str">
        <f aca="false">IFERROR(IF([2]对账明细接口!$X460=0,"",[2]对账明细接口!$X460),"")</f>
        <v/>
      </c>
      <c r="AD459" s="90" t="str">
        <f aca="false">IFERROR(IF([2]对账明细接口!$Y460=0,"",[2]对账明细接口!$Y460),"")</f>
        <v/>
      </c>
      <c r="AE459" s="90" t="str">
        <f aca="false">IFERROR(IF([2]对账明细接口!$AA460=0,"",[2]对账明细接口!$AA460),"")</f>
        <v/>
      </c>
      <c r="AF459" s="90" t="str">
        <f aca="false">IFERROR(IF([2]对账明细接口!$AB460=0,"",[2]对账明细接口!$AB460),"")</f>
        <v/>
      </c>
      <c r="AG459" s="90" t="str">
        <f aca="false">IFERROR(IF([2]对账明细接口!$AC460=0,"",[2]对账明细接口!$AC460),"")</f>
        <v/>
      </c>
      <c r="AH459" s="90" t="str">
        <f aca="false">IFERROR(IF([2]对账明细接口!$AD460=0,"",[2]对账明细接口!$AD460),"")</f>
        <v/>
      </c>
    </row>
    <row r="460" customFormat="false" ht="13.5" hidden="false" customHeight="false" outlineLevel="0" collapsed="false">
      <c r="A460" s="109" t="n">
        <v>460</v>
      </c>
      <c r="B460" s="110" t="str">
        <f aca="false">IFERROR(IF([2]对账明细接口!$B$460=0,"",[2]对账明细接口!$B$460),"")</f>
        <v/>
      </c>
      <c r="C460" s="59" t="str">
        <f aca="false">IFERROR(IF([2]对账明细接口!$C$460=0,"",[2]对账明细接口!$C$460),"")</f>
        <v/>
      </c>
      <c r="D460" s="59" t="str">
        <f aca="false">IFERROR(IF([2]对账明细接口!$D$460=0,"",[2]对账明细接口!$D$460),"")</f>
        <v/>
      </c>
      <c r="E460" s="59" t="str">
        <f aca="false">IFERROR(IF([2]对账明细接口!$E$460=0,"",[2]对账明细接口!$E$460),"")</f>
        <v/>
      </c>
      <c r="F460" s="59" t="str">
        <f aca="false">IFERROR(IF([2]对账明细接口!$F$460=0,"",[2]对账明细接口!$F$460),"")</f>
        <v/>
      </c>
      <c r="G460" s="59" t="str">
        <f aca="false">IFERROR(IF([2]对账明细接口!$G$460=0,"",[2]对账明细接口!$G$460),"")</f>
        <v/>
      </c>
      <c r="H460" s="60" t="str">
        <f aca="false">IFERROR(IF([2]对账明细接口!$H$460=0,"",[2]对账明细接口!$H$460),"")</f>
        <v/>
      </c>
      <c r="I460" s="59" t="str">
        <f aca="false">IFERROR(IF([2]对账明细接口!$I$460=0,"",[2]对账明细接口!$I$460),"")</f>
        <v/>
      </c>
      <c r="J460" s="61" t="str">
        <f aca="false">IFERROR(IF([2]对账明细接口!$J$460=0,"",[2]对账明细接口!$J$460),"")</f>
        <v/>
      </c>
      <c r="K460" s="61" t="str">
        <f aca="false">IFERROR(IF([2]对账明细接口!$K$460=0,"",[2]对账明细接口!$K$460),"")</f>
        <v/>
      </c>
      <c r="L460" s="59" t="str">
        <f aca="false">IFERROR(IF([2]对账明细接口!$L$460=0,"",[2]对账明细接口!$L$460),"")</f>
        <v/>
      </c>
      <c r="M460" s="59" t="str">
        <f aca="false">IFERROR(IF([2]对账明细接口!$M$460=0,"",[2]对账明细接口!$M$460),"")</f>
        <v/>
      </c>
      <c r="N460" s="111" t="n">
        <f aca="false">IF($C460="",0,1)</f>
        <v>0</v>
      </c>
      <c r="O460" s="111" t="n">
        <f aca="false">N(O459)+$N460</f>
        <v>311</v>
      </c>
      <c r="S460" s="10" t="str">
        <f aca="false">IFERROR(IF([2]对账明细接口!$N460=0,"",[2]对账明细接口!$N460),"")</f>
        <v/>
      </c>
      <c r="T460" s="112" t="str">
        <f aca="false">IFERROR(IF([2]对账明细接口!$O460=0,"",[2]对账明细接口!$O460),"")</f>
        <v/>
      </c>
      <c r="U460" s="112" t="str">
        <f aca="false">IFERROR(IF([2]对账明细接口!$P460=0,"",[2]对账明细接口!$P460),"")</f>
        <v/>
      </c>
      <c r="V460" s="112" t="str">
        <f aca="false">IFERROR(IF([2]对账明细接口!$Q460=0,"",[2]对账明细接口!$Q460),"")</f>
        <v/>
      </c>
      <c r="W460" s="10" t="str">
        <f aca="false">IFERROR(IF([2]对账明细接口!$R460=0,"",[2]对账明细接口!$R460),"")</f>
        <v/>
      </c>
      <c r="X460" s="10" t="str">
        <f aca="false">IFERROR(IF([2]对账明细接口!$S460=0,"",[2]对账明细接口!$S460),"")</f>
        <v/>
      </c>
      <c r="Y460" s="10" t="str">
        <f aca="false">IFERROR(IF([2]对账明细接口!$T460=0,"",[2]对账明细接口!$T460),"")</f>
        <v/>
      </c>
      <c r="Z460" s="113" t="str">
        <f aca="false">IFERROR(IF([2]对账明细接口!$U460=0,"",[2]对账明细接口!$U460),"")</f>
        <v/>
      </c>
      <c r="AA460" s="113" t="str">
        <f aca="false">IFERROR(IF([2]对账明细接口!$V460=0,"",[2]对账明细接口!$V460),"")</f>
        <v/>
      </c>
      <c r="AB460" s="10" t="str">
        <f aca="false">IFERROR(IF([2]对账明细接口!$W460=0,"",[2]对账明细接口!$W460),"")</f>
        <v/>
      </c>
      <c r="AC460" s="90" t="str">
        <f aca="false">IFERROR(IF([2]对账明细接口!$X461=0,"",[2]对账明细接口!$X461),"")</f>
        <v/>
      </c>
      <c r="AD460" s="90" t="str">
        <f aca="false">IFERROR(IF([2]对账明细接口!$Y461=0,"",[2]对账明细接口!$Y461),"")</f>
        <v/>
      </c>
      <c r="AE460" s="90" t="str">
        <f aca="false">IFERROR(IF([2]对账明细接口!$AA461=0,"",[2]对账明细接口!$AA461),"")</f>
        <v/>
      </c>
      <c r="AF460" s="90" t="str">
        <f aca="false">IFERROR(IF([2]对账明细接口!$AB461=0,"",[2]对账明细接口!$AB461),"")</f>
        <v/>
      </c>
      <c r="AG460" s="90" t="str">
        <f aca="false">IFERROR(IF([2]对账明细接口!$AC461=0,"",[2]对账明细接口!$AC461),"")</f>
        <v/>
      </c>
      <c r="AH460" s="90" t="str">
        <f aca="false">IFERROR(IF([2]对账明细接口!$AD461=0,"",[2]对账明细接口!$AD461),"")</f>
        <v/>
      </c>
    </row>
    <row r="461" customFormat="false" ht="13.5" hidden="false" customHeight="false" outlineLevel="0" collapsed="false">
      <c r="A461" s="109" t="n">
        <v>461</v>
      </c>
      <c r="B461" s="110" t="str">
        <f aca="false">IFERROR(IF([2]对账明细接口!$B$461=0,"",[2]对账明细接口!$B$461),"")</f>
        <v/>
      </c>
      <c r="C461" s="59" t="str">
        <f aca="false">IFERROR(IF([2]对账明细接口!$C$461=0,"",[2]对账明细接口!$C$461),"")</f>
        <v/>
      </c>
      <c r="D461" s="59" t="str">
        <f aca="false">IFERROR(IF([2]对账明细接口!$D$461=0,"",[2]对账明细接口!$D$461),"")</f>
        <v/>
      </c>
      <c r="E461" s="59" t="str">
        <f aca="false">IFERROR(IF([2]对账明细接口!$E$461=0,"",[2]对账明细接口!$E$461),"")</f>
        <v/>
      </c>
      <c r="F461" s="59" t="str">
        <f aca="false">IFERROR(IF([2]对账明细接口!$F$461=0,"",[2]对账明细接口!$F$461),"")</f>
        <v/>
      </c>
      <c r="G461" s="59" t="str">
        <f aca="false">IFERROR(IF([2]对账明细接口!$G$461=0,"",[2]对账明细接口!$G$461),"")</f>
        <v/>
      </c>
      <c r="H461" s="60" t="str">
        <f aca="false">IFERROR(IF([2]对账明细接口!$H$461=0,"",[2]对账明细接口!$H$461),"")</f>
        <v/>
      </c>
      <c r="I461" s="59" t="str">
        <f aca="false">IFERROR(IF([2]对账明细接口!$I$461=0,"",[2]对账明细接口!$I$461),"")</f>
        <v/>
      </c>
      <c r="J461" s="61" t="str">
        <f aca="false">IFERROR(IF([2]对账明细接口!$J$461=0,"",[2]对账明细接口!$J$461),"")</f>
        <v/>
      </c>
      <c r="K461" s="61" t="str">
        <f aca="false">IFERROR(IF([2]对账明细接口!$K$461=0,"",[2]对账明细接口!$K$461),"")</f>
        <v/>
      </c>
      <c r="L461" s="59" t="str">
        <f aca="false">IFERROR(IF([2]对账明细接口!$L$461=0,"",[2]对账明细接口!$L$461),"")</f>
        <v/>
      </c>
      <c r="M461" s="59" t="str">
        <f aca="false">IFERROR(IF([2]对账明细接口!$M$461=0,"",[2]对账明细接口!$M$461),"")</f>
        <v/>
      </c>
      <c r="N461" s="111" t="n">
        <f aca="false">IF($C461="",0,1)</f>
        <v>0</v>
      </c>
      <c r="O461" s="111" t="n">
        <f aca="false">N(O460)+$N461</f>
        <v>311</v>
      </c>
      <c r="S461" s="10" t="str">
        <f aca="false">IFERROR(IF([2]对账明细接口!$N461=0,"",[2]对账明细接口!$N461),"")</f>
        <v/>
      </c>
      <c r="T461" s="112" t="str">
        <f aca="false">IFERROR(IF([2]对账明细接口!$O461=0,"",[2]对账明细接口!$O461),"")</f>
        <v/>
      </c>
      <c r="U461" s="112" t="str">
        <f aca="false">IFERROR(IF([2]对账明细接口!$P461=0,"",[2]对账明细接口!$P461),"")</f>
        <v/>
      </c>
      <c r="V461" s="112" t="str">
        <f aca="false">IFERROR(IF([2]对账明细接口!$Q461=0,"",[2]对账明细接口!$Q461),"")</f>
        <v/>
      </c>
      <c r="W461" s="10" t="str">
        <f aca="false">IFERROR(IF([2]对账明细接口!$R461=0,"",[2]对账明细接口!$R461),"")</f>
        <v/>
      </c>
      <c r="X461" s="10" t="str">
        <f aca="false">IFERROR(IF([2]对账明细接口!$S461=0,"",[2]对账明细接口!$S461),"")</f>
        <v/>
      </c>
      <c r="Y461" s="10" t="str">
        <f aca="false">IFERROR(IF([2]对账明细接口!$T461=0,"",[2]对账明细接口!$T461),"")</f>
        <v/>
      </c>
      <c r="Z461" s="113" t="str">
        <f aca="false">IFERROR(IF([2]对账明细接口!$U461=0,"",[2]对账明细接口!$U461),"")</f>
        <v/>
      </c>
      <c r="AA461" s="113" t="str">
        <f aca="false">IFERROR(IF([2]对账明细接口!$V461=0,"",[2]对账明细接口!$V461),"")</f>
        <v/>
      </c>
      <c r="AB461" s="10" t="str">
        <f aca="false">IFERROR(IF([2]对账明细接口!$W461=0,"",[2]对账明细接口!$W461),"")</f>
        <v/>
      </c>
      <c r="AC461" s="90" t="str">
        <f aca="false">IFERROR(IF([2]对账明细接口!$X462=0,"",[2]对账明细接口!$X462),"")</f>
        <v/>
      </c>
      <c r="AD461" s="90" t="str">
        <f aca="false">IFERROR(IF([2]对账明细接口!$Y462=0,"",[2]对账明细接口!$Y462),"")</f>
        <v/>
      </c>
      <c r="AE461" s="90" t="str">
        <f aca="false">IFERROR(IF([2]对账明细接口!$AA462=0,"",[2]对账明细接口!$AA462),"")</f>
        <v/>
      </c>
      <c r="AF461" s="90" t="str">
        <f aca="false">IFERROR(IF([2]对账明细接口!$AB462=0,"",[2]对账明细接口!$AB462),"")</f>
        <v/>
      </c>
      <c r="AG461" s="90" t="str">
        <f aca="false">IFERROR(IF([2]对账明细接口!$AC462=0,"",[2]对账明细接口!$AC462),"")</f>
        <v/>
      </c>
      <c r="AH461" s="90" t="str">
        <f aca="false">IFERROR(IF([2]对账明细接口!$AD462=0,"",[2]对账明细接口!$AD462),"")</f>
        <v/>
      </c>
    </row>
    <row r="462" customFormat="false" ht="13.5" hidden="false" customHeight="false" outlineLevel="0" collapsed="false">
      <c r="A462" s="109" t="n">
        <v>462</v>
      </c>
      <c r="B462" s="110" t="str">
        <f aca="false">IFERROR(IF([2]对账明细接口!$B$462=0,"",[2]对账明细接口!$B$462),"")</f>
        <v/>
      </c>
      <c r="C462" s="59" t="str">
        <f aca="false">IFERROR(IF([2]对账明细接口!$C$462=0,"",[2]对账明细接口!$C$462),"")</f>
        <v/>
      </c>
      <c r="D462" s="59" t="str">
        <f aca="false">IFERROR(IF([2]对账明细接口!$D$462=0,"",[2]对账明细接口!$D$462),"")</f>
        <v/>
      </c>
      <c r="E462" s="59" t="str">
        <f aca="false">IFERROR(IF([2]对账明细接口!$E$462=0,"",[2]对账明细接口!$E$462),"")</f>
        <v/>
      </c>
      <c r="F462" s="59" t="str">
        <f aca="false">IFERROR(IF([2]对账明细接口!$F$462=0,"",[2]对账明细接口!$F$462),"")</f>
        <v/>
      </c>
      <c r="G462" s="59" t="str">
        <f aca="false">IFERROR(IF([2]对账明细接口!$G$462=0,"",[2]对账明细接口!$G$462),"")</f>
        <v/>
      </c>
      <c r="H462" s="60" t="str">
        <f aca="false">IFERROR(IF([2]对账明细接口!$H$462=0,"",[2]对账明细接口!$H$462),"")</f>
        <v/>
      </c>
      <c r="I462" s="59" t="str">
        <f aca="false">IFERROR(IF([2]对账明细接口!$I$462=0,"",[2]对账明细接口!$I$462),"")</f>
        <v/>
      </c>
      <c r="J462" s="61" t="str">
        <f aca="false">IFERROR(IF([2]对账明细接口!$J$462=0,"",[2]对账明细接口!$J$462),"")</f>
        <v/>
      </c>
      <c r="K462" s="61" t="str">
        <f aca="false">IFERROR(IF([2]对账明细接口!$K$462=0,"",[2]对账明细接口!$K$462),"")</f>
        <v/>
      </c>
      <c r="L462" s="59" t="str">
        <f aca="false">IFERROR(IF([2]对账明细接口!$L$462=0,"",[2]对账明细接口!$L$462),"")</f>
        <v/>
      </c>
      <c r="M462" s="59" t="str">
        <f aca="false">IFERROR(IF([2]对账明细接口!$M$462=0,"",[2]对账明细接口!$M$462),"")</f>
        <v/>
      </c>
      <c r="N462" s="111" t="n">
        <f aca="false">IF($C462="",0,1)</f>
        <v>0</v>
      </c>
      <c r="O462" s="111" t="n">
        <f aca="false">N(O461)+$N462</f>
        <v>311</v>
      </c>
      <c r="S462" s="10" t="str">
        <f aca="false">IFERROR(IF([2]对账明细接口!$N462=0,"",[2]对账明细接口!$N462),"")</f>
        <v/>
      </c>
      <c r="T462" s="112" t="str">
        <f aca="false">IFERROR(IF([2]对账明细接口!$O462=0,"",[2]对账明细接口!$O462),"")</f>
        <v/>
      </c>
      <c r="U462" s="112" t="str">
        <f aca="false">IFERROR(IF([2]对账明细接口!$P462=0,"",[2]对账明细接口!$P462),"")</f>
        <v/>
      </c>
      <c r="V462" s="112" t="str">
        <f aca="false">IFERROR(IF([2]对账明细接口!$Q462=0,"",[2]对账明细接口!$Q462),"")</f>
        <v/>
      </c>
      <c r="W462" s="10" t="str">
        <f aca="false">IFERROR(IF([2]对账明细接口!$R462=0,"",[2]对账明细接口!$R462),"")</f>
        <v/>
      </c>
      <c r="X462" s="10" t="str">
        <f aca="false">IFERROR(IF([2]对账明细接口!$S462=0,"",[2]对账明细接口!$S462),"")</f>
        <v/>
      </c>
      <c r="Y462" s="10" t="str">
        <f aca="false">IFERROR(IF([2]对账明细接口!$T462=0,"",[2]对账明细接口!$T462),"")</f>
        <v/>
      </c>
      <c r="Z462" s="113" t="str">
        <f aca="false">IFERROR(IF([2]对账明细接口!$U462=0,"",[2]对账明细接口!$U462),"")</f>
        <v/>
      </c>
      <c r="AA462" s="113" t="str">
        <f aca="false">IFERROR(IF([2]对账明细接口!$V462=0,"",[2]对账明细接口!$V462),"")</f>
        <v/>
      </c>
      <c r="AB462" s="10" t="str">
        <f aca="false">IFERROR(IF([2]对账明细接口!$W462=0,"",[2]对账明细接口!$W462),"")</f>
        <v/>
      </c>
      <c r="AC462" s="90" t="str">
        <f aca="false">IFERROR(IF([2]对账明细接口!$X463=0,"",[2]对账明细接口!$X463),"")</f>
        <v/>
      </c>
      <c r="AD462" s="90" t="str">
        <f aca="false">IFERROR(IF([2]对账明细接口!$Y463=0,"",[2]对账明细接口!$Y463),"")</f>
        <v/>
      </c>
      <c r="AE462" s="90" t="str">
        <f aca="false">IFERROR(IF([2]对账明细接口!$AA463=0,"",[2]对账明细接口!$AA463),"")</f>
        <v/>
      </c>
      <c r="AF462" s="90" t="str">
        <f aca="false">IFERROR(IF([2]对账明细接口!$AB463=0,"",[2]对账明细接口!$AB463),"")</f>
        <v/>
      </c>
      <c r="AG462" s="90" t="str">
        <f aca="false">IFERROR(IF([2]对账明细接口!$AC463=0,"",[2]对账明细接口!$AC463),"")</f>
        <v/>
      </c>
      <c r="AH462" s="90" t="str">
        <f aca="false">IFERROR(IF([2]对账明细接口!$AD463=0,"",[2]对账明细接口!$AD463),"")</f>
        <v/>
      </c>
    </row>
    <row r="463" customFormat="false" ht="13.5" hidden="false" customHeight="false" outlineLevel="0" collapsed="false">
      <c r="A463" s="109" t="n">
        <v>463</v>
      </c>
      <c r="B463" s="110" t="str">
        <f aca="false">IFERROR(IF([2]对账明细接口!$B$463=0,"",[2]对账明细接口!$B$463),"")</f>
        <v/>
      </c>
      <c r="C463" s="59" t="str">
        <f aca="false">IFERROR(IF([2]对账明细接口!$C$463=0,"",[2]对账明细接口!$C$463),"")</f>
        <v/>
      </c>
      <c r="D463" s="59" t="str">
        <f aca="false">IFERROR(IF([2]对账明细接口!$D$463=0,"",[2]对账明细接口!$D$463),"")</f>
        <v/>
      </c>
      <c r="E463" s="59" t="str">
        <f aca="false">IFERROR(IF([2]对账明细接口!$E$463=0,"",[2]对账明细接口!$E$463),"")</f>
        <v/>
      </c>
      <c r="F463" s="59" t="str">
        <f aca="false">IFERROR(IF([2]对账明细接口!$F$463=0,"",[2]对账明细接口!$F$463),"")</f>
        <v/>
      </c>
      <c r="G463" s="59" t="str">
        <f aca="false">IFERROR(IF([2]对账明细接口!$G$463=0,"",[2]对账明细接口!$G$463),"")</f>
        <v/>
      </c>
      <c r="H463" s="60" t="str">
        <f aca="false">IFERROR(IF([2]对账明细接口!$H$463=0,"",[2]对账明细接口!$H$463),"")</f>
        <v/>
      </c>
      <c r="I463" s="59" t="str">
        <f aca="false">IFERROR(IF([2]对账明细接口!$I$463=0,"",[2]对账明细接口!$I$463),"")</f>
        <v/>
      </c>
      <c r="J463" s="61" t="str">
        <f aca="false">IFERROR(IF([2]对账明细接口!$J$463=0,"",[2]对账明细接口!$J$463),"")</f>
        <v/>
      </c>
      <c r="K463" s="61" t="str">
        <f aca="false">IFERROR(IF([2]对账明细接口!$K$463=0,"",[2]对账明细接口!$K$463),"")</f>
        <v/>
      </c>
      <c r="L463" s="59" t="str">
        <f aca="false">IFERROR(IF([2]对账明细接口!$L$463=0,"",[2]对账明细接口!$L$463),"")</f>
        <v/>
      </c>
      <c r="M463" s="59" t="str">
        <f aca="false">IFERROR(IF([2]对账明细接口!$M$463=0,"",[2]对账明细接口!$M$463),"")</f>
        <v/>
      </c>
      <c r="N463" s="111" t="n">
        <f aca="false">IF($C463="",0,1)</f>
        <v>0</v>
      </c>
      <c r="O463" s="111" t="n">
        <f aca="false">N(O462)+$N463</f>
        <v>311</v>
      </c>
      <c r="S463" s="10" t="str">
        <f aca="false">IFERROR(IF([2]对账明细接口!$N463=0,"",[2]对账明细接口!$N463),"")</f>
        <v/>
      </c>
      <c r="T463" s="112" t="str">
        <f aca="false">IFERROR(IF([2]对账明细接口!$O463=0,"",[2]对账明细接口!$O463),"")</f>
        <v/>
      </c>
      <c r="U463" s="112" t="str">
        <f aca="false">IFERROR(IF([2]对账明细接口!$P463=0,"",[2]对账明细接口!$P463),"")</f>
        <v/>
      </c>
      <c r="V463" s="112" t="str">
        <f aca="false">IFERROR(IF([2]对账明细接口!$Q463=0,"",[2]对账明细接口!$Q463),"")</f>
        <v/>
      </c>
      <c r="W463" s="10" t="str">
        <f aca="false">IFERROR(IF([2]对账明细接口!$R463=0,"",[2]对账明细接口!$R463),"")</f>
        <v/>
      </c>
      <c r="X463" s="10" t="str">
        <f aca="false">IFERROR(IF([2]对账明细接口!$S463=0,"",[2]对账明细接口!$S463),"")</f>
        <v/>
      </c>
      <c r="Y463" s="10" t="str">
        <f aca="false">IFERROR(IF([2]对账明细接口!$T463=0,"",[2]对账明细接口!$T463),"")</f>
        <v/>
      </c>
      <c r="Z463" s="113" t="str">
        <f aca="false">IFERROR(IF([2]对账明细接口!$U463=0,"",[2]对账明细接口!$U463),"")</f>
        <v/>
      </c>
      <c r="AA463" s="113" t="str">
        <f aca="false">IFERROR(IF([2]对账明细接口!$V463=0,"",[2]对账明细接口!$V463),"")</f>
        <v/>
      </c>
      <c r="AB463" s="10" t="str">
        <f aca="false">IFERROR(IF([2]对账明细接口!$W463=0,"",[2]对账明细接口!$W463),"")</f>
        <v/>
      </c>
      <c r="AC463" s="90" t="str">
        <f aca="false">IFERROR(IF([2]对账明细接口!$X464=0,"",[2]对账明细接口!$X464),"")</f>
        <v/>
      </c>
      <c r="AD463" s="90" t="str">
        <f aca="false">IFERROR(IF([2]对账明细接口!$Y464=0,"",[2]对账明细接口!$Y464),"")</f>
        <v/>
      </c>
      <c r="AE463" s="90" t="str">
        <f aca="false">IFERROR(IF([2]对账明细接口!$AA464=0,"",[2]对账明细接口!$AA464),"")</f>
        <v/>
      </c>
      <c r="AF463" s="90" t="str">
        <f aca="false">IFERROR(IF([2]对账明细接口!$AB464=0,"",[2]对账明细接口!$AB464),"")</f>
        <v/>
      </c>
      <c r="AG463" s="90" t="str">
        <f aca="false">IFERROR(IF([2]对账明细接口!$AC464=0,"",[2]对账明细接口!$AC464),"")</f>
        <v/>
      </c>
      <c r="AH463" s="90" t="str">
        <f aca="false">IFERROR(IF([2]对账明细接口!$AD464=0,"",[2]对账明细接口!$AD464),"")</f>
        <v/>
      </c>
    </row>
    <row r="464" customFormat="false" ht="13.5" hidden="false" customHeight="false" outlineLevel="0" collapsed="false">
      <c r="A464" s="109" t="n">
        <v>464</v>
      </c>
      <c r="B464" s="110" t="str">
        <f aca="false">IFERROR(IF([2]对账明细接口!$B$464=0,"",[2]对账明细接口!$B$464),"")</f>
        <v/>
      </c>
      <c r="C464" s="59" t="str">
        <f aca="false">IFERROR(IF([2]对账明细接口!$C$464=0,"",[2]对账明细接口!$C$464),"")</f>
        <v/>
      </c>
      <c r="D464" s="59" t="str">
        <f aca="false">IFERROR(IF([2]对账明细接口!$D$464=0,"",[2]对账明细接口!$D$464),"")</f>
        <v/>
      </c>
      <c r="E464" s="59" t="str">
        <f aca="false">IFERROR(IF([2]对账明细接口!$E$464=0,"",[2]对账明细接口!$E$464),"")</f>
        <v/>
      </c>
      <c r="F464" s="59" t="str">
        <f aca="false">IFERROR(IF([2]对账明细接口!$F$464=0,"",[2]对账明细接口!$F$464),"")</f>
        <v/>
      </c>
      <c r="G464" s="59" t="str">
        <f aca="false">IFERROR(IF([2]对账明细接口!$G$464=0,"",[2]对账明细接口!$G$464),"")</f>
        <v/>
      </c>
      <c r="H464" s="60" t="str">
        <f aca="false">IFERROR(IF([2]对账明细接口!$H$464=0,"",[2]对账明细接口!$H$464),"")</f>
        <v/>
      </c>
      <c r="I464" s="59" t="str">
        <f aca="false">IFERROR(IF([2]对账明细接口!$I$464=0,"",[2]对账明细接口!$I$464),"")</f>
        <v/>
      </c>
      <c r="J464" s="61" t="str">
        <f aca="false">IFERROR(IF([2]对账明细接口!$J$464=0,"",[2]对账明细接口!$J$464),"")</f>
        <v/>
      </c>
      <c r="K464" s="61" t="str">
        <f aca="false">IFERROR(IF([2]对账明细接口!$K$464=0,"",[2]对账明细接口!$K$464),"")</f>
        <v/>
      </c>
      <c r="L464" s="59" t="str">
        <f aca="false">IFERROR(IF([2]对账明细接口!$L$464=0,"",[2]对账明细接口!$L$464),"")</f>
        <v/>
      </c>
      <c r="M464" s="59" t="str">
        <f aca="false">IFERROR(IF([2]对账明细接口!$M$464=0,"",[2]对账明细接口!$M$464),"")</f>
        <v/>
      </c>
      <c r="N464" s="111" t="n">
        <f aca="false">IF($C464="",0,1)</f>
        <v>0</v>
      </c>
      <c r="O464" s="111" t="n">
        <f aca="false">N(O463)+$N464</f>
        <v>311</v>
      </c>
      <c r="S464" s="10" t="str">
        <f aca="false">IFERROR(IF([2]对账明细接口!$N464=0,"",[2]对账明细接口!$N464),"")</f>
        <v/>
      </c>
      <c r="T464" s="112" t="str">
        <f aca="false">IFERROR(IF([2]对账明细接口!$O464=0,"",[2]对账明细接口!$O464),"")</f>
        <v/>
      </c>
      <c r="U464" s="112" t="str">
        <f aca="false">IFERROR(IF([2]对账明细接口!$P464=0,"",[2]对账明细接口!$P464),"")</f>
        <v/>
      </c>
      <c r="V464" s="112" t="str">
        <f aca="false">IFERROR(IF([2]对账明细接口!$Q464=0,"",[2]对账明细接口!$Q464),"")</f>
        <v/>
      </c>
      <c r="W464" s="10" t="str">
        <f aca="false">IFERROR(IF([2]对账明细接口!$R464=0,"",[2]对账明细接口!$R464),"")</f>
        <v/>
      </c>
      <c r="X464" s="10" t="str">
        <f aca="false">IFERROR(IF([2]对账明细接口!$S464=0,"",[2]对账明细接口!$S464),"")</f>
        <v/>
      </c>
      <c r="Y464" s="10" t="str">
        <f aca="false">IFERROR(IF([2]对账明细接口!$T464=0,"",[2]对账明细接口!$T464),"")</f>
        <v/>
      </c>
      <c r="Z464" s="113" t="str">
        <f aca="false">IFERROR(IF([2]对账明细接口!$U464=0,"",[2]对账明细接口!$U464),"")</f>
        <v/>
      </c>
      <c r="AA464" s="113" t="str">
        <f aca="false">IFERROR(IF([2]对账明细接口!$V464=0,"",[2]对账明细接口!$V464),"")</f>
        <v/>
      </c>
      <c r="AB464" s="10" t="str">
        <f aca="false">IFERROR(IF([2]对账明细接口!$W464=0,"",[2]对账明细接口!$W464),"")</f>
        <v/>
      </c>
      <c r="AC464" s="90" t="str">
        <f aca="false">IFERROR(IF([2]对账明细接口!$X465=0,"",[2]对账明细接口!$X465),"")</f>
        <v/>
      </c>
      <c r="AD464" s="90" t="str">
        <f aca="false">IFERROR(IF([2]对账明细接口!$Y465=0,"",[2]对账明细接口!$Y465),"")</f>
        <v/>
      </c>
      <c r="AE464" s="90" t="str">
        <f aca="false">IFERROR(IF([2]对账明细接口!$AA465=0,"",[2]对账明细接口!$AA465),"")</f>
        <v/>
      </c>
      <c r="AF464" s="90" t="str">
        <f aca="false">IFERROR(IF([2]对账明细接口!$AB465=0,"",[2]对账明细接口!$AB465),"")</f>
        <v/>
      </c>
      <c r="AG464" s="90" t="str">
        <f aca="false">IFERROR(IF([2]对账明细接口!$AC465=0,"",[2]对账明细接口!$AC465),"")</f>
        <v/>
      </c>
      <c r="AH464" s="90" t="str">
        <f aca="false">IFERROR(IF([2]对账明细接口!$AD465=0,"",[2]对账明细接口!$AD465),"")</f>
        <v/>
      </c>
    </row>
    <row r="465" customFormat="false" ht="13.5" hidden="false" customHeight="false" outlineLevel="0" collapsed="false">
      <c r="A465" s="109" t="n">
        <v>465</v>
      </c>
      <c r="B465" s="110" t="str">
        <f aca="false">IFERROR(IF([2]对账明细接口!$B$465=0,"",[2]对账明细接口!$B$465),"")</f>
        <v/>
      </c>
      <c r="C465" s="59" t="str">
        <f aca="false">IFERROR(IF([2]对账明细接口!$C$465=0,"",[2]对账明细接口!$C$465),"")</f>
        <v/>
      </c>
      <c r="D465" s="59" t="str">
        <f aca="false">IFERROR(IF([2]对账明细接口!$D$465=0,"",[2]对账明细接口!$D$465),"")</f>
        <v/>
      </c>
      <c r="E465" s="59" t="str">
        <f aca="false">IFERROR(IF([2]对账明细接口!$E$465=0,"",[2]对账明细接口!$E$465),"")</f>
        <v/>
      </c>
      <c r="F465" s="59" t="str">
        <f aca="false">IFERROR(IF([2]对账明细接口!$F$465=0,"",[2]对账明细接口!$F$465),"")</f>
        <v/>
      </c>
      <c r="G465" s="59" t="str">
        <f aca="false">IFERROR(IF([2]对账明细接口!$G$465=0,"",[2]对账明细接口!$G$465),"")</f>
        <v/>
      </c>
      <c r="H465" s="60" t="str">
        <f aca="false">IFERROR(IF([2]对账明细接口!$H$465=0,"",[2]对账明细接口!$H$465),"")</f>
        <v/>
      </c>
      <c r="I465" s="59" t="str">
        <f aca="false">IFERROR(IF([2]对账明细接口!$I$465=0,"",[2]对账明细接口!$I$465),"")</f>
        <v/>
      </c>
      <c r="J465" s="61" t="str">
        <f aca="false">IFERROR(IF([2]对账明细接口!$J$465=0,"",[2]对账明细接口!$J$465),"")</f>
        <v/>
      </c>
      <c r="K465" s="61" t="str">
        <f aca="false">IFERROR(IF([2]对账明细接口!$K$465=0,"",[2]对账明细接口!$K$465),"")</f>
        <v/>
      </c>
      <c r="L465" s="59" t="str">
        <f aca="false">IFERROR(IF([2]对账明细接口!$L$465=0,"",[2]对账明细接口!$L$465),"")</f>
        <v/>
      </c>
      <c r="M465" s="59" t="str">
        <f aca="false">IFERROR(IF([2]对账明细接口!$M$465=0,"",[2]对账明细接口!$M$465),"")</f>
        <v/>
      </c>
      <c r="N465" s="111" t="n">
        <f aca="false">IF($C465="",0,1)</f>
        <v>0</v>
      </c>
      <c r="O465" s="111" t="n">
        <f aca="false">N(O464)+$N465</f>
        <v>311</v>
      </c>
      <c r="S465" s="10" t="str">
        <f aca="false">IFERROR(IF([2]对账明细接口!$N465=0,"",[2]对账明细接口!$N465),"")</f>
        <v/>
      </c>
      <c r="T465" s="112" t="str">
        <f aca="false">IFERROR(IF([2]对账明细接口!$O465=0,"",[2]对账明细接口!$O465),"")</f>
        <v/>
      </c>
      <c r="U465" s="112" t="str">
        <f aca="false">IFERROR(IF([2]对账明细接口!$P465=0,"",[2]对账明细接口!$P465),"")</f>
        <v/>
      </c>
      <c r="V465" s="112" t="str">
        <f aca="false">IFERROR(IF([2]对账明细接口!$Q465=0,"",[2]对账明细接口!$Q465),"")</f>
        <v/>
      </c>
      <c r="W465" s="10" t="str">
        <f aca="false">IFERROR(IF([2]对账明细接口!$R465=0,"",[2]对账明细接口!$R465),"")</f>
        <v/>
      </c>
      <c r="X465" s="10" t="str">
        <f aca="false">IFERROR(IF([2]对账明细接口!$S465=0,"",[2]对账明细接口!$S465),"")</f>
        <v/>
      </c>
      <c r="Y465" s="10" t="str">
        <f aca="false">IFERROR(IF([2]对账明细接口!$T465=0,"",[2]对账明细接口!$T465),"")</f>
        <v/>
      </c>
      <c r="Z465" s="113" t="str">
        <f aca="false">IFERROR(IF([2]对账明细接口!$U465=0,"",[2]对账明细接口!$U465),"")</f>
        <v/>
      </c>
      <c r="AA465" s="113" t="str">
        <f aca="false">IFERROR(IF([2]对账明细接口!$V465=0,"",[2]对账明细接口!$V465),"")</f>
        <v/>
      </c>
      <c r="AB465" s="10" t="str">
        <f aca="false">IFERROR(IF([2]对账明细接口!$W465=0,"",[2]对账明细接口!$W465),"")</f>
        <v/>
      </c>
      <c r="AC465" s="90" t="str">
        <f aca="false">IFERROR(IF([2]对账明细接口!$X466=0,"",[2]对账明细接口!$X466),"")</f>
        <v/>
      </c>
      <c r="AD465" s="90" t="str">
        <f aca="false">IFERROR(IF([2]对账明细接口!$Y466=0,"",[2]对账明细接口!$Y466),"")</f>
        <v/>
      </c>
      <c r="AE465" s="90" t="str">
        <f aca="false">IFERROR(IF([2]对账明细接口!$AA466=0,"",[2]对账明细接口!$AA466),"")</f>
        <v/>
      </c>
      <c r="AF465" s="90" t="str">
        <f aca="false">IFERROR(IF([2]对账明细接口!$AB466=0,"",[2]对账明细接口!$AB466),"")</f>
        <v/>
      </c>
      <c r="AG465" s="90" t="str">
        <f aca="false">IFERROR(IF([2]对账明细接口!$AC466=0,"",[2]对账明细接口!$AC466),"")</f>
        <v/>
      </c>
      <c r="AH465" s="90" t="str">
        <f aca="false">IFERROR(IF([2]对账明细接口!$AD466=0,"",[2]对账明细接口!$AD466),"")</f>
        <v/>
      </c>
    </row>
    <row r="466" customFormat="false" ht="13.5" hidden="false" customHeight="false" outlineLevel="0" collapsed="false">
      <c r="A466" s="109" t="n">
        <v>466</v>
      </c>
      <c r="B466" s="110" t="str">
        <f aca="false">IFERROR(IF([2]对账明细接口!$B$466=0,"",[2]对账明细接口!$B$466),"")</f>
        <v/>
      </c>
      <c r="C466" s="59" t="str">
        <f aca="false">IFERROR(IF([2]对账明细接口!$C$466=0,"",[2]对账明细接口!$C$466),"")</f>
        <v/>
      </c>
      <c r="D466" s="59" t="str">
        <f aca="false">IFERROR(IF([2]对账明细接口!$D$466=0,"",[2]对账明细接口!$D$466),"")</f>
        <v/>
      </c>
      <c r="E466" s="59" t="str">
        <f aca="false">IFERROR(IF([2]对账明细接口!$E$466=0,"",[2]对账明细接口!$E$466),"")</f>
        <v/>
      </c>
      <c r="F466" s="59" t="str">
        <f aca="false">IFERROR(IF([2]对账明细接口!$F$466=0,"",[2]对账明细接口!$F$466),"")</f>
        <v/>
      </c>
      <c r="G466" s="59" t="str">
        <f aca="false">IFERROR(IF([2]对账明细接口!$G$466=0,"",[2]对账明细接口!$G$466),"")</f>
        <v/>
      </c>
      <c r="H466" s="60" t="str">
        <f aca="false">IFERROR(IF([2]对账明细接口!$H$466=0,"",[2]对账明细接口!$H$466),"")</f>
        <v/>
      </c>
      <c r="I466" s="59" t="str">
        <f aca="false">IFERROR(IF([2]对账明细接口!$I$466=0,"",[2]对账明细接口!$I$466),"")</f>
        <v/>
      </c>
      <c r="J466" s="61" t="str">
        <f aca="false">IFERROR(IF([2]对账明细接口!$J$466=0,"",[2]对账明细接口!$J$466),"")</f>
        <v/>
      </c>
      <c r="K466" s="61" t="str">
        <f aca="false">IFERROR(IF([2]对账明细接口!$K$466=0,"",[2]对账明细接口!$K$466),"")</f>
        <v/>
      </c>
      <c r="L466" s="59" t="str">
        <f aca="false">IFERROR(IF([2]对账明细接口!$L$466=0,"",[2]对账明细接口!$L$466),"")</f>
        <v/>
      </c>
      <c r="M466" s="59" t="str">
        <f aca="false">IFERROR(IF([2]对账明细接口!$M$466=0,"",[2]对账明细接口!$M$466),"")</f>
        <v/>
      </c>
      <c r="N466" s="111" t="n">
        <f aca="false">IF($C466="",0,1)</f>
        <v>0</v>
      </c>
      <c r="O466" s="111" t="n">
        <f aca="false">N(O465)+$N466</f>
        <v>311</v>
      </c>
      <c r="S466" s="10" t="str">
        <f aca="false">IFERROR(IF([2]对账明细接口!$N466=0,"",[2]对账明细接口!$N466),"")</f>
        <v/>
      </c>
      <c r="T466" s="112" t="str">
        <f aca="false">IFERROR(IF([2]对账明细接口!$O466=0,"",[2]对账明细接口!$O466),"")</f>
        <v/>
      </c>
      <c r="U466" s="112" t="str">
        <f aca="false">IFERROR(IF([2]对账明细接口!$P466=0,"",[2]对账明细接口!$P466),"")</f>
        <v/>
      </c>
      <c r="V466" s="112" t="str">
        <f aca="false">IFERROR(IF([2]对账明细接口!$Q466=0,"",[2]对账明细接口!$Q466),"")</f>
        <v/>
      </c>
      <c r="W466" s="10" t="str">
        <f aca="false">IFERROR(IF([2]对账明细接口!$R466=0,"",[2]对账明细接口!$R466),"")</f>
        <v/>
      </c>
      <c r="X466" s="10" t="str">
        <f aca="false">IFERROR(IF([2]对账明细接口!$S466=0,"",[2]对账明细接口!$S466),"")</f>
        <v/>
      </c>
      <c r="Y466" s="10" t="str">
        <f aca="false">IFERROR(IF([2]对账明细接口!$T466=0,"",[2]对账明细接口!$T466),"")</f>
        <v/>
      </c>
      <c r="Z466" s="113" t="str">
        <f aca="false">IFERROR(IF([2]对账明细接口!$U466=0,"",[2]对账明细接口!$U466),"")</f>
        <v/>
      </c>
      <c r="AA466" s="113" t="str">
        <f aca="false">IFERROR(IF([2]对账明细接口!$V466=0,"",[2]对账明细接口!$V466),"")</f>
        <v/>
      </c>
      <c r="AB466" s="10" t="str">
        <f aca="false">IFERROR(IF([2]对账明细接口!$W466=0,"",[2]对账明细接口!$W466),"")</f>
        <v/>
      </c>
      <c r="AC466" s="90" t="str">
        <f aca="false">IFERROR(IF([2]对账明细接口!$X467=0,"",[2]对账明细接口!$X467),"")</f>
        <v/>
      </c>
      <c r="AD466" s="90" t="str">
        <f aca="false">IFERROR(IF([2]对账明细接口!$Y467=0,"",[2]对账明细接口!$Y467),"")</f>
        <v/>
      </c>
      <c r="AE466" s="90" t="str">
        <f aca="false">IFERROR(IF([2]对账明细接口!$AA467=0,"",[2]对账明细接口!$AA467),"")</f>
        <v/>
      </c>
      <c r="AF466" s="90" t="str">
        <f aca="false">IFERROR(IF([2]对账明细接口!$AB467=0,"",[2]对账明细接口!$AB467),"")</f>
        <v/>
      </c>
      <c r="AG466" s="90" t="str">
        <f aca="false">IFERROR(IF([2]对账明细接口!$AC467=0,"",[2]对账明细接口!$AC467),"")</f>
        <v/>
      </c>
      <c r="AH466" s="90" t="str">
        <f aca="false">IFERROR(IF([2]对账明细接口!$AD467=0,"",[2]对账明细接口!$AD467),"")</f>
        <v/>
      </c>
    </row>
    <row r="467" customFormat="false" ht="13.5" hidden="false" customHeight="false" outlineLevel="0" collapsed="false">
      <c r="A467" s="109" t="n">
        <v>467</v>
      </c>
      <c r="B467" s="110" t="str">
        <f aca="false">IFERROR(IF([2]对账明细接口!$B$467=0,"",[2]对账明细接口!$B$467),"")</f>
        <v/>
      </c>
      <c r="C467" s="59" t="str">
        <f aca="false">IFERROR(IF([2]对账明细接口!$C$467=0,"",[2]对账明细接口!$C$467),"")</f>
        <v/>
      </c>
      <c r="D467" s="59" t="str">
        <f aca="false">IFERROR(IF([2]对账明细接口!$D$467=0,"",[2]对账明细接口!$D$467),"")</f>
        <v/>
      </c>
      <c r="E467" s="59" t="str">
        <f aca="false">IFERROR(IF([2]对账明细接口!$E$467=0,"",[2]对账明细接口!$E$467),"")</f>
        <v/>
      </c>
      <c r="F467" s="59" t="str">
        <f aca="false">IFERROR(IF([2]对账明细接口!$F$467=0,"",[2]对账明细接口!$F$467),"")</f>
        <v/>
      </c>
      <c r="G467" s="59" t="str">
        <f aca="false">IFERROR(IF([2]对账明细接口!$G$467=0,"",[2]对账明细接口!$G$467),"")</f>
        <v/>
      </c>
      <c r="H467" s="60" t="str">
        <f aca="false">IFERROR(IF([2]对账明细接口!$H$467=0,"",[2]对账明细接口!$H$467),"")</f>
        <v/>
      </c>
      <c r="I467" s="59" t="str">
        <f aca="false">IFERROR(IF([2]对账明细接口!$I$467=0,"",[2]对账明细接口!$I$467),"")</f>
        <v/>
      </c>
      <c r="J467" s="61" t="str">
        <f aca="false">IFERROR(IF([2]对账明细接口!$J$467=0,"",[2]对账明细接口!$J$467),"")</f>
        <v/>
      </c>
      <c r="K467" s="61" t="str">
        <f aca="false">IFERROR(IF([2]对账明细接口!$K$467=0,"",[2]对账明细接口!$K$467),"")</f>
        <v/>
      </c>
      <c r="L467" s="59" t="str">
        <f aca="false">IFERROR(IF([2]对账明细接口!$L$467=0,"",[2]对账明细接口!$L$467),"")</f>
        <v/>
      </c>
      <c r="M467" s="59" t="str">
        <f aca="false">IFERROR(IF([2]对账明细接口!$M$467=0,"",[2]对账明细接口!$M$467),"")</f>
        <v/>
      </c>
      <c r="N467" s="111" t="n">
        <f aca="false">IF($C467="",0,1)</f>
        <v>0</v>
      </c>
      <c r="O467" s="111" t="n">
        <f aca="false">N(O466)+$N467</f>
        <v>311</v>
      </c>
      <c r="S467" s="10" t="str">
        <f aca="false">IFERROR(IF([2]对账明细接口!$N467=0,"",[2]对账明细接口!$N467),"")</f>
        <v/>
      </c>
      <c r="T467" s="112" t="str">
        <f aca="false">IFERROR(IF([2]对账明细接口!$O467=0,"",[2]对账明细接口!$O467),"")</f>
        <v/>
      </c>
      <c r="U467" s="112" t="str">
        <f aca="false">IFERROR(IF([2]对账明细接口!$P467=0,"",[2]对账明细接口!$P467),"")</f>
        <v/>
      </c>
      <c r="V467" s="112" t="str">
        <f aca="false">IFERROR(IF([2]对账明细接口!$Q467=0,"",[2]对账明细接口!$Q467),"")</f>
        <v/>
      </c>
      <c r="W467" s="10" t="str">
        <f aca="false">IFERROR(IF([2]对账明细接口!$R467=0,"",[2]对账明细接口!$R467),"")</f>
        <v/>
      </c>
      <c r="X467" s="10" t="str">
        <f aca="false">IFERROR(IF([2]对账明细接口!$S467=0,"",[2]对账明细接口!$S467),"")</f>
        <v/>
      </c>
      <c r="Y467" s="10" t="str">
        <f aca="false">IFERROR(IF([2]对账明细接口!$T467=0,"",[2]对账明细接口!$T467),"")</f>
        <v/>
      </c>
      <c r="Z467" s="113" t="str">
        <f aca="false">IFERROR(IF([2]对账明细接口!$U467=0,"",[2]对账明细接口!$U467),"")</f>
        <v/>
      </c>
      <c r="AA467" s="113" t="str">
        <f aca="false">IFERROR(IF([2]对账明细接口!$V467=0,"",[2]对账明细接口!$V467),"")</f>
        <v/>
      </c>
      <c r="AB467" s="10" t="str">
        <f aca="false">IFERROR(IF([2]对账明细接口!$W467=0,"",[2]对账明细接口!$W467),"")</f>
        <v/>
      </c>
      <c r="AC467" s="90" t="str">
        <f aca="false">IFERROR(IF([2]对账明细接口!$X468=0,"",[2]对账明细接口!$X468),"")</f>
        <v/>
      </c>
      <c r="AD467" s="90" t="str">
        <f aca="false">IFERROR(IF([2]对账明细接口!$Y468=0,"",[2]对账明细接口!$Y468),"")</f>
        <v/>
      </c>
      <c r="AE467" s="90" t="str">
        <f aca="false">IFERROR(IF([2]对账明细接口!$AA468=0,"",[2]对账明细接口!$AA468),"")</f>
        <v/>
      </c>
      <c r="AF467" s="90" t="str">
        <f aca="false">IFERROR(IF([2]对账明细接口!$AB468=0,"",[2]对账明细接口!$AB468),"")</f>
        <v/>
      </c>
      <c r="AG467" s="90" t="str">
        <f aca="false">IFERROR(IF([2]对账明细接口!$AC468=0,"",[2]对账明细接口!$AC468),"")</f>
        <v/>
      </c>
      <c r="AH467" s="90" t="str">
        <f aca="false">IFERROR(IF([2]对账明细接口!$AD468=0,"",[2]对账明细接口!$AD468),"")</f>
        <v/>
      </c>
    </row>
    <row r="468" customFormat="false" ht="13.5" hidden="false" customHeight="false" outlineLevel="0" collapsed="false">
      <c r="A468" s="109" t="n">
        <v>468</v>
      </c>
      <c r="B468" s="110" t="str">
        <f aca="false">IFERROR(IF([2]对账明细接口!$B$468=0,"",[2]对账明细接口!$B$468),"")</f>
        <v/>
      </c>
      <c r="C468" s="59" t="str">
        <f aca="false">IFERROR(IF([2]对账明细接口!$C$468=0,"",[2]对账明细接口!$C$468),"")</f>
        <v/>
      </c>
      <c r="D468" s="59" t="str">
        <f aca="false">IFERROR(IF([2]对账明细接口!$D$468=0,"",[2]对账明细接口!$D$468),"")</f>
        <v/>
      </c>
      <c r="E468" s="59" t="str">
        <f aca="false">IFERROR(IF([2]对账明细接口!$E$468=0,"",[2]对账明细接口!$E$468),"")</f>
        <v/>
      </c>
      <c r="F468" s="59" t="str">
        <f aca="false">IFERROR(IF([2]对账明细接口!$F$468=0,"",[2]对账明细接口!$F$468),"")</f>
        <v/>
      </c>
      <c r="G468" s="59" t="str">
        <f aca="false">IFERROR(IF([2]对账明细接口!$G$468=0,"",[2]对账明细接口!$G$468),"")</f>
        <v/>
      </c>
      <c r="H468" s="60" t="str">
        <f aca="false">IFERROR(IF([2]对账明细接口!$H$468=0,"",[2]对账明细接口!$H$468),"")</f>
        <v/>
      </c>
      <c r="I468" s="59" t="str">
        <f aca="false">IFERROR(IF([2]对账明细接口!$I$468=0,"",[2]对账明细接口!$I$468),"")</f>
        <v/>
      </c>
      <c r="J468" s="61" t="str">
        <f aca="false">IFERROR(IF([2]对账明细接口!$J$468=0,"",[2]对账明细接口!$J$468),"")</f>
        <v/>
      </c>
      <c r="K468" s="61" t="str">
        <f aca="false">IFERROR(IF([2]对账明细接口!$K$468=0,"",[2]对账明细接口!$K$468),"")</f>
        <v/>
      </c>
      <c r="L468" s="59" t="str">
        <f aca="false">IFERROR(IF([2]对账明细接口!$L$468=0,"",[2]对账明细接口!$L$468),"")</f>
        <v/>
      </c>
      <c r="M468" s="59" t="str">
        <f aca="false">IFERROR(IF([2]对账明细接口!$M$468=0,"",[2]对账明细接口!$M$468),"")</f>
        <v/>
      </c>
      <c r="N468" s="111" t="n">
        <f aca="false">IF($C468="",0,1)</f>
        <v>0</v>
      </c>
      <c r="O468" s="111" t="n">
        <f aca="false">N(O467)+$N468</f>
        <v>311</v>
      </c>
      <c r="S468" s="10" t="str">
        <f aca="false">IFERROR(IF([2]对账明细接口!$N468=0,"",[2]对账明细接口!$N468),"")</f>
        <v/>
      </c>
      <c r="T468" s="112" t="str">
        <f aca="false">IFERROR(IF([2]对账明细接口!$O468=0,"",[2]对账明细接口!$O468),"")</f>
        <v/>
      </c>
      <c r="U468" s="112" t="str">
        <f aca="false">IFERROR(IF([2]对账明细接口!$P468=0,"",[2]对账明细接口!$P468),"")</f>
        <v/>
      </c>
      <c r="V468" s="112" t="str">
        <f aca="false">IFERROR(IF([2]对账明细接口!$Q468=0,"",[2]对账明细接口!$Q468),"")</f>
        <v/>
      </c>
      <c r="W468" s="10" t="str">
        <f aca="false">IFERROR(IF([2]对账明细接口!$R468=0,"",[2]对账明细接口!$R468),"")</f>
        <v/>
      </c>
      <c r="X468" s="10" t="str">
        <f aca="false">IFERROR(IF([2]对账明细接口!$S468=0,"",[2]对账明细接口!$S468),"")</f>
        <v/>
      </c>
      <c r="Y468" s="10" t="str">
        <f aca="false">IFERROR(IF([2]对账明细接口!$T468=0,"",[2]对账明细接口!$T468),"")</f>
        <v/>
      </c>
      <c r="Z468" s="113" t="str">
        <f aca="false">IFERROR(IF([2]对账明细接口!$U468=0,"",[2]对账明细接口!$U468),"")</f>
        <v/>
      </c>
      <c r="AA468" s="113" t="str">
        <f aca="false">IFERROR(IF([2]对账明细接口!$V468=0,"",[2]对账明细接口!$V468),"")</f>
        <v/>
      </c>
      <c r="AB468" s="10" t="str">
        <f aca="false">IFERROR(IF([2]对账明细接口!$W468=0,"",[2]对账明细接口!$W468),"")</f>
        <v/>
      </c>
      <c r="AC468" s="90" t="str">
        <f aca="false">IFERROR(IF([2]对账明细接口!$X469=0,"",[2]对账明细接口!$X469),"")</f>
        <v/>
      </c>
      <c r="AD468" s="90" t="str">
        <f aca="false">IFERROR(IF([2]对账明细接口!$Y469=0,"",[2]对账明细接口!$Y469),"")</f>
        <v/>
      </c>
      <c r="AE468" s="90" t="str">
        <f aca="false">IFERROR(IF([2]对账明细接口!$AA469=0,"",[2]对账明细接口!$AA469),"")</f>
        <v/>
      </c>
      <c r="AF468" s="90" t="str">
        <f aca="false">IFERROR(IF([2]对账明细接口!$AB469=0,"",[2]对账明细接口!$AB469),"")</f>
        <v/>
      </c>
      <c r="AG468" s="90" t="str">
        <f aca="false">IFERROR(IF([2]对账明细接口!$AC469=0,"",[2]对账明细接口!$AC469),"")</f>
        <v/>
      </c>
      <c r="AH468" s="90" t="str">
        <f aca="false">IFERROR(IF([2]对账明细接口!$AD469=0,"",[2]对账明细接口!$AD469),"")</f>
        <v/>
      </c>
    </row>
    <row r="469" customFormat="false" ht="13.5" hidden="false" customHeight="false" outlineLevel="0" collapsed="false">
      <c r="A469" s="109" t="n">
        <v>469</v>
      </c>
      <c r="B469" s="110" t="str">
        <f aca="false">IFERROR(IF([2]对账明细接口!$B$469=0,"",[2]对账明细接口!$B$469),"")</f>
        <v/>
      </c>
      <c r="C469" s="59" t="str">
        <f aca="false">IFERROR(IF([2]对账明细接口!$C$469=0,"",[2]对账明细接口!$C$469),"")</f>
        <v/>
      </c>
      <c r="D469" s="59" t="str">
        <f aca="false">IFERROR(IF([2]对账明细接口!$D$469=0,"",[2]对账明细接口!$D$469),"")</f>
        <v/>
      </c>
      <c r="E469" s="59" t="str">
        <f aca="false">IFERROR(IF([2]对账明细接口!$E$469=0,"",[2]对账明细接口!$E$469),"")</f>
        <v/>
      </c>
      <c r="F469" s="59" t="str">
        <f aca="false">IFERROR(IF([2]对账明细接口!$F$469=0,"",[2]对账明细接口!$F$469),"")</f>
        <v/>
      </c>
      <c r="G469" s="59" t="str">
        <f aca="false">IFERROR(IF([2]对账明细接口!$G$469=0,"",[2]对账明细接口!$G$469),"")</f>
        <v/>
      </c>
      <c r="H469" s="60" t="str">
        <f aca="false">IFERROR(IF([2]对账明细接口!$H$469=0,"",[2]对账明细接口!$H$469),"")</f>
        <v/>
      </c>
      <c r="I469" s="59" t="str">
        <f aca="false">IFERROR(IF([2]对账明细接口!$I$469=0,"",[2]对账明细接口!$I$469),"")</f>
        <v/>
      </c>
      <c r="J469" s="61" t="str">
        <f aca="false">IFERROR(IF([2]对账明细接口!$J$469=0,"",[2]对账明细接口!$J$469),"")</f>
        <v/>
      </c>
      <c r="K469" s="61" t="str">
        <f aca="false">IFERROR(IF([2]对账明细接口!$K$469=0,"",[2]对账明细接口!$K$469),"")</f>
        <v/>
      </c>
      <c r="L469" s="59" t="str">
        <f aca="false">IFERROR(IF([2]对账明细接口!$L$469=0,"",[2]对账明细接口!$L$469),"")</f>
        <v/>
      </c>
      <c r="M469" s="59" t="str">
        <f aca="false">IFERROR(IF([2]对账明细接口!$M$469=0,"",[2]对账明细接口!$M$469),"")</f>
        <v/>
      </c>
      <c r="N469" s="111" t="n">
        <f aca="false">IF($C469="",0,1)</f>
        <v>0</v>
      </c>
      <c r="O469" s="111" t="n">
        <f aca="false">N(O468)+$N469</f>
        <v>311</v>
      </c>
      <c r="S469" s="10" t="str">
        <f aca="false">IFERROR(IF([2]对账明细接口!$N469=0,"",[2]对账明细接口!$N469),"")</f>
        <v/>
      </c>
      <c r="T469" s="112" t="str">
        <f aca="false">IFERROR(IF([2]对账明细接口!$O469=0,"",[2]对账明细接口!$O469),"")</f>
        <v/>
      </c>
      <c r="U469" s="112" t="str">
        <f aca="false">IFERROR(IF([2]对账明细接口!$P469=0,"",[2]对账明细接口!$P469),"")</f>
        <v/>
      </c>
      <c r="V469" s="112" t="str">
        <f aca="false">IFERROR(IF([2]对账明细接口!$Q469=0,"",[2]对账明细接口!$Q469),"")</f>
        <v/>
      </c>
      <c r="W469" s="10" t="str">
        <f aca="false">IFERROR(IF([2]对账明细接口!$R469=0,"",[2]对账明细接口!$R469),"")</f>
        <v/>
      </c>
      <c r="X469" s="10" t="str">
        <f aca="false">IFERROR(IF([2]对账明细接口!$S469=0,"",[2]对账明细接口!$S469),"")</f>
        <v/>
      </c>
      <c r="Y469" s="10" t="str">
        <f aca="false">IFERROR(IF([2]对账明细接口!$T469=0,"",[2]对账明细接口!$T469),"")</f>
        <v/>
      </c>
      <c r="Z469" s="113" t="str">
        <f aca="false">IFERROR(IF([2]对账明细接口!$U469=0,"",[2]对账明细接口!$U469),"")</f>
        <v/>
      </c>
      <c r="AA469" s="113" t="str">
        <f aca="false">IFERROR(IF([2]对账明细接口!$V469=0,"",[2]对账明细接口!$V469),"")</f>
        <v/>
      </c>
      <c r="AB469" s="10" t="str">
        <f aca="false">IFERROR(IF([2]对账明细接口!$W469=0,"",[2]对账明细接口!$W469),"")</f>
        <v/>
      </c>
      <c r="AC469" s="90" t="str">
        <f aca="false">IFERROR(IF([2]对账明细接口!$X470=0,"",[2]对账明细接口!$X470),"")</f>
        <v/>
      </c>
      <c r="AD469" s="90" t="str">
        <f aca="false">IFERROR(IF([2]对账明细接口!$Y470=0,"",[2]对账明细接口!$Y470),"")</f>
        <v/>
      </c>
      <c r="AE469" s="90" t="str">
        <f aca="false">IFERROR(IF([2]对账明细接口!$AA470=0,"",[2]对账明细接口!$AA470),"")</f>
        <v/>
      </c>
      <c r="AF469" s="90" t="str">
        <f aca="false">IFERROR(IF([2]对账明细接口!$AB470=0,"",[2]对账明细接口!$AB470),"")</f>
        <v/>
      </c>
      <c r="AG469" s="90" t="str">
        <f aca="false">IFERROR(IF([2]对账明细接口!$AC470=0,"",[2]对账明细接口!$AC470),"")</f>
        <v/>
      </c>
      <c r="AH469" s="90" t="str">
        <f aca="false">IFERROR(IF([2]对账明细接口!$AD470=0,"",[2]对账明细接口!$AD470),"")</f>
        <v/>
      </c>
    </row>
    <row r="470" customFormat="false" ht="13.5" hidden="false" customHeight="false" outlineLevel="0" collapsed="false">
      <c r="A470" s="109" t="n">
        <v>470</v>
      </c>
      <c r="B470" s="110" t="str">
        <f aca="false">IFERROR(IF([2]对账明细接口!$B$470=0,"",[2]对账明细接口!$B$470),"")</f>
        <v/>
      </c>
      <c r="C470" s="59" t="str">
        <f aca="false">IFERROR(IF([2]对账明细接口!$C$470=0,"",[2]对账明细接口!$C$470),"")</f>
        <v/>
      </c>
      <c r="D470" s="59" t="str">
        <f aca="false">IFERROR(IF([2]对账明细接口!$D$470=0,"",[2]对账明细接口!$D$470),"")</f>
        <v/>
      </c>
      <c r="E470" s="59" t="str">
        <f aca="false">IFERROR(IF([2]对账明细接口!$E$470=0,"",[2]对账明细接口!$E$470),"")</f>
        <v/>
      </c>
      <c r="F470" s="59" t="str">
        <f aca="false">IFERROR(IF([2]对账明细接口!$F$470=0,"",[2]对账明细接口!$F$470),"")</f>
        <v/>
      </c>
      <c r="G470" s="59" t="str">
        <f aca="false">IFERROR(IF([2]对账明细接口!$G$470=0,"",[2]对账明细接口!$G$470),"")</f>
        <v/>
      </c>
      <c r="H470" s="60" t="str">
        <f aca="false">IFERROR(IF([2]对账明细接口!$H$470=0,"",[2]对账明细接口!$H$470),"")</f>
        <v/>
      </c>
      <c r="I470" s="59" t="str">
        <f aca="false">IFERROR(IF([2]对账明细接口!$I$470=0,"",[2]对账明细接口!$I$470),"")</f>
        <v/>
      </c>
      <c r="J470" s="61" t="str">
        <f aca="false">IFERROR(IF([2]对账明细接口!$J$470=0,"",[2]对账明细接口!$J$470),"")</f>
        <v/>
      </c>
      <c r="K470" s="61" t="str">
        <f aca="false">IFERROR(IF([2]对账明细接口!$K$470=0,"",[2]对账明细接口!$K$470),"")</f>
        <v/>
      </c>
      <c r="L470" s="59" t="str">
        <f aca="false">IFERROR(IF([2]对账明细接口!$L$470=0,"",[2]对账明细接口!$L$470),"")</f>
        <v/>
      </c>
      <c r="M470" s="59" t="str">
        <f aca="false">IFERROR(IF([2]对账明细接口!$M$470=0,"",[2]对账明细接口!$M$470),"")</f>
        <v/>
      </c>
      <c r="N470" s="111" t="n">
        <f aca="false">IF($C470="",0,1)</f>
        <v>0</v>
      </c>
      <c r="O470" s="111" t="n">
        <f aca="false">N(O469)+$N470</f>
        <v>311</v>
      </c>
      <c r="S470" s="10" t="str">
        <f aca="false">IFERROR(IF([2]对账明细接口!$N470=0,"",[2]对账明细接口!$N470),"")</f>
        <v/>
      </c>
      <c r="T470" s="112" t="str">
        <f aca="false">IFERROR(IF([2]对账明细接口!$O470=0,"",[2]对账明细接口!$O470),"")</f>
        <v/>
      </c>
      <c r="U470" s="112" t="str">
        <f aca="false">IFERROR(IF([2]对账明细接口!$P470=0,"",[2]对账明细接口!$P470),"")</f>
        <v/>
      </c>
      <c r="V470" s="112" t="str">
        <f aca="false">IFERROR(IF([2]对账明细接口!$Q470=0,"",[2]对账明细接口!$Q470),"")</f>
        <v/>
      </c>
      <c r="W470" s="10" t="str">
        <f aca="false">IFERROR(IF([2]对账明细接口!$R470=0,"",[2]对账明细接口!$R470),"")</f>
        <v/>
      </c>
      <c r="X470" s="10" t="str">
        <f aca="false">IFERROR(IF([2]对账明细接口!$S470=0,"",[2]对账明细接口!$S470),"")</f>
        <v/>
      </c>
      <c r="Y470" s="10" t="str">
        <f aca="false">IFERROR(IF([2]对账明细接口!$T470=0,"",[2]对账明细接口!$T470),"")</f>
        <v/>
      </c>
      <c r="Z470" s="113" t="str">
        <f aca="false">IFERROR(IF([2]对账明细接口!$U470=0,"",[2]对账明细接口!$U470),"")</f>
        <v/>
      </c>
      <c r="AA470" s="113" t="str">
        <f aca="false">IFERROR(IF([2]对账明细接口!$V470=0,"",[2]对账明细接口!$V470),"")</f>
        <v/>
      </c>
      <c r="AB470" s="10" t="str">
        <f aca="false">IFERROR(IF([2]对账明细接口!$W470=0,"",[2]对账明细接口!$W470),"")</f>
        <v/>
      </c>
      <c r="AC470" s="90" t="str">
        <f aca="false">IFERROR(IF([2]对账明细接口!$X471=0,"",[2]对账明细接口!$X471),"")</f>
        <v/>
      </c>
      <c r="AD470" s="90" t="str">
        <f aca="false">IFERROR(IF([2]对账明细接口!$Y471=0,"",[2]对账明细接口!$Y471),"")</f>
        <v/>
      </c>
      <c r="AE470" s="90" t="str">
        <f aca="false">IFERROR(IF([2]对账明细接口!$AA471=0,"",[2]对账明细接口!$AA471),"")</f>
        <v/>
      </c>
      <c r="AF470" s="90" t="str">
        <f aca="false">IFERROR(IF([2]对账明细接口!$AB471=0,"",[2]对账明细接口!$AB471),"")</f>
        <v/>
      </c>
      <c r="AG470" s="90" t="str">
        <f aca="false">IFERROR(IF([2]对账明细接口!$AC471=0,"",[2]对账明细接口!$AC471),"")</f>
        <v/>
      </c>
      <c r="AH470" s="90" t="str">
        <f aca="false">IFERROR(IF([2]对账明细接口!$AD471=0,"",[2]对账明细接口!$AD471),"")</f>
        <v/>
      </c>
    </row>
    <row r="471" customFormat="false" ht="13.5" hidden="false" customHeight="false" outlineLevel="0" collapsed="false">
      <c r="A471" s="109" t="n">
        <v>471</v>
      </c>
      <c r="B471" s="110" t="str">
        <f aca="false">IFERROR(IF([2]对账明细接口!$B$471=0,"",[2]对账明细接口!$B$471),"")</f>
        <v/>
      </c>
      <c r="C471" s="59" t="str">
        <f aca="false">IFERROR(IF([2]对账明细接口!$C$471=0,"",[2]对账明细接口!$C$471),"")</f>
        <v/>
      </c>
      <c r="D471" s="59" t="str">
        <f aca="false">IFERROR(IF([2]对账明细接口!$D$471=0,"",[2]对账明细接口!$D$471),"")</f>
        <v/>
      </c>
      <c r="E471" s="59" t="str">
        <f aca="false">IFERROR(IF([2]对账明细接口!$E$471=0,"",[2]对账明细接口!$E$471),"")</f>
        <v/>
      </c>
      <c r="F471" s="59" t="str">
        <f aca="false">IFERROR(IF([2]对账明细接口!$F$471=0,"",[2]对账明细接口!$F$471),"")</f>
        <v/>
      </c>
      <c r="G471" s="59" t="str">
        <f aca="false">IFERROR(IF([2]对账明细接口!$G$471=0,"",[2]对账明细接口!$G$471),"")</f>
        <v/>
      </c>
      <c r="H471" s="60" t="str">
        <f aca="false">IFERROR(IF([2]对账明细接口!$H$471=0,"",[2]对账明细接口!$H$471),"")</f>
        <v/>
      </c>
      <c r="I471" s="59" t="str">
        <f aca="false">IFERROR(IF([2]对账明细接口!$I$471=0,"",[2]对账明细接口!$I$471),"")</f>
        <v/>
      </c>
      <c r="J471" s="61" t="str">
        <f aca="false">IFERROR(IF([2]对账明细接口!$J$471=0,"",[2]对账明细接口!$J$471),"")</f>
        <v/>
      </c>
      <c r="K471" s="61" t="str">
        <f aca="false">IFERROR(IF([2]对账明细接口!$K$471=0,"",[2]对账明细接口!$K$471),"")</f>
        <v/>
      </c>
      <c r="L471" s="59" t="str">
        <f aca="false">IFERROR(IF([2]对账明细接口!$L$471=0,"",[2]对账明细接口!$L$471),"")</f>
        <v/>
      </c>
      <c r="M471" s="59" t="str">
        <f aca="false">IFERROR(IF([2]对账明细接口!$M$471=0,"",[2]对账明细接口!$M$471),"")</f>
        <v/>
      </c>
      <c r="N471" s="111" t="n">
        <f aca="false">IF($C471="",0,1)</f>
        <v>0</v>
      </c>
      <c r="O471" s="111" t="n">
        <f aca="false">N(O470)+$N471</f>
        <v>311</v>
      </c>
      <c r="S471" s="10" t="str">
        <f aca="false">IFERROR(IF([2]对账明细接口!$N471=0,"",[2]对账明细接口!$N471),"")</f>
        <v/>
      </c>
      <c r="T471" s="112" t="str">
        <f aca="false">IFERROR(IF([2]对账明细接口!$O471=0,"",[2]对账明细接口!$O471),"")</f>
        <v/>
      </c>
      <c r="U471" s="112" t="str">
        <f aca="false">IFERROR(IF([2]对账明细接口!$P471=0,"",[2]对账明细接口!$P471),"")</f>
        <v/>
      </c>
      <c r="V471" s="112" t="str">
        <f aca="false">IFERROR(IF([2]对账明细接口!$Q471=0,"",[2]对账明细接口!$Q471),"")</f>
        <v/>
      </c>
      <c r="W471" s="10" t="str">
        <f aca="false">IFERROR(IF([2]对账明细接口!$R471=0,"",[2]对账明细接口!$R471),"")</f>
        <v/>
      </c>
      <c r="X471" s="10" t="str">
        <f aca="false">IFERROR(IF([2]对账明细接口!$S471=0,"",[2]对账明细接口!$S471),"")</f>
        <v/>
      </c>
      <c r="Y471" s="10" t="str">
        <f aca="false">IFERROR(IF([2]对账明细接口!$T471=0,"",[2]对账明细接口!$T471),"")</f>
        <v/>
      </c>
      <c r="Z471" s="113" t="str">
        <f aca="false">IFERROR(IF([2]对账明细接口!$U471=0,"",[2]对账明细接口!$U471),"")</f>
        <v/>
      </c>
      <c r="AA471" s="113" t="str">
        <f aca="false">IFERROR(IF([2]对账明细接口!$V471=0,"",[2]对账明细接口!$V471),"")</f>
        <v/>
      </c>
      <c r="AB471" s="10" t="str">
        <f aca="false">IFERROR(IF([2]对账明细接口!$W471=0,"",[2]对账明细接口!$W471),"")</f>
        <v/>
      </c>
      <c r="AC471" s="90" t="str">
        <f aca="false">IFERROR(IF([2]对账明细接口!$X472=0,"",[2]对账明细接口!$X472),"")</f>
        <v/>
      </c>
      <c r="AD471" s="90" t="str">
        <f aca="false">IFERROR(IF([2]对账明细接口!$Y472=0,"",[2]对账明细接口!$Y472),"")</f>
        <v/>
      </c>
      <c r="AE471" s="90" t="str">
        <f aca="false">IFERROR(IF([2]对账明细接口!$AA472=0,"",[2]对账明细接口!$AA472),"")</f>
        <v/>
      </c>
      <c r="AF471" s="90" t="str">
        <f aca="false">IFERROR(IF([2]对账明细接口!$AB472=0,"",[2]对账明细接口!$AB472),"")</f>
        <v/>
      </c>
      <c r="AG471" s="90" t="str">
        <f aca="false">IFERROR(IF([2]对账明细接口!$AC472=0,"",[2]对账明细接口!$AC472),"")</f>
        <v/>
      </c>
      <c r="AH471" s="90" t="str">
        <f aca="false">IFERROR(IF([2]对账明细接口!$AD472=0,"",[2]对账明细接口!$AD472),"")</f>
        <v/>
      </c>
    </row>
    <row r="472" customFormat="false" ht="13.5" hidden="false" customHeight="false" outlineLevel="0" collapsed="false">
      <c r="A472" s="109" t="n">
        <v>472</v>
      </c>
      <c r="B472" s="110" t="str">
        <f aca="false">IFERROR(IF([2]对账明细接口!$B$472=0,"",[2]对账明细接口!$B$472),"")</f>
        <v/>
      </c>
      <c r="C472" s="59" t="str">
        <f aca="false">IFERROR(IF([2]对账明细接口!$C$472=0,"",[2]对账明细接口!$C$472),"")</f>
        <v/>
      </c>
      <c r="D472" s="59" t="str">
        <f aca="false">IFERROR(IF([2]对账明细接口!$D$472=0,"",[2]对账明细接口!$D$472),"")</f>
        <v/>
      </c>
      <c r="E472" s="59" t="str">
        <f aca="false">IFERROR(IF([2]对账明细接口!$E$472=0,"",[2]对账明细接口!$E$472),"")</f>
        <v/>
      </c>
      <c r="F472" s="59" t="str">
        <f aca="false">IFERROR(IF([2]对账明细接口!$F$472=0,"",[2]对账明细接口!$F$472),"")</f>
        <v/>
      </c>
      <c r="G472" s="59" t="str">
        <f aca="false">IFERROR(IF([2]对账明细接口!$G$472=0,"",[2]对账明细接口!$G$472),"")</f>
        <v/>
      </c>
      <c r="H472" s="60" t="str">
        <f aca="false">IFERROR(IF([2]对账明细接口!$H$472=0,"",[2]对账明细接口!$H$472),"")</f>
        <v/>
      </c>
      <c r="I472" s="59" t="str">
        <f aca="false">IFERROR(IF([2]对账明细接口!$I$472=0,"",[2]对账明细接口!$I$472),"")</f>
        <v/>
      </c>
      <c r="J472" s="61" t="str">
        <f aca="false">IFERROR(IF([2]对账明细接口!$J$472=0,"",[2]对账明细接口!$J$472),"")</f>
        <v/>
      </c>
      <c r="K472" s="61" t="str">
        <f aca="false">IFERROR(IF([2]对账明细接口!$K$472=0,"",[2]对账明细接口!$K$472),"")</f>
        <v/>
      </c>
      <c r="L472" s="59" t="str">
        <f aca="false">IFERROR(IF([2]对账明细接口!$L$472=0,"",[2]对账明细接口!$L$472),"")</f>
        <v/>
      </c>
      <c r="M472" s="59" t="str">
        <f aca="false">IFERROR(IF([2]对账明细接口!$M$472=0,"",[2]对账明细接口!$M$472),"")</f>
        <v/>
      </c>
      <c r="N472" s="111" t="n">
        <f aca="false">IF($C472="",0,1)</f>
        <v>0</v>
      </c>
      <c r="O472" s="111" t="n">
        <f aca="false">N(O471)+$N472</f>
        <v>311</v>
      </c>
      <c r="S472" s="10" t="str">
        <f aca="false">IFERROR(IF([2]对账明细接口!$N472=0,"",[2]对账明细接口!$N472),"")</f>
        <v/>
      </c>
      <c r="T472" s="112" t="str">
        <f aca="false">IFERROR(IF([2]对账明细接口!$O472=0,"",[2]对账明细接口!$O472),"")</f>
        <v/>
      </c>
      <c r="U472" s="112" t="str">
        <f aca="false">IFERROR(IF([2]对账明细接口!$P472=0,"",[2]对账明细接口!$P472),"")</f>
        <v/>
      </c>
      <c r="V472" s="112" t="str">
        <f aca="false">IFERROR(IF([2]对账明细接口!$Q472=0,"",[2]对账明细接口!$Q472),"")</f>
        <v/>
      </c>
      <c r="W472" s="10" t="str">
        <f aca="false">IFERROR(IF([2]对账明细接口!$R472=0,"",[2]对账明细接口!$R472),"")</f>
        <v/>
      </c>
      <c r="X472" s="10" t="str">
        <f aca="false">IFERROR(IF([2]对账明细接口!$S472=0,"",[2]对账明细接口!$S472),"")</f>
        <v/>
      </c>
      <c r="Y472" s="10" t="str">
        <f aca="false">IFERROR(IF([2]对账明细接口!$T472=0,"",[2]对账明细接口!$T472),"")</f>
        <v/>
      </c>
      <c r="Z472" s="113" t="str">
        <f aca="false">IFERROR(IF([2]对账明细接口!$U472=0,"",[2]对账明细接口!$U472),"")</f>
        <v/>
      </c>
      <c r="AA472" s="113" t="str">
        <f aca="false">IFERROR(IF([2]对账明细接口!$V472=0,"",[2]对账明细接口!$V472),"")</f>
        <v/>
      </c>
      <c r="AB472" s="10" t="str">
        <f aca="false">IFERROR(IF([2]对账明细接口!$W472=0,"",[2]对账明细接口!$W472),"")</f>
        <v/>
      </c>
      <c r="AC472" s="90" t="str">
        <f aca="false">IFERROR(IF([2]对账明细接口!$X473=0,"",[2]对账明细接口!$X473),"")</f>
        <v/>
      </c>
      <c r="AD472" s="90" t="str">
        <f aca="false">IFERROR(IF([2]对账明细接口!$Y473=0,"",[2]对账明细接口!$Y473),"")</f>
        <v/>
      </c>
      <c r="AE472" s="90" t="str">
        <f aca="false">IFERROR(IF([2]对账明细接口!$AA473=0,"",[2]对账明细接口!$AA473),"")</f>
        <v/>
      </c>
      <c r="AF472" s="90" t="str">
        <f aca="false">IFERROR(IF([2]对账明细接口!$AB473=0,"",[2]对账明细接口!$AB473),"")</f>
        <v/>
      </c>
      <c r="AG472" s="90" t="str">
        <f aca="false">IFERROR(IF([2]对账明细接口!$AC473=0,"",[2]对账明细接口!$AC473),"")</f>
        <v/>
      </c>
      <c r="AH472" s="90" t="str">
        <f aca="false">IFERROR(IF([2]对账明细接口!$AD473=0,"",[2]对账明细接口!$AD473),"")</f>
        <v/>
      </c>
    </row>
    <row r="473" customFormat="false" ht="13.5" hidden="false" customHeight="false" outlineLevel="0" collapsed="false">
      <c r="A473" s="109" t="n">
        <v>473</v>
      </c>
      <c r="B473" s="110" t="str">
        <f aca="false">IFERROR(IF([2]对账明细接口!$B$473=0,"",[2]对账明细接口!$B$473),"")</f>
        <v/>
      </c>
      <c r="C473" s="59" t="str">
        <f aca="false">IFERROR(IF([2]对账明细接口!$C$473=0,"",[2]对账明细接口!$C$473),"")</f>
        <v/>
      </c>
      <c r="D473" s="59" t="str">
        <f aca="false">IFERROR(IF([2]对账明细接口!$D$473=0,"",[2]对账明细接口!$D$473),"")</f>
        <v/>
      </c>
      <c r="E473" s="59" t="str">
        <f aca="false">IFERROR(IF([2]对账明细接口!$E$473=0,"",[2]对账明细接口!$E$473),"")</f>
        <v/>
      </c>
      <c r="F473" s="59" t="str">
        <f aca="false">IFERROR(IF([2]对账明细接口!$F$473=0,"",[2]对账明细接口!$F$473),"")</f>
        <v/>
      </c>
      <c r="G473" s="59" t="str">
        <f aca="false">IFERROR(IF([2]对账明细接口!$G$473=0,"",[2]对账明细接口!$G$473),"")</f>
        <v/>
      </c>
      <c r="H473" s="60" t="str">
        <f aca="false">IFERROR(IF([2]对账明细接口!$H$473=0,"",[2]对账明细接口!$H$473),"")</f>
        <v/>
      </c>
      <c r="I473" s="59" t="str">
        <f aca="false">IFERROR(IF([2]对账明细接口!$I$473=0,"",[2]对账明细接口!$I$473),"")</f>
        <v/>
      </c>
      <c r="J473" s="61" t="str">
        <f aca="false">IFERROR(IF([2]对账明细接口!$J$473=0,"",[2]对账明细接口!$J$473),"")</f>
        <v/>
      </c>
      <c r="K473" s="61" t="str">
        <f aca="false">IFERROR(IF([2]对账明细接口!$K$473=0,"",[2]对账明细接口!$K$473),"")</f>
        <v/>
      </c>
      <c r="L473" s="59" t="str">
        <f aca="false">IFERROR(IF([2]对账明细接口!$L$473=0,"",[2]对账明细接口!$L$473),"")</f>
        <v/>
      </c>
      <c r="M473" s="59" t="str">
        <f aca="false">IFERROR(IF([2]对账明细接口!$M$473=0,"",[2]对账明细接口!$M$473),"")</f>
        <v/>
      </c>
      <c r="N473" s="111" t="n">
        <f aca="false">IF($C473="",0,1)</f>
        <v>0</v>
      </c>
      <c r="O473" s="111" t="n">
        <f aca="false">N(O472)+$N473</f>
        <v>311</v>
      </c>
      <c r="S473" s="10" t="str">
        <f aca="false">IFERROR(IF([2]对账明细接口!$N473=0,"",[2]对账明细接口!$N473),"")</f>
        <v/>
      </c>
      <c r="T473" s="112" t="str">
        <f aca="false">IFERROR(IF([2]对账明细接口!$O473=0,"",[2]对账明细接口!$O473),"")</f>
        <v/>
      </c>
      <c r="U473" s="112" t="str">
        <f aca="false">IFERROR(IF([2]对账明细接口!$P473=0,"",[2]对账明细接口!$P473),"")</f>
        <v/>
      </c>
      <c r="V473" s="112" t="str">
        <f aca="false">IFERROR(IF([2]对账明细接口!$Q473=0,"",[2]对账明细接口!$Q473),"")</f>
        <v/>
      </c>
      <c r="W473" s="10" t="str">
        <f aca="false">IFERROR(IF([2]对账明细接口!$R473=0,"",[2]对账明细接口!$R473),"")</f>
        <v/>
      </c>
      <c r="X473" s="10" t="str">
        <f aca="false">IFERROR(IF([2]对账明细接口!$S473=0,"",[2]对账明细接口!$S473),"")</f>
        <v/>
      </c>
      <c r="Y473" s="10" t="str">
        <f aca="false">IFERROR(IF([2]对账明细接口!$T473=0,"",[2]对账明细接口!$T473),"")</f>
        <v/>
      </c>
      <c r="Z473" s="113" t="str">
        <f aca="false">IFERROR(IF([2]对账明细接口!$U473=0,"",[2]对账明细接口!$U473),"")</f>
        <v/>
      </c>
      <c r="AA473" s="113" t="str">
        <f aca="false">IFERROR(IF([2]对账明细接口!$V473=0,"",[2]对账明细接口!$V473),"")</f>
        <v/>
      </c>
      <c r="AB473" s="10" t="str">
        <f aca="false">IFERROR(IF([2]对账明细接口!$W473=0,"",[2]对账明细接口!$W473),"")</f>
        <v/>
      </c>
      <c r="AC473" s="90" t="str">
        <f aca="false">IFERROR(IF([2]对账明细接口!$X474=0,"",[2]对账明细接口!$X474),"")</f>
        <v/>
      </c>
      <c r="AD473" s="90" t="str">
        <f aca="false">IFERROR(IF([2]对账明细接口!$Y474=0,"",[2]对账明细接口!$Y474),"")</f>
        <v/>
      </c>
      <c r="AE473" s="90" t="str">
        <f aca="false">IFERROR(IF([2]对账明细接口!$AA474=0,"",[2]对账明细接口!$AA474),"")</f>
        <v/>
      </c>
      <c r="AF473" s="90" t="str">
        <f aca="false">IFERROR(IF([2]对账明细接口!$AB474=0,"",[2]对账明细接口!$AB474),"")</f>
        <v/>
      </c>
      <c r="AG473" s="90" t="str">
        <f aca="false">IFERROR(IF([2]对账明细接口!$AC474=0,"",[2]对账明细接口!$AC474),"")</f>
        <v/>
      </c>
      <c r="AH473" s="90" t="str">
        <f aca="false">IFERROR(IF([2]对账明细接口!$AD474=0,"",[2]对账明细接口!$AD474),"")</f>
        <v/>
      </c>
    </row>
    <row r="474" customFormat="false" ht="13.5" hidden="false" customHeight="false" outlineLevel="0" collapsed="false">
      <c r="A474" s="109" t="n">
        <v>474</v>
      </c>
      <c r="B474" s="110" t="str">
        <f aca="false">IFERROR(IF([2]对账明细接口!$B$474=0,"",[2]对账明细接口!$B$474),"")</f>
        <v/>
      </c>
      <c r="C474" s="59" t="str">
        <f aca="false">IFERROR(IF([2]对账明细接口!$C$474=0,"",[2]对账明细接口!$C$474),"")</f>
        <v/>
      </c>
      <c r="D474" s="59" t="str">
        <f aca="false">IFERROR(IF([2]对账明细接口!$D$474=0,"",[2]对账明细接口!$D$474),"")</f>
        <v/>
      </c>
      <c r="E474" s="59" t="str">
        <f aca="false">IFERROR(IF([2]对账明细接口!$E$474=0,"",[2]对账明细接口!$E$474),"")</f>
        <v/>
      </c>
      <c r="F474" s="59" t="str">
        <f aca="false">IFERROR(IF([2]对账明细接口!$F$474=0,"",[2]对账明细接口!$F$474),"")</f>
        <v/>
      </c>
      <c r="G474" s="59" t="str">
        <f aca="false">IFERROR(IF([2]对账明细接口!$G$474=0,"",[2]对账明细接口!$G$474),"")</f>
        <v/>
      </c>
      <c r="H474" s="60" t="str">
        <f aca="false">IFERROR(IF([2]对账明细接口!$H$474=0,"",[2]对账明细接口!$H$474),"")</f>
        <v/>
      </c>
      <c r="I474" s="59" t="str">
        <f aca="false">IFERROR(IF([2]对账明细接口!$I$474=0,"",[2]对账明细接口!$I$474),"")</f>
        <v/>
      </c>
      <c r="J474" s="61" t="str">
        <f aca="false">IFERROR(IF([2]对账明细接口!$J$474=0,"",[2]对账明细接口!$J$474),"")</f>
        <v/>
      </c>
      <c r="K474" s="61" t="str">
        <f aca="false">IFERROR(IF([2]对账明细接口!$K$474=0,"",[2]对账明细接口!$K$474),"")</f>
        <v/>
      </c>
      <c r="L474" s="59" t="str">
        <f aca="false">IFERROR(IF([2]对账明细接口!$L$474=0,"",[2]对账明细接口!$L$474),"")</f>
        <v/>
      </c>
      <c r="M474" s="59" t="str">
        <f aca="false">IFERROR(IF([2]对账明细接口!$M$474=0,"",[2]对账明细接口!$M$474),"")</f>
        <v/>
      </c>
      <c r="N474" s="111" t="n">
        <f aca="false">IF($C474="",0,1)</f>
        <v>0</v>
      </c>
      <c r="O474" s="111" t="n">
        <f aca="false">N(O473)+$N474</f>
        <v>311</v>
      </c>
      <c r="S474" s="10" t="str">
        <f aca="false">IFERROR(IF([2]对账明细接口!$N474=0,"",[2]对账明细接口!$N474),"")</f>
        <v/>
      </c>
      <c r="T474" s="112" t="str">
        <f aca="false">IFERROR(IF([2]对账明细接口!$O474=0,"",[2]对账明细接口!$O474),"")</f>
        <v/>
      </c>
      <c r="U474" s="112" t="str">
        <f aca="false">IFERROR(IF([2]对账明细接口!$P474=0,"",[2]对账明细接口!$P474),"")</f>
        <v/>
      </c>
      <c r="V474" s="112" t="str">
        <f aca="false">IFERROR(IF([2]对账明细接口!$Q474=0,"",[2]对账明细接口!$Q474),"")</f>
        <v/>
      </c>
      <c r="W474" s="10" t="str">
        <f aca="false">IFERROR(IF([2]对账明细接口!$R474=0,"",[2]对账明细接口!$R474),"")</f>
        <v/>
      </c>
      <c r="X474" s="10" t="str">
        <f aca="false">IFERROR(IF([2]对账明细接口!$S474=0,"",[2]对账明细接口!$S474),"")</f>
        <v/>
      </c>
      <c r="Y474" s="10" t="str">
        <f aca="false">IFERROR(IF([2]对账明细接口!$T474=0,"",[2]对账明细接口!$T474),"")</f>
        <v/>
      </c>
      <c r="Z474" s="113" t="str">
        <f aca="false">IFERROR(IF([2]对账明细接口!$U474=0,"",[2]对账明细接口!$U474),"")</f>
        <v/>
      </c>
      <c r="AA474" s="113" t="str">
        <f aca="false">IFERROR(IF([2]对账明细接口!$V474=0,"",[2]对账明细接口!$V474),"")</f>
        <v/>
      </c>
      <c r="AB474" s="10" t="str">
        <f aca="false">IFERROR(IF([2]对账明细接口!$W474=0,"",[2]对账明细接口!$W474),"")</f>
        <v/>
      </c>
      <c r="AC474" s="90" t="str">
        <f aca="false">IFERROR(IF([2]对账明细接口!$X475=0,"",[2]对账明细接口!$X475),"")</f>
        <v/>
      </c>
      <c r="AD474" s="90" t="str">
        <f aca="false">IFERROR(IF([2]对账明细接口!$Y475=0,"",[2]对账明细接口!$Y475),"")</f>
        <v/>
      </c>
      <c r="AE474" s="90" t="str">
        <f aca="false">IFERROR(IF([2]对账明细接口!$AA475=0,"",[2]对账明细接口!$AA475),"")</f>
        <v/>
      </c>
      <c r="AF474" s="90" t="str">
        <f aca="false">IFERROR(IF([2]对账明细接口!$AB475=0,"",[2]对账明细接口!$AB475),"")</f>
        <v/>
      </c>
      <c r="AG474" s="90" t="str">
        <f aca="false">IFERROR(IF([2]对账明细接口!$AC475=0,"",[2]对账明细接口!$AC475),"")</f>
        <v/>
      </c>
      <c r="AH474" s="90" t="str">
        <f aca="false">IFERROR(IF([2]对账明细接口!$AD475=0,"",[2]对账明细接口!$AD475),"")</f>
        <v/>
      </c>
    </row>
    <row r="475" customFormat="false" ht="13.5" hidden="false" customHeight="false" outlineLevel="0" collapsed="false">
      <c r="A475" s="109" t="n">
        <v>475</v>
      </c>
      <c r="B475" s="110" t="str">
        <f aca="false">IFERROR(IF([2]对账明细接口!$B$475=0,"",[2]对账明细接口!$B$475),"")</f>
        <v/>
      </c>
      <c r="C475" s="59" t="str">
        <f aca="false">IFERROR(IF([2]对账明细接口!$C$475=0,"",[2]对账明细接口!$C$475),"")</f>
        <v/>
      </c>
      <c r="D475" s="59" t="str">
        <f aca="false">IFERROR(IF([2]对账明细接口!$D$475=0,"",[2]对账明细接口!$D$475),"")</f>
        <v/>
      </c>
      <c r="E475" s="59" t="str">
        <f aca="false">IFERROR(IF([2]对账明细接口!$E$475=0,"",[2]对账明细接口!$E$475),"")</f>
        <v/>
      </c>
      <c r="F475" s="59" t="str">
        <f aca="false">IFERROR(IF([2]对账明细接口!$F$475=0,"",[2]对账明细接口!$F$475),"")</f>
        <v/>
      </c>
      <c r="G475" s="59" t="str">
        <f aca="false">IFERROR(IF([2]对账明细接口!$G$475=0,"",[2]对账明细接口!$G$475),"")</f>
        <v/>
      </c>
      <c r="H475" s="60" t="str">
        <f aca="false">IFERROR(IF([2]对账明细接口!$H$475=0,"",[2]对账明细接口!$H$475),"")</f>
        <v/>
      </c>
      <c r="I475" s="59" t="str">
        <f aca="false">IFERROR(IF([2]对账明细接口!$I$475=0,"",[2]对账明细接口!$I$475),"")</f>
        <v/>
      </c>
      <c r="J475" s="61" t="str">
        <f aca="false">IFERROR(IF([2]对账明细接口!$J$475=0,"",[2]对账明细接口!$J$475),"")</f>
        <v/>
      </c>
      <c r="K475" s="61" t="str">
        <f aca="false">IFERROR(IF([2]对账明细接口!$K$475=0,"",[2]对账明细接口!$K$475),"")</f>
        <v/>
      </c>
      <c r="L475" s="59" t="str">
        <f aca="false">IFERROR(IF([2]对账明细接口!$L$475=0,"",[2]对账明细接口!$L$475),"")</f>
        <v/>
      </c>
      <c r="M475" s="59" t="str">
        <f aca="false">IFERROR(IF([2]对账明细接口!$M$475=0,"",[2]对账明细接口!$M$475),"")</f>
        <v/>
      </c>
      <c r="N475" s="111" t="n">
        <f aca="false">IF($C475="",0,1)</f>
        <v>0</v>
      </c>
      <c r="O475" s="111" t="n">
        <f aca="false">N(O474)+$N475</f>
        <v>311</v>
      </c>
      <c r="S475" s="10" t="str">
        <f aca="false">IFERROR(IF([2]对账明细接口!$N475=0,"",[2]对账明细接口!$N475),"")</f>
        <v/>
      </c>
      <c r="T475" s="112" t="str">
        <f aca="false">IFERROR(IF([2]对账明细接口!$O475=0,"",[2]对账明细接口!$O475),"")</f>
        <v/>
      </c>
      <c r="U475" s="112" t="str">
        <f aca="false">IFERROR(IF([2]对账明细接口!$P475=0,"",[2]对账明细接口!$P475),"")</f>
        <v/>
      </c>
      <c r="V475" s="112" t="str">
        <f aca="false">IFERROR(IF([2]对账明细接口!$Q475=0,"",[2]对账明细接口!$Q475),"")</f>
        <v/>
      </c>
      <c r="W475" s="10" t="str">
        <f aca="false">IFERROR(IF([2]对账明细接口!$R475=0,"",[2]对账明细接口!$R475),"")</f>
        <v/>
      </c>
      <c r="X475" s="10" t="str">
        <f aca="false">IFERROR(IF([2]对账明细接口!$S475=0,"",[2]对账明细接口!$S475),"")</f>
        <v/>
      </c>
      <c r="Y475" s="10" t="str">
        <f aca="false">IFERROR(IF([2]对账明细接口!$T475=0,"",[2]对账明细接口!$T475),"")</f>
        <v/>
      </c>
      <c r="Z475" s="113" t="str">
        <f aca="false">IFERROR(IF([2]对账明细接口!$U475=0,"",[2]对账明细接口!$U475),"")</f>
        <v/>
      </c>
      <c r="AA475" s="113" t="str">
        <f aca="false">IFERROR(IF([2]对账明细接口!$V475=0,"",[2]对账明细接口!$V475),"")</f>
        <v/>
      </c>
      <c r="AB475" s="10" t="str">
        <f aca="false">IFERROR(IF([2]对账明细接口!$W475=0,"",[2]对账明细接口!$W475),"")</f>
        <v/>
      </c>
      <c r="AC475" s="90" t="str">
        <f aca="false">IFERROR(IF([2]对账明细接口!$X476=0,"",[2]对账明细接口!$X476),"")</f>
        <v/>
      </c>
      <c r="AD475" s="90" t="str">
        <f aca="false">IFERROR(IF([2]对账明细接口!$Y476=0,"",[2]对账明细接口!$Y476),"")</f>
        <v/>
      </c>
      <c r="AE475" s="90" t="str">
        <f aca="false">IFERROR(IF([2]对账明细接口!$AA476=0,"",[2]对账明细接口!$AA476),"")</f>
        <v/>
      </c>
      <c r="AF475" s="90" t="str">
        <f aca="false">IFERROR(IF([2]对账明细接口!$AB476=0,"",[2]对账明细接口!$AB476),"")</f>
        <v/>
      </c>
      <c r="AG475" s="90" t="str">
        <f aca="false">IFERROR(IF([2]对账明细接口!$AC476=0,"",[2]对账明细接口!$AC476),"")</f>
        <v/>
      </c>
      <c r="AH475" s="90" t="str">
        <f aca="false">IFERROR(IF([2]对账明细接口!$AD476=0,"",[2]对账明细接口!$AD476),"")</f>
        <v/>
      </c>
    </row>
    <row r="476" customFormat="false" ht="13.5" hidden="false" customHeight="false" outlineLevel="0" collapsed="false">
      <c r="A476" s="109" t="n">
        <v>476</v>
      </c>
      <c r="B476" s="110" t="str">
        <f aca="false">IFERROR(IF([2]对账明细接口!$B$476=0,"",[2]对账明细接口!$B$476),"")</f>
        <v/>
      </c>
      <c r="C476" s="59" t="str">
        <f aca="false">IFERROR(IF([2]对账明细接口!$C$476=0,"",[2]对账明细接口!$C$476),"")</f>
        <v/>
      </c>
      <c r="D476" s="59" t="str">
        <f aca="false">IFERROR(IF([2]对账明细接口!$D$476=0,"",[2]对账明细接口!$D$476),"")</f>
        <v/>
      </c>
      <c r="E476" s="59" t="str">
        <f aca="false">IFERROR(IF([2]对账明细接口!$E$476=0,"",[2]对账明细接口!$E$476),"")</f>
        <v/>
      </c>
      <c r="F476" s="59" t="str">
        <f aca="false">IFERROR(IF([2]对账明细接口!$F$476=0,"",[2]对账明细接口!$F$476),"")</f>
        <v/>
      </c>
      <c r="G476" s="59" t="str">
        <f aca="false">IFERROR(IF([2]对账明细接口!$G$476=0,"",[2]对账明细接口!$G$476),"")</f>
        <v/>
      </c>
      <c r="H476" s="60" t="str">
        <f aca="false">IFERROR(IF([2]对账明细接口!$H$476=0,"",[2]对账明细接口!$H$476),"")</f>
        <v/>
      </c>
      <c r="I476" s="59" t="str">
        <f aca="false">IFERROR(IF([2]对账明细接口!$I$476=0,"",[2]对账明细接口!$I$476),"")</f>
        <v/>
      </c>
      <c r="J476" s="61" t="str">
        <f aca="false">IFERROR(IF([2]对账明细接口!$J$476=0,"",[2]对账明细接口!$J$476),"")</f>
        <v/>
      </c>
      <c r="K476" s="61" t="str">
        <f aca="false">IFERROR(IF([2]对账明细接口!$K$476=0,"",[2]对账明细接口!$K$476),"")</f>
        <v/>
      </c>
      <c r="L476" s="59" t="str">
        <f aca="false">IFERROR(IF([2]对账明细接口!$L$476=0,"",[2]对账明细接口!$L$476),"")</f>
        <v/>
      </c>
      <c r="M476" s="59" t="str">
        <f aca="false">IFERROR(IF([2]对账明细接口!$M$476=0,"",[2]对账明细接口!$M$476),"")</f>
        <v/>
      </c>
      <c r="N476" s="111" t="n">
        <f aca="false">IF($C476="",0,1)</f>
        <v>0</v>
      </c>
      <c r="O476" s="111" t="n">
        <f aca="false">N(O475)+$N476</f>
        <v>311</v>
      </c>
      <c r="S476" s="10" t="str">
        <f aca="false">IFERROR(IF([2]对账明细接口!$N476=0,"",[2]对账明细接口!$N476),"")</f>
        <v/>
      </c>
      <c r="T476" s="112" t="str">
        <f aca="false">IFERROR(IF([2]对账明细接口!$O476=0,"",[2]对账明细接口!$O476),"")</f>
        <v/>
      </c>
      <c r="U476" s="112" t="str">
        <f aca="false">IFERROR(IF([2]对账明细接口!$P476=0,"",[2]对账明细接口!$P476),"")</f>
        <v/>
      </c>
      <c r="V476" s="112" t="str">
        <f aca="false">IFERROR(IF([2]对账明细接口!$Q476=0,"",[2]对账明细接口!$Q476),"")</f>
        <v/>
      </c>
      <c r="W476" s="10" t="str">
        <f aca="false">IFERROR(IF([2]对账明细接口!$R476=0,"",[2]对账明细接口!$R476),"")</f>
        <v/>
      </c>
      <c r="X476" s="10" t="str">
        <f aca="false">IFERROR(IF([2]对账明细接口!$S476=0,"",[2]对账明细接口!$S476),"")</f>
        <v/>
      </c>
      <c r="Y476" s="10" t="str">
        <f aca="false">IFERROR(IF([2]对账明细接口!$T476=0,"",[2]对账明细接口!$T476),"")</f>
        <v/>
      </c>
      <c r="Z476" s="113" t="str">
        <f aca="false">IFERROR(IF([2]对账明细接口!$U476=0,"",[2]对账明细接口!$U476),"")</f>
        <v/>
      </c>
      <c r="AA476" s="113" t="str">
        <f aca="false">IFERROR(IF([2]对账明细接口!$V476=0,"",[2]对账明细接口!$V476),"")</f>
        <v/>
      </c>
      <c r="AB476" s="10" t="str">
        <f aca="false">IFERROR(IF([2]对账明细接口!$W476=0,"",[2]对账明细接口!$W476),"")</f>
        <v/>
      </c>
      <c r="AC476" s="90" t="str">
        <f aca="false">IFERROR(IF([2]对账明细接口!$X477=0,"",[2]对账明细接口!$X477),"")</f>
        <v/>
      </c>
      <c r="AD476" s="90" t="str">
        <f aca="false">IFERROR(IF([2]对账明细接口!$Y477=0,"",[2]对账明细接口!$Y477),"")</f>
        <v/>
      </c>
      <c r="AE476" s="90" t="str">
        <f aca="false">IFERROR(IF([2]对账明细接口!$AA477=0,"",[2]对账明细接口!$AA477),"")</f>
        <v/>
      </c>
      <c r="AF476" s="90" t="str">
        <f aca="false">IFERROR(IF([2]对账明细接口!$AB477=0,"",[2]对账明细接口!$AB477),"")</f>
        <v/>
      </c>
      <c r="AG476" s="90" t="str">
        <f aca="false">IFERROR(IF([2]对账明细接口!$AC477=0,"",[2]对账明细接口!$AC477),"")</f>
        <v/>
      </c>
      <c r="AH476" s="90" t="str">
        <f aca="false">IFERROR(IF([2]对账明细接口!$AD477=0,"",[2]对账明细接口!$AD477),"")</f>
        <v/>
      </c>
    </row>
    <row r="477" customFormat="false" ht="13.5" hidden="false" customHeight="false" outlineLevel="0" collapsed="false">
      <c r="A477" s="109" t="n">
        <v>477</v>
      </c>
      <c r="B477" s="110" t="str">
        <f aca="false">IFERROR(IF([2]对账明细接口!$B$477=0,"",[2]对账明细接口!$B$477),"")</f>
        <v/>
      </c>
      <c r="C477" s="59" t="str">
        <f aca="false">IFERROR(IF([2]对账明细接口!$C$477=0,"",[2]对账明细接口!$C$477),"")</f>
        <v/>
      </c>
      <c r="D477" s="59" t="str">
        <f aca="false">IFERROR(IF([2]对账明细接口!$D$477=0,"",[2]对账明细接口!$D$477),"")</f>
        <v/>
      </c>
      <c r="E477" s="59" t="str">
        <f aca="false">IFERROR(IF([2]对账明细接口!$E$477=0,"",[2]对账明细接口!$E$477),"")</f>
        <v/>
      </c>
      <c r="F477" s="59" t="str">
        <f aca="false">IFERROR(IF([2]对账明细接口!$F$477=0,"",[2]对账明细接口!$F$477),"")</f>
        <v/>
      </c>
      <c r="G477" s="59" t="str">
        <f aca="false">IFERROR(IF([2]对账明细接口!$G$477=0,"",[2]对账明细接口!$G$477),"")</f>
        <v/>
      </c>
      <c r="H477" s="60" t="str">
        <f aca="false">IFERROR(IF([2]对账明细接口!$H$477=0,"",[2]对账明细接口!$H$477),"")</f>
        <v/>
      </c>
      <c r="I477" s="59" t="str">
        <f aca="false">IFERROR(IF([2]对账明细接口!$I$477=0,"",[2]对账明细接口!$I$477),"")</f>
        <v/>
      </c>
      <c r="J477" s="61" t="str">
        <f aca="false">IFERROR(IF([2]对账明细接口!$J$477=0,"",[2]对账明细接口!$J$477),"")</f>
        <v/>
      </c>
      <c r="K477" s="61" t="str">
        <f aca="false">IFERROR(IF([2]对账明细接口!$K$477=0,"",[2]对账明细接口!$K$477),"")</f>
        <v/>
      </c>
      <c r="L477" s="59" t="str">
        <f aca="false">IFERROR(IF([2]对账明细接口!$L$477=0,"",[2]对账明细接口!$L$477),"")</f>
        <v/>
      </c>
      <c r="M477" s="59" t="str">
        <f aca="false">IFERROR(IF([2]对账明细接口!$M$477=0,"",[2]对账明细接口!$M$477),"")</f>
        <v/>
      </c>
      <c r="N477" s="111" t="n">
        <f aca="false">IF($C477="",0,1)</f>
        <v>0</v>
      </c>
      <c r="O477" s="111" t="n">
        <f aca="false">N(O476)+$N477</f>
        <v>311</v>
      </c>
      <c r="S477" s="10" t="str">
        <f aca="false">IFERROR(IF([2]对账明细接口!$N477=0,"",[2]对账明细接口!$N477),"")</f>
        <v/>
      </c>
      <c r="T477" s="112" t="str">
        <f aca="false">IFERROR(IF([2]对账明细接口!$O477=0,"",[2]对账明细接口!$O477),"")</f>
        <v/>
      </c>
      <c r="U477" s="112" t="str">
        <f aca="false">IFERROR(IF([2]对账明细接口!$P477=0,"",[2]对账明细接口!$P477),"")</f>
        <v/>
      </c>
      <c r="V477" s="112" t="str">
        <f aca="false">IFERROR(IF([2]对账明细接口!$Q477=0,"",[2]对账明细接口!$Q477),"")</f>
        <v/>
      </c>
      <c r="W477" s="10" t="str">
        <f aca="false">IFERROR(IF([2]对账明细接口!$R477=0,"",[2]对账明细接口!$R477),"")</f>
        <v/>
      </c>
      <c r="X477" s="10" t="str">
        <f aca="false">IFERROR(IF([2]对账明细接口!$S477=0,"",[2]对账明细接口!$S477),"")</f>
        <v/>
      </c>
      <c r="Y477" s="10" t="str">
        <f aca="false">IFERROR(IF([2]对账明细接口!$T477=0,"",[2]对账明细接口!$T477),"")</f>
        <v/>
      </c>
      <c r="Z477" s="113" t="str">
        <f aca="false">IFERROR(IF([2]对账明细接口!$U477=0,"",[2]对账明细接口!$U477),"")</f>
        <v/>
      </c>
      <c r="AA477" s="113" t="str">
        <f aca="false">IFERROR(IF([2]对账明细接口!$V477=0,"",[2]对账明细接口!$V477),"")</f>
        <v/>
      </c>
      <c r="AB477" s="10" t="str">
        <f aca="false">IFERROR(IF([2]对账明细接口!$W477=0,"",[2]对账明细接口!$W477),"")</f>
        <v/>
      </c>
      <c r="AC477" s="90" t="str">
        <f aca="false">IFERROR(IF([2]对账明细接口!$X478=0,"",[2]对账明细接口!$X478),"")</f>
        <v/>
      </c>
      <c r="AD477" s="90" t="str">
        <f aca="false">IFERROR(IF([2]对账明细接口!$Y478=0,"",[2]对账明细接口!$Y478),"")</f>
        <v/>
      </c>
      <c r="AE477" s="90" t="str">
        <f aca="false">IFERROR(IF([2]对账明细接口!$AA478=0,"",[2]对账明细接口!$AA478),"")</f>
        <v/>
      </c>
      <c r="AF477" s="90" t="str">
        <f aca="false">IFERROR(IF([2]对账明细接口!$AB478=0,"",[2]对账明细接口!$AB478),"")</f>
        <v/>
      </c>
      <c r="AG477" s="90" t="str">
        <f aca="false">IFERROR(IF([2]对账明细接口!$AC478=0,"",[2]对账明细接口!$AC478),"")</f>
        <v/>
      </c>
      <c r="AH477" s="90" t="str">
        <f aca="false">IFERROR(IF([2]对账明细接口!$AD478=0,"",[2]对账明细接口!$AD478),"")</f>
        <v/>
      </c>
    </row>
    <row r="478" customFormat="false" ht="13.5" hidden="false" customHeight="false" outlineLevel="0" collapsed="false">
      <c r="A478" s="109" t="n">
        <v>478</v>
      </c>
      <c r="B478" s="110" t="str">
        <f aca="false">IFERROR(IF([2]对账明细接口!$B$478=0,"",[2]对账明细接口!$B$478),"")</f>
        <v/>
      </c>
      <c r="C478" s="59" t="str">
        <f aca="false">IFERROR(IF([2]对账明细接口!$C$478=0,"",[2]对账明细接口!$C$478),"")</f>
        <v/>
      </c>
      <c r="D478" s="59" t="str">
        <f aca="false">IFERROR(IF([2]对账明细接口!$D$478=0,"",[2]对账明细接口!$D$478),"")</f>
        <v/>
      </c>
      <c r="E478" s="59" t="str">
        <f aca="false">IFERROR(IF([2]对账明细接口!$E$478=0,"",[2]对账明细接口!$E$478),"")</f>
        <v/>
      </c>
      <c r="F478" s="59" t="str">
        <f aca="false">IFERROR(IF([2]对账明细接口!$F$478=0,"",[2]对账明细接口!$F$478),"")</f>
        <v/>
      </c>
      <c r="G478" s="59" t="str">
        <f aca="false">IFERROR(IF([2]对账明细接口!$G$478=0,"",[2]对账明细接口!$G$478),"")</f>
        <v/>
      </c>
      <c r="H478" s="60" t="str">
        <f aca="false">IFERROR(IF([2]对账明细接口!$H$478=0,"",[2]对账明细接口!$H$478),"")</f>
        <v/>
      </c>
      <c r="I478" s="59" t="str">
        <f aca="false">IFERROR(IF([2]对账明细接口!$I$478=0,"",[2]对账明细接口!$I$478),"")</f>
        <v/>
      </c>
      <c r="J478" s="61" t="str">
        <f aca="false">IFERROR(IF([2]对账明细接口!$J$478=0,"",[2]对账明细接口!$J$478),"")</f>
        <v/>
      </c>
      <c r="K478" s="61" t="str">
        <f aca="false">IFERROR(IF([2]对账明细接口!$K$478=0,"",[2]对账明细接口!$K$478),"")</f>
        <v/>
      </c>
      <c r="L478" s="59" t="str">
        <f aca="false">IFERROR(IF([2]对账明细接口!$L$478=0,"",[2]对账明细接口!$L$478),"")</f>
        <v/>
      </c>
      <c r="M478" s="59" t="str">
        <f aca="false">IFERROR(IF([2]对账明细接口!$M$478=0,"",[2]对账明细接口!$M$478),"")</f>
        <v/>
      </c>
      <c r="N478" s="111" t="n">
        <f aca="false">IF($C478="",0,1)</f>
        <v>0</v>
      </c>
      <c r="O478" s="111" t="n">
        <f aca="false">N(O477)+$N478</f>
        <v>311</v>
      </c>
      <c r="S478" s="10" t="str">
        <f aca="false">IFERROR(IF([2]对账明细接口!$N478=0,"",[2]对账明细接口!$N478),"")</f>
        <v/>
      </c>
      <c r="T478" s="112" t="str">
        <f aca="false">IFERROR(IF([2]对账明细接口!$O478=0,"",[2]对账明细接口!$O478),"")</f>
        <v/>
      </c>
      <c r="U478" s="112" t="str">
        <f aca="false">IFERROR(IF([2]对账明细接口!$P478=0,"",[2]对账明细接口!$P478),"")</f>
        <v/>
      </c>
      <c r="V478" s="112" t="str">
        <f aca="false">IFERROR(IF([2]对账明细接口!$Q478=0,"",[2]对账明细接口!$Q478),"")</f>
        <v/>
      </c>
      <c r="W478" s="10" t="str">
        <f aca="false">IFERROR(IF([2]对账明细接口!$R478=0,"",[2]对账明细接口!$R478),"")</f>
        <v/>
      </c>
      <c r="X478" s="10" t="str">
        <f aca="false">IFERROR(IF([2]对账明细接口!$S478=0,"",[2]对账明细接口!$S478),"")</f>
        <v/>
      </c>
      <c r="Y478" s="10" t="str">
        <f aca="false">IFERROR(IF([2]对账明细接口!$T478=0,"",[2]对账明细接口!$T478),"")</f>
        <v/>
      </c>
      <c r="Z478" s="113" t="str">
        <f aca="false">IFERROR(IF([2]对账明细接口!$U478=0,"",[2]对账明细接口!$U478),"")</f>
        <v/>
      </c>
      <c r="AA478" s="113" t="str">
        <f aca="false">IFERROR(IF([2]对账明细接口!$V478=0,"",[2]对账明细接口!$V478),"")</f>
        <v/>
      </c>
      <c r="AB478" s="10" t="str">
        <f aca="false">IFERROR(IF([2]对账明细接口!$W478=0,"",[2]对账明细接口!$W478),"")</f>
        <v/>
      </c>
      <c r="AC478" s="90" t="str">
        <f aca="false">IFERROR(IF([2]对账明细接口!$X479=0,"",[2]对账明细接口!$X479),"")</f>
        <v/>
      </c>
      <c r="AD478" s="90" t="str">
        <f aca="false">IFERROR(IF([2]对账明细接口!$Y479=0,"",[2]对账明细接口!$Y479),"")</f>
        <v/>
      </c>
      <c r="AE478" s="90" t="str">
        <f aca="false">IFERROR(IF([2]对账明细接口!$AA479=0,"",[2]对账明细接口!$AA479),"")</f>
        <v/>
      </c>
      <c r="AF478" s="90" t="str">
        <f aca="false">IFERROR(IF([2]对账明细接口!$AB479=0,"",[2]对账明细接口!$AB479),"")</f>
        <v/>
      </c>
      <c r="AG478" s="90" t="str">
        <f aca="false">IFERROR(IF([2]对账明细接口!$AC479=0,"",[2]对账明细接口!$AC479),"")</f>
        <v/>
      </c>
      <c r="AH478" s="90" t="str">
        <f aca="false">IFERROR(IF([2]对账明细接口!$AD479=0,"",[2]对账明细接口!$AD479),"")</f>
        <v/>
      </c>
    </row>
    <row r="479" customFormat="false" ht="13.5" hidden="false" customHeight="false" outlineLevel="0" collapsed="false">
      <c r="A479" s="109" t="n">
        <v>479</v>
      </c>
      <c r="B479" s="110" t="str">
        <f aca="false">IFERROR(IF([2]对账明细接口!$B$479=0,"",[2]对账明细接口!$B$479),"")</f>
        <v/>
      </c>
      <c r="C479" s="59" t="str">
        <f aca="false">IFERROR(IF([2]对账明细接口!$C$479=0,"",[2]对账明细接口!$C$479),"")</f>
        <v/>
      </c>
      <c r="D479" s="59" t="str">
        <f aca="false">IFERROR(IF([2]对账明细接口!$D$479=0,"",[2]对账明细接口!$D$479),"")</f>
        <v/>
      </c>
      <c r="E479" s="59" t="str">
        <f aca="false">IFERROR(IF([2]对账明细接口!$E$479=0,"",[2]对账明细接口!$E$479),"")</f>
        <v/>
      </c>
      <c r="F479" s="59" t="str">
        <f aca="false">IFERROR(IF([2]对账明细接口!$F$479=0,"",[2]对账明细接口!$F$479),"")</f>
        <v/>
      </c>
      <c r="G479" s="59" t="str">
        <f aca="false">IFERROR(IF([2]对账明细接口!$G$479=0,"",[2]对账明细接口!$G$479),"")</f>
        <v/>
      </c>
      <c r="H479" s="60" t="str">
        <f aca="false">IFERROR(IF([2]对账明细接口!$H$479=0,"",[2]对账明细接口!$H$479),"")</f>
        <v/>
      </c>
      <c r="I479" s="59" t="str">
        <f aca="false">IFERROR(IF([2]对账明细接口!$I$479=0,"",[2]对账明细接口!$I$479),"")</f>
        <v/>
      </c>
      <c r="J479" s="61" t="str">
        <f aca="false">IFERROR(IF([2]对账明细接口!$J$479=0,"",[2]对账明细接口!$J$479),"")</f>
        <v/>
      </c>
      <c r="K479" s="61" t="str">
        <f aca="false">IFERROR(IF([2]对账明细接口!$K$479=0,"",[2]对账明细接口!$K$479),"")</f>
        <v/>
      </c>
      <c r="L479" s="59" t="str">
        <f aca="false">IFERROR(IF([2]对账明细接口!$L$479=0,"",[2]对账明细接口!$L$479),"")</f>
        <v/>
      </c>
      <c r="M479" s="59" t="str">
        <f aca="false">IFERROR(IF([2]对账明细接口!$M$479=0,"",[2]对账明细接口!$M$479),"")</f>
        <v/>
      </c>
      <c r="N479" s="111" t="n">
        <f aca="false">IF($C479="",0,1)</f>
        <v>0</v>
      </c>
      <c r="O479" s="111" t="n">
        <f aca="false">N(O478)+$N479</f>
        <v>311</v>
      </c>
      <c r="S479" s="10" t="str">
        <f aca="false">IFERROR(IF([2]对账明细接口!$N479=0,"",[2]对账明细接口!$N479),"")</f>
        <v/>
      </c>
      <c r="T479" s="112" t="str">
        <f aca="false">IFERROR(IF([2]对账明细接口!$O479=0,"",[2]对账明细接口!$O479),"")</f>
        <v/>
      </c>
      <c r="U479" s="112" t="str">
        <f aca="false">IFERROR(IF([2]对账明细接口!$P479=0,"",[2]对账明细接口!$P479),"")</f>
        <v/>
      </c>
      <c r="V479" s="112" t="str">
        <f aca="false">IFERROR(IF([2]对账明细接口!$Q479=0,"",[2]对账明细接口!$Q479),"")</f>
        <v/>
      </c>
      <c r="W479" s="10" t="str">
        <f aca="false">IFERROR(IF([2]对账明细接口!$R479=0,"",[2]对账明细接口!$R479),"")</f>
        <v/>
      </c>
      <c r="X479" s="10" t="str">
        <f aca="false">IFERROR(IF([2]对账明细接口!$S479=0,"",[2]对账明细接口!$S479),"")</f>
        <v/>
      </c>
      <c r="Y479" s="10" t="str">
        <f aca="false">IFERROR(IF([2]对账明细接口!$T479=0,"",[2]对账明细接口!$T479),"")</f>
        <v/>
      </c>
      <c r="Z479" s="113" t="str">
        <f aca="false">IFERROR(IF([2]对账明细接口!$U479=0,"",[2]对账明细接口!$U479),"")</f>
        <v/>
      </c>
      <c r="AA479" s="113" t="str">
        <f aca="false">IFERROR(IF([2]对账明细接口!$V479=0,"",[2]对账明细接口!$V479),"")</f>
        <v/>
      </c>
      <c r="AB479" s="10" t="str">
        <f aca="false">IFERROR(IF([2]对账明细接口!$W479=0,"",[2]对账明细接口!$W479),"")</f>
        <v/>
      </c>
      <c r="AC479" s="90" t="str">
        <f aca="false">IFERROR(IF([2]对账明细接口!$X480=0,"",[2]对账明细接口!$X480),"")</f>
        <v/>
      </c>
      <c r="AD479" s="90" t="str">
        <f aca="false">IFERROR(IF([2]对账明细接口!$Y480=0,"",[2]对账明细接口!$Y480),"")</f>
        <v/>
      </c>
      <c r="AE479" s="90" t="str">
        <f aca="false">IFERROR(IF([2]对账明细接口!$AA480=0,"",[2]对账明细接口!$AA480),"")</f>
        <v/>
      </c>
      <c r="AF479" s="90" t="str">
        <f aca="false">IFERROR(IF([2]对账明细接口!$AB480=0,"",[2]对账明细接口!$AB480),"")</f>
        <v/>
      </c>
      <c r="AG479" s="90" t="str">
        <f aca="false">IFERROR(IF([2]对账明细接口!$AC480=0,"",[2]对账明细接口!$AC480),"")</f>
        <v/>
      </c>
      <c r="AH479" s="90" t="str">
        <f aca="false">IFERROR(IF([2]对账明细接口!$AD480=0,"",[2]对账明细接口!$AD480),"")</f>
        <v/>
      </c>
    </row>
    <row r="480" customFormat="false" ht="13.5" hidden="false" customHeight="false" outlineLevel="0" collapsed="false">
      <c r="A480" s="109" t="n">
        <v>480</v>
      </c>
      <c r="B480" s="110" t="str">
        <f aca="false">IFERROR(IF([2]对账明细接口!$B$480=0,"",[2]对账明细接口!$B$480),"")</f>
        <v/>
      </c>
      <c r="C480" s="59" t="str">
        <f aca="false">IFERROR(IF([2]对账明细接口!$C$480=0,"",[2]对账明细接口!$C$480),"")</f>
        <v/>
      </c>
      <c r="D480" s="59" t="str">
        <f aca="false">IFERROR(IF([2]对账明细接口!$D$480=0,"",[2]对账明细接口!$D$480),"")</f>
        <v/>
      </c>
      <c r="E480" s="59" t="str">
        <f aca="false">IFERROR(IF([2]对账明细接口!$E$480=0,"",[2]对账明细接口!$E$480),"")</f>
        <v/>
      </c>
      <c r="F480" s="59" t="str">
        <f aca="false">IFERROR(IF([2]对账明细接口!$F$480=0,"",[2]对账明细接口!$F$480),"")</f>
        <v/>
      </c>
      <c r="G480" s="59" t="str">
        <f aca="false">IFERROR(IF([2]对账明细接口!$G$480=0,"",[2]对账明细接口!$G$480),"")</f>
        <v/>
      </c>
      <c r="H480" s="60" t="str">
        <f aca="false">IFERROR(IF([2]对账明细接口!$H$480=0,"",[2]对账明细接口!$H$480),"")</f>
        <v/>
      </c>
      <c r="I480" s="59" t="str">
        <f aca="false">IFERROR(IF([2]对账明细接口!$I$480=0,"",[2]对账明细接口!$I$480),"")</f>
        <v/>
      </c>
      <c r="J480" s="61" t="str">
        <f aca="false">IFERROR(IF([2]对账明细接口!$J$480=0,"",[2]对账明细接口!$J$480),"")</f>
        <v/>
      </c>
      <c r="K480" s="61" t="str">
        <f aca="false">IFERROR(IF([2]对账明细接口!$K$480=0,"",[2]对账明细接口!$K$480),"")</f>
        <v/>
      </c>
      <c r="L480" s="59" t="str">
        <f aca="false">IFERROR(IF([2]对账明细接口!$L$480=0,"",[2]对账明细接口!$L$480),"")</f>
        <v/>
      </c>
      <c r="M480" s="59" t="str">
        <f aca="false">IFERROR(IF([2]对账明细接口!$M$480=0,"",[2]对账明细接口!$M$480),"")</f>
        <v/>
      </c>
      <c r="N480" s="111" t="n">
        <f aca="false">IF($C480="",0,1)</f>
        <v>0</v>
      </c>
      <c r="O480" s="111" t="n">
        <f aca="false">N(O479)+$N480</f>
        <v>311</v>
      </c>
      <c r="S480" s="10" t="str">
        <f aca="false">IFERROR(IF([2]对账明细接口!$N480=0,"",[2]对账明细接口!$N480),"")</f>
        <v/>
      </c>
      <c r="T480" s="112" t="str">
        <f aca="false">IFERROR(IF([2]对账明细接口!$O480=0,"",[2]对账明细接口!$O480),"")</f>
        <v/>
      </c>
      <c r="U480" s="112" t="str">
        <f aca="false">IFERROR(IF([2]对账明细接口!$P480=0,"",[2]对账明细接口!$P480),"")</f>
        <v/>
      </c>
      <c r="V480" s="112" t="str">
        <f aca="false">IFERROR(IF([2]对账明细接口!$Q480=0,"",[2]对账明细接口!$Q480),"")</f>
        <v/>
      </c>
      <c r="W480" s="10" t="str">
        <f aca="false">IFERROR(IF([2]对账明细接口!$R480=0,"",[2]对账明细接口!$R480),"")</f>
        <v/>
      </c>
      <c r="X480" s="10" t="str">
        <f aca="false">IFERROR(IF([2]对账明细接口!$S480=0,"",[2]对账明细接口!$S480),"")</f>
        <v/>
      </c>
      <c r="Y480" s="10" t="str">
        <f aca="false">IFERROR(IF([2]对账明细接口!$T480=0,"",[2]对账明细接口!$T480),"")</f>
        <v/>
      </c>
      <c r="Z480" s="113" t="str">
        <f aca="false">IFERROR(IF([2]对账明细接口!$U480=0,"",[2]对账明细接口!$U480),"")</f>
        <v/>
      </c>
      <c r="AA480" s="113" t="str">
        <f aca="false">IFERROR(IF([2]对账明细接口!$V480=0,"",[2]对账明细接口!$V480),"")</f>
        <v/>
      </c>
      <c r="AB480" s="10" t="str">
        <f aca="false">IFERROR(IF([2]对账明细接口!$W480=0,"",[2]对账明细接口!$W480),"")</f>
        <v/>
      </c>
      <c r="AC480" s="90" t="str">
        <f aca="false">IFERROR(IF([2]对账明细接口!$X481=0,"",[2]对账明细接口!$X481),"")</f>
        <v/>
      </c>
      <c r="AD480" s="90" t="str">
        <f aca="false">IFERROR(IF([2]对账明细接口!$Y481=0,"",[2]对账明细接口!$Y481),"")</f>
        <v/>
      </c>
      <c r="AE480" s="90" t="str">
        <f aca="false">IFERROR(IF([2]对账明细接口!$AA481=0,"",[2]对账明细接口!$AA481),"")</f>
        <v/>
      </c>
      <c r="AF480" s="90" t="str">
        <f aca="false">IFERROR(IF([2]对账明细接口!$AB481=0,"",[2]对账明细接口!$AB481),"")</f>
        <v/>
      </c>
      <c r="AG480" s="90" t="str">
        <f aca="false">IFERROR(IF([2]对账明细接口!$AC481=0,"",[2]对账明细接口!$AC481),"")</f>
        <v/>
      </c>
      <c r="AH480" s="90" t="str">
        <f aca="false">IFERROR(IF([2]对账明细接口!$AD481=0,"",[2]对账明细接口!$AD481),"")</f>
        <v/>
      </c>
    </row>
    <row r="481" customFormat="false" ht="13.5" hidden="false" customHeight="false" outlineLevel="0" collapsed="false">
      <c r="A481" s="109" t="n">
        <v>481</v>
      </c>
      <c r="B481" s="110" t="str">
        <f aca="false">IFERROR(IF([2]对账明细接口!$B$481=0,"",[2]对账明细接口!$B$481),"")</f>
        <v/>
      </c>
      <c r="C481" s="59" t="str">
        <f aca="false">IFERROR(IF([2]对账明细接口!$C$481=0,"",[2]对账明细接口!$C$481),"")</f>
        <v/>
      </c>
      <c r="D481" s="59" t="str">
        <f aca="false">IFERROR(IF([2]对账明细接口!$D$481=0,"",[2]对账明细接口!$D$481),"")</f>
        <v/>
      </c>
      <c r="E481" s="59" t="str">
        <f aca="false">IFERROR(IF([2]对账明细接口!$E$481=0,"",[2]对账明细接口!$E$481),"")</f>
        <v/>
      </c>
      <c r="F481" s="59" t="str">
        <f aca="false">IFERROR(IF([2]对账明细接口!$F$481=0,"",[2]对账明细接口!$F$481),"")</f>
        <v/>
      </c>
      <c r="G481" s="59" t="str">
        <f aca="false">IFERROR(IF([2]对账明细接口!$G$481=0,"",[2]对账明细接口!$G$481),"")</f>
        <v/>
      </c>
      <c r="H481" s="60" t="str">
        <f aca="false">IFERROR(IF([2]对账明细接口!$H$481=0,"",[2]对账明细接口!$H$481),"")</f>
        <v/>
      </c>
      <c r="I481" s="59" t="str">
        <f aca="false">IFERROR(IF([2]对账明细接口!$I$481=0,"",[2]对账明细接口!$I$481),"")</f>
        <v/>
      </c>
      <c r="J481" s="61" t="str">
        <f aca="false">IFERROR(IF([2]对账明细接口!$J$481=0,"",[2]对账明细接口!$J$481),"")</f>
        <v/>
      </c>
      <c r="K481" s="61" t="str">
        <f aca="false">IFERROR(IF([2]对账明细接口!$K$481=0,"",[2]对账明细接口!$K$481),"")</f>
        <v/>
      </c>
      <c r="L481" s="59" t="str">
        <f aca="false">IFERROR(IF([2]对账明细接口!$L$481=0,"",[2]对账明细接口!$L$481),"")</f>
        <v/>
      </c>
      <c r="M481" s="59" t="str">
        <f aca="false">IFERROR(IF([2]对账明细接口!$M$481=0,"",[2]对账明细接口!$M$481),"")</f>
        <v/>
      </c>
      <c r="N481" s="111" t="n">
        <f aca="false">IF($C481="",0,1)</f>
        <v>0</v>
      </c>
      <c r="O481" s="111" t="n">
        <f aca="false">N(O480)+$N481</f>
        <v>311</v>
      </c>
      <c r="S481" s="10" t="str">
        <f aca="false">IFERROR(IF([2]对账明细接口!$N481=0,"",[2]对账明细接口!$N481),"")</f>
        <v/>
      </c>
      <c r="T481" s="112" t="str">
        <f aca="false">IFERROR(IF([2]对账明细接口!$O481=0,"",[2]对账明细接口!$O481),"")</f>
        <v/>
      </c>
      <c r="U481" s="112" t="str">
        <f aca="false">IFERROR(IF([2]对账明细接口!$P481=0,"",[2]对账明细接口!$P481),"")</f>
        <v/>
      </c>
      <c r="V481" s="112" t="str">
        <f aca="false">IFERROR(IF([2]对账明细接口!$Q481=0,"",[2]对账明细接口!$Q481),"")</f>
        <v/>
      </c>
      <c r="W481" s="10" t="str">
        <f aca="false">IFERROR(IF([2]对账明细接口!$R481=0,"",[2]对账明细接口!$R481),"")</f>
        <v/>
      </c>
      <c r="X481" s="10" t="str">
        <f aca="false">IFERROR(IF([2]对账明细接口!$S481=0,"",[2]对账明细接口!$S481),"")</f>
        <v/>
      </c>
      <c r="Y481" s="10" t="str">
        <f aca="false">IFERROR(IF([2]对账明细接口!$T481=0,"",[2]对账明细接口!$T481),"")</f>
        <v/>
      </c>
      <c r="Z481" s="113" t="str">
        <f aca="false">IFERROR(IF([2]对账明细接口!$U481=0,"",[2]对账明细接口!$U481),"")</f>
        <v/>
      </c>
      <c r="AA481" s="113" t="str">
        <f aca="false">IFERROR(IF([2]对账明细接口!$V481=0,"",[2]对账明细接口!$V481),"")</f>
        <v/>
      </c>
      <c r="AB481" s="10" t="str">
        <f aca="false">IFERROR(IF([2]对账明细接口!$W481=0,"",[2]对账明细接口!$W481),"")</f>
        <v/>
      </c>
      <c r="AC481" s="90" t="str">
        <f aca="false">IFERROR(IF([2]对账明细接口!$X482=0,"",[2]对账明细接口!$X482),"")</f>
        <v/>
      </c>
      <c r="AD481" s="90" t="str">
        <f aca="false">IFERROR(IF([2]对账明细接口!$Y482=0,"",[2]对账明细接口!$Y482),"")</f>
        <v/>
      </c>
      <c r="AE481" s="90" t="str">
        <f aca="false">IFERROR(IF([2]对账明细接口!$AA482=0,"",[2]对账明细接口!$AA482),"")</f>
        <v/>
      </c>
      <c r="AF481" s="90" t="str">
        <f aca="false">IFERROR(IF([2]对账明细接口!$AB482=0,"",[2]对账明细接口!$AB482),"")</f>
        <v/>
      </c>
      <c r="AG481" s="90" t="str">
        <f aca="false">IFERROR(IF([2]对账明细接口!$AC482=0,"",[2]对账明细接口!$AC482),"")</f>
        <v/>
      </c>
      <c r="AH481" s="90" t="str">
        <f aca="false">IFERROR(IF([2]对账明细接口!$AD482=0,"",[2]对账明细接口!$AD482),"")</f>
        <v/>
      </c>
    </row>
    <row r="482" customFormat="false" ht="13.5" hidden="false" customHeight="false" outlineLevel="0" collapsed="false">
      <c r="A482" s="109" t="n">
        <v>482</v>
      </c>
      <c r="B482" s="110" t="str">
        <f aca="false">IFERROR(IF([2]对账明细接口!$B$482=0,"",[2]对账明细接口!$B$482),"")</f>
        <v/>
      </c>
      <c r="C482" s="59" t="str">
        <f aca="false">IFERROR(IF([2]对账明细接口!$C$482=0,"",[2]对账明细接口!$C$482),"")</f>
        <v/>
      </c>
      <c r="D482" s="59" t="str">
        <f aca="false">IFERROR(IF([2]对账明细接口!$D$482=0,"",[2]对账明细接口!$D$482),"")</f>
        <v/>
      </c>
      <c r="E482" s="59" t="str">
        <f aca="false">IFERROR(IF([2]对账明细接口!$E$482=0,"",[2]对账明细接口!$E$482),"")</f>
        <v/>
      </c>
      <c r="F482" s="59" t="str">
        <f aca="false">IFERROR(IF([2]对账明细接口!$F$482=0,"",[2]对账明细接口!$F$482),"")</f>
        <v/>
      </c>
      <c r="G482" s="59" t="str">
        <f aca="false">IFERROR(IF([2]对账明细接口!$G$482=0,"",[2]对账明细接口!$G$482),"")</f>
        <v/>
      </c>
      <c r="H482" s="60" t="str">
        <f aca="false">IFERROR(IF([2]对账明细接口!$H$482=0,"",[2]对账明细接口!$H$482),"")</f>
        <v/>
      </c>
      <c r="I482" s="59" t="str">
        <f aca="false">IFERROR(IF([2]对账明细接口!$I$482=0,"",[2]对账明细接口!$I$482),"")</f>
        <v/>
      </c>
      <c r="J482" s="61" t="str">
        <f aca="false">IFERROR(IF([2]对账明细接口!$J$482=0,"",[2]对账明细接口!$J$482),"")</f>
        <v/>
      </c>
      <c r="K482" s="61" t="str">
        <f aca="false">IFERROR(IF([2]对账明细接口!$K$482=0,"",[2]对账明细接口!$K$482),"")</f>
        <v/>
      </c>
      <c r="L482" s="59" t="str">
        <f aca="false">IFERROR(IF([2]对账明细接口!$L$482=0,"",[2]对账明细接口!$L$482),"")</f>
        <v/>
      </c>
      <c r="M482" s="59" t="str">
        <f aca="false">IFERROR(IF([2]对账明细接口!$M$482=0,"",[2]对账明细接口!$M$482),"")</f>
        <v/>
      </c>
      <c r="N482" s="111" t="n">
        <f aca="false">IF($C482="",0,1)</f>
        <v>0</v>
      </c>
      <c r="O482" s="111" t="n">
        <f aca="false">N(O481)+$N482</f>
        <v>311</v>
      </c>
      <c r="S482" s="10" t="str">
        <f aca="false">IFERROR(IF([2]对账明细接口!$N482=0,"",[2]对账明细接口!$N482),"")</f>
        <v/>
      </c>
      <c r="T482" s="112" t="str">
        <f aca="false">IFERROR(IF([2]对账明细接口!$O482=0,"",[2]对账明细接口!$O482),"")</f>
        <v/>
      </c>
      <c r="U482" s="112" t="str">
        <f aca="false">IFERROR(IF([2]对账明细接口!$P482=0,"",[2]对账明细接口!$P482),"")</f>
        <v/>
      </c>
      <c r="V482" s="112" t="str">
        <f aca="false">IFERROR(IF([2]对账明细接口!$Q482=0,"",[2]对账明细接口!$Q482),"")</f>
        <v/>
      </c>
      <c r="W482" s="10" t="str">
        <f aca="false">IFERROR(IF([2]对账明细接口!$R482=0,"",[2]对账明细接口!$R482),"")</f>
        <v/>
      </c>
      <c r="X482" s="10" t="str">
        <f aca="false">IFERROR(IF([2]对账明细接口!$S482=0,"",[2]对账明细接口!$S482),"")</f>
        <v/>
      </c>
      <c r="Y482" s="10" t="str">
        <f aca="false">IFERROR(IF([2]对账明细接口!$T482=0,"",[2]对账明细接口!$T482),"")</f>
        <v/>
      </c>
      <c r="Z482" s="113" t="str">
        <f aca="false">IFERROR(IF([2]对账明细接口!$U482=0,"",[2]对账明细接口!$U482),"")</f>
        <v/>
      </c>
      <c r="AA482" s="113" t="str">
        <f aca="false">IFERROR(IF([2]对账明细接口!$V482=0,"",[2]对账明细接口!$V482),"")</f>
        <v/>
      </c>
      <c r="AB482" s="10" t="str">
        <f aca="false">IFERROR(IF([2]对账明细接口!$W482=0,"",[2]对账明细接口!$W482),"")</f>
        <v/>
      </c>
      <c r="AC482" s="90" t="str">
        <f aca="false">IFERROR(IF([2]对账明细接口!$X483=0,"",[2]对账明细接口!$X483),"")</f>
        <v/>
      </c>
      <c r="AD482" s="90" t="str">
        <f aca="false">IFERROR(IF([2]对账明细接口!$Y483=0,"",[2]对账明细接口!$Y483),"")</f>
        <v/>
      </c>
      <c r="AE482" s="90" t="str">
        <f aca="false">IFERROR(IF([2]对账明细接口!$AA483=0,"",[2]对账明细接口!$AA483),"")</f>
        <v/>
      </c>
      <c r="AF482" s="90" t="str">
        <f aca="false">IFERROR(IF([2]对账明细接口!$AB483=0,"",[2]对账明细接口!$AB483),"")</f>
        <v/>
      </c>
      <c r="AG482" s="90" t="str">
        <f aca="false">IFERROR(IF([2]对账明细接口!$AC483=0,"",[2]对账明细接口!$AC483),"")</f>
        <v/>
      </c>
      <c r="AH482" s="90" t="str">
        <f aca="false">IFERROR(IF([2]对账明细接口!$AD483=0,"",[2]对账明细接口!$AD483),"")</f>
        <v/>
      </c>
    </row>
    <row r="483" customFormat="false" ht="13.5" hidden="false" customHeight="false" outlineLevel="0" collapsed="false">
      <c r="A483" s="109" t="n">
        <v>483</v>
      </c>
      <c r="B483" s="110" t="str">
        <f aca="false">IFERROR(IF([2]对账明细接口!$B$483=0,"",[2]对账明细接口!$B$483),"")</f>
        <v/>
      </c>
      <c r="C483" s="59" t="str">
        <f aca="false">IFERROR(IF([2]对账明细接口!$C$483=0,"",[2]对账明细接口!$C$483),"")</f>
        <v/>
      </c>
      <c r="D483" s="59" t="str">
        <f aca="false">IFERROR(IF([2]对账明细接口!$D$483=0,"",[2]对账明细接口!$D$483),"")</f>
        <v/>
      </c>
      <c r="E483" s="59" t="str">
        <f aca="false">IFERROR(IF([2]对账明细接口!$E$483=0,"",[2]对账明细接口!$E$483),"")</f>
        <v/>
      </c>
      <c r="F483" s="59" t="str">
        <f aca="false">IFERROR(IF([2]对账明细接口!$F$483=0,"",[2]对账明细接口!$F$483),"")</f>
        <v/>
      </c>
      <c r="G483" s="59" t="str">
        <f aca="false">IFERROR(IF([2]对账明细接口!$G$483=0,"",[2]对账明细接口!$G$483),"")</f>
        <v/>
      </c>
      <c r="H483" s="60" t="str">
        <f aca="false">IFERROR(IF([2]对账明细接口!$H$483=0,"",[2]对账明细接口!$H$483),"")</f>
        <v/>
      </c>
      <c r="I483" s="59" t="str">
        <f aca="false">IFERROR(IF([2]对账明细接口!$I$483=0,"",[2]对账明细接口!$I$483),"")</f>
        <v/>
      </c>
      <c r="J483" s="61" t="str">
        <f aca="false">IFERROR(IF([2]对账明细接口!$J$483=0,"",[2]对账明细接口!$J$483),"")</f>
        <v/>
      </c>
      <c r="K483" s="61" t="str">
        <f aca="false">IFERROR(IF([2]对账明细接口!$K$483=0,"",[2]对账明细接口!$K$483),"")</f>
        <v/>
      </c>
      <c r="L483" s="59" t="str">
        <f aca="false">IFERROR(IF([2]对账明细接口!$L$483=0,"",[2]对账明细接口!$L$483),"")</f>
        <v/>
      </c>
      <c r="M483" s="59" t="str">
        <f aca="false">IFERROR(IF([2]对账明细接口!$M$483=0,"",[2]对账明细接口!$M$483),"")</f>
        <v/>
      </c>
      <c r="N483" s="111" t="n">
        <f aca="false">IF($C483="",0,1)</f>
        <v>0</v>
      </c>
      <c r="O483" s="111" t="n">
        <f aca="false">N(O482)+$N483</f>
        <v>311</v>
      </c>
      <c r="S483" s="10" t="str">
        <f aca="false">IFERROR(IF([2]对账明细接口!$N483=0,"",[2]对账明细接口!$N483),"")</f>
        <v/>
      </c>
      <c r="T483" s="112" t="str">
        <f aca="false">IFERROR(IF([2]对账明细接口!$O483=0,"",[2]对账明细接口!$O483),"")</f>
        <v/>
      </c>
      <c r="U483" s="112" t="str">
        <f aca="false">IFERROR(IF([2]对账明细接口!$P483=0,"",[2]对账明细接口!$P483),"")</f>
        <v/>
      </c>
      <c r="V483" s="112" t="str">
        <f aca="false">IFERROR(IF([2]对账明细接口!$Q483=0,"",[2]对账明细接口!$Q483),"")</f>
        <v/>
      </c>
      <c r="W483" s="10" t="str">
        <f aca="false">IFERROR(IF([2]对账明细接口!$R483=0,"",[2]对账明细接口!$R483),"")</f>
        <v/>
      </c>
      <c r="X483" s="10" t="str">
        <f aca="false">IFERROR(IF([2]对账明细接口!$S483=0,"",[2]对账明细接口!$S483),"")</f>
        <v/>
      </c>
      <c r="Y483" s="10" t="str">
        <f aca="false">IFERROR(IF([2]对账明细接口!$T483=0,"",[2]对账明细接口!$T483),"")</f>
        <v/>
      </c>
      <c r="Z483" s="113" t="str">
        <f aca="false">IFERROR(IF([2]对账明细接口!$U483=0,"",[2]对账明细接口!$U483),"")</f>
        <v/>
      </c>
      <c r="AA483" s="113" t="str">
        <f aca="false">IFERROR(IF([2]对账明细接口!$V483=0,"",[2]对账明细接口!$V483),"")</f>
        <v/>
      </c>
      <c r="AB483" s="10" t="str">
        <f aca="false">IFERROR(IF([2]对账明细接口!$W483=0,"",[2]对账明细接口!$W483),"")</f>
        <v/>
      </c>
      <c r="AC483" s="90" t="str">
        <f aca="false">IFERROR(IF([2]对账明细接口!$X484=0,"",[2]对账明细接口!$X484),"")</f>
        <v/>
      </c>
      <c r="AD483" s="90" t="str">
        <f aca="false">IFERROR(IF([2]对账明细接口!$Y484=0,"",[2]对账明细接口!$Y484),"")</f>
        <v/>
      </c>
      <c r="AE483" s="90" t="str">
        <f aca="false">IFERROR(IF([2]对账明细接口!$AA484=0,"",[2]对账明细接口!$AA484),"")</f>
        <v/>
      </c>
      <c r="AF483" s="90" t="str">
        <f aca="false">IFERROR(IF([2]对账明细接口!$AB484=0,"",[2]对账明细接口!$AB484),"")</f>
        <v/>
      </c>
      <c r="AG483" s="90" t="str">
        <f aca="false">IFERROR(IF([2]对账明细接口!$AC484=0,"",[2]对账明细接口!$AC484),"")</f>
        <v/>
      </c>
      <c r="AH483" s="90" t="str">
        <f aca="false">IFERROR(IF([2]对账明细接口!$AD484=0,"",[2]对账明细接口!$AD484),"")</f>
        <v/>
      </c>
    </row>
    <row r="484" customFormat="false" ht="13.5" hidden="false" customHeight="false" outlineLevel="0" collapsed="false">
      <c r="A484" s="109" t="n">
        <v>484</v>
      </c>
      <c r="B484" s="110" t="str">
        <f aca="false">IFERROR(IF([2]对账明细接口!$B$484=0,"",[2]对账明细接口!$B$484),"")</f>
        <v/>
      </c>
      <c r="C484" s="59" t="str">
        <f aca="false">IFERROR(IF([2]对账明细接口!$C$484=0,"",[2]对账明细接口!$C$484),"")</f>
        <v/>
      </c>
      <c r="D484" s="59" t="str">
        <f aca="false">IFERROR(IF([2]对账明细接口!$D$484=0,"",[2]对账明细接口!$D$484),"")</f>
        <v/>
      </c>
      <c r="E484" s="59" t="str">
        <f aca="false">IFERROR(IF([2]对账明细接口!$E$484=0,"",[2]对账明细接口!$E$484),"")</f>
        <v/>
      </c>
      <c r="F484" s="59" t="str">
        <f aca="false">IFERROR(IF([2]对账明细接口!$F$484=0,"",[2]对账明细接口!$F$484),"")</f>
        <v/>
      </c>
      <c r="G484" s="59" t="str">
        <f aca="false">IFERROR(IF([2]对账明细接口!$G$484=0,"",[2]对账明细接口!$G$484),"")</f>
        <v/>
      </c>
      <c r="H484" s="60" t="str">
        <f aca="false">IFERROR(IF([2]对账明细接口!$H$484=0,"",[2]对账明细接口!$H$484),"")</f>
        <v/>
      </c>
      <c r="I484" s="59" t="str">
        <f aca="false">IFERROR(IF([2]对账明细接口!$I$484=0,"",[2]对账明细接口!$I$484),"")</f>
        <v/>
      </c>
      <c r="J484" s="61" t="str">
        <f aca="false">IFERROR(IF([2]对账明细接口!$J$484=0,"",[2]对账明细接口!$J$484),"")</f>
        <v/>
      </c>
      <c r="K484" s="61" t="str">
        <f aca="false">IFERROR(IF([2]对账明细接口!$K$484=0,"",[2]对账明细接口!$K$484),"")</f>
        <v/>
      </c>
      <c r="L484" s="59" t="str">
        <f aca="false">IFERROR(IF([2]对账明细接口!$L$484=0,"",[2]对账明细接口!$L$484),"")</f>
        <v/>
      </c>
      <c r="M484" s="59" t="str">
        <f aca="false">IFERROR(IF([2]对账明细接口!$M$484=0,"",[2]对账明细接口!$M$484),"")</f>
        <v/>
      </c>
      <c r="N484" s="111" t="n">
        <f aca="false">IF($C484="",0,1)</f>
        <v>0</v>
      </c>
      <c r="O484" s="111" t="n">
        <f aca="false">N(O483)+$N484</f>
        <v>311</v>
      </c>
      <c r="S484" s="10" t="str">
        <f aca="false">IFERROR(IF([2]对账明细接口!$N484=0,"",[2]对账明细接口!$N484),"")</f>
        <v/>
      </c>
      <c r="T484" s="112" t="str">
        <f aca="false">IFERROR(IF([2]对账明细接口!$O484=0,"",[2]对账明细接口!$O484),"")</f>
        <v/>
      </c>
      <c r="U484" s="112" t="str">
        <f aca="false">IFERROR(IF([2]对账明细接口!$P484=0,"",[2]对账明细接口!$P484),"")</f>
        <v/>
      </c>
      <c r="V484" s="112" t="str">
        <f aca="false">IFERROR(IF([2]对账明细接口!$Q484=0,"",[2]对账明细接口!$Q484),"")</f>
        <v/>
      </c>
      <c r="W484" s="10" t="str">
        <f aca="false">IFERROR(IF([2]对账明细接口!$R484=0,"",[2]对账明细接口!$R484),"")</f>
        <v/>
      </c>
      <c r="X484" s="10" t="str">
        <f aca="false">IFERROR(IF([2]对账明细接口!$S484=0,"",[2]对账明细接口!$S484),"")</f>
        <v/>
      </c>
      <c r="Y484" s="10" t="str">
        <f aca="false">IFERROR(IF([2]对账明细接口!$T484=0,"",[2]对账明细接口!$T484),"")</f>
        <v/>
      </c>
      <c r="Z484" s="113" t="str">
        <f aca="false">IFERROR(IF([2]对账明细接口!$U484=0,"",[2]对账明细接口!$U484),"")</f>
        <v/>
      </c>
      <c r="AA484" s="113" t="str">
        <f aca="false">IFERROR(IF([2]对账明细接口!$V484=0,"",[2]对账明细接口!$V484),"")</f>
        <v/>
      </c>
      <c r="AB484" s="10" t="str">
        <f aca="false">IFERROR(IF([2]对账明细接口!$W484=0,"",[2]对账明细接口!$W484),"")</f>
        <v/>
      </c>
      <c r="AC484" s="90" t="str">
        <f aca="false">IFERROR(IF([2]对账明细接口!$X485=0,"",[2]对账明细接口!$X485),"")</f>
        <v/>
      </c>
      <c r="AD484" s="90" t="str">
        <f aca="false">IFERROR(IF([2]对账明细接口!$Y485=0,"",[2]对账明细接口!$Y485),"")</f>
        <v/>
      </c>
      <c r="AE484" s="90" t="str">
        <f aca="false">IFERROR(IF([2]对账明细接口!$AA485=0,"",[2]对账明细接口!$AA485),"")</f>
        <v/>
      </c>
      <c r="AF484" s="90" t="str">
        <f aca="false">IFERROR(IF([2]对账明细接口!$AB485=0,"",[2]对账明细接口!$AB485),"")</f>
        <v/>
      </c>
      <c r="AG484" s="90" t="str">
        <f aca="false">IFERROR(IF([2]对账明细接口!$AC485=0,"",[2]对账明细接口!$AC485),"")</f>
        <v/>
      </c>
      <c r="AH484" s="90" t="str">
        <f aca="false">IFERROR(IF([2]对账明细接口!$AD485=0,"",[2]对账明细接口!$AD485),"")</f>
        <v/>
      </c>
    </row>
    <row r="485" customFormat="false" ht="13.5" hidden="false" customHeight="false" outlineLevel="0" collapsed="false">
      <c r="A485" s="109" t="n">
        <v>485</v>
      </c>
      <c r="B485" s="110" t="str">
        <f aca="false">IFERROR(IF([2]对账明细接口!$B$485=0,"",[2]对账明细接口!$B$485),"")</f>
        <v/>
      </c>
      <c r="C485" s="59" t="str">
        <f aca="false">IFERROR(IF([2]对账明细接口!$C$485=0,"",[2]对账明细接口!$C$485),"")</f>
        <v/>
      </c>
      <c r="D485" s="59" t="str">
        <f aca="false">IFERROR(IF([2]对账明细接口!$D$485=0,"",[2]对账明细接口!$D$485),"")</f>
        <v/>
      </c>
      <c r="E485" s="59" t="str">
        <f aca="false">IFERROR(IF([2]对账明细接口!$E$485=0,"",[2]对账明细接口!$E$485),"")</f>
        <v/>
      </c>
      <c r="F485" s="59" t="str">
        <f aca="false">IFERROR(IF([2]对账明细接口!$F$485=0,"",[2]对账明细接口!$F$485),"")</f>
        <v/>
      </c>
      <c r="G485" s="59" t="str">
        <f aca="false">IFERROR(IF([2]对账明细接口!$G$485=0,"",[2]对账明细接口!$G$485),"")</f>
        <v/>
      </c>
      <c r="H485" s="60" t="str">
        <f aca="false">IFERROR(IF([2]对账明细接口!$H$485=0,"",[2]对账明细接口!$H$485),"")</f>
        <v/>
      </c>
      <c r="I485" s="59" t="str">
        <f aca="false">IFERROR(IF([2]对账明细接口!$I$485=0,"",[2]对账明细接口!$I$485),"")</f>
        <v/>
      </c>
      <c r="J485" s="61" t="str">
        <f aca="false">IFERROR(IF([2]对账明细接口!$J$485=0,"",[2]对账明细接口!$J$485),"")</f>
        <v/>
      </c>
      <c r="K485" s="61" t="str">
        <f aca="false">IFERROR(IF([2]对账明细接口!$K$485=0,"",[2]对账明细接口!$K$485),"")</f>
        <v/>
      </c>
      <c r="L485" s="59" t="str">
        <f aca="false">IFERROR(IF([2]对账明细接口!$L$485=0,"",[2]对账明细接口!$L$485),"")</f>
        <v/>
      </c>
      <c r="M485" s="59" t="str">
        <f aca="false">IFERROR(IF([2]对账明细接口!$M$485=0,"",[2]对账明细接口!$M$485),"")</f>
        <v/>
      </c>
      <c r="N485" s="111" t="n">
        <f aca="false">IF($C485="",0,1)</f>
        <v>0</v>
      </c>
      <c r="O485" s="111" t="n">
        <f aca="false">N(O484)+$N485</f>
        <v>311</v>
      </c>
      <c r="S485" s="10" t="str">
        <f aca="false">IFERROR(IF([2]对账明细接口!$N485=0,"",[2]对账明细接口!$N485),"")</f>
        <v/>
      </c>
      <c r="T485" s="112" t="str">
        <f aca="false">IFERROR(IF([2]对账明细接口!$O485=0,"",[2]对账明细接口!$O485),"")</f>
        <v/>
      </c>
      <c r="U485" s="112" t="str">
        <f aca="false">IFERROR(IF([2]对账明细接口!$P485=0,"",[2]对账明细接口!$P485),"")</f>
        <v/>
      </c>
      <c r="V485" s="112" t="str">
        <f aca="false">IFERROR(IF([2]对账明细接口!$Q485=0,"",[2]对账明细接口!$Q485),"")</f>
        <v/>
      </c>
      <c r="W485" s="10" t="str">
        <f aca="false">IFERROR(IF([2]对账明细接口!$R485=0,"",[2]对账明细接口!$R485),"")</f>
        <v/>
      </c>
      <c r="X485" s="10" t="str">
        <f aca="false">IFERROR(IF([2]对账明细接口!$S485=0,"",[2]对账明细接口!$S485),"")</f>
        <v/>
      </c>
      <c r="Y485" s="10" t="str">
        <f aca="false">IFERROR(IF([2]对账明细接口!$T485=0,"",[2]对账明细接口!$T485),"")</f>
        <v/>
      </c>
      <c r="Z485" s="113" t="str">
        <f aca="false">IFERROR(IF([2]对账明细接口!$U485=0,"",[2]对账明细接口!$U485),"")</f>
        <v/>
      </c>
      <c r="AA485" s="113" t="str">
        <f aca="false">IFERROR(IF([2]对账明细接口!$V485=0,"",[2]对账明细接口!$V485),"")</f>
        <v/>
      </c>
      <c r="AB485" s="10" t="str">
        <f aca="false">IFERROR(IF([2]对账明细接口!$W485=0,"",[2]对账明细接口!$W485),"")</f>
        <v/>
      </c>
      <c r="AC485" s="90" t="str">
        <f aca="false">IFERROR(IF([2]对账明细接口!$X486=0,"",[2]对账明细接口!$X486),"")</f>
        <v/>
      </c>
      <c r="AD485" s="90" t="str">
        <f aca="false">IFERROR(IF([2]对账明细接口!$Y486=0,"",[2]对账明细接口!$Y486),"")</f>
        <v/>
      </c>
      <c r="AE485" s="90" t="str">
        <f aca="false">IFERROR(IF([2]对账明细接口!$AA486=0,"",[2]对账明细接口!$AA486),"")</f>
        <v/>
      </c>
      <c r="AF485" s="90" t="str">
        <f aca="false">IFERROR(IF([2]对账明细接口!$AB486=0,"",[2]对账明细接口!$AB486),"")</f>
        <v/>
      </c>
      <c r="AG485" s="90" t="str">
        <f aca="false">IFERROR(IF([2]对账明细接口!$AC486=0,"",[2]对账明细接口!$AC486),"")</f>
        <v/>
      </c>
      <c r="AH485" s="90" t="str">
        <f aca="false">IFERROR(IF([2]对账明细接口!$AD486=0,"",[2]对账明细接口!$AD486),"")</f>
        <v/>
      </c>
    </row>
    <row r="486" customFormat="false" ht="13.5" hidden="false" customHeight="false" outlineLevel="0" collapsed="false">
      <c r="A486" s="109" t="n">
        <v>486</v>
      </c>
      <c r="B486" s="110" t="str">
        <f aca="false">IFERROR(IF([2]对账明细接口!$B$486=0,"",[2]对账明细接口!$B$486),"")</f>
        <v/>
      </c>
      <c r="C486" s="59" t="str">
        <f aca="false">IFERROR(IF([2]对账明细接口!$C$486=0,"",[2]对账明细接口!$C$486),"")</f>
        <v/>
      </c>
      <c r="D486" s="59" t="str">
        <f aca="false">IFERROR(IF([2]对账明细接口!$D$486=0,"",[2]对账明细接口!$D$486),"")</f>
        <v/>
      </c>
      <c r="E486" s="59" t="str">
        <f aca="false">IFERROR(IF([2]对账明细接口!$E$486=0,"",[2]对账明细接口!$E$486),"")</f>
        <v/>
      </c>
      <c r="F486" s="59" t="str">
        <f aca="false">IFERROR(IF([2]对账明细接口!$F$486=0,"",[2]对账明细接口!$F$486),"")</f>
        <v/>
      </c>
      <c r="G486" s="59" t="str">
        <f aca="false">IFERROR(IF([2]对账明细接口!$G$486=0,"",[2]对账明细接口!$G$486),"")</f>
        <v/>
      </c>
      <c r="H486" s="60" t="str">
        <f aca="false">IFERROR(IF([2]对账明细接口!$H$486=0,"",[2]对账明细接口!$H$486),"")</f>
        <v/>
      </c>
      <c r="I486" s="59" t="str">
        <f aca="false">IFERROR(IF([2]对账明细接口!$I$486=0,"",[2]对账明细接口!$I$486),"")</f>
        <v/>
      </c>
      <c r="J486" s="61" t="str">
        <f aca="false">IFERROR(IF([2]对账明细接口!$J$486=0,"",[2]对账明细接口!$J$486),"")</f>
        <v/>
      </c>
      <c r="K486" s="61" t="str">
        <f aca="false">IFERROR(IF([2]对账明细接口!$K$486=0,"",[2]对账明细接口!$K$486),"")</f>
        <v/>
      </c>
      <c r="L486" s="59" t="str">
        <f aca="false">IFERROR(IF([2]对账明细接口!$L$486=0,"",[2]对账明细接口!$L$486),"")</f>
        <v/>
      </c>
      <c r="M486" s="59" t="str">
        <f aca="false">IFERROR(IF([2]对账明细接口!$M$486=0,"",[2]对账明细接口!$M$486),"")</f>
        <v/>
      </c>
      <c r="N486" s="111" t="n">
        <f aca="false">IF($C486="",0,1)</f>
        <v>0</v>
      </c>
      <c r="O486" s="111" t="n">
        <f aca="false">N(O485)+$N486</f>
        <v>311</v>
      </c>
      <c r="S486" s="10" t="str">
        <f aca="false">IFERROR(IF([2]对账明细接口!$N486=0,"",[2]对账明细接口!$N486),"")</f>
        <v/>
      </c>
      <c r="T486" s="112" t="str">
        <f aca="false">IFERROR(IF([2]对账明细接口!$O486=0,"",[2]对账明细接口!$O486),"")</f>
        <v/>
      </c>
      <c r="U486" s="112" t="str">
        <f aca="false">IFERROR(IF([2]对账明细接口!$P486=0,"",[2]对账明细接口!$P486),"")</f>
        <v/>
      </c>
      <c r="V486" s="112" t="str">
        <f aca="false">IFERROR(IF([2]对账明细接口!$Q486=0,"",[2]对账明细接口!$Q486),"")</f>
        <v/>
      </c>
      <c r="W486" s="10" t="str">
        <f aca="false">IFERROR(IF([2]对账明细接口!$R486=0,"",[2]对账明细接口!$R486),"")</f>
        <v/>
      </c>
      <c r="X486" s="10" t="str">
        <f aca="false">IFERROR(IF([2]对账明细接口!$S486=0,"",[2]对账明细接口!$S486),"")</f>
        <v/>
      </c>
      <c r="Y486" s="10" t="str">
        <f aca="false">IFERROR(IF([2]对账明细接口!$T486=0,"",[2]对账明细接口!$T486),"")</f>
        <v/>
      </c>
      <c r="Z486" s="113" t="str">
        <f aca="false">IFERROR(IF([2]对账明细接口!$U486=0,"",[2]对账明细接口!$U486),"")</f>
        <v/>
      </c>
      <c r="AA486" s="113" t="str">
        <f aca="false">IFERROR(IF([2]对账明细接口!$V486=0,"",[2]对账明细接口!$V486),"")</f>
        <v/>
      </c>
      <c r="AB486" s="10" t="str">
        <f aca="false">IFERROR(IF([2]对账明细接口!$W486=0,"",[2]对账明细接口!$W486),"")</f>
        <v/>
      </c>
      <c r="AC486" s="90" t="str">
        <f aca="false">IFERROR(IF([2]对账明细接口!$X487=0,"",[2]对账明细接口!$X487),"")</f>
        <v/>
      </c>
      <c r="AD486" s="90" t="str">
        <f aca="false">IFERROR(IF([2]对账明细接口!$Y487=0,"",[2]对账明细接口!$Y487),"")</f>
        <v/>
      </c>
      <c r="AE486" s="90" t="str">
        <f aca="false">IFERROR(IF([2]对账明细接口!$AA487=0,"",[2]对账明细接口!$AA487),"")</f>
        <v/>
      </c>
      <c r="AF486" s="90" t="str">
        <f aca="false">IFERROR(IF([2]对账明细接口!$AB487=0,"",[2]对账明细接口!$AB487),"")</f>
        <v/>
      </c>
      <c r="AG486" s="90" t="str">
        <f aca="false">IFERROR(IF([2]对账明细接口!$AC487=0,"",[2]对账明细接口!$AC487),"")</f>
        <v/>
      </c>
      <c r="AH486" s="90" t="str">
        <f aca="false">IFERROR(IF([2]对账明细接口!$AD487=0,"",[2]对账明细接口!$AD487),"")</f>
        <v/>
      </c>
    </row>
    <row r="487" customFormat="false" ht="13.5" hidden="false" customHeight="false" outlineLevel="0" collapsed="false">
      <c r="A487" s="109" t="n">
        <v>487</v>
      </c>
      <c r="B487" s="110" t="str">
        <f aca="false">IFERROR(IF([2]对账明细接口!$B$487=0,"",[2]对账明细接口!$B$487),"")</f>
        <v/>
      </c>
      <c r="C487" s="59" t="str">
        <f aca="false">IFERROR(IF([2]对账明细接口!$C$487=0,"",[2]对账明细接口!$C$487),"")</f>
        <v/>
      </c>
      <c r="D487" s="59" t="str">
        <f aca="false">IFERROR(IF([2]对账明细接口!$D$487=0,"",[2]对账明细接口!$D$487),"")</f>
        <v/>
      </c>
      <c r="E487" s="59" t="str">
        <f aca="false">IFERROR(IF([2]对账明细接口!$E$487=0,"",[2]对账明细接口!$E$487),"")</f>
        <v/>
      </c>
      <c r="F487" s="59" t="str">
        <f aca="false">IFERROR(IF([2]对账明细接口!$F$487=0,"",[2]对账明细接口!$F$487),"")</f>
        <v/>
      </c>
      <c r="G487" s="59" t="str">
        <f aca="false">IFERROR(IF([2]对账明细接口!$G$487=0,"",[2]对账明细接口!$G$487),"")</f>
        <v/>
      </c>
      <c r="H487" s="60" t="str">
        <f aca="false">IFERROR(IF([2]对账明细接口!$H$487=0,"",[2]对账明细接口!$H$487),"")</f>
        <v/>
      </c>
      <c r="I487" s="59" t="str">
        <f aca="false">IFERROR(IF([2]对账明细接口!$I$487=0,"",[2]对账明细接口!$I$487),"")</f>
        <v/>
      </c>
      <c r="J487" s="61" t="str">
        <f aca="false">IFERROR(IF([2]对账明细接口!$J$487=0,"",[2]对账明细接口!$J$487),"")</f>
        <v/>
      </c>
      <c r="K487" s="61" t="str">
        <f aca="false">IFERROR(IF([2]对账明细接口!$K$487=0,"",[2]对账明细接口!$K$487),"")</f>
        <v/>
      </c>
      <c r="L487" s="59" t="str">
        <f aca="false">IFERROR(IF([2]对账明细接口!$L$487=0,"",[2]对账明细接口!$L$487),"")</f>
        <v/>
      </c>
      <c r="M487" s="59" t="str">
        <f aca="false">IFERROR(IF([2]对账明细接口!$M$487=0,"",[2]对账明细接口!$M$487),"")</f>
        <v/>
      </c>
      <c r="N487" s="111" t="n">
        <f aca="false">IF($C487="",0,1)</f>
        <v>0</v>
      </c>
      <c r="O487" s="111" t="n">
        <f aca="false">N(O486)+$N487</f>
        <v>311</v>
      </c>
      <c r="S487" s="10" t="str">
        <f aca="false">IFERROR(IF([2]对账明细接口!$N487=0,"",[2]对账明细接口!$N487),"")</f>
        <v/>
      </c>
      <c r="T487" s="112" t="str">
        <f aca="false">IFERROR(IF([2]对账明细接口!$O487=0,"",[2]对账明细接口!$O487),"")</f>
        <v/>
      </c>
      <c r="U487" s="112" t="str">
        <f aca="false">IFERROR(IF([2]对账明细接口!$P487=0,"",[2]对账明细接口!$P487),"")</f>
        <v/>
      </c>
      <c r="V487" s="112" t="str">
        <f aca="false">IFERROR(IF([2]对账明细接口!$Q487=0,"",[2]对账明细接口!$Q487),"")</f>
        <v/>
      </c>
      <c r="W487" s="10" t="str">
        <f aca="false">IFERROR(IF([2]对账明细接口!$R487=0,"",[2]对账明细接口!$R487),"")</f>
        <v/>
      </c>
      <c r="X487" s="10" t="str">
        <f aca="false">IFERROR(IF([2]对账明细接口!$S487=0,"",[2]对账明细接口!$S487),"")</f>
        <v/>
      </c>
      <c r="Y487" s="10" t="str">
        <f aca="false">IFERROR(IF([2]对账明细接口!$T487=0,"",[2]对账明细接口!$T487),"")</f>
        <v/>
      </c>
      <c r="Z487" s="113" t="str">
        <f aca="false">IFERROR(IF([2]对账明细接口!$U487=0,"",[2]对账明细接口!$U487),"")</f>
        <v/>
      </c>
      <c r="AA487" s="113" t="str">
        <f aca="false">IFERROR(IF([2]对账明细接口!$V487=0,"",[2]对账明细接口!$V487),"")</f>
        <v/>
      </c>
      <c r="AB487" s="10" t="str">
        <f aca="false">IFERROR(IF([2]对账明细接口!$W487=0,"",[2]对账明细接口!$W487),"")</f>
        <v/>
      </c>
      <c r="AC487" s="90" t="str">
        <f aca="false">IFERROR(IF([2]对账明细接口!$X488=0,"",[2]对账明细接口!$X488),"")</f>
        <v/>
      </c>
      <c r="AD487" s="90" t="str">
        <f aca="false">IFERROR(IF([2]对账明细接口!$Y488=0,"",[2]对账明细接口!$Y488),"")</f>
        <v/>
      </c>
      <c r="AE487" s="90" t="str">
        <f aca="false">IFERROR(IF([2]对账明细接口!$AA488=0,"",[2]对账明细接口!$AA488),"")</f>
        <v/>
      </c>
      <c r="AF487" s="90" t="str">
        <f aca="false">IFERROR(IF([2]对账明细接口!$AB488=0,"",[2]对账明细接口!$AB488),"")</f>
        <v/>
      </c>
      <c r="AG487" s="90" t="str">
        <f aca="false">IFERROR(IF([2]对账明细接口!$AC488=0,"",[2]对账明细接口!$AC488),"")</f>
        <v/>
      </c>
      <c r="AH487" s="90" t="str">
        <f aca="false">IFERROR(IF([2]对账明细接口!$AD488=0,"",[2]对账明细接口!$AD488),"")</f>
        <v/>
      </c>
    </row>
    <row r="488" customFormat="false" ht="13.5" hidden="false" customHeight="false" outlineLevel="0" collapsed="false">
      <c r="A488" s="109" t="n">
        <v>488</v>
      </c>
      <c r="B488" s="110" t="str">
        <f aca="false">IFERROR(IF([2]对账明细接口!$B$488=0,"",[2]对账明细接口!$B$488),"")</f>
        <v/>
      </c>
      <c r="C488" s="59" t="str">
        <f aca="false">IFERROR(IF([2]对账明细接口!$C$488=0,"",[2]对账明细接口!$C$488),"")</f>
        <v/>
      </c>
      <c r="D488" s="59" t="str">
        <f aca="false">IFERROR(IF([2]对账明细接口!$D$488=0,"",[2]对账明细接口!$D$488),"")</f>
        <v/>
      </c>
      <c r="E488" s="59" t="str">
        <f aca="false">IFERROR(IF([2]对账明细接口!$E$488=0,"",[2]对账明细接口!$E$488),"")</f>
        <v/>
      </c>
      <c r="F488" s="59" t="str">
        <f aca="false">IFERROR(IF([2]对账明细接口!$F$488=0,"",[2]对账明细接口!$F$488),"")</f>
        <v/>
      </c>
      <c r="G488" s="59" t="str">
        <f aca="false">IFERROR(IF([2]对账明细接口!$G$488=0,"",[2]对账明细接口!$G$488),"")</f>
        <v/>
      </c>
      <c r="H488" s="60" t="str">
        <f aca="false">IFERROR(IF([2]对账明细接口!$H$488=0,"",[2]对账明细接口!$H$488),"")</f>
        <v/>
      </c>
      <c r="I488" s="59" t="str">
        <f aca="false">IFERROR(IF([2]对账明细接口!$I$488=0,"",[2]对账明细接口!$I$488),"")</f>
        <v/>
      </c>
      <c r="J488" s="61" t="str">
        <f aca="false">IFERROR(IF([2]对账明细接口!$J$488=0,"",[2]对账明细接口!$J$488),"")</f>
        <v/>
      </c>
      <c r="K488" s="61" t="str">
        <f aca="false">IFERROR(IF([2]对账明细接口!$K$488=0,"",[2]对账明细接口!$K$488),"")</f>
        <v/>
      </c>
      <c r="L488" s="59" t="str">
        <f aca="false">IFERROR(IF([2]对账明细接口!$L$488=0,"",[2]对账明细接口!$L$488),"")</f>
        <v/>
      </c>
      <c r="M488" s="59" t="str">
        <f aca="false">IFERROR(IF([2]对账明细接口!$M$488=0,"",[2]对账明细接口!$M$488),"")</f>
        <v/>
      </c>
      <c r="N488" s="111" t="n">
        <f aca="false">IF($C488="",0,1)</f>
        <v>0</v>
      </c>
      <c r="O488" s="111" t="n">
        <f aca="false">N(O487)+$N488</f>
        <v>311</v>
      </c>
      <c r="S488" s="10" t="str">
        <f aca="false">IFERROR(IF([2]对账明细接口!$N488=0,"",[2]对账明细接口!$N488),"")</f>
        <v/>
      </c>
      <c r="T488" s="112" t="str">
        <f aca="false">IFERROR(IF([2]对账明细接口!$O488=0,"",[2]对账明细接口!$O488),"")</f>
        <v/>
      </c>
      <c r="U488" s="112" t="str">
        <f aca="false">IFERROR(IF([2]对账明细接口!$P488=0,"",[2]对账明细接口!$P488),"")</f>
        <v/>
      </c>
      <c r="V488" s="112" t="str">
        <f aca="false">IFERROR(IF([2]对账明细接口!$Q488=0,"",[2]对账明细接口!$Q488),"")</f>
        <v/>
      </c>
      <c r="W488" s="10" t="str">
        <f aca="false">IFERROR(IF([2]对账明细接口!$R488=0,"",[2]对账明细接口!$R488),"")</f>
        <v/>
      </c>
      <c r="X488" s="10" t="str">
        <f aca="false">IFERROR(IF([2]对账明细接口!$S488=0,"",[2]对账明细接口!$S488),"")</f>
        <v/>
      </c>
      <c r="Y488" s="10" t="str">
        <f aca="false">IFERROR(IF([2]对账明细接口!$T488=0,"",[2]对账明细接口!$T488),"")</f>
        <v/>
      </c>
      <c r="Z488" s="113" t="str">
        <f aca="false">IFERROR(IF([2]对账明细接口!$U488=0,"",[2]对账明细接口!$U488),"")</f>
        <v/>
      </c>
      <c r="AA488" s="113" t="str">
        <f aca="false">IFERROR(IF([2]对账明细接口!$V488=0,"",[2]对账明细接口!$V488),"")</f>
        <v/>
      </c>
      <c r="AB488" s="10" t="str">
        <f aca="false">IFERROR(IF([2]对账明细接口!$W488=0,"",[2]对账明细接口!$W488),"")</f>
        <v/>
      </c>
      <c r="AC488" s="90" t="str">
        <f aca="false">IFERROR(IF([2]对账明细接口!$X489=0,"",[2]对账明细接口!$X489),"")</f>
        <v/>
      </c>
      <c r="AD488" s="90" t="str">
        <f aca="false">IFERROR(IF([2]对账明细接口!$Y489=0,"",[2]对账明细接口!$Y489),"")</f>
        <v/>
      </c>
      <c r="AE488" s="90" t="str">
        <f aca="false">IFERROR(IF([2]对账明细接口!$AA489=0,"",[2]对账明细接口!$AA489),"")</f>
        <v/>
      </c>
      <c r="AF488" s="90" t="str">
        <f aca="false">IFERROR(IF([2]对账明细接口!$AB489=0,"",[2]对账明细接口!$AB489),"")</f>
        <v/>
      </c>
      <c r="AG488" s="90" t="str">
        <f aca="false">IFERROR(IF([2]对账明细接口!$AC489=0,"",[2]对账明细接口!$AC489),"")</f>
        <v/>
      </c>
      <c r="AH488" s="90" t="str">
        <f aca="false">IFERROR(IF([2]对账明细接口!$AD489=0,"",[2]对账明细接口!$AD489),"")</f>
        <v/>
      </c>
    </row>
    <row r="489" customFormat="false" ht="13.5" hidden="false" customHeight="false" outlineLevel="0" collapsed="false">
      <c r="A489" s="109" t="n">
        <v>489</v>
      </c>
      <c r="B489" s="110" t="str">
        <f aca="false">IFERROR(IF([2]对账明细接口!$B$489=0,"",[2]对账明细接口!$B$489),"")</f>
        <v/>
      </c>
      <c r="C489" s="59" t="str">
        <f aca="false">IFERROR(IF([2]对账明细接口!$C$489=0,"",[2]对账明细接口!$C$489),"")</f>
        <v/>
      </c>
      <c r="D489" s="59" t="str">
        <f aca="false">IFERROR(IF([2]对账明细接口!$D$489=0,"",[2]对账明细接口!$D$489),"")</f>
        <v/>
      </c>
      <c r="E489" s="59" t="str">
        <f aca="false">IFERROR(IF([2]对账明细接口!$E$489=0,"",[2]对账明细接口!$E$489),"")</f>
        <v/>
      </c>
      <c r="F489" s="59" t="str">
        <f aca="false">IFERROR(IF([2]对账明细接口!$F$489=0,"",[2]对账明细接口!$F$489),"")</f>
        <v/>
      </c>
      <c r="G489" s="59" t="str">
        <f aca="false">IFERROR(IF([2]对账明细接口!$G$489=0,"",[2]对账明细接口!$G$489),"")</f>
        <v/>
      </c>
      <c r="H489" s="60" t="str">
        <f aca="false">IFERROR(IF([2]对账明细接口!$H$489=0,"",[2]对账明细接口!$H$489),"")</f>
        <v/>
      </c>
      <c r="I489" s="59" t="str">
        <f aca="false">IFERROR(IF([2]对账明细接口!$I$489=0,"",[2]对账明细接口!$I$489),"")</f>
        <v/>
      </c>
      <c r="J489" s="61" t="str">
        <f aca="false">IFERROR(IF([2]对账明细接口!$J$489=0,"",[2]对账明细接口!$J$489),"")</f>
        <v/>
      </c>
      <c r="K489" s="61" t="str">
        <f aca="false">IFERROR(IF([2]对账明细接口!$K$489=0,"",[2]对账明细接口!$K$489),"")</f>
        <v/>
      </c>
      <c r="L489" s="59" t="str">
        <f aca="false">IFERROR(IF([2]对账明细接口!$L$489=0,"",[2]对账明细接口!$L$489),"")</f>
        <v/>
      </c>
      <c r="M489" s="59" t="str">
        <f aca="false">IFERROR(IF([2]对账明细接口!$M$489=0,"",[2]对账明细接口!$M$489),"")</f>
        <v/>
      </c>
      <c r="N489" s="111" t="n">
        <f aca="false">IF($C489="",0,1)</f>
        <v>0</v>
      </c>
      <c r="O489" s="111" t="n">
        <f aca="false">N(O488)+$N489</f>
        <v>311</v>
      </c>
      <c r="S489" s="10" t="str">
        <f aca="false">IFERROR(IF([2]对账明细接口!$N489=0,"",[2]对账明细接口!$N489),"")</f>
        <v/>
      </c>
      <c r="T489" s="112" t="str">
        <f aca="false">IFERROR(IF([2]对账明细接口!$O489=0,"",[2]对账明细接口!$O489),"")</f>
        <v/>
      </c>
      <c r="U489" s="112" t="str">
        <f aca="false">IFERROR(IF([2]对账明细接口!$P489=0,"",[2]对账明细接口!$P489),"")</f>
        <v/>
      </c>
      <c r="V489" s="112" t="str">
        <f aca="false">IFERROR(IF([2]对账明细接口!$Q489=0,"",[2]对账明细接口!$Q489),"")</f>
        <v/>
      </c>
      <c r="W489" s="10" t="str">
        <f aca="false">IFERROR(IF([2]对账明细接口!$R489=0,"",[2]对账明细接口!$R489),"")</f>
        <v/>
      </c>
      <c r="X489" s="10" t="str">
        <f aca="false">IFERROR(IF([2]对账明细接口!$S489=0,"",[2]对账明细接口!$S489),"")</f>
        <v/>
      </c>
      <c r="Y489" s="10" t="str">
        <f aca="false">IFERROR(IF([2]对账明细接口!$T489=0,"",[2]对账明细接口!$T489),"")</f>
        <v/>
      </c>
      <c r="Z489" s="113" t="str">
        <f aca="false">IFERROR(IF([2]对账明细接口!$U489=0,"",[2]对账明细接口!$U489),"")</f>
        <v/>
      </c>
      <c r="AA489" s="113" t="str">
        <f aca="false">IFERROR(IF([2]对账明细接口!$V489=0,"",[2]对账明细接口!$V489),"")</f>
        <v/>
      </c>
      <c r="AB489" s="10" t="str">
        <f aca="false">IFERROR(IF([2]对账明细接口!$W489=0,"",[2]对账明细接口!$W489),"")</f>
        <v/>
      </c>
      <c r="AC489" s="90" t="str">
        <f aca="false">IFERROR(IF([2]对账明细接口!$X490=0,"",[2]对账明细接口!$X490),"")</f>
        <v/>
      </c>
      <c r="AD489" s="90" t="str">
        <f aca="false">IFERROR(IF([2]对账明细接口!$Y490=0,"",[2]对账明细接口!$Y490),"")</f>
        <v/>
      </c>
      <c r="AE489" s="90" t="str">
        <f aca="false">IFERROR(IF([2]对账明细接口!$AA490=0,"",[2]对账明细接口!$AA490),"")</f>
        <v/>
      </c>
      <c r="AF489" s="90" t="str">
        <f aca="false">IFERROR(IF([2]对账明细接口!$AB490=0,"",[2]对账明细接口!$AB490),"")</f>
        <v/>
      </c>
      <c r="AG489" s="90" t="str">
        <f aca="false">IFERROR(IF([2]对账明细接口!$AC490=0,"",[2]对账明细接口!$AC490),"")</f>
        <v/>
      </c>
      <c r="AH489" s="90" t="str">
        <f aca="false">IFERROR(IF([2]对账明细接口!$AD490=0,"",[2]对账明细接口!$AD490),"")</f>
        <v/>
      </c>
    </row>
    <row r="490" customFormat="false" ht="13.5" hidden="false" customHeight="false" outlineLevel="0" collapsed="false">
      <c r="A490" s="109" t="n">
        <v>490</v>
      </c>
      <c r="B490" s="110" t="str">
        <f aca="false">IFERROR(IF([2]对账明细接口!$B$490=0,"",[2]对账明细接口!$B$490),"")</f>
        <v/>
      </c>
      <c r="C490" s="59" t="str">
        <f aca="false">IFERROR(IF([2]对账明细接口!$C$490=0,"",[2]对账明细接口!$C$490),"")</f>
        <v/>
      </c>
      <c r="D490" s="59" t="str">
        <f aca="false">IFERROR(IF([2]对账明细接口!$D$490=0,"",[2]对账明细接口!$D$490),"")</f>
        <v/>
      </c>
      <c r="E490" s="59" t="str">
        <f aca="false">IFERROR(IF([2]对账明细接口!$E$490=0,"",[2]对账明细接口!$E$490),"")</f>
        <v/>
      </c>
      <c r="F490" s="59" t="str">
        <f aca="false">IFERROR(IF([2]对账明细接口!$F$490=0,"",[2]对账明细接口!$F$490),"")</f>
        <v/>
      </c>
      <c r="G490" s="59" t="str">
        <f aca="false">IFERROR(IF([2]对账明细接口!$G$490=0,"",[2]对账明细接口!$G$490),"")</f>
        <v/>
      </c>
      <c r="H490" s="60" t="str">
        <f aca="false">IFERROR(IF([2]对账明细接口!$H$490=0,"",[2]对账明细接口!$H$490),"")</f>
        <v/>
      </c>
      <c r="I490" s="59" t="str">
        <f aca="false">IFERROR(IF([2]对账明细接口!$I$490=0,"",[2]对账明细接口!$I$490),"")</f>
        <v/>
      </c>
      <c r="J490" s="61" t="str">
        <f aca="false">IFERROR(IF([2]对账明细接口!$J$490=0,"",[2]对账明细接口!$J$490),"")</f>
        <v/>
      </c>
      <c r="K490" s="61" t="str">
        <f aca="false">IFERROR(IF([2]对账明细接口!$K$490=0,"",[2]对账明细接口!$K$490),"")</f>
        <v/>
      </c>
      <c r="L490" s="59" t="str">
        <f aca="false">IFERROR(IF([2]对账明细接口!$L$490=0,"",[2]对账明细接口!$L$490),"")</f>
        <v/>
      </c>
      <c r="M490" s="59" t="str">
        <f aca="false">IFERROR(IF([2]对账明细接口!$M$490=0,"",[2]对账明细接口!$M$490),"")</f>
        <v/>
      </c>
      <c r="N490" s="111" t="n">
        <f aca="false">IF($C490="",0,1)</f>
        <v>0</v>
      </c>
      <c r="O490" s="111" t="n">
        <f aca="false">N(O489)+$N490</f>
        <v>311</v>
      </c>
      <c r="S490" s="10" t="str">
        <f aca="false">IFERROR(IF([2]对账明细接口!$N490=0,"",[2]对账明细接口!$N490),"")</f>
        <v/>
      </c>
      <c r="T490" s="112" t="str">
        <f aca="false">IFERROR(IF([2]对账明细接口!$O490=0,"",[2]对账明细接口!$O490),"")</f>
        <v/>
      </c>
      <c r="U490" s="112" t="str">
        <f aca="false">IFERROR(IF([2]对账明细接口!$P490=0,"",[2]对账明细接口!$P490),"")</f>
        <v/>
      </c>
      <c r="V490" s="112" t="str">
        <f aca="false">IFERROR(IF([2]对账明细接口!$Q490=0,"",[2]对账明细接口!$Q490),"")</f>
        <v/>
      </c>
      <c r="W490" s="10" t="str">
        <f aca="false">IFERROR(IF([2]对账明细接口!$R490=0,"",[2]对账明细接口!$R490),"")</f>
        <v/>
      </c>
      <c r="X490" s="10" t="str">
        <f aca="false">IFERROR(IF([2]对账明细接口!$S490=0,"",[2]对账明细接口!$S490),"")</f>
        <v/>
      </c>
      <c r="Y490" s="10" t="str">
        <f aca="false">IFERROR(IF([2]对账明细接口!$T490=0,"",[2]对账明细接口!$T490),"")</f>
        <v/>
      </c>
      <c r="Z490" s="113" t="str">
        <f aca="false">IFERROR(IF([2]对账明细接口!$U490=0,"",[2]对账明细接口!$U490),"")</f>
        <v/>
      </c>
      <c r="AA490" s="113" t="str">
        <f aca="false">IFERROR(IF([2]对账明细接口!$V490=0,"",[2]对账明细接口!$V490),"")</f>
        <v/>
      </c>
      <c r="AB490" s="10" t="str">
        <f aca="false">IFERROR(IF([2]对账明细接口!$W490=0,"",[2]对账明细接口!$W490),"")</f>
        <v/>
      </c>
      <c r="AC490" s="90" t="str">
        <f aca="false">IFERROR(IF([2]对账明细接口!$X491=0,"",[2]对账明细接口!$X491),"")</f>
        <v/>
      </c>
      <c r="AD490" s="90" t="str">
        <f aca="false">IFERROR(IF([2]对账明细接口!$Y491=0,"",[2]对账明细接口!$Y491),"")</f>
        <v/>
      </c>
      <c r="AE490" s="90" t="str">
        <f aca="false">IFERROR(IF([2]对账明细接口!$AA491=0,"",[2]对账明细接口!$AA491),"")</f>
        <v/>
      </c>
      <c r="AF490" s="90" t="str">
        <f aca="false">IFERROR(IF([2]对账明细接口!$AB491=0,"",[2]对账明细接口!$AB491),"")</f>
        <v/>
      </c>
      <c r="AG490" s="90" t="str">
        <f aca="false">IFERROR(IF([2]对账明细接口!$AC491=0,"",[2]对账明细接口!$AC491),"")</f>
        <v/>
      </c>
      <c r="AH490" s="90" t="str">
        <f aca="false">IFERROR(IF([2]对账明细接口!$AD491=0,"",[2]对账明细接口!$AD491),"")</f>
        <v/>
      </c>
    </row>
    <row r="491" customFormat="false" ht="13.5" hidden="false" customHeight="false" outlineLevel="0" collapsed="false">
      <c r="A491" s="109" t="n">
        <v>491</v>
      </c>
      <c r="B491" s="110" t="str">
        <f aca="false">IFERROR(IF([2]对账明细接口!$B$491=0,"",[2]对账明细接口!$B$491),"")</f>
        <v/>
      </c>
      <c r="C491" s="59" t="str">
        <f aca="false">IFERROR(IF([2]对账明细接口!$C$491=0,"",[2]对账明细接口!$C$491),"")</f>
        <v/>
      </c>
      <c r="D491" s="59" t="str">
        <f aca="false">IFERROR(IF([2]对账明细接口!$D$491=0,"",[2]对账明细接口!$D$491),"")</f>
        <v/>
      </c>
      <c r="E491" s="59" t="str">
        <f aca="false">IFERROR(IF([2]对账明细接口!$E$491=0,"",[2]对账明细接口!$E$491),"")</f>
        <v/>
      </c>
      <c r="F491" s="59" t="str">
        <f aca="false">IFERROR(IF([2]对账明细接口!$F$491=0,"",[2]对账明细接口!$F$491),"")</f>
        <v/>
      </c>
      <c r="G491" s="59" t="str">
        <f aca="false">IFERROR(IF([2]对账明细接口!$G$491=0,"",[2]对账明细接口!$G$491),"")</f>
        <v/>
      </c>
      <c r="H491" s="60" t="str">
        <f aca="false">IFERROR(IF([2]对账明细接口!$H$491=0,"",[2]对账明细接口!$H$491),"")</f>
        <v/>
      </c>
      <c r="I491" s="59" t="str">
        <f aca="false">IFERROR(IF([2]对账明细接口!$I$491=0,"",[2]对账明细接口!$I$491),"")</f>
        <v/>
      </c>
      <c r="J491" s="61" t="str">
        <f aca="false">IFERROR(IF([2]对账明细接口!$J$491=0,"",[2]对账明细接口!$J$491),"")</f>
        <v/>
      </c>
      <c r="K491" s="61" t="str">
        <f aca="false">IFERROR(IF([2]对账明细接口!$K$491=0,"",[2]对账明细接口!$K$491),"")</f>
        <v/>
      </c>
      <c r="L491" s="59" t="str">
        <f aca="false">IFERROR(IF([2]对账明细接口!$L$491=0,"",[2]对账明细接口!$L$491),"")</f>
        <v/>
      </c>
      <c r="M491" s="59" t="str">
        <f aca="false">IFERROR(IF([2]对账明细接口!$M$491=0,"",[2]对账明细接口!$M$491),"")</f>
        <v/>
      </c>
      <c r="N491" s="111" t="n">
        <f aca="false">IF($C491="",0,1)</f>
        <v>0</v>
      </c>
      <c r="O491" s="111" t="n">
        <f aca="false">N(O490)+$N491</f>
        <v>311</v>
      </c>
      <c r="S491" s="10" t="str">
        <f aca="false">IFERROR(IF([2]对账明细接口!$N491=0,"",[2]对账明细接口!$N491),"")</f>
        <v/>
      </c>
      <c r="T491" s="112" t="str">
        <f aca="false">IFERROR(IF([2]对账明细接口!$O491=0,"",[2]对账明细接口!$O491),"")</f>
        <v/>
      </c>
      <c r="U491" s="112" t="str">
        <f aca="false">IFERROR(IF([2]对账明细接口!$P491=0,"",[2]对账明细接口!$P491),"")</f>
        <v/>
      </c>
      <c r="V491" s="112" t="str">
        <f aca="false">IFERROR(IF([2]对账明细接口!$Q491=0,"",[2]对账明细接口!$Q491),"")</f>
        <v/>
      </c>
      <c r="W491" s="10" t="str">
        <f aca="false">IFERROR(IF([2]对账明细接口!$R491=0,"",[2]对账明细接口!$R491),"")</f>
        <v/>
      </c>
      <c r="X491" s="10" t="str">
        <f aca="false">IFERROR(IF([2]对账明细接口!$S491=0,"",[2]对账明细接口!$S491),"")</f>
        <v/>
      </c>
      <c r="Y491" s="10" t="str">
        <f aca="false">IFERROR(IF([2]对账明细接口!$T491=0,"",[2]对账明细接口!$T491),"")</f>
        <v/>
      </c>
      <c r="Z491" s="113" t="str">
        <f aca="false">IFERROR(IF([2]对账明细接口!$U491=0,"",[2]对账明细接口!$U491),"")</f>
        <v/>
      </c>
      <c r="AA491" s="113" t="str">
        <f aca="false">IFERROR(IF([2]对账明细接口!$V491=0,"",[2]对账明细接口!$V491),"")</f>
        <v/>
      </c>
      <c r="AB491" s="10" t="str">
        <f aca="false">IFERROR(IF([2]对账明细接口!$W491=0,"",[2]对账明细接口!$W491),"")</f>
        <v/>
      </c>
      <c r="AC491" s="90" t="str">
        <f aca="false">IFERROR(IF([2]对账明细接口!$X492=0,"",[2]对账明细接口!$X492),"")</f>
        <v/>
      </c>
      <c r="AD491" s="90" t="str">
        <f aca="false">IFERROR(IF([2]对账明细接口!$Y492=0,"",[2]对账明细接口!$Y492),"")</f>
        <v/>
      </c>
      <c r="AE491" s="90" t="str">
        <f aca="false">IFERROR(IF([2]对账明细接口!$AA492=0,"",[2]对账明细接口!$AA492),"")</f>
        <v/>
      </c>
      <c r="AF491" s="90" t="str">
        <f aca="false">IFERROR(IF([2]对账明细接口!$AB492=0,"",[2]对账明细接口!$AB492),"")</f>
        <v/>
      </c>
      <c r="AG491" s="90" t="str">
        <f aca="false">IFERROR(IF([2]对账明细接口!$AC492=0,"",[2]对账明细接口!$AC492),"")</f>
        <v/>
      </c>
      <c r="AH491" s="90" t="str">
        <f aca="false">IFERROR(IF([2]对账明细接口!$AD492=0,"",[2]对账明细接口!$AD492),"")</f>
        <v/>
      </c>
    </row>
    <row r="492" customFormat="false" ht="13.5" hidden="false" customHeight="false" outlineLevel="0" collapsed="false">
      <c r="A492" s="109" t="n">
        <v>492</v>
      </c>
      <c r="B492" s="110" t="str">
        <f aca="false">IFERROR(IF([2]对账明细接口!$B$492=0,"",[2]对账明细接口!$B$492),"")</f>
        <v/>
      </c>
      <c r="C492" s="59" t="str">
        <f aca="false">IFERROR(IF([2]对账明细接口!$C$492=0,"",[2]对账明细接口!$C$492),"")</f>
        <v/>
      </c>
      <c r="D492" s="59" t="str">
        <f aca="false">IFERROR(IF([2]对账明细接口!$D$492=0,"",[2]对账明细接口!$D$492),"")</f>
        <v/>
      </c>
      <c r="E492" s="59" t="str">
        <f aca="false">IFERROR(IF([2]对账明细接口!$E$492=0,"",[2]对账明细接口!$E$492),"")</f>
        <v/>
      </c>
      <c r="F492" s="59" t="str">
        <f aca="false">IFERROR(IF([2]对账明细接口!$F$492=0,"",[2]对账明细接口!$F$492),"")</f>
        <v/>
      </c>
      <c r="G492" s="59" t="str">
        <f aca="false">IFERROR(IF([2]对账明细接口!$G$492=0,"",[2]对账明细接口!$G$492),"")</f>
        <v/>
      </c>
      <c r="H492" s="60" t="str">
        <f aca="false">IFERROR(IF([2]对账明细接口!$H$492=0,"",[2]对账明细接口!$H$492),"")</f>
        <v/>
      </c>
      <c r="I492" s="59" t="str">
        <f aca="false">IFERROR(IF([2]对账明细接口!$I$492=0,"",[2]对账明细接口!$I$492),"")</f>
        <v/>
      </c>
      <c r="J492" s="61" t="str">
        <f aca="false">IFERROR(IF([2]对账明细接口!$J$492=0,"",[2]对账明细接口!$J$492),"")</f>
        <v/>
      </c>
      <c r="K492" s="61" t="str">
        <f aca="false">IFERROR(IF([2]对账明细接口!$K$492=0,"",[2]对账明细接口!$K$492),"")</f>
        <v/>
      </c>
      <c r="L492" s="59" t="str">
        <f aca="false">IFERROR(IF([2]对账明细接口!$L$492=0,"",[2]对账明细接口!$L$492),"")</f>
        <v/>
      </c>
      <c r="M492" s="59" t="str">
        <f aca="false">IFERROR(IF([2]对账明细接口!$M$492=0,"",[2]对账明细接口!$M$492),"")</f>
        <v/>
      </c>
      <c r="N492" s="111" t="n">
        <f aca="false">IF($C492="",0,1)</f>
        <v>0</v>
      </c>
      <c r="O492" s="111" t="n">
        <f aca="false">N(O491)+$N492</f>
        <v>311</v>
      </c>
      <c r="S492" s="10" t="str">
        <f aca="false">IFERROR(IF([2]对账明细接口!$N492=0,"",[2]对账明细接口!$N492),"")</f>
        <v/>
      </c>
      <c r="T492" s="112" t="str">
        <f aca="false">IFERROR(IF([2]对账明细接口!$O492=0,"",[2]对账明细接口!$O492),"")</f>
        <v/>
      </c>
      <c r="U492" s="112" t="str">
        <f aca="false">IFERROR(IF([2]对账明细接口!$P492=0,"",[2]对账明细接口!$P492),"")</f>
        <v/>
      </c>
      <c r="V492" s="112" t="str">
        <f aca="false">IFERROR(IF([2]对账明细接口!$Q492=0,"",[2]对账明细接口!$Q492),"")</f>
        <v/>
      </c>
      <c r="W492" s="10" t="str">
        <f aca="false">IFERROR(IF([2]对账明细接口!$R492=0,"",[2]对账明细接口!$R492),"")</f>
        <v/>
      </c>
      <c r="X492" s="10" t="str">
        <f aca="false">IFERROR(IF([2]对账明细接口!$S492=0,"",[2]对账明细接口!$S492),"")</f>
        <v/>
      </c>
      <c r="Y492" s="10" t="str">
        <f aca="false">IFERROR(IF([2]对账明细接口!$T492=0,"",[2]对账明细接口!$T492),"")</f>
        <v/>
      </c>
      <c r="Z492" s="113" t="str">
        <f aca="false">IFERROR(IF([2]对账明细接口!$U492=0,"",[2]对账明细接口!$U492),"")</f>
        <v/>
      </c>
      <c r="AA492" s="113" t="str">
        <f aca="false">IFERROR(IF([2]对账明细接口!$V492=0,"",[2]对账明细接口!$V492),"")</f>
        <v/>
      </c>
      <c r="AB492" s="10" t="str">
        <f aca="false">IFERROR(IF([2]对账明细接口!$W492=0,"",[2]对账明细接口!$W492),"")</f>
        <v/>
      </c>
      <c r="AC492" s="90" t="str">
        <f aca="false">IFERROR(IF([2]对账明细接口!$X493=0,"",[2]对账明细接口!$X493),"")</f>
        <v/>
      </c>
      <c r="AD492" s="90" t="str">
        <f aca="false">IFERROR(IF([2]对账明细接口!$Y493=0,"",[2]对账明细接口!$Y493),"")</f>
        <v/>
      </c>
      <c r="AE492" s="90" t="str">
        <f aca="false">IFERROR(IF([2]对账明细接口!$AA493=0,"",[2]对账明细接口!$AA493),"")</f>
        <v/>
      </c>
      <c r="AF492" s="90" t="str">
        <f aca="false">IFERROR(IF([2]对账明细接口!$AB493=0,"",[2]对账明细接口!$AB493),"")</f>
        <v/>
      </c>
      <c r="AG492" s="90" t="str">
        <f aca="false">IFERROR(IF([2]对账明细接口!$AC493=0,"",[2]对账明细接口!$AC493),"")</f>
        <v/>
      </c>
      <c r="AH492" s="90" t="str">
        <f aca="false">IFERROR(IF([2]对账明细接口!$AD493=0,"",[2]对账明细接口!$AD493),"")</f>
        <v/>
      </c>
    </row>
    <row r="493" customFormat="false" ht="13.5" hidden="false" customHeight="false" outlineLevel="0" collapsed="false">
      <c r="A493" s="109" t="n">
        <v>493</v>
      </c>
      <c r="B493" s="110" t="str">
        <f aca="false">IFERROR(IF([2]对账明细接口!$B$493=0,"",[2]对账明细接口!$B$493),"")</f>
        <v/>
      </c>
      <c r="C493" s="59" t="str">
        <f aca="false">IFERROR(IF([2]对账明细接口!$C$493=0,"",[2]对账明细接口!$C$493),"")</f>
        <v/>
      </c>
      <c r="D493" s="59" t="str">
        <f aca="false">IFERROR(IF([2]对账明细接口!$D$493=0,"",[2]对账明细接口!$D$493),"")</f>
        <v/>
      </c>
      <c r="E493" s="59" t="str">
        <f aca="false">IFERROR(IF([2]对账明细接口!$E$493=0,"",[2]对账明细接口!$E$493),"")</f>
        <v/>
      </c>
      <c r="F493" s="59" t="str">
        <f aca="false">IFERROR(IF([2]对账明细接口!$F$493=0,"",[2]对账明细接口!$F$493),"")</f>
        <v/>
      </c>
      <c r="G493" s="59" t="str">
        <f aca="false">IFERROR(IF([2]对账明细接口!$G$493=0,"",[2]对账明细接口!$G$493),"")</f>
        <v/>
      </c>
      <c r="H493" s="60" t="str">
        <f aca="false">IFERROR(IF([2]对账明细接口!$H$493=0,"",[2]对账明细接口!$H$493),"")</f>
        <v/>
      </c>
      <c r="I493" s="59" t="str">
        <f aca="false">IFERROR(IF([2]对账明细接口!$I$493=0,"",[2]对账明细接口!$I$493),"")</f>
        <v/>
      </c>
      <c r="J493" s="61" t="str">
        <f aca="false">IFERROR(IF([2]对账明细接口!$J$493=0,"",[2]对账明细接口!$J$493),"")</f>
        <v/>
      </c>
      <c r="K493" s="61" t="str">
        <f aca="false">IFERROR(IF([2]对账明细接口!$K$493=0,"",[2]对账明细接口!$K$493),"")</f>
        <v/>
      </c>
      <c r="L493" s="59" t="str">
        <f aca="false">IFERROR(IF([2]对账明细接口!$L$493=0,"",[2]对账明细接口!$L$493),"")</f>
        <v/>
      </c>
      <c r="M493" s="59" t="str">
        <f aca="false">IFERROR(IF([2]对账明细接口!$M$493=0,"",[2]对账明细接口!$M$493),"")</f>
        <v/>
      </c>
      <c r="N493" s="111" t="n">
        <f aca="false">IF($C493="",0,1)</f>
        <v>0</v>
      </c>
      <c r="O493" s="111" t="n">
        <f aca="false">N(O492)+$N493</f>
        <v>311</v>
      </c>
      <c r="S493" s="10" t="str">
        <f aca="false">IFERROR(IF([2]对账明细接口!$N493=0,"",[2]对账明细接口!$N493),"")</f>
        <v/>
      </c>
      <c r="T493" s="112" t="str">
        <f aca="false">IFERROR(IF([2]对账明细接口!$O493=0,"",[2]对账明细接口!$O493),"")</f>
        <v/>
      </c>
      <c r="U493" s="112" t="str">
        <f aca="false">IFERROR(IF([2]对账明细接口!$P493=0,"",[2]对账明细接口!$P493),"")</f>
        <v/>
      </c>
      <c r="V493" s="112" t="str">
        <f aca="false">IFERROR(IF([2]对账明细接口!$Q493=0,"",[2]对账明细接口!$Q493),"")</f>
        <v/>
      </c>
      <c r="W493" s="10" t="str">
        <f aca="false">IFERROR(IF([2]对账明细接口!$R493=0,"",[2]对账明细接口!$R493),"")</f>
        <v/>
      </c>
      <c r="X493" s="10" t="str">
        <f aca="false">IFERROR(IF([2]对账明细接口!$S493=0,"",[2]对账明细接口!$S493),"")</f>
        <v/>
      </c>
      <c r="Y493" s="10" t="str">
        <f aca="false">IFERROR(IF([2]对账明细接口!$T493=0,"",[2]对账明细接口!$T493),"")</f>
        <v/>
      </c>
      <c r="Z493" s="113" t="str">
        <f aca="false">IFERROR(IF([2]对账明细接口!$U493=0,"",[2]对账明细接口!$U493),"")</f>
        <v/>
      </c>
      <c r="AA493" s="113" t="str">
        <f aca="false">IFERROR(IF([2]对账明细接口!$V493=0,"",[2]对账明细接口!$V493),"")</f>
        <v/>
      </c>
      <c r="AB493" s="10" t="str">
        <f aca="false">IFERROR(IF([2]对账明细接口!$W493=0,"",[2]对账明细接口!$W493),"")</f>
        <v/>
      </c>
      <c r="AC493" s="90" t="str">
        <f aca="false">IFERROR(IF([2]对账明细接口!$X494=0,"",[2]对账明细接口!$X494),"")</f>
        <v/>
      </c>
      <c r="AD493" s="90" t="str">
        <f aca="false">IFERROR(IF([2]对账明细接口!$Y494=0,"",[2]对账明细接口!$Y494),"")</f>
        <v/>
      </c>
      <c r="AE493" s="90" t="str">
        <f aca="false">IFERROR(IF([2]对账明细接口!$AA494=0,"",[2]对账明细接口!$AA494),"")</f>
        <v/>
      </c>
      <c r="AF493" s="90" t="str">
        <f aca="false">IFERROR(IF([2]对账明细接口!$AB494=0,"",[2]对账明细接口!$AB494),"")</f>
        <v/>
      </c>
      <c r="AG493" s="90" t="str">
        <f aca="false">IFERROR(IF([2]对账明细接口!$AC494=0,"",[2]对账明细接口!$AC494),"")</f>
        <v/>
      </c>
      <c r="AH493" s="90" t="str">
        <f aca="false">IFERROR(IF([2]对账明细接口!$AD494=0,"",[2]对账明细接口!$AD494),"")</f>
        <v/>
      </c>
    </row>
    <row r="494" customFormat="false" ht="13.5" hidden="false" customHeight="false" outlineLevel="0" collapsed="false">
      <c r="A494" s="109" t="n">
        <v>494</v>
      </c>
      <c r="B494" s="110" t="str">
        <f aca="false">IFERROR(IF([2]对账明细接口!$B$494=0,"",[2]对账明细接口!$B$494),"")</f>
        <v/>
      </c>
      <c r="C494" s="59" t="str">
        <f aca="false">IFERROR(IF([2]对账明细接口!$C$494=0,"",[2]对账明细接口!$C$494),"")</f>
        <v/>
      </c>
      <c r="D494" s="59" t="str">
        <f aca="false">IFERROR(IF([2]对账明细接口!$D$494=0,"",[2]对账明细接口!$D$494),"")</f>
        <v/>
      </c>
      <c r="E494" s="59" t="str">
        <f aca="false">IFERROR(IF([2]对账明细接口!$E$494=0,"",[2]对账明细接口!$E$494),"")</f>
        <v/>
      </c>
      <c r="F494" s="59" t="str">
        <f aca="false">IFERROR(IF([2]对账明细接口!$F$494=0,"",[2]对账明细接口!$F$494),"")</f>
        <v/>
      </c>
      <c r="G494" s="59" t="str">
        <f aca="false">IFERROR(IF([2]对账明细接口!$G$494=0,"",[2]对账明细接口!$G$494),"")</f>
        <v/>
      </c>
      <c r="H494" s="60" t="str">
        <f aca="false">IFERROR(IF([2]对账明细接口!$H$494=0,"",[2]对账明细接口!$H$494),"")</f>
        <v/>
      </c>
      <c r="I494" s="59" t="str">
        <f aca="false">IFERROR(IF([2]对账明细接口!$I$494=0,"",[2]对账明细接口!$I$494),"")</f>
        <v/>
      </c>
      <c r="J494" s="61" t="str">
        <f aca="false">IFERROR(IF([2]对账明细接口!$J$494=0,"",[2]对账明细接口!$J$494),"")</f>
        <v/>
      </c>
      <c r="K494" s="61" t="str">
        <f aca="false">IFERROR(IF([2]对账明细接口!$K$494=0,"",[2]对账明细接口!$K$494),"")</f>
        <v/>
      </c>
      <c r="L494" s="59" t="str">
        <f aca="false">IFERROR(IF([2]对账明细接口!$L$494=0,"",[2]对账明细接口!$L$494),"")</f>
        <v/>
      </c>
      <c r="M494" s="59" t="str">
        <f aca="false">IFERROR(IF([2]对账明细接口!$M$494=0,"",[2]对账明细接口!$M$494),"")</f>
        <v/>
      </c>
      <c r="N494" s="111" t="n">
        <f aca="false">IF($C494="",0,1)</f>
        <v>0</v>
      </c>
      <c r="O494" s="111" t="n">
        <f aca="false">N(O493)+$N494</f>
        <v>311</v>
      </c>
      <c r="S494" s="10" t="str">
        <f aca="false">IFERROR(IF([2]对账明细接口!$N494=0,"",[2]对账明细接口!$N494),"")</f>
        <v/>
      </c>
      <c r="T494" s="112" t="str">
        <f aca="false">IFERROR(IF([2]对账明细接口!$O494=0,"",[2]对账明细接口!$O494),"")</f>
        <v/>
      </c>
      <c r="U494" s="112" t="str">
        <f aca="false">IFERROR(IF([2]对账明细接口!$P494=0,"",[2]对账明细接口!$P494),"")</f>
        <v/>
      </c>
      <c r="V494" s="112" t="str">
        <f aca="false">IFERROR(IF([2]对账明细接口!$Q494=0,"",[2]对账明细接口!$Q494),"")</f>
        <v/>
      </c>
      <c r="W494" s="10" t="str">
        <f aca="false">IFERROR(IF([2]对账明细接口!$R494=0,"",[2]对账明细接口!$R494),"")</f>
        <v/>
      </c>
      <c r="X494" s="10" t="str">
        <f aca="false">IFERROR(IF([2]对账明细接口!$S494=0,"",[2]对账明细接口!$S494),"")</f>
        <v/>
      </c>
      <c r="Y494" s="10" t="str">
        <f aca="false">IFERROR(IF([2]对账明细接口!$T494=0,"",[2]对账明细接口!$T494),"")</f>
        <v/>
      </c>
      <c r="Z494" s="113" t="str">
        <f aca="false">IFERROR(IF([2]对账明细接口!$U494=0,"",[2]对账明细接口!$U494),"")</f>
        <v/>
      </c>
      <c r="AA494" s="113" t="str">
        <f aca="false">IFERROR(IF([2]对账明细接口!$V494=0,"",[2]对账明细接口!$V494),"")</f>
        <v/>
      </c>
      <c r="AB494" s="10" t="str">
        <f aca="false">IFERROR(IF([2]对账明细接口!$W494=0,"",[2]对账明细接口!$W494),"")</f>
        <v/>
      </c>
      <c r="AC494" s="90" t="str">
        <f aca="false">IFERROR(IF([2]对账明细接口!$X495=0,"",[2]对账明细接口!$X495),"")</f>
        <v/>
      </c>
      <c r="AD494" s="90" t="str">
        <f aca="false">IFERROR(IF([2]对账明细接口!$Y495=0,"",[2]对账明细接口!$Y495),"")</f>
        <v/>
      </c>
      <c r="AE494" s="90" t="str">
        <f aca="false">IFERROR(IF([2]对账明细接口!$AA495=0,"",[2]对账明细接口!$AA495),"")</f>
        <v/>
      </c>
      <c r="AF494" s="90" t="str">
        <f aca="false">IFERROR(IF([2]对账明细接口!$AB495=0,"",[2]对账明细接口!$AB495),"")</f>
        <v/>
      </c>
      <c r="AG494" s="90" t="str">
        <f aca="false">IFERROR(IF([2]对账明细接口!$AC495=0,"",[2]对账明细接口!$AC495),"")</f>
        <v/>
      </c>
      <c r="AH494" s="90" t="str">
        <f aca="false">IFERROR(IF([2]对账明细接口!$AD495=0,"",[2]对账明细接口!$AD495),"")</f>
        <v/>
      </c>
    </row>
    <row r="495" customFormat="false" ht="13.5" hidden="false" customHeight="false" outlineLevel="0" collapsed="false">
      <c r="A495" s="109" t="n">
        <v>495</v>
      </c>
      <c r="B495" s="110" t="str">
        <f aca="false">IFERROR(IF([2]对账明细接口!$B$495=0,"",[2]对账明细接口!$B$495),"")</f>
        <v/>
      </c>
      <c r="C495" s="59" t="str">
        <f aca="false">IFERROR(IF([2]对账明细接口!$C$495=0,"",[2]对账明细接口!$C$495),"")</f>
        <v/>
      </c>
      <c r="D495" s="59" t="str">
        <f aca="false">IFERROR(IF([2]对账明细接口!$D$495=0,"",[2]对账明细接口!$D$495),"")</f>
        <v/>
      </c>
      <c r="E495" s="59" t="str">
        <f aca="false">IFERROR(IF([2]对账明细接口!$E$495=0,"",[2]对账明细接口!$E$495),"")</f>
        <v/>
      </c>
      <c r="F495" s="59" t="str">
        <f aca="false">IFERROR(IF([2]对账明细接口!$F$495=0,"",[2]对账明细接口!$F$495),"")</f>
        <v/>
      </c>
      <c r="G495" s="59" t="str">
        <f aca="false">IFERROR(IF([2]对账明细接口!$G$495=0,"",[2]对账明细接口!$G$495),"")</f>
        <v/>
      </c>
      <c r="H495" s="60" t="str">
        <f aca="false">IFERROR(IF([2]对账明细接口!$H$495=0,"",[2]对账明细接口!$H$495),"")</f>
        <v/>
      </c>
      <c r="I495" s="59" t="str">
        <f aca="false">IFERROR(IF([2]对账明细接口!$I$495=0,"",[2]对账明细接口!$I$495),"")</f>
        <v/>
      </c>
      <c r="J495" s="61" t="str">
        <f aca="false">IFERROR(IF([2]对账明细接口!$J$495=0,"",[2]对账明细接口!$J$495),"")</f>
        <v/>
      </c>
      <c r="K495" s="61" t="str">
        <f aca="false">IFERROR(IF([2]对账明细接口!$K$495=0,"",[2]对账明细接口!$K$495),"")</f>
        <v/>
      </c>
      <c r="L495" s="59" t="str">
        <f aca="false">IFERROR(IF([2]对账明细接口!$L$495=0,"",[2]对账明细接口!$L$495),"")</f>
        <v/>
      </c>
      <c r="M495" s="59" t="str">
        <f aca="false">IFERROR(IF([2]对账明细接口!$M$495=0,"",[2]对账明细接口!$M$495),"")</f>
        <v/>
      </c>
      <c r="N495" s="111" t="n">
        <f aca="false">IF($C495="",0,1)</f>
        <v>0</v>
      </c>
      <c r="O495" s="111" t="n">
        <f aca="false">N(O494)+$N495</f>
        <v>311</v>
      </c>
      <c r="S495" s="10" t="str">
        <f aca="false">IFERROR(IF([2]对账明细接口!$N495=0,"",[2]对账明细接口!$N495),"")</f>
        <v/>
      </c>
      <c r="T495" s="112" t="str">
        <f aca="false">IFERROR(IF([2]对账明细接口!$O495=0,"",[2]对账明细接口!$O495),"")</f>
        <v/>
      </c>
      <c r="U495" s="112" t="str">
        <f aca="false">IFERROR(IF([2]对账明细接口!$P495=0,"",[2]对账明细接口!$P495),"")</f>
        <v/>
      </c>
      <c r="V495" s="112" t="str">
        <f aca="false">IFERROR(IF([2]对账明细接口!$Q495=0,"",[2]对账明细接口!$Q495),"")</f>
        <v/>
      </c>
      <c r="W495" s="10" t="str">
        <f aca="false">IFERROR(IF([2]对账明细接口!$R495=0,"",[2]对账明细接口!$R495),"")</f>
        <v/>
      </c>
      <c r="X495" s="10" t="str">
        <f aca="false">IFERROR(IF([2]对账明细接口!$S495=0,"",[2]对账明细接口!$S495),"")</f>
        <v/>
      </c>
      <c r="Y495" s="10" t="str">
        <f aca="false">IFERROR(IF([2]对账明细接口!$T495=0,"",[2]对账明细接口!$T495),"")</f>
        <v/>
      </c>
      <c r="Z495" s="113" t="str">
        <f aca="false">IFERROR(IF([2]对账明细接口!$U495=0,"",[2]对账明细接口!$U495),"")</f>
        <v/>
      </c>
      <c r="AA495" s="113" t="str">
        <f aca="false">IFERROR(IF([2]对账明细接口!$V495=0,"",[2]对账明细接口!$V495),"")</f>
        <v/>
      </c>
      <c r="AB495" s="10" t="str">
        <f aca="false">IFERROR(IF([2]对账明细接口!$W495=0,"",[2]对账明细接口!$W495),"")</f>
        <v/>
      </c>
      <c r="AC495" s="90" t="str">
        <f aca="false">IFERROR(IF([2]对账明细接口!$X496=0,"",[2]对账明细接口!$X496),"")</f>
        <v/>
      </c>
      <c r="AD495" s="90" t="str">
        <f aca="false">IFERROR(IF([2]对账明细接口!$Y496=0,"",[2]对账明细接口!$Y496),"")</f>
        <v/>
      </c>
      <c r="AE495" s="90" t="str">
        <f aca="false">IFERROR(IF([2]对账明细接口!$AA496=0,"",[2]对账明细接口!$AA496),"")</f>
        <v/>
      </c>
      <c r="AF495" s="90" t="str">
        <f aca="false">IFERROR(IF([2]对账明细接口!$AB496=0,"",[2]对账明细接口!$AB496),"")</f>
        <v/>
      </c>
      <c r="AG495" s="90" t="str">
        <f aca="false">IFERROR(IF([2]对账明细接口!$AC496=0,"",[2]对账明细接口!$AC496),"")</f>
        <v/>
      </c>
      <c r="AH495" s="90" t="str">
        <f aca="false">IFERROR(IF([2]对账明细接口!$AD496=0,"",[2]对账明细接口!$AD496),"")</f>
        <v/>
      </c>
    </row>
    <row r="496" customFormat="false" ht="13.5" hidden="false" customHeight="false" outlineLevel="0" collapsed="false">
      <c r="A496" s="109" t="n">
        <v>496</v>
      </c>
      <c r="B496" s="110" t="str">
        <f aca="false">IFERROR(IF([2]对账明细接口!$B$496=0,"",[2]对账明细接口!$B$496),"")</f>
        <v/>
      </c>
      <c r="C496" s="59" t="str">
        <f aca="false">IFERROR(IF([2]对账明细接口!$C$496=0,"",[2]对账明细接口!$C$496),"")</f>
        <v/>
      </c>
      <c r="D496" s="59" t="str">
        <f aca="false">IFERROR(IF([2]对账明细接口!$D$496=0,"",[2]对账明细接口!$D$496),"")</f>
        <v/>
      </c>
      <c r="E496" s="59" t="str">
        <f aca="false">IFERROR(IF([2]对账明细接口!$E$496=0,"",[2]对账明细接口!$E$496),"")</f>
        <v/>
      </c>
      <c r="F496" s="59" t="str">
        <f aca="false">IFERROR(IF([2]对账明细接口!$F$496=0,"",[2]对账明细接口!$F$496),"")</f>
        <v/>
      </c>
      <c r="G496" s="59" t="str">
        <f aca="false">IFERROR(IF([2]对账明细接口!$G$496=0,"",[2]对账明细接口!$G$496),"")</f>
        <v/>
      </c>
      <c r="H496" s="60" t="str">
        <f aca="false">IFERROR(IF([2]对账明细接口!$H$496=0,"",[2]对账明细接口!$H$496),"")</f>
        <v/>
      </c>
      <c r="I496" s="59" t="str">
        <f aca="false">IFERROR(IF([2]对账明细接口!$I$496=0,"",[2]对账明细接口!$I$496),"")</f>
        <v/>
      </c>
      <c r="J496" s="61" t="str">
        <f aca="false">IFERROR(IF([2]对账明细接口!$J$496=0,"",[2]对账明细接口!$J$496),"")</f>
        <v/>
      </c>
      <c r="K496" s="61" t="str">
        <f aca="false">IFERROR(IF([2]对账明细接口!$K$496=0,"",[2]对账明细接口!$K$496),"")</f>
        <v/>
      </c>
      <c r="L496" s="59" t="str">
        <f aca="false">IFERROR(IF([2]对账明细接口!$L$496=0,"",[2]对账明细接口!$L$496),"")</f>
        <v/>
      </c>
      <c r="M496" s="59" t="str">
        <f aca="false">IFERROR(IF([2]对账明细接口!$M$496=0,"",[2]对账明细接口!$M$496),"")</f>
        <v/>
      </c>
      <c r="N496" s="111" t="n">
        <f aca="false">IF($C496="",0,1)</f>
        <v>0</v>
      </c>
      <c r="O496" s="111" t="n">
        <f aca="false">N(O495)+$N496</f>
        <v>311</v>
      </c>
      <c r="S496" s="10" t="str">
        <f aca="false">IFERROR(IF([2]对账明细接口!$N496=0,"",[2]对账明细接口!$N496),"")</f>
        <v/>
      </c>
      <c r="T496" s="112" t="str">
        <f aca="false">IFERROR(IF([2]对账明细接口!$O496=0,"",[2]对账明细接口!$O496),"")</f>
        <v/>
      </c>
      <c r="U496" s="112" t="str">
        <f aca="false">IFERROR(IF([2]对账明细接口!$P496=0,"",[2]对账明细接口!$P496),"")</f>
        <v/>
      </c>
      <c r="V496" s="112" t="str">
        <f aca="false">IFERROR(IF([2]对账明细接口!$Q496=0,"",[2]对账明细接口!$Q496),"")</f>
        <v/>
      </c>
      <c r="W496" s="10" t="str">
        <f aca="false">IFERROR(IF([2]对账明细接口!$R496=0,"",[2]对账明细接口!$R496),"")</f>
        <v/>
      </c>
      <c r="X496" s="10" t="str">
        <f aca="false">IFERROR(IF([2]对账明细接口!$S496=0,"",[2]对账明细接口!$S496),"")</f>
        <v/>
      </c>
      <c r="Y496" s="10" t="str">
        <f aca="false">IFERROR(IF([2]对账明细接口!$T496=0,"",[2]对账明细接口!$T496),"")</f>
        <v/>
      </c>
      <c r="Z496" s="113" t="str">
        <f aca="false">IFERROR(IF([2]对账明细接口!$U496=0,"",[2]对账明细接口!$U496),"")</f>
        <v/>
      </c>
      <c r="AA496" s="113" t="str">
        <f aca="false">IFERROR(IF([2]对账明细接口!$V496=0,"",[2]对账明细接口!$V496),"")</f>
        <v/>
      </c>
      <c r="AB496" s="10" t="str">
        <f aca="false">IFERROR(IF([2]对账明细接口!$W496=0,"",[2]对账明细接口!$W496),"")</f>
        <v/>
      </c>
      <c r="AC496" s="90" t="str">
        <f aca="false">IFERROR(IF([2]对账明细接口!$X497=0,"",[2]对账明细接口!$X497),"")</f>
        <v/>
      </c>
      <c r="AD496" s="90" t="str">
        <f aca="false">IFERROR(IF([2]对账明细接口!$Y497=0,"",[2]对账明细接口!$Y497),"")</f>
        <v/>
      </c>
      <c r="AE496" s="90" t="str">
        <f aca="false">IFERROR(IF([2]对账明细接口!$AA497=0,"",[2]对账明细接口!$AA497),"")</f>
        <v/>
      </c>
      <c r="AF496" s="90" t="str">
        <f aca="false">IFERROR(IF([2]对账明细接口!$AB497=0,"",[2]对账明细接口!$AB497),"")</f>
        <v/>
      </c>
      <c r="AG496" s="90" t="str">
        <f aca="false">IFERROR(IF([2]对账明细接口!$AC497=0,"",[2]对账明细接口!$AC497),"")</f>
        <v/>
      </c>
      <c r="AH496" s="90" t="str">
        <f aca="false">IFERROR(IF([2]对账明细接口!$AD497=0,"",[2]对账明细接口!$AD497),"")</f>
        <v/>
      </c>
    </row>
    <row r="497" customFormat="false" ht="13.5" hidden="false" customHeight="false" outlineLevel="0" collapsed="false">
      <c r="A497" s="109" t="n">
        <v>497</v>
      </c>
      <c r="B497" s="110" t="str">
        <f aca="false">IFERROR(IF([2]对账明细接口!$B$497=0,"",[2]对账明细接口!$B$497),"")</f>
        <v/>
      </c>
      <c r="C497" s="59" t="str">
        <f aca="false">IFERROR(IF([2]对账明细接口!$C$497=0,"",[2]对账明细接口!$C$497),"")</f>
        <v/>
      </c>
      <c r="D497" s="59" t="str">
        <f aca="false">IFERROR(IF([2]对账明细接口!$D$497=0,"",[2]对账明细接口!$D$497),"")</f>
        <v/>
      </c>
      <c r="E497" s="59" t="str">
        <f aca="false">IFERROR(IF([2]对账明细接口!$E$497=0,"",[2]对账明细接口!$E$497),"")</f>
        <v/>
      </c>
      <c r="F497" s="59" t="str">
        <f aca="false">IFERROR(IF([2]对账明细接口!$F$497=0,"",[2]对账明细接口!$F$497),"")</f>
        <v/>
      </c>
      <c r="G497" s="59" t="str">
        <f aca="false">IFERROR(IF([2]对账明细接口!$G$497=0,"",[2]对账明细接口!$G$497),"")</f>
        <v/>
      </c>
      <c r="H497" s="60" t="str">
        <f aca="false">IFERROR(IF([2]对账明细接口!$H$497=0,"",[2]对账明细接口!$H$497),"")</f>
        <v/>
      </c>
      <c r="I497" s="59" t="str">
        <f aca="false">IFERROR(IF([2]对账明细接口!$I$497=0,"",[2]对账明细接口!$I$497),"")</f>
        <v/>
      </c>
      <c r="J497" s="61" t="str">
        <f aca="false">IFERROR(IF([2]对账明细接口!$J$497=0,"",[2]对账明细接口!$J$497),"")</f>
        <v/>
      </c>
      <c r="K497" s="61" t="str">
        <f aca="false">IFERROR(IF([2]对账明细接口!$K$497=0,"",[2]对账明细接口!$K$497),"")</f>
        <v/>
      </c>
      <c r="L497" s="59" t="str">
        <f aca="false">IFERROR(IF([2]对账明细接口!$L$497=0,"",[2]对账明细接口!$L$497),"")</f>
        <v/>
      </c>
      <c r="M497" s="59" t="str">
        <f aca="false">IFERROR(IF([2]对账明细接口!$M$497=0,"",[2]对账明细接口!$M$497),"")</f>
        <v/>
      </c>
      <c r="N497" s="111" t="n">
        <f aca="false">IF($C497="",0,1)</f>
        <v>0</v>
      </c>
      <c r="O497" s="111" t="n">
        <f aca="false">N(O496)+$N497</f>
        <v>311</v>
      </c>
      <c r="S497" s="10" t="str">
        <f aca="false">IFERROR(IF([2]对账明细接口!$N497=0,"",[2]对账明细接口!$N497),"")</f>
        <v/>
      </c>
      <c r="T497" s="112" t="str">
        <f aca="false">IFERROR(IF([2]对账明细接口!$O497=0,"",[2]对账明细接口!$O497),"")</f>
        <v/>
      </c>
      <c r="U497" s="112" t="str">
        <f aca="false">IFERROR(IF([2]对账明细接口!$P497=0,"",[2]对账明细接口!$P497),"")</f>
        <v/>
      </c>
      <c r="V497" s="112" t="str">
        <f aca="false">IFERROR(IF([2]对账明细接口!$Q497=0,"",[2]对账明细接口!$Q497),"")</f>
        <v/>
      </c>
      <c r="W497" s="10" t="str">
        <f aca="false">IFERROR(IF([2]对账明细接口!$R497=0,"",[2]对账明细接口!$R497),"")</f>
        <v/>
      </c>
      <c r="X497" s="10" t="str">
        <f aca="false">IFERROR(IF([2]对账明细接口!$S497=0,"",[2]对账明细接口!$S497),"")</f>
        <v/>
      </c>
      <c r="Y497" s="10" t="str">
        <f aca="false">IFERROR(IF([2]对账明细接口!$T497=0,"",[2]对账明细接口!$T497),"")</f>
        <v/>
      </c>
      <c r="Z497" s="113" t="str">
        <f aca="false">IFERROR(IF([2]对账明细接口!$U497=0,"",[2]对账明细接口!$U497),"")</f>
        <v/>
      </c>
      <c r="AA497" s="113" t="str">
        <f aca="false">IFERROR(IF([2]对账明细接口!$V497=0,"",[2]对账明细接口!$V497),"")</f>
        <v/>
      </c>
      <c r="AB497" s="10" t="str">
        <f aca="false">IFERROR(IF([2]对账明细接口!$W497=0,"",[2]对账明细接口!$W497),"")</f>
        <v/>
      </c>
      <c r="AC497" s="90" t="str">
        <f aca="false">IFERROR(IF([2]对账明细接口!$X498=0,"",[2]对账明细接口!$X498),"")</f>
        <v/>
      </c>
      <c r="AD497" s="90" t="str">
        <f aca="false">IFERROR(IF([2]对账明细接口!$Y498=0,"",[2]对账明细接口!$Y498),"")</f>
        <v/>
      </c>
      <c r="AE497" s="90" t="str">
        <f aca="false">IFERROR(IF([2]对账明细接口!$AA498=0,"",[2]对账明细接口!$AA498),"")</f>
        <v/>
      </c>
      <c r="AF497" s="90" t="str">
        <f aca="false">IFERROR(IF([2]对账明细接口!$AB498=0,"",[2]对账明细接口!$AB498),"")</f>
        <v/>
      </c>
      <c r="AG497" s="90" t="str">
        <f aca="false">IFERROR(IF([2]对账明细接口!$AC498=0,"",[2]对账明细接口!$AC498),"")</f>
        <v/>
      </c>
      <c r="AH497" s="90" t="str">
        <f aca="false">IFERROR(IF([2]对账明细接口!$AD498=0,"",[2]对账明细接口!$AD498),"")</f>
        <v/>
      </c>
    </row>
    <row r="498" customFormat="false" ht="13.5" hidden="false" customHeight="false" outlineLevel="0" collapsed="false">
      <c r="A498" s="109" t="n">
        <v>498</v>
      </c>
      <c r="B498" s="110" t="str">
        <f aca="false">IFERROR(IF([2]对账明细接口!$B$498=0,"",[2]对账明细接口!$B$498),"")</f>
        <v/>
      </c>
      <c r="C498" s="59" t="str">
        <f aca="false">IFERROR(IF([2]对账明细接口!$C$498=0,"",[2]对账明细接口!$C$498),"")</f>
        <v/>
      </c>
      <c r="D498" s="59" t="str">
        <f aca="false">IFERROR(IF([2]对账明细接口!$D$498=0,"",[2]对账明细接口!$D$498),"")</f>
        <v/>
      </c>
      <c r="E498" s="59" t="str">
        <f aca="false">IFERROR(IF([2]对账明细接口!$E$498=0,"",[2]对账明细接口!$E$498),"")</f>
        <v/>
      </c>
      <c r="F498" s="59" t="str">
        <f aca="false">IFERROR(IF([2]对账明细接口!$F$498=0,"",[2]对账明细接口!$F$498),"")</f>
        <v/>
      </c>
      <c r="G498" s="59" t="str">
        <f aca="false">IFERROR(IF([2]对账明细接口!$G$498=0,"",[2]对账明细接口!$G$498),"")</f>
        <v/>
      </c>
      <c r="H498" s="60" t="str">
        <f aca="false">IFERROR(IF([2]对账明细接口!$H$498=0,"",[2]对账明细接口!$H$498),"")</f>
        <v/>
      </c>
      <c r="I498" s="59" t="str">
        <f aca="false">IFERROR(IF([2]对账明细接口!$I$498=0,"",[2]对账明细接口!$I$498),"")</f>
        <v/>
      </c>
      <c r="J498" s="61" t="str">
        <f aca="false">IFERROR(IF([2]对账明细接口!$J$498=0,"",[2]对账明细接口!$J$498),"")</f>
        <v/>
      </c>
      <c r="K498" s="61" t="str">
        <f aca="false">IFERROR(IF([2]对账明细接口!$K$498=0,"",[2]对账明细接口!$K$498),"")</f>
        <v/>
      </c>
      <c r="L498" s="59" t="str">
        <f aca="false">IFERROR(IF([2]对账明细接口!$L$498=0,"",[2]对账明细接口!$L$498),"")</f>
        <v/>
      </c>
      <c r="M498" s="59" t="str">
        <f aca="false">IFERROR(IF([2]对账明细接口!$M$498=0,"",[2]对账明细接口!$M$498),"")</f>
        <v/>
      </c>
      <c r="N498" s="111" t="n">
        <f aca="false">IF($C498="",0,1)</f>
        <v>0</v>
      </c>
      <c r="O498" s="111" t="n">
        <f aca="false">N(O497)+$N498</f>
        <v>311</v>
      </c>
      <c r="S498" s="10" t="str">
        <f aca="false">IFERROR(IF([2]对账明细接口!$N498=0,"",[2]对账明细接口!$N498),"")</f>
        <v/>
      </c>
      <c r="T498" s="112" t="str">
        <f aca="false">IFERROR(IF([2]对账明细接口!$O498=0,"",[2]对账明细接口!$O498),"")</f>
        <v/>
      </c>
      <c r="U498" s="112" t="str">
        <f aca="false">IFERROR(IF([2]对账明细接口!$P498=0,"",[2]对账明细接口!$P498),"")</f>
        <v/>
      </c>
      <c r="V498" s="112" t="str">
        <f aca="false">IFERROR(IF([2]对账明细接口!$Q498=0,"",[2]对账明细接口!$Q498),"")</f>
        <v/>
      </c>
      <c r="W498" s="10" t="str">
        <f aca="false">IFERROR(IF([2]对账明细接口!$R498=0,"",[2]对账明细接口!$R498),"")</f>
        <v/>
      </c>
      <c r="X498" s="10" t="str">
        <f aca="false">IFERROR(IF([2]对账明细接口!$S498=0,"",[2]对账明细接口!$S498),"")</f>
        <v/>
      </c>
      <c r="Y498" s="10" t="str">
        <f aca="false">IFERROR(IF([2]对账明细接口!$T498=0,"",[2]对账明细接口!$T498),"")</f>
        <v/>
      </c>
      <c r="Z498" s="113" t="str">
        <f aca="false">IFERROR(IF([2]对账明细接口!$U498=0,"",[2]对账明细接口!$U498),"")</f>
        <v/>
      </c>
      <c r="AA498" s="113" t="str">
        <f aca="false">IFERROR(IF([2]对账明细接口!$V498=0,"",[2]对账明细接口!$V498),"")</f>
        <v/>
      </c>
      <c r="AB498" s="10" t="str">
        <f aca="false">IFERROR(IF([2]对账明细接口!$W498=0,"",[2]对账明细接口!$W498),"")</f>
        <v/>
      </c>
      <c r="AC498" s="90" t="str">
        <f aca="false">IFERROR(IF([2]对账明细接口!$X499=0,"",[2]对账明细接口!$X499),"")</f>
        <v/>
      </c>
      <c r="AD498" s="90" t="str">
        <f aca="false">IFERROR(IF([2]对账明细接口!$Y499=0,"",[2]对账明细接口!$Y499),"")</f>
        <v/>
      </c>
      <c r="AE498" s="90" t="str">
        <f aca="false">IFERROR(IF([2]对账明细接口!$AA499=0,"",[2]对账明细接口!$AA499),"")</f>
        <v/>
      </c>
      <c r="AF498" s="90" t="str">
        <f aca="false">IFERROR(IF([2]对账明细接口!$AB499=0,"",[2]对账明细接口!$AB499),"")</f>
        <v/>
      </c>
      <c r="AG498" s="90" t="str">
        <f aca="false">IFERROR(IF([2]对账明细接口!$AC499=0,"",[2]对账明细接口!$AC499),"")</f>
        <v/>
      </c>
      <c r="AH498" s="90" t="str">
        <f aca="false">IFERROR(IF([2]对账明细接口!$AD499=0,"",[2]对账明细接口!$AD499),"")</f>
        <v/>
      </c>
    </row>
    <row r="499" customFormat="false" ht="13.5" hidden="false" customHeight="false" outlineLevel="0" collapsed="false">
      <c r="A499" s="109" t="n">
        <v>499</v>
      </c>
      <c r="B499" s="110" t="str">
        <f aca="false">IFERROR(IF([2]对账明细接口!$B$499=0,"",[2]对账明细接口!$B$499),"")</f>
        <v/>
      </c>
      <c r="C499" s="59" t="str">
        <f aca="false">IFERROR(IF([2]对账明细接口!$C$499=0,"",[2]对账明细接口!$C$499),"")</f>
        <v/>
      </c>
      <c r="D499" s="59" t="str">
        <f aca="false">IFERROR(IF([2]对账明细接口!$D$499=0,"",[2]对账明细接口!$D$499),"")</f>
        <v/>
      </c>
      <c r="E499" s="59" t="str">
        <f aca="false">IFERROR(IF([2]对账明细接口!$E$499=0,"",[2]对账明细接口!$E$499),"")</f>
        <v/>
      </c>
      <c r="F499" s="59" t="str">
        <f aca="false">IFERROR(IF([2]对账明细接口!$F$499=0,"",[2]对账明细接口!$F$499),"")</f>
        <v/>
      </c>
      <c r="G499" s="59" t="str">
        <f aca="false">IFERROR(IF([2]对账明细接口!$G$499=0,"",[2]对账明细接口!$G$499),"")</f>
        <v/>
      </c>
      <c r="H499" s="60" t="str">
        <f aca="false">IFERROR(IF([2]对账明细接口!$H$499=0,"",[2]对账明细接口!$H$499),"")</f>
        <v/>
      </c>
      <c r="I499" s="59" t="str">
        <f aca="false">IFERROR(IF([2]对账明细接口!$I$499=0,"",[2]对账明细接口!$I$499),"")</f>
        <v/>
      </c>
      <c r="J499" s="61" t="str">
        <f aca="false">IFERROR(IF([2]对账明细接口!$J$499=0,"",[2]对账明细接口!$J$499),"")</f>
        <v/>
      </c>
      <c r="K499" s="61" t="str">
        <f aca="false">IFERROR(IF([2]对账明细接口!$K$499=0,"",[2]对账明细接口!$K$499),"")</f>
        <v/>
      </c>
      <c r="L499" s="59" t="str">
        <f aca="false">IFERROR(IF([2]对账明细接口!$L$499=0,"",[2]对账明细接口!$L$499),"")</f>
        <v/>
      </c>
      <c r="M499" s="59" t="str">
        <f aca="false">IFERROR(IF([2]对账明细接口!$M$499=0,"",[2]对账明细接口!$M$499),"")</f>
        <v/>
      </c>
      <c r="N499" s="111" t="n">
        <f aca="false">IF($C499="",0,1)</f>
        <v>0</v>
      </c>
      <c r="O499" s="111" t="n">
        <f aca="false">N(O498)+$N499</f>
        <v>311</v>
      </c>
      <c r="S499" s="10" t="str">
        <f aca="false">IFERROR(IF([2]对账明细接口!$N499=0,"",[2]对账明细接口!$N499),"")</f>
        <v/>
      </c>
      <c r="T499" s="112" t="str">
        <f aca="false">IFERROR(IF([2]对账明细接口!$O499=0,"",[2]对账明细接口!$O499),"")</f>
        <v/>
      </c>
      <c r="U499" s="112" t="str">
        <f aca="false">IFERROR(IF([2]对账明细接口!$P499=0,"",[2]对账明细接口!$P499),"")</f>
        <v/>
      </c>
      <c r="V499" s="112" t="str">
        <f aca="false">IFERROR(IF([2]对账明细接口!$Q499=0,"",[2]对账明细接口!$Q499),"")</f>
        <v/>
      </c>
      <c r="W499" s="10" t="str">
        <f aca="false">IFERROR(IF([2]对账明细接口!$R499=0,"",[2]对账明细接口!$R499),"")</f>
        <v/>
      </c>
      <c r="X499" s="10" t="str">
        <f aca="false">IFERROR(IF([2]对账明细接口!$S499=0,"",[2]对账明细接口!$S499),"")</f>
        <v/>
      </c>
      <c r="Y499" s="10" t="str">
        <f aca="false">IFERROR(IF([2]对账明细接口!$T499=0,"",[2]对账明细接口!$T499),"")</f>
        <v/>
      </c>
      <c r="Z499" s="113" t="str">
        <f aca="false">IFERROR(IF([2]对账明细接口!$U499=0,"",[2]对账明细接口!$U499),"")</f>
        <v/>
      </c>
      <c r="AA499" s="113" t="str">
        <f aca="false">IFERROR(IF([2]对账明细接口!$V499=0,"",[2]对账明细接口!$V499),"")</f>
        <v/>
      </c>
      <c r="AB499" s="10" t="str">
        <f aca="false">IFERROR(IF([2]对账明细接口!$W499=0,"",[2]对账明细接口!$W499),"")</f>
        <v/>
      </c>
      <c r="AC499" s="90" t="str">
        <f aca="false">IFERROR(IF([2]对账明细接口!$X500=0,"",[2]对账明细接口!$X500),"")</f>
        <v/>
      </c>
      <c r="AD499" s="90" t="str">
        <f aca="false">IFERROR(IF([2]对账明细接口!$Y500=0,"",[2]对账明细接口!$Y500),"")</f>
        <v/>
      </c>
      <c r="AE499" s="90" t="str">
        <f aca="false">IFERROR(IF([2]对账明细接口!$AA500=0,"",[2]对账明细接口!$AA500),"")</f>
        <v/>
      </c>
      <c r="AF499" s="90" t="str">
        <f aca="false">IFERROR(IF([2]对账明细接口!$AB500=0,"",[2]对账明细接口!$AB500),"")</f>
        <v/>
      </c>
      <c r="AG499" s="90" t="str">
        <f aca="false">IFERROR(IF([2]对账明细接口!$AC500=0,"",[2]对账明细接口!$AC500),"")</f>
        <v/>
      </c>
      <c r="AH499" s="90" t="str">
        <f aca="false">IFERROR(IF([2]对账明细接口!$AD500=0,"",[2]对账明细接口!$AD500),"")</f>
        <v/>
      </c>
    </row>
    <row r="500" customFormat="false" ht="13.5" hidden="false" customHeight="false" outlineLevel="0" collapsed="false">
      <c r="A500" s="109" t="n">
        <v>500</v>
      </c>
      <c r="B500" s="110" t="str">
        <f aca="false">IFERROR(IF([2]对账明细接口!$B$500=0,"",[2]对账明细接口!$B$500),"")</f>
        <v/>
      </c>
      <c r="C500" s="59" t="str">
        <f aca="false">IFERROR(IF([2]对账明细接口!$C$500=0,"",[2]对账明细接口!$C$500),"")</f>
        <v/>
      </c>
      <c r="D500" s="59" t="str">
        <f aca="false">IFERROR(IF([2]对账明细接口!$D$500=0,"",[2]对账明细接口!$D$500),"")</f>
        <v/>
      </c>
      <c r="E500" s="59" t="str">
        <f aca="false">IFERROR(IF([2]对账明细接口!$E$500=0,"",[2]对账明细接口!$E$500),"")</f>
        <v/>
      </c>
      <c r="F500" s="59" t="str">
        <f aca="false">IFERROR(IF([2]对账明细接口!$F$500=0,"",[2]对账明细接口!$F$500),"")</f>
        <v/>
      </c>
      <c r="G500" s="59" t="str">
        <f aca="false">IFERROR(IF([2]对账明细接口!$G$500=0,"",[2]对账明细接口!$G$500),"")</f>
        <v/>
      </c>
      <c r="H500" s="60" t="str">
        <f aca="false">IFERROR(IF([2]对账明细接口!$H$500=0,"",[2]对账明细接口!$H$500),"")</f>
        <v/>
      </c>
      <c r="I500" s="59" t="str">
        <f aca="false">IFERROR(IF([2]对账明细接口!$I$500=0,"",[2]对账明细接口!$I$500),"")</f>
        <v/>
      </c>
      <c r="J500" s="61" t="str">
        <f aca="false">IFERROR(IF([2]对账明细接口!$J$500=0,"",[2]对账明细接口!$J$500),"")</f>
        <v/>
      </c>
      <c r="K500" s="61" t="str">
        <f aca="false">IFERROR(IF([2]对账明细接口!$K$500=0,"",[2]对账明细接口!$K$500),"")</f>
        <v/>
      </c>
      <c r="L500" s="59" t="str">
        <f aca="false">IFERROR(IF([2]对账明细接口!$L$500=0,"",[2]对账明细接口!$L$500),"")</f>
        <v/>
      </c>
      <c r="M500" s="59" t="str">
        <f aca="false">IFERROR(IF([2]对账明细接口!$M$500=0,"",[2]对账明细接口!$M$500),"")</f>
        <v/>
      </c>
      <c r="N500" s="111" t="n">
        <f aca="false">IF($C500="",0,1)</f>
        <v>0</v>
      </c>
      <c r="O500" s="111" t="n">
        <f aca="false">N(O499)+$N500</f>
        <v>311</v>
      </c>
      <c r="S500" s="10" t="str">
        <f aca="false">IFERROR(IF([2]对账明细接口!$N500=0,"",[2]对账明细接口!$N500),"")</f>
        <v/>
      </c>
      <c r="T500" s="112" t="str">
        <f aca="false">IFERROR(IF([2]对账明细接口!$O500=0,"",[2]对账明细接口!$O500),"")</f>
        <v/>
      </c>
      <c r="U500" s="112" t="str">
        <f aca="false">IFERROR(IF([2]对账明细接口!$P500=0,"",[2]对账明细接口!$P500),"")</f>
        <v/>
      </c>
      <c r="V500" s="112" t="str">
        <f aca="false">IFERROR(IF([2]对账明细接口!$Q500=0,"",[2]对账明细接口!$Q500),"")</f>
        <v/>
      </c>
      <c r="W500" s="10" t="str">
        <f aca="false">IFERROR(IF([2]对账明细接口!$R500=0,"",[2]对账明细接口!$R500),"")</f>
        <v/>
      </c>
      <c r="X500" s="10" t="str">
        <f aca="false">IFERROR(IF([2]对账明细接口!$S500=0,"",[2]对账明细接口!$S500),"")</f>
        <v/>
      </c>
      <c r="Y500" s="10" t="str">
        <f aca="false">IFERROR(IF([2]对账明细接口!$T500=0,"",[2]对账明细接口!$T500),"")</f>
        <v/>
      </c>
      <c r="Z500" s="113" t="str">
        <f aca="false">IFERROR(IF([2]对账明细接口!$U500=0,"",[2]对账明细接口!$U500),"")</f>
        <v/>
      </c>
      <c r="AA500" s="113" t="str">
        <f aca="false">IFERROR(IF([2]对账明细接口!$V500=0,"",[2]对账明细接口!$V500),"")</f>
        <v/>
      </c>
      <c r="AB500" s="10" t="str">
        <f aca="false">IFERROR(IF([2]对账明细接口!$W500=0,"",[2]对账明细接口!$W500),"")</f>
        <v/>
      </c>
      <c r="AC500" s="90" t="str">
        <f aca="false">IFERROR(IF([2]对账明细接口!$X501=0,"",[2]对账明细接口!$X501),"")</f>
        <v/>
      </c>
      <c r="AD500" s="90" t="str">
        <f aca="false">IFERROR(IF([2]对账明细接口!$Y501=0,"",[2]对账明细接口!$Y501),"")</f>
        <v/>
      </c>
      <c r="AE500" s="90" t="str">
        <f aca="false">IFERROR(IF([2]对账明细接口!$AA501=0,"",[2]对账明细接口!$AA501),"")</f>
        <v/>
      </c>
      <c r="AF500" s="90" t="str">
        <f aca="false">IFERROR(IF([2]对账明细接口!$AB501=0,"",[2]对账明细接口!$AB501),"")</f>
        <v/>
      </c>
      <c r="AG500" s="90" t="str">
        <f aca="false">IFERROR(IF([2]对账明细接口!$AC501=0,"",[2]对账明细接口!$AC501),"")</f>
        <v/>
      </c>
      <c r="AH500" s="90" t="str">
        <f aca="false">IFERROR(IF([2]对账明细接口!$AD501=0,"",[2]对账明细接口!$AD501),"")</f>
        <v/>
      </c>
    </row>
    <row r="501" customFormat="false" ht="13.5" hidden="false" customHeight="false" outlineLevel="0" collapsed="false">
      <c r="A501" s="109" t="n">
        <v>501</v>
      </c>
      <c r="B501" s="110" t="str">
        <f aca="false">IFERROR(IF([2]对账明细接口!$B$501=0,"",[2]对账明细接口!$B$501),"")</f>
        <v/>
      </c>
      <c r="C501" s="59" t="str">
        <f aca="false">IFERROR(IF([2]对账明细接口!$C$501=0,"",[2]对账明细接口!$C$501),"")</f>
        <v/>
      </c>
      <c r="D501" s="59" t="str">
        <f aca="false">IFERROR(IF([2]对账明细接口!$D$501=0,"",[2]对账明细接口!$D$501),"")</f>
        <v/>
      </c>
      <c r="E501" s="59" t="str">
        <f aca="false">IFERROR(IF([2]对账明细接口!$E$501=0,"",[2]对账明细接口!$E$501),"")</f>
        <v/>
      </c>
      <c r="F501" s="59" t="str">
        <f aca="false">IFERROR(IF([2]对账明细接口!$F$501=0,"",[2]对账明细接口!$F$501),"")</f>
        <v/>
      </c>
      <c r="G501" s="59" t="str">
        <f aca="false">IFERROR(IF([2]对账明细接口!$G$501=0,"",[2]对账明细接口!$G$501),"")</f>
        <v/>
      </c>
      <c r="H501" s="60" t="str">
        <f aca="false">IFERROR(IF([2]对账明细接口!$H$501=0,"",[2]对账明细接口!$H$501),"")</f>
        <v/>
      </c>
      <c r="I501" s="59" t="str">
        <f aca="false">IFERROR(IF([2]对账明细接口!$I$501=0,"",[2]对账明细接口!$I$501),"")</f>
        <v/>
      </c>
      <c r="J501" s="61" t="str">
        <f aca="false">IFERROR(IF([2]对账明细接口!$J$501=0,"",[2]对账明细接口!$J$501),"")</f>
        <v/>
      </c>
      <c r="K501" s="61" t="str">
        <f aca="false">IFERROR(IF([2]对账明细接口!$K$501=0,"",[2]对账明细接口!$K$501),"")</f>
        <v/>
      </c>
      <c r="L501" s="59" t="str">
        <f aca="false">IFERROR(IF([2]对账明细接口!$L$501=0,"",[2]对账明细接口!$L$501),"")</f>
        <v/>
      </c>
      <c r="M501" s="59" t="str">
        <f aca="false">IFERROR(IF([2]对账明细接口!$M$501=0,"",[2]对账明细接口!$M$501),"")</f>
        <v/>
      </c>
      <c r="N501" s="111" t="n">
        <f aca="false">IF($C501="",0,1)</f>
        <v>0</v>
      </c>
      <c r="O501" s="111" t="n">
        <f aca="false">N(O500)+$N501</f>
        <v>311</v>
      </c>
      <c r="S501" s="10" t="str">
        <f aca="false">IFERROR(IF([2]对账明细接口!$N501=0,"",[2]对账明细接口!$N501),"")</f>
        <v/>
      </c>
      <c r="T501" s="112" t="str">
        <f aca="false">IFERROR(IF([2]对账明细接口!$O501=0,"",[2]对账明细接口!$O501),"")</f>
        <v/>
      </c>
      <c r="U501" s="112" t="str">
        <f aca="false">IFERROR(IF([2]对账明细接口!$P501=0,"",[2]对账明细接口!$P501),"")</f>
        <v/>
      </c>
      <c r="V501" s="112" t="str">
        <f aca="false">IFERROR(IF([2]对账明细接口!$Q501=0,"",[2]对账明细接口!$Q501),"")</f>
        <v/>
      </c>
      <c r="W501" s="10" t="str">
        <f aca="false">IFERROR(IF([2]对账明细接口!$R501=0,"",[2]对账明细接口!$R501),"")</f>
        <v/>
      </c>
      <c r="X501" s="10" t="str">
        <f aca="false">IFERROR(IF([2]对账明细接口!$S501=0,"",[2]对账明细接口!$S501),"")</f>
        <v/>
      </c>
      <c r="Y501" s="10" t="str">
        <f aca="false">IFERROR(IF([2]对账明细接口!$T501=0,"",[2]对账明细接口!$T501),"")</f>
        <v/>
      </c>
      <c r="Z501" s="113" t="str">
        <f aca="false">IFERROR(IF([2]对账明细接口!$U501=0,"",[2]对账明细接口!$U501),"")</f>
        <v/>
      </c>
      <c r="AA501" s="113" t="str">
        <f aca="false">IFERROR(IF([2]对账明细接口!$V501=0,"",[2]对账明细接口!$V501),"")</f>
        <v/>
      </c>
      <c r="AB501" s="10" t="str">
        <f aca="false">IFERROR(IF([2]对账明细接口!$W501=0,"",[2]对账明细接口!$W501),"")</f>
        <v/>
      </c>
      <c r="AC501" s="90" t="str">
        <f aca="false">IFERROR(IF([2]对账明细接口!$X502=0,"",[2]对账明细接口!$X502),"")</f>
        <v/>
      </c>
      <c r="AD501" s="90" t="str">
        <f aca="false">IFERROR(IF([2]对账明细接口!$Y502=0,"",[2]对账明细接口!$Y502),"")</f>
        <v/>
      </c>
      <c r="AE501" s="90" t="str">
        <f aca="false">IFERROR(IF([2]对账明细接口!$AA502=0,"",[2]对账明细接口!$AA502),"")</f>
        <v/>
      </c>
      <c r="AF501" s="90" t="str">
        <f aca="false">IFERROR(IF([2]对账明细接口!$AB502=0,"",[2]对账明细接口!$AB502),"")</f>
        <v/>
      </c>
      <c r="AG501" s="90" t="str">
        <f aca="false">IFERROR(IF([2]对账明细接口!$AC502=0,"",[2]对账明细接口!$AC502),"")</f>
        <v/>
      </c>
      <c r="AH501" s="90" t="str">
        <f aca="false">IFERROR(IF([2]对账明细接口!$AD502=0,"",[2]对账明细接口!$AD502),"")</f>
        <v/>
      </c>
    </row>
    <row r="502" customFormat="false" ht="13.5" hidden="false" customHeight="false" outlineLevel="0" collapsed="false">
      <c r="A502" s="109" t="n">
        <v>502</v>
      </c>
      <c r="B502" s="110" t="str">
        <f aca="false">IFERROR(IF([2]对账明细接口!$B$502=0,"",[2]对账明细接口!$B$502),"")</f>
        <v/>
      </c>
      <c r="C502" s="59" t="str">
        <f aca="false">IFERROR(IF([2]对账明细接口!$C$502=0,"",[2]对账明细接口!$C$502),"")</f>
        <v/>
      </c>
      <c r="D502" s="59" t="str">
        <f aca="false">IFERROR(IF([2]对账明细接口!$D$502=0,"",[2]对账明细接口!$D$502),"")</f>
        <v/>
      </c>
      <c r="E502" s="59" t="str">
        <f aca="false">IFERROR(IF([2]对账明细接口!$E$502=0,"",[2]对账明细接口!$E$502),"")</f>
        <v/>
      </c>
      <c r="F502" s="59" t="str">
        <f aca="false">IFERROR(IF([2]对账明细接口!$F$502=0,"",[2]对账明细接口!$F$502),"")</f>
        <v/>
      </c>
      <c r="G502" s="59" t="str">
        <f aca="false">IFERROR(IF([2]对账明细接口!$G$502=0,"",[2]对账明细接口!$G$502),"")</f>
        <v/>
      </c>
      <c r="H502" s="60" t="str">
        <f aca="false">IFERROR(IF([2]对账明细接口!$H$502=0,"",[2]对账明细接口!$H$502),"")</f>
        <v/>
      </c>
      <c r="I502" s="59" t="str">
        <f aca="false">IFERROR(IF([2]对账明细接口!$I$502=0,"",[2]对账明细接口!$I$502),"")</f>
        <v/>
      </c>
      <c r="J502" s="61" t="str">
        <f aca="false">IFERROR(IF([2]对账明细接口!$J$502=0,"",[2]对账明细接口!$J$502),"")</f>
        <v/>
      </c>
      <c r="K502" s="61" t="str">
        <f aca="false">IFERROR(IF([2]对账明细接口!$K$502=0,"",[2]对账明细接口!$K$502),"")</f>
        <v/>
      </c>
      <c r="L502" s="59" t="str">
        <f aca="false">IFERROR(IF([2]对账明细接口!$L$502=0,"",[2]对账明细接口!$L$502),"")</f>
        <v/>
      </c>
      <c r="M502" s="59" t="str">
        <f aca="false">IFERROR(IF([2]对账明细接口!$M$502=0,"",[2]对账明细接口!$M$502),"")</f>
        <v/>
      </c>
      <c r="N502" s="111" t="n">
        <f aca="false">IF($C502="",0,1)</f>
        <v>0</v>
      </c>
      <c r="O502" s="111" t="n">
        <f aca="false">N(O501)+$N502</f>
        <v>311</v>
      </c>
      <c r="S502" s="10" t="str">
        <f aca="false">IFERROR(IF([2]对账明细接口!$N502=0,"",[2]对账明细接口!$N502),"")</f>
        <v/>
      </c>
      <c r="T502" s="112" t="str">
        <f aca="false">IFERROR(IF([2]对账明细接口!$O502=0,"",[2]对账明细接口!$O502),"")</f>
        <v/>
      </c>
      <c r="U502" s="112" t="str">
        <f aca="false">IFERROR(IF([2]对账明细接口!$P502=0,"",[2]对账明细接口!$P502),"")</f>
        <v/>
      </c>
      <c r="V502" s="112" t="str">
        <f aca="false">IFERROR(IF([2]对账明细接口!$Q502=0,"",[2]对账明细接口!$Q502),"")</f>
        <v/>
      </c>
      <c r="W502" s="10" t="str">
        <f aca="false">IFERROR(IF([2]对账明细接口!$R502=0,"",[2]对账明细接口!$R502),"")</f>
        <v/>
      </c>
      <c r="X502" s="10" t="str">
        <f aca="false">IFERROR(IF([2]对账明细接口!$S502=0,"",[2]对账明细接口!$S502),"")</f>
        <v/>
      </c>
      <c r="Y502" s="10" t="str">
        <f aca="false">IFERROR(IF([2]对账明细接口!$T502=0,"",[2]对账明细接口!$T502),"")</f>
        <v/>
      </c>
      <c r="Z502" s="113" t="str">
        <f aca="false">IFERROR(IF([2]对账明细接口!$U502=0,"",[2]对账明细接口!$U502),"")</f>
        <v/>
      </c>
      <c r="AA502" s="113" t="str">
        <f aca="false">IFERROR(IF([2]对账明细接口!$V502=0,"",[2]对账明细接口!$V502),"")</f>
        <v/>
      </c>
      <c r="AB502" s="10" t="str">
        <f aca="false">IFERROR(IF([2]对账明细接口!$W502=0,"",[2]对账明细接口!$W502),"")</f>
        <v/>
      </c>
      <c r="AC502" s="90" t="str">
        <f aca="false">IFERROR(IF([2]对账明细接口!$X503=0,"",[2]对账明细接口!$X503),"")</f>
        <v/>
      </c>
      <c r="AD502" s="90" t="str">
        <f aca="false">IFERROR(IF([2]对账明细接口!$Y503=0,"",[2]对账明细接口!$Y503),"")</f>
        <v/>
      </c>
      <c r="AE502" s="90" t="str">
        <f aca="false">IFERROR(IF([2]对账明细接口!$AA503=0,"",[2]对账明细接口!$AA503),"")</f>
        <v/>
      </c>
      <c r="AF502" s="90" t="str">
        <f aca="false">IFERROR(IF([2]对账明细接口!$AB503=0,"",[2]对账明细接口!$AB503),"")</f>
        <v/>
      </c>
      <c r="AG502" s="90" t="str">
        <f aca="false">IFERROR(IF([2]对账明细接口!$AC503=0,"",[2]对账明细接口!$AC503),"")</f>
        <v/>
      </c>
      <c r="AH502" s="90" t="str">
        <f aca="false">IFERROR(IF([2]对账明细接口!$AD503=0,"",[2]对账明细接口!$AD503),"")</f>
        <v/>
      </c>
    </row>
    <row r="503" customFormat="false" ht="13.5" hidden="false" customHeight="false" outlineLevel="0" collapsed="false">
      <c r="A503" s="109" t="n">
        <v>503</v>
      </c>
      <c r="B503" s="110" t="str">
        <f aca="false">IFERROR(IF([2]对账明细接口!$B$503=0,"",[2]对账明细接口!$B$503),"")</f>
        <v/>
      </c>
      <c r="C503" s="59" t="str">
        <f aca="false">IFERROR(IF([2]对账明细接口!$C$503=0,"",[2]对账明细接口!$C$503),"")</f>
        <v/>
      </c>
      <c r="D503" s="59" t="str">
        <f aca="false">IFERROR(IF([2]对账明细接口!$D$503=0,"",[2]对账明细接口!$D$503),"")</f>
        <v/>
      </c>
      <c r="E503" s="59" t="str">
        <f aca="false">IFERROR(IF([2]对账明细接口!$E$503=0,"",[2]对账明细接口!$E$503),"")</f>
        <v/>
      </c>
      <c r="F503" s="59" t="str">
        <f aca="false">IFERROR(IF([2]对账明细接口!$F$503=0,"",[2]对账明细接口!$F$503),"")</f>
        <v/>
      </c>
      <c r="G503" s="59" t="str">
        <f aca="false">IFERROR(IF([2]对账明细接口!$G$503=0,"",[2]对账明细接口!$G$503),"")</f>
        <v/>
      </c>
      <c r="H503" s="60" t="str">
        <f aca="false">IFERROR(IF([2]对账明细接口!$H$503=0,"",[2]对账明细接口!$H$503),"")</f>
        <v/>
      </c>
      <c r="I503" s="59" t="str">
        <f aca="false">IFERROR(IF([2]对账明细接口!$I$503=0,"",[2]对账明细接口!$I$503),"")</f>
        <v/>
      </c>
      <c r="J503" s="61" t="str">
        <f aca="false">IFERROR(IF([2]对账明细接口!$J$503=0,"",[2]对账明细接口!$J$503),"")</f>
        <v/>
      </c>
      <c r="K503" s="61" t="str">
        <f aca="false">IFERROR(IF([2]对账明细接口!$K$503=0,"",[2]对账明细接口!$K$503),"")</f>
        <v/>
      </c>
      <c r="L503" s="59" t="str">
        <f aca="false">IFERROR(IF([2]对账明细接口!$L$503=0,"",[2]对账明细接口!$L$503),"")</f>
        <v/>
      </c>
      <c r="M503" s="59" t="str">
        <f aca="false">IFERROR(IF([2]对账明细接口!$M$503=0,"",[2]对账明细接口!$M$503),"")</f>
        <v/>
      </c>
      <c r="N503" s="111" t="n">
        <f aca="false">IF($C503="",0,1)</f>
        <v>0</v>
      </c>
      <c r="O503" s="111" t="n">
        <f aca="false">N(O502)+$N503</f>
        <v>311</v>
      </c>
      <c r="S503" s="10" t="str">
        <f aca="false">IFERROR(IF([2]对账明细接口!$N503=0,"",[2]对账明细接口!$N503),"")</f>
        <v/>
      </c>
      <c r="T503" s="112" t="str">
        <f aca="false">IFERROR(IF([2]对账明细接口!$O503=0,"",[2]对账明细接口!$O503),"")</f>
        <v/>
      </c>
      <c r="U503" s="112" t="str">
        <f aca="false">IFERROR(IF([2]对账明细接口!$P503=0,"",[2]对账明细接口!$P503),"")</f>
        <v/>
      </c>
      <c r="V503" s="112" t="str">
        <f aca="false">IFERROR(IF([2]对账明细接口!$Q503=0,"",[2]对账明细接口!$Q503),"")</f>
        <v/>
      </c>
      <c r="W503" s="10" t="str">
        <f aca="false">IFERROR(IF([2]对账明细接口!$R503=0,"",[2]对账明细接口!$R503),"")</f>
        <v/>
      </c>
      <c r="X503" s="10" t="str">
        <f aca="false">IFERROR(IF([2]对账明细接口!$S503=0,"",[2]对账明细接口!$S503),"")</f>
        <v/>
      </c>
      <c r="Y503" s="10" t="str">
        <f aca="false">IFERROR(IF([2]对账明细接口!$T503=0,"",[2]对账明细接口!$T503),"")</f>
        <v/>
      </c>
      <c r="Z503" s="113" t="str">
        <f aca="false">IFERROR(IF([2]对账明细接口!$U503=0,"",[2]对账明细接口!$U503),"")</f>
        <v/>
      </c>
      <c r="AA503" s="113" t="str">
        <f aca="false">IFERROR(IF([2]对账明细接口!$V503=0,"",[2]对账明细接口!$V503),"")</f>
        <v/>
      </c>
      <c r="AB503" s="10" t="str">
        <f aca="false">IFERROR(IF([2]对账明细接口!$W503=0,"",[2]对账明细接口!$W503),"")</f>
        <v/>
      </c>
      <c r="AC503" s="90" t="str">
        <f aca="false">IFERROR(IF([2]对账明细接口!$X504=0,"",[2]对账明细接口!$X504),"")</f>
        <v/>
      </c>
      <c r="AD503" s="90" t="str">
        <f aca="false">IFERROR(IF([2]对账明细接口!$Y504=0,"",[2]对账明细接口!$Y504),"")</f>
        <v/>
      </c>
      <c r="AE503" s="90" t="str">
        <f aca="false">IFERROR(IF([2]对账明细接口!$AA504=0,"",[2]对账明细接口!$AA504),"")</f>
        <v/>
      </c>
      <c r="AF503" s="90" t="str">
        <f aca="false">IFERROR(IF([2]对账明细接口!$AB504=0,"",[2]对账明细接口!$AB504),"")</f>
        <v/>
      </c>
      <c r="AG503" s="90" t="str">
        <f aca="false">IFERROR(IF([2]对账明细接口!$AC504=0,"",[2]对账明细接口!$AC504),"")</f>
        <v/>
      </c>
      <c r="AH503" s="90" t="str">
        <f aca="false">IFERROR(IF([2]对账明细接口!$AD504=0,"",[2]对账明细接口!$AD504),"")</f>
        <v/>
      </c>
    </row>
    <row r="504" customFormat="false" ht="13.5" hidden="false" customHeight="false" outlineLevel="0" collapsed="false">
      <c r="A504" s="109" t="n">
        <v>504</v>
      </c>
      <c r="B504" s="110" t="str">
        <f aca="false">IFERROR(IF([2]对账明细接口!$B$504=0,"",[2]对账明细接口!$B$504),"")</f>
        <v/>
      </c>
      <c r="C504" s="59" t="str">
        <f aca="false">IFERROR(IF([2]对账明细接口!$C$504=0,"",[2]对账明细接口!$C$504),"")</f>
        <v/>
      </c>
      <c r="D504" s="59" t="str">
        <f aca="false">IFERROR(IF([2]对账明细接口!$D$504=0,"",[2]对账明细接口!$D$504),"")</f>
        <v/>
      </c>
      <c r="E504" s="59" t="str">
        <f aca="false">IFERROR(IF([2]对账明细接口!$E$504=0,"",[2]对账明细接口!$E$504),"")</f>
        <v/>
      </c>
      <c r="F504" s="59" t="str">
        <f aca="false">IFERROR(IF([2]对账明细接口!$F$504=0,"",[2]对账明细接口!$F$504),"")</f>
        <v/>
      </c>
      <c r="G504" s="59" t="str">
        <f aca="false">IFERROR(IF([2]对账明细接口!$G$504=0,"",[2]对账明细接口!$G$504),"")</f>
        <v/>
      </c>
      <c r="H504" s="60" t="str">
        <f aca="false">IFERROR(IF([2]对账明细接口!$H$504=0,"",[2]对账明细接口!$H$504),"")</f>
        <v/>
      </c>
      <c r="I504" s="59" t="str">
        <f aca="false">IFERROR(IF([2]对账明细接口!$I$504=0,"",[2]对账明细接口!$I$504),"")</f>
        <v/>
      </c>
      <c r="J504" s="61" t="str">
        <f aca="false">IFERROR(IF([2]对账明细接口!$J$504=0,"",[2]对账明细接口!$J$504),"")</f>
        <v/>
      </c>
      <c r="K504" s="61" t="str">
        <f aca="false">IFERROR(IF([2]对账明细接口!$K$504=0,"",[2]对账明细接口!$K$504),"")</f>
        <v/>
      </c>
      <c r="L504" s="59" t="str">
        <f aca="false">IFERROR(IF([2]对账明细接口!$L$504=0,"",[2]对账明细接口!$L$504),"")</f>
        <v/>
      </c>
      <c r="M504" s="59" t="str">
        <f aca="false">IFERROR(IF([2]对账明细接口!$M$504=0,"",[2]对账明细接口!$M$504),"")</f>
        <v/>
      </c>
      <c r="N504" s="111" t="n">
        <f aca="false">IF($C504="",0,1)</f>
        <v>0</v>
      </c>
      <c r="O504" s="111" t="n">
        <f aca="false">N(O503)+$N504</f>
        <v>311</v>
      </c>
      <c r="S504" s="10" t="str">
        <f aca="false">IFERROR(IF([2]对账明细接口!$N504=0,"",[2]对账明细接口!$N504),"")</f>
        <v/>
      </c>
      <c r="T504" s="112" t="str">
        <f aca="false">IFERROR(IF([2]对账明细接口!$O504=0,"",[2]对账明细接口!$O504),"")</f>
        <v/>
      </c>
      <c r="U504" s="112" t="str">
        <f aca="false">IFERROR(IF([2]对账明细接口!$P504=0,"",[2]对账明细接口!$P504),"")</f>
        <v/>
      </c>
      <c r="V504" s="112" t="str">
        <f aca="false">IFERROR(IF([2]对账明细接口!$Q504=0,"",[2]对账明细接口!$Q504),"")</f>
        <v/>
      </c>
      <c r="W504" s="10" t="str">
        <f aca="false">IFERROR(IF([2]对账明细接口!$R504=0,"",[2]对账明细接口!$R504),"")</f>
        <v/>
      </c>
      <c r="X504" s="10" t="str">
        <f aca="false">IFERROR(IF([2]对账明细接口!$S504=0,"",[2]对账明细接口!$S504),"")</f>
        <v/>
      </c>
      <c r="Y504" s="10" t="str">
        <f aca="false">IFERROR(IF([2]对账明细接口!$T504=0,"",[2]对账明细接口!$T504),"")</f>
        <v/>
      </c>
      <c r="Z504" s="113" t="str">
        <f aca="false">IFERROR(IF([2]对账明细接口!$U504=0,"",[2]对账明细接口!$U504),"")</f>
        <v/>
      </c>
      <c r="AA504" s="113" t="str">
        <f aca="false">IFERROR(IF([2]对账明细接口!$V504=0,"",[2]对账明细接口!$V504),"")</f>
        <v/>
      </c>
      <c r="AB504" s="10" t="str">
        <f aca="false">IFERROR(IF([2]对账明细接口!$W504=0,"",[2]对账明细接口!$W504),"")</f>
        <v/>
      </c>
      <c r="AC504" s="90" t="str">
        <f aca="false">IFERROR(IF([2]对账明细接口!$X505=0,"",[2]对账明细接口!$X505),"")</f>
        <v/>
      </c>
      <c r="AD504" s="90" t="str">
        <f aca="false">IFERROR(IF([2]对账明细接口!$Y505=0,"",[2]对账明细接口!$Y505),"")</f>
        <v/>
      </c>
      <c r="AE504" s="90" t="str">
        <f aca="false">IFERROR(IF([2]对账明细接口!$AA505=0,"",[2]对账明细接口!$AA505),"")</f>
        <v/>
      </c>
      <c r="AF504" s="90" t="str">
        <f aca="false">IFERROR(IF([2]对账明细接口!$AB505=0,"",[2]对账明细接口!$AB505),"")</f>
        <v/>
      </c>
      <c r="AG504" s="90" t="str">
        <f aca="false">IFERROR(IF([2]对账明细接口!$AC505=0,"",[2]对账明细接口!$AC505),"")</f>
        <v/>
      </c>
      <c r="AH504" s="90" t="str">
        <f aca="false">IFERROR(IF([2]对账明细接口!$AD505=0,"",[2]对账明细接口!$AD505),"")</f>
        <v/>
      </c>
    </row>
    <row r="505" customFormat="false" ht="13.5" hidden="false" customHeight="false" outlineLevel="0" collapsed="false">
      <c r="A505" s="109" t="n">
        <v>505</v>
      </c>
      <c r="B505" s="110" t="str">
        <f aca="false">IFERROR(IF([2]对账明细接口!$B$505=0,"",[2]对账明细接口!$B$505),"")</f>
        <v/>
      </c>
      <c r="C505" s="59" t="str">
        <f aca="false">IFERROR(IF([2]对账明细接口!$C$505=0,"",[2]对账明细接口!$C$505),"")</f>
        <v/>
      </c>
      <c r="D505" s="59" t="str">
        <f aca="false">IFERROR(IF([2]对账明细接口!$D$505=0,"",[2]对账明细接口!$D$505),"")</f>
        <v/>
      </c>
      <c r="E505" s="59" t="str">
        <f aca="false">IFERROR(IF([2]对账明细接口!$E$505=0,"",[2]对账明细接口!$E$505),"")</f>
        <v/>
      </c>
      <c r="F505" s="59" t="str">
        <f aca="false">IFERROR(IF([2]对账明细接口!$F$505=0,"",[2]对账明细接口!$F$505),"")</f>
        <v/>
      </c>
      <c r="G505" s="59" t="str">
        <f aca="false">IFERROR(IF([2]对账明细接口!$G$505=0,"",[2]对账明细接口!$G$505),"")</f>
        <v/>
      </c>
      <c r="H505" s="60" t="str">
        <f aca="false">IFERROR(IF([2]对账明细接口!$H$505=0,"",[2]对账明细接口!$H$505),"")</f>
        <v/>
      </c>
      <c r="I505" s="59" t="str">
        <f aca="false">IFERROR(IF([2]对账明细接口!$I$505=0,"",[2]对账明细接口!$I$505),"")</f>
        <v/>
      </c>
      <c r="J505" s="61" t="str">
        <f aca="false">IFERROR(IF([2]对账明细接口!$J$505=0,"",[2]对账明细接口!$J$505),"")</f>
        <v/>
      </c>
      <c r="K505" s="61" t="str">
        <f aca="false">IFERROR(IF([2]对账明细接口!$K$505=0,"",[2]对账明细接口!$K$505),"")</f>
        <v/>
      </c>
      <c r="L505" s="59" t="str">
        <f aca="false">IFERROR(IF([2]对账明细接口!$L$505=0,"",[2]对账明细接口!$L$505),"")</f>
        <v/>
      </c>
      <c r="M505" s="59" t="str">
        <f aca="false">IFERROR(IF([2]对账明细接口!$M$505=0,"",[2]对账明细接口!$M$505),"")</f>
        <v/>
      </c>
      <c r="N505" s="111" t="n">
        <f aca="false">IF($C505="",0,1)</f>
        <v>0</v>
      </c>
      <c r="O505" s="111" t="n">
        <f aca="false">N(O504)+$N505</f>
        <v>311</v>
      </c>
      <c r="S505" s="10" t="str">
        <f aca="false">IFERROR(IF([2]对账明细接口!$N505=0,"",[2]对账明细接口!$N505),"")</f>
        <v/>
      </c>
      <c r="T505" s="112" t="str">
        <f aca="false">IFERROR(IF([2]对账明细接口!$O505=0,"",[2]对账明细接口!$O505),"")</f>
        <v/>
      </c>
      <c r="U505" s="112" t="str">
        <f aca="false">IFERROR(IF([2]对账明细接口!$P505=0,"",[2]对账明细接口!$P505),"")</f>
        <v/>
      </c>
      <c r="V505" s="112" t="str">
        <f aca="false">IFERROR(IF([2]对账明细接口!$Q505=0,"",[2]对账明细接口!$Q505),"")</f>
        <v/>
      </c>
      <c r="W505" s="10" t="str">
        <f aca="false">IFERROR(IF([2]对账明细接口!$R505=0,"",[2]对账明细接口!$R505),"")</f>
        <v/>
      </c>
      <c r="X505" s="10" t="str">
        <f aca="false">IFERROR(IF([2]对账明细接口!$S505=0,"",[2]对账明细接口!$S505),"")</f>
        <v/>
      </c>
      <c r="Y505" s="10" t="str">
        <f aca="false">IFERROR(IF([2]对账明细接口!$T505=0,"",[2]对账明细接口!$T505),"")</f>
        <v/>
      </c>
      <c r="Z505" s="113" t="str">
        <f aca="false">IFERROR(IF([2]对账明细接口!$U505=0,"",[2]对账明细接口!$U505),"")</f>
        <v/>
      </c>
      <c r="AA505" s="113" t="str">
        <f aca="false">IFERROR(IF([2]对账明细接口!$V505=0,"",[2]对账明细接口!$V505),"")</f>
        <v/>
      </c>
      <c r="AB505" s="10" t="str">
        <f aca="false">IFERROR(IF([2]对账明细接口!$W505=0,"",[2]对账明细接口!$W505),"")</f>
        <v/>
      </c>
      <c r="AC505" s="90" t="str">
        <f aca="false">IFERROR(IF([2]对账明细接口!$X506=0,"",[2]对账明细接口!$X506),"")</f>
        <v/>
      </c>
      <c r="AD505" s="90" t="str">
        <f aca="false">IFERROR(IF([2]对账明细接口!$Y506=0,"",[2]对账明细接口!$Y506),"")</f>
        <v/>
      </c>
      <c r="AE505" s="90" t="str">
        <f aca="false">IFERROR(IF([2]对账明细接口!$AA506=0,"",[2]对账明细接口!$AA506),"")</f>
        <v/>
      </c>
      <c r="AF505" s="90" t="str">
        <f aca="false">IFERROR(IF([2]对账明细接口!$AB506=0,"",[2]对账明细接口!$AB506),"")</f>
        <v/>
      </c>
      <c r="AG505" s="90" t="str">
        <f aca="false">IFERROR(IF([2]对账明细接口!$AC506=0,"",[2]对账明细接口!$AC506),"")</f>
        <v/>
      </c>
      <c r="AH505" s="90" t="str">
        <f aca="false">IFERROR(IF([2]对账明细接口!$AD506=0,"",[2]对账明细接口!$AD506),"")</f>
        <v/>
      </c>
    </row>
    <row r="506" customFormat="false" ht="13.5" hidden="false" customHeight="false" outlineLevel="0" collapsed="false">
      <c r="A506" s="109" t="n">
        <v>506</v>
      </c>
      <c r="B506" s="110" t="str">
        <f aca="false">IFERROR(IF([2]对账明细接口!$B$506=0,"",[2]对账明细接口!$B$506),"")</f>
        <v/>
      </c>
      <c r="C506" s="59" t="str">
        <f aca="false">IFERROR(IF([2]对账明细接口!$C$506=0,"",[2]对账明细接口!$C$506),"")</f>
        <v/>
      </c>
      <c r="D506" s="59" t="str">
        <f aca="false">IFERROR(IF([2]对账明细接口!$D$506=0,"",[2]对账明细接口!$D$506),"")</f>
        <v/>
      </c>
      <c r="E506" s="59" t="str">
        <f aca="false">IFERROR(IF([2]对账明细接口!$E$506=0,"",[2]对账明细接口!$E$506),"")</f>
        <v/>
      </c>
      <c r="F506" s="59" t="str">
        <f aca="false">IFERROR(IF([2]对账明细接口!$F$506=0,"",[2]对账明细接口!$F$506),"")</f>
        <v/>
      </c>
      <c r="G506" s="59" t="str">
        <f aca="false">IFERROR(IF([2]对账明细接口!$G$506=0,"",[2]对账明细接口!$G$506),"")</f>
        <v/>
      </c>
      <c r="H506" s="60" t="str">
        <f aca="false">IFERROR(IF([2]对账明细接口!$H$506=0,"",[2]对账明细接口!$H$506),"")</f>
        <v/>
      </c>
      <c r="I506" s="59" t="str">
        <f aca="false">IFERROR(IF([2]对账明细接口!$I$506=0,"",[2]对账明细接口!$I$506),"")</f>
        <v/>
      </c>
      <c r="J506" s="61" t="str">
        <f aca="false">IFERROR(IF([2]对账明细接口!$J$506=0,"",[2]对账明细接口!$J$506),"")</f>
        <v/>
      </c>
      <c r="K506" s="61" t="str">
        <f aca="false">IFERROR(IF([2]对账明细接口!$K$506=0,"",[2]对账明细接口!$K$506),"")</f>
        <v/>
      </c>
      <c r="L506" s="59" t="str">
        <f aca="false">IFERROR(IF([2]对账明细接口!$L$506=0,"",[2]对账明细接口!$L$506),"")</f>
        <v/>
      </c>
      <c r="M506" s="59" t="str">
        <f aca="false">IFERROR(IF([2]对账明细接口!$M$506=0,"",[2]对账明细接口!$M$506),"")</f>
        <v/>
      </c>
      <c r="N506" s="111" t="n">
        <f aca="false">IF($C506="",0,1)</f>
        <v>0</v>
      </c>
      <c r="O506" s="111" t="n">
        <f aca="false">N(O505)+$N506</f>
        <v>311</v>
      </c>
      <c r="S506" s="10" t="str">
        <f aca="false">IFERROR(IF([2]对账明细接口!$N506=0,"",[2]对账明细接口!$N506),"")</f>
        <v/>
      </c>
      <c r="T506" s="112" t="str">
        <f aca="false">IFERROR(IF([2]对账明细接口!$O506=0,"",[2]对账明细接口!$O506),"")</f>
        <v/>
      </c>
      <c r="U506" s="112" t="str">
        <f aca="false">IFERROR(IF([2]对账明细接口!$P506=0,"",[2]对账明细接口!$P506),"")</f>
        <v/>
      </c>
      <c r="V506" s="112" t="str">
        <f aca="false">IFERROR(IF([2]对账明细接口!$Q506=0,"",[2]对账明细接口!$Q506),"")</f>
        <v/>
      </c>
      <c r="W506" s="10" t="str">
        <f aca="false">IFERROR(IF([2]对账明细接口!$R506=0,"",[2]对账明细接口!$R506),"")</f>
        <v/>
      </c>
      <c r="X506" s="10" t="str">
        <f aca="false">IFERROR(IF([2]对账明细接口!$S506=0,"",[2]对账明细接口!$S506),"")</f>
        <v/>
      </c>
      <c r="Y506" s="10" t="str">
        <f aca="false">IFERROR(IF([2]对账明细接口!$T506=0,"",[2]对账明细接口!$T506),"")</f>
        <v/>
      </c>
      <c r="Z506" s="113" t="str">
        <f aca="false">IFERROR(IF([2]对账明细接口!$U506=0,"",[2]对账明细接口!$U506),"")</f>
        <v/>
      </c>
      <c r="AA506" s="113" t="str">
        <f aca="false">IFERROR(IF([2]对账明细接口!$V506=0,"",[2]对账明细接口!$V506),"")</f>
        <v/>
      </c>
      <c r="AB506" s="10" t="str">
        <f aca="false">IFERROR(IF([2]对账明细接口!$W506=0,"",[2]对账明细接口!$W506),"")</f>
        <v/>
      </c>
      <c r="AC506" s="90" t="str">
        <f aca="false">IFERROR(IF([2]对账明细接口!$X507=0,"",[2]对账明细接口!$X507),"")</f>
        <v/>
      </c>
      <c r="AD506" s="90" t="str">
        <f aca="false">IFERROR(IF([2]对账明细接口!$Y507=0,"",[2]对账明细接口!$Y507),"")</f>
        <v/>
      </c>
      <c r="AE506" s="90" t="str">
        <f aca="false">IFERROR(IF([2]对账明细接口!$AA507=0,"",[2]对账明细接口!$AA507),"")</f>
        <v/>
      </c>
      <c r="AF506" s="90" t="str">
        <f aca="false">IFERROR(IF([2]对账明细接口!$AB507=0,"",[2]对账明细接口!$AB507),"")</f>
        <v/>
      </c>
      <c r="AG506" s="90" t="str">
        <f aca="false">IFERROR(IF([2]对账明细接口!$AC507=0,"",[2]对账明细接口!$AC507),"")</f>
        <v/>
      </c>
      <c r="AH506" s="90" t="str">
        <f aca="false">IFERROR(IF([2]对账明细接口!$AD507=0,"",[2]对账明细接口!$AD507),"")</f>
        <v/>
      </c>
    </row>
    <row r="507" customFormat="false" ht="13.5" hidden="false" customHeight="false" outlineLevel="0" collapsed="false">
      <c r="A507" s="109" t="n">
        <v>507</v>
      </c>
      <c r="B507" s="110" t="str">
        <f aca="false">IFERROR(IF([2]对账明细接口!$B$507=0,"",[2]对账明细接口!$B$507),"")</f>
        <v/>
      </c>
      <c r="C507" s="59" t="str">
        <f aca="false">IFERROR(IF([2]对账明细接口!$C$507=0,"",[2]对账明细接口!$C$507),"")</f>
        <v/>
      </c>
      <c r="D507" s="59" t="str">
        <f aca="false">IFERROR(IF([2]对账明细接口!$D$507=0,"",[2]对账明细接口!$D$507),"")</f>
        <v/>
      </c>
      <c r="E507" s="59" t="str">
        <f aca="false">IFERROR(IF([2]对账明细接口!$E$507=0,"",[2]对账明细接口!$E$507),"")</f>
        <v/>
      </c>
      <c r="F507" s="59" t="str">
        <f aca="false">IFERROR(IF([2]对账明细接口!$F$507=0,"",[2]对账明细接口!$F$507),"")</f>
        <v/>
      </c>
      <c r="G507" s="59" t="str">
        <f aca="false">IFERROR(IF([2]对账明细接口!$G$507=0,"",[2]对账明细接口!$G$507),"")</f>
        <v/>
      </c>
      <c r="H507" s="60" t="str">
        <f aca="false">IFERROR(IF([2]对账明细接口!$H$507=0,"",[2]对账明细接口!$H$507),"")</f>
        <v/>
      </c>
      <c r="I507" s="59" t="str">
        <f aca="false">IFERROR(IF([2]对账明细接口!$I$507=0,"",[2]对账明细接口!$I$507),"")</f>
        <v/>
      </c>
      <c r="J507" s="61" t="str">
        <f aca="false">IFERROR(IF([2]对账明细接口!$J$507=0,"",[2]对账明细接口!$J$507),"")</f>
        <v/>
      </c>
      <c r="K507" s="61" t="str">
        <f aca="false">IFERROR(IF([2]对账明细接口!$K$507=0,"",[2]对账明细接口!$K$507),"")</f>
        <v/>
      </c>
      <c r="L507" s="59" t="str">
        <f aca="false">IFERROR(IF([2]对账明细接口!$L$507=0,"",[2]对账明细接口!$L$507),"")</f>
        <v/>
      </c>
      <c r="M507" s="59" t="str">
        <f aca="false">IFERROR(IF([2]对账明细接口!$M$507=0,"",[2]对账明细接口!$M$507),"")</f>
        <v/>
      </c>
      <c r="N507" s="111" t="n">
        <f aca="false">IF($C507="",0,1)</f>
        <v>0</v>
      </c>
      <c r="O507" s="111" t="n">
        <f aca="false">N(O506)+$N507</f>
        <v>311</v>
      </c>
      <c r="S507" s="10" t="str">
        <f aca="false">IFERROR(IF([2]对账明细接口!$N507=0,"",[2]对账明细接口!$N507),"")</f>
        <v/>
      </c>
      <c r="T507" s="112" t="str">
        <f aca="false">IFERROR(IF([2]对账明细接口!$O507=0,"",[2]对账明细接口!$O507),"")</f>
        <v/>
      </c>
      <c r="U507" s="112" t="str">
        <f aca="false">IFERROR(IF([2]对账明细接口!$P507=0,"",[2]对账明细接口!$P507),"")</f>
        <v/>
      </c>
      <c r="V507" s="112" t="str">
        <f aca="false">IFERROR(IF([2]对账明细接口!$Q507=0,"",[2]对账明细接口!$Q507),"")</f>
        <v/>
      </c>
      <c r="W507" s="10" t="str">
        <f aca="false">IFERROR(IF([2]对账明细接口!$R507=0,"",[2]对账明细接口!$R507),"")</f>
        <v/>
      </c>
      <c r="X507" s="10" t="str">
        <f aca="false">IFERROR(IF([2]对账明细接口!$S507=0,"",[2]对账明细接口!$S507),"")</f>
        <v/>
      </c>
      <c r="Y507" s="10" t="str">
        <f aca="false">IFERROR(IF([2]对账明细接口!$T507=0,"",[2]对账明细接口!$T507),"")</f>
        <v/>
      </c>
      <c r="Z507" s="113" t="str">
        <f aca="false">IFERROR(IF([2]对账明细接口!$U507=0,"",[2]对账明细接口!$U507),"")</f>
        <v/>
      </c>
      <c r="AA507" s="113" t="str">
        <f aca="false">IFERROR(IF([2]对账明细接口!$V507=0,"",[2]对账明细接口!$V507),"")</f>
        <v/>
      </c>
      <c r="AB507" s="10" t="str">
        <f aca="false">IFERROR(IF([2]对账明细接口!$W507=0,"",[2]对账明细接口!$W507),"")</f>
        <v/>
      </c>
      <c r="AC507" s="90" t="str">
        <f aca="false">IFERROR(IF([2]对账明细接口!$X508=0,"",[2]对账明细接口!$X508),"")</f>
        <v/>
      </c>
      <c r="AD507" s="90" t="str">
        <f aca="false">IFERROR(IF([2]对账明细接口!$Y508=0,"",[2]对账明细接口!$Y508),"")</f>
        <v/>
      </c>
      <c r="AE507" s="90" t="str">
        <f aca="false">IFERROR(IF([2]对账明细接口!$AA508=0,"",[2]对账明细接口!$AA508),"")</f>
        <v/>
      </c>
      <c r="AF507" s="90" t="str">
        <f aca="false">IFERROR(IF([2]对账明细接口!$AB508=0,"",[2]对账明细接口!$AB508),"")</f>
        <v/>
      </c>
      <c r="AG507" s="90" t="str">
        <f aca="false">IFERROR(IF([2]对账明细接口!$AC508=0,"",[2]对账明细接口!$AC508),"")</f>
        <v/>
      </c>
      <c r="AH507" s="90" t="str">
        <f aca="false">IFERROR(IF([2]对账明细接口!$AD508=0,"",[2]对账明细接口!$AD508),"")</f>
        <v/>
      </c>
    </row>
    <row r="508" customFormat="false" ht="13.5" hidden="false" customHeight="false" outlineLevel="0" collapsed="false">
      <c r="A508" s="109" t="n">
        <v>508</v>
      </c>
      <c r="B508" s="110" t="str">
        <f aca="false">IFERROR(IF([2]对账明细接口!$B$508=0,"",[2]对账明细接口!$B$508),"")</f>
        <v/>
      </c>
      <c r="C508" s="59" t="str">
        <f aca="false">IFERROR(IF([2]对账明细接口!$C$508=0,"",[2]对账明细接口!$C$508),"")</f>
        <v/>
      </c>
      <c r="D508" s="59" t="str">
        <f aca="false">IFERROR(IF([2]对账明细接口!$D$508=0,"",[2]对账明细接口!$D$508),"")</f>
        <v/>
      </c>
      <c r="E508" s="59" t="str">
        <f aca="false">IFERROR(IF([2]对账明细接口!$E$508=0,"",[2]对账明细接口!$E$508),"")</f>
        <v/>
      </c>
      <c r="F508" s="59" t="str">
        <f aca="false">IFERROR(IF([2]对账明细接口!$F$508=0,"",[2]对账明细接口!$F$508),"")</f>
        <v/>
      </c>
      <c r="G508" s="59" t="str">
        <f aca="false">IFERROR(IF([2]对账明细接口!$G$508=0,"",[2]对账明细接口!$G$508),"")</f>
        <v/>
      </c>
      <c r="H508" s="60" t="str">
        <f aca="false">IFERROR(IF([2]对账明细接口!$H$508=0,"",[2]对账明细接口!$H$508),"")</f>
        <v/>
      </c>
      <c r="I508" s="59" t="str">
        <f aca="false">IFERROR(IF([2]对账明细接口!$I$508=0,"",[2]对账明细接口!$I$508),"")</f>
        <v/>
      </c>
      <c r="J508" s="61" t="str">
        <f aca="false">IFERROR(IF([2]对账明细接口!$J$508=0,"",[2]对账明细接口!$J$508),"")</f>
        <v/>
      </c>
      <c r="K508" s="61" t="str">
        <f aca="false">IFERROR(IF([2]对账明细接口!$K$508=0,"",[2]对账明细接口!$K$508),"")</f>
        <v/>
      </c>
      <c r="L508" s="59" t="str">
        <f aca="false">IFERROR(IF([2]对账明细接口!$L$508=0,"",[2]对账明细接口!$L$508),"")</f>
        <v/>
      </c>
      <c r="M508" s="59" t="str">
        <f aca="false">IFERROR(IF([2]对账明细接口!$M$508=0,"",[2]对账明细接口!$M$508),"")</f>
        <v/>
      </c>
      <c r="N508" s="111" t="n">
        <f aca="false">IF($C508="",0,1)</f>
        <v>0</v>
      </c>
      <c r="O508" s="111" t="n">
        <f aca="false">N(O507)+$N508</f>
        <v>311</v>
      </c>
      <c r="S508" s="10" t="str">
        <f aca="false">IFERROR(IF([2]对账明细接口!$N508=0,"",[2]对账明细接口!$N508),"")</f>
        <v/>
      </c>
      <c r="T508" s="112" t="str">
        <f aca="false">IFERROR(IF([2]对账明细接口!$O508=0,"",[2]对账明细接口!$O508),"")</f>
        <v/>
      </c>
      <c r="U508" s="112" t="str">
        <f aca="false">IFERROR(IF([2]对账明细接口!$P508=0,"",[2]对账明细接口!$P508),"")</f>
        <v/>
      </c>
      <c r="V508" s="112" t="str">
        <f aca="false">IFERROR(IF([2]对账明细接口!$Q508=0,"",[2]对账明细接口!$Q508),"")</f>
        <v/>
      </c>
      <c r="W508" s="10" t="str">
        <f aca="false">IFERROR(IF([2]对账明细接口!$R508=0,"",[2]对账明细接口!$R508),"")</f>
        <v/>
      </c>
      <c r="X508" s="10" t="str">
        <f aca="false">IFERROR(IF([2]对账明细接口!$S508=0,"",[2]对账明细接口!$S508),"")</f>
        <v/>
      </c>
      <c r="Y508" s="10" t="str">
        <f aca="false">IFERROR(IF([2]对账明细接口!$T508=0,"",[2]对账明细接口!$T508),"")</f>
        <v/>
      </c>
      <c r="Z508" s="113" t="str">
        <f aca="false">IFERROR(IF([2]对账明细接口!$U508=0,"",[2]对账明细接口!$U508),"")</f>
        <v/>
      </c>
      <c r="AA508" s="113" t="str">
        <f aca="false">IFERROR(IF([2]对账明细接口!$V508=0,"",[2]对账明细接口!$V508),"")</f>
        <v/>
      </c>
      <c r="AB508" s="10" t="str">
        <f aca="false">IFERROR(IF([2]对账明细接口!$W508=0,"",[2]对账明细接口!$W508),"")</f>
        <v/>
      </c>
      <c r="AC508" s="90" t="str">
        <f aca="false">IFERROR(IF([2]对账明细接口!$X509=0,"",[2]对账明细接口!$X509),"")</f>
        <v/>
      </c>
      <c r="AD508" s="90" t="str">
        <f aca="false">IFERROR(IF([2]对账明细接口!$Y509=0,"",[2]对账明细接口!$Y509),"")</f>
        <v/>
      </c>
      <c r="AE508" s="90" t="str">
        <f aca="false">IFERROR(IF([2]对账明细接口!$AA509=0,"",[2]对账明细接口!$AA509),"")</f>
        <v/>
      </c>
      <c r="AF508" s="90" t="str">
        <f aca="false">IFERROR(IF([2]对账明细接口!$AB509=0,"",[2]对账明细接口!$AB509),"")</f>
        <v/>
      </c>
      <c r="AG508" s="90" t="str">
        <f aca="false">IFERROR(IF([2]对账明细接口!$AC509=0,"",[2]对账明细接口!$AC509),"")</f>
        <v/>
      </c>
      <c r="AH508" s="90" t="str">
        <f aca="false">IFERROR(IF([2]对账明细接口!$AD509=0,"",[2]对账明细接口!$AD509),"")</f>
        <v/>
      </c>
    </row>
    <row r="509" customFormat="false" ht="13.5" hidden="false" customHeight="false" outlineLevel="0" collapsed="false">
      <c r="A509" s="109" t="n">
        <v>509</v>
      </c>
      <c r="B509" s="110" t="str">
        <f aca="false">IFERROR(IF([2]对账明细接口!$B$509=0,"",[2]对账明细接口!$B$509),"")</f>
        <v/>
      </c>
      <c r="C509" s="59" t="str">
        <f aca="false">IFERROR(IF([2]对账明细接口!$C$509=0,"",[2]对账明细接口!$C$509),"")</f>
        <v/>
      </c>
      <c r="D509" s="59" t="str">
        <f aca="false">IFERROR(IF([2]对账明细接口!$D$509=0,"",[2]对账明细接口!$D$509),"")</f>
        <v/>
      </c>
      <c r="E509" s="59" t="str">
        <f aca="false">IFERROR(IF([2]对账明细接口!$E$509=0,"",[2]对账明细接口!$E$509),"")</f>
        <v/>
      </c>
      <c r="F509" s="59" t="str">
        <f aca="false">IFERROR(IF([2]对账明细接口!$F$509=0,"",[2]对账明细接口!$F$509),"")</f>
        <v/>
      </c>
      <c r="G509" s="59" t="str">
        <f aca="false">IFERROR(IF([2]对账明细接口!$G$509=0,"",[2]对账明细接口!$G$509),"")</f>
        <v/>
      </c>
      <c r="H509" s="60" t="str">
        <f aca="false">IFERROR(IF([2]对账明细接口!$H$509=0,"",[2]对账明细接口!$H$509),"")</f>
        <v/>
      </c>
      <c r="I509" s="59" t="str">
        <f aca="false">IFERROR(IF([2]对账明细接口!$I$509=0,"",[2]对账明细接口!$I$509),"")</f>
        <v/>
      </c>
      <c r="J509" s="61" t="str">
        <f aca="false">IFERROR(IF([2]对账明细接口!$J$509=0,"",[2]对账明细接口!$J$509),"")</f>
        <v/>
      </c>
      <c r="K509" s="61" t="str">
        <f aca="false">IFERROR(IF([2]对账明细接口!$K$509=0,"",[2]对账明细接口!$K$509),"")</f>
        <v/>
      </c>
      <c r="L509" s="59" t="str">
        <f aca="false">IFERROR(IF([2]对账明细接口!$L$509=0,"",[2]对账明细接口!$L$509),"")</f>
        <v/>
      </c>
      <c r="M509" s="59" t="str">
        <f aca="false">IFERROR(IF([2]对账明细接口!$M$509=0,"",[2]对账明细接口!$M$509),"")</f>
        <v/>
      </c>
      <c r="N509" s="111" t="n">
        <f aca="false">IF($C509="",0,1)</f>
        <v>0</v>
      </c>
      <c r="O509" s="111" t="n">
        <f aca="false">N(O508)+$N509</f>
        <v>311</v>
      </c>
      <c r="S509" s="10" t="str">
        <f aca="false">IFERROR(IF([2]对账明细接口!$N509=0,"",[2]对账明细接口!$N509),"")</f>
        <v/>
      </c>
      <c r="T509" s="112" t="str">
        <f aca="false">IFERROR(IF([2]对账明细接口!$O509=0,"",[2]对账明细接口!$O509),"")</f>
        <v/>
      </c>
      <c r="U509" s="112" t="str">
        <f aca="false">IFERROR(IF([2]对账明细接口!$P509=0,"",[2]对账明细接口!$P509),"")</f>
        <v/>
      </c>
      <c r="V509" s="112" t="str">
        <f aca="false">IFERROR(IF([2]对账明细接口!$Q509=0,"",[2]对账明细接口!$Q509),"")</f>
        <v/>
      </c>
      <c r="W509" s="10" t="str">
        <f aca="false">IFERROR(IF([2]对账明细接口!$R509=0,"",[2]对账明细接口!$R509),"")</f>
        <v/>
      </c>
      <c r="X509" s="10" t="str">
        <f aca="false">IFERROR(IF([2]对账明细接口!$S509=0,"",[2]对账明细接口!$S509),"")</f>
        <v/>
      </c>
      <c r="Y509" s="10" t="str">
        <f aca="false">IFERROR(IF([2]对账明细接口!$T509=0,"",[2]对账明细接口!$T509),"")</f>
        <v/>
      </c>
      <c r="Z509" s="113" t="str">
        <f aca="false">IFERROR(IF([2]对账明细接口!$U509=0,"",[2]对账明细接口!$U509),"")</f>
        <v/>
      </c>
      <c r="AA509" s="113" t="str">
        <f aca="false">IFERROR(IF([2]对账明细接口!$V509=0,"",[2]对账明细接口!$V509),"")</f>
        <v/>
      </c>
      <c r="AB509" s="10" t="str">
        <f aca="false">IFERROR(IF([2]对账明细接口!$W509=0,"",[2]对账明细接口!$W509),"")</f>
        <v/>
      </c>
      <c r="AC509" s="90" t="str">
        <f aca="false">IFERROR(IF([2]对账明细接口!$X510=0,"",[2]对账明细接口!$X510),"")</f>
        <v/>
      </c>
      <c r="AD509" s="90" t="str">
        <f aca="false">IFERROR(IF([2]对账明细接口!$Y510=0,"",[2]对账明细接口!$Y510),"")</f>
        <v/>
      </c>
      <c r="AE509" s="90" t="str">
        <f aca="false">IFERROR(IF([2]对账明细接口!$AA510=0,"",[2]对账明细接口!$AA510),"")</f>
        <v/>
      </c>
      <c r="AF509" s="90" t="str">
        <f aca="false">IFERROR(IF([2]对账明细接口!$AB510=0,"",[2]对账明细接口!$AB510),"")</f>
        <v/>
      </c>
      <c r="AG509" s="90" t="str">
        <f aca="false">IFERROR(IF([2]对账明细接口!$AC510=0,"",[2]对账明细接口!$AC510),"")</f>
        <v/>
      </c>
      <c r="AH509" s="90" t="str">
        <f aca="false">IFERROR(IF([2]对账明细接口!$AD510=0,"",[2]对账明细接口!$AD510),"")</f>
        <v/>
      </c>
    </row>
    <row r="510" customFormat="false" ht="13.5" hidden="false" customHeight="false" outlineLevel="0" collapsed="false">
      <c r="A510" s="109" t="n">
        <v>510</v>
      </c>
      <c r="B510" s="110" t="str">
        <f aca="false">IFERROR(IF([2]对账明细接口!$B$510=0,"",[2]对账明细接口!$B$510),"")</f>
        <v/>
      </c>
      <c r="C510" s="59" t="str">
        <f aca="false">IFERROR(IF([2]对账明细接口!$C$510=0,"",[2]对账明细接口!$C$510),"")</f>
        <v/>
      </c>
      <c r="D510" s="59" t="str">
        <f aca="false">IFERROR(IF([2]对账明细接口!$D$510=0,"",[2]对账明细接口!$D$510),"")</f>
        <v/>
      </c>
      <c r="E510" s="59" t="str">
        <f aca="false">IFERROR(IF([2]对账明细接口!$E$510=0,"",[2]对账明细接口!$E$510),"")</f>
        <v/>
      </c>
      <c r="F510" s="59" t="str">
        <f aca="false">IFERROR(IF([2]对账明细接口!$F$510=0,"",[2]对账明细接口!$F$510),"")</f>
        <v/>
      </c>
      <c r="G510" s="59" t="str">
        <f aca="false">IFERROR(IF([2]对账明细接口!$G$510=0,"",[2]对账明细接口!$G$510),"")</f>
        <v/>
      </c>
      <c r="H510" s="60" t="str">
        <f aca="false">IFERROR(IF([2]对账明细接口!$H$510=0,"",[2]对账明细接口!$H$510),"")</f>
        <v/>
      </c>
      <c r="I510" s="59" t="str">
        <f aca="false">IFERROR(IF([2]对账明细接口!$I$510=0,"",[2]对账明细接口!$I$510),"")</f>
        <v/>
      </c>
      <c r="J510" s="61" t="str">
        <f aca="false">IFERROR(IF([2]对账明细接口!$J$510=0,"",[2]对账明细接口!$J$510),"")</f>
        <v/>
      </c>
      <c r="K510" s="61" t="str">
        <f aca="false">IFERROR(IF([2]对账明细接口!$K$510=0,"",[2]对账明细接口!$K$510),"")</f>
        <v/>
      </c>
      <c r="L510" s="59" t="str">
        <f aca="false">IFERROR(IF([2]对账明细接口!$L$510=0,"",[2]对账明细接口!$L$510),"")</f>
        <v/>
      </c>
      <c r="M510" s="59" t="str">
        <f aca="false">IFERROR(IF([2]对账明细接口!$M$510=0,"",[2]对账明细接口!$M$510),"")</f>
        <v/>
      </c>
      <c r="N510" s="111" t="n">
        <f aca="false">IF($C510="",0,1)</f>
        <v>0</v>
      </c>
      <c r="O510" s="111" t="n">
        <f aca="false">N(O509)+$N510</f>
        <v>311</v>
      </c>
      <c r="S510" s="10" t="str">
        <f aca="false">IFERROR(IF([2]对账明细接口!$N510=0,"",[2]对账明细接口!$N510),"")</f>
        <v/>
      </c>
      <c r="T510" s="112" t="str">
        <f aca="false">IFERROR(IF([2]对账明细接口!$O510=0,"",[2]对账明细接口!$O510),"")</f>
        <v/>
      </c>
      <c r="U510" s="112" t="str">
        <f aca="false">IFERROR(IF([2]对账明细接口!$P510=0,"",[2]对账明细接口!$P510),"")</f>
        <v/>
      </c>
      <c r="V510" s="112" t="str">
        <f aca="false">IFERROR(IF([2]对账明细接口!$Q510=0,"",[2]对账明细接口!$Q510),"")</f>
        <v/>
      </c>
      <c r="W510" s="10" t="str">
        <f aca="false">IFERROR(IF([2]对账明细接口!$R510=0,"",[2]对账明细接口!$R510),"")</f>
        <v/>
      </c>
      <c r="X510" s="10" t="str">
        <f aca="false">IFERROR(IF([2]对账明细接口!$S510=0,"",[2]对账明细接口!$S510),"")</f>
        <v/>
      </c>
      <c r="Y510" s="10" t="str">
        <f aca="false">IFERROR(IF([2]对账明细接口!$T510=0,"",[2]对账明细接口!$T510),"")</f>
        <v/>
      </c>
      <c r="Z510" s="113" t="str">
        <f aca="false">IFERROR(IF([2]对账明细接口!$U510=0,"",[2]对账明细接口!$U510),"")</f>
        <v/>
      </c>
      <c r="AA510" s="113" t="str">
        <f aca="false">IFERROR(IF([2]对账明细接口!$V510=0,"",[2]对账明细接口!$V510),"")</f>
        <v/>
      </c>
      <c r="AB510" s="10" t="str">
        <f aca="false">IFERROR(IF([2]对账明细接口!$W510=0,"",[2]对账明细接口!$W510),"")</f>
        <v/>
      </c>
      <c r="AC510" s="90" t="str">
        <f aca="false">IFERROR(IF([2]对账明细接口!$X511=0,"",[2]对账明细接口!$X511),"")</f>
        <v/>
      </c>
      <c r="AD510" s="90" t="str">
        <f aca="false">IFERROR(IF([2]对账明细接口!$Y511=0,"",[2]对账明细接口!$Y511),"")</f>
        <v/>
      </c>
      <c r="AE510" s="90" t="str">
        <f aca="false">IFERROR(IF([2]对账明细接口!$AA511=0,"",[2]对账明细接口!$AA511),"")</f>
        <v/>
      </c>
      <c r="AF510" s="90" t="str">
        <f aca="false">IFERROR(IF([2]对账明细接口!$AB511=0,"",[2]对账明细接口!$AB511),"")</f>
        <v/>
      </c>
      <c r="AG510" s="90" t="str">
        <f aca="false">IFERROR(IF([2]对账明细接口!$AC511=0,"",[2]对账明细接口!$AC511),"")</f>
        <v/>
      </c>
      <c r="AH510" s="90" t="str">
        <f aca="false">IFERROR(IF([2]对账明细接口!$AD511=0,"",[2]对账明细接口!$AD511),"")</f>
        <v/>
      </c>
    </row>
    <row r="511" customFormat="false" ht="13.5" hidden="false" customHeight="false" outlineLevel="0" collapsed="false">
      <c r="A511" s="109" t="n">
        <v>511</v>
      </c>
      <c r="B511" s="110" t="str">
        <f aca="false">IFERROR(IF([2]对账明细接口!$B$511=0,"",[2]对账明细接口!$B$511),"")</f>
        <v/>
      </c>
      <c r="C511" s="59" t="str">
        <f aca="false">IFERROR(IF([2]对账明细接口!$C$511=0,"",[2]对账明细接口!$C$511),"")</f>
        <v/>
      </c>
      <c r="D511" s="59" t="str">
        <f aca="false">IFERROR(IF([2]对账明细接口!$D$511=0,"",[2]对账明细接口!$D$511),"")</f>
        <v/>
      </c>
      <c r="E511" s="59" t="str">
        <f aca="false">IFERROR(IF([2]对账明细接口!$E$511=0,"",[2]对账明细接口!$E$511),"")</f>
        <v/>
      </c>
      <c r="F511" s="59" t="str">
        <f aca="false">IFERROR(IF([2]对账明细接口!$F$511=0,"",[2]对账明细接口!$F$511),"")</f>
        <v/>
      </c>
      <c r="G511" s="59" t="str">
        <f aca="false">IFERROR(IF([2]对账明细接口!$G$511=0,"",[2]对账明细接口!$G$511),"")</f>
        <v/>
      </c>
      <c r="H511" s="60" t="str">
        <f aca="false">IFERROR(IF([2]对账明细接口!$H$511=0,"",[2]对账明细接口!$H$511),"")</f>
        <v/>
      </c>
      <c r="I511" s="59" t="str">
        <f aca="false">IFERROR(IF([2]对账明细接口!$I$511=0,"",[2]对账明细接口!$I$511),"")</f>
        <v/>
      </c>
      <c r="J511" s="61" t="str">
        <f aca="false">IFERROR(IF([2]对账明细接口!$J$511=0,"",[2]对账明细接口!$J$511),"")</f>
        <v/>
      </c>
      <c r="K511" s="61" t="str">
        <f aca="false">IFERROR(IF([2]对账明细接口!$K$511=0,"",[2]对账明细接口!$K$511),"")</f>
        <v/>
      </c>
      <c r="L511" s="59" t="str">
        <f aca="false">IFERROR(IF([2]对账明细接口!$L$511=0,"",[2]对账明细接口!$L$511),"")</f>
        <v/>
      </c>
      <c r="M511" s="59" t="str">
        <f aca="false">IFERROR(IF([2]对账明细接口!$M$511=0,"",[2]对账明细接口!$M$511),"")</f>
        <v/>
      </c>
      <c r="N511" s="111" t="n">
        <f aca="false">IF($C511="",0,1)</f>
        <v>0</v>
      </c>
      <c r="O511" s="111" t="n">
        <f aca="false">N(O510)+$N511</f>
        <v>311</v>
      </c>
      <c r="S511" s="10" t="str">
        <f aca="false">IFERROR(IF([2]对账明细接口!$N511=0,"",[2]对账明细接口!$N511),"")</f>
        <v/>
      </c>
      <c r="T511" s="112" t="str">
        <f aca="false">IFERROR(IF([2]对账明细接口!$O511=0,"",[2]对账明细接口!$O511),"")</f>
        <v/>
      </c>
      <c r="U511" s="112" t="str">
        <f aca="false">IFERROR(IF([2]对账明细接口!$P511=0,"",[2]对账明细接口!$P511),"")</f>
        <v/>
      </c>
      <c r="V511" s="112" t="str">
        <f aca="false">IFERROR(IF([2]对账明细接口!$Q511=0,"",[2]对账明细接口!$Q511),"")</f>
        <v/>
      </c>
      <c r="W511" s="10" t="str">
        <f aca="false">IFERROR(IF([2]对账明细接口!$R511=0,"",[2]对账明细接口!$R511),"")</f>
        <v/>
      </c>
      <c r="X511" s="10" t="str">
        <f aca="false">IFERROR(IF([2]对账明细接口!$S511=0,"",[2]对账明细接口!$S511),"")</f>
        <v/>
      </c>
      <c r="Y511" s="10" t="str">
        <f aca="false">IFERROR(IF([2]对账明细接口!$T511=0,"",[2]对账明细接口!$T511),"")</f>
        <v/>
      </c>
      <c r="Z511" s="113" t="str">
        <f aca="false">IFERROR(IF([2]对账明细接口!$U511=0,"",[2]对账明细接口!$U511),"")</f>
        <v/>
      </c>
      <c r="AA511" s="113" t="str">
        <f aca="false">IFERROR(IF([2]对账明细接口!$V511=0,"",[2]对账明细接口!$V511),"")</f>
        <v/>
      </c>
      <c r="AB511" s="10" t="str">
        <f aca="false">IFERROR(IF([2]对账明细接口!$W511=0,"",[2]对账明细接口!$W511),"")</f>
        <v/>
      </c>
      <c r="AC511" s="90" t="str">
        <f aca="false">IFERROR(IF([2]对账明细接口!$X512=0,"",[2]对账明细接口!$X512),"")</f>
        <v/>
      </c>
      <c r="AD511" s="90" t="str">
        <f aca="false">IFERROR(IF([2]对账明细接口!$Y512=0,"",[2]对账明细接口!$Y512),"")</f>
        <v/>
      </c>
      <c r="AE511" s="90" t="str">
        <f aca="false">IFERROR(IF([2]对账明细接口!$AA512=0,"",[2]对账明细接口!$AA512),"")</f>
        <v/>
      </c>
      <c r="AF511" s="90" t="str">
        <f aca="false">IFERROR(IF([2]对账明细接口!$AB512=0,"",[2]对账明细接口!$AB512),"")</f>
        <v/>
      </c>
      <c r="AG511" s="90" t="str">
        <f aca="false">IFERROR(IF([2]对账明细接口!$AC512=0,"",[2]对账明细接口!$AC512),"")</f>
        <v/>
      </c>
      <c r="AH511" s="90" t="str">
        <f aca="false">IFERROR(IF([2]对账明细接口!$AD512=0,"",[2]对账明细接口!$AD512),"")</f>
        <v/>
      </c>
    </row>
    <row r="512" customFormat="false" ht="13.5" hidden="false" customHeight="false" outlineLevel="0" collapsed="false">
      <c r="A512" s="109" t="n">
        <v>512</v>
      </c>
      <c r="B512" s="110" t="str">
        <f aca="false">IFERROR(IF([2]对账明细接口!$B$512=0,"",[2]对账明细接口!$B$512),"")</f>
        <v/>
      </c>
      <c r="C512" s="59" t="str">
        <f aca="false">IFERROR(IF([2]对账明细接口!$C$512=0,"",[2]对账明细接口!$C$512),"")</f>
        <v/>
      </c>
      <c r="D512" s="59" t="str">
        <f aca="false">IFERROR(IF([2]对账明细接口!$D$512=0,"",[2]对账明细接口!$D$512),"")</f>
        <v/>
      </c>
      <c r="E512" s="59" t="str">
        <f aca="false">IFERROR(IF([2]对账明细接口!$E$512=0,"",[2]对账明细接口!$E$512),"")</f>
        <v/>
      </c>
      <c r="F512" s="59" t="str">
        <f aca="false">IFERROR(IF([2]对账明细接口!$F$512=0,"",[2]对账明细接口!$F$512),"")</f>
        <v/>
      </c>
      <c r="G512" s="59" t="str">
        <f aca="false">IFERROR(IF([2]对账明细接口!$G$512=0,"",[2]对账明细接口!$G$512),"")</f>
        <v/>
      </c>
      <c r="H512" s="60" t="str">
        <f aca="false">IFERROR(IF([2]对账明细接口!$H$512=0,"",[2]对账明细接口!$H$512),"")</f>
        <v/>
      </c>
      <c r="I512" s="59" t="str">
        <f aca="false">IFERROR(IF([2]对账明细接口!$I$512=0,"",[2]对账明细接口!$I$512),"")</f>
        <v/>
      </c>
      <c r="J512" s="61" t="str">
        <f aca="false">IFERROR(IF([2]对账明细接口!$J$512=0,"",[2]对账明细接口!$J$512),"")</f>
        <v/>
      </c>
      <c r="K512" s="61" t="str">
        <f aca="false">IFERROR(IF([2]对账明细接口!$K$512=0,"",[2]对账明细接口!$K$512),"")</f>
        <v/>
      </c>
      <c r="L512" s="59" t="str">
        <f aca="false">IFERROR(IF([2]对账明细接口!$L$512=0,"",[2]对账明细接口!$L$512),"")</f>
        <v/>
      </c>
      <c r="M512" s="59" t="str">
        <f aca="false">IFERROR(IF([2]对账明细接口!$M$512=0,"",[2]对账明细接口!$M$512),"")</f>
        <v/>
      </c>
      <c r="N512" s="111" t="n">
        <f aca="false">IF($C512="",0,1)</f>
        <v>0</v>
      </c>
      <c r="O512" s="111" t="n">
        <f aca="false">N(O511)+$N512</f>
        <v>311</v>
      </c>
      <c r="S512" s="10" t="str">
        <f aca="false">IFERROR(IF([2]对账明细接口!$N512=0,"",[2]对账明细接口!$N512),"")</f>
        <v/>
      </c>
      <c r="T512" s="112" t="str">
        <f aca="false">IFERROR(IF([2]对账明细接口!$O512=0,"",[2]对账明细接口!$O512),"")</f>
        <v/>
      </c>
      <c r="U512" s="112" t="str">
        <f aca="false">IFERROR(IF([2]对账明细接口!$P512=0,"",[2]对账明细接口!$P512),"")</f>
        <v/>
      </c>
      <c r="V512" s="112" t="str">
        <f aca="false">IFERROR(IF([2]对账明细接口!$Q512=0,"",[2]对账明细接口!$Q512),"")</f>
        <v/>
      </c>
      <c r="W512" s="10" t="str">
        <f aca="false">IFERROR(IF([2]对账明细接口!$R512=0,"",[2]对账明细接口!$R512),"")</f>
        <v/>
      </c>
      <c r="X512" s="10" t="str">
        <f aca="false">IFERROR(IF([2]对账明细接口!$S512=0,"",[2]对账明细接口!$S512),"")</f>
        <v/>
      </c>
      <c r="Y512" s="10" t="str">
        <f aca="false">IFERROR(IF([2]对账明细接口!$T512=0,"",[2]对账明细接口!$T512),"")</f>
        <v/>
      </c>
      <c r="Z512" s="113" t="str">
        <f aca="false">IFERROR(IF([2]对账明细接口!$U512=0,"",[2]对账明细接口!$U512),"")</f>
        <v/>
      </c>
      <c r="AA512" s="113" t="str">
        <f aca="false">IFERROR(IF([2]对账明细接口!$V512=0,"",[2]对账明细接口!$V512),"")</f>
        <v/>
      </c>
      <c r="AB512" s="10" t="str">
        <f aca="false">IFERROR(IF([2]对账明细接口!$W512=0,"",[2]对账明细接口!$W512),"")</f>
        <v/>
      </c>
      <c r="AC512" s="90" t="str">
        <f aca="false">IFERROR(IF([2]对账明细接口!$X513=0,"",[2]对账明细接口!$X513),"")</f>
        <v/>
      </c>
      <c r="AD512" s="90" t="str">
        <f aca="false">IFERROR(IF([2]对账明细接口!$Y513=0,"",[2]对账明细接口!$Y513),"")</f>
        <v/>
      </c>
      <c r="AE512" s="90" t="str">
        <f aca="false">IFERROR(IF([2]对账明细接口!$AA513=0,"",[2]对账明细接口!$AA513),"")</f>
        <v/>
      </c>
      <c r="AF512" s="90" t="str">
        <f aca="false">IFERROR(IF([2]对账明细接口!$AB513=0,"",[2]对账明细接口!$AB513),"")</f>
        <v/>
      </c>
      <c r="AG512" s="90" t="str">
        <f aca="false">IFERROR(IF([2]对账明细接口!$AC513=0,"",[2]对账明细接口!$AC513),"")</f>
        <v/>
      </c>
      <c r="AH512" s="90" t="str">
        <f aca="false">IFERROR(IF([2]对账明细接口!$AD513=0,"",[2]对账明细接口!$AD513),"")</f>
        <v/>
      </c>
    </row>
    <row r="513" customFormat="false" ht="13.5" hidden="false" customHeight="false" outlineLevel="0" collapsed="false">
      <c r="A513" s="109" t="n">
        <v>513</v>
      </c>
      <c r="B513" s="110" t="str">
        <f aca="false">IFERROR(IF([2]对账明细接口!$B$513=0,"",[2]对账明细接口!$B$513),"")</f>
        <v/>
      </c>
      <c r="C513" s="59" t="str">
        <f aca="false">IFERROR(IF([2]对账明细接口!$C$513=0,"",[2]对账明细接口!$C$513),"")</f>
        <v/>
      </c>
      <c r="D513" s="59" t="str">
        <f aca="false">IFERROR(IF([2]对账明细接口!$D$513=0,"",[2]对账明细接口!$D$513),"")</f>
        <v/>
      </c>
      <c r="E513" s="59" t="str">
        <f aca="false">IFERROR(IF([2]对账明细接口!$E$513=0,"",[2]对账明细接口!$E$513),"")</f>
        <v/>
      </c>
      <c r="F513" s="59" t="str">
        <f aca="false">IFERROR(IF([2]对账明细接口!$F$513=0,"",[2]对账明细接口!$F$513),"")</f>
        <v/>
      </c>
      <c r="G513" s="59" t="str">
        <f aca="false">IFERROR(IF([2]对账明细接口!$G$513=0,"",[2]对账明细接口!$G$513),"")</f>
        <v/>
      </c>
      <c r="H513" s="60" t="str">
        <f aca="false">IFERROR(IF([2]对账明细接口!$H$513=0,"",[2]对账明细接口!$H$513),"")</f>
        <v/>
      </c>
      <c r="I513" s="59" t="str">
        <f aca="false">IFERROR(IF([2]对账明细接口!$I$513=0,"",[2]对账明细接口!$I$513),"")</f>
        <v/>
      </c>
      <c r="J513" s="61" t="str">
        <f aca="false">IFERROR(IF([2]对账明细接口!$J$513=0,"",[2]对账明细接口!$J$513),"")</f>
        <v/>
      </c>
      <c r="K513" s="61" t="str">
        <f aca="false">IFERROR(IF([2]对账明细接口!$K$513=0,"",[2]对账明细接口!$K$513),"")</f>
        <v/>
      </c>
      <c r="L513" s="59" t="str">
        <f aca="false">IFERROR(IF([2]对账明细接口!$L$513=0,"",[2]对账明细接口!$L$513),"")</f>
        <v/>
      </c>
      <c r="M513" s="59" t="str">
        <f aca="false">IFERROR(IF([2]对账明细接口!$M$513=0,"",[2]对账明细接口!$M$513),"")</f>
        <v/>
      </c>
      <c r="N513" s="111" t="n">
        <f aca="false">IF($C513="",0,1)</f>
        <v>0</v>
      </c>
      <c r="O513" s="111" t="n">
        <f aca="false">N(O512)+$N513</f>
        <v>311</v>
      </c>
      <c r="S513" s="10" t="str">
        <f aca="false">IFERROR(IF([2]对账明细接口!$N513=0,"",[2]对账明细接口!$N513),"")</f>
        <v/>
      </c>
      <c r="T513" s="112" t="str">
        <f aca="false">IFERROR(IF([2]对账明细接口!$O513=0,"",[2]对账明细接口!$O513),"")</f>
        <v/>
      </c>
      <c r="U513" s="112" t="str">
        <f aca="false">IFERROR(IF([2]对账明细接口!$P513=0,"",[2]对账明细接口!$P513),"")</f>
        <v/>
      </c>
      <c r="V513" s="112" t="str">
        <f aca="false">IFERROR(IF([2]对账明细接口!$Q513=0,"",[2]对账明细接口!$Q513),"")</f>
        <v/>
      </c>
      <c r="W513" s="10" t="str">
        <f aca="false">IFERROR(IF([2]对账明细接口!$R513=0,"",[2]对账明细接口!$R513),"")</f>
        <v/>
      </c>
      <c r="X513" s="10" t="str">
        <f aca="false">IFERROR(IF([2]对账明细接口!$S513=0,"",[2]对账明细接口!$S513),"")</f>
        <v/>
      </c>
      <c r="Y513" s="10" t="str">
        <f aca="false">IFERROR(IF([2]对账明细接口!$T513=0,"",[2]对账明细接口!$T513),"")</f>
        <v/>
      </c>
      <c r="Z513" s="113" t="str">
        <f aca="false">IFERROR(IF([2]对账明细接口!$U513=0,"",[2]对账明细接口!$U513),"")</f>
        <v/>
      </c>
      <c r="AA513" s="113" t="str">
        <f aca="false">IFERROR(IF([2]对账明细接口!$V513=0,"",[2]对账明细接口!$V513),"")</f>
        <v/>
      </c>
      <c r="AB513" s="10" t="str">
        <f aca="false">IFERROR(IF([2]对账明细接口!$W513=0,"",[2]对账明细接口!$W513),"")</f>
        <v/>
      </c>
      <c r="AC513" s="90" t="str">
        <f aca="false">IFERROR(IF([2]对账明细接口!$X514=0,"",[2]对账明细接口!$X514),"")</f>
        <v/>
      </c>
      <c r="AD513" s="90" t="str">
        <f aca="false">IFERROR(IF([2]对账明细接口!$Y514=0,"",[2]对账明细接口!$Y514),"")</f>
        <v/>
      </c>
      <c r="AE513" s="90" t="str">
        <f aca="false">IFERROR(IF([2]对账明细接口!$AA514=0,"",[2]对账明细接口!$AA514),"")</f>
        <v/>
      </c>
      <c r="AF513" s="90" t="str">
        <f aca="false">IFERROR(IF([2]对账明细接口!$AB514=0,"",[2]对账明细接口!$AB514),"")</f>
        <v/>
      </c>
      <c r="AG513" s="90" t="str">
        <f aca="false">IFERROR(IF([2]对账明细接口!$AC514=0,"",[2]对账明细接口!$AC514),"")</f>
        <v/>
      </c>
      <c r="AH513" s="90" t="str">
        <f aca="false">IFERROR(IF([2]对账明细接口!$AD514=0,"",[2]对账明细接口!$AD514),"")</f>
        <v/>
      </c>
    </row>
    <row r="514" customFormat="false" ht="13.5" hidden="false" customHeight="false" outlineLevel="0" collapsed="false">
      <c r="A514" s="109" t="n">
        <v>514</v>
      </c>
      <c r="B514" s="110" t="str">
        <f aca="false">IFERROR(IF([2]对账明细接口!$B$514=0,"",[2]对账明细接口!$B$514),"")</f>
        <v/>
      </c>
      <c r="C514" s="59" t="str">
        <f aca="false">IFERROR(IF([2]对账明细接口!$C$514=0,"",[2]对账明细接口!$C$514),"")</f>
        <v/>
      </c>
      <c r="D514" s="59" t="str">
        <f aca="false">IFERROR(IF([2]对账明细接口!$D$514=0,"",[2]对账明细接口!$D$514),"")</f>
        <v/>
      </c>
      <c r="E514" s="59" t="str">
        <f aca="false">IFERROR(IF([2]对账明细接口!$E$514=0,"",[2]对账明细接口!$E$514),"")</f>
        <v/>
      </c>
      <c r="F514" s="59" t="str">
        <f aca="false">IFERROR(IF([2]对账明细接口!$F$514=0,"",[2]对账明细接口!$F$514),"")</f>
        <v/>
      </c>
      <c r="G514" s="59" t="str">
        <f aca="false">IFERROR(IF([2]对账明细接口!$G$514=0,"",[2]对账明细接口!$G$514),"")</f>
        <v/>
      </c>
      <c r="H514" s="60" t="str">
        <f aca="false">IFERROR(IF([2]对账明细接口!$H$514=0,"",[2]对账明细接口!$H$514),"")</f>
        <v/>
      </c>
      <c r="I514" s="59" t="str">
        <f aca="false">IFERROR(IF([2]对账明细接口!$I$514=0,"",[2]对账明细接口!$I$514),"")</f>
        <v/>
      </c>
      <c r="J514" s="61" t="str">
        <f aca="false">IFERROR(IF([2]对账明细接口!$J$514=0,"",[2]对账明细接口!$J$514),"")</f>
        <v/>
      </c>
      <c r="K514" s="61" t="str">
        <f aca="false">IFERROR(IF([2]对账明细接口!$K$514=0,"",[2]对账明细接口!$K$514),"")</f>
        <v/>
      </c>
      <c r="L514" s="59" t="str">
        <f aca="false">IFERROR(IF([2]对账明细接口!$L$514=0,"",[2]对账明细接口!$L$514),"")</f>
        <v/>
      </c>
      <c r="M514" s="59" t="str">
        <f aca="false">IFERROR(IF([2]对账明细接口!$M$514=0,"",[2]对账明细接口!$M$514),"")</f>
        <v/>
      </c>
      <c r="N514" s="111" t="n">
        <f aca="false">IF($C514="",0,1)</f>
        <v>0</v>
      </c>
      <c r="O514" s="111" t="n">
        <f aca="false">N(O513)+$N514</f>
        <v>311</v>
      </c>
      <c r="S514" s="10" t="str">
        <f aca="false">IFERROR(IF([2]对账明细接口!$N514=0,"",[2]对账明细接口!$N514),"")</f>
        <v/>
      </c>
      <c r="T514" s="112" t="str">
        <f aca="false">IFERROR(IF([2]对账明细接口!$O514=0,"",[2]对账明细接口!$O514),"")</f>
        <v/>
      </c>
      <c r="U514" s="112" t="str">
        <f aca="false">IFERROR(IF([2]对账明细接口!$P514=0,"",[2]对账明细接口!$P514),"")</f>
        <v/>
      </c>
      <c r="V514" s="112" t="str">
        <f aca="false">IFERROR(IF([2]对账明细接口!$Q514=0,"",[2]对账明细接口!$Q514),"")</f>
        <v/>
      </c>
      <c r="W514" s="10" t="str">
        <f aca="false">IFERROR(IF([2]对账明细接口!$R514=0,"",[2]对账明细接口!$R514),"")</f>
        <v/>
      </c>
      <c r="X514" s="10" t="str">
        <f aca="false">IFERROR(IF([2]对账明细接口!$S514=0,"",[2]对账明细接口!$S514),"")</f>
        <v/>
      </c>
      <c r="Y514" s="10" t="str">
        <f aca="false">IFERROR(IF([2]对账明细接口!$T514=0,"",[2]对账明细接口!$T514),"")</f>
        <v/>
      </c>
      <c r="Z514" s="113" t="str">
        <f aca="false">IFERROR(IF([2]对账明细接口!$U514=0,"",[2]对账明细接口!$U514),"")</f>
        <v/>
      </c>
      <c r="AA514" s="113" t="str">
        <f aca="false">IFERROR(IF([2]对账明细接口!$V514=0,"",[2]对账明细接口!$V514),"")</f>
        <v/>
      </c>
      <c r="AB514" s="10" t="str">
        <f aca="false">IFERROR(IF([2]对账明细接口!$W514=0,"",[2]对账明细接口!$W514),"")</f>
        <v/>
      </c>
      <c r="AC514" s="90" t="str">
        <f aca="false">IFERROR(IF([2]对账明细接口!$X515=0,"",[2]对账明细接口!$X515),"")</f>
        <v/>
      </c>
      <c r="AD514" s="90" t="str">
        <f aca="false">IFERROR(IF([2]对账明细接口!$Y515=0,"",[2]对账明细接口!$Y515),"")</f>
        <v/>
      </c>
      <c r="AE514" s="90" t="str">
        <f aca="false">IFERROR(IF([2]对账明细接口!$AA515=0,"",[2]对账明细接口!$AA515),"")</f>
        <v/>
      </c>
      <c r="AF514" s="90" t="str">
        <f aca="false">IFERROR(IF([2]对账明细接口!$AB515=0,"",[2]对账明细接口!$AB515),"")</f>
        <v/>
      </c>
      <c r="AG514" s="90" t="str">
        <f aca="false">IFERROR(IF([2]对账明细接口!$AC515=0,"",[2]对账明细接口!$AC515),"")</f>
        <v/>
      </c>
      <c r="AH514" s="90" t="str">
        <f aca="false">IFERROR(IF([2]对账明细接口!$AD515=0,"",[2]对账明细接口!$AD515),"")</f>
        <v/>
      </c>
    </row>
    <row r="515" customFormat="false" ht="13.5" hidden="false" customHeight="false" outlineLevel="0" collapsed="false">
      <c r="A515" s="109" t="n">
        <v>515</v>
      </c>
      <c r="B515" s="110" t="str">
        <f aca="false">IFERROR(IF([2]对账明细接口!$B$515=0,"",[2]对账明细接口!$B$515),"")</f>
        <v/>
      </c>
      <c r="C515" s="59" t="str">
        <f aca="false">IFERROR(IF([2]对账明细接口!$C$515=0,"",[2]对账明细接口!$C$515),"")</f>
        <v/>
      </c>
      <c r="D515" s="59" t="str">
        <f aca="false">IFERROR(IF([2]对账明细接口!$D$515=0,"",[2]对账明细接口!$D$515),"")</f>
        <v/>
      </c>
      <c r="E515" s="59" t="str">
        <f aca="false">IFERROR(IF([2]对账明细接口!$E$515=0,"",[2]对账明细接口!$E$515),"")</f>
        <v/>
      </c>
      <c r="F515" s="59" t="str">
        <f aca="false">IFERROR(IF([2]对账明细接口!$F$515=0,"",[2]对账明细接口!$F$515),"")</f>
        <v/>
      </c>
      <c r="G515" s="59" t="str">
        <f aca="false">IFERROR(IF([2]对账明细接口!$G$515=0,"",[2]对账明细接口!$G$515),"")</f>
        <v/>
      </c>
      <c r="H515" s="60" t="str">
        <f aca="false">IFERROR(IF([2]对账明细接口!$H$515=0,"",[2]对账明细接口!$H$515),"")</f>
        <v/>
      </c>
      <c r="I515" s="59" t="str">
        <f aca="false">IFERROR(IF([2]对账明细接口!$I$515=0,"",[2]对账明细接口!$I$515),"")</f>
        <v/>
      </c>
      <c r="J515" s="61" t="str">
        <f aca="false">IFERROR(IF([2]对账明细接口!$J$515=0,"",[2]对账明细接口!$J$515),"")</f>
        <v/>
      </c>
      <c r="K515" s="61" t="str">
        <f aca="false">IFERROR(IF([2]对账明细接口!$K$515=0,"",[2]对账明细接口!$K$515),"")</f>
        <v/>
      </c>
      <c r="L515" s="59" t="str">
        <f aca="false">IFERROR(IF([2]对账明细接口!$L$515=0,"",[2]对账明细接口!$L$515),"")</f>
        <v/>
      </c>
      <c r="M515" s="59" t="str">
        <f aca="false">IFERROR(IF([2]对账明细接口!$M$515=0,"",[2]对账明细接口!$M$515),"")</f>
        <v/>
      </c>
      <c r="N515" s="111" t="n">
        <f aca="false">IF($C515="",0,1)</f>
        <v>0</v>
      </c>
      <c r="O515" s="111" t="n">
        <f aca="false">N(O514)+$N515</f>
        <v>311</v>
      </c>
      <c r="S515" s="10" t="str">
        <f aca="false">IFERROR(IF([2]对账明细接口!$N515=0,"",[2]对账明细接口!$N515),"")</f>
        <v/>
      </c>
      <c r="T515" s="112" t="str">
        <f aca="false">IFERROR(IF([2]对账明细接口!$O515=0,"",[2]对账明细接口!$O515),"")</f>
        <v/>
      </c>
      <c r="U515" s="112" t="str">
        <f aca="false">IFERROR(IF([2]对账明细接口!$P515=0,"",[2]对账明细接口!$P515),"")</f>
        <v/>
      </c>
      <c r="V515" s="112" t="str">
        <f aca="false">IFERROR(IF([2]对账明细接口!$Q515=0,"",[2]对账明细接口!$Q515),"")</f>
        <v/>
      </c>
      <c r="W515" s="10" t="str">
        <f aca="false">IFERROR(IF([2]对账明细接口!$R515=0,"",[2]对账明细接口!$R515),"")</f>
        <v/>
      </c>
      <c r="X515" s="10" t="str">
        <f aca="false">IFERROR(IF([2]对账明细接口!$S515=0,"",[2]对账明细接口!$S515),"")</f>
        <v/>
      </c>
      <c r="Y515" s="10" t="str">
        <f aca="false">IFERROR(IF([2]对账明细接口!$T515=0,"",[2]对账明细接口!$T515),"")</f>
        <v/>
      </c>
      <c r="Z515" s="113" t="str">
        <f aca="false">IFERROR(IF([2]对账明细接口!$U515=0,"",[2]对账明细接口!$U515),"")</f>
        <v/>
      </c>
      <c r="AA515" s="113" t="str">
        <f aca="false">IFERROR(IF([2]对账明细接口!$V515=0,"",[2]对账明细接口!$V515),"")</f>
        <v/>
      </c>
      <c r="AB515" s="10" t="str">
        <f aca="false">IFERROR(IF([2]对账明细接口!$W515=0,"",[2]对账明细接口!$W515),"")</f>
        <v/>
      </c>
      <c r="AC515" s="90" t="str">
        <f aca="false">IFERROR(IF([2]对账明细接口!$X516=0,"",[2]对账明细接口!$X516),"")</f>
        <v/>
      </c>
      <c r="AD515" s="90" t="str">
        <f aca="false">IFERROR(IF([2]对账明细接口!$Y516=0,"",[2]对账明细接口!$Y516),"")</f>
        <v/>
      </c>
      <c r="AE515" s="90" t="str">
        <f aca="false">IFERROR(IF([2]对账明细接口!$AA516=0,"",[2]对账明细接口!$AA516),"")</f>
        <v/>
      </c>
      <c r="AF515" s="90" t="str">
        <f aca="false">IFERROR(IF([2]对账明细接口!$AB516=0,"",[2]对账明细接口!$AB516),"")</f>
        <v/>
      </c>
      <c r="AG515" s="90" t="str">
        <f aca="false">IFERROR(IF([2]对账明细接口!$AC516=0,"",[2]对账明细接口!$AC516),"")</f>
        <v/>
      </c>
      <c r="AH515" s="90" t="str">
        <f aca="false">IFERROR(IF([2]对账明细接口!$AD516=0,"",[2]对账明细接口!$AD516),"")</f>
        <v/>
      </c>
    </row>
    <row r="516" customFormat="false" ht="13.5" hidden="false" customHeight="false" outlineLevel="0" collapsed="false">
      <c r="A516" s="109" t="n">
        <v>516</v>
      </c>
      <c r="B516" s="110" t="str">
        <f aca="false">IFERROR(IF([2]对账明细接口!$B$516=0,"",[2]对账明细接口!$B$516),"")</f>
        <v/>
      </c>
      <c r="C516" s="59" t="str">
        <f aca="false">IFERROR(IF([2]对账明细接口!$C$516=0,"",[2]对账明细接口!$C$516),"")</f>
        <v/>
      </c>
      <c r="D516" s="59" t="str">
        <f aca="false">IFERROR(IF([2]对账明细接口!$D$516=0,"",[2]对账明细接口!$D$516),"")</f>
        <v/>
      </c>
      <c r="E516" s="59" t="str">
        <f aca="false">IFERROR(IF([2]对账明细接口!$E$516=0,"",[2]对账明细接口!$E$516),"")</f>
        <v/>
      </c>
      <c r="F516" s="59" t="str">
        <f aca="false">IFERROR(IF([2]对账明细接口!$F$516=0,"",[2]对账明细接口!$F$516),"")</f>
        <v/>
      </c>
      <c r="G516" s="59" t="str">
        <f aca="false">IFERROR(IF([2]对账明细接口!$G$516=0,"",[2]对账明细接口!$G$516),"")</f>
        <v/>
      </c>
      <c r="H516" s="60" t="str">
        <f aca="false">IFERROR(IF([2]对账明细接口!$H$516=0,"",[2]对账明细接口!$H$516),"")</f>
        <v/>
      </c>
      <c r="I516" s="59" t="str">
        <f aca="false">IFERROR(IF([2]对账明细接口!$I$516=0,"",[2]对账明细接口!$I$516),"")</f>
        <v/>
      </c>
      <c r="J516" s="61" t="str">
        <f aca="false">IFERROR(IF([2]对账明细接口!$J$516=0,"",[2]对账明细接口!$J$516),"")</f>
        <v/>
      </c>
      <c r="K516" s="61" t="str">
        <f aca="false">IFERROR(IF([2]对账明细接口!$K$516=0,"",[2]对账明细接口!$K$516),"")</f>
        <v/>
      </c>
      <c r="L516" s="59" t="str">
        <f aca="false">IFERROR(IF([2]对账明细接口!$L$516=0,"",[2]对账明细接口!$L$516),"")</f>
        <v/>
      </c>
      <c r="M516" s="59" t="str">
        <f aca="false">IFERROR(IF([2]对账明细接口!$M$516=0,"",[2]对账明细接口!$M$516),"")</f>
        <v/>
      </c>
      <c r="N516" s="111" t="n">
        <f aca="false">IF($C516="",0,1)</f>
        <v>0</v>
      </c>
      <c r="O516" s="111" t="n">
        <f aca="false">N(O515)+$N516</f>
        <v>311</v>
      </c>
      <c r="S516" s="10" t="str">
        <f aca="false">IFERROR(IF([2]对账明细接口!$N516=0,"",[2]对账明细接口!$N516),"")</f>
        <v/>
      </c>
      <c r="T516" s="112" t="str">
        <f aca="false">IFERROR(IF([2]对账明细接口!$O516=0,"",[2]对账明细接口!$O516),"")</f>
        <v/>
      </c>
      <c r="U516" s="112" t="str">
        <f aca="false">IFERROR(IF([2]对账明细接口!$P516=0,"",[2]对账明细接口!$P516),"")</f>
        <v/>
      </c>
      <c r="V516" s="112" t="str">
        <f aca="false">IFERROR(IF([2]对账明细接口!$Q516=0,"",[2]对账明细接口!$Q516),"")</f>
        <v/>
      </c>
      <c r="W516" s="10" t="str">
        <f aca="false">IFERROR(IF([2]对账明细接口!$R516=0,"",[2]对账明细接口!$R516),"")</f>
        <v/>
      </c>
      <c r="X516" s="10" t="str">
        <f aca="false">IFERROR(IF([2]对账明细接口!$S516=0,"",[2]对账明细接口!$S516),"")</f>
        <v/>
      </c>
      <c r="Y516" s="10" t="str">
        <f aca="false">IFERROR(IF([2]对账明细接口!$T516=0,"",[2]对账明细接口!$T516),"")</f>
        <v/>
      </c>
      <c r="Z516" s="113" t="str">
        <f aca="false">IFERROR(IF([2]对账明细接口!$U516=0,"",[2]对账明细接口!$U516),"")</f>
        <v/>
      </c>
      <c r="AA516" s="113" t="str">
        <f aca="false">IFERROR(IF([2]对账明细接口!$V516=0,"",[2]对账明细接口!$V516),"")</f>
        <v/>
      </c>
      <c r="AB516" s="10" t="str">
        <f aca="false">IFERROR(IF([2]对账明细接口!$W516=0,"",[2]对账明细接口!$W516),"")</f>
        <v/>
      </c>
      <c r="AC516" s="90" t="str">
        <f aca="false">IFERROR(IF([2]对账明细接口!$X517=0,"",[2]对账明细接口!$X517),"")</f>
        <v/>
      </c>
      <c r="AD516" s="90" t="str">
        <f aca="false">IFERROR(IF([2]对账明细接口!$Y517=0,"",[2]对账明细接口!$Y517),"")</f>
        <v/>
      </c>
      <c r="AE516" s="90" t="str">
        <f aca="false">IFERROR(IF([2]对账明细接口!$AA517=0,"",[2]对账明细接口!$AA517),"")</f>
        <v/>
      </c>
      <c r="AF516" s="90" t="str">
        <f aca="false">IFERROR(IF([2]对账明细接口!$AB517=0,"",[2]对账明细接口!$AB517),"")</f>
        <v/>
      </c>
      <c r="AG516" s="90" t="str">
        <f aca="false">IFERROR(IF([2]对账明细接口!$AC517=0,"",[2]对账明细接口!$AC517),"")</f>
        <v/>
      </c>
      <c r="AH516" s="90" t="str">
        <f aca="false">IFERROR(IF([2]对账明细接口!$AD517=0,"",[2]对账明细接口!$AD517),"")</f>
        <v/>
      </c>
    </row>
    <row r="517" customFormat="false" ht="13.5" hidden="false" customHeight="false" outlineLevel="0" collapsed="false">
      <c r="A517" s="109" t="n">
        <v>517</v>
      </c>
      <c r="B517" s="110" t="str">
        <f aca="false">IFERROR(IF([2]对账明细接口!$B$517=0,"",[2]对账明细接口!$B$517),"")</f>
        <v/>
      </c>
      <c r="C517" s="59" t="str">
        <f aca="false">IFERROR(IF([2]对账明细接口!$C$517=0,"",[2]对账明细接口!$C$517),"")</f>
        <v/>
      </c>
      <c r="D517" s="59" t="str">
        <f aca="false">IFERROR(IF([2]对账明细接口!$D$517=0,"",[2]对账明细接口!$D$517),"")</f>
        <v/>
      </c>
      <c r="E517" s="59" t="str">
        <f aca="false">IFERROR(IF([2]对账明细接口!$E$517=0,"",[2]对账明细接口!$E$517),"")</f>
        <v/>
      </c>
      <c r="F517" s="59" t="str">
        <f aca="false">IFERROR(IF([2]对账明细接口!$F$517=0,"",[2]对账明细接口!$F$517),"")</f>
        <v/>
      </c>
      <c r="G517" s="59" t="str">
        <f aca="false">IFERROR(IF([2]对账明细接口!$G$517=0,"",[2]对账明细接口!$G$517),"")</f>
        <v/>
      </c>
      <c r="H517" s="60" t="str">
        <f aca="false">IFERROR(IF([2]对账明细接口!$H$517=0,"",[2]对账明细接口!$H$517),"")</f>
        <v/>
      </c>
      <c r="I517" s="59" t="str">
        <f aca="false">IFERROR(IF([2]对账明细接口!$I$517=0,"",[2]对账明细接口!$I$517),"")</f>
        <v/>
      </c>
      <c r="J517" s="61" t="str">
        <f aca="false">IFERROR(IF([2]对账明细接口!$J$517=0,"",[2]对账明细接口!$J$517),"")</f>
        <v/>
      </c>
      <c r="K517" s="61" t="str">
        <f aca="false">IFERROR(IF([2]对账明细接口!$K$517=0,"",[2]对账明细接口!$K$517),"")</f>
        <v/>
      </c>
      <c r="L517" s="59" t="str">
        <f aca="false">IFERROR(IF([2]对账明细接口!$L$517=0,"",[2]对账明细接口!$L$517),"")</f>
        <v/>
      </c>
      <c r="M517" s="59" t="str">
        <f aca="false">IFERROR(IF([2]对账明细接口!$M$517=0,"",[2]对账明细接口!$M$517),"")</f>
        <v/>
      </c>
      <c r="N517" s="111" t="n">
        <f aca="false">IF($C517="",0,1)</f>
        <v>0</v>
      </c>
      <c r="O517" s="111" t="n">
        <f aca="false">N(O516)+$N517</f>
        <v>311</v>
      </c>
      <c r="S517" s="10" t="str">
        <f aca="false">IFERROR(IF([2]对账明细接口!$N517=0,"",[2]对账明细接口!$N517),"")</f>
        <v/>
      </c>
      <c r="T517" s="112" t="str">
        <f aca="false">IFERROR(IF([2]对账明细接口!$O517=0,"",[2]对账明细接口!$O517),"")</f>
        <v/>
      </c>
      <c r="U517" s="112" t="str">
        <f aca="false">IFERROR(IF([2]对账明细接口!$P517=0,"",[2]对账明细接口!$P517),"")</f>
        <v/>
      </c>
      <c r="V517" s="112" t="str">
        <f aca="false">IFERROR(IF([2]对账明细接口!$Q517=0,"",[2]对账明细接口!$Q517),"")</f>
        <v/>
      </c>
      <c r="W517" s="10" t="str">
        <f aca="false">IFERROR(IF([2]对账明细接口!$R517=0,"",[2]对账明细接口!$R517),"")</f>
        <v/>
      </c>
      <c r="X517" s="10" t="str">
        <f aca="false">IFERROR(IF([2]对账明细接口!$S517=0,"",[2]对账明细接口!$S517),"")</f>
        <v/>
      </c>
      <c r="Y517" s="10" t="str">
        <f aca="false">IFERROR(IF([2]对账明细接口!$T517=0,"",[2]对账明细接口!$T517),"")</f>
        <v/>
      </c>
      <c r="Z517" s="113" t="str">
        <f aca="false">IFERROR(IF([2]对账明细接口!$U517=0,"",[2]对账明细接口!$U517),"")</f>
        <v/>
      </c>
      <c r="AA517" s="113" t="str">
        <f aca="false">IFERROR(IF([2]对账明细接口!$V517=0,"",[2]对账明细接口!$V517),"")</f>
        <v/>
      </c>
      <c r="AB517" s="10" t="str">
        <f aca="false">IFERROR(IF([2]对账明细接口!$W517=0,"",[2]对账明细接口!$W517),"")</f>
        <v/>
      </c>
      <c r="AC517" s="90" t="str">
        <f aca="false">IFERROR(IF([2]对账明细接口!$X518=0,"",[2]对账明细接口!$X518),"")</f>
        <v/>
      </c>
      <c r="AD517" s="90" t="str">
        <f aca="false">IFERROR(IF([2]对账明细接口!$Y518=0,"",[2]对账明细接口!$Y518),"")</f>
        <v/>
      </c>
      <c r="AE517" s="90" t="str">
        <f aca="false">IFERROR(IF([2]对账明细接口!$AA518=0,"",[2]对账明细接口!$AA518),"")</f>
        <v/>
      </c>
      <c r="AF517" s="90" t="str">
        <f aca="false">IFERROR(IF([2]对账明细接口!$AB518=0,"",[2]对账明细接口!$AB518),"")</f>
        <v/>
      </c>
      <c r="AG517" s="90" t="str">
        <f aca="false">IFERROR(IF([2]对账明细接口!$AC518=0,"",[2]对账明细接口!$AC518),"")</f>
        <v/>
      </c>
      <c r="AH517" s="90" t="str">
        <f aca="false">IFERROR(IF([2]对账明细接口!$AD518=0,"",[2]对账明细接口!$AD518),"")</f>
        <v/>
      </c>
    </row>
    <row r="518" customFormat="false" ht="13.5" hidden="false" customHeight="false" outlineLevel="0" collapsed="false">
      <c r="A518" s="109" t="n">
        <v>518</v>
      </c>
      <c r="B518" s="110" t="str">
        <f aca="false">IFERROR(IF([2]对账明细接口!$B$518=0,"",[2]对账明细接口!$B$518),"")</f>
        <v/>
      </c>
      <c r="C518" s="59" t="str">
        <f aca="false">IFERROR(IF([2]对账明细接口!$C$518=0,"",[2]对账明细接口!$C$518),"")</f>
        <v/>
      </c>
      <c r="D518" s="59" t="str">
        <f aca="false">IFERROR(IF([2]对账明细接口!$D$518=0,"",[2]对账明细接口!$D$518),"")</f>
        <v/>
      </c>
      <c r="E518" s="59" t="str">
        <f aca="false">IFERROR(IF([2]对账明细接口!$E$518=0,"",[2]对账明细接口!$E$518),"")</f>
        <v/>
      </c>
      <c r="F518" s="59" t="str">
        <f aca="false">IFERROR(IF([2]对账明细接口!$F$518=0,"",[2]对账明细接口!$F$518),"")</f>
        <v/>
      </c>
      <c r="G518" s="59" t="str">
        <f aca="false">IFERROR(IF([2]对账明细接口!$G$518=0,"",[2]对账明细接口!$G$518),"")</f>
        <v/>
      </c>
      <c r="H518" s="60" t="str">
        <f aca="false">IFERROR(IF([2]对账明细接口!$H$518=0,"",[2]对账明细接口!$H$518),"")</f>
        <v/>
      </c>
      <c r="I518" s="59" t="str">
        <f aca="false">IFERROR(IF([2]对账明细接口!$I$518=0,"",[2]对账明细接口!$I$518),"")</f>
        <v/>
      </c>
      <c r="J518" s="61" t="str">
        <f aca="false">IFERROR(IF([2]对账明细接口!$J$518=0,"",[2]对账明细接口!$J$518),"")</f>
        <v/>
      </c>
      <c r="K518" s="61" t="str">
        <f aca="false">IFERROR(IF([2]对账明细接口!$K$518=0,"",[2]对账明细接口!$K$518),"")</f>
        <v/>
      </c>
      <c r="L518" s="59" t="str">
        <f aca="false">IFERROR(IF([2]对账明细接口!$L$518=0,"",[2]对账明细接口!$L$518),"")</f>
        <v/>
      </c>
      <c r="M518" s="59" t="str">
        <f aca="false">IFERROR(IF([2]对账明细接口!$M$518=0,"",[2]对账明细接口!$M$518),"")</f>
        <v/>
      </c>
      <c r="N518" s="111" t="n">
        <f aca="false">IF($C518="",0,1)</f>
        <v>0</v>
      </c>
      <c r="O518" s="111" t="n">
        <f aca="false">N(O517)+$N518</f>
        <v>311</v>
      </c>
      <c r="S518" s="10" t="str">
        <f aca="false">IFERROR(IF([2]对账明细接口!$N518=0,"",[2]对账明细接口!$N518),"")</f>
        <v/>
      </c>
      <c r="T518" s="112" t="str">
        <f aca="false">IFERROR(IF([2]对账明细接口!$O518=0,"",[2]对账明细接口!$O518),"")</f>
        <v/>
      </c>
      <c r="U518" s="112" t="str">
        <f aca="false">IFERROR(IF([2]对账明细接口!$P518=0,"",[2]对账明细接口!$P518),"")</f>
        <v/>
      </c>
      <c r="V518" s="112" t="str">
        <f aca="false">IFERROR(IF([2]对账明细接口!$Q518=0,"",[2]对账明细接口!$Q518),"")</f>
        <v/>
      </c>
      <c r="W518" s="10" t="str">
        <f aca="false">IFERROR(IF([2]对账明细接口!$R518=0,"",[2]对账明细接口!$R518),"")</f>
        <v/>
      </c>
      <c r="X518" s="10" t="str">
        <f aca="false">IFERROR(IF([2]对账明细接口!$S518=0,"",[2]对账明细接口!$S518),"")</f>
        <v/>
      </c>
      <c r="Y518" s="10" t="str">
        <f aca="false">IFERROR(IF([2]对账明细接口!$T518=0,"",[2]对账明细接口!$T518),"")</f>
        <v/>
      </c>
      <c r="Z518" s="113" t="str">
        <f aca="false">IFERROR(IF([2]对账明细接口!$U518=0,"",[2]对账明细接口!$U518),"")</f>
        <v/>
      </c>
      <c r="AA518" s="113" t="str">
        <f aca="false">IFERROR(IF([2]对账明细接口!$V518=0,"",[2]对账明细接口!$V518),"")</f>
        <v/>
      </c>
      <c r="AB518" s="10" t="str">
        <f aca="false">IFERROR(IF([2]对账明细接口!$W518=0,"",[2]对账明细接口!$W518),"")</f>
        <v/>
      </c>
      <c r="AC518" s="90" t="str">
        <f aca="false">IFERROR(IF([2]对账明细接口!$X519=0,"",[2]对账明细接口!$X519),"")</f>
        <v/>
      </c>
      <c r="AD518" s="90" t="str">
        <f aca="false">IFERROR(IF([2]对账明细接口!$Y519=0,"",[2]对账明细接口!$Y519),"")</f>
        <v/>
      </c>
      <c r="AE518" s="90" t="str">
        <f aca="false">IFERROR(IF([2]对账明细接口!$AA519=0,"",[2]对账明细接口!$AA519),"")</f>
        <v/>
      </c>
      <c r="AF518" s="90" t="str">
        <f aca="false">IFERROR(IF([2]对账明细接口!$AB519=0,"",[2]对账明细接口!$AB519),"")</f>
        <v/>
      </c>
      <c r="AG518" s="90" t="str">
        <f aca="false">IFERROR(IF([2]对账明细接口!$AC519=0,"",[2]对账明细接口!$AC519),"")</f>
        <v/>
      </c>
      <c r="AH518" s="90" t="str">
        <f aca="false">IFERROR(IF([2]对账明细接口!$AD519=0,"",[2]对账明细接口!$AD519),"")</f>
        <v/>
      </c>
    </row>
    <row r="519" customFormat="false" ht="13.5" hidden="false" customHeight="false" outlineLevel="0" collapsed="false">
      <c r="A519" s="109" t="n">
        <v>519</v>
      </c>
      <c r="B519" s="110" t="str">
        <f aca="false">IFERROR(IF([2]对账明细接口!$B$519=0,"",[2]对账明细接口!$B$519),"")</f>
        <v/>
      </c>
      <c r="C519" s="59" t="str">
        <f aca="false">IFERROR(IF([2]对账明细接口!$C$519=0,"",[2]对账明细接口!$C$519),"")</f>
        <v/>
      </c>
      <c r="D519" s="59" t="str">
        <f aca="false">IFERROR(IF([2]对账明细接口!$D$519=0,"",[2]对账明细接口!$D$519),"")</f>
        <v/>
      </c>
      <c r="E519" s="59" t="str">
        <f aca="false">IFERROR(IF([2]对账明细接口!$E$519=0,"",[2]对账明细接口!$E$519),"")</f>
        <v/>
      </c>
      <c r="F519" s="59" t="str">
        <f aca="false">IFERROR(IF([2]对账明细接口!$F$519=0,"",[2]对账明细接口!$F$519),"")</f>
        <v/>
      </c>
      <c r="G519" s="59" t="str">
        <f aca="false">IFERROR(IF([2]对账明细接口!$G$519=0,"",[2]对账明细接口!$G$519),"")</f>
        <v/>
      </c>
      <c r="H519" s="60" t="str">
        <f aca="false">IFERROR(IF([2]对账明细接口!$H$519=0,"",[2]对账明细接口!$H$519),"")</f>
        <v/>
      </c>
      <c r="I519" s="59" t="str">
        <f aca="false">IFERROR(IF([2]对账明细接口!$I$519=0,"",[2]对账明细接口!$I$519),"")</f>
        <v/>
      </c>
      <c r="J519" s="61" t="str">
        <f aca="false">IFERROR(IF([2]对账明细接口!$J$519=0,"",[2]对账明细接口!$J$519),"")</f>
        <v/>
      </c>
      <c r="K519" s="61" t="str">
        <f aca="false">IFERROR(IF([2]对账明细接口!$K$519=0,"",[2]对账明细接口!$K$519),"")</f>
        <v/>
      </c>
      <c r="L519" s="59" t="str">
        <f aca="false">IFERROR(IF([2]对账明细接口!$L$519=0,"",[2]对账明细接口!$L$519),"")</f>
        <v/>
      </c>
      <c r="M519" s="59" t="str">
        <f aca="false">IFERROR(IF([2]对账明细接口!$M$519=0,"",[2]对账明细接口!$M$519),"")</f>
        <v/>
      </c>
      <c r="N519" s="111" t="n">
        <f aca="false">IF($C519="",0,1)</f>
        <v>0</v>
      </c>
      <c r="O519" s="111" t="n">
        <f aca="false">N(O518)+$N519</f>
        <v>311</v>
      </c>
      <c r="S519" s="10" t="str">
        <f aca="false">IFERROR(IF([2]对账明细接口!$N519=0,"",[2]对账明细接口!$N519),"")</f>
        <v/>
      </c>
      <c r="T519" s="112" t="str">
        <f aca="false">IFERROR(IF([2]对账明细接口!$O519=0,"",[2]对账明细接口!$O519),"")</f>
        <v/>
      </c>
      <c r="U519" s="112" t="str">
        <f aca="false">IFERROR(IF([2]对账明细接口!$P519=0,"",[2]对账明细接口!$P519),"")</f>
        <v/>
      </c>
      <c r="V519" s="112" t="str">
        <f aca="false">IFERROR(IF([2]对账明细接口!$Q519=0,"",[2]对账明细接口!$Q519),"")</f>
        <v/>
      </c>
      <c r="W519" s="10" t="str">
        <f aca="false">IFERROR(IF([2]对账明细接口!$R519=0,"",[2]对账明细接口!$R519),"")</f>
        <v/>
      </c>
      <c r="X519" s="10" t="str">
        <f aca="false">IFERROR(IF([2]对账明细接口!$S519=0,"",[2]对账明细接口!$S519),"")</f>
        <v/>
      </c>
      <c r="Y519" s="10" t="str">
        <f aca="false">IFERROR(IF([2]对账明细接口!$T519=0,"",[2]对账明细接口!$T519),"")</f>
        <v/>
      </c>
      <c r="Z519" s="113" t="str">
        <f aca="false">IFERROR(IF([2]对账明细接口!$U519=0,"",[2]对账明细接口!$U519),"")</f>
        <v/>
      </c>
      <c r="AA519" s="113" t="str">
        <f aca="false">IFERROR(IF([2]对账明细接口!$V519=0,"",[2]对账明细接口!$V519),"")</f>
        <v/>
      </c>
      <c r="AB519" s="10" t="str">
        <f aca="false">IFERROR(IF([2]对账明细接口!$W519=0,"",[2]对账明细接口!$W519),"")</f>
        <v/>
      </c>
      <c r="AC519" s="90" t="str">
        <f aca="false">IFERROR(IF([2]对账明细接口!$X520=0,"",[2]对账明细接口!$X520),"")</f>
        <v/>
      </c>
      <c r="AD519" s="90" t="str">
        <f aca="false">IFERROR(IF([2]对账明细接口!$Y520=0,"",[2]对账明细接口!$Y520),"")</f>
        <v/>
      </c>
      <c r="AE519" s="90" t="str">
        <f aca="false">IFERROR(IF([2]对账明细接口!$AA520=0,"",[2]对账明细接口!$AA520),"")</f>
        <v/>
      </c>
      <c r="AF519" s="90" t="str">
        <f aca="false">IFERROR(IF([2]对账明细接口!$AB520=0,"",[2]对账明细接口!$AB520),"")</f>
        <v/>
      </c>
      <c r="AG519" s="90" t="str">
        <f aca="false">IFERROR(IF([2]对账明细接口!$AC520=0,"",[2]对账明细接口!$AC520),"")</f>
        <v/>
      </c>
      <c r="AH519" s="90" t="str">
        <f aca="false">IFERROR(IF([2]对账明细接口!$AD520=0,"",[2]对账明细接口!$AD520),"")</f>
        <v/>
      </c>
    </row>
    <row r="520" customFormat="false" ht="13.5" hidden="false" customHeight="false" outlineLevel="0" collapsed="false">
      <c r="A520" s="109" t="n">
        <v>520</v>
      </c>
      <c r="B520" s="110" t="str">
        <f aca="false">IFERROR(IF([2]对账明细接口!$B$520=0,"",[2]对账明细接口!$B$520),"")</f>
        <v/>
      </c>
      <c r="C520" s="59" t="str">
        <f aca="false">IFERROR(IF([2]对账明细接口!$C$520=0,"",[2]对账明细接口!$C$520),"")</f>
        <v/>
      </c>
      <c r="D520" s="59" t="str">
        <f aca="false">IFERROR(IF([2]对账明细接口!$D$520=0,"",[2]对账明细接口!$D$520),"")</f>
        <v/>
      </c>
      <c r="E520" s="59" t="str">
        <f aca="false">IFERROR(IF([2]对账明细接口!$E$520=0,"",[2]对账明细接口!$E$520),"")</f>
        <v/>
      </c>
      <c r="F520" s="59" t="str">
        <f aca="false">IFERROR(IF([2]对账明细接口!$F$520=0,"",[2]对账明细接口!$F$520),"")</f>
        <v/>
      </c>
      <c r="G520" s="59" t="str">
        <f aca="false">IFERROR(IF([2]对账明细接口!$G$520=0,"",[2]对账明细接口!$G$520),"")</f>
        <v/>
      </c>
      <c r="H520" s="60" t="str">
        <f aca="false">IFERROR(IF([2]对账明细接口!$H$520=0,"",[2]对账明细接口!$H$520),"")</f>
        <v/>
      </c>
      <c r="I520" s="59" t="str">
        <f aca="false">IFERROR(IF([2]对账明细接口!$I$520=0,"",[2]对账明细接口!$I$520),"")</f>
        <v/>
      </c>
      <c r="J520" s="61" t="str">
        <f aca="false">IFERROR(IF([2]对账明细接口!$J$520=0,"",[2]对账明细接口!$J$520),"")</f>
        <v/>
      </c>
      <c r="K520" s="61" t="str">
        <f aca="false">IFERROR(IF([2]对账明细接口!$K$520=0,"",[2]对账明细接口!$K$520),"")</f>
        <v/>
      </c>
      <c r="L520" s="59" t="str">
        <f aca="false">IFERROR(IF([2]对账明细接口!$L$520=0,"",[2]对账明细接口!$L$520),"")</f>
        <v/>
      </c>
      <c r="M520" s="59" t="str">
        <f aca="false">IFERROR(IF([2]对账明细接口!$M$520=0,"",[2]对账明细接口!$M$520),"")</f>
        <v/>
      </c>
      <c r="N520" s="111" t="n">
        <f aca="false">IF($C520="",0,1)</f>
        <v>0</v>
      </c>
      <c r="O520" s="111" t="n">
        <f aca="false">N(O519)+$N520</f>
        <v>311</v>
      </c>
      <c r="S520" s="10" t="str">
        <f aca="false">IFERROR(IF([2]对账明细接口!$N520=0,"",[2]对账明细接口!$N520),"")</f>
        <v/>
      </c>
      <c r="T520" s="112" t="str">
        <f aca="false">IFERROR(IF([2]对账明细接口!$O520=0,"",[2]对账明细接口!$O520),"")</f>
        <v/>
      </c>
      <c r="U520" s="112" t="str">
        <f aca="false">IFERROR(IF([2]对账明细接口!$P520=0,"",[2]对账明细接口!$P520),"")</f>
        <v/>
      </c>
      <c r="V520" s="112" t="str">
        <f aca="false">IFERROR(IF([2]对账明细接口!$Q520=0,"",[2]对账明细接口!$Q520),"")</f>
        <v/>
      </c>
      <c r="W520" s="10" t="str">
        <f aca="false">IFERROR(IF([2]对账明细接口!$R520=0,"",[2]对账明细接口!$R520),"")</f>
        <v/>
      </c>
      <c r="X520" s="10" t="str">
        <f aca="false">IFERROR(IF([2]对账明细接口!$S520=0,"",[2]对账明细接口!$S520),"")</f>
        <v/>
      </c>
      <c r="Y520" s="10" t="str">
        <f aca="false">IFERROR(IF([2]对账明细接口!$T520=0,"",[2]对账明细接口!$T520),"")</f>
        <v/>
      </c>
      <c r="Z520" s="113" t="str">
        <f aca="false">IFERROR(IF([2]对账明细接口!$U520=0,"",[2]对账明细接口!$U520),"")</f>
        <v/>
      </c>
      <c r="AA520" s="113" t="str">
        <f aca="false">IFERROR(IF([2]对账明细接口!$V520=0,"",[2]对账明细接口!$V520),"")</f>
        <v/>
      </c>
      <c r="AB520" s="10" t="str">
        <f aca="false">IFERROR(IF([2]对账明细接口!$W520=0,"",[2]对账明细接口!$W520),"")</f>
        <v/>
      </c>
      <c r="AC520" s="90" t="str">
        <f aca="false">IFERROR(IF([2]对账明细接口!$X521=0,"",[2]对账明细接口!$X521),"")</f>
        <v/>
      </c>
      <c r="AD520" s="90" t="str">
        <f aca="false">IFERROR(IF([2]对账明细接口!$Y521=0,"",[2]对账明细接口!$Y521),"")</f>
        <v/>
      </c>
      <c r="AE520" s="90" t="str">
        <f aca="false">IFERROR(IF([2]对账明细接口!$AA521=0,"",[2]对账明细接口!$AA521),"")</f>
        <v/>
      </c>
      <c r="AF520" s="90" t="str">
        <f aca="false">IFERROR(IF([2]对账明细接口!$AB521=0,"",[2]对账明细接口!$AB521),"")</f>
        <v/>
      </c>
      <c r="AG520" s="90" t="str">
        <f aca="false">IFERROR(IF([2]对账明细接口!$AC521=0,"",[2]对账明细接口!$AC521),"")</f>
        <v/>
      </c>
      <c r="AH520" s="90" t="str">
        <f aca="false">IFERROR(IF([2]对账明细接口!$AD521=0,"",[2]对账明细接口!$AD521),"")</f>
        <v/>
      </c>
    </row>
    <row r="521" customFormat="false" ht="13.5" hidden="false" customHeight="false" outlineLevel="0" collapsed="false">
      <c r="A521" s="109" t="n">
        <v>521</v>
      </c>
      <c r="B521" s="110" t="str">
        <f aca="false">IFERROR(IF([2]对账明细接口!$B$521=0,"",[2]对账明细接口!$B$521),"")</f>
        <v/>
      </c>
      <c r="C521" s="59" t="str">
        <f aca="false">IFERROR(IF([2]对账明细接口!$C$521=0,"",[2]对账明细接口!$C$521),"")</f>
        <v/>
      </c>
      <c r="D521" s="59" t="str">
        <f aca="false">IFERROR(IF([2]对账明细接口!$D$521=0,"",[2]对账明细接口!$D$521),"")</f>
        <v/>
      </c>
      <c r="E521" s="59" t="str">
        <f aca="false">IFERROR(IF([2]对账明细接口!$E$521=0,"",[2]对账明细接口!$E$521),"")</f>
        <v/>
      </c>
      <c r="F521" s="59" t="str">
        <f aca="false">IFERROR(IF([2]对账明细接口!$F$521=0,"",[2]对账明细接口!$F$521),"")</f>
        <v/>
      </c>
      <c r="G521" s="59" t="str">
        <f aca="false">IFERROR(IF([2]对账明细接口!$G$521=0,"",[2]对账明细接口!$G$521),"")</f>
        <v/>
      </c>
      <c r="H521" s="60" t="str">
        <f aca="false">IFERROR(IF([2]对账明细接口!$H$521=0,"",[2]对账明细接口!$H$521),"")</f>
        <v/>
      </c>
      <c r="I521" s="59" t="str">
        <f aca="false">IFERROR(IF([2]对账明细接口!$I$521=0,"",[2]对账明细接口!$I$521),"")</f>
        <v/>
      </c>
      <c r="J521" s="61" t="str">
        <f aca="false">IFERROR(IF([2]对账明细接口!$J$521=0,"",[2]对账明细接口!$J$521),"")</f>
        <v/>
      </c>
      <c r="K521" s="61" t="str">
        <f aca="false">IFERROR(IF([2]对账明细接口!$K$521=0,"",[2]对账明细接口!$K$521),"")</f>
        <v/>
      </c>
      <c r="L521" s="59" t="str">
        <f aca="false">IFERROR(IF([2]对账明细接口!$L$521=0,"",[2]对账明细接口!$L$521),"")</f>
        <v/>
      </c>
      <c r="M521" s="59" t="str">
        <f aca="false">IFERROR(IF([2]对账明细接口!$M$521=0,"",[2]对账明细接口!$M$521),"")</f>
        <v/>
      </c>
      <c r="N521" s="111" t="n">
        <f aca="false">IF($C521="",0,1)</f>
        <v>0</v>
      </c>
      <c r="O521" s="111" t="n">
        <f aca="false">N(O520)+$N521</f>
        <v>311</v>
      </c>
      <c r="S521" s="10" t="str">
        <f aca="false">IFERROR(IF([2]对账明细接口!$N521=0,"",[2]对账明细接口!$N521),"")</f>
        <v/>
      </c>
      <c r="T521" s="112" t="str">
        <f aca="false">IFERROR(IF([2]对账明细接口!$O521=0,"",[2]对账明细接口!$O521),"")</f>
        <v/>
      </c>
      <c r="U521" s="112" t="str">
        <f aca="false">IFERROR(IF([2]对账明细接口!$P521=0,"",[2]对账明细接口!$P521),"")</f>
        <v/>
      </c>
      <c r="V521" s="112" t="str">
        <f aca="false">IFERROR(IF([2]对账明细接口!$Q521=0,"",[2]对账明细接口!$Q521),"")</f>
        <v/>
      </c>
      <c r="W521" s="10" t="str">
        <f aca="false">IFERROR(IF([2]对账明细接口!$R521=0,"",[2]对账明细接口!$R521),"")</f>
        <v/>
      </c>
      <c r="X521" s="10" t="str">
        <f aca="false">IFERROR(IF([2]对账明细接口!$S521=0,"",[2]对账明细接口!$S521),"")</f>
        <v/>
      </c>
      <c r="Y521" s="10" t="str">
        <f aca="false">IFERROR(IF([2]对账明细接口!$T521=0,"",[2]对账明细接口!$T521),"")</f>
        <v/>
      </c>
      <c r="Z521" s="113" t="str">
        <f aca="false">IFERROR(IF([2]对账明细接口!$U521=0,"",[2]对账明细接口!$U521),"")</f>
        <v/>
      </c>
      <c r="AA521" s="113" t="str">
        <f aca="false">IFERROR(IF([2]对账明细接口!$V521=0,"",[2]对账明细接口!$V521),"")</f>
        <v/>
      </c>
      <c r="AB521" s="10" t="str">
        <f aca="false">IFERROR(IF([2]对账明细接口!$W521=0,"",[2]对账明细接口!$W521),"")</f>
        <v/>
      </c>
      <c r="AC521" s="90" t="str">
        <f aca="false">IFERROR(IF([2]对账明细接口!$X522=0,"",[2]对账明细接口!$X522),"")</f>
        <v/>
      </c>
      <c r="AD521" s="90" t="str">
        <f aca="false">IFERROR(IF([2]对账明细接口!$Y522=0,"",[2]对账明细接口!$Y522),"")</f>
        <v/>
      </c>
      <c r="AE521" s="90" t="str">
        <f aca="false">IFERROR(IF([2]对账明细接口!$AA522=0,"",[2]对账明细接口!$AA522),"")</f>
        <v/>
      </c>
      <c r="AF521" s="90" t="str">
        <f aca="false">IFERROR(IF([2]对账明细接口!$AB522=0,"",[2]对账明细接口!$AB522),"")</f>
        <v/>
      </c>
      <c r="AG521" s="90" t="str">
        <f aca="false">IFERROR(IF([2]对账明细接口!$AC522=0,"",[2]对账明细接口!$AC522),"")</f>
        <v/>
      </c>
      <c r="AH521" s="90" t="str">
        <f aca="false">IFERROR(IF([2]对账明细接口!$AD522=0,"",[2]对账明细接口!$AD522),"")</f>
        <v/>
      </c>
    </row>
    <row r="522" customFormat="false" ht="13.5" hidden="false" customHeight="false" outlineLevel="0" collapsed="false">
      <c r="A522" s="109" t="n">
        <v>522</v>
      </c>
      <c r="B522" s="110" t="str">
        <f aca="false">IFERROR(IF([2]对账明细接口!$B$522=0,"",[2]对账明细接口!$B$522),"")</f>
        <v/>
      </c>
      <c r="C522" s="59" t="str">
        <f aca="false">IFERROR(IF([2]对账明细接口!$C$522=0,"",[2]对账明细接口!$C$522),"")</f>
        <v/>
      </c>
      <c r="D522" s="59" t="str">
        <f aca="false">IFERROR(IF([2]对账明细接口!$D$522=0,"",[2]对账明细接口!$D$522),"")</f>
        <v/>
      </c>
      <c r="E522" s="59" t="str">
        <f aca="false">IFERROR(IF([2]对账明细接口!$E$522=0,"",[2]对账明细接口!$E$522),"")</f>
        <v/>
      </c>
      <c r="F522" s="59" t="str">
        <f aca="false">IFERROR(IF([2]对账明细接口!$F$522=0,"",[2]对账明细接口!$F$522),"")</f>
        <v/>
      </c>
      <c r="G522" s="59" t="str">
        <f aca="false">IFERROR(IF([2]对账明细接口!$G$522=0,"",[2]对账明细接口!$G$522),"")</f>
        <v/>
      </c>
      <c r="H522" s="60" t="str">
        <f aca="false">IFERROR(IF([2]对账明细接口!$H$522=0,"",[2]对账明细接口!$H$522),"")</f>
        <v/>
      </c>
      <c r="I522" s="59" t="str">
        <f aca="false">IFERROR(IF([2]对账明细接口!$I$522=0,"",[2]对账明细接口!$I$522),"")</f>
        <v/>
      </c>
      <c r="J522" s="61" t="str">
        <f aca="false">IFERROR(IF([2]对账明细接口!$J$522=0,"",[2]对账明细接口!$J$522),"")</f>
        <v/>
      </c>
      <c r="K522" s="61" t="str">
        <f aca="false">IFERROR(IF([2]对账明细接口!$K$522=0,"",[2]对账明细接口!$K$522),"")</f>
        <v/>
      </c>
      <c r="L522" s="59" t="str">
        <f aca="false">IFERROR(IF([2]对账明细接口!$L$522=0,"",[2]对账明细接口!$L$522),"")</f>
        <v/>
      </c>
      <c r="M522" s="59" t="str">
        <f aca="false">IFERROR(IF([2]对账明细接口!$M$522=0,"",[2]对账明细接口!$M$522),"")</f>
        <v/>
      </c>
      <c r="N522" s="111" t="n">
        <f aca="false">IF($C522="",0,1)</f>
        <v>0</v>
      </c>
      <c r="O522" s="111" t="n">
        <f aca="false">N(O521)+$N522</f>
        <v>311</v>
      </c>
      <c r="S522" s="10" t="str">
        <f aca="false">IFERROR(IF([2]对账明细接口!$N522=0,"",[2]对账明细接口!$N522),"")</f>
        <v/>
      </c>
      <c r="T522" s="112" t="str">
        <f aca="false">IFERROR(IF([2]对账明细接口!$O522=0,"",[2]对账明细接口!$O522),"")</f>
        <v/>
      </c>
      <c r="U522" s="112" t="str">
        <f aca="false">IFERROR(IF([2]对账明细接口!$P522=0,"",[2]对账明细接口!$P522),"")</f>
        <v/>
      </c>
      <c r="V522" s="112" t="str">
        <f aca="false">IFERROR(IF([2]对账明细接口!$Q522=0,"",[2]对账明细接口!$Q522),"")</f>
        <v/>
      </c>
      <c r="W522" s="10" t="str">
        <f aca="false">IFERROR(IF([2]对账明细接口!$R522=0,"",[2]对账明细接口!$R522),"")</f>
        <v/>
      </c>
      <c r="X522" s="10" t="str">
        <f aca="false">IFERROR(IF([2]对账明细接口!$S522=0,"",[2]对账明细接口!$S522),"")</f>
        <v/>
      </c>
      <c r="Y522" s="10" t="str">
        <f aca="false">IFERROR(IF([2]对账明细接口!$T522=0,"",[2]对账明细接口!$T522),"")</f>
        <v/>
      </c>
      <c r="Z522" s="113" t="str">
        <f aca="false">IFERROR(IF([2]对账明细接口!$U522=0,"",[2]对账明细接口!$U522),"")</f>
        <v/>
      </c>
      <c r="AA522" s="113" t="str">
        <f aca="false">IFERROR(IF([2]对账明细接口!$V522=0,"",[2]对账明细接口!$V522),"")</f>
        <v/>
      </c>
      <c r="AB522" s="10" t="str">
        <f aca="false">IFERROR(IF([2]对账明细接口!$W522=0,"",[2]对账明细接口!$W522),"")</f>
        <v/>
      </c>
      <c r="AC522" s="90" t="str">
        <f aca="false">IFERROR(IF([2]对账明细接口!$X523=0,"",[2]对账明细接口!$X523),"")</f>
        <v/>
      </c>
      <c r="AD522" s="90" t="str">
        <f aca="false">IFERROR(IF([2]对账明细接口!$Y523=0,"",[2]对账明细接口!$Y523),"")</f>
        <v/>
      </c>
      <c r="AE522" s="90" t="str">
        <f aca="false">IFERROR(IF([2]对账明细接口!$AA523=0,"",[2]对账明细接口!$AA523),"")</f>
        <v/>
      </c>
      <c r="AF522" s="90" t="str">
        <f aca="false">IFERROR(IF([2]对账明细接口!$AB523=0,"",[2]对账明细接口!$AB523),"")</f>
        <v/>
      </c>
      <c r="AG522" s="90" t="str">
        <f aca="false">IFERROR(IF([2]对账明细接口!$AC523=0,"",[2]对账明细接口!$AC523),"")</f>
        <v/>
      </c>
      <c r="AH522" s="90" t="str">
        <f aca="false">IFERROR(IF([2]对账明细接口!$AD523=0,"",[2]对账明细接口!$AD523),"")</f>
        <v/>
      </c>
    </row>
    <row r="523" customFormat="false" ht="13.5" hidden="false" customHeight="false" outlineLevel="0" collapsed="false">
      <c r="A523" s="109" t="n">
        <v>523</v>
      </c>
      <c r="B523" s="110" t="str">
        <f aca="false">IFERROR(IF([2]对账明细接口!$B$523=0,"",[2]对账明细接口!$B$523),"")</f>
        <v/>
      </c>
      <c r="C523" s="59" t="str">
        <f aca="false">IFERROR(IF([2]对账明细接口!$C$523=0,"",[2]对账明细接口!$C$523),"")</f>
        <v/>
      </c>
      <c r="D523" s="59" t="str">
        <f aca="false">IFERROR(IF([2]对账明细接口!$D$523=0,"",[2]对账明细接口!$D$523),"")</f>
        <v/>
      </c>
      <c r="E523" s="59" t="str">
        <f aca="false">IFERROR(IF([2]对账明细接口!$E$523=0,"",[2]对账明细接口!$E$523),"")</f>
        <v/>
      </c>
      <c r="F523" s="59" t="str">
        <f aca="false">IFERROR(IF([2]对账明细接口!$F$523=0,"",[2]对账明细接口!$F$523),"")</f>
        <v/>
      </c>
      <c r="G523" s="59" t="str">
        <f aca="false">IFERROR(IF([2]对账明细接口!$G$523=0,"",[2]对账明细接口!$G$523),"")</f>
        <v/>
      </c>
      <c r="H523" s="60" t="str">
        <f aca="false">IFERROR(IF([2]对账明细接口!$H$523=0,"",[2]对账明细接口!$H$523),"")</f>
        <v/>
      </c>
      <c r="I523" s="59" t="str">
        <f aca="false">IFERROR(IF([2]对账明细接口!$I$523=0,"",[2]对账明细接口!$I$523),"")</f>
        <v/>
      </c>
      <c r="J523" s="61" t="str">
        <f aca="false">IFERROR(IF([2]对账明细接口!$J$523=0,"",[2]对账明细接口!$J$523),"")</f>
        <v/>
      </c>
      <c r="K523" s="61" t="str">
        <f aca="false">IFERROR(IF([2]对账明细接口!$K$523=0,"",[2]对账明细接口!$K$523),"")</f>
        <v/>
      </c>
      <c r="L523" s="59" t="str">
        <f aca="false">IFERROR(IF([2]对账明细接口!$L$523=0,"",[2]对账明细接口!$L$523),"")</f>
        <v/>
      </c>
      <c r="M523" s="59" t="str">
        <f aca="false">IFERROR(IF([2]对账明细接口!$M$523=0,"",[2]对账明细接口!$M$523),"")</f>
        <v/>
      </c>
      <c r="N523" s="111" t="n">
        <f aca="false">IF($C523="",0,1)</f>
        <v>0</v>
      </c>
      <c r="O523" s="111" t="n">
        <f aca="false">N(O522)+$N523</f>
        <v>311</v>
      </c>
      <c r="S523" s="10" t="str">
        <f aca="false">IFERROR(IF([2]对账明细接口!$N523=0,"",[2]对账明细接口!$N523),"")</f>
        <v/>
      </c>
      <c r="T523" s="112" t="str">
        <f aca="false">IFERROR(IF([2]对账明细接口!$O523=0,"",[2]对账明细接口!$O523),"")</f>
        <v/>
      </c>
      <c r="U523" s="112" t="str">
        <f aca="false">IFERROR(IF([2]对账明细接口!$P523=0,"",[2]对账明细接口!$P523),"")</f>
        <v/>
      </c>
      <c r="V523" s="112" t="str">
        <f aca="false">IFERROR(IF([2]对账明细接口!$Q523=0,"",[2]对账明细接口!$Q523),"")</f>
        <v/>
      </c>
      <c r="W523" s="10" t="str">
        <f aca="false">IFERROR(IF([2]对账明细接口!$R523=0,"",[2]对账明细接口!$R523),"")</f>
        <v/>
      </c>
      <c r="X523" s="10" t="str">
        <f aca="false">IFERROR(IF([2]对账明细接口!$S523=0,"",[2]对账明细接口!$S523),"")</f>
        <v/>
      </c>
      <c r="Y523" s="10" t="str">
        <f aca="false">IFERROR(IF([2]对账明细接口!$T523=0,"",[2]对账明细接口!$T523),"")</f>
        <v/>
      </c>
      <c r="Z523" s="113" t="str">
        <f aca="false">IFERROR(IF([2]对账明细接口!$U523=0,"",[2]对账明细接口!$U523),"")</f>
        <v/>
      </c>
      <c r="AA523" s="113" t="str">
        <f aca="false">IFERROR(IF([2]对账明细接口!$V523=0,"",[2]对账明细接口!$V523),"")</f>
        <v/>
      </c>
      <c r="AB523" s="10" t="str">
        <f aca="false">IFERROR(IF([2]对账明细接口!$W523=0,"",[2]对账明细接口!$W523),"")</f>
        <v/>
      </c>
      <c r="AC523" s="90" t="str">
        <f aca="false">IFERROR(IF([2]对账明细接口!$X524=0,"",[2]对账明细接口!$X524),"")</f>
        <v/>
      </c>
      <c r="AD523" s="90" t="str">
        <f aca="false">IFERROR(IF([2]对账明细接口!$Y524=0,"",[2]对账明细接口!$Y524),"")</f>
        <v/>
      </c>
      <c r="AE523" s="90" t="str">
        <f aca="false">IFERROR(IF([2]对账明细接口!$AA524=0,"",[2]对账明细接口!$AA524),"")</f>
        <v/>
      </c>
      <c r="AF523" s="90" t="str">
        <f aca="false">IFERROR(IF([2]对账明细接口!$AB524=0,"",[2]对账明细接口!$AB524),"")</f>
        <v/>
      </c>
      <c r="AG523" s="90" t="str">
        <f aca="false">IFERROR(IF([2]对账明细接口!$AC524=0,"",[2]对账明细接口!$AC524),"")</f>
        <v/>
      </c>
      <c r="AH523" s="90" t="str">
        <f aca="false">IFERROR(IF([2]对账明细接口!$AD524=0,"",[2]对账明细接口!$AD524),"")</f>
        <v/>
      </c>
    </row>
    <row r="524" customFormat="false" ht="13.5" hidden="false" customHeight="false" outlineLevel="0" collapsed="false">
      <c r="A524" s="109" t="n">
        <v>524</v>
      </c>
      <c r="B524" s="110" t="str">
        <f aca="false">IFERROR(IF([2]对账明细接口!$B$524=0,"",[2]对账明细接口!$B$524),"")</f>
        <v/>
      </c>
      <c r="C524" s="59" t="str">
        <f aca="false">IFERROR(IF([2]对账明细接口!$C$524=0,"",[2]对账明细接口!$C$524),"")</f>
        <v/>
      </c>
      <c r="D524" s="59" t="str">
        <f aca="false">IFERROR(IF([2]对账明细接口!$D$524=0,"",[2]对账明细接口!$D$524),"")</f>
        <v/>
      </c>
      <c r="E524" s="59" t="str">
        <f aca="false">IFERROR(IF([2]对账明细接口!$E$524=0,"",[2]对账明细接口!$E$524),"")</f>
        <v/>
      </c>
      <c r="F524" s="59" t="str">
        <f aca="false">IFERROR(IF([2]对账明细接口!$F$524=0,"",[2]对账明细接口!$F$524),"")</f>
        <v/>
      </c>
      <c r="G524" s="59" t="str">
        <f aca="false">IFERROR(IF([2]对账明细接口!$G$524=0,"",[2]对账明细接口!$G$524),"")</f>
        <v/>
      </c>
      <c r="H524" s="60" t="str">
        <f aca="false">IFERROR(IF([2]对账明细接口!$H$524=0,"",[2]对账明细接口!$H$524),"")</f>
        <v/>
      </c>
      <c r="I524" s="59" t="str">
        <f aca="false">IFERROR(IF([2]对账明细接口!$I$524=0,"",[2]对账明细接口!$I$524),"")</f>
        <v/>
      </c>
      <c r="J524" s="61" t="str">
        <f aca="false">IFERROR(IF([2]对账明细接口!$J$524=0,"",[2]对账明细接口!$J$524),"")</f>
        <v/>
      </c>
      <c r="K524" s="61" t="str">
        <f aca="false">IFERROR(IF([2]对账明细接口!$K$524=0,"",[2]对账明细接口!$K$524),"")</f>
        <v/>
      </c>
      <c r="L524" s="59" t="str">
        <f aca="false">IFERROR(IF([2]对账明细接口!$L$524=0,"",[2]对账明细接口!$L$524),"")</f>
        <v/>
      </c>
      <c r="M524" s="59" t="str">
        <f aca="false">IFERROR(IF([2]对账明细接口!$M$524=0,"",[2]对账明细接口!$M$524),"")</f>
        <v/>
      </c>
      <c r="N524" s="111" t="n">
        <f aca="false">IF($C524="",0,1)</f>
        <v>0</v>
      </c>
      <c r="O524" s="111" t="n">
        <f aca="false">N(O523)+$N524</f>
        <v>311</v>
      </c>
      <c r="S524" s="10" t="str">
        <f aca="false">IFERROR(IF([2]对账明细接口!$N524=0,"",[2]对账明细接口!$N524),"")</f>
        <v/>
      </c>
      <c r="T524" s="112" t="str">
        <f aca="false">IFERROR(IF([2]对账明细接口!$O524=0,"",[2]对账明细接口!$O524),"")</f>
        <v/>
      </c>
      <c r="U524" s="112" t="str">
        <f aca="false">IFERROR(IF([2]对账明细接口!$P524=0,"",[2]对账明细接口!$P524),"")</f>
        <v/>
      </c>
      <c r="V524" s="112" t="str">
        <f aca="false">IFERROR(IF([2]对账明细接口!$Q524=0,"",[2]对账明细接口!$Q524),"")</f>
        <v/>
      </c>
      <c r="W524" s="10" t="str">
        <f aca="false">IFERROR(IF([2]对账明细接口!$R524=0,"",[2]对账明细接口!$R524),"")</f>
        <v/>
      </c>
      <c r="X524" s="10" t="str">
        <f aca="false">IFERROR(IF([2]对账明细接口!$S524=0,"",[2]对账明细接口!$S524),"")</f>
        <v/>
      </c>
      <c r="Y524" s="10" t="str">
        <f aca="false">IFERROR(IF([2]对账明细接口!$T524=0,"",[2]对账明细接口!$T524),"")</f>
        <v/>
      </c>
      <c r="Z524" s="113" t="str">
        <f aca="false">IFERROR(IF([2]对账明细接口!$U524=0,"",[2]对账明细接口!$U524),"")</f>
        <v/>
      </c>
      <c r="AA524" s="113" t="str">
        <f aca="false">IFERROR(IF([2]对账明细接口!$V524=0,"",[2]对账明细接口!$V524),"")</f>
        <v/>
      </c>
      <c r="AB524" s="10" t="str">
        <f aca="false">IFERROR(IF([2]对账明细接口!$W524=0,"",[2]对账明细接口!$W524),"")</f>
        <v/>
      </c>
      <c r="AC524" s="90" t="str">
        <f aca="false">IFERROR(IF([2]对账明细接口!$X525=0,"",[2]对账明细接口!$X525),"")</f>
        <v/>
      </c>
      <c r="AD524" s="90" t="str">
        <f aca="false">IFERROR(IF([2]对账明细接口!$Y525=0,"",[2]对账明细接口!$Y525),"")</f>
        <v/>
      </c>
      <c r="AE524" s="90" t="str">
        <f aca="false">IFERROR(IF([2]对账明细接口!$AA525=0,"",[2]对账明细接口!$AA525),"")</f>
        <v/>
      </c>
      <c r="AF524" s="90" t="str">
        <f aca="false">IFERROR(IF([2]对账明细接口!$AB525=0,"",[2]对账明细接口!$AB525),"")</f>
        <v/>
      </c>
      <c r="AG524" s="90" t="str">
        <f aca="false">IFERROR(IF([2]对账明细接口!$AC525=0,"",[2]对账明细接口!$AC525),"")</f>
        <v/>
      </c>
      <c r="AH524" s="90" t="str">
        <f aca="false">IFERROR(IF([2]对账明细接口!$AD525=0,"",[2]对账明细接口!$AD525),"")</f>
        <v/>
      </c>
    </row>
    <row r="525" customFormat="false" ht="13.5" hidden="false" customHeight="false" outlineLevel="0" collapsed="false">
      <c r="A525" s="109" t="n">
        <v>525</v>
      </c>
      <c r="B525" s="110" t="str">
        <f aca="false">IFERROR(IF([2]对账明细接口!$B$525=0,"",[2]对账明细接口!$B$525),"")</f>
        <v/>
      </c>
      <c r="C525" s="59" t="str">
        <f aca="false">IFERROR(IF([2]对账明细接口!$C$525=0,"",[2]对账明细接口!$C$525),"")</f>
        <v/>
      </c>
      <c r="D525" s="59" t="str">
        <f aca="false">IFERROR(IF([2]对账明细接口!$D$525=0,"",[2]对账明细接口!$D$525),"")</f>
        <v/>
      </c>
      <c r="E525" s="59" t="str">
        <f aca="false">IFERROR(IF([2]对账明细接口!$E$525=0,"",[2]对账明细接口!$E$525),"")</f>
        <v/>
      </c>
      <c r="F525" s="59" t="str">
        <f aca="false">IFERROR(IF([2]对账明细接口!$F$525=0,"",[2]对账明细接口!$F$525),"")</f>
        <v/>
      </c>
      <c r="G525" s="59" t="str">
        <f aca="false">IFERROR(IF([2]对账明细接口!$G$525=0,"",[2]对账明细接口!$G$525),"")</f>
        <v/>
      </c>
      <c r="H525" s="60" t="str">
        <f aca="false">IFERROR(IF([2]对账明细接口!$H$525=0,"",[2]对账明细接口!$H$525),"")</f>
        <v/>
      </c>
      <c r="I525" s="59" t="str">
        <f aca="false">IFERROR(IF([2]对账明细接口!$I$525=0,"",[2]对账明细接口!$I$525),"")</f>
        <v/>
      </c>
      <c r="J525" s="61" t="str">
        <f aca="false">IFERROR(IF([2]对账明细接口!$J$525=0,"",[2]对账明细接口!$J$525),"")</f>
        <v/>
      </c>
      <c r="K525" s="61" t="str">
        <f aca="false">IFERROR(IF([2]对账明细接口!$K$525=0,"",[2]对账明细接口!$K$525),"")</f>
        <v/>
      </c>
      <c r="L525" s="59" t="str">
        <f aca="false">IFERROR(IF([2]对账明细接口!$L$525=0,"",[2]对账明细接口!$L$525),"")</f>
        <v/>
      </c>
      <c r="M525" s="59" t="str">
        <f aca="false">IFERROR(IF([2]对账明细接口!$M$525=0,"",[2]对账明细接口!$M$525),"")</f>
        <v/>
      </c>
      <c r="N525" s="111" t="n">
        <f aca="false">IF($C525="",0,1)</f>
        <v>0</v>
      </c>
      <c r="O525" s="111" t="n">
        <f aca="false">N(O524)+$N525</f>
        <v>311</v>
      </c>
      <c r="S525" s="10" t="str">
        <f aca="false">IFERROR(IF([2]对账明细接口!$N525=0,"",[2]对账明细接口!$N525),"")</f>
        <v/>
      </c>
      <c r="T525" s="112" t="str">
        <f aca="false">IFERROR(IF([2]对账明细接口!$O525=0,"",[2]对账明细接口!$O525),"")</f>
        <v/>
      </c>
      <c r="U525" s="112" t="str">
        <f aca="false">IFERROR(IF([2]对账明细接口!$P525=0,"",[2]对账明细接口!$P525),"")</f>
        <v/>
      </c>
      <c r="V525" s="112" t="str">
        <f aca="false">IFERROR(IF([2]对账明细接口!$Q525=0,"",[2]对账明细接口!$Q525),"")</f>
        <v/>
      </c>
      <c r="W525" s="10" t="str">
        <f aca="false">IFERROR(IF([2]对账明细接口!$R525=0,"",[2]对账明细接口!$R525),"")</f>
        <v/>
      </c>
      <c r="X525" s="10" t="str">
        <f aca="false">IFERROR(IF([2]对账明细接口!$S525=0,"",[2]对账明细接口!$S525),"")</f>
        <v/>
      </c>
      <c r="Y525" s="10" t="str">
        <f aca="false">IFERROR(IF([2]对账明细接口!$T525=0,"",[2]对账明细接口!$T525),"")</f>
        <v/>
      </c>
      <c r="Z525" s="113" t="str">
        <f aca="false">IFERROR(IF([2]对账明细接口!$U525=0,"",[2]对账明细接口!$U525),"")</f>
        <v/>
      </c>
      <c r="AA525" s="113" t="str">
        <f aca="false">IFERROR(IF([2]对账明细接口!$V525=0,"",[2]对账明细接口!$V525),"")</f>
        <v/>
      </c>
      <c r="AB525" s="10" t="str">
        <f aca="false">IFERROR(IF([2]对账明细接口!$W525=0,"",[2]对账明细接口!$W525),"")</f>
        <v/>
      </c>
      <c r="AC525" s="90" t="str">
        <f aca="false">IFERROR(IF([2]对账明细接口!$X526=0,"",[2]对账明细接口!$X526),"")</f>
        <v/>
      </c>
      <c r="AD525" s="90" t="str">
        <f aca="false">IFERROR(IF([2]对账明细接口!$Y526=0,"",[2]对账明细接口!$Y526),"")</f>
        <v/>
      </c>
      <c r="AE525" s="90" t="str">
        <f aca="false">IFERROR(IF([2]对账明细接口!$AA526=0,"",[2]对账明细接口!$AA526),"")</f>
        <v/>
      </c>
      <c r="AF525" s="90" t="str">
        <f aca="false">IFERROR(IF([2]对账明细接口!$AB526=0,"",[2]对账明细接口!$AB526),"")</f>
        <v/>
      </c>
      <c r="AG525" s="90" t="str">
        <f aca="false">IFERROR(IF([2]对账明细接口!$AC526=0,"",[2]对账明细接口!$AC526),"")</f>
        <v/>
      </c>
      <c r="AH525" s="90" t="str">
        <f aca="false">IFERROR(IF([2]对账明细接口!$AD526=0,"",[2]对账明细接口!$AD526),"")</f>
        <v/>
      </c>
    </row>
    <row r="526" customFormat="false" ht="13.5" hidden="false" customHeight="false" outlineLevel="0" collapsed="false">
      <c r="A526" s="109" t="n">
        <v>526</v>
      </c>
      <c r="B526" s="110" t="str">
        <f aca="false">IFERROR(IF([2]对账明细接口!$B$526=0,"",[2]对账明细接口!$B$526),"")</f>
        <v/>
      </c>
      <c r="C526" s="59" t="str">
        <f aca="false">IFERROR(IF([2]对账明细接口!$C$526=0,"",[2]对账明细接口!$C$526),"")</f>
        <v/>
      </c>
      <c r="D526" s="59" t="str">
        <f aca="false">IFERROR(IF([2]对账明细接口!$D$526=0,"",[2]对账明细接口!$D$526),"")</f>
        <v/>
      </c>
      <c r="E526" s="59" t="str">
        <f aca="false">IFERROR(IF([2]对账明细接口!$E$526=0,"",[2]对账明细接口!$E$526),"")</f>
        <v/>
      </c>
      <c r="F526" s="59" t="str">
        <f aca="false">IFERROR(IF([2]对账明细接口!$F$526=0,"",[2]对账明细接口!$F$526),"")</f>
        <v/>
      </c>
      <c r="G526" s="59" t="str">
        <f aca="false">IFERROR(IF([2]对账明细接口!$G$526=0,"",[2]对账明细接口!$G$526),"")</f>
        <v/>
      </c>
      <c r="H526" s="60" t="str">
        <f aca="false">IFERROR(IF([2]对账明细接口!$H$526=0,"",[2]对账明细接口!$H$526),"")</f>
        <v/>
      </c>
      <c r="I526" s="59" t="str">
        <f aca="false">IFERROR(IF([2]对账明细接口!$I$526=0,"",[2]对账明细接口!$I$526),"")</f>
        <v/>
      </c>
      <c r="J526" s="61" t="str">
        <f aca="false">IFERROR(IF([2]对账明细接口!$J$526=0,"",[2]对账明细接口!$J$526),"")</f>
        <v/>
      </c>
      <c r="K526" s="61" t="str">
        <f aca="false">IFERROR(IF([2]对账明细接口!$K$526=0,"",[2]对账明细接口!$K$526),"")</f>
        <v/>
      </c>
      <c r="L526" s="59" t="str">
        <f aca="false">IFERROR(IF([2]对账明细接口!$L$526=0,"",[2]对账明细接口!$L$526),"")</f>
        <v/>
      </c>
      <c r="M526" s="59" t="str">
        <f aca="false">IFERROR(IF([2]对账明细接口!$M$526=0,"",[2]对账明细接口!$M$526),"")</f>
        <v/>
      </c>
      <c r="N526" s="111" t="n">
        <f aca="false">IF($C526="",0,1)</f>
        <v>0</v>
      </c>
      <c r="O526" s="111" t="n">
        <f aca="false">N(O525)+$N526</f>
        <v>311</v>
      </c>
      <c r="S526" s="10" t="str">
        <f aca="false">IFERROR(IF([2]对账明细接口!$N526=0,"",[2]对账明细接口!$N526),"")</f>
        <v/>
      </c>
      <c r="T526" s="112" t="str">
        <f aca="false">IFERROR(IF([2]对账明细接口!$O526=0,"",[2]对账明细接口!$O526),"")</f>
        <v/>
      </c>
      <c r="U526" s="112" t="str">
        <f aca="false">IFERROR(IF([2]对账明细接口!$P526=0,"",[2]对账明细接口!$P526),"")</f>
        <v/>
      </c>
      <c r="V526" s="112" t="str">
        <f aca="false">IFERROR(IF([2]对账明细接口!$Q526=0,"",[2]对账明细接口!$Q526),"")</f>
        <v/>
      </c>
      <c r="W526" s="10" t="str">
        <f aca="false">IFERROR(IF([2]对账明细接口!$R526=0,"",[2]对账明细接口!$R526),"")</f>
        <v/>
      </c>
      <c r="X526" s="10" t="str">
        <f aca="false">IFERROR(IF([2]对账明细接口!$S526=0,"",[2]对账明细接口!$S526),"")</f>
        <v/>
      </c>
      <c r="Y526" s="10" t="str">
        <f aca="false">IFERROR(IF([2]对账明细接口!$T526=0,"",[2]对账明细接口!$T526),"")</f>
        <v/>
      </c>
      <c r="Z526" s="113" t="str">
        <f aca="false">IFERROR(IF([2]对账明细接口!$U526=0,"",[2]对账明细接口!$U526),"")</f>
        <v/>
      </c>
      <c r="AA526" s="113" t="str">
        <f aca="false">IFERROR(IF([2]对账明细接口!$V526=0,"",[2]对账明细接口!$V526),"")</f>
        <v/>
      </c>
      <c r="AB526" s="10" t="str">
        <f aca="false">IFERROR(IF([2]对账明细接口!$W526=0,"",[2]对账明细接口!$W526),"")</f>
        <v/>
      </c>
      <c r="AC526" s="90" t="str">
        <f aca="false">IFERROR(IF([2]对账明细接口!$X527=0,"",[2]对账明细接口!$X527),"")</f>
        <v/>
      </c>
      <c r="AD526" s="90" t="str">
        <f aca="false">IFERROR(IF([2]对账明细接口!$Y527=0,"",[2]对账明细接口!$Y527),"")</f>
        <v/>
      </c>
      <c r="AE526" s="90" t="str">
        <f aca="false">IFERROR(IF([2]对账明细接口!$AA527=0,"",[2]对账明细接口!$AA527),"")</f>
        <v/>
      </c>
      <c r="AF526" s="90" t="str">
        <f aca="false">IFERROR(IF([2]对账明细接口!$AB527=0,"",[2]对账明细接口!$AB527),"")</f>
        <v/>
      </c>
      <c r="AG526" s="90" t="str">
        <f aca="false">IFERROR(IF([2]对账明细接口!$AC527=0,"",[2]对账明细接口!$AC527),"")</f>
        <v/>
      </c>
      <c r="AH526" s="90" t="str">
        <f aca="false">IFERROR(IF([2]对账明细接口!$AD527=0,"",[2]对账明细接口!$AD527),"")</f>
        <v/>
      </c>
    </row>
    <row r="527" customFormat="false" ht="13.5" hidden="false" customHeight="false" outlineLevel="0" collapsed="false">
      <c r="A527" s="109" t="n">
        <v>527</v>
      </c>
      <c r="B527" s="110" t="str">
        <f aca="false">IFERROR(IF([2]对账明细接口!$B$527=0,"",[2]对账明细接口!$B$527),"")</f>
        <v/>
      </c>
      <c r="C527" s="59" t="str">
        <f aca="false">IFERROR(IF([2]对账明细接口!$C$527=0,"",[2]对账明细接口!$C$527),"")</f>
        <v/>
      </c>
      <c r="D527" s="59" t="str">
        <f aca="false">IFERROR(IF([2]对账明细接口!$D$527=0,"",[2]对账明细接口!$D$527),"")</f>
        <v/>
      </c>
      <c r="E527" s="59" t="str">
        <f aca="false">IFERROR(IF([2]对账明细接口!$E$527=0,"",[2]对账明细接口!$E$527),"")</f>
        <v/>
      </c>
      <c r="F527" s="59" t="str">
        <f aca="false">IFERROR(IF([2]对账明细接口!$F$527=0,"",[2]对账明细接口!$F$527),"")</f>
        <v/>
      </c>
      <c r="G527" s="59" t="str">
        <f aca="false">IFERROR(IF([2]对账明细接口!$G$527=0,"",[2]对账明细接口!$G$527),"")</f>
        <v/>
      </c>
      <c r="H527" s="60" t="str">
        <f aca="false">IFERROR(IF([2]对账明细接口!$H$527=0,"",[2]对账明细接口!$H$527),"")</f>
        <v/>
      </c>
      <c r="I527" s="59" t="str">
        <f aca="false">IFERROR(IF([2]对账明细接口!$I$527=0,"",[2]对账明细接口!$I$527),"")</f>
        <v/>
      </c>
      <c r="J527" s="61" t="str">
        <f aca="false">IFERROR(IF([2]对账明细接口!$J$527=0,"",[2]对账明细接口!$J$527),"")</f>
        <v/>
      </c>
      <c r="K527" s="61" t="str">
        <f aca="false">IFERROR(IF([2]对账明细接口!$K$527=0,"",[2]对账明细接口!$K$527),"")</f>
        <v/>
      </c>
      <c r="L527" s="59" t="str">
        <f aca="false">IFERROR(IF([2]对账明细接口!$L$527=0,"",[2]对账明细接口!$L$527),"")</f>
        <v/>
      </c>
      <c r="M527" s="59" t="str">
        <f aca="false">IFERROR(IF([2]对账明细接口!$M$527=0,"",[2]对账明细接口!$M$527),"")</f>
        <v/>
      </c>
      <c r="N527" s="111" t="n">
        <f aca="false">IF($C527="",0,1)</f>
        <v>0</v>
      </c>
      <c r="O527" s="111" t="n">
        <f aca="false">N(O526)+$N527</f>
        <v>311</v>
      </c>
      <c r="S527" s="10" t="str">
        <f aca="false">IFERROR(IF([2]对账明细接口!$N527=0,"",[2]对账明细接口!$N527),"")</f>
        <v/>
      </c>
      <c r="T527" s="112" t="str">
        <f aca="false">IFERROR(IF([2]对账明细接口!$O527=0,"",[2]对账明细接口!$O527),"")</f>
        <v/>
      </c>
      <c r="U527" s="112" t="str">
        <f aca="false">IFERROR(IF([2]对账明细接口!$P527=0,"",[2]对账明细接口!$P527),"")</f>
        <v/>
      </c>
      <c r="V527" s="112" t="str">
        <f aca="false">IFERROR(IF([2]对账明细接口!$Q527=0,"",[2]对账明细接口!$Q527),"")</f>
        <v/>
      </c>
      <c r="W527" s="10" t="str">
        <f aca="false">IFERROR(IF([2]对账明细接口!$R527=0,"",[2]对账明细接口!$R527),"")</f>
        <v/>
      </c>
      <c r="X527" s="10" t="str">
        <f aca="false">IFERROR(IF([2]对账明细接口!$S527=0,"",[2]对账明细接口!$S527),"")</f>
        <v/>
      </c>
      <c r="Y527" s="10" t="str">
        <f aca="false">IFERROR(IF([2]对账明细接口!$T527=0,"",[2]对账明细接口!$T527),"")</f>
        <v/>
      </c>
      <c r="Z527" s="113" t="str">
        <f aca="false">IFERROR(IF([2]对账明细接口!$U527=0,"",[2]对账明细接口!$U527),"")</f>
        <v/>
      </c>
      <c r="AA527" s="113" t="str">
        <f aca="false">IFERROR(IF([2]对账明细接口!$V527=0,"",[2]对账明细接口!$V527),"")</f>
        <v/>
      </c>
      <c r="AB527" s="10" t="str">
        <f aca="false">IFERROR(IF([2]对账明细接口!$W527=0,"",[2]对账明细接口!$W527),"")</f>
        <v/>
      </c>
      <c r="AC527" s="90" t="str">
        <f aca="false">IFERROR(IF([2]对账明细接口!$X528=0,"",[2]对账明细接口!$X528),"")</f>
        <v/>
      </c>
      <c r="AD527" s="90" t="str">
        <f aca="false">IFERROR(IF([2]对账明细接口!$Y528=0,"",[2]对账明细接口!$Y528),"")</f>
        <v/>
      </c>
      <c r="AE527" s="90" t="str">
        <f aca="false">IFERROR(IF([2]对账明细接口!$AA528=0,"",[2]对账明细接口!$AA528),"")</f>
        <v/>
      </c>
      <c r="AF527" s="90" t="str">
        <f aca="false">IFERROR(IF([2]对账明细接口!$AB528=0,"",[2]对账明细接口!$AB528),"")</f>
        <v/>
      </c>
      <c r="AG527" s="90" t="str">
        <f aca="false">IFERROR(IF([2]对账明细接口!$AC528=0,"",[2]对账明细接口!$AC528),"")</f>
        <v/>
      </c>
      <c r="AH527" s="90" t="str">
        <f aca="false">IFERROR(IF([2]对账明细接口!$AD528=0,"",[2]对账明细接口!$AD528),"")</f>
        <v/>
      </c>
    </row>
    <row r="528" customFormat="false" ht="13.5" hidden="false" customHeight="false" outlineLevel="0" collapsed="false">
      <c r="A528" s="109" t="n">
        <v>528</v>
      </c>
      <c r="B528" s="110" t="str">
        <f aca="false">IFERROR(IF([2]对账明细接口!$B$528=0,"",[2]对账明细接口!$B$528),"")</f>
        <v/>
      </c>
      <c r="C528" s="59" t="str">
        <f aca="false">IFERROR(IF([2]对账明细接口!$C$528=0,"",[2]对账明细接口!$C$528),"")</f>
        <v/>
      </c>
      <c r="D528" s="59" t="str">
        <f aca="false">IFERROR(IF([2]对账明细接口!$D$528=0,"",[2]对账明细接口!$D$528),"")</f>
        <v/>
      </c>
      <c r="E528" s="59" t="str">
        <f aca="false">IFERROR(IF([2]对账明细接口!$E$528=0,"",[2]对账明细接口!$E$528),"")</f>
        <v/>
      </c>
      <c r="F528" s="59" t="str">
        <f aca="false">IFERROR(IF([2]对账明细接口!$F$528=0,"",[2]对账明细接口!$F$528),"")</f>
        <v/>
      </c>
      <c r="G528" s="59" t="str">
        <f aca="false">IFERROR(IF([2]对账明细接口!$G$528=0,"",[2]对账明细接口!$G$528),"")</f>
        <v/>
      </c>
      <c r="H528" s="60" t="str">
        <f aca="false">IFERROR(IF([2]对账明细接口!$H$528=0,"",[2]对账明细接口!$H$528),"")</f>
        <v/>
      </c>
      <c r="I528" s="59" t="str">
        <f aca="false">IFERROR(IF([2]对账明细接口!$I$528=0,"",[2]对账明细接口!$I$528),"")</f>
        <v/>
      </c>
      <c r="J528" s="61" t="str">
        <f aca="false">IFERROR(IF([2]对账明细接口!$J$528=0,"",[2]对账明细接口!$J$528),"")</f>
        <v/>
      </c>
      <c r="K528" s="61" t="str">
        <f aca="false">IFERROR(IF([2]对账明细接口!$K$528=0,"",[2]对账明细接口!$K$528),"")</f>
        <v/>
      </c>
      <c r="L528" s="59" t="str">
        <f aca="false">IFERROR(IF([2]对账明细接口!$L$528=0,"",[2]对账明细接口!$L$528),"")</f>
        <v/>
      </c>
      <c r="M528" s="59" t="str">
        <f aca="false">IFERROR(IF([2]对账明细接口!$M$528=0,"",[2]对账明细接口!$M$528),"")</f>
        <v/>
      </c>
      <c r="N528" s="111" t="n">
        <f aca="false">IF($C528="",0,1)</f>
        <v>0</v>
      </c>
      <c r="O528" s="111" t="n">
        <f aca="false">N(O527)+$N528</f>
        <v>311</v>
      </c>
      <c r="S528" s="10" t="str">
        <f aca="false">IFERROR(IF([2]对账明细接口!$N528=0,"",[2]对账明细接口!$N528),"")</f>
        <v/>
      </c>
      <c r="T528" s="112" t="str">
        <f aca="false">IFERROR(IF([2]对账明细接口!$O528=0,"",[2]对账明细接口!$O528),"")</f>
        <v/>
      </c>
      <c r="U528" s="112" t="str">
        <f aca="false">IFERROR(IF([2]对账明细接口!$P528=0,"",[2]对账明细接口!$P528),"")</f>
        <v/>
      </c>
      <c r="V528" s="112" t="str">
        <f aca="false">IFERROR(IF([2]对账明细接口!$Q528=0,"",[2]对账明细接口!$Q528),"")</f>
        <v/>
      </c>
      <c r="W528" s="10" t="str">
        <f aca="false">IFERROR(IF([2]对账明细接口!$R528=0,"",[2]对账明细接口!$R528),"")</f>
        <v/>
      </c>
      <c r="X528" s="10" t="str">
        <f aca="false">IFERROR(IF([2]对账明细接口!$S528=0,"",[2]对账明细接口!$S528),"")</f>
        <v/>
      </c>
      <c r="Y528" s="10" t="str">
        <f aca="false">IFERROR(IF([2]对账明细接口!$T528=0,"",[2]对账明细接口!$T528),"")</f>
        <v/>
      </c>
      <c r="Z528" s="113" t="str">
        <f aca="false">IFERROR(IF([2]对账明细接口!$U528=0,"",[2]对账明细接口!$U528),"")</f>
        <v/>
      </c>
      <c r="AA528" s="113" t="str">
        <f aca="false">IFERROR(IF([2]对账明细接口!$V528=0,"",[2]对账明细接口!$V528),"")</f>
        <v/>
      </c>
      <c r="AB528" s="10" t="str">
        <f aca="false">IFERROR(IF([2]对账明细接口!$W528=0,"",[2]对账明细接口!$W528),"")</f>
        <v/>
      </c>
      <c r="AC528" s="90" t="str">
        <f aca="false">IFERROR(IF([2]对账明细接口!$X529=0,"",[2]对账明细接口!$X529),"")</f>
        <v/>
      </c>
      <c r="AD528" s="90" t="str">
        <f aca="false">IFERROR(IF([2]对账明细接口!$Y529=0,"",[2]对账明细接口!$Y529),"")</f>
        <v/>
      </c>
      <c r="AE528" s="90" t="str">
        <f aca="false">IFERROR(IF([2]对账明细接口!$AA529=0,"",[2]对账明细接口!$AA529),"")</f>
        <v/>
      </c>
      <c r="AF528" s="90" t="str">
        <f aca="false">IFERROR(IF([2]对账明细接口!$AB529=0,"",[2]对账明细接口!$AB529),"")</f>
        <v/>
      </c>
      <c r="AG528" s="90" t="str">
        <f aca="false">IFERROR(IF([2]对账明细接口!$AC529=0,"",[2]对账明细接口!$AC529),"")</f>
        <v/>
      </c>
      <c r="AH528" s="90" t="str">
        <f aca="false">IFERROR(IF([2]对账明细接口!$AD529=0,"",[2]对账明细接口!$AD529),"")</f>
        <v/>
      </c>
    </row>
    <row r="529" customFormat="false" ht="13.5" hidden="false" customHeight="false" outlineLevel="0" collapsed="false">
      <c r="A529" s="109" t="n">
        <v>529</v>
      </c>
      <c r="B529" s="110" t="str">
        <f aca="false">IFERROR(IF([2]对账明细接口!$B$529=0,"",[2]对账明细接口!$B$529),"")</f>
        <v/>
      </c>
      <c r="C529" s="59" t="str">
        <f aca="false">IFERROR(IF([2]对账明细接口!$C$529=0,"",[2]对账明细接口!$C$529),"")</f>
        <v/>
      </c>
      <c r="D529" s="59" t="str">
        <f aca="false">IFERROR(IF([2]对账明细接口!$D$529=0,"",[2]对账明细接口!$D$529),"")</f>
        <v/>
      </c>
      <c r="E529" s="59" t="str">
        <f aca="false">IFERROR(IF([2]对账明细接口!$E$529=0,"",[2]对账明细接口!$E$529),"")</f>
        <v/>
      </c>
      <c r="F529" s="59" t="str">
        <f aca="false">IFERROR(IF([2]对账明细接口!$F$529=0,"",[2]对账明细接口!$F$529),"")</f>
        <v/>
      </c>
      <c r="G529" s="59" t="str">
        <f aca="false">IFERROR(IF([2]对账明细接口!$G$529=0,"",[2]对账明细接口!$G$529),"")</f>
        <v/>
      </c>
      <c r="H529" s="60" t="str">
        <f aca="false">IFERROR(IF([2]对账明细接口!$H$529=0,"",[2]对账明细接口!$H$529),"")</f>
        <v/>
      </c>
      <c r="I529" s="59" t="str">
        <f aca="false">IFERROR(IF([2]对账明细接口!$I$529=0,"",[2]对账明细接口!$I$529),"")</f>
        <v/>
      </c>
      <c r="J529" s="61" t="str">
        <f aca="false">IFERROR(IF([2]对账明细接口!$J$529=0,"",[2]对账明细接口!$J$529),"")</f>
        <v/>
      </c>
      <c r="K529" s="61" t="str">
        <f aca="false">IFERROR(IF([2]对账明细接口!$K$529=0,"",[2]对账明细接口!$K$529),"")</f>
        <v/>
      </c>
      <c r="L529" s="59" t="str">
        <f aca="false">IFERROR(IF([2]对账明细接口!$L$529=0,"",[2]对账明细接口!$L$529),"")</f>
        <v/>
      </c>
      <c r="M529" s="59" t="str">
        <f aca="false">IFERROR(IF([2]对账明细接口!$M$529=0,"",[2]对账明细接口!$M$529),"")</f>
        <v/>
      </c>
      <c r="N529" s="111" t="n">
        <f aca="false">IF($C529="",0,1)</f>
        <v>0</v>
      </c>
      <c r="O529" s="111" t="n">
        <f aca="false">N(O528)+$N529</f>
        <v>311</v>
      </c>
      <c r="S529" s="10" t="str">
        <f aca="false">IFERROR(IF([2]对账明细接口!$N529=0,"",[2]对账明细接口!$N529),"")</f>
        <v/>
      </c>
      <c r="T529" s="112" t="str">
        <f aca="false">IFERROR(IF([2]对账明细接口!$O529=0,"",[2]对账明细接口!$O529),"")</f>
        <v/>
      </c>
      <c r="U529" s="112" t="str">
        <f aca="false">IFERROR(IF([2]对账明细接口!$P529=0,"",[2]对账明细接口!$P529),"")</f>
        <v/>
      </c>
      <c r="V529" s="112" t="str">
        <f aca="false">IFERROR(IF([2]对账明细接口!$Q529=0,"",[2]对账明细接口!$Q529),"")</f>
        <v/>
      </c>
      <c r="W529" s="10" t="str">
        <f aca="false">IFERROR(IF([2]对账明细接口!$R529=0,"",[2]对账明细接口!$R529),"")</f>
        <v/>
      </c>
      <c r="X529" s="10" t="str">
        <f aca="false">IFERROR(IF([2]对账明细接口!$S529=0,"",[2]对账明细接口!$S529),"")</f>
        <v/>
      </c>
      <c r="Y529" s="10" t="str">
        <f aca="false">IFERROR(IF([2]对账明细接口!$T529=0,"",[2]对账明细接口!$T529),"")</f>
        <v/>
      </c>
      <c r="Z529" s="113" t="str">
        <f aca="false">IFERROR(IF([2]对账明细接口!$U529=0,"",[2]对账明细接口!$U529),"")</f>
        <v/>
      </c>
      <c r="AA529" s="113" t="str">
        <f aca="false">IFERROR(IF([2]对账明细接口!$V529=0,"",[2]对账明细接口!$V529),"")</f>
        <v/>
      </c>
      <c r="AB529" s="10" t="str">
        <f aca="false">IFERROR(IF([2]对账明细接口!$W529=0,"",[2]对账明细接口!$W529),"")</f>
        <v/>
      </c>
      <c r="AC529" s="90" t="str">
        <f aca="false">IFERROR(IF([2]对账明细接口!$X530=0,"",[2]对账明细接口!$X530),"")</f>
        <v/>
      </c>
      <c r="AD529" s="90" t="str">
        <f aca="false">IFERROR(IF([2]对账明细接口!$Y530=0,"",[2]对账明细接口!$Y530),"")</f>
        <v/>
      </c>
      <c r="AE529" s="90" t="str">
        <f aca="false">IFERROR(IF([2]对账明细接口!$AA530=0,"",[2]对账明细接口!$AA530),"")</f>
        <v/>
      </c>
      <c r="AF529" s="90" t="str">
        <f aca="false">IFERROR(IF([2]对账明细接口!$AB530=0,"",[2]对账明细接口!$AB530),"")</f>
        <v/>
      </c>
      <c r="AG529" s="90" t="str">
        <f aca="false">IFERROR(IF([2]对账明细接口!$AC530=0,"",[2]对账明细接口!$AC530),"")</f>
        <v/>
      </c>
      <c r="AH529" s="90" t="str">
        <f aca="false">IFERROR(IF([2]对账明细接口!$AD530=0,"",[2]对账明细接口!$AD530),"")</f>
        <v/>
      </c>
    </row>
    <row r="530" customFormat="false" ht="13.5" hidden="false" customHeight="false" outlineLevel="0" collapsed="false">
      <c r="A530" s="109" t="n">
        <v>530</v>
      </c>
      <c r="B530" s="110" t="str">
        <f aca="false">IFERROR(IF([2]对账明细接口!$B$530=0,"",[2]对账明细接口!$B$530),"")</f>
        <v/>
      </c>
      <c r="C530" s="59" t="str">
        <f aca="false">IFERROR(IF([2]对账明细接口!$C$530=0,"",[2]对账明细接口!$C$530),"")</f>
        <v/>
      </c>
      <c r="D530" s="59" t="str">
        <f aca="false">IFERROR(IF([2]对账明细接口!$D$530=0,"",[2]对账明细接口!$D$530),"")</f>
        <v/>
      </c>
      <c r="E530" s="59" t="str">
        <f aca="false">IFERROR(IF([2]对账明细接口!$E$530=0,"",[2]对账明细接口!$E$530),"")</f>
        <v/>
      </c>
      <c r="F530" s="59" t="str">
        <f aca="false">IFERROR(IF([2]对账明细接口!$F$530=0,"",[2]对账明细接口!$F$530),"")</f>
        <v/>
      </c>
      <c r="G530" s="59" t="str">
        <f aca="false">IFERROR(IF([2]对账明细接口!$G$530=0,"",[2]对账明细接口!$G$530),"")</f>
        <v/>
      </c>
      <c r="H530" s="60" t="str">
        <f aca="false">IFERROR(IF([2]对账明细接口!$H$530=0,"",[2]对账明细接口!$H$530),"")</f>
        <v/>
      </c>
      <c r="I530" s="59" t="str">
        <f aca="false">IFERROR(IF([2]对账明细接口!$I$530=0,"",[2]对账明细接口!$I$530),"")</f>
        <v/>
      </c>
      <c r="J530" s="61" t="str">
        <f aca="false">IFERROR(IF([2]对账明细接口!$J$530=0,"",[2]对账明细接口!$J$530),"")</f>
        <v/>
      </c>
      <c r="K530" s="61" t="str">
        <f aca="false">IFERROR(IF([2]对账明细接口!$K$530=0,"",[2]对账明细接口!$K$530),"")</f>
        <v/>
      </c>
      <c r="L530" s="59" t="str">
        <f aca="false">IFERROR(IF([2]对账明细接口!$L$530=0,"",[2]对账明细接口!$L$530),"")</f>
        <v/>
      </c>
      <c r="M530" s="59" t="str">
        <f aca="false">IFERROR(IF([2]对账明细接口!$M$530=0,"",[2]对账明细接口!$M$530),"")</f>
        <v/>
      </c>
      <c r="N530" s="111" t="n">
        <f aca="false">IF($C530="",0,1)</f>
        <v>0</v>
      </c>
      <c r="O530" s="111" t="n">
        <f aca="false">N(O529)+$N530</f>
        <v>311</v>
      </c>
      <c r="S530" s="10" t="str">
        <f aca="false">IFERROR(IF([2]对账明细接口!$N530=0,"",[2]对账明细接口!$N530),"")</f>
        <v/>
      </c>
      <c r="T530" s="112" t="str">
        <f aca="false">IFERROR(IF([2]对账明细接口!$O530=0,"",[2]对账明细接口!$O530),"")</f>
        <v/>
      </c>
      <c r="U530" s="112" t="str">
        <f aca="false">IFERROR(IF([2]对账明细接口!$P530=0,"",[2]对账明细接口!$P530),"")</f>
        <v/>
      </c>
      <c r="V530" s="112" t="str">
        <f aca="false">IFERROR(IF([2]对账明细接口!$Q530=0,"",[2]对账明细接口!$Q530),"")</f>
        <v/>
      </c>
      <c r="W530" s="10" t="str">
        <f aca="false">IFERROR(IF([2]对账明细接口!$R530=0,"",[2]对账明细接口!$R530),"")</f>
        <v/>
      </c>
      <c r="X530" s="10" t="str">
        <f aca="false">IFERROR(IF([2]对账明细接口!$S530=0,"",[2]对账明细接口!$S530),"")</f>
        <v/>
      </c>
      <c r="Y530" s="10" t="str">
        <f aca="false">IFERROR(IF([2]对账明细接口!$T530=0,"",[2]对账明细接口!$T530),"")</f>
        <v/>
      </c>
      <c r="Z530" s="113" t="str">
        <f aca="false">IFERROR(IF([2]对账明细接口!$U530=0,"",[2]对账明细接口!$U530),"")</f>
        <v/>
      </c>
      <c r="AA530" s="113" t="str">
        <f aca="false">IFERROR(IF([2]对账明细接口!$V530=0,"",[2]对账明细接口!$V530),"")</f>
        <v/>
      </c>
      <c r="AB530" s="10" t="str">
        <f aca="false">IFERROR(IF([2]对账明细接口!$W530=0,"",[2]对账明细接口!$W530),"")</f>
        <v/>
      </c>
      <c r="AC530" s="90" t="str">
        <f aca="false">IFERROR(IF([2]对账明细接口!$X531=0,"",[2]对账明细接口!$X531),"")</f>
        <v/>
      </c>
      <c r="AD530" s="90" t="str">
        <f aca="false">IFERROR(IF([2]对账明细接口!$Y531=0,"",[2]对账明细接口!$Y531),"")</f>
        <v/>
      </c>
      <c r="AE530" s="90" t="str">
        <f aca="false">IFERROR(IF([2]对账明细接口!$AA531=0,"",[2]对账明细接口!$AA531),"")</f>
        <v/>
      </c>
      <c r="AF530" s="90" t="str">
        <f aca="false">IFERROR(IF([2]对账明细接口!$AB531=0,"",[2]对账明细接口!$AB531),"")</f>
        <v/>
      </c>
      <c r="AG530" s="90" t="str">
        <f aca="false">IFERROR(IF([2]对账明细接口!$AC531=0,"",[2]对账明细接口!$AC531),"")</f>
        <v/>
      </c>
      <c r="AH530" s="90" t="str">
        <f aca="false">IFERROR(IF([2]对账明细接口!$AD531=0,"",[2]对账明细接口!$AD531),"")</f>
        <v/>
      </c>
    </row>
    <row r="531" customFormat="false" ht="13.5" hidden="false" customHeight="false" outlineLevel="0" collapsed="false">
      <c r="A531" s="109" t="n">
        <v>531</v>
      </c>
      <c r="B531" s="110" t="str">
        <f aca="false">IFERROR(IF([2]对账明细接口!$B$531=0,"",[2]对账明细接口!$B$531),"")</f>
        <v/>
      </c>
      <c r="C531" s="59" t="str">
        <f aca="false">IFERROR(IF([2]对账明细接口!$C$531=0,"",[2]对账明细接口!$C$531),"")</f>
        <v/>
      </c>
      <c r="D531" s="59" t="str">
        <f aca="false">IFERROR(IF([2]对账明细接口!$D$531=0,"",[2]对账明细接口!$D$531),"")</f>
        <v/>
      </c>
      <c r="E531" s="59" t="str">
        <f aca="false">IFERROR(IF([2]对账明细接口!$E$531=0,"",[2]对账明细接口!$E$531),"")</f>
        <v/>
      </c>
      <c r="F531" s="59" t="str">
        <f aca="false">IFERROR(IF([2]对账明细接口!$F$531=0,"",[2]对账明细接口!$F$531),"")</f>
        <v/>
      </c>
      <c r="G531" s="59" t="str">
        <f aca="false">IFERROR(IF([2]对账明细接口!$G$531=0,"",[2]对账明细接口!$G$531),"")</f>
        <v/>
      </c>
      <c r="H531" s="60" t="str">
        <f aca="false">IFERROR(IF([2]对账明细接口!$H$531=0,"",[2]对账明细接口!$H$531),"")</f>
        <v/>
      </c>
      <c r="I531" s="59" t="str">
        <f aca="false">IFERROR(IF([2]对账明细接口!$I$531=0,"",[2]对账明细接口!$I$531),"")</f>
        <v/>
      </c>
      <c r="J531" s="61" t="str">
        <f aca="false">IFERROR(IF([2]对账明细接口!$J$531=0,"",[2]对账明细接口!$J$531),"")</f>
        <v/>
      </c>
      <c r="K531" s="61" t="str">
        <f aca="false">IFERROR(IF([2]对账明细接口!$K$531=0,"",[2]对账明细接口!$K$531),"")</f>
        <v/>
      </c>
      <c r="L531" s="59" t="str">
        <f aca="false">IFERROR(IF([2]对账明细接口!$L$531=0,"",[2]对账明细接口!$L$531),"")</f>
        <v/>
      </c>
      <c r="M531" s="59" t="str">
        <f aca="false">IFERROR(IF([2]对账明细接口!$M$531=0,"",[2]对账明细接口!$M$531),"")</f>
        <v/>
      </c>
      <c r="N531" s="111" t="n">
        <f aca="false">IF($C531="",0,1)</f>
        <v>0</v>
      </c>
      <c r="O531" s="111" t="n">
        <f aca="false">N(O530)+$N531</f>
        <v>311</v>
      </c>
      <c r="S531" s="10" t="str">
        <f aca="false">IFERROR(IF([2]对账明细接口!$N531=0,"",[2]对账明细接口!$N531),"")</f>
        <v/>
      </c>
      <c r="T531" s="112" t="str">
        <f aca="false">IFERROR(IF([2]对账明细接口!$O531=0,"",[2]对账明细接口!$O531),"")</f>
        <v/>
      </c>
      <c r="U531" s="112" t="str">
        <f aca="false">IFERROR(IF([2]对账明细接口!$P531=0,"",[2]对账明细接口!$P531),"")</f>
        <v/>
      </c>
      <c r="V531" s="112" t="str">
        <f aca="false">IFERROR(IF([2]对账明细接口!$Q531=0,"",[2]对账明细接口!$Q531),"")</f>
        <v/>
      </c>
      <c r="W531" s="10" t="str">
        <f aca="false">IFERROR(IF([2]对账明细接口!$R531=0,"",[2]对账明细接口!$R531),"")</f>
        <v/>
      </c>
      <c r="X531" s="10" t="str">
        <f aca="false">IFERROR(IF([2]对账明细接口!$S531=0,"",[2]对账明细接口!$S531),"")</f>
        <v/>
      </c>
      <c r="Y531" s="10" t="str">
        <f aca="false">IFERROR(IF([2]对账明细接口!$T531=0,"",[2]对账明细接口!$T531),"")</f>
        <v/>
      </c>
      <c r="Z531" s="113" t="str">
        <f aca="false">IFERROR(IF([2]对账明细接口!$U531=0,"",[2]对账明细接口!$U531),"")</f>
        <v/>
      </c>
      <c r="AA531" s="113" t="str">
        <f aca="false">IFERROR(IF([2]对账明细接口!$V531=0,"",[2]对账明细接口!$V531),"")</f>
        <v/>
      </c>
      <c r="AB531" s="10" t="str">
        <f aca="false">IFERROR(IF([2]对账明细接口!$W531=0,"",[2]对账明细接口!$W531),"")</f>
        <v/>
      </c>
      <c r="AC531" s="90" t="str">
        <f aca="false">IFERROR(IF([2]对账明细接口!$X532=0,"",[2]对账明细接口!$X532),"")</f>
        <v/>
      </c>
      <c r="AD531" s="90" t="str">
        <f aca="false">IFERROR(IF([2]对账明细接口!$Y532=0,"",[2]对账明细接口!$Y532),"")</f>
        <v/>
      </c>
      <c r="AE531" s="90" t="str">
        <f aca="false">IFERROR(IF([2]对账明细接口!$AA532=0,"",[2]对账明细接口!$AA532),"")</f>
        <v/>
      </c>
      <c r="AF531" s="90" t="str">
        <f aca="false">IFERROR(IF([2]对账明细接口!$AB532=0,"",[2]对账明细接口!$AB532),"")</f>
        <v/>
      </c>
      <c r="AG531" s="90" t="str">
        <f aca="false">IFERROR(IF([2]对账明细接口!$AC532=0,"",[2]对账明细接口!$AC532),"")</f>
        <v/>
      </c>
      <c r="AH531" s="90" t="str">
        <f aca="false">IFERROR(IF([2]对账明细接口!$AD532=0,"",[2]对账明细接口!$AD532),"")</f>
        <v/>
      </c>
    </row>
    <row r="532" customFormat="false" ht="13.5" hidden="false" customHeight="false" outlineLevel="0" collapsed="false">
      <c r="A532" s="109" t="n">
        <v>532</v>
      </c>
      <c r="B532" s="110" t="str">
        <f aca="false">IFERROR(IF([2]对账明细接口!$B$532=0,"",[2]对账明细接口!$B$532),"")</f>
        <v/>
      </c>
      <c r="C532" s="59" t="str">
        <f aca="false">IFERROR(IF([2]对账明细接口!$C$532=0,"",[2]对账明细接口!$C$532),"")</f>
        <v/>
      </c>
      <c r="D532" s="59" t="str">
        <f aca="false">IFERROR(IF([2]对账明细接口!$D$532=0,"",[2]对账明细接口!$D$532),"")</f>
        <v/>
      </c>
      <c r="E532" s="59" t="str">
        <f aca="false">IFERROR(IF([2]对账明细接口!$E$532=0,"",[2]对账明细接口!$E$532),"")</f>
        <v/>
      </c>
      <c r="F532" s="59" t="str">
        <f aca="false">IFERROR(IF([2]对账明细接口!$F$532=0,"",[2]对账明细接口!$F$532),"")</f>
        <v/>
      </c>
      <c r="G532" s="59" t="str">
        <f aca="false">IFERROR(IF([2]对账明细接口!$G$532=0,"",[2]对账明细接口!$G$532),"")</f>
        <v/>
      </c>
      <c r="H532" s="60" t="str">
        <f aca="false">IFERROR(IF([2]对账明细接口!$H$532=0,"",[2]对账明细接口!$H$532),"")</f>
        <v/>
      </c>
      <c r="I532" s="59" t="str">
        <f aca="false">IFERROR(IF([2]对账明细接口!$I$532=0,"",[2]对账明细接口!$I$532),"")</f>
        <v/>
      </c>
      <c r="J532" s="61" t="str">
        <f aca="false">IFERROR(IF([2]对账明细接口!$J$532=0,"",[2]对账明细接口!$J$532),"")</f>
        <v/>
      </c>
      <c r="K532" s="61" t="str">
        <f aca="false">IFERROR(IF([2]对账明细接口!$K$532=0,"",[2]对账明细接口!$K$532),"")</f>
        <v/>
      </c>
      <c r="L532" s="59" t="str">
        <f aca="false">IFERROR(IF([2]对账明细接口!$L$532=0,"",[2]对账明细接口!$L$532),"")</f>
        <v/>
      </c>
      <c r="M532" s="59" t="str">
        <f aca="false">IFERROR(IF([2]对账明细接口!$M$532=0,"",[2]对账明细接口!$M$532),"")</f>
        <v/>
      </c>
      <c r="N532" s="111" t="n">
        <f aca="false">IF($C532="",0,1)</f>
        <v>0</v>
      </c>
      <c r="O532" s="111" t="n">
        <f aca="false">N(O531)+$N532</f>
        <v>311</v>
      </c>
      <c r="S532" s="10" t="str">
        <f aca="false">IFERROR(IF([2]对账明细接口!$N532=0,"",[2]对账明细接口!$N532),"")</f>
        <v/>
      </c>
      <c r="T532" s="112" t="str">
        <f aca="false">IFERROR(IF([2]对账明细接口!$O532=0,"",[2]对账明细接口!$O532),"")</f>
        <v/>
      </c>
      <c r="U532" s="112" t="str">
        <f aca="false">IFERROR(IF([2]对账明细接口!$P532=0,"",[2]对账明细接口!$P532),"")</f>
        <v/>
      </c>
      <c r="V532" s="112" t="str">
        <f aca="false">IFERROR(IF([2]对账明细接口!$Q532=0,"",[2]对账明细接口!$Q532),"")</f>
        <v/>
      </c>
      <c r="W532" s="10" t="str">
        <f aca="false">IFERROR(IF([2]对账明细接口!$R532=0,"",[2]对账明细接口!$R532),"")</f>
        <v/>
      </c>
      <c r="X532" s="10" t="str">
        <f aca="false">IFERROR(IF([2]对账明细接口!$S532=0,"",[2]对账明细接口!$S532),"")</f>
        <v/>
      </c>
      <c r="Y532" s="10" t="str">
        <f aca="false">IFERROR(IF([2]对账明细接口!$T532=0,"",[2]对账明细接口!$T532),"")</f>
        <v/>
      </c>
      <c r="Z532" s="113" t="str">
        <f aca="false">IFERROR(IF([2]对账明细接口!$U532=0,"",[2]对账明细接口!$U532),"")</f>
        <v/>
      </c>
      <c r="AA532" s="113" t="str">
        <f aca="false">IFERROR(IF([2]对账明细接口!$V532=0,"",[2]对账明细接口!$V532),"")</f>
        <v/>
      </c>
      <c r="AB532" s="10" t="str">
        <f aca="false">IFERROR(IF([2]对账明细接口!$W532=0,"",[2]对账明细接口!$W532),"")</f>
        <v/>
      </c>
      <c r="AC532" s="90" t="str">
        <f aca="false">IFERROR(IF([2]对账明细接口!$X533=0,"",[2]对账明细接口!$X533),"")</f>
        <v/>
      </c>
      <c r="AD532" s="90" t="str">
        <f aca="false">IFERROR(IF([2]对账明细接口!$Y533=0,"",[2]对账明细接口!$Y533),"")</f>
        <v/>
      </c>
      <c r="AE532" s="90" t="str">
        <f aca="false">IFERROR(IF([2]对账明细接口!$AA533=0,"",[2]对账明细接口!$AA533),"")</f>
        <v/>
      </c>
      <c r="AF532" s="90" t="str">
        <f aca="false">IFERROR(IF([2]对账明细接口!$AB533=0,"",[2]对账明细接口!$AB533),"")</f>
        <v/>
      </c>
      <c r="AG532" s="90" t="str">
        <f aca="false">IFERROR(IF([2]对账明细接口!$AC533=0,"",[2]对账明细接口!$AC533),"")</f>
        <v/>
      </c>
      <c r="AH532" s="90" t="str">
        <f aca="false">IFERROR(IF([2]对账明细接口!$AD533=0,"",[2]对账明细接口!$AD533),"")</f>
        <v/>
      </c>
    </row>
    <row r="533" customFormat="false" ht="13.5" hidden="false" customHeight="false" outlineLevel="0" collapsed="false">
      <c r="A533" s="109" t="n">
        <v>533</v>
      </c>
      <c r="B533" s="110" t="str">
        <f aca="false">IFERROR(IF([2]对账明细接口!$B$533=0,"",[2]对账明细接口!$B$533),"")</f>
        <v/>
      </c>
      <c r="C533" s="59" t="str">
        <f aca="false">IFERROR(IF([2]对账明细接口!$C$533=0,"",[2]对账明细接口!$C$533),"")</f>
        <v/>
      </c>
      <c r="D533" s="59" t="str">
        <f aca="false">IFERROR(IF([2]对账明细接口!$D$533=0,"",[2]对账明细接口!$D$533),"")</f>
        <v/>
      </c>
      <c r="E533" s="59" t="str">
        <f aca="false">IFERROR(IF([2]对账明细接口!$E$533=0,"",[2]对账明细接口!$E$533),"")</f>
        <v/>
      </c>
      <c r="F533" s="59" t="str">
        <f aca="false">IFERROR(IF([2]对账明细接口!$F$533=0,"",[2]对账明细接口!$F$533),"")</f>
        <v/>
      </c>
      <c r="G533" s="59" t="str">
        <f aca="false">IFERROR(IF([2]对账明细接口!$G$533=0,"",[2]对账明细接口!$G$533),"")</f>
        <v/>
      </c>
      <c r="H533" s="60" t="str">
        <f aca="false">IFERROR(IF([2]对账明细接口!$H$533=0,"",[2]对账明细接口!$H$533),"")</f>
        <v/>
      </c>
      <c r="I533" s="59" t="str">
        <f aca="false">IFERROR(IF([2]对账明细接口!$I$533=0,"",[2]对账明细接口!$I$533),"")</f>
        <v/>
      </c>
      <c r="J533" s="61" t="str">
        <f aca="false">IFERROR(IF([2]对账明细接口!$J$533=0,"",[2]对账明细接口!$J$533),"")</f>
        <v/>
      </c>
      <c r="K533" s="61" t="str">
        <f aca="false">IFERROR(IF([2]对账明细接口!$K$533=0,"",[2]对账明细接口!$K$533),"")</f>
        <v/>
      </c>
      <c r="L533" s="59" t="str">
        <f aca="false">IFERROR(IF([2]对账明细接口!$L$533=0,"",[2]对账明细接口!$L$533),"")</f>
        <v/>
      </c>
      <c r="M533" s="59" t="str">
        <f aca="false">IFERROR(IF([2]对账明细接口!$M$533=0,"",[2]对账明细接口!$M$533),"")</f>
        <v/>
      </c>
      <c r="N533" s="111" t="n">
        <f aca="false">IF($C533="",0,1)</f>
        <v>0</v>
      </c>
      <c r="O533" s="111" t="n">
        <f aca="false">N(O532)+$N533</f>
        <v>311</v>
      </c>
      <c r="S533" s="10" t="str">
        <f aca="false">IFERROR(IF([2]对账明细接口!$N533=0,"",[2]对账明细接口!$N533),"")</f>
        <v/>
      </c>
      <c r="T533" s="112" t="str">
        <f aca="false">IFERROR(IF([2]对账明细接口!$O533=0,"",[2]对账明细接口!$O533),"")</f>
        <v/>
      </c>
      <c r="U533" s="112" t="str">
        <f aca="false">IFERROR(IF([2]对账明细接口!$P533=0,"",[2]对账明细接口!$P533),"")</f>
        <v/>
      </c>
      <c r="V533" s="112" t="str">
        <f aca="false">IFERROR(IF([2]对账明细接口!$Q533=0,"",[2]对账明细接口!$Q533),"")</f>
        <v/>
      </c>
      <c r="W533" s="10" t="str">
        <f aca="false">IFERROR(IF([2]对账明细接口!$R533=0,"",[2]对账明细接口!$R533),"")</f>
        <v/>
      </c>
      <c r="X533" s="10" t="str">
        <f aca="false">IFERROR(IF([2]对账明细接口!$S533=0,"",[2]对账明细接口!$S533),"")</f>
        <v/>
      </c>
      <c r="Y533" s="10" t="str">
        <f aca="false">IFERROR(IF([2]对账明细接口!$T533=0,"",[2]对账明细接口!$T533),"")</f>
        <v/>
      </c>
      <c r="Z533" s="113" t="str">
        <f aca="false">IFERROR(IF([2]对账明细接口!$U533=0,"",[2]对账明细接口!$U533),"")</f>
        <v/>
      </c>
      <c r="AA533" s="113" t="str">
        <f aca="false">IFERROR(IF([2]对账明细接口!$V533=0,"",[2]对账明细接口!$V533),"")</f>
        <v/>
      </c>
      <c r="AB533" s="10" t="str">
        <f aca="false">IFERROR(IF([2]对账明细接口!$W533=0,"",[2]对账明细接口!$W533),"")</f>
        <v/>
      </c>
      <c r="AC533" s="90" t="str">
        <f aca="false">IFERROR(IF([2]对账明细接口!$X534=0,"",[2]对账明细接口!$X534),"")</f>
        <v/>
      </c>
      <c r="AD533" s="90" t="str">
        <f aca="false">IFERROR(IF([2]对账明细接口!$Y534=0,"",[2]对账明细接口!$Y534),"")</f>
        <v/>
      </c>
      <c r="AE533" s="90" t="str">
        <f aca="false">IFERROR(IF([2]对账明细接口!$AA534=0,"",[2]对账明细接口!$AA534),"")</f>
        <v/>
      </c>
      <c r="AF533" s="90" t="str">
        <f aca="false">IFERROR(IF([2]对账明细接口!$AB534=0,"",[2]对账明细接口!$AB534),"")</f>
        <v/>
      </c>
      <c r="AG533" s="90" t="str">
        <f aca="false">IFERROR(IF([2]对账明细接口!$AC534=0,"",[2]对账明细接口!$AC534),"")</f>
        <v/>
      </c>
      <c r="AH533" s="90" t="str">
        <f aca="false">IFERROR(IF([2]对账明细接口!$AD534=0,"",[2]对账明细接口!$AD534),"")</f>
        <v/>
      </c>
    </row>
    <row r="534" customFormat="false" ht="13.5" hidden="false" customHeight="false" outlineLevel="0" collapsed="false">
      <c r="A534" s="109" t="n">
        <v>534</v>
      </c>
      <c r="B534" s="110" t="str">
        <f aca="false">IFERROR(IF([2]对账明细接口!$B$534=0,"",[2]对账明细接口!$B$534),"")</f>
        <v/>
      </c>
      <c r="C534" s="59" t="str">
        <f aca="false">IFERROR(IF([2]对账明细接口!$C$534=0,"",[2]对账明细接口!$C$534),"")</f>
        <v/>
      </c>
      <c r="D534" s="59" t="str">
        <f aca="false">IFERROR(IF([2]对账明细接口!$D$534=0,"",[2]对账明细接口!$D$534),"")</f>
        <v/>
      </c>
      <c r="E534" s="59" t="str">
        <f aca="false">IFERROR(IF([2]对账明细接口!$E$534=0,"",[2]对账明细接口!$E$534),"")</f>
        <v/>
      </c>
      <c r="F534" s="59" t="str">
        <f aca="false">IFERROR(IF([2]对账明细接口!$F$534=0,"",[2]对账明细接口!$F$534),"")</f>
        <v/>
      </c>
      <c r="G534" s="59" t="str">
        <f aca="false">IFERROR(IF([2]对账明细接口!$G$534=0,"",[2]对账明细接口!$G$534),"")</f>
        <v/>
      </c>
      <c r="H534" s="60" t="str">
        <f aca="false">IFERROR(IF([2]对账明细接口!$H$534=0,"",[2]对账明细接口!$H$534),"")</f>
        <v/>
      </c>
      <c r="I534" s="59" t="str">
        <f aca="false">IFERROR(IF([2]对账明细接口!$I$534=0,"",[2]对账明细接口!$I$534),"")</f>
        <v/>
      </c>
      <c r="J534" s="61" t="str">
        <f aca="false">IFERROR(IF([2]对账明细接口!$J$534=0,"",[2]对账明细接口!$J$534),"")</f>
        <v/>
      </c>
      <c r="K534" s="61" t="str">
        <f aca="false">IFERROR(IF([2]对账明细接口!$K$534=0,"",[2]对账明细接口!$K$534),"")</f>
        <v/>
      </c>
      <c r="L534" s="59" t="str">
        <f aca="false">IFERROR(IF([2]对账明细接口!$L$534=0,"",[2]对账明细接口!$L$534),"")</f>
        <v/>
      </c>
      <c r="M534" s="59" t="str">
        <f aca="false">IFERROR(IF([2]对账明细接口!$M$534=0,"",[2]对账明细接口!$M$534),"")</f>
        <v/>
      </c>
      <c r="N534" s="111" t="n">
        <f aca="false">IF($C534="",0,1)</f>
        <v>0</v>
      </c>
      <c r="O534" s="111" t="n">
        <f aca="false">N(O533)+$N534</f>
        <v>311</v>
      </c>
      <c r="S534" s="10" t="str">
        <f aca="false">IFERROR(IF([2]对账明细接口!$N534=0,"",[2]对账明细接口!$N534),"")</f>
        <v/>
      </c>
      <c r="T534" s="112" t="str">
        <f aca="false">IFERROR(IF([2]对账明细接口!$O534=0,"",[2]对账明细接口!$O534),"")</f>
        <v/>
      </c>
      <c r="U534" s="112" t="str">
        <f aca="false">IFERROR(IF([2]对账明细接口!$P534=0,"",[2]对账明细接口!$P534),"")</f>
        <v/>
      </c>
      <c r="V534" s="112" t="str">
        <f aca="false">IFERROR(IF([2]对账明细接口!$Q534=0,"",[2]对账明细接口!$Q534),"")</f>
        <v/>
      </c>
      <c r="W534" s="10" t="str">
        <f aca="false">IFERROR(IF([2]对账明细接口!$R534=0,"",[2]对账明细接口!$R534),"")</f>
        <v/>
      </c>
      <c r="X534" s="10" t="str">
        <f aca="false">IFERROR(IF([2]对账明细接口!$S534=0,"",[2]对账明细接口!$S534),"")</f>
        <v/>
      </c>
      <c r="Y534" s="10" t="str">
        <f aca="false">IFERROR(IF([2]对账明细接口!$T534=0,"",[2]对账明细接口!$T534),"")</f>
        <v/>
      </c>
      <c r="Z534" s="113" t="str">
        <f aca="false">IFERROR(IF([2]对账明细接口!$U534=0,"",[2]对账明细接口!$U534),"")</f>
        <v/>
      </c>
      <c r="AA534" s="113" t="str">
        <f aca="false">IFERROR(IF([2]对账明细接口!$V534=0,"",[2]对账明细接口!$V534),"")</f>
        <v/>
      </c>
      <c r="AB534" s="10" t="str">
        <f aca="false">IFERROR(IF([2]对账明细接口!$W534=0,"",[2]对账明细接口!$W534),"")</f>
        <v/>
      </c>
      <c r="AC534" s="90" t="str">
        <f aca="false">IFERROR(IF([2]对账明细接口!$X535=0,"",[2]对账明细接口!$X535),"")</f>
        <v/>
      </c>
      <c r="AD534" s="90" t="str">
        <f aca="false">IFERROR(IF([2]对账明细接口!$Y535=0,"",[2]对账明细接口!$Y535),"")</f>
        <v/>
      </c>
      <c r="AE534" s="90" t="str">
        <f aca="false">IFERROR(IF([2]对账明细接口!$AA535=0,"",[2]对账明细接口!$AA535),"")</f>
        <v/>
      </c>
      <c r="AF534" s="90" t="str">
        <f aca="false">IFERROR(IF([2]对账明细接口!$AB535=0,"",[2]对账明细接口!$AB535),"")</f>
        <v/>
      </c>
      <c r="AG534" s="90" t="str">
        <f aca="false">IFERROR(IF([2]对账明细接口!$AC535=0,"",[2]对账明细接口!$AC535),"")</f>
        <v/>
      </c>
      <c r="AH534" s="90" t="str">
        <f aca="false">IFERROR(IF([2]对账明细接口!$AD535=0,"",[2]对账明细接口!$AD535),"")</f>
        <v/>
      </c>
    </row>
    <row r="535" customFormat="false" ht="13.5" hidden="false" customHeight="false" outlineLevel="0" collapsed="false">
      <c r="A535" s="109" t="n">
        <v>535</v>
      </c>
      <c r="B535" s="110" t="str">
        <f aca="false">IFERROR(IF([2]对账明细接口!$B$535=0,"",[2]对账明细接口!$B$535),"")</f>
        <v/>
      </c>
      <c r="C535" s="59" t="str">
        <f aca="false">IFERROR(IF([2]对账明细接口!$C$535=0,"",[2]对账明细接口!$C$535),"")</f>
        <v/>
      </c>
      <c r="D535" s="59" t="str">
        <f aca="false">IFERROR(IF([2]对账明细接口!$D$535=0,"",[2]对账明细接口!$D$535),"")</f>
        <v/>
      </c>
      <c r="E535" s="59" t="str">
        <f aca="false">IFERROR(IF([2]对账明细接口!$E$535=0,"",[2]对账明细接口!$E$535),"")</f>
        <v/>
      </c>
      <c r="F535" s="59" t="str">
        <f aca="false">IFERROR(IF([2]对账明细接口!$F$535=0,"",[2]对账明细接口!$F$535),"")</f>
        <v/>
      </c>
      <c r="G535" s="59" t="str">
        <f aca="false">IFERROR(IF([2]对账明细接口!$G$535=0,"",[2]对账明细接口!$G$535),"")</f>
        <v/>
      </c>
      <c r="H535" s="60" t="str">
        <f aca="false">IFERROR(IF([2]对账明细接口!$H$535=0,"",[2]对账明细接口!$H$535),"")</f>
        <v/>
      </c>
      <c r="I535" s="59" t="str">
        <f aca="false">IFERROR(IF([2]对账明细接口!$I$535=0,"",[2]对账明细接口!$I$535),"")</f>
        <v/>
      </c>
      <c r="J535" s="61" t="str">
        <f aca="false">IFERROR(IF([2]对账明细接口!$J$535=0,"",[2]对账明细接口!$J$535),"")</f>
        <v/>
      </c>
      <c r="K535" s="61" t="str">
        <f aca="false">IFERROR(IF([2]对账明细接口!$K$535=0,"",[2]对账明细接口!$K$535),"")</f>
        <v/>
      </c>
      <c r="L535" s="59" t="str">
        <f aca="false">IFERROR(IF([2]对账明细接口!$L$535=0,"",[2]对账明细接口!$L$535),"")</f>
        <v/>
      </c>
      <c r="M535" s="59" t="str">
        <f aca="false">IFERROR(IF([2]对账明细接口!$M$535=0,"",[2]对账明细接口!$M$535),"")</f>
        <v/>
      </c>
      <c r="N535" s="111" t="n">
        <f aca="false">IF($C535="",0,1)</f>
        <v>0</v>
      </c>
      <c r="O535" s="111" t="n">
        <f aca="false">N(O534)+$N535</f>
        <v>311</v>
      </c>
      <c r="S535" s="10" t="str">
        <f aca="false">IFERROR(IF([2]对账明细接口!$N535=0,"",[2]对账明细接口!$N535),"")</f>
        <v/>
      </c>
      <c r="T535" s="112" t="str">
        <f aca="false">IFERROR(IF([2]对账明细接口!$O535=0,"",[2]对账明细接口!$O535),"")</f>
        <v/>
      </c>
      <c r="U535" s="112" t="str">
        <f aca="false">IFERROR(IF([2]对账明细接口!$P535=0,"",[2]对账明细接口!$P535),"")</f>
        <v/>
      </c>
      <c r="V535" s="112" t="str">
        <f aca="false">IFERROR(IF([2]对账明细接口!$Q535=0,"",[2]对账明细接口!$Q535),"")</f>
        <v/>
      </c>
      <c r="W535" s="10" t="str">
        <f aca="false">IFERROR(IF([2]对账明细接口!$R535=0,"",[2]对账明细接口!$R535),"")</f>
        <v/>
      </c>
      <c r="X535" s="10" t="str">
        <f aca="false">IFERROR(IF([2]对账明细接口!$S535=0,"",[2]对账明细接口!$S535),"")</f>
        <v/>
      </c>
      <c r="Y535" s="10" t="str">
        <f aca="false">IFERROR(IF([2]对账明细接口!$T535=0,"",[2]对账明细接口!$T535),"")</f>
        <v/>
      </c>
      <c r="Z535" s="113" t="str">
        <f aca="false">IFERROR(IF([2]对账明细接口!$U535=0,"",[2]对账明细接口!$U535),"")</f>
        <v/>
      </c>
      <c r="AA535" s="113" t="str">
        <f aca="false">IFERROR(IF([2]对账明细接口!$V535=0,"",[2]对账明细接口!$V535),"")</f>
        <v/>
      </c>
      <c r="AB535" s="10" t="str">
        <f aca="false">IFERROR(IF([2]对账明细接口!$W535=0,"",[2]对账明细接口!$W535),"")</f>
        <v/>
      </c>
      <c r="AC535" s="90" t="str">
        <f aca="false">IFERROR(IF([2]对账明细接口!$X536=0,"",[2]对账明细接口!$X536),"")</f>
        <v/>
      </c>
      <c r="AD535" s="90" t="str">
        <f aca="false">IFERROR(IF([2]对账明细接口!$Y536=0,"",[2]对账明细接口!$Y536),"")</f>
        <v/>
      </c>
      <c r="AE535" s="90" t="str">
        <f aca="false">IFERROR(IF([2]对账明细接口!$AA536=0,"",[2]对账明细接口!$AA536),"")</f>
        <v/>
      </c>
      <c r="AF535" s="90" t="str">
        <f aca="false">IFERROR(IF([2]对账明细接口!$AB536=0,"",[2]对账明细接口!$AB536),"")</f>
        <v/>
      </c>
      <c r="AG535" s="90" t="str">
        <f aca="false">IFERROR(IF([2]对账明细接口!$AC536=0,"",[2]对账明细接口!$AC536),"")</f>
        <v/>
      </c>
      <c r="AH535" s="90" t="str">
        <f aca="false">IFERROR(IF([2]对账明细接口!$AD536=0,"",[2]对账明细接口!$AD536),"")</f>
        <v/>
      </c>
    </row>
    <row r="536" customFormat="false" ht="13.5" hidden="false" customHeight="false" outlineLevel="0" collapsed="false">
      <c r="A536" s="109" t="n">
        <v>536</v>
      </c>
      <c r="B536" s="110" t="str">
        <f aca="false">IFERROR(IF([2]对账明细接口!$B$536=0,"",[2]对账明细接口!$B$536),"")</f>
        <v/>
      </c>
      <c r="C536" s="59" t="str">
        <f aca="false">IFERROR(IF([2]对账明细接口!$C$536=0,"",[2]对账明细接口!$C$536),"")</f>
        <v/>
      </c>
      <c r="D536" s="59" t="str">
        <f aca="false">IFERROR(IF([2]对账明细接口!$D$536=0,"",[2]对账明细接口!$D$536),"")</f>
        <v/>
      </c>
      <c r="E536" s="59" t="str">
        <f aca="false">IFERROR(IF([2]对账明细接口!$E$536=0,"",[2]对账明细接口!$E$536),"")</f>
        <v/>
      </c>
      <c r="F536" s="59" t="str">
        <f aca="false">IFERROR(IF([2]对账明细接口!$F$536=0,"",[2]对账明细接口!$F$536),"")</f>
        <v/>
      </c>
      <c r="G536" s="59" t="str">
        <f aca="false">IFERROR(IF([2]对账明细接口!$G$536=0,"",[2]对账明细接口!$G$536),"")</f>
        <v/>
      </c>
      <c r="H536" s="60" t="str">
        <f aca="false">IFERROR(IF([2]对账明细接口!$H$536=0,"",[2]对账明细接口!$H$536),"")</f>
        <v/>
      </c>
      <c r="I536" s="59" t="str">
        <f aca="false">IFERROR(IF([2]对账明细接口!$I$536=0,"",[2]对账明细接口!$I$536),"")</f>
        <v/>
      </c>
      <c r="J536" s="61" t="str">
        <f aca="false">IFERROR(IF([2]对账明细接口!$J$536=0,"",[2]对账明细接口!$J$536),"")</f>
        <v/>
      </c>
      <c r="K536" s="61" t="str">
        <f aca="false">IFERROR(IF([2]对账明细接口!$K$536=0,"",[2]对账明细接口!$K$536),"")</f>
        <v/>
      </c>
      <c r="L536" s="59" t="str">
        <f aca="false">IFERROR(IF([2]对账明细接口!$L$536=0,"",[2]对账明细接口!$L$536),"")</f>
        <v/>
      </c>
      <c r="M536" s="59" t="str">
        <f aca="false">IFERROR(IF([2]对账明细接口!$M$536=0,"",[2]对账明细接口!$M$536),"")</f>
        <v/>
      </c>
      <c r="N536" s="111" t="n">
        <f aca="false">IF($C536="",0,1)</f>
        <v>0</v>
      </c>
      <c r="O536" s="111" t="n">
        <f aca="false">N(O535)+$N536</f>
        <v>311</v>
      </c>
      <c r="S536" s="10" t="str">
        <f aca="false">IFERROR(IF([2]对账明细接口!$N536=0,"",[2]对账明细接口!$N536),"")</f>
        <v/>
      </c>
      <c r="T536" s="112" t="str">
        <f aca="false">IFERROR(IF([2]对账明细接口!$O536=0,"",[2]对账明细接口!$O536),"")</f>
        <v/>
      </c>
      <c r="U536" s="112" t="str">
        <f aca="false">IFERROR(IF([2]对账明细接口!$P536=0,"",[2]对账明细接口!$P536),"")</f>
        <v/>
      </c>
      <c r="V536" s="112" t="str">
        <f aca="false">IFERROR(IF([2]对账明细接口!$Q536=0,"",[2]对账明细接口!$Q536),"")</f>
        <v/>
      </c>
      <c r="W536" s="10" t="str">
        <f aca="false">IFERROR(IF([2]对账明细接口!$R536=0,"",[2]对账明细接口!$R536),"")</f>
        <v/>
      </c>
      <c r="X536" s="10" t="str">
        <f aca="false">IFERROR(IF([2]对账明细接口!$S536=0,"",[2]对账明细接口!$S536),"")</f>
        <v/>
      </c>
      <c r="Y536" s="10" t="str">
        <f aca="false">IFERROR(IF([2]对账明细接口!$T536=0,"",[2]对账明细接口!$T536),"")</f>
        <v/>
      </c>
      <c r="Z536" s="113" t="str">
        <f aca="false">IFERROR(IF([2]对账明细接口!$U536=0,"",[2]对账明细接口!$U536),"")</f>
        <v/>
      </c>
      <c r="AA536" s="113" t="str">
        <f aca="false">IFERROR(IF([2]对账明细接口!$V536=0,"",[2]对账明细接口!$V536),"")</f>
        <v/>
      </c>
      <c r="AB536" s="10" t="str">
        <f aca="false">IFERROR(IF([2]对账明细接口!$W536=0,"",[2]对账明细接口!$W536),"")</f>
        <v/>
      </c>
      <c r="AC536" s="90" t="str">
        <f aca="false">IFERROR(IF([2]对账明细接口!$X537=0,"",[2]对账明细接口!$X537),"")</f>
        <v/>
      </c>
      <c r="AD536" s="90" t="str">
        <f aca="false">IFERROR(IF([2]对账明细接口!$Y537=0,"",[2]对账明细接口!$Y537),"")</f>
        <v/>
      </c>
      <c r="AE536" s="90" t="str">
        <f aca="false">IFERROR(IF([2]对账明细接口!$AA537=0,"",[2]对账明细接口!$AA537),"")</f>
        <v/>
      </c>
      <c r="AF536" s="90" t="str">
        <f aca="false">IFERROR(IF([2]对账明细接口!$AB537=0,"",[2]对账明细接口!$AB537),"")</f>
        <v/>
      </c>
      <c r="AG536" s="90" t="str">
        <f aca="false">IFERROR(IF([2]对账明细接口!$AC537=0,"",[2]对账明细接口!$AC537),"")</f>
        <v/>
      </c>
      <c r="AH536" s="90" t="str">
        <f aca="false">IFERROR(IF([2]对账明细接口!$AD537=0,"",[2]对账明细接口!$AD537),"")</f>
        <v/>
      </c>
    </row>
    <row r="537" customFormat="false" ht="13.5" hidden="false" customHeight="false" outlineLevel="0" collapsed="false">
      <c r="A537" s="109" t="n">
        <v>537</v>
      </c>
      <c r="B537" s="110" t="str">
        <f aca="false">IFERROR(IF([2]对账明细接口!$B$537=0,"",[2]对账明细接口!$B$537),"")</f>
        <v/>
      </c>
      <c r="C537" s="59" t="str">
        <f aca="false">IFERROR(IF([2]对账明细接口!$C$537=0,"",[2]对账明细接口!$C$537),"")</f>
        <v/>
      </c>
      <c r="D537" s="59" t="str">
        <f aca="false">IFERROR(IF([2]对账明细接口!$D$537=0,"",[2]对账明细接口!$D$537),"")</f>
        <v/>
      </c>
      <c r="E537" s="59" t="str">
        <f aca="false">IFERROR(IF([2]对账明细接口!$E$537=0,"",[2]对账明细接口!$E$537),"")</f>
        <v/>
      </c>
      <c r="F537" s="59" t="str">
        <f aca="false">IFERROR(IF([2]对账明细接口!$F$537=0,"",[2]对账明细接口!$F$537),"")</f>
        <v/>
      </c>
      <c r="G537" s="59" t="str">
        <f aca="false">IFERROR(IF([2]对账明细接口!$G$537=0,"",[2]对账明细接口!$G$537),"")</f>
        <v/>
      </c>
      <c r="H537" s="60" t="str">
        <f aca="false">IFERROR(IF([2]对账明细接口!$H$537=0,"",[2]对账明细接口!$H$537),"")</f>
        <v/>
      </c>
      <c r="I537" s="59" t="str">
        <f aca="false">IFERROR(IF([2]对账明细接口!$I$537=0,"",[2]对账明细接口!$I$537),"")</f>
        <v/>
      </c>
      <c r="J537" s="61" t="str">
        <f aca="false">IFERROR(IF([2]对账明细接口!$J$537=0,"",[2]对账明细接口!$J$537),"")</f>
        <v/>
      </c>
      <c r="K537" s="61" t="str">
        <f aca="false">IFERROR(IF([2]对账明细接口!$K$537=0,"",[2]对账明细接口!$K$537),"")</f>
        <v/>
      </c>
      <c r="L537" s="59" t="str">
        <f aca="false">IFERROR(IF([2]对账明细接口!$L$537=0,"",[2]对账明细接口!$L$537),"")</f>
        <v/>
      </c>
      <c r="M537" s="59" t="str">
        <f aca="false">IFERROR(IF([2]对账明细接口!$M$537=0,"",[2]对账明细接口!$M$537),"")</f>
        <v/>
      </c>
      <c r="N537" s="111" t="n">
        <f aca="false">IF($C537="",0,1)</f>
        <v>0</v>
      </c>
      <c r="O537" s="111" t="n">
        <f aca="false">N(O536)+$N537</f>
        <v>311</v>
      </c>
      <c r="S537" s="10" t="str">
        <f aca="false">IFERROR(IF([2]对账明细接口!$N537=0,"",[2]对账明细接口!$N537),"")</f>
        <v/>
      </c>
      <c r="T537" s="112" t="str">
        <f aca="false">IFERROR(IF([2]对账明细接口!$O537=0,"",[2]对账明细接口!$O537),"")</f>
        <v/>
      </c>
      <c r="U537" s="112" t="str">
        <f aca="false">IFERROR(IF([2]对账明细接口!$P537=0,"",[2]对账明细接口!$P537),"")</f>
        <v/>
      </c>
      <c r="V537" s="112" t="str">
        <f aca="false">IFERROR(IF([2]对账明细接口!$Q537=0,"",[2]对账明细接口!$Q537),"")</f>
        <v/>
      </c>
      <c r="W537" s="10" t="str">
        <f aca="false">IFERROR(IF([2]对账明细接口!$R537=0,"",[2]对账明细接口!$R537),"")</f>
        <v/>
      </c>
      <c r="X537" s="10" t="str">
        <f aca="false">IFERROR(IF([2]对账明细接口!$S537=0,"",[2]对账明细接口!$S537),"")</f>
        <v/>
      </c>
      <c r="Y537" s="10" t="str">
        <f aca="false">IFERROR(IF([2]对账明细接口!$T537=0,"",[2]对账明细接口!$T537),"")</f>
        <v/>
      </c>
      <c r="Z537" s="113" t="str">
        <f aca="false">IFERROR(IF([2]对账明细接口!$U537=0,"",[2]对账明细接口!$U537),"")</f>
        <v/>
      </c>
      <c r="AA537" s="113" t="str">
        <f aca="false">IFERROR(IF([2]对账明细接口!$V537=0,"",[2]对账明细接口!$V537),"")</f>
        <v/>
      </c>
      <c r="AB537" s="10" t="str">
        <f aca="false">IFERROR(IF([2]对账明细接口!$W537=0,"",[2]对账明细接口!$W537),"")</f>
        <v/>
      </c>
      <c r="AC537" s="90" t="str">
        <f aca="false">IFERROR(IF([2]对账明细接口!$X538=0,"",[2]对账明细接口!$X538),"")</f>
        <v/>
      </c>
      <c r="AD537" s="90" t="str">
        <f aca="false">IFERROR(IF([2]对账明细接口!$Y538=0,"",[2]对账明细接口!$Y538),"")</f>
        <v/>
      </c>
      <c r="AE537" s="90" t="str">
        <f aca="false">IFERROR(IF([2]对账明细接口!$AA538=0,"",[2]对账明细接口!$AA538),"")</f>
        <v/>
      </c>
      <c r="AF537" s="90" t="str">
        <f aca="false">IFERROR(IF([2]对账明细接口!$AB538=0,"",[2]对账明细接口!$AB538),"")</f>
        <v/>
      </c>
      <c r="AG537" s="90" t="str">
        <f aca="false">IFERROR(IF([2]对账明细接口!$AC538=0,"",[2]对账明细接口!$AC538),"")</f>
        <v/>
      </c>
      <c r="AH537" s="90" t="str">
        <f aca="false">IFERROR(IF([2]对账明细接口!$AD538=0,"",[2]对账明细接口!$AD538),"")</f>
        <v/>
      </c>
    </row>
    <row r="538" customFormat="false" ht="13.5" hidden="false" customHeight="false" outlineLevel="0" collapsed="false">
      <c r="A538" s="109" t="n">
        <v>538</v>
      </c>
      <c r="B538" s="110" t="str">
        <f aca="false">IFERROR(IF([2]对账明细接口!$B$538=0,"",[2]对账明细接口!$B$538),"")</f>
        <v/>
      </c>
      <c r="C538" s="59" t="str">
        <f aca="false">IFERROR(IF([2]对账明细接口!$C$538=0,"",[2]对账明细接口!$C$538),"")</f>
        <v/>
      </c>
      <c r="D538" s="59" t="str">
        <f aca="false">IFERROR(IF([2]对账明细接口!$D$538=0,"",[2]对账明细接口!$D$538),"")</f>
        <v/>
      </c>
      <c r="E538" s="59" t="str">
        <f aca="false">IFERROR(IF([2]对账明细接口!$E$538=0,"",[2]对账明细接口!$E$538),"")</f>
        <v/>
      </c>
      <c r="F538" s="59" t="str">
        <f aca="false">IFERROR(IF([2]对账明细接口!$F$538=0,"",[2]对账明细接口!$F$538),"")</f>
        <v/>
      </c>
      <c r="G538" s="59" t="str">
        <f aca="false">IFERROR(IF([2]对账明细接口!$G$538=0,"",[2]对账明细接口!$G$538),"")</f>
        <v/>
      </c>
      <c r="H538" s="60" t="str">
        <f aca="false">IFERROR(IF([2]对账明细接口!$H$538=0,"",[2]对账明细接口!$H$538),"")</f>
        <v/>
      </c>
      <c r="I538" s="59" t="str">
        <f aca="false">IFERROR(IF([2]对账明细接口!$I$538=0,"",[2]对账明细接口!$I$538),"")</f>
        <v/>
      </c>
      <c r="J538" s="61" t="str">
        <f aca="false">IFERROR(IF([2]对账明细接口!$J$538=0,"",[2]对账明细接口!$J$538),"")</f>
        <v/>
      </c>
      <c r="K538" s="61" t="str">
        <f aca="false">IFERROR(IF([2]对账明细接口!$K$538=0,"",[2]对账明细接口!$K$538),"")</f>
        <v/>
      </c>
      <c r="L538" s="59" t="str">
        <f aca="false">IFERROR(IF([2]对账明细接口!$L$538=0,"",[2]对账明细接口!$L$538),"")</f>
        <v/>
      </c>
      <c r="M538" s="59" t="str">
        <f aca="false">IFERROR(IF([2]对账明细接口!$M$538=0,"",[2]对账明细接口!$M$538),"")</f>
        <v/>
      </c>
      <c r="N538" s="111" t="n">
        <f aca="false">IF($C538="",0,1)</f>
        <v>0</v>
      </c>
      <c r="O538" s="111" t="n">
        <f aca="false">N(O537)+$N538</f>
        <v>311</v>
      </c>
      <c r="S538" s="10" t="str">
        <f aca="false">IFERROR(IF([2]对账明细接口!$N538=0,"",[2]对账明细接口!$N538),"")</f>
        <v/>
      </c>
      <c r="T538" s="112" t="str">
        <f aca="false">IFERROR(IF([2]对账明细接口!$O538=0,"",[2]对账明细接口!$O538),"")</f>
        <v/>
      </c>
      <c r="U538" s="112" t="str">
        <f aca="false">IFERROR(IF([2]对账明细接口!$P538=0,"",[2]对账明细接口!$P538),"")</f>
        <v/>
      </c>
      <c r="V538" s="112" t="str">
        <f aca="false">IFERROR(IF([2]对账明细接口!$Q538=0,"",[2]对账明细接口!$Q538),"")</f>
        <v/>
      </c>
      <c r="W538" s="10" t="str">
        <f aca="false">IFERROR(IF([2]对账明细接口!$R538=0,"",[2]对账明细接口!$R538),"")</f>
        <v/>
      </c>
      <c r="X538" s="10" t="str">
        <f aca="false">IFERROR(IF([2]对账明细接口!$S538=0,"",[2]对账明细接口!$S538),"")</f>
        <v/>
      </c>
      <c r="Y538" s="10" t="str">
        <f aca="false">IFERROR(IF([2]对账明细接口!$T538=0,"",[2]对账明细接口!$T538),"")</f>
        <v/>
      </c>
      <c r="Z538" s="113" t="str">
        <f aca="false">IFERROR(IF([2]对账明细接口!$U538=0,"",[2]对账明细接口!$U538),"")</f>
        <v/>
      </c>
      <c r="AA538" s="113" t="str">
        <f aca="false">IFERROR(IF([2]对账明细接口!$V538=0,"",[2]对账明细接口!$V538),"")</f>
        <v/>
      </c>
      <c r="AB538" s="10" t="str">
        <f aca="false">IFERROR(IF([2]对账明细接口!$W538=0,"",[2]对账明细接口!$W538),"")</f>
        <v/>
      </c>
      <c r="AC538" s="90" t="str">
        <f aca="false">IFERROR(IF([2]对账明细接口!$X539=0,"",[2]对账明细接口!$X539),"")</f>
        <v/>
      </c>
      <c r="AD538" s="90" t="str">
        <f aca="false">IFERROR(IF([2]对账明细接口!$Y539=0,"",[2]对账明细接口!$Y539),"")</f>
        <v/>
      </c>
      <c r="AE538" s="90" t="str">
        <f aca="false">IFERROR(IF([2]对账明细接口!$AA539=0,"",[2]对账明细接口!$AA539),"")</f>
        <v/>
      </c>
      <c r="AF538" s="90" t="str">
        <f aca="false">IFERROR(IF([2]对账明细接口!$AB539=0,"",[2]对账明细接口!$AB539),"")</f>
        <v/>
      </c>
      <c r="AG538" s="90" t="str">
        <f aca="false">IFERROR(IF([2]对账明细接口!$AC539=0,"",[2]对账明细接口!$AC539),"")</f>
        <v/>
      </c>
      <c r="AH538" s="90" t="str">
        <f aca="false">IFERROR(IF([2]对账明细接口!$AD539=0,"",[2]对账明细接口!$AD539),"")</f>
        <v/>
      </c>
    </row>
    <row r="539" customFormat="false" ht="13.5" hidden="false" customHeight="false" outlineLevel="0" collapsed="false">
      <c r="A539" s="109" t="n">
        <v>539</v>
      </c>
      <c r="B539" s="110" t="str">
        <f aca="false">IFERROR(IF([2]对账明细接口!$B$539=0,"",[2]对账明细接口!$B$539),"")</f>
        <v/>
      </c>
      <c r="C539" s="59" t="str">
        <f aca="false">IFERROR(IF([2]对账明细接口!$C$539=0,"",[2]对账明细接口!$C$539),"")</f>
        <v/>
      </c>
      <c r="D539" s="59" t="str">
        <f aca="false">IFERROR(IF([2]对账明细接口!$D$539=0,"",[2]对账明细接口!$D$539),"")</f>
        <v/>
      </c>
      <c r="E539" s="59" t="str">
        <f aca="false">IFERROR(IF([2]对账明细接口!$E$539=0,"",[2]对账明细接口!$E$539),"")</f>
        <v/>
      </c>
      <c r="F539" s="59" t="str">
        <f aca="false">IFERROR(IF([2]对账明细接口!$F$539=0,"",[2]对账明细接口!$F$539),"")</f>
        <v/>
      </c>
      <c r="G539" s="59" t="str">
        <f aca="false">IFERROR(IF([2]对账明细接口!$G$539=0,"",[2]对账明细接口!$G$539),"")</f>
        <v/>
      </c>
      <c r="H539" s="60" t="str">
        <f aca="false">IFERROR(IF([2]对账明细接口!$H$539=0,"",[2]对账明细接口!$H$539),"")</f>
        <v/>
      </c>
      <c r="I539" s="59" t="str">
        <f aca="false">IFERROR(IF([2]对账明细接口!$I$539=0,"",[2]对账明细接口!$I$539),"")</f>
        <v/>
      </c>
      <c r="J539" s="61" t="str">
        <f aca="false">IFERROR(IF([2]对账明细接口!$J$539=0,"",[2]对账明细接口!$J$539),"")</f>
        <v/>
      </c>
      <c r="K539" s="61" t="str">
        <f aca="false">IFERROR(IF([2]对账明细接口!$K$539=0,"",[2]对账明细接口!$K$539),"")</f>
        <v/>
      </c>
      <c r="L539" s="59" t="str">
        <f aca="false">IFERROR(IF([2]对账明细接口!$L$539=0,"",[2]对账明细接口!$L$539),"")</f>
        <v/>
      </c>
      <c r="M539" s="59" t="str">
        <f aca="false">IFERROR(IF([2]对账明细接口!$M$539=0,"",[2]对账明细接口!$M$539),"")</f>
        <v/>
      </c>
      <c r="N539" s="111" t="n">
        <f aca="false">IF($C539="",0,1)</f>
        <v>0</v>
      </c>
      <c r="O539" s="111" t="n">
        <f aca="false">N(O538)+$N539</f>
        <v>311</v>
      </c>
      <c r="S539" s="10" t="str">
        <f aca="false">IFERROR(IF([2]对账明细接口!$N539=0,"",[2]对账明细接口!$N539),"")</f>
        <v/>
      </c>
      <c r="T539" s="112" t="str">
        <f aca="false">IFERROR(IF([2]对账明细接口!$O539=0,"",[2]对账明细接口!$O539),"")</f>
        <v/>
      </c>
      <c r="U539" s="112" t="str">
        <f aca="false">IFERROR(IF([2]对账明细接口!$P539=0,"",[2]对账明细接口!$P539),"")</f>
        <v/>
      </c>
      <c r="V539" s="112" t="str">
        <f aca="false">IFERROR(IF([2]对账明细接口!$Q539=0,"",[2]对账明细接口!$Q539),"")</f>
        <v/>
      </c>
      <c r="W539" s="10" t="str">
        <f aca="false">IFERROR(IF([2]对账明细接口!$R539=0,"",[2]对账明细接口!$R539),"")</f>
        <v/>
      </c>
      <c r="X539" s="10" t="str">
        <f aca="false">IFERROR(IF([2]对账明细接口!$S539=0,"",[2]对账明细接口!$S539),"")</f>
        <v/>
      </c>
      <c r="Y539" s="10" t="str">
        <f aca="false">IFERROR(IF([2]对账明细接口!$T539=0,"",[2]对账明细接口!$T539),"")</f>
        <v/>
      </c>
      <c r="Z539" s="113" t="str">
        <f aca="false">IFERROR(IF([2]对账明细接口!$U539=0,"",[2]对账明细接口!$U539),"")</f>
        <v/>
      </c>
      <c r="AA539" s="113" t="str">
        <f aca="false">IFERROR(IF([2]对账明细接口!$V539=0,"",[2]对账明细接口!$V539),"")</f>
        <v/>
      </c>
      <c r="AB539" s="10" t="str">
        <f aca="false">IFERROR(IF([2]对账明细接口!$W539=0,"",[2]对账明细接口!$W539),"")</f>
        <v/>
      </c>
      <c r="AC539" s="90" t="str">
        <f aca="false">IFERROR(IF([2]对账明细接口!$X540=0,"",[2]对账明细接口!$X540),"")</f>
        <v/>
      </c>
      <c r="AD539" s="90" t="str">
        <f aca="false">IFERROR(IF([2]对账明细接口!$Y540=0,"",[2]对账明细接口!$Y540),"")</f>
        <v/>
      </c>
      <c r="AE539" s="90" t="str">
        <f aca="false">IFERROR(IF([2]对账明细接口!$AA540=0,"",[2]对账明细接口!$AA540),"")</f>
        <v/>
      </c>
      <c r="AF539" s="90" t="str">
        <f aca="false">IFERROR(IF([2]对账明细接口!$AB540=0,"",[2]对账明细接口!$AB540),"")</f>
        <v/>
      </c>
      <c r="AG539" s="90" t="str">
        <f aca="false">IFERROR(IF([2]对账明细接口!$AC540=0,"",[2]对账明细接口!$AC540),"")</f>
        <v/>
      </c>
      <c r="AH539" s="90" t="str">
        <f aca="false">IFERROR(IF([2]对账明细接口!$AD540=0,"",[2]对账明细接口!$AD540),"")</f>
        <v/>
      </c>
    </row>
    <row r="540" customFormat="false" ht="13.5" hidden="false" customHeight="false" outlineLevel="0" collapsed="false">
      <c r="A540" s="109" t="n">
        <v>540</v>
      </c>
      <c r="B540" s="110" t="str">
        <f aca="false">IFERROR(IF([2]对账明细接口!$B$540=0,"",[2]对账明细接口!$B$540),"")</f>
        <v/>
      </c>
      <c r="C540" s="59" t="str">
        <f aca="false">IFERROR(IF([2]对账明细接口!$C$540=0,"",[2]对账明细接口!$C$540),"")</f>
        <v/>
      </c>
      <c r="D540" s="59" t="str">
        <f aca="false">IFERROR(IF([2]对账明细接口!$D$540=0,"",[2]对账明细接口!$D$540),"")</f>
        <v/>
      </c>
      <c r="E540" s="59" t="str">
        <f aca="false">IFERROR(IF([2]对账明细接口!$E$540=0,"",[2]对账明细接口!$E$540),"")</f>
        <v/>
      </c>
      <c r="F540" s="59" t="str">
        <f aca="false">IFERROR(IF([2]对账明细接口!$F$540=0,"",[2]对账明细接口!$F$540),"")</f>
        <v/>
      </c>
      <c r="G540" s="59" t="str">
        <f aca="false">IFERROR(IF([2]对账明细接口!$G$540=0,"",[2]对账明细接口!$G$540),"")</f>
        <v/>
      </c>
      <c r="H540" s="60" t="str">
        <f aca="false">IFERROR(IF([2]对账明细接口!$H$540=0,"",[2]对账明细接口!$H$540),"")</f>
        <v/>
      </c>
      <c r="I540" s="59" t="str">
        <f aca="false">IFERROR(IF([2]对账明细接口!$I$540=0,"",[2]对账明细接口!$I$540),"")</f>
        <v/>
      </c>
      <c r="J540" s="61" t="str">
        <f aca="false">IFERROR(IF([2]对账明细接口!$J$540=0,"",[2]对账明细接口!$J$540),"")</f>
        <v/>
      </c>
      <c r="K540" s="61" t="str">
        <f aca="false">IFERROR(IF([2]对账明细接口!$K$540=0,"",[2]对账明细接口!$K$540),"")</f>
        <v/>
      </c>
      <c r="L540" s="59" t="str">
        <f aca="false">IFERROR(IF([2]对账明细接口!$L$540=0,"",[2]对账明细接口!$L$540),"")</f>
        <v/>
      </c>
      <c r="M540" s="59" t="str">
        <f aca="false">IFERROR(IF([2]对账明细接口!$M$540=0,"",[2]对账明细接口!$M$540),"")</f>
        <v/>
      </c>
      <c r="N540" s="111" t="n">
        <f aca="false">IF($C540="",0,1)</f>
        <v>0</v>
      </c>
      <c r="O540" s="111" t="n">
        <f aca="false">N(O539)+$N540</f>
        <v>311</v>
      </c>
      <c r="S540" s="10" t="str">
        <f aca="false">IFERROR(IF([2]对账明细接口!$N540=0,"",[2]对账明细接口!$N540),"")</f>
        <v/>
      </c>
      <c r="T540" s="112" t="str">
        <f aca="false">IFERROR(IF([2]对账明细接口!$O540=0,"",[2]对账明细接口!$O540),"")</f>
        <v/>
      </c>
      <c r="U540" s="112" t="str">
        <f aca="false">IFERROR(IF([2]对账明细接口!$P540=0,"",[2]对账明细接口!$P540),"")</f>
        <v/>
      </c>
      <c r="V540" s="112" t="str">
        <f aca="false">IFERROR(IF([2]对账明细接口!$Q540=0,"",[2]对账明细接口!$Q540),"")</f>
        <v/>
      </c>
      <c r="W540" s="10" t="str">
        <f aca="false">IFERROR(IF([2]对账明细接口!$R540=0,"",[2]对账明细接口!$R540),"")</f>
        <v/>
      </c>
      <c r="X540" s="10" t="str">
        <f aca="false">IFERROR(IF([2]对账明细接口!$S540=0,"",[2]对账明细接口!$S540),"")</f>
        <v/>
      </c>
      <c r="Y540" s="10" t="str">
        <f aca="false">IFERROR(IF([2]对账明细接口!$T540=0,"",[2]对账明细接口!$T540),"")</f>
        <v/>
      </c>
      <c r="Z540" s="113" t="str">
        <f aca="false">IFERROR(IF([2]对账明细接口!$U540=0,"",[2]对账明细接口!$U540),"")</f>
        <v/>
      </c>
      <c r="AA540" s="113" t="str">
        <f aca="false">IFERROR(IF([2]对账明细接口!$V540=0,"",[2]对账明细接口!$V540),"")</f>
        <v/>
      </c>
      <c r="AB540" s="10" t="str">
        <f aca="false">IFERROR(IF([2]对账明细接口!$W540=0,"",[2]对账明细接口!$W540),"")</f>
        <v/>
      </c>
      <c r="AC540" s="90" t="str">
        <f aca="false">IFERROR(IF([2]对账明细接口!$X541=0,"",[2]对账明细接口!$X541),"")</f>
        <v/>
      </c>
      <c r="AD540" s="90" t="str">
        <f aca="false">IFERROR(IF([2]对账明细接口!$Y541=0,"",[2]对账明细接口!$Y541),"")</f>
        <v/>
      </c>
      <c r="AE540" s="90" t="str">
        <f aca="false">IFERROR(IF([2]对账明细接口!$AA541=0,"",[2]对账明细接口!$AA541),"")</f>
        <v/>
      </c>
      <c r="AF540" s="90" t="str">
        <f aca="false">IFERROR(IF([2]对账明细接口!$AB541=0,"",[2]对账明细接口!$AB541),"")</f>
        <v/>
      </c>
      <c r="AG540" s="90" t="str">
        <f aca="false">IFERROR(IF([2]对账明细接口!$AC541=0,"",[2]对账明细接口!$AC541),"")</f>
        <v/>
      </c>
      <c r="AH540" s="90" t="str">
        <f aca="false">IFERROR(IF([2]对账明细接口!$AD541=0,"",[2]对账明细接口!$AD541),"")</f>
        <v/>
      </c>
    </row>
    <row r="541" customFormat="false" ht="13.5" hidden="false" customHeight="false" outlineLevel="0" collapsed="false">
      <c r="A541" s="109" t="n">
        <v>541</v>
      </c>
      <c r="B541" s="110" t="str">
        <f aca="false">IFERROR(IF([2]对账明细接口!$B$541=0,"",[2]对账明细接口!$B$541),"")</f>
        <v/>
      </c>
      <c r="C541" s="59" t="str">
        <f aca="false">IFERROR(IF([2]对账明细接口!$C$541=0,"",[2]对账明细接口!$C$541),"")</f>
        <v/>
      </c>
      <c r="D541" s="59" t="str">
        <f aca="false">IFERROR(IF([2]对账明细接口!$D$541=0,"",[2]对账明细接口!$D$541),"")</f>
        <v/>
      </c>
      <c r="E541" s="59" t="str">
        <f aca="false">IFERROR(IF([2]对账明细接口!$E$541=0,"",[2]对账明细接口!$E$541),"")</f>
        <v/>
      </c>
      <c r="F541" s="59" t="str">
        <f aca="false">IFERROR(IF([2]对账明细接口!$F$541=0,"",[2]对账明细接口!$F$541),"")</f>
        <v/>
      </c>
      <c r="G541" s="59" t="str">
        <f aca="false">IFERROR(IF([2]对账明细接口!$G$541=0,"",[2]对账明细接口!$G$541),"")</f>
        <v/>
      </c>
      <c r="H541" s="60" t="str">
        <f aca="false">IFERROR(IF([2]对账明细接口!$H$541=0,"",[2]对账明细接口!$H$541),"")</f>
        <v/>
      </c>
      <c r="I541" s="59" t="str">
        <f aca="false">IFERROR(IF([2]对账明细接口!$I$541=0,"",[2]对账明细接口!$I$541),"")</f>
        <v/>
      </c>
      <c r="J541" s="61" t="str">
        <f aca="false">IFERROR(IF([2]对账明细接口!$J$541=0,"",[2]对账明细接口!$J$541),"")</f>
        <v/>
      </c>
      <c r="K541" s="61" t="str">
        <f aca="false">IFERROR(IF([2]对账明细接口!$K$541=0,"",[2]对账明细接口!$K$541),"")</f>
        <v/>
      </c>
      <c r="L541" s="59" t="str">
        <f aca="false">IFERROR(IF([2]对账明细接口!$L$541=0,"",[2]对账明细接口!$L$541),"")</f>
        <v/>
      </c>
      <c r="M541" s="59" t="str">
        <f aca="false">IFERROR(IF([2]对账明细接口!$M$541=0,"",[2]对账明细接口!$M$541),"")</f>
        <v/>
      </c>
      <c r="N541" s="111" t="n">
        <f aca="false">IF($C541="",0,1)</f>
        <v>0</v>
      </c>
      <c r="O541" s="111" t="n">
        <f aca="false">N(O540)+$N541</f>
        <v>311</v>
      </c>
      <c r="S541" s="10" t="str">
        <f aca="false">IFERROR(IF([2]对账明细接口!$N541=0,"",[2]对账明细接口!$N541),"")</f>
        <v/>
      </c>
      <c r="T541" s="112" t="str">
        <f aca="false">IFERROR(IF([2]对账明细接口!$O541=0,"",[2]对账明细接口!$O541),"")</f>
        <v/>
      </c>
      <c r="U541" s="112" t="str">
        <f aca="false">IFERROR(IF([2]对账明细接口!$P541=0,"",[2]对账明细接口!$P541),"")</f>
        <v/>
      </c>
      <c r="V541" s="112" t="str">
        <f aca="false">IFERROR(IF([2]对账明细接口!$Q541=0,"",[2]对账明细接口!$Q541),"")</f>
        <v/>
      </c>
      <c r="W541" s="10" t="str">
        <f aca="false">IFERROR(IF([2]对账明细接口!$R541=0,"",[2]对账明细接口!$R541),"")</f>
        <v/>
      </c>
      <c r="X541" s="10" t="str">
        <f aca="false">IFERROR(IF([2]对账明细接口!$S541=0,"",[2]对账明细接口!$S541),"")</f>
        <v/>
      </c>
      <c r="Y541" s="10" t="str">
        <f aca="false">IFERROR(IF([2]对账明细接口!$T541=0,"",[2]对账明细接口!$T541),"")</f>
        <v/>
      </c>
      <c r="Z541" s="113" t="str">
        <f aca="false">IFERROR(IF([2]对账明细接口!$U541=0,"",[2]对账明细接口!$U541),"")</f>
        <v/>
      </c>
      <c r="AA541" s="113" t="str">
        <f aca="false">IFERROR(IF([2]对账明细接口!$V541=0,"",[2]对账明细接口!$V541),"")</f>
        <v/>
      </c>
      <c r="AB541" s="10" t="str">
        <f aca="false">IFERROR(IF([2]对账明细接口!$W541=0,"",[2]对账明细接口!$W541),"")</f>
        <v/>
      </c>
      <c r="AC541" s="90" t="str">
        <f aca="false">IFERROR(IF([2]对账明细接口!$X542=0,"",[2]对账明细接口!$X542),"")</f>
        <v/>
      </c>
      <c r="AD541" s="90" t="str">
        <f aca="false">IFERROR(IF([2]对账明细接口!$Y542=0,"",[2]对账明细接口!$Y542),"")</f>
        <v/>
      </c>
      <c r="AE541" s="90" t="str">
        <f aca="false">IFERROR(IF([2]对账明细接口!$AA542=0,"",[2]对账明细接口!$AA542),"")</f>
        <v/>
      </c>
      <c r="AF541" s="90" t="str">
        <f aca="false">IFERROR(IF([2]对账明细接口!$AB542=0,"",[2]对账明细接口!$AB542),"")</f>
        <v/>
      </c>
      <c r="AG541" s="90" t="str">
        <f aca="false">IFERROR(IF([2]对账明细接口!$AC542=0,"",[2]对账明细接口!$AC542),"")</f>
        <v/>
      </c>
      <c r="AH541" s="90" t="str">
        <f aca="false">IFERROR(IF([2]对账明细接口!$AD542=0,"",[2]对账明细接口!$AD542),"")</f>
        <v/>
      </c>
    </row>
    <row r="542" customFormat="false" ht="13.5" hidden="false" customHeight="false" outlineLevel="0" collapsed="false">
      <c r="A542" s="109" t="n">
        <v>542</v>
      </c>
      <c r="B542" s="110" t="str">
        <f aca="false">IFERROR(IF([2]对账明细接口!$B$542=0,"",[2]对账明细接口!$B$542),"")</f>
        <v/>
      </c>
      <c r="C542" s="59" t="str">
        <f aca="false">IFERROR(IF([2]对账明细接口!$C$542=0,"",[2]对账明细接口!$C$542),"")</f>
        <v/>
      </c>
      <c r="D542" s="59" t="str">
        <f aca="false">IFERROR(IF([2]对账明细接口!$D$542=0,"",[2]对账明细接口!$D$542),"")</f>
        <v/>
      </c>
      <c r="E542" s="59" t="str">
        <f aca="false">IFERROR(IF([2]对账明细接口!$E$542=0,"",[2]对账明细接口!$E$542),"")</f>
        <v/>
      </c>
      <c r="F542" s="59" t="str">
        <f aca="false">IFERROR(IF([2]对账明细接口!$F$542=0,"",[2]对账明细接口!$F$542),"")</f>
        <v/>
      </c>
      <c r="G542" s="59" t="str">
        <f aca="false">IFERROR(IF([2]对账明细接口!$G$542=0,"",[2]对账明细接口!$G$542),"")</f>
        <v/>
      </c>
      <c r="H542" s="60" t="str">
        <f aca="false">IFERROR(IF([2]对账明细接口!$H$542=0,"",[2]对账明细接口!$H$542),"")</f>
        <v/>
      </c>
      <c r="I542" s="59" t="str">
        <f aca="false">IFERROR(IF([2]对账明细接口!$I$542=0,"",[2]对账明细接口!$I$542),"")</f>
        <v/>
      </c>
      <c r="J542" s="61" t="str">
        <f aca="false">IFERROR(IF([2]对账明细接口!$J$542=0,"",[2]对账明细接口!$J$542),"")</f>
        <v/>
      </c>
      <c r="K542" s="61" t="str">
        <f aca="false">IFERROR(IF([2]对账明细接口!$K$542=0,"",[2]对账明细接口!$K$542),"")</f>
        <v/>
      </c>
      <c r="L542" s="59" t="str">
        <f aca="false">IFERROR(IF([2]对账明细接口!$L$542=0,"",[2]对账明细接口!$L$542),"")</f>
        <v/>
      </c>
      <c r="M542" s="59" t="str">
        <f aca="false">IFERROR(IF([2]对账明细接口!$M$542=0,"",[2]对账明细接口!$M$542),"")</f>
        <v/>
      </c>
      <c r="N542" s="111" t="n">
        <f aca="false">IF($C542="",0,1)</f>
        <v>0</v>
      </c>
      <c r="O542" s="111" t="n">
        <f aca="false">N(O541)+$N542</f>
        <v>311</v>
      </c>
      <c r="S542" s="10" t="str">
        <f aca="false">IFERROR(IF([2]对账明细接口!$N542=0,"",[2]对账明细接口!$N542),"")</f>
        <v/>
      </c>
      <c r="T542" s="112" t="str">
        <f aca="false">IFERROR(IF([2]对账明细接口!$O542=0,"",[2]对账明细接口!$O542),"")</f>
        <v/>
      </c>
      <c r="U542" s="112" t="str">
        <f aca="false">IFERROR(IF([2]对账明细接口!$P542=0,"",[2]对账明细接口!$P542),"")</f>
        <v/>
      </c>
      <c r="V542" s="112" t="str">
        <f aca="false">IFERROR(IF([2]对账明细接口!$Q542=0,"",[2]对账明细接口!$Q542),"")</f>
        <v/>
      </c>
      <c r="W542" s="10" t="str">
        <f aca="false">IFERROR(IF([2]对账明细接口!$R542=0,"",[2]对账明细接口!$R542),"")</f>
        <v/>
      </c>
      <c r="X542" s="10" t="str">
        <f aca="false">IFERROR(IF([2]对账明细接口!$S542=0,"",[2]对账明细接口!$S542),"")</f>
        <v/>
      </c>
      <c r="Y542" s="10" t="str">
        <f aca="false">IFERROR(IF([2]对账明细接口!$T542=0,"",[2]对账明细接口!$T542),"")</f>
        <v/>
      </c>
      <c r="Z542" s="113" t="str">
        <f aca="false">IFERROR(IF([2]对账明细接口!$U542=0,"",[2]对账明细接口!$U542),"")</f>
        <v/>
      </c>
      <c r="AA542" s="113" t="str">
        <f aca="false">IFERROR(IF([2]对账明细接口!$V542=0,"",[2]对账明细接口!$V542),"")</f>
        <v/>
      </c>
      <c r="AB542" s="10" t="str">
        <f aca="false">IFERROR(IF([2]对账明细接口!$W542=0,"",[2]对账明细接口!$W542),"")</f>
        <v/>
      </c>
      <c r="AC542" s="90" t="str">
        <f aca="false">IFERROR(IF([2]对账明细接口!$X543=0,"",[2]对账明细接口!$X543),"")</f>
        <v/>
      </c>
      <c r="AD542" s="90" t="str">
        <f aca="false">IFERROR(IF([2]对账明细接口!$Y543=0,"",[2]对账明细接口!$Y543),"")</f>
        <v/>
      </c>
      <c r="AE542" s="90" t="str">
        <f aca="false">IFERROR(IF([2]对账明细接口!$AA543=0,"",[2]对账明细接口!$AA543),"")</f>
        <v/>
      </c>
      <c r="AF542" s="90" t="str">
        <f aca="false">IFERROR(IF([2]对账明细接口!$AB543=0,"",[2]对账明细接口!$AB543),"")</f>
        <v/>
      </c>
      <c r="AG542" s="90" t="str">
        <f aca="false">IFERROR(IF([2]对账明细接口!$AC543=0,"",[2]对账明细接口!$AC543),"")</f>
        <v/>
      </c>
      <c r="AH542" s="90" t="str">
        <f aca="false">IFERROR(IF([2]对账明细接口!$AD543=0,"",[2]对账明细接口!$AD543),"")</f>
        <v/>
      </c>
    </row>
    <row r="543" customFormat="false" ht="13.5" hidden="false" customHeight="false" outlineLevel="0" collapsed="false">
      <c r="A543" s="109" t="n">
        <v>543</v>
      </c>
      <c r="B543" s="110" t="str">
        <f aca="false">IFERROR(IF([2]对账明细接口!$B$543=0,"",[2]对账明细接口!$B$543),"")</f>
        <v/>
      </c>
      <c r="C543" s="59" t="str">
        <f aca="false">IFERROR(IF([2]对账明细接口!$C$543=0,"",[2]对账明细接口!$C$543),"")</f>
        <v/>
      </c>
      <c r="D543" s="59" t="str">
        <f aca="false">IFERROR(IF([2]对账明细接口!$D$543=0,"",[2]对账明细接口!$D$543),"")</f>
        <v/>
      </c>
      <c r="E543" s="59" t="str">
        <f aca="false">IFERROR(IF([2]对账明细接口!$E$543=0,"",[2]对账明细接口!$E$543),"")</f>
        <v/>
      </c>
      <c r="F543" s="59" t="str">
        <f aca="false">IFERROR(IF([2]对账明细接口!$F$543=0,"",[2]对账明细接口!$F$543),"")</f>
        <v/>
      </c>
      <c r="G543" s="59" t="str">
        <f aca="false">IFERROR(IF([2]对账明细接口!$G$543=0,"",[2]对账明细接口!$G$543),"")</f>
        <v/>
      </c>
      <c r="H543" s="60" t="str">
        <f aca="false">IFERROR(IF([2]对账明细接口!$H$543=0,"",[2]对账明细接口!$H$543),"")</f>
        <v/>
      </c>
      <c r="I543" s="59" t="str">
        <f aca="false">IFERROR(IF([2]对账明细接口!$I$543=0,"",[2]对账明细接口!$I$543),"")</f>
        <v/>
      </c>
      <c r="J543" s="61" t="str">
        <f aca="false">IFERROR(IF([2]对账明细接口!$J$543=0,"",[2]对账明细接口!$J$543),"")</f>
        <v/>
      </c>
      <c r="K543" s="61" t="str">
        <f aca="false">IFERROR(IF([2]对账明细接口!$K$543=0,"",[2]对账明细接口!$K$543),"")</f>
        <v/>
      </c>
      <c r="L543" s="59" t="str">
        <f aca="false">IFERROR(IF([2]对账明细接口!$L$543=0,"",[2]对账明细接口!$L$543),"")</f>
        <v/>
      </c>
      <c r="M543" s="59" t="str">
        <f aca="false">IFERROR(IF([2]对账明细接口!$M$543=0,"",[2]对账明细接口!$M$543),"")</f>
        <v/>
      </c>
      <c r="N543" s="111" t="n">
        <f aca="false">IF($C543="",0,1)</f>
        <v>0</v>
      </c>
      <c r="O543" s="111" t="n">
        <f aca="false">N(O542)+$N543</f>
        <v>311</v>
      </c>
      <c r="S543" s="10" t="str">
        <f aca="false">IFERROR(IF([2]对账明细接口!$N543=0,"",[2]对账明细接口!$N543),"")</f>
        <v/>
      </c>
      <c r="T543" s="112" t="str">
        <f aca="false">IFERROR(IF([2]对账明细接口!$O543=0,"",[2]对账明细接口!$O543),"")</f>
        <v/>
      </c>
      <c r="U543" s="112" t="str">
        <f aca="false">IFERROR(IF([2]对账明细接口!$P543=0,"",[2]对账明细接口!$P543),"")</f>
        <v/>
      </c>
      <c r="V543" s="112" t="str">
        <f aca="false">IFERROR(IF([2]对账明细接口!$Q543=0,"",[2]对账明细接口!$Q543),"")</f>
        <v/>
      </c>
      <c r="W543" s="10" t="str">
        <f aca="false">IFERROR(IF([2]对账明细接口!$R543=0,"",[2]对账明细接口!$R543),"")</f>
        <v/>
      </c>
      <c r="X543" s="10" t="str">
        <f aca="false">IFERROR(IF([2]对账明细接口!$S543=0,"",[2]对账明细接口!$S543),"")</f>
        <v/>
      </c>
      <c r="Y543" s="10" t="str">
        <f aca="false">IFERROR(IF([2]对账明细接口!$T543=0,"",[2]对账明细接口!$T543),"")</f>
        <v/>
      </c>
      <c r="Z543" s="113" t="str">
        <f aca="false">IFERROR(IF([2]对账明细接口!$U543=0,"",[2]对账明细接口!$U543),"")</f>
        <v/>
      </c>
      <c r="AA543" s="113" t="str">
        <f aca="false">IFERROR(IF([2]对账明细接口!$V543=0,"",[2]对账明细接口!$V543),"")</f>
        <v/>
      </c>
      <c r="AB543" s="10" t="str">
        <f aca="false">IFERROR(IF([2]对账明细接口!$W543=0,"",[2]对账明细接口!$W543),"")</f>
        <v/>
      </c>
      <c r="AC543" s="90" t="str">
        <f aca="false">IFERROR(IF([2]对账明细接口!$X544=0,"",[2]对账明细接口!$X544),"")</f>
        <v/>
      </c>
      <c r="AD543" s="90" t="str">
        <f aca="false">IFERROR(IF([2]对账明细接口!$Y544=0,"",[2]对账明细接口!$Y544),"")</f>
        <v/>
      </c>
      <c r="AE543" s="90" t="str">
        <f aca="false">IFERROR(IF([2]对账明细接口!$AA544=0,"",[2]对账明细接口!$AA544),"")</f>
        <v/>
      </c>
      <c r="AF543" s="90" t="str">
        <f aca="false">IFERROR(IF([2]对账明细接口!$AB544=0,"",[2]对账明细接口!$AB544),"")</f>
        <v/>
      </c>
      <c r="AG543" s="90" t="str">
        <f aca="false">IFERROR(IF([2]对账明细接口!$AC544=0,"",[2]对账明细接口!$AC544),"")</f>
        <v/>
      </c>
      <c r="AH543" s="90" t="str">
        <f aca="false">IFERROR(IF([2]对账明细接口!$AD544=0,"",[2]对账明细接口!$AD544),"")</f>
        <v/>
      </c>
    </row>
    <row r="544" customFormat="false" ht="13.5" hidden="false" customHeight="false" outlineLevel="0" collapsed="false">
      <c r="A544" s="109" t="n">
        <v>544</v>
      </c>
      <c r="B544" s="110" t="str">
        <f aca="false">IFERROR(IF([2]对账明细接口!$B$544=0,"",[2]对账明细接口!$B$544),"")</f>
        <v/>
      </c>
      <c r="C544" s="59" t="str">
        <f aca="false">IFERROR(IF([2]对账明细接口!$C$544=0,"",[2]对账明细接口!$C$544),"")</f>
        <v/>
      </c>
      <c r="D544" s="59" t="str">
        <f aca="false">IFERROR(IF([2]对账明细接口!$D$544=0,"",[2]对账明细接口!$D$544),"")</f>
        <v/>
      </c>
      <c r="E544" s="59" t="str">
        <f aca="false">IFERROR(IF([2]对账明细接口!$E$544=0,"",[2]对账明细接口!$E$544),"")</f>
        <v/>
      </c>
      <c r="F544" s="59" t="str">
        <f aca="false">IFERROR(IF([2]对账明细接口!$F$544=0,"",[2]对账明细接口!$F$544),"")</f>
        <v/>
      </c>
      <c r="G544" s="59" t="str">
        <f aca="false">IFERROR(IF([2]对账明细接口!$G$544=0,"",[2]对账明细接口!$G$544),"")</f>
        <v/>
      </c>
      <c r="H544" s="60" t="str">
        <f aca="false">IFERROR(IF([2]对账明细接口!$H$544=0,"",[2]对账明细接口!$H$544),"")</f>
        <v/>
      </c>
      <c r="I544" s="59" t="str">
        <f aca="false">IFERROR(IF([2]对账明细接口!$I$544=0,"",[2]对账明细接口!$I$544),"")</f>
        <v/>
      </c>
      <c r="J544" s="61" t="str">
        <f aca="false">IFERROR(IF([2]对账明细接口!$J$544=0,"",[2]对账明细接口!$J$544),"")</f>
        <v/>
      </c>
      <c r="K544" s="61" t="str">
        <f aca="false">IFERROR(IF([2]对账明细接口!$K$544=0,"",[2]对账明细接口!$K$544),"")</f>
        <v/>
      </c>
      <c r="L544" s="59" t="str">
        <f aca="false">IFERROR(IF([2]对账明细接口!$L$544=0,"",[2]对账明细接口!$L$544),"")</f>
        <v/>
      </c>
      <c r="M544" s="59" t="str">
        <f aca="false">IFERROR(IF([2]对账明细接口!$M$544=0,"",[2]对账明细接口!$M$544),"")</f>
        <v/>
      </c>
      <c r="N544" s="111" t="n">
        <f aca="false">IF($C544="",0,1)</f>
        <v>0</v>
      </c>
      <c r="O544" s="111" t="n">
        <f aca="false">N(O543)+$N544</f>
        <v>311</v>
      </c>
      <c r="S544" s="10" t="str">
        <f aca="false">IFERROR(IF([2]对账明细接口!$N544=0,"",[2]对账明细接口!$N544),"")</f>
        <v/>
      </c>
      <c r="T544" s="112" t="str">
        <f aca="false">IFERROR(IF([2]对账明细接口!$O544=0,"",[2]对账明细接口!$O544),"")</f>
        <v/>
      </c>
      <c r="U544" s="112" t="str">
        <f aca="false">IFERROR(IF([2]对账明细接口!$P544=0,"",[2]对账明细接口!$P544),"")</f>
        <v/>
      </c>
      <c r="V544" s="112" t="str">
        <f aca="false">IFERROR(IF([2]对账明细接口!$Q544=0,"",[2]对账明细接口!$Q544),"")</f>
        <v/>
      </c>
      <c r="W544" s="10" t="str">
        <f aca="false">IFERROR(IF([2]对账明细接口!$R544=0,"",[2]对账明细接口!$R544),"")</f>
        <v/>
      </c>
      <c r="X544" s="10" t="str">
        <f aca="false">IFERROR(IF([2]对账明细接口!$S544=0,"",[2]对账明细接口!$S544),"")</f>
        <v/>
      </c>
      <c r="Y544" s="10" t="str">
        <f aca="false">IFERROR(IF([2]对账明细接口!$T544=0,"",[2]对账明细接口!$T544),"")</f>
        <v/>
      </c>
      <c r="Z544" s="113" t="str">
        <f aca="false">IFERROR(IF([2]对账明细接口!$U544=0,"",[2]对账明细接口!$U544),"")</f>
        <v/>
      </c>
      <c r="AA544" s="113" t="str">
        <f aca="false">IFERROR(IF([2]对账明细接口!$V544=0,"",[2]对账明细接口!$V544),"")</f>
        <v/>
      </c>
      <c r="AB544" s="10" t="str">
        <f aca="false">IFERROR(IF([2]对账明细接口!$W544=0,"",[2]对账明细接口!$W544),"")</f>
        <v/>
      </c>
      <c r="AC544" s="90" t="str">
        <f aca="false">IFERROR(IF([2]对账明细接口!$X545=0,"",[2]对账明细接口!$X545),"")</f>
        <v/>
      </c>
      <c r="AD544" s="90" t="str">
        <f aca="false">IFERROR(IF([2]对账明细接口!$Y545=0,"",[2]对账明细接口!$Y545),"")</f>
        <v/>
      </c>
      <c r="AE544" s="90" t="str">
        <f aca="false">IFERROR(IF([2]对账明细接口!$AA545=0,"",[2]对账明细接口!$AA545),"")</f>
        <v/>
      </c>
      <c r="AF544" s="90" t="str">
        <f aca="false">IFERROR(IF([2]对账明细接口!$AB545=0,"",[2]对账明细接口!$AB545),"")</f>
        <v/>
      </c>
      <c r="AG544" s="90" t="str">
        <f aca="false">IFERROR(IF([2]对账明细接口!$AC545=0,"",[2]对账明细接口!$AC545),"")</f>
        <v/>
      </c>
      <c r="AH544" s="90" t="str">
        <f aca="false">IFERROR(IF([2]对账明细接口!$AD545=0,"",[2]对账明细接口!$AD545),"")</f>
        <v/>
      </c>
    </row>
    <row r="545" customFormat="false" ht="13.5" hidden="false" customHeight="false" outlineLevel="0" collapsed="false">
      <c r="A545" s="109" t="n">
        <v>545</v>
      </c>
      <c r="B545" s="110" t="str">
        <f aca="false">IFERROR(IF([2]对账明细接口!$B$545=0,"",[2]对账明细接口!$B$545),"")</f>
        <v/>
      </c>
      <c r="C545" s="59" t="str">
        <f aca="false">IFERROR(IF([2]对账明细接口!$C$545=0,"",[2]对账明细接口!$C$545),"")</f>
        <v/>
      </c>
      <c r="D545" s="59" t="str">
        <f aca="false">IFERROR(IF([2]对账明细接口!$D$545=0,"",[2]对账明细接口!$D$545),"")</f>
        <v/>
      </c>
      <c r="E545" s="59" t="str">
        <f aca="false">IFERROR(IF([2]对账明细接口!$E$545=0,"",[2]对账明细接口!$E$545),"")</f>
        <v/>
      </c>
      <c r="F545" s="59" t="str">
        <f aca="false">IFERROR(IF([2]对账明细接口!$F$545=0,"",[2]对账明细接口!$F$545),"")</f>
        <v/>
      </c>
      <c r="G545" s="59" t="str">
        <f aca="false">IFERROR(IF([2]对账明细接口!$G$545=0,"",[2]对账明细接口!$G$545),"")</f>
        <v/>
      </c>
      <c r="H545" s="60" t="str">
        <f aca="false">IFERROR(IF([2]对账明细接口!$H$545=0,"",[2]对账明细接口!$H$545),"")</f>
        <v/>
      </c>
      <c r="I545" s="59" t="str">
        <f aca="false">IFERROR(IF([2]对账明细接口!$I$545=0,"",[2]对账明细接口!$I$545),"")</f>
        <v/>
      </c>
      <c r="J545" s="61" t="str">
        <f aca="false">IFERROR(IF([2]对账明细接口!$J$545=0,"",[2]对账明细接口!$J$545),"")</f>
        <v/>
      </c>
      <c r="K545" s="61" t="str">
        <f aca="false">IFERROR(IF([2]对账明细接口!$K$545=0,"",[2]对账明细接口!$K$545),"")</f>
        <v/>
      </c>
      <c r="L545" s="59" t="str">
        <f aca="false">IFERROR(IF([2]对账明细接口!$L$545=0,"",[2]对账明细接口!$L$545),"")</f>
        <v/>
      </c>
      <c r="M545" s="59" t="str">
        <f aca="false">IFERROR(IF([2]对账明细接口!$M$545=0,"",[2]对账明细接口!$M$545),"")</f>
        <v/>
      </c>
      <c r="N545" s="111" t="n">
        <f aca="false">IF($C545="",0,1)</f>
        <v>0</v>
      </c>
      <c r="O545" s="111" t="n">
        <f aca="false">N(O544)+$N545</f>
        <v>311</v>
      </c>
      <c r="S545" s="10" t="str">
        <f aca="false">IFERROR(IF([2]对账明细接口!$N545=0,"",[2]对账明细接口!$N545),"")</f>
        <v/>
      </c>
      <c r="T545" s="112" t="str">
        <f aca="false">IFERROR(IF([2]对账明细接口!$O545=0,"",[2]对账明细接口!$O545),"")</f>
        <v/>
      </c>
      <c r="U545" s="112" t="str">
        <f aca="false">IFERROR(IF([2]对账明细接口!$P545=0,"",[2]对账明细接口!$P545),"")</f>
        <v/>
      </c>
      <c r="V545" s="112" t="str">
        <f aca="false">IFERROR(IF([2]对账明细接口!$Q545=0,"",[2]对账明细接口!$Q545),"")</f>
        <v/>
      </c>
      <c r="W545" s="10" t="str">
        <f aca="false">IFERROR(IF([2]对账明细接口!$R545=0,"",[2]对账明细接口!$R545),"")</f>
        <v/>
      </c>
      <c r="X545" s="10" t="str">
        <f aca="false">IFERROR(IF([2]对账明细接口!$S545=0,"",[2]对账明细接口!$S545),"")</f>
        <v/>
      </c>
      <c r="Y545" s="10" t="str">
        <f aca="false">IFERROR(IF([2]对账明细接口!$T545=0,"",[2]对账明细接口!$T545),"")</f>
        <v/>
      </c>
      <c r="Z545" s="113" t="str">
        <f aca="false">IFERROR(IF([2]对账明细接口!$U545=0,"",[2]对账明细接口!$U545),"")</f>
        <v/>
      </c>
      <c r="AA545" s="113" t="str">
        <f aca="false">IFERROR(IF([2]对账明细接口!$V545=0,"",[2]对账明细接口!$V545),"")</f>
        <v/>
      </c>
      <c r="AB545" s="10" t="str">
        <f aca="false">IFERROR(IF([2]对账明细接口!$W545=0,"",[2]对账明细接口!$W545),"")</f>
        <v/>
      </c>
      <c r="AC545" s="90" t="str">
        <f aca="false">IFERROR(IF([2]对账明细接口!$X546=0,"",[2]对账明细接口!$X546),"")</f>
        <v/>
      </c>
      <c r="AD545" s="90" t="str">
        <f aca="false">IFERROR(IF([2]对账明细接口!$Y546=0,"",[2]对账明细接口!$Y546),"")</f>
        <v/>
      </c>
      <c r="AE545" s="90" t="str">
        <f aca="false">IFERROR(IF([2]对账明细接口!$AA546=0,"",[2]对账明细接口!$AA546),"")</f>
        <v/>
      </c>
      <c r="AF545" s="90" t="str">
        <f aca="false">IFERROR(IF([2]对账明细接口!$AB546=0,"",[2]对账明细接口!$AB546),"")</f>
        <v/>
      </c>
      <c r="AG545" s="90" t="str">
        <f aca="false">IFERROR(IF([2]对账明细接口!$AC546=0,"",[2]对账明细接口!$AC546),"")</f>
        <v/>
      </c>
      <c r="AH545" s="90" t="str">
        <f aca="false">IFERROR(IF([2]对账明细接口!$AD546=0,"",[2]对账明细接口!$AD546),"")</f>
        <v/>
      </c>
    </row>
    <row r="546" customFormat="false" ht="13.5" hidden="false" customHeight="false" outlineLevel="0" collapsed="false">
      <c r="A546" s="109" t="n">
        <v>546</v>
      </c>
      <c r="B546" s="110" t="str">
        <f aca="false">IFERROR(IF([2]对账明细接口!$B$546=0,"",[2]对账明细接口!$B$546),"")</f>
        <v/>
      </c>
      <c r="C546" s="59" t="str">
        <f aca="false">IFERROR(IF([2]对账明细接口!$C$546=0,"",[2]对账明细接口!$C$546),"")</f>
        <v/>
      </c>
      <c r="D546" s="59" t="str">
        <f aca="false">IFERROR(IF([2]对账明细接口!$D$546=0,"",[2]对账明细接口!$D$546),"")</f>
        <v/>
      </c>
      <c r="E546" s="59" t="str">
        <f aca="false">IFERROR(IF([2]对账明细接口!$E$546=0,"",[2]对账明细接口!$E$546),"")</f>
        <v/>
      </c>
      <c r="F546" s="59" t="str">
        <f aca="false">IFERROR(IF([2]对账明细接口!$F$546=0,"",[2]对账明细接口!$F$546),"")</f>
        <v/>
      </c>
      <c r="G546" s="59" t="str">
        <f aca="false">IFERROR(IF([2]对账明细接口!$G$546=0,"",[2]对账明细接口!$G$546),"")</f>
        <v/>
      </c>
      <c r="H546" s="60" t="str">
        <f aca="false">IFERROR(IF([2]对账明细接口!$H$546=0,"",[2]对账明细接口!$H$546),"")</f>
        <v/>
      </c>
      <c r="I546" s="59" t="str">
        <f aca="false">IFERROR(IF([2]对账明细接口!$I$546=0,"",[2]对账明细接口!$I$546),"")</f>
        <v/>
      </c>
      <c r="J546" s="61" t="str">
        <f aca="false">IFERROR(IF([2]对账明细接口!$J$546=0,"",[2]对账明细接口!$J$546),"")</f>
        <v/>
      </c>
      <c r="K546" s="61" t="str">
        <f aca="false">IFERROR(IF([2]对账明细接口!$K$546=0,"",[2]对账明细接口!$K$546),"")</f>
        <v/>
      </c>
      <c r="L546" s="59" t="str">
        <f aca="false">IFERROR(IF([2]对账明细接口!$L$546=0,"",[2]对账明细接口!$L$546),"")</f>
        <v/>
      </c>
      <c r="M546" s="59" t="str">
        <f aca="false">IFERROR(IF([2]对账明细接口!$M$546=0,"",[2]对账明细接口!$M$546),"")</f>
        <v/>
      </c>
      <c r="N546" s="111" t="n">
        <f aca="false">IF($C546="",0,1)</f>
        <v>0</v>
      </c>
      <c r="O546" s="111" t="n">
        <f aca="false">N(O545)+$N546</f>
        <v>311</v>
      </c>
      <c r="S546" s="10" t="str">
        <f aca="false">IFERROR(IF([2]对账明细接口!$N546=0,"",[2]对账明细接口!$N546),"")</f>
        <v/>
      </c>
      <c r="T546" s="112" t="str">
        <f aca="false">IFERROR(IF([2]对账明细接口!$O546=0,"",[2]对账明细接口!$O546),"")</f>
        <v/>
      </c>
      <c r="U546" s="112" t="str">
        <f aca="false">IFERROR(IF([2]对账明细接口!$P546=0,"",[2]对账明细接口!$P546),"")</f>
        <v/>
      </c>
      <c r="V546" s="112" t="str">
        <f aca="false">IFERROR(IF([2]对账明细接口!$Q546=0,"",[2]对账明细接口!$Q546),"")</f>
        <v/>
      </c>
      <c r="W546" s="10" t="str">
        <f aca="false">IFERROR(IF([2]对账明细接口!$R546=0,"",[2]对账明细接口!$R546),"")</f>
        <v/>
      </c>
      <c r="X546" s="10" t="str">
        <f aca="false">IFERROR(IF([2]对账明细接口!$S546=0,"",[2]对账明细接口!$S546),"")</f>
        <v/>
      </c>
      <c r="Y546" s="10" t="str">
        <f aca="false">IFERROR(IF([2]对账明细接口!$T546=0,"",[2]对账明细接口!$T546),"")</f>
        <v/>
      </c>
      <c r="Z546" s="113" t="str">
        <f aca="false">IFERROR(IF([2]对账明细接口!$U546=0,"",[2]对账明细接口!$U546),"")</f>
        <v/>
      </c>
      <c r="AA546" s="113" t="str">
        <f aca="false">IFERROR(IF([2]对账明细接口!$V546=0,"",[2]对账明细接口!$V546),"")</f>
        <v/>
      </c>
      <c r="AB546" s="10" t="str">
        <f aca="false">IFERROR(IF([2]对账明细接口!$W546=0,"",[2]对账明细接口!$W546),"")</f>
        <v/>
      </c>
      <c r="AC546" s="90" t="str">
        <f aca="false">IFERROR(IF([2]对账明细接口!$X547=0,"",[2]对账明细接口!$X547),"")</f>
        <v/>
      </c>
      <c r="AD546" s="90" t="str">
        <f aca="false">IFERROR(IF([2]对账明细接口!$Y547=0,"",[2]对账明细接口!$Y547),"")</f>
        <v/>
      </c>
      <c r="AE546" s="90" t="str">
        <f aca="false">IFERROR(IF([2]对账明细接口!$AA547=0,"",[2]对账明细接口!$AA547),"")</f>
        <v/>
      </c>
      <c r="AF546" s="90" t="str">
        <f aca="false">IFERROR(IF([2]对账明细接口!$AB547=0,"",[2]对账明细接口!$AB547),"")</f>
        <v/>
      </c>
      <c r="AG546" s="90" t="str">
        <f aca="false">IFERROR(IF([2]对账明细接口!$AC547=0,"",[2]对账明细接口!$AC547),"")</f>
        <v/>
      </c>
      <c r="AH546" s="90" t="str">
        <f aca="false">IFERROR(IF([2]对账明细接口!$AD547=0,"",[2]对账明细接口!$AD547),"")</f>
        <v/>
      </c>
    </row>
    <row r="547" customFormat="false" ht="13.5" hidden="false" customHeight="false" outlineLevel="0" collapsed="false">
      <c r="A547" s="109" t="n">
        <v>547</v>
      </c>
      <c r="B547" s="110" t="str">
        <f aca="false">IFERROR(IF([2]对账明细接口!$B$547=0,"",[2]对账明细接口!$B$547),"")</f>
        <v/>
      </c>
      <c r="C547" s="59" t="str">
        <f aca="false">IFERROR(IF([2]对账明细接口!$C$547=0,"",[2]对账明细接口!$C$547),"")</f>
        <v/>
      </c>
      <c r="D547" s="59" t="str">
        <f aca="false">IFERROR(IF([2]对账明细接口!$D$547=0,"",[2]对账明细接口!$D$547),"")</f>
        <v/>
      </c>
      <c r="E547" s="59" t="str">
        <f aca="false">IFERROR(IF([2]对账明细接口!$E$547=0,"",[2]对账明细接口!$E$547),"")</f>
        <v/>
      </c>
      <c r="F547" s="59" t="str">
        <f aca="false">IFERROR(IF([2]对账明细接口!$F$547=0,"",[2]对账明细接口!$F$547),"")</f>
        <v/>
      </c>
      <c r="G547" s="59" t="str">
        <f aca="false">IFERROR(IF([2]对账明细接口!$G$547=0,"",[2]对账明细接口!$G$547),"")</f>
        <v/>
      </c>
      <c r="H547" s="60" t="str">
        <f aca="false">IFERROR(IF([2]对账明细接口!$H$547=0,"",[2]对账明细接口!$H$547),"")</f>
        <v/>
      </c>
      <c r="I547" s="59" t="str">
        <f aca="false">IFERROR(IF([2]对账明细接口!$I$547=0,"",[2]对账明细接口!$I$547),"")</f>
        <v/>
      </c>
      <c r="J547" s="61" t="str">
        <f aca="false">IFERROR(IF([2]对账明细接口!$J$547=0,"",[2]对账明细接口!$J$547),"")</f>
        <v/>
      </c>
      <c r="K547" s="61" t="str">
        <f aca="false">IFERROR(IF([2]对账明细接口!$K$547=0,"",[2]对账明细接口!$K$547),"")</f>
        <v/>
      </c>
      <c r="L547" s="59" t="str">
        <f aca="false">IFERROR(IF([2]对账明细接口!$L$547=0,"",[2]对账明细接口!$L$547),"")</f>
        <v/>
      </c>
      <c r="M547" s="59" t="str">
        <f aca="false">IFERROR(IF([2]对账明细接口!$M$547=0,"",[2]对账明细接口!$M$547),"")</f>
        <v/>
      </c>
      <c r="N547" s="111" t="n">
        <f aca="false">IF($C547="",0,1)</f>
        <v>0</v>
      </c>
      <c r="O547" s="111" t="n">
        <f aca="false">N(O546)+$N547</f>
        <v>311</v>
      </c>
      <c r="S547" s="10" t="str">
        <f aca="false">IFERROR(IF([2]对账明细接口!$N547=0,"",[2]对账明细接口!$N547),"")</f>
        <v/>
      </c>
      <c r="T547" s="112" t="str">
        <f aca="false">IFERROR(IF([2]对账明细接口!$O547=0,"",[2]对账明细接口!$O547),"")</f>
        <v/>
      </c>
      <c r="U547" s="112" t="str">
        <f aca="false">IFERROR(IF([2]对账明细接口!$P547=0,"",[2]对账明细接口!$P547),"")</f>
        <v/>
      </c>
      <c r="V547" s="112" t="str">
        <f aca="false">IFERROR(IF([2]对账明细接口!$Q547=0,"",[2]对账明细接口!$Q547),"")</f>
        <v/>
      </c>
      <c r="W547" s="10" t="str">
        <f aca="false">IFERROR(IF([2]对账明细接口!$R547=0,"",[2]对账明细接口!$R547),"")</f>
        <v/>
      </c>
      <c r="X547" s="10" t="str">
        <f aca="false">IFERROR(IF([2]对账明细接口!$S547=0,"",[2]对账明细接口!$S547),"")</f>
        <v/>
      </c>
      <c r="Y547" s="10" t="str">
        <f aca="false">IFERROR(IF([2]对账明细接口!$T547=0,"",[2]对账明细接口!$T547),"")</f>
        <v/>
      </c>
      <c r="Z547" s="113" t="str">
        <f aca="false">IFERROR(IF([2]对账明细接口!$U547=0,"",[2]对账明细接口!$U547),"")</f>
        <v/>
      </c>
      <c r="AA547" s="113" t="str">
        <f aca="false">IFERROR(IF([2]对账明细接口!$V547=0,"",[2]对账明细接口!$V547),"")</f>
        <v/>
      </c>
      <c r="AB547" s="10" t="str">
        <f aca="false">IFERROR(IF([2]对账明细接口!$W547=0,"",[2]对账明细接口!$W547),"")</f>
        <v/>
      </c>
      <c r="AC547" s="90" t="str">
        <f aca="false">IFERROR(IF([2]对账明细接口!$X548=0,"",[2]对账明细接口!$X548),"")</f>
        <v/>
      </c>
      <c r="AD547" s="90" t="str">
        <f aca="false">IFERROR(IF([2]对账明细接口!$Y548=0,"",[2]对账明细接口!$Y548),"")</f>
        <v/>
      </c>
      <c r="AE547" s="90" t="str">
        <f aca="false">IFERROR(IF([2]对账明细接口!$AA548=0,"",[2]对账明细接口!$AA548),"")</f>
        <v/>
      </c>
      <c r="AF547" s="90" t="str">
        <f aca="false">IFERROR(IF([2]对账明细接口!$AB548=0,"",[2]对账明细接口!$AB548),"")</f>
        <v/>
      </c>
      <c r="AG547" s="90" t="str">
        <f aca="false">IFERROR(IF([2]对账明细接口!$AC548=0,"",[2]对账明细接口!$AC548),"")</f>
        <v/>
      </c>
      <c r="AH547" s="90" t="str">
        <f aca="false">IFERROR(IF([2]对账明细接口!$AD548=0,"",[2]对账明细接口!$AD548),"")</f>
        <v/>
      </c>
    </row>
    <row r="548" customFormat="false" ht="13.5" hidden="false" customHeight="false" outlineLevel="0" collapsed="false">
      <c r="A548" s="109" t="n">
        <v>548</v>
      </c>
      <c r="B548" s="110" t="str">
        <f aca="false">IFERROR(IF([2]对账明细接口!$B$548=0,"",[2]对账明细接口!$B$548),"")</f>
        <v/>
      </c>
      <c r="C548" s="59" t="str">
        <f aca="false">IFERROR(IF([2]对账明细接口!$C$548=0,"",[2]对账明细接口!$C$548),"")</f>
        <v/>
      </c>
      <c r="D548" s="59" t="str">
        <f aca="false">IFERROR(IF([2]对账明细接口!$D$548=0,"",[2]对账明细接口!$D$548),"")</f>
        <v/>
      </c>
      <c r="E548" s="59" t="str">
        <f aca="false">IFERROR(IF([2]对账明细接口!$E$548=0,"",[2]对账明细接口!$E$548),"")</f>
        <v/>
      </c>
      <c r="F548" s="59" t="str">
        <f aca="false">IFERROR(IF([2]对账明细接口!$F$548=0,"",[2]对账明细接口!$F$548),"")</f>
        <v/>
      </c>
      <c r="G548" s="59" t="str">
        <f aca="false">IFERROR(IF([2]对账明细接口!$G$548=0,"",[2]对账明细接口!$G$548),"")</f>
        <v/>
      </c>
      <c r="H548" s="60" t="str">
        <f aca="false">IFERROR(IF([2]对账明细接口!$H$548=0,"",[2]对账明细接口!$H$548),"")</f>
        <v/>
      </c>
      <c r="I548" s="59" t="str">
        <f aca="false">IFERROR(IF([2]对账明细接口!$I$548=0,"",[2]对账明细接口!$I$548),"")</f>
        <v/>
      </c>
      <c r="J548" s="61" t="str">
        <f aca="false">IFERROR(IF([2]对账明细接口!$J$548=0,"",[2]对账明细接口!$J$548),"")</f>
        <v/>
      </c>
      <c r="K548" s="61" t="str">
        <f aca="false">IFERROR(IF([2]对账明细接口!$K$548=0,"",[2]对账明细接口!$K$548),"")</f>
        <v/>
      </c>
      <c r="L548" s="59" t="str">
        <f aca="false">IFERROR(IF([2]对账明细接口!$L$548=0,"",[2]对账明细接口!$L$548),"")</f>
        <v/>
      </c>
      <c r="M548" s="59" t="str">
        <f aca="false">IFERROR(IF([2]对账明细接口!$M$548=0,"",[2]对账明细接口!$M$548),"")</f>
        <v/>
      </c>
      <c r="N548" s="111" t="n">
        <f aca="false">IF($C548="",0,1)</f>
        <v>0</v>
      </c>
      <c r="O548" s="111" t="n">
        <f aca="false">N(O547)+$N548</f>
        <v>311</v>
      </c>
      <c r="S548" s="10" t="str">
        <f aca="false">IFERROR(IF([2]对账明细接口!$N548=0,"",[2]对账明细接口!$N548),"")</f>
        <v/>
      </c>
      <c r="T548" s="112" t="str">
        <f aca="false">IFERROR(IF([2]对账明细接口!$O548=0,"",[2]对账明细接口!$O548),"")</f>
        <v/>
      </c>
      <c r="U548" s="112" t="str">
        <f aca="false">IFERROR(IF([2]对账明细接口!$P548=0,"",[2]对账明细接口!$P548),"")</f>
        <v/>
      </c>
      <c r="V548" s="112" t="str">
        <f aca="false">IFERROR(IF([2]对账明细接口!$Q548=0,"",[2]对账明细接口!$Q548),"")</f>
        <v/>
      </c>
      <c r="W548" s="10" t="str">
        <f aca="false">IFERROR(IF([2]对账明细接口!$R548=0,"",[2]对账明细接口!$R548),"")</f>
        <v/>
      </c>
      <c r="X548" s="10" t="str">
        <f aca="false">IFERROR(IF([2]对账明细接口!$S548=0,"",[2]对账明细接口!$S548),"")</f>
        <v/>
      </c>
      <c r="Y548" s="10" t="str">
        <f aca="false">IFERROR(IF([2]对账明细接口!$T548=0,"",[2]对账明细接口!$T548),"")</f>
        <v/>
      </c>
      <c r="Z548" s="113" t="str">
        <f aca="false">IFERROR(IF([2]对账明细接口!$U548=0,"",[2]对账明细接口!$U548),"")</f>
        <v/>
      </c>
      <c r="AA548" s="113" t="str">
        <f aca="false">IFERROR(IF([2]对账明细接口!$V548=0,"",[2]对账明细接口!$V548),"")</f>
        <v/>
      </c>
      <c r="AB548" s="10" t="str">
        <f aca="false">IFERROR(IF([2]对账明细接口!$W548=0,"",[2]对账明细接口!$W548),"")</f>
        <v/>
      </c>
      <c r="AC548" s="90" t="str">
        <f aca="false">IFERROR(IF([2]对账明细接口!$X549=0,"",[2]对账明细接口!$X549),"")</f>
        <v/>
      </c>
      <c r="AD548" s="90" t="str">
        <f aca="false">IFERROR(IF([2]对账明细接口!$Y549=0,"",[2]对账明细接口!$Y549),"")</f>
        <v/>
      </c>
      <c r="AE548" s="90" t="str">
        <f aca="false">IFERROR(IF([2]对账明细接口!$AA549=0,"",[2]对账明细接口!$AA549),"")</f>
        <v/>
      </c>
      <c r="AF548" s="90" t="str">
        <f aca="false">IFERROR(IF([2]对账明细接口!$AB549=0,"",[2]对账明细接口!$AB549),"")</f>
        <v/>
      </c>
      <c r="AG548" s="90" t="str">
        <f aca="false">IFERROR(IF([2]对账明细接口!$AC549=0,"",[2]对账明细接口!$AC549),"")</f>
        <v/>
      </c>
      <c r="AH548" s="90" t="str">
        <f aca="false">IFERROR(IF([2]对账明细接口!$AD549=0,"",[2]对账明细接口!$AD549),"")</f>
        <v/>
      </c>
    </row>
    <row r="549" customFormat="false" ht="13.5" hidden="false" customHeight="false" outlineLevel="0" collapsed="false">
      <c r="A549" s="109" t="n">
        <v>549</v>
      </c>
      <c r="B549" s="110" t="str">
        <f aca="false">IFERROR(IF([2]对账明细接口!$B$549=0,"",[2]对账明细接口!$B$549),"")</f>
        <v/>
      </c>
      <c r="C549" s="59" t="str">
        <f aca="false">IFERROR(IF([2]对账明细接口!$C$549=0,"",[2]对账明细接口!$C$549),"")</f>
        <v/>
      </c>
      <c r="D549" s="59" t="str">
        <f aca="false">IFERROR(IF([2]对账明细接口!$D$549=0,"",[2]对账明细接口!$D$549),"")</f>
        <v/>
      </c>
      <c r="E549" s="59" t="str">
        <f aca="false">IFERROR(IF([2]对账明细接口!$E$549=0,"",[2]对账明细接口!$E$549),"")</f>
        <v/>
      </c>
      <c r="F549" s="59" t="str">
        <f aca="false">IFERROR(IF([2]对账明细接口!$F$549=0,"",[2]对账明细接口!$F$549),"")</f>
        <v/>
      </c>
      <c r="G549" s="59" t="str">
        <f aca="false">IFERROR(IF([2]对账明细接口!$G$549=0,"",[2]对账明细接口!$G$549),"")</f>
        <v/>
      </c>
      <c r="H549" s="60" t="str">
        <f aca="false">IFERROR(IF([2]对账明细接口!$H$549=0,"",[2]对账明细接口!$H$549),"")</f>
        <v/>
      </c>
      <c r="I549" s="59" t="str">
        <f aca="false">IFERROR(IF([2]对账明细接口!$I$549=0,"",[2]对账明细接口!$I$549),"")</f>
        <v/>
      </c>
      <c r="J549" s="61" t="str">
        <f aca="false">IFERROR(IF([2]对账明细接口!$J$549=0,"",[2]对账明细接口!$J$549),"")</f>
        <v/>
      </c>
      <c r="K549" s="61" t="str">
        <f aca="false">IFERROR(IF([2]对账明细接口!$K$549=0,"",[2]对账明细接口!$K$549),"")</f>
        <v/>
      </c>
      <c r="L549" s="59" t="str">
        <f aca="false">IFERROR(IF([2]对账明细接口!$L$549=0,"",[2]对账明细接口!$L$549),"")</f>
        <v/>
      </c>
      <c r="M549" s="59" t="str">
        <f aca="false">IFERROR(IF([2]对账明细接口!$M$549=0,"",[2]对账明细接口!$M$549),"")</f>
        <v/>
      </c>
      <c r="N549" s="111" t="n">
        <f aca="false">IF($C549="",0,1)</f>
        <v>0</v>
      </c>
      <c r="O549" s="111" t="n">
        <f aca="false">N(O548)+$N549</f>
        <v>311</v>
      </c>
      <c r="S549" s="10" t="str">
        <f aca="false">IFERROR(IF([2]对账明细接口!$N549=0,"",[2]对账明细接口!$N549),"")</f>
        <v/>
      </c>
      <c r="T549" s="112" t="str">
        <f aca="false">IFERROR(IF([2]对账明细接口!$O549=0,"",[2]对账明细接口!$O549),"")</f>
        <v/>
      </c>
      <c r="U549" s="112" t="str">
        <f aca="false">IFERROR(IF([2]对账明细接口!$P549=0,"",[2]对账明细接口!$P549),"")</f>
        <v/>
      </c>
      <c r="V549" s="112" t="str">
        <f aca="false">IFERROR(IF([2]对账明细接口!$Q549=0,"",[2]对账明细接口!$Q549),"")</f>
        <v/>
      </c>
      <c r="W549" s="10" t="str">
        <f aca="false">IFERROR(IF([2]对账明细接口!$R549=0,"",[2]对账明细接口!$R549),"")</f>
        <v/>
      </c>
      <c r="X549" s="10" t="str">
        <f aca="false">IFERROR(IF([2]对账明细接口!$S549=0,"",[2]对账明细接口!$S549),"")</f>
        <v/>
      </c>
      <c r="Y549" s="10" t="str">
        <f aca="false">IFERROR(IF([2]对账明细接口!$T549=0,"",[2]对账明细接口!$T549),"")</f>
        <v/>
      </c>
      <c r="Z549" s="113" t="str">
        <f aca="false">IFERROR(IF([2]对账明细接口!$U549=0,"",[2]对账明细接口!$U549),"")</f>
        <v/>
      </c>
      <c r="AA549" s="113" t="str">
        <f aca="false">IFERROR(IF([2]对账明细接口!$V549=0,"",[2]对账明细接口!$V549),"")</f>
        <v/>
      </c>
      <c r="AB549" s="10" t="str">
        <f aca="false">IFERROR(IF([2]对账明细接口!$W549=0,"",[2]对账明细接口!$W549),"")</f>
        <v/>
      </c>
      <c r="AC549" s="90" t="str">
        <f aca="false">IFERROR(IF([2]对账明细接口!$X550=0,"",[2]对账明细接口!$X550),"")</f>
        <v/>
      </c>
      <c r="AD549" s="90" t="str">
        <f aca="false">IFERROR(IF([2]对账明细接口!$Y550=0,"",[2]对账明细接口!$Y550),"")</f>
        <v/>
      </c>
      <c r="AE549" s="90" t="str">
        <f aca="false">IFERROR(IF([2]对账明细接口!$AA550=0,"",[2]对账明细接口!$AA550),"")</f>
        <v/>
      </c>
      <c r="AF549" s="90" t="str">
        <f aca="false">IFERROR(IF([2]对账明细接口!$AB550=0,"",[2]对账明细接口!$AB550),"")</f>
        <v/>
      </c>
      <c r="AG549" s="90" t="str">
        <f aca="false">IFERROR(IF([2]对账明细接口!$AC550=0,"",[2]对账明细接口!$AC550),"")</f>
        <v/>
      </c>
      <c r="AH549" s="90" t="str">
        <f aca="false">IFERROR(IF([2]对账明细接口!$AD550=0,"",[2]对账明细接口!$AD550),"")</f>
        <v/>
      </c>
    </row>
    <row r="550" customFormat="false" ht="13.5" hidden="false" customHeight="false" outlineLevel="0" collapsed="false">
      <c r="A550" s="109" t="n">
        <v>550</v>
      </c>
      <c r="B550" s="110" t="str">
        <f aca="false">IFERROR(IF([2]对账明细接口!$B$550=0,"",[2]对账明细接口!$B$550),"")</f>
        <v/>
      </c>
      <c r="C550" s="59" t="str">
        <f aca="false">IFERROR(IF([2]对账明细接口!$C$550=0,"",[2]对账明细接口!$C$550),"")</f>
        <v/>
      </c>
      <c r="D550" s="59" t="str">
        <f aca="false">IFERROR(IF([2]对账明细接口!$D$550=0,"",[2]对账明细接口!$D$550),"")</f>
        <v/>
      </c>
      <c r="E550" s="59" t="str">
        <f aca="false">IFERROR(IF([2]对账明细接口!$E$550=0,"",[2]对账明细接口!$E$550),"")</f>
        <v/>
      </c>
      <c r="F550" s="59" t="str">
        <f aca="false">IFERROR(IF([2]对账明细接口!$F$550=0,"",[2]对账明细接口!$F$550),"")</f>
        <v/>
      </c>
      <c r="G550" s="59" t="str">
        <f aca="false">IFERROR(IF([2]对账明细接口!$G$550=0,"",[2]对账明细接口!$G$550),"")</f>
        <v/>
      </c>
      <c r="H550" s="60" t="str">
        <f aca="false">IFERROR(IF([2]对账明细接口!$H$550=0,"",[2]对账明细接口!$H$550),"")</f>
        <v/>
      </c>
      <c r="I550" s="59" t="str">
        <f aca="false">IFERROR(IF([2]对账明细接口!$I$550=0,"",[2]对账明细接口!$I$550),"")</f>
        <v/>
      </c>
      <c r="J550" s="61" t="str">
        <f aca="false">IFERROR(IF([2]对账明细接口!$J$550=0,"",[2]对账明细接口!$J$550),"")</f>
        <v/>
      </c>
      <c r="K550" s="61" t="str">
        <f aca="false">IFERROR(IF([2]对账明细接口!$K$550=0,"",[2]对账明细接口!$K$550),"")</f>
        <v/>
      </c>
      <c r="L550" s="59" t="str">
        <f aca="false">IFERROR(IF([2]对账明细接口!$L$550=0,"",[2]对账明细接口!$L$550),"")</f>
        <v/>
      </c>
      <c r="M550" s="59" t="str">
        <f aca="false">IFERROR(IF([2]对账明细接口!$M$550=0,"",[2]对账明细接口!$M$550),"")</f>
        <v/>
      </c>
      <c r="N550" s="111" t="n">
        <f aca="false">IF($C550="",0,1)</f>
        <v>0</v>
      </c>
      <c r="O550" s="111" t="n">
        <f aca="false">N(O549)+$N550</f>
        <v>311</v>
      </c>
      <c r="S550" s="10" t="str">
        <f aca="false">IFERROR(IF([2]对账明细接口!$N550=0,"",[2]对账明细接口!$N550),"")</f>
        <v/>
      </c>
      <c r="T550" s="112" t="str">
        <f aca="false">IFERROR(IF([2]对账明细接口!$O550=0,"",[2]对账明细接口!$O550),"")</f>
        <v/>
      </c>
      <c r="U550" s="112" t="str">
        <f aca="false">IFERROR(IF([2]对账明细接口!$P550=0,"",[2]对账明细接口!$P550),"")</f>
        <v/>
      </c>
      <c r="V550" s="112" t="str">
        <f aca="false">IFERROR(IF([2]对账明细接口!$Q550=0,"",[2]对账明细接口!$Q550),"")</f>
        <v/>
      </c>
      <c r="W550" s="10" t="str">
        <f aca="false">IFERROR(IF([2]对账明细接口!$R550=0,"",[2]对账明细接口!$R550),"")</f>
        <v/>
      </c>
      <c r="X550" s="10" t="str">
        <f aca="false">IFERROR(IF([2]对账明细接口!$S550=0,"",[2]对账明细接口!$S550),"")</f>
        <v/>
      </c>
      <c r="Y550" s="10" t="str">
        <f aca="false">IFERROR(IF([2]对账明细接口!$T550=0,"",[2]对账明细接口!$T550),"")</f>
        <v/>
      </c>
      <c r="Z550" s="113" t="str">
        <f aca="false">IFERROR(IF([2]对账明细接口!$U550=0,"",[2]对账明细接口!$U550),"")</f>
        <v/>
      </c>
      <c r="AA550" s="113" t="str">
        <f aca="false">IFERROR(IF([2]对账明细接口!$V550=0,"",[2]对账明细接口!$V550),"")</f>
        <v/>
      </c>
      <c r="AB550" s="10" t="str">
        <f aca="false">IFERROR(IF([2]对账明细接口!$W550=0,"",[2]对账明细接口!$W550),"")</f>
        <v/>
      </c>
      <c r="AC550" s="90" t="str">
        <f aca="false">IFERROR(IF([2]对账明细接口!$X551=0,"",[2]对账明细接口!$X551),"")</f>
        <v/>
      </c>
      <c r="AD550" s="90" t="str">
        <f aca="false">IFERROR(IF([2]对账明细接口!$Y551=0,"",[2]对账明细接口!$Y551),"")</f>
        <v/>
      </c>
      <c r="AE550" s="90" t="str">
        <f aca="false">IFERROR(IF([2]对账明细接口!$AA551=0,"",[2]对账明细接口!$AA551),"")</f>
        <v/>
      </c>
      <c r="AF550" s="90" t="str">
        <f aca="false">IFERROR(IF([2]对账明细接口!$AB551=0,"",[2]对账明细接口!$AB551),"")</f>
        <v/>
      </c>
      <c r="AG550" s="90" t="str">
        <f aca="false">IFERROR(IF([2]对账明细接口!$AC551=0,"",[2]对账明细接口!$AC551),"")</f>
        <v/>
      </c>
      <c r="AH550" s="90" t="str">
        <f aca="false">IFERROR(IF([2]对账明细接口!$AD551=0,"",[2]对账明细接口!$AD551),"")</f>
        <v/>
      </c>
    </row>
    <row r="551" customFormat="false" ht="13.5" hidden="false" customHeight="false" outlineLevel="0" collapsed="false">
      <c r="A551" s="109" t="n">
        <v>551</v>
      </c>
      <c r="B551" s="110" t="str">
        <f aca="false">IFERROR(IF([2]对账明细接口!$B$551=0,"",[2]对账明细接口!$B$551),"")</f>
        <v/>
      </c>
      <c r="C551" s="59" t="str">
        <f aca="false">IFERROR(IF([2]对账明细接口!$C$551=0,"",[2]对账明细接口!$C$551),"")</f>
        <v/>
      </c>
      <c r="D551" s="59" t="str">
        <f aca="false">IFERROR(IF([2]对账明细接口!$D$551=0,"",[2]对账明细接口!$D$551),"")</f>
        <v/>
      </c>
      <c r="E551" s="59" t="str">
        <f aca="false">IFERROR(IF([2]对账明细接口!$E$551=0,"",[2]对账明细接口!$E$551),"")</f>
        <v/>
      </c>
      <c r="F551" s="59" t="str">
        <f aca="false">IFERROR(IF([2]对账明细接口!$F$551=0,"",[2]对账明细接口!$F$551),"")</f>
        <v/>
      </c>
      <c r="G551" s="59" t="str">
        <f aca="false">IFERROR(IF([2]对账明细接口!$G$551=0,"",[2]对账明细接口!$G$551),"")</f>
        <v/>
      </c>
      <c r="H551" s="60" t="str">
        <f aca="false">IFERROR(IF([2]对账明细接口!$H$551=0,"",[2]对账明细接口!$H$551),"")</f>
        <v/>
      </c>
      <c r="I551" s="59" t="str">
        <f aca="false">IFERROR(IF([2]对账明细接口!$I$551=0,"",[2]对账明细接口!$I$551),"")</f>
        <v/>
      </c>
      <c r="J551" s="61" t="str">
        <f aca="false">IFERROR(IF([2]对账明细接口!$J$551=0,"",[2]对账明细接口!$J$551),"")</f>
        <v/>
      </c>
      <c r="K551" s="61" t="str">
        <f aca="false">IFERROR(IF([2]对账明细接口!$K$551=0,"",[2]对账明细接口!$K$551),"")</f>
        <v/>
      </c>
      <c r="L551" s="59" t="str">
        <f aca="false">IFERROR(IF([2]对账明细接口!$L$551=0,"",[2]对账明细接口!$L$551),"")</f>
        <v/>
      </c>
      <c r="M551" s="59" t="str">
        <f aca="false">IFERROR(IF([2]对账明细接口!$M$551=0,"",[2]对账明细接口!$M$551),"")</f>
        <v/>
      </c>
      <c r="N551" s="111" t="n">
        <f aca="false">IF($C551="",0,1)</f>
        <v>0</v>
      </c>
      <c r="O551" s="111" t="n">
        <f aca="false">N(O550)+$N551</f>
        <v>311</v>
      </c>
      <c r="S551" s="10" t="str">
        <f aca="false">IFERROR(IF([2]对账明细接口!$N551=0,"",[2]对账明细接口!$N551),"")</f>
        <v/>
      </c>
      <c r="T551" s="112" t="str">
        <f aca="false">IFERROR(IF([2]对账明细接口!$O551=0,"",[2]对账明细接口!$O551),"")</f>
        <v/>
      </c>
      <c r="U551" s="112" t="str">
        <f aca="false">IFERROR(IF([2]对账明细接口!$P551=0,"",[2]对账明细接口!$P551),"")</f>
        <v/>
      </c>
      <c r="V551" s="112" t="str">
        <f aca="false">IFERROR(IF([2]对账明细接口!$Q551=0,"",[2]对账明细接口!$Q551),"")</f>
        <v/>
      </c>
      <c r="W551" s="10" t="str">
        <f aca="false">IFERROR(IF([2]对账明细接口!$R551=0,"",[2]对账明细接口!$R551),"")</f>
        <v/>
      </c>
      <c r="X551" s="10" t="str">
        <f aca="false">IFERROR(IF([2]对账明细接口!$S551=0,"",[2]对账明细接口!$S551),"")</f>
        <v/>
      </c>
      <c r="Y551" s="10" t="str">
        <f aca="false">IFERROR(IF([2]对账明细接口!$T551=0,"",[2]对账明细接口!$T551),"")</f>
        <v/>
      </c>
      <c r="Z551" s="113" t="str">
        <f aca="false">IFERROR(IF([2]对账明细接口!$U551=0,"",[2]对账明细接口!$U551),"")</f>
        <v/>
      </c>
      <c r="AA551" s="113" t="str">
        <f aca="false">IFERROR(IF([2]对账明细接口!$V551=0,"",[2]对账明细接口!$V551),"")</f>
        <v/>
      </c>
      <c r="AB551" s="10" t="str">
        <f aca="false">IFERROR(IF([2]对账明细接口!$W551=0,"",[2]对账明细接口!$W551),"")</f>
        <v/>
      </c>
      <c r="AC551" s="90" t="str">
        <f aca="false">IFERROR(IF([2]对账明细接口!$X552=0,"",[2]对账明细接口!$X552),"")</f>
        <v/>
      </c>
      <c r="AD551" s="90" t="str">
        <f aca="false">IFERROR(IF([2]对账明细接口!$Y552=0,"",[2]对账明细接口!$Y552),"")</f>
        <v/>
      </c>
      <c r="AE551" s="90" t="str">
        <f aca="false">IFERROR(IF([2]对账明细接口!$AA552=0,"",[2]对账明细接口!$AA552),"")</f>
        <v/>
      </c>
      <c r="AF551" s="90" t="str">
        <f aca="false">IFERROR(IF([2]对账明细接口!$AB552=0,"",[2]对账明细接口!$AB552),"")</f>
        <v/>
      </c>
      <c r="AG551" s="90" t="str">
        <f aca="false">IFERROR(IF([2]对账明细接口!$AC552=0,"",[2]对账明细接口!$AC552),"")</f>
        <v/>
      </c>
      <c r="AH551" s="90" t="str">
        <f aca="false">IFERROR(IF([2]对账明细接口!$AD552=0,"",[2]对账明细接口!$AD552),"")</f>
        <v/>
      </c>
    </row>
    <row r="552" customFormat="false" ht="13.5" hidden="false" customHeight="false" outlineLevel="0" collapsed="false">
      <c r="A552" s="109" t="n">
        <v>552</v>
      </c>
      <c r="B552" s="110" t="str">
        <f aca="false">IFERROR(IF([2]对账明细接口!$B$552=0,"",[2]对账明细接口!$B$552),"")</f>
        <v/>
      </c>
      <c r="C552" s="59" t="str">
        <f aca="false">IFERROR(IF([2]对账明细接口!$C$552=0,"",[2]对账明细接口!$C$552),"")</f>
        <v/>
      </c>
      <c r="D552" s="59" t="str">
        <f aca="false">IFERROR(IF([2]对账明细接口!$D$552=0,"",[2]对账明细接口!$D$552),"")</f>
        <v/>
      </c>
      <c r="E552" s="59" t="str">
        <f aca="false">IFERROR(IF([2]对账明细接口!$E$552=0,"",[2]对账明细接口!$E$552),"")</f>
        <v/>
      </c>
      <c r="F552" s="59" t="str">
        <f aca="false">IFERROR(IF([2]对账明细接口!$F$552=0,"",[2]对账明细接口!$F$552),"")</f>
        <v/>
      </c>
      <c r="G552" s="59" t="str">
        <f aca="false">IFERROR(IF([2]对账明细接口!$G$552=0,"",[2]对账明细接口!$G$552),"")</f>
        <v/>
      </c>
      <c r="H552" s="60" t="str">
        <f aca="false">IFERROR(IF([2]对账明细接口!$H$552=0,"",[2]对账明细接口!$H$552),"")</f>
        <v/>
      </c>
      <c r="I552" s="59" t="str">
        <f aca="false">IFERROR(IF([2]对账明细接口!$I$552=0,"",[2]对账明细接口!$I$552),"")</f>
        <v/>
      </c>
      <c r="J552" s="61" t="str">
        <f aca="false">IFERROR(IF([2]对账明细接口!$J$552=0,"",[2]对账明细接口!$J$552),"")</f>
        <v/>
      </c>
      <c r="K552" s="61" t="str">
        <f aca="false">IFERROR(IF([2]对账明细接口!$K$552=0,"",[2]对账明细接口!$K$552),"")</f>
        <v/>
      </c>
      <c r="L552" s="59" t="str">
        <f aca="false">IFERROR(IF([2]对账明细接口!$L$552=0,"",[2]对账明细接口!$L$552),"")</f>
        <v/>
      </c>
      <c r="M552" s="59" t="str">
        <f aca="false">IFERROR(IF([2]对账明细接口!$M$552=0,"",[2]对账明细接口!$M$552),"")</f>
        <v/>
      </c>
      <c r="N552" s="111" t="n">
        <f aca="false">IF($C552="",0,1)</f>
        <v>0</v>
      </c>
      <c r="O552" s="111" t="n">
        <f aca="false">N(O551)+$N552</f>
        <v>311</v>
      </c>
      <c r="S552" s="10" t="str">
        <f aca="false">IFERROR(IF([2]对账明细接口!$N552=0,"",[2]对账明细接口!$N552),"")</f>
        <v/>
      </c>
      <c r="T552" s="112" t="str">
        <f aca="false">IFERROR(IF([2]对账明细接口!$O552=0,"",[2]对账明细接口!$O552),"")</f>
        <v/>
      </c>
      <c r="U552" s="112" t="str">
        <f aca="false">IFERROR(IF([2]对账明细接口!$P552=0,"",[2]对账明细接口!$P552),"")</f>
        <v/>
      </c>
      <c r="V552" s="112" t="str">
        <f aca="false">IFERROR(IF([2]对账明细接口!$Q552=0,"",[2]对账明细接口!$Q552),"")</f>
        <v/>
      </c>
      <c r="W552" s="10" t="str">
        <f aca="false">IFERROR(IF([2]对账明细接口!$R552=0,"",[2]对账明细接口!$R552),"")</f>
        <v/>
      </c>
      <c r="X552" s="10" t="str">
        <f aca="false">IFERROR(IF([2]对账明细接口!$S552=0,"",[2]对账明细接口!$S552),"")</f>
        <v/>
      </c>
      <c r="Y552" s="10" t="str">
        <f aca="false">IFERROR(IF([2]对账明细接口!$T552=0,"",[2]对账明细接口!$T552),"")</f>
        <v/>
      </c>
      <c r="Z552" s="113" t="str">
        <f aca="false">IFERROR(IF([2]对账明细接口!$U552=0,"",[2]对账明细接口!$U552),"")</f>
        <v/>
      </c>
      <c r="AA552" s="113" t="str">
        <f aca="false">IFERROR(IF([2]对账明细接口!$V552=0,"",[2]对账明细接口!$V552),"")</f>
        <v/>
      </c>
      <c r="AB552" s="10" t="str">
        <f aca="false">IFERROR(IF([2]对账明细接口!$W552=0,"",[2]对账明细接口!$W552),"")</f>
        <v/>
      </c>
      <c r="AC552" s="90" t="str">
        <f aca="false">IFERROR(IF([2]对账明细接口!$X553=0,"",[2]对账明细接口!$X553),"")</f>
        <v/>
      </c>
      <c r="AD552" s="90" t="str">
        <f aca="false">IFERROR(IF([2]对账明细接口!$Y553=0,"",[2]对账明细接口!$Y553),"")</f>
        <v/>
      </c>
      <c r="AE552" s="90" t="str">
        <f aca="false">IFERROR(IF([2]对账明细接口!$AA553=0,"",[2]对账明细接口!$AA553),"")</f>
        <v/>
      </c>
      <c r="AF552" s="90" t="str">
        <f aca="false">IFERROR(IF([2]对账明细接口!$AB553=0,"",[2]对账明细接口!$AB553),"")</f>
        <v/>
      </c>
      <c r="AG552" s="90" t="str">
        <f aca="false">IFERROR(IF([2]对账明细接口!$AC553=0,"",[2]对账明细接口!$AC553),"")</f>
        <v/>
      </c>
      <c r="AH552" s="90" t="str">
        <f aca="false">IFERROR(IF([2]对账明细接口!$AD553=0,"",[2]对账明细接口!$AD553),"")</f>
        <v/>
      </c>
    </row>
    <row r="553" customFormat="false" ht="13.5" hidden="false" customHeight="false" outlineLevel="0" collapsed="false">
      <c r="A553" s="109" t="n">
        <v>553</v>
      </c>
      <c r="B553" s="110" t="str">
        <f aca="false">IFERROR(IF([2]对账明细接口!$B$553=0,"",[2]对账明细接口!$B$553),"")</f>
        <v/>
      </c>
      <c r="C553" s="59" t="str">
        <f aca="false">IFERROR(IF([2]对账明细接口!$C$553=0,"",[2]对账明细接口!$C$553),"")</f>
        <v/>
      </c>
      <c r="D553" s="59" t="str">
        <f aca="false">IFERROR(IF([2]对账明细接口!$D$553=0,"",[2]对账明细接口!$D$553),"")</f>
        <v/>
      </c>
      <c r="E553" s="59" t="str">
        <f aca="false">IFERROR(IF([2]对账明细接口!$E$553=0,"",[2]对账明细接口!$E$553),"")</f>
        <v/>
      </c>
      <c r="F553" s="59" t="str">
        <f aca="false">IFERROR(IF([2]对账明细接口!$F$553=0,"",[2]对账明细接口!$F$553),"")</f>
        <v/>
      </c>
      <c r="G553" s="59" t="str">
        <f aca="false">IFERROR(IF([2]对账明细接口!$G$553=0,"",[2]对账明细接口!$G$553),"")</f>
        <v/>
      </c>
      <c r="H553" s="60" t="str">
        <f aca="false">IFERROR(IF([2]对账明细接口!$H$553=0,"",[2]对账明细接口!$H$553),"")</f>
        <v/>
      </c>
      <c r="I553" s="59" t="str">
        <f aca="false">IFERROR(IF([2]对账明细接口!$I$553=0,"",[2]对账明细接口!$I$553),"")</f>
        <v/>
      </c>
      <c r="J553" s="61" t="str">
        <f aca="false">IFERROR(IF([2]对账明细接口!$J$553=0,"",[2]对账明细接口!$J$553),"")</f>
        <v/>
      </c>
      <c r="K553" s="61" t="str">
        <f aca="false">IFERROR(IF([2]对账明细接口!$K$553=0,"",[2]对账明细接口!$K$553),"")</f>
        <v/>
      </c>
      <c r="L553" s="59" t="str">
        <f aca="false">IFERROR(IF([2]对账明细接口!$L$553=0,"",[2]对账明细接口!$L$553),"")</f>
        <v/>
      </c>
      <c r="M553" s="59" t="str">
        <f aca="false">IFERROR(IF([2]对账明细接口!$M$553=0,"",[2]对账明细接口!$M$553),"")</f>
        <v/>
      </c>
      <c r="N553" s="111" t="n">
        <f aca="false">IF($C553="",0,1)</f>
        <v>0</v>
      </c>
      <c r="O553" s="111" t="n">
        <f aca="false">N(O552)+$N553</f>
        <v>311</v>
      </c>
      <c r="S553" s="10" t="str">
        <f aca="false">IFERROR(IF([2]对账明细接口!$N553=0,"",[2]对账明细接口!$N553),"")</f>
        <v/>
      </c>
      <c r="T553" s="112" t="str">
        <f aca="false">IFERROR(IF([2]对账明细接口!$O553=0,"",[2]对账明细接口!$O553),"")</f>
        <v/>
      </c>
      <c r="U553" s="112" t="str">
        <f aca="false">IFERROR(IF([2]对账明细接口!$P553=0,"",[2]对账明细接口!$P553),"")</f>
        <v/>
      </c>
      <c r="V553" s="112" t="str">
        <f aca="false">IFERROR(IF([2]对账明细接口!$Q553=0,"",[2]对账明细接口!$Q553),"")</f>
        <v/>
      </c>
      <c r="W553" s="10" t="str">
        <f aca="false">IFERROR(IF([2]对账明细接口!$R553=0,"",[2]对账明细接口!$R553),"")</f>
        <v/>
      </c>
      <c r="X553" s="10" t="str">
        <f aca="false">IFERROR(IF([2]对账明细接口!$S553=0,"",[2]对账明细接口!$S553),"")</f>
        <v/>
      </c>
      <c r="Y553" s="10" t="str">
        <f aca="false">IFERROR(IF([2]对账明细接口!$T553=0,"",[2]对账明细接口!$T553),"")</f>
        <v/>
      </c>
      <c r="Z553" s="113" t="str">
        <f aca="false">IFERROR(IF([2]对账明细接口!$U553=0,"",[2]对账明细接口!$U553),"")</f>
        <v/>
      </c>
      <c r="AA553" s="113" t="str">
        <f aca="false">IFERROR(IF([2]对账明细接口!$V553=0,"",[2]对账明细接口!$V553),"")</f>
        <v/>
      </c>
      <c r="AB553" s="10" t="str">
        <f aca="false">IFERROR(IF([2]对账明细接口!$W553=0,"",[2]对账明细接口!$W553),"")</f>
        <v/>
      </c>
      <c r="AC553" s="90" t="str">
        <f aca="false">IFERROR(IF([2]对账明细接口!$X554=0,"",[2]对账明细接口!$X554),"")</f>
        <v/>
      </c>
      <c r="AD553" s="90" t="str">
        <f aca="false">IFERROR(IF([2]对账明细接口!$Y554=0,"",[2]对账明细接口!$Y554),"")</f>
        <v/>
      </c>
      <c r="AE553" s="90" t="str">
        <f aca="false">IFERROR(IF([2]对账明细接口!$AA554=0,"",[2]对账明细接口!$AA554),"")</f>
        <v/>
      </c>
      <c r="AF553" s="90" t="str">
        <f aca="false">IFERROR(IF([2]对账明细接口!$AB554=0,"",[2]对账明细接口!$AB554),"")</f>
        <v/>
      </c>
      <c r="AG553" s="90" t="str">
        <f aca="false">IFERROR(IF([2]对账明细接口!$AC554=0,"",[2]对账明细接口!$AC554),"")</f>
        <v/>
      </c>
      <c r="AH553" s="90" t="str">
        <f aca="false">IFERROR(IF([2]对账明细接口!$AD554=0,"",[2]对账明细接口!$AD554),"")</f>
        <v/>
      </c>
    </row>
    <row r="554" customFormat="false" ht="13.5" hidden="false" customHeight="false" outlineLevel="0" collapsed="false">
      <c r="A554" s="109" t="n">
        <v>554</v>
      </c>
      <c r="B554" s="110" t="str">
        <f aca="false">IFERROR(IF([2]对账明细接口!$B$554=0,"",[2]对账明细接口!$B$554),"")</f>
        <v/>
      </c>
      <c r="C554" s="59" t="str">
        <f aca="false">IFERROR(IF([2]对账明细接口!$C$554=0,"",[2]对账明细接口!$C$554),"")</f>
        <v/>
      </c>
      <c r="D554" s="59" t="str">
        <f aca="false">IFERROR(IF([2]对账明细接口!$D$554=0,"",[2]对账明细接口!$D$554),"")</f>
        <v/>
      </c>
      <c r="E554" s="59" t="str">
        <f aca="false">IFERROR(IF([2]对账明细接口!$E$554=0,"",[2]对账明细接口!$E$554),"")</f>
        <v/>
      </c>
      <c r="F554" s="59" t="str">
        <f aca="false">IFERROR(IF([2]对账明细接口!$F$554=0,"",[2]对账明细接口!$F$554),"")</f>
        <v/>
      </c>
      <c r="G554" s="59" t="str">
        <f aca="false">IFERROR(IF([2]对账明细接口!$G$554=0,"",[2]对账明细接口!$G$554),"")</f>
        <v/>
      </c>
      <c r="H554" s="60" t="str">
        <f aca="false">IFERROR(IF([2]对账明细接口!$H$554=0,"",[2]对账明细接口!$H$554),"")</f>
        <v/>
      </c>
      <c r="I554" s="59" t="str">
        <f aca="false">IFERROR(IF([2]对账明细接口!$I$554=0,"",[2]对账明细接口!$I$554),"")</f>
        <v/>
      </c>
      <c r="J554" s="61" t="str">
        <f aca="false">IFERROR(IF([2]对账明细接口!$J$554=0,"",[2]对账明细接口!$J$554),"")</f>
        <v/>
      </c>
      <c r="K554" s="61" t="str">
        <f aca="false">IFERROR(IF([2]对账明细接口!$K$554=0,"",[2]对账明细接口!$K$554),"")</f>
        <v/>
      </c>
      <c r="L554" s="59" t="str">
        <f aca="false">IFERROR(IF([2]对账明细接口!$L$554=0,"",[2]对账明细接口!$L$554),"")</f>
        <v/>
      </c>
      <c r="M554" s="59" t="str">
        <f aca="false">IFERROR(IF([2]对账明细接口!$M$554=0,"",[2]对账明细接口!$M$554),"")</f>
        <v/>
      </c>
      <c r="N554" s="111" t="n">
        <f aca="false">IF($C554="",0,1)</f>
        <v>0</v>
      </c>
      <c r="O554" s="111" t="n">
        <f aca="false">N(O553)+$N554</f>
        <v>311</v>
      </c>
      <c r="S554" s="10" t="str">
        <f aca="false">IFERROR(IF([2]对账明细接口!$N554=0,"",[2]对账明细接口!$N554),"")</f>
        <v/>
      </c>
      <c r="T554" s="112" t="str">
        <f aca="false">IFERROR(IF([2]对账明细接口!$O554=0,"",[2]对账明细接口!$O554),"")</f>
        <v/>
      </c>
      <c r="U554" s="112" t="str">
        <f aca="false">IFERROR(IF([2]对账明细接口!$P554=0,"",[2]对账明细接口!$P554),"")</f>
        <v/>
      </c>
      <c r="V554" s="112" t="str">
        <f aca="false">IFERROR(IF([2]对账明细接口!$Q554=0,"",[2]对账明细接口!$Q554),"")</f>
        <v/>
      </c>
      <c r="W554" s="10" t="str">
        <f aca="false">IFERROR(IF([2]对账明细接口!$R554=0,"",[2]对账明细接口!$R554),"")</f>
        <v/>
      </c>
      <c r="X554" s="10" t="str">
        <f aca="false">IFERROR(IF([2]对账明细接口!$S554=0,"",[2]对账明细接口!$S554),"")</f>
        <v/>
      </c>
      <c r="Y554" s="10" t="str">
        <f aca="false">IFERROR(IF([2]对账明细接口!$T554=0,"",[2]对账明细接口!$T554),"")</f>
        <v/>
      </c>
      <c r="Z554" s="113" t="str">
        <f aca="false">IFERROR(IF([2]对账明细接口!$U554=0,"",[2]对账明细接口!$U554),"")</f>
        <v/>
      </c>
      <c r="AA554" s="113" t="str">
        <f aca="false">IFERROR(IF([2]对账明细接口!$V554=0,"",[2]对账明细接口!$V554),"")</f>
        <v/>
      </c>
      <c r="AB554" s="10" t="str">
        <f aca="false">IFERROR(IF([2]对账明细接口!$W554=0,"",[2]对账明细接口!$W554),"")</f>
        <v/>
      </c>
      <c r="AC554" s="90" t="str">
        <f aca="false">IFERROR(IF([2]对账明细接口!$X555=0,"",[2]对账明细接口!$X555),"")</f>
        <v/>
      </c>
      <c r="AD554" s="90" t="str">
        <f aca="false">IFERROR(IF([2]对账明细接口!$Y555=0,"",[2]对账明细接口!$Y555),"")</f>
        <v/>
      </c>
      <c r="AE554" s="90" t="str">
        <f aca="false">IFERROR(IF([2]对账明细接口!$AA555=0,"",[2]对账明细接口!$AA555),"")</f>
        <v/>
      </c>
      <c r="AF554" s="90" t="str">
        <f aca="false">IFERROR(IF([2]对账明细接口!$AB555=0,"",[2]对账明细接口!$AB555),"")</f>
        <v/>
      </c>
      <c r="AG554" s="90" t="str">
        <f aca="false">IFERROR(IF([2]对账明细接口!$AC555=0,"",[2]对账明细接口!$AC555),"")</f>
        <v/>
      </c>
      <c r="AH554" s="90" t="str">
        <f aca="false">IFERROR(IF([2]对账明细接口!$AD555=0,"",[2]对账明细接口!$AD555),"")</f>
        <v/>
      </c>
    </row>
    <row r="555" customFormat="false" ht="13.5" hidden="false" customHeight="false" outlineLevel="0" collapsed="false">
      <c r="A555" s="109" t="n">
        <v>555</v>
      </c>
      <c r="B555" s="110" t="str">
        <f aca="false">IFERROR(IF([2]对账明细接口!$B$555=0,"",[2]对账明细接口!$B$555),"")</f>
        <v/>
      </c>
      <c r="C555" s="59" t="str">
        <f aca="false">IFERROR(IF([2]对账明细接口!$C$555=0,"",[2]对账明细接口!$C$555),"")</f>
        <v/>
      </c>
      <c r="D555" s="59" t="str">
        <f aca="false">IFERROR(IF([2]对账明细接口!$D$555=0,"",[2]对账明细接口!$D$555),"")</f>
        <v/>
      </c>
      <c r="E555" s="59" t="str">
        <f aca="false">IFERROR(IF([2]对账明细接口!$E$555=0,"",[2]对账明细接口!$E$555),"")</f>
        <v/>
      </c>
      <c r="F555" s="59" t="str">
        <f aca="false">IFERROR(IF([2]对账明细接口!$F$555=0,"",[2]对账明细接口!$F$555),"")</f>
        <v/>
      </c>
      <c r="G555" s="59" t="str">
        <f aca="false">IFERROR(IF([2]对账明细接口!$G$555=0,"",[2]对账明细接口!$G$555),"")</f>
        <v/>
      </c>
      <c r="H555" s="60" t="str">
        <f aca="false">IFERROR(IF([2]对账明细接口!$H$555=0,"",[2]对账明细接口!$H$555),"")</f>
        <v/>
      </c>
      <c r="I555" s="59" t="str">
        <f aca="false">IFERROR(IF([2]对账明细接口!$I$555=0,"",[2]对账明细接口!$I$555),"")</f>
        <v/>
      </c>
      <c r="J555" s="61" t="str">
        <f aca="false">IFERROR(IF([2]对账明细接口!$J$555=0,"",[2]对账明细接口!$J$555),"")</f>
        <v/>
      </c>
      <c r="K555" s="61" t="str">
        <f aca="false">IFERROR(IF([2]对账明细接口!$K$555=0,"",[2]对账明细接口!$K$555),"")</f>
        <v/>
      </c>
      <c r="L555" s="59" t="str">
        <f aca="false">IFERROR(IF([2]对账明细接口!$L$555=0,"",[2]对账明细接口!$L$555),"")</f>
        <v/>
      </c>
      <c r="M555" s="59" t="str">
        <f aca="false">IFERROR(IF([2]对账明细接口!$M$555=0,"",[2]对账明细接口!$M$555),"")</f>
        <v/>
      </c>
      <c r="N555" s="111" t="n">
        <f aca="false">IF($C555="",0,1)</f>
        <v>0</v>
      </c>
      <c r="O555" s="111" t="n">
        <f aca="false">N(O554)+$N555</f>
        <v>311</v>
      </c>
      <c r="S555" s="10" t="str">
        <f aca="false">IFERROR(IF([2]对账明细接口!$N555=0,"",[2]对账明细接口!$N555),"")</f>
        <v/>
      </c>
      <c r="T555" s="112" t="str">
        <f aca="false">IFERROR(IF([2]对账明细接口!$O555=0,"",[2]对账明细接口!$O555),"")</f>
        <v/>
      </c>
      <c r="U555" s="112" t="str">
        <f aca="false">IFERROR(IF([2]对账明细接口!$P555=0,"",[2]对账明细接口!$P555),"")</f>
        <v/>
      </c>
      <c r="V555" s="112" t="str">
        <f aca="false">IFERROR(IF([2]对账明细接口!$Q555=0,"",[2]对账明细接口!$Q555),"")</f>
        <v/>
      </c>
      <c r="W555" s="10" t="str">
        <f aca="false">IFERROR(IF([2]对账明细接口!$R555=0,"",[2]对账明细接口!$R555),"")</f>
        <v/>
      </c>
      <c r="X555" s="10" t="str">
        <f aca="false">IFERROR(IF([2]对账明细接口!$S555=0,"",[2]对账明细接口!$S555),"")</f>
        <v/>
      </c>
      <c r="Y555" s="10" t="str">
        <f aca="false">IFERROR(IF([2]对账明细接口!$T555=0,"",[2]对账明细接口!$T555),"")</f>
        <v/>
      </c>
      <c r="Z555" s="113" t="str">
        <f aca="false">IFERROR(IF([2]对账明细接口!$U555=0,"",[2]对账明细接口!$U555),"")</f>
        <v/>
      </c>
      <c r="AA555" s="113" t="str">
        <f aca="false">IFERROR(IF([2]对账明细接口!$V555=0,"",[2]对账明细接口!$V555),"")</f>
        <v/>
      </c>
      <c r="AB555" s="10" t="str">
        <f aca="false">IFERROR(IF([2]对账明细接口!$W555=0,"",[2]对账明细接口!$W555),"")</f>
        <v/>
      </c>
      <c r="AC555" s="90" t="str">
        <f aca="false">IFERROR(IF([2]对账明细接口!$X556=0,"",[2]对账明细接口!$X556),"")</f>
        <v/>
      </c>
      <c r="AD555" s="90" t="str">
        <f aca="false">IFERROR(IF([2]对账明细接口!$Y556=0,"",[2]对账明细接口!$Y556),"")</f>
        <v/>
      </c>
      <c r="AE555" s="90" t="str">
        <f aca="false">IFERROR(IF([2]对账明细接口!$AA556=0,"",[2]对账明细接口!$AA556),"")</f>
        <v/>
      </c>
      <c r="AF555" s="90" t="str">
        <f aca="false">IFERROR(IF([2]对账明细接口!$AB556=0,"",[2]对账明细接口!$AB556),"")</f>
        <v/>
      </c>
      <c r="AG555" s="90" t="str">
        <f aca="false">IFERROR(IF([2]对账明细接口!$AC556=0,"",[2]对账明细接口!$AC556),"")</f>
        <v/>
      </c>
      <c r="AH555" s="90" t="str">
        <f aca="false">IFERROR(IF([2]对账明细接口!$AD556=0,"",[2]对账明细接口!$AD556),"")</f>
        <v/>
      </c>
    </row>
    <row r="556" customFormat="false" ht="13.5" hidden="false" customHeight="false" outlineLevel="0" collapsed="false">
      <c r="A556" s="109" t="n">
        <v>556</v>
      </c>
      <c r="B556" s="110" t="str">
        <f aca="false">IFERROR(IF([2]对账明细接口!$B$556=0,"",[2]对账明细接口!$B$556),"")</f>
        <v/>
      </c>
      <c r="C556" s="59" t="str">
        <f aca="false">IFERROR(IF([2]对账明细接口!$C$556=0,"",[2]对账明细接口!$C$556),"")</f>
        <v/>
      </c>
      <c r="D556" s="59" t="str">
        <f aca="false">IFERROR(IF([2]对账明细接口!$D$556=0,"",[2]对账明细接口!$D$556),"")</f>
        <v/>
      </c>
      <c r="E556" s="59" t="str">
        <f aca="false">IFERROR(IF([2]对账明细接口!$E$556=0,"",[2]对账明细接口!$E$556),"")</f>
        <v/>
      </c>
      <c r="F556" s="59" t="str">
        <f aca="false">IFERROR(IF([2]对账明细接口!$F$556=0,"",[2]对账明细接口!$F$556),"")</f>
        <v/>
      </c>
      <c r="G556" s="59" t="str">
        <f aca="false">IFERROR(IF([2]对账明细接口!$G$556=0,"",[2]对账明细接口!$G$556),"")</f>
        <v/>
      </c>
      <c r="H556" s="60" t="str">
        <f aca="false">IFERROR(IF([2]对账明细接口!$H$556=0,"",[2]对账明细接口!$H$556),"")</f>
        <v/>
      </c>
      <c r="I556" s="59" t="str">
        <f aca="false">IFERROR(IF([2]对账明细接口!$I$556=0,"",[2]对账明细接口!$I$556),"")</f>
        <v/>
      </c>
      <c r="J556" s="61" t="str">
        <f aca="false">IFERROR(IF([2]对账明细接口!$J$556=0,"",[2]对账明细接口!$J$556),"")</f>
        <v/>
      </c>
      <c r="K556" s="61" t="str">
        <f aca="false">IFERROR(IF([2]对账明细接口!$K$556=0,"",[2]对账明细接口!$K$556),"")</f>
        <v/>
      </c>
      <c r="L556" s="59" t="str">
        <f aca="false">IFERROR(IF([2]对账明细接口!$L$556=0,"",[2]对账明细接口!$L$556),"")</f>
        <v/>
      </c>
      <c r="M556" s="59" t="str">
        <f aca="false">IFERROR(IF([2]对账明细接口!$M$556=0,"",[2]对账明细接口!$M$556),"")</f>
        <v/>
      </c>
      <c r="N556" s="111" t="n">
        <f aca="false">IF($C556="",0,1)</f>
        <v>0</v>
      </c>
      <c r="O556" s="111" t="n">
        <f aca="false">N(O555)+$N556</f>
        <v>311</v>
      </c>
      <c r="S556" s="10" t="str">
        <f aca="false">IFERROR(IF([2]对账明细接口!$N556=0,"",[2]对账明细接口!$N556),"")</f>
        <v/>
      </c>
      <c r="T556" s="112" t="str">
        <f aca="false">IFERROR(IF([2]对账明细接口!$O556=0,"",[2]对账明细接口!$O556),"")</f>
        <v/>
      </c>
      <c r="U556" s="112" t="str">
        <f aca="false">IFERROR(IF([2]对账明细接口!$P556=0,"",[2]对账明细接口!$P556),"")</f>
        <v/>
      </c>
      <c r="V556" s="112" t="str">
        <f aca="false">IFERROR(IF([2]对账明细接口!$Q556=0,"",[2]对账明细接口!$Q556),"")</f>
        <v/>
      </c>
      <c r="W556" s="10" t="str">
        <f aca="false">IFERROR(IF([2]对账明细接口!$R556=0,"",[2]对账明细接口!$R556),"")</f>
        <v/>
      </c>
      <c r="X556" s="10" t="str">
        <f aca="false">IFERROR(IF([2]对账明细接口!$S556=0,"",[2]对账明细接口!$S556),"")</f>
        <v/>
      </c>
      <c r="Y556" s="10" t="str">
        <f aca="false">IFERROR(IF([2]对账明细接口!$T556=0,"",[2]对账明细接口!$T556),"")</f>
        <v/>
      </c>
      <c r="Z556" s="113" t="str">
        <f aca="false">IFERROR(IF([2]对账明细接口!$U556=0,"",[2]对账明细接口!$U556),"")</f>
        <v/>
      </c>
      <c r="AA556" s="113" t="str">
        <f aca="false">IFERROR(IF([2]对账明细接口!$V556=0,"",[2]对账明细接口!$V556),"")</f>
        <v/>
      </c>
      <c r="AB556" s="10" t="str">
        <f aca="false">IFERROR(IF([2]对账明细接口!$W556=0,"",[2]对账明细接口!$W556),"")</f>
        <v/>
      </c>
      <c r="AC556" s="90" t="str">
        <f aca="false">IFERROR(IF([2]对账明细接口!$X557=0,"",[2]对账明细接口!$X557),"")</f>
        <v/>
      </c>
      <c r="AD556" s="90" t="str">
        <f aca="false">IFERROR(IF([2]对账明细接口!$Y557=0,"",[2]对账明细接口!$Y557),"")</f>
        <v/>
      </c>
      <c r="AE556" s="90" t="str">
        <f aca="false">IFERROR(IF([2]对账明细接口!$AA557=0,"",[2]对账明细接口!$AA557),"")</f>
        <v/>
      </c>
      <c r="AF556" s="90" t="str">
        <f aca="false">IFERROR(IF([2]对账明细接口!$AB557=0,"",[2]对账明细接口!$AB557),"")</f>
        <v/>
      </c>
      <c r="AG556" s="90" t="str">
        <f aca="false">IFERROR(IF([2]对账明细接口!$AC557=0,"",[2]对账明细接口!$AC557),"")</f>
        <v/>
      </c>
      <c r="AH556" s="90" t="str">
        <f aca="false">IFERROR(IF([2]对账明细接口!$AD557=0,"",[2]对账明细接口!$AD557),"")</f>
        <v/>
      </c>
    </row>
    <row r="557" customFormat="false" ht="13.5" hidden="false" customHeight="false" outlineLevel="0" collapsed="false">
      <c r="A557" s="109" t="n">
        <v>557</v>
      </c>
      <c r="B557" s="110" t="str">
        <f aca="false">IFERROR(IF([2]对账明细接口!$B$557=0,"",[2]对账明细接口!$B$557),"")</f>
        <v/>
      </c>
      <c r="C557" s="59" t="str">
        <f aca="false">IFERROR(IF([2]对账明细接口!$C$557=0,"",[2]对账明细接口!$C$557),"")</f>
        <v/>
      </c>
      <c r="D557" s="59" t="str">
        <f aca="false">IFERROR(IF([2]对账明细接口!$D$557=0,"",[2]对账明细接口!$D$557),"")</f>
        <v/>
      </c>
      <c r="E557" s="59" t="str">
        <f aca="false">IFERROR(IF([2]对账明细接口!$E$557=0,"",[2]对账明细接口!$E$557),"")</f>
        <v/>
      </c>
      <c r="F557" s="59" t="str">
        <f aca="false">IFERROR(IF([2]对账明细接口!$F$557=0,"",[2]对账明细接口!$F$557),"")</f>
        <v/>
      </c>
      <c r="G557" s="59" t="str">
        <f aca="false">IFERROR(IF([2]对账明细接口!$G$557=0,"",[2]对账明细接口!$G$557),"")</f>
        <v/>
      </c>
      <c r="H557" s="60" t="str">
        <f aca="false">IFERROR(IF([2]对账明细接口!$H$557=0,"",[2]对账明细接口!$H$557),"")</f>
        <v/>
      </c>
      <c r="I557" s="59" t="str">
        <f aca="false">IFERROR(IF([2]对账明细接口!$I$557=0,"",[2]对账明细接口!$I$557),"")</f>
        <v/>
      </c>
      <c r="J557" s="61" t="str">
        <f aca="false">IFERROR(IF([2]对账明细接口!$J$557=0,"",[2]对账明细接口!$J$557),"")</f>
        <v/>
      </c>
      <c r="K557" s="61" t="str">
        <f aca="false">IFERROR(IF([2]对账明细接口!$K$557=0,"",[2]对账明细接口!$K$557),"")</f>
        <v/>
      </c>
      <c r="L557" s="59" t="str">
        <f aca="false">IFERROR(IF([2]对账明细接口!$L$557=0,"",[2]对账明细接口!$L$557),"")</f>
        <v/>
      </c>
      <c r="M557" s="59" t="str">
        <f aca="false">IFERROR(IF([2]对账明细接口!$M$557=0,"",[2]对账明细接口!$M$557),"")</f>
        <v/>
      </c>
      <c r="N557" s="111" t="n">
        <f aca="false">IF($C557="",0,1)</f>
        <v>0</v>
      </c>
      <c r="O557" s="111" t="n">
        <f aca="false">N(O556)+$N557</f>
        <v>311</v>
      </c>
      <c r="S557" s="10" t="str">
        <f aca="false">IFERROR(IF([2]对账明细接口!$N557=0,"",[2]对账明细接口!$N557),"")</f>
        <v/>
      </c>
      <c r="T557" s="112" t="str">
        <f aca="false">IFERROR(IF([2]对账明细接口!$O557=0,"",[2]对账明细接口!$O557),"")</f>
        <v/>
      </c>
      <c r="U557" s="112" t="str">
        <f aca="false">IFERROR(IF([2]对账明细接口!$P557=0,"",[2]对账明细接口!$P557),"")</f>
        <v/>
      </c>
      <c r="V557" s="112" t="str">
        <f aca="false">IFERROR(IF([2]对账明细接口!$Q557=0,"",[2]对账明细接口!$Q557),"")</f>
        <v/>
      </c>
      <c r="W557" s="10" t="str">
        <f aca="false">IFERROR(IF([2]对账明细接口!$R557=0,"",[2]对账明细接口!$R557),"")</f>
        <v/>
      </c>
      <c r="X557" s="10" t="str">
        <f aca="false">IFERROR(IF([2]对账明细接口!$S557=0,"",[2]对账明细接口!$S557),"")</f>
        <v/>
      </c>
      <c r="Y557" s="10" t="str">
        <f aca="false">IFERROR(IF([2]对账明细接口!$T557=0,"",[2]对账明细接口!$T557),"")</f>
        <v/>
      </c>
      <c r="Z557" s="113" t="str">
        <f aca="false">IFERROR(IF([2]对账明细接口!$U557=0,"",[2]对账明细接口!$U557),"")</f>
        <v/>
      </c>
      <c r="AA557" s="113" t="str">
        <f aca="false">IFERROR(IF([2]对账明细接口!$V557=0,"",[2]对账明细接口!$V557),"")</f>
        <v/>
      </c>
      <c r="AB557" s="10" t="str">
        <f aca="false">IFERROR(IF([2]对账明细接口!$W557=0,"",[2]对账明细接口!$W557),"")</f>
        <v/>
      </c>
      <c r="AC557" s="90" t="str">
        <f aca="false">IFERROR(IF([2]对账明细接口!$X558=0,"",[2]对账明细接口!$X558),"")</f>
        <v/>
      </c>
      <c r="AD557" s="90" t="str">
        <f aca="false">IFERROR(IF([2]对账明细接口!$Y558=0,"",[2]对账明细接口!$Y558),"")</f>
        <v/>
      </c>
      <c r="AE557" s="90" t="str">
        <f aca="false">IFERROR(IF([2]对账明细接口!$AA558=0,"",[2]对账明细接口!$AA558),"")</f>
        <v/>
      </c>
      <c r="AF557" s="90" t="str">
        <f aca="false">IFERROR(IF([2]对账明细接口!$AB558=0,"",[2]对账明细接口!$AB558),"")</f>
        <v/>
      </c>
      <c r="AG557" s="90" t="str">
        <f aca="false">IFERROR(IF([2]对账明细接口!$AC558=0,"",[2]对账明细接口!$AC558),"")</f>
        <v/>
      </c>
      <c r="AH557" s="90" t="str">
        <f aca="false">IFERROR(IF([2]对账明细接口!$AD558=0,"",[2]对账明细接口!$AD558),"")</f>
        <v/>
      </c>
    </row>
    <row r="558" customFormat="false" ht="13.5" hidden="false" customHeight="false" outlineLevel="0" collapsed="false">
      <c r="A558" s="109" t="n">
        <v>558</v>
      </c>
      <c r="B558" s="110" t="str">
        <f aca="false">IFERROR(IF([2]对账明细接口!$B$558=0,"",[2]对账明细接口!$B$558),"")</f>
        <v/>
      </c>
      <c r="C558" s="59" t="str">
        <f aca="false">IFERROR(IF([2]对账明细接口!$C$558=0,"",[2]对账明细接口!$C$558),"")</f>
        <v/>
      </c>
      <c r="D558" s="59" t="str">
        <f aca="false">IFERROR(IF([2]对账明细接口!$D$558=0,"",[2]对账明细接口!$D$558),"")</f>
        <v/>
      </c>
      <c r="E558" s="59" t="str">
        <f aca="false">IFERROR(IF([2]对账明细接口!$E$558=0,"",[2]对账明细接口!$E$558),"")</f>
        <v/>
      </c>
      <c r="F558" s="59" t="str">
        <f aca="false">IFERROR(IF([2]对账明细接口!$F$558=0,"",[2]对账明细接口!$F$558),"")</f>
        <v/>
      </c>
      <c r="G558" s="59" t="str">
        <f aca="false">IFERROR(IF([2]对账明细接口!$G$558=0,"",[2]对账明细接口!$G$558),"")</f>
        <v/>
      </c>
      <c r="H558" s="60" t="str">
        <f aca="false">IFERROR(IF([2]对账明细接口!$H$558=0,"",[2]对账明细接口!$H$558),"")</f>
        <v/>
      </c>
      <c r="I558" s="59" t="str">
        <f aca="false">IFERROR(IF([2]对账明细接口!$I$558=0,"",[2]对账明细接口!$I$558),"")</f>
        <v/>
      </c>
      <c r="J558" s="61" t="str">
        <f aca="false">IFERROR(IF([2]对账明细接口!$J$558=0,"",[2]对账明细接口!$J$558),"")</f>
        <v/>
      </c>
      <c r="K558" s="61" t="str">
        <f aca="false">IFERROR(IF([2]对账明细接口!$K$558=0,"",[2]对账明细接口!$K$558),"")</f>
        <v/>
      </c>
      <c r="L558" s="59" t="str">
        <f aca="false">IFERROR(IF([2]对账明细接口!$L$558=0,"",[2]对账明细接口!$L$558),"")</f>
        <v/>
      </c>
      <c r="M558" s="59" t="str">
        <f aca="false">IFERROR(IF([2]对账明细接口!$M$558=0,"",[2]对账明细接口!$M$558),"")</f>
        <v/>
      </c>
      <c r="N558" s="111" t="n">
        <f aca="false">IF($C558="",0,1)</f>
        <v>0</v>
      </c>
      <c r="O558" s="111" t="n">
        <f aca="false">N(O557)+$N558</f>
        <v>311</v>
      </c>
      <c r="S558" s="10" t="str">
        <f aca="false">IFERROR(IF([2]对账明细接口!$N558=0,"",[2]对账明细接口!$N558),"")</f>
        <v/>
      </c>
      <c r="T558" s="112" t="str">
        <f aca="false">IFERROR(IF([2]对账明细接口!$O558=0,"",[2]对账明细接口!$O558),"")</f>
        <v/>
      </c>
      <c r="U558" s="112" t="str">
        <f aca="false">IFERROR(IF([2]对账明细接口!$P558=0,"",[2]对账明细接口!$P558),"")</f>
        <v/>
      </c>
      <c r="V558" s="112" t="str">
        <f aca="false">IFERROR(IF([2]对账明细接口!$Q558=0,"",[2]对账明细接口!$Q558),"")</f>
        <v/>
      </c>
      <c r="W558" s="10" t="str">
        <f aca="false">IFERROR(IF([2]对账明细接口!$R558=0,"",[2]对账明细接口!$R558),"")</f>
        <v/>
      </c>
      <c r="X558" s="10" t="str">
        <f aca="false">IFERROR(IF([2]对账明细接口!$S558=0,"",[2]对账明细接口!$S558),"")</f>
        <v/>
      </c>
      <c r="Y558" s="10" t="str">
        <f aca="false">IFERROR(IF([2]对账明细接口!$T558=0,"",[2]对账明细接口!$T558),"")</f>
        <v/>
      </c>
      <c r="Z558" s="113" t="str">
        <f aca="false">IFERROR(IF([2]对账明细接口!$U558=0,"",[2]对账明细接口!$U558),"")</f>
        <v/>
      </c>
      <c r="AA558" s="113" t="str">
        <f aca="false">IFERROR(IF([2]对账明细接口!$V558=0,"",[2]对账明细接口!$V558),"")</f>
        <v/>
      </c>
      <c r="AB558" s="10" t="str">
        <f aca="false">IFERROR(IF([2]对账明细接口!$W558=0,"",[2]对账明细接口!$W558),"")</f>
        <v/>
      </c>
      <c r="AC558" s="90" t="str">
        <f aca="false">IFERROR(IF([2]对账明细接口!$X559=0,"",[2]对账明细接口!$X559),"")</f>
        <v/>
      </c>
      <c r="AD558" s="90" t="str">
        <f aca="false">IFERROR(IF([2]对账明细接口!$Y559=0,"",[2]对账明细接口!$Y559),"")</f>
        <v/>
      </c>
      <c r="AE558" s="90" t="str">
        <f aca="false">IFERROR(IF([2]对账明细接口!$AA559=0,"",[2]对账明细接口!$AA559),"")</f>
        <v/>
      </c>
      <c r="AF558" s="90" t="str">
        <f aca="false">IFERROR(IF([2]对账明细接口!$AB559=0,"",[2]对账明细接口!$AB559),"")</f>
        <v/>
      </c>
      <c r="AG558" s="90" t="str">
        <f aca="false">IFERROR(IF([2]对账明细接口!$AC559=0,"",[2]对账明细接口!$AC559),"")</f>
        <v/>
      </c>
      <c r="AH558" s="90" t="str">
        <f aca="false">IFERROR(IF([2]对账明细接口!$AD559=0,"",[2]对账明细接口!$AD559),"")</f>
        <v/>
      </c>
    </row>
    <row r="559" customFormat="false" ht="13.5" hidden="false" customHeight="false" outlineLevel="0" collapsed="false">
      <c r="A559" s="109" t="n">
        <v>559</v>
      </c>
      <c r="B559" s="110" t="str">
        <f aca="false">IFERROR(IF([2]对账明细接口!$B$559=0,"",[2]对账明细接口!$B$559),"")</f>
        <v/>
      </c>
      <c r="C559" s="59" t="str">
        <f aca="false">IFERROR(IF([2]对账明细接口!$C$559=0,"",[2]对账明细接口!$C$559),"")</f>
        <v/>
      </c>
      <c r="D559" s="59" t="str">
        <f aca="false">IFERROR(IF([2]对账明细接口!$D$559=0,"",[2]对账明细接口!$D$559),"")</f>
        <v/>
      </c>
      <c r="E559" s="59" t="str">
        <f aca="false">IFERROR(IF([2]对账明细接口!$E$559=0,"",[2]对账明细接口!$E$559),"")</f>
        <v/>
      </c>
      <c r="F559" s="59" t="str">
        <f aca="false">IFERROR(IF([2]对账明细接口!$F$559=0,"",[2]对账明细接口!$F$559),"")</f>
        <v/>
      </c>
      <c r="G559" s="59" t="str">
        <f aca="false">IFERROR(IF([2]对账明细接口!$G$559=0,"",[2]对账明细接口!$G$559),"")</f>
        <v/>
      </c>
      <c r="H559" s="60" t="str">
        <f aca="false">IFERROR(IF([2]对账明细接口!$H$559=0,"",[2]对账明细接口!$H$559),"")</f>
        <v/>
      </c>
      <c r="I559" s="59" t="str">
        <f aca="false">IFERROR(IF([2]对账明细接口!$I$559=0,"",[2]对账明细接口!$I$559),"")</f>
        <v/>
      </c>
      <c r="J559" s="61" t="str">
        <f aca="false">IFERROR(IF([2]对账明细接口!$J$559=0,"",[2]对账明细接口!$J$559),"")</f>
        <v/>
      </c>
      <c r="K559" s="61" t="str">
        <f aca="false">IFERROR(IF([2]对账明细接口!$K$559=0,"",[2]对账明细接口!$K$559),"")</f>
        <v/>
      </c>
      <c r="L559" s="59" t="str">
        <f aca="false">IFERROR(IF([2]对账明细接口!$L$559=0,"",[2]对账明细接口!$L$559),"")</f>
        <v/>
      </c>
      <c r="M559" s="59" t="str">
        <f aca="false">IFERROR(IF([2]对账明细接口!$M$559=0,"",[2]对账明细接口!$M$559),"")</f>
        <v/>
      </c>
      <c r="N559" s="111" t="n">
        <f aca="false">IF($C559="",0,1)</f>
        <v>0</v>
      </c>
      <c r="O559" s="111" t="n">
        <f aca="false">N(O558)+$N559</f>
        <v>311</v>
      </c>
      <c r="S559" s="10" t="str">
        <f aca="false">IFERROR(IF([2]对账明细接口!$N559=0,"",[2]对账明细接口!$N559),"")</f>
        <v/>
      </c>
      <c r="T559" s="112" t="str">
        <f aca="false">IFERROR(IF([2]对账明细接口!$O559=0,"",[2]对账明细接口!$O559),"")</f>
        <v/>
      </c>
      <c r="U559" s="112" t="str">
        <f aca="false">IFERROR(IF([2]对账明细接口!$P559=0,"",[2]对账明细接口!$P559),"")</f>
        <v/>
      </c>
      <c r="V559" s="112" t="str">
        <f aca="false">IFERROR(IF([2]对账明细接口!$Q559=0,"",[2]对账明细接口!$Q559),"")</f>
        <v/>
      </c>
      <c r="W559" s="10" t="str">
        <f aca="false">IFERROR(IF([2]对账明细接口!$R559=0,"",[2]对账明细接口!$R559),"")</f>
        <v/>
      </c>
      <c r="X559" s="10" t="str">
        <f aca="false">IFERROR(IF([2]对账明细接口!$S559=0,"",[2]对账明细接口!$S559),"")</f>
        <v/>
      </c>
      <c r="Y559" s="10" t="str">
        <f aca="false">IFERROR(IF([2]对账明细接口!$T559=0,"",[2]对账明细接口!$T559),"")</f>
        <v/>
      </c>
      <c r="Z559" s="113" t="str">
        <f aca="false">IFERROR(IF([2]对账明细接口!$U559=0,"",[2]对账明细接口!$U559),"")</f>
        <v/>
      </c>
      <c r="AA559" s="113" t="str">
        <f aca="false">IFERROR(IF([2]对账明细接口!$V559=0,"",[2]对账明细接口!$V559),"")</f>
        <v/>
      </c>
      <c r="AB559" s="10" t="str">
        <f aca="false">IFERROR(IF([2]对账明细接口!$W559=0,"",[2]对账明细接口!$W559),"")</f>
        <v/>
      </c>
      <c r="AC559" s="90" t="str">
        <f aca="false">IFERROR(IF([2]对账明细接口!$X560=0,"",[2]对账明细接口!$X560),"")</f>
        <v/>
      </c>
      <c r="AD559" s="90" t="str">
        <f aca="false">IFERROR(IF([2]对账明细接口!$Y560=0,"",[2]对账明细接口!$Y560),"")</f>
        <v/>
      </c>
      <c r="AE559" s="90" t="str">
        <f aca="false">IFERROR(IF([2]对账明细接口!$AA560=0,"",[2]对账明细接口!$AA560),"")</f>
        <v/>
      </c>
      <c r="AF559" s="90" t="str">
        <f aca="false">IFERROR(IF([2]对账明细接口!$AB560=0,"",[2]对账明细接口!$AB560),"")</f>
        <v/>
      </c>
      <c r="AG559" s="90" t="str">
        <f aca="false">IFERROR(IF([2]对账明细接口!$AC560=0,"",[2]对账明细接口!$AC560),"")</f>
        <v/>
      </c>
      <c r="AH559" s="90" t="str">
        <f aca="false">IFERROR(IF([2]对账明细接口!$AD560=0,"",[2]对账明细接口!$AD560),"")</f>
        <v/>
      </c>
    </row>
    <row r="560" customFormat="false" ht="13.5" hidden="false" customHeight="false" outlineLevel="0" collapsed="false">
      <c r="A560" s="109" t="n">
        <v>560</v>
      </c>
      <c r="B560" s="110" t="str">
        <f aca="false">IFERROR(IF([2]对账明细接口!$B$560=0,"",[2]对账明细接口!$B$560),"")</f>
        <v/>
      </c>
      <c r="C560" s="59" t="str">
        <f aca="false">IFERROR(IF([2]对账明细接口!$C$560=0,"",[2]对账明细接口!$C$560),"")</f>
        <v/>
      </c>
      <c r="D560" s="59" t="str">
        <f aca="false">IFERROR(IF([2]对账明细接口!$D$560=0,"",[2]对账明细接口!$D$560),"")</f>
        <v/>
      </c>
      <c r="E560" s="59" t="str">
        <f aca="false">IFERROR(IF([2]对账明细接口!$E$560=0,"",[2]对账明细接口!$E$560),"")</f>
        <v/>
      </c>
      <c r="F560" s="59" t="str">
        <f aca="false">IFERROR(IF([2]对账明细接口!$F$560=0,"",[2]对账明细接口!$F$560),"")</f>
        <v/>
      </c>
      <c r="G560" s="59" t="str">
        <f aca="false">IFERROR(IF([2]对账明细接口!$G$560=0,"",[2]对账明细接口!$G$560),"")</f>
        <v/>
      </c>
      <c r="H560" s="60" t="str">
        <f aca="false">IFERROR(IF([2]对账明细接口!$H$560=0,"",[2]对账明细接口!$H$560),"")</f>
        <v/>
      </c>
      <c r="I560" s="59" t="str">
        <f aca="false">IFERROR(IF([2]对账明细接口!$I$560=0,"",[2]对账明细接口!$I$560),"")</f>
        <v/>
      </c>
      <c r="J560" s="61" t="str">
        <f aca="false">IFERROR(IF([2]对账明细接口!$J$560=0,"",[2]对账明细接口!$J$560),"")</f>
        <v/>
      </c>
      <c r="K560" s="61" t="str">
        <f aca="false">IFERROR(IF([2]对账明细接口!$K$560=0,"",[2]对账明细接口!$K$560),"")</f>
        <v/>
      </c>
      <c r="L560" s="59" t="str">
        <f aca="false">IFERROR(IF([2]对账明细接口!$L$560=0,"",[2]对账明细接口!$L$560),"")</f>
        <v/>
      </c>
      <c r="M560" s="59" t="str">
        <f aca="false">IFERROR(IF([2]对账明细接口!$M$560=0,"",[2]对账明细接口!$M$560),"")</f>
        <v/>
      </c>
      <c r="N560" s="111" t="n">
        <f aca="false">IF($C560="",0,1)</f>
        <v>0</v>
      </c>
      <c r="O560" s="111" t="n">
        <f aca="false">N(O559)+$N560</f>
        <v>311</v>
      </c>
      <c r="S560" s="10" t="str">
        <f aca="false">IFERROR(IF([2]对账明细接口!$N560=0,"",[2]对账明细接口!$N560),"")</f>
        <v/>
      </c>
      <c r="T560" s="112" t="str">
        <f aca="false">IFERROR(IF([2]对账明细接口!$O560=0,"",[2]对账明细接口!$O560),"")</f>
        <v/>
      </c>
      <c r="U560" s="112" t="str">
        <f aca="false">IFERROR(IF([2]对账明细接口!$P560=0,"",[2]对账明细接口!$P560),"")</f>
        <v/>
      </c>
      <c r="V560" s="112" t="str">
        <f aca="false">IFERROR(IF([2]对账明细接口!$Q560=0,"",[2]对账明细接口!$Q560),"")</f>
        <v/>
      </c>
      <c r="W560" s="10" t="str">
        <f aca="false">IFERROR(IF([2]对账明细接口!$R560=0,"",[2]对账明细接口!$R560),"")</f>
        <v/>
      </c>
      <c r="X560" s="10" t="str">
        <f aca="false">IFERROR(IF([2]对账明细接口!$S560=0,"",[2]对账明细接口!$S560),"")</f>
        <v/>
      </c>
      <c r="Y560" s="10" t="str">
        <f aca="false">IFERROR(IF([2]对账明细接口!$T560=0,"",[2]对账明细接口!$T560),"")</f>
        <v/>
      </c>
      <c r="Z560" s="113" t="str">
        <f aca="false">IFERROR(IF([2]对账明细接口!$U560=0,"",[2]对账明细接口!$U560),"")</f>
        <v/>
      </c>
      <c r="AA560" s="113" t="str">
        <f aca="false">IFERROR(IF([2]对账明细接口!$V560=0,"",[2]对账明细接口!$V560),"")</f>
        <v/>
      </c>
      <c r="AB560" s="10" t="str">
        <f aca="false">IFERROR(IF([2]对账明细接口!$W560=0,"",[2]对账明细接口!$W560),"")</f>
        <v/>
      </c>
      <c r="AC560" s="90" t="str">
        <f aca="false">IFERROR(IF([2]对账明细接口!$X561=0,"",[2]对账明细接口!$X561),"")</f>
        <v/>
      </c>
      <c r="AD560" s="90" t="str">
        <f aca="false">IFERROR(IF([2]对账明细接口!$Y561=0,"",[2]对账明细接口!$Y561),"")</f>
        <v/>
      </c>
      <c r="AE560" s="90" t="str">
        <f aca="false">IFERROR(IF([2]对账明细接口!$AA561=0,"",[2]对账明细接口!$AA561),"")</f>
        <v/>
      </c>
      <c r="AF560" s="90" t="str">
        <f aca="false">IFERROR(IF([2]对账明细接口!$AB561=0,"",[2]对账明细接口!$AB561),"")</f>
        <v/>
      </c>
      <c r="AG560" s="90" t="str">
        <f aca="false">IFERROR(IF([2]对账明细接口!$AC561=0,"",[2]对账明细接口!$AC561),"")</f>
        <v/>
      </c>
      <c r="AH560" s="90" t="str">
        <f aca="false">IFERROR(IF([2]对账明细接口!$AD561=0,"",[2]对账明细接口!$AD561),"")</f>
        <v/>
      </c>
    </row>
    <row r="561" customFormat="false" ht="13.5" hidden="false" customHeight="false" outlineLevel="0" collapsed="false">
      <c r="A561" s="109" t="n">
        <v>561</v>
      </c>
      <c r="B561" s="110" t="str">
        <f aca="false">IFERROR(IF([2]对账明细接口!$B$561=0,"",[2]对账明细接口!$B$561),"")</f>
        <v/>
      </c>
      <c r="C561" s="59" t="str">
        <f aca="false">IFERROR(IF([2]对账明细接口!$C$561=0,"",[2]对账明细接口!$C$561),"")</f>
        <v/>
      </c>
      <c r="D561" s="59" t="str">
        <f aca="false">IFERROR(IF([2]对账明细接口!$D$561=0,"",[2]对账明细接口!$D$561),"")</f>
        <v/>
      </c>
      <c r="E561" s="59" t="str">
        <f aca="false">IFERROR(IF([2]对账明细接口!$E$561=0,"",[2]对账明细接口!$E$561),"")</f>
        <v/>
      </c>
      <c r="F561" s="59" t="str">
        <f aca="false">IFERROR(IF([2]对账明细接口!$F$561=0,"",[2]对账明细接口!$F$561),"")</f>
        <v/>
      </c>
      <c r="G561" s="59" t="str">
        <f aca="false">IFERROR(IF([2]对账明细接口!$G$561=0,"",[2]对账明细接口!$G$561),"")</f>
        <v/>
      </c>
      <c r="H561" s="60" t="str">
        <f aca="false">IFERROR(IF([2]对账明细接口!$H$561=0,"",[2]对账明细接口!$H$561),"")</f>
        <v/>
      </c>
      <c r="I561" s="59" t="str">
        <f aca="false">IFERROR(IF([2]对账明细接口!$I$561=0,"",[2]对账明细接口!$I$561),"")</f>
        <v/>
      </c>
      <c r="J561" s="61" t="str">
        <f aca="false">IFERROR(IF([2]对账明细接口!$J$561=0,"",[2]对账明细接口!$J$561),"")</f>
        <v/>
      </c>
      <c r="K561" s="61" t="str">
        <f aca="false">IFERROR(IF([2]对账明细接口!$K$561=0,"",[2]对账明细接口!$K$561),"")</f>
        <v/>
      </c>
      <c r="L561" s="59" t="str">
        <f aca="false">IFERROR(IF([2]对账明细接口!$L$561=0,"",[2]对账明细接口!$L$561),"")</f>
        <v/>
      </c>
      <c r="M561" s="59" t="str">
        <f aca="false">IFERROR(IF([2]对账明细接口!$M$561=0,"",[2]对账明细接口!$M$561),"")</f>
        <v/>
      </c>
      <c r="N561" s="111" t="n">
        <f aca="false">IF($C561="",0,1)</f>
        <v>0</v>
      </c>
      <c r="O561" s="111" t="n">
        <f aca="false">N(O560)+$N561</f>
        <v>311</v>
      </c>
      <c r="S561" s="10" t="str">
        <f aca="false">IFERROR(IF([2]对账明细接口!$N561=0,"",[2]对账明细接口!$N561),"")</f>
        <v/>
      </c>
      <c r="T561" s="112" t="str">
        <f aca="false">IFERROR(IF([2]对账明细接口!$O561=0,"",[2]对账明细接口!$O561),"")</f>
        <v/>
      </c>
      <c r="U561" s="112" t="str">
        <f aca="false">IFERROR(IF([2]对账明细接口!$P561=0,"",[2]对账明细接口!$P561),"")</f>
        <v/>
      </c>
      <c r="V561" s="112" t="str">
        <f aca="false">IFERROR(IF([2]对账明细接口!$Q561=0,"",[2]对账明细接口!$Q561),"")</f>
        <v/>
      </c>
      <c r="W561" s="10" t="str">
        <f aca="false">IFERROR(IF([2]对账明细接口!$R561=0,"",[2]对账明细接口!$R561),"")</f>
        <v/>
      </c>
      <c r="X561" s="10" t="str">
        <f aca="false">IFERROR(IF([2]对账明细接口!$S561=0,"",[2]对账明细接口!$S561),"")</f>
        <v/>
      </c>
      <c r="Y561" s="10" t="str">
        <f aca="false">IFERROR(IF([2]对账明细接口!$T561=0,"",[2]对账明细接口!$T561),"")</f>
        <v/>
      </c>
      <c r="Z561" s="113" t="str">
        <f aca="false">IFERROR(IF([2]对账明细接口!$U561=0,"",[2]对账明细接口!$U561),"")</f>
        <v/>
      </c>
      <c r="AA561" s="113" t="str">
        <f aca="false">IFERROR(IF([2]对账明细接口!$V561=0,"",[2]对账明细接口!$V561),"")</f>
        <v/>
      </c>
      <c r="AB561" s="10" t="str">
        <f aca="false">IFERROR(IF([2]对账明细接口!$W561=0,"",[2]对账明细接口!$W561),"")</f>
        <v/>
      </c>
      <c r="AC561" s="90" t="str">
        <f aca="false">IFERROR(IF([2]对账明细接口!$X562=0,"",[2]对账明细接口!$X562),"")</f>
        <v/>
      </c>
      <c r="AD561" s="90" t="str">
        <f aca="false">IFERROR(IF([2]对账明细接口!$Y562=0,"",[2]对账明细接口!$Y562),"")</f>
        <v/>
      </c>
      <c r="AE561" s="90" t="str">
        <f aca="false">IFERROR(IF([2]对账明细接口!$AA562=0,"",[2]对账明细接口!$AA562),"")</f>
        <v/>
      </c>
      <c r="AF561" s="90" t="str">
        <f aca="false">IFERROR(IF([2]对账明细接口!$AB562=0,"",[2]对账明细接口!$AB562),"")</f>
        <v/>
      </c>
      <c r="AG561" s="90" t="str">
        <f aca="false">IFERROR(IF([2]对账明细接口!$AC562=0,"",[2]对账明细接口!$AC562),"")</f>
        <v/>
      </c>
      <c r="AH561" s="90" t="str">
        <f aca="false">IFERROR(IF([2]对账明细接口!$AD562=0,"",[2]对账明细接口!$AD562),"")</f>
        <v/>
      </c>
    </row>
    <row r="562" customFormat="false" ht="13.5" hidden="false" customHeight="false" outlineLevel="0" collapsed="false">
      <c r="A562" s="109" t="n">
        <v>562</v>
      </c>
      <c r="B562" s="110" t="str">
        <f aca="false">IFERROR(IF([2]对账明细接口!$B$562=0,"",[2]对账明细接口!$B$562),"")</f>
        <v/>
      </c>
      <c r="C562" s="59" t="str">
        <f aca="false">IFERROR(IF([2]对账明细接口!$C$562=0,"",[2]对账明细接口!$C$562),"")</f>
        <v/>
      </c>
      <c r="D562" s="59" t="str">
        <f aca="false">IFERROR(IF([2]对账明细接口!$D$562=0,"",[2]对账明细接口!$D$562),"")</f>
        <v/>
      </c>
      <c r="E562" s="59" t="str">
        <f aca="false">IFERROR(IF([2]对账明细接口!$E$562=0,"",[2]对账明细接口!$E$562),"")</f>
        <v/>
      </c>
      <c r="F562" s="59" t="str">
        <f aca="false">IFERROR(IF([2]对账明细接口!$F$562=0,"",[2]对账明细接口!$F$562),"")</f>
        <v/>
      </c>
      <c r="G562" s="59" t="str">
        <f aca="false">IFERROR(IF([2]对账明细接口!$G$562=0,"",[2]对账明细接口!$G$562),"")</f>
        <v/>
      </c>
      <c r="H562" s="60" t="str">
        <f aca="false">IFERROR(IF([2]对账明细接口!$H$562=0,"",[2]对账明细接口!$H$562),"")</f>
        <v/>
      </c>
      <c r="I562" s="59" t="str">
        <f aca="false">IFERROR(IF([2]对账明细接口!$I$562=0,"",[2]对账明细接口!$I$562),"")</f>
        <v/>
      </c>
      <c r="J562" s="61" t="str">
        <f aca="false">IFERROR(IF([2]对账明细接口!$J$562=0,"",[2]对账明细接口!$J$562),"")</f>
        <v/>
      </c>
      <c r="K562" s="61" t="str">
        <f aca="false">IFERROR(IF([2]对账明细接口!$K$562=0,"",[2]对账明细接口!$K$562),"")</f>
        <v/>
      </c>
      <c r="L562" s="59" t="str">
        <f aca="false">IFERROR(IF([2]对账明细接口!$L$562=0,"",[2]对账明细接口!$L$562),"")</f>
        <v/>
      </c>
      <c r="M562" s="59" t="str">
        <f aca="false">IFERROR(IF([2]对账明细接口!$M$562=0,"",[2]对账明细接口!$M$562),"")</f>
        <v/>
      </c>
      <c r="N562" s="111" t="n">
        <f aca="false">IF($C562="",0,1)</f>
        <v>0</v>
      </c>
      <c r="O562" s="111" t="n">
        <f aca="false">N(O561)+$N562</f>
        <v>311</v>
      </c>
      <c r="S562" s="10" t="str">
        <f aca="false">IFERROR(IF([2]对账明细接口!$N562=0,"",[2]对账明细接口!$N562),"")</f>
        <v/>
      </c>
      <c r="T562" s="112" t="str">
        <f aca="false">IFERROR(IF([2]对账明细接口!$O562=0,"",[2]对账明细接口!$O562),"")</f>
        <v/>
      </c>
      <c r="U562" s="112" t="str">
        <f aca="false">IFERROR(IF([2]对账明细接口!$P562=0,"",[2]对账明细接口!$P562),"")</f>
        <v/>
      </c>
      <c r="V562" s="112" t="str">
        <f aca="false">IFERROR(IF([2]对账明细接口!$Q562=0,"",[2]对账明细接口!$Q562),"")</f>
        <v/>
      </c>
      <c r="W562" s="10" t="str">
        <f aca="false">IFERROR(IF([2]对账明细接口!$R562=0,"",[2]对账明细接口!$R562),"")</f>
        <v/>
      </c>
      <c r="X562" s="10" t="str">
        <f aca="false">IFERROR(IF([2]对账明细接口!$S562=0,"",[2]对账明细接口!$S562),"")</f>
        <v/>
      </c>
      <c r="Y562" s="10" t="str">
        <f aca="false">IFERROR(IF([2]对账明细接口!$T562=0,"",[2]对账明细接口!$T562),"")</f>
        <v/>
      </c>
      <c r="Z562" s="113" t="str">
        <f aca="false">IFERROR(IF([2]对账明细接口!$U562=0,"",[2]对账明细接口!$U562),"")</f>
        <v/>
      </c>
      <c r="AA562" s="113" t="str">
        <f aca="false">IFERROR(IF([2]对账明细接口!$V562=0,"",[2]对账明细接口!$V562),"")</f>
        <v/>
      </c>
      <c r="AB562" s="10" t="str">
        <f aca="false">IFERROR(IF([2]对账明细接口!$W562=0,"",[2]对账明细接口!$W562),"")</f>
        <v/>
      </c>
      <c r="AC562" s="90" t="str">
        <f aca="false">IFERROR(IF([2]对账明细接口!$X563=0,"",[2]对账明细接口!$X563),"")</f>
        <v/>
      </c>
      <c r="AD562" s="90" t="str">
        <f aca="false">IFERROR(IF([2]对账明细接口!$Y563=0,"",[2]对账明细接口!$Y563),"")</f>
        <v/>
      </c>
      <c r="AE562" s="90" t="str">
        <f aca="false">IFERROR(IF([2]对账明细接口!$AA563=0,"",[2]对账明细接口!$AA563),"")</f>
        <v/>
      </c>
      <c r="AF562" s="90" t="str">
        <f aca="false">IFERROR(IF([2]对账明细接口!$AB563=0,"",[2]对账明细接口!$AB563),"")</f>
        <v/>
      </c>
      <c r="AG562" s="90" t="str">
        <f aca="false">IFERROR(IF([2]对账明细接口!$AC563=0,"",[2]对账明细接口!$AC563),"")</f>
        <v/>
      </c>
      <c r="AH562" s="90" t="str">
        <f aca="false">IFERROR(IF([2]对账明细接口!$AD563=0,"",[2]对账明细接口!$AD563),"")</f>
        <v/>
      </c>
    </row>
    <row r="563" customFormat="false" ht="13.5" hidden="false" customHeight="false" outlineLevel="0" collapsed="false">
      <c r="A563" s="109" t="n">
        <v>563</v>
      </c>
      <c r="B563" s="110" t="str">
        <f aca="false">IFERROR(IF([2]对账明细接口!$B$563=0,"",[2]对账明细接口!$B$563),"")</f>
        <v/>
      </c>
      <c r="C563" s="59" t="str">
        <f aca="false">IFERROR(IF([2]对账明细接口!$C$563=0,"",[2]对账明细接口!$C$563),"")</f>
        <v/>
      </c>
      <c r="D563" s="59" t="str">
        <f aca="false">IFERROR(IF([2]对账明细接口!$D$563=0,"",[2]对账明细接口!$D$563),"")</f>
        <v/>
      </c>
      <c r="E563" s="59" t="str">
        <f aca="false">IFERROR(IF([2]对账明细接口!$E$563=0,"",[2]对账明细接口!$E$563),"")</f>
        <v/>
      </c>
      <c r="F563" s="59" t="str">
        <f aca="false">IFERROR(IF([2]对账明细接口!$F$563=0,"",[2]对账明细接口!$F$563),"")</f>
        <v/>
      </c>
      <c r="G563" s="59" t="str">
        <f aca="false">IFERROR(IF([2]对账明细接口!$G$563=0,"",[2]对账明细接口!$G$563),"")</f>
        <v/>
      </c>
      <c r="H563" s="60" t="str">
        <f aca="false">IFERROR(IF([2]对账明细接口!$H$563=0,"",[2]对账明细接口!$H$563),"")</f>
        <v/>
      </c>
      <c r="I563" s="59" t="str">
        <f aca="false">IFERROR(IF([2]对账明细接口!$I$563=0,"",[2]对账明细接口!$I$563),"")</f>
        <v/>
      </c>
      <c r="J563" s="61" t="str">
        <f aca="false">IFERROR(IF([2]对账明细接口!$J$563=0,"",[2]对账明细接口!$J$563),"")</f>
        <v/>
      </c>
      <c r="K563" s="61" t="str">
        <f aca="false">IFERROR(IF([2]对账明细接口!$K$563=0,"",[2]对账明细接口!$K$563),"")</f>
        <v/>
      </c>
      <c r="L563" s="59" t="str">
        <f aca="false">IFERROR(IF([2]对账明细接口!$L$563=0,"",[2]对账明细接口!$L$563),"")</f>
        <v/>
      </c>
      <c r="M563" s="59" t="str">
        <f aca="false">IFERROR(IF([2]对账明细接口!$M$563=0,"",[2]对账明细接口!$M$563),"")</f>
        <v/>
      </c>
      <c r="N563" s="111" t="n">
        <f aca="false">IF($C563="",0,1)</f>
        <v>0</v>
      </c>
      <c r="O563" s="111" t="n">
        <f aca="false">N(O562)+$N563</f>
        <v>311</v>
      </c>
      <c r="S563" s="10" t="str">
        <f aca="false">IFERROR(IF([2]对账明细接口!$N563=0,"",[2]对账明细接口!$N563),"")</f>
        <v/>
      </c>
      <c r="T563" s="112" t="str">
        <f aca="false">IFERROR(IF([2]对账明细接口!$O563=0,"",[2]对账明细接口!$O563),"")</f>
        <v/>
      </c>
      <c r="U563" s="112" t="str">
        <f aca="false">IFERROR(IF([2]对账明细接口!$P563=0,"",[2]对账明细接口!$P563),"")</f>
        <v/>
      </c>
      <c r="V563" s="112" t="str">
        <f aca="false">IFERROR(IF([2]对账明细接口!$Q563=0,"",[2]对账明细接口!$Q563),"")</f>
        <v/>
      </c>
      <c r="W563" s="10" t="str">
        <f aca="false">IFERROR(IF([2]对账明细接口!$R563=0,"",[2]对账明细接口!$R563),"")</f>
        <v/>
      </c>
      <c r="X563" s="10" t="str">
        <f aca="false">IFERROR(IF([2]对账明细接口!$S563=0,"",[2]对账明细接口!$S563),"")</f>
        <v/>
      </c>
      <c r="Y563" s="10" t="str">
        <f aca="false">IFERROR(IF([2]对账明细接口!$T563=0,"",[2]对账明细接口!$T563),"")</f>
        <v/>
      </c>
      <c r="Z563" s="113" t="str">
        <f aca="false">IFERROR(IF([2]对账明细接口!$U563=0,"",[2]对账明细接口!$U563),"")</f>
        <v/>
      </c>
      <c r="AA563" s="113" t="str">
        <f aca="false">IFERROR(IF([2]对账明细接口!$V563=0,"",[2]对账明细接口!$V563),"")</f>
        <v/>
      </c>
      <c r="AB563" s="10" t="str">
        <f aca="false">IFERROR(IF([2]对账明细接口!$W563=0,"",[2]对账明细接口!$W563),"")</f>
        <v/>
      </c>
      <c r="AC563" s="90" t="str">
        <f aca="false">IFERROR(IF([2]对账明细接口!$X564=0,"",[2]对账明细接口!$X564),"")</f>
        <v/>
      </c>
      <c r="AD563" s="90" t="str">
        <f aca="false">IFERROR(IF([2]对账明细接口!$Y564=0,"",[2]对账明细接口!$Y564),"")</f>
        <v/>
      </c>
      <c r="AE563" s="90" t="str">
        <f aca="false">IFERROR(IF([2]对账明细接口!$AA564=0,"",[2]对账明细接口!$AA564),"")</f>
        <v/>
      </c>
      <c r="AF563" s="90" t="str">
        <f aca="false">IFERROR(IF([2]对账明细接口!$AB564=0,"",[2]对账明细接口!$AB564),"")</f>
        <v/>
      </c>
      <c r="AG563" s="90" t="str">
        <f aca="false">IFERROR(IF([2]对账明细接口!$AC564=0,"",[2]对账明细接口!$AC564),"")</f>
        <v/>
      </c>
      <c r="AH563" s="90" t="str">
        <f aca="false">IFERROR(IF([2]对账明细接口!$AD564=0,"",[2]对账明细接口!$AD564),"")</f>
        <v/>
      </c>
    </row>
    <row r="564" customFormat="false" ht="13.5" hidden="false" customHeight="false" outlineLevel="0" collapsed="false">
      <c r="A564" s="109" t="n">
        <v>564</v>
      </c>
      <c r="B564" s="110" t="str">
        <f aca="false">IFERROR(IF([2]对账明细接口!$B$564=0,"",[2]对账明细接口!$B$564),"")</f>
        <v/>
      </c>
      <c r="C564" s="59" t="str">
        <f aca="false">IFERROR(IF([2]对账明细接口!$C$564=0,"",[2]对账明细接口!$C$564),"")</f>
        <v/>
      </c>
      <c r="D564" s="59" t="str">
        <f aca="false">IFERROR(IF([2]对账明细接口!$D$564=0,"",[2]对账明细接口!$D$564),"")</f>
        <v/>
      </c>
      <c r="E564" s="59" t="str">
        <f aca="false">IFERROR(IF([2]对账明细接口!$E$564=0,"",[2]对账明细接口!$E$564),"")</f>
        <v/>
      </c>
      <c r="F564" s="59" t="str">
        <f aca="false">IFERROR(IF([2]对账明细接口!$F$564=0,"",[2]对账明细接口!$F$564),"")</f>
        <v/>
      </c>
      <c r="G564" s="59" t="str">
        <f aca="false">IFERROR(IF([2]对账明细接口!$G$564=0,"",[2]对账明细接口!$G$564),"")</f>
        <v/>
      </c>
      <c r="H564" s="60" t="str">
        <f aca="false">IFERROR(IF([2]对账明细接口!$H$564=0,"",[2]对账明细接口!$H$564),"")</f>
        <v/>
      </c>
      <c r="I564" s="59" t="str">
        <f aca="false">IFERROR(IF([2]对账明细接口!$I$564=0,"",[2]对账明细接口!$I$564),"")</f>
        <v/>
      </c>
      <c r="J564" s="61" t="str">
        <f aca="false">IFERROR(IF([2]对账明细接口!$J$564=0,"",[2]对账明细接口!$J$564),"")</f>
        <v/>
      </c>
      <c r="K564" s="61" t="str">
        <f aca="false">IFERROR(IF([2]对账明细接口!$K$564=0,"",[2]对账明细接口!$K$564),"")</f>
        <v/>
      </c>
      <c r="L564" s="59" t="str">
        <f aca="false">IFERROR(IF([2]对账明细接口!$L$564=0,"",[2]对账明细接口!$L$564),"")</f>
        <v/>
      </c>
      <c r="M564" s="59" t="str">
        <f aca="false">IFERROR(IF([2]对账明细接口!$M$564=0,"",[2]对账明细接口!$M$564),"")</f>
        <v/>
      </c>
      <c r="N564" s="111" t="n">
        <f aca="false">IF($C564="",0,1)</f>
        <v>0</v>
      </c>
      <c r="O564" s="111" t="n">
        <f aca="false">N(O563)+$N564</f>
        <v>311</v>
      </c>
      <c r="S564" s="10" t="str">
        <f aca="false">IFERROR(IF([2]对账明细接口!$N564=0,"",[2]对账明细接口!$N564),"")</f>
        <v/>
      </c>
      <c r="T564" s="112" t="str">
        <f aca="false">IFERROR(IF([2]对账明细接口!$O564=0,"",[2]对账明细接口!$O564),"")</f>
        <v/>
      </c>
      <c r="U564" s="112" t="str">
        <f aca="false">IFERROR(IF([2]对账明细接口!$P564=0,"",[2]对账明细接口!$P564),"")</f>
        <v/>
      </c>
      <c r="V564" s="112" t="str">
        <f aca="false">IFERROR(IF([2]对账明细接口!$Q564=0,"",[2]对账明细接口!$Q564),"")</f>
        <v/>
      </c>
      <c r="W564" s="10" t="str">
        <f aca="false">IFERROR(IF([2]对账明细接口!$R564=0,"",[2]对账明细接口!$R564),"")</f>
        <v/>
      </c>
      <c r="X564" s="10" t="str">
        <f aca="false">IFERROR(IF([2]对账明细接口!$S564=0,"",[2]对账明细接口!$S564),"")</f>
        <v/>
      </c>
      <c r="Y564" s="10" t="str">
        <f aca="false">IFERROR(IF([2]对账明细接口!$T564=0,"",[2]对账明细接口!$T564),"")</f>
        <v/>
      </c>
      <c r="Z564" s="113" t="str">
        <f aca="false">IFERROR(IF([2]对账明细接口!$U564=0,"",[2]对账明细接口!$U564),"")</f>
        <v/>
      </c>
      <c r="AA564" s="113" t="str">
        <f aca="false">IFERROR(IF([2]对账明细接口!$V564=0,"",[2]对账明细接口!$V564),"")</f>
        <v/>
      </c>
      <c r="AB564" s="10" t="str">
        <f aca="false">IFERROR(IF([2]对账明细接口!$W564=0,"",[2]对账明细接口!$W564),"")</f>
        <v/>
      </c>
      <c r="AC564" s="90" t="str">
        <f aca="false">IFERROR(IF([2]对账明细接口!$X565=0,"",[2]对账明细接口!$X565),"")</f>
        <v/>
      </c>
      <c r="AD564" s="90" t="str">
        <f aca="false">IFERROR(IF([2]对账明细接口!$Y565=0,"",[2]对账明细接口!$Y565),"")</f>
        <v/>
      </c>
      <c r="AE564" s="90" t="str">
        <f aca="false">IFERROR(IF([2]对账明细接口!$AA565=0,"",[2]对账明细接口!$AA565),"")</f>
        <v/>
      </c>
      <c r="AF564" s="90" t="str">
        <f aca="false">IFERROR(IF([2]对账明细接口!$AB565=0,"",[2]对账明细接口!$AB565),"")</f>
        <v/>
      </c>
      <c r="AG564" s="90" t="str">
        <f aca="false">IFERROR(IF([2]对账明细接口!$AC565=0,"",[2]对账明细接口!$AC565),"")</f>
        <v/>
      </c>
      <c r="AH564" s="90" t="str">
        <f aca="false">IFERROR(IF([2]对账明细接口!$AD565=0,"",[2]对账明细接口!$AD565),"")</f>
        <v/>
      </c>
    </row>
    <row r="565" customFormat="false" ht="13.5" hidden="false" customHeight="false" outlineLevel="0" collapsed="false">
      <c r="A565" s="109" t="n">
        <v>565</v>
      </c>
      <c r="B565" s="110" t="str">
        <f aca="false">IFERROR(IF([2]对账明细接口!$B$565=0,"",[2]对账明细接口!$B$565),"")</f>
        <v/>
      </c>
      <c r="C565" s="59" t="str">
        <f aca="false">IFERROR(IF([2]对账明细接口!$C$565=0,"",[2]对账明细接口!$C$565),"")</f>
        <v/>
      </c>
      <c r="D565" s="59" t="str">
        <f aca="false">IFERROR(IF([2]对账明细接口!$D$565=0,"",[2]对账明细接口!$D$565),"")</f>
        <v/>
      </c>
      <c r="E565" s="59" t="str">
        <f aca="false">IFERROR(IF([2]对账明细接口!$E$565=0,"",[2]对账明细接口!$E$565),"")</f>
        <v/>
      </c>
      <c r="F565" s="59" t="str">
        <f aca="false">IFERROR(IF([2]对账明细接口!$F$565=0,"",[2]对账明细接口!$F$565),"")</f>
        <v/>
      </c>
      <c r="G565" s="59" t="str">
        <f aca="false">IFERROR(IF([2]对账明细接口!$G$565=0,"",[2]对账明细接口!$G$565),"")</f>
        <v/>
      </c>
      <c r="H565" s="60" t="str">
        <f aca="false">IFERROR(IF([2]对账明细接口!$H$565=0,"",[2]对账明细接口!$H$565),"")</f>
        <v/>
      </c>
      <c r="I565" s="59" t="str">
        <f aca="false">IFERROR(IF([2]对账明细接口!$I$565=0,"",[2]对账明细接口!$I$565),"")</f>
        <v/>
      </c>
      <c r="J565" s="61" t="str">
        <f aca="false">IFERROR(IF([2]对账明细接口!$J$565=0,"",[2]对账明细接口!$J$565),"")</f>
        <v/>
      </c>
      <c r="K565" s="61" t="str">
        <f aca="false">IFERROR(IF([2]对账明细接口!$K$565=0,"",[2]对账明细接口!$K$565),"")</f>
        <v/>
      </c>
      <c r="L565" s="59" t="str">
        <f aca="false">IFERROR(IF([2]对账明细接口!$L$565=0,"",[2]对账明细接口!$L$565),"")</f>
        <v/>
      </c>
      <c r="M565" s="59" t="str">
        <f aca="false">IFERROR(IF([2]对账明细接口!$M$565=0,"",[2]对账明细接口!$M$565),"")</f>
        <v/>
      </c>
      <c r="N565" s="111" t="n">
        <f aca="false">IF($C565="",0,1)</f>
        <v>0</v>
      </c>
      <c r="O565" s="111" t="n">
        <f aca="false">N(O564)+$N565</f>
        <v>311</v>
      </c>
      <c r="S565" s="10" t="str">
        <f aca="false">IFERROR(IF([2]对账明细接口!$N565=0,"",[2]对账明细接口!$N565),"")</f>
        <v/>
      </c>
      <c r="T565" s="112" t="str">
        <f aca="false">IFERROR(IF([2]对账明细接口!$O565=0,"",[2]对账明细接口!$O565),"")</f>
        <v/>
      </c>
      <c r="U565" s="112" t="str">
        <f aca="false">IFERROR(IF([2]对账明细接口!$P565=0,"",[2]对账明细接口!$P565),"")</f>
        <v/>
      </c>
      <c r="V565" s="112" t="str">
        <f aca="false">IFERROR(IF([2]对账明细接口!$Q565=0,"",[2]对账明细接口!$Q565),"")</f>
        <v/>
      </c>
      <c r="W565" s="10" t="str">
        <f aca="false">IFERROR(IF([2]对账明细接口!$R565=0,"",[2]对账明细接口!$R565),"")</f>
        <v/>
      </c>
      <c r="X565" s="10" t="str">
        <f aca="false">IFERROR(IF([2]对账明细接口!$S565=0,"",[2]对账明细接口!$S565),"")</f>
        <v/>
      </c>
      <c r="Y565" s="10" t="str">
        <f aca="false">IFERROR(IF([2]对账明细接口!$T565=0,"",[2]对账明细接口!$T565),"")</f>
        <v/>
      </c>
      <c r="Z565" s="113" t="str">
        <f aca="false">IFERROR(IF([2]对账明细接口!$U565=0,"",[2]对账明细接口!$U565),"")</f>
        <v/>
      </c>
      <c r="AA565" s="113" t="str">
        <f aca="false">IFERROR(IF([2]对账明细接口!$V565=0,"",[2]对账明细接口!$V565),"")</f>
        <v/>
      </c>
      <c r="AB565" s="10" t="str">
        <f aca="false">IFERROR(IF([2]对账明细接口!$W565=0,"",[2]对账明细接口!$W565),"")</f>
        <v/>
      </c>
      <c r="AC565" s="90" t="str">
        <f aca="false">IFERROR(IF([2]对账明细接口!$X566=0,"",[2]对账明细接口!$X566),"")</f>
        <v/>
      </c>
      <c r="AD565" s="90" t="str">
        <f aca="false">IFERROR(IF([2]对账明细接口!$Y566=0,"",[2]对账明细接口!$Y566),"")</f>
        <v/>
      </c>
      <c r="AE565" s="90" t="str">
        <f aca="false">IFERROR(IF([2]对账明细接口!$AA566=0,"",[2]对账明细接口!$AA566),"")</f>
        <v/>
      </c>
      <c r="AF565" s="90" t="str">
        <f aca="false">IFERROR(IF([2]对账明细接口!$AB566=0,"",[2]对账明细接口!$AB566),"")</f>
        <v/>
      </c>
      <c r="AG565" s="90" t="str">
        <f aca="false">IFERROR(IF([2]对账明细接口!$AC566=0,"",[2]对账明细接口!$AC566),"")</f>
        <v/>
      </c>
      <c r="AH565" s="90" t="str">
        <f aca="false">IFERROR(IF([2]对账明细接口!$AD566=0,"",[2]对账明细接口!$AD566),"")</f>
        <v/>
      </c>
    </row>
    <row r="566" customFormat="false" ht="13.5" hidden="false" customHeight="false" outlineLevel="0" collapsed="false">
      <c r="A566" s="109" t="n">
        <v>566</v>
      </c>
      <c r="B566" s="110" t="str">
        <f aca="false">IFERROR(IF([2]对账明细接口!$B$566=0,"",[2]对账明细接口!$B$566),"")</f>
        <v/>
      </c>
      <c r="C566" s="59" t="str">
        <f aca="false">IFERROR(IF([2]对账明细接口!$C$566=0,"",[2]对账明细接口!$C$566),"")</f>
        <v/>
      </c>
      <c r="D566" s="59" t="str">
        <f aca="false">IFERROR(IF([2]对账明细接口!$D$566=0,"",[2]对账明细接口!$D$566),"")</f>
        <v/>
      </c>
      <c r="E566" s="59" t="str">
        <f aca="false">IFERROR(IF([2]对账明细接口!$E$566=0,"",[2]对账明细接口!$E$566),"")</f>
        <v/>
      </c>
      <c r="F566" s="59" t="str">
        <f aca="false">IFERROR(IF([2]对账明细接口!$F$566=0,"",[2]对账明细接口!$F$566),"")</f>
        <v/>
      </c>
      <c r="G566" s="59" t="str">
        <f aca="false">IFERROR(IF([2]对账明细接口!$G$566=0,"",[2]对账明细接口!$G$566),"")</f>
        <v/>
      </c>
      <c r="H566" s="60" t="str">
        <f aca="false">IFERROR(IF([2]对账明细接口!$H$566=0,"",[2]对账明细接口!$H$566),"")</f>
        <v/>
      </c>
      <c r="I566" s="59" t="str">
        <f aca="false">IFERROR(IF([2]对账明细接口!$I$566=0,"",[2]对账明细接口!$I$566),"")</f>
        <v/>
      </c>
      <c r="J566" s="61" t="str">
        <f aca="false">IFERROR(IF([2]对账明细接口!$J$566=0,"",[2]对账明细接口!$J$566),"")</f>
        <v/>
      </c>
      <c r="K566" s="61" t="str">
        <f aca="false">IFERROR(IF([2]对账明细接口!$K$566=0,"",[2]对账明细接口!$K$566),"")</f>
        <v/>
      </c>
      <c r="L566" s="59" t="str">
        <f aca="false">IFERROR(IF([2]对账明细接口!$L$566=0,"",[2]对账明细接口!$L$566),"")</f>
        <v/>
      </c>
      <c r="M566" s="59" t="str">
        <f aca="false">IFERROR(IF([2]对账明细接口!$M$566=0,"",[2]对账明细接口!$M$566),"")</f>
        <v/>
      </c>
      <c r="N566" s="111" t="n">
        <f aca="false">IF($C566="",0,1)</f>
        <v>0</v>
      </c>
      <c r="O566" s="111" t="n">
        <f aca="false">N(O565)+$N566</f>
        <v>311</v>
      </c>
      <c r="S566" s="10" t="str">
        <f aca="false">IFERROR(IF([2]对账明细接口!$N566=0,"",[2]对账明细接口!$N566),"")</f>
        <v/>
      </c>
      <c r="T566" s="112" t="str">
        <f aca="false">IFERROR(IF([2]对账明细接口!$O566=0,"",[2]对账明细接口!$O566),"")</f>
        <v/>
      </c>
      <c r="U566" s="112" t="str">
        <f aca="false">IFERROR(IF([2]对账明细接口!$P566=0,"",[2]对账明细接口!$P566),"")</f>
        <v/>
      </c>
      <c r="V566" s="112" t="str">
        <f aca="false">IFERROR(IF([2]对账明细接口!$Q566=0,"",[2]对账明细接口!$Q566),"")</f>
        <v/>
      </c>
      <c r="W566" s="10" t="str">
        <f aca="false">IFERROR(IF([2]对账明细接口!$R566=0,"",[2]对账明细接口!$R566),"")</f>
        <v/>
      </c>
      <c r="X566" s="10" t="str">
        <f aca="false">IFERROR(IF([2]对账明细接口!$S566=0,"",[2]对账明细接口!$S566),"")</f>
        <v/>
      </c>
      <c r="Y566" s="10" t="str">
        <f aca="false">IFERROR(IF([2]对账明细接口!$T566=0,"",[2]对账明细接口!$T566),"")</f>
        <v/>
      </c>
      <c r="Z566" s="113" t="str">
        <f aca="false">IFERROR(IF([2]对账明细接口!$U566=0,"",[2]对账明细接口!$U566),"")</f>
        <v/>
      </c>
      <c r="AA566" s="113" t="str">
        <f aca="false">IFERROR(IF([2]对账明细接口!$V566=0,"",[2]对账明细接口!$V566),"")</f>
        <v/>
      </c>
      <c r="AB566" s="10" t="str">
        <f aca="false">IFERROR(IF([2]对账明细接口!$W566=0,"",[2]对账明细接口!$W566),"")</f>
        <v/>
      </c>
      <c r="AC566" s="90" t="str">
        <f aca="false">IFERROR(IF([2]对账明细接口!$X567=0,"",[2]对账明细接口!$X567),"")</f>
        <v/>
      </c>
      <c r="AD566" s="90" t="str">
        <f aca="false">IFERROR(IF([2]对账明细接口!$Y567=0,"",[2]对账明细接口!$Y567),"")</f>
        <v/>
      </c>
      <c r="AE566" s="90" t="str">
        <f aca="false">IFERROR(IF([2]对账明细接口!$AA567=0,"",[2]对账明细接口!$AA567),"")</f>
        <v/>
      </c>
      <c r="AF566" s="90" t="str">
        <f aca="false">IFERROR(IF([2]对账明细接口!$AB567=0,"",[2]对账明细接口!$AB567),"")</f>
        <v/>
      </c>
      <c r="AG566" s="90" t="str">
        <f aca="false">IFERROR(IF([2]对账明细接口!$AC567=0,"",[2]对账明细接口!$AC567),"")</f>
        <v/>
      </c>
      <c r="AH566" s="90" t="str">
        <f aca="false">IFERROR(IF([2]对账明细接口!$AD567=0,"",[2]对账明细接口!$AD567),"")</f>
        <v/>
      </c>
    </row>
    <row r="567" customFormat="false" ht="13.5" hidden="false" customHeight="false" outlineLevel="0" collapsed="false">
      <c r="A567" s="109" t="n">
        <v>567</v>
      </c>
      <c r="B567" s="110" t="str">
        <f aca="false">IFERROR(IF([2]对账明细接口!$B$567=0,"",[2]对账明细接口!$B$567),"")</f>
        <v/>
      </c>
      <c r="C567" s="59" t="str">
        <f aca="false">IFERROR(IF([2]对账明细接口!$C$567=0,"",[2]对账明细接口!$C$567),"")</f>
        <v/>
      </c>
      <c r="D567" s="59" t="str">
        <f aca="false">IFERROR(IF([2]对账明细接口!$D$567=0,"",[2]对账明细接口!$D$567),"")</f>
        <v/>
      </c>
      <c r="E567" s="59" t="str">
        <f aca="false">IFERROR(IF([2]对账明细接口!$E$567=0,"",[2]对账明细接口!$E$567),"")</f>
        <v/>
      </c>
      <c r="F567" s="59" t="str">
        <f aca="false">IFERROR(IF([2]对账明细接口!$F$567=0,"",[2]对账明细接口!$F$567),"")</f>
        <v/>
      </c>
      <c r="G567" s="59" t="str">
        <f aca="false">IFERROR(IF([2]对账明细接口!$G$567=0,"",[2]对账明细接口!$G$567),"")</f>
        <v/>
      </c>
      <c r="H567" s="60" t="str">
        <f aca="false">IFERROR(IF([2]对账明细接口!$H$567=0,"",[2]对账明细接口!$H$567),"")</f>
        <v/>
      </c>
      <c r="I567" s="59" t="str">
        <f aca="false">IFERROR(IF([2]对账明细接口!$I$567=0,"",[2]对账明细接口!$I$567),"")</f>
        <v/>
      </c>
      <c r="J567" s="61" t="str">
        <f aca="false">IFERROR(IF([2]对账明细接口!$J$567=0,"",[2]对账明细接口!$J$567),"")</f>
        <v/>
      </c>
      <c r="K567" s="61" t="str">
        <f aca="false">IFERROR(IF([2]对账明细接口!$K$567=0,"",[2]对账明细接口!$K$567),"")</f>
        <v/>
      </c>
      <c r="L567" s="59" t="str">
        <f aca="false">IFERROR(IF([2]对账明细接口!$L$567=0,"",[2]对账明细接口!$L$567),"")</f>
        <v/>
      </c>
      <c r="M567" s="59" t="str">
        <f aca="false">IFERROR(IF([2]对账明细接口!$M$567=0,"",[2]对账明细接口!$M$567),"")</f>
        <v/>
      </c>
      <c r="N567" s="111" t="n">
        <f aca="false">IF($C567="",0,1)</f>
        <v>0</v>
      </c>
      <c r="O567" s="111" t="n">
        <f aca="false">N(O566)+$N567</f>
        <v>311</v>
      </c>
      <c r="S567" s="10" t="str">
        <f aca="false">IFERROR(IF([2]对账明细接口!$N567=0,"",[2]对账明细接口!$N567),"")</f>
        <v/>
      </c>
      <c r="T567" s="112" t="str">
        <f aca="false">IFERROR(IF([2]对账明细接口!$O567=0,"",[2]对账明细接口!$O567),"")</f>
        <v/>
      </c>
      <c r="U567" s="112" t="str">
        <f aca="false">IFERROR(IF([2]对账明细接口!$P567=0,"",[2]对账明细接口!$P567),"")</f>
        <v/>
      </c>
      <c r="V567" s="112" t="str">
        <f aca="false">IFERROR(IF([2]对账明细接口!$Q567=0,"",[2]对账明细接口!$Q567),"")</f>
        <v/>
      </c>
      <c r="W567" s="10" t="str">
        <f aca="false">IFERROR(IF([2]对账明细接口!$R567=0,"",[2]对账明细接口!$R567),"")</f>
        <v/>
      </c>
      <c r="X567" s="10" t="str">
        <f aca="false">IFERROR(IF([2]对账明细接口!$S567=0,"",[2]对账明细接口!$S567),"")</f>
        <v/>
      </c>
      <c r="Y567" s="10" t="str">
        <f aca="false">IFERROR(IF([2]对账明细接口!$T567=0,"",[2]对账明细接口!$T567),"")</f>
        <v/>
      </c>
      <c r="Z567" s="113" t="str">
        <f aca="false">IFERROR(IF([2]对账明细接口!$U567=0,"",[2]对账明细接口!$U567),"")</f>
        <v/>
      </c>
      <c r="AA567" s="113" t="str">
        <f aca="false">IFERROR(IF([2]对账明细接口!$V567=0,"",[2]对账明细接口!$V567),"")</f>
        <v/>
      </c>
      <c r="AB567" s="10" t="str">
        <f aca="false">IFERROR(IF([2]对账明细接口!$W567=0,"",[2]对账明细接口!$W567),"")</f>
        <v/>
      </c>
      <c r="AC567" s="90" t="str">
        <f aca="false">IFERROR(IF([2]对账明细接口!$X568=0,"",[2]对账明细接口!$X568),"")</f>
        <v/>
      </c>
      <c r="AD567" s="90" t="str">
        <f aca="false">IFERROR(IF([2]对账明细接口!$Y568=0,"",[2]对账明细接口!$Y568),"")</f>
        <v/>
      </c>
      <c r="AE567" s="90" t="str">
        <f aca="false">IFERROR(IF([2]对账明细接口!$AA568=0,"",[2]对账明细接口!$AA568),"")</f>
        <v/>
      </c>
      <c r="AF567" s="90" t="str">
        <f aca="false">IFERROR(IF([2]对账明细接口!$AB568=0,"",[2]对账明细接口!$AB568),"")</f>
        <v/>
      </c>
      <c r="AG567" s="90" t="str">
        <f aca="false">IFERROR(IF([2]对账明细接口!$AC568=0,"",[2]对账明细接口!$AC568),"")</f>
        <v/>
      </c>
      <c r="AH567" s="90" t="str">
        <f aca="false">IFERROR(IF([2]对账明细接口!$AD568=0,"",[2]对账明细接口!$AD568),"")</f>
        <v/>
      </c>
    </row>
    <row r="568" customFormat="false" ht="13.5" hidden="false" customHeight="false" outlineLevel="0" collapsed="false">
      <c r="A568" s="109" t="n">
        <v>568</v>
      </c>
      <c r="B568" s="110" t="str">
        <f aca="false">IFERROR(IF([2]对账明细接口!$B$568=0,"",[2]对账明细接口!$B$568),"")</f>
        <v/>
      </c>
      <c r="C568" s="59" t="str">
        <f aca="false">IFERROR(IF([2]对账明细接口!$C$568=0,"",[2]对账明细接口!$C$568),"")</f>
        <v/>
      </c>
      <c r="D568" s="59" t="str">
        <f aca="false">IFERROR(IF([2]对账明细接口!$D$568=0,"",[2]对账明细接口!$D$568),"")</f>
        <v/>
      </c>
      <c r="E568" s="59" t="str">
        <f aca="false">IFERROR(IF([2]对账明细接口!$E$568=0,"",[2]对账明细接口!$E$568),"")</f>
        <v/>
      </c>
      <c r="F568" s="59" t="str">
        <f aca="false">IFERROR(IF([2]对账明细接口!$F$568=0,"",[2]对账明细接口!$F$568),"")</f>
        <v/>
      </c>
      <c r="G568" s="59" t="str">
        <f aca="false">IFERROR(IF([2]对账明细接口!$G$568=0,"",[2]对账明细接口!$G$568),"")</f>
        <v/>
      </c>
      <c r="H568" s="60" t="str">
        <f aca="false">IFERROR(IF([2]对账明细接口!$H$568=0,"",[2]对账明细接口!$H$568),"")</f>
        <v/>
      </c>
      <c r="I568" s="59" t="str">
        <f aca="false">IFERROR(IF([2]对账明细接口!$I$568=0,"",[2]对账明细接口!$I$568),"")</f>
        <v/>
      </c>
      <c r="J568" s="61" t="str">
        <f aca="false">IFERROR(IF([2]对账明细接口!$J$568=0,"",[2]对账明细接口!$J$568),"")</f>
        <v/>
      </c>
      <c r="K568" s="61" t="str">
        <f aca="false">IFERROR(IF([2]对账明细接口!$K$568=0,"",[2]对账明细接口!$K$568),"")</f>
        <v/>
      </c>
      <c r="L568" s="59" t="str">
        <f aca="false">IFERROR(IF([2]对账明细接口!$L$568=0,"",[2]对账明细接口!$L$568),"")</f>
        <v/>
      </c>
      <c r="M568" s="59" t="str">
        <f aca="false">IFERROR(IF([2]对账明细接口!$M$568=0,"",[2]对账明细接口!$M$568),"")</f>
        <v/>
      </c>
      <c r="N568" s="111" t="n">
        <f aca="false">IF($C568="",0,1)</f>
        <v>0</v>
      </c>
      <c r="O568" s="111" t="n">
        <f aca="false">N(O567)+$N568</f>
        <v>311</v>
      </c>
      <c r="S568" s="10" t="str">
        <f aca="false">IFERROR(IF([2]对账明细接口!$N568=0,"",[2]对账明细接口!$N568),"")</f>
        <v/>
      </c>
      <c r="T568" s="112" t="str">
        <f aca="false">IFERROR(IF([2]对账明细接口!$O568=0,"",[2]对账明细接口!$O568),"")</f>
        <v/>
      </c>
      <c r="U568" s="112" t="str">
        <f aca="false">IFERROR(IF([2]对账明细接口!$P568=0,"",[2]对账明细接口!$P568),"")</f>
        <v/>
      </c>
      <c r="V568" s="112" t="str">
        <f aca="false">IFERROR(IF([2]对账明细接口!$Q568=0,"",[2]对账明细接口!$Q568),"")</f>
        <v/>
      </c>
      <c r="W568" s="10" t="str">
        <f aca="false">IFERROR(IF([2]对账明细接口!$R568=0,"",[2]对账明细接口!$R568),"")</f>
        <v/>
      </c>
      <c r="X568" s="10" t="str">
        <f aca="false">IFERROR(IF([2]对账明细接口!$S568=0,"",[2]对账明细接口!$S568),"")</f>
        <v/>
      </c>
      <c r="Y568" s="10" t="str">
        <f aca="false">IFERROR(IF([2]对账明细接口!$T568=0,"",[2]对账明细接口!$T568),"")</f>
        <v/>
      </c>
      <c r="Z568" s="113" t="str">
        <f aca="false">IFERROR(IF([2]对账明细接口!$U568=0,"",[2]对账明细接口!$U568),"")</f>
        <v/>
      </c>
      <c r="AA568" s="113" t="str">
        <f aca="false">IFERROR(IF([2]对账明细接口!$V568=0,"",[2]对账明细接口!$V568),"")</f>
        <v/>
      </c>
      <c r="AB568" s="10" t="str">
        <f aca="false">IFERROR(IF([2]对账明细接口!$W568=0,"",[2]对账明细接口!$W568),"")</f>
        <v/>
      </c>
      <c r="AC568" s="90" t="str">
        <f aca="false">IFERROR(IF([2]对账明细接口!$X569=0,"",[2]对账明细接口!$X569),"")</f>
        <v/>
      </c>
      <c r="AD568" s="90" t="str">
        <f aca="false">IFERROR(IF([2]对账明细接口!$Y569=0,"",[2]对账明细接口!$Y569),"")</f>
        <v/>
      </c>
      <c r="AE568" s="90" t="str">
        <f aca="false">IFERROR(IF([2]对账明细接口!$AA569=0,"",[2]对账明细接口!$AA569),"")</f>
        <v/>
      </c>
      <c r="AF568" s="90" t="str">
        <f aca="false">IFERROR(IF([2]对账明细接口!$AB569=0,"",[2]对账明细接口!$AB569),"")</f>
        <v/>
      </c>
      <c r="AG568" s="90" t="str">
        <f aca="false">IFERROR(IF([2]对账明细接口!$AC569=0,"",[2]对账明细接口!$AC569),"")</f>
        <v/>
      </c>
      <c r="AH568" s="90" t="str">
        <f aca="false">IFERROR(IF([2]对账明细接口!$AD569=0,"",[2]对账明细接口!$AD569),"")</f>
        <v/>
      </c>
    </row>
    <row r="569" customFormat="false" ht="13.5" hidden="false" customHeight="false" outlineLevel="0" collapsed="false">
      <c r="A569" s="109" t="n">
        <v>569</v>
      </c>
      <c r="B569" s="110" t="str">
        <f aca="false">IFERROR(IF([2]对账明细接口!$B$569=0,"",[2]对账明细接口!$B$569),"")</f>
        <v/>
      </c>
      <c r="C569" s="59" t="str">
        <f aca="false">IFERROR(IF([2]对账明细接口!$C$569=0,"",[2]对账明细接口!$C$569),"")</f>
        <v/>
      </c>
      <c r="D569" s="59" t="str">
        <f aca="false">IFERROR(IF([2]对账明细接口!$D$569=0,"",[2]对账明细接口!$D$569),"")</f>
        <v/>
      </c>
      <c r="E569" s="59" t="str">
        <f aca="false">IFERROR(IF([2]对账明细接口!$E$569=0,"",[2]对账明细接口!$E$569),"")</f>
        <v/>
      </c>
      <c r="F569" s="59" t="str">
        <f aca="false">IFERROR(IF([2]对账明细接口!$F$569=0,"",[2]对账明细接口!$F$569),"")</f>
        <v/>
      </c>
      <c r="G569" s="59" t="str">
        <f aca="false">IFERROR(IF([2]对账明细接口!$G$569=0,"",[2]对账明细接口!$G$569),"")</f>
        <v/>
      </c>
      <c r="H569" s="60" t="str">
        <f aca="false">IFERROR(IF([2]对账明细接口!$H$569=0,"",[2]对账明细接口!$H$569),"")</f>
        <v/>
      </c>
      <c r="I569" s="59" t="str">
        <f aca="false">IFERROR(IF([2]对账明细接口!$I$569=0,"",[2]对账明细接口!$I$569),"")</f>
        <v/>
      </c>
      <c r="J569" s="61" t="str">
        <f aca="false">IFERROR(IF([2]对账明细接口!$J$569=0,"",[2]对账明细接口!$J$569),"")</f>
        <v/>
      </c>
      <c r="K569" s="61" t="str">
        <f aca="false">IFERROR(IF([2]对账明细接口!$K$569=0,"",[2]对账明细接口!$K$569),"")</f>
        <v/>
      </c>
      <c r="L569" s="59" t="str">
        <f aca="false">IFERROR(IF([2]对账明细接口!$L$569=0,"",[2]对账明细接口!$L$569),"")</f>
        <v/>
      </c>
      <c r="M569" s="59" t="str">
        <f aca="false">IFERROR(IF([2]对账明细接口!$M$569=0,"",[2]对账明细接口!$M$569),"")</f>
        <v/>
      </c>
      <c r="N569" s="111" t="n">
        <f aca="false">IF($C569="",0,1)</f>
        <v>0</v>
      </c>
      <c r="O569" s="111" t="n">
        <f aca="false">N(O568)+$N569</f>
        <v>311</v>
      </c>
      <c r="S569" s="10" t="str">
        <f aca="false">IFERROR(IF([2]对账明细接口!$N569=0,"",[2]对账明细接口!$N569),"")</f>
        <v/>
      </c>
      <c r="T569" s="112" t="str">
        <f aca="false">IFERROR(IF([2]对账明细接口!$O569=0,"",[2]对账明细接口!$O569),"")</f>
        <v/>
      </c>
      <c r="U569" s="112" t="str">
        <f aca="false">IFERROR(IF([2]对账明细接口!$P569=0,"",[2]对账明细接口!$P569),"")</f>
        <v/>
      </c>
      <c r="V569" s="112" t="str">
        <f aca="false">IFERROR(IF([2]对账明细接口!$Q569=0,"",[2]对账明细接口!$Q569),"")</f>
        <v/>
      </c>
      <c r="W569" s="10" t="str">
        <f aca="false">IFERROR(IF([2]对账明细接口!$R569=0,"",[2]对账明细接口!$R569),"")</f>
        <v/>
      </c>
      <c r="X569" s="10" t="str">
        <f aca="false">IFERROR(IF([2]对账明细接口!$S569=0,"",[2]对账明细接口!$S569),"")</f>
        <v/>
      </c>
      <c r="Y569" s="10" t="str">
        <f aca="false">IFERROR(IF([2]对账明细接口!$T569=0,"",[2]对账明细接口!$T569),"")</f>
        <v/>
      </c>
      <c r="Z569" s="113" t="str">
        <f aca="false">IFERROR(IF([2]对账明细接口!$U569=0,"",[2]对账明细接口!$U569),"")</f>
        <v/>
      </c>
      <c r="AA569" s="113" t="str">
        <f aca="false">IFERROR(IF([2]对账明细接口!$V569=0,"",[2]对账明细接口!$V569),"")</f>
        <v/>
      </c>
      <c r="AB569" s="10" t="str">
        <f aca="false">IFERROR(IF([2]对账明细接口!$W569=0,"",[2]对账明细接口!$W569),"")</f>
        <v/>
      </c>
      <c r="AC569" s="90" t="str">
        <f aca="false">IFERROR(IF([2]对账明细接口!$X570=0,"",[2]对账明细接口!$X570),"")</f>
        <v/>
      </c>
      <c r="AD569" s="90" t="str">
        <f aca="false">IFERROR(IF([2]对账明细接口!$Y570=0,"",[2]对账明细接口!$Y570),"")</f>
        <v/>
      </c>
      <c r="AE569" s="90" t="str">
        <f aca="false">IFERROR(IF([2]对账明细接口!$AA570=0,"",[2]对账明细接口!$AA570),"")</f>
        <v/>
      </c>
      <c r="AF569" s="90" t="str">
        <f aca="false">IFERROR(IF([2]对账明细接口!$AB570=0,"",[2]对账明细接口!$AB570),"")</f>
        <v/>
      </c>
      <c r="AG569" s="90" t="str">
        <f aca="false">IFERROR(IF([2]对账明细接口!$AC570=0,"",[2]对账明细接口!$AC570),"")</f>
        <v/>
      </c>
      <c r="AH569" s="90" t="str">
        <f aca="false">IFERROR(IF([2]对账明细接口!$AD570=0,"",[2]对账明细接口!$AD570),"")</f>
        <v/>
      </c>
    </row>
    <row r="570" customFormat="false" ht="13.5" hidden="false" customHeight="false" outlineLevel="0" collapsed="false">
      <c r="A570" s="109" t="n">
        <v>570</v>
      </c>
      <c r="B570" s="110" t="str">
        <f aca="false">IFERROR(IF([2]对账明细接口!$B$570=0,"",[2]对账明细接口!$B$570),"")</f>
        <v/>
      </c>
      <c r="C570" s="59" t="str">
        <f aca="false">IFERROR(IF([2]对账明细接口!$C$570=0,"",[2]对账明细接口!$C$570),"")</f>
        <v/>
      </c>
      <c r="D570" s="59" t="str">
        <f aca="false">IFERROR(IF([2]对账明细接口!$D$570=0,"",[2]对账明细接口!$D$570),"")</f>
        <v/>
      </c>
      <c r="E570" s="59" t="str">
        <f aca="false">IFERROR(IF([2]对账明细接口!$E$570=0,"",[2]对账明细接口!$E$570),"")</f>
        <v/>
      </c>
      <c r="F570" s="59" t="str">
        <f aca="false">IFERROR(IF([2]对账明细接口!$F$570=0,"",[2]对账明细接口!$F$570),"")</f>
        <v/>
      </c>
      <c r="G570" s="59" t="str">
        <f aca="false">IFERROR(IF([2]对账明细接口!$G$570=0,"",[2]对账明细接口!$G$570),"")</f>
        <v/>
      </c>
      <c r="H570" s="60" t="str">
        <f aca="false">IFERROR(IF([2]对账明细接口!$H$570=0,"",[2]对账明细接口!$H$570),"")</f>
        <v/>
      </c>
      <c r="I570" s="59" t="str">
        <f aca="false">IFERROR(IF([2]对账明细接口!$I$570=0,"",[2]对账明细接口!$I$570),"")</f>
        <v/>
      </c>
      <c r="J570" s="61" t="str">
        <f aca="false">IFERROR(IF([2]对账明细接口!$J$570=0,"",[2]对账明细接口!$J$570),"")</f>
        <v/>
      </c>
      <c r="K570" s="61" t="str">
        <f aca="false">IFERROR(IF([2]对账明细接口!$K$570=0,"",[2]对账明细接口!$K$570),"")</f>
        <v/>
      </c>
      <c r="L570" s="59" t="str">
        <f aca="false">IFERROR(IF([2]对账明细接口!$L$570=0,"",[2]对账明细接口!$L$570),"")</f>
        <v/>
      </c>
      <c r="M570" s="59" t="str">
        <f aca="false">IFERROR(IF([2]对账明细接口!$M$570=0,"",[2]对账明细接口!$M$570),"")</f>
        <v/>
      </c>
      <c r="N570" s="111" t="n">
        <f aca="false">IF($C570="",0,1)</f>
        <v>0</v>
      </c>
      <c r="O570" s="111" t="n">
        <f aca="false">N(O569)+$N570</f>
        <v>311</v>
      </c>
      <c r="S570" s="10" t="str">
        <f aca="false">IFERROR(IF([2]对账明细接口!$N570=0,"",[2]对账明细接口!$N570),"")</f>
        <v/>
      </c>
      <c r="T570" s="112" t="str">
        <f aca="false">IFERROR(IF([2]对账明细接口!$O570=0,"",[2]对账明细接口!$O570),"")</f>
        <v/>
      </c>
      <c r="U570" s="112" t="str">
        <f aca="false">IFERROR(IF([2]对账明细接口!$P570=0,"",[2]对账明细接口!$P570),"")</f>
        <v/>
      </c>
      <c r="V570" s="112" t="str">
        <f aca="false">IFERROR(IF([2]对账明细接口!$Q570=0,"",[2]对账明细接口!$Q570),"")</f>
        <v/>
      </c>
      <c r="W570" s="10" t="str">
        <f aca="false">IFERROR(IF([2]对账明细接口!$R570=0,"",[2]对账明细接口!$R570),"")</f>
        <v/>
      </c>
      <c r="X570" s="10" t="str">
        <f aca="false">IFERROR(IF([2]对账明细接口!$S570=0,"",[2]对账明细接口!$S570),"")</f>
        <v/>
      </c>
      <c r="Y570" s="10" t="str">
        <f aca="false">IFERROR(IF([2]对账明细接口!$T570=0,"",[2]对账明细接口!$T570),"")</f>
        <v/>
      </c>
      <c r="Z570" s="113" t="str">
        <f aca="false">IFERROR(IF([2]对账明细接口!$U570=0,"",[2]对账明细接口!$U570),"")</f>
        <v/>
      </c>
      <c r="AA570" s="113" t="str">
        <f aca="false">IFERROR(IF([2]对账明细接口!$V570=0,"",[2]对账明细接口!$V570),"")</f>
        <v/>
      </c>
      <c r="AB570" s="10" t="str">
        <f aca="false">IFERROR(IF([2]对账明细接口!$W570=0,"",[2]对账明细接口!$W570),"")</f>
        <v/>
      </c>
      <c r="AC570" s="90" t="str">
        <f aca="false">IFERROR(IF([2]对账明细接口!$X571=0,"",[2]对账明细接口!$X571),"")</f>
        <v/>
      </c>
      <c r="AD570" s="90" t="str">
        <f aca="false">IFERROR(IF([2]对账明细接口!$Y571=0,"",[2]对账明细接口!$Y571),"")</f>
        <v/>
      </c>
      <c r="AE570" s="90" t="str">
        <f aca="false">IFERROR(IF([2]对账明细接口!$AA571=0,"",[2]对账明细接口!$AA571),"")</f>
        <v/>
      </c>
      <c r="AF570" s="90" t="str">
        <f aca="false">IFERROR(IF([2]对账明细接口!$AB571=0,"",[2]对账明细接口!$AB571),"")</f>
        <v/>
      </c>
      <c r="AG570" s="90" t="str">
        <f aca="false">IFERROR(IF([2]对账明细接口!$AC571=0,"",[2]对账明细接口!$AC571),"")</f>
        <v/>
      </c>
      <c r="AH570" s="90" t="str">
        <f aca="false">IFERROR(IF([2]对账明细接口!$AD571=0,"",[2]对账明细接口!$AD571),"")</f>
        <v/>
      </c>
    </row>
    <row r="571" customFormat="false" ht="13.5" hidden="false" customHeight="false" outlineLevel="0" collapsed="false">
      <c r="A571" s="109" t="n">
        <v>571</v>
      </c>
      <c r="B571" s="110" t="str">
        <f aca="false">IFERROR(IF([2]对账明细接口!$B$571=0,"",[2]对账明细接口!$B$571),"")</f>
        <v/>
      </c>
      <c r="C571" s="59" t="str">
        <f aca="false">IFERROR(IF([2]对账明细接口!$C$571=0,"",[2]对账明细接口!$C$571),"")</f>
        <v/>
      </c>
      <c r="D571" s="59" t="str">
        <f aca="false">IFERROR(IF([2]对账明细接口!$D$571=0,"",[2]对账明细接口!$D$571),"")</f>
        <v/>
      </c>
      <c r="E571" s="59" t="str">
        <f aca="false">IFERROR(IF([2]对账明细接口!$E$571=0,"",[2]对账明细接口!$E$571),"")</f>
        <v/>
      </c>
      <c r="F571" s="59" t="str">
        <f aca="false">IFERROR(IF([2]对账明细接口!$F$571=0,"",[2]对账明细接口!$F$571),"")</f>
        <v/>
      </c>
      <c r="G571" s="59" t="str">
        <f aca="false">IFERROR(IF([2]对账明细接口!$G$571=0,"",[2]对账明细接口!$G$571),"")</f>
        <v/>
      </c>
      <c r="H571" s="60" t="str">
        <f aca="false">IFERROR(IF([2]对账明细接口!$H$571=0,"",[2]对账明细接口!$H$571),"")</f>
        <v/>
      </c>
      <c r="I571" s="59" t="str">
        <f aca="false">IFERROR(IF([2]对账明细接口!$I$571=0,"",[2]对账明细接口!$I$571),"")</f>
        <v/>
      </c>
      <c r="J571" s="61" t="str">
        <f aca="false">IFERROR(IF([2]对账明细接口!$J$571=0,"",[2]对账明细接口!$J$571),"")</f>
        <v/>
      </c>
      <c r="K571" s="61" t="str">
        <f aca="false">IFERROR(IF([2]对账明细接口!$K$571=0,"",[2]对账明细接口!$K$571),"")</f>
        <v/>
      </c>
      <c r="L571" s="59" t="str">
        <f aca="false">IFERROR(IF([2]对账明细接口!$L$571=0,"",[2]对账明细接口!$L$571),"")</f>
        <v/>
      </c>
      <c r="M571" s="59" t="str">
        <f aca="false">IFERROR(IF([2]对账明细接口!$M$571=0,"",[2]对账明细接口!$M$571),"")</f>
        <v/>
      </c>
      <c r="N571" s="111" t="n">
        <f aca="false">IF($C571="",0,1)</f>
        <v>0</v>
      </c>
      <c r="O571" s="111" t="n">
        <f aca="false">N(O570)+$N571</f>
        <v>311</v>
      </c>
      <c r="S571" s="10" t="str">
        <f aca="false">IFERROR(IF([2]对账明细接口!$N571=0,"",[2]对账明细接口!$N571),"")</f>
        <v/>
      </c>
      <c r="T571" s="112" t="str">
        <f aca="false">IFERROR(IF([2]对账明细接口!$O571=0,"",[2]对账明细接口!$O571),"")</f>
        <v/>
      </c>
      <c r="U571" s="112" t="str">
        <f aca="false">IFERROR(IF([2]对账明细接口!$P571=0,"",[2]对账明细接口!$P571),"")</f>
        <v/>
      </c>
      <c r="V571" s="112" t="str">
        <f aca="false">IFERROR(IF([2]对账明细接口!$Q571=0,"",[2]对账明细接口!$Q571),"")</f>
        <v/>
      </c>
      <c r="W571" s="10" t="str">
        <f aca="false">IFERROR(IF([2]对账明细接口!$R571=0,"",[2]对账明细接口!$R571),"")</f>
        <v/>
      </c>
      <c r="X571" s="10" t="str">
        <f aca="false">IFERROR(IF([2]对账明细接口!$S571=0,"",[2]对账明细接口!$S571),"")</f>
        <v/>
      </c>
      <c r="Y571" s="10" t="str">
        <f aca="false">IFERROR(IF([2]对账明细接口!$T571=0,"",[2]对账明细接口!$T571),"")</f>
        <v/>
      </c>
      <c r="Z571" s="113" t="str">
        <f aca="false">IFERROR(IF([2]对账明细接口!$U571=0,"",[2]对账明细接口!$U571),"")</f>
        <v/>
      </c>
      <c r="AA571" s="113" t="str">
        <f aca="false">IFERROR(IF([2]对账明细接口!$V571=0,"",[2]对账明细接口!$V571),"")</f>
        <v/>
      </c>
      <c r="AB571" s="10" t="str">
        <f aca="false">IFERROR(IF([2]对账明细接口!$W571=0,"",[2]对账明细接口!$W571),"")</f>
        <v/>
      </c>
      <c r="AC571" s="90" t="str">
        <f aca="false">IFERROR(IF([2]对账明细接口!$X572=0,"",[2]对账明细接口!$X572),"")</f>
        <v/>
      </c>
      <c r="AD571" s="90" t="str">
        <f aca="false">IFERROR(IF([2]对账明细接口!$Y572=0,"",[2]对账明细接口!$Y572),"")</f>
        <v/>
      </c>
      <c r="AE571" s="90" t="str">
        <f aca="false">IFERROR(IF([2]对账明细接口!$AA572=0,"",[2]对账明细接口!$AA572),"")</f>
        <v/>
      </c>
      <c r="AF571" s="90" t="str">
        <f aca="false">IFERROR(IF([2]对账明细接口!$AB572=0,"",[2]对账明细接口!$AB572),"")</f>
        <v/>
      </c>
      <c r="AG571" s="90" t="str">
        <f aca="false">IFERROR(IF([2]对账明细接口!$AC572=0,"",[2]对账明细接口!$AC572),"")</f>
        <v/>
      </c>
      <c r="AH571" s="90" t="str">
        <f aca="false">IFERROR(IF([2]对账明细接口!$AD572=0,"",[2]对账明细接口!$AD572),"")</f>
        <v/>
      </c>
    </row>
    <row r="572" customFormat="false" ht="13.5" hidden="false" customHeight="false" outlineLevel="0" collapsed="false">
      <c r="A572" s="109" t="n">
        <v>572</v>
      </c>
      <c r="B572" s="110" t="str">
        <f aca="false">IFERROR(IF([2]对账明细接口!$B$572=0,"",[2]对账明细接口!$B$572),"")</f>
        <v/>
      </c>
      <c r="C572" s="59" t="str">
        <f aca="false">IFERROR(IF([2]对账明细接口!$C$572=0,"",[2]对账明细接口!$C$572),"")</f>
        <v/>
      </c>
      <c r="D572" s="59" t="str">
        <f aca="false">IFERROR(IF([2]对账明细接口!$D$572=0,"",[2]对账明细接口!$D$572),"")</f>
        <v/>
      </c>
      <c r="E572" s="59" t="str">
        <f aca="false">IFERROR(IF([2]对账明细接口!$E$572=0,"",[2]对账明细接口!$E$572),"")</f>
        <v/>
      </c>
      <c r="F572" s="59" t="str">
        <f aca="false">IFERROR(IF([2]对账明细接口!$F$572=0,"",[2]对账明细接口!$F$572),"")</f>
        <v/>
      </c>
      <c r="G572" s="59" t="str">
        <f aca="false">IFERROR(IF([2]对账明细接口!$G$572=0,"",[2]对账明细接口!$G$572),"")</f>
        <v/>
      </c>
      <c r="H572" s="60" t="str">
        <f aca="false">IFERROR(IF([2]对账明细接口!$H$572=0,"",[2]对账明细接口!$H$572),"")</f>
        <v/>
      </c>
      <c r="I572" s="59" t="str">
        <f aca="false">IFERROR(IF([2]对账明细接口!$I$572=0,"",[2]对账明细接口!$I$572),"")</f>
        <v/>
      </c>
      <c r="J572" s="61" t="str">
        <f aca="false">IFERROR(IF([2]对账明细接口!$J$572=0,"",[2]对账明细接口!$J$572),"")</f>
        <v/>
      </c>
      <c r="K572" s="61" t="str">
        <f aca="false">IFERROR(IF([2]对账明细接口!$K$572=0,"",[2]对账明细接口!$K$572),"")</f>
        <v/>
      </c>
      <c r="L572" s="59" t="str">
        <f aca="false">IFERROR(IF([2]对账明细接口!$L$572=0,"",[2]对账明细接口!$L$572),"")</f>
        <v/>
      </c>
      <c r="M572" s="59" t="str">
        <f aca="false">IFERROR(IF([2]对账明细接口!$M$572=0,"",[2]对账明细接口!$M$572),"")</f>
        <v/>
      </c>
      <c r="N572" s="111" t="n">
        <f aca="false">IF($C572="",0,1)</f>
        <v>0</v>
      </c>
      <c r="O572" s="111" t="n">
        <f aca="false">N(O571)+$N572</f>
        <v>311</v>
      </c>
      <c r="S572" s="10" t="str">
        <f aca="false">IFERROR(IF([2]对账明细接口!$N572=0,"",[2]对账明细接口!$N572),"")</f>
        <v/>
      </c>
      <c r="T572" s="112" t="str">
        <f aca="false">IFERROR(IF([2]对账明细接口!$O572=0,"",[2]对账明细接口!$O572),"")</f>
        <v/>
      </c>
      <c r="U572" s="112" t="str">
        <f aca="false">IFERROR(IF([2]对账明细接口!$P572=0,"",[2]对账明细接口!$P572),"")</f>
        <v/>
      </c>
      <c r="V572" s="112" t="str">
        <f aca="false">IFERROR(IF([2]对账明细接口!$Q572=0,"",[2]对账明细接口!$Q572),"")</f>
        <v/>
      </c>
      <c r="W572" s="10" t="str">
        <f aca="false">IFERROR(IF([2]对账明细接口!$R572=0,"",[2]对账明细接口!$R572),"")</f>
        <v/>
      </c>
      <c r="X572" s="10" t="str">
        <f aca="false">IFERROR(IF([2]对账明细接口!$S572=0,"",[2]对账明细接口!$S572),"")</f>
        <v/>
      </c>
      <c r="Y572" s="10" t="str">
        <f aca="false">IFERROR(IF([2]对账明细接口!$T572=0,"",[2]对账明细接口!$T572),"")</f>
        <v/>
      </c>
      <c r="Z572" s="113" t="str">
        <f aca="false">IFERROR(IF([2]对账明细接口!$U572=0,"",[2]对账明细接口!$U572),"")</f>
        <v/>
      </c>
      <c r="AA572" s="113" t="str">
        <f aca="false">IFERROR(IF([2]对账明细接口!$V572=0,"",[2]对账明细接口!$V572),"")</f>
        <v/>
      </c>
      <c r="AB572" s="10" t="str">
        <f aca="false">IFERROR(IF([2]对账明细接口!$W572=0,"",[2]对账明细接口!$W572),"")</f>
        <v/>
      </c>
      <c r="AC572" s="90" t="str">
        <f aca="false">IFERROR(IF([2]对账明细接口!$X573=0,"",[2]对账明细接口!$X573),"")</f>
        <v/>
      </c>
      <c r="AD572" s="90" t="str">
        <f aca="false">IFERROR(IF([2]对账明细接口!$Y573=0,"",[2]对账明细接口!$Y573),"")</f>
        <v/>
      </c>
      <c r="AE572" s="90" t="str">
        <f aca="false">IFERROR(IF([2]对账明细接口!$AA573=0,"",[2]对账明细接口!$AA573),"")</f>
        <v/>
      </c>
      <c r="AF572" s="90" t="str">
        <f aca="false">IFERROR(IF([2]对账明细接口!$AB573=0,"",[2]对账明细接口!$AB573),"")</f>
        <v/>
      </c>
      <c r="AG572" s="90" t="str">
        <f aca="false">IFERROR(IF([2]对账明细接口!$AC573=0,"",[2]对账明细接口!$AC573),"")</f>
        <v/>
      </c>
      <c r="AH572" s="90" t="str">
        <f aca="false">IFERROR(IF([2]对账明细接口!$AD573=0,"",[2]对账明细接口!$AD573),"")</f>
        <v/>
      </c>
    </row>
    <row r="573" customFormat="false" ht="13.5" hidden="false" customHeight="false" outlineLevel="0" collapsed="false">
      <c r="A573" s="109" t="n">
        <v>573</v>
      </c>
      <c r="B573" s="110" t="str">
        <f aca="false">IFERROR(IF([2]对账明细接口!$B$573=0,"",[2]对账明细接口!$B$573),"")</f>
        <v/>
      </c>
      <c r="C573" s="59" t="str">
        <f aca="false">IFERROR(IF([2]对账明细接口!$C$573=0,"",[2]对账明细接口!$C$573),"")</f>
        <v/>
      </c>
      <c r="D573" s="59" t="str">
        <f aca="false">IFERROR(IF([2]对账明细接口!$D$573=0,"",[2]对账明细接口!$D$573),"")</f>
        <v/>
      </c>
      <c r="E573" s="59" t="str">
        <f aca="false">IFERROR(IF([2]对账明细接口!$E$573=0,"",[2]对账明细接口!$E$573),"")</f>
        <v/>
      </c>
      <c r="F573" s="59" t="str">
        <f aca="false">IFERROR(IF([2]对账明细接口!$F$573=0,"",[2]对账明细接口!$F$573),"")</f>
        <v/>
      </c>
      <c r="G573" s="59" t="str">
        <f aca="false">IFERROR(IF([2]对账明细接口!$G$573=0,"",[2]对账明细接口!$G$573),"")</f>
        <v/>
      </c>
      <c r="H573" s="60" t="str">
        <f aca="false">IFERROR(IF([2]对账明细接口!$H$573=0,"",[2]对账明细接口!$H$573),"")</f>
        <v/>
      </c>
      <c r="I573" s="59" t="str">
        <f aca="false">IFERROR(IF([2]对账明细接口!$I$573=0,"",[2]对账明细接口!$I$573),"")</f>
        <v/>
      </c>
      <c r="J573" s="61" t="str">
        <f aca="false">IFERROR(IF([2]对账明细接口!$J$573=0,"",[2]对账明细接口!$J$573),"")</f>
        <v/>
      </c>
      <c r="K573" s="61" t="str">
        <f aca="false">IFERROR(IF([2]对账明细接口!$K$573=0,"",[2]对账明细接口!$K$573),"")</f>
        <v/>
      </c>
      <c r="L573" s="59" t="str">
        <f aca="false">IFERROR(IF([2]对账明细接口!$L$573=0,"",[2]对账明细接口!$L$573),"")</f>
        <v/>
      </c>
      <c r="M573" s="59" t="str">
        <f aca="false">IFERROR(IF([2]对账明细接口!$M$573=0,"",[2]对账明细接口!$M$573),"")</f>
        <v/>
      </c>
      <c r="N573" s="111" t="n">
        <f aca="false">IF($C573="",0,1)</f>
        <v>0</v>
      </c>
      <c r="O573" s="111" t="n">
        <f aca="false">N(O572)+$N573</f>
        <v>311</v>
      </c>
      <c r="S573" s="10" t="str">
        <f aca="false">IFERROR(IF([2]对账明细接口!$N573=0,"",[2]对账明细接口!$N573),"")</f>
        <v/>
      </c>
      <c r="T573" s="112" t="str">
        <f aca="false">IFERROR(IF([2]对账明细接口!$O573=0,"",[2]对账明细接口!$O573),"")</f>
        <v/>
      </c>
      <c r="U573" s="112" t="str">
        <f aca="false">IFERROR(IF([2]对账明细接口!$P573=0,"",[2]对账明细接口!$P573),"")</f>
        <v/>
      </c>
      <c r="V573" s="112" t="str">
        <f aca="false">IFERROR(IF([2]对账明细接口!$Q573=0,"",[2]对账明细接口!$Q573),"")</f>
        <v/>
      </c>
      <c r="W573" s="10" t="str">
        <f aca="false">IFERROR(IF([2]对账明细接口!$R573=0,"",[2]对账明细接口!$R573),"")</f>
        <v/>
      </c>
      <c r="X573" s="10" t="str">
        <f aca="false">IFERROR(IF([2]对账明细接口!$S573=0,"",[2]对账明细接口!$S573),"")</f>
        <v/>
      </c>
      <c r="Y573" s="10" t="str">
        <f aca="false">IFERROR(IF([2]对账明细接口!$T573=0,"",[2]对账明细接口!$T573),"")</f>
        <v/>
      </c>
      <c r="Z573" s="113" t="str">
        <f aca="false">IFERROR(IF([2]对账明细接口!$U573=0,"",[2]对账明细接口!$U573),"")</f>
        <v/>
      </c>
      <c r="AA573" s="113" t="str">
        <f aca="false">IFERROR(IF([2]对账明细接口!$V573=0,"",[2]对账明细接口!$V573),"")</f>
        <v/>
      </c>
      <c r="AB573" s="10" t="str">
        <f aca="false">IFERROR(IF([2]对账明细接口!$W573=0,"",[2]对账明细接口!$W573),"")</f>
        <v/>
      </c>
      <c r="AC573" s="90" t="str">
        <f aca="false">IFERROR(IF([2]对账明细接口!$X574=0,"",[2]对账明细接口!$X574),"")</f>
        <v/>
      </c>
      <c r="AD573" s="90" t="str">
        <f aca="false">IFERROR(IF([2]对账明细接口!$Y574=0,"",[2]对账明细接口!$Y574),"")</f>
        <v/>
      </c>
      <c r="AE573" s="90" t="str">
        <f aca="false">IFERROR(IF([2]对账明细接口!$AA574=0,"",[2]对账明细接口!$AA574),"")</f>
        <v/>
      </c>
      <c r="AF573" s="90" t="str">
        <f aca="false">IFERROR(IF([2]对账明细接口!$AB574=0,"",[2]对账明细接口!$AB574),"")</f>
        <v/>
      </c>
      <c r="AG573" s="90" t="str">
        <f aca="false">IFERROR(IF([2]对账明细接口!$AC574=0,"",[2]对账明细接口!$AC574),"")</f>
        <v/>
      </c>
      <c r="AH573" s="90" t="str">
        <f aca="false">IFERROR(IF([2]对账明细接口!$AD574=0,"",[2]对账明细接口!$AD574),"")</f>
        <v/>
      </c>
    </row>
    <row r="574" customFormat="false" ht="13.5" hidden="false" customHeight="false" outlineLevel="0" collapsed="false">
      <c r="A574" s="109" t="n">
        <v>574</v>
      </c>
      <c r="B574" s="110" t="str">
        <f aca="false">IFERROR(IF([2]对账明细接口!$B$574=0,"",[2]对账明细接口!$B$574),"")</f>
        <v/>
      </c>
      <c r="C574" s="59" t="str">
        <f aca="false">IFERROR(IF([2]对账明细接口!$C$574=0,"",[2]对账明细接口!$C$574),"")</f>
        <v/>
      </c>
      <c r="D574" s="59" t="str">
        <f aca="false">IFERROR(IF([2]对账明细接口!$D$574=0,"",[2]对账明细接口!$D$574),"")</f>
        <v/>
      </c>
      <c r="E574" s="59" t="str">
        <f aca="false">IFERROR(IF([2]对账明细接口!$E$574=0,"",[2]对账明细接口!$E$574),"")</f>
        <v/>
      </c>
      <c r="F574" s="59" t="str">
        <f aca="false">IFERROR(IF([2]对账明细接口!$F$574=0,"",[2]对账明细接口!$F$574),"")</f>
        <v/>
      </c>
      <c r="G574" s="59" t="str">
        <f aca="false">IFERROR(IF([2]对账明细接口!$G$574=0,"",[2]对账明细接口!$G$574),"")</f>
        <v/>
      </c>
      <c r="H574" s="60" t="str">
        <f aca="false">IFERROR(IF([2]对账明细接口!$H$574=0,"",[2]对账明细接口!$H$574),"")</f>
        <v/>
      </c>
      <c r="I574" s="59" t="str">
        <f aca="false">IFERROR(IF([2]对账明细接口!$I$574=0,"",[2]对账明细接口!$I$574),"")</f>
        <v/>
      </c>
      <c r="J574" s="61" t="str">
        <f aca="false">IFERROR(IF([2]对账明细接口!$J$574=0,"",[2]对账明细接口!$J$574),"")</f>
        <v/>
      </c>
      <c r="K574" s="61" t="str">
        <f aca="false">IFERROR(IF([2]对账明细接口!$K$574=0,"",[2]对账明细接口!$K$574),"")</f>
        <v/>
      </c>
      <c r="L574" s="59" t="str">
        <f aca="false">IFERROR(IF([2]对账明细接口!$L$574=0,"",[2]对账明细接口!$L$574),"")</f>
        <v/>
      </c>
      <c r="M574" s="59" t="str">
        <f aca="false">IFERROR(IF([2]对账明细接口!$M$574=0,"",[2]对账明细接口!$M$574),"")</f>
        <v/>
      </c>
      <c r="N574" s="111" t="n">
        <f aca="false">IF($C574="",0,1)</f>
        <v>0</v>
      </c>
      <c r="O574" s="111" t="n">
        <f aca="false">N(O573)+$N574</f>
        <v>311</v>
      </c>
      <c r="S574" s="10" t="str">
        <f aca="false">IFERROR(IF([2]对账明细接口!$N574=0,"",[2]对账明细接口!$N574),"")</f>
        <v/>
      </c>
      <c r="T574" s="112" t="str">
        <f aca="false">IFERROR(IF([2]对账明细接口!$O574=0,"",[2]对账明细接口!$O574),"")</f>
        <v/>
      </c>
      <c r="U574" s="112" t="str">
        <f aca="false">IFERROR(IF([2]对账明细接口!$P574=0,"",[2]对账明细接口!$P574),"")</f>
        <v/>
      </c>
      <c r="V574" s="112" t="str">
        <f aca="false">IFERROR(IF([2]对账明细接口!$Q574=0,"",[2]对账明细接口!$Q574),"")</f>
        <v/>
      </c>
      <c r="W574" s="10" t="str">
        <f aca="false">IFERROR(IF([2]对账明细接口!$R574=0,"",[2]对账明细接口!$R574),"")</f>
        <v/>
      </c>
      <c r="X574" s="10" t="str">
        <f aca="false">IFERROR(IF([2]对账明细接口!$S574=0,"",[2]对账明细接口!$S574),"")</f>
        <v/>
      </c>
      <c r="Y574" s="10" t="str">
        <f aca="false">IFERROR(IF([2]对账明细接口!$T574=0,"",[2]对账明细接口!$T574),"")</f>
        <v/>
      </c>
      <c r="Z574" s="113" t="str">
        <f aca="false">IFERROR(IF([2]对账明细接口!$U574=0,"",[2]对账明细接口!$U574),"")</f>
        <v/>
      </c>
      <c r="AA574" s="113" t="str">
        <f aca="false">IFERROR(IF([2]对账明细接口!$V574=0,"",[2]对账明细接口!$V574),"")</f>
        <v/>
      </c>
      <c r="AB574" s="10" t="str">
        <f aca="false">IFERROR(IF([2]对账明细接口!$W574=0,"",[2]对账明细接口!$W574),"")</f>
        <v/>
      </c>
      <c r="AC574" s="90" t="str">
        <f aca="false">IFERROR(IF([2]对账明细接口!$X575=0,"",[2]对账明细接口!$X575),"")</f>
        <v/>
      </c>
      <c r="AD574" s="90" t="str">
        <f aca="false">IFERROR(IF([2]对账明细接口!$Y575=0,"",[2]对账明细接口!$Y575),"")</f>
        <v/>
      </c>
      <c r="AE574" s="90" t="str">
        <f aca="false">IFERROR(IF([2]对账明细接口!$AA575=0,"",[2]对账明细接口!$AA575),"")</f>
        <v/>
      </c>
      <c r="AF574" s="90" t="str">
        <f aca="false">IFERROR(IF([2]对账明细接口!$AB575=0,"",[2]对账明细接口!$AB575),"")</f>
        <v/>
      </c>
      <c r="AG574" s="90" t="str">
        <f aca="false">IFERROR(IF([2]对账明细接口!$AC575=0,"",[2]对账明细接口!$AC575),"")</f>
        <v/>
      </c>
      <c r="AH574" s="90" t="str">
        <f aca="false">IFERROR(IF([2]对账明细接口!$AD575=0,"",[2]对账明细接口!$AD575),"")</f>
        <v/>
      </c>
    </row>
    <row r="575" customFormat="false" ht="13.5" hidden="false" customHeight="false" outlineLevel="0" collapsed="false">
      <c r="A575" s="109" t="n">
        <v>575</v>
      </c>
      <c r="B575" s="110" t="str">
        <f aca="false">IFERROR(IF([2]对账明细接口!$B$575=0,"",[2]对账明细接口!$B$575),"")</f>
        <v/>
      </c>
      <c r="C575" s="59" t="str">
        <f aca="false">IFERROR(IF([2]对账明细接口!$C$575=0,"",[2]对账明细接口!$C$575),"")</f>
        <v/>
      </c>
      <c r="D575" s="59" t="str">
        <f aca="false">IFERROR(IF([2]对账明细接口!$D$575=0,"",[2]对账明细接口!$D$575),"")</f>
        <v/>
      </c>
      <c r="E575" s="59" t="str">
        <f aca="false">IFERROR(IF([2]对账明细接口!$E$575=0,"",[2]对账明细接口!$E$575),"")</f>
        <v/>
      </c>
      <c r="F575" s="59" t="str">
        <f aca="false">IFERROR(IF([2]对账明细接口!$F$575=0,"",[2]对账明细接口!$F$575),"")</f>
        <v/>
      </c>
      <c r="G575" s="59" t="str">
        <f aca="false">IFERROR(IF([2]对账明细接口!$G$575=0,"",[2]对账明细接口!$G$575),"")</f>
        <v/>
      </c>
      <c r="H575" s="60" t="str">
        <f aca="false">IFERROR(IF([2]对账明细接口!$H$575=0,"",[2]对账明细接口!$H$575),"")</f>
        <v/>
      </c>
      <c r="I575" s="59" t="str">
        <f aca="false">IFERROR(IF([2]对账明细接口!$I$575=0,"",[2]对账明细接口!$I$575),"")</f>
        <v/>
      </c>
      <c r="J575" s="61" t="str">
        <f aca="false">IFERROR(IF([2]对账明细接口!$J$575=0,"",[2]对账明细接口!$J$575),"")</f>
        <v/>
      </c>
      <c r="K575" s="61" t="str">
        <f aca="false">IFERROR(IF([2]对账明细接口!$K$575=0,"",[2]对账明细接口!$K$575),"")</f>
        <v/>
      </c>
      <c r="L575" s="59" t="str">
        <f aca="false">IFERROR(IF([2]对账明细接口!$L$575=0,"",[2]对账明细接口!$L$575),"")</f>
        <v/>
      </c>
      <c r="M575" s="59" t="str">
        <f aca="false">IFERROR(IF([2]对账明细接口!$M$575=0,"",[2]对账明细接口!$M$575),"")</f>
        <v/>
      </c>
      <c r="N575" s="111" t="n">
        <f aca="false">IF($C575="",0,1)</f>
        <v>0</v>
      </c>
      <c r="O575" s="111" t="n">
        <f aca="false">N(O574)+$N575</f>
        <v>311</v>
      </c>
      <c r="S575" s="10" t="str">
        <f aca="false">IFERROR(IF([2]对账明细接口!$N575=0,"",[2]对账明细接口!$N575),"")</f>
        <v/>
      </c>
      <c r="T575" s="112" t="str">
        <f aca="false">IFERROR(IF([2]对账明细接口!$O575=0,"",[2]对账明细接口!$O575),"")</f>
        <v/>
      </c>
      <c r="U575" s="112" t="str">
        <f aca="false">IFERROR(IF([2]对账明细接口!$P575=0,"",[2]对账明细接口!$P575),"")</f>
        <v/>
      </c>
      <c r="V575" s="112" t="str">
        <f aca="false">IFERROR(IF([2]对账明细接口!$Q575=0,"",[2]对账明细接口!$Q575),"")</f>
        <v/>
      </c>
      <c r="W575" s="10" t="str">
        <f aca="false">IFERROR(IF([2]对账明细接口!$R575=0,"",[2]对账明细接口!$R575),"")</f>
        <v/>
      </c>
      <c r="X575" s="10" t="str">
        <f aca="false">IFERROR(IF([2]对账明细接口!$S575=0,"",[2]对账明细接口!$S575),"")</f>
        <v/>
      </c>
      <c r="Y575" s="10" t="str">
        <f aca="false">IFERROR(IF([2]对账明细接口!$T575=0,"",[2]对账明细接口!$T575),"")</f>
        <v/>
      </c>
      <c r="Z575" s="113" t="str">
        <f aca="false">IFERROR(IF([2]对账明细接口!$U575=0,"",[2]对账明细接口!$U575),"")</f>
        <v/>
      </c>
      <c r="AA575" s="113" t="str">
        <f aca="false">IFERROR(IF([2]对账明细接口!$V575=0,"",[2]对账明细接口!$V575),"")</f>
        <v/>
      </c>
      <c r="AB575" s="10" t="str">
        <f aca="false">IFERROR(IF([2]对账明细接口!$W575=0,"",[2]对账明细接口!$W575),"")</f>
        <v/>
      </c>
      <c r="AC575" s="90" t="str">
        <f aca="false">IFERROR(IF([2]对账明细接口!$X576=0,"",[2]对账明细接口!$X576),"")</f>
        <v/>
      </c>
      <c r="AD575" s="90" t="str">
        <f aca="false">IFERROR(IF([2]对账明细接口!$Y576=0,"",[2]对账明细接口!$Y576),"")</f>
        <v/>
      </c>
      <c r="AE575" s="90" t="str">
        <f aca="false">IFERROR(IF([2]对账明细接口!$AA576=0,"",[2]对账明细接口!$AA576),"")</f>
        <v/>
      </c>
      <c r="AF575" s="90" t="str">
        <f aca="false">IFERROR(IF([2]对账明细接口!$AB576=0,"",[2]对账明细接口!$AB576),"")</f>
        <v/>
      </c>
      <c r="AG575" s="90" t="str">
        <f aca="false">IFERROR(IF([2]对账明细接口!$AC576=0,"",[2]对账明细接口!$AC576),"")</f>
        <v/>
      </c>
      <c r="AH575" s="90" t="str">
        <f aca="false">IFERROR(IF([2]对账明细接口!$AD576=0,"",[2]对账明细接口!$AD576),"")</f>
        <v/>
      </c>
    </row>
    <row r="576" customFormat="false" ht="13.5" hidden="false" customHeight="false" outlineLevel="0" collapsed="false">
      <c r="A576" s="109" t="n">
        <v>576</v>
      </c>
      <c r="B576" s="110" t="str">
        <f aca="false">IFERROR(IF([2]对账明细接口!$B$576=0,"",[2]对账明细接口!$B$576),"")</f>
        <v/>
      </c>
      <c r="C576" s="59" t="str">
        <f aca="false">IFERROR(IF([2]对账明细接口!$C$576=0,"",[2]对账明细接口!$C$576),"")</f>
        <v/>
      </c>
      <c r="D576" s="59" t="str">
        <f aca="false">IFERROR(IF([2]对账明细接口!$D$576=0,"",[2]对账明细接口!$D$576),"")</f>
        <v/>
      </c>
      <c r="E576" s="59" t="str">
        <f aca="false">IFERROR(IF([2]对账明细接口!$E$576=0,"",[2]对账明细接口!$E$576),"")</f>
        <v/>
      </c>
      <c r="F576" s="59" t="str">
        <f aca="false">IFERROR(IF([2]对账明细接口!$F$576=0,"",[2]对账明细接口!$F$576),"")</f>
        <v/>
      </c>
      <c r="G576" s="59" t="str">
        <f aca="false">IFERROR(IF([2]对账明细接口!$G$576=0,"",[2]对账明细接口!$G$576),"")</f>
        <v/>
      </c>
      <c r="H576" s="60" t="str">
        <f aca="false">IFERROR(IF([2]对账明细接口!$H$576=0,"",[2]对账明细接口!$H$576),"")</f>
        <v/>
      </c>
      <c r="I576" s="59" t="str">
        <f aca="false">IFERROR(IF([2]对账明细接口!$I$576=0,"",[2]对账明细接口!$I$576),"")</f>
        <v/>
      </c>
      <c r="J576" s="61" t="str">
        <f aca="false">IFERROR(IF([2]对账明细接口!$J$576=0,"",[2]对账明细接口!$J$576),"")</f>
        <v/>
      </c>
      <c r="K576" s="61" t="str">
        <f aca="false">IFERROR(IF([2]对账明细接口!$K$576=0,"",[2]对账明细接口!$K$576),"")</f>
        <v/>
      </c>
      <c r="L576" s="59" t="str">
        <f aca="false">IFERROR(IF([2]对账明细接口!$L$576=0,"",[2]对账明细接口!$L$576),"")</f>
        <v/>
      </c>
      <c r="M576" s="59" t="str">
        <f aca="false">IFERROR(IF([2]对账明细接口!$M$576=0,"",[2]对账明细接口!$M$576),"")</f>
        <v/>
      </c>
      <c r="N576" s="111" t="n">
        <f aca="false">IF($C576="",0,1)</f>
        <v>0</v>
      </c>
      <c r="O576" s="111" t="n">
        <f aca="false">N(O575)+$N576</f>
        <v>311</v>
      </c>
      <c r="S576" s="10" t="str">
        <f aca="false">IFERROR(IF([2]对账明细接口!$N576=0,"",[2]对账明细接口!$N576),"")</f>
        <v/>
      </c>
      <c r="T576" s="112" t="str">
        <f aca="false">IFERROR(IF([2]对账明细接口!$O576=0,"",[2]对账明细接口!$O576),"")</f>
        <v/>
      </c>
      <c r="U576" s="112" t="str">
        <f aca="false">IFERROR(IF([2]对账明细接口!$P576=0,"",[2]对账明细接口!$P576),"")</f>
        <v/>
      </c>
      <c r="V576" s="112" t="str">
        <f aca="false">IFERROR(IF([2]对账明细接口!$Q576=0,"",[2]对账明细接口!$Q576),"")</f>
        <v/>
      </c>
      <c r="W576" s="10" t="str">
        <f aca="false">IFERROR(IF([2]对账明细接口!$R576=0,"",[2]对账明细接口!$R576),"")</f>
        <v/>
      </c>
      <c r="X576" s="10" t="str">
        <f aca="false">IFERROR(IF([2]对账明细接口!$S576=0,"",[2]对账明细接口!$S576),"")</f>
        <v/>
      </c>
      <c r="Y576" s="10" t="str">
        <f aca="false">IFERROR(IF([2]对账明细接口!$T576=0,"",[2]对账明细接口!$T576),"")</f>
        <v/>
      </c>
      <c r="Z576" s="113" t="str">
        <f aca="false">IFERROR(IF([2]对账明细接口!$U576=0,"",[2]对账明细接口!$U576),"")</f>
        <v/>
      </c>
      <c r="AA576" s="113" t="str">
        <f aca="false">IFERROR(IF([2]对账明细接口!$V576=0,"",[2]对账明细接口!$V576),"")</f>
        <v/>
      </c>
      <c r="AB576" s="10" t="str">
        <f aca="false">IFERROR(IF([2]对账明细接口!$W576=0,"",[2]对账明细接口!$W576),"")</f>
        <v/>
      </c>
      <c r="AC576" s="90" t="str">
        <f aca="false">IFERROR(IF([2]对账明细接口!$X577=0,"",[2]对账明细接口!$X577),"")</f>
        <v/>
      </c>
      <c r="AD576" s="90" t="str">
        <f aca="false">IFERROR(IF([2]对账明细接口!$Y577=0,"",[2]对账明细接口!$Y577),"")</f>
        <v/>
      </c>
      <c r="AE576" s="90" t="str">
        <f aca="false">IFERROR(IF([2]对账明细接口!$AA577=0,"",[2]对账明细接口!$AA577),"")</f>
        <v/>
      </c>
      <c r="AF576" s="90" t="str">
        <f aca="false">IFERROR(IF([2]对账明细接口!$AB577=0,"",[2]对账明细接口!$AB577),"")</f>
        <v/>
      </c>
      <c r="AG576" s="90" t="str">
        <f aca="false">IFERROR(IF([2]对账明细接口!$AC577=0,"",[2]对账明细接口!$AC577),"")</f>
        <v/>
      </c>
      <c r="AH576" s="90" t="str">
        <f aca="false">IFERROR(IF([2]对账明细接口!$AD577=0,"",[2]对账明细接口!$AD577),"")</f>
        <v/>
      </c>
    </row>
    <row r="577" customFormat="false" ht="13.5" hidden="false" customHeight="false" outlineLevel="0" collapsed="false">
      <c r="A577" s="109" t="n">
        <v>577</v>
      </c>
      <c r="B577" s="110" t="str">
        <f aca="false">IFERROR(IF([2]对账明细接口!$B$577=0,"",[2]对账明细接口!$B$577),"")</f>
        <v/>
      </c>
      <c r="C577" s="59" t="str">
        <f aca="false">IFERROR(IF([2]对账明细接口!$C$577=0,"",[2]对账明细接口!$C$577),"")</f>
        <v/>
      </c>
      <c r="D577" s="59" t="str">
        <f aca="false">IFERROR(IF([2]对账明细接口!$D$577=0,"",[2]对账明细接口!$D$577),"")</f>
        <v/>
      </c>
      <c r="E577" s="59" t="str">
        <f aca="false">IFERROR(IF([2]对账明细接口!$E$577=0,"",[2]对账明细接口!$E$577),"")</f>
        <v/>
      </c>
      <c r="F577" s="59" t="str">
        <f aca="false">IFERROR(IF([2]对账明细接口!$F$577=0,"",[2]对账明细接口!$F$577),"")</f>
        <v/>
      </c>
      <c r="G577" s="59" t="str">
        <f aca="false">IFERROR(IF([2]对账明细接口!$G$577=0,"",[2]对账明细接口!$G$577),"")</f>
        <v/>
      </c>
      <c r="H577" s="60" t="str">
        <f aca="false">IFERROR(IF([2]对账明细接口!$H$577=0,"",[2]对账明细接口!$H$577),"")</f>
        <v/>
      </c>
      <c r="I577" s="59" t="str">
        <f aca="false">IFERROR(IF([2]对账明细接口!$I$577=0,"",[2]对账明细接口!$I$577),"")</f>
        <v/>
      </c>
      <c r="J577" s="61" t="str">
        <f aca="false">IFERROR(IF([2]对账明细接口!$J$577=0,"",[2]对账明细接口!$J$577),"")</f>
        <v/>
      </c>
      <c r="K577" s="61" t="str">
        <f aca="false">IFERROR(IF([2]对账明细接口!$K$577=0,"",[2]对账明细接口!$K$577),"")</f>
        <v/>
      </c>
      <c r="L577" s="59" t="str">
        <f aca="false">IFERROR(IF([2]对账明细接口!$L$577=0,"",[2]对账明细接口!$L$577),"")</f>
        <v/>
      </c>
      <c r="M577" s="59" t="str">
        <f aca="false">IFERROR(IF([2]对账明细接口!$M$577=0,"",[2]对账明细接口!$M$577),"")</f>
        <v/>
      </c>
      <c r="N577" s="111" t="n">
        <f aca="false">IF($C577="",0,1)</f>
        <v>0</v>
      </c>
      <c r="O577" s="111" t="n">
        <f aca="false">N(O576)+$N577</f>
        <v>311</v>
      </c>
      <c r="S577" s="10" t="str">
        <f aca="false">IFERROR(IF([2]对账明细接口!$N577=0,"",[2]对账明细接口!$N577),"")</f>
        <v/>
      </c>
      <c r="T577" s="112" t="str">
        <f aca="false">IFERROR(IF([2]对账明细接口!$O577=0,"",[2]对账明细接口!$O577),"")</f>
        <v/>
      </c>
      <c r="U577" s="112" t="str">
        <f aca="false">IFERROR(IF([2]对账明细接口!$P577=0,"",[2]对账明细接口!$P577),"")</f>
        <v/>
      </c>
      <c r="V577" s="112" t="str">
        <f aca="false">IFERROR(IF([2]对账明细接口!$Q577=0,"",[2]对账明细接口!$Q577),"")</f>
        <v/>
      </c>
      <c r="W577" s="10" t="str">
        <f aca="false">IFERROR(IF([2]对账明细接口!$R577=0,"",[2]对账明细接口!$R577),"")</f>
        <v/>
      </c>
      <c r="X577" s="10" t="str">
        <f aca="false">IFERROR(IF([2]对账明细接口!$S577=0,"",[2]对账明细接口!$S577),"")</f>
        <v/>
      </c>
      <c r="Y577" s="10" t="str">
        <f aca="false">IFERROR(IF([2]对账明细接口!$T577=0,"",[2]对账明细接口!$T577),"")</f>
        <v/>
      </c>
      <c r="Z577" s="113" t="str">
        <f aca="false">IFERROR(IF([2]对账明细接口!$U577=0,"",[2]对账明细接口!$U577),"")</f>
        <v/>
      </c>
      <c r="AA577" s="113" t="str">
        <f aca="false">IFERROR(IF([2]对账明细接口!$V577=0,"",[2]对账明细接口!$V577),"")</f>
        <v/>
      </c>
      <c r="AB577" s="10" t="str">
        <f aca="false">IFERROR(IF([2]对账明细接口!$W577=0,"",[2]对账明细接口!$W577),"")</f>
        <v/>
      </c>
      <c r="AC577" s="90" t="str">
        <f aca="false">IFERROR(IF([2]对账明细接口!$X578=0,"",[2]对账明细接口!$X578),"")</f>
        <v/>
      </c>
      <c r="AD577" s="90" t="str">
        <f aca="false">IFERROR(IF([2]对账明细接口!$Y578=0,"",[2]对账明细接口!$Y578),"")</f>
        <v/>
      </c>
      <c r="AE577" s="90" t="str">
        <f aca="false">IFERROR(IF([2]对账明细接口!$AA578=0,"",[2]对账明细接口!$AA578),"")</f>
        <v/>
      </c>
      <c r="AF577" s="90" t="str">
        <f aca="false">IFERROR(IF([2]对账明细接口!$AB578=0,"",[2]对账明细接口!$AB578),"")</f>
        <v/>
      </c>
      <c r="AG577" s="90" t="str">
        <f aca="false">IFERROR(IF([2]对账明细接口!$AC578=0,"",[2]对账明细接口!$AC578),"")</f>
        <v/>
      </c>
      <c r="AH577" s="90" t="str">
        <f aca="false">IFERROR(IF([2]对账明细接口!$AD578=0,"",[2]对账明细接口!$AD578),"")</f>
        <v/>
      </c>
    </row>
    <row r="578" customFormat="false" ht="13.5" hidden="false" customHeight="false" outlineLevel="0" collapsed="false">
      <c r="A578" s="109" t="n">
        <v>578</v>
      </c>
      <c r="B578" s="110" t="str">
        <f aca="false">IFERROR(IF([2]对账明细接口!$B$578=0,"",[2]对账明细接口!$B$578),"")</f>
        <v/>
      </c>
      <c r="C578" s="59" t="str">
        <f aca="false">IFERROR(IF([2]对账明细接口!$C$578=0,"",[2]对账明细接口!$C$578),"")</f>
        <v/>
      </c>
      <c r="D578" s="59" t="str">
        <f aca="false">IFERROR(IF([2]对账明细接口!$D$578=0,"",[2]对账明细接口!$D$578),"")</f>
        <v/>
      </c>
      <c r="E578" s="59" t="str">
        <f aca="false">IFERROR(IF([2]对账明细接口!$E$578=0,"",[2]对账明细接口!$E$578),"")</f>
        <v/>
      </c>
      <c r="F578" s="59" t="str">
        <f aca="false">IFERROR(IF([2]对账明细接口!$F$578=0,"",[2]对账明细接口!$F$578),"")</f>
        <v/>
      </c>
      <c r="G578" s="59" t="str">
        <f aca="false">IFERROR(IF([2]对账明细接口!$G$578=0,"",[2]对账明细接口!$G$578),"")</f>
        <v/>
      </c>
      <c r="H578" s="60" t="str">
        <f aca="false">IFERROR(IF([2]对账明细接口!$H$578=0,"",[2]对账明细接口!$H$578),"")</f>
        <v/>
      </c>
      <c r="I578" s="59" t="str">
        <f aca="false">IFERROR(IF([2]对账明细接口!$I$578=0,"",[2]对账明细接口!$I$578),"")</f>
        <v/>
      </c>
      <c r="J578" s="61" t="str">
        <f aca="false">IFERROR(IF([2]对账明细接口!$J$578=0,"",[2]对账明细接口!$J$578),"")</f>
        <v/>
      </c>
      <c r="K578" s="61" t="str">
        <f aca="false">IFERROR(IF([2]对账明细接口!$K$578=0,"",[2]对账明细接口!$K$578),"")</f>
        <v/>
      </c>
      <c r="L578" s="59" t="str">
        <f aca="false">IFERROR(IF([2]对账明细接口!$L$578=0,"",[2]对账明细接口!$L$578),"")</f>
        <v/>
      </c>
      <c r="M578" s="59" t="str">
        <f aca="false">IFERROR(IF([2]对账明细接口!$M$578=0,"",[2]对账明细接口!$M$578),"")</f>
        <v/>
      </c>
      <c r="N578" s="111" t="n">
        <f aca="false">IF($C578="",0,1)</f>
        <v>0</v>
      </c>
      <c r="O578" s="111" t="n">
        <f aca="false">N(O577)+$N578</f>
        <v>311</v>
      </c>
      <c r="S578" s="10" t="str">
        <f aca="false">IFERROR(IF([2]对账明细接口!$N578=0,"",[2]对账明细接口!$N578),"")</f>
        <v/>
      </c>
      <c r="T578" s="112" t="str">
        <f aca="false">IFERROR(IF([2]对账明细接口!$O578=0,"",[2]对账明细接口!$O578),"")</f>
        <v/>
      </c>
      <c r="U578" s="112" t="str">
        <f aca="false">IFERROR(IF([2]对账明细接口!$P578=0,"",[2]对账明细接口!$P578),"")</f>
        <v/>
      </c>
      <c r="V578" s="112" t="str">
        <f aca="false">IFERROR(IF([2]对账明细接口!$Q578=0,"",[2]对账明细接口!$Q578),"")</f>
        <v/>
      </c>
      <c r="W578" s="10" t="str">
        <f aca="false">IFERROR(IF([2]对账明细接口!$R578=0,"",[2]对账明细接口!$R578),"")</f>
        <v/>
      </c>
      <c r="X578" s="10" t="str">
        <f aca="false">IFERROR(IF([2]对账明细接口!$S578=0,"",[2]对账明细接口!$S578),"")</f>
        <v/>
      </c>
      <c r="Y578" s="10" t="str">
        <f aca="false">IFERROR(IF([2]对账明细接口!$T578=0,"",[2]对账明细接口!$T578),"")</f>
        <v/>
      </c>
      <c r="Z578" s="113" t="str">
        <f aca="false">IFERROR(IF([2]对账明细接口!$U578=0,"",[2]对账明细接口!$U578),"")</f>
        <v/>
      </c>
      <c r="AA578" s="113" t="str">
        <f aca="false">IFERROR(IF([2]对账明细接口!$V578=0,"",[2]对账明细接口!$V578),"")</f>
        <v/>
      </c>
      <c r="AB578" s="10" t="str">
        <f aca="false">IFERROR(IF([2]对账明细接口!$W578=0,"",[2]对账明细接口!$W578),"")</f>
        <v/>
      </c>
      <c r="AC578" s="90" t="str">
        <f aca="false">IFERROR(IF([2]对账明细接口!$X579=0,"",[2]对账明细接口!$X579),"")</f>
        <v/>
      </c>
      <c r="AD578" s="90" t="str">
        <f aca="false">IFERROR(IF([2]对账明细接口!$Y579=0,"",[2]对账明细接口!$Y579),"")</f>
        <v/>
      </c>
      <c r="AE578" s="90" t="str">
        <f aca="false">IFERROR(IF([2]对账明细接口!$AA579=0,"",[2]对账明细接口!$AA579),"")</f>
        <v/>
      </c>
      <c r="AF578" s="90" t="str">
        <f aca="false">IFERROR(IF([2]对账明细接口!$AB579=0,"",[2]对账明细接口!$AB579),"")</f>
        <v/>
      </c>
      <c r="AG578" s="90" t="str">
        <f aca="false">IFERROR(IF([2]对账明细接口!$AC579=0,"",[2]对账明细接口!$AC579),"")</f>
        <v/>
      </c>
      <c r="AH578" s="90" t="str">
        <f aca="false">IFERROR(IF([2]对账明细接口!$AD579=0,"",[2]对账明细接口!$AD579),"")</f>
        <v/>
      </c>
    </row>
    <row r="579" customFormat="false" ht="13.5" hidden="false" customHeight="false" outlineLevel="0" collapsed="false">
      <c r="A579" s="109" t="n">
        <v>579</v>
      </c>
      <c r="B579" s="110" t="str">
        <f aca="false">IFERROR(IF([2]对账明细接口!$B$579=0,"",[2]对账明细接口!$B$579),"")</f>
        <v/>
      </c>
      <c r="C579" s="59" t="str">
        <f aca="false">IFERROR(IF([2]对账明细接口!$C$579=0,"",[2]对账明细接口!$C$579),"")</f>
        <v/>
      </c>
      <c r="D579" s="59" t="str">
        <f aca="false">IFERROR(IF([2]对账明细接口!$D$579=0,"",[2]对账明细接口!$D$579),"")</f>
        <v/>
      </c>
      <c r="E579" s="59" t="str">
        <f aca="false">IFERROR(IF([2]对账明细接口!$E$579=0,"",[2]对账明细接口!$E$579),"")</f>
        <v/>
      </c>
      <c r="F579" s="59" t="str">
        <f aca="false">IFERROR(IF([2]对账明细接口!$F$579=0,"",[2]对账明细接口!$F$579),"")</f>
        <v/>
      </c>
      <c r="G579" s="59" t="str">
        <f aca="false">IFERROR(IF([2]对账明细接口!$G$579=0,"",[2]对账明细接口!$G$579),"")</f>
        <v/>
      </c>
      <c r="H579" s="60" t="str">
        <f aca="false">IFERROR(IF([2]对账明细接口!$H$579=0,"",[2]对账明细接口!$H$579),"")</f>
        <v/>
      </c>
      <c r="I579" s="59" t="str">
        <f aca="false">IFERROR(IF([2]对账明细接口!$I$579=0,"",[2]对账明细接口!$I$579),"")</f>
        <v/>
      </c>
      <c r="J579" s="61" t="str">
        <f aca="false">IFERROR(IF([2]对账明细接口!$J$579=0,"",[2]对账明细接口!$J$579),"")</f>
        <v/>
      </c>
      <c r="K579" s="61" t="str">
        <f aca="false">IFERROR(IF([2]对账明细接口!$K$579=0,"",[2]对账明细接口!$K$579),"")</f>
        <v/>
      </c>
      <c r="L579" s="59" t="str">
        <f aca="false">IFERROR(IF([2]对账明细接口!$L$579=0,"",[2]对账明细接口!$L$579),"")</f>
        <v/>
      </c>
      <c r="M579" s="59" t="str">
        <f aca="false">IFERROR(IF([2]对账明细接口!$M$579=0,"",[2]对账明细接口!$M$579),"")</f>
        <v/>
      </c>
      <c r="N579" s="111" t="n">
        <f aca="false">IF($C579="",0,1)</f>
        <v>0</v>
      </c>
      <c r="O579" s="111" t="n">
        <f aca="false">N(O578)+$N579</f>
        <v>311</v>
      </c>
      <c r="S579" s="10" t="str">
        <f aca="false">IFERROR(IF([2]对账明细接口!$N579=0,"",[2]对账明细接口!$N579),"")</f>
        <v/>
      </c>
      <c r="T579" s="112" t="str">
        <f aca="false">IFERROR(IF([2]对账明细接口!$O579=0,"",[2]对账明细接口!$O579),"")</f>
        <v/>
      </c>
      <c r="U579" s="112" t="str">
        <f aca="false">IFERROR(IF([2]对账明细接口!$P579=0,"",[2]对账明细接口!$P579),"")</f>
        <v/>
      </c>
      <c r="V579" s="112" t="str">
        <f aca="false">IFERROR(IF([2]对账明细接口!$Q579=0,"",[2]对账明细接口!$Q579),"")</f>
        <v/>
      </c>
      <c r="W579" s="10" t="str">
        <f aca="false">IFERROR(IF([2]对账明细接口!$R579=0,"",[2]对账明细接口!$R579),"")</f>
        <v/>
      </c>
      <c r="X579" s="10" t="str">
        <f aca="false">IFERROR(IF([2]对账明细接口!$S579=0,"",[2]对账明细接口!$S579),"")</f>
        <v/>
      </c>
      <c r="Y579" s="10" t="str">
        <f aca="false">IFERROR(IF([2]对账明细接口!$T579=0,"",[2]对账明细接口!$T579),"")</f>
        <v/>
      </c>
      <c r="Z579" s="113" t="str">
        <f aca="false">IFERROR(IF([2]对账明细接口!$U579=0,"",[2]对账明细接口!$U579),"")</f>
        <v/>
      </c>
      <c r="AA579" s="113" t="str">
        <f aca="false">IFERROR(IF([2]对账明细接口!$V579=0,"",[2]对账明细接口!$V579),"")</f>
        <v/>
      </c>
      <c r="AB579" s="10" t="str">
        <f aca="false">IFERROR(IF([2]对账明细接口!$W579=0,"",[2]对账明细接口!$W579),"")</f>
        <v/>
      </c>
      <c r="AC579" s="90" t="str">
        <f aca="false">IFERROR(IF([2]对账明细接口!$X580=0,"",[2]对账明细接口!$X580),"")</f>
        <v/>
      </c>
      <c r="AD579" s="90" t="str">
        <f aca="false">IFERROR(IF([2]对账明细接口!$Y580=0,"",[2]对账明细接口!$Y580),"")</f>
        <v/>
      </c>
      <c r="AE579" s="90" t="str">
        <f aca="false">IFERROR(IF([2]对账明细接口!$AA580=0,"",[2]对账明细接口!$AA580),"")</f>
        <v/>
      </c>
      <c r="AF579" s="90" t="str">
        <f aca="false">IFERROR(IF([2]对账明细接口!$AB580=0,"",[2]对账明细接口!$AB580),"")</f>
        <v/>
      </c>
      <c r="AG579" s="90" t="str">
        <f aca="false">IFERROR(IF([2]对账明细接口!$AC580=0,"",[2]对账明细接口!$AC580),"")</f>
        <v/>
      </c>
      <c r="AH579" s="90" t="str">
        <f aca="false">IFERROR(IF([2]对账明细接口!$AD580=0,"",[2]对账明细接口!$AD580),"")</f>
        <v/>
      </c>
    </row>
    <row r="580" customFormat="false" ht="13.5" hidden="false" customHeight="false" outlineLevel="0" collapsed="false">
      <c r="A580" s="109" t="n">
        <v>580</v>
      </c>
      <c r="B580" s="110" t="str">
        <f aca="false">IFERROR(IF([2]对账明细接口!$B$580=0,"",[2]对账明细接口!$B$580),"")</f>
        <v/>
      </c>
      <c r="C580" s="59" t="str">
        <f aca="false">IFERROR(IF([2]对账明细接口!$C$580=0,"",[2]对账明细接口!$C$580),"")</f>
        <v/>
      </c>
      <c r="D580" s="59" t="str">
        <f aca="false">IFERROR(IF([2]对账明细接口!$D$580=0,"",[2]对账明细接口!$D$580),"")</f>
        <v/>
      </c>
      <c r="E580" s="59" t="str">
        <f aca="false">IFERROR(IF([2]对账明细接口!$E$580=0,"",[2]对账明细接口!$E$580),"")</f>
        <v/>
      </c>
      <c r="F580" s="59" t="str">
        <f aca="false">IFERROR(IF([2]对账明细接口!$F$580=0,"",[2]对账明细接口!$F$580),"")</f>
        <v/>
      </c>
      <c r="G580" s="59" t="str">
        <f aca="false">IFERROR(IF([2]对账明细接口!$G$580=0,"",[2]对账明细接口!$G$580),"")</f>
        <v/>
      </c>
      <c r="H580" s="60" t="str">
        <f aca="false">IFERROR(IF([2]对账明细接口!$H$580=0,"",[2]对账明细接口!$H$580),"")</f>
        <v/>
      </c>
      <c r="I580" s="59" t="str">
        <f aca="false">IFERROR(IF([2]对账明细接口!$I$580=0,"",[2]对账明细接口!$I$580),"")</f>
        <v/>
      </c>
      <c r="J580" s="61" t="str">
        <f aca="false">IFERROR(IF([2]对账明细接口!$J$580=0,"",[2]对账明细接口!$J$580),"")</f>
        <v/>
      </c>
      <c r="K580" s="61" t="str">
        <f aca="false">IFERROR(IF([2]对账明细接口!$K$580=0,"",[2]对账明细接口!$K$580),"")</f>
        <v/>
      </c>
      <c r="L580" s="59" t="str">
        <f aca="false">IFERROR(IF([2]对账明细接口!$L$580=0,"",[2]对账明细接口!$L$580),"")</f>
        <v/>
      </c>
      <c r="M580" s="59" t="str">
        <f aca="false">IFERROR(IF([2]对账明细接口!$M$580=0,"",[2]对账明细接口!$M$580),"")</f>
        <v/>
      </c>
      <c r="N580" s="111" t="n">
        <f aca="false">IF($C580="",0,1)</f>
        <v>0</v>
      </c>
      <c r="O580" s="111" t="n">
        <f aca="false">N(O579)+$N580</f>
        <v>311</v>
      </c>
      <c r="S580" s="10" t="str">
        <f aca="false">IFERROR(IF([2]对账明细接口!$N580=0,"",[2]对账明细接口!$N580),"")</f>
        <v/>
      </c>
      <c r="T580" s="112" t="str">
        <f aca="false">IFERROR(IF([2]对账明细接口!$O580=0,"",[2]对账明细接口!$O580),"")</f>
        <v/>
      </c>
      <c r="U580" s="112" t="str">
        <f aca="false">IFERROR(IF([2]对账明细接口!$P580=0,"",[2]对账明细接口!$P580),"")</f>
        <v/>
      </c>
      <c r="V580" s="112" t="str">
        <f aca="false">IFERROR(IF([2]对账明细接口!$Q580=0,"",[2]对账明细接口!$Q580),"")</f>
        <v/>
      </c>
      <c r="W580" s="10" t="str">
        <f aca="false">IFERROR(IF([2]对账明细接口!$R580=0,"",[2]对账明细接口!$R580),"")</f>
        <v/>
      </c>
      <c r="X580" s="10" t="str">
        <f aca="false">IFERROR(IF([2]对账明细接口!$S580=0,"",[2]对账明细接口!$S580),"")</f>
        <v/>
      </c>
      <c r="Y580" s="10" t="str">
        <f aca="false">IFERROR(IF([2]对账明细接口!$T580=0,"",[2]对账明细接口!$T580),"")</f>
        <v/>
      </c>
      <c r="Z580" s="113" t="str">
        <f aca="false">IFERROR(IF([2]对账明细接口!$U580=0,"",[2]对账明细接口!$U580),"")</f>
        <v/>
      </c>
      <c r="AA580" s="113" t="str">
        <f aca="false">IFERROR(IF([2]对账明细接口!$V580=0,"",[2]对账明细接口!$V580),"")</f>
        <v/>
      </c>
      <c r="AB580" s="10" t="str">
        <f aca="false">IFERROR(IF([2]对账明细接口!$W580=0,"",[2]对账明细接口!$W580),"")</f>
        <v/>
      </c>
      <c r="AC580" s="90" t="str">
        <f aca="false">IFERROR(IF([2]对账明细接口!$X581=0,"",[2]对账明细接口!$X581),"")</f>
        <v/>
      </c>
      <c r="AD580" s="90" t="str">
        <f aca="false">IFERROR(IF([2]对账明细接口!$Y581=0,"",[2]对账明细接口!$Y581),"")</f>
        <v/>
      </c>
      <c r="AE580" s="90" t="str">
        <f aca="false">IFERROR(IF([2]对账明细接口!$AA581=0,"",[2]对账明细接口!$AA581),"")</f>
        <v/>
      </c>
      <c r="AF580" s="90" t="str">
        <f aca="false">IFERROR(IF([2]对账明细接口!$AB581=0,"",[2]对账明细接口!$AB581),"")</f>
        <v/>
      </c>
      <c r="AG580" s="90" t="str">
        <f aca="false">IFERROR(IF([2]对账明细接口!$AC581=0,"",[2]对账明细接口!$AC581),"")</f>
        <v/>
      </c>
      <c r="AH580" s="90" t="str">
        <f aca="false">IFERROR(IF([2]对账明细接口!$AD581=0,"",[2]对账明细接口!$AD581),"")</f>
        <v/>
      </c>
    </row>
    <row r="581" customFormat="false" ht="13.5" hidden="false" customHeight="false" outlineLevel="0" collapsed="false">
      <c r="A581" s="109" t="n">
        <v>581</v>
      </c>
      <c r="B581" s="110" t="str">
        <f aca="false">IFERROR(IF([2]对账明细接口!$B$581=0,"",[2]对账明细接口!$B$581),"")</f>
        <v/>
      </c>
      <c r="C581" s="59" t="str">
        <f aca="false">IFERROR(IF([2]对账明细接口!$C$581=0,"",[2]对账明细接口!$C$581),"")</f>
        <v/>
      </c>
      <c r="D581" s="59" t="str">
        <f aca="false">IFERROR(IF([2]对账明细接口!$D$581=0,"",[2]对账明细接口!$D$581),"")</f>
        <v/>
      </c>
      <c r="E581" s="59" t="str">
        <f aca="false">IFERROR(IF([2]对账明细接口!$E$581=0,"",[2]对账明细接口!$E$581),"")</f>
        <v/>
      </c>
      <c r="F581" s="59" t="str">
        <f aca="false">IFERROR(IF([2]对账明细接口!$F$581=0,"",[2]对账明细接口!$F$581),"")</f>
        <v/>
      </c>
      <c r="G581" s="59" t="str">
        <f aca="false">IFERROR(IF([2]对账明细接口!$G$581=0,"",[2]对账明细接口!$G$581),"")</f>
        <v/>
      </c>
      <c r="H581" s="60" t="str">
        <f aca="false">IFERROR(IF([2]对账明细接口!$H$581=0,"",[2]对账明细接口!$H$581),"")</f>
        <v/>
      </c>
      <c r="I581" s="59" t="str">
        <f aca="false">IFERROR(IF([2]对账明细接口!$I$581=0,"",[2]对账明细接口!$I$581),"")</f>
        <v/>
      </c>
      <c r="J581" s="61" t="str">
        <f aca="false">IFERROR(IF([2]对账明细接口!$J$581=0,"",[2]对账明细接口!$J$581),"")</f>
        <v/>
      </c>
      <c r="K581" s="61" t="str">
        <f aca="false">IFERROR(IF([2]对账明细接口!$K$581=0,"",[2]对账明细接口!$K$581),"")</f>
        <v/>
      </c>
      <c r="L581" s="59" t="str">
        <f aca="false">IFERROR(IF([2]对账明细接口!$L$581=0,"",[2]对账明细接口!$L$581),"")</f>
        <v/>
      </c>
      <c r="M581" s="59" t="str">
        <f aca="false">IFERROR(IF([2]对账明细接口!$M$581=0,"",[2]对账明细接口!$M$581),"")</f>
        <v/>
      </c>
      <c r="N581" s="111" t="n">
        <f aca="false">IF($C581="",0,1)</f>
        <v>0</v>
      </c>
      <c r="O581" s="111" t="n">
        <f aca="false">N(O580)+$N581</f>
        <v>311</v>
      </c>
      <c r="S581" s="10" t="str">
        <f aca="false">IFERROR(IF([2]对账明细接口!$N581=0,"",[2]对账明细接口!$N581),"")</f>
        <v/>
      </c>
      <c r="T581" s="112" t="str">
        <f aca="false">IFERROR(IF([2]对账明细接口!$O581=0,"",[2]对账明细接口!$O581),"")</f>
        <v/>
      </c>
      <c r="U581" s="112" t="str">
        <f aca="false">IFERROR(IF([2]对账明细接口!$P581=0,"",[2]对账明细接口!$P581),"")</f>
        <v/>
      </c>
      <c r="V581" s="112" t="str">
        <f aca="false">IFERROR(IF([2]对账明细接口!$Q581=0,"",[2]对账明细接口!$Q581),"")</f>
        <v/>
      </c>
      <c r="W581" s="10" t="str">
        <f aca="false">IFERROR(IF([2]对账明细接口!$R581=0,"",[2]对账明细接口!$R581),"")</f>
        <v/>
      </c>
      <c r="X581" s="10" t="str">
        <f aca="false">IFERROR(IF([2]对账明细接口!$S581=0,"",[2]对账明细接口!$S581),"")</f>
        <v/>
      </c>
      <c r="Y581" s="10" t="str">
        <f aca="false">IFERROR(IF([2]对账明细接口!$T581=0,"",[2]对账明细接口!$T581),"")</f>
        <v/>
      </c>
      <c r="Z581" s="113" t="str">
        <f aca="false">IFERROR(IF([2]对账明细接口!$U581=0,"",[2]对账明细接口!$U581),"")</f>
        <v/>
      </c>
      <c r="AA581" s="113" t="str">
        <f aca="false">IFERROR(IF([2]对账明细接口!$V581=0,"",[2]对账明细接口!$V581),"")</f>
        <v/>
      </c>
      <c r="AB581" s="10" t="str">
        <f aca="false">IFERROR(IF([2]对账明细接口!$W581=0,"",[2]对账明细接口!$W581),"")</f>
        <v/>
      </c>
      <c r="AC581" s="90" t="str">
        <f aca="false">IFERROR(IF([2]对账明细接口!$X582=0,"",[2]对账明细接口!$X582),"")</f>
        <v/>
      </c>
      <c r="AD581" s="90" t="str">
        <f aca="false">IFERROR(IF([2]对账明细接口!$Y582=0,"",[2]对账明细接口!$Y582),"")</f>
        <v/>
      </c>
      <c r="AE581" s="90" t="str">
        <f aca="false">IFERROR(IF([2]对账明细接口!$AA582=0,"",[2]对账明细接口!$AA582),"")</f>
        <v/>
      </c>
      <c r="AF581" s="90" t="str">
        <f aca="false">IFERROR(IF([2]对账明细接口!$AB582=0,"",[2]对账明细接口!$AB582),"")</f>
        <v/>
      </c>
      <c r="AG581" s="90" t="str">
        <f aca="false">IFERROR(IF([2]对账明细接口!$AC582=0,"",[2]对账明细接口!$AC582),"")</f>
        <v/>
      </c>
      <c r="AH581" s="90" t="str">
        <f aca="false">IFERROR(IF([2]对账明细接口!$AD582=0,"",[2]对账明细接口!$AD582),"")</f>
        <v/>
      </c>
    </row>
    <row r="582" customFormat="false" ht="13.5" hidden="false" customHeight="false" outlineLevel="0" collapsed="false">
      <c r="A582" s="109" t="n">
        <v>582</v>
      </c>
      <c r="B582" s="110" t="str">
        <f aca="false">IFERROR(IF([2]对账明细接口!$B$582=0,"",[2]对账明细接口!$B$582),"")</f>
        <v/>
      </c>
      <c r="C582" s="59" t="str">
        <f aca="false">IFERROR(IF([2]对账明细接口!$C$582=0,"",[2]对账明细接口!$C$582),"")</f>
        <v/>
      </c>
      <c r="D582" s="59" t="str">
        <f aca="false">IFERROR(IF([2]对账明细接口!$D$582=0,"",[2]对账明细接口!$D$582),"")</f>
        <v/>
      </c>
      <c r="E582" s="59" t="str">
        <f aca="false">IFERROR(IF([2]对账明细接口!$E$582=0,"",[2]对账明细接口!$E$582),"")</f>
        <v/>
      </c>
      <c r="F582" s="59" t="str">
        <f aca="false">IFERROR(IF([2]对账明细接口!$F$582=0,"",[2]对账明细接口!$F$582),"")</f>
        <v/>
      </c>
      <c r="G582" s="59" t="str">
        <f aca="false">IFERROR(IF([2]对账明细接口!$G$582=0,"",[2]对账明细接口!$G$582),"")</f>
        <v/>
      </c>
      <c r="H582" s="60" t="str">
        <f aca="false">IFERROR(IF([2]对账明细接口!$H$582=0,"",[2]对账明细接口!$H$582),"")</f>
        <v/>
      </c>
      <c r="I582" s="59" t="str">
        <f aca="false">IFERROR(IF([2]对账明细接口!$I$582=0,"",[2]对账明细接口!$I$582),"")</f>
        <v/>
      </c>
      <c r="J582" s="61" t="str">
        <f aca="false">IFERROR(IF([2]对账明细接口!$J$582=0,"",[2]对账明细接口!$J$582),"")</f>
        <v/>
      </c>
      <c r="K582" s="61" t="str">
        <f aca="false">IFERROR(IF([2]对账明细接口!$K$582=0,"",[2]对账明细接口!$K$582),"")</f>
        <v/>
      </c>
      <c r="L582" s="59" t="str">
        <f aca="false">IFERROR(IF([2]对账明细接口!$L$582=0,"",[2]对账明细接口!$L$582),"")</f>
        <v/>
      </c>
      <c r="M582" s="59" t="str">
        <f aca="false">IFERROR(IF([2]对账明细接口!$M$582=0,"",[2]对账明细接口!$M$582),"")</f>
        <v/>
      </c>
      <c r="N582" s="111" t="n">
        <f aca="false">IF($C582="",0,1)</f>
        <v>0</v>
      </c>
      <c r="O582" s="111" t="n">
        <f aca="false">N(O581)+$N582</f>
        <v>311</v>
      </c>
      <c r="S582" s="10" t="str">
        <f aca="false">IFERROR(IF([2]对账明细接口!$N582=0,"",[2]对账明细接口!$N582),"")</f>
        <v/>
      </c>
      <c r="T582" s="112" t="str">
        <f aca="false">IFERROR(IF([2]对账明细接口!$O582=0,"",[2]对账明细接口!$O582),"")</f>
        <v/>
      </c>
      <c r="U582" s="112" t="str">
        <f aca="false">IFERROR(IF([2]对账明细接口!$P582=0,"",[2]对账明细接口!$P582),"")</f>
        <v/>
      </c>
      <c r="V582" s="112" t="str">
        <f aca="false">IFERROR(IF([2]对账明细接口!$Q582=0,"",[2]对账明细接口!$Q582),"")</f>
        <v/>
      </c>
      <c r="W582" s="10" t="str">
        <f aca="false">IFERROR(IF([2]对账明细接口!$R582=0,"",[2]对账明细接口!$R582),"")</f>
        <v/>
      </c>
      <c r="X582" s="10" t="str">
        <f aca="false">IFERROR(IF([2]对账明细接口!$S582=0,"",[2]对账明细接口!$S582),"")</f>
        <v/>
      </c>
      <c r="Y582" s="10" t="str">
        <f aca="false">IFERROR(IF([2]对账明细接口!$T582=0,"",[2]对账明细接口!$T582),"")</f>
        <v/>
      </c>
      <c r="Z582" s="113" t="str">
        <f aca="false">IFERROR(IF([2]对账明细接口!$U582=0,"",[2]对账明细接口!$U582),"")</f>
        <v/>
      </c>
      <c r="AA582" s="113" t="str">
        <f aca="false">IFERROR(IF([2]对账明细接口!$V582=0,"",[2]对账明细接口!$V582),"")</f>
        <v/>
      </c>
      <c r="AB582" s="10" t="str">
        <f aca="false">IFERROR(IF([2]对账明细接口!$W582=0,"",[2]对账明细接口!$W582),"")</f>
        <v/>
      </c>
      <c r="AC582" s="90" t="str">
        <f aca="false">IFERROR(IF([2]对账明细接口!$X583=0,"",[2]对账明细接口!$X583),"")</f>
        <v/>
      </c>
      <c r="AD582" s="90" t="str">
        <f aca="false">IFERROR(IF([2]对账明细接口!$Y583=0,"",[2]对账明细接口!$Y583),"")</f>
        <v/>
      </c>
      <c r="AE582" s="90" t="str">
        <f aca="false">IFERROR(IF([2]对账明细接口!$AA583=0,"",[2]对账明细接口!$AA583),"")</f>
        <v/>
      </c>
      <c r="AF582" s="90" t="str">
        <f aca="false">IFERROR(IF([2]对账明细接口!$AB583=0,"",[2]对账明细接口!$AB583),"")</f>
        <v/>
      </c>
      <c r="AG582" s="90" t="str">
        <f aca="false">IFERROR(IF([2]对账明细接口!$AC583=0,"",[2]对账明细接口!$AC583),"")</f>
        <v/>
      </c>
      <c r="AH582" s="90" t="str">
        <f aca="false">IFERROR(IF([2]对账明细接口!$AD583=0,"",[2]对账明细接口!$AD583),"")</f>
        <v/>
      </c>
    </row>
    <row r="583" customFormat="false" ht="13.5" hidden="false" customHeight="false" outlineLevel="0" collapsed="false">
      <c r="A583" s="109" t="n">
        <v>583</v>
      </c>
      <c r="B583" s="110" t="str">
        <f aca="false">IFERROR(IF([2]对账明细接口!$B$583=0,"",[2]对账明细接口!$B$583),"")</f>
        <v/>
      </c>
      <c r="C583" s="59" t="str">
        <f aca="false">IFERROR(IF([2]对账明细接口!$C$583=0,"",[2]对账明细接口!$C$583),"")</f>
        <v/>
      </c>
      <c r="D583" s="59" t="str">
        <f aca="false">IFERROR(IF([2]对账明细接口!$D$583=0,"",[2]对账明细接口!$D$583),"")</f>
        <v/>
      </c>
      <c r="E583" s="59" t="str">
        <f aca="false">IFERROR(IF([2]对账明细接口!$E$583=0,"",[2]对账明细接口!$E$583),"")</f>
        <v/>
      </c>
      <c r="F583" s="59" t="str">
        <f aca="false">IFERROR(IF([2]对账明细接口!$F$583=0,"",[2]对账明细接口!$F$583),"")</f>
        <v/>
      </c>
      <c r="G583" s="59" t="str">
        <f aca="false">IFERROR(IF([2]对账明细接口!$G$583=0,"",[2]对账明细接口!$G$583),"")</f>
        <v/>
      </c>
      <c r="H583" s="60" t="str">
        <f aca="false">IFERROR(IF([2]对账明细接口!$H$583=0,"",[2]对账明细接口!$H$583),"")</f>
        <v/>
      </c>
      <c r="I583" s="59" t="str">
        <f aca="false">IFERROR(IF([2]对账明细接口!$I$583=0,"",[2]对账明细接口!$I$583),"")</f>
        <v/>
      </c>
      <c r="J583" s="61" t="str">
        <f aca="false">IFERROR(IF([2]对账明细接口!$J$583=0,"",[2]对账明细接口!$J$583),"")</f>
        <v/>
      </c>
      <c r="K583" s="61" t="str">
        <f aca="false">IFERROR(IF([2]对账明细接口!$K$583=0,"",[2]对账明细接口!$K$583),"")</f>
        <v/>
      </c>
      <c r="L583" s="59" t="str">
        <f aca="false">IFERROR(IF([2]对账明细接口!$L$583=0,"",[2]对账明细接口!$L$583),"")</f>
        <v/>
      </c>
      <c r="M583" s="59" t="str">
        <f aca="false">IFERROR(IF([2]对账明细接口!$M$583=0,"",[2]对账明细接口!$M$583),"")</f>
        <v/>
      </c>
      <c r="N583" s="111" t="n">
        <f aca="false">IF($C583="",0,1)</f>
        <v>0</v>
      </c>
      <c r="O583" s="111" t="n">
        <f aca="false">N(O582)+$N583</f>
        <v>311</v>
      </c>
      <c r="S583" s="10" t="str">
        <f aca="false">IFERROR(IF([2]对账明细接口!$N583=0,"",[2]对账明细接口!$N583),"")</f>
        <v/>
      </c>
      <c r="T583" s="112" t="str">
        <f aca="false">IFERROR(IF([2]对账明细接口!$O583=0,"",[2]对账明细接口!$O583),"")</f>
        <v/>
      </c>
      <c r="U583" s="112" t="str">
        <f aca="false">IFERROR(IF([2]对账明细接口!$P583=0,"",[2]对账明细接口!$P583),"")</f>
        <v/>
      </c>
      <c r="V583" s="112" t="str">
        <f aca="false">IFERROR(IF([2]对账明细接口!$Q583=0,"",[2]对账明细接口!$Q583),"")</f>
        <v/>
      </c>
      <c r="W583" s="10" t="str">
        <f aca="false">IFERROR(IF([2]对账明细接口!$R583=0,"",[2]对账明细接口!$R583),"")</f>
        <v/>
      </c>
      <c r="X583" s="10" t="str">
        <f aca="false">IFERROR(IF([2]对账明细接口!$S583=0,"",[2]对账明细接口!$S583),"")</f>
        <v/>
      </c>
      <c r="Y583" s="10" t="str">
        <f aca="false">IFERROR(IF([2]对账明细接口!$T583=0,"",[2]对账明细接口!$T583),"")</f>
        <v/>
      </c>
      <c r="Z583" s="113" t="str">
        <f aca="false">IFERROR(IF([2]对账明细接口!$U583=0,"",[2]对账明细接口!$U583),"")</f>
        <v/>
      </c>
      <c r="AA583" s="113" t="str">
        <f aca="false">IFERROR(IF([2]对账明细接口!$V583=0,"",[2]对账明细接口!$V583),"")</f>
        <v/>
      </c>
      <c r="AB583" s="10" t="str">
        <f aca="false">IFERROR(IF([2]对账明细接口!$W583=0,"",[2]对账明细接口!$W583),"")</f>
        <v/>
      </c>
      <c r="AC583" s="90" t="str">
        <f aca="false">IFERROR(IF([2]对账明细接口!$X584=0,"",[2]对账明细接口!$X584),"")</f>
        <v/>
      </c>
      <c r="AD583" s="90" t="str">
        <f aca="false">IFERROR(IF([2]对账明细接口!$Y584=0,"",[2]对账明细接口!$Y584),"")</f>
        <v/>
      </c>
      <c r="AE583" s="90" t="str">
        <f aca="false">IFERROR(IF([2]对账明细接口!$AA584=0,"",[2]对账明细接口!$AA584),"")</f>
        <v/>
      </c>
      <c r="AF583" s="90" t="str">
        <f aca="false">IFERROR(IF([2]对账明细接口!$AB584=0,"",[2]对账明细接口!$AB584),"")</f>
        <v/>
      </c>
      <c r="AG583" s="90" t="str">
        <f aca="false">IFERROR(IF([2]对账明细接口!$AC584=0,"",[2]对账明细接口!$AC584),"")</f>
        <v/>
      </c>
      <c r="AH583" s="90" t="str">
        <f aca="false">IFERROR(IF([2]对账明细接口!$AD584=0,"",[2]对账明细接口!$AD584),"")</f>
        <v/>
      </c>
    </row>
    <row r="584" customFormat="false" ht="13.5" hidden="false" customHeight="false" outlineLevel="0" collapsed="false">
      <c r="A584" s="109" t="n">
        <v>584</v>
      </c>
      <c r="B584" s="110" t="str">
        <f aca="false">IFERROR(IF([2]对账明细接口!$B$584=0,"",[2]对账明细接口!$B$584),"")</f>
        <v/>
      </c>
      <c r="C584" s="59" t="str">
        <f aca="false">IFERROR(IF([2]对账明细接口!$C$584=0,"",[2]对账明细接口!$C$584),"")</f>
        <v/>
      </c>
      <c r="D584" s="59" t="str">
        <f aca="false">IFERROR(IF([2]对账明细接口!$D$584=0,"",[2]对账明细接口!$D$584),"")</f>
        <v/>
      </c>
      <c r="E584" s="59" t="str">
        <f aca="false">IFERROR(IF([2]对账明细接口!$E$584=0,"",[2]对账明细接口!$E$584),"")</f>
        <v/>
      </c>
      <c r="F584" s="59" t="str">
        <f aca="false">IFERROR(IF([2]对账明细接口!$F$584=0,"",[2]对账明细接口!$F$584),"")</f>
        <v/>
      </c>
      <c r="G584" s="59" t="str">
        <f aca="false">IFERROR(IF([2]对账明细接口!$G$584=0,"",[2]对账明细接口!$G$584),"")</f>
        <v/>
      </c>
      <c r="H584" s="60" t="str">
        <f aca="false">IFERROR(IF([2]对账明细接口!$H$584=0,"",[2]对账明细接口!$H$584),"")</f>
        <v/>
      </c>
      <c r="I584" s="59" t="str">
        <f aca="false">IFERROR(IF([2]对账明细接口!$I$584=0,"",[2]对账明细接口!$I$584),"")</f>
        <v/>
      </c>
      <c r="J584" s="61" t="str">
        <f aca="false">IFERROR(IF([2]对账明细接口!$J$584=0,"",[2]对账明细接口!$J$584),"")</f>
        <v/>
      </c>
      <c r="K584" s="61" t="str">
        <f aca="false">IFERROR(IF([2]对账明细接口!$K$584=0,"",[2]对账明细接口!$K$584),"")</f>
        <v/>
      </c>
      <c r="L584" s="59" t="str">
        <f aca="false">IFERROR(IF([2]对账明细接口!$L$584=0,"",[2]对账明细接口!$L$584),"")</f>
        <v/>
      </c>
      <c r="M584" s="59" t="str">
        <f aca="false">IFERROR(IF([2]对账明细接口!$M$584=0,"",[2]对账明细接口!$M$584),"")</f>
        <v/>
      </c>
      <c r="N584" s="111" t="n">
        <f aca="false">IF($C584="",0,1)</f>
        <v>0</v>
      </c>
      <c r="O584" s="111" t="n">
        <f aca="false">N(O583)+$N584</f>
        <v>311</v>
      </c>
      <c r="S584" s="10" t="str">
        <f aca="false">IFERROR(IF([2]对账明细接口!$N584=0,"",[2]对账明细接口!$N584),"")</f>
        <v/>
      </c>
      <c r="T584" s="112" t="str">
        <f aca="false">IFERROR(IF([2]对账明细接口!$O584=0,"",[2]对账明细接口!$O584),"")</f>
        <v/>
      </c>
      <c r="U584" s="112" t="str">
        <f aca="false">IFERROR(IF([2]对账明细接口!$P584=0,"",[2]对账明细接口!$P584),"")</f>
        <v/>
      </c>
      <c r="V584" s="112" t="str">
        <f aca="false">IFERROR(IF([2]对账明细接口!$Q584=0,"",[2]对账明细接口!$Q584),"")</f>
        <v/>
      </c>
      <c r="W584" s="10" t="str">
        <f aca="false">IFERROR(IF([2]对账明细接口!$R584=0,"",[2]对账明细接口!$R584),"")</f>
        <v/>
      </c>
      <c r="X584" s="10" t="str">
        <f aca="false">IFERROR(IF([2]对账明细接口!$S584=0,"",[2]对账明细接口!$S584),"")</f>
        <v/>
      </c>
      <c r="Y584" s="10" t="str">
        <f aca="false">IFERROR(IF([2]对账明细接口!$T584=0,"",[2]对账明细接口!$T584),"")</f>
        <v/>
      </c>
      <c r="Z584" s="113" t="str">
        <f aca="false">IFERROR(IF([2]对账明细接口!$U584=0,"",[2]对账明细接口!$U584),"")</f>
        <v/>
      </c>
      <c r="AA584" s="113" t="str">
        <f aca="false">IFERROR(IF([2]对账明细接口!$V584=0,"",[2]对账明细接口!$V584),"")</f>
        <v/>
      </c>
      <c r="AB584" s="10" t="str">
        <f aca="false">IFERROR(IF([2]对账明细接口!$W584=0,"",[2]对账明细接口!$W584),"")</f>
        <v/>
      </c>
      <c r="AC584" s="90" t="str">
        <f aca="false">IFERROR(IF([2]对账明细接口!$X585=0,"",[2]对账明细接口!$X585),"")</f>
        <v/>
      </c>
      <c r="AD584" s="90" t="str">
        <f aca="false">IFERROR(IF([2]对账明细接口!$Y585=0,"",[2]对账明细接口!$Y585),"")</f>
        <v/>
      </c>
      <c r="AE584" s="90" t="str">
        <f aca="false">IFERROR(IF([2]对账明细接口!$AA585=0,"",[2]对账明细接口!$AA585),"")</f>
        <v/>
      </c>
      <c r="AF584" s="90" t="str">
        <f aca="false">IFERROR(IF([2]对账明细接口!$AB585=0,"",[2]对账明细接口!$AB585),"")</f>
        <v/>
      </c>
      <c r="AG584" s="90" t="str">
        <f aca="false">IFERROR(IF([2]对账明细接口!$AC585=0,"",[2]对账明细接口!$AC585),"")</f>
        <v/>
      </c>
      <c r="AH584" s="90" t="str">
        <f aca="false">IFERROR(IF([2]对账明细接口!$AD585=0,"",[2]对账明细接口!$AD585),"")</f>
        <v/>
      </c>
    </row>
    <row r="585" customFormat="false" ht="13.5" hidden="false" customHeight="false" outlineLevel="0" collapsed="false">
      <c r="A585" s="109" t="n">
        <v>585</v>
      </c>
      <c r="B585" s="110" t="str">
        <f aca="false">IFERROR(IF([2]对账明细接口!$B$585=0,"",[2]对账明细接口!$B$585),"")</f>
        <v/>
      </c>
      <c r="C585" s="59" t="str">
        <f aca="false">IFERROR(IF([2]对账明细接口!$C$585=0,"",[2]对账明细接口!$C$585),"")</f>
        <v/>
      </c>
      <c r="D585" s="59" t="str">
        <f aca="false">IFERROR(IF([2]对账明细接口!$D$585=0,"",[2]对账明细接口!$D$585),"")</f>
        <v/>
      </c>
      <c r="E585" s="59" t="str">
        <f aca="false">IFERROR(IF([2]对账明细接口!$E$585=0,"",[2]对账明细接口!$E$585),"")</f>
        <v/>
      </c>
      <c r="F585" s="59" t="str">
        <f aca="false">IFERROR(IF([2]对账明细接口!$F$585=0,"",[2]对账明细接口!$F$585),"")</f>
        <v/>
      </c>
      <c r="G585" s="59" t="str">
        <f aca="false">IFERROR(IF([2]对账明细接口!$G$585=0,"",[2]对账明细接口!$G$585),"")</f>
        <v/>
      </c>
      <c r="H585" s="60" t="str">
        <f aca="false">IFERROR(IF([2]对账明细接口!$H$585=0,"",[2]对账明细接口!$H$585),"")</f>
        <v/>
      </c>
      <c r="I585" s="59" t="str">
        <f aca="false">IFERROR(IF([2]对账明细接口!$I$585=0,"",[2]对账明细接口!$I$585),"")</f>
        <v/>
      </c>
      <c r="J585" s="61" t="str">
        <f aca="false">IFERROR(IF([2]对账明细接口!$J$585=0,"",[2]对账明细接口!$J$585),"")</f>
        <v/>
      </c>
      <c r="K585" s="61" t="str">
        <f aca="false">IFERROR(IF([2]对账明细接口!$K$585=0,"",[2]对账明细接口!$K$585),"")</f>
        <v/>
      </c>
      <c r="L585" s="59" t="str">
        <f aca="false">IFERROR(IF([2]对账明细接口!$L$585=0,"",[2]对账明细接口!$L$585),"")</f>
        <v/>
      </c>
      <c r="M585" s="59" t="str">
        <f aca="false">IFERROR(IF([2]对账明细接口!$M$585=0,"",[2]对账明细接口!$M$585),"")</f>
        <v/>
      </c>
      <c r="N585" s="111" t="n">
        <f aca="false">IF($C585="",0,1)</f>
        <v>0</v>
      </c>
      <c r="O585" s="111" t="n">
        <f aca="false">N(O584)+$N585</f>
        <v>311</v>
      </c>
      <c r="S585" s="10" t="str">
        <f aca="false">IFERROR(IF([2]对账明细接口!$N585=0,"",[2]对账明细接口!$N585),"")</f>
        <v/>
      </c>
      <c r="T585" s="112" t="str">
        <f aca="false">IFERROR(IF([2]对账明细接口!$O585=0,"",[2]对账明细接口!$O585),"")</f>
        <v/>
      </c>
      <c r="U585" s="112" t="str">
        <f aca="false">IFERROR(IF([2]对账明细接口!$P585=0,"",[2]对账明细接口!$P585),"")</f>
        <v/>
      </c>
      <c r="V585" s="112" t="str">
        <f aca="false">IFERROR(IF([2]对账明细接口!$Q585=0,"",[2]对账明细接口!$Q585),"")</f>
        <v/>
      </c>
      <c r="W585" s="10" t="str">
        <f aca="false">IFERROR(IF([2]对账明细接口!$R585=0,"",[2]对账明细接口!$R585),"")</f>
        <v/>
      </c>
      <c r="X585" s="10" t="str">
        <f aca="false">IFERROR(IF([2]对账明细接口!$S585=0,"",[2]对账明细接口!$S585),"")</f>
        <v/>
      </c>
      <c r="Y585" s="10" t="str">
        <f aca="false">IFERROR(IF([2]对账明细接口!$T585=0,"",[2]对账明细接口!$T585),"")</f>
        <v/>
      </c>
      <c r="Z585" s="113" t="str">
        <f aca="false">IFERROR(IF([2]对账明细接口!$U585=0,"",[2]对账明细接口!$U585),"")</f>
        <v/>
      </c>
      <c r="AA585" s="113" t="str">
        <f aca="false">IFERROR(IF([2]对账明细接口!$V585=0,"",[2]对账明细接口!$V585),"")</f>
        <v/>
      </c>
      <c r="AB585" s="10" t="str">
        <f aca="false">IFERROR(IF([2]对账明细接口!$W585=0,"",[2]对账明细接口!$W585),"")</f>
        <v/>
      </c>
      <c r="AC585" s="90" t="str">
        <f aca="false">IFERROR(IF([2]对账明细接口!$X586=0,"",[2]对账明细接口!$X586),"")</f>
        <v/>
      </c>
      <c r="AD585" s="90" t="str">
        <f aca="false">IFERROR(IF([2]对账明细接口!$Y586=0,"",[2]对账明细接口!$Y586),"")</f>
        <v/>
      </c>
      <c r="AE585" s="90" t="str">
        <f aca="false">IFERROR(IF([2]对账明细接口!$AA586=0,"",[2]对账明细接口!$AA586),"")</f>
        <v/>
      </c>
      <c r="AF585" s="90" t="str">
        <f aca="false">IFERROR(IF([2]对账明细接口!$AB586=0,"",[2]对账明细接口!$AB586),"")</f>
        <v/>
      </c>
      <c r="AG585" s="90" t="str">
        <f aca="false">IFERROR(IF([2]对账明细接口!$AC586=0,"",[2]对账明细接口!$AC586),"")</f>
        <v/>
      </c>
      <c r="AH585" s="90" t="str">
        <f aca="false">IFERROR(IF([2]对账明细接口!$AD586=0,"",[2]对账明细接口!$AD586),"")</f>
        <v/>
      </c>
    </row>
    <row r="586" customFormat="false" ht="13.5" hidden="false" customHeight="false" outlineLevel="0" collapsed="false">
      <c r="A586" s="109" t="n">
        <v>586</v>
      </c>
      <c r="B586" s="110" t="str">
        <f aca="false">IFERROR(IF([2]对账明细接口!$B$586=0,"",[2]对账明细接口!$B$586),"")</f>
        <v/>
      </c>
      <c r="C586" s="59" t="str">
        <f aca="false">IFERROR(IF([2]对账明细接口!$C$586=0,"",[2]对账明细接口!$C$586),"")</f>
        <v/>
      </c>
      <c r="D586" s="59" t="str">
        <f aca="false">IFERROR(IF([2]对账明细接口!$D$586=0,"",[2]对账明细接口!$D$586),"")</f>
        <v/>
      </c>
      <c r="E586" s="59" t="str">
        <f aca="false">IFERROR(IF([2]对账明细接口!$E$586=0,"",[2]对账明细接口!$E$586),"")</f>
        <v/>
      </c>
      <c r="F586" s="59" t="str">
        <f aca="false">IFERROR(IF([2]对账明细接口!$F$586=0,"",[2]对账明细接口!$F$586),"")</f>
        <v/>
      </c>
      <c r="G586" s="59" t="str">
        <f aca="false">IFERROR(IF([2]对账明细接口!$G$586=0,"",[2]对账明细接口!$G$586),"")</f>
        <v/>
      </c>
      <c r="H586" s="60" t="str">
        <f aca="false">IFERROR(IF([2]对账明细接口!$H$586=0,"",[2]对账明细接口!$H$586),"")</f>
        <v/>
      </c>
      <c r="I586" s="59" t="str">
        <f aca="false">IFERROR(IF([2]对账明细接口!$I$586=0,"",[2]对账明细接口!$I$586),"")</f>
        <v/>
      </c>
      <c r="J586" s="61" t="str">
        <f aca="false">IFERROR(IF([2]对账明细接口!$J$586=0,"",[2]对账明细接口!$J$586),"")</f>
        <v/>
      </c>
      <c r="K586" s="61" t="str">
        <f aca="false">IFERROR(IF([2]对账明细接口!$K$586=0,"",[2]对账明细接口!$K$586),"")</f>
        <v/>
      </c>
      <c r="L586" s="59" t="str">
        <f aca="false">IFERROR(IF([2]对账明细接口!$L$586=0,"",[2]对账明细接口!$L$586),"")</f>
        <v/>
      </c>
      <c r="M586" s="59" t="str">
        <f aca="false">IFERROR(IF([2]对账明细接口!$M$586=0,"",[2]对账明细接口!$M$586),"")</f>
        <v/>
      </c>
      <c r="N586" s="111" t="n">
        <f aca="false">IF($C586="",0,1)</f>
        <v>0</v>
      </c>
      <c r="O586" s="111" t="n">
        <f aca="false">N(O585)+$N586</f>
        <v>311</v>
      </c>
      <c r="S586" s="10" t="str">
        <f aca="false">IFERROR(IF([2]对账明细接口!$N586=0,"",[2]对账明细接口!$N586),"")</f>
        <v/>
      </c>
      <c r="T586" s="112" t="str">
        <f aca="false">IFERROR(IF([2]对账明细接口!$O586=0,"",[2]对账明细接口!$O586),"")</f>
        <v/>
      </c>
      <c r="U586" s="112" t="str">
        <f aca="false">IFERROR(IF([2]对账明细接口!$P586=0,"",[2]对账明细接口!$P586),"")</f>
        <v/>
      </c>
      <c r="V586" s="112" t="str">
        <f aca="false">IFERROR(IF([2]对账明细接口!$Q586=0,"",[2]对账明细接口!$Q586),"")</f>
        <v/>
      </c>
      <c r="W586" s="10" t="str">
        <f aca="false">IFERROR(IF([2]对账明细接口!$R586=0,"",[2]对账明细接口!$R586),"")</f>
        <v/>
      </c>
      <c r="X586" s="10" t="str">
        <f aca="false">IFERROR(IF([2]对账明细接口!$S586=0,"",[2]对账明细接口!$S586),"")</f>
        <v/>
      </c>
      <c r="Y586" s="10" t="str">
        <f aca="false">IFERROR(IF([2]对账明细接口!$T586=0,"",[2]对账明细接口!$T586),"")</f>
        <v/>
      </c>
      <c r="Z586" s="113" t="str">
        <f aca="false">IFERROR(IF([2]对账明细接口!$U586=0,"",[2]对账明细接口!$U586),"")</f>
        <v/>
      </c>
      <c r="AA586" s="113" t="str">
        <f aca="false">IFERROR(IF([2]对账明细接口!$V586=0,"",[2]对账明细接口!$V586),"")</f>
        <v/>
      </c>
      <c r="AB586" s="10" t="str">
        <f aca="false">IFERROR(IF([2]对账明细接口!$W586=0,"",[2]对账明细接口!$W586),"")</f>
        <v/>
      </c>
      <c r="AC586" s="90" t="str">
        <f aca="false">IFERROR(IF([2]对账明细接口!$X587=0,"",[2]对账明细接口!$X587),"")</f>
        <v/>
      </c>
      <c r="AD586" s="90" t="str">
        <f aca="false">IFERROR(IF([2]对账明细接口!$Y587=0,"",[2]对账明细接口!$Y587),"")</f>
        <v/>
      </c>
      <c r="AE586" s="90" t="str">
        <f aca="false">IFERROR(IF([2]对账明细接口!$AA587=0,"",[2]对账明细接口!$AA587),"")</f>
        <v/>
      </c>
      <c r="AF586" s="90" t="str">
        <f aca="false">IFERROR(IF([2]对账明细接口!$AB587=0,"",[2]对账明细接口!$AB587),"")</f>
        <v/>
      </c>
      <c r="AG586" s="90" t="str">
        <f aca="false">IFERROR(IF([2]对账明细接口!$AC587=0,"",[2]对账明细接口!$AC587),"")</f>
        <v/>
      </c>
      <c r="AH586" s="90" t="str">
        <f aca="false">IFERROR(IF([2]对账明细接口!$AD587=0,"",[2]对账明细接口!$AD587),"")</f>
        <v/>
      </c>
    </row>
    <row r="587" customFormat="false" ht="13.5" hidden="false" customHeight="false" outlineLevel="0" collapsed="false">
      <c r="A587" s="109" t="n">
        <v>587</v>
      </c>
      <c r="B587" s="110" t="str">
        <f aca="false">IFERROR(IF([2]对账明细接口!$B$587=0,"",[2]对账明细接口!$B$587),"")</f>
        <v/>
      </c>
      <c r="C587" s="59" t="str">
        <f aca="false">IFERROR(IF([2]对账明细接口!$C$587=0,"",[2]对账明细接口!$C$587),"")</f>
        <v/>
      </c>
      <c r="D587" s="59" t="str">
        <f aca="false">IFERROR(IF([2]对账明细接口!$D$587=0,"",[2]对账明细接口!$D$587),"")</f>
        <v/>
      </c>
      <c r="E587" s="59" t="str">
        <f aca="false">IFERROR(IF([2]对账明细接口!$E$587=0,"",[2]对账明细接口!$E$587),"")</f>
        <v/>
      </c>
      <c r="F587" s="59" t="str">
        <f aca="false">IFERROR(IF([2]对账明细接口!$F$587=0,"",[2]对账明细接口!$F$587),"")</f>
        <v/>
      </c>
      <c r="G587" s="59" t="str">
        <f aca="false">IFERROR(IF([2]对账明细接口!$G$587=0,"",[2]对账明细接口!$G$587),"")</f>
        <v/>
      </c>
      <c r="H587" s="60" t="str">
        <f aca="false">IFERROR(IF([2]对账明细接口!$H$587=0,"",[2]对账明细接口!$H$587),"")</f>
        <v/>
      </c>
      <c r="I587" s="59" t="str">
        <f aca="false">IFERROR(IF([2]对账明细接口!$I$587=0,"",[2]对账明细接口!$I$587),"")</f>
        <v/>
      </c>
      <c r="J587" s="61" t="str">
        <f aca="false">IFERROR(IF([2]对账明细接口!$J$587=0,"",[2]对账明细接口!$J$587),"")</f>
        <v/>
      </c>
      <c r="K587" s="61" t="str">
        <f aca="false">IFERROR(IF([2]对账明细接口!$K$587=0,"",[2]对账明细接口!$K$587),"")</f>
        <v/>
      </c>
      <c r="L587" s="59" t="str">
        <f aca="false">IFERROR(IF([2]对账明细接口!$L$587=0,"",[2]对账明细接口!$L$587),"")</f>
        <v/>
      </c>
      <c r="M587" s="59" t="str">
        <f aca="false">IFERROR(IF([2]对账明细接口!$M$587=0,"",[2]对账明细接口!$M$587),"")</f>
        <v/>
      </c>
      <c r="N587" s="111" t="n">
        <f aca="false">IF($C587="",0,1)</f>
        <v>0</v>
      </c>
      <c r="O587" s="111" t="n">
        <f aca="false">N(O586)+$N587</f>
        <v>311</v>
      </c>
      <c r="S587" s="10" t="str">
        <f aca="false">IFERROR(IF([2]对账明细接口!$N587=0,"",[2]对账明细接口!$N587),"")</f>
        <v/>
      </c>
      <c r="T587" s="112" t="str">
        <f aca="false">IFERROR(IF([2]对账明细接口!$O587=0,"",[2]对账明细接口!$O587),"")</f>
        <v/>
      </c>
      <c r="U587" s="112" t="str">
        <f aca="false">IFERROR(IF([2]对账明细接口!$P587=0,"",[2]对账明细接口!$P587),"")</f>
        <v/>
      </c>
      <c r="V587" s="112" t="str">
        <f aca="false">IFERROR(IF([2]对账明细接口!$Q587=0,"",[2]对账明细接口!$Q587),"")</f>
        <v/>
      </c>
      <c r="W587" s="10" t="str">
        <f aca="false">IFERROR(IF([2]对账明细接口!$R587=0,"",[2]对账明细接口!$R587),"")</f>
        <v/>
      </c>
      <c r="X587" s="10" t="str">
        <f aca="false">IFERROR(IF([2]对账明细接口!$S587=0,"",[2]对账明细接口!$S587),"")</f>
        <v/>
      </c>
      <c r="Y587" s="10" t="str">
        <f aca="false">IFERROR(IF([2]对账明细接口!$T587=0,"",[2]对账明细接口!$T587),"")</f>
        <v/>
      </c>
      <c r="Z587" s="113" t="str">
        <f aca="false">IFERROR(IF([2]对账明细接口!$U587=0,"",[2]对账明细接口!$U587),"")</f>
        <v/>
      </c>
      <c r="AA587" s="113" t="str">
        <f aca="false">IFERROR(IF([2]对账明细接口!$V587=0,"",[2]对账明细接口!$V587),"")</f>
        <v/>
      </c>
      <c r="AB587" s="10" t="str">
        <f aca="false">IFERROR(IF([2]对账明细接口!$W587=0,"",[2]对账明细接口!$W587),"")</f>
        <v/>
      </c>
      <c r="AC587" s="90" t="str">
        <f aca="false">IFERROR(IF([2]对账明细接口!$X588=0,"",[2]对账明细接口!$X588),"")</f>
        <v/>
      </c>
      <c r="AD587" s="90" t="str">
        <f aca="false">IFERROR(IF([2]对账明细接口!$Y588=0,"",[2]对账明细接口!$Y588),"")</f>
        <v/>
      </c>
      <c r="AE587" s="90" t="str">
        <f aca="false">IFERROR(IF([2]对账明细接口!$AA588=0,"",[2]对账明细接口!$AA588),"")</f>
        <v/>
      </c>
      <c r="AF587" s="90" t="str">
        <f aca="false">IFERROR(IF([2]对账明细接口!$AB588=0,"",[2]对账明细接口!$AB588),"")</f>
        <v/>
      </c>
      <c r="AG587" s="90" t="str">
        <f aca="false">IFERROR(IF([2]对账明细接口!$AC588=0,"",[2]对账明细接口!$AC588),"")</f>
        <v/>
      </c>
      <c r="AH587" s="90" t="str">
        <f aca="false">IFERROR(IF([2]对账明细接口!$AD588=0,"",[2]对账明细接口!$AD588),"")</f>
        <v/>
      </c>
    </row>
    <row r="588" customFormat="false" ht="13.5" hidden="false" customHeight="false" outlineLevel="0" collapsed="false">
      <c r="A588" s="109" t="n">
        <v>588</v>
      </c>
      <c r="B588" s="110" t="str">
        <f aca="false">IFERROR(IF([2]对账明细接口!$B$588=0,"",[2]对账明细接口!$B$588),"")</f>
        <v/>
      </c>
      <c r="C588" s="59" t="str">
        <f aca="false">IFERROR(IF([2]对账明细接口!$C$588=0,"",[2]对账明细接口!$C$588),"")</f>
        <v/>
      </c>
      <c r="D588" s="59" t="str">
        <f aca="false">IFERROR(IF([2]对账明细接口!$D$588=0,"",[2]对账明细接口!$D$588),"")</f>
        <v/>
      </c>
      <c r="E588" s="59" t="str">
        <f aca="false">IFERROR(IF([2]对账明细接口!$E$588=0,"",[2]对账明细接口!$E$588),"")</f>
        <v/>
      </c>
      <c r="F588" s="59" t="str">
        <f aca="false">IFERROR(IF([2]对账明细接口!$F$588=0,"",[2]对账明细接口!$F$588),"")</f>
        <v/>
      </c>
      <c r="G588" s="59" t="str">
        <f aca="false">IFERROR(IF([2]对账明细接口!$G$588=0,"",[2]对账明细接口!$G$588),"")</f>
        <v/>
      </c>
      <c r="H588" s="60" t="str">
        <f aca="false">IFERROR(IF([2]对账明细接口!$H$588=0,"",[2]对账明细接口!$H$588),"")</f>
        <v/>
      </c>
      <c r="I588" s="59" t="str">
        <f aca="false">IFERROR(IF([2]对账明细接口!$I$588=0,"",[2]对账明细接口!$I$588),"")</f>
        <v/>
      </c>
      <c r="J588" s="61" t="str">
        <f aca="false">IFERROR(IF([2]对账明细接口!$J$588=0,"",[2]对账明细接口!$J$588),"")</f>
        <v/>
      </c>
      <c r="K588" s="61" t="str">
        <f aca="false">IFERROR(IF([2]对账明细接口!$K$588=0,"",[2]对账明细接口!$K$588),"")</f>
        <v/>
      </c>
      <c r="L588" s="59" t="str">
        <f aca="false">IFERROR(IF([2]对账明细接口!$L$588=0,"",[2]对账明细接口!$L$588),"")</f>
        <v/>
      </c>
      <c r="M588" s="59" t="str">
        <f aca="false">IFERROR(IF([2]对账明细接口!$M$588=0,"",[2]对账明细接口!$M$588),"")</f>
        <v/>
      </c>
      <c r="N588" s="111" t="n">
        <f aca="false">IF($C588="",0,1)</f>
        <v>0</v>
      </c>
      <c r="O588" s="111" t="n">
        <f aca="false">N(O587)+$N588</f>
        <v>311</v>
      </c>
      <c r="S588" s="10" t="str">
        <f aca="false">IFERROR(IF([2]对账明细接口!$N588=0,"",[2]对账明细接口!$N588),"")</f>
        <v/>
      </c>
      <c r="T588" s="112" t="str">
        <f aca="false">IFERROR(IF([2]对账明细接口!$O588=0,"",[2]对账明细接口!$O588),"")</f>
        <v/>
      </c>
      <c r="U588" s="112" t="str">
        <f aca="false">IFERROR(IF([2]对账明细接口!$P588=0,"",[2]对账明细接口!$P588),"")</f>
        <v/>
      </c>
      <c r="V588" s="112" t="str">
        <f aca="false">IFERROR(IF([2]对账明细接口!$Q588=0,"",[2]对账明细接口!$Q588),"")</f>
        <v/>
      </c>
      <c r="W588" s="10" t="str">
        <f aca="false">IFERROR(IF([2]对账明细接口!$R588=0,"",[2]对账明细接口!$R588),"")</f>
        <v/>
      </c>
      <c r="X588" s="10" t="str">
        <f aca="false">IFERROR(IF([2]对账明细接口!$S588=0,"",[2]对账明细接口!$S588),"")</f>
        <v/>
      </c>
      <c r="Y588" s="10" t="str">
        <f aca="false">IFERROR(IF([2]对账明细接口!$T588=0,"",[2]对账明细接口!$T588),"")</f>
        <v/>
      </c>
      <c r="Z588" s="113" t="str">
        <f aca="false">IFERROR(IF([2]对账明细接口!$U588=0,"",[2]对账明细接口!$U588),"")</f>
        <v/>
      </c>
      <c r="AA588" s="113" t="str">
        <f aca="false">IFERROR(IF([2]对账明细接口!$V588=0,"",[2]对账明细接口!$V588),"")</f>
        <v/>
      </c>
      <c r="AB588" s="10" t="str">
        <f aca="false">IFERROR(IF([2]对账明细接口!$W588=0,"",[2]对账明细接口!$W588),"")</f>
        <v/>
      </c>
      <c r="AC588" s="90" t="str">
        <f aca="false">IFERROR(IF([2]对账明细接口!$X589=0,"",[2]对账明细接口!$X589),"")</f>
        <v/>
      </c>
      <c r="AD588" s="90" t="str">
        <f aca="false">IFERROR(IF([2]对账明细接口!$Y589=0,"",[2]对账明细接口!$Y589),"")</f>
        <v/>
      </c>
      <c r="AE588" s="90" t="str">
        <f aca="false">IFERROR(IF([2]对账明细接口!$AA589=0,"",[2]对账明细接口!$AA589),"")</f>
        <v/>
      </c>
      <c r="AF588" s="90" t="str">
        <f aca="false">IFERROR(IF([2]对账明细接口!$AB589=0,"",[2]对账明细接口!$AB589),"")</f>
        <v/>
      </c>
      <c r="AG588" s="90" t="str">
        <f aca="false">IFERROR(IF([2]对账明细接口!$AC589=0,"",[2]对账明细接口!$AC589),"")</f>
        <v/>
      </c>
      <c r="AH588" s="90" t="str">
        <f aca="false">IFERROR(IF([2]对账明细接口!$AD589=0,"",[2]对账明细接口!$AD589),"")</f>
        <v/>
      </c>
    </row>
    <row r="589" customFormat="false" ht="13.5" hidden="false" customHeight="false" outlineLevel="0" collapsed="false">
      <c r="A589" s="109" t="n">
        <v>589</v>
      </c>
      <c r="B589" s="110" t="str">
        <f aca="false">IFERROR(IF([2]对账明细接口!$B$589=0,"",[2]对账明细接口!$B$589),"")</f>
        <v/>
      </c>
      <c r="C589" s="59" t="str">
        <f aca="false">IFERROR(IF([2]对账明细接口!$C$589=0,"",[2]对账明细接口!$C$589),"")</f>
        <v/>
      </c>
      <c r="D589" s="59" t="str">
        <f aca="false">IFERROR(IF([2]对账明细接口!$D$589=0,"",[2]对账明细接口!$D$589),"")</f>
        <v/>
      </c>
      <c r="E589" s="59" t="str">
        <f aca="false">IFERROR(IF([2]对账明细接口!$E$589=0,"",[2]对账明细接口!$E$589),"")</f>
        <v/>
      </c>
      <c r="F589" s="59" t="str">
        <f aca="false">IFERROR(IF([2]对账明细接口!$F$589=0,"",[2]对账明细接口!$F$589),"")</f>
        <v/>
      </c>
      <c r="G589" s="59" t="str">
        <f aca="false">IFERROR(IF([2]对账明细接口!$G$589=0,"",[2]对账明细接口!$G$589),"")</f>
        <v/>
      </c>
      <c r="H589" s="60" t="str">
        <f aca="false">IFERROR(IF([2]对账明细接口!$H$589=0,"",[2]对账明细接口!$H$589),"")</f>
        <v/>
      </c>
      <c r="I589" s="59" t="str">
        <f aca="false">IFERROR(IF([2]对账明细接口!$I$589=0,"",[2]对账明细接口!$I$589),"")</f>
        <v/>
      </c>
      <c r="J589" s="61" t="str">
        <f aca="false">IFERROR(IF([2]对账明细接口!$J$589=0,"",[2]对账明细接口!$J$589),"")</f>
        <v/>
      </c>
      <c r="K589" s="61" t="str">
        <f aca="false">IFERROR(IF([2]对账明细接口!$K$589=0,"",[2]对账明细接口!$K$589),"")</f>
        <v/>
      </c>
      <c r="L589" s="59" t="str">
        <f aca="false">IFERROR(IF([2]对账明细接口!$L$589=0,"",[2]对账明细接口!$L$589),"")</f>
        <v/>
      </c>
      <c r="M589" s="59" t="str">
        <f aca="false">IFERROR(IF([2]对账明细接口!$M$589=0,"",[2]对账明细接口!$M$589),"")</f>
        <v/>
      </c>
      <c r="N589" s="111" t="n">
        <f aca="false">IF($C589="",0,1)</f>
        <v>0</v>
      </c>
      <c r="O589" s="111" t="n">
        <f aca="false">N(O588)+$N589</f>
        <v>311</v>
      </c>
      <c r="S589" s="10" t="str">
        <f aca="false">IFERROR(IF([2]对账明细接口!$N589=0,"",[2]对账明细接口!$N589),"")</f>
        <v/>
      </c>
      <c r="T589" s="112" t="str">
        <f aca="false">IFERROR(IF([2]对账明细接口!$O589=0,"",[2]对账明细接口!$O589),"")</f>
        <v/>
      </c>
      <c r="U589" s="112" t="str">
        <f aca="false">IFERROR(IF([2]对账明细接口!$P589=0,"",[2]对账明细接口!$P589),"")</f>
        <v/>
      </c>
      <c r="V589" s="112" t="str">
        <f aca="false">IFERROR(IF([2]对账明细接口!$Q589=0,"",[2]对账明细接口!$Q589),"")</f>
        <v/>
      </c>
      <c r="W589" s="10" t="str">
        <f aca="false">IFERROR(IF([2]对账明细接口!$R589=0,"",[2]对账明细接口!$R589),"")</f>
        <v/>
      </c>
      <c r="X589" s="10" t="str">
        <f aca="false">IFERROR(IF([2]对账明细接口!$S589=0,"",[2]对账明细接口!$S589),"")</f>
        <v/>
      </c>
      <c r="Y589" s="10" t="str">
        <f aca="false">IFERROR(IF([2]对账明细接口!$T589=0,"",[2]对账明细接口!$T589),"")</f>
        <v/>
      </c>
      <c r="Z589" s="113" t="str">
        <f aca="false">IFERROR(IF([2]对账明细接口!$U589=0,"",[2]对账明细接口!$U589),"")</f>
        <v/>
      </c>
      <c r="AA589" s="113" t="str">
        <f aca="false">IFERROR(IF([2]对账明细接口!$V589=0,"",[2]对账明细接口!$V589),"")</f>
        <v/>
      </c>
      <c r="AB589" s="10" t="str">
        <f aca="false">IFERROR(IF([2]对账明细接口!$W589=0,"",[2]对账明细接口!$W589),"")</f>
        <v/>
      </c>
      <c r="AC589" s="90" t="str">
        <f aca="false">IFERROR(IF([2]对账明细接口!$X590=0,"",[2]对账明细接口!$X590),"")</f>
        <v/>
      </c>
      <c r="AD589" s="90" t="str">
        <f aca="false">IFERROR(IF([2]对账明细接口!$Y590=0,"",[2]对账明细接口!$Y590),"")</f>
        <v/>
      </c>
      <c r="AE589" s="90" t="str">
        <f aca="false">IFERROR(IF([2]对账明细接口!$AA590=0,"",[2]对账明细接口!$AA590),"")</f>
        <v/>
      </c>
      <c r="AF589" s="90" t="str">
        <f aca="false">IFERROR(IF([2]对账明细接口!$AB590=0,"",[2]对账明细接口!$AB590),"")</f>
        <v/>
      </c>
      <c r="AG589" s="90" t="str">
        <f aca="false">IFERROR(IF([2]对账明细接口!$AC590=0,"",[2]对账明细接口!$AC590),"")</f>
        <v/>
      </c>
      <c r="AH589" s="90" t="str">
        <f aca="false">IFERROR(IF([2]对账明细接口!$AD590=0,"",[2]对账明细接口!$AD590),"")</f>
        <v/>
      </c>
    </row>
    <row r="590" customFormat="false" ht="13.5" hidden="false" customHeight="false" outlineLevel="0" collapsed="false">
      <c r="A590" s="109" t="n">
        <v>590</v>
      </c>
      <c r="B590" s="110" t="str">
        <f aca="false">IFERROR(IF([2]对账明细接口!$B$590=0,"",[2]对账明细接口!$B$590),"")</f>
        <v/>
      </c>
      <c r="C590" s="59" t="str">
        <f aca="false">IFERROR(IF([2]对账明细接口!$C$590=0,"",[2]对账明细接口!$C$590),"")</f>
        <v/>
      </c>
      <c r="D590" s="59" t="str">
        <f aca="false">IFERROR(IF([2]对账明细接口!$D$590=0,"",[2]对账明细接口!$D$590),"")</f>
        <v/>
      </c>
      <c r="E590" s="59" t="str">
        <f aca="false">IFERROR(IF([2]对账明细接口!$E$590=0,"",[2]对账明细接口!$E$590),"")</f>
        <v/>
      </c>
      <c r="F590" s="59" t="str">
        <f aca="false">IFERROR(IF([2]对账明细接口!$F$590=0,"",[2]对账明细接口!$F$590),"")</f>
        <v/>
      </c>
      <c r="G590" s="59" t="str">
        <f aca="false">IFERROR(IF([2]对账明细接口!$G$590=0,"",[2]对账明细接口!$G$590),"")</f>
        <v/>
      </c>
      <c r="H590" s="60" t="str">
        <f aca="false">IFERROR(IF([2]对账明细接口!$H$590=0,"",[2]对账明细接口!$H$590),"")</f>
        <v/>
      </c>
      <c r="I590" s="59" t="str">
        <f aca="false">IFERROR(IF([2]对账明细接口!$I$590=0,"",[2]对账明细接口!$I$590),"")</f>
        <v/>
      </c>
      <c r="J590" s="61" t="str">
        <f aca="false">IFERROR(IF([2]对账明细接口!$J$590=0,"",[2]对账明细接口!$J$590),"")</f>
        <v/>
      </c>
      <c r="K590" s="61" t="str">
        <f aca="false">IFERROR(IF([2]对账明细接口!$K$590=0,"",[2]对账明细接口!$K$590),"")</f>
        <v/>
      </c>
      <c r="L590" s="59" t="str">
        <f aca="false">IFERROR(IF([2]对账明细接口!$L$590=0,"",[2]对账明细接口!$L$590),"")</f>
        <v/>
      </c>
      <c r="M590" s="59" t="str">
        <f aca="false">IFERROR(IF([2]对账明细接口!$M$590=0,"",[2]对账明细接口!$M$590),"")</f>
        <v/>
      </c>
      <c r="N590" s="111" t="n">
        <f aca="false">IF($C590="",0,1)</f>
        <v>0</v>
      </c>
      <c r="O590" s="111" t="n">
        <f aca="false">N(O589)+$N590</f>
        <v>311</v>
      </c>
      <c r="S590" s="10" t="str">
        <f aca="false">IFERROR(IF([2]对账明细接口!$N590=0,"",[2]对账明细接口!$N590),"")</f>
        <v/>
      </c>
      <c r="T590" s="112" t="str">
        <f aca="false">IFERROR(IF([2]对账明细接口!$O590=0,"",[2]对账明细接口!$O590),"")</f>
        <v/>
      </c>
      <c r="U590" s="112" t="str">
        <f aca="false">IFERROR(IF([2]对账明细接口!$P590=0,"",[2]对账明细接口!$P590),"")</f>
        <v/>
      </c>
      <c r="V590" s="112" t="str">
        <f aca="false">IFERROR(IF([2]对账明细接口!$Q590=0,"",[2]对账明细接口!$Q590),"")</f>
        <v/>
      </c>
      <c r="W590" s="10" t="str">
        <f aca="false">IFERROR(IF([2]对账明细接口!$R590=0,"",[2]对账明细接口!$R590),"")</f>
        <v/>
      </c>
      <c r="X590" s="10" t="str">
        <f aca="false">IFERROR(IF([2]对账明细接口!$S590=0,"",[2]对账明细接口!$S590),"")</f>
        <v/>
      </c>
      <c r="Y590" s="10" t="str">
        <f aca="false">IFERROR(IF([2]对账明细接口!$T590=0,"",[2]对账明细接口!$T590),"")</f>
        <v/>
      </c>
      <c r="Z590" s="113" t="str">
        <f aca="false">IFERROR(IF([2]对账明细接口!$U590=0,"",[2]对账明细接口!$U590),"")</f>
        <v/>
      </c>
      <c r="AA590" s="113" t="str">
        <f aca="false">IFERROR(IF([2]对账明细接口!$V590=0,"",[2]对账明细接口!$V590),"")</f>
        <v/>
      </c>
      <c r="AB590" s="10" t="str">
        <f aca="false">IFERROR(IF([2]对账明细接口!$W590=0,"",[2]对账明细接口!$W590),"")</f>
        <v/>
      </c>
      <c r="AC590" s="90" t="str">
        <f aca="false">IFERROR(IF([2]对账明细接口!$X591=0,"",[2]对账明细接口!$X591),"")</f>
        <v/>
      </c>
      <c r="AD590" s="90" t="str">
        <f aca="false">IFERROR(IF([2]对账明细接口!$Y591=0,"",[2]对账明细接口!$Y591),"")</f>
        <v/>
      </c>
      <c r="AE590" s="90" t="str">
        <f aca="false">IFERROR(IF([2]对账明细接口!$AA591=0,"",[2]对账明细接口!$AA591),"")</f>
        <v/>
      </c>
      <c r="AF590" s="90" t="str">
        <f aca="false">IFERROR(IF([2]对账明细接口!$AB591=0,"",[2]对账明细接口!$AB591),"")</f>
        <v/>
      </c>
      <c r="AG590" s="90" t="str">
        <f aca="false">IFERROR(IF([2]对账明细接口!$AC591=0,"",[2]对账明细接口!$AC591),"")</f>
        <v/>
      </c>
      <c r="AH590" s="90" t="str">
        <f aca="false">IFERROR(IF([2]对账明细接口!$AD591=0,"",[2]对账明细接口!$AD591),"")</f>
        <v/>
      </c>
    </row>
    <row r="591" customFormat="false" ht="13.5" hidden="false" customHeight="false" outlineLevel="0" collapsed="false">
      <c r="A591" s="109" t="n">
        <v>591</v>
      </c>
      <c r="B591" s="110" t="str">
        <f aca="false">IFERROR(IF([2]对账明细接口!$B$591=0,"",[2]对账明细接口!$B$591),"")</f>
        <v/>
      </c>
      <c r="C591" s="59" t="str">
        <f aca="false">IFERROR(IF([2]对账明细接口!$C$591=0,"",[2]对账明细接口!$C$591),"")</f>
        <v/>
      </c>
      <c r="D591" s="59" t="str">
        <f aca="false">IFERROR(IF([2]对账明细接口!$D$591=0,"",[2]对账明细接口!$D$591),"")</f>
        <v/>
      </c>
      <c r="E591" s="59" t="str">
        <f aca="false">IFERROR(IF([2]对账明细接口!$E$591=0,"",[2]对账明细接口!$E$591),"")</f>
        <v/>
      </c>
      <c r="F591" s="59" t="str">
        <f aca="false">IFERROR(IF([2]对账明细接口!$F$591=0,"",[2]对账明细接口!$F$591),"")</f>
        <v/>
      </c>
      <c r="G591" s="59" t="str">
        <f aca="false">IFERROR(IF([2]对账明细接口!$G$591=0,"",[2]对账明细接口!$G$591),"")</f>
        <v/>
      </c>
      <c r="H591" s="60" t="str">
        <f aca="false">IFERROR(IF([2]对账明细接口!$H$591=0,"",[2]对账明细接口!$H$591),"")</f>
        <v/>
      </c>
      <c r="I591" s="59" t="str">
        <f aca="false">IFERROR(IF([2]对账明细接口!$I$591=0,"",[2]对账明细接口!$I$591),"")</f>
        <v/>
      </c>
      <c r="J591" s="61" t="str">
        <f aca="false">IFERROR(IF([2]对账明细接口!$J$591=0,"",[2]对账明细接口!$J$591),"")</f>
        <v/>
      </c>
      <c r="K591" s="61" t="str">
        <f aca="false">IFERROR(IF([2]对账明细接口!$K$591=0,"",[2]对账明细接口!$K$591),"")</f>
        <v/>
      </c>
      <c r="L591" s="59" t="str">
        <f aca="false">IFERROR(IF([2]对账明细接口!$L$591=0,"",[2]对账明细接口!$L$591),"")</f>
        <v/>
      </c>
      <c r="M591" s="59" t="str">
        <f aca="false">IFERROR(IF([2]对账明细接口!$M$591=0,"",[2]对账明细接口!$M$591),"")</f>
        <v/>
      </c>
      <c r="N591" s="111" t="n">
        <f aca="false">IF($C591="",0,1)</f>
        <v>0</v>
      </c>
      <c r="O591" s="111" t="n">
        <f aca="false">N(O590)+$N591</f>
        <v>311</v>
      </c>
      <c r="S591" s="10" t="str">
        <f aca="false">IFERROR(IF([2]对账明细接口!$N591=0,"",[2]对账明细接口!$N591),"")</f>
        <v/>
      </c>
      <c r="T591" s="112" t="str">
        <f aca="false">IFERROR(IF([2]对账明细接口!$O591=0,"",[2]对账明细接口!$O591),"")</f>
        <v/>
      </c>
      <c r="U591" s="112" t="str">
        <f aca="false">IFERROR(IF([2]对账明细接口!$P591=0,"",[2]对账明细接口!$P591),"")</f>
        <v/>
      </c>
      <c r="V591" s="112" t="str">
        <f aca="false">IFERROR(IF([2]对账明细接口!$Q591=0,"",[2]对账明细接口!$Q591),"")</f>
        <v/>
      </c>
      <c r="W591" s="10" t="str">
        <f aca="false">IFERROR(IF([2]对账明细接口!$R591=0,"",[2]对账明细接口!$R591),"")</f>
        <v/>
      </c>
      <c r="X591" s="10" t="str">
        <f aca="false">IFERROR(IF([2]对账明细接口!$S591=0,"",[2]对账明细接口!$S591),"")</f>
        <v/>
      </c>
      <c r="Y591" s="10" t="str">
        <f aca="false">IFERROR(IF([2]对账明细接口!$T591=0,"",[2]对账明细接口!$T591),"")</f>
        <v/>
      </c>
      <c r="Z591" s="113" t="str">
        <f aca="false">IFERROR(IF([2]对账明细接口!$U591=0,"",[2]对账明细接口!$U591),"")</f>
        <v/>
      </c>
      <c r="AA591" s="113" t="str">
        <f aca="false">IFERROR(IF([2]对账明细接口!$V591=0,"",[2]对账明细接口!$V591),"")</f>
        <v/>
      </c>
      <c r="AB591" s="10" t="str">
        <f aca="false">IFERROR(IF([2]对账明细接口!$W591=0,"",[2]对账明细接口!$W591),"")</f>
        <v/>
      </c>
      <c r="AC591" s="90" t="str">
        <f aca="false">IFERROR(IF([2]对账明细接口!$X592=0,"",[2]对账明细接口!$X592),"")</f>
        <v/>
      </c>
      <c r="AD591" s="90" t="str">
        <f aca="false">IFERROR(IF([2]对账明细接口!$Y592=0,"",[2]对账明细接口!$Y592),"")</f>
        <v/>
      </c>
      <c r="AE591" s="90" t="str">
        <f aca="false">IFERROR(IF([2]对账明细接口!$AA592=0,"",[2]对账明细接口!$AA592),"")</f>
        <v/>
      </c>
      <c r="AF591" s="90" t="str">
        <f aca="false">IFERROR(IF([2]对账明细接口!$AB592=0,"",[2]对账明细接口!$AB592),"")</f>
        <v/>
      </c>
      <c r="AG591" s="90" t="str">
        <f aca="false">IFERROR(IF([2]对账明细接口!$AC592=0,"",[2]对账明细接口!$AC592),"")</f>
        <v/>
      </c>
      <c r="AH591" s="90" t="str">
        <f aca="false">IFERROR(IF([2]对账明细接口!$AD592=0,"",[2]对账明细接口!$AD592),"")</f>
        <v/>
      </c>
    </row>
    <row r="592" customFormat="false" ht="13.5" hidden="false" customHeight="false" outlineLevel="0" collapsed="false">
      <c r="A592" s="109" t="n">
        <v>592</v>
      </c>
      <c r="B592" s="110" t="str">
        <f aca="false">IFERROR(IF([2]对账明细接口!$B$592=0,"",[2]对账明细接口!$B$592),"")</f>
        <v/>
      </c>
      <c r="C592" s="59" t="str">
        <f aca="false">IFERROR(IF([2]对账明细接口!$C$592=0,"",[2]对账明细接口!$C$592),"")</f>
        <v/>
      </c>
      <c r="D592" s="59" t="str">
        <f aca="false">IFERROR(IF([2]对账明细接口!$D$592=0,"",[2]对账明细接口!$D$592),"")</f>
        <v/>
      </c>
      <c r="E592" s="59" t="str">
        <f aca="false">IFERROR(IF([2]对账明细接口!$E$592=0,"",[2]对账明细接口!$E$592),"")</f>
        <v/>
      </c>
      <c r="F592" s="59" t="str">
        <f aca="false">IFERROR(IF([2]对账明细接口!$F$592=0,"",[2]对账明细接口!$F$592),"")</f>
        <v/>
      </c>
      <c r="G592" s="59" t="str">
        <f aca="false">IFERROR(IF([2]对账明细接口!$G$592=0,"",[2]对账明细接口!$G$592),"")</f>
        <v/>
      </c>
      <c r="H592" s="60" t="str">
        <f aca="false">IFERROR(IF([2]对账明细接口!$H$592=0,"",[2]对账明细接口!$H$592),"")</f>
        <v/>
      </c>
      <c r="I592" s="59" t="str">
        <f aca="false">IFERROR(IF([2]对账明细接口!$I$592=0,"",[2]对账明细接口!$I$592),"")</f>
        <v/>
      </c>
      <c r="J592" s="61" t="str">
        <f aca="false">IFERROR(IF([2]对账明细接口!$J$592=0,"",[2]对账明细接口!$J$592),"")</f>
        <v/>
      </c>
      <c r="K592" s="61" t="str">
        <f aca="false">IFERROR(IF([2]对账明细接口!$K$592=0,"",[2]对账明细接口!$K$592),"")</f>
        <v/>
      </c>
      <c r="L592" s="59" t="str">
        <f aca="false">IFERROR(IF([2]对账明细接口!$L$592=0,"",[2]对账明细接口!$L$592),"")</f>
        <v/>
      </c>
      <c r="M592" s="59" t="str">
        <f aca="false">IFERROR(IF([2]对账明细接口!$M$592=0,"",[2]对账明细接口!$M$592),"")</f>
        <v/>
      </c>
      <c r="N592" s="111" t="n">
        <f aca="false">IF($C592="",0,1)</f>
        <v>0</v>
      </c>
      <c r="O592" s="111" t="n">
        <f aca="false">N(O591)+$N592</f>
        <v>311</v>
      </c>
      <c r="S592" s="10" t="str">
        <f aca="false">IFERROR(IF([2]对账明细接口!$N592=0,"",[2]对账明细接口!$N592),"")</f>
        <v/>
      </c>
      <c r="T592" s="112" t="str">
        <f aca="false">IFERROR(IF([2]对账明细接口!$O592=0,"",[2]对账明细接口!$O592),"")</f>
        <v/>
      </c>
      <c r="U592" s="112" t="str">
        <f aca="false">IFERROR(IF([2]对账明细接口!$P592=0,"",[2]对账明细接口!$P592),"")</f>
        <v/>
      </c>
      <c r="V592" s="112" t="str">
        <f aca="false">IFERROR(IF([2]对账明细接口!$Q592=0,"",[2]对账明细接口!$Q592),"")</f>
        <v/>
      </c>
      <c r="W592" s="10" t="str">
        <f aca="false">IFERROR(IF([2]对账明细接口!$R592=0,"",[2]对账明细接口!$R592),"")</f>
        <v/>
      </c>
      <c r="X592" s="10" t="str">
        <f aca="false">IFERROR(IF([2]对账明细接口!$S592=0,"",[2]对账明细接口!$S592),"")</f>
        <v/>
      </c>
      <c r="Y592" s="10" t="str">
        <f aca="false">IFERROR(IF([2]对账明细接口!$T592=0,"",[2]对账明细接口!$T592),"")</f>
        <v/>
      </c>
      <c r="Z592" s="113" t="str">
        <f aca="false">IFERROR(IF([2]对账明细接口!$U592=0,"",[2]对账明细接口!$U592),"")</f>
        <v/>
      </c>
      <c r="AA592" s="113" t="str">
        <f aca="false">IFERROR(IF([2]对账明细接口!$V592=0,"",[2]对账明细接口!$V592),"")</f>
        <v/>
      </c>
      <c r="AB592" s="10" t="str">
        <f aca="false">IFERROR(IF([2]对账明细接口!$W592=0,"",[2]对账明细接口!$W592),"")</f>
        <v/>
      </c>
      <c r="AC592" s="90" t="str">
        <f aca="false">IFERROR(IF([2]对账明细接口!$X593=0,"",[2]对账明细接口!$X593),"")</f>
        <v/>
      </c>
      <c r="AD592" s="90" t="str">
        <f aca="false">IFERROR(IF([2]对账明细接口!$Y593=0,"",[2]对账明细接口!$Y593),"")</f>
        <v/>
      </c>
      <c r="AE592" s="90" t="str">
        <f aca="false">IFERROR(IF([2]对账明细接口!$AA593=0,"",[2]对账明细接口!$AA593),"")</f>
        <v/>
      </c>
      <c r="AF592" s="90" t="str">
        <f aca="false">IFERROR(IF([2]对账明细接口!$AB593=0,"",[2]对账明细接口!$AB593),"")</f>
        <v/>
      </c>
      <c r="AG592" s="90" t="str">
        <f aca="false">IFERROR(IF([2]对账明细接口!$AC593=0,"",[2]对账明细接口!$AC593),"")</f>
        <v/>
      </c>
      <c r="AH592" s="90" t="str">
        <f aca="false">IFERROR(IF([2]对账明细接口!$AD593=0,"",[2]对账明细接口!$AD593),"")</f>
        <v/>
      </c>
    </row>
    <row r="593" customFormat="false" ht="13.5" hidden="false" customHeight="false" outlineLevel="0" collapsed="false">
      <c r="A593" s="109" t="n">
        <v>593</v>
      </c>
      <c r="B593" s="110" t="str">
        <f aca="false">IFERROR(IF([2]对账明细接口!$B$593=0,"",[2]对账明细接口!$B$593),"")</f>
        <v/>
      </c>
      <c r="C593" s="59" t="str">
        <f aca="false">IFERROR(IF([2]对账明细接口!$C$593=0,"",[2]对账明细接口!$C$593),"")</f>
        <v/>
      </c>
      <c r="D593" s="59" t="str">
        <f aca="false">IFERROR(IF([2]对账明细接口!$D$593=0,"",[2]对账明细接口!$D$593),"")</f>
        <v/>
      </c>
      <c r="E593" s="59" t="str">
        <f aca="false">IFERROR(IF([2]对账明细接口!$E$593=0,"",[2]对账明细接口!$E$593),"")</f>
        <v/>
      </c>
      <c r="F593" s="59" t="str">
        <f aca="false">IFERROR(IF([2]对账明细接口!$F$593=0,"",[2]对账明细接口!$F$593),"")</f>
        <v/>
      </c>
      <c r="G593" s="59" t="str">
        <f aca="false">IFERROR(IF([2]对账明细接口!$G$593=0,"",[2]对账明细接口!$G$593),"")</f>
        <v/>
      </c>
      <c r="H593" s="60" t="str">
        <f aca="false">IFERROR(IF([2]对账明细接口!$H$593=0,"",[2]对账明细接口!$H$593),"")</f>
        <v/>
      </c>
      <c r="I593" s="59" t="str">
        <f aca="false">IFERROR(IF([2]对账明细接口!$I$593=0,"",[2]对账明细接口!$I$593),"")</f>
        <v/>
      </c>
      <c r="J593" s="61" t="str">
        <f aca="false">IFERROR(IF([2]对账明细接口!$J$593=0,"",[2]对账明细接口!$J$593),"")</f>
        <v/>
      </c>
      <c r="K593" s="61" t="str">
        <f aca="false">IFERROR(IF([2]对账明细接口!$K$593=0,"",[2]对账明细接口!$K$593),"")</f>
        <v/>
      </c>
      <c r="L593" s="59" t="str">
        <f aca="false">IFERROR(IF([2]对账明细接口!$L$593=0,"",[2]对账明细接口!$L$593),"")</f>
        <v/>
      </c>
      <c r="M593" s="59" t="str">
        <f aca="false">IFERROR(IF([2]对账明细接口!$M$593=0,"",[2]对账明细接口!$M$593),"")</f>
        <v/>
      </c>
      <c r="N593" s="111" t="n">
        <f aca="false">IF($C593="",0,1)</f>
        <v>0</v>
      </c>
      <c r="O593" s="111" t="n">
        <f aca="false">N(O592)+$N593</f>
        <v>311</v>
      </c>
      <c r="S593" s="10" t="str">
        <f aca="false">IFERROR(IF([2]对账明细接口!$N593=0,"",[2]对账明细接口!$N593),"")</f>
        <v/>
      </c>
      <c r="T593" s="112" t="str">
        <f aca="false">IFERROR(IF([2]对账明细接口!$O593=0,"",[2]对账明细接口!$O593),"")</f>
        <v/>
      </c>
      <c r="U593" s="112" t="str">
        <f aca="false">IFERROR(IF([2]对账明细接口!$P593=0,"",[2]对账明细接口!$P593),"")</f>
        <v/>
      </c>
      <c r="V593" s="112" t="str">
        <f aca="false">IFERROR(IF([2]对账明细接口!$Q593=0,"",[2]对账明细接口!$Q593),"")</f>
        <v/>
      </c>
      <c r="W593" s="10" t="str">
        <f aca="false">IFERROR(IF([2]对账明细接口!$R593=0,"",[2]对账明细接口!$R593),"")</f>
        <v/>
      </c>
      <c r="X593" s="10" t="str">
        <f aca="false">IFERROR(IF([2]对账明细接口!$S593=0,"",[2]对账明细接口!$S593),"")</f>
        <v/>
      </c>
      <c r="Y593" s="10" t="str">
        <f aca="false">IFERROR(IF([2]对账明细接口!$T593=0,"",[2]对账明细接口!$T593),"")</f>
        <v/>
      </c>
      <c r="Z593" s="113" t="str">
        <f aca="false">IFERROR(IF([2]对账明细接口!$U593=0,"",[2]对账明细接口!$U593),"")</f>
        <v/>
      </c>
      <c r="AA593" s="113" t="str">
        <f aca="false">IFERROR(IF([2]对账明细接口!$V593=0,"",[2]对账明细接口!$V593),"")</f>
        <v/>
      </c>
      <c r="AB593" s="10" t="str">
        <f aca="false">IFERROR(IF([2]对账明细接口!$W593=0,"",[2]对账明细接口!$W593),"")</f>
        <v/>
      </c>
      <c r="AC593" s="90" t="str">
        <f aca="false">IFERROR(IF([2]对账明细接口!$X594=0,"",[2]对账明细接口!$X594),"")</f>
        <v/>
      </c>
      <c r="AD593" s="90" t="str">
        <f aca="false">IFERROR(IF([2]对账明细接口!$Y594=0,"",[2]对账明细接口!$Y594),"")</f>
        <v/>
      </c>
      <c r="AE593" s="90" t="str">
        <f aca="false">IFERROR(IF([2]对账明细接口!$AA594=0,"",[2]对账明细接口!$AA594),"")</f>
        <v/>
      </c>
      <c r="AF593" s="90" t="str">
        <f aca="false">IFERROR(IF([2]对账明细接口!$AB594=0,"",[2]对账明细接口!$AB594),"")</f>
        <v/>
      </c>
      <c r="AG593" s="90" t="str">
        <f aca="false">IFERROR(IF([2]对账明细接口!$AC594=0,"",[2]对账明细接口!$AC594),"")</f>
        <v/>
      </c>
      <c r="AH593" s="90" t="str">
        <f aca="false">IFERROR(IF([2]对账明细接口!$AD594=0,"",[2]对账明细接口!$AD594),"")</f>
        <v/>
      </c>
    </row>
    <row r="594" customFormat="false" ht="13.5" hidden="false" customHeight="false" outlineLevel="0" collapsed="false">
      <c r="A594" s="109" t="n">
        <v>594</v>
      </c>
      <c r="B594" s="110" t="str">
        <f aca="false">IFERROR(IF([2]对账明细接口!$B$594=0,"",[2]对账明细接口!$B$594),"")</f>
        <v/>
      </c>
      <c r="C594" s="59" t="str">
        <f aca="false">IFERROR(IF([2]对账明细接口!$C$594=0,"",[2]对账明细接口!$C$594),"")</f>
        <v/>
      </c>
      <c r="D594" s="59" t="str">
        <f aca="false">IFERROR(IF([2]对账明细接口!$D$594=0,"",[2]对账明细接口!$D$594),"")</f>
        <v/>
      </c>
      <c r="E594" s="59" t="str">
        <f aca="false">IFERROR(IF([2]对账明细接口!$E$594=0,"",[2]对账明细接口!$E$594),"")</f>
        <v/>
      </c>
      <c r="F594" s="59" t="str">
        <f aca="false">IFERROR(IF([2]对账明细接口!$F$594=0,"",[2]对账明细接口!$F$594),"")</f>
        <v/>
      </c>
      <c r="G594" s="59" t="str">
        <f aca="false">IFERROR(IF([2]对账明细接口!$G$594=0,"",[2]对账明细接口!$G$594),"")</f>
        <v/>
      </c>
      <c r="H594" s="60" t="str">
        <f aca="false">IFERROR(IF([2]对账明细接口!$H$594=0,"",[2]对账明细接口!$H$594),"")</f>
        <v/>
      </c>
      <c r="I594" s="59" t="str">
        <f aca="false">IFERROR(IF([2]对账明细接口!$I$594=0,"",[2]对账明细接口!$I$594),"")</f>
        <v/>
      </c>
      <c r="J594" s="61" t="str">
        <f aca="false">IFERROR(IF([2]对账明细接口!$J$594=0,"",[2]对账明细接口!$J$594),"")</f>
        <v/>
      </c>
      <c r="K594" s="61" t="str">
        <f aca="false">IFERROR(IF([2]对账明细接口!$K$594=0,"",[2]对账明细接口!$K$594),"")</f>
        <v/>
      </c>
      <c r="L594" s="59" t="str">
        <f aca="false">IFERROR(IF([2]对账明细接口!$L$594=0,"",[2]对账明细接口!$L$594),"")</f>
        <v/>
      </c>
      <c r="M594" s="59" t="str">
        <f aca="false">IFERROR(IF([2]对账明细接口!$M$594=0,"",[2]对账明细接口!$M$594),"")</f>
        <v/>
      </c>
      <c r="N594" s="111" t="n">
        <f aca="false">IF($C594="",0,1)</f>
        <v>0</v>
      </c>
      <c r="O594" s="111" t="n">
        <f aca="false">N(O593)+$N594</f>
        <v>311</v>
      </c>
      <c r="S594" s="10" t="str">
        <f aca="false">IFERROR(IF([2]对账明细接口!$N594=0,"",[2]对账明细接口!$N594),"")</f>
        <v/>
      </c>
      <c r="T594" s="112" t="str">
        <f aca="false">IFERROR(IF([2]对账明细接口!$O594=0,"",[2]对账明细接口!$O594),"")</f>
        <v/>
      </c>
      <c r="U594" s="112" t="str">
        <f aca="false">IFERROR(IF([2]对账明细接口!$P594=0,"",[2]对账明细接口!$P594),"")</f>
        <v/>
      </c>
      <c r="V594" s="112" t="str">
        <f aca="false">IFERROR(IF([2]对账明细接口!$Q594=0,"",[2]对账明细接口!$Q594),"")</f>
        <v/>
      </c>
      <c r="W594" s="10" t="str">
        <f aca="false">IFERROR(IF([2]对账明细接口!$R594=0,"",[2]对账明细接口!$R594),"")</f>
        <v/>
      </c>
      <c r="X594" s="10" t="str">
        <f aca="false">IFERROR(IF([2]对账明细接口!$S594=0,"",[2]对账明细接口!$S594),"")</f>
        <v/>
      </c>
      <c r="Y594" s="10" t="str">
        <f aca="false">IFERROR(IF([2]对账明细接口!$T594=0,"",[2]对账明细接口!$T594),"")</f>
        <v/>
      </c>
      <c r="Z594" s="113" t="str">
        <f aca="false">IFERROR(IF([2]对账明细接口!$U594=0,"",[2]对账明细接口!$U594),"")</f>
        <v/>
      </c>
      <c r="AA594" s="113" t="str">
        <f aca="false">IFERROR(IF([2]对账明细接口!$V594=0,"",[2]对账明细接口!$V594),"")</f>
        <v/>
      </c>
      <c r="AB594" s="10" t="str">
        <f aca="false">IFERROR(IF([2]对账明细接口!$W594=0,"",[2]对账明细接口!$W594),"")</f>
        <v/>
      </c>
      <c r="AC594" s="90" t="str">
        <f aca="false">IFERROR(IF([2]对账明细接口!$X595=0,"",[2]对账明细接口!$X595),"")</f>
        <v/>
      </c>
      <c r="AD594" s="90" t="str">
        <f aca="false">IFERROR(IF([2]对账明细接口!$Y595=0,"",[2]对账明细接口!$Y595),"")</f>
        <v/>
      </c>
      <c r="AE594" s="90" t="str">
        <f aca="false">IFERROR(IF([2]对账明细接口!$AA595=0,"",[2]对账明细接口!$AA595),"")</f>
        <v/>
      </c>
      <c r="AF594" s="90" t="str">
        <f aca="false">IFERROR(IF([2]对账明细接口!$AB595=0,"",[2]对账明细接口!$AB595),"")</f>
        <v/>
      </c>
      <c r="AG594" s="90" t="str">
        <f aca="false">IFERROR(IF([2]对账明细接口!$AC595=0,"",[2]对账明细接口!$AC595),"")</f>
        <v/>
      </c>
      <c r="AH594" s="90" t="str">
        <f aca="false">IFERROR(IF([2]对账明细接口!$AD595=0,"",[2]对账明细接口!$AD595),"")</f>
        <v/>
      </c>
    </row>
    <row r="595" customFormat="false" ht="13.5" hidden="false" customHeight="false" outlineLevel="0" collapsed="false">
      <c r="A595" s="109" t="n">
        <v>595</v>
      </c>
      <c r="B595" s="110" t="str">
        <f aca="false">IFERROR(IF([2]对账明细接口!$B$595=0,"",[2]对账明细接口!$B$595),"")</f>
        <v/>
      </c>
      <c r="C595" s="59" t="str">
        <f aca="false">IFERROR(IF([2]对账明细接口!$C$595=0,"",[2]对账明细接口!$C$595),"")</f>
        <v/>
      </c>
      <c r="D595" s="59" t="str">
        <f aca="false">IFERROR(IF([2]对账明细接口!$D$595=0,"",[2]对账明细接口!$D$595),"")</f>
        <v/>
      </c>
      <c r="E595" s="59" t="str">
        <f aca="false">IFERROR(IF([2]对账明细接口!$E$595=0,"",[2]对账明细接口!$E$595),"")</f>
        <v/>
      </c>
      <c r="F595" s="59" t="str">
        <f aca="false">IFERROR(IF([2]对账明细接口!$F$595=0,"",[2]对账明细接口!$F$595),"")</f>
        <v/>
      </c>
      <c r="G595" s="59" t="str">
        <f aca="false">IFERROR(IF([2]对账明细接口!$G$595=0,"",[2]对账明细接口!$G$595),"")</f>
        <v/>
      </c>
      <c r="H595" s="60" t="str">
        <f aca="false">IFERROR(IF([2]对账明细接口!$H$595=0,"",[2]对账明细接口!$H$595),"")</f>
        <v/>
      </c>
      <c r="I595" s="59" t="str">
        <f aca="false">IFERROR(IF([2]对账明细接口!$I$595=0,"",[2]对账明细接口!$I$595),"")</f>
        <v/>
      </c>
      <c r="J595" s="61" t="str">
        <f aca="false">IFERROR(IF([2]对账明细接口!$J$595=0,"",[2]对账明细接口!$J$595),"")</f>
        <v/>
      </c>
      <c r="K595" s="61" t="str">
        <f aca="false">IFERROR(IF([2]对账明细接口!$K$595=0,"",[2]对账明细接口!$K$595),"")</f>
        <v/>
      </c>
      <c r="L595" s="59" t="str">
        <f aca="false">IFERROR(IF([2]对账明细接口!$L$595=0,"",[2]对账明细接口!$L$595),"")</f>
        <v/>
      </c>
      <c r="M595" s="59" t="str">
        <f aca="false">IFERROR(IF([2]对账明细接口!$M$595=0,"",[2]对账明细接口!$M$595),"")</f>
        <v/>
      </c>
      <c r="N595" s="111" t="n">
        <f aca="false">IF($C595="",0,1)</f>
        <v>0</v>
      </c>
      <c r="O595" s="111" t="n">
        <f aca="false">N(O594)+$N595</f>
        <v>311</v>
      </c>
      <c r="S595" s="10" t="str">
        <f aca="false">IFERROR(IF([2]对账明细接口!$N595=0,"",[2]对账明细接口!$N595),"")</f>
        <v/>
      </c>
      <c r="T595" s="112" t="str">
        <f aca="false">IFERROR(IF([2]对账明细接口!$O595=0,"",[2]对账明细接口!$O595),"")</f>
        <v/>
      </c>
      <c r="U595" s="112" t="str">
        <f aca="false">IFERROR(IF([2]对账明细接口!$P595=0,"",[2]对账明细接口!$P595),"")</f>
        <v/>
      </c>
      <c r="V595" s="112" t="str">
        <f aca="false">IFERROR(IF([2]对账明细接口!$Q595=0,"",[2]对账明细接口!$Q595),"")</f>
        <v/>
      </c>
      <c r="W595" s="10" t="str">
        <f aca="false">IFERROR(IF([2]对账明细接口!$R595=0,"",[2]对账明细接口!$R595),"")</f>
        <v/>
      </c>
      <c r="X595" s="10" t="str">
        <f aca="false">IFERROR(IF([2]对账明细接口!$S595=0,"",[2]对账明细接口!$S595),"")</f>
        <v/>
      </c>
      <c r="Y595" s="10" t="str">
        <f aca="false">IFERROR(IF([2]对账明细接口!$T595=0,"",[2]对账明细接口!$T595),"")</f>
        <v/>
      </c>
      <c r="Z595" s="113" t="str">
        <f aca="false">IFERROR(IF([2]对账明细接口!$U595=0,"",[2]对账明细接口!$U595),"")</f>
        <v/>
      </c>
      <c r="AA595" s="113" t="str">
        <f aca="false">IFERROR(IF([2]对账明细接口!$V595=0,"",[2]对账明细接口!$V595),"")</f>
        <v/>
      </c>
      <c r="AB595" s="10" t="str">
        <f aca="false">IFERROR(IF([2]对账明细接口!$W595=0,"",[2]对账明细接口!$W595),"")</f>
        <v/>
      </c>
      <c r="AC595" s="90" t="str">
        <f aca="false">IFERROR(IF([2]对账明细接口!$X596=0,"",[2]对账明细接口!$X596),"")</f>
        <v/>
      </c>
      <c r="AD595" s="90" t="str">
        <f aca="false">IFERROR(IF([2]对账明细接口!$Y596=0,"",[2]对账明细接口!$Y596),"")</f>
        <v/>
      </c>
      <c r="AE595" s="90" t="str">
        <f aca="false">IFERROR(IF([2]对账明细接口!$AA596=0,"",[2]对账明细接口!$AA596),"")</f>
        <v/>
      </c>
      <c r="AF595" s="90" t="str">
        <f aca="false">IFERROR(IF([2]对账明细接口!$AB596=0,"",[2]对账明细接口!$AB596),"")</f>
        <v/>
      </c>
      <c r="AG595" s="90" t="str">
        <f aca="false">IFERROR(IF([2]对账明细接口!$AC596=0,"",[2]对账明细接口!$AC596),"")</f>
        <v/>
      </c>
      <c r="AH595" s="90" t="str">
        <f aca="false">IFERROR(IF([2]对账明细接口!$AD596=0,"",[2]对账明细接口!$AD596),"")</f>
        <v/>
      </c>
    </row>
    <row r="596" customFormat="false" ht="13.5" hidden="false" customHeight="false" outlineLevel="0" collapsed="false">
      <c r="A596" s="109" t="n">
        <v>596</v>
      </c>
      <c r="B596" s="110" t="str">
        <f aca="false">IFERROR(IF([2]对账明细接口!$B$596=0,"",[2]对账明细接口!$B$596),"")</f>
        <v/>
      </c>
      <c r="C596" s="59" t="str">
        <f aca="false">IFERROR(IF([2]对账明细接口!$C$596=0,"",[2]对账明细接口!$C$596),"")</f>
        <v/>
      </c>
      <c r="D596" s="59" t="str">
        <f aca="false">IFERROR(IF([2]对账明细接口!$D$596=0,"",[2]对账明细接口!$D$596),"")</f>
        <v/>
      </c>
      <c r="E596" s="59" t="str">
        <f aca="false">IFERROR(IF([2]对账明细接口!$E$596=0,"",[2]对账明细接口!$E$596),"")</f>
        <v/>
      </c>
      <c r="F596" s="59" t="str">
        <f aca="false">IFERROR(IF([2]对账明细接口!$F$596=0,"",[2]对账明细接口!$F$596),"")</f>
        <v/>
      </c>
      <c r="G596" s="59" t="str">
        <f aca="false">IFERROR(IF([2]对账明细接口!$G$596=0,"",[2]对账明细接口!$G$596),"")</f>
        <v/>
      </c>
      <c r="H596" s="60" t="str">
        <f aca="false">IFERROR(IF([2]对账明细接口!$H$596=0,"",[2]对账明细接口!$H$596),"")</f>
        <v/>
      </c>
      <c r="I596" s="59" t="str">
        <f aca="false">IFERROR(IF([2]对账明细接口!$I$596=0,"",[2]对账明细接口!$I$596),"")</f>
        <v/>
      </c>
      <c r="J596" s="61" t="str">
        <f aca="false">IFERROR(IF([2]对账明细接口!$J$596=0,"",[2]对账明细接口!$J$596),"")</f>
        <v/>
      </c>
      <c r="K596" s="61" t="str">
        <f aca="false">IFERROR(IF([2]对账明细接口!$K$596=0,"",[2]对账明细接口!$K$596),"")</f>
        <v/>
      </c>
      <c r="L596" s="59" t="str">
        <f aca="false">IFERROR(IF([2]对账明细接口!$L$596=0,"",[2]对账明细接口!$L$596),"")</f>
        <v/>
      </c>
      <c r="M596" s="59" t="str">
        <f aca="false">IFERROR(IF([2]对账明细接口!$M$596=0,"",[2]对账明细接口!$M$596),"")</f>
        <v/>
      </c>
      <c r="N596" s="111" t="n">
        <f aca="false">IF($C596="",0,1)</f>
        <v>0</v>
      </c>
      <c r="O596" s="111" t="n">
        <f aca="false">N(O595)+$N596</f>
        <v>311</v>
      </c>
      <c r="S596" s="10" t="str">
        <f aca="false">IFERROR(IF([2]对账明细接口!$N596=0,"",[2]对账明细接口!$N596),"")</f>
        <v/>
      </c>
      <c r="T596" s="112" t="str">
        <f aca="false">IFERROR(IF([2]对账明细接口!$O596=0,"",[2]对账明细接口!$O596),"")</f>
        <v/>
      </c>
      <c r="U596" s="112" t="str">
        <f aca="false">IFERROR(IF([2]对账明细接口!$P596=0,"",[2]对账明细接口!$P596),"")</f>
        <v/>
      </c>
      <c r="V596" s="112" t="str">
        <f aca="false">IFERROR(IF([2]对账明细接口!$Q596=0,"",[2]对账明细接口!$Q596),"")</f>
        <v/>
      </c>
      <c r="W596" s="10" t="str">
        <f aca="false">IFERROR(IF([2]对账明细接口!$R596=0,"",[2]对账明细接口!$R596),"")</f>
        <v/>
      </c>
      <c r="X596" s="10" t="str">
        <f aca="false">IFERROR(IF([2]对账明细接口!$S596=0,"",[2]对账明细接口!$S596),"")</f>
        <v/>
      </c>
      <c r="Y596" s="10" t="str">
        <f aca="false">IFERROR(IF([2]对账明细接口!$T596=0,"",[2]对账明细接口!$T596),"")</f>
        <v/>
      </c>
      <c r="Z596" s="113" t="str">
        <f aca="false">IFERROR(IF([2]对账明细接口!$U596=0,"",[2]对账明细接口!$U596),"")</f>
        <v/>
      </c>
      <c r="AA596" s="113" t="str">
        <f aca="false">IFERROR(IF([2]对账明细接口!$V596=0,"",[2]对账明细接口!$V596),"")</f>
        <v/>
      </c>
      <c r="AB596" s="10" t="str">
        <f aca="false">IFERROR(IF([2]对账明细接口!$W596=0,"",[2]对账明细接口!$W596),"")</f>
        <v/>
      </c>
      <c r="AC596" s="90" t="str">
        <f aca="false">IFERROR(IF([2]对账明细接口!$X597=0,"",[2]对账明细接口!$X597),"")</f>
        <v/>
      </c>
      <c r="AD596" s="90" t="str">
        <f aca="false">IFERROR(IF([2]对账明细接口!$Y597=0,"",[2]对账明细接口!$Y597),"")</f>
        <v/>
      </c>
      <c r="AE596" s="90" t="str">
        <f aca="false">IFERROR(IF([2]对账明细接口!$AA597=0,"",[2]对账明细接口!$AA597),"")</f>
        <v/>
      </c>
      <c r="AF596" s="90" t="str">
        <f aca="false">IFERROR(IF([2]对账明细接口!$AB597=0,"",[2]对账明细接口!$AB597),"")</f>
        <v/>
      </c>
      <c r="AG596" s="90" t="str">
        <f aca="false">IFERROR(IF([2]对账明细接口!$AC597=0,"",[2]对账明细接口!$AC597),"")</f>
        <v/>
      </c>
      <c r="AH596" s="90" t="str">
        <f aca="false">IFERROR(IF([2]对账明细接口!$AD597=0,"",[2]对账明细接口!$AD597),"")</f>
        <v/>
      </c>
    </row>
    <row r="597" customFormat="false" ht="13.5" hidden="false" customHeight="false" outlineLevel="0" collapsed="false">
      <c r="A597" s="109" t="n">
        <v>597</v>
      </c>
      <c r="B597" s="110" t="str">
        <f aca="false">IFERROR(IF([2]对账明细接口!$B$597=0,"",[2]对账明细接口!$B$597),"")</f>
        <v/>
      </c>
      <c r="C597" s="59" t="str">
        <f aca="false">IFERROR(IF([2]对账明细接口!$C$597=0,"",[2]对账明细接口!$C$597),"")</f>
        <v/>
      </c>
      <c r="D597" s="59" t="str">
        <f aca="false">IFERROR(IF([2]对账明细接口!$D$597=0,"",[2]对账明细接口!$D$597),"")</f>
        <v/>
      </c>
      <c r="E597" s="59" t="str">
        <f aca="false">IFERROR(IF([2]对账明细接口!$E$597=0,"",[2]对账明细接口!$E$597),"")</f>
        <v/>
      </c>
      <c r="F597" s="59" t="str">
        <f aca="false">IFERROR(IF([2]对账明细接口!$F$597=0,"",[2]对账明细接口!$F$597),"")</f>
        <v/>
      </c>
      <c r="G597" s="59" t="str">
        <f aca="false">IFERROR(IF([2]对账明细接口!$G$597=0,"",[2]对账明细接口!$G$597),"")</f>
        <v/>
      </c>
      <c r="H597" s="60" t="str">
        <f aca="false">IFERROR(IF([2]对账明细接口!$H$597=0,"",[2]对账明细接口!$H$597),"")</f>
        <v/>
      </c>
      <c r="I597" s="59" t="str">
        <f aca="false">IFERROR(IF([2]对账明细接口!$I$597=0,"",[2]对账明细接口!$I$597),"")</f>
        <v/>
      </c>
      <c r="J597" s="61" t="str">
        <f aca="false">IFERROR(IF([2]对账明细接口!$J$597=0,"",[2]对账明细接口!$J$597),"")</f>
        <v/>
      </c>
      <c r="K597" s="61" t="str">
        <f aca="false">IFERROR(IF([2]对账明细接口!$K$597=0,"",[2]对账明细接口!$K$597),"")</f>
        <v/>
      </c>
      <c r="L597" s="59" t="str">
        <f aca="false">IFERROR(IF([2]对账明细接口!$L$597=0,"",[2]对账明细接口!$L$597),"")</f>
        <v/>
      </c>
      <c r="M597" s="59" t="str">
        <f aca="false">IFERROR(IF([2]对账明细接口!$M$597=0,"",[2]对账明细接口!$M$597),"")</f>
        <v/>
      </c>
      <c r="N597" s="111" t="n">
        <f aca="false">IF($C597="",0,1)</f>
        <v>0</v>
      </c>
      <c r="O597" s="111" t="n">
        <f aca="false">N(O596)+$N597</f>
        <v>311</v>
      </c>
      <c r="S597" s="10" t="str">
        <f aca="false">IFERROR(IF([2]对账明细接口!$N597=0,"",[2]对账明细接口!$N597),"")</f>
        <v/>
      </c>
      <c r="T597" s="112" t="str">
        <f aca="false">IFERROR(IF([2]对账明细接口!$O597=0,"",[2]对账明细接口!$O597),"")</f>
        <v/>
      </c>
      <c r="U597" s="112" t="str">
        <f aca="false">IFERROR(IF([2]对账明细接口!$P597=0,"",[2]对账明细接口!$P597),"")</f>
        <v/>
      </c>
      <c r="V597" s="112" t="str">
        <f aca="false">IFERROR(IF([2]对账明细接口!$Q597=0,"",[2]对账明细接口!$Q597),"")</f>
        <v/>
      </c>
      <c r="W597" s="10" t="str">
        <f aca="false">IFERROR(IF([2]对账明细接口!$R597=0,"",[2]对账明细接口!$R597),"")</f>
        <v/>
      </c>
      <c r="X597" s="10" t="str">
        <f aca="false">IFERROR(IF([2]对账明细接口!$S597=0,"",[2]对账明细接口!$S597),"")</f>
        <v/>
      </c>
      <c r="Y597" s="10" t="str">
        <f aca="false">IFERROR(IF([2]对账明细接口!$T597=0,"",[2]对账明细接口!$T597),"")</f>
        <v/>
      </c>
      <c r="Z597" s="113" t="str">
        <f aca="false">IFERROR(IF([2]对账明细接口!$U597=0,"",[2]对账明细接口!$U597),"")</f>
        <v/>
      </c>
      <c r="AA597" s="113" t="str">
        <f aca="false">IFERROR(IF([2]对账明细接口!$V597=0,"",[2]对账明细接口!$V597),"")</f>
        <v/>
      </c>
      <c r="AB597" s="10" t="str">
        <f aca="false">IFERROR(IF([2]对账明细接口!$W597=0,"",[2]对账明细接口!$W597),"")</f>
        <v/>
      </c>
      <c r="AC597" s="90" t="str">
        <f aca="false">IFERROR(IF([2]对账明细接口!$X598=0,"",[2]对账明细接口!$X598),"")</f>
        <v/>
      </c>
      <c r="AD597" s="90" t="str">
        <f aca="false">IFERROR(IF([2]对账明细接口!$Y598=0,"",[2]对账明细接口!$Y598),"")</f>
        <v/>
      </c>
      <c r="AE597" s="90" t="str">
        <f aca="false">IFERROR(IF([2]对账明细接口!$AA598=0,"",[2]对账明细接口!$AA598),"")</f>
        <v/>
      </c>
      <c r="AF597" s="90" t="str">
        <f aca="false">IFERROR(IF([2]对账明细接口!$AB598=0,"",[2]对账明细接口!$AB598),"")</f>
        <v/>
      </c>
      <c r="AG597" s="90" t="str">
        <f aca="false">IFERROR(IF([2]对账明细接口!$AC598=0,"",[2]对账明细接口!$AC598),"")</f>
        <v/>
      </c>
      <c r="AH597" s="90" t="str">
        <f aca="false">IFERROR(IF([2]对账明细接口!$AD598=0,"",[2]对账明细接口!$AD598),"")</f>
        <v/>
      </c>
    </row>
    <row r="598" customFormat="false" ht="13.5" hidden="false" customHeight="false" outlineLevel="0" collapsed="false">
      <c r="A598" s="109" t="n">
        <v>598</v>
      </c>
      <c r="B598" s="110" t="str">
        <f aca="false">IFERROR(IF([2]对账明细接口!$B$598=0,"",[2]对账明细接口!$B$598),"")</f>
        <v/>
      </c>
      <c r="C598" s="59" t="str">
        <f aca="false">IFERROR(IF([2]对账明细接口!$C$598=0,"",[2]对账明细接口!$C$598),"")</f>
        <v/>
      </c>
      <c r="D598" s="59" t="str">
        <f aca="false">IFERROR(IF([2]对账明细接口!$D$598=0,"",[2]对账明细接口!$D$598),"")</f>
        <v/>
      </c>
      <c r="E598" s="59" t="str">
        <f aca="false">IFERROR(IF([2]对账明细接口!$E$598=0,"",[2]对账明细接口!$E$598),"")</f>
        <v/>
      </c>
      <c r="F598" s="59" t="str">
        <f aca="false">IFERROR(IF([2]对账明细接口!$F$598=0,"",[2]对账明细接口!$F$598),"")</f>
        <v/>
      </c>
      <c r="G598" s="59" t="str">
        <f aca="false">IFERROR(IF([2]对账明细接口!$G$598=0,"",[2]对账明细接口!$G$598),"")</f>
        <v/>
      </c>
      <c r="H598" s="60" t="str">
        <f aca="false">IFERROR(IF([2]对账明细接口!$H$598=0,"",[2]对账明细接口!$H$598),"")</f>
        <v/>
      </c>
      <c r="I598" s="59" t="str">
        <f aca="false">IFERROR(IF([2]对账明细接口!$I$598=0,"",[2]对账明细接口!$I$598),"")</f>
        <v/>
      </c>
      <c r="J598" s="61" t="str">
        <f aca="false">IFERROR(IF([2]对账明细接口!$J$598=0,"",[2]对账明细接口!$J$598),"")</f>
        <v/>
      </c>
      <c r="K598" s="61" t="str">
        <f aca="false">IFERROR(IF([2]对账明细接口!$K$598=0,"",[2]对账明细接口!$K$598),"")</f>
        <v/>
      </c>
      <c r="L598" s="59" t="str">
        <f aca="false">IFERROR(IF([2]对账明细接口!$L$598=0,"",[2]对账明细接口!$L$598),"")</f>
        <v/>
      </c>
      <c r="M598" s="59" t="str">
        <f aca="false">IFERROR(IF([2]对账明细接口!$M$598=0,"",[2]对账明细接口!$M$598),"")</f>
        <v/>
      </c>
      <c r="N598" s="111" t="n">
        <f aca="false">IF($C598="",0,1)</f>
        <v>0</v>
      </c>
      <c r="O598" s="111" t="n">
        <f aca="false">N(O597)+$N598</f>
        <v>311</v>
      </c>
      <c r="S598" s="10" t="str">
        <f aca="false">IFERROR(IF([2]对账明细接口!$N598=0,"",[2]对账明细接口!$N598),"")</f>
        <v/>
      </c>
      <c r="T598" s="112" t="str">
        <f aca="false">IFERROR(IF([2]对账明细接口!$O598=0,"",[2]对账明细接口!$O598),"")</f>
        <v/>
      </c>
      <c r="U598" s="112" t="str">
        <f aca="false">IFERROR(IF([2]对账明细接口!$P598=0,"",[2]对账明细接口!$P598),"")</f>
        <v/>
      </c>
      <c r="V598" s="112" t="str">
        <f aca="false">IFERROR(IF([2]对账明细接口!$Q598=0,"",[2]对账明细接口!$Q598),"")</f>
        <v/>
      </c>
      <c r="W598" s="10" t="str">
        <f aca="false">IFERROR(IF([2]对账明细接口!$R598=0,"",[2]对账明细接口!$R598),"")</f>
        <v/>
      </c>
      <c r="X598" s="10" t="str">
        <f aca="false">IFERROR(IF([2]对账明细接口!$S598=0,"",[2]对账明细接口!$S598),"")</f>
        <v/>
      </c>
      <c r="Y598" s="10" t="str">
        <f aca="false">IFERROR(IF([2]对账明细接口!$T598=0,"",[2]对账明细接口!$T598),"")</f>
        <v/>
      </c>
      <c r="Z598" s="113" t="str">
        <f aca="false">IFERROR(IF([2]对账明细接口!$U598=0,"",[2]对账明细接口!$U598),"")</f>
        <v/>
      </c>
      <c r="AA598" s="113" t="str">
        <f aca="false">IFERROR(IF([2]对账明细接口!$V598=0,"",[2]对账明细接口!$V598),"")</f>
        <v/>
      </c>
      <c r="AB598" s="10" t="str">
        <f aca="false">IFERROR(IF([2]对账明细接口!$W598=0,"",[2]对账明细接口!$W598),"")</f>
        <v/>
      </c>
      <c r="AC598" s="90" t="str">
        <f aca="false">IFERROR(IF([2]对账明细接口!$X599=0,"",[2]对账明细接口!$X599),"")</f>
        <v/>
      </c>
      <c r="AD598" s="90" t="str">
        <f aca="false">IFERROR(IF([2]对账明细接口!$Y599=0,"",[2]对账明细接口!$Y599),"")</f>
        <v/>
      </c>
      <c r="AE598" s="90" t="str">
        <f aca="false">IFERROR(IF([2]对账明细接口!$AA599=0,"",[2]对账明细接口!$AA599),"")</f>
        <v/>
      </c>
      <c r="AF598" s="90" t="str">
        <f aca="false">IFERROR(IF([2]对账明细接口!$AB599=0,"",[2]对账明细接口!$AB599),"")</f>
        <v/>
      </c>
      <c r="AG598" s="90" t="str">
        <f aca="false">IFERROR(IF([2]对账明细接口!$AC599=0,"",[2]对账明细接口!$AC599),"")</f>
        <v/>
      </c>
      <c r="AH598" s="90" t="str">
        <f aca="false">IFERROR(IF([2]对账明细接口!$AD599=0,"",[2]对账明细接口!$AD599),"")</f>
        <v/>
      </c>
    </row>
    <row r="599" customFormat="false" ht="13.5" hidden="false" customHeight="false" outlineLevel="0" collapsed="false">
      <c r="A599" s="109" t="n">
        <v>599</v>
      </c>
      <c r="B599" s="110" t="str">
        <f aca="false">IFERROR(IF([2]对账明细接口!$B$599=0,"",[2]对账明细接口!$B$599),"")</f>
        <v/>
      </c>
      <c r="C599" s="59" t="str">
        <f aca="false">IFERROR(IF([2]对账明细接口!$C$599=0,"",[2]对账明细接口!$C$599),"")</f>
        <v/>
      </c>
      <c r="D599" s="59" t="str">
        <f aca="false">IFERROR(IF([2]对账明细接口!$D$599=0,"",[2]对账明细接口!$D$599),"")</f>
        <v/>
      </c>
      <c r="E599" s="59" t="str">
        <f aca="false">IFERROR(IF([2]对账明细接口!$E$599=0,"",[2]对账明细接口!$E$599),"")</f>
        <v/>
      </c>
      <c r="F599" s="59" t="str">
        <f aca="false">IFERROR(IF([2]对账明细接口!$F$599=0,"",[2]对账明细接口!$F$599),"")</f>
        <v/>
      </c>
      <c r="G599" s="59" t="str">
        <f aca="false">IFERROR(IF([2]对账明细接口!$G$599=0,"",[2]对账明细接口!$G$599),"")</f>
        <v/>
      </c>
      <c r="H599" s="60" t="str">
        <f aca="false">IFERROR(IF([2]对账明细接口!$H$599=0,"",[2]对账明细接口!$H$599),"")</f>
        <v/>
      </c>
      <c r="I599" s="59" t="str">
        <f aca="false">IFERROR(IF([2]对账明细接口!$I$599=0,"",[2]对账明细接口!$I$599),"")</f>
        <v/>
      </c>
      <c r="J599" s="61" t="str">
        <f aca="false">IFERROR(IF([2]对账明细接口!$J$599=0,"",[2]对账明细接口!$J$599),"")</f>
        <v/>
      </c>
      <c r="K599" s="61" t="str">
        <f aca="false">IFERROR(IF([2]对账明细接口!$K$599=0,"",[2]对账明细接口!$K$599),"")</f>
        <v/>
      </c>
      <c r="L599" s="59" t="str">
        <f aca="false">IFERROR(IF([2]对账明细接口!$L$599=0,"",[2]对账明细接口!$L$599),"")</f>
        <v/>
      </c>
      <c r="M599" s="59" t="str">
        <f aca="false">IFERROR(IF([2]对账明细接口!$M$599=0,"",[2]对账明细接口!$M$599),"")</f>
        <v/>
      </c>
      <c r="N599" s="111" t="n">
        <f aca="false">IF($C599="",0,1)</f>
        <v>0</v>
      </c>
      <c r="O599" s="111" t="n">
        <f aca="false">N(O598)+$N599</f>
        <v>311</v>
      </c>
      <c r="S599" s="10" t="str">
        <f aca="false">IFERROR(IF([2]对账明细接口!$N599=0,"",[2]对账明细接口!$N599),"")</f>
        <v/>
      </c>
      <c r="T599" s="112" t="str">
        <f aca="false">IFERROR(IF([2]对账明细接口!$O599=0,"",[2]对账明细接口!$O599),"")</f>
        <v/>
      </c>
      <c r="U599" s="112" t="str">
        <f aca="false">IFERROR(IF([2]对账明细接口!$P599=0,"",[2]对账明细接口!$P599),"")</f>
        <v/>
      </c>
      <c r="V599" s="112" t="str">
        <f aca="false">IFERROR(IF([2]对账明细接口!$Q599=0,"",[2]对账明细接口!$Q599),"")</f>
        <v/>
      </c>
      <c r="W599" s="10" t="str">
        <f aca="false">IFERROR(IF([2]对账明细接口!$R599=0,"",[2]对账明细接口!$R599),"")</f>
        <v/>
      </c>
      <c r="X599" s="10" t="str">
        <f aca="false">IFERROR(IF([2]对账明细接口!$S599=0,"",[2]对账明细接口!$S599),"")</f>
        <v/>
      </c>
      <c r="Y599" s="10" t="str">
        <f aca="false">IFERROR(IF([2]对账明细接口!$T599=0,"",[2]对账明细接口!$T599),"")</f>
        <v/>
      </c>
      <c r="Z599" s="113" t="str">
        <f aca="false">IFERROR(IF([2]对账明细接口!$U599=0,"",[2]对账明细接口!$U599),"")</f>
        <v/>
      </c>
      <c r="AA599" s="113" t="str">
        <f aca="false">IFERROR(IF([2]对账明细接口!$V599=0,"",[2]对账明细接口!$V599),"")</f>
        <v/>
      </c>
      <c r="AB599" s="10" t="str">
        <f aca="false">IFERROR(IF([2]对账明细接口!$W599=0,"",[2]对账明细接口!$W599),"")</f>
        <v/>
      </c>
      <c r="AC599" s="90" t="str">
        <f aca="false">IFERROR(IF([2]对账明细接口!$X600=0,"",[2]对账明细接口!$X600),"")</f>
        <v/>
      </c>
      <c r="AD599" s="90" t="str">
        <f aca="false">IFERROR(IF([2]对账明细接口!$Y600=0,"",[2]对账明细接口!$Y600),"")</f>
        <v/>
      </c>
      <c r="AE599" s="90" t="str">
        <f aca="false">IFERROR(IF([2]对账明细接口!$AA600=0,"",[2]对账明细接口!$AA600),"")</f>
        <v/>
      </c>
      <c r="AF599" s="90" t="str">
        <f aca="false">IFERROR(IF([2]对账明细接口!$AB600=0,"",[2]对账明细接口!$AB600),"")</f>
        <v/>
      </c>
      <c r="AG599" s="90" t="str">
        <f aca="false">IFERROR(IF([2]对账明细接口!$AC600=0,"",[2]对账明细接口!$AC600),"")</f>
        <v/>
      </c>
      <c r="AH599" s="90" t="str">
        <f aca="false">IFERROR(IF([2]对账明细接口!$AD600=0,"",[2]对账明细接口!$AD600),"")</f>
        <v/>
      </c>
    </row>
    <row r="600" customFormat="false" ht="13.5" hidden="false" customHeight="false" outlineLevel="0" collapsed="false">
      <c r="A600" s="109" t="n">
        <v>600</v>
      </c>
      <c r="B600" s="110" t="str">
        <f aca="false">IFERROR(IF([2]对账明细接口!$B$600=0,"",[2]对账明细接口!$B$600),"")</f>
        <v/>
      </c>
      <c r="C600" s="59" t="str">
        <f aca="false">IFERROR(IF([2]对账明细接口!$C$600=0,"",[2]对账明细接口!$C$600),"")</f>
        <v/>
      </c>
      <c r="D600" s="59" t="str">
        <f aca="false">IFERROR(IF([2]对账明细接口!$D$600=0,"",[2]对账明细接口!$D$600),"")</f>
        <v/>
      </c>
      <c r="E600" s="59" t="str">
        <f aca="false">IFERROR(IF([2]对账明细接口!$E$600=0,"",[2]对账明细接口!$E$600),"")</f>
        <v/>
      </c>
      <c r="F600" s="59" t="str">
        <f aca="false">IFERROR(IF([2]对账明细接口!$F$600=0,"",[2]对账明细接口!$F$600),"")</f>
        <v/>
      </c>
      <c r="G600" s="59" t="str">
        <f aca="false">IFERROR(IF([2]对账明细接口!$G$600=0,"",[2]对账明细接口!$G$600),"")</f>
        <v/>
      </c>
      <c r="H600" s="60" t="str">
        <f aca="false">IFERROR(IF([2]对账明细接口!$H$600=0,"",[2]对账明细接口!$H$600),"")</f>
        <v/>
      </c>
      <c r="I600" s="59" t="str">
        <f aca="false">IFERROR(IF([2]对账明细接口!$I$600=0,"",[2]对账明细接口!$I$600),"")</f>
        <v/>
      </c>
      <c r="J600" s="61" t="str">
        <f aca="false">IFERROR(IF([2]对账明细接口!$J$600=0,"",[2]对账明细接口!$J$600),"")</f>
        <v/>
      </c>
      <c r="K600" s="61" t="str">
        <f aca="false">IFERROR(IF([2]对账明细接口!$K$600=0,"",[2]对账明细接口!$K$600),"")</f>
        <v/>
      </c>
      <c r="L600" s="59" t="str">
        <f aca="false">IFERROR(IF([2]对账明细接口!$L$600=0,"",[2]对账明细接口!$L$600),"")</f>
        <v/>
      </c>
      <c r="M600" s="59" t="str">
        <f aca="false">IFERROR(IF([2]对账明细接口!$M$600=0,"",[2]对账明细接口!$M$600),"")</f>
        <v/>
      </c>
      <c r="N600" s="111" t="n">
        <f aca="false">IF($C600="",0,1)</f>
        <v>0</v>
      </c>
      <c r="O600" s="111" t="n">
        <f aca="false">N(O599)+$N600</f>
        <v>311</v>
      </c>
      <c r="S600" s="10" t="str">
        <f aca="false">IFERROR(IF([2]对账明细接口!$N600=0,"",[2]对账明细接口!$N600),"")</f>
        <v/>
      </c>
      <c r="T600" s="112" t="str">
        <f aca="false">IFERROR(IF([2]对账明细接口!$O600=0,"",[2]对账明细接口!$O600),"")</f>
        <v/>
      </c>
      <c r="U600" s="112" t="str">
        <f aca="false">IFERROR(IF([2]对账明细接口!$P600=0,"",[2]对账明细接口!$P600),"")</f>
        <v/>
      </c>
      <c r="V600" s="112" t="str">
        <f aca="false">IFERROR(IF([2]对账明细接口!$Q600=0,"",[2]对账明细接口!$Q600),"")</f>
        <v/>
      </c>
      <c r="W600" s="10" t="str">
        <f aca="false">IFERROR(IF([2]对账明细接口!$R600=0,"",[2]对账明细接口!$R600),"")</f>
        <v/>
      </c>
      <c r="X600" s="10" t="str">
        <f aca="false">IFERROR(IF([2]对账明细接口!$S600=0,"",[2]对账明细接口!$S600),"")</f>
        <v/>
      </c>
      <c r="Y600" s="10" t="str">
        <f aca="false">IFERROR(IF([2]对账明细接口!$T600=0,"",[2]对账明细接口!$T600),"")</f>
        <v/>
      </c>
      <c r="Z600" s="113" t="str">
        <f aca="false">IFERROR(IF([2]对账明细接口!$U600=0,"",[2]对账明细接口!$U600),"")</f>
        <v/>
      </c>
      <c r="AA600" s="113" t="str">
        <f aca="false">IFERROR(IF([2]对账明细接口!$V600=0,"",[2]对账明细接口!$V600),"")</f>
        <v/>
      </c>
      <c r="AB600" s="10" t="str">
        <f aca="false">IFERROR(IF([2]对账明细接口!$W600=0,"",[2]对账明细接口!$W600),"")</f>
        <v/>
      </c>
      <c r="AC600" s="90" t="str">
        <f aca="false">IFERROR(IF([2]对账明细接口!$X601=0,"",[2]对账明细接口!$X601),"")</f>
        <v/>
      </c>
      <c r="AD600" s="90" t="str">
        <f aca="false">IFERROR(IF([2]对账明细接口!$Y601=0,"",[2]对账明细接口!$Y601),"")</f>
        <v/>
      </c>
      <c r="AE600" s="90" t="str">
        <f aca="false">IFERROR(IF([2]对账明细接口!$AA601=0,"",[2]对账明细接口!$AA601),"")</f>
        <v/>
      </c>
      <c r="AF600" s="90" t="str">
        <f aca="false">IFERROR(IF([2]对账明细接口!$AB601=0,"",[2]对账明细接口!$AB601),"")</f>
        <v/>
      </c>
      <c r="AG600" s="90" t="str">
        <f aca="false">IFERROR(IF([2]对账明细接口!$AC601=0,"",[2]对账明细接口!$AC601),"")</f>
        <v/>
      </c>
      <c r="AH600" s="90" t="str">
        <f aca="false">IFERROR(IF([2]对账明细接口!$AD601=0,"",[2]对账明细接口!$AD601),"")</f>
        <v/>
      </c>
    </row>
    <row r="601" customFormat="false" ht="13.5" hidden="false" customHeight="false" outlineLevel="0" collapsed="false">
      <c r="A601" s="109" t="n">
        <v>601</v>
      </c>
      <c r="B601" s="110" t="str">
        <f aca="false">IFERROR(IF([2]对账明细接口!$B$601=0,"",[2]对账明细接口!$B$601),"")</f>
        <v/>
      </c>
      <c r="C601" s="59" t="str">
        <f aca="false">IFERROR(IF([2]对账明细接口!$C$601=0,"",[2]对账明细接口!$C$601),"")</f>
        <v/>
      </c>
      <c r="D601" s="59" t="str">
        <f aca="false">IFERROR(IF([2]对账明细接口!$D$601=0,"",[2]对账明细接口!$D$601),"")</f>
        <v/>
      </c>
      <c r="E601" s="59" t="str">
        <f aca="false">IFERROR(IF([2]对账明细接口!$E$601=0,"",[2]对账明细接口!$E$601),"")</f>
        <v/>
      </c>
      <c r="F601" s="59" t="str">
        <f aca="false">IFERROR(IF([2]对账明细接口!$F$601=0,"",[2]对账明细接口!$F$601),"")</f>
        <v/>
      </c>
      <c r="G601" s="59" t="str">
        <f aca="false">IFERROR(IF([2]对账明细接口!$G$601=0,"",[2]对账明细接口!$G$601),"")</f>
        <v/>
      </c>
      <c r="H601" s="60" t="str">
        <f aca="false">IFERROR(IF([2]对账明细接口!$H$601=0,"",[2]对账明细接口!$H$601),"")</f>
        <v/>
      </c>
      <c r="I601" s="59" t="str">
        <f aca="false">IFERROR(IF([2]对账明细接口!$I$601=0,"",[2]对账明细接口!$I$601),"")</f>
        <v/>
      </c>
      <c r="J601" s="61" t="str">
        <f aca="false">IFERROR(IF([2]对账明细接口!$J$601=0,"",[2]对账明细接口!$J$601),"")</f>
        <v/>
      </c>
      <c r="K601" s="61" t="str">
        <f aca="false">IFERROR(IF([2]对账明细接口!$K$601=0,"",[2]对账明细接口!$K$601),"")</f>
        <v/>
      </c>
      <c r="L601" s="59" t="str">
        <f aca="false">IFERROR(IF([2]对账明细接口!$L$601=0,"",[2]对账明细接口!$L$601),"")</f>
        <v/>
      </c>
      <c r="M601" s="59" t="str">
        <f aca="false">IFERROR(IF([2]对账明细接口!$M$601=0,"",[2]对账明细接口!$M$601),"")</f>
        <v/>
      </c>
      <c r="N601" s="111" t="n">
        <f aca="false">IF($C601="",0,1)</f>
        <v>0</v>
      </c>
      <c r="O601" s="111" t="n">
        <f aca="false">N(O600)+$N601</f>
        <v>311</v>
      </c>
      <c r="S601" s="10" t="str">
        <f aca="false">IFERROR(IF([2]对账明细接口!$N601=0,"",[2]对账明细接口!$N601),"")</f>
        <v/>
      </c>
      <c r="T601" s="112" t="str">
        <f aca="false">IFERROR(IF([2]对账明细接口!$O601=0,"",[2]对账明细接口!$O601),"")</f>
        <v/>
      </c>
      <c r="U601" s="112" t="str">
        <f aca="false">IFERROR(IF([2]对账明细接口!$P601=0,"",[2]对账明细接口!$P601),"")</f>
        <v/>
      </c>
      <c r="V601" s="112" t="str">
        <f aca="false">IFERROR(IF([2]对账明细接口!$Q601=0,"",[2]对账明细接口!$Q601),"")</f>
        <v/>
      </c>
      <c r="W601" s="10" t="str">
        <f aca="false">IFERROR(IF([2]对账明细接口!$R601=0,"",[2]对账明细接口!$R601),"")</f>
        <v/>
      </c>
      <c r="X601" s="10" t="str">
        <f aca="false">IFERROR(IF([2]对账明细接口!$S601=0,"",[2]对账明细接口!$S601),"")</f>
        <v/>
      </c>
      <c r="Y601" s="10" t="str">
        <f aca="false">IFERROR(IF([2]对账明细接口!$T601=0,"",[2]对账明细接口!$T601),"")</f>
        <v/>
      </c>
      <c r="Z601" s="113" t="str">
        <f aca="false">IFERROR(IF([2]对账明细接口!$U601=0,"",[2]对账明细接口!$U601),"")</f>
        <v/>
      </c>
      <c r="AA601" s="113" t="str">
        <f aca="false">IFERROR(IF([2]对账明细接口!$V601=0,"",[2]对账明细接口!$V601),"")</f>
        <v/>
      </c>
      <c r="AB601" s="10" t="str">
        <f aca="false">IFERROR(IF([2]对账明细接口!$W601=0,"",[2]对账明细接口!$W601),"")</f>
        <v/>
      </c>
      <c r="AC601" s="90" t="str">
        <f aca="false">IFERROR(IF([2]对账明细接口!$X602=0,"",[2]对账明细接口!$X602),"")</f>
        <v/>
      </c>
      <c r="AD601" s="90" t="str">
        <f aca="false">IFERROR(IF([2]对账明细接口!$Y602=0,"",[2]对账明细接口!$Y602),"")</f>
        <v/>
      </c>
      <c r="AE601" s="90" t="str">
        <f aca="false">IFERROR(IF([2]对账明细接口!$AA602=0,"",[2]对账明细接口!$AA602),"")</f>
        <v/>
      </c>
      <c r="AF601" s="90" t="str">
        <f aca="false">IFERROR(IF([2]对账明细接口!$AB602=0,"",[2]对账明细接口!$AB602),"")</f>
        <v/>
      </c>
      <c r="AG601" s="90" t="str">
        <f aca="false">IFERROR(IF([2]对账明细接口!$AC602=0,"",[2]对账明细接口!$AC602),"")</f>
        <v/>
      </c>
      <c r="AH601" s="90" t="str">
        <f aca="false">IFERROR(IF([2]对账明细接口!$AD602=0,"",[2]对账明细接口!$AD602),"")</f>
        <v/>
      </c>
    </row>
    <row r="602" customFormat="false" ht="13.5" hidden="false" customHeight="false" outlineLevel="0" collapsed="false">
      <c r="A602" s="109" t="n">
        <v>602</v>
      </c>
      <c r="B602" s="110" t="str">
        <f aca="false">IFERROR(IF([2]对账明细接口!$B$602=0,"",[2]对账明细接口!$B$602),"")</f>
        <v/>
      </c>
      <c r="C602" s="59" t="str">
        <f aca="false">IFERROR(IF([2]对账明细接口!$C$602=0,"",[2]对账明细接口!$C$602),"")</f>
        <v/>
      </c>
      <c r="D602" s="59" t="str">
        <f aca="false">IFERROR(IF([2]对账明细接口!$D$602=0,"",[2]对账明细接口!$D$602),"")</f>
        <v/>
      </c>
      <c r="E602" s="59" t="str">
        <f aca="false">IFERROR(IF([2]对账明细接口!$E$602=0,"",[2]对账明细接口!$E$602),"")</f>
        <v/>
      </c>
      <c r="F602" s="59" t="str">
        <f aca="false">IFERROR(IF([2]对账明细接口!$F$602=0,"",[2]对账明细接口!$F$602),"")</f>
        <v/>
      </c>
      <c r="G602" s="59" t="str">
        <f aca="false">IFERROR(IF([2]对账明细接口!$G$602=0,"",[2]对账明细接口!$G$602),"")</f>
        <v/>
      </c>
      <c r="H602" s="60" t="str">
        <f aca="false">IFERROR(IF([2]对账明细接口!$H$602=0,"",[2]对账明细接口!$H$602),"")</f>
        <v/>
      </c>
      <c r="I602" s="59" t="str">
        <f aca="false">IFERROR(IF([2]对账明细接口!$I$602=0,"",[2]对账明细接口!$I$602),"")</f>
        <v/>
      </c>
      <c r="J602" s="61" t="str">
        <f aca="false">IFERROR(IF([2]对账明细接口!$J$602=0,"",[2]对账明细接口!$J$602),"")</f>
        <v/>
      </c>
      <c r="K602" s="61" t="str">
        <f aca="false">IFERROR(IF([2]对账明细接口!$K$602=0,"",[2]对账明细接口!$K$602),"")</f>
        <v/>
      </c>
      <c r="L602" s="59" t="str">
        <f aca="false">IFERROR(IF([2]对账明细接口!$L$602=0,"",[2]对账明细接口!$L$602),"")</f>
        <v/>
      </c>
      <c r="M602" s="59" t="str">
        <f aca="false">IFERROR(IF([2]对账明细接口!$M$602=0,"",[2]对账明细接口!$M$602),"")</f>
        <v/>
      </c>
      <c r="N602" s="111" t="n">
        <f aca="false">IF($C602="",0,1)</f>
        <v>0</v>
      </c>
      <c r="O602" s="111" t="n">
        <f aca="false">N(O601)+$N602</f>
        <v>311</v>
      </c>
      <c r="S602" s="10" t="str">
        <f aca="false">IFERROR(IF([2]对账明细接口!$N602=0,"",[2]对账明细接口!$N602),"")</f>
        <v/>
      </c>
      <c r="T602" s="112" t="str">
        <f aca="false">IFERROR(IF([2]对账明细接口!$O602=0,"",[2]对账明细接口!$O602),"")</f>
        <v/>
      </c>
      <c r="U602" s="112" t="str">
        <f aca="false">IFERROR(IF([2]对账明细接口!$P602=0,"",[2]对账明细接口!$P602),"")</f>
        <v/>
      </c>
      <c r="V602" s="112" t="str">
        <f aca="false">IFERROR(IF([2]对账明细接口!$Q602=0,"",[2]对账明细接口!$Q602),"")</f>
        <v/>
      </c>
      <c r="W602" s="10" t="str">
        <f aca="false">IFERROR(IF([2]对账明细接口!$R602=0,"",[2]对账明细接口!$R602),"")</f>
        <v/>
      </c>
      <c r="X602" s="10" t="str">
        <f aca="false">IFERROR(IF([2]对账明细接口!$S602=0,"",[2]对账明细接口!$S602),"")</f>
        <v/>
      </c>
      <c r="Y602" s="10" t="str">
        <f aca="false">IFERROR(IF([2]对账明细接口!$T602=0,"",[2]对账明细接口!$T602),"")</f>
        <v/>
      </c>
      <c r="Z602" s="113" t="str">
        <f aca="false">IFERROR(IF([2]对账明细接口!$U602=0,"",[2]对账明细接口!$U602),"")</f>
        <v/>
      </c>
      <c r="AA602" s="113" t="str">
        <f aca="false">IFERROR(IF([2]对账明细接口!$V602=0,"",[2]对账明细接口!$V602),"")</f>
        <v/>
      </c>
      <c r="AB602" s="10" t="str">
        <f aca="false">IFERROR(IF([2]对账明细接口!$W602=0,"",[2]对账明细接口!$W602),"")</f>
        <v/>
      </c>
      <c r="AC602" s="90" t="str">
        <f aca="false">IFERROR(IF([2]对账明细接口!$X603=0,"",[2]对账明细接口!$X603),"")</f>
        <v/>
      </c>
      <c r="AD602" s="90" t="str">
        <f aca="false">IFERROR(IF([2]对账明细接口!$Y603=0,"",[2]对账明细接口!$Y603),"")</f>
        <v/>
      </c>
      <c r="AE602" s="90" t="str">
        <f aca="false">IFERROR(IF([2]对账明细接口!$AA603=0,"",[2]对账明细接口!$AA603),"")</f>
        <v/>
      </c>
      <c r="AF602" s="90" t="str">
        <f aca="false">IFERROR(IF([2]对账明细接口!$AB603=0,"",[2]对账明细接口!$AB603),"")</f>
        <v/>
      </c>
      <c r="AG602" s="90" t="str">
        <f aca="false">IFERROR(IF([2]对账明细接口!$AC603=0,"",[2]对账明细接口!$AC603),"")</f>
        <v/>
      </c>
      <c r="AH602" s="90" t="str">
        <f aca="false">IFERROR(IF([2]对账明细接口!$AD603=0,"",[2]对账明细接口!$AD603),"")</f>
        <v/>
      </c>
    </row>
    <row r="603" customFormat="false" ht="13.5" hidden="false" customHeight="false" outlineLevel="0" collapsed="false">
      <c r="A603" s="109" t="n">
        <v>603</v>
      </c>
      <c r="B603" s="110" t="str">
        <f aca="false">IFERROR(IF([2]对账明细接口!$B$603=0,"",[2]对账明细接口!$B$603),"")</f>
        <v/>
      </c>
      <c r="C603" s="59" t="str">
        <f aca="false">IFERROR(IF([2]对账明细接口!$C$603=0,"",[2]对账明细接口!$C$603),"")</f>
        <v/>
      </c>
      <c r="D603" s="59" t="str">
        <f aca="false">IFERROR(IF([2]对账明细接口!$D$603=0,"",[2]对账明细接口!$D$603),"")</f>
        <v/>
      </c>
      <c r="E603" s="59" t="str">
        <f aca="false">IFERROR(IF([2]对账明细接口!$E$603=0,"",[2]对账明细接口!$E$603),"")</f>
        <v/>
      </c>
      <c r="F603" s="59" t="str">
        <f aca="false">IFERROR(IF([2]对账明细接口!$F$603=0,"",[2]对账明细接口!$F$603),"")</f>
        <v/>
      </c>
      <c r="G603" s="59" t="str">
        <f aca="false">IFERROR(IF([2]对账明细接口!$G$603=0,"",[2]对账明细接口!$G$603),"")</f>
        <v/>
      </c>
      <c r="H603" s="60" t="str">
        <f aca="false">IFERROR(IF([2]对账明细接口!$H$603=0,"",[2]对账明细接口!$H$603),"")</f>
        <v/>
      </c>
      <c r="I603" s="59" t="str">
        <f aca="false">IFERROR(IF([2]对账明细接口!$I$603=0,"",[2]对账明细接口!$I$603),"")</f>
        <v/>
      </c>
      <c r="J603" s="61" t="str">
        <f aca="false">IFERROR(IF([2]对账明细接口!$J$603=0,"",[2]对账明细接口!$J$603),"")</f>
        <v/>
      </c>
      <c r="K603" s="61" t="str">
        <f aca="false">IFERROR(IF([2]对账明细接口!$K$603=0,"",[2]对账明细接口!$K$603),"")</f>
        <v/>
      </c>
      <c r="L603" s="59" t="str">
        <f aca="false">IFERROR(IF([2]对账明细接口!$L$603=0,"",[2]对账明细接口!$L$603),"")</f>
        <v/>
      </c>
      <c r="M603" s="59" t="str">
        <f aca="false">IFERROR(IF([2]对账明细接口!$M$603=0,"",[2]对账明细接口!$M$603),"")</f>
        <v/>
      </c>
      <c r="N603" s="111" t="n">
        <f aca="false">IF($C603="",0,1)</f>
        <v>0</v>
      </c>
      <c r="O603" s="111" t="n">
        <f aca="false">N(O602)+$N603</f>
        <v>311</v>
      </c>
      <c r="S603" s="10" t="str">
        <f aca="false">IFERROR(IF([2]对账明细接口!$N603=0,"",[2]对账明细接口!$N603),"")</f>
        <v/>
      </c>
      <c r="T603" s="112" t="str">
        <f aca="false">IFERROR(IF([2]对账明细接口!$O603=0,"",[2]对账明细接口!$O603),"")</f>
        <v/>
      </c>
      <c r="U603" s="112" t="str">
        <f aca="false">IFERROR(IF([2]对账明细接口!$P603=0,"",[2]对账明细接口!$P603),"")</f>
        <v/>
      </c>
      <c r="V603" s="112" t="str">
        <f aca="false">IFERROR(IF([2]对账明细接口!$Q603=0,"",[2]对账明细接口!$Q603),"")</f>
        <v/>
      </c>
      <c r="W603" s="10" t="str">
        <f aca="false">IFERROR(IF([2]对账明细接口!$R603=0,"",[2]对账明细接口!$R603),"")</f>
        <v/>
      </c>
      <c r="X603" s="10" t="str">
        <f aca="false">IFERROR(IF([2]对账明细接口!$S603=0,"",[2]对账明细接口!$S603),"")</f>
        <v/>
      </c>
      <c r="Y603" s="10" t="str">
        <f aca="false">IFERROR(IF([2]对账明细接口!$T603=0,"",[2]对账明细接口!$T603),"")</f>
        <v/>
      </c>
      <c r="Z603" s="113" t="str">
        <f aca="false">IFERROR(IF([2]对账明细接口!$U603=0,"",[2]对账明细接口!$U603),"")</f>
        <v/>
      </c>
      <c r="AA603" s="113" t="str">
        <f aca="false">IFERROR(IF([2]对账明细接口!$V603=0,"",[2]对账明细接口!$V603),"")</f>
        <v/>
      </c>
      <c r="AB603" s="10" t="str">
        <f aca="false">IFERROR(IF([2]对账明细接口!$W603=0,"",[2]对账明细接口!$W603),"")</f>
        <v/>
      </c>
      <c r="AC603" s="90" t="str">
        <f aca="false">IFERROR(IF([2]对账明细接口!$X604=0,"",[2]对账明细接口!$X604),"")</f>
        <v/>
      </c>
      <c r="AD603" s="90" t="str">
        <f aca="false">IFERROR(IF([2]对账明细接口!$Y604=0,"",[2]对账明细接口!$Y604),"")</f>
        <v/>
      </c>
      <c r="AE603" s="90" t="str">
        <f aca="false">IFERROR(IF([2]对账明细接口!$AA604=0,"",[2]对账明细接口!$AA604),"")</f>
        <v/>
      </c>
      <c r="AF603" s="90" t="str">
        <f aca="false">IFERROR(IF([2]对账明细接口!$AB604=0,"",[2]对账明细接口!$AB604),"")</f>
        <v/>
      </c>
      <c r="AG603" s="90" t="str">
        <f aca="false">IFERROR(IF([2]对账明细接口!$AC604=0,"",[2]对账明细接口!$AC604),"")</f>
        <v/>
      </c>
      <c r="AH603" s="90" t="str">
        <f aca="false">IFERROR(IF([2]对账明细接口!$AD604=0,"",[2]对账明细接口!$AD604),"")</f>
        <v/>
      </c>
    </row>
    <row r="604" customFormat="false" ht="13.5" hidden="false" customHeight="false" outlineLevel="0" collapsed="false">
      <c r="A604" s="109" t="n">
        <v>604</v>
      </c>
      <c r="B604" s="110" t="str">
        <f aca="false">IFERROR(IF([2]对账明细接口!$B$604=0,"",[2]对账明细接口!$B$604),"")</f>
        <v/>
      </c>
      <c r="C604" s="59" t="str">
        <f aca="false">IFERROR(IF([2]对账明细接口!$C$604=0,"",[2]对账明细接口!$C$604),"")</f>
        <v/>
      </c>
      <c r="D604" s="59" t="str">
        <f aca="false">IFERROR(IF([2]对账明细接口!$D$604=0,"",[2]对账明细接口!$D$604),"")</f>
        <v/>
      </c>
      <c r="E604" s="59" t="str">
        <f aca="false">IFERROR(IF([2]对账明细接口!$E$604=0,"",[2]对账明细接口!$E$604),"")</f>
        <v/>
      </c>
      <c r="F604" s="59" t="str">
        <f aca="false">IFERROR(IF([2]对账明细接口!$F$604=0,"",[2]对账明细接口!$F$604),"")</f>
        <v/>
      </c>
      <c r="G604" s="59" t="str">
        <f aca="false">IFERROR(IF([2]对账明细接口!$G$604=0,"",[2]对账明细接口!$G$604),"")</f>
        <v/>
      </c>
      <c r="H604" s="60" t="str">
        <f aca="false">IFERROR(IF([2]对账明细接口!$H$604=0,"",[2]对账明细接口!$H$604),"")</f>
        <v/>
      </c>
      <c r="I604" s="59" t="str">
        <f aca="false">IFERROR(IF([2]对账明细接口!$I$604=0,"",[2]对账明细接口!$I$604),"")</f>
        <v/>
      </c>
      <c r="J604" s="61" t="str">
        <f aca="false">IFERROR(IF([2]对账明细接口!$J$604=0,"",[2]对账明细接口!$J$604),"")</f>
        <v/>
      </c>
      <c r="K604" s="61" t="str">
        <f aca="false">IFERROR(IF([2]对账明细接口!$K$604=0,"",[2]对账明细接口!$K$604),"")</f>
        <v/>
      </c>
      <c r="L604" s="59" t="str">
        <f aca="false">IFERROR(IF([2]对账明细接口!$L$604=0,"",[2]对账明细接口!$L$604),"")</f>
        <v/>
      </c>
      <c r="M604" s="59" t="str">
        <f aca="false">IFERROR(IF([2]对账明细接口!$M$604=0,"",[2]对账明细接口!$M$604),"")</f>
        <v/>
      </c>
      <c r="N604" s="111" t="n">
        <f aca="false">IF($C604="",0,1)</f>
        <v>0</v>
      </c>
      <c r="O604" s="111" t="n">
        <f aca="false">N(O603)+$N604</f>
        <v>311</v>
      </c>
      <c r="S604" s="10" t="str">
        <f aca="false">IFERROR(IF([2]对账明细接口!$N604=0,"",[2]对账明细接口!$N604),"")</f>
        <v/>
      </c>
      <c r="T604" s="112" t="str">
        <f aca="false">IFERROR(IF([2]对账明细接口!$O604=0,"",[2]对账明细接口!$O604),"")</f>
        <v/>
      </c>
      <c r="U604" s="112" t="str">
        <f aca="false">IFERROR(IF([2]对账明细接口!$P604=0,"",[2]对账明细接口!$P604),"")</f>
        <v/>
      </c>
      <c r="V604" s="112" t="str">
        <f aca="false">IFERROR(IF([2]对账明细接口!$Q604=0,"",[2]对账明细接口!$Q604),"")</f>
        <v/>
      </c>
      <c r="W604" s="10" t="str">
        <f aca="false">IFERROR(IF([2]对账明细接口!$R604=0,"",[2]对账明细接口!$R604),"")</f>
        <v/>
      </c>
      <c r="X604" s="10" t="str">
        <f aca="false">IFERROR(IF([2]对账明细接口!$S604=0,"",[2]对账明细接口!$S604),"")</f>
        <v/>
      </c>
      <c r="Y604" s="10" t="str">
        <f aca="false">IFERROR(IF([2]对账明细接口!$T604=0,"",[2]对账明细接口!$T604),"")</f>
        <v/>
      </c>
      <c r="Z604" s="113" t="str">
        <f aca="false">IFERROR(IF([2]对账明细接口!$U604=0,"",[2]对账明细接口!$U604),"")</f>
        <v/>
      </c>
      <c r="AA604" s="113" t="str">
        <f aca="false">IFERROR(IF([2]对账明细接口!$V604=0,"",[2]对账明细接口!$V604),"")</f>
        <v/>
      </c>
      <c r="AB604" s="10" t="str">
        <f aca="false">IFERROR(IF([2]对账明细接口!$W604=0,"",[2]对账明细接口!$W604),"")</f>
        <v/>
      </c>
      <c r="AC604" s="90" t="str">
        <f aca="false">IFERROR(IF([2]对账明细接口!$X605=0,"",[2]对账明细接口!$X605),"")</f>
        <v/>
      </c>
      <c r="AD604" s="90" t="str">
        <f aca="false">IFERROR(IF([2]对账明细接口!$Y605=0,"",[2]对账明细接口!$Y605),"")</f>
        <v/>
      </c>
      <c r="AE604" s="90" t="str">
        <f aca="false">IFERROR(IF([2]对账明细接口!$AA605=0,"",[2]对账明细接口!$AA605),"")</f>
        <v/>
      </c>
      <c r="AF604" s="90" t="str">
        <f aca="false">IFERROR(IF([2]对账明细接口!$AB605=0,"",[2]对账明细接口!$AB605),"")</f>
        <v/>
      </c>
      <c r="AG604" s="90" t="str">
        <f aca="false">IFERROR(IF([2]对账明细接口!$AC605=0,"",[2]对账明细接口!$AC605),"")</f>
        <v/>
      </c>
      <c r="AH604" s="90" t="str">
        <f aca="false">IFERROR(IF([2]对账明细接口!$AD605=0,"",[2]对账明细接口!$AD605),"")</f>
        <v/>
      </c>
    </row>
    <row r="605" customFormat="false" ht="13.5" hidden="false" customHeight="false" outlineLevel="0" collapsed="false">
      <c r="A605" s="109" t="n">
        <v>605</v>
      </c>
      <c r="B605" s="110" t="str">
        <f aca="false">IFERROR(IF([2]对账明细接口!$B$605=0,"",[2]对账明细接口!$B$605),"")</f>
        <v/>
      </c>
      <c r="C605" s="59" t="str">
        <f aca="false">IFERROR(IF([2]对账明细接口!$C$605=0,"",[2]对账明细接口!$C$605),"")</f>
        <v/>
      </c>
      <c r="D605" s="59" t="str">
        <f aca="false">IFERROR(IF([2]对账明细接口!$D$605=0,"",[2]对账明细接口!$D$605),"")</f>
        <v/>
      </c>
      <c r="E605" s="59" t="str">
        <f aca="false">IFERROR(IF([2]对账明细接口!$E$605=0,"",[2]对账明细接口!$E$605),"")</f>
        <v/>
      </c>
      <c r="F605" s="59" t="str">
        <f aca="false">IFERROR(IF([2]对账明细接口!$F$605=0,"",[2]对账明细接口!$F$605),"")</f>
        <v/>
      </c>
      <c r="G605" s="59" t="str">
        <f aca="false">IFERROR(IF([2]对账明细接口!$G$605=0,"",[2]对账明细接口!$G$605),"")</f>
        <v/>
      </c>
      <c r="H605" s="60" t="str">
        <f aca="false">IFERROR(IF([2]对账明细接口!$H$605=0,"",[2]对账明细接口!$H$605),"")</f>
        <v/>
      </c>
      <c r="I605" s="59" t="str">
        <f aca="false">IFERROR(IF([2]对账明细接口!$I$605=0,"",[2]对账明细接口!$I$605),"")</f>
        <v/>
      </c>
      <c r="J605" s="61" t="str">
        <f aca="false">IFERROR(IF([2]对账明细接口!$J$605=0,"",[2]对账明细接口!$J$605),"")</f>
        <v/>
      </c>
      <c r="K605" s="61" t="str">
        <f aca="false">IFERROR(IF([2]对账明细接口!$K$605=0,"",[2]对账明细接口!$K$605),"")</f>
        <v/>
      </c>
      <c r="L605" s="59" t="str">
        <f aca="false">IFERROR(IF([2]对账明细接口!$L$605=0,"",[2]对账明细接口!$L$605),"")</f>
        <v/>
      </c>
      <c r="M605" s="59" t="str">
        <f aca="false">IFERROR(IF([2]对账明细接口!$M$605=0,"",[2]对账明细接口!$M$605),"")</f>
        <v/>
      </c>
      <c r="N605" s="111" t="n">
        <f aca="false">IF($C605="",0,1)</f>
        <v>0</v>
      </c>
      <c r="O605" s="111" t="n">
        <f aca="false">N(O604)+$N605</f>
        <v>311</v>
      </c>
      <c r="S605" s="10" t="str">
        <f aca="false">IFERROR(IF([2]对账明细接口!$N605=0,"",[2]对账明细接口!$N605),"")</f>
        <v/>
      </c>
      <c r="T605" s="112" t="str">
        <f aca="false">IFERROR(IF([2]对账明细接口!$O605=0,"",[2]对账明细接口!$O605),"")</f>
        <v/>
      </c>
      <c r="U605" s="112" t="str">
        <f aca="false">IFERROR(IF([2]对账明细接口!$P605=0,"",[2]对账明细接口!$P605),"")</f>
        <v/>
      </c>
      <c r="V605" s="112" t="str">
        <f aca="false">IFERROR(IF([2]对账明细接口!$Q605=0,"",[2]对账明细接口!$Q605),"")</f>
        <v/>
      </c>
      <c r="W605" s="10" t="str">
        <f aca="false">IFERROR(IF([2]对账明细接口!$R605=0,"",[2]对账明细接口!$R605),"")</f>
        <v/>
      </c>
      <c r="X605" s="10" t="str">
        <f aca="false">IFERROR(IF([2]对账明细接口!$S605=0,"",[2]对账明细接口!$S605),"")</f>
        <v/>
      </c>
      <c r="Y605" s="10" t="str">
        <f aca="false">IFERROR(IF([2]对账明细接口!$T605=0,"",[2]对账明细接口!$T605),"")</f>
        <v/>
      </c>
      <c r="Z605" s="113" t="str">
        <f aca="false">IFERROR(IF([2]对账明细接口!$U605=0,"",[2]对账明细接口!$U605),"")</f>
        <v/>
      </c>
      <c r="AA605" s="113" t="str">
        <f aca="false">IFERROR(IF([2]对账明细接口!$V605=0,"",[2]对账明细接口!$V605),"")</f>
        <v/>
      </c>
      <c r="AB605" s="10" t="str">
        <f aca="false">IFERROR(IF([2]对账明细接口!$W605=0,"",[2]对账明细接口!$W605),"")</f>
        <v/>
      </c>
      <c r="AC605" s="90" t="str">
        <f aca="false">IFERROR(IF([2]对账明细接口!$X606=0,"",[2]对账明细接口!$X606),"")</f>
        <v/>
      </c>
      <c r="AD605" s="90" t="str">
        <f aca="false">IFERROR(IF([2]对账明细接口!$Y606=0,"",[2]对账明细接口!$Y606),"")</f>
        <v/>
      </c>
      <c r="AE605" s="90" t="str">
        <f aca="false">IFERROR(IF([2]对账明细接口!$AA606=0,"",[2]对账明细接口!$AA606),"")</f>
        <v/>
      </c>
      <c r="AF605" s="90" t="str">
        <f aca="false">IFERROR(IF([2]对账明细接口!$AB606=0,"",[2]对账明细接口!$AB606),"")</f>
        <v/>
      </c>
      <c r="AG605" s="90" t="str">
        <f aca="false">IFERROR(IF([2]对账明细接口!$AC606=0,"",[2]对账明细接口!$AC606),"")</f>
        <v/>
      </c>
      <c r="AH605" s="90" t="str">
        <f aca="false">IFERROR(IF([2]对账明细接口!$AD606=0,"",[2]对账明细接口!$AD606),"")</f>
        <v/>
      </c>
    </row>
    <row r="606" customFormat="false" ht="13.5" hidden="false" customHeight="false" outlineLevel="0" collapsed="false">
      <c r="A606" s="109" t="n">
        <v>606</v>
      </c>
      <c r="B606" s="110" t="str">
        <f aca="false">IFERROR(IF([2]对账明细接口!$B$606=0,"",[2]对账明细接口!$B$606),"")</f>
        <v/>
      </c>
      <c r="C606" s="59" t="str">
        <f aca="false">IFERROR(IF([2]对账明细接口!$C$606=0,"",[2]对账明细接口!$C$606),"")</f>
        <v/>
      </c>
      <c r="D606" s="59" t="str">
        <f aca="false">IFERROR(IF([2]对账明细接口!$D$606=0,"",[2]对账明细接口!$D$606),"")</f>
        <v/>
      </c>
      <c r="E606" s="59" t="str">
        <f aca="false">IFERROR(IF([2]对账明细接口!$E$606=0,"",[2]对账明细接口!$E$606),"")</f>
        <v/>
      </c>
      <c r="F606" s="59" t="str">
        <f aca="false">IFERROR(IF([2]对账明细接口!$F$606=0,"",[2]对账明细接口!$F$606),"")</f>
        <v/>
      </c>
      <c r="G606" s="59" t="str">
        <f aca="false">IFERROR(IF([2]对账明细接口!$G$606=0,"",[2]对账明细接口!$G$606),"")</f>
        <v/>
      </c>
      <c r="H606" s="60" t="str">
        <f aca="false">IFERROR(IF([2]对账明细接口!$H$606=0,"",[2]对账明细接口!$H$606),"")</f>
        <v/>
      </c>
      <c r="I606" s="59" t="str">
        <f aca="false">IFERROR(IF([2]对账明细接口!$I$606=0,"",[2]对账明细接口!$I$606),"")</f>
        <v/>
      </c>
      <c r="J606" s="61" t="str">
        <f aca="false">IFERROR(IF([2]对账明细接口!$J$606=0,"",[2]对账明细接口!$J$606),"")</f>
        <v/>
      </c>
      <c r="K606" s="61" t="str">
        <f aca="false">IFERROR(IF([2]对账明细接口!$K$606=0,"",[2]对账明细接口!$K$606),"")</f>
        <v/>
      </c>
      <c r="L606" s="59" t="str">
        <f aca="false">IFERROR(IF([2]对账明细接口!$L$606=0,"",[2]对账明细接口!$L$606),"")</f>
        <v/>
      </c>
      <c r="M606" s="59" t="str">
        <f aca="false">IFERROR(IF([2]对账明细接口!$M$606=0,"",[2]对账明细接口!$M$606),"")</f>
        <v/>
      </c>
      <c r="N606" s="111" t="n">
        <f aca="false">IF($C606="",0,1)</f>
        <v>0</v>
      </c>
      <c r="O606" s="111" t="n">
        <f aca="false">N(O605)+$N606</f>
        <v>311</v>
      </c>
      <c r="S606" s="10" t="str">
        <f aca="false">IFERROR(IF([2]对账明细接口!$N606=0,"",[2]对账明细接口!$N606),"")</f>
        <v/>
      </c>
      <c r="T606" s="112" t="str">
        <f aca="false">IFERROR(IF([2]对账明细接口!$O606=0,"",[2]对账明细接口!$O606),"")</f>
        <v/>
      </c>
      <c r="U606" s="112" t="str">
        <f aca="false">IFERROR(IF([2]对账明细接口!$P606=0,"",[2]对账明细接口!$P606),"")</f>
        <v/>
      </c>
      <c r="V606" s="112" t="str">
        <f aca="false">IFERROR(IF([2]对账明细接口!$Q606=0,"",[2]对账明细接口!$Q606),"")</f>
        <v/>
      </c>
      <c r="W606" s="10" t="str">
        <f aca="false">IFERROR(IF([2]对账明细接口!$R606=0,"",[2]对账明细接口!$R606),"")</f>
        <v/>
      </c>
      <c r="X606" s="10" t="str">
        <f aca="false">IFERROR(IF([2]对账明细接口!$S606=0,"",[2]对账明细接口!$S606),"")</f>
        <v/>
      </c>
      <c r="Y606" s="10" t="str">
        <f aca="false">IFERROR(IF([2]对账明细接口!$T606=0,"",[2]对账明细接口!$T606),"")</f>
        <v/>
      </c>
      <c r="Z606" s="113" t="str">
        <f aca="false">IFERROR(IF([2]对账明细接口!$U606=0,"",[2]对账明细接口!$U606),"")</f>
        <v/>
      </c>
      <c r="AA606" s="113" t="str">
        <f aca="false">IFERROR(IF([2]对账明细接口!$V606=0,"",[2]对账明细接口!$V606),"")</f>
        <v/>
      </c>
      <c r="AB606" s="10" t="str">
        <f aca="false">IFERROR(IF([2]对账明细接口!$W606=0,"",[2]对账明细接口!$W606),"")</f>
        <v/>
      </c>
      <c r="AC606" s="90" t="str">
        <f aca="false">IFERROR(IF([2]对账明细接口!$X607=0,"",[2]对账明细接口!$X607),"")</f>
        <v/>
      </c>
      <c r="AD606" s="90" t="str">
        <f aca="false">IFERROR(IF([2]对账明细接口!$Y607=0,"",[2]对账明细接口!$Y607),"")</f>
        <v/>
      </c>
      <c r="AE606" s="90" t="str">
        <f aca="false">IFERROR(IF([2]对账明细接口!$AA607=0,"",[2]对账明细接口!$AA607),"")</f>
        <v/>
      </c>
      <c r="AF606" s="90" t="str">
        <f aca="false">IFERROR(IF([2]对账明细接口!$AB607=0,"",[2]对账明细接口!$AB607),"")</f>
        <v/>
      </c>
      <c r="AG606" s="90" t="str">
        <f aca="false">IFERROR(IF([2]对账明细接口!$AC607=0,"",[2]对账明细接口!$AC607),"")</f>
        <v/>
      </c>
      <c r="AH606" s="90" t="str">
        <f aca="false">IFERROR(IF([2]对账明细接口!$AD607=0,"",[2]对账明细接口!$AD607),"")</f>
        <v/>
      </c>
    </row>
    <row r="607" customFormat="false" ht="13.5" hidden="false" customHeight="false" outlineLevel="0" collapsed="false">
      <c r="A607" s="109" t="n">
        <v>607</v>
      </c>
      <c r="B607" s="110" t="str">
        <f aca="false">IFERROR(IF([2]对账明细接口!$B$607=0,"",[2]对账明细接口!$B$607),"")</f>
        <v/>
      </c>
      <c r="C607" s="59" t="str">
        <f aca="false">IFERROR(IF([2]对账明细接口!$C$607=0,"",[2]对账明细接口!$C$607),"")</f>
        <v/>
      </c>
      <c r="D607" s="59" t="str">
        <f aca="false">IFERROR(IF([2]对账明细接口!$D$607=0,"",[2]对账明细接口!$D$607),"")</f>
        <v/>
      </c>
      <c r="E607" s="59" t="str">
        <f aca="false">IFERROR(IF([2]对账明细接口!$E$607=0,"",[2]对账明细接口!$E$607),"")</f>
        <v/>
      </c>
      <c r="F607" s="59" t="str">
        <f aca="false">IFERROR(IF([2]对账明细接口!$F$607=0,"",[2]对账明细接口!$F$607),"")</f>
        <v/>
      </c>
      <c r="G607" s="59" t="str">
        <f aca="false">IFERROR(IF([2]对账明细接口!$G$607=0,"",[2]对账明细接口!$G$607),"")</f>
        <v/>
      </c>
      <c r="H607" s="60" t="str">
        <f aca="false">IFERROR(IF([2]对账明细接口!$H$607=0,"",[2]对账明细接口!$H$607),"")</f>
        <v/>
      </c>
      <c r="I607" s="59" t="str">
        <f aca="false">IFERROR(IF([2]对账明细接口!$I$607=0,"",[2]对账明细接口!$I$607),"")</f>
        <v/>
      </c>
      <c r="J607" s="61" t="str">
        <f aca="false">IFERROR(IF([2]对账明细接口!$J$607=0,"",[2]对账明细接口!$J$607),"")</f>
        <v/>
      </c>
      <c r="K607" s="61" t="str">
        <f aca="false">IFERROR(IF([2]对账明细接口!$K$607=0,"",[2]对账明细接口!$K$607),"")</f>
        <v/>
      </c>
      <c r="L607" s="59" t="str">
        <f aca="false">IFERROR(IF([2]对账明细接口!$L$607=0,"",[2]对账明细接口!$L$607),"")</f>
        <v/>
      </c>
      <c r="M607" s="59" t="str">
        <f aca="false">IFERROR(IF([2]对账明细接口!$M$607=0,"",[2]对账明细接口!$M$607),"")</f>
        <v/>
      </c>
      <c r="N607" s="111" t="n">
        <f aca="false">IF($C607="",0,1)</f>
        <v>0</v>
      </c>
      <c r="O607" s="111" t="n">
        <f aca="false">N(O606)+$N607</f>
        <v>311</v>
      </c>
      <c r="S607" s="10" t="str">
        <f aca="false">IFERROR(IF([2]对账明细接口!$N607=0,"",[2]对账明细接口!$N607),"")</f>
        <v/>
      </c>
      <c r="T607" s="112" t="str">
        <f aca="false">IFERROR(IF([2]对账明细接口!$O607=0,"",[2]对账明细接口!$O607),"")</f>
        <v/>
      </c>
      <c r="U607" s="112" t="str">
        <f aca="false">IFERROR(IF([2]对账明细接口!$P607=0,"",[2]对账明细接口!$P607),"")</f>
        <v/>
      </c>
      <c r="V607" s="112" t="str">
        <f aca="false">IFERROR(IF([2]对账明细接口!$Q607=0,"",[2]对账明细接口!$Q607),"")</f>
        <v/>
      </c>
      <c r="W607" s="10" t="str">
        <f aca="false">IFERROR(IF([2]对账明细接口!$R607=0,"",[2]对账明细接口!$R607),"")</f>
        <v/>
      </c>
      <c r="X607" s="10" t="str">
        <f aca="false">IFERROR(IF([2]对账明细接口!$S607=0,"",[2]对账明细接口!$S607),"")</f>
        <v/>
      </c>
      <c r="Y607" s="10" t="str">
        <f aca="false">IFERROR(IF([2]对账明细接口!$T607=0,"",[2]对账明细接口!$T607),"")</f>
        <v/>
      </c>
      <c r="Z607" s="113" t="str">
        <f aca="false">IFERROR(IF([2]对账明细接口!$U607=0,"",[2]对账明细接口!$U607),"")</f>
        <v/>
      </c>
      <c r="AA607" s="113" t="str">
        <f aca="false">IFERROR(IF([2]对账明细接口!$V607=0,"",[2]对账明细接口!$V607),"")</f>
        <v/>
      </c>
      <c r="AB607" s="10" t="str">
        <f aca="false">IFERROR(IF([2]对账明细接口!$W607=0,"",[2]对账明细接口!$W607),"")</f>
        <v/>
      </c>
      <c r="AC607" s="90" t="str">
        <f aca="false">IFERROR(IF([2]对账明细接口!$X608=0,"",[2]对账明细接口!$X608),"")</f>
        <v/>
      </c>
      <c r="AD607" s="90" t="str">
        <f aca="false">IFERROR(IF([2]对账明细接口!$Y608=0,"",[2]对账明细接口!$Y608),"")</f>
        <v/>
      </c>
      <c r="AE607" s="90" t="str">
        <f aca="false">IFERROR(IF([2]对账明细接口!$AA608=0,"",[2]对账明细接口!$AA608),"")</f>
        <v/>
      </c>
      <c r="AF607" s="90" t="str">
        <f aca="false">IFERROR(IF([2]对账明细接口!$AB608=0,"",[2]对账明细接口!$AB608),"")</f>
        <v/>
      </c>
      <c r="AG607" s="90" t="str">
        <f aca="false">IFERROR(IF([2]对账明细接口!$AC608=0,"",[2]对账明细接口!$AC608),"")</f>
        <v/>
      </c>
      <c r="AH607" s="90" t="str">
        <f aca="false">IFERROR(IF([2]对账明细接口!$AD608=0,"",[2]对账明细接口!$AD608),"")</f>
        <v/>
      </c>
    </row>
    <row r="608" customFormat="false" ht="13.5" hidden="false" customHeight="false" outlineLevel="0" collapsed="false">
      <c r="A608" s="109" t="n">
        <v>608</v>
      </c>
      <c r="B608" s="110" t="str">
        <f aca="false">IFERROR(IF([2]对账明细接口!$B$608=0,"",[2]对账明细接口!$B$608),"")</f>
        <v/>
      </c>
      <c r="C608" s="59" t="str">
        <f aca="false">IFERROR(IF([2]对账明细接口!$C$608=0,"",[2]对账明细接口!$C$608),"")</f>
        <v/>
      </c>
      <c r="D608" s="59" t="str">
        <f aca="false">IFERROR(IF([2]对账明细接口!$D$608=0,"",[2]对账明细接口!$D$608),"")</f>
        <v/>
      </c>
      <c r="E608" s="59" t="str">
        <f aca="false">IFERROR(IF([2]对账明细接口!$E$608=0,"",[2]对账明细接口!$E$608),"")</f>
        <v/>
      </c>
      <c r="F608" s="59" t="str">
        <f aca="false">IFERROR(IF([2]对账明细接口!$F$608=0,"",[2]对账明细接口!$F$608),"")</f>
        <v/>
      </c>
      <c r="G608" s="59" t="str">
        <f aca="false">IFERROR(IF([2]对账明细接口!$G$608=0,"",[2]对账明细接口!$G$608),"")</f>
        <v/>
      </c>
      <c r="H608" s="60" t="str">
        <f aca="false">IFERROR(IF([2]对账明细接口!$H$608=0,"",[2]对账明细接口!$H$608),"")</f>
        <v/>
      </c>
      <c r="I608" s="59" t="str">
        <f aca="false">IFERROR(IF([2]对账明细接口!$I$608=0,"",[2]对账明细接口!$I$608),"")</f>
        <v/>
      </c>
      <c r="J608" s="61" t="str">
        <f aca="false">IFERROR(IF([2]对账明细接口!$J$608=0,"",[2]对账明细接口!$J$608),"")</f>
        <v/>
      </c>
      <c r="K608" s="61" t="str">
        <f aca="false">IFERROR(IF([2]对账明细接口!$K$608=0,"",[2]对账明细接口!$K$608),"")</f>
        <v/>
      </c>
      <c r="L608" s="59" t="str">
        <f aca="false">IFERROR(IF([2]对账明细接口!$L$608=0,"",[2]对账明细接口!$L$608),"")</f>
        <v/>
      </c>
      <c r="M608" s="59" t="str">
        <f aca="false">IFERROR(IF([2]对账明细接口!$M$608=0,"",[2]对账明细接口!$M$608),"")</f>
        <v/>
      </c>
      <c r="N608" s="111" t="n">
        <f aca="false">IF($C608="",0,1)</f>
        <v>0</v>
      </c>
      <c r="O608" s="111" t="n">
        <f aca="false">N(O607)+$N608</f>
        <v>311</v>
      </c>
      <c r="S608" s="10" t="str">
        <f aca="false">IFERROR(IF([2]对账明细接口!$N608=0,"",[2]对账明细接口!$N608),"")</f>
        <v/>
      </c>
      <c r="T608" s="112" t="str">
        <f aca="false">IFERROR(IF([2]对账明细接口!$O608=0,"",[2]对账明细接口!$O608),"")</f>
        <v/>
      </c>
      <c r="U608" s="112" t="str">
        <f aca="false">IFERROR(IF([2]对账明细接口!$P608=0,"",[2]对账明细接口!$P608),"")</f>
        <v/>
      </c>
      <c r="V608" s="112" t="str">
        <f aca="false">IFERROR(IF([2]对账明细接口!$Q608=0,"",[2]对账明细接口!$Q608),"")</f>
        <v/>
      </c>
      <c r="W608" s="10" t="str">
        <f aca="false">IFERROR(IF([2]对账明细接口!$R608=0,"",[2]对账明细接口!$R608),"")</f>
        <v/>
      </c>
      <c r="X608" s="10" t="str">
        <f aca="false">IFERROR(IF([2]对账明细接口!$S608=0,"",[2]对账明细接口!$S608),"")</f>
        <v/>
      </c>
      <c r="Y608" s="10" t="str">
        <f aca="false">IFERROR(IF([2]对账明细接口!$T608=0,"",[2]对账明细接口!$T608),"")</f>
        <v/>
      </c>
      <c r="Z608" s="113" t="str">
        <f aca="false">IFERROR(IF([2]对账明细接口!$U608=0,"",[2]对账明细接口!$U608),"")</f>
        <v/>
      </c>
      <c r="AA608" s="113" t="str">
        <f aca="false">IFERROR(IF([2]对账明细接口!$V608=0,"",[2]对账明细接口!$V608),"")</f>
        <v/>
      </c>
      <c r="AB608" s="10" t="str">
        <f aca="false">IFERROR(IF([2]对账明细接口!$W608=0,"",[2]对账明细接口!$W608),"")</f>
        <v/>
      </c>
      <c r="AC608" s="90" t="str">
        <f aca="false">IFERROR(IF([2]对账明细接口!$X609=0,"",[2]对账明细接口!$X609),"")</f>
        <v/>
      </c>
      <c r="AD608" s="90" t="str">
        <f aca="false">IFERROR(IF([2]对账明细接口!$Y609=0,"",[2]对账明细接口!$Y609),"")</f>
        <v/>
      </c>
      <c r="AE608" s="90" t="str">
        <f aca="false">IFERROR(IF([2]对账明细接口!$AA609=0,"",[2]对账明细接口!$AA609),"")</f>
        <v/>
      </c>
      <c r="AF608" s="90" t="str">
        <f aca="false">IFERROR(IF([2]对账明细接口!$AB609=0,"",[2]对账明细接口!$AB609),"")</f>
        <v/>
      </c>
      <c r="AG608" s="90" t="str">
        <f aca="false">IFERROR(IF([2]对账明细接口!$AC609=0,"",[2]对账明细接口!$AC609),"")</f>
        <v/>
      </c>
      <c r="AH608" s="90" t="str">
        <f aca="false">IFERROR(IF([2]对账明细接口!$AD609=0,"",[2]对账明细接口!$AD609),"")</f>
        <v/>
      </c>
    </row>
    <row r="609" customFormat="false" ht="13.5" hidden="false" customHeight="false" outlineLevel="0" collapsed="false">
      <c r="A609" s="109" t="n">
        <v>609</v>
      </c>
      <c r="B609" s="110" t="str">
        <f aca="false">IFERROR(IF([2]对账明细接口!$B$609=0,"",[2]对账明细接口!$B$609),"")</f>
        <v/>
      </c>
      <c r="C609" s="59" t="str">
        <f aca="false">IFERROR(IF([2]对账明细接口!$C$609=0,"",[2]对账明细接口!$C$609),"")</f>
        <v/>
      </c>
      <c r="D609" s="59" t="str">
        <f aca="false">IFERROR(IF([2]对账明细接口!$D$609=0,"",[2]对账明细接口!$D$609),"")</f>
        <v/>
      </c>
      <c r="E609" s="59" t="str">
        <f aca="false">IFERROR(IF([2]对账明细接口!$E$609=0,"",[2]对账明细接口!$E$609),"")</f>
        <v/>
      </c>
      <c r="F609" s="59" t="str">
        <f aca="false">IFERROR(IF([2]对账明细接口!$F$609=0,"",[2]对账明细接口!$F$609),"")</f>
        <v/>
      </c>
      <c r="G609" s="59" t="str">
        <f aca="false">IFERROR(IF([2]对账明细接口!$G$609=0,"",[2]对账明细接口!$G$609),"")</f>
        <v/>
      </c>
      <c r="H609" s="60" t="str">
        <f aca="false">IFERROR(IF([2]对账明细接口!$H$609=0,"",[2]对账明细接口!$H$609),"")</f>
        <v/>
      </c>
      <c r="I609" s="59" t="str">
        <f aca="false">IFERROR(IF([2]对账明细接口!$I$609=0,"",[2]对账明细接口!$I$609),"")</f>
        <v/>
      </c>
      <c r="J609" s="61" t="str">
        <f aca="false">IFERROR(IF([2]对账明细接口!$J$609=0,"",[2]对账明细接口!$J$609),"")</f>
        <v/>
      </c>
      <c r="K609" s="61" t="str">
        <f aca="false">IFERROR(IF([2]对账明细接口!$K$609=0,"",[2]对账明细接口!$K$609),"")</f>
        <v/>
      </c>
      <c r="L609" s="59" t="str">
        <f aca="false">IFERROR(IF([2]对账明细接口!$L$609=0,"",[2]对账明细接口!$L$609),"")</f>
        <v/>
      </c>
      <c r="M609" s="59" t="str">
        <f aca="false">IFERROR(IF([2]对账明细接口!$M$609=0,"",[2]对账明细接口!$M$609),"")</f>
        <v/>
      </c>
      <c r="N609" s="111" t="n">
        <f aca="false">IF($C609="",0,1)</f>
        <v>0</v>
      </c>
      <c r="O609" s="111" t="n">
        <f aca="false">N(O608)+$N609</f>
        <v>311</v>
      </c>
      <c r="S609" s="10" t="str">
        <f aca="false">IFERROR(IF([2]对账明细接口!$N609=0,"",[2]对账明细接口!$N609),"")</f>
        <v/>
      </c>
      <c r="T609" s="112" t="str">
        <f aca="false">IFERROR(IF([2]对账明细接口!$O609=0,"",[2]对账明细接口!$O609),"")</f>
        <v/>
      </c>
      <c r="U609" s="112" t="str">
        <f aca="false">IFERROR(IF([2]对账明细接口!$P609=0,"",[2]对账明细接口!$P609),"")</f>
        <v/>
      </c>
      <c r="V609" s="112" t="str">
        <f aca="false">IFERROR(IF([2]对账明细接口!$Q609=0,"",[2]对账明细接口!$Q609),"")</f>
        <v/>
      </c>
      <c r="W609" s="10" t="str">
        <f aca="false">IFERROR(IF([2]对账明细接口!$R609=0,"",[2]对账明细接口!$R609),"")</f>
        <v/>
      </c>
      <c r="X609" s="10" t="str">
        <f aca="false">IFERROR(IF([2]对账明细接口!$S609=0,"",[2]对账明细接口!$S609),"")</f>
        <v/>
      </c>
      <c r="Y609" s="10" t="str">
        <f aca="false">IFERROR(IF([2]对账明细接口!$T609=0,"",[2]对账明细接口!$T609),"")</f>
        <v/>
      </c>
      <c r="Z609" s="113" t="str">
        <f aca="false">IFERROR(IF([2]对账明细接口!$U609=0,"",[2]对账明细接口!$U609),"")</f>
        <v/>
      </c>
      <c r="AA609" s="113" t="str">
        <f aca="false">IFERROR(IF([2]对账明细接口!$V609=0,"",[2]对账明细接口!$V609),"")</f>
        <v/>
      </c>
      <c r="AB609" s="10" t="str">
        <f aca="false">IFERROR(IF([2]对账明细接口!$W609=0,"",[2]对账明细接口!$W609),"")</f>
        <v/>
      </c>
      <c r="AC609" s="90" t="str">
        <f aca="false">IFERROR(IF([2]对账明细接口!$X610=0,"",[2]对账明细接口!$X610),"")</f>
        <v/>
      </c>
      <c r="AD609" s="90" t="str">
        <f aca="false">IFERROR(IF([2]对账明细接口!$Y610=0,"",[2]对账明细接口!$Y610),"")</f>
        <v/>
      </c>
      <c r="AE609" s="90" t="str">
        <f aca="false">IFERROR(IF([2]对账明细接口!$AA610=0,"",[2]对账明细接口!$AA610),"")</f>
        <v/>
      </c>
      <c r="AF609" s="90" t="str">
        <f aca="false">IFERROR(IF([2]对账明细接口!$AB610=0,"",[2]对账明细接口!$AB610),"")</f>
        <v/>
      </c>
      <c r="AG609" s="90" t="str">
        <f aca="false">IFERROR(IF([2]对账明细接口!$AC610=0,"",[2]对账明细接口!$AC610),"")</f>
        <v/>
      </c>
      <c r="AH609" s="90" t="str">
        <f aca="false">IFERROR(IF([2]对账明细接口!$AD610=0,"",[2]对账明细接口!$AD610),"")</f>
        <v/>
      </c>
    </row>
    <row r="610" customFormat="false" ht="13.5" hidden="false" customHeight="false" outlineLevel="0" collapsed="false">
      <c r="A610" s="109" t="n">
        <v>610</v>
      </c>
      <c r="B610" s="110" t="str">
        <f aca="false">IFERROR(IF([2]对账明细接口!$B$610=0,"",[2]对账明细接口!$B$610),"")</f>
        <v/>
      </c>
      <c r="C610" s="59" t="str">
        <f aca="false">IFERROR(IF([2]对账明细接口!$C$610=0,"",[2]对账明细接口!$C$610),"")</f>
        <v/>
      </c>
      <c r="D610" s="59" t="str">
        <f aca="false">IFERROR(IF([2]对账明细接口!$D$610=0,"",[2]对账明细接口!$D$610),"")</f>
        <v/>
      </c>
      <c r="E610" s="59" t="str">
        <f aca="false">IFERROR(IF([2]对账明细接口!$E$610=0,"",[2]对账明细接口!$E$610),"")</f>
        <v/>
      </c>
      <c r="F610" s="59" t="str">
        <f aca="false">IFERROR(IF([2]对账明细接口!$F$610=0,"",[2]对账明细接口!$F$610),"")</f>
        <v/>
      </c>
      <c r="G610" s="59" t="str">
        <f aca="false">IFERROR(IF([2]对账明细接口!$G$610=0,"",[2]对账明细接口!$G$610),"")</f>
        <v/>
      </c>
      <c r="H610" s="60" t="str">
        <f aca="false">IFERROR(IF([2]对账明细接口!$H$610=0,"",[2]对账明细接口!$H$610),"")</f>
        <v/>
      </c>
      <c r="I610" s="59" t="str">
        <f aca="false">IFERROR(IF([2]对账明细接口!$I$610=0,"",[2]对账明细接口!$I$610),"")</f>
        <v/>
      </c>
      <c r="J610" s="61" t="str">
        <f aca="false">IFERROR(IF([2]对账明细接口!$J$610=0,"",[2]对账明细接口!$J$610),"")</f>
        <v/>
      </c>
      <c r="K610" s="61" t="str">
        <f aca="false">IFERROR(IF([2]对账明细接口!$K$610=0,"",[2]对账明细接口!$K$610),"")</f>
        <v/>
      </c>
      <c r="L610" s="59" t="str">
        <f aca="false">IFERROR(IF([2]对账明细接口!$L$610=0,"",[2]对账明细接口!$L$610),"")</f>
        <v/>
      </c>
      <c r="M610" s="59" t="str">
        <f aca="false">IFERROR(IF([2]对账明细接口!$M$610=0,"",[2]对账明细接口!$M$610),"")</f>
        <v/>
      </c>
      <c r="N610" s="111" t="n">
        <f aca="false">IF($C610="",0,1)</f>
        <v>0</v>
      </c>
      <c r="O610" s="111" t="n">
        <f aca="false">N(O609)+$N610</f>
        <v>311</v>
      </c>
      <c r="S610" s="10" t="str">
        <f aca="false">IFERROR(IF([2]对账明细接口!$N610=0,"",[2]对账明细接口!$N610),"")</f>
        <v/>
      </c>
      <c r="T610" s="112" t="str">
        <f aca="false">IFERROR(IF([2]对账明细接口!$O610=0,"",[2]对账明细接口!$O610),"")</f>
        <v/>
      </c>
      <c r="U610" s="112" t="str">
        <f aca="false">IFERROR(IF([2]对账明细接口!$P610=0,"",[2]对账明细接口!$P610),"")</f>
        <v/>
      </c>
      <c r="V610" s="112" t="str">
        <f aca="false">IFERROR(IF([2]对账明细接口!$Q610=0,"",[2]对账明细接口!$Q610),"")</f>
        <v/>
      </c>
      <c r="W610" s="10" t="str">
        <f aca="false">IFERROR(IF([2]对账明细接口!$R610=0,"",[2]对账明细接口!$R610),"")</f>
        <v/>
      </c>
      <c r="X610" s="10" t="str">
        <f aca="false">IFERROR(IF([2]对账明细接口!$S610=0,"",[2]对账明细接口!$S610),"")</f>
        <v/>
      </c>
      <c r="Y610" s="10" t="str">
        <f aca="false">IFERROR(IF([2]对账明细接口!$T610=0,"",[2]对账明细接口!$T610),"")</f>
        <v/>
      </c>
      <c r="Z610" s="113" t="str">
        <f aca="false">IFERROR(IF([2]对账明细接口!$U610=0,"",[2]对账明细接口!$U610),"")</f>
        <v/>
      </c>
      <c r="AA610" s="113" t="str">
        <f aca="false">IFERROR(IF([2]对账明细接口!$V610=0,"",[2]对账明细接口!$V610),"")</f>
        <v/>
      </c>
      <c r="AB610" s="10" t="str">
        <f aca="false">IFERROR(IF([2]对账明细接口!$W610=0,"",[2]对账明细接口!$W610),"")</f>
        <v/>
      </c>
      <c r="AC610" s="90" t="str">
        <f aca="false">IFERROR(IF([2]对账明细接口!$X611=0,"",[2]对账明细接口!$X611),"")</f>
        <v/>
      </c>
      <c r="AD610" s="90" t="str">
        <f aca="false">IFERROR(IF([2]对账明细接口!$Y611=0,"",[2]对账明细接口!$Y611),"")</f>
        <v/>
      </c>
      <c r="AE610" s="90" t="str">
        <f aca="false">IFERROR(IF([2]对账明细接口!$AA611=0,"",[2]对账明细接口!$AA611),"")</f>
        <v/>
      </c>
      <c r="AF610" s="90" t="str">
        <f aca="false">IFERROR(IF([2]对账明细接口!$AB611=0,"",[2]对账明细接口!$AB611),"")</f>
        <v/>
      </c>
      <c r="AG610" s="90" t="str">
        <f aca="false">IFERROR(IF([2]对账明细接口!$AC611=0,"",[2]对账明细接口!$AC611),"")</f>
        <v/>
      </c>
      <c r="AH610" s="90" t="str">
        <f aca="false">IFERROR(IF([2]对账明细接口!$AD611=0,"",[2]对账明细接口!$AD611),"")</f>
        <v/>
      </c>
    </row>
    <row r="611" customFormat="false" ht="13.5" hidden="false" customHeight="false" outlineLevel="0" collapsed="false">
      <c r="A611" s="109" t="n">
        <v>611</v>
      </c>
      <c r="B611" s="110" t="str">
        <f aca="false">IFERROR(IF([2]对账明细接口!$B$611=0,"",[2]对账明细接口!$B$611),"")</f>
        <v/>
      </c>
      <c r="C611" s="59" t="str">
        <f aca="false">IFERROR(IF([2]对账明细接口!$C$611=0,"",[2]对账明细接口!$C$611),"")</f>
        <v/>
      </c>
      <c r="D611" s="59" t="str">
        <f aca="false">IFERROR(IF([2]对账明细接口!$D$611=0,"",[2]对账明细接口!$D$611),"")</f>
        <v/>
      </c>
      <c r="E611" s="59" t="str">
        <f aca="false">IFERROR(IF([2]对账明细接口!$E$611=0,"",[2]对账明细接口!$E$611),"")</f>
        <v/>
      </c>
      <c r="F611" s="59" t="str">
        <f aca="false">IFERROR(IF([2]对账明细接口!$F$611=0,"",[2]对账明细接口!$F$611),"")</f>
        <v/>
      </c>
      <c r="G611" s="59" t="str">
        <f aca="false">IFERROR(IF([2]对账明细接口!$G$611=0,"",[2]对账明细接口!$G$611),"")</f>
        <v/>
      </c>
      <c r="H611" s="60" t="str">
        <f aca="false">IFERROR(IF([2]对账明细接口!$H$611=0,"",[2]对账明细接口!$H$611),"")</f>
        <v/>
      </c>
      <c r="I611" s="59" t="str">
        <f aca="false">IFERROR(IF([2]对账明细接口!$I$611=0,"",[2]对账明细接口!$I$611),"")</f>
        <v/>
      </c>
      <c r="J611" s="61" t="str">
        <f aca="false">IFERROR(IF([2]对账明细接口!$J$611=0,"",[2]对账明细接口!$J$611),"")</f>
        <v/>
      </c>
      <c r="K611" s="61" t="str">
        <f aca="false">IFERROR(IF([2]对账明细接口!$K$611=0,"",[2]对账明细接口!$K$611),"")</f>
        <v/>
      </c>
      <c r="L611" s="59" t="str">
        <f aca="false">IFERROR(IF([2]对账明细接口!$L$611=0,"",[2]对账明细接口!$L$611),"")</f>
        <v/>
      </c>
      <c r="M611" s="59" t="str">
        <f aca="false">IFERROR(IF([2]对账明细接口!$M$611=0,"",[2]对账明细接口!$M$611),"")</f>
        <v/>
      </c>
      <c r="N611" s="111" t="n">
        <f aca="false">IF($C611="",0,1)</f>
        <v>0</v>
      </c>
      <c r="O611" s="111" t="n">
        <f aca="false">N(O610)+$N611</f>
        <v>311</v>
      </c>
      <c r="S611" s="10" t="str">
        <f aca="false">IFERROR(IF([2]对账明细接口!$N611=0,"",[2]对账明细接口!$N611),"")</f>
        <v/>
      </c>
      <c r="T611" s="112" t="str">
        <f aca="false">IFERROR(IF([2]对账明细接口!$O611=0,"",[2]对账明细接口!$O611),"")</f>
        <v/>
      </c>
      <c r="U611" s="112" t="str">
        <f aca="false">IFERROR(IF([2]对账明细接口!$P611=0,"",[2]对账明细接口!$P611),"")</f>
        <v/>
      </c>
      <c r="V611" s="112" t="str">
        <f aca="false">IFERROR(IF([2]对账明细接口!$Q611=0,"",[2]对账明细接口!$Q611),"")</f>
        <v/>
      </c>
      <c r="W611" s="10" t="str">
        <f aca="false">IFERROR(IF([2]对账明细接口!$R611=0,"",[2]对账明细接口!$R611),"")</f>
        <v/>
      </c>
      <c r="X611" s="10" t="str">
        <f aca="false">IFERROR(IF([2]对账明细接口!$S611=0,"",[2]对账明细接口!$S611),"")</f>
        <v/>
      </c>
      <c r="Y611" s="10" t="str">
        <f aca="false">IFERROR(IF([2]对账明细接口!$T611=0,"",[2]对账明细接口!$T611),"")</f>
        <v/>
      </c>
      <c r="Z611" s="113" t="str">
        <f aca="false">IFERROR(IF([2]对账明细接口!$U611=0,"",[2]对账明细接口!$U611),"")</f>
        <v/>
      </c>
      <c r="AA611" s="113" t="str">
        <f aca="false">IFERROR(IF([2]对账明细接口!$V611=0,"",[2]对账明细接口!$V611),"")</f>
        <v/>
      </c>
      <c r="AB611" s="10" t="str">
        <f aca="false">IFERROR(IF([2]对账明细接口!$W611=0,"",[2]对账明细接口!$W611),"")</f>
        <v/>
      </c>
      <c r="AC611" s="90" t="str">
        <f aca="false">IFERROR(IF([2]对账明细接口!$X612=0,"",[2]对账明细接口!$X612),"")</f>
        <v/>
      </c>
      <c r="AD611" s="90" t="str">
        <f aca="false">IFERROR(IF([2]对账明细接口!$Y612=0,"",[2]对账明细接口!$Y612),"")</f>
        <v/>
      </c>
      <c r="AE611" s="90" t="str">
        <f aca="false">IFERROR(IF([2]对账明细接口!$AA612=0,"",[2]对账明细接口!$AA612),"")</f>
        <v/>
      </c>
      <c r="AF611" s="90" t="str">
        <f aca="false">IFERROR(IF([2]对账明细接口!$AB612=0,"",[2]对账明细接口!$AB612),"")</f>
        <v/>
      </c>
      <c r="AG611" s="90" t="str">
        <f aca="false">IFERROR(IF([2]对账明细接口!$AC612=0,"",[2]对账明细接口!$AC612),"")</f>
        <v/>
      </c>
      <c r="AH611" s="90" t="str">
        <f aca="false">IFERROR(IF([2]对账明细接口!$AD612=0,"",[2]对账明细接口!$AD612),"")</f>
        <v/>
      </c>
    </row>
    <row r="612" customFormat="false" ht="13.5" hidden="false" customHeight="false" outlineLevel="0" collapsed="false">
      <c r="A612" s="109" t="n">
        <v>612</v>
      </c>
      <c r="B612" s="110" t="str">
        <f aca="false">IFERROR(IF([2]对账明细接口!$B$612=0,"",[2]对账明细接口!$B$612),"")</f>
        <v/>
      </c>
      <c r="C612" s="59" t="str">
        <f aca="false">IFERROR(IF([2]对账明细接口!$C$612=0,"",[2]对账明细接口!$C$612),"")</f>
        <v/>
      </c>
      <c r="D612" s="59" t="str">
        <f aca="false">IFERROR(IF([2]对账明细接口!$D$612=0,"",[2]对账明细接口!$D$612),"")</f>
        <v/>
      </c>
      <c r="E612" s="59" t="str">
        <f aca="false">IFERROR(IF([2]对账明细接口!$E$612=0,"",[2]对账明细接口!$E$612),"")</f>
        <v/>
      </c>
      <c r="F612" s="59" t="str">
        <f aca="false">IFERROR(IF([2]对账明细接口!$F$612=0,"",[2]对账明细接口!$F$612),"")</f>
        <v/>
      </c>
      <c r="G612" s="59" t="str">
        <f aca="false">IFERROR(IF([2]对账明细接口!$G$612=0,"",[2]对账明细接口!$G$612),"")</f>
        <v/>
      </c>
      <c r="H612" s="60" t="str">
        <f aca="false">IFERROR(IF([2]对账明细接口!$H$612=0,"",[2]对账明细接口!$H$612),"")</f>
        <v/>
      </c>
      <c r="I612" s="59" t="str">
        <f aca="false">IFERROR(IF([2]对账明细接口!$I$612=0,"",[2]对账明细接口!$I$612),"")</f>
        <v/>
      </c>
      <c r="J612" s="61" t="str">
        <f aca="false">IFERROR(IF([2]对账明细接口!$J$612=0,"",[2]对账明细接口!$J$612),"")</f>
        <v/>
      </c>
      <c r="K612" s="61" t="str">
        <f aca="false">IFERROR(IF([2]对账明细接口!$K$612=0,"",[2]对账明细接口!$K$612),"")</f>
        <v/>
      </c>
      <c r="L612" s="59" t="str">
        <f aca="false">IFERROR(IF([2]对账明细接口!$L$612=0,"",[2]对账明细接口!$L$612),"")</f>
        <v/>
      </c>
      <c r="M612" s="59" t="str">
        <f aca="false">IFERROR(IF([2]对账明细接口!$M$612=0,"",[2]对账明细接口!$M$612),"")</f>
        <v/>
      </c>
      <c r="N612" s="111" t="n">
        <f aca="false">IF($C612="",0,1)</f>
        <v>0</v>
      </c>
      <c r="O612" s="111" t="n">
        <f aca="false">N(O611)+$N612</f>
        <v>311</v>
      </c>
      <c r="S612" s="10" t="str">
        <f aca="false">IFERROR(IF([2]对账明细接口!$N612=0,"",[2]对账明细接口!$N612),"")</f>
        <v/>
      </c>
      <c r="T612" s="112" t="str">
        <f aca="false">IFERROR(IF([2]对账明细接口!$O612=0,"",[2]对账明细接口!$O612),"")</f>
        <v/>
      </c>
      <c r="U612" s="112" t="str">
        <f aca="false">IFERROR(IF([2]对账明细接口!$P612=0,"",[2]对账明细接口!$P612),"")</f>
        <v/>
      </c>
      <c r="V612" s="112" t="str">
        <f aca="false">IFERROR(IF([2]对账明细接口!$Q612=0,"",[2]对账明细接口!$Q612),"")</f>
        <v/>
      </c>
      <c r="W612" s="10" t="str">
        <f aca="false">IFERROR(IF([2]对账明细接口!$R612=0,"",[2]对账明细接口!$R612),"")</f>
        <v/>
      </c>
      <c r="X612" s="10" t="str">
        <f aca="false">IFERROR(IF([2]对账明细接口!$S612=0,"",[2]对账明细接口!$S612),"")</f>
        <v/>
      </c>
      <c r="Y612" s="10" t="str">
        <f aca="false">IFERROR(IF([2]对账明细接口!$T612=0,"",[2]对账明细接口!$T612),"")</f>
        <v/>
      </c>
      <c r="Z612" s="113" t="str">
        <f aca="false">IFERROR(IF([2]对账明细接口!$U612=0,"",[2]对账明细接口!$U612),"")</f>
        <v/>
      </c>
      <c r="AA612" s="113" t="str">
        <f aca="false">IFERROR(IF([2]对账明细接口!$V612=0,"",[2]对账明细接口!$V612),"")</f>
        <v/>
      </c>
      <c r="AB612" s="10" t="str">
        <f aca="false">IFERROR(IF([2]对账明细接口!$W612=0,"",[2]对账明细接口!$W612),"")</f>
        <v/>
      </c>
      <c r="AC612" s="90" t="str">
        <f aca="false">IFERROR(IF([2]对账明细接口!$X613=0,"",[2]对账明细接口!$X613),"")</f>
        <v/>
      </c>
      <c r="AD612" s="90" t="str">
        <f aca="false">IFERROR(IF([2]对账明细接口!$Y613=0,"",[2]对账明细接口!$Y613),"")</f>
        <v/>
      </c>
      <c r="AE612" s="90" t="str">
        <f aca="false">IFERROR(IF([2]对账明细接口!$AA613=0,"",[2]对账明细接口!$AA613),"")</f>
        <v/>
      </c>
      <c r="AF612" s="90" t="str">
        <f aca="false">IFERROR(IF([2]对账明细接口!$AB613=0,"",[2]对账明细接口!$AB613),"")</f>
        <v/>
      </c>
      <c r="AG612" s="90" t="str">
        <f aca="false">IFERROR(IF([2]对账明细接口!$AC613=0,"",[2]对账明细接口!$AC613),"")</f>
        <v/>
      </c>
      <c r="AH612" s="90" t="str">
        <f aca="false">IFERROR(IF([2]对账明细接口!$AD613=0,"",[2]对账明细接口!$AD613),"")</f>
        <v/>
      </c>
    </row>
    <row r="613" customFormat="false" ht="13.5" hidden="false" customHeight="false" outlineLevel="0" collapsed="false">
      <c r="A613" s="109" t="n">
        <v>613</v>
      </c>
      <c r="B613" s="110" t="str">
        <f aca="false">IFERROR(IF([2]对账明细接口!$B$613=0,"",[2]对账明细接口!$B$613),"")</f>
        <v/>
      </c>
      <c r="C613" s="59" t="str">
        <f aca="false">IFERROR(IF([2]对账明细接口!$C$613=0,"",[2]对账明细接口!$C$613),"")</f>
        <v/>
      </c>
      <c r="D613" s="59" t="str">
        <f aca="false">IFERROR(IF([2]对账明细接口!$D$613=0,"",[2]对账明细接口!$D$613),"")</f>
        <v/>
      </c>
      <c r="E613" s="59" t="str">
        <f aca="false">IFERROR(IF([2]对账明细接口!$E$613=0,"",[2]对账明细接口!$E$613),"")</f>
        <v/>
      </c>
      <c r="F613" s="59" t="str">
        <f aca="false">IFERROR(IF([2]对账明细接口!$F$613=0,"",[2]对账明细接口!$F$613),"")</f>
        <v/>
      </c>
      <c r="G613" s="59" t="str">
        <f aca="false">IFERROR(IF([2]对账明细接口!$G$613=0,"",[2]对账明细接口!$G$613),"")</f>
        <v/>
      </c>
      <c r="H613" s="60" t="str">
        <f aca="false">IFERROR(IF([2]对账明细接口!$H$613=0,"",[2]对账明细接口!$H$613),"")</f>
        <v/>
      </c>
      <c r="I613" s="59" t="str">
        <f aca="false">IFERROR(IF([2]对账明细接口!$I$613=0,"",[2]对账明细接口!$I$613),"")</f>
        <v/>
      </c>
      <c r="J613" s="61" t="str">
        <f aca="false">IFERROR(IF([2]对账明细接口!$J$613=0,"",[2]对账明细接口!$J$613),"")</f>
        <v/>
      </c>
      <c r="K613" s="61" t="str">
        <f aca="false">IFERROR(IF([2]对账明细接口!$K$613=0,"",[2]对账明细接口!$K$613),"")</f>
        <v/>
      </c>
      <c r="L613" s="59" t="str">
        <f aca="false">IFERROR(IF([2]对账明细接口!$L$613=0,"",[2]对账明细接口!$L$613),"")</f>
        <v/>
      </c>
      <c r="M613" s="59" t="str">
        <f aca="false">IFERROR(IF([2]对账明细接口!$M$613=0,"",[2]对账明细接口!$M$613),"")</f>
        <v/>
      </c>
      <c r="N613" s="111" t="n">
        <f aca="false">IF($C613="",0,1)</f>
        <v>0</v>
      </c>
      <c r="O613" s="111" t="n">
        <f aca="false">N(O612)+$N613</f>
        <v>311</v>
      </c>
      <c r="S613" s="10" t="str">
        <f aca="false">IFERROR(IF([2]对账明细接口!$N613=0,"",[2]对账明细接口!$N613),"")</f>
        <v/>
      </c>
      <c r="T613" s="112" t="str">
        <f aca="false">IFERROR(IF([2]对账明细接口!$O613=0,"",[2]对账明细接口!$O613),"")</f>
        <v/>
      </c>
      <c r="U613" s="112" t="str">
        <f aca="false">IFERROR(IF([2]对账明细接口!$P613=0,"",[2]对账明细接口!$P613),"")</f>
        <v/>
      </c>
      <c r="V613" s="112" t="str">
        <f aca="false">IFERROR(IF([2]对账明细接口!$Q613=0,"",[2]对账明细接口!$Q613),"")</f>
        <v/>
      </c>
      <c r="W613" s="10" t="str">
        <f aca="false">IFERROR(IF([2]对账明细接口!$R613=0,"",[2]对账明细接口!$R613),"")</f>
        <v/>
      </c>
      <c r="X613" s="10" t="str">
        <f aca="false">IFERROR(IF([2]对账明细接口!$S613=0,"",[2]对账明细接口!$S613),"")</f>
        <v/>
      </c>
      <c r="Y613" s="10" t="str">
        <f aca="false">IFERROR(IF([2]对账明细接口!$T613=0,"",[2]对账明细接口!$T613),"")</f>
        <v/>
      </c>
      <c r="Z613" s="113" t="str">
        <f aca="false">IFERROR(IF([2]对账明细接口!$U613=0,"",[2]对账明细接口!$U613),"")</f>
        <v/>
      </c>
      <c r="AA613" s="113" t="str">
        <f aca="false">IFERROR(IF([2]对账明细接口!$V613=0,"",[2]对账明细接口!$V613),"")</f>
        <v/>
      </c>
      <c r="AB613" s="10" t="str">
        <f aca="false">IFERROR(IF([2]对账明细接口!$W613=0,"",[2]对账明细接口!$W613),"")</f>
        <v/>
      </c>
      <c r="AC613" s="90" t="str">
        <f aca="false">IFERROR(IF([2]对账明细接口!$X614=0,"",[2]对账明细接口!$X614),"")</f>
        <v/>
      </c>
      <c r="AD613" s="90" t="str">
        <f aca="false">IFERROR(IF([2]对账明细接口!$Y614=0,"",[2]对账明细接口!$Y614),"")</f>
        <v/>
      </c>
      <c r="AE613" s="90" t="str">
        <f aca="false">IFERROR(IF([2]对账明细接口!$AA614=0,"",[2]对账明细接口!$AA614),"")</f>
        <v/>
      </c>
      <c r="AF613" s="90" t="str">
        <f aca="false">IFERROR(IF([2]对账明细接口!$AB614=0,"",[2]对账明细接口!$AB614),"")</f>
        <v/>
      </c>
      <c r="AG613" s="90" t="str">
        <f aca="false">IFERROR(IF([2]对账明细接口!$AC614=0,"",[2]对账明细接口!$AC614),"")</f>
        <v/>
      </c>
      <c r="AH613" s="90" t="str">
        <f aca="false">IFERROR(IF([2]对账明细接口!$AD614=0,"",[2]对账明细接口!$AD614),"")</f>
        <v/>
      </c>
    </row>
    <row r="614" customFormat="false" ht="13.5" hidden="false" customHeight="false" outlineLevel="0" collapsed="false">
      <c r="A614" s="109" t="n">
        <v>614</v>
      </c>
      <c r="B614" s="110" t="str">
        <f aca="false">IFERROR(IF([2]对账明细接口!$B$614=0,"",[2]对账明细接口!$B$614),"")</f>
        <v/>
      </c>
      <c r="C614" s="59" t="str">
        <f aca="false">IFERROR(IF([2]对账明细接口!$C$614=0,"",[2]对账明细接口!$C$614),"")</f>
        <v/>
      </c>
      <c r="D614" s="59" t="str">
        <f aca="false">IFERROR(IF([2]对账明细接口!$D$614=0,"",[2]对账明细接口!$D$614),"")</f>
        <v/>
      </c>
      <c r="E614" s="59" t="str">
        <f aca="false">IFERROR(IF([2]对账明细接口!$E$614=0,"",[2]对账明细接口!$E$614),"")</f>
        <v/>
      </c>
      <c r="F614" s="59" t="str">
        <f aca="false">IFERROR(IF([2]对账明细接口!$F$614=0,"",[2]对账明细接口!$F$614),"")</f>
        <v/>
      </c>
      <c r="G614" s="59" t="str">
        <f aca="false">IFERROR(IF([2]对账明细接口!$G$614=0,"",[2]对账明细接口!$G$614),"")</f>
        <v/>
      </c>
      <c r="H614" s="60" t="str">
        <f aca="false">IFERROR(IF([2]对账明细接口!$H$614=0,"",[2]对账明细接口!$H$614),"")</f>
        <v/>
      </c>
      <c r="I614" s="59" t="str">
        <f aca="false">IFERROR(IF([2]对账明细接口!$I$614=0,"",[2]对账明细接口!$I$614),"")</f>
        <v/>
      </c>
      <c r="J614" s="61" t="str">
        <f aca="false">IFERROR(IF([2]对账明细接口!$J$614=0,"",[2]对账明细接口!$J$614),"")</f>
        <v/>
      </c>
      <c r="K614" s="61" t="str">
        <f aca="false">IFERROR(IF([2]对账明细接口!$K$614=0,"",[2]对账明细接口!$K$614),"")</f>
        <v/>
      </c>
      <c r="L614" s="59" t="str">
        <f aca="false">IFERROR(IF([2]对账明细接口!$L$614=0,"",[2]对账明细接口!$L$614),"")</f>
        <v/>
      </c>
      <c r="M614" s="59" t="str">
        <f aca="false">IFERROR(IF([2]对账明细接口!$M$614=0,"",[2]对账明细接口!$M$614),"")</f>
        <v/>
      </c>
      <c r="N614" s="111" t="n">
        <f aca="false">IF($C614="",0,1)</f>
        <v>0</v>
      </c>
      <c r="O614" s="111" t="n">
        <f aca="false">N(O613)+$N614</f>
        <v>311</v>
      </c>
      <c r="S614" s="10" t="str">
        <f aca="false">IFERROR(IF([2]对账明细接口!$N614=0,"",[2]对账明细接口!$N614),"")</f>
        <v/>
      </c>
      <c r="T614" s="112" t="str">
        <f aca="false">IFERROR(IF([2]对账明细接口!$O614=0,"",[2]对账明细接口!$O614),"")</f>
        <v/>
      </c>
      <c r="U614" s="112" t="str">
        <f aca="false">IFERROR(IF([2]对账明细接口!$P614=0,"",[2]对账明细接口!$P614),"")</f>
        <v/>
      </c>
      <c r="V614" s="112" t="str">
        <f aca="false">IFERROR(IF([2]对账明细接口!$Q614=0,"",[2]对账明细接口!$Q614),"")</f>
        <v/>
      </c>
      <c r="W614" s="10" t="str">
        <f aca="false">IFERROR(IF([2]对账明细接口!$R614=0,"",[2]对账明细接口!$R614),"")</f>
        <v/>
      </c>
      <c r="X614" s="10" t="str">
        <f aca="false">IFERROR(IF([2]对账明细接口!$S614=0,"",[2]对账明细接口!$S614),"")</f>
        <v/>
      </c>
      <c r="Y614" s="10" t="str">
        <f aca="false">IFERROR(IF([2]对账明细接口!$T614=0,"",[2]对账明细接口!$T614),"")</f>
        <v/>
      </c>
      <c r="Z614" s="113" t="str">
        <f aca="false">IFERROR(IF([2]对账明细接口!$U614=0,"",[2]对账明细接口!$U614),"")</f>
        <v/>
      </c>
      <c r="AA614" s="113" t="str">
        <f aca="false">IFERROR(IF([2]对账明细接口!$V614=0,"",[2]对账明细接口!$V614),"")</f>
        <v/>
      </c>
      <c r="AB614" s="10" t="str">
        <f aca="false">IFERROR(IF([2]对账明细接口!$W614=0,"",[2]对账明细接口!$W614),"")</f>
        <v/>
      </c>
      <c r="AC614" s="90" t="str">
        <f aca="false">IFERROR(IF([2]对账明细接口!$X615=0,"",[2]对账明细接口!$X615),"")</f>
        <v/>
      </c>
      <c r="AD614" s="90" t="str">
        <f aca="false">IFERROR(IF([2]对账明细接口!$Y615=0,"",[2]对账明细接口!$Y615),"")</f>
        <v/>
      </c>
      <c r="AE614" s="90" t="str">
        <f aca="false">IFERROR(IF([2]对账明细接口!$AA615=0,"",[2]对账明细接口!$AA615),"")</f>
        <v/>
      </c>
      <c r="AF614" s="90" t="str">
        <f aca="false">IFERROR(IF([2]对账明细接口!$AB615=0,"",[2]对账明细接口!$AB615),"")</f>
        <v/>
      </c>
      <c r="AG614" s="90" t="str">
        <f aca="false">IFERROR(IF([2]对账明细接口!$AC615=0,"",[2]对账明细接口!$AC615),"")</f>
        <v/>
      </c>
      <c r="AH614" s="90" t="str">
        <f aca="false">IFERROR(IF([2]对账明细接口!$AD615=0,"",[2]对账明细接口!$AD615),"")</f>
        <v/>
      </c>
    </row>
    <row r="615" customFormat="false" ht="13.5" hidden="false" customHeight="false" outlineLevel="0" collapsed="false">
      <c r="A615" s="109" t="n">
        <v>615</v>
      </c>
      <c r="B615" s="110" t="str">
        <f aca="false">IFERROR(IF([2]对账明细接口!$B$615=0,"",[2]对账明细接口!$B$615),"")</f>
        <v/>
      </c>
      <c r="C615" s="59" t="str">
        <f aca="false">IFERROR(IF([2]对账明细接口!$C$615=0,"",[2]对账明细接口!$C$615),"")</f>
        <v/>
      </c>
      <c r="D615" s="59" t="str">
        <f aca="false">IFERROR(IF([2]对账明细接口!$D$615=0,"",[2]对账明细接口!$D$615),"")</f>
        <v/>
      </c>
      <c r="E615" s="59" t="str">
        <f aca="false">IFERROR(IF([2]对账明细接口!$E$615=0,"",[2]对账明细接口!$E$615),"")</f>
        <v/>
      </c>
      <c r="F615" s="59" t="str">
        <f aca="false">IFERROR(IF([2]对账明细接口!$F$615=0,"",[2]对账明细接口!$F$615),"")</f>
        <v/>
      </c>
      <c r="G615" s="59" t="str">
        <f aca="false">IFERROR(IF([2]对账明细接口!$G$615=0,"",[2]对账明细接口!$G$615),"")</f>
        <v/>
      </c>
      <c r="H615" s="60" t="str">
        <f aca="false">IFERROR(IF([2]对账明细接口!$H$615=0,"",[2]对账明细接口!$H$615),"")</f>
        <v/>
      </c>
      <c r="I615" s="59" t="str">
        <f aca="false">IFERROR(IF([2]对账明细接口!$I$615=0,"",[2]对账明细接口!$I$615),"")</f>
        <v/>
      </c>
      <c r="J615" s="61" t="str">
        <f aca="false">IFERROR(IF([2]对账明细接口!$J$615=0,"",[2]对账明细接口!$J$615),"")</f>
        <v/>
      </c>
      <c r="K615" s="61" t="str">
        <f aca="false">IFERROR(IF([2]对账明细接口!$K$615=0,"",[2]对账明细接口!$K$615),"")</f>
        <v/>
      </c>
      <c r="L615" s="59" t="str">
        <f aca="false">IFERROR(IF([2]对账明细接口!$L$615=0,"",[2]对账明细接口!$L$615),"")</f>
        <v/>
      </c>
      <c r="M615" s="59" t="str">
        <f aca="false">IFERROR(IF([2]对账明细接口!$M$615=0,"",[2]对账明细接口!$M$615),"")</f>
        <v/>
      </c>
      <c r="N615" s="111" t="n">
        <f aca="false">IF($C615="",0,1)</f>
        <v>0</v>
      </c>
      <c r="O615" s="111" t="n">
        <f aca="false">N(O614)+$N615</f>
        <v>311</v>
      </c>
      <c r="S615" s="10" t="str">
        <f aca="false">IFERROR(IF([2]对账明细接口!$N615=0,"",[2]对账明细接口!$N615),"")</f>
        <v/>
      </c>
      <c r="T615" s="112" t="str">
        <f aca="false">IFERROR(IF([2]对账明细接口!$O615=0,"",[2]对账明细接口!$O615),"")</f>
        <v/>
      </c>
      <c r="U615" s="112" t="str">
        <f aca="false">IFERROR(IF([2]对账明细接口!$P615=0,"",[2]对账明细接口!$P615),"")</f>
        <v/>
      </c>
      <c r="V615" s="112" t="str">
        <f aca="false">IFERROR(IF([2]对账明细接口!$Q615=0,"",[2]对账明细接口!$Q615),"")</f>
        <v/>
      </c>
      <c r="W615" s="10" t="str">
        <f aca="false">IFERROR(IF([2]对账明细接口!$R615=0,"",[2]对账明细接口!$R615),"")</f>
        <v/>
      </c>
      <c r="X615" s="10" t="str">
        <f aca="false">IFERROR(IF([2]对账明细接口!$S615=0,"",[2]对账明细接口!$S615),"")</f>
        <v/>
      </c>
      <c r="Y615" s="10" t="str">
        <f aca="false">IFERROR(IF([2]对账明细接口!$T615=0,"",[2]对账明细接口!$T615),"")</f>
        <v/>
      </c>
      <c r="Z615" s="113" t="str">
        <f aca="false">IFERROR(IF([2]对账明细接口!$U615=0,"",[2]对账明细接口!$U615),"")</f>
        <v/>
      </c>
      <c r="AA615" s="113" t="str">
        <f aca="false">IFERROR(IF([2]对账明细接口!$V615=0,"",[2]对账明细接口!$V615),"")</f>
        <v/>
      </c>
      <c r="AB615" s="10" t="str">
        <f aca="false">IFERROR(IF([2]对账明细接口!$W615=0,"",[2]对账明细接口!$W615),"")</f>
        <v/>
      </c>
      <c r="AC615" s="90" t="str">
        <f aca="false">IFERROR(IF([2]对账明细接口!$X616=0,"",[2]对账明细接口!$X616),"")</f>
        <v/>
      </c>
      <c r="AD615" s="90" t="str">
        <f aca="false">IFERROR(IF([2]对账明细接口!$Y616=0,"",[2]对账明细接口!$Y616),"")</f>
        <v/>
      </c>
      <c r="AE615" s="90" t="str">
        <f aca="false">IFERROR(IF([2]对账明细接口!$AA616=0,"",[2]对账明细接口!$AA616),"")</f>
        <v/>
      </c>
      <c r="AF615" s="90" t="str">
        <f aca="false">IFERROR(IF([2]对账明细接口!$AB616=0,"",[2]对账明细接口!$AB616),"")</f>
        <v/>
      </c>
      <c r="AG615" s="90" t="str">
        <f aca="false">IFERROR(IF([2]对账明细接口!$AC616=0,"",[2]对账明细接口!$AC616),"")</f>
        <v/>
      </c>
      <c r="AH615" s="90" t="str">
        <f aca="false">IFERROR(IF([2]对账明细接口!$AD616=0,"",[2]对账明细接口!$AD616),"")</f>
        <v/>
      </c>
    </row>
    <row r="616" customFormat="false" ht="13.5" hidden="false" customHeight="false" outlineLevel="0" collapsed="false">
      <c r="A616" s="109" t="n">
        <v>616</v>
      </c>
      <c r="B616" s="110" t="str">
        <f aca="false">IFERROR(IF([2]对账明细接口!$B$616=0,"",[2]对账明细接口!$B$616),"")</f>
        <v/>
      </c>
      <c r="C616" s="59" t="str">
        <f aca="false">IFERROR(IF([2]对账明细接口!$C$616=0,"",[2]对账明细接口!$C$616),"")</f>
        <v/>
      </c>
      <c r="D616" s="59" t="str">
        <f aca="false">IFERROR(IF([2]对账明细接口!$D$616=0,"",[2]对账明细接口!$D$616),"")</f>
        <v/>
      </c>
      <c r="E616" s="59" t="str">
        <f aca="false">IFERROR(IF([2]对账明细接口!$E$616=0,"",[2]对账明细接口!$E$616),"")</f>
        <v/>
      </c>
      <c r="F616" s="59" t="str">
        <f aca="false">IFERROR(IF([2]对账明细接口!$F$616=0,"",[2]对账明细接口!$F$616),"")</f>
        <v/>
      </c>
      <c r="G616" s="59" t="str">
        <f aca="false">IFERROR(IF([2]对账明细接口!$G$616=0,"",[2]对账明细接口!$G$616),"")</f>
        <v/>
      </c>
      <c r="H616" s="60" t="str">
        <f aca="false">IFERROR(IF([2]对账明细接口!$H$616=0,"",[2]对账明细接口!$H$616),"")</f>
        <v/>
      </c>
      <c r="I616" s="59" t="str">
        <f aca="false">IFERROR(IF([2]对账明细接口!$I$616=0,"",[2]对账明细接口!$I$616),"")</f>
        <v/>
      </c>
      <c r="J616" s="61" t="str">
        <f aca="false">IFERROR(IF([2]对账明细接口!$J$616=0,"",[2]对账明细接口!$J$616),"")</f>
        <v/>
      </c>
      <c r="K616" s="61" t="str">
        <f aca="false">IFERROR(IF([2]对账明细接口!$K$616=0,"",[2]对账明细接口!$K$616),"")</f>
        <v/>
      </c>
      <c r="L616" s="59" t="str">
        <f aca="false">IFERROR(IF([2]对账明细接口!$L$616=0,"",[2]对账明细接口!$L$616),"")</f>
        <v/>
      </c>
      <c r="M616" s="59" t="str">
        <f aca="false">IFERROR(IF([2]对账明细接口!$M$616=0,"",[2]对账明细接口!$M$616),"")</f>
        <v/>
      </c>
      <c r="N616" s="111" t="n">
        <f aca="false">IF($C616="",0,1)</f>
        <v>0</v>
      </c>
      <c r="O616" s="111" t="n">
        <f aca="false">N(O615)+$N616</f>
        <v>311</v>
      </c>
      <c r="S616" s="10" t="str">
        <f aca="false">IFERROR(IF([2]对账明细接口!$N616=0,"",[2]对账明细接口!$N616),"")</f>
        <v/>
      </c>
      <c r="T616" s="112" t="str">
        <f aca="false">IFERROR(IF([2]对账明细接口!$O616=0,"",[2]对账明细接口!$O616),"")</f>
        <v/>
      </c>
      <c r="U616" s="112" t="str">
        <f aca="false">IFERROR(IF([2]对账明细接口!$P616=0,"",[2]对账明细接口!$P616),"")</f>
        <v/>
      </c>
      <c r="V616" s="112" t="str">
        <f aca="false">IFERROR(IF([2]对账明细接口!$Q616=0,"",[2]对账明细接口!$Q616),"")</f>
        <v/>
      </c>
      <c r="W616" s="10" t="str">
        <f aca="false">IFERROR(IF([2]对账明细接口!$R616=0,"",[2]对账明细接口!$R616),"")</f>
        <v/>
      </c>
      <c r="X616" s="10" t="str">
        <f aca="false">IFERROR(IF([2]对账明细接口!$S616=0,"",[2]对账明细接口!$S616),"")</f>
        <v/>
      </c>
      <c r="Y616" s="10" t="str">
        <f aca="false">IFERROR(IF([2]对账明细接口!$T616=0,"",[2]对账明细接口!$T616),"")</f>
        <v/>
      </c>
      <c r="Z616" s="113" t="str">
        <f aca="false">IFERROR(IF([2]对账明细接口!$U616=0,"",[2]对账明细接口!$U616),"")</f>
        <v/>
      </c>
      <c r="AA616" s="113" t="str">
        <f aca="false">IFERROR(IF([2]对账明细接口!$V616=0,"",[2]对账明细接口!$V616),"")</f>
        <v/>
      </c>
      <c r="AB616" s="10" t="str">
        <f aca="false">IFERROR(IF([2]对账明细接口!$W616=0,"",[2]对账明细接口!$W616),"")</f>
        <v/>
      </c>
      <c r="AC616" s="90" t="str">
        <f aca="false">IFERROR(IF([2]对账明细接口!$X617=0,"",[2]对账明细接口!$X617),"")</f>
        <v/>
      </c>
      <c r="AD616" s="90" t="str">
        <f aca="false">IFERROR(IF([2]对账明细接口!$Y617=0,"",[2]对账明细接口!$Y617),"")</f>
        <v/>
      </c>
      <c r="AE616" s="90" t="str">
        <f aca="false">IFERROR(IF([2]对账明细接口!$AA617=0,"",[2]对账明细接口!$AA617),"")</f>
        <v/>
      </c>
      <c r="AF616" s="90" t="str">
        <f aca="false">IFERROR(IF([2]对账明细接口!$AB617=0,"",[2]对账明细接口!$AB617),"")</f>
        <v/>
      </c>
      <c r="AG616" s="90" t="str">
        <f aca="false">IFERROR(IF([2]对账明细接口!$AC617=0,"",[2]对账明细接口!$AC617),"")</f>
        <v/>
      </c>
      <c r="AH616" s="90" t="str">
        <f aca="false">IFERROR(IF([2]对账明细接口!$AD617=0,"",[2]对账明细接口!$AD617),"")</f>
        <v/>
      </c>
    </row>
    <row r="617" customFormat="false" ht="13.5" hidden="false" customHeight="false" outlineLevel="0" collapsed="false">
      <c r="A617" s="109" t="n">
        <v>617</v>
      </c>
      <c r="B617" s="110" t="str">
        <f aca="false">IFERROR(IF([2]对账明细接口!$B$617=0,"",[2]对账明细接口!$B$617),"")</f>
        <v/>
      </c>
      <c r="C617" s="59" t="str">
        <f aca="false">IFERROR(IF([2]对账明细接口!$C$617=0,"",[2]对账明细接口!$C$617),"")</f>
        <v/>
      </c>
      <c r="D617" s="59" t="str">
        <f aca="false">IFERROR(IF([2]对账明细接口!$D$617=0,"",[2]对账明细接口!$D$617),"")</f>
        <v/>
      </c>
      <c r="E617" s="59" t="str">
        <f aca="false">IFERROR(IF([2]对账明细接口!$E$617=0,"",[2]对账明细接口!$E$617),"")</f>
        <v/>
      </c>
      <c r="F617" s="59" t="str">
        <f aca="false">IFERROR(IF([2]对账明细接口!$F$617=0,"",[2]对账明细接口!$F$617),"")</f>
        <v/>
      </c>
      <c r="G617" s="59" t="str">
        <f aca="false">IFERROR(IF([2]对账明细接口!$G$617=0,"",[2]对账明细接口!$G$617),"")</f>
        <v/>
      </c>
      <c r="H617" s="60" t="str">
        <f aca="false">IFERROR(IF([2]对账明细接口!$H$617=0,"",[2]对账明细接口!$H$617),"")</f>
        <v/>
      </c>
      <c r="I617" s="59" t="str">
        <f aca="false">IFERROR(IF([2]对账明细接口!$I$617=0,"",[2]对账明细接口!$I$617),"")</f>
        <v/>
      </c>
      <c r="J617" s="61" t="str">
        <f aca="false">IFERROR(IF([2]对账明细接口!$J$617=0,"",[2]对账明细接口!$J$617),"")</f>
        <v/>
      </c>
      <c r="K617" s="61" t="str">
        <f aca="false">IFERROR(IF([2]对账明细接口!$K$617=0,"",[2]对账明细接口!$K$617),"")</f>
        <v/>
      </c>
      <c r="L617" s="59" t="str">
        <f aca="false">IFERROR(IF([2]对账明细接口!$L$617=0,"",[2]对账明细接口!$L$617),"")</f>
        <v/>
      </c>
      <c r="M617" s="59" t="str">
        <f aca="false">IFERROR(IF([2]对账明细接口!$M$617=0,"",[2]对账明细接口!$M$617),"")</f>
        <v/>
      </c>
      <c r="N617" s="111" t="n">
        <f aca="false">IF($C617="",0,1)</f>
        <v>0</v>
      </c>
      <c r="O617" s="111" t="n">
        <f aca="false">N(O616)+$N617</f>
        <v>311</v>
      </c>
      <c r="S617" s="10" t="str">
        <f aca="false">IFERROR(IF([2]对账明细接口!$N617=0,"",[2]对账明细接口!$N617),"")</f>
        <v/>
      </c>
      <c r="T617" s="112" t="str">
        <f aca="false">IFERROR(IF([2]对账明细接口!$O617=0,"",[2]对账明细接口!$O617),"")</f>
        <v/>
      </c>
      <c r="U617" s="112" t="str">
        <f aca="false">IFERROR(IF([2]对账明细接口!$P617=0,"",[2]对账明细接口!$P617),"")</f>
        <v/>
      </c>
      <c r="V617" s="112" t="str">
        <f aca="false">IFERROR(IF([2]对账明细接口!$Q617=0,"",[2]对账明细接口!$Q617),"")</f>
        <v/>
      </c>
      <c r="W617" s="10" t="str">
        <f aca="false">IFERROR(IF([2]对账明细接口!$R617=0,"",[2]对账明细接口!$R617),"")</f>
        <v/>
      </c>
      <c r="X617" s="10" t="str">
        <f aca="false">IFERROR(IF([2]对账明细接口!$S617=0,"",[2]对账明细接口!$S617),"")</f>
        <v/>
      </c>
      <c r="Y617" s="10" t="str">
        <f aca="false">IFERROR(IF([2]对账明细接口!$T617=0,"",[2]对账明细接口!$T617),"")</f>
        <v/>
      </c>
      <c r="Z617" s="113" t="str">
        <f aca="false">IFERROR(IF([2]对账明细接口!$U617=0,"",[2]对账明细接口!$U617),"")</f>
        <v/>
      </c>
      <c r="AA617" s="113" t="str">
        <f aca="false">IFERROR(IF([2]对账明细接口!$V617=0,"",[2]对账明细接口!$V617),"")</f>
        <v/>
      </c>
      <c r="AB617" s="10" t="str">
        <f aca="false">IFERROR(IF([2]对账明细接口!$W617=0,"",[2]对账明细接口!$W617),"")</f>
        <v/>
      </c>
      <c r="AC617" s="90" t="str">
        <f aca="false">IFERROR(IF([2]对账明细接口!$X618=0,"",[2]对账明细接口!$X618),"")</f>
        <v/>
      </c>
      <c r="AD617" s="90" t="str">
        <f aca="false">IFERROR(IF([2]对账明细接口!$Y618=0,"",[2]对账明细接口!$Y618),"")</f>
        <v/>
      </c>
      <c r="AE617" s="90" t="str">
        <f aca="false">IFERROR(IF([2]对账明细接口!$AA618=0,"",[2]对账明细接口!$AA618),"")</f>
        <v/>
      </c>
      <c r="AF617" s="90" t="str">
        <f aca="false">IFERROR(IF([2]对账明细接口!$AB618=0,"",[2]对账明细接口!$AB618),"")</f>
        <v/>
      </c>
      <c r="AG617" s="90" t="str">
        <f aca="false">IFERROR(IF([2]对账明细接口!$AC618=0,"",[2]对账明细接口!$AC618),"")</f>
        <v/>
      </c>
      <c r="AH617" s="90" t="str">
        <f aca="false">IFERROR(IF([2]对账明细接口!$AD618=0,"",[2]对账明细接口!$AD618),"")</f>
        <v/>
      </c>
    </row>
    <row r="618" customFormat="false" ht="13.5" hidden="false" customHeight="false" outlineLevel="0" collapsed="false">
      <c r="A618" s="109" t="n">
        <v>618</v>
      </c>
      <c r="B618" s="110" t="str">
        <f aca="false">IFERROR(IF([2]对账明细接口!$B$618=0,"",[2]对账明细接口!$B$618),"")</f>
        <v/>
      </c>
      <c r="C618" s="59" t="str">
        <f aca="false">IFERROR(IF([2]对账明细接口!$C$618=0,"",[2]对账明细接口!$C$618),"")</f>
        <v/>
      </c>
      <c r="D618" s="59" t="str">
        <f aca="false">IFERROR(IF([2]对账明细接口!$D$618=0,"",[2]对账明细接口!$D$618),"")</f>
        <v/>
      </c>
      <c r="E618" s="59" t="str">
        <f aca="false">IFERROR(IF([2]对账明细接口!$E$618=0,"",[2]对账明细接口!$E$618),"")</f>
        <v/>
      </c>
      <c r="F618" s="59" t="str">
        <f aca="false">IFERROR(IF([2]对账明细接口!$F$618=0,"",[2]对账明细接口!$F$618),"")</f>
        <v/>
      </c>
      <c r="G618" s="59" t="str">
        <f aca="false">IFERROR(IF([2]对账明细接口!$G$618=0,"",[2]对账明细接口!$G$618),"")</f>
        <v/>
      </c>
      <c r="H618" s="60" t="str">
        <f aca="false">IFERROR(IF([2]对账明细接口!$H$618=0,"",[2]对账明细接口!$H$618),"")</f>
        <v/>
      </c>
      <c r="I618" s="59" t="str">
        <f aca="false">IFERROR(IF([2]对账明细接口!$I$618=0,"",[2]对账明细接口!$I$618),"")</f>
        <v/>
      </c>
      <c r="J618" s="61" t="str">
        <f aca="false">IFERROR(IF([2]对账明细接口!$J$618=0,"",[2]对账明细接口!$J$618),"")</f>
        <v/>
      </c>
      <c r="K618" s="61" t="str">
        <f aca="false">IFERROR(IF([2]对账明细接口!$K$618=0,"",[2]对账明细接口!$K$618),"")</f>
        <v/>
      </c>
      <c r="L618" s="59" t="str">
        <f aca="false">IFERROR(IF([2]对账明细接口!$L$618=0,"",[2]对账明细接口!$L$618),"")</f>
        <v/>
      </c>
      <c r="M618" s="59" t="str">
        <f aca="false">IFERROR(IF([2]对账明细接口!$M$618=0,"",[2]对账明细接口!$M$618),"")</f>
        <v/>
      </c>
      <c r="N618" s="111" t="n">
        <f aca="false">IF($C618="",0,1)</f>
        <v>0</v>
      </c>
      <c r="O618" s="111" t="n">
        <f aca="false">N(O617)+$N618</f>
        <v>311</v>
      </c>
      <c r="S618" s="10" t="str">
        <f aca="false">IFERROR(IF([2]对账明细接口!$N618=0,"",[2]对账明细接口!$N618),"")</f>
        <v/>
      </c>
      <c r="T618" s="112" t="str">
        <f aca="false">IFERROR(IF([2]对账明细接口!$O618=0,"",[2]对账明细接口!$O618),"")</f>
        <v/>
      </c>
      <c r="U618" s="112" t="str">
        <f aca="false">IFERROR(IF([2]对账明细接口!$P618=0,"",[2]对账明细接口!$P618),"")</f>
        <v/>
      </c>
      <c r="V618" s="112" t="str">
        <f aca="false">IFERROR(IF([2]对账明细接口!$Q618=0,"",[2]对账明细接口!$Q618),"")</f>
        <v/>
      </c>
      <c r="W618" s="10" t="str">
        <f aca="false">IFERROR(IF([2]对账明细接口!$R618=0,"",[2]对账明细接口!$R618),"")</f>
        <v/>
      </c>
      <c r="X618" s="10" t="str">
        <f aca="false">IFERROR(IF([2]对账明细接口!$S618=0,"",[2]对账明细接口!$S618),"")</f>
        <v/>
      </c>
      <c r="Y618" s="10" t="str">
        <f aca="false">IFERROR(IF([2]对账明细接口!$T618=0,"",[2]对账明细接口!$T618),"")</f>
        <v/>
      </c>
      <c r="Z618" s="113" t="str">
        <f aca="false">IFERROR(IF([2]对账明细接口!$U618=0,"",[2]对账明细接口!$U618),"")</f>
        <v/>
      </c>
      <c r="AA618" s="113" t="str">
        <f aca="false">IFERROR(IF([2]对账明细接口!$V618=0,"",[2]对账明细接口!$V618),"")</f>
        <v/>
      </c>
      <c r="AB618" s="10" t="str">
        <f aca="false">IFERROR(IF([2]对账明细接口!$W618=0,"",[2]对账明细接口!$W618),"")</f>
        <v/>
      </c>
      <c r="AC618" s="90" t="str">
        <f aca="false">IFERROR(IF([2]对账明细接口!$X619=0,"",[2]对账明细接口!$X619),"")</f>
        <v/>
      </c>
      <c r="AD618" s="90" t="str">
        <f aca="false">IFERROR(IF([2]对账明细接口!$Y619=0,"",[2]对账明细接口!$Y619),"")</f>
        <v/>
      </c>
      <c r="AE618" s="90" t="str">
        <f aca="false">IFERROR(IF([2]对账明细接口!$AA619=0,"",[2]对账明细接口!$AA619),"")</f>
        <v/>
      </c>
      <c r="AF618" s="90" t="str">
        <f aca="false">IFERROR(IF([2]对账明细接口!$AB619=0,"",[2]对账明细接口!$AB619),"")</f>
        <v/>
      </c>
      <c r="AG618" s="90" t="str">
        <f aca="false">IFERROR(IF([2]对账明细接口!$AC619=0,"",[2]对账明细接口!$AC619),"")</f>
        <v/>
      </c>
      <c r="AH618" s="90" t="str">
        <f aca="false">IFERROR(IF([2]对账明细接口!$AD619=0,"",[2]对账明细接口!$AD619),"")</f>
        <v/>
      </c>
    </row>
    <row r="619" customFormat="false" ht="13.5" hidden="false" customHeight="false" outlineLevel="0" collapsed="false">
      <c r="A619" s="109" t="n">
        <v>619</v>
      </c>
      <c r="B619" s="110" t="str">
        <f aca="false">IFERROR(IF([2]对账明细接口!$B$619=0,"",[2]对账明细接口!$B$619),"")</f>
        <v/>
      </c>
      <c r="C619" s="59" t="str">
        <f aca="false">IFERROR(IF([2]对账明细接口!$C$619=0,"",[2]对账明细接口!$C$619),"")</f>
        <v/>
      </c>
      <c r="D619" s="59" t="str">
        <f aca="false">IFERROR(IF([2]对账明细接口!$D$619=0,"",[2]对账明细接口!$D$619),"")</f>
        <v/>
      </c>
      <c r="E619" s="59" t="str">
        <f aca="false">IFERROR(IF([2]对账明细接口!$E$619=0,"",[2]对账明细接口!$E$619),"")</f>
        <v/>
      </c>
      <c r="F619" s="59" t="str">
        <f aca="false">IFERROR(IF([2]对账明细接口!$F$619=0,"",[2]对账明细接口!$F$619),"")</f>
        <v/>
      </c>
      <c r="G619" s="59" t="str">
        <f aca="false">IFERROR(IF([2]对账明细接口!$G$619=0,"",[2]对账明细接口!$G$619),"")</f>
        <v/>
      </c>
      <c r="H619" s="60" t="str">
        <f aca="false">IFERROR(IF([2]对账明细接口!$H$619=0,"",[2]对账明细接口!$H$619),"")</f>
        <v/>
      </c>
      <c r="I619" s="59" t="str">
        <f aca="false">IFERROR(IF([2]对账明细接口!$I$619=0,"",[2]对账明细接口!$I$619),"")</f>
        <v/>
      </c>
      <c r="J619" s="61" t="str">
        <f aca="false">IFERROR(IF([2]对账明细接口!$J$619=0,"",[2]对账明细接口!$J$619),"")</f>
        <v/>
      </c>
      <c r="K619" s="61" t="str">
        <f aca="false">IFERROR(IF([2]对账明细接口!$K$619=0,"",[2]对账明细接口!$K$619),"")</f>
        <v/>
      </c>
      <c r="L619" s="59" t="str">
        <f aca="false">IFERROR(IF([2]对账明细接口!$L$619=0,"",[2]对账明细接口!$L$619),"")</f>
        <v/>
      </c>
      <c r="M619" s="59" t="str">
        <f aca="false">IFERROR(IF([2]对账明细接口!$M$619=0,"",[2]对账明细接口!$M$619),"")</f>
        <v/>
      </c>
      <c r="N619" s="111" t="n">
        <f aca="false">IF($C619="",0,1)</f>
        <v>0</v>
      </c>
      <c r="O619" s="111" t="n">
        <f aca="false">N(O618)+$N619</f>
        <v>311</v>
      </c>
      <c r="S619" s="10" t="str">
        <f aca="false">IFERROR(IF([2]对账明细接口!$N619=0,"",[2]对账明细接口!$N619),"")</f>
        <v/>
      </c>
      <c r="T619" s="112" t="str">
        <f aca="false">IFERROR(IF([2]对账明细接口!$O619=0,"",[2]对账明细接口!$O619),"")</f>
        <v/>
      </c>
      <c r="U619" s="112" t="str">
        <f aca="false">IFERROR(IF([2]对账明细接口!$P619=0,"",[2]对账明细接口!$P619),"")</f>
        <v/>
      </c>
      <c r="V619" s="112" t="str">
        <f aca="false">IFERROR(IF([2]对账明细接口!$Q619=0,"",[2]对账明细接口!$Q619),"")</f>
        <v/>
      </c>
      <c r="W619" s="10" t="str">
        <f aca="false">IFERROR(IF([2]对账明细接口!$R619=0,"",[2]对账明细接口!$R619),"")</f>
        <v/>
      </c>
      <c r="X619" s="10" t="str">
        <f aca="false">IFERROR(IF([2]对账明细接口!$S619=0,"",[2]对账明细接口!$S619),"")</f>
        <v/>
      </c>
      <c r="Y619" s="10" t="str">
        <f aca="false">IFERROR(IF([2]对账明细接口!$T619=0,"",[2]对账明细接口!$T619),"")</f>
        <v/>
      </c>
      <c r="Z619" s="113" t="str">
        <f aca="false">IFERROR(IF([2]对账明细接口!$U619=0,"",[2]对账明细接口!$U619),"")</f>
        <v/>
      </c>
      <c r="AA619" s="113" t="str">
        <f aca="false">IFERROR(IF([2]对账明细接口!$V619=0,"",[2]对账明细接口!$V619),"")</f>
        <v/>
      </c>
      <c r="AB619" s="10" t="str">
        <f aca="false">IFERROR(IF([2]对账明细接口!$W619=0,"",[2]对账明细接口!$W619),"")</f>
        <v/>
      </c>
      <c r="AC619" s="90" t="str">
        <f aca="false">IFERROR(IF([2]对账明细接口!$X620=0,"",[2]对账明细接口!$X620),"")</f>
        <v/>
      </c>
      <c r="AD619" s="90" t="str">
        <f aca="false">IFERROR(IF([2]对账明细接口!$Y620=0,"",[2]对账明细接口!$Y620),"")</f>
        <v/>
      </c>
      <c r="AE619" s="90" t="str">
        <f aca="false">IFERROR(IF([2]对账明细接口!$AA620=0,"",[2]对账明细接口!$AA620),"")</f>
        <v/>
      </c>
      <c r="AF619" s="90" t="str">
        <f aca="false">IFERROR(IF([2]对账明细接口!$AB620=0,"",[2]对账明细接口!$AB620),"")</f>
        <v/>
      </c>
      <c r="AG619" s="90" t="str">
        <f aca="false">IFERROR(IF([2]对账明细接口!$AC620=0,"",[2]对账明细接口!$AC620),"")</f>
        <v/>
      </c>
      <c r="AH619" s="90" t="str">
        <f aca="false">IFERROR(IF([2]对账明细接口!$AD620=0,"",[2]对账明细接口!$AD620),"")</f>
        <v/>
      </c>
    </row>
    <row r="620" customFormat="false" ht="13.5" hidden="false" customHeight="false" outlineLevel="0" collapsed="false">
      <c r="A620" s="109" t="n">
        <v>620</v>
      </c>
      <c r="B620" s="110" t="str">
        <f aca="false">IFERROR(IF([2]对账明细接口!$B$620=0,"",[2]对账明细接口!$B$620),"")</f>
        <v/>
      </c>
      <c r="C620" s="59" t="str">
        <f aca="false">IFERROR(IF([2]对账明细接口!$C$620=0,"",[2]对账明细接口!$C$620),"")</f>
        <v/>
      </c>
      <c r="D620" s="59" t="str">
        <f aca="false">IFERROR(IF([2]对账明细接口!$D$620=0,"",[2]对账明细接口!$D$620),"")</f>
        <v/>
      </c>
      <c r="E620" s="59" t="str">
        <f aca="false">IFERROR(IF([2]对账明细接口!$E$620=0,"",[2]对账明细接口!$E$620),"")</f>
        <v/>
      </c>
      <c r="F620" s="59" t="str">
        <f aca="false">IFERROR(IF([2]对账明细接口!$F$620=0,"",[2]对账明细接口!$F$620),"")</f>
        <v/>
      </c>
      <c r="G620" s="59" t="str">
        <f aca="false">IFERROR(IF([2]对账明细接口!$G$620=0,"",[2]对账明细接口!$G$620),"")</f>
        <v/>
      </c>
      <c r="H620" s="60" t="str">
        <f aca="false">IFERROR(IF([2]对账明细接口!$H$620=0,"",[2]对账明细接口!$H$620),"")</f>
        <v/>
      </c>
      <c r="I620" s="59" t="str">
        <f aca="false">IFERROR(IF([2]对账明细接口!$I$620=0,"",[2]对账明细接口!$I$620),"")</f>
        <v/>
      </c>
      <c r="J620" s="61" t="str">
        <f aca="false">IFERROR(IF([2]对账明细接口!$J$620=0,"",[2]对账明细接口!$J$620),"")</f>
        <v/>
      </c>
      <c r="K620" s="61" t="str">
        <f aca="false">IFERROR(IF([2]对账明细接口!$K$620=0,"",[2]对账明细接口!$K$620),"")</f>
        <v/>
      </c>
      <c r="L620" s="59" t="str">
        <f aca="false">IFERROR(IF([2]对账明细接口!$L$620=0,"",[2]对账明细接口!$L$620),"")</f>
        <v/>
      </c>
      <c r="M620" s="59" t="str">
        <f aca="false">IFERROR(IF([2]对账明细接口!$M$620=0,"",[2]对账明细接口!$M$620),"")</f>
        <v/>
      </c>
      <c r="N620" s="111" t="n">
        <f aca="false">IF($C620="",0,1)</f>
        <v>0</v>
      </c>
      <c r="O620" s="111" t="n">
        <f aca="false">N(O619)+$N620</f>
        <v>311</v>
      </c>
      <c r="S620" s="10" t="str">
        <f aca="false">IFERROR(IF([2]对账明细接口!$N620=0,"",[2]对账明细接口!$N620),"")</f>
        <v/>
      </c>
      <c r="T620" s="112" t="str">
        <f aca="false">IFERROR(IF([2]对账明细接口!$O620=0,"",[2]对账明细接口!$O620),"")</f>
        <v/>
      </c>
      <c r="U620" s="112" t="str">
        <f aca="false">IFERROR(IF([2]对账明细接口!$P620=0,"",[2]对账明细接口!$P620),"")</f>
        <v/>
      </c>
      <c r="V620" s="112" t="str">
        <f aca="false">IFERROR(IF([2]对账明细接口!$Q620=0,"",[2]对账明细接口!$Q620),"")</f>
        <v/>
      </c>
      <c r="W620" s="10" t="str">
        <f aca="false">IFERROR(IF([2]对账明细接口!$R620=0,"",[2]对账明细接口!$R620),"")</f>
        <v/>
      </c>
      <c r="X620" s="10" t="str">
        <f aca="false">IFERROR(IF([2]对账明细接口!$S620=0,"",[2]对账明细接口!$S620),"")</f>
        <v/>
      </c>
      <c r="Y620" s="10" t="str">
        <f aca="false">IFERROR(IF([2]对账明细接口!$T620=0,"",[2]对账明细接口!$T620),"")</f>
        <v/>
      </c>
      <c r="Z620" s="113" t="str">
        <f aca="false">IFERROR(IF([2]对账明细接口!$U620=0,"",[2]对账明细接口!$U620),"")</f>
        <v/>
      </c>
      <c r="AA620" s="113" t="str">
        <f aca="false">IFERROR(IF([2]对账明细接口!$V620=0,"",[2]对账明细接口!$V620),"")</f>
        <v/>
      </c>
      <c r="AB620" s="10" t="str">
        <f aca="false">IFERROR(IF([2]对账明细接口!$W620=0,"",[2]对账明细接口!$W620),"")</f>
        <v/>
      </c>
      <c r="AC620" s="90" t="str">
        <f aca="false">IFERROR(IF([2]对账明细接口!$X621=0,"",[2]对账明细接口!$X621),"")</f>
        <v/>
      </c>
      <c r="AD620" s="90" t="str">
        <f aca="false">IFERROR(IF([2]对账明细接口!$Y621=0,"",[2]对账明细接口!$Y621),"")</f>
        <v/>
      </c>
      <c r="AE620" s="90" t="str">
        <f aca="false">IFERROR(IF([2]对账明细接口!$AA621=0,"",[2]对账明细接口!$AA621),"")</f>
        <v/>
      </c>
      <c r="AF620" s="90" t="str">
        <f aca="false">IFERROR(IF([2]对账明细接口!$AB621=0,"",[2]对账明细接口!$AB621),"")</f>
        <v/>
      </c>
      <c r="AG620" s="90" t="str">
        <f aca="false">IFERROR(IF([2]对账明细接口!$AC621=0,"",[2]对账明细接口!$AC621),"")</f>
        <v/>
      </c>
      <c r="AH620" s="90" t="str">
        <f aca="false">IFERROR(IF([2]对账明细接口!$AD621=0,"",[2]对账明细接口!$AD621),"")</f>
        <v/>
      </c>
    </row>
    <row r="621" customFormat="false" ht="13.5" hidden="false" customHeight="false" outlineLevel="0" collapsed="false">
      <c r="A621" s="109" t="n">
        <v>621</v>
      </c>
      <c r="B621" s="110" t="str">
        <f aca="false">IFERROR(IF([2]对账明细接口!$B$621=0,"",[2]对账明细接口!$B$621),"")</f>
        <v/>
      </c>
      <c r="C621" s="59" t="str">
        <f aca="false">IFERROR(IF([2]对账明细接口!$C$621=0,"",[2]对账明细接口!$C$621),"")</f>
        <v/>
      </c>
      <c r="D621" s="59" t="str">
        <f aca="false">IFERROR(IF([2]对账明细接口!$D$621=0,"",[2]对账明细接口!$D$621),"")</f>
        <v/>
      </c>
      <c r="E621" s="59" t="str">
        <f aca="false">IFERROR(IF([2]对账明细接口!$E$621=0,"",[2]对账明细接口!$E$621),"")</f>
        <v/>
      </c>
      <c r="F621" s="59" t="str">
        <f aca="false">IFERROR(IF([2]对账明细接口!$F$621=0,"",[2]对账明细接口!$F$621),"")</f>
        <v/>
      </c>
      <c r="G621" s="59" t="str">
        <f aca="false">IFERROR(IF([2]对账明细接口!$G$621=0,"",[2]对账明细接口!$G$621),"")</f>
        <v/>
      </c>
      <c r="H621" s="60" t="str">
        <f aca="false">IFERROR(IF([2]对账明细接口!$H$621=0,"",[2]对账明细接口!$H$621),"")</f>
        <v/>
      </c>
      <c r="I621" s="59" t="str">
        <f aca="false">IFERROR(IF([2]对账明细接口!$I$621=0,"",[2]对账明细接口!$I$621),"")</f>
        <v/>
      </c>
      <c r="J621" s="61" t="str">
        <f aca="false">IFERROR(IF([2]对账明细接口!$J$621=0,"",[2]对账明细接口!$J$621),"")</f>
        <v/>
      </c>
      <c r="K621" s="61" t="str">
        <f aca="false">IFERROR(IF([2]对账明细接口!$K$621=0,"",[2]对账明细接口!$K$621),"")</f>
        <v/>
      </c>
      <c r="L621" s="59" t="str">
        <f aca="false">IFERROR(IF([2]对账明细接口!$L$621=0,"",[2]对账明细接口!$L$621),"")</f>
        <v/>
      </c>
      <c r="M621" s="59" t="str">
        <f aca="false">IFERROR(IF([2]对账明细接口!$M$621=0,"",[2]对账明细接口!$M$621),"")</f>
        <v/>
      </c>
      <c r="N621" s="111" t="n">
        <f aca="false">IF($C621="",0,1)</f>
        <v>0</v>
      </c>
      <c r="O621" s="111" t="n">
        <f aca="false">N(O620)+$N621</f>
        <v>311</v>
      </c>
      <c r="S621" s="10" t="str">
        <f aca="false">IFERROR(IF([2]对账明细接口!$N621=0,"",[2]对账明细接口!$N621),"")</f>
        <v/>
      </c>
      <c r="T621" s="112" t="str">
        <f aca="false">IFERROR(IF([2]对账明细接口!$O621=0,"",[2]对账明细接口!$O621),"")</f>
        <v/>
      </c>
      <c r="U621" s="112" t="str">
        <f aca="false">IFERROR(IF([2]对账明细接口!$P621=0,"",[2]对账明细接口!$P621),"")</f>
        <v/>
      </c>
      <c r="V621" s="112" t="str">
        <f aca="false">IFERROR(IF([2]对账明细接口!$Q621=0,"",[2]对账明细接口!$Q621),"")</f>
        <v/>
      </c>
      <c r="W621" s="10" t="str">
        <f aca="false">IFERROR(IF([2]对账明细接口!$R621=0,"",[2]对账明细接口!$R621),"")</f>
        <v/>
      </c>
      <c r="X621" s="10" t="str">
        <f aca="false">IFERROR(IF([2]对账明细接口!$S621=0,"",[2]对账明细接口!$S621),"")</f>
        <v/>
      </c>
      <c r="Y621" s="10" t="str">
        <f aca="false">IFERROR(IF([2]对账明细接口!$T621=0,"",[2]对账明细接口!$T621),"")</f>
        <v/>
      </c>
      <c r="Z621" s="113" t="str">
        <f aca="false">IFERROR(IF([2]对账明细接口!$U621=0,"",[2]对账明细接口!$U621),"")</f>
        <v/>
      </c>
      <c r="AA621" s="113" t="str">
        <f aca="false">IFERROR(IF([2]对账明细接口!$V621=0,"",[2]对账明细接口!$V621),"")</f>
        <v/>
      </c>
      <c r="AB621" s="10" t="str">
        <f aca="false">IFERROR(IF([2]对账明细接口!$W621=0,"",[2]对账明细接口!$W621),"")</f>
        <v/>
      </c>
      <c r="AC621" s="90" t="str">
        <f aca="false">IFERROR(IF([2]对账明细接口!$X622=0,"",[2]对账明细接口!$X622),"")</f>
        <v/>
      </c>
      <c r="AD621" s="90" t="str">
        <f aca="false">IFERROR(IF([2]对账明细接口!$Y622=0,"",[2]对账明细接口!$Y622),"")</f>
        <v/>
      </c>
      <c r="AE621" s="90" t="str">
        <f aca="false">IFERROR(IF([2]对账明细接口!$AA622=0,"",[2]对账明细接口!$AA622),"")</f>
        <v/>
      </c>
      <c r="AF621" s="90" t="str">
        <f aca="false">IFERROR(IF([2]对账明细接口!$AB622=0,"",[2]对账明细接口!$AB622),"")</f>
        <v/>
      </c>
      <c r="AG621" s="90" t="str">
        <f aca="false">IFERROR(IF([2]对账明细接口!$AC622=0,"",[2]对账明细接口!$AC622),"")</f>
        <v/>
      </c>
      <c r="AH621" s="90" t="str">
        <f aca="false">IFERROR(IF([2]对账明细接口!$AD622=0,"",[2]对账明细接口!$AD622),"")</f>
        <v/>
      </c>
    </row>
    <row r="622" customFormat="false" ht="13.5" hidden="false" customHeight="false" outlineLevel="0" collapsed="false">
      <c r="A622" s="109" t="n">
        <v>622</v>
      </c>
      <c r="B622" s="110" t="str">
        <f aca="false">IFERROR(IF([2]对账明细接口!$B$622=0,"",[2]对账明细接口!$B$622),"")</f>
        <v/>
      </c>
      <c r="C622" s="59" t="str">
        <f aca="false">IFERROR(IF([2]对账明细接口!$C$622=0,"",[2]对账明细接口!$C$622),"")</f>
        <v/>
      </c>
      <c r="D622" s="59" t="str">
        <f aca="false">IFERROR(IF([2]对账明细接口!$D$622=0,"",[2]对账明细接口!$D$622),"")</f>
        <v/>
      </c>
      <c r="E622" s="59" t="str">
        <f aca="false">IFERROR(IF([2]对账明细接口!$E$622=0,"",[2]对账明细接口!$E$622),"")</f>
        <v/>
      </c>
      <c r="F622" s="59" t="str">
        <f aca="false">IFERROR(IF([2]对账明细接口!$F$622=0,"",[2]对账明细接口!$F$622),"")</f>
        <v/>
      </c>
      <c r="G622" s="59" t="str">
        <f aca="false">IFERROR(IF([2]对账明细接口!$G$622=0,"",[2]对账明细接口!$G$622),"")</f>
        <v/>
      </c>
      <c r="H622" s="60" t="str">
        <f aca="false">IFERROR(IF([2]对账明细接口!$H$622=0,"",[2]对账明细接口!$H$622),"")</f>
        <v/>
      </c>
      <c r="I622" s="59" t="str">
        <f aca="false">IFERROR(IF([2]对账明细接口!$I$622=0,"",[2]对账明细接口!$I$622),"")</f>
        <v/>
      </c>
      <c r="J622" s="61" t="str">
        <f aca="false">IFERROR(IF([2]对账明细接口!$J$622=0,"",[2]对账明细接口!$J$622),"")</f>
        <v/>
      </c>
      <c r="K622" s="61" t="str">
        <f aca="false">IFERROR(IF([2]对账明细接口!$K$622=0,"",[2]对账明细接口!$K$622),"")</f>
        <v/>
      </c>
      <c r="L622" s="59" t="str">
        <f aca="false">IFERROR(IF([2]对账明细接口!$L$622=0,"",[2]对账明细接口!$L$622),"")</f>
        <v/>
      </c>
      <c r="M622" s="59" t="str">
        <f aca="false">IFERROR(IF([2]对账明细接口!$M$622=0,"",[2]对账明细接口!$M$622),"")</f>
        <v/>
      </c>
      <c r="N622" s="111" t="n">
        <f aca="false">IF($C622="",0,1)</f>
        <v>0</v>
      </c>
      <c r="O622" s="111" t="n">
        <f aca="false">N(O621)+$N622</f>
        <v>311</v>
      </c>
      <c r="S622" s="10" t="str">
        <f aca="false">IFERROR(IF([2]对账明细接口!$N622=0,"",[2]对账明细接口!$N622),"")</f>
        <v/>
      </c>
      <c r="T622" s="112" t="str">
        <f aca="false">IFERROR(IF([2]对账明细接口!$O622=0,"",[2]对账明细接口!$O622),"")</f>
        <v/>
      </c>
      <c r="U622" s="112" t="str">
        <f aca="false">IFERROR(IF([2]对账明细接口!$P622=0,"",[2]对账明细接口!$P622),"")</f>
        <v/>
      </c>
      <c r="V622" s="112" t="str">
        <f aca="false">IFERROR(IF([2]对账明细接口!$Q622=0,"",[2]对账明细接口!$Q622),"")</f>
        <v/>
      </c>
      <c r="W622" s="10" t="str">
        <f aca="false">IFERROR(IF([2]对账明细接口!$R622=0,"",[2]对账明细接口!$R622),"")</f>
        <v/>
      </c>
      <c r="X622" s="10" t="str">
        <f aca="false">IFERROR(IF([2]对账明细接口!$S622=0,"",[2]对账明细接口!$S622),"")</f>
        <v/>
      </c>
      <c r="Y622" s="10" t="str">
        <f aca="false">IFERROR(IF([2]对账明细接口!$T622=0,"",[2]对账明细接口!$T622),"")</f>
        <v/>
      </c>
      <c r="Z622" s="113" t="str">
        <f aca="false">IFERROR(IF([2]对账明细接口!$U622=0,"",[2]对账明细接口!$U622),"")</f>
        <v/>
      </c>
      <c r="AA622" s="113" t="str">
        <f aca="false">IFERROR(IF([2]对账明细接口!$V622=0,"",[2]对账明细接口!$V622),"")</f>
        <v/>
      </c>
      <c r="AB622" s="10" t="str">
        <f aca="false">IFERROR(IF([2]对账明细接口!$W622=0,"",[2]对账明细接口!$W622),"")</f>
        <v/>
      </c>
      <c r="AC622" s="90" t="str">
        <f aca="false">IFERROR(IF([2]对账明细接口!$X623=0,"",[2]对账明细接口!$X623),"")</f>
        <v/>
      </c>
      <c r="AD622" s="90" t="str">
        <f aca="false">IFERROR(IF([2]对账明细接口!$Y623=0,"",[2]对账明细接口!$Y623),"")</f>
        <v/>
      </c>
      <c r="AE622" s="90" t="str">
        <f aca="false">IFERROR(IF([2]对账明细接口!$AA623=0,"",[2]对账明细接口!$AA623),"")</f>
        <v/>
      </c>
      <c r="AF622" s="90" t="str">
        <f aca="false">IFERROR(IF([2]对账明细接口!$AB623=0,"",[2]对账明细接口!$AB623),"")</f>
        <v/>
      </c>
      <c r="AG622" s="90" t="str">
        <f aca="false">IFERROR(IF([2]对账明细接口!$AC623=0,"",[2]对账明细接口!$AC623),"")</f>
        <v/>
      </c>
      <c r="AH622" s="90" t="str">
        <f aca="false">IFERROR(IF([2]对账明细接口!$AD623=0,"",[2]对账明细接口!$AD623),"")</f>
        <v/>
      </c>
    </row>
    <row r="623" customFormat="false" ht="13.5" hidden="false" customHeight="false" outlineLevel="0" collapsed="false">
      <c r="A623" s="109" t="n">
        <v>623</v>
      </c>
      <c r="B623" s="110" t="str">
        <f aca="false">IFERROR(IF([2]对账明细接口!$B$623=0,"",[2]对账明细接口!$B$623),"")</f>
        <v/>
      </c>
      <c r="C623" s="59" t="str">
        <f aca="false">IFERROR(IF([2]对账明细接口!$C$623=0,"",[2]对账明细接口!$C$623),"")</f>
        <v/>
      </c>
      <c r="D623" s="59" t="str">
        <f aca="false">IFERROR(IF([2]对账明细接口!$D$623=0,"",[2]对账明细接口!$D$623),"")</f>
        <v/>
      </c>
      <c r="E623" s="59" t="str">
        <f aca="false">IFERROR(IF([2]对账明细接口!$E$623=0,"",[2]对账明细接口!$E$623),"")</f>
        <v/>
      </c>
      <c r="F623" s="59" t="str">
        <f aca="false">IFERROR(IF([2]对账明细接口!$F$623=0,"",[2]对账明细接口!$F$623),"")</f>
        <v/>
      </c>
      <c r="G623" s="59" t="str">
        <f aca="false">IFERROR(IF([2]对账明细接口!$G$623=0,"",[2]对账明细接口!$G$623),"")</f>
        <v/>
      </c>
      <c r="H623" s="60" t="str">
        <f aca="false">IFERROR(IF([2]对账明细接口!$H$623=0,"",[2]对账明细接口!$H$623),"")</f>
        <v/>
      </c>
      <c r="I623" s="59" t="str">
        <f aca="false">IFERROR(IF([2]对账明细接口!$I$623=0,"",[2]对账明细接口!$I$623),"")</f>
        <v/>
      </c>
      <c r="J623" s="61" t="str">
        <f aca="false">IFERROR(IF([2]对账明细接口!$J$623=0,"",[2]对账明细接口!$J$623),"")</f>
        <v/>
      </c>
      <c r="K623" s="61" t="str">
        <f aca="false">IFERROR(IF([2]对账明细接口!$K$623=0,"",[2]对账明细接口!$K$623),"")</f>
        <v/>
      </c>
      <c r="L623" s="59" t="str">
        <f aca="false">IFERROR(IF([2]对账明细接口!$L$623=0,"",[2]对账明细接口!$L$623),"")</f>
        <v/>
      </c>
      <c r="M623" s="59" t="str">
        <f aca="false">IFERROR(IF([2]对账明细接口!$M$623=0,"",[2]对账明细接口!$M$623),"")</f>
        <v/>
      </c>
      <c r="N623" s="111" t="n">
        <f aca="false">IF($C623="",0,1)</f>
        <v>0</v>
      </c>
      <c r="O623" s="111" t="n">
        <f aca="false">N(O622)+$N623</f>
        <v>311</v>
      </c>
      <c r="S623" s="10" t="str">
        <f aca="false">IFERROR(IF([2]对账明细接口!$N623=0,"",[2]对账明细接口!$N623),"")</f>
        <v/>
      </c>
      <c r="T623" s="112" t="str">
        <f aca="false">IFERROR(IF([2]对账明细接口!$O623=0,"",[2]对账明细接口!$O623),"")</f>
        <v/>
      </c>
      <c r="U623" s="112" t="str">
        <f aca="false">IFERROR(IF([2]对账明细接口!$P623=0,"",[2]对账明细接口!$P623),"")</f>
        <v/>
      </c>
      <c r="V623" s="112" t="str">
        <f aca="false">IFERROR(IF([2]对账明细接口!$Q623=0,"",[2]对账明细接口!$Q623),"")</f>
        <v/>
      </c>
      <c r="W623" s="10" t="str">
        <f aca="false">IFERROR(IF([2]对账明细接口!$R623=0,"",[2]对账明细接口!$R623),"")</f>
        <v/>
      </c>
      <c r="X623" s="10" t="str">
        <f aca="false">IFERROR(IF([2]对账明细接口!$S623=0,"",[2]对账明细接口!$S623),"")</f>
        <v/>
      </c>
      <c r="Y623" s="10" t="str">
        <f aca="false">IFERROR(IF([2]对账明细接口!$T623=0,"",[2]对账明细接口!$T623),"")</f>
        <v/>
      </c>
      <c r="Z623" s="113" t="str">
        <f aca="false">IFERROR(IF([2]对账明细接口!$U623=0,"",[2]对账明细接口!$U623),"")</f>
        <v/>
      </c>
      <c r="AA623" s="113" t="str">
        <f aca="false">IFERROR(IF([2]对账明细接口!$V623=0,"",[2]对账明细接口!$V623),"")</f>
        <v/>
      </c>
      <c r="AB623" s="10" t="str">
        <f aca="false">IFERROR(IF([2]对账明细接口!$W623=0,"",[2]对账明细接口!$W623),"")</f>
        <v/>
      </c>
      <c r="AC623" s="90" t="str">
        <f aca="false">IFERROR(IF([2]对账明细接口!$X624=0,"",[2]对账明细接口!$X624),"")</f>
        <v/>
      </c>
      <c r="AD623" s="90" t="str">
        <f aca="false">IFERROR(IF([2]对账明细接口!$Y624=0,"",[2]对账明细接口!$Y624),"")</f>
        <v/>
      </c>
      <c r="AE623" s="90" t="str">
        <f aca="false">IFERROR(IF([2]对账明细接口!$AA624=0,"",[2]对账明细接口!$AA624),"")</f>
        <v/>
      </c>
      <c r="AF623" s="90" t="str">
        <f aca="false">IFERROR(IF([2]对账明细接口!$AB624=0,"",[2]对账明细接口!$AB624),"")</f>
        <v/>
      </c>
      <c r="AG623" s="90" t="str">
        <f aca="false">IFERROR(IF([2]对账明细接口!$AC624=0,"",[2]对账明细接口!$AC624),"")</f>
        <v/>
      </c>
      <c r="AH623" s="90" t="str">
        <f aca="false">IFERROR(IF([2]对账明细接口!$AD624=0,"",[2]对账明细接口!$AD624),"")</f>
        <v/>
      </c>
    </row>
    <row r="624" customFormat="false" ht="13.5" hidden="false" customHeight="false" outlineLevel="0" collapsed="false">
      <c r="A624" s="109" t="n">
        <v>624</v>
      </c>
      <c r="B624" s="110" t="str">
        <f aca="false">IFERROR(IF([2]对账明细接口!$B$624=0,"",[2]对账明细接口!$B$624),"")</f>
        <v/>
      </c>
      <c r="C624" s="59" t="str">
        <f aca="false">IFERROR(IF([2]对账明细接口!$C$624=0,"",[2]对账明细接口!$C$624),"")</f>
        <v/>
      </c>
      <c r="D624" s="59" t="str">
        <f aca="false">IFERROR(IF([2]对账明细接口!$D$624=0,"",[2]对账明细接口!$D$624),"")</f>
        <v/>
      </c>
      <c r="E624" s="59" t="str">
        <f aca="false">IFERROR(IF([2]对账明细接口!$E$624=0,"",[2]对账明细接口!$E$624),"")</f>
        <v/>
      </c>
      <c r="F624" s="59" t="str">
        <f aca="false">IFERROR(IF([2]对账明细接口!$F$624=0,"",[2]对账明细接口!$F$624),"")</f>
        <v/>
      </c>
      <c r="G624" s="59" t="str">
        <f aca="false">IFERROR(IF([2]对账明细接口!$G$624=0,"",[2]对账明细接口!$G$624),"")</f>
        <v/>
      </c>
      <c r="H624" s="60" t="str">
        <f aca="false">IFERROR(IF([2]对账明细接口!$H$624=0,"",[2]对账明细接口!$H$624),"")</f>
        <v/>
      </c>
      <c r="I624" s="59" t="str">
        <f aca="false">IFERROR(IF([2]对账明细接口!$I$624=0,"",[2]对账明细接口!$I$624),"")</f>
        <v/>
      </c>
      <c r="J624" s="61" t="str">
        <f aca="false">IFERROR(IF([2]对账明细接口!$J$624=0,"",[2]对账明细接口!$J$624),"")</f>
        <v/>
      </c>
      <c r="K624" s="61" t="str">
        <f aca="false">IFERROR(IF([2]对账明细接口!$K$624=0,"",[2]对账明细接口!$K$624),"")</f>
        <v/>
      </c>
      <c r="L624" s="59" t="str">
        <f aca="false">IFERROR(IF([2]对账明细接口!$L$624=0,"",[2]对账明细接口!$L$624),"")</f>
        <v/>
      </c>
      <c r="M624" s="59" t="str">
        <f aca="false">IFERROR(IF([2]对账明细接口!$M$624=0,"",[2]对账明细接口!$M$624),"")</f>
        <v/>
      </c>
      <c r="N624" s="111" t="n">
        <f aca="false">IF($C624="",0,1)</f>
        <v>0</v>
      </c>
      <c r="O624" s="111" t="n">
        <f aca="false">N(O623)+$N624</f>
        <v>311</v>
      </c>
      <c r="S624" s="10" t="str">
        <f aca="false">IFERROR(IF([2]对账明细接口!$N624=0,"",[2]对账明细接口!$N624),"")</f>
        <v/>
      </c>
      <c r="T624" s="112" t="str">
        <f aca="false">IFERROR(IF([2]对账明细接口!$O624=0,"",[2]对账明细接口!$O624),"")</f>
        <v/>
      </c>
      <c r="U624" s="112" t="str">
        <f aca="false">IFERROR(IF([2]对账明细接口!$P624=0,"",[2]对账明细接口!$P624),"")</f>
        <v/>
      </c>
      <c r="V624" s="112" t="str">
        <f aca="false">IFERROR(IF([2]对账明细接口!$Q624=0,"",[2]对账明细接口!$Q624),"")</f>
        <v/>
      </c>
      <c r="W624" s="10" t="str">
        <f aca="false">IFERROR(IF([2]对账明细接口!$R624=0,"",[2]对账明细接口!$R624),"")</f>
        <v/>
      </c>
      <c r="X624" s="10" t="str">
        <f aca="false">IFERROR(IF([2]对账明细接口!$S624=0,"",[2]对账明细接口!$S624),"")</f>
        <v/>
      </c>
      <c r="Y624" s="10" t="str">
        <f aca="false">IFERROR(IF([2]对账明细接口!$T624=0,"",[2]对账明细接口!$T624),"")</f>
        <v/>
      </c>
      <c r="Z624" s="113" t="str">
        <f aca="false">IFERROR(IF([2]对账明细接口!$U624=0,"",[2]对账明细接口!$U624),"")</f>
        <v/>
      </c>
      <c r="AA624" s="113" t="str">
        <f aca="false">IFERROR(IF([2]对账明细接口!$V624=0,"",[2]对账明细接口!$V624),"")</f>
        <v/>
      </c>
      <c r="AB624" s="10" t="str">
        <f aca="false">IFERROR(IF([2]对账明细接口!$W624=0,"",[2]对账明细接口!$W624),"")</f>
        <v/>
      </c>
      <c r="AC624" s="90" t="str">
        <f aca="false">IFERROR(IF([2]对账明细接口!$X625=0,"",[2]对账明细接口!$X625),"")</f>
        <v/>
      </c>
      <c r="AD624" s="90" t="str">
        <f aca="false">IFERROR(IF([2]对账明细接口!$Y625=0,"",[2]对账明细接口!$Y625),"")</f>
        <v/>
      </c>
      <c r="AE624" s="90" t="str">
        <f aca="false">IFERROR(IF([2]对账明细接口!$AA625=0,"",[2]对账明细接口!$AA625),"")</f>
        <v/>
      </c>
      <c r="AF624" s="90" t="str">
        <f aca="false">IFERROR(IF([2]对账明细接口!$AB625=0,"",[2]对账明细接口!$AB625),"")</f>
        <v/>
      </c>
      <c r="AG624" s="90" t="str">
        <f aca="false">IFERROR(IF([2]对账明细接口!$AC625=0,"",[2]对账明细接口!$AC625),"")</f>
        <v/>
      </c>
      <c r="AH624" s="90" t="str">
        <f aca="false">IFERROR(IF([2]对账明细接口!$AD625=0,"",[2]对账明细接口!$AD625),"")</f>
        <v/>
      </c>
    </row>
    <row r="625" customFormat="false" ht="13.5" hidden="false" customHeight="false" outlineLevel="0" collapsed="false">
      <c r="A625" s="109" t="n">
        <v>625</v>
      </c>
      <c r="B625" s="110" t="str">
        <f aca="false">IFERROR(IF([2]对账明细接口!$B$625=0,"",[2]对账明细接口!$B$625),"")</f>
        <v/>
      </c>
      <c r="C625" s="59" t="str">
        <f aca="false">IFERROR(IF([2]对账明细接口!$C$625=0,"",[2]对账明细接口!$C$625),"")</f>
        <v/>
      </c>
      <c r="D625" s="59" t="str">
        <f aca="false">IFERROR(IF([2]对账明细接口!$D$625=0,"",[2]对账明细接口!$D$625),"")</f>
        <v/>
      </c>
      <c r="E625" s="59" t="str">
        <f aca="false">IFERROR(IF([2]对账明细接口!$E$625=0,"",[2]对账明细接口!$E$625),"")</f>
        <v/>
      </c>
      <c r="F625" s="59" t="str">
        <f aca="false">IFERROR(IF([2]对账明细接口!$F$625=0,"",[2]对账明细接口!$F$625),"")</f>
        <v/>
      </c>
      <c r="G625" s="59" t="str">
        <f aca="false">IFERROR(IF([2]对账明细接口!$G$625=0,"",[2]对账明细接口!$G$625),"")</f>
        <v/>
      </c>
      <c r="H625" s="60" t="str">
        <f aca="false">IFERROR(IF([2]对账明细接口!$H$625=0,"",[2]对账明细接口!$H$625),"")</f>
        <v/>
      </c>
      <c r="I625" s="59" t="str">
        <f aca="false">IFERROR(IF([2]对账明细接口!$I$625=0,"",[2]对账明细接口!$I$625),"")</f>
        <v/>
      </c>
      <c r="J625" s="61" t="str">
        <f aca="false">IFERROR(IF([2]对账明细接口!$J$625=0,"",[2]对账明细接口!$J$625),"")</f>
        <v/>
      </c>
      <c r="K625" s="61" t="str">
        <f aca="false">IFERROR(IF([2]对账明细接口!$K$625=0,"",[2]对账明细接口!$K$625),"")</f>
        <v/>
      </c>
      <c r="L625" s="59" t="str">
        <f aca="false">IFERROR(IF([2]对账明细接口!$L$625=0,"",[2]对账明细接口!$L$625),"")</f>
        <v/>
      </c>
      <c r="M625" s="59" t="str">
        <f aca="false">IFERROR(IF([2]对账明细接口!$M$625=0,"",[2]对账明细接口!$M$625),"")</f>
        <v/>
      </c>
      <c r="N625" s="111" t="n">
        <f aca="false">IF($C625="",0,1)</f>
        <v>0</v>
      </c>
      <c r="O625" s="111" t="n">
        <f aca="false">N(O624)+$N625</f>
        <v>311</v>
      </c>
      <c r="S625" s="10" t="str">
        <f aca="false">IFERROR(IF([2]对账明细接口!$N625=0,"",[2]对账明细接口!$N625),"")</f>
        <v/>
      </c>
      <c r="T625" s="112" t="str">
        <f aca="false">IFERROR(IF([2]对账明细接口!$O625=0,"",[2]对账明细接口!$O625),"")</f>
        <v/>
      </c>
      <c r="U625" s="112" t="str">
        <f aca="false">IFERROR(IF([2]对账明细接口!$P625=0,"",[2]对账明细接口!$P625),"")</f>
        <v/>
      </c>
      <c r="V625" s="112" t="str">
        <f aca="false">IFERROR(IF([2]对账明细接口!$Q625=0,"",[2]对账明细接口!$Q625),"")</f>
        <v/>
      </c>
      <c r="W625" s="10" t="str">
        <f aca="false">IFERROR(IF([2]对账明细接口!$R625=0,"",[2]对账明细接口!$R625),"")</f>
        <v/>
      </c>
      <c r="X625" s="10" t="str">
        <f aca="false">IFERROR(IF([2]对账明细接口!$S625=0,"",[2]对账明细接口!$S625),"")</f>
        <v/>
      </c>
      <c r="Y625" s="10" t="str">
        <f aca="false">IFERROR(IF([2]对账明细接口!$T625=0,"",[2]对账明细接口!$T625),"")</f>
        <v/>
      </c>
      <c r="Z625" s="113" t="str">
        <f aca="false">IFERROR(IF([2]对账明细接口!$U625=0,"",[2]对账明细接口!$U625),"")</f>
        <v/>
      </c>
      <c r="AA625" s="113" t="str">
        <f aca="false">IFERROR(IF([2]对账明细接口!$V625=0,"",[2]对账明细接口!$V625),"")</f>
        <v/>
      </c>
      <c r="AB625" s="10" t="str">
        <f aca="false">IFERROR(IF([2]对账明细接口!$W625=0,"",[2]对账明细接口!$W625),"")</f>
        <v/>
      </c>
      <c r="AC625" s="90" t="str">
        <f aca="false">IFERROR(IF([2]对账明细接口!$X626=0,"",[2]对账明细接口!$X626),"")</f>
        <v/>
      </c>
      <c r="AD625" s="90" t="str">
        <f aca="false">IFERROR(IF([2]对账明细接口!$Y626=0,"",[2]对账明细接口!$Y626),"")</f>
        <v/>
      </c>
      <c r="AE625" s="90" t="str">
        <f aca="false">IFERROR(IF([2]对账明细接口!$AA626=0,"",[2]对账明细接口!$AA626),"")</f>
        <v/>
      </c>
      <c r="AF625" s="90" t="str">
        <f aca="false">IFERROR(IF([2]对账明细接口!$AB626=0,"",[2]对账明细接口!$AB626),"")</f>
        <v/>
      </c>
      <c r="AG625" s="90" t="str">
        <f aca="false">IFERROR(IF([2]对账明细接口!$AC626=0,"",[2]对账明细接口!$AC626),"")</f>
        <v/>
      </c>
      <c r="AH625" s="90" t="str">
        <f aca="false">IFERROR(IF([2]对账明细接口!$AD626=0,"",[2]对账明细接口!$AD626),"")</f>
        <v/>
      </c>
    </row>
    <row r="626" customFormat="false" ht="13.5" hidden="false" customHeight="false" outlineLevel="0" collapsed="false">
      <c r="A626" s="109" t="n">
        <v>626</v>
      </c>
      <c r="B626" s="110" t="str">
        <f aca="false">IFERROR(IF([2]对账明细接口!$B$626=0,"",[2]对账明细接口!$B$626),"")</f>
        <v/>
      </c>
      <c r="C626" s="59" t="str">
        <f aca="false">IFERROR(IF([2]对账明细接口!$C$626=0,"",[2]对账明细接口!$C$626),"")</f>
        <v/>
      </c>
      <c r="D626" s="59" t="str">
        <f aca="false">IFERROR(IF([2]对账明细接口!$D$626=0,"",[2]对账明细接口!$D$626),"")</f>
        <v/>
      </c>
      <c r="E626" s="59" t="str">
        <f aca="false">IFERROR(IF([2]对账明细接口!$E$626=0,"",[2]对账明细接口!$E$626),"")</f>
        <v/>
      </c>
      <c r="F626" s="59" t="str">
        <f aca="false">IFERROR(IF([2]对账明细接口!$F$626=0,"",[2]对账明细接口!$F$626),"")</f>
        <v/>
      </c>
      <c r="G626" s="59" t="str">
        <f aca="false">IFERROR(IF([2]对账明细接口!$G$626=0,"",[2]对账明细接口!$G$626),"")</f>
        <v/>
      </c>
      <c r="H626" s="60" t="str">
        <f aca="false">IFERROR(IF([2]对账明细接口!$H$626=0,"",[2]对账明细接口!$H$626),"")</f>
        <v/>
      </c>
      <c r="I626" s="59" t="str">
        <f aca="false">IFERROR(IF([2]对账明细接口!$I$626=0,"",[2]对账明细接口!$I$626),"")</f>
        <v/>
      </c>
      <c r="J626" s="61" t="str">
        <f aca="false">IFERROR(IF([2]对账明细接口!$J$626=0,"",[2]对账明细接口!$J$626),"")</f>
        <v/>
      </c>
      <c r="K626" s="61" t="str">
        <f aca="false">IFERROR(IF([2]对账明细接口!$K$626=0,"",[2]对账明细接口!$K$626),"")</f>
        <v/>
      </c>
      <c r="L626" s="59" t="str">
        <f aca="false">IFERROR(IF([2]对账明细接口!$L$626=0,"",[2]对账明细接口!$L$626),"")</f>
        <v/>
      </c>
      <c r="M626" s="59" t="str">
        <f aca="false">IFERROR(IF([2]对账明细接口!$M$626=0,"",[2]对账明细接口!$M$626),"")</f>
        <v/>
      </c>
      <c r="N626" s="111" t="n">
        <f aca="false">IF($C626="",0,1)</f>
        <v>0</v>
      </c>
      <c r="O626" s="111" t="n">
        <f aca="false">N(O625)+$N626</f>
        <v>311</v>
      </c>
      <c r="S626" s="10" t="str">
        <f aca="false">IFERROR(IF([2]对账明细接口!$N626=0,"",[2]对账明细接口!$N626),"")</f>
        <v/>
      </c>
      <c r="T626" s="112" t="str">
        <f aca="false">IFERROR(IF([2]对账明细接口!$O626=0,"",[2]对账明细接口!$O626),"")</f>
        <v/>
      </c>
      <c r="U626" s="112" t="str">
        <f aca="false">IFERROR(IF([2]对账明细接口!$P626=0,"",[2]对账明细接口!$P626),"")</f>
        <v/>
      </c>
      <c r="V626" s="112" t="str">
        <f aca="false">IFERROR(IF([2]对账明细接口!$Q626=0,"",[2]对账明细接口!$Q626),"")</f>
        <v/>
      </c>
      <c r="W626" s="10" t="str">
        <f aca="false">IFERROR(IF([2]对账明细接口!$R626=0,"",[2]对账明细接口!$R626),"")</f>
        <v/>
      </c>
      <c r="X626" s="10" t="str">
        <f aca="false">IFERROR(IF([2]对账明细接口!$S626=0,"",[2]对账明细接口!$S626),"")</f>
        <v/>
      </c>
      <c r="Y626" s="10" t="str">
        <f aca="false">IFERROR(IF([2]对账明细接口!$T626=0,"",[2]对账明细接口!$T626),"")</f>
        <v/>
      </c>
      <c r="Z626" s="113" t="str">
        <f aca="false">IFERROR(IF([2]对账明细接口!$U626=0,"",[2]对账明细接口!$U626),"")</f>
        <v/>
      </c>
      <c r="AA626" s="113" t="str">
        <f aca="false">IFERROR(IF([2]对账明细接口!$V626=0,"",[2]对账明细接口!$V626),"")</f>
        <v/>
      </c>
      <c r="AB626" s="10" t="str">
        <f aca="false">IFERROR(IF([2]对账明细接口!$W626=0,"",[2]对账明细接口!$W626),"")</f>
        <v/>
      </c>
      <c r="AC626" s="90" t="str">
        <f aca="false">IFERROR(IF([2]对账明细接口!$X627=0,"",[2]对账明细接口!$X627),"")</f>
        <v/>
      </c>
      <c r="AD626" s="90" t="str">
        <f aca="false">IFERROR(IF([2]对账明细接口!$Y627=0,"",[2]对账明细接口!$Y627),"")</f>
        <v/>
      </c>
      <c r="AE626" s="90" t="str">
        <f aca="false">IFERROR(IF([2]对账明细接口!$AA627=0,"",[2]对账明细接口!$AA627),"")</f>
        <v/>
      </c>
      <c r="AF626" s="90" t="str">
        <f aca="false">IFERROR(IF([2]对账明细接口!$AB627=0,"",[2]对账明细接口!$AB627),"")</f>
        <v/>
      </c>
      <c r="AG626" s="90" t="str">
        <f aca="false">IFERROR(IF([2]对账明细接口!$AC627=0,"",[2]对账明细接口!$AC627),"")</f>
        <v/>
      </c>
      <c r="AH626" s="90" t="str">
        <f aca="false">IFERROR(IF([2]对账明细接口!$AD627=0,"",[2]对账明细接口!$AD627),"")</f>
        <v/>
      </c>
    </row>
    <row r="627" customFormat="false" ht="13.5" hidden="false" customHeight="false" outlineLevel="0" collapsed="false">
      <c r="A627" s="109" t="n">
        <v>627</v>
      </c>
      <c r="B627" s="110" t="str">
        <f aca="false">IFERROR(IF([2]对账明细接口!$B$627=0,"",[2]对账明细接口!$B$627),"")</f>
        <v/>
      </c>
      <c r="C627" s="59" t="str">
        <f aca="false">IFERROR(IF([2]对账明细接口!$C$627=0,"",[2]对账明细接口!$C$627),"")</f>
        <v/>
      </c>
      <c r="D627" s="59" t="str">
        <f aca="false">IFERROR(IF([2]对账明细接口!$D$627=0,"",[2]对账明细接口!$D$627),"")</f>
        <v/>
      </c>
      <c r="E627" s="59" t="str">
        <f aca="false">IFERROR(IF([2]对账明细接口!$E$627=0,"",[2]对账明细接口!$E$627),"")</f>
        <v/>
      </c>
      <c r="F627" s="59" t="str">
        <f aca="false">IFERROR(IF([2]对账明细接口!$F$627=0,"",[2]对账明细接口!$F$627),"")</f>
        <v/>
      </c>
      <c r="G627" s="59" t="str">
        <f aca="false">IFERROR(IF([2]对账明细接口!$G$627=0,"",[2]对账明细接口!$G$627),"")</f>
        <v/>
      </c>
      <c r="H627" s="60" t="str">
        <f aca="false">IFERROR(IF([2]对账明细接口!$H$627=0,"",[2]对账明细接口!$H$627),"")</f>
        <v/>
      </c>
      <c r="I627" s="59" t="str">
        <f aca="false">IFERROR(IF([2]对账明细接口!$I$627=0,"",[2]对账明细接口!$I$627),"")</f>
        <v/>
      </c>
      <c r="J627" s="61" t="str">
        <f aca="false">IFERROR(IF([2]对账明细接口!$J$627=0,"",[2]对账明细接口!$J$627),"")</f>
        <v/>
      </c>
      <c r="K627" s="61" t="str">
        <f aca="false">IFERROR(IF([2]对账明细接口!$K$627=0,"",[2]对账明细接口!$K$627),"")</f>
        <v/>
      </c>
      <c r="L627" s="59" t="str">
        <f aca="false">IFERROR(IF([2]对账明细接口!$L$627=0,"",[2]对账明细接口!$L$627),"")</f>
        <v/>
      </c>
      <c r="M627" s="59" t="str">
        <f aca="false">IFERROR(IF([2]对账明细接口!$M$627=0,"",[2]对账明细接口!$M$627),"")</f>
        <v/>
      </c>
      <c r="N627" s="111" t="n">
        <f aca="false">IF($C627="",0,1)</f>
        <v>0</v>
      </c>
      <c r="O627" s="111" t="n">
        <f aca="false">N(O626)+$N627</f>
        <v>311</v>
      </c>
      <c r="S627" s="10" t="str">
        <f aca="false">IFERROR(IF([2]对账明细接口!$N627=0,"",[2]对账明细接口!$N627),"")</f>
        <v/>
      </c>
      <c r="T627" s="112" t="str">
        <f aca="false">IFERROR(IF([2]对账明细接口!$O627=0,"",[2]对账明细接口!$O627),"")</f>
        <v/>
      </c>
      <c r="U627" s="112" t="str">
        <f aca="false">IFERROR(IF([2]对账明细接口!$P627=0,"",[2]对账明细接口!$P627),"")</f>
        <v/>
      </c>
      <c r="V627" s="112" t="str">
        <f aca="false">IFERROR(IF([2]对账明细接口!$Q627=0,"",[2]对账明细接口!$Q627),"")</f>
        <v/>
      </c>
      <c r="W627" s="10" t="str">
        <f aca="false">IFERROR(IF([2]对账明细接口!$R627=0,"",[2]对账明细接口!$R627),"")</f>
        <v/>
      </c>
      <c r="X627" s="10" t="str">
        <f aca="false">IFERROR(IF([2]对账明细接口!$S627=0,"",[2]对账明细接口!$S627),"")</f>
        <v/>
      </c>
      <c r="Y627" s="10" t="str">
        <f aca="false">IFERROR(IF([2]对账明细接口!$T627=0,"",[2]对账明细接口!$T627),"")</f>
        <v/>
      </c>
      <c r="Z627" s="113" t="str">
        <f aca="false">IFERROR(IF([2]对账明细接口!$U627=0,"",[2]对账明细接口!$U627),"")</f>
        <v/>
      </c>
      <c r="AA627" s="113" t="str">
        <f aca="false">IFERROR(IF([2]对账明细接口!$V627=0,"",[2]对账明细接口!$V627),"")</f>
        <v/>
      </c>
      <c r="AB627" s="10" t="str">
        <f aca="false">IFERROR(IF([2]对账明细接口!$W627=0,"",[2]对账明细接口!$W627),"")</f>
        <v/>
      </c>
      <c r="AC627" s="90" t="str">
        <f aca="false">IFERROR(IF([2]对账明细接口!$X628=0,"",[2]对账明细接口!$X628),"")</f>
        <v/>
      </c>
      <c r="AD627" s="90" t="str">
        <f aca="false">IFERROR(IF([2]对账明细接口!$Y628=0,"",[2]对账明细接口!$Y628),"")</f>
        <v/>
      </c>
      <c r="AE627" s="90" t="str">
        <f aca="false">IFERROR(IF([2]对账明细接口!$AA628=0,"",[2]对账明细接口!$AA628),"")</f>
        <v/>
      </c>
      <c r="AF627" s="90" t="str">
        <f aca="false">IFERROR(IF([2]对账明细接口!$AB628=0,"",[2]对账明细接口!$AB628),"")</f>
        <v/>
      </c>
      <c r="AG627" s="90" t="str">
        <f aca="false">IFERROR(IF([2]对账明细接口!$AC628=0,"",[2]对账明细接口!$AC628),"")</f>
        <v/>
      </c>
      <c r="AH627" s="90" t="str">
        <f aca="false">IFERROR(IF([2]对账明细接口!$AD628=0,"",[2]对账明细接口!$AD628),"")</f>
        <v/>
      </c>
    </row>
    <row r="628" customFormat="false" ht="13.5" hidden="false" customHeight="false" outlineLevel="0" collapsed="false">
      <c r="A628" s="109" t="n">
        <v>628</v>
      </c>
      <c r="B628" s="110" t="str">
        <f aca="false">IFERROR(IF([2]对账明细接口!$B$628=0,"",[2]对账明细接口!$B$628),"")</f>
        <v/>
      </c>
      <c r="C628" s="59" t="str">
        <f aca="false">IFERROR(IF([2]对账明细接口!$C$628=0,"",[2]对账明细接口!$C$628),"")</f>
        <v/>
      </c>
      <c r="D628" s="59" t="str">
        <f aca="false">IFERROR(IF([2]对账明细接口!$D$628=0,"",[2]对账明细接口!$D$628),"")</f>
        <v/>
      </c>
      <c r="E628" s="59" t="str">
        <f aca="false">IFERROR(IF([2]对账明细接口!$E$628=0,"",[2]对账明细接口!$E$628),"")</f>
        <v/>
      </c>
      <c r="F628" s="59" t="str">
        <f aca="false">IFERROR(IF([2]对账明细接口!$F$628=0,"",[2]对账明细接口!$F$628),"")</f>
        <v/>
      </c>
      <c r="G628" s="59" t="str">
        <f aca="false">IFERROR(IF([2]对账明细接口!$G$628=0,"",[2]对账明细接口!$G$628),"")</f>
        <v/>
      </c>
      <c r="H628" s="60" t="str">
        <f aca="false">IFERROR(IF([2]对账明细接口!$H$628=0,"",[2]对账明细接口!$H$628),"")</f>
        <v/>
      </c>
      <c r="I628" s="59" t="str">
        <f aca="false">IFERROR(IF([2]对账明细接口!$I$628=0,"",[2]对账明细接口!$I$628),"")</f>
        <v/>
      </c>
      <c r="J628" s="61" t="str">
        <f aca="false">IFERROR(IF([2]对账明细接口!$J$628=0,"",[2]对账明细接口!$J$628),"")</f>
        <v/>
      </c>
      <c r="K628" s="61" t="str">
        <f aca="false">IFERROR(IF([2]对账明细接口!$K$628=0,"",[2]对账明细接口!$K$628),"")</f>
        <v/>
      </c>
      <c r="L628" s="59" t="str">
        <f aca="false">IFERROR(IF([2]对账明细接口!$L$628=0,"",[2]对账明细接口!$L$628),"")</f>
        <v/>
      </c>
      <c r="M628" s="59" t="str">
        <f aca="false">IFERROR(IF([2]对账明细接口!$M$628=0,"",[2]对账明细接口!$M$628),"")</f>
        <v/>
      </c>
      <c r="N628" s="111" t="n">
        <f aca="false">IF($C628="",0,1)</f>
        <v>0</v>
      </c>
      <c r="O628" s="111" t="n">
        <f aca="false">N(O627)+$N628</f>
        <v>311</v>
      </c>
      <c r="S628" s="10" t="str">
        <f aca="false">IFERROR(IF([2]对账明细接口!$N628=0,"",[2]对账明细接口!$N628),"")</f>
        <v/>
      </c>
      <c r="T628" s="112" t="str">
        <f aca="false">IFERROR(IF([2]对账明细接口!$O628=0,"",[2]对账明细接口!$O628),"")</f>
        <v/>
      </c>
      <c r="U628" s="112" t="str">
        <f aca="false">IFERROR(IF([2]对账明细接口!$P628=0,"",[2]对账明细接口!$P628),"")</f>
        <v/>
      </c>
      <c r="V628" s="112" t="str">
        <f aca="false">IFERROR(IF([2]对账明细接口!$Q628=0,"",[2]对账明细接口!$Q628),"")</f>
        <v/>
      </c>
      <c r="W628" s="10" t="str">
        <f aca="false">IFERROR(IF([2]对账明细接口!$R628=0,"",[2]对账明细接口!$R628),"")</f>
        <v/>
      </c>
      <c r="X628" s="10" t="str">
        <f aca="false">IFERROR(IF([2]对账明细接口!$S628=0,"",[2]对账明细接口!$S628),"")</f>
        <v/>
      </c>
      <c r="Y628" s="10" t="str">
        <f aca="false">IFERROR(IF([2]对账明细接口!$T628=0,"",[2]对账明细接口!$T628),"")</f>
        <v/>
      </c>
      <c r="Z628" s="113" t="str">
        <f aca="false">IFERROR(IF([2]对账明细接口!$U628=0,"",[2]对账明细接口!$U628),"")</f>
        <v/>
      </c>
      <c r="AA628" s="113" t="str">
        <f aca="false">IFERROR(IF([2]对账明细接口!$V628=0,"",[2]对账明细接口!$V628),"")</f>
        <v/>
      </c>
      <c r="AB628" s="10" t="str">
        <f aca="false">IFERROR(IF([2]对账明细接口!$W628=0,"",[2]对账明细接口!$W628),"")</f>
        <v/>
      </c>
      <c r="AC628" s="90" t="str">
        <f aca="false">IFERROR(IF([2]对账明细接口!$X629=0,"",[2]对账明细接口!$X629),"")</f>
        <v/>
      </c>
      <c r="AD628" s="90" t="str">
        <f aca="false">IFERROR(IF([2]对账明细接口!$Y629=0,"",[2]对账明细接口!$Y629),"")</f>
        <v/>
      </c>
      <c r="AE628" s="90" t="str">
        <f aca="false">IFERROR(IF([2]对账明细接口!$AA629=0,"",[2]对账明细接口!$AA629),"")</f>
        <v/>
      </c>
      <c r="AF628" s="90" t="str">
        <f aca="false">IFERROR(IF([2]对账明细接口!$AB629=0,"",[2]对账明细接口!$AB629),"")</f>
        <v/>
      </c>
      <c r="AG628" s="90" t="str">
        <f aca="false">IFERROR(IF([2]对账明细接口!$AC629=0,"",[2]对账明细接口!$AC629),"")</f>
        <v/>
      </c>
      <c r="AH628" s="90" t="str">
        <f aca="false">IFERROR(IF([2]对账明细接口!$AD629=0,"",[2]对账明细接口!$AD629),"")</f>
        <v/>
      </c>
    </row>
    <row r="629" customFormat="false" ht="13.5" hidden="false" customHeight="false" outlineLevel="0" collapsed="false">
      <c r="A629" s="109" t="n">
        <v>629</v>
      </c>
      <c r="B629" s="110" t="str">
        <f aca="false">IFERROR(IF([2]对账明细接口!$B$629=0,"",[2]对账明细接口!$B$629),"")</f>
        <v/>
      </c>
      <c r="C629" s="59" t="str">
        <f aca="false">IFERROR(IF([2]对账明细接口!$C$629=0,"",[2]对账明细接口!$C$629),"")</f>
        <v/>
      </c>
      <c r="D629" s="59" t="str">
        <f aca="false">IFERROR(IF([2]对账明细接口!$D$629=0,"",[2]对账明细接口!$D$629),"")</f>
        <v/>
      </c>
      <c r="E629" s="59" t="str">
        <f aca="false">IFERROR(IF([2]对账明细接口!$E$629=0,"",[2]对账明细接口!$E$629),"")</f>
        <v/>
      </c>
      <c r="F629" s="59" t="str">
        <f aca="false">IFERROR(IF([2]对账明细接口!$F$629=0,"",[2]对账明细接口!$F$629),"")</f>
        <v/>
      </c>
      <c r="G629" s="59" t="str">
        <f aca="false">IFERROR(IF([2]对账明细接口!$G$629=0,"",[2]对账明细接口!$G$629),"")</f>
        <v/>
      </c>
      <c r="H629" s="60" t="str">
        <f aca="false">IFERROR(IF([2]对账明细接口!$H$629=0,"",[2]对账明细接口!$H$629),"")</f>
        <v/>
      </c>
      <c r="I629" s="59" t="str">
        <f aca="false">IFERROR(IF([2]对账明细接口!$I$629=0,"",[2]对账明细接口!$I$629),"")</f>
        <v/>
      </c>
      <c r="J629" s="61" t="str">
        <f aca="false">IFERROR(IF([2]对账明细接口!$J$629=0,"",[2]对账明细接口!$J$629),"")</f>
        <v/>
      </c>
      <c r="K629" s="61" t="str">
        <f aca="false">IFERROR(IF([2]对账明细接口!$K$629=0,"",[2]对账明细接口!$K$629),"")</f>
        <v/>
      </c>
      <c r="L629" s="59" t="str">
        <f aca="false">IFERROR(IF([2]对账明细接口!$L$629=0,"",[2]对账明细接口!$L$629),"")</f>
        <v/>
      </c>
      <c r="M629" s="59" t="str">
        <f aca="false">IFERROR(IF([2]对账明细接口!$M$629=0,"",[2]对账明细接口!$M$629),"")</f>
        <v/>
      </c>
      <c r="N629" s="111" t="n">
        <f aca="false">IF($C629="",0,1)</f>
        <v>0</v>
      </c>
      <c r="O629" s="111" t="n">
        <f aca="false">N(O628)+$N629</f>
        <v>311</v>
      </c>
      <c r="S629" s="10" t="str">
        <f aca="false">IFERROR(IF([2]对账明细接口!$N629=0,"",[2]对账明细接口!$N629),"")</f>
        <v/>
      </c>
      <c r="T629" s="112" t="str">
        <f aca="false">IFERROR(IF([2]对账明细接口!$O629=0,"",[2]对账明细接口!$O629),"")</f>
        <v/>
      </c>
      <c r="U629" s="112" t="str">
        <f aca="false">IFERROR(IF([2]对账明细接口!$P629=0,"",[2]对账明细接口!$P629),"")</f>
        <v/>
      </c>
      <c r="V629" s="112" t="str">
        <f aca="false">IFERROR(IF([2]对账明细接口!$Q629=0,"",[2]对账明细接口!$Q629),"")</f>
        <v/>
      </c>
      <c r="W629" s="10" t="str">
        <f aca="false">IFERROR(IF([2]对账明细接口!$R629=0,"",[2]对账明细接口!$R629),"")</f>
        <v/>
      </c>
      <c r="X629" s="10" t="str">
        <f aca="false">IFERROR(IF([2]对账明细接口!$S629=0,"",[2]对账明细接口!$S629),"")</f>
        <v/>
      </c>
      <c r="Y629" s="10" t="str">
        <f aca="false">IFERROR(IF([2]对账明细接口!$T629=0,"",[2]对账明细接口!$T629),"")</f>
        <v/>
      </c>
      <c r="Z629" s="113" t="str">
        <f aca="false">IFERROR(IF([2]对账明细接口!$U629=0,"",[2]对账明细接口!$U629),"")</f>
        <v/>
      </c>
      <c r="AA629" s="113" t="str">
        <f aca="false">IFERROR(IF([2]对账明细接口!$V629=0,"",[2]对账明细接口!$V629),"")</f>
        <v/>
      </c>
      <c r="AB629" s="10" t="str">
        <f aca="false">IFERROR(IF([2]对账明细接口!$W629=0,"",[2]对账明细接口!$W629),"")</f>
        <v/>
      </c>
      <c r="AC629" s="90" t="str">
        <f aca="false">IFERROR(IF([2]对账明细接口!$X630=0,"",[2]对账明细接口!$X630),"")</f>
        <v/>
      </c>
      <c r="AD629" s="90" t="str">
        <f aca="false">IFERROR(IF([2]对账明细接口!$Y630=0,"",[2]对账明细接口!$Y630),"")</f>
        <v/>
      </c>
      <c r="AE629" s="90" t="str">
        <f aca="false">IFERROR(IF([2]对账明细接口!$AA630=0,"",[2]对账明细接口!$AA630),"")</f>
        <v/>
      </c>
      <c r="AF629" s="90" t="str">
        <f aca="false">IFERROR(IF([2]对账明细接口!$AB630=0,"",[2]对账明细接口!$AB630),"")</f>
        <v/>
      </c>
      <c r="AG629" s="90" t="str">
        <f aca="false">IFERROR(IF([2]对账明细接口!$AC630=0,"",[2]对账明细接口!$AC630),"")</f>
        <v/>
      </c>
      <c r="AH629" s="90" t="str">
        <f aca="false">IFERROR(IF([2]对账明细接口!$AD630=0,"",[2]对账明细接口!$AD630),"")</f>
        <v/>
      </c>
    </row>
    <row r="630" customFormat="false" ht="13.5" hidden="false" customHeight="false" outlineLevel="0" collapsed="false">
      <c r="A630" s="109" t="n">
        <v>630</v>
      </c>
      <c r="B630" s="110" t="str">
        <f aca="false">IFERROR(IF([2]对账明细接口!$B$630=0,"",[2]对账明细接口!$B$630),"")</f>
        <v/>
      </c>
      <c r="C630" s="59" t="str">
        <f aca="false">IFERROR(IF([2]对账明细接口!$C$630=0,"",[2]对账明细接口!$C$630),"")</f>
        <v/>
      </c>
      <c r="D630" s="59" t="str">
        <f aca="false">IFERROR(IF([2]对账明细接口!$D$630=0,"",[2]对账明细接口!$D$630),"")</f>
        <v/>
      </c>
      <c r="E630" s="59" t="str">
        <f aca="false">IFERROR(IF([2]对账明细接口!$E$630=0,"",[2]对账明细接口!$E$630),"")</f>
        <v/>
      </c>
      <c r="F630" s="59" t="str">
        <f aca="false">IFERROR(IF([2]对账明细接口!$F$630=0,"",[2]对账明细接口!$F$630),"")</f>
        <v/>
      </c>
      <c r="G630" s="59" t="str">
        <f aca="false">IFERROR(IF([2]对账明细接口!$G$630=0,"",[2]对账明细接口!$G$630),"")</f>
        <v/>
      </c>
      <c r="H630" s="60" t="str">
        <f aca="false">IFERROR(IF([2]对账明细接口!$H$630=0,"",[2]对账明细接口!$H$630),"")</f>
        <v/>
      </c>
      <c r="I630" s="59" t="str">
        <f aca="false">IFERROR(IF([2]对账明细接口!$I$630=0,"",[2]对账明细接口!$I$630),"")</f>
        <v/>
      </c>
      <c r="J630" s="61" t="str">
        <f aca="false">IFERROR(IF([2]对账明细接口!$J$630=0,"",[2]对账明细接口!$J$630),"")</f>
        <v/>
      </c>
      <c r="K630" s="61" t="str">
        <f aca="false">IFERROR(IF([2]对账明细接口!$K$630=0,"",[2]对账明细接口!$K$630),"")</f>
        <v/>
      </c>
      <c r="L630" s="59" t="str">
        <f aca="false">IFERROR(IF([2]对账明细接口!$L$630=0,"",[2]对账明细接口!$L$630),"")</f>
        <v/>
      </c>
      <c r="M630" s="59" t="str">
        <f aca="false">IFERROR(IF([2]对账明细接口!$M$630=0,"",[2]对账明细接口!$M$630),"")</f>
        <v/>
      </c>
      <c r="N630" s="111" t="n">
        <f aca="false">IF($C630="",0,1)</f>
        <v>0</v>
      </c>
      <c r="O630" s="111" t="n">
        <f aca="false">N(O629)+$N630</f>
        <v>311</v>
      </c>
      <c r="S630" s="10" t="str">
        <f aca="false">IFERROR(IF([2]对账明细接口!$N630=0,"",[2]对账明细接口!$N630),"")</f>
        <v/>
      </c>
      <c r="T630" s="112" t="str">
        <f aca="false">IFERROR(IF([2]对账明细接口!$O630=0,"",[2]对账明细接口!$O630),"")</f>
        <v/>
      </c>
      <c r="U630" s="112" t="str">
        <f aca="false">IFERROR(IF([2]对账明细接口!$P630=0,"",[2]对账明细接口!$P630),"")</f>
        <v/>
      </c>
      <c r="V630" s="112" t="str">
        <f aca="false">IFERROR(IF([2]对账明细接口!$Q630=0,"",[2]对账明细接口!$Q630),"")</f>
        <v/>
      </c>
      <c r="W630" s="10" t="str">
        <f aca="false">IFERROR(IF([2]对账明细接口!$R630=0,"",[2]对账明细接口!$R630),"")</f>
        <v/>
      </c>
      <c r="X630" s="10" t="str">
        <f aca="false">IFERROR(IF([2]对账明细接口!$S630=0,"",[2]对账明细接口!$S630),"")</f>
        <v/>
      </c>
      <c r="Y630" s="10" t="str">
        <f aca="false">IFERROR(IF([2]对账明细接口!$T630=0,"",[2]对账明细接口!$T630),"")</f>
        <v/>
      </c>
      <c r="Z630" s="113" t="str">
        <f aca="false">IFERROR(IF([2]对账明细接口!$U630=0,"",[2]对账明细接口!$U630),"")</f>
        <v/>
      </c>
      <c r="AA630" s="113" t="str">
        <f aca="false">IFERROR(IF([2]对账明细接口!$V630=0,"",[2]对账明细接口!$V630),"")</f>
        <v/>
      </c>
      <c r="AB630" s="10" t="str">
        <f aca="false">IFERROR(IF([2]对账明细接口!$W630=0,"",[2]对账明细接口!$W630),"")</f>
        <v/>
      </c>
      <c r="AC630" s="90" t="str">
        <f aca="false">IFERROR(IF([2]对账明细接口!$X631=0,"",[2]对账明细接口!$X631),"")</f>
        <v/>
      </c>
      <c r="AD630" s="90" t="str">
        <f aca="false">IFERROR(IF([2]对账明细接口!$Y631=0,"",[2]对账明细接口!$Y631),"")</f>
        <v/>
      </c>
      <c r="AE630" s="90" t="str">
        <f aca="false">IFERROR(IF([2]对账明细接口!$AA631=0,"",[2]对账明细接口!$AA631),"")</f>
        <v/>
      </c>
      <c r="AF630" s="90" t="str">
        <f aca="false">IFERROR(IF([2]对账明细接口!$AB631=0,"",[2]对账明细接口!$AB631),"")</f>
        <v/>
      </c>
      <c r="AG630" s="90" t="str">
        <f aca="false">IFERROR(IF([2]对账明细接口!$AC631=0,"",[2]对账明细接口!$AC631),"")</f>
        <v/>
      </c>
      <c r="AH630" s="90" t="str">
        <f aca="false">IFERROR(IF([2]对账明细接口!$AD631=0,"",[2]对账明细接口!$AD631),"")</f>
        <v/>
      </c>
    </row>
    <row r="631" customFormat="false" ht="13.5" hidden="false" customHeight="false" outlineLevel="0" collapsed="false">
      <c r="A631" s="109" t="n">
        <v>631</v>
      </c>
      <c r="B631" s="110" t="str">
        <f aca="false">IFERROR(IF([2]对账明细接口!$B$631=0,"",[2]对账明细接口!$B$631),"")</f>
        <v/>
      </c>
      <c r="C631" s="59" t="str">
        <f aca="false">IFERROR(IF([2]对账明细接口!$C$631=0,"",[2]对账明细接口!$C$631),"")</f>
        <v/>
      </c>
      <c r="D631" s="59" t="str">
        <f aca="false">IFERROR(IF([2]对账明细接口!$D$631=0,"",[2]对账明细接口!$D$631),"")</f>
        <v/>
      </c>
      <c r="E631" s="59" t="str">
        <f aca="false">IFERROR(IF([2]对账明细接口!$E$631=0,"",[2]对账明细接口!$E$631),"")</f>
        <v/>
      </c>
      <c r="F631" s="59" t="str">
        <f aca="false">IFERROR(IF([2]对账明细接口!$F$631=0,"",[2]对账明细接口!$F$631),"")</f>
        <v/>
      </c>
      <c r="G631" s="59" t="str">
        <f aca="false">IFERROR(IF([2]对账明细接口!$G$631=0,"",[2]对账明细接口!$G$631),"")</f>
        <v/>
      </c>
      <c r="H631" s="60" t="str">
        <f aca="false">IFERROR(IF([2]对账明细接口!$H$631=0,"",[2]对账明细接口!$H$631),"")</f>
        <v/>
      </c>
      <c r="I631" s="59" t="str">
        <f aca="false">IFERROR(IF([2]对账明细接口!$I$631=0,"",[2]对账明细接口!$I$631),"")</f>
        <v/>
      </c>
      <c r="J631" s="61" t="str">
        <f aca="false">IFERROR(IF([2]对账明细接口!$J$631=0,"",[2]对账明细接口!$J$631),"")</f>
        <v/>
      </c>
      <c r="K631" s="61" t="str">
        <f aca="false">IFERROR(IF([2]对账明细接口!$K$631=0,"",[2]对账明细接口!$K$631),"")</f>
        <v/>
      </c>
      <c r="L631" s="59" t="str">
        <f aca="false">IFERROR(IF([2]对账明细接口!$L$631=0,"",[2]对账明细接口!$L$631),"")</f>
        <v/>
      </c>
      <c r="M631" s="59" t="str">
        <f aca="false">IFERROR(IF([2]对账明细接口!$M$631=0,"",[2]对账明细接口!$M$631),"")</f>
        <v/>
      </c>
      <c r="N631" s="111" t="n">
        <f aca="false">IF($C631="",0,1)</f>
        <v>0</v>
      </c>
      <c r="O631" s="111" t="n">
        <f aca="false">N(O630)+$N631</f>
        <v>311</v>
      </c>
      <c r="S631" s="10" t="str">
        <f aca="false">IFERROR(IF([2]对账明细接口!$N631=0,"",[2]对账明细接口!$N631),"")</f>
        <v/>
      </c>
      <c r="T631" s="112" t="str">
        <f aca="false">IFERROR(IF([2]对账明细接口!$O631=0,"",[2]对账明细接口!$O631),"")</f>
        <v/>
      </c>
      <c r="U631" s="112" t="str">
        <f aca="false">IFERROR(IF([2]对账明细接口!$P631=0,"",[2]对账明细接口!$P631),"")</f>
        <v/>
      </c>
      <c r="V631" s="112" t="str">
        <f aca="false">IFERROR(IF([2]对账明细接口!$Q631=0,"",[2]对账明细接口!$Q631),"")</f>
        <v/>
      </c>
      <c r="W631" s="10" t="str">
        <f aca="false">IFERROR(IF([2]对账明细接口!$R631=0,"",[2]对账明细接口!$R631),"")</f>
        <v/>
      </c>
      <c r="X631" s="10" t="str">
        <f aca="false">IFERROR(IF([2]对账明细接口!$S631=0,"",[2]对账明细接口!$S631),"")</f>
        <v/>
      </c>
      <c r="Y631" s="10" t="str">
        <f aca="false">IFERROR(IF([2]对账明细接口!$T631=0,"",[2]对账明细接口!$T631),"")</f>
        <v/>
      </c>
      <c r="Z631" s="113" t="str">
        <f aca="false">IFERROR(IF([2]对账明细接口!$U631=0,"",[2]对账明细接口!$U631),"")</f>
        <v/>
      </c>
      <c r="AA631" s="113" t="str">
        <f aca="false">IFERROR(IF([2]对账明细接口!$V631=0,"",[2]对账明细接口!$V631),"")</f>
        <v/>
      </c>
      <c r="AB631" s="10" t="str">
        <f aca="false">IFERROR(IF([2]对账明细接口!$W631=0,"",[2]对账明细接口!$W631),"")</f>
        <v/>
      </c>
      <c r="AC631" s="90" t="str">
        <f aca="false">IFERROR(IF([2]对账明细接口!$X632=0,"",[2]对账明细接口!$X632),"")</f>
        <v/>
      </c>
      <c r="AD631" s="90" t="str">
        <f aca="false">IFERROR(IF([2]对账明细接口!$Y632=0,"",[2]对账明细接口!$Y632),"")</f>
        <v/>
      </c>
      <c r="AE631" s="90" t="str">
        <f aca="false">IFERROR(IF([2]对账明细接口!$AA632=0,"",[2]对账明细接口!$AA632),"")</f>
        <v/>
      </c>
      <c r="AF631" s="90" t="str">
        <f aca="false">IFERROR(IF([2]对账明细接口!$AB632=0,"",[2]对账明细接口!$AB632),"")</f>
        <v/>
      </c>
      <c r="AG631" s="90" t="str">
        <f aca="false">IFERROR(IF([2]对账明细接口!$AC632=0,"",[2]对账明细接口!$AC632),"")</f>
        <v/>
      </c>
      <c r="AH631" s="90" t="str">
        <f aca="false">IFERROR(IF([2]对账明细接口!$AD632=0,"",[2]对账明细接口!$AD632),"")</f>
        <v/>
      </c>
    </row>
    <row r="632" customFormat="false" ht="13.5" hidden="false" customHeight="false" outlineLevel="0" collapsed="false">
      <c r="A632" s="109" t="n">
        <v>632</v>
      </c>
      <c r="B632" s="110" t="str">
        <f aca="false">IFERROR(IF([2]对账明细接口!$B$632=0,"",[2]对账明细接口!$B$632),"")</f>
        <v/>
      </c>
      <c r="C632" s="59" t="str">
        <f aca="false">IFERROR(IF([2]对账明细接口!$C$632=0,"",[2]对账明细接口!$C$632),"")</f>
        <v/>
      </c>
      <c r="D632" s="59" t="str">
        <f aca="false">IFERROR(IF([2]对账明细接口!$D$632=0,"",[2]对账明细接口!$D$632),"")</f>
        <v/>
      </c>
      <c r="E632" s="59" t="str">
        <f aca="false">IFERROR(IF([2]对账明细接口!$E$632=0,"",[2]对账明细接口!$E$632),"")</f>
        <v/>
      </c>
      <c r="F632" s="59" t="str">
        <f aca="false">IFERROR(IF([2]对账明细接口!$F$632=0,"",[2]对账明细接口!$F$632),"")</f>
        <v/>
      </c>
      <c r="G632" s="59" t="str">
        <f aca="false">IFERROR(IF([2]对账明细接口!$G$632=0,"",[2]对账明细接口!$G$632),"")</f>
        <v/>
      </c>
      <c r="H632" s="60" t="str">
        <f aca="false">IFERROR(IF([2]对账明细接口!$H$632=0,"",[2]对账明细接口!$H$632),"")</f>
        <v/>
      </c>
      <c r="I632" s="59" t="str">
        <f aca="false">IFERROR(IF([2]对账明细接口!$I$632=0,"",[2]对账明细接口!$I$632),"")</f>
        <v/>
      </c>
      <c r="J632" s="61" t="str">
        <f aca="false">IFERROR(IF([2]对账明细接口!$J$632=0,"",[2]对账明细接口!$J$632),"")</f>
        <v/>
      </c>
      <c r="K632" s="61" t="str">
        <f aca="false">IFERROR(IF([2]对账明细接口!$K$632=0,"",[2]对账明细接口!$K$632),"")</f>
        <v/>
      </c>
      <c r="L632" s="59" t="str">
        <f aca="false">IFERROR(IF([2]对账明细接口!$L$632=0,"",[2]对账明细接口!$L$632),"")</f>
        <v/>
      </c>
      <c r="M632" s="59" t="str">
        <f aca="false">IFERROR(IF([2]对账明细接口!$M$632=0,"",[2]对账明细接口!$M$632),"")</f>
        <v/>
      </c>
      <c r="N632" s="111" t="n">
        <f aca="false">IF($C632="",0,1)</f>
        <v>0</v>
      </c>
      <c r="O632" s="111" t="n">
        <f aca="false">N(O631)+$N632</f>
        <v>311</v>
      </c>
      <c r="S632" s="10" t="str">
        <f aca="false">IFERROR(IF([2]对账明细接口!$N632=0,"",[2]对账明细接口!$N632),"")</f>
        <v/>
      </c>
      <c r="T632" s="112" t="str">
        <f aca="false">IFERROR(IF([2]对账明细接口!$O632=0,"",[2]对账明细接口!$O632),"")</f>
        <v/>
      </c>
      <c r="U632" s="112" t="str">
        <f aca="false">IFERROR(IF([2]对账明细接口!$P632=0,"",[2]对账明细接口!$P632),"")</f>
        <v/>
      </c>
      <c r="V632" s="112" t="str">
        <f aca="false">IFERROR(IF([2]对账明细接口!$Q632=0,"",[2]对账明细接口!$Q632),"")</f>
        <v/>
      </c>
      <c r="W632" s="10" t="str">
        <f aca="false">IFERROR(IF([2]对账明细接口!$R632=0,"",[2]对账明细接口!$R632),"")</f>
        <v/>
      </c>
      <c r="X632" s="10" t="str">
        <f aca="false">IFERROR(IF([2]对账明细接口!$S632=0,"",[2]对账明细接口!$S632),"")</f>
        <v/>
      </c>
      <c r="Y632" s="10" t="str">
        <f aca="false">IFERROR(IF([2]对账明细接口!$T632=0,"",[2]对账明细接口!$T632),"")</f>
        <v/>
      </c>
      <c r="Z632" s="113" t="str">
        <f aca="false">IFERROR(IF([2]对账明细接口!$U632=0,"",[2]对账明细接口!$U632),"")</f>
        <v/>
      </c>
      <c r="AA632" s="113" t="str">
        <f aca="false">IFERROR(IF([2]对账明细接口!$V632=0,"",[2]对账明细接口!$V632),"")</f>
        <v/>
      </c>
      <c r="AB632" s="10" t="str">
        <f aca="false">IFERROR(IF([2]对账明细接口!$W632=0,"",[2]对账明细接口!$W632),"")</f>
        <v/>
      </c>
      <c r="AC632" s="90" t="str">
        <f aca="false">IFERROR(IF([2]对账明细接口!$X633=0,"",[2]对账明细接口!$X633),"")</f>
        <v/>
      </c>
      <c r="AD632" s="90" t="str">
        <f aca="false">IFERROR(IF([2]对账明细接口!$Y633=0,"",[2]对账明细接口!$Y633),"")</f>
        <v/>
      </c>
      <c r="AE632" s="90" t="str">
        <f aca="false">IFERROR(IF([2]对账明细接口!$AA633=0,"",[2]对账明细接口!$AA633),"")</f>
        <v/>
      </c>
      <c r="AF632" s="90" t="str">
        <f aca="false">IFERROR(IF([2]对账明细接口!$AB633=0,"",[2]对账明细接口!$AB633),"")</f>
        <v/>
      </c>
      <c r="AG632" s="90" t="str">
        <f aca="false">IFERROR(IF([2]对账明细接口!$AC633=0,"",[2]对账明细接口!$AC633),"")</f>
        <v/>
      </c>
      <c r="AH632" s="90" t="str">
        <f aca="false">IFERROR(IF([2]对账明细接口!$AD633=0,"",[2]对账明细接口!$AD633),"")</f>
        <v/>
      </c>
    </row>
    <row r="633" customFormat="false" ht="13.5" hidden="false" customHeight="false" outlineLevel="0" collapsed="false">
      <c r="A633" s="109" t="n">
        <v>633</v>
      </c>
      <c r="B633" s="110" t="str">
        <f aca="false">IFERROR(IF([2]对账明细接口!$B$633=0,"",[2]对账明细接口!$B$633),"")</f>
        <v/>
      </c>
      <c r="C633" s="59" t="str">
        <f aca="false">IFERROR(IF([2]对账明细接口!$C$633=0,"",[2]对账明细接口!$C$633),"")</f>
        <v/>
      </c>
      <c r="D633" s="59" t="str">
        <f aca="false">IFERROR(IF([2]对账明细接口!$D$633=0,"",[2]对账明细接口!$D$633),"")</f>
        <v/>
      </c>
      <c r="E633" s="59" t="str">
        <f aca="false">IFERROR(IF([2]对账明细接口!$E$633=0,"",[2]对账明细接口!$E$633),"")</f>
        <v/>
      </c>
      <c r="F633" s="59" t="str">
        <f aca="false">IFERROR(IF([2]对账明细接口!$F$633=0,"",[2]对账明细接口!$F$633),"")</f>
        <v/>
      </c>
      <c r="G633" s="59" t="str">
        <f aca="false">IFERROR(IF([2]对账明细接口!$G$633=0,"",[2]对账明细接口!$G$633),"")</f>
        <v/>
      </c>
      <c r="H633" s="60" t="str">
        <f aca="false">IFERROR(IF([2]对账明细接口!$H$633=0,"",[2]对账明细接口!$H$633),"")</f>
        <v/>
      </c>
      <c r="I633" s="59" t="str">
        <f aca="false">IFERROR(IF([2]对账明细接口!$I$633=0,"",[2]对账明细接口!$I$633),"")</f>
        <v/>
      </c>
      <c r="J633" s="61" t="str">
        <f aca="false">IFERROR(IF([2]对账明细接口!$J$633=0,"",[2]对账明细接口!$J$633),"")</f>
        <v/>
      </c>
      <c r="K633" s="61" t="str">
        <f aca="false">IFERROR(IF([2]对账明细接口!$K$633=0,"",[2]对账明细接口!$K$633),"")</f>
        <v/>
      </c>
      <c r="L633" s="59" t="str">
        <f aca="false">IFERROR(IF([2]对账明细接口!$L$633=0,"",[2]对账明细接口!$L$633),"")</f>
        <v/>
      </c>
      <c r="M633" s="59" t="str">
        <f aca="false">IFERROR(IF([2]对账明细接口!$M$633=0,"",[2]对账明细接口!$M$633),"")</f>
        <v/>
      </c>
      <c r="N633" s="111" t="n">
        <f aca="false">IF($C633="",0,1)</f>
        <v>0</v>
      </c>
      <c r="O633" s="111" t="n">
        <f aca="false">N(O632)+$N633</f>
        <v>311</v>
      </c>
      <c r="S633" s="10" t="str">
        <f aca="false">IFERROR(IF([2]对账明细接口!$N633=0,"",[2]对账明细接口!$N633),"")</f>
        <v/>
      </c>
      <c r="T633" s="112" t="str">
        <f aca="false">IFERROR(IF([2]对账明细接口!$O633=0,"",[2]对账明细接口!$O633),"")</f>
        <v/>
      </c>
      <c r="U633" s="112" t="str">
        <f aca="false">IFERROR(IF([2]对账明细接口!$P633=0,"",[2]对账明细接口!$P633),"")</f>
        <v/>
      </c>
      <c r="V633" s="112" t="str">
        <f aca="false">IFERROR(IF([2]对账明细接口!$Q633=0,"",[2]对账明细接口!$Q633),"")</f>
        <v/>
      </c>
      <c r="W633" s="10" t="str">
        <f aca="false">IFERROR(IF([2]对账明细接口!$R633=0,"",[2]对账明细接口!$R633),"")</f>
        <v/>
      </c>
      <c r="X633" s="10" t="str">
        <f aca="false">IFERROR(IF([2]对账明细接口!$S633=0,"",[2]对账明细接口!$S633),"")</f>
        <v/>
      </c>
      <c r="Y633" s="10" t="str">
        <f aca="false">IFERROR(IF([2]对账明细接口!$T633=0,"",[2]对账明细接口!$T633),"")</f>
        <v/>
      </c>
      <c r="Z633" s="113" t="str">
        <f aca="false">IFERROR(IF([2]对账明细接口!$U633=0,"",[2]对账明细接口!$U633),"")</f>
        <v/>
      </c>
      <c r="AA633" s="113" t="str">
        <f aca="false">IFERROR(IF([2]对账明细接口!$V633=0,"",[2]对账明细接口!$V633),"")</f>
        <v/>
      </c>
      <c r="AB633" s="10" t="str">
        <f aca="false">IFERROR(IF([2]对账明细接口!$W633=0,"",[2]对账明细接口!$W633),"")</f>
        <v/>
      </c>
      <c r="AC633" s="90" t="str">
        <f aca="false">IFERROR(IF([2]对账明细接口!$X634=0,"",[2]对账明细接口!$X634),"")</f>
        <v/>
      </c>
      <c r="AD633" s="90" t="str">
        <f aca="false">IFERROR(IF([2]对账明细接口!$Y634=0,"",[2]对账明细接口!$Y634),"")</f>
        <v/>
      </c>
      <c r="AE633" s="90" t="str">
        <f aca="false">IFERROR(IF([2]对账明细接口!$AA634=0,"",[2]对账明细接口!$AA634),"")</f>
        <v/>
      </c>
      <c r="AF633" s="90" t="str">
        <f aca="false">IFERROR(IF([2]对账明细接口!$AB634=0,"",[2]对账明细接口!$AB634),"")</f>
        <v/>
      </c>
      <c r="AG633" s="90" t="str">
        <f aca="false">IFERROR(IF([2]对账明细接口!$AC634=0,"",[2]对账明细接口!$AC634),"")</f>
        <v/>
      </c>
      <c r="AH633" s="90" t="str">
        <f aca="false">IFERROR(IF([2]对账明细接口!$AD634=0,"",[2]对账明细接口!$AD634),"")</f>
        <v/>
      </c>
    </row>
    <row r="634" customFormat="false" ht="13.5" hidden="false" customHeight="false" outlineLevel="0" collapsed="false">
      <c r="A634" s="109" t="n">
        <v>634</v>
      </c>
      <c r="B634" s="110" t="str">
        <f aca="false">IFERROR(IF([2]对账明细接口!$B$634=0,"",[2]对账明细接口!$B$634),"")</f>
        <v/>
      </c>
      <c r="C634" s="59" t="str">
        <f aca="false">IFERROR(IF([2]对账明细接口!$C$634=0,"",[2]对账明细接口!$C$634),"")</f>
        <v/>
      </c>
      <c r="D634" s="59" t="str">
        <f aca="false">IFERROR(IF([2]对账明细接口!$D$634=0,"",[2]对账明细接口!$D$634),"")</f>
        <v/>
      </c>
      <c r="E634" s="59" t="str">
        <f aca="false">IFERROR(IF([2]对账明细接口!$E$634=0,"",[2]对账明细接口!$E$634),"")</f>
        <v/>
      </c>
      <c r="F634" s="59" t="str">
        <f aca="false">IFERROR(IF([2]对账明细接口!$F$634=0,"",[2]对账明细接口!$F$634),"")</f>
        <v/>
      </c>
      <c r="G634" s="59" t="str">
        <f aca="false">IFERROR(IF([2]对账明细接口!$G$634=0,"",[2]对账明细接口!$G$634),"")</f>
        <v/>
      </c>
      <c r="H634" s="60" t="str">
        <f aca="false">IFERROR(IF([2]对账明细接口!$H$634=0,"",[2]对账明细接口!$H$634),"")</f>
        <v/>
      </c>
      <c r="I634" s="59" t="str">
        <f aca="false">IFERROR(IF([2]对账明细接口!$I$634=0,"",[2]对账明细接口!$I$634),"")</f>
        <v/>
      </c>
      <c r="J634" s="61" t="str">
        <f aca="false">IFERROR(IF([2]对账明细接口!$J$634=0,"",[2]对账明细接口!$J$634),"")</f>
        <v/>
      </c>
      <c r="K634" s="61" t="str">
        <f aca="false">IFERROR(IF([2]对账明细接口!$K$634=0,"",[2]对账明细接口!$K$634),"")</f>
        <v/>
      </c>
      <c r="L634" s="59" t="str">
        <f aca="false">IFERROR(IF([2]对账明细接口!$L$634=0,"",[2]对账明细接口!$L$634),"")</f>
        <v/>
      </c>
      <c r="M634" s="59" t="str">
        <f aca="false">IFERROR(IF([2]对账明细接口!$M$634=0,"",[2]对账明细接口!$M$634),"")</f>
        <v/>
      </c>
      <c r="N634" s="111" t="n">
        <f aca="false">IF($C634="",0,1)</f>
        <v>0</v>
      </c>
      <c r="O634" s="111" t="n">
        <f aca="false">N(O633)+$N634</f>
        <v>311</v>
      </c>
      <c r="S634" s="10" t="str">
        <f aca="false">IFERROR(IF([2]对账明细接口!$N634=0,"",[2]对账明细接口!$N634),"")</f>
        <v/>
      </c>
      <c r="T634" s="112" t="str">
        <f aca="false">IFERROR(IF([2]对账明细接口!$O634=0,"",[2]对账明细接口!$O634),"")</f>
        <v/>
      </c>
      <c r="U634" s="112" t="str">
        <f aca="false">IFERROR(IF([2]对账明细接口!$P634=0,"",[2]对账明细接口!$P634),"")</f>
        <v/>
      </c>
      <c r="V634" s="112" t="str">
        <f aca="false">IFERROR(IF([2]对账明细接口!$Q634=0,"",[2]对账明细接口!$Q634),"")</f>
        <v/>
      </c>
      <c r="W634" s="10" t="str">
        <f aca="false">IFERROR(IF([2]对账明细接口!$R634=0,"",[2]对账明细接口!$R634),"")</f>
        <v/>
      </c>
      <c r="X634" s="10" t="str">
        <f aca="false">IFERROR(IF([2]对账明细接口!$S634=0,"",[2]对账明细接口!$S634),"")</f>
        <v/>
      </c>
      <c r="Y634" s="10" t="str">
        <f aca="false">IFERROR(IF([2]对账明细接口!$T634=0,"",[2]对账明细接口!$T634),"")</f>
        <v/>
      </c>
      <c r="Z634" s="113" t="str">
        <f aca="false">IFERROR(IF([2]对账明细接口!$U634=0,"",[2]对账明细接口!$U634),"")</f>
        <v/>
      </c>
      <c r="AA634" s="113" t="str">
        <f aca="false">IFERROR(IF([2]对账明细接口!$V634=0,"",[2]对账明细接口!$V634),"")</f>
        <v/>
      </c>
      <c r="AB634" s="10" t="str">
        <f aca="false">IFERROR(IF([2]对账明细接口!$W634=0,"",[2]对账明细接口!$W634),"")</f>
        <v/>
      </c>
      <c r="AC634" s="90" t="str">
        <f aca="false">IFERROR(IF([2]对账明细接口!$X635=0,"",[2]对账明细接口!$X635),"")</f>
        <v/>
      </c>
      <c r="AD634" s="90" t="str">
        <f aca="false">IFERROR(IF([2]对账明细接口!$Y635=0,"",[2]对账明细接口!$Y635),"")</f>
        <v/>
      </c>
      <c r="AE634" s="90" t="str">
        <f aca="false">IFERROR(IF([2]对账明细接口!$AA635=0,"",[2]对账明细接口!$AA635),"")</f>
        <v/>
      </c>
      <c r="AF634" s="90" t="str">
        <f aca="false">IFERROR(IF([2]对账明细接口!$AB635=0,"",[2]对账明细接口!$AB635),"")</f>
        <v/>
      </c>
      <c r="AG634" s="90" t="str">
        <f aca="false">IFERROR(IF([2]对账明细接口!$AC635=0,"",[2]对账明细接口!$AC635),"")</f>
        <v/>
      </c>
      <c r="AH634" s="90" t="str">
        <f aca="false">IFERROR(IF([2]对账明细接口!$AD635=0,"",[2]对账明细接口!$AD635),"")</f>
        <v/>
      </c>
    </row>
    <row r="635" customFormat="false" ht="13.5" hidden="false" customHeight="false" outlineLevel="0" collapsed="false">
      <c r="A635" s="109" t="n">
        <v>635</v>
      </c>
      <c r="B635" s="110" t="str">
        <f aca="false">IFERROR(IF([2]对账明细接口!$B$635=0,"",[2]对账明细接口!$B$635),"")</f>
        <v/>
      </c>
      <c r="C635" s="59" t="str">
        <f aca="false">IFERROR(IF([2]对账明细接口!$C$635=0,"",[2]对账明细接口!$C$635),"")</f>
        <v/>
      </c>
      <c r="D635" s="59" t="str">
        <f aca="false">IFERROR(IF([2]对账明细接口!$D$635=0,"",[2]对账明细接口!$D$635),"")</f>
        <v/>
      </c>
      <c r="E635" s="59" t="str">
        <f aca="false">IFERROR(IF([2]对账明细接口!$E$635=0,"",[2]对账明细接口!$E$635),"")</f>
        <v/>
      </c>
      <c r="F635" s="59" t="str">
        <f aca="false">IFERROR(IF([2]对账明细接口!$F$635=0,"",[2]对账明细接口!$F$635),"")</f>
        <v/>
      </c>
      <c r="G635" s="59" t="str">
        <f aca="false">IFERROR(IF([2]对账明细接口!$G$635=0,"",[2]对账明细接口!$G$635),"")</f>
        <v/>
      </c>
      <c r="H635" s="60" t="str">
        <f aca="false">IFERROR(IF([2]对账明细接口!$H$635=0,"",[2]对账明细接口!$H$635),"")</f>
        <v/>
      </c>
      <c r="I635" s="59" t="str">
        <f aca="false">IFERROR(IF([2]对账明细接口!$I$635=0,"",[2]对账明细接口!$I$635),"")</f>
        <v/>
      </c>
      <c r="J635" s="61" t="str">
        <f aca="false">IFERROR(IF([2]对账明细接口!$J$635=0,"",[2]对账明细接口!$J$635),"")</f>
        <v/>
      </c>
      <c r="K635" s="61" t="str">
        <f aca="false">IFERROR(IF([2]对账明细接口!$K$635=0,"",[2]对账明细接口!$K$635),"")</f>
        <v/>
      </c>
      <c r="L635" s="59" t="str">
        <f aca="false">IFERROR(IF([2]对账明细接口!$L$635=0,"",[2]对账明细接口!$L$635),"")</f>
        <v/>
      </c>
      <c r="M635" s="59" t="str">
        <f aca="false">IFERROR(IF([2]对账明细接口!$M$635=0,"",[2]对账明细接口!$M$635),"")</f>
        <v/>
      </c>
      <c r="N635" s="111" t="n">
        <f aca="false">IF($C635="",0,1)</f>
        <v>0</v>
      </c>
      <c r="O635" s="111" t="n">
        <f aca="false">N(O634)+$N635</f>
        <v>311</v>
      </c>
      <c r="S635" s="10" t="str">
        <f aca="false">IFERROR(IF([2]对账明细接口!$N635=0,"",[2]对账明细接口!$N635),"")</f>
        <v/>
      </c>
      <c r="T635" s="112" t="str">
        <f aca="false">IFERROR(IF([2]对账明细接口!$O635=0,"",[2]对账明细接口!$O635),"")</f>
        <v/>
      </c>
      <c r="U635" s="112" t="str">
        <f aca="false">IFERROR(IF([2]对账明细接口!$P635=0,"",[2]对账明细接口!$P635),"")</f>
        <v/>
      </c>
      <c r="V635" s="112" t="str">
        <f aca="false">IFERROR(IF([2]对账明细接口!$Q635=0,"",[2]对账明细接口!$Q635),"")</f>
        <v/>
      </c>
      <c r="W635" s="10" t="str">
        <f aca="false">IFERROR(IF([2]对账明细接口!$R635=0,"",[2]对账明细接口!$R635),"")</f>
        <v/>
      </c>
      <c r="X635" s="10" t="str">
        <f aca="false">IFERROR(IF([2]对账明细接口!$S635=0,"",[2]对账明细接口!$S635),"")</f>
        <v/>
      </c>
      <c r="Y635" s="10" t="str">
        <f aca="false">IFERROR(IF([2]对账明细接口!$T635=0,"",[2]对账明细接口!$T635),"")</f>
        <v/>
      </c>
      <c r="Z635" s="113" t="str">
        <f aca="false">IFERROR(IF([2]对账明细接口!$U635=0,"",[2]对账明细接口!$U635),"")</f>
        <v/>
      </c>
      <c r="AA635" s="113" t="str">
        <f aca="false">IFERROR(IF([2]对账明细接口!$V635=0,"",[2]对账明细接口!$V635),"")</f>
        <v/>
      </c>
      <c r="AB635" s="10" t="str">
        <f aca="false">IFERROR(IF([2]对账明细接口!$W635=0,"",[2]对账明细接口!$W635),"")</f>
        <v/>
      </c>
      <c r="AC635" s="90" t="str">
        <f aca="false">IFERROR(IF([2]对账明细接口!$X636=0,"",[2]对账明细接口!$X636),"")</f>
        <v/>
      </c>
      <c r="AD635" s="90" t="str">
        <f aca="false">IFERROR(IF([2]对账明细接口!$Y636=0,"",[2]对账明细接口!$Y636),"")</f>
        <v/>
      </c>
      <c r="AE635" s="90" t="str">
        <f aca="false">IFERROR(IF([2]对账明细接口!$AA636=0,"",[2]对账明细接口!$AA636),"")</f>
        <v/>
      </c>
      <c r="AF635" s="90" t="str">
        <f aca="false">IFERROR(IF([2]对账明细接口!$AB636=0,"",[2]对账明细接口!$AB636),"")</f>
        <v/>
      </c>
      <c r="AG635" s="90" t="str">
        <f aca="false">IFERROR(IF([2]对账明细接口!$AC636=0,"",[2]对账明细接口!$AC636),"")</f>
        <v/>
      </c>
      <c r="AH635" s="90" t="str">
        <f aca="false">IFERROR(IF([2]对账明细接口!$AD636=0,"",[2]对账明细接口!$AD636),"")</f>
        <v/>
      </c>
    </row>
    <row r="636" customFormat="false" ht="13.5" hidden="false" customHeight="false" outlineLevel="0" collapsed="false">
      <c r="A636" s="109" t="n">
        <v>636</v>
      </c>
      <c r="B636" s="110" t="str">
        <f aca="false">IFERROR(IF([2]对账明细接口!$B$636=0,"",[2]对账明细接口!$B$636),"")</f>
        <v/>
      </c>
      <c r="C636" s="59" t="str">
        <f aca="false">IFERROR(IF([2]对账明细接口!$C$636=0,"",[2]对账明细接口!$C$636),"")</f>
        <v/>
      </c>
      <c r="D636" s="59" t="str">
        <f aca="false">IFERROR(IF([2]对账明细接口!$D$636=0,"",[2]对账明细接口!$D$636),"")</f>
        <v/>
      </c>
      <c r="E636" s="59" t="str">
        <f aca="false">IFERROR(IF([2]对账明细接口!$E$636=0,"",[2]对账明细接口!$E$636),"")</f>
        <v/>
      </c>
      <c r="F636" s="59" t="str">
        <f aca="false">IFERROR(IF([2]对账明细接口!$F$636=0,"",[2]对账明细接口!$F$636),"")</f>
        <v/>
      </c>
      <c r="G636" s="59" t="str">
        <f aca="false">IFERROR(IF([2]对账明细接口!$G$636=0,"",[2]对账明细接口!$G$636),"")</f>
        <v/>
      </c>
      <c r="H636" s="60" t="str">
        <f aca="false">IFERROR(IF([2]对账明细接口!$H$636=0,"",[2]对账明细接口!$H$636),"")</f>
        <v/>
      </c>
      <c r="I636" s="59" t="str">
        <f aca="false">IFERROR(IF([2]对账明细接口!$I$636=0,"",[2]对账明细接口!$I$636),"")</f>
        <v/>
      </c>
      <c r="J636" s="61" t="str">
        <f aca="false">IFERROR(IF([2]对账明细接口!$J$636=0,"",[2]对账明细接口!$J$636),"")</f>
        <v/>
      </c>
      <c r="K636" s="61" t="str">
        <f aca="false">IFERROR(IF([2]对账明细接口!$K$636=0,"",[2]对账明细接口!$K$636),"")</f>
        <v/>
      </c>
      <c r="L636" s="59" t="str">
        <f aca="false">IFERROR(IF([2]对账明细接口!$L$636=0,"",[2]对账明细接口!$L$636),"")</f>
        <v/>
      </c>
      <c r="M636" s="59" t="str">
        <f aca="false">IFERROR(IF([2]对账明细接口!$M$636=0,"",[2]对账明细接口!$M$636),"")</f>
        <v/>
      </c>
      <c r="N636" s="111" t="n">
        <f aca="false">IF($C636="",0,1)</f>
        <v>0</v>
      </c>
      <c r="O636" s="111" t="n">
        <f aca="false">N(O635)+$N636</f>
        <v>311</v>
      </c>
      <c r="S636" s="10" t="str">
        <f aca="false">IFERROR(IF([2]对账明细接口!$N636=0,"",[2]对账明细接口!$N636),"")</f>
        <v/>
      </c>
      <c r="T636" s="112" t="str">
        <f aca="false">IFERROR(IF([2]对账明细接口!$O636=0,"",[2]对账明细接口!$O636),"")</f>
        <v/>
      </c>
      <c r="U636" s="112" t="str">
        <f aca="false">IFERROR(IF([2]对账明细接口!$P636=0,"",[2]对账明细接口!$P636),"")</f>
        <v/>
      </c>
      <c r="V636" s="112" t="str">
        <f aca="false">IFERROR(IF([2]对账明细接口!$Q636=0,"",[2]对账明细接口!$Q636),"")</f>
        <v/>
      </c>
      <c r="W636" s="10" t="str">
        <f aca="false">IFERROR(IF([2]对账明细接口!$R636=0,"",[2]对账明细接口!$R636),"")</f>
        <v/>
      </c>
      <c r="X636" s="10" t="str">
        <f aca="false">IFERROR(IF([2]对账明细接口!$S636=0,"",[2]对账明细接口!$S636),"")</f>
        <v/>
      </c>
      <c r="Y636" s="10" t="str">
        <f aca="false">IFERROR(IF([2]对账明细接口!$T636=0,"",[2]对账明细接口!$T636),"")</f>
        <v/>
      </c>
      <c r="Z636" s="113" t="str">
        <f aca="false">IFERROR(IF([2]对账明细接口!$U636=0,"",[2]对账明细接口!$U636),"")</f>
        <v/>
      </c>
      <c r="AA636" s="113" t="str">
        <f aca="false">IFERROR(IF([2]对账明细接口!$V636=0,"",[2]对账明细接口!$V636),"")</f>
        <v/>
      </c>
      <c r="AB636" s="10" t="str">
        <f aca="false">IFERROR(IF([2]对账明细接口!$W636=0,"",[2]对账明细接口!$W636),"")</f>
        <v/>
      </c>
      <c r="AC636" s="90" t="str">
        <f aca="false">IFERROR(IF([2]对账明细接口!$X637=0,"",[2]对账明细接口!$X637),"")</f>
        <v/>
      </c>
      <c r="AD636" s="90" t="str">
        <f aca="false">IFERROR(IF([2]对账明细接口!$Y637=0,"",[2]对账明细接口!$Y637),"")</f>
        <v/>
      </c>
      <c r="AE636" s="90" t="str">
        <f aca="false">IFERROR(IF([2]对账明细接口!$AA637=0,"",[2]对账明细接口!$AA637),"")</f>
        <v/>
      </c>
      <c r="AF636" s="90" t="str">
        <f aca="false">IFERROR(IF([2]对账明细接口!$AB637=0,"",[2]对账明细接口!$AB637),"")</f>
        <v/>
      </c>
      <c r="AG636" s="90" t="str">
        <f aca="false">IFERROR(IF([2]对账明细接口!$AC637=0,"",[2]对账明细接口!$AC637),"")</f>
        <v/>
      </c>
      <c r="AH636" s="90" t="str">
        <f aca="false">IFERROR(IF([2]对账明细接口!$AD637=0,"",[2]对账明细接口!$AD637),"")</f>
        <v/>
      </c>
    </row>
    <row r="637" customFormat="false" ht="13.5" hidden="false" customHeight="false" outlineLevel="0" collapsed="false">
      <c r="A637" s="109" t="n">
        <v>637</v>
      </c>
      <c r="B637" s="110" t="str">
        <f aca="false">IFERROR(IF([2]对账明细接口!$B$637=0,"",[2]对账明细接口!$B$637),"")</f>
        <v/>
      </c>
      <c r="C637" s="59" t="str">
        <f aca="false">IFERROR(IF([2]对账明细接口!$C$637=0,"",[2]对账明细接口!$C$637),"")</f>
        <v/>
      </c>
      <c r="D637" s="59" t="str">
        <f aca="false">IFERROR(IF([2]对账明细接口!$D$637=0,"",[2]对账明细接口!$D$637),"")</f>
        <v/>
      </c>
      <c r="E637" s="59" t="str">
        <f aca="false">IFERROR(IF([2]对账明细接口!$E$637=0,"",[2]对账明细接口!$E$637),"")</f>
        <v/>
      </c>
      <c r="F637" s="59" t="str">
        <f aca="false">IFERROR(IF([2]对账明细接口!$F$637=0,"",[2]对账明细接口!$F$637),"")</f>
        <v/>
      </c>
      <c r="G637" s="59" t="str">
        <f aca="false">IFERROR(IF([2]对账明细接口!$G$637=0,"",[2]对账明细接口!$G$637),"")</f>
        <v/>
      </c>
      <c r="H637" s="60" t="str">
        <f aca="false">IFERROR(IF([2]对账明细接口!$H$637=0,"",[2]对账明细接口!$H$637),"")</f>
        <v/>
      </c>
      <c r="I637" s="59" t="str">
        <f aca="false">IFERROR(IF([2]对账明细接口!$I$637=0,"",[2]对账明细接口!$I$637),"")</f>
        <v/>
      </c>
      <c r="J637" s="61" t="str">
        <f aca="false">IFERROR(IF([2]对账明细接口!$J$637=0,"",[2]对账明细接口!$J$637),"")</f>
        <v/>
      </c>
      <c r="K637" s="61" t="str">
        <f aca="false">IFERROR(IF([2]对账明细接口!$K$637=0,"",[2]对账明细接口!$K$637),"")</f>
        <v/>
      </c>
      <c r="L637" s="59" t="str">
        <f aca="false">IFERROR(IF([2]对账明细接口!$L$637=0,"",[2]对账明细接口!$L$637),"")</f>
        <v/>
      </c>
      <c r="M637" s="59" t="str">
        <f aca="false">IFERROR(IF([2]对账明细接口!$M$637=0,"",[2]对账明细接口!$M$637),"")</f>
        <v/>
      </c>
      <c r="N637" s="111" t="n">
        <f aca="false">IF($C637="",0,1)</f>
        <v>0</v>
      </c>
      <c r="O637" s="111" t="n">
        <f aca="false">N(O636)+$N637</f>
        <v>311</v>
      </c>
      <c r="S637" s="10" t="str">
        <f aca="false">IFERROR(IF([2]对账明细接口!$N637=0,"",[2]对账明细接口!$N637),"")</f>
        <v/>
      </c>
      <c r="T637" s="112" t="str">
        <f aca="false">IFERROR(IF([2]对账明细接口!$O637=0,"",[2]对账明细接口!$O637),"")</f>
        <v/>
      </c>
      <c r="U637" s="112" t="str">
        <f aca="false">IFERROR(IF([2]对账明细接口!$P637=0,"",[2]对账明细接口!$P637),"")</f>
        <v/>
      </c>
      <c r="V637" s="112" t="str">
        <f aca="false">IFERROR(IF([2]对账明细接口!$Q637=0,"",[2]对账明细接口!$Q637),"")</f>
        <v/>
      </c>
      <c r="W637" s="10" t="str">
        <f aca="false">IFERROR(IF([2]对账明细接口!$R637=0,"",[2]对账明细接口!$R637),"")</f>
        <v/>
      </c>
      <c r="X637" s="10" t="str">
        <f aca="false">IFERROR(IF([2]对账明细接口!$S637=0,"",[2]对账明细接口!$S637),"")</f>
        <v/>
      </c>
      <c r="Y637" s="10" t="str">
        <f aca="false">IFERROR(IF([2]对账明细接口!$T637=0,"",[2]对账明细接口!$T637),"")</f>
        <v/>
      </c>
      <c r="Z637" s="113" t="str">
        <f aca="false">IFERROR(IF([2]对账明细接口!$U637=0,"",[2]对账明细接口!$U637),"")</f>
        <v/>
      </c>
      <c r="AA637" s="113" t="str">
        <f aca="false">IFERROR(IF([2]对账明细接口!$V637=0,"",[2]对账明细接口!$V637),"")</f>
        <v/>
      </c>
      <c r="AB637" s="10" t="str">
        <f aca="false">IFERROR(IF([2]对账明细接口!$W637=0,"",[2]对账明细接口!$W637),"")</f>
        <v/>
      </c>
      <c r="AC637" s="90" t="str">
        <f aca="false">IFERROR(IF([2]对账明细接口!$X638=0,"",[2]对账明细接口!$X638),"")</f>
        <v/>
      </c>
      <c r="AD637" s="90" t="str">
        <f aca="false">IFERROR(IF([2]对账明细接口!$Y638=0,"",[2]对账明细接口!$Y638),"")</f>
        <v/>
      </c>
      <c r="AE637" s="90" t="str">
        <f aca="false">IFERROR(IF([2]对账明细接口!$AA638=0,"",[2]对账明细接口!$AA638),"")</f>
        <v/>
      </c>
      <c r="AF637" s="90" t="str">
        <f aca="false">IFERROR(IF([2]对账明细接口!$AB638=0,"",[2]对账明细接口!$AB638),"")</f>
        <v/>
      </c>
      <c r="AG637" s="90" t="str">
        <f aca="false">IFERROR(IF([2]对账明细接口!$AC638=0,"",[2]对账明细接口!$AC638),"")</f>
        <v/>
      </c>
      <c r="AH637" s="90" t="str">
        <f aca="false">IFERROR(IF([2]对账明细接口!$AD638=0,"",[2]对账明细接口!$AD638),"")</f>
        <v/>
      </c>
    </row>
    <row r="638" customFormat="false" ht="13.5" hidden="false" customHeight="false" outlineLevel="0" collapsed="false">
      <c r="A638" s="109" t="n">
        <v>638</v>
      </c>
      <c r="B638" s="110" t="str">
        <f aca="false">IFERROR(IF([2]对账明细接口!$B$638=0,"",[2]对账明细接口!$B$638),"")</f>
        <v/>
      </c>
      <c r="C638" s="59" t="str">
        <f aca="false">IFERROR(IF([2]对账明细接口!$C$638=0,"",[2]对账明细接口!$C$638),"")</f>
        <v/>
      </c>
      <c r="D638" s="59" t="str">
        <f aca="false">IFERROR(IF([2]对账明细接口!$D$638=0,"",[2]对账明细接口!$D$638),"")</f>
        <v/>
      </c>
      <c r="E638" s="59" t="str">
        <f aca="false">IFERROR(IF([2]对账明细接口!$E$638=0,"",[2]对账明细接口!$E$638),"")</f>
        <v/>
      </c>
      <c r="F638" s="59" t="str">
        <f aca="false">IFERROR(IF([2]对账明细接口!$F$638=0,"",[2]对账明细接口!$F$638),"")</f>
        <v/>
      </c>
      <c r="G638" s="59" t="str">
        <f aca="false">IFERROR(IF([2]对账明细接口!$G$638=0,"",[2]对账明细接口!$G$638),"")</f>
        <v/>
      </c>
      <c r="H638" s="60" t="str">
        <f aca="false">IFERROR(IF([2]对账明细接口!$H$638=0,"",[2]对账明细接口!$H$638),"")</f>
        <v/>
      </c>
      <c r="I638" s="59" t="str">
        <f aca="false">IFERROR(IF([2]对账明细接口!$I$638=0,"",[2]对账明细接口!$I$638),"")</f>
        <v/>
      </c>
      <c r="J638" s="61" t="str">
        <f aca="false">IFERROR(IF([2]对账明细接口!$J$638=0,"",[2]对账明细接口!$J$638),"")</f>
        <v/>
      </c>
      <c r="K638" s="61" t="str">
        <f aca="false">IFERROR(IF([2]对账明细接口!$K$638=0,"",[2]对账明细接口!$K$638),"")</f>
        <v/>
      </c>
      <c r="L638" s="59" t="str">
        <f aca="false">IFERROR(IF([2]对账明细接口!$L$638=0,"",[2]对账明细接口!$L$638),"")</f>
        <v/>
      </c>
      <c r="M638" s="59" t="str">
        <f aca="false">IFERROR(IF([2]对账明细接口!$M$638=0,"",[2]对账明细接口!$M$638),"")</f>
        <v/>
      </c>
      <c r="N638" s="111" t="n">
        <f aca="false">IF($C638="",0,1)</f>
        <v>0</v>
      </c>
      <c r="O638" s="111" t="n">
        <f aca="false">N(O637)+$N638</f>
        <v>311</v>
      </c>
      <c r="S638" s="10" t="str">
        <f aca="false">IFERROR(IF([2]对账明细接口!$N638=0,"",[2]对账明细接口!$N638),"")</f>
        <v/>
      </c>
      <c r="T638" s="112" t="str">
        <f aca="false">IFERROR(IF([2]对账明细接口!$O638=0,"",[2]对账明细接口!$O638),"")</f>
        <v/>
      </c>
      <c r="U638" s="112" t="str">
        <f aca="false">IFERROR(IF([2]对账明细接口!$P638=0,"",[2]对账明细接口!$P638),"")</f>
        <v/>
      </c>
      <c r="V638" s="112" t="str">
        <f aca="false">IFERROR(IF([2]对账明细接口!$Q638=0,"",[2]对账明细接口!$Q638),"")</f>
        <v/>
      </c>
      <c r="W638" s="10" t="str">
        <f aca="false">IFERROR(IF([2]对账明细接口!$R638=0,"",[2]对账明细接口!$R638),"")</f>
        <v/>
      </c>
      <c r="X638" s="10" t="str">
        <f aca="false">IFERROR(IF([2]对账明细接口!$S638=0,"",[2]对账明细接口!$S638),"")</f>
        <v/>
      </c>
      <c r="Y638" s="10" t="str">
        <f aca="false">IFERROR(IF([2]对账明细接口!$T638=0,"",[2]对账明细接口!$T638),"")</f>
        <v/>
      </c>
      <c r="Z638" s="113" t="str">
        <f aca="false">IFERROR(IF([2]对账明细接口!$U638=0,"",[2]对账明细接口!$U638),"")</f>
        <v/>
      </c>
      <c r="AA638" s="113" t="str">
        <f aca="false">IFERROR(IF([2]对账明细接口!$V638=0,"",[2]对账明细接口!$V638),"")</f>
        <v/>
      </c>
      <c r="AB638" s="10" t="str">
        <f aca="false">IFERROR(IF([2]对账明细接口!$W638=0,"",[2]对账明细接口!$W638),"")</f>
        <v/>
      </c>
      <c r="AC638" s="90" t="str">
        <f aca="false">IFERROR(IF([2]对账明细接口!$X639=0,"",[2]对账明细接口!$X639),"")</f>
        <v/>
      </c>
      <c r="AD638" s="90" t="str">
        <f aca="false">IFERROR(IF([2]对账明细接口!$Y639=0,"",[2]对账明细接口!$Y639),"")</f>
        <v/>
      </c>
      <c r="AE638" s="90" t="str">
        <f aca="false">IFERROR(IF([2]对账明细接口!$AA639=0,"",[2]对账明细接口!$AA639),"")</f>
        <v/>
      </c>
      <c r="AF638" s="90" t="str">
        <f aca="false">IFERROR(IF([2]对账明细接口!$AB639=0,"",[2]对账明细接口!$AB639),"")</f>
        <v/>
      </c>
      <c r="AG638" s="90" t="str">
        <f aca="false">IFERROR(IF([2]对账明细接口!$AC639=0,"",[2]对账明细接口!$AC639),"")</f>
        <v/>
      </c>
      <c r="AH638" s="90" t="str">
        <f aca="false">IFERROR(IF([2]对账明细接口!$AD639=0,"",[2]对账明细接口!$AD639),"")</f>
        <v/>
      </c>
    </row>
    <row r="639" customFormat="false" ht="13.5" hidden="false" customHeight="false" outlineLevel="0" collapsed="false">
      <c r="A639" s="109" t="n">
        <v>639</v>
      </c>
      <c r="B639" s="110" t="str">
        <f aca="false">IFERROR(IF([2]对账明细接口!$B$639=0,"",[2]对账明细接口!$B$639),"")</f>
        <v/>
      </c>
      <c r="C639" s="59" t="str">
        <f aca="false">IFERROR(IF([2]对账明细接口!$C$639=0,"",[2]对账明细接口!$C$639),"")</f>
        <v/>
      </c>
      <c r="D639" s="59" t="str">
        <f aca="false">IFERROR(IF([2]对账明细接口!$D$639=0,"",[2]对账明细接口!$D$639),"")</f>
        <v/>
      </c>
      <c r="E639" s="59" t="str">
        <f aca="false">IFERROR(IF([2]对账明细接口!$E$639=0,"",[2]对账明细接口!$E$639),"")</f>
        <v/>
      </c>
      <c r="F639" s="59" t="str">
        <f aca="false">IFERROR(IF([2]对账明细接口!$F$639=0,"",[2]对账明细接口!$F$639),"")</f>
        <v/>
      </c>
      <c r="G639" s="59" t="str">
        <f aca="false">IFERROR(IF([2]对账明细接口!$G$639=0,"",[2]对账明细接口!$G$639),"")</f>
        <v/>
      </c>
      <c r="H639" s="60" t="str">
        <f aca="false">IFERROR(IF([2]对账明细接口!$H$639=0,"",[2]对账明细接口!$H$639),"")</f>
        <v/>
      </c>
      <c r="I639" s="59" t="str">
        <f aca="false">IFERROR(IF([2]对账明细接口!$I$639=0,"",[2]对账明细接口!$I$639),"")</f>
        <v/>
      </c>
      <c r="J639" s="61" t="str">
        <f aca="false">IFERROR(IF([2]对账明细接口!$J$639=0,"",[2]对账明细接口!$J$639),"")</f>
        <v/>
      </c>
      <c r="K639" s="61" t="str">
        <f aca="false">IFERROR(IF([2]对账明细接口!$K$639=0,"",[2]对账明细接口!$K$639),"")</f>
        <v/>
      </c>
      <c r="L639" s="59" t="str">
        <f aca="false">IFERROR(IF([2]对账明细接口!$L$639=0,"",[2]对账明细接口!$L$639),"")</f>
        <v/>
      </c>
      <c r="M639" s="59" t="str">
        <f aca="false">IFERROR(IF([2]对账明细接口!$M$639=0,"",[2]对账明细接口!$M$639),"")</f>
        <v/>
      </c>
      <c r="N639" s="111" t="n">
        <f aca="false">IF($C639="",0,1)</f>
        <v>0</v>
      </c>
      <c r="O639" s="111" t="n">
        <f aca="false">N(O638)+$N639</f>
        <v>311</v>
      </c>
      <c r="S639" s="10" t="str">
        <f aca="false">IFERROR(IF([2]对账明细接口!$N639=0,"",[2]对账明细接口!$N639),"")</f>
        <v/>
      </c>
      <c r="T639" s="112" t="str">
        <f aca="false">IFERROR(IF([2]对账明细接口!$O639=0,"",[2]对账明细接口!$O639),"")</f>
        <v/>
      </c>
      <c r="U639" s="112" t="str">
        <f aca="false">IFERROR(IF([2]对账明细接口!$P639=0,"",[2]对账明细接口!$P639),"")</f>
        <v/>
      </c>
      <c r="V639" s="112" t="str">
        <f aca="false">IFERROR(IF([2]对账明细接口!$Q639=0,"",[2]对账明细接口!$Q639),"")</f>
        <v/>
      </c>
      <c r="W639" s="10" t="str">
        <f aca="false">IFERROR(IF([2]对账明细接口!$R639=0,"",[2]对账明细接口!$R639),"")</f>
        <v/>
      </c>
      <c r="X639" s="10" t="str">
        <f aca="false">IFERROR(IF([2]对账明细接口!$S639=0,"",[2]对账明细接口!$S639),"")</f>
        <v/>
      </c>
      <c r="Y639" s="10" t="str">
        <f aca="false">IFERROR(IF([2]对账明细接口!$T639=0,"",[2]对账明细接口!$T639),"")</f>
        <v/>
      </c>
      <c r="Z639" s="113" t="str">
        <f aca="false">IFERROR(IF([2]对账明细接口!$U639=0,"",[2]对账明细接口!$U639),"")</f>
        <v/>
      </c>
      <c r="AA639" s="113" t="str">
        <f aca="false">IFERROR(IF([2]对账明细接口!$V639=0,"",[2]对账明细接口!$V639),"")</f>
        <v/>
      </c>
      <c r="AB639" s="10" t="str">
        <f aca="false">IFERROR(IF([2]对账明细接口!$W639=0,"",[2]对账明细接口!$W639),"")</f>
        <v/>
      </c>
      <c r="AC639" s="90" t="str">
        <f aca="false">IFERROR(IF([2]对账明细接口!$X640=0,"",[2]对账明细接口!$X640),"")</f>
        <v/>
      </c>
      <c r="AD639" s="90" t="str">
        <f aca="false">IFERROR(IF([2]对账明细接口!$Y640=0,"",[2]对账明细接口!$Y640),"")</f>
        <v/>
      </c>
      <c r="AE639" s="90" t="str">
        <f aca="false">IFERROR(IF([2]对账明细接口!$AA640=0,"",[2]对账明细接口!$AA640),"")</f>
        <v/>
      </c>
      <c r="AF639" s="90" t="str">
        <f aca="false">IFERROR(IF([2]对账明细接口!$AB640=0,"",[2]对账明细接口!$AB640),"")</f>
        <v/>
      </c>
      <c r="AG639" s="90" t="str">
        <f aca="false">IFERROR(IF([2]对账明细接口!$AC640=0,"",[2]对账明细接口!$AC640),"")</f>
        <v/>
      </c>
      <c r="AH639" s="90" t="str">
        <f aca="false">IFERROR(IF([2]对账明细接口!$AD640=0,"",[2]对账明细接口!$AD640),"")</f>
        <v/>
      </c>
    </row>
    <row r="640" customFormat="false" ht="13.5" hidden="false" customHeight="false" outlineLevel="0" collapsed="false">
      <c r="A640" s="109" t="n">
        <v>640</v>
      </c>
      <c r="B640" s="110" t="str">
        <f aca="false">IFERROR(IF([2]对账明细接口!$B$640=0,"",[2]对账明细接口!$B$640),"")</f>
        <v/>
      </c>
      <c r="C640" s="59" t="str">
        <f aca="false">IFERROR(IF([2]对账明细接口!$C$640=0,"",[2]对账明细接口!$C$640),"")</f>
        <v/>
      </c>
      <c r="D640" s="59" t="str">
        <f aca="false">IFERROR(IF([2]对账明细接口!$D$640=0,"",[2]对账明细接口!$D$640),"")</f>
        <v/>
      </c>
      <c r="E640" s="59" t="str">
        <f aca="false">IFERROR(IF([2]对账明细接口!$E$640=0,"",[2]对账明细接口!$E$640),"")</f>
        <v/>
      </c>
      <c r="F640" s="59" t="str">
        <f aca="false">IFERROR(IF([2]对账明细接口!$F$640=0,"",[2]对账明细接口!$F$640),"")</f>
        <v/>
      </c>
      <c r="G640" s="59" t="str">
        <f aca="false">IFERROR(IF([2]对账明细接口!$G$640=0,"",[2]对账明细接口!$G$640),"")</f>
        <v/>
      </c>
      <c r="H640" s="60" t="str">
        <f aca="false">IFERROR(IF([2]对账明细接口!$H$640=0,"",[2]对账明细接口!$H$640),"")</f>
        <v/>
      </c>
      <c r="I640" s="59" t="str">
        <f aca="false">IFERROR(IF([2]对账明细接口!$I$640=0,"",[2]对账明细接口!$I$640),"")</f>
        <v/>
      </c>
      <c r="J640" s="61" t="str">
        <f aca="false">IFERROR(IF([2]对账明细接口!$J$640=0,"",[2]对账明细接口!$J$640),"")</f>
        <v/>
      </c>
      <c r="K640" s="61" t="str">
        <f aca="false">IFERROR(IF([2]对账明细接口!$K$640=0,"",[2]对账明细接口!$K$640),"")</f>
        <v/>
      </c>
      <c r="L640" s="59" t="str">
        <f aca="false">IFERROR(IF([2]对账明细接口!$L$640=0,"",[2]对账明细接口!$L$640),"")</f>
        <v/>
      </c>
      <c r="M640" s="59" t="str">
        <f aca="false">IFERROR(IF([2]对账明细接口!$M$640=0,"",[2]对账明细接口!$M$640),"")</f>
        <v/>
      </c>
      <c r="N640" s="111" t="n">
        <f aca="false">IF($C640="",0,1)</f>
        <v>0</v>
      </c>
      <c r="O640" s="111" t="n">
        <f aca="false">N(O639)+$N640</f>
        <v>311</v>
      </c>
      <c r="S640" s="10" t="str">
        <f aca="false">IFERROR(IF([2]对账明细接口!$N640=0,"",[2]对账明细接口!$N640),"")</f>
        <v/>
      </c>
      <c r="T640" s="112" t="str">
        <f aca="false">IFERROR(IF([2]对账明细接口!$O640=0,"",[2]对账明细接口!$O640),"")</f>
        <v/>
      </c>
      <c r="U640" s="112" t="str">
        <f aca="false">IFERROR(IF([2]对账明细接口!$P640=0,"",[2]对账明细接口!$P640),"")</f>
        <v/>
      </c>
      <c r="V640" s="112" t="str">
        <f aca="false">IFERROR(IF([2]对账明细接口!$Q640=0,"",[2]对账明细接口!$Q640),"")</f>
        <v/>
      </c>
      <c r="W640" s="10" t="str">
        <f aca="false">IFERROR(IF([2]对账明细接口!$R640=0,"",[2]对账明细接口!$R640),"")</f>
        <v/>
      </c>
      <c r="X640" s="10" t="str">
        <f aca="false">IFERROR(IF([2]对账明细接口!$S640=0,"",[2]对账明细接口!$S640),"")</f>
        <v/>
      </c>
      <c r="Y640" s="10" t="str">
        <f aca="false">IFERROR(IF([2]对账明细接口!$T640=0,"",[2]对账明细接口!$T640),"")</f>
        <v/>
      </c>
      <c r="Z640" s="113" t="str">
        <f aca="false">IFERROR(IF([2]对账明细接口!$U640=0,"",[2]对账明细接口!$U640),"")</f>
        <v/>
      </c>
      <c r="AA640" s="113" t="str">
        <f aca="false">IFERROR(IF([2]对账明细接口!$V640=0,"",[2]对账明细接口!$V640),"")</f>
        <v/>
      </c>
      <c r="AB640" s="10" t="str">
        <f aca="false">IFERROR(IF([2]对账明细接口!$W640=0,"",[2]对账明细接口!$W640),"")</f>
        <v/>
      </c>
      <c r="AC640" s="90" t="str">
        <f aca="false">IFERROR(IF([2]对账明细接口!$X641=0,"",[2]对账明细接口!$X641),"")</f>
        <v/>
      </c>
      <c r="AD640" s="90" t="str">
        <f aca="false">IFERROR(IF([2]对账明细接口!$Y641=0,"",[2]对账明细接口!$Y641),"")</f>
        <v/>
      </c>
      <c r="AE640" s="90" t="str">
        <f aca="false">IFERROR(IF([2]对账明细接口!$AA641=0,"",[2]对账明细接口!$AA641),"")</f>
        <v/>
      </c>
      <c r="AF640" s="90" t="str">
        <f aca="false">IFERROR(IF([2]对账明细接口!$AB641=0,"",[2]对账明细接口!$AB641),"")</f>
        <v/>
      </c>
      <c r="AG640" s="90" t="str">
        <f aca="false">IFERROR(IF([2]对账明细接口!$AC641=0,"",[2]对账明细接口!$AC641),"")</f>
        <v/>
      </c>
      <c r="AH640" s="90" t="str">
        <f aca="false">IFERROR(IF([2]对账明细接口!$AD641=0,"",[2]对账明细接口!$AD641),"")</f>
        <v/>
      </c>
    </row>
    <row r="641" customFormat="false" ht="13.5" hidden="false" customHeight="false" outlineLevel="0" collapsed="false">
      <c r="A641" s="109" t="n">
        <v>641</v>
      </c>
      <c r="B641" s="110" t="str">
        <f aca="false">IFERROR(IF([2]对账明细接口!$B$641=0,"",[2]对账明细接口!$B$641),"")</f>
        <v/>
      </c>
      <c r="C641" s="59" t="str">
        <f aca="false">IFERROR(IF([2]对账明细接口!$C$641=0,"",[2]对账明细接口!$C$641),"")</f>
        <v/>
      </c>
      <c r="D641" s="59" t="str">
        <f aca="false">IFERROR(IF([2]对账明细接口!$D$641=0,"",[2]对账明细接口!$D$641),"")</f>
        <v/>
      </c>
      <c r="E641" s="59" t="str">
        <f aca="false">IFERROR(IF([2]对账明细接口!$E$641=0,"",[2]对账明细接口!$E$641),"")</f>
        <v/>
      </c>
      <c r="F641" s="59" t="str">
        <f aca="false">IFERROR(IF([2]对账明细接口!$F$641=0,"",[2]对账明细接口!$F$641),"")</f>
        <v/>
      </c>
      <c r="G641" s="59" t="str">
        <f aca="false">IFERROR(IF([2]对账明细接口!$G$641=0,"",[2]对账明细接口!$G$641),"")</f>
        <v/>
      </c>
      <c r="H641" s="60" t="str">
        <f aca="false">IFERROR(IF([2]对账明细接口!$H$641=0,"",[2]对账明细接口!$H$641),"")</f>
        <v/>
      </c>
      <c r="I641" s="59" t="str">
        <f aca="false">IFERROR(IF([2]对账明细接口!$I$641=0,"",[2]对账明细接口!$I$641),"")</f>
        <v/>
      </c>
      <c r="J641" s="61" t="str">
        <f aca="false">IFERROR(IF([2]对账明细接口!$J$641=0,"",[2]对账明细接口!$J$641),"")</f>
        <v/>
      </c>
      <c r="K641" s="61" t="str">
        <f aca="false">IFERROR(IF([2]对账明细接口!$K$641=0,"",[2]对账明细接口!$K$641),"")</f>
        <v/>
      </c>
      <c r="L641" s="59" t="str">
        <f aca="false">IFERROR(IF([2]对账明细接口!$L$641=0,"",[2]对账明细接口!$L$641),"")</f>
        <v/>
      </c>
      <c r="M641" s="59" t="str">
        <f aca="false">IFERROR(IF([2]对账明细接口!$M$641=0,"",[2]对账明细接口!$M$641),"")</f>
        <v/>
      </c>
      <c r="N641" s="111" t="n">
        <f aca="false">IF($C641="",0,1)</f>
        <v>0</v>
      </c>
      <c r="O641" s="111" t="n">
        <f aca="false">N(O640)+$N641</f>
        <v>311</v>
      </c>
      <c r="S641" s="10" t="str">
        <f aca="false">IFERROR(IF([2]对账明细接口!$N641=0,"",[2]对账明细接口!$N641),"")</f>
        <v/>
      </c>
      <c r="T641" s="112" t="str">
        <f aca="false">IFERROR(IF([2]对账明细接口!$O641=0,"",[2]对账明细接口!$O641),"")</f>
        <v/>
      </c>
      <c r="U641" s="112" t="str">
        <f aca="false">IFERROR(IF([2]对账明细接口!$P641=0,"",[2]对账明细接口!$P641),"")</f>
        <v/>
      </c>
      <c r="V641" s="112" t="str">
        <f aca="false">IFERROR(IF([2]对账明细接口!$Q641=0,"",[2]对账明细接口!$Q641),"")</f>
        <v/>
      </c>
      <c r="W641" s="10" t="str">
        <f aca="false">IFERROR(IF([2]对账明细接口!$R641=0,"",[2]对账明细接口!$R641),"")</f>
        <v/>
      </c>
      <c r="X641" s="10" t="str">
        <f aca="false">IFERROR(IF([2]对账明细接口!$S641=0,"",[2]对账明细接口!$S641),"")</f>
        <v/>
      </c>
      <c r="Y641" s="10" t="str">
        <f aca="false">IFERROR(IF([2]对账明细接口!$T641=0,"",[2]对账明细接口!$T641),"")</f>
        <v/>
      </c>
      <c r="Z641" s="113" t="str">
        <f aca="false">IFERROR(IF([2]对账明细接口!$U641=0,"",[2]对账明细接口!$U641),"")</f>
        <v/>
      </c>
      <c r="AA641" s="113" t="str">
        <f aca="false">IFERROR(IF([2]对账明细接口!$V641=0,"",[2]对账明细接口!$V641),"")</f>
        <v/>
      </c>
      <c r="AB641" s="10" t="str">
        <f aca="false">IFERROR(IF([2]对账明细接口!$W641=0,"",[2]对账明细接口!$W641),"")</f>
        <v/>
      </c>
      <c r="AC641" s="90" t="str">
        <f aca="false">IFERROR(IF([2]对账明细接口!$X642=0,"",[2]对账明细接口!$X642),"")</f>
        <v/>
      </c>
      <c r="AD641" s="90" t="str">
        <f aca="false">IFERROR(IF([2]对账明细接口!$Y642=0,"",[2]对账明细接口!$Y642),"")</f>
        <v/>
      </c>
      <c r="AE641" s="90" t="str">
        <f aca="false">IFERROR(IF([2]对账明细接口!$AA642=0,"",[2]对账明细接口!$AA642),"")</f>
        <v/>
      </c>
      <c r="AF641" s="90" t="str">
        <f aca="false">IFERROR(IF([2]对账明细接口!$AB642=0,"",[2]对账明细接口!$AB642),"")</f>
        <v/>
      </c>
      <c r="AG641" s="90" t="str">
        <f aca="false">IFERROR(IF([2]对账明细接口!$AC642=0,"",[2]对账明细接口!$AC642),"")</f>
        <v/>
      </c>
      <c r="AH641" s="90" t="str">
        <f aca="false">IFERROR(IF([2]对账明细接口!$AD642=0,"",[2]对账明细接口!$AD642),"")</f>
        <v/>
      </c>
    </row>
    <row r="642" customFormat="false" ht="13.5" hidden="false" customHeight="false" outlineLevel="0" collapsed="false">
      <c r="A642" s="109" t="n">
        <v>642</v>
      </c>
      <c r="B642" s="110" t="str">
        <f aca="false">IFERROR(IF([2]对账明细接口!$B$642=0,"",[2]对账明细接口!$B$642),"")</f>
        <v/>
      </c>
      <c r="C642" s="59" t="str">
        <f aca="false">IFERROR(IF([2]对账明细接口!$C$642=0,"",[2]对账明细接口!$C$642),"")</f>
        <v/>
      </c>
      <c r="D642" s="59" t="str">
        <f aca="false">IFERROR(IF([2]对账明细接口!$D$642=0,"",[2]对账明细接口!$D$642),"")</f>
        <v/>
      </c>
      <c r="E642" s="59" t="str">
        <f aca="false">IFERROR(IF([2]对账明细接口!$E$642=0,"",[2]对账明细接口!$E$642),"")</f>
        <v/>
      </c>
      <c r="F642" s="59" t="str">
        <f aca="false">IFERROR(IF([2]对账明细接口!$F$642=0,"",[2]对账明细接口!$F$642),"")</f>
        <v/>
      </c>
      <c r="G642" s="59" t="str">
        <f aca="false">IFERROR(IF([2]对账明细接口!$G$642=0,"",[2]对账明细接口!$G$642),"")</f>
        <v/>
      </c>
      <c r="H642" s="60" t="str">
        <f aca="false">IFERROR(IF([2]对账明细接口!$H$642=0,"",[2]对账明细接口!$H$642),"")</f>
        <v/>
      </c>
      <c r="I642" s="59" t="str">
        <f aca="false">IFERROR(IF([2]对账明细接口!$I$642=0,"",[2]对账明细接口!$I$642),"")</f>
        <v/>
      </c>
      <c r="J642" s="61" t="str">
        <f aca="false">IFERROR(IF([2]对账明细接口!$J$642=0,"",[2]对账明细接口!$J$642),"")</f>
        <v/>
      </c>
      <c r="K642" s="61" t="str">
        <f aca="false">IFERROR(IF([2]对账明细接口!$K$642=0,"",[2]对账明细接口!$K$642),"")</f>
        <v/>
      </c>
      <c r="L642" s="59" t="str">
        <f aca="false">IFERROR(IF([2]对账明细接口!$L$642=0,"",[2]对账明细接口!$L$642),"")</f>
        <v/>
      </c>
      <c r="M642" s="59" t="str">
        <f aca="false">IFERROR(IF([2]对账明细接口!$M$642=0,"",[2]对账明细接口!$M$642),"")</f>
        <v/>
      </c>
      <c r="N642" s="111" t="n">
        <f aca="false">IF($C642="",0,1)</f>
        <v>0</v>
      </c>
      <c r="O642" s="111" t="n">
        <f aca="false">N(O641)+$N642</f>
        <v>311</v>
      </c>
      <c r="S642" s="10" t="str">
        <f aca="false">IFERROR(IF([2]对账明细接口!$N642=0,"",[2]对账明细接口!$N642),"")</f>
        <v/>
      </c>
      <c r="T642" s="112" t="str">
        <f aca="false">IFERROR(IF([2]对账明细接口!$O642=0,"",[2]对账明细接口!$O642),"")</f>
        <v/>
      </c>
      <c r="U642" s="112" t="str">
        <f aca="false">IFERROR(IF([2]对账明细接口!$P642=0,"",[2]对账明细接口!$P642),"")</f>
        <v/>
      </c>
      <c r="V642" s="112" t="str">
        <f aca="false">IFERROR(IF([2]对账明细接口!$Q642=0,"",[2]对账明细接口!$Q642),"")</f>
        <v/>
      </c>
      <c r="W642" s="10" t="str">
        <f aca="false">IFERROR(IF([2]对账明细接口!$R642=0,"",[2]对账明细接口!$R642),"")</f>
        <v/>
      </c>
      <c r="X642" s="10" t="str">
        <f aca="false">IFERROR(IF([2]对账明细接口!$S642=0,"",[2]对账明细接口!$S642),"")</f>
        <v/>
      </c>
      <c r="Y642" s="10" t="str">
        <f aca="false">IFERROR(IF([2]对账明细接口!$T642=0,"",[2]对账明细接口!$T642),"")</f>
        <v/>
      </c>
      <c r="Z642" s="113" t="str">
        <f aca="false">IFERROR(IF([2]对账明细接口!$U642=0,"",[2]对账明细接口!$U642),"")</f>
        <v/>
      </c>
      <c r="AA642" s="113" t="str">
        <f aca="false">IFERROR(IF([2]对账明细接口!$V642=0,"",[2]对账明细接口!$V642),"")</f>
        <v/>
      </c>
      <c r="AB642" s="10" t="str">
        <f aca="false">IFERROR(IF([2]对账明细接口!$W642=0,"",[2]对账明细接口!$W642),"")</f>
        <v/>
      </c>
      <c r="AC642" s="90" t="str">
        <f aca="false">IFERROR(IF([2]对账明细接口!$X643=0,"",[2]对账明细接口!$X643),"")</f>
        <v/>
      </c>
      <c r="AD642" s="90" t="str">
        <f aca="false">IFERROR(IF([2]对账明细接口!$Y643=0,"",[2]对账明细接口!$Y643),"")</f>
        <v/>
      </c>
      <c r="AE642" s="90" t="str">
        <f aca="false">IFERROR(IF([2]对账明细接口!$AA643=0,"",[2]对账明细接口!$AA643),"")</f>
        <v/>
      </c>
      <c r="AF642" s="90" t="str">
        <f aca="false">IFERROR(IF([2]对账明细接口!$AB643=0,"",[2]对账明细接口!$AB643),"")</f>
        <v/>
      </c>
      <c r="AG642" s="90" t="str">
        <f aca="false">IFERROR(IF([2]对账明细接口!$AC643=0,"",[2]对账明细接口!$AC643),"")</f>
        <v/>
      </c>
      <c r="AH642" s="90" t="str">
        <f aca="false">IFERROR(IF([2]对账明细接口!$AD643=0,"",[2]对账明细接口!$AD643),"")</f>
        <v/>
      </c>
    </row>
    <row r="643" customFormat="false" ht="13.5" hidden="false" customHeight="false" outlineLevel="0" collapsed="false">
      <c r="A643" s="109" t="n">
        <v>643</v>
      </c>
      <c r="B643" s="110" t="str">
        <f aca="false">IFERROR(IF([2]对账明细接口!$B$643=0,"",[2]对账明细接口!$B$643),"")</f>
        <v/>
      </c>
      <c r="C643" s="59" t="str">
        <f aca="false">IFERROR(IF([2]对账明细接口!$C$643=0,"",[2]对账明细接口!$C$643),"")</f>
        <v/>
      </c>
      <c r="D643" s="59" t="str">
        <f aca="false">IFERROR(IF([2]对账明细接口!$D$643=0,"",[2]对账明细接口!$D$643),"")</f>
        <v/>
      </c>
      <c r="E643" s="59" t="str">
        <f aca="false">IFERROR(IF([2]对账明细接口!$E$643=0,"",[2]对账明细接口!$E$643),"")</f>
        <v/>
      </c>
      <c r="F643" s="59" t="str">
        <f aca="false">IFERROR(IF([2]对账明细接口!$F$643=0,"",[2]对账明细接口!$F$643),"")</f>
        <v/>
      </c>
      <c r="G643" s="59" t="str">
        <f aca="false">IFERROR(IF([2]对账明细接口!$G$643=0,"",[2]对账明细接口!$G$643),"")</f>
        <v/>
      </c>
      <c r="H643" s="60" t="str">
        <f aca="false">IFERROR(IF([2]对账明细接口!$H$643=0,"",[2]对账明细接口!$H$643),"")</f>
        <v/>
      </c>
      <c r="I643" s="59" t="str">
        <f aca="false">IFERROR(IF([2]对账明细接口!$I$643=0,"",[2]对账明细接口!$I$643),"")</f>
        <v/>
      </c>
      <c r="J643" s="61" t="str">
        <f aca="false">IFERROR(IF([2]对账明细接口!$J$643=0,"",[2]对账明细接口!$J$643),"")</f>
        <v/>
      </c>
      <c r="K643" s="61" t="str">
        <f aca="false">IFERROR(IF([2]对账明细接口!$K$643=0,"",[2]对账明细接口!$K$643),"")</f>
        <v/>
      </c>
      <c r="L643" s="59" t="str">
        <f aca="false">IFERROR(IF([2]对账明细接口!$L$643=0,"",[2]对账明细接口!$L$643),"")</f>
        <v/>
      </c>
      <c r="M643" s="59" t="str">
        <f aca="false">IFERROR(IF([2]对账明细接口!$M$643=0,"",[2]对账明细接口!$M$643),"")</f>
        <v/>
      </c>
      <c r="N643" s="111" t="n">
        <f aca="false">IF($C643="",0,1)</f>
        <v>0</v>
      </c>
      <c r="O643" s="111" t="n">
        <f aca="false">N(O642)+$N643</f>
        <v>311</v>
      </c>
      <c r="S643" s="10" t="str">
        <f aca="false">IFERROR(IF([2]对账明细接口!$N643=0,"",[2]对账明细接口!$N643),"")</f>
        <v/>
      </c>
      <c r="T643" s="112" t="str">
        <f aca="false">IFERROR(IF([2]对账明细接口!$O643=0,"",[2]对账明细接口!$O643),"")</f>
        <v/>
      </c>
      <c r="U643" s="112" t="str">
        <f aca="false">IFERROR(IF([2]对账明细接口!$P643=0,"",[2]对账明细接口!$P643),"")</f>
        <v/>
      </c>
      <c r="V643" s="112" t="str">
        <f aca="false">IFERROR(IF([2]对账明细接口!$Q643=0,"",[2]对账明细接口!$Q643),"")</f>
        <v/>
      </c>
      <c r="W643" s="10" t="str">
        <f aca="false">IFERROR(IF([2]对账明细接口!$R643=0,"",[2]对账明细接口!$R643),"")</f>
        <v/>
      </c>
      <c r="X643" s="10" t="str">
        <f aca="false">IFERROR(IF([2]对账明细接口!$S643=0,"",[2]对账明细接口!$S643),"")</f>
        <v/>
      </c>
      <c r="Y643" s="10" t="str">
        <f aca="false">IFERROR(IF([2]对账明细接口!$T643=0,"",[2]对账明细接口!$T643),"")</f>
        <v/>
      </c>
      <c r="Z643" s="113" t="str">
        <f aca="false">IFERROR(IF([2]对账明细接口!$U643=0,"",[2]对账明细接口!$U643),"")</f>
        <v/>
      </c>
      <c r="AA643" s="113" t="str">
        <f aca="false">IFERROR(IF([2]对账明细接口!$V643=0,"",[2]对账明细接口!$V643),"")</f>
        <v/>
      </c>
      <c r="AB643" s="10" t="str">
        <f aca="false">IFERROR(IF([2]对账明细接口!$W643=0,"",[2]对账明细接口!$W643),"")</f>
        <v/>
      </c>
      <c r="AC643" s="90" t="str">
        <f aca="false">IFERROR(IF([2]对账明细接口!$X644=0,"",[2]对账明细接口!$X644),"")</f>
        <v/>
      </c>
      <c r="AD643" s="90" t="str">
        <f aca="false">IFERROR(IF([2]对账明细接口!$Y644=0,"",[2]对账明细接口!$Y644),"")</f>
        <v/>
      </c>
      <c r="AE643" s="90" t="str">
        <f aca="false">IFERROR(IF([2]对账明细接口!$AA644=0,"",[2]对账明细接口!$AA644),"")</f>
        <v/>
      </c>
      <c r="AF643" s="90" t="str">
        <f aca="false">IFERROR(IF([2]对账明细接口!$AB644=0,"",[2]对账明细接口!$AB644),"")</f>
        <v/>
      </c>
      <c r="AG643" s="90" t="str">
        <f aca="false">IFERROR(IF([2]对账明细接口!$AC644=0,"",[2]对账明细接口!$AC644),"")</f>
        <v/>
      </c>
      <c r="AH643" s="90" t="str">
        <f aca="false">IFERROR(IF([2]对账明细接口!$AD644=0,"",[2]对账明细接口!$AD644),"")</f>
        <v/>
      </c>
    </row>
    <row r="644" customFormat="false" ht="13.5" hidden="false" customHeight="false" outlineLevel="0" collapsed="false">
      <c r="A644" s="109" t="n">
        <v>644</v>
      </c>
      <c r="B644" s="110" t="str">
        <f aca="false">IFERROR(IF([2]对账明细接口!$B$644=0,"",[2]对账明细接口!$B$644),"")</f>
        <v/>
      </c>
      <c r="C644" s="59" t="str">
        <f aca="false">IFERROR(IF([2]对账明细接口!$C$644=0,"",[2]对账明细接口!$C$644),"")</f>
        <v/>
      </c>
      <c r="D644" s="59" t="str">
        <f aca="false">IFERROR(IF([2]对账明细接口!$D$644=0,"",[2]对账明细接口!$D$644),"")</f>
        <v/>
      </c>
      <c r="E644" s="59" t="str">
        <f aca="false">IFERROR(IF([2]对账明细接口!$E$644=0,"",[2]对账明细接口!$E$644),"")</f>
        <v/>
      </c>
      <c r="F644" s="59" t="str">
        <f aca="false">IFERROR(IF([2]对账明细接口!$F$644=0,"",[2]对账明细接口!$F$644),"")</f>
        <v/>
      </c>
      <c r="G644" s="59" t="str">
        <f aca="false">IFERROR(IF([2]对账明细接口!$G$644=0,"",[2]对账明细接口!$G$644),"")</f>
        <v/>
      </c>
      <c r="H644" s="60" t="str">
        <f aca="false">IFERROR(IF([2]对账明细接口!$H$644=0,"",[2]对账明细接口!$H$644),"")</f>
        <v/>
      </c>
      <c r="I644" s="59" t="str">
        <f aca="false">IFERROR(IF([2]对账明细接口!$I$644=0,"",[2]对账明细接口!$I$644),"")</f>
        <v/>
      </c>
      <c r="J644" s="61" t="str">
        <f aca="false">IFERROR(IF([2]对账明细接口!$J$644=0,"",[2]对账明细接口!$J$644),"")</f>
        <v/>
      </c>
      <c r="K644" s="61" t="str">
        <f aca="false">IFERROR(IF([2]对账明细接口!$K$644=0,"",[2]对账明细接口!$K$644),"")</f>
        <v/>
      </c>
      <c r="L644" s="59" t="str">
        <f aca="false">IFERROR(IF([2]对账明细接口!$L$644=0,"",[2]对账明细接口!$L$644),"")</f>
        <v/>
      </c>
      <c r="M644" s="59" t="str">
        <f aca="false">IFERROR(IF([2]对账明细接口!$M$644=0,"",[2]对账明细接口!$M$644),"")</f>
        <v/>
      </c>
      <c r="N644" s="111" t="n">
        <f aca="false">IF($C644="",0,1)</f>
        <v>0</v>
      </c>
      <c r="O644" s="111" t="n">
        <f aca="false">N(O643)+$N644</f>
        <v>311</v>
      </c>
      <c r="S644" s="10" t="str">
        <f aca="false">IFERROR(IF([2]对账明细接口!$N644=0,"",[2]对账明细接口!$N644),"")</f>
        <v/>
      </c>
      <c r="T644" s="112" t="str">
        <f aca="false">IFERROR(IF([2]对账明细接口!$O644=0,"",[2]对账明细接口!$O644),"")</f>
        <v/>
      </c>
      <c r="U644" s="112" t="str">
        <f aca="false">IFERROR(IF([2]对账明细接口!$P644=0,"",[2]对账明细接口!$P644),"")</f>
        <v/>
      </c>
      <c r="V644" s="112" t="str">
        <f aca="false">IFERROR(IF([2]对账明细接口!$Q644=0,"",[2]对账明细接口!$Q644),"")</f>
        <v/>
      </c>
      <c r="W644" s="10" t="str">
        <f aca="false">IFERROR(IF([2]对账明细接口!$R644=0,"",[2]对账明细接口!$R644),"")</f>
        <v/>
      </c>
      <c r="X644" s="10" t="str">
        <f aca="false">IFERROR(IF([2]对账明细接口!$S644=0,"",[2]对账明细接口!$S644),"")</f>
        <v/>
      </c>
      <c r="Y644" s="10" t="str">
        <f aca="false">IFERROR(IF([2]对账明细接口!$T644=0,"",[2]对账明细接口!$T644),"")</f>
        <v/>
      </c>
      <c r="Z644" s="113" t="str">
        <f aca="false">IFERROR(IF([2]对账明细接口!$U644=0,"",[2]对账明细接口!$U644),"")</f>
        <v/>
      </c>
      <c r="AA644" s="113" t="str">
        <f aca="false">IFERROR(IF([2]对账明细接口!$V644=0,"",[2]对账明细接口!$V644),"")</f>
        <v/>
      </c>
      <c r="AB644" s="10" t="str">
        <f aca="false">IFERROR(IF([2]对账明细接口!$W644=0,"",[2]对账明细接口!$W644),"")</f>
        <v/>
      </c>
      <c r="AC644" s="90" t="str">
        <f aca="false">IFERROR(IF([2]对账明细接口!$X645=0,"",[2]对账明细接口!$X645),"")</f>
        <v/>
      </c>
      <c r="AD644" s="90" t="str">
        <f aca="false">IFERROR(IF([2]对账明细接口!$Y645=0,"",[2]对账明细接口!$Y645),"")</f>
        <v/>
      </c>
      <c r="AE644" s="90" t="str">
        <f aca="false">IFERROR(IF([2]对账明细接口!$AA645=0,"",[2]对账明细接口!$AA645),"")</f>
        <v/>
      </c>
      <c r="AF644" s="90" t="str">
        <f aca="false">IFERROR(IF([2]对账明细接口!$AB645=0,"",[2]对账明细接口!$AB645),"")</f>
        <v/>
      </c>
      <c r="AG644" s="90" t="str">
        <f aca="false">IFERROR(IF([2]对账明细接口!$AC645=0,"",[2]对账明细接口!$AC645),"")</f>
        <v/>
      </c>
      <c r="AH644" s="90" t="str">
        <f aca="false">IFERROR(IF([2]对账明细接口!$AD645=0,"",[2]对账明细接口!$AD645),"")</f>
        <v/>
      </c>
    </row>
    <row r="645" customFormat="false" ht="13.5" hidden="false" customHeight="false" outlineLevel="0" collapsed="false">
      <c r="A645" s="109" t="n">
        <v>645</v>
      </c>
      <c r="B645" s="110" t="str">
        <f aca="false">IFERROR(IF([2]对账明细接口!$B$645=0,"",[2]对账明细接口!$B$645),"")</f>
        <v/>
      </c>
      <c r="C645" s="59" t="str">
        <f aca="false">IFERROR(IF([2]对账明细接口!$C$645=0,"",[2]对账明细接口!$C$645),"")</f>
        <v/>
      </c>
      <c r="D645" s="59" t="str">
        <f aca="false">IFERROR(IF([2]对账明细接口!$D$645=0,"",[2]对账明细接口!$D$645),"")</f>
        <v/>
      </c>
      <c r="E645" s="59" t="str">
        <f aca="false">IFERROR(IF([2]对账明细接口!$E$645=0,"",[2]对账明细接口!$E$645),"")</f>
        <v/>
      </c>
      <c r="F645" s="59" t="str">
        <f aca="false">IFERROR(IF([2]对账明细接口!$F$645=0,"",[2]对账明细接口!$F$645),"")</f>
        <v/>
      </c>
      <c r="G645" s="59" t="str">
        <f aca="false">IFERROR(IF([2]对账明细接口!$G$645=0,"",[2]对账明细接口!$G$645),"")</f>
        <v/>
      </c>
      <c r="H645" s="60" t="str">
        <f aca="false">IFERROR(IF([2]对账明细接口!$H$645=0,"",[2]对账明细接口!$H$645),"")</f>
        <v/>
      </c>
      <c r="I645" s="59" t="str">
        <f aca="false">IFERROR(IF([2]对账明细接口!$I$645=0,"",[2]对账明细接口!$I$645),"")</f>
        <v/>
      </c>
      <c r="J645" s="61" t="str">
        <f aca="false">IFERROR(IF([2]对账明细接口!$J$645=0,"",[2]对账明细接口!$J$645),"")</f>
        <v/>
      </c>
      <c r="K645" s="61" t="str">
        <f aca="false">IFERROR(IF([2]对账明细接口!$K$645=0,"",[2]对账明细接口!$K$645),"")</f>
        <v/>
      </c>
      <c r="L645" s="59" t="str">
        <f aca="false">IFERROR(IF([2]对账明细接口!$L$645=0,"",[2]对账明细接口!$L$645),"")</f>
        <v/>
      </c>
      <c r="M645" s="59" t="str">
        <f aca="false">IFERROR(IF([2]对账明细接口!$M$645=0,"",[2]对账明细接口!$M$645),"")</f>
        <v/>
      </c>
      <c r="N645" s="111" t="n">
        <f aca="false">IF($C645="",0,1)</f>
        <v>0</v>
      </c>
      <c r="O645" s="111" t="n">
        <f aca="false">N(O644)+$N645</f>
        <v>311</v>
      </c>
      <c r="S645" s="10" t="str">
        <f aca="false">IFERROR(IF([2]对账明细接口!$N645=0,"",[2]对账明细接口!$N645),"")</f>
        <v/>
      </c>
      <c r="T645" s="112" t="str">
        <f aca="false">IFERROR(IF([2]对账明细接口!$O645=0,"",[2]对账明细接口!$O645),"")</f>
        <v/>
      </c>
      <c r="U645" s="112" t="str">
        <f aca="false">IFERROR(IF([2]对账明细接口!$P645=0,"",[2]对账明细接口!$P645),"")</f>
        <v/>
      </c>
      <c r="V645" s="112" t="str">
        <f aca="false">IFERROR(IF([2]对账明细接口!$Q645=0,"",[2]对账明细接口!$Q645),"")</f>
        <v/>
      </c>
      <c r="W645" s="10" t="str">
        <f aca="false">IFERROR(IF([2]对账明细接口!$R645=0,"",[2]对账明细接口!$R645),"")</f>
        <v/>
      </c>
      <c r="X645" s="10" t="str">
        <f aca="false">IFERROR(IF([2]对账明细接口!$S645=0,"",[2]对账明细接口!$S645),"")</f>
        <v/>
      </c>
      <c r="Y645" s="10" t="str">
        <f aca="false">IFERROR(IF([2]对账明细接口!$T645=0,"",[2]对账明细接口!$T645),"")</f>
        <v/>
      </c>
      <c r="Z645" s="113" t="str">
        <f aca="false">IFERROR(IF([2]对账明细接口!$U645=0,"",[2]对账明细接口!$U645),"")</f>
        <v/>
      </c>
      <c r="AA645" s="113" t="str">
        <f aca="false">IFERROR(IF([2]对账明细接口!$V645=0,"",[2]对账明细接口!$V645),"")</f>
        <v/>
      </c>
      <c r="AB645" s="10" t="str">
        <f aca="false">IFERROR(IF([2]对账明细接口!$W645=0,"",[2]对账明细接口!$W645),"")</f>
        <v/>
      </c>
      <c r="AC645" s="90" t="str">
        <f aca="false">IFERROR(IF([2]对账明细接口!$X646=0,"",[2]对账明细接口!$X646),"")</f>
        <v/>
      </c>
      <c r="AD645" s="90" t="str">
        <f aca="false">IFERROR(IF([2]对账明细接口!$Y646=0,"",[2]对账明细接口!$Y646),"")</f>
        <v/>
      </c>
      <c r="AE645" s="90" t="str">
        <f aca="false">IFERROR(IF([2]对账明细接口!$AA646=0,"",[2]对账明细接口!$AA646),"")</f>
        <v/>
      </c>
      <c r="AF645" s="90" t="str">
        <f aca="false">IFERROR(IF([2]对账明细接口!$AB646=0,"",[2]对账明细接口!$AB646),"")</f>
        <v/>
      </c>
      <c r="AG645" s="90" t="str">
        <f aca="false">IFERROR(IF([2]对账明细接口!$AC646=0,"",[2]对账明细接口!$AC646),"")</f>
        <v/>
      </c>
      <c r="AH645" s="90" t="str">
        <f aca="false">IFERROR(IF([2]对账明细接口!$AD646=0,"",[2]对账明细接口!$AD646),"")</f>
        <v/>
      </c>
    </row>
    <row r="646" customFormat="false" ht="13.5" hidden="false" customHeight="false" outlineLevel="0" collapsed="false">
      <c r="A646" s="109" t="n">
        <v>646</v>
      </c>
      <c r="B646" s="110" t="str">
        <f aca="false">IFERROR(IF([2]对账明细接口!$B$646=0,"",[2]对账明细接口!$B$646),"")</f>
        <v/>
      </c>
      <c r="C646" s="59" t="str">
        <f aca="false">IFERROR(IF([2]对账明细接口!$C$646=0,"",[2]对账明细接口!$C$646),"")</f>
        <v/>
      </c>
      <c r="D646" s="59" t="str">
        <f aca="false">IFERROR(IF([2]对账明细接口!$D$646=0,"",[2]对账明细接口!$D$646),"")</f>
        <v/>
      </c>
      <c r="E646" s="59" t="str">
        <f aca="false">IFERROR(IF([2]对账明细接口!$E$646=0,"",[2]对账明细接口!$E$646),"")</f>
        <v/>
      </c>
      <c r="F646" s="59" t="str">
        <f aca="false">IFERROR(IF([2]对账明细接口!$F$646=0,"",[2]对账明细接口!$F$646),"")</f>
        <v/>
      </c>
      <c r="G646" s="59" t="str">
        <f aca="false">IFERROR(IF([2]对账明细接口!$G$646=0,"",[2]对账明细接口!$G$646),"")</f>
        <v/>
      </c>
      <c r="H646" s="60" t="str">
        <f aca="false">IFERROR(IF([2]对账明细接口!$H$646=0,"",[2]对账明细接口!$H$646),"")</f>
        <v/>
      </c>
      <c r="I646" s="59" t="str">
        <f aca="false">IFERROR(IF([2]对账明细接口!$I$646=0,"",[2]对账明细接口!$I$646),"")</f>
        <v/>
      </c>
      <c r="J646" s="61" t="str">
        <f aca="false">IFERROR(IF([2]对账明细接口!$J$646=0,"",[2]对账明细接口!$J$646),"")</f>
        <v/>
      </c>
      <c r="K646" s="61" t="str">
        <f aca="false">IFERROR(IF([2]对账明细接口!$K$646=0,"",[2]对账明细接口!$K$646),"")</f>
        <v/>
      </c>
      <c r="L646" s="59" t="str">
        <f aca="false">IFERROR(IF([2]对账明细接口!$L$646=0,"",[2]对账明细接口!$L$646),"")</f>
        <v/>
      </c>
      <c r="M646" s="59" t="str">
        <f aca="false">IFERROR(IF([2]对账明细接口!$M$646=0,"",[2]对账明细接口!$M$646),"")</f>
        <v/>
      </c>
      <c r="N646" s="111" t="n">
        <f aca="false">IF($C646="",0,1)</f>
        <v>0</v>
      </c>
      <c r="O646" s="111" t="n">
        <f aca="false">N(O645)+$N646</f>
        <v>311</v>
      </c>
      <c r="S646" s="10" t="str">
        <f aca="false">IFERROR(IF([2]对账明细接口!$N646=0,"",[2]对账明细接口!$N646),"")</f>
        <v/>
      </c>
      <c r="T646" s="112" t="str">
        <f aca="false">IFERROR(IF([2]对账明细接口!$O646=0,"",[2]对账明细接口!$O646),"")</f>
        <v/>
      </c>
      <c r="U646" s="112" t="str">
        <f aca="false">IFERROR(IF([2]对账明细接口!$P646=0,"",[2]对账明细接口!$P646),"")</f>
        <v/>
      </c>
      <c r="V646" s="112" t="str">
        <f aca="false">IFERROR(IF([2]对账明细接口!$Q646=0,"",[2]对账明细接口!$Q646),"")</f>
        <v/>
      </c>
      <c r="W646" s="10" t="str">
        <f aca="false">IFERROR(IF([2]对账明细接口!$R646=0,"",[2]对账明细接口!$R646),"")</f>
        <v/>
      </c>
      <c r="X646" s="10" t="str">
        <f aca="false">IFERROR(IF([2]对账明细接口!$S646=0,"",[2]对账明细接口!$S646),"")</f>
        <v/>
      </c>
      <c r="Y646" s="10" t="str">
        <f aca="false">IFERROR(IF([2]对账明细接口!$T646=0,"",[2]对账明细接口!$T646),"")</f>
        <v/>
      </c>
      <c r="Z646" s="113" t="str">
        <f aca="false">IFERROR(IF([2]对账明细接口!$U646=0,"",[2]对账明细接口!$U646),"")</f>
        <v/>
      </c>
      <c r="AA646" s="113" t="str">
        <f aca="false">IFERROR(IF([2]对账明细接口!$V646=0,"",[2]对账明细接口!$V646),"")</f>
        <v/>
      </c>
      <c r="AB646" s="10" t="str">
        <f aca="false">IFERROR(IF([2]对账明细接口!$W646=0,"",[2]对账明细接口!$W646),"")</f>
        <v/>
      </c>
      <c r="AC646" s="90" t="str">
        <f aca="false">IFERROR(IF([2]对账明细接口!$X647=0,"",[2]对账明细接口!$X647),"")</f>
        <v/>
      </c>
      <c r="AD646" s="90" t="str">
        <f aca="false">IFERROR(IF([2]对账明细接口!$Y647=0,"",[2]对账明细接口!$Y647),"")</f>
        <v/>
      </c>
      <c r="AE646" s="90" t="str">
        <f aca="false">IFERROR(IF([2]对账明细接口!$AA647=0,"",[2]对账明细接口!$AA647),"")</f>
        <v/>
      </c>
      <c r="AF646" s="90" t="str">
        <f aca="false">IFERROR(IF([2]对账明细接口!$AB647=0,"",[2]对账明细接口!$AB647),"")</f>
        <v/>
      </c>
      <c r="AG646" s="90" t="str">
        <f aca="false">IFERROR(IF([2]对账明细接口!$AC647=0,"",[2]对账明细接口!$AC647),"")</f>
        <v/>
      </c>
      <c r="AH646" s="90" t="str">
        <f aca="false">IFERROR(IF([2]对账明细接口!$AD647=0,"",[2]对账明细接口!$AD647),"")</f>
        <v/>
      </c>
    </row>
    <row r="647" customFormat="false" ht="13.5" hidden="false" customHeight="false" outlineLevel="0" collapsed="false">
      <c r="A647" s="109" t="n">
        <v>647</v>
      </c>
      <c r="B647" s="110" t="str">
        <f aca="false">IFERROR(IF([2]对账明细接口!$B$647=0,"",[2]对账明细接口!$B$647),"")</f>
        <v/>
      </c>
      <c r="C647" s="59" t="str">
        <f aca="false">IFERROR(IF([2]对账明细接口!$C$647=0,"",[2]对账明细接口!$C$647),"")</f>
        <v/>
      </c>
      <c r="D647" s="59" t="str">
        <f aca="false">IFERROR(IF([2]对账明细接口!$D$647=0,"",[2]对账明细接口!$D$647),"")</f>
        <v/>
      </c>
      <c r="E647" s="59" t="str">
        <f aca="false">IFERROR(IF([2]对账明细接口!$E$647=0,"",[2]对账明细接口!$E$647),"")</f>
        <v/>
      </c>
      <c r="F647" s="59" t="str">
        <f aca="false">IFERROR(IF([2]对账明细接口!$F$647=0,"",[2]对账明细接口!$F$647),"")</f>
        <v/>
      </c>
      <c r="G647" s="59" t="str">
        <f aca="false">IFERROR(IF([2]对账明细接口!$G$647=0,"",[2]对账明细接口!$G$647),"")</f>
        <v/>
      </c>
      <c r="H647" s="60" t="str">
        <f aca="false">IFERROR(IF([2]对账明细接口!$H$647=0,"",[2]对账明细接口!$H$647),"")</f>
        <v/>
      </c>
      <c r="I647" s="59" t="str">
        <f aca="false">IFERROR(IF([2]对账明细接口!$I$647=0,"",[2]对账明细接口!$I$647),"")</f>
        <v/>
      </c>
      <c r="J647" s="61" t="str">
        <f aca="false">IFERROR(IF([2]对账明细接口!$J$647=0,"",[2]对账明细接口!$J$647),"")</f>
        <v/>
      </c>
      <c r="K647" s="61" t="str">
        <f aca="false">IFERROR(IF([2]对账明细接口!$K$647=0,"",[2]对账明细接口!$K$647),"")</f>
        <v/>
      </c>
      <c r="L647" s="59" t="str">
        <f aca="false">IFERROR(IF([2]对账明细接口!$L$647=0,"",[2]对账明细接口!$L$647),"")</f>
        <v/>
      </c>
      <c r="M647" s="59" t="str">
        <f aca="false">IFERROR(IF([2]对账明细接口!$M$647=0,"",[2]对账明细接口!$M$647),"")</f>
        <v/>
      </c>
      <c r="N647" s="111" t="n">
        <f aca="false">IF($C647="",0,1)</f>
        <v>0</v>
      </c>
      <c r="O647" s="111" t="n">
        <f aca="false">N(O646)+$N647</f>
        <v>311</v>
      </c>
      <c r="S647" s="10" t="str">
        <f aca="false">IFERROR(IF([2]对账明细接口!$N647=0,"",[2]对账明细接口!$N647),"")</f>
        <v/>
      </c>
      <c r="T647" s="112" t="str">
        <f aca="false">IFERROR(IF([2]对账明细接口!$O647=0,"",[2]对账明细接口!$O647),"")</f>
        <v/>
      </c>
      <c r="U647" s="112" t="str">
        <f aca="false">IFERROR(IF([2]对账明细接口!$P647=0,"",[2]对账明细接口!$P647),"")</f>
        <v/>
      </c>
      <c r="V647" s="112" t="str">
        <f aca="false">IFERROR(IF([2]对账明细接口!$Q647=0,"",[2]对账明细接口!$Q647),"")</f>
        <v/>
      </c>
      <c r="W647" s="10" t="str">
        <f aca="false">IFERROR(IF([2]对账明细接口!$R647=0,"",[2]对账明细接口!$R647),"")</f>
        <v/>
      </c>
      <c r="X647" s="10" t="str">
        <f aca="false">IFERROR(IF([2]对账明细接口!$S647=0,"",[2]对账明细接口!$S647),"")</f>
        <v/>
      </c>
      <c r="Y647" s="10" t="str">
        <f aca="false">IFERROR(IF([2]对账明细接口!$T647=0,"",[2]对账明细接口!$T647),"")</f>
        <v/>
      </c>
      <c r="Z647" s="113" t="str">
        <f aca="false">IFERROR(IF([2]对账明细接口!$U647=0,"",[2]对账明细接口!$U647),"")</f>
        <v/>
      </c>
      <c r="AA647" s="113" t="str">
        <f aca="false">IFERROR(IF([2]对账明细接口!$V647=0,"",[2]对账明细接口!$V647),"")</f>
        <v/>
      </c>
      <c r="AB647" s="10" t="str">
        <f aca="false">IFERROR(IF([2]对账明细接口!$W647=0,"",[2]对账明细接口!$W647),"")</f>
        <v/>
      </c>
      <c r="AC647" s="90" t="str">
        <f aca="false">IFERROR(IF([2]对账明细接口!$X648=0,"",[2]对账明细接口!$X648),"")</f>
        <v/>
      </c>
      <c r="AD647" s="90" t="str">
        <f aca="false">IFERROR(IF([2]对账明细接口!$Y648=0,"",[2]对账明细接口!$Y648),"")</f>
        <v/>
      </c>
      <c r="AE647" s="90" t="str">
        <f aca="false">IFERROR(IF([2]对账明细接口!$AA648=0,"",[2]对账明细接口!$AA648),"")</f>
        <v/>
      </c>
      <c r="AF647" s="90" t="str">
        <f aca="false">IFERROR(IF([2]对账明细接口!$AB648=0,"",[2]对账明细接口!$AB648),"")</f>
        <v/>
      </c>
      <c r="AG647" s="90" t="str">
        <f aca="false">IFERROR(IF([2]对账明细接口!$AC648=0,"",[2]对账明细接口!$AC648),"")</f>
        <v/>
      </c>
      <c r="AH647" s="90" t="str">
        <f aca="false">IFERROR(IF([2]对账明细接口!$AD648=0,"",[2]对账明细接口!$AD648),"")</f>
        <v/>
      </c>
    </row>
    <row r="648" customFormat="false" ht="13.5" hidden="false" customHeight="false" outlineLevel="0" collapsed="false">
      <c r="A648" s="109" t="n">
        <v>648</v>
      </c>
      <c r="B648" s="110" t="str">
        <f aca="false">IFERROR(IF([2]对账明细接口!$B$648=0,"",[2]对账明细接口!$B$648),"")</f>
        <v/>
      </c>
      <c r="C648" s="59" t="str">
        <f aca="false">IFERROR(IF([2]对账明细接口!$C$648=0,"",[2]对账明细接口!$C$648),"")</f>
        <v/>
      </c>
      <c r="D648" s="59" t="str">
        <f aca="false">IFERROR(IF([2]对账明细接口!$D$648=0,"",[2]对账明细接口!$D$648),"")</f>
        <v/>
      </c>
      <c r="E648" s="59" t="str">
        <f aca="false">IFERROR(IF([2]对账明细接口!$E$648=0,"",[2]对账明细接口!$E$648),"")</f>
        <v/>
      </c>
      <c r="F648" s="59" t="str">
        <f aca="false">IFERROR(IF([2]对账明细接口!$F$648=0,"",[2]对账明细接口!$F$648),"")</f>
        <v/>
      </c>
      <c r="G648" s="59" t="str">
        <f aca="false">IFERROR(IF([2]对账明细接口!$G$648=0,"",[2]对账明细接口!$G$648),"")</f>
        <v/>
      </c>
      <c r="H648" s="60" t="str">
        <f aca="false">IFERROR(IF([2]对账明细接口!$H$648=0,"",[2]对账明细接口!$H$648),"")</f>
        <v/>
      </c>
      <c r="I648" s="59" t="str">
        <f aca="false">IFERROR(IF([2]对账明细接口!$I$648=0,"",[2]对账明细接口!$I$648),"")</f>
        <v/>
      </c>
      <c r="J648" s="61" t="str">
        <f aca="false">IFERROR(IF([2]对账明细接口!$J$648=0,"",[2]对账明细接口!$J$648),"")</f>
        <v/>
      </c>
      <c r="K648" s="61" t="str">
        <f aca="false">IFERROR(IF([2]对账明细接口!$K$648=0,"",[2]对账明细接口!$K$648),"")</f>
        <v/>
      </c>
      <c r="L648" s="59" t="str">
        <f aca="false">IFERROR(IF([2]对账明细接口!$L$648=0,"",[2]对账明细接口!$L$648),"")</f>
        <v/>
      </c>
      <c r="M648" s="59" t="str">
        <f aca="false">IFERROR(IF([2]对账明细接口!$M$648=0,"",[2]对账明细接口!$M$648),"")</f>
        <v/>
      </c>
      <c r="N648" s="111" t="n">
        <f aca="false">IF($C648="",0,1)</f>
        <v>0</v>
      </c>
      <c r="O648" s="111" t="n">
        <f aca="false">N(O647)+$N648</f>
        <v>311</v>
      </c>
      <c r="S648" s="10" t="str">
        <f aca="false">IFERROR(IF([2]对账明细接口!$N648=0,"",[2]对账明细接口!$N648),"")</f>
        <v/>
      </c>
      <c r="T648" s="112" t="str">
        <f aca="false">IFERROR(IF([2]对账明细接口!$O648=0,"",[2]对账明细接口!$O648),"")</f>
        <v/>
      </c>
      <c r="U648" s="112" t="str">
        <f aca="false">IFERROR(IF([2]对账明细接口!$P648=0,"",[2]对账明细接口!$P648),"")</f>
        <v/>
      </c>
      <c r="V648" s="112" t="str">
        <f aca="false">IFERROR(IF([2]对账明细接口!$Q648=0,"",[2]对账明细接口!$Q648),"")</f>
        <v/>
      </c>
      <c r="W648" s="10" t="str">
        <f aca="false">IFERROR(IF([2]对账明细接口!$R648=0,"",[2]对账明细接口!$R648),"")</f>
        <v/>
      </c>
      <c r="X648" s="10" t="str">
        <f aca="false">IFERROR(IF([2]对账明细接口!$S648=0,"",[2]对账明细接口!$S648),"")</f>
        <v/>
      </c>
      <c r="Y648" s="10" t="str">
        <f aca="false">IFERROR(IF([2]对账明细接口!$T648=0,"",[2]对账明细接口!$T648),"")</f>
        <v/>
      </c>
      <c r="Z648" s="113" t="str">
        <f aca="false">IFERROR(IF([2]对账明细接口!$U648=0,"",[2]对账明细接口!$U648),"")</f>
        <v/>
      </c>
      <c r="AA648" s="113" t="str">
        <f aca="false">IFERROR(IF([2]对账明细接口!$V648=0,"",[2]对账明细接口!$V648),"")</f>
        <v/>
      </c>
      <c r="AB648" s="10" t="str">
        <f aca="false">IFERROR(IF([2]对账明细接口!$W648=0,"",[2]对账明细接口!$W648),"")</f>
        <v/>
      </c>
      <c r="AC648" s="90" t="str">
        <f aca="false">IFERROR(IF([2]对账明细接口!$X649=0,"",[2]对账明细接口!$X649),"")</f>
        <v/>
      </c>
      <c r="AD648" s="90" t="str">
        <f aca="false">IFERROR(IF([2]对账明细接口!$Y649=0,"",[2]对账明细接口!$Y649),"")</f>
        <v/>
      </c>
      <c r="AE648" s="90" t="str">
        <f aca="false">IFERROR(IF([2]对账明细接口!$AA649=0,"",[2]对账明细接口!$AA649),"")</f>
        <v/>
      </c>
      <c r="AF648" s="90" t="str">
        <f aca="false">IFERROR(IF([2]对账明细接口!$AB649=0,"",[2]对账明细接口!$AB649),"")</f>
        <v/>
      </c>
      <c r="AG648" s="90" t="str">
        <f aca="false">IFERROR(IF([2]对账明细接口!$AC649=0,"",[2]对账明细接口!$AC649),"")</f>
        <v/>
      </c>
      <c r="AH648" s="90" t="str">
        <f aca="false">IFERROR(IF([2]对账明细接口!$AD649=0,"",[2]对账明细接口!$AD649),"")</f>
        <v/>
      </c>
    </row>
    <row r="649" customFormat="false" ht="13.5" hidden="false" customHeight="false" outlineLevel="0" collapsed="false">
      <c r="A649" s="109" t="n">
        <v>649</v>
      </c>
      <c r="B649" s="110" t="str">
        <f aca="false">IFERROR(IF([2]对账明细接口!$B$649=0,"",[2]对账明细接口!$B$649),"")</f>
        <v/>
      </c>
      <c r="C649" s="59" t="str">
        <f aca="false">IFERROR(IF([2]对账明细接口!$C$649=0,"",[2]对账明细接口!$C$649),"")</f>
        <v/>
      </c>
      <c r="D649" s="59" t="str">
        <f aca="false">IFERROR(IF([2]对账明细接口!$D$649=0,"",[2]对账明细接口!$D$649),"")</f>
        <v/>
      </c>
      <c r="E649" s="59" t="str">
        <f aca="false">IFERROR(IF([2]对账明细接口!$E$649=0,"",[2]对账明细接口!$E$649),"")</f>
        <v/>
      </c>
      <c r="F649" s="59" t="str">
        <f aca="false">IFERROR(IF([2]对账明细接口!$F$649=0,"",[2]对账明细接口!$F$649),"")</f>
        <v/>
      </c>
      <c r="G649" s="59" t="str">
        <f aca="false">IFERROR(IF([2]对账明细接口!$G$649=0,"",[2]对账明细接口!$G$649),"")</f>
        <v/>
      </c>
      <c r="H649" s="60" t="str">
        <f aca="false">IFERROR(IF([2]对账明细接口!$H$649=0,"",[2]对账明细接口!$H$649),"")</f>
        <v/>
      </c>
      <c r="I649" s="59" t="str">
        <f aca="false">IFERROR(IF([2]对账明细接口!$I$649=0,"",[2]对账明细接口!$I$649),"")</f>
        <v/>
      </c>
      <c r="J649" s="61" t="str">
        <f aca="false">IFERROR(IF([2]对账明细接口!$J$649=0,"",[2]对账明细接口!$J$649),"")</f>
        <v/>
      </c>
      <c r="K649" s="61" t="str">
        <f aca="false">IFERROR(IF([2]对账明细接口!$K$649=0,"",[2]对账明细接口!$K$649),"")</f>
        <v/>
      </c>
      <c r="L649" s="59" t="str">
        <f aca="false">IFERROR(IF([2]对账明细接口!$L$649=0,"",[2]对账明细接口!$L$649),"")</f>
        <v/>
      </c>
      <c r="M649" s="59" t="str">
        <f aca="false">IFERROR(IF([2]对账明细接口!$M$649=0,"",[2]对账明细接口!$M$649),"")</f>
        <v/>
      </c>
      <c r="N649" s="111" t="n">
        <f aca="false">IF($C649="",0,1)</f>
        <v>0</v>
      </c>
      <c r="O649" s="111" t="n">
        <f aca="false">N(O648)+$N649</f>
        <v>311</v>
      </c>
      <c r="S649" s="10" t="str">
        <f aca="false">IFERROR(IF([2]对账明细接口!$N649=0,"",[2]对账明细接口!$N649),"")</f>
        <v/>
      </c>
      <c r="T649" s="112" t="str">
        <f aca="false">IFERROR(IF([2]对账明细接口!$O649=0,"",[2]对账明细接口!$O649),"")</f>
        <v/>
      </c>
      <c r="U649" s="112" t="str">
        <f aca="false">IFERROR(IF([2]对账明细接口!$P649=0,"",[2]对账明细接口!$P649),"")</f>
        <v/>
      </c>
      <c r="V649" s="112" t="str">
        <f aca="false">IFERROR(IF([2]对账明细接口!$Q649=0,"",[2]对账明细接口!$Q649),"")</f>
        <v/>
      </c>
      <c r="W649" s="10" t="str">
        <f aca="false">IFERROR(IF([2]对账明细接口!$R649=0,"",[2]对账明细接口!$R649),"")</f>
        <v/>
      </c>
      <c r="X649" s="10" t="str">
        <f aca="false">IFERROR(IF([2]对账明细接口!$S649=0,"",[2]对账明细接口!$S649),"")</f>
        <v/>
      </c>
      <c r="Y649" s="10" t="str">
        <f aca="false">IFERROR(IF([2]对账明细接口!$T649=0,"",[2]对账明细接口!$T649),"")</f>
        <v/>
      </c>
      <c r="Z649" s="113" t="str">
        <f aca="false">IFERROR(IF([2]对账明细接口!$U649=0,"",[2]对账明细接口!$U649),"")</f>
        <v/>
      </c>
      <c r="AA649" s="113" t="str">
        <f aca="false">IFERROR(IF([2]对账明细接口!$V649=0,"",[2]对账明细接口!$V649),"")</f>
        <v/>
      </c>
      <c r="AB649" s="10" t="str">
        <f aca="false">IFERROR(IF([2]对账明细接口!$W649=0,"",[2]对账明细接口!$W649),"")</f>
        <v/>
      </c>
      <c r="AC649" s="90" t="str">
        <f aca="false">IFERROR(IF([2]对账明细接口!$X650=0,"",[2]对账明细接口!$X650),"")</f>
        <v/>
      </c>
      <c r="AD649" s="90" t="str">
        <f aca="false">IFERROR(IF([2]对账明细接口!$Y650=0,"",[2]对账明细接口!$Y650),"")</f>
        <v/>
      </c>
      <c r="AE649" s="90" t="str">
        <f aca="false">IFERROR(IF([2]对账明细接口!$AA650=0,"",[2]对账明细接口!$AA650),"")</f>
        <v/>
      </c>
      <c r="AF649" s="90" t="str">
        <f aca="false">IFERROR(IF([2]对账明细接口!$AB650=0,"",[2]对账明细接口!$AB650),"")</f>
        <v/>
      </c>
      <c r="AG649" s="90" t="str">
        <f aca="false">IFERROR(IF([2]对账明细接口!$AC650=0,"",[2]对账明细接口!$AC650),"")</f>
        <v/>
      </c>
      <c r="AH649" s="90" t="str">
        <f aca="false">IFERROR(IF([2]对账明细接口!$AD650=0,"",[2]对账明细接口!$AD650),"")</f>
        <v/>
      </c>
    </row>
    <row r="650" customFormat="false" ht="13.5" hidden="false" customHeight="false" outlineLevel="0" collapsed="false">
      <c r="A650" s="109" t="n">
        <v>650</v>
      </c>
      <c r="B650" s="110" t="str">
        <f aca="false">IFERROR(IF([2]对账明细接口!$B$650=0,"",[2]对账明细接口!$B$650),"")</f>
        <v/>
      </c>
      <c r="C650" s="59" t="str">
        <f aca="false">IFERROR(IF([2]对账明细接口!$C$650=0,"",[2]对账明细接口!$C$650),"")</f>
        <v/>
      </c>
      <c r="D650" s="59" t="str">
        <f aca="false">IFERROR(IF([2]对账明细接口!$D$650=0,"",[2]对账明细接口!$D$650),"")</f>
        <v/>
      </c>
      <c r="E650" s="59" t="str">
        <f aca="false">IFERROR(IF([2]对账明细接口!$E$650=0,"",[2]对账明细接口!$E$650),"")</f>
        <v/>
      </c>
      <c r="F650" s="59" t="str">
        <f aca="false">IFERROR(IF([2]对账明细接口!$F$650=0,"",[2]对账明细接口!$F$650),"")</f>
        <v/>
      </c>
      <c r="G650" s="59" t="str">
        <f aca="false">IFERROR(IF([2]对账明细接口!$G$650=0,"",[2]对账明细接口!$G$650),"")</f>
        <v/>
      </c>
      <c r="H650" s="60" t="str">
        <f aca="false">IFERROR(IF([2]对账明细接口!$H$650=0,"",[2]对账明细接口!$H$650),"")</f>
        <v/>
      </c>
      <c r="I650" s="59" t="str">
        <f aca="false">IFERROR(IF([2]对账明细接口!$I$650=0,"",[2]对账明细接口!$I$650),"")</f>
        <v/>
      </c>
      <c r="J650" s="61" t="str">
        <f aca="false">IFERROR(IF([2]对账明细接口!$J$650=0,"",[2]对账明细接口!$J$650),"")</f>
        <v/>
      </c>
      <c r="K650" s="61" t="str">
        <f aca="false">IFERROR(IF([2]对账明细接口!$K$650=0,"",[2]对账明细接口!$K$650),"")</f>
        <v/>
      </c>
      <c r="L650" s="59" t="str">
        <f aca="false">IFERROR(IF([2]对账明细接口!$L$650=0,"",[2]对账明细接口!$L$650),"")</f>
        <v/>
      </c>
      <c r="M650" s="59" t="str">
        <f aca="false">IFERROR(IF([2]对账明细接口!$M$650=0,"",[2]对账明细接口!$M$650),"")</f>
        <v/>
      </c>
      <c r="N650" s="111" t="n">
        <f aca="false">IF($C650="",0,1)</f>
        <v>0</v>
      </c>
      <c r="O650" s="111" t="n">
        <f aca="false">N(O649)+$N650</f>
        <v>311</v>
      </c>
      <c r="S650" s="10" t="str">
        <f aca="false">IFERROR(IF([2]对账明细接口!$N650=0,"",[2]对账明细接口!$N650),"")</f>
        <v/>
      </c>
      <c r="T650" s="112" t="str">
        <f aca="false">IFERROR(IF([2]对账明细接口!$O650=0,"",[2]对账明细接口!$O650),"")</f>
        <v/>
      </c>
      <c r="U650" s="112" t="str">
        <f aca="false">IFERROR(IF([2]对账明细接口!$P650=0,"",[2]对账明细接口!$P650),"")</f>
        <v/>
      </c>
      <c r="V650" s="112" t="str">
        <f aca="false">IFERROR(IF([2]对账明细接口!$Q650=0,"",[2]对账明细接口!$Q650),"")</f>
        <v/>
      </c>
      <c r="W650" s="10" t="str">
        <f aca="false">IFERROR(IF([2]对账明细接口!$R650=0,"",[2]对账明细接口!$R650),"")</f>
        <v/>
      </c>
      <c r="X650" s="10" t="str">
        <f aca="false">IFERROR(IF([2]对账明细接口!$S650=0,"",[2]对账明细接口!$S650),"")</f>
        <v/>
      </c>
      <c r="Y650" s="10" t="str">
        <f aca="false">IFERROR(IF([2]对账明细接口!$T650=0,"",[2]对账明细接口!$T650),"")</f>
        <v/>
      </c>
      <c r="Z650" s="113" t="str">
        <f aca="false">IFERROR(IF([2]对账明细接口!$U650=0,"",[2]对账明细接口!$U650),"")</f>
        <v/>
      </c>
      <c r="AA650" s="113" t="str">
        <f aca="false">IFERROR(IF([2]对账明细接口!$V650=0,"",[2]对账明细接口!$V650),"")</f>
        <v/>
      </c>
      <c r="AB650" s="10" t="str">
        <f aca="false">IFERROR(IF([2]对账明细接口!$W650=0,"",[2]对账明细接口!$W650),"")</f>
        <v/>
      </c>
      <c r="AC650" s="90" t="str">
        <f aca="false">IFERROR(IF([2]对账明细接口!$X651=0,"",[2]对账明细接口!$X651),"")</f>
        <v/>
      </c>
      <c r="AD650" s="90" t="str">
        <f aca="false">IFERROR(IF([2]对账明细接口!$Y651=0,"",[2]对账明细接口!$Y651),"")</f>
        <v/>
      </c>
      <c r="AE650" s="90" t="str">
        <f aca="false">IFERROR(IF([2]对账明细接口!$AA651=0,"",[2]对账明细接口!$AA651),"")</f>
        <v/>
      </c>
      <c r="AF650" s="90" t="str">
        <f aca="false">IFERROR(IF([2]对账明细接口!$AB651=0,"",[2]对账明细接口!$AB651),"")</f>
        <v/>
      </c>
      <c r="AG650" s="90" t="str">
        <f aca="false">IFERROR(IF([2]对账明细接口!$AC651=0,"",[2]对账明细接口!$AC651),"")</f>
        <v/>
      </c>
      <c r="AH650" s="90" t="str">
        <f aca="false">IFERROR(IF([2]对账明细接口!$AD651=0,"",[2]对账明细接口!$AD651),"")</f>
        <v/>
      </c>
    </row>
    <row r="651" customFormat="false" ht="13.5" hidden="false" customHeight="false" outlineLevel="0" collapsed="false">
      <c r="A651" s="109" t="n">
        <v>651</v>
      </c>
      <c r="B651" s="110" t="str">
        <f aca="false">IFERROR(IF([2]对账明细接口!$B$651=0,"",[2]对账明细接口!$B$651),"")</f>
        <v/>
      </c>
      <c r="C651" s="59" t="str">
        <f aca="false">IFERROR(IF([2]对账明细接口!$C$651=0,"",[2]对账明细接口!$C$651),"")</f>
        <v/>
      </c>
      <c r="D651" s="59" t="str">
        <f aca="false">IFERROR(IF([2]对账明细接口!$D$651=0,"",[2]对账明细接口!$D$651),"")</f>
        <v/>
      </c>
      <c r="E651" s="59" t="str">
        <f aca="false">IFERROR(IF([2]对账明细接口!$E$651=0,"",[2]对账明细接口!$E$651),"")</f>
        <v/>
      </c>
      <c r="F651" s="59" t="str">
        <f aca="false">IFERROR(IF([2]对账明细接口!$F$651=0,"",[2]对账明细接口!$F$651),"")</f>
        <v/>
      </c>
      <c r="G651" s="59" t="str">
        <f aca="false">IFERROR(IF([2]对账明细接口!$G$651=0,"",[2]对账明细接口!$G$651),"")</f>
        <v/>
      </c>
      <c r="H651" s="60" t="str">
        <f aca="false">IFERROR(IF([2]对账明细接口!$H$651=0,"",[2]对账明细接口!$H$651),"")</f>
        <v/>
      </c>
      <c r="I651" s="59" t="str">
        <f aca="false">IFERROR(IF([2]对账明细接口!$I$651=0,"",[2]对账明细接口!$I$651),"")</f>
        <v/>
      </c>
      <c r="J651" s="61" t="str">
        <f aca="false">IFERROR(IF([2]对账明细接口!$J$651=0,"",[2]对账明细接口!$J$651),"")</f>
        <v/>
      </c>
      <c r="K651" s="61" t="str">
        <f aca="false">IFERROR(IF([2]对账明细接口!$K$651=0,"",[2]对账明细接口!$K$651),"")</f>
        <v/>
      </c>
      <c r="L651" s="59" t="str">
        <f aca="false">IFERROR(IF([2]对账明细接口!$L$651=0,"",[2]对账明细接口!$L$651),"")</f>
        <v/>
      </c>
      <c r="M651" s="59" t="str">
        <f aca="false">IFERROR(IF([2]对账明细接口!$M$651=0,"",[2]对账明细接口!$M$651),"")</f>
        <v/>
      </c>
      <c r="N651" s="111" t="n">
        <f aca="false">IF($C651="",0,1)</f>
        <v>0</v>
      </c>
      <c r="O651" s="111" t="n">
        <f aca="false">N(O650)+$N651</f>
        <v>311</v>
      </c>
      <c r="S651" s="10" t="str">
        <f aca="false">IFERROR(IF([2]对账明细接口!$N651=0,"",[2]对账明细接口!$N651),"")</f>
        <v/>
      </c>
      <c r="T651" s="112" t="str">
        <f aca="false">IFERROR(IF([2]对账明细接口!$O651=0,"",[2]对账明细接口!$O651),"")</f>
        <v/>
      </c>
      <c r="U651" s="112" t="str">
        <f aca="false">IFERROR(IF([2]对账明细接口!$P651=0,"",[2]对账明细接口!$P651),"")</f>
        <v/>
      </c>
      <c r="V651" s="112" t="str">
        <f aca="false">IFERROR(IF([2]对账明细接口!$Q651=0,"",[2]对账明细接口!$Q651),"")</f>
        <v/>
      </c>
      <c r="W651" s="10" t="str">
        <f aca="false">IFERROR(IF([2]对账明细接口!$R651=0,"",[2]对账明细接口!$R651),"")</f>
        <v/>
      </c>
      <c r="X651" s="10" t="str">
        <f aca="false">IFERROR(IF([2]对账明细接口!$S651=0,"",[2]对账明细接口!$S651),"")</f>
        <v/>
      </c>
      <c r="Y651" s="10" t="str">
        <f aca="false">IFERROR(IF([2]对账明细接口!$T651=0,"",[2]对账明细接口!$T651),"")</f>
        <v/>
      </c>
      <c r="Z651" s="113" t="str">
        <f aca="false">IFERROR(IF([2]对账明细接口!$U651=0,"",[2]对账明细接口!$U651),"")</f>
        <v/>
      </c>
      <c r="AA651" s="113" t="str">
        <f aca="false">IFERROR(IF([2]对账明细接口!$V651=0,"",[2]对账明细接口!$V651),"")</f>
        <v/>
      </c>
      <c r="AB651" s="10" t="str">
        <f aca="false">IFERROR(IF([2]对账明细接口!$W651=0,"",[2]对账明细接口!$W651),"")</f>
        <v/>
      </c>
      <c r="AC651" s="90" t="str">
        <f aca="false">IFERROR(IF([2]对账明细接口!$X652=0,"",[2]对账明细接口!$X652),"")</f>
        <v/>
      </c>
      <c r="AD651" s="90" t="str">
        <f aca="false">IFERROR(IF([2]对账明细接口!$Y652=0,"",[2]对账明细接口!$Y652),"")</f>
        <v/>
      </c>
      <c r="AE651" s="90" t="str">
        <f aca="false">IFERROR(IF([2]对账明细接口!$AA652=0,"",[2]对账明细接口!$AA652),"")</f>
        <v/>
      </c>
      <c r="AF651" s="90" t="str">
        <f aca="false">IFERROR(IF([2]对账明细接口!$AB652=0,"",[2]对账明细接口!$AB652),"")</f>
        <v/>
      </c>
      <c r="AG651" s="90" t="str">
        <f aca="false">IFERROR(IF([2]对账明细接口!$AC652=0,"",[2]对账明细接口!$AC652),"")</f>
        <v/>
      </c>
      <c r="AH651" s="90" t="str">
        <f aca="false">IFERROR(IF([2]对账明细接口!$AD652=0,"",[2]对账明细接口!$AD652),"")</f>
        <v/>
      </c>
    </row>
    <row r="652" customFormat="false" ht="13.5" hidden="false" customHeight="false" outlineLevel="0" collapsed="false">
      <c r="A652" s="109" t="n">
        <v>652</v>
      </c>
      <c r="B652" s="110" t="str">
        <f aca="false">IFERROR(IF([2]对账明细接口!$B$652=0,"",[2]对账明细接口!$B$652),"")</f>
        <v/>
      </c>
      <c r="C652" s="59" t="str">
        <f aca="false">IFERROR(IF([2]对账明细接口!$C$652=0,"",[2]对账明细接口!$C$652),"")</f>
        <v/>
      </c>
      <c r="D652" s="59" t="str">
        <f aca="false">IFERROR(IF([2]对账明细接口!$D$652=0,"",[2]对账明细接口!$D$652),"")</f>
        <v/>
      </c>
      <c r="E652" s="59" t="str">
        <f aca="false">IFERROR(IF([2]对账明细接口!$E$652=0,"",[2]对账明细接口!$E$652),"")</f>
        <v/>
      </c>
      <c r="F652" s="59" t="str">
        <f aca="false">IFERROR(IF([2]对账明细接口!$F$652=0,"",[2]对账明细接口!$F$652),"")</f>
        <v/>
      </c>
      <c r="G652" s="59" t="str">
        <f aca="false">IFERROR(IF([2]对账明细接口!$G$652=0,"",[2]对账明细接口!$G$652),"")</f>
        <v/>
      </c>
      <c r="H652" s="60" t="str">
        <f aca="false">IFERROR(IF([2]对账明细接口!$H$652=0,"",[2]对账明细接口!$H$652),"")</f>
        <v/>
      </c>
      <c r="I652" s="59" t="str">
        <f aca="false">IFERROR(IF([2]对账明细接口!$I$652=0,"",[2]对账明细接口!$I$652),"")</f>
        <v/>
      </c>
      <c r="J652" s="61" t="str">
        <f aca="false">IFERROR(IF([2]对账明细接口!$J$652=0,"",[2]对账明细接口!$J$652),"")</f>
        <v/>
      </c>
      <c r="K652" s="61" t="str">
        <f aca="false">IFERROR(IF([2]对账明细接口!$K$652=0,"",[2]对账明细接口!$K$652),"")</f>
        <v/>
      </c>
      <c r="L652" s="59" t="str">
        <f aca="false">IFERROR(IF([2]对账明细接口!$L$652=0,"",[2]对账明细接口!$L$652),"")</f>
        <v/>
      </c>
      <c r="M652" s="59" t="str">
        <f aca="false">IFERROR(IF([2]对账明细接口!$M$652=0,"",[2]对账明细接口!$M$652),"")</f>
        <v/>
      </c>
      <c r="N652" s="111" t="n">
        <f aca="false">IF($C652="",0,1)</f>
        <v>0</v>
      </c>
      <c r="O652" s="111" t="n">
        <f aca="false">N(O651)+$N652</f>
        <v>311</v>
      </c>
      <c r="S652" s="10" t="str">
        <f aca="false">IFERROR(IF([2]对账明细接口!$N652=0,"",[2]对账明细接口!$N652),"")</f>
        <v/>
      </c>
      <c r="T652" s="112" t="str">
        <f aca="false">IFERROR(IF([2]对账明细接口!$O652=0,"",[2]对账明细接口!$O652),"")</f>
        <v/>
      </c>
      <c r="U652" s="112" t="str">
        <f aca="false">IFERROR(IF([2]对账明细接口!$P652=0,"",[2]对账明细接口!$P652),"")</f>
        <v/>
      </c>
      <c r="V652" s="112" t="str">
        <f aca="false">IFERROR(IF([2]对账明细接口!$Q652=0,"",[2]对账明细接口!$Q652),"")</f>
        <v/>
      </c>
      <c r="W652" s="10" t="str">
        <f aca="false">IFERROR(IF([2]对账明细接口!$R652=0,"",[2]对账明细接口!$R652),"")</f>
        <v/>
      </c>
      <c r="X652" s="10" t="str">
        <f aca="false">IFERROR(IF([2]对账明细接口!$S652=0,"",[2]对账明细接口!$S652),"")</f>
        <v/>
      </c>
      <c r="Y652" s="10" t="str">
        <f aca="false">IFERROR(IF([2]对账明细接口!$T652=0,"",[2]对账明细接口!$T652),"")</f>
        <v/>
      </c>
      <c r="Z652" s="113" t="str">
        <f aca="false">IFERROR(IF([2]对账明细接口!$U652=0,"",[2]对账明细接口!$U652),"")</f>
        <v/>
      </c>
      <c r="AA652" s="113" t="str">
        <f aca="false">IFERROR(IF([2]对账明细接口!$V652=0,"",[2]对账明细接口!$V652),"")</f>
        <v/>
      </c>
      <c r="AB652" s="10" t="str">
        <f aca="false">IFERROR(IF([2]对账明细接口!$W652=0,"",[2]对账明细接口!$W652),"")</f>
        <v/>
      </c>
      <c r="AC652" s="90" t="str">
        <f aca="false">IFERROR(IF([2]对账明细接口!$X653=0,"",[2]对账明细接口!$X653),"")</f>
        <v/>
      </c>
      <c r="AD652" s="90" t="str">
        <f aca="false">IFERROR(IF([2]对账明细接口!$Y653=0,"",[2]对账明细接口!$Y653),"")</f>
        <v/>
      </c>
      <c r="AE652" s="90" t="str">
        <f aca="false">IFERROR(IF([2]对账明细接口!$AA653=0,"",[2]对账明细接口!$AA653),"")</f>
        <v/>
      </c>
      <c r="AF652" s="90" t="str">
        <f aca="false">IFERROR(IF([2]对账明细接口!$AB653=0,"",[2]对账明细接口!$AB653),"")</f>
        <v/>
      </c>
      <c r="AG652" s="90" t="str">
        <f aca="false">IFERROR(IF([2]对账明细接口!$AC653=0,"",[2]对账明细接口!$AC653),"")</f>
        <v/>
      </c>
      <c r="AH652" s="90" t="str">
        <f aca="false">IFERROR(IF([2]对账明细接口!$AD653=0,"",[2]对账明细接口!$AD653),"")</f>
        <v/>
      </c>
    </row>
    <row r="653" customFormat="false" ht="13.5" hidden="false" customHeight="false" outlineLevel="0" collapsed="false">
      <c r="A653" s="109" t="n">
        <v>653</v>
      </c>
      <c r="B653" s="110" t="str">
        <f aca="false">IFERROR(IF([2]对账明细接口!$B$653=0,"",[2]对账明细接口!$B$653),"")</f>
        <v/>
      </c>
      <c r="C653" s="59" t="str">
        <f aca="false">IFERROR(IF([2]对账明细接口!$C$653=0,"",[2]对账明细接口!$C$653),"")</f>
        <v/>
      </c>
      <c r="D653" s="59" t="str">
        <f aca="false">IFERROR(IF([2]对账明细接口!$D$653=0,"",[2]对账明细接口!$D$653),"")</f>
        <v/>
      </c>
      <c r="E653" s="59" t="str">
        <f aca="false">IFERROR(IF([2]对账明细接口!$E$653=0,"",[2]对账明细接口!$E$653),"")</f>
        <v/>
      </c>
      <c r="F653" s="59" t="str">
        <f aca="false">IFERROR(IF([2]对账明细接口!$F$653=0,"",[2]对账明细接口!$F$653),"")</f>
        <v/>
      </c>
      <c r="G653" s="59" t="str">
        <f aca="false">IFERROR(IF([2]对账明细接口!$G$653=0,"",[2]对账明细接口!$G$653),"")</f>
        <v/>
      </c>
      <c r="H653" s="60" t="str">
        <f aca="false">IFERROR(IF([2]对账明细接口!$H$653=0,"",[2]对账明细接口!$H$653),"")</f>
        <v/>
      </c>
      <c r="I653" s="59" t="str">
        <f aca="false">IFERROR(IF([2]对账明细接口!$I$653=0,"",[2]对账明细接口!$I$653),"")</f>
        <v/>
      </c>
      <c r="J653" s="61" t="str">
        <f aca="false">IFERROR(IF([2]对账明细接口!$J$653=0,"",[2]对账明细接口!$J$653),"")</f>
        <v/>
      </c>
      <c r="K653" s="61" t="str">
        <f aca="false">IFERROR(IF([2]对账明细接口!$K$653=0,"",[2]对账明细接口!$K$653),"")</f>
        <v/>
      </c>
      <c r="L653" s="59" t="str">
        <f aca="false">IFERROR(IF([2]对账明细接口!$L$653=0,"",[2]对账明细接口!$L$653),"")</f>
        <v/>
      </c>
      <c r="M653" s="59" t="str">
        <f aca="false">IFERROR(IF([2]对账明细接口!$M$653=0,"",[2]对账明细接口!$M$653),"")</f>
        <v/>
      </c>
      <c r="N653" s="111" t="n">
        <f aca="false">IF($C653="",0,1)</f>
        <v>0</v>
      </c>
      <c r="O653" s="111" t="n">
        <f aca="false">N(O652)+$N653</f>
        <v>311</v>
      </c>
      <c r="S653" s="10" t="str">
        <f aca="false">IFERROR(IF([2]对账明细接口!$N653=0,"",[2]对账明细接口!$N653),"")</f>
        <v/>
      </c>
      <c r="T653" s="112" t="str">
        <f aca="false">IFERROR(IF([2]对账明细接口!$O653=0,"",[2]对账明细接口!$O653),"")</f>
        <v/>
      </c>
      <c r="U653" s="112" t="str">
        <f aca="false">IFERROR(IF([2]对账明细接口!$P653=0,"",[2]对账明细接口!$P653),"")</f>
        <v/>
      </c>
      <c r="V653" s="112" t="str">
        <f aca="false">IFERROR(IF([2]对账明细接口!$Q653=0,"",[2]对账明细接口!$Q653),"")</f>
        <v/>
      </c>
      <c r="W653" s="10" t="str">
        <f aca="false">IFERROR(IF([2]对账明细接口!$R653=0,"",[2]对账明细接口!$R653),"")</f>
        <v/>
      </c>
      <c r="X653" s="10" t="str">
        <f aca="false">IFERROR(IF([2]对账明细接口!$S653=0,"",[2]对账明细接口!$S653),"")</f>
        <v/>
      </c>
      <c r="Y653" s="10" t="str">
        <f aca="false">IFERROR(IF([2]对账明细接口!$T653=0,"",[2]对账明细接口!$T653),"")</f>
        <v/>
      </c>
      <c r="Z653" s="113" t="str">
        <f aca="false">IFERROR(IF([2]对账明细接口!$U653=0,"",[2]对账明细接口!$U653),"")</f>
        <v/>
      </c>
      <c r="AA653" s="113" t="str">
        <f aca="false">IFERROR(IF([2]对账明细接口!$V653=0,"",[2]对账明细接口!$V653),"")</f>
        <v/>
      </c>
      <c r="AB653" s="10" t="str">
        <f aca="false">IFERROR(IF([2]对账明细接口!$W653=0,"",[2]对账明细接口!$W653),"")</f>
        <v/>
      </c>
      <c r="AC653" s="90" t="str">
        <f aca="false">IFERROR(IF([2]对账明细接口!$X654=0,"",[2]对账明细接口!$X654),"")</f>
        <v/>
      </c>
      <c r="AD653" s="90" t="str">
        <f aca="false">IFERROR(IF([2]对账明细接口!$Y654=0,"",[2]对账明细接口!$Y654),"")</f>
        <v/>
      </c>
      <c r="AE653" s="90" t="str">
        <f aca="false">IFERROR(IF([2]对账明细接口!$AA654=0,"",[2]对账明细接口!$AA654),"")</f>
        <v/>
      </c>
      <c r="AF653" s="90" t="str">
        <f aca="false">IFERROR(IF([2]对账明细接口!$AB654=0,"",[2]对账明细接口!$AB654),"")</f>
        <v/>
      </c>
      <c r="AG653" s="90" t="str">
        <f aca="false">IFERROR(IF([2]对账明细接口!$AC654=0,"",[2]对账明细接口!$AC654),"")</f>
        <v/>
      </c>
      <c r="AH653" s="90" t="str">
        <f aca="false">IFERROR(IF([2]对账明细接口!$AD654=0,"",[2]对账明细接口!$AD654),"")</f>
        <v/>
      </c>
    </row>
    <row r="654" customFormat="false" ht="13.5" hidden="false" customHeight="false" outlineLevel="0" collapsed="false">
      <c r="A654" s="109" t="n">
        <v>654</v>
      </c>
      <c r="B654" s="110" t="str">
        <f aca="false">IFERROR(IF([2]对账明细接口!$B$654=0,"",[2]对账明细接口!$B$654),"")</f>
        <v/>
      </c>
      <c r="C654" s="59" t="str">
        <f aca="false">IFERROR(IF([2]对账明细接口!$C$654=0,"",[2]对账明细接口!$C$654),"")</f>
        <v/>
      </c>
      <c r="D654" s="59" t="str">
        <f aca="false">IFERROR(IF([2]对账明细接口!$D$654=0,"",[2]对账明细接口!$D$654),"")</f>
        <v/>
      </c>
      <c r="E654" s="59" t="str">
        <f aca="false">IFERROR(IF([2]对账明细接口!$E$654=0,"",[2]对账明细接口!$E$654),"")</f>
        <v/>
      </c>
      <c r="F654" s="59" t="str">
        <f aca="false">IFERROR(IF([2]对账明细接口!$F$654=0,"",[2]对账明细接口!$F$654),"")</f>
        <v/>
      </c>
      <c r="G654" s="59" t="str">
        <f aca="false">IFERROR(IF([2]对账明细接口!$G$654=0,"",[2]对账明细接口!$G$654),"")</f>
        <v/>
      </c>
      <c r="H654" s="60" t="str">
        <f aca="false">IFERROR(IF([2]对账明细接口!$H$654=0,"",[2]对账明细接口!$H$654),"")</f>
        <v/>
      </c>
      <c r="I654" s="59" t="str">
        <f aca="false">IFERROR(IF([2]对账明细接口!$I$654=0,"",[2]对账明细接口!$I$654),"")</f>
        <v/>
      </c>
      <c r="J654" s="61" t="str">
        <f aca="false">IFERROR(IF([2]对账明细接口!$J$654=0,"",[2]对账明细接口!$J$654),"")</f>
        <v/>
      </c>
      <c r="K654" s="61" t="str">
        <f aca="false">IFERROR(IF([2]对账明细接口!$K$654=0,"",[2]对账明细接口!$K$654),"")</f>
        <v/>
      </c>
      <c r="L654" s="59" t="str">
        <f aca="false">IFERROR(IF([2]对账明细接口!$L$654=0,"",[2]对账明细接口!$L$654),"")</f>
        <v/>
      </c>
      <c r="M654" s="59" t="str">
        <f aca="false">IFERROR(IF([2]对账明细接口!$M$654=0,"",[2]对账明细接口!$M$654),"")</f>
        <v/>
      </c>
      <c r="N654" s="111" t="n">
        <f aca="false">IF($C654="",0,1)</f>
        <v>0</v>
      </c>
      <c r="O654" s="111" t="n">
        <f aca="false">N(O653)+$N654</f>
        <v>311</v>
      </c>
      <c r="S654" s="10" t="str">
        <f aca="false">IFERROR(IF([2]对账明细接口!$N654=0,"",[2]对账明细接口!$N654),"")</f>
        <v/>
      </c>
      <c r="T654" s="112" t="str">
        <f aca="false">IFERROR(IF([2]对账明细接口!$O654=0,"",[2]对账明细接口!$O654),"")</f>
        <v/>
      </c>
      <c r="U654" s="112" t="str">
        <f aca="false">IFERROR(IF([2]对账明细接口!$P654=0,"",[2]对账明细接口!$P654),"")</f>
        <v/>
      </c>
      <c r="V654" s="112" t="str">
        <f aca="false">IFERROR(IF([2]对账明细接口!$Q654=0,"",[2]对账明细接口!$Q654),"")</f>
        <v/>
      </c>
      <c r="W654" s="10" t="str">
        <f aca="false">IFERROR(IF([2]对账明细接口!$R654=0,"",[2]对账明细接口!$R654),"")</f>
        <v/>
      </c>
      <c r="X654" s="10" t="str">
        <f aca="false">IFERROR(IF([2]对账明细接口!$S654=0,"",[2]对账明细接口!$S654),"")</f>
        <v/>
      </c>
      <c r="Y654" s="10" t="str">
        <f aca="false">IFERROR(IF([2]对账明细接口!$T654=0,"",[2]对账明细接口!$T654),"")</f>
        <v/>
      </c>
      <c r="Z654" s="113" t="str">
        <f aca="false">IFERROR(IF([2]对账明细接口!$U654=0,"",[2]对账明细接口!$U654),"")</f>
        <v/>
      </c>
      <c r="AA654" s="113" t="str">
        <f aca="false">IFERROR(IF([2]对账明细接口!$V654=0,"",[2]对账明细接口!$V654),"")</f>
        <v/>
      </c>
      <c r="AB654" s="10" t="str">
        <f aca="false">IFERROR(IF([2]对账明细接口!$W654=0,"",[2]对账明细接口!$W654),"")</f>
        <v/>
      </c>
      <c r="AC654" s="90" t="str">
        <f aca="false">IFERROR(IF([2]对账明细接口!$X655=0,"",[2]对账明细接口!$X655),"")</f>
        <v/>
      </c>
      <c r="AD654" s="90" t="str">
        <f aca="false">IFERROR(IF([2]对账明细接口!$Y655=0,"",[2]对账明细接口!$Y655),"")</f>
        <v/>
      </c>
      <c r="AE654" s="90" t="str">
        <f aca="false">IFERROR(IF([2]对账明细接口!$AA655=0,"",[2]对账明细接口!$AA655),"")</f>
        <v/>
      </c>
      <c r="AF654" s="90" t="str">
        <f aca="false">IFERROR(IF([2]对账明细接口!$AB655=0,"",[2]对账明细接口!$AB655),"")</f>
        <v/>
      </c>
      <c r="AG654" s="90" t="str">
        <f aca="false">IFERROR(IF([2]对账明细接口!$AC655=0,"",[2]对账明细接口!$AC655),"")</f>
        <v/>
      </c>
      <c r="AH654" s="90" t="str">
        <f aca="false">IFERROR(IF([2]对账明细接口!$AD655=0,"",[2]对账明细接口!$AD655),"")</f>
        <v/>
      </c>
    </row>
    <row r="655" customFormat="false" ht="13.5" hidden="false" customHeight="false" outlineLevel="0" collapsed="false">
      <c r="A655" s="109" t="n">
        <v>655</v>
      </c>
      <c r="B655" s="110" t="str">
        <f aca="false">IFERROR(IF([2]对账明细接口!$B$655=0,"",[2]对账明细接口!$B$655),"")</f>
        <v/>
      </c>
      <c r="C655" s="59" t="str">
        <f aca="false">IFERROR(IF([2]对账明细接口!$C$655=0,"",[2]对账明细接口!$C$655),"")</f>
        <v/>
      </c>
      <c r="D655" s="59" t="str">
        <f aca="false">IFERROR(IF([2]对账明细接口!$D$655=0,"",[2]对账明细接口!$D$655),"")</f>
        <v/>
      </c>
      <c r="E655" s="59" t="str">
        <f aca="false">IFERROR(IF([2]对账明细接口!$E$655=0,"",[2]对账明细接口!$E$655),"")</f>
        <v/>
      </c>
      <c r="F655" s="59" t="str">
        <f aca="false">IFERROR(IF([2]对账明细接口!$F$655=0,"",[2]对账明细接口!$F$655),"")</f>
        <v/>
      </c>
      <c r="G655" s="59" t="str">
        <f aca="false">IFERROR(IF([2]对账明细接口!$G$655=0,"",[2]对账明细接口!$G$655),"")</f>
        <v/>
      </c>
      <c r="H655" s="60" t="str">
        <f aca="false">IFERROR(IF([2]对账明细接口!$H$655=0,"",[2]对账明细接口!$H$655),"")</f>
        <v/>
      </c>
      <c r="I655" s="59" t="str">
        <f aca="false">IFERROR(IF([2]对账明细接口!$I$655=0,"",[2]对账明细接口!$I$655),"")</f>
        <v/>
      </c>
      <c r="J655" s="61" t="str">
        <f aca="false">IFERROR(IF([2]对账明细接口!$J$655=0,"",[2]对账明细接口!$J$655),"")</f>
        <v/>
      </c>
      <c r="K655" s="61" t="str">
        <f aca="false">IFERROR(IF([2]对账明细接口!$K$655=0,"",[2]对账明细接口!$K$655),"")</f>
        <v/>
      </c>
      <c r="L655" s="59" t="str">
        <f aca="false">IFERROR(IF([2]对账明细接口!$L$655=0,"",[2]对账明细接口!$L$655),"")</f>
        <v/>
      </c>
      <c r="M655" s="59" t="str">
        <f aca="false">IFERROR(IF([2]对账明细接口!$M$655=0,"",[2]对账明细接口!$M$655),"")</f>
        <v/>
      </c>
      <c r="N655" s="111" t="n">
        <f aca="false">IF($C655="",0,1)</f>
        <v>0</v>
      </c>
      <c r="O655" s="111" t="n">
        <f aca="false">N(O654)+$N655</f>
        <v>311</v>
      </c>
      <c r="S655" s="10" t="str">
        <f aca="false">IFERROR(IF([2]对账明细接口!$N655=0,"",[2]对账明细接口!$N655),"")</f>
        <v/>
      </c>
      <c r="T655" s="112" t="str">
        <f aca="false">IFERROR(IF([2]对账明细接口!$O655=0,"",[2]对账明细接口!$O655),"")</f>
        <v/>
      </c>
      <c r="U655" s="112" t="str">
        <f aca="false">IFERROR(IF([2]对账明细接口!$P655=0,"",[2]对账明细接口!$P655),"")</f>
        <v/>
      </c>
      <c r="V655" s="112" t="str">
        <f aca="false">IFERROR(IF([2]对账明细接口!$Q655=0,"",[2]对账明细接口!$Q655),"")</f>
        <v/>
      </c>
      <c r="W655" s="10" t="str">
        <f aca="false">IFERROR(IF([2]对账明细接口!$R655=0,"",[2]对账明细接口!$R655),"")</f>
        <v/>
      </c>
      <c r="X655" s="10" t="str">
        <f aca="false">IFERROR(IF([2]对账明细接口!$S655=0,"",[2]对账明细接口!$S655),"")</f>
        <v/>
      </c>
      <c r="Y655" s="10" t="str">
        <f aca="false">IFERROR(IF([2]对账明细接口!$T655=0,"",[2]对账明细接口!$T655),"")</f>
        <v/>
      </c>
      <c r="Z655" s="113" t="str">
        <f aca="false">IFERROR(IF([2]对账明细接口!$U655=0,"",[2]对账明细接口!$U655),"")</f>
        <v/>
      </c>
      <c r="AA655" s="113" t="str">
        <f aca="false">IFERROR(IF([2]对账明细接口!$V655=0,"",[2]对账明细接口!$V655),"")</f>
        <v/>
      </c>
      <c r="AB655" s="10" t="str">
        <f aca="false">IFERROR(IF([2]对账明细接口!$W655=0,"",[2]对账明细接口!$W655),"")</f>
        <v/>
      </c>
      <c r="AC655" s="90" t="str">
        <f aca="false">IFERROR(IF([2]对账明细接口!$X656=0,"",[2]对账明细接口!$X656),"")</f>
        <v/>
      </c>
      <c r="AD655" s="90" t="str">
        <f aca="false">IFERROR(IF([2]对账明细接口!$Y656=0,"",[2]对账明细接口!$Y656),"")</f>
        <v/>
      </c>
      <c r="AE655" s="90" t="str">
        <f aca="false">IFERROR(IF([2]对账明细接口!$AA656=0,"",[2]对账明细接口!$AA656),"")</f>
        <v/>
      </c>
      <c r="AF655" s="90" t="str">
        <f aca="false">IFERROR(IF([2]对账明细接口!$AB656=0,"",[2]对账明细接口!$AB656),"")</f>
        <v/>
      </c>
      <c r="AG655" s="90" t="str">
        <f aca="false">IFERROR(IF([2]对账明细接口!$AC656=0,"",[2]对账明细接口!$AC656),"")</f>
        <v/>
      </c>
      <c r="AH655" s="90" t="str">
        <f aca="false">IFERROR(IF([2]对账明细接口!$AD656=0,"",[2]对账明细接口!$AD656),"")</f>
        <v/>
      </c>
    </row>
    <row r="656" customFormat="false" ht="13.5" hidden="false" customHeight="false" outlineLevel="0" collapsed="false">
      <c r="A656" s="109" t="n">
        <v>656</v>
      </c>
      <c r="B656" s="110" t="str">
        <f aca="false">IFERROR(IF([2]对账明细接口!$B$656=0,"",[2]对账明细接口!$B$656),"")</f>
        <v/>
      </c>
      <c r="C656" s="59" t="str">
        <f aca="false">IFERROR(IF([2]对账明细接口!$C$656=0,"",[2]对账明细接口!$C$656),"")</f>
        <v/>
      </c>
      <c r="D656" s="59" t="str">
        <f aca="false">IFERROR(IF([2]对账明细接口!$D$656=0,"",[2]对账明细接口!$D$656),"")</f>
        <v/>
      </c>
      <c r="E656" s="59" t="str">
        <f aca="false">IFERROR(IF([2]对账明细接口!$E$656=0,"",[2]对账明细接口!$E$656),"")</f>
        <v/>
      </c>
      <c r="F656" s="59" t="str">
        <f aca="false">IFERROR(IF([2]对账明细接口!$F$656=0,"",[2]对账明细接口!$F$656),"")</f>
        <v/>
      </c>
      <c r="G656" s="59" t="str">
        <f aca="false">IFERROR(IF([2]对账明细接口!$G$656=0,"",[2]对账明细接口!$G$656),"")</f>
        <v/>
      </c>
      <c r="H656" s="60" t="str">
        <f aca="false">IFERROR(IF([2]对账明细接口!$H$656=0,"",[2]对账明细接口!$H$656),"")</f>
        <v/>
      </c>
      <c r="I656" s="59" t="str">
        <f aca="false">IFERROR(IF([2]对账明细接口!$I$656=0,"",[2]对账明细接口!$I$656),"")</f>
        <v/>
      </c>
      <c r="J656" s="61" t="str">
        <f aca="false">IFERROR(IF([2]对账明细接口!$J$656=0,"",[2]对账明细接口!$J$656),"")</f>
        <v/>
      </c>
      <c r="K656" s="61" t="str">
        <f aca="false">IFERROR(IF([2]对账明细接口!$K$656=0,"",[2]对账明细接口!$K$656),"")</f>
        <v/>
      </c>
      <c r="L656" s="59" t="str">
        <f aca="false">IFERROR(IF([2]对账明细接口!$L$656=0,"",[2]对账明细接口!$L$656),"")</f>
        <v/>
      </c>
      <c r="M656" s="59" t="str">
        <f aca="false">IFERROR(IF([2]对账明细接口!$M$656=0,"",[2]对账明细接口!$M$656),"")</f>
        <v/>
      </c>
      <c r="N656" s="111" t="n">
        <f aca="false">IF($C656="",0,1)</f>
        <v>0</v>
      </c>
      <c r="O656" s="111" t="n">
        <f aca="false">N(O655)+$N656</f>
        <v>311</v>
      </c>
      <c r="S656" s="10" t="str">
        <f aca="false">IFERROR(IF([2]对账明细接口!$N656=0,"",[2]对账明细接口!$N656),"")</f>
        <v/>
      </c>
      <c r="T656" s="112" t="str">
        <f aca="false">IFERROR(IF([2]对账明细接口!$O656=0,"",[2]对账明细接口!$O656),"")</f>
        <v/>
      </c>
      <c r="U656" s="112" t="str">
        <f aca="false">IFERROR(IF([2]对账明细接口!$P656=0,"",[2]对账明细接口!$P656),"")</f>
        <v/>
      </c>
      <c r="V656" s="112" t="str">
        <f aca="false">IFERROR(IF([2]对账明细接口!$Q656=0,"",[2]对账明细接口!$Q656),"")</f>
        <v/>
      </c>
      <c r="W656" s="10" t="str">
        <f aca="false">IFERROR(IF([2]对账明细接口!$R656=0,"",[2]对账明细接口!$R656),"")</f>
        <v/>
      </c>
      <c r="X656" s="10" t="str">
        <f aca="false">IFERROR(IF([2]对账明细接口!$S656=0,"",[2]对账明细接口!$S656),"")</f>
        <v/>
      </c>
      <c r="Y656" s="10" t="str">
        <f aca="false">IFERROR(IF([2]对账明细接口!$T656=0,"",[2]对账明细接口!$T656),"")</f>
        <v/>
      </c>
      <c r="Z656" s="113" t="str">
        <f aca="false">IFERROR(IF([2]对账明细接口!$U656=0,"",[2]对账明细接口!$U656),"")</f>
        <v/>
      </c>
      <c r="AA656" s="113" t="str">
        <f aca="false">IFERROR(IF([2]对账明细接口!$V656=0,"",[2]对账明细接口!$V656),"")</f>
        <v/>
      </c>
      <c r="AB656" s="10" t="str">
        <f aca="false">IFERROR(IF([2]对账明细接口!$W656=0,"",[2]对账明细接口!$W656),"")</f>
        <v/>
      </c>
      <c r="AC656" s="90" t="str">
        <f aca="false">IFERROR(IF([2]对账明细接口!$X657=0,"",[2]对账明细接口!$X657),"")</f>
        <v/>
      </c>
      <c r="AD656" s="90" t="str">
        <f aca="false">IFERROR(IF([2]对账明细接口!$Y657=0,"",[2]对账明细接口!$Y657),"")</f>
        <v/>
      </c>
      <c r="AE656" s="90" t="str">
        <f aca="false">IFERROR(IF([2]对账明细接口!$AA657=0,"",[2]对账明细接口!$AA657),"")</f>
        <v/>
      </c>
      <c r="AF656" s="90" t="str">
        <f aca="false">IFERROR(IF([2]对账明细接口!$AB657=0,"",[2]对账明细接口!$AB657),"")</f>
        <v/>
      </c>
      <c r="AG656" s="90" t="str">
        <f aca="false">IFERROR(IF([2]对账明细接口!$AC657=0,"",[2]对账明细接口!$AC657),"")</f>
        <v/>
      </c>
      <c r="AH656" s="90" t="str">
        <f aca="false">IFERROR(IF([2]对账明细接口!$AD657=0,"",[2]对账明细接口!$AD657),"")</f>
        <v/>
      </c>
    </row>
    <row r="657" customFormat="false" ht="13.5" hidden="false" customHeight="false" outlineLevel="0" collapsed="false">
      <c r="A657" s="109" t="n">
        <v>657</v>
      </c>
      <c r="B657" s="110" t="str">
        <f aca="false">IFERROR(IF([2]对账明细接口!$B$657=0,"",[2]对账明细接口!$B$657),"")</f>
        <v/>
      </c>
      <c r="C657" s="59" t="str">
        <f aca="false">IFERROR(IF([2]对账明细接口!$C$657=0,"",[2]对账明细接口!$C$657),"")</f>
        <v/>
      </c>
      <c r="D657" s="59" t="str">
        <f aca="false">IFERROR(IF([2]对账明细接口!$D$657=0,"",[2]对账明细接口!$D$657),"")</f>
        <v/>
      </c>
      <c r="E657" s="59" t="str">
        <f aca="false">IFERROR(IF([2]对账明细接口!$E$657=0,"",[2]对账明细接口!$E$657),"")</f>
        <v/>
      </c>
      <c r="F657" s="59" t="str">
        <f aca="false">IFERROR(IF([2]对账明细接口!$F$657=0,"",[2]对账明细接口!$F$657),"")</f>
        <v/>
      </c>
      <c r="G657" s="59" t="str">
        <f aca="false">IFERROR(IF([2]对账明细接口!$G$657=0,"",[2]对账明细接口!$G$657),"")</f>
        <v/>
      </c>
      <c r="H657" s="60" t="str">
        <f aca="false">IFERROR(IF([2]对账明细接口!$H$657=0,"",[2]对账明细接口!$H$657),"")</f>
        <v/>
      </c>
      <c r="I657" s="59" t="str">
        <f aca="false">IFERROR(IF([2]对账明细接口!$I$657=0,"",[2]对账明细接口!$I$657),"")</f>
        <v/>
      </c>
      <c r="J657" s="61" t="str">
        <f aca="false">IFERROR(IF([2]对账明细接口!$J$657=0,"",[2]对账明细接口!$J$657),"")</f>
        <v/>
      </c>
      <c r="K657" s="61" t="str">
        <f aca="false">IFERROR(IF([2]对账明细接口!$K$657=0,"",[2]对账明细接口!$K$657),"")</f>
        <v/>
      </c>
      <c r="L657" s="59" t="str">
        <f aca="false">IFERROR(IF([2]对账明细接口!$L$657=0,"",[2]对账明细接口!$L$657),"")</f>
        <v/>
      </c>
      <c r="M657" s="59" t="str">
        <f aca="false">IFERROR(IF([2]对账明细接口!$M$657=0,"",[2]对账明细接口!$M$657),"")</f>
        <v/>
      </c>
      <c r="N657" s="111" t="n">
        <f aca="false">IF($C657="",0,1)</f>
        <v>0</v>
      </c>
      <c r="O657" s="111" t="n">
        <f aca="false">N(O656)+$N657</f>
        <v>311</v>
      </c>
      <c r="S657" s="10" t="str">
        <f aca="false">IFERROR(IF([2]对账明细接口!$N657=0,"",[2]对账明细接口!$N657),"")</f>
        <v/>
      </c>
      <c r="T657" s="112" t="str">
        <f aca="false">IFERROR(IF([2]对账明细接口!$O657=0,"",[2]对账明细接口!$O657),"")</f>
        <v/>
      </c>
      <c r="U657" s="112" t="str">
        <f aca="false">IFERROR(IF([2]对账明细接口!$P657=0,"",[2]对账明细接口!$P657),"")</f>
        <v/>
      </c>
      <c r="V657" s="112" t="str">
        <f aca="false">IFERROR(IF([2]对账明细接口!$Q657=0,"",[2]对账明细接口!$Q657),"")</f>
        <v/>
      </c>
      <c r="W657" s="10" t="str">
        <f aca="false">IFERROR(IF([2]对账明细接口!$R657=0,"",[2]对账明细接口!$R657),"")</f>
        <v/>
      </c>
      <c r="X657" s="10" t="str">
        <f aca="false">IFERROR(IF([2]对账明细接口!$S657=0,"",[2]对账明细接口!$S657),"")</f>
        <v/>
      </c>
      <c r="Y657" s="10" t="str">
        <f aca="false">IFERROR(IF([2]对账明细接口!$T657=0,"",[2]对账明细接口!$T657),"")</f>
        <v/>
      </c>
      <c r="Z657" s="113" t="str">
        <f aca="false">IFERROR(IF([2]对账明细接口!$U657=0,"",[2]对账明细接口!$U657),"")</f>
        <v/>
      </c>
      <c r="AA657" s="113" t="str">
        <f aca="false">IFERROR(IF([2]对账明细接口!$V657=0,"",[2]对账明细接口!$V657),"")</f>
        <v/>
      </c>
      <c r="AB657" s="10" t="str">
        <f aca="false">IFERROR(IF([2]对账明细接口!$W657=0,"",[2]对账明细接口!$W657),"")</f>
        <v/>
      </c>
      <c r="AC657" s="90" t="str">
        <f aca="false">IFERROR(IF([2]对账明细接口!$X658=0,"",[2]对账明细接口!$X658),"")</f>
        <v/>
      </c>
      <c r="AD657" s="90" t="str">
        <f aca="false">IFERROR(IF([2]对账明细接口!$Y658=0,"",[2]对账明细接口!$Y658),"")</f>
        <v/>
      </c>
      <c r="AE657" s="90" t="str">
        <f aca="false">IFERROR(IF([2]对账明细接口!$AA658=0,"",[2]对账明细接口!$AA658),"")</f>
        <v/>
      </c>
      <c r="AF657" s="90" t="str">
        <f aca="false">IFERROR(IF([2]对账明细接口!$AB658=0,"",[2]对账明细接口!$AB658),"")</f>
        <v/>
      </c>
      <c r="AG657" s="90" t="str">
        <f aca="false">IFERROR(IF([2]对账明细接口!$AC658=0,"",[2]对账明细接口!$AC658),"")</f>
        <v/>
      </c>
      <c r="AH657" s="90" t="str">
        <f aca="false">IFERROR(IF([2]对账明细接口!$AD658=0,"",[2]对账明细接口!$AD658),"")</f>
        <v/>
      </c>
    </row>
    <row r="658" customFormat="false" ht="13.5" hidden="false" customHeight="false" outlineLevel="0" collapsed="false">
      <c r="A658" s="109" t="n">
        <v>658</v>
      </c>
      <c r="B658" s="110" t="str">
        <f aca="false">IFERROR(IF([2]对账明细接口!$B$658=0,"",[2]对账明细接口!$B$658),"")</f>
        <v/>
      </c>
      <c r="C658" s="59" t="str">
        <f aca="false">IFERROR(IF([2]对账明细接口!$C$658=0,"",[2]对账明细接口!$C$658),"")</f>
        <v/>
      </c>
      <c r="D658" s="59" t="str">
        <f aca="false">IFERROR(IF([2]对账明细接口!$D$658=0,"",[2]对账明细接口!$D$658),"")</f>
        <v/>
      </c>
      <c r="E658" s="59" t="str">
        <f aca="false">IFERROR(IF([2]对账明细接口!$E$658=0,"",[2]对账明细接口!$E$658),"")</f>
        <v/>
      </c>
      <c r="F658" s="59" t="str">
        <f aca="false">IFERROR(IF([2]对账明细接口!$F$658=0,"",[2]对账明细接口!$F$658),"")</f>
        <v/>
      </c>
      <c r="G658" s="59" t="str">
        <f aca="false">IFERROR(IF([2]对账明细接口!$G$658=0,"",[2]对账明细接口!$G$658),"")</f>
        <v/>
      </c>
      <c r="H658" s="60" t="str">
        <f aca="false">IFERROR(IF([2]对账明细接口!$H$658=0,"",[2]对账明细接口!$H$658),"")</f>
        <v/>
      </c>
      <c r="I658" s="59" t="str">
        <f aca="false">IFERROR(IF([2]对账明细接口!$I$658=0,"",[2]对账明细接口!$I$658),"")</f>
        <v/>
      </c>
      <c r="J658" s="61" t="str">
        <f aca="false">IFERROR(IF([2]对账明细接口!$J$658=0,"",[2]对账明细接口!$J$658),"")</f>
        <v/>
      </c>
      <c r="K658" s="61" t="str">
        <f aca="false">IFERROR(IF([2]对账明细接口!$K$658=0,"",[2]对账明细接口!$K$658),"")</f>
        <v/>
      </c>
      <c r="L658" s="59" t="str">
        <f aca="false">IFERROR(IF([2]对账明细接口!$L$658=0,"",[2]对账明细接口!$L$658),"")</f>
        <v/>
      </c>
      <c r="M658" s="59" t="str">
        <f aca="false">IFERROR(IF([2]对账明细接口!$M$658=0,"",[2]对账明细接口!$M$658),"")</f>
        <v/>
      </c>
      <c r="N658" s="111" t="n">
        <f aca="false">IF($C658="",0,1)</f>
        <v>0</v>
      </c>
      <c r="O658" s="111" t="n">
        <f aca="false">N(O657)+$N658</f>
        <v>311</v>
      </c>
      <c r="S658" s="10" t="str">
        <f aca="false">IFERROR(IF([2]对账明细接口!$N658=0,"",[2]对账明细接口!$N658),"")</f>
        <v/>
      </c>
      <c r="T658" s="112" t="str">
        <f aca="false">IFERROR(IF([2]对账明细接口!$O658=0,"",[2]对账明细接口!$O658),"")</f>
        <v/>
      </c>
      <c r="U658" s="112" t="str">
        <f aca="false">IFERROR(IF([2]对账明细接口!$P658=0,"",[2]对账明细接口!$P658),"")</f>
        <v/>
      </c>
      <c r="V658" s="112" t="str">
        <f aca="false">IFERROR(IF([2]对账明细接口!$Q658=0,"",[2]对账明细接口!$Q658),"")</f>
        <v/>
      </c>
      <c r="W658" s="10" t="str">
        <f aca="false">IFERROR(IF([2]对账明细接口!$R658=0,"",[2]对账明细接口!$R658),"")</f>
        <v/>
      </c>
      <c r="X658" s="10" t="str">
        <f aca="false">IFERROR(IF([2]对账明细接口!$S658=0,"",[2]对账明细接口!$S658),"")</f>
        <v/>
      </c>
      <c r="Y658" s="10" t="str">
        <f aca="false">IFERROR(IF([2]对账明细接口!$T658=0,"",[2]对账明细接口!$T658),"")</f>
        <v/>
      </c>
      <c r="Z658" s="113" t="str">
        <f aca="false">IFERROR(IF([2]对账明细接口!$U658=0,"",[2]对账明细接口!$U658),"")</f>
        <v/>
      </c>
      <c r="AA658" s="113" t="str">
        <f aca="false">IFERROR(IF([2]对账明细接口!$V658=0,"",[2]对账明细接口!$V658),"")</f>
        <v/>
      </c>
      <c r="AB658" s="10" t="str">
        <f aca="false">IFERROR(IF([2]对账明细接口!$W658=0,"",[2]对账明细接口!$W658),"")</f>
        <v/>
      </c>
      <c r="AC658" s="90" t="str">
        <f aca="false">IFERROR(IF([2]对账明细接口!$X659=0,"",[2]对账明细接口!$X659),"")</f>
        <v/>
      </c>
      <c r="AD658" s="90" t="str">
        <f aca="false">IFERROR(IF([2]对账明细接口!$Y659=0,"",[2]对账明细接口!$Y659),"")</f>
        <v/>
      </c>
      <c r="AE658" s="90" t="str">
        <f aca="false">IFERROR(IF([2]对账明细接口!$AA659=0,"",[2]对账明细接口!$AA659),"")</f>
        <v/>
      </c>
      <c r="AF658" s="90" t="str">
        <f aca="false">IFERROR(IF([2]对账明细接口!$AB659=0,"",[2]对账明细接口!$AB659),"")</f>
        <v/>
      </c>
      <c r="AG658" s="90" t="str">
        <f aca="false">IFERROR(IF([2]对账明细接口!$AC659=0,"",[2]对账明细接口!$AC659),"")</f>
        <v/>
      </c>
      <c r="AH658" s="90" t="str">
        <f aca="false">IFERROR(IF([2]对账明细接口!$AD659=0,"",[2]对账明细接口!$AD659),"")</f>
        <v/>
      </c>
    </row>
    <row r="659" customFormat="false" ht="13.5" hidden="false" customHeight="false" outlineLevel="0" collapsed="false">
      <c r="A659" s="109" t="n">
        <v>659</v>
      </c>
      <c r="B659" s="110" t="str">
        <f aca="false">IFERROR(IF([2]对账明细接口!$B$659=0,"",[2]对账明细接口!$B$659),"")</f>
        <v/>
      </c>
      <c r="C659" s="59" t="str">
        <f aca="false">IFERROR(IF([2]对账明细接口!$C$659=0,"",[2]对账明细接口!$C$659),"")</f>
        <v/>
      </c>
      <c r="D659" s="59" t="str">
        <f aca="false">IFERROR(IF([2]对账明细接口!$D$659=0,"",[2]对账明细接口!$D$659),"")</f>
        <v/>
      </c>
      <c r="E659" s="59" t="str">
        <f aca="false">IFERROR(IF([2]对账明细接口!$E$659=0,"",[2]对账明细接口!$E$659),"")</f>
        <v/>
      </c>
      <c r="F659" s="59" t="str">
        <f aca="false">IFERROR(IF([2]对账明细接口!$F$659=0,"",[2]对账明细接口!$F$659),"")</f>
        <v/>
      </c>
      <c r="G659" s="59" t="str">
        <f aca="false">IFERROR(IF([2]对账明细接口!$G$659=0,"",[2]对账明细接口!$G$659),"")</f>
        <v/>
      </c>
      <c r="H659" s="60" t="str">
        <f aca="false">IFERROR(IF([2]对账明细接口!$H$659=0,"",[2]对账明细接口!$H$659),"")</f>
        <v/>
      </c>
      <c r="I659" s="59" t="str">
        <f aca="false">IFERROR(IF([2]对账明细接口!$I$659=0,"",[2]对账明细接口!$I$659),"")</f>
        <v/>
      </c>
      <c r="J659" s="61" t="str">
        <f aca="false">IFERROR(IF([2]对账明细接口!$J$659=0,"",[2]对账明细接口!$J$659),"")</f>
        <v/>
      </c>
      <c r="K659" s="61" t="str">
        <f aca="false">IFERROR(IF([2]对账明细接口!$K$659=0,"",[2]对账明细接口!$K$659),"")</f>
        <v/>
      </c>
      <c r="L659" s="59" t="str">
        <f aca="false">IFERROR(IF([2]对账明细接口!$L$659=0,"",[2]对账明细接口!$L$659),"")</f>
        <v/>
      </c>
      <c r="M659" s="59" t="str">
        <f aca="false">IFERROR(IF([2]对账明细接口!$M$659=0,"",[2]对账明细接口!$M$659),"")</f>
        <v/>
      </c>
      <c r="N659" s="111" t="n">
        <f aca="false">IF($C659="",0,1)</f>
        <v>0</v>
      </c>
      <c r="O659" s="111" t="n">
        <f aca="false">N(O658)+$N659</f>
        <v>311</v>
      </c>
      <c r="S659" s="10" t="str">
        <f aca="false">IFERROR(IF([2]对账明细接口!$N659=0,"",[2]对账明细接口!$N659),"")</f>
        <v/>
      </c>
      <c r="T659" s="112" t="str">
        <f aca="false">IFERROR(IF([2]对账明细接口!$O659=0,"",[2]对账明细接口!$O659),"")</f>
        <v/>
      </c>
      <c r="U659" s="112" t="str">
        <f aca="false">IFERROR(IF([2]对账明细接口!$P659=0,"",[2]对账明细接口!$P659),"")</f>
        <v/>
      </c>
      <c r="V659" s="112" t="str">
        <f aca="false">IFERROR(IF([2]对账明细接口!$Q659=0,"",[2]对账明细接口!$Q659),"")</f>
        <v/>
      </c>
      <c r="W659" s="10" t="str">
        <f aca="false">IFERROR(IF([2]对账明细接口!$R659=0,"",[2]对账明细接口!$R659),"")</f>
        <v/>
      </c>
      <c r="X659" s="10" t="str">
        <f aca="false">IFERROR(IF([2]对账明细接口!$S659=0,"",[2]对账明细接口!$S659),"")</f>
        <v/>
      </c>
      <c r="Y659" s="10" t="str">
        <f aca="false">IFERROR(IF([2]对账明细接口!$T659=0,"",[2]对账明细接口!$T659),"")</f>
        <v/>
      </c>
      <c r="Z659" s="113" t="str">
        <f aca="false">IFERROR(IF([2]对账明细接口!$U659=0,"",[2]对账明细接口!$U659),"")</f>
        <v/>
      </c>
      <c r="AA659" s="113" t="str">
        <f aca="false">IFERROR(IF([2]对账明细接口!$V659=0,"",[2]对账明细接口!$V659),"")</f>
        <v/>
      </c>
      <c r="AB659" s="10" t="str">
        <f aca="false">IFERROR(IF([2]对账明细接口!$W659=0,"",[2]对账明细接口!$W659),"")</f>
        <v/>
      </c>
      <c r="AC659" s="90" t="str">
        <f aca="false">IFERROR(IF([2]对账明细接口!$X660=0,"",[2]对账明细接口!$X660),"")</f>
        <v/>
      </c>
      <c r="AD659" s="90" t="str">
        <f aca="false">IFERROR(IF([2]对账明细接口!$Y660=0,"",[2]对账明细接口!$Y660),"")</f>
        <v/>
      </c>
      <c r="AE659" s="90" t="str">
        <f aca="false">IFERROR(IF([2]对账明细接口!$AA660=0,"",[2]对账明细接口!$AA660),"")</f>
        <v/>
      </c>
      <c r="AF659" s="90" t="str">
        <f aca="false">IFERROR(IF([2]对账明细接口!$AB660=0,"",[2]对账明细接口!$AB660),"")</f>
        <v/>
      </c>
      <c r="AG659" s="90" t="str">
        <f aca="false">IFERROR(IF([2]对账明细接口!$AC660=0,"",[2]对账明细接口!$AC660),"")</f>
        <v/>
      </c>
      <c r="AH659" s="90" t="str">
        <f aca="false">IFERROR(IF([2]对账明细接口!$AD660=0,"",[2]对账明细接口!$AD660),"")</f>
        <v/>
      </c>
    </row>
    <row r="660" customFormat="false" ht="13.5" hidden="false" customHeight="false" outlineLevel="0" collapsed="false">
      <c r="A660" s="109" t="n">
        <v>660</v>
      </c>
      <c r="B660" s="110" t="str">
        <f aca="false">IFERROR(IF([2]对账明细接口!$B$660=0,"",[2]对账明细接口!$B$660),"")</f>
        <v/>
      </c>
      <c r="C660" s="59" t="str">
        <f aca="false">IFERROR(IF([2]对账明细接口!$C$660=0,"",[2]对账明细接口!$C$660),"")</f>
        <v/>
      </c>
      <c r="D660" s="59" t="str">
        <f aca="false">IFERROR(IF([2]对账明细接口!$D$660=0,"",[2]对账明细接口!$D$660),"")</f>
        <v/>
      </c>
      <c r="E660" s="59" t="str">
        <f aca="false">IFERROR(IF([2]对账明细接口!$E$660=0,"",[2]对账明细接口!$E$660),"")</f>
        <v/>
      </c>
      <c r="F660" s="59" t="str">
        <f aca="false">IFERROR(IF([2]对账明细接口!$F$660=0,"",[2]对账明细接口!$F$660),"")</f>
        <v/>
      </c>
      <c r="G660" s="59" t="str">
        <f aca="false">IFERROR(IF([2]对账明细接口!$G$660=0,"",[2]对账明细接口!$G$660),"")</f>
        <v/>
      </c>
      <c r="H660" s="60" t="str">
        <f aca="false">IFERROR(IF([2]对账明细接口!$H$660=0,"",[2]对账明细接口!$H$660),"")</f>
        <v/>
      </c>
      <c r="I660" s="59" t="str">
        <f aca="false">IFERROR(IF([2]对账明细接口!$I$660=0,"",[2]对账明细接口!$I$660),"")</f>
        <v/>
      </c>
      <c r="J660" s="61" t="str">
        <f aca="false">IFERROR(IF([2]对账明细接口!$J$660=0,"",[2]对账明细接口!$J$660),"")</f>
        <v/>
      </c>
      <c r="K660" s="61" t="str">
        <f aca="false">IFERROR(IF([2]对账明细接口!$K$660=0,"",[2]对账明细接口!$K$660),"")</f>
        <v/>
      </c>
      <c r="L660" s="59" t="str">
        <f aca="false">IFERROR(IF([2]对账明细接口!$L$660=0,"",[2]对账明细接口!$L$660),"")</f>
        <v/>
      </c>
      <c r="M660" s="59" t="str">
        <f aca="false">IFERROR(IF([2]对账明细接口!$M$660=0,"",[2]对账明细接口!$M$660),"")</f>
        <v/>
      </c>
      <c r="N660" s="111" t="n">
        <f aca="false">IF($C660="",0,1)</f>
        <v>0</v>
      </c>
      <c r="O660" s="111" t="n">
        <f aca="false">N(O659)+$N660</f>
        <v>311</v>
      </c>
      <c r="S660" s="10" t="str">
        <f aca="false">IFERROR(IF([2]对账明细接口!$N660=0,"",[2]对账明细接口!$N660),"")</f>
        <v/>
      </c>
      <c r="T660" s="112" t="str">
        <f aca="false">IFERROR(IF([2]对账明细接口!$O660=0,"",[2]对账明细接口!$O660),"")</f>
        <v/>
      </c>
      <c r="U660" s="112" t="str">
        <f aca="false">IFERROR(IF([2]对账明细接口!$P660=0,"",[2]对账明细接口!$P660),"")</f>
        <v/>
      </c>
      <c r="V660" s="112" t="str">
        <f aca="false">IFERROR(IF([2]对账明细接口!$Q660=0,"",[2]对账明细接口!$Q660),"")</f>
        <v/>
      </c>
      <c r="W660" s="10" t="str">
        <f aca="false">IFERROR(IF([2]对账明细接口!$R660=0,"",[2]对账明细接口!$R660),"")</f>
        <v/>
      </c>
      <c r="X660" s="10" t="str">
        <f aca="false">IFERROR(IF([2]对账明细接口!$S660=0,"",[2]对账明细接口!$S660),"")</f>
        <v/>
      </c>
      <c r="Y660" s="10" t="str">
        <f aca="false">IFERROR(IF([2]对账明细接口!$T660=0,"",[2]对账明细接口!$T660),"")</f>
        <v/>
      </c>
      <c r="Z660" s="113" t="str">
        <f aca="false">IFERROR(IF([2]对账明细接口!$U660=0,"",[2]对账明细接口!$U660),"")</f>
        <v/>
      </c>
      <c r="AA660" s="113" t="str">
        <f aca="false">IFERROR(IF([2]对账明细接口!$V660=0,"",[2]对账明细接口!$V660),"")</f>
        <v/>
      </c>
      <c r="AB660" s="10" t="str">
        <f aca="false">IFERROR(IF([2]对账明细接口!$W660=0,"",[2]对账明细接口!$W660),"")</f>
        <v/>
      </c>
      <c r="AC660" s="90" t="str">
        <f aca="false">IFERROR(IF([2]对账明细接口!$X661=0,"",[2]对账明细接口!$X661),"")</f>
        <v/>
      </c>
      <c r="AD660" s="90" t="str">
        <f aca="false">IFERROR(IF([2]对账明细接口!$Y661=0,"",[2]对账明细接口!$Y661),"")</f>
        <v/>
      </c>
      <c r="AE660" s="90" t="str">
        <f aca="false">IFERROR(IF([2]对账明细接口!$AA661=0,"",[2]对账明细接口!$AA661),"")</f>
        <v/>
      </c>
      <c r="AF660" s="90" t="str">
        <f aca="false">IFERROR(IF([2]对账明细接口!$AB661=0,"",[2]对账明细接口!$AB661),"")</f>
        <v/>
      </c>
      <c r="AG660" s="90" t="str">
        <f aca="false">IFERROR(IF([2]对账明细接口!$AC661=0,"",[2]对账明细接口!$AC661),"")</f>
        <v/>
      </c>
      <c r="AH660" s="90" t="str">
        <f aca="false">IFERROR(IF([2]对账明细接口!$AD661=0,"",[2]对账明细接口!$AD661),"")</f>
        <v/>
      </c>
    </row>
    <row r="661" customFormat="false" ht="13.5" hidden="false" customHeight="false" outlineLevel="0" collapsed="false">
      <c r="A661" s="109" t="n">
        <v>661</v>
      </c>
      <c r="B661" s="110" t="str">
        <f aca="false">IFERROR(IF([2]对账明细接口!$B$661=0,"",[2]对账明细接口!$B$661),"")</f>
        <v/>
      </c>
      <c r="C661" s="59" t="str">
        <f aca="false">IFERROR(IF([2]对账明细接口!$C$661=0,"",[2]对账明细接口!$C$661),"")</f>
        <v/>
      </c>
      <c r="D661" s="59" t="str">
        <f aca="false">IFERROR(IF([2]对账明细接口!$D$661=0,"",[2]对账明细接口!$D$661),"")</f>
        <v/>
      </c>
      <c r="E661" s="59" t="str">
        <f aca="false">IFERROR(IF([2]对账明细接口!$E$661=0,"",[2]对账明细接口!$E$661),"")</f>
        <v/>
      </c>
      <c r="F661" s="59" t="str">
        <f aca="false">IFERROR(IF([2]对账明细接口!$F$661=0,"",[2]对账明细接口!$F$661),"")</f>
        <v/>
      </c>
      <c r="G661" s="59" t="str">
        <f aca="false">IFERROR(IF([2]对账明细接口!$G$661=0,"",[2]对账明细接口!$G$661),"")</f>
        <v/>
      </c>
      <c r="H661" s="60" t="str">
        <f aca="false">IFERROR(IF([2]对账明细接口!$H$661=0,"",[2]对账明细接口!$H$661),"")</f>
        <v/>
      </c>
      <c r="I661" s="59" t="str">
        <f aca="false">IFERROR(IF([2]对账明细接口!$I$661=0,"",[2]对账明细接口!$I$661),"")</f>
        <v/>
      </c>
      <c r="J661" s="61" t="str">
        <f aca="false">IFERROR(IF([2]对账明细接口!$J$661=0,"",[2]对账明细接口!$J$661),"")</f>
        <v/>
      </c>
      <c r="K661" s="61" t="str">
        <f aca="false">IFERROR(IF([2]对账明细接口!$K$661=0,"",[2]对账明细接口!$K$661),"")</f>
        <v/>
      </c>
      <c r="L661" s="59" t="str">
        <f aca="false">IFERROR(IF([2]对账明细接口!$L$661=0,"",[2]对账明细接口!$L$661),"")</f>
        <v/>
      </c>
      <c r="M661" s="59" t="str">
        <f aca="false">IFERROR(IF([2]对账明细接口!$M$661=0,"",[2]对账明细接口!$M$661),"")</f>
        <v/>
      </c>
      <c r="N661" s="111" t="n">
        <f aca="false">IF($C661="",0,1)</f>
        <v>0</v>
      </c>
      <c r="O661" s="111" t="n">
        <f aca="false">N(O660)+$N661</f>
        <v>311</v>
      </c>
      <c r="S661" s="10" t="str">
        <f aca="false">IFERROR(IF([2]对账明细接口!$N661=0,"",[2]对账明细接口!$N661),"")</f>
        <v/>
      </c>
      <c r="T661" s="112" t="str">
        <f aca="false">IFERROR(IF([2]对账明细接口!$O661=0,"",[2]对账明细接口!$O661),"")</f>
        <v/>
      </c>
      <c r="U661" s="112" t="str">
        <f aca="false">IFERROR(IF([2]对账明细接口!$P661=0,"",[2]对账明细接口!$P661),"")</f>
        <v/>
      </c>
      <c r="V661" s="112" t="str">
        <f aca="false">IFERROR(IF([2]对账明细接口!$Q661=0,"",[2]对账明细接口!$Q661),"")</f>
        <v/>
      </c>
      <c r="W661" s="10" t="str">
        <f aca="false">IFERROR(IF([2]对账明细接口!$R661=0,"",[2]对账明细接口!$R661),"")</f>
        <v/>
      </c>
      <c r="X661" s="10" t="str">
        <f aca="false">IFERROR(IF([2]对账明细接口!$S661=0,"",[2]对账明细接口!$S661),"")</f>
        <v/>
      </c>
      <c r="Y661" s="10" t="str">
        <f aca="false">IFERROR(IF([2]对账明细接口!$T661=0,"",[2]对账明细接口!$T661),"")</f>
        <v/>
      </c>
      <c r="Z661" s="113" t="str">
        <f aca="false">IFERROR(IF([2]对账明细接口!$U661=0,"",[2]对账明细接口!$U661),"")</f>
        <v/>
      </c>
      <c r="AA661" s="113" t="str">
        <f aca="false">IFERROR(IF([2]对账明细接口!$V661=0,"",[2]对账明细接口!$V661),"")</f>
        <v/>
      </c>
      <c r="AB661" s="10" t="str">
        <f aca="false">IFERROR(IF([2]对账明细接口!$W661=0,"",[2]对账明细接口!$W661),"")</f>
        <v/>
      </c>
      <c r="AC661" s="90" t="str">
        <f aca="false">IFERROR(IF([2]对账明细接口!$X662=0,"",[2]对账明细接口!$X662),"")</f>
        <v/>
      </c>
      <c r="AD661" s="90" t="str">
        <f aca="false">IFERROR(IF([2]对账明细接口!$Y662=0,"",[2]对账明细接口!$Y662),"")</f>
        <v/>
      </c>
      <c r="AE661" s="90" t="str">
        <f aca="false">IFERROR(IF([2]对账明细接口!$AA662=0,"",[2]对账明细接口!$AA662),"")</f>
        <v/>
      </c>
      <c r="AF661" s="90" t="str">
        <f aca="false">IFERROR(IF([2]对账明细接口!$AB662=0,"",[2]对账明细接口!$AB662),"")</f>
        <v/>
      </c>
      <c r="AG661" s="90" t="str">
        <f aca="false">IFERROR(IF([2]对账明细接口!$AC662=0,"",[2]对账明细接口!$AC662),"")</f>
        <v/>
      </c>
      <c r="AH661" s="90" t="str">
        <f aca="false">IFERROR(IF([2]对账明细接口!$AD662=0,"",[2]对账明细接口!$AD662),"")</f>
        <v/>
      </c>
    </row>
    <row r="662" customFormat="false" ht="13.5" hidden="false" customHeight="false" outlineLevel="0" collapsed="false">
      <c r="A662" s="109" t="n">
        <v>662</v>
      </c>
      <c r="B662" s="110" t="str">
        <f aca="false">IFERROR(IF([2]对账明细接口!$B$662=0,"",[2]对账明细接口!$B$662),"")</f>
        <v/>
      </c>
      <c r="C662" s="59" t="str">
        <f aca="false">IFERROR(IF([2]对账明细接口!$C$662=0,"",[2]对账明细接口!$C$662),"")</f>
        <v/>
      </c>
      <c r="D662" s="59" t="str">
        <f aca="false">IFERROR(IF([2]对账明细接口!$D$662=0,"",[2]对账明细接口!$D$662),"")</f>
        <v/>
      </c>
      <c r="E662" s="59" t="str">
        <f aca="false">IFERROR(IF([2]对账明细接口!$E$662=0,"",[2]对账明细接口!$E$662),"")</f>
        <v/>
      </c>
      <c r="F662" s="59" t="str">
        <f aca="false">IFERROR(IF([2]对账明细接口!$F$662=0,"",[2]对账明细接口!$F$662),"")</f>
        <v/>
      </c>
      <c r="G662" s="59" t="str">
        <f aca="false">IFERROR(IF([2]对账明细接口!$G$662=0,"",[2]对账明细接口!$G$662),"")</f>
        <v/>
      </c>
      <c r="H662" s="60" t="str">
        <f aca="false">IFERROR(IF([2]对账明细接口!$H$662=0,"",[2]对账明细接口!$H$662),"")</f>
        <v/>
      </c>
      <c r="I662" s="59" t="str">
        <f aca="false">IFERROR(IF([2]对账明细接口!$I$662=0,"",[2]对账明细接口!$I$662),"")</f>
        <v/>
      </c>
      <c r="J662" s="61" t="str">
        <f aca="false">IFERROR(IF([2]对账明细接口!$J$662=0,"",[2]对账明细接口!$J$662),"")</f>
        <v/>
      </c>
      <c r="K662" s="61" t="str">
        <f aca="false">IFERROR(IF([2]对账明细接口!$K$662=0,"",[2]对账明细接口!$K$662),"")</f>
        <v/>
      </c>
      <c r="L662" s="59" t="str">
        <f aca="false">IFERROR(IF([2]对账明细接口!$L$662=0,"",[2]对账明细接口!$L$662),"")</f>
        <v/>
      </c>
      <c r="M662" s="59" t="str">
        <f aca="false">IFERROR(IF([2]对账明细接口!$M$662=0,"",[2]对账明细接口!$M$662),"")</f>
        <v/>
      </c>
      <c r="N662" s="111" t="n">
        <f aca="false">IF($C662="",0,1)</f>
        <v>0</v>
      </c>
      <c r="O662" s="111" t="n">
        <f aca="false">N(O661)+$N662</f>
        <v>311</v>
      </c>
      <c r="S662" s="10" t="str">
        <f aca="false">IFERROR(IF([2]对账明细接口!$N662=0,"",[2]对账明细接口!$N662),"")</f>
        <v/>
      </c>
      <c r="T662" s="112" t="str">
        <f aca="false">IFERROR(IF([2]对账明细接口!$O662=0,"",[2]对账明细接口!$O662),"")</f>
        <v/>
      </c>
      <c r="U662" s="112" t="str">
        <f aca="false">IFERROR(IF([2]对账明细接口!$P662=0,"",[2]对账明细接口!$P662),"")</f>
        <v/>
      </c>
      <c r="V662" s="112" t="str">
        <f aca="false">IFERROR(IF([2]对账明细接口!$Q662=0,"",[2]对账明细接口!$Q662),"")</f>
        <v/>
      </c>
      <c r="W662" s="10" t="str">
        <f aca="false">IFERROR(IF([2]对账明细接口!$R662=0,"",[2]对账明细接口!$R662),"")</f>
        <v/>
      </c>
      <c r="X662" s="10" t="str">
        <f aca="false">IFERROR(IF([2]对账明细接口!$S662=0,"",[2]对账明细接口!$S662),"")</f>
        <v/>
      </c>
      <c r="Y662" s="10" t="str">
        <f aca="false">IFERROR(IF([2]对账明细接口!$T662=0,"",[2]对账明细接口!$T662),"")</f>
        <v/>
      </c>
      <c r="Z662" s="113" t="str">
        <f aca="false">IFERROR(IF([2]对账明细接口!$U662=0,"",[2]对账明细接口!$U662),"")</f>
        <v/>
      </c>
      <c r="AA662" s="113" t="str">
        <f aca="false">IFERROR(IF([2]对账明细接口!$V662=0,"",[2]对账明细接口!$V662),"")</f>
        <v/>
      </c>
      <c r="AB662" s="10" t="str">
        <f aca="false">IFERROR(IF([2]对账明细接口!$W662=0,"",[2]对账明细接口!$W662),"")</f>
        <v/>
      </c>
      <c r="AC662" s="90" t="str">
        <f aca="false">IFERROR(IF([2]对账明细接口!$X663=0,"",[2]对账明细接口!$X663),"")</f>
        <v/>
      </c>
      <c r="AD662" s="90" t="str">
        <f aca="false">IFERROR(IF([2]对账明细接口!$Y663=0,"",[2]对账明细接口!$Y663),"")</f>
        <v/>
      </c>
      <c r="AE662" s="90" t="str">
        <f aca="false">IFERROR(IF([2]对账明细接口!$AA663=0,"",[2]对账明细接口!$AA663),"")</f>
        <v/>
      </c>
      <c r="AF662" s="90" t="str">
        <f aca="false">IFERROR(IF([2]对账明细接口!$AB663=0,"",[2]对账明细接口!$AB663),"")</f>
        <v/>
      </c>
      <c r="AG662" s="90" t="str">
        <f aca="false">IFERROR(IF([2]对账明细接口!$AC663=0,"",[2]对账明细接口!$AC663),"")</f>
        <v/>
      </c>
      <c r="AH662" s="90" t="str">
        <f aca="false">IFERROR(IF([2]对账明细接口!$AD663=0,"",[2]对账明细接口!$AD663),"")</f>
        <v/>
      </c>
    </row>
    <row r="663" customFormat="false" ht="13.5" hidden="false" customHeight="false" outlineLevel="0" collapsed="false">
      <c r="A663" s="109" t="n">
        <v>663</v>
      </c>
      <c r="B663" s="110" t="str">
        <f aca="false">IFERROR(IF([2]对账明细接口!$B$663=0,"",[2]对账明细接口!$B$663),"")</f>
        <v/>
      </c>
      <c r="C663" s="59" t="str">
        <f aca="false">IFERROR(IF([2]对账明细接口!$C$663=0,"",[2]对账明细接口!$C$663),"")</f>
        <v/>
      </c>
      <c r="D663" s="59" t="str">
        <f aca="false">IFERROR(IF([2]对账明细接口!$D$663=0,"",[2]对账明细接口!$D$663),"")</f>
        <v/>
      </c>
      <c r="E663" s="59" t="str">
        <f aca="false">IFERROR(IF([2]对账明细接口!$E$663=0,"",[2]对账明细接口!$E$663),"")</f>
        <v/>
      </c>
      <c r="F663" s="59" t="str">
        <f aca="false">IFERROR(IF([2]对账明细接口!$F$663=0,"",[2]对账明细接口!$F$663),"")</f>
        <v/>
      </c>
      <c r="G663" s="59" t="str">
        <f aca="false">IFERROR(IF([2]对账明细接口!$G$663=0,"",[2]对账明细接口!$G$663),"")</f>
        <v/>
      </c>
      <c r="H663" s="60" t="str">
        <f aca="false">IFERROR(IF([2]对账明细接口!$H$663=0,"",[2]对账明细接口!$H$663),"")</f>
        <v/>
      </c>
      <c r="I663" s="59" t="str">
        <f aca="false">IFERROR(IF([2]对账明细接口!$I$663=0,"",[2]对账明细接口!$I$663),"")</f>
        <v/>
      </c>
      <c r="J663" s="61" t="str">
        <f aca="false">IFERROR(IF([2]对账明细接口!$J$663=0,"",[2]对账明细接口!$J$663),"")</f>
        <v/>
      </c>
      <c r="K663" s="61" t="str">
        <f aca="false">IFERROR(IF([2]对账明细接口!$K$663=0,"",[2]对账明细接口!$K$663),"")</f>
        <v/>
      </c>
      <c r="L663" s="59" t="str">
        <f aca="false">IFERROR(IF([2]对账明细接口!$L$663=0,"",[2]对账明细接口!$L$663),"")</f>
        <v/>
      </c>
      <c r="M663" s="59" t="str">
        <f aca="false">IFERROR(IF([2]对账明细接口!$M$663=0,"",[2]对账明细接口!$M$663),"")</f>
        <v/>
      </c>
      <c r="N663" s="111" t="n">
        <f aca="false">IF($C663="",0,1)</f>
        <v>0</v>
      </c>
      <c r="O663" s="111" t="n">
        <f aca="false">N(O662)+$N663</f>
        <v>311</v>
      </c>
      <c r="S663" s="10" t="str">
        <f aca="false">IFERROR(IF([2]对账明细接口!$N663=0,"",[2]对账明细接口!$N663),"")</f>
        <v/>
      </c>
      <c r="T663" s="112" t="str">
        <f aca="false">IFERROR(IF([2]对账明细接口!$O663=0,"",[2]对账明细接口!$O663),"")</f>
        <v/>
      </c>
      <c r="U663" s="112" t="str">
        <f aca="false">IFERROR(IF([2]对账明细接口!$P663=0,"",[2]对账明细接口!$P663),"")</f>
        <v/>
      </c>
      <c r="V663" s="112" t="str">
        <f aca="false">IFERROR(IF([2]对账明细接口!$Q663=0,"",[2]对账明细接口!$Q663),"")</f>
        <v/>
      </c>
      <c r="W663" s="10" t="str">
        <f aca="false">IFERROR(IF([2]对账明细接口!$R663=0,"",[2]对账明细接口!$R663),"")</f>
        <v/>
      </c>
      <c r="X663" s="10" t="str">
        <f aca="false">IFERROR(IF([2]对账明细接口!$S663=0,"",[2]对账明细接口!$S663),"")</f>
        <v/>
      </c>
      <c r="Y663" s="10" t="str">
        <f aca="false">IFERROR(IF([2]对账明细接口!$T663=0,"",[2]对账明细接口!$T663),"")</f>
        <v/>
      </c>
      <c r="Z663" s="113" t="str">
        <f aca="false">IFERROR(IF([2]对账明细接口!$U663=0,"",[2]对账明细接口!$U663),"")</f>
        <v/>
      </c>
      <c r="AA663" s="113" t="str">
        <f aca="false">IFERROR(IF([2]对账明细接口!$V663=0,"",[2]对账明细接口!$V663),"")</f>
        <v/>
      </c>
      <c r="AB663" s="10" t="str">
        <f aca="false">IFERROR(IF([2]对账明细接口!$W663=0,"",[2]对账明细接口!$W663),"")</f>
        <v/>
      </c>
      <c r="AC663" s="90" t="str">
        <f aca="false">IFERROR(IF([2]对账明细接口!$X664=0,"",[2]对账明细接口!$X664),"")</f>
        <v/>
      </c>
      <c r="AD663" s="90" t="str">
        <f aca="false">IFERROR(IF([2]对账明细接口!$Y664=0,"",[2]对账明细接口!$Y664),"")</f>
        <v/>
      </c>
      <c r="AE663" s="90" t="str">
        <f aca="false">IFERROR(IF([2]对账明细接口!$AA664=0,"",[2]对账明细接口!$AA664),"")</f>
        <v/>
      </c>
      <c r="AF663" s="90" t="str">
        <f aca="false">IFERROR(IF([2]对账明细接口!$AB664=0,"",[2]对账明细接口!$AB664),"")</f>
        <v/>
      </c>
      <c r="AG663" s="90" t="str">
        <f aca="false">IFERROR(IF([2]对账明细接口!$AC664=0,"",[2]对账明细接口!$AC664),"")</f>
        <v/>
      </c>
      <c r="AH663" s="90" t="str">
        <f aca="false">IFERROR(IF([2]对账明细接口!$AD664=0,"",[2]对账明细接口!$AD664),"")</f>
        <v/>
      </c>
    </row>
    <row r="664" customFormat="false" ht="13.5" hidden="false" customHeight="false" outlineLevel="0" collapsed="false">
      <c r="A664" s="109" t="n">
        <v>664</v>
      </c>
      <c r="B664" s="110" t="str">
        <f aca="false">IFERROR(IF([2]对账明细接口!$B$664=0,"",[2]对账明细接口!$B$664),"")</f>
        <v/>
      </c>
      <c r="C664" s="59" t="str">
        <f aca="false">IFERROR(IF([2]对账明细接口!$C$664=0,"",[2]对账明细接口!$C$664),"")</f>
        <v/>
      </c>
      <c r="D664" s="59" t="str">
        <f aca="false">IFERROR(IF([2]对账明细接口!$D$664=0,"",[2]对账明细接口!$D$664),"")</f>
        <v/>
      </c>
      <c r="E664" s="59" t="str">
        <f aca="false">IFERROR(IF([2]对账明细接口!$E$664=0,"",[2]对账明细接口!$E$664),"")</f>
        <v/>
      </c>
      <c r="F664" s="59" t="str">
        <f aca="false">IFERROR(IF([2]对账明细接口!$F$664=0,"",[2]对账明细接口!$F$664),"")</f>
        <v/>
      </c>
      <c r="G664" s="59" t="str">
        <f aca="false">IFERROR(IF([2]对账明细接口!$G$664=0,"",[2]对账明细接口!$G$664),"")</f>
        <v/>
      </c>
      <c r="H664" s="60" t="str">
        <f aca="false">IFERROR(IF([2]对账明细接口!$H$664=0,"",[2]对账明细接口!$H$664),"")</f>
        <v/>
      </c>
      <c r="I664" s="59" t="str">
        <f aca="false">IFERROR(IF([2]对账明细接口!$I$664=0,"",[2]对账明细接口!$I$664),"")</f>
        <v/>
      </c>
      <c r="J664" s="61" t="str">
        <f aca="false">IFERROR(IF([2]对账明细接口!$J$664=0,"",[2]对账明细接口!$J$664),"")</f>
        <v/>
      </c>
      <c r="K664" s="61" t="str">
        <f aca="false">IFERROR(IF([2]对账明细接口!$K$664=0,"",[2]对账明细接口!$K$664),"")</f>
        <v/>
      </c>
      <c r="L664" s="59" t="str">
        <f aca="false">IFERROR(IF([2]对账明细接口!$L$664=0,"",[2]对账明细接口!$L$664),"")</f>
        <v/>
      </c>
      <c r="M664" s="59" t="str">
        <f aca="false">IFERROR(IF([2]对账明细接口!$M$664=0,"",[2]对账明细接口!$M$664),"")</f>
        <v/>
      </c>
      <c r="N664" s="111" t="n">
        <f aca="false">IF($C664="",0,1)</f>
        <v>0</v>
      </c>
      <c r="O664" s="111" t="n">
        <f aca="false">N(O663)+$N664</f>
        <v>311</v>
      </c>
      <c r="S664" s="10" t="str">
        <f aca="false">IFERROR(IF([2]对账明细接口!$N664=0,"",[2]对账明细接口!$N664),"")</f>
        <v/>
      </c>
      <c r="T664" s="112" t="str">
        <f aca="false">IFERROR(IF([2]对账明细接口!$O664=0,"",[2]对账明细接口!$O664),"")</f>
        <v/>
      </c>
      <c r="U664" s="112" t="str">
        <f aca="false">IFERROR(IF([2]对账明细接口!$P664=0,"",[2]对账明细接口!$P664),"")</f>
        <v/>
      </c>
      <c r="V664" s="112" t="str">
        <f aca="false">IFERROR(IF([2]对账明细接口!$Q664=0,"",[2]对账明细接口!$Q664),"")</f>
        <v/>
      </c>
      <c r="W664" s="10" t="str">
        <f aca="false">IFERROR(IF([2]对账明细接口!$R664=0,"",[2]对账明细接口!$R664),"")</f>
        <v/>
      </c>
      <c r="X664" s="10" t="str">
        <f aca="false">IFERROR(IF([2]对账明细接口!$S664=0,"",[2]对账明细接口!$S664),"")</f>
        <v/>
      </c>
      <c r="Y664" s="10" t="str">
        <f aca="false">IFERROR(IF([2]对账明细接口!$T664=0,"",[2]对账明细接口!$T664),"")</f>
        <v/>
      </c>
      <c r="Z664" s="113" t="str">
        <f aca="false">IFERROR(IF([2]对账明细接口!$U664=0,"",[2]对账明细接口!$U664),"")</f>
        <v/>
      </c>
      <c r="AA664" s="113" t="str">
        <f aca="false">IFERROR(IF([2]对账明细接口!$V664=0,"",[2]对账明细接口!$V664),"")</f>
        <v/>
      </c>
      <c r="AB664" s="10" t="str">
        <f aca="false">IFERROR(IF([2]对账明细接口!$W664=0,"",[2]对账明细接口!$W664),"")</f>
        <v/>
      </c>
      <c r="AC664" s="90" t="str">
        <f aca="false">IFERROR(IF([2]对账明细接口!$X665=0,"",[2]对账明细接口!$X665),"")</f>
        <v/>
      </c>
      <c r="AD664" s="90" t="str">
        <f aca="false">IFERROR(IF([2]对账明细接口!$Y665=0,"",[2]对账明细接口!$Y665),"")</f>
        <v/>
      </c>
      <c r="AE664" s="90" t="str">
        <f aca="false">IFERROR(IF([2]对账明细接口!$AA665=0,"",[2]对账明细接口!$AA665),"")</f>
        <v/>
      </c>
      <c r="AF664" s="90" t="str">
        <f aca="false">IFERROR(IF([2]对账明细接口!$AB665=0,"",[2]对账明细接口!$AB665),"")</f>
        <v/>
      </c>
      <c r="AG664" s="90" t="str">
        <f aca="false">IFERROR(IF([2]对账明细接口!$AC665=0,"",[2]对账明细接口!$AC665),"")</f>
        <v/>
      </c>
      <c r="AH664" s="90" t="str">
        <f aca="false">IFERROR(IF([2]对账明细接口!$AD665=0,"",[2]对账明细接口!$AD665),"")</f>
        <v/>
      </c>
    </row>
    <row r="665" customFormat="false" ht="13.5" hidden="false" customHeight="false" outlineLevel="0" collapsed="false">
      <c r="A665" s="109" t="n">
        <v>665</v>
      </c>
      <c r="B665" s="110" t="str">
        <f aca="false">IFERROR(IF([2]对账明细接口!$B$665=0,"",[2]对账明细接口!$B$665),"")</f>
        <v/>
      </c>
      <c r="C665" s="59" t="str">
        <f aca="false">IFERROR(IF([2]对账明细接口!$C$665=0,"",[2]对账明细接口!$C$665),"")</f>
        <v/>
      </c>
      <c r="D665" s="59" t="str">
        <f aca="false">IFERROR(IF([2]对账明细接口!$D$665=0,"",[2]对账明细接口!$D$665),"")</f>
        <v/>
      </c>
      <c r="E665" s="59" t="str">
        <f aca="false">IFERROR(IF([2]对账明细接口!$E$665=0,"",[2]对账明细接口!$E$665),"")</f>
        <v/>
      </c>
      <c r="F665" s="59" t="str">
        <f aca="false">IFERROR(IF([2]对账明细接口!$F$665=0,"",[2]对账明细接口!$F$665),"")</f>
        <v/>
      </c>
      <c r="G665" s="59" t="str">
        <f aca="false">IFERROR(IF([2]对账明细接口!$G$665=0,"",[2]对账明细接口!$G$665),"")</f>
        <v/>
      </c>
      <c r="H665" s="60" t="str">
        <f aca="false">IFERROR(IF([2]对账明细接口!$H$665=0,"",[2]对账明细接口!$H$665),"")</f>
        <v/>
      </c>
      <c r="I665" s="59" t="str">
        <f aca="false">IFERROR(IF([2]对账明细接口!$I$665=0,"",[2]对账明细接口!$I$665),"")</f>
        <v/>
      </c>
      <c r="J665" s="61" t="str">
        <f aca="false">IFERROR(IF([2]对账明细接口!$J$665=0,"",[2]对账明细接口!$J$665),"")</f>
        <v/>
      </c>
      <c r="K665" s="61" t="str">
        <f aca="false">IFERROR(IF([2]对账明细接口!$K$665=0,"",[2]对账明细接口!$K$665),"")</f>
        <v/>
      </c>
      <c r="L665" s="59" t="str">
        <f aca="false">IFERROR(IF([2]对账明细接口!$L$665=0,"",[2]对账明细接口!$L$665),"")</f>
        <v/>
      </c>
      <c r="M665" s="59" t="str">
        <f aca="false">IFERROR(IF([2]对账明细接口!$M$665=0,"",[2]对账明细接口!$M$665),"")</f>
        <v/>
      </c>
      <c r="N665" s="111" t="n">
        <f aca="false">IF($C665="",0,1)</f>
        <v>0</v>
      </c>
      <c r="O665" s="111" t="n">
        <f aca="false">N(O664)+$N665</f>
        <v>311</v>
      </c>
      <c r="S665" s="10" t="str">
        <f aca="false">IFERROR(IF([2]对账明细接口!$N665=0,"",[2]对账明细接口!$N665),"")</f>
        <v/>
      </c>
      <c r="T665" s="112" t="str">
        <f aca="false">IFERROR(IF([2]对账明细接口!$O665=0,"",[2]对账明细接口!$O665),"")</f>
        <v/>
      </c>
      <c r="U665" s="112" t="str">
        <f aca="false">IFERROR(IF([2]对账明细接口!$P665=0,"",[2]对账明细接口!$P665),"")</f>
        <v/>
      </c>
      <c r="V665" s="112" t="str">
        <f aca="false">IFERROR(IF([2]对账明细接口!$Q665=0,"",[2]对账明细接口!$Q665),"")</f>
        <v/>
      </c>
      <c r="W665" s="10" t="str">
        <f aca="false">IFERROR(IF([2]对账明细接口!$R665=0,"",[2]对账明细接口!$R665),"")</f>
        <v/>
      </c>
      <c r="X665" s="10" t="str">
        <f aca="false">IFERROR(IF([2]对账明细接口!$S665=0,"",[2]对账明细接口!$S665),"")</f>
        <v/>
      </c>
      <c r="Y665" s="10" t="str">
        <f aca="false">IFERROR(IF([2]对账明细接口!$T665=0,"",[2]对账明细接口!$T665),"")</f>
        <v/>
      </c>
      <c r="Z665" s="113" t="str">
        <f aca="false">IFERROR(IF([2]对账明细接口!$U665=0,"",[2]对账明细接口!$U665),"")</f>
        <v/>
      </c>
      <c r="AA665" s="113" t="str">
        <f aca="false">IFERROR(IF([2]对账明细接口!$V665=0,"",[2]对账明细接口!$V665),"")</f>
        <v/>
      </c>
      <c r="AB665" s="10" t="str">
        <f aca="false">IFERROR(IF([2]对账明细接口!$W665=0,"",[2]对账明细接口!$W665),"")</f>
        <v/>
      </c>
      <c r="AC665" s="90" t="str">
        <f aca="false">IFERROR(IF([2]对账明细接口!$X666=0,"",[2]对账明细接口!$X666),"")</f>
        <v/>
      </c>
      <c r="AD665" s="90" t="str">
        <f aca="false">IFERROR(IF([2]对账明细接口!$Y666=0,"",[2]对账明细接口!$Y666),"")</f>
        <v/>
      </c>
      <c r="AE665" s="90" t="str">
        <f aca="false">IFERROR(IF([2]对账明细接口!$AA666=0,"",[2]对账明细接口!$AA666),"")</f>
        <v/>
      </c>
      <c r="AF665" s="90" t="str">
        <f aca="false">IFERROR(IF([2]对账明细接口!$AB666=0,"",[2]对账明细接口!$AB666),"")</f>
        <v/>
      </c>
      <c r="AG665" s="90" t="str">
        <f aca="false">IFERROR(IF([2]对账明细接口!$AC666=0,"",[2]对账明细接口!$AC666),"")</f>
        <v/>
      </c>
      <c r="AH665" s="90" t="str">
        <f aca="false">IFERROR(IF([2]对账明细接口!$AD666=0,"",[2]对账明细接口!$AD666),"")</f>
        <v/>
      </c>
    </row>
    <row r="666" customFormat="false" ht="13.5" hidden="false" customHeight="false" outlineLevel="0" collapsed="false">
      <c r="A666" s="109" t="n">
        <v>666</v>
      </c>
      <c r="B666" s="110" t="str">
        <f aca="false">IFERROR(IF([2]对账明细接口!$B$666=0,"",[2]对账明细接口!$B$666),"")</f>
        <v/>
      </c>
      <c r="C666" s="59" t="str">
        <f aca="false">IFERROR(IF([2]对账明细接口!$C$666=0,"",[2]对账明细接口!$C$666),"")</f>
        <v/>
      </c>
      <c r="D666" s="59" t="str">
        <f aca="false">IFERROR(IF([2]对账明细接口!$D$666=0,"",[2]对账明细接口!$D$666),"")</f>
        <v/>
      </c>
      <c r="E666" s="59" t="str">
        <f aca="false">IFERROR(IF([2]对账明细接口!$E$666=0,"",[2]对账明细接口!$E$666),"")</f>
        <v/>
      </c>
      <c r="F666" s="59" t="str">
        <f aca="false">IFERROR(IF([2]对账明细接口!$F$666=0,"",[2]对账明细接口!$F$666),"")</f>
        <v/>
      </c>
      <c r="G666" s="59" t="str">
        <f aca="false">IFERROR(IF([2]对账明细接口!$G$666=0,"",[2]对账明细接口!$G$666),"")</f>
        <v/>
      </c>
      <c r="H666" s="60" t="str">
        <f aca="false">IFERROR(IF([2]对账明细接口!$H$666=0,"",[2]对账明细接口!$H$666),"")</f>
        <v/>
      </c>
      <c r="I666" s="59" t="str">
        <f aca="false">IFERROR(IF([2]对账明细接口!$I$666=0,"",[2]对账明细接口!$I$666),"")</f>
        <v/>
      </c>
      <c r="J666" s="61" t="str">
        <f aca="false">IFERROR(IF([2]对账明细接口!$J$666=0,"",[2]对账明细接口!$J$666),"")</f>
        <v/>
      </c>
      <c r="K666" s="61" t="str">
        <f aca="false">IFERROR(IF([2]对账明细接口!$K$666=0,"",[2]对账明细接口!$K$666),"")</f>
        <v/>
      </c>
      <c r="L666" s="59" t="str">
        <f aca="false">IFERROR(IF([2]对账明细接口!$L$666=0,"",[2]对账明细接口!$L$666),"")</f>
        <v/>
      </c>
      <c r="M666" s="59" t="str">
        <f aca="false">IFERROR(IF([2]对账明细接口!$M$666=0,"",[2]对账明细接口!$M$666),"")</f>
        <v/>
      </c>
      <c r="N666" s="111" t="n">
        <f aca="false">IF($C666="",0,1)</f>
        <v>0</v>
      </c>
      <c r="O666" s="111" t="n">
        <f aca="false">N(O665)+$N666</f>
        <v>311</v>
      </c>
      <c r="S666" s="10" t="str">
        <f aca="false">IFERROR(IF([2]对账明细接口!$N666=0,"",[2]对账明细接口!$N666),"")</f>
        <v/>
      </c>
      <c r="T666" s="112" t="str">
        <f aca="false">IFERROR(IF([2]对账明细接口!$O666=0,"",[2]对账明细接口!$O666),"")</f>
        <v/>
      </c>
      <c r="U666" s="112" t="str">
        <f aca="false">IFERROR(IF([2]对账明细接口!$P666=0,"",[2]对账明细接口!$P666),"")</f>
        <v/>
      </c>
      <c r="V666" s="112" t="str">
        <f aca="false">IFERROR(IF([2]对账明细接口!$Q666=0,"",[2]对账明细接口!$Q666),"")</f>
        <v/>
      </c>
      <c r="W666" s="10" t="str">
        <f aca="false">IFERROR(IF([2]对账明细接口!$R666=0,"",[2]对账明细接口!$R666),"")</f>
        <v/>
      </c>
      <c r="X666" s="10" t="str">
        <f aca="false">IFERROR(IF([2]对账明细接口!$S666=0,"",[2]对账明细接口!$S666),"")</f>
        <v/>
      </c>
      <c r="Y666" s="10" t="str">
        <f aca="false">IFERROR(IF([2]对账明细接口!$T666=0,"",[2]对账明细接口!$T666),"")</f>
        <v/>
      </c>
      <c r="Z666" s="113" t="str">
        <f aca="false">IFERROR(IF([2]对账明细接口!$U666=0,"",[2]对账明细接口!$U666),"")</f>
        <v/>
      </c>
      <c r="AA666" s="113" t="str">
        <f aca="false">IFERROR(IF([2]对账明细接口!$V666=0,"",[2]对账明细接口!$V666),"")</f>
        <v/>
      </c>
      <c r="AB666" s="10" t="str">
        <f aca="false">IFERROR(IF([2]对账明细接口!$W666=0,"",[2]对账明细接口!$W666),"")</f>
        <v/>
      </c>
      <c r="AC666" s="90" t="str">
        <f aca="false">IFERROR(IF([2]对账明细接口!$X667=0,"",[2]对账明细接口!$X667),"")</f>
        <v/>
      </c>
      <c r="AD666" s="90" t="str">
        <f aca="false">IFERROR(IF([2]对账明细接口!$Y667=0,"",[2]对账明细接口!$Y667),"")</f>
        <v/>
      </c>
      <c r="AE666" s="90" t="str">
        <f aca="false">IFERROR(IF([2]对账明细接口!$AA667=0,"",[2]对账明细接口!$AA667),"")</f>
        <v/>
      </c>
      <c r="AF666" s="90" t="str">
        <f aca="false">IFERROR(IF([2]对账明细接口!$AB667=0,"",[2]对账明细接口!$AB667),"")</f>
        <v/>
      </c>
      <c r="AG666" s="90" t="str">
        <f aca="false">IFERROR(IF([2]对账明细接口!$AC667=0,"",[2]对账明细接口!$AC667),"")</f>
        <v/>
      </c>
      <c r="AH666" s="90" t="str">
        <f aca="false">IFERROR(IF([2]对账明细接口!$AD667=0,"",[2]对账明细接口!$AD667),"")</f>
        <v/>
      </c>
    </row>
    <row r="667" customFormat="false" ht="13.5" hidden="false" customHeight="false" outlineLevel="0" collapsed="false">
      <c r="A667" s="109" t="n">
        <v>667</v>
      </c>
      <c r="B667" s="110" t="str">
        <f aca="false">IFERROR(IF([2]对账明细接口!$B$667=0,"",[2]对账明细接口!$B$667),"")</f>
        <v/>
      </c>
      <c r="C667" s="59" t="str">
        <f aca="false">IFERROR(IF([2]对账明细接口!$C$667=0,"",[2]对账明细接口!$C$667),"")</f>
        <v/>
      </c>
      <c r="D667" s="59" t="str">
        <f aca="false">IFERROR(IF([2]对账明细接口!$D$667=0,"",[2]对账明细接口!$D$667),"")</f>
        <v/>
      </c>
      <c r="E667" s="59" t="str">
        <f aca="false">IFERROR(IF([2]对账明细接口!$E$667=0,"",[2]对账明细接口!$E$667),"")</f>
        <v/>
      </c>
      <c r="F667" s="59" t="str">
        <f aca="false">IFERROR(IF([2]对账明细接口!$F$667=0,"",[2]对账明细接口!$F$667),"")</f>
        <v/>
      </c>
      <c r="G667" s="59" t="str">
        <f aca="false">IFERROR(IF([2]对账明细接口!$G$667=0,"",[2]对账明细接口!$G$667),"")</f>
        <v/>
      </c>
      <c r="H667" s="60" t="str">
        <f aca="false">IFERROR(IF([2]对账明细接口!$H$667=0,"",[2]对账明细接口!$H$667),"")</f>
        <v/>
      </c>
      <c r="I667" s="59" t="str">
        <f aca="false">IFERROR(IF([2]对账明细接口!$I$667=0,"",[2]对账明细接口!$I$667),"")</f>
        <v/>
      </c>
      <c r="J667" s="61" t="str">
        <f aca="false">IFERROR(IF([2]对账明细接口!$J$667=0,"",[2]对账明细接口!$J$667),"")</f>
        <v/>
      </c>
      <c r="K667" s="61" t="str">
        <f aca="false">IFERROR(IF([2]对账明细接口!$K$667=0,"",[2]对账明细接口!$K$667),"")</f>
        <v/>
      </c>
      <c r="L667" s="59" t="str">
        <f aca="false">IFERROR(IF([2]对账明细接口!$L$667=0,"",[2]对账明细接口!$L$667),"")</f>
        <v/>
      </c>
      <c r="M667" s="59" t="str">
        <f aca="false">IFERROR(IF([2]对账明细接口!$M$667=0,"",[2]对账明细接口!$M$667),"")</f>
        <v/>
      </c>
      <c r="N667" s="111" t="n">
        <f aca="false">IF($C667="",0,1)</f>
        <v>0</v>
      </c>
      <c r="O667" s="111" t="n">
        <f aca="false">N(O666)+$N667</f>
        <v>311</v>
      </c>
      <c r="S667" s="10" t="str">
        <f aca="false">IFERROR(IF([2]对账明细接口!$N667=0,"",[2]对账明细接口!$N667),"")</f>
        <v/>
      </c>
      <c r="T667" s="112" t="str">
        <f aca="false">IFERROR(IF([2]对账明细接口!$O667=0,"",[2]对账明细接口!$O667),"")</f>
        <v/>
      </c>
      <c r="U667" s="112" t="str">
        <f aca="false">IFERROR(IF([2]对账明细接口!$P667=0,"",[2]对账明细接口!$P667),"")</f>
        <v/>
      </c>
      <c r="V667" s="112" t="str">
        <f aca="false">IFERROR(IF([2]对账明细接口!$Q667=0,"",[2]对账明细接口!$Q667),"")</f>
        <v/>
      </c>
      <c r="W667" s="10" t="str">
        <f aca="false">IFERROR(IF([2]对账明细接口!$R667=0,"",[2]对账明细接口!$R667),"")</f>
        <v/>
      </c>
      <c r="X667" s="10" t="str">
        <f aca="false">IFERROR(IF([2]对账明细接口!$S667=0,"",[2]对账明细接口!$S667),"")</f>
        <v/>
      </c>
      <c r="Y667" s="10" t="str">
        <f aca="false">IFERROR(IF([2]对账明细接口!$T667=0,"",[2]对账明细接口!$T667),"")</f>
        <v/>
      </c>
      <c r="Z667" s="113" t="str">
        <f aca="false">IFERROR(IF([2]对账明细接口!$U667=0,"",[2]对账明细接口!$U667),"")</f>
        <v/>
      </c>
      <c r="AA667" s="113" t="str">
        <f aca="false">IFERROR(IF([2]对账明细接口!$V667=0,"",[2]对账明细接口!$V667),"")</f>
        <v/>
      </c>
      <c r="AB667" s="10" t="str">
        <f aca="false">IFERROR(IF([2]对账明细接口!$W667=0,"",[2]对账明细接口!$W667),"")</f>
        <v/>
      </c>
      <c r="AC667" s="90" t="str">
        <f aca="false">IFERROR(IF([2]对账明细接口!$X668=0,"",[2]对账明细接口!$X668),"")</f>
        <v/>
      </c>
      <c r="AD667" s="90" t="str">
        <f aca="false">IFERROR(IF([2]对账明细接口!$Y668=0,"",[2]对账明细接口!$Y668),"")</f>
        <v/>
      </c>
      <c r="AE667" s="90" t="str">
        <f aca="false">IFERROR(IF([2]对账明细接口!$AA668=0,"",[2]对账明细接口!$AA668),"")</f>
        <v/>
      </c>
      <c r="AF667" s="90" t="str">
        <f aca="false">IFERROR(IF([2]对账明细接口!$AB668=0,"",[2]对账明细接口!$AB668),"")</f>
        <v/>
      </c>
      <c r="AG667" s="90" t="str">
        <f aca="false">IFERROR(IF([2]对账明细接口!$AC668=0,"",[2]对账明细接口!$AC668),"")</f>
        <v/>
      </c>
      <c r="AH667" s="90" t="str">
        <f aca="false">IFERROR(IF([2]对账明细接口!$AD668=0,"",[2]对账明细接口!$AD668),"")</f>
        <v/>
      </c>
    </row>
    <row r="668" customFormat="false" ht="13.5" hidden="false" customHeight="false" outlineLevel="0" collapsed="false">
      <c r="A668" s="109" t="n">
        <v>668</v>
      </c>
      <c r="B668" s="110" t="str">
        <f aca="false">IFERROR(IF([2]对账明细接口!$B$668=0,"",[2]对账明细接口!$B$668),"")</f>
        <v/>
      </c>
      <c r="C668" s="59" t="str">
        <f aca="false">IFERROR(IF([2]对账明细接口!$C$668=0,"",[2]对账明细接口!$C$668),"")</f>
        <v/>
      </c>
      <c r="D668" s="59" t="str">
        <f aca="false">IFERROR(IF([2]对账明细接口!$D$668=0,"",[2]对账明细接口!$D$668),"")</f>
        <v/>
      </c>
      <c r="E668" s="59" t="str">
        <f aca="false">IFERROR(IF([2]对账明细接口!$E$668=0,"",[2]对账明细接口!$E$668),"")</f>
        <v/>
      </c>
      <c r="F668" s="59" t="str">
        <f aca="false">IFERROR(IF([2]对账明细接口!$F$668=0,"",[2]对账明细接口!$F$668),"")</f>
        <v/>
      </c>
      <c r="G668" s="59" t="str">
        <f aca="false">IFERROR(IF([2]对账明细接口!$G$668=0,"",[2]对账明细接口!$G$668),"")</f>
        <v/>
      </c>
      <c r="H668" s="60" t="str">
        <f aca="false">IFERROR(IF([2]对账明细接口!$H$668=0,"",[2]对账明细接口!$H$668),"")</f>
        <v/>
      </c>
      <c r="I668" s="59" t="str">
        <f aca="false">IFERROR(IF([2]对账明细接口!$I$668=0,"",[2]对账明细接口!$I$668),"")</f>
        <v/>
      </c>
      <c r="J668" s="61" t="str">
        <f aca="false">IFERROR(IF([2]对账明细接口!$J$668=0,"",[2]对账明细接口!$J$668),"")</f>
        <v/>
      </c>
      <c r="K668" s="61" t="str">
        <f aca="false">IFERROR(IF([2]对账明细接口!$K$668=0,"",[2]对账明细接口!$K$668),"")</f>
        <v/>
      </c>
      <c r="L668" s="59" t="str">
        <f aca="false">IFERROR(IF([2]对账明细接口!$L$668=0,"",[2]对账明细接口!$L$668),"")</f>
        <v/>
      </c>
      <c r="M668" s="59" t="str">
        <f aca="false">IFERROR(IF([2]对账明细接口!$M$668=0,"",[2]对账明细接口!$M$668),"")</f>
        <v/>
      </c>
      <c r="N668" s="111" t="n">
        <f aca="false">IF($C668="",0,1)</f>
        <v>0</v>
      </c>
      <c r="O668" s="111" t="n">
        <f aca="false">N(O667)+$N668</f>
        <v>311</v>
      </c>
      <c r="S668" s="10" t="str">
        <f aca="false">IFERROR(IF([2]对账明细接口!$N668=0,"",[2]对账明细接口!$N668),"")</f>
        <v/>
      </c>
      <c r="T668" s="112" t="str">
        <f aca="false">IFERROR(IF([2]对账明细接口!$O668=0,"",[2]对账明细接口!$O668),"")</f>
        <v/>
      </c>
      <c r="U668" s="112" t="str">
        <f aca="false">IFERROR(IF([2]对账明细接口!$P668=0,"",[2]对账明细接口!$P668),"")</f>
        <v/>
      </c>
      <c r="V668" s="112" t="str">
        <f aca="false">IFERROR(IF([2]对账明细接口!$Q668=0,"",[2]对账明细接口!$Q668),"")</f>
        <v/>
      </c>
      <c r="W668" s="10" t="str">
        <f aca="false">IFERROR(IF([2]对账明细接口!$R668=0,"",[2]对账明细接口!$R668),"")</f>
        <v/>
      </c>
      <c r="X668" s="10" t="str">
        <f aca="false">IFERROR(IF([2]对账明细接口!$S668=0,"",[2]对账明细接口!$S668),"")</f>
        <v/>
      </c>
      <c r="Y668" s="10" t="str">
        <f aca="false">IFERROR(IF([2]对账明细接口!$T668=0,"",[2]对账明细接口!$T668),"")</f>
        <v/>
      </c>
      <c r="Z668" s="113" t="str">
        <f aca="false">IFERROR(IF([2]对账明细接口!$U668=0,"",[2]对账明细接口!$U668),"")</f>
        <v/>
      </c>
      <c r="AA668" s="113" t="str">
        <f aca="false">IFERROR(IF([2]对账明细接口!$V668=0,"",[2]对账明细接口!$V668),"")</f>
        <v/>
      </c>
      <c r="AB668" s="10" t="str">
        <f aca="false">IFERROR(IF([2]对账明细接口!$W668=0,"",[2]对账明细接口!$W668),"")</f>
        <v/>
      </c>
      <c r="AC668" s="90" t="str">
        <f aca="false">IFERROR(IF([2]对账明细接口!$X669=0,"",[2]对账明细接口!$X669),"")</f>
        <v/>
      </c>
      <c r="AD668" s="90" t="str">
        <f aca="false">IFERROR(IF([2]对账明细接口!$Y669=0,"",[2]对账明细接口!$Y669),"")</f>
        <v/>
      </c>
      <c r="AE668" s="90" t="str">
        <f aca="false">IFERROR(IF([2]对账明细接口!$AA669=0,"",[2]对账明细接口!$AA669),"")</f>
        <v/>
      </c>
      <c r="AF668" s="90" t="str">
        <f aca="false">IFERROR(IF([2]对账明细接口!$AB669=0,"",[2]对账明细接口!$AB669),"")</f>
        <v/>
      </c>
      <c r="AG668" s="90" t="str">
        <f aca="false">IFERROR(IF([2]对账明细接口!$AC669=0,"",[2]对账明细接口!$AC669),"")</f>
        <v/>
      </c>
      <c r="AH668" s="90" t="str">
        <f aca="false">IFERROR(IF([2]对账明细接口!$AD669=0,"",[2]对账明细接口!$AD669),"")</f>
        <v/>
      </c>
    </row>
    <row r="669" customFormat="false" ht="13.5" hidden="false" customHeight="false" outlineLevel="0" collapsed="false">
      <c r="A669" s="109" t="n">
        <v>669</v>
      </c>
      <c r="B669" s="110" t="str">
        <f aca="false">IFERROR(IF([2]对账明细接口!$B$669=0,"",[2]对账明细接口!$B$669),"")</f>
        <v/>
      </c>
      <c r="C669" s="59" t="str">
        <f aca="false">IFERROR(IF([2]对账明细接口!$C$669=0,"",[2]对账明细接口!$C$669),"")</f>
        <v/>
      </c>
      <c r="D669" s="59" t="str">
        <f aca="false">IFERROR(IF([2]对账明细接口!$D$669=0,"",[2]对账明细接口!$D$669),"")</f>
        <v/>
      </c>
      <c r="E669" s="59" t="str">
        <f aca="false">IFERROR(IF([2]对账明细接口!$E$669=0,"",[2]对账明细接口!$E$669),"")</f>
        <v/>
      </c>
      <c r="F669" s="59" t="str">
        <f aca="false">IFERROR(IF([2]对账明细接口!$F$669=0,"",[2]对账明细接口!$F$669),"")</f>
        <v/>
      </c>
      <c r="G669" s="59" t="str">
        <f aca="false">IFERROR(IF([2]对账明细接口!$G$669=0,"",[2]对账明细接口!$G$669),"")</f>
        <v/>
      </c>
      <c r="H669" s="60" t="str">
        <f aca="false">IFERROR(IF([2]对账明细接口!$H$669=0,"",[2]对账明细接口!$H$669),"")</f>
        <v/>
      </c>
      <c r="I669" s="59" t="str">
        <f aca="false">IFERROR(IF([2]对账明细接口!$I$669=0,"",[2]对账明细接口!$I$669),"")</f>
        <v/>
      </c>
      <c r="J669" s="61" t="str">
        <f aca="false">IFERROR(IF([2]对账明细接口!$J$669=0,"",[2]对账明细接口!$J$669),"")</f>
        <v/>
      </c>
      <c r="K669" s="61" t="str">
        <f aca="false">IFERROR(IF([2]对账明细接口!$K$669=0,"",[2]对账明细接口!$K$669),"")</f>
        <v/>
      </c>
      <c r="L669" s="59" t="str">
        <f aca="false">IFERROR(IF([2]对账明细接口!$L$669=0,"",[2]对账明细接口!$L$669),"")</f>
        <v/>
      </c>
      <c r="M669" s="59" t="str">
        <f aca="false">IFERROR(IF([2]对账明细接口!$M$669=0,"",[2]对账明细接口!$M$669),"")</f>
        <v/>
      </c>
      <c r="N669" s="111" t="n">
        <f aca="false">IF($C669="",0,1)</f>
        <v>0</v>
      </c>
      <c r="O669" s="111" t="n">
        <f aca="false">N(O668)+$N669</f>
        <v>311</v>
      </c>
      <c r="S669" s="10" t="str">
        <f aca="false">IFERROR(IF([2]对账明细接口!$N669=0,"",[2]对账明细接口!$N669),"")</f>
        <v/>
      </c>
      <c r="T669" s="112" t="str">
        <f aca="false">IFERROR(IF([2]对账明细接口!$O669=0,"",[2]对账明细接口!$O669),"")</f>
        <v/>
      </c>
      <c r="U669" s="112" t="str">
        <f aca="false">IFERROR(IF([2]对账明细接口!$P669=0,"",[2]对账明细接口!$P669),"")</f>
        <v/>
      </c>
      <c r="V669" s="112" t="str">
        <f aca="false">IFERROR(IF([2]对账明细接口!$Q669=0,"",[2]对账明细接口!$Q669),"")</f>
        <v/>
      </c>
      <c r="W669" s="10" t="str">
        <f aca="false">IFERROR(IF([2]对账明细接口!$R669=0,"",[2]对账明细接口!$R669),"")</f>
        <v/>
      </c>
      <c r="X669" s="10" t="str">
        <f aca="false">IFERROR(IF([2]对账明细接口!$S669=0,"",[2]对账明细接口!$S669),"")</f>
        <v/>
      </c>
      <c r="Y669" s="10" t="str">
        <f aca="false">IFERROR(IF([2]对账明细接口!$T669=0,"",[2]对账明细接口!$T669),"")</f>
        <v/>
      </c>
      <c r="Z669" s="113" t="str">
        <f aca="false">IFERROR(IF([2]对账明细接口!$U669=0,"",[2]对账明细接口!$U669),"")</f>
        <v/>
      </c>
      <c r="AA669" s="113" t="str">
        <f aca="false">IFERROR(IF([2]对账明细接口!$V669=0,"",[2]对账明细接口!$V669),"")</f>
        <v/>
      </c>
      <c r="AB669" s="10" t="str">
        <f aca="false">IFERROR(IF([2]对账明细接口!$W669=0,"",[2]对账明细接口!$W669),"")</f>
        <v/>
      </c>
      <c r="AC669" s="90" t="str">
        <f aca="false">IFERROR(IF([2]对账明细接口!$X670=0,"",[2]对账明细接口!$X670),"")</f>
        <v/>
      </c>
      <c r="AD669" s="90" t="str">
        <f aca="false">IFERROR(IF([2]对账明细接口!$Y670=0,"",[2]对账明细接口!$Y670),"")</f>
        <v/>
      </c>
      <c r="AE669" s="90" t="str">
        <f aca="false">IFERROR(IF([2]对账明细接口!$AA670=0,"",[2]对账明细接口!$AA670),"")</f>
        <v/>
      </c>
      <c r="AF669" s="90" t="str">
        <f aca="false">IFERROR(IF([2]对账明细接口!$AB670=0,"",[2]对账明细接口!$AB670),"")</f>
        <v/>
      </c>
      <c r="AG669" s="90" t="str">
        <f aca="false">IFERROR(IF([2]对账明细接口!$AC670=0,"",[2]对账明细接口!$AC670),"")</f>
        <v/>
      </c>
      <c r="AH669" s="90" t="str">
        <f aca="false">IFERROR(IF([2]对账明细接口!$AD670=0,"",[2]对账明细接口!$AD670),"")</f>
        <v/>
      </c>
    </row>
    <row r="670" customFormat="false" ht="13.5" hidden="false" customHeight="false" outlineLevel="0" collapsed="false">
      <c r="A670" s="109" t="n">
        <v>670</v>
      </c>
      <c r="B670" s="110" t="str">
        <f aca="false">IFERROR(IF([2]对账明细接口!$B$670=0,"",[2]对账明细接口!$B$670),"")</f>
        <v/>
      </c>
      <c r="C670" s="59" t="str">
        <f aca="false">IFERROR(IF([2]对账明细接口!$C$670=0,"",[2]对账明细接口!$C$670),"")</f>
        <v/>
      </c>
      <c r="D670" s="59" t="str">
        <f aca="false">IFERROR(IF([2]对账明细接口!$D$670=0,"",[2]对账明细接口!$D$670),"")</f>
        <v/>
      </c>
      <c r="E670" s="59" t="str">
        <f aca="false">IFERROR(IF([2]对账明细接口!$E$670=0,"",[2]对账明细接口!$E$670),"")</f>
        <v/>
      </c>
      <c r="F670" s="59" t="str">
        <f aca="false">IFERROR(IF([2]对账明细接口!$F$670=0,"",[2]对账明细接口!$F$670),"")</f>
        <v/>
      </c>
      <c r="G670" s="59" t="str">
        <f aca="false">IFERROR(IF([2]对账明细接口!$G$670=0,"",[2]对账明细接口!$G$670),"")</f>
        <v/>
      </c>
      <c r="H670" s="60" t="str">
        <f aca="false">IFERROR(IF([2]对账明细接口!$H$670=0,"",[2]对账明细接口!$H$670),"")</f>
        <v/>
      </c>
      <c r="I670" s="59" t="str">
        <f aca="false">IFERROR(IF([2]对账明细接口!$I$670=0,"",[2]对账明细接口!$I$670),"")</f>
        <v/>
      </c>
      <c r="J670" s="61" t="str">
        <f aca="false">IFERROR(IF([2]对账明细接口!$J$670=0,"",[2]对账明细接口!$J$670),"")</f>
        <v/>
      </c>
      <c r="K670" s="61" t="str">
        <f aca="false">IFERROR(IF([2]对账明细接口!$K$670=0,"",[2]对账明细接口!$K$670),"")</f>
        <v/>
      </c>
      <c r="L670" s="59" t="str">
        <f aca="false">IFERROR(IF([2]对账明细接口!$L$670=0,"",[2]对账明细接口!$L$670),"")</f>
        <v/>
      </c>
      <c r="M670" s="59" t="str">
        <f aca="false">IFERROR(IF([2]对账明细接口!$M$670=0,"",[2]对账明细接口!$M$670),"")</f>
        <v/>
      </c>
      <c r="N670" s="111" t="n">
        <f aca="false">IF($C670="",0,1)</f>
        <v>0</v>
      </c>
      <c r="O670" s="111" t="n">
        <f aca="false">N(O669)+$N670</f>
        <v>311</v>
      </c>
      <c r="S670" s="10" t="str">
        <f aca="false">IFERROR(IF([2]对账明细接口!$N670=0,"",[2]对账明细接口!$N670),"")</f>
        <v/>
      </c>
      <c r="T670" s="112" t="str">
        <f aca="false">IFERROR(IF([2]对账明细接口!$O670=0,"",[2]对账明细接口!$O670),"")</f>
        <v/>
      </c>
      <c r="U670" s="112" t="str">
        <f aca="false">IFERROR(IF([2]对账明细接口!$P670=0,"",[2]对账明细接口!$P670),"")</f>
        <v/>
      </c>
      <c r="V670" s="112" t="str">
        <f aca="false">IFERROR(IF([2]对账明细接口!$Q670=0,"",[2]对账明细接口!$Q670),"")</f>
        <v/>
      </c>
      <c r="W670" s="10" t="str">
        <f aca="false">IFERROR(IF([2]对账明细接口!$R670=0,"",[2]对账明细接口!$R670),"")</f>
        <v/>
      </c>
      <c r="X670" s="10" t="str">
        <f aca="false">IFERROR(IF([2]对账明细接口!$S670=0,"",[2]对账明细接口!$S670),"")</f>
        <v/>
      </c>
      <c r="Y670" s="10" t="str">
        <f aca="false">IFERROR(IF([2]对账明细接口!$T670=0,"",[2]对账明细接口!$T670),"")</f>
        <v/>
      </c>
      <c r="Z670" s="113" t="str">
        <f aca="false">IFERROR(IF([2]对账明细接口!$U670=0,"",[2]对账明细接口!$U670),"")</f>
        <v/>
      </c>
      <c r="AA670" s="113" t="str">
        <f aca="false">IFERROR(IF([2]对账明细接口!$V670=0,"",[2]对账明细接口!$V670),"")</f>
        <v/>
      </c>
      <c r="AB670" s="10" t="str">
        <f aca="false">IFERROR(IF([2]对账明细接口!$W670=0,"",[2]对账明细接口!$W670),"")</f>
        <v/>
      </c>
      <c r="AC670" s="90" t="str">
        <f aca="false">IFERROR(IF([2]对账明细接口!$X671=0,"",[2]对账明细接口!$X671),"")</f>
        <v/>
      </c>
      <c r="AD670" s="90" t="str">
        <f aca="false">IFERROR(IF([2]对账明细接口!$Y671=0,"",[2]对账明细接口!$Y671),"")</f>
        <v/>
      </c>
      <c r="AE670" s="90" t="str">
        <f aca="false">IFERROR(IF([2]对账明细接口!$AA671=0,"",[2]对账明细接口!$AA671),"")</f>
        <v/>
      </c>
      <c r="AF670" s="90" t="str">
        <f aca="false">IFERROR(IF([2]对账明细接口!$AB671=0,"",[2]对账明细接口!$AB671),"")</f>
        <v/>
      </c>
      <c r="AG670" s="90" t="str">
        <f aca="false">IFERROR(IF([2]对账明细接口!$AC671=0,"",[2]对账明细接口!$AC671),"")</f>
        <v/>
      </c>
      <c r="AH670" s="90" t="str">
        <f aca="false">IFERROR(IF([2]对账明细接口!$AD671=0,"",[2]对账明细接口!$AD671),"")</f>
        <v/>
      </c>
    </row>
    <row r="671" customFormat="false" ht="13.5" hidden="false" customHeight="false" outlineLevel="0" collapsed="false">
      <c r="A671" s="109" t="n">
        <v>671</v>
      </c>
      <c r="B671" s="110" t="str">
        <f aca="false">IFERROR(IF([2]对账明细接口!$B$671=0,"",[2]对账明细接口!$B$671),"")</f>
        <v/>
      </c>
      <c r="C671" s="59" t="str">
        <f aca="false">IFERROR(IF([2]对账明细接口!$C$671=0,"",[2]对账明细接口!$C$671),"")</f>
        <v/>
      </c>
      <c r="D671" s="59" t="str">
        <f aca="false">IFERROR(IF([2]对账明细接口!$D$671=0,"",[2]对账明细接口!$D$671),"")</f>
        <v/>
      </c>
      <c r="E671" s="59" t="str">
        <f aca="false">IFERROR(IF([2]对账明细接口!$E$671=0,"",[2]对账明细接口!$E$671),"")</f>
        <v/>
      </c>
      <c r="F671" s="59" t="str">
        <f aca="false">IFERROR(IF([2]对账明细接口!$F$671=0,"",[2]对账明细接口!$F$671),"")</f>
        <v/>
      </c>
      <c r="G671" s="59" t="str">
        <f aca="false">IFERROR(IF([2]对账明细接口!$G$671=0,"",[2]对账明细接口!$G$671),"")</f>
        <v/>
      </c>
      <c r="H671" s="60" t="str">
        <f aca="false">IFERROR(IF([2]对账明细接口!$H$671=0,"",[2]对账明细接口!$H$671),"")</f>
        <v/>
      </c>
      <c r="I671" s="59" t="str">
        <f aca="false">IFERROR(IF([2]对账明细接口!$I$671=0,"",[2]对账明细接口!$I$671),"")</f>
        <v/>
      </c>
      <c r="J671" s="61" t="str">
        <f aca="false">IFERROR(IF([2]对账明细接口!$J$671=0,"",[2]对账明细接口!$J$671),"")</f>
        <v/>
      </c>
      <c r="K671" s="61" t="str">
        <f aca="false">IFERROR(IF([2]对账明细接口!$K$671=0,"",[2]对账明细接口!$K$671),"")</f>
        <v/>
      </c>
      <c r="L671" s="59" t="str">
        <f aca="false">IFERROR(IF([2]对账明细接口!$L$671=0,"",[2]对账明细接口!$L$671),"")</f>
        <v/>
      </c>
      <c r="M671" s="59" t="str">
        <f aca="false">IFERROR(IF([2]对账明细接口!$M$671=0,"",[2]对账明细接口!$M$671),"")</f>
        <v/>
      </c>
      <c r="N671" s="111" t="n">
        <f aca="false">IF($C671="",0,1)</f>
        <v>0</v>
      </c>
      <c r="O671" s="111" t="n">
        <f aca="false">N(O670)+$N671</f>
        <v>311</v>
      </c>
      <c r="S671" s="10" t="str">
        <f aca="false">IFERROR(IF([2]对账明细接口!$N671=0,"",[2]对账明细接口!$N671),"")</f>
        <v/>
      </c>
      <c r="T671" s="112" t="str">
        <f aca="false">IFERROR(IF([2]对账明细接口!$O671=0,"",[2]对账明细接口!$O671),"")</f>
        <v/>
      </c>
      <c r="U671" s="112" t="str">
        <f aca="false">IFERROR(IF([2]对账明细接口!$P671=0,"",[2]对账明细接口!$P671),"")</f>
        <v/>
      </c>
      <c r="V671" s="112" t="str">
        <f aca="false">IFERROR(IF([2]对账明细接口!$Q671=0,"",[2]对账明细接口!$Q671),"")</f>
        <v/>
      </c>
      <c r="W671" s="10" t="str">
        <f aca="false">IFERROR(IF([2]对账明细接口!$R671=0,"",[2]对账明细接口!$R671),"")</f>
        <v/>
      </c>
      <c r="X671" s="10" t="str">
        <f aca="false">IFERROR(IF([2]对账明细接口!$S671=0,"",[2]对账明细接口!$S671),"")</f>
        <v/>
      </c>
      <c r="Y671" s="10" t="str">
        <f aca="false">IFERROR(IF([2]对账明细接口!$T671=0,"",[2]对账明细接口!$T671),"")</f>
        <v/>
      </c>
      <c r="Z671" s="113" t="str">
        <f aca="false">IFERROR(IF([2]对账明细接口!$U671=0,"",[2]对账明细接口!$U671),"")</f>
        <v/>
      </c>
      <c r="AA671" s="113" t="str">
        <f aca="false">IFERROR(IF([2]对账明细接口!$V671=0,"",[2]对账明细接口!$V671),"")</f>
        <v/>
      </c>
      <c r="AB671" s="10" t="str">
        <f aca="false">IFERROR(IF([2]对账明细接口!$W671=0,"",[2]对账明细接口!$W671),"")</f>
        <v/>
      </c>
      <c r="AC671" s="90" t="str">
        <f aca="false">IFERROR(IF([2]对账明细接口!$X672=0,"",[2]对账明细接口!$X672),"")</f>
        <v/>
      </c>
      <c r="AD671" s="90" t="str">
        <f aca="false">IFERROR(IF([2]对账明细接口!$Y672=0,"",[2]对账明细接口!$Y672),"")</f>
        <v/>
      </c>
      <c r="AE671" s="90" t="str">
        <f aca="false">IFERROR(IF([2]对账明细接口!$AA672=0,"",[2]对账明细接口!$AA672),"")</f>
        <v/>
      </c>
      <c r="AF671" s="90" t="str">
        <f aca="false">IFERROR(IF([2]对账明细接口!$AB672=0,"",[2]对账明细接口!$AB672),"")</f>
        <v/>
      </c>
      <c r="AG671" s="90" t="str">
        <f aca="false">IFERROR(IF([2]对账明细接口!$AC672=0,"",[2]对账明细接口!$AC672),"")</f>
        <v/>
      </c>
      <c r="AH671" s="90" t="str">
        <f aca="false">IFERROR(IF([2]对账明细接口!$AD672=0,"",[2]对账明细接口!$AD672),"")</f>
        <v/>
      </c>
    </row>
    <row r="672" customFormat="false" ht="13.5" hidden="false" customHeight="false" outlineLevel="0" collapsed="false">
      <c r="A672" s="109" t="n">
        <v>672</v>
      </c>
      <c r="B672" s="110" t="str">
        <f aca="false">IFERROR(IF([2]对账明细接口!$B$672=0,"",[2]对账明细接口!$B$672),"")</f>
        <v/>
      </c>
      <c r="C672" s="59" t="str">
        <f aca="false">IFERROR(IF([2]对账明细接口!$C$672=0,"",[2]对账明细接口!$C$672),"")</f>
        <v/>
      </c>
      <c r="D672" s="59" t="str">
        <f aca="false">IFERROR(IF([2]对账明细接口!$D$672=0,"",[2]对账明细接口!$D$672),"")</f>
        <v/>
      </c>
      <c r="E672" s="59" t="str">
        <f aca="false">IFERROR(IF([2]对账明细接口!$E$672=0,"",[2]对账明细接口!$E$672),"")</f>
        <v/>
      </c>
      <c r="F672" s="59" t="str">
        <f aca="false">IFERROR(IF([2]对账明细接口!$F$672=0,"",[2]对账明细接口!$F$672),"")</f>
        <v/>
      </c>
      <c r="G672" s="59" t="str">
        <f aca="false">IFERROR(IF([2]对账明细接口!$G$672=0,"",[2]对账明细接口!$G$672),"")</f>
        <v/>
      </c>
      <c r="H672" s="60" t="str">
        <f aca="false">IFERROR(IF([2]对账明细接口!$H$672=0,"",[2]对账明细接口!$H$672),"")</f>
        <v/>
      </c>
      <c r="I672" s="59" t="str">
        <f aca="false">IFERROR(IF([2]对账明细接口!$I$672=0,"",[2]对账明细接口!$I$672),"")</f>
        <v/>
      </c>
      <c r="J672" s="61" t="str">
        <f aca="false">IFERROR(IF([2]对账明细接口!$J$672=0,"",[2]对账明细接口!$J$672),"")</f>
        <v/>
      </c>
      <c r="K672" s="61" t="str">
        <f aca="false">IFERROR(IF([2]对账明细接口!$K$672=0,"",[2]对账明细接口!$K$672),"")</f>
        <v/>
      </c>
      <c r="L672" s="59" t="str">
        <f aca="false">IFERROR(IF([2]对账明细接口!$L$672=0,"",[2]对账明细接口!$L$672),"")</f>
        <v/>
      </c>
      <c r="M672" s="59" t="str">
        <f aca="false">IFERROR(IF([2]对账明细接口!$M$672=0,"",[2]对账明细接口!$M$672),"")</f>
        <v/>
      </c>
      <c r="N672" s="111" t="n">
        <f aca="false">IF($C672="",0,1)</f>
        <v>0</v>
      </c>
      <c r="O672" s="111" t="n">
        <f aca="false">N(O671)+$N672</f>
        <v>311</v>
      </c>
      <c r="S672" s="10" t="str">
        <f aca="false">IFERROR(IF([2]对账明细接口!$N672=0,"",[2]对账明细接口!$N672),"")</f>
        <v/>
      </c>
      <c r="T672" s="112" t="str">
        <f aca="false">IFERROR(IF([2]对账明细接口!$O672=0,"",[2]对账明细接口!$O672),"")</f>
        <v/>
      </c>
      <c r="U672" s="112" t="str">
        <f aca="false">IFERROR(IF([2]对账明细接口!$P672=0,"",[2]对账明细接口!$P672),"")</f>
        <v/>
      </c>
      <c r="V672" s="112" t="str">
        <f aca="false">IFERROR(IF([2]对账明细接口!$Q672=0,"",[2]对账明细接口!$Q672),"")</f>
        <v/>
      </c>
      <c r="W672" s="10" t="str">
        <f aca="false">IFERROR(IF([2]对账明细接口!$R672=0,"",[2]对账明细接口!$R672),"")</f>
        <v/>
      </c>
      <c r="X672" s="10" t="str">
        <f aca="false">IFERROR(IF([2]对账明细接口!$S672=0,"",[2]对账明细接口!$S672),"")</f>
        <v/>
      </c>
      <c r="Y672" s="10" t="str">
        <f aca="false">IFERROR(IF([2]对账明细接口!$T672=0,"",[2]对账明细接口!$T672),"")</f>
        <v/>
      </c>
      <c r="Z672" s="113" t="str">
        <f aca="false">IFERROR(IF([2]对账明细接口!$U672=0,"",[2]对账明细接口!$U672),"")</f>
        <v/>
      </c>
      <c r="AA672" s="113" t="str">
        <f aca="false">IFERROR(IF([2]对账明细接口!$V672=0,"",[2]对账明细接口!$V672),"")</f>
        <v/>
      </c>
      <c r="AB672" s="10" t="str">
        <f aca="false">IFERROR(IF([2]对账明细接口!$W672=0,"",[2]对账明细接口!$W672),"")</f>
        <v/>
      </c>
      <c r="AC672" s="90" t="str">
        <f aca="false">IFERROR(IF([2]对账明细接口!$X673=0,"",[2]对账明细接口!$X673),"")</f>
        <v/>
      </c>
      <c r="AD672" s="90" t="str">
        <f aca="false">IFERROR(IF([2]对账明细接口!$Y673=0,"",[2]对账明细接口!$Y673),"")</f>
        <v/>
      </c>
      <c r="AE672" s="90" t="str">
        <f aca="false">IFERROR(IF([2]对账明细接口!$AA673=0,"",[2]对账明细接口!$AA673),"")</f>
        <v/>
      </c>
      <c r="AF672" s="90" t="str">
        <f aca="false">IFERROR(IF([2]对账明细接口!$AB673=0,"",[2]对账明细接口!$AB673),"")</f>
        <v/>
      </c>
      <c r="AG672" s="90" t="str">
        <f aca="false">IFERROR(IF([2]对账明细接口!$AC673=0,"",[2]对账明细接口!$AC673),"")</f>
        <v/>
      </c>
      <c r="AH672" s="90" t="str">
        <f aca="false">IFERROR(IF([2]对账明细接口!$AD673=0,"",[2]对账明细接口!$AD673),"")</f>
        <v/>
      </c>
    </row>
    <row r="673" customFormat="false" ht="13.5" hidden="false" customHeight="false" outlineLevel="0" collapsed="false">
      <c r="A673" s="109" t="n">
        <v>673</v>
      </c>
      <c r="B673" s="110" t="str">
        <f aca="false">IFERROR(IF([2]对账明细接口!$B$673=0,"",[2]对账明细接口!$B$673),"")</f>
        <v/>
      </c>
      <c r="C673" s="59" t="str">
        <f aca="false">IFERROR(IF([2]对账明细接口!$C$673=0,"",[2]对账明细接口!$C$673),"")</f>
        <v/>
      </c>
      <c r="D673" s="59" t="str">
        <f aca="false">IFERROR(IF([2]对账明细接口!$D$673=0,"",[2]对账明细接口!$D$673),"")</f>
        <v/>
      </c>
      <c r="E673" s="59" t="str">
        <f aca="false">IFERROR(IF([2]对账明细接口!$E$673=0,"",[2]对账明细接口!$E$673),"")</f>
        <v/>
      </c>
      <c r="F673" s="59" t="str">
        <f aca="false">IFERROR(IF([2]对账明细接口!$F$673=0,"",[2]对账明细接口!$F$673),"")</f>
        <v/>
      </c>
      <c r="G673" s="59" t="str">
        <f aca="false">IFERROR(IF([2]对账明细接口!$G$673=0,"",[2]对账明细接口!$G$673),"")</f>
        <v/>
      </c>
      <c r="H673" s="60" t="str">
        <f aca="false">IFERROR(IF([2]对账明细接口!$H$673=0,"",[2]对账明细接口!$H$673),"")</f>
        <v/>
      </c>
      <c r="I673" s="59" t="str">
        <f aca="false">IFERROR(IF([2]对账明细接口!$I$673=0,"",[2]对账明细接口!$I$673),"")</f>
        <v/>
      </c>
      <c r="J673" s="61" t="str">
        <f aca="false">IFERROR(IF([2]对账明细接口!$J$673=0,"",[2]对账明细接口!$J$673),"")</f>
        <v/>
      </c>
      <c r="K673" s="61" t="str">
        <f aca="false">IFERROR(IF([2]对账明细接口!$K$673=0,"",[2]对账明细接口!$K$673),"")</f>
        <v/>
      </c>
      <c r="L673" s="59" t="str">
        <f aca="false">IFERROR(IF([2]对账明细接口!$L$673=0,"",[2]对账明细接口!$L$673),"")</f>
        <v/>
      </c>
      <c r="M673" s="59" t="str">
        <f aca="false">IFERROR(IF([2]对账明细接口!$M$673=0,"",[2]对账明细接口!$M$673),"")</f>
        <v/>
      </c>
      <c r="N673" s="111" t="n">
        <f aca="false">IF($C673="",0,1)</f>
        <v>0</v>
      </c>
      <c r="O673" s="111" t="n">
        <f aca="false">N(O672)+$N673</f>
        <v>311</v>
      </c>
      <c r="S673" s="10" t="str">
        <f aca="false">IFERROR(IF([2]对账明细接口!$N673=0,"",[2]对账明细接口!$N673),"")</f>
        <v/>
      </c>
      <c r="T673" s="112" t="str">
        <f aca="false">IFERROR(IF([2]对账明细接口!$O673=0,"",[2]对账明细接口!$O673),"")</f>
        <v/>
      </c>
      <c r="U673" s="112" t="str">
        <f aca="false">IFERROR(IF([2]对账明细接口!$P673=0,"",[2]对账明细接口!$P673),"")</f>
        <v/>
      </c>
      <c r="V673" s="112" t="str">
        <f aca="false">IFERROR(IF([2]对账明细接口!$Q673=0,"",[2]对账明细接口!$Q673),"")</f>
        <v/>
      </c>
      <c r="W673" s="10" t="str">
        <f aca="false">IFERROR(IF([2]对账明细接口!$R673=0,"",[2]对账明细接口!$R673),"")</f>
        <v/>
      </c>
      <c r="X673" s="10" t="str">
        <f aca="false">IFERROR(IF([2]对账明细接口!$S673=0,"",[2]对账明细接口!$S673),"")</f>
        <v/>
      </c>
      <c r="Y673" s="10" t="str">
        <f aca="false">IFERROR(IF([2]对账明细接口!$T673=0,"",[2]对账明细接口!$T673),"")</f>
        <v/>
      </c>
      <c r="Z673" s="113" t="str">
        <f aca="false">IFERROR(IF([2]对账明细接口!$U673=0,"",[2]对账明细接口!$U673),"")</f>
        <v/>
      </c>
      <c r="AA673" s="113" t="str">
        <f aca="false">IFERROR(IF([2]对账明细接口!$V673=0,"",[2]对账明细接口!$V673),"")</f>
        <v/>
      </c>
      <c r="AB673" s="10" t="str">
        <f aca="false">IFERROR(IF([2]对账明细接口!$W673=0,"",[2]对账明细接口!$W673),"")</f>
        <v/>
      </c>
      <c r="AC673" s="90" t="str">
        <f aca="false">IFERROR(IF([2]对账明细接口!$X674=0,"",[2]对账明细接口!$X674),"")</f>
        <v/>
      </c>
      <c r="AD673" s="90" t="str">
        <f aca="false">IFERROR(IF([2]对账明细接口!$Y674=0,"",[2]对账明细接口!$Y674),"")</f>
        <v/>
      </c>
      <c r="AE673" s="90" t="str">
        <f aca="false">IFERROR(IF([2]对账明细接口!$AA674=0,"",[2]对账明细接口!$AA674),"")</f>
        <v/>
      </c>
      <c r="AF673" s="90" t="str">
        <f aca="false">IFERROR(IF([2]对账明细接口!$AB674=0,"",[2]对账明细接口!$AB674),"")</f>
        <v/>
      </c>
      <c r="AG673" s="90" t="str">
        <f aca="false">IFERROR(IF([2]对账明细接口!$AC674=0,"",[2]对账明细接口!$AC674),"")</f>
        <v/>
      </c>
      <c r="AH673" s="90" t="str">
        <f aca="false">IFERROR(IF([2]对账明细接口!$AD674=0,"",[2]对账明细接口!$AD674),"")</f>
        <v/>
      </c>
    </row>
    <row r="674" customFormat="false" ht="13.5" hidden="false" customHeight="false" outlineLevel="0" collapsed="false">
      <c r="A674" s="109" t="n">
        <v>674</v>
      </c>
      <c r="B674" s="110" t="str">
        <f aca="false">IFERROR(IF([2]对账明细接口!$B$674=0,"",[2]对账明细接口!$B$674),"")</f>
        <v/>
      </c>
      <c r="C674" s="59" t="str">
        <f aca="false">IFERROR(IF([2]对账明细接口!$C$674=0,"",[2]对账明细接口!$C$674),"")</f>
        <v/>
      </c>
      <c r="D674" s="59" t="str">
        <f aca="false">IFERROR(IF([2]对账明细接口!$D$674=0,"",[2]对账明细接口!$D$674),"")</f>
        <v/>
      </c>
      <c r="E674" s="59" t="str">
        <f aca="false">IFERROR(IF([2]对账明细接口!$E$674=0,"",[2]对账明细接口!$E$674),"")</f>
        <v/>
      </c>
      <c r="F674" s="59" t="str">
        <f aca="false">IFERROR(IF([2]对账明细接口!$F$674=0,"",[2]对账明细接口!$F$674),"")</f>
        <v/>
      </c>
      <c r="G674" s="59" t="str">
        <f aca="false">IFERROR(IF([2]对账明细接口!$G$674=0,"",[2]对账明细接口!$G$674),"")</f>
        <v/>
      </c>
      <c r="H674" s="60" t="str">
        <f aca="false">IFERROR(IF([2]对账明细接口!$H$674=0,"",[2]对账明细接口!$H$674),"")</f>
        <v/>
      </c>
      <c r="I674" s="59" t="str">
        <f aca="false">IFERROR(IF([2]对账明细接口!$I$674=0,"",[2]对账明细接口!$I$674),"")</f>
        <v/>
      </c>
      <c r="J674" s="61" t="str">
        <f aca="false">IFERROR(IF([2]对账明细接口!$J$674=0,"",[2]对账明细接口!$J$674),"")</f>
        <v/>
      </c>
      <c r="K674" s="61" t="str">
        <f aca="false">IFERROR(IF([2]对账明细接口!$K$674=0,"",[2]对账明细接口!$K$674),"")</f>
        <v/>
      </c>
      <c r="L674" s="59" t="str">
        <f aca="false">IFERROR(IF([2]对账明细接口!$L$674=0,"",[2]对账明细接口!$L$674),"")</f>
        <v/>
      </c>
      <c r="M674" s="59" t="str">
        <f aca="false">IFERROR(IF([2]对账明细接口!$M$674=0,"",[2]对账明细接口!$M$674),"")</f>
        <v/>
      </c>
      <c r="N674" s="111" t="n">
        <f aca="false">IF($C674="",0,1)</f>
        <v>0</v>
      </c>
      <c r="O674" s="111" t="n">
        <f aca="false">N(O673)+$N674</f>
        <v>311</v>
      </c>
      <c r="S674" s="10" t="str">
        <f aca="false">IFERROR(IF([2]对账明细接口!$N674=0,"",[2]对账明细接口!$N674),"")</f>
        <v/>
      </c>
      <c r="T674" s="112" t="str">
        <f aca="false">IFERROR(IF([2]对账明细接口!$O674=0,"",[2]对账明细接口!$O674),"")</f>
        <v/>
      </c>
      <c r="U674" s="112" t="str">
        <f aca="false">IFERROR(IF([2]对账明细接口!$P674=0,"",[2]对账明细接口!$P674),"")</f>
        <v/>
      </c>
      <c r="V674" s="112" t="str">
        <f aca="false">IFERROR(IF([2]对账明细接口!$Q674=0,"",[2]对账明细接口!$Q674),"")</f>
        <v/>
      </c>
      <c r="W674" s="10" t="str">
        <f aca="false">IFERROR(IF([2]对账明细接口!$R674=0,"",[2]对账明细接口!$R674),"")</f>
        <v/>
      </c>
      <c r="X674" s="10" t="str">
        <f aca="false">IFERROR(IF([2]对账明细接口!$S674=0,"",[2]对账明细接口!$S674),"")</f>
        <v/>
      </c>
      <c r="Y674" s="10" t="str">
        <f aca="false">IFERROR(IF([2]对账明细接口!$T674=0,"",[2]对账明细接口!$T674),"")</f>
        <v/>
      </c>
      <c r="Z674" s="113" t="str">
        <f aca="false">IFERROR(IF([2]对账明细接口!$U674=0,"",[2]对账明细接口!$U674),"")</f>
        <v/>
      </c>
      <c r="AA674" s="113" t="str">
        <f aca="false">IFERROR(IF([2]对账明细接口!$V674=0,"",[2]对账明细接口!$V674),"")</f>
        <v/>
      </c>
      <c r="AB674" s="10" t="str">
        <f aca="false">IFERROR(IF([2]对账明细接口!$W674=0,"",[2]对账明细接口!$W674),"")</f>
        <v/>
      </c>
      <c r="AC674" s="90" t="str">
        <f aca="false">IFERROR(IF([2]对账明细接口!$X675=0,"",[2]对账明细接口!$X675),"")</f>
        <v/>
      </c>
      <c r="AD674" s="90" t="str">
        <f aca="false">IFERROR(IF([2]对账明细接口!$Y675=0,"",[2]对账明细接口!$Y675),"")</f>
        <v/>
      </c>
      <c r="AE674" s="90" t="str">
        <f aca="false">IFERROR(IF([2]对账明细接口!$AA675=0,"",[2]对账明细接口!$AA675),"")</f>
        <v/>
      </c>
      <c r="AF674" s="90" t="str">
        <f aca="false">IFERROR(IF([2]对账明细接口!$AB675=0,"",[2]对账明细接口!$AB675),"")</f>
        <v/>
      </c>
      <c r="AG674" s="90" t="str">
        <f aca="false">IFERROR(IF([2]对账明细接口!$AC675=0,"",[2]对账明细接口!$AC675),"")</f>
        <v/>
      </c>
      <c r="AH674" s="90" t="str">
        <f aca="false">IFERROR(IF([2]对账明细接口!$AD675=0,"",[2]对账明细接口!$AD675),"")</f>
        <v/>
      </c>
    </row>
    <row r="675" customFormat="false" ht="13.5" hidden="false" customHeight="false" outlineLevel="0" collapsed="false">
      <c r="A675" s="109" t="n">
        <v>675</v>
      </c>
      <c r="B675" s="110" t="str">
        <f aca="false">IFERROR(IF([2]对账明细接口!$B$675=0,"",[2]对账明细接口!$B$675),"")</f>
        <v/>
      </c>
      <c r="C675" s="59" t="str">
        <f aca="false">IFERROR(IF([2]对账明细接口!$C$675=0,"",[2]对账明细接口!$C$675),"")</f>
        <v/>
      </c>
      <c r="D675" s="59" t="str">
        <f aca="false">IFERROR(IF([2]对账明细接口!$D$675=0,"",[2]对账明细接口!$D$675),"")</f>
        <v/>
      </c>
      <c r="E675" s="59" t="str">
        <f aca="false">IFERROR(IF([2]对账明细接口!$E$675=0,"",[2]对账明细接口!$E$675),"")</f>
        <v/>
      </c>
      <c r="F675" s="59" t="str">
        <f aca="false">IFERROR(IF([2]对账明细接口!$F$675=0,"",[2]对账明细接口!$F$675),"")</f>
        <v/>
      </c>
      <c r="G675" s="59" t="str">
        <f aca="false">IFERROR(IF([2]对账明细接口!$G$675=0,"",[2]对账明细接口!$G$675),"")</f>
        <v/>
      </c>
      <c r="H675" s="60" t="str">
        <f aca="false">IFERROR(IF([2]对账明细接口!$H$675=0,"",[2]对账明细接口!$H$675),"")</f>
        <v/>
      </c>
      <c r="I675" s="59" t="str">
        <f aca="false">IFERROR(IF([2]对账明细接口!$I$675=0,"",[2]对账明细接口!$I$675),"")</f>
        <v/>
      </c>
      <c r="J675" s="61" t="str">
        <f aca="false">IFERROR(IF([2]对账明细接口!$J$675=0,"",[2]对账明细接口!$J$675),"")</f>
        <v/>
      </c>
      <c r="K675" s="61" t="str">
        <f aca="false">IFERROR(IF([2]对账明细接口!$K$675=0,"",[2]对账明细接口!$K$675),"")</f>
        <v/>
      </c>
      <c r="L675" s="59" t="str">
        <f aca="false">IFERROR(IF([2]对账明细接口!$L$675=0,"",[2]对账明细接口!$L$675),"")</f>
        <v/>
      </c>
      <c r="M675" s="59" t="str">
        <f aca="false">IFERROR(IF([2]对账明细接口!$M$675=0,"",[2]对账明细接口!$M$675),"")</f>
        <v/>
      </c>
      <c r="N675" s="111" t="n">
        <f aca="false">IF($C675="",0,1)</f>
        <v>0</v>
      </c>
      <c r="O675" s="111" t="n">
        <f aca="false">N(O674)+$N675</f>
        <v>311</v>
      </c>
      <c r="S675" s="10" t="str">
        <f aca="false">IFERROR(IF([2]对账明细接口!$N675=0,"",[2]对账明细接口!$N675),"")</f>
        <v/>
      </c>
      <c r="T675" s="112" t="str">
        <f aca="false">IFERROR(IF([2]对账明细接口!$O675=0,"",[2]对账明细接口!$O675),"")</f>
        <v/>
      </c>
      <c r="U675" s="112" t="str">
        <f aca="false">IFERROR(IF([2]对账明细接口!$P675=0,"",[2]对账明细接口!$P675),"")</f>
        <v/>
      </c>
      <c r="V675" s="112" t="str">
        <f aca="false">IFERROR(IF([2]对账明细接口!$Q675=0,"",[2]对账明细接口!$Q675),"")</f>
        <v/>
      </c>
      <c r="W675" s="10" t="str">
        <f aca="false">IFERROR(IF([2]对账明细接口!$R675=0,"",[2]对账明细接口!$R675),"")</f>
        <v/>
      </c>
      <c r="X675" s="10" t="str">
        <f aca="false">IFERROR(IF([2]对账明细接口!$S675=0,"",[2]对账明细接口!$S675),"")</f>
        <v/>
      </c>
      <c r="Y675" s="10" t="str">
        <f aca="false">IFERROR(IF([2]对账明细接口!$T675=0,"",[2]对账明细接口!$T675),"")</f>
        <v/>
      </c>
      <c r="Z675" s="113" t="str">
        <f aca="false">IFERROR(IF([2]对账明细接口!$U675=0,"",[2]对账明细接口!$U675),"")</f>
        <v/>
      </c>
      <c r="AA675" s="113" t="str">
        <f aca="false">IFERROR(IF([2]对账明细接口!$V675=0,"",[2]对账明细接口!$V675),"")</f>
        <v/>
      </c>
      <c r="AB675" s="10" t="str">
        <f aca="false">IFERROR(IF([2]对账明细接口!$W675=0,"",[2]对账明细接口!$W675),"")</f>
        <v/>
      </c>
      <c r="AC675" s="90" t="str">
        <f aca="false">IFERROR(IF([2]对账明细接口!$X676=0,"",[2]对账明细接口!$X676),"")</f>
        <v/>
      </c>
      <c r="AD675" s="90" t="str">
        <f aca="false">IFERROR(IF([2]对账明细接口!$Y676=0,"",[2]对账明细接口!$Y676),"")</f>
        <v/>
      </c>
      <c r="AE675" s="90" t="str">
        <f aca="false">IFERROR(IF([2]对账明细接口!$AA676=0,"",[2]对账明细接口!$AA676),"")</f>
        <v/>
      </c>
      <c r="AF675" s="90" t="str">
        <f aca="false">IFERROR(IF([2]对账明细接口!$AB676=0,"",[2]对账明细接口!$AB676),"")</f>
        <v/>
      </c>
      <c r="AG675" s="90" t="str">
        <f aca="false">IFERROR(IF([2]对账明细接口!$AC676=0,"",[2]对账明细接口!$AC676),"")</f>
        <v/>
      </c>
      <c r="AH675" s="90" t="str">
        <f aca="false">IFERROR(IF([2]对账明细接口!$AD676=0,"",[2]对账明细接口!$AD676),"")</f>
        <v/>
      </c>
    </row>
    <row r="676" customFormat="false" ht="13.5" hidden="false" customHeight="false" outlineLevel="0" collapsed="false">
      <c r="A676" s="109" t="n">
        <v>676</v>
      </c>
      <c r="B676" s="110" t="str">
        <f aca="false">IFERROR(IF([2]对账明细接口!$B$676=0,"",[2]对账明细接口!$B$676),"")</f>
        <v/>
      </c>
      <c r="C676" s="59" t="str">
        <f aca="false">IFERROR(IF([2]对账明细接口!$C$676=0,"",[2]对账明细接口!$C$676),"")</f>
        <v/>
      </c>
      <c r="D676" s="59" t="str">
        <f aca="false">IFERROR(IF([2]对账明细接口!$D$676=0,"",[2]对账明细接口!$D$676),"")</f>
        <v/>
      </c>
      <c r="E676" s="59" t="str">
        <f aca="false">IFERROR(IF([2]对账明细接口!$E$676=0,"",[2]对账明细接口!$E$676),"")</f>
        <v/>
      </c>
      <c r="F676" s="59" t="str">
        <f aca="false">IFERROR(IF([2]对账明细接口!$F$676=0,"",[2]对账明细接口!$F$676),"")</f>
        <v/>
      </c>
      <c r="G676" s="59" t="str">
        <f aca="false">IFERROR(IF([2]对账明细接口!$G$676=0,"",[2]对账明细接口!$G$676),"")</f>
        <v/>
      </c>
      <c r="H676" s="60" t="str">
        <f aca="false">IFERROR(IF([2]对账明细接口!$H$676=0,"",[2]对账明细接口!$H$676),"")</f>
        <v/>
      </c>
      <c r="I676" s="59" t="str">
        <f aca="false">IFERROR(IF([2]对账明细接口!$I$676=0,"",[2]对账明细接口!$I$676),"")</f>
        <v/>
      </c>
      <c r="J676" s="61" t="str">
        <f aca="false">IFERROR(IF([2]对账明细接口!$J$676=0,"",[2]对账明细接口!$J$676),"")</f>
        <v/>
      </c>
      <c r="K676" s="61" t="str">
        <f aca="false">IFERROR(IF([2]对账明细接口!$K$676=0,"",[2]对账明细接口!$K$676),"")</f>
        <v/>
      </c>
      <c r="L676" s="59" t="str">
        <f aca="false">IFERROR(IF([2]对账明细接口!$L$676=0,"",[2]对账明细接口!$L$676),"")</f>
        <v/>
      </c>
      <c r="M676" s="59" t="str">
        <f aca="false">IFERROR(IF([2]对账明细接口!$M$676=0,"",[2]对账明细接口!$M$676),"")</f>
        <v/>
      </c>
      <c r="N676" s="111" t="n">
        <f aca="false">IF($C676="",0,1)</f>
        <v>0</v>
      </c>
      <c r="O676" s="111" t="n">
        <f aca="false">N(O675)+$N676</f>
        <v>311</v>
      </c>
      <c r="S676" s="10" t="str">
        <f aca="false">IFERROR(IF([2]对账明细接口!$N676=0,"",[2]对账明细接口!$N676),"")</f>
        <v/>
      </c>
      <c r="T676" s="112" t="str">
        <f aca="false">IFERROR(IF([2]对账明细接口!$O676=0,"",[2]对账明细接口!$O676),"")</f>
        <v/>
      </c>
      <c r="U676" s="112" t="str">
        <f aca="false">IFERROR(IF([2]对账明细接口!$P676=0,"",[2]对账明细接口!$P676),"")</f>
        <v/>
      </c>
      <c r="V676" s="112" t="str">
        <f aca="false">IFERROR(IF([2]对账明细接口!$Q676=0,"",[2]对账明细接口!$Q676),"")</f>
        <v/>
      </c>
      <c r="W676" s="10" t="str">
        <f aca="false">IFERROR(IF([2]对账明细接口!$R676=0,"",[2]对账明细接口!$R676),"")</f>
        <v/>
      </c>
      <c r="X676" s="10" t="str">
        <f aca="false">IFERROR(IF([2]对账明细接口!$S676=0,"",[2]对账明细接口!$S676),"")</f>
        <v/>
      </c>
      <c r="Y676" s="10" t="str">
        <f aca="false">IFERROR(IF([2]对账明细接口!$T676=0,"",[2]对账明细接口!$T676),"")</f>
        <v/>
      </c>
      <c r="Z676" s="113" t="str">
        <f aca="false">IFERROR(IF([2]对账明细接口!$U676=0,"",[2]对账明细接口!$U676),"")</f>
        <v/>
      </c>
      <c r="AA676" s="113" t="str">
        <f aca="false">IFERROR(IF([2]对账明细接口!$V676=0,"",[2]对账明细接口!$V676),"")</f>
        <v/>
      </c>
      <c r="AB676" s="10" t="str">
        <f aca="false">IFERROR(IF([2]对账明细接口!$W676=0,"",[2]对账明细接口!$W676),"")</f>
        <v/>
      </c>
      <c r="AC676" s="90" t="str">
        <f aca="false">IFERROR(IF([2]对账明细接口!$X677=0,"",[2]对账明细接口!$X677),"")</f>
        <v/>
      </c>
      <c r="AD676" s="90" t="str">
        <f aca="false">IFERROR(IF([2]对账明细接口!$Y677=0,"",[2]对账明细接口!$Y677),"")</f>
        <v/>
      </c>
      <c r="AE676" s="90" t="str">
        <f aca="false">IFERROR(IF([2]对账明细接口!$AA677=0,"",[2]对账明细接口!$AA677),"")</f>
        <v/>
      </c>
      <c r="AF676" s="90" t="str">
        <f aca="false">IFERROR(IF([2]对账明细接口!$AB677=0,"",[2]对账明细接口!$AB677),"")</f>
        <v/>
      </c>
      <c r="AG676" s="90" t="str">
        <f aca="false">IFERROR(IF([2]对账明细接口!$AC677=0,"",[2]对账明细接口!$AC677),"")</f>
        <v/>
      </c>
      <c r="AH676" s="90" t="str">
        <f aca="false">IFERROR(IF([2]对账明细接口!$AD677=0,"",[2]对账明细接口!$AD677),"")</f>
        <v/>
      </c>
    </row>
    <row r="677" customFormat="false" ht="13.5" hidden="false" customHeight="false" outlineLevel="0" collapsed="false">
      <c r="A677" s="109" t="n">
        <v>677</v>
      </c>
      <c r="B677" s="110" t="str">
        <f aca="false">IFERROR(IF([2]对账明细接口!$B$677=0,"",[2]对账明细接口!$B$677),"")</f>
        <v/>
      </c>
      <c r="C677" s="59" t="str">
        <f aca="false">IFERROR(IF([2]对账明细接口!$C$677=0,"",[2]对账明细接口!$C$677),"")</f>
        <v/>
      </c>
      <c r="D677" s="59" t="str">
        <f aca="false">IFERROR(IF([2]对账明细接口!$D$677=0,"",[2]对账明细接口!$D$677),"")</f>
        <v/>
      </c>
      <c r="E677" s="59" t="str">
        <f aca="false">IFERROR(IF([2]对账明细接口!$E$677=0,"",[2]对账明细接口!$E$677),"")</f>
        <v/>
      </c>
      <c r="F677" s="59" t="str">
        <f aca="false">IFERROR(IF([2]对账明细接口!$F$677=0,"",[2]对账明细接口!$F$677),"")</f>
        <v/>
      </c>
      <c r="G677" s="59" t="str">
        <f aca="false">IFERROR(IF([2]对账明细接口!$G$677=0,"",[2]对账明细接口!$G$677),"")</f>
        <v/>
      </c>
      <c r="H677" s="60" t="str">
        <f aca="false">IFERROR(IF([2]对账明细接口!$H$677=0,"",[2]对账明细接口!$H$677),"")</f>
        <v/>
      </c>
      <c r="I677" s="59" t="str">
        <f aca="false">IFERROR(IF([2]对账明细接口!$I$677=0,"",[2]对账明细接口!$I$677),"")</f>
        <v/>
      </c>
      <c r="J677" s="61" t="str">
        <f aca="false">IFERROR(IF([2]对账明细接口!$J$677=0,"",[2]对账明细接口!$J$677),"")</f>
        <v/>
      </c>
      <c r="K677" s="61" t="str">
        <f aca="false">IFERROR(IF([2]对账明细接口!$K$677=0,"",[2]对账明细接口!$K$677),"")</f>
        <v/>
      </c>
      <c r="L677" s="59" t="str">
        <f aca="false">IFERROR(IF([2]对账明细接口!$L$677=0,"",[2]对账明细接口!$L$677),"")</f>
        <v/>
      </c>
      <c r="M677" s="59" t="str">
        <f aca="false">IFERROR(IF([2]对账明细接口!$M$677=0,"",[2]对账明细接口!$M$677),"")</f>
        <v/>
      </c>
      <c r="N677" s="111" t="n">
        <f aca="false">IF($C677="",0,1)</f>
        <v>0</v>
      </c>
      <c r="O677" s="111" t="n">
        <f aca="false">N(O676)+$N677</f>
        <v>311</v>
      </c>
      <c r="S677" s="10" t="str">
        <f aca="false">IFERROR(IF([2]对账明细接口!$N677=0,"",[2]对账明细接口!$N677),"")</f>
        <v/>
      </c>
      <c r="T677" s="112" t="str">
        <f aca="false">IFERROR(IF([2]对账明细接口!$O677=0,"",[2]对账明细接口!$O677),"")</f>
        <v/>
      </c>
      <c r="U677" s="112" t="str">
        <f aca="false">IFERROR(IF([2]对账明细接口!$P677=0,"",[2]对账明细接口!$P677),"")</f>
        <v/>
      </c>
      <c r="V677" s="112" t="str">
        <f aca="false">IFERROR(IF([2]对账明细接口!$Q677=0,"",[2]对账明细接口!$Q677),"")</f>
        <v/>
      </c>
      <c r="W677" s="10" t="str">
        <f aca="false">IFERROR(IF([2]对账明细接口!$R677=0,"",[2]对账明细接口!$R677),"")</f>
        <v/>
      </c>
      <c r="X677" s="10" t="str">
        <f aca="false">IFERROR(IF([2]对账明细接口!$S677=0,"",[2]对账明细接口!$S677),"")</f>
        <v/>
      </c>
      <c r="Y677" s="10" t="str">
        <f aca="false">IFERROR(IF([2]对账明细接口!$T677=0,"",[2]对账明细接口!$T677),"")</f>
        <v/>
      </c>
      <c r="Z677" s="113" t="str">
        <f aca="false">IFERROR(IF([2]对账明细接口!$U677=0,"",[2]对账明细接口!$U677),"")</f>
        <v/>
      </c>
      <c r="AA677" s="113" t="str">
        <f aca="false">IFERROR(IF([2]对账明细接口!$V677=0,"",[2]对账明细接口!$V677),"")</f>
        <v/>
      </c>
      <c r="AB677" s="10" t="str">
        <f aca="false">IFERROR(IF([2]对账明细接口!$W677=0,"",[2]对账明细接口!$W677),"")</f>
        <v/>
      </c>
      <c r="AC677" s="90" t="str">
        <f aca="false">IFERROR(IF([2]对账明细接口!$X678=0,"",[2]对账明细接口!$X678),"")</f>
        <v/>
      </c>
      <c r="AD677" s="90" t="str">
        <f aca="false">IFERROR(IF([2]对账明细接口!$Y678=0,"",[2]对账明细接口!$Y678),"")</f>
        <v/>
      </c>
      <c r="AE677" s="90" t="str">
        <f aca="false">IFERROR(IF([2]对账明细接口!$AA678=0,"",[2]对账明细接口!$AA678),"")</f>
        <v/>
      </c>
      <c r="AF677" s="90" t="str">
        <f aca="false">IFERROR(IF([2]对账明细接口!$AB678=0,"",[2]对账明细接口!$AB678),"")</f>
        <v/>
      </c>
      <c r="AG677" s="90" t="str">
        <f aca="false">IFERROR(IF([2]对账明细接口!$AC678=0,"",[2]对账明细接口!$AC678),"")</f>
        <v/>
      </c>
      <c r="AH677" s="90" t="str">
        <f aca="false">IFERROR(IF([2]对账明细接口!$AD678=0,"",[2]对账明细接口!$AD678),"")</f>
        <v/>
      </c>
    </row>
    <row r="678" customFormat="false" ht="13.5" hidden="false" customHeight="false" outlineLevel="0" collapsed="false">
      <c r="A678" s="109" t="n">
        <v>678</v>
      </c>
      <c r="B678" s="110" t="str">
        <f aca="false">IFERROR(IF([2]对账明细接口!$B$678=0,"",[2]对账明细接口!$B$678),"")</f>
        <v/>
      </c>
      <c r="C678" s="59" t="str">
        <f aca="false">IFERROR(IF([2]对账明细接口!$C$678=0,"",[2]对账明细接口!$C$678),"")</f>
        <v/>
      </c>
      <c r="D678" s="59" t="str">
        <f aca="false">IFERROR(IF([2]对账明细接口!$D$678=0,"",[2]对账明细接口!$D$678),"")</f>
        <v/>
      </c>
      <c r="E678" s="59" t="str">
        <f aca="false">IFERROR(IF([2]对账明细接口!$E$678=0,"",[2]对账明细接口!$E$678),"")</f>
        <v/>
      </c>
      <c r="F678" s="59" t="str">
        <f aca="false">IFERROR(IF([2]对账明细接口!$F$678=0,"",[2]对账明细接口!$F$678),"")</f>
        <v/>
      </c>
      <c r="G678" s="59" t="str">
        <f aca="false">IFERROR(IF([2]对账明细接口!$G$678=0,"",[2]对账明细接口!$G$678),"")</f>
        <v/>
      </c>
      <c r="H678" s="60" t="str">
        <f aca="false">IFERROR(IF([2]对账明细接口!$H$678=0,"",[2]对账明细接口!$H$678),"")</f>
        <v/>
      </c>
      <c r="I678" s="59" t="str">
        <f aca="false">IFERROR(IF([2]对账明细接口!$I$678=0,"",[2]对账明细接口!$I$678),"")</f>
        <v/>
      </c>
      <c r="J678" s="61" t="str">
        <f aca="false">IFERROR(IF([2]对账明细接口!$J$678=0,"",[2]对账明细接口!$J$678),"")</f>
        <v/>
      </c>
      <c r="K678" s="61" t="str">
        <f aca="false">IFERROR(IF([2]对账明细接口!$K$678=0,"",[2]对账明细接口!$K$678),"")</f>
        <v/>
      </c>
      <c r="L678" s="59" t="str">
        <f aca="false">IFERROR(IF([2]对账明细接口!$L$678=0,"",[2]对账明细接口!$L$678),"")</f>
        <v/>
      </c>
      <c r="M678" s="59" t="str">
        <f aca="false">IFERROR(IF([2]对账明细接口!$M$678=0,"",[2]对账明细接口!$M$678),"")</f>
        <v/>
      </c>
      <c r="N678" s="111" t="n">
        <f aca="false">IF($C678="",0,1)</f>
        <v>0</v>
      </c>
      <c r="O678" s="111" t="n">
        <f aca="false">N(O677)+$N678</f>
        <v>311</v>
      </c>
      <c r="S678" s="10" t="str">
        <f aca="false">IFERROR(IF([2]对账明细接口!$N678=0,"",[2]对账明细接口!$N678),"")</f>
        <v/>
      </c>
      <c r="T678" s="112" t="str">
        <f aca="false">IFERROR(IF([2]对账明细接口!$O678=0,"",[2]对账明细接口!$O678),"")</f>
        <v/>
      </c>
      <c r="U678" s="112" t="str">
        <f aca="false">IFERROR(IF([2]对账明细接口!$P678=0,"",[2]对账明细接口!$P678),"")</f>
        <v/>
      </c>
      <c r="V678" s="112" t="str">
        <f aca="false">IFERROR(IF([2]对账明细接口!$Q678=0,"",[2]对账明细接口!$Q678),"")</f>
        <v/>
      </c>
      <c r="W678" s="10" t="str">
        <f aca="false">IFERROR(IF([2]对账明细接口!$R678=0,"",[2]对账明细接口!$R678),"")</f>
        <v/>
      </c>
      <c r="X678" s="10" t="str">
        <f aca="false">IFERROR(IF([2]对账明细接口!$S678=0,"",[2]对账明细接口!$S678),"")</f>
        <v/>
      </c>
      <c r="Y678" s="10" t="str">
        <f aca="false">IFERROR(IF([2]对账明细接口!$T678=0,"",[2]对账明细接口!$T678),"")</f>
        <v/>
      </c>
      <c r="Z678" s="113" t="str">
        <f aca="false">IFERROR(IF([2]对账明细接口!$U678=0,"",[2]对账明细接口!$U678),"")</f>
        <v/>
      </c>
      <c r="AA678" s="113" t="str">
        <f aca="false">IFERROR(IF([2]对账明细接口!$V678=0,"",[2]对账明细接口!$V678),"")</f>
        <v/>
      </c>
      <c r="AB678" s="10" t="str">
        <f aca="false">IFERROR(IF([2]对账明细接口!$W678=0,"",[2]对账明细接口!$W678),"")</f>
        <v/>
      </c>
      <c r="AC678" s="90" t="str">
        <f aca="false">IFERROR(IF([2]对账明细接口!$X679=0,"",[2]对账明细接口!$X679),"")</f>
        <v/>
      </c>
      <c r="AD678" s="90" t="str">
        <f aca="false">IFERROR(IF([2]对账明细接口!$Y679=0,"",[2]对账明细接口!$Y679),"")</f>
        <v/>
      </c>
      <c r="AE678" s="90" t="str">
        <f aca="false">IFERROR(IF([2]对账明细接口!$AA679=0,"",[2]对账明细接口!$AA679),"")</f>
        <v/>
      </c>
      <c r="AF678" s="90" t="str">
        <f aca="false">IFERROR(IF([2]对账明细接口!$AB679=0,"",[2]对账明细接口!$AB679),"")</f>
        <v/>
      </c>
      <c r="AG678" s="90" t="str">
        <f aca="false">IFERROR(IF([2]对账明细接口!$AC679=0,"",[2]对账明细接口!$AC679),"")</f>
        <v/>
      </c>
      <c r="AH678" s="90" t="str">
        <f aca="false">IFERROR(IF([2]对账明细接口!$AD679=0,"",[2]对账明细接口!$AD679),"")</f>
        <v/>
      </c>
    </row>
    <row r="679" customFormat="false" ht="13.5" hidden="false" customHeight="false" outlineLevel="0" collapsed="false">
      <c r="A679" s="109" t="n">
        <v>679</v>
      </c>
      <c r="B679" s="110" t="str">
        <f aca="false">IFERROR(IF([2]对账明细接口!$B$679=0,"",[2]对账明细接口!$B$679),"")</f>
        <v/>
      </c>
      <c r="C679" s="59" t="str">
        <f aca="false">IFERROR(IF([2]对账明细接口!$C$679=0,"",[2]对账明细接口!$C$679),"")</f>
        <v/>
      </c>
      <c r="D679" s="59" t="str">
        <f aca="false">IFERROR(IF([2]对账明细接口!$D$679=0,"",[2]对账明细接口!$D$679),"")</f>
        <v/>
      </c>
      <c r="E679" s="59" t="str">
        <f aca="false">IFERROR(IF([2]对账明细接口!$E$679=0,"",[2]对账明细接口!$E$679),"")</f>
        <v/>
      </c>
      <c r="F679" s="59" t="str">
        <f aca="false">IFERROR(IF([2]对账明细接口!$F$679=0,"",[2]对账明细接口!$F$679),"")</f>
        <v/>
      </c>
      <c r="G679" s="59" t="str">
        <f aca="false">IFERROR(IF([2]对账明细接口!$G$679=0,"",[2]对账明细接口!$G$679),"")</f>
        <v/>
      </c>
      <c r="H679" s="60" t="str">
        <f aca="false">IFERROR(IF([2]对账明细接口!$H$679=0,"",[2]对账明细接口!$H$679),"")</f>
        <v/>
      </c>
      <c r="I679" s="59" t="str">
        <f aca="false">IFERROR(IF([2]对账明细接口!$I$679=0,"",[2]对账明细接口!$I$679),"")</f>
        <v/>
      </c>
      <c r="J679" s="61" t="str">
        <f aca="false">IFERROR(IF([2]对账明细接口!$J$679=0,"",[2]对账明细接口!$J$679),"")</f>
        <v/>
      </c>
      <c r="K679" s="61" t="str">
        <f aca="false">IFERROR(IF([2]对账明细接口!$K$679=0,"",[2]对账明细接口!$K$679),"")</f>
        <v/>
      </c>
      <c r="L679" s="59" t="str">
        <f aca="false">IFERROR(IF([2]对账明细接口!$L$679=0,"",[2]对账明细接口!$L$679),"")</f>
        <v/>
      </c>
      <c r="M679" s="59" t="str">
        <f aca="false">IFERROR(IF([2]对账明细接口!$M$679=0,"",[2]对账明细接口!$M$679),"")</f>
        <v/>
      </c>
      <c r="N679" s="111" t="n">
        <f aca="false">IF($C679="",0,1)</f>
        <v>0</v>
      </c>
      <c r="O679" s="111" t="n">
        <f aca="false">N(O678)+$N679</f>
        <v>311</v>
      </c>
      <c r="S679" s="10" t="str">
        <f aca="false">IFERROR(IF([2]对账明细接口!$N679=0,"",[2]对账明细接口!$N679),"")</f>
        <v/>
      </c>
      <c r="T679" s="112" t="str">
        <f aca="false">IFERROR(IF([2]对账明细接口!$O679=0,"",[2]对账明细接口!$O679),"")</f>
        <v/>
      </c>
      <c r="U679" s="112" t="str">
        <f aca="false">IFERROR(IF([2]对账明细接口!$P679=0,"",[2]对账明细接口!$P679),"")</f>
        <v/>
      </c>
      <c r="V679" s="112" t="str">
        <f aca="false">IFERROR(IF([2]对账明细接口!$Q679=0,"",[2]对账明细接口!$Q679),"")</f>
        <v/>
      </c>
      <c r="W679" s="10" t="str">
        <f aca="false">IFERROR(IF([2]对账明细接口!$R679=0,"",[2]对账明细接口!$R679),"")</f>
        <v/>
      </c>
      <c r="X679" s="10" t="str">
        <f aca="false">IFERROR(IF([2]对账明细接口!$S679=0,"",[2]对账明细接口!$S679),"")</f>
        <v/>
      </c>
      <c r="Y679" s="10" t="str">
        <f aca="false">IFERROR(IF([2]对账明细接口!$T679=0,"",[2]对账明细接口!$T679),"")</f>
        <v/>
      </c>
      <c r="Z679" s="113" t="str">
        <f aca="false">IFERROR(IF([2]对账明细接口!$U679=0,"",[2]对账明细接口!$U679),"")</f>
        <v/>
      </c>
      <c r="AA679" s="113" t="str">
        <f aca="false">IFERROR(IF([2]对账明细接口!$V679=0,"",[2]对账明细接口!$V679),"")</f>
        <v/>
      </c>
      <c r="AB679" s="10" t="str">
        <f aca="false">IFERROR(IF([2]对账明细接口!$W679=0,"",[2]对账明细接口!$W679),"")</f>
        <v/>
      </c>
      <c r="AC679" s="90" t="str">
        <f aca="false">IFERROR(IF([2]对账明细接口!$X680=0,"",[2]对账明细接口!$X680),"")</f>
        <v/>
      </c>
      <c r="AD679" s="90" t="str">
        <f aca="false">IFERROR(IF([2]对账明细接口!$Y680=0,"",[2]对账明细接口!$Y680),"")</f>
        <v/>
      </c>
      <c r="AE679" s="90" t="str">
        <f aca="false">IFERROR(IF([2]对账明细接口!$AA680=0,"",[2]对账明细接口!$AA680),"")</f>
        <v/>
      </c>
      <c r="AF679" s="90" t="str">
        <f aca="false">IFERROR(IF([2]对账明细接口!$AB680=0,"",[2]对账明细接口!$AB680),"")</f>
        <v/>
      </c>
      <c r="AG679" s="90" t="str">
        <f aca="false">IFERROR(IF([2]对账明细接口!$AC680=0,"",[2]对账明细接口!$AC680),"")</f>
        <v/>
      </c>
      <c r="AH679" s="90" t="str">
        <f aca="false">IFERROR(IF([2]对账明细接口!$AD680=0,"",[2]对账明细接口!$AD680),"")</f>
        <v/>
      </c>
    </row>
    <row r="680" customFormat="false" ht="13.5" hidden="false" customHeight="false" outlineLevel="0" collapsed="false">
      <c r="A680" s="109" t="n">
        <v>680</v>
      </c>
      <c r="B680" s="110" t="str">
        <f aca="false">IFERROR(IF([2]对账明细接口!$B$680=0,"",[2]对账明细接口!$B$680),"")</f>
        <v/>
      </c>
      <c r="C680" s="59" t="str">
        <f aca="false">IFERROR(IF([2]对账明细接口!$C$680=0,"",[2]对账明细接口!$C$680),"")</f>
        <v/>
      </c>
      <c r="D680" s="59" t="str">
        <f aca="false">IFERROR(IF([2]对账明细接口!$D$680=0,"",[2]对账明细接口!$D$680),"")</f>
        <v/>
      </c>
      <c r="E680" s="59" t="str">
        <f aca="false">IFERROR(IF([2]对账明细接口!$E$680=0,"",[2]对账明细接口!$E$680),"")</f>
        <v/>
      </c>
      <c r="F680" s="59" t="str">
        <f aca="false">IFERROR(IF([2]对账明细接口!$F$680=0,"",[2]对账明细接口!$F$680),"")</f>
        <v/>
      </c>
      <c r="G680" s="59" t="str">
        <f aca="false">IFERROR(IF([2]对账明细接口!$G$680=0,"",[2]对账明细接口!$G$680),"")</f>
        <v/>
      </c>
      <c r="H680" s="60" t="str">
        <f aca="false">IFERROR(IF([2]对账明细接口!$H$680=0,"",[2]对账明细接口!$H$680),"")</f>
        <v/>
      </c>
      <c r="I680" s="59" t="str">
        <f aca="false">IFERROR(IF([2]对账明细接口!$I$680=0,"",[2]对账明细接口!$I$680),"")</f>
        <v/>
      </c>
      <c r="J680" s="61" t="str">
        <f aca="false">IFERROR(IF([2]对账明细接口!$J$680=0,"",[2]对账明细接口!$J$680),"")</f>
        <v/>
      </c>
      <c r="K680" s="61" t="str">
        <f aca="false">IFERROR(IF([2]对账明细接口!$K$680=0,"",[2]对账明细接口!$K$680),"")</f>
        <v/>
      </c>
      <c r="L680" s="59" t="str">
        <f aca="false">IFERROR(IF([2]对账明细接口!$L$680=0,"",[2]对账明细接口!$L$680),"")</f>
        <v/>
      </c>
      <c r="M680" s="59" t="str">
        <f aca="false">IFERROR(IF([2]对账明细接口!$M$680=0,"",[2]对账明细接口!$M$680),"")</f>
        <v/>
      </c>
      <c r="N680" s="111" t="n">
        <f aca="false">IF($C680="",0,1)</f>
        <v>0</v>
      </c>
      <c r="O680" s="111" t="n">
        <f aca="false">N(O679)+$N680</f>
        <v>311</v>
      </c>
      <c r="S680" s="10" t="str">
        <f aca="false">IFERROR(IF([2]对账明细接口!$N680=0,"",[2]对账明细接口!$N680),"")</f>
        <v/>
      </c>
      <c r="T680" s="112" t="str">
        <f aca="false">IFERROR(IF([2]对账明细接口!$O680=0,"",[2]对账明细接口!$O680),"")</f>
        <v/>
      </c>
      <c r="U680" s="112" t="str">
        <f aca="false">IFERROR(IF([2]对账明细接口!$P680=0,"",[2]对账明细接口!$P680),"")</f>
        <v/>
      </c>
      <c r="V680" s="112" t="str">
        <f aca="false">IFERROR(IF([2]对账明细接口!$Q680=0,"",[2]对账明细接口!$Q680),"")</f>
        <v/>
      </c>
      <c r="W680" s="10" t="str">
        <f aca="false">IFERROR(IF([2]对账明细接口!$R680=0,"",[2]对账明细接口!$R680),"")</f>
        <v/>
      </c>
      <c r="X680" s="10" t="str">
        <f aca="false">IFERROR(IF([2]对账明细接口!$S680=0,"",[2]对账明细接口!$S680),"")</f>
        <v/>
      </c>
      <c r="Y680" s="10" t="str">
        <f aca="false">IFERROR(IF([2]对账明细接口!$T680=0,"",[2]对账明细接口!$T680),"")</f>
        <v/>
      </c>
      <c r="Z680" s="113" t="str">
        <f aca="false">IFERROR(IF([2]对账明细接口!$U680=0,"",[2]对账明细接口!$U680),"")</f>
        <v/>
      </c>
      <c r="AA680" s="113" t="str">
        <f aca="false">IFERROR(IF([2]对账明细接口!$V680=0,"",[2]对账明细接口!$V680),"")</f>
        <v/>
      </c>
      <c r="AB680" s="10" t="str">
        <f aca="false">IFERROR(IF([2]对账明细接口!$W680=0,"",[2]对账明细接口!$W680),"")</f>
        <v/>
      </c>
      <c r="AC680" s="90" t="str">
        <f aca="false">IFERROR(IF([2]对账明细接口!$X681=0,"",[2]对账明细接口!$X681),"")</f>
        <v/>
      </c>
      <c r="AD680" s="90" t="str">
        <f aca="false">IFERROR(IF([2]对账明细接口!$Y681=0,"",[2]对账明细接口!$Y681),"")</f>
        <v/>
      </c>
      <c r="AE680" s="90" t="str">
        <f aca="false">IFERROR(IF([2]对账明细接口!$AA681=0,"",[2]对账明细接口!$AA681),"")</f>
        <v/>
      </c>
      <c r="AF680" s="90" t="str">
        <f aca="false">IFERROR(IF([2]对账明细接口!$AB681=0,"",[2]对账明细接口!$AB681),"")</f>
        <v/>
      </c>
      <c r="AG680" s="90" t="str">
        <f aca="false">IFERROR(IF([2]对账明细接口!$AC681=0,"",[2]对账明细接口!$AC681),"")</f>
        <v/>
      </c>
      <c r="AH680" s="90" t="str">
        <f aca="false">IFERROR(IF([2]对账明细接口!$AD681=0,"",[2]对账明细接口!$AD681),"")</f>
        <v/>
      </c>
    </row>
    <row r="681" customFormat="false" ht="13.5" hidden="false" customHeight="false" outlineLevel="0" collapsed="false">
      <c r="A681" s="109" t="n">
        <v>681</v>
      </c>
      <c r="B681" s="110" t="str">
        <f aca="false">IFERROR(IF([2]对账明细接口!$B$681=0,"",[2]对账明细接口!$B$681),"")</f>
        <v/>
      </c>
      <c r="C681" s="59" t="str">
        <f aca="false">IFERROR(IF([2]对账明细接口!$C$681=0,"",[2]对账明细接口!$C$681),"")</f>
        <v/>
      </c>
      <c r="D681" s="59" t="str">
        <f aca="false">IFERROR(IF([2]对账明细接口!$D$681=0,"",[2]对账明细接口!$D$681),"")</f>
        <v/>
      </c>
      <c r="E681" s="59" t="str">
        <f aca="false">IFERROR(IF([2]对账明细接口!$E$681=0,"",[2]对账明细接口!$E$681),"")</f>
        <v/>
      </c>
      <c r="F681" s="59" t="str">
        <f aca="false">IFERROR(IF([2]对账明细接口!$F$681=0,"",[2]对账明细接口!$F$681),"")</f>
        <v/>
      </c>
      <c r="G681" s="59" t="str">
        <f aca="false">IFERROR(IF([2]对账明细接口!$G$681=0,"",[2]对账明细接口!$G$681),"")</f>
        <v/>
      </c>
      <c r="H681" s="60" t="str">
        <f aca="false">IFERROR(IF([2]对账明细接口!$H$681=0,"",[2]对账明细接口!$H$681),"")</f>
        <v/>
      </c>
      <c r="I681" s="59" t="str">
        <f aca="false">IFERROR(IF([2]对账明细接口!$I$681=0,"",[2]对账明细接口!$I$681),"")</f>
        <v/>
      </c>
      <c r="J681" s="61" t="str">
        <f aca="false">IFERROR(IF([2]对账明细接口!$J$681=0,"",[2]对账明细接口!$J$681),"")</f>
        <v/>
      </c>
      <c r="K681" s="61" t="str">
        <f aca="false">IFERROR(IF([2]对账明细接口!$K$681=0,"",[2]对账明细接口!$K$681),"")</f>
        <v/>
      </c>
      <c r="L681" s="59" t="str">
        <f aca="false">IFERROR(IF([2]对账明细接口!$L$681=0,"",[2]对账明细接口!$L$681),"")</f>
        <v/>
      </c>
      <c r="M681" s="59" t="str">
        <f aca="false">IFERROR(IF([2]对账明细接口!$M$681=0,"",[2]对账明细接口!$M$681),"")</f>
        <v/>
      </c>
      <c r="N681" s="111" t="n">
        <f aca="false">IF($C681="",0,1)</f>
        <v>0</v>
      </c>
      <c r="O681" s="111" t="n">
        <f aca="false">N(O680)+$N681</f>
        <v>311</v>
      </c>
      <c r="S681" s="10" t="str">
        <f aca="false">IFERROR(IF([2]对账明细接口!$N681=0,"",[2]对账明细接口!$N681),"")</f>
        <v/>
      </c>
      <c r="T681" s="112" t="str">
        <f aca="false">IFERROR(IF([2]对账明细接口!$O681=0,"",[2]对账明细接口!$O681),"")</f>
        <v/>
      </c>
      <c r="U681" s="112" t="str">
        <f aca="false">IFERROR(IF([2]对账明细接口!$P681=0,"",[2]对账明细接口!$P681),"")</f>
        <v/>
      </c>
      <c r="V681" s="112" t="str">
        <f aca="false">IFERROR(IF([2]对账明细接口!$Q681=0,"",[2]对账明细接口!$Q681),"")</f>
        <v/>
      </c>
      <c r="W681" s="10" t="str">
        <f aca="false">IFERROR(IF([2]对账明细接口!$R681=0,"",[2]对账明细接口!$R681),"")</f>
        <v/>
      </c>
      <c r="X681" s="10" t="str">
        <f aca="false">IFERROR(IF([2]对账明细接口!$S681=0,"",[2]对账明细接口!$S681),"")</f>
        <v/>
      </c>
      <c r="Y681" s="10" t="str">
        <f aca="false">IFERROR(IF([2]对账明细接口!$T681=0,"",[2]对账明细接口!$T681),"")</f>
        <v/>
      </c>
      <c r="Z681" s="113" t="str">
        <f aca="false">IFERROR(IF([2]对账明细接口!$U681=0,"",[2]对账明细接口!$U681),"")</f>
        <v/>
      </c>
      <c r="AA681" s="113" t="str">
        <f aca="false">IFERROR(IF([2]对账明细接口!$V681=0,"",[2]对账明细接口!$V681),"")</f>
        <v/>
      </c>
      <c r="AB681" s="10" t="str">
        <f aca="false">IFERROR(IF([2]对账明细接口!$W681=0,"",[2]对账明细接口!$W681),"")</f>
        <v/>
      </c>
      <c r="AC681" s="90" t="str">
        <f aca="false">IFERROR(IF([2]对账明细接口!$X682=0,"",[2]对账明细接口!$X682),"")</f>
        <v/>
      </c>
      <c r="AD681" s="90" t="str">
        <f aca="false">IFERROR(IF([2]对账明细接口!$Y682=0,"",[2]对账明细接口!$Y682),"")</f>
        <v/>
      </c>
      <c r="AE681" s="90" t="str">
        <f aca="false">IFERROR(IF([2]对账明细接口!$AA682=0,"",[2]对账明细接口!$AA682),"")</f>
        <v/>
      </c>
      <c r="AF681" s="90" t="str">
        <f aca="false">IFERROR(IF([2]对账明细接口!$AB682=0,"",[2]对账明细接口!$AB682),"")</f>
        <v/>
      </c>
      <c r="AG681" s="90" t="str">
        <f aca="false">IFERROR(IF([2]对账明细接口!$AC682=0,"",[2]对账明细接口!$AC682),"")</f>
        <v/>
      </c>
      <c r="AH681" s="90" t="str">
        <f aca="false">IFERROR(IF([2]对账明细接口!$AD682=0,"",[2]对账明细接口!$AD682),"")</f>
        <v/>
      </c>
    </row>
    <row r="682" customFormat="false" ht="13.5" hidden="false" customHeight="false" outlineLevel="0" collapsed="false">
      <c r="A682" s="109" t="n">
        <v>682</v>
      </c>
      <c r="B682" s="110" t="str">
        <f aca="false">IFERROR(IF([2]对账明细接口!$B$682=0,"",[2]对账明细接口!$B$682),"")</f>
        <v/>
      </c>
      <c r="C682" s="59" t="str">
        <f aca="false">IFERROR(IF([2]对账明细接口!$C$682=0,"",[2]对账明细接口!$C$682),"")</f>
        <v/>
      </c>
      <c r="D682" s="59" t="str">
        <f aca="false">IFERROR(IF([2]对账明细接口!$D$682=0,"",[2]对账明细接口!$D$682),"")</f>
        <v/>
      </c>
      <c r="E682" s="59" t="str">
        <f aca="false">IFERROR(IF([2]对账明细接口!$E$682=0,"",[2]对账明细接口!$E$682),"")</f>
        <v/>
      </c>
      <c r="F682" s="59" t="str">
        <f aca="false">IFERROR(IF([2]对账明细接口!$F$682=0,"",[2]对账明细接口!$F$682),"")</f>
        <v/>
      </c>
      <c r="G682" s="59" t="str">
        <f aca="false">IFERROR(IF([2]对账明细接口!$G$682=0,"",[2]对账明细接口!$G$682),"")</f>
        <v/>
      </c>
      <c r="H682" s="60" t="str">
        <f aca="false">IFERROR(IF([2]对账明细接口!$H$682=0,"",[2]对账明细接口!$H$682),"")</f>
        <v/>
      </c>
      <c r="I682" s="59" t="str">
        <f aca="false">IFERROR(IF([2]对账明细接口!$I$682=0,"",[2]对账明细接口!$I$682),"")</f>
        <v/>
      </c>
      <c r="J682" s="61" t="str">
        <f aca="false">IFERROR(IF([2]对账明细接口!$J$682=0,"",[2]对账明细接口!$J$682),"")</f>
        <v/>
      </c>
      <c r="K682" s="61" t="str">
        <f aca="false">IFERROR(IF([2]对账明细接口!$K$682=0,"",[2]对账明细接口!$K$682),"")</f>
        <v/>
      </c>
      <c r="L682" s="59" t="str">
        <f aca="false">IFERROR(IF([2]对账明细接口!$L$682=0,"",[2]对账明细接口!$L$682),"")</f>
        <v/>
      </c>
      <c r="M682" s="59" t="str">
        <f aca="false">IFERROR(IF([2]对账明细接口!$M$682=0,"",[2]对账明细接口!$M$682),"")</f>
        <v/>
      </c>
      <c r="N682" s="111" t="n">
        <f aca="false">IF($C682="",0,1)</f>
        <v>0</v>
      </c>
      <c r="O682" s="111" t="n">
        <f aca="false">N(O681)+$N682</f>
        <v>311</v>
      </c>
      <c r="S682" s="10" t="str">
        <f aca="false">IFERROR(IF([2]对账明细接口!$N682=0,"",[2]对账明细接口!$N682),"")</f>
        <v/>
      </c>
      <c r="T682" s="112" t="str">
        <f aca="false">IFERROR(IF([2]对账明细接口!$O682=0,"",[2]对账明细接口!$O682),"")</f>
        <v/>
      </c>
      <c r="U682" s="112" t="str">
        <f aca="false">IFERROR(IF([2]对账明细接口!$P682=0,"",[2]对账明细接口!$P682),"")</f>
        <v/>
      </c>
      <c r="V682" s="112" t="str">
        <f aca="false">IFERROR(IF([2]对账明细接口!$Q682=0,"",[2]对账明细接口!$Q682),"")</f>
        <v/>
      </c>
      <c r="W682" s="10" t="str">
        <f aca="false">IFERROR(IF([2]对账明细接口!$R682=0,"",[2]对账明细接口!$R682),"")</f>
        <v/>
      </c>
      <c r="X682" s="10" t="str">
        <f aca="false">IFERROR(IF([2]对账明细接口!$S682=0,"",[2]对账明细接口!$S682),"")</f>
        <v/>
      </c>
      <c r="Y682" s="10" t="str">
        <f aca="false">IFERROR(IF([2]对账明细接口!$T682=0,"",[2]对账明细接口!$T682),"")</f>
        <v/>
      </c>
      <c r="Z682" s="113" t="str">
        <f aca="false">IFERROR(IF([2]对账明细接口!$U682=0,"",[2]对账明细接口!$U682),"")</f>
        <v/>
      </c>
      <c r="AA682" s="113" t="str">
        <f aca="false">IFERROR(IF([2]对账明细接口!$V682=0,"",[2]对账明细接口!$V682),"")</f>
        <v/>
      </c>
      <c r="AB682" s="10" t="str">
        <f aca="false">IFERROR(IF([2]对账明细接口!$W682=0,"",[2]对账明细接口!$W682),"")</f>
        <v/>
      </c>
      <c r="AC682" s="90" t="str">
        <f aca="false">IFERROR(IF([2]对账明细接口!$X683=0,"",[2]对账明细接口!$X683),"")</f>
        <v/>
      </c>
      <c r="AD682" s="90" t="str">
        <f aca="false">IFERROR(IF([2]对账明细接口!$Y683=0,"",[2]对账明细接口!$Y683),"")</f>
        <v/>
      </c>
      <c r="AE682" s="90" t="str">
        <f aca="false">IFERROR(IF([2]对账明细接口!$AA683=0,"",[2]对账明细接口!$AA683),"")</f>
        <v/>
      </c>
      <c r="AF682" s="90" t="str">
        <f aca="false">IFERROR(IF([2]对账明细接口!$AB683=0,"",[2]对账明细接口!$AB683),"")</f>
        <v/>
      </c>
      <c r="AG682" s="90" t="str">
        <f aca="false">IFERROR(IF([2]对账明细接口!$AC683=0,"",[2]对账明细接口!$AC683),"")</f>
        <v/>
      </c>
      <c r="AH682" s="90" t="str">
        <f aca="false">IFERROR(IF([2]对账明细接口!$AD683=0,"",[2]对账明细接口!$AD683),"")</f>
        <v/>
      </c>
    </row>
    <row r="683" customFormat="false" ht="13.5" hidden="false" customHeight="false" outlineLevel="0" collapsed="false">
      <c r="A683" s="109" t="n">
        <v>683</v>
      </c>
      <c r="B683" s="110" t="str">
        <f aca="false">IFERROR(IF([2]对账明细接口!$B$683=0,"",[2]对账明细接口!$B$683),"")</f>
        <v/>
      </c>
      <c r="C683" s="59" t="str">
        <f aca="false">IFERROR(IF([2]对账明细接口!$C$683=0,"",[2]对账明细接口!$C$683),"")</f>
        <v/>
      </c>
      <c r="D683" s="59" t="str">
        <f aca="false">IFERROR(IF([2]对账明细接口!$D$683=0,"",[2]对账明细接口!$D$683),"")</f>
        <v/>
      </c>
      <c r="E683" s="59" t="str">
        <f aca="false">IFERROR(IF([2]对账明细接口!$E$683=0,"",[2]对账明细接口!$E$683),"")</f>
        <v/>
      </c>
      <c r="F683" s="59" t="str">
        <f aca="false">IFERROR(IF([2]对账明细接口!$F$683=0,"",[2]对账明细接口!$F$683),"")</f>
        <v/>
      </c>
      <c r="G683" s="59" t="str">
        <f aca="false">IFERROR(IF([2]对账明细接口!$G$683=0,"",[2]对账明细接口!$G$683),"")</f>
        <v/>
      </c>
      <c r="H683" s="60" t="str">
        <f aca="false">IFERROR(IF([2]对账明细接口!$H$683=0,"",[2]对账明细接口!$H$683),"")</f>
        <v/>
      </c>
      <c r="I683" s="59" t="str">
        <f aca="false">IFERROR(IF([2]对账明细接口!$I$683=0,"",[2]对账明细接口!$I$683),"")</f>
        <v/>
      </c>
      <c r="J683" s="61" t="str">
        <f aca="false">IFERROR(IF([2]对账明细接口!$J$683=0,"",[2]对账明细接口!$J$683),"")</f>
        <v/>
      </c>
      <c r="K683" s="61" t="str">
        <f aca="false">IFERROR(IF([2]对账明细接口!$K$683=0,"",[2]对账明细接口!$K$683),"")</f>
        <v/>
      </c>
      <c r="L683" s="59" t="str">
        <f aca="false">IFERROR(IF([2]对账明细接口!$L$683=0,"",[2]对账明细接口!$L$683),"")</f>
        <v/>
      </c>
      <c r="M683" s="59" t="str">
        <f aca="false">IFERROR(IF([2]对账明细接口!$M$683=0,"",[2]对账明细接口!$M$683),"")</f>
        <v/>
      </c>
      <c r="N683" s="111" t="n">
        <f aca="false">IF($C683="",0,1)</f>
        <v>0</v>
      </c>
      <c r="O683" s="111" t="n">
        <f aca="false">N(O682)+$N683</f>
        <v>311</v>
      </c>
      <c r="S683" s="10" t="str">
        <f aca="false">IFERROR(IF([2]对账明细接口!$N683=0,"",[2]对账明细接口!$N683),"")</f>
        <v/>
      </c>
      <c r="T683" s="112" t="str">
        <f aca="false">IFERROR(IF([2]对账明细接口!$O683=0,"",[2]对账明细接口!$O683),"")</f>
        <v/>
      </c>
      <c r="U683" s="112" t="str">
        <f aca="false">IFERROR(IF([2]对账明细接口!$P683=0,"",[2]对账明细接口!$P683),"")</f>
        <v/>
      </c>
      <c r="V683" s="112" t="str">
        <f aca="false">IFERROR(IF([2]对账明细接口!$Q683=0,"",[2]对账明细接口!$Q683),"")</f>
        <v/>
      </c>
      <c r="W683" s="10" t="str">
        <f aca="false">IFERROR(IF([2]对账明细接口!$R683=0,"",[2]对账明细接口!$R683),"")</f>
        <v/>
      </c>
      <c r="X683" s="10" t="str">
        <f aca="false">IFERROR(IF([2]对账明细接口!$S683=0,"",[2]对账明细接口!$S683),"")</f>
        <v/>
      </c>
      <c r="Y683" s="10" t="str">
        <f aca="false">IFERROR(IF([2]对账明细接口!$T683=0,"",[2]对账明细接口!$T683),"")</f>
        <v/>
      </c>
      <c r="Z683" s="113" t="str">
        <f aca="false">IFERROR(IF([2]对账明细接口!$U683=0,"",[2]对账明细接口!$U683),"")</f>
        <v/>
      </c>
      <c r="AA683" s="113" t="str">
        <f aca="false">IFERROR(IF([2]对账明细接口!$V683=0,"",[2]对账明细接口!$V683),"")</f>
        <v/>
      </c>
      <c r="AB683" s="10" t="str">
        <f aca="false">IFERROR(IF([2]对账明细接口!$W683=0,"",[2]对账明细接口!$W683),"")</f>
        <v/>
      </c>
      <c r="AC683" s="90" t="str">
        <f aca="false">IFERROR(IF([2]对账明细接口!$X684=0,"",[2]对账明细接口!$X684),"")</f>
        <v/>
      </c>
      <c r="AD683" s="90" t="str">
        <f aca="false">IFERROR(IF([2]对账明细接口!$Y684=0,"",[2]对账明细接口!$Y684),"")</f>
        <v/>
      </c>
      <c r="AE683" s="90" t="str">
        <f aca="false">IFERROR(IF([2]对账明细接口!$AA684=0,"",[2]对账明细接口!$AA684),"")</f>
        <v/>
      </c>
      <c r="AF683" s="90" t="str">
        <f aca="false">IFERROR(IF([2]对账明细接口!$AB684=0,"",[2]对账明细接口!$AB684),"")</f>
        <v/>
      </c>
      <c r="AG683" s="90" t="str">
        <f aca="false">IFERROR(IF([2]对账明细接口!$AC684=0,"",[2]对账明细接口!$AC684),"")</f>
        <v/>
      </c>
      <c r="AH683" s="90" t="str">
        <f aca="false">IFERROR(IF([2]对账明细接口!$AD684=0,"",[2]对账明细接口!$AD684),"")</f>
        <v/>
      </c>
    </row>
    <row r="684" customFormat="false" ht="13.5" hidden="false" customHeight="false" outlineLevel="0" collapsed="false">
      <c r="A684" s="109" t="n">
        <v>684</v>
      </c>
      <c r="B684" s="110" t="str">
        <f aca="false">IFERROR(IF([2]对账明细接口!$B$684=0,"",[2]对账明细接口!$B$684),"")</f>
        <v/>
      </c>
      <c r="C684" s="59" t="str">
        <f aca="false">IFERROR(IF([2]对账明细接口!$C$684=0,"",[2]对账明细接口!$C$684),"")</f>
        <v/>
      </c>
      <c r="D684" s="59" t="str">
        <f aca="false">IFERROR(IF([2]对账明细接口!$D$684=0,"",[2]对账明细接口!$D$684),"")</f>
        <v/>
      </c>
      <c r="E684" s="59" t="str">
        <f aca="false">IFERROR(IF([2]对账明细接口!$E$684=0,"",[2]对账明细接口!$E$684),"")</f>
        <v/>
      </c>
      <c r="F684" s="59" t="str">
        <f aca="false">IFERROR(IF([2]对账明细接口!$F$684=0,"",[2]对账明细接口!$F$684),"")</f>
        <v/>
      </c>
      <c r="G684" s="59" t="str">
        <f aca="false">IFERROR(IF([2]对账明细接口!$G$684=0,"",[2]对账明细接口!$G$684),"")</f>
        <v/>
      </c>
      <c r="H684" s="60" t="str">
        <f aca="false">IFERROR(IF([2]对账明细接口!$H$684=0,"",[2]对账明细接口!$H$684),"")</f>
        <v/>
      </c>
      <c r="I684" s="59" t="str">
        <f aca="false">IFERROR(IF([2]对账明细接口!$I$684=0,"",[2]对账明细接口!$I$684),"")</f>
        <v/>
      </c>
      <c r="J684" s="61" t="str">
        <f aca="false">IFERROR(IF([2]对账明细接口!$J$684=0,"",[2]对账明细接口!$J$684),"")</f>
        <v/>
      </c>
      <c r="K684" s="61" t="str">
        <f aca="false">IFERROR(IF([2]对账明细接口!$K$684=0,"",[2]对账明细接口!$K$684),"")</f>
        <v/>
      </c>
      <c r="L684" s="59" t="str">
        <f aca="false">IFERROR(IF([2]对账明细接口!$L$684=0,"",[2]对账明细接口!$L$684),"")</f>
        <v/>
      </c>
      <c r="M684" s="59" t="str">
        <f aca="false">IFERROR(IF([2]对账明细接口!$M$684=0,"",[2]对账明细接口!$M$684),"")</f>
        <v/>
      </c>
      <c r="N684" s="111" t="n">
        <f aca="false">IF($C684="",0,1)</f>
        <v>0</v>
      </c>
      <c r="O684" s="111" t="n">
        <f aca="false">N(O683)+$N684</f>
        <v>311</v>
      </c>
      <c r="S684" s="10" t="str">
        <f aca="false">IFERROR(IF([2]对账明细接口!$N684=0,"",[2]对账明细接口!$N684),"")</f>
        <v/>
      </c>
      <c r="T684" s="112" t="str">
        <f aca="false">IFERROR(IF([2]对账明细接口!$O684=0,"",[2]对账明细接口!$O684),"")</f>
        <v/>
      </c>
      <c r="U684" s="112" t="str">
        <f aca="false">IFERROR(IF([2]对账明细接口!$P684=0,"",[2]对账明细接口!$P684),"")</f>
        <v/>
      </c>
      <c r="V684" s="112" t="str">
        <f aca="false">IFERROR(IF([2]对账明细接口!$Q684=0,"",[2]对账明细接口!$Q684),"")</f>
        <v/>
      </c>
      <c r="W684" s="10" t="str">
        <f aca="false">IFERROR(IF([2]对账明细接口!$R684=0,"",[2]对账明细接口!$R684),"")</f>
        <v/>
      </c>
      <c r="X684" s="10" t="str">
        <f aca="false">IFERROR(IF([2]对账明细接口!$S684=0,"",[2]对账明细接口!$S684),"")</f>
        <v/>
      </c>
      <c r="Y684" s="10" t="str">
        <f aca="false">IFERROR(IF([2]对账明细接口!$T684=0,"",[2]对账明细接口!$T684),"")</f>
        <v/>
      </c>
      <c r="Z684" s="113" t="str">
        <f aca="false">IFERROR(IF([2]对账明细接口!$U684=0,"",[2]对账明细接口!$U684),"")</f>
        <v/>
      </c>
      <c r="AA684" s="113" t="str">
        <f aca="false">IFERROR(IF([2]对账明细接口!$V684=0,"",[2]对账明细接口!$V684),"")</f>
        <v/>
      </c>
      <c r="AB684" s="10" t="str">
        <f aca="false">IFERROR(IF([2]对账明细接口!$W684=0,"",[2]对账明细接口!$W684),"")</f>
        <v/>
      </c>
      <c r="AC684" s="90" t="str">
        <f aca="false">IFERROR(IF([2]对账明细接口!$X685=0,"",[2]对账明细接口!$X685),"")</f>
        <v/>
      </c>
      <c r="AD684" s="90" t="str">
        <f aca="false">IFERROR(IF([2]对账明细接口!$Y685=0,"",[2]对账明细接口!$Y685),"")</f>
        <v/>
      </c>
      <c r="AE684" s="90" t="str">
        <f aca="false">IFERROR(IF([2]对账明细接口!$AA685=0,"",[2]对账明细接口!$AA685),"")</f>
        <v/>
      </c>
      <c r="AF684" s="90" t="str">
        <f aca="false">IFERROR(IF([2]对账明细接口!$AB685=0,"",[2]对账明细接口!$AB685),"")</f>
        <v/>
      </c>
      <c r="AG684" s="90" t="str">
        <f aca="false">IFERROR(IF([2]对账明细接口!$AC685=0,"",[2]对账明细接口!$AC685),"")</f>
        <v/>
      </c>
      <c r="AH684" s="90" t="str">
        <f aca="false">IFERROR(IF([2]对账明细接口!$AD685=0,"",[2]对账明细接口!$AD685),"")</f>
        <v/>
      </c>
    </row>
    <row r="685" customFormat="false" ht="13.5" hidden="false" customHeight="false" outlineLevel="0" collapsed="false">
      <c r="A685" s="109" t="n">
        <v>685</v>
      </c>
      <c r="B685" s="110" t="str">
        <f aca="false">IFERROR(IF([2]对账明细接口!$B$685=0,"",[2]对账明细接口!$B$685),"")</f>
        <v/>
      </c>
      <c r="C685" s="59" t="str">
        <f aca="false">IFERROR(IF([2]对账明细接口!$C$685=0,"",[2]对账明细接口!$C$685),"")</f>
        <v/>
      </c>
      <c r="D685" s="59" t="str">
        <f aca="false">IFERROR(IF([2]对账明细接口!$D$685=0,"",[2]对账明细接口!$D$685),"")</f>
        <v/>
      </c>
      <c r="E685" s="59" t="str">
        <f aca="false">IFERROR(IF([2]对账明细接口!$E$685=0,"",[2]对账明细接口!$E$685),"")</f>
        <v/>
      </c>
      <c r="F685" s="59" t="str">
        <f aca="false">IFERROR(IF([2]对账明细接口!$F$685=0,"",[2]对账明细接口!$F$685),"")</f>
        <v/>
      </c>
      <c r="G685" s="59" t="str">
        <f aca="false">IFERROR(IF([2]对账明细接口!$G$685=0,"",[2]对账明细接口!$G$685),"")</f>
        <v/>
      </c>
      <c r="H685" s="60" t="str">
        <f aca="false">IFERROR(IF([2]对账明细接口!$H$685=0,"",[2]对账明细接口!$H$685),"")</f>
        <v/>
      </c>
      <c r="I685" s="59" t="str">
        <f aca="false">IFERROR(IF([2]对账明细接口!$I$685=0,"",[2]对账明细接口!$I$685),"")</f>
        <v/>
      </c>
      <c r="J685" s="61" t="str">
        <f aca="false">IFERROR(IF([2]对账明细接口!$J$685=0,"",[2]对账明细接口!$J$685),"")</f>
        <v/>
      </c>
      <c r="K685" s="61" t="str">
        <f aca="false">IFERROR(IF([2]对账明细接口!$K$685=0,"",[2]对账明细接口!$K$685),"")</f>
        <v/>
      </c>
      <c r="L685" s="59" t="str">
        <f aca="false">IFERROR(IF([2]对账明细接口!$L$685=0,"",[2]对账明细接口!$L$685),"")</f>
        <v/>
      </c>
      <c r="M685" s="59" t="str">
        <f aca="false">IFERROR(IF([2]对账明细接口!$M$685=0,"",[2]对账明细接口!$M$685),"")</f>
        <v/>
      </c>
      <c r="N685" s="111" t="n">
        <f aca="false">IF($C685="",0,1)</f>
        <v>0</v>
      </c>
      <c r="O685" s="111" t="n">
        <f aca="false">N(O684)+$N685</f>
        <v>311</v>
      </c>
      <c r="S685" s="10" t="str">
        <f aca="false">IFERROR(IF([2]对账明细接口!$N685=0,"",[2]对账明细接口!$N685),"")</f>
        <v/>
      </c>
      <c r="T685" s="112" t="str">
        <f aca="false">IFERROR(IF([2]对账明细接口!$O685=0,"",[2]对账明细接口!$O685),"")</f>
        <v/>
      </c>
      <c r="U685" s="112" t="str">
        <f aca="false">IFERROR(IF([2]对账明细接口!$P685=0,"",[2]对账明细接口!$P685),"")</f>
        <v/>
      </c>
      <c r="V685" s="112" t="str">
        <f aca="false">IFERROR(IF([2]对账明细接口!$Q685=0,"",[2]对账明细接口!$Q685),"")</f>
        <v/>
      </c>
      <c r="W685" s="10" t="str">
        <f aca="false">IFERROR(IF([2]对账明细接口!$R685=0,"",[2]对账明细接口!$R685),"")</f>
        <v/>
      </c>
      <c r="X685" s="10" t="str">
        <f aca="false">IFERROR(IF([2]对账明细接口!$S685=0,"",[2]对账明细接口!$S685),"")</f>
        <v/>
      </c>
      <c r="Y685" s="10" t="str">
        <f aca="false">IFERROR(IF([2]对账明细接口!$T685=0,"",[2]对账明细接口!$T685),"")</f>
        <v/>
      </c>
      <c r="Z685" s="113" t="str">
        <f aca="false">IFERROR(IF([2]对账明细接口!$U685=0,"",[2]对账明细接口!$U685),"")</f>
        <v/>
      </c>
      <c r="AA685" s="113" t="str">
        <f aca="false">IFERROR(IF([2]对账明细接口!$V685=0,"",[2]对账明细接口!$V685),"")</f>
        <v/>
      </c>
      <c r="AB685" s="10" t="str">
        <f aca="false">IFERROR(IF([2]对账明细接口!$W685=0,"",[2]对账明细接口!$W685),"")</f>
        <v/>
      </c>
      <c r="AC685" s="90" t="str">
        <f aca="false">IFERROR(IF([2]对账明细接口!$X686=0,"",[2]对账明细接口!$X686),"")</f>
        <v/>
      </c>
      <c r="AD685" s="90" t="str">
        <f aca="false">IFERROR(IF([2]对账明细接口!$Y686=0,"",[2]对账明细接口!$Y686),"")</f>
        <v/>
      </c>
      <c r="AE685" s="90" t="str">
        <f aca="false">IFERROR(IF([2]对账明细接口!$AA686=0,"",[2]对账明细接口!$AA686),"")</f>
        <v/>
      </c>
      <c r="AF685" s="90" t="str">
        <f aca="false">IFERROR(IF([2]对账明细接口!$AB686=0,"",[2]对账明细接口!$AB686),"")</f>
        <v/>
      </c>
      <c r="AG685" s="90" t="str">
        <f aca="false">IFERROR(IF([2]对账明细接口!$AC686=0,"",[2]对账明细接口!$AC686),"")</f>
        <v/>
      </c>
      <c r="AH685" s="90" t="str">
        <f aca="false">IFERROR(IF([2]对账明细接口!$AD686=0,"",[2]对账明细接口!$AD686),"")</f>
        <v/>
      </c>
    </row>
    <row r="686" customFormat="false" ht="13.5" hidden="false" customHeight="false" outlineLevel="0" collapsed="false">
      <c r="A686" s="109" t="n">
        <v>686</v>
      </c>
      <c r="B686" s="110" t="str">
        <f aca="false">IFERROR(IF([2]对账明细接口!$B$686=0,"",[2]对账明细接口!$B$686),"")</f>
        <v/>
      </c>
      <c r="C686" s="59" t="str">
        <f aca="false">IFERROR(IF([2]对账明细接口!$C$686=0,"",[2]对账明细接口!$C$686),"")</f>
        <v/>
      </c>
      <c r="D686" s="59" t="str">
        <f aca="false">IFERROR(IF([2]对账明细接口!$D$686=0,"",[2]对账明细接口!$D$686),"")</f>
        <v/>
      </c>
      <c r="E686" s="59" t="str">
        <f aca="false">IFERROR(IF([2]对账明细接口!$E$686=0,"",[2]对账明细接口!$E$686),"")</f>
        <v/>
      </c>
      <c r="F686" s="59" t="str">
        <f aca="false">IFERROR(IF([2]对账明细接口!$F$686=0,"",[2]对账明细接口!$F$686),"")</f>
        <v/>
      </c>
      <c r="G686" s="59" t="str">
        <f aca="false">IFERROR(IF([2]对账明细接口!$G$686=0,"",[2]对账明细接口!$G$686),"")</f>
        <v/>
      </c>
      <c r="H686" s="60" t="str">
        <f aca="false">IFERROR(IF([2]对账明细接口!$H$686=0,"",[2]对账明细接口!$H$686),"")</f>
        <v/>
      </c>
      <c r="I686" s="59" t="str">
        <f aca="false">IFERROR(IF([2]对账明细接口!$I$686=0,"",[2]对账明细接口!$I$686),"")</f>
        <v/>
      </c>
      <c r="J686" s="61" t="str">
        <f aca="false">IFERROR(IF([2]对账明细接口!$J$686=0,"",[2]对账明细接口!$J$686),"")</f>
        <v/>
      </c>
      <c r="K686" s="61" t="str">
        <f aca="false">IFERROR(IF([2]对账明细接口!$K$686=0,"",[2]对账明细接口!$K$686),"")</f>
        <v/>
      </c>
      <c r="L686" s="59" t="str">
        <f aca="false">IFERROR(IF([2]对账明细接口!$L$686=0,"",[2]对账明细接口!$L$686),"")</f>
        <v/>
      </c>
      <c r="M686" s="59" t="str">
        <f aca="false">IFERROR(IF([2]对账明细接口!$M$686=0,"",[2]对账明细接口!$M$686),"")</f>
        <v/>
      </c>
      <c r="N686" s="111" t="n">
        <f aca="false">IF($C686="",0,1)</f>
        <v>0</v>
      </c>
      <c r="O686" s="111" t="n">
        <f aca="false">N(O685)+$N686</f>
        <v>311</v>
      </c>
      <c r="S686" s="10" t="str">
        <f aca="false">IFERROR(IF([2]对账明细接口!$N686=0,"",[2]对账明细接口!$N686),"")</f>
        <v/>
      </c>
      <c r="T686" s="112" t="str">
        <f aca="false">IFERROR(IF([2]对账明细接口!$O686=0,"",[2]对账明细接口!$O686),"")</f>
        <v/>
      </c>
      <c r="U686" s="112" t="str">
        <f aca="false">IFERROR(IF([2]对账明细接口!$P686=0,"",[2]对账明细接口!$P686),"")</f>
        <v/>
      </c>
      <c r="V686" s="112" t="str">
        <f aca="false">IFERROR(IF([2]对账明细接口!$Q686=0,"",[2]对账明细接口!$Q686),"")</f>
        <v/>
      </c>
      <c r="W686" s="10" t="str">
        <f aca="false">IFERROR(IF([2]对账明细接口!$R686=0,"",[2]对账明细接口!$R686),"")</f>
        <v/>
      </c>
      <c r="X686" s="10" t="str">
        <f aca="false">IFERROR(IF([2]对账明细接口!$S686=0,"",[2]对账明细接口!$S686),"")</f>
        <v/>
      </c>
      <c r="Y686" s="10" t="str">
        <f aca="false">IFERROR(IF([2]对账明细接口!$T686=0,"",[2]对账明细接口!$T686),"")</f>
        <v/>
      </c>
      <c r="Z686" s="113" t="str">
        <f aca="false">IFERROR(IF([2]对账明细接口!$U686=0,"",[2]对账明细接口!$U686),"")</f>
        <v/>
      </c>
      <c r="AA686" s="113" t="str">
        <f aca="false">IFERROR(IF([2]对账明细接口!$V686=0,"",[2]对账明细接口!$V686),"")</f>
        <v/>
      </c>
      <c r="AB686" s="10" t="str">
        <f aca="false">IFERROR(IF([2]对账明细接口!$W686=0,"",[2]对账明细接口!$W686),"")</f>
        <v/>
      </c>
      <c r="AC686" s="90" t="str">
        <f aca="false">IFERROR(IF([2]对账明细接口!$X687=0,"",[2]对账明细接口!$X687),"")</f>
        <v/>
      </c>
      <c r="AD686" s="90" t="str">
        <f aca="false">IFERROR(IF([2]对账明细接口!$Y687=0,"",[2]对账明细接口!$Y687),"")</f>
        <v/>
      </c>
      <c r="AE686" s="90" t="str">
        <f aca="false">IFERROR(IF([2]对账明细接口!$AA687=0,"",[2]对账明细接口!$AA687),"")</f>
        <v/>
      </c>
      <c r="AF686" s="90" t="str">
        <f aca="false">IFERROR(IF([2]对账明细接口!$AB687=0,"",[2]对账明细接口!$AB687),"")</f>
        <v/>
      </c>
      <c r="AG686" s="90" t="str">
        <f aca="false">IFERROR(IF([2]对账明细接口!$AC687=0,"",[2]对账明细接口!$AC687),"")</f>
        <v/>
      </c>
      <c r="AH686" s="90" t="str">
        <f aca="false">IFERROR(IF([2]对账明细接口!$AD687=0,"",[2]对账明细接口!$AD687),"")</f>
        <v/>
      </c>
    </row>
    <row r="687" customFormat="false" ht="13.5" hidden="false" customHeight="false" outlineLevel="0" collapsed="false">
      <c r="A687" s="109" t="n">
        <v>687</v>
      </c>
      <c r="B687" s="110" t="str">
        <f aca="false">IFERROR(IF([2]对账明细接口!$B$687=0,"",[2]对账明细接口!$B$687),"")</f>
        <v/>
      </c>
      <c r="C687" s="59" t="str">
        <f aca="false">IFERROR(IF([2]对账明细接口!$C$687=0,"",[2]对账明细接口!$C$687),"")</f>
        <v/>
      </c>
      <c r="D687" s="59" t="str">
        <f aca="false">IFERROR(IF([2]对账明细接口!$D$687=0,"",[2]对账明细接口!$D$687),"")</f>
        <v/>
      </c>
      <c r="E687" s="59" t="str">
        <f aca="false">IFERROR(IF([2]对账明细接口!$E$687=0,"",[2]对账明细接口!$E$687),"")</f>
        <v/>
      </c>
      <c r="F687" s="59" t="str">
        <f aca="false">IFERROR(IF([2]对账明细接口!$F$687=0,"",[2]对账明细接口!$F$687),"")</f>
        <v/>
      </c>
      <c r="G687" s="59" t="str">
        <f aca="false">IFERROR(IF([2]对账明细接口!$G$687=0,"",[2]对账明细接口!$G$687),"")</f>
        <v/>
      </c>
      <c r="H687" s="60" t="str">
        <f aca="false">IFERROR(IF([2]对账明细接口!$H$687=0,"",[2]对账明细接口!$H$687),"")</f>
        <v/>
      </c>
      <c r="I687" s="59" t="str">
        <f aca="false">IFERROR(IF([2]对账明细接口!$I$687=0,"",[2]对账明细接口!$I$687),"")</f>
        <v/>
      </c>
      <c r="J687" s="61" t="str">
        <f aca="false">IFERROR(IF([2]对账明细接口!$J$687=0,"",[2]对账明细接口!$J$687),"")</f>
        <v/>
      </c>
      <c r="K687" s="61" t="str">
        <f aca="false">IFERROR(IF([2]对账明细接口!$K$687=0,"",[2]对账明细接口!$K$687),"")</f>
        <v/>
      </c>
      <c r="L687" s="59" t="str">
        <f aca="false">IFERROR(IF([2]对账明细接口!$L$687=0,"",[2]对账明细接口!$L$687),"")</f>
        <v/>
      </c>
      <c r="M687" s="59" t="str">
        <f aca="false">IFERROR(IF([2]对账明细接口!$M$687=0,"",[2]对账明细接口!$M$687),"")</f>
        <v/>
      </c>
      <c r="N687" s="111" t="n">
        <f aca="false">IF($C687="",0,1)</f>
        <v>0</v>
      </c>
      <c r="O687" s="111" t="n">
        <f aca="false">N(O686)+$N687</f>
        <v>311</v>
      </c>
      <c r="S687" s="10" t="str">
        <f aca="false">IFERROR(IF([2]对账明细接口!$N687=0,"",[2]对账明细接口!$N687),"")</f>
        <v/>
      </c>
      <c r="T687" s="112" t="str">
        <f aca="false">IFERROR(IF([2]对账明细接口!$O687=0,"",[2]对账明细接口!$O687),"")</f>
        <v/>
      </c>
      <c r="U687" s="112" t="str">
        <f aca="false">IFERROR(IF([2]对账明细接口!$P687=0,"",[2]对账明细接口!$P687),"")</f>
        <v/>
      </c>
      <c r="V687" s="112" t="str">
        <f aca="false">IFERROR(IF([2]对账明细接口!$Q687=0,"",[2]对账明细接口!$Q687),"")</f>
        <v/>
      </c>
      <c r="W687" s="10" t="str">
        <f aca="false">IFERROR(IF([2]对账明细接口!$R687=0,"",[2]对账明细接口!$R687),"")</f>
        <v/>
      </c>
      <c r="X687" s="10" t="str">
        <f aca="false">IFERROR(IF([2]对账明细接口!$S687=0,"",[2]对账明细接口!$S687),"")</f>
        <v/>
      </c>
      <c r="Y687" s="10" t="str">
        <f aca="false">IFERROR(IF([2]对账明细接口!$T687=0,"",[2]对账明细接口!$T687),"")</f>
        <v/>
      </c>
      <c r="Z687" s="113" t="str">
        <f aca="false">IFERROR(IF([2]对账明细接口!$U687=0,"",[2]对账明细接口!$U687),"")</f>
        <v/>
      </c>
      <c r="AA687" s="113" t="str">
        <f aca="false">IFERROR(IF([2]对账明细接口!$V687=0,"",[2]对账明细接口!$V687),"")</f>
        <v/>
      </c>
      <c r="AB687" s="10" t="str">
        <f aca="false">IFERROR(IF([2]对账明细接口!$W687=0,"",[2]对账明细接口!$W687),"")</f>
        <v/>
      </c>
      <c r="AC687" s="90" t="str">
        <f aca="false">IFERROR(IF([2]对账明细接口!$X688=0,"",[2]对账明细接口!$X688),"")</f>
        <v/>
      </c>
      <c r="AD687" s="90" t="str">
        <f aca="false">IFERROR(IF([2]对账明细接口!$Y688=0,"",[2]对账明细接口!$Y688),"")</f>
        <v/>
      </c>
      <c r="AE687" s="90" t="str">
        <f aca="false">IFERROR(IF([2]对账明细接口!$AA688=0,"",[2]对账明细接口!$AA688),"")</f>
        <v/>
      </c>
      <c r="AF687" s="90" t="str">
        <f aca="false">IFERROR(IF([2]对账明细接口!$AB688=0,"",[2]对账明细接口!$AB688),"")</f>
        <v/>
      </c>
      <c r="AG687" s="90" t="str">
        <f aca="false">IFERROR(IF([2]对账明细接口!$AC688=0,"",[2]对账明细接口!$AC688),"")</f>
        <v/>
      </c>
      <c r="AH687" s="90" t="str">
        <f aca="false">IFERROR(IF([2]对账明细接口!$AD688=0,"",[2]对账明细接口!$AD688),"")</f>
        <v/>
      </c>
    </row>
    <row r="688" customFormat="false" ht="13.5" hidden="false" customHeight="false" outlineLevel="0" collapsed="false">
      <c r="A688" s="109" t="n">
        <v>688</v>
      </c>
      <c r="B688" s="110" t="str">
        <f aca="false">IFERROR(IF([2]对账明细接口!$B$688=0,"",[2]对账明细接口!$B$688),"")</f>
        <v/>
      </c>
      <c r="C688" s="59" t="str">
        <f aca="false">IFERROR(IF([2]对账明细接口!$C$688=0,"",[2]对账明细接口!$C$688),"")</f>
        <v/>
      </c>
      <c r="D688" s="59" t="str">
        <f aca="false">IFERROR(IF([2]对账明细接口!$D$688=0,"",[2]对账明细接口!$D$688),"")</f>
        <v/>
      </c>
      <c r="E688" s="59" t="str">
        <f aca="false">IFERROR(IF([2]对账明细接口!$E$688=0,"",[2]对账明细接口!$E$688),"")</f>
        <v/>
      </c>
      <c r="F688" s="59" t="str">
        <f aca="false">IFERROR(IF([2]对账明细接口!$F$688=0,"",[2]对账明细接口!$F$688),"")</f>
        <v/>
      </c>
      <c r="G688" s="59" t="str">
        <f aca="false">IFERROR(IF([2]对账明细接口!$G$688=0,"",[2]对账明细接口!$G$688),"")</f>
        <v/>
      </c>
      <c r="H688" s="60" t="str">
        <f aca="false">IFERROR(IF([2]对账明细接口!$H$688=0,"",[2]对账明细接口!$H$688),"")</f>
        <v/>
      </c>
      <c r="I688" s="59" t="str">
        <f aca="false">IFERROR(IF([2]对账明细接口!$I$688=0,"",[2]对账明细接口!$I$688),"")</f>
        <v/>
      </c>
      <c r="J688" s="61" t="str">
        <f aca="false">IFERROR(IF([2]对账明细接口!$J$688=0,"",[2]对账明细接口!$J$688),"")</f>
        <v/>
      </c>
      <c r="K688" s="61" t="str">
        <f aca="false">IFERROR(IF([2]对账明细接口!$K$688=0,"",[2]对账明细接口!$K$688),"")</f>
        <v/>
      </c>
      <c r="L688" s="59" t="str">
        <f aca="false">IFERROR(IF([2]对账明细接口!$L$688=0,"",[2]对账明细接口!$L$688),"")</f>
        <v/>
      </c>
      <c r="M688" s="59" t="str">
        <f aca="false">IFERROR(IF([2]对账明细接口!$M$688=0,"",[2]对账明细接口!$M$688),"")</f>
        <v/>
      </c>
      <c r="N688" s="111" t="n">
        <f aca="false">IF($C688="",0,1)</f>
        <v>0</v>
      </c>
      <c r="O688" s="111" t="n">
        <f aca="false">N(O687)+$N688</f>
        <v>311</v>
      </c>
      <c r="S688" s="10" t="str">
        <f aca="false">IFERROR(IF([2]对账明细接口!$N688=0,"",[2]对账明细接口!$N688),"")</f>
        <v/>
      </c>
      <c r="T688" s="112" t="str">
        <f aca="false">IFERROR(IF([2]对账明细接口!$O688=0,"",[2]对账明细接口!$O688),"")</f>
        <v/>
      </c>
      <c r="U688" s="112" t="str">
        <f aca="false">IFERROR(IF([2]对账明细接口!$P688=0,"",[2]对账明细接口!$P688),"")</f>
        <v/>
      </c>
      <c r="V688" s="112" t="str">
        <f aca="false">IFERROR(IF([2]对账明细接口!$Q688=0,"",[2]对账明细接口!$Q688),"")</f>
        <v/>
      </c>
      <c r="W688" s="10" t="str">
        <f aca="false">IFERROR(IF([2]对账明细接口!$R688=0,"",[2]对账明细接口!$R688),"")</f>
        <v/>
      </c>
      <c r="X688" s="10" t="str">
        <f aca="false">IFERROR(IF([2]对账明细接口!$S688=0,"",[2]对账明细接口!$S688),"")</f>
        <v/>
      </c>
      <c r="Y688" s="10" t="str">
        <f aca="false">IFERROR(IF([2]对账明细接口!$T688=0,"",[2]对账明细接口!$T688),"")</f>
        <v/>
      </c>
      <c r="Z688" s="113" t="str">
        <f aca="false">IFERROR(IF([2]对账明细接口!$U688=0,"",[2]对账明细接口!$U688),"")</f>
        <v/>
      </c>
      <c r="AA688" s="113" t="str">
        <f aca="false">IFERROR(IF([2]对账明细接口!$V688=0,"",[2]对账明细接口!$V688),"")</f>
        <v/>
      </c>
      <c r="AB688" s="10" t="str">
        <f aca="false">IFERROR(IF([2]对账明细接口!$W688=0,"",[2]对账明细接口!$W688),"")</f>
        <v/>
      </c>
      <c r="AC688" s="90" t="str">
        <f aca="false">IFERROR(IF([2]对账明细接口!$X689=0,"",[2]对账明细接口!$X689),"")</f>
        <v/>
      </c>
      <c r="AD688" s="90" t="str">
        <f aca="false">IFERROR(IF([2]对账明细接口!$Y689=0,"",[2]对账明细接口!$Y689),"")</f>
        <v/>
      </c>
      <c r="AE688" s="90" t="str">
        <f aca="false">IFERROR(IF([2]对账明细接口!$AA689=0,"",[2]对账明细接口!$AA689),"")</f>
        <v/>
      </c>
      <c r="AF688" s="90" t="str">
        <f aca="false">IFERROR(IF([2]对账明细接口!$AB689=0,"",[2]对账明细接口!$AB689),"")</f>
        <v/>
      </c>
      <c r="AG688" s="90" t="str">
        <f aca="false">IFERROR(IF([2]对账明细接口!$AC689=0,"",[2]对账明细接口!$AC689),"")</f>
        <v/>
      </c>
      <c r="AH688" s="90" t="str">
        <f aca="false">IFERROR(IF([2]对账明细接口!$AD689=0,"",[2]对账明细接口!$AD689),"")</f>
        <v/>
      </c>
    </row>
    <row r="689" customFormat="false" ht="13.5" hidden="false" customHeight="false" outlineLevel="0" collapsed="false">
      <c r="A689" s="109" t="n">
        <v>689</v>
      </c>
      <c r="B689" s="110" t="str">
        <f aca="false">IFERROR(IF([2]对账明细接口!$B$689=0,"",[2]对账明细接口!$B$689),"")</f>
        <v/>
      </c>
      <c r="C689" s="59" t="str">
        <f aca="false">IFERROR(IF([2]对账明细接口!$C$689=0,"",[2]对账明细接口!$C$689),"")</f>
        <v/>
      </c>
      <c r="D689" s="59" t="str">
        <f aca="false">IFERROR(IF([2]对账明细接口!$D$689=0,"",[2]对账明细接口!$D$689),"")</f>
        <v/>
      </c>
      <c r="E689" s="59" t="str">
        <f aca="false">IFERROR(IF([2]对账明细接口!$E$689=0,"",[2]对账明细接口!$E$689),"")</f>
        <v/>
      </c>
      <c r="F689" s="59" t="str">
        <f aca="false">IFERROR(IF([2]对账明细接口!$F$689=0,"",[2]对账明细接口!$F$689),"")</f>
        <v/>
      </c>
      <c r="G689" s="59" t="str">
        <f aca="false">IFERROR(IF([2]对账明细接口!$G$689=0,"",[2]对账明细接口!$G$689),"")</f>
        <v/>
      </c>
      <c r="H689" s="60" t="str">
        <f aca="false">IFERROR(IF([2]对账明细接口!$H$689=0,"",[2]对账明细接口!$H$689),"")</f>
        <v/>
      </c>
      <c r="I689" s="59" t="str">
        <f aca="false">IFERROR(IF([2]对账明细接口!$I$689=0,"",[2]对账明细接口!$I$689),"")</f>
        <v/>
      </c>
      <c r="J689" s="61" t="str">
        <f aca="false">IFERROR(IF([2]对账明细接口!$J$689=0,"",[2]对账明细接口!$J$689),"")</f>
        <v/>
      </c>
      <c r="K689" s="61" t="str">
        <f aca="false">IFERROR(IF([2]对账明细接口!$K$689=0,"",[2]对账明细接口!$K$689),"")</f>
        <v/>
      </c>
      <c r="L689" s="59" t="str">
        <f aca="false">IFERROR(IF([2]对账明细接口!$L$689=0,"",[2]对账明细接口!$L$689),"")</f>
        <v/>
      </c>
      <c r="M689" s="59" t="str">
        <f aca="false">IFERROR(IF([2]对账明细接口!$M$689=0,"",[2]对账明细接口!$M$689),"")</f>
        <v/>
      </c>
      <c r="N689" s="111" t="n">
        <f aca="false">IF($C689="",0,1)</f>
        <v>0</v>
      </c>
      <c r="O689" s="111" t="n">
        <f aca="false">N(O688)+$N689</f>
        <v>311</v>
      </c>
      <c r="S689" s="10" t="str">
        <f aca="false">IFERROR(IF([2]对账明细接口!$N689=0,"",[2]对账明细接口!$N689),"")</f>
        <v/>
      </c>
      <c r="T689" s="112" t="str">
        <f aca="false">IFERROR(IF([2]对账明细接口!$O689=0,"",[2]对账明细接口!$O689),"")</f>
        <v/>
      </c>
      <c r="U689" s="112" t="str">
        <f aca="false">IFERROR(IF([2]对账明细接口!$P689=0,"",[2]对账明细接口!$P689),"")</f>
        <v/>
      </c>
      <c r="V689" s="112" t="str">
        <f aca="false">IFERROR(IF([2]对账明细接口!$Q689=0,"",[2]对账明细接口!$Q689),"")</f>
        <v/>
      </c>
      <c r="W689" s="10" t="str">
        <f aca="false">IFERROR(IF([2]对账明细接口!$R689=0,"",[2]对账明细接口!$R689),"")</f>
        <v/>
      </c>
      <c r="X689" s="10" t="str">
        <f aca="false">IFERROR(IF([2]对账明细接口!$S689=0,"",[2]对账明细接口!$S689),"")</f>
        <v/>
      </c>
      <c r="Y689" s="10" t="str">
        <f aca="false">IFERROR(IF([2]对账明细接口!$T689=0,"",[2]对账明细接口!$T689),"")</f>
        <v/>
      </c>
      <c r="Z689" s="113" t="str">
        <f aca="false">IFERROR(IF([2]对账明细接口!$U689=0,"",[2]对账明细接口!$U689),"")</f>
        <v/>
      </c>
      <c r="AA689" s="113" t="str">
        <f aca="false">IFERROR(IF([2]对账明细接口!$V689=0,"",[2]对账明细接口!$V689),"")</f>
        <v/>
      </c>
      <c r="AB689" s="10" t="str">
        <f aca="false">IFERROR(IF([2]对账明细接口!$W689=0,"",[2]对账明细接口!$W689),"")</f>
        <v/>
      </c>
      <c r="AC689" s="90" t="str">
        <f aca="false">IFERROR(IF([2]对账明细接口!$X690=0,"",[2]对账明细接口!$X690),"")</f>
        <v/>
      </c>
      <c r="AD689" s="90" t="str">
        <f aca="false">IFERROR(IF([2]对账明细接口!$Y690=0,"",[2]对账明细接口!$Y690),"")</f>
        <v/>
      </c>
      <c r="AE689" s="90" t="str">
        <f aca="false">IFERROR(IF([2]对账明细接口!$AA690=0,"",[2]对账明细接口!$AA690),"")</f>
        <v/>
      </c>
      <c r="AF689" s="90" t="str">
        <f aca="false">IFERROR(IF([2]对账明细接口!$AB690=0,"",[2]对账明细接口!$AB690),"")</f>
        <v/>
      </c>
      <c r="AG689" s="90" t="str">
        <f aca="false">IFERROR(IF([2]对账明细接口!$AC690=0,"",[2]对账明细接口!$AC690),"")</f>
        <v/>
      </c>
      <c r="AH689" s="90" t="str">
        <f aca="false">IFERROR(IF([2]对账明细接口!$AD690=0,"",[2]对账明细接口!$AD690),"")</f>
        <v/>
      </c>
    </row>
    <row r="690" customFormat="false" ht="13.5" hidden="false" customHeight="false" outlineLevel="0" collapsed="false">
      <c r="A690" s="109" t="n">
        <v>690</v>
      </c>
      <c r="B690" s="110" t="str">
        <f aca="false">IFERROR(IF([2]对账明细接口!$B$690=0,"",[2]对账明细接口!$B$690),"")</f>
        <v/>
      </c>
      <c r="C690" s="59" t="str">
        <f aca="false">IFERROR(IF([2]对账明细接口!$C$690=0,"",[2]对账明细接口!$C$690),"")</f>
        <v/>
      </c>
      <c r="D690" s="59" t="str">
        <f aca="false">IFERROR(IF([2]对账明细接口!$D$690=0,"",[2]对账明细接口!$D$690),"")</f>
        <v/>
      </c>
      <c r="E690" s="59" t="str">
        <f aca="false">IFERROR(IF([2]对账明细接口!$E$690=0,"",[2]对账明细接口!$E$690),"")</f>
        <v/>
      </c>
      <c r="F690" s="59" t="str">
        <f aca="false">IFERROR(IF([2]对账明细接口!$F$690=0,"",[2]对账明细接口!$F$690),"")</f>
        <v/>
      </c>
      <c r="G690" s="59" t="str">
        <f aca="false">IFERROR(IF([2]对账明细接口!$G$690=0,"",[2]对账明细接口!$G$690),"")</f>
        <v/>
      </c>
      <c r="H690" s="60" t="str">
        <f aca="false">IFERROR(IF([2]对账明细接口!$H$690=0,"",[2]对账明细接口!$H$690),"")</f>
        <v/>
      </c>
      <c r="I690" s="59" t="str">
        <f aca="false">IFERROR(IF([2]对账明细接口!$I$690=0,"",[2]对账明细接口!$I$690),"")</f>
        <v/>
      </c>
      <c r="J690" s="61" t="str">
        <f aca="false">IFERROR(IF([2]对账明细接口!$J$690=0,"",[2]对账明细接口!$J$690),"")</f>
        <v/>
      </c>
      <c r="K690" s="61" t="str">
        <f aca="false">IFERROR(IF([2]对账明细接口!$K$690=0,"",[2]对账明细接口!$K$690),"")</f>
        <v/>
      </c>
      <c r="L690" s="59" t="str">
        <f aca="false">IFERROR(IF([2]对账明细接口!$L$690=0,"",[2]对账明细接口!$L$690),"")</f>
        <v/>
      </c>
      <c r="M690" s="59" t="str">
        <f aca="false">IFERROR(IF([2]对账明细接口!$M$690=0,"",[2]对账明细接口!$M$690),"")</f>
        <v/>
      </c>
      <c r="N690" s="111" t="n">
        <f aca="false">IF($C690="",0,1)</f>
        <v>0</v>
      </c>
      <c r="O690" s="111" t="n">
        <f aca="false">N(O689)+$N690</f>
        <v>311</v>
      </c>
      <c r="S690" s="10" t="str">
        <f aca="false">IFERROR(IF([2]对账明细接口!$N690=0,"",[2]对账明细接口!$N690),"")</f>
        <v/>
      </c>
      <c r="T690" s="112" t="str">
        <f aca="false">IFERROR(IF([2]对账明细接口!$O690=0,"",[2]对账明细接口!$O690),"")</f>
        <v/>
      </c>
      <c r="U690" s="112" t="str">
        <f aca="false">IFERROR(IF([2]对账明细接口!$P690=0,"",[2]对账明细接口!$P690),"")</f>
        <v/>
      </c>
      <c r="V690" s="112" t="str">
        <f aca="false">IFERROR(IF([2]对账明细接口!$Q690=0,"",[2]对账明细接口!$Q690),"")</f>
        <v/>
      </c>
      <c r="W690" s="10" t="str">
        <f aca="false">IFERROR(IF([2]对账明细接口!$R690=0,"",[2]对账明细接口!$R690),"")</f>
        <v/>
      </c>
      <c r="X690" s="10" t="str">
        <f aca="false">IFERROR(IF([2]对账明细接口!$S690=0,"",[2]对账明细接口!$S690),"")</f>
        <v/>
      </c>
      <c r="Y690" s="10" t="str">
        <f aca="false">IFERROR(IF([2]对账明细接口!$T690=0,"",[2]对账明细接口!$T690),"")</f>
        <v/>
      </c>
      <c r="Z690" s="113" t="str">
        <f aca="false">IFERROR(IF([2]对账明细接口!$U690=0,"",[2]对账明细接口!$U690),"")</f>
        <v/>
      </c>
      <c r="AA690" s="113" t="str">
        <f aca="false">IFERROR(IF([2]对账明细接口!$V690=0,"",[2]对账明细接口!$V690),"")</f>
        <v/>
      </c>
      <c r="AB690" s="10" t="str">
        <f aca="false">IFERROR(IF([2]对账明细接口!$W690=0,"",[2]对账明细接口!$W690),"")</f>
        <v/>
      </c>
      <c r="AC690" s="90" t="str">
        <f aca="false">IFERROR(IF([2]对账明细接口!$X691=0,"",[2]对账明细接口!$X691),"")</f>
        <v/>
      </c>
      <c r="AD690" s="90" t="str">
        <f aca="false">IFERROR(IF([2]对账明细接口!$Y691=0,"",[2]对账明细接口!$Y691),"")</f>
        <v/>
      </c>
      <c r="AE690" s="90" t="str">
        <f aca="false">IFERROR(IF([2]对账明细接口!$AA691=0,"",[2]对账明细接口!$AA691),"")</f>
        <v/>
      </c>
      <c r="AF690" s="90" t="str">
        <f aca="false">IFERROR(IF([2]对账明细接口!$AB691=0,"",[2]对账明细接口!$AB691),"")</f>
        <v/>
      </c>
      <c r="AG690" s="90" t="str">
        <f aca="false">IFERROR(IF([2]对账明细接口!$AC691=0,"",[2]对账明细接口!$AC691),"")</f>
        <v/>
      </c>
      <c r="AH690" s="90" t="str">
        <f aca="false">IFERROR(IF([2]对账明细接口!$AD691=0,"",[2]对账明细接口!$AD691),"")</f>
        <v/>
      </c>
    </row>
    <row r="691" customFormat="false" ht="13.5" hidden="false" customHeight="false" outlineLevel="0" collapsed="false">
      <c r="A691" s="109" t="n">
        <v>691</v>
      </c>
      <c r="B691" s="110" t="str">
        <f aca="false">IFERROR(IF([2]对账明细接口!$B$691=0,"",[2]对账明细接口!$B$691),"")</f>
        <v/>
      </c>
      <c r="C691" s="59" t="str">
        <f aca="false">IFERROR(IF([2]对账明细接口!$C$691=0,"",[2]对账明细接口!$C$691),"")</f>
        <v/>
      </c>
      <c r="D691" s="59" t="str">
        <f aca="false">IFERROR(IF([2]对账明细接口!$D$691=0,"",[2]对账明细接口!$D$691),"")</f>
        <v/>
      </c>
      <c r="E691" s="59" t="str">
        <f aca="false">IFERROR(IF([2]对账明细接口!$E$691=0,"",[2]对账明细接口!$E$691),"")</f>
        <v/>
      </c>
      <c r="F691" s="59" t="str">
        <f aca="false">IFERROR(IF([2]对账明细接口!$F$691=0,"",[2]对账明细接口!$F$691),"")</f>
        <v/>
      </c>
      <c r="G691" s="59" t="str">
        <f aca="false">IFERROR(IF([2]对账明细接口!$G$691=0,"",[2]对账明细接口!$G$691),"")</f>
        <v/>
      </c>
      <c r="H691" s="60" t="str">
        <f aca="false">IFERROR(IF([2]对账明细接口!$H$691=0,"",[2]对账明细接口!$H$691),"")</f>
        <v/>
      </c>
      <c r="I691" s="59" t="str">
        <f aca="false">IFERROR(IF([2]对账明细接口!$I$691=0,"",[2]对账明细接口!$I$691),"")</f>
        <v/>
      </c>
      <c r="J691" s="61" t="str">
        <f aca="false">IFERROR(IF([2]对账明细接口!$J$691=0,"",[2]对账明细接口!$J$691),"")</f>
        <v/>
      </c>
      <c r="K691" s="61" t="str">
        <f aca="false">IFERROR(IF([2]对账明细接口!$K$691=0,"",[2]对账明细接口!$K$691),"")</f>
        <v/>
      </c>
      <c r="L691" s="59" t="str">
        <f aca="false">IFERROR(IF([2]对账明细接口!$L$691=0,"",[2]对账明细接口!$L$691),"")</f>
        <v/>
      </c>
      <c r="M691" s="59" t="str">
        <f aca="false">IFERROR(IF([2]对账明细接口!$M$691=0,"",[2]对账明细接口!$M$691),"")</f>
        <v/>
      </c>
      <c r="N691" s="111" t="n">
        <f aca="false">IF($C691="",0,1)</f>
        <v>0</v>
      </c>
      <c r="O691" s="111" t="n">
        <f aca="false">N(O690)+$N691</f>
        <v>311</v>
      </c>
      <c r="S691" s="10" t="str">
        <f aca="false">IFERROR(IF([2]对账明细接口!$N691=0,"",[2]对账明细接口!$N691),"")</f>
        <v/>
      </c>
      <c r="T691" s="112" t="str">
        <f aca="false">IFERROR(IF([2]对账明细接口!$O691=0,"",[2]对账明细接口!$O691),"")</f>
        <v/>
      </c>
      <c r="U691" s="112" t="str">
        <f aca="false">IFERROR(IF([2]对账明细接口!$P691=0,"",[2]对账明细接口!$P691),"")</f>
        <v/>
      </c>
      <c r="V691" s="112" t="str">
        <f aca="false">IFERROR(IF([2]对账明细接口!$Q691=0,"",[2]对账明细接口!$Q691),"")</f>
        <v/>
      </c>
      <c r="W691" s="10" t="str">
        <f aca="false">IFERROR(IF([2]对账明细接口!$R691=0,"",[2]对账明细接口!$R691),"")</f>
        <v/>
      </c>
      <c r="X691" s="10" t="str">
        <f aca="false">IFERROR(IF([2]对账明细接口!$S691=0,"",[2]对账明细接口!$S691),"")</f>
        <v/>
      </c>
      <c r="Y691" s="10" t="str">
        <f aca="false">IFERROR(IF([2]对账明细接口!$T691=0,"",[2]对账明细接口!$T691),"")</f>
        <v/>
      </c>
      <c r="Z691" s="113" t="str">
        <f aca="false">IFERROR(IF([2]对账明细接口!$U691=0,"",[2]对账明细接口!$U691),"")</f>
        <v/>
      </c>
      <c r="AA691" s="113" t="str">
        <f aca="false">IFERROR(IF([2]对账明细接口!$V691=0,"",[2]对账明细接口!$V691),"")</f>
        <v/>
      </c>
      <c r="AB691" s="10" t="str">
        <f aca="false">IFERROR(IF([2]对账明细接口!$W691=0,"",[2]对账明细接口!$W691),"")</f>
        <v/>
      </c>
      <c r="AC691" s="90" t="str">
        <f aca="false">IFERROR(IF([2]对账明细接口!$X692=0,"",[2]对账明细接口!$X692),"")</f>
        <v/>
      </c>
      <c r="AD691" s="90" t="str">
        <f aca="false">IFERROR(IF([2]对账明细接口!$Y692=0,"",[2]对账明细接口!$Y692),"")</f>
        <v/>
      </c>
      <c r="AE691" s="90" t="str">
        <f aca="false">IFERROR(IF([2]对账明细接口!$AA692=0,"",[2]对账明细接口!$AA692),"")</f>
        <v/>
      </c>
      <c r="AF691" s="90" t="str">
        <f aca="false">IFERROR(IF([2]对账明细接口!$AB692=0,"",[2]对账明细接口!$AB692),"")</f>
        <v/>
      </c>
      <c r="AG691" s="90" t="str">
        <f aca="false">IFERROR(IF([2]对账明细接口!$AC692=0,"",[2]对账明细接口!$AC692),"")</f>
        <v/>
      </c>
      <c r="AH691" s="90" t="str">
        <f aca="false">IFERROR(IF([2]对账明细接口!$AD692=0,"",[2]对账明细接口!$AD692),"")</f>
        <v/>
      </c>
    </row>
    <row r="692" customFormat="false" ht="13.5" hidden="false" customHeight="false" outlineLevel="0" collapsed="false">
      <c r="A692" s="109" t="n">
        <v>692</v>
      </c>
      <c r="B692" s="110" t="str">
        <f aca="false">IFERROR(IF([2]对账明细接口!$B$692=0,"",[2]对账明细接口!$B$692),"")</f>
        <v/>
      </c>
      <c r="C692" s="59" t="str">
        <f aca="false">IFERROR(IF([2]对账明细接口!$C$692=0,"",[2]对账明细接口!$C$692),"")</f>
        <v/>
      </c>
      <c r="D692" s="59" t="str">
        <f aca="false">IFERROR(IF([2]对账明细接口!$D$692=0,"",[2]对账明细接口!$D$692),"")</f>
        <v/>
      </c>
      <c r="E692" s="59" t="str">
        <f aca="false">IFERROR(IF([2]对账明细接口!$E$692=0,"",[2]对账明细接口!$E$692),"")</f>
        <v/>
      </c>
      <c r="F692" s="59" t="str">
        <f aca="false">IFERROR(IF([2]对账明细接口!$F$692=0,"",[2]对账明细接口!$F$692),"")</f>
        <v/>
      </c>
      <c r="G692" s="59" t="str">
        <f aca="false">IFERROR(IF([2]对账明细接口!$G$692=0,"",[2]对账明细接口!$G$692),"")</f>
        <v/>
      </c>
      <c r="H692" s="60" t="str">
        <f aca="false">IFERROR(IF([2]对账明细接口!$H$692=0,"",[2]对账明细接口!$H$692),"")</f>
        <v/>
      </c>
      <c r="I692" s="59" t="str">
        <f aca="false">IFERROR(IF([2]对账明细接口!$I$692=0,"",[2]对账明细接口!$I$692),"")</f>
        <v/>
      </c>
      <c r="J692" s="61" t="str">
        <f aca="false">IFERROR(IF([2]对账明细接口!$J$692=0,"",[2]对账明细接口!$J$692),"")</f>
        <v/>
      </c>
      <c r="K692" s="61" t="str">
        <f aca="false">IFERROR(IF([2]对账明细接口!$K$692=0,"",[2]对账明细接口!$K$692),"")</f>
        <v/>
      </c>
      <c r="L692" s="59" t="str">
        <f aca="false">IFERROR(IF([2]对账明细接口!$L$692=0,"",[2]对账明细接口!$L$692),"")</f>
        <v/>
      </c>
      <c r="M692" s="59" t="str">
        <f aca="false">IFERROR(IF([2]对账明细接口!$M$692=0,"",[2]对账明细接口!$M$692),"")</f>
        <v/>
      </c>
      <c r="N692" s="111" t="n">
        <f aca="false">IF($C692="",0,1)</f>
        <v>0</v>
      </c>
      <c r="O692" s="111" t="n">
        <f aca="false">N(O691)+$N692</f>
        <v>311</v>
      </c>
      <c r="S692" s="10" t="str">
        <f aca="false">IFERROR(IF([2]对账明细接口!$N692=0,"",[2]对账明细接口!$N692),"")</f>
        <v/>
      </c>
      <c r="T692" s="112" t="str">
        <f aca="false">IFERROR(IF([2]对账明细接口!$O692=0,"",[2]对账明细接口!$O692),"")</f>
        <v/>
      </c>
      <c r="U692" s="112" t="str">
        <f aca="false">IFERROR(IF([2]对账明细接口!$P692=0,"",[2]对账明细接口!$P692),"")</f>
        <v/>
      </c>
      <c r="V692" s="112" t="str">
        <f aca="false">IFERROR(IF([2]对账明细接口!$Q692=0,"",[2]对账明细接口!$Q692),"")</f>
        <v/>
      </c>
      <c r="W692" s="10" t="str">
        <f aca="false">IFERROR(IF([2]对账明细接口!$R692=0,"",[2]对账明细接口!$R692),"")</f>
        <v/>
      </c>
      <c r="X692" s="10" t="str">
        <f aca="false">IFERROR(IF([2]对账明细接口!$S692=0,"",[2]对账明细接口!$S692),"")</f>
        <v/>
      </c>
      <c r="Y692" s="10" t="str">
        <f aca="false">IFERROR(IF([2]对账明细接口!$T692=0,"",[2]对账明细接口!$T692),"")</f>
        <v/>
      </c>
      <c r="Z692" s="113" t="str">
        <f aca="false">IFERROR(IF([2]对账明细接口!$U692=0,"",[2]对账明细接口!$U692),"")</f>
        <v/>
      </c>
      <c r="AA692" s="113" t="str">
        <f aca="false">IFERROR(IF([2]对账明细接口!$V692=0,"",[2]对账明细接口!$V692),"")</f>
        <v/>
      </c>
      <c r="AB692" s="10" t="str">
        <f aca="false">IFERROR(IF([2]对账明细接口!$W692=0,"",[2]对账明细接口!$W692),"")</f>
        <v/>
      </c>
      <c r="AC692" s="90" t="str">
        <f aca="false">IFERROR(IF([2]对账明细接口!$X693=0,"",[2]对账明细接口!$X693),"")</f>
        <v/>
      </c>
      <c r="AD692" s="90" t="str">
        <f aca="false">IFERROR(IF([2]对账明细接口!$Y693=0,"",[2]对账明细接口!$Y693),"")</f>
        <v/>
      </c>
      <c r="AE692" s="90" t="str">
        <f aca="false">IFERROR(IF([2]对账明细接口!$AA693=0,"",[2]对账明细接口!$AA693),"")</f>
        <v/>
      </c>
      <c r="AF692" s="90" t="str">
        <f aca="false">IFERROR(IF([2]对账明细接口!$AB693=0,"",[2]对账明细接口!$AB693),"")</f>
        <v/>
      </c>
      <c r="AG692" s="90" t="str">
        <f aca="false">IFERROR(IF([2]对账明细接口!$AC693=0,"",[2]对账明细接口!$AC693),"")</f>
        <v/>
      </c>
      <c r="AH692" s="90" t="str">
        <f aca="false">IFERROR(IF([2]对账明细接口!$AD693=0,"",[2]对账明细接口!$AD693),"")</f>
        <v/>
      </c>
    </row>
    <row r="693" customFormat="false" ht="13.5" hidden="false" customHeight="false" outlineLevel="0" collapsed="false">
      <c r="A693" s="109" t="n">
        <v>693</v>
      </c>
      <c r="B693" s="110" t="str">
        <f aca="false">IFERROR(IF([2]对账明细接口!$B$693=0,"",[2]对账明细接口!$B$693),"")</f>
        <v/>
      </c>
      <c r="C693" s="59" t="str">
        <f aca="false">IFERROR(IF([2]对账明细接口!$C$693=0,"",[2]对账明细接口!$C$693),"")</f>
        <v/>
      </c>
      <c r="D693" s="59" t="str">
        <f aca="false">IFERROR(IF([2]对账明细接口!$D$693=0,"",[2]对账明细接口!$D$693),"")</f>
        <v/>
      </c>
      <c r="E693" s="59" t="str">
        <f aca="false">IFERROR(IF([2]对账明细接口!$E$693=0,"",[2]对账明细接口!$E$693),"")</f>
        <v/>
      </c>
      <c r="F693" s="59" t="str">
        <f aca="false">IFERROR(IF([2]对账明细接口!$F$693=0,"",[2]对账明细接口!$F$693),"")</f>
        <v/>
      </c>
      <c r="G693" s="59" t="str">
        <f aca="false">IFERROR(IF([2]对账明细接口!$G$693=0,"",[2]对账明细接口!$G$693),"")</f>
        <v/>
      </c>
      <c r="H693" s="60" t="str">
        <f aca="false">IFERROR(IF([2]对账明细接口!$H$693=0,"",[2]对账明细接口!$H$693),"")</f>
        <v/>
      </c>
      <c r="I693" s="59" t="str">
        <f aca="false">IFERROR(IF([2]对账明细接口!$I$693=0,"",[2]对账明细接口!$I$693),"")</f>
        <v/>
      </c>
      <c r="J693" s="61" t="str">
        <f aca="false">IFERROR(IF([2]对账明细接口!$J$693=0,"",[2]对账明细接口!$J$693),"")</f>
        <v/>
      </c>
      <c r="K693" s="61" t="str">
        <f aca="false">IFERROR(IF([2]对账明细接口!$K$693=0,"",[2]对账明细接口!$K$693),"")</f>
        <v/>
      </c>
      <c r="L693" s="59" t="str">
        <f aca="false">IFERROR(IF([2]对账明细接口!$L$693=0,"",[2]对账明细接口!$L$693),"")</f>
        <v/>
      </c>
      <c r="M693" s="59" t="str">
        <f aca="false">IFERROR(IF([2]对账明细接口!$M$693=0,"",[2]对账明细接口!$M$693),"")</f>
        <v/>
      </c>
      <c r="N693" s="111" t="n">
        <f aca="false">IF($C693="",0,1)</f>
        <v>0</v>
      </c>
      <c r="O693" s="111" t="n">
        <f aca="false">N(O692)+$N693</f>
        <v>311</v>
      </c>
      <c r="S693" s="10" t="str">
        <f aca="false">IFERROR(IF([2]对账明细接口!$N693=0,"",[2]对账明细接口!$N693),"")</f>
        <v/>
      </c>
      <c r="T693" s="112" t="str">
        <f aca="false">IFERROR(IF([2]对账明细接口!$O693=0,"",[2]对账明细接口!$O693),"")</f>
        <v/>
      </c>
      <c r="U693" s="112" t="str">
        <f aca="false">IFERROR(IF([2]对账明细接口!$P693=0,"",[2]对账明细接口!$P693),"")</f>
        <v/>
      </c>
      <c r="V693" s="112" t="str">
        <f aca="false">IFERROR(IF([2]对账明细接口!$Q693=0,"",[2]对账明细接口!$Q693),"")</f>
        <v/>
      </c>
      <c r="W693" s="10" t="str">
        <f aca="false">IFERROR(IF([2]对账明细接口!$R693=0,"",[2]对账明细接口!$R693),"")</f>
        <v/>
      </c>
      <c r="X693" s="10" t="str">
        <f aca="false">IFERROR(IF([2]对账明细接口!$S693=0,"",[2]对账明细接口!$S693),"")</f>
        <v/>
      </c>
      <c r="Y693" s="10" t="str">
        <f aca="false">IFERROR(IF([2]对账明细接口!$T693=0,"",[2]对账明细接口!$T693),"")</f>
        <v/>
      </c>
      <c r="Z693" s="113" t="str">
        <f aca="false">IFERROR(IF([2]对账明细接口!$U693=0,"",[2]对账明细接口!$U693),"")</f>
        <v/>
      </c>
      <c r="AA693" s="113" t="str">
        <f aca="false">IFERROR(IF([2]对账明细接口!$V693=0,"",[2]对账明细接口!$V693),"")</f>
        <v/>
      </c>
      <c r="AB693" s="10" t="str">
        <f aca="false">IFERROR(IF([2]对账明细接口!$W693=0,"",[2]对账明细接口!$W693),"")</f>
        <v/>
      </c>
      <c r="AC693" s="90" t="str">
        <f aca="false">IFERROR(IF([2]对账明细接口!$X694=0,"",[2]对账明细接口!$X694),"")</f>
        <v/>
      </c>
      <c r="AD693" s="90" t="str">
        <f aca="false">IFERROR(IF([2]对账明细接口!$Y694=0,"",[2]对账明细接口!$Y694),"")</f>
        <v/>
      </c>
      <c r="AE693" s="90" t="str">
        <f aca="false">IFERROR(IF([2]对账明细接口!$AA694=0,"",[2]对账明细接口!$AA694),"")</f>
        <v/>
      </c>
      <c r="AF693" s="90" t="str">
        <f aca="false">IFERROR(IF([2]对账明细接口!$AB694=0,"",[2]对账明细接口!$AB694),"")</f>
        <v/>
      </c>
      <c r="AG693" s="90" t="str">
        <f aca="false">IFERROR(IF([2]对账明细接口!$AC694=0,"",[2]对账明细接口!$AC694),"")</f>
        <v/>
      </c>
      <c r="AH693" s="90" t="str">
        <f aca="false">IFERROR(IF([2]对账明细接口!$AD694=0,"",[2]对账明细接口!$AD694),"")</f>
        <v/>
      </c>
    </row>
    <row r="694" customFormat="false" ht="13.5" hidden="false" customHeight="false" outlineLevel="0" collapsed="false">
      <c r="A694" s="109" t="n">
        <v>694</v>
      </c>
      <c r="B694" s="110" t="str">
        <f aca="false">IFERROR(IF([2]对账明细接口!$B$694=0,"",[2]对账明细接口!$B$694),"")</f>
        <v/>
      </c>
      <c r="C694" s="59" t="str">
        <f aca="false">IFERROR(IF([2]对账明细接口!$C$694=0,"",[2]对账明细接口!$C$694),"")</f>
        <v/>
      </c>
      <c r="D694" s="59" t="str">
        <f aca="false">IFERROR(IF([2]对账明细接口!$D$694=0,"",[2]对账明细接口!$D$694),"")</f>
        <v/>
      </c>
      <c r="E694" s="59" t="str">
        <f aca="false">IFERROR(IF([2]对账明细接口!$E$694=0,"",[2]对账明细接口!$E$694),"")</f>
        <v/>
      </c>
      <c r="F694" s="59" t="str">
        <f aca="false">IFERROR(IF([2]对账明细接口!$F$694=0,"",[2]对账明细接口!$F$694),"")</f>
        <v/>
      </c>
      <c r="G694" s="59" t="str">
        <f aca="false">IFERROR(IF([2]对账明细接口!$G$694=0,"",[2]对账明细接口!$G$694),"")</f>
        <v/>
      </c>
      <c r="H694" s="60" t="str">
        <f aca="false">IFERROR(IF([2]对账明细接口!$H$694=0,"",[2]对账明细接口!$H$694),"")</f>
        <v/>
      </c>
      <c r="I694" s="59" t="str">
        <f aca="false">IFERROR(IF([2]对账明细接口!$I$694=0,"",[2]对账明细接口!$I$694),"")</f>
        <v/>
      </c>
      <c r="J694" s="61" t="str">
        <f aca="false">IFERROR(IF([2]对账明细接口!$J$694=0,"",[2]对账明细接口!$J$694),"")</f>
        <v/>
      </c>
      <c r="K694" s="61" t="str">
        <f aca="false">IFERROR(IF([2]对账明细接口!$K$694=0,"",[2]对账明细接口!$K$694),"")</f>
        <v/>
      </c>
      <c r="L694" s="59" t="str">
        <f aca="false">IFERROR(IF([2]对账明细接口!$L$694=0,"",[2]对账明细接口!$L$694),"")</f>
        <v/>
      </c>
      <c r="M694" s="59" t="str">
        <f aca="false">IFERROR(IF([2]对账明细接口!$M$694=0,"",[2]对账明细接口!$M$694),"")</f>
        <v/>
      </c>
      <c r="N694" s="111" t="n">
        <f aca="false">IF($C694="",0,1)</f>
        <v>0</v>
      </c>
      <c r="O694" s="111" t="n">
        <f aca="false">N(O693)+$N694</f>
        <v>311</v>
      </c>
      <c r="S694" s="10" t="str">
        <f aca="false">IFERROR(IF([2]对账明细接口!$N694=0,"",[2]对账明细接口!$N694),"")</f>
        <v/>
      </c>
      <c r="T694" s="112" t="str">
        <f aca="false">IFERROR(IF([2]对账明细接口!$O694=0,"",[2]对账明细接口!$O694),"")</f>
        <v/>
      </c>
      <c r="U694" s="112" t="str">
        <f aca="false">IFERROR(IF([2]对账明细接口!$P694=0,"",[2]对账明细接口!$P694),"")</f>
        <v/>
      </c>
      <c r="V694" s="112" t="str">
        <f aca="false">IFERROR(IF([2]对账明细接口!$Q694=0,"",[2]对账明细接口!$Q694),"")</f>
        <v/>
      </c>
      <c r="W694" s="10" t="str">
        <f aca="false">IFERROR(IF([2]对账明细接口!$R694=0,"",[2]对账明细接口!$R694),"")</f>
        <v/>
      </c>
      <c r="X694" s="10" t="str">
        <f aca="false">IFERROR(IF([2]对账明细接口!$S694=0,"",[2]对账明细接口!$S694),"")</f>
        <v/>
      </c>
      <c r="Y694" s="10" t="str">
        <f aca="false">IFERROR(IF([2]对账明细接口!$T694=0,"",[2]对账明细接口!$T694),"")</f>
        <v/>
      </c>
      <c r="Z694" s="113" t="str">
        <f aca="false">IFERROR(IF([2]对账明细接口!$U694=0,"",[2]对账明细接口!$U694),"")</f>
        <v/>
      </c>
      <c r="AA694" s="113" t="str">
        <f aca="false">IFERROR(IF([2]对账明细接口!$V694=0,"",[2]对账明细接口!$V694),"")</f>
        <v/>
      </c>
      <c r="AB694" s="10" t="str">
        <f aca="false">IFERROR(IF([2]对账明细接口!$W694=0,"",[2]对账明细接口!$W694),"")</f>
        <v/>
      </c>
      <c r="AC694" s="90" t="str">
        <f aca="false">IFERROR(IF([2]对账明细接口!$X695=0,"",[2]对账明细接口!$X695),"")</f>
        <v/>
      </c>
      <c r="AD694" s="90" t="str">
        <f aca="false">IFERROR(IF([2]对账明细接口!$Y695=0,"",[2]对账明细接口!$Y695),"")</f>
        <v/>
      </c>
      <c r="AE694" s="90" t="str">
        <f aca="false">IFERROR(IF([2]对账明细接口!$AA695=0,"",[2]对账明细接口!$AA695),"")</f>
        <v/>
      </c>
      <c r="AF694" s="90" t="str">
        <f aca="false">IFERROR(IF([2]对账明细接口!$AB695=0,"",[2]对账明细接口!$AB695),"")</f>
        <v/>
      </c>
      <c r="AG694" s="90" t="str">
        <f aca="false">IFERROR(IF([2]对账明细接口!$AC695=0,"",[2]对账明细接口!$AC695),"")</f>
        <v/>
      </c>
      <c r="AH694" s="90" t="str">
        <f aca="false">IFERROR(IF([2]对账明细接口!$AD695=0,"",[2]对账明细接口!$AD695),"")</f>
        <v/>
      </c>
    </row>
    <row r="695" customFormat="false" ht="13.5" hidden="false" customHeight="false" outlineLevel="0" collapsed="false">
      <c r="A695" s="109" t="n">
        <v>695</v>
      </c>
      <c r="B695" s="110" t="str">
        <f aca="false">IFERROR(IF([2]对账明细接口!$B$695=0,"",[2]对账明细接口!$B$695),"")</f>
        <v/>
      </c>
      <c r="C695" s="59" t="str">
        <f aca="false">IFERROR(IF([2]对账明细接口!$C$695=0,"",[2]对账明细接口!$C$695),"")</f>
        <v/>
      </c>
      <c r="D695" s="59" t="str">
        <f aca="false">IFERROR(IF([2]对账明细接口!$D$695=0,"",[2]对账明细接口!$D$695),"")</f>
        <v/>
      </c>
      <c r="E695" s="59" t="str">
        <f aca="false">IFERROR(IF([2]对账明细接口!$E$695=0,"",[2]对账明细接口!$E$695),"")</f>
        <v/>
      </c>
      <c r="F695" s="59" t="str">
        <f aca="false">IFERROR(IF([2]对账明细接口!$F$695=0,"",[2]对账明细接口!$F$695),"")</f>
        <v/>
      </c>
      <c r="G695" s="59" t="str">
        <f aca="false">IFERROR(IF([2]对账明细接口!$G$695=0,"",[2]对账明细接口!$G$695),"")</f>
        <v/>
      </c>
      <c r="H695" s="60" t="str">
        <f aca="false">IFERROR(IF([2]对账明细接口!$H$695=0,"",[2]对账明细接口!$H$695),"")</f>
        <v/>
      </c>
      <c r="I695" s="59" t="str">
        <f aca="false">IFERROR(IF([2]对账明细接口!$I$695=0,"",[2]对账明细接口!$I$695),"")</f>
        <v/>
      </c>
      <c r="J695" s="61" t="str">
        <f aca="false">IFERROR(IF([2]对账明细接口!$J$695=0,"",[2]对账明细接口!$J$695),"")</f>
        <v/>
      </c>
      <c r="K695" s="61" t="str">
        <f aca="false">IFERROR(IF([2]对账明细接口!$K$695=0,"",[2]对账明细接口!$K$695),"")</f>
        <v/>
      </c>
      <c r="L695" s="59" t="str">
        <f aca="false">IFERROR(IF([2]对账明细接口!$L$695=0,"",[2]对账明细接口!$L$695),"")</f>
        <v/>
      </c>
      <c r="M695" s="59" t="str">
        <f aca="false">IFERROR(IF([2]对账明细接口!$M$695=0,"",[2]对账明细接口!$M$695),"")</f>
        <v/>
      </c>
      <c r="N695" s="111" t="n">
        <f aca="false">IF($C695="",0,1)</f>
        <v>0</v>
      </c>
      <c r="O695" s="111" t="n">
        <f aca="false">N(O694)+$N695</f>
        <v>311</v>
      </c>
      <c r="S695" s="10" t="str">
        <f aca="false">IFERROR(IF([2]对账明细接口!$N695=0,"",[2]对账明细接口!$N695),"")</f>
        <v/>
      </c>
      <c r="T695" s="112" t="str">
        <f aca="false">IFERROR(IF([2]对账明细接口!$O695=0,"",[2]对账明细接口!$O695),"")</f>
        <v/>
      </c>
      <c r="U695" s="112" t="str">
        <f aca="false">IFERROR(IF([2]对账明细接口!$P695=0,"",[2]对账明细接口!$P695),"")</f>
        <v/>
      </c>
      <c r="V695" s="112" t="str">
        <f aca="false">IFERROR(IF([2]对账明细接口!$Q695=0,"",[2]对账明细接口!$Q695),"")</f>
        <v/>
      </c>
      <c r="W695" s="10" t="str">
        <f aca="false">IFERROR(IF([2]对账明细接口!$R695=0,"",[2]对账明细接口!$R695),"")</f>
        <v/>
      </c>
      <c r="X695" s="10" t="str">
        <f aca="false">IFERROR(IF([2]对账明细接口!$S695=0,"",[2]对账明细接口!$S695),"")</f>
        <v/>
      </c>
      <c r="Y695" s="10" t="str">
        <f aca="false">IFERROR(IF([2]对账明细接口!$T695=0,"",[2]对账明细接口!$T695),"")</f>
        <v/>
      </c>
      <c r="Z695" s="113" t="str">
        <f aca="false">IFERROR(IF([2]对账明细接口!$U695=0,"",[2]对账明细接口!$U695),"")</f>
        <v/>
      </c>
      <c r="AA695" s="113" t="str">
        <f aca="false">IFERROR(IF([2]对账明细接口!$V695=0,"",[2]对账明细接口!$V695),"")</f>
        <v/>
      </c>
      <c r="AB695" s="10" t="str">
        <f aca="false">IFERROR(IF([2]对账明细接口!$W695=0,"",[2]对账明细接口!$W695),"")</f>
        <v/>
      </c>
      <c r="AC695" s="90" t="str">
        <f aca="false">IFERROR(IF([2]对账明细接口!$X696=0,"",[2]对账明细接口!$X696),"")</f>
        <v/>
      </c>
      <c r="AD695" s="90" t="str">
        <f aca="false">IFERROR(IF([2]对账明细接口!$Y696=0,"",[2]对账明细接口!$Y696),"")</f>
        <v/>
      </c>
      <c r="AE695" s="90" t="str">
        <f aca="false">IFERROR(IF([2]对账明细接口!$AA696=0,"",[2]对账明细接口!$AA696),"")</f>
        <v/>
      </c>
      <c r="AF695" s="90" t="str">
        <f aca="false">IFERROR(IF([2]对账明细接口!$AB696=0,"",[2]对账明细接口!$AB696),"")</f>
        <v/>
      </c>
      <c r="AG695" s="90" t="str">
        <f aca="false">IFERROR(IF([2]对账明细接口!$AC696=0,"",[2]对账明细接口!$AC696),"")</f>
        <v/>
      </c>
      <c r="AH695" s="90" t="str">
        <f aca="false">IFERROR(IF([2]对账明细接口!$AD696=0,"",[2]对账明细接口!$AD696),"")</f>
        <v/>
      </c>
    </row>
    <row r="696" customFormat="false" ht="13.5" hidden="false" customHeight="false" outlineLevel="0" collapsed="false">
      <c r="A696" s="109" t="n">
        <v>696</v>
      </c>
      <c r="B696" s="110" t="str">
        <f aca="false">IFERROR(IF([2]对账明细接口!$B$696=0,"",[2]对账明细接口!$B$696),"")</f>
        <v/>
      </c>
      <c r="C696" s="59" t="str">
        <f aca="false">IFERROR(IF([2]对账明细接口!$C$696=0,"",[2]对账明细接口!$C$696),"")</f>
        <v/>
      </c>
      <c r="D696" s="59" t="str">
        <f aca="false">IFERROR(IF([2]对账明细接口!$D$696=0,"",[2]对账明细接口!$D$696),"")</f>
        <v/>
      </c>
      <c r="E696" s="59" t="str">
        <f aca="false">IFERROR(IF([2]对账明细接口!$E$696=0,"",[2]对账明细接口!$E$696),"")</f>
        <v/>
      </c>
      <c r="F696" s="59" t="str">
        <f aca="false">IFERROR(IF([2]对账明细接口!$F$696=0,"",[2]对账明细接口!$F$696),"")</f>
        <v/>
      </c>
      <c r="G696" s="59" t="str">
        <f aca="false">IFERROR(IF([2]对账明细接口!$G$696=0,"",[2]对账明细接口!$G$696),"")</f>
        <v/>
      </c>
      <c r="H696" s="60" t="str">
        <f aca="false">IFERROR(IF([2]对账明细接口!$H$696=0,"",[2]对账明细接口!$H$696),"")</f>
        <v/>
      </c>
      <c r="I696" s="59" t="str">
        <f aca="false">IFERROR(IF([2]对账明细接口!$I$696=0,"",[2]对账明细接口!$I$696),"")</f>
        <v/>
      </c>
      <c r="J696" s="61" t="str">
        <f aca="false">IFERROR(IF([2]对账明细接口!$J$696=0,"",[2]对账明细接口!$J$696),"")</f>
        <v/>
      </c>
      <c r="K696" s="61" t="str">
        <f aca="false">IFERROR(IF([2]对账明细接口!$K$696=0,"",[2]对账明细接口!$K$696),"")</f>
        <v/>
      </c>
      <c r="L696" s="59" t="str">
        <f aca="false">IFERROR(IF([2]对账明细接口!$L$696=0,"",[2]对账明细接口!$L$696),"")</f>
        <v/>
      </c>
      <c r="M696" s="59" t="str">
        <f aca="false">IFERROR(IF([2]对账明细接口!$M$696=0,"",[2]对账明细接口!$M$696),"")</f>
        <v/>
      </c>
      <c r="N696" s="111" t="n">
        <f aca="false">IF($C696="",0,1)</f>
        <v>0</v>
      </c>
      <c r="O696" s="111" t="n">
        <f aca="false">N(O695)+$N696</f>
        <v>311</v>
      </c>
      <c r="S696" s="10" t="str">
        <f aca="false">IFERROR(IF([2]对账明细接口!$N696=0,"",[2]对账明细接口!$N696),"")</f>
        <v/>
      </c>
      <c r="T696" s="112" t="str">
        <f aca="false">IFERROR(IF([2]对账明细接口!$O696=0,"",[2]对账明细接口!$O696),"")</f>
        <v/>
      </c>
      <c r="U696" s="112" t="str">
        <f aca="false">IFERROR(IF([2]对账明细接口!$P696=0,"",[2]对账明细接口!$P696),"")</f>
        <v/>
      </c>
      <c r="V696" s="112" t="str">
        <f aca="false">IFERROR(IF([2]对账明细接口!$Q696=0,"",[2]对账明细接口!$Q696),"")</f>
        <v/>
      </c>
      <c r="W696" s="10" t="str">
        <f aca="false">IFERROR(IF([2]对账明细接口!$R696=0,"",[2]对账明细接口!$R696),"")</f>
        <v/>
      </c>
      <c r="X696" s="10" t="str">
        <f aca="false">IFERROR(IF([2]对账明细接口!$S696=0,"",[2]对账明细接口!$S696),"")</f>
        <v/>
      </c>
      <c r="Y696" s="10" t="str">
        <f aca="false">IFERROR(IF([2]对账明细接口!$T696=0,"",[2]对账明细接口!$T696),"")</f>
        <v/>
      </c>
      <c r="Z696" s="113" t="str">
        <f aca="false">IFERROR(IF([2]对账明细接口!$U696=0,"",[2]对账明细接口!$U696),"")</f>
        <v/>
      </c>
      <c r="AA696" s="113" t="str">
        <f aca="false">IFERROR(IF([2]对账明细接口!$V696=0,"",[2]对账明细接口!$V696),"")</f>
        <v/>
      </c>
      <c r="AB696" s="10" t="str">
        <f aca="false">IFERROR(IF([2]对账明细接口!$W696=0,"",[2]对账明细接口!$W696),"")</f>
        <v/>
      </c>
      <c r="AC696" s="90" t="str">
        <f aca="false">IFERROR(IF([2]对账明细接口!$X697=0,"",[2]对账明细接口!$X697),"")</f>
        <v/>
      </c>
      <c r="AD696" s="90" t="str">
        <f aca="false">IFERROR(IF([2]对账明细接口!$Y697=0,"",[2]对账明细接口!$Y697),"")</f>
        <v/>
      </c>
      <c r="AE696" s="90" t="str">
        <f aca="false">IFERROR(IF([2]对账明细接口!$AA697=0,"",[2]对账明细接口!$AA697),"")</f>
        <v/>
      </c>
      <c r="AF696" s="90" t="str">
        <f aca="false">IFERROR(IF([2]对账明细接口!$AB697=0,"",[2]对账明细接口!$AB697),"")</f>
        <v/>
      </c>
      <c r="AG696" s="90" t="str">
        <f aca="false">IFERROR(IF([2]对账明细接口!$AC697=0,"",[2]对账明细接口!$AC697),"")</f>
        <v/>
      </c>
      <c r="AH696" s="90" t="str">
        <f aca="false">IFERROR(IF([2]对账明细接口!$AD697=0,"",[2]对账明细接口!$AD697),"")</f>
        <v/>
      </c>
    </row>
    <row r="697" customFormat="false" ht="13.5" hidden="false" customHeight="false" outlineLevel="0" collapsed="false">
      <c r="A697" s="109" t="n">
        <v>697</v>
      </c>
      <c r="B697" s="110" t="str">
        <f aca="false">IFERROR(IF([2]对账明细接口!$B$697=0,"",[2]对账明细接口!$B$697),"")</f>
        <v/>
      </c>
      <c r="C697" s="59" t="str">
        <f aca="false">IFERROR(IF([2]对账明细接口!$C$697=0,"",[2]对账明细接口!$C$697),"")</f>
        <v/>
      </c>
      <c r="D697" s="59" t="str">
        <f aca="false">IFERROR(IF([2]对账明细接口!$D$697=0,"",[2]对账明细接口!$D$697),"")</f>
        <v/>
      </c>
      <c r="E697" s="59" t="str">
        <f aca="false">IFERROR(IF([2]对账明细接口!$E$697=0,"",[2]对账明细接口!$E$697),"")</f>
        <v/>
      </c>
      <c r="F697" s="59" t="str">
        <f aca="false">IFERROR(IF([2]对账明细接口!$F$697=0,"",[2]对账明细接口!$F$697),"")</f>
        <v/>
      </c>
      <c r="G697" s="59" t="str">
        <f aca="false">IFERROR(IF([2]对账明细接口!$G$697=0,"",[2]对账明细接口!$G$697),"")</f>
        <v/>
      </c>
      <c r="H697" s="60" t="str">
        <f aca="false">IFERROR(IF([2]对账明细接口!$H$697=0,"",[2]对账明细接口!$H$697),"")</f>
        <v/>
      </c>
      <c r="I697" s="59" t="str">
        <f aca="false">IFERROR(IF([2]对账明细接口!$I$697=0,"",[2]对账明细接口!$I$697),"")</f>
        <v/>
      </c>
      <c r="J697" s="61" t="str">
        <f aca="false">IFERROR(IF([2]对账明细接口!$J$697=0,"",[2]对账明细接口!$J$697),"")</f>
        <v/>
      </c>
      <c r="K697" s="61" t="str">
        <f aca="false">IFERROR(IF([2]对账明细接口!$K$697=0,"",[2]对账明细接口!$K$697),"")</f>
        <v/>
      </c>
      <c r="L697" s="59" t="str">
        <f aca="false">IFERROR(IF([2]对账明细接口!$L$697=0,"",[2]对账明细接口!$L$697),"")</f>
        <v/>
      </c>
      <c r="M697" s="59" t="str">
        <f aca="false">IFERROR(IF([2]对账明细接口!$M$697=0,"",[2]对账明细接口!$M$697),"")</f>
        <v/>
      </c>
      <c r="N697" s="111" t="n">
        <f aca="false">IF($C697="",0,1)</f>
        <v>0</v>
      </c>
      <c r="O697" s="111" t="n">
        <f aca="false">N(O696)+$N697</f>
        <v>311</v>
      </c>
      <c r="S697" s="10" t="str">
        <f aca="false">IFERROR(IF([2]对账明细接口!$N697=0,"",[2]对账明细接口!$N697),"")</f>
        <v/>
      </c>
      <c r="T697" s="112" t="str">
        <f aca="false">IFERROR(IF([2]对账明细接口!$O697=0,"",[2]对账明细接口!$O697),"")</f>
        <v/>
      </c>
      <c r="U697" s="112" t="str">
        <f aca="false">IFERROR(IF([2]对账明细接口!$P697=0,"",[2]对账明细接口!$P697),"")</f>
        <v/>
      </c>
      <c r="V697" s="112" t="str">
        <f aca="false">IFERROR(IF([2]对账明细接口!$Q697=0,"",[2]对账明细接口!$Q697),"")</f>
        <v/>
      </c>
      <c r="W697" s="10" t="str">
        <f aca="false">IFERROR(IF([2]对账明细接口!$R697=0,"",[2]对账明细接口!$R697),"")</f>
        <v/>
      </c>
      <c r="X697" s="10" t="str">
        <f aca="false">IFERROR(IF([2]对账明细接口!$S697=0,"",[2]对账明细接口!$S697),"")</f>
        <v/>
      </c>
      <c r="Y697" s="10" t="str">
        <f aca="false">IFERROR(IF([2]对账明细接口!$T697=0,"",[2]对账明细接口!$T697),"")</f>
        <v/>
      </c>
      <c r="Z697" s="113" t="str">
        <f aca="false">IFERROR(IF([2]对账明细接口!$U697=0,"",[2]对账明细接口!$U697),"")</f>
        <v/>
      </c>
      <c r="AA697" s="113" t="str">
        <f aca="false">IFERROR(IF([2]对账明细接口!$V697=0,"",[2]对账明细接口!$V697),"")</f>
        <v/>
      </c>
      <c r="AB697" s="10" t="str">
        <f aca="false">IFERROR(IF([2]对账明细接口!$W697=0,"",[2]对账明细接口!$W697),"")</f>
        <v/>
      </c>
      <c r="AC697" s="90" t="str">
        <f aca="false">IFERROR(IF([2]对账明细接口!$X698=0,"",[2]对账明细接口!$X698),"")</f>
        <v/>
      </c>
      <c r="AD697" s="90" t="str">
        <f aca="false">IFERROR(IF([2]对账明细接口!$Y698=0,"",[2]对账明细接口!$Y698),"")</f>
        <v/>
      </c>
      <c r="AE697" s="90" t="str">
        <f aca="false">IFERROR(IF([2]对账明细接口!$AA698=0,"",[2]对账明细接口!$AA698),"")</f>
        <v/>
      </c>
      <c r="AF697" s="90" t="str">
        <f aca="false">IFERROR(IF([2]对账明细接口!$AB698=0,"",[2]对账明细接口!$AB698),"")</f>
        <v/>
      </c>
      <c r="AG697" s="90" t="str">
        <f aca="false">IFERROR(IF([2]对账明细接口!$AC698=0,"",[2]对账明细接口!$AC698),"")</f>
        <v/>
      </c>
      <c r="AH697" s="90" t="str">
        <f aca="false">IFERROR(IF([2]对账明细接口!$AD698=0,"",[2]对账明细接口!$AD698),"")</f>
        <v/>
      </c>
    </row>
    <row r="698" customFormat="false" ht="13.5" hidden="false" customHeight="false" outlineLevel="0" collapsed="false">
      <c r="A698" s="109" t="n">
        <v>698</v>
      </c>
      <c r="B698" s="110" t="str">
        <f aca="false">IFERROR(IF([2]对账明细接口!$B$698=0,"",[2]对账明细接口!$B$698),"")</f>
        <v/>
      </c>
      <c r="C698" s="59" t="str">
        <f aca="false">IFERROR(IF([2]对账明细接口!$C$698=0,"",[2]对账明细接口!$C$698),"")</f>
        <v/>
      </c>
      <c r="D698" s="59" t="str">
        <f aca="false">IFERROR(IF([2]对账明细接口!$D$698=0,"",[2]对账明细接口!$D$698),"")</f>
        <v/>
      </c>
      <c r="E698" s="59" t="str">
        <f aca="false">IFERROR(IF([2]对账明细接口!$E$698=0,"",[2]对账明细接口!$E$698),"")</f>
        <v/>
      </c>
      <c r="F698" s="59" t="str">
        <f aca="false">IFERROR(IF([2]对账明细接口!$F$698=0,"",[2]对账明细接口!$F$698),"")</f>
        <v/>
      </c>
      <c r="G698" s="59" t="str">
        <f aca="false">IFERROR(IF([2]对账明细接口!$G$698=0,"",[2]对账明细接口!$G$698),"")</f>
        <v/>
      </c>
      <c r="H698" s="60" t="str">
        <f aca="false">IFERROR(IF([2]对账明细接口!$H$698=0,"",[2]对账明细接口!$H$698),"")</f>
        <v/>
      </c>
      <c r="I698" s="59" t="str">
        <f aca="false">IFERROR(IF([2]对账明细接口!$I$698=0,"",[2]对账明细接口!$I$698),"")</f>
        <v/>
      </c>
      <c r="J698" s="61" t="str">
        <f aca="false">IFERROR(IF([2]对账明细接口!$J$698=0,"",[2]对账明细接口!$J$698),"")</f>
        <v/>
      </c>
      <c r="K698" s="61" t="str">
        <f aca="false">IFERROR(IF([2]对账明细接口!$K$698=0,"",[2]对账明细接口!$K$698),"")</f>
        <v/>
      </c>
      <c r="L698" s="59" t="str">
        <f aca="false">IFERROR(IF([2]对账明细接口!$L$698=0,"",[2]对账明细接口!$L$698),"")</f>
        <v/>
      </c>
      <c r="M698" s="59" t="str">
        <f aca="false">IFERROR(IF([2]对账明细接口!$M$698=0,"",[2]对账明细接口!$M$698),"")</f>
        <v/>
      </c>
      <c r="N698" s="111" t="n">
        <f aca="false">IF($C698="",0,1)</f>
        <v>0</v>
      </c>
      <c r="O698" s="111" t="n">
        <f aca="false">N(O697)+$N698</f>
        <v>311</v>
      </c>
      <c r="S698" s="10" t="str">
        <f aca="false">IFERROR(IF([2]对账明细接口!$N698=0,"",[2]对账明细接口!$N698),"")</f>
        <v/>
      </c>
      <c r="T698" s="112" t="str">
        <f aca="false">IFERROR(IF([2]对账明细接口!$O698=0,"",[2]对账明细接口!$O698),"")</f>
        <v/>
      </c>
      <c r="U698" s="112" t="str">
        <f aca="false">IFERROR(IF([2]对账明细接口!$P698=0,"",[2]对账明细接口!$P698),"")</f>
        <v/>
      </c>
      <c r="V698" s="112" t="str">
        <f aca="false">IFERROR(IF([2]对账明细接口!$Q698=0,"",[2]对账明细接口!$Q698),"")</f>
        <v/>
      </c>
      <c r="W698" s="10" t="str">
        <f aca="false">IFERROR(IF([2]对账明细接口!$R698=0,"",[2]对账明细接口!$R698),"")</f>
        <v/>
      </c>
      <c r="X698" s="10" t="str">
        <f aca="false">IFERROR(IF([2]对账明细接口!$S698=0,"",[2]对账明细接口!$S698),"")</f>
        <v/>
      </c>
      <c r="Y698" s="10" t="str">
        <f aca="false">IFERROR(IF([2]对账明细接口!$T698=0,"",[2]对账明细接口!$T698),"")</f>
        <v/>
      </c>
      <c r="Z698" s="113" t="str">
        <f aca="false">IFERROR(IF([2]对账明细接口!$U698=0,"",[2]对账明细接口!$U698),"")</f>
        <v/>
      </c>
      <c r="AA698" s="113" t="str">
        <f aca="false">IFERROR(IF([2]对账明细接口!$V698=0,"",[2]对账明细接口!$V698),"")</f>
        <v/>
      </c>
      <c r="AB698" s="10" t="str">
        <f aca="false">IFERROR(IF([2]对账明细接口!$W698=0,"",[2]对账明细接口!$W698),"")</f>
        <v/>
      </c>
      <c r="AC698" s="90" t="str">
        <f aca="false">IFERROR(IF([2]对账明细接口!$X699=0,"",[2]对账明细接口!$X699),"")</f>
        <v/>
      </c>
      <c r="AD698" s="90" t="str">
        <f aca="false">IFERROR(IF([2]对账明细接口!$Y699=0,"",[2]对账明细接口!$Y699),"")</f>
        <v/>
      </c>
      <c r="AE698" s="90" t="str">
        <f aca="false">IFERROR(IF([2]对账明细接口!$AA699=0,"",[2]对账明细接口!$AA699),"")</f>
        <v/>
      </c>
      <c r="AF698" s="90" t="str">
        <f aca="false">IFERROR(IF([2]对账明细接口!$AB699=0,"",[2]对账明细接口!$AB699),"")</f>
        <v/>
      </c>
      <c r="AG698" s="90" t="str">
        <f aca="false">IFERROR(IF([2]对账明细接口!$AC699=0,"",[2]对账明细接口!$AC699),"")</f>
        <v/>
      </c>
      <c r="AH698" s="90" t="str">
        <f aca="false">IFERROR(IF([2]对账明细接口!$AD699=0,"",[2]对账明细接口!$AD699),"")</f>
        <v/>
      </c>
    </row>
    <row r="699" customFormat="false" ht="13.5" hidden="false" customHeight="false" outlineLevel="0" collapsed="false">
      <c r="A699" s="109" t="n">
        <v>699</v>
      </c>
      <c r="B699" s="110" t="str">
        <f aca="false">IFERROR(IF([2]对账明细接口!$B$699=0,"",[2]对账明细接口!$B$699),"")</f>
        <v/>
      </c>
      <c r="C699" s="59" t="str">
        <f aca="false">IFERROR(IF([2]对账明细接口!$C$699=0,"",[2]对账明细接口!$C$699),"")</f>
        <v/>
      </c>
      <c r="D699" s="59" t="str">
        <f aca="false">IFERROR(IF([2]对账明细接口!$D$699=0,"",[2]对账明细接口!$D$699),"")</f>
        <v/>
      </c>
      <c r="E699" s="59" t="str">
        <f aca="false">IFERROR(IF([2]对账明细接口!$E$699=0,"",[2]对账明细接口!$E$699),"")</f>
        <v/>
      </c>
      <c r="F699" s="59" t="str">
        <f aca="false">IFERROR(IF([2]对账明细接口!$F$699=0,"",[2]对账明细接口!$F$699),"")</f>
        <v/>
      </c>
      <c r="G699" s="59" t="str">
        <f aca="false">IFERROR(IF([2]对账明细接口!$G$699=0,"",[2]对账明细接口!$G$699),"")</f>
        <v/>
      </c>
      <c r="H699" s="60" t="str">
        <f aca="false">IFERROR(IF([2]对账明细接口!$H$699=0,"",[2]对账明细接口!$H$699),"")</f>
        <v/>
      </c>
      <c r="I699" s="59" t="str">
        <f aca="false">IFERROR(IF([2]对账明细接口!$I$699=0,"",[2]对账明细接口!$I$699),"")</f>
        <v/>
      </c>
      <c r="J699" s="61" t="str">
        <f aca="false">IFERROR(IF([2]对账明细接口!$J$699=0,"",[2]对账明细接口!$J$699),"")</f>
        <v/>
      </c>
      <c r="K699" s="61" t="str">
        <f aca="false">IFERROR(IF([2]对账明细接口!$K$699=0,"",[2]对账明细接口!$K$699),"")</f>
        <v/>
      </c>
      <c r="L699" s="59" t="str">
        <f aca="false">IFERROR(IF([2]对账明细接口!$L$699=0,"",[2]对账明细接口!$L$699),"")</f>
        <v/>
      </c>
      <c r="M699" s="59" t="str">
        <f aca="false">IFERROR(IF([2]对账明细接口!$M$699=0,"",[2]对账明细接口!$M$699),"")</f>
        <v/>
      </c>
      <c r="N699" s="111" t="n">
        <f aca="false">IF($C699="",0,1)</f>
        <v>0</v>
      </c>
      <c r="O699" s="111" t="n">
        <f aca="false">N(O698)+$N699</f>
        <v>311</v>
      </c>
      <c r="S699" s="10" t="str">
        <f aca="false">IFERROR(IF([2]对账明细接口!$N699=0,"",[2]对账明细接口!$N699),"")</f>
        <v/>
      </c>
      <c r="T699" s="112" t="str">
        <f aca="false">IFERROR(IF([2]对账明细接口!$O699=0,"",[2]对账明细接口!$O699),"")</f>
        <v/>
      </c>
      <c r="U699" s="112" t="str">
        <f aca="false">IFERROR(IF([2]对账明细接口!$P699=0,"",[2]对账明细接口!$P699),"")</f>
        <v/>
      </c>
      <c r="V699" s="112" t="str">
        <f aca="false">IFERROR(IF([2]对账明细接口!$Q699=0,"",[2]对账明细接口!$Q699),"")</f>
        <v/>
      </c>
      <c r="W699" s="10" t="str">
        <f aca="false">IFERROR(IF([2]对账明细接口!$R699=0,"",[2]对账明细接口!$R699),"")</f>
        <v/>
      </c>
      <c r="X699" s="10" t="str">
        <f aca="false">IFERROR(IF([2]对账明细接口!$S699=0,"",[2]对账明细接口!$S699),"")</f>
        <v/>
      </c>
      <c r="Y699" s="10" t="str">
        <f aca="false">IFERROR(IF([2]对账明细接口!$T699=0,"",[2]对账明细接口!$T699),"")</f>
        <v/>
      </c>
      <c r="Z699" s="113" t="str">
        <f aca="false">IFERROR(IF([2]对账明细接口!$U699=0,"",[2]对账明细接口!$U699),"")</f>
        <v/>
      </c>
      <c r="AA699" s="113" t="str">
        <f aca="false">IFERROR(IF([2]对账明细接口!$V699=0,"",[2]对账明细接口!$V699),"")</f>
        <v/>
      </c>
      <c r="AB699" s="10" t="str">
        <f aca="false">IFERROR(IF([2]对账明细接口!$W699=0,"",[2]对账明细接口!$W699),"")</f>
        <v/>
      </c>
      <c r="AC699" s="90" t="str">
        <f aca="false">IFERROR(IF([2]对账明细接口!$X700=0,"",[2]对账明细接口!$X700),"")</f>
        <v/>
      </c>
      <c r="AD699" s="90" t="str">
        <f aca="false">IFERROR(IF([2]对账明细接口!$Y700=0,"",[2]对账明细接口!$Y700),"")</f>
        <v/>
      </c>
      <c r="AE699" s="90" t="str">
        <f aca="false">IFERROR(IF([2]对账明细接口!$AA700=0,"",[2]对账明细接口!$AA700),"")</f>
        <v/>
      </c>
      <c r="AF699" s="90" t="str">
        <f aca="false">IFERROR(IF([2]对账明细接口!$AB700=0,"",[2]对账明细接口!$AB700),"")</f>
        <v/>
      </c>
      <c r="AG699" s="90" t="str">
        <f aca="false">IFERROR(IF([2]对账明细接口!$AC700=0,"",[2]对账明细接口!$AC700),"")</f>
        <v/>
      </c>
      <c r="AH699" s="90" t="str">
        <f aca="false">IFERROR(IF([2]对账明细接口!$AD700=0,"",[2]对账明细接口!$AD700),"")</f>
        <v/>
      </c>
    </row>
    <row r="700" customFormat="false" ht="13.5" hidden="false" customHeight="false" outlineLevel="0" collapsed="false">
      <c r="A700" s="109" t="n">
        <v>700</v>
      </c>
      <c r="B700" s="110" t="str">
        <f aca="false">IFERROR(IF([2]对账明细接口!$B$700=0,"",[2]对账明细接口!$B$700),"")</f>
        <v/>
      </c>
      <c r="C700" s="59" t="str">
        <f aca="false">IFERROR(IF([2]对账明细接口!$C$700=0,"",[2]对账明细接口!$C$700),"")</f>
        <v/>
      </c>
      <c r="D700" s="59" t="str">
        <f aca="false">IFERROR(IF([2]对账明细接口!$D$700=0,"",[2]对账明细接口!$D$700),"")</f>
        <v/>
      </c>
      <c r="E700" s="59" t="str">
        <f aca="false">IFERROR(IF([2]对账明细接口!$E$700=0,"",[2]对账明细接口!$E$700),"")</f>
        <v/>
      </c>
      <c r="F700" s="59" t="str">
        <f aca="false">IFERROR(IF([2]对账明细接口!$F$700=0,"",[2]对账明细接口!$F$700),"")</f>
        <v/>
      </c>
      <c r="G700" s="59" t="str">
        <f aca="false">IFERROR(IF([2]对账明细接口!$G$700=0,"",[2]对账明细接口!$G$700),"")</f>
        <v/>
      </c>
      <c r="H700" s="60" t="str">
        <f aca="false">IFERROR(IF([2]对账明细接口!$H$700=0,"",[2]对账明细接口!$H$700),"")</f>
        <v/>
      </c>
      <c r="I700" s="59" t="str">
        <f aca="false">IFERROR(IF([2]对账明细接口!$I$700=0,"",[2]对账明细接口!$I$700),"")</f>
        <v/>
      </c>
      <c r="J700" s="61" t="str">
        <f aca="false">IFERROR(IF([2]对账明细接口!$J$700=0,"",[2]对账明细接口!$J$700),"")</f>
        <v/>
      </c>
      <c r="K700" s="61" t="str">
        <f aca="false">IFERROR(IF([2]对账明细接口!$K$700=0,"",[2]对账明细接口!$K$700),"")</f>
        <v/>
      </c>
      <c r="L700" s="59" t="str">
        <f aca="false">IFERROR(IF([2]对账明细接口!$L$700=0,"",[2]对账明细接口!$L$700),"")</f>
        <v/>
      </c>
      <c r="M700" s="59" t="str">
        <f aca="false">IFERROR(IF([2]对账明细接口!$M$700=0,"",[2]对账明细接口!$M$700),"")</f>
        <v/>
      </c>
      <c r="N700" s="111" t="n">
        <f aca="false">IF($C700="",0,1)</f>
        <v>0</v>
      </c>
      <c r="O700" s="111" t="n">
        <f aca="false">N(O699)+$N700</f>
        <v>311</v>
      </c>
      <c r="S700" s="10" t="str">
        <f aca="false">IFERROR(IF([2]对账明细接口!$N700=0,"",[2]对账明细接口!$N700),"")</f>
        <v/>
      </c>
      <c r="T700" s="112" t="str">
        <f aca="false">IFERROR(IF([2]对账明细接口!$O700=0,"",[2]对账明细接口!$O700),"")</f>
        <v/>
      </c>
      <c r="U700" s="112" t="str">
        <f aca="false">IFERROR(IF([2]对账明细接口!$P700=0,"",[2]对账明细接口!$P700),"")</f>
        <v/>
      </c>
      <c r="V700" s="112" t="str">
        <f aca="false">IFERROR(IF([2]对账明细接口!$Q700=0,"",[2]对账明细接口!$Q700),"")</f>
        <v/>
      </c>
      <c r="W700" s="10" t="str">
        <f aca="false">IFERROR(IF([2]对账明细接口!$R700=0,"",[2]对账明细接口!$R700),"")</f>
        <v/>
      </c>
      <c r="X700" s="10" t="str">
        <f aca="false">IFERROR(IF([2]对账明细接口!$S700=0,"",[2]对账明细接口!$S700),"")</f>
        <v/>
      </c>
      <c r="Y700" s="10" t="str">
        <f aca="false">IFERROR(IF([2]对账明细接口!$T700=0,"",[2]对账明细接口!$T700),"")</f>
        <v/>
      </c>
      <c r="Z700" s="113" t="str">
        <f aca="false">IFERROR(IF([2]对账明细接口!$U700=0,"",[2]对账明细接口!$U700),"")</f>
        <v/>
      </c>
      <c r="AA700" s="113" t="str">
        <f aca="false">IFERROR(IF([2]对账明细接口!$V700=0,"",[2]对账明细接口!$V700),"")</f>
        <v/>
      </c>
      <c r="AB700" s="10" t="str">
        <f aca="false">IFERROR(IF([2]对账明细接口!$W700=0,"",[2]对账明细接口!$W700),"")</f>
        <v/>
      </c>
      <c r="AC700" s="90" t="str">
        <f aca="false">IFERROR(IF([2]对账明细接口!$X701=0,"",[2]对账明细接口!$X701),"")</f>
        <v/>
      </c>
      <c r="AD700" s="90" t="str">
        <f aca="false">IFERROR(IF([2]对账明细接口!$Y701=0,"",[2]对账明细接口!$Y701),"")</f>
        <v/>
      </c>
      <c r="AE700" s="90" t="str">
        <f aca="false">IFERROR(IF([2]对账明细接口!$AA701=0,"",[2]对账明细接口!$AA701),"")</f>
        <v/>
      </c>
      <c r="AF700" s="90" t="str">
        <f aca="false">IFERROR(IF([2]对账明细接口!$AB701=0,"",[2]对账明细接口!$AB701),"")</f>
        <v/>
      </c>
      <c r="AG700" s="90" t="str">
        <f aca="false">IFERROR(IF([2]对账明细接口!$AC701=0,"",[2]对账明细接口!$AC701),"")</f>
        <v/>
      </c>
      <c r="AH700" s="90" t="str">
        <f aca="false">IFERROR(IF([2]对账明细接口!$AD701=0,"",[2]对账明细接口!$AD701),"")</f>
        <v/>
      </c>
    </row>
    <row r="701" customFormat="false" ht="13.5" hidden="false" customHeight="false" outlineLevel="0" collapsed="false">
      <c r="A701" s="109" t="n">
        <v>701</v>
      </c>
      <c r="B701" s="110" t="str">
        <f aca="false">IFERROR(IF([2]对账明细接口!$B$701=0,"",[2]对账明细接口!$B$701),"")</f>
        <v/>
      </c>
      <c r="C701" s="59" t="str">
        <f aca="false">IFERROR(IF([2]对账明细接口!$C$701=0,"",[2]对账明细接口!$C$701),"")</f>
        <v/>
      </c>
      <c r="D701" s="59" t="str">
        <f aca="false">IFERROR(IF([2]对账明细接口!$D$701=0,"",[2]对账明细接口!$D$701),"")</f>
        <v/>
      </c>
      <c r="E701" s="59" t="str">
        <f aca="false">IFERROR(IF([2]对账明细接口!$E$701=0,"",[2]对账明细接口!$E$701),"")</f>
        <v/>
      </c>
      <c r="F701" s="59" t="str">
        <f aca="false">IFERROR(IF([2]对账明细接口!$F$701=0,"",[2]对账明细接口!$F$701),"")</f>
        <v/>
      </c>
      <c r="G701" s="59" t="str">
        <f aca="false">IFERROR(IF([2]对账明细接口!$G$701=0,"",[2]对账明细接口!$G$701),"")</f>
        <v/>
      </c>
      <c r="H701" s="60" t="str">
        <f aca="false">IFERROR(IF([2]对账明细接口!$H$701=0,"",[2]对账明细接口!$H$701),"")</f>
        <v/>
      </c>
      <c r="I701" s="59" t="str">
        <f aca="false">IFERROR(IF([2]对账明细接口!$I$701=0,"",[2]对账明细接口!$I$701),"")</f>
        <v/>
      </c>
      <c r="J701" s="61" t="str">
        <f aca="false">IFERROR(IF([2]对账明细接口!$J$701=0,"",[2]对账明细接口!$J$701),"")</f>
        <v/>
      </c>
      <c r="K701" s="61" t="str">
        <f aca="false">IFERROR(IF([2]对账明细接口!$K$701=0,"",[2]对账明细接口!$K$701),"")</f>
        <v/>
      </c>
      <c r="L701" s="59" t="str">
        <f aca="false">IFERROR(IF([2]对账明细接口!$L$701=0,"",[2]对账明细接口!$L$701),"")</f>
        <v/>
      </c>
      <c r="M701" s="59" t="str">
        <f aca="false">IFERROR(IF([2]对账明细接口!$M$701=0,"",[2]对账明细接口!$M$701),"")</f>
        <v/>
      </c>
      <c r="N701" s="111" t="n">
        <f aca="false">IF($C701="",0,1)</f>
        <v>0</v>
      </c>
      <c r="O701" s="111" t="n">
        <f aca="false">N(O700)+$N701</f>
        <v>311</v>
      </c>
      <c r="S701" s="10" t="str">
        <f aca="false">IFERROR(IF([2]对账明细接口!$N701=0,"",[2]对账明细接口!$N701),"")</f>
        <v/>
      </c>
      <c r="T701" s="112" t="str">
        <f aca="false">IFERROR(IF([2]对账明细接口!$O701=0,"",[2]对账明细接口!$O701),"")</f>
        <v/>
      </c>
      <c r="U701" s="112" t="str">
        <f aca="false">IFERROR(IF([2]对账明细接口!$P701=0,"",[2]对账明细接口!$P701),"")</f>
        <v/>
      </c>
      <c r="V701" s="112" t="str">
        <f aca="false">IFERROR(IF([2]对账明细接口!$Q701=0,"",[2]对账明细接口!$Q701),"")</f>
        <v/>
      </c>
      <c r="W701" s="10" t="str">
        <f aca="false">IFERROR(IF([2]对账明细接口!$R701=0,"",[2]对账明细接口!$R701),"")</f>
        <v/>
      </c>
      <c r="X701" s="10" t="str">
        <f aca="false">IFERROR(IF([2]对账明细接口!$S701=0,"",[2]对账明细接口!$S701),"")</f>
        <v/>
      </c>
      <c r="Y701" s="10" t="str">
        <f aca="false">IFERROR(IF([2]对账明细接口!$T701=0,"",[2]对账明细接口!$T701),"")</f>
        <v/>
      </c>
      <c r="Z701" s="113" t="str">
        <f aca="false">IFERROR(IF([2]对账明细接口!$U701=0,"",[2]对账明细接口!$U701),"")</f>
        <v/>
      </c>
      <c r="AA701" s="113" t="str">
        <f aca="false">IFERROR(IF([2]对账明细接口!$V701=0,"",[2]对账明细接口!$V701),"")</f>
        <v/>
      </c>
      <c r="AB701" s="10" t="str">
        <f aca="false">IFERROR(IF([2]对账明细接口!$W701=0,"",[2]对账明细接口!$W701),"")</f>
        <v/>
      </c>
      <c r="AC701" s="90" t="str">
        <f aca="false">IFERROR(IF([2]对账明细接口!$X702=0,"",[2]对账明细接口!$X702),"")</f>
        <v/>
      </c>
      <c r="AD701" s="90" t="str">
        <f aca="false">IFERROR(IF([2]对账明细接口!$Y702=0,"",[2]对账明细接口!$Y702),"")</f>
        <v/>
      </c>
      <c r="AE701" s="90" t="str">
        <f aca="false">IFERROR(IF([2]对账明细接口!$AA702=0,"",[2]对账明细接口!$AA702),"")</f>
        <v/>
      </c>
      <c r="AF701" s="90" t="str">
        <f aca="false">IFERROR(IF([2]对账明细接口!$AB702=0,"",[2]对账明细接口!$AB702),"")</f>
        <v/>
      </c>
      <c r="AG701" s="90" t="str">
        <f aca="false">IFERROR(IF([2]对账明细接口!$AC702=0,"",[2]对账明细接口!$AC702),"")</f>
        <v/>
      </c>
      <c r="AH701" s="90" t="str">
        <f aca="false">IFERROR(IF([2]对账明细接口!$AD702=0,"",[2]对账明细接口!$AD702),"")</f>
        <v/>
      </c>
    </row>
    <row r="702" customFormat="false" ht="13.5" hidden="false" customHeight="false" outlineLevel="0" collapsed="false">
      <c r="A702" s="109" t="n">
        <v>702</v>
      </c>
      <c r="B702" s="110" t="str">
        <f aca="false">IFERROR(IF([2]对账明细接口!$B$702=0,"",[2]对账明细接口!$B$702),"")</f>
        <v/>
      </c>
      <c r="C702" s="59" t="str">
        <f aca="false">IFERROR(IF([2]对账明细接口!$C$702=0,"",[2]对账明细接口!$C$702),"")</f>
        <v/>
      </c>
      <c r="D702" s="59" t="str">
        <f aca="false">IFERROR(IF([2]对账明细接口!$D$702=0,"",[2]对账明细接口!$D$702),"")</f>
        <v/>
      </c>
      <c r="E702" s="59" t="str">
        <f aca="false">IFERROR(IF([2]对账明细接口!$E$702=0,"",[2]对账明细接口!$E$702),"")</f>
        <v/>
      </c>
      <c r="F702" s="59" t="str">
        <f aca="false">IFERROR(IF([2]对账明细接口!$F$702=0,"",[2]对账明细接口!$F$702),"")</f>
        <v/>
      </c>
      <c r="G702" s="59" t="str">
        <f aca="false">IFERROR(IF([2]对账明细接口!$G$702=0,"",[2]对账明细接口!$G$702),"")</f>
        <v/>
      </c>
      <c r="H702" s="60" t="str">
        <f aca="false">IFERROR(IF([2]对账明细接口!$H$702=0,"",[2]对账明细接口!$H$702),"")</f>
        <v/>
      </c>
      <c r="I702" s="59" t="str">
        <f aca="false">IFERROR(IF([2]对账明细接口!$I$702=0,"",[2]对账明细接口!$I$702),"")</f>
        <v/>
      </c>
      <c r="J702" s="61" t="str">
        <f aca="false">IFERROR(IF([2]对账明细接口!$J$702=0,"",[2]对账明细接口!$J$702),"")</f>
        <v/>
      </c>
      <c r="K702" s="61" t="str">
        <f aca="false">IFERROR(IF([2]对账明细接口!$K$702=0,"",[2]对账明细接口!$K$702),"")</f>
        <v/>
      </c>
      <c r="L702" s="59" t="str">
        <f aca="false">IFERROR(IF([2]对账明细接口!$L$702=0,"",[2]对账明细接口!$L$702),"")</f>
        <v/>
      </c>
      <c r="M702" s="59" t="str">
        <f aca="false">IFERROR(IF([2]对账明细接口!$M$702=0,"",[2]对账明细接口!$M$702),"")</f>
        <v/>
      </c>
      <c r="N702" s="111" t="n">
        <f aca="false">IF($C702="",0,1)</f>
        <v>0</v>
      </c>
      <c r="O702" s="111" t="n">
        <f aca="false">N(O701)+$N702</f>
        <v>311</v>
      </c>
      <c r="S702" s="10" t="str">
        <f aca="false">IFERROR(IF([2]对账明细接口!$N702=0,"",[2]对账明细接口!$N702),"")</f>
        <v/>
      </c>
      <c r="T702" s="112" t="str">
        <f aca="false">IFERROR(IF([2]对账明细接口!$O702=0,"",[2]对账明细接口!$O702),"")</f>
        <v/>
      </c>
      <c r="U702" s="112" t="str">
        <f aca="false">IFERROR(IF([2]对账明细接口!$P702=0,"",[2]对账明细接口!$P702),"")</f>
        <v/>
      </c>
      <c r="V702" s="112" t="str">
        <f aca="false">IFERROR(IF([2]对账明细接口!$Q702=0,"",[2]对账明细接口!$Q702),"")</f>
        <v/>
      </c>
      <c r="W702" s="10" t="str">
        <f aca="false">IFERROR(IF([2]对账明细接口!$R702=0,"",[2]对账明细接口!$R702),"")</f>
        <v/>
      </c>
      <c r="X702" s="10" t="str">
        <f aca="false">IFERROR(IF([2]对账明细接口!$S702=0,"",[2]对账明细接口!$S702),"")</f>
        <v/>
      </c>
      <c r="Y702" s="10" t="str">
        <f aca="false">IFERROR(IF([2]对账明细接口!$T702=0,"",[2]对账明细接口!$T702),"")</f>
        <v/>
      </c>
      <c r="Z702" s="113" t="str">
        <f aca="false">IFERROR(IF([2]对账明细接口!$U702=0,"",[2]对账明细接口!$U702),"")</f>
        <v/>
      </c>
      <c r="AA702" s="113" t="str">
        <f aca="false">IFERROR(IF([2]对账明细接口!$V702=0,"",[2]对账明细接口!$V702),"")</f>
        <v/>
      </c>
      <c r="AB702" s="10" t="str">
        <f aca="false">IFERROR(IF([2]对账明细接口!$W702=0,"",[2]对账明细接口!$W702),"")</f>
        <v/>
      </c>
      <c r="AC702" s="90" t="str">
        <f aca="false">IFERROR(IF([2]对账明细接口!$X703=0,"",[2]对账明细接口!$X703),"")</f>
        <v/>
      </c>
      <c r="AD702" s="90" t="str">
        <f aca="false">IFERROR(IF([2]对账明细接口!$Y703=0,"",[2]对账明细接口!$Y703),"")</f>
        <v/>
      </c>
      <c r="AE702" s="90" t="str">
        <f aca="false">IFERROR(IF([2]对账明细接口!$AA703=0,"",[2]对账明细接口!$AA703),"")</f>
        <v/>
      </c>
      <c r="AF702" s="90" t="str">
        <f aca="false">IFERROR(IF([2]对账明细接口!$AB703=0,"",[2]对账明细接口!$AB703),"")</f>
        <v/>
      </c>
      <c r="AG702" s="90" t="str">
        <f aca="false">IFERROR(IF([2]对账明细接口!$AC703=0,"",[2]对账明细接口!$AC703),"")</f>
        <v/>
      </c>
      <c r="AH702" s="90" t="str">
        <f aca="false">IFERROR(IF([2]对账明细接口!$AD703=0,"",[2]对账明细接口!$AD703),"")</f>
        <v/>
      </c>
    </row>
    <row r="703" customFormat="false" ht="13.5" hidden="false" customHeight="false" outlineLevel="0" collapsed="false">
      <c r="A703" s="109" t="n">
        <v>703</v>
      </c>
      <c r="B703" s="110" t="str">
        <f aca="false">IFERROR(IF([2]对账明细接口!$B$703=0,"",[2]对账明细接口!$B$703),"")</f>
        <v/>
      </c>
      <c r="C703" s="59" t="str">
        <f aca="false">IFERROR(IF([2]对账明细接口!$C$703=0,"",[2]对账明细接口!$C$703),"")</f>
        <v/>
      </c>
      <c r="D703" s="59" t="str">
        <f aca="false">IFERROR(IF([2]对账明细接口!$D$703=0,"",[2]对账明细接口!$D$703),"")</f>
        <v/>
      </c>
      <c r="E703" s="59" t="str">
        <f aca="false">IFERROR(IF([2]对账明细接口!$E$703=0,"",[2]对账明细接口!$E$703),"")</f>
        <v/>
      </c>
      <c r="F703" s="59" t="str">
        <f aca="false">IFERROR(IF([2]对账明细接口!$F$703=0,"",[2]对账明细接口!$F$703),"")</f>
        <v/>
      </c>
      <c r="G703" s="59" t="str">
        <f aca="false">IFERROR(IF([2]对账明细接口!$G$703=0,"",[2]对账明细接口!$G$703),"")</f>
        <v/>
      </c>
      <c r="H703" s="60" t="str">
        <f aca="false">IFERROR(IF([2]对账明细接口!$H$703=0,"",[2]对账明细接口!$H$703),"")</f>
        <v/>
      </c>
      <c r="I703" s="59" t="str">
        <f aca="false">IFERROR(IF([2]对账明细接口!$I$703=0,"",[2]对账明细接口!$I$703),"")</f>
        <v/>
      </c>
      <c r="J703" s="61" t="str">
        <f aca="false">IFERROR(IF([2]对账明细接口!$J$703=0,"",[2]对账明细接口!$J$703),"")</f>
        <v/>
      </c>
      <c r="K703" s="61" t="str">
        <f aca="false">IFERROR(IF([2]对账明细接口!$K$703=0,"",[2]对账明细接口!$K$703),"")</f>
        <v/>
      </c>
      <c r="L703" s="59" t="str">
        <f aca="false">IFERROR(IF([2]对账明细接口!$L$703=0,"",[2]对账明细接口!$L$703),"")</f>
        <v/>
      </c>
      <c r="M703" s="59" t="str">
        <f aca="false">IFERROR(IF([2]对账明细接口!$M$703=0,"",[2]对账明细接口!$M$703),"")</f>
        <v/>
      </c>
      <c r="N703" s="111" t="n">
        <f aca="false">IF($C703="",0,1)</f>
        <v>0</v>
      </c>
      <c r="O703" s="111" t="n">
        <f aca="false">N(O702)+$N703</f>
        <v>311</v>
      </c>
      <c r="S703" s="10" t="str">
        <f aca="false">IFERROR(IF([2]对账明细接口!$N703=0,"",[2]对账明细接口!$N703),"")</f>
        <v/>
      </c>
      <c r="T703" s="112" t="str">
        <f aca="false">IFERROR(IF([2]对账明细接口!$O703=0,"",[2]对账明细接口!$O703),"")</f>
        <v/>
      </c>
      <c r="U703" s="112" t="str">
        <f aca="false">IFERROR(IF([2]对账明细接口!$P703=0,"",[2]对账明细接口!$P703),"")</f>
        <v/>
      </c>
      <c r="V703" s="112" t="str">
        <f aca="false">IFERROR(IF([2]对账明细接口!$Q703=0,"",[2]对账明细接口!$Q703),"")</f>
        <v/>
      </c>
      <c r="W703" s="10" t="str">
        <f aca="false">IFERROR(IF([2]对账明细接口!$R703=0,"",[2]对账明细接口!$R703),"")</f>
        <v/>
      </c>
      <c r="X703" s="10" t="str">
        <f aca="false">IFERROR(IF([2]对账明细接口!$S703=0,"",[2]对账明细接口!$S703),"")</f>
        <v/>
      </c>
      <c r="Y703" s="10" t="str">
        <f aca="false">IFERROR(IF([2]对账明细接口!$T703=0,"",[2]对账明细接口!$T703),"")</f>
        <v/>
      </c>
      <c r="Z703" s="113" t="str">
        <f aca="false">IFERROR(IF([2]对账明细接口!$U703=0,"",[2]对账明细接口!$U703),"")</f>
        <v/>
      </c>
      <c r="AA703" s="113" t="str">
        <f aca="false">IFERROR(IF([2]对账明细接口!$V703=0,"",[2]对账明细接口!$V703),"")</f>
        <v/>
      </c>
      <c r="AB703" s="10" t="str">
        <f aca="false">IFERROR(IF([2]对账明细接口!$W703=0,"",[2]对账明细接口!$W703),"")</f>
        <v/>
      </c>
      <c r="AC703" s="90" t="str">
        <f aca="false">IFERROR(IF([2]对账明细接口!$X704=0,"",[2]对账明细接口!$X704),"")</f>
        <v/>
      </c>
      <c r="AD703" s="90" t="str">
        <f aca="false">IFERROR(IF([2]对账明细接口!$Y704=0,"",[2]对账明细接口!$Y704),"")</f>
        <v/>
      </c>
      <c r="AE703" s="90" t="str">
        <f aca="false">IFERROR(IF([2]对账明细接口!$AA704=0,"",[2]对账明细接口!$AA704),"")</f>
        <v/>
      </c>
      <c r="AF703" s="90" t="str">
        <f aca="false">IFERROR(IF([2]对账明细接口!$AB704=0,"",[2]对账明细接口!$AB704),"")</f>
        <v/>
      </c>
      <c r="AG703" s="90" t="str">
        <f aca="false">IFERROR(IF([2]对账明细接口!$AC704=0,"",[2]对账明细接口!$AC704),"")</f>
        <v/>
      </c>
      <c r="AH703" s="90" t="str">
        <f aca="false">IFERROR(IF([2]对账明细接口!$AD704=0,"",[2]对账明细接口!$AD704),"")</f>
        <v/>
      </c>
    </row>
    <row r="704" customFormat="false" ht="13.5" hidden="false" customHeight="false" outlineLevel="0" collapsed="false">
      <c r="A704" s="109" t="n">
        <v>704</v>
      </c>
      <c r="B704" s="110" t="str">
        <f aca="false">IFERROR(IF([2]对账明细接口!$B$704=0,"",[2]对账明细接口!$B$704),"")</f>
        <v/>
      </c>
      <c r="C704" s="59" t="str">
        <f aca="false">IFERROR(IF([2]对账明细接口!$C$704=0,"",[2]对账明细接口!$C$704),"")</f>
        <v/>
      </c>
      <c r="D704" s="59" t="str">
        <f aca="false">IFERROR(IF([2]对账明细接口!$D$704=0,"",[2]对账明细接口!$D$704),"")</f>
        <v/>
      </c>
      <c r="E704" s="59" t="str">
        <f aca="false">IFERROR(IF([2]对账明细接口!$E$704=0,"",[2]对账明细接口!$E$704),"")</f>
        <v/>
      </c>
      <c r="F704" s="59" t="str">
        <f aca="false">IFERROR(IF([2]对账明细接口!$F$704=0,"",[2]对账明细接口!$F$704),"")</f>
        <v/>
      </c>
      <c r="G704" s="59" t="str">
        <f aca="false">IFERROR(IF([2]对账明细接口!$G$704=0,"",[2]对账明细接口!$G$704),"")</f>
        <v/>
      </c>
      <c r="H704" s="60" t="str">
        <f aca="false">IFERROR(IF([2]对账明细接口!$H$704=0,"",[2]对账明细接口!$H$704),"")</f>
        <v/>
      </c>
      <c r="I704" s="59" t="str">
        <f aca="false">IFERROR(IF([2]对账明细接口!$I$704=0,"",[2]对账明细接口!$I$704),"")</f>
        <v/>
      </c>
      <c r="J704" s="61" t="str">
        <f aca="false">IFERROR(IF([2]对账明细接口!$J$704=0,"",[2]对账明细接口!$J$704),"")</f>
        <v/>
      </c>
      <c r="K704" s="61" t="str">
        <f aca="false">IFERROR(IF([2]对账明细接口!$K$704=0,"",[2]对账明细接口!$K$704),"")</f>
        <v/>
      </c>
      <c r="L704" s="59" t="str">
        <f aca="false">IFERROR(IF([2]对账明细接口!$L$704=0,"",[2]对账明细接口!$L$704),"")</f>
        <v/>
      </c>
      <c r="M704" s="59" t="str">
        <f aca="false">IFERROR(IF([2]对账明细接口!$M$704=0,"",[2]对账明细接口!$M$704),"")</f>
        <v/>
      </c>
      <c r="N704" s="111" t="n">
        <f aca="false">IF($C704="",0,1)</f>
        <v>0</v>
      </c>
      <c r="O704" s="111" t="n">
        <f aca="false">N(O703)+$N704</f>
        <v>311</v>
      </c>
      <c r="S704" s="10" t="str">
        <f aca="false">IFERROR(IF([2]对账明细接口!$N704=0,"",[2]对账明细接口!$N704),"")</f>
        <v/>
      </c>
      <c r="T704" s="112" t="str">
        <f aca="false">IFERROR(IF([2]对账明细接口!$O704=0,"",[2]对账明细接口!$O704),"")</f>
        <v/>
      </c>
      <c r="U704" s="112" t="str">
        <f aca="false">IFERROR(IF([2]对账明细接口!$P704=0,"",[2]对账明细接口!$P704),"")</f>
        <v/>
      </c>
      <c r="V704" s="112" t="str">
        <f aca="false">IFERROR(IF([2]对账明细接口!$Q704=0,"",[2]对账明细接口!$Q704),"")</f>
        <v/>
      </c>
      <c r="W704" s="10" t="str">
        <f aca="false">IFERROR(IF([2]对账明细接口!$R704=0,"",[2]对账明细接口!$R704),"")</f>
        <v/>
      </c>
      <c r="X704" s="10" t="str">
        <f aca="false">IFERROR(IF([2]对账明细接口!$S704=0,"",[2]对账明细接口!$S704),"")</f>
        <v/>
      </c>
      <c r="Y704" s="10" t="str">
        <f aca="false">IFERROR(IF([2]对账明细接口!$T704=0,"",[2]对账明细接口!$T704),"")</f>
        <v/>
      </c>
      <c r="Z704" s="113" t="str">
        <f aca="false">IFERROR(IF([2]对账明细接口!$U704=0,"",[2]对账明细接口!$U704),"")</f>
        <v/>
      </c>
      <c r="AA704" s="113" t="str">
        <f aca="false">IFERROR(IF([2]对账明细接口!$V704=0,"",[2]对账明细接口!$V704),"")</f>
        <v/>
      </c>
      <c r="AB704" s="10" t="str">
        <f aca="false">IFERROR(IF([2]对账明细接口!$W704=0,"",[2]对账明细接口!$W704),"")</f>
        <v/>
      </c>
      <c r="AC704" s="90" t="str">
        <f aca="false">IFERROR(IF([2]对账明细接口!$X705=0,"",[2]对账明细接口!$X705),"")</f>
        <v/>
      </c>
      <c r="AD704" s="90" t="str">
        <f aca="false">IFERROR(IF([2]对账明细接口!$Y705=0,"",[2]对账明细接口!$Y705),"")</f>
        <v/>
      </c>
      <c r="AE704" s="90" t="str">
        <f aca="false">IFERROR(IF([2]对账明细接口!$AA705=0,"",[2]对账明细接口!$AA705),"")</f>
        <v/>
      </c>
      <c r="AF704" s="90" t="str">
        <f aca="false">IFERROR(IF([2]对账明细接口!$AB705=0,"",[2]对账明细接口!$AB705),"")</f>
        <v/>
      </c>
      <c r="AG704" s="90" t="str">
        <f aca="false">IFERROR(IF([2]对账明细接口!$AC705=0,"",[2]对账明细接口!$AC705),"")</f>
        <v/>
      </c>
      <c r="AH704" s="90" t="str">
        <f aca="false">IFERROR(IF([2]对账明细接口!$AD705=0,"",[2]对账明细接口!$AD705),"")</f>
        <v/>
      </c>
    </row>
    <row r="705" customFormat="false" ht="13.5" hidden="false" customHeight="false" outlineLevel="0" collapsed="false">
      <c r="A705" s="109" t="n">
        <v>705</v>
      </c>
      <c r="B705" s="110" t="str">
        <f aca="false">IFERROR(IF([2]对账明细接口!$B$705=0,"",[2]对账明细接口!$B$705),"")</f>
        <v/>
      </c>
      <c r="C705" s="59" t="str">
        <f aca="false">IFERROR(IF([2]对账明细接口!$C$705=0,"",[2]对账明细接口!$C$705),"")</f>
        <v/>
      </c>
      <c r="D705" s="59" t="str">
        <f aca="false">IFERROR(IF([2]对账明细接口!$D$705=0,"",[2]对账明细接口!$D$705),"")</f>
        <v/>
      </c>
      <c r="E705" s="59" t="str">
        <f aca="false">IFERROR(IF([2]对账明细接口!$E$705=0,"",[2]对账明细接口!$E$705),"")</f>
        <v/>
      </c>
      <c r="F705" s="59" t="str">
        <f aca="false">IFERROR(IF([2]对账明细接口!$F$705=0,"",[2]对账明细接口!$F$705),"")</f>
        <v/>
      </c>
      <c r="G705" s="59" t="str">
        <f aca="false">IFERROR(IF([2]对账明细接口!$G$705=0,"",[2]对账明细接口!$G$705),"")</f>
        <v/>
      </c>
      <c r="H705" s="60" t="str">
        <f aca="false">IFERROR(IF([2]对账明细接口!$H$705=0,"",[2]对账明细接口!$H$705),"")</f>
        <v/>
      </c>
      <c r="I705" s="59" t="str">
        <f aca="false">IFERROR(IF([2]对账明细接口!$I$705=0,"",[2]对账明细接口!$I$705),"")</f>
        <v/>
      </c>
      <c r="J705" s="61" t="str">
        <f aca="false">IFERROR(IF([2]对账明细接口!$J$705=0,"",[2]对账明细接口!$J$705),"")</f>
        <v/>
      </c>
      <c r="K705" s="61" t="str">
        <f aca="false">IFERROR(IF([2]对账明细接口!$K$705=0,"",[2]对账明细接口!$K$705),"")</f>
        <v/>
      </c>
      <c r="L705" s="59" t="str">
        <f aca="false">IFERROR(IF([2]对账明细接口!$L$705=0,"",[2]对账明细接口!$L$705),"")</f>
        <v/>
      </c>
      <c r="M705" s="59" t="str">
        <f aca="false">IFERROR(IF([2]对账明细接口!$M$705=0,"",[2]对账明细接口!$M$705),"")</f>
        <v/>
      </c>
      <c r="N705" s="111" t="n">
        <f aca="false">IF($C705="",0,1)</f>
        <v>0</v>
      </c>
      <c r="O705" s="111" t="n">
        <f aca="false">N(O704)+$N705</f>
        <v>311</v>
      </c>
      <c r="S705" s="10" t="str">
        <f aca="false">IFERROR(IF([2]对账明细接口!$N705=0,"",[2]对账明细接口!$N705),"")</f>
        <v/>
      </c>
      <c r="T705" s="112" t="str">
        <f aca="false">IFERROR(IF([2]对账明细接口!$O705=0,"",[2]对账明细接口!$O705),"")</f>
        <v/>
      </c>
      <c r="U705" s="112" t="str">
        <f aca="false">IFERROR(IF([2]对账明细接口!$P705=0,"",[2]对账明细接口!$P705),"")</f>
        <v/>
      </c>
      <c r="V705" s="112" t="str">
        <f aca="false">IFERROR(IF([2]对账明细接口!$Q705=0,"",[2]对账明细接口!$Q705),"")</f>
        <v/>
      </c>
      <c r="W705" s="10" t="str">
        <f aca="false">IFERROR(IF([2]对账明细接口!$R705=0,"",[2]对账明细接口!$R705),"")</f>
        <v/>
      </c>
      <c r="X705" s="10" t="str">
        <f aca="false">IFERROR(IF([2]对账明细接口!$S705=0,"",[2]对账明细接口!$S705),"")</f>
        <v/>
      </c>
      <c r="Y705" s="10" t="str">
        <f aca="false">IFERROR(IF([2]对账明细接口!$T705=0,"",[2]对账明细接口!$T705),"")</f>
        <v/>
      </c>
      <c r="Z705" s="113" t="str">
        <f aca="false">IFERROR(IF([2]对账明细接口!$U705=0,"",[2]对账明细接口!$U705),"")</f>
        <v/>
      </c>
      <c r="AA705" s="113" t="str">
        <f aca="false">IFERROR(IF([2]对账明细接口!$V705=0,"",[2]对账明细接口!$V705),"")</f>
        <v/>
      </c>
      <c r="AB705" s="10" t="str">
        <f aca="false">IFERROR(IF([2]对账明细接口!$W705=0,"",[2]对账明细接口!$W705),"")</f>
        <v/>
      </c>
      <c r="AC705" s="90" t="str">
        <f aca="false">IFERROR(IF([2]对账明细接口!$X706=0,"",[2]对账明细接口!$X706),"")</f>
        <v/>
      </c>
      <c r="AD705" s="90" t="str">
        <f aca="false">IFERROR(IF([2]对账明细接口!$Y706=0,"",[2]对账明细接口!$Y706),"")</f>
        <v/>
      </c>
      <c r="AE705" s="90" t="str">
        <f aca="false">IFERROR(IF([2]对账明细接口!$AA706=0,"",[2]对账明细接口!$AA706),"")</f>
        <v/>
      </c>
      <c r="AF705" s="90" t="str">
        <f aca="false">IFERROR(IF([2]对账明细接口!$AB706=0,"",[2]对账明细接口!$AB706),"")</f>
        <v/>
      </c>
      <c r="AG705" s="90" t="str">
        <f aca="false">IFERROR(IF([2]对账明细接口!$AC706=0,"",[2]对账明细接口!$AC706),"")</f>
        <v/>
      </c>
      <c r="AH705" s="90" t="str">
        <f aca="false">IFERROR(IF([2]对账明细接口!$AD706=0,"",[2]对账明细接口!$AD706),"")</f>
        <v/>
      </c>
    </row>
    <row r="706" customFormat="false" ht="13.5" hidden="false" customHeight="false" outlineLevel="0" collapsed="false">
      <c r="A706" s="109" t="n">
        <v>706</v>
      </c>
      <c r="B706" s="110" t="str">
        <f aca="false">IFERROR(IF([2]对账明细接口!$B$706=0,"",[2]对账明细接口!$B$706),"")</f>
        <v/>
      </c>
      <c r="C706" s="59" t="str">
        <f aca="false">IFERROR(IF([2]对账明细接口!$C$706=0,"",[2]对账明细接口!$C$706),"")</f>
        <v/>
      </c>
      <c r="D706" s="59" t="str">
        <f aca="false">IFERROR(IF([2]对账明细接口!$D$706=0,"",[2]对账明细接口!$D$706),"")</f>
        <v/>
      </c>
      <c r="E706" s="59" t="str">
        <f aca="false">IFERROR(IF([2]对账明细接口!$E$706=0,"",[2]对账明细接口!$E$706),"")</f>
        <v/>
      </c>
      <c r="F706" s="59" t="str">
        <f aca="false">IFERROR(IF([2]对账明细接口!$F$706=0,"",[2]对账明细接口!$F$706),"")</f>
        <v/>
      </c>
      <c r="G706" s="59" t="str">
        <f aca="false">IFERROR(IF([2]对账明细接口!$G$706=0,"",[2]对账明细接口!$G$706),"")</f>
        <v/>
      </c>
      <c r="H706" s="60" t="str">
        <f aca="false">IFERROR(IF([2]对账明细接口!$H$706=0,"",[2]对账明细接口!$H$706),"")</f>
        <v/>
      </c>
      <c r="I706" s="59" t="str">
        <f aca="false">IFERROR(IF([2]对账明细接口!$I$706=0,"",[2]对账明细接口!$I$706),"")</f>
        <v/>
      </c>
      <c r="J706" s="61" t="str">
        <f aca="false">IFERROR(IF([2]对账明细接口!$J$706=0,"",[2]对账明细接口!$J$706),"")</f>
        <v/>
      </c>
      <c r="K706" s="61" t="str">
        <f aca="false">IFERROR(IF([2]对账明细接口!$K$706=0,"",[2]对账明细接口!$K$706),"")</f>
        <v/>
      </c>
      <c r="L706" s="59" t="str">
        <f aca="false">IFERROR(IF([2]对账明细接口!$L$706=0,"",[2]对账明细接口!$L$706),"")</f>
        <v/>
      </c>
      <c r="M706" s="59" t="str">
        <f aca="false">IFERROR(IF([2]对账明细接口!$M$706=0,"",[2]对账明细接口!$M$706),"")</f>
        <v/>
      </c>
      <c r="N706" s="111" t="n">
        <f aca="false">IF($C706="",0,1)</f>
        <v>0</v>
      </c>
      <c r="O706" s="111" t="n">
        <f aca="false">N(O705)+$N706</f>
        <v>311</v>
      </c>
      <c r="S706" s="10" t="str">
        <f aca="false">IFERROR(IF([2]对账明细接口!$N706=0,"",[2]对账明细接口!$N706),"")</f>
        <v/>
      </c>
      <c r="T706" s="112" t="str">
        <f aca="false">IFERROR(IF([2]对账明细接口!$O706=0,"",[2]对账明细接口!$O706),"")</f>
        <v/>
      </c>
      <c r="U706" s="112" t="str">
        <f aca="false">IFERROR(IF([2]对账明细接口!$P706=0,"",[2]对账明细接口!$P706),"")</f>
        <v/>
      </c>
      <c r="V706" s="112" t="str">
        <f aca="false">IFERROR(IF([2]对账明细接口!$Q706=0,"",[2]对账明细接口!$Q706),"")</f>
        <v/>
      </c>
      <c r="W706" s="10" t="str">
        <f aca="false">IFERROR(IF([2]对账明细接口!$R706=0,"",[2]对账明细接口!$R706),"")</f>
        <v/>
      </c>
      <c r="X706" s="10" t="str">
        <f aca="false">IFERROR(IF([2]对账明细接口!$S706=0,"",[2]对账明细接口!$S706),"")</f>
        <v/>
      </c>
      <c r="Y706" s="10" t="str">
        <f aca="false">IFERROR(IF([2]对账明细接口!$T706=0,"",[2]对账明细接口!$T706),"")</f>
        <v/>
      </c>
      <c r="Z706" s="113" t="str">
        <f aca="false">IFERROR(IF([2]对账明细接口!$U706=0,"",[2]对账明细接口!$U706),"")</f>
        <v/>
      </c>
      <c r="AA706" s="113" t="str">
        <f aca="false">IFERROR(IF([2]对账明细接口!$V706=0,"",[2]对账明细接口!$V706),"")</f>
        <v/>
      </c>
      <c r="AB706" s="10" t="str">
        <f aca="false">IFERROR(IF([2]对账明细接口!$W706=0,"",[2]对账明细接口!$W706),"")</f>
        <v/>
      </c>
      <c r="AC706" s="90" t="str">
        <f aca="false">IFERROR(IF([2]对账明细接口!$X707=0,"",[2]对账明细接口!$X707),"")</f>
        <v/>
      </c>
      <c r="AD706" s="90" t="str">
        <f aca="false">IFERROR(IF([2]对账明细接口!$Y707=0,"",[2]对账明细接口!$Y707),"")</f>
        <v/>
      </c>
      <c r="AE706" s="90" t="str">
        <f aca="false">IFERROR(IF([2]对账明细接口!$AA707=0,"",[2]对账明细接口!$AA707),"")</f>
        <v/>
      </c>
      <c r="AF706" s="90" t="str">
        <f aca="false">IFERROR(IF([2]对账明细接口!$AB707=0,"",[2]对账明细接口!$AB707),"")</f>
        <v/>
      </c>
      <c r="AG706" s="90" t="str">
        <f aca="false">IFERROR(IF([2]对账明细接口!$AC707=0,"",[2]对账明细接口!$AC707),"")</f>
        <v/>
      </c>
      <c r="AH706" s="90" t="str">
        <f aca="false">IFERROR(IF([2]对账明细接口!$AD707=0,"",[2]对账明细接口!$AD707),"")</f>
        <v/>
      </c>
    </row>
    <row r="707" customFormat="false" ht="13.5" hidden="false" customHeight="false" outlineLevel="0" collapsed="false">
      <c r="A707" s="109" t="n">
        <v>707</v>
      </c>
      <c r="B707" s="110" t="str">
        <f aca="false">IFERROR(IF([2]对账明细接口!$B$707=0,"",[2]对账明细接口!$B$707),"")</f>
        <v/>
      </c>
      <c r="C707" s="59" t="str">
        <f aca="false">IFERROR(IF([2]对账明细接口!$C$707=0,"",[2]对账明细接口!$C$707),"")</f>
        <v/>
      </c>
      <c r="D707" s="59" t="str">
        <f aca="false">IFERROR(IF([2]对账明细接口!$D$707=0,"",[2]对账明细接口!$D$707),"")</f>
        <v/>
      </c>
      <c r="E707" s="59" t="str">
        <f aca="false">IFERROR(IF([2]对账明细接口!$E$707=0,"",[2]对账明细接口!$E$707),"")</f>
        <v/>
      </c>
      <c r="F707" s="59" t="str">
        <f aca="false">IFERROR(IF([2]对账明细接口!$F$707=0,"",[2]对账明细接口!$F$707),"")</f>
        <v/>
      </c>
      <c r="G707" s="59" t="str">
        <f aca="false">IFERROR(IF([2]对账明细接口!$G$707=0,"",[2]对账明细接口!$G$707),"")</f>
        <v/>
      </c>
      <c r="H707" s="60" t="str">
        <f aca="false">IFERROR(IF([2]对账明细接口!$H$707=0,"",[2]对账明细接口!$H$707),"")</f>
        <v/>
      </c>
      <c r="I707" s="59" t="str">
        <f aca="false">IFERROR(IF([2]对账明细接口!$I$707=0,"",[2]对账明细接口!$I$707),"")</f>
        <v/>
      </c>
      <c r="J707" s="61" t="str">
        <f aca="false">IFERROR(IF([2]对账明细接口!$J$707=0,"",[2]对账明细接口!$J$707),"")</f>
        <v/>
      </c>
      <c r="K707" s="61" t="str">
        <f aca="false">IFERROR(IF([2]对账明细接口!$K$707=0,"",[2]对账明细接口!$K$707),"")</f>
        <v/>
      </c>
      <c r="L707" s="59" t="str">
        <f aca="false">IFERROR(IF([2]对账明细接口!$L$707=0,"",[2]对账明细接口!$L$707),"")</f>
        <v/>
      </c>
      <c r="M707" s="59" t="str">
        <f aca="false">IFERROR(IF([2]对账明细接口!$M$707=0,"",[2]对账明细接口!$M$707),"")</f>
        <v/>
      </c>
      <c r="N707" s="111" t="n">
        <f aca="false">IF($C707="",0,1)</f>
        <v>0</v>
      </c>
      <c r="O707" s="111" t="n">
        <f aca="false">N(O706)+$N707</f>
        <v>311</v>
      </c>
      <c r="S707" s="10" t="str">
        <f aca="false">IFERROR(IF([2]对账明细接口!$N707=0,"",[2]对账明细接口!$N707),"")</f>
        <v/>
      </c>
      <c r="T707" s="112" t="str">
        <f aca="false">IFERROR(IF([2]对账明细接口!$O707=0,"",[2]对账明细接口!$O707),"")</f>
        <v/>
      </c>
      <c r="U707" s="112" t="str">
        <f aca="false">IFERROR(IF([2]对账明细接口!$P707=0,"",[2]对账明细接口!$P707),"")</f>
        <v/>
      </c>
      <c r="V707" s="112" t="str">
        <f aca="false">IFERROR(IF([2]对账明细接口!$Q707=0,"",[2]对账明细接口!$Q707),"")</f>
        <v/>
      </c>
      <c r="W707" s="10" t="str">
        <f aca="false">IFERROR(IF([2]对账明细接口!$R707=0,"",[2]对账明细接口!$R707),"")</f>
        <v/>
      </c>
      <c r="X707" s="10" t="str">
        <f aca="false">IFERROR(IF([2]对账明细接口!$S707=0,"",[2]对账明细接口!$S707),"")</f>
        <v/>
      </c>
      <c r="Y707" s="10" t="str">
        <f aca="false">IFERROR(IF([2]对账明细接口!$T707=0,"",[2]对账明细接口!$T707),"")</f>
        <v/>
      </c>
      <c r="Z707" s="113" t="str">
        <f aca="false">IFERROR(IF([2]对账明细接口!$U707=0,"",[2]对账明细接口!$U707),"")</f>
        <v/>
      </c>
      <c r="AA707" s="113" t="str">
        <f aca="false">IFERROR(IF([2]对账明细接口!$V707=0,"",[2]对账明细接口!$V707),"")</f>
        <v/>
      </c>
      <c r="AB707" s="10" t="str">
        <f aca="false">IFERROR(IF([2]对账明细接口!$W707=0,"",[2]对账明细接口!$W707),"")</f>
        <v/>
      </c>
      <c r="AC707" s="90" t="str">
        <f aca="false">IFERROR(IF([2]对账明细接口!$X708=0,"",[2]对账明细接口!$X708),"")</f>
        <v/>
      </c>
      <c r="AD707" s="90" t="str">
        <f aca="false">IFERROR(IF([2]对账明细接口!$Y708=0,"",[2]对账明细接口!$Y708),"")</f>
        <v/>
      </c>
      <c r="AE707" s="90" t="str">
        <f aca="false">IFERROR(IF([2]对账明细接口!$AA708=0,"",[2]对账明细接口!$AA708),"")</f>
        <v/>
      </c>
      <c r="AF707" s="90" t="str">
        <f aca="false">IFERROR(IF([2]对账明细接口!$AB708=0,"",[2]对账明细接口!$AB708),"")</f>
        <v/>
      </c>
      <c r="AG707" s="90" t="str">
        <f aca="false">IFERROR(IF([2]对账明细接口!$AC708=0,"",[2]对账明细接口!$AC708),"")</f>
        <v/>
      </c>
      <c r="AH707" s="90" t="str">
        <f aca="false">IFERROR(IF([2]对账明细接口!$AD708=0,"",[2]对账明细接口!$AD708),"")</f>
        <v/>
      </c>
    </row>
    <row r="708" customFormat="false" ht="13.5" hidden="false" customHeight="false" outlineLevel="0" collapsed="false">
      <c r="A708" s="109" t="n">
        <v>708</v>
      </c>
      <c r="B708" s="110" t="str">
        <f aca="false">IFERROR(IF([2]对账明细接口!$B$708=0,"",[2]对账明细接口!$B$708),"")</f>
        <v/>
      </c>
      <c r="C708" s="59" t="str">
        <f aca="false">IFERROR(IF([2]对账明细接口!$C$708=0,"",[2]对账明细接口!$C$708),"")</f>
        <v/>
      </c>
      <c r="D708" s="59" t="str">
        <f aca="false">IFERROR(IF([2]对账明细接口!$D$708=0,"",[2]对账明细接口!$D$708),"")</f>
        <v/>
      </c>
      <c r="E708" s="59" t="str">
        <f aca="false">IFERROR(IF([2]对账明细接口!$E$708=0,"",[2]对账明细接口!$E$708),"")</f>
        <v/>
      </c>
      <c r="F708" s="59" t="str">
        <f aca="false">IFERROR(IF([2]对账明细接口!$F$708=0,"",[2]对账明细接口!$F$708),"")</f>
        <v/>
      </c>
      <c r="G708" s="59" t="str">
        <f aca="false">IFERROR(IF([2]对账明细接口!$G$708=0,"",[2]对账明细接口!$G$708),"")</f>
        <v/>
      </c>
      <c r="H708" s="60" t="str">
        <f aca="false">IFERROR(IF([2]对账明细接口!$H$708=0,"",[2]对账明细接口!$H$708),"")</f>
        <v/>
      </c>
      <c r="I708" s="59" t="str">
        <f aca="false">IFERROR(IF([2]对账明细接口!$I$708=0,"",[2]对账明细接口!$I$708),"")</f>
        <v/>
      </c>
      <c r="J708" s="61" t="str">
        <f aca="false">IFERROR(IF([2]对账明细接口!$J$708=0,"",[2]对账明细接口!$J$708),"")</f>
        <v/>
      </c>
      <c r="K708" s="61" t="str">
        <f aca="false">IFERROR(IF([2]对账明细接口!$K$708=0,"",[2]对账明细接口!$K$708),"")</f>
        <v/>
      </c>
      <c r="L708" s="59" t="str">
        <f aca="false">IFERROR(IF([2]对账明细接口!$L$708=0,"",[2]对账明细接口!$L$708),"")</f>
        <v/>
      </c>
      <c r="M708" s="59" t="str">
        <f aca="false">IFERROR(IF([2]对账明细接口!$M$708=0,"",[2]对账明细接口!$M$708),"")</f>
        <v/>
      </c>
      <c r="N708" s="111" t="n">
        <f aca="false">IF($C708="",0,1)</f>
        <v>0</v>
      </c>
      <c r="O708" s="111" t="n">
        <f aca="false">N(O707)+$N708</f>
        <v>311</v>
      </c>
      <c r="S708" s="10" t="str">
        <f aca="false">IFERROR(IF([2]对账明细接口!$N708=0,"",[2]对账明细接口!$N708),"")</f>
        <v/>
      </c>
      <c r="T708" s="112" t="str">
        <f aca="false">IFERROR(IF([2]对账明细接口!$O708=0,"",[2]对账明细接口!$O708),"")</f>
        <v/>
      </c>
      <c r="U708" s="112" t="str">
        <f aca="false">IFERROR(IF([2]对账明细接口!$P708=0,"",[2]对账明细接口!$P708),"")</f>
        <v/>
      </c>
      <c r="V708" s="112" t="str">
        <f aca="false">IFERROR(IF([2]对账明细接口!$Q708=0,"",[2]对账明细接口!$Q708),"")</f>
        <v/>
      </c>
      <c r="W708" s="10" t="str">
        <f aca="false">IFERROR(IF([2]对账明细接口!$R708=0,"",[2]对账明细接口!$R708),"")</f>
        <v/>
      </c>
      <c r="X708" s="10" t="str">
        <f aca="false">IFERROR(IF([2]对账明细接口!$S708=0,"",[2]对账明细接口!$S708),"")</f>
        <v/>
      </c>
      <c r="Y708" s="10" t="str">
        <f aca="false">IFERROR(IF([2]对账明细接口!$T708=0,"",[2]对账明细接口!$T708),"")</f>
        <v/>
      </c>
      <c r="Z708" s="113" t="str">
        <f aca="false">IFERROR(IF([2]对账明细接口!$U708=0,"",[2]对账明细接口!$U708),"")</f>
        <v/>
      </c>
      <c r="AA708" s="113" t="str">
        <f aca="false">IFERROR(IF([2]对账明细接口!$V708=0,"",[2]对账明细接口!$V708),"")</f>
        <v/>
      </c>
      <c r="AB708" s="10" t="str">
        <f aca="false">IFERROR(IF([2]对账明细接口!$W708=0,"",[2]对账明细接口!$W708),"")</f>
        <v/>
      </c>
      <c r="AC708" s="90" t="str">
        <f aca="false">IFERROR(IF([2]对账明细接口!$X709=0,"",[2]对账明细接口!$X709),"")</f>
        <v/>
      </c>
      <c r="AD708" s="90" t="str">
        <f aca="false">IFERROR(IF([2]对账明细接口!$Y709=0,"",[2]对账明细接口!$Y709),"")</f>
        <v/>
      </c>
      <c r="AE708" s="90" t="str">
        <f aca="false">IFERROR(IF([2]对账明细接口!$AA709=0,"",[2]对账明细接口!$AA709),"")</f>
        <v/>
      </c>
      <c r="AF708" s="90" t="str">
        <f aca="false">IFERROR(IF([2]对账明细接口!$AB709=0,"",[2]对账明细接口!$AB709),"")</f>
        <v/>
      </c>
      <c r="AG708" s="90" t="str">
        <f aca="false">IFERROR(IF([2]对账明细接口!$AC709=0,"",[2]对账明细接口!$AC709),"")</f>
        <v/>
      </c>
      <c r="AH708" s="90" t="str">
        <f aca="false">IFERROR(IF([2]对账明细接口!$AD709=0,"",[2]对账明细接口!$AD709),"")</f>
        <v/>
      </c>
    </row>
    <row r="709" customFormat="false" ht="13.5" hidden="false" customHeight="false" outlineLevel="0" collapsed="false">
      <c r="A709" s="109" t="n">
        <v>709</v>
      </c>
      <c r="B709" s="110" t="str">
        <f aca="false">IFERROR(IF([2]对账明细接口!$B$709=0,"",[2]对账明细接口!$B$709),"")</f>
        <v/>
      </c>
      <c r="C709" s="59" t="str">
        <f aca="false">IFERROR(IF([2]对账明细接口!$C$709=0,"",[2]对账明细接口!$C$709),"")</f>
        <v/>
      </c>
      <c r="D709" s="59" t="str">
        <f aca="false">IFERROR(IF([2]对账明细接口!$D$709=0,"",[2]对账明细接口!$D$709),"")</f>
        <v/>
      </c>
      <c r="E709" s="59" t="str">
        <f aca="false">IFERROR(IF([2]对账明细接口!$E$709=0,"",[2]对账明细接口!$E$709),"")</f>
        <v/>
      </c>
      <c r="F709" s="59" t="str">
        <f aca="false">IFERROR(IF([2]对账明细接口!$F$709=0,"",[2]对账明细接口!$F$709),"")</f>
        <v/>
      </c>
      <c r="G709" s="59" t="str">
        <f aca="false">IFERROR(IF([2]对账明细接口!$G$709=0,"",[2]对账明细接口!$G$709),"")</f>
        <v/>
      </c>
      <c r="H709" s="60" t="str">
        <f aca="false">IFERROR(IF([2]对账明细接口!$H$709=0,"",[2]对账明细接口!$H$709),"")</f>
        <v/>
      </c>
      <c r="I709" s="59" t="str">
        <f aca="false">IFERROR(IF([2]对账明细接口!$I$709=0,"",[2]对账明细接口!$I$709),"")</f>
        <v/>
      </c>
      <c r="J709" s="61" t="str">
        <f aca="false">IFERROR(IF([2]对账明细接口!$J$709=0,"",[2]对账明细接口!$J$709),"")</f>
        <v/>
      </c>
      <c r="K709" s="61" t="str">
        <f aca="false">IFERROR(IF([2]对账明细接口!$K$709=0,"",[2]对账明细接口!$K$709),"")</f>
        <v/>
      </c>
      <c r="L709" s="59" t="str">
        <f aca="false">IFERROR(IF([2]对账明细接口!$L$709=0,"",[2]对账明细接口!$L$709),"")</f>
        <v/>
      </c>
      <c r="M709" s="59" t="str">
        <f aca="false">IFERROR(IF([2]对账明细接口!$M$709=0,"",[2]对账明细接口!$M$709),"")</f>
        <v/>
      </c>
      <c r="N709" s="111" t="n">
        <f aca="false">IF($C709="",0,1)</f>
        <v>0</v>
      </c>
      <c r="O709" s="111" t="n">
        <f aca="false">N(O708)+$N709</f>
        <v>311</v>
      </c>
      <c r="S709" s="10" t="str">
        <f aca="false">IFERROR(IF([2]对账明细接口!$N709=0,"",[2]对账明细接口!$N709),"")</f>
        <v/>
      </c>
      <c r="T709" s="112" t="str">
        <f aca="false">IFERROR(IF([2]对账明细接口!$O709=0,"",[2]对账明细接口!$O709),"")</f>
        <v/>
      </c>
      <c r="U709" s="112" t="str">
        <f aca="false">IFERROR(IF([2]对账明细接口!$P709=0,"",[2]对账明细接口!$P709),"")</f>
        <v/>
      </c>
      <c r="V709" s="112" t="str">
        <f aca="false">IFERROR(IF([2]对账明细接口!$Q709=0,"",[2]对账明细接口!$Q709),"")</f>
        <v/>
      </c>
      <c r="W709" s="10" t="str">
        <f aca="false">IFERROR(IF([2]对账明细接口!$R709=0,"",[2]对账明细接口!$R709),"")</f>
        <v/>
      </c>
      <c r="X709" s="10" t="str">
        <f aca="false">IFERROR(IF([2]对账明细接口!$S709=0,"",[2]对账明细接口!$S709),"")</f>
        <v/>
      </c>
      <c r="Y709" s="10" t="str">
        <f aca="false">IFERROR(IF([2]对账明细接口!$T709=0,"",[2]对账明细接口!$T709),"")</f>
        <v/>
      </c>
      <c r="Z709" s="113" t="str">
        <f aca="false">IFERROR(IF([2]对账明细接口!$U709=0,"",[2]对账明细接口!$U709),"")</f>
        <v/>
      </c>
      <c r="AA709" s="113" t="str">
        <f aca="false">IFERROR(IF([2]对账明细接口!$V709=0,"",[2]对账明细接口!$V709),"")</f>
        <v/>
      </c>
      <c r="AB709" s="10" t="str">
        <f aca="false">IFERROR(IF([2]对账明细接口!$W709=0,"",[2]对账明细接口!$W709),"")</f>
        <v/>
      </c>
      <c r="AC709" s="90" t="str">
        <f aca="false">IFERROR(IF([2]对账明细接口!$X710=0,"",[2]对账明细接口!$X710),"")</f>
        <v/>
      </c>
      <c r="AD709" s="90" t="str">
        <f aca="false">IFERROR(IF([2]对账明细接口!$Y710=0,"",[2]对账明细接口!$Y710),"")</f>
        <v/>
      </c>
      <c r="AE709" s="90" t="str">
        <f aca="false">IFERROR(IF([2]对账明细接口!$AA710=0,"",[2]对账明细接口!$AA710),"")</f>
        <v/>
      </c>
      <c r="AF709" s="90" t="str">
        <f aca="false">IFERROR(IF([2]对账明细接口!$AB710=0,"",[2]对账明细接口!$AB710),"")</f>
        <v/>
      </c>
      <c r="AG709" s="90" t="str">
        <f aca="false">IFERROR(IF([2]对账明细接口!$AC710=0,"",[2]对账明细接口!$AC710),"")</f>
        <v/>
      </c>
      <c r="AH709" s="90" t="str">
        <f aca="false">IFERROR(IF([2]对账明细接口!$AD710=0,"",[2]对账明细接口!$AD710),"")</f>
        <v/>
      </c>
    </row>
    <row r="710" customFormat="false" ht="13.5" hidden="false" customHeight="false" outlineLevel="0" collapsed="false">
      <c r="A710" s="109" t="n">
        <v>710</v>
      </c>
      <c r="B710" s="110" t="str">
        <f aca="false">IFERROR(IF([2]对账明细接口!$B$710=0,"",[2]对账明细接口!$B$710),"")</f>
        <v/>
      </c>
      <c r="C710" s="59" t="str">
        <f aca="false">IFERROR(IF([2]对账明细接口!$C$710=0,"",[2]对账明细接口!$C$710),"")</f>
        <v/>
      </c>
      <c r="D710" s="59" t="str">
        <f aca="false">IFERROR(IF([2]对账明细接口!$D$710=0,"",[2]对账明细接口!$D$710),"")</f>
        <v/>
      </c>
      <c r="E710" s="59" t="str">
        <f aca="false">IFERROR(IF([2]对账明细接口!$E$710=0,"",[2]对账明细接口!$E$710),"")</f>
        <v/>
      </c>
      <c r="F710" s="59" t="str">
        <f aca="false">IFERROR(IF([2]对账明细接口!$F$710=0,"",[2]对账明细接口!$F$710),"")</f>
        <v/>
      </c>
      <c r="G710" s="59" t="str">
        <f aca="false">IFERROR(IF([2]对账明细接口!$G$710=0,"",[2]对账明细接口!$G$710),"")</f>
        <v/>
      </c>
      <c r="H710" s="60" t="str">
        <f aca="false">IFERROR(IF([2]对账明细接口!$H$710=0,"",[2]对账明细接口!$H$710),"")</f>
        <v/>
      </c>
      <c r="I710" s="59" t="str">
        <f aca="false">IFERROR(IF([2]对账明细接口!$I$710=0,"",[2]对账明细接口!$I$710),"")</f>
        <v/>
      </c>
      <c r="J710" s="61" t="str">
        <f aca="false">IFERROR(IF([2]对账明细接口!$J$710=0,"",[2]对账明细接口!$J$710),"")</f>
        <v/>
      </c>
      <c r="K710" s="61" t="str">
        <f aca="false">IFERROR(IF([2]对账明细接口!$K$710=0,"",[2]对账明细接口!$K$710),"")</f>
        <v/>
      </c>
      <c r="L710" s="59" t="str">
        <f aca="false">IFERROR(IF([2]对账明细接口!$L$710=0,"",[2]对账明细接口!$L$710),"")</f>
        <v/>
      </c>
      <c r="M710" s="59" t="str">
        <f aca="false">IFERROR(IF([2]对账明细接口!$M$710=0,"",[2]对账明细接口!$M$710),"")</f>
        <v/>
      </c>
      <c r="N710" s="111" t="n">
        <f aca="false">IF($C710="",0,1)</f>
        <v>0</v>
      </c>
      <c r="O710" s="111" t="n">
        <f aca="false">N(O709)+$N710</f>
        <v>311</v>
      </c>
      <c r="S710" s="10" t="str">
        <f aca="false">IFERROR(IF([2]对账明细接口!$N710=0,"",[2]对账明细接口!$N710),"")</f>
        <v/>
      </c>
      <c r="T710" s="112" t="str">
        <f aca="false">IFERROR(IF([2]对账明细接口!$O710=0,"",[2]对账明细接口!$O710),"")</f>
        <v/>
      </c>
      <c r="U710" s="112" t="str">
        <f aca="false">IFERROR(IF([2]对账明细接口!$P710=0,"",[2]对账明细接口!$P710),"")</f>
        <v/>
      </c>
      <c r="V710" s="112" t="str">
        <f aca="false">IFERROR(IF([2]对账明细接口!$Q710=0,"",[2]对账明细接口!$Q710),"")</f>
        <v/>
      </c>
      <c r="W710" s="10" t="str">
        <f aca="false">IFERROR(IF([2]对账明细接口!$R710=0,"",[2]对账明细接口!$R710),"")</f>
        <v/>
      </c>
      <c r="X710" s="10" t="str">
        <f aca="false">IFERROR(IF([2]对账明细接口!$S710=0,"",[2]对账明细接口!$S710),"")</f>
        <v/>
      </c>
      <c r="Y710" s="10" t="str">
        <f aca="false">IFERROR(IF([2]对账明细接口!$T710=0,"",[2]对账明细接口!$T710),"")</f>
        <v/>
      </c>
      <c r="Z710" s="113" t="str">
        <f aca="false">IFERROR(IF([2]对账明细接口!$U710=0,"",[2]对账明细接口!$U710),"")</f>
        <v/>
      </c>
      <c r="AA710" s="113" t="str">
        <f aca="false">IFERROR(IF([2]对账明细接口!$V710=0,"",[2]对账明细接口!$V710),"")</f>
        <v/>
      </c>
      <c r="AB710" s="10" t="str">
        <f aca="false">IFERROR(IF([2]对账明细接口!$W710=0,"",[2]对账明细接口!$W710),"")</f>
        <v/>
      </c>
      <c r="AC710" s="90" t="str">
        <f aca="false">IFERROR(IF([2]对账明细接口!$X711=0,"",[2]对账明细接口!$X711),"")</f>
        <v/>
      </c>
      <c r="AD710" s="90" t="str">
        <f aca="false">IFERROR(IF([2]对账明细接口!$Y711=0,"",[2]对账明细接口!$Y711),"")</f>
        <v/>
      </c>
      <c r="AE710" s="90" t="str">
        <f aca="false">IFERROR(IF([2]对账明细接口!$AA711=0,"",[2]对账明细接口!$AA711),"")</f>
        <v/>
      </c>
      <c r="AF710" s="90" t="str">
        <f aca="false">IFERROR(IF([2]对账明细接口!$AB711=0,"",[2]对账明细接口!$AB711),"")</f>
        <v/>
      </c>
      <c r="AG710" s="90" t="str">
        <f aca="false">IFERROR(IF([2]对账明细接口!$AC711=0,"",[2]对账明细接口!$AC711),"")</f>
        <v/>
      </c>
      <c r="AH710" s="90" t="str">
        <f aca="false">IFERROR(IF([2]对账明细接口!$AD711=0,"",[2]对账明细接口!$AD711),"")</f>
        <v/>
      </c>
    </row>
    <row r="711" customFormat="false" ht="13.5" hidden="false" customHeight="false" outlineLevel="0" collapsed="false">
      <c r="A711" s="109" t="n">
        <v>711</v>
      </c>
      <c r="B711" s="110" t="str">
        <f aca="false">IFERROR(IF([2]对账明细接口!$B$711=0,"",[2]对账明细接口!$B$711),"")</f>
        <v/>
      </c>
      <c r="C711" s="59" t="str">
        <f aca="false">IFERROR(IF([2]对账明细接口!$C$711=0,"",[2]对账明细接口!$C$711),"")</f>
        <v/>
      </c>
      <c r="D711" s="59" t="str">
        <f aca="false">IFERROR(IF([2]对账明细接口!$D$711=0,"",[2]对账明细接口!$D$711),"")</f>
        <v/>
      </c>
      <c r="E711" s="59" t="str">
        <f aca="false">IFERROR(IF([2]对账明细接口!$E$711=0,"",[2]对账明细接口!$E$711),"")</f>
        <v/>
      </c>
      <c r="F711" s="59" t="str">
        <f aca="false">IFERROR(IF([2]对账明细接口!$F$711=0,"",[2]对账明细接口!$F$711),"")</f>
        <v/>
      </c>
      <c r="G711" s="59" t="str">
        <f aca="false">IFERROR(IF([2]对账明细接口!$G$711=0,"",[2]对账明细接口!$G$711),"")</f>
        <v/>
      </c>
      <c r="H711" s="60" t="str">
        <f aca="false">IFERROR(IF([2]对账明细接口!$H$711=0,"",[2]对账明细接口!$H$711),"")</f>
        <v/>
      </c>
      <c r="I711" s="59" t="str">
        <f aca="false">IFERROR(IF([2]对账明细接口!$I$711=0,"",[2]对账明细接口!$I$711),"")</f>
        <v/>
      </c>
      <c r="J711" s="61" t="str">
        <f aca="false">IFERROR(IF([2]对账明细接口!$J$711=0,"",[2]对账明细接口!$J$711),"")</f>
        <v/>
      </c>
      <c r="K711" s="61" t="str">
        <f aca="false">IFERROR(IF([2]对账明细接口!$K$711=0,"",[2]对账明细接口!$K$711),"")</f>
        <v/>
      </c>
      <c r="L711" s="59" t="str">
        <f aca="false">IFERROR(IF([2]对账明细接口!$L$711=0,"",[2]对账明细接口!$L$711),"")</f>
        <v/>
      </c>
      <c r="M711" s="59" t="str">
        <f aca="false">IFERROR(IF([2]对账明细接口!$M$711=0,"",[2]对账明细接口!$M$711),"")</f>
        <v/>
      </c>
      <c r="N711" s="111" t="n">
        <f aca="false">IF($C711="",0,1)</f>
        <v>0</v>
      </c>
      <c r="O711" s="111" t="n">
        <f aca="false">N(O710)+$N711</f>
        <v>311</v>
      </c>
      <c r="S711" s="10" t="str">
        <f aca="false">IFERROR(IF([2]对账明细接口!$N711=0,"",[2]对账明细接口!$N711),"")</f>
        <v/>
      </c>
      <c r="T711" s="112" t="str">
        <f aca="false">IFERROR(IF([2]对账明细接口!$O711=0,"",[2]对账明细接口!$O711),"")</f>
        <v/>
      </c>
      <c r="U711" s="112" t="str">
        <f aca="false">IFERROR(IF([2]对账明细接口!$P711=0,"",[2]对账明细接口!$P711),"")</f>
        <v/>
      </c>
      <c r="V711" s="112" t="str">
        <f aca="false">IFERROR(IF([2]对账明细接口!$Q711=0,"",[2]对账明细接口!$Q711),"")</f>
        <v/>
      </c>
      <c r="W711" s="10" t="str">
        <f aca="false">IFERROR(IF([2]对账明细接口!$R711=0,"",[2]对账明细接口!$R711),"")</f>
        <v/>
      </c>
      <c r="X711" s="10" t="str">
        <f aca="false">IFERROR(IF([2]对账明细接口!$S711=0,"",[2]对账明细接口!$S711),"")</f>
        <v/>
      </c>
      <c r="Y711" s="10" t="str">
        <f aca="false">IFERROR(IF([2]对账明细接口!$T711=0,"",[2]对账明细接口!$T711),"")</f>
        <v/>
      </c>
      <c r="Z711" s="113" t="str">
        <f aca="false">IFERROR(IF([2]对账明细接口!$U711=0,"",[2]对账明细接口!$U711),"")</f>
        <v/>
      </c>
      <c r="AA711" s="113" t="str">
        <f aca="false">IFERROR(IF([2]对账明细接口!$V711=0,"",[2]对账明细接口!$V711),"")</f>
        <v/>
      </c>
      <c r="AB711" s="10" t="str">
        <f aca="false">IFERROR(IF([2]对账明细接口!$W711=0,"",[2]对账明细接口!$W711),"")</f>
        <v/>
      </c>
      <c r="AC711" s="90" t="str">
        <f aca="false">IFERROR(IF([2]对账明细接口!$X712=0,"",[2]对账明细接口!$X712),"")</f>
        <v/>
      </c>
      <c r="AD711" s="90" t="str">
        <f aca="false">IFERROR(IF([2]对账明细接口!$Y712=0,"",[2]对账明细接口!$Y712),"")</f>
        <v/>
      </c>
      <c r="AE711" s="90" t="str">
        <f aca="false">IFERROR(IF([2]对账明细接口!$AA712=0,"",[2]对账明细接口!$AA712),"")</f>
        <v/>
      </c>
      <c r="AF711" s="90" t="str">
        <f aca="false">IFERROR(IF([2]对账明细接口!$AB712=0,"",[2]对账明细接口!$AB712),"")</f>
        <v/>
      </c>
      <c r="AG711" s="90" t="str">
        <f aca="false">IFERROR(IF([2]对账明细接口!$AC712=0,"",[2]对账明细接口!$AC712),"")</f>
        <v/>
      </c>
      <c r="AH711" s="90" t="str">
        <f aca="false">IFERROR(IF([2]对账明细接口!$AD712=0,"",[2]对账明细接口!$AD712),"")</f>
        <v/>
      </c>
    </row>
    <row r="712" customFormat="false" ht="13.5" hidden="false" customHeight="false" outlineLevel="0" collapsed="false">
      <c r="A712" s="109" t="n">
        <v>712</v>
      </c>
      <c r="B712" s="110" t="str">
        <f aca="false">IFERROR(IF([2]对账明细接口!$B$712=0,"",[2]对账明细接口!$B$712),"")</f>
        <v/>
      </c>
      <c r="C712" s="59" t="str">
        <f aca="false">IFERROR(IF([2]对账明细接口!$C$712=0,"",[2]对账明细接口!$C$712),"")</f>
        <v/>
      </c>
      <c r="D712" s="59" t="str">
        <f aca="false">IFERROR(IF([2]对账明细接口!$D$712=0,"",[2]对账明细接口!$D$712),"")</f>
        <v/>
      </c>
      <c r="E712" s="59" t="str">
        <f aca="false">IFERROR(IF([2]对账明细接口!$E$712=0,"",[2]对账明细接口!$E$712),"")</f>
        <v/>
      </c>
      <c r="F712" s="59" t="str">
        <f aca="false">IFERROR(IF([2]对账明细接口!$F$712=0,"",[2]对账明细接口!$F$712),"")</f>
        <v/>
      </c>
      <c r="G712" s="59" t="str">
        <f aca="false">IFERROR(IF([2]对账明细接口!$G$712=0,"",[2]对账明细接口!$G$712),"")</f>
        <v/>
      </c>
      <c r="H712" s="60" t="str">
        <f aca="false">IFERROR(IF([2]对账明细接口!$H$712=0,"",[2]对账明细接口!$H$712),"")</f>
        <v/>
      </c>
      <c r="I712" s="59" t="str">
        <f aca="false">IFERROR(IF([2]对账明细接口!$I$712=0,"",[2]对账明细接口!$I$712),"")</f>
        <v/>
      </c>
      <c r="J712" s="61" t="str">
        <f aca="false">IFERROR(IF([2]对账明细接口!$J$712=0,"",[2]对账明细接口!$J$712),"")</f>
        <v/>
      </c>
      <c r="K712" s="61" t="str">
        <f aca="false">IFERROR(IF([2]对账明细接口!$K$712=0,"",[2]对账明细接口!$K$712),"")</f>
        <v/>
      </c>
      <c r="L712" s="59" t="str">
        <f aca="false">IFERROR(IF([2]对账明细接口!$L$712=0,"",[2]对账明细接口!$L$712),"")</f>
        <v/>
      </c>
      <c r="M712" s="59" t="str">
        <f aca="false">IFERROR(IF([2]对账明细接口!$M$712=0,"",[2]对账明细接口!$M$712),"")</f>
        <v/>
      </c>
      <c r="N712" s="111" t="n">
        <f aca="false">IF($C712="",0,1)</f>
        <v>0</v>
      </c>
      <c r="O712" s="111" t="n">
        <f aca="false">N(O711)+$N712</f>
        <v>311</v>
      </c>
      <c r="S712" s="10" t="str">
        <f aca="false">IFERROR(IF([2]对账明细接口!$N712=0,"",[2]对账明细接口!$N712),"")</f>
        <v/>
      </c>
      <c r="T712" s="112" t="str">
        <f aca="false">IFERROR(IF([2]对账明细接口!$O712=0,"",[2]对账明细接口!$O712),"")</f>
        <v/>
      </c>
      <c r="U712" s="112" t="str">
        <f aca="false">IFERROR(IF([2]对账明细接口!$P712=0,"",[2]对账明细接口!$P712),"")</f>
        <v/>
      </c>
      <c r="V712" s="112" t="str">
        <f aca="false">IFERROR(IF([2]对账明细接口!$Q712=0,"",[2]对账明细接口!$Q712),"")</f>
        <v/>
      </c>
      <c r="W712" s="10" t="str">
        <f aca="false">IFERROR(IF([2]对账明细接口!$R712=0,"",[2]对账明细接口!$R712),"")</f>
        <v/>
      </c>
      <c r="X712" s="10" t="str">
        <f aca="false">IFERROR(IF([2]对账明细接口!$S712=0,"",[2]对账明细接口!$S712),"")</f>
        <v/>
      </c>
      <c r="Y712" s="10" t="str">
        <f aca="false">IFERROR(IF([2]对账明细接口!$T712=0,"",[2]对账明细接口!$T712),"")</f>
        <v/>
      </c>
      <c r="Z712" s="113" t="str">
        <f aca="false">IFERROR(IF([2]对账明细接口!$U712=0,"",[2]对账明细接口!$U712),"")</f>
        <v/>
      </c>
      <c r="AA712" s="113" t="str">
        <f aca="false">IFERROR(IF([2]对账明细接口!$V712=0,"",[2]对账明细接口!$V712),"")</f>
        <v/>
      </c>
      <c r="AB712" s="10" t="str">
        <f aca="false">IFERROR(IF([2]对账明细接口!$W712=0,"",[2]对账明细接口!$W712),"")</f>
        <v/>
      </c>
      <c r="AC712" s="90" t="str">
        <f aca="false">IFERROR(IF([2]对账明细接口!$X713=0,"",[2]对账明细接口!$X713),"")</f>
        <v/>
      </c>
      <c r="AD712" s="90" t="str">
        <f aca="false">IFERROR(IF([2]对账明细接口!$Y713=0,"",[2]对账明细接口!$Y713),"")</f>
        <v/>
      </c>
      <c r="AE712" s="90" t="str">
        <f aca="false">IFERROR(IF([2]对账明细接口!$AA713=0,"",[2]对账明细接口!$AA713),"")</f>
        <v/>
      </c>
      <c r="AF712" s="90" t="str">
        <f aca="false">IFERROR(IF([2]对账明细接口!$AB713=0,"",[2]对账明细接口!$AB713),"")</f>
        <v/>
      </c>
      <c r="AG712" s="90" t="str">
        <f aca="false">IFERROR(IF([2]对账明细接口!$AC713=0,"",[2]对账明细接口!$AC713),"")</f>
        <v/>
      </c>
      <c r="AH712" s="90" t="str">
        <f aca="false">IFERROR(IF([2]对账明细接口!$AD713=0,"",[2]对账明细接口!$AD713),"")</f>
        <v/>
      </c>
    </row>
    <row r="713" customFormat="false" ht="13.5" hidden="false" customHeight="false" outlineLevel="0" collapsed="false">
      <c r="A713" s="109" t="n">
        <v>713</v>
      </c>
      <c r="B713" s="110" t="str">
        <f aca="false">IFERROR(IF([2]对账明细接口!$B$713=0,"",[2]对账明细接口!$B$713),"")</f>
        <v/>
      </c>
      <c r="C713" s="59" t="str">
        <f aca="false">IFERROR(IF([2]对账明细接口!$C$713=0,"",[2]对账明细接口!$C$713),"")</f>
        <v/>
      </c>
      <c r="D713" s="59" t="str">
        <f aca="false">IFERROR(IF([2]对账明细接口!$D$713=0,"",[2]对账明细接口!$D$713),"")</f>
        <v/>
      </c>
      <c r="E713" s="59" t="str">
        <f aca="false">IFERROR(IF([2]对账明细接口!$E$713=0,"",[2]对账明细接口!$E$713),"")</f>
        <v/>
      </c>
      <c r="F713" s="59" t="str">
        <f aca="false">IFERROR(IF([2]对账明细接口!$F$713=0,"",[2]对账明细接口!$F$713),"")</f>
        <v/>
      </c>
      <c r="G713" s="59" t="str">
        <f aca="false">IFERROR(IF([2]对账明细接口!$G$713=0,"",[2]对账明细接口!$G$713),"")</f>
        <v/>
      </c>
      <c r="H713" s="60" t="str">
        <f aca="false">IFERROR(IF([2]对账明细接口!$H$713=0,"",[2]对账明细接口!$H$713),"")</f>
        <v/>
      </c>
      <c r="I713" s="59" t="str">
        <f aca="false">IFERROR(IF([2]对账明细接口!$I$713=0,"",[2]对账明细接口!$I$713),"")</f>
        <v/>
      </c>
      <c r="J713" s="61" t="str">
        <f aca="false">IFERROR(IF([2]对账明细接口!$J$713=0,"",[2]对账明细接口!$J$713),"")</f>
        <v/>
      </c>
      <c r="K713" s="61" t="str">
        <f aca="false">IFERROR(IF([2]对账明细接口!$K$713=0,"",[2]对账明细接口!$K$713),"")</f>
        <v/>
      </c>
      <c r="L713" s="59" t="str">
        <f aca="false">IFERROR(IF([2]对账明细接口!$L$713=0,"",[2]对账明细接口!$L$713),"")</f>
        <v/>
      </c>
      <c r="M713" s="59" t="str">
        <f aca="false">IFERROR(IF([2]对账明细接口!$M$713=0,"",[2]对账明细接口!$M$713),"")</f>
        <v/>
      </c>
      <c r="N713" s="111" t="n">
        <f aca="false">IF($C713="",0,1)</f>
        <v>0</v>
      </c>
      <c r="O713" s="111" t="n">
        <f aca="false">N(O712)+$N713</f>
        <v>311</v>
      </c>
      <c r="S713" s="10" t="str">
        <f aca="false">IFERROR(IF([2]对账明细接口!$N713=0,"",[2]对账明细接口!$N713),"")</f>
        <v/>
      </c>
      <c r="T713" s="112" t="str">
        <f aca="false">IFERROR(IF([2]对账明细接口!$O713=0,"",[2]对账明细接口!$O713),"")</f>
        <v/>
      </c>
      <c r="U713" s="112" t="str">
        <f aca="false">IFERROR(IF([2]对账明细接口!$P713=0,"",[2]对账明细接口!$P713),"")</f>
        <v/>
      </c>
      <c r="V713" s="112" t="str">
        <f aca="false">IFERROR(IF([2]对账明细接口!$Q713=0,"",[2]对账明细接口!$Q713),"")</f>
        <v/>
      </c>
      <c r="W713" s="10" t="str">
        <f aca="false">IFERROR(IF([2]对账明细接口!$R713=0,"",[2]对账明细接口!$R713),"")</f>
        <v/>
      </c>
      <c r="X713" s="10" t="str">
        <f aca="false">IFERROR(IF([2]对账明细接口!$S713=0,"",[2]对账明细接口!$S713),"")</f>
        <v/>
      </c>
      <c r="Y713" s="10" t="str">
        <f aca="false">IFERROR(IF([2]对账明细接口!$T713=0,"",[2]对账明细接口!$T713),"")</f>
        <v/>
      </c>
      <c r="Z713" s="113" t="str">
        <f aca="false">IFERROR(IF([2]对账明细接口!$U713=0,"",[2]对账明细接口!$U713),"")</f>
        <v/>
      </c>
      <c r="AA713" s="113" t="str">
        <f aca="false">IFERROR(IF([2]对账明细接口!$V713=0,"",[2]对账明细接口!$V713),"")</f>
        <v/>
      </c>
      <c r="AB713" s="10" t="str">
        <f aca="false">IFERROR(IF([2]对账明细接口!$W713=0,"",[2]对账明细接口!$W713),"")</f>
        <v/>
      </c>
      <c r="AC713" s="90" t="str">
        <f aca="false">IFERROR(IF([2]对账明细接口!$X714=0,"",[2]对账明细接口!$X714),"")</f>
        <v/>
      </c>
      <c r="AD713" s="90" t="str">
        <f aca="false">IFERROR(IF([2]对账明细接口!$Y714=0,"",[2]对账明细接口!$Y714),"")</f>
        <v/>
      </c>
      <c r="AE713" s="90" t="str">
        <f aca="false">IFERROR(IF([2]对账明细接口!$AA714=0,"",[2]对账明细接口!$AA714),"")</f>
        <v/>
      </c>
      <c r="AF713" s="90" t="str">
        <f aca="false">IFERROR(IF([2]对账明细接口!$AB714=0,"",[2]对账明细接口!$AB714),"")</f>
        <v/>
      </c>
      <c r="AG713" s="90" t="str">
        <f aca="false">IFERROR(IF([2]对账明细接口!$AC714=0,"",[2]对账明细接口!$AC714),"")</f>
        <v/>
      </c>
      <c r="AH713" s="90" t="str">
        <f aca="false">IFERROR(IF([2]对账明细接口!$AD714=0,"",[2]对账明细接口!$AD714),"")</f>
        <v/>
      </c>
    </row>
    <row r="714" customFormat="false" ht="13.5" hidden="false" customHeight="false" outlineLevel="0" collapsed="false">
      <c r="A714" s="109" t="n">
        <v>714</v>
      </c>
      <c r="B714" s="110" t="str">
        <f aca="false">IFERROR(IF([2]对账明细接口!$B$714=0,"",[2]对账明细接口!$B$714),"")</f>
        <v/>
      </c>
      <c r="C714" s="59" t="str">
        <f aca="false">IFERROR(IF([2]对账明细接口!$C$714=0,"",[2]对账明细接口!$C$714),"")</f>
        <v/>
      </c>
      <c r="D714" s="59" t="str">
        <f aca="false">IFERROR(IF([2]对账明细接口!$D$714=0,"",[2]对账明细接口!$D$714),"")</f>
        <v/>
      </c>
      <c r="E714" s="59" t="str">
        <f aca="false">IFERROR(IF([2]对账明细接口!$E$714=0,"",[2]对账明细接口!$E$714),"")</f>
        <v/>
      </c>
      <c r="F714" s="59" t="str">
        <f aca="false">IFERROR(IF([2]对账明细接口!$F$714=0,"",[2]对账明细接口!$F$714),"")</f>
        <v/>
      </c>
      <c r="G714" s="59" t="str">
        <f aca="false">IFERROR(IF([2]对账明细接口!$G$714=0,"",[2]对账明细接口!$G$714),"")</f>
        <v/>
      </c>
      <c r="H714" s="60" t="str">
        <f aca="false">IFERROR(IF([2]对账明细接口!$H$714=0,"",[2]对账明细接口!$H$714),"")</f>
        <v/>
      </c>
      <c r="I714" s="59" t="str">
        <f aca="false">IFERROR(IF([2]对账明细接口!$I$714=0,"",[2]对账明细接口!$I$714),"")</f>
        <v/>
      </c>
      <c r="J714" s="61" t="str">
        <f aca="false">IFERROR(IF([2]对账明细接口!$J$714=0,"",[2]对账明细接口!$J$714),"")</f>
        <v/>
      </c>
      <c r="K714" s="61" t="str">
        <f aca="false">IFERROR(IF([2]对账明细接口!$K$714=0,"",[2]对账明细接口!$K$714),"")</f>
        <v/>
      </c>
      <c r="L714" s="59" t="str">
        <f aca="false">IFERROR(IF([2]对账明细接口!$L$714=0,"",[2]对账明细接口!$L$714),"")</f>
        <v/>
      </c>
      <c r="M714" s="59" t="str">
        <f aca="false">IFERROR(IF([2]对账明细接口!$M$714=0,"",[2]对账明细接口!$M$714),"")</f>
        <v/>
      </c>
      <c r="N714" s="111" t="n">
        <f aca="false">IF($C714="",0,1)</f>
        <v>0</v>
      </c>
      <c r="O714" s="111" t="n">
        <f aca="false">N(O713)+$N714</f>
        <v>311</v>
      </c>
      <c r="S714" s="10" t="str">
        <f aca="false">IFERROR(IF([2]对账明细接口!$N714=0,"",[2]对账明细接口!$N714),"")</f>
        <v/>
      </c>
      <c r="T714" s="112" t="str">
        <f aca="false">IFERROR(IF([2]对账明细接口!$O714=0,"",[2]对账明细接口!$O714),"")</f>
        <v/>
      </c>
      <c r="U714" s="112" t="str">
        <f aca="false">IFERROR(IF([2]对账明细接口!$P714=0,"",[2]对账明细接口!$P714),"")</f>
        <v/>
      </c>
      <c r="V714" s="112" t="str">
        <f aca="false">IFERROR(IF([2]对账明细接口!$Q714=0,"",[2]对账明细接口!$Q714),"")</f>
        <v/>
      </c>
      <c r="W714" s="10" t="str">
        <f aca="false">IFERROR(IF([2]对账明细接口!$R714=0,"",[2]对账明细接口!$R714),"")</f>
        <v/>
      </c>
      <c r="X714" s="10" t="str">
        <f aca="false">IFERROR(IF([2]对账明细接口!$S714=0,"",[2]对账明细接口!$S714),"")</f>
        <v/>
      </c>
      <c r="Y714" s="10" t="str">
        <f aca="false">IFERROR(IF([2]对账明细接口!$T714=0,"",[2]对账明细接口!$T714),"")</f>
        <v/>
      </c>
      <c r="Z714" s="113" t="str">
        <f aca="false">IFERROR(IF([2]对账明细接口!$U714=0,"",[2]对账明细接口!$U714),"")</f>
        <v/>
      </c>
      <c r="AA714" s="113" t="str">
        <f aca="false">IFERROR(IF([2]对账明细接口!$V714=0,"",[2]对账明细接口!$V714),"")</f>
        <v/>
      </c>
      <c r="AB714" s="10" t="str">
        <f aca="false">IFERROR(IF([2]对账明细接口!$W714=0,"",[2]对账明细接口!$W714),"")</f>
        <v/>
      </c>
      <c r="AC714" s="90" t="str">
        <f aca="false">IFERROR(IF([2]对账明细接口!$X715=0,"",[2]对账明细接口!$X715),"")</f>
        <v/>
      </c>
      <c r="AD714" s="90" t="str">
        <f aca="false">IFERROR(IF([2]对账明细接口!$Y715=0,"",[2]对账明细接口!$Y715),"")</f>
        <v/>
      </c>
      <c r="AE714" s="90" t="str">
        <f aca="false">IFERROR(IF([2]对账明细接口!$AA715=0,"",[2]对账明细接口!$AA715),"")</f>
        <v/>
      </c>
      <c r="AF714" s="90" t="str">
        <f aca="false">IFERROR(IF([2]对账明细接口!$AB715=0,"",[2]对账明细接口!$AB715),"")</f>
        <v/>
      </c>
      <c r="AG714" s="90" t="str">
        <f aca="false">IFERROR(IF([2]对账明细接口!$AC715=0,"",[2]对账明细接口!$AC715),"")</f>
        <v/>
      </c>
      <c r="AH714" s="90" t="str">
        <f aca="false">IFERROR(IF([2]对账明细接口!$AD715=0,"",[2]对账明细接口!$AD715),"")</f>
        <v/>
      </c>
    </row>
    <row r="715" customFormat="false" ht="13.5" hidden="false" customHeight="false" outlineLevel="0" collapsed="false">
      <c r="A715" s="109" t="n">
        <v>715</v>
      </c>
      <c r="B715" s="110" t="str">
        <f aca="false">IFERROR(IF([2]对账明细接口!$B$715=0,"",[2]对账明细接口!$B$715),"")</f>
        <v/>
      </c>
      <c r="C715" s="59" t="str">
        <f aca="false">IFERROR(IF([2]对账明细接口!$C$715=0,"",[2]对账明细接口!$C$715),"")</f>
        <v/>
      </c>
      <c r="D715" s="59" t="str">
        <f aca="false">IFERROR(IF([2]对账明细接口!$D$715=0,"",[2]对账明细接口!$D$715),"")</f>
        <v/>
      </c>
      <c r="E715" s="59" t="str">
        <f aca="false">IFERROR(IF([2]对账明细接口!$E$715=0,"",[2]对账明细接口!$E$715),"")</f>
        <v/>
      </c>
      <c r="F715" s="59" t="str">
        <f aca="false">IFERROR(IF([2]对账明细接口!$F$715=0,"",[2]对账明细接口!$F$715),"")</f>
        <v/>
      </c>
      <c r="G715" s="59" t="str">
        <f aca="false">IFERROR(IF([2]对账明细接口!$G$715=0,"",[2]对账明细接口!$G$715),"")</f>
        <v/>
      </c>
      <c r="H715" s="60" t="str">
        <f aca="false">IFERROR(IF([2]对账明细接口!$H$715=0,"",[2]对账明细接口!$H$715),"")</f>
        <v/>
      </c>
      <c r="I715" s="59" t="str">
        <f aca="false">IFERROR(IF([2]对账明细接口!$I$715=0,"",[2]对账明细接口!$I$715),"")</f>
        <v/>
      </c>
      <c r="J715" s="61" t="str">
        <f aca="false">IFERROR(IF([2]对账明细接口!$J$715=0,"",[2]对账明细接口!$J$715),"")</f>
        <v/>
      </c>
      <c r="K715" s="61" t="str">
        <f aca="false">IFERROR(IF([2]对账明细接口!$K$715=0,"",[2]对账明细接口!$K$715),"")</f>
        <v/>
      </c>
      <c r="L715" s="59" t="str">
        <f aca="false">IFERROR(IF([2]对账明细接口!$L$715=0,"",[2]对账明细接口!$L$715),"")</f>
        <v/>
      </c>
      <c r="M715" s="59" t="str">
        <f aca="false">IFERROR(IF([2]对账明细接口!$M$715=0,"",[2]对账明细接口!$M$715),"")</f>
        <v/>
      </c>
      <c r="N715" s="111" t="n">
        <f aca="false">IF($C715="",0,1)</f>
        <v>0</v>
      </c>
      <c r="O715" s="111" t="n">
        <f aca="false">N(O714)+$N715</f>
        <v>311</v>
      </c>
      <c r="S715" s="10" t="str">
        <f aca="false">IFERROR(IF([2]对账明细接口!$N715=0,"",[2]对账明细接口!$N715),"")</f>
        <v/>
      </c>
      <c r="T715" s="112" t="str">
        <f aca="false">IFERROR(IF([2]对账明细接口!$O715=0,"",[2]对账明细接口!$O715),"")</f>
        <v/>
      </c>
      <c r="U715" s="112" t="str">
        <f aca="false">IFERROR(IF([2]对账明细接口!$P715=0,"",[2]对账明细接口!$P715),"")</f>
        <v/>
      </c>
      <c r="V715" s="112" t="str">
        <f aca="false">IFERROR(IF([2]对账明细接口!$Q715=0,"",[2]对账明细接口!$Q715),"")</f>
        <v/>
      </c>
      <c r="W715" s="10" t="str">
        <f aca="false">IFERROR(IF([2]对账明细接口!$R715=0,"",[2]对账明细接口!$R715),"")</f>
        <v/>
      </c>
      <c r="X715" s="10" t="str">
        <f aca="false">IFERROR(IF([2]对账明细接口!$S715=0,"",[2]对账明细接口!$S715),"")</f>
        <v/>
      </c>
      <c r="Y715" s="10" t="str">
        <f aca="false">IFERROR(IF([2]对账明细接口!$T715=0,"",[2]对账明细接口!$T715),"")</f>
        <v/>
      </c>
      <c r="Z715" s="113" t="str">
        <f aca="false">IFERROR(IF([2]对账明细接口!$U715=0,"",[2]对账明细接口!$U715),"")</f>
        <v/>
      </c>
      <c r="AA715" s="113" t="str">
        <f aca="false">IFERROR(IF([2]对账明细接口!$V715=0,"",[2]对账明细接口!$V715),"")</f>
        <v/>
      </c>
      <c r="AB715" s="10" t="str">
        <f aca="false">IFERROR(IF([2]对账明细接口!$W715=0,"",[2]对账明细接口!$W715),"")</f>
        <v/>
      </c>
      <c r="AC715" s="90" t="str">
        <f aca="false">IFERROR(IF([2]对账明细接口!$X716=0,"",[2]对账明细接口!$X716),"")</f>
        <v/>
      </c>
      <c r="AD715" s="90" t="str">
        <f aca="false">IFERROR(IF([2]对账明细接口!$Y716=0,"",[2]对账明细接口!$Y716),"")</f>
        <v/>
      </c>
      <c r="AE715" s="90" t="str">
        <f aca="false">IFERROR(IF([2]对账明细接口!$AA716=0,"",[2]对账明细接口!$AA716),"")</f>
        <v/>
      </c>
      <c r="AF715" s="90" t="str">
        <f aca="false">IFERROR(IF([2]对账明细接口!$AB716=0,"",[2]对账明细接口!$AB716),"")</f>
        <v/>
      </c>
      <c r="AG715" s="90" t="str">
        <f aca="false">IFERROR(IF([2]对账明细接口!$AC716=0,"",[2]对账明细接口!$AC716),"")</f>
        <v/>
      </c>
      <c r="AH715" s="90" t="str">
        <f aca="false">IFERROR(IF([2]对账明细接口!$AD716=0,"",[2]对账明细接口!$AD716),"")</f>
        <v/>
      </c>
    </row>
    <row r="716" customFormat="false" ht="13.5" hidden="false" customHeight="false" outlineLevel="0" collapsed="false">
      <c r="A716" s="109" t="n">
        <v>716</v>
      </c>
      <c r="B716" s="110" t="str">
        <f aca="false">IFERROR(IF([2]对账明细接口!$B$716=0,"",[2]对账明细接口!$B$716),"")</f>
        <v/>
      </c>
      <c r="C716" s="59" t="str">
        <f aca="false">IFERROR(IF([2]对账明细接口!$C$716=0,"",[2]对账明细接口!$C$716),"")</f>
        <v/>
      </c>
      <c r="D716" s="59" t="str">
        <f aca="false">IFERROR(IF([2]对账明细接口!$D$716=0,"",[2]对账明细接口!$D$716),"")</f>
        <v/>
      </c>
      <c r="E716" s="59" t="str">
        <f aca="false">IFERROR(IF([2]对账明细接口!$E$716=0,"",[2]对账明细接口!$E$716),"")</f>
        <v/>
      </c>
      <c r="F716" s="59" t="str">
        <f aca="false">IFERROR(IF([2]对账明细接口!$F$716=0,"",[2]对账明细接口!$F$716),"")</f>
        <v/>
      </c>
      <c r="G716" s="59" t="str">
        <f aca="false">IFERROR(IF([2]对账明细接口!$G$716=0,"",[2]对账明细接口!$G$716),"")</f>
        <v/>
      </c>
      <c r="H716" s="60" t="str">
        <f aca="false">IFERROR(IF([2]对账明细接口!$H$716=0,"",[2]对账明细接口!$H$716),"")</f>
        <v/>
      </c>
      <c r="I716" s="59" t="str">
        <f aca="false">IFERROR(IF([2]对账明细接口!$I$716=0,"",[2]对账明细接口!$I$716),"")</f>
        <v/>
      </c>
      <c r="J716" s="61" t="str">
        <f aca="false">IFERROR(IF([2]对账明细接口!$J$716=0,"",[2]对账明细接口!$J$716),"")</f>
        <v/>
      </c>
      <c r="K716" s="61" t="str">
        <f aca="false">IFERROR(IF([2]对账明细接口!$K$716=0,"",[2]对账明细接口!$K$716),"")</f>
        <v/>
      </c>
      <c r="L716" s="59" t="str">
        <f aca="false">IFERROR(IF([2]对账明细接口!$L$716=0,"",[2]对账明细接口!$L$716),"")</f>
        <v/>
      </c>
      <c r="M716" s="59" t="str">
        <f aca="false">IFERROR(IF([2]对账明细接口!$M$716=0,"",[2]对账明细接口!$M$716),"")</f>
        <v/>
      </c>
      <c r="N716" s="111" t="n">
        <f aca="false">IF($C716="",0,1)</f>
        <v>0</v>
      </c>
      <c r="O716" s="111" t="n">
        <f aca="false">N(O715)+$N716</f>
        <v>311</v>
      </c>
      <c r="S716" s="10" t="str">
        <f aca="false">IFERROR(IF([2]对账明细接口!$N716=0,"",[2]对账明细接口!$N716),"")</f>
        <v/>
      </c>
      <c r="T716" s="112" t="str">
        <f aca="false">IFERROR(IF([2]对账明细接口!$O716=0,"",[2]对账明细接口!$O716),"")</f>
        <v/>
      </c>
      <c r="U716" s="112" t="str">
        <f aca="false">IFERROR(IF([2]对账明细接口!$P716=0,"",[2]对账明细接口!$P716),"")</f>
        <v/>
      </c>
      <c r="V716" s="112" t="str">
        <f aca="false">IFERROR(IF([2]对账明细接口!$Q716=0,"",[2]对账明细接口!$Q716),"")</f>
        <v/>
      </c>
      <c r="W716" s="10" t="str">
        <f aca="false">IFERROR(IF([2]对账明细接口!$R716=0,"",[2]对账明细接口!$R716),"")</f>
        <v/>
      </c>
      <c r="X716" s="10" t="str">
        <f aca="false">IFERROR(IF([2]对账明细接口!$S716=0,"",[2]对账明细接口!$S716),"")</f>
        <v/>
      </c>
      <c r="Y716" s="10" t="str">
        <f aca="false">IFERROR(IF([2]对账明细接口!$T716=0,"",[2]对账明细接口!$T716),"")</f>
        <v/>
      </c>
      <c r="Z716" s="113" t="str">
        <f aca="false">IFERROR(IF([2]对账明细接口!$U716=0,"",[2]对账明细接口!$U716),"")</f>
        <v/>
      </c>
      <c r="AA716" s="113" t="str">
        <f aca="false">IFERROR(IF([2]对账明细接口!$V716=0,"",[2]对账明细接口!$V716),"")</f>
        <v/>
      </c>
      <c r="AB716" s="10" t="str">
        <f aca="false">IFERROR(IF([2]对账明细接口!$W716=0,"",[2]对账明细接口!$W716),"")</f>
        <v/>
      </c>
      <c r="AC716" s="90" t="str">
        <f aca="false">IFERROR(IF([2]对账明细接口!$X717=0,"",[2]对账明细接口!$X717),"")</f>
        <v/>
      </c>
      <c r="AD716" s="90" t="str">
        <f aca="false">IFERROR(IF([2]对账明细接口!$Y717=0,"",[2]对账明细接口!$Y717),"")</f>
        <v/>
      </c>
      <c r="AE716" s="90" t="str">
        <f aca="false">IFERROR(IF([2]对账明细接口!$AA717=0,"",[2]对账明细接口!$AA717),"")</f>
        <v/>
      </c>
      <c r="AF716" s="90" t="str">
        <f aca="false">IFERROR(IF([2]对账明细接口!$AB717=0,"",[2]对账明细接口!$AB717),"")</f>
        <v/>
      </c>
      <c r="AG716" s="90" t="str">
        <f aca="false">IFERROR(IF([2]对账明细接口!$AC717=0,"",[2]对账明细接口!$AC717),"")</f>
        <v/>
      </c>
      <c r="AH716" s="90" t="str">
        <f aca="false">IFERROR(IF([2]对账明细接口!$AD717=0,"",[2]对账明细接口!$AD717),"")</f>
        <v/>
      </c>
    </row>
    <row r="717" customFormat="false" ht="13.5" hidden="false" customHeight="false" outlineLevel="0" collapsed="false">
      <c r="A717" s="109" t="n">
        <v>717</v>
      </c>
      <c r="B717" s="110" t="str">
        <f aca="false">IFERROR(IF([2]对账明细接口!$B$717=0,"",[2]对账明细接口!$B$717),"")</f>
        <v/>
      </c>
      <c r="C717" s="59" t="str">
        <f aca="false">IFERROR(IF([2]对账明细接口!$C$717=0,"",[2]对账明细接口!$C$717),"")</f>
        <v/>
      </c>
      <c r="D717" s="59" t="str">
        <f aca="false">IFERROR(IF([2]对账明细接口!$D$717=0,"",[2]对账明细接口!$D$717),"")</f>
        <v/>
      </c>
      <c r="E717" s="59" t="str">
        <f aca="false">IFERROR(IF([2]对账明细接口!$E$717=0,"",[2]对账明细接口!$E$717),"")</f>
        <v/>
      </c>
      <c r="F717" s="59" t="str">
        <f aca="false">IFERROR(IF([2]对账明细接口!$F$717=0,"",[2]对账明细接口!$F$717),"")</f>
        <v/>
      </c>
      <c r="G717" s="59" t="str">
        <f aca="false">IFERROR(IF([2]对账明细接口!$G$717=0,"",[2]对账明细接口!$G$717),"")</f>
        <v/>
      </c>
      <c r="H717" s="60" t="str">
        <f aca="false">IFERROR(IF([2]对账明细接口!$H$717=0,"",[2]对账明细接口!$H$717),"")</f>
        <v/>
      </c>
      <c r="I717" s="59" t="str">
        <f aca="false">IFERROR(IF([2]对账明细接口!$I$717=0,"",[2]对账明细接口!$I$717),"")</f>
        <v/>
      </c>
      <c r="J717" s="61" t="str">
        <f aca="false">IFERROR(IF([2]对账明细接口!$J$717=0,"",[2]对账明细接口!$J$717),"")</f>
        <v/>
      </c>
      <c r="K717" s="61" t="str">
        <f aca="false">IFERROR(IF([2]对账明细接口!$K$717=0,"",[2]对账明细接口!$K$717),"")</f>
        <v/>
      </c>
      <c r="L717" s="59" t="str">
        <f aca="false">IFERROR(IF([2]对账明细接口!$L$717=0,"",[2]对账明细接口!$L$717),"")</f>
        <v/>
      </c>
      <c r="M717" s="59" t="str">
        <f aca="false">IFERROR(IF([2]对账明细接口!$M$717=0,"",[2]对账明细接口!$M$717),"")</f>
        <v/>
      </c>
      <c r="N717" s="111" t="n">
        <f aca="false">IF($C717="",0,1)</f>
        <v>0</v>
      </c>
      <c r="O717" s="111" t="n">
        <f aca="false">N(O716)+$N717</f>
        <v>311</v>
      </c>
      <c r="S717" s="10" t="str">
        <f aca="false">IFERROR(IF([2]对账明细接口!$N717=0,"",[2]对账明细接口!$N717),"")</f>
        <v/>
      </c>
      <c r="T717" s="112" t="str">
        <f aca="false">IFERROR(IF([2]对账明细接口!$O717=0,"",[2]对账明细接口!$O717),"")</f>
        <v/>
      </c>
      <c r="U717" s="112" t="str">
        <f aca="false">IFERROR(IF([2]对账明细接口!$P717=0,"",[2]对账明细接口!$P717),"")</f>
        <v/>
      </c>
      <c r="V717" s="112" t="str">
        <f aca="false">IFERROR(IF([2]对账明细接口!$Q717=0,"",[2]对账明细接口!$Q717),"")</f>
        <v/>
      </c>
      <c r="W717" s="10" t="str">
        <f aca="false">IFERROR(IF([2]对账明细接口!$R717=0,"",[2]对账明细接口!$R717),"")</f>
        <v/>
      </c>
      <c r="X717" s="10" t="str">
        <f aca="false">IFERROR(IF([2]对账明细接口!$S717=0,"",[2]对账明细接口!$S717),"")</f>
        <v/>
      </c>
      <c r="Y717" s="10" t="str">
        <f aca="false">IFERROR(IF([2]对账明细接口!$T717=0,"",[2]对账明细接口!$T717),"")</f>
        <v/>
      </c>
      <c r="Z717" s="113" t="str">
        <f aca="false">IFERROR(IF([2]对账明细接口!$U717=0,"",[2]对账明细接口!$U717),"")</f>
        <v/>
      </c>
      <c r="AA717" s="113" t="str">
        <f aca="false">IFERROR(IF([2]对账明细接口!$V717=0,"",[2]对账明细接口!$V717),"")</f>
        <v/>
      </c>
      <c r="AB717" s="10" t="str">
        <f aca="false">IFERROR(IF([2]对账明细接口!$W717=0,"",[2]对账明细接口!$W717),"")</f>
        <v/>
      </c>
      <c r="AC717" s="90" t="str">
        <f aca="false">IFERROR(IF([2]对账明细接口!$X718=0,"",[2]对账明细接口!$X718),"")</f>
        <v/>
      </c>
      <c r="AD717" s="90" t="str">
        <f aca="false">IFERROR(IF([2]对账明细接口!$Y718=0,"",[2]对账明细接口!$Y718),"")</f>
        <v/>
      </c>
      <c r="AE717" s="90" t="str">
        <f aca="false">IFERROR(IF([2]对账明细接口!$AA718=0,"",[2]对账明细接口!$AA718),"")</f>
        <v/>
      </c>
      <c r="AF717" s="90" t="str">
        <f aca="false">IFERROR(IF([2]对账明细接口!$AB718=0,"",[2]对账明细接口!$AB718),"")</f>
        <v/>
      </c>
      <c r="AG717" s="90" t="str">
        <f aca="false">IFERROR(IF([2]对账明细接口!$AC718=0,"",[2]对账明细接口!$AC718),"")</f>
        <v/>
      </c>
      <c r="AH717" s="90" t="str">
        <f aca="false">IFERROR(IF([2]对账明细接口!$AD718=0,"",[2]对账明细接口!$AD718),"")</f>
        <v/>
      </c>
    </row>
    <row r="718" customFormat="false" ht="13.5" hidden="false" customHeight="false" outlineLevel="0" collapsed="false">
      <c r="A718" s="109" t="n">
        <v>718</v>
      </c>
      <c r="B718" s="110" t="str">
        <f aca="false">IFERROR(IF([2]对账明细接口!$B$718=0,"",[2]对账明细接口!$B$718),"")</f>
        <v/>
      </c>
      <c r="C718" s="59" t="str">
        <f aca="false">IFERROR(IF([2]对账明细接口!$C$718=0,"",[2]对账明细接口!$C$718),"")</f>
        <v/>
      </c>
      <c r="D718" s="59" t="str">
        <f aca="false">IFERROR(IF([2]对账明细接口!$D$718=0,"",[2]对账明细接口!$D$718),"")</f>
        <v/>
      </c>
      <c r="E718" s="59" t="str">
        <f aca="false">IFERROR(IF([2]对账明细接口!$E$718=0,"",[2]对账明细接口!$E$718),"")</f>
        <v/>
      </c>
      <c r="F718" s="59" t="str">
        <f aca="false">IFERROR(IF([2]对账明细接口!$F$718=0,"",[2]对账明细接口!$F$718),"")</f>
        <v/>
      </c>
      <c r="G718" s="59" t="str">
        <f aca="false">IFERROR(IF([2]对账明细接口!$G$718=0,"",[2]对账明细接口!$G$718),"")</f>
        <v/>
      </c>
      <c r="H718" s="60" t="str">
        <f aca="false">IFERROR(IF([2]对账明细接口!$H$718=0,"",[2]对账明细接口!$H$718),"")</f>
        <v/>
      </c>
      <c r="I718" s="59" t="str">
        <f aca="false">IFERROR(IF([2]对账明细接口!$I$718=0,"",[2]对账明细接口!$I$718),"")</f>
        <v/>
      </c>
      <c r="J718" s="61" t="str">
        <f aca="false">IFERROR(IF([2]对账明细接口!$J$718=0,"",[2]对账明细接口!$J$718),"")</f>
        <v/>
      </c>
      <c r="K718" s="61" t="str">
        <f aca="false">IFERROR(IF([2]对账明细接口!$K$718=0,"",[2]对账明细接口!$K$718),"")</f>
        <v/>
      </c>
      <c r="L718" s="59" t="str">
        <f aca="false">IFERROR(IF([2]对账明细接口!$L$718=0,"",[2]对账明细接口!$L$718),"")</f>
        <v/>
      </c>
      <c r="M718" s="59" t="str">
        <f aca="false">IFERROR(IF([2]对账明细接口!$M$718=0,"",[2]对账明细接口!$M$718),"")</f>
        <v/>
      </c>
      <c r="N718" s="111" t="n">
        <f aca="false">IF($C718="",0,1)</f>
        <v>0</v>
      </c>
      <c r="O718" s="111" t="n">
        <f aca="false">N(O717)+$N718</f>
        <v>311</v>
      </c>
      <c r="S718" s="10" t="str">
        <f aca="false">IFERROR(IF([2]对账明细接口!$N718=0,"",[2]对账明细接口!$N718),"")</f>
        <v/>
      </c>
      <c r="T718" s="112" t="str">
        <f aca="false">IFERROR(IF([2]对账明细接口!$O718=0,"",[2]对账明细接口!$O718),"")</f>
        <v/>
      </c>
      <c r="U718" s="112" t="str">
        <f aca="false">IFERROR(IF([2]对账明细接口!$P718=0,"",[2]对账明细接口!$P718),"")</f>
        <v/>
      </c>
      <c r="V718" s="112" t="str">
        <f aca="false">IFERROR(IF([2]对账明细接口!$Q718=0,"",[2]对账明细接口!$Q718),"")</f>
        <v/>
      </c>
      <c r="W718" s="10" t="str">
        <f aca="false">IFERROR(IF([2]对账明细接口!$R718=0,"",[2]对账明细接口!$R718),"")</f>
        <v/>
      </c>
      <c r="X718" s="10" t="str">
        <f aca="false">IFERROR(IF([2]对账明细接口!$S718=0,"",[2]对账明细接口!$S718),"")</f>
        <v/>
      </c>
      <c r="Y718" s="10" t="str">
        <f aca="false">IFERROR(IF([2]对账明细接口!$T718=0,"",[2]对账明细接口!$T718),"")</f>
        <v/>
      </c>
      <c r="Z718" s="113" t="str">
        <f aca="false">IFERROR(IF([2]对账明细接口!$U718=0,"",[2]对账明细接口!$U718),"")</f>
        <v/>
      </c>
      <c r="AA718" s="113" t="str">
        <f aca="false">IFERROR(IF([2]对账明细接口!$V718=0,"",[2]对账明细接口!$V718),"")</f>
        <v/>
      </c>
      <c r="AB718" s="10" t="str">
        <f aca="false">IFERROR(IF([2]对账明细接口!$W718=0,"",[2]对账明细接口!$W718),"")</f>
        <v/>
      </c>
      <c r="AC718" s="90" t="str">
        <f aca="false">IFERROR(IF([2]对账明细接口!$X719=0,"",[2]对账明细接口!$X719),"")</f>
        <v/>
      </c>
      <c r="AD718" s="90" t="str">
        <f aca="false">IFERROR(IF([2]对账明细接口!$Y719=0,"",[2]对账明细接口!$Y719),"")</f>
        <v/>
      </c>
      <c r="AE718" s="90" t="str">
        <f aca="false">IFERROR(IF([2]对账明细接口!$AA719=0,"",[2]对账明细接口!$AA719),"")</f>
        <v/>
      </c>
      <c r="AF718" s="90" t="str">
        <f aca="false">IFERROR(IF([2]对账明细接口!$AB719=0,"",[2]对账明细接口!$AB719),"")</f>
        <v/>
      </c>
      <c r="AG718" s="90" t="str">
        <f aca="false">IFERROR(IF([2]对账明细接口!$AC719=0,"",[2]对账明细接口!$AC719),"")</f>
        <v/>
      </c>
      <c r="AH718" s="90" t="str">
        <f aca="false">IFERROR(IF([2]对账明细接口!$AD719=0,"",[2]对账明细接口!$AD719),"")</f>
        <v/>
      </c>
    </row>
    <row r="719" customFormat="false" ht="13.5" hidden="false" customHeight="false" outlineLevel="0" collapsed="false">
      <c r="A719" s="109" t="n">
        <v>719</v>
      </c>
      <c r="B719" s="110" t="str">
        <f aca="false">IFERROR(IF([2]对账明细接口!$B$719=0,"",[2]对账明细接口!$B$719),"")</f>
        <v/>
      </c>
      <c r="C719" s="59" t="str">
        <f aca="false">IFERROR(IF([2]对账明细接口!$C$719=0,"",[2]对账明细接口!$C$719),"")</f>
        <v/>
      </c>
      <c r="D719" s="59" t="str">
        <f aca="false">IFERROR(IF([2]对账明细接口!$D$719=0,"",[2]对账明细接口!$D$719),"")</f>
        <v/>
      </c>
      <c r="E719" s="59" t="str">
        <f aca="false">IFERROR(IF([2]对账明细接口!$E$719=0,"",[2]对账明细接口!$E$719),"")</f>
        <v/>
      </c>
      <c r="F719" s="59" t="str">
        <f aca="false">IFERROR(IF([2]对账明细接口!$F$719=0,"",[2]对账明细接口!$F$719),"")</f>
        <v/>
      </c>
      <c r="G719" s="59" t="str">
        <f aca="false">IFERROR(IF([2]对账明细接口!$G$719=0,"",[2]对账明细接口!$G$719),"")</f>
        <v/>
      </c>
      <c r="H719" s="60" t="str">
        <f aca="false">IFERROR(IF([2]对账明细接口!$H$719=0,"",[2]对账明细接口!$H$719),"")</f>
        <v/>
      </c>
      <c r="I719" s="59" t="str">
        <f aca="false">IFERROR(IF([2]对账明细接口!$I$719=0,"",[2]对账明细接口!$I$719),"")</f>
        <v/>
      </c>
      <c r="J719" s="61" t="str">
        <f aca="false">IFERROR(IF([2]对账明细接口!$J$719=0,"",[2]对账明细接口!$J$719),"")</f>
        <v/>
      </c>
      <c r="K719" s="61" t="str">
        <f aca="false">IFERROR(IF([2]对账明细接口!$K$719=0,"",[2]对账明细接口!$K$719),"")</f>
        <v/>
      </c>
      <c r="L719" s="59" t="str">
        <f aca="false">IFERROR(IF([2]对账明细接口!$L$719=0,"",[2]对账明细接口!$L$719),"")</f>
        <v/>
      </c>
      <c r="M719" s="59" t="str">
        <f aca="false">IFERROR(IF([2]对账明细接口!$M$719=0,"",[2]对账明细接口!$M$719),"")</f>
        <v/>
      </c>
      <c r="N719" s="111" t="n">
        <f aca="false">IF($C719="",0,1)</f>
        <v>0</v>
      </c>
      <c r="O719" s="111" t="n">
        <f aca="false">N(O718)+$N719</f>
        <v>311</v>
      </c>
      <c r="S719" s="10" t="str">
        <f aca="false">IFERROR(IF([2]对账明细接口!$N719=0,"",[2]对账明细接口!$N719),"")</f>
        <v/>
      </c>
      <c r="T719" s="112" t="str">
        <f aca="false">IFERROR(IF([2]对账明细接口!$O719=0,"",[2]对账明细接口!$O719),"")</f>
        <v/>
      </c>
      <c r="U719" s="112" t="str">
        <f aca="false">IFERROR(IF([2]对账明细接口!$P719=0,"",[2]对账明细接口!$P719),"")</f>
        <v/>
      </c>
      <c r="V719" s="112" t="str">
        <f aca="false">IFERROR(IF([2]对账明细接口!$Q719=0,"",[2]对账明细接口!$Q719),"")</f>
        <v/>
      </c>
      <c r="W719" s="10" t="str">
        <f aca="false">IFERROR(IF([2]对账明细接口!$R719=0,"",[2]对账明细接口!$R719),"")</f>
        <v/>
      </c>
      <c r="X719" s="10" t="str">
        <f aca="false">IFERROR(IF([2]对账明细接口!$S719=0,"",[2]对账明细接口!$S719),"")</f>
        <v/>
      </c>
      <c r="Y719" s="10" t="str">
        <f aca="false">IFERROR(IF([2]对账明细接口!$T719=0,"",[2]对账明细接口!$T719),"")</f>
        <v/>
      </c>
      <c r="Z719" s="113" t="str">
        <f aca="false">IFERROR(IF([2]对账明细接口!$U719=0,"",[2]对账明细接口!$U719),"")</f>
        <v/>
      </c>
      <c r="AA719" s="113" t="str">
        <f aca="false">IFERROR(IF([2]对账明细接口!$V719=0,"",[2]对账明细接口!$V719),"")</f>
        <v/>
      </c>
      <c r="AB719" s="10" t="str">
        <f aca="false">IFERROR(IF([2]对账明细接口!$W719=0,"",[2]对账明细接口!$W719),"")</f>
        <v/>
      </c>
      <c r="AC719" s="90" t="str">
        <f aca="false">IFERROR(IF([2]对账明细接口!$X720=0,"",[2]对账明细接口!$X720),"")</f>
        <v/>
      </c>
      <c r="AD719" s="90" t="str">
        <f aca="false">IFERROR(IF([2]对账明细接口!$Y720=0,"",[2]对账明细接口!$Y720),"")</f>
        <v/>
      </c>
      <c r="AE719" s="90" t="str">
        <f aca="false">IFERROR(IF([2]对账明细接口!$AA720=0,"",[2]对账明细接口!$AA720),"")</f>
        <v/>
      </c>
      <c r="AF719" s="90" t="str">
        <f aca="false">IFERROR(IF([2]对账明细接口!$AB720=0,"",[2]对账明细接口!$AB720),"")</f>
        <v/>
      </c>
      <c r="AG719" s="90" t="str">
        <f aca="false">IFERROR(IF([2]对账明细接口!$AC720=0,"",[2]对账明细接口!$AC720),"")</f>
        <v/>
      </c>
      <c r="AH719" s="90" t="str">
        <f aca="false">IFERROR(IF([2]对账明细接口!$AD720=0,"",[2]对账明细接口!$AD720),"")</f>
        <v/>
      </c>
    </row>
    <row r="720" customFormat="false" ht="13.5" hidden="false" customHeight="false" outlineLevel="0" collapsed="false">
      <c r="A720" s="109" t="n">
        <v>720</v>
      </c>
      <c r="B720" s="110" t="str">
        <f aca="false">IFERROR(IF([2]对账明细接口!$B$720=0,"",[2]对账明细接口!$B$720),"")</f>
        <v/>
      </c>
      <c r="C720" s="59" t="str">
        <f aca="false">IFERROR(IF([2]对账明细接口!$C$720=0,"",[2]对账明细接口!$C$720),"")</f>
        <v/>
      </c>
      <c r="D720" s="59" t="str">
        <f aca="false">IFERROR(IF([2]对账明细接口!$D$720=0,"",[2]对账明细接口!$D$720),"")</f>
        <v/>
      </c>
      <c r="E720" s="59" t="str">
        <f aca="false">IFERROR(IF([2]对账明细接口!$E$720=0,"",[2]对账明细接口!$E$720),"")</f>
        <v/>
      </c>
      <c r="F720" s="59" t="str">
        <f aca="false">IFERROR(IF([2]对账明细接口!$F$720=0,"",[2]对账明细接口!$F$720),"")</f>
        <v/>
      </c>
      <c r="G720" s="59" t="str">
        <f aca="false">IFERROR(IF([2]对账明细接口!$G$720=0,"",[2]对账明细接口!$G$720),"")</f>
        <v/>
      </c>
      <c r="H720" s="60" t="str">
        <f aca="false">IFERROR(IF([2]对账明细接口!$H$720=0,"",[2]对账明细接口!$H$720),"")</f>
        <v/>
      </c>
      <c r="I720" s="59" t="str">
        <f aca="false">IFERROR(IF([2]对账明细接口!$I$720=0,"",[2]对账明细接口!$I$720),"")</f>
        <v/>
      </c>
      <c r="J720" s="61" t="str">
        <f aca="false">IFERROR(IF([2]对账明细接口!$J$720=0,"",[2]对账明细接口!$J$720),"")</f>
        <v/>
      </c>
      <c r="K720" s="61" t="str">
        <f aca="false">IFERROR(IF([2]对账明细接口!$K$720=0,"",[2]对账明细接口!$K$720),"")</f>
        <v/>
      </c>
      <c r="L720" s="59" t="str">
        <f aca="false">IFERROR(IF([2]对账明细接口!$L$720=0,"",[2]对账明细接口!$L$720),"")</f>
        <v/>
      </c>
      <c r="M720" s="59" t="str">
        <f aca="false">IFERROR(IF([2]对账明细接口!$M$720=0,"",[2]对账明细接口!$M$720),"")</f>
        <v/>
      </c>
      <c r="N720" s="111" t="n">
        <f aca="false">IF($C720="",0,1)</f>
        <v>0</v>
      </c>
      <c r="O720" s="111" t="n">
        <f aca="false">N(O719)+$N720</f>
        <v>311</v>
      </c>
      <c r="S720" s="10" t="str">
        <f aca="false">IFERROR(IF([2]对账明细接口!$N720=0,"",[2]对账明细接口!$N720),"")</f>
        <v/>
      </c>
      <c r="T720" s="112" t="str">
        <f aca="false">IFERROR(IF([2]对账明细接口!$O720=0,"",[2]对账明细接口!$O720),"")</f>
        <v/>
      </c>
      <c r="U720" s="112" t="str">
        <f aca="false">IFERROR(IF([2]对账明细接口!$P720=0,"",[2]对账明细接口!$P720),"")</f>
        <v/>
      </c>
      <c r="V720" s="112" t="str">
        <f aca="false">IFERROR(IF([2]对账明细接口!$Q720=0,"",[2]对账明细接口!$Q720),"")</f>
        <v/>
      </c>
      <c r="W720" s="10" t="str">
        <f aca="false">IFERROR(IF([2]对账明细接口!$R720=0,"",[2]对账明细接口!$R720),"")</f>
        <v/>
      </c>
      <c r="X720" s="10" t="str">
        <f aca="false">IFERROR(IF([2]对账明细接口!$S720=0,"",[2]对账明细接口!$S720),"")</f>
        <v/>
      </c>
      <c r="Y720" s="10" t="str">
        <f aca="false">IFERROR(IF([2]对账明细接口!$T720=0,"",[2]对账明细接口!$T720),"")</f>
        <v/>
      </c>
      <c r="Z720" s="113" t="str">
        <f aca="false">IFERROR(IF([2]对账明细接口!$U720=0,"",[2]对账明细接口!$U720),"")</f>
        <v/>
      </c>
      <c r="AA720" s="113" t="str">
        <f aca="false">IFERROR(IF([2]对账明细接口!$V720=0,"",[2]对账明细接口!$V720),"")</f>
        <v/>
      </c>
      <c r="AB720" s="10" t="str">
        <f aca="false">IFERROR(IF([2]对账明细接口!$W720=0,"",[2]对账明细接口!$W720),"")</f>
        <v/>
      </c>
      <c r="AC720" s="90" t="str">
        <f aca="false">IFERROR(IF([2]对账明细接口!$X721=0,"",[2]对账明细接口!$X721),"")</f>
        <v/>
      </c>
      <c r="AD720" s="90" t="str">
        <f aca="false">IFERROR(IF([2]对账明细接口!$Y721=0,"",[2]对账明细接口!$Y721),"")</f>
        <v/>
      </c>
      <c r="AE720" s="90" t="str">
        <f aca="false">IFERROR(IF([2]对账明细接口!$AA721=0,"",[2]对账明细接口!$AA721),"")</f>
        <v/>
      </c>
      <c r="AF720" s="90" t="str">
        <f aca="false">IFERROR(IF([2]对账明细接口!$AB721=0,"",[2]对账明细接口!$AB721),"")</f>
        <v/>
      </c>
      <c r="AG720" s="90" t="str">
        <f aca="false">IFERROR(IF([2]对账明细接口!$AC721=0,"",[2]对账明细接口!$AC721),"")</f>
        <v/>
      </c>
      <c r="AH720" s="90" t="str">
        <f aca="false">IFERROR(IF([2]对账明细接口!$AD721=0,"",[2]对账明细接口!$AD721),"")</f>
        <v/>
      </c>
    </row>
    <row r="721" customFormat="false" ht="13.5" hidden="false" customHeight="false" outlineLevel="0" collapsed="false">
      <c r="A721" s="109" t="n">
        <v>721</v>
      </c>
      <c r="B721" s="110" t="str">
        <f aca="false">IFERROR(IF([2]对账明细接口!$B$721=0,"",[2]对账明细接口!$B$721),"")</f>
        <v/>
      </c>
      <c r="C721" s="59" t="str">
        <f aca="false">IFERROR(IF([2]对账明细接口!$C$721=0,"",[2]对账明细接口!$C$721),"")</f>
        <v/>
      </c>
      <c r="D721" s="59" t="str">
        <f aca="false">IFERROR(IF([2]对账明细接口!$D$721=0,"",[2]对账明细接口!$D$721),"")</f>
        <v/>
      </c>
      <c r="E721" s="59" t="str">
        <f aca="false">IFERROR(IF([2]对账明细接口!$E$721=0,"",[2]对账明细接口!$E$721),"")</f>
        <v/>
      </c>
      <c r="F721" s="59" t="str">
        <f aca="false">IFERROR(IF([2]对账明细接口!$F$721=0,"",[2]对账明细接口!$F$721),"")</f>
        <v/>
      </c>
      <c r="G721" s="59" t="str">
        <f aca="false">IFERROR(IF([2]对账明细接口!$G$721=0,"",[2]对账明细接口!$G$721),"")</f>
        <v/>
      </c>
      <c r="H721" s="60" t="str">
        <f aca="false">IFERROR(IF([2]对账明细接口!$H$721=0,"",[2]对账明细接口!$H$721),"")</f>
        <v/>
      </c>
      <c r="I721" s="59" t="str">
        <f aca="false">IFERROR(IF([2]对账明细接口!$I$721=0,"",[2]对账明细接口!$I$721),"")</f>
        <v/>
      </c>
      <c r="J721" s="61" t="str">
        <f aca="false">IFERROR(IF([2]对账明细接口!$J$721=0,"",[2]对账明细接口!$J$721),"")</f>
        <v/>
      </c>
      <c r="K721" s="61" t="str">
        <f aca="false">IFERROR(IF([2]对账明细接口!$K$721=0,"",[2]对账明细接口!$K$721),"")</f>
        <v/>
      </c>
      <c r="L721" s="59" t="str">
        <f aca="false">IFERROR(IF([2]对账明细接口!$L$721=0,"",[2]对账明细接口!$L$721),"")</f>
        <v/>
      </c>
      <c r="M721" s="59" t="str">
        <f aca="false">IFERROR(IF([2]对账明细接口!$M$721=0,"",[2]对账明细接口!$M$721),"")</f>
        <v/>
      </c>
      <c r="N721" s="111" t="n">
        <f aca="false">IF($C721="",0,1)</f>
        <v>0</v>
      </c>
      <c r="O721" s="111" t="n">
        <f aca="false">N(O720)+$N721</f>
        <v>311</v>
      </c>
      <c r="S721" s="10" t="str">
        <f aca="false">IFERROR(IF([2]对账明细接口!$N721=0,"",[2]对账明细接口!$N721),"")</f>
        <v/>
      </c>
      <c r="T721" s="112" t="str">
        <f aca="false">IFERROR(IF([2]对账明细接口!$O721=0,"",[2]对账明细接口!$O721),"")</f>
        <v/>
      </c>
      <c r="U721" s="112" t="str">
        <f aca="false">IFERROR(IF([2]对账明细接口!$P721=0,"",[2]对账明细接口!$P721),"")</f>
        <v/>
      </c>
      <c r="V721" s="112" t="str">
        <f aca="false">IFERROR(IF([2]对账明细接口!$Q721=0,"",[2]对账明细接口!$Q721),"")</f>
        <v/>
      </c>
      <c r="W721" s="10" t="str">
        <f aca="false">IFERROR(IF([2]对账明细接口!$R721=0,"",[2]对账明细接口!$R721),"")</f>
        <v/>
      </c>
      <c r="X721" s="10" t="str">
        <f aca="false">IFERROR(IF([2]对账明细接口!$S721=0,"",[2]对账明细接口!$S721),"")</f>
        <v/>
      </c>
      <c r="Y721" s="10" t="str">
        <f aca="false">IFERROR(IF([2]对账明细接口!$T721=0,"",[2]对账明细接口!$T721),"")</f>
        <v/>
      </c>
      <c r="Z721" s="113" t="str">
        <f aca="false">IFERROR(IF([2]对账明细接口!$U721=0,"",[2]对账明细接口!$U721),"")</f>
        <v/>
      </c>
      <c r="AA721" s="113" t="str">
        <f aca="false">IFERROR(IF([2]对账明细接口!$V721=0,"",[2]对账明细接口!$V721),"")</f>
        <v/>
      </c>
      <c r="AB721" s="10" t="str">
        <f aca="false">IFERROR(IF([2]对账明细接口!$W721=0,"",[2]对账明细接口!$W721),"")</f>
        <v/>
      </c>
      <c r="AC721" s="90" t="str">
        <f aca="false">IFERROR(IF([2]对账明细接口!$X722=0,"",[2]对账明细接口!$X722),"")</f>
        <v/>
      </c>
      <c r="AD721" s="90" t="str">
        <f aca="false">IFERROR(IF([2]对账明细接口!$Y722=0,"",[2]对账明细接口!$Y722),"")</f>
        <v/>
      </c>
      <c r="AE721" s="90" t="str">
        <f aca="false">IFERROR(IF([2]对账明细接口!$AA722=0,"",[2]对账明细接口!$AA722),"")</f>
        <v/>
      </c>
      <c r="AF721" s="90" t="str">
        <f aca="false">IFERROR(IF([2]对账明细接口!$AB722=0,"",[2]对账明细接口!$AB722),"")</f>
        <v/>
      </c>
      <c r="AG721" s="90" t="str">
        <f aca="false">IFERROR(IF([2]对账明细接口!$AC722=0,"",[2]对账明细接口!$AC722),"")</f>
        <v/>
      </c>
      <c r="AH721" s="90" t="str">
        <f aca="false">IFERROR(IF([2]对账明细接口!$AD722=0,"",[2]对账明细接口!$AD722),"")</f>
        <v/>
      </c>
    </row>
    <row r="722" customFormat="false" ht="13.5" hidden="false" customHeight="false" outlineLevel="0" collapsed="false">
      <c r="A722" s="109" t="n">
        <v>722</v>
      </c>
      <c r="B722" s="110" t="str">
        <f aca="false">IFERROR(IF([2]对账明细接口!$B$722=0,"",[2]对账明细接口!$B$722),"")</f>
        <v/>
      </c>
      <c r="C722" s="59" t="str">
        <f aca="false">IFERROR(IF([2]对账明细接口!$C$722=0,"",[2]对账明细接口!$C$722),"")</f>
        <v/>
      </c>
      <c r="D722" s="59" t="str">
        <f aca="false">IFERROR(IF([2]对账明细接口!$D$722=0,"",[2]对账明细接口!$D$722),"")</f>
        <v/>
      </c>
      <c r="E722" s="59" t="str">
        <f aca="false">IFERROR(IF([2]对账明细接口!$E$722=0,"",[2]对账明细接口!$E$722),"")</f>
        <v/>
      </c>
      <c r="F722" s="59" t="str">
        <f aca="false">IFERROR(IF([2]对账明细接口!$F$722=0,"",[2]对账明细接口!$F$722),"")</f>
        <v/>
      </c>
      <c r="G722" s="59" t="str">
        <f aca="false">IFERROR(IF([2]对账明细接口!$G$722=0,"",[2]对账明细接口!$G$722),"")</f>
        <v/>
      </c>
      <c r="H722" s="60" t="str">
        <f aca="false">IFERROR(IF([2]对账明细接口!$H$722=0,"",[2]对账明细接口!$H$722),"")</f>
        <v/>
      </c>
      <c r="I722" s="59" t="str">
        <f aca="false">IFERROR(IF([2]对账明细接口!$I$722=0,"",[2]对账明细接口!$I$722),"")</f>
        <v/>
      </c>
      <c r="J722" s="61" t="str">
        <f aca="false">IFERROR(IF([2]对账明细接口!$J$722=0,"",[2]对账明细接口!$J$722),"")</f>
        <v/>
      </c>
      <c r="K722" s="61" t="str">
        <f aca="false">IFERROR(IF([2]对账明细接口!$K$722=0,"",[2]对账明细接口!$K$722),"")</f>
        <v/>
      </c>
      <c r="L722" s="59" t="str">
        <f aca="false">IFERROR(IF([2]对账明细接口!$L$722=0,"",[2]对账明细接口!$L$722),"")</f>
        <v/>
      </c>
      <c r="M722" s="59" t="str">
        <f aca="false">IFERROR(IF([2]对账明细接口!$M$722=0,"",[2]对账明细接口!$M$722),"")</f>
        <v/>
      </c>
      <c r="N722" s="111" t="n">
        <f aca="false">IF($C722="",0,1)</f>
        <v>0</v>
      </c>
      <c r="O722" s="111" t="n">
        <f aca="false">N(O721)+$N722</f>
        <v>311</v>
      </c>
      <c r="S722" s="10" t="str">
        <f aca="false">IFERROR(IF([2]对账明细接口!$N722=0,"",[2]对账明细接口!$N722),"")</f>
        <v/>
      </c>
      <c r="T722" s="112" t="str">
        <f aca="false">IFERROR(IF([2]对账明细接口!$O722=0,"",[2]对账明细接口!$O722),"")</f>
        <v/>
      </c>
      <c r="U722" s="112" t="str">
        <f aca="false">IFERROR(IF([2]对账明细接口!$P722=0,"",[2]对账明细接口!$P722),"")</f>
        <v/>
      </c>
      <c r="V722" s="112" t="str">
        <f aca="false">IFERROR(IF([2]对账明细接口!$Q722=0,"",[2]对账明细接口!$Q722),"")</f>
        <v/>
      </c>
      <c r="W722" s="10" t="str">
        <f aca="false">IFERROR(IF([2]对账明细接口!$R722=0,"",[2]对账明细接口!$R722),"")</f>
        <v/>
      </c>
      <c r="X722" s="10" t="str">
        <f aca="false">IFERROR(IF([2]对账明细接口!$S722=0,"",[2]对账明细接口!$S722),"")</f>
        <v/>
      </c>
      <c r="Y722" s="10" t="str">
        <f aca="false">IFERROR(IF([2]对账明细接口!$T722=0,"",[2]对账明细接口!$T722),"")</f>
        <v/>
      </c>
      <c r="Z722" s="113" t="str">
        <f aca="false">IFERROR(IF([2]对账明细接口!$U722=0,"",[2]对账明细接口!$U722),"")</f>
        <v/>
      </c>
      <c r="AA722" s="113" t="str">
        <f aca="false">IFERROR(IF([2]对账明细接口!$V722=0,"",[2]对账明细接口!$V722),"")</f>
        <v/>
      </c>
      <c r="AB722" s="10" t="str">
        <f aca="false">IFERROR(IF([2]对账明细接口!$W722=0,"",[2]对账明细接口!$W722),"")</f>
        <v/>
      </c>
      <c r="AC722" s="90" t="str">
        <f aca="false">IFERROR(IF([2]对账明细接口!$X723=0,"",[2]对账明细接口!$X723),"")</f>
        <v/>
      </c>
      <c r="AD722" s="90" t="str">
        <f aca="false">IFERROR(IF([2]对账明细接口!$Y723=0,"",[2]对账明细接口!$Y723),"")</f>
        <v/>
      </c>
      <c r="AE722" s="90" t="str">
        <f aca="false">IFERROR(IF([2]对账明细接口!$AA723=0,"",[2]对账明细接口!$AA723),"")</f>
        <v/>
      </c>
      <c r="AF722" s="90" t="str">
        <f aca="false">IFERROR(IF([2]对账明细接口!$AB723=0,"",[2]对账明细接口!$AB723),"")</f>
        <v/>
      </c>
      <c r="AG722" s="90" t="str">
        <f aca="false">IFERROR(IF([2]对账明细接口!$AC723=0,"",[2]对账明细接口!$AC723),"")</f>
        <v/>
      </c>
      <c r="AH722" s="90" t="str">
        <f aca="false">IFERROR(IF([2]对账明细接口!$AD723=0,"",[2]对账明细接口!$AD723),"")</f>
        <v/>
      </c>
    </row>
    <row r="723" customFormat="false" ht="13.5" hidden="false" customHeight="false" outlineLevel="0" collapsed="false">
      <c r="A723" s="109" t="n">
        <v>723</v>
      </c>
      <c r="B723" s="110" t="str">
        <f aca="false">IFERROR(IF([2]对账明细接口!$B$723=0,"",[2]对账明细接口!$B$723),"")</f>
        <v/>
      </c>
      <c r="C723" s="59" t="str">
        <f aca="false">IFERROR(IF([2]对账明细接口!$C$723=0,"",[2]对账明细接口!$C$723),"")</f>
        <v/>
      </c>
      <c r="D723" s="59" t="str">
        <f aca="false">IFERROR(IF([2]对账明细接口!$D$723=0,"",[2]对账明细接口!$D$723),"")</f>
        <v/>
      </c>
      <c r="E723" s="59" t="str">
        <f aca="false">IFERROR(IF([2]对账明细接口!$E$723=0,"",[2]对账明细接口!$E$723),"")</f>
        <v/>
      </c>
      <c r="F723" s="59" t="str">
        <f aca="false">IFERROR(IF([2]对账明细接口!$F$723=0,"",[2]对账明细接口!$F$723),"")</f>
        <v/>
      </c>
      <c r="G723" s="59" t="str">
        <f aca="false">IFERROR(IF([2]对账明细接口!$G$723=0,"",[2]对账明细接口!$G$723),"")</f>
        <v/>
      </c>
      <c r="H723" s="60" t="str">
        <f aca="false">IFERROR(IF([2]对账明细接口!$H$723=0,"",[2]对账明细接口!$H$723),"")</f>
        <v/>
      </c>
      <c r="I723" s="59" t="str">
        <f aca="false">IFERROR(IF([2]对账明细接口!$I$723=0,"",[2]对账明细接口!$I$723),"")</f>
        <v/>
      </c>
      <c r="J723" s="61" t="str">
        <f aca="false">IFERROR(IF([2]对账明细接口!$J$723=0,"",[2]对账明细接口!$J$723),"")</f>
        <v/>
      </c>
      <c r="K723" s="61" t="str">
        <f aca="false">IFERROR(IF([2]对账明细接口!$K$723=0,"",[2]对账明细接口!$K$723),"")</f>
        <v/>
      </c>
      <c r="L723" s="59" t="str">
        <f aca="false">IFERROR(IF([2]对账明细接口!$L$723=0,"",[2]对账明细接口!$L$723),"")</f>
        <v/>
      </c>
      <c r="M723" s="59" t="str">
        <f aca="false">IFERROR(IF([2]对账明细接口!$M$723=0,"",[2]对账明细接口!$M$723),"")</f>
        <v/>
      </c>
      <c r="N723" s="111" t="n">
        <f aca="false">IF($C723="",0,1)</f>
        <v>0</v>
      </c>
      <c r="O723" s="111" t="n">
        <f aca="false">N(O722)+$N723</f>
        <v>311</v>
      </c>
      <c r="S723" s="10" t="str">
        <f aca="false">IFERROR(IF([2]对账明细接口!$N723=0,"",[2]对账明细接口!$N723),"")</f>
        <v/>
      </c>
      <c r="T723" s="112" t="str">
        <f aca="false">IFERROR(IF([2]对账明细接口!$O723=0,"",[2]对账明细接口!$O723),"")</f>
        <v/>
      </c>
      <c r="U723" s="112" t="str">
        <f aca="false">IFERROR(IF([2]对账明细接口!$P723=0,"",[2]对账明细接口!$P723),"")</f>
        <v/>
      </c>
      <c r="V723" s="112" t="str">
        <f aca="false">IFERROR(IF([2]对账明细接口!$Q723=0,"",[2]对账明细接口!$Q723),"")</f>
        <v/>
      </c>
      <c r="W723" s="10" t="str">
        <f aca="false">IFERROR(IF([2]对账明细接口!$R723=0,"",[2]对账明细接口!$R723),"")</f>
        <v/>
      </c>
      <c r="X723" s="10" t="str">
        <f aca="false">IFERROR(IF([2]对账明细接口!$S723=0,"",[2]对账明细接口!$S723),"")</f>
        <v/>
      </c>
      <c r="Y723" s="10" t="str">
        <f aca="false">IFERROR(IF([2]对账明细接口!$T723=0,"",[2]对账明细接口!$T723),"")</f>
        <v/>
      </c>
      <c r="Z723" s="113" t="str">
        <f aca="false">IFERROR(IF([2]对账明细接口!$U723=0,"",[2]对账明细接口!$U723),"")</f>
        <v/>
      </c>
      <c r="AA723" s="113" t="str">
        <f aca="false">IFERROR(IF([2]对账明细接口!$V723=0,"",[2]对账明细接口!$V723),"")</f>
        <v/>
      </c>
      <c r="AB723" s="10" t="str">
        <f aca="false">IFERROR(IF([2]对账明细接口!$W723=0,"",[2]对账明细接口!$W723),"")</f>
        <v/>
      </c>
      <c r="AC723" s="90" t="str">
        <f aca="false">IFERROR(IF([2]对账明细接口!$X724=0,"",[2]对账明细接口!$X724),"")</f>
        <v/>
      </c>
      <c r="AD723" s="90" t="str">
        <f aca="false">IFERROR(IF([2]对账明细接口!$Y724=0,"",[2]对账明细接口!$Y724),"")</f>
        <v/>
      </c>
      <c r="AE723" s="90" t="str">
        <f aca="false">IFERROR(IF([2]对账明细接口!$AA724=0,"",[2]对账明细接口!$AA724),"")</f>
        <v/>
      </c>
      <c r="AF723" s="90" t="str">
        <f aca="false">IFERROR(IF([2]对账明细接口!$AB724=0,"",[2]对账明细接口!$AB724),"")</f>
        <v/>
      </c>
      <c r="AG723" s="90" t="str">
        <f aca="false">IFERROR(IF([2]对账明细接口!$AC724=0,"",[2]对账明细接口!$AC724),"")</f>
        <v/>
      </c>
      <c r="AH723" s="90" t="str">
        <f aca="false">IFERROR(IF([2]对账明细接口!$AD724=0,"",[2]对账明细接口!$AD724),"")</f>
        <v/>
      </c>
    </row>
    <row r="724" customFormat="false" ht="13.5" hidden="false" customHeight="false" outlineLevel="0" collapsed="false">
      <c r="A724" s="109" t="n">
        <v>724</v>
      </c>
      <c r="B724" s="110" t="str">
        <f aca="false">IFERROR(IF([2]对账明细接口!$B$724=0,"",[2]对账明细接口!$B$724),"")</f>
        <v/>
      </c>
      <c r="C724" s="59" t="str">
        <f aca="false">IFERROR(IF([2]对账明细接口!$C$724=0,"",[2]对账明细接口!$C$724),"")</f>
        <v/>
      </c>
      <c r="D724" s="59" t="str">
        <f aca="false">IFERROR(IF([2]对账明细接口!$D$724=0,"",[2]对账明细接口!$D$724),"")</f>
        <v/>
      </c>
      <c r="E724" s="59" t="str">
        <f aca="false">IFERROR(IF([2]对账明细接口!$E$724=0,"",[2]对账明细接口!$E$724),"")</f>
        <v/>
      </c>
      <c r="F724" s="59" t="str">
        <f aca="false">IFERROR(IF([2]对账明细接口!$F$724=0,"",[2]对账明细接口!$F$724),"")</f>
        <v/>
      </c>
      <c r="G724" s="59" t="str">
        <f aca="false">IFERROR(IF([2]对账明细接口!$G$724=0,"",[2]对账明细接口!$G$724),"")</f>
        <v/>
      </c>
      <c r="H724" s="60" t="str">
        <f aca="false">IFERROR(IF([2]对账明细接口!$H$724=0,"",[2]对账明细接口!$H$724),"")</f>
        <v/>
      </c>
      <c r="I724" s="59" t="str">
        <f aca="false">IFERROR(IF([2]对账明细接口!$I$724=0,"",[2]对账明细接口!$I$724),"")</f>
        <v/>
      </c>
      <c r="J724" s="61" t="str">
        <f aca="false">IFERROR(IF([2]对账明细接口!$J$724=0,"",[2]对账明细接口!$J$724),"")</f>
        <v/>
      </c>
      <c r="K724" s="61" t="str">
        <f aca="false">IFERROR(IF([2]对账明细接口!$K$724=0,"",[2]对账明细接口!$K$724),"")</f>
        <v/>
      </c>
      <c r="L724" s="59" t="str">
        <f aca="false">IFERROR(IF([2]对账明细接口!$L$724=0,"",[2]对账明细接口!$L$724),"")</f>
        <v/>
      </c>
      <c r="M724" s="59" t="str">
        <f aca="false">IFERROR(IF([2]对账明细接口!$M$724=0,"",[2]对账明细接口!$M$724),"")</f>
        <v/>
      </c>
      <c r="N724" s="111" t="n">
        <f aca="false">IF($C724="",0,1)</f>
        <v>0</v>
      </c>
      <c r="O724" s="111" t="n">
        <f aca="false">N(O723)+$N724</f>
        <v>311</v>
      </c>
      <c r="S724" s="10" t="str">
        <f aca="false">IFERROR(IF([2]对账明细接口!$N724=0,"",[2]对账明细接口!$N724),"")</f>
        <v/>
      </c>
      <c r="T724" s="112" t="str">
        <f aca="false">IFERROR(IF([2]对账明细接口!$O724=0,"",[2]对账明细接口!$O724),"")</f>
        <v/>
      </c>
      <c r="U724" s="112" t="str">
        <f aca="false">IFERROR(IF([2]对账明细接口!$P724=0,"",[2]对账明细接口!$P724),"")</f>
        <v/>
      </c>
      <c r="V724" s="112" t="str">
        <f aca="false">IFERROR(IF([2]对账明细接口!$Q724=0,"",[2]对账明细接口!$Q724),"")</f>
        <v/>
      </c>
      <c r="W724" s="10" t="str">
        <f aca="false">IFERROR(IF([2]对账明细接口!$R724=0,"",[2]对账明细接口!$R724),"")</f>
        <v/>
      </c>
      <c r="X724" s="10" t="str">
        <f aca="false">IFERROR(IF([2]对账明细接口!$S724=0,"",[2]对账明细接口!$S724),"")</f>
        <v/>
      </c>
      <c r="Y724" s="10" t="str">
        <f aca="false">IFERROR(IF([2]对账明细接口!$T724=0,"",[2]对账明细接口!$T724),"")</f>
        <v/>
      </c>
      <c r="Z724" s="113" t="str">
        <f aca="false">IFERROR(IF([2]对账明细接口!$U724=0,"",[2]对账明细接口!$U724),"")</f>
        <v/>
      </c>
      <c r="AA724" s="113" t="str">
        <f aca="false">IFERROR(IF([2]对账明细接口!$V724=0,"",[2]对账明细接口!$V724),"")</f>
        <v/>
      </c>
      <c r="AB724" s="10" t="str">
        <f aca="false">IFERROR(IF([2]对账明细接口!$W724=0,"",[2]对账明细接口!$W724),"")</f>
        <v/>
      </c>
      <c r="AC724" s="90" t="str">
        <f aca="false">IFERROR(IF([2]对账明细接口!$X725=0,"",[2]对账明细接口!$X725),"")</f>
        <v/>
      </c>
      <c r="AD724" s="90" t="str">
        <f aca="false">IFERROR(IF([2]对账明细接口!$Y725=0,"",[2]对账明细接口!$Y725),"")</f>
        <v/>
      </c>
      <c r="AE724" s="90" t="str">
        <f aca="false">IFERROR(IF([2]对账明细接口!$AA725=0,"",[2]对账明细接口!$AA725),"")</f>
        <v/>
      </c>
      <c r="AF724" s="90" t="str">
        <f aca="false">IFERROR(IF([2]对账明细接口!$AB725=0,"",[2]对账明细接口!$AB725),"")</f>
        <v/>
      </c>
      <c r="AG724" s="90" t="str">
        <f aca="false">IFERROR(IF([2]对账明细接口!$AC725=0,"",[2]对账明细接口!$AC725),"")</f>
        <v/>
      </c>
      <c r="AH724" s="90" t="str">
        <f aca="false">IFERROR(IF([2]对账明细接口!$AD725=0,"",[2]对账明细接口!$AD725),"")</f>
        <v/>
      </c>
    </row>
    <row r="725" customFormat="false" ht="13.5" hidden="false" customHeight="false" outlineLevel="0" collapsed="false">
      <c r="A725" s="109" t="n">
        <v>725</v>
      </c>
      <c r="B725" s="110" t="str">
        <f aca="false">IFERROR(IF([2]对账明细接口!$B$725=0,"",[2]对账明细接口!$B$725),"")</f>
        <v/>
      </c>
      <c r="C725" s="59" t="str">
        <f aca="false">IFERROR(IF([2]对账明细接口!$C$725=0,"",[2]对账明细接口!$C$725),"")</f>
        <v/>
      </c>
      <c r="D725" s="59" t="str">
        <f aca="false">IFERROR(IF([2]对账明细接口!$D$725=0,"",[2]对账明细接口!$D$725),"")</f>
        <v/>
      </c>
      <c r="E725" s="59" t="str">
        <f aca="false">IFERROR(IF([2]对账明细接口!$E$725=0,"",[2]对账明细接口!$E$725),"")</f>
        <v/>
      </c>
      <c r="F725" s="59" t="str">
        <f aca="false">IFERROR(IF([2]对账明细接口!$F$725=0,"",[2]对账明细接口!$F$725),"")</f>
        <v/>
      </c>
      <c r="G725" s="59" t="str">
        <f aca="false">IFERROR(IF([2]对账明细接口!$G$725=0,"",[2]对账明细接口!$G$725),"")</f>
        <v/>
      </c>
      <c r="H725" s="60" t="str">
        <f aca="false">IFERROR(IF([2]对账明细接口!$H$725=0,"",[2]对账明细接口!$H$725),"")</f>
        <v/>
      </c>
      <c r="I725" s="59" t="str">
        <f aca="false">IFERROR(IF([2]对账明细接口!$I$725=0,"",[2]对账明细接口!$I$725),"")</f>
        <v/>
      </c>
      <c r="J725" s="61" t="str">
        <f aca="false">IFERROR(IF([2]对账明细接口!$J$725=0,"",[2]对账明细接口!$J$725),"")</f>
        <v/>
      </c>
      <c r="K725" s="61" t="str">
        <f aca="false">IFERROR(IF([2]对账明细接口!$K$725=0,"",[2]对账明细接口!$K$725),"")</f>
        <v/>
      </c>
      <c r="L725" s="59" t="str">
        <f aca="false">IFERROR(IF([2]对账明细接口!$L$725=0,"",[2]对账明细接口!$L$725),"")</f>
        <v/>
      </c>
      <c r="M725" s="59" t="str">
        <f aca="false">IFERROR(IF([2]对账明细接口!$M$725=0,"",[2]对账明细接口!$M$725),"")</f>
        <v/>
      </c>
      <c r="N725" s="111" t="n">
        <f aca="false">IF($C725="",0,1)</f>
        <v>0</v>
      </c>
      <c r="O725" s="111" t="n">
        <f aca="false">N(O724)+$N725</f>
        <v>311</v>
      </c>
      <c r="S725" s="10" t="str">
        <f aca="false">IFERROR(IF([2]对账明细接口!$N725=0,"",[2]对账明细接口!$N725),"")</f>
        <v/>
      </c>
      <c r="T725" s="112" t="str">
        <f aca="false">IFERROR(IF([2]对账明细接口!$O725=0,"",[2]对账明细接口!$O725),"")</f>
        <v/>
      </c>
      <c r="U725" s="112" t="str">
        <f aca="false">IFERROR(IF([2]对账明细接口!$P725=0,"",[2]对账明细接口!$P725),"")</f>
        <v/>
      </c>
      <c r="V725" s="112" t="str">
        <f aca="false">IFERROR(IF([2]对账明细接口!$Q725=0,"",[2]对账明细接口!$Q725),"")</f>
        <v/>
      </c>
      <c r="W725" s="10" t="str">
        <f aca="false">IFERROR(IF([2]对账明细接口!$R725=0,"",[2]对账明细接口!$R725),"")</f>
        <v/>
      </c>
      <c r="X725" s="10" t="str">
        <f aca="false">IFERROR(IF([2]对账明细接口!$S725=0,"",[2]对账明细接口!$S725),"")</f>
        <v/>
      </c>
      <c r="Y725" s="10" t="str">
        <f aca="false">IFERROR(IF([2]对账明细接口!$T725=0,"",[2]对账明细接口!$T725),"")</f>
        <v/>
      </c>
      <c r="Z725" s="113" t="str">
        <f aca="false">IFERROR(IF([2]对账明细接口!$U725=0,"",[2]对账明细接口!$U725),"")</f>
        <v/>
      </c>
      <c r="AA725" s="113" t="str">
        <f aca="false">IFERROR(IF([2]对账明细接口!$V725=0,"",[2]对账明细接口!$V725),"")</f>
        <v/>
      </c>
      <c r="AB725" s="10" t="str">
        <f aca="false">IFERROR(IF([2]对账明细接口!$W725=0,"",[2]对账明细接口!$W725),"")</f>
        <v/>
      </c>
      <c r="AC725" s="90" t="str">
        <f aca="false">IFERROR(IF([2]对账明细接口!$X726=0,"",[2]对账明细接口!$X726),"")</f>
        <v/>
      </c>
      <c r="AD725" s="90" t="str">
        <f aca="false">IFERROR(IF([2]对账明细接口!$Y726=0,"",[2]对账明细接口!$Y726),"")</f>
        <v/>
      </c>
      <c r="AE725" s="90" t="str">
        <f aca="false">IFERROR(IF([2]对账明细接口!$AA726=0,"",[2]对账明细接口!$AA726),"")</f>
        <v/>
      </c>
      <c r="AF725" s="90" t="str">
        <f aca="false">IFERROR(IF([2]对账明细接口!$AB726=0,"",[2]对账明细接口!$AB726),"")</f>
        <v/>
      </c>
      <c r="AG725" s="90" t="str">
        <f aca="false">IFERROR(IF([2]对账明细接口!$AC726=0,"",[2]对账明细接口!$AC726),"")</f>
        <v/>
      </c>
      <c r="AH725" s="90" t="str">
        <f aca="false">IFERROR(IF([2]对账明细接口!$AD726=0,"",[2]对账明细接口!$AD726),"")</f>
        <v/>
      </c>
    </row>
    <row r="726" customFormat="false" ht="13.5" hidden="false" customHeight="false" outlineLevel="0" collapsed="false">
      <c r="A726" s="109" t="n">
        <v>726</v>
      </c>
      <c r="B726" s="110" t="str">
        <f aca="false">IFERROR(IF([2]对账明细接口!$B$726=0,"",[2]对账明细接口!$B$726),"")</f>
        <v/>
      </c>
      <c r="C726" s="59" t="str">
        <f aca="false">IFERROR(IF([2]对账明细接口!$C$726=0,"",[2]对账明细接口!$C$726),"")</f>
        <v/>
      </c>
      <c r="D726" s="59" t="str">
        <f aca="false">IFERROR(IF([2]对账明细接口!$D$726=0,"",[2]对账明细接口!$D$726),"")</f>
        <v/>
      </c>
      <c r="E726" s="59" t="str">
        <f aca="false">IFERROR(IF([2]对账明细接口!$E$726=0,"",[2]对账明细接口!$E$726),"")</f>
        <v/>
      </c>
      <c r="F726" s="59" t="str">
        <f aca="false">IFERROR(IF([2]对账明细接口!$F$726=0,"",[2]对账明细接口!$F$726),"")</f>
        <v/>
      </c>
      <c r="G726" s="59" t="str">
        <f aca="false">IFERROR(IF([2]对账明细接口!$G$726=0,"",[2]对账明细接口!$G$726),"")</f>
        <v/>
      </c>
      <c r="H726" s="60" t="str">
        <f aca="false">IFERROR(IF([2]对账明细接口!$H$726=0,"",[2]对账明细接口!$H$726),"")</f>
        <v/>
      </c>
      <c r="I726" s="59" t="str">
        <f aca="false">IFERROR(IF([2]对账明细接口!$I$726=0,"",[2]对账明细接口!$I$726),"")</f>
        <v/>
      </c>
      <c r="J726" s="61" t="str">
        <f aca="false">IFERROR(IF([2]对账明细接口!$J$726=0,"",[2]对账明细接口!$J$726),"")</f>
        <v/>
      </c>
      <c r="K726" s="61" t="str">
        <f aca="false">IFERROR(IF([2]对账明细接口!$K$726=0,"",[2]对账明细接口!$K$726),"")</f>
        <v/>
      </c>
      <c r="L726" s="59" t="str">
        <f aca="false">IFERROR(IF([2]对账明细接口!$L$726=0,"",[2]对账明细接口!$L$726),"")</f>
        <v/>
      </c>
      <c r="M726" s="59" t="str">
        <f aca="false">IFERROR(IF([2]对账明细接口!$M$726=0,"",[2]对账明细接口!$M$726),"")</f>
        <v/>
      </c>
      <c r="N726" s="111" t="n">
        <f aca="false">IF($C726="",0,1)</f>
        <v>0</v>
      </c>
      <c r="O726" s="111" t="n">
        <f aca="false">N(O725)+$N726</f>
        <v>311</v>
      </c>
      <c r="S726" s="10" t="str">
        <f aca="false">IFERROR(IF([2]对账明细接口!$N726=0,"",[2]对账明细接口!$N726),"")</f>
        <v/>
      </c>
      <c r="T726" s="112" t="str">
        <f aca="false">IFERROR(IF([2]对账明细接口!$O726=0,"",[2]对账明细接口!$O726),"")</f>
        <v/>
      </c>
      <c r="U726" s="112" t="str">
        <f aca="false">IFERROR(IF([2]对账明细接口!$P726=0,"",[2]对账明细接口!$P726),"")</f>
        <v/>
      </c>
      <c r="V726" s="112" t="str">
        <f aca="false">IFERROR(IF([2]对账明细接口!$Q726=0,"",[2]对账明细接口!$Q726),"")</f>
        <v/>
      </c>
      <c r="W726" s="10" t="str">
        <f aca="false">IFERROR(IF([2]对账明细接口!$R726=0,"",[2]对账明细接口!$R726),"")</f>
        <v/>
      </c>
      <c r="X726" s="10" t="str">
        <f aca="false">IFERROR(IF([2]对账明细接口!$S726=0,"",[2]对账明细接口!$S726),"")</f>
        <v/>
      </c>
      <c r="Y726" s="10" t="str">
        <f aca="false">IFERROR(IF([2]对账明细接口!$T726=0,"",[2]对账明细接口!$T726),"")</f>
        <v/>
      </c>
      <c r="Z726" s="113" t="str">
        <f aca="false">IFERROR(IF([2]对账明细接口!$U726=0,"",[2]对账明细接口!$U726),"")</f>
        <v/>
      </c>
      <c r="AA726" s="113" t="str">
        <f aca="false">IFERROR(IF([2]对账明细接口!$V726=0,"",[2]对账明细接口!$V726),"")</f>
        <v/>
      </c>
      <c r="AB726" s="10" t="str">
        <f aca="false">IFERROR(IF([2]对账明细接口!$W726=0,"",[2]对账明细接口!$W726),"")</f>
        <v/>
      </c>
      <c r="AC726" s="90" t="str">
        <f aca="false">IFERROR(IF([2]对账明细接口!$X727=0,"",[2]对账明细接口!$X727),"")</f>
        <v/>
      </c>
      <c r="AD726" s="90" t="str">
        <f aca="false">IFERROR(IF([2]对账明细接口!$Y727=0,"",[2]对账明细接口!$Y727),"")</f>
        <v/>
      </c>
      <c r="AE726" s="90" t="str">
        <f aca="false">IFERROR(IF([2]对账明细接口!$AA727=0,"",[2]对账明细接口!$AA727),"")</f>
        <v/>
      </c>
      <c r="AF726" s="90" t="str">
        <f aca="false">IFERROR(IF([2]对账明细接口!$AB727=0,"",[2]对账明细接口!$AB727),"")</f>
        <v/>
      </c>
      <c r="AG726" s="90" t="str">
        <f aca="false">IFERROR(IF([2]对账明细接口!$AC727=0,"",[2]对账明细接口!$AC727),"")</f>
        <v/>
      </c>
      <c r="AH726" s="90" t="str">
        <f aca="false">IFERROR(IF([2]对账明细接口!$AD727=0,"",[2]对账明细接口!$AD727),"")</f>
        <v/>
      </c>
    </row>
    <row r="727" customFormat="false" ht="13.5" hidden="false" customHeight="false" outlineLevel="0" collapsed="false">
      <c r="A727" s="109" t="n">
        <v>727</v>
      </c>
      <c r="B727" s="110" t="str">
        <f aca="false">IFERROR(IF([2]对账明细接口!$B$727=0,"",[2]对账明细接口!$B$727),"")</f>
        <v/>
      </c>
      <c r="C727" s="59" t="str">
        <f aca="false">IFERROR(IF([2]对账明细接口!$C$727=0,"",[2]对账明细接口!$C$727),"")</f>
        <v/>
      </c>
      <c r="D727" s="59" t="str">
        <f aca="false">IFERROR(IF([2]对账明细接口!$D$727=0,"",[2]对账明细接口!$D$727),"")</f>
        <v/>
      </c>
      <c r="E727" s="59" t="str">
        <f aca="false">IFERROR(IF([2]对账明细接口!$E$727=0,"",[2]对账明细接口!$E$727),"")</f>
        <v/>
      </c>
      <c r="F727" s="59" t="str">
        <f aca="false">IFERROR(IF([2]对账明细接口!$F$727=0,"",[2]对账明细接口!$F$727),"")</f>
        <v/>
      </c>
      <c r="G727" s="59" t="str">
        <f aca="false">IFERROR(IF([2]对账明细接口!$G$727=0,"",[2]对账明细接口!$G$727),"")</f>
        <v/>
      </c>
      <c r="H727" s="60" t="str">
        <f aca="false">IFERROR(IF([2]对账明细接口!$H$727=0,"",[2]对账明细接口!$H$727),"")</f>
        <v/>
      </c>
      <c r="I727" s="59" t="str">
        <f aca="false">IFERROR(IF([2]对账明细接口!$I$727=0,"",[2]对账明细接口!$I$727),"")</f>
        <v/>
      </c>
      <c r="J727" s="61" t="str">
        <f aca="false">IFERROR(IF([2]对账明细接口!$J$727=0,"",[2]对账明细接口!$J$727),"")</f>
        <v/>
      </c>
      <c r="K727" s="61" t="str">
        <f aca="false">IFERROR(IF([2]对账明细接口!$K$727=0,"",[2]对账明细接口!$K$727),"")</f>
        <v/>
      </c>
      <c r="L727" s="59" t="str">
        <f aca="false">IFERROR(IF([2]对账明细接口!$L$727=0,"",[2]对账明细接口!$L$727),"")</f>
        <v/>
      </c>
      <c r="M727" s="59" t="str">
        <f aca="false">IFERROR(IF([2]对账明细接口!$M$727=0,"",[2]对账明细接口!$M$727),"")</f>
        <v/>
      </c>
      <c r="N727" s="111" t="n">
        <f aca="false">IF($C727="",0,1)</f>
        <v>0</v>
      </c>
      <c r="O727" s="111" t="n">
        <f aca="false">N(O726)+$N727</f>
        <v>311</v>
      </c>
      <c r="S727" s="10" t="str">
        <f aca="false">IFERROR(IF([2]对账明细接口!$N727=0,"",[2]对账明细接口!$N727),"")</f>
        <v/>
      </c>
      <c r="T727" s="112" t="str">
        <f aca="false">IFERROR(IF([2]对账明细接口!$O727=0,"",[2]对账明细接口!$O727),"")</f>
        <v/>
      </c>
      <c r="U727" s="112" t="str">
        <f aca="false">IFERROR(IF([2]对账明细接口!$P727=0,"",[2]对账明细接口!$P727),"")</f>
        <v/>
      </c>
      <c r="V727" s="112" t="str">
        <f aca="false">IFERROR(IF([2]对账明细接口!$Q727=0,"",[2]对账明细接口!$Q727),"")</f>
        <v/>
      </c>
      <c r="W727" s="10" t="str">
        <f aca="false">IFERROR(IF([2]对账明细接口!$R727=0,"",[2]对账明细接口!$R727),"")</f>
        <v/>
      </c>
      <c r="X727" s="10" t="str">
        <f aca="false">IFERROR(IF([2]对账明细接口!$S727=0,"",[2]对账明细接口!$S727),"")</f>
        <v/>
      </c>
      <c r="Y727" s="10" t="str">
        <f aca="false">IFERROR(IF([2]对账明细接口!$T727=0,"",[2]对账明细接口!$T727),"")</f>
        <v/>
      </c>
      <c r="Z727" s="113" t="str">
        <f aca="false">IFERROR(IF([2]对账明细接口!$U727=0,"",[2]对账明细接口!$U727),"")</f>
        <v/>
      </c>
      <c r="AA727" s="113" t="str">
        <f aca="false">IFERROR(IF([2]对账明细接口!$V727=0,"",[2]对账明细接口!$V727),"")</f>
        <v/>
      </c>
      <c r="AB727" s="10" t="str">
        <f aca="false">IFERROR(IF([2]对账明细接口!$W727=0,"",[2]对账明细接口!$W727),"")</f>
        <v/>
      </c>
      <c r="AC727" s="90" t="str">
        <f aca="false">IFERROR(IF([2]对账明细接口!$X728=0,"",[2]对账明细接口!$X728),"")</f>
        <v/>
      </c>
      <c r="AD727" s="90" t="str">
        <f aca="false">IFERROR(IF([2]对账明细接口!$Y728=0,"",[2]对账明细接口!$Y728),"")</f>
        <v/>
      </c>
      <c r="AE727" s="90" t="str">
        <f aca="false">IFERROR(IF([2]对账明细接口!$AA728=0,"",[2]对账明细接口!$AA728),"")</f>
        <v/>
      </c>
      <c r="AF727" s="90" t="str">
        <f aca="false">IFERROR(IF([2]对账明细接口!$AB728=0,"",[2]对账明细接口!$AB728),"")</f>
        <v/>
      </c>
      <c r="AG727" s="90" t="str">
        <f aca="false">IFERROR(IF([2]对账明细接口!$AC728=0,"",[2]对账明细接口!$AC728),"")</f>
        <v/>
      </c>
      <c r="AH727" s="90" t="str">
        <f aca="false">IFERROR(IF([2]对账明细接口!$AD728=0,"",[2]对账明细接口!$AD728),"")</f>
        <v/>
      </c>
    </row>
    <row r="728" customFormat="false" ht="13.5" hidden="false" customHeight="false" outlineLevel="0" collapsed="false">
      <c r="A728" s="109" t="n">
        <v>728</v>
      </c>
      <c r="B728" s="110" t="str">
        <f aca="false">IFERROR(IF([2]对账明细接口!$B$728=0,"",[2]对账明细接口!$B$728),"")</f>
        <v/>
      </c>
      <c r="C728" s="59" t="str">
        <f aca="false">IFERROR(IF([2]对账明细接口!$C$728=0,"",[2]对账明细接口!$C$728),"")</f>
        <v/>
      </c>
      <c r="D728" s="59" t="str">
        <f aca="false">IFERROR(IF([2]对账明细接口!$D$728=0,"",[2]对账明细接口!$D$728),"")</f>
        <v/>
      </c>
      <c r="E728" s="59" t="str">
        <f aca="false">IFERROR(IF([2]对账明细接口!$E$728=0,"",[2]对账明细接口!$E$728),"")</f>
        <v/>
      </c>
      <c r="F728" s="59" t="str">
        <f aca="false">IFERROR(IF([2]对账明细接口!$F$728=0,"",[2]对账明细接口!$F$728),"")</f>
        <v/>
      </c>
      <c r="G728" s="59" t="str">
        <f aca="false">IFERROR(IF([2]对账明细接口!$G$728=0,"",[2]对账明细接口!$G$728),"")</f>
        <v/>
      </c>
      <c r="H728" s="60" t="str">
        <f aca="false">IFERROR(IF([2]对账明细接口!$H$728=0,"",[2]对账明细接口!$H$728),"")</f>
        <v/>
      </c>
      <c r="I728" s="59" t="str">
        <f aca="false">IFERROR(IF([2]对账明细接口!$I$728=0,"",[2]对账明细接口!$I$728),"")</f>
        <v/>
      </c>
      <c r="J728" s="61" t="str">
        <f aca="false">IFERROR(IF([2]对账明细接口!$J$728=0,"",[2]对账明细接口!$J$728),"")</f>
        <v/>
      </c>
      <c r="K728" s="61" t="str">
        <f aca="false">IFERROR(IF([2]对账明细接口!$K$728=0,"",[2]对账明细接口!$K$728),"")</f>
        <v/>
      </c>
      <c r="L728" s="59" t="str">
        <f aca="false">IFERROR(IF([2]对账明细接口!$L$728=0,"",[2]对账明细接口!$L$728),"")</f>
        <v/>
      </c>
      <c r="M728" s="59" t="str">
        <f aca="false">IFERROR(IF([2]对账明细接口!$M$728=0,"",[2]对账明细接口!$M$728),"")</f>
        <v/>
      </c>
      <c r="N728" s="111" t="n">
        <f aca="false">IF($C728="",0,1)</f>
        <v>0</v>
      </c>
      <c r="O728" s="111" t="n">
        <f aca="false">N(O727)+$N728</f>
        <v>311</v>
      </c>
      <c r="S728" s="10" t="str">
        <f aca="false">IFERROR(IF([2]对账明细接口!$N728=0,"",[2]对账明细接口!$N728),"")</f>
        <v/>
      </c>
      <c r="T728" s="112" t="str">
        <f aca="false">IFERROR(IF([2]对账明细接口!$O728=0,"",[2]对账明细接口!$O728),"")</f>
        <v/>
      </c>
      <c r="U728" s="112" t="str">
        <f aca="false">IFERROR(IF([2]对账明细接口!$P728=0,"",[2]对账明细接口!$P728),"")</f>
        <v/>
      </c>
      <c r="V728" s="112" t="str">
        <f aca="false">IFERROR(IF([2]对账明细接口!$Q728=0,"",[2]对账明细接口!$Q728),"")</f>
        <v/>
      </c>
      <c r="W728" s="10" t="str">
        <f aca="false">IFERROR(IF([2]对账明细接口!$R728=0,"",[2]对账明细接口!$R728),"")</f>
        <v/>
      </c>
      <c r="X728" s="10" t="str">
        <f aca="false">IFERROR(IF([2]对账明细接口!$S728=0,"",[2]对账明细接口!$S728),"")</f>
        <v/>
      </c>
      <c r="Y728" s="10" t="str">
        <f aca="false">IFERROR(IF([2]对账明细接口!$T728=0,"",[2]对账明细接口!$T728),"")</f>
        <v/>
      </c>
      <c r="Z728" s="113" t="str">
        <f aca="false">IFERROR(IF([2]对账明细接口!$U728=0,"",[2]对账明细接口!$U728),"")</f>
        <v/>
      </c>
      <c r="AA728" s="113" t="str">
        <f aca="false">IFERROR(IF([2]对账明细接口!$V728=0,"",[2]对账明细接口!$V728),"")</f>
        <v/>
      </c>
      <c r="AB728" s="10" t="str">
        <f aca="false">IFERROR(IF([2]对账明细接口!$W728=0,"",[2]对账明细接口!$W728),"")</f>
        <v/>
      </c>
      <c r="AC728" s="90" t="str">
        <f aca="false">IFERROR(IF([2]对账明细接口!$X729=0,"",[2]对账明细接口!$X729),"")</f>
        <v/>
      </c>
      <c r="AD728" s="90" t="str">
        <f aca="false">IFERROR(IF([2]对账明细接口!$Y729=0,"",[2]对账明细接口!$Y729),"")</f>
        <v/>
      </c>
      <c r="AE728" s="90" t="str">
        <f aca="false">IFERROR(IF([2]对账明细接口!$AA729=0,"",[2]对账明细接口!$AA729),"")</f>
        <v/>
      </c>
      <c r="AF728" s="90" t="str">
        <f aca="false">IFERROR(IF([2]对账明细接口!$AB729=0,"",[2]对账明细接口!$AB729),"")</f>
        <v/>
      </c>
      <c r="AG728" s="90" t="str">
        <f aca="false">IFERROR(IF([2]对账明细接口!$AC729=0,"",[2]对账明细接口!$AC729),"")</f>
        <v/>
      </c>
      <c r="AH728" s="90" t="str">
        <f aca="false">IFERROR(IF([2]对账明细接口!$AD729=0,"",[2]对账明细接口!$AD729),"")</f>
        <v/>
      </c>
    </row>
    <row r="729" customFormat="false" ht="13.5" hidden="false" customHeight="false" outlineLevel="0" collapsed="false">
      <c r="A729" s="109" t="n">
        <v>729</v>
      </c>
      <c r="B729" s="110" t="str">
        <f aca="false">IFERROR(IF([2]对账明细接口!$B$729=0,"",[2]对账明细接口!$B$729),"")</f>
        <v/>
      </c>
      <c r="C729" s="59" t="str">
        <f aca="false">IFERROR(IF([2]对账明细接口!$C$729=0,"",[2]对账明细接口!$C$729),"")</f>
        <v/>
      </c>
      <c r="D729" s="59" t="str">
        <f aca="false">IFERROR(IF([2]对账明细接口!$D$729=0,"",[2]对账明细接口!$D$729),"")</f>
        <v/>
      </c>
      <c r="E729" s="59" t="str">
        <f aca="false">IFERROR(IF([2]对账明细接口!$E$729=0,"",[2]对账明细接口!$E$729),"")</f>
        <v/>
      </c>
      <c r="F729" s="59" t="str">
        <f aca="false">IFERROR(IF([2]对账明细接口!$F$729=0,"",[2]对账明细接口!$F$729),"")</f>
        <v/>
      </c>
      <c r="G729" s="59" t="str">
        <f aca="false">IFERROR(IF([2]对账明细接口!$G$729=0,"",[2]对账明细接口!$G$729),"")</f>
        <v/>
      </c>
      <c r="H729" s="60" t="str">
        <f aca="false">IFERROR(IF([2]对账明细接口!$H$729=0,"",[2]对账明细接口!$H$729),"")</f>
        <v/>
      </c>
      <c r="I729" s="59" t="str">
        <f aca="false">IFERROR(IF([2]对账明细接口!$I$729=0,"",[2]对账明细接口!$I$729),"")</f>
        <v/>
      </c>
      <c r="J729" s="61" t="str">
        <f aca="false">IFERROR(IF([2]对账明细接口!$J$729=0,"",[2]对账明细接口!$J$729),"")</f>
        <v/>
      </c>
      <c r="K729" s="61" t="str">
        <f aca="false">IFERROR(IF([2]对账明细接口!$K$729=0,"",[2]对账明细接口!$K$729),"")</f>
        <v/>
      </c>
      <c r="L729" s="59" t="str">
        <f aca="false">IFERROR(IF([2]对账明细接口!$L$729=0,"",[2]对账明细接口!$L$729),"")</f>
        <v/>
      </c>
      <c r="M729" s="59" t="str">
        <f aca="false">IFERROR(IF([2]对账明细接口!$M$729=0,"",[2]对账明细接口!$M$729),"")</f>
        <v/>
      </c>
      <c r="N729" s="111" t="n">
        <f aca="false">IF($C729="",0,1)</f>
        <v>0</v>
      </c>
      <c r="O729" s="111" t="n">
        <f aca="false">N(O728)+$N729</f>
        <v>311</v>
      </c>
      <c r="S729" s="10" t="str">
        <f aca="false">IFERROR(IF([2]对账明细接口!$N729=0,"",[2]对账明细接口!$N729),"")</f>
        <v/>
      </c>
      <c r="T729" s="112" t="str">
        <f aca="false">IFERROR(IF([2]对账明细接口!$O729=0,"",[2]对账明细接口!$O729),"")</f>
        <v/>
      </c>
      <c r="U729" s="112" t="str">
        <f aca="false">IFERROR(IF([2]对账明细接口!$P729=0,"",[2]对账明细接口!$P729),"")</f>
        <v/>
      </c>
      <c r="V729" s="112" t="str">
        <f aca="false">IFERROR(IF([2]对账明细接口!$Q729=0,"",[2]对账明细接口!$Q729),"")</f>
        <v/>
      </c>
      <c r="W729" s="10" t="str">
        <f aca="false">IFERROR(IF([2]对账明细接口!$R729=0,"",[2]对账明细接口!$R729),"")</f>
        <v/>
      </c>
      <c r="X729" s="10" t="str">
        <f aca="false">IFERROR(IF([2]对账明细接口!$S729=0,"",[2]对账明细接口!$S729),"")</f>
        <v/>
      </c>
      <c r="Y729" s="10" t="str">
        <f aca="false">IFERROR(IF([2]对账明细接口!$T729=0,"",[2]对账明细接口!$T729),"")</f>
        <v/>
      </c>
      <c r="Z729" s="113" t="str">
        <f aca="false">IFERROR(IF([2]对账明细接口!$U729=0,"",[2]对账明细接口!$U729),"")</f>
        <v/>
      </c>
      <c r="AA729" s="113" t="str">
        <f aca="false">IFERROR(IF([2]对账明细接口!$V729=0,"",[2]对账明细接口!$V729),"")</f>
        <v/>
      </c>
      <c r="AB729" s="10" t="str">
        <f aca="false">IFERROR(IF([2]对账明细接口!$W729=0,"",[2]对账明细接口!$W729),"")</f>
        <v/>
      </c>
      <c r="AC729" s="90" t="str">
        <f aca="false">IFERROR(IF([2]对账明细接口!$X730=0,"",[2]对账明细接口!$X730),"")</f>
        <v/>
      </c>
      <c r="AD729" s="90" t="str">
        <f aca="false">IFERROR(IF([2]对账明细接口!$Y730=0,"",[2]对账明细接口!$Y730),"")</f>
        <v/>
      </c>
      <c r="AE729" s="90" t="str">
        <f aca="false">IFERROR(IF([2]对账明细接口!$AA730=0,"",[2]对账明细接口!$AA730),"")</f>
        <v/>
      </c>
      <c r="AF729" s="90" t="str">
        <f aca="false">IFERROR(IF([2]对账明细接口!$AB730=0,"",[2]对账明细接口!$AB730),"")</f>
        <v/>
      </c>
      <c r="AG729" s="90" t="str">
        <f aca="false">IFERROR(IF([2]对账明细接口!$AC730=0,"",[2]对账明细接口!$AC730),"")</f>
        <v/>
      </c>
      <c r="AH729" s="90" t="str">
        <f aca="false">IFERROR(IF([2]对账明细接口!$AD730=0,"",[2]对账明细接口!$AD730),"")</f>
        <v/>
      </c>
    </row>
    <row r="730" customFormat="false" ht="13.5" hidden="false" customHeight="false" outlineLevel="0" collapsed="false">
      <c r="A730" s="109" t="n">
        <v>730</v>
      </c>
      <c r="B730" s="110" t="str">
        <f aca="false">IFERROR(IF([2]对账明细接口!$B$730=0,"",[2]对账明细接口!$B$730),"")</f>
        <v/>
      </c>
      <c r="C730" s="59" t="str">
        <f aca="false">IFERROR(IF([2]对账明细接口!$C$730=0,"",[2]对账明细接口!$C$730),"")</f>
        <v/>
      </c>
      <c r="D730" s="59" t="str">
        <f aca="false">IFERROR(IF([2]对账明细接口!$D$730=0,"",[2]对账明细接口!$D$730),"")</f>
        <v/>
      </c>
      <c r="E730" s="59" t="str">
        <f aca="false">IFERROR(IF([2]对账明细接口!$E$730=0,"",[2]对账明细接口!$E$730),"")</f>
        <v/>
      </c>
      <c r="F730" s="59" t="str">
        <f aca="false">IFERROR(IF([2]对账明细接口!$F$730=0,"",[2]对账明细接口!$F$730),"")</f>
        <v/>
      </c>
      <c r="G730" s="59" t="str">
        <f aca="false">IFERROR(IF([2]对账明细接口!$G$730=0,"",[2]对账明细接口!$G$730),"")</f>
        <v/>
      </c>
      <c r="H730" s="60" t="str">
        <f aca="false">IFERROR(IF([2]对账明细接口!$H$730=0,"",[2]对账明细接口!$H$730),"")</f>
        <v/>
      </c>
      <c r="I730" s="59" t="str">
        <f aca="false">IFERROR(IF([2]对账明细接口!$I$730=0,"",[2]对账明细接口!$I$730),"")</f>
        <v/>
      </c>
      <c r="J730" s="61" t="str">
        <f aca="false">IFERROR(IF([2]对账明细接口!$J$730=0,"",[2]对账明细接口!$J$730),"")</f>
        <v/>
      </c>
      <c r="K730" s="61" t="str">
        <f aca="false">IFERROR(IF([2]对账明细接口!$K$730=0,"",[2]对账明细接口!$K$730),"")</f>
        <v/>
      </c>
      <c r="L730" s="59" t="str">
        <f aca="false">IFERROR(IF([2]对账明细接口!$L$730=0,"",[2]对账明细接口!$L$730),"")</f>
        <v/>
      </c>
      <c r="M730" s="59" t="str">
        <f aca="false">IFERROR(IF([2]对账明细接口!$M$730=0,"",[2]对账明细接口!$M$730),"")</f>
        <v/>
      </c>
      <c r="N730" s="111" t="n">
        <f aca="false">IF($C730="",0,1)</f>
        <v>0</v>
      </c>
      <c r="O730" s="111" t="n">
        <f aca="false">N(O729)+$N730</f>
        <v>311</v>
      </c>
      <c r="S730" s="10" t="str">
        <f aca="false">IFERROR(IF([2]对账明细接口!$N730=0,"",[2]对账明细接口!$N730),"")</f>
        <v/>
      </c>
      <c r="T730" s="112" t="str">
        <f aca="false">IFERROR(IF([2]对账明细接口!$O730=0,"",[2]对账明细接口!$O730),"")</f>
        <v/>
      </c>
      <c r="U730" s="112" t="str">
        <f aca="false">IFERROR(IF([2]对账明细接口!$P730=0,"",[2]对账明细接口!$P730),"")</f>
        <v/>
      </c>
      <c r="V730" s="112" t="str">
        <f aca="false">IFERROR(IF([2]对账明细接口!$Q730=0,"",[2]对账明细接口!$Q730),"")</f>
        <v/>
      </c>
      <c r="W730" s="10" t="str">
        <f aca="false">IFERROR(IF([2]对账明细接口!$R730=0,"",[2]对账明细接口!$R730),"")</f>
        <v/>
      </c>
      <c r="X730" s="10" t="str">
        <f aca="false">IFERROR(IF([2]对账明细接口!$S730=0,"",[2]对账明细接口!$S730),"")</f>
        <v/>
      </c>
      <c r="Y730" s="10" t="str">
        <f aca="false">IFERROR(IF([2]对账明细接口!$T730=0,"",[2]对账明细接口!$T730),"")</f>
        <v/>
      </c>
      <c r="Z730" s="113" t="str">
        <f aca="false">IFERROR(IF([2]对账明细接口!$U730=0,"",[2]对账明细接口!$U730),"")</f>
        <v/>
      </c>
      <c r="AA730" s="113" t="str">
        <f aca="false">IFERROR(IF([2]对账明细接口!$V730=0,"",[2]对账明细接口!$V730),"")</f>
        <v/>
      </c>
      <c r="AB730" s="10" t="str">
        <f aca="false">IFERROR(IF([2]对账明细接口!$W730=0,"",[2]对账明细接口!$W730),"")</f>
        <v/>
      </c>
      <c r="AC730" s="90" t="str">
        <f aca="false">IFERROR(IF([2]对账明细接口!$X731=0,"",[2]对账明细接口!$X731),"")</f>
        <v/>
      </c>
      <c r="AD730" s="90" t="str">
        <f aca="false">IFERROR(IF([2]对账明细接口!$Y731=0,"",[2]对账明细接口!$Y731),"")</f>
        <v/>
      </c>
      <c r="AE730" s="90" t="str">
        <f aca="false">IFERROR(IF([2]对账明细接口!$AA731=0,"",[2]对账明细接口!$AA731),"")</f>
        <v/>
      </c>
      <c r="AF730" s="90" t="str">
        <f aca="false">IFERROR(IF([2]对账明细接口!$AB731=0,"",[2]对账明细接口!$AB731),"")</f>
        <v/>
      </c>
      <c r="AG730" s="90" t="str">
        <f aca="false">IFERROR(IF([2]对账明细接口!$AC731=0,"",[2]对账明细接口!$AC731),"")</f>
        <v/>
      </c>
      <c r="AH730" s="90" t="str">
        <f aca="false">IFERROR(IF([2]对账明细接口!$AD731=0,"",[2]对账明细接口!$AD731),"")</f>
        <v/>
      </c>
    </row>
    <row r="731" customFormat="false" ht="13.5" hidden="false" customHeight="false" outlineLevel="0" collapsed="false">
      <c r="A731" s="109" t="n">
        <v>731</v>
      </c>
      <c r="B731" s="110" t="str">
        <f aca="false">IFERROR(IF([2]对账明细接口!$B$731=0,"",[2]对账明细接口!$B$731),"")</f>
        <v/>
      </c>
      <c r="C731" s="59" t="str">
        <f aca="false">IFERROR(IF([2]对账明细接口!$C$731=0,"",[2]对账明细接口!$C$731),"")</f>
        <v/>
      </c>
      <c r="D731" s="59" t="str">
        <f aca="false">IFERROR(IF([2]对账明细接口!$D$731=0,"",[2]对账明细接口!$D$731),"")</f>
        <v/>
      </c>
      <c r="E731" s="59" t="str">
        <f aca="false">IFERROR(IF([2]对账明细接口!$E$731=0,"",[2]对账明细接口!$E$731),"")</f>
        <v/>
      </c>
      <c r="F731" s="59" t="str">
        <f aca="false">IFERROR(IF([2]对账明细接口!$F$731=0,"",[2]对账明细接口!$F$731),"")</f>
        <v/>
      </c>
      <c r="G731" s="59" t="str">
        <f aca="false">IFERROR(IF([2]对账明细接口!$G$731=0,"",[2]对账明细接口!$G$731),"")</f>
        <v/>
      </c>
      <c r="H731" s="60" t="str">
        <f aca="false">IFERROR(IF([2]对账明细接口!$H$731=0,"",[2]对账明细接口!$H$731),"")</f>
        <v/>
      </c>
      <c r="I731" s="59" t="str">
        <f aca="false">IFERROR(IF([2]对账明细接口!$I$731=0,"",[2]对账明细接口!$I$731),"")</f>
        <v/>
      </c>
      <c r="J731" s="61" t="str">
        <f aca="false">IFERROR(IF([2]对账明细接口!$J$731=0,"",[2]对账明细接口!$J$731),"")</f>
        <v/>
      </c>
      <c r="K731" s="61" t="str">
        <f aca="false">IFERROR(IF([2]对账明细接口!$K$731=0,"",[2]对账明细接口!$K$731),"")</f>
        <v/>
      </c>
      <c r="L731" s="59" t="str">
        <f aca="false">IFERROR(IF([2]对账明细接口!$L$731=0,"",[2]对账明细接口!$L$731),"")</f>
        <v/>
      </c>
      <c r="M731" s="59" t="str">
        <f aca="false">IFERROR(IF([2]对账明细接口!$M$731=0,"",[2]对账明细接口!$M$731),"")</f>
        <v/>
      </c>
      <c r="N731" s="111" t="n">
        <f aca="false">IF($C731="",0,1)</f>
        <v>0</v>
      </c>
      <c r="O731" s="111" t="n">
        <f aca="false">N(O730)+$N731</f>
        <v>311</v>
      </c>
      <c r="S731" s="10" t="str">
        <f aca="false">IFERROR(IF([2]对账明细接口!$N731=0,"",[2]对账明细接口!$N731),"")</f>
        <v/>
      </c>
      <c r="T731" s="112" t="str">
        <f aca="false">IFERROR(IF([2]对账明细接口!$O731=0,"",[2]对账明细接口!$O731),"")</f>
        <v/>
      </c>
      <c r="U731" s="112" t="str">
        <f aca="false">IFERROR(IF([2]对账明细接口!$P731=0,"",[2]对账明细接口!$P731),"")</f>
        <v/>
      </c>
      <c r="V731" s="112" t="str">
        <f aca="false">IFERROR(IF([2]对账明细接口!$Q731=0,"",[2]对账明细接口!$Q731),"")</f>
        <v/>
      </c>
      <c r="W731" s="10" t="str">
        <f aca="false">IFERROR(IF([2]对账明细接口!$R731=0,"",[2]对账明细接口!$R731),"")</f>
        <v/>
      </c>
      <c r="X731" s="10" t="str">
        <f aca="false">IFERROR(IF([2]对账明细接口!$S731=0,"",[2]对账明细接口!$S731),"")</f>
        <v/>
      </c>
      <c r="Y731" s="10" t="str">
        <f aca="false">IFERROR(IF([2]对账明细接口!$T731=0,"",[2]对账明细接口!$T731),"")</f>
        <v/>
      </c>
      <c r="Z731" s="113" t="str">
        <f aca="false">IFERROR(IF([2]对账明细接口!$U731=0,"",[2]对账明细接口!$U731),"")</f>
        <v/>
      </c>
      <c r="AA731" s="113" t="str">
        <f aca="false">IFERROR(IF([2]对账明细接口!$V731=0,"",[2]对账明细接口!$V731),"")</f>
        <v/>
      </c>
      <c r="AB731" s="10" t="str">
        <f aca="false">IFERROR(IF([2]对账明细接口!$W731=0,"",[2]对账明细接口!$W731),"")</f>
        <v/>
      </c>
      <c r="AC731" s="90" t="str">
        <f aca="false">IFERROR(IF([2]对账明细接口!$X732=0,"",[2]对账明细接口!$X732),"")</f>
        <v/>
      </c>
      <c r="AD731" s="90" t="str">
        <f aca="false">IFERROR(IF([2]对账明细接口!$Y732=0,"",[2]对账明细接口!$Y732),"")</f>
        <v/>
      </c>
      <c r="AE731" s="90" t="str">
        <f aca="false">IFERROR(IF([2]对账明细接口!$AA732=0,"",[2]对账明细接口!$AA732),"")</f>
        <v/>
      </c>
      <c r="AF731" s="90" t="str">
        <f aca="false">IFERROR(IF([2]对账明细接口!$AB732=0,"",[2]对账明细接口!$AB732),"")</f>
        <v/>
      </c>
      <c r="AG731" s="90" t="str">
        <f aca="false">IFERROR(IF([2]对账明细接口!$AC732=0,"",[2]对账明细接口!$AC732),"")</f>
        <v/>
      </c>
      <c r="AH731" s="90" t="str">
        <f aca="false">IFERROR(IF([2]对账明细接口!$AD732=0,"",[2]对账明细接口!$AD732),"")</f>
        <v/>
      </c>
    </row>
    <row r="732" customFormat="false" ht="13.5" hidden="false" customHeight="false" outlineLevel="0" collapsed="false">
      <c r="A732" s="109" t="n">
        <v>732</v>
      </c>
      <c r="B732" s="110" t="str">
        <f aca="false">IFERROR(IF([2]对账明细接口!$B$732=0,"",[2]对账明细接口!$B$732),"")</f>
        <v/>
      </c>
      <c r="C732" s="59" t="str">
        <f aca="false">IFERROR(IF([2]对账明细接口!$C$732=0,"",[2]对账明细接口!$C$732),"")</f>
        <v/>
      </c>
      <c r="D732" s="59" t="str">
        <f aca="false">IFERROR(IF([2]对账明细接口!$D$732=0,"",[2]对账明细接口!$D$732),"")</f>
        <v/>
      </c>
      <c r="E732" s="59" t="str">
        <f aca="false">IFERROR(IF([2]对账明细接口!$E$732=0,"",[2]对账明细接口!$E$732),"")</f>
        <v/>
      </c>
      <c r="F732" s="59" t="str">
        <f aca="false">IFERROR(IF([2]对账明细接口!$F$732=0,"",[2]对账明细接口!$F$732),"")</f>
        <v/>
      </c>
      <c r="G732" s="59" t="str">
        <f aca="false">IFERROR(IF([2]对账明细接口!$G$732=0,"",[2]对账明细接口!$G$732),"")</f>
        <v/>
      </c>
      <c r="H732" s="60" t="str">
        <f aca="false">IFERROR(IF([2]对账明细接口!$H$732=0,"",[2]对账明细接口!$H$732),"")</f>
        <v/>
      </c>
      <c r="I732" s="59" t="str">
        <f aca="false">IFERROR(IF([2]对账明细接口!$I$732=0,"",[2]对账明细接口!$I$732),"")</f>
        <v/>
      </c>
      <c r="J732" s="61" t="str">
        <f aca="false">IFERROR(IF([2]对账明细接口!$J$732=0,"",[2]对账明细接口!$J$732),"")</f>
        <v/>
      </c>
      <c r="K732" s="61" t="str">
        <f aca="false">IFERROR(IF([2]对账明细接口!$K$732=0,"",[2]对账明细接口!$K$732),"")</f>
        <v/>
      </c>
      <c r="L732" s="59" t="str">
        <f aca="false">IFERROR(IF([2]对账明细接口!$L$732=0,"",[2]对账明细接口!$L$732),"")</f>
        <v/>
      </c>
      <c r="M732" s="59" t="str">
        <f aca="false">IFERROR(IF([2]对账明细接口!$M$732=0,"",[2]对账明细接口!$M$732),"")</f>
        <v/>
      </c>
      <c r="N732" s="111" t="n">
        <f aca="false">IF($C732="",0,1)</f>
        <v>0</v>
      </c>
      <c r="O732" s="111" t="n">
        <f aca="false">N(O731)+$N732</f>
        <v>311</v>
      </c>
      <c r="S732" s="10" t="str">
        <f aca="false">IFERROR(IF([2]对账明细接口!$N732=0,"",[2]对账明细接口!$N732),"")</f>
        <v/>
      </c>
      <c r="T732" s="112" t="str">
        <f aca="false">IFERROR(IF([2]对账明细接口!$O732=0,"",[2]对账明细接口!$O732),"")</f>
        <v/>
      </c>
      <c r="U732" s="112" t="str">
        <f aca="false">IFERROR(IF([2]对账明细接口!$P732=0,"",[2]对账明细接口!$P732),"")</f>
        <v/>
      </c>
      <c r="V732" s="112" t="str">
        <f aca="false">IFERROR(IF([2]对账明细接口!$Q732=0,"",[2]对账明细接口!$Q732),"")</f>
        <v/>
      </c>
      <c r="W732" s="10" t="str">
        <f aca="false">IFERROR(IF([2]对账明细接口!$R732=0,"",[2]对账明细接口!$R732),"")</f>
        <v/>
      </c>
      <c r="X732" s="10" t="str">
        <f aca="false">IFERROR(IF([2]对账明细接口!$S732=0,"",[2]对账明细接口!$S732),"")</f>
        <v/>
      </c>
      <c r="Y732" s="10" t="str">
        <f aca="false">IFERROR(IF([2]对账明细接口!$T732=0,"",[2]对账明细接口!$T732),"")</f>
        <v/>
      </c>
      <c r="Z732" s="113" t="str">
        <f aca="false">IFERROR(IF([2]对账明细接口!$U732=0,"",[2]对账明细接口!$U732),"")</f>
        <v/>
      </c>
      <c r="AA732" s="113" t="str">
        <f aca="false">IFERROR(IF([2]对账明细接口!$V732=0,"",[2]对账明细接口!$V732),"")</f>
        <v/>
      </c>
      <c r="AB732" s="10" t="str">
        <f aca="false">IFERROR(IF([2]对账明细接口!$W732=0,"",[2]对账明细接口!$W732),"")</f>
        <v/>
      </c>
      <c r="AC732" s="90" t="str">
        <f aca="false">IFERROR(IF([2]对账明细接口!$X733=0,"",[2]对账明细接口!$X733),"")</f>
        <v/>
      </c>
      <c r="AD732" s="90" t="str">
        <f aca="false">IFERROR(IF([2]对账明细接口!$Y733=0,"",[2]对账明细接口!$Y733),"")</f>
        <v/>
      </c>
      <c r="AE732" s="90" t="str">
        <f aca="false">IFERROR(IF([2]对账明细接口!$AA733=0,"",[2]对账明细接口!$AA733),"")</f>
        <v/>
      </c>
      <c r="AF732" s="90" t="str">
        <f aca="false">IFERROR(IF([2]对账明细接口!$AB733=0,"",[2]对账明细接口!$AB733),"")</f>
        <v/>
      </c>
      <c r="AG732" s="90" t="str">
        <f aca="false">IFERROR(IF([2]对账明细接口!$AC733=0,"",[2]对账明细接口!$AC733),"")</f>
        <v/>
      </c>
      <c r="AH732" s="90" t="str">
        <f aca="false">IFERROR(IF([2]对账明细接口!$AD733=0,"",[2]对账明细接口!$AD733),"")</f>
        <v/>
      </c>
    </row>
    <row r="733" customFormat="false" ht="13.5" hidden="false" customHeight="false" outlineLevel="0" collapsed="false">
      <c r="A733" s="109" t="n">
        <v>733</v>
      </c>
      <c r="B733" s="110" t="str">
        <f aca="false">IFERROR(IF([2]对账明细接口!$B$733=0,"",[2]对账明细接口!$B$733),"")</f>
        <v/>
      </c>
      <c r="C733" s="59" t="str">
        <f aca="false">IFERROR(IF([2]对账明细接口!$C$733=0,"",[2]对账明细接口!$C$733),"")</f>
        <v/>
      </c>
      <c r="D733" s="59" t="str">
        <f aca="false">IFERROR(IF([2]对账明细接口!$D$733=0,"",[2]对账明细接口!$D$733),"")</f>
        <v/>
      </c>
      <c r="E733" s="59" t="str">
        <f aca="false">IFERROR(IF([2]对账明细接口!$E$733=0,"",[2]对账明细接口!$E$733),"")</f>
        <v/>
      </c>
      <c r="F733" s="59" t="str">
        <f aca="false">IFERROR(IF([2]对账明细接口!$F$733=0,"",[2]对账明细接口!$F$733),"")</f>
        <v/>
      </c>
      <c r="G733" s="59" t="str">
        <f aca="false">IFERROR(IF([2]对账明细接口!$G$733=0,"",[2]对账明细接口!$G$733),"")</f>
        <v/>
      </c>
      <c r="H733" s="60" t="str">
        <f aca="false">IFERROR(IF([2]对账明细接口!$H$733=0,"",[2]对账明细接口!$H$733),"")</f>
        <v/>
      </c>
      <c r="I733" s="59" t="str">
        <f aca="false">IFERROR(IF([2]对账明细接口!$I$733=0,"",[2]对账明细接口!$I$733),"")</f>
        <v/>
      </c>
      <c r="J733" s="61" t="str">
        <f aca="false">IFERROR(IF([2]对账明细接口!$J$733=0,"",[2]对账明细接口!$J$733),"")</f>
        <v/>
      </c>
      <c r="K733" s="61" t="str">
        <f aca="false">IFERROR(IF([2]对账明细接口!$K$733=0,"",[2]对账明细接口!$K$733),"")</f>
        <v/>
      </c>
      <c r="L733" s="59" t="str">
        <f aca="false">IFERROR(IF([2]对账明细接口!$L$733=0,"",[2]对账明细接口!$L$733),"")</f>
        <v/>
      </c>
      <c r="M733" s="59" t="str">
        <f aca="false">IFERROR(IF([2]对账明细接口!$M$733=0,"",[2]对账明细接口!$M$733),"")</f>
        <v/>
      </c>
      <c r="N733" s="111" t="n">
        <f aca="false">IF($C733="",0,1)</f>
        <v>0</v>
      </c>
      <c r="O733" s="111" t="n">
        <f aca="false">N(O732)+$N733</f>
        <v>311</v>
      </c>
      <c r="S733" s="10" t="str">
        <f aca="false">IFERROR(IF([2]对账明细接口!$N733=0,"",[2]对账明细接口!$N733),"")</f>
        <v/>
      </c>
      <c r="T733" s="112" t="str">
        <f aca="false">IFERROR(IF([2]对账明细接口!$O733=0,"",[2]对账明细接口!$O733),"")</f>
        <v/>
      </c>
      <c r="U733" s="112" t="str">
        <f aca="false">IFERROR(IF([2]对账明细接口!$P733=0,"",[2]对账明细接口!$P733),"")</f>
        <v/>
      </c>
      <c r="V733" s="112" t="str">
        <f aca="false">IFERROR(IF([2]对账明细接口!$Q733=0,"",[2]对账明细接口!$Q733),"")</f>
        <v/>
      </c>
      <c r="W733" s="10" t="str">
        <f aca="false">IFERROR(IF([2]对账明细接口!$R733=0,"",[2]对账明细接口!$R733),"")</f>
        <v/>
      </c>
      <c r="X733" s="10" t="str">
        <f aca="false">IFERROR(IF([2]对账明细接口!$S733=0,"",[2]对账明细接口!$S733),"")</f>
        <v/>
      </c>
      <c r="Y733" s="10" t="str">
        <f aca="false">IFERROR(IF([2]对账明细接口!$T733=0,"",[2]对账明细接口!$T733),"")</f>
        <v/>
      </c>
      <c r="Z733" s="113" t="str">
        <f aca="false">IFERROR(IF([2]对账明细接口!$U733=0,"",[2]对账明细接口!$U733),"")</f>
        <v/>
      </c>
      <c r="AA733" s="113" t="str">
        <f aca="false">IFERROR(IF([2]对账明细接口!$V733=0,"",[2]对账明细接口!$V733),"")</f>
        <v/>
      </c>
      <c r="AB733" s="10" t="str">
        <f aca="false">IFERROR(IF([2]对账明细接口!$W733=0,"",[2]对账明细接口!$W733),"")</f>
        <v/>
      </c>
      <c r="AC733" s="90" t="str">
        <f aca="false">IFERROR(IF([2]对账明细接口!$X734=0,"",[2]对账明细接口!$X734),"")</f>
        <v/>
      </c>
      <c r="AD733" s="90" t="str">
        <f aca="false">IFERROR(IF([2]对账明细接口!$Y734=0,"",[2]对账明细接口!$Y734),"")</f>
        <v/>
      </c>
      <c r="AE733" s="90" t="str">
        <f aca="false">IFERROR(IF([2]对账明细接口!$AA734=0,"",[2]对账明细接口!$AA734),"")</f>
        <v/>
      </c>
      <c r="AF733" s="90" t="str">
        <f aca="false">IFERROR(IF([2]对账明细接口!$AB734=0,"",[2]对账明细接口!$AB734),"")</f>
        <v/>
      </c>
      <c r="AG733" s="90" t="str">
        <f aca="false">IFERROR(IF([2]对账明细接口!$AC734=0,"",[2]对账明细接口!$AC734),"")</f>
        <v/>
      </c>
      <c r="AH733" s="90" t="str">
        <f aca="false">IFERROR(IF([2]对账明细接口!$AD734=0,"",[2]对账明细接口!$AD734),"")</f>
        <v/>
      </c>
    </row>
    <row r="734" customFormat="false" ht="13.5" hidden="false" customHeight="false" outlineLevel="0" collapsed="false">
      <c r="A734" s="109" t="n">
        <v>734</v>
      </c>
      <c r="B734" s="110" t="str">
        <f aca="false">IFERROR(IF([2]对账明细接口!$B$734=0,"",[2]对账明细接口!$B$734),"")</f>
        <v/>
      </c>
      <c r="C734" s="59" t="str">
        <f aca="false">IFERROR(IF([2]对账明细接口!$C$734=0,"",[2]对账明细接口!$C$734),"")</f>
        <v/>
      </c>
      <c r="D734" s="59" t="str">
        <f aca="false">IFERROR(IF([2]对账明细接口!$D$734=0,"",[2]对账明细接口!$D$734),"")</f>
        <v/>
      </c>
      <c r="E734" s="59" t="str">
        <f aca="false">IFERROR(IF([2]对账明细接口!$E$734=0,"",[2]对账明细接口!$E$734),"")</f>
        <v/>
      </c>
      <c r="F734" s="59" t="str">
        <f aca="false">IFERROR(IF([2]对账明细接口!$F$734=0,"",[2]对账明细接口!$F$734),"")</f>
        <v/>
      </c>
      <c r="G734" s="59" t="str">
        <f aca="false">IFERROR(IF([2]对账明细接口!$G$734=0,"",[2]对账明细接口!$G$734),"")</f>
        <v/>
      </c>
      <c r="H734" s="60" t="str">
        <f aca="false">IFERROR(IF([2]对账明细接口!$H$734=0,"",[2]对账明细接口!$H$734),"")</f>
        <v/>
      </c>
      <c r="I734" s="59" t="str">
        <f aca="false">IFERROR(IF([2]对账明细接口!$I$734=0,"",[2]对账明细接口!$I$734),"")</f>
        <v/>
      </c>
      <c r="J734" s="61" t="str">
        <f aca="false">IFERROR(IF([2]对账明细接口!$J$734=0,"",[2]对账明细接口!$J$734),"")</f>
        <v/>
      </c>
      <c r="K734" s="61" t="str">
        <f aca="false">IFERROR(IF([2]对账明细接口!$K$734=0,"",[2]对账明细接口!$K$734),"")</f>
        <v/>
      </c>
      <c r="L734" s="59" t="str">
        <f aca="false">IFERROR(IF([2]对账明细接口!$L$734=0,"",[2]对账明细接口!$L$734),"")</f>
        <v/>
      </c>
      <c r="M734" s="59" t="str">
        <f aca="false">IFERROR(IF([2]对账明细接口!$M$734=0,"",[2]对账明细接口!$M$734),"")</f>
        <v/>
      </c>
      <c r="N734" s="111" t="n">
        <f aca="false">IF($C734="",0,1)</f>
        <v>0</v>
      </c>
      <c r="O734" s="111" t="n">
        <f aca="false">N(O733)+$N734</f>
        <v>311</v>
      </c>
      <c r="S734" s="10" t="str">
        <f aca="false">IFERROR(IF([2]对账明细接口!$N734=0,"",[2]对账明细接口!$N734),"")</f>
        <v/>
      </c>
      <c r="T734" s="112" t="str">
        <f aca="false">IFERROR(IF([2]对账明细接口!$O734=0,"",[2]对账明细接口!$O734),"")</f>
        <v/>
      </c>
      <c r="U734" s="112" t="str">
        <f aca="false">IFERROR(IF([2]对账明细接口!$P734=0,"",[2]对账明细接口!$P734),"")</f>
        <v/>
      </c>
      <c r="V734" s="112" t="str">
        <f aca="false">IFERROR(IF([2]对账明细接口!$Q734=0,"",[2]对账明细接口!$Q734),"")</f>
        <v/>
      </c>
      <c r="W734" s="10" t="str">
        <f aca="false">IFERROR(IF([2]对账明细接口!$R734=0,"",[2]对账明细接口!$R734),"")</f>
        <v/>
      </c>
      <c r="X734" s="10" t="str">
        <f aca="false">IFERROR(IF([2]对账明细接口!$S734=0,"",[2]对账明细接口!$S734),"")</f>
        <v/>
      </c>
      <c r="Y734" s="10" t="str">
        <f aca="false">IFERROR(IF([2]对账明细接口!$T734=0,"",[2]对账明细接口!$T734),"")</f>
        <v/>
      </c>
      <c r="Z734" s="113" t="str">
        <f aca="false">IFERROR(IF([2]对账明细接口!$U734=0,"",[2]对账明细接口!$U734),"")</f>
        <v/>
      </c>
      <c r="AA734" s="113" t="str">
        <f aca="false">IFERROR(IF([2]对账明细接口!$V734=0,"",[2]对账明细接口!$V734),"")</f>
        <v/>
      </c>
      <c r="AB734" s="10" t="str">
        <f aca="false">IFERROR(IF([2]对账明细接口!$W734=0,"",[2]对账明细接口!$W734),"")</f>
        <v/>
      </c>
      <c r="AC734" s="90" t="str">
        <f aca="false">IFERROR(IF([2]对账明细接口!$X735=0,"",[2]对账明细接口!$X735),"")</f>
        <v/>
      </c>
      <c r="AD734" s="90" t="str">
        <f aca="false">IFERROR(IF([2]对账明细接口!$Y735=0,"",[2]对账明细接口!$Y735),"")</f>
        <v/>
      </c>
      <c r="AE734" s="90" t="str">
        <f aca="false">IFERROR(IF([2]对账明细接口!$AA735=0,"",[2]对账明细接口!$AA735),"")</f>
        <v/>
      </c>
      <c r="AF734" s="90" t="str">
        <f aca="false">IFERROR(IF([2]对账明细接口!$AB735=0,"",[2]对账明细接口!$AB735),"")</f>
        <v/>
      </c>
      <c r="AG734" s="90" t="str">
        <f aca="false">IFERROR(IF([2]对账明细接口!$AC735=0,"",[2]对账明细接口!$AC735),"")</f>
        <v/>
      </c>
      <c r="AH734" s="90" t="str">
        <f aca="false">IFERROR(IF([2]对账明细接口!$AD735=0,"",[2]对账明细接口!$AD735),"")</f>
        <v/>
      </c>
    </row>
    <row r="735" customFormat="false" ht="13.5" hidden="false" customHeight="false" outlineLevel="0" collapsed="false">
      <c r="A735" s="109" t="n">
        <v>735</v>
      </c>
      <c r="B735" s="110" t="str">
        <f aca="false">IFERROR(IF([2]对账明细接口!$B$735=0,"",[2]对账明细接口!$B$735),"")</f>
        <v/>
      </c>
      <c r="C735" s="59" t="str">
        <f aca="false">IFERROR(IF([2]对账明细接口!$C$735=0,"",[2]对账明细接口!$C$735),"")</f>
        <v/>
      </c>
      <c r="D735" s="59" t="str">
        <f aca="false">IFERROR(IF([2]对账明细接口!$D$735=0,"",[2]对账明细接口!$D$735),"")</f>
        <v/>
      </c>
      <c r="E735" s="59" t="str">
        <f aca="false">IFERROR(IF([2]对账明细接口!$E$735=0,"",[2]对账明细接口!$E$735),"")</f>
        <v/>
      </c>
      <c r="F735" s="59" t="str">
        <f aca="false">IFERROR(IF([2]对账明细接口!$F$735=0,"",[2]对账明细接口!$F$735),"")</f>
        <v/>
      </c>
      <c r="G735" s="59" t="str">
        <f aca="false">IFERROR(IF([2]对账明细接口!$G$735=0,"",[2]对账明细接口!$G$735),"")</f>
        <v/>
      </c>
      <c r="H735" s="60" t="str">
        <f aca="false">IFERROR(IF([2]对账明细接口!$H$735=0,"",[2]对账明细接口!$H$735),"")</f>
        <v/>
      </c>
      <c r="I735" s="59" t="str">
        <f aca="false">IFERROR(IF([2]对账明细接口!$I$735=0,"",[2]对账明细接口!$I$735),"")</f>
        <v/>
      </c>
      <c r="J735" s="61" t="str">
        <f aca="false">IFERROR(IF([2]对账明细接口!$J$735=0,"",[2]对账明细接口!$J$735),"")</f>
        <v/>
      </c>
      <c r="K735" s="61" t="str">
        <f aca="false">IFERROR(IF([2]对账明细接口!$K$735=0,"",[2]对账明细接口!$K$735),"")</f>
        <v/>
      </c>
      <c r="L735" s="59" t="str">
        <f aca="false">IFERROR(IF([2]对账明细接口!$L$735=0,"",[2]对账明细接口!$L$735),"")</f>
        <v/>
      </c>
      <c r="M735" s="59" t="str">
        <f aca="false">IFERROR(IF([2]对账明细接口!$M$735=0,"",[2]对账明细接口!$M$735),"")</f>
        <v/>
      </c>
      <c r="N735" s="111" t="n">
        <f aca="false">IF($C735="",0,1)</f>
        <v>0</v>
      </c>
      <c r="O735" s="111" t="n">
        <f aca="false">N(O734)+$N735</f>
        <v>311</v>
      </c>
      <c r="S735" s="10" t="str">
        <f aca="false">IFERROR(IF([2]对账明细接口!$N735=0,"",[2]对账明细接口!$N735),"")</f>
        <v/>
      </c>
      <c r="T735" s="112" t="str">
        <f aca="false">IFERROR(IF([2]对账明细接口!$O735=0,"",[2]对账明细接口!$O735),"")</f>
        <v/>
      </c>
      <c r="U735" s="112" t="str">
        <f aca="false">IFERROR(IF([2]对账明细接口!$P735=0,"",[2]对账明细接口!$P735),"")</f>
        <v/>
      </c>
      <c r="V735" s="112" t="str">
        <f aca="false">IFERROR(IF([2]对账明细接口!$Q735=0,"",[2]对账明细接口!$Q735),"")</f>
        <v/>
      </c>
      <c r="W735" s="10" t="str">
        <f aca="false">IFERROR(IF([2]对账明细接口!$R735=0,"",[2]对账明细接口!$R735),"")</f>
        <v/>
      </c>
      <c r="X735" s="10" t="str">
        <f aca="false">IFERROR(IF([2]对账明细接口!$S735=0,"",[2]对账明细接口!$S735),"")</f>
        <v/>
      </c>
      <c r="Y735" s="10" t="str">
        <f aca="false">IFERROR(IF([2]对账明细接口!$T735=0,"",[2]对账明细接口!$T735),"")</f>
        <v/>
      </c>
      <c r="Z735" s="113" t="str">
        <f aca="false">IFERROR(IF([2]对账明细接口!$U735=0,"",[2]对账明细接口!$U735),"")</f>
        <v/>
      </c>
      <c r="AA735" s="113" t="str">
        <f aca="false">IFERROR(IF([2]对账明细接口!$V735=0,"",[2]对账明细接口!$V735),"")</f>
        <v/>
      </c>
      <c r="AB735" s="10" t="str">
        <f aca="false">IFERROR(IF([2]对账明细接口!$W735=0,"",[2]对账明细接口!$W735),"")</f>
        <v/>
      </c>
      <c r="AC735" s="90" t="str">
        <f aca="false">IFERROR(IF([2]对账明细接口!$X736=0,"",[2]对账明细接口!$X736),"")</f>
        <v/>
      </c>
      <c r="AD735" s="90" t="str">
        <f aca="false">IFERROR(IF([2]对账明细接口!$Y736=0,"",[2]对账明细接口!$Y736),"")</f>
        <v/>
      </c>
      <c r="AE735" s="90" t="str">
        <f aca="false">IFERROR(IF([2]对账明细接口!$AA736=0,"",[2]对账明细接口!$AA736),"")</f>
        <v/>
      </c>
      <c r="AF735" s="90" t="str">
        <f aca="false">IFERROR(IF([2]对账明细接口!$AB736=0,"",[2]对账明细接口!$AB736),"")</f>
        <v/>
      </c>
      <c r="AG735" s="90" t="str">
        <f aca="false">IFERROR(IF([2]对账明细接口!$AC736=0,"",[2]对账明细接口!$AC736),"")</f>
        <v/>
      </c>
      <c r="AH735" s="90" t="str">
        <f aca="false">IFERROR(IF([2]对账明细接口!$AD736=0,"",[2]对账明细接口!$AD736),"")</f>
        <v/>
      </c>
    </row>
    <row r="736" customFormat="false" ht="13.5" hidden="false" customHeight="false" outlineLevel="0" collapsed="false">
      <c r="A736" s="109" t="n">
        <v>736</v>
      </c>
      <c r="B736" s="110" t="str">
        <f aca="false">IFERROR(IF([2]对账明细接口!$B$736=0,"",[2]对账明细接口!$B$736),"")</f>
        <v/>
      </c>
      <c r="C736" s="59" t="str">
        <f aca="false">IFERROR(IF([2]对账明细接口!$C$736=0,"",[2]对账明细接口!$C$736),"")</f>
        <v/>
      </c>
      <c r="D736" s="59" t="str">
        <f aca="false">IFERROR(IF([2]对账明细接口!$D$736=0,"",[2]对账明细接口!$D$736),"")</f>
        <v/>
      </c>
      <c r="E736" s="59" t="str">
        <f aca="false">IFERROR(IF([2]对账明细接口!$E$736=0,"",[2]对账明细接口!$E$736),"")</f>
        <v/>
      </c>
      <c r="F736" s="59" t="str">
        <f aca="false">IFERROR(IF([2]对账明细接口!$F$736=0,"",[2]对账明细接口!$F$736),"")</f>
        <v/>
      </c>
      <c r="G736" s="59" t="str">
        <f aca="false">IFERROR(IF([2]对账明细接口!$G$736=0,"",[2]对账明细接口!$G$736),"")</f>
        <v/>
      </c>
      <c r="H736" s="60" t="str">
        <f aca="false">IFERROR(IF([2]对账明细接口!$H$736=0,"",[2]对账明细接口!$H$736),"")</f>
        <v/>
      </c>
      <c r="I736" s="59" t="str">
        <f aca="false">IFERROR(IF([2]对账明细接口!$I$736=0,"",[2]对账明细接口!$I$736),"")</f>
        <v/>
      </c>
      <c r="J736" s="61" t="str">
        <f aca="false">IFERROR(IF([2]对账明细接口!$J$736=0,"",[2]对账明细接口!$J$736),"")</f>
        <v/>
      </c>
      <c r="K736" s="61" t="str">
        <f aca="false">IFERROR(IF([2]对账明细接口!$K$736=0,"",[2]对账明细接口!$K$736),"")</f>
        <v/>
      </c>
      <c r="L736" s="59" t="str">
        <f aca="false">IFERROR(IF([2]对账明细接口!$L$736=0,"",[2]对账明细接口!$L$736),"")</f>
        <v/>
      </c>
      <c r="M736" s="59" t="str">
        <f aca="false">IFERROR(IF([2]对账明细接口!$M$736=0,"",[2]对账明细接口!$M$736),"")</f>
        <v/>
      </c>
      <c r="N736" s="111" t="n">
        <f aca="false">IF($C736="",0,1)</f>
        <v>0</v>
      </c>
      <c r="O736" s="111" t="n">
        <f aca="false">N(O735)+$N736</f>
        <v>311</v>
      </c>
      <c r="S736" s="10" t="str">
        <f aca="false">IFERROR(IF([2]对账明细接口!$N736=0,"",[2]对账明细接口!$N736),"")</f>
        <v/>
      </c>
      <c r="T736" s="112" t="str">
        <f aca="false">IFERROR(IF([2]对账明细接口!$O736=0,"",[2]对账明细接口!$O736),"")</f>
        <v/>
      </c>
      <c r="U736" s="112" t="str">
        <f aca="false">IFERROR(IF([2]对账明细接口!$P736=0,"",[2]对账明细接口!$P736),"")</f>
        <v/>
      </c>
      <c r="V736" s="112" t="str">
        <f aca="false">IFERROR(IF([2]对账明细接口!$Q736=0,"",[2]对账明细接口!$Q736),"")</f>
        <v/>
      </c>
      <c r="W736" s="10" t="str">
        <f aca="false">IFERROR(IF([2]对账明细接口!$R736=0,"",[2]对账明细接口!$R736),"")</f>
        <v/>
      </c>
      <c r="X736" s="10" t="str">
        <f aca="false">IFERROR(IF([2]对账明细接口!$S736=0,"",[2]对账明细接口!$S736),"")</f>
        <v/>
      </c>
      <c r="Y736" s="10" t="str">
        <f aca="false">IFERROR(IF([2]对账明细接口!$T736=0,"",[2]对账明细接口!$T736),"")</f>
        <v/>
      </c>
      <c r="Z736" s="113" t="str">
        <f aca="false">IFERROR(IF([2]对账明细接口!$U736=0,"",[2]对账明细接口!$U736),"")</f>
        <v/>
      </c>
      <c r="AA736" s="113" t="str">
        <f aca="false">IFERROR(IF([2]对账明细接口!$V736=0,"",[2]对账明细接口!$V736),"")</f>
        <v/>
      </c>
      <c r="AB736" s="10" t="str">
        <f aca="false">IFERROR(IF([2]对账明细接口!$W736=0,"",[2]对账明细接口!$W736),"")</f>
        <v/>
      </c>
      <c r="AC736" s="90" t="str">
        <f aca="false">IFERROR(IF([2]对账明细接口!$X737=0,"",[2]对账明细接口!$X737),"")</f>
        <v/>
      </c>
      <c r="AD736" s="90" t="str">
        <f aca="false">IFERROR(IF([2]对账明细接口!$Y737=0,"",[2]对账明细接口!$Y737),"")</f>
        <v/>
      </c>
      <c r="AE736" s="90" t="str">
        <f aca="false">IFERROR(IF([2]对账明细接口!$AA737=0,"",[2]对账明细接口!$AA737),"")</f>
        <v/>
      </c>
      <c r="AF736" s="90" t="str">
        <f aca="false">IFERROR(IF([2]对账明细接口!$AB737=0,"",[2]对账明细接口!$AB737),"")</f>
        <v/>
      </c>
      <c r="AG736" s="90" t="str">
        <f aca="false">IFERROR(IF([2]对账明细接口!$AC737=0,"",[2]对账明细接口!$AC737),"")</f>
        <v/>
      </c>
      <c r="AH736" s="90" t="str">
        <f aca="false">IFERROR(IF([2]对账明细接口!$AD737=0,"",[2]对账明细接口!$AD737),"")</f>
        <v/>
      </c>
    </row>
    <row r="737" customFormat="false" ht="13.5" hidden="false" customHeight="false" outlineLevel="0" collapsed="false">
      <c r="A737" s="109" t="n">
        <v>737</v>
      </c>
      <c r="B737" s="110" t="str">
        <f aca="false">IFERROR(IF([2]对账明细接口!$B$737=0,"",[2]对账明细接口!$B$737),"")</f>
        <v/>
      </c>
      <c r="C737" s="59" t="str">
        <f aca="false">IFERROR(IF([2]对账明细接口!$C$737=0,"",[2]对账明细接口!$C$737),"")</f>
        <v/>
      </c>
      <c r="D737" s="59" t="str">
        <f aca="false">IFERROR(IF([2]对账明细接口!$D$737=0,"",[2]对账明细接口!$D$737),"")</f>
        <v/>
      </c>
      <c r="E737" s="59" t="str">
        <f aca="false">IFERROR(IF([2]对账明细接口!$E$737=0,"",[2]对账明细接口!$E$737),"")</f>
        <v/>
      </c>
      <c r="F737" s="59" t="str">
        <f aca="false">IFERROR(IF([2]对账明细接口!$F$737=0,"",[2]对账明细接口!$F$737),"")</f>
        <v/>
      </c>
      <c r="G737" s="59" t="str">
        <f aca="false">IFERROR(IF([2]对账明细接口!$G$737=0,"",[2]对账明细接口!$G$737),"")</f>
        <v/>
      </c>
      <c r="H737" s="60" t="str">
        <f aca="false">IFERROR(IF([2]对账明细接口!$H$737=0,"",[2]对账明细接口!$H$737),"")</f>
        <v/>
      </c>
      <c r="I737" s="59" t="str">
        <f aca="false">IFERROR(IF([2]对账明细接口!$I$737=0,"",[2]对账明细接口!$I$737),"")</f>
        <v/>
      </c>
      <c r="J737" s="61" t="str">
        <f aca="false">IFERROR(IF([2]对账明细接口!$J$737=0,"",[2]对账明细接口!$J$737),"")</f>
        <v/>
      </c>
      <c r="K737" s="61" t="str">
        <f aca="false">IFERROR(IF([2]对账明细接口!$K$737=0,"",[2]对账明细接口!$K$737),"")</f>
        <v/>
      </c>
      <c r="L737" s="59" t="str">
        <f aca="false">IFERROR(IF([2]对账明细接口!$L$737=0,"",[2]对账明细接口!$L$737),"")</f>
        <v/>
      </c>
      <c r="M737" s="59" t="str">
        <f aca="false">IFERROR(IF([2]对账明细接口!$M$737=0,"",[2]对账明细接口!$M$737),"")</f>
        <v/>
      </c>
      <c r="N737" s="111" t="n">
        <f aca="false">IF($C737="",0,1)</f>
        <v>0</v>
      </c>
      <c r="O737" s="111" t="n">
        <f aca="false">N(O736)+$N737</f>
        <v>311</v>
      </c>
      <c r="S737" s="10" t="str">
        <f aca="false">IFERROR(IF([2]对账明细接口!$N737=0,"",[2]对账明细接口!$N737),"")</f>
        <v/>
      </c>
      <c r="T737" s="112" t="str">
        <f aca="false">IFERROR(IF([2]对账明细接口!$O737=0,"",[2]对账明细接口!$O737),"")</f>
        <v/>
      </c>
      <c r="U737" s="112" t="str">
        <f aca="false">IFERROR(IF([2]对账明细接口!$P737=0,"",[2]对账明细接口!$P737),"")</f>
        <v/>
      </c>
      <c r="V737" s="112" t="str">
        <f aca="false">IFERROR(IF([2]对账明细接口!$Q737=0,"",[2]对账明细接口!$Q737),"")</f>
        <v/>
      </c>
      <c r="W737" s="10" t="str">
        <f aca="false">IFERROR(IF([2]对账明细接口!$R737=0,"",[2]对账明细接口!$R737),"")</f>
        <v/>
      </c>
      <c r="X737" s="10" t="str">
        <f aca="false">IFERROR(IF([2]对账明细接口!$S737=0,"",[2]对账明细接口!$S737),"")</f>
        <v/>
      </c>
      <c r="Y737" s="10" t="str">
        <f aca="false">IFERROR(IF([2]对账明细接口!$T737=0,"",[2]对账明细接口!$T737),"")</f>
        <v/>
      </c>
      <c r="Z737" s="113" t="str">
        <f aca="false">IFERROR(IF([2]对账明细接口!$U737=0,"",[2]对账明细接口!$U737),"")</f>
        <v/>
      </c>
      <c r="AA737" s="113" t="str">
        <f aca="false">IFERROR(IF([2]对账明细接口!$V737=0,"",[2]对账明细接口!$V737),"")</f>
        <v/>
      </c>
      <c r="AB737" s="10" t="str">
        <f aca="false">IFERROR(IF([2]对账明细接口!$W737=0,"",[2]对账明细接口!$W737),"")</f>
        <v/>
      </c>
      <c r="AC737" s="90" t="str">
        <f aca="false">IFERROR(IF([2]对账明细接口!$X738=0,"",[2]对账明细接口!$X738),"")</f>
        <v/>
      </c>
      <c r="AD737" s="90" t="str">
        <f aca="false">IFERROR(IF([2]对账明细接口!$Y738=0,"",[2]对账明细接口!$Y738),"")</f>
        <v/>
      </c>
      <c r="AE737" s="90" t="str">
        <f aca="false">IFERROR(IF([2]对账明细接口!$AA738=0,"",[2]对账明细接口!$AA738),"")</f>
        <v/>
      </c>
      <c r="AF737" s="90" t="str">
        <f aca="false">IFERROR(IF([2]对账明细接口!$AB738=0,"",[2]对账明细接口!$AB738),"")</f>
        <v/>
      </c>
      <c r="AG737" s="90" t="str">
        <f aca="false">IFERROR(IF([2]对账明细接口!$AC738=0,"",[2]对账明细接口!$AC738),"")</f>
        <v/>
      </c>
      <c r="AH737" s="90" t="str">
        <f aca="false">IFERROR(IF([2]对账明细接口!$AD738=0,"",[2]对账明细接口!$AD738),"")</f>
        <v/>
      </c>
    </row>
    <row r="738" customFormat="false" ht="13.5" hidden="false" customHeight="false" outlineLevel="0" collapsed="false">
      <c r="A738" s="109" t="n">
        <v>738</v>
      </c>
      <c r="B738" s="110" t="str">
        <f aca="false">IFERROR(IF([2]对账明细接口!$B$738=0,"",[2]对账明细接口!$B$738),"")</f>
        <v/>
      </c>
      <c r="C738" s="59" t="str">
        <f aca="false">IFERROR(IF([2]对账明细接口!$C$738=0,"",[2]对账明细接口!$C$738),"")</f>
        <v/>
      </c>
      <c r="D738" s="59" t="str">
        <f aca="false">IFERROR(IF([2]对账明细接口!$D$738=0,"",[2]对账明细接口!$D$738),"")</f>
        <v/>
      </c>
      <c r="E738" s="59" t="str">
        <f aca="false">IFERROR(IF([2]对账明细接口!$E$738=0,"",[2]对账明细接口!$E$738),"")</f>
        <v/>
      </c>
      <c r="F738" s="59" t="str">
        <f aca="false">IFERROR(IF([2]对账明细接口!$F$738=0,"",[2]对账明细接口!$F$738),"")</f>
        <v/>
      </c>
      <c r="G738" s="59" t="str">
        <f aca="false">IFERROR(IF([2]对账明细接口!$G$738=0,"",[2]对账明细接口!$G$738),"")</f>
        <v/>
      </c>
      <c r="H738" s="60" t="str">
        <f aca="false">IFERROR(IF([2]对账明细接口!$H$738=0,"",[2]对账明细接口!$H$738),"")</f>
        <v/>
      </c>
      <c r="I738" s="59" t="str">
        <f aca="false">IFERROR(IF([2]对账明细接口!$I$738=0,"",[2]对账明细接口!$I$738),"")</f>
        <v/>
      </c>
      <c r="J738" s="61" t="str">
        <f aca="false">IFERROR(IF([2]对账明细接口!$J$738=0,"",[2]对账明细接口!$J$738),"")</f>
        <v/>
      </c>
      <c r="K738" s="61" t="str">
        <f aca="false">IFERROR(IF([2]对账明细接口!$K$738=0,"",[2]对账明细接口!$K$738),"")</f>
        <v/>
      </c>
      <c r="L738" s="59" t="str">
        <f aca="false">IFERROR(IF([2]对账明细接口!$L$738=0,"",[2]对账明细接口!$L$738),"")</f>
        <v/>
      </c>
      <c r="M738" s="59" t="str">
        <f aca="false">IFERROR(IF([2]对账明细接口!$M$738=0,"",[2]对账明细接口!$M$738),"")</f>
        <v/>
      </c>
      <c r="N738" s="111" t="n">
        <f aca="false">IF($C738="",0,1)</f>
        <v>0</v>
      </c>
      <c r="O738" s="111" t="n">
        <f aca="false">N(O737)+$N738</f>
        <v>311</v>
      </c>
      <c r="S738" s="10" t="str">
        <f aca="false">IFERROR(IF([2]对账明细接口!$N738=0,"",[2]对账明细接口!$N738),"")</f>
        <v/>
      </c>
      <c r="T738" s="112" t="str">
        <f aca="false">IFERROR(IF([2]对账明细接口!$O738=0,"",[2]对账明细接口!$O738),"")</f>
        <v/>
      </c>
      <c r="U738" s="112" t="str">
        <f aca="false">IFERROR(IF([2]对账明细接口!$P738=0,"",[2]对账明细接口!$P738),"")</f>
        <v/>
      </c>
      <c r="V738" s="112" t="str">
        <f aca="false">IFERROR(IF([2]对账明细接口!$Q738=0,"",[2]对账明细接口!$Q738),"")</f>
        <v/>
      </c>
      <c r="W738" s="10" t="str">
        <f aca="false">IFERROR(IF([2]对账明细接口!$R738=0,"",[2]对账明细接口!$R738),"")</f>
        <v/>
      </c>
      <c r="X738" s="10" t="str">
        <f aca="false">IFERROR(IF([2]对账明细接口!$S738=0,"",[2]对账明细接口!$S738),"")</f>
        <v/>
      </c>
      <c r="Y738" s="10" t="str">
        <f aca="false">IFERROR(IF([2]对账明细接口!$T738=0,"",[2]对账明细接口!$T738),"")</f>
        <v/>
      </c>
      <c r="Z738" s="113" t="str">
        <f aca="false">IFERROR(IF([2]对账明细接口!$U738=0,"",[2]对账明细接口!$U738),"")</f>
        <v/>
      </c>
      <c r="AA738" s="113" t="str">
        <f aca="false">IFERROR(IF([2]对账明细接口!$V738=0,"",[2]对账明细接口!$V738),"")</f>
        <v/>
      </c>
      <c r="AB738" s="10" t="str">
        <f aca="false">IFERROR(IF([2]对账明细接口!$W738=0,"",[2]对账明细接口!$W738),"")</f>
        <v/>
      </c>
      <c r="AC738" s="90" t="str">
        <f aca="false">IFERROR(IF([2]对账明细接口!$X739=0,"",[2]对账明细接口!$X739),"")</f>
        <v/>
      </c>
      <c r="AD738" s="90" t="str">
        <f aca="false">IFERROR(IF([2]对账明细接口!$Y739=0,"",[2]对账明细接口!$Y739),"")</f>
        <v/>
      </c>
      <c r="AE738" s="90" t="str">
        <f aca="false">IFERROR(IF([2]对账明细接口!$AA739=0,"",[2]对账明细接口!$AA739),"")</f>
        <v/>
      </c>
      <c r="AF738" s="90" t="str">
        <f aca="false">IFERROR(IF([2]对账明细接口!$AB739=0,"",[2]对账明细接口!$AB739),"")</f>
        <v/>
      </c>
      <c r="AG738" s="90" t="str">
        <f aca="false">IFERROR(IF([2]对账明细接口!$AC739=0,"",[2]对账明细接口!$AC739),"")</f>
        <v/>
      </c>
      <c r="AH738" s="90" t="str">
        <f aca="false">IFERROR(IF([2]对账明细接口!$AD739=0,"",[2]对账明细接口!$AD739),"")</f>
        <v/>
      </c>
    </row>
    <row r="739" customFormat="false" ht="13.5" hidden="false" customHeight="false" outlineLevel="0" collapsed="false">
      <c r="A739" s="109" t="n">
        <v>739</v>
      </c>
      <c r="B739" s="110" t="str">
        <f aca="false">IFERROR(IF([2]对账明细接口!$B$739=0,"",[2]对账明细接口!$B$739),"")</f>
        <v/>
      </c>
      <c r="C739" s="59" t="str">
        <f aca="false">IFERROR(IF([2]对账明细接口!$C$739=0,"",[2]对账明细接口!$C$739),"")</f>
        <v/>
      </c>
      <c r="D739" s="59" t="str">
        <f aca="false">IFERROR(IF([2]对账明细接口!$D$739=0,"",[2]对账明细接口!$D$739),"")</f>
        <v/>
      </c>
      <c r="E739" s="59" t="str">
        <f aca="false">IFERROR(IF([2]对账明细接口!$E$739=0,"",[2]对账明细接口!$E$739),"")</f>
        <v/>
      </c>
      <c r="F739" s="59" t="str">
        <f aca="false">IFERROR(IF([2]对账明细接口!$F$739=0,"",[2]对账明细接口!$F$739),"")</f>
        <v/>
      </c>
      <c r="G739" s="59" t="str">
        <f aca="false">IFERROR(IF([2]对账明细接口!$G$739=0,"",[2]对账明细接口!$G$739),"")</f>
        <v/>
      </c>
      <c r="H739" s="60" t="str">
        <f aca="false">IFERROR(IF([2]对账明细接口!$H$739=0,"",[2]对账明细接口!$H$739),"")</f>
        <v/>
      </c>
      <c r="I739" s="59" t="str">
        <f aca="false">IFERROR(IF([2]对账明细接口!$I$739=0,"",[2]对账明细接口!$I$739),"")</f>
        <v/>
      </c>
      <c r="J739" s="61" t="str">
        <f aca="false">IFERROR(IF([2]对账明细接口!$J$739=0,"",[2]对账明细接口!$J$739),"")</f>
        <v/>
      </c>
      <c r="K739" s="61" t="str">
        <f aca="false">IFERROR(IF([2]对账明细接口!$K$739=0,"",[2]对账明细接口!$K$739),"")</f>
        <v/>
      </c>
      <c r="L739" s="59" t="str">
        <f aca="false">IFERROR(IF([2]对账明细接口!$L$739=0,"",[2]对账明细接口!$L$739),"")</f>
        <v/>
      </c>
      <c r="M739" s="59" t="str">
        <f aca="false">IFERROR(IF([2]对账明细接口!$M$739=0,"",[2]对账明细接口!$M$739),"")</f>
        <v/>
      </c>
      <c r="N739" s="111" t="n">
        <f aca="false">IF($C739="",0,1)</f>
        <v>0</v>
      </c>
      <c r="O739" s="111" t="n">
        <f aca="false">N(O738)+$N739</f>
        <v>311</v>
      </c>
      <c r="S739" s="10" t="str">
        <f aca="false">IFERROR(IF([2]对账明细接口!$N739=0,"",[2]对账明细接口!$N739),"")</f>
        <v/>
      </c>
      <c r="T739" s="112" t="str">
        <f aca="false">IFERROR(IF([2]对账明细接口!$O739=0,"",[2]对账明细接口!$O739),"")</f>
        <v/>
      </c>
      <c r="U739" s="112" t="str">
        <f aca="false">IFERROR(IF([2]对账明细接口!$P739=0,"",[2]对账明细接口!$P739),"")</f>
        <v/>
      </c>
      <c r="V739" s="112" t="str">
        <f aca="false">IFERROR(IF([2]对账明细接口!$Q739=0,"",[2]对账明细接口!$Q739),"")</f>
        <v/>
      </c>
      <c r="W739" s="10" t="str">
        <f aca="false">IFERROR(IF([2]对账明细接口!$R739=0,"",[2]对账明细接口!$R739),"")</f>
        <v/>
      </c>
      <c r="X739" s="10" t="str">
        <f aca="false">IFERROR(IF([2]对账明细接口!$S739=0,"",[2]对账明细接口!$S739),"")</f>
        <v/>
      </c>
      <c r="Y739" s="10" t="str">
        <f aca="false">IFERROR(IF([2]对账明细接口!$T739=0,"",[2]对账明细接口!$T739),"")</f>
        <v/>
      </c>
      <c r="Z739" s="113" t="str">
        <f aca="false">IFERROR(IF([2]对账明细接口!$U739=0,"",[2]对账明细接口!$U739),"")</f>
        <v/>
      </c>
      <c r="AA739" s="113" t="str">
        <f aca="false">IFERROR(IF([2]对账明细接口!$V739=0,"",[2]对账明细接口!$V739),"")</f>
        <v/>
      </c>
      <c r="AB739" s="10" t="str">
        <f aca="false">IFERROR(IF([2]对账明细接口!$W739=0,"",[2]对账明细接口!$W739),"")</f>
        <v/>
      </c>
      <c r="AC739" s="90" t="str">
        <f aca="false">IFERROR(IF([2]对账明细接口!$X740=0,"",[2]对账明细接口!$X740),"")</f>
        <v/>
      </c>
      <c r="AD739" s="90" t="str">
        <f aca="false">IFERROR(IF([2]对账明细接口!$Y740=0,"",[2]对账明细接口!$Y740),"")</f>
        <v/>
      </c>
      <c r="AE739" s="90" t="str">
        <f aca="false">IFERROR(IF([2]对账明细接口!$AA740=0,"",[2]对账明细接口!$AA740),"")</f>
        <v/>
      </c>
      <c r="AF739" s="90" t="str">
        <f aca="false">IFERROR(IF([2]对账明细接口!$AB740=0,"",[2]对账明细接口!$AB740),"")</f>
        <v/>
      </c>
      <c r="AG739" s="90" t="str">
        <f aca="false">IFERROR(IF([2]对账明细接口!$AC740=0,"",[2]对账明细接口!$AC740),"")</f>
        <v/>
      </c>
      <c r="AH739" s="90" t="str">
        <f aca="false">IFERROR(IF([2]对账明细接口!$AD740=0,"",[2]对账明细接口!$AD740),"")</f>
        <v/>
      </c>
    </row>
    <row r="740" customFormat="false" ht="13.5" hidden="false" customHeight="false" outlineLevel="0" collapsed="false">
      <c r="A740" s="109" t="n">
        <v>740</v>
      </c>
      <c r="B740" s="110" t="str">
        <f aca="false">IFERROR(IF([2]对账明细接口!$B$740=0,"",[2]对账明细接口!$B$740),"")</f>
        <v/>
      </c>
      <c r="C740" s="59" t="str">
        <f aca="false">IFERROR(IF([2]对账明细接口!$C$740=0,"",[2]对账明细接口!$C$740),"")</f>
        <v/>
      </c>
      <c r="D740" s="59" t="str">
        <f aca="false">IFERROR(IF([2]对账明细接口!$D$740=0,"",[2]对账明细接口!$D$740),"")</f>
        <v/>
      </c>
      <c r="E740" s="59" t="str">
        <f aca="false">IFERROR(IF([2]对账明细接口!$E$740=0,"",[2]对账明细接口!$E$740),"")</f>
        <v/>
      </c>
      <c r="F740" s="59" t="str">
        <f aca="false">IFERROR(IF([2]对账明细接口!$F$740=0,"",[2]对账明细接口!$F$740),"")</f>
        <v/>
      </c>
      <c r="G740" s="59" t="str">
        <f aca="false">IFERROR(IF([2]对账明细接口!$G$740=0,"",[2]对账明细接口!$G$740),"")</f>
        <v/>
      </c>
      <c r="H740" s="60" t="str">
        <f aca="false">IFERROR(IF([2]对账明细接口!$H$740=0,"",[2]对账明细接口!$H$740),"")</f>
        <v/>
      </c>
      <c r="I740" s="59" t="str">
        <f aca="false">IFERROR(IF([2]对账明细接口!$I$740=0,"",[2]对账明细接口!$I$740),"")</f>
        <v/>
      </c>
      <c r="J740" s="61" t="str">
        <f aca="false">IFERROR(IF([2]对账明细接口!$J$740=0,"",[2]对账明细接口!$J$740),"")</f>
        <v/>
      </c>
      <c r="K740" s="61" t="str">
        <f aca="false">IFERROR(IF([2]对账明细接口!$K$740=0,"",[2]对账明细接口!$K$740),"")</f>
        <v/>
      </c>
      <c r="L740" s="59" t="str">
        <f aca="false">IFERROR(IF([2]对账明细接口!$L$740=0,"",[2]对账明细接口!$L$740),"")</f>
        <v/>
      </c>
      <c r="M740" s="59" t="str">
        <f aca="false">IFERROR(IF([2]对账明细接口!$M$740=0,"",[2]对账明细接口!$M$740),"")</f>
        <v/>
      </c>
      <c r="N740" s="111" t="n">
        <f aca="false">IF($C740="",0,1)</f>
        <v>0</v>
      </c>
      <c r="O740" s="111" t="n">
        <f aca="false">N(O739)+$N740</f>
        <v>311</v>
      </c>
      <c r="S740" s="10" t="str">
        <f aca="false">IFERROR(IF([2]对账明细接口!$N740=0,"",[2]对账明细接口!$N740),"")</f>
        <v/>
      </c>
      <c r="T740" s="112" t="str">
        <f aca="false">IFERROR(IF([2]对账明细接口!$O740=0,"",[2]对账明细接口!$O740),"")</f>
        <v/>
      </c>
      <c r="U740" s="112" t="str">
        <f aca="false">IFERROR(IF([2]对账明细接口!$P740=0,"",[2]对账明细接口!$P740),"")</f>
        <v/>
      </c>
      <c r="V740" s="112" t="str">
        <f aca="false">IFERROR(IF([2]对账明细接口!$Q740=0,"",[2]对账明细接口!$Q740),"")</f>
        <v/>
      </c>
      <c r="W740" s="10" t="str">
        <f aca="false">IFERROR(IF([2]对账明细接口!$R740=0,"",[2]对账明细接口!$R740),"")</f>
        <v/>
      </c>
      <c r="X740" s="10" t="str">
        <f aca="false">IFERROR(IF([2]对账明细接口!$S740=0,"",[2]对账明细接口!$S740),"")</f>
        <v/>
      </c>
      <c r="Y740" s="10" t="str">
        <f aca="false">IFERROR(IF([2]对账明细接口!$T740=0,"",[2]对账明细接口!$T740),"")</f>
        <v/>
      </c>
      <c r="Z740" s="113" t="str">
        <f aca="false">IFERROR(IF([2]对账明细接口!$U740=0,"",[2]对账明细接口!$U740),"")</f>
        <v/>
      </c>
      <c r="AA740" s="113" t="str">
        <f aca="false">IFERROR(IF([2]对账明细接口!$V740=0,"",[2]对账明细接口!$V740),"")</f>
        <v/>
      </c>
      <c r="AB740" s="10" t="str">
        <f aca="false">IFERROR(IF([2]对账明细接口!$W740=0,"",[2]对账明细接口!$W740),"")</f>
        <v/>
      </c>
      <c r="AC740" s="90" t="str">
        <f aca="false">IFERROR(IF([2]对账明细接口!$X741=0,"",[2]对账明细接口!$X741),"")</f>
        <v/>
      </c>
      <c r="AD740" s="90" t="str">
        <f aca="false">IFERROR(IF([2]对账明细接口!$Y741=0,"",[2]对账明细接口!$Y741),"")</f>
        <v/>
      </c>
      <c r="AE740" s="90" t="str">
        <f aca="false">IFERROR(IF([2]对账明细接口!$AA741=0,"",[2]对账明细接口!$AA741),"")</f>
        <v/>
      </c>
      <c r="AF740" s="90" t="str">
        <f aca="false">IFERROR(IF([2]对账明细接口!$AB741=0,"",[2]对账明细接口!$AB741),"")</f>
        <v/>
      </c>
      <c r="AG740" s="90" t="str">
        <f aca="false">IFERROR(IF([2]对账明细接口!$AC741=0,"",[2]对账明细接口!$AC741),"")</f>
        <v/>
      </c>
      <c r="AH740" s="90" t="str">
        <f aca="false">IFERROR(IF([2]对账明细接口!$AD741=0,"",[2]对账明细接口!$AD741),"")</f>
        <v/>
      </c>
    </row>
    <row r="741" customFormat="false" ht="13.5" hidden="false" customHeight="false" outlineLevel="0" collapsed="false">
      <c r="A741" s="109" t="n">
        <v>741</v>
      </c>
      <c r="B741" s="110" t="str">
        <f aca="false">IFERROR(IF([2]对账明细接口!$B$741=0,"",[2]对账明细接口!$B$741),"")</f>
        <v/>
      </c>
      <c r="C741" s="59" t="str">
        <f aca="false">IFERROR(IF([2]对账明细接口!$C$741=0,"",[2]对账明细接口!$C$741),"")</f>
        <v/>
      </c>
      <c r="D741" s="59" t="str">
        <f aca="false">IFERROR(IF([2]对账明细接口!$D$741=0,"",[2]对账明细接口!$D$741),"")</f>
        <v/>
      </c>
      <c r="E741" s="59" t="str">
        <f aca="false">IFERROR(IF([2]对账明细接口!$E$741=0,"",[2]对账明细接口!$E$741),"")</f>
        <v/>
      </c>
      <c r="F741" s="59" t="str">
        <f aca="false">IFERROR(IF([2]对账明细接口!$F$741=0,"",[2]对账明细接口!$F$741),"")</f>
        <v/>
      </c>
      <c r="G741" s="59" t="str">
        <f aca="false">IFERROR(IF([2]对账明细接口!$G$741=0,"",[2]对账明细接口!$G$741),"")</f>
        <v/>
      </c>
      <c r="H741" s="60" t="str">
        <f aca="false">IFERROR(IF([2]对账明细接口!$H$741=0,"",[2]对账明细接口!$H$741),"")</f>
        <v/>
      </c>
      <c r="I741" s="59" t="str">
        <f aca="false">IFERROR(IF([2]对账明细接口!$I$741=0,"",[2]对账明细接口!$I$741),"")</f>
        <v/>
      </c>
      <c r="J741" s="61" t="str">
        <f aca="false">IFERROR(IF([2]对账明细接口!$J$741=0,"",[2]对账明细接口!$J$741),"")</f>
        <v/>
      </c>
      <c r="K741" s="61" t="str">
        <f aca="false">IFERROR(IF([2]对账明细接口!$K$741=0,"",[2]对账明细接口!$K$741),"")</f>
        <v/>
      </c>
      <c r="L741" s="59" t="str">
        <f aca="false">IFERROR(IF([2]对账明细接口!$L$741=0,"",[2]对账明细接口!$L$741),"")</f>
        <v/>
      </c>
      <c r="M741" s="59" t="str">
        <f aca="false">IFERROR(IF([2]对账明细接口!$M$741=0,"",[2]对账明细接口!$M$741),"")</f>
        <v/>
      </c>
      <c r="N741" s="111" t="n">
        <f aca="false">IF($C741="",0,1)</f>
        <v>0</v>
      </c>
      <c r="O741" s="111" t="n">
        <f aca="false">N(O740)+$N741</f>
        <v>311</v>
      </c>
      <c r="S741" s="10" t="str">
        <f aca="false">IFERROR(IF([2]对账明细接口!$N741=0,"",[2]对账明细接口!$N741),"")</f>
        <v/>
      </c>
      <c r="T741" s="112" t="str">
        <f aca="false">IFERROR(IF([2]对账明细接口!$O741=0,"",[2]对账明细接口!$O741),"")</f>
        <v/>
      </c>
      <c r="U741" s="112" t="str">
        <f aca="false">IFERROR(IF([2]对账明细接口!$P741=0,"",[2]对账明细接口!$P741),"")</f>
        <v/>
      </c>
      <c r="V741" s="112" t="str">
        <f aca="false">IFERROR(IF([2]对账明细接口!$Q741=0,"",[2]对账明细接口!$Q741),"")</f>
        <v/>
      </c>
      <c r="W741" s="10" t="str">
        <f aca="false">IFERROR(IF([2]对账明细接口!$R741=0,"",[2]对账明细接口!$R741),"")</f>
        <v/>
      </c>
      <c r="X741" s="10" t="str">
        <f aca="false">IFERROR(IF([2]对账明细接口!$S741=0,"",[2]对账明细接口!$S741),"")</f>
        <v/>
      </c>
      <c r="Y741" s="10" t="str">
        <f aca="false">IFERROR(IF([2]对账明细接口!$T741=0,"",[2]对账明细接口!$T741),"")</f>
        <v/>
      </c>
      <c r="Z741" s="113" t="str">
        <f aca="false">IFERROR(IF([2]对账明细接口!$U741=0,"",[2]对账明细接口!$U741),"")</f>
        <v/>
      </c>
      <c r="AA741" s="113" t="str">
        <f aca="false">IFERROR(IF([2]对账明细接口!$V741=0,"",[2]对账明细接口!$V741),"")</f>
        <v/>
      </c>
      <c r="AB741" s="10" t="str">
        <f aca="false">IFERROR(IF([2]对账明细接口!$W741=0,"",[2]对账明细接口!$W741),"")</f>
        <v/>
      </c>
      <c r="AC741" s="90" t="str">
        <f aca="false">IFERROR(IF([2]对账明细接口!$X742=0,"",[2]对账明细接口!$X742),"")</f>
        <v/>
      </c>
      <c r="AD741" s="90" t="str">
        <f aca="false">IFERROR(IF([2]对账明细接口!$Y742=0,"",[2]对账明细接口!$Y742),"")</f>
        <v/>
      </c>
      <c r="AE741" s="90" t="str">
        <f aca="false">IFERROR(IF([2]对账明细接口!$AA742=0,"",[2]对账明细接口!$AA742),"")</f>
        <v/>
      </c>
      <c r="AF741" s="90" t="str">
        <f aca="false">IFERROR(IF([2]对账明细接口!$AB742=0,"",[2]对账明细接口!$AB742),"")</f>
        <v/>
      </c>
      <c r="AG741" s="90" t="str">
        <f aca="false">IFERROR(IF([2]对账明细接口!$AC742=0,"",[2]对账明细接口!$AC742),"")</f>
        <v/>
      </c>
      <c r="AH741" s="90" t="str">
        <f aca="false">IFERROR(IF([2]对账明细接口!$AD742=0,"",[2]对账明细接口!$AD742),"")</f>
        <v/>
      </c>
    </row>
    <row r="742" customFormat="false" ht="13.5" hidden="false" customHeight="false" outlineLevel="0" collapsed="false">
      <c r="A742" s="109" t="n">
        <v>742</v>
      </c>
      <c r="B742" s="110" t="str">
        <f aca="false">IFERROR(IF([2]对账明细接口!$B$742=0,"",[2]对账明细接口!$B$742),"")</f>
        <v/>
      </c>
      <c r="C742" s="59" t="str">
        <f aca="false">IFERROR(IF([2]对账明细接口!$C$742=0,"",[2]对账明细接口!$C$742),"")</f>
        <v/>
      </c>
      <c r="D742" s="59" t="str">
        <f aca="false">IFERROR(IF([2]对账明细接口!$D$742=0,"",[2]对账明细接口!$D$742),"")</f>
        <v/>
      </c>
      <c r="E742" s="59" t="str">
        <f aca="false">IFERROR(IF([2]对账明细接口!$E$742=0,"",[2]对账明细接口!$E$742),"")</f>
        <v/>
      </c>
      <c r="F742" s="59" t="str">
        <f aca="false">IFERROR(IF([2]对账明细接口!$F$742=0,"",[2]对账明细接口!$F$742),"")</f>
        <v/>
      </c>
      <c r="G742" s="59" t="str">
        <f aca="false">IFERROR(IF([2]对账明细接口!$G$742=0,"",[2]对账明细接口!$G$742),"")</f>
        <v/>
      </c>
      <c r="H742" s="60" t="str">
        <f aca="false">IFERROR(IF([2]对账明细接口!$H$742=0,"",[2]对账明细接口!$H$742),"")</f>
        <v/>
      </c>
      <c r="I742" s="59" t="str">
        <f aca="false">IFERROR(IF([2]对账明细接口!$I$742=0,"",[2]对账明细接口!$I$742),"")</f>
        <v/>
      </c>
      <c r="J742" s="61" t="str">
        <f aca="false">IFERROR(IF([2]对账明细接口!$J$742=0,"",[2]对账明细接口!$J$742),"")</f>
        <v/>
      </c>
      <c r="K742" s="61" t="str">
        <f aca="false">IFERROR(IF([2]对账明细接口!$K$742=0,"",[2]对账明细接口!$K$742),"")</f>
        <v/>
      </c>
      <c r="L742" s="59" t="str">
        <f aca="false">IFERROR(IF([2]对账明细接口!$L$742=0,"",[2]对账明细接口!$L$742),"")</f>
        <v/>
      </c>
      <c r="M742" s="59" t="str">
        <f aca="false">IFERROR(IF([2]对账明细接口!$M$742=0,"",[2]对账明细接口!$M$742),"")</f>
        <v/>
      </c>
      <c r="N742" s="111" t="n">
        <f aca="false">IF($C742="",0,1)</f>
        <v>0</v>
      </c>
      <c r="O742" s="111" t="n">
        <f aca="false">N(O741)+$N742</f>
        <v>311</v>
      </c>
      <c r="S742" s="10" t="str">
        <f aca="false">IFERROR(IF([2]对账明细接口!$N742=0,"",[2]对账明细接口!$N742),"")</f>
        <v/>
      </c>
      <c r="T742" s="112" t="str">
        <f aca="false">IFERROR(IF([2]对账明细接口!$O742=0,"",[2]对账明细接口!$O742),"")</f>
        <v/>
      </c>
      <c r="U742" s="112" t="str">
        <f aca="false">IFERROR(IF([2]对账明细接口!$P742=0,"",[2]对账明细接口!$P742),"")</f>
        <v/>
      </c>
      <c r="V742" s="112" t="str">
        <f aca="false">IFERROR(IF([2]对账明细接口!$Q742=0,"",[2]对账明细接口!$Q742),"")</f>
        <v/>
      </c>
      <c r="W742" s="10" t="str">
        <f aca="false">IFERROR(IF([2]对账明细接口!$R742=0,"",[2]对账明细接口!$R742),"")</f>
        <v/>
      </c>
      <c r="X742" s="10" t="str">
        <f aca="false">IFERROR(IF([2]对账明细接口!$S742=0,"",[2]对账明细接口!$S742),"")</f>
        <v/>
      </c>
      <c r="Y742" s="10" t="str">
        <f aca="false">IFERROR(IF([2]对账明细接口!$T742=0,"",[2]对账明细接口!$T742),"")</f>
        <v/>
      </c>
      <c r="Z742" s="113" t="str">
        <f aca="false">IFERROR(IF([2]对账明细接口!$U742=0,"",[2]对账明细接口!$U742),"")</f>
        <v/>
      </c>
      <c r="AA742" s="113" t="str">
        <f aca="false">IFERROR(IF([2]对账明细接口!$V742=0,"",[2]对账明细接口!$V742),"")</f>
        <v/>
      </c>
      <c r="AB742" s="10" t="str">
        <f aca="false">IFERROR(IF([2]对账明细接口!$W742=0,"",[2]对账明细接口!$W742),"")</f>
        <v/>
      </c>
      <c r="AC742" s="90" t="str">
        <f aca="false">IFERROR(IF([2]对账明细接口!$X743=0,"",[2]对账明细接口!$X743),"")</f>
        <v/>
      </c>
      <c r="AD742" s="90" t="str">
        <f aca="false">IFERROR(IF([2]对账明细接口!$Y743=0,"",[2]对账明细接口!$Y743),"")</f>
        <v/>
      </c>
      <c r="AE742" s="90" t="str">
        <f aca="false">IFERROR(IF([2]对账明细接口!$AA743=0,"",[2]对账明细接口!$AA743),"")</f>
        <v/>
      </c>
      <c r="AF742" s="90" t="str">
        <f aca="false">IFERROR(IF([2]对账明细接口!$AB743=0,"",[2]对账明细接口!$AB743),"")</f>
        <v/>
      </c>
      <c r="AG742" s="90" t="str">
        <f aca="false">IFERROR(IF([2]对账明细接口!$AC743=0,"",[2]对账明细接口!$AC743),"")</f>
        <v/>
      </c>
      <c r="AH742" s="90" t="str">
        <f aca="false">IFERROR(IF([2]对账明细接口!$AD743=0,"",[2]对账明细接口!$AD743),"")</f>
        <v/>
      </c>
    </row>
    <row r="743" customFormat="false" ht="13.5" hidden="false" customHeight="false" outlineLevel="0" collapsed="false">
      <c r="A743" s="109" t="n">
        <v>743</v>
      </c>
      <c r="B743" s="110" t="str">
        <f aca="false">IFERROR(IF([2]对账明细接口!$B$743=0,"",[2]对账明细接口!$B$743),"")</f>
        <v/>
      </c>
      <c r="C743" s="59" t="str">
        <f aca="false">IFERROR(IF([2]对账明细接口!$C$743=0,"",[2]对账明细接口!$C$743),"")</f>
        <v/>
      </c>
      <c r="D743" s="59" t="str">
        <f aca="false">IFERROR(IF([2]对账明细接口!$D$743=0,"",[2]对账明细接口!$D$743),"")</f>
        <v/>
      </c>
      <c r="E743" s="59" t="str">
        <f aca="false">IFERROR(IF([2]对账明细接口!$E$743=0,"",[2]对账明细接口!$E$743),"")</f>
        <v/>
      </c>
      <c r="F743" s="59" t="str">
        <f aca="false">IFERROR(IF([2]对账明细接口!$F$743=0,"",[2]对账明细接口!$F$743),"")</f>
        <v/>
      </c>
      <c r="G743" s="59" t="str">
        <f aca="false">IFERROR(IF([2]对账明细接口!$G$743=0,"",[2]对账明细接口!$G$743),"")</f>
        <v/>
      </c>
      <c r="H743" s="60" t="str">
        <f aca="false">IFERROR(IF([2]对账明细接口!$H$743=0,"",[2]对账明细接口!$H$743),"")</f>
        <v/>
      </c>
      <c r="I743" s="59" t="str">
        <f aca="false">IFERROR(IF([2]对账明细接口!$I$743=0,"",[2]对账明细接口!$I$743),"")</f>
        <v/>
      </c>
      <c r="J743" s="61" t="str">
        <f aca="false">IFERROR(IF([2]对账明细接口!$J$743=0,"",[2]对账明细接口!$J$743),"")</f>
        <v/>
      </c>
      <c r="K743" s="61" t="str">
        <f aca="false">IFERROR(IF([2]对账明细接口!$K$743=0,"",[2]对账明细接口!$K$743),"")</f>
        <v/>
      </c>
      <c r="L743" s="59" t="str">
        <f aca="false">IFERROR(IF([2]对账明细接口!$L$743=0,"",[2]对账明细接口!$L$743),"")</f>
        <v/>
      </c>
      <c r="M743" s="59" t="str">
        <f aca="false">IFERROR(IF([2]对账明细接口!$M$743=0,"",[2]对账明细接口!$M$743),"")</f>
        <v/>
      </c>
      <c r="N743" s="111" t="n">
        <f aca="false">IF($C743="",0,1)</f>
        <v>0</v>
      </c>
      <c r="O743" s="111" t="n">
        <f aca="false">N(O742)+$N743</f>
        <v>311</v>
      </c>
      <c r="S743" s="10" t="str">
        <f aca="false">IFERROR(IF([2]对账明细接口!$N743=0,"",[2]对账明细接口!$N743),"")</f>
        <v/>
      </c>
      <c r="T743" s="112" t="str">
        <f aca="false">IFERROR(IF([2]对账明细接口!$O743=0,"",[2]对账明细接口!$O743),"")</f>
        <v/>
      </c>
      <c r="U743" s="112" t="str">
        <f aca="false">IFERROR(IF([2]对账明细接口!$P743=0,"",[2]对账明细接口!$P743),"")</f>
        <v/>
      </c>
      <c r="V743" s="112" t="str">
        <f aca="false">IFERROR(IF([2]对账明细接口!$Q743=0,"",[2]对账明细接口!$Q743),"")</f>
        <v/>
      </c>
      <c r="W743" s="10" t="str">
        <f aca="false">IFERROR(IF([2]对账明细接口!$R743=0,"",[2]对账明细接口!$R743),"")</f>
        <v/>
      </c>
      <c r="X743" s="10" t="str">
        <f aca="false">IFERROR(IF([2]对账明细接口!$S743=0,"",[2]对账明细接口!$S743),"")</f>
        <v/>
      </c>
      <c r="Y743" s="10" t="str">
        <f aca="false">IFERROR(IF([2]对账明细接口!$T743=0,"",[2]对账明细接口!$T743),"")</f>
        <v/>
      </c>
      <c r="Z743" s="113" t="str">
        <f aca="false">IFERROR(IF([2]对账明细接口!$U743=0,"",[2]对账明细接口!$U743),"")</f>
        <v/>
      </c>
      <c r="AA743" s="113" t="str">
        <f aca="false">IFERROR(IF([2]对账明细接口!$V743=0,"",[2]对账明细接口!$V743),"")</f>
        <v/>
      </c>
      <c r="AB743" s="10" t="str">
        <f aca="false">IFERROR(IF([2]对账明细接口!$W743=0,"",[2]对账明细接口!$W743),"")</f>
        <v/>
      </c>
      <c r="AC743" s="90" t="str">
        <f aca="false">IFERROR(IF([2]对账明细接口!$X744=0,"",[2]对账明细接口!$X744),"")</f>
        <v/>
      </c>
      <c r="AD743" s="90" t="str">
        <f aca="false">IFERROR(IF([2]对账明细接口!$Y744=0,"",[2]对账明细接口!$Y744),"")</f>
        <v/>
      </c>
      <c r="AE743" s="90" t="str">
        <f aca="false">IFERROR(IF([2]对账明细接口!$AA744=0,"",[2]对账明细接口!$AA744),"")</f>
        <v/>
      </c>
      <c r="AF743" s="90" t="str">
        <f aca="false">IFERROR(IF([2]对账明细接口!$AB744=0,"",[2]对账明细接口!$AB744),"")</f>
        <v/>
      </c>
      <c r="AG743" s="90" t="str">
        <f aca="false">IFERROR(IF([2]对账明细接口!$AC744=0,"",[2]对账明细接口!$AC744),"")</f>
        <v/>
      </c>
      <c r="AH743" s="90" t="str">
        <f aca="false">IFERROR(IF([2]对账明细接口!$AD744=0,"",[2]对账明细接口!$AD744),"")</f>
        <v/>
      </c>
    </row>
    <row r="744" customFormat="false" ht="13.5" hidden="false" customHeight="false" outlineLevel="0" collapsed="false">
      <c r="A744" s="109" t="n">
        <v>744</v>
      </c>
      <c r="B744" s="110" t="str">
        <f aca="false">IFERROR(IF([2]对账明细接口!$B$744=0,"",[2]对账明细接口!$B$744),"")</f>
        <v/>
      </c>
      <c r="C744" s="59" t="str">
        <f aca="false">IFERROR(IF([2]对账明细接口!$C$744=0,"",[2]对账明细接口!$C$744),"")</f>
        <v/>
      </c>
      <c r="D744" s="59" t="str">
        <f aca="false">IFERROR(IF([2]对账明细接口!$D$744=0,"",[2]对账明细接口!$D$744),"")</f>
        <v/>
      </c>
      <c r="E744" s="59" t="str">
        <f aca="false">IFERROR(IF([2]对账明细接口!$E$744=0,"",[2]对账明细接口!$E$744),"")</f>
        <v/>
      </c>
      <c r="F744" s="59" t="str">
        <f aca="false">IFERROR(IF([2]对账明细接口!$F$744=0,"",[2]对账明细接口!$F$744),"")</f>
        <v/>
      </c>
      <c r="G744" s="59" t="str">
        <f aca="false">IFERROR(IF([2]对账明细接口!$G$744=0,"",[2]对账明细接口!$G$744),"")</f>
        <v/>
      </c>
      <c r="H744" s="60" t="str">
        <f aca="false">IFERROR(IF([2]对账明细接口!$H$744=0,"",[2]对账明细接口!$H$744),"")</f>
        <v/>
      </c>
      <c r="I744" s="59" t="str">
        <f aca="false">IFERROR(IF([2]对账明细接口!$I$744=0,"",[2]对账明细接口!$I$744),"")</f>
        <v/>
      </c>
      <c r="J744" s="61" t="str">
        <f aca="false">IFERROR(IF([2]对账明细接口!$J$744=0,"",[2]对账明细接口!$J$744),"")</f>
        <v/>
      </c>
      <c r="K744" s="61" t="str">
        <f aca="false">IFERROR(IF([2]对账明细接口!$K$744=0,"",[2]对账明细接口!$K$744),"")</f>
        <v/>
      </c>
      <c r="L744" s="59" t="str">
        <f aca="false">IFERROR(IF([2]对账明细接口!$L$744=0,"",[2]对账明细接口!$L$744),"")</f>
        <v/>
      </c>
      <c r="M744" s="59" t="str">
        <f aca="false">IFERROR(IF([2]对账明细接口!$M$744=0,"",[2]对账明细接口!$M$744),"")</f>
        <v/>
      </c>
      <c r="N744" s="111" t="n">
        <f aca="false">IF($C744="",0,1)</f>
        <v>0</v>
      </c>
      <c r="O744" s="111" t="n">
        <f aca="false">N(O743)+$N744</f>
        <v>311</v>
      </c>
      <c r="S744" s="10" t="str">
        <f aca="false">IFERROR(IF([2]对账明细接口!$N744=0,"",[2]对账明细接口!$N744),"")</f>
        <v/>
      </c>
      <c r="T744" s="112" t="str">
        <f aca="false">IFERROR(IF([2]对账明细接口!$O744=0,"",[2]对账明细接口!$O744),"")</f>
        <v/>
      </c>
      <c r="U744" s="112" t="str">
        <f aca="false">IFERROR(IF([2]对账明细接口!$P744=0,"",[2]对账明细接口!$P744),"")</f>
        <v/>
      </c>
      <c r="V744" s="112" t="str">
        <f aca="false">IFERROR(IF([2]对账明细接口!$Q744=0,"",[2]对账明细接口!$Q744),"")</f>
        <v/>
      </c>
      <c r="W744" s="10" t="str">
        <f aca="false">IFERROR(IF([2]对账明细接口!$R744=0,"",[2]对账明细接口!$R744),"")</f>
        <v/>
      </c>
      <c r="X744" s="10" t="str">
        <f aca="false">IFERROR(IF([2]对账明细接口!$S744=0,"",[2]对账明细接口!$S744),"")</f>
        <v/>
      </c>
      <c r="Y744" s="10" t="str">
        <f aca="false">IFERROR(IF([2]对账明细接口!$T744=0,"",[2]对账明细接口!$T744),"")</f>
        <v/>
      </c>
      <c r="Z744" s="113" t="str">
        <f aca="false">IFERROR(IF([2]对账明细接口!$U744=0,"",[2]对账明细接口!$U744),"")</f>
        <v/>
      </c>
      <c r="AA744" s="113" t="str">
        <f aca="false">IFERROR(IF([2]对账明细接口!$V744=0,"",[2]对账明细接口!$V744),"")</f>
        <v/>
      </c>
      <c r="AB744" s="10" t="str">
        <f aca="false">IFERROR(IF([2]对账明细接口!$W744=0,"",[2]对账明细接口!$W744),"")</f>
        <v/>
      </c>
      <c r="AC744" s="90" t="str">
        <f aca="false">IFERROR(IF([2]对账明细接口!$X745=0,"",[2]对账明细接口!$X745),"")</f>
        <v/>
      </c>
      <c r="AD744" s="90" t="str">
        <f aca="false">IFERROR(IF([2]对账明细接口!$Y745=0,"",[2]对账明细接口!$Y745),"")</f>
        <v/>
      </c>
      <c r="AE744" s="90" t="str">
        <f aca="false">IFERROR(IF([2]对账明细接口!$AA745=0,"",[2]对账明细接口!$AA745),"")</f>
        <v/>
      </c>
      <c r="AF744" s="90" t="str">
        <f aca="false">IFERROR(IF([2]对账明细接口!$AB745=0,"",[2]对账明细接口!$AB745),"")</f>
        <v/>
      </c>
      <c r="AG744" s="90" t="str">
        <f aca="false">IFERROR(IF([2]对账明细接口!$AC745=0,"",[2]对账明细接口!$AC745),"")</f>
        <v/>
      </c>
      <c r="AH744" s="90" t="str">
        <f aca="false">IFERROR(IF([2]对账明细接口!$AD745=0,"",[2]对账明细接口!$AD745),"")</f>
        <v/>
      </c>
    </row>
    <row r="745" customFormat="false" ht="13.5" hidden="false" customHeight="false" outlineLevel="0" collapsed="false">
      <c r="A745" s="109" t="n">
        <v>745</v>
      </c>
      <c r="B745" s="110" t="str">
        <f aca="false">IFERROR(IF([2]对账明细接口!$B$745=0,"",[2]对账明细接口!$B$745),"")</f>
        <v/>
      </c>
      <c r="C745" s="59" t="str">
        <f aca="false">IFERROR(IF([2]对账明细接口!$C$745=0,"",[2]对账明细接口!$C$745),"")</f>
        <v/>
      </c>
      <c r="D745" s="59" t="str">
        <f aca="false">IFERROR(IF([2]对账明细接口!$D$745=0,"",[2]对账明细接口!$D$745),"")</f>
        <v/>
      </c>
      <c r="E745" s="59" t="str">
        <f aca="false">IFERROR(IF([2]对账明细接口!$E$745=0,"",[2]对账明细接口!$E$745),"")</f>
        <v/>
      </c>
      <c r="F745" s="59" t="str">
        <f aca="false">IFERROR(IF([2]对账明细接口!$F$745=0,"",[2]对账明细接口!$F$745),"")</f>
        <v/>
      </c>
      <c r="G745" s="59" t="str">
        <f aca="false">IFERROR(IF([2]对账明细接口!$G$745=0,"",[2]对账明细接口!$G$745),"")</f>
        <v/>
      </c>
      <c r="H745" s="60" t="str">
        <f aca="false">IFERROR(IF([2]对账明细接口!$H$745=0,"",[2]对账明细接口!$H$745),"")</f>
        <v/>
      </c>
      <c r="I745" s="59" t="str">
        <f aca="false">IFERROR(IF([2]对账明细接口!$I$745=0,"",[2]对账明细接口!$I$745),"")</f>
        <v/>
      </c>
      <c r="J745" s="61" t="str">
        <f aca="false">IFERROR(IF([2]对账明细接口!$J$745=0,"",[2]对账明细接口!$J$745),"")</f>
        <v/>
      </c>
      <c r="K745" s="61" t="str">
        <f aca="false">IFERROR(IF([2]对账明细接口!$K$745=0,"",[2]对账明细接口!$K$745),"")</f>
        <v/>
      </c>
      <c r="L745" s="59" t="str">
        <f aca="false">IFERROR(IF([2]对账明细接口!$L$745=0,"",[2]对账明细接口!$L$745),"")</f>
        <v/>
      </c>
      <c r="M745" s="59" t="str">
        <f aca="false">IFERROR(IF([2]对账明细接口!$M$745=0,"",[2]对账明细接口!$M$745),"")</f>
        <v/>
      </c>
      <c r="N745" s="111" t="n">
        <f aca="false">IF($C745="",0,1)</f>
        <v>0</v>
      </c>
      <c r="O745" s="111" t="n">
        <f aca="false">N(O744)+$N745</f>
        <v>311</v>
      </c>
      <c r="S745" s="10" t="str">
        <f aca="false">IFERROR(IF([2]对账明细接口!$N745=0,"",[2]对账明细接口!$N745),"")</f>
        <v/>
      </c>
      <c r="T745" s="112" t="str">
        <f aca="false">IFERROR(IF([2]对账明细接口!$O745=0,"",[2]对账明细接口!$O745),"")</f>
        <v/>
      </c>
      <c r="U745" s="112" t="str">
        <f aca="false">IFERROR(IF([2]对账明细接口!$P745=0,"",[2]对账明细接口!$P745),"")</f>
        <v/>
      </c>
      <c r="V745" s="112" t="str">
        <f aca="false">IFERROR(IF([2]对账明细接口!$Q745=0,"",[2]对账明细接口!$Q745),"")</f>
        <v/>
      </c>
      <c r="W745" s="10" t="str">
        <f aca="false">IFERROR(IF([2]对账明细接口!$R745=0,"",[2]对账明细接口!$R745),"")</f>
        <v/>
      </c>
      <c r="X745" s="10" t="str">
        <f aca="false">IFERROR(IF([2]对账明细接口!$S745=0,"",[2]对账明细接口!$S745),"")</f>
        <v/>
      </c>
      <c r="Y745" s="10" t="str">
        <f aca="false">IFERROR(IF([2]对账明细接口!$T745=0,"",[2]对账明细接口!$T745),"")</f>
        <v/>
      </c>
      <c r="Z745" s="113" t="str">
        <f aca="false">IFERROR(IF([2]对账明细接口!$U745=0,"",[2]对账明细接口!$U745),"")</f>
        <v/>
      </c>
      <c r="AA745" s="113" t="str">
        <f aca="false">IFERROR(IF([2]对账明细接口!$V745=0,"",[2]对账明细接口!$V745),"")</f>
        <v/>
      </c>
      <c r="AB745" s="10" t="str">
        <f aca="false">IFERROR(IF([2]对账明细接口!$W745=0,"",[2]对账明细接口!$W745),"")</f>
        <v/>
      </c>
      <c r="AC745" s="90" t="str">
        <f aca="false">IFERROR(IF([2]对账明细接口!$X746=0,"",[2]对账明细接口!$X746),"")</f>
        <v/>
      </c>
      <c r="AD745" s="90" t="str">
        <f aca="false">IFERROR(IF([2]对账明细接口!$Y746=0,"",[2]对账明细接口!$Y746),"")</f>
        <v/>
      </c>
      <c r="AE745" s="90" t="str">
        <f aca="false">IFERROR(IF([2]对账明细接口!$AA746=0,"",[2]对账明细接口!$AA746),"")</f>
        <v/>
      </c>
      <c r="AF745" s="90" t="str">
        <f aca="false">IFERROR(IF([2]对账明细接口!$AB746=0,"",[2]对账明细接口!$AB746),"")</f>
        <v/>
      </c>
      <c r="AG745" s="90" t="str">
        <f aca="false">IFERROR(IF([2]对账明细接口!$AC746=0,"",[2]对账明细接口!$AC746),"")</f>
        <v/>
      </c>
      <c r="AH745" s="90" t="str">
        <f aca="false">IFERROR(IF([2]对账明细接口!$AD746=0,"",[2]对账明细接口!$AD746),"")</f>
        <v/>
      </c>
    </row>
    <row r="746" customFormat="false" ht="13.5" hidden="false" customHeight="false" outlineLevel="0" collapsed="false">
      <c r="A746" s="109" t="n">
        <v>746</v>
      </c>
      <c r="B746" s="110" t="str">
        <f aca="false">IFERROR(IF([2]对账明细接口!$B$746=0,"",[2]对账明细接口!$B$746),"")</f>
        <v/>
      </c>
      <c r="C746" s="59" t="str">
        <f aca="false">IFERROR(IF([2]对账明细接口!$C$746=0,"",[2]对账明细接口!$C$746),"")</f>
        <v/>
      </c>
      <c r="D746" s="59" t="str">
        <f aca="false">IFERROR(IF([2]对账明细接口!$D$746=0,"",[2]对账明细接口!$D$746),"")</f>
        <v/>
      </c>
      <c r="E746" s="59" t="str">
        <f aca="false">IFERROR(IF([2]对账明细接口!$E$746=0,"",[2]对账明细接口!$E$746),"")</f>
        <v/>
      </c>
      <c r="F746" s="59" t="str">
        <f aca="false">IFERROR(IF([2]对账明细接口!$F$746=0,"",[2]对账明细接口!$F$746),"")</f>
        <v/>
      </c>
      <c r="G746" s="59" t="str">
        <f aca="false">IFERROR(IF([2]对账明细接口!$G$746=0,"",[2]对账明细接口!$G$746),"")</f>
        <v/>
      </c>
      <c r="H746" s="60" t="str">
        <f aca="false">IFERROR(IF([2]对账明细接口!$H$746=0,"",[2]对账明细接口!$H$746),"")</f>
        <v/>
      </c>
      <c r="I746" s="59" t="str">
        <f aca="false">IFERROR(IF([2]对账明细接口!$I$746=0,"",[2]对账明细接口!$I$746),"")</f>
        <v/>
      </c>
      <c r="J746" s="61" t="str">
        <f aca="false">IFERROR(IF([2]对账明细接口!$J$746=0,"",[2]对账明细接口!$J$746),"")</f>
        <v/>
      </c>
      <c r="K746" s="61" t="str">
        <f aca="false">IFERROR(IF([2]对账明细接口!$K$746=0,"",[2]对账明细接口!$K$746),"")</f>
        <v/>
      </c>
      <c r="L746" s="59" t="str">
        <f aca="false">IFERROR(IF([2]对账明细接口!$L$746=0,"",[2]对账明细接口!$L$746),"")</f>
        <v/>
      </c>
      <c r="M746" s="59" t="str">
        <f aca="false">IFERROR(IF([2]对账明细接口!$M$746=0,"",[2]对账明细接口!$M$746),"")</f>
        <v/>
      </c>
      <c r="N746" s="111" t="n">
        <f aca="false">IF($C746="",0,1)</f>
        <v>0</v>
      </c>
      <c r="O746" s="111" t="n">
        <f aca="false">N(O745)+$N746</f>
        <v>311</v>
      </c>
      <c r="S746" s="10" t="str">
        <f aca="false">IFERROR(IF([2]对账明细接口!$N746=0,"",[2]对账明细接口!$N746),"")</f>
        <v/>
      </c>
      <c r="T746" s="112" t="str">
        <f aca="false">IFERROR(IF([2]对账明细接口!$O746=0,"",[2]对账明细接口!$O746),"")</f>
        <v/>
      </c>
      <c r="U746" s="112" t="str">
        <f aca="false">IFERROR(IF([2]对账明细接口!$P746=0,"",[2]对账明细接口!$P746),"")</f>
        <v/>
      </c>
      <c r="V746" s="112" t="str">
        <f aca="false">IFERROR(IF([2]对账明细接口!$Q746=0,"",[2]对账明细接口!$Q746),"")</f>
        <v/>
      </c>
      <c r="W746" s="10" t="str">
        <f aca="false">IFERROR(IF([2]对账明细接口!$R746=0,"",[2]对账明细接口!$R746),"")</f>
        <v/>
      </c>
      <c r="X746" s="10" t="str">
        <f aca="false">IFERROR(IF([2]对账明细接口!$S746=0,"",[2]对账明细接口!$S746),"")</f>
        <v/>
      </c>
      <c r="Y746" s="10" t="str">
        <f aca="false">IFERROR(IF([2]对账明细接口!$T746=0,"",[2]对账明细接口!$T746),"")</f>
        <v/>
      </c>
      <c r="Z746" s="113" t="str">
        <f aca="false">IFERROR(IF([2]对账明细接口!$U746=0,"",[2]对账明细接口!$U746),"")</f>
        <v/>
      </c>
      <c r="AA746" s="113" t="str">
        <f aca="false">IFERROR(IF([2]对账明细接口!$V746=0,"",[2]对账明细接口!$V746),"")</f>
        <v/>
      </c>
      <c r="AB746" s="10" t="str">
        <f aca="false">IFERROR(IF([2]对账明细接口!$W746=0,"",[2]对账明细接口!$W746),"")</f>
        <v/>
      </c>
      <c r="AC746" s="90" t="str">
        <f aca="false">IFERROR(IF([2]对账明细接口!$X747=0,"",[2]对账明细接口!$X747),"")</f>
        <v/>
      </c>
      <c r="AD746" s="90" t="str">
        <f aca="false">IFERROR(IF([2]对账明细接口!$Y747=0,"",[2]对账明细接口!$Y747),"")</f>
        <v/>
      </c>
      <c r="AE746" s="90" t="str">
        <f aca="false">IFERROR(IF([2]对账明细接口!$AA747=0,"",[2]对账明细接口!$AA747),"")</f>
        <v/>
      </c>
      <c r="AF746" s="90" t="str">
        <f aca="false">IFERROR(IF([2]对账明细接口!$AB747=0,"",[2]对账明细接口!$AB747),"")</f>
        <v/>
      </c>
      <c r="AG746" s="90" t="str">
        <f aca="false">IFERROR(IF([2]对账明细接口!$AC747=0,"",[2]对账明细接口!$AC747),"")</f>
        <v/>
      </c>
      <c r="AH746" s="90" t="str">
        <f aca="false">IFERROR(IF([2]对账明细接口!$AD747=0,"",[2]对账明细接口!$AD747),"")</f>
        <v/>
      </c>
    </row>
    <row r="747" customFormat="false" ht="13.5" hidden="false" customHeight="false" outlineLevel="0" collapsed="false">
      <c r="A747" s="109" t="n">
        <v>747</v>
      </c>
      <c r="B747" s="110" t="str">
        <f aca="false">IFERROR(IF([2]对账明细接口!$B$747=0,"",[2]对账明细接口!$B$747),"")</f>
        <v/>
      </c>
      <c r="C747" s="59" t="str">
        <f aca="false">IFERROR(IF([2]对账明细接口!$C$747=0,"",[2]对账明细接口!$C$747),"")</f>
        <v/>
      </c>
      <c r="D747" s="59" t="str">
        <f aca="false">IFERROR(IF([2]对账明细接口!$D$747=0,"",[2]对账明细接口!$D$747),"")</f>
        <v/>
      </c>
      <c r="E747" s="59" t="str">
        <f aca="false">IFERROR(IF([2]对账明细接口!$E$747=0,"",[2]对账明细接口!$E$747),"")</f>
        <v/>
      </c>
      <c r="F747" s="59" t="str">
        <f aca="false">IFERROR(IF([2]对账明细接口!$F$747=0,"",[2]对账明细接口!$F$747),"")</f>
        <v/>
      </c>
      <c r="G747" s="59" t="str">
        <f aca="false">IFERROR(IF([2]对账明细接口!$G$747=0,"",[2]对账明细接口!$G$747),"")</f>
        <v/>
      </c>
      <c r="H747" s="60" t="str">
        <f aca="false">IFERROR(IF([2]对账明细接口!$H$747=0,"",[2]对账明细接口!$H$747),"")</f>
        <v/>
      </c>
      <c r="I747" s="59" t="str">
        <f aca="false">IFERROR(IF([2]对账明细接口!$I$747=0,"",[2]对账明细接口!$I$747),"")</f>
        <v/>
      </c>
      <c r="J747" s="61" t="str">
        <f aca="false">IFERROR(IF([2]对账明细接口!$J$747=0,"",[2]对账明细接口!$J$747),"")</f>
        <v/>
      </c>
      <c r="K747" s="61" t="str">
        <f aca="false">IFERROR(IF([2]对账明细接口!$K$747=0,"",[2]对账明细接口!$K$747),"")</f>
        <v/>
      </c>
      <c r="L747" s="59" t="str">
        <f aca="false">IFERROR(IF([2]对账明细接口!$L$747=0,"",[2]对账明细接口!$L$747),"")</f>
        <v/>
      </c>
      <c r="M747" s="59" t="str">
        <f aca="false">IFERROR(IF([2]对账明细接口!$M$747=0,"",[2]对账明细接口!$M$747),"")</f>
        <v/>
      </c>
      <c r="N747" s="111" t="n">
        <f aca="false">IF($C747="",0,1)</f>
        <v>0</v>
      </c>
      <c r="O747" s="111" t="n">
        <f aca="false">N(O746)+$N747</f>
        <v>311</v>
      </c>
      <c r="S747" s="10" t="str">
        <f aca="false">IFERROR(IF([2]对账明细接口!$N747=0,"",[2]对账明细接口!$N747),"")</f>
        <v/>
      </c>
      <c r="T747" s="112" t="str">
        <f aca="false">IFERROR(IF([2]对账明细接口!$O747=0,"",[2]对账明细接口!$O747),"")</f>
        <v/>
      </c>
      <c r="U747" s="112" t="str">
        <f aca="false">IFERROR(IF([2]对账明细接口!$P747=0,"",[2]对账明细接口!$P747),"")</f>
        <v/>
      </c>
      <c r="V747" s="112" t="str">
        <f aca="false">IFERROR(IF([2]对账明细接口!$Q747=0,"",[2]对账明细接口!$Q747),"")</f>
        <v/>
      </c>
      <c r="W747" s="10" t="str">
        <f aca="false">IFERROR(IF([2]对账明细接口!$R747=0,"",[2]对账明细接口!$R747),"")</f>
        <v/>
      </c>
      <c r="X747" s="10" t="str">
        <f aca="false">IFERROR(IF([2]对账明细接口!$S747=0,"",[2]对账明细接口!$S747),"")</f>
        <v/>
      </c>
      <c r="Y747" s="10" t="str">
        <f aca="false">IFERROR(IF([2]对账明细接口!$T747=0,"",[2]对账明细接口!$T747),"")</f>
        <v/>
      </c>
      <c r="Z747" s="113" t="str">
        <f aca="false">IFERROR(IF([2]对账明细接口!$U747=0,"",[2]对账明细接口!$U747),"")</f>
        <v/>
      </c>
      <c r="AA747" s="113" t="str">
        <f aca="false">IFERROR(IF([2]对账明细接口!$V747=0,"",[2]对账明细接口!$V747),"")</f>
        <v/>
      </c>
      <c r="AB747" s="10" t="str">
        <f aca="false">IFERROR(IF([2]对账明细接口!$W747=0,"",[2]对账明细接口!$W747),"")</f>
        <v/>
      </c>
      <c r="AC747" s="90" t="str">
        <f aca="false">IFERROR(IF([2]对账明细接口!$X748=0,"",[2]对账明细接口!$X748),"")</f>
        <v/>
      </c>
      <c r="AD747" s="90" t="str">
        <f aca="false">IFERROR(IF([2]对账明细接口!$Y748=0,"",[2]对账明细接口!$Y748),"")</f>
        <v/>
      </c>
      <c r="AE747" s="90" t="str">
        <f aca="false">IFERROR(IF([2]对账明细接口!$AA748=0,"",[2]对账明细接口!$AA748),"")</f>
        <v/>
      </c>
      <c r="AF747" s="90" t="str">
        <f aca="false">IFERROR(IF([2]对账明细接口!$AB748=0,"",[2]对账明细接口!$AB748),"")</f>
        <v/>
      </c>
      <c r="AG747" s="90" t="str">
        <f aca="false">IFERROR(IF([2]对账明细接口!$AC748=0,"",[2]对账明细接口!$AC748),"")</f>
        <v/>
      </c>
      <c r="AH747" s="90" t="str">
        <f aca="false">IFERROR(IF([2]对账明细接口!$AD748=0,"",[2]对账明细接口!$AD748),"")</f>
        <v/>
      </c>
    </row>
    <row r="748" customFormat="false" ht="13.5" hidden="false" customHeight="false" outlineLevel="0" collapsed="false">
      <c r="A748" s="109" t="n">
        <v>748</v>
      </c>
      <c r="B748" s="110" t="str">
        <f aca="false">IFERROR(IF([2]对账明细接口!$B$748=0,"",[2]对账明细接口!$B$748),"")</f>
        <v/>
      </c>
      <c r="C748" s="59" t="str">
        <f aca="false">IFERROR(IF([2]对账明细接口!$C$748=0,"",[2]对账明细接口!$C$748),"")</f>
        <v/>
      </c>
      <c r="D748" s="59" t="str">
        <f aca="false">IFERROR(IF([2]对账明细接口!$D$748=0,"",[2]对账明细接口!$D$748),"")</f>
        <v/>
      </c>
      <c r="E748" s="59" t="str">
        <f aca="false">IFERROR(IF([2]对账明细接口!$E$748=0,"",[2]对账明细接口!$E$748),"")</f>
        <v/>
      </c>
      <c r="F748" s="59" t="str">
        <f aca="false">IFERROR(IF([2]对账明细接口!$F$748=0,"",[2]对账明细接口!$F$748),"")</f>
        <v/>
      </c>
      <c r="G748" s="59" t="str">
        <f aca="false">IFERROR(IF([2]对账明细接口!$G$748=0,"",[2]对账明细接口!$G$748),"")</f>
        <v/>
      </c>
      <c r="H748" s="60" t="str">
        <f aca="false">IFERROR(IF([2]对账明细接口!$H$748=0,"",[2]对账明细接口!$H$748),"")</f>
        <v/>
      </c>
      <c r="I748" s="59" t="str">
        <f aca="false">IFERROR(IF([2]对账明细接口!$I$748=0,"",[2]对账明细接口!$I$748),"")</f>
        <v/>
      </c>
      <c r="J748" s="61" t="str">
        <f aca="false">IFERROR(IF([2]对账明细接口!$J$748=0,"",[2]对账明细接口!$J$748),"")</f>
        <v/>
      </c>
      <c r="K748" s="61" t="str">
        <f aca="false">IFERROR(IF([2]对账明细接口!$K$748=0,"",[2]对账明细接口!$K$748),"")</f>
        <v/>
      </c>
      <c r="L748" s="59" t="str">
        <f aca="false">IFERROR(IF([2]对账明细接口!$L$748=0,"",[2]对账明细接口!$L$748),"")</f>
        <v/>
      </c>
      <c r="M748" s="59" t="str">
        <f aca="false">IFERROR(IF([2]对账明细接口!$M$748=0,"",[2]对账明细接口!$M$748),"")</f>
        <v/>
      </c>
      <c r="N748" s="111" t="n">
        <f aca="false">IF($C748="",0,1)</f>
        <v>0</v>
      </c>
      <c r="O748" s="111" t="n">
        <f aca="false">N(O747)+$N748</f>
        <v>311</v>
      </c>
      <c r="S748" s="10" t="str">
        <f aca="false">IFERROR(IF([2]对账明细接口!$N748=0,"",[2]对账明细接口!$N748),"")</f>
        <v/>
      </c>
      <c r="T748" s="112" t="str">
        <f aca="false">IFERROR(IF([2]对账明细接口!$O748=0,"",[2]对账明细接口!$O748),"")</f>
        <v/>
      </c>
      <c r="U748" s="112" t="str">
        <f aca="false">IFERROR(IF([2]对账明细接口!$P748=0,"",[2]对账明细接口!$P748),"")</f>
        <v/>
      </c>
      <c r="V748" s="112" t="str">
        <f aca="false">IFERROR(IF([2]对账明细接口!$Q748=0,"",[2]对账明细接口!$Q748),"")</f>
        <v/>
      </c>
      <c r="W748" s="10" t="str">
        <f aca="false">IFERROR(IF([2]对账明细接口!$R748=0,"",[2]对账明细接口!$R748),"")</f>
        <v/>
      </c>
      <c r="X748" s="10" t="str">
        <f aca="false">IFERROR(IF([2]对账明细接口!$S748=0,"",[2]对账明细接口!$S748),"")</f>
        <v/>
      </c>
      <c r="Y748" s="10" t="str">
        <f aca="false">IFERROR(IF([2]对账明细接口!$T748=0,"",[2]对账明细接口!$T748),"")</f>
        <v/>
      </c>
      <c r="Z748" s="113" t="str">
        <f aca="false">IFERROR(IF([2]对账明细接口!$U748=0,"",[2]对账明细接口!$U748),"")</f>
        <v/>
      </c>
      <c r="AA748" s="113" t="str">
        <f aca="false">IFERROR(IF([2]对账明细接口!$V748=0,"",[2]对账明细接口!$V748),"")</f>
        <v/>
      </c>
      <c r="AB748" s="10" t="str">
        <f aca="false">IFERROR(IF([2]对账明细接口!$W748=0,"",[2]对账明细接口!$W748),"")</f>
        <v/>
      </c>
      <c r="AC748" s="90" t="str">
        <f aca="false">IFERROR(IF([2]对账明细接口!$X749=0,"",[2]对账明细接口!$X749),"")</f>
        <v/>
      </c>
      <c r="AD748" s="90" t="str">
        <f aca="false">IFERROR(IF([2]对账明细接口!$Y749=0,"",[2]对账明细接口!$Y749),"")</f>
        <v/>
      </c>
      <c r="AE748" s="90" t="str">
        <f aca="false">IFERROR(IF([2]对账明细接口!$AA749=0,"",[2]对账明细接口!$AA749),"")</f>
        <v/>
      </c>
      <c r="AF748" s="90" t="str">
        <f aca="false">IFERROR(IF([2]对账明细接口!$AB749=0,"",[2]对账明细接口!$AB749),"")</f>
        <v/>
      </c>
      <c r="AG748" s="90" t="str">
        <f aca="false">IFERROR(IF([2]对账明细接口!$AC749=0,"",[2]对账明细接口!$AC749),"")</f>
        <v/>
      </c>
      <c r="AH748" s="90" t="str">
        <f aca="false">IFERROR(IF([2]对账明细接口!$AD749=0,"",[2]对账明细接口!$AD749),"")</f>
        <v/>
      </c>
    </row>
    <row r="749" customFormat="false" ht="13.5" hidden="false" customHeight="false" outlineLevel="0" collapsed="false">
      <c r="A749" s="109" t="n">
        <v>749</v>
      </c>
      <c r="B749" s="110" t="str">
        <f aca="false">IFERROR(IF([2]对账明细接口!$B$749=0,"",[2]对账明细接口!$B$749),"")</f>
        <v/>
      </c>
      <c r="C749" s="59" t="str">
        <f aca="false">IFERROR(IF([2]对账明细接口!$C$749=0,"",[2]对账明细接口!$C$749),"")</f>
        <v/>
      </c>
      <c r="D749" s="59" t="str">
        <f aca="false">IFERROR(IF([2]对账明细接口!$D$749=0,"",[2]对账明细接口!$D$749),"")</f>
        <v/>
      </c>
      <c r="E749" s="59" t="str">
        <f aca="false">IFERROR(IF([2]对账明细接口!$E$749=0,"",[2]对账明细接口!$E$749),"")</f>
        <v/>
      </c>
      <c r="F749" s="59" t="str">
        <f aca="false">IFERROR(IF([2]对账明细接口!$F$749=0,"",[2]对账明细接口!$F$749),"")</f>
        <v/>
      </c>
      <c r="G749" s="59" t="str">
        <f aca="false">IFERROR(IF([2]对账明细接口!$G$749=0,"",[2]对账明细接口!$G$749),"")</f>
        <v/>
      </c>
      <c r="H749" s="60" t="str">
        <f aca="false">IFERROR(IF([2]对账明细接口!$H$749=0,"",[2]对账明细接口!$H$749),"")</f>
        <v/>
      </c>
      <c r="I749" s="59" t="str">
        <f aca="false">IFERROR(IF([2]对账明细接口!$I$749=0,"",[2]对账明细接口!$I$749),"")</f>
        <v/>
      </c>
      <c r="J749" s="61" t="str">
        <f aca="false">IFERROR(IF([2]对账明细接口!$J$749=0,"",[2]对账明细接口!$J$749),"")</f>
        <v/>
      </c>
      <c r="K749" s="61" t="str">
        <f aca="false">IFERROR(IF([2]对账明细接口!$K$749=0,"",[2]对账明细接口!$K$749),"")</f>
        <v/>
      </c>
      <c r="L749" s="59" t="str">
        <f aca="false">IFERROR(IF([2]对账明细接口!$L$749=0,"",[2]对账明细接口!$L$749),"")</f>
        <v/>
      </c>
      <c r="M749" s="59" t="str">
        <f aca="false">IFERROR(IF([2]对账明细接口!$M$749=0,"",[2]对账明细接口!$M$749),"")</f>
        <v/>
      </c>
      <c r="N749" s="111" t="n">
        <f aca="false">IF($C749="",0,1)</f>
        <v>0</v>
      </c>
      <c r="O749" s="111" t="n">
        <f aca="false">N(O748)+$N749</f>
        <v>311</v>
      </c>
      <c r="S749" s="10" t="str">
        <f aca="false">IFERROR(IF([2]对账明细接口!$N749=0,"",[2]对账明细接口!$N749),"")</f>
        <v/>
      </c>
      <c r="T749" s="112" t="str">
        <f aca="false">IFERROR(IF([2]对账明细接口!$O749=0,"",[2]对账明细接口!$O749),"")</f>
        <v/>
      </c>
      <c r="U749" s="112" t="str">
        <f aca="false">IFERROR(IF([2]对账明细接口!$P749=0,"",[2]对账明细接口!$P749),"")</f>
        <v/>
      </c>
      <c r="V749" s="112" t="str">
        <f aca="false">IFERROR(IF([2]对账明细接口!$Q749=0,"",[2]对账明细接口!$Q749),"")</f>
        <v/>
      </c>
      <c r="W749" s="10" t="str">
        <f aca="false">IFERROR(IF([2]对账明细接口!$R749=0,"",[2]对账明细接口!$R749),"")</f>
        <v/>
      </c>
      <c r="X749" s="10" t="str">
        <f aca="false">IFERROR(IF([2]对账明细接口!$S749=0,"",[2]对账明细接口!$S749),"")</f>
        <v/>
      </c>
      <c r="Y749" s="10" t="str">
        <f aca="false">IFERROR(IF([2]对账明细接口!$T749=0,"",[2]对账明细接口!$T749),"")</f>
        <v/>
      </c>
      <c r="Z749" s="113" t="str">
        <f aca="false">IFERROR(IF([2]对账明细接口!$U749=0,"",[2]对账明细接口!$U749),"")</f>
        <v/>
      </c>
      <c r="AA749" s="113" t="str">
        <f aca="false">IFERROR(IF([2]对账明细接口!$V749=0,"",[2]对账明细接口!$V749),"")</f>
        <v/>
      </c>
      <c r="AB749" s="10" t="str">
        <f aca="false">IFERROR(IF([2]对账明细接口!$W749=0,"",[2]对账明细接口!$W749),"")</f>
        <v/>
      </c>
      <c r="AC749" s="90" t="str">
        <f aca="false">IFERROR(IF([2]对账明细接口!$X750=0,"",[2]对账明细接口!$X750),"")</f>
        <v/>
      </c>
      <c r="AD749" s="90" t="str">
        <f aca="false">IFERROR(IF([2]对账明细接口!$Y750=0,"",[2]对账明细接口!$Y750),"")</f>
        <v/>
      </c>
      <c r="AE749" s="90" t="str">
        <f aca="false">IFERROR(IF([2]对账明细接口!$AA750=0,"",[2]对账明细接口!$AA750),"")</f>
        <v/>
      </c>
      <c r="AF749" s="90" t="str">
        <f aca="false">IFERROR(IF([2]对账明细接口!$AB750=0,"",[2]对账明细接口!$AB750),"")</f>
        <v/>
      </c>
      <c r="AG749" s="90" t="str">
        <f aca="false">IFERROR(IF([2]对账明细接口!$AC750=0,"",[2]对账明细接口!$AC750),"")</f>
        <v/>
      </c>
      <c r="AH749" s="90" t="str">
        <f aca="false">IFERROR(IF([2]对账明细接口!$AD750=0,"",[2]对账明细接口!$AD750),"")</f>
        <v/>
      </c>
    </row>
    <row r="750" customFormat="false" ht="13.5" hidden="false" customHeight="false" outlineLevel="0" collapsed="false">
      <c r="A750" s="109" t="n">
        <v>750</v>
      </c>
      <c r="B750" s="110" t="str">
        <f aca="false">IFERROR(IF([2]对账明细接口!$B$750=0,"",[2]对账明细接口!$B$750),"")</f>
        <v/>
      </c>
      <c r="C750" s="59" t="str">
        <f aca="false">IFERROR(IF([2]对账明细接口!$C$750=0,"",[2]对账明细接口!$C$750),"")</f>
        <v/>
      </c>
      <c r="D750" s="59" t="str">
        <f aca="false">IFERROR(IF([2]对账明细接口!$D$750=0,"",[2]对账明细接口!$D$750),"")</f>
        <v/>
      </c>
      <c r="E750" s="59" t="str">
        <f aca="false">IFERROR(IF([2]对账明细接口!$E$750=0,"",[2]对账明细接口!$E$750),"")</f>
        <v/>
      </c>
      <c r="F750" s="59" t="str">
        <f aca="false">IFERROR(IF([2]对账明细接口!$F$750=0,"",[2]对账明细接口!$F$750),"")</f>
        <v/>
      </c>
      <c r="G750" s="59" t="str">
        <f aca="false">IFERROR(IF([2]对账明细接口!$G$750=0,"",[2]对账明细接口!$G$750),"")</f>
        <v/>
      </c>
      <c r="H750" s="60" t="str">
        <f aca="false">IFERROR(IF([2]对账明细接口!$H$750=0,"",[2]对账明细接口!$H$750),"")</f>
        <v/>
      </c>
      <c r="I750" s="59" t="str">
        <f aca="false">IFERROR(IF([2]对账明细接口!$I$750=0,"",[2]对账明细接口!$I$750),"")</f>
        <v/>
      </c>
      <c r="J750" s="61" t="str">
        <f aca="false">IFERROR(IF([2]对账明细接口!$J$750=0,"",[2]对账明细接口!$J$750),"")</f>
        <v/>
      </c>
      <c r="K750" s="61" t="str">
        <f aca="false">IFERROR(IF([2]对账明细接口!$K$750=0,"",[2]对账明细接口!$K$750),"")</f>
        <v/>
      </c>
      <c r="L750" s="59" t="str">
        <f aca="false">IFERROR(IF([2]对账明细接口!$L$750=0,"",[2]对账明细接口!$L$750),"")</f>
        <v/>
      </c>
      <c r="M750" s="59" t="str">
        <f aca="false">IFERROR(IF([2]对账明细接口!$M$750=0,"",[2]对账明细接口!$M$750),"")</f>
        <v/>
      </c>
      <c r="N750" s="111" t="n">
        <f aca="false">IF($C750="",0,1)</f>
        <v>0</v>
      </c>
      <c r="O750" s="111" t="n">
        <f aca="false">N(O749)+$N750</f>
        <v>311</v>
      </c>
      <c r="S750" s="10" t="str">
        <f aca="false">IFERROR(IF([2]对账明细接口!$N750=0,"",[2]对账明细接口!$N750),"")</f>
        <v/>
      </c>
      <c r="T750" s="112" t="str">
        <f aca="false">IFERROR(IF([2]对账明细接口!$O750=0,"",[2]对账明细接口!$O750),"")</f>
        <v/>
      </c>
      <c r="U750" s="112" t="str">
        <f aca="false">IFERROR(IF([2]对账明细接口!$P750=0,"",[2]对账明细接口!$P750),"")</f>
        <v/>
      </c>
      <c r="V750" s="112" t="str">
        <f aca="false">IFERROR(IF([2]对账明细接口!$Q750=0,"",[2]对账明细接口!$Q750),"")</f>
        <v/>
      </c>
      <c r="W750" s="10" t="str">
        <f aca="false">IFERROR(IF([2]对账明细接口!$R750=0,"",[2]对账明细接口!$R750),"")</f>
        <v/>
      </c>
      <c r="X750" s="10" t="str">
        <f aca="false">IFERROR(IF([2]对账明细接口!$S750=0,"",[2]对账明细接口!$S750),"")</f>
        <v/>
      </c>
      <c r="Y750" s="10" t="str">
        <f aca="false">IFERROR(IF([2]对账明细接口!$T750=0,"",[2]对账明细接口!$T750),"")</f>
        <v/>
      </c>
      <c r="Z750" s="113" t="str">
        <f aca="false">IFERROR(IF([2]对账明细接口!$U750=0,"",[2]对账明细接口!$U750),"")</f>
        <v/>
      </c>
      <c r="AA750" s="113" t="str">
        <f aca="false">IFERROR(IF([2]对账明细接口!$V750=0,"",[2]对账明细接口!$V750),"")</f>
        <v/>
      </c>
      <c r="AB750" s="10" t="str">
        <f aca="false">IFERROR(IF([2]对账明细接口!$W750=0,"",[2]对账明细接口!$W750),"")</f>
        <v/>
      </c>
      <c r="AC750" s="90" t="str">
        <f aca="false">IFERROR(IF([2]对账明细接口!$X751=0,"",[2]对账明细接口!$X751),"")</f>
        <v/>
      </c>
      <c r="AD750" s="90" t="str">
        <f aca="false">IFERROR(IF([2]对账明细接口!$Y751=0,"",[2]对账明细接口!$Y751),"")</f>
        <v/>
      </c>
      <c r="AE750" s="90" t="str">
        <f aca="false">IFERROR(IF([2]对账明细接口!$AA751=0,"",[2]对账明细接口!$AA751),"")</f>
        <v/>
      </c>
      <c r="AF750" s="90" t="str">
        <f aca="false">IFERROR(IF([2]对账明细接口!$AB751=0,"",[2]对账明细接口!$AB751),"")</f>
        <v/>
      </c>
      <c r="AG750" s="90" t="str">
        <f aca="false">IFERROR(IF([2]对账明细接口!$AC751=0,"",[2]对账明细接口!$AC751),"")</f>
        <v/>
      </c>
      <c r="AH750" s="90" t="str">
        <f aca="false">IFERROR(IF([2]对账明细接口!$AD751=0,"",[2]对账明细接口!$AD751),"")</f>
        <v/>
      </c>
    </row>
    <row r="751" customFormat="false" ht="13.5" hidden="false" customHeight="false" outlineLevel="0" collapsed="false">
      <c r="A751" s="109" t="n">
        <v>751</v>
      </c>
      <c r="B751" s="110" t="str">
        <f aca="false">IFERROR(IF([2]对账明细接口!$B$751=0,"",[2]对账明细接口!$B$751),"")</f>
        <v/>
      </c>
      <c r="C751" s="59" t="str">
        <f aca="false">IFERROR(IF([2]对账明细接口!$C$751=0,"",[2]对账明细接口!$C$751),"")</f>
        <v/>
      </c>
      <c r="D751" s="59" t="str">
        <f aca="false">IFERROR(IF([2]对账明细接口!$D$751=0,"",[2]对账明细接口!$D$751),"")</f>
        <v/>
      </c>
      <c r="E751" s="59" t="str">
        <f aca="false">IFERROR(IF([2]对账明细接口!$E$751=0,"",[2]对账明细接口!$E$751),"")</f>
        <v/>
      </c>
      <c r="F751" s="59" t="str">
        <f aca="false">IFERROR(IF([2]对账明细接口!$F$751=0,"",[2]对账明细接口!$F$751),"")</f>
        <v/>
      </c>
      <c r="G751" s="59" t="str">
        <f aca="false">IFERROR(IF([2]对账明细接口!$G$751=0,"",[2]对账明细接口!$G$751),"")</f>
        <v/>
      </c>
      <c r="H751" s="60" t="str">
        <f aca="false">IFERROR(IF([2]对账明细接口!$H$751=0,"",[2]对账明细接口!$H$751),"")</f>
        <v/>
      </c>
      <c r="I751" s="59" t="str">
        <f aca="false">IFERROR(IF([2]对账明细接口!$I$751=0,"",[2]对账明细接口!$I$751),"")</f>
        <v/>
      </c>
      <c r="J751" s="61" t="str">
        <f aca="false">IFERROR(IF([2]对账明细接口!$J$751=0,"",[2]对账明细接口!$J$751),"")</f>
        <v/>
      </c>
      <c r="K751" s="61" t="str">
        <f aca="false">IFERROR(IF([2]对账明细接口!$K$751=0,"",[2]对账明细接口!$K$751),"")</f>
        <v/>
      </c>
      <c r="L751" s="59" t="str">
        <f aca="false">IFERROR(IF([2]对账明细接口!$L$751=0,"",[2]对账明细接口!$L$751),"")</f>
        <v/>
      </c>
      <c r="M751" s="59" t="str">
        <f aca="false">IFERROR(IF([2]对账明细接口!$M$751=0,"",[2]对账明细接口!$M$751),"")</f>
        <v/>
      </c>
      <c r="N751" s="111" t="n">
        <f aca="false">IF($C751="",0,1)</f>
        <v>0</v>
      </c>
      <c r="O751" s="111" t="n">
        <f aca="false">N(O750)+$N751</f>
        <v>311</v>
      </c>
      <c r="S751" s="10" t="str">
        <f aca="false">IFERROR(IF([2]对账明细接口!$N751=0,"",[2]对账明细接口!$N751),"")</f>
        <v/>
      </c>
      <c r="T751" s="112" t="str">
        <f aca="false">IFERROR(IF([2]对账明细接口!$O751=0,"",[2]对账明细接口!$O751),"")</f>
        <v/>
      </c>
      <c r="U751" s="112" t="str">
        <f aca="false">IFERROR(IF([2]对账明细接口!$P751=0,"",[2]对账明细接口!$P751),"")</f>
        <v/>
      </c>
      <c r="V751" s="112" t="str">
        <f aca="false">IFERROR(IF([2]对账明细接口!$Q751=0,"",[2]对账明细接口!$Q751),"")</f>
        <v/>
      </c>
      <c r="W751" s="10" t="str">
        <f aca="false">IFERROR(IF([2]对账明细接口!$R751=0,"",[2]对账明细接口!$R751),"")</f>
        <v/>
      </c>
      <c r="X751" s="10" t="str">
        <f aca="false">IFERROR(IF([2]对账明细接口!$S751=0,"",[2]对账明细接口!$S751),"")</f>
        <v/>
      </c>
      <c r="Y751" s="10" t="str">
        <f aca="false">IFERROR(IF([2]对账明细接口!$T751=0,"",[2]对账明细接口!$T751),"")</f>
        <v/>
      </c>
      <c r="Z751" s="113" t="str">
        <f aca="false">IFERROR(IF([2]对账明细接口!$U751=0,"",[2]对账明细接口!$U751),"")</f>
        <v/>
      </c>
      <c r="AA751" s="113" t="str">
        <f aca="false">IFERROR(IF([2]对账明细接口!$V751=0,"",[2]对账明细接口!$V751),"")</f>
        <v/>
      </c>
      <c r="AB751" s="10" t="str">
        <f aca="false">IFERROR(IF([2]对账明细接口!$W751=0,"",[2]对账明细接口!$W751),"")</f>
        <v/>
      </c>
      <c r="AC751" s="90" t="str">
        <f aca="false">IFERROR(IF([2]对账明细接口!$X752=0,"",[2]对账明细接口!$X752),"")</f>
        <v/>
      </c>
      <c r="AD751" s="90" t="str">
        <f aca="false">IFERROR(IF([2]对账明细接口!$Y752=0,"",[2]对账明细接口!$Y752),"")</f>
        <v/>
      </c>
      <c r="AE751" s="90" t="str">
        <f aca="false">IFERROR(IF([2]对账明细接口!$AA752=0,"",[2]对账明细接口!$AA752),"")</f>
        <v/>
      </c>
      <c r="AF751" s="90" t="str">
        <f aca="false">IFERROR(IF([2]对账明细接口!$AB752=0,"",[2]对账明细接口!$AB752),"")</f>
        <v/>
      </c>
      <c r="AG751" s="90" t="str">
        <f aca="false">IFERROR(IF([2]对账明细接口!$AC752=0,"",[2]对账明细接口!$AC752),"")</f>
        <v/>
      </c>
      <c r="AH751" s="90" t="str">
        <f aca="false">IFERROR(IF([2]对账明细接口!$AD752=0,"",[2]对账明细接口!$AD752),"")</f>
        <v/>
      </c>
    </row>
    <row r="752" customFormat="false" ht="13.5" hidden="false" customHeight="false" outlineLevel="0" collapsed="false">
      <c r="A752" s="109" t="n">
        <v>752</v>
      </c>
      <c r="B752" s="110" t="str">
        <f aca="false">IFERROR(IF([2]对账明细接口!$B$752=0,"",[2]对账明细接口!$B$752),"")</f>
        <v/>
      </c>
      <c r="C752" s="59" t="str">
        <f aca="false">IFERROR(IF([2]对账明细接口!$C$752=0,"",[2]对账明细接口!$C$752),"")</f>
        <v/>
      </c>
      <c r="D752" s="59" t="str">
        <f aca="false">IFERROR(IF([2]对账明细接口!$D$752=0,"",[2]对账明细接口!$D$752),"")</f>
        <v/>
      </c>
      <c r="E752" s="59" t="str">
        <f aca="false">IFERROR(IF([2]对账明细接口!$E$752=0,"",[2]对账明细接口!$E$752),"")</f>
        <v/>
      </c>
      <c r="F752" s="59" t="str">
        <f aca="false">IFERROR(IF([2]对账明细接口!$F$752=0,"",[2]对账明细接口!$F$752),"")</f>
        <v/>
      </c>
      <c r="G752" s="59" t="str">
        <f aca="false">IFERROR(IF([2]对账明细接口!$G$752=0,"",[2]对账明细接口!$G$752),"")</f>
        <v/>
      </c>
      <c r="H752" s="60" t="str">
        <f aca="false">IFERROR(IF([2]对账明细接口!$H$752=0,"",[2]对账明细接口!$H$752),"")</f>
        <v/>
      </c>
      <c r="I752" s="59" t="str">
        <f aca="false">IFERROR(IF([2]对账明细接口!$I$752=0,"",[2]对账明细接口!$I$752),"")</f>
        <v/>
      </c>
      <c r="J752" s="61" t="str">
        <f aca="false">IFERROR(IF([2]对账明细接口!$J$752=0,"",[2]对账明细接口!$J$752),"")</f>
        <v/>
      </c>
      <c r="K752" s="61" t="str">
        <f aca="false">IFERROR(IF([2]对账明细接口!$K$752=0,"",[2]对账明细接口!$K$752),"")</f>
        <v/>
      </c>
      <c r="L752" s="59" t="str">
        <f aca="false">IFERROR(IF([2]对账明细接口!$L$752=0,"",[2]对账明细接口!$L$752),"")</f>
        <v/>
      </c>
      <c r="M752" s="59" t="str">
        <f aca="false">IFERROR(IF([2]对账明细接口!$M$752=0,"",[2]对账明细接口!$M$752),"")</f>
        <v/>
      </c>
      <c r="N752" s="111" t="n">
        <f aca="false">IF($C752="",0,1)</f>
        <v>0</v>
      </c>
      <c r="O752" s="111" t="n">
        <f aca="false">N(O751)+$N752</f>
        <v>311</v>
      </c>
      <c r="S752" s="10" t="str">
        <f aca="false">IFERROR(IF([2]对账明细接口!$N752=0,"",[2]对账明细接口!$N752),"")</f>
        <v/>
      </c>
      <c r="T752" s="112" t="str">
        <f aca="false">IFERROR(IF([2]对账明细接口!$O752=0,"",[2]对账明细接口!$O752),"")</f>
        <v/>
      </c>
      <c r="U752" s="112" t="str">
        <f aca="false">IFERROR(IF([2]对账明细接口!$P752=0,"",[2]对账明细接口!$P752),"")</f>
        <v/>
      </c>
      <c r="V752" s="112" t="str">
        <f aca="false">IFERROR(IF([2]对账明细接口!$Q752=0,"",[2]对账明细接口!$Q752),"")</f>
        <v/>
      </c>
      <c r="W752" s="10" t="str">
        <f aca="false">IFERROR(IF([2]对账明细接口!$R752=0,"",[2]对账明细接口!$R752),"")</f>
        <v/>
      </c>
      <c r="X752" s="10" t="str">
        <f aca="false">IFERROR(IF([2]对账明细接口!$S752=0,"",[2]对账明细接口!$S752),"")</f>
        <v/>
      </c>
      <c r="Y752" s="10" t="str">
        <f aca="false">IFERROR(IF([2]对账明细接口!$T752=0,"",[2]对账明细接口!$T752),"")</f>
        <v/>
      </c>
      <c r="Z752" s="113" t="str">
        <f aca="false">IFERROR(IF([2]对账明细接口!$U752=0,"",[2]对账明细接口!$U752),"")</f>
        <v/>
      </c>
      <c r="AA752" s="113" t="str">
        <f aca="false">IFERROR(IF([2]对账明细接口!$V752=0,"",[2]对账明细接口!$V752),"")</f>
        <v/>
      </c>
      <c r="AB752" s="10" t="str">
        <f aca="false">IFERROR(IF([2]对账明细接口!$W752=0,"",[2]对账明细接口!$W752),"")</f>
        <v/>
      </c>
      <c r="AC752" s="90" t="str">
        <f aca="false">IFERROR(IF([2]对账明细接口!$X753=0,"",[2]对账明细接口!$X753),"")</f>
        <v/>
      </c>
      <c r="AD752" s="90" t="str">
        <f aca="false">IFERROR(IF([2]对账明细接口!$Y753=0,"",[2]对账明细接口!$Y753),"")</f>
        <v/>
      </c>
      <c r="AE752" s="90" t="str">
        <f aca="false">IFERROR(IF([2]对账明细接口!$AA753=0,"",[2]对账明细接口!$AA753),"")</f>
        <v/>
      </c>
      <c r="AF752" s="90" t="str">
        <f aca="false">IFERROR(IF([2]对账明细接口!$AB753=0,"",[2]对账明细接口!$AB753),"")</f>
        <v/>
      </c>
      <c r="AG752" s="90" t="str">
        <f aca="false">IFERROR(IF([2]对账明细接口!$AC753=0,"",[2]对账明细接口!$AC753),"")</f>
        <v/>
      </c>
      <c r="AH752" s="90" t="str">
        <f aca="false">IFERROR(IF([2]对账明细接口!$AD753=0,"",[2]对账明细接口!$AD753),"")</f>
        <v/>
      </c>
    </row>
    <row r="753" customFormat="false" ht="13.5" hidden="false" customHeight="false" outlineLevel="0" collapsed="false">
      <c r="A753" s="109" t="n">
        <v>753</v>
      </c>
      <c r="B753" s="110" t="str">
        <f aca="false">IFERROR(IF([2]对账明细接口!$B$753=0,"",[2]对账明细接口!$B$753),"")</f>
        <v/>
      </c>
      <c r="C753" s="59" t="str">
        <f aca="false">IFERROR(IF([2]对账明细接口!$C$753=0,"",[2]对账明细接口!$C$753),"")</f>
        <v/>
      </c>
      <c r="D753" s="59" t="str">
        <f aca="false">IFERROR(IF([2]对账明细接口!$D$753=0,"",[2]对账明细接口!$D$753),"")</f>
        <v/>
      </c>
      <c r="E753" s="59" t="str">
        <f aca="false">IFERROR(IF([2]对账明细接口!$E$753=0,"",[2]对账明细接口!$E$753),"")</f>
        <v/>
      </c>
      <c r="F753" s="59" t="str">
        <f aca="false">IFERROR(IF([2]对账明细接口!$F$753=0,"",[2]对账明细接口!$F$753),"")</f>
        <v/>
      </c>
      <c r="G753" s="59" t="str">
        <f aca="false">IFERROR(IF([2]对账明细接口!$G$753=0,"",[2]对账明细接口!$G$753),"")</f>
        <v/>
      </c>
      <c r="H753" s="60" t="str">
        <f aca="false">IFERROR(IF([2]对账明细接口!$H$753=0,"",[2]对账明细接口!$H$753),"")</f>
        <v/>
      </c>
      <c r="I753" s="59" t="str">
        <f aca="false">IFERROR(IF([2]对账明细接口!$I$753=0,"",[2]对账明细接口!$I$753),"")</f>
        <v/>
      </c>
      <c r="J753" s="61" t="str">
        <f aca="false">IFERROR(IF([2]对账明细接口!$J$753=0,"",[2]对账明细接口!$J$753),"")</f>
        <v/>
      </c>
      <c r="K753" s="61" t="str">
        <f aca="false">IFERROR(IF([2]对账明细接口!$K$753=0,"",[2]对账明细接口!$K$753),"")</f>
        <v/>
      </c>
      <c r="L753" s="59" t="str">
        <f aca="false">IFERROR(IF([2]对账明细接口!$L$753=0,"",[2]对账明细接口!$L$753),"")</f>
        <v/>
      </c>
      <c r="M753" s="59" t="str">
        <f aca="false">IFERROR(IF([2]对账明细接口!$M$753=0,"",[2]对账明细接口!$M$753),"")</f>
        <v/>
      </c>
      <c r="N753" s="111" t="n">
        <f aca="false">IF($C753="",0,1)</f>
        <v>0</v>
      </c>
      <c r="O753" s="111" t="n">
        <f aca="false">N(O752)+$N753</f>
        <v>311</v>
      </c>
      <c r="S753" s="10" t="str">
        <f aca="false">IFERROR(IF([2]对账明细接口!$N753=0,"",[2]对账明细接口!$N753),"")</f>
        <v/>
      </c>
      <c r="T753" s="112" t="str">
        <f aca="false">IFERROR(IF([2]对账明细接口!$O753=0,"",[2]对账明细接口!$O753),"")</f>
        <v/>
      </c>
      <c r="U753" s="112" t="str">
        <f aca="false">IFERROR(IF([2]对账明细接口!$P753=0,"",[2]对账明细接口!$P753),"")</f>
        <v/>
      </c>
      <c r="V753" s="112" t="str">
        <f aca="false">IFERROR(IF([2]对账明细接口!$Q753=0,"",[2]对账明细接口!$Q753),"")</f>
        <v/>
      </c>
      <c r="W753" s="10" t="str">
        <f aca="false">IFERROR(IF([2]对账明细接口!$R753=0,"",[2]对账明细接口!$R753),"")</f>
        <v/>
      </c>
      <c r="X753" s="10" t="str">
        <f aca="false">IFERROR(IF([2]对账明细接口!$S753=0,"",[2]对账明细接口!$S753),"")</f>
        <v/>
      </c>
      <c r="Y753" s="10" t="str">
        <f aca="false">IFERROR(IF([2]对账明细接口!$T753=0,"",[2]对账明细接口!$T753),"")</f>
        <v/>
      </c>
      <c r="Z753" s="113" t="str">
        <f aca="false">IFERROR(IF([2]对账明细接口!$U753=0,"",[2]对账明细接口!$U753),"")</f>
        <v/>
      </c>
      <c r="AA753" s="113" t="str">
        <f aca="false">IFERROR(IF([2]对账明细接口!$V753=0,"",[2]对账明细接口!$V753),"")</f>
        <v/>
      </c>
      <c r="AB753" s="10" t="str">
        <f aca="false">IFERROR(IF([2]对账明细接口!$W753=0,"",[2]对账明细接口!$W753),"")</f>
        <v/>
      </c>
      <c r="AC753" s="90" t="str">
        <f aca="false">IFERROR(IF([2]对账明细接口!$X754=0,"",[2]对账明细接口!$X754),"")</f>
        <v/>
      </c>
      <c r="AD753" s="90" t="str">
        <f aca="false">IFERROR(IF([2]对账明细接口!$Y754=0,"",[2]对账明细接口!$Y754),"")</f>
        <v/>
      </c>
      <c r="AE753" s="90" t="str">
        <f aca="false">IFERROR(IF([2]对账明细接口!$AA754=0,"",[2]对账明细接口!$AA754),"")</f>
        <v/>
      </c>
      <c r="AF753" s="90" t="str">
        <f aca="false">IFERROR(IF([2]对账明细接口!$AB754=0,"",[2]对账明细接口!$AB754),"")</f>
        <v/>
      </c>
      <c r="AG753" s="90" t="str">
        <f aca="false">IFERROR(IF([2]对账明细接口!$AC754=0,"",[2]对账明细接口!$AC754),"")</f>
        <v/>
      </c>
      <c r="AH753" s="90" t="str">
        <f aca="false">IFERROR(IF([2]对账明细接口!$AD754=0,"",[2]对账明细接口!$AD754),"")</f>
        <v/>
      </c>
    </row>
    <row r="754" customFormat="false" ht="13.5" hidden="false" customHeight="false" outlineLevel="0" collapsed="false">
      <c r="A754" s="109" t="n">
        <v>754</v>
      </c>
      <c r="B754" s="110" t="str">
        <f aca="false">IFERROR(IF([2]对账明细接口!$B$754=0,"",[2]对账明细接口!$B$754),"")</f>
        <v/>
      </c>
      <c r="C754" s="59" t="str">
        <f aca="false">IFERROR(IF([2]对账明细接口!$C$754=0,"",[2]对账明细接口!$C$754),"")</f>
        <v/>
      </c>
      <c r="D754" s="59" t="str">
        <f aca="false">IFERROR(IF([2]对账明细接口!$D$754=0,"",[2]对账明细接口!$D$754),"")</f>
        <v/>
      </c>
      <c r="E754" s="59" t="str">
        <f aca="false">IFERROR(IF([2]对账明细接口!$E$754=0,"",[2]对账明细接口!$E$754),"")</f>
        <v/>
      </c>
      <c r="F754" s="59" t="str">
        <f aca="false">IFERROR(IF([2]对账明细接口!$F$754=0,"",[2]对账明细接口!$F$754),"")</f>
        <v/>
      </c>
      <c r="G754" s="59" t="str">
        <f aca="false">IFERROR(IF([2]对账明细接口!$G$754=0,"",[2]对账明细接口!$G$754),"")</f>
        <v/>
      </c>
      <c r="H754" s="60" t="str">
        <f aca="false">IFERROR(IF([2]对账明细接口!$H$754=0,"",[2]对账明细接口!$H$754),"")</f>
        <v/>
      </c>
      <c r="I754" s="59" t="str">
        <f aca="false">IFERROR(IF([2]对账明细接口!$I$754=0,"",[2]对账明细接口!$I$754),"")</f>
        <v/>
      </c>
      <c r="J754" s="61" t="str">
        <f aca="false">IFERROR(IF([2]对账明细接口!$J$754=0,"",[2]对账明细接口!$J$754),"")</f>
        <v/>
      </c>
      <c r="K754" s="61" t="str">
        <f aca="false">IFERROR(IF([2]对账明细接口!$K$754=0,"",[2]对账明细接口!$K$754),"")</f>
        <v/>
      </c>
      <c r="L754" s="59" t="str">
        <f aca="false">IFERROR(IF([2]对账明细接口!$L$754=0,"",[2]对账明细接口!$L$754),"")</f>
        <v/>
      </c>
      <c r="M754" s="59" t="str">
        <f aca="false">IFERROR(IF([2]对账明细接口!$M$754=0,"",[2]对账明细接口!$M$754),"")</f>
        <v/>
      </c>
      <c r="N754" s="111" t="n">
        <f aca="false">IF($C754="",0,1)</f>
        <v>0</v>
      </c>
      <c r="O754" s="111" t="n">
        <f aca="false">N(O753)+$N754</f>
        <v>311</v>
      </c>
      <c r="S754" s="10" t="str">
        <f aca="false">IFERROR(IF([2]对账明细接口!$N754=0,"",[2]对账明细接口!$N754),"")</f>
        <v/>
      </c>
      <c r="T754" s="112" t="str">
        <f aca="false">IFERROR(IF([2]对账明细接口!$O754=0,"",[2]对账明细接口!$O754),"")</f>
        <v/>
      </c>
      <c r="U754" s="112" t="str">
        <f aca="false">IFERROR(IF([2]对账明细接口!$P754=0,"",[2]对账明细接口!$P754),"")</f>
        <v/>
      </c>
      <c r="V754" s="112" t="str">
        <f aca="false">IFERROR(IF([2]对账明细接口!$Q754=0,"",[2]对账明细接口!$Q754),"")</f>
        <v/>
      </c>
      <c r="W754" s="10" t="str">
        <f aca="false">IFERROR(IF([2]对账明细接口!$R754=0,"",[2]对账明细接口!$R754),"")</f>
        <v/>
      </c>
      <c r="X754" s="10" t="str">
        <f aca="false">IFERROR(IF([2]对账明细接口!$S754=0,"",[2]对账明细接口!$S754),"")</f>
        <v/>
      </c>
      <c r="Y754" s="10" t="str">
        <f aca="false">IFERROR(IF([2]对账明细接口!$T754=0,"",[2]对账明细接口!$T754),"")</f>
        <v/>
      </c>
      <c r="Z754" s="113" t="str">
        <f aca="false">IFERROR(IF([2]对账明细接口!$U754=0,"",[2]对账明细接口!$U754),"")</f>
        <v/>
      </c>
      <c r="AA754" s="113" t="str">
        <f aca="false">IFERROR(IF([2]对账明细接口!$V754=0,"",[2]对账明细接口!$V754),"")</f>
        <v/>
      </c>
      <c r="AB754" s="10" t="str">
        <f aca="false">IFERROR(IF([2]对账明细接口!$W754=0,"",[2]对账明细接口!$W754),"")</f>
        <v/>
      </c>
      <c r="AC754" s="90" t="str">
        <f aca="false">IFERROR(IF([2]对账明细接口!$X755=0,"",[2]对账明细接口!$X755),"")</f>
        <v/>
      </c>
      <c r="AD754" s="90" t="str">
        <f aca="false">IFERROR(IF([2]对账明细接口!$Y755=0,"",[2]对账明细接口!$Y755),"")</f>
        <v/>
      </c>
      <c r="AE754" s="90" t="str">
        <f aca="false">IFERROR(IF([2]对账明细接口!$AA755=0,"",[2]对账明细接口!$AA755),"")</f>
        <v/>
      </c>
      <c r="AF754" s="90" t="str">
        <f aca="false">IFERROR(IF([2]对账明细接口!$AB755=0,"",[2]对账明细接口!$AB755),"")</f>
        <v/>
      </c>
      <c r="AG754" s="90" t="str">
        <f aca="false">IFERROR(IF([2]对账明细接口!$AC755=0,"",[2]对账明细接口!$AC755),"")</f>
        <v/>
      </c>
      <c r="AH754" s="90" t="str">
        <f aca="false">IFERROR(IF([2]对账明细接口!$AD755=0,"",[2]对账明细接口!$AD755),"")</f>
        <v/>
      </c>
    </row>
    <row r="755" customFormat="false" ht="13.5" hidden="false" customHeight="false" outlineLevel="0" collapsed="false">
      <c r="A755" s="109" t="n">
        <v>755</v>
      </c>
      <c r="B755" s="110" t="str">
        <f aca="false">IFERROR(IF([2]对账明细接口!$B$755=0,"",[2]对账明细接口!$B$755),"")</f>
        <v/>
      </c>
      <c r="C755" s="59" t="str">
        <f aca="false">IFERROR(IF([2]对账明细接口!$C$755=0,"",[2]对账明细接口!$C$755),"")</f>
        <v/>
      </c>
      <c r="D755" s="59" t="str">
        <f aca="false">IFERROR(IF([2]对账明细接口!$D$755=0,"",[2]对账明细接口!$D$755),"")</f>
        <v/>
      </c>
      <c r="E755" s="59" t="str">
        <f aca="false">IFERROR(IF([2]对账明细接口!$E$755=0,"",[2]对账明细接口!$E$755),"")</f>
        <v/>
      </c>
      <c r="F755" s="59" t="str">
        <f aca="false">IFERROR(IF([2]对账明细接口!$F$755=0,"",[2]对账明细接口!$F$755),"")</f>
        <v/>
      </c>
      <c r="G755" s="59" t="str">
        <f aca="false">IFERROR(IF([2]对账明细接口!$G$755=0,"",[2]对账明细接口!$G$755),"")</f>
        <v/>
      </c>
      <c r="H755" s="60" t="str">
        <f aca="false">IFERROR(IF([2]对账明细接口!$H$755=0,"",[2]对账明细接口!$H$755),"")</f>
        <v/>
      </c>
      <c r="I755" s="59" t="str">
        <f aca="false">IFERROR(IF([2]对账明细接口!$I$755=0,"",[2]对账明细接口!$I$755),"")</f>
        <v/>
      </c>
      <c r="J755" s="61" t="str">
        <f aca="false">IFERROR(IF([2]对账明细接口!$J$755=0,"",[2]对账明细接口!$J$755),"")</f>
        <v/>
      </c>
      <c r="K755" s="61" t="str">
        <f aca="false">IFERROR(IF([2]对账明细接口!$K$755=0,"",[2]对账明细接口!$K$755),"")</f>
        <v/>
      </c>
      <c r="L755" s="59" t="str">
        <f aca="false">IFERROR(IF([2]对账明细接口!$L$755=0,"",[2]对账明细接口!$L$755),"")</f>
        <v/>
      </c>
      <c r="M755" s="59" t="str">
        <f aca="false">IFERROR(IF([2]对账明细接口!$M$755=0,"",[2]对账明细接口!$M$755),"")</f>
        <v/>
      </c>
      <c r="N755" s="111" t="n">
        <f aca="false">IF($C755="",0,1)</f>
        <v>0</v>
      </c>
      <c r="O755" s="111" t="n">
        <f aca="false">N(O754)+$N755</f>
        <v>311</v>
      </c>
      <c r="S755" s="10" t="str">
        <f aca="false">IFERROR(IF([2]对账明细接口!$N755=0,"",[2]对账明细接口!$N755),"")</f>
        <v/>
      </c>
      <c r="T755" s="112" t="str">
        <f aca="false">IFERROR(IF([2]对账明细接口!$O755=0,"",[2]对账明细接口!$O755),"")</f>
        <v/>
      </c>
      <c r="U755" s="112" t="str">
        <f aca="false">IFERROR(IF([2]对账明细接口!$P755=0,"",[2]对账明细接口!$P755),"")</f>
        <v/>
      </c>
      <c r="V755" s="112" t="str">
        <f aca="false">IFERROR(IF([2]对账明细接口!$Q755=0,"",[2]对账明细接口!$Q755),"")</f>
        <v/>
      </c>
      <c r="W755" s="10" t="str">
        <f aca="false">IFERROR(IF([2]对账明细接口!$R755=0,"",[2]对账明细接口!$R755),"")</f>
        <v/>
      </c>
      <c r="X755" s="10" t="str">
        <f aca="false">IFERROR(IF([2]对账明细接口!$S755=0,"",[2]对账明细接口!$S755),"")</f>
        <v/>
      </c>
      <c r="Y755" s="10" t="str">
        <f aca="false">IFERROR(IF([2]对账明细接口!$T755=0,"",[2]对账明细接口!$T755),"")</f>
        <v/>
      </c>
      <c r="Z755" s="113" t="str">
        <f aca="false">IFERROR(IF([2]对账明细接口!$U755=0,"",[2]对账明细接口!$U755),"")</f>
        <v/>
      </c>
      <c r="AA755" s="113" t="str">
        <f aca="false">IFERROR(IF([2]对账明细接口!$V755=0,"",[2]对账明细接口!$V755),"")</f>
        <v/>
      </c>
      <c r="AB755" s="10" t="str">
        <f aca="false">IFERROR(IF([2]对账明细接口!$W755=0,"",[2]对账明细接口!$W755),"")</f>
        <v/>
      </c>
      <c r="AC755" s="90" t="str">
        <f aca="false">IFERROR(IF([2]对账明细接口!$X756=0,"",[2]对账明细接口!$X756),"")</f>
        <v/>
      </c>
      <c r="AD755" s="90" t="str">
        <f aca="false">IFERROR(IF([2]对账明细接口!$Y756=0,"",[2]对账明细接口!$Y756),"")</f>
        <v/>
      </c>
      <c r="AE755" s="90" t="str">
        <f aca="false">IFERROR(IF([2]对账明细接口!$AA756=0,"",[2]对账明细接口!$AA756),"")</f>
        <v/>
      </c>
      <c r="AF755" s="90" t="str">
        <f aca="false">IFERROR(IF([2]对账明细接口!$AB756=0,"",[2]对账明细接口!$AB756),"")</f>
        <v/>
      </c>
      <c r="AG755" s="90" t="str">
        <f aca="false">IFERROR(IF([2]对账明细接口!$AC756=0,"",[2]对账明细接口!$AC756),"")</f>
        <v/>
      </c>
      <c r="AH755" s="90" t="str">
        <f aca="false">IFERROR(IF([2]对账明细接口!$AD756=0,"",[2]对账明细接口!$AD756),"")</f>
        <v/>
      </c>
    </row>
    <row r="756" customFormat="false" ht="13.5" hidden="false" customHeight="false" outlineLevel="0" collapsed="false">
      <c r="A756" s="109" t="n">
        <v>756</v>
      </c>
      <c r="B756" s="110" t="str">
        <f aca="false">IFERROR(IF([2]对账明细接口!$B$756=0,"",[2]对账明细接口!$B$756),"")</f>
        <v/>
      </c>
      <c r="C756" s="59" t="str">
        <f aca="false">IFERROR(IF([2]对账明细接口!$C$756=0,"",[2]对账明细接口!$C$756),"")</f>
        <v/>
      </c>
      <c r="D756" s="59" t="str">
        <f aca="false">IFERROR(IF([2]对账明细接口!$D$756=0,"",[2]对账明细接口!$D$756),"")</f>
        <v/>
      </c>
      <c r="E756" s="59" t="str">
        <f aca="false">IFERROR(IF([2]对账明细接口!$E$756=0,"",[2]对账明细接口!$E$756),"")</f>
        <v/>
      </c>
      <c r="F756" s="59" t="str">
        <f aca="false">IFERROR(IF([2]对账明细接口!$F$756=0,"",[2]对账明细接口!$F$756),"")</f>
        <v/>
      </c>
      <c r="G756" s="59" t="str">
        <f aca="false">IFERROR(IF([2]对账明细接口!$G$756=0,"",[2]对账明细接口!$G$756),"")</f>
        <v/>
      </c>
      <c r="H756" s="60" t="str">
        <f aca="false">IFERROR(IF([2]对账明细接口!$H$756=0,"",[2]对账明细接口!$H$756),"")</f>
        <v/>
      </c>
      <c r="I756" s="59" t="str">
        <f aca="false">IFERROR(IF([2]对账明细接口!$I$756=0,"",[2]对账明细接口!$I$756),"")</f>
        <v/>
      </c>
      <c r="J756" s="61" t="str">
        <f aca="false">IFERROR(IF([2]对账明细接口!$J$756=0,"",[2]对账明细接口!$J$756),"")</f>
        <v/>
      </c>
      <c r="K756" s="61" t="str">
        <f aca="false">IFERROR(IF([2]对账明细接口!$K$756=0,"",[2]对账明细接口!$K$756),"")</f>
        <v/>
      </c>
      <c r="L756" s="59" t="str">
        <f aca="false">IFERROR(IF([2]对账明细接口!$L$756=0,"",[2]对账明细接口!$L$756),"")</f>
        <v/>
      </c>
      <c r="M756" s="59" t="str">
        <f aca="false">IFERROR(IF([2]对账明细接口!$M$756=0,"",[2]对账明细接口!$M$756),"")</f>
        <v/>
      </c>
      <c r="N756" s="111" t="n">
        <f aca="false">IF($C756="",0,1)</f>
        <v>0</v>
      </c>
      <c r="O756" s="111" t="n">
        <f aca="false">N(O755)+$N756</f>
        <v>311</v>
      </c>
      <c r="S756" s="10" t="str">
        <f aca="false">IFERROR(IF([2]对账明细接口!$N756=0,"",[2]对账明细接口!$N756),"")</f>
        <v/>
      </c>
      <c r="T756" s="112" t="str">
        <f aca="false">IFERROR(IF([2]对账明细接口!$O756=0,"",[2]对账明细接口!$O756),"")</f>
        <v/>
      </c>
      <c r="U756" s="112" t="str">
        <f aca="false">IFERROR(IF([2]对账明细接口!$P756=0,"",[2]对账明细接口!$P756),"")</f>
        <v/>
      </c>
      <c r="V756" s="112" t="str">
        <f aca="false">IFERROR(IF([2]对账明细接口!$Q756=0,"",[2]对账明细接口!$Q756),"")</f>
        <v/>
      </c>
      <c r="W756" s="10" t="str">
        <f aca="false">IFERROR(IF([2]对账明细接口!$R756=0,"",[2]对账明细接口!$R756),"")</f>
        <v/>
      </c>
      <c r="X756" s="10" t="str">
        <f aca="false">IFERROR(IF([2]对账明细接口!$S756=0,"",[2]对账明细接口!$S756),"")</f>
        <v/>
      </c>
      <c r="Y756" s="10" t="str">
        <f aca="false">IFERROR(IF([2]对账明细接口!$T756=0,"",[2]对账明细接口!$T756),"")</f>
        <v/>
      </c>
      <c r="Z756" s="113" t="str">
        <f aca="false">IFERROR(IF([2]对账明细接口!$U756=0,"",[2]对账明细接口!$U756),"")</f>
        <v/>
      </c>
      <c r="AA756" s="113" t="str">
        <f aca="false">IFERROR(IF([2]对账明细接口!$V756=0,"",[2]对账明细接口!$V756),"")</f>
        <v/>
      </c>
      <c r="AB756" s="10" t="str">
        <f aca="false">IFERROR(IF([2]对账明细接口!$W756=0,"",[2]对账明细接口!$W756),"")</f>
        <v/>
      </c>
      <c r="AC756" s="90" t="str">
        <f aca="false">IFERROR(IF([2]对账明细接口!$X757=0,"",[2]对账明细接口!$X757),"")</f>
        <v/>
      </c>
      <c r="AD756" s="90" t="str">
        <f aca="false">IFERROR(IF([2]对账明细接口!$Y757=0,"",[2]对账明细接口!$Y757),"")</f>
        <v/>
      </c>
      <c r="AE756" s="90" t="str">
        <f aca="false">IFERROR(IF([2]对账明细接口!$AA757=0,"",[2]对账明细接口!$AA757),"")</f>
        <v/>
      </c>
      <c r="AF756" s="90" t="str">
        <f aca="false">IFERROR(IF([2]对账明细接口!$AB757=0,"",[2]对账明细接口!$AB757),"")</f>
        <v/>
      </c>
      <c r="AG756" s="90" t="str">
        <f aca="false">IFERROR(IF([2]对账明细接口!$AC757=0,"",[2]对账明细接口!$AC757),"")</f>
        <v/>
      </c>
      <c r="AH756" s="90" t="str">
        <f aca="false">IFERROR(IF([2]对账明细接口!$AD757=0,"",[2]对账明细接口!$AD757),"")</f>
        <v/>
      </c>
    </row>
    <row r="757" customFormat="false" ht="13.5" hidden="false" customHeight="false" outlineLevel="0" collapsed="false">
      <c r="A757" s="109" t="n">
        <v>757</v>
      </c>
      <c r="B757" s="110" t="str">
        <f aca="false">IFERROR(IF([2]对账明细接口!$B$757=0,"",[2]对账明细接口!$B$757),"")</f>
        <v/>
      </c>
      <c r="C757" s="59" t="str">
        <f aca="false">IFERROR(IF([2]对账明细接口!$C$757=0,"",[2]对账明细接口!$C$757),"")</f>
        <v/>
      </c>
      <c r="D757" s="59" t="str">
        <f aca="false">IFERROR(IF([2]对账明细接口!$D$757=0,"",[2]对账明细接口!$D$757),"")</f>
        <v/>
      </c>
      <c r="E757" s="59" t="str">
        <f aca="false">IFERROR(IF([2]对账明细接口!$E$757=0,"",[2]对账明细接口!$E$757),"")</f>
        <v/>
      </c>
      <c r="F757" s="59" t="str">
        <f aca="false">IFERROR(IF([2]对账明细接口!$F$757=0,"",[2]对账明细接口!$F$757),"")</f>
        <v/>
      </c>
      <c r="G757" s="59" t="str">
        <f aca="false">IFERROR(IF([2]对账明细接口!$G$757=0,"",[2]对账明细接口!$G$757),"")</f>
        <v/>
      </c>
      <c r="H757" s="60" t="str">
        <f aca="false">IFERROR(IF([2]对账明细接口!$H$757=0,"",[2]对账明细接口!$H$757),"")</f>
        <v/>
      </c>
      <c r="I757" s="59" t="str">
        <f aca="false">IFERROR(IF([2]对账明细接口!$I$757=0,"",[2]对账明细接口!$I$757),"")</f>
        <v/>
      </c>
      <c r="J757" s="61" t="str">
        <f aca="false">IFERROR(IF([2]对账明细接口!$J$757=0,"",[2]对账明细接口!$J$757),"")</f>
        <v/>
      </c>
      <c r="K757" s="61" t="str">
        <f aca="false">IFERROR(IF([2]对账明细接口!$K$757=0,"",[2]对账明细接口!$K$757),"")</f>
        <v/>
      </c>
      <c r="L757" s="59" t="str">
        <f aca="false">IFERROR(IF([2]对账明细接口!$L$757=0,"",[2]对账明细接口!$L$757),"")</f>
        <v/>
      </c>
      <c r="M757" s="59" t="str">
        <f aca="false">IFERROR(IF([2]对账明细接口!$M$757=0,"",[2]对账明细接口!$M$757),"")</f>
        <v/>
      </c>
      <c r="N757" s="111" t="n">
        <f aca="false">IF($C757="",0,1)</f>
        <v>0</v>
      </c>
      <c r="O757" s="111" t="n">
        <f aca="false">N(O756)+$N757</f>
        <v>311</v>
      </c>
      <c r="S757" s="10" t="str">
        <f aca="false">IFERROR(IF([2]对账明细接口!$N757=0,"",[2]对账明细接口!$N757),"")</f>
        <v/>
      </c>
      <c r="T757" s="112" t="str">
        <f aca="false">IFERROR(IF([2]对账明细接口!$O757=0,"",[2]对账明细接口!$O757),"")</f>
        <v/>
      </c>
      <c r="U757" s="112" t="str">
        <f aca="false">IFERROR(IF([2]对账明细接口!$P757=0,"",[2]对账明细接口!$P757),"")</f>
        <v/>
      </c>
      <c r="V757" s="112" t="str">
        <f aca="false">IFERROR(IF([2]对账明细接口!$Q757=0,"",[2]对账明细接口!$Q757),"")</f>
        <v/>
      </c>
      <c r="W757" s="10" t="str">
        <f aca="false">IFERROR(IF([2]对账明细接口!$R757=0,"",[2]对账明细接口!$R757),"")</f>
        <v/>
      </c>
      <c r="X757" s="10" t="str">
        <f aca="false">IFERROR(IF([2]对账明细接口!$S757=0,"",[2]对账明细接口!$S757),"")</f>
        <v/>
      </c>
      <c r="Y757" s="10" t="str">
        <f aca="false">IFERROR(IF([2]对账明细接口!$T757=0,"",[2]对账明细接口!$T757),"")</f>
        <v/>
      </c>
      <c r="Z757" s="113" t="str">
        <f aca="false">IFERROR(IF([2]对账明细接口!$U757=0,"",[2]对账明细接口!$U757),"")</f>
        <v/>
      </c>
      <c r="AA757" s="113" t="str">
        <f aca="false">IFERROR(IF([2]对账明细接口!$V757=0,"",[2]对账明细接口!$V757),"")</f>
        <v/>
      </c>
      <c r="AB757" s="10" t="str">
        <f aca="false">IFERROR(IF([2]对账明细接口!$W757=0,"",[2]对账明细接口!$W757),"")</f>
        <v/>
      </c>
      <c r="AC757" s="90" t="str">
        <f aca="false">IFERROR(IF([2]对账明细接口!$X758=0,"",[2]对账明细接口!$X758),"")</f>
        <v/>
      </c>
      <c r="AD757" s="90" t="str">
        <f aca="false">IFERROR(IF([2]对账明细接口!$Y758=0,"",[2]对账明细接口!$Y758),"")</f>
        <v/>
      </c>
      <c r="AE757" s="90" t="str">
        <f aca="false">IFERROR(IF([2]对账明细接口!$AA758=0,"",[2]对账明细接口!$AA758),"")</f>
        <v/>
      </c>
      <c r="AF757" s="90" t="str">
        <f aca="false">IFERROR(IF([2]对账明细接口!$AB758=0,"",[2]对账明细接口!$AB758),"")</f>
        <v/>
      </c>
      <c r="AG757" s="90" t="str">
        <f aca="false">IFERROR(IF([2]对账明细接口!$AC758=0,"",[2]对账明细接口!$AC758),"")</f>
        <v/>
      </c>
      <c r="AH757" s="90" t="str">
        <f aca="false">IFERROR(IF([2]对账明细接口!$AD758=0,"",[2]对账明细接口!$AD758),"")</f>
        <v/>
      </c>
    </row>
    <row r="758" customFormat="false" ht="13.5" hidden="false" customHeight="false" outlineLevel="0" collapsed="false">
      <c r="A758" s="109" t="n">
        <v>758</v>
      </c>
      <c r="B758" s="110" t="str">
        <f aca="false">IFERROR(IF([2]对账明细接口!$B$758=0,"",[2]对账明细接口!$B$758),"")</f>
        <v/>
      </c>
      <c r="C758" s="59" t="str">
        <f aca="false">IFERROR(IF([2]对账明细接口!$C$758=0,"",[2]对账明细接口!$C$758),"")</f>
        <v/>
      </c>
      <c r="D758" s="59" t="str">
        <f aca="false">IFERROR(IF([2]对账明细接口!$D$758=0,"",[2]对账明细接口!$D$758),"")</f>
        <v/>
      </c>
      <c r="E758" s="59" t="str">
        <f aca="false">IFERROR(IF([2]对账明细接口!$E$758=0,"",[2]对账明细接口!$E$758),"")</f>
        <v/>
      </c>
      <c r="F758" s="59" t="str">
        <f aca="false">IFERROR(IF([2]对账明细接口!$F$758=0,"",[2]对账明细接口!$F$758),"")</f>
        <v/>
      </c>
      <c r="G758" s="59" t="str">
        <f aca="false">IFERROR(IF([2]对账明细接口!$G$758=0,"",[2]对账明细接口!$G$758),"")</f>
        <v/>
      </c>
      <c r="H758" s="60" t="str">
        <f aca="false">IFERROR(IF([2]对账明细接口!$H$758=0,"",[2]对账明细接口!$H$758),"")</f>
        <v/>
      </c>
      <c r="I758" s="59" t="str">
        <f aca="false">IFERROR(IF([2]对账明细接口!$I$758=0,"",[2]对账明细接口!$I$758),"")</f>
        <v/>
      </c>
      <c r="J758" s="61" t="str">
        <f aca="false">IFERROR(IF([2]对账明细接口!$J$758=0,"",[2]对账明细接口!$J$758),"")</f>
        <v/>
      </c>
      <c r="K758" s="61" t="str">
        <f aca="false">IFERROR(IF([2]对账明细接口!$K$758=0,"",[2]对账明细接口!$K$758),"")</f>
        <v/>
      </c>
      <c r="L758" s="59" t="str">
        <f aca="false">IFERROR(IF([2]对账明细接口!$L$758=0,"",[2]对账明细接口!$L$758),"")</f>
        <v/>
      </c>
      <c r="M758" s="59" t="str">
        <f aca="false">IFERROR(IF([2]对账明细接口!$M$758=0,"",[2]对账明细接口!$M$758),"")</f>
        <v/>
      </c>
      <c r="N758" s="111" t="n">
        <f aca="false">IF($C758="",0,1)</f>
        <v>0</v>
      </c>
      <c r="O758" s="111" t="n">
        <f aca="false">N(O757)+$N758</f>
        <v>311</v>
      </c>
      <c r="S758" s="10" t="str">
        <f aca="false">IFERROR(IF([2]对账明细接口!$N758=0,"",[2]对账明细接口!$N758),"")</f>
        <v/>
      </c>
      <c r="T758" s="112" t="str">
        <f aca="false">IFERROR(IF([2]对账明细接口!$O758=0,"",[2]对账明细接口!$O758),"")</f>
        <v/>
      </c>
      <c r="U758" s="112" t="str">
        <f aca="false">IFERROR(IF([2]对账明细接口!$P758=0,"",[2]对账明细接口!$P758),"")</f>
        <v/>
      </c>
      <c r="V758" s="112" t="str">
        <f aca="false">IFERROR(IF([2]对账明细接口!$Q758=0,"",[2]对账明细接口!$Q758),"")</f>
        <v/>
      </c>
      <c r="W758" s="10" t="str">
        <f aca="false">IFERROR(IF([2]对账明细接口!$R758=0,"",[2]对账明细接口!$R758),"")</f>
        <v/>
      </c>
      <c r="X758" s="10" t="str">
        <f aca="false">IFERROR(IF([2]对账明细接口!$S758=0,"",[2]对账明细接口!$S758),"")</f>
        <v/>
      </c>
      <c r="Y758" s="10" t="str">
        <f aca="false">IFERROR(IF([2]对账明细接口!$T758=0,"",[2]对账明细接口!$T758),"")</f>
        <v/>
      </c>
      <c r="Z758" s="113" t="str">
        <f aca="false">IFERROR(IF([2]对账明细接口!$U758=0,"",[2]对账明细接口!$U758),"")</f>
        <v/>
      </c>
      <c r="AA758" s="113" t="str">
        <f aca="false">IFERROR(IF([2]对账明细接口!$V758=0,"",[2]对账明细接口!$V758),"")</f>
        <v/>
      </c>
      <c r="AB758" s="10" t="str">
        <f aca="false">IFERROR(IF([2]对账明细接口!$W758=0,"",[2]对账明细接口!$W758),"")</f>
        <v/>
      </c>
      <c r="AC758" s="90" t="str">
        <f aca="false">IFERROR(IF([2]对账明细接口!$X759=0,"",[2]对账明细接口!$X759),"")</f>
        <v/>
      </c>
      <c r="AD758" s="90" t="str">
        <f aca="false">IFERROR(IF([2]对账明细接口!$Y759=0,"",[2]对账明细接口!$Y759),"")</f>
        <v/>
      </c>
      <c r="AE758" s="90" t="str">
        <f aca="false">IFERROR(IF([2]对账明细接口!$AA759=0,"",[2]对账明细接口!$AA759),"")</f>
        <v/>
      </c>
      <c r="AF758" s="90" t="str">
        <f aca="false">IFERROR(IF([2]对账明细接口!$AB759=0,"",[2]对账明细接口!$AB759),"")</f>
        <v/>
      </c>
      <c r="AG758" s="90" t="str">
        <f aca="false">IFERROR(IF([2]对账明细接口!$AC759=0,"",[2]对账明细接口!$AC759),"")</f>
        <v/>
      </c>
      <c r="AH758" s="90" t="str">
        <f aca="false">IFERROR(IF([2]对账明细接口!$AD759=0,"",[2]对账明细接口!$AD759),"")</f>
        <v/>
      </c>
    </row>
    <row r="759" customFormat="false" ht="13.5" hidden="false" customHeight="false" outlineLevel="0" collapsed="false">
      <c r="A759" s="109" t="n">
        <v>759</v>
      </c>
      <c r="B759" s="110" t="str">
        <f aca="false">IFERROR(IF([2]对账明细接口!$B$759=0,"",[2]对账明细接口!$B$759),"")</f>
        <v/>
      </c>
      <c r="C759" s="59" t="str">
        <f aca="false">IFERROR(IF([2]对账明细接口!$C$759=0,"",[2]对账明细接口!$C$759),"")</f>
        <v/>
      </c>
      <c r="D759" s="59" t="str">
        <f aca="false">IFERROR(IF([2]对账明细接口!$D$759=0,"",[2]对账明细接口!$D$759),"")</f>
        <v/>
      </c>
      <c r="E759" s="59" t="str">
        <f aca="false">IFERROR(IF([2]对账明细接口!$E$759=0,"",[2]对账明细接口!$E$759),"")</f>
        <v/>
      </c>
      <c r="F759" s="59" t="str">
        <f aca="false">IFERROR(IF([2]对账明细接口!$F$759=0,"",[2]对账明细接口!$F$759),"")</f>
        <v/>
      </c>
      <c r="G759" s="59" t="str">
        <f aca="false">IFERROR(IF([2]对账明细接口!$G$759=0,"",[2]对账明细接口!$G$759),"")</f>
        <v/>
      </c>
      <c r="H759" s="60" t="str">
        <f aca="false">IFERROR(IF([2]对账明细接口!$H$759=0,"",[2]对账明细接口!$H$759),"")</f>
        <v/>
      </c>
      <c r="I759" s="59" t="str">
        <f aca="false">IFERROR(IF([2]对账明细接口!$I$759=0,"",[2]对账明细接口!$I$759),"")</f>
        <v/>
      </c>
      <c r="J759" s="61" t="str">
        <f aca="false">IFERROR(IF([2]对账明细接口!$J$759=0,"",[2]对账明细接口!$J$759),"")</f>
        <v/>
      </c>
      <c r="K759" s="61" t="str">
        <f aca="false">IFERROR(IF([2]对账明细接口!$K$759=0,"",[2]对账明细接口!$K$759),"")</f>
        <v/>
      </c>
      <c r="L759" s="59" t="str">
        <f aca="false">IFERROR(IF([2]对账明细接口!$L$759=0,"",[2]对账明细接口!$L$759),"")</f>
        <v/>
      </c>
      <c r="M759" s="59" t="str">
        <f aca="false">IFERROR(IF([2]对账明细接口!$M$759=0,"",[2]对账明细接口!$M$759),"")</f>
        <v/>
      </c>
      <c r="N759" s="111" t="n">
        <f aca="false">IF($C759="",0,1)</f>
        <v>0</v>
      </c>
      <c r="O759" s="111" t="n">
        <f aca="false">N(O758)+$N759</f>
        <v>311</v>
      </c>
      <c r="S759" s="10" t="str">
        <f aca="false">IFERROR(IF([2]对账明细接口!$N759=0,"",[2]对账明细接口!$N759),"")</f>
        <v/>
      </c>
      <c r="T759" s="112" t="str">
        <f aca="false">IFERROR(IF([2]对账明细接口!$O759=0,"",[2]对账明细接口!$O759),"")</f>
        <v/>
      </c>
      <c r="U759" s="112" t="str">
        <f aca="false">IFERROR(IF([2]对账明细接口!$P759=0,"",[2]对账明细接口!$P759),"")</f>
        <v/>
      </c>
      <c r="V759" s="112" t="str">
        <f aca="false">IFERROR(IF([2]对账明细接口!$Q759=0,"",[2]对账明细接口!$Q759),"")</f>
        <v/>
      </c>
      <c r="W759" s="10" t="str">
        <f aca="false">IFERROR(IF([2]对账明细接口!$R759=0,"",[2]对账明细接口!$R759),"")</f>
        <v/>
      </c>
      <c r="X759" s="10" t="str">
        <f aca="false">IFERROR(IF([2]对账明细接口!$S759=0,"",[2]对账明细接口!$S759),"")</f>
        <v/>
      </c>
      <c r="Y759" s="10" t="str">
        <f aca="false">IFERROR(IF([2]对账明细接口!$T759=0,"",[2]对账明细接口!$T759),"")</f>
        <v/>
      </c>
      <c r="Z759" s="113" t="str">
        <f aca="false">IFERROR(IF([2]对账明细接口!$U759=0,"",[2]对账明细接口!$U759),"")</f>
        <v/>
      </c>
      <c r="AA759" s="113" t="str">
        <f aca="false">IFERROR(IF([2]对账明细接口!$V759=0,"",[2]对账明细接口!$V759),"")</f>
        <v/>
      </c>
      <c r="AB759" s="10" t="str">
        <f aca="false">IFERROR(IF([2]对账明细接口!$W759=0,"",[2]对账明细接口!$W759),"")</f>
        <v/>
      </c>
      <c r="AC759" s="90" t="str">
        <f aca="false">IFERROR(IF([2]对账明细接口!$X760=0,"",[2]对账明细接口!$X760),"")</f>
        <v/>
      </c>
      <c r="AD759" s="90" t="str">
        <f aca="false">IFERROR(IF([2]对账明细接口!$Y760=0,"",[2]对账明细接口!$Y760),"")</f>
        <v/>
      </c>
      <c r="AE759" s="90" t="str">
        <f aca="false">IFERROR(IF([2]对账明细接口!$AA760=0,"",[2]对账明细接口!$AA760),"")</f>
        <v/>
      </c>
      <c r="AF759" s="90" t="str">
        <f aca="false">IFERROR(IF([2]对账明细接口!$AB760=0,"",[2]对账明细接口!$AB760),"")</f>
        <v/>
      </c>
      <c r="AG759" s="90" t="str">
        <f aca="false">IFERROR(IF([2]对账明细接口!$AC760=0,"",[2]对账明细接口!$AC760),"")</f>
        <v/>
      </c>
      <c r="AH759" s="90" t="str">
        <f aca="false">IFERROR(IF([2]对账明细接口!$AD760=0,"",[2]对账明细接口!$AD760),"")</f>
        <v/>
      </c>
    </row>
    <row r="760" customFormat="false" ht="13.5" hidden="false" customHeight="false" outlineLevel="0" collapsed="false">
      <c r="A760" s="109" t="n">
        <v>760</v>
      </c>
      <c r="B760" s="110" t="str">
        <f aca="false">IFERROR(IF([2]对账明细接口!$B$760=0,"",[2]对账明细接口!$B$760),"")</f>
        <v/>
      </c>
      <c r="C760" s="59" t="str">
        <f aca="false">IFERROR(IF([2]对账明细接口!$C$760=0,"",[2]对账明细接口!$C$760),"")</f>
        <v/>
      </c>
      <c r="D760" s="59" t="str">
        <f aca="false">IFERROR(IF([2]对账明细接口!$D$760=0,"",[2]对账明细接口!$D$760),"")</f>
        <v/>
      </c>
      <c r="E760" s="59" t="str">
        <f aca="false">IFERROR(IF([2]对账明细接口!$E$760=0,"",[2]对账明细接口!$E$760),"")</f>
        <v/>
      </c>
      <c r="F760" s="59" t="str">
        <f aca="false">IFERROR(IF([2]对账明细接口!$F$760=0,"",[2]对账明细接口!$F$760),"")</f>
        <v/>
      </c>
      <c r="G760" s="59" t="str">
        <f aca="false">IFERROR(IF([2]对账明细接口!$G$760=0,"",[2]对账明细接口!$G$760),"")</f>
        <v/>
      </c>
      <c r="H760" s="60" t="str">
        <f aca="false">IFERROR(IF([2]对账明细接口!$H$760=0,"",[2]对账明细接口!$H$760),"")</f>
        <v/>
      </c>
      <c r="I760" s="59" t="str">
        <f aca="false">IFERROR(IF([2]对账明细接口!$I$760=0,"",[2]对账明细接口!$I$760),"")</f>
        <v/>
      </c>
      <c r="J760" s="61" t="str">
        <f aca="false">IFERROR(IF([2]对账明细接口!$J$760=0,"",[2]对账明细接口!$J$760),"")</f>
        <v/>
      </c>
      <c r="K760" s="61" t="str">
        <f aca="false">IFERROR(IF([2]对账明细接口!$K$760=0,"",[2]对账明细接口!$K$760),"")</f>
        <v/>
      </c>
      <c r="L760" s="59" t="str">
        <f aca="false">IFERROR(IF([2]对账明细接口!$L$760=0,"",[2]对账明细接口!$L$760),"")</f>
        <v/>
      </c>
      <c r="M760" s="59" t="str">
        <f aca="false">IFERROR(IF([2]对账明细接口!$M$760=0,"",[2]对账明细接口!$M$760),"")</f>
        <v/>
      </c>
      <c r="N760" s="111" t="n">
        <f aca="false">IF($C760="",0,1)</f>
        <v>0</v>
      </c>
      <c r="O760" s="111" t="n">
        <f aca="false">N(O759)+$N760</f>
        <v>311</v>
      </c>
      <c r="S760" s="10" t="str">
        <f aca="false">IFERROR(IF([2]对账明细接口!$N760=0,"",[2]对账明细接口!$N760),"")</f>
        <v/>
      </c>
      <c r="T760" s="112" t="str">
        <f aca="false">IFERROR(IF([2]对账明细接口!$O760=0,"",[2]对账明细接口!$O760),"")</f>
        <v/>
      </c>
      <c r="U760" s="112" t="str">
        <f aca="false">IFERROR(IF([2]对账明细接口!$P760=0,"",[2]对账明细接口!$P760),"")</f>
        <v/>
      </c>
      <c r="V760" s="112" t="str">
        <f aca="false">IFERROR(IF([2]对账明细接口!$Q760=0,"",[2]对账明细接口!$Q760),"")</f>
        <v/>
      </c>
      <c r="W760" s="10" t="str">
        <f aca="false">IFERROR(IF([2]对账明细接口!$R760=0,"",[2]对账明细接口!$R760),"")</f>
        <v/>
      </c>
      <c r="X760" s="10" t="str">
        <f aca="false">IFERROR(IF([2]对账明细接口!$S760=0,"",[2]对账明细接口!$S760),"")</f>
        <v/>
      </c>
      <c r="Y760" s="10" t="str">
        <f aca="false">IFERROR(IF([2]对账明细接口!$T760=0,"",[2]对账明细接口!$T760),"")</f>
        <v/>
      </c>
      <c r="Z760" s="113" t="str">
        <f aca="false">IFERROR(IF([2]对账明细接口!$U760=0,"",[2]对账明细接口!$U760),"")</f>
        <v/>
      </c>
      <c r="AA760" s="113" t="str">
        <f aca="false">IFERROR(IF([2]对账明细接口!$V760=0,"",[2]对账明细接口!$V760),"")</f>
        <v/>
      </c>
      <c r="AB760" s="10" t="str">
        <f aca="false">IFERROR(IF([2]对账明细接口!$W760=0,"",[2]对账明细接口!$W760),"")</f>
        <v/>
      </c>
      <c r="AC760" s="90" t="str">
        <f aca="false">IFERROR(IF([2]对账明细接口!$X761=0,"",[2]对账明细接口!$X761),"")</f>
        <v/>
      </c>
      <c r="AD760" s="90" t="str">
        <f aca="false">IFERROR(IF([2]对账明细接口!$Y761=0,"",[2]对账明细接口!$Y761),"")</f>
        <v/>
      </c>
      <c r="AE760" s="90" t="str">
        <f aca="false">IFERROR(IF([2]对账明细接口!$AA761=0,"",[2]对账明细接口!$AA761),"")</f>
        <v/>
      </c>
      <c r="AF760" s="90" t="str">
        <f aca="false">IFERROR(IF([2]对账明细接口!$AB761=0,"",[2]对账明细接口!$AB761),"")</f>
        <v/>
      </c>
      <c r="AG760" s="90" t="str">
        <f aca="false">IFERROR(IF([2]对账明细接口!$AC761=0,"",[2]对账明细接口!$AC761),"")</f>
        <v/>
      </c>
      <c r="AH760" s="90" t="str">
        <f aca="false">IFERROR(IF([2]对账明细接口!$AD761=0,"",[2]对账明细接口!$AD761),"")</f>
        <v/>
      </c>
    </row>
    <row r="761" customFormat="false" ht="13.5" hidden="false" customHeight="false" outlineLevel="0" collapsed="false">
      <c r="A761" s="109" t="n">
        <v>761</v>
      </c>
      <c r="B761" s="110" t="str">
        <f aca="false">IFERROR(IF([2]对账明细接口!$B$761=0,"",[2]对账明细接口!$B$761),"")</f>
        <v/>
      </c>
      <c r="C761" s="59" t="str">
        <f aca="false">IFERROR(IF([2]对账明细接口!$C$761=0,"",[2]对账明细接口!$C$761),"")</f>
        <v/>
      </c>
      <c r="D761" s="59" t="str">
        <f aca="false">IFERROR(IF([2]对账明细接口!$D$761=0,"",[2]对账明细接口!$D$761),"")</f>
        <v/>
      </c>
      <c r="E761" s="59" t="str">
        <f aca="false">IFERROR(IF([2]对账明细接口!$E$761=0,"",[2]对账明细接口!$E$761),"")</f>
        <v/>
      </c>
      <c r="F761" s="59" t="str">
        <f aca="false">IFERROR(IF([2]对账明细接口!$F$761=0,"",[2]对账明细接口!$F$761),"")</f>
        <v/>
      </c>
      <c r="G761" s="59" t="str">
        <f aca="false">IFERROR(IF([2]对账明细接口!$G$761=0,"",[2]对账明细接口!$G$761),"")</f>
        <v/>
      </c>
      <c r="H761" s="60" t="str">
        <f aca="false">IFERROR(IF([2]对账明细接口!$H$761=0,"",[2]对账明细接口!$H$761),"")</f>
        <v/>
      </c>
      <c r="I761" s="59" t="str">
        <f aca="false">IFERROR(IF([2]对账明细接口!$I$761=0,"",[2]对账明细接口!$I$761),"")</f>
        <v/>
      </c>
      <c r="J761" s="61" t="str">
        <f aca="false">IFERROR(IF([2]对账明细接口!$J$761=0,"",[2]对账明细接口!$J$761),"")</f>
        <v/>
      </c>
      <c r="K761" s="61" t="str">
        <f aca="false">IFERROR(IF([2]对账明细接口!$K$761=0,"",[2]对账明细接口!$K$761),"")</f>
        <v/>
      </c>
      <c r="L761" s="59" t="str">
        <f aca="false">IFERROR(IF([2]对账明细接口!$L$761=0,"",[2]对账明细接口!$L$761),"")</f>
        <v/>
      </c>
      <c r="M761" s="59" t="str">
        <f aca="false">IFERROR(IF([2]对账明细接口!$M$761=0,"",[2]对账明细接口!$M$761),"")</f>
        <v/>
      </c>
      <c r="N761" s="111" t="n">
        <f aca="false">IF($C761="",0,1)</f>
        <v>0</v>
      </c>
      <c r="O761" s="111" t="n">
        <f aca="false">N(O760)+$N761</f>
        <v>311</v>
      </c>
      <c r="S761" s="10" t="str">
        <f aca="false">IFERROR(IF([2]对账明细接口!$N761=0,"",[2]对账明细接口!$N761),"")</f>
        <v/>
      </c>
      <c r="T761" s="112" t="str">
        <f aca="false">IFERROR(IF([2]对账明细接口!$O761=0,"",[2]对账明细接口!$O761),"")</f>
        <v/>
      </c>
      <c r="U761" s="112" t="str">
        <f aca="false">IFERROR(IF([2]对账明细接口!$P761=0,"",[2]对账明细接口!$P761),"")</f>
        <v/>
      </c>
      <c r="V761" s="112" t="str">
        <f aca="false">IFERROR(IF([2]对账明细接口!$Q761=0,"",[2]对账明细接口!$Q761),"")</f>
        <v/>
      </c>
      <c r="W761" s="10" t="str">
        <f aca="false">IFERROR(IF([2]对账明细接口!$R761=0,"",[2]对账明细接口!$R761),"")</f>
        <v/>
      </c>
      <c r="X761" s="10" t="str">
        <f aca="false">IFERROR(IF([2]对账明细接口!$S761=0,"",[2]对账明细接口!$S761),"")</f>
        <v/>
      </c>
      <c r="Y761" s="10" t="str">
        <f aca="false">IFERROR(IF([2]对账明细接口!$T761=0,"",[2]对账明细接口!$T761),"")</f>
        <v/>
      </c>
      <c r="Z761" s="113" t="str">
        <f aca="false">IFERROR(IF([2]对账明细接口!$U761=0,"",[2]对账明细接口!$U761),"")</f>
        <v/>
      </c>
      <c r="AA761" s="113" t="str">
        <f aca="false">IFERROR(IF([2]对账明细接口!$V761=0,"",[2]对账明细接口!$V761),"")</f>
        <v/>
      </c>
      <c r="AB761" s="10" t="str">
        <f aca="false">IFERROR(IF([2]对账明细接口!$W761=0,"",[2]对账明细接口!$W761),"")</f>
        <v/>
      </c>
      <c r="AC761" s="90" t="str">
        <f aca="false">IFERROR(IF([2]对账明细接口!$X762=0,"",[2]对账明细接口!$X762),"")</f>
        <v/>
      </c>
      <c r="AD761" s="90" t="str">
        <f aca="false">IFERROR(IF([2]对账明细接口!$Y762=0,"",[2]对账明细接口!$Y762),"")</f>
        <v/>
      </c>
      <c r="AE761" s="90" t="str">
        <f aca="false">IFERROR(IF([2]对账明细接口!$AA762=0,"",[2]对账明细接口!$AA762),"")</f>
        <v/>
      </c>
      <c r="AF761" s="90" t="str">
        <f aca="false">IFERROR(IF([2]对账明细接口!$AB762=0,"",[2]对账明细接口!$AB762),"")</f>
        <v/>
      </c>
      <c r="AG761" s="90" t="str">
        <f aca="false">IFERROR(IF([2]对账明细接口!$AC762=0,"",[2]对账明细接口!$AC762),"")</f>
        <v/>
      </c>
      <c r="AH761" s="90" t="str">
        <f aca="false">IFERROR(IF([2]对账明细接口!$AD762=0,"",[2]对账明细接口!$AD762),"")</f>
        <v/>
      </c>
    </row>
    <row r="762" customFormat="false" ht="13.5" hidden="false" customHeight="false" outlineLevel="0" collapsed="false">
      <c r="A762" s="109" t="n">
        <v>762</v>
      </c>
      <c r="B762" s="110" t="str">
        <f aca="false">IFERROR(IF([2]对账明细接口!$B$762=0,"",[2]对账明细接口!$B$762),"")</f>
        <v/>
      </c>
      <c r="C762" s="59" t="str">
        <f aca="false">IFERROR(IF([2]对账明细接口!$C$762=0,"",[2]对账明细接口!$C$762),"")</f>
        <v/>
      </c>
      <c r="D762" s="59" t="str">
        <f aca="false">IFERROR(IF([2]对账明细接口!$D$762=0,"",[2]对账明细接口!$D$762),"")</f>
        <v/>
      </c>
      <c r="E762" s="59" t="str">
        <f aca="false">IFERROR(IF([2]对账明细接口!$E$762=0,"",[2]对账明细接口!$E$762),"")</f>
        <v/>
      </c>
      <c r="F762" s="59" t="str">
        <f aca="false">IFERROR(IF([2]对账明细接口!$F$762=0,"",[2]对账明细接口!$F$762),"")</f>
        <v/>
      </c>
      <c r="G762" s="59" t="str">
        <f aca="false">IFERROR(IF([2]对账明细接口!$G$762=0,"",[2]对账明细接口!$G$762),"")</f>
        <v/>
      </c>
      <c r="H762" s="60" t="str">
        <f aca="false">IFERROR(IF([2]对账明细接口!$H$762=0,"",[2]对账明细接口!$H$762),"")</f>
        <v/>
      </c>
      <c r="I762" s="59" t="str">
        <f aca="false">IFERROR(IF([2]对账明细接口!$I$762=0,"",[2]对账明细接口!$I$762),"")</f>
        <v/>
      </c>
      <c r="J762" s="61" t="str">
        <f aca="false">IFERROR(IF([2]对账明细接口!$J$762=0,"",[2]对账明细接口!$J$762),"")</f>
        <v/>
      </c>
      <c r="K762" s="61" t="str">
        <f aca="false">IFERROR(IF([2]对账明细接口!$K$762=0,"",[2]对账明细接口!$K$762),"")</f>
        <v/>
      </c>
      <c r="L762" s="59" t="str">
        <f aca="false">IFERROR(IF([2]对账明细接口!$L$762=0,"",[2]对账明细接口!$L$762),"")</f>
        <v/>
      </c>
      <c r="M762" s="59" t="str">
        <f aca="false">IFERROR(IF([2]对账明细接口!$M$762=0,"",[2]对账明细接口!$M$762),"")</f>
        <v/>
      </c>
      <c r="N762" s="111" t="n">
        <f aca="false">IF($C762="",0,1)</f>
        <v>0</v>
      </c>
      <c r="O762" s="111" t="n">
        <f aca="false">N(O761)+$N762</f>
        <v>311</v>
      </c>
      <c r="S762" s="10" t="str">
        <f aca="false">IFERROR(IF([2]对账明细接口!$N762=0,"",[2]对账明细接口!$N762),"")</f>
        <v/>
      </c>
      <c r="T762" s="112" t="str">
        <f aca="false">IFERROR(IF([2]对账明细接口!$O762=0,"",[2]对账明细接口!$O762),"")</f>
        <v/>
      </c>
      <c r="U762" s="112" t="str">
        <f aca="false">IFERROR(IF([2]对账明细接口!$P762=0,"",[2]对账明细接口!$P762),"")</f>
        <v/>
      </c>
      <c r="V762" s="112" t="str">
        <f aca="false">IFERROR(IF([2]对账明细接口!$Q762=0,"",[2]对账明细接口!$Q762),"")</f>
        <v/>
      </c>
      <c r="W762" s="10" t="str">
        <f aca="false">IFERROR(IF([2]对账明细接口!$R762=0,"",[2]对账明细接口!$R762),"")</f>
        <v/>
      </c>
      <c r="X762" s="10" t="str">
        <f aca="false">IFERROR(IF([2]对账明细接口!$S762=0,"",[2]对账明细接口!$S762),"")</f>
        <v/>
      </c>
      <c r="Y762" s="10" t="str">
        <f aca="false">IFERROR(IF([2]对账明细接口!$T762=0,"",[2]对账明细接口!$T762),"")</f>
        <v/>
      </c>
      <c r="Z762" s="113" t="str">
        <f aca="false">IFERROR(IF([2]对账明细接口!$U762=0,"",[2]对账明细接口!$U762),"")</f>
        <v/>
      </c>
      <c r="AA762" s="113" t="str">
        <f aca="false">IFERROR(IF([2]对账明细接口!$V762=0,"",[2]对账明细接口!$V762),"")</f>
        <v/>
      </c>
      <c r="AB762" s="10" t="str">
        <f aca="false">IFERROR(IF([2]对账明细接口!$W762=0,"",[2]对账明细接口!$W762),"")</f>
        <v/>
      </c>
      <c r="AC762" s="90" t="str">
        <f aca="false">IFERROR(IF([2]对账明细接口!$X763=0,"",[2]对账明细接口!$X763),"")</f>
        <v/>
      </c>
      <c r="AD762" s="90" t="str">
        <f aca="false">IFERROR(IF([2]对账明细接口!$Y763=0,"",[2]对账明细接口!$Y763),"")</f>
        <v/>
      </c>
      <c r="AE762" s="90" t="str">
        <f aca="false">IFERROR(IF([2]对账明细接口!$AA763=0,"",[2]对账明细接口!$AA763),"")</f>
        <v/>
      </c>
      <c r="AF762" s="90" t="str">
        <f aca="false">IFERROR(IF([2]对账明细接口!$AB763=0,"",[2]对账明细接口!$AB763),"")</f>
        <v/>
      </c>
      <c r="AG762" s="90" t="str">
        <f aca="false">IFERROR(IF([2]对账明细接口!$AC763=0,"",[2]对账明细接口!$AC763),"")</f>
        <v/>
      </c>
      <c r="AH762" s="90" t="str">
        <f aca="false">IFERROR(IF([2]对账明细接口!$AD763=0,"",[2]对账明细接口!$AD763),"")</f>
        <v/>
      </c>
    </row>
    <row r="763" customFormat="false" ht="13.5" hidden="false" customHeight="false" outlineLevel="0" collapsed="false">
      <c r="A763" s="109" t="n">
        <v>763</v>
      </c>
      <c r="B763" s="110" t="str">
        <f aca="false">IFERROR(IF([2]对账明细接口!$B$763=0,"",[2]对账明细接口!$B$763),"")</f>
        <v/>
      </c>
      <c r="C763" s="59" t="str">
        <f aca="false">IFERROR(IF([2]对账明细接口!$C$763=0,"",[2]对账明细接口!$C$763),"")</f>
        <v/>
      </c>
      <c r="D763" s="59" t="str">
        <f aca="false">IFERROR(IF([2]对账明细接口!$D$763=0,"",[2]对账明细接口!$D$763),"")</f>
        <v/>
      </c>
      <c r="E763" s="59" t="str">
        <f aca="false">IFERROR(IF([2]对账明细接口!$E$763=0,"",[2]对账明细接口!$E$763),"")</f>
        <v/>
      </c>
      <c r="F763" s="59" t="str">
        <f aca="false">IFERROR(IF([2]对账明细接口!$F$763=0,"",[2]对账明细接口!$F$763),"")</f>
        <v/>
      </c>
      <c r="G763" s="59" t="str">
        <f aca="false">IFERROR(IF([2]对账明细接口!$G$763=0,"",[2]对账明细接口!$G$763),"")</f>
        <v/>
      </c>
      <c r="H763" s="60" t="str">
        <f aca="false">IFERROR(IF([2]对账明细接口!$H$763=0,"",[2]对账明细接口!$H$763),"")</f>
        <v/>
      </c>
      <c r="I763" s="59" t="str">
        <f aca="false">IFERROR(IF([2]对账明细接口!$I$763=0,"",[2]对账明细接口!$I$763),"")</f>
        <v/>
      </c>
      <c r="J763" s="61" t="str">
        <f aca="false">IFERROR(IF([2]对账明细接口!$J$763=0,"",[2]对账明细接口!$J$763),"")</f>
        <v/>
      </c>
      <c r="K763" s="61" t="str">
        <f aca="false">IFERROR(IF([2]对账明细接口!$K$763=0,"",[2]对账明细接口!$K$763),"")</f>
        <v/>
      </c>
      <c r="L763" s="59" t="str">
        <f aca="false">IFERROR(IF([2]对账明细接口!$L$763=0,"",[2]对账明细接口!$L$763),"")</f>
        <v/>
      </c>
      <c r="M763" s="59" t="str">
        <f aca="false">IFERROR(IF([2]对账明细接口!$M$763=0,"",[2]对账明细接口!$M$763),"")</f>
        <v/>
      </c>
      <c r="N763" s="111" t="n">
        <f aca="false">IF($C763="",0,1)</f>
        <v>0</v>
      </c>
      <c r="O763" s="111" t="n">
        <f aca="false">N(O762)+$N763</f>
        <v>311</v>
      </c>
      <c r="S763" s="10" t="str">
        <f aca="false">IFERROR(IF([2]对账明细接口!$N763=0,"",[2]对账明细接口!$N763),"")</f>
        <v/>
      </c>
      <c r="T763" s="112" t="str">
        <f aca="false">IFERROR(IF([2]对账明细接口!$O763=0,"",[2]对账明细接口!$O763),"")</f>
        <v/>
      </c>
      <c r="U763" s="112" t="str">
        <f aca="false">IFERROR(IF([2]对账明细接口!$P763=0,"",[2]对账明细接口!$P763),"")</f>
        <v/>
      </c>
      <c r="V763" s="112" t="str">
        <f aca="false">IFERROR(IF([2]对账明细接口!$Q763=0,"",[2]对账明细接口!$Q763),"")</f>
        <v/>
      </c>
      <c r="W763" s="10" t="str">
        <f aca="false">IFERROR(IF([2]对账明细接口!$R763=0,"",[2]对账明细接口!$R763),"")</f>
        <v/>
      </c>
      <c r="X763" s="10" t="str">
        <f aca="false">IFERROR(IF([2]对账明细接口!$S763=0,"",[2]对账明细接口!$S763),"")</f>
        <v/>
      </c>
      <c r="Y763" s="10" t="str">
        <f aca="false">IFERROR(IF([2]对账明细接口!$T763=0,"",[2]对账明细接口!$T763),"")</f>
        <v/>
      </c>
      <c r="Z763" s="113" t="str">
        <f aca="false">IFERROR(IF([2]对账明细接口!$U763=0,"",[2]对账明细接口!$U763),"")</f>
        <v/>
      </c>
      <c r="AA763" s="113" t="str">
        <f aca="false">IFERROR(IF([2]对账明细接口!$V763=0,"",[2]对账明细接口!$V763),"")</f>
        <v/>
      </c>
      <c r="AB763" s="10" t="str">
        <f aca="false">IFERROR(IF([2]对账明细接口!$W763=0,"",[2]对账明细接口!$W763),"")</f>
        <v/>
      </c>
      <c r="AC763" s="90" t="str">
        <f aca="false">IFERROR(IF([2]对账明细接口!$X764=0,"",[2]对账明细接口!$X764),"")</f>
        <v/>
      </c>
      <c r="AD763" s="90" t="str">
        <f aca="false">IFERROR(IF([2]对账明细接口!$Y764=0,"",[2]对账明细接口!$Y764),"")</f>
        <v/>
      </c>
      <c r="AE763" s="90" t="str">
        <f aca="false">IFERROR(IF([2]对账明细接口!$AA764=0,"",[2]对账明细接口!$AA764),"")</f>
        <v/>
      </c>
      <c r="AF763" s="90" t="str">
        <f aca="false">IFERROR(IF([2]对账明细接口!$AB764=0,"",[2]对账明细接口!$AB764),"")</f>
        <v/>
      </c>
      <c r="AG763" s="90" t="str">
        <f aca="false">IFERROR(IF([2]对账明细接口!$AC764=0,"",[2]对账明细接口!$AC764),"")</f>
        <v/>
      </c>
      <c r="AH763" s="90" t="str">
        <f aca="false">IFERROR(IF([2]对账明细接口!$AD764=0,"",[2]对账明细接口!$AD764),"")</f>
        <v/>
      </c>
    </row>
    <row r="764" customFormat="false" ht="13.5" hidden="false" customHeight="false" outlineLevel="0" collapsed="false">
      <c r="A764" s="109" t="n">
        <v>764</v>
      </c>
      <c r="B764" s="110" t="str">
        <f aca="false">IFERROR(IF([2]对账明细接口!$B$764=0,"",[2]对账明细接口!$B$764),"")</f>
        <v/>
      </c>
      <c r="C764" s="59" t="str">
        <f aca="false">IFERROR(IF([2]对账明细接口!$C$764=0,"",[2]对账明细接口!$C$764),"")</f>
        <v/>
      </c>
      <c r="D764" s="59" t="str">
        <f aca="false">IFERROR(IF([2]对账明细接口!$D$764=0,"",[2]对账明细接口!$D$764),"")</f>
        <v/>
      </c>
      <c r="E764" s="59" t="str">
        <f aca="false">IFERROR(IF([2]对账明细接口!$E$764=0,"",[2]对账明细接口!$E$764),"")</f>
        <v/>
      </c>
      <c r="F764" s="59" t="str">
        <f aca="false">IFERROR(IF([2]对账明细接口!$F$764=0,"",[2]对账明细接口!$F$764),"")</f>
        <v/>
      </c>
      <c r="G764" s="59" t="str">
        <f aca="false">IFERROR(IF([2]对账明细接口!$G$764=0,"",[2]对账明细接口!$G$764),"")</f>
        <v/>
      </c>
      <c r="H764" s="60" t="str">
        <f aca="false">IFERROR(IF([2]对账明细接口!$H$764=0,"",[2]对账明细接口!$H$764),"")</f>
        <v/>
      </c>
      <c r="I764" s="59" t="str">
        <f aca="false">IFERROR(IF([2]对账明细接口!$I$764=0,"",[2]对账明细接口!$I$764),"")</f>
        <v/>
      </c>
      <c r="J764" s="61" t="str">
        <f aca="false">IFERROR(IF([2]对账明细接口!$J$764=0,"",[2]对账明细接口!$J$764),"")</f>
        <v/>
      </c>
      <c r="K764" s="61" t="str">
        <f aca="false">IFERROR(IF([2]对账明细接口!$K$764=0,"",[2]对账明细接口!$K$764),"")</f>
        <v/>
      </c>
      <c r="L764" s="59" t="str">
        <f aca="false">IFERROR(IF([2]对账明细接口!$L$764=0,"",[2]对账明细接口!$L$764),"")</f>
        <v/>
      </c>
      <c r="M764" s="59" t="str">
        <f aca="false">IFERROR(IF([2]对账明细接口!$M$764=0,"",[2]对账明细接口!$M$764),"")</f>
        <v/>
      </c>
      <c r="N764" s="111" t="n">
        <f aca="false">IF($C764="",0,1)</f>
        <v>0</v>
      </c>
      <c r="O764" s="111" t="n">
        <f aca="false">N(O763)+$N764</f>
        <v>311</v>
      </c>
      <c r="S764" s="10" t="str">
        <f aca="false">IFERROR(IF([2]对账明细接口!$N764=0,"",[2]对账明细接口!$N764),"")</f>
        <v/>
      </c>
      <c r="T764" s="112" t="str">
        <f aca="false">IFERROR(IF([2]对账明细接口!$O764=0,"",[2]对账明细接口!$O764),"")</f>
        <v/>
      </c>
      <c r="U764" s="112" t="str">
        <f aca="false">IFERROR(IF([2]对账明细接口!$P764=0,"",[2]对账明细接口!$P764),"")</f>
        <v/>
      </c>
      <c r="V764" s="112" t="str">
        <f aca="false">IFERROR(IF([2]对账明细接口!$Q764=0,"",[2]对账明细接口!$Q764),"")</f>
        <v/>
      </c>
      <c r="W764" s="10" t="str">
        <f aca="false">IFERROR(IF([2]对账明细接口!$R764=0,"",[2]对账明细接口!$R764),"")</f>
        <v/>
      </c>
      <c r="X764" s="10" t="str">
        <f aca="false">IFERROR(IF([2]对账明细接口!$S764=0,"",[2]对账明细接口!$S764),"")</f>
        <v/>
      </c>
      <c r="Y764" s="10" t="str">
        <f aca="false">IFERROR(IF([2]对账明细接口!$T764=0,"",[2]对账明细接口!$T764),"")</f>
        <v/>
      </c>
      <c r="Z764" s="113" t="str">
        <f aca="false">IFERROR(IF([2]对账明细接口!$U764=0,"",[2]对账明细接口!$U764),"")</f>
        <v/>
      </c>
      <c r="AA764" s="113" t="str">
        <f aca="false">IFERROR(IF([2]对账明细接口!$V764=0,"",[2]对账明细接口!$V764),"")</f>
        <v/>
      </c>
      <c r="AB764" s="10" t="str">
        <f aca="false">IFERROR(IF([2]对账明细接口!$W764=0,"",[2]对账明细接口!$W764),"")</f>
        <v/>
      </c>
      <c r="AC764" s="90" t="str">
        <f aca="false">IFERROR(IF([2]对账明细接口!$X765=0,"",[2]对账明细接口!$X765),"")</f>
        <v/>
      </c>
      <c r="AD764" s="90" t="str">
        <f aca="false">IFERROR(IF([2]对账明细接口!$Y765=0,"",[2]对账明细接口!$Y765),"")</f>
        <v/>
      </c>
      <c r="AE764" s="90" t="str">
        <f aca="false">IFERROR(IF([2]对账明细接口!$AA765=0,"",[2]对账明细接口!$AA765),"")</f>
        <v/>
      </c>
      <c r="AF764" s="90" t="str">
        <f aca="false">IFERROR(IF([2]对账明细接口!$AB765=0,"",[2]对账明细接口!$AB765),"")</f>
        <v/>
      </c>
      <c r="AG764" s="90" t="str">
        <f aca="false">IFERROR(IF([2]对账明细接口!$AC765=0,"",[2]对账明细接口!$AC765),"")</f>
        <v/>
      </c>
      <c r="AH764" s="90" t="str">
        <f aca="false">IFERROR(IF([2]对账明细接口!$AD765=0,"",[2]对账明细接口!$AD765),"")</f>
        <v/>
      </c>
    </row>
    <row r="765" customFormat="false" ht="13.5" hidden="false" customHeight="false" outlineLevel="0" collapsed="false">
      <c r="A765" s="109" t="n">
        <v>765</v>
      </c>
      <c r="B765" s="110" t="str">
        <f aca="false">IFERROR(IF([2]对账明细接口!$B$765=0,"",[2]对账明细接口!$B$765),"")</f>
        <v/>
      </c>
      <c r="C765" s="59" t="str">
        <f aca="false">IFERROR(IF([2]对账明细接口!$C$765=0,"",[2]对账明细接口!$C$765),"")</f>
        <v/>
      </c>
      <c r="D765" s="59" t="str">
        <f aca="false">IFERROR(IF([2]对账明细接口!$D$765=0,"",[2]对账明细接口!$D$765),"")</f>
        <v/>
      </c>
      <c r="E765" s="59" t="str">
        <f aca="false">IFERROR(IF([2]对账明细接口!$E$765=0,"",[2]对账明细接口!$E$765),"")</f>
        <v/>
      </c>
      <c r="F765" s="59" t="str">
        <f aca="false">IFERROR(IF([2]对账明细接口!$F$765=0,"",[2]对账明细接口!$F$765),"")</f>
        <v/>
      </c>
      <c r="G765" s="59" t="str">
        <f aca="false">IFERROR(IF([2]对账明细接口!$G$765=0,"",[2]对账明细接口!$G$765),"")</f>
        <v/>
      </c>
      <c r="H765" s="60" t="str">
        <f aca="false">IFERROR(IF([2]对账明细接口!$H$765=0,"",[2]对账明细接口!$H$765),"")</f>
        <v/>
      </c>
      <c r="I765" s="59" t="str">
        <f aca="false">IFERROR(IF([2]对账明细接口!$I$765=0,"",[2]对账明细接口!$I$765),"")</f>
        <v/>
      </c>
      <c r="J765" s="61" t="str">
        <f aca="false">IFERROR(IF([2]对账明细接口!$J$765=0,"",[2]对账明细接口!$J$765),"")</f>
        <v/>
      </c>
      <c r="K765" s="61" t="str">
        <f aca="false">IFERROR(IF([2]对账明细接口!$K$765=0,"",[2]对账明细接口!$K$765),"")</f>
        <v/>
      </c>
      <c r="L765" s="59" t="str">
        <f aca="false">IFERROR(IF([2]对账明细接口!$L$765=0,"",[2]对账明细接口!$L$765),"")</f>
        <v/>
      </c>
      <c r="M765" s="59" t="str">
        <f aca="false">IFERROR(IF([2]对账明细接口!$M$765=0,"",[2]对账明细接口!$M$765),"")</f>
        <v/>
      </c>
      <c r="N765" s="111" t="n">
        <f aca="false">IF($C765="",0,1)</f>
        <v>0</v>
      </c>
      <c r="O765" s="111" t="n">
        <f aca="false">N(O764)+$N765</f>
        <v>311</v>
      </c>
      <c r="S765" s="10" t="str">
        <f aca="false">IFERROR(IF([2]对账明细接口!$N765=0,"",[2]对账明细接口!$N765),"")</f>
        <v/>
      </c>
      <c r="T765" s="112" t="str">
        <f aca="false">IFERROR(IF([2]对账明细接口!$O765=0,"",[2]对账明细接口!$O765),"")</f>
        <v/>
      </c>
      <c r="U765" s="112" t="str">
        <f aca="false">IFERROR(IF([2]对账明细接口!$P765=0,"",[2]对账明细接口!$P765),"")</f>
        <v/>
      </c>
      <c r="V765" s="112" t="str">
        <f aca="false">IFERROR(IF([2]对账明细接口!$Q765=0,"",[2]对账明细接口!$Q765),"")</f>
        <v/>
      </c>
      <c r="W765" s="10" t="str">
        <f aca="false">IFERROR(IF([2]对账明细接口!$R765=0,"",[2]对账明细接口!$R765),"")</f>
        <v/>
      </c>
      <c r="X765" s="10" t="str">
        <f aca="false">IFERROR(IF([2]对账明细接口!$S765=0,"",[2]对账明细接口!$S765),"")</f>
        <v/>
      </c>
      <c r="Y765" s="10" t="str">
        <f aca="false">IFERROR(IF([2]对账明细接口!$T765=0,"",[2]对账明细接口!$T765),"")</f>
        <v/>
      </c>
      <c r="Z765" s="113" t="str">
        <f aca="false">IFERROR(IF([2]对账明细接口!$U765=0,"",[2]对账明细接口!$U765),"")</f>
        <v/>
      </c>
      <c r="AA765" s="113" t="str">
        <f aca="false">IFERROR(IF([2]对账明细接口!$V765=0,"",[2]对账明细接口!$V765),"")</f>
        <v/>
      </c>
      <c r="AB765" s="10" t="str">
        <f aca="false">IFERROR(IF([2]对账明细接口!$W765=0,"",[2]对账明细接口!$W765),"")</f>
        <v/>
      </c>
      <c r="AC765" s="90" t="str">
        <f aca="false">IFERROR(IF([2]对账明细接口!$X766=0,"",[2]对账明细接口!$X766),"")</f>
        <v/>
      </c>
      <c r="AD765" s="90" t="str">
        <f aca="false">IFERROR(IF([2]对账明细接口!$Y766=0,"",[2]对账明细接口!$Y766),"")</f>
        <v/>
      </c>
      <c r="AE765" s="90" t="str">
        <f aca="false">IFERROR(IF([2]对账明细接口!$AA766=0,"",[2]对账明细接口!$AA766),"")</f>
        <v/>
      </c>
      <c r="AF765" s="90" t="str">
        <f aca="false">IFERROR(IF([2]对账明细接口!$AB766=0,"",[2]对账明细接口!$AB766),"")</f>
        <v/>
      </c>
      <c r="AG765" s="90" t="str">
        <f aca="false">IFERROR(IF([2]对账明细接口!$AC766=0,"",[2]对账明细接口!$AC766),"")</f>
        <v/>
      </c>
      <c r="AH765" s="90" t="str">
        <f aca="false">IFERROR(IF([2]对账明细接口!$AD766=0,"",[2]对账明细接口!$AD766),"")</f>
        <v/>
      </c>
    </row>
    <row r="766" customFormat="false" ht="13.5" hidden="false" customHeight="false" outlineLevel="0" collapsed="false">
      <c r="A766" s="109" t="n">
        <v>766</v>
      </c>
      <c r="B766" s="110" t="str">
        <f aca="false">IFERROR(IF([2]对账明细接口!$B$766=0,"",[2]对账明细接口!$B$766),"")</f>
        <v/>
      </c>
      <c r="C766" s="59" t="str">
        <f aca="false">IFERROR(IF([2]对账明细接口!$C$766=0,"",[2]对账明细接口!$C$766),"")</f>
        <v/>
      </c>
      <c r="D766" s="59" t="str">
        <f aca="false">IFERROR(IF([2]对账明细接口!$D$766=0,"",[2]对账明细接口!$D$766),"")</f>
        <v/>
      </c>
      <c r="E766" s="59" t="str">
        <f aca="false">IFERROR(IF([2]对账明细接口!$E$766=0,"",[2]对账明细接口!$E$766),"")</f>
        <v/>
      </c>
      <c r="F766" s="59" t="str">
        <f aca="false">IFERROR(IF([2]对账明细接口!$F$766=0,"",[2]对账明细接口!$F$766),"")</f>
        <v/>
      </c>
      <c r="G766" s="59" t="str">
        <f aca="false">IFERROR(IF([2]对账明细接口!$G$766=0,"",[2]对账明细接口!$G$766),"")</f>
        <v/>
      </c>
      <c r="H766" s="60" t="str">
        <f aca="false">IFERROR(IF([2]对账明细接口!$H$766=0,"",[2]对账明细接口!$H$766),"")</f>
        <v/>
      </c>
      <c r="I766" s="59" t="str">
        <f aca="false">IFERROR(IF([2]对账明细接口!$I$766=0,"",[2]对账明细接口!$I$766),"")</f>
        <v/>
      </c>
      <c r="J766" s="61" t="str">
        <f aca="false">IFERROR(IF([2]对账明细接口!$J$766=0,"",[2]对账明细接口!$J$766),"")</f>
        <v/>
      </c>
      <c r="K766" s="61" t="str">
        <f aca="false">IFERROR(IF([2]对账明细接口!$K$766=0,"",[2]对账明细接口!$K$766),"")</f>
        <v/>
      </c>
      <c r="L766" s="59" t="str">
        <f aca="false">IFERROR(IF([2]对账明细接口!$L$766=0,"",[2]对账明细接口!$L$766),"")</f>
        <v/>
      </c>
      <c r="M766" s="59" t="str">
        <f aca="false">IFERROR(IF([2]对账明细接口!$M$766=0,"",[2]对账明细接口!$M$766),"")</f>
        <v/>
      </c>
      <c r="N766" s="111" t="n">
        <f aca="false">IF($C766="",0,1)</f>
        <v>0</v>
      </c>
      <c r="O766" s="111" t="n">
        <f aca="false">N(O765)+$N766</f>
        <v>311</v>
      </c>
      <c r="S766" s="10" t="str">
        <f aca="false">IFERROR(IF([2]对账明细接口!$N766=0,"",[2]对账明细接口!$N766),"")</f>
        <v/>
      </c>
      <c r="T766" s="112" t="str">
        <f aca="false">IFERROR(IF([2]对账明细接口!$O766=0,"",[2]对账明细接口!$O766),"")</f>
        <v/>
      </c>
      <c r="U766" s="112" t="str">
        <f aca="false">IFERROR(IF([2]对账明细接口!$P766=0,"",[2]对账明细接口!$P766),"")</f>
        <v/>
      </c>
      <c r="V766" s="112" t="str">
        <f aca="false">IFERROR(IF([2]对账明细接口!$Q766=0,"",[2]对账明细接口!$Q766),"")</f>
        <v/>
      </c>
      <c r="W766" s="10" t="str">
        <f aca="false">IFERROR(IF([2]对账明细接口!$R766=0,"",[2]对账明细接口!$R766),"")</f>
        <v/>
      </c>
      <c r="X766" s="10" t="str">
        <f aca="false">IFERROR(IF([2]对账明细接口!$S766=0,"",[2]对账明细接口!$S766),"")</f>
        <v/>
      </c>
      <c r="Y766" s="10" t="str">
        <f aca="false">IFERROR(IF([2]对账明细接口!$T766=0,"",[2]对账明细接口!$T766),"")</f>
        <v/>
      </c>
      <c r="Z766" s="113" t="str">
        <f aca="false">IFERROR(IF([2]对账明细接口!$U766=0,"",[2]对账明细接口!$U766),"")</f>
        <v/>
      </c>
      <c r="AA766" s="113" t="str">
        <f aca="false">IFERROR(IF([2]对账明细接口!$V766=0,"",[2]对账明细接口!$V766),"")</f>
        <v/>
      </c>
      <c r="AB766" s="10" t="str">
        <f aca="false">IFERROR(IF([2]对账明细接口!$W766=0,"",[2]对账明细接口!$W766),"")</f>
        <v/>
      </c>
      <c r="AC766" s="90" t="str">
        <f aca="false">IFERROR(IF([2]对账明细接口!$X767=0,"",[2]对账明细接口!$X767),"")</f>
        <v/>
      </c>
      <c r="AD766" s="90" t="str">
        <f aca="false">IFERROR(IF([2]对账明细接口!$Y767=0,"",[2]对账明细接口!$Y767),"")</f>
        <v/>
      </c>
      <c r="AE766" s="90" t="str">
        <f aca="false">IFERROR(IF([2]对账明细接口!$AA767=0,"",[2]对账明细接口!$AA767),"")</f>
        <v/>
      </c>
      <c r="AF766" s="90" t="str">
        <f aca="false">IFERROR(IF([2]对账明细接口!$AB767=0,"",[2]对账明细接口!$AB767),"")</f>
        <v/>
      </c>
      <c r="AG766" s="90" t="str">
        <f aca="false">IFERROR(IF([2]对账明细接口!$AC767=0,"",[2]对账明细接口!$AC767),"")</f>
        <v/>
      </c>
      <c r="AH766" s="90" t="str">
        <f aca="false">IFERROR(IF([2]对账明细接口!$AD767=0,"",[2]对账明细接口!$AD767),"")</f>
        <v/>
      </c>
    </row>
    <row r="767" customFormat="false" ht="13.5" hidden="false" customHeight="false" outlineLevel="0" collapsed="false">
      <c r="A767" s="109" t="n">
        <v>767</v>
      </c>
      <c r="B767" s="110" t="str">
        <f aca="false">IFERROR(IF([2]对账明细接口!$B$767=0,"",[2]对账明细接口!$B$767),"")</f>
        <v/>
      </c>
      <c r="C767" s="59" t="str">
        <f aca="false">IFERROR(IF([2]对账明细接口!$C$767=0,"",[2]对账明细接口!$C$767),"")</f>
        <v/>
      </c>
      <c r="D767" s="59" t="str">
        <f aca="false">IFERROR(IF([2]对账明细接口!$D$767=0,"",[2]对账明细接口!$D$767),"")</f>
        <v/>
      </c>
      <c r="E767" s="59" t="str">
        <f aca="false">IFERROR(IF([2]对账明细接口!$E$767=0,"",[2]对账明细接口!$E$767),"")</f>
        <v/>
      </c>
      <c r="F767" s="59" t="str">
        <f aca="false">IFERROR(IF([2]对账明细接口!$F$767=0,"",[2]对账明细接口!$F$767),"")</f>
        <v/>
      </c>
      <c r="G767" s="59" t="str">
        <f aca="false">IFERROR(IF([2]对账明细接口!$G$767=0,"",[2]对账明细接口!$G$767),"")</f>
        <v/>
      </c>
      <c r="H767" s="60" t="str">
        <f aca="false">IFERROR(IF([2]对账明细接口!$H$767=0,"",[2]对账明细接口!$H$767),"")</f>
        <v/>
      </c>
      <c r="I767" s="59" t="str">
        <f aca="false">IFERROR(IF([2]对账明细接口!$I$767=0,"",[2]对账明细接口!$I$767),"")</f>
        <v/>
      </c>
      <c r="J767" s="61" t="str">
        <f aca="false">IFERROR(IF([2]对账明细接口!$J$767=0,"",[2]对账明细接口!$J$767),"")</f>
        <v/>
      </c>
      <c r="K767" s="61" t="str">
        <f aca="false">IFERROR(IF([2]对账明细接口!$K$767=0,"",[2]对账明细接口!$K$767),"")</f>
        <v/>
      </c>
      <c r="L767" s="59" t="str">
        <f aca="false">IFERROR(IF([2]对账明细接口!$L$767=0,"",[2]对账明细接口!$L$767),"")</f>
        <v/>
      </c>
      <c r="M767" s="59" t="str">
        <f aca="false">IFERROR(IF([2]对账明细接口!$M$767=0,"",[2]对账明细接口!$M$767),"")</f>
        <v/>
      </c>
      <c r="N767" s="111" t="n">
        <f aca="false">IF($C767="",0,1)</f>
        <v>0</v>
      </c>
      <c r="O767" s="111" t="n">
        <f aca="false">N(O766)+$N767</f>
        <v>311</v>
      </c>
      <c r="S767" s="10" t="str">
        <f aca="false">IFERROR(IF([2]对账明细接口!$N767=0,"",[2]对账明细接口!$N767),"")</f>
        <v/>
      </c>
      <c r="T767" s="112" t="str">
        <f aca="false">IFERROR(IF([2]对账明细接口!$O767=0,"",[2]对账明细接口!$O767),"")</f>
        <v/>
      </c>
      <c r="U767" s="112" t="str">
        <f aca="false">IFERROR(IF([2]对账明细接口!$P767=0,"",[2]对账明细接口!$P767),"")</f>
        <v/>
      </c>
      <c r="V767" s="112" t="str">
        <f aca="false">IFERROR(IF([2]对账明细接口!$Q767=0,"",[2]对账明细接口!$Q767),"")</f>
        <v/>
      </c>
      <c r="W767" s="10" t="str">
        <f aca="false">IFERROR(IF([2]对账明细接口!$R767=0,"",[2]对账明细接口!$R767),"")</f>
        <v/>
      </c>
      <c r="X767" s="10" t="str">
        <f aca="false">IFERROR(IF([2]对账明细接口!$S767=0,"",[2]对账明细接口!$S767),"")</f>
        <v/>
      </c>
      <c r="Y767" s="10" t="str">
        <f aca="false">IFERROR(IF([2]对账明细接口!$T767=0,"",[2]对账明细接口!$T767),"")</f>
        <v/>
      </c>
      <c r="Z767" s="113" t="str">
        <f aca="false">IFERROR(IF([2]对账明细接口!$U767=0,"",[2]对账明细接口!$U767),"")</f>
        <v/>
      </c>
      <c r="AA767" s="113" t="str">
        <f aca="false">IFERROR(IF([2]对账明细接口!$V767=0,"",[2]对账明细接口!$V767),"")</f>
        <v/>
      </c>
      <c r="AB767" s="10" t="str">
        <f aca="false">IFERROR(IF([2]对账明细接口!$W767=0,"",[2]对账明细接口!$W767),"")</f>
        <v/>
      </c>
      <c r="AC767" s="90" t="str">
        <f aca="false">IFERROR(IF([2]对账明细接口!$X768=0,"",[2]对账明细接口!$X768),"")</f>
        <v/>
      </c>
      <c r="AD767" s="90" t="str">
        <f aca="false">IFERROR(IF([2]对账明细接口!$Y768=0,"",[2]对账明细接口!$Y768),"")</f>
        <v/>
      </c>
      <c r="AE767" s="90" t="str">
        <f aca="false">IFERROR(IF([2]对账明细接口!$AA768=0,"",[2]对账明细接口!$AA768),"")</f>
        <v/>
      </c>
      <c r="AF767" s="90" t="str">
        <f aca="false">IFERROR(IF([2]对账明细接口!$AB768=0,"",[2]对账明细接口!$AB768),"")</f>
        <v/>
      </c>
      <c r="AG767" s="90" t="str">
        <f aca="false">IFERROR(IF([2]对账明细接口!$AC768=0,"",[2]对账明细接口!$AC768),"")</f>
        <v/>
      </c>
      <c r="AH767" s="90" t="str">
        <f aca="false">IFERROR(IF([2]对账明细接口!$AD768=0,"",[2]对账明细接口!$AD768),"")</f>
        <v/>
      </c>
    </row>
    <row r="768" customFormat="false" ht="13.5" hidden="false" customHeight="false" outlineLevel="0" collapsed="false">
      <c r="A768" s="109" t="n">
        <v>768</v>
      </c>
      <c r="B768" s="110" t="str">
        <f aca="false">IFERROR(IF([2]对账明细接口!$B$768=0,"",[2]对账明细接口!$B$768),"")</f>
        <v/>
      </c>
      <c r="C768" s="59" t="str">
        <f aca="false">IFERROR(IF([2]对账明细接口!$C$768=0,"",[2]对账明细接口!$C$768),"")</f>
        <v/>
      </c>
      <c r="D768" s="59" t="str">
        <f aca="false">IFERROR(IF([2]对账明细接口!$D$768=0,"",[2]对账明细接口!$D$768),"")</f>
        <v/>
      </c>
      <c r="E768" s="59" t="str">
        <f aca="false">IFERROR(IF([2]对账明细接口!$E$768=0,"",[2]对账明细接口!$E$768),"")</f>
        <v/>
      </c>
      <c r="F768" s="59" t="str">
        <f aca="false">IFERROR(IF([2]对账明细接口!$F$768=0,"",[2]对账明细接口!$F$768),"")</f>
        <v/>
      </c>
      <c r="G768" s="59" t="str">
        <f aca="false">IFERROR(IF([2]对账明细接口!$G$768=0,"",[2]对账明细接口!$G$768),"")</f>
        <v/>
      </c>
      <c r="H768" s="60" t="str">
        <f aca="false">IFERROR(IF([2]对账明细接口!$H$768=0,"",[2]对账明细接口!$H$768),"")</f>
        <v/>
      </c>
      <c r="I768" s="59" t="str">
        <f aca="false">IFERROR(IF([2]对账明细接口!$I$768=0,"",[2]对账明细接口!$I$768),"")</f>
        <v/>
      </c>
      <c r="J768" s="61" t="str">
        <f aca="false">IFERROR(IF([2]对账明细接口!$J$768=0,"",[2]对账明细接口!$J$768),"")</f>
        <v/>
      </c>
      <c r="K768" s="61" t="str">
        <f aca="false">IFERROR(IF([2]对账明细接口!$K$768=0,"",[2]对账明细接口!$K$768),"")</f>
        <v/>
      </c>
      <c r="L768" s="59" t="str">
        <f aca="false">IFERROR(IF([2]对账明细接口!$L$768=0,"",[2]对账明细接口!$L$768),"")</f>
        <v/>
      </c>
      <c r="M768" s="59" t="str">
        <f aca="false">IFERROR(IF([2]对账明细接口!$M$768=0,"",[2]对账明细接口!$M$768),"")</f>
        <v/>
      </c>
      <c r="N768" s="111" t="n">
        <f aca="false">IF($C768="",0,1)</f>
        <v>0</v>
      </c>
      <c r="O768" s="111" t="n">
        <f aca="false">N(O767)+$N768</f>
        <v>311</v>
      </c>
      <c r="S768" s="10" t="str">
        <f aca="false">IFERROR(IF([2]对账明细接口!$N768=0,"",[2]对账明细接口!$N768),"")</f>
        <v/>
      </c>
      <c r="T768" s="112" t="str">
        <f aca="false">IFERROR(IF([2]对账明细接口!$O768=0,"",[2]对账明细接口!$O768),"")</f>
        <v/>
      </c>
      <c r="U768" s="112" t="str">
        <f aca="false">IFERROR(IF([2]对账明细接口!$P768=0,"",[2]对账明细接口!$P768),"")</f>
        <v/>
      </c>
      <c r="V768" s="112" t="str">
        <f aca="false">IFERROR(IF([2]对账明细接口!$Q768=0,"",[2]对账明细接口!$Q768),"")</f>
        <v/>
      </c>
      <c r="W768" s="10" t="str">
        <f aca="false">IFERROR(IF([2]对账明细接口!$R768=0,"",[2]对账明细接口!$R768),"")</f>
        <v/>
      </c>
      <c r="X768" s="10" t="str">
        <f aca="false">IFERROR(IF([2]对账明细接口!$S768=0,"",[2]对账明细接口!$S768),"")</f>
        <v/>
      </c>
      <c r="Y768" s="10" t="str">
        <f aca="false">IFERROR(IF([2]对账明细接口!$T768=0,"",[2]对账明细接口!$T768),"")</f>
        <v/>
      </c>
      <c r="Z768" s="113" t="str">
        <f aca="false">IFERROR(IF([2]对账明细接口!$U768=0,"",[2]对账明细接口!$U768),"")</f>
        <v/>
      </c>
      <c r="AA768" s="113" t="str">
        <f aca="false">IFERROR(IF([2]对账明细接口!$V768=0,"",[2]对账明细接口!$V768),"")</f>
        <v/>
      </c>
      <c r="AB768" s="10" t="str">
        <f aca="false">IFERROR(IF([2]对账明细接口!$W768=0,"",[2]对账明细接口!$W768),"")</f>
        <v/>
      </c>
      <c r="AC768" s="90" t="str">
        <f aca="false">IFERROR(IF([2]对账明细接口!$X769=0,"",[2]对账明细接口!$X769),"")</f>
        <v/>
      </c>
      <c r="AD768" s="90" t="str">
        <f aca="false">IFERROR(IF([2]对账明细接口!$Y769=0,"",[2]对账明细接口!$Y769),"")</f>
        <v/>
      </c>
      <c r="AE768" s="90" t="str">
        <f aca="false">IFERROR(IF([2]对账明细接口!$AA769=0,"",[2]对账明细接口!$AA769),"")</f>
        <v/>
      </c>
      <c r="AF768" s="90" t="str">
        <f aca="false">IFERROR(IF([2]对账明细接口!$AB769=0,"",[2]对账明细接口!$AB769),"")</f>
        <v/>
      </c>
      <c r="AG768" s="90" t="str">
        <f aca="false">IFERROR(IF([2]对账明细接口!$AC769=0,"",[2]对账明细接口!$AC769),"")</f>
        <v/>
      </c>
      <c r="AH768" s="90" t="str">
        <f aca="false">IFERROR(IF([2]对账明细接口!$AD769=0,"",[2]对账明细接口!$AD769),"")</f>
        <v/>
      </c>
    </row>
    <row r="769" customFormat="false" ht="13.5" hidden="false" customHeight="false" outlineLevel="0" collapsed="false">
      <c r="A769" s="109" t="n">
        <v>769</v>
      </c>
      <c r="B769" s="110" t="str">
        <f aca="false">IFERROR(IF([2]对账明细接口!$B$769=0,"",[2]对账明细接口!$B$769),"")</f>
        <v/>
      </c>
      <c r="C769" s="59" t="str">
        <f aca="false">IFERROR(IF([2]对账明细接口!$C$769=0,"",[2]对账明细接口!$C$769),"")</f>
        <v/>
      </c>
      <c r="D769" s="59" t="str">
        <f aca="false">IFERROR(IF([2]对账明细接口!$D$769=0,"",[2]对账明细接口!$D$769),"")</f>
        <v/>
      </c>
      <c r="E769" s="59" t="str">
        <f aca="false">IFERROR(IF([2]对账明细接口!$E$769=0,"",[2]对账明细接口!$E$769),"")</f>
        <v/>
      </c>
      <c r="F769" s="59" t="str">
        <f aca="false">IFERROR(IF([2]对账明细接口!$F$769=0,"",[2]对账明细接口!$F$769),"")</f>
        <v/>
      </c>
      <c r="G769" s="59" t="str">
        <f aca="false">IFERROR(IF([2]对账明细接口!$G$769=0,"",[2]对账明细接口!$G$769),"")</f>
        <v/>
      </c>
      <c r="H769" s="60" t="str">
        <f aca="false">IFERROR(IF([2]对账明细接口!$H$769=0,"",[2]对账明细接口!$H$769),"")</f>
        <v/>
      </c>
      <c r="I769" s="59" t="str">
        <f aca="false">IFERROR(IF([2]对账明细接口!$I$769=0,"",[2]对账明细接口!$I$769),"")</f>
        <v/>
      </c>
      <c r="J769" s="61" t="str">
        <f aca="false">IFERROR(IF([2]对账明细接口!$J$769=0,"",[2]对账明细接口!$J$769),"")</f>
        <v/>
      </c>
      <c r="K769" s="61" t="str">
        <f aca="false">IFERROR(IF([2]对账明细接口!$K$769=0,"",[2]对账明细接口!$K$769),"")</f>
        <v/>
      </c>
      <c r="L769" s="59" t="str">
        <f aca="false">IFERROR(IF([2]对账明细接口!$L$769=0,"",[2]对账明细接口!$L$769),"")</f>
        <v/>
      </c>
      <c r="M769" s="59" t="str">
        <f aca="false">IFERROR(IF([2]对账明细接口!$M$769=0,"",[2]对账明细接口!$M$769),"")</f>
        <v/>
      </c>
      <c r="N769" s="111" t="n">
        <f aca="false">IF($C769="",0,1)</f>
        <v>0</v>
      </c>
      <c r="O769" s="111" t="n">
        <f aca="false">N(O768)+$N769</f>
        <v>311</v>
      </c>
      <c r="S769" s="10" t="str">
        <f aca="false">IFERROR(IF([2]对账明细接口!$N769=0,"",[2]对账明细接口!$N769),"")</f>
        <v/>
      </c>
      <c r="T769" s="112" t="str">
        <f aca="false">IFERROR(IF([2]对账明细接口!$O769=0,"",[2]对账明细接口!$O769),"")</f>
        <v/>
      </c>
      <c r="U769" s="112" t="str">
        <f aca="false">IFERROR(IF([2]对账明细接口!$P769=0,"",[2]对账明细接口!$P769),"")</f>
        <v/>
      </c>
      <c r="V769" s="112" t="str">
        <f aca="false">IFERROR(IF([2]对账明细接口!$Q769=0,"",[2]对账明细接口!$Q769),"")</f>
        <v/>
      </c>
      <c r="W769" s="10" t="str">
        <f aca="false">IFERROR(IF([2]对账明细接口!$R769=0,"",[2]对账明细接口!$R769),"")</f>
        <v/>
      </c>
      <c r="X769" s="10" t="str">
        <f aca="false">IFERROR(IF([2]对账明细接口!$S769=0,"",[2]对账明细接口!$S769),"")</f>
        <v/>
      </c>
      <c r="Y769" s="10" t="str">
        <f aca="false">IFERROR(IF([2]对账明细接口!$T769=0,"",[2]对账明细接口!$T769),"")</f>
        <v/>
      </c>
      <c r="Z769" s="113" t="str">
        <f aca="false">IFERROR(IF([2]对账明细接口!$U769=0,"",[2]对账明细接口!$U769),"")</f>
        <v/>
      </c>
      <c r="AA769" s="113" t="str">
        <f aca="false">IFERROR(IF([2]对账明细接口!$V769=0,"",[2]对账明细接口!$V769),"")</f>
        <v/>
      </c>
      <c r="AB769" s="10" t="str">
        <f aca="false">IFERROR(IF([2]对账明细接口!$W769=0,"",[2]对账明细接口!$W769),"")</f>
        <v/>
      </c>
      <c r="AC769" s="90" t="str">
        <f aca="false">IFERROR(IF([2]对账明细接口!$X770=0,"",[2]对账明细接口!$X770),"")</f>
        <v/>
      </c>
      <c r="AD769" s="90" t="str">
        <f aca="false">IFERROR(IF([2]对账明细接口!$Y770=0,"",[2]对账明细接口!$Y770),"")</f>
        <v/>
      </c>
      <c r="AE769" s="90" t="str">
        <f aca="false">IFERROR(IF([2]对账明细接口!$AA770=0,"",[2]对账明细接口!$AA770),"")</f>
        <v/>
      </c>
      <c r="AF769" s="90" t="str">
        <f aca="false">IFERROR(IF([2]对账明细接口!$AB770=0,"",[2]对账明细接口!$AB770),"")</f>
        <v/>
      </c>
      <c r="AG769" s="90" t="str">
        <f aca="false">IFERROR(IF([2]对账明细接口!$AC770=0,"",[2]对账明细接口!$AC770),"")</f>
        <v/>
      </c>
      <c r="AH769" s="90" t="str">
        <f aca="false">IFERROR(IF([2]对账明细接口!$AD770=0,"",[2]对账明细接口!$AD770),"")</f>
        <v/>
      </c>
    </row>
    <row r="770" customFormat="false" ht="13.5" hidden="false" customHeight="false" outlineLevel="0" collapsed="false">
      <c r="A770" s="109" t="n">
        <v>770</v>
      </c>
      <c r="B770" s="110" t="str">
        <f aca="false">IFERROR(IF([2]对账明细接口!$B$770=0,"",[2]对账明细接口!$B$770),"")</f>
        <v/>
      </c>
      <c r="C770" s="59" t="str">
        <f aca="false">IFERROR(IF([2]对账明细接口!$C$770=0,"",[2]对账明细接口!$C$770),"")</f>
        <v/>
      </c>
      <c r="D770" s="59" t="str">
        <f aca="false">IFERROR(IF([2]对账明细接口!$D$770=0,"",[2]对账明细接口!$D$770),"")</f>
        <v/>
      </c>
      <c r="E770" s="59" t="str">
        <f aca="false">IFERROR(IF([2]对账明细接口!$E$770=0,"",[2]对账明细接口!$E$770),"")</f>
        <v/>
      </c>
      <c r="F770" s="59" t="str">
        <f aca="false">IFERROR(IF([2]对账明细接口!$F$770=0,"",[2]对账明细接口!$F$770),"")</f>
        <v/>
      </c>
      <c r="G770" s="59" t="str">
        <f aca="false">IFERROR(IF([2]对账明细接口!$G$770=0,"",[2]对账明细接口!$G$770),"")</f>
        <v/>
      </c>
      <c r="H770" s="60" t="str">
        <f aca="false">IFERROR(IF([2]对账明细接口!$H$770=0,"",[2]对账明细接口!$H$770),"")</f>
        <v/>
      </c>
      <c r="I770" s="59" t="str">
        <f aca="false">IFERROR(IF([2]对账明细接口!$I$770=0,"",[2]对账明细接口!$I$770),"")</f>
        <v/>
      </c>
      <c r="J770" s="61" t="str">
        <f aca="false">IFERROR(IF([2]对账明细接口!$J$770=0,"",[2]对账明细接口!$J$770),"")</f>
        <v/>
      </c>
      <c r="K770" s="61" t="str">
        <f aca="false">IFERROR(IF([2]对账明细接口!$K$770=0,"",[2]对账明细接口!$K$770),"")</f>
        <v/>
      </c>
      <c r="L770" s="59" t="str">
        <f aca="false">IFERROR(IF([2]对账明细接口!$L$770=0,"",[2]对账明细接口!$L$770),"")</f>
        <v/>
      </c>
      <c r="M770" s="59" t="str">
        <f aca="false">IFERROR(IF([2]对账明细接口!$M$770=0,"",[2]对账明细接口!$M$770),"")</f>
        <v/>
      </c>
      <c r="N770" s="111" t="n">
        <f aca="false">IF($C770="",0,1)</f>
        <v>0</v>
      </c>
      <c r="O770" s="111" t="n">
        <f aca="false">N(O769)+$N770</f>
        <v>311</v>
      </c>
      <c r="S770" s="10" t="str">
        <f aca="false">IFERROR(IF([2]对账明细接口!$N770=0,"",[2]对账明细接口!$N770),"")</f>
        <v/>
      </c>
      <c r="T770" s="112" t="str">
        <f aca="false">IFERROR(IF([2]对账明细接口!$O770=0,"",[2]对账明细接口!$O770),"")</f>
        <v/>
      </c>
      <c r="U770" s="112" t="str">
        <f aca="false">IFERROR(IF([2]对账明细接口!$P770=0,"",[2]对账明细接口!$P770),"")</f>
        <v/>
      </c>
      <c r="V770" s="112" t="str">
        <f aca="false">IFERROR(IF([2]对账明细接口!$Q770=0,"",[2]对账明细接口!$Q770),"")</f>
        <v/>
      </c>
      <c r="W770" s="10" t="str">
        <f aca="false">IFERROR(IF([2]对账明细接口!$R770=0,"",[2]对账明细接口!$R770),"")</f>
        <v/>
      </c>
      <c r="X770" s="10" t="str">
        <f aca="false">IFERROR(IF([2]对账明细接口!$S770=0,"",[2]对账明细接口!$S770),"")</f>
        <v/>
      </c>
      <c r="Y770" s="10" t="str">
        <f aca="false">IFERROR(IF([2]对账明细接口!$T770=0,"",[2]对账明细接口!$T770),"")</f>
        <v/>
      </c>
      <c r="Z770" s="113" t="str">
        <f aca="false">IFERROR(IF([2]对账明细接口!$U770=0,"",[2]对账明细接口!$U770),"")</f>
        <v/>
      </c>
      <c r="AA770" s="113" t="str">
        <f aca="false">IFERROR(IF([2]对账明细接口!$V770=0,"",[2]对账明细接口!$V770),"")</f>
        <v/>
      </c>
      <c r="AB770" s="10" t="str">
        <f aca="false">IFERROR(IF([2]对账明细接口!$W770=0,"",[2]对账明细接口!$W770),"")</f>
        <v/>
      </c>
      <c r="AC770" s="90" t="str">
        <f aca="false">IFERROR(IF([2]对账明细接口!$X771=0,"",[2]对账明细接口!$X771),"")</f>
        <v/>
      </c>
      <c r="AD770" s="90" t="str">
        <f aca="false">IFERROR(IF([2]对账明细接口!$Y771=0,"",[2]对账明细接口!$Y771),"")</f>
        <v/>
      </c>
      <c r="AE770" s="90" t="str">
        <f aca="false">IFERROR(IF([2]对账明细接口!$AA771=0,"",[2]对账明细接口!$AA771),"")</f>
        <v/>
      </c>
      <c r="AF770" s="90" t="str">
        <f aca="false">IFERROR(IF([2]对账明细接口!$AB771=0,"",[2]对账明细接口!$AB771),"")</f>
        <v/>
      </c>
      <c r="AG770" s="90" t="str">
        <f aca="false">IFERROR(IF([2]对账明细接口!$AC771=0,"",[2]对账明细接口!$AC771),"")</f>
        <v/>
      </c>
      <c r="AH770" s="90" t="str">
        <f aca="false">IFERROR(IF([2]对账明细接口!$AD771=0,"",[2]对账明细接口!$AD771),"")</f>
        <v/>
      </c>
    </row>
    <row r="771" customFormat="false" ht="13.5" hidden="false" customHeight="false" outlineLevel="0" collapsed="false">
      <c r="A771" s="109" t="n">
        <v>771</v>
      </c>
      <c r="B771" s="110" t="str">
        <f aca="false">IFERROR(IF([2]对账明细接口!$B$771=0,"",[2]对账明细接口!$B$771),"")</f>
        <v/>
      </c>
      <c r="C771" s="59" t="str">
        <f aca="false">IFERROR(IF([2]对账明细接口!$C$771=0,"",[2]对账明细接口!$C$771),"")</f>
        <v/>
      </c>
      <c r="D771" s="59" t="str">
        <f aca="false">IFERROR(IF([2]对账明细接口!$D$771=0,"",[2]对账明细接口!$D$771),"")</f>
        <v/>
      </c>
      <c r="E771" s="59" t="str">
        <f aca="false">IFERROR(IF([2]对账明细接口!$E$771=0,"",[2]对账明细接口!$E$771),"")</f>
        <v/>
      </c>
      <c r="F771" s="59" t="str">
        <f aca="false">IFERROR(IF([2]对账明细接口!$F$771=0,"",[2]对账明细接口!$F$771),"")</f>
        <v/>
      </c>
      <c r="G771" s="59" t="str">
        <f aca="false">IFERROR(IF([2]对账明细接口!$G$771=0,"",[2]对账明细接口!$G$771),"")</f>
        <v/>
      </c>
      <c r="H771" s="60" t="str">
        <f aca="false">IFERROR(IF([2]对账明细接口!$H$771=0,"",[2]对账明细接口!$H$771),"")</f>
        <v/>
      </c>
      <c r="I771" s="59" t="str">
        <f aca="false">IFERROR(IF([2]对账明细接口!$I$771=0,"",[2]对账明细接口!$I$771),"")</f>
        <v/>
      </c>
      <c r="J771" s="61" t="str">
        <f aca="false">IFERROR(IF([2]对账明细接口!$J$771=0,"",[2]对账明细接口!$J$771),"")</f>
        <v/>
      </c>
      <c r="K771" s="61" t="str">
        <f aca="false">IFERROR(IF([2]对账明细接口!$K$771=0,"",[2]对账明细接口!$K$771),"")</f>
        <v/>
      </c>
      <c r="L771" s="59" t="str">
        <f aca="false">IFERROR(IF([2]对账明细接口!$L$771=0,"",[2]对账明细接口!$L$771),"")</f>
        <v/>
      </c>
      <c r="M771" s="59" t="str">
        <f aca="false">IFERROR(IF([2]对账明细接口!$M$771=0,"",[2]对账明细接口!$M$771),"")</f>
        <v/>
      </c>
      <c r="N771" s="111" t="n">
        <f aca="false">IF($C771="",0,1)</f>
        <v>0</v>
      </c>
      <c r="O771" s="111" t="n">
        <f aca="false">N(O770)+$N771</f>
        <v>311</v>
      </c>
      <c r="S771" s="10" t="str">
        <f aca="false">IFERROR(IF([2]对账明细接口!$N771=0,"",[2]对账明细接口!$N771),"")</f>
        <v/>
      </c>
      <c r="T771" s="112" t="str">
        <f aca="false">IFERROR(IF([2]对账明细接口!$O771=0,"",[2]对账明细接口!$O771),"")</f>
        <v/>
      </c>
      <c r="U771" s="112" t="str">
        <f aca="false">IFERROR(IF([2]对账明细接口!$P771=0,"",[2]对账明细接口!$P771),"")</f>
        <v/>
      </c>
      <c r="V771" s="112" t="str">
        <f aca="false">IFERROR(IF([2]对账明细接口!$Q771=0,"",[2]对账明细接口!$Q771),"")</f>
        <v/>
      </c>
      <c r="W771" s="10" t="str">
        <f aca="false">IFERROR(IF([2]对账明细接口!$R771=0,"",[2]对账明细接口!$R771),"")</f>
        <v/>
      </c>
      <c r="X771" s="10" t="str">
        <f aca="false">IFERROR(IF([2]对账明细接口!$S771=0,"",[2]对账明细接口!$S771),"")</f>
        <v/>
      </c>
      <c r="Y771" s="10" t="str">
        <f aca="false">IFERROR(IF([2]对账明细接口!$T771=0,"",[2]对账明细接口!$T771),"")</f>
        <v/>
      </c>
      <c r="Z771" s="113" t="str">
        <f aca="false">IFERROR(IF([2]对账明细接口!$U771=0,"",[2]对账明细接口!$U771),"")</f>
        <v/>
      </c>
      <c r="AA771" s="113" t="str">
        <f aca="false">IFERROR(IF([2]对账明细接口!$V771=0,"",[2]对账明细接口!$V771),"")</f>
        <v/>
      </c>
      <c r="AB771" s="10" t="str">
        <f aca="false">IFERROR(IF([2]对账明细接口!$W771=0,"",[2]对账明细接口!$W771),"")</f>
        <v/>
      </c>
      <c r="AC771" s="90" t="str">
        <f aca="false">IFERROR(IF([2]对账明细接口!$X772=0,"",[2]对账明细接口!$X772),"")</f>
        <v/>
      </c>
      <c r="AD771" s="90" t="str">
        <f aca="false">IFERROR(IF([2]对账明细接口!$Y772=0,"",[2]对账明细接口!$Y772),"")</f>
        <v/>
      </c>
      <c r="AE771" s="90" t="str">
        <f aca="false">IFERROR(IF([2]对账明细接口!$AA772=0,"",[2]对账明细接口!$AA772),"")</f>
        <v/>
      </c>
      <c r="AF771" s="90" t="str">
        <f aca="false">IFERROR(IF([2]对账明细接口!$AB772=0,"",[2]对账明细接口!$AB772),"")</f>
        <v/>
      </c>
      <c r="AG771" s="90" t="str">
        <f aca="false">IFERROR(IF([2]对账明细接口!$AC772=0,"",[2]对账明细接口!$AC772),"")</f>
        <v/>
      </c>
      <c r="AH771" s="90" t="str">
        <f aca="false">IFERROR(IF([2]对账明细接口!$AD772=0,"",[2]对账明细接口!$AD772),"")</f>
        <v/>
      </c>
    </row>
    <row r="772" customFormat="false" ht="13.5" hidden="false" customHeight="false" outlineLevel="0" collapsed="false">
      <c r="A772" s="109" t="n">
        <v>772</v>
      </c>
      <c r="B772" s="110" t="str">
        <f aca="false">IFERROR(IF([2]对账明细接口!$B$772=0,"",[2]对账明细接口!$B$772),"")</f>
        <v/>
      </c>
      <c r="C772" s="59" t="str">
        <f aca="false">IFERROR(IF([2]对账明细接口!$C$772=0,"",[2]对账明细接口!$C$772),"")</f>
        <v/>
      </c>
      <c r="D772" s="59" t="str">
        <f aca="false">IFERROR(IF([2]对账明细接口!$D$772=0,"",[2]对账明细接口!$D$772),"")</f>
        <v/>
      </c>
      <c r="E772" s="59" t="str">
        <f aca="false">IFERROR(IF([2]对账明细接口!$E$772=0,"",[2]对账明细接口!$E$772),"")</f>
        <v/>
      </c>
      <c r="F772" s="59" t="str">
        <f aca="false">IFERROR(IF([2]对账明细接口!$F$772=0,"",[2]对账明细接口!$F$772),"")</f>
        <v/>
      </c>
      <c r="G772" s="59" t="str">
        <f aca="false">IFERROR(IF([2]对账明细接口!$G$772=0,"",[2]对账明细接口!$G$772),"")</f>
        <v/>
      </c>
      <c r="H772" s="60" t="str">
        <f aca="false">IFERROR(IF([2]对账明细接口!$H$772=0,"",[2]对账明细接口!$H$772),"")</f>
        <v/>
      </c>
      <c r="I772" s="59" t="str">
        <f aca="false">IFERROR(IF([2]对账明细接口!$I$772=0,"",[2]对账明细接口!$I$772),"")</f>
        <v/>
      </c>
      <c r="J772" s="61" t="str">
        <f aca="false">IFERROR(IF([2]对账明细接口!$J$772=0,"",[2]对账明细接口!$J$772),"")</f>
        <v/>
      </c>
      <c r="K772" s="61" t="str">
        <f aca="false">IFERROR(IF([2]对账明细接口!$K$772=0,"",[2]对账明细接口!$K$772),"")</f>
        <v/>
      </c>
      <c r="L772" s="59" t="str">
        <f aca="false">IFERROR(IF([2]对账明细接口!$L$772=0,"",[2]对账明细接口!$L$772),"")</f>
        <v/>
      </c>
      <c r="M772" s="59" t="str">
        <f aca="false">IFERROR(IF([2]对账明细接口!$M$772=0,"",[2]对账明细接口!$M$772),"")</f>
        <v/>
      </c>
      <c r="N772" s="111" t="n">
        <f aca="false">IF($C772="",0,1)</f>
        <v>0</v>
      </c>
      <c r="O772" s="111" t="n">
        <f aca="false">N(O771)+$N772</f>
        <v>311</v>
      </c>
      <c r="S772" s="10" t="str">
        <f aca="false">IFERROR(IF([2]对账明细接口!$N772=0,"",[2]对账明细接口!$N772),"")</f>
        <v/>
      </c>
      <c r="T772" s="112" t="str">
        <f aca="false">IFERROR(IF([2]对账明细接口!$O772=0,"",[2]对账明细接口!$O772),"")</f>
        <v/>
      </c>
      <c r="U772" s="112" t="str">
        <f aca="false">IFERROR(IF([2]对账明细接口!$P772=0,"",[2]对账明细接口!$P772),"")</f>
        <v/>
      </c>
      <c r="V772" s="112" t="str">
        <f aca="false">IFERROR(IF([2]对账明细接口!$Q772=0,"",[2]对账明细接口!$Q772),"")</f>
        <v/>
      </c>
      <c r="W772" s="10" t="str">
        <f aca="false">IFERROR(IF([2]对账明细接口!$R772=0,"",[2]对账明细接口!$R772),"")</f>
        <v/>
      </c>
      <c r="X772" s="10" t="str">
        <f aca="false">IFERROR(IF([2]对账明细接口!$S772=0,"",[2]对账明细接口!$S772),"")</f>
        <v/>
      </c>
      <c r="Y772" s="10" t="str">
        <f aca="false">IFERROR(IF([2]对账明细接口!$T772=0,"",[2]对账明细接口!$T772),"")</f>
        <v/>
      </c>
      <c r="Z772" s="113" t="str">
        <f aca="false">IFERROR(IF([2]对账明细接口!$U772=0,"",[2]对账明细接口!$U772),"")</f>
        <v/>
      </c>
      <c r="AA772" s="113" t="str">
        <f aca="false">IFERROR(IF([2]对账明细接口!$V772=0,"",[2]对账明细接口!$V772),"")</f>
        <v/>
      </c>
      <c r="AB772" s="10" t="str">
        <f aca="false">IFERROR(IF([2]对账明细接口!$W772=0,"",[2]对账明细接口!$W772),"")</f>
        <v/>
      </c>
      <c r="AC772" s="90" t="str">
        <f aca="false">IFERROR(IF([2]对账明细接口!$X773=0,"",[2]对账明细接口!$X773),"")</f>
        <v/>
      </c>
      <c r="AD772" s="90" t="str">
        <f aca="false">IFERROR(IF([2]对账明细接口!$Y773=0,"",[2]对账明细接口!$Y773),"")</f>
        <v/>
      </c>
      <c r="AE772" s="90" t="str">
        <f aca="false">IFERROR(IF([2]对账明细接口!$AA773=0,"",[2]对账明细接口!$AA773),"")</f>
        <v/>
      </c>
      <c r="AF772" s="90" t="str">
        <f aca="false">IFERROR(IF([2]对账明细接口!$AB773=0,"",[2]对账明细接口!$AB773),"")</f>
        <v/>
      </c>
      <c r="AG772" s="90" t="str">
        <f aca="false">IFERROR(IF([2]对账明细接口!$AC773=0,"",[2]对账明细接口!$AC773),"")</f>
        <v/>
      </c>
      <c r="AH772" s="90" t="str">
        <f aca="false">IFERROR(IF([2]对账明细接口!$AD773=0,"",[2]对账明细接口!$AD773),"")</f>
        <v/>
      </c>
    </row>
    <row r="773" customFormat="false" ht="13.5" hidden="false" customHeight="false" outlineLevel="0" collapsed="false">
      <c r="A773" s="109" t="n">
        <v>773</v>
      </c>
      <c r="B773" s="110" t="str">
        <f aca="false">IFERROR(IF([2]对账明细接口!$B$773=0,"",[2]对账明细接口!$B$773),"")</f>
        <v/>
      </c>
      <c r="C773" s="59" t="str">
        <f aca="false">IFERROR(IF([2]对账明细接口!$C$773=0,"",[2]对账明细接口!$C$773),"")</f>
        <v/>
      </c>
      <c r="D773" s="59" t="str">
        <f aca="false">IFERROR(IF([2]对账明细接口!$D$773=0,"",[2]对账明细接口!$D$773),"")</f>
        <v/>
      </c>
      <c r="E773" s="59" t="str">
        <f aca="false">IFERROR(IF([2]对账明细接口!$E$773=0,"",[2]对账明细接口!$E$773),"")</f>
        <v/>
      </c>
      <c r="F773" s="59" t="str">
        <f aca="false">IFERROR(IF([2]对账明细接口!$F$773=0,"",[2]对账明细接口!$F$773),"")</f>
        <v/>
      </c>
      <c r="G773" s="59" t="str">
        <f aca="false">IFERROR(IF([2]对账明细接口!$G$773=0,"",[2]对账明细接口!$G$773),"")</f>
        <v/>
      </c>
      <c r="H773" s="60" t="str">
        <f aca="false">IFERROR(IF([2]对账明细接口!$H$773=0,"",[2]对账明细接口!$H$773),"")</f>
        <v/>
      </c>
      <c r="I773" s="59" t="str">
        <f aca="false">IFERROR(IF([2]对账明细接口!$I$773=0,"",[2]对账明细接口!$I$773),"")</f>
        <v/>
      </c>
      <c r="J773" s="61" t="str">
        <f aca="false">IFERROR(IF([2]对账明细接口!$J$773=0,"",[2]对账明细接口!$J$773),"")</f>
        <v/>
      </c>
      <c r="K773" s="61" t="str">
        <f aca="false">IFERROR(IF([2]对账明细接口!$K$773=0,"",[2]对账明细接口!$K$773),"")</f>
        <v/>
      </c>
      <c r="L773" s="59" t="str">
        <f aca="false">IFERROR(IF([2]对账明细接口!$L$773=0,"",[2]对账明细接口!$L$773),"")</f>
        <v/>
      </c>
      <c r="M773" s="59" t="str">
        <f aca="false">IFERROR(IF([2]对账明细接口!$M$773=0,"",[2]对账明细接口!$M$773),"")</f>
        <v/>
      </c>
      <c r="N773" s="111" t="n">
        <f aca="false">IF($C773="",0,1)</f>
        <v>0</v>
      </c>
      <c r="O773" s="111" t="n">
        <f aca="false">N(O772)+$N773</f>
        <v>311</v>
      </c>
      <c r="S773" s="10" t="str">
        <f aca="false">IFERROR(IF([2]对账明细接口!$N773=0,"",[2]对账明细接口!$N773),"")</f>
        <v/>
      </c>
      <c r="T773" s="112" t="str">
        <f aca="false">IFERROR(IF([2]对账明细接口!$O773=0,"",[2]对账明细接口!$O773),"")</f>
        <v/>
      </c>
      <c r="U773" s="112" t="str">
        <f aca="false">IFERROR(IF([2]对账明细接口!$P773=0,"",[2]对账明细接口!$P773),"")</f>
        <v/>
      </c>
      <c r="V773" s="112" t="str">
        <f aca="false">IFERROR(IF([2]对账明细接口!$Q773=0,"",[2]对账明细接口!$Q773),"")</f>
        <v/>
      </c>
      <c r="W773" s="10" t="str">
        <f aca="false">IFERROR(IF([2]对账明细接口!$R773=0,"",[2]对账明细接口!$R773),"")</f>
        <v/>
      </c>
      <c r="X773" s="10" t="str">
        <f aca="false">IFERROR(IF([2]对账明细接口!$S773=0,"",[2]对账明细接口!$S773),"")</f>
        <v/>
      </c>
      <c r="Y773" s="10" t="str">
        <f aca="false">IFERROR(IF([2]对账明细接口!$T773=0,"",[2]对账明细接口!$T773),"")</f>
        <v/>
      </c>
      <c r="Z773" s="113" t="str">
        <f aca="false">IFERROR(IF([2]对账明细接口!$U773=0,"",[2]对账明细接口!$U773),"")</f>
        <v/>
      </c>
      <c r="AA773" s="113" t="str">
        <f aca="false">IFERROR(IF([2]对账明细接口!$V773=0,"",[2]对账明细接口!$V773),"")</f>
        <v/>
      </c>
      <c r="AB773" s="10" t="str">
        <f aca="false">IFERROR(IF([2]对账明细接口!$W773=0,"",[2]对账明细接口!$W773),"")</f>
        <v/>
      </c>
      <c r="AC773" s="90" t="str">
        <f aca="false">IFERROR(IF([2]对账明细接口!$X774=0,"",[2]对账明细接口!$X774),"")</f>
        <v/>
      </c>
      <c r="AD773" s="90" t="str">
        <f aca="false">IFERROR(IF([2]对账明细接口!$Y774=0,"",[2]对账明细接口!$Y774),"")</f>
        <v/>
      </c>
      <c r="AE773" s="90" t="str">
        <f aca="false">IFERROR(IF([2]对账明细接口!$AA774=0,"",[2]对账明细接口!$AA774),"")</f>
        <v/>
      </c>
      <c r="AF773" s="90" t="str">
        <f aca="false">IFERROR(IF([2]对账明细接口!$AB774=0,"",[2]对账明细接口!$AB774),"")</f>
        <v/>
      </c>
      <c r="AG773" s="90" t="str">
        <f aca="false">IFERROR(IF([2]对账明细接口!$AC774=0,"",[2]对账明细接口!$AC774),"")</f>
        <v/>
      </c>
      <c r="AH773" s="90" t="str">
        <f aca="false">IFERROR(IF([2]对账明细接口!$AD774=0,"",[2]对账明细接口!$AD774),"")</f>
        <v/>
      </c>
    </row>
    <row r="774" customFormat="false" ht="13.5" hidden="false" customHeight="false" outlineLevel="0" collapsed="false">
      <c r="A774" s="109" t="n">
        <v>774</v>
      </c>
      <c r="B774" s="110" t="str">
        <f aca="false">IFERROR(IF([2]对账明细接口!$B$774=0,"",[2]对账明细接口!$B$774),"")</f>
        <v/>
      </c>
      <c r="C774" s="59" t="str">
        <f aca="false">IFERROR(IF([2]对账明细接口!$C$774=0,"",[2]对账明细接口!$C$774),"")</f>
        <v/>
      </c>
      <c r="D774" s="59" t="str">
        <f aca="false">IFERROR(IF([2]对账明细接口!$D$774=0,"",[2]对账明细接口!$D$774),"")</f>
        <v/>
      </c>
      <c r="E774" s="59" t="str">
        <f aca="false">IFERROR(IF([2]对账明细接口!$E$774=0,"",[2]对账明细接口!$E$774),"")</f>
        <v/>
      </c>
      <c r="F774" s="59" t="str">
        <f aca="false">IFERROR(IF([2]对账明细接口!$F$774=0,"",[2]对账明细接口!$F$774),"")</f>
        <v/>
      </c>
      <c r="G774" s="59" t="str">
        <f aca="false">IFERROR(IF([2]对账明细接口!$G$774=0,"",[2]对账明细接口!$G$774),"")</f>
        <v/>
      </c>
      <c r="H774" s="60" t="str">
        <f aca="false">IFERROR(IF([2]对账明细接口!$H$774=0,"",[2]对账明细接口!$H$774),"")</f>
        <v/>
      </c>
      <c r="I774" s="59" t="str">
        <f aca="false">IFERROR(IF([2]对账明细接口!$I$774=0,"",[2]对账明细接口!$I$774),"")</f>
        <v/>
      </c>
      <c r="J774" s="61" t="str">
        <f aca="false">IFERROR(IF([2]对账明细接口!$J$774=0,"",[2]对账明细接口!$J$774),"")</f>
        <v/>
      </c>
      <c r="K774" s="61" t="str">
        <f aca="false">IFERROR(IF([2]对账明细接口!$K$774=0,"",[2]对账明细接口!$K$774),"")</f>
        <v/>
      </c>
      <c r="L774" s="59" t="str">
        <f aca="false">IFERROR(IF([2]对账明细接口!$L$774=0,"",[2]对账明细接口!$L$774),"")</f>
        <v/>
      </c>
      <c r="M774" s="59" t="str">
        <f aca="false">IFERROR(IF([2]对账明细接口!$M$774=0,"",[2]对账明细接口!$M$774),"")</f>
        <v/>
      </c>
      <c r="N774" s="111" t="n">
        <f aca="false">IF($C774="",0,1)</f>
        <v>0</v>
      </c>
      <c r="O774" s="111" t="n">
        <f aca="false">N(O773)+$N774</f>
        <v>311</v>
      </c>
      <c r="S774" s="10" t="str">
        <f aca="false">IFERROR(IF([2]对账明细接口!$N774=0,"",[2]对账明细接口!$N774),"")</f>
        <v/>
      </c>
      <c r="T774" s="112" t="str">
        <f aca="false">IFERROR(IF([2]对账明细接口!$O774=0,"",[2]对账明细接口!$O774),"")</f>
        <v/>
      </c>
      <c r="U774" s="112" t="str">
        <f aca="false">IFERROR(IF([2]对账明细接口!$P774=0,"",[2]对账明细接口!$P774),"")</f>
        <v/>
      </c>
      <c r="V774" s="112" t="str">
        <f aca="false">IFERROR(IF([2]对账明细接口!$Q774=0,"",[2]对账明细接口!$Q774),"")</f>
        <v/>
      </c>
      <c r="W774" s="10" t="str">
        <f aca="false">IFERROR(IF([2]对账明细接口!$R774=0,"",[2]对账明细接口!$R774),"")</f>
        <v/>
      </c>
      <c r="X774" s="10" t="str">
        <f aca="false">IFERROR(IF([2]对账明细接口!$S774=0,"",[2]对账明细接口!$S774),"")</f>
        <v/>
      </c>
      <c r="Y774" s="10" t="str">
        <f aca="false">IFERROR(IF([2]对账明细接口!$T774=0,"",[2]对账明细接口!$T774),"")</f>
        <v/>
      </c>
      <c r="Z774" s="113" t="str">
        <f aca="false">IFERROR(IF([2]对账明细接口!$U774=0,"",[2]对账明细接口!$U774),"")</f>
        <v/>
      </c>
      <c r="AA774" s="113" t="str">
        <f aca="false">IFERROR(IF([2]对账明细接口!$V774=0,"",[2]对账明细接口!$V774),"")</f>
        <v/>
      </c>
      <c r="AB774" s="10" t="str">
        <f aca="false">IFERROR(IF([2]对账明细接口!$W774=0,"",[2]对账明细接口!$W774),"")</f>
        <v/>
      </c>
      <c r="AC774" s="90" t="str">
        <f aca="false">IFERROR(IF([2]对账明细接口!$X775=0,"",[2]对账明细接口!$X775),"")</f>
        <v/>
      </c>
      <c r="AD774" s="90" t="str">
        <f aca="false">IFERROR(IF([2]对账明细接口!$Y775=0,"",[2]对账明细接口!$Y775),"")</f>
        <v/>
      </c>
      <c r="AE774" s="90" t="str">
        <f aca="false">IFERROR(IF([2]对账明细接口!$AA775=0,"",[2]对账明细接口!$AA775),"")</f>
        <v/>
      </c>
      <c r="AF774" s="90" t="str">
        <f aca="false">IFERROR(IF([2]对账明细接口!$AB775=0,"",[2]对账明细接口!$AB775),"")</f>
        <v/>
      </c>
      <c r="AG774" s="90" t="str">
        <f aca="false">IFERROR(IF([2]对账明细接口!$AC775=0,"",[2]对账明细接口!$AC775),"")</f>
        <v/>
      </c>
      <c r="AH774" s="90" t="str">
        <f aca="false">IFERROR(IF([2]对账明细接口!$AD775=0,"",[2]对账明细接口!$AD775),"")</f>
        <v/>
      </c>
    </row>
    <row r="775" customFormat="false" ht="13.5" hidden="false" customHeight="false" outlineLevel="0" collapsed="false">
      <c r="A775" s="109" t="n">
        <v>775</v>
      </c>
      <c r="B775" s="110" t="str">
        <f aca="false">IFERROR(IF([2]对账明细接口!$B$775=0,"",[2]对账明细接口!$B$775),"")</f>
        <v/>
      </c>
      <c r="C775" s="59" t="str">
        <f aca="false">IFERROR(IF([2]对账明细接口!$C$775=0,"",[2]对账明细接口!$C$775),"")</f>
        <v/>
      </c>
      <c r="D775" s="59" t="str">
        <f aca="false">IFERROR(IF([2]对账明细接口!$D$775=0,"",[2]对账明细接口!$D$775),"")</f>
        <v/>
      </c>
      <c r="E775" s="59" t="str">
        <f aca="false">IFERROR(IF([2]对账明细接口!$E$775=0,"",[2]对账明细接口!$E$775),"")</f>
        <v/>
      </c>
      <c r="F775" s="59" t="str">
        <f aca="false">IFERROR(IF([2]对账明细接口!$F$775=0,"",[2]对账明细接口!$F$775),"")</f>
        <v/>
      </c>
      <c r="G775" s="59" t="str">
        <f aca="false">IFERROR(IF([2]对账明细接口!$G$775=0,"",[2]对账明细接口!$G$775),"")</f>
        <v/>
      </c>
      <c r="H775" s="60" t="str">
        <f aca="false">IFERROR(IF([2]对账明细接口!$H$775=0,"",[2]对账明细接口!$H$775),"")</f>
        <v/>
      </c>
      <c r="I775" s="59" t="str">
        <f aca="false">IFERROR(IF([2]对账明细接口!$I$775=0,"",[2]对账明细接口!$I$775),"")</f>
        <v/>
      </c>
      <c r="J775" s="61" t="str">
        <f aca="false">IFERROR(IF([2]对账明细接口!$J$775=0,"",[2]对账明细接口!$J$775),"")</f>
        <v/>
      </c>
      <c r="K775" s="61" t="str">
        <f aca="false">IFERROR(IF([2]对账明细接口!$K$775=0,"",[2]对账明细接口!$K$775),"")</f>
        <v/>
      </c>
      <c r="L775" s="59" t="str">
        <f aca="false">IFERROR(IF([2]对账明细接口!$L$775=0,"",[2]对账明细接口!$L$775),"")</f>
        <v/>
      </c>
      <c r="M775" s="59" t="str">
        <f aca="false">IFERROR(IF([2]对账明细接口!$M$775=0,"",[2]对账明细接口!$M$775),"")</f>
        <v/>
      </c>
      <c r="N775" s="111" t="n">
        <f aca="false">IF($C775="",0,1)</f>
        <v>0</v>
      </c>
      <c r="O775" s="111" t="n">
        <f aca="false">N(O774)+$N775</f>
        <v>311</v>
      </c>
      <c r="S775" s="10" t="str">
        <f aca="false">IFERROR(IF([2]对账明细接口!$N775=0,"",[2]对账明细接口!$N775),"")</f>
        <v/>
      </c>
      <c r="T775" s="112" t="str">
        <f aca="false">IFERROR(IF([2]对账明细接口!$O775=0,"",[2]对账明细接口!$O775),"")</f>
        <v/>
      </c>
      <c r="U775" s="112" t="str">
        <f aca="false">IFERROR(IF([2]对账明细接口!$P775=0,"",[2]对账明细接口!$P775),"")</f>
        <v/>
      </c>
      <c r="V775" s="112" t="str">
        <f aca="false">IFERROR(IF([2]对账明细接口!$Q775=0,"",[2]对账明细接口!$Q775),"")</f>
        <v/>
      </c>
      <c r="W775" s="10" t="str">
        <f aca="false">IFERROR(IF([2]对账明细接口!$R775=0,"",[2]对账明细接口!$R775),"")</f>
        <v/>
      </c>
      <c r="X775" s="10" t="str">
        <f aca="false">IFERROR(IF([2]对账明细接口!$S775=0,"",[2]对账明细接口!$S775),"")</f>
        <v/>
      </c>
      <c r="Y775" s="10" t="str">
        <f aca="false">IFERROR(IF([2]对账明细接口!$T775=0,"",[2]对账明细接口!$T775),"")</f>
        <v/>
      </c>
      <c r="Z775" s="113" t="str">
        <f aca="false">IFERROR(IF([2]对账明细接口!$U775=0,"",[2]对账明细接口!$U775),"")</f>
        <v/>
      </c>
      <c r="AA775" s="113" t="str">
        <f aca="false">IFERROR(IF([2]对账明细接口!$V775=0,"",[2]对账明细接口!$V775),"")</f>
        <v/>
      </c>
      <c r="AB775" s="10" t="str">
        <f aca="false">IFERROR(IF([2]对账明细接口!$W775=0,"",[2]对账明细接口!$W775),"")</f>
        <v/>
      </c>
      <c r="AC775" s="90" t="str">
        <f aca="false">IFERROR(IF([2]对账明细接口!$X776=0,"",[2]对账明细接口!$X776),"")</f>
        <v/>
      </c>
      <c r="AD775" s="90" t="str">
        <f aca="false">IFERROR(IF([2]对账明细接口!$Y776=0,"",[2]对账明细接口!$Y776),"")</f>
        <v/>
      </c>
      <c r="AE775" s="90" t="str">
        <f aca="false">IFERROR(IF([2]对账明细接口!$AA776=0,"",[2]对账明细接口!$AA776),"")</f>
        <v/>
      </c>
      <c r="AF775" s="90" t="str">
        <f aca="false">IFERROR(IF([2]对账明细接口!$AB776=0,"",[2]对账明细接口!$AB776),"")</f>
        <v/>
      </c>
      <c r="AG775" s="90" t="str">
        <f aca="false">IFERROR(IF([2]对账明细接口!$AC776=0,"",[2]对账明细接口!$AC776),"")</f>
        <v/>
      </c>
      <c r="AH775" s="90" t="str">
        <f aca="false">IFERROR(IF([2]对账明细接口!$AD776=0,"",[2]对账明细接口!$AD776),"")</f>
        <v/>
      </c>
    </row>
    <row r="776" customFormat="false" ht="13.5" hidden="false" customHeight="false" outlineLevel="0" collapsed="false">
      <c r="A776" s="109" t="n">
        <v>776</v>
      </c>
      <c r="B776" s="110" t="str">
        <f aca="false">IFERROR(IF([2]对账明细接口!$B$776=0,"",[2]对账明细接口!$B$776),"")</f>
        <v/>
      </c>
      <c r="C776" s="59" t="str">
        <f aca="false">IFERROR(IF([2]对账明细接口!$C$776=0,"",[2]对账明细接口!$C$776),"")</f>
        <v/>
      </c>
      <c r="D776" s="59" t="str">
        <f aca="false">IFERROR(IF([2]对账明细接口!$D$776=0,"",[2]对账明细接口!$D$776),"")</f>
        <v/>
      </c>
      <c r="E776" s="59" t="str">
        <f aca="false">IFERROR(IF([2]对账明细接口!$E$776=0,"",[2]对账明细接口!$E$776),"")</f>
        <v/>
      </c>
      <c r="F776" s="59" t="str">
        <f aca="false">IFERROR(IF([2]对账明细接口!$F$776=0,"",[2]对账明细接口!$F$776),"")</f>
        <v/>
      </c>
      <c r="G776" s="59" t="str">
        <f aca="false">IFERROR(IF([2]对账明细接口!$G$776=0,"",[2]对账明细接口!$G$776),"")</f>
        <v/>
      </c>
      <c r="H776" s="60" t="str">
        <f aca="false">IFERROR(IF([2]对账明细接口!$H$776=0,"",[2]对账明细接口!$H$776),"")</f>
        <v/>
      </c>
      <c r="I776" s="59" t="str">
        <f aca="false">IFERROR(IF([2]对账明细接口!$I$776=0,"",[2]对账明细接口!$I$776),"")</f>
        <v/>
      </c>
      <c r="J776" s="61" t="str">
        <f aca="false">IFERROR(IF([2]对账明细接口!$J$776=0,"",[2]对账明细接口!$J$776),"")</f>
        <v/>
      </c>
      <c r="K776" s="61" t="str">
        <f aca="false">IFERROR(IF([2]对账明细接口!$K$776=0,"",[2]对账明细接口!$K$776),"")</f>
        <v/>
      </c>
      <c r="L776" s="59" t="str">
        <f aca="false">IFERROR(IF([2]对账明细接口!$L$776=0,"",[2]对账明细接口!$L$776),"")</f>
        <v/>
      </c>
      <c r="M776" s="59" t="str">
        <f aca="false">IFERROR(IF([2]对账明细接口!$M$776=0,"",[2]对账明细接口!$M$776),"")</f>
        <v/>
      </c>
      <c r="N776" s="111" t="n">
        <f aca="false">IF($C776="",0,1)</f>
        <v>0</v>
      </c>
      <c r="O776" s="111" t="n">
        <f aca="false">N(O775)+$N776</f>
        <v>311</v>
      </c>
      <c r="S776" s="10" t="str">
        <f aca="false">IFERROR(IF([2]对账明细接口!$N776=0,"",[2]对账明细接口!$N776),"")</f>
        <v/>
      </c>
      <c r="T776" s="112" t="str">
        <f aca="false">IFERROR(IF([2]对账明细接口!$O776=0,"",[2]对账明细接口!$O776),"")</f>
        <v/>
      </c>
      <c r="U776" s="112" t="str">
        <f aca="false">IFERROR(IF([2]对账明细接口!$P776=0,"",[2]对账明细接口!$P776),"")</f>
        <v/>
      </c>
      <c r="V776" s="112" t="str">
        <f aca="false">IFERROR(IF([2]对账明细接口!$Q776=0,"",[2]对账明细接口!$Q776),"")</f>
        <v/>
      </c>
      <c r="W776" s="10" t="str">
        <f aca="false">IFERROR(IF([2]对账明细接口!$R776=0,"",[2]对账明细接口!$R776),"")</f>
        <v/>
      </c>
      <c r="X776" s="10" t="str">
        <f aca="false">IFERROR(IF([2]对账明细接口!$S776=0,"",[2]对账明细接口!$S776),"")</f>
        <v/>
      </c>
      <c r="Y776" s="10" t="str">
        <f aca="false">IFERROR(IF([2]对账明细接口!$T776=0,"",[2]对账明细接口!$T776),"")</f>
        <v/>
      </c>
      <c r="Z776" s="113" t="str">
        <f aca="false">IFERROR(IF([2]对账明细接口!$U776=0,"",[2]对账明细接口!$U776),"")</f>
        <v/>
      </c>
      <c r="AA776" s="113" t="str">
        <f aca="false">IFERROR(IF([2]对账明细接口!$V776=0,"",[2]对账明细接口!$V776),"")</f>
        <v/>
      </c>
      <c r="AB776" s="10" t="str">
        <f aca="false">IFERROR(IF([2]对账明细接口!$W776=0,"",[2]对账明细接口!$W776),"")</f>
        <v/>
      </c>
      <c r="AC776" s="90" t="str">
        <f aca="false">IFERROR(IF([2]对账明细接口!$X777=0,"",[2]对账明细接口!$X777),"")</f>
        <v/>
      </c>
      <c r="AD776" s="90" t="str">
        <f aca="false">IFERROR(IF([2]对账明细接口!$Y777=0,"",[2]对账明细接口!$Y777),"")</f>
        <v/>
      </c>
      <c r="AE776" s="90" t="str">
        <f aca="false">IFERROR(IF([2]对账明细接口!$AA777=0,"",[2]对账明细接口!$AA777),"")</f>
        <v/>
      </c>
      <c r="AF776" s="90" t="str">
        <f aca="false">IFERROR(IF([2]对账明细接口!$AB777=0,"",[2]对账明细接口!$AB777),"")</f>
        <v/>
      </c>
      <c r="AG776" s="90" t="str">
        <f aca="false">IFERROR(IF([2]对账明细接口!$AC777=0,"",[2]对账明细接口!$AC777),"")</f>
        <v/>
      </c>
      <c r="AH776" s="90" t="str">
        <f aca="false">IFERROR(IF([2]对账明细接口!$AD777=0,"",[2]对账明细接口!$AD777),"")</f>
        <v/>
      </c>
    </row>
    <row r="777" customFormat="false" ht="13.5" hidden="false" customHeight="false" outlineLevel="0" collapsed="false">
      <c r="A777" s="109" t="n">
        <v>777</v>
      </c>
      <c r="B777" s="110" t="str">
        <f aca="false">IFERROR(IF([2]对账明细接口!$B$777=0,"",[2]对账明细接口!$B$777),"")</f>
        <v/>
      </c>
      <c r="C777" s="59" t="str">
        <f aca="false">IFERROR(IF([2]对账明细接口!$C$777=0,"",[2]对账明细接口!$C$777),"")</f>
        <v/>
      </c>
      <c r="D777" s="59" t="str">
        <f aca="false">IFERROR(IF([2]对账明细接口!$D$777=0,"",[2]对账明细接口!$D$777),"")</f>
        <v/>
      </c>
      <c r="E777" s="59" t="str">
        <f aca="false">IFERROR(IF([2]对账明细接口!$E$777=0,"",[2]对账明细接口!$E$777),"")</f>
        <v/>
      </c>
      <c r="F777" s="59" t="str">
        <f aca="false">IFERROR(IF([2]对账明细接口!$F$777=0,"",[2]对账明细接口!$F$777),"")</f>
        <v/>
      </c>
      <c r="G777" s="59" t="str">
        <f aca="false">IFERROR(IF([2]对账明细接口!$G$777=0,"",[2]对账明细接口!$G$777),"")</f>
        <v/>
      </c>
      <c r="H777" s="60" t="str">
        <f aca="false">IFERROR(IF([2]对账明细接口!$H$777=0,"",[2]对账明细接口!$H$777),"")</f>
        <v/>
      </c>
      <c r="I777" s="59" t="str">
        <f aca="false">IFERROR(IF([2]对账明细接口!$I$777=0,"",[2]对账明细接口!$I$777),"")</f>
        <v/>
      </c>
      <c r="J777" s="61" t="str">
        <f aca="false">IFERROR(IF([2]对账明细接口!$J$777=0,"",[2]对账明细接口!$J$777),"")</f>
        <v/>
      </c>
      <c r="K777" s="61" t="str">
        <f aca="false">IFERROR(IF([2]对账明细接口!$K$777=0,"",[2]对账明细接口!$K$777),"")</f>
        <v/>
      </c>
      <c r="L777" s="59" t="str">
        <f aca="false">IFERROR(IF([2]对账明细接口!$L$777=0,"",[2]对账明细接口!$L$777),"")</f>
        <v/>
      </c>
      <c r="M777" s="59" t="str">
        <f aca="false">IFERROR(IF([2]对账明细接口!$M$777=0,"",[2]对账明细接口!$M$777),"")</f>
        <v/>
      </c>
      <c r="N777" s="111" t="n">
        <f aca="false">IF($C777="",0,1)</f>
        <v>0</v>
      </c>
      <c r="O777" s="111" t="n">
        <f aca="false">N(O776)+$N777</f>
        <v>311</v>
      </c>
      <c r="S777" s="10" t="str">
        <f aca="false">IFERROR(IF([2]对账明细接口!$N777=0,"",[2]对账明细接口!$N777),"")</f>
        <v/>
      </c>
      <c r="T777" s="112" t="str">
        <f aca="false">IFERROR(IF([2]对账明细接口!$O777=0,"",[2]对账明细接口!$O777),"")</f>
        <v/>
      </c>
      <c r="U777" s="112" t="str">
        <f aca="false">IFERROR(IF([2]对账明细接口!$P777=0,"",[2]对账明细接口!$P777),"")</f>
        <v/>
      </c>
      <c r="V777" s="112" t="str">
        <f aca="false">IFERROR(IF([2]对账明细接口!$Q777=0,"",[2]对账明细接口!$Q777),"")</f>
        <v/>
      </c>
      <c r="W777" s="10" t="str">
        <f aca="false">IFERROR(IF([2]对账明细接口!$R777=0,"",[2]对账明细接口!$R777),"")</f>
        <v/>
      </c>
      <c r="X777" s="10" t="str">
        <f aca="false">IFERROR(IF([2]对账明细接口!$S777=0,"",[2]对账明细接口!$S777),"")</f>
        <v/>
      </c>
      <c r="Y777" s="10" t="str">
        <f aca="false">IFERROR(IF([2]对账明细接口!$T777=0,"",[2]对账明细接口!$T777),"")</f>
        <v/>
      </c>
      <c r="Z777" s="113" t="str">
        <f aca="false">IFERROR(IF([2]对账明细接口!$U777=0,"",[2]对账明细接口!$U777),"")</f>
        <v/>
      </c>
      <c r="AA777" s="113" t="str">
        <f aca="false">IFERROR(IF([2]对账明细接口!$V777=0,"",[2]对账明细接口!$V777),"")</f>
        <v/>
      </c>
      <c r="AB777" s="10" t="str">
        <f aca="false">IFERROR(IF([2]对账明细接口!$W777=0,"",[2]对账明细接口!$W777),"")</f>
        <v/>
      </c>
      <c r="AC777" s="90" t="str">
        <f aca="false">IFERROR(IF([2]对账明细接口!$X778=0,"",[2]对账明细接口!$X778),"")</f>
        <v/>
      </c>
      <c r="AD777" s="90" t="str">
        <f aca="false">IFERROR(IF([2]对账明细接口!$Y778=0,"",[2]对账明细接口!$Y778),"")</f>
        <v/>
      </c>
      <c r="AE777" s="90" t="str">
        <f aca="false">IFERROR(IF([2]对账明细接口!$AA778=0,"",[2]对账明细接口!$AA778),"")</f>
        <v/>
      </c>
      <c r="AF777" s="90" t="str">
        <f aca="false">IFERROR(IF([2]对账明细接口!$AB778=0,"",[2]对账明细接口!$AB778),"")</f>
        <v/>
      </c>
      <c r="AG777" s="90" t="str">
        <f aca="false">IFERROR(IF([2]对账明细接口!$AC778=0,"",[2]对账明细接口!$AC778),"")</f>
        <v/>
      </c>
      <c r="AH777" s="90" t="str">
        <f aca="false">IFERROR(IF([2]对账明细接口!$AD778=0,"",[2]对账明细接口!$AD778),"")</f>
        <v/>
      </c>
    </row>
    <row r="778" customFormat="false" ht="13.5" hidden="false" customHeight="false" outlineLevel="0" collapsed="false">
      <c r="A778" s="109" t="n">
        <v>778</v>
      </c>
      <c r="B778" s="110" t="str">
        <f aca="false">IFERROR(IF([2]对账明细接口!$B$778=0,"",[2]对账明细接口!$B$778),"")</f>
        <v/>
      </c>
      <c r="C778" s="59" t="str">
        <f aca="false">IFERROR(IF([2]对账明细接口!$C$778=0,"",[2]对账明细接口!$C$778),"")</f>
        <v/>
      </c>
      <c r="D778" s="59" t="str">
        <f aca="false">IFERROR(IF([2]对账明细接口!$D$778=0,"",[2]对账明细接口!$D$778),"")</f>
        <v/>
      </c>
      <c r="E778" s="59" t="str">
        <f aca="false">IFERROR(IF([2]对账明细接口!$E$778=0,"",[2]对账明细接口!$E$778),"")</f>
        <v/>
      </c>
      <c r="F778" s="59" t="str">
        <f aca="false">IFERROR(IF([2]对账明细接口!$F$778=0,"",[2]对账明细接口!$F$778),"")</f>
        <v/>
      </c>
      <c r="G778" s="59" t="str">
        <f aca="false">IFERROR(IF([2]对账明细接口!$G$778=0,"",[2]对账明细接口!$G$778),"")</f>
        <v/>
      </c>
      <c r="H778" s="60" t="str">
        <f aca="false">IFERROR(IF([2]对账明细接口!$H$778=0,"",[2]对账明细接口!$H$778),"")</f>
        <v/>
      </c>
      <c r="I778" s="59" t="str">
        <f aca="false">IFERROR(IF([2]对账明细接口!$I$778=0,"",[2]对账明细接口!$I$778),"")</f>
        <v/>
      </c>
      <c r="J778" s="61" t="str">
        <f aca="false">IFERROR(IF([2]对账明细接口!$J$778=0,"",[2]对账明细接口!$J$778),"")</f>
        <v/>
      </c>
      <c r="K778" s="61" t="str">
        <f aca="false">IFERROR(IF([2]对账明细接口!$K$778=0,"",[2]对账明细接口!$K$778),"")</f>
        <v/>
      </c>
      <c r="L778" s="59" t="str">
        <f aca="false">IFERROR(IF([2]对账明细接口!$L$778=0,"",[2]对账明细接口!$L$778),"")</f>
        <v/>
      </c>
      <c r="M778" s="59" t="str">
        <f aca="false">IFERROR(IF([2]对账明细接口!$M$778=0,"",[2]对账明细接口!$M$778),"")</f>
        <v/>
      </c>
      <c r="N778" s="111" t="n">
        <f aca="false">IF($C778="",0,1)</f>
        <v>0</v>
      </c>
      <c r="O778" s="111" t="n">
        <f aca="false">N(O777)+$N778</f>
        <v>311</v>
      </c>
      <c r="S778" s="10" t="str">
        <f aca="false">IFERROR(IF([2]对账明细接口!$N778=0,"",[2]对账明细接口!$N778),"")</f>
        <v/>
      </c>
      <c r="T778" s="112" t="str">
        <f aca="false">IFERROR(IF([2]对账明细接口!$O778=0,"",[2]对账明细接口!$O778),"")</f>
        <v/>
      </c>
      <c r="U778" s="112" t="str">
        <f aca="false">IFERROR(IF([2]对账明细接口!$P778=0,"",[2]对账明细接口!$P778),"")</f>
        <v/>
      </c>
      <c r="V778" s="112" t="str">
        <f aca="false">IFERROR(IF([2]对账明细接口!$Q778=0,"",[2]对账明细接口!$Q778),"")</f>
        <v/>
      </c>
      <c r="W778" s="10" t="str">
        <f aca="false">IFERROR(IF([2]对账明细接口!$R778=0,"",[2]对账明细接口!$R778),"")</f>
        <v/>
      </c>
      <c r="X778" s="10" t="str">
        <f aca="false">IFERROR(IF([2]对账明细接口!$S778=0,"",[2]对账明细接口!$S778),"")</f>
        <v/>
      </c>
      <c r="Y778" s="10" t="str">
        <f aca="false">IFERROR(IF([2]对账明细接口!$T778=0,"",[2]对账明细接口!$T778),"")</f>
        <v/>
      </c>
      <c r="Z778" s="113" t="str">
        <f aca="false">IFERROR(IF([2]对账明细接口!$U778=0,"",[2]对账明细接口!$U778),"")</f>
        <v/>
      </c>
      <c r="AA778" s="113" t="str">
        <f aca="false">IFERROR(IF([2]对账明细接口!$V778=0,"",[2]对账明细接口!$V778),"")</f>
        <v/>
      </c>
      <c r="AB778" s="10" t="str">
        <f aca="false">IFERROR(IF([2]对账明细接口!$W778=0,"",[2]对账明细接口!$W778),"")</f>
        <v/>
      </c>
      <c r="AC778" s="90" t="str">
        <f aca="false">IFERROR(IF([2]对账明细接口!$X779=0,"",[2]对账明细接口!$X779),"")</f>
        <v/>
      </c>
      <c r="AD778" s="90" t="str">
        <f aca="false">IFERROR(IF([2]对账明细接口!$Y779=0,"",[2]对账明细接口!$Y779),"")</f>
        <v/>
      </c>
      <c r="AE778" s="90" t="str">
        <f aca="false">IFERROR(IF([2]对账明细接口!$AA779=0,"",[2]对账明细接口!$AA779),"")</f>
        <v/>
      </c>
      <c r="AF778" s="90" t="str">
        <f aca="false">IFERROR(IF([2]对账明细接口!$AB779=0,"",[2]对账明细接口!$AB779),"")</f>
        <v/>
      </c>
      <c r="AG778" s="90" t="str">
        <f aca="false">IFERROR(IF([2]对账明细接口!$AC779=0,"",[2]对账明细接口!$AC779),"")</f>
        <v/>
      </c>
      <c r="AH778" s="90" t="str">
        <f aca="false">IFERROR(IF([2]对账明细接口!$AD779=0,"",[2]对账明细接口!$AD779),"")</f>
        <v/>
      </c>
    </row>
    <row r="779" customFormat="false" ht="13.5" hidden="false" customHeight="false" outlineLevel="0" collapsed="false">
      <c r="A779" s="109" t="n">
        <v>779</v>
      </c>
      <c r="B779" s="110" t="str">
        <f aca="false">IFERROR(IF([2]对账明细接口!$B$779=0,"",[2]对账明细接口!$B$779),"")</f>
        <v/>
      </c>
      <c r="C779" s="59" t="str">
        <f aca="false">IFERROR(IF([2]对账明细接口!$C$779=0,"",[2]对账明细接口!$C$779),"")</f>
        <v/>
      </c>
      <c r="D779" s="59" t="str">
        <f aca="false">IFERROR(IF([2]对账明细接口!$D$779=0,"",[2]对账明细接口!$D$779),"")</f>
        <v/>
      </c>
      <c r="E779" s="59" t="str">
        <f aca="false">IFERROR(IF([2]对账明细接口!$E$779=0,"",[2]对账明细接口!$E$779),"")</f>
        <v/>
      </c>
      <c r="F779" s="59" t="str">
        <f aca="false">IFERROR(IF([2]对账明细接口!$F$779=0,"",[2]对账明细接口!$F$779),"")</f>
        <v/>
      </c>
      <c r="G779" s="59" t="str">
        <f aca="false">IFERROR(IF([2]对账明细接口!$G$779=0,"",[2]对账明细接口!$G$779),"")</f>
        <v/>
      </c>
      <c r="H779" s="60" t="str">
        <f aca="false">IFERROR(IF([2]对账明细接口!$H$779=0,"",[2]对账明细接口!$H$779),"")</f>
        <v/>
      </c>
      <c r="I779" s="59" t="str">
        <f aca="false">IFERROR(IF([2]对账明细接口!$I$779=0,"",[2]对账明细接口!$I$779),"")</f>
        <v/>
      </c>
      <c r="J779" s="61" t="str">
        <f aca="false">IFERROR(IF([2]对账明细接口!$J$779=0,"",[2]对账明细接口!$J$779),"")</f>
        <v/>
      </c>
      <c r="K779" s="61" t="str">
        <f aca="false">IFERROR(IF([2]对账明细接口!$K$779=0,"",[2]对账明细接口!$K$779),"")</f>
        <v/>
      </c>
      <c r="L779" s="59" t="str">
        <f aca="false">IFERROR(IF([2]对账明细接口!$L$779=0,"",[2]对账明细接口!$L$779),"")</f>
        <v/>
      </c>
      <c r="M779" s="59" t="str">
        <f aca="false">IFERROR(IF([2]对账明细接口!$M$779=0,"",[2]对账明细接口!$M$779),"")</f>
        <v/>
      </c>
      <c r="N779" s="111" t="n">
        <f aca="false">IF($C779="",0,1)</f>
        <v>0</v>
      </c>
      <c r="O779" s="111" t="n">
        <f aca="false">N(O778)+$N779</f>
        <v>311</v>
      </c>
      <c r="S779" s="10" t="str">
        <f aca="false">IFERROR(IF([2]对账明细接口!$N779=0,"",[2]对账明细接口!$N779),"")</f>
        <v/>
      </c>
      <c r="T779" s="112" t="str">
        <f aca="false">IFERROR(IF([2]对账明细接口!$O779=0,"",[2]对账明细接口!$O779),"")</f>
        <v/>
      </c>
      <c r="U779" s="112" t="str">
        <f aca="false">IFERROR(IF([2]对账明细接口!$P779=0,"",[2]对账明细接口!$P779),"")</f>
        <v/>
      </c>
      <c r="V779" s="112" t="str">
        <f aca="false">IFERROR(IF([2]对账明细接口!$Q779=0,"",[2]对账明细接口!$Q779),"")</f>
        <v/>
      </c>
      <c r="W779" s="10" t="str">
        <f aca="false">IFERROR(IF([2]对账明细接口!$R779=0,"",[2]对账明细接口!$R779),"")</f>
        <v/>
      </c>
      <c r="X779" s="10" t="str">
        <f aca="false">IFERROR(IF([2]对账明细接口!$S779=0,"",[2]对账明细接口!$S779),"")</f>
        <v/>
      </c>
      <c r="Y779" s="10" t="str">
        <f aca="false">IFERROR(IF([2]对账明细接口!$T779=0,"",[2]对账明细接口!$T779),"")</f>
        <v/>
      </c>
      <c r="Z779" s="113" t="str">
        <f aca="false">IFERROR(IF([2]对账明细接口!$U779=0,"",[2]对账明细接口!$U779),"")</f>
        <v/>
      </c>
      <c r="AA779" s="113" t="str">
        <f aca="false">IFERROR(IF([2]对账明细接口!$V779=0,"",[2]对账明细接口!$V779),"")</f>
        <v/>
      </c>
      <c r="AB779" s="10" t="str">
        <f aca="false">IFERROR(IF([2]对账明细接口!$W779=0,"",[2]对账明细接口!$W779),"")</f>
        <v/>
      </c>
      <c r="AC779" s="90" t="str">
        <f aca="false">IFERROR(IF([2]对账明细接口!$X780=0,"",[2]对账明细接口!$X780),"")</f>
        <v/>
      </c>
      <c r="AD779" s="90" t="str">
        <f aca="false">IFERROR(IF([2]对账明细接口!$Y780=0,"",[2]对账明细接口!$Y780),"")</f>
        <v/>
      </c>
      <c r="AE779" s="90" t="str">
        <f aca="false">IFERROR(IF([2]对账明细接口!$AA780=0,"",[2]对账明细接口!$AA780),"")</f>
        <v/>
      </c>
      <c r="AF779" s="90" t="str">
        <f aca="false">IFERROR(IF([2]对账明细接口!$AB780=0,"",[2]对账明细接口!$AB780),"")</f>
        <v/>
      </c>
      <c r="AG779" s="90" t="str">
        <f aca="false">IFERROR(IF([2]对账明细接口!$AC780=0,"",[2]对账明细接口!$AC780),"")</f>
        <v/>
      </c>
      <c r="AH779" s="90" t="str">
        <f aca="false">IFERROR(IF([2]对账明细接口!$AD780=0,"",[2]对账明细接口!$AD780),"")</f>
        <v/>
      </c>
    </row>
    <row r="780" customFormat="false" ht="13.5" hidden="false" customHeight="false" outlineLevel="0" collapsed="false">
      <c r="A780" s="109" t="n">
        <v>780</v>
      </c>
      <c r="B780" s="110" t="str">
        <f aca="false">IFERROR(IF([2]对账明细接口!$B$780=0,"",[2]对账明细接口!$B$780),"")</f>
        <v/>
      </c>
      <c r="C780" s="59" t="str">
        <f aca="false">IFERROR(IF([2]对账明细接口!$C$780=0,"",[2]对账明细接口!$C$780),"")</f>
        <v/>
      </c>
      <c r="D780" s="59" t="str">
        <f aca="false">IFERROR(IF([2]对账明细接口!$D$780=0,"",[2]对账明细接口!$D$780),"")</f>
        <v/>
      </c>
      <c r="E780" s="59" t="str">
        <f aca="false">IFERROR(IF([2]对账明细接口!$E$780=0,"",[2]对账明细接口!$E$780),"")</f>
        <v/>
      </c>
      <c r="F780" s="59" t="str">
        <f aca="false">IFERROR(IF([2]对账明细接口!$F$780=0,"",[2]对账明细接口!$F$780),"")</f>
        <v/>
      </c>
      <c r="G780" s="59" t="str">
        <f aca="false">IFERROR(IF([2]对账明细接口!$G$780=0,"",[2]对账明细接口!$G$780),"")</f>
        <v/>
      </c>
      <c r="H780" s="60" t="str">
        <f aca="false">IFERROR(IF([2]对账明细接口!$H$780=0,"",[2]对账明细接口!$H$780),"")</f>
        <v/>
      </c>
      <c r="I780" s="59" t="str">
        <f aca="false">IFERROR(IF([2]对账明细接口!$I$780=0,"",[2]对账明细接口!$I$780),"")</f>
        <v/>
      </c>
      <c r="J780" s="61" t="str">
        <f aca="false">IFERROR(IF([2]对账明细接口!$J$780=0,"",[2]对账明细接口!$J$780),"")</f>
        <v/>
      </c>
      <c r="K780" s="61" t="str">
        <f aca="false">IFERROR(IF([2]对账明细接口!$K$780=0,"",[2]对账明细接口!$K$780),"")</f>
        <v/>
      </c>
      <c r="L780" s="59" t="str">
        <f aca="false">IFERROR(IF([2]对账明细接口!$L$780=0,"",[2]对账明细接口!$L$780),"")</f>
        <v/>
      </c>
      <c r="M780" s="59" t="str">
        <f aca="false">IFERROR(IF([2]对账明细接口!$M$780=0,"",[2]对账明细接口!$M$780),"")</f>
        <v/>
      </c>
      <c r="N780" s="111" t="n">
        <f aca="false">IF($C780="",0,1)</f>
        <v>0</v>
      </c>
      <c r="O780" s="111" t="n">
        <f aca="false">N(O779)+$N780</f>
        <v>311</v>
      </c>
      <c r="S780" s="10" t="str">
        <f aca="false">IFERROR(IF([2]对账明细接口!$N780=0,"",[2]对账明细接口!$N780),"")</f>
        <v/>
      </c>
      <c r="T780" s="112" t="str">
        <f aca="false">IFERROR(IF([2]对账明细接口!$O780=0,"",[2]对账明细接口!$O780),"")</f>
        <v/>
      </c>
      <c r="U780" s="112" t="str">
        <f aca="false">IFERROR(IF([2]对账明细接口!$P780=0,"",[2]对账明细接口!$P780),"")</f>
        <v/>
      </c>
      <c r="V780" s="112" t="str">
        <f aca="false">IFERROR(IF([2]对账明细接口!$Q780=0,"",[2]对账明细接口!$Q780),"")</f>
        <v/>
      </c>
      <c r="W780" s="10" t="str">
        <f aca="false">IFERROR(IF([2]对账明细接口!$R780=0,"",[2]对账明细接口!$R780),"")</f>
        <v/>
      </c>
      <c r="X780" s="10" t="str">
        <f aca="false">IFERROR(IF([2]对账明细接口!$S780=0,"",[2]对账明细接口!$S780),"")</f>
        <v/>
      </c>
      <c r="Y780" s="10" t="str">
        <f aca="false">IFERROR(IF([2]对账明细接口!$T780=0,"",[2]对账明细接口!$T780),"")</f>
        <v/>
      </c>
      <c r="Z780" s="113" t="str">
        <f aca="false">IFERROR(IF([2]对账明细接口!$U780=0,"",[2]对账明细接口!$U780),"")</f>
        <v/>
      </c>
      <c r="AA780" s="113" t="str">
        <f aca="false">IFERROR(IF([2]对账明细接口!$V780=0,"",[2]对账明细接口!$V780),"")</f>
        <v/>
      </c>
      <c r="AB780" s="10" t="str">
        <f aca="false">IFERROR(IF([2]对账明细接口!$W780=0,"",[2]对账明细接口!$W780),"")</f>
        <v/>
      </c>
      <c r="AC780" s="90" t="str">
        <f aca="false">IFERROR(IF([2]对账明细接口!$X781=0,"",[2]对账明细接口!$X781),"")</f>
        <v/>
      </c>
      <c r="AD780" s="90" t="str">
        <f aca="false">IFERROR(IF([2]对账明细接口!$Y781=0,"",[2]对账明细接口!$Y781),"")</f>
        <v/>
      </c>
      <c r="AE780" s="90" t="str">
        <f aca="false">IFERROR(IF([2]对账明细接口!$AA781=0,"",[2]对账明细接口!$AA781),"")</f>
        <v/>
      </c>
      <c r="AF780" s="90" t="str">
        <f aca="false">IFERROR(IF([2]对账明细接口!$AB781=0,"",[2]对账明细接口!$AB781),"")</f>
        <v/>
      </c>
      <c r="AG780" s="90" t="str">
        <f aca="false">IFERROR(IF([2]对账明细接口!$AC781=0,"",[2]对账明细接口!$AC781),"")</f>
        <v/>
      </c>
      <c r="AH780" s="90" t="str">
        <f aca="false">IFERROR(IF([2]对账明细接口!$AD781=0,"",[2]对账明细接口!$AD781),"")</f>
        <v/>
      </c>
    </row>
    <row r="781" customFormat="false" ht="13.5" hidden="false" customHeight="false" outlineLevel="0" collapsed="false">
      <c r="A781" s="109" t="n">
        <v>781</v>
      </c>
      <c r="B781" s="110" t="str">
        <f aca="false">IFERROR(IF([2]对账明细接口!$B$781=0,"",[2]对账明细接口!$B$781),"")</f>
        <v/>
      </c>
      <c r="C781" s="59" t="str">
        <f aca="false">IFERROR(IF([2]对账明细接口!$C$781=0,"",[2]对账明细接口!$C$781),"")</f>
        <v/>
      </c>
      <c r="D781" s="59" t="str">
        <f aca="false">IFERROR(IF([2]对账明细接口!$D$781=0,"",[2]对账明细接口!$D$781),"")</f>
        <v/>
      </c>
      <c r="E781" s="59" t="str">
        <f aca="false">IFERROR(IF([2]对账明细接口!$E$781=0,"",[2]对账明细接口!$E$781),"")</f>
        <v/>
      </c>
      <c r="F781" s="59" t="str">
        <f aca="false">IFERROR(IF([2]对账明细接口!$F$781=0,"",[2]对账明细接口!$F$781),"")</f>
        <v/>
      </c>
      <c r="G781" s="59" t="str">
        <f aca="false">IFERROR(IF([2]对账明细接口!$G$781=0,"",[2]对账明细接口!$G$781),"")</f>
        <v/>
      </c>
      <c r="H781" s="60" t="str">
        <f aca="false">IFERROR(IF([2]对账明细接口!$H$781=0,"",[2]对账明细接口!$H$781),"")</f>
        <v/>
      </c>
      <c r="I781" s="59" t="str">
        <f aca="false">IFERROR(IF([2]对账明细接口!$I$781=0,"",[2]对账明细接口!$I$781),"")</f>
        <v/>
      </c>
      <c r="J781" s="61" t="str">
        <f aca="false">IFERROR(IF([2]对账明细接口!$J$781=0,"",[2]对账明细接口!$J$781),"")</f>
        <v/>
      </c>
      <c r="K781" s="61" t="str">
        <f aca="false">IFERROR(IF([2]对账明细接口!$K$781=0,"",[2]对账明细接口!$K$781),"")</f>
        <v/>
      </c>
      <c r="L781" s="59" t="str">
        <f aca="false">IFERROR(IF([2]对账明细接口!$L$781=0,"",[2]对账明细接口!$L$781),"")</f>
        <v/>
      </c>
      <c r="M781" s="59" t="str">
        <f aca="false">IFERROR(IF([2]对账明细接口!$M$781=0,"",[2]对账明细接口!$M$781),"")</f>
        <v/>
      </c>
      <c r="N781" s="111" t="n">
        <f aca="false">IF($C781="",0,1)</f>
        <v>0</v>
      </c>
      <c r="O781" s="111" t="n">
        <f aca="false">N(O780)+$N781</f>
        <v>311</v>
      </c>
      <c r="S781" s="10" t="str">
        <f aca="false">IFERROR(IF([2]对账明细接口!$N781=0,"",[2]对账明细接口!$N781),"")</f>
        <v/>
      </c>
      <c r="T781" s="112" t="str">
        <f aca="false">IFERROR(IF([2]对账明细接口!$O781=0,"",[2]对账明细接口!$O781),"")</f>
        <v/>
      </c>
      <c r="U781" s="112" t="str">
        <f aca="false">IFERROR(IF([2]对账明细接口!$P781=0,"",[2]对账明细接口!$P781),"")</f>
        <v/>
      </c>
      <c r="V781" s="112" t="str">
        <f aca="false">IFERROR(IF([2]对账明细接口!$Q781=0,"",[2]对账明细接口!$Q781),"")</f>
        <v/>
      </c>
      <c r="W781" s="10" t="str">
        <f aca="false">IFERROR(IF([2]对账明细接口!$R781=0,"",[2]对账明细接口!$R781),"")</f>
        <v/>
      </c>
      <c r="X781" s="10" t="str">
        <f aca="false">IFERROR(IF([2]对账明细接口!$S781=0,"",[2]对账明细接口!$S781),"")</f>
        <v/>
      </c>
      <c r="Y781" s="10" t="str">
        <f aca="false">IFERROR(IF([2]对账明细接口!$T781=0,"",[2]对账明细接口!$T781),"")</f>
        <v/>
      </c>
      <c r="Z781" s="113" t="str">
        <f aca="false">IFERROR(IF([2]对账明细接口!$U781=0,"",[2]对账明细接口!$U781),"")</f>
        <v/>
      </c>
      <c r="AA781" s="113" t="str">
        <f aca="false">IFERROR(IF([2]对账明细接口!$V781=0,"",[2]对账明细接口!$V781),"")</f>
        <v/>
      </c>
      <c r="AB781" s="10" t="str">
        <f aca="false">IFERROR(IF([2]对账明细接口!$W781=0,"",[2]对账明细接口!$W781),"")</f>
        <v/>
      </c>
      <c r="AC781" s="90" t="str">
        <f aca="false">IFERROR(IF([2]对账明细接口!$X782=0,"",[2]对账明细接口!$X782),"")</f>
        <v/>
      </c>
      <c r="AD781" s="90" t="str">
        <f aca="false">IFERROR(IF([2]对账明细接口!$Y782=0,"",[2]对账明细接口!$Y782),"")</f>
        <v/>
      </c>
      <c r="AE781" s="90" t="str">
        <f aca="false">IFERROR(IF([2]对账明细接口!$AA782=0,"",[2]对账明细接口!$AA782),"")</f>
        <v/>
      </c>
      <c r="AF781" s="90" t="str">
        <f aca="false">IFERROR(IF([2]对账明细接口!$AB782=0,"",[2]对账明细接口!$AB782),"")</f>
        <v/>
      </c>
      <c r="AG781" s="90" t="str">
        <f aca="false">IFERROR(IF([2]对账明细接口!$AC782=0,"",[2]对账明细接口!$AC782),"")</f>
        <v/>
      </c>
      <c r="AH781" s="90" t="str">
        <f aca="false">IFERROR(IF([2]对账明细接口!$AD782=0,"",[2]对账明细接口!$AD782),"")</f>
        <v/>
      </c>
    </row>
    <row r="782" customFormat="false" ht="13.5" hidden="false" customHeight="false" outlineLevel="0" collapsed="false">
      <c r="A782" s="109" t="n">
        <v>782</v>
      </c>
      <c r="B782" s="110" t="str">
        <f aca="false">IFERROR(IF([2]对账明细接口!$B$782=0,"",[2]对账明细接口!$B$782),"")</f>
        <v/>
      </c>
      <c r="C782" s="59" t="str">
        <f aca="false">IFERROR(IF([2]对账明细接口!$C$782=0,"",[2]对账明细接口!$C$782),"")</f>
        <v/>
      </c>
      <c r="D782" s="59" t="str">
        <f aca="false">IFERROR(IF([2]对账明细接口!$D$782=0,"",[2]对账明细接口!$D$782),"")</f>
        <v/>
      </c>
      <c r="E782" s="59" t="str">
        <f aca="false">IFERROR(IF([2]对账明细接口!$E$782=0,"",[2]对账明细接口!$E$782),"")</f>
        <v/>
      </c>
      <c r="F782" s="59" t="str">
        <f aca="false">IFERROR(IF([2]对账明细接口!$F$782=0,"",[2]对账明细接口!$F$782),"")</f>
        <v/>
      </c>
      <c r="G782" s="59" t="str">
        <f aca="false">IFERROR(IF([2]对账明细接口!$G$782=0,"",[2]对账明细接口!$G$782),"")</f>
        <v/>
      </c>
      <c r="H782" s="60" t="str">
        <f aca="false">IFERROR(IF([2]对账明细接口!$H$782=0,"",[2]对账明细接口!$H$782),"")</f>
        <v/>
      </c>
      <c r="I782" s="59" t="str">
        <f aca="false">IFERROR(IF([2]对账明细接口!$I$782=0,"",[2]对账明细接口!$I$782),"")</f>
        <v/>
      </c>
      <c r="J782" s="61" t="str">
        <f aca="false">IFERROR(IF([2]对账明细接口!$J$782=0,"",[2]对账明细接口!$J$782),"")</f>
        <v/>
      </c>
      <c r="K782" s="61" t="str">
        <f aca="false">IFERROR(IF([2]对账明细接口!$K$782=0,"",[2]对账明细接口!$K$782),"")</f>
        <v/>
      </c>
      <c r="L782" s="59" t="str">
        <f aca="false">IFERROR(IF([2]对账明细接口!$L$782=0,"",[2]对账明细接口!$L$782),"")</f>
        <v/>
      </c>
      <c r="M782" s="59" t="str">
        <f aca="false">IFERROR(IF([2]对账明细接口!$M$782=0,"",[2]对账明细接口!$M$782),"")</f>
        <v/>
      </c>
      <c r="N782" s="111" t="n">
        <f aca="false">IF($C782="",0,1)</f>
        <v>0</v>
      </c>
      <c r="O782" s="111" t="n">
        <f aca="false">N(O781)+$N782</f>
        <v>311</v>
      </c>
      <c r="S782" s="10" t="str">
        <f aca="false">IFERROR(IF([2]对账明细接口!$N782=0,"",[2]对账明细接口!$N782),"")</f>
        <v/>
      </c>
      <c r="T782" s="112" t="str">
        <f aca="false">IFERROR(IF([2]对账明细接口!$O782=0,"",[2]对账明细接口!$O782),"")</f>
        <v/>
      </c>
      <c r="U782" s="112" t="str">
        <f aca="false">IFERROR(IF([2]对账明细接口!$P782=0,"",[2]对账明细接口!$P782),"")</f>
        <v/>
      </c>
      <c r="V782" s="112" t="str">
        <f aca="false">IFERROR(IF([2]对账明细接口!$Q782=0,"",[2]对账明细接口!$Q782),"")</f>
        <v/>
      </c>
      <c r="W782" s="10" t="str">
        <f aca="false">IFERROR(IF([2]对账明细接口!$R782=0,"",[2]对账明细接口!$R782),"")</f>
        <v/>
      </c>
      <c r="X782" s="10" t="str">
        <f aca="false">IFERROR(IF([2]对账明细接口!$S782=0,"",[2]对账明细接口!$S782),"")</f>
        <v/>
      </c>
      <c r="Y782" s="10" t="str">
        <f aca="false">IFERROR(IF([2]对账明细接口!$T782=0,"",[2]对账明细接口!$T782),"")</f>
        <v/>
      </c>
      <c r="Z782" s="113" t="str">
        <f aca="false">IFERROR(IF([2]对账明细接口!$U782=0,"",[2]对账明细接口!$U782),"")</f>
        <v/>
      </c>
      <c r="AA782" s="113" t="str">
        <f aca="false">IFERROR(IF([2]对账明细接口!$V782=0,"",[2]对账明细接口!$V782),"")</f>
        <v/>
      </c>
      <c r="AB782" s="10" t="str">
        <f aca="false">IFERROR(IF([2]对账明细接口!$W782=0,"",[2]对账明细接口!$W782),"")</f>
        <v/>
      </c>
      <c r="AC782" s="90" t="str">
        <f aca="false">IFERROR(IF([2]对账明细接口!$X783=0,"",[2]对账明细接口!$X783),"")</f>
        <v/>
      </c>
      <c r="AD782" s="90" t="str">
        <f aca="false">IFERROR(IF([2]对账明细接口!$Y783=0,"",[2]对账明细接口!$Y783),"")</f>
        <v/>
      </c>
      <c r="AE782" s="90" t="str">
        <f aca="false">IFERROR(IF([2]对账明细接口!$AA783=0,"",[2]对账明细接口!$AA783),"")</f>
        <v/>
      </c>
      <c r="AF782" s="90" t="str">
        <f aca="false">IFERROR(IF([2]对账明细接口!$AB783=0,"",[2]对账明细接口!$AB783),"")</f>
        <v/>
      </c>
      <c r="AG782" s="90" t="str">
        <f aca="false">IFERROR(IF([2]对账明细接口!$AC783=0,"",[2]对账明细接口!$AC783),"")</f>
        <v/>
      </c>
      <c r="AH782" s="90" t="str">
        <f aca="false">IFERROR(IF([2]对账明细接口!$AD783=0,"",[2]对账明细接口!$AD783),"")</f>
        <v/>
      </c>
    </row>
    <row r="783" customFormat="false" ht="13.5" hidden="false" customHeight="false" outlineLevel="0" collapsed="false">
      <c r="A783" s="109" t="n">
        <v>783</v>
      </c>
      <c r="B783" s="110" t="str">
        <f aca="false">IFERROR(IF([2]对账明细接口!$B$783=0,"",[2]对账明细接口!$B$783),"")</f>
        <v/>
      </c>
      <c r="C783" s="59" t="str">
        <f aca="false">IFERROR(IF([2]对账明细接口!$C$783=0,"",[2]对账明细接口!$C$783),"")</f>
        <v/>
      </c>
      <c r="D783" s="59" t="str">
        <f aca="false">IFERROR(IF([2]对账明细接口!$D$783=0,"",[2]对账明细接口!$D$783),"")</f>
        <v/>
      </c>
      <c r="E783" s="59" t="str">
        <f aca="false">IFERROR(IF([2]对账明细接口!$E$783=0,"",[2]对账明细接口!$E$783),"")</f>
        <v/>
      </c>
      <c r="F783" s="59" t="str">
        <f aca="false">IFERROR(IF([2]对账明细接口!$F$783=0,"",[2]对账明细接口!$F$783),"")</f>
        <v/>
      </c>
      <c r="G783" s="59" t="str">
        <f aca="false">IFERROR(IF([2]对账明细接口!$G$783=0,"",[2]对账明细接口!$G$783),"")</f>
        <v/>
      </c>
      <c r="H783" s="60" t="str">
        <f aca="false">IFERROR(IF([2]对账明细接口!$H$783=0,"",[2]对账明细接口!$H$783),"")</f>
        <v/>
      </c>
      <c r="I783" s="59" t="str">
        <f aca="false">IFERROR(IF([2]对账明细接口!$I$783=0,"",[2]对账明细接口!$I$783),"")</f>
        <v/>
      </c>
      <c r="J783" s="61" t="str">
        <f aca="false">IFERROR(IF([2]对账明细接口!$J$783=0,"",[2]对账明细接口!$J$783),"")</f>
        <v/>
      </c>
      <c r="K783" s="61" t="str">
        <f aca="false">IFERROR(IF([2]对账明细接口!$K$783=0,"",[2]对账明细接口!$K$783),"")</f>
        <v/>
      </c>
      <c r="L783" s="59" t="str">
        <f aca="false">IFERROR(IF([2]对账明细接口!$L$783=0,"",[2]对账明细接口!$L$783),"")</f>
        <v/>
      </c>
      <c r="M783" s="59" t="str">
        <f aca="false">IFERROR(IF([2]对账明细接口!$M$783=0,"",[2]对账明细接口!$M$783),"")</f>
        <v/>
      </c>
      <c r="N783" s="111" t="n">
        <f aca="false">IF($C783="",0,1)</f>
        <v>0</v>
      </c>
      <c r="O783" s="111" t="n">
        <f aca="false">N(O782)+$N783</f>
        <v>311</v>
      </c>
      <c r="S783" s="10" t="str">
        <f aca="false">IFERROR(IF([2]对账明细接口!$N783=0,"",[2]对账明细接口!$N783),"")</f>
        <v/>
      </c>
      <c r="T783" s="112" t="str">
        <f aca="false">IFERROR(IF([2]对账明细接口!$O783=0,"",[2]对账明细接口!$O783),"")</f>
        <v/>
      </c>
      <c r="U783" s="112" t="str">
        <f aca="false">IFERROR(IF([2]对账明细接口!$P783=0,"",[2]对账明细接口!$P783),"")</f>
        <v/>
      </c>
      <c r="V783" s="112" t="str">
        <f aca="false">IFERROR(IF([2]对账明细接口!$Q783=0,"",[2]对账明细接口!$Q783),"")</f>
        <v/>
      </c>
      <c r="W783" s="10" t="str">
        <f aca="false">IFERROR(IF([2]对账明细接口!$R783=0,"",[2]对账明细接口!$R783),"")</f>
        <v/>
      </c>
      <c r="X783" s="10" t="str">
        <f aca="false">IFERROR(IF([2]对账明细接口!$S783=0,"",[2]对账明细接口!$S783),"")</f>
        <v/>
      </c>
      <c r="Y783" s="10" t="str">
        <f aca="false">IFERROR(IF([2]对账明细接口!$T783=0,"",[2]对账明细接口!$T783),"")</f>
        <v/>
      </c>
      <c r="Z783" s="113" t="str">
        <f aca="false">IFERROR(IF([2]对账明细接口!$U783=0,"",[2]对账明细接口!$U783),"")</f>
        <v/>
      </c>
      <c r="AA783" s="113" t="str">
        <f aca="false">IFERROR(IF([2]对账明细接口!$V783=0,"",[2]对账明细接口!$V783),"")</f>
        <v/>
      </c>
      <c r="AB783" s="10" t="str">
        <f aca="false">IFERROR(IF([2]对账明细接口!$W783=0,"",[2]对账明细接口!$W783),"")</f>
        <v/>
      </c>
      <c r="AC783" s="90" t="str">
        <f aca="false">IFERROR(IF([2]对账明细接口!$X784=0,"",[2]对账明细接口!$X784),"")</f>
        <v/>
      </c>
      <c r="AD783" s="90" t="str">
        <f aca="false">IFERROR(IF([2]对账明细接口!$Y784=0,"",[2]对账明细接口!$Y784),"")</f>
        <v/>
      </c>
      <c r="AE783" s="90" t="str">
        <f aca="false">IFERROR(IF([2]对账明细接口!$AA784=0,"",[2]对账明细接口!$AA784),"")</f>
        <v/>
      </c>
      <c r="AF783" s="90" t="str">
        <f aca="false">IFERROR(IF([2]对账明细接口!$AB784=0,"",[2]对账明细接口!$AB784),"")</f>
        <v/>
      </c>
      <c r="AG783" s="90" t="str">
        <f aca="false">IFERROR(IF([2]对账明细接口!$AC784=0,"",[2]对账明细接口!$AC784),"")</f>
        <v/>
      </c>
      <c r="AH783" s="90" t="str">
        <f aca="false">IFERROR(IF([2]对账明细接口!$AD784=0,"",[2]对账明细接口!$AD784),"")</f>
        <v/>
      </c>
    </row>
    <row r="784" customFormat="false" ht="13.5" hidden="false" customHeight="false" outlineLevel="0" collapsed="false">
      <c r="A784" s="109" t="n">
        <v>784</v>
      </c>
      <c r="B784" s="110" t="str">
        <f aca="false">IFERROR(IF([2]对账明细接口!$B$784=0,"",[2]对账明细接口!$B$784),"")</f>
        <v/>
      </c>
      <c r="C784" s="59" t="str">
        <f aca="false">IFERROR(IF([2]对账明细接口!$C$784=0,"",[2]对账明细接口!$C$784),"")</f>
        <v/>
      </c>
      <c r="D784" s="59" t="str">
        <f aca="false">IFERROR(IF([2]对账明细接口!$D$784=0,"",[2]对账明细接口!$D$784),"")</f>
        <v/>
      </c>
      <c r="E784" s="59" t="str">
        <f aca="false">IFERROR(IF([2]对账明细接口!$E$784=0,"",[2]对账明细接口!$E$784),"")</f>
        <v/>
      </c>
      <c r="F784" s="59" t="str">
        <f aca="false">IFERROR(IF([2]对账明细接口!$F$784=0,"",[2]对账明细接口!$F$784),"")</f>
        <v/>
      </c>
      <c r="G784" s="59" t="str">
        <f aca="false">IFERROR(IF([2]对账明细接口!$G$784=0,"",[2]对账明细接口!$G$784),"")</f>
        <v/>
      </c>
      <c r="H784" s="60" t="str">
        <f aca="false">IFERROR(IF([2]对账明细接口!$H$784=0,"",[2]对账明细接口!$H$784),"")</f>
        <v/>
      </c>
      <c r="I784" s="59" t="str">
        <f aca="false">IFERROR(IF([2]对账明细接口!$I$784=0,"",[2]对账明细接口!$I$784),"")</f>
        <v/>
      </c>
      <c r="J784" s="61" t="str">
        <f aca="false">IFERROR(IF([2]对账明细接口!$J$784=0,"",[2]对账明细接口!$J$784),"")</f>
        <v/>
      </c>
      <c r="K784" s="61" t="str">
        <f aca="false">IFERROR(IF([2]对账明细接口!$K$784=0,"",[2]对账明细接口!$K$784),"")</f>
        <v/>
      </c>
      <c r="L784" s="59" t="str">
        <f aca="false">IFERROR(IF([2]对账明细接口!$L$784=0,"",[2]对账明细接口!$L$784),"")</f>
        <v/>
      </c>
      <c r="M784" s="59" t="str">
        <f aca="false">IFERROR(IF([2]对账明细接口!$M$784=0,"",[2]对账明细接口!$M$784),"")</f>
        <v/>
      </c>
      <c r="N784" s="111" t="n">
        <f aca="false">IF($C784="",0,1)</f>
        <v>0</v>
      </c>
      <c r="O784" s="111" t="n">
        <f aca="false">N(O783)+$N784</f>
        <v>311</v>
      </c>
      <c r="S784" s="10" t="str">
        <f aca="false">IFERROR(IF([2]对账明细接口!$N784=0,"",[2]对账明细接口!$N784),"")</f>
        <v/>
      </c>
      <c r="T784" s="112" t="str">
        <f aca="false">IFERROR(IF([2]对账明细接口!$O784=0,"",[2]对账明细接口!$O784),"")</f>
        <v/>
      </c>
      <c r="U784" s="112" t="str">
        <f aca="false">IFERROR(IF([2]对账明细接口!$P784=0,"",[2]对账明细接口!$P784),"")</f>
        <v/>
      </c>
      <c r="V784" s="112" t="str">
        <f aca="false">IFERROR(IF([2]对账明细接口!$Q784=0,"",[2]对账明细接口!$Q784),"")</f>
        <v/>
      </c>
      <c r="W784" s="10" t="str">
        <f aca="false">IFERROR(IF([2]对账明细接口!$R784=0,"",[2]对账明细接口!$R784),"")</f>
        <v/>
      </c>
      <c r="X784" s="10" t="str">
        <f aca="false">IFERROR(IF([2]对账明细接口!$S784=0,"",[2]对账明细接口!$S784),"")</f>
        <v/>
      </c>
      <c r="Y784" s="10" t="str">
        <f aca="false">IFERROR(IF([2]对账明细接口!$T784=0,"",[2]对账明细接口!$T784),"")</f>
        <v/>
      </c>
      <c r="Z784" s="113" t="str">
        <f aca="false">IFERROR(IF([2]对账明细接口!$U784=0,"",[2]对账明细接口!$U784),"")</f>
        <v/>
      </c>
      <c r="AA784" s="113" t="str">
        <f aca="false">IFERROR(IF([2]对账明细接口!$V784=0,"",[2]对账明细接口!$V784),"")</f>
        <v/>
      </c>
      <c r="AB784" s="10" t="str">
        <f aca="false">IFERROR(IF([2]对账明细接口!$W784=0,"",[2]对账明细接口!$W784),"")</f>
        <v/>
      </c>
      <c r="AC784" s="90" t="str">
        <f aca="false">IFERROR(IF([2]对账明细接口!$X785=0,"",[2]对账明细接口!$X785),"")</f>
        <v/>
      </c>
      <c r="AD784" s="90" t="str">
        <f aca="false">IFERROR(IF([2]对账明细接口!$Y785=0,"",[2]对账明细接口!$Y785),"")</f>
        <v/>
      </c>
      <c r="AE784" s="90" t="str">
        <f aca="false">IFERROR(IF([2]对账明细接口!$AA785=0,"",[2]对账明细接口!$AA785),"")</f>
        <v/>
      </c>
      <c r="AF784" s="90" t="str">
        <f aca="false">IFERROR(IF([2]对账明细接口!$AB785=0,"",[2]对账明细接口!$AB785),"")</f>
        <v/>
      </c>
      <c r="AG784" s="90" t="str">
        <f aca="false">IFERROR(IF([2]对账明细接口!$AC785=0,"",[2]对账明细接口!$AC785),"")</f>
        <v/>
      </c>
      <c r="AH784" s="90" t="str">
        <f aca="false">IFERROR(IF([2]对账明细接口!$AD785=0,"",[2]对账明细接口!$AD785),"")</f>
        <v/>
      </c>
    </row>
    <row r="785" customFormat="false" ht="13.5" hidden="false" customHeight="false" outlineLevel="0" collapsed="false">
      <c r="A785" s="109" t="n">
        <v>785</v>
      </c>
      <c r="B785" s="110" t="str">
        <f aca="false">IFERROR(IF([2]对账明细接口!$B$785=0,"",[2]对账明细接口!$B$785),"")</f>
        <v/>
      </c>
      <c r="C785" s="59" t="str">
        <f aca="false">IFERROR(IF([2]对账明细接口!$C$785=0,"",[2]对账明细接口!$C$785),"")</f>
        <v/>
      </c>
      <c r="D785" s="59" t="str">
        <f aca="false">IFERROR(IF([2]对账明细接口!$D$785=0,"",[2]对账明细接口!$D$785),"")</f>
        <v/>
      </c>
      <c r="E785" s="59" t="str">
        <f aca="false">IFERROR(IF([2]对账明细接口!$E$785=0,"",[2]对账明细接口!$E$785),"")</f>
        <v/>
      </c>
      <c r="F785" s="59" t="str">
        <f aca="false">IFERROR(IF([2]对账明细接口!$F$785=0,"",[2]对账明细接口!$F$785),"")</f>
        <v/>
      </c>
      <c r="G785" s="59" t="str">
        <f aca="false">IFERROR(IF([2]对账明细接口!$G$785=0,"",[2]对账明细接口!$G$785),"")</f>
        <v/>
      </c>
      <c r="H785" s="60" t="str">
        <f aca="false">IFERROR(IF([2]对账明细接口!$H$785=0,"",[2]对账明细接口!$H$785),"")</f>
        <v/>
      </c>
      <c r="I785" s="59" t="str">
        <f aca="false">IFERROR(IF([2]对账明细接口!$I$785=0,"",[2]对账明细接口!$I$785),"")</f>
        <v/>
      </c>
      <c r="J785" s="61" t="str">
        <f aca="false">IFERROR(IF([2]对账明细接口!$J$785=0,"",[2]对账明细接口!$J$785),"")</f>
        <v/>
      </c>
      <c r="K785" s="61" t="str">
        <f aca="false">IFERROR(IF([2]对账明细接口!$K$785=0,"",[2]对账明细接口!$K$785),"")</f>
        <v/>
      </c>
      <c r="L785" s="59" t="str">
        <f aca="false">IFERROR(IF([2]对账明细接口!$L$785=0,"",[2]对账明细接口!$L$785),"")</f>
        <v/>
      </c>
      <c r="M785" s="59" t="str">
        <f aca="false">IFERROR(IF([2]对账明细接口!$M$785=0,"",[2]对账明细接口!$M$785),"")</f>
        <v/>
      </c>
      <c r="N785" s="111" t="n">
        <f aca="false">IF($C785="",0,1)</f>
        <v>0</v>
      </c>
      <c r="O785" s="111" t="n">
        <f aca="false">N(O784)+$N785</f>
        <v>311</v>
      </c>
      <c r="S785" s="10" t="str">
        <f aca="false">IFERROR(IF([2]对账明细接口!$N785=0,"",[2]对账明细接口!$N785),"")</f>
        <v/>
      </c>
      <c r="T785" s="112" t="str">
        <f aca="false">IFERROR(IF([2]对账明细接口!$O785=0,"",[2]对账明细接口!$O785),"")</f>
        <v/>
      </c>
      <c r="U785" s="112" t="str">
        <f aca="false">IFERROR(IF([2]对账明细接口!$P785=0,"",[2]对账明细接口!$P785),"")</f>
        <v/>
      </c>
      <c r="V785" s="112" t="str">
        <f aca="false">IFERROR(IF([2]对账明细接口!$Q785=0,"",[2]对账明细接口!$Q785),"")</f>
        <v/>
      </c>
      <c r="W785" s="10" t="str">
        <f aca="false">IFERROR(IF([2]对账明细接口!$R785=0,"",[2]对账明细接口!$R785),"")</f>
        <v/>
      </c>
      <c r="X785" s="10" t="str">
        <f aca="false">IFERROR(IF([2]对账明细接口!$S785=0,"",[2]对账明细接口!$S785),"")</f>
        <v/>
      </c>
      <c r="Y785" s="10" t="str">
        <f aca="false">IFERROR(IF([2]对账明细接口!$T785=0,"",[2]对账明细接口!$T785),"")</f>
        <v/>
      </c>
      <c r="Z785" s="113" t="str">
        <f aca="false">IFERROR(IF([2]对账明细接口!$U785=0,"",[2]对账明细接口!$U785),"")</f>
        <v/>
      </c>
      <c r="AA785" s="113" t="str">
        <f aca="false">IFERROR(IF([2]对账明细接口!$V785=0,"",[2]对账明细接口!$V785),"")</f>
        <v/>
      </c>
      <c r="AB785" s="10" t="str">
        <f aca="false">IFERROR(IF([2]对账明细接口!$W785=0,"",[2]对账明细接口!$W785),"")</f>
        <v/>
      </c>
      <c r="AC785" s="90" t="str">
        <f aca="false">IFERROR(IF([2]对账明细接口!$X786=0,"",[2]对账明细接口!$X786),"")</f>
        <v/>
      </c>
      <c r="AD785" s="90" t="str">
        <f aca="false">IFERROR(IF([2]对账明细接口!$Y786=0,"",[2]对账明细接口!$Y786),"")</f>
        <v/>
      </c>
      <c r="AE785" s="90" t="str">
        <f aca="false">IFERROR(IF([2]对账明细接口!$AA786=0,"",[2]对账明细接口!$AA786),"")</f>
        <v/>
      </c>
      <c r="AF785" s="90" t="str">
        <f aca="false">IFERROR(IF([2]对账明细接口!$AB786=0,"",[2]对账明细接口!$AB786),"")</f>
        <v/>
      </c>
      <c r="AG785" s="90" t="str">
        <f aca="false">IFERROR(IF([2]对账明细接口!$AC786=0,"",[2]对账明细接口!$AC786),"")</f>
        <v/>
      </c>
      <c r="AH785" s="90" t="str">
        <f aca="false">IFERROR(IF([2]对账明细接口!$AD786=0,"",[2]对账明细接口!$AD786),"")</f>
        <v/>
      </c>
    </row>
    <row r="786" customFormat="false" ht="13.5" hidden="false" customHeight="false" outlineLevel="0" collapsed="false">
      <c r="A786" s="109" t="n">
        <v>786</v>
      </c>
      <c r="B786" s="110" t="str">
        <f aca="false">IFERROR(IF([2]对账明细接口!$B$786=0,"",[2]对账明细接口!$B$786),"")</f>
        <v/>
      </c>
      <c r="C786" s="59" t="str">
        <f aca="false">IFERROR(IF([2]对账明细接口!$C$786=0,"",[2]对账明细接口!$C$786),"")</f>
        <v/>
      </c>
      <c r="D786" s="59" t="str">
        <f aca="false">IFERROR(IF([2]对账明细接口!$D$786=0,"",[2]对账明细接口!$D$786),"")</f>
        <v/>
      </c>
      <c r="E786" s="59" t="str">
        <f aca="false">IFERROR(IF([2]对账明细接口!$E$786=0,"",[2]对账明细接口!$E$786),"")</f>
        <v/>
      </c>
      <c r="F786" s="59" t="str">
        <f aca="false">IFERROR(IF([2]对账明细接口!$F$786=0,"",[2]对账明细接口!$F$786),"")</f>
        <v/>
      </c>
      <c r="G786" s="59" t="str">
        <f aca="false">IFERROR(IF([2]对账明细接口!$G$786=0,"",[2]对账明细接口!$G$786),"")</f>
        <v/>
      </c>
      <c r="H786" s="60" t="str">
        <f aca="false">IFERROR(IF([2]对账明细接口!$H$786=0,"",[2]对账明细接口!$H$786),"")</f>
        <v/>
      </c>
      <c r="I786" s="59" t="str">
        <f aca="false">IFERROR(IF([2]对账明细接口!$I$786=0,"",[2]对账明细接口!$I$786),"")</f>
        <v/>
      </c>
      <c r="J786" s="61" t="str">
        <f aca="false">IFERROR(IF([2]对账明细接口!$J$786=0,"",[2]对账明细接口!$J$786),"")</f>
        <v/>
      </c>
      <c r="K786" s="61" t="str">
        <f aca="false">IFERROR(IF([2]对账明细接口!$K$786=0,"",[2]对账明细接口!$K$786),"")</f>
        <v/>
      </c>
      <c r="L786" s="59" t="str">
        <f aca="false">IFERROR(IF([2]对账明细接口!$L$786=0,"",[2]对账明细接口!$L$786),"")</f>
        <v/>
      </c>
      <c r="M786" s="59" t="str">
        <f aca="false">IFERROR(IF([2]对账明细接口!$M$786=0,"",[2]对账明细接口!$M$786),"")</f>
        <v/>
      </c>
      <c r="N786" s="111" t="n">
        <f aca="false">IF($C786="",0,1)</f>
        <v>0</v>
      </c>
      <c r="O786" s="111" t="n">
        <f aca="false">N(O785)+$N786</f>
        <v>311</v>
      </c>
      <c r="S786" s="10" t="str">
        <f aca="false">IFERROR(IF([2]对账明细接口!$N786=0,"",[2]对账明细接口!$N786),"")</f>
        <v/>
      </c>
      <c r="T786" s="112" t="str">
        <f aca="false">IFERROR(IF([2]对账明细接口!$O786=0,"",[2]对账明细接口!$O786),"")</f>
        <v/>
      </c>
      <c r="U786" s="112" t="str">
        <f aca="false">IFERROR(IF([2]对账明细接口!$P786=0,"",[2]对账明细接口!$P786),"")</f>
        <v/>
      </c>
      <c r="V786" s="112" t="str">
        <f aca="false">IFERROR(IF([2]对账明细接口!$Q786=0,"",[2]对账明细接口!$Q786),"")</f>
        <v/>
      </c>
      <c r="W786" s="10" t="str">
        <f aca="false">IFERROR(IF([2]对账明细接口!$R786=0,"",[2]对账明细接口!$R786),"")</f>
        <v/>
      </c>
      <c r="X786" s="10" t="str">
        <f aca="false">IFERROR(IF([2]对账明细接口!$S786=0,"",[2]对账明细接口!$S786),"")</f>
        <v/>
      </c>
      <c r="Y786" s="10" t="str">
        <f aca="false">IFERROR(IF([2]对账明细接口!$T786=0,"",[2]对账明细接口!$T786),"")</f>
        <v/>
      </c>
      <c r="Z786" s="113" t="str">
        <f aca="false">IFERROR(IF([2]对账明细接口!$U786=0,"",[2]对账明细接口!$U786),"")</f>
        <v/>
      </c>
      <c r="AA786" s="113" t="str">
        <f aca="false">IFERROR(IF([2]对账明细接口!$V786=0,"",[2]对账明细接口!$V786),"")</f>
        <v/>
      </c>
      <c r="AB786" s="10" t="str">
        <f aca="false">IFERROR(IF([2]对账明细接口!$W786=0,"",[2]对账明细接口!$W786),"")</f>
        <v/>
      </c>
      <c r="AC786" s="90" t="str">
        <f aca="false">IFERROR(IF([2]对账明细接口!$X787=0,"",[2]对账明细接口!$X787),"")</f>
        <v/>
      </c>
      <c r="AD786" s="90" t="str">
        <f aca="false">IFERROR(IF([2]对账明细接口!$Y787=0,"",[2]对账明细接口!$Y787),"")</f>
        <v/>
      </c>
      <c r="AE786" s="90" t="str">
        <f aca="false">IFERROR(IF([2]对账明细接口!$AA787=0,"",[2]对账明细接口!$AA787),"")</f>
        <v/>
      </c>
      <c r="AF786" s="90" t="str">
        <f aca="false">IFERROR(IF([2]对账明细接口!$AB787=0,"",[2]对账明细接口!$AB787),"")</f>
        <v/>
      </c>
      <c r="AG786" s="90" t="str">
        <f aca="false">IFERROR(IF([2]对账明细接口!$AC787=0,"",[2]对账明细接口!$AC787),"")</f>
        <v/>
      </c>
      <c r="AH786" s="90" t="str">
        <f aca="false">IFERROR(IF([2]对账明细接口!$AD787=0,"",[2]对账明细接口!$AD787),"")</f>
        <v/>
      </c>
    </row>
    <row r="787" customFormat="false" ht="13.5" hidden="false" customHeight="false" outlineLevel="0" collapsed="false">
      <c r="A787" s="109" t="n">
        <v>787</v>
      </c>
      <c r="B787" s="110" t="str">
        <f aca="false">IFERROR(IF([2]对账明细接口!$B$787=0,"",[2]对账明细接口!$B$787),"")</f>
        <v/>
      </c>
      <c r="C787" s="59" t="str">
        <f aca="false">IFERROR(IF([2]对账明细接口!$C$787=0,"",[2]对账明细接口!$C$787),"")</f>
        <v/>
      </c>
      <c r="D787" s="59" t="str">
        <f aca="false">IFERROR(IF([2]对账明细接口!$D$787=0,"",[2]对账明细接口!$D$787),"")</f>
        <v/>
      </c>
      <c r="E787" s="59" t="str">
        <f aca="false">IFERROR(IF([2]对账明细接口!$E$787=0,"",[2]对账明细接口!$E$787),"")</f>
        <v/>
      </c>
      <c r="F787" s="59" t="str">
        <f aca="false">IFERROR(IF([2]对账明细接口!$F$787=0,"",[2]对账明细接口!$F$787),"")</f>
        <v/>
      </c>
      <c r="G787" s="59" t="str">
        <f aca="false">IFERROR(IF([2]对账明细接口!$G$787=0,"",[2]对账明细接口!$G$787),"")</f>
        <v/>
      </c>
      <c r="H787" s="60" t="str">
        <f aca="false">IFERROR(IF([2]对账明细接口!$H$787=0,"",[2]对账明细接口!$H$787),"")</f>
        <v/>
      </c>
      <c r="I787" s="59" t="str">
        <f aca="false">IFERROR(IF([2]对账明细接口!$I$787=0,"",[2]对账明细接口!$I$787),"")</f>
        <v/>
      </c>
      <c r="J787" s="61" t="str">
        <f aca="false">IFERROR(IF([2]对账明细接口!$J$787=0,"",[2]对账明细接口!$J$787),"")</f>
        <v/>
      </c>
      <c r="K787" s="61" t="str">
        <f aca="false">IFERROR(IF([2]对账明细接口!$K$787=0,"",[2]对账明细接口!$K$787),"")</f>
        <v/>
      </c>
      <c r="L787" s="59" t="str">
        <f aca="false">IFERROR(IF([2]对账明细接口!$L$787=0,"",[2]对账明细接口!$L$787),"")</f>
        <v/>
      </c>
      <c r="M787" s="59" t="str">
        <f aca="false">IFERROR(IF([2]对账明细接口!$M$787=0,"",[2]对账明细接口!$M$787),"")</f>
        <v/>
      </c>
      <c r="N787" s="111" t="n">
        <f aca="false">IF($C787="",0,1)</f>
        <v>0</v>
      </c>
      <c r="O787" s="111" t="n">
        <f aca="false">N(O786)+$N787</f>
        <v>311</v>
      </c>
      <c r="S787" s="10" t="str">
        <f aca="false">IFERROR(IF([2]对账明细接口!$N787=0,"",[2]对账明细接口!$N787),"")</f>
        <v/>
      </c>
      <c r="T787" s="112" t="str">
        <f aca="false">IFERROR(IF([2]对账明细接口!$O787=0,"",[2]对账明细接口!$O787),"")</f>
        <v/>
      </c>
      <c r="U787" s="112" t="str">
        <f aca="false">IFERROR(IF([2]对账明细接口!$P787=0,"",[2]对账明细接口!$P787),"")</f>
        <v/>
      </c>
      <c r="V787" s="112" t="str">
        <f aca="false">IFERROR(IF([2]对账明细接口!$Q787=0,"",[2]对账明细接口!$Q787),"")</f>
        <v/>
      </c>
      <c r="W787" s="10" t="str">
        <f aca="false">IFERROR(IF([2]对账明细接口!$R787=0,"",[2]对账明细接口!$R787),"")</f>
        <v/>
      </c>
      <c r="X787" s="10" t="str">
        <f aca="false">IFERROR(IF([2]对账明细接口!$S787=0,"",[2]对账明细接口!$S787),"")</f>
        <v/>
      </c>
      <c r="Y787" s="10" t="str">
        <f aca="false">IFERROR(IF([2]对账明细接口!$T787=0,"",[2]对账明细接口!$T787),"")</f>
        <v/>
      </c>
      <c r="Z787" s="113" t="str">
        <f aca="false">IFERROR(IF([2]对账明细接口!$U787=0,"",[2]对账明细接口!$U787),"")</f>
        <v/>
      </c>
      <c r="AA787" s="113" t="str">
        <f aca="false">IFERROR(IF([2]对账明细接口!$V787=0,"",[2]对账明细接口!$V787),"")</f>
        <v/>
      </c>
      <c r="AB787" s="10" t="str">
        <f aca="false">IFERROR(IF([2]对账明细接口!$W787=0,"",[2]对账明细接口!$W787),"")</f>
        <v/>
      </c>
      <c r="AC787" s="90" t="str">
        <f aca="false">IFERROR(IF([2]对账明细接口!$X788=0,"",[2]对账明细接口!$X788),"")</f>
        <v/>
      </c>
      <c r="AD787" s="90" t="str">
        <f aca="false">IFERROR(IF([2]对账明细接口!$Y788=0,"",[2]对账明细接口!$Y788),"")</f>
        <v/>
      </c>
      <c r="AE787" s="90" t="str">
        <f aca="false">IFERROR(IF([2]对账明细接口!$AA788=0,"",[2]对账明细接口!$AA788),"")</f>
        <v/>
      </c>
      <c r="AF787" s="90" t="str">
        <f aca="false">IFERROR(IF([2]对账明细接口!$AB788=0,"",[2]对账明细接口!$AB788),"")</f>
        <v/>
      </c>
      <c r="AG787" s="90" t="str">
        <f aca="false">IFERROR(IF([2]对账明细接口!$AC788=0,"",[2]对账明细接口!$AC788),"")</f>
        <v/>
      </c>
      <c r="AH787" s="90" t="str">
        <f aca="false">IFERROR(IF([2]对账明细接口!$AD788=0,"",[2]对账明细接口!$AD788),"")</f>
        <v/>
      </c>
    </row>
    <row r="788" customFormat="false" ht="13.5" hidden="false" customHeight="false" outlineLevel="0" collapsed="false">
      <c r="A788" s="109" t="n">
        <v>788</v>
      </c>
      <c r="B788" s="110" t="str">
        <f aca="false">IFERROR(IF([2]对账明细接口!$B$788=0,"",[2]对账明细接口!$B$788),"")</f>
        <v/>
      </c>
      <c r="C788" s="59" t="str">
        <f aca="false">IFERROR(IF([2]对账明细接口!$C$788=0,"",[2]对账明细接口!$C$788),"")</f>
        <v/>
      </c>
      <c r="D788" s="59" t="str">
        <f aca="false">IFERROR(IF([2]对账明细接口!$D$788=0,"",[2]对账明细接口!$D$788),"")</f>
        <v/>
      </c>
      <c r="E788" s="59" t="str">
        <f aca="false">IFERROR(IF([2]对账明细接口!$E$788=0,"",[2]对账明细接口!$E$788),"")</f>
        <v/>
      </c>
      <c r="F788" s="59" t="str">
        <f aca="false">IFERROR(IF([2]对账明细接口!$F$788=0,"",[2]对账明细接口!$F$788),"")</f>
        <v/>
      </c>
      <c r="G788" s="59" t="str">
        <f aca="false">IFERROR(IF([2]对账明细接口!$G$788=0,"",[2]对账明细接口!$G$788),"")</f>
        <v/>
      </c>
      <c r="H788" s="60" t="str">
        <f aca="false">IFERROR(IF([2]对账明细接口!$H$788=0,"",[2]对账明细接口!$H$788),"")</f>
        <v/>
      </c>
      <c r="I788" s="59" t="str">
        <f aca="false">IFERROR(IF([2]对账明细接口!$I$788=0,"",[2]对账明细接口!$I$788),"")</f>
        <v/>
      </c>
      <c r="J788" s="61" t="str">
        <f aca="false">IFERROR(IF([2]对账明细接口!$J$788=0,"",[2]对账明细接口!$J$788),"")</f>
        <v/>
      </c>
      <c r="K788" s="61" t="str">
        <f aca="false">IFERROR(IF([2]对账明细接口!$K$788=0,"",[2]对账明细接口!$K$788),"")</f>
        <v/>
      </c>
      <c r="L788" s="59" t="str">
        <f aca="false">IFERROR(IF([2]对账明细接口!$L$788=0,"",[2]对账明细接口!$L$788),"")</f>
        <v/>
      </c>
      <c r="M788" s="59" t="str">
        <f aca="false">IFERROR(IF([2]对账明细接口!$M$788=0,"",[2]对账明细接口!$M$788),"")</f>
        <v/>
      </c>
      <c r="N788" s="111" t="n">
        <f aca="false">IF($C788="",0,1)</f>
        <v>0</v>
      </c>
      <c r="O788" s="111" t="n">
        <f aca="false">N(O787)+$N788</f>
        <v>311</v>
      </c>
      <c r="S788" s="10" t="str">
        <f aca="false">IFERROR(IF([2]对账明细接口!$N788=0,"",[2]对账明细接口!$N788),"")</f>
        <v/>
      </c>
      <c r="T788" s="112" t="str">
        <f aca="false">IFERROR(IF([2]对账明细接口!$O788=0,"",[2]对账明细接口!$O788),"")</f>
        <v/>
      </c>
      <c r="U788" s="112" t="str">
        <f aca="false">IFERROR(IF([2]对账明细接口!$P788=0,"",[2]对账明细接口!$P788),"")</f>
        <v/>
      </c>
      <c r="V788" s="112" t="str">
        <f aca="false">IFERROR(IF([2]对账明细接口!$Q788=0,"",[2]对账明细接口!$Q788),"")</f>
        <v/>
      </c>
      <c r="W788" s="10" t="str">
        <f aca="false">IFERROR(IF([2]对账明细接口!$R788=0,"",[2]对账明细接口!$R788),"")</f>
        <v/>
      </c>
      <c r="X788" s="10" t="str">
        <f aca="false">IFERROR(IF([2]对账明细接口!$S788=0,"",[2]对账明细接口!$S788),"")</f>
        <v/>
      </c>
      <c r="Y788" s="10" t="str">
        <f aca="false">IFERROR(IF([2]对账明细接口!$T788=0,"",[2]对账明细接口!$T788),"")</f>
        <v/>
      </c>
      <c r="Z788" s="113" t="str">
        <f aca="false">IFERROR(IF([2]对账明细接口!$U788=0,"",[2]对账明细接口!$U788),"")</f>
        <v/>
      </c>
      <c r="AA788" s="113" t="str">
        <f aca="false">IFERROR(IF([2]对账明细接口!$V788=0,"",[2]对账明细接口!$V788),"")</f>
        <v/>
      </c>
      <c r="AB788" s="10" t="str">
        <f aca="false">IFERROR(IF([2]对账明细接口!$W788=0,"",[2]对账明细接口!$W788),"")</f>
        <v/>
      </c>
      <c r="AC788" s="90" t="str">
        <f aca="false">IFERROR(IF([2]对账明细接口!$X789=0,"",[2]对账明细接口!$X789),"")</f>
        <v/>
      </c>
      <c r="AD788" s="90" t="str">
        <f aca="false">IFERROR(IF([2]对账明细接口!$Y789=0,"",[2]对账明细接口!$Y789),"")</f>
        <v/>
      </c>
      <c r="AE788" s="90" t="str">
        <f aca="false">IFERROR(IF([2]对账明细接口!$AA789=0,"",[2]对账明细接口!$AA789),"")</f>
        <v/>
      </c>
      <c r="AF788" s="90" t="str">
        <f aca="false">IFERROR(IF([2]对账明细接口!$AB789=0,"",[2]对账明细接口!$AB789),"")</f>
        <v/>
      </c>
      <c r="AG788" s="90" t="str">
        <f aca="false">IFERROR(IF([2]对账明细接口!$AC789=0,"",[2]对账明细接口!$AC789),"")</f>
        <v/>
      </c>
      <c r="AH788" s="90" t="str">
        <f aca="false">IFERROR(IF([2]对账明细接口!$AD789=0,"",[2]对账明细接口!$AD789),"")</f>
        <v/>
      </c>
    </row>
    <row r="789" customFormat="false" ht="13.5" hidden="false" customHeight="false" outlineLevel="0" collapsed="false">
      <c r="A789" s="109" t="n">
        <v>789</v>
      </c>
      <c r="B789" s="110" t="str">
        <f aca="false">IFERROR(IF([2]对账明细接口!$B$789=0,"",[2]对账明细接口!$B$789),"")</f>
        <v/>
      </c>
      <c r="C789" s="59" t="str">
        <f aca="false">IFERROR(IF([2]对账明细接口!$C$789=0,"",[2]对账明细接口!$C$789),"")</f>
        <v/>
      </c>
      <c r="D789" s="59" t="str">
        <f aca="false">IFERROR(IF([2]对账明细接口!$D$789=0,"",[2]对账明细接口!$D$789),"")</f>
        <v/>
      </c>
      <c r="E789" s="59" t="str">
        <f aca="false">IFERROR(IF([2]对账明细接口!$E$789=0,"",[2]对账明细接口!$E$789),"")</f>
        <v/>
      </c>
      <c r="F789" s="59" t="str">
        <f aca="false">IFERROR(IF([2]对账明细接口!$F$789=0,"",[2]对账明细接口!$F$789),"")</f>
        <v/>
      </c>
      <c r="G789" s="59" t="str">
        <f aca="false">IFERROR(IF([2]对账明细接口!$G$789=0,"",[2]对账明细接口!$G$789),"")</f>
        <v/>
      </c>
      <c r="H789" s="60" t="str">
        <f aca="false">IFERROR(IF([2]对账明细接口!$H$789=0,"",[2]对账明细接口!$H$789),"")</f>
        <v/>
      </c>
      <c r="I789" s="59" t="str">
        <f aca="false">IFERROR(IF([2]对账明细接口!$I$789=0,"",[2]对账明细接口!$I$789),"")</f>
        <v/>
      </c>
      <c r="J789" s="61" t="str">
        <f aca="false">IFERROR(IF([2]对账明细接口!$J$789=0,"",[2]对账明细接口!$J$789),"")</f>
        <v/>
      </c>
      <c r="K789" s="61" t="str">
        <f aca="false">IFERROR(IF([2]对账明细接口!$K$789=0,"",[2]对账明细接口!$K$789),"")</f>
        <v/>
      </c>
      <c r="L789" s="59" t="str">
        <f aca="false">IFERROR(IF([2]对账明细接口!$L$789=0,"",[2]对账明细接口!$L$789),"")</f>
        <v/>
      </c>
      <c r="M789" s="59" t="str">
        <f aca="false">IFERROR(IF([2]对账明细接口!$M$789=0,"",[2]对账明细接口!$M$789),"")</f>
        <v/>
      </c>
      <c r="N789" s="111" t="n">
        <f aca="false">IF($C789="",0,1)</f>
        <v>0</v>
      </c>
      <c r="O789" s="111" t="n">
        <f aca="false">N(O788)+$N789</f>
        <v>311</v>
      </c>
      <c r="S789" s="10" t="str">
        <f aca="false">IFERROR(IF([2]对账明细接口!$N789=0,"",[2]对账明细接口!$N789),"")</f>
        <v/>
      </c>
      <c r="T789" s="112" t="str">
        <f aca="false">IFERROR(IF([2]对账明细接口!$O789=0,"",[2]对账明细接口!$O789),"")</f>
        <v/>
      </c>
      <c r="U789" s="112" t="str">
        <f aca="false">IFERROR(IF([2]对账明细接口!$P789=0,"",[2]对账明细接口!$P789),"")</f>
        <v/>
      </c>
      <c r="V789" s="112" t="str">
        <f aca="false">IFERROR(IF([2]对账明细接口!$Q789=0,"",[2]对账明细接口!$Q789),"")</f>
        <v/>
      </c>
      <c r="W789" s="10" t="str">
        <f aca="false">IFERROR(IF([2]对账明细接口!$R789=0,"",[2]对账明细接口!$R789),"")</f>
        <v/>
      </c>
      <c r="X789" s="10" t="str">
        <f aca="false">IFERROR(IF([2]对账明细接口!$S789=0,"",[2]对账明细接口!$S789),"")</f>
        <v/>
      </c>
      <c r="Y789" s="10" t="str">
        <f aca="false">IFERROR(IF([2]对账明细接口!$T789=0,"",[2]对账明细接口!$T789),"")</f>
        <v/>
      </c>
      <c r="Z789" s="113" t="str">
        <f aca="false">IFERROR(IF([2]对账明细接口!$U789=0,"",[2]对账明细接口!$U789),"")</f>
        <v/>
      </c>
      <c r="AA789" s="113" t="str">
        <f aca="false">IFERROR(IF([2]对账明细接口!$V789=0,"",[2]对账明细接口!$V789),"")</f>
        <v/>
      </c>
      <c r="AB789" s="10" t="str">
        <f aca="false">IFERROR(IF([2]对账明细接口!$W789=0,"",[2]对账明细接口!$W789),"")</f>
        <v/>
      </c>
      <c r="AC789" s="90" t="str">
        <f aca="false">IFERROR(IF([2]对账明细接口!$X790=0,"",[2]对账明细接口!$X790),"")</f>
        <v/>
      </c>
      <c r="AD789" s="90" t="str">
        <f aca="false">IFERROR(IF([2]对账明细接口!$Y790=0,"",[2]对账明细接口!$Y790),"")</f>
        <v/>
      </c>
      <c r="AE789" s="90" t="str">
        <f aca="false">IFERROR(IF([2]对账明细接口!$AA790=0,"",[2]对账明细接口!$AA790),"")</f>
        <v/>
      </c>
      <c r="AF789" s="90" t="str">
        <f aca="false">IFERROR(IF([2]对账明细接口!$AB790=0,"",[2]对账明细接口!$AB790),"")</f>
        <v/>
      </c>
      <c r="AG789" s="90" t="str">
        <f aca="false">IFERROR(IF([2]对账明细接口!$AC790=0,"",[2]对账明细接口!$AC790),"")</f>
        <v/>
      </c>
      <c r="AH789" s="90" t="str">
        <f aca="false">IFERROR(IF([2]对账明细接口!$AD790=0,"",[2]对账明细接口!$AD790),"")</f>
        <v/>
      </c>
    </row>
    <row r="790" customFormat="false" ht="13.5" hidden="false" customHeight="false" outlineLevel="0" collapsed="false">
      <c r="A790" s="109" t="n">
        <v>790</v>
      </c>
      <c r="B790" s="110" t="str">
        <f aca="false">IFERROR(IF([2]对账明细接口!$B$790=0,"",[2]对账明细接口!$B$790),"")</f>
        <v/>
      </c>
      <c r="C790" s="59" t="str">
        <f aca="false">IFERROR(IF([2]对账明细接口!$C$790=0,"",[2]对账明细接口!$C$790),"")</f>
        <v/>
      </c>
      <c r="D790" s="59" t="str">
        <f aca="false">IFERROR(IF([2]对账明细接口!$D$790=0,"",[2]对账明细接口!$D$790),"")</f>
        <v/>
      </c>
      <c r="E790" s="59" t="str">
        <f aca="false">IFERROR(IF([2]对账明细接口!$E$790=0,"",[2]对账明细接口!$E$790),"")</f>
        <v/>
      </c>
      <c r="F790" s="59" t="str">
        <f aca="false">IFERROR(IF([2]对账明细接口!$F$790=0,"",[2]对账明细接口!$F$790),"")</f>
        <v/>
      </c>
      <c r="G790" s="59" t="str">
        <f aca="false">IFERROR(IF([2]对账明细接口!$G$790=0,"",[2]对账明细接口!$G$790),"")</f>
        <v/>
      </c>
      <c r="H790" s="60" t="str">
        <f aca="false">IFERROR(IF([2]对账明细接口!$H$790=0,"",[2]对账明细接口!$H$790),"")</f>
        <v/>
      </c>
      <c r="I790" s="59" t="str">
        <f aca="false">IFERROR(IF([2]对账明细接口!$I$790=0,"",[2]对账明细接口!$I$790),"")</f>
        <v/>
      </c>
      <c r="J790" s="61" t="str">
        <f aca="false">IFERROR(IF([2]对账明细接口!$J$790=0,"",[2]对账明细接口!$J$790),"")</f>
        <v/>
      </c>
      <c r="K790" s="61" t="str">
        <f aca="false">IFERROR(IF([2]对账明细接口!$K$790=0,"",[2]对账明细接口!$K$790),"")</f>
        <v/>
      </c>
      <c r="L790" s="59" t="str">
        <f aca="false">IFERROR(IF([2]对账明细接口!$L$790=0,"",[2]对账明细接口!$L$790),"")</f>
        <v/>
      </c>
      <c r="M790" s="59" t="str">
        <f aca="false">IFERROR(IF([2]对账明细接口!$M$790=0,"",[2]对账明细接口!$M$790),"")</f>
        <v/>
      </c>
      <c r="N790" s="111" t="n">
        <f aca="false">IF($C790="",0,1)</f>
        <v>0</v>
      </c>
      <c r="O790" s="111" t="n">
        <f aca="false">N(O789)+$N790</f>
        <v>311</v>
      </c>
      <c r="S790" s="10" t="str">
        <f aca="false">IFERROR(IF([2]对账明细接口!$N790=0,"",[2]对账明细接口!$N790),"")</f>
        <v/>
      </c>
      <c r="T790" s="112" t="str">
        <f aca="false">IFERROR(IF([2]对账明细接口!$O790=0,"",[2]对账明细接口!$O790),"")</f>
        <v/>
      </c>
      <c r="U790" s="112" t="str">
        <f aca="false">IFERROR(IF([2]对账明细接口!$P790=0,"",[2]对账明细接口!$P790),"")</f>
        <v/>
      </c>
      <c r="V790" s="112" t="str">
        <f aca="false">IFERROR(IF([2]对账明细接口!$Q790=0,"",[2]对账明细接口!$Q790),"")</f>
        <v/>
      </c>
      <c r="W790" s="10" t="str">
        <f aca="false">IFERROR(IF([2]对账明细接口!$R790=0,"",[2]对账明细接口!$R790),"")</f>
        <v/>
      </c>
      <c r="X790" s="10" t="str">
        <f aca="false">IFERROR(IF([2]对账明细接口!$S790=0,"",[2]对账明细接口!$S790),"")</f>
        <v/>
      </c>
      <c r="Y790" s="10" t="str">
        <f aca="false">IFERROR(IF([2]对账明细接口!$T790=0,"",[2]对账明细接口!$T790),"")</f>
        <v/>
      </c>
      <c r="Z790" s="113" t="str">
        <f aca="false">IFERROR(IF([2]对账明细接口!$U790=0,"",[2]对账明细接口!$U790),"")</f>
        <v/>
      </c>
      <c r="AA790" s="113" t="str">
        <f aca="false">IFERROR(IF([2]对账明细接口!$V790=0,"",[2]对账明细接口!$V790),"")</f>
        <v/>
      </c>
      <c r="AB790" s="10" t="str">
        <f aca="false">IFERROR(IF([2]对账明细接口!$W790=0,"",[2]对账明细接口!$W790),"")</f>
        <v/>
      </c>
      <c r="AC790" s="90" t="str">
        <f aca="false">IFERROR(IF([2]对账明细接口!$X791=0,"",[2]对账明细接口!$X791),"")</f>
        <v/>
      </c>
      <c r="AD790" s="90" t="str">
        <f aca="false">IFERROR(IF([2]对账明细接口!$Y791=0,"",[2]对账明细接口!$Y791),"")</f>
        <v/>
      </c>
      <c r="AE790" s="90" t="str">
        <f aca="false">IFERROR(IF([2]对账明细接口!$AA791=0,"",[2]对账明细接口!$AA791),"")</f>
        <v/>
      </c>
      <c r="AF790" s="90" t="str">
        <f aca="false">IFERROR(IF([2]对账明细接口!$AB791=0,"",[2]对账明细接口!$AB791),"")</f>
        <v/>
      </c>
      <c r="AG790" s="90" t="str">
        <f aca="false">IFERROR(IF([2]对账明细接口!$AC791=0,"",[2]对账明细接口!$AC791),"")</f>
        <v/>
      </c>
      <c r="AH790" s="90" t="str">
        <f aca="false">IFERROR(IF([2]对账明细接口!$AD791=0,"",[2]对账明细接口!$AD791),"")</f>
        <v/>
      </c>
    </row>
    <row r="791" customFormat="false" ht="13.5" hidden="false" customHeight="false" outlineLevel="0" collapsed="false">
      <c r="A791" s="109" t="n">
        <v>791</v>
      </c>
      <c r="B791" s="110" t="str">
        <f aca="false">IFERROR(IF([2]对账明细接口!$B$791=0,"",[2]对账明细接口!$B$791),"")</f>
        <v/>
      </c>
      <c r="C791" s="59" t="str">
        <f aca="false">IFERROR(IF([2]对账明细接口!$C$791=0,"",[2]对账明细接口!$C$791),"")</f>
        <v/>
      </c>
      <c r="D791" s="59" t="str">
        <f aca="false">IFERROR(IF([2]对账明细接口!$D$791=0,"",[2]对账明细接口!$D$791),"")</f>
        <v/>
      </c>
      <c r="E791" s="59" t="str">
        <f aca="false">IFERROR(IF([2]对账明细接口!$E$791=0,"",[2]对账明细接口!$E$791),"")</f>
        <v/>
      </c>
      <c r="F791" s="59" t="str">
        <f aca="false">IFERROR(IF([2]对账明细接口!$F$791=0,"",[2]对账明细接口!$F$791),"")</f>
        <v/>
      </c>
      <c r="G791" s="59" t="str">
        <f aca="false">IFERROR(IF([2]对账明细接口!$G$791=0,"",[2]对账明细接口!$G$791),"")</f>
        <v/>
      </c>
      <c r="H791" s="60" t="str">
        <f aca="false">IFERROR(IF([2]对账明细接口!$H$791=0,"",[2]对账明细接口!$H$791),"")</f>
        <v/>
      </c>
      <c r="I791" s="59" t="str">
        <f aca="false">IFERROR(IF([2]对账明细接口!$I$791=0,"",[2]对账明细接口!$I$791),"")</f>
        <v/>
      </c>
      <c r="J791" s="61" t="str">
        <f aca="false">IFERROR(IF([2]对账明细接口!$J$791=0,"",[2]对账明细接口!$J$791),"")</f>
        <v/>
      </c>
      <c r="K791" s="61" t="str">
        <f aca="false">IFERROR(IF([2]对账明细接口!$K$791=0,"",[2]对账明细接口!$K$791),"")</f>
        <v/>
      </c>
      <c r="L791" s="59" t="str">
        <f aca="false">IFERROR(IF([2]对账明细接口!$L$791=0,"",[2]对账明细接口!$L$791),"")</f>
        <v/>
      </c>
      <c r="M791" s="59" t="str">
        <f aca="false">IFERROR(IF([2]对账明细接口!$M$791=0,"",[2]对账明细接口!$M$791),"")</f>
        <v/>
      </c>
      <c r="N791" s="111" t="n">
        <f aca="false">IF($C791="",0,1)</f>
        <v>0</v>
      </c>
      <c r="O791" s="111" t="n">
        <f aca="false">N(O790)+$N791</f>
        <v>311</v>
      </c>
      <c r="S791" s="10" t="str">
        <f aca="false">IFERROR(IF([2]对账明细接口!$N791=0,"",[2]对账明细接口!$N791),"")</f>
        <v/>
      </c>
      <c r="T791" s="112" t="str">
        <f aca="false">IFERROR(IF([2]对账明细接口!$O791=0,"",[2]对账明细接口!$O791),"")</f>
        <v/>
      </c>
      <c r="U791" s="112" t="str">
        <f aca="false">IFERROR(IF([2]对账明细接口!$P791=0,"",[2]对账明细接口!$P791),"")</f>
        <v/>
      </c>
      <c r="V791" s="112" t="str">
        <f aca="false">IFERROR(IF([2]对账明细接口!$Q791=0,"",[2]对账明细接口!$Q791),"")</f>
        <v/>
      </c>
      <c r="W791" s="10" t="str">
        <f aca="false">IFERROR(IF([2]对账明细接口!$R791=0,"",[2]对账明细接口!$R791),"")</f>
        <v/>
      </c>
      <c r="X791" s="10" t="str">
        <f aca="false">IFERROR(IF([2]对账明细接口!$S791=0,"",[2]对账明细接口!$S791),"")</f>
        <v/>
      </c>
      <c r="Y791" s="10" t="str">
        <f aca="false">IFERROR(IF([2]对账明细接口!$T791=0,"",[2]对账明细接口!$T791),"")</f>
        <v/>
      </c>
      <c r="Z791" s="113" t="str">
        <f aca="false">IFERROR(IF([2]对账明细接口!$U791=0,"",[2]对账明细接口!$U791),"")</f>
        <v/>
      </c>
      <c r="AA791" s="113" t="str">
        <f aca="false">IFERROR(IF([2]对账明细接口!$V791=0,"",[2]对账明细接口!$V791),"")</f>
        <v/>
      </c>
      <c r="AB791" s="10" t="str">
        <f aca="false">IFERROR(IF([2]对账明细接口!$W791=0,"",[2]对账明细接口!$W791),"")</f>
        <v/>
      </c>
      <c r="AC791" s="90" t="str">
        <f aca="false">IFERROR(IF([2]对账明细接口!$X792=0,"",[2]对账明细接口!$X792),"")</f>
        <v/>
      </c>
      <c r="AD791" s="90" t="str">
        <f aca="false">IFERROR(IF([2]对账明细接口!$Y792=0,"",[2]对账明细接口!$Y792),"")</f>
        <v/>
      </c>
      <c r="AE791" s="90" t="str">
        <f aca="false">IFERROR(IF([2]对账明细接口!$AA792=0,"",[2]对账明细接口!$AA792),"")</f>
        <v/>
      </c>
      <c r="AF791" s="90" t="str">
        <f aca="false">IFERROR(IF([2]对账明细接口!$AB792=0,"",[2]对账明细接口!$AB792),"")</f>
        <v/>
      </c>
      <c r="AG791" s="90" t="str">
        <f aca="false">IFERROR(IF([2]对账明细接口!$AC792=0,"",[2]对账明细接口!$AC792),"")</f>
        <v/>
      </c>
      <c r="AH791" s="90" t="str">
        <f aca="false">IFERROR(IF([2]对账明细接口!$AD792=0,"",[2]对账明细接口!$AD792),"")</f>
        <v/>
      </c>
    </row>
    <row r="792" customFormat="false" ht="13.5" hidden="false" customHeight="false" outlineLevel="0" collapsed="false">
      <c r="A792" s="109" t="n">
        <v>792</v>
      </c>
      <c r="B792" s="110" t="str">
        <f aca="false">IFERROR(IF([2]对账明细接口!$B$792=0,"",[2]对账明细接口!$B$792),"")</f>
        <v/>
      </c>
      <c r="C792" s="59" t="str">
        <f aca="false">IFERROR(IF([2]对账明细接口!$C$792=0,"",[2]对账明细接口!$C$792),"")</f>
        <v/>
      </c>
      <c r="D792" s="59" t="str">
        <f aca="false">IFERROR(IF([2]对账明细接口!$D$792=0,"",[2]对账明细接口!$D$792),"")</f>
        <v/>
      </c>
      <c r="E792" s="59" t="str">
        <f aca="false">IFERROR(IF([2]对账明细接口!$E$792=0,"",[2]对账明细接口!$E$792),"")</f>
        <v/>
      </c>
      <c r="F792" s="59" t="str">
        <f aca="false">IFERROR(IF([2]对账明细接口!$F$792=0,"",[2]对账明细接口!$F$792),"")</f>
        <v/>
      </c>
      <c r="G792" s="59" t="str">
        <f aca="false">IFERROR(IF([2]对账明细接口!$G$792=0,"",[2]对账明细接口!$G$792),"")</f>
        <v/>
      </c>
      <c r="H792" s="60" t="str">
        <f aca="false">IFERROR(IF([2]对账明细接口!$H$792=0,"",[2]对账明细接口!$H$792),"")</f>
        <v/>
      </c>
      <c r="I792" s="59" t="str">
        <f aca="false">IFERROR(IF([2]对账明细接口!$I$792=0,"",[2]对账明细接口!$I$792),"")</f>
        <v/>
      </c>
      <c r="J792" s="61" t="str">
        <f aca="false">IFERROR(IF([2]对账明细接口!$J$792=0,"",[2]对账明细接口!$J$792),"")</f>
        <v/>
      </c>
      <c r="K792" s="61" t="str">
        <f aca="false">IFERROR(IF([2]对账明细接口!$K$792=0,"",[2]对账明细接口!$K$792),"")</f>
        <v/>
      </c>
      <c r="L792" s="59" t="str">
        <f aca="false">IFERROR(IF([2]对账明细接口!$L$792=0,"",[2]对账明细接口!$L$792),"")</f>
        <v/>
      </c>
      <c r="M792" s="59" t="str">
        <f aca="false">IFERROR(IF([2]对账明细接口!$M$792=0,"",[2]对账明细接口!$M$792),"")</f>
        <v/>
      </c>
      <c r="N792" s="111" t="n">
        <f aca="false">IF($C792="",0,1)</f>
        <v>0</v>
      </c>
      <c r="O792" s="111" t="n">
        <f aca="false">N(O791)+$N792</f>
        <v>311</v>
      </c>
      <c r="S792" s="10" t="str">
        <f aca="false">IFERROR(IF([2]对账明细接口!$N792=0,"",[2]对账明细接口!$N792),"")</f>
        <v/>
      </c>
      <c r="T792" s="112" t="str">
        <f aca="false">IFERROR(IF([2]对账明细接口!$O792=0,"",[2]对账明细接口!$O792),"")</f>
        <v/>
      </c>
      <c r="U792" s="112" t="str">
        <f aca="false">IFERROR(IF([2]对账明细接口!$P792=0,"",[2]对账明细接口!$P792),"")</f>
        <v/>
      </c>
      <c r="V792" s="112" t="str">
        <f aca="false">IFERROR(IF([2]对账明细接口!$Q792=0,"",[2]对账明细接口!$Q792),"")</f>
        <v/>
      </c>
      <c r="W792" s="10" t="str">
        <f aca="false">IFERROR(IF([2]对账明细接口!$R792=0,"",[2]对账明细接口!$R792),"")</f>
        <v/>
      </c>
      <c r="X792" s="10" t="str">
        <f aca="false">IFERROR(IF([2]对账明细接口!$S792=0,"",[2]对账明细接口!$S792),"")</f>
        <v/>
      </c>
      <c r="Y792" s="10" t="str">
        <f aca="false">IFERROR(IF([2]对账明细接口!$T792=0,"",[2]对账明细接口!$T792),"")</f>
        <v/>
      </c>
      <c r="Z792" s="113" t="str">
        <f aca="false">IFERROR(IF([2]对账明细接口!$U792=0,"",[2]对账明细接口!$U792),"")</f>
        <v/>
      </c>
      <c r="AA792" s="113" t="str">
        <f aca="false">IFERROR(IF([2]对账明细接口!$V792=0,"",[2]对账明细接口!$V792),"")</f>
        <v/>
      </c>
      <c r="AB792" s="10" t="str">
        <f aca="false">IFERROR(IF([2]对账明细接口!$W792=0,"",[2]对账明细接口!$W792),"")</f>
        <v/>
      </c>
      <c r="AC792" s="90" t="str">
        <f aca="false">IFERROR(IF([2]对账明细接口!$X793=0,"",[2]对账明细接口!$X793),"")</f>
        <v/>
      </c>
      <c r="AD792" s="90" t="str">
        <f aca="false">IFERROR(IF([2]对账明细接口!$Y793=0,"",[2]对账明细接口!$Y793),"")</f>
        <v/>
      </c>
      <c r="AE792" s="90" t="str">
        <f aca="false">IFERROR(IF([2]对账明细接口!$AA793=0,"",[2]对账明细接口!$AA793),"")</f>
        <v/>
      </c>
      <c r="AF792" s="90" t="str">
        <f aca="false">IFERROR(IF([2]对账明细接口!$AB793=0,"",[2]对账明细接口!$AB793),"")</f>
        <v/>
      </c>
      <c r="AG792" s="90" t="str">
        <f aca="false">IFERROR(IF([2]对账明细接口!$AC793=0,"",[2]对账明细接口!$AC793),"")</f>
        <v/>
      </c>
      <c r="AH792" s="90" t="str">
        <f aca="false">IFERROR(IF([2]对账明细接口!$AD793=0,"",[2]对账明细接口!$AD793),"")</f>
        <v/>
      </c>
    </row>
    <row r="793" customFormat="false" ht="13.5" hidden="false" customHeight="false" outlineLevel="0" collapsed="false">
      <c r="A793" s="109" t="n">
        <v>793</v>
      </c>
      <c r="B793" s="110" t="str">
        <f aca="false">IFERROR(IF([2]对账明细接口!$B$793=0,"",[2]对账明细接口!$B$793),"")</f>
        <v/>
      </c>
      <c r="C793" s="59" t="str">
        <f aca="false">IFERROR(IF([2]对账明细接口!$C$793=0,"",[2]对账明细接口!$C$793),"")</f>
        <v/>
      </c>
      <c r="D793" s="59" t="str">
        <f aca="false">IFERROR(IF([2]对账明细接口!$D$793=0,"",[2]对账明细接口!$D$793),"")</f>
        <v/>
      </c>
      <c r="E793" s="59" t="str">
        <f aca="false">IFERROR(IF([2]对账明细接口!$E$793=0,"",[2]对账明细接口!$E$793),"")</f>
        <v/>
      </c>
      <c r="F793" s="59" t="str">
        <f aca="false">IFERROR(IF([2]对账明细接口!$F$793=0,"",[2]对账明细接口!$F$793),"")</f>
        <v/>
      </c>
      <c r="G793" s="59" t="str">
        <f aca="false">IFERROR(IF([2]对账明细接口!$G$793=0,"",[2]对账明细接口!$G$793),"")</f>
        <v/>
      </c>
      <c r="H793" s="60" t="str">
        <f aca="false">IFERROR(IF([2]对账明细接口!$H$793=0,"",[2]对账明细接口!$H$793),"")</f>
        <v/>
      </c>
      <c r="I793" s="59" t="str">
        <f aca="false">IFERROR(IF([2]对账明细接口!$I$793=0,"",[2]对账明细接口!$I$793),"")</f>
        <v/>
      </c>
      <c r="J793" s="61" t="str">
        <f aca="false">IFERROR(IF([2]对账明细接口!$J$793=0,"",[2]对账明细接口!$J$793),"")</f>
        <v/>
      </c>
      <c r="K793" s="61" t="str">
        <f aca="false">IFERROR(IF([2]对账明细接口!$K$793=0,"",[2]对账明细接口!$K$793),"")</f>
        <v/>
      </c>
      <c r="L793" s="59" t="str">
        <f aca="false">IFERROR(IF([2]对账明细接口!$L$793=0,"",[2]对账明细接口!$L$793),"")</f>
        <v/>
      </c>
      <c r="M793" s="59" t="str">
        <f aca="false">IFERROR(IF([2]对账明细接口!$M$793=0,"",[2]对账明细接口!$M$793),"")</f>
        <v/>
      </c>
      <c r="N793" s="111" t="n">
        <f aca="false">IF($C793="",0,1)</f>
        <v>0</v>
      </c>
      <c r="O793" s="111" t="n">
        <f aca="false">N(O792)+$N793</f>
        <v>311</v>
      </c>
      <c r="S793" s="10" t="str">
        <f aca="false">IFERROR(IF([2]对账明细接口!$N793=0,"",[2]对账明细接口!$N793),"")</f>
        <v/>
      </c>
      <c r="T793" s="112" t="str">
        <f aca="false">IFERROR(IF([2]对账明细接口!$O793=0,"",[2]对账明细接口!$O793),"")</f>
        <v/>
      </c>
      <c r="U793" s="112" t="str">
        <f aca="false">IFERROR(IF([2]对账明细接口!$P793=0,"",[2]对账明细接口!$P793),"")</f>
        <v/>
      </c>
      <c r="V793" s="112" t="str">
        <f aca="false">IFERROR(IF([2]对账明细接口!$Q793=0,"",[2]对账明细接口!$Q793),"")</f>
        <v/>
      </c>
      <c r="W793" s="10" t="str">
        <f aca="false">IFERROR(IF([2]对账明细接口!$R793=0,"",[2]对账明细接口!$R793),"")</f>
        <v/>
      </c>
      <c r="X793" s="10" t="str">
        <f aca="false">IFERROR(IF([2]对账明细接口!$S793=0,"",[2]对账明细接口!$S793),"")</f>
        <v/>
      </c>
      <c r="Y793" s="10" t="str">
        <f aca="false">IFERROR(IF([2]对账明细接口!$T793=0,"",[2]对账明细接口!$T793),"")</f>
        <v/>
      </c>
      <c r="Z793" s="113" t="str">
        <f aca="false">IFERROR(IF([2]对账明细接口!$U793=0,"",[2]对账明细接口!$U793),"")</f>
        <v/>
      </c>
      <c r="AA793" s="113" t="str">
        <f aca="false">IFERROR(IF([2]对账明细接口!$V793=0,"",[2]对账明细接口!$V793),"")</f>
        <v/>
      </c>
      <c r="AB793" s="10" t="str">
        <f aca="false">IFERROR(IF([2]对账明细接口!$W793=0,"",[2]对账明细接口!$W793),"")</f>
        <v/>
      </c>
      <c r="AC793" s="90" t="str">
        <f aca="false">IFERROR(IF([2]对账明细接口!$X794=0,"",[2]对账明细接口!$X794),"")</f>
        <v/>
      </c>
      <c r="AD793" s="90" t="str">
        <f aca="false">IFERROR(IF([2]对账明细接口!$Y794=0,"",[2]对账明细接口!$Y794),"")</f>
        <v/>
      </c>
      <c r="AE793" s="90" t="str">
        <f aca="false">IFERROR(IF([2]对账明细接口!$AA794=0,"",[2]对账明细接口!$AA794),"")</f>
        <v/>
      </c>
      <c r="AF793" s="90" t="str">
        <f aca="false">IFERROR(IF([2]对账明细接口!$AB794=0,"",[2]对账明细接口!$AB794),"")</f>
        <v/>
      </c>
      <c r="AG793" s="90" t="str">
        <f aca="false">IFERROR(IF([2]对账明细接口!$AC794=0,"",[2]对账明细接口!$AC794),"")</f>
        <v/>
      </c>
      <c r="AH793" s="90" t="str">
        <f aca="false">IFERROR(IF([2]对账明细接口!$AD794=0,"",[2]对账明细接口!$AD794),"")</f>
        <v/>
      </c>
    </row>
    <row r="794" customFormat="false" ht="13.5" hidden="false" customHeight="false" outlineLevel="0" collapsed="false">
      <c r="A794" s="109" t="n">
        <v>794</v>
      </c>
      <c r="B794" s="110" t="str">
        <f aca="false">IFERROR(IF([2]对账明细接口!$B$794=0,"",[2]对账明细接口!$B$794),"")</f>
        <v/>
      </c>
      <c r="C794" s="59" t="str">
        <f aca="false">IFERROR(IF([2]对账明细接口!$C$794=0,"",[2]对账明细接口!$C$794),"")</f>
        <v/>
      </c>
      <c r="D794" s="59" t="str">
        <f aca="false">IFERROR(IF([2]对账明细接口!$D$794=0,"",[2]对账明细接口!$D$794),"")</f>
        <v/>
      </c>
      <c r="E794" s="59" t="str">
        <f aca="false">IFERROR(IF([2]对账明细接口!$E$794=0,"",[2]对账明细接口!$E$794),"")</f>
        <v/>
      </c>
      <c r="F794" s="59" t="str">
        <f aca="false">IFERROR(IF([2]对账明细接口!$F$794=0,"",[2]对账明细接口!$F$794),"")</f>
        <v/>
      </c>
      <c r="G794" s="59" t="str">
        <f aca="false">IFERROR(IF([2]对账明细接口!$G$794=0,"",[2]对账明细接口!$G$794),"")</f>
        <v/>
      </c>
      <c r="H794" s="60" t="str">
        <f aca="false">IFERROR(IF([2]对账明细接口!$H$794=0,"",[2]对账明细接口!$H$794),"")</f>
        <v/>
      </c>
      <c r="I794" s="59" t="str">
        <f aca="false">IFERROR(IF([2]对账明细接口!$I$794=0,"",[2]对账明细接口!$I$794),"")</f>
        <v/>
      </c>
      <c r="J794" s="61" t="str">
        <f aca="false">IFERROR(IF([2]对账明细接口!$J$794=0,"",[2]对账明细接口!$J$794),"")</f>
        <v/>
      </c>
      <c r="K794" s="61" t="str">
        <f aca="false">IFERROR(IF([2]对账明细接口!$K$794=0,"",[2]对账明细接口!$K$794),"")</f>
        <v/>
      </c>
      <c r="L794" s="59" t="str">
        <f aca="false">IFERROR(IF([2]对账明细接口!$L$794=0,"",[2]对账明细接口!$L$794),"")</f>
        <v/>
      </c>
      <c r="M794" s="59" t="str">
        <f aca="false">IFERROR(IF([2]对账明细接口!$M$794=0,"",[2]对账明细接口!$M$794),"")</f>
        <v/>
      </c>
      <c r="N794" s="111" t="n">
        <f aca="false">IF($C794="",0,1)</f>
        <v>0</v>
      </c>
      <c r="O794" s="111" t="n">
        <f aca="false">N(O793)+$N794</f>
        <v>311</v>
      </c>
      <c r="S794" s="10" t="str">
        <f aca="false">IFERROR(IF([2]对账明细接口!$N794=0,"",[2]对账明细接口!$N794),"")</f>
        <v/>
      </c>
      <c r="T794" s="112" t="str">
        <f aca="false">IFERROR(IF([2]对账明细接口!$O794=0,"",[2]对账明细接口!$O794),"")</f>
        <v/>
      </c>
      <c r="U794" s="112" t="str">
        <f aca="false">IFERROR(IF([2]对账明细接口!$P794=0,"",[2]对账明细接口!$P794),"")</f>
        <v/>
      </c>
      <c r="V794" s="112" t="str">
        <f aca="false">IFERROR(IF([2]对账明细接口!$Q794=0,"",[2]对账明细接口!$Q794),"")</f>
        <v/>
      </c>
      <c r="W794" s="10" t="str">
        <f aca="false">IFERROR(IF([2]对账明细接口!$R794=0,"",[2]对账明细接口!$R794),"")</f>
        <v/>
      </c>
      <c r="X794" s="10" t="str">
        <f aca="false">IFERROR(IF([2]对账明细接口!$S794=0,"",[2]对账明细接口!$S794),"")</f>
        <v/>
      </c>
      <c r="Y794" s="10" t="str">
        <f aca="false">IFERROR(IF([2]对账明细接口!$T794=0,"",[2]对账明细接口!$T794),"")</f>
        <v/>
      </c>
      <c r="Z794" s="113" t="str">
        <f aca="false">IFERROR(IF([2]对账明细接口!$U794=0,"",[2]对账明细接口!$U794),"")</f>
        <v/>
      </c>
      <c r="AA794" s="113" t="str">
        <f aca="false">IFERROR(IF([2]对账明细接口!$V794=0,"",[2]对账明细接口!$V794),"")</f>
        <v/>
      </c>
      <c r="AB794" s="10" t="str">
        <f aca="false">IFERROR(IF([2]对账明细接口!$W794=0,"",[2]对账明细接口!$W794),"")</f>
        <v/>
      </c>
      <c r="AC794" s="90" t="str">
        <f aca="false">IFERROR(IF([2]对账明细接口!$X795=0,"",[2]对账明细接口!$X795),"")</f>
        <v/>
      </c>
      <c r="AD794" s="90" t="str">
        <f aca="false">IFERROR(IF([2]对账明细接口!$Y795=0,"",[2]对账明细接口!$Y795),"")</f>
        <v/>
      </c>
      <c r="AE794" s="90" t="str">
        <f aca="false">IFERROR(IF([2]对账明细接口!$AA795=0,"",[2]对账明细接口!$AA795),"")</f>
        <v/>
      </c>
      <c r="AF794" s="90" t="str">
        <f aca="false">IFERROR(IF([2]对账明细接口!$AB795=0,"",[2]对账明细接口!$AB795),"")</f>
        <v/>
      </c>
      <c r="AG794" s="90" t="str">
        <f aca="false">IFERROR(IF([2]对账明细接口!$AC795=0,"",[2]对账明细接口!$AC795),"")</f>
        <v/>
      </c>
      <c r="AH794" s="90" t="str">
        <f aca="false">IFERROR(IF([2]对账明细接口!$AD795=0,"",[2]对账明细接口!$AD795),"")</f>
        <v/>
      </c>
    </row>
    <row r="795" customFormat="false" ht="13.5" hidden="false" customHeight="false" outlineLevel="0" collapsed="false">
      <c r="A795" s="109" t="n">
        <v>795</v>
      </c>
      <c r="B795" s="110" t="str">
        <f aca="false">IFERROR(IF([2]对账明细接口!$B$795=0,"",[2]对账明细接口!$B$795),"")</f>
        <v/>
      </c>
      <c r="C795" s="59" t="str">
        <f aca="false">IFERROR(IF([2]对账明细接口!$C$795=0,"",[2]对账明细接口!$C$795),"")</f>
        <v/>
      </c>
      <c r="D795" s="59" t="str">
        <f aca="false">IFERROR(IF([2]对账明细接口!$D$795=0,"",[2]对账明细接口!$D$795),"")</f>
        <v/>
      </c>
      <c r="E795" s="59" t="str">
        <f aca="false">IFERROR(IF([2]对账明细接口!$E$795=0,"",[2]对账明细接口!$E$795),"")</f>
        <v/>
      </c>
      <c r="F795" s="59" t="str">
        <f aca="false">IFERROR(IF([2]对账明细接口!$F$795=0,"",[2]对账明细接口!$F$795),"")</f>
        <v/>
      </c>
      <c r="G795" s="59" t="str">
        <f aca="false">IFERROR(IF([2]对账明细接口!$G$795=0,"",[2]对账明细接口!$G$795),"")</f>
        <v/>
      </c>
      <c r="H795" s="60" t="str">
        <f aca="false">IFERROR(IF([2]对账明细接口!$H$795=0,"",[2]对账明细接口!$H$795),"")</f>
        <v/>
      </c>
      <c r="I795" s="59" t="str">
        <f aca="false">IFERROR(IF([2]对账明细接口!$I$795=0,"",[2]对账明细接口!$I$795),"")</f>
        <v/>
      </c>
      <c r="J795" s="61" t="str">
        <f aca="false">IFERROR(IF([2]对账明细接口!$J$795=0,"",[2]对账明细接口!$J$795),"")</f>
        <v/>
      </c>
      <c r="K795" s="61" t="str">
        <f aca="false">IFERROR(IF([2]对账明细接口!$K$795=0,"",[2]对账明细接口!$K$795),"")</f>
        <v/>
      </c>
      <c r="L795" s="59" t="str">
        <f aca="false">IFERROR(IF([2]对账明细接口!$L$795=0,"",[2]对账明细接口!$L$795),"")</f>
        <v/>
      </c>
      <c r="M795" s="59" t="str">
        <f aca="false">IFERROR(IF([2]对账明细接口!$M$795=0,"",[2]对账明细接口!$M$795),"")</f>
        <v/>
      </c>
      <c r="N795" s="111" t="n">
        <f aca="false">IF($C795="",0,1)</f>
        <v>0</v>
      </c>
      <c r="O795" s="111" t="n">
        <f aca="false">N(O794)+$N795</f>
        <v>311</v>
      </c>
      <c r="S795" s="10" t="str">
        <f aca="false">IFERROR(IF([2]对账明细接口!$N795=0,"",[2]对账明细接口!$N795),"")</f>
        <v/>
      </c>
      <c r="T795" s="112" t="str">
        <f aca="false">IFERROR(IF([2]对账明细接口!$O795=0,"",[2]对账明细接口!$O795),"")</f>
        <v/>
      </c>
      <c r="U795" s="112" t="str">
        <f aca="false">IFERROR(IF([2]对账明细接口!$P795=0,"",[2]对账明细接口!$P795),"")</f>
        <v/>
      </c>
      <c r="V795" s="112" t="str">
        <f aca="false">IFERROR(IF([2]对账明细接口!$Q795=0,"",[2]对账明细接口!$Q795),"")</f>
        <v/>
      </c>
      <c r="W795" s="10" t="str">
        <f aca="false">IFERROR(IF([2]对账明细接口!$R795=0,"",[2]对账明细接口!$R795),"")</f>
        <v/>
      </c>
      <c r="X795" s="10" t="str">
        <f aca="false">IFERROR(IF([2]对账明细接口!$S795=0,"",[2]对账明细接口!$S795),"")</f>
        <v/>
      </c>
      <c r="Y795" s="10" t="str">
        <f aca="false">IFERROR(IF([2]对账明细接口!$T795=0,"",[2]对账明细接口!$T795),"")</f>
        <v/>
      </c>
      <c r="Z795" s="113" t="str">
        <f aca="false">IFERROR(IF([2]对账明细接口!$U795=0,"",[2]对账明细接口!$U795),"")</f>
        <v/>
      </c>
      <c r="AA795" s="113" t="str">
        <f aca="false">IFERROR(IF([2]对账明细接口!$V795=0,"",[2]对账明细接口!$V795),"")</f>
        <v/>
      </c>
      <c r="AB795" s="10" t="str">
        <f aca="false">IFERROR(IF([2]对账明细接口!$W795=0,"",[2]对账明细接口!$W795),"")</f>
        <v/>
      </c>
      <c r="AC795" s="90" t="str">
        <f aca="false">IFERROR(IF([2]对账明细接口!$X796=0,"",[2]对账明细接口!$X796),"")</f>
        <v/>
      </c>
      <c r="AD795" s="90" t="str">
        <f aca="false">IFERROR(IF([2]对账明细接口!$Y796=0,"",[2]对账明细接口!$Y796),"")</f>
        <v/>
      </c>
      <c r="AE795" s="90" t="str">
        <f aca="false">IFERROR(IF([2]对账明细接口!$AA796=0,"",[2]对账明细接口!$AA796),"")</f>
        <v/>
      </c>
      <c r="AF795" s="90" t="str">
        <f aca="false">IFERROR(IF([2]对账明细接口!$AB796=0,"",[2]对账明细接口!$AB796),"")</f>
        <v/>
      </c>
      <c r="AG795" s="90" t="str">
        <f aca="false">IFERROR(IF([2]对账明细接口!$AC796=0,"",[2]对账明细接口!$AC796),"")</f>
        <v/>
      </c>
      <c r="AH795" s="90" t="str">
        <f aca="false">IFERROR(IF([2]对账明细接口!$AD796=0,"",[2]对账明细接口!$AD796),"")</f>
        <v/>
      </c>
    </row>
    <row r="796" customFormat="false" ht="13.5" hidden="false" customHeight="false" outlineLevel="0" collapsed="false">
      <c r="A796" s="109" t="n">
        <v>796</v>
      </c>
      <c r="B796" s="110" t="str">
        <f aca="false">IFERROR(IF([2]对账明细接口!$B$796=0,"",[2]对账明细接口!$B$796),"")</f>
        <v/>
      </c>
      <c r="C796" s="59" t="str">
        <f aca="false">IFERROR(IF([2]对账明细接口!$C$796=0,"",[2]对账明细接口!$C$796),"")</f>
        <v/>
      </c>
      <c r="D796" s="59" t="str">
        <f aca="false">IFERROR(IF([2]对账明细接口!$D$796=0,"",[2]对账明细接口!$D$796),"")</f>
        <v/>
      </c>
      <c r="E796" s="59" t="str">
        <f aca="false">IFERROR(IF([2]对账明细接口!$E$796=0,"",[2]对账明细接口!$E$796),"")</f>
        <v/>
      </c>
      <c r="F796" s="59" t="str">
        <f aca="false">IFERROR(IF([2]对账明细接口!$F$796=0,"",[2]对账明细接口!$F$796),"")</f>
        <v/>
      </c>
      <c r="G796" s="59" t="str">
        <f aca="false">IFERROR(IF([2]对账明细接口!$G$796=0,"",[2]对账明细接口!$G$796),"")</f>
        <v/>
      </c>
      <c r="H796" s="60" t="str">
        <f aca="false">IFERROR(IF([2]对账明细接口!$H$796=0,"",[2]对账明细接口!$H$796),"")</f>
        <v/>
      </c>
      <c r="I796" s="59" t="str">
        <f aca="false">IFERROR(IF([2]对账明细接口!$I$796=0,"",[2]对账明细接口!$I$796),"")</f>
        <v/>
      </c>
      <c r="J796" s="61" t="str">
        <f aca="false">IFERROR(IF([2]对账明细接口!$J$796=0,"",[2]对账明细接口!$J$796),"")</f>
        <v/>
      </c>
      <c r="K796" s="61" t="str">
        <f aca="false">IFERROR(IF([2]对账明细接口!$K$796=0,"",[2]对账明细接口!$K$796),"")</f>
        <v/>
      </c>
      <c r="L796" s="59" t="str">
        <f aca="false">IFERROR(IF([2]对账明细接口!$L$796=0,"",[2]对账明细接口!$L$796),"")</f>
        <v/>
      </c>
      <c r="M796" s="59" t="str">
        <f aca="false">IFERROR(IF([2]对账明细接口!$M$796=0,"",[2]对账明细接口!$M$796),"")</f>
        <v/>
      </c>
      <c r="N796" s="111" t="n">
        <f aca="false">IF($C796="",0,1)</f>
        <v>0</v>
      </c>
      <c r="O796" s="111" t="n">
        <f aca="false">N(O795)+$N796</f>
        <v>311</v>
      </c>
      <c r="S796" s="10" t="str">
        <f aca="false">IFERROR(IF([2]对账明细接口!$N796=0,"",[2]对账明细接口!$N796),"")</f>
        <v/>
      </c>
      <c r="T796" s="112" t="str">
        <f aca="false">IFERROR(IF([2]对账明细接口!$O796=0,"",[2]对账明细接口!$O796),"")</f>
        <v/>
      </c>
      <c r="U796" s="112" t="str">
        <f aca="false">IFERROR(IF([2]对账明细接口!$P796=0,"",[2]对账明细接口!$P796),"")</f>
        <v/>
      </c>
      <c r="V796" s="112" t="str">
        <f aca="false">IFERROR(IF([2]对账明细接口!$Q796=0,"",[2]对账明细接口!$Q796),"")</f>
        <v/>
      </c>
      <c r="W796" s="10" t="str">
        <f aca="false">IFERROR(IF([2]对账明细接口!$R796=0,"",[2]对账明细接口!$R796),"")</f>
        <v/>
      </c>
      <c r="X796" s="10" t="str">
        <f aca="false">IFERROR(IF([2]对账明细接口!$S796=0,"",[2]对账明细接口!$S796),"")</f>
        <v/>
      </c>
      <c r="Y796" s="10" t="str">
        <f aca="false">IFERROR(IF([2]对账明细接口!$T796=0,"",[2]对账明细接口!$T796),"")</f>
        <v/>
      </c>
      <c r="Z796" s="113" t="str">
        <f aca="false">IFERROR(IF([2]对账明细接口!$U796=0,"",[2]对账明细接口!$U796),"")</f>
        <v/>
      </c>
      <c r="AA796" s="113" t="str">
        <f aca="false">IFERROR(IF([2]对账明细接口!$V796=0,"",[2]对账明细接口!$V796),"")</f>
        <v/>
      </c>
      <c r="AB796" s="10" t="str">
        <f aca="false">IFERROR(IF([2]对账明细接口!$W796=0,"",[2]对账明细接口!$W796),"")</f>
        <v/>
      </c>
      <c r="AC796" s="90" t="str">
        <f aca="false">IFERROR(IF([2]对账明细接口!$X797=0,"",[2]对账明细接口!$X797),"")</f>
        <v/>
      </c>
      <c r="AD796" s="90" t="str">
        <f aca="false">IFERROR(IF([2]对账明细接口!$Y797=0,"",[2]对账明细接口!$Y797),"")</f>
        <v/>
      </c>
      <c r="AE796" s="90" t="str">
        <f aca="false">IFERROR(IF([2]对账明细接口!$AA797=0,"",[2]对账明细接口!$AA797),"")</f>
        <v/>
      </c>
      <c r="AF796" s="90" t="str">
        <f aca="false">IFERROR(IF([2]对账明细接口!$AB797=0,"",[2]对账明细接口!$AB797),"")</f>
        <v/>
      </c>
      <c r="AG796" s="90" t="str">
        <f aca="false">IFERROR(IF([2]对账明细接口!$AC797=0,"",[2]对账明细接口!$AC797),"")</f>
        <v/>
      </c>
      <c r="AH796" s="90" t="str">
        <f aca="false">IFERROR(IF([2]对账明细接口!$AD797=0,"",[2]对账明细接口!$AD797),"")</f>
        <v/>
      </c>
    </row>
    <row r="797" customFormat="false" ht="13.5" hidden="false" customHeight="false" outlineLevel="0" collapsed="false">
      <c r="A797" s="109" t="n">
        <v>797</v>
      </c>
      <c r="B797" s="110" t="str">
        <f aca="false">IFERROR(IF([2]对账明细接口!$B$797=0,"",[2]对账明细接口!$B$797),"")</f>
        <v/>
      </c>
      <c r="C797" s="59" t="str">
        <f aca="false">IFERROR(IF([2]对账明细接口!$C$797=0,"",[2]对账明细接口!$C$797),"")</f>
        <v/>
      </c>
      <c r="D797" s="59" t="str">
        <f aca="false">IFERROR(IF([2]对账明细接口!$D$797=0,"",[2]对账明细接口!$D$797),"")</f>
        <v/>
      </c>
      <c r="E797" s="59" t="str">
        <f aca="false">IFERROR(IF([2]对账明细接口!$E$797=0,"",[2]对账明细接口!$E$797),"")</f>
        <v/>
      </c>
      <c r="F797" s="59" t="str">
        <f aca="false">IFERROR(IF([2]对账明细接口!$F$797=0,"",[2]对账明细接口!$F$797),"")</f>
        <v/>
      </c>
      <c r="G797" s="59" t="str">
        <f aca="false">IFERROR(IF([2]对账明细接口!$G$797=0,"",[2]对账明细接口!$G$797),"")</f>
        <v/>
      </c>
      <c r="H797" s="60" t="str">
        <f aca="false">IFERROR(IF([2]对账明细接口!$H$797=0,"",[2]对账明细接口!$H$797),"")</f>
        <v/>
      </c>
      <c r="I797" s="59" t="str">
        <f aca="false">IFERROR(IF([2]对账明细接口!$I$797=0,"",[2]对账明细接口!$I$797),"")</f>
        <v/>
      </c>
      <c r="J797" s="61" t="str">
        <f aca="false">IFERROR(IF([2]对账明细接口!$J$797=0,"",[2]对账明细接口!$J$797),"")</f>
        <v/>
      </c>
      <c r="K797" s="61" t="str">
        <f aca="false">IFERROR(IF([2]对账明细接口!$K$797=0,"",[2]对账明细接口!$K$797),"")</f>
        <v/>
      </c>
      <c r="L797" s="59" t="str">
        <f aca="false">IFERROR(IF([2]对账明细接口!$L$797=0,"",[2]对账明细接口!$L$797),"")</f>
        <v/>
      </c>
      <c r="M797" s="59" t="str">
        <f aca="false">IFERROR(IF([2]对账明细接口!$M$797=0,"",[2]对账明细接口!$M$797),"")</f>
        <v/>
      </c>
      <c r="N797" s="111" t="n">
        <f aca="false">IF($C797="",0,1)</f>
        <v>0</v>
      </c>
      <c r="O797" s="111" t="n">
        <f aca="false">N(O796)+$N797</f>
        <v>311</v>
      </c>
      <c r="S797" s="10" t="str">
        <f aca="false">IFERROR(IF([2]对账明细接口!$N797=0,"",[2]对账明细接口!$N797),"")</f>
        <v/>
      </c>
      <c r="T797" s="112" t="str">
        <f aca="false">IFERROR(IF([2]对账明细接口!$O797=0,"",[2]对账明细接口!$O797),"")</f>
        <v/>
      </c>
      <c r="U797" s="112" t="str">
        <f aca="false">IFERROR(IF([2]对账明细接口!$P797=0,"",[2]对账明细接口!$P797),"")</f>
        <v/>
      </c>
      <c r="V797" s="112" t="str">
        <f aca="false">IFERROR(IF([2]对账明细接口!$Q797=0,"",[2]对账明细接口!$Q797),"")</f>
        <v/>
      </c>
      <c r="W797" s="10" t="str">
        <f aca="false">IFERROR(IF([2]对账明细接口!$R797=0,"",[2]对账明细接口!$R797),"")</f>
        <v/>
      </c>
      <c r="X797" s="10" t="str">
        <f aca="false">IFERROR(IF([2]对账明细接口!$S797=0,"",[2]对账明细接口!$S797),"")</f>
        <v/>
      </c>
      <c r="Y797" s="10" t="str">
        <f aca="false">IFERROR(IF([2]对账明细接口!$T797=0,"",[2]对账明细接口!$T797),"")</f>
        <v/>
      </c>
      <c r="Z797" s="113" t="str">
        <f aca="false">IFERROR(IF([2]对账明细接口!$U797=0,"",[2]对账明细接口!$U797),"")</f>
        <v/>
      </c>
      <c r="AA797" s="113" t="str">
        <f aca="false">IFERROR(IF([2]对账明细接口!$V797=0,"",[2]对账明细接口!$V797),"")</f>
        <v/>
      </c>
      <c r="AB797" s="10" t="str">
        <f aca="false">IFERROR(IF([2]对账明细接口!$W797=0,"",[2]对账明细接口!$W797),"")</f>
        <v/>
      </c>
      <c r="AC797" s="90" t="str">
        <f aca="false">IFERROR(IF([2]对账明细接口!$X798=0,"",[2]对账明细接口!$X798),"")</f>
        <v/>
      </c>
      <c r="AD797" s="90" t="str">
        <f aca="false">IFERROR(IF([2]对账明细接口!$Y798=0,"",[2]对账明细接口!$Y798),"")</f>
        <v/>
      </c>
      <c r="AE797" s="90" t="str">
        <f aca="false">IFERROR(IF([2]对账明细接口!$AA798=0,"",[2]对账明细接口!$AA798),"")</f>
        <v/>
      </c>
      <c r="AF797" s="90" t="str">
        <f aca="false">IFERROR(IF([2]对账明细接口!$AB798=0,"",[2]对账明细接口!$AB798),"")</f>
        <v/>
      </c>
      <c r="AG797" s="90" t="str">
        <f aca="false">IFERROR(IF([2]对账明细接口!$AC798=0,"",[2]对账明细接口!$AC798),"")</f>
        <v/>
      </c>
      <c r="AH797" s="90" t="str">
        <f aca="false">IFERROR(IF([2]对账明细接口!$AD798=0,"",[2]对账明细接口!$AD798),"")</f>
        <v/>
      </c>
    </row>
    <row r="798" customFormat="false" ht="13.5" hidden="false" customHeight="false" outlineLevel="0" collapsed="false">
      <c r="A798" s="109" t="n">
        <v>798</v>
      </c>
      <c r="B798" s="110" t="str">
        <f aca="false">IFERROR(IF([2]对账明细接口!$B$798=0,"",[2]对账明细接口!$B$798),"")</f>
        <v/>
      </c>
      <c r="C798" s="59" t="str">
        <f aca="false">IFERROR(IF([2]对账明细接口!$C$798=0,"",[2]对账明细接口!$C$798),"")</f>
        <v/>
      </c>
      <c r="D798" s="59" t="str">
        <f aca="false">IFERROR(IF([2]对账明细接口!$D$798=0,"",[2]对账明细接口!$D$798),"")</f>
        <v/>
      </c>
      <c r="E798" s="59" t="str">
        <f aca="false">IFERROR(IF([2]对账明细接口!$E$798=0,"",[2]对账明细接口!$E$798),"")</f>
        <v/>
      </c>
      <c r="F798" s="59" t="str">
        <f aca="false">IFERROR(IF([2]对账明细接口!$F$798=0,"",[2]对账明细接口!$F$798),"")</f>
        <v/>
      </c>
      <c r="G798" s="59" t="str">
        <f aca="false">IFERROR(IF([2]对账明细接口!$G$798=0,"",[2]对账明细接口!$G$798),"")</f>
        <v/>
      </c>
      <c r="H798" s="60" t="str">
        <f aca="false">IFERROR(IF([2]对账明细接口!$H$798=0,"",[2]对账明细接口!$H$798),"")</f>
        <v/>
      </c>
      <c r="I798" s="59" t="str">
        <f aca="false">IFERROR(IF([2]对账明细接口!$I$798=0,"",[2]对账明细接口!$I$798),"")</f>
        <v/>
      </c>
      <c r="J798" s="61" t="str">
        <f aca="false">IFERROR(IF([2]对账明细接口!$J$798=0,"",[2]对账明细接口!$J$798),"")</f>
        <v/>
      </c>
      <c r="K798" s="61" t="str">
        <f aca="false">IFERROR(IF([2]对账明细接口!$K$798=0,"",[2]对账明细接口!$K$798),"")</f>
        <v/>
      </c>
      <c r="L798" s="59" t="str">
        <f aca="false">IFERROR(IF([2]对账明细接口!$L$798=0,"",[2]对账明细接口!$L$798),"")</f>
        <v/>
      </c>
      <c r="M798" s="59" t="str">
        <f aca="false">IFERROR(IF([2]对账明细接口!$M$798=0,"",[2]对账明细接口!$M$798),"")</f>
        <v/>
      </c>
      <c r="N798" s="111" t="n">
        <f aca="false">IF($C798="",0,1)</f>
        <v>0</v>
      </c>
      <c r="O798" s="111" t="n">
        <f aca="false">N(O797)+$N798</f>
        <v>311</v>
      </c>
      <c r="S798" s="10" t="str">
        <f aca="false">IFERROR(IF([2]对账明细接口!$N798=0,"",[2]对账明细接口!$N798),"")</f>
        <v/>
      </c>
      <c r="T798" s="112" t="str">
        <f aca="false">IFERROR(IF([2]对账明细接口!$O798=0,"",[2]对账明细接口!$O798),"")</f>
        <v/>
      </c>
      <c r="U798" s="112" t="str">
        <f aca="false">IFERROR(IF([2]对账明细接口!$P798=0,"",[2]对账明细接口!$P798),"")</f>
        <v/>
      </c>
      <c r="V798" s="112" t="str">
        <f aca="false">IFERROR(IF([2]对账明细接口!$Q798=0,"",[2]对账明细接口!$Q798),"")</f>
        <v/>
      </c>
      <c r="W798" s="10" t="str">
        <f aca="false">IFERROR(IF([2]对账明细接口!$R798=0,"",[2]对账明细接口!$R798),"")</f>
        <v/>
      </c>
      <c r="X798" s="10" t="str">
        <f aca="false">IFERROR(IF([2]对账明细接口!$S798=0,"",[2]对账明细接口!$S798),"")</f>
        <v/>
      </c>
      <c r="Y798" s="10" t="str">
        <f aca="false">IFERROR(IF([2]对账明细接口!$T798=0,"",[2]对账明细接口!$T798),"")</f>
        <v/>
      </c>
      <c r="Z798" s="113" t="str">
        <f aca="false">IFERROR(IF([2]对账明细接口!$U798=0,"",[2]对账明细接口!$U798),"")</f>
        <v/>
      </c>
      <c r="AA798" s="113" t="str">
        <f aca="false">IFERROR(IF([2]对账明细接口!$V798=0,"",[2]对账明细接口!$V798),"")</f>
        <v/>
      </c>
      <c r="AB798" s="10" t="str">
        <f aca="false">IFERROR(IF([2]对账明细接口!$W798=0,"",[2]对账明细接口!$W798),"")</f>
        <v/>
      </c>
      <c r="AC798" s="90" t="str">
        <f aca="false">IFERROR(IF([2]对账明细接口!$X799=0,"",[2]对账明细接口!$X799),"")</f>
        <v/>
      </c>
      <c r="AD798" s="90" t="str">
        <f aca="false">IFERROR(IF([2]对账明细接口!$Y799=0,"",[2]对账明细接口!$Y799),"")</f>
        <v/>
      </c>
      <c r="AE798" s="90" t="str">
        <f aca="false">IFERROR(IF([2]对账明细接口!$AA799=0,"",[2]对账明细接口!$AA799),"")</f>
        <v/>
      </c>
      <c r="AF798" s="90" t="str">
        <f aca="false">IFERROR(IF([2]对账明细接口!$AB799=0,"",[2]对账明细接口!$AB799),"")</f>
        <v/>
      </c>
      <c r="AG798" s="90" t="str">
        <f aca="false">IFERROR(IF([2]对账明细接口!$AC799=0,"",[2]对账明细接口!$AC799),"")</f>
        <v/>
      </c>
      <c r="AH798" s="90" t="str">
        <f aca="false">IFERROR(IF([2]对账明细接口!$AD799=0,"",[2]对账明细接口!$AD799),"")</f>
        <v/>
      </c>
    </row>
    <row r="799" customFormat="false" ht="13.5" hidden="false" customHeight="false" outlineLevel="0" collapsed="false">
      <c r="A799" s="109" t="n">
        <v>799</v>
      </c>
      <c r="B799" s="110" t="str">
        <f aca="false">IFERROR(IF([2]对账明细接口!$B$799=0,"",[2]对账明细接口!$B$799),"")</f>
        <v/>
      </c>
      <c r="C799" s="59" t="str">
        <f aca="false">IFERROR(IF([2]对账明细接口!$C$799=0,"",[2]对账明细接口!$C$799),"")</f>
        <v/>
      </c>
      <c r="D799" s="59" t="str">
        <f aca="false">IFERROR(IF([2]对账明细接口!$D$799=0,"",[2]对账明细接口!$D$799),"")</f>
        <v/>
      </c>
      <c r="E799" s="59" t="str">
        <f aca="false">IFERROR(IF([2]对账明细接口!$E$799=0,"",[2]对账明细接口!$E$799),"")</f>
        <v/>
      </c>
      <c r="F799" s="59" t="str">
        <f aca="false">IFERROR(IF([2]对账明细接口!$F$799=0,"",[2]对账明细接口!$F$799),"")</f>
        <v/>
      </c>
      <c r="G799" s="59" t="str">
        <f aca="false">IFERROR(IF([2]对账明细接口!$G$799=0,"",[2]对账明细接口!$G$799),"")</f>
        <v/>
      </c>
      <c r="H799" s="60" t="str">
        <f aca="false">IFERROR(IF([2]对账明细接口!$H$799=0,"",[2]对账明细接口!$H$799),"")</f>
        <v/>
      </c>
      <c r="I799" s="59" t="str">
        <f aca="false">IFERROR(IF([2]对账明细接口!$I$799=0,"",[2]对账明细接口!$I$799),"")</f>
        <v/>
      </c>
      <c r="J799" s="61" t="str">
        <f aca="false">IFERROR(IF([2]对账明细接口!$J$799=0,"",[2]对账明细接口!$J$799),"")</f>
        <v/>
      </c>
      <c r="K799" s="61" t="str">
        <f aca="false">IFERROR(IF([2]对账明细接口!$K$799=0,"",[2]对账明细接口!$K$799),"")</f>
        <v/>
      </c>
      <c r="L799" s="59" t="str">
        <f aca="false">IFERROR(IF([2]对账明细接口!$L$799=0,"",[2]对账明细接口!$L$799),"")</f>
        <v/>
      </c>
      <c r="M799" s="59" t="str">
        <f aca="false">IFERROR(IF([2]对账明细接口!$M$799=0,"",[2]对账明细接口!$M$799),"")</f>
        <v/>
      </c>
      <c r="N799" s="111" t="n">
        <f aca="false">IF($C799="",0,1)</f>
        <v>0</v>
      </c>
      <c r="O799" s="111" t="n">
        <f aca="false">N(O798)+$N799</f>
        <v>311</v>
      </c>
      <c r="S799" s="10" t="str">
        <f aca="false">IFERROR(IF([2]对账明细接口!$N799=0,"",[2]对账明细接口!$N799),"")</f>
        <v/>
      </c>
      <c r="T799" s="112" t="str">
        <f aca="false">IFERROR(IF([2]对账明细接口!$O799=0,"",[2]对账明细接口!$O799),"")</f>
        <v/>
      </c>
      <c r="U799" s="112" t="str">
        <f aca="false">IFERROR(IF([2]对账明细接口!$P799=0,"",[2]对账明细接口!$P799),"")</f>
        <v/>
      </c>
      <c r="V799" s="112" t="str">
        <f aca="false">IFERROR(IF([2]对账明细接口!$Q799=0,"",[2]对账明细接口!$Q799),"")</f>
        <v/>
      </c>
      <c r="W799" s="10" t="str">
        <f aca="false">IFERROR(IF([2]对账明细接口!$R799=0,"",[2]对账明细接口!$R799),"")</f>
        <v/>
      </c>
      <c r="X799" s="10" t="str">
        <f aca="false">IFERROR(IF([2]对账明细接口!$S799=0,"",[2]对账明细接口!$S799),"")</f>
        <v/>
      </c>
      <c r="Y799" s="10" t="str">
        <f aca="false">IFERROR(IF([2]对账明细接口!$T799=0,"",[2]对账明细接口!$T799),"")</f>
        <v/>
      </c>
      <c r="Z799" s="113" t="str">
        <f aca="false">IFERROR(IF([2]对账明细接口!$U799=0,"",[2]对账明细接口!$U799),"")</f>
        <v/>
      </c>
      <c r="AA799" s="113" t="str">
        <f aca="false">IFERROR(IF([2]对账明细接口!$V799=0,"",[2]对账明细接口!$V799),"")</f>
        <v/>
      </c>
      <c r="AB799" s="10" t="str">
        <f aca="false">IFERROR(IF([2]对账明细接口!$W799=0,"",[2]对账明细接口!$W799),"")</f>
        <v/>
      </c>
      <c r="AC799" s="90" t="str">
        <f aca="false">IFERROR(IF([2]对账明细接口!$X800=0,"",[2]对账明细接口!$X800),"")</f>
        <v/>
      </c>
      <c r="AD799" s="90" t="str">
        <f aca="false">IFERROR(IF([2]对账明细接口!$Y800=0,"",[2]对账明细接口!$Y800),"")</f>
        <v/>
      </c>
      <c r="AE799" s="90" t="str">
        <f aca="false">IFERROR(IF([2]对账明细接口!$AA800=0,"",[2]对账明细接口!$AA800),"")</f>
        <v/>
      </c>
      <c r="AF799" s="90" t="str">
        <f aca="false">IFERROR(IF([2]对账明细接口!$AB800=0,"",[2]对账明细接口!$AB800),"")</f>
        <v/>
      </c>
      <c r="AG799" s="90" t="str">
        <f aca="false">IFERROR(IF([2]对账明细接口!$AC800=0,"",[2]对账明细接口!$AC800),"")</f>
        <v/>
      </c>
      <c r="AH799" s="90" t="str">
        <f aca="false">IFERROR(IF([2]对账明细接口!$AD800=0,"",[2]对账明细接口!$AD800),"")</f>
        <v/>
      </c>
    </row>
    <row r="800" customFormat="false" ht="13.5" hidden="false" customHeight="false" outlineLevel="0" collapsed="false">
      <c r="A800" s="109" t="n">
        <v>800</v>
      </c>
      <c r="B800" s="110" t="str">
        <f aca="false">IFERROR(IF([2]对账明细接口!$B$800=0,"",[2]对账明细接口!$B$800),"")</f>
        <v/>
      </c>
      <c r="C800" s="59" t="str">
        <f aca="false">IFERROR(IF([2]对账明细接口!$C$800=0,"",[2]对账明细接口!$C$800),"")</f>
        <v/>
      </c>
      <c r="D800" s="59" t="str">
        <f aca="false">IFERROR(IF([2]对账明细接口!$D$800=0,"",[2]对账明细接口!$D$800),"")</f>
        <v/>
      </c>
      <c r="E800" s="59" t="str">
        <f aca="false">IFERROR(IF([2]对账明细接口!$E$800=0,"",[2]对账明细接口!$E$800),"")</f>
        <v/>
      </c>
      <c r="F800" s="59" t="str">
        <f aca="false">IFERROR(IF([2]对账明细接口!$F$800=0,"",[2]对账明细接口!$F$800),"")</f>
        <v/>
      </c>
      <c r="G800" s="59" t="str">
        <f aca="false">IFERROR(IF([2]对账明细接口!$G$800=0,"",[2]对账明细接口!$G$800),"")</f>
        <v/>
      </c>
      <c r="H800" s="60" t="str">
        <f aca="false">IFERROR(IF([2]对账明细接口!$H$800=0,"",[2]对账明细接口!$H$800),"")</f>
        <v/>
      </c>
      <c r="I800" s="59" t="str">
        <f aca="false">IFERROR(IF([2]对账明细接口!$I$800=0,"",[2]对账明细接口!$I$800),"")</f>
        <v/>
      </c>
      <c r="J800" s="61" t="str">
        <f aca="false">IFERROR(IF([2]对账明细接口!$J$800=0,"",[2]对账明细接口!$J$800),"")</f>
        <v/>
      </c>
      <c r="K800" s="61" t="str">
        <f aca="false">IFERROR(IF([2]对账明细接口!$K$800=0,"",[2]对账明细接口!$K$800),"")</f>
        <v/>
      </c>
      <c r="L800" s="59" t="str">
        <f aca="false">IFERROR(IF([2]对账明细接口!$L$800=0,"",[2]对账明细接口!$L$800),"")</f>
        <v/>
      </c>
      <c r="M800" s="59" t="str">
        <f aca="false">IFERROR(IF([2]对账明细接口!$M$800=0,"",[2]对账明细接口!$M$800),"")</f>
        <v/>
      </c>
      <c r="N800" s="111" t="n">
        <f aca="false">IF($C800="",0,1)</f>
        <v>0</v>
      </c>
      <c r="O800" s="111" t="n">
        <f aca="false">N(O799)+$N800</f>
        <v>311</v>
      </c>
      <c r="S800" s="10" t="str">
        <f aca="false">IFERROR(IF([2]对账明细接口!$N800=0,"",[2]对账明细接口!$N800),"")</f>
        <v/>
      </c>
      <c r="T800" s="112" t="str">
        <f aca="false">IFERROR(IF([2]对账明细接口!$O800=0,"",[2]对账明细接口!$O800),"")</f>
        <v/>
      </c>
      <c r="U800" s="112" t="str">
        <f aca="false">IFERROR(IF([2]对账明细接口!$P800=0,"",[2]对账明细接口!$P800),"")</f>
        <v/>
      </c>
      <c r="V800" s="112" t="str">
        <f aca="false">IFERROR(IF([2]对账明细接口!$Q800=0,"",[2]对账明细接口!$Q800),"")</f>
        <v/>
      </c>
      <c r="W800" s="10" t="str">
        <f aca="false">IFERROR(IF([2]对账明细接口!$R800=0,"",[2]对账明细接口!$R800),"")</f>
        <v/>
      </c>
      <c r="X800" s="10" t="str">
        <f aca="false">IFERROR(IF([2]对账明细接口!$S800=0,"",[2]对账明细接口!$S800),"")</f>
        <v/>
      </c>
      <c r="Y800" s="10" t="str">
        <f aca="false">IFERROR(IF([2]对账明细接口!$T800=0,"",[2]对账明细接口!$T800),"")</f>
        <v/>
      </c>
      <c r="Z800" s="113" t="str">
        <f aca="false">IFERROR(IF([2]对账明细接口!$U800=0,"",[2]对账明细接口!$U800),"")</f>
        <v/>
      </c>
      <c r="AA800" s="113" t="str">
        <f aca="false">IFERROR(IF([2]对账明细接口!$V800=0,"",[2]对账明细接口!$V800),"")</f>
        <v/>
      </c>
      <c r="AB800" s="10" t="str">
        <f aca="false">IFERROR(IF([2]对账明细接口!$W800=0,"",[2]对账明细接口!$W800),"")</f>
        <v/>
      </c>
      <c r="AC800" s="90" t="str">
        <f aca="false">IFERROR(IF([2]对账明细接口!$X801=0,"",[2]对账明细接口!$X801),"")</f>
        <v/>
      </c>
      <c r="AD800" s="90" t="str">
        <f aca="false">IFERROR(IF([2]对账明细接口!$Y801=0,"",[2]对账明细接口!$Y801),"")</f>
        <v/>
      </c>
      <c r="AE800" s="90" t="str">
        <f aca="false">IFERROR(IF([2]对账明细接口!$AA801=0,"",[2]对账明细接口!$AA801),"")</f>
        <v/>
      </c>
      <c r="AF800" s="90" t="str">
        <f aca="false">IFERROR(IF([2]对账明细接口!$AB801=0,"",[2]对账明细接口!$AB801),"")</f>
        <v/>
      </c>
      <c r="AG800" s="90" t="str">
        <f aca="false">IFERROR(IF([2]对账明细接口!$AC801=0,"",[2]对账明细接口!$AC801),"")</f>
        <v/>
      </c>
      <c r="AH800" s="90" t="str">
        <f aca="false">IFERROR(IF([2]对账明细接口!$AD801=0,"",[2]对账明细接口!$AD801),"")</f>
        <v/>
      </c>
    </row>
    <row r="801" customFormat="false" ht="13.5" hidden="false" customHeight="false" outlineLevel="0" collapsed="false">
      <c r="A801" s="109" t="n">
        <v>801</v>
      </c>
      <c r="B801" s="110" t="str">
        <f aca="false">IFERROR(IF([2]对账明细接口!$B$801=0,"",[2]对账明细接口!$B$801),"")</f>
        <v/>
      </c>
      <c r="C801" s="59" t="str">
        <f aca="false">IFERROR(IF([2]对账明细接口!$C$801=0,"",[2]对账明细接口!$C$801),"")</f>
        <v/>
      </c>
      <c r="D801" s="59" t="str">
        <f aca="false">IFERROR(IF([2]对账明细接口!$D$801=0,"",[2]对账明细接口!$D$801),"")</f>
        <v/>
      </c>
      <c r="E801" s="59" t="str">
        <f aca="false">IFERROR(IF([2]对账明细接口!$E$801=0,"",[2]对账明细接口!$E$801),"")</f>
        <v/>
      </c>
      <c r="F801" s="59" t="str">
        <f aca="false">IFERROR(IF([2]对账明细接口!$F$801=0,"",[2]对账明细接口!$F$801),"")</f>
        <v/>
      </c>
      <c r="G801" s="59" t="str">
        <f aca="false">IFERROR(IF([2]对账明细接口!$G$801=0,"",[2]对账明细接口!$G$801),"")</f>
        <v/>
      </c>
      <c r="H801" s="60" t="str">
        <f aca="false">IFERROR(IF([2]对账明细接口!$H$801=0,"",[2]对账明细接口!$H$801),"")</f>
        <v/>
      </c>
      <c r="I801" s="59" t="str">
        <f aca="false">IFERROR(IF([2]对账明细接口!$I$801=0,"",[2]对账明细接口!$I$801),"")</f>
        <v/>
      </c>
      <c r="J801" s="61" t="str">
        <f aca="false">IFERROR(IF([2]对账明细接口!$J$801=0,"",[2]对账明细接口!$J$801),"")</f>
        <v/>
      </c>
      <c r="K801" s="61" t="str">
        <f aca="false">IFERROR(IF([2]对账明细接口!$K$801=0,"",[2]对账明细接口!$K$801),"")</f>
        <v/>
      </c>
      <c r="L801" s="59" t="str">
        <f aca="false">IFERROR(IF([2]对账明细接口!$L$801=0,"",[2]对账明细接口!$L$801),"")</f>
        <v/>
      </c>
      <c r="M801" s="59" t="str">
        <f aca="false">IFERROR(IF([2]对账明细接口!$M$801=0,"",[2]对账明细接口!$M$801),"")</f>
        <v/>
      </c>
      <c r="N801" s="111" t="n">
        <f aca="false">IF($C801="",0,1)</f>
        <v>0</v>
      </c>
      <c r="O801" s="111" t="n">
        <f aca="false">N(O800)+$N801</f>
        <v>311</v>
      </c>
      <c r="S801" s="10" t="str">
        <f aca="false">IFERROR(IF([2]对账明细接口!$N801=0,"",[2]对账明细接口!$N801),"")</f>
        <v/>
      </c>
      <c r="T801" s="112" t="str">
        <f aca="false">IFERROR(IF([2]对账明细接口!$O801=0,"",[2]对账明细接口!$O801),"")</f>
        <v/>
      </c>
      <c r="U801" s="112" t="str">
        <f aca="false">IFERROR(IF([2]对账明细接口!$P801=0,"",[2]对账明细接口!$P801),"")</f>
        <v/>
      </c>
      <c r="V801" s="112" t="str">
        <f aca="false">IFERROR(IF([2]对账明细接口!$Q801=0,"",[2]对账明细接口!$Q801),"")</f>
        <v/>
      </c>
      <c r="W801" s="10" t="str">
        <f aca="false">IFERROR(IF([2]对账明细接口!$R801=0,"",[2]对账明细接口!$R801),"")</f>
        <v/>
      </c>
      <c r="X801" s="10" t="str">
        <f aca="false">IFERROR(IF([2]对账明细接口!$S801=0,"",[2]对账明细接口!$S801),"")</f>
        <v/>
      </c>
      <c r="Y801" s="10" t="str">
        <f aca="false">IFERROR(IF([2]对账明细接口!$T801=0,"",[2]对账明细接口!$T801),"")</f>
        <v/>
      </c>
      <c r="Z801" s="113" t="str">
        <f aca="false">IFERROR(IF([2]对账明细接口!$U801=0,"",[2]对账明细接口!$U801),"")</f>
        <v/>
      </c>
      <c r="AA801" s="113" t="str">
        <f aca="false">IFERROR(IF([2]对账明细接口!$V801=0,"",[2]对账明细接口!$V801),"")</f>
        <v/>
      </c>
      <c r="AB801" s="10" t="str">
        <f aca="false">IFERROR(IF([2]对账明细接口!$W801=0,"",[2]对账明细接口!$W801),"")</f>
        <v/>
      </c>
      <c r="AC801" s="90" t="str">
        <f aca="false">IFERROR(IF([2]对账明细接口!$X802=0,"",[2]对账明细接口!$X802),"")</f>
        <v/>
      </c>
      <c r="AD801" s="90" t="str">
        <f aca="false">IFERROR(IF([2]对账明细接口!$Y802=0,"",[2]对账明细接口!$Y802),"")</f>
        <v/>
      </c>
      <c r="AE801" s="90" t="str">
        <f aca="false">IFERROR(IF([2]对账明细接口!$AA802=0,"",[2]对账明细接口!$AA802),"")</f>
        <v/>
      </c>
      <c r="AF801" s="90" t="str">
        <f aca="false">IFERROR(IF([2]对账明细接口!$AB802=0,"",[2]对账明细接口!$AB802),"")</f>
        <v/>
      </c>
      <c r="AG801" s="90" t="str">
        <f aca="false">IFERROR(IF([2]对账明细接口!$AC802=0,"",[2]对账明细接口!$AC802),"")</f>
        <v/>
      </c>
      <c r="AH801" s="90" t="str">
        <f aca="false">IFERROR(IF([2]对账明细接口!$AD802=0,"",[2]对账明细接口!$AD802),"")</f>
        <v/>
      </c>
    </row>
    <row r="802" customFormat="false" ht="13.5" hidden="false" customHeight="false" outlineLevel="0" collapsed="false">
      <c r="A802" s="109" t="n">
        <v>802</v>
      </c>
      <c r="B802" s="110" t="str">
        <f aca="false">IFERROR(IF([2]对账明细接口!$B$802=0,"",[2]对账明细接口!$B$802),"")</f>
        <v/>
      </c>
      <c r="C802" s="59" t="str">
        <f aca="false">IFERROR(IF([2]对账明细接口!$C$802=0,"",[2]对账明细接口!$C$802),"")</f>
        <v/>
      </c>
      <c r="D802" s="59" t="str">
        <f aca="false">IFERROR(IF([2]对账明细接口!$D$802=0,"",[2]对账明细接口!$D$802),"")</f>
        <v/>
      </c>
      <c r="E802" s="59" t="str">
        <f aca="false">IFERROR(IF([2]对账明细接口!$E$802=0,"",[2]对账明细接口!$E$802),"")</f>
        <v/>
      </c>
      <c r="F802" s="59" t="str">
        <f aca="false">IFERROR(IF([2]对账明细接口!$F$802=0,"",[2]对账明细接口!$F$802),"")</f>
        <v/>
      </c>
      <c r="G802" s="59" t="str">
        <f aca="false">IFERROR(IF([2]对账明细接口!$G$802=0,"",[2]对账明细接口!$G$802),"")</f>
        <v/>
      </c>
      <c r="H802" s="60" t="str">
        <f aca="false">IFERROR(IF([2]对账明细接口!$H$802=0,"",[2]对账明细接口!$H$802),"")</f>
        <v/>
      </c>
      <c r="I802" s="59" t="str">
        <f aca="false">IFERROR(IF([2]对账明细接口!$I$802=0,"",[2]对账明细接口!$I$802),"")</f>
        <v/>
      </c>
      <c r="J802" s="61" t="str">
        <f aca="false">IFERROR(IF([2]对账明细接口!$J$802=0,"",[2]对账明细接口!$J$802),"")</f>
        <v/>
      </c>
      <c r="K802" s="61" t="str">
        <f aca="false">IFERROR(IF([2]对账明细接口!$K$802=0,"",[2]对账明细接口!$K$802),"")</f>
        <v/>
      </c>
      <c r="L802" s="59" t="str">
        <f aca="false">IFERROR(IF([2]对账明细接口!$L$802=0,"",[2]对账明细接口!$L$802),"")</f>
        <v/>
      </c>
      <c r="M802" s="59" t="str">
        <f aca="false">IFERROR(IF([2]对账明细接口!$M$802=0,"",[2]对账明细接口!$M$802),"")</f>
        <v/>
      </c>
      <c r="N802" s="111" t="n">
        <f aca="false">IF($C802="",0,1)</f>
        <v>0</v>
      </c>
      <c r="O802" s="111" t="n">
        <f aca="false">N(O801)+$N802</f>
        <v>311</v>
      </c>
      <c r="S802" s="10" t="str">
        <f aca="false">IFERROR(IF([2]对账明细接口!$N802=0,"",[2]对账明细接口!$N802),"")</f>
        <v/>
      </c>
      <c r="T802" s="112" t="str">
        <f aca="false">IFERROR(IF([2]对账明细接口!$O802=0,"",[2]对账明细接口!$O802),"")</f>
        <v/>
      </c>
      <c r="U802" s="112" t="str">
        <f aca="false">IFERROR(IF([2]对账明细接口!$P802=0,"",[2]对账明细接口!$P802),"")</f>
        <v/>
      </c>
      <c r="V802" s="112" t="str">
        <f aca="false">IFERROR(IF([2]对账明细接口!$Q802=0,"",[2]对账明细接口!$Q802),"")</f>
        <v/>
      </c>
      <c r="W802" s="10" t="str">
        <f aca="false">IFERROR(IF([2]对账明细接口!$R802=0,"",[2]对账明细接口!$R802),"")</f>
        <v/>
      </c>
      <c r="X802" s="10" t="str">
        <f aca="false">IFERROR(IF([2]对账明细接口!$S802=0,"",[2]对账明细接口!$S802),"")</f>
        <v/>
      </c>
      <c r="Y802" s="10" t="str">
        <f aca="false">IFERROR(IF([2]对账明细接口!$T802=0,"",[2]对账明细接口!$T802),"")</f>
        <v/>
      </c>
      <c r="Z802" s="113" t="str">
        <f aca="false">IFERROR(IF([2]对账明细接口!$U802=0,"",[2]对账明细接口!$U802),"")</f>
        <v/>
      </c>
      <c r="AA802" s="113" t="str">
        <f aca="false">IFERROR(IF([2]对账明细接口!$V802=0,"",[2]对账明细接口!$V802),"")</f>
        <v/>
      </c>
      <c r="AB802" s="10" t="str">
        <f aca="false">IFERROR(IF([2]对账明细接口!$W802=0,"",[2]对账明细接口!$W802),"")</f>
        <v/>
      </c>
      <c r="AC802" s="90" t="str">
        <f aca="false">IFERROR(IF([2]对账明细接口!$X803=0,"",[2]对账明细接口!$X803),"")</f>
        <v/>
      </c>
      <c r="AD802" s="90" t="str">
        <f aca="false">IFERROR(IF([2]对账明细接口!$Y803=0,"",[2]对账明细接口!$Y803),"")</f>
        <v/>
      </c>
      <c r="AE802" s="90" t="str">
        <f aca="false">IFERROR(IF([2]对账明细接口!$AA803=0,"",[2]对账明细接口!$AA803),"")</f>
        <v/>
      </c>
      <c r="AF802" s="90" t="str">
        <f aca="false">IFERROR(IF([2]对账明细接口!$AB803=0,"",[2]对账明细接口!$AB803),"")</f>
        <v/>
      </c>
      <c r="AG802" s="90" t="str">
        <f aca="false">IFERROR(IF([2]对账明细接口!$AC803=0,"",[2]对账明细接口!$AC803),"")</f>
        <v/>
      </c>
      <c r="AH802" s="90" t="str">
        <f aca="false">IFERROR(IF([2]对账明细接口!$AD803=0,"",[2]对账明细接口!$AD803),"")</f>
        <v/>
      </c>
    </row>
    <row r="803" customFormat="false" ht="13.5" hidden="false" customHeight="false" outlineLevel="0" collapsed="false">
      <c r="A803" s="109" t="n">
        <v>803</v>
      </c>
      <c r="B803" s="110" t="str">
        <f aca="false">IFERROR(IF([2]对账明细接口!$B$803=0,"",[2]对账明细接口!$B$803),"")</f>
        <v/>
      </c>
      <c r="C803" s="59" t="str">
        <f aca="false">IFERROR(IF([2]对账明细接口!$C$803=0,"",[2]对账明细接口!$C$803),"")</f>
        <v/>
      </c>
      <c r="D803" s="59" t="str">
        <f aca="false">IFERROR(IF([2]对账明细接口!$D$803=0,"",[2]对账明细接口!$D$803),"")</f>
        <v/>
      </c>
      <c r="E803" s="59" t="str">
        <f aca="false">IFERROR(IF([2]对账明细接口!$E$803=0,"",[2]对账明细接口!$E$803),"")</f>
        <v/>
      </c>
      <c r="F803" s="59" t="str">
        <f aca="false">IFERROR(IF([2]对账明细接口!$F$803=0,"",[2]对账明细接口!$F$803),"")</f>
        <v/>
      </c>
      <c r="G803" s="59" t="str">
        <f aca="false">IFERROR(IF([2]对账明细接口!$G$803=0,"",[2]对账明细接口!$G$803),"")</f>
        <v/>
      </c>
      <c r="H803" s="60" t="str">
        <f aca="false">IFERROR(IF([2]对账明细接口!$H$803=0,"",[2]对账明细接口!$H$803),"")</f>
        <v/>
      </c>
      <c r="I803" s="59" t="str">
        <f aca="false">IFERROR(IF([2]对账明细接口!$I$803=0,"",[2]对账明细接口!$I$803),"")</f>
        <v/>
      </c>
      <c r="J803" s="61" t="str">
        <f aca="false">IFERROR(IF([2]对账明细接口!$J$803=0,"",[2]对账明细接口!$J$803),"")</f>
        <v/>
      </c>
      <c r="K803" s="61" t="str">
        <f aca="false">IFERROR(IF([2]对账明细接口!$K$803=0,"",[2]对账明细接口!$K$803),"")</f>
        <v/>
      </c>
      <c r="L803" s="59" t="str">
        <f aca="false">IFERROR(IF([2]对账明细接口!$L$803=0,"",[2]对账明细接口!$L$803),"")</f>
        <v/>
      </c>
      <c r="M803" s="59" t="str">
        <f aca="false">IFERROR(IF([2]对账明细接口!$M$803=0,"",[2]对账明细接口!$M$803),"")</f>
        <v/>
      </c>
      <c r="N803" s="111" t="n">
        <f aca="false">IF($C803="",0,1)</f>
        <v>0</v>
      </c>
      <c r="O803" s="111" t="n">
        <f aca="false">N(O802)+$N803</f>
        <v>311</v>
      </c>
      <c r="S803" s="10" t="str">
        <f aca="false">IFERROR(IF([2]对账明细接口!$N803=0,"",[2]对账明细接口!$N803),"")</f>
        <v/>
      </c>
      <c r="T803" s="112" t="str">
        <f aca="false">IFERROR(IF([2]对账明细接口!$O803=0,"",[2]对账明细接口!$O803),"")</f>
        <v/>
      </c>
      <c r="U803" s="112" t="str">
        <f aca="false">IFERROR(IF([2]对账明细接口!$P803=0,"",[2]对账明细接口!$P803),"")</f>
        <v/>
      </c>
      <c r="V803" s="112" t="str">
        <f aca="false">IFERROR(IF([2]对账明细接口!$Q803=0,"",[2]对账明细接口!$Q803),"")</f>
        <v/>
      </c>
      <c r="W803" s="10" t="str">
        <f aca="false">IFERROR(IF([2]对账明细接口!$R803=0,"",[2]对账明细接口!$R803),"")</f>
        <v/>
      </c>
      <c r="X803" s="10" t="str">
        <f aca="false">IFERROR(IF([2]对账明细接口!$S803=0,"",[2]对账明细接口!$S803),"")</f>
        <v/>
      </c>
      <c r="Y803" s="10" t="str">
        <f aca="false">IFERROR(IF([2]对账明细接口!$T803=0,"",[2]对账明细接口!$T803),"")</f>
        <v/>
      </c>
      <c r="Z803" s="113" t="str">
        <f aca="false">IFERROR(IF([2]对账明细接口!$U803=0,"",[2]对账明细接口!$U803),"")</f>
        <v/>
      </c>
      <c r="AA803" s="113" t="str">
        <f aca="false">IFERROR(IF([2]对账明细接口!$V803=0,"",[2]对账明细接口!$V803),"")</f>
        <v/>
      </c>
      <c r="AB803" s="10" t="str">
        <f aca="false">IFERROR(IF([2]对账明细接口!$W803=0,"",[2]对账明细接口!$W803),"")</f>
        <v/>
      </c>
      <c r="AC803" s="90" t="str">
        <f aca="false">IFERROR(IF([2]对账明细接口!$X804=0,"",[2]对账明细接口!$X804),"")</f>
        <v/>
      </c>
      <c r="AD803" s="90" t="str">
        <f aca="false">IFERROR(IF([2]对账明细接口!$Y804=0,"",[2]对账明细接口!$Y804),"")</f>
        <v/>
      </c>
      <c r="AE803" s="90" t="str">
        <f aca="false">IFERROR(IF([2]对账明细接口!$AA804=0,"",[2]对账明细接口!$AA804),"")</f>
        <v/>
      </c>
      <c r="AF803" s="90" t="str">
        <f aca="false">IFERROR(IF([2]对账明细接口!$AB804=0,"",[2]对账明细接口!$AB804),"")</f>
        <v/>
      </c>
      <c r="AG803" s="90" t="str">
        <f aca="false">IFERROR(IF([2]对账明细接口!$AC804=0,"",[2]对账明细接口!$AC804),"")</f>
        <v/>
      </c>
      <c r="AH803" s="90" t="str">
        <f aca="false">IFERROR(IF([2]对账明细接口!$AD804=0,"",[2]对账明细接口!$AD804),"")</f>
        <v/>
      </c>
    </row>
    <row r="804" customFormat="false" ht="13.5" hidden="false" customHeight="false" outlineLevel="0" collapsed="false">
      <c r="A804" s="109" t="n">
        <v>804</v>
      </c>
      <c r="B804" s="110" t="str">
        <f aca="false">IFERROR(IF([2]对账明细接口!$B$804=0,"",[2]对账明细接口!$B$804),"")</f>
        <v/>
      </c>
      <c r="C804" s="59" t="str">
        <f aca="false">IFERROR(IF([2]对账明细接口!$C$804=0,"",[2]对账明细接口!$C$804),"")</f>
        <v/>
      </c>
      <c r="D804" s="59" t="str">
        <f aca="false">IFERROR(IF([2]对账明细接口!$D$804=0,"",[2]对账明细接口!$D$804),"")</f>
        <v/>
      </c>
      <c r="E804" s="59" t="str">
        <f aca="false">IFERROR(IF([2]对账明细接口!$E$804=0,"",[2]对账明细接口!$E$804),"")</f>
        <v/>
      </c>
      <c r="F804" s="59" t="str">
        <f aca="false">IFERROR(IF([2]对账明细接口!$F$804=0,"",[2]对账明细接口!$F$804),"")</f>
        <v/>
      </c>
      <c r="G804" s="59" t="str">
        <f aca="false">IFERROR(IF([2]对账明细接口!$G$804=0,"",[2]对账明细接口!$G$804),"")</f>
        <v/>
      </c>
      <c r="H804" s="60" t="str">
        <f aca="false">IFERROR(IF([2]对账明细接口!$H$804=0,"",[2]对账明细接口!$H$804),"")</f>
        <v/>
      </c>
      <c r="I804" s="59" t="str">
        <f aca="false">IFERROR(IF([2]对账明细接口!$I$804=0,"",[2]对账明细接口!$I$804),"")</f>
        <v/>
      </c>
      <c r="J804" s="61" t="str">
        <f aca="false">IFERROR(IF([2]对账明细接口!$J$804=0,"",[2]对账明细接口!$J$804),"")</f>
        <v/>
      </c>
      <c r="K804" s="61" t="str">
        <f aca="false">IFERROR(IF([2]对账明细接口!$K$804=0,"",[2]对账明细接口!$K$804),"")</f>
        <v/>
      </c>
      <c r="L804" s="59" t="str">
        <f aca="false">IFERROR(IF([2]对账明细接口!$L$804=0,"",[2]对账明细接口!$L$804),"")</f>
        <v/>
      </c>
      <c r="M804" s="59" t="str">
        <f aca="false">IFERROR(IF([2]对账明细接口!$M$804=0,"",[2]对账明细接口!$M$804),"")</f>
        <v/>
      </c>
      <c r="N804" s="111" t="n">
        <f aca="false">IF($C804="",0,1)</f>
        <v>0</v>
      </c>
      <c r="O804" s="111" t="n">
        <f aca="false">N(O803)+$N804</f>
        <v>311</v>
      </c>
      <c r="S804" s="10" t="str">
        <f aca="false">IFERROR(IF([2]对账明细接口!$N804=0,"",[2]对账明细接口!$N804),"")</f>
        <v/>
      </c>
      <c r="T804" s="112" t="str">
        <f aca="false">IFERROR(IF([2]对账明细接口!$O804=0,"",[2]对账明细接口!$O804),"")</f>
        <v/>
      </c>
      <c r="U804" s="112" t="str">
        <f aca="false">IFERROR(IF([2]对账明细接口!$P804=0,"",[2]对账明细接口!$P804),"")</f>
        <v/>
      </c>
      <c r="V804" s="112" t="str">
        <f aca="false">IFERROR(IF([2]对账明细接口!$Q804=0,"",[2]对账明细接口!$Q804),"")</f>
        <v/>
      </c>
      <c r="W804" s="10" t="str">
        <f aca="false">IFERROR(IF([2]对账明细接口!$R804=0,"",[2]对账明细接口!$R804),"")</f>
        <v/>
      </c>
      <c r="X804" s="10" t="str">
        <f aca="false">IFERROR(IF([2]对账明细接口!$S804=0,"",[2]对账明细接口!$S804),"")</f>
        <v/>
      </c>
      <c r="Y804" s="10" t="str">
        <f aca="false">IFERROR(IF([2]对账明细接口!$T804=0,"",[2]对账明细接口!$T804),"")</f>
        <v/>
      </c>
      <c r="Z804" s="113" t="str">
        <f aca="false">IFERROR(IF([2]对账明细接口!$U804=0,"",[2]对账明细接口!$U804),"")</f>
        <v/>
      </c>
      <c r="AA804" s="113" t="str">
        <f aca="false">IFERROR(IF([2]对账明细接口!$V804=0,"",[2]对账明细接口!$V804),"")</f>
        <v/>
      </c>
      <c r="AB804" s="10" t="str">
        <f aca="false">IFERROR(IF([2]对账明细接口!$W804=0,"",[2]对账明细接口!$W804),"")</f>
        <v/>
      </c>
      <c r="AC804" s="90" t="str">
        <f aca="false">IFERROR(IF([2]对账明细接口!$X805=0,"",[2]对账明细接口!$X805),"")</f>
        <v/>
      </c>
      <c r="AD804" s="90" t="str">
        <f aca="false">IFERROR(IF([2]对账明细接口!$Y805=0,"",[2]对账明细接口!$Y805),"")</f>
        <v/>
      </c>
      <c r="AE804" s="90" t="str">
        <f aca="false">IFERROR(IF([2]对账明细接口!$AA805=0,"",[2]对账明细接口!$AA805),"")</f>
        <v/>
      </c>
      <c r="AF804" s="90" t="str">
        <f aca="false">IFERROR(IF([2]对账明细接口!$AB805=0,"",[2]对账明细接口!$AB805),"")</f>
        <v/>
      </c>
      <c r="AG804" s="90" t="str">
        <f aca="false">IFERROR(IF([2]对账明细接口!$AC805=0,"",[2]对账明细接口!$AC805),"")</f>
        <v/>
      </c>
      <c r="AH804" s="90" t="str">
        <f aca="false">IFERROR(IF([2]对账明细接口!$AD805=0,"",[2]对账明细接口!$AD805),"")</f>
        <v/>
      </c>
    </row>
    <row r="805" customFormat="false" ht="13.5" hidden="false" customHeight="false" outlineLevel="0" collapsed="false">
      <c r="A805" s="109" t="n">
        <v>805</v>
      </c>
      <c r="B805" s="110" t="str">
        <f aca="false">IFERROR(IF([2]对账明细接口!$B$805=0,"",[2]对账明细接口!$B$805),"")</f>
        <v/>
      </c>
      <c r="C805" s="59" t="str">
        <f aca="false">IFERROR(IF([2]对账明细接口!$C$805=0,"",[2]对账明细接口!$C$805),"")</f>
        <v/>
      </c>
      <c r="D805" s="59" t="str">
        <f aca="false">IFERROR(IF([2]对账明细接口!$D$805=0,"",[2]对账明细接口!$D$805),"")</f>
        <v/>
      </c>
      <c r="E805" s="59" t="str">
        <f aca="false">IFERROR(IF([2]对账明细接口!$E$805=0,"",[2]对账明细接口!$E$805),"")</f>
        <v/>
      </c>
      <c r="F805" s="59" t="str">
        <f aca="false">IFERROR(IF([2]对账明细接口!$F$805=0,"",[2]对账明细接口!$F$805),"")</f>
        <v/>
      </c>
      <c r="G805" s="59" t="str">
        <f aca="false">IFERROR(IF([2]对账明细接口!$G$805=0,"",[2]对账明细接口!$G$805),"")</f>
        <v/>
      </c>
      <c r="H805" s="60" t="str">
        <f aca="false">IFERROR(IF([2]对账明细接口!$H$805=0,"",[2]对账明细接口!$H$805),"")</f>
        <v/>
      </c>
      <c r="I805" s="59" t="str">
        <f aca="false">IFERROR(IF([2]对账明细接口!$I$805=0,"",[2]对账明细接口!$I$805),"")</f>
        <v/>
      </c>
      <c r="J805" s="61" t="str">
        <f aca="false">IFERROR(IF([2]对账明细接口!$J$805=0,"",[2]对账明细接口!$J$805),"")</f>
        <v/>
      </c>
      <c r="K805" s="61" t="str">
        <f aca="false">IFERROR(IF([2]对账明细接口!$K$805=0,"",[2]对账明细接口!$K$805),"")</f>
        <v/>
      </c>
      <c r="L805" s="59" t="str">
        <f aca="false">IFERROR(IF([2]对账明细接口!$L$805=0,"",[2]对账明细接口!$L$805),"")</f>
        <v/>
      </c>
      <c r="M805" s="59" t="str">
        <f aca="false">IFERROR(IF([2]对账明细接口!$M$805=0,"",[2]对账明细接口!$M$805),"")</f>
        <v/>
      </c>
      <c r="N805" s="111" t="n">
        <f aca="false">IF($C805="",0,1)</f>
        <v>0</v>
      </c>
      <c r="O805" s="111" t="n">
        <f aca="false">N(O804)+$N805</f>
        <v>311</v>
      </c>
      <c r="S805" s="10" t="str">
        <f aca="false">IFERROR(IF([2]对账明细接口!$N805=0,"",[2]对账明细接口!$N805),"")</f>
        <v/>
      </c>
      <c r="T805" s="112" t="str">
        <f aca="false">IFERROR(IF([2]对账明细接口!$O805=0,"",[2]对账明细接口!$O805),"")</f>
        <v/>
      </c>
      <c r="U805" s="112" t="str">
        <f aca="false">IFERROR(IF([2]对账明细接口!$P805=0,"",[2]对账明细接口!$P805),"")</f>
        <v/>
      </c>
      <c r="V805" s="112" t="str">
        <f aca="false">IFERROR(IF([2]对账明细接口!$Q805=0,"",[2]对账明细接口!$Q805),"")</f>
        <v/>
      </c>
      <c r="W805" s="10" t="str">
        <f aca="false">IFERROR(IF([2]对账明细接口!$R805=0,"",[2]对账明细接口!$R805),"")</f>
        <v/>
      </c>
      <c r="X805" s="10" t="str">
        <f aca="false">IFERROR(IF([2]对账明细接口!$S805=0,"",[2]对账明细接口!$S805),"")</f>
        <v/>
      </c>
      <c r="Y805" s="10" t="str">
        <f aca="false">IFERROR(IF([2]对账明细接口!$T805=0,"",[2]对账明细接口!$T805),"")</f>
        <v/>
      </c>
      <c r="Z805" s="113" t="str">
        <f aca="false">IFERROR(IF([2]对账明细接口!$U805=0,"",[2]对账明细接口!$U805),"")</f>
        <v/>
      </c>
      <c r="AA805" s="113" t="str">
        <f aca="false">IFERROR(IF([2]对账明细接口!$V805=0,"",[2]对账明细接口!$V805),"")</f>
        <v/>
      </c>
      <c r="AB805" s="10" t="str">
        <f aca="false">IFERROR(IF([2]对账明细接口!$W805=0,"",[2]对账明细接口!$W805),"")</f>
        <v/>
      </c>
      <c r="AC805" s="90" t="str">
        <f aca="false">IFERROR(IF([2]对账明细接口!$X806=0,"",[2]对账明细接口!$X806),"")</f>
        <v/>
      </c>
      <c r="AD805" s="90" t="str">
        <f aca="false">IFERROR(IF([2]对账明细接口!$Y806=0,"",[2]对账明细接口!$Y806),"")</f>
        <v/>
      </c>
      <c r="AE805" s="90" t="str">
        <f aca="false">IFERROR(IF([2]对账明细接口!$AA806=0,"",[2]对账明细接口!$AA806),"")</f>
        <v/>
      </c>
      <c r="AF805" s="90" t="str">
        <f aca="false">IFERROR(IF([2]对账明细接口!$AB806=0,"",[2]对账明细接口!$AB806),"")</f>
        <v/>
      </c>
      <c r="AG805" s="90" t="str">
        <f aca="false">IFERROR(IF([2]对账明细接口!$AC806=0,"",[2]对账明细接口!$AC806),"")</f>
        <v/>
      </c>
      <c r="AH805" s="90" t="str">
        <f aca="false">IFERROR(IF([2]对账明细接口!$AD806=0,"",[2]对账明细接口!$AD806),"")</f>
        <v/>
      </c>
    </row>
    <row r="806" customFormat="false" ht="13.5" hidden="false" customHeight="false" outlineLevel="0" collapsed="false">
      <c r="A806" s="109" t="n">
        <v>806</v>
      </c>
      <c r="B806" s="110" t="str">
        <f aca="false">IFERROR(IF([2]对账明细接口!$B$806=0,"",[2]对账明细接口!$B$806),"")</f>
        <v/>
      </c>
      <c r="C806" s="59" t="str">
        <f aca="false">IFERROR(IF([2]对账明细接口!$C$806=0,"",[2]对账明细接口!$C$806),"")</f>
        <v/>
      </c>
      <c r="D806" s="59" t="str">
        <f aca="false">IFERROR(IF([2]对账明细接口!$D$806=0,"",[2]对账明细接口!$D$806),"")</f>
        <v/>
      </c>
      <c r="E806" s="59" t="str">
        <f aca="false">IFERROR(IF([2]对账明细接口!$E$806=0,"",[2]对账明细接口!$E$806),"")</f>
        <v/>
      </c>
      <c r="F806" s="59" t="str">
        <f aca="false">IFERROR(IF([2]对账明细接口!$F$806=0,"",[2]对账明细接口!$F$806),"")</f>
        <v/>
      </c>
      <c r="G806" s="59" t="str">
        <f aca="false">IFERROR(IF([2]对账明细接口!$G$806=0,"",[2]对账明细接口!$G$806),"")</f>
        <v/>
      </c>
      <c r="H806" s="60" t="str">
        <f aca="false">IFERROR(IF([2]对账明细接口!$H$806=0,"",[2]对账明细接口!$H$806),"")</f>
        <v/>
      </c>
      <c r="I806" s="59" t="str">
        <f aca="false">IFERROR(IF([2]对账明细接口!$I$806=0,"",[2]对账明细接口!$I$806),"")</f>
        <v/>
      </c>
      <c r="J806" s="61" t="str">
        <f aca="false">IFERROR(IF([2]对账明细接口!$J$806=0,"",[2]对账明细接口!$J$806),"")</f>
        <v/>
      </c>
      <c r="K806" s="61" t="str">
        <f aca="false">IFERROR(IF([2]对账明细接口!$K$806=0,"",[2]对账明细接口!$K$806),"")</f>
        <v/>
      </c>
      <c r="L806" s="59" t="str">
        <f aca="false">IFERROR(IF([2]对账明细接口!$L$806=0,"",[2]对账明细接口!$L$806),"")</f>
        <v/>
      </c>
      <c r="M806" s="59" t="str">
        <f aca="false">IFERROR(IF([2]对账明细接口!$M$806=0,"",[2]对账明细接口!$M$806),"")</f>
        <v/>
      </c>
      <c r="N806" s="111" t="n">
        <f aca="false">IF($C806="",0,1)</f>
        <v>0</v>
      </c>
      <c r="O806" s="111" t="n">
        <f aca="false">N(O805)+$N806</f>
        <v>311</v>
      </c>
      <c r="S806" s="10" t="str">
        <f aca="false">IFERROR(IF([2]对账明细接口!$N806=0,"",[2]对账明细接口!$N806),"")</f>
        <v/>
      </c>
      <c r="T806" s="112" t="str">
        <f aca="false">IFERROR(IF([2]对账明细接口!$O806=0,"",[2]对账明细接口!$O806),"")</f>
        <v/>
      </c>
      <c r="U806" s="112" t="str">
        <f aca="false">IFERROR(IF([2]对账明细接口!$P806=0,"",[2]对账明细接口!$P806),"")</f>
        <v/>
      </c>
      <c r="V806" s="112" t="str">
        <f aca="false">IFERROR(IF([2]对账明细接口!$Q806=0,"",[2]对账明细接口!$Q806),"")</f>
        <v/>
      </c>
      <c r="W806" s="10" t="str">
        <f aca="false">IFERROR(IF([2]对账明细接口!$R806=0,"",[2]对账明细接口!$R806),"")</f>
        <v/>
      </c>
      <c r="X806" s="10" t="str">
        <f aca="false">IFERROR(IF([2]对账明细接口!$S806=0,"",[2]对账明细接口!$S806),"")</f>
        <v/>
      </c>
      <c r="Y806" s="10" t="str">
        <f aca="false">IFERROR(IF([2]对账明细接口!$T806=0,"",[2]对账明细接口!$T806),"")</f>
        <v/>
      </c>
      <c r="Z806" s="113" t="str">
        <f aca="false">IFERROR(IF([2]对账明细接口!$U806=0,"",[2]对账明细接口!$U806),"")</f>
        <v/>
      </c>
      <c r="AA806" s="113" t="str">
        <f aca="false">IFERROR(IF([2]对账明细接口!$V806=0,"",[2]对账明细接口!$V806),"")</f>
        <v/>
      </c>
      <c r="AB806" s="10" t="str">
        <f aca="false">IFERROR(IF([2]对账明细接口!$W806=0,"",[2]对账明细接口!$W806),"")</f>
        <v/>
      </c>
      <c r="AC806" s="90" t="str">
        <f aca="false">IFERROR(IF([2]对账明细接口!$X807=0,"",[2]对账明细接口!$X807),"")</f>
        <v/>
      </c>
      <c r="AD806" s="90" t="str">
        <f aca="false">IFERROR(IF([2]对账明细接口!$Y807=0,"",[2]对账明细接口!$Y807),"")</f>
        <v/>
      </c>
      <c r="AE806" s="90" t="str">
        <f aca="false">IFERROR(IF([2]对账明细接口!$AA807=0,"",[2]对账明细接口!$AA807),"")</f>
        <v/>
      </c>
      <c r="AF806" s="90" t="str">
        <f aca="false">IFERROR(IF([2]对账明细接口!$AB807=0,"",[2]对账明细接口!$AB807),"")</f>
        <v/>
      </c>
      <c r="AG806" s="90" t="str">
        <f aca="false">IFERROR(IF([2]对账明细接口!$AC807=0,"",[2]对账明细接口!$AC807),"")</f>
        <v/>
      </c>
      <c r="AH806" s="90" t="str">
        <f aca="false">IFERROR(IF([2]对账明细接口!$AD807=0,"",[2]对账明细接口!$AD807),"")</f>
        <v/>
      </c>
    </row>
    <row r="807" customFormat="false" ht="13.5" hidden="false" customHeight="false" outlineLevel="0" collapsed="false">
      <c r="A807" s="109" t="n">
        <v>807</v>
      </c>
      <c r="B807" s="110" t="str">
        <f aca="false">IFERROR(IF([2]对账明细接口!$B$807=0,"",[2]对账明细接口!$B$807),"")</f>
        <v/>
      </c>
      <c r="C807" s="59" t="str">
        <f aca="false">IFERROR(IF([2]对账明细接口!$C$807=0,"",[2]对账明细接口!$C$807),"")</f>
        <v/>
      </c>
      <c r="D807" s="59" t="str">
        <f aca="false">IFERROR(IF([2]对账明细接口!$D$807=0,"",[2]对账明细接口!$D$807),"")</f>
        <v/>
      </c>
      <c r="E807" s="59" t="str">
        <f aca="false">IFERROR(IF([2]对账明细接口!$E$807=0,"",[2]对账明细接口!$E$807),"")</f>
        <v/>
      </c>
      <c r="F807" s="59" t="str">
        <f aca="false">IFERROR(IF([2]对账明细接口!$F$807=0,"",[2]对账明细接口!$F$807),"")</f>
        <v/>
      </c>
      <c r="G807" s="59" t="str">
        <f aca="false">IFERROR(IF([2]对账明细接口!$G$807=0,"",[2]对账明细接口!$G$807),"")</f>
        <v/>
      </c>
      <c r="H807" s="60" t="str">
        <f aca="false">IFERROR(IF([2]对账明细接口!$H$807=0,"",[2]对账明细接口!$H$807),"")</f>
        <v/>
      </c>
      <c r="I807" s="59" t="str">
        <f aca="false">IFERROR(IF([2]对账明细接口!$I$807=0,"",[2]对账明细接口!$I$807),"")</f>
        <v/>
      </c>
      <c r="J807" s="61" t="str">
        <f aca="false">IFERROR(IF([2]对账明细接口!$J$807=0,"",[2]对账明细接口!$J$807),"")</f>
        <v/>
      </c>
      <c r="K807" s="61" t="str">
        <f aca="false">IFERROR(IF([2]对账明细接口!$K$807=0,"",[2]对账明细接口!$K$807),"")</f>
        <v/>
      </c>
      <c r="L807" s="59" t="str">
        <f aca="false">IFERROR(IF([2]对账明细接口!$L$807=0,"",[2]对账明细接口!$L$807),"")</f>
        <v/>
      </c>
      <c r="M807" s="59" t="str">
        <f aca="false">IFERROR(IF([2]对账明细接口!$M$807=0,"",[2]对账明细接口!$M$807),"")</f>
        <v/>
      </c>
      <c r="N807" s="111" t="n">
        <f aca="false">IF($C807="",0,1)</f>
        <v>0</v>
      </c>
      <c r="O807" s="111" t="n">
        <f aca="false">N(O806)+$N807</f>
        <v>311</v>
      </c>
      <c r="S807" s="10" t="str">
        <f aca="false">IFERROR(IF([2]对账明细接口!$N807=0,"",[2]对账明细接口!$N807),"")</f>
        <v/>
      </c>
      <c r="T807" s="112" t="str">
        <f aca="false">IFERROR(IF([2]对账明细接口!$O807=0,"",[2]对账明细接口!$O807),"")</f>
        <v/>
      </c>
      <c r="U807" s="112" t="str">
        <f aca="false">IFERROR(IF([2]对账明细接口!$P807=0,"",[2]对账明细接口!$P807),"")</f>
        <v/>
      </c>
      <c r="V807" s="112" t="str">
        <f aca="false">IFERROR(IF([2]对账明细接口!$Q807=0,"",[2]对账明细接口!$Q807),"")</f>
        <v/>
      </c>
      <c r="W807" s="10" t="str">
        <f aca="false">IFERROR(IF([2]对账明细接口!$R807=0,"",[2]对账明细接口!$R807),"")</f>
        <v/>
      </c>
      <c r="X807" s="10" t="str">
        <f aca="false">IFERROR(IF([2]对账明细接口!$S807=0,"",[2]对账明细接口!$S807),"")</f>
        <v/>
      </c>
      <c r="Y807" s="10" t="str">
        <f aca="false">IFERROR(IF([2]对账明细接口!$T807=0,"",[2]对账明细接口!$T807),"")</f>
        <v/>
      </c>
      <c r="Z807" s="113" t="str">
        <f aca="false">IFERROR(IF([2]对账明细接口!$U807=0,"",[2]对账明细接口!$U807),"")</f>
        <v/>
      </c>
      <c r="AA807" s="113" t="str">
        <f aca="false">IFERROR(IF([2]对账明细接口!$V807=0,"",[2]对账明细接口!$V807),"")</f>
        <v/>
      </c>
      <c r="AB807" s="10" t="str">
        <f aca="false">IFERROR(IF([2]对账明细接口!$W807=0,"",[2]对账明细接口!$W807),"")</f>
        <v/>
      </c>
      <c r="AC807" s="90" t="str">
        <f aca="false">IFERROR(IF([2]对账明细接口!$X808=0,"",[2]对账明细接口!$X808),"")</f>
        <v/>
      </c>
      <c r="AD807" s="90" t="str">
        <f aca="false">IFERROR(IF([2]对账明细接口!$Y808=0,"",[2]对账明细接口!$Y808),"")</f>
        <v/>
      </c>
      <c r="AE807" s="90" t="str">
        <f aca="false">IFERROR(IF([2]对账明细接口!$AA808=0,"",[2]对账明细接口!$AA808),"")</f>
        <v/>
      </c>
      <c r="AF807" s="90" t="str">
        <f aca="false">IFERROR(IF([2]对账明细接口!$AB808=0,"",[2]对账明细接口!$AB808),"")</f>
        <v/>
      </c>
      <c r="AG807" s="90" t="str">
        <f aca="false">IFERROR(IF([2]对账明细接口!$AC808=0,"",[2]对账明细接口!$AC808),"")</f>
        <v/>
      </c>
      <c r="AH807" s="90" t="str">
        <f aca="false">IFERROR(IF([2]对账明细接口!$AD808=0,"",[2]对账明细接口!$AD808),"")</f>
        <v/>
      </c>
    </row>
    <row r="808" customFormat="false" ht="13.5" hidden="false" customHeight="false" outlineLevel="0" collapsed="false">
      <c r="A808" s="109" t="n">
        <v>808</v>
      </c>
      <c r="B808" s="110" t="str">
        <f aca="false">IFERROR(IF([2]对账明细接口!$B$808=0,"",[2]对账明细接口!$B$808),"")</f>
        <v/>
      </c>
      <c r="C808" s="59" t="str">
        <f aca="false">IFERROR(IF([2]对账明细接口!$C$808=0,"",[2]对账明细接口!$C$808),"")</f>
        <v/>
      </c>
      <c r="D808" s="59" t="str">
        <f aca="false">IFERROR(IF([2]对账明细接口!$D$808=0,"",[2]对账明细接口!$D$808),"")</f>
        <v/>
      </c>
      <c r="E808" s="59" t="str">
        <f aca="false">IFERROR(IF([2]对账明细接口!$E$808=0,"",[2]对账明细接口!$E$808),"")</f>
        <v/>
      </c>
      <c r="F808" s="59" t="str">
        <f aca="false">IFERROR(IF([2]对账明细接口!$F$808=0,"",[2]对账明细接口!$F$808),"")</f>
        <v/>
      </c>
      <c r="G808" s="59" t="str">
        <f aca="false">IFERROR(IF([2]对账明细接口!$G$808=0,"",[2]对账明细接口!$G$808),"")</f>
        <v/>
      </c>
      <c r="H808" s="60" t="str">
        <f aca="false">IFERROR(IF([2]对账明细接口!$H$808=0,"",[2]对账明细接口!$H$808),"")</f>
        <v/>
      </c>
      <c r="I808" s="59" t="str">
        <f aca="false">IFERROR(IF([2]对账明细接口!$I$808=0,"",[2]对账明细接口!$I$808),"")</f>
        <v/>
      </c>
      <c r="J808" s="61" t="str">
        <f aca="false">IFERROR(IF([2]对账明细接口!$J$808=0,"",[2]对账明细接口!$J$808),"")</f>
        <v/>
      </c>
      <c r="K808" s="61" t="str">
        <f aca="false">IFERROR(IF([2]对账明细接口!$K$808=0,"",[2]对账明细接口!$K$808),"")</f>
        <v/>
      </c>
      <c r="L808" s="59" t="str">
        <f aca="false">IFERROR(IF([2]对账明细接口!$L$808=0,"",[2]对账明细接口!$L$808),"")</f>
        <v/>
      </c>
      <c r="M808" s="59" t="str">
        <f aca="false">IFERROR(IF([2]对账明细接口!$M$808=0,"",[2]对账明细接口!$M$808),"")</f>
        <v/>
      </c>
      <c r="N808" s="111" t="n">
        <f aca="false">IF($C808="",0,1)</f>
        <v>0</v>
      </c>
      <c r="O808" s="111" t="n">
        <f aca="false">N(O807)+$N808</f>
        <v>311</v>
      </c>
      <c r="S808" s="10" t="str">
        <f aca="false">IFERROR(IF([2]对账明细接口!$N808=0,"",[2]对账明细接口!$N808),"")</f>
        <v/>
      </c>
      <c r="T808" s="112" t="str">
        <f aca="false">IFERROR(IF([2]对账明细接口!$O808=0,"",[2]对账明细接口!$O808),"")</f>
        <v/>
      </c>
      <c r="U808" s="112" t="str">
        <f aca="false">IFERROR(IF([2]对账明细接口!$P808=0,"",[2]对账明细接口!$P808),"")</f>
        <v/>
      </c>
      <c r="V808" s="112" t="str">
        <f aca="false">IFERROR(IF([2]对账明细接口!$Q808=0,"",[2]对账明细接口!$Q808),"")</f>
        <v/>
      </c>
      <c r="W808" s="10" t="str">
        <f aca="false">IFERROR(IF([2]对账明细接口!$R808=0,"",[2]对账明细接口!$R808),"")</f>
        <v/>
      </c>
      <c r="X808" s="10" t="str">
        <f aca="false">IFERROR(IF([2]对账明细接口!$S808=0,"",[2]对账明细接口!$S808),"")</f>
        <v/>
      </c>
      <c r="Y808" s="10" t="str">
        <f aca="false">IFERROR(IF([2]对账明细接口!$T808=0,"",[2]对账明细接口!$T808),"")</f>
        <v/>
      </c>
      <c r="Z808" s="113" t="str">
        <f aca="false">IFERROR(IF([2]对账明细接口!$U808=0,"",[2]对账明细接口!$U808),"")</f>
        <v/>
      </c>
      <c r="AA808" s="113" t="str">
        <f aca="false">IFERROR(IF([2]对账明细接口!$V808=0,"",[2]对账明细接口!$V808),"")</f>
        <v/>
      </c>
      <c r="AB808" s="10" t="str">
        <f aca="false">IFERROR(IF([2]对账明细接口!$W808=0,"",[2]对账明细接口!$W808),"")</f>
        <v/>
      </c>
      <c r="AC808" s="90" t="str">
        <f aca="false">IFERROR(IF([2]对账明细接口!$X809=0,"",[2]对账明细接口!$X809),"")</f>
        <v/>
      </c>
      <c r="AD808" s="90" t="str">
        <f aca="false">IFERROR(IF([2]对账明细接口!$Y809=0,"",[2]对账明细接口!$Y809),"")</f>
        <v/>
      </c>
      <c r="AE808" s="90" t="str">
        <f aca="false">IFERROR(IF([2]对账明细接口!$AA809=0,"",[2]对账明细接口!$AA809),"")</f>
        <v/>
      </c>
      <c r="AF808" s="90" t="str">
        <f aca="false">IFERROR(IF([2]对账明细接口!$AB809=0,"",[2]对账明细接口!$AB809),"")</f>
        <v/>
      </c>
      <c r="AG808" s="90" t="str">
        <f aca="false">IFERROR(IF([2]对账明细接口!$AC809=0,"",[2]对账明细接口!$AC809),"")</f>
        <v/>
      </c>
      <c r="AH808" s="90" t="str">
        <f aca="false">IFERROR(IF([2]对账明细接口!$AD809=0,"",[2]对账明细接口!$AD809),"")</f>
        <v/>
      </c>
    </row>
    <row r="809" customFormat="false" ht="13.5" hidden="false" customHeight="false" outlineLevel="0" collapsed="false">
      <c r="A809" s="109" t="n">
        <v>809</v>
      </c>
      <c r="B809" s="110" t="str">
        <f aca="false">IFERROR(IF([2]对账明细接口!$B$809=0,"",[2]对账明细接口!$B$809),"")</f>
        <v/>
      </c>
      <c r="C809" s="59" t="str">
        <f aca="false">IFERROR(IF([2]对账明细接口!$C$809=0,"",[2]对账明细接口!$C$809),"")</f>
        <v/>
      </c>
      <c r="D809" s="59" t="str">
        <f aca="false">IFERROR(IF([2]对账明细接口!$D$809=0,"",[2]对账明细接口!$D$809),"")</f>
        <v/>
      </c>
      <c r="E809" s="59" t="str">
        <f aca="false">IFERROR(IF([2]对账明细接口!$E$809=0,"",[2]对账明细接口!$E$809),"")</f>
        <v/>
      </c>
      <c r="F809" s="59" t="str">
        <f aca="false">IFERROR(IF([2]对账明细接口!$F$809=0,"",[2]对账明细接口!$F$809),"")</f>
        <v/>
      </c>
      <c r="G809" s="59" t="str">
        <f aca="false">IFERROR(IF([2]对账明细接口!$G$809=0,"",[2]对账明细接口!$G$809),"")</f>
        <v/>
      </c>
      <c r="H809" s="60" t="str">
        <f aca="false">IFERROR(IF([2]对账明细接口!$H$809=0,"",[2]对账明细接口!$H$809),"")</f>
        <v/>
      </c>
      <c r="I809" s="59" t="str">
        <f aca="false">IFERROR(IF([2]对账明细接口!$I$809=0,"",[2]对账明细接口!$I$809),"")</f>
        <v/>
      </c>
      <c r="J809" s="61" t="str">
        <f aca="false">IFERROR(IF([2]对账明细接口!$J$809=0,"",[2]对账明细接口!$J$809),"")</f>
        <v/>
      </c>
      <c r="K809" s="61" t="str">
        <f aca="false">IFERROR(IF([2]对账明细接口!$K$809=0,"",[2]对账明细接口!$K$809),"")</f>
        <v/>
      </c>
      <c r="L809" s="59" t="str">
        <f aca="false">IFERROR(IF([2]对账明细接口!$L$809=0,"",[2]对账明细接口!$L$809),"")</f>
        <v/>
      </c>
      <c r="M809" s="59" t="str">
        <f aca="false">IFERROR(IF([2]对账明细接口!$M$809=0,"",[2]对账明细接口!$M$809),"")</f>
        <v/>
      </c>
      <c r="N809" s="111" t="n">
        <f aca="false">IF($C809="",0,1)</f>
        <v>0</v>
      </c>
      <c r="O809" s="111" t="n">
        <f aca="false">N(O808)+$N809</f>
        <v>311</v>
      </c>
      <c r="S809" s="10" t="str">
        <f aca="false">IFERROR(IF([2]对账明细接口!$N809=0,"",[2]对账明细接口!$N809),"")</f>
        <v/>
      </c>
      <c r="T809" s="112" t="str">
        <f aca="false">IFERROR(IF([2]对账明细接口!$O809=0,"",[2]对账明细接口!$O809),"")</f>
        <v/>
      </c>
      <c r="U809" s="112" t="str">
        <f aca="false">IFERROR(IF([2]对账明细接口!$P809=0,"",[2]对账明细接口!$P809),"")</f>
        <v/>
      </c>
      <c r="V809" s="112" t="str">
        <f aca="false">IFERROR(IF([2]对账明细接口!$Q809=0,"",[2]对账明细接口!$Q809),"")</f>
        <v/>
      </c>
      <c r="W809" s="10" t="str">
        <f aca="false">IFERROR(IF([2]对账明细接口!$R809=0,"",[2]对账明细接口!$R809),"")</f>
        <v/>
      </c>
      <c r="X809" s="10" t="str">
        <f aca="false">IFERROR(IF([2]对账明细接口!$S809=0,"",[2]对账明细接口!$S809),"")</f>
        <v/>
      </c>
      <c r="Y809" s="10" t="str">
        <f aca="false">IFERROR(IF([2]对账明细接口!$T809=0,"",[2]对账明细接口!$T809),"")</f>
        <v/>
      </c>
      <c r="Z809" s="113" t="str">
        <f aca="false">IFERROR(IF([2]对账明细接口!$U809=0,"",[2]对账明细接口!$U809),"")</f>
        <v/>
      </c>
      <c r="AA809" s="113" t="str">
        <f aca="false">IFERROR(IF([2]对账明细接口!$V809=0,"",[2]对账明细接口!$V809),"")</f>
        <v/>
      </c>
      <c r="AB809" s="10" t="str">
        <f aca="false">IFERROR(IF([2]对账明细接口!$W809=0,"",[2]对账明细接口!$W809),"")</f>
        <v/>
      </c>
      <c r="AC809" s="90" t="str">
        <f aca="false">IFERROR(IF([2]对账明细接口!$X810=0,"",[2]对账明细接口!$X810),"")</f>
        <v/>
      </c>
      <c r="AD809" s="90" t="str">
        <f aca="false">IFERROR(IF([2]对账明细接口!$Y810=0,"",[2]对账明细接口!$Y810),"")</f>
        <v/>
      </c>
      <c r="AE809" s="90" t="str">
        <f aca="false">IFERROR(IF([2]对账明细接口!$AA810=0,"",[2]对账明细接口!$AA810),"")</f>
        <v/>
      </c>
      <c r="AF809" s="90" t="str">
        <f aca="false">IFERROR(IF([2]对账明细接口!$AB810=0,"",[2]对账明细接口!$AB810),"")</f>
        <v/>
      </c>
      <c r="AG809" s="90" t="str">
        <f aca="false">IFERROR(IF([2]对账明细接口!$AC810=0,"",[2]对账明细接口!$AC810),"")</f>
        <v/>
      </c>
      <c r="AH809" s="90" t="str">
        <f aca="false">IFERROR(IF([2]对账明细接口!$AD810=0,"",[2]对账明细接口!$AD810),"")</f>
        <v/>
      </c>
    </row>
    <row r="810" customFormat="false" ht="13.5" hidden="false" customHeight="false" outlineLevel="0" collapsed="false">
      <c r="A810" s="109" t="n">
        <v>810</v>
      </c>
      <c r="B810" s="110" t="str">
        <f aca="false">IFERROR(IF([2]对账明细接口!$B$810=0,"",[2]对账明细接口!$B$810),"")</f>
        <v/>
      </c>
      <c r="C810" s="59" t="str">
        <f aca="false">IFERROR(IF([2]对账明细接口!$C$810=0,"",[2]对账明细接口!$C$810),"")</f>
        <v/>
      </c>
      <c r="D810" s="59" t="str">
        <f aca="false">IFERROR(IF([2]对账明细接口!$D$810=0,"",[2]对账明细接口!$D$810),"")</f>
        <v/>
      </c>
      <c r="E810" s="59" t="str">
        <f aca="false">IFERROR(IF([2]对账明细接口!$E$810=0,"",[2]对账明细接口!$E$810),"")</f>
        <v/>
      </c>
      <c r="F810" s="59" t="str">
        <f aca="false">IFERROR(IF([2]对账明细接口!$F$810=0,"",[2]对账明细接口!$F$810),"")</f>
        <v/>
      </c>
      <c r="G810" s="59" t="str">
        <f aca="false">IFERROR(IF([2]对账明细接口!$G$810=0,"",[2]对账明细接口!$G$810),"")</f>
        <v/>
      </c>
      <c r="H810" s="60" t="str">
        <f aca="false">IFERROR(IF([2]对账明细接口!$H$810=0,"",[2]对账明细接口!$H$810),"")</f>
        <v/>
      </c>
      <c r="I810" s="59" t="str">
        <f aca="false">IFERROR(IF([2]对账明细接口!$I$810=0,"",[2]对账明细接口!$I$810),"")</f>
        <v/>
      </c>
      <c r="J810" s="61" t="str">
        <f aca="false">IFERROR(IF([2]对账明细接口!$J$810=0,"",[2]对账明细接口!$J$810),"")</f>
        <v/>
      </c>
      <c r="K810" s="61" t="str">
        <f aca="false">IFERROR(IF([2]对账明细接口!$K$810=0,"",[2]对账明细接口!$K$810),"")</f>
        <v/>
      </c>
      <c r="L810" s="59" t="str">
        <f aca="false">IFERROR(IF([2]对账明细接口!$L$810=0,"",[2]对账明细接口!$L$810),"")</f>
        <v/>
      </c>
      <c r="M810" s="59" t="str">
        <f aca="false">IFERROR(IF([2]对账明细接口!$M$810=0,"",[2]对账明细接口!$M$810),"")</f>
        <v/>
      </c>
      <c r="N810" s="111" t="n">
        <f aca="false">IF($C810="",0,1)</f>
        <v>0</v>
      </c>
      <c r="O810" s="111" t="n">
        <f aca="false">N(O809)+$N810</f>
        <v>311</v>
      </c>
      <c r="S810" s="10" t="str">
        <f aca="false">IFERROR(IF([2]对账明细接口!$N810=0,"",[2]对账明细接口!$N810),"")</f>
        <v/>
      </c>
      <c r="T810" s="112" t="str">
        <f aca="false">IFERROR(IF([2]对账明细接口!$O810=0,"",[2]对账明细接口!$O810),"")</f>
        <v/>
      </c>
      <c r="U810" s="112" t="str">
        <f aca="false">IFERROR(IF([2]对账明细接口!$P810=0,"",[2]对账明细接口!$P810),"")</f>
        <v/>
      </c>
      <c r="V810" s="112" t="str">
        <f aca="false">IFERROR(IF([2]对账明细接口!$Q810=0,"",[2]对账明细接口!$Q810),"")</f>
        <v/>
      </c>
      <c r="W810" s="10" t="str">
        <f aca="false">IFERROR(IF([2]对账明细接口!$R810=0,"",[2]对账明细接口!$R810),"")</f>
        <v/>
      </c>
      <c r="X810" s="10" t="str">
        <f aca="false">IFERROR(IF([2]对账明细接口!$S810=0,"",[2]对账明细接口!$S810),"")</f>
        <v/>
      </c>
      <c r="Y810" s="10" t="str">
        <f aca="false">IFERROR(IF([2]对账明细接口!$T810=0,"",[2]对账明细接口!$T810),"")</f>
        <v/>
      </c>
      <c r="Z810" s="113" t="str">
        <f aca="false">IFERROR(IF([2]对账明细接口!$U810=0,"",[2]对账明细接口!$U810),"")</f>
        <v/>
      </c>
      <c r="AA810" s="113" t="str">
        <f aca="false">IFERROR(IF([2]对账明细接口!$V810=0,"",[2]对账明细接口!$V810),"")</f>
        <v/>
      </c>
      <c r="AB810" s="10" t="str">
        <f aca="false">IFERROR(IF([2]对账明细接口!$W810=0,"",[2]对账明细接口!$W810),"")</f>
        <v/>
      </c>
      <c r="AC810" s="90" t="str">
        <f aca="false">IFERROR(IF([2]对账明细接口!$X811=0,"",[2]对账明细接口!$X811),"")</f>
        <v/>
      </c>
      <c r="AD810" s="90" t="str">
        <f aca="false">IFERROR(IF([2]对账明细接口!$Y811=0,"",[2]对账明细接口!$Y811),"")</f>
        <v/>
      </c>
      <c r="AE810" s="90" t="str">
        <f aca="false">IFERROR(IF([2]对账明细接口!$AA811=0,"",[2]对账明细接口!$AA811),"")</f>
        <v/>
      </c>
      <c r="AF810" s="90" t="str">
        <f aca="false">IFERROR(IF([2]对账明细接口!$AB811=0,"",[2]对账明细接口!$AB811),"")</f>
        <v/>
      </c>
      <c r="AG810" s="90" t="str">
        <f aca="false">IFERROR(IF([2]对账明细接口!$AC811=0,"",[2]对账明细接口!$AC811),"")</f>
        <v/>
      </c>
      <c r="AH810" s="90" t="str">
        <f aca="false">IFERROR(IF([2]对账明细接口!$AD811=0,"",[2]对账明细接口!$AD811),"")</f>
        <v/>
      </c>
    </row>
    <row r="811" customFormat="false" ht="13.5" hidden="false" customHeight="false" outlineLevel="0" collapsed="false">
      <c r="A811" s="109" t="n">
        <v>811</v>
      </c>
      <c r="B811" s="110" t="str">
        <f aca="false">IFERROR(IF([2]对账明细接口!$B$811=0,"",[2]对账明细接口!$B$811),"")</f>
        <v/>
      </c>
      <c r="C811" s="59" t="str">
        <f aca="false">IFERROR(IF([2]对账明细接口!$C$811=0,"",[2]对账明细接口!$C$811),"")</f>
        <v/>
      </c>
      <c r="D811" s="59" t="str">
        <f aca="false">IFERROR(IF([2]对账明细接口!$D$811=0,"",[2]对账明细接口!$D$811),"")</f>
        <v/>
      </c>
      <c r="E811" s="59" t="str">
        <f aca="false">IFERROR(IF([2]对账明细接口!$E$811=0,"",[2]对账明细接口!$E$811),"")</f>
        <v/>
      </c>
      <c r="F811" s="59" t="str">
        <f aca="false">IFERROR(IF([2]对账明细接口!$F$811=0,"",[2]对账明细接口!$F$811),"")</f>
        <v/>
      </c>
      <c r="G811" s="59" t="str">
        <f aca="false">IFERROR(IF([2]对账明细接口!$G$811=0,"",[2]对账明细接口!$G$811),"")</f>
        <v/>
      </c>
      <c r="H811" s="60" t="str">
        <f aca="false">IFERROR(IF([2]对账明细接口!$H$811=0,"",[2]对账明细接口!$H$811),"")</f>
        <v/>
      </c>
      <c r="I811" s="59" t="str">
        <f aca="false">IFERROR(IF([2]对账明细接口!$I$811=0,"",[2]对账明细接口!$I$811),"")</f>
        <v/>
      </c>
      <c r="J811" s="61" t="str">
        <f aca="false">IFERROR(IF([2]对账明细接口!$J$811=0,"",[2]对账明细接口!$J$811),"")</f>
        <v/>
      </c>
      <c r="K811" s="61" t="str">
        <f aca="false">IFERROR(IF([2]对账明细接口!$K$811=0,"",[2]对账明细接口!$K$811),"")</f>
        <v/>
      </c>
      <c r="L811" s="59" t="str">
        <f aca="false">IFERROR(IF([2]对账明细接口!$L$811=0,"",[2]对账明细接口!$L$811),"")</f>
        <v/>
      </c>
      <c r="M811" s="59" t="str">
        <f aca="false">IFERROR(IF([2]对账明细接口!$M$811=0,"",[2]对账明细接口!$M$811),"")</f>
        <v/>
      </c>
      <c r="N811" s="111" t="n">
        <f aca="false">IF($C811="",0,1)</f>
        <v>0</v>
      </c>
      <c r="O811" s="111" t="n">
        <f aca="false">N(O810)+$N811</f>
        <v>311</v>
      </c>
      <c r="S811" s="10" t="str">
        <f aca="false">IFERROR(IF([2]对账明细接口!$N811=0,"",[2]对账明细接口!$N811),"")</f>
        <v/>
      </c>
      <c r="T811" s="112" t="str">
        <f aca="false">IFERROR(IF([2]对账明细接口!$O811=0,"",[2]对账明细接口!$O811),"")</f>
        <v/>
      </c>
      <c r="U811" s="112" t="str">
        <f aca="false">IFERROR(IF([2]对账明细接口!$P811=0,"",[2]对账明细接口!$P811),"")</f>
        <v/>
      </c>
      <c r="V811" s="112" t="str">
        <f aca="false">IFERROR(IF([2]对账明细接口!$Q811=0,"",[2]对账明细接口!$Q811),"")</f>
        <v/>
      </c>
      <c r="W811" s="10" t="str">
        <f aca="false">IFERROR(IF([2]对账明细接口!$R811=0,"",[2]对账明细接口!$R811),"")</f>
        <v/>
      </c>
      <c r="X811" s="10" t="str">
        <f aca="false">IFERROR(IF([2]对账明细接口!$S811=0,"",[2]对账明细接口!$S811),"")</f>
        <v/>
      </c>
      <c r="Y811" s="10" t="str">
        <f aca="false">IFERROR(IF([2]对账明细接口!$T811=0,"",[2]对账明细接口!$T811),"")</f>
        <v/>
      </c>
      <c r="Z811" s="113" t="str">
        <f aca="false">IFERROR(IF([2]对账明细接口!$U811=0,"",[2]对账明细接口!$U811),"")</f>
        <v/>
      </c>
      <c r="AA811" s="113" t="str">
        <f aca="false">IFERROR(IF([2]对账明细接口!$V811=0,"",[2]对账明细接口!$V811),"")</f>
        <v/>
      </c>
      <c r="AB811" s="10" t="str">
        <f aca="false">IFERROR(IF([2]对账明细接口!$W811=0,"",[2]对账明细接口!$W811),"")</f>
        <v/>
      </c>
      <c r="AC811" s="90" t="str">
        <f aca="false">IFERROR(IF([2]对账明细接口!$X812=0,"",[2]对账明细接口!$X812),"")</f>
        <v/>
      </c>
      <c r="AD811" s="90" t="str">
        <f aca="false">IFERROR(IF([2]对账明细接口!$Y812=0,"",[2]对账明细接口!$Y812),"")</f>
        <v/>
      </c>
      <c r="AE811" s="90" t="str">
        <f aca="false">IFERROR(IF([2]对账明细接口!$AA812=0,"",[2]对账明细接口!$AA812),"")</f>
        <v/>
      </c>
      <c r="AF811" s="90" t="str">
        <f aca="false">IFERROR(IF([2]对账明细接口!$AB812=0,"",[2]对账明细接口!$AB812),"")</f>
        <v/>
      </c>
      <c r="AG811" s="90" t="str">
        <f aca="false">IFERROR(IF([2]对账明细接口!$AC812=0,"",[2]对账明细接口!$AC812),"")</f>
        <v/>
      </c>
      <c r="AH811" s="90" t="str">
        <f aca="false">IFERROR(IF([2]对账明细接口!$AD812=0,"",[2]对账明细接口!$AD812),"")</f>
        <v/>
      </c>
    </row>
    <row r="812" customFormat="false" ht="13.5" hidden="false" customHeight="false" outlineLevel="0" collapsed="false">
      <c r="A812" s="109" t="n">
        <v>812</v>
      </c>
      <c r="B812" s="110" t="str">
        <f aca="false">IFERROR(IF([2]对账明细接口!$B$812=0,"",[2]对账明细接口!$B$812),"")</f>
        <v/>
      </c>
      <c r="C812" s="59" t="str">
        <f aca="false">IFERROR(IF([2]对账明细接口!$C$812=0,"",[2]对账明细接口!$C$812),"")</f>
        <v/>
      </c>
      <c r="D812" s="59" t="str">
        <f aca="false">IFERROR(IF([2]对账明细接口!$D$812=0,"",[2]对账明细接口!$D$812),"")</f>
        <v/>
      </c>
      <c r="E812" s="59" t="str">
        <f aca="false">IFERROR(IF([2]对账明细接口!$E$812=0,"",[2]对账明细接口!$E$812),"")</f>
        <v/>
      </c>
      <c r="F812" s="59" t="str">
        <f aca="false">IFERROR(IF([2]对账明细接口!$F$812=0,"",[2]对账明细接口!$F$812),"")</f>
        <v/>
      </c>
      <c r="G812" s="59" t="str">
        <f aca="false">IFERROR(IF([2]对账明细接口!$G$812=0,"",[2]对账明细接口!$G$812),"")</f>
        <v/>
      </c>
      <c r="H812" s="60" t="str">
        <f aca="false">IFERROR(IF([2]对账明细接口!$H$812=0,"",[2]对账明细接口!$H$812),"")</f>
        <v/>
      </c>
      <c r="I812" s="59" t="str">
        <f aca="false">IFERROR(IF([2]对账明细接口!$I$812=0,"",[2]对账明细接口!$I$812),"")</f>
        <v/>
      </c>
      <c r="J812" s="61" t="str">
        <f aca="false">IFERROR(IF([2]对账明细接口!$J$812=0,"",[2]对账明细接口!$J$812),"")</f>
        <v/>
      </c>
      <c r="K812" s="61" t="str">
        <f aca="false">IFERROR(IF([2]对账明细接口!$K$812=0,"",[2]对账明细接口!$K$812),"")</f>
        <v/>
      </c>
      <c r="L812" s="59" t="str">
        <f aca="false">IFERROR(IF([2]对账明细接口!$L$812=0,"",[2]对账明细接口!$L$812),"")</f>
        <v/>
      </c>
      <c r="M812" s="59" t="str">
        <f aca="false">IFERROR(IF([2]对账明细接口!$M$812=0,"",[2]对账明细接口!$M$812),"")</f>
        <v/>
      </c>
      <c r="N812" s="111" t="n">
        <f aca="false">IF($C812="",0,1)</f>
        <v>0</v>
      </c>
      <c r="O812" s="111" t="n">
        <f aca="false">N(O811)+$N812</f>
        <v>311</v>
      </c>
      <c r="S812" s="10" t="str">
        <f aca="false">IFERROR(IF([2]对账明细接口!$N812=0,"",[2]对账明细接口!$N812),"")</f>
        <v/>
      </c>
      <c r="T812" s="112" t="str">
        <f aca="false">IFERROR(IF([2]对账明细接口!$O812=0,"",[2]对账明细接口!$O812),"")</f>
        <v/>
      </c>
      <c r="U812" s="112" t="str">
        <f aca="false">IFERROR(IF([2]对账明细接口!$P812=0,"",[2]对账明细接口!$P812),"")</f>
        <v/>
      </c>
      <c r="V812" s="112" t="str">
        <f aca="false">IFERROR(IF([2]对账明细接口!$Q812=0,"",[2]对账明细接口!$Q812),"")</f>
        <v/>
      </c>
      <c r="W812" s="10" t="str">
        <f aca="false">IFERROR(IF([2]对账明细接口!$R812=0,"",[2]对账明细接口!$R812),"")</f>
        <v/>
      </c>
      <c r="X812" s="10" t="str">
        <f aca="false">IFERROR(IF([2]对账明细接口!$S812=0,"",[2]对账明细接口!$S812),"")</f>
        <v/>
      </c>
      <c r="Y812" s="10" t="str">
        <f aca="false">IFERROR(IF([2]对账明细接口!$T812=0,"",[2]对账明细接口!$T812),"")</f>
        <v/>
      </c>
      <c r="Z812" s="113" t="str">
        <f aca="false">IFERROR(IF([2]对账明细接口!$U812=0,"",[2]对账明细接口!$U812),"")</f>
        <v/>
      </c>
      <c r="AA812" s="113" t="str">
        <f aca="false">IFERROR(IF([2]对账明细接口!$V812=0,"",[2]对账明细接口!$V812),"")</f>
        <v/>
      </c>
      <c r="AB812" s="10" t="str">
        <f aca="false">IFERROR(IF([2]对账明细接口!$W812=0,"",[2]对账明细接口!$W812),"")</f>
        <v/>
      </c>
      <c r="AC812" s="90" t="str">
        <f aca="false">IFERROR(IF([2]对账明细接口!$X813=0,"",[2]对账明细接口!$X813),"")</f>
        <v/>
      </c>
      <c r="AD812" s="90" t="str">
        <f aca="false">IFERROR(IF([2]对账明细接口!$Y813=0,"",[2]对账明细接口!$Y813),"")</f>
        <v/>
      </c>
      <c r="AE812" s="90" t="str">
        <f aca="false">IFERROR(IF([2]对账明细接口!$AA813=0,"",[2]对账明细接口!$AA813),"")</f>
        <v/>
      </c>
      <c r="AF812" s="90" t="str">
        <f aca="false">IFERROR(IF([2]对账明细接口!$AB813=0,"",[2]对账明细接口!$AB813),"")</f>
        <v/>
      </c>
      <c r="AG812" s="90" t="str">
        <f aca="false">IFERROR(IF([2]对账明细接口!$AC813=0,"",[2]对账明细接口!$AC813),"")</f>
        <v/>
      </c>
      <c r="AH812" s="90" t="str">
        <f aca="false">IFERROR(IF([2]对账明细接口!$AD813=0,"",[2]对账明细接口!$AD813),"")</f>
        <v/>
      </c>
    </row>
    <row r="813" customFormat="false" ht="13.5" hidden="false" customHeight="false" outlineLevel="0" collapsed="false">
      <c r="A813" s="109" t="n">
        <v>813</v>
      </c>
      <c r="B813" s="110" t="str">
        <f aca="false">IFERROR(IF([2]对账明细接口!$B$813=0,"",[2]对账明细接口!$B$813),"")</f>
        <v/>
      </c>
      <c r="C813" s="59" t="str">
        <f aca="false">IFERROR(IF([2]对账明细接口!$C$813=0,"",[2]对账明细接口!$C$813),"")</f>
        <v/>
      </c>
      <c r="D813" s="59" t="str">
        <f aca="false">IFERROR(IF([2]对账明细接口!$D$813=0,"",[2]对账明细接口!$D$813),"")</f>
        <v/>
      </c>
      <c r="E813" s="59" t="str">
        <f aca="false">IFERROR(IF([2]对账明细接口!$E$813=0,"",[2]对账明细接口!$E$813),"")</f>
        <v/>
      </c>
      <c r="F813" s="59" t="str">
        <f aca="false">IFERROR(IF([2]对账明细接口!$F$813=0,"",[2]对账明细接口!$F$813),"")</f>
        <v/>
      </c>
      <c r="G813" s="59" t="str">
        <f aca="false">IFERROR(IF([2]对账明细接口!$G$813=0,"",[2]对账明细接口!$G$813),"")</f>
        <v/>
      </c>
      <c r="H813" s="60" t="str">
        <f aca="false">IFERROR(IF([2]对账明细接口!$H$813=0,"",[2]对账明细接口!$H$813),"")</f>
        <v/>
      </c>
      <c r="I813" s="59" t="str">
        <f aca="false">IFERROR(IF([2]对账明细接口!$I$813=0,"",[2]对账明细接口!$I$813),"")</f>
        <v/>
      </c>
      <c r="J813" s="61" t="str">
        <f aca="false">IFERROR(IF([2]对账明细接口!$J$813=0,"",[2]对账明细接口!$J$813),"")</f>
        <v/>
      </c>
      <c r="K813" s="61" t="str">
        <f aca="false">IFERROR(IF([2]对账明细接口!$K$813=0,"",[2]对账明细接口!$K$813),"")</f>
        <v/>
      </c>
      <c r="L813" s="59" t="str">
        <f aca="false">IFERROR(IF([2]对账明细接口!$L$813=0,"",[2]对账明细接口!$L$813),"")</f>
        <v/>
      </c>
      <c r="M813" s="59" t="str">
        <f aca="false">IFERROR(IF([2]对账明细接口!$M$813=0,"",[2]对账明细接口!$M$813),"")</f>
        <v/>
      </c>
      <c r="N813" s="111" t="n">
        <f aca="false">IF($C813="",0,1)</f>
        <v>0</v>
      </c>
      <c r="O813" s="111" t="n">
        <f aca="false">N(O812)+$N813</f>
        <v>311</v>
      </c>
      <c r="S813" s="10" t="str">
        <f aca="false">IFERROR(IF([2]对账明细接口!$N813=0,"",[2]对账明细接口!$N813),"")</f>
        <v/>
      </c>
      <c r="T813" s="112" t="str">
        <f aca="false">IFERROR(IF([2]对账明细接口!$O813=0,"",[2]对账明细接口!$O813),"")</f>
        <v/>
      </c>
      <c r="U813" s="112" t="str">
        <f aca="false">IFERROR(IF([2]对账明细接口!$P813=0,"",[2]对账明细接口!$P813),"")</f>
        <v/>
      </c>
      <c r="V813" s="112" t="str">
        <f aca="false">IFERROR(IF([2]对账明细接口!$Q813=0,"",[2]对账明细接口!$Q813),"")</f>
        <v/>
      </c>
      <c r="W813" s="10" t="str">
        <f aca="false">IFERROR(IF([2]对账明细接口!$R813=0,"",[2]对账明细接口!$R813),"")</f>
        <v/>
      </c>
      <c r="X813" s="10" t="str">
        <f aca="false">IFERROR(IF([2]对账明细接口!$S813=0,"",[2]对账明细接口!$S813),"")</f>
        <v/>
      </c>
      <c r="Y813" s="10" t="str">
        <f aca="false">IFERROR(IF([2]对账明细接口!$T813=0,"",[2]对账明细接口!$T813),"")</f>
        <v/>
      </c>
      <c r="Z813" s="113" t="str">
        <f aca="false">IFERROR(IF([2]对账明细接口!$U813=0,"",[2]对账明细接口!$U813),"")</f>
        <v/>
      </c>
      <c r="AA813" s="113" t="str">
        <f aca="false">IFERROR(IF([2]对账明细接口!$V813=0,"",[2]对账明细接口!$V813),"")</f>
        <v/>
      </c>
      <c r="AB813" s="10" t="str">
        <f aca="false">IFERROR(IF([2]对账明细接口!$W813=0,"",[2]对账明细接口!$W813),"")</f>
        <v/>
      </c>
      <c r="AC813" s="90" t="str">
        <f aca="false">IFERROR(IF([2]对账明细接口!$X814=0,"",[2]对账明细接口!$X814),"")</f>
        <v/>
      </c>
      <c r="AD813" s="90" t="str">
        <f aca="false">IFERROR(IF([2]对账明细接口!$Y814=0,"",[2]对账明细接口!$Y814),"")</f>
        <v/>
      </c>
      <c r="AE813" s="90" t="str">
        <f aca="false">IFERROR(IF([2]对账明细接口!$AA814=0,"",[2]对账明细接口!$AA814),"")</f>
        <v/>
      </c>
      <c r="AF813" s="90" t="str">
        <f aca="false">IFERROR(IF([2]对账明细接口!$AB814=0,"",[2]对账明细接口!$AB814),"")</f>
        <v/>
      </c>
      <c r="AG813" s="90" t="str">
        <f aca="false">IFERROR(IF([2]对账明细接口!$AC814=0,"",[2]对账明细接口!$AC814),"")</f>
        <v/>
      </c>
      <c r="AH813" s="90" t="str">
        <f aca="false">IFERROR(IF([2]对账明细接口!$AD814=0,"",[2]对账明细接口!$AD814),"")</f>
        <v/>
      </c>
    </row>
    <row r="814" customFormat="false" ht="13.5" hidden="false" customHeight="false" outlineLevel="0" collapsed="false">
      <c r="A814" s="109" t="n">
        <v>814</v>
      </c>
      <c r="B814" s="110" t="str">
        <f aca="false">IFERROR(IF([2]对账明细接口!$B$814=0,"",[2]对账明细接口!$B$814),"")</f>
        <v/>
      </c>
      <c r="C814" s="59" t="str">
        <f aca="false">IFERROR(IF([2]对账明细接口!$C$814=0,"",[2]对账明细接口!$C$814),"")</f>
        <v/>
      </c>
      <c r="D814" s="59" t="str">
        <f aca="false">IFERROR(IF([2]对账明细接口!$D$814=0,"",[2]对账明细接口!$D$814),"")</f>
        <v/>
      </c>
      <c r="E814" s="59" t="str">
        <f aca="false">IFERROR(IF([2]对账明细接口!$E$814=0,"",[2]对账明细接口!$E$814),"")</f>
        <v/>
      </c>
      <c r="F814" s="59" t="str">
        <f aca="false">IFERROR(IF([2]对账明细接口!$F$814=0,"",[2]对账明细接口!$F$814),"")</f>
        <v/>
      </c>
      <c r="G814" s="59" t="str">
        <f aca="false">IFERROR(IF([2]对账明细接口!$G$814=0,"",[2]对账明细接口!$G$814),"")</f>
        <v/>
      </c>
      <c r="H814" s="60" t="str">
        <f aca="false">IFERROR(IF([2]对账明细接口!$H$814=0,"",[2]对账明细接口!$H$814),"")</f>
        <v/>
      </c>
      <c r="I814" s="59" t="str">
        <f aca="false">IFERROR(IF([2]对账明细接口!$I$814=0,"",[2]对账明细接口!$I$814),"")</f>
        <v/>
      </c>
      <c r="J814" s="61" t="str">
        <f aca="false">IFERROR(IF([2]对账明细接口!$J$814=0,"",[2]对账明细接口!$J$814),"")</f>
        <v/>
      </c>
      <c r="K814" s="61" t="str">
        <f aca="false">IFERROR(IF([2]对账明细接口!$K$814=0,"",[2]对账明细接口!$K$814),"")</f>
        <v/>
      </c>
      <c r="L814" s="59" t="str">
        <f aca="false">IFERROR(IF([2]对账明细接口!$L$814=0,"",[2]对账明细接口!$L$814),"")</f>
        <v/>
      </c>
      <c r="M814" s="59" t="str">
        <f aca="false">IFERROR(IF([2]对账明细接口!$M$814=0,"",[2]对账明细接口!$M$814),"")</f>
        <v/>
      </c>
      <c r="N814" s="111" t="n">
        <f aca="false">IF($C814="",0,1)</f>
        <v>0</v>
      </c>
      <c r="O814" s="111" t="n">
        <f aca="false">N(O813)+$N814</f>
        <v>311</v>
      </c>
      <c r="S814" s="10" t="str">
        <f aca="false">IFERROR(IF([2]对账明细接口!$N814=0,"",[2]对账明细接口!$N814),"")</f>
        <v/>
      </c>
      <c r="T814" s="112" t="str">
        <f aca="false">IFERROR(IF([2]对账明细接口!$O814=0,"",[2]对账明细接口!$O814),"")</f>
        <v/>
      </c>
      <c r="U814" s="112" t="str">
        <f aca="false">IFERROR(IF([2]对账明细接口!$P814=0,"",[2]对账明细接口!$P814),"")</f>
        <v/>
      </c>
      <c r="V814" s="112" t="str">
        <f aca="false">IFERROR(IF([2]对账明细接口!$Q814=0,"",[2]对账明细接口!$Q814),"")</f>
        <v/>
      </c>
      <c r="W814" s="10" t="str">
        <f aca="false">IFERROR(IF([2]对账明细接口!$R814=0,"",[2]对账明细接口!$R814),"")</f>
        <v/>
      </c>
      <c r="X814" s="10" t="str">
        <f aca="false">IFERROR(IF([2]对账明细接口!$S814=0,"",[2]对账明细接口!$S814),"")</f>
        <v/>
      </c>
      <c r="Y814" s="10" t="str">
        <f aca="false">IFERROR(IF([2]对账明细接口!$T814=0,"",[2]对账明细接口!$T814),"")</f>
        <v/>
      </c>
      <c r="Z814" s="113" t="str">
        <f aca="false">IFERROR(IF([2]对账明细接口!$U814=0,"",[2]对账明细接口!$U814),"")</f>
        <v/>
      </c>
      <c r="AA814" s="113" t="str">
        <f aca="false">IFERROR(IF([2]对账明细接口!$V814=0,"",[2]对账明细接口!$V814),"")</f>
        <v/>
      </c>
      <c r="AB814" s="10" t="str">
        <f aca="false">IFERROR(IF([2]对账明细接口!$W814=0,"",[2]对账明细接口!$W814),"")</f>
        <v/>
      </c>
      <c r="AC814" s="90" t="str">
        <f aca="false">IFERROR(IF([2]对账明细接口!$X815=0,"",[2]对账明细接口!$X815),"")</f>
        <v/>
      </c>
      <c r="AD814" s="90" t="str">
        <f aca="false">IFERROR(IF([2]对账明细接口!$Y815=0,"",[2]对账明细接口!$Y815),"")</f>
        <v/>
      </c>
      <c r="AE814" s="90" t="str">
        <f aca="false">IFERROR(IF([2]对账明细接口!$AA815=0,"",[2]对账明细接口!$AA815),"")</f>
        <v/>
      </c>
      <c r="AF814" s="90" t="str">
        <f aca="false">IFERROR(IF([2]对账明细接口!$AB815=0,"",[2]对账明细接口!$AB815),"")</f>
        <v/>
      </c>
      <c r="AG814" s="90" t="str">
        <f aca="false">IFERROR(IF([2]对账明细接口!$AC815=0,"",[2]对账明细接口!$AC815),"")</f>
        <v/>
      </c>
      <c r="AH814" s="90" t="str">
        <f aca="false">IFERROR(IF([2]对账明细接口!$AD815=0,"",[2]对账明细接口!$AD815),"")</f>
        <v/>
      </c>
    </row>
    <row r="815" customFormat="false" ht="13.5" hidden="false" customHeight="false" outlineLevel="0" collapsed="false">
      <c r="A815" s="109" t="n">
        <v>815</v>
      </c>
      <c r="B815" s="110" t="str">
        <f aca="false">IFERROR(IF([2]对账明细接口!$B$815=0,"",[2]对账明细接口!$B$815),"")</f>
        <v/>
      </c>
      <c r="C815" s="59" t="str">
        <f aca="false">IFERROR(IF([2]对账明细接口!$C$815=0,"",[2]对账明细接口!$C$815),"")</f>
        <v/>
      </c>
      <c r="D815" s="59" t="str">
        <f aca="false">IFERROR(IF([2]对账明细接口!$D$815=0,"",[2]对账明细接口!$D$815),"")</f>
        <v/>
      </c>
      <c r="E815" s="59" t="str">
        <f aca="false">IFERROR(IF([2]对账明细接口!$E$815=0,"",[2]对账明细接口!$E$815),"")</f>
        <v/>
      </c>
      <c r="F815" s="59" t="str">
        <f aca="false">IFERROR(IF([2]对账明细接口!$F$815=0,"",[2]对账明细接口!$F$815),"")</f>
        <v/>
      </c>
      <c r="G815" s="59" t="str">
        <f aca="false">IFERROR(IF([2]对账明细接口!$G$815=0,"",[2]对账明细接口!$G$815),"")</f>
        <v/>
      </c>
      <c r="H815" s="60" t="str">
        <f aca="false">IFERROR(IF([2]对账明细接口!$H$815=0,"",[2]对账明细接口!$H$815),"")</f>
        <v/>
      </c>
      <c r="I815" s="59" t="str">
        <f aca="false">IFERROR(IF([2]对账明细接口!$I$815=0,"",[2]对账明细接口!$I$815),"")</f>
        <v/>
      </c>
      <c r="J815" s="61" t="str">
        <f aca="false">IFERROR(IF([2]对账明细接口!$J$815=0,"",[2]对账明细接口!$J$815),"")</f>
        <v/>
      </c>
      <c r="K815" s="61" t="str">
        <f aca="false">IFERROR(IF([2]对账明细接口!$K$815=0,"",[2]对账明细接口!$K$815),"")</f>
        <v/>
      </c>
      <c r="L815" s="59" t="str">
        <f aca="false">IFERROR(IF([2]对账明细接口!$L$815=0,"",[2]对账明细接口!$L$815),"")</f>
        <v/>
      </c>
      <c r="M815" s="59" t="str">
        <f aca="false">IFERROR(IF([2]对账明细接口!$M$815=0,"",[2]对账明细接口!$M$815),"")</f>
        <v/>
      </c>
      <c r="N815" s="111" t="n">
        <f aca="false">IF($C815="",0,1)</f>
        <v>0</v>
      </c>
      <c r="O815" s="111" t="n">
        <f aca="false">N(O814)+$N815</f>
        <v>311</v>
      </c>
      <c r="S815" s="10" t="str">
        <f aca="false">IFERROR(IF([2]对账明细接口!$N815=0,"",[2]对账明细接口!$N815),"")</f>
        <v/>
      </c>
      <c r="T815" s="112" t="str">
        <f aca="false">IFERROR(IF([2]对账明细接口!$O815=0,"",[2]对账明细接口!$O815),"")</f>
        <v/>
      </c>
      <c r="U815" s="112" t="str">
        <f aca="false">IFERROR(IF([2]对账明细接口!$P815=0,"",[2]对账明细接口!$P815),"")</f>
        <v/>
      </c>
      <c r="V815" s="112" t="str">
        <f aca="false">IFERROR(IF([2]对账明细接口!$Q815=0,"",[2]对账明细接口!$Q815),"")</f>
        <v/>
      </c>
      <c r="W815" s="10" t="str">
        <f aca="false">IFERROR(IF([2]对账明细接口!$R815=0,"",[2]对账明细接口!$R815),"")</f>
        <v/>
      </c>
      <c r="X815" s="10" t="str">
        <f aca="false">IFERROR(IF([2]对账明细接口!$S815=0,"",[2]对账明细接口!$S815),"")</f>
        <v/>
      </c>
      <c r="Y815" s="10" t="str">
        <f aca="false">IFERROR(IF([2]对账明细接口!$T815=0,"",[2]对账明细接口!$T815),"")</f>
        <v/>
      </c>
      <c r="Z815" s="113" t="str">
        <f aca="false">IFERROR(IF([2]对账明细接口!$U815=0,"",[2]对账明细接口!$U815),"")</f>
        <v/>
      </c>
      <c r="AA815" s="113" t="str">
        <f aca="false">IFERROR(IF([2]对账明细接口!$V815=0,"",[2]对账明细接口!$V815),"")</f>
        <v/>
      </c>
      <c r="AB815" s="10" t="str">
        <f aca="false">IFERROR(IF([2]对账明细接口!$W815=0,"",[2]对账明细接口!$W815),"")</f>
        <v/>
      </c>
      <c r="AC815" s="90" t="str">
        <f aca="false">IFERROR(IF([2]对账明细接口!$X816=0,"",[2]对账明细接口!$X816),"")</f>
        <v/>
      </c>
      <c r="AD815" s="90" t="str">
        <f aca="false">IFERROR(IF([2]对账明细接口!$Y816=0,"",[2]对账明细接口!$Y816),"")</f>
        <v/>
      </c>
      <c r="AE815" s="90" t="str">
        <f aca="false">IFERROR(IF([2]对账明细接口!$AA816=0,"",[2]对账明细接口!$AA816),"")</f>
        <v/>
      </c>
      <c r="AF815" s="90" t="str">
        <f aca="false">IFERROR(IF([2]对账明细接口!$AB816=0,"",[2]对账明细接口!$AB816),"")</f>
        <v/>
      </c>
      <c r="AG815" s="90" t="str">
        <f aca="false">IFERROR(IF([2]对账明细接口!$AC816=0,"",[2]对账明细接口!$AC816),"")</f>
        <v/>
      </c>
      <c r="AH815" s="90" t="str">
        <f aca="false">IFERROR(IF([2]对账明细接口!$AD816=0,"",[2]对账明细接口!$AD816),"")</f>
        <v/>
      </c>
    </row>
    <row r="816" customFormat="false" ht="13.5" hidden="false" customHeight="false" outlineLevel="0" collapsed="false">
      <c r="A816" s="109" t="n">
        <v>816</v>
      </c>
      <c r="B816" s="110" t="str">
        <f aca="false">IFERROR(IF([2]对账明细接口!$B$816=0,"",[2]对账明细接口!$B$816),"")</f>
        <v/>
      </c>
      <c r="C816" s="59" t="str">
        <f aca="false">IFERROR(IF([2]对账明细接口!$C$816=0,"",[2]对账明细接口!$C$816),"")</f>
        <v/>
      </c>
      <c r="D816" s="59" t="str">
        <f aca="false">IFERROR(IF([2]对账明细接口!$D$816=0,"",[2]对账明细接口!$D$816),"")</f>
        <v/>
      </c>
      <c r="E816" s="59" t="str">
        <f aca="false">IFERROR(IF([2]对账明细接口!$E$816=0,"",[2]对账明细接口!$E$816),"")</f>
        <v/>
      </c>
      <c r="F816" s="59" t="str">
        <f aca="false">IFERROR(IF([2]对账明细接口!$F$816=0,"",[2]对账明细接口!$F$816),"")</f>
        <v/>
      </c>
      <c r="G816" s="59" t="str">
        <f aca="false">IFERROR(IF([2]对账明细接口!$G$816=0,"",[2]对账明细接口!$G$816),"")</f>
        <v/>
      </c>
      <c r="H816" s="60" t="str">
        <f aca="false">IFERROR(IF([2]对账明细接口!$H$816=0,"",[2]对账明细接口!$H$816),"")</f>
        <v/>
      </c>
      <c r="I816" s="59" t="str">
        <f aca="false">IFERROR(IF([2]对账明细接口!$I$816=0,"",[2]对账明细接口!$I$816),"")</f>
        <v/>
      </c>
      <c r="J816" s="61" t="str">
        <f aca="false">IFERROR(IF([2]对账明细接口!$J$816=0,"",[2]对账明细接口!$J$816),"")</f>
        <v/>
      </c>
      <c r="K816" s="61" t="str">
        <f aca="false">IFERROR(IF([2]对账明细接口!$K$816=0,"",[2]对账明细接口!$K$816),"")</f>
        <v/>
      </c>
      <c r="L816" s="59" t="str">
        <f aca="false">IFERROR(IF([2]对账明细接口!$L$816=0,"",[2]对账明细接口!$L$816),"")</f>
        <v/>
      </c>
      <c r="M816" s="59" t="str">
        <f aca="false">IFERROR(IF([2]对账明细接口!$M$816=0,"",[2]对账明细接口!$M$816),"")</f>
        <v/>
      </c>
      <c r="N816" s="111" t="n">
        <f aca="false">IF($C816="",0,1)</f>
        <v>0</v>
      </c>
      <c r="O816" s="111" t="n">
        <f aca="false">N(O815)+$N816</f>
        <v>311</v>
      </c>
      <c r="S816" s="10" t="str">
        <f aca="false">IFERROR(IF([2]对账明细接口!$N816=0,"",[2]对账明细接口!$N816),"")</f>
        <v/>
      </c>
      <c r="T816" s="112" t="str">
        <f aca="false">IFERROR(IF([2]对账明细接口!$O816=0,"",[2]对账明细接口!$O816),"")</f>
        <v/>
      </c>
      <c r="U816" s="112" t="str">
        <f aca="false">IFERROR(IF([2]对账明细接口!$P816=0,"",[2]对账明细接口!$P816),"")</f>
        <v/>
      </c>
      <c r="V816" s="112" t="str">
        <f aca="false">IFERROR(IF([2]对账明细接口!$Q816=0,"",[2]对账明细接口!$Q816),"")</f>
        <v/>
      </c>
      <c r="W816" s="10" t="str">
        <f aca="false">IFERROR(IF([2]对账明细接口!$R816=0,"",[2]对账明细接口!$R816),"")</f>
        <v/>
      </c>
      <c r="X816" s="10" t="str">
        <f aca="false">IFERROR(IF([2]对账明细接口!$S816=0,"",[2]对账明细接口!$S816),"")</f>
        <v/>
      </c>
      <c r="Y816" s="10" t="str">
        <f aca="false">IFERROR(IF([2]对账明细接口!$T816=0,"",[2]对账明细接口!$T816),"")</f>
        <v/>
      </c>
      <c r="Z816" s="113" t="str">
        <f aca="false">IFERROR(IF([2]对账明细接口!$U816=0,"",[2]对账明细接口!$U816),"")</f>
        <v/>
      </c>
      <c r="AA816" s="113" t="str">
        <f aca="false">IFERROR(IF([2]对账明细接口!$V816=0,"",[2]对账明细接口!$V816),"")</f>
        <v/>
      </c>
      <c r="AB816" s="10" t="str">
        <f aca="false">IFERROR(IF([2]对账明细接口!$W816=0,"",[2]对账明细接口!$W816),"")</f>
        <v/>
      </c>
      <c r="AC816" s="90" t="str">
        <f aca="false">IFERROR(IF([2]对账明细接口!$X817=0,"",[2]对账明细接口!$X817),"")</f>
        <v/>
      </c>
      <c r="AD816" s="90" t="str">
        <f aca="false">IFERROR(IF([2]对账明细接口!$Y817=0,"",[2]对账明细接口!$Y817),"")</f>
        <v/>
      </c>
      <c r="AE816" s="90" t="str">
        <f aca="false">IFERROR(IF([2]对账明细接口!$AA817=0,"",[2]对账明细接口!$AA817),"")</f>
        <v/>
      </c>
      <c r="AF816" s="90" t="str">
        <f aca="false">IFERROR(IF([2]对账明细接口!$AB817=0,"",[2]对账明细接口!$AB817),"")</f>
        <v/>
      </c>
      <c r="AG816" s="90" t="str">
        <f aca="false">IFERROR(IF([2]对账明细接口!$AC817=0,"",[2]对账明细接口!$AC817),"")</f>
        <v/>
      </c>
      <c r="AH816" s="90" t="str">
        <f aca="false">IFERROR(IF([2]对账明细接口!$AD817=0,"",[2]对账明细接口!$AD817),"")</f>
        <v/>
      </c>
    </row>
    <row r="817" customFormat="false" ht="13.5" hidden="false" customHeight="false" outlineLevel="0" collapsed="false">
      <c r="A817" s="109" t="n">
        <v>817</v>
      </c>
      <c r="B817" s="110" t="str">
        <f aca="false">IFERROR(IF([2]对账明细接口!$B$817=0,"",[2]对账明细接口!$B$817),"")</f>
        <v/>
      </c>
      <c r="C817" s="59" t="str">
        <f aca="false">IFERROR(IF([2]对账明细接口!$C$817=0,"",[2]对账明细接口!$C$817),"")</f>
        <v/>
      </c>
      <c r="D817" s="59" t="str">
        <f aca="false">IFERROR(IF([2]对账明细接口!$D$817=0,"",[2]对账明细接口!$D$817),"")</f>
        <v/>
      </c>
      <c r="E817" s="59" t="str">
        <f aca="false">IFERROR(IF([2]对账明细接口!$E$817=0,"",[2]对账明细接口!$E$817),"")</f>
        <v/>
      </c>
      <c r="F817" s="59" t="str">
        <f aca="false">IFERROR(IF([2]对账明细接口!$F$817=0,"",[2]对账明细接口!$F$817),"")</f>
        <v/>
      </c>
      <c r="G817" s="59" t="str">
        <f aca="false">IFERROR(IF([2]对账明细接口!$G$817=0,"",[2]对账明细接口!$G$817),"")</f>
        <v/>
      </c>
      <c r="H817" s="60" t="str">
        <f aca="false">IFERROR(IF([2]对账明细接口!$H$817=0,"",[2]对账明细接口!$H$817),"")</f>
        <v/>
      </c>
      <c r="I817" s="59" t="str">
        <f aca="false">IFERROR(IF([2]对账明细接口!$I$817=0,"",[2]对账明细接口!$I$817),"")</f>
        <v/>
      </c>
      <c r="J817" s="61" t="str">
        <f aca="false">IFERROR(IF([2]对账明细接口!$J$817=0,"",[2]对账明细接口!$J$817),"")</f>
        <v/>
      </c>
      <c r="K817" s="61" t="str">
        <f aca="false">IFERROR(IF([2]对账明细接口!$K$817=0,"",[2]对账明细接口!$K$817),"")</f>
        <v/>
      </c>
      <c r="L817" s="59" t="str">
        <f aca="false">IFERROR(IF([2]对账明细接口!$L$817=0,"",[2]对账明细接口!$L$817),"")</f>
        <v/>
      </c>
      <c r="M817" s="59" t="str">
        <f aca="false">IFERROR(IF([2]对账明细接口!$M$817=0,"",[2]对账明细接口!$M$817),"")</f>
        <v/>
      </c>
      <c r="N817" s="111" t="n">
        <f aca="false">IF($C817="",0,1)</f>
        <v>0</v>
      </c>
      <c r="O817" s="111" t="n">
        <f aca="false">N(O816)+$N817</f>
        <v>311</v>
      </c>
      <c r="S817" s="10" t="str">
        <f aca="false">IFERROR(IF([2]对账明细接口!$N817=0,"",[2]对账明细接口!$N817),"")</f>
        <v/>
      </c>
      <c r="T817" s="112" t="str">
        <f aca="false">IFERROR(IF([2]对账明细接口!$O817=0,"",[2]对账明细接口!$O817),"")</f>
        <v/>
      </c>
      <c r="U817" s="112" t="str">
        <f aca="false">IFERROR(IF([2]对账明细接口!$P817=0,"",[2]对账明细接口!$P817),"")</f>
        <v/>
      </c>
      <c r="V817" s="112" t="str">
        <f aca="false">IFERROR(IF([2]对账明细接口!$Q817=0,"",[2]对账明细接口!$Q817),"")</f>
        <v/>
      </c>
      <c r="W817" s="10" t="str">
        <f aca="false">IFERROR(IF([2]对账明细接口!$R817=0,"",[2]对账明细接口!$R817),"")</f>
        <v/>
      </c>
      <c r="X817" s="10" t="str">
        <f aca="false">IFERROR(IF([2]对账明细接口!$S817=0,"",[2]对账明细接口!$S817),"")</f>
        <v/>
      </c>
      <c r="Y817" s="10" t="str">
        <f aca="false">IFERROR(IF([2]对账明细接口!$T817=0,"",[2]对账明细接口!$T817),"")</f>
        <v/>
      </c>
      <c r="Z817" s="113" t="str">
        <f aca="false">IFERROR(IF([2]对账明细接口!$U817=0,"",[2]对账明细接口!$U817),"")</f>
        <v/>
      </c>
      <c r="AA817" s="113" t="str">
        <f aca="false">IFERROR(IF([2]对账明细接口!$V817=0,"",[2]对账明细接口!$V817),"")</f>
        <v/>
      </c>
      <c r="AB817" s="10" t="str">
        <f aca="false">IFERROR(IF([2]对账明细接口!$W817=0,"",[2]对账明细接口!$W817),"")</f>
        <v/>
      </c>
      <c r="AC817" s="90" t="str">
        <f aca="false">IFERROR(IF([2]对账明细接口!$X818=0,"",[2]对账明细接口!$X818),"")</f>
        <v/>
      </c>
      <c r="AD817" s="90" t="str">
        <f aca="false">IFERROR(IF([2]对账明细接口!$Y818=0,"",[2]对账明细接口!$Y818),"")</f>
        <v/>
      </c>
      <c r="AE817" s="90" t="str">
        <f aca="false">IFERROR(IF([2]对账明细接口!$AA818=0,"",[2]对账明细接口!$AA818),"")</f>
        <v/>
      </c>
      <c r="AF817" s="90" t="str">
        <f aca="false">IFERROR(IF([2]对账明细接口!$AB818=0,"",[2]对账明细接口!$AB818),"")</f>
        <v/>
      </c>
      <c r="AG817" s="90" t="str">
        <f aca="false">IFERROR(IF([2]对账明细接口!$AC818=0,"",[2]对账明细接口!$AC818),"")</f>
        <v/>
      </c>
      <c r="AH817" s="90" t="str">
        <f aca="false">IFERROR(IF([2]对账明细接口!$AD818=0,"",[2]对账明细接口!$AD818),"")</f>
        <v/>
      </c>
    </row>
    <row r="818" customFormat="false" ht="13.5" hidden="false" customHeight="false" outlineLevel="0" collapsed="false">
      <c r="A818" s="109" t="n">
        <v>818</v>
      </c>
      <c r="B818" s="110" t="str">
        <f aca="false">IFERROR(IF([2]对账明细接口!$B$818=0,"",[2]对账明细接口!$B$818),"")</f>
        <v/>
      </c>
      <c r="C818" s="59" t="str">
        <f aca="false">IFERROR(IF([2]对账明细接口!$C$818=0,"",[2]对账明细接口!$C$818),"")</f>
        <v/>
      </c>
      <c r="D818" s="59" t="str">
        <f aca="false">IFERROR(IF([2]对账明细接口!$D$818=0,"",[2]对账明细接口!$D$818),"")</f>
        <v/>
      </c>
      <c r="E818" s="59" t="str">
        <f aca="false">IFERROR(IF([2]对账明细接口!$E$818=0,"",[2]对账明细接口!$E$818),"")</f>
        <v/>
      </c>
      <c r="F818" s="59" t="str">
        <f aca="false">IFERROR(IF([2]对账明细接口!$F$818=0,"",[2]对账明细接口!$F$818),"")</f>
        <v/>
      </c>
      <c r="G818" s="59" t="str">
        <f aca="false">IFERROR(IF([2]对账明细接口!$G$818=0,"",[2]对账明细接口!$G$818),"")</f>
        <v/>
      </c>
      <c r="H818" s="60" t="str">
        <f aca="false">IFERROR(IF([2]对账明细接口!$H$818=0,"",[2]对账明细接口!$H$818),"")</f>
        <v/>
      </c>
      <c r="I818" s="59" t="str">
        <f aca="false">IFERROR(IF([2]对账明细接口!$I$818=0,"",[2]对账明细接口!$I$818),"")</f>
        <v/>
      </c>
      <c r="J818" s="61" t="str">
        <f aca="false">IFERROR(IF([2]对账明细接口!$J$818=0,"",[2]对账明细接口!$J$818),"")</f>
        <v/>
      </c>
      <c r="K818" s="61" t="str">
        <f aca="false">IFERROR(IF([2]对账明细接口!$K$818=0,"",[2]对账明细接口!$K$818),"")</f>
        <v/>
      </c>
      <c r="L818" s="59" t="str">
        <f aca="false">IFERROR(IF([2]对账明细接口!$L$818=0,"",[2]对账明细接口!$L$818),"")</f>
        <v/>
      </c>
      <c r="M818" s="59" t="str">
        <f aca="false">IFERROR(IF([2]对账明细接口!$M$818=0,"",[2]对账明细接口!$M$818),"")</f>
        <v/>
      </c>
      <c r="N818" s="111" t="n">
        <f aca="false">IF($C818="",0,1)</f>
        <v>0</v>
      </c>
      <c r="O818" s="111" t="n">
        <f aca="false">N(O817)+$N818</f>
        <v>311</v>
      </c>
      <c r="S818" s="10" t="str">
        <f aca="false">IFERROR(IF([2]对账明细接口!$N818=0,"",[2]对账明细接口!$N818),"")</f>
        <v/>
      </c>
      <c r="T818" s="112" t="str">
        <f aca="false">IFERROR(IF([2]对账明细接口!$O818=0,"",[2]对账明细接口!$O818),"")</f>
        <v/>
      </c>
      <c r="U818" s="112" t="str">
        <f aca="false">IFERROR(IF([2]对账明细接口!$P818=0,"",[2]对账明细接口!$P818),"")</f>
        <v/>
      </c>
      <c r="V818" s="112" t="str">
        <f aca="false">IFERROR(IF([2]对账明细接口!$Q818=0,"",[2]对账明细接口!$Q818),"")</f>
        <v/>
      </c>
      <c r="W818" s="10" t="str">
        <f aca="false">IFERROR(IF([2]对账明细接口!$R818=0,"",[2]对账明细接口!$R818),"")</f>
        <v/>
      </c>
      <c r="X818" s="10" t="str">
        <f aca="false">IFERROR(IF([2]对账明细接口!$S818=0,"",[2]对账明细接口!$S818),"")</f>
        <v/>
      </c>
      <c r="Y818" s="10" t="str">
        <f aca="false">IFERROR(IF([2]对账明细接口!$T818=0,"",[2]对账明细接口!$T818),"")</f>
        <v/>
      </c>
      <c r="Z818" s="113" t="str">
        <f aca="false">IFERROR(IF([2]对账明细接口!$U818=0,"",[2]对账明细接口!$U818),"")</f>
        <v/>
      </c>
      <c r="AA818" s="113" t="str">
        <f aca="false">IFERROR(IF([2]对账明细接口!$V818=0,"",[2]对账明细接口!$V818),"")</f>
        <v/>
      </c>
      <c r="AB818" s="10" t="str">
        <f aca="false">IFERROR(IF([2]对账明细接口!$W818=0,"",[2]对账明细接口!$W818),"")</f>
        <v/>
      </c>
      <c r="AC818" s="90" t="str">
        <f aca="false">IFERROR(IF([2]对账明细接口!$X819=0,"",[2]对账明细接口!$X819),"")</f>
        <v/>
      </c>
      <c r="AD818" s="90" t="str">
        <f aca="false">IFERROR(IF([2]对账明细接口!$Y819=0,"",[2]对账明细接口!$Y819),"")</f>
        <v/>
      </c>
      <c r="AE818" s="90" t="str">
        <f aca="false">IFERROR(IF([2]对账明细接口!$AA819=0,"",[2]对账明细接口!$AA819),"")</f>
        <v/>
      </c>
      <c r="AF818" s="90" t="str">
        <f aca="false">IFERROR(IF([2]对账明细接口!$AB819=0,"",[2]对账明细接口!$AB819),"")</f>
        <v/>
      </c>
      <c r="AG818" s="90" t="str">
        <f aca="false">IFERROR(IF([2]对账明细接口!$AC819=0,"",[2]对账明细接口!$AC819),"")</f>
        <v/>
      </c>
      <c r="AH818" s="90" t="str">
        <f aca="false">IFERROR(IF([2]对账明细接口!$AD819=0,"",[2]对账明细接口!$AD819),"")</f>
        <v/>
      </c>
    </row>
    <row r="819" customFormat="false" ht="13.5" hidden="false" customHeight="false" outlineLevel="0" collapsed="false">
      <c r="A819" s="109" t="n">
        <v>819</v>
      </c>
      <c r="B819" s="110" t="str">
        <f aca="false">IFERROR(IF([2]对账明细接口!$B$819=0,"",[2]对账明细接口!$B$819),"")</f>
        <v/>
      </c>
      <c r="C819" s="59" t="str">
        <f aca="false">IFERROR(IF([2]对账明细接口!$C$819=0,"",[2]对账明细接口!$C$819),"")</f>
        <v/>
      </c>
      <c r="D819" s="59" t="str">
        <f aca="false">IFERROR(IF([2]对账明细接口!$D$819=0,"",[2]对账明细接口!$D$819),"")</f>
        <v/>
      </c>
      <c r="E819" s="59" t="str">
        <f aca="false">IFERROR(IF([2]对账明细接口!$E$819=0,"",[2]对账明细接口!$E$819),"")</f>
        <v/>
      </c>
      <c r="F819" s="59" t="str">
        <f aca="false">IFERROR(IF([2]对账明细接口!$F$819=0,"",[2]对账明细接口!$F$819),"")</f>
        <v/>
      </c>
      <c r="G819" s="59" t="str">
        <f aca="false">IFERROR(IF([2]对账明细接口!$G$819=0,"",[2]对账明细接口!$G$819),"")</f>
        <v/>
      </c>
      <c r="H819" s="60" t="str">
        <f aca="false">IFERROR(IF([2]对账明细接口!$H$819=0,"",[2]对账明细接口!$H$819),"")</f>
        <v/>
      </c>
      <c r="I819" s="59" t="str">
        <f aca="false">IFERROR(IF([2]对账明细接口!$I$819=0,"",[2]对账明细接口!$I$819),"")</f>
        <v/>
      </c>
      <c r="J819" s="61" t="str">
        <f aca="false">IFERROR(IF([2]对账明细接口!$J$819=0,"",[2]对账明细接口!$J$819),"")</f>
        <v/>
      </c>
      <c r="K819" s="61" t="str">
        <f aca="false">IFERROR(IF([2]对账明细接口!$K$819=0,"",[2]对账明细接口!$K$819),"")</f>
        <v/>
      </c>
      <c r="L819" s="59" t="str">
        <f aca="false">IFERROR(IF([2]对账明细接口!$L$819=0,"",[2]对账明细接口!$L$819),"")</f>
        <v/>
      </c>
      <c r="M819" s="59" t="str">
        <f aca="false">IFERROR(IF([2]对账明细接口!$M$819=0,"",[2]对账明细接口!$M$819),"")</f>
        <v/>
      </c>
      <c r="N819" s="111" t="n">
        <f aca="false">IF($C819="",0,1)</f>
        <v>0</v>
      </c>
      <c r="O819" s="111" t="n">
        <f aca="false">N(O818)+$N819</f>
        <v>311</v>
      </c>
      <c r="S819" s="10" t="str">
        <f aca="false">IFERROR(IF([2]对账明细接口!$N819=0,"",[2]对账明细接口!$N819),"")</f>
        <v/>
      </c>
      <c r="T819" s="112" t="str">
        <f aca="false">IFERROR(IF([2]对账明细接口!$O819=0,"",[2]对账明细接口!$O819),"")</f>
        <v/>
      </c>
      <c r="U819" s="112" t="str">
        <f aca="false">IFERROR(IF([2]对账明细接口!$P819=0,"",[2]对账明细接口!$P819),"")</f>
        <v/>
      </c>
      <c r="V819" s="112" t="str">
        <f aca="false">IFERROR(IF([2]对账明细接口!$Q819=0,"",[2]对账明细接口!$Q819),"")</f>
        <v/>
      </c>
      <c r="W819" s="10" t="str">
        <f aca="false">IFERROR(IF([2]对账明细接口!$R819=0,"",[2]对账明细接口!$R819),"")</f>
        <v/>
      </c>
      <c r="X819" s="10" t="str">
        <f aca="false">IFERROR(IF([2]对账明细接口!$S819=0,"",[2]对账明细接口!$S819),"")</f>
        <v/>
      </c>
      <c r="Y819" s="10" t="str">
        <f aca="false">IFERROR(IF([2]对账明细接口!$T819=0,"",[2]对账明细接口!$T819),"")</f>
        <v/>
      </c>
      <c r="Z819" s="113" t="str">
        <f aca="false">IFERROR(IF([2]对账明细接口!$U819=0,"",[2]对账明细接口!$U819),"")</f>
        <v/>
      </c>
      <c r="AA819" s="113" t="str">
        <f aca="false">IFERROR(IF([2]对账明细接口!$V819=0,"",[2]对账明细接口!$V819),"")</f>
        <v/>
      </c>
      <c r="AB819" s="10" t="str">
        <f aca="false">IFERROR(IF([2]对账明细接口!$W819=0,"",[2]对账明细接口!$W819),"")</f>
        <v/>
      </c>
      <c r="AC819" s="90" t="str">
        <f aca="false">IFERROR(IF([2]对账明细接口!$X820=0,"",[2]对账明细接口!$X820),"")</f>
        <v/>
      </c>
      <c r="AD819" s="90" t="str">
        <f aca="false">IFERROR(IF([2]对账明细接口!$Y820=0,"",[2]对账明细接口!$Y820),"")</f>
        <v/>
      </c>
      <c r="AE819" s="90" t="str">
        <f aca="false">IFERROR(IF([2]对账明细接口!$AA820=0,"",[2]对账明细接口!$AA820),"")</f>
        <v/>
      </c>
      <c r="AF819" s="90" t="str">
        <f aca="false">IFERROR(IF([2]对账明细接口!$AB820=0,"",[2]对账明细接口!$AB820),"")</f>
        <v/>
      </c>
      <c r="AG819" s="90" t="str">
        <f aca="false">IFERROR(IF([2]对账明细接口!$AC820=0,"",[2]对账明细接口!$AC820),"")</f>
        <v/>
      </c>
      <c r="AH819" s="90" t="str">
        <f aca="false">IFERROR(IF([2]对账明细接口!$AD820=0,"",[2]对账明细接口!$AD820),"")</f>
        <v/>
      </c>
    </row>
    <row r="820" customFormat="false" ht="13.5" hidden="false" customHeight="false" outlineLevel="0" collapsed="false">
      <c r="A820" s="109" t="n">
        <v>820</v>
      </c>
      <c r="B820" s="110" t="str">
        <f aca="false">IFERROR(IF([2]对账明细接口!$B$820=0,"",[2]对账明细接口!$B$820),"")</f>
        <v/>
      </c>
      <c r="C820" s="59" t="str">
        <f aca="false">IFERROR(IF([2]对账明细接口!$C$820=0,"",[2]对账明细接口!$C$820),"")</f>
        <v/>
      </c>
      <c r="D820" s="59" t="str">
        <f aca="false">IFERROR(IF([2]对账明细接口!$D$820=0,"",[2]对账明细接口!$D$820),"")</f>
        <v/>
      </c>
      <c r="E820" s="59" t="str">
        <f aca="false">IFERROR(IF([2]对账明细接口!$E$820=0,"",[2]对账明细接口!$E$820),"")</f>
        <v/>
      </c>
      <c r="F820" s="59" t="str">
        <f aca="false">IFERROR(IF([2]对账明细接口!$F$820=0,"",[2]对账明细接口!$F$820),"")</f>
        <v/>
      </c>
      <c r="G820" s="59" t="str">
        <f aca="false">IFERROR(IF([2]对账明细接口!$G$820=0,"",[2]对账明细接口!$G$820),"")</f>
        <v/>
      </c>
      <c r="H820" s="60" t="str">
        <f aca="false">IFERROR(IF([2]对账明细接口!$H$820=0,"",[2]对账明细接口!$H$820),"")</f>
        <v/>
      </c>
      <c r="I820" s="59" t="str">
        <f aca="false">IFERROR(IF([2]对账明细接口!$I$820=0,"",[2]对账明细接口!$I$820),"")</f>
        <v/>
      </c>
      <c r="J820" s="61" t="str">
        <f aca="false">IFERROR(IF([2]对账明细接口!$J$820=0,"",[2]对账明细接口!$J$820),"")</f>
        <v/>
      </c>
      <c r="K820" s="61" t="str">
        <f aca="false">IFERROR(IF([2]对账明细接口!$K$820=0,"",[2]对账明细接口!$K$820),"")</f>
        <v/>
      </c>
      <c r="L820" s="59" t="str">
        <f aca="false">IFERROR(IF([2]对账明细接口!$L$820=0,"",[2]对账明细接口!$L$820),"")</f>
        <v/>
      </c>
      <c r="M820" s="59" t="str">
        <f aca="false">IFERROR(IF([2]对账明细接口!$M$820=0,"",[2]对账明细接口!$M$820),"")</f>
        <v/>
      </c>
      <c r="N820" s="111" t="n">
        <f aca="false">IF($C820="",0,1)</f>
        <v>0</v>
      </c>
      <c r="O820" s="111" t="n">
        <f aca="false">N(O819)+$N820</f>
        <v>311</v>
      </c>
      <c r="S820" s="10" t="str">
        <f aca="false">IFERROR(IF([2]对账明细接口!$N820=0,"",[2]对账明细接口!$N820),"")</f>
        <v/>
      </c>
      <c r="T820" s="112" t="str">
        <f aca="false">IFERROR(IF([2]对账明细接口!$O820=0,"",[2]对账明细接口!$O820),"")</f>
        <v/>
      </c>
      <c r="U820" s="112" t="str">
        <f aca="false">IFERROR(IF([2]对账明细接口!$P820=0,"",[2]对账明细接口!$P820),"")</f>
        <v/>
      </c>
      <c r="V820" s="112" t="str">
        <f aca="false">IFERROR(IF([2]对账明细接口!$Q820=0,"",[2]对账明细接口!$Q820),"")</f>
        <v/>
      </c>
      <c r="W820" s="10" t="str">
        <f aca="false">IFERROR(IF([2]对账明细接口!$R820=0,"",[2]对账明细接口!$R820),"")</f>
        <v/>
      </c>
      <c r="X820" s="10" t="str">
        <f aca="false">IFERROR(IF([2]对账明细接口!$S820=0,"",[2]对账明细接口!$S820),"")</f>
        <v/>
      </c>
      <c r="Y820" s="10" t="str">
        <f aca="false">IFERROR(IF([2]对账明细接口!$T820=0,"",[2]对账明细接口!$T820),"")</f>
        <v/>
      </c>
      <c r="Z820" s="113" t="str">
        <f aca="false">IFERROR(IF([2]对账明细接口!$U820=0,"",[2]对账明细接口!$U820),"")</f>
        <v/>
      </c>
      <c r="AA820" s="113" t="str">
        <f aca="false">IFERROR(IF([2]对账明细接口!$V820=0,"",[2]对账明细接口!$V820),"")</f>
        <v/>
      </c>
      <c r="AB820" s="10" t="str">
        <f aca="false">IFERROR(IF([2]对账明细接口!$W820=0,"",[2]对账明细接口!$W820),"")</f>
        <v/>
      </c>
      <c r="AC820" s="90" t="str">
        <f aca="false">IFERROR(IF([2]对账明细接口!$X821=0,"",[2]对账明细接口!$X821),"")</f>
        <v/>
      </c>
      <c r="AD820" s="90" t="str">
        <f aca="false">IFERROR(IF([2]对账明细接口!$Y821=0,"",[2]对账明细接口!$Y821),"")</f>
        <v/>
      </c>
      <c r="AE820" s="90" t="str">
        <f aca="false">IFERROR(IF([2]对账明细接口!$AA821=0,"",[2]对账明细接口!$AA821),"")</f>
        <v/>
      </c>
      <c r="AF820" s="90" t="str">
        <f aca="false">IFERROR(IF([2]对账明细接口!$AB821=0,"",[2]对账明细接口!$AB821),"")</f>
        <v/>
      </c>
      <c r="AG820" s="90" t="str">
        <f aca="false">IFERROR(IF([2]对账明细接口!$AC821=0,"",[2]对账明细接口!$AC821),"")</f>
        <v/>
      </c>
      <c r="AH820" s="90" t="str">
        <f aca="false">IFERROR(IF([2]对账明细接口!$AD821=0,"",[2]对账明细接口!$AD821),"")</f>
        <v/>
      </c>
    </row>
    <row r="821" customFormat="false" ht="13.5" hidden="false" customHeight="false" outlineLevel="0" collapsed="false">
      <c r="A821" s="109" t="n">
        <v>821</v>
      </c>
      <c r="B821" s="110" t="str">
        <f aca="false">IFERROR(IF([2]对账明细接口!$B$821=0,"",[2]对账明细接口!$B$821),"")</f>
        <v/>
      </c>
      <c r="C821" s="59" t="str">
        <f aca="false">IFERROR(IF([2]对账明细接口!$C$821=0,"",[2]对账明细接口!$C$821),"")</f>
        <v/>
      </c>
      <c r="D821" s="59" t="str">
        <f aca="false">IFERROR(IF([2]对账明细接口!$D$821=0,"",[2]对账明细接口!$D$821),"")</f>
        <v/>
      </c>
      <c r="E821" s="59" t="str">
        <f aca="false">IFERROR(IF([2]对账明细接口!$E$821=0,"",[2]对账明细接口!$E$821),"")</f>
        <v/>
      </c>
      <c r="F821" s="59" t="str">
        <f aca="false">IFERROR(IF([2]对账明细接口!$F$821=0,"",[2]对账明细接口!$F$821),"")</f>
        <v/>
      </c>
      <c r="G821" s="59" t="str">
        <f aca="false">IFERROR(IF([2]对账明细接口!$G$821=0,"",[2]对账明细接口!$G$821),"")</f>
        <v/>
      </c>
      <c r="H821" s="60" t="str">
        <f aca="false">IFERROR(IF([2]对账明细接口!$H$821=0,"",[2]对账明细接口!$H$821),"")</f>
        <v/>
      </c>
      <c r="I821" s="59" t="str">
        <f aca="false">IFERROR(IF([2]对账明细接口!$I$821=0,"",[2]对账明细接口!$I$821),"")</f>
        <v/>
      </c>
      <c r="J821" s="61" t="str">
        <f aca="false">IFERROR(IF([2]对账明细接口!$J$821=0,"",[2]对账明细接口!$J$821),"")</f>
        <v/>
      </c>
      <c r="K821" s="61" t="str">
        <f aca="false">IFERROR(IF([2]对账明细接口!$K$821=0,"",[2]对账明细接口!$K$821),"")</f>
        <v/>
      </c>
      <c r="L821" s="59" t="str">
        <f aca="false">IFERROR(IF([2]对账明细接口!$L$821=0,"",[2]对账明细接口!$L$821),"")</f>
        <v/>
      </c>
      <c r="M821" s="59" t="str">
        <f aca="false">IFERROR(IF([2]对账明细接口!$M$821=0,"",[2]对账明细接口!$M$821),"")</f>
        <v/>
      </c>
      <c r="N821" s="111" t="n">
        <f aca="false">IF($C821="",0,1)</f>
        <v>0</v>
      </c>
      <c r="O821" s="111" t="n">
        <f aca="false">N(O820)+$N821</f>
        <v>311</v>
      </c>
      <c r="S821" s="10" t="str">
        <f aca="false">IFERROR(IF([2]对账明细接口!$N821=0,"",[2]对账明细接口!$N821),"")</f>
        <v/>
      </c>
      <c r="T821" s="112" t="str">
        <f aca="false">IFERROR(IF([2]对账明细接口!$O821=0,"",[2]对账明细接口!$O821),"")</f>
        <v/>
      </c>
      <c r="U821" s="112" t="str">
        <f aca="false">IFERROR(IF([2]对账明细接口!$P821=0,"",[2]对账明细接口!$P821),"")</f>
        <v/>
      </c>
      <c r="V821" s="112" t="str">
        <f aca="false">IFERROR(IF([2]对账明细接口!$Q821=0,"",[2]对账明细接口!$Q821),"")</f>
        <v/>
      </c>
      <c r="W821" s="10" t="str">
        <f aca="false">IFERROR(IF([2]对账明细接口!$R821=0,"",[2]对账明细接口!$R821),"")</f>
        <v/>
      </c>
      <c r="X821" s="10" t="str">
        <f aca="false">IFERROR(IF([2]对账明细接口!$S821=0,"",[2]对账明细接口!$S821),"")</f>
        <v/>
      </c>
      <c r="Y821" s="10" t="str">
        <f aca="false">IFERROR(IF([2]对账明细接口!$T821=0,"",[2]对账明细接口!$T821),"")</f>
        <v/>
      </c>
      <c r="Z821" s="113" t="str">
        <f aca="false">IFERROR(IF([2]对账明细接口!$U821=0,"",[2]对账明细接口!$U821),"")</f>
        <v/>
      </c>
      <c r="AA821" s="113" t="str">
        <f aca="false">IFERROR(IF([2]对账明细接口!$V821=0,"",[2]对账明细接口!$V821),"")</f>
        <v/>
      </c>
      <c r="AB821" s="10" t="str">
        <f aca="false">IFERROR(IF([2]对账明细接口!$W821=0,"",[2]对账明细接口!$W821),"")</f>
        <v/>
      </c>
      <c r="AC821" s="90" t="str">
        <f aca="false">IFERROR(IF([2]对账明细接口!$X822=0,"",[2]对账明细接口!$X822),"")</f>
        <v/>
      </c>
      <c r="AD821" s="90" t="str">
        <f aca="false">IFERROR(IF([2]对账明细接口!$Y822=0,"",[2]对账明细接口!$Y822),"")</f>
        <v/>
      </c>
      <c r="AE821" s="90" t="str">
        <f aca="false">IFERROR(IF([2]对账明细接口!$AA822=0,"",[2]对账明细接口!$AA822),"")</f>
        <v/>
      </c>
      <c r="AF821" s="90" t="str">
        <f aca="false">IFERROR(IF([2]对账明细接口!$AB822=0,"",[2]对账明细接口!$AB822),"")</f>
        <v/>
      </c>
      <c r="AG821" s="90" t="str">
        <f aca="false">IFERROR(IF([2]对账明细接口!$AC822=0,"",[2]对账明细接口!$AC822),"")</f>
        <v/>
      </c>
      <c r="AH821" s="90" t="str">
        <f aca="false">IFERROR(IF([2]对账明细接口!$AD822=0,"",[2]对账明细接口!$AD822),"")</f>
        <v/>
      </c>
    </row>
    <row r="822" customFormat="false" ht="13.5" hidden="false" customHeight="false" outlineLevel="0" collapsed="false">
      <c r="A822" s="109" t="n">
        <v>822</v>
      </c>
      <c r="B822" s="110" t="str">
        <f aca="false">IFERROR(IF([2]对账明细接口!$B$822=0,"",[2]对账明细接口!$B$822),"")</f>
        <v/>
      </c>
      <c r="C822" s="59" t="str">
        <f aca="false">IFERROR(IF([2]对账明细接口!$C$822=0,"",[2]对账明细接口!$C$822),"")</f>
        <v/>
      </c>
      <c r="D822" s="59" t="str">
        <f aca="false">IFERROR(IF([2]对账明细接口!$D$822=0,"",[2]对账明细接口!$D$822),"")</f>
        <v/>
      </c>
      <c r="E822" s="59" t="str">
        <f aca="false">IFERROR(IF([2]对账明细接口!$E$822=0,"",[2]对账明细接口!$E$822),"")</f>
        <v/>
      </c>
      <c r="F822" s="59" t="str">
        <f aca="false">IFERROR(IF([2]对账明细接口!$F$822=0,"",[2]对账明细接口!$F$822),"")</f>
        <v/>
      </c>
      <c r="G822" s="59" t="str">
        <f aca="false">IFERROR(IF([2]对账明细接口!$G$822=0,"",[2]对账明细接口!$G$822),"")</f>
        <v/>
      </c>
      <c r="H822" s="60" t="str">
        <f aca="false">IFERROR(IF([2]对账明细接口!$H$822=0,"",[2]对账明细接口!$H$822),"")</f>
        <v/>
      </c>
      <c r="I822" s="59" t="str">
        <f aca="false">IFERROR(IF([2]对账明细接口!$I$822=0,"",[2]对账明细接口!$I$822),"")</f>
        <v/>
      </c>
      <c r="J822" s="61" t="str">
        <f aca="false">IFERROR(IF([2]对账明细接口!$J$822=0,"",[2]对账明细接口!$J$822),"")</f>
        <v/>
      </c>
      <c r="K822" s="61" t="str">
        <f aca="false">IFERROR(IF([2]对账明细接口!$K$822=0,"",[2]对账明细接口!$K$822),"")</f>
        <v/>
      </c>
      <c r="L822" s="59" t="str">
        <f aca="false">IFERROR(IF([2]对账明细接口!$L$822=0,"",[2]对账明细接口!$L$822),"")</f>
        <v/>
      </c>
      <c r="M822" s="59" t="str">
        <f aca="false">IFERROR(IF([2]对账明细接口!$M$822=0,"",[2]对账明细接口!$M$822),"")</f>
        <v/>
      </c>
      <c r="N822" s="111" t="n">
        <f aca="false">IF($C822="",0,1)</f>
        <v>0</v>
      </c>
      <c r="O822" s="111" t="n">
        <f aca="false">N(O821)+$N822</f>
        <v>311</v>
      </c>
      <c r="S822" s="10" t="str">
        <f aca="false">IFERROR(IF([2]对账明细接口!$N822=0,"",[2]对账明细接口!$N822),"")</f>
        <v/>
      </c>
      <c r="T822" s="112" t="str">
        <f aca="false">IFERROR(IF([2]对账明细接口!$O822=0,"",[2]对账明细接口!$O822),"")</f>
        <v/>
      </c>
      <c r="U822" s="112" t="str">
        <f aca="false">IFERROR(IF([2]对账明细接口!$P822=0,"",[2]对账明细接口!$P822),"")</f>
        <v/>
      </c>
      <c r="V822" s="112" t="str">
        <f aca="false">IFERROR(IF([2]对账明细接口!$Q822=0,"",[2]对账明细接口!$Q822),"")</f>
        <v/>
      </c>
      <c r="W822" s="10" t="str">
        <f aca="false">IFERROR(IF([2]对账明细接口!$R822=0,"",[2]对账明细接口!$R822),"")</f>
        <v/>
      </c>
      <c r="X822" s="10" t="str">
        <f aca="false">IFERROR(IF([2]对账明细接口!$S822=0,"",[2]对账明细接口!$S822),"")</f>
        <v/>
      </c>
      <c r="Y822" s="10" t="str">
        <f aca="false">IFERROR(IF([2]对账明细接口!$T822=0,"",[2]对账明细接口!$T822),"")</f>
        <v/>
      </c>
      <c r="Z822" s="113" t="str">
        <f aca="false">IFERROR(IF([2]对账明细接口!$U822=0,"",[2]对账明细接口!$U822),"")</f>
        <v/>
      </c>
      <c r="AA822" s="113" t="str">
        <f aca="false">IFERROR(IF([2]对账明细接口!$V822=0,"",[2]对账明细接口!$V822),"")</f>
        <v/>
      </c>
      <c r="AB822" s="10" t="str">
        <f aca="false">IFERROR(IF([2]对账明细接口!$W822=0,"",[2]对账明细接口!$W822),"")</f>
        <v/>
      </c>
      <c r="AC822" s="90" t="str">
        <f aca="false">IFERROR(IF([2]对账明细接口!$X823=0,"",[2]对账明细接口!$X823),"")</f>
        <v/>
      </c>
      <c r="AD822" s="90" t="str">
        <f aca="false">IFERROR(IF([2]对账明细接口!$Y823=0,"",[2]对账明细接口!$Y823),"")</f>
        <v/>
      </c>
      <c r="AE822" s="90" t="str">
        <f aca="false">IFERROR(IF([2]对账明细接口!$AA823=0,"",[2]对账明细接口!$AA823),"")</f>
        <v/>
      </c>
      <c r="AF822" s="90" t="str">
        <f aca="false">IFERROR(IF([2]对账明细接口!$AB823=0,"",[2]对账明细接口!$AB823),"")</f>
        <v/>
      </c>
      <c r="AG822" s="90" t="str">
        <f aca="false">IFERROR(IF([2]对账明细接口!$AC823=0,"",[2]对账明细接口!$AC823),"")</f>
        <v/>
      </c>
      <c r="AH822" s="90" t="str">
        <f aca="false">IFERROR(IF([2]对账明细接口!$AD823=0,"",[2]对账明细接口!$AD823),"")</f>
        <v/>
      </c>
    </row>
    <row r="823" customFormat="false" ht="13.5" hidden="false" customHeight="false" outlineLevel="0" collapsed="false">
      <c r="A823" s="109" t="n">
        <v>823</v>
      </c>
      <c r="B823" s="110" t="str">
        <f aca="false">IFERROR(IF([2]对账明细接口!$B$823=0,"",[2]对账明细接口!$B$823),"")</f>
        <v/>
      </c>
      <c r="C823" s="59" t="str">
        <f aca="false">IFERROR(IF([2]对账明细接口!$C$823=0,"",[2]对账明细接口!$C$823),"")</f>
        <v/>
      </c>
      <c r="D823" s="59" t="str">
        <f aca="false">IFERROR(IF([2]对账明细接口!$D$823=0,"",[2]对账明细接口!$D$823),"")</f>
        <v/>
      </c>
      <c r="E823" s="59" t="str">
        <f aca="false">IFERROR(IF([2]对账明细接口!$E$823=0,"",[2]对账明细接口!$E$823),"")</f>
        <v/>
      </c>
      <c r="F823" s="59" t="str">
        <f aca="false">IFERROR(IF([2]对账明细接口!$F$823=0,"",[2]对账明细接口!$F$823),"")</f>
        <v/>
      </c>
      <c r="G823" s="59" t="str">
        <f aca="false">IFERROR(IF([2]对账明细接口!$G$823=0,"",[2]对账明细接口!$G$823),"")</f>
        <v/>
      </c>
      <c r="H823" s="60" t="str">
        <f aca="false">IFERROR(IF([2]对账明细接口!$H$823=0,"",[2]对账明细接口!$H$823),"")</f>
        <v/>
      </c>
      <c r="I823" s="59" t="str">
        <f aca="false">IFERROR(IF([2]对账明细接口!$I$823=0,"",[2]对账明细接口!$I$823),"")</f>
        <v/>
      </c>
      <c r="J823" s="61" t="str">
        <f aca="false">IFERROR(IF([2]对账明细接口!$J$823=0,"",[2]对账明细接口!$J$823),"")</f>
        <v/>
      </c>
      <c r="K823" s="61" t="str">
        <f aca="false">IFERROR(IF([2]对账明细接口!$K$823=0,"",[2]对账明细接口!$K$823),"")</f>
        <v/>
      </c>
      <c r="L823" s="59" t="str">
        <f aca="false">IFERROR(IF([2]对账明细接口!$L$823=0,"",[2]对账明细接口!$L$823),"")</f>
        <v/>
      </c>
      <c r="M823" s="59" t="str">
        <f aca="false">IFERROR(IF([2]对账明细接口!$M$823=0,"",[2]对账明细接口!$M$823),"")</f>
        <v/>
      </c>
      <c r="N823" s="111" t="n">
        <f aca="false">IF($C823="",0,1)</f>
        <v>0</v>
      </c>
      <c r="O823" s="111" t="n">
        <f aca="false">N(O822)+$N823</f>
        <v>311</v>
      </c>
      <c r="S823" s="10" t="str">
        <f aca="false">IFERROR(IF([2]对账明细接口!$N823=0,"",[2]对账明细接口!$N823),"")</f>
        <v/>
      </c>
      <c r="T823" s="112" t="str">
        <f aca="false">IFERROR(IF([2]对账明细接口!$O823=0,"",[2]对账明细接口!$O823),"")</f>
        <v/>
      </c>
      <c r="U823" s="112" t="str">
        <f aca="false">IFERROR(IF([2]对账明细接口!$P823=0,"",[2]对账明细接口!$P823),"")</f>
        <v/>
      </c>
      <c r="V823" s="112" t="str">
        <f aca="false">IFERROR(IF([2]对账明细接口!$Q823=0,"",[2]对账明细接口!$Q823),"")</f>
        <v/>
      </c>
      <c r="W823" s="10" t="str">
        <f aca="false">IFERROR(IF([2]对账明细接口!$R823=0,"",[2]对账明细接口!$R823),"")</f>
        <v/>
      </c>
      <c r="X823" s="10" t="str">
        <f aca="false">IFERROR(IF([2]对账明细接口!$S823=0,"",[2]对账明细接口!$S823),"")</f>
        <v/>
      </c>
      <c r="Y823" s="10" t="str">
        <f aca="false">IFERROR(IF([2]对账明细接口!$T823=0,"",[2]对账明细接口!$T823),"")</f>
        <v/>
      </c>
      <c r="Z823" s="113" t="str">
        <f aca="false">IFERROR(IF([2]对账明细接口!$U823=0,"",[2]对账明细接口!$U823),"")</f>
        <v/>
      </c>
      <c r="AA823" s="113" t="str">
        <f aca="false">IFERROR(IF([2]对账明细接口!$V823=0,"",[2]对账明细接口!$V823),"")</f>
        <v/>
      </c>
      <c r="AB823" s="10" t="str">
        <f aca="false">IFERROR(IF([2]对账明细接口!$W823=0,"",[2]对账明细接口!$W823),"")</f>
        <v/>
      </c>
      <c r="AC823" s="90" t="str">
        <f aca="false">IFERROR(IF([2]对账明细接口!$X824=0,"",[2]对账明细接口!$X824),"")</f>
        <v/>
      </c>
      <c r="AD823" s="90" t="str">
        <f aca="false">IFERROR(IF([2]对账明细接口!$Y824=0,"",[2]对账明细接口!$Y824),"")</f>
        <v/>
      </c>
      <c r="AE823" s="90" t="str">
        <f aca="false">IFERROR(IF([2]对账明细接口!$AA824=0,"",[2]对账明细接口!$AA824),"")</f>
        <v/>
      </c>
      <c r="AF823" s="90" t="str">
        <f aca="false">IFERROR(IF([2]对账明细接口!$AB824=0,"",[2]对账明细接口!$AB824),"")</f>
        <v/>
      </c>
      <c r="AG823" s="90" t="str">
        <f aca="false">IFERROR(IF([2]对账明细接口!$AC824=0,"",[2]对账明细接口!$AC824),"")</f>
        <v/>
      </c>
      <c r="AH823" s="90" t="str">
        <f aca="false">IFERROR(IF([2]对账明细接口!$AD824=0,"",[2]对账明细接口!$AD824),"")</f>
        <v/>
      </c>
    </row>
    <row r="824" customFormat="false" ht="13.5" hidden="false" customHeight="false" outlineLevel="0" collapsed="false">
      <c r="A824" s="109" t="n">
        <v>824</v>
      </c>
      <c r="B824" s="110" t="str">
        <f aca="false">IFERROR(IF([2]对账明细接口!$B$824=0,"",[2]对账明细接口!$B$824),"")</f>
        <v/>
      </c>
      <c r="C824" s="59" t="str">
        <f aca="false">IFERROR(IF([2]对账明细接口!$C$824=0,"",[2]对账明细接口!$C$824),"")</f>
        <v/>
      </c>
      <c r="D824" s="59" t="str">
        <f aca="false">IFERROR(IF([2]对账明细接口!$D$824=0,"",[2]对账明细接口!$D$824),"")</f>
        <v/>
      </c>
      <c r="E824" s="59" t="str">
        <f aca="false">IFERROR(IF([2]对账明细接口!$E$824=0,"",[2]对账明细接口!$E$824),"")</f>
        <v/>
      </c>
      <c r="F824" s="59" t="str">
        <f aca="false">IFERROR(IF([2]对账明细接口!$F$824=0,"",[2]对账明细接口!$F$824),"")</f>
        <v/>
      </c>
      <c r="G824" s="59" t="str">
        <f aca="false">IFERROR(IF([2]对账明细接口!$G$824=0,"",[2]对账明细接口!$G$824),"")</f>
        <v/>
      </c>
      <c r="H824" s="60" t="str">
        <f aca="false">IFERROR(IF([2]对账明细接口!$H$824=0,"",[2]对账明细接口!$H$824),"")</f>
        <v/>
      </c>
      <c r="I824" s="59" t="str">
        <f aca="false">IFERROR(IF([2]对账明细接口!$I$824=0,"",[2]对账明细接口!$I$824),"")</f>
        <v/>
      </c>
      <c r="J824" s="61" t="str">
        <f aca="false">IFERROR(IF([2]对账明细接口!$J$824=0,"",[2]对账明细接口!$J$824),"")</f>
        <v/>
      </c>
      <c r="K824" s="61" t="str">
        <f aca="false">IFERROR(IF([2]对账明细接口!$K$824=0,"",[2]对账明细接口!$K$824),"")</f>
        <v/>
      </c>
      <c r="L824" s="59" t="str">
        <f aca="false">IFERROR(IF([2]对账明细接口!$L$824=0,"",[2]对账明细接口!$L$824),"")</f>
        <v/>
      </c>
      <c r="M824" s="59" t="str">
        <f aca="false">IFERROR(IF([2]对账明细接口!$M$824=0,"",[2]对账明细接口!$M$824),"")</f>
        <v/>
      </c>
      <c r="N824" s="111" t="n">
        <f aca="false">IF($C824="",0,1)</f>
        <v>0</v>
      </c>
      <c r="O824" s="111" t="n">
        <f aca="false">N(O823)+$N824</f>
        <v>311</v>
      </c>
      <c r="S824" s="10" t="str">
        <f aca="false">IFERROR(IF([2]对账明细接口!$N824=0,"",[2]对账明细接口!$N824),"")</f>
        <v/>
      </c>
      <c r="T824" s="112" t="str">
        <f aca="false">IFERROR(IF([2]对账明细接口!$O824=0,"",[2]对账明细接口!$O824),"")</f>
        <v/>
      </c>
      <c r="U824" s="112" t="str">
        <f aca="false">IFERROR(IF([2]对账明细接口!$P824=0,"",[2]对账明细接口!$P824),"")</f>
        <v/>
      </c>
      <c r="V824" s="112" t="str">
        <f aca="false">IFERROR(IF([2]对账明细接口!$Q824=0,"",[2]对账明细接口!$Q824),"")</f>
        <v/>
      </c>
      <c r="W824" s="10" t="str">
        <f aca="false">IFERROR(IF([2]对账明细接口!$R824=0,"",[2]对账明细接口!$R824),"")</f>
        <v/>
      </c>
      <c r="X824" s="10" t="str">
        <f aca="false">IFERROR(IF([2]对账明细接口!$S824=0,"",[2]对账明细接口!$S824),"")</f>
        <v/>
      </c>
      <c r="Y824" s="10" t="str">
        <f aca="false">IFERROR(IF([2]对账明细接口!$T824=0,"",[2]对账明细接口!$T824),"")</f>
        <v/>
      </c>
      <c r="Z824" s="113" t="str">
        <f aca="false">IFERROR(IF([2]对账明细接口!$U824=0,"",[2]对账明细接口!$U824),"")</f>
        <v/>
      </c>
      <c r="AA824" s="113" t="str">
        <f aca="false">IFERROR(IF([2]对账明细接口!$V824=0,"",[2]对账明细接口!$V824),"")</f>
        <v/>
      </c>
      <c r="AB824" s="10" t="str">
        <f aca="false">IFERROR(IF([2]对账明细接口!$W824=0,"",[2]对账明细接口!$W824),"")</f>
        <v/>
      </c>
      <c r="AC824" s="90" t="str">
        <f aca="false">IFERROR(IF([2]对账明细接口!$X825=0,"",[2]对账明细接口!$X825),"")</f>
        <v/>
      </c>
      <c r="AD824" s="90" t="str">
        <f aca="false">IFERROR(IF([2]对账明细接口!$Y825=0,"",[2]对账明细接口!$Y825),"")</f>
        <v/>
      </c>
      <c r="AE824" s="90" t="str">
        <f aca="false">IFERROR(IF([2]对账明细接口!$AA825=0,"",[2]对账明细接口!$AA825),"")</f>
        <v/>
      </c>
      <c r="AF824" s="90" t="str">
        <f aca="false">IFERROR(IF([2]对账明细接口!$AB825=0,"",[2]对账明细接口!$AB825),"")</f>
        <v/>
      </c>
      <c r="AG824" s="90" t="str">
        <f aca="false">IFERROR(IF([2]对账明细接口!$AC825=0,"",[2]对账明细接口!$AC825),"")</f>
        <v/>
      </c>
      <c r="AH824" s="90" t="str">
        <f aca="false">IFERROR(IF([2]对账明细接口!$AD825=0,"",[2]对账明细接口!$AD825),"")</f>
        <v/>
      </c>
    </row>
    <row r="825" customFormat="false" ht="13.5" hidden="false" customHeight="false" outlineLevel="0" collapsed="false">
      <c r="A825" s="109" t="n">
        <v>825</v>
      </c>
      <c r="B825" s="110" t="str">
        <f aca="false">IFERROR(IF([2]对账明细接口!$B$825=0,"",[2]对账明细接口!$B$825),"")</f>
        <v/>
      </c>
      <c r="C825" s="59" t="str">
        <f aca="false">IFERROR(IF([2]对账明细接口!$C$825=0,"",[2]对账明细接口!$C$825),"")</f>
        <v/>
      </c>
      <c r="D825" s="59" t="str">
        <f aca="false">IFERROR(IF([2]对账明细接口!$D$825=0,"",[2]对账明细接口!$D$825),"")</f>
        <v/>
      </c>
      <c r="E825" s="59" t="str">
        <f aca="false">IFERROR(IF([2]对账明细接口!$E$825=0,"",[2]对账明细接口!$E$825),"")</f>
        <v/>
      </c>
      <c r="F825" s="59" t="str">
        <f aca="false">IFERROR(IF([2]对账明细接口!$F$825=0,"",[2]对账明细接口!$F$825),"")</f>
        <v/>
      </c>
      <c r="G825" s="59" t="str">
        <f aca="false">IFERROR(IF([2]对账明细接口!$G$825=0,"",[2]对账明细接口!$G$825),"")</f>
        <v/>
      </c>
      <c r="H825" s="60" t="str">
        <f aca="false">IFERROR(IF([2]对账明细接口!$H$825=0,"",[2]对账明细接口!$H$825),"")</f>
        <v/>
      </c>
      <c r="I825" s="59" t="str">
        <f aca="false">IFERROR(IF([2]对账明细接口!$I$825=0,"",[2]对账明细接口!$I$825),"")</f>
        <v/>
      </c>
      <c r="J825" s="61" t="str">
        <f aca="false">IFERROR(IF([2]对账明细接口!$J$825=0,"",[2]对账明细接口!$J$825),"")</f>
        <v/>
      </c>
      <c r="K825" s="61" t="str">
        <f aca="false">IFERROR(IF([2]对账明细接口!$K$825=0,"",[2]对账明细接口!$K$825),"")</f>
        <v/>
      </c>
      <c r="L825" s="59" t="str">
        <f aca="false">IFERROR(IF([2]对账明细接口!$L$825=0,"",[2]对账明细接口!$L$825),"")</f>
        <v/>
      </c>
      <c r="M825" s="59" t="str">
        <f aca="false">IFERROR(IF([2]对账明细接口!$M$825=0,"",[2]对账明细接口!$M$825),"")</f>
        <v/>
      </c>
      <c r="N825" s="111" t="n">
        <f aca="false">IF($C825="",0,1)</f>
        <v>0</v>
      </c>
      <c r="O825" s="111" t="n">
        <f aca="false">N(O824)+$N825</f>
        <v>311</v>
      </c>
      <c r="S825" s="10" t="str">
        <f aca="false">IFERROR(IF([2]对账明细接口!$N825=0,"",[2]对账明细接口!$N825),"")</f>
        <v/>
      </c>
      <c r="T825" s="112" t="str">
        <f aca="false">IFERROR(IF([2]对账明细接口!$O825=0,"",[2]对账明细接口!$O825),"")</f>
        <v/>
      </c>
      <c r="U825" s="112" t="str">
        <f aca="false">IFERROR(IF([2]对账明细接口!$P825=0,"",[2]对账明细接口!$P825),"")</f>
        <v/>
      </c>
      <c r="V825" s="112" t="str">
        <f aca="false">IFERROR(IF([2]对账明细接口!$Q825=0,"",[2]对账明细接口!$Q825),"")</f>
        <v/>
      </c>
      <c r="W825" s="10" t="str">
        <f aca="false">IFERROR(IF([2]对账明细接口!$R825=0,"",[2]对账明细接口!$R825),"")</f>
        <v/>
      </c>
      <c r="X825" s="10" t="str">
        <f aca="false">IFERROR(IF([2]对账明细接口!$S825=0,"",[2]对账明细接口!$S825),"")</f>
        <v/>
      </c>
      <c r="Y825" s="10" t="str">
        <f aca="false">IFERROR(IF([2]对账明细接口!$T825=0,"",[2]对账明细接口!$T825),"")</f>
        <v/>
      </c>
      <c r="Z825" s="113" t="str">
        <f aca="false">IFERROR(IF([2]对账明细接口!$U825=0,"",[2]对账明细接口!$U825),"")</f>
        <v/>
      </c>
      <c r="AA825" s="113" t="str">
        <f aca="false">IFERROR(IF([2]对账明细接口!$V825=0,"",[2]对账明细接口!$V825),"")</f>
        <v/>
      </c>
      <c r="AB825" s="10" t="str">
        <f aca="false">IFERROR(IF([2]对账明细接口!$W825=0,"",[2]对账明细接口!$W825),"")</f>
        <v/>
      </c>
      <c r="AC825" s="90" t="str">
        <f aca="false">IFERROR(IF([2]对账明细接口!$X826=0,"",[2]对账明细接口!$X826),"")</f>
        <v/>
      </c>
      <c r="AD825" s="90" t="str">
        <f aca="false">IFERROR(IF([2]对账明细接口!$Y826=0,"",[2]对账明细接口!$Y826),"")</f>
        <v/>
      </c>
      <c r="AE825" s="90" t="str">
        <f aca="false">IFERROR(IF([2]对账明细接口!$AA826=0,"",[2]对账明细接口!$AA826),"")</f>
        <v/>
      </c>
      <c r="AF825" s="90" t="str">
        <f aca="false">IFERROR(IF([2]对账明细接口!$AB826=0,"",[2]对账明细接口!$AB826),"")</f>
        <v/>
      </c>
      <c r="AG825" s="90" t="str">
        <f aca="false">IFERROR(IF([2]对账明细接口!$AC826=0,"",[2]对账明细接口!$AC826),"")</f>
        <v/>
      </c>
      <c r="AH825" s="90" t="str">
        <f aca="false">IFERROR(IF([2]对账明细接口!$AD826=0,"",[2]对账明细接口!$AD826),"")</f>
        <v/>
      </c>
    </row>
    <row r="826" customFormat="false" ht="13.5" hidden="false" customHeight="false" outlineLevel="0" collapsed="false">
      <c r="A826" s="109" t="n">
        <v>826</v>
      </c>
      <c r="B826" s="110" t="str">
        <f aca="false">IFERROR(IF([2]对账明细接口!$B$826=0,"",[2]对账明细接口!$B$826),"")</f>
        <v/>
      </c>
      <c r="C826" s="59" t="str">
        <f aca="false">IFERROR(IF([2]对账明细接口!$C$826=0,"",[2]对账明细接口!$C$826),"")</f>
        <v/>
      </c>
      <c r="D826" s="59" t="str">
        <f aca="false">IFERROR(IF([2]对账明细接口!$D$826=0,"",[2]对账明细接口!$D$826),"")</f>
        <v/>
      </c>
      <c r="E826" s="59" t="str">
        <f aca="false">IFERROR(IF([2]对账明细接口!$E$826=0,"",[2]对账明细接口!$E$826),"")</f>
        <v/>
      </c>
      <c r="F826" s="59" t="str">
        <f aca="false">IFERROR(IF([2]对账明细接口!$F$826=0,"",[2]对账明细接口!$F$826),"")</f>
        <v/>
      </c>
      <c r="G826" s="59" t="str">
        <f aca="false">IFERROR(IF([2]对账明细接口!$G$826=0,"",[2]对账明细接口!$G$826),"")</f>
        <v/>
      </c>
      <c r="H826" s="60" t="str">
        <f aca="false">IFERROR(IF([2]对账明细接口!$H$826=0,"",[2]对账明细接口!$H$826),"")</f>
        <v/>
      </c>
      <c r="I826" s="59" t="str">
        <f aca="false">IFERROR(IF([2]对账明细接口!$I$826=0,"",[2]对账明细接口!$I$826),"")</f>
        <v/>
      </c>
      <c r="J826" s="61" t="str">
        <f aca="false">IFERROR(IF([2]对账明细接口!$J$826=0,"",[2]对账明细接口!$J$826),"")</f>
        <v/>
      </c>
      <c r="K826" s="61" t="str">
        <f aca="false">IFERROR(IF([2]对账明细接口!$K$826=0,"",[2]对账明细接口!$K$826),"")</f>
        <v/>
      </c>
      <c r="L826" s="59" t="str">
        <f aca="false">IFERROR(IF([2]对账明细接口!$L$826=0,"",[2]对账明细接口!$L$826),"")</f>
        <v/>
      </c>
      <c r="M826" s="59" t="str">
        <f aca="false">IFERROR(IF([2]对账明细接口!$M$826=0,"",[2]对账明细接口!$M$826),"")</f>
        <v/>
      </c>
      <c r="N826" s="111" t="n">
        <f aca="false">IF($C826="",0,1)</f>
        <v>0</v>
      </c>
      <c r="O826" s="111" t="n">
        <f aca="false">N(O825)+$N826</f>
        <v>311</v>
      </c>
      <c r="S826" s="10" t="str">
        <f aca="false">IFERROR(IF([2]对账明细接口!$N826=0,"",[2]对账明细接口!$N826),"")</f>
        <v/>
      </c>
      <c r="T826" s="112" t="str">
        <f aca="false">IFERROR(IF([2]对账明细接口!$O826=0,"",[2]对账明细接口!$O826),"")</f>
        <v/>
      </c>
      <c r="U826" s="112" t="str">
        <f aca="false">IFERROR(IF([2]对账明细接口!$P826=0,"",[2]对账明细接口!$P826),"")</f>
        <v/>
      </c>
      <c r="V826" s="112" t="str">
        <f aca="false">IFERROR(IF([2]对账明细接口!$Q826=0,"",[2]对账明细接口!$Q826),"")</f>
        <v/>
      </c>
      <c r="W826" s="10" t="str">
        <f aca="false">IFERROR(IF([2]对账明细接口!$R826=0,"",[2]对账明细接口!$R826),"")</f>
        <v/>
      </c>
      <c r="X826" s="10" t="str">
        <f aca="false">IFERROR(IF([2]对账明细接口!$S826=0,"",[2]对账明细接口!$S826),"")</f>
        <v/>
      </c>
      <c r="Y826" s="10" t="str">
        <f aca="false">IFERROR(IF([2]对账明细接口!$T826=0,"",[2]对账明细接口!$T826),"")</f>
        <v/>
      </c>
      <c r="Z826" s="113" t="str">
        <f aca="false">IFERROR(IF([2]对账明细接口!$U826=0,"",[2]对账明细接口!$U826),"")</f>
        <v/>
      </c>
      <c r="AA826" s="113" t="str">
        <f aca="false">IFERROR(IF([2]对账明细接口!$V826=0,"",[2]对账明细接口!$V826),"")</f>
        <v/>
      </c>
      <c r="AB826" s="10" t="str">
        <f aca="false">IFERROR(IF([2]对账明细接口!$W826=0,"",[2]对账明细接口!$W826),"")</f>
        <v/>
      </c>
      <c r="AC826" s="90" t="str">
        <f aca="false">IFERROR(IF([2]对账明细接口!$X827=0,"",[2]对账明细接口!$X827),"")</f>
        <v/>
      </c>
      <c r="AD826" s="90" t="str">
        <f aca="false">IFERROR(IF([2]对账明细接口!$Y827=0,"",[2]对账明细接口!$Y827),"")</f>
        <v/>
      </c>
      <c r="AE826" s="90" t="str">
        <f aca="false">IFERROR(IF([2]对账明细接口!$AA827=0,"",[2]对账明细接口!$AA827),"")</f>
        <v/>
      </c>
      <c r="AF826" s="90" t="str">
        <f aca="false">IFERROR(IF([2]对账明细接口!$AB827=0,"",[2]对账明细接口!$AB827),"")</f>
        <v/>
      </c>
      <c r="AG826" s="90" t="str">
        <f aca="false">IFERROR(IF([2]对账明细接口!$AC827=0,"",[2]对账明细接口!$AC827),"")</f>
        <v/>
      </c>
      <c r="AH826" s="90" t="str">
        <f aca="false">IFERROR(IF([2]对账明细接口!$AD827=0,"",[2]对账明细接口!$AD827),"")</f>
        <v/>
      </c>
    </row>
    <row r="827" customFormat="false" ht="13.5" hidden="false" customHeight="false" outlineLevel="0" collapsed="false">
      <c r="A827" s="109" t="n">
        <v>827</v>
      </c>
      <c r="B827" s="110" t="str">
        <f aca="false">IFERROR(IF([2]对账明细接口!$B$827=0,"",[2]对账明细接口!$B$827),"")</f>
        <v/>
      </c>
      <c r="C827" s="59" t="str">
        <f aca="false">IFERROR(IF([2]对账明细接口!$C$827=0,"",[2]对账明细接口!$C$827),"")</f>
        <v/>
      </c>
      <c r="D827" s="59" t="str">
        <f aca="false">IFERROR(IF([2]对账明细接口!$D$827=0,"",[2]对账明细接口!$D$827),"")</f>
        <v/>
      </c>
      <c r="E827" s="59" t="str">
        <f aca="false">IFERROR(IF([2]对账明细接口!$E$827=0,"",[2]对账明细接口!$E$827),"")</f>
        <v/>
      </c>
      <c r="F827" s="59" t="str">
        <f aca="false">IFERROR(IF([2]对账明细接口!$F$827=0,"",[2]对账明细接口!$F$827),"")</f>
        <v/>
      </c>
      <c r="G827" s="59" t="str">
        <f aca="false">IFERROR(IF([2]对账明细接口!$G$827=0,"",[2]对账明细接口!$G$827),"")</f>
        <v/>
      </c>
      <c r="H827" s="60" t="str">
        <f aca="false">IFERROR(IF([2]对账明细接口!$H$827=0,"",[2]对账明细接口!$H$827),"")</f>
        <v/>
      </c>
      <c r="I827" s="59" t="str">
        <f aca="false">IFERROR(IF([2]对账明细接口!$I$827=0,"",[2]对账明细接口!$I$827),"")</f>
        <v/>
      </c>
      <c r="J827" s="61" t="str">
        <f aca="false">IFERROR(IF([2]对账明细接口!$J$827=0,"",[2]对账明细接口!$J$827),"")</f>
        <v/>
      </c>
      <c r="K827" s="61" t="str">
        <f aca="false">IFERROR(IF([2]对账明细接口!$K$827=0,"",[2]对账明细接口!$K$827),"")</f>
        <v/>
      </c>
      <c r="L827" s="59" t="str">
        <f aca="false">IFERROR(IF([2]对账明细接口!$L$827=0,"",[2]对账明细接口!$L$827),"")</f>
        <v/>
      </c>
      <c r="M827" s="59" t="str">
        <f aca="false">IFERROR(IF([2]对账明细接口!$M$827=0,"",[2]对账明细接口!$M$827),"")</f>
        <v/>
      </c>
      <c r="N827" s="111" t="n">
        <f aca="false">IF($C827="",0,1)</f>
        <v>0</v>
      </c>
      <c r="O827" s="111" t="n">
        <f aca="false">N(O826)+$N827</f>
        <v>311</v>
      </c>
      <c r="S827" s="10" t="str">
        <f aca="false">IFERROR(IF([2]对账明细接口!$N827=0,"",[2]对账明细接口!$N827),"")</f>
        <v/>
      </c>
      <c r="T827" s="112" t="str">
        <f aca="false">IFERROR(IF([2]对账明细接口!$O827=0,"",[2]对账明细接口!$O827),"")</f>
        <v/>
      </c>
      <c r="U827" s="112" t="str">
        <f aca="false">IFERROR(IF([2]对账明细接口!$P827=0,"",[2]对账明细接口!$P827),"")</f>
        <v/>
      </c>
      <c r="V827" s="112" t="str">
        <f aca="false">IFERROR(IF([2]对账明细接口!$Q827=0,"",[2]对账明细接口!$Q827),"")</f>
        <v/>
      </c>
      <c r="W827" s="10" t="str">
        <f aca="false">IFERROR(IF([2]对账明细接口!$R827=0,"",[2]对账明细接口!$R827),"")</f>
        <v/>
      </c>
      <c r="X827" s="10" t="str">
        <f aca="false">IFERROR(IF([2]对账明细接口!$S827=0,"",[2]对账明细接口!$S827),"")</f>
        <v/>
      </c>
      <c r="Y827" s="10" t="str">
        <f aca="false">IFERROR(IF([2]对账明细接口!$T827=0,"",[2]对账明细接口!$T827),"")</f>
        <v/>
      </c>
      <c r="Z827" s="113" t="str">
        <f aca="false">IFERROR(IF([2]对账明细接口!$U827=0,"",[2]对账明细接口!$U827),"")</f>
        <v/>
      </c>
      <c r="AA827" s="113" t="str">
        <f aca="false">IFERROR(IF([2]对账明细接口!$V827=0,"",[2]对账明细接口!$V827),"")</f>
        <v/>
      </c>
      <c r="AB827" s="10" t="str">
        <f aca="false">IFERROR(IF([2]对账明细接口!$W827=0,"",[2]对账明细接口!$W827),"")</f>
        <v/>
      </c>
      <c r="AC827" s="90" t="str">
        <f aca="false">IFERROR(IF([2]对账明细接口!$X828=0,"",[2]对账明细接口!$X828),"")</f>
        <v/>
      </c>
      <c r="AD827" s="90" t="str">
        <f aca="false">IFERROR(IF([2]对账明细接口!$Y828=0,"",[2]对账明细接口!$Y828),"")</f>
        <v/>
      </c>
      <c r="AE827" s="90" t="str">
        <f aca="false">IFERROR(IF([2]对账明细接口!$AA828=0,"",[2]对账明细接口!$AA828),"")</f>
        <v/>
      </c>
      <c r="AF827" s="90" t="str">
        <f aca="false">IFERROR(IF([2]对账明细接口!$AB828=0,"",[2]对账明细接口!$AB828),"")</f>
        <v/>
      </c>
      <c r="AG827" s="90" t="str">
        <f aca="false">IFERROR(IF([2]对账明细接口!$AC828=0,"",[2]对账明细接口!$AC828),"")</f>
        <v/>
      </c>
      <c r="AH827" s="90" t="str">
        <f aca="false">IFERROR(IF([2]对账明细接口!$AD828=0,"",[2]对账明细接口!$AD828),"")</f>
        <v/>
      </c>
    </row>
    <row r="828" customFormat="false" ht="13.5" hidden="false" customHeight="false" outlineLevel="0" collapsed="false">
      <c r="A828" s="109" t="n">
        <v>828</v>
      </c>
      <c r="B828" s="110" t="str">
        <f aca="false">IFERROR(IF([2]对账明细接口!$B$828=0,"",[2]对账明细接口!$B$828),"")</f>
        <v/>
      </c>
      <c r="C828" s="59" t="str">
        <f aca="false">IFERROR(IF([2]对账明细接口!$C$828=0,"",[2]对账明细接口!$C$828),"")</f>
        <v/>
      </c>
      <c r="D828" s="59" t="str">
        <f aca="false">IFERROR(IF([2]对账明细接口!$D$828=0,"",[2]对账明细接口!$D$828),"")</f>
        <v/>
      </c>
      <c r="E828" s="59" t="str">
        <f aca="false">IFERROR(IF([2]对账明细接口!$E$828=0,"",[2]对账明细接口!$E$828),"")</f>
        <v/>
      </c>
      <c r="F828" s="59" t="str">
        <f aca="false">IFERROR(IF([2]对账明细接口!$F$828=0,"",[2]对账明细接口!$F$828),"")</f>
        <v/>
      </c>
      <c r="G828" s="59" t="str">
        <f aca="false">IFERROR(IF([2]对账明细接口!$G$828=0,"",[2]对账明细接口!$G$828),"")</f>
        <v/>
      </c>
      <c r="H828" s="60" t="str">
        <f aca="false">IFERROR(IF([2]对账明细接口!$H$828=0,"",[2]对账明细接口!$H$828),"")</f>
        <v/>
      </c>
      <c r="I828" s="59" t="str">
        <f aca="false">IFERROR(IF([2]对账明细接口!$I$828=0,"",[2]对账明细接口!$I$828),"")</f>
        <v/>
      </c>
      <c r="J828" s="61" t="str">
        <f aca="false">IFERROR(IF([2]对账明细接口!$J$828=0,"",[2]对账明细接口!$J$828),"")</f>
        <v/>
      </c>
      <c r="K828" s="61" t="str">
        <f aca="false">IFERROR(IF([2]对账明细接口!$K$828=0,"",[2]对账明细接口!$K$828),"")</f>
        <v/>
      </c>
      <c r="L828" s="59" t="str">
        <f aca="false">IFERROR(IF([2]对账明细接口!$L$828=0,"",[2]对账明细接口!$L$828),"")</f>
        <v/>
      </c>
      <c r="M828" s="59" t="str">
        <f aca="false">IFERROR(IF([2]对账明细接口!$M$828=0,"",[2]对账明细接口!$M$828),"")</f>
        <v/>
      </c>
      <c r="N828" s="111" t="n">
        <f aca="false">IF($C828="",0,1)</f>
        <v>0</v>
      </c>
      <c r="O828" s="111" t="n">
        <f aca="false">N(O827)+$N828</f>
        <v>311</v>
      </c>
      <c r="S828" s="10" t="str">
        <f aca="false">IFERROR(IF([2]对账明细接口!$N828=0,"",[2]对账明细接口!$N828),"")</f>
        <v/>
      </c>
      <c r="T828" s="112" t="str">
        <f aca="false">IFERROR(IF([2]对账明细接口!$O828=0,"",[2]对账明细接口!$O828),"")</f>
        <v/>
      </c>
      <c r="U828" s="112" t="str">
        <f aca="false">IFERROR(IF([2]对账明细接口!$P828=0,"",[2]对账明细接口!$P828),"")</f>
        <v/>
      </c>
      <c r="V828" s="112" t="str">
        <f aca="false">IFERROR(IF([2]对账明细接口!$Q828=0,"",[2]对账明细接口!$Q828),"")</f>
        <v/>
      </c>
      <c r="W828" s="10" t="str">
        <f aca="false">IFERROR(IF([2]对账明细接口!$R828=0,"",[2]对账明细接口!$R828),"")</f>
        <v/>
      </c>
      <c r="X828" s="10" t="str">
        <f aca="false">IFERROR(IF([2]对账明细接口!$S828=0,"",[2]对账明细接口!$S828),"")</f>
        <v/>
      </c>
      <c r="Y828" s="10" t="str">
        <f aca="false">IFERROR(IF([2]对账明细接口!$T828=0,"",[2]对账明细接口!$T828),"")</f>
        <v/>
      </c>
      <c r="Z828" s="113" t="str">
        <f aca="false">IFERROR(IF([2]对账明细接口!$U828=0,"",[2]对账明细接口!$U828),"")</f>
        <v/>
      </c>
      <c r="AA828" s="113" t="str">
        <f aca="false">IFERROR(IF([2]对账明细接口!$V828=0,"",[2]对账明细接口!$V828),"")</f>
        <v/>
      </c>
      <c r="AB828" s="10" t="str">
        <f aca="false">IFERROR(IF([2]对账明细接口!$W828=0,"",[2]对账明细接口!$W828),"")</f>
        <v/>
      </c>
      <c r="AC828" s="90" t="str">
        <f aca="false">IFERROR(IF([2]对账明细接口!$X829=0,"",[2]对账明细接口!$X829),"")</f>
        <v/>
      </c>
      <c r="AD828" s="90" t="str">
        <f aca="false">IFERROR(IF([2]对账明细接口!$Y829=0,"",[2]对账明细接口!$Y829),"")</f>
        <v/>
      </c>
      <c r="AE828" s="90" t="str">
        <f aca="false">IFERROR(IF([2]对账明细接口!$AA829=0,"",[2]对账明细接口!$AA829),"")</f>
        <v/>
      </c>
      <c r="AF828" s="90" t="str">
        <f aca="false">IFERROR(IF([2]对账明细接口!$AB829=0,"",[2]对账明细接口!$AB829),"")</f>
        <v/>
      </c>
      <c r="AG828" s="90" t="str">
        <f aca="false">IFERROR(IF([2]对账明细接口!$AC829=0,"",[2]对账明细接口!$AC829),"")</f>
        <v/>
      </c>
      <c r="AH828" s="90" t="str">
        <f aca="false">IFERROR(IF([2]对账明细接口!$AD829=0,"",[2]对账明细接口!$AD829),"")</f>
        <v/>
      </c>
    </row>
    <row r="829" customFormat="false" ht="13.5" hidden="false" customHeight="false" outlineLevel="0" collapsed="false">
      <c r="A829" s="109" t="n">
        <v>829</v>
      </c>
      <c r="B829" s="110" t="str">
        <f aca="false">IFERROR(IF([2]对账明细接口!$B$829=0,"",[2]对账明细接口!$B$829),"")</f>
        <v/>
      </c>
      <c r="C829" s="59" t="str">
        <f aca="false">IFERROR(IF([2]对账明细接口!$C$829=0,"",[2]对账明细接口!$C$829),"")</f>
        <v/>
      </c>
      <c r="D829" s="59" t="str">
        <f aca="false">IFERROR(IF([2]对账明细接口!$D$829=0,"",[2]对账明细接口!$D$829),"")</f>
        <v/>
      </c>
      <c r="E829" s="59" t="str">
        <f aca="false">IFERROR(IF([2]对账明细接口!$E$829=0,"",[2]对账明细接口!$E$829),"")</f>
        <v/>
      </c>
      <c r="F829" s="59" t="str">
        <f aca="false">IFERROR(IF([2]对账明细接口!$F$829=0,"",[2]对账明细接口!$F$829),"")</f>
        <v/>
      </c>
      <c r="G829" s="59" t="str">
        <f aca="false">IFERROR(IF([2]对账明细接口!$G$829=0,"",[2]对账明细接口!$G$829),"")</f>
        <v/>
      </c>
      <c r="H829" s="60" t="str">
        <f aca="false">IFERROR(IF([2]对账明细接口!$H$829=0,"",[2]对账明细接口!$H$829),"")</f>
        <v/>
      </c>
      <c r="I829" s="59" t="str">
        <f aca="false">IFERROR(IF([2]对账明细接口!$I$829=0,"",[2]对账明细接口!$I$829),"")</f>
        <v/>
      </c>
      <c r="J829" s="61" t="str">
        <f aca="false">IFERROR(IF([2]对账明细接口!$J$829=0,"",[2]对账明细接口!$J$829),"")</f>
        <v/>
      </c>
      <c r="K829" s="61" t="str">
        <f aca="false">IFERROR(IF([2]对账明细接口!$K$829=0,"",[2]对账明细接口!$K$829),"")</f>
        <v/>
      </c>
      <c r="L829" s="59" t="str">
        <f aca="false">IFERROR(IF([2]对账明细接口!$L$829=0,"",[2]对账明细接口!$L$829),"")</f>
        <v/>
      </c>
      <c r="M829" s="59" t="str">
        <f aca="false">IFERROR(IF([2]对账明细接口!$M$829=0,"",[2]对账明细接口!$M$829),"")</f>
        <v/>
      </c>
      <c r="N829" s="111" t="n">
        <f aca="false">IF($C829="",0,1)</f>
        <v>0</v>
      </c>
      <c r="O829" s="111" t="n">
        <f aca="false">N(O828)+$N829</f>
        <v>311</v>
      </c>
      <c r="S829" s="10" t="str">
        <f aca="false">IFERROR(IF([2]对账明细接口!$N829=0,"",[2]对账明细接口!$N829),"")</f>
        <v/>
      </c>
      <c r="T829" s="112" t="str">
        <f aca="false">IFERROR(IF([2]对账明细接口!$O829=0,"",[2]对账明细接口!$O829),"")</f>
        <v/>
      </c>
      <c r="U829" s="112" t="str">
        <f aca="false">IFERROR(IF([2]对账明细接口!$P829=0,"",[2]对账明细接口!$P829),"")</f>
        <v/>
      </c>
      <c r="V829" s="112" t="str">
        <f aca="false">IFERROR(IF([2]对账明细接口!$Q829=0,"",[2]对账明细接口!$Q829),"")</f>
        <v/>
      </c>
      <c r="W829" s="10" t="str">
        <f aca="false">IFERROR(IF([2]对账明细接口!$R829=0,"",[2]对账明细接口!$R829),"")</f>
        <v/>
      </c>
      <c r="X829" s="10" t="str">
        <f aca="false">IFERROR(IF([2]对账明细接口!$S829=0,"",[2]对账明细接口!$S829),"")</f>
        <v/>
      </c>
      <c r="Y829" s="10" t="str">
        <f aca="false">IFERROR(IF([2]对账明细接口!$T829=0,"",[2]对账明细接口!$T829),"")</f>
        <v/>
      </c>
      <c r="Z829" s="113" t="str">
        <f aca="false">IFERROR(IF([2]对账明细接口!$U829=0,"",[2]对账明细接口!$U829),"")</f>
        <v/>
      </c>
      <c r="AA829" s="113" t="str">
        <f aca="false">IFERROR(IF([2]对账明细接口!$V829=0,"",[2]对账明细接口!$V829),"")</f>
        <v/>
      </c>
      <c r="AB829" s="10" t="str">
        <f aca="false">IFERROR(IF([2]对账明细接口!$W829=0,"",[2]对账明细接口!$W829),"")</f>
        <v/>
      </c>
      <c r="AC829" s="90" t="str">
        <f aca="false">IFERROR(IF([2]对账明细接口!$X830=0,"",[2]对账明细接口!$X830),"")</f>
        <v/>
      </c>
      <c r="AD829" s="90" t="str">
        <f aca="false">IFERROR(IF([2]对账明细接口!$Y830=0,"",[2]对账明细接口!$Y830),"")</f>
        <v/>
      </c>
      <c r="AE829" s="90" t="str">
        <f aca="false">IFERROR(IF([2]对账明细接口!$AA830=0,"",[2]对账明细接口!$AA830),"")</f>
        <v/>
      </c>
      <c r="AF829" s="90" t="str">
        <f aca="false">IFERROR(IF([2]对账明细接口!$AB830=0,"",[2]对账明细接口!$AB830),"")</f>
        <v/>
      </c>
      <c r="AG829" s="90" t="str">
        <f aca="false">IFERROR(IF([2]对账明细接口!$AC830=0,"",[2]对账明细接口!$AC830),"")</f>
        <v/>
      </c>
      <c r="AH829" s="90" t="str">
        <f aca="false">IFERROR(IF([2]对账明细接口!$AD830=0,"",[2]对账明细接口!$AD830),"")</f>
        <v/>
      </c>
    </row>
    <row r="830" customFormat="false" ht="13.5" hidden="false" customHeight="false" outlineLevel="0" collapsed="false">
      <c r="A830" s="109" t="n">
        <v>830</v>
      </c>
      <c r="B830" s="110" t="str">
        <f aca="false">IFERROR(IF([2]对账明细接口!$B$830=0,"",[2]对账明细接口!$B$830),"")</f>
        <v/>
      </c>
      <c r="C830" s="59" t="str">
        <f aca="false">IFERROR(IF([2]对账明细接口!$C$830=0,"",[2]对账明细接口!$C$830),"")</f>
        <v/>
      </c>
      <c r="D830" s="59" t="str">
        <f aca="false">IFERROR(IF([2]对账明细接口!$D$830=0,"",[2]对账明细接口!$D$830),"")</f>
        <v/>
      </c>
      <c r="E830" s="59" t="str">
        <f aca="false">IFERROR(IF([2]对账明细接口!$E$830=0,"",[2]对账明细接口!$E$830),"")</f>
        <v/>
      </c>
      <c r="F830" s="59" t="str">
        <f aca="false">IFERROR(IF([2]对账明细接口!$F$830=0,"",[2]对账明细接口!$F$830),"")</f>
        <v/>
      </c>
      <c r="G830" s="59" t="str">
        <f aca="false">IFERROR(IF([2]对账明细接口!$G$830=0,"",[2]对账明细接口!$G$830),"")</f>
        <v/>
      </c>
      <c r="H830" s="60" t="str">
        <f aca="false">IFERROR(IF([2]对账明细接口!$H$830=0,"",[2]对账明细接口!$H$830),"")</f>
        <v/>
      </c>
      <c r="I830" s="59" t="str">
        <f aca="false">IFERROR(IF([2]对账明细接口!$I$830=0,"",[2]对账明细接口!$I$830),"")</f>
        <v/>
      </c>
      <c r="J830" s="61" t="str">
        <f aca="false">IFERROR(IF([2]对账明细接口!$J$830=0,"",[2]对账明细接口!$J$830),"")</f>
        <v/>
      </c>
      <c r="K830" s="61" t="str">
        <f aca="false">IFERROR(IF([2]对账明细接口!$K$830=0,"",[2]对账明细接口!$K$830),"")</f>
        <v/>
      </c>
      <c r="L830" s="59" t="str">
        <f aca="false">IFERROR(IF([2]对账明细接口!$L$830=0,"",[2]对账明细接口!$L$830),"")</f>
        <v/>
      </c>
      <c r="M830" s="59" t="str">
        <f aca="false">IFERROR(IF([2]对账明细接口!$M$830=0,"",[2]对账明细接口!$M$830),"")</f>
        <v/>
      </c>
      <c r="N830" s="111" t="n">
        <f aca="false">IF($C830="",0,1)</f>
        <v>0</v>
      </c>
      <c r="O830" s="111" t="n">
        <f aca="false">N(O829)+$N830</f>
        <v>311</v>
      </c>
      <c r="S830" s="10" t="str">
        <f aca="false">IFERROR(IF([2]对账明细接口!$N830=0,"",[2]对账明细接口!$N830),"")</f>
        <v/>
      </c>
      <c r="T830" s="112" t="str">
        <f aca="false">IFERROR(IF([2]对账明细接口!$O830=0,"",[2]对账明细接口!$O830),"")</f>
        <v/>
      </c>
      <c r="U830" s="112" t="str">
        <f aca="false">IFERROR(IF([2]对账明细接口!$P830=0,"",[2]对账明细接口!$P830),"")</f>
        <v/>
      </c>
      <c r="V830" s="112" t="str">
        <f aca="false">IFERROR(IF([2]对账明细接口!$Q830=0,"",[2]对账明细接口!$Q830),"")</f>
        <v/>
      </c>
      <c r="W830" s="10" t="str">
        <f aca="false">IFERROR(IF([2]对账明细接口!$R830=0,"",[2]对账明细接口!$R830),"")</f>
        <v/>
      </c>
      <c r="X830" s="10" t="str">
        <f aca="false">IFERROR(IF([2]对账明细接口!$S830=0,"",[2]对账明细接口!$S830),"")</f>
        <v/>
      </c>
      <c r="Y830" s="10" t="str">
        <f aca="false">IFERROR(IF([2]对账明细接口!$T830=0,"",[2]对账明细接口!$T830),"")</f>
        <v/>
      </c>
      <c r="Z830" s="113" t="str">
        <f aca="false">IFERROR(IF([2]对账明细接口!$U830=0,"",[2]对账明细接口!$U830),"")</f>
        <v/>
      </c>
      <c r="AA830" s="113" t="str">
        <f aca="false">IFERROR(IF([2]对账明细接口!$V830=0,"",[2]对账明细接口!$V830),"")</f>
        <v/>
      </c>
      <c r="AB830" s="10" t="str">
        <f aca="false">IFERROR(IF([2]对账明细接口!$W830=0,"",[2]对账明细接口!$W830),"")</f>
        <v/>
      </c>
      <c r="AC830" s="90" t="str">
        <f aca="false">IFERROR(IF([2]对账明细接口!$X831=0,"",[2]对账明细接口!$X831),"")</f>
        <v/>
      </c>
      <c r="AD830" s="90" t="str">
        <f aca="false">IFERROR(IF([2]对账明细接口!$Y831=0,"",[2]对账明细接口!$Y831),"")</f>
        <v/>
      </c>
      <c r="AE830" s="90" t="str">
        <f aca="false">IFERROR(IF([2]对账明细接口!$AA831=0,"",[2]对账明细接口!$AA831),"")</f>
        <v/>
      </c>
      <c r="AF830" s="90" t="str">
        <f aca="false">IFERROR(IF([2]对账明细接口!$AB831=0,"",[2]对账明细接口!$AB831),"")</f>
        <v/>
      </c>
      <c r="AG830" s="90" t="str">
        <f aca="false">IFERROR(IF([2]对账明细接口!$AC831=0,"",[2]对账明细接口!$AC831),"")</f>
        <v/>
      </c>
      <c r="AH830" s="90" t="str">
        <f aca="false">IFERROR(IF([2]对账明细接口!$AD831=0,"",[2]对账明细接口!$AD831),"")</f>
        <v/>
      </c>
    </row>
    <row r="831" customFormat="false" ht="13.5" hidden="false" customHeight="false" outlineLevel="0" collapsed="false">
      <c r="A831" s="109" t="n">
        <v>831</v>
      </c>
      <c r="B831" s="110" t="str">
        <f aca="false">IFERROR(IF([2]对账明细接口!$B$831=0,"",[2]对账明细接口!$B$831),"")</f>
        <v/>
      </c>
      <c r="C831" s="59" t="str">
        <f aca="false">IFERROR(IF([2]对账明细接口!$C$831=0,"",[2]对账明细接口!$C$831),"")</f>
        <v/>
      </c>
      <c r="D831" s="59" t="str">
        <f aca="false">IFERROR(IF([2]对账明细接口!$D$831=0,"",[2]对账明细接口!$D$831),"")</f>
        <v/>
      </c>
      <c r="E831" s="59" t="str">
        <f aca="false">IFERROR(IF([2]对账明细接口!$E$831=0,"",[2]对账明细接口!$E$831),"")</f>
        <v/>
      </c>
      <c r="F831" s="59" t="str">
        <f aca="false">IFERROR(IF([2]对账明细接口!$F$831=0,"",[2]对账明细接口!$F$831),"")</f>
        <v/>
      </c>
      <c r="G831" s="59" t="str">
        <f aca="false">IFERROR(IF([2]对账明细接口!$G$831=0,"",[2]对账明细接口!$G$831),"")</f>
        <v/>
      </c>
      <c r="H831" s="60" t="str">
        <f aca="false">IFERROR(IF([2]对账明细接口!$H$831=0,"",[2]对账明细接口!$H$831),"")</f>
        <v/>
      </c>
      <c r="I831" s="59" t="str">
        <f aca="false">IFERROR(IF([2]对账明细接口!$I$831=0,"",[2]对账明细接口!$I$831),"")</f>
        <v/>
      </c>
      <c r="J831" s="61" t="str">
        <f aca="false">IFERROR(IF([2]对账明细接口!$J$831=0,"",[2]对账明细接口!$J$831),"")</f>
        <v/>
      </c>
      <c r="K831" s="61" t="str">
        <f aca="false">IFERROR(IF([2]对账明细接口!$K$831=0,"",[2]对账明细接口!$K$831),"")</f>
        <v/>
      </c>
      <c r="L831" s="59" t="str">
        <f aca="false">IFERROR(IF([2]对账明细接口!$L$831=0,"",[2]对账明细接口!$L$831),"")</f>
        <v/>
      </c>
      <c r="M831" s="59" t="str">
        <f aca="false">IFERROR(IF([2]对账明细接口!$M$831=0,"",[2]对账明细接口!$M$831),"")</f>
        <v/>
      </c>
      <c r="N831" s="111" t="n">
        <f aca="false">IF($C831="",0,1)</f>
        <v>0</v>
      </c>
      <c r="O831" s="111" t="n">
        <f aca="false">N(O830)+$N831</f>
        <v>311</v>
      </c>
      <c r="S831" s="10" t="str">
        <f aca="false">IFERROR(IF([2]对账明细接口!$N831=0,"",[2]对账明细接口!$N831),"")</f>
        <v/>
      </c>
      <c r="T831" s="112" t="str">
        <f aca="false">IFERROR(IF([2]对账明细接口!$O831=0,"",[2]对账明细接口!$O831),"")</f>
        <v/>
      </c>
      <c r="U831" s="112" t="str">
        <f aca="false">IFERROR(IF([2]对账明细接口!$P831=0,"",[2]对账明细接口!$P831),"")</f>
        <v/>
      </c>
      <c r="V831" s="112" t="str">
        <f aca="false">IFERROR(IF([2]对账明细接口!$Q831=0,"",[2]对账明细接口!$Q831),"")</f>
        <v/>
      </c>
      <c r="W831" s="10" t="str">
        <f aca="false">IFERROR(IF([2]对账明细接口!$R831=0,"",[2]对账明细接口!$R831),"")</f>
        <v/>
      </c>
      <c r="X831" s="10" t="str">
        <f aca="false">IFERROR(IF([2]对账明细接口!$S831=0,"",[2]对账明细接口!$S831),"")</f>
        <v/>
      </c>
      <c r="Y831" s="10" t="str">
        <f aca="false">IFERROR(IF([2]对账明细接口!$T831=0,"",[2]对账明细接口!$T831),"")</f>
        <v/>
      </c>
      <c r="Z831" s="113" t="str">
        <f aca="false">IFERROR(IF([2]对账明细接口!$U831=0,"",[2]对账明细接口!$U831),"")</f>
        <v/>
      </c>
      <c r="AA831" s="113" t="str">
        <f aca="false">IFERROR(IF([2]对账明细接口!$V831=0,"",[2]对账明细接口!$V831),"")</f>
        <v/>
      </c>
      <c r="AB831" s="10" t="str">
        <f aca="false">IFERROR(IF([2]对账明细接口!$W831=0,"",[2]对账明细接口!$W831),"")</f>
        <v/>
      </c>
      <c r="AC831" s="90" t="str">
        <f aca="false">IFERROR(IF([2]对账明细接口!$X832=0,"",[2]对账明细接口!$X832),"")</f>
        <v/>
      </c>
      <c r="AD831" s="90" t="str">
        <f aca="false">IFERROR(IF([2]对账明细接口!$Y832=0,"",[2]对账明细接口!$Y832),"")</f>
        <v/>
      </c>
      <c r="AE831" s="90" t="str">
        <f aca="false">IFERROR(IF([2]对账明细接口!$AA832=0,"",[2]对账明细接口!$AA832),"")</f>
        <v/>
      </c>
      <c r="AF831" s="90" t="str">
        <f aca="false">IFERROR(IF([2]对账明细接口!$AB832=0,"",[2]对账明细接口!$AB832),"")</f>
        <v/>
      </c>
      <c r="AG831" s="90" t="str">
        <f aca="false">IFERROR(IF([2]对账明细接口!$AC832=0,"",[2]对账明细接口!$AC832),"")</f>
        <v/>
      </c>
      <c r="AH831" s="90" t="str">
        <f aca="false">IFERROR(IF([2]对账明细接口!$AD832=0,"",[2]对账明细接口!$AD832),"")</f>
        <v/>
      </c>
    </row>
    <row r="832" customFormat="false" ht="13.5" hidden="false" customHeight="false" outlineLevel="0" collapsed="false">
      <c r="A832" s="109" t="n">
        <v>832</v>
      </c>
      <c r="B832" s="110" t="str">
        <f aca="false">IFERROR(IF([2]对账明细接口!$B$832=0,"",[2]对账明细接口!$B$832),"")</f>
        <v/>
      </c>
      <c r="C832" s="59" t="str">
        <f aca="false">IFERROR(IF([2]对账明细接口!$C$832=0,"",[2]对账明细接口!$C$832),"")</f>
        <v/>
      </c>
      <c r="D832" s="59" t="str">
        <f aca="false">IFERROR(IF([2]对账明细接口!$D$832=0,"",[2]对账明细接口!$D$832),"")</f>
        <v/>
      </c>
      <c r="E832" s="59" t="str">
        <f aca="false">IFERROR(IF([2]对账明细接口!$E$832=0,"",[2]对账明细接口!$E$832),"")</f>
        <v/>
      </c>
      <c r="F832" s="59" t="str">
        <f aca="false">IFERROR(IF([2]对账明细接口!$F$832=0,"",[2]对账明细接口!$F$832),"")</f>
        <v/>
      </c>
      <c r="G832" s="59" t="str">
        <f aca="false">IFERROR(IF([2]对账明细接口!$G$832=0,"",[2]对账明细接口!$G$832),"")</f>
        <v/>
      </c>
      <c r="H832" s="60" t="str">
        <f aca="false">IFERROR(IF([2]对账明细接口!$H$832=0,"",[2]对账明细接口!$H$832),"")</f>
        <v/>
      </c>
      <c r="I832" s="59" t="str">
        <f aca="false">IFERROR(IF([2]对账明细接口!$I$832=0,"",[2]对账明细接口!$I$832),"")</f>
        <v/>
      </c>
      <c r="J832" s="61" t="str">
        <f aca="false">IFERROR(IF([2]对账明细接口!$J$832=0,"",[2]对账明细接口!$J$832),"")</f>
        <v/>
      </c>
      <c r="K832" s="61" t="str">
        <f aca="false">IFERROR(IF([2]对账明细接口!$K$832=0,"",[2]对账明细接口!$K$832),"")</f>
        <v/>
      </c>
      <c r="L832" s="59" t="str">
        <f aca="false">IFERROR(IF([2]对账明细接口!$L$832=0,"",[2]对账明细接口!$L$832),"")</f>
        <v/>
      </c>
      <c r="M832" s="59" t="str">
        <f aca="false">IFERROR(IF([2]对账明细接口!$M$832=0,"",[2]对账明细接口!$M$832),"")</f>
        <v/>
      </c>
      <c r="N832" s="111" t="n">
        <f aca="false">IF($C832="",0,1)</f>
        <v>0</v>
      </c>
      <c r="O832" s="111" t="n">
        <f aca="false">N(O831)+$N832</f>
        <v>311</v>
      </c>
      <c r="S832" s="10" t="str">
        <f aca="false">IFERROR(IF([2]对账明细接口!$N832=0,"",[2]对账明细接口!$N832),"")</f>
        <v/>
      </c>
      <c r="T832" s="112" t="str">
        <f aca="false">IFERROR(IF([2]对账明细接口!$O832=0,"",[2]对账明细接口!$O832),"")</f>
        <v/>
      </c>
      <c r="U832" s="112" t="str">
        <f aca="false">IFERROR(IF([2]对账明细接口!$P832=0,"",[2]对账明细接口!$P832),"")</f>
        <v/>
      </c>
      <c r="V832" s="112" t="str">
        <f aca="false">IFERROR(IF([2]对账明细接口!$Q832=0,"",[2]对账明细接口!$Q832),"")</f>
        <v/>
      </c>
      <c r="W832" s="10" t="str">
        <f aca="false">IFERROR(IF([2]对账明细接口!$R832=0,"",[2]对账明细接口!$R832),"")</f>
        <v/>
      </c>
      <c r="X832" s="10" t="str">
        <f aca="false">IFERROR(IF([2]对账明细接口!$S832=0,"",[2]对账明细接口!$S832),"")</f>
        <v/>
      </c>
      <c r="Y832" s="10" t="str">
        <f aca="false">IFERROR(IF([2]对账明细接口!$T832=0,"",[2]对账明细接口!$T832),"")</f>
        <v/>
      </c>
      <c r="Z832" s="113" t="str">
        <f aca="false">IFERROR(IF([2]对账明细接口!$U832=0,"",[2]对账明细接口!$U832),"")</f>
        <v/>
      </c>
      <c r="AA832" s="113" t="str">
        <f aca="false">IFERROR(IF([2]对账明细接口!$V832=0,"",[2]对账明细接口!$V832),"")</f>
        <v/>
      </c>
      <c r="AB832" s="10" t="str">
        <f aca="false">IFERROR(IF([2]对账明细接口!$W832=0,"",[2]对账明细接口!$W832),"")</f>
        <v/>
      </c>
      <c r="AC832" s="90" t="str">
        <f aca="false">IFERROR(IF([2]对账明细接口!$X833=0,"",[2]对账明细接口!$X833),"")</f>
        <v/>
      </c>
      <c r="AD832" s="90" t="str">
        <f aca="false">IFERROR(IF([2]对账明细接口!$Y833=0,"",[2]对账明细接口!$Y833),"")</f>
        <v/>
      </c>
      <c r="AE832" s="90" t="str">
        <f aca="false">IFERROR(IF([2]对账明细接口!$AA833=0,"",[2]对账明细接口!$AA833),"")</f>
        <v/>
      </c>
      <c r="AF832" s="90" t="str">
        <f aca="false">IFERROR(IF([2]对账明细接口!$AB833=0,"",[2]对账明细接口!$AB833),"")</f>
        <v/>
      </c>
      <c r="AG832" s="90" t="str">
        <f aca="false">IFERROR(IF([2]对账明细接口!$AC833=0,"",[2]对账明细接口!$AC833),"")</f>
        <v/>
      </c>
      <c r="AH832" s="90" t="str">
        <f aca="false">IFERROR(IF([2]对账明细接口!$AD833=0,"",[2]对账明细接口!$AD833),"")</f>
        <v/>
      </c>
    </row>
    <row r="833" customFormat="false" ht="13.5" hidden="false" customHeight="false" outlineLevel="0" collapsed="false">
      <c r="A833" s="109" t="n">
        <v>833</v>
      </c>
      <c r="B833" s="110" t="str">
        <f aca="false">IFERROR(IF([2]对账明细接口!$B$833=0,"",[2]对账明细接口!$B$833),"")</f>
        <v/>
      </c>
      <c r="C833" s="59" t="str">
        <f aca="false">IFERROR(IF([2]对账明细接口!$C$833=0,"",[2]对账明细接口!$C$833),"")</f>
        <v/>
      </c>
      <c r="D833" s="59" t="str">
        <f aca="false">IFERROR(IF([2]对账明细接口!$D$833=0,"",[2]对账明细接口!$D$833),"")</f>
        <v/>
      </c>
      <c r="E833" s="59" t="str">
        <f aca="false">IFERROR(IF([2]对账明细接口!$E$833=0,"",[2]对账明细接口!$E$833),"")</f>
        <v/>
      </c>
      <c r="F833" s="59" t="str">
        <f aca="false">IFERROR(IF([2]对账明细接口!$F$833=0,"",[2]对账明细接口!$F$833),"")</f>
        <v/>
      </c>
      <c r="G833" s="59" t="str">
        <f aca="false">IFERROR(IF([2]对账明细接口!$G$833=0,"",[2]对账明细接口!$G$833),"")</f>
        <v/>
      </c>
      <c r="H833" s="60" t="str">
        <f aca="false">IFERROR(IF([2]对账明细接口!$H$833=0,"",[2]对账明细接口!$H$833),"")</f>
        <v/>
      </c>
      <c r="I833" s="59" t="str">
        <f aca="false">IFERROR(IF([2]对账明细接口!$I$833=0,"",[2]对账明细接口!$I$833),"")</f>
        <v/>
      </c>
      <c r="J833" s="61" t="str">
        <f aca="false">IFERROR(IF([2]对账明细接口!$J$833=0,"",[2]对账明细接口!$J$833),"")</f>
        <v/>
      </c>
      <c r="K833" s="61" t="str">
        <f aca="false">IFERROR(IF([2]对账明细接口!$K$833=0,"",[2]对账明细接口!$K$833),"")</f>
        <v/>
      </c>
      <c r="L833" s="59" t="str">
        <f aca="false">IFERROR(IF([2]对账明细接口!$L$833=0,"",[2]对账明细接口!$L$833),"")</f>
        <v/>
      </c>
      <c r="M833" s="59" t="str">
        <f aca="false">IFERROR(IF([2]对账明细接口!$M$833=0,"",[2]对账明细接口!$M$833),"")</f>
        <v/>
      </c>
      <c r="N833" s="111" t="n">
        <f aca="false">IF($C833="",0,1)</f>
        <v>0</v>
      </c>
      <c r="O833" s="111" t="n">
        <f aca="false">N(O832)+$N833</f>
        <v>311</v>
      </c>
      <c r="S833" s="10" t="str">
        <f aca="false">IFERROR(IF([2]对账明细接口!$N833=0,"",[2]对账明细接口!$N833),"")</f>
        <v/>
      </c>
      <c r="T833" s="112" t="str">
        <f aca="false">IFERROR(IF([2]对账明细接口!$O833=0,"",[2]对账明细接口!$O833),"")</f>
        <v/>
      </c>
      <c r="U833" s="112" t="str">
        <f aca="false">IFERROR(IF([2]对账明细接口!$P833=0,"",[2]对账明细接口!$P833),"")</f>
        <v/>
      </c>
      <c r="V833" s="112" t="str">
        <f aca="false">IFERROR(IF([2]对账明细接口!$Q833=0,"",[2]对账明细接口!$Q833),"")</f>
        <v/>
      </c>
      <c r="W833" s="10" t="str">
        <f aca="false">IFERROR(IF([2]对账明细接口!$R833=0,"",[2]对账明细接口!$R833),"")</f>
        <v/>
      </c>
      <c r="X833" s="10" t="str">
        <f aca="false">IFERROR(IF([2]对账明细接口!$S833=0,"",[2]对账明细接口!$S833),"")</f>
        <v/>
      </c>
      <c r="Y833" s="10" t="str">
        <f aca="false">IFERROR(IF([2]对账明细接口!$T833=0,"",[2]对账明细接口!$T833),"")</f>
        <v/>
      </c>
      <c r="Z833" s="113" t="str">
        <f aca="false">IFERROR(IF([2]对账明细接口!$U833=0,"",[2]对账明细接口!$U833),"")</f>
        <v/>
      </c>
      <c r="AA833" s="113" t="str">
        <f aca="false">IFERROR(IF([2]对账明细接口!$V833=0,"",[2]对账明细接口!$V833),"")</f>
        <v/>
      </c>
      <c r="AB833" s="10" t="str">
        <f aca="false">IFERROR(IF([2]对账明细接口!$W833=0,"",[2]对账明细接口!$W833),"")</f>
        <v/>
      </c>
      <c r="AC833" s="90" t="str">
        <f aca="false">IFERROR(IF([2]对账明细接口!$X834=0,"",[2]对账明细接口!$X834),"")</f>
        <v/>
      </c>
      <c r="AD833" s="90" t="str">
        <f aca="false">IFERROR(IF([2]对账明细接口!$Y834=0,"",[2]对账明细接口!$Y834),"")</f>
        <v/>
      </c>
      <c r="AE833" s="90" t="str">
        <f aca="false">IFERROR(IF([2]对账明细接口!$AA834=0,"",[2]对账明细接口!$AA834),"")</f>
        <v/>
      </c>
      <c r="AF833" s="90" t="str">
        <f aca="false">IFERROR(IF([2]对账明细接口!$AB834=0,"",[2]对账明细接口!$AB834),"")</f>
        <v/>
      </c>
      <c r="AG833" s="90" t="str">
        <f aca="false">IFERROR(IF([2]对账明细接口!$AC834=0,"",[2]对账明细接口!$AC834),"")</f>
        <v/>
      </c>
      <c r="AH833" s="90" t="str">
        <f aca="false">IFERROR(IF([2]对账明细接口!$AD834=0,"",[2]对账明细接口!$AD834),"")</f>
        <v/>
      </c>
    </row>
    <row r="834" customFormat="false" ht="13.5" hidden="false" customHeight="false" outlineLevel="0" collapsed="false">
      <c r="A834" s="109" t="n">
        <v>834</v>
      </c>
      <c r="B834" s="110" t="str">
        <f aca="false">IFERROR(IF([2]对账明细接口!$B$834=0,"",[2]对账明细接口!$B$834),"")</f>
        <v/>
      </c>
      <c r="C834" s="59" t="str">
        <f aca="false">IFERROR(IF([2]对账明细接口!$C$834=0,"",[2]对账明细接口!$C$834),"")</f>
        <v/>
      </c>
      <c r="D834" s="59" t="str">
        <f aca="false">IFERROR(IF([2]对账明细接口!$D$834=0,"",[2]对账明细接口!$D$834),"")</f>
        <v/>
      </c>
      <c r="E834" s="59" t="str">
        <f aca="false">IFERROR(IF([2]对账明细接口!$E$834=0,"",[2]对账明细接口!$E$834),"")</f>
        <v/>
      </c>
      <c r="F834" s="59" t="str">
        <f aca="false">IFERROR(IF([2]对账明细接口!$F$834=0,"",[2]对账明细接口!$F$834),"")</f>
        <v/>
      </c>
      <c r="G834" s="59" t="str">
        <f aca="false">IFERROR(IF([2]对账明细接口!$G$834=0,"",[2]对账明细接口!$G$834),"")</f>
        <v/>
      </c>
      <c r="H834" s="60" t="str">
        <f aca="false">IFERROR(IF([2]对账明细接口!$H$834=0,"",[2]对账明细接口!$H$834),"")</f>
        <v/>
      </c>
      <c r="I834" s="59" t="str">
        <f aca="false">IFERROR(IF([2]对账明细接口!$I$834=0,"",[2]对账明细接口!$I$834),"")</f>
        <v/>
      </c>
      <c r="J834" s="61" t="str">
        <f aca="false">IFERROR(IF([2]对账明细接口!$J$834=0,"",[2]对账明细接口!$J$834),"")</f>
        <v/>
      </c>
      <c r="K834" s="61" t="str">
        <f aca="false">IFERROR(IF([2]对账明细接口!$K$834=0,"",[2]对账明细接口!$K$834),"")</f>
        <v/>
      </c>
      <c r="L834" s="59" t="str">
        <f aca="false">IFERROR(IF([2]对账明细接口!$L$834=0,"",[2]对账明细接口!$L$834),"")</f>
        <v/>
      </c>
      <c r="M834" s="59" t="str">
        <f aca="false">IFERROR(IF([2]对账明细接口!$M$834=0,"",[2]对账明细接口!$M$834),"")</f>
        <v/>
      </c>
      <c r="N834" s="111" t="n">
        <f aca="false">IF($C834="",0,1)</f>
        <v>0</v>
      </c>
      <c r="O834" s="111" t="n">
        <f aca="false">N(O833)+$N834</f>
        <v>311</v>
      </c>
      <c r="S834" s="10" t="str">
        <f aca="false">IFERROR(IF([2]对账明细接口!$N834=0,"",[2]对账明细接口!$N834),"")</f>
        <v/>
      </c>
      <c r="T834" s="112" t="str">
        <f aca="false">IFERROR(IF([2]对账明细接口!$O834=0,"",[2]对账明细接口!$O834),"")</f>
        <v/>
      </c>
      <c r="U834" s="112" t="str">
        <f aca="false">IFERROR(IF([2]对账明细接口!$P834=0,"",[2]对账明细接口!$P834),"")</f>
        <v/>
      </c>
      <c r="V834" s="112" t="str">
        <f aca="false">IFERROR(IF([2]对账明细接口!$Q834=0,"",[2]对账明细接口!$Q834),"")</f>
        <v/>
      </c>
      <c r="W834" s="10" t="str">
        <f aca="false">IFERROR(IF([2]对账明细接口!$R834=0,"",[2]对账明细接口!$R834),"")</f>
        <v/>
      </c>
      <c r="X834" s="10" t="str">
        <f aca="false">IFERROR(IF([2]对账明细接口!$S834=0,"",[2]对账明细接口!$S834),"")</f>
        <v/>
      </c>
      <c r="Y834" s="10" t="str">
        <f aca="false">IFERROR(IF([2]对账明细接口!$T834=0,"",[2]对账明细接口!$T834),"")</f>
        <v/>
      </c>
      <c r="Z834" s="113" t="str">
        <f aca="false">IFERROR(IF([2]对账明细接口!$U834=0,"",[2]对账明细接口!$U834),"")</f>
        <v/>
      </c>
      <c r="AA834" s="113" t="str">
        <f aca="false">IFERROR(IF([2]对账明细接口!$V834=0,"",[2]对账明细接口!$V834),"")</f>
        <v/>
      </c>
      <c r="AB834" s="10" t="str">
        <f aca="false">IFERROR(IF([2]对账明细接口!$W834=0,"",[2]对账明细接口!$W834),"")</f>
        <v/>
      </c>
      <c r="AC834" s="90" t="str">
        <f aca="false">IFERROR(IF([2]对账明细接口!$X835=0,"",[2]对账明细接口!$X835),"")</f>
        <v/>
      </c>
      <c r="AD834" s="90" t="str">
        <f aca="false">IFERROR(IF([2]对账明细接口!$Y835=0,"",[2]对账明细接口!$Y835),"")</f>
        <v/>
      </c>
      <c r="AE834" s="90" t="str">
        <f aca="false">IFERROR(IF([2]对账明细接口!$AA835=0,"",[2]对账明细接口!$AA835),"")</f>
        <v/>
      </c>
      <c r="AF834" s="90" t="str">
        <f aca="false">IFERROR(IF([2]对账明细接口!$AB835=0,"",[2]对账明细接口!$AB835),"")</f>
        <v/>
      </c>
      <c r="AG834" s="90" t="str">
        <f aca="false">IFERROR(IF([2]对账明细接口!$AC835=0,"",[2]对账明细接口!$AC835),"")</f>
        <v/>
      </c>
      <c r="AH834" s="90" t="str">
        <f aca="false">IFERROR(IF([2]对账明细接口!$AD835=0,"",[2]对账明细接口!$AD835),"")</f>
        <v/>
      </c>
    </row>
    <row r="835" customFormat="false" ht="13.5" hidden="false" customHeight="false" outlineLevel="0" collapsed="false">
      <c r="A835" s="109" t="n">
        <v>835</v>
      </c>
      <c r="B835" s="110" t="str">
        <f aca="false">IFERROR(IF([2]对账明细接口!$B$835=0,"",[2]对账明细接口!$B$835),"")</f>
        <v/>
      </c>
      <c r="C835" s="59" t="str">
        <f aca="false">IFERROR(IF([2]对账明细接口!$C$835=0,"",[2]对账明细接口!$C$835),"")</f>
        <v/>
      </c>
      <c r="D835" s="59" t="str">
        <f aca="false">IFERROR(IF([2]对账明细接口!$D$835=0,"",[2]对账明细接口!$D$835),"")</f>
        <v/>
      </c>
      <c r="E835" s="59" t="str">
        <f aca="false">IFERROR(IF([2]对账明细接口!$E$835=0,"",[2]对账明细接口!$E$835),"")</f>
        <v/>
      </c>
      <c r="F835" s="59" t="str">
        <f aca="false">IFERROR(IF([2]对账明细接口!$F$835=0,"",[2]对账明细接口!$F$835),"")</f>
        <v/>
      </c>
      <c r="G835" s="59" t="str">
        <f aca="false">IFERROR(IF([2]对账明细接口!$G$835=0,"",[2]对账明细接口!$G$835),"")</f>
        <v/>
      </c>
      <c r="H835" s="60" t="str">
        <f aca="false">IFERROR(IF([2]对账明细接口!$H$835=0,"",[2]对账明细接口!$H$835),"")</f>
        <v/>
      </c>
      <c r="I835" s="59" t="str">
        <f aca="false">IFERROR(IF([2]对账明细接口!$I$835=0,"",[2]对账明细接口!$I$835),"")</f>
        <v/>
      </c>
      <c r="J835" s="61" t="str">
        <f aca="false">IFERROR(IF([2]对账明细接口!$J$835=0,"",[2]对账明细接口!$J$835),"")</f>
        <v/>
      </c>
      <c r="K835" s="61" t="str">
        <f aca="false">IFERROR(IF([2]对账明细接口!$K$835=0,"",[2]对账明细接口!$K$835),"")</f>
        <v/>
      </c>
      <c r="L835" s="59" t="str">
        <f aca="false">IFERROR(IF([2]对账明细接口!$L$835=0,"",[2]对账明细接口!$L$835),"")</f>
        <v/>
      </c>
      <c r="M835" s="59" t="str">
        <f aca="false">IFERROR(IF([2]对账明细接口!$M$835=0,"",[2]对账明细接口!$M$835),"")</f>
        <v/>
      </c>
      <c r="N835" s="111" t="n">
        <f aca="false">IF($C835="",0,1)</f>
        <v>0</v>
      </c>
      <c r="O835" s="111" t="n">
        <f aca="false">N(O834)+$N835</f>
        <v>311</v>
      </c>
      <c r="S835" s="10" t="str">
        <f aca="false">IFERROR(IF([2]对账明细接口!$N835=0,"",[2]对账明细接口!$N835),"")</f>
        <v/>
      </c>
      <c r="T835" s="112" t="str">
        <f aca="false">IFERROR(IF([2]对账明细接口!$O835=0,"",[2]对账明细接口!$O835),"")</f>
        <v/>
      </c>
      <c r="U835" s="112" t="str">
        <f aca="false">IFERROR(IF([2]对账明细接口!$P835=0,"",[2]对账明细接口!$P835),"")</f>
        <v/>
      </c>
      <c r="V835" s="112" t="str">
        <f aca="false">IFERROR(IF([2]对账明细接口!$Q835=0,"",[2]对账明细接口!$Q835),"")</f>
        <v/>
      </c>
      <c r="W835" s="10" t="str">
        <f aca="false">IFERROR(IF([2]对账明细接口!$R835=0,"",[2]对账明细接口!$R835),"")</f>
        <v/>
      </c>
      <c r="X835" s="10" t="str">
        <f aca="false">IFERROR(IF([2]对账明细接口!$S835=0,"",[2]对账明细接口!$S835),"")</f>
        <v/>
      </c>
      <c r="Y835" s="10" t="str">
        <f aca="false">IFERROR(IF([2]对账明细接口!$T835=0,"",[2]对账明细接口!$T835),"")</f>
        <v/>
      </c>
      <c r="Z835" s="113" t="str">
        <f aca="false">IFERROR(IF([2]对账明细接口!$U835=0,"",[2]对账明细接口!$U835),"")</f>
        <v/>
      </c>
      <c r="AA835" s="113" t="str">
        <f aca="false">IFERROR(IF([2]对账明细接口!$V835=0,"",[2]对账明细接口!$V835),"")</f>
        <v/>
      </c>
      <c r="AB835" s="10" t="str">
        <f aca="false">IFERROR(IF([2]对账明细接口!$W835=0,"",[2]对账明细接口!$W835),"")</f>
        <v/>
      </c>
      <c r="AC835" s="90" t="str">
        <f aca="false">IFERROR(IF([2]对账明细接口!$X836=0,"",[2]对账明细接口!$X836),"")</f>
        <v/>
      </c>
      <c r="AD835" s="90" t="str">
        <f aca="false">IFERROR(IF([2]对账明细接口!$Y836=0,"",[2]对账明细接口!$Y836),"")</f>
        <v/>
      </c>
      <c r="AE835" s="90" t="str">
        <f aca="false">IFERROR(IF([2]对账明细接口!$AA836=0,"",[2]对账明细接口!$AA836),"")</f>
        <v/>
      </c>
      <c r="AF835" s="90" t="str">
        <f aca="false">IFERROR(IF([2]对账明细接口!$AB836=0,"",[2]对账明细接口!$AB836),"")</f>
        <v/>
      </c>
      <c r="AG835" s="90" t="str">
        <f aca="false">IFERROR(IF([2]对账明细接口!$AC836=0,"",[2]对账明细接口!$AC836),"")</f>
        <v/>
      </c>
      <c r="AH835" s="90" t="str">
        <f aca="false">IFERROR(IF([2]对账明细接口!$AD836=0,"",[2]对账明细接口!$AD836),"")</f>
        <v/>
      </c>
    </row>
    <row r="836" customFormat="false" ht="13.5" hidden="false" customHeight="false" outlineLevel="0" collapsed="false">
      <c r="A836" s="109" t="n">
        <v>836</v>
      </c>
      <c r="B836" s="110" t="str">
        <f aca="false">IFERROR(IF([2]对账明细接口!$B$836=0,"",[2]对账明细接口!$B$836),"")</f>
        <v/>
      </c>
      <c r="C836" s="59" t="str">
        <f aca="false">IFERROR(IF([2]对账明细接口!$C$836=0,"",[2]对账明细接口!$C$836),"")</f>
        <v/>
      </c>
      <c r="D836" s="59" t="str">
        <f aca="false">IFERROR(IF([2]对账明细接口!$D$836=0,"",[2]对账明细接口!$D$836),"")</f>
        <v/>
      </c>
      <c r="E836" s="59" t="str">
        <f aca="false">IFERROR(IF([2]对账明细接口!$E$836=0,"",[2]对账明细接口!$E$836),"")</f>
        <v/>
      </c>
      <c r="F836" s="59" t="str">
        <f aca="false">IFERROR(IF([2]对账明细接口!$F$836=0,"",[2]对账明细接口!$F$836),"")</f>
        <v/>
      </c>
      <c r="G836" s="59" t="str">
        <f aca="false">IFERROR(IF([2]对账明细接口!$G$836=0,"",[2]对账明细接口!$G$836),"")</f>
        <v/>
      </c>
      <c r="H836" s="60" t="str">
        <f aca="false">IFERROR(IF([2]对账明细接口!$H$836=0,"",[2]对账明细接口!$H$836),"")</f>
        <v/>
      </c>
      <c r="I836" s="59" t="str">
        <f aca="false">IFERROR(IF([2]对账明细接口!$I$836=0,"",[2]对账明细接口!$I$836),"")</f>
        <v/>
      </c>
      <c r="J836" s="61" t="str">
        <f aca="false">IFERROR(IF([2]对账明细接口!$J$836=0,"",[2]对账明细接口!$J$836),"")</f>
        <v/>
      </c>
      <c r="K836" s="61" t="str">
        <f aca="false">IFERROR(IF([2]对账明细接口!$K$836=0,"",[2]对账明细接口!$K$836),"")</f>
        <v/>
      </c>
      <c r="L836" s="59" t="str">
        <f aca="false">IFERROR(IF([2]对账明细接口!$L$836=0,"",[2]对账明细接口!$L$836),"")</f>
        <v/>
      </c>
      <c r="M836" s="59" t="str">
        <f aca="false">IFERROR(IF([2]对账明细接口!$M$836=0,"",[2]对账明细接口!$M$836),"")</f>
        <v/>
      </c>
      <c r="N836" s="111" t="n">
        <f aca="false">IF($C836="",0,1)</f>
        <v>0</v>
      </c>
      <c r="O836" s="111" t="n">
        <f aca="false">N(O835)+$N836</f>
        <v>311</v>
      </c>
      <c r="S836" s="10" t="str">
        <f aca="false">IFERROR(IF([2]对账明细接口!$N836=0,"",[2]对账明细接口!$N836),"")</f>
        <v/>
      </c>
      <c r="T836" s="112" t="str">
        <f aca="false">IFERROR(IF([2]对账明细接口!$O836=0,"",[2]对账明细接口!$O836),"")</f>
        <v/>
      </c>
      <c r="U836" s="112" t="str">
        <f aca="false">IFERROR(IF([2]对账明细接口!$P836=0,"",[2]对账明细接口!$P836),"")</f>
        <v/>
      </c>
      <c r="V836" s="112" t="str">
        <f aca="false">IFERROR(IF([2]对账明细接口!$Q836=0,"",[2]对账明细接口!$Q836),"")</f>
        <v/>
      </c>
      <c r="W836" s="10" t="str">
        <f aca="false">IFERROR(IF([2]对账明细接口!$R836=0,"",[2]对账明细接口!$R836),"")</f>
        <v/>
      </c>
      <c r="X836" s="10" t="str">
        <f aca="false">IFERROR(IF([2]对账明细接口!$S836=0,"",[2]对账明细接口!$S836),"")</f>
        <v/>
      </c>
      <c r="Y836" s="10" t="str">
        <f aca="false">IFERROR(IF([2]对账明细接口!$T836=0,"",[2]对账明细接口!$T836),"")</f>
        <v/>
      </c>
      <c r="Z836" s="113" t="str">
        <f aca="false">IFERROR(IF([2]对账明细接口!$U836=0,"",[2]对账明细接口!$U836),"")</f>
        <v/>
      </c>
      <c r="AA836" s="113" t="str">
        <f aca="false">IFERROR(IF([2]对账明细接口!$V836=0,"",[2]对账明细接口!$V836),"")</f>
        <v/>
      </c>
      <c r="AB836" s="10" t="str">
        <f aca="false">IFERROR(IF([2]对账明细接口!$W836=0,"",[2]对账明细接口!$W836),"")</f>
        <v/>
      </c>
      <c r="AC836" s="90" t="str">
        <f aca="false">IFERROR(IF([2]对账明细接口!$X837=0,"",[2]对账明细接口!$X837),"")</f>
        <v/>
      </c>
      <c r="AD836" s="90" t="str">
        <f aca="false">IFERROR(IF([2]对账明细接口!$Y837=0,"",[2]对账明细接口!$Y837),"")</f>
        <v/>
      </c>
      <c r="AE836" s="90" t="str">
        <f aca="false">IFERROR(IF([2]对账明细接口!$AA837=0,"",[2]对账明细接口!$AA837),"")</f>
        <v/>
      </c>
      <c r="AF836" s="90" t="str">
        <f aca="false">IFERROR(IF([2]对账明细接口!$AB837=0,"",[2]对账明细接口!$AB837),"")</f>
        <v/>
      </c>
      <c r="AG836" s="90" t="str">
        <f aca="false">IFERROR(IF([2]对账明细接口!$AC837=0,"",[2]对账明细接口!$AC837),"")</f>
        <v/>
      </c>
      <c r="AH836" s="90" t="str">
        <f aca="false">IFERROR(IF([2]对账明细接口!$AD837=0,"",[2]对账明细接口!$AD837),"")</f>
        <v/>
      </c>
    </row>
    <row r="837" customFormat="false" ht="13.5" hidden="false" customHeight="false" outlineLevel="0" collapsed="false">
      <c r="A837" s="109" t="n">
        <v>837</v>
      </c>
      <c r="B837" s="110" t="str">
        <f aca="false">IFERROR(IF([2]对账明细接口!$B$837=0,"",[2]对账明细接口!$B$837),"")</f>
        <v/>
      </c>
      <c r="C837" s="59" t="str">
        <f aca="false">IFERROR(IF([2]对账明细接口!$C$837=0,"",[2]对账明细接口!$C$837),"")</f>
        <v/>
      </c>
      <c r="D837" s="59" t="str">
        <f aca="false">IFERROR(IF([2]对账明细接口!$D$837=0,"",[2]对账明细接口!$D$837),"")</f>
        <v/>
      </c>
      <c r="E837" s="59" t="str">
        <f aca="false">IFERROR(IF([2]对账明细接口!$E$837=0,"",[2]对账明细接口!$E$837),"")</f>
        <v/>
      </c>
      <c r="F837" s="59" t="str">
        <f aca="false">IFERROR(IF([2]对账明细接口!$F$837=0,"",[2]对账明细接口!$F$837),"")</f>
        <v/>
      </c>
      <c r="G837" s="59" t="str">
        <f aca="false">IFERROR(IF([2]对账明细接口!$G$837=0,"",[2]对账明细接口!$G$837),"")</f>
        <v/>
      </c>
      <c r="H837" s="60" t="str">
        <f aca="false">IFERROR(IF([2]对账明细接口!$H$837=0,"",[2]对账明细接口!$H$837),"")</f>
        <v/>
      </c>
      <c r="I837" s="59" t="str">
        <f aca="false">IFERROR(IF([2]对账明细接口!$I$837=0,"",[2]对账明细接口!$I$837),"")</f>
        <v/>
      </c>
      <c r="J837" s="61" t="str">
        <f aca="false">IFERROR(IF([2]对账明细接口!$J$837=0,"",[2]对账明细接口!$J$837),"")</f>
        <v/>
      </c>
      <c r="K837" s="61" t="str">
        <f aca="false">IFERROR(IF([2]对账明细接口!$K$837=0,"",[2]对账明细接口!$K$837),"")</f>
        <v/>
      </c>
      <c r="L837" s="59" t="str">
        <f aca="false">IFERROR(IF([2]对账明细接口!$L$837=0,"",[2]对账明细接口!$L$837),"")</f>
        <v/>
      </c>
      <c r="M837" s="59" t="str">
        <f aca="false">IFERROR(IF([2]对账明细接口!$M$837=0,"",[2]对账明细接口!$M$837),"")</f>
        <v/>
      </c>
      <c r="N837" s="111" t="n">
        <f aca="false">IF($C837="",0,1)</f>
        <v>0</v>
      </c>
      <c r="O837" s="111" t="n">
        <f aca="false">N(O836)+$N837</f>
        <v>311</v>
      </c>
      <c r="S837" s="10" t="str">
        <f aca="false">IFERROR(IF([2]对账明细接口!$N837=0,"",[2]对账明细接口!$N837),"")</f>
        <v/>
      </c>
      <c r="T837" s="112" t="str">
        <f aca="false">IFERROR(IF([2]对账明细接口!$O837=0,"",[2]对账明细接口!$O837),"")</f>
        <v/>
      </c>
      <c r="U837" s="112" t="str">
        <f aca="false">IFERROR(IF([2]对账明细接口!$P837=0,"",[2]对账明细接口!$P837),"")</f>
        <v/>
      </c>
      <c r="V837" s="112" t="str">
        <f aca="false">IFERROR(IF([2]对账明细接口!$Q837=0,"",[2]对账明细接口!$Q837),"")</f>
        <v/>
      </c>
      <c r="W837" s="10" t="str">
        <f aca="false">IFERROR(IF([2]对账明细接口!$R837=0,"",[2]对账明细接口!$R837),"")</f>
        <v/>
      </c>
      <c r="X837" s="10" t="str">
        <f aca="false">IFERROR(IF([2]对账明细接口!$S837=0,"",[2]对账明细接口!$S837),"")</f>
        <v/>
      </c>
      <c r="Y837" s="10" t="str">
        <f aca="false">IFERROR(IF([2]对账明细接口!$T837=0,"",[2]对账明细接口!$T837),"")</f>
        <v/>
      </c>
      <c r="Z837" s="113" t="str">
        <f aca="false">IFERROR(IF([2]对账明细接口!$U837=0,"",[2]对账明细接口!$U837),"")</f>
        <v/>
      </c>
      <c r="AA837" s="113" t="str">
        <f aca="false">IFERROR(IF([2]对账明细接口!$V837=0,"",[2]对账明细接口!$V837),"")</f>
        <v/>
      </c>
      <c r="AB837" s="10" t="str">
        <f aca="false">IFERROR(IF([2]对账明细接口!$W837=0,"",[2]对账明细接口!$W837),"")</f>
        <v/>
      </c>
      <c r="AC837" s="90" t="str">
        <f aca="false">IFERROR(IF([2]对账明细接口!$X838=0,"",[2]对账明细接口!$X838),"")</f>
        <v/>
      </c>
      <c r="AD837" s="90" t="str">
        <f aca="false">IFERROR(IF([2]对账明细接口!$Y838=0,"",[2]对账明细接口!$Y838),"")</f>
        <v/>
      </c>
      <c r="AE837" s="90" t="str">
        <f aca="false">IFERROR(IF([2]对账明细接口!$AA838=0,"",[2]对账明细接口!$AA838),"")</f>
        <v/>
      </c>
      <c r="AF837" s="90" t="str">
        <f aca="false">IFERROR(IF([2]对账明细接口!$AB838=0,"",[2]对账明细接口!$AB838),"")</f>
        <v/>
      </c>
      <c r="AG837" s="90" t="str">
        <f aca="false">IFERROR(IF([2]对账明细接口!$AC838=0,"",[2]对账明细接口!$AC838),"")</f>
        <v/>
      </c>
      <c r="AH837" s="90" t="str">
        <f aca="false">IFERROR(IF([2]对账明细接口!$AD838=0,"",[2]对账明细接口!$AD838),"")</f>
        <v/>
      </c>
    </row>
    <row r="838" customFormat="false" ht="13.5" hidden="false" customHeight="false" outlineLevel="0" collapsed="false">
      <c r="A838" s="109" t="n">
        <v>838</v>
      </c>
      <c r="B838" s="110" t="str">
        <f aca="false">IFERROR(IF([2]对账明细接口!$B$838=0,"",[2]对账明细接口!$B$838),"")</f>
        <v/>
      </c>
      <c r="C838" s="59" t="str">
        <f aca="false">IFERROR(IF([2]对账明细接口!$C$838=0,"",[2]对账明细接口!$C$838),"")</f>
        <v/>
      </c>
      <c r="D838" s="59" t="str">
        <f aca="false">IFERROR(IF([2]对账明细接口!$D$838=0,"",[2]对账明细接口!$D$838),"")</f>
        <v/>
      </c>
      <c r="E838" s="59" t="str">
        <f aca="false">IFERROR(IF([2]对账明细接口!$E$838=0,"",[2]对账明细接口!$E$838),"")</f>
        <v/>
      </c>
      <c r="F838" s="59" t="str">
        <f aca="false">IFERROR(IF([2]对账明细接口!$F$838=0,"",[2]对账明细接口!$F$838),"")</f>
        <v/>
      </c>
      <c r="G838" s="59" t="str">
        <f aca="false">IFERROR(IF([2]对账明细接口!$G$838=0,"",[2]对账明细接口!$G$838),"")</f>
        <v/>
      </c>
      <c r="H838" s="60" t="str">
        <f aca="false">IFERROR(IF([2]对账明细接口!$H$838=0,"",[2]对账明细接口!$H$838),"")</f>
        <v/>
      </c>
      <c r="I838" s="59" t="str">
        <f aca="false">IFERROR(IF([2]对账明细接口!$I$838=0,"",[2]对账明细接口!$I$838),"")</f>
        <v/>
      </c>
      <c r="J838" s="61" t="str">
        <f aca="false">IFERROR(IF([2]对账明细接口!$J$838=0,"",[2]对账明细接口!$J$838),"")</f>
        <v/>
      </c>
      <c r="K838" s="61" t="str">
        <f aca="false">IFERROR(IF([2]对账明细接口!$K$838=0,"",[2]对账明细接口!$K$838),"")</f>
        <v/>
      </c>
      <c r="L838" s="59" t="str">
        <f aca="false">IFERROR(IF([2]对账明细接口!$L$838=0,"",[2]对账明细接口!$L$838),"")</f>
        <v/>
      </c>
      <c r="M838" s="59" t="str">
        <f aca="false">IFERROR(IF([2]对账明细接口!$M$838=0,"",[2]对账明细接口!$M$838),"")</f>
        <v/>
      </c>
      <c r="N838" s="111" t="n">
        <f aca="false">IF($C838="",0,1)</f>
        <v>0</v>
      </c>
      <c r="O838" s="111" t="n">
        <f aca="false">N(O837)+$N838</f>
        <v>311</v>
      </c>
      <c r="S838" s="10" t="str">
        <f aca="false">IFERROR(IF([2]对账明细接口!$N838=0,"",[2]对账明细接口!$N838),"")</f>
        <v/>
      </c>
      <c r="T838" s="112" t="str">
        <f aca="false">IFERROR(IF([2]对账明细接口!$O838=0,"",[2]对账明细接口!$O838),"")</f>
        <v/>
      </c>
      <c r="U838" s="112" t="str">
        <f aca="false">IFERROR(IF([2]对账明细接口!$P838=0,"",[2]对账明细接口!$P838),"")</f>
        <v/>
      </c>
      <c r="V838" s="112" t="str">
        <f aca="false">IFERROR(IF([2]对账明细接口!$Q838=0,"",[2]对账明细接口!$Q838),"")</f>
        <v/>
      </c>
      <c r="W838" s="10" t="str">
        <f aca="false">IFERROR(IF([2]对账明细接口!$R838=0,"",[2]对账明细接口!$R838),"")</f>
        <v/>
      </c>
      <c r="X838" s="10" t="str">
        <f aca="false">IFERROR(IF([2]对账明细接口!$S838=0,"",[2]对账明细接口!$S838),"")</f>
        <v/>
      </c>
      <c r="Y838" s="10" t="str">
        <f aca="false">IFERROR(IF([2]对账明细接口!$T838=0,"",[2]对账明细接口!$T838),"")</f>
        <v/>
      </c>
      <c r="Z838" s="113" t="str">
        <f aca="false">IFERROR(IF([2]对账明细接口!$U838=0,"",[2]对账明细接口!$U838),"")</f>
        <v/>
      </c>
      <c r="AA838" s="113" t="str">
        <f aca="false">IFERROR(IF([2]对账明细接口!$V838=0,"",[2]对账明细接口!$V838),"")</f>
        <v/>
      </c>
      <c r="AB838" s="10" t="str">
        <f aca="false">IFERROR(IF([2]对账明细接口!$W838=0,"",[2]对账明细接口!$W838),"")</f>
        <v/>
      </c>
      <c r="AC838" s="90" t="str">
        <f aca="false">IFERROR(IF([2]对账明细接口!$X839=0,"",[2]对账明细接口!$X839),"")</f>
        <v/>
      </c>
      <c r="AD838" s="90" t="str">
        <f aca="false">IFERROR(IF([2]对账明细接口!$Y839=0,"",[2]对账明细接口!$Y839),"")</f>
        <v/>
      </c>
      <c r="AE838" s="90" t="str">
        <f aca="false">IFERROR(IF([2]对账明细接口!$AA839=0,"",[2]对账明细接口!$AA839),"")</f>
        <v/>
      </c>
      <c r="AF838" s="90" t="str">
        <f aca="false">IFERROR(IF([2]对账明细接口!$AB839=0,"",[2]对账明细接口!$AB839),"")</f>
        <v/>
      </c>
      <c r="AG838" s="90" t="str">
        <f aca="false">IFERROR(IF([2]对账明细接口!$AC839=0,"",[2]对账明细接口!$AC839),"")</f>
        <v/>
      </c>
      <c r="AH838" s="90" t="str">
        <f aca="false">IFERROR(IF([2]对账明细接口!$AD839=0,"",[2]对账明细接口!$AD839),"")</f>
        <v/>
      </c>
    </row>
    <row r="839" customFormat="false" ht="13.5" hidden="false" customHeight="false" outlineLevel="0" collapsed="false">
      <c r="A839" s="109" t="n">
        <v>839</v>
      </c>
      <c r="B839" s="110" t="str">
        <f aca="false">IFERROR(IF([2]对账明细接口!$B$839=0,"",[2]对账明细接口!$B$839),"")</f>
        <v/>
      </c>
      <c r="C839" s="59" t="str">
        <f aca="false">IFERROR(IF([2]对账明细接口!$C$839=0,"",[2]对账明细接口!$C$839),"")</f>
        <v/>
      </c>
      <c r="D839" s="59" t="str">
        <f aca="false">IFERROR(IF([2]对账明细接口!$D$839=0,"",[2]对账明细接口!$D$839),"")</f>
        <v/>
      </c>
      <c r="E839" s="59" t="str">
        <f aca="false">IFERROR(IF([2]对账明细接口!$E$839=0,"",[2]对账明细接口!$E$839),"")</f>
        <v/>
      </c>
      <c r="F839" s="59" t="str">
        <f aca="false">IFERROR(IF([2]对账明细接口!$F$839=0,"",[2]对账明细接口!$F$839),"")</f>
        <v/>
      </c>
      <c r="G839" s="59" t="str">
        <f aca="false">IFERROR(IF([2]对账明细接口!$G$839=0,"",[2]对账明细接口!$G$839),"")</f>
        <v/>
      </c>
      <c r="H839" s="60" t="str">
        <f aca="false">IFERROR(IF([2]对账明细接口!$H$839=0,"",[2]对账明细接口!$H$839),"")</f>
        <v/>
      </c>
      <c r="I839" s="59" t="str">
        <f aca="false">IFERROR(IF([2]对账明细接口!$I$839=0,"",[2]对账明细接口!$I$839),"")</f>
        <v/>
      </c>
      <c r="J839" s="61" t="str">
        <f aca="false">IFERROR(IF([2]对账明细接口!$J$839=0,"",[2]对账明细接口!$J$839),"")</f>
        <v/>
      </c>
      <c r="K839" s="61" t="str">
        <f aca="false">IFERROR(IF([2]对账明细接口!$K$839=0,"",[2]对账明细接口!$K$839),"")</f>
        <v/>
      </c>
      <c r="L839" s="59" t="str">
        <f aca="false">IFERROR(IF([2]对账明细接口!$L$839=0,"",[2]对账明细接口!$L$839),"")</f>
        <v/>
      </c>
      <c r="M839" s="59" t="str">
        <f aca="false">IFERROR(IF([2]对账明细接口!$M$839=0,"",[2]对账明细接口!$M$839),"")</f>
        <v/>
      </c>
      <c r="N839" s="111" t="n">
        <f aca="false">IF($C839="",0,1)</f>
        <v>0</v>
      </c>
      <c r="O839" s="111" t="n">
        <f aca="false">N(O838)+$N839</f>
        <v>311</v>
      </c>
      <c r="S839" s="10" t="str">
        <f aca="false">IFERROR(IF([2]对账明细接口!$N839=0,"",[2]对账明细接口!$N839),"")</f>
        <v/>
      </c>
      <c r="T839" s="112" t="str">
        <f aca="false">IFERROR(IF([2]对账明细接口!$O839=0,"",[2]对账明细接口!$O839),"")</f>
        <v/>
      </c>
      <c r="U839" s="112" t="str">
        <f aca="false">IFERROR(IF([2]对账明细接口!$P839=0,"",[2]对账明细接口!$P839),"")</f>
        <v/>
      </c>
      <c r="V839" s="112" t="str">
        <f aca="false">IFERROR(IF([2]对账明细接口!$Q839=0,"",[2]对账明细接口!$Q839),"")</f>
        <v/>
      </c>
      <c r="W839" s="10" t="str">
        <f aca="false">IFERROR(IF([2]对账明细接口!$R839=0,"",[2]对账明细接口!$R839),"")</f>
        <v/>
      </c>
      <c r="X839" s="10" t="str">
        <f aca="false">IFERROR(IF([2]对账明细接口!$S839=0,"",[2]对账明细接口!$S839),"")</f>
        <v/>
      </c>
      <c r="Y839" s="10" t="str">
        <f aca="false">IFERROR(IF([2]对账明细接口!$T839=0,"",[2]对账明细接口!$T839),"")</f>
        <v/>
      </c>
      <c r="Z839" s="113" t="str">
        <f aca="false">IFERROR(IF([2]对账明细接口!$U839=0,"",[2]对账明细接口!$U839),"")</f>
        <v/>
      </c>
      <c r="AA839" s="113" t="str">
        <f aca="false">IFERROR(IF([2]对账明细接口!$V839=0,"",[2]对账明细接口!$V839),"")</f>
        <v/>
      </c>
      <c r="AB839" s="10" t="str">
        <f aca="false">IFERROR(IF([2]对账明细接口!$W839=0,"",[2]对账明细接口!$W839),"")</f>
        <v/>
      </c>
      <c r="AC839" s="90" t="str">
        <f aca="false">IFERROR(IF([2]对账明细接口!$X840=0,"",[2]对账明细接口!$X840),"")</f>
        <v/>
      </c>
      <c r="AD839" s="90" t="str">
        <f aca="false">IFERROR(IF([2]对账明细接口!$Y840=0,"",[2]对账明细接口!$Y840),"")</f>
        <v/>
      </c>
      <c r="AE839" s="90" t="str">
        <f aca="false">IFERROR(IF([2]对账明细接口!$AA840=0,"",[2]对账明细接口!$AA840),"")</f>
        <v/>
      </c>
      <c r="AF839" s="90" t="str">
        <f aca="false">IFERROR(IF([2]对账明细接口!$AB840=0,"",[2]对账明细接口!$AB840),"")</f>
        <v/>
      </c>
      <c r="AG839" s="90" t="str">
        <f aca="false">IFERROR(IF([2]对账明细接口!$AC840=0,"",[2]对账明细接口!$AC840),"")</f>
        <v/>
      </c>
      <c r="AH839" s="90" t="str">
        <f aca="false">IFERROR(IF([2]对账明细接口!$AD840=0,"",[2]对账明细接口!$AD840),"")</f>
        <v/>
      </c>
    </row>
    <row r="840" customFormat="false" ht="13.5" hidden="false" customHeight="false" outlineLevel="0" collapsed="false">
      <c r="A840" s="109" t="n">
        <v>840</v>
      </c>
      <c r="B840" s="110" t="str">
        <f aca="false">IFERROR(IF([2]对账明细接口!$B$840=0,"",[2]对账明细接口!$B$840),"")</f>
        <v/>
      </c>
      <c r="C840" s="59" t="str">
        <f aca="false">IFERROR(IF([2]对账明细接口!$C$840=0,"",[2]对账明细接口!$C$840),"")</f>
        <v/>
      </c>
      <c r="D840" s="59" t="str">
        <f aca="false">IFERROR(IF([2]对账明细接口!$D$840=0,"",[2]对账明细接口!$D$840),"")</f>
        <v/>
      </c>
      <c r="E840" s="59" t="str">
        <f aca="false">IFERROR(IF([2]对账明细接口!$E$840=0,"",[2]对账明细接口!$E$840),"")</f>
        <v/>
      </c>
      <c r="F840" s="59" t="str">
        <f aca="false">IFERROR(IF([2]对账明细接口!$F$840=0,"",[2]对账明细接口!$F$840),"")</f>
        <v/>
      </c>
      <c r="G840" s="59" t="str">
        <f aca="false">IFERROR(IF([2]对账明细接口!$G$840=0,"",[2]对账明细接口!$G$840),"")</f>
        <v/>
      </c>
      <c r="H840" s="60" t="str">
        <f aca="false">IFERROR(IF([2]对账明细接口!$H$840=0,"",[2]对账明细接口!$H$840),"")</f>
        <v/>
      </c>
      <c r="I840" s="59" t="str">
        <f aca="false">IFERROR(IF([2]对账明细接口!$I$840=0,"",[2]对账明细接口!$I$840),"")</f>
        <v/>
      </c>
      <c r="J840" s="61" t="str">
        <f aca="false">IFERROR(IF([2]对账明细接口!$J$840=0,"",[2]对账明细接口!$J$840),"")</f>
        <v/>
      </c>
      <c r="K840" s="61" t="str">
        <f aca="false">IFERROR(IF([2]对账明细接口!$K$840=0,"",[2]对账明细接口!$K$840),"")</f>
        <v/>
      </c>
      <c r="L840" s="59" t="str">
        <f aca="false">IFERROR(IF([2]对账明细接口!$L$840=0,"",[2]对账明细接口!$L$840),"")</f>
        <v/>
      </c>
      <c r="M840" s="59" t="str">
        <f aca="false">IFERROR(IF([2]对账明细接口!$M$840=0,"",[2]对账明细接口!$M$840),"")</f>
        <v/>
      </c>
      <c r="N840" s="111" t="n">
        <f aca="false">IF($C840="",0,1)</f>
        <v>0</v>
      </c>
      <c r="O840" s="111" t="n">
        <f aca="false">N(O839)+$N840</f>
        <v>311</v>
      </c>
      <c r="S840" s="10" t="str">
        <f aca="false">IFERROR(IF([2]对账明细接口!$N840=0,"",[2]对账明细接口!$N840),"")</f>
        <v/>
      </c>
      <c r="T840" s="112" t="str">
        <f aca="false">IFERROR(IF([2]对账明细接口!$O840=0,"",[2]对账明细接口!$O840),"")</f>
        <v/>
      </c>
      <c r="U840" s="112" t="str">
        <f aca="false">IFERROR(IF([2]对账明细接口!$P840=0,"",[2]对账明细接口!$P840),"")</f>
        <v/>
      </c>
      <c r="V840" s="112" t="str">
        <f aca="false">IFERROR(IF([2]对账明细接口!$Q840=0,"",[2]对账明细接口!$Q840),"")</f>
        <v/>
      </c>
      <c r="W840" s="10" t="str">
        <f aca="false">IFERROR(IF([2]对账明细接口!$R840=0,"",[2]对账明细接口!$R840),"")</f>
        <v/>
      </c>
      <c r="X840" s="10" t="str">
        <f aca="false">IFERROR(IF([2]对账明细接口!$S840=0,"",[2]对账明细接口!$S840),"")</f>
        <v/>
      </c>
      <c r="Y840" s="10" t="str">
        <f aca="false">IFERROR(IF([2]对账明细接口!$T840=0,"",[2]对账明细接口!$T840),"")</f>
        <v/>
      </c>
      <c r="Z840" s="113" t="str">
        <f aca="false">IFERROR(IF([2]对账明细接口!$U840=0,"",[2]对账明细接口!$U840),"")</f>
        <v/>
      </c>
      <c r="AA840" s="113" t="str">
        <f aca="false">IFERROR(IF([2]对账明细接口!$V840=0,"",[2]对账明细接口!$V840),"")</f>
        <v/>
      </c>
      <c r="AB840" s="10" t="str">
        <f aca="false">IFERROR(IF([2]对账明细接口!$W840=0,"",[2]对账明细接口!$W840),"")</f>
        <v/>
      </c>
      <c r="AC840" s="90" t="str">
        <f aca="false">IFERROR(IF([2]对账明细接口!$X841=0,"",[2]对账明细接口!$X841),"")</f>
        <v/>
      </c>
      <c r="AD840" s="90" t="str">
        <f aca="false">IFERROR(IF([2]对账明细接口!$Y841=0,"",[2]对账明细接口!$Y841),"")</f>
        <v/>
      </c>
      <c r="AE840" s="90" t="str">
        <f aca="false">IFERROR(IF([2]对账明细接口!$AA841=0,"",[2]对账明细接口!$AA841),"")</f>
        <v/>
      </c>
      <c r="AF840" s="90" t="str">
        <f aca="false">IFERROR(IF([2]对账明细接口!$AB841=0,"",[2]对账明细接口!$AB841),"")</f>
        <v/>
      </c>
      <c r="AG840" s="90" t="str">
        <f aca="false">IFERROR(IF([2]对账明细接口!$AC841=0,"",[2]对账明细接口!$AC841),"")</f>
        <v/>
      </c>
      <c r="AH840" s="90" t="str">
        <f aca="false">IFERROR(IF([2]对账明细接口!$AD841=0,"",[2]对账明细接口!$AD841),"")</f>
        <v/>
      </c>
    </row>
    <row r="841" customFormat="false" ht="13.5" hidden="false" customHeight="false" outlineLevel="0" collapsed="false">
      <c r="A841" s="109" t="n">
        <v>841</v>
      </c>
      <c r="B841" s="110" t="str">
        <f aca="false">IFERROR(IF([2]对账明细接口!$B$841=0,"",[2]对账明细接口!$B$841),"")</f>
        <v/>
      </c>
      <c r="C841" s="59" t="str">
        <f aca="false">IFERROR(IF([2]对账明细接口!$C$841=0,"",[2]对账明细接口!$C$841),"")</f>
        <v/>
      </c>
      <c r="D841" s="59" t="str">
        <f aca="false">IFERROR(IF([2]对账明细接口!$D$841=0,"",[2]对账明细接口!$D$841),"")</f>
        <v/>
      </c>
      <c r="E841" s="59" t="str">
        <f aca="false">IFERROR(IF([2]对账明细接口!$E$841=0,"",[2]对账明细接口!$E$841),"")</f>
        <v/>
      </c>
      <c r="F841" s="59" t="str">
        <f aca="false">IFERROR(IF([2]对账明细接口!$F$841=0,"",[2]对账明细接口!$F$841),"")</f>
        <v/>
      </c>
      <c r="G841" s="59" t="str">
        <f aca="false">IFERROR(IF([2]对账明细接口!$G$841=0,"",[2]对账明细接口!$G$841),"")</f>
        <v/>
      </c>
      <c r="H841" s="60" t="str">
        <f aca="false">IFERROR(IF([2]对账明细接口!$H$841=0,"",[2]对账明细接口!$H$841),"")</f>
        <v/>
      </c>
      <c r="I841" s="59" t="str">
        <f aca="false">IFERROR(IF([2]对账明细接口!$I$841=0,"",[2]对账明细接口!$I$841),"")</f>
        <v/>
      </c>
      <c r="J841" s="61" t="str">
        <f aca="false">IFERROR(IF([2]对账明细接口!$J$841=0,"",[2]对账明细接口!$J$841),"")</f>
        <v/>
      </c>
      <c r="K841" s="61" t="str">
        <f aca="false">IFERROR(IF([2]对账明细接口!$K$841=0,"",[2]对账明细接口!$K$841),"")</f>
        <v/>
      </c>
      <c r="L841" s="59" t="str">
        <f aca="false">IFERROR(IF([2]对账明细接口!$L$841=0,"",[2]对账明细接口!$L$841),"")</f>
        <v/>
      </c>
      <c r="M841" s="59" t="str">
        <f aca="false">IFERROR(IF([2]对账明细接口!$M$841=0,"",[2]对账明细接口!$M$841),"")</f>
        <v/>
      </c>
      <c r="N841" s="111" t="n">
        <f aca="false">IF($C841="",0,1)</f>
        <v>0</v>
      </c>
      <c r="O841" s="111" t="n">
        <f aca="false">N(O840)+$N841</f>
        <v>311</v>
      </c>
      <c r="S841" s="10" t="str">
        <f aca="false">IFERROR(IF([2]对账明细接口!$N841=0,"",[2]对账明细接口!$N841),"")</f>
        <v/>
      </c>
      <c r="T841" s="112" t="str">
        <f aca="false">IFERROR(IF([2]对账明细接口!$O841=0,"",[2]对账明细接口!$O841),"")</f>
        <v/>
      </c>
      <c r="U841" s="112" t="str">
        <f aca="false">IFERROR(IF([2]对账明细接口!$P841=0,"",[2]对账明细接口!$P841),"")</f>
        <v/>
      </c>
      <c r="V841" s="112" t="str">
        <f aca="false">IFERROR(IF([2]对账明细接口!$Q841=0,"",[2]对账明细接口!$Q841),"")</f>
        <v/>
      </c>
      <c r="W841" s="10" t="str">
        <f aca="false">IFERROR(IF([2]对账明细接口!$R841=0,"",[2]对账明细接口!$R841),"")</f>
        <v/>
      </c>
      <c r="X841" s="10" t="str">
        <f aca="false">IFERROR(IF([2]对账明细接口!$S841=0,"",[2]对账明细接口!$S841),"")</f>
        <v/>
      </c>
      <c r="Y841" s="10" t="str">
        <f aca="false">IFERROR(IF([2]对账明细接口!$T841=0,"",[2]对账明细接口!$T841),"")</f>
        <v/>
      </c>
      <c r="Z841" s="113" t="str">
        <f aca="false">IFERROR(IF([2]对账明细接口!$U841=0,"",[2]对账明细接口!$U841),"")</f>
        <v/>
      </c>
      <c r="AA841" s="113" t="str">
        <f aca="false">IFERROR(IF([2]对账明细接口!$V841=0,"",[2]对账明细接口!$V841),"")</f>
        <v/>
      </c>
      <c r="AB841" s="10" t="str">
        <f aca="false">IFERROR(IF([2]对账明细接口!$W841=0,"",[2]对账明细接口!$W841),"")</f>
        <v/>
      </c>
      <c r="AC841" s="90" t="str">
        <f aca="false">IFERROR(IF([2]对账明细接口!$X842=0,"",[2]对账明细接口!$X842),"")</f>
        <v/>
      </c>
      <c r="AD841" s="90" t="str">
        <f aca="false">IFERROR(IF([2]对账明细接口!$Y842=0,"",[2]对账明细接口!$Y842),"")</f>
        <v/>
      </c>
      <c r="AE841" s="90" t="str">
        <f aca="false">IFERROR(IF([2]对账明细接口!$AA842=0,"",[2]对账明细接口!$AA842),"")</f>
        <v/>
      </c>
      <c r="AF841" s="90" t="str">
        <f aca="false">IFERROR(IF([2]对账明细接口!$AB842=0,"",[2]对账明细接口!$AB842),"")</f>
        <v/>
      </c>
      <c r="AG841" s="90" t="str">
        <f aca="false">IFERROR(IF([2]对账明细接口!$AC842=0,"",[2]对账明细接口!$AC842),"")</f>
        <v/>
      </c>
      <c r="AH841" s="90" t="str">
        <f aca="false">IFERROR(IF([2]对账明细接口!$AD842=0,"",[2]对账明细接口!$AD842),"")</f>
        <v/>
      </c>
    </row>
    <row r="842" customFormat="false" ht="13.5" hidden="false" customHeight="false" outlineLevel="0" collapsed="false">
      <c r="A842" s="109" t="n">
        <v>842</v>
      </c>
      <c r="B842" s="110" t="str">
        <f aca="false">IFERROR(IF([2]对账明细接口!$B$842=0,"",[2]对账明细接口!$B$842),"")</f>
        <v/>
      </c>
      <c r="C842" s="59" t="str">
        <f aca="false">IFERROR(IF([2]对账明细接口!$C$842=0,"",[2]对账明细接口!$C$842),"")</f>
        <v/>
      </c>
      <c r="D842" s="59" t="str">
        <f aca="false">IFERROR(IF([2]对账明细接口!$D$842=0,"",[2]对账明细接口!$D$842),"")</f>
        <v/>
      </c>
      <c r="E842" s="59" t="str">
        <f aca="false">IFERROR(IF([2]对账明细接口!$E$842=0,"",[2]对账明细接口!$E$842),"")</f>
        <v/>
      </c>
      <c r="F842" s="59" t="str">
        <f aca="false">IFERROR(IF([2]对账明细接口!$F$842=0,"",[2]对账明细接口!$F$842),"")</f>
        <v/>
      </c>
      <c r="G842" s="59" t="str">
        <f aca="false">IFERROR(IF([2]对账明细接口!$G$842=0,"",[2]对账明细接口!$G$842),"")</f>
        <v/>
      </c>
      <c r="H842" s="60" t="str">
        <f aca="false">IFERROR(IF([2]对账明细接口!$H$842=0,"",[2]对账明细接口!$H$842),"")</f>
        <v/>
      </c>
      <c r="I842" s="59" t="str">
        <f aca="false">IFERROR(IF([2]对账明细接口!$I$842=0,"",[2]对账明细接口!$I$842),"")</f>
        <v/>
      </c>
      <c r="J842" s="61" t="str">
        <f aca="false">IFERROR(IF([2]对账明细接口!$J$842=0,"",[2]对账明细接口!$J$842),"")</f>
        <v/>
      </c>
      <c r="K842" s="61" t="str">
        <f aca="false">IFERROR(IF([2]对账明细接口!$K$842=0,"",[2]对账明细接口!$K$842),"")</f>
        <v/>
      </c>
      <c r="L842" s="59" t="str">
        <f aca="false">IFERROR(IF([2]对账明细接口!$L$842=0,"",[2]对账明细接口!$L$842),"")</f>
        <v/>
      </c>
      <c r="M842" s="59" t="str">
        <f aca="false">IFERROR(IF([2]对账明细接口!$M$842=0,"",[2]对账明细接口!$M$842),"")</f>
        <v/>
      </c>
      <c r="N842" s="111" t="n">
        <f aca="false">IF($C842="",0,1)</f>
        <v>0</v>
      </c>
      <c r="O842" s="111" t="n">
        <f aca="false">N(O841)+$N842</f>
        <v>311</v>
      </c>
      <c r="S842" s="10" t="str">
        <f aca="false">IFERROR(IF([2]对账明细接口!$N842=0,"",[2]对账明细接口!$N842),"")</f>
        <v/>
      </c>
      <c r="T842" s="112" t="str">
        <f aca="false">IFERROR(IF([2]对账明细接口!$O842=0,"",[2]对账明细接口!$O842),"")</f>
        <v/>
      </c>
      <c r="U842" s="112" t="str">
        <f aca="false">IFERROR(IF([2]对账明细接口!$P842=0,"",[2]对账明细接口!$P842),"")</f>
        <v/>
      </c>
      <c r="V842" s="112" t="str">
        <f aca="false">IFERROR(IF([2]对账明细接口!$Q842=0,"",[2]对账明细接口!$Q842),"")</f>
        <v/>
      </c>
      <c r="W842" s="10" t="str">
        <f aca="false">IFERROR(IF([2]对账明细接口!$R842=0,"",[2]对账明细接口!$R842),"")</f>
        <v/>
      </c>
      <c r="X842" s="10" t="str">
        <f aca="false">IFERROR(IF([2]对账明细接口!$S842=0,"",[2]对账明细接口!$S842),"")</f>
        <v/>
      </c>
      <c r="Y842" s="10" t="str">
        <f aca="false">IFERROR(IF([2]对账明细接口!$T842=0,"",[2]对账明细接口!$T842),"")</f>
        <v/>
      </c>
      <c r="Z842" s="113" t="str">
        <f aca="false">IFERROR(IF([2]对账明细接口!$U842=0,"",[2]对账明细接口!$U842),"")</f>
        <v/>
      </c>
      <c r="AA842" s="113" t="str">
        <f aca="false">IFERROR(IF([2]对账明细接口!$V842=0,"",[2]对账明细接口!$V842),"")</f>
        <v/>
      </c>
      <c r="AB842" s="10" t="str">
        <f aca="false">IFERROR(IF([2]对账明细接口!$W842=0,"",[2]对账明细接口!$W842),"")</f>
        <v/>
      </c>
      <c r="AC842" s="90" t="str">
        <f aca="false">IFERROR(IF([2]对账明细接口!$X843=0,"",[2]对账明细接口!$X843),"")</f>
        <v/>
      </c>
      <c r="AD842" s="90" t="str">
        <f aca="false">IFERROR(IF([2]对账明细接口!$Y843=0,"",[2]对账明细接口!$Y843),"")</f>
        <v/>
      </c>
      <c r="AE842" s="90" t="str">
        <f aca="false">IFERROR(IF([2]对账明细接口!$AA843=0,"",[2]对账明细接口!$AA843),"")</f>
        <v/>
      </c>
      <c r="AF842" s="90" t="str">
        <f aca="false">IFERROR(IF([2]对账明细接口!$AB843=0,"",[2]对账明细接口!$AB843),"")</f>
        <v/>
      </c>
      <c r="AG842" s="90" t="str">
        <f aca="false">IFERROR(IF([2]对账明细接口!$AC843=0,"",[2]对账明细接口!$AC843),"")</f>
        <v/>
      </c>
      <c r="AH842" s="90" t="str">
        <f aca="false">IFERROR(IF([2]对账明细接口!$AD843=0,"",[2]对账明细接口!$AD843),"")</f>
        <v/>
      </c>
    </row>
    <row r="843" customFormat="false" ht="13.5" hidden="false" customHeight="false" outlineLevel="0" collapsed="false">
      <c r="A843" s="109" t="n">
        <v>843</v>
      </c>
      <c r="B843" s="110" t="str">
        <f aca="false">IFERROR(IF([2]对账明细接口!$B$843=0,"",[2]对账明细接口!$B$843),"")</f>
        <v/>
      </c>
      <c r="C843" s="59" t="str">
        <f aca="false">IFERROR(IF([2]对账明细接口!$C$843=0,"",[2]对账明细接口!$C$843),"")</f>
        <v/>
      </c>
      <c r="D843" s="59" t="str">
        <f aca="false">IFERROR(IF([2]对账明细接口!$D$843=0,"",[2]对账明细接口!$D$843),"")</f>
        <v/>
      </c>
      <c r="E843" s="59" t="str">
        <f aca="false">IFERROR(IF([2]对账明细接口!$E$843=0,"",[2]对账明细接口!$E$843),"")</f>
        <v/>
      </c>
      <c r="F843" s="59" t="str">
        <f aca="false">IFERROR(IF([2]对账明细接口!$F$843=0,"",[2]对账明细接口!$F$843),"")</f>
        <v/>
      </c>
      <c r="G843" s="59" t="str">
        <f aca="false">IFERROR(IF([2]对账明细接口!$G$843=0,"",[2]对账明细接口!$G$843),"")</f>
        <v/>
      </c>
      <c r="H843" s="60" t="str">
        <f aca="false">IFERROR(IF([2]对账明细接口!$H$843=0,"",[2]对账明细接口!$H$843),"")</f>
        <v/>
      </c>
      <c r="I843" s="59" t="str">
        <f aca="false">IFERROR(IF([2]对账明细接口!$I$843=0,"",[2]对账明细接口!$I$843),"")</f>
        <v/>
      </c>
      <c r="J843" s="61" t="str">
        <f aca="false">IFERROR(IF([2]对账明细接口!$J$843=0,"",[2]对账明细接口!$J$843),"")</f>
        <v/>
      </c>
      <c r="K843" s="61" t="str">
        <f aca="false">IFERROR(IF([2]对账明细接口!$K$843=0,"",[2]对账明细接口!$K$843),"")</f>
        <v/>
      </c>
      <c r="L843" s="59" t="str">
        <f aca="false">IFERROR(IF([2]对账明细接口!$L$843=0,"",[2]对账明细接口!$L$843),"")</f>
        <v/>
      </c>
      <c r="M843" s="59" t="str">
        <f aca="false">IFERROR(IF([2]对账明细接口!$M$843=0,"",[2]对账明细接口!$M$843),"")</f>
        <v/>
      </c>
      <c r="N843" s="111" t="n">
        <f aca="false">IF($C843="",0,1)</f>
        <v>0</v>
      </c>
      <c r="O843" s="111" t="n">
        <f aca="false">N(O842)+$N843</f>
        <v>311</v>
      </c>
      <c r="S843" s="10" t="str">
        <f aca="false">IFERROR(IF([2]对账明细接口!$N843=0,"",[2]对账明细接口!$N843),"")</f>
        <v/>
      </c>
      <c r="T843" s="112" t="str">
        <f aca="false">IFERROR(IF([2]对账明细接口!$O843=0,"",[2]对账明细接口!$O843),"")</f>
        <v/>
      </c>
      <c r="U843" s="112" t="str">
        <f aca="false">IFERROR(IF([2]对账明细接口!$P843=0,"",[2]对账明细接口!$P843),"")</f>
        <v/>
      </c>
      <c r="V843" s="112" t="str">
        <f aca="false">IFERROR(IF([2]对账明细接口!$Q843=0,"",[2]对账明细接口!$Q843),"")</f>
        <v/>
      </c>
      <c r="W843" s="10" t="str">
        <f aca="false">IFERROR(IF([2]对账明细接口!$R843=0,"",[2]对账明细接口!$R843),"")</f>
        <v/>
      </c>
      <c r="X843" s="10" t="str">
        <f aca="false">IFERROR(IF([2]对账明细接口!$S843=0,"",[2]对账明细接口!$S843),"")</f>
        <v/>
      </c>
      <c r="Y843" s="10" t="str">
        <f aca="false">IFERROR(IF([2]对账明细接口!$T843=0,"",[2]对账明细接口!$T843),"")</f>
        <v/>
      </c>
      <c r="Z843" s="113" t="str">
        <f aca="false">IFERROR(IF([2]对账明细接口!$U843=0,"",[2]对账明细接口!$U843),"")</f>
        <v/>
      </c>
      <c r="AA843" s="113" t="str">
        <f aca="false">IFERROR(IF([2]对账明细接口!$V843=0,"",[2]对账明细接口!$V843),"")</f>
        <v/>
      </c>
      <c r="AB843" s="10" t="str">
        <f aca="false">IFERROR(IF([2]对账明细接口!$W843=0,"",[2]对账明细接口!$W843),"")</f>
        <v/>
      </c>
      <c r="AC843" s="90" t="str">
        <f aca="false">IFERROR(IF([2]对账明细接口!$X844=0,"",[2]对账明细接口!$X844),"")</f>
        <v/>
      </c>
      <c r="AD843" s="90" t="str">
        <f aca="false">IFERROR(IF([2]对账明细接口!$Y844=0,"",[2]对账明细接口!$Y844),"")</f>
        <v/>
      </c>
      <c r="AE843" s="90" t="str">
        <f aca="false">IFERROR(IF([2]对账明细接口!$AA844=0,"",[2]对账明细接口!$AA844),"")</f>
        <v/>
      </c>
      <c r="AF843" s="90" t="str">
        <f aca="false">IFERROR(IF([2]对账明细接口!$AB844=0,"",[2]对账明细接口!$AB844),"")</f>
        <v/>
      </c>
      <c r="AG843" s="90" t="str">
        <f aca="false">IFERROR(IF([2]对账明细接口!$AC844=0,"",[2]对账明细接口!$AC844),"")</f>
        <v/>
      </c>
      <c r="AH843" s="90" t="str">
        <f aca="false">IFERROR(IF([2]对账明细接口!$AD844=0,"",[2]对账明细接口!$AD844),"")</f>
        <v/>
      </c>
    </row>
    <row r="844" customFormat="false" ht="13.5" hidden="false" customHeight="false" outlineLevel="0" collapsed="false">
      <c r="A844" s="109" t="n">
        <v>844</v>
      </c>
      <c r="B844" s="110" t="str">
        <f aca="false">IFERROR(IF([2]对账明细接口!$B$844=0,"",[2]对账明细接口!$B$844),"")</f>
        <v/>
      </c>
      <c r="C844" s="59" t="str">
        <f aca="false">IFERROR(IF([2]对账明细接口!$C$844=0,"",[2]对账明细接口!$C$844),"")</f>
        <v/>
      </c>
      <c r="D844" s="59" t="str">
        <f aca="false">IFERROR(IF([2]对账明细接口!$D$844=0,"",[2]对账明细接口!$D$844),"")</f>
        <v/>
      </c>
      <c r="E844" s="59" t="str">
        <f aca="false">IFERROR(IF([2]对账明细接口!$E$844=0,"",[2]对账明细接口!$E$844),"")</f>
        <v/>
      </c>
      <c r="F844" s="59" t="str">
        <f aca="false">IFERROR(IF([2]对账明细接口!$F$844=0,"",[2]对账明细接口!$F$844),"")</f>
        <v/>
      </c>
      <c r="G844" s="59" t="str">
        <f aca="false">IFERROR(IF([2]对账明细接口!$G$844=0,"",[2]对账明细接口!$G$844),"")</f>
        <v/>
      </c>
      <c r="H844" s="60" t="str">
        <f aca="false">IFERROR(IF([2]对账明细接口!$H$844=0,"",[2]对账明细接口!$H$844),"")</f>
        <v/>
      </c>
      <c r="I844" s="59" t="str">
        <f aca="false">IFERROR(IF([2]对账明细接口!$I$844=0,"",[2]对账明细接口!$I$844),"")</f>
        <v/>
      </c>
      <c r="J844" s="61" t="str">
        <f aca="false">IFERROR(IF([2]对账明细接口!$J$844=0,"",[2]对账明细接口!$J$844),"")</f>
        <v/>
      </c>
      <c r="K844" s="61" t="str">
        <f aca="false">IFERROR(IF([2]对账明细接口!$K$844=0,"",[2]对账明细接口!$K$844),"")</f>
        <v/>
      </c>
      <c r="L844" s="59" t="str">
        <f aca="false">IFERROR(IF([2]对账明细接口!$L$844=0,"",[2]对账明细接口!$L$844),"")</f>
        <v/>
      </c>
      <c r="M844" s="59" t="str">
        <f aca="false">IFERROR(IF([2]对账明细接口!$M$844=0,"",[2]对账明细接口!$M$844),"")</f>
        <v/>
      </c>
      <c r="N844" s="111" t="n">
        <f aca="false">IF($C844="",0,1)</f>
        <v>0</v>
      </c>
      <c r="O844" s="111" t="n">
        <f aca="false">N(O843)+$N844</f>
        <v>311</v>
      </c>
      <c r="S844" s="10" t="str">
        <f aca="false">IFERROR(IF([2]对账明细接口!$N844=0,"",[2]对账明细接口!$N844),"")</f>
        <v/>
      </c>
      <c r="T844" s="112" t="str">
        <f aca="false">IFERROR(IF([2]对账明细接口!$O844=0,"",[2]对账明细接口!$O844),"")</f>
        <v/>
      </c>
      <c r="U844" s="112" t="str">
        <f aca="false">IFERROR(IF([2]对账明细接口!$P844=0,"",[2]对账明细接口!$P844),"")</f>
        <v/>
      </c>
      <c r="V844" s="112" t="str">
        <f aca="false">IFERROR(IF([2]对账明细接口!$Q844=0,"",[2]对账明细接口!$Q844),"")</f>
        <v/>
      </c>
      <c r="W844" s="10" t="str">
        <f aca="false">IFERROR(IF([2]对账明细接口!$R844=0,"",[2]对账明细接口!$R844),"")</f>
        <v/>
      </c>
      <c r="X844" s="10" t="str">
        <f aca="false">IFERROR(IF([2]对账明细接口!$S844=0,"",[2]对账明细接口!$S844),"")</f>
        <v/>
      </c>
      <c r="Y844" s="10" t="str">
        <f aca="false">IFERROR(IF([2]对账明细接口!$T844=0,"",[2]对账明细接口!$T844),"")</f>
        <v/>
      </c>
      <c r="Z844" s="113" t="str">
        <f aca="false">IFERROR(IF([2]对账明细接口!$U844=0,"",[2]对账明细接口!$U844),"")</f>
        <v/>
      </c>
      <c r="AA844" s="113" t="str">
        <f aca="false">IFERROR(IF([2]对账明细接口!$V844=0,"",[2]对账明细接口!$V844),"")</f>
        <v/>
      </c>
      <c r="AB844" s="10" t="str">
        <f aca="false">IFERROR(IF([2]对账明细接口!$W844=0,"",[2]对账明细接口!$W844),"")</f>
        <v/>
      </c>
      <c r="AC844" s="90" t="str">
        <f aca="false">IFERROR(IF([2]对账明细接口!$X845=0,"",[2]对账明细接口!$X845),"")</f>
        <v/>
      </c>
      <c r="AD844" s="90" t="str">
        <f aca="false">IFERROR(IF([2]对账明细接口!$Y845=0,"",[2]对账明细接口!$Y845),"")</f>
        <v/>
      </c>
      <c r="AE844" s="90" t="str">
        <f aca="false">IFERROR(IF([2]对账明细接口!$AA845=0,"",[2]对账明细接口!$AA845),"")</f>
        <v/>
      </c>
      <c r="AF844" s="90" t="str">
        <f aca="false">IFERROR(IF([2]对账明细接口!$AB845=0,"",[2]对账明细接口!$AB845),"")</f>
        <v/>
      </c>
      <c r="AG844" s="90" t="str">
        <f aca="false">IFERROR(IF([2]对账明细接口!$AC845=0,"",[2]对账明细接口!$AC845),"")</f>
        <v/>
      </c>
      <c r="AH844" s="90" t="str">
        <f aca="false">IFERROR(IF([2]对账明细接口!$AD845=0,"",[2]对账明细接口!$AD845),"")</f>
        <v/>
      </c>
    </row>
    <row r="845" customFormat="false" ht="13.5" hidden="false" customHeight="false" outlineLevel="0" collapsed="false">
      <c r="A845" s="109" t="n">
        <v>845</v>
      </c>
      <c r="B845" s="110" t="str">
        <f aca="false">IFERROR(IF([2]对账明细接口!$B$845=0,"",[2]对账明细接口!$B$845),"")</f>
        <v/>
      </c>
      <c r="C845" s="59" t="str">
        <f aca="false">IFERROR(IF([2]对账明细接口!$C$845=0,"",[2]对账明细接口!$C$845),"")</f>
        <v/>
      </c>
      <c r="D845" s="59" t="str">
        <f aca="false">IFERROR(IF([2]对账明细接口!$D$845=0,"",[2]对账明细接口!$D$845),"")</f>
        <v/>
      </c>
      <c r="E845" s="59" t="str">
        <f aca="false">IFERROR(IF([2]对账明细接口!$E$845=0,"",[2]对账明细接口!$E$845),"")</f>
        <v/>
      </c>
      <c r="F845" s="59" t="str">
        <f aca="false">IFERROR(IF([2]对账明细接口!$F$845=0,"",[2]对账明细接口!$F$845),"")</f>
        <v/>
      </c>
      <c r="G845" s="59" t="str">
        <f aca="false">IFERROR(IF([2]对账明细接口!$G$845=0,"",[2]对账明细接口!$G$845),"")</f>
        <v/>
      </c>
      <c r="H845" s="60" t="str">
        <f aca="false">IFERROR(IF([2]对账明细接口!$H$845=0,"",[2]对账明细接口!$H$845),"")</f>
        <v/>
      </c>
      <c r="I845" s="59" t="str">
        <f aca="false">IFERROR(IF([2]对账明细接口!$I$845=0,"",[2]对账明细接口!$I$845),"")</f>
        <v/>
      </c>
      <c r="J845" s="61" t="str">
        <f aca="false">IFERROR(IF([2]对账明细接口!$J$845=0,"",[2]对账明细接口!$J$845),"")</f>
        <v/>
      </c>
      <c r="K845" s="61" t="str">
        <f aca="false">IFERROR(IF([2]对账明细接口!$K$845=0,"",[2]对账明细接口!$K$845),"")</f>
        <v/>
      </c>
      <c r="L845" s="59" t="str">
        <f aca="false">IFERROR(IF([2]对账明细接口!$L$845=0,"",[2]对账明细接口!$L$845),"")</f>
        <v/>
      </c>
      <c r="M845" s="59" t="str">
        <f aca="false">IFERROR(IF([2]对账明细接口!$M$845=0,"",[2]对账明细接口!$M$845),"")</f>
        <v/>
      </c>
      <c r="N845" s="111" t="n">
        <f aca="false">IF($C845="",0,1)</f>
        <v>0</v>
      </c>
      <c r="O845" s="111" t="n">
        <f aca="false">N(O844)+$N845</f>
        <v>311</v>
      </c>
      <c r="S845" s="10" t="str">
        <f aca="false">IFERROR(IF([2]对账明细接口!$N845=0,"",[2]对账明细接口!$N845),"")</f>
        <v/>
      </c>
      <c r="T845" s="112" t="str">
        <f aca="false">IFERROR(IF([2]对账明细接口!$O845=0,"",[2]对账明细接口!$O845),"")</f>
        <v/>
      </c>
      <c r="U845" s="112" t="str">
        <f aca="false">IFERROR(IF([2]对账明细接口!$P845=0,"",[2]对账明细接口!$P845),"")</f>
        <v/>
      </c>
      <c r="V845" s="112" t="str">
        <f aca="false">IFERROR(IF([2]对账明细接口!$Q845=0,"",[2]对账明细接口!$Q845),"")</f>
        <v/>
      </c>
      <c r="W845" s="10" t="str">
        <f aca="false">IFERROR(IF([2]对账明细接口!$R845=0,"",[2]对账明细接口!$R845),"")</f>
        <v/>
      </c>
      <c r="X845" s="10" t="str">
        <f aca="false">IFERROR(IF([2]对账明细接口!$S845=0,"",[2]对账明细接口!$S845),"")</f>
        <v/>
      </c>
      <c r="Y845" s="10" t="str">
        <f aca="false">IFERROR(IF([2]对账明细接口!$T845=0,"",[2]对账明细接口!$T845),"")</f>
        <v/>
      </c>
      <c r="Z845" s="113" t="str">
        <f aca="false">IFERROR(IF([2]对账明细接口!$U845=0,"",[2]对账明细接口!$U845),"")</f>
        <v/>
      </c>
      <c r="AA845" s="113" t="str">
        <f aca="false">IFERROR(IF([2]对账明细接口!$V845=0,"",[2]对账明细接口!$V845),"")</f>
        <v/>
      </c>
      <c r="AB845" s="10" t="str">
        <f aca="false">IFERROR(IF([2]对账明细接口!$W845=0,"",[2]对账明细接口!$W845),"")</f>
        <v/>
      </c>
      <c r="AC845" s="90" t="str">
        <f aca="false">IFERROR(IF([2]对账明细接口!$X846=0,"",[2]对账明细接口!$X846),"")</f>
        <v/>
      </c>
      <c r="AD845" s="90" t="str">
        <f aca="false">IFERROR(IF([2]对账明细接口!$Y846=0,"",[2]对账明细接口!$Y846),"")</f>
        <v/>
      </c>
      <c r="AE845" s="90" t="str">
        <f aca="false">IFERROR(IF([2]对账明细接口!$AA846=0,"",[2]对账明细接口!$AA846),"")</f>
        <v/>
      </c>
      <c r="AF845" s="90" t="str">
        <f aca="false">IFERROR(IF([2]对账明细接口!$AB846=0,"",[2]对账明细接口!$AB846),"")</f>
        <v/>
      </c>
      <c r="AG845" s="90" t="str">
        <f aca="false">IFERROR(IF([2]对账明细接口!$AC846=0,"",[2]对账明细接口!$AC846),"")</f>
        <v/>
      </c>
      <c r="AH845" s="90" t="str">
        <f aca="false">IFERROR(IF([2]对账明细接口!$AD846=0,"",[2]对账明细接口!$AD846),"")</f>
        <v/>
      </c>
    </row>
    <row r="846" customFormat="false" ht="13.5" hidden="false" customHeight="false" outlineLevel="0" collapsed="false">
      <c r="A846" s="109" t="n">
        <v>846</v>
      </c>
      <c r="B846" s="110" t="str">
        <f aca="false">IFERROR(IF([2]对账明细接口!$B$846=0,"",[2]对账明细接口!$B$846),"")</f>
        <v/>
      </c>
      <c r="C846" s="59" t="str">
        <f aca="false">IFERROR(IF([2]对账明细接口!$C$846=0,"",[2]对账明细接口!$C$846),"")</f>
        <v/>
      </c>
      <c r="D846" s="59" t="str">
        <f aca="false">IFERROR(IF([2]对账明细接口!$D$846=0,"",[2]对账明细接口!$D$846),"")</f>
        <v/>
      </c>
      <c r="E846" s="59" t="str">
        <f aca="false">IFERROR(IF([2]对账明细接口!$E$846=0,"",[2]对账明细接口!$E$846),"")</f>
        <v/>
      </c>
      <c r="F846" s="59" t="str">
        <f aca="false">IFERROR(IF([2]对账明细接口!$F$846=0,"",[2]对账明细接口!$F$846),"")</f>
        <v/>
      </c>
      <c r="G846" s="59" t="str">
        <f aca="false">IFERROR(IF([2]对账明细接口!$G$846=0,"",[2]对账明细接口!$G$846),"")</f>
        <v/>
      </c>
      <c r="H846" s="60" t="str">
        <f aca="false">IFERROR(IF([2]对账明细接口!$H$846=0,"",[2]对账明细接口!$H$846),"")</f>
        <v/>
      </c>
      <c r="I846" s="59" t="str">
        <f aca="false">IFERROR(IF([2]对账明细接口!$I$846=0,"",[2]对账明细接口!$I$846),"")</f>
        <v/>
      </c>
      <c r="J846" s="61" t="str">
        <f aca="false">IFERROR(IF([2]对账明细接口!$J$846=0,"",[2]对账明细接口!$J$846),"")</f>
        <v/>
      </c>
      <c r="K846" s="61" t="str">
        <f aca="false">IFERROR(IF([2]对账明细接口!$K$846=0,"",[2]对账明细接口!$K$846),"")</f>
        <v/>
      </c>
      <c r="L846" s="59" t="str">
        <f aca="false">IFERROR(IF([2]对账明细接口!$L$846=0,"",[2]对账明细接口!$L$846),"")</f>
        <v/>
      </c>
      <c r="M846" s="59" t="str">
        <f aca="false">IFERROR(IF([2]对账明细接口!$M$846=0,"",[2]对账明细接口!$M$846),"")</f>
        <v/>
      </c>
      <c r="N846" s="111" t="n">
        <f aca="false">IF($C846="",0,1)</f>
        <v>0</v>
      </c>
      <c r="O846" s="111" t="n">
        <f aca="false">N(O845)+$N846</f>
        <v>311</v>
      </c>
      <c r="S846" s="10" t="str">
        <f aca="false">IFERROR(IF([2]对账明细接口!$N846=0,"",[2]对账明细接口!$N846),"")</f>
        <v/>
      </c>
      <c r="T846" s="112" t="str">
        <f aca="false">IFERROR(IF([2]对账明细接口!$O846=0,"",[2]对账明细接口!$O846),"")</f>
        <v/>
      </c>
      <c r="U846" s="112" t="str">
        <f aca="false">IFERROR(IF([2]对账明细接口!$P846=0,"",[2]对账明细接口!$P846),"")</f>
        <v/>
      </c>
      <c r="V846" s="112" t="str">
        <f aca="false">IFERROR(IF([2]对账明细接口!$Q846=0,"",[2]对账明细接口!$Q846),"")</f>
        <v/>
      </c>
      <c r="W846" s="10" t="str">
        <f aca="false">IFERROR(IF([2]对账明细接口!$R846=0,"",[2]对账明细接口!$R846),"")</f>
        <v/>
      </c>
      <c r="X846" s="10" t="str">
        <f aca="false">IFERROR(IF([2]对账明细接口!$S846=0,"",[2]对账明细接口!$S846),"")</f>
        <v/>
      </c>
      <c r="Y846" s="10" t="str">
        <f aca="false">IFERROR(IF([2]对账明细接口!$T846=0,"",[2]对账明细接口!$T846),"")</f>
        <v/>
      </c>
      <c r="Z846" s="113" t="str">
        <f aca="false">IFERROR(IF([2]对账明细接口!$U846=0,"",[2]对账明细接口!$U846),"")</f>
        <v/>
      </c>
      <c r="AA846" s="113" t="str">
        <f aca="false">IFERROR(IF([2]对账明细接口!$V846=0,"",[2]对账明细接口!$V846),"")</f>
        <v/>
      </c>
      <c r="AB846" s="10" t="str">
        <f aca="false">IFERROR(IF([2]对账明细接口!$W846=0,"",[2]对账明细接口!$W846),"")</f>
        <v/>
      </c>
      <c r="AC846" s="90" t="str">
        <f aca="false">IFERROR(IF([2]对账明细接口!$X847=0,"",[2]对账明细接口!$X847),"")</f>
        <v/>
      </c>
      <c r="AD846" s="90" t="str">
        <f aca="false">IFERROR(IF([2]对账明细接口!$Y847=0,"",[2]对账明细接口!$Y847),"")</f>
        <v/>
      </c>
      <c r="AE846" s="90" t="str">
        <f aca="false">IFERROR(IF([2]对账明细接口!$AA847=0,"",[2]对账明细接口!$AA847),"")</f>
        <v/>
      </c>
      <c r="AF846" s="90" t="str">
        <f aca="false">IFERROR(IF([2]对账明细接口!$AB847=0,"",[2]对账明细接口!$AB847),"")</f>
        <v/>
      </c>
      <c r="AG846" s="90" t="str">
        <f aca="false">IFERROR(IF([2]对账明细接口!$AC847=0,"",[2]对账明细接口!$AC847),"")</f>
        <v/>
      </c>
      <c r="AH846" s="90" t="str">
        <f aca="false">IFERROR(IF([2]对账明细接口!$AD847=0,"",[2]对账明细接口!$AD847),"")</f>
        <v/>
      </c>
    </row>
    <row r="847" customFormat="false" ht="13.5" hidden="false" customHeight="false" outlineLevel="0" collapsed="false">
      <c r="A847" s="109" t="n">
        <v>847</v>
      </c>
      <c r="B847" s="110" t="str">
        <f aca="false">IFERROR(IF([2]对账明细接口!$B$847=0,"",[2]对账明细接口!$B$847),"")</f>
        <v/>
      </c>
      <c r="C847" s="59" t="str">
        <f aca="false">IFERROR(IF([2]对账明细接口!$C$847=0,"",[2]对账明细接口!$C$847),"")</f>
        <v/>
      </c>
      <c r="D847" s="59" t="str">
        <f aca="false">IFERROR(IF([2]对账明细接口!$D$847=0,"",[2]对账明细接口!$D$847),"")</f>
        <v/>
      </c>
      <c r="E847" s="59" t="str">
        <f aca="false">IFERROR(IF([2]对账明细接口!$E$847=0,"",[2]对账明细接口!$E$847),"")</f>
        <v/>
      </c>
      <c r="F847" s="59" t="str">
        <f aca="false">IFERROR(IF([2]对账明细接口!$F$847=0,"",[2]对账明细接口!$F$847),"")</f>
        <v/>
      </c>
      <c r="G847" s="59" t="str">
        <f aca="false">IFERROR(IF([2]对账明细接口!$G$847=0,"",[2]对账明细接口!$G$847),"")</f>
        <v/>
      </c>
      <c r="H847" s="60" t="str">
        <f aca="false">IFERROR(IF([2]对账明细接口!$H$847=0,"",[2]对账明细接口!$H$847),"")</f>
        <v/>
      </c>
      <c r="I847" s="59" t="str">
        <f aca="false">IFERROR(IF([2]对账明细接口!$I$847=0,"",[2]对账明细接口!$I$847),"")</f>
        <v/>
      </c>
      <c r="J847" s="61" t="str">
        <f aca="false">IFERROR(IF([2]对账明细接口!$J$847=0,"",[2]对账明细接口!$J$847),"")</f>
        <v/>
      </c>
      <c r="K847" s="61" t="str">
        <f aca="false">IFERROR(IF([2]对账明细接口!$K$847=0,"",[2]对账明细接口!$K$847),"")</f>
        <v/>
      </c>
      <c r="L847" s="59" t="str">
        <f aca="false">IFERROR(IF([2]对账明细接口!$L$847=0,"",[2]对账明细接口!$L$847),"")</f>
        <v/>
      </c>
      <c r="M847" s="59" t="str">
        <f aca="false">IFERROR(IF([2]对账明细接口!$M$847=0,"",[2]对账明细接口!$M$847),"")</f>
        <v/>
      </c>
      <c r="N847" s="111" t="n">
        <f aca="false">IF($C847="",0,1)</f>
        <v>0</v>
      </c>
      <c r="O847" s="111" t="n">
        <f aca="false">N(O846)+$N847</f>
        <v>311</v>
      </c>
      <c r="S847" s="10" t="str">
        <f aca="false">IFERROR(IF([2]对账明细接口!$N847=0,"",[2]对账明细接口!$N847),"")</f>
        <v/>
      </c>
      <c r="T847" s="112" t="str">
        <f aca="false">IFERROR(IF([2]对账明细接口!$O847=0,"",[2]对账明细接口!$O847),"")</f>
        <v/>
      </c>
      <c r="U847" s="112" t="str">
        <f aca="false">IFERROR(IF([2]对账明细接口!$P847=0,"",[2]对账明细接口!$P847),"")</f>
        <v/>
      </c>
      <c r="V847" s="112" t="str">
        <f aca="false">IFERROR(IF([2]对账明细接口!$Q847=0,"",[2]对账明细接口!$Q847),"")</f>
        <v/>
      </c>
      <c r="W847" s="10" t="str">
        <f aca="false">IFERROR(IF([2]对账明细接口!$R847=0,"",[2]对账明细接口!$R847),"")</f>
        <v/>
      </c>
      <c r="X847" s="10" t="str">
        <f aca="false">IFERROR(IF([2]对账明细接口!$S847=0,"",[2]对账明细接口!$S847),"")</f>
        <v/>
      </c>
      <c r="Y847" s="10" t="str">
        <f aca="false">IFERROR(IF([2]对账明细接口!$T847=0,"",[2]对账明细接口!$T847),"")</f>
        <v/>
      </c>
      <c r="Z847" s="113" t="str">
        <f aca="false">IFERROR(IF([2]对账明细接口!$U847=0,"",[2]对账明细接口!$U847),"")</f>
        <v/>
      </c>
      <c r="AA847" s="113" t="str">
        <f aca="false">IFERROR(IF([2]对账明细接口!$V847=0,"",[2]对账明细接口!$V847),"")</f>
        <v/>
      </c>
      <c r="AB847" s="10" t="str">
        <f aca="false">IFERROR(IF([2]对账明细接口!$W847=0,"",[2]对账明细接口!$W847),"")</f>
        <v/>
      </c>
      <c r="AC847" s="90" t="str">
        <f aca="false">IFERROR(IF([2]对账明细接口!$X848=0,"",[2]对账明细接口!$X848),"")</f>
        <v/>
      </c>
      <c r="AD847" s="90" t="str">
        <f aca="false">IFERROR(IF([2]对账明细接口!$Y848=0,"",[2]对账明细接口!$Y848),"")</f>
        <v/>
      </c>
      <c r="AE847" s="90" t="str">
        <f aca="false">IFERROR(IF([2]对账明细接口!$AA848=0,"",[2]对账明细接口!$AA848),"")</f>
        <v/>
      </c>
      <c r="AF847" s="90" t="str">
        <f aca="false">IFERROR(IF([2]对账明细接口!$AB848=0,"",[2]对账明细接口!$AB848),"")</f>
        <v/>
      </c>
      <c r="AG847" s="90" t="str">
        <f aca="false">IFERROR(IF([2]对账明细接口!$AC848=0,"",[2]对账明细接口!$AC848),"")</f>
        <v/>
      </c>
      <c r="AH847" s="90" t="str">
        <f aca="false">IFERROR(IF([2]对账明细接口!$AD848=0,"",[2]对账明细接口!$AD848),"")</f>
        <v/>
      </c>
    </row>
    <row r="848" customFormat="false" ht="13.5" hidden="false" customHeight="false" outlineLevel="0" collapsed="false">
      <c r="A848" s="109" t="n">
        <v>848</v>
      </c>
      <c r="B848" s="110" t="str">
        <f aca="false">IFERROR(IF([2]对账明细接口!$B$848=0,"",[2]对账明细接口!$B$848),"")</f>
        <v/>
      </c>
      <c r="C848" s="59" t="str">
        <f aca="false">IFERROR(IF([2]对账明细接口!$C$848=0,"",[2]对账明细接口!$C$848),"")</f>
        <v/>
      </c>
      <c r="D848" s="59" t="str">
        <f aca="false">IFERROR(IF([2]对账明细接口!$D$848=0,"",[2]对账明细接口!$D$848),"")</f>
        <v/>
      </c>
      <c r="E848" s="59" t="str">
        <f aca="false">IFERROR(IF([2]对账明细接口!$E$848=0,"",[2]对账明细接口!$E$848),"")</f>
        <v/>
      </c>
      <c r="F848" s="59" t="str">
        <f aca="false">IFERROR(IF([2]对账明细接口!$F$848=0,"",[2]对账明细接口!$F$848),"")</f>
        <v/>
      </c>
      <c r="G848" s="59" t="str">
        <f aca="false">IFERROR(IF([2]对账明细接口!$G$848=0,"",[2]对账明细接口!$G$848),"")</f>
        <v/>
      </c>
      <c r="H848" s="60" t="str">
        <f aca="false">IFERROR(IF([2]对账明细接口!$H$848=0,"",[2]对账明细接口!$H$848),"")</f>
        <v/>
      </c>
      <c r="I848" s="59" t="str">
        <f aca="false">IFERROR(IF([2]对账明细接口!$I$848=0,"",[2]对账明细接口!$I$848),"")</f>
        <v/>
      </c>
      <c r="J848" s="61" t="str">
        <f aca="false">IFERROR(IF([2]对账明细接口!$J$848=0,"",[2]对账明细接口!$J$848),"")</f>
        <v/>
      </c>
      <c r="K848" s="61" t="str">
        <f aca="false">IFERROR(IF([2]对账明细接口!$K$848=0,"",[2]对账明细接口!$K$848),"")</f>
        <v/>
      </c>
      <c r="L848" s="59" t="str">
        <f aca="false">IFERROR(IF([2]对账明细接口!$L$848=0,"",[2]对账明细接口!$L$848),"")</f>
        <v/>
      </c>
      <c r="M848" s="59" t="str">
        <f aca="false">IFERROR(IF([2]对账明细接口!$M$848=0,"",[2]对账明细接口!$M$848),"")</f>
        <v/>
      </c>
      <c r="N848" s="111" t="n">
        <f aca="false">IF($C848="",0,1)</f>
        <v>0</v>
      </c>
      <c r="O848" s="111" t="n">
        <f aca="false">N(O847)+$N848</f>
        <v>311</v>
      </c>
      <c r="S848" s="10" t="str">
        <f aca="false">IFERROR(IF([2]对账明细接口!$N848=0,"",[2]对账明细接口!$N848),"")</f>
        <v/>
      </c>
      <c r="T848" s="112" t="str">
        <f aca="false">IFERROR(IF([2]对账明细接口!$O848=0,"",[2]对账明细接口!$O848),"")</f>
        <v/>
      </c>
      <c r="U848" s="112" t="str">
        <f aca="false">IFERROR(IF([2]对账明细接口!$P848=0,"",[2]对账明细接口!$P848),"")</f>
        <v/>
      </c>
      <c r="V848" s="112" t="str">
        <f aca="false">IFERROR(IF([2]对账明细接口!$Q848=0,"",[2]对账明细接口!$Q848),"")</f>
        <v/>
      </c>
      <c r="W848" s="10" t="str">
        <f aca="false">IFERROR(IF([2]对账明细接口!$R848=0,"",[2]对账明细接口!$R848),"")</f>
        <v/>
      </c>
      <c r="X848" s="10" t="str">
        <f aca="false">IFERROR(IF([2]对账明细接口!$S848=0,"",[2]对账明细接口!$S848),"")</f>
        <v/>
      </c>
      <c r="Y848" s="10" t="str">
        <f aca="false">IFERROR(IF([2]对账明细接口!$T848=0,"",[2]对账明细接口!$T848),"")</f>
        <v/>
      </c>
      <c r="Z848" s="113" t="str">
        <f aca="false">IFERROR(IF([2]对账明细接口!$U848=0,"",[2]对账明细接口!$U848),"")</f>
        <v/>
      </c>
      <c r="AA848" s="113" t="str">
        <f aca="false">IFERROR(IF([2]对账明细接口!$V848=0,"",[2]对账明细接口!$V848),"")</f>
        <v/>
      </c>
      <c r="AB848" s="10" t="str">
        <f aca="false">IFERROR(IF([2]对账明细接口!$W848=0,"",[2]对账明细接口!$W848),"")</f>
        <v/>
      </c>
      <c r="AC848" s="90" t="str">
        <f aca="false">IFERROR(IF([2]对账明细接口!$X849=0,"",[2]对账明细接口!$X849),"")</f>
        <v/>
      </c>
      <c r="AD848" s="90" t="str">
        <f aca="false">IFERROR(IF([2]对账明细接口!$Y849=0,"",[2]对账明细接口!$Y849),"")</f>
        <v/>
      </c>
      <c r="AE848" s="90" t="str">
        <f aca="false">IFERROR(IF([2]对账明细接口!$AA849=0,"",[2]对账明细接口!$AA849),"")</f>
        <v/>
      </c>
      <c r="AF848" s="90" t="str">
        <f aca="false">IFERROR(IF([2]对账明细接口!$AB849=0,"",[2]对账明细接口!$AB849),"")</f>
        <v/>
      </c>
      <c r="AG848" s="90" t="str">
        <f aca="false">IFERROR(IF([2]对账明细接口!$AC849=0,"",[2]对账明细接口!$AC849),"")</f>
        <v/>
      </c>
      <c r="AH848" s="90" t="str">
        <f aca="false">IFERROR(IF([2]对账明细接口!$AD849=0,"",[2]对账明细接口!$AD849),"")</f>
        <v/>
      </c>
    </row>
    <row r="849" customFormat="false" ht="13.5" hidden="false" customHeight="false" outlineLevel="0" collapsed="false">
      <c r="A849" s="109" t="n">
        <v>849</v>
      </c>
      <c r="B849" s="110" t="str">
        <f aca="false">IFERROR(IF([2]对账明细接口!$B$849=0,"",[2]对账明细接口!$B$849),"")</f>
        <v/>
      </c>
      <c r="C849" s="59" t="str">
        <f aca="false">IFERROR(IF([2]对账明细接口!$C$849=0,"",[2]对账明细接口!$C$849),"")</f>
        <v/>
      </c>
      <c r="D849" s="59" t="str">
        <f aca="false">IFERROR(IF([2]对账明细接口!$D$849=0,"",[2]对账明细接口!$D$849),"")</f>
        <v/>
      </c>
      <c r="E849" s="59" t="str">
        <f aca="false">IFERROR(IF([2]对账明细接口!$E$849=0,"",[2]对账明细接口!$E$849),"")</f>
        <v/>
      </c>
      <c r="F849" s="59" t="str">
        <f aca="false">IFERROR(IF([2]对账明细接口!$F$849=0,"",[2]对账明细接口!$F$849),"")</f>
        <v/>
      </c>
      <c r="G849" s="59" t="str">
        <f aca="false">IFERROR(IF([2]对账明细接口!$G$849=0,"",[2]对账明细接口!$G$849),"")</f>
        <v/>
      </c>
      <c r="H849" s="60" t="str">
        <f aca="false">IFERROR(IF([2]对账明细接口!$H$849=0,"",[2]对账明细接口!$H$849),"")</f>
        <v/>
      </c>
      <c r="I849" s="59" t="str">
        <f aca="false">IFERROR(IF([2]对账明细接口!$I$849=0,"",[2]对账明细接口!$I$849),"")</f>
        <v/>
      </c>
      <c r="J849" s="61" t="str">
        <f aca="false">IFERROR(IF([2]对账明细接口!$J$849=0,"",[2]对账明细接口!$J$849),"")</f>
        <v/>
      </c>
      <c r="K849" s="61" t="str">
        <f aca="false">IFERROR(IF([2]对账明细接口!$K$849=0,"",[2]对账明细接口!$K$849),"")</f>
        <v/>
      </c>
      <c r="L849" s="59" t="str">
        <f aca="false">IFERROR(IF([2]对账明细接口!$L$849=0,"",[2]对账明细接口!$L$849),"")</f>
        <v/>
      </c>
      <c r="M849" s="59" t="str">
        <f aca="false">IFERROR(IF([2]对账明细接口!$M$849=0,"",[2]对账明细接口!$M$849),"")</f>
        <v/>
      </c>
      <c r="N849" s="111" t="n">
        <f aca="false">IF($C849="",0,1)</f>
        <v>0</v>
      </c>
      <c r="O849" s="111" t="n">
        <f aca="false">N(O848)+$N849</f>
        <v>311</v>
      </c>
      <c r="S849" s="10" t="str">
        <f aca="false">IFERROR(IF([2]对账明细接口!$N849=0,"",[2]对账明细接口!$N849),"")</f>
        <v/>
      </c>
      <c r="T849" s="112" t="str">
        <f aca="false">IFERROR(IF([2]对账明细接口!$O849=0,"",[2]对账明细接口!$O849),"")</f>
        <v/>
      </c>
      <c r="U849" s="112" t="str">
        <f aca="false">IFERROR(IF([2]对账明细接口!$P849=0,"",[2]对账明细接口!$P849),"")</f>
        <v/>
      </c>
      <c r="V849" s="112" t="str">
        <f aca="false">IFERROR(IF([2]对账明细接口!$Q849=0,"",[2]对账明细接口!$Q849),"")</f>
        <v/>
      </c>
      <c r="W849" s="10" t="str">
        <f aca="false">IFERROR(IF([2]对账明细接口!$R849=0,"",[2]对账明细接口!$R849),"")</f>
        <v/>
      </c>
      <c r="X849" s="10" t="str">
        <f aca="false">IFERROR(IF([2]对账明细接口!$S849=0,"",[2]对账明细接口!$S849),"")</f>
        <v/>
      </c>
      <c r="Y849" s="10" t="str">
        <f aca="false">IFERROR(IF([2]对账明细接口!$T849=0,"",[2]对账明细接口!$T849),"")</f>
        <v/>
      </c>
      <c r="Z849" s="113" t="str">
        <f aca="false">IFERROR(IF([2]对账明细接口!$U849=0,"",[2]对账明细接口!$U849),"")</f>
        <v/>
      </c>
      <c r="AA849" s="113" t="str">
        <f aca="false">IFERROR(IF([2]对账明细接口!$V849=0,"",[2]对账明细接口!$V849),"")</f>
        <v/>
      </c>
      <c r="AB849" s="10" t="str">
        <f aca="false">IFERROR(IF([2]对账明细接口!$W849=0,"",[2]对账明细接口!$W849),"")</f>
        <v/>
      </c>
      <c r="AC849" s="90" t="str">
        <f aca="false">IFERROR(IF([2]对账明细接口!$X850=0,"",[2]对账明细接口!$X850),"")</f>
        <v/>
      </c>
      <c r="AD849" s="90" t="str">
        <f aca="false">IFERROR(IF([2]对账明细接口!$Y850=0,"",[2]对账明细接口!$Y850),"")</f>
        <v/>
      </c>
      <c r="AE849" s="90" t="str">
        <f aca="false">IFERROR(IF([2]对账明细接口!$AA850=0,"",[2]对账明细接口!$AA850),"")</f>
        <v/>
      </c>
      <c r="AF849" s="90" t="str">
        <f aca="false">IFERROR(IF([2]对账明细接口!$AB850=0,"",[2]对账明细接口!$AB850),"")</f>
        <v/>
      </c>
      <c r="AG849" s="90" t="str">
        <f aca="false">IFERROR(IF([2]对账明细接口!$AC850=0,"",[2]对账明细接口!$AC850),"")</f>
        <v/>
      </c>
      <c r="AH849" s="90" t="str">
        <f aca="false">IFERROR(IF([2]对账明细接口!$AD850=0,"",[2]对账明细接口!$AD850),"")</f>
        <v/>
      </c>
    </row>
    <row r="850" customFormat="false" ht="13.5" hidden="false" customHeight="false" outlineLevel="0" collapsed="false">
      <c r="A850" s="109" t="n">
        <v>850</v>
      </c>
      <c r="B850" s="110" t="str">
        <f aca="false">IFERROR(IF([2]对账明细接口!$B$850=0,"",[2]对账明细接口!$B$850),"")</f>
        <v/>
      </c>
      <c r="C850" s="59" t="str">
        <f aca="false">IFERROR(IF([2]对账明细接口!$C$850=0,"",[2]对账明细接口!$C$850),"")</f>
        <v/>
      </c>
      <c r="D850" s="59" t="str">
        <f aca="false">IFERROR(IF([2]对账明细接口!$D$850=0,"",[2]对账明细接口!$D$850),"")</f>
        <v/>
      </c>
      <c r="E850" s="59" t="str">
        <f aca="false">IFERROR(IF([2]对账明细接口!$E$850=0,"",[2]对账明细接口!$E$850),"")</f>
        <v/>
      </c>
      <c r="F850" s="59" t="str">
        <f aca="false">IFERROR(IF([2]对账明细接口!$F$850=0,"",[2]对账明细接口!$F$850),"")</f>
        <v/>
      </c>
      <c r="G850" s="59" t="str">
        <f aca="false">IFERROR(IF([2]对账明细接口!$G$850=0,"",[2]对账明细接口!$G$850),"")</f>
        <v/>
      </c>
      <c r="H850" s="60" t="str">
        <f aca="false">IFERROR(IF([2]对账明细接口!$H$850=0,"",[2]对账明细接口!$H$850),"")</f>
        <v/>
      </c>
      <c r="I850" s="59" t="str">
        <f aca="false">IFERROR(IF([2]对账明细接口!$I$850=0,"",[2]对账明细接口!$I$850),"")</f>
        <v/>
      </c>
      <c r="J850" s="61" t="str">
        <f aca="false">IFERROR(IF([2]对账明细接口!$J$850=0,"",[2]对账明细接口!$J$850),"")</f>
        <v/>
      </c>
      <c r="K850" s="61" t="str">
        <f aca="false">IFERROR(IF([2]对账明细接口!$K$850=0,"",[2]对账明细接口!$K$850),"")</f>
        <v/>
      </c>
      <c r="L850" s="59" t="str">
        <f aca="false">IFERROR(IF([2]对账明细接口!$L$850=0,"",[2]对账明细接口!$L$850),"")</f>
        <v/>
      </c>
      <c r="M850" s="59" t="str">
        <f aca="false">IFERROR(IF([2]对账明细接口!$M$850=0,"",[2]对账明细接口!$M$850),"")</f>
        <v/>
      </c>
      <c r="N850" s="111" t="n">
        <f aca="false">IF($C850="",0,1)</f>
        <v>0</v>
      </c>
      <c r="O850" s="111" t="n">
        <f aca="false">N(O849)+$N850</f>
        <v>311</v>
      </c>
      <c r="S850" s="10" t="str">
        <f aca="false">IFERROR(IF([2]对账明细接口!$N850=0,"",[2]对账明细接口!$N850),"")</f>
        <v/>
      </c>
      <c r="T850" s="112" t="str">
        <f aca="false">IFERROR(IF([2]对账明细接口!$O850=0,"",[2]对账明细接口!$O850),"")</f>
        <v/>
      </c>
      <c r="U850" s="112" t="str">
        <f aca="false">IFERROR(IF([2]对账明细接口!$P850=0,"",[2]对账明细接口!$P850),"")</f>
        <v/>
      </c>
      <c r="V850" s="112" t="str">
        <f aca="false">IFERROR(IF([2]对账明细接口!$Q850=0,"",[2]对账明细接口!$Q850),"")</f>
        <v/>
      </c>
      <c r="W850" s="10" t="str">
        <f aca="false">IFERROR(IF([2]对账明细接口!$R850=0,"",[2]对账明细接口!$R850),"")</f>
        <v/>
      </c>
      <c r="X850" s="10" t="str">
        <f aca="false">IFERROR(IF([2]对账明细接口!$S850=0,"",[2]对账明细接口!$S850),"")</f>
        <v/>
      </c>
      <c r="Y850" s="10" t="str">
        <f aca="false">IFERROR(IF([2]对账明细接口!$T850=0,"",[2]对账明细接口!$T850),"")</f>
        <v/>
      </c>
      <c r="Z850" s="113" t="str">
        <f aca="false">IFERROR(IF([2]对账明细接口!$U850=0,"",[2]对账明细接口!$U850),"")</f>
        <v/>
      </c>
      <c r="AA850" s="113" t="str">
        <f aca="false">IFERROR(IF([2]对账明细接口!$V850=0,"",[2]对账明细接口!$V850),"")</f>
        <v/>
      </c>
      <c r="AB850" s="10" t="str">
        <f aca="false">IFERROR(IF([2]对账明细接口!$W850=0,"",[2]对账明细接口!$W850),"")</f>
        <v/>
      </c>
      <c r="AC850" s="90" t="str">
        <f aca="false">IFERROR(IF([2]对账明细接口!$X851=0,"",[2]对账明细接口!$X851),"")</f>
        <v/>
      </c>
      <c r="AD850" s="90" t="str">
        <f aca="false">IFERROR(IF([2]对账明细接口!$Y851=0,"",[2]对账明细接口!$Y851),"")</f>
        <v/>
      </c>
      <c r="AE850" s="90" t="str">
        <f aca="false">IFERROR(IF([2]对账明细接口!$AA851=0,"",[2]对账明细接口!$AA851),"")</f>
        <v/>
      </c>
      <c r="AF850" s="90" t="str">
        <f aca="false">IFERROR(IF([2]对账明细接口!$AB851=0,"",[2]对账明细接口!$AB851),"")</f>
        <v/>
      </c>
      <c r="AG850" s="90" t="str">
        <f aca="false">IFERROR(IF([2]对账明细接口!$AC851=0,"",[2]对账明细接口!$AC851),"")</f>
        <v/>
      </c>
      <c r="AH850" s="90" t="str">
        <f aca="false">IFERROR(IF([2]对账明细接口!$AD851=0,"",[2]对账明细接口!$AD851),"")</f>
        <v/>
      </c>
    </row>
    <row r="851" customFormat="false" ht="13.5" hidden="false" customHeight="false" outlineLevel="0" collapsed="false">
      <c r="A851" s="109" t="n">
        <v>851</v>
      </c>
      <c r="B851" s="110" t="str">
        <f aca="false">IFERROR(IF([2]对账明细接口!$B$851=0,"",[2]对账明细接口!$B$851),"")</f>
        <v/>
      </c>
      <c r="C851" s="59" t="str">
        <f aca="false">IFERROR(IF([2]对账明细接口!$C$851=0,"",[2]对账明细接口!$C$851),"")</f>
        <v/>
      </c>
      <c r="D851" s="59" t="str">
        <f aca="false">IFERROR(IF([2]对账明细接口!$D$851=0,"",[2]对账明细接口!$D$851),"")</f>
        <v/>
      </c>
      <c r="E851" s="59" t="str">
        <f aca="false">IFERROR(IF([2]对账明细接口!$E$851=0,"",[2]对账明细接口!$E$851),"")</f>
        <v/>
      </c>
      <c r="F851" s="59" t="str">
        <f aca="false">IFERROR(IF([2]对账明细接口!$F$851=0,"",[2]对账明细接口!$F$851),"")</f>
        <v/>
      </c>
      <c r="G851" s="59" t="str">
        <f aca="false">IFERROR(IF([2]对账明细接口!$G$851=0,"",[2]对账明细接口!$G$851),"")</f>
        <v/>
      </c>
      <c r="H851" s="60" t="str">
        <f aca="false">IFERROR(IF([2]对账明细接口!$H$851=0,"",[2]对账明细接口!$H$851),"")</f>
        <v/>
      </c>
      <c r="I851" s="59" t="str">
        <f aca="false">IFERROR(IF([2]对账明细接口!$I$851=0,"",[2]对账明细接口!$I$851),"")</f>
        <v/>
      </c>
      <c r="J851" s="61" t="str">
        <f aca="false">IFERROR(IF([2]对账明细接口!$J$851=0,"",[2]对账明细接口!$J$851),"")</f>
        <v/>
      </c>
      <c r="K851" s="61" t="str">
        <f aca="false">IFERROR(IF([2]对账明细接口!$K$851=0,"",[2]对账明细接口!$K$851),"")</f>
        <v/>
      </c>
      <c r="L851" s="59" t="str">
        <f aca="false">IFERROR(IF([2]对账明细接口!$L$851=0,"",[2]对账明细接口!$L$851),"")</f>
        <v/>
      </c>
      <c r="M851" s="59" t="str">
        <f aca="false">IFERROR(IF([2]对账明细接口!$M$851=0,"",[2]对账明细接口!$M$851),"")</f>
        <v/>
      </c>
      <c r="N851" s="111" t="n">
        <f aca="false">IF($C851="",0,1)</f>
        <v>0</v>
      </c>
      <c r="O851" s="111" t="n">
        <f aca="false">N(O850)+$N851</f>
        <v>311</v>
      </c>
      <c r="S851" s="10" t="str">
        <f aca="false">IFERROR(IF([2]对账明细接口!$N851=0,"",[2]对账明细接口!$N851),"")</f>
        <v/>
      </c>
      <c r="T851" s="112" t="str">
        <f aca="false">IFERROR(IF([2]对账明细接口!$O851=0,"",[2]对账明细接口!$O851),"")</f>
        <v/>
      </c>
      <c r="U851" s="112" t="str">
        <f aca="false">IFERROR(IF([2]对账明细接口!$P851=0,"",[2]对账明细接口!$P851),"")</f>
        <v/>
      </c>
      <c r="V851" s="112" t="str">
        <f aca="false">IFERROR(IF([2]对账明细接口!$Q851=0,"",[2]对账明细接口!$Q851),"")</f>
        <v/>
      </c>
      <c r="W851" s="10" t="str">
        <f aca="false">IFERROR(IF([2]对账明细接口!$R851=0,"",[2]对账明细接口!$R851),"")</f>
        <v/>
      </c>
      <c r="X851" s="10" t="str">
        <f aca="false">IFERROR(IF([2]对账明细接口!$S851=0,"",[2]对账明细接口!$S851),"")</f>
        <v/>
      </c>
      <c r="Y851" s="10" t="str">
        <f aca="false">IFERROR(IF([2]对账明细接口!$T851=0,"",[2]对账明细接口!$T851),"")</f>
        <v/>
      </c>
      <c r="Z851" s="113" t="str">
        <f aca="false">IFERROR(IF([2]对账明细接口!$U851=0,"",[2]对账明细接口!$U851),"")</f>
        <v/>
      </c>
      <c r="AA851" s="113" t="str">
        <f aca="false">IFERROR(IF([2]对账明细接口!$V851=0,"",[2]对账明细接口!$V851),"")</f>
        <v/>
      </c>
      <c r="AB851" s="10" t="str">
        <f aca="false">IFERROR(IF([2]对账明细接口!$W851=0,"",[2]对账明细接口!$W851),"")</f>
        <v/>
      </c>
      <c r="AC851" s="90" t="str">
        <f aca="false">IFERROR(IF([2]对账明细接口!$X852=0,"",[2]对账明细接口!$X852),"")</f>
        <v/>
      </c>
      <c r="AD851" s="90" t="str">
        <f aca="false">IFERROR(IF([2]对账明细接口!$Y852=0,"",[2]对账明细接口!$Y852),"")</f>
        <v/>
      </c>
      <c r="AE851" s="90" t="str">
        <f aca="false">IFERROR(IF([2]对账明细接口!$AA852=0,"",[2]对账明细接口!$AA852),"")</f>
        <v/>
      </c>
      <c r="AF851" s="90" t="str">
        <f aca="false">IFERROR(IF([2]对账明细接口!$AB852=0,"",[2]对账明细接口!$AB852),"")</f>
        <v/>
      </c>
      <c r="AG851" s="90" t="str">
        <f aca="false">IFERROR(IF([2]对账明细接口!$AC852=0,"",[2]对账明细接口!$AC852),"")</f>
        <v/>
      </c>
      <c r="AH851" s="90" t="str">
        <f aca="false">IFERROR(IF([2]对账明细接口!$AD852=0,"",[2]对账明细接口!$AD852),"")</f>
        <v/>
      </c>
    </row>
    <row r="852" customFormat="false" ht="13.5" hidden="false" customHeight="false" outlineLevel="0" collapsed="false">
      <c r="A852" s="109" t="n">
        <v>852</v>
      </c>
      <c r="B852" s="110" t="str">
        <f aca="false">IFERROR(IF([2]对账明细接口!$B$852=0,"",[2]对账明细接口!$B$852),"")</f>
        <v/>
      </c>
      <c r="C852" s="59" t="str">
        <f aca="false">IFERROR(IF([2]对账明细接口!$C$852=0,"",[2]对账明细接口!$C$852),"")</f>
        <v/>
      </c>
      <c r="D852" s="59" t="str">
        <f aca="false">IFERROR(IF([2]对账明细接口!$D$852=0,"",[2]对账明细接口!$D$852),"")</f>
        <v/>
      </c>
      <c r="E852" s="59" t="str">
        <f aca="false">IFERROR(IF([2]对账明细接口!$E$852=0,"",[2]对账明细接口!$E$852),"")</f>
        <v/>
      </c>
      <c r="F852" s="59" t="str">
        <f aca="false">IFERROR(IF([2]对账明细接口!$F$852=0,"",[2]对账明细接口!$F$852),"")</f>
        <v/>
      </c>
      <c r="G852" s="59" t="str">
        <f aca="false">IFERROR(IF([2]对账明细接口!$G$852=0,"",[2]对账明细接口!$G$852),"")</f>
        <v/>
      </c>
      <c r="H852" s="60" t="str">
        <f aca="false">IFERROR(IF([2]对账明细接口!$H$852=0,"",[2]对账明细接口!$H$852),"")</f>
        <v/>
      </c>
      <c r="I852" s="59" t="str">
        <f aca="false">IFERROR(IF([2]对账明细接口!$I$852=0,"",[2]对账明细接口!$I$852),"")</f>
        <v/>
      </c>
      <c r="J852" s="61" t="str">
        <f aca="false">IFERROR(IF([2]对账明细接口!$J$852=0,"",[2]对账明细接口!$J$852),"")</f>
        <v/>
      </c>
      <c r="K852" s="61" t="str">
        <f aca="false">IFERROR(IF([2]对账明细接口!$K$852=0,"",[2]对账明细接口!$K$852),"")</f>
        <v/>
      </c>
      <c r="L852" s="59" t="str">
        <f aca="false">IFERROR(IF([2]对账明细接口!$L$852=0,"",[2]对账明细接口!$L$852),"")</f>
        <v/>
      </c>
      <c r="M852" s="59" t="str">
        <f aca="false">IFERROR(IF([2]对账明细接口!$M$852=0,"",[2]对账明细接口!$M$852),"")</f>
        <v/>
      </c>
      <c r="N852" s="111" t="n">
        <f aca="false">IF($C852="",0,1)</f>
        <v>0</v>
      </c>
      <c r="O852" s="111" t="n">
        <f aca="false">N(O851)+$N852</f>
        <v>311</v>
      </c>
      <c r="S852" s="10" t="str">
        <f aca="false">IFERROR(IF([2]对账明细接口!$N852=0,"",[2]对账明细接口!$N852),"")</f>
        <v/>
      </c>
      <c r="T852" s="112" t="str">
        <f aca="false">IFERROR(IF([2]对账明细接口!$O852=0,"",[2]对账明细接口!$O852),"")</f>
        <v/>
      </c>
      <c r="U852" s="112" t="str">
        <f aca="false">IFERROR(IF([2]对账明细接口!$P852=0,"",[2]对账明细接口!$P852),"")</f>
        <v/>
      </c>
      <c r="V852" s="112" t="str">
        <f aca="false">IFERROR(IF([2]对账明细接口!$Q852=0,"",[2]对账明细接口!$Q852),"")</f>
        <v/>
      </c>
      <c r="W852" s="10" t="str">
        <f aca="false">IFERROR(IF([2]对账明细接口!$R852=0,"",[2]对账明细接口!$R852),"")</f>
        <v/>
      </c>
      <c r="X852" s="10" t="str">
        <f aca="false">IFERROR(IF([2]对账明细接口!$S852=0,"",[2]对账明细接口!$S852),"")</f>
        <v/>
      </c>
      <c r="Y852" s="10" t="str">
        <f aca="false">IFERROR(IF([2]对账明细接口!$T852=0,"",[2]对账明细接口!$T852),"")</f>
        <v/>
      </c>
      <c r="Z852" s="113" t="str">
        <f aca="false">IFERROR(IF([2]对账明细接口!$U852=0,"",[2]对账明细接口!$U852),"")</f>
        <v/>
      </c>
      <c r="AA852" s="113" t="str">
        <f aca="false">IFERROR(IF([2]对账明细接口!$V852=0,"",[2]对账明细接口!$V852),"")</f>
        <v/>
      </c>
      <c r="AB852" s="10" t="str">
        <f aca="false">IFERROR(IF([2]对账明细接口!$W852=0,"",[2]对账明细接口!$W852),"")</f>
        <v/>
      </c>
      <c r="AC852" s="90" t="str">
        <f aca="false">IFERROR(IF([2]对账明细接口!$X853=0,"",[2]对账明细接口!$X853),"")</f>
        <v/>
      </c>
      <c r="AD852" s="90" t="str">
        <f aca="false">IFERROR(IF([2]对账明细接口!$Y853=0,"",[2]对账明细接口!$Y853),"")</f>
        <v/>
      </c>
      <c r="AE852" s="90" t="str">
        <f aca="false">IFERROR(IF([2]对账明细接口!$AA853=0,"",[2]对账明细接口!$AA853),"")</f>
        <v/>
      </c>
      <c r="AF852" s="90" t="str">
        <f aca="false">IFERROR(IF([2]对账明细接口!$AB853=0,"",[2]对账明细接口!$AB853),"")</f>
        <v/>
      </c>
      <c r="AG852" s="90" t="str">
        <f aca="false">IFERROR(IF([2]对账明细接口!$AC853=0,"",[2]对账明细接口!$AC853),"")</f>
        <v/>
      </c>
      <c r="AH852" s="90" t="str">
        <f aca="false">IFERROR(IF([2]对账明细接口!$AD853=0,"",[2]对账明细接口!$AD853),"")</f>
        <v/>
      </c>
    </row>
    <row r="853" customFormat="false" ht="13.5" hidden="false" customHeight="false" outlineLevel="0" collapsed="false">
      <c r="A853" s="109" t="n">
        <v>853</v>
      </c>
      <c r="B853" s="110" t="str">
        <f aca="false">IFERROR(IF([2]对账明细接口!$B$853=0,"",[2]对账明细接口!$B$853),"")</f>
        <v/>
      </c>
      <c r="C853" s="59" t="str">
        <f aca="false">IFERROR(IF([2]对账明细接口!$C$853=0,"",[2]对账明细接口!$C$853),"")</f>
        <v/>
      </c>
      <c r="D853" s="59" t="str">
        <f aca="false">IFERROR(IF([2]对账明细接口!$D$853=0,"",[2]对账明细接口!$D$853),"")</f>
        <v/>
      </c>
      <c r="E853" s="59" t="str">
        <f aca="false">IFERROR(IF([2]对账明细接口!$E$853=0,"",[2]对账明细接口!$E$853),"")</f>
        <v/>
      </c>
      <c r="F853" s="59" t="str">
        <f aca="false">IFERROR(IF([2]对账明细接口!$F$853=0,"",[2]对账明细接口!$F$853),"")</f>
        <v/>
      </c>
      <c r="G853" s="59" t="str">
        <f aca="false">IFERROR(IF([2]对账明细接口!$G$853=0,"",[2]对账明细接口!$G$853),"")</f>
        <v/>
      </c>
      <c r="H853" s="60" t="str">
        <f aca="false">IFERROR(IF([2]对账明细接口!$H$853=0,"",[2]对账明细接口!$H$853),"")</f>
        <v/>
      </c>
      <c r="I853" s="59" t="str">
        <f aca="false">IFERROR(IF([2]对账明细接口!$I$853=0,"",[2]对账明细接口!$I$853),"")</f>
        <v/>
      </c>
      <c r="J853" s="61" t="str">
        <f aca="false">IFERROR(IF([2]对账明细接口!$J$853=0,"",[2]对账明细接口!$J$853),"")</f>
        <v/>
      </c>
      <c r="K853" s="61" t="str">
        <f aca="false">IFERROR(IF([2]对账明细接口!$K$853=0,"",[2]对账明细接口!$K$853),"")</f>
        <v/>
      </c>
      <c r="L853" s="59" t="str">
        <f aca="false">IFERROR(IF([2]对账明细接口!$L$853=0,"",[2]对账明细接口!$L$853),"")</f>
        <v/>
      </c>
      <c r="M853" s="59" t="str">
        <f aca="false">IFERROR(IF([2]对账明细接口!$M$853=0,"",[2]对账明细接口!$M$853),"")</f>
        <v/>
      </c>
      <c r="N853" s="111" t="n">
        <f aca="false">IF($C853="",0,1)</f>
        <v>0</v>
      </c>
      <c r="O853" s="111" t="n">
        <f aca="false">N(O852)+$N853</f>
        <v>311</v>
      </c>
      <c r="S853" s="10" t="str">
        <f aca="false">IFERROR(IF([2]对账明细接口!$N853=0,"",[2]对账明细接口!$N853),"")</f>
        <v/>
      </c>
      <c r="T853" s="112" t="str">
        <f aca="false">IFERROR(IF([2]对账明细接口!$O853=0,"",[2]对账明细接口!$O853),"")</f>
        <v/>
      </c>
      <c r="U853" s="112" t="str">
        <f aca="false">IFERROR(IF([2]对账明细接口!$P853=0,"",[2]对账明细接口!$P853),"")</f>
        <v/>
      </c>
      <c r="V853" s="112" t="str">
        <f aca="false">IFERROR(IF([2]对账明细接口!$Q853=0,"",[2]对账明细接口!$Q853),"")</f>
        <v/>
      </c>
      <c r="W853" s="10" t="str">
        <f aca="false">IFERROR(IF([2]对账明细接口!$R853=0,"",[2]对账明细接口!$R853),"")</f>
        <v/>
      </c>
      <c r="X853" s="10" t="str">
        <f aca="false">IFERROR(IF([2]对账明细接口!$S853=0,"",[2]对账明细接口!$S853),"")</f>
        <v/>
      </c>
      <c r="Y853" s="10" t="str">
        <f aca="false">IFERROR(IF([2]对账明细接口!$T853=0,"",[2]对账明细接口!$T853),"")</f>
        <v/>
      </c>
      <c r="Z853" s="113" t="str">
        <f aca="false">IFERROR(IF([2]对账明细接口!$U853=0,"",[2]对账明细接口!$U853),"")</f>
        <v/>
      </c>
      <c r="AA853" s="113" t="str">
        <f aca="false">IFERROR(IF([2]对账明细接口!$V853=0,"",[2]对账明细接口!$V853),"")</f>
        <v/>
      </c>
      <c r="AB853" s="10" t="str">
        <f aca="false">IFERROR(IF([2]对账明细接口!$W853=0,"",[2]对账明细接口!$W853),"")</f>
        <v/>
      </c>
      <c r="AC853" s="90" t="str">
        <f aca="false">IFERROR(IF([2]对账明细接口!$X854=0,"",[2]对账明细接口!$X854),"")</f>
        <v/>
      </c>
      <c r="AD853" s="90" t="str">
        <f aca="false">IFERROR(IF([2]对账明细接口!$Y854=0,"",[2]对账明细接口!$Y854),"")</f>
        <v/>
      </c>
      <c r="AE853" s="90" t="str">
        <f aca="false">IFERROR(IF([2]对账明细接口!$AA854=0,"",[2]对账明细接口!$AA854),"")</f>
        <v/>
      </c>
      <c r="AF853" s="90" t="str">
        <f aca="false">IFERROR(IF([2]对账明细接口!$AB854=0,"",[2]对账明细接口!$AB854),"")</f>
        <v/>
      </c>
      <c r="AG853" s="90" t="str">
        <f aca="false">IFERROR(IF([2]对账明细接口!$AC854=0,"",[2]对账明细接口!$AC854),"")</f>
        <v/>
      </c>
      <c r="AH853" s="90" t="str">
        <f aca="false">IFERROR(IF([2]对账明细接口!$AD854=0,"",[2]对账明细接口!$AD854),"")</f>
        <v/>
      </c>
    </row>
    <row r="854" customFormat="false" ht="13.5" hidden="false" customHeight="false" outlineLevel="0" collapsed="false">
      <c r="A854" s="109" t="n">
        <v>854</v>
      </c>
      <c r="B854" s="110" t="str">
        <f aca="false">IFERROR(IF([2]对账明细接口!$B$854=0,"",[2]对账明细接口!$B$854),"")</f>
        <v/>
      </c>
      <c r="C854" s="59" t="str">
        <f aca="false">IFERROR(IF([2]对账明细接口!$C$854=0,"",[2]对账明细接口!$C$854),"")</f>
        <v/>
      </c>
      <c r="D854" s="59" t="str">
        <f aca="false">IFERROR(IF([2]对账明细接口!$D$854=0,"",[2]对账明细接口!$D$854),"")</f>
        <v/>
      </c>
      <c r="E854" s="59" t="str">
        <f aca="false">IFERROR(IF([2]对账明细接口!$E$854=0,"",[2]对账明细接口!$E$854),"")</f>
        <v/>
      </c>
      <c r="F854" s="59" t="str">
        <f aca="false">IFERROR(IF([2]对账明细接口!$F$854=0,"",[2]对账明细接口!$F$854),"")</f>
        <v/>
      </c>
      <c r="G854" s="59" t="str">
        <f aca="false">IFERROR(IF([2]对账明细接口!$G$854=0,"",[2]对账明细接口!$G$854),"")</f>
        <v/>
      </c>
      <c r="H854" s="60" t="str">
        <f aca="false">IFERROR(IF([2]对账明细接口!$H$854=0,"",[2]对账明细接口!$H$854),"")</f>
        <v/>
      </c>
      <c r="I854" s="59" t="str">
        <f aca="false">IFERROR(IF([2]对账明细接口!$I$854=0,"",[2]对账明细接口!$I$854),"")</f>
        <v/>
      </c>
      <c r="J854" s="61" t="str">
        <f aca="false">IFERROR(IF([2]对账明细接口!$J$854=0,"",[2]对账明细接口!$J$854),"")</f>
        <v/>
      </c>
      <c r="K854" s="61" t="str">
        <f aca="false">IFERROR(IF([2]对账明细接口!$K$854=0,"",[2]对账明细接口!$K$854),"")</f>
        <v/>
      </c>
      <c r="L854" s="59" t="str">
        <f aca="false">IFERROR(IF([2]对账明细接口!$L$854=0,"",[2]对账明细接口!$L$854),"")</f>
        <v/>
      </c>
      <c r="M854" s="59" t="str">
        <f aca="false">IFERROR(IF([2]对账明细接口!$M$854=0,"",[2]对账明细接口!$M$854),"")</f>
        <v/>
      </c>
      <c r="N854" s="111" t="n">
        <f aca="false">IF($C854="",0,1)</f>
        <v>0</v>
      </c>
      <c r="O854" s="111" t="n">
        <f aca="false">N(O853)+$N854</f>
        <v>311</v>
      </c>
      <c r="S854" s="10" t="str">
        <f aca="false">IFERROR(IF([2]对账明细接口!$N854=0,"",[2]对账明细接口!$N854),"")</f>
        <v/>
      </c>
      <c r="T854" s="112" t="str">
        <f aca="false">IFERROR(IF([2]对账明细接口!$O854=0,"",[2]对账明细接口!$O854),"")</f>
        <v/>
      </c>
      <c r="U854" s="112" t="str">
        <f aca="false">IFERROR(IF([2]对账明细接口!$P854=0,"",[2]对账明细接口!$P854),"")</f>
        <v/>
      </c>
      <c r="V854" s="112" t="str">
        <f aca="false">IFERROR(IF([2]对账明细接口!$Q854=0,"",[2]对账明细接口!$Q854),"")</f>
        <v/>
      </c>
      <c r="W854" s="10" t="str">
        <f aca="false">IFERROR(IF([2]对账明细接口!$R854=0,"",[2]对账明细接口!$R854),"")</f>
        <v/>
      </c>
      <c r="X854" s="10" t="str">
        <f aca="false">IFERROR(IF([2]对账明细接口!$S854=0,"",[2]对账明细接口!$S854),"")</f>
        <v/>
      </c>
      <c r="Y854" s="10" t="str">
        <f aca="false">IFERROR(IF([2]对账明细接口!$T854=0,"",[2]对账明细接口!$T854),"")</f>
        <v/>
      </c>
      <c r="Z854" s="113" t="str">
        <f aca="false">IFERROR(IF([2]对账明细接口!$U854=0,"",[2]对账明细接口!$U854),"")</f>
        <v/>
      </c>
      <c r="AA854" s="113" t="str">
        <f aca="false">IFERROR(IF([2]对账明细接口!$V854=0,"",[2]对账明细接口!$V854),"")</f>
        <v/>
      </c>
      <c r="AB854" s="10" t="str">
        <f aca="false">IFERROR(IF([2]对账明细接口!$W854=0,"",[2]对账明细接口!$W854),"")</f>
        <v/>
      </c>
      <c r="AC854" s="90" t="str">
        <f aca="false">IFERROR(IF([2]对账明细接口!$X855=0,"",[2]对账明细接口!$X855),"")</f>
        <v/>
      </c>
      <c r="AD854" s="90" t="str">
        <f aca="false">IFERROR(IF([2]对账明细接口!$Y855=0,"",[2]对账明细接口!$Y855),"")</f>
        <v/>
      </c>
      <c r="AE854" s="90" t="str">
        <f aca="false">IFERROR(IF([2]对账明细接口!$AA855=0,"",[2]对账明细接口!$AA855),"")</f>
        <v/>
      </c>
      <c r="AF854" s="90" t="str">
        <f aca="false">IFERROR(IF([2]对账明细接口!$AB855=0,"",[2]对账明细接口!$AB855),"")</f>
        <v/>
      </c>
      <c r="AG854" s="90" t="str">
        <f aca="false">IFERROR(IF([2]对账明细接口!$AC855=0,"",[2]对账明细接口!$AC855),"")</f>
        <v/>
      </c>
      <c r="AH854" s="90" t="str">
        <f aca="false">IFERROR(IF([2]对账明细接口!$AD855=0,"",[2]对账明细接口!$AD855),"")</f>
        <v/>
      </c>
    </row>
    <row r="855" customFormat="false" ht="13.5" hidden="false" customHeight="false" outlineLevel="0" collapsed="false">
      <c r="A855" s="109" t="n">
        <v>855</v>
      </c>
      <c r="B855" s="110" t="str">
        <f aca="false">IFERROR(IF([2]对账明细接口!$B$855=0,"",[2]对账明细接口!$B$855),"")</f>
        <v/>
      </c>
      <c r="C855" s="59" t="str">
        <f aca="false">IFERROR(IF([2]对账明细接口!$C$855=0,"",[2]对账明细接口!$C$855),"")</f>
        <v/>
      </c>
      <c r="D855" s="59" t="str">
        <f aca="false">IFERROR(IF([2]对账明细接口!$D$855=0,"",[2]对账明细接口!$D$855),"")</f>
        <v/>
      </c>
      <c r="E855" s="59" t="str">
        <f aca="false">IFERROR(IF([2]对账明细接口!$E$855=0,"",[2]对账明细接口!$E$855),"")</f>
        <v/>
      </c>
      <c r="F855" s="59" t="str">
        <f aca="false">IFERROR(IF([2]对账明细接口!$F$855=0,"",[2]对账明细接口!$F$855),"")</f>
        <v/>
      </c>
      <c r="G855" s="59" t="str">
        <f aca="false">IFERROR(IF([2]对账明细接口!$G$855=0,"",[2]对账明细接口!$G$855),"")</f>
        <v/>
      </c>
      <c r="H855" s="60" t="str">
        <f aca="false">IFERROR(IF([2]对账明细接口!$H$855=0,"",[2]对账明细接口!$H$855),"")</f>
        <v/>
      </c>
      <c r="I855" s="59" t="str">
        <f aca="false">IFERROR(IF([2]对账明细接口!$I$855=0,"",[2]对账明细接口!$I$855),"")</f>
        <v/>
      </c>
      <c r="J855" s="61" t="str">
        <f aca="false">IFERROR(IF([2]对账明细接口!$J$855=0,"",[2]对账明细接口!$J$855),"")</f>
        <v/>
      </c>
      <c r="K855" s="61" t="str">
        <f aca="false">IFERROR(IF([2]对账明细接口!$K$855=0,"",[2]对账明细接口!$K$855),"")</f>
        <v/>
      </c>
      <c r="L855" s="59" t="str">
        <f aca="false">IFERROR(IF([2]对账明细接口!$L$855=0,"",[2]对账明细接口!$L$855),"")</f>
        <v/>
      </c>
      <c r="M855" s="59" t="str">
        <f aca="false">IFERROR(IF([2]对账明细接口!$M$855=0,"",[2]对账明细接口!$M$855),"")</f>
        <v/>
      </c>
      <c r="N855" s="111" t="n">
        <f aca="false">IF($C855="",0,1)</f>
        <v>0</v>
      </c>
      <c r="O855" s="111" t="n">
        <f aca="false">N(O854)+$N855</f>
        <v>311</v>
      </c>
      <c r="S855" s="10" t="str">
        <f aca="false">IFERROR(IF([2]对账明细接口!$N855=0,"",[2]对账明细接口!$N855),"")</f>
        <v/>
      </c>
      <c r="T855" s="112" t="str">
        <f aca="false">IFERROR(IF([2]对账明细接口!$O855=0,"",[2]对账明细接口!$O855),"")</f>
        <v/>
      </c>
      <c r="U855" s="112" t="str">
        <f aca="false">IFERROR(IF([2]对账明细接口!$P855=0,"",[2]对账明细接口!$P855),"")</f>
        <v/>
      </c>
      <c r="V855" s="112" t="str">
        <f aca="false">IFERROR(IF([2]对账明细接口!$Q855=0,"",[2]对账明细接口!$Q855),"")</f>
        <v/>
      </c>
      <c r="W855" s="10" t="str">
        <f aca="false">IFERROR(IF([2]对账明细接口!$R855=0,"",[2]对账明细接口!$R855),"")</f>
        <v/>
      </c>
      <c r="X855" s="10" t="str">
        <f aca="false">IFERROR(IF([2]对账明细接口!$S855=0,"",[2]对账明细接口!$S855),"")</f>
        <v/>
      </c>
      <c r="Y855" s="10" t="str">
        <f aca="false">IFERROR(IF([2]对账明细接口!$T855=0,"",[2]对账明细接口!$T855),"")</f>
        <v/>
      </c>
      <c r="Z855" s="113" t="str">
        <f aca="false">IFERROR(IF([2]对账明细接口!$U855=0,"",[2]对账明细接口!$U855),"")</f>
        <v/>
      </c>
      <c r="AA855" s="113" t="str">
        <f aca="false">IFERROR(IF([2]对账明细接口!$V855=0,"",[2]对账明细接口!$V855),"")</f>
        <v/>
      </c>
      <c r="AB855" s="10" t="str">
        <f aca="false">IFERROR(IF([2]对账明细接口!$W855=0,"",[2]对账明细接口!$W855),"")</f>
        <v/>
      </c>
      <c r="AC855" s="90" t="str">
        <f aca="false">IFERROR(IF([2]对账明细接口!$X856=0,"",[2]对账明细接口!$X856),"")</f>
        <v/>
      </c>
      <c r="AD855" s="90" t="str">
        <f aca="false">IFERROR(IF([2]对账明细接口!$Y856=0,"",[2]对账明细接口!$Y856),"")</f>
        <v/>
      </c>
      <c r="AE855" s="90" t="str">
        <f aca="false">IFERROR(IF([2]对账明细接口!$AA856=0,"",[2]对账明细接口!$AA856),"")</f>
        <v/>
      </c>
      <c r="AF855" s="90" t="str">
        <f aca="false">IFERROR(IF([2]对账明细接口!$AB856=0,"",[2]对账明细接口!$AB856),"")</f>
        <v/>
      </c>
      <c r="AG855" s="90" t="str">
        <f aca="false">IFERROR(IF([2]对账明细接口!$AC856=0,"",[2]对账明细接口!$AC856),"")</f>
        <v/>
      </c>
      <c r="AH855" s="90" t="str">
        <f aca="false">IFERROR(IF([2]对账明细接口!$AD856=0,"",[2]对账明细接口!$AD856),"")</f>
        <v/>
      </c>
    </row>
    <row r="856" customFormat="false" ht="13.5" hidden="false" customHeight="false" outlineLevel="0" collapsed="false">
      <c r="A856" s="109" t="n">
        <v>856</v>
      </c>
      <c r="B856" s="110" t="str">
        <f aca="false">IFERROR(IF([2]对账明细接口!$B$856=0,"",[2]对账明细接口!$B$856),"")</f>
        <v/>
      </c>
      <c r="C856" s="59" t="str">
        <f aca="false">IFERROR(IF([2]对账明细接口!$C$856=0,"",[2]对账明细接口!$C$856),"")</f>
        <v/>
      </c>
      <c r="D856" s="59" t="str">
        <f aca="false">IFERROR(IF([2]对账明细接口!$D$856=0,"",[2]对账明细接口!$D$856),"")</f>
        <v/>
      </c>
      <c r="E856" s="59" t="str">
        <f aca="false">IFERROR(IF([2]对账明细接口!$E$856=0,"",[2]对账明细接口!$E$856),"")</f>
        <v/>
      </c>
      <c r="F856" s="59" t="str">
        <f aca="false">IFERROR(IF([2]对账明细接口!$F$856=0,"",[2]对账明细接口!$F$856),"")</f>
        <v/>
      </c>
      <c r="G856" s="59" t="str">
        <f aca="false">IFERROR(IF([2]对账明细接口!$G$856=0,"",[2]对账明细接口!$G$856),"")</f>
        <v/>
      </c>
      <c r="H856" s="60" t="str">
        <f aca="false">IFERROR(IF([2]对账明细接口!$H$856=0,"",[2]对账明细接口!$H$856),"")</f>
        <v/>
      </c>
      <c r="I856" s="59" t="str">
        <f aca="false">IFERROR(IF([2]对账明细接口!$I$856=0,"",[2]对账明细接口!$I$856),"")</f>
        <v/>
      </c>
      <c r="J856" s="61" t="str">
        <f aca="false">IFERROR(IF([2]对账明细接口!$J$856=0,"",[2]对账明细接口!$J$856),"")</f>
        <v/>
      </c>
      <c r="K856" s="61" t="str">
        <f aca="false">IFERROR(IF([2]对账明细接口!$K$856=0,"",[2]对账明细接口!$K$856),"")</f>
        <v/>
      </c>
      <c r="L856" s="59" t="str">
        <f aca="false">IFERROR(IF([2]对账明细接口!$L$856=0,"",[2]对账明细接口!$L$856),"")</f>
        <v/>
      </c>
      <c r="M856" s="59" t="str">
        <f aca="false">IFERROR(IF([2]对账明细接口!$M$856=0,"",[2]对账明细接口!$M$856),"")</f>
        <v/>
      </c>
      <c r="N856" s="111" t="n">
        <f aca="false">IF($C856="",0,1)</f>
        <v>0</v>
      </c>
      <c r="O856" s="111" t="n">
        <f aca="false">N(O855)+$N856</f>
        <v>311</v>
      </c>
      <c r="S856" s="10" t="str">
        <f aca="false">IFERROR(IF([2]对账明细接口!$N856=0,"",[2]对账明细接口!$N856),"")</f>
        <v/>
      </c>
      <c r="T856" s="112" t="str">
        <f aca="false">IFERROR(IF([2]对账明细接口!$O856=0,"",[2]对账明细接口!$O856),"")</f>
        <v/>
      </c>
      <c r="U856" s="112" t="str">
        <f aca="false">IFERROR(IF([2]对账明细接口!$P856=0,"",[2]对账明细接口!$P856),"")</f>
        <v/>
      </c>
      <c r="V856" s="112" t="str">
        <f aca="false">IFERROR(IF([2]对账明细接口!$Q856=0,"",[2]对账明细接口!$Q856),"")</f>
        <v/>
      </c>
      <c r="W856" s="10" t="str">
        <f aca="false">IFERROR(IF([2]对账明细接口!$R856=0,"",[2]对账明细接口!$R856),"")</f>
        <v/>
      </c>
      <c r="X856" s="10" t="str">
        <f aca="false">IFERROR(IF([2]对账明细接口!$S856=0,"",[2]对账明细接口!$S856),"")</f>
        <v/>
      </c>
      <c r="Y856" s="10" t="str">
        <f aca="false">IFERROR(IF([2]对账明细接口!$T856=0,"",[2]对账明细接口!$T856),"")</f>
        <v/>
      </c>
      <c r="Z856" s="113" t="str">
        <f aca="false">IFERROR(IF([2]对账明细接口!$U856=0,"",[2]对账明细接口!$U856),"")</f>
        <v/>
      </c>
      <c r="AA856" s="113" t="str">
        <f aca="false">IFERROR(IF([2]对账明细接口!$V856=0,"",[2]对账明细接口!$V856),"")</f>
        <v/>
      </c>
      <c r="AB856" s="10" t="str">
        <f aca="false">IFERROR(IF([2]对账明细接口!$W856=0,"",[2]对账明细接口!$W856),"")</f>
        <v/>
      </c>
      <c r="AC856" s="90" t="str">
        <f aca="false">IFERROR(IF([2]对账明细接口!$X857=0,"",[2]对账明细接口!$X857),"")</f>
        <v/>
      </c>
      <c r="AD856" s="90" t="str">
        <f aca="false">IFERROR(IF([2]对账明细接口!$Y857=0,"",[2]对账明细接口!$Y857),"")</f>
        <v/>
      </c>
      <c r="AE856" s="90" t="str">
        <f aca="false">IFERROR(IF([2]对账明细接口!$AA857=0,"",[2]对账明细接口!$AA857),"")</f>
        <v/>
      </c>
      <c r="AF856" s="90" t="str">
        <f aca="false">IFERROR(IF([2]对账明细接口!$AB857=0,"",[2]对账明细接口!$AB857),"")</f>
        <v/>
      </c>
      <c r="AG856" s="90" t="str">
        <f aca="false">IFERROR(IF([2]对账明细接口!$AC857=0,"",[2]对账明细接口!$AC857),"")</f>
        <v/>
      </c>
      <c r="AH856" s="90" t="str">
        <f aca="false">IFERROR(IF([2]对账明细接口!$AD857=0,"",[2]对账明细接口!$AD857),"")</f>
        <v/>
      </c>
    </row>
    <row r="857" customFormat="false" ht="13.5" hidden="false" customHeight="false" outlineLevel="0" collapsed="false">
      <c r="A857" s="109" t="n">
        <v>857</v>
      </c>
      <c r="B857" s="110" t="str">
        <f aca="false">IFERROR(IF([2]对账明细接口!$B$857=0,"",[2]对账明细接口!$B$857),"")</f>
        <v/>
      </c>
      <c r="C857" s="59" t="str">
        <f aca="false">IFERROR(IF([2]对账明细接口!$C$857=0,"",[2]对账明细接口!$C$857),"")</f>
        <v/>
      </c>
      <c r="D857" s="59" t="str">
        <f aca="false">IFERROR(IF([2]对账明细接口!$D$857=0,"",[2]对账明细接口!$D$857),"")</f>
        <v/>
      </c>
      <c r="E857" s="59" t="str">
        <f aca="false">IFERROR(IF([2]对账明细接口!$E$857=0,"",[2]对账明细接口!$E$857),"")</f>
        <v/>
      </c>
      <c r="F857" s="59" t="str">
        <f aca="false">IFERROR(IF([2]对账明细接口!$F$857=0,"",[2]对账明细接口!$F$857),"")</f>
        <v/>
      </c>
      <c r="G857" s="59" t="str">
        <f aca="false">IFERROR(IF([2]对账明细接口!$G$857=0,"",[2]对账明细接口!$G$857),"")</f>
        <v/>
      </c>
      <c r="H857" s="60" t="str">
        <f aca="false">IFERROR(IF([2]对账明细接口!$H$857=0,"",[2]对账明细接口!$H$857),"")</f>
        <v/>
      </c>
      <c r="I857" s="59" t="str">
        <f aca="false">IFERROR(IF([2]对账明细接口!$I$857=0,"",[2]对账明细接口!$I$857),"")</f>
        <v/>
      </c>
      <c r="J857" s="61" t="str">
        <f aca="false">IFERROR(IF([2]对账明细接口!$J$857=0,"",[2]对账明细接口!$J$857),"")</f>
        <v/>
      </c>
      <c r="K857" s="61" t="str">
        <f aca="false">IFERROR(IF([2]对账明细接口!$K$857=0,"",[2]对账明细接口!$K$857),"")</f>
        <v/>
      </c>
      <c r="L857" s="59" t="str">
        <f aca="false">IFERROR(IF([2]对账明细接口!$L$857=0,"",[2]对账明细接口!$L$857),"")</f>
        <v/>
      </c>
      <c r="M857" s="59" t="str">
        <f aca="false">IFERROR(IF([2]对账明细接口!$M$857=0,"",[2]对账明细接口!$M$857),"")</f>
        <v/>
      </c>
      <c r="N857" s="111" t="n">
        <f aca="false">IF($C857="",0,1)</f>
        <v>0</v>
      </c>
      <c r="O857" s="111" t="n">
        <f aca="false">N(O856)+$N857</f>
        <v>311</v>
      </c>
      <c r="S857" s="10" t="str">
        <f aca="false">IFERROR(IF([2]对账明细接口!$N857=0,"",[2]对账明细接口!$N857),"")</f>
        <v/>
      </c>
      <c r="T857" s="112" t="str">
        <f aca="false">IFERROR(IF([2]对账明细接口!$O857=0,"",[2]对账明细接口!$O857),"")</f>
        <v/>
      </c>
      <c r="U857" s="112" t="str">
        <f aca="false">IFERROR(IF([2]对账明细接口!$P857=0,"",[2]对账明细接口!$P857),"")</f>
        <v/>
      </c>
      <c r="V857" s="112" t="str">
        <f aca="false">IFERROR(IF([2]对账明细接口!$Q857=0,"",[2]对账明细接口!$Q857),"")</f>
        <v/>
      </c>
      <c r="W857" s="10" t="str">
        <f aca="false">IFERROR(IF([2]对账明细接口!$R857=0,"",[2]对账明细接口!$R857),"")</f>
        <v/>
      </c>
      <c r="X857" s="10" t="str">
        <f aca="false">IFERROR(IF([2]对账明细接口!$S857=0,"",[2]对账明细接口!$S857),"")</f>
        <v/>
      </c>
      <c r="Y857" s="10" t="str">
        <f aca="false">IFERROR(IF([2]对账明细接口!$T857=0,"",[2]对账明细接口!$T857),"")</f>
        <v/>
      </c>
      <c r="Z857" s="113" t="str">
        <f aca="false">IFERROR(IF([2]对账明细接口!$U857=0,"",[2]对账明细接口!$U857),"")</f>
        <v/>
      </c>
      <c r="AA857" s="113" t="str">
        <f aca="false">IFERROR(IF([2]对账明细接口!$V857=0,"",[2]对账明细接口!$V857),"")</f>
        <v/>
      </c>
      <c r="AB857" s="10" t="str">
        <f aca="false">IFERROR(IF([2]对账明细接口!$W857=0,"",[2]对账明细接口!$W857),"")</f>
        <v/>
      </c>
      <c r="AC857" s="90" t="str">
        <f aca="false">IFERROR(IF([2]对账明细接口!$X858=0,"",[2]对账明细接口!$X858),"")</f>
        <v/>
      </c>
      <c r="AD857" s="90" t="str">
        <f aca="false">IFERROR(IF([2]对账明细接口!$Y858=0,"",[2]对账明细接口!$Y858),"")</f>
        <v/>
      </c>
      <c r="AE857" s="90" t="str">
        <f aca="false">IFERROR(IF([2]对账明细接口!$AA858=0,"",[2]对账明细接口!$AA858),"")</f>
        <v/>
      </c>
      <c r="AF857" s="90" t="str">
        <f aca="false">IFERROR(IF([2]对账明细接口!$AB858=0,"",[2]对账明细接口!$AB858),"")</f>
        <v/>
      </c>
      <c r="AG857" s="90" t="str">
        <f aca="false">IFERROR(IF([2]对账明细接口!$AC858=0,"",[2]对账明细接口!$AC858),"")</f>
        <v/>
      </c>
      <c r="AH857" s="90" t="str">
        <f aca="false">IFERROR(IF([2]对账明细接口!$AD858=0,"",[2]对账明细接口!$AD858),"")</f>
        <v/>
      </c>
    </row>
    <row r="858" customFormat="false" ht="13.5" hidden="false" customHeight="false" outlineLevel="0" collapsed="false">
      <c r="A858" s="109" t="n">
        <v>858</v>
      </c>
      <c r="B858" s="110" t="str">
        <f aca="false">IFERROR(IF([2]对账明细接口!$B$858=0,"",[2]对账明细接口!$B$858),"")</f>
        <v/>
      </c>
      <c r="C858" s="59" t="str">
        <f aca="false">IFERROR(IF([2]对账明细接口!$C$858=0,"",[2]对账明细接口!$C$858),"")</f>
        <v/>
      </c>
      <c r="D858" s="59" t="str">
        <f aca="false">IFERROR(IF([2]对账明细接口!$D$858=0,"",[2]对账明细接口!$D$858),"")</f>
        <v/>
      </c>
      <c r="E858" s="59" t="str">
        <f aca="false">IFERROR(IF([2]对账明细接口!$E$858=0,"",[2]对账明细接口!$E$858),"")</f>
        <v/>
      </c>
      <c r="F858" s="59" t="str">
        <f aca="false">IFERROR(IF([2]对账明细接口!$F$858=0,"",[2]对账明细接口!$F$858),"")</f>
        <v/>
      </c>
      <c r="G858" s="59" t="str">
        <f aca="false">IFERROR(IF([2]对账明细接口!$G$858=0,"",[2]对账明细接口!$G$858),"")</f>
        <v/>
      </c>
      <c r="H858" s="60" t="str">
        <f aca="false">IFERROR(IF([2]对账明细接口!$H$858=0,"",[2]对账明细接口!$H$858),"")</f>
        <v/>
      </c>
      <c r="I858" s="59" t="str">
        <f aca="false">IFERROR(IF([2]对账明细接口!$I$858=0,"",[2]对账明细接口!$I$858),"")</f>
        <v/>
      </c>
      <c r="J858" s="61" t="str">
        <f aca="false">IFERROR(IF([2]对账明细接口!$J$858=0,"",[2]对账明细接口!$J$858),"")</f>
        <v/>
      </c>
      <c r="K858" s="61" t="str">
        <f aca="false">IFERROR(IF([2]对账明细接口!$K$858=0,"",[2]对账明细接口!$K$858),"")</f>
        <v/>
      </c>
      <c r="L858" s="59" t="str">
        <f aca="false">IFERROR(IF([2]对账明细接口!$L$858=0,"",[2]对账明细接口!$L$858),"")</f>
        <v/>
      </c>
      <c r="M858" s="59" t="str">
        <f aca="false">IFERROR(IF([2]对账明细接口!$M$858=0,"",[2]对账明细接口!$M$858),"")</f>
        <v/>
      </c>
      <c r="N858" s="111" t="n">
        <f aca="false">IF($C858="",0,1)</f>
        <v>0</v>
      </c>
      <c r="O858" s="111" t="n">
        <f aca="false">N(O857)+$N858</f>
        <v>311</v>
      </c>
      <c r="S858" s="10" t="str">
        <f aca="false">IFERROR(IF([2]对账明细接口!$N858=0,"",[2]对账明细接口!$N858),"")</f>
        <v/>
      </c>
      <c r="T858" s="112" t="str">
        <f aca="false">IFERROR(IF([2]对账明细接口!$O858=0,"",[2]对账明细接口!$O858),"")</f>
        <v/>
      </c>
      <c r="U858" s="112" t="str">
        <f aca="false">IFERROR(IF([2]对账明细接口!$P858=0,"",[2]对账明细接口!$P858),"")</f>
        <v/>
      </c>
      <c r="V858" s="112" t="str">
        <f aca="false">IFERROR(IF([2]对账明细接口!$Q858=0,"",[2]对账明细接口!$Q858),"")</f>
        <v/>
      </c>
      <c r="W858" s="10" t="str">
        <f aca="false">IFERROR(IF([2]对账明细接口!$R858=0,"",[2]对账明细接口!$R858),"")</f>
        <v/>
      </c>
      <c r="X858" s="10" t="str">
        <f aca="false">IFERROR(IF([2]对账明细接口!$S858=0,"",[2]对账明细接口!$S858),"")</f>
        <v/>
      </c>
      <c r="Y858" s="10" t="str">
        <f aca="false">IFERROR(IF([2]对账明细接口!$T858=0,"",[2]对账明细接口!$T858),"")</f>
        <v/>
      </c>
      <c r="Z858" s="113" t="str">
        <f aca="false">IFERROR(IF([2]对账明细接口!$U858=0,"",[2]对账明细接口!$U858),"")</f>
        <v/>
      </c>
      <c r="AA858" s="113" t="str">
        <f aca="false">IFERROR(IF([2]对账明细接口!$V858=0,"",[2]对账明细接口!$V858),"")</f>
        <v/>
      </c>
      <c r="AB858" s="10" t="str">
        <f aca="false">IFERROR(IF([2]对账明细接口!$W858=0,"",[2]对账明细接口!$W858),"")</f>
        <v/>
      </c>
      <c r="AC858" s="90" t="str">
        <f aca="false">IFERROR(IF([2]对账明细接口!$X859=0,"",[2]对账明细接口!$X859),"")</f>
        <v/>
      </c>
      <c r="AD858" s="90" t="str">
        <f aca="false">IFERROR(IF([2]对账明细接口!$Y859=0,"",[2]对账明细接口!$Y859),"")</f>
        <v/>
      </c>
      <c r="AE858" s="90" t="str">
        <f aca="false">IFERROR(IF([2]对账明细接口!$AA859=0,"",[2]对账明细接口!$AA859),"")</f>
        <v/>
      </c>
      <c r="AF858" s="90" t="str">
        <f aca="false">IFERROR(IF([2]对账明细接口!$AB859=0,"",[2]对账明细接口!$AB859),"")</f>
        <v/>
      </c>
      <c r="AG858" s="90" t="str">
        <f aca="false">IFERROR(IF([2]对账明细接口!$AC859=0,"",[2]对账明细接口!$AC859),"")</f>
        <v/>
      </c>
      <c r="AH858" s="90" t="str">
        <f aca="false">IFERROR(IF([2]对账明细接口!$AD859=0,"",[2]对账明细接口!$AD859),"")</f>
        <v/>
      </c>
    </row>
    <row r="859" customFormat="false" ht="13.5" hidden="false" customHeight="false" outlineLevel="0" collapsed="false">
      <c r="A859" s="109" t="n">
        <v>859</v>
      </c>
      <c r="B859" s="110" t="str">
        <f aca="false">IFERROR(IF([2]对账明细接口!$B$859=0,"",[2]对账明细接口!$B$859),"")</f>
        <v/>
      </c>
      <c r="C859" s="59" t="str">
        <f aca="false">IFERROR(IF([2]对账明细接口!$C$859=0,"",[2]对账明细接口!$C$859),"")</f>
        <v/>
      </c>
      <c r="D859" s="59" t="str">
        <f aca="false">IFERROR(IF([2]对账明细接口!$D$859=0,"",[2]对账明细接口!$D$859),"")</f>
        <v/>
      </c>
      <c r="E859" s="59" t="str">
        <f aca="false">IFERROR(IF([2]对账明细接口!$E$859=0,"",[2]对账明细接口!$E$859),"")</f>
        <v/>
      </c>
      <c r="F859" s="59" t="str">
        <f aca="false">IFERROR(IF([2]对账明细接口!$F$859=0,"",[2]对账明细接口!$F$859),"")</f>
        <v/>
      </c>
      <c r="G859" s="59" t="str">
        <f aca="false">IFERROR(IF([2]对账明细接口!$G$859=0,"",[2]对账明细接口!$G$859),"")</f>
        <v/>
      </c>
      <c r="H859" s="60" t="str">
        <f aca="false">IFERROR(IF([2]对账明细接口!$H$859=0,"",[2]对账明细接口!$H$859),"")</f>
        <v/>
      </c>
      <c r="I859" s="59" t="str">
        <f aca="false">IFERROR(IF([2]对账明细接口!$I$859=0,"",[2]对账明细接口!$I$859),"")</f>
        <v/>
      </c>
      <c r="J859" s="61" t="str">
        <f aca="false">IFERROR(IF([2]对账明细接口!$J$859=0,"",[2]对账明细接口!$J$859),"")</f>
        <v/>
      </c>
      <c r="K859" s="61" t="str">
        <f aca="false">IFERROR(IF([2]对账明细接口!$K$859=0,"",[2]对账明细接口!$K$859),"")</f>
        <v/>
      </c>
      <c r="L859" s="59" t="str">
        <f aca="false">IFERROR(IF([2]对账明细接口!$L$859=0,"",[2]对账明细接口!$L$859),"")</f>
        <v/>
      </c>
      <c r="M859" s="59" t="str">
        <f aca="false">IFERROR(IF([2]对账明细接口!$M$859=0,"",[2]对账明细接口!$M$859),"")</f>
        <v/>
      </c>
      <c r="N859" s="111" t="n">
        <f aca="false">IF($C859="",0,1)</f>
        <v>0</v>
      </c>
      <c r="O859" s="111" t="n">
        <f aca="false">N(O858)+$N859</f>
        <v>311</v>
      </c>
      <c r="S859" s="10" t="str">
        <f aca="false">IFERROR(IF([2]对账明细接口!$N859=0,"",[2]对账明细接口!$N859),"")</f>
        <v/>
      </c>
      <c r="T859" s="112" t="str">
        <f aca="false">IFERROR(IF([2]对账明细接口!$O859=0,"",[2]对账明细接口!$O859),"")</f>
        <v/>
      </c>
      <c r="U859" s="112" t="str">
        <f aca="false">IFERROR(IF([2]对账明细接口!$P859=0,"",[2]对账明细接口!$P859),"")</f>
        <v/>
      </c>
      <c r="V859" s="112" t="str">
        <f aca="false">IFERROR(IF([2]对账明细接口!$Q859=0,"",[2]对账明细接口!$Q859),"")</f>
        <v/>
      </c>
      <c r="W859" s="10" t="str">
        <f aca="false">IFERROR(IF([2]对账明细接口!$R859=0,"",[2]对账明细接口!$R859),"")</f>
        <v/>
      </c>
      <c r="X859" s="10" t="str">
        <f aca="false">IFERROR(IF([2]对账明细接口!$S859=0,"",[2]对账明细接口!$S859),"")</f>
        <v/>
      </c>
      <c r="Y859" s="10" t="str">
        <f aca="false">IFERROR(IF([2]对账明细接口!$T859=0,"",[2]对账明细接口!$T859),"")</f>
        <v/>
      </c>
      <c r="Z859" s="113" t="str">
        <f aca="false">IFERROR(IF([2]对账明细接口!$U859=0,"",[2]对账明细接口!$U859),"")</f>
        <v/>
      </c>
      <c r="AA859" s="113" t="str">
        <f aca="false">IFERROR(IF([2]对账明细接口!$V859=0,"",[2]对账明细接口!$V859),"")</f>
        <v/>
      </c>
      <c r="AB859" s="10" t="str">
        <f aca="false">IFERROR(IF([2]对账明细接口!$W859=0,"",[2]对账明细接口!$W859),"")</f>
        <v/>
      </c>
      <c r="AC859" s="90" t="str">
        <f aca="false">IFERROR(IF([2]对账明细接口!$X860=0,"",[2]对账明细接口!$X860),"")</f>
        <v/>
      </c>
      <c r="AD859" s="90" t="str">
        <f aca="false">IFERROR(IF([2]对账明细接口!$Y860=0,"",[2]对账明细接口!$Y860),"")</f>
        <v/>
      </c>
      <c r="AE859" s="90" t="str">
        <f aca="false">IFERROR(IF([2]对账明细接口!$AA860=0,"",[2]对账明细接口!$AA860),"")</f>
        <v/>
      </c>
      <c r="AF859" s="90" t="str">
        <f aca="false">IFERROR(IF([2]对账明细接口!$AB860=0,"",[2]对账明细接口!$AB860),"")</f>
        <v/>
      </c>
      <c r="AG859" s="90" t="str">
        <f aca="false">IFERROR(IF([2]对账明细接口!$AC860=0,"",[2]对账明细接口!$AC860),"")</f>
        <v/>
      </c>
      <c r="AH859" s="90" t="str">
        <f aca="false">IFERROR(IF([2]对账明细接口!$AD860=0,"",[2]对账明细接口!$AD860),"")</f>
        <v/>
      </c>
    </row>
    <row r="860" customFormat="false" ht="13.5" hidden="false" customHeight="false" outlineLevel="0" collapsed="false">
      <c r="A860" s="109" t="n">
        <v>860</v>
      </c>
      <c r="B860" s="110" t="str">
        <f aca="false">IFERROR(IF([2]对账明细接口!$B$860=0,"",[2]对账明细接口!$B$860),"")</f>
        <v/>
      </c>
      <c r="C860" s="59" t="str">
        <f aca="false">IFERROR(IF([2]对账明细接口!$C$860=0,"",[2]对账明细接口!$C$860),"")</f>
        <v/>
      </c>
      <c r="D860" s="59" t="str">
        <f aca="false">IFERROR(IF([2]对账明细接口!$D$860=0,"",[2]对账明细接口!$D$860),"")</f>
        <v/>
      </c>
      <c r="E860" s="59" t="str">
        <f aca="false">IFERROR(IF([2]对账明细接口!$E$860=0,"",[2]对账明细接口!$E$860),"")</f>
        <v/>
      </c>
      <c r="F860" s="59" t="str">
        <f aca="false">IFERROR(IF([2]对账明细接口!$F$860=0,"",[2]对账明细接口!$F$860),"")</f>
        <v/>
      </c>
      <c r="G860" s="59" t="str">
        <f aca="false">IFERROR(IF([2]对账明细接口!$G$860=0,"",[2]对账明细接口!$G$860),"")</f>
        <v/>
      </c>
      <c r="H860" s="60" t="str">
        <f aca="false">IFERROR(IF([2]对账明细接口!$H$860=0,"",[2]对账明细接口!$H$860),"")</f>
        <v/>
      </c>
      <c r="I860" s="59" t="str">
        <f aca="false">IFERROR(IF([2]对账明细接口!$I$860=0,"",[2]对账明细接口!$I$860),"")</f>
        <v/>
      </c>
      <c r="J860" s="61" t="str">
        <f aca="false">IFERROR(IF([2]对账明细接口!$J$860=0,"",[2]对账明细接口!$J$860),"")</f>
        <v/>
      </c>
      <c r="K860" s="61" t="str">
        <f aca="false">IFERROR(IF([2]对账明细接口!$K$860=0,"",[2]对账明细接口!$K$860),"")</f>
        <v/>
      </c>
      <c r="L860" s="59" t="str">
        <f aca="false">IFERROR(IF([2]对账明细接口!$L$860=0,"",[2]对账明细接口!$L$860),"")</f>
        <v/>
      </c>
      <c r="M860" s="59" t="str">
        <f aca="false">IFERROR(IF([2]对账明细接口!$M$860=0,"",[2]对账明细接口!$M$860),"")</f>
        <v/>
      </c>
      <c r="N860" s="111" t="n">
        <f aca="false">IF($C860="",0,1)</f>
        <v>0</v>
      </c>
      <c r="O860" s="111" t="n">
        <f aca="false">N(O859)+$N860</f>
        <v>311</v>
      </c>
      <c r="S860" s="10" t="str">
        <f aca="false">IFERROR(IF([2]对账明细接口!$N860=0,"",[2]对账明细接口!$N860),"")</f>
        <v/>
      </c>
      <c r="T860" s="112" t="str">
        <f aca="false">IFERROR(IF([2]对账明细接口!$O860=0,"",[2]对账明细接口!$O860),"")</f>
        <v/>
      </c>
      <c r="U860" s="112" t="str">
        <f aca="false">IFERROR(IF([2]对账明细接口!$P860=0,"",[2]对账明细接口!$P860),"")</f>
        <v/>
      </c>
      <c r="V860" s="112" t="str">
        <f aca="false">IFERROR(IF([2]对账明细接口!$Q860=0,"",[2]对账明细接口!$Q860),"")</f>
        <v/>
      </c>
      <c r="W860" s="10" t="str">
        <f aca="false">IFERROR(IF([2]对账明细接口!$R860=0,"",[2]对账明细接口!$R860),"")</f>
        <v/>
      </c>
      <c r="X860" s="10" t="str">
        <f aca="false">IFERROR(IF([2]对账明细接口!$S860=0,"",[2]对账明细接口!$S860),"")</f>
        <v/>
      </c>
      <c r="Y860" s="10" t="str">
        <f aca="false">IFERROR(IF([2]对账明细接口!$T860=0,"",[2]对账明细接口!$T860),"")</f>
        <v/>
      </c>
      <c r="Z860" s="113" t="str">
        <f aca="false">IFERROR(IF([2]对账明细接口!$U860=0,"",[2]对账明细接口!$U860),"")</f>
        <v/>
      </c>
      <c r="AA860" s="113" t="str">
        <f aca="false">IFERROR(IF([2]对账明细接口!$V860=0,"",[2]对账明细接口!$V860),"")</f>
        <v/>
      </c>
      <c r="AB860" s="10" t="str">
        <f aca="false">IFERROR(IF([2]对账明细接口!$W860=0,"",[2]对账明细接口!$W860),"")</f>
        <v/>
      </c>
      <c r="AC860" s="90" t="str">
        <f aca="false">IFERROR(IF([2]对账明细接口!$X861=0,"",[2]对账明细接口!$X861),"")</f>
        <v/>
      </c>
      <c r="AD860" s="90" t="str">
        <f aca="false">IFERROR(IF([2]对账明细接口!$Y861=0,"",[2]对账明细接口!$Y861),"")</f>
        <v/>
      </c>
      <c r="AE860" s="90" t="str">
        <f aca="false">IFERROR(IF([2]对账明细接口!$AA861=0,"",[2]对账明细接口!$AA861),"")</f>
        <v/>
      </c>
      <c r="AF860" s="90" t="str">
        <f aca="false">IFERROR(IF([2]对账明细接口!$AB861=0,"",[2]对账明细接口!$AB861),"")</f>
        <v/>
      </c>
      <c r="AG860" s="90" t="str">
        <f aca="false">IFERROR(IF([2]对账明细接口!$AC861=0,"",[2]对账明细接口!$AC861),"")</f>
        <v/>
      </c>
      <c r="AH860" s="90" t="str">
        <f aca="false">IFERROR(IF([2]对账明细接口!$AD861=0,"",[2]对账明细接口!$AD861),"")</f>
        <v/>
      </c>
    </row>
    <row r="861" customFormat="false" ht="13.5" hidden="false" customHeight="false" outlineLevel="0" collapsed="false">
      <c r="A861" s="109" t="n">
        <v>861</v>
      </c>
      <c r="B861" s="110" t="str">
        <f aca="false">IFERROR(IF([2]对账明细接口!$B$861=0,"",[2]对账明细接口!$B$861),"")</f>
        <v/>
      </c>
      <c r="C861" s="59" t="str">
        <f aca="false">IFERROR(IF([2]对账明细接口!$C$861=0,"",[2]对账明细接口!$C$861),"")</f>
        <v/>
      </c>
      <c r="D861" s="59" t="str">
        <f aca="false">IFERROR(IF([2]对账明细接口!$D$861=0,"",[2]对账明细接口!$D$861),"")</f>
        <v/>
      </c>
      <c r="E861" s="59" t="str">
        <f aca="false">IFERROR(IF([2]对账明细接口!$E$861=0,"",[2]对账明细接口!$E$861),"")</f>
        <v/>
      </c>
      <c r="F861" s="59" t="str">
        <f aca="false">IFERROR(IF([2]对账明细接口!$F$861=0,"",[2]对账明细接口!$F$861),"")</f>
        <v/>
      </c>
      <c r="G861" s="59" t="str">
        <f aca="false">IFERROR(IF([2]对账明细接口!$G$861=0,"",[2]对账明细接口!$G$861),"")</f>
        <v/>
      </c>
      <c r="H861" s="60" t="str">
        <f aca="false">IFERROR(IF([2]对账明细接口!$H$861=0,"",[2]对账明细接口!$H$861),"")</f>
        <v/>
      </c>
      <c r="I861" s="59" t="str">
        <f aca="false">IFERROR(IF([2]对账明细接口!$I$861=0,"",[2]对账明细接口!$I$861),"")</f>
        <v/>
      </c>
      <c r="J861" s="61" t="str">
        <f aca="false">IFERROR(IF([2]对账明细接口!$J$861=0,"",[2]对账明细接口!$J$861),"")</f>
        <v/>
      </c>
      <c r="K861" s="61" t="str">
        <f aca="false">IFERROR(IF([2]对账明细接口!$K$861=0,"",[2]对账明细接口!$K$861),"")</f>
        <v/>
      </c>
      <c r="L861" s="59" t="str">
        <f aca="false">IFERROR(IF([2]对账明细接口!$L$861=0,"",[2]对账明细接口!$L$861),"")</f>
        <v/>
      </c>
      <c r="M861" s="59" t="str">
        <f aca="false">IFERROR(IF([2]对账明细接口!$M$861=0,"",[2]对账明细接口!$M$861),"")</f>
        <v/>
      </c>
      <c r="N861" s="111" t="n">
        <f aca="false">IF($C861="",0,1)</f>
        <v>0</v>
      </c>
      <c r="O861" s="111" t="n">
        <f aca="false">N(O860)+$N861</f>
        <v>311</v>
      </c>
      <c r="S861" s="10" t="str">
        <f aca="false">IFERROR(IF([2]对账明细接口!$N861=0,"",[2]对账明细接口!$N861),"")</f>
        <v/>
      </c>
      <c r="T861" s="112" t="str">
        <f aca="false">IFERROR(IF([2]对账明细接口!$O861=0,"",[2]对账明细接口!$O861),"")</f>
        <v/>
      </c>
      <c r="U861" s="112" t="str">
        <f aca="false">IFERROR(IF([2]对账明细接口!$P861=0,"",[2]对账明细接口!$P861),"")</f>
        <v/>
      </c>
      <c r="V861" s="112" t="str">
        <f aca="false">IFERROR(IF([2]对账明细接口!$Q861=0,"",[2]对账明细接口!$Q861),"")</f>
        <v/>
      </c>
      <c r="W861" s="10" t="str">
        <f aca="false">IFERROR(IF([2]对账明细接口!$R861=0,"",[2]对账明细接口!$R861),"")</f>
        <v/>
      </c>
      <c r="X861" s="10" t="str">
        <f aca="false">IFERROR(IF([2]对账明细接口!$S861=0,"",[2]对账明细接口!$S861),"")</f>
        <v/>
      </c>
      <c r="Y861" s="10" t="str">
        <f aca="false">IFERROR(IF([2]对账明细接口!$T861=0,"",[2]对账明细接口!$T861),"")</f>
        <v/>
      </c>
      <c r="Z861" s="113" t="str">
        <f aca="false">IFERROR(IF([2]对账明细接口!$U861=0,"",[2]对账明细接口!$U861),"")</f>
        <v/>
      </c>
      <c r="AA861" s="113" t="str">
        <f aca="false">IFERROR(IF([2]对账明细接口!$V861=0,"",[2]对账明细接口!$V861),"")</f>
        <v/>
      </c>
      <c r="AB861" s="10" t="str">
        <f aca="false">IFERROR(IF([2]对账明细接口!$W861=0,"",[2]对账明细接口!$W861),"")</f>
        <v/>
      </c>
      <c r="AC861" s="90" t="str">
        <f aca="false">IFERROR(IF([2]对账明细接口!$X862=0,"",[2]对账明细接口!$X862),"")</f>
        <v/>
      </c>
      <c r="AD861" s="90" t="str">
        <f aca="false">IFERROR(IF([2]对账明细接口!$Y862=0,"",[2]对账明细接口!$Y862),"")</f>
        <v/>
      </c>
      <c r="AE861" s="90" t="str">
        <f aca="false">IFERROR(IF([2]对账明细接口!$AA862=0,"",[2]对账明细接口!$AA862),"")</f>
        <v/>
      </c>
      <c r="AF861" s="90" t="str">
        <f aca="false">IFERROR(IF([2]对账明细接口!$AB862=0,"",[2]对账明细接口!$AB862),"")</f>
        <v/>
      </c>
      <c r="AG861" s="90" t="str">
        <f aca="false">IFERROR(IF([2]对账明细接口!$AC862=0,"",[2]对账明细接口!$AC862),"")</f>
        <v/>
      </c>
      <c r="AH861" s="90" t="str">
        <f aca="false">IFERROR(IF([2]对账明细接口!$AD862=0,"",[2]对账明细接口!$AD862),"")</f>
        <v/>
      </c>
    </row>
    <row r="862" customFormat="false" ht="13.5" hidden="false" customHeight="false" outlineLevel="0" collapsed="false">
      <c r="A862" s="109" t="n">
        <v>862</v>
      </c>
      <c r="B862" s="110" t="str">
        <f aca="false">IFERROR(IF([2]对账明细接口!$B$862=0,"",[2]对账明细接口!$B$862),"")</f>
        <v/>
      </c>
      <c r="C862" s="59" t="str">
        <f aca="false">IFERROR(IF([2]对账明细接口!$C$862=0,"",[2]对账明细接口!$C$862),"")</f>
        <v/>
      </c>
      <c r="D862" s="59" t="str">
        <f aca="false">IFERROR(IF([2]对账明细接口!$D$862=0,"",[2]对账明细接口!$D$862),"")</f>
        <v/>
      </c>
      <c r="E862" s="59" t="str">
        <f aca="false">IFERROR(IF([2]对账明细接口!$E$862=0,"",[2]对账明细接口!$E$862),"")</f>
        <v/>
      </c>
      <c r="F862" s="59" t="str">
        <f aca="false">IFERROR(IF([2]对账明细接口!$F$862=0,"",[2]对账明细接口!$F$862),"")</f>
        <v/>
      </c>
      <c r="G862" s="59" t="str">
        <f aca="false">IFERROR(IF([2]对账明细接口!$G$862=0,"",[2]对账明细接口!$G$862),"")</f>
        <v/>
      </c>
      <c r="H862" s="60" t="str">
        <f aca="false">IFERROR(IF([2]对账明细接口!$H$862=0,"",[2]对账明细接口!$H$862),"")</f>
        <v/>
      </c>
      <c r="I862" s="59" t="str">
        <f aca="false">IFERROR(IF([2]对账明细接口!$I$862=0,"",[2]对账明细接口!$I$862),"")</f>
        <v/>
      </c>
      <c r="J862" s="61" t="str">
        <f aca="false">IFERROR(IF([2]对账明细接口!$J$862=0,"",[2]对账明细接口!$J$862),"")</f>
        <v/>
      </c>
      <c r="K862" s="61" t="str">
        <f aca="false">IFERROR(IF([2]对账明细接口!$K$862=0,"",[2]对账明细接口!$K$862),"")</f>
        <v/>
      </c>
      <c r="L862" s="59" t="str">
        <f aca="false">IFERROR(IF([2]对账明细接口!$L$862=0,"",[2]对账明细接口!$L$862),"")</f>
        <v/>
      </c>
      <c r="M862" s="59" t="str">
        <f aca="false">IFERROR(IF([2]对账明细接口!$M$862=0,"",[2]对账明细接口!$M$862),"")</f>
        <v/>
      </c>
      <c r="N862" s="111" t="n">
        <f aca="false">IF($C862="",0,1)</f>
        <v>0</v>
      </c>
      <c r="O862" s="111" t="n">
        <f aca="false">N(O861)+$N862</f>
        <v>311</v>
      </c>
      <c r="S862" s="10" t="str">
        <f aca="false">IFERROR(IF([2]对账明细接口!$N862=0,"",[2]对账明细接口!$N862),"")</f>
        <v/>
      </c>
      <c r="T862" s="112" t="str">
        <f aca="false">IFERROR(IF([2]对账明细接口!$O862=0,"",[2]对账明细接口!$O862),"")</f>
        <v/>
      </c>
      <c r="U862" s="112" t="str">
        <f aca="false">IFERROR(IF([2]对账明细接口!$P862=0,"",[2]对账明细接口!$P862),"")</f>
        <v/>
      </c>
      <c r="V862" s="112" t="str">
        <f aca="false">IFERROR(IF([2]对账明细接口!$Q862=0,"",[2]对账明细接口!$Q862),"")</f>
        <v/>
      </c>
      <c r="W862" s="10" t="str">
        <f aca="false">IFERROR(IF([2]对账明细接口!$R862=0,"",[2]对账明细接口!$R862),"")</f>
        <v/>
      </c>
      <c r="X862" s="10" t="str">
        <f aca="false">IFERROR(IF([2]对账明细接口!$S862=0,"",[2]对账明细接口!$S862),"")</f>
        <v/>
      </c>
      <c r="Y862" s="10" t="str">
        <f aca="false">IFERROR(IF([2]对账明细接口!$T862=0,"",[2]对账明细接口!$T862),"")</f>
        <v/>
      </c>
      <c r="Z862" s="113" t="str">
        <f aca="false">IFERROR(IF([2]对账明细接口!$U862=0,"",[2]对账明细接口!$U862),"")</f>
        <v/>
      </c>
      <c r="AA862" s="113" t="str">
        <f aca="false">IFERROR(IF([2]对账明细接口!$V862=0,"",[2]对账明细接口!$V862),"")</f>
        <v/>
      </c>
      <c r="AB862" s="10" t="str">
        <f aca="false">IFERROR(IF([2]对账明细接口!$W862=0,"",[2]对账明细接口!$W862),"")</f>
        <v/>
      </c>
      <c r="AC862" s="90" t="str">
        <f aca="false">IFERROR(IF([2]对账明细接口!$X863=0,"",[2]对账明细接口!$X863),"")</f>
        <v/>
      </c>
      <c r="AD862" s="90" t="str">
        <f aca="false">IFERROR(IF([2]对账明细接口!$Y863=0,"",[2]对账明细接口!$Y863),"")</f>
        <v/>
      </c>
      <c r="AE862" s="90" t="str">
        <f aca="false">IFERROR(IF([2]对账明细接口!$AA863=0,"",[2]对账明细接口!$AA863),"")</f>
        <v/>
      </c>
      <c r="AF862" s="90" t="str">
        <f aca="false">IFERROR(IF([2]对账明细接口!$AB863=0,"",[2]对账明细接口!$AB863),"")</f>
        <v/>
      </c>
      <c r="AG862" s="90" t="str">
        <f aca="false">IFERROR(IF([2]对账明细接口!$AC863=0,"",[2]对账明细接口!$AC863),"")</f>
        <v/>
      </c>
      <c r="AH862" s="90" t="str">
        <f aca="false">IFERROR(IF([2]对账明细接口!$AD863=0,"",[2]对账明细接口!$AD863),"")</f>
        <v/>
      </c>
    </row>
    <row r="863" customFormat="false" ht="13.5" hidden="false" customHeight="false" outlineLevel="0" collapsed="false">
      <c r="A863" s="109" t="n">
        <v>863</v>
      </c>
      <c r="B863" s="110" t="str">
        <f aca="false">IFERROR(IF([2]对账明细接口!$B$863=0,"",[2]对账明细接口!$B$863),"")</f>
        <v/>
      </c>
      <c r="C863" s="59" t="str">
        <f aca="false">IFERROR(IF([2]对账明细接口!$C$863=0,"",[2]对账明细接口!$C$863),"")</f>
        <v/>
      </c>
      <c r="D863" s="59" t="str">
        <f aca="false">IFERROR(IF([2]对账明细接口!$D$863=0,"",[2]对账明细接口!$D$863),"")</f>
        <v/>
      </c>
      <c r="E863" s="59" t="str">
        <f aca="false">IFERROR(IF([2]对账明细接口!$E$863=0,"",[2]对账明细接口!$E$863),"")</f>
        <v/>
      </c>
      <c r="F863" s="59" t="str">
        <f aca="false">IFERROR(IF([2]对账明细接口!$F$863=0,"",[2]对账明细接口!$F$863),"")</f>
        <v/>
      </c>
      <c r="G863" s="59" t="str">
        <f aca="false">IFERROR(IF([2]对账明细接口!$G$863=0,"",[2]对账明细接口!$G$863),"")</f>
        <v/>
      </c>
      <c r="H863" s="60" t="str">
        <f aca="false">IFERROR(IF([2]对账明细接口!$H$863=0,"",[2]对账明细接口!$H$863),"")</f>
        <v/>
      </c>
      <c r="I863" s="59" t="str">
        <f aca="false">IFERROR(IF([2]对账明细接口!$I$863=0,"",[2]对账明细接口!$I$863),"")</f>
        <v/>
      </c>
      <c r="J863" s="61" t="str">
        <f aca="false">IFERROR(IF([2]对账明细接口!$J$863=0,"",[2]对账明细接口!$J$863),"")</f>
        <v/>
      </c>
      <c r="K863" s="61" t="str">
        <f aca="false">IFERROR(IF([2]对账明细接口!$K$863=0,"",[2]对账明细接口!$K$863),"")</f>
        <v/>
      </c>
      <c r="L863" s="59" t="str">
        <f aca="false">IFERROR(IF([2]对账明细接口!$L$863=0,"",[2]对账明细接口!$L$863),"")</f>
        <v/>
      </c>
      <c r="M863" s="59" t="str">
        <f aca="false">IFERROR(IF([2]对账明细接口!$M$863=0,"",[2]对账明细接口!$M$863),"")</f>
        <v/>
      </c>
      <c r="N863" s="111" t="n">
        <f aca="false">IF($C863="",0,1)</f>
        <v>0</v>
      </c>
      <c r="O863" s="111" t="n">
        <f aca="false">N(O862)+$N863</f>
        <v>311</v>
      </c>
      <c r="S863" s="10" t="str">
        <f aca="false">IFERROR(IF([2]对账明细接口!$N863=0,"",[2]对账明细接口!$N863),"")</f>
        <v/>
      </c>
      <c r="T863" s="112" t="str">
        <f aca="false">IFERROR(IF([2]对账明细接口!$O863=0,"",[2]对账明细接口!$O863),"")</f>
        <v/>
      </c>
      <c r="U863" s="112" t="str">
        <f aca="false">IFERROR(IF([2]对账明细接口!$P863=0,"",[2]对账明细接口!$P863),"")</f>
        <v/>
      </c>
      <c r="V863" s="112" t="str">
        <f aca="false">IFERROR(IF([2]对账明细接口!$Q863=0,"",[2]对账明细接口!$Q863),"")</f>
        <v/>
      </c>
      <c r="W863" s="10" t="str">
        <f aca="false">IFERROR(IF([2]对账明细接口!$R863=0,"",[2]对账明细接口!$R863),"")</f>
        <v/>
      </c>
      <c r="X863" s="10" t="str">
        <f aca="false">IFERROR(IF([2]对账明细接口!$S863=0,"",[2]对账明细接口!$S863),"")</f>
        <v/>
      </c>
      <c r="Y863" s="10" t="str">
        <f aca="false">IFERROR(IF([2]对账明细接口!$T863=0,"",[2]对账明细接口!$T863),"")</f>
        <v/>
      </c>
      <c r="Z863" s="113" t="str">
        <f aca="false">IFERROR(IF([2]对账明细接口!$U863=0,"",[2]对账明细接口!$U863),"")</f>
        <v/>
      </c>
      <c r="AA863" s="113" t="str">
        <f aca="false">IFERROR(IF([2]对账明细接口!$V863=0,"",[2]对账明细接口!$V863),"")</f>
        <v/>
      </c>
      <c r="AB863" s="10" t="str">
        <f aca="false">IFERROR(IF([2]对账明细接口!$W863=0,"",[2]对账明细接口!$W863),"")</f>
        <v/>
      </c>
      <c r="AC863" s="90" t="str">
        <f aca="false">IFERROR(IF([2]对账明细接口!$X864=0,"",[2]对账明细接口!$X864),"")</f>
        <v/>
      </c>
      <c r="AD863" s="90" t="str">
        <f aca="false">IFERROR(IF([2]对账明细接口!$Y864=0,"",[2]对账明细接口!$Y864),"")</f>
        <v/>
      </c>
      <c r="AE863" s="90" t="str">
        <f aca="false">IFERROR(IF([2]对账明细接口!$AA864=0,"",[2]对账明细接口!$AA864),"")</f>
        <v/>
      </c>
      <c r="AF863" s="90" t="str">
        <f aca="false">IFERROR(IF([2]对账明细接口!$AB864=0,"",[2]对账明细接口!$AB864),"")</f>
        <v/>
      </c>
      <c r="AG863" s="90" t="str">
        <f aca="false">IFERROR(IF([2]对账明细接口!$AC864=0,"",[2]对账明细接口!$AC864),"")</f>
        <v/>
      </c>
      <c r="AH863" s="90" t="str">
        <f aca="false">IFERROR(IF([2]对账明细接口!$AD864=0,"",[2]对账明细接口!$AD864),"")</f>
        <v/>
      </c>
    </row>
    <row r="864" customFormat="false" ht="13.5" hidden="false" customHeight="false" outlineLevel="0" collapsed="false">
      <c r="A864" s="109" t="n">
        <v>864</v>
      </c>
      <c r="B864" s="110" t="str">
        <f aca="false">IFERROR(IF([2]对账明细接口!$B$864=0,"",[2]对账明细接口!$B$864),"")</f>
        <v/>
      </c>
      <c r="C864" s="59" t="str">
        <f aca="false">IFERROR(IF([2]对账明细接口!$C$864=0,"",[2]对账明细接口!$C$864),"")</f>
        <v/>
      </c>
      <c r="D864" s="59" t="str">
        <f aca="false">IFERROR(IF([2]对账明细接口!$D$864=0,"",[2]对账明细接口!$D$864),"")</f>
        <v/>
      </c>
      <c r="E864" s="59" t="str">
        <f aca="false">IFERROR(IF([2]对账明细接口!$E$864=0,"",[2]对账明细接口!$E$864),"")</f>
        <v/>
      </c>
      <c r="F864" s="59" t="str">
        <f aca="false">IFERROR(IF([2]对账明细接口!$F$864=0,"",[2]对账明细接口!$F$864),"")</f>
        <v/>
      </c>
      <c r="G864" s="59" t="str">
        <f aca="false">IFERROR(IF([2]对账明细接口!$G$864=0,"",[2]对账明细接口!$G$864),"")</f>
        <v/>
      </c>
      <c r="H864" s="60" t="str">
        <f aca="false">IFERROR(IF([2]对账明细接口!$H$864=0,"",[2]对账明细接口!$H$864),"")</f>
        <v/>
      </c>
      <c r="I864" s="59" t="str">
        <f aca="false">IFERROR(IF([2]对账明细接口!$I$864=0,"",[2]对账明细接口!$I$864),"")</f>
        <v/>
      </c>
      <c r="J864" s="61" t="str">
        <f aca="false">IFERROR(IF([2]对账明细接口!$J$864=0,"",[2]对账明细接口!$J$864),"")</f>
        <v/>
      </c>
      <c r="K864" s="61" t="str">
        <f aca="false">IFERROR(IF([2]对账明细接口!$K$864=0,"",[2]对账明细接口!$K$864),"")</f>
        <v/>
      </c>
      <c r="L864" s="59" t="str">
        <f aca="false">IFERROR(IF([2]对账明细接口!$L$864=0,"",[2]对账明细接口!$L$864),"")</f>
        <v/>
      </c>
      <c r="M864" s="59" t="str">
        <f aca="false">IFERROR(IF([2]对账明细接口!$M$864=0,"",[2]对账明细接口!$M$864),"")</f>
        <v/>
      </c>
      <c r="N864" s="111" t="n">
        <f aca="false">IF($C864="",0,1)</f>
        <v>0</v>
      </c>
      <c r="O864" s="111" t="n">
        <f aca="false">N(O863)+$N864</f>
        <v>311</v>
      </c>
      <c r="S864" s="10" t="str">
        <f aca="false">IFERROR(IF([2]对账明细接口!$N864=0,"",[2]对账明细接口!$N864),"")</f>
        <v/>
      </c>
      <c r="T864" s="112" t="str">
        <f aca="false">IFERROR(IF([2]对账明细接口!$O864=0,"",[2]对账明细接口!$O864),"")</f>
        <v/>
      </c>
      <c r="U864" s="112" t="str">
        <f aca="false">IFERROR(IF([2]对账明细接口!$P864=0,"",[2]对账明细接口!$P864),"")</f>
        <v/>
      </c>
      <c r="V864" s="112" t="str">
        <f aca="false">IFERROR(IF([2]对账明细接口!$Q864=0,"",[2]对账明细接口!$Q864),"")</f>
        <v/>
      </c>
      <c r="W864" s="10" t="str">
        <f aca="false">IFERROR(IF([2]对账明细接口!$R864=0,"",[2]对账明细接口!$R864),"")</f>
        <v/>
      </c>
      <c r="X864" s="10" t="str">
        <f aca="false">IFERROR(IF([2]对账明细接口!$S864=0,"",[2]对账明细接口!$S864),"")</f>
        <v/>
      </c>
      <c r="Y864" s="10" t="str">
        <f aca="false">IFERROR(IF([2]对账明细接口!$T864=0,"",[2]对账明细接口!$T864),"")</f>
        <v/>
      </c>
      <c r="Z864" s="113" t="str">
        <f aca="false">IFERROR(IF([2]对账明细接口!$U864=0,"",[2]对账明细接口!$U864),"")</f>
        <v/>
      </c>
      <c r="AA864" s="113" t="str">
        <f aca="false">IFERROR(IF([2]对账明细接口!$V864=0,"",[2]对账明细接口!$V864),"")</f>
        <v/>
      </c>
      <c r="AB864" s="10" t="str">
        <f aca="false">IFERROR(IF([2]对账明细接口!$W864=0,"",[2]对账明细接口!$W864),"")</f>
        <v/>
      </c>
      <c r="AC864" s="90" t="str">
        <f aca="false">IFERROR(IF([2]对账明细接口!$X865=0,"",[2]对账明细接口!$X865),"")</f>
        <v/>
      </c>
      <c r="AD864" s="90" t="str">
        <f aca="false">IFERROR(IF([2]对账明细接口!$Y865=0,"",[2]对账明细接口!$Y865),"")</f>
        <v/>
      </c>
      <c r="AE864" s="90" t="str">
        <f aca="false">IFERROR(IF([2]对账明细接口!$AA865=0,"",[2]对账明细接口!$AA865),"")</f>
        <v/>
      </c>
      <c r="AF864" s="90" t="str">
        <f aca="false">IFERROR(IF([2]对账明细接口!$AB865=0,"",[2]对账明细接口!$AB865),"")</f>
        <v/>
      </c>
      <c r="AG864" s="90" t="str">
        <f aca="false">IFERROR(IF([2]对账明细接口!$AC865=0,"",[2]对账明细接口!$AC865),"")</f>
        <v/>
      </c>
      <c r="AH864" s="90" t="str">
        <f aca="false">IFERROR(IF([2]对账明细接口!$AD865=0,"",[2]对账明细接口!$AD865),"")</f>
        <v/>
      </c>
    </row>
    <row r="865" customFormat="false" ht="13.5" hidden="false" customHeight="false" outlineLevel="0" collapsed="false">
      <c r="A865" s="109" t="n">
        <v>865</v>
      </c>
      <c r="B865" s="110" t="str">
        <f aca="false">IFERROR(IF([2]对账明细接口!$B$865=0,"",[2]对账明细接口!$B$865),"")</f>
        <v/>
      </c>
      <c r="C865" s="59" t="str">
        <f aca="false">IFERROR(IF([2]对账明细接口!$C$865=0,"",[2]对账明细接口!$C$865),"")</f>
        <v/>
      </c>
      <c r="D865" s="59" t="str">
        <f aca="false">IFERROR(IF([2]对账明细接口!$D$865=0,"",[2]对账明细接口!$D$865),"")</f>
        <v/>
      </c>
      <c r="E865" s="59" t="str">
        <f aca="false">IFERROR(IF([2]对账明细接口!$E$865=0,"",[2]对账明细接口!$E$865),"")</f>
        <v/>
      </c>
      <c r="F865" s="59" t="str">
        <f aca="false">IFERROR(IF([2]对账明细接口!$F$865=0,"",[2]对账明细接口!$F$865),"")</f>
        <v/>
      </c>
      <c r="G865" s="59" t="str">
        <f aca="false">IFERROR(IF([2]对账明细接口!$G$865=0,"",[2]对账明细接口!$G$865),"")</f>
        <v/>
      </c>
      <c r="H865" s="60" t="str">
        <f aca="false">IFERROR(IF([2]对账明细接口!$H$865=0,"",[2]对账明细接口!$H$865),"")</f>
        <v/>
      </c>
      <c r="I865" s="59" t="str">
        <f aca="false">IFERROR(IF([2]对账明细接口!$I$865=0,"",[2]对账明细接口!$I$865),"")</f>
        <v/>
      </c>
      <c r="J865" s="61" t="str">
        <f aca="false">IFERROR(IF([2]对账明细接口!$J$865=0,"",[2]对账明细接口!$J$865),"")</f>
        <v/>
      </c>
      <c r="K865" s="61" t="str">
        <f aca="false">IFERROR(IF([2]对账明细接口!$K$865=0,"",[2]对账明细接口!$K$865),"")</f>
        <v/>
      </c>
      <c r="L865" s="59" t="str">
        <f aca="false">IFERROR(IF([2]对账明细接口!$L$865=0,"",[2]对账明细接口!$L$865),"")</f>
        <v/>
      </c>
      <c r="M865" s="59" t="str">
        <f aca="false">IFERROR(IF([2]对账明细接口!$M$865=0,"",[2]对账明细接口!$M$865),"")</f>
        <v/>
      </c>
      <c r="N865" s="111" t="n">
        <f aca="false">IF($C865="",0,1)</f>
        <v>0</v>
      </c>
      <c r="O865" s="111" t="n">
        <f aca="false">N(O864)+$N865</f>
        <v>311</v>
      </c>
      <c r="S865" s="10" t="str">
        <f aca="false">IFERROR(IF([2]对账明细接口!$N865=0,"",[2]对账明细接口!$N865),"")</f>
        <v/>
      </c>
      <c r="T865" s="112" t="str">
        <f aca="false">IFERROR(IF([2]对账明细接口!$O865=0,"",[2]对账明细接口!$O865),"")</f>
        <v/>
      </c>
      <c r="U865" s="112" t="str">
        <f aca="false">IFERROR(IF([2]对账明细接口!$P865=0,"",[2]对账明细接口!$P865),"")</f>
        <v/>
      </c>
      <c r="V865" s="112" t="str">
        <f aca="false">IFERROR(IF([2]对账明细接口!$Q865=0,"",[2]对账明细接口!$Q865),"")</f>
        <v/>
      </c>
      <c r="W865" s="10" t="str">
        <f aca="false">IFERROR(IF([2]对账明细接口!$R865=0,"",[2]对账明细接口!$R865),"")</f>
        <v/>
      </c>
      <c r="X865" s="10" t="str">
        <f aca="false">IFERROR(IF([2]对账明细接口!$S865=0,"",[2]对账明细接口!$S865),"")</f>
        <v/>
      </c>
      <c r="Y865" s="10" t="str">
        <f aca="false">IFERROR(IF([2]对账明细接口!$T865=0,"",[2]对账明细接口!$T865),"")</f>
        <v/>
      </c>
      <c r="Z865" s="113" t="str">
        <f aca="false">IFERROR(IF([2]对账明细接口!$U865=0,"",[2]对账明细接口!$U865),"")</f>
        <v/>
      </c>
      <c r="AA865" s="113" t="str">
        <f aca="false">IFERROR(IF([2]对账明细接口!$V865=0,"",[2]对账明细接口!$V865),"")</f>
        <v/>
      </c>
      <c r="AB865" s="10" t="str">
        <f aca="false">IFERROR(IF([2]对账明细接口!$W865=0,"",[2]对账明细接口!$W865),"")</f>
        <v/>
      </c>
      <c r="AC865" s="90" t="str">
        <f aca="false">IFERROR(IF([2]对账明细接口!$X866=0,"",[2]对账明细接口!$X866),"")</f>
        <v/>
      </c>
      <c r="AD865" s="90" t="str">
        <f aca="false">IFERROR(IF([2]对账明细接口!$Y866=0,"",[2]对账明细接口!$Y866),"")</f>
        <v/>
      </c>
      <c r="AE865" s="90" t="str">
        <f aca="false">IFERROR(IF([2]对账明细接口!$AA866=0,"",[2]对账明细接口!$AA866),"")</f>
        <v/>
      </c>
      <c r="AF865" s="90" t="str">
        <f aca="false">IFERROR(IF([2]对账明细接口!$AB866=0,"",[2]对账明细接口!$AB866),"")</f>
        <v/>
      </c>
      <c r="AG865" s="90" t="str">
        <f aca="false">IFERROR(IF([2]对账明细接口!$AC866=0,"",[2]对账明细接口!$AC866),"")</f>
        <v/>
      </c>
      <c r="AH865" s="90" t="str">
        <f aca="false">IFERROR(IF([2]对账明细接口!$AD866=0,"",[2]对账明细接口!$AD866),"")</f>
        <v/>
      </c>
    </row>
    <row r="866" customFormat="false" ht="13.5" hidden="false" customHeight="false" outlineLevel="0" collapsed="false">
      <c r="A866" s="109" t="n">
        <v>866</v>
      </c>
      <c r="B866" s="110" t="str">
        <f aca="false">IFERROR(IF([2]对账明细接口!$B$866=0,"",[2]对账明细接口!$B$866),"")</f>
        <v/>
      </c>
      <c r="C866" s="59" t="str">
        <f aca="false">IFERROR(IF([2]对账明细接口!$C$866=0,"",[2]对账明细接口!$C$866),"")</f>
        <v/>
      </c>
      <c r="D866" s="59" t="str">
        <f aca="false">IFERROR(IF([2]对账明细接口!$D$866=0,"",[2]对账明细接口!$D$866),"")</f>
        <v/>
      </c>
      <c r="E866" s="59" t="str">
        <f aca="false">IFERROR(IF([2]对账明细接口!$E$866=0,"",[2]对账明细接口!$E$866),"")</f>
        <v/>
      </c>
      <c r="F866" s="59" t="str">
        <f aca="false">IFERROR(IF([2]对账明细接口!$F$866=0,"",[2]对账明细接口!$F$866),"")</f>
        <v/>
      </c>
      <c r="G866" s="59" t="str">
        <f aca="false">IFERROR(IF([2]对账明细接口!$G$866=0,"",[2]对账明细接口!$G$866),"")</f>
        <v/>
      </c>
      <c r="H866" s="60" t="str">
        <f aca="false">IFERROR(IF([2]对账明细接口!$H$866=0,"",[2]对账明细接口!$H$866),"")</f>
        <v/>
      </c>
      <c r="I866" s="59" t="str">
        <f aca="false">IFERROR(IF([2]对账明细接口!$I$866=0,"",[2]对账明细接口!$I$866),"")</f>
        <v/>
      </c>
      <c r="J866" s="61" t="str">
        <f aca="false">IFERROR(IF([2]对账明细接口!$J$866=0,"",[2]对账明细接口!$J$866),"")</f>
        <v/>
      </c>
      <c r="K866" s="61" t="str">
        <f aca="false">IFERROR(IF([2]对账明细接口!$K$866=0,"",[2]对账明细接口!$K$866),"")</f>
        <v/>
      </c>
      <c r="L866" s="59" t="str">
        <f aca="false">IFERROR(IF([2]对账明细接口!$L$866=0,"",[2]对账明细接口!$L$866),"")</f>
        <v/>
      </c>
      <c r="M866" s="59" t="str">
        <f aca="false">IFERROR(IF([2]对账明细接口!$M$866=0,"",[2]对账明细接口!$M$866),"")</f>
        <v/>
      </c>
      <c r="N866" s="111" t="n">
        <f aca="false">IF($C866="",0,1)</f>
        <v>0</v>
      </c>
      <c r="O866" s="111" t="n">
        <f aca="false">N(O865)+$N866</f>
        <v>311</v>
      </c>
      <c r="S866" s="10" t="str">
        <f aca="false">IFERROR(IF([2]对账明细接口!$N866=0,"",[2]对账明细接口!$N866),"")</f>
        <v/>
      </c>
      <c r="T866" s="112" t="str">
        <f aca="false">IFERROR(IF([2]对账明细接口!$O866=0,"",[2]对账明细接口!$O866),"")</f>
        <v/>
      </c>
      <c r="U866" s="112" t="str">
        <f aca="false">IFERROR(IF([2]对账明细接口!$P866=0,"",[2]对账明细接口!$P866),"")</f>
        <v/>
      </c>
      <c r="V866" s="112" t="str">
        <f aca="false">IFERROR(IF([2]对账明细接口!$Q866=0,"",[2]对账明细接口!$Q866),"")</f>
        <v/>
      </c>
      <c r="W866" s="10" t="str">
        <f aca="false">IFERROR(IF([2]对账明细接口!$R866=0,"",[2]对账明细接口!$R866),"")</f>
        <v/>
      </c>
      <c r="X866" s="10" t="str">
        <f aca="false">IFERROR(IF([2]对账明细接口!$S866=0,"",[2]对账明细接口!$S866),"")</f>
        <v/>
      </c>
      <c r="Y866" s="10" t="str">
        <f aca="false">IFERROR(IF([2]对账明细接口!$T866=0,"",[2]对账明细接口!$T866),"")</f>
        <v/>
      </c>
      <c r="Z866" s="113" t="str">
        <f aca="false">IFERROR(IF([2]对账明细接口!$U866=0,"",[2]对账明细接口!$U866),"")</f>
        <v/>
      </c>
      <c r="AA866" s="113" t="str">
        <f aca="false">IFERROR(IF([2]对账明细接口!$V866=0,"",[2]对账明细接口!$V866),"")</f>
        <v/>
      </c>
      <c r="AB866" s="10" t="str">
        <f aca="false">IFERROR(IF([2]对账明细接口!$W866=0,"",[2]对账明细接口!$W866),"")</f>
        <v/>
      </c>
      <c r="AC866" s="90" t="str">
        <f aca="false">IFERROR(IF([2]对账明细接口!$X867=0,"",[2]对账明细接口!$X867),"")</f>
        <v/>
      </c>
      <c r="AD866" s="90" t="str">
        <f aca="false">IFERROR(IF([2]对账明细接口!$Y867=0,"",[2]对账明细接口!$Y867),"")</f>
        <v/>
      </c>
      <c r="AE866" s="90" t="str">
        <f aca="false">IFERROR(IF([2]对账明细接口!$AA867=0,"",[2]对账明细接口!$AA867),"")</f>
        <v/>
      </c>
      <c r="AF866" s="90" t="str">
        <f aca="false">IFERROR(IF([2]对账明细接口!$AB867=0,"",[2]对账明细接口!$AB867),"")</f>
        <v/>
      </c>
      <c r="AG866" s="90" t="str">
        <f aca="false">IFERROR(IF([2]对账明细接口!$AC867=0,"",[2]对账明细接口!$AC867),"")</f>
        <v/>
      </c>
      <c r="AH866" s="90" t="str">
        <f aca="false">IFERROR(IF([2]对账明细接口!$AD867=0,"",[2]对账明细接口!$AD867),"")</f>
        <v/>
      </c>
    </row>
    <row r="867" customFormat="false" ht="13.5" hidden="false" customHeight="false" outlineLevel="0" collapsed="false">
      <c r="A867" s="109" t="n">
        <v>867</v>
      </c>
      <c r="B867" s="110" t="str">
        <f aca="false">IFERROR(IF([2]对账明细接口!$B$867=0,"",[2]对账明细接口!$B$867),"")</f>
        <v/>
      </c>
      <c r="C867" s="59" t="str">
        <f aca="false">IFERROR(IF([2]对账明细接口!$C$867=0,"",[2]对账明细接口!$C$867),"")</f>
        <v/>
      </c>
      <c r="D867" s="59" t="str">
        <f aca="false">IFERROR(IF([2]对账明细接口!$D$867=0,"",[2]对账明细接口!$D$867),"")</f>
        <v/>
      </c>
      <c r="E867" s="59" t="str">
        <f aca="false">IFERROR(IF([2]对账明细接口!$E$867=0,"",[2]对账明细接口!$E$867),"")</f>
        <v/>
      </c>
      <c r="F867" s="59" t="str">
        <f aca="false">IFERROR(IF([2]对账明细接口!$F$867=0,"",[2]对账明细接口!$F$867),"")</f>
        <v/>
      </c>
      <c r="G867" s="59" t="str">
        <f aca="false">IFERROR(IF([2]对账明细接口!$G$867=0,"",[2]对账明细接口!$G$867),"")</f>
        <v/>
      </c>
      <c r="H867" s="60" t="str">
        <f aca="false">IFERROR(IF([2]对账明细接口!$H$867=0,"",[2]对账明细接口!$H$867),"")</f>
        <v/>
      </c>
      <c r="I867" s="59" t="str">
        <f aca="false">IFERROR(IF([2]对账明细接口!$I$867=0,"",[2]对账明细接口!$I$867),"")</f>
        <v/>
      </c>
      <c r="J867" s="61" t="str">
        <f aca="false">IFERROR(IF([2]对账明细接口!$J$867=0,"",[2]对账明细接口!$J$867),"")</f>
        <v/>
      </c>
      <c r="K867" s="61" t="str">
        <f aca="false">IFERROR(IF([2]对账明细接口!$K$867=0,"",[2]对账明细接口!$K$867),"")</f>
        <v/>
      </c>
      <c r="L867" s="59" t="str">
        <f aca="false">IFERROR(IF([2]对账明细接口!$L$867=0,"",[2]对账明细接口!$L$867),"")</f>
        <v/>
      </c>
      <c r="M867" s="59" t="str">
        <f aca="false">IFERROR(IF([2]对账明细接口!$M$867=0,"",[2]对账明细接口!$M$867),"")</f>
        <v/>
      </c>
      <c r="N867" s="111" t="n">
        <f aca="false">IF($C867="",0,1)</f>
        <v>0</v>
      </c>
      <c r="O867" s="111" t="n">
        <f aca="false">N(O866)+$N867</f>
        <v>311</v>
      </c>
      <c r="S867" s="10" t="str">
        <f aca="false">IFERROR(IF([2]对账明细接口!$N867=0,"",[2]对账明细接口!$N867),"")</f>
        <v/>
      </c>
      <c r="T867" s="112" t="str">
        <f aca="false">IFERROR(IF([2]对账明细接口!$O867=0,"",[2]对账明细接口!$O867),"")</f>
        <v/>
      </c>
      <c r="U867" s="112" t="str">
        <f aca="false">IFERROR(IF([2]对账明细接口!$P867=0,"",[2]对账明细接口!$P867),"")</f>
        <v/>
      </c>
      <c r="V867" s="112" t="str">
        <f aca="false">IFERROR(IF([2]对账明细接口!$Q867=0,"",[2]对账明细接口!$Q867),"")</f>
        <v/>
      </c>
      <c r="W867" s="10" t="str">
        <f aca="false">IFERROR(IF([2]对账明细接口!$R867=0,"",[2]对账明细接口!$R867),"")</f>
        <v/>
      </c>
      <c r="X867" s="10" t="str">
        <f aca="false">IFERROR(IF([2]对账明细接口!$S867=0,"",[2]对账明细接口!$S867),"")</f>
        <v/>
      </c>
      <c r="Y867" s="10" t="str">
        <f aca="false">IFERROR(IF([2]对账明细接口!$T867=0,"",[2]对账明细接口!$T867),"")</f>
        <v/>
      </c>
      <c r="Z867" s="113" t="str">
        <f aca="false">IFERROR(IF([2]对账明细接口!$U867=0,"",[2]对账明细接口!$U867),"")</f>
        <v/>
      </c>
      <c r="AA867" s="113" t="str">
        <f aca="false">IFERROR(IF([2]对账明细接口!$V867=0,"",[2]对账明细接口!$V867),"")</f>
        <v/>
      </c>
      <c r="AB867" s="10" t="str">
        <f aca="false">IFERROR(IF([2]对账明细接口!$W867=0,"",[2]对账明细接口!$W867),"")</f>
        <v/>
      </c>
      <c r="AC867" s="90" t="str">
        <f aca="false">IFERROR(IF([2]对账明细接口!$X868=0,"",[2]对账明细接口!$X868),"")</f>
        <v/>
      </c>
      <c r="AD867" s="90" t="str">
        <f aca="false">IFERROR(IF([2]对账明细接口!$Y868=0,"",[2]对账明细接口!$Y868),"")</f>
        <v/>
      </c>
      <c r="AE867" s="90" t="str">
        <f aca="false">IFERROR(IF([2]对账明细接口!$AA868=0,"",[2]对账明细接口!$AA868),"")</f>
        <v/>
      </c>
      <c r="AF867" s="90" t="str">
        <f aca="false">IFERROR(IF([2]对账明细接口!$AB868=0,"",[2]对账明细接口!$AB868),"")</f>
        <v/>
      </c>
      <c r="AG867" s="90" t="str">
        <f aca="false">IFERROR(IF([2]对账明细接口!$AC868=0,"",[2]对账明细接口!$AC868),"")</f>
        <v/>
      </c>
      <c r="AH867" s="90" t="str">
        <f aca="false">IFERROR(IF([2]对账明细接口!$AD868=0,"",[2]对账明细接口!$AD868),"")</f>
        <v/>
      </c>
    </row>
    <row r="868" customFormat="false" ht="13.5" hidden="false" customHeight="false" outlineLevel="0" collapsed="false">
      <c r="A868" s="109" t="n">
        <v>868</v>
      </c>
      <c r="B868" s="110" t="str">
        <f aca="false">IFERROR(IF([2]对账明细接口!$B$868=0,"",[2]对账明细接口!$B$868),"")</f>
        <v/>
      </c>
      <c r="C868" s="59" t="str">
        <f aca="false">IFERROR(IF([2]对账明细接口!$C$868=0,"",[2]对账明细接口!$C$868),"")</f>
        <v/>
      </c>
      <c r="D868" s="59" t="str">
        <f aca="false">IFERROR(IF([2]对账明细接口!$D$868=0,"",[2]对账明细接口!$D$868),"")</f>
        <v/>
      </c>
      <c r="E868" s="59" t="str">
        <f aca="false">IFERROR(IF([2]对账明细接口!$E$868=0,"",[2]对账明细接口!$E$868),"")</f>
        <v/>
      </c>
      <c r="F868" s="59" t="str">
        <f aca="false">IFERROR(IF([2]对账明细接口!$F$868=0,"",[2]对账明细接口!$F$868),"")</f>
        <v/>
      </c>
      <c r="G868" s="59" t="str">
        <f aca="false">IFERROR(IF([2]对账明细接口!$G$868=0,"",[2]对账明细接口!$G$868),"")</f>
        <v/>
      </c>
      <c r="H868" s="60" t="str">
        <f aca="false">IFERROR(IF([2]对账明细接口!$H$868=0,"",[2]对账明细接口!$H$868),"")</f>
        <v/>
      </c>
      <c r="I868" s="59" t="str">
        <f aca="false">IFERROR(IF([2]对账明细接口!$I$868=0,"",[2]对账明细接口!$I$868),"")</f>
        <v/>
      </c>
      <c r="J868" s="61" t="str">
        <f aca="false">IFERROR(IF([2]对账明细接口!$J$868=0,"",[2]对账明细接口!$J$868),"")</f>
        <v/>
      </c>
      <c r="K868" s="61" t="str">
        <f aca="false">IFERROR(IF([2]对账明细接口!$K$868=0,"",[2]对账明细接口!$K$868),"")</f>
        <v/>
      </c>
      <c r="L868" s="59" t="str">
        <f aca="false">IFERROR(IF([2]对账明细接口!$L$868=0,"",[2]对账明细接口!$L$868),"")</f>
        <v/>
      </c>
      <c r="M868" s="59" t="str">
        <f aca="false">IFERROR(IF([2]对账明细接口!$M$868=0,"",[2]对账明细接口!$M$868),"")</f>
        <v/>
      </c>
      <c r="N868" s="111" t="n">
        <f aca="false">IF($C868="",0,1)</f>
        <v>0</v>
      </c>
      <c r="O868" s="111" t="n">
        <f aca="false">N(O867)+$N868</f>
        <v>311</v>
      </c>
      <c r="S868" s="10" t="str">
        <f aca="false">IFERROR(IF([2]对账明细接口!$N868=0,"",[2]对账明细接口!$N868),"")</f>
        <v/>
      </c>
      <c r="T868" s="112" t="str">
        <f aca="false">IFERROR(IF([2]对账明细接口!$O868=0,"",[2]对账明细接口!$O868),"")</f>
        <v/>
      </c>
      <c r="U868" s="112" t="str">
        <f aca="false">IFERROR(IF([2]对账明细接口!$P868=0,"",[2]对账明细接口!$P868),"")</f>
        <v/>
      </c>
      <c r="V868" s="112" t="str">
        <f aca="false">IFERROR(IF([2]对账明细接口!$Q868=0,"",[2]对账明细接口!$Q868),"")</f>
        <v/>
      </c>
      <c r="W868" s="10" t="str">
        <f aca="false">IFERROR(IF([2]对账明细接口!$R868=0,"",[2]对账明细接口!$R868),"")</f>
        <v/>
      </c>
      <c r="X868" s="10" t="str">
        <f aca="false">IFERROR(IF([2]对账明细接口!$S868=0,"",[2]对账明细接口!$S868),"")</f>
        <v/>
      </c>
      <c r="Y868" s="10" t="str">
        <f aca="false">IFERROR(IF([2]对账明细接口!$T868=0,"",[2]对账明细接口!$T868),"")</f>
        <v/>
      </c>
      <c r="Z868" s="113" t="str">
        <f aca="false">IFERROR(IF([2]对账明细接口!$U868=0,"",[2]对账明细接口!$U868),"")</f>
        <v/>
      </c>
      <c r="AA868" s="113" t="str">
        <f aca="false">IFERROR(IF([2]对账明细接口!$V868=0,"",[2]对账明细接口!$V868),"")</f>
        <v/>
      </c>
      <c r="AB868" s="10" t="str">
        <f aca="false">IFERROR(IF([2]对账明细接口!$W868=0,"",[2]对账明细接口!$W868),"")</f>
        <v/>
      </c>
      <c r="AC868" s="90" t="str">
        <f aca="false">IFERROR(IF([2]对账明细接口!$X869=0,"",[2]对账明细接口!$X869),"")</f>
        <v/>
      </c>
      <c r="AD868" s="90" t="str">
        <f aca="false">IFERROR(IF([2]对账明细接口!$Y869=0,"",[2]对账明细接口!$Y869),"")</f>
        <v/>
      </c>
      <c r="AE868" s="90" t="str">
        <f aca="false">IFERROR(IF([2]对账明细接口!$AA869=0,"",[2]对账明细接口!$AA869),"")</f>
        <v/>
      </c>
      <c r="AF868" s="90" t="str">
        <f aca="false">IFERROR(IF([2]对账明细接口!$AB869=0,"",[2]对账明细接口!$AB869),"")</f>
        <v/>
      </c>
      <c r="AG868" s="90" t="str">
        <f aca="false">IFERROR(IF([2]对账明细接口!$AC869=0,"",[2]对账明细接口!$AC869),"")</f>
        <v/>
      </c>
      <c r="AH868" s="90" t="str">
        <f aca="false">IFERROR(IF([2]对账明细接口!$AD869=0,"",[2]对账明细接口!$AD869),"")</f>
        <v/>
      </c>
    </row>
    <row r="869" customFormat="false" ht="13.5" hidden="false" customHeight="false" outlineLevel="0" collapsed="false">
      <c r="A869" s="109" t="n">
        <v>869</v>
      </c>
      <c r="B869" s="110" t="str">
        <f aca="false">IFERROR(IF([2]对账明细接口!$B$869=0,"",[2]对账明细接口!$B$869),"")</f>
        <v/>
      </c>
      <c r="C869" s="59" t="str">
        <f aca="false">IFERROR(IF([2]对账明细接口!$C$869=0,"",[2]对账明细接口!$C$869),"")</f>
        <v/>
      </c>
      <c r="D869" s="59" t="str">
        <f aca="false">IFERROR(IF([2]对账明细接口!$D$869=0,"",[2]对账明细接口!$D$869),"")</f>
        <v/>
      </c>
      <c r="E869" s="59" t="str">
        <f aca="false">IFERROR(IF([2]对账明细接口!$E$869=0,"",[2]对账明细接口!$E$869),"")</f>
        <v/>
      </c>
      <c r="F869" s="59" t="str">
        <f aca="false">IFERROR(IF([2]对账明细接口!$F$869=0,"",[2]对账明细接口!$F$869),"")</f>
        <v/>
      </c>
      <c r="G869" s="59" t="str">
        <f aca="false">IFERROR(IF([2]对账明细接口!$G$869=0,"",[2]对账明细接口!$G$869),"")</f>
        <v/>
      </c>
      <c r="H869" s="60" t="str">
        <f aca="false">IFERROR(IF([2]对账明细接口!$H$869=0,"",[2]对账明细接口!$H$869),"")</f>
        <v/>
      </c>
      <c r="I869" s="59" t="str">
        <f aca="false">IFERROR(IF([2]对账明细接口!$I$869=0,"",[2]对账明细接口!$I$869),"")</f>
        <v/>
      </c>
      <c r="J869" s="61" t="str">
        <f aca="false">IFERROR(IF([2]对账明细接口!$J$869=0,"",[2]对账明细接口!$J$869),"")</f>
        <v/>
      </c>
      <c r="K869" s="61" t="str">
        <f aca="false">IFERROR(IF([2]对账明细接口!$K$869=0,"",[2]对账明细接口!$K$869),"")</f>
        <v/>
      </c>
      <c r="L869" s="59" t="str">
        <f aca="false">IFERROR(IF([2]对账明细接口!$L$869=0,"",[2]对账明细接口!$L$869),"")</f>
        <v/>
      </c>
      <c r="M869" s="59" t="str">
        <f aca="false">IFERROR(IF([2]对账明细接口!$M$869=0,"",[2]对账明细接口!$M$869),"")</f>
        <v/>
      </c>
      <c r="N869" s="111" t="n">
        <f aca="false">IF($C869="",0,1)</f>
        <v>0</v>
      </c>
      <c r="O869" s="111" t="n">
        <f aca="false">N(O868)+$N869</f>
        <v>311</v>
      </c>
      <c r="S869" s="10" t="str">
        <f aca="false">IFERROR(IF([2]对账明细接口!$N869=0,"",[2]对账明细接口!$N869),"")</f>
        <v/>
      </c>
      <c r="T869" s="112" t="str">
        <f aca="false">IFERROR(IF([2]对账明细接口!$O869=0,"",[2]对账明细接口!$O869),"")</f>
        <v/>
      </c>
      <c r="U869" s="112" t="str">
        <f aca="false">IFERROR(IF([2]对账明细接口!$P869=0,"",[2]对账明细接口!$P869),"")</f>
        <v/>
      </c>
      <c r="V869" s="112" t="str">
        <f aca="false">IFERROR(IF([2]对账明细接口!$Q869=0,"",[2]对账明细接口!$Q869),"")</f>
        <v/>
      </c>
      <c r="W869" s="10" t="str">
        <f aca="false">IFERROR(IF([2]对账明细接口!$R869=0,"",[2]对账明细接口!$R869),"")</f>
        <v/>
      </c>
      <c r="X869" s="10" t="str">
        <f aca="false">IFERROR(IF([2]对账明细接口!$S869=0,"",[2]对账明细接口!$S869),"")</f>
        <v/>
      </c>
      <c r="Y869" s="10" t="str">
        <f aca="false">IFERROR(IF([2]对账明细接口!$T869=0,"",[2]对账明细接口!$T869),"")</f>
        <v/>
      </c>
      <c r="Z869" s="113" t="str">
        <f aca="false">IFERROR(IF([2]对账明细接口!$U869=0,"",[2]对账明细接口!$U869),"")</f>
        <v/>
      </c>
      <c r="AA869" s="113" t="str">
        <f aca="false">IFERROR(IF([2]对账明细接口!$V869=0,"",[2]对账明细接口!$V869),"")</f>
        <v/>
      </c>
      <c r="AB869" s="10" t="str">
        <f aca="false">IFERROR(IF([2]对账明细接口!$W869=0,"",[2]对账明细接口!$W869),"")</f>
        <v/>
      </c>
      <c r="AC869" s="90" t="str">
        <f aca="false">IFERROR(IF([2]对账明细接口!$X870=0,"",[2]对账明细接口!$X870),"")</f>
        <v/>
      </c>
      <c r="AD869" s="90" t="str">
        <f aca="false">IFERROR(IF([2]对账明细接口!$Y870=0,"",[2]对账明细接口!$Y870),"")</f>
        <v/>
      </c>
      <c r="AE869" s="90" t="str">
        <f aca="false">IFERROR(IF([2]对账明细接口!$AA870=0,"",[2]对账明细接口!$AA870),"")</f>
        <v/>
      </c>
      <c r="AF869" s="90" t="str">
        <f aca="false">IFERROR(IF([2]对账明细接口!$AB870=0,"",[2]对账明细接口!$AB870),"")</f>
        <v/>
      </c>
      <c r="AG869" s="90" t="str">
        <f aca="false">IFERROR(IF([2]对账明细接口!$AC870=0,"",[2]对账明细接口!$AC870),"")</f>
        <v/>
      </c>
      <c r="AH869" s="90" t="str">
        <f aca="false">IFERROR(IF([2]对账明细接口!$AD870=0,"",[2]对账明细接口!$AD870),"")</f>
        <v/>
      </c>
    </row>
    <row r="870" customFormat="false" ht="13.5" hidden="false" customHeight="false" outlineLevel="0" collapsed="false">
      <c r="A870" s="109" t="n">
        <v>870</v>
      </c>
      <c r="B870" s="110" t="str">
        <f aca="false">IFERROR(IF([2]对账明细接口!$B$870=0,"",[2]对账明细接口!$B$870),"")</f>
        <v/>
      </c>
      <c r="C870" s="59" t="str">
        <f aca="false">IFERROR(IF([2]对账明细接口!$C$870=0,"",[2]对账明细接口!$C$870),"")</f>
        <v/>
      </c>
      <c r="D870" s="59" t="str">
        <f aca="false">IFERROR(IF([2]对账明细接口!$D$870=0,"",[2]对账明细接口!$D$870),"")</f>
        <v/>
      </c>
      <c r="E870" s="59" t="str">
        <f aca="false">IFERROR(IF([2]对账明细接口!$E$870=0,"",[2]对账明细接口!$E$870),"")</f>
        <v/>
      </c>
      <c r="F870" s="59" t="str">
        <f aca="false">IFERROR(IF([2]对账明细接口!$F$870=0,"",[2]对账明细接口!$F$870),"")</f>
        <v/>
      </c>
      <c r="G870" s="59" t="str">
        <f aca="false">IFERROR(IF([2]对账明细接口!$G$870=0,"",[2]对账明细接口!$G$870),"")</f>
        <v/>
      </c>
      <c r="H870" s="60" t="str">
        <f aca="false">IFERROR(IF([2]对账明细接口!$H$870=0,"",[2]对账明细接口!$H$870),"")</f>
        <v/>
      </c>
      <c r="I870" s="59" t="str">
        <f aca="false">IFERROR(IF([2]对账明细接口!$I$870=0,"",[2]对账明细接口!$I$870),"")</f>
        <v/>
      </c>
      <c r="J870" s="61" t="str">
        <f aca="false">IFERROR(IF([2]对账明细接口!$J$870=0,"",[2]对账明细接口!$J$870),"")</f>
        <v/>
      </c>
      <c r="K870" s="61" t="str">
        <f aca="false">IFERROR(IF([2]对账明细接口!$K$870=0,"",[2]对账明细接口!$K$870),"")</f>
        <v/>
      </c>
      <c r="L870" s="59" t="str">
        <f aca="false">IFERROR(IF([2]对账明细接口!$L$870=0,"",[2]对账明细接口!$L$870),"")</f>
        <v/>
      </c>
      <c r="M870" s="59" t="str">
        <f aca="false">IFERROR(IF([2]对账明细接口!$M$870=0,"",[2]对账明细接口!$M$870),"")</f>
        <v/>
      </c>
      <c r="N870" s="111" t="n">
        <f aca="false">IF($C870="",0,1)</f>
        <v>0</v>
      </c>
      <c r="O870" s="111" t="n">
        <f aca="false">N(O869)+$N870</f>
        <v>311</v>
      </c>
      <c r="S870" s="10" t="str">
        <f aca="false">IFERROR(IF([2]对账明细接口!$N870=0,"",[2]对账明细接口!$N870),"")</f>
        <v/>
      </c>
      <c r="T870" s="112" t="str">
        <f aca="false">IFERROR(IF([2]对账明细接口!$O870=0,"",[2]对账明细接口!$O870),"")</f>
        <v/>
      </c>
      <c r="U870" s="112" t="str">
        <f aca="false">IFERROR(IF([2]对账明细接口!$P870=0,"",[2]对账明细接口!$P870),"")</f>
        <v/>
      </c>
      <c r="V870" s="112" t="str">
        <f aca="false">IFERROR(IF([2]对账明细接口!$Q870=0,"",[2]对账明细接口!$Q870),"")</f>
        <v/>
      </c>
      <c r="W870" s="10" t="str">
        <f aca="false">IFERROR(IF([2]对账明细接口!$R870=0,"",[2]对账明细接口!$R870),"")</f>
        <v/>
      </c>
      <c r="X870" s="10" t="str">
        <f aca="false">IFERROR(IF([2]对账明细接口!$S870=0,"",[2]对账明细接口!$S870),"")</f>
        <v/>
      </c>
      <c r="Y870" s="10" t="str">
        <f aca="false">IFERROR(IF([2]对账明细接口!$T870=0,"",[2]对账明细接口!$T870),"")</f>
        <v/>
      </c>
      <c r="Z870" s="113" t="str">
        <f aca="false">IFERROR(IF([2]对账明细接口!$U870=0,"",[2]对账明细接口!$U870),"")</f>
        <v/>
      </c>
      <c r="AA870" s="113" t="str">
        <f aca="false">IFERROR(IF([2]对账明细接口!$V870=0,"",[2]对账明细接口!$V870),"")</f>
        <v/>
      </c>
      <c r="AB870" s="10" t="str">
        <f aca="false">IFERROR(IF([2]对账明细接口!$W870=0,"",[2]对账明细接口!$W870),"")</f>
        <v/>
      </c>
      <c r="AC870" s="90" t="str">
        <f aca="false">IFERROR(IF([2]对账明细接口!$X871=0,"",[2]对账明细接口!$X871),"")</f>
        <v/>
      </c>
      <c r="AD870" s="90" t="str">
        <f aca="false">IFERROR(IF([2]对账明细接口!$Y871=0,"",[2]对账明细接口!$Y871),"")</f>
        <v/>
      </c>
      <c r="AE870" s="90" t="str">
        <f aca="false">IFERROR(IF([2]对账明细接口!$AA871=0,"",[2]对账明细接口!$AA871),"")</f>
        <v/>
      </c>
      <c r="AF870" s="90" t="str">
        <f aca="false">IFERROR(IF([2]对账明细接口!$AB871=0,"",[2]对账明细接口!$AB871),"")</f>
        <v/>
      </c>
      <c r="AG870" s="90" t="str">
        <f aca="false">IFERROR(IF([2]对账明细接口!$AC871=0,"",[2]对账明细接口!$AC871),"")</f>
        <v/>
      </c>
      <c r="AH870" s="90" t="str">
        <f aca="false">IFERROR(IF([2]对账明细接口!$AD871=0,"",[2]对账明细接口!$AD871),"")</f>
        <v/>
      </c>
    </row>
    <row r="871" customFormat="false" ht="13.5" hidden="false" customHeight="false" outlineLevel="0" collapsed="false">
      <c r="A871" s="109" t="n">
        <v>871</v>
      </c>
      <c r="B871" s="110" t="str">
        <f aca="false">IFERROR(IF([2]对账明细接口!$B$871=0,"",[2]对账明细接口!$B$871),"")</f>
        <v/>
      </c>
      <c r="C871" s="59" t="str">
        <f aca="false">IFERROR(IF([2]对账明细接口!$C$871=0,"",[2]对账明细接口!$C$871),"")</f>
        <v/>
      </c>
      <c r="D871" s="59" t="str">
        <f aca="false">IFERROR(IF([2]对账明细接口!$D$871=0,"",[2]对账明细接口!$D$871),"")</f>
        <v/>
      </c>
      <c r="E871" s="59" t="str">
        <f aca="false">IFERROR(IF([2]对账明细接口!$E$871=0,"",[2]对账明细接口!$E$871),"")</f>
        <v/>
      </c>
      <c r="F871" s="59" t="str">
        <f aca="false">IFERROR(IF([2]对账明细接口!$F$871=0,"",[2]对账明细接口!$F$871),"")</f>
        <v/>
      </c>
      <c r="G871" s="59" t="str">
        <f aca="false">IFERROR(IF([2]对账明细接口!$G$871=0,"",[2]对账明细接口!$G$871),"")</f>
        <v/>
      </c>
      <c r="H871" s="60" t="str">
        <f aca="false">IFERROR(IF([2]对账明细接口!$H$871=0,"",[2]对账明细接口!$H$871),"")</f>
        <v/>
      </c>
      <c r="I871" s="59" t="str">
        <f aca="false">IFERROR(IF([2]对账明细接口!$I$871=0,"",[2]对账明细接口!$I$871),"")</f>
        <v/>
      </c>
      <c r="J871" s="61" t="str">
        <f aca="false">IFERROR(IF([2]对账明细接口!$J$871=0,"",[2]对账明细接口!$J$871),"")</f>
        <v/>
      </c>
      <c r="K871" s="61" t="str">
        <f aca="false">IFERROR(IF([2]对账明细接口!$K$871=0,"",[2]对账明细接口!$K$871),"")</f>
        <v/>
      </c>
      <c r="L871" s="59" t="str">
        <f aca="false">IFERROR(IF([2]对账明细接口!$L$871=0,"",[2]对账明细接口!$L$871),"")</f>
        <v/>
      </c>
      <c r="M871" s="59" t="str">
        <f aca="false">IFERROR(IF([2]对账明细接口!$M$871=0,"",[2]对账明细接口!$M$871),"")</f>
        <v/>
      </c>
      <c r="N871" s="111" t="n">
        <f aca="false">IF($C871="",0,1)</f>
        <v>0</v>
      </c>
      <c r="O871" s="111" t="n">
        <f aca="false">N(O870)+$N871</f>
        <v>311</v>
      </c>
      <c r="S871" s="10" t="str">
        <f aca="false">IFERROR(IF([2]对账明细接口!$N871=0,"",[2]对账明细接口!$N871),"")</f>
        <v/>
      </c>
      <c r="T871" s="112" t="str">
        <f aca="false">IFERROR(IF([2]对账明细接口!$O871=0,"",[2]对账明细接口!$O871),"")</f>
        <v/>
      </c>
      <c r="U871" s="112" t="str">
        <f aca="false">IFERROR(IF([2]对账明细接口!$P871=0,"",[2]对账明细接口!$P871),"")</f>
        <v/>
      </c>
      <c r="V871" s="112" t="str">
        <f aca="false">IFERROR(IF([2]对账明细接口!$Q871=0,"",[2]对账明细接口!$Q871),"")</f>
        <v/>
      </c>
      <c r="W871" s="10" t="str">
        <f aca="false">IFERROR(IF([2]对账明细接口!$R871=0,"",[2]对账明细接口!$R871),"")</f>
        <v/>
      </c>
      <c r="X871" s="10" t="str">
        <f aca="false">IFERROR(IF([2]对账明细接口!$S871=0,"",[2]对账明细接口!$S871),"")</f>
        <v/>
      </c>
      <c r="Y871" s="10" t="str">
        <f aca="false">IFERROR(IF([2]对账明细接口!$T871=0,"",[2]对账明细接口!$T871),"")</f>
        <v/>
      </c>
      <c r="Z871" s="113" t="str">
        <f aca="false">IFERROR(IF([2]对账明细接口!$U871=0,"",[2]对账明细接口!$U871),"")</f>
        <v/>
      </c>
      <c r="AA871" s="113" t="str">
        <f aca="false">IFERROR(IF([2]对账明细接口!$V871=0,"",[2]对账明细接口!$V871),"")</f>
        <v/>
      </c>
      <c r="AB871" s="10" t="str">
        <f aca="false">IFERROR(IF([2]对账明细接口!$W871=0,"",[2]对账明细接口!$W871),"")</f>
        <v/>
      </c>
      <c r="AC871" s="90" t="str">
        <f aca="false">IFERROR(IF([2]对账明细接口!$X872=0,"",[2]对账明细接口!$X872),"")</f>
        <v/>
      </c>
      <c r="AD871" s="90" t="str">
        <f aca="false">IFERROR(IF([2]对账明细接口!$Y872=0,"",[2]对账明细接口!$Y872),"")</f>
        <v/>
      </c>
      <c r="AE871" s="90" t="str">
        <f aca="false">IFERROR(IF([2]对账明细接口!$AA872=0,"",[2]对账明细接口!$AA872),"")</f>
        <v/>
      </c>
      <c r="AF871" s="90" t="str">
        <f aca="false">IFERROR(IF([2]对账明细接口!$AB872=0,"",[2]对账明细接口!$AB872),"")</f>
        <v/>
      </c>
      <c r="AG871" s="90" t="str">
        <f aca="false">IFERROR(IF([2]对账明细接口!$AC872=0,"",[2]对账明细接口!$AC872),"")</f>
        <v/>
      </c>
      <c r="AH871" s="90" t="str">
        <f aca="false">IFERROR(IF([2]对账明细接口!$AD872=0,"",[2]对账明细接口!$AD872),"")</f>
        <v/>
      </c>
    </row>
    <row r="872" customFormat="false" ht="13.5" hidden="false" customHeight="false" outlineLevel="0" collapsed="false">
      <c r="A872" s="109" t="n">
        <v>872</v>
      </c>
      <c r="B872" s="110" t="str">
        <f aca="false">IFERROR(IF([2]对账明细接口!$B$872=0,"",[2]对账明细接口!$B$872),"")</f>
        <v/>
      </c>
      <c r="C872" s="59" t="str">
        <f aca="false">IFERROR(IF([2]对账明细接口!$C$872=0,"",[2]对账明细接口!$C$872),"")</f>
        <v/>
      </c>
      <c r="D872" s="59" t="str">
        <f aca="false">IFERROR(IF([2]对账明细接口!$D$872=0,"",[2]对账明细接口!$D$872),"")</f>
        <v/>
      </c>
      <c r="E872" s="59" t="str">
        <f aca="false">IFERROR(IF([2]对账明细接口!$E$872=0,"",[2]对账明细接口!$E$872),"")</f>
        <v/>
      </c>
      <c r="F872" s="59" t="str">
        <f aca="false">IFERROR(IF([2]对账明细接口!$F$872=0,"",[2]对账明细接口!$F$872),"")</f>
        <v/>
      </c>
      <c r="G872" s="59" t="str">
        <f aca="false">IFERROR(IF([2]对账明细接口!$G$872=0,"",[2]对账明细接口!$G$872),"")</f>
        <v/>
      </c>
      <c r="H872" s="60" t="str">
        <f aca="false">IFERROR(IF([2]对账明细接口!$H$872=0,"",[2]对账明细接口!$H$872),"")</f>
        <v/>
      </c>
      <c r="I872" s="59" t="str">
        <f aca="false">IFERROR(IF([2]对账明细接口!$I$872=0,"",[2]对账明细接口!$I$872),"")</f>
        <v/>
      </c>
      <c r="J872" s="61" t="str">
        <f aca="false">IFERROR(IF([2]对账明细接口!$J$872=0,"",[2]对账明细接口!$J$872),"")</f>
        <v/>
      </c>
      <c r="K872" s="61" t="str">
        <f aca="false">IFERROR(IF([2]对账明细接口!$K$872=0,"",[2]对账明细接口!$K$872),"")</f>
        <v/>
      </c>
      <c r="L872" s="59" t="str">
        <f aca="false">IFERROR(IF([2]对账明细接口!$L$872=0,"",[2]对账明细接口!$L$872),"")</f>
        <v/>
      </c>
      <c r="M872" s="59" t="str">
        <f aca="false">IFERROR(IF([2]对账明细接口!$M$872=0,"",[2]对账明细接口!$M$872),"")</f>
        <v/>
      </c>
      <c r="N872" s="111" t="n">
        <f aca="false">IF($C872="",0,1)</f>
        <v>0</v>
      </c>
      <c r="O872" s="111" t="n">
        <f aca="false">N(O871)+$N872</f>
        <v>311</v>
      </c>
      <c r="S872" s="10" t="str">
        <f aca="false">IFERROR(IF([2]对账明细接口!$N872=0,"",[2]对账明细接口!$N872),"")</f>
        <v/>
      </c>
      <c r="T872" s="112" t="str">
        <f aca="false">IFERROR(IF([2]对账明细接口!$O872=0,"",[2]对账明细接口!$O872),"")</f>
        <v/>
      </c>
      <c r="U872" s="112" t="str">
        <f aca="false">IFERROR(IF([2]对账明细接口!$P872=0,"",[2]对账明细接口!$P872),"")</f>
        <v/>
      </c>
      <c r="V872" s="112" t="str">
        <f aca="false">IFERROR(IF([2]对账明细接口!$Q872=0,"",[2]对账明细接口!$Q872),"")</f>
        <v/>
      </c>
      <c r="W872" s="10" t="str">
        <f aca="false">IFERROR(IF([2]对账明细接口!$R872=0,"",[2]对账明细接口!$R872),"")</f>
        <v/>
      </c>
      <c r="X872" s="10" t="str">
        <f aca="false">IFERROR(IF([2]对账明细接口!$S872=0,"",[2]对账明细接口!$S872),"")</f>
        <v/>
      </c>
      <c r="Y872" s="10" t="str">
        <f aca="false">IFERROR(IF([2]对账明细接口!$T872=0,"",[2]对账明细接口!$T872),"")</f>
        <v/>
      </c>
      <c r="Z872" s="113" t="str">
        <f aca="false">IFERROR(IF([2]对账明细接口!$U872=0,"",[2]对账明细接口!$U872),"")</f>
        <v/>
      </c>
      <c r="AA872" s="113" t="str">
        <f aca="false">IFERROR(IF([2]对账明细接口!$V872=0,"",[2]对账明细接口!$V872),"")</f>
        <v/>
      </c>
      <c r="AB872" s="10" t="str">
        <f aca="false">IFERROR(IF([2]对账明细接口!$W872=0,"",[2]对账明细接口!$W872),"")</f>
        <v/>
      </c>
      <c r="AC872" s="90" t="str">
        <f aca="false">IFERROR(IF([2]对账明细接口!$X873=0,"",[2]对账明细接口!$X873),"")</f>
        <v/>
      </c>
      <c r="AD872" s="90" t="str">
        <f aca="false">IFERROR(IF([2]对账明细接口!$Y873=0,"",[2]对账明细接口!$Y873),"")</f>
        <v/>
      </c>
      <c r="AE872" s="90" t="str">
        <f aca="false">IFERROR(IF([2]对账明细接口!$AA873=0,"",[2]对账明细接口!$AA873),"")</f>
        <v/>
      </c>
      <c r="AF872" s="90" t="str">
        <f aca="false">IFERROR(IF([2]对账明细接口!$AB873=0,"",[2]对账明细接口!$AB873),"")</f>
        <v/>
      </c>
      <c r="AG872" s="90" t="str">
        <f aca="false">IFERROR(IF([2]对账明细接口!$AC873=0,"",[2]对账明细接口!$AC873),"")</f>
        <v/>
      </c>
      <c r="AH872" s="90" t="str">
        <f aca="false">IFERROR(IF([2]对账明细接口!$AD873=0,"",[2]对账明细接口!$AD873),"")</f>
        <v/>
      </c>
    </row>
    <row r="873" customFormat="false" ht="13.5" hidden="false" customHeight="false" outlineLevel="0" collapsed="false">
      <c r="A873" s="109" t="n">
        <v>873</v>
      </c>
      <c r="B873" s="110" t="str">
        <f aca="false">IFERROR(IF([2]对账明细接口!$B$873=0,"",[2]对账明细接口!$B$873),"")</f>
        <v/>
      </c>
      <c r="C873" s="59" t="str">
        <f aca="false">IFERROR(IF([2]对账明细接口!$C$873=0,"",[2]对账明细接口!$C$873),"")</f>
        <v/>
      </c>
      <c r="D873" s="59" t="str">
        <f aca="false">IFERROR(IF([2]对账明细接口!$D$873=0,"",[2]对账明细接口!$D$873),"")</f>
        <v/>
      </c>
      <c r="E873" s="59" t="str">
        <f aca="false">IFERROR(IF([2]对账明细接口!$E$873=0,"",[2]对账明细接口!$E$873),"")</f>
        <v/>
      </c>
      <c r="F873" s="59" t="str">
        <f aca="false">IFERROR(IF([2]对账明细接口!$F$873=0,"",[2]对账明细接口!$F$873),"")</f>
        <v/>
      </c>
      <c r="G873" s="59" t="str">
        <f aca="false">IFERROR(IF([2]对账明细接口!$G$873=0,"",[2]对账明细接口!$G$873),"")</f>
        <v/>
      </c>
      <c r="H873" s="60" t="str">
        <f aca="false">IFERROR(IF([2]对账明细接口!$H$873=0,"",[2]对账明细接口!$H$873),"")</f>
        <v/>
      </c>
      <c r="I873" s="59" t="str">
        <f aca="false">IFERROR(IF([2]对账明细接口!$I$873=0,"",[2]对账明细接口!$I$873),"")</f>
        <v/>
      </c>
      <c r="J873" s="61" t="str">
        <f aca="false">IFERROR(IF([2]对账明细接口!$J$873=0,"",[2]对账明细接口!$J$873),"")</f>
        <v/>
      </c>
      <c r="K873" s="61" t="str">
        <f aca="false">IFERROR(IF([2]对账明细接口!$K$873=0,"",[2]对账明细接口!$K$873),"")</f>
        <v/>
      </c>
      <c r="L873" s="59" t="str">
        <f aca="false">IFERROR(IF([2]对账明细接口!$L$873=0,"",[2]对账明细接口!$L$873),"")</f>
        <v/>
      </c>
      <c r="M873" s="59" t="str">
        <f aca="false">IFERROR(IF([2]对账明细接口!$M$873=0,"",[2]对账明细接口!$M$873),"")</f>
        <v/>
      </c>
      <c r="N873" s="111" t="n">
        <f aca="false">IF($C873="",0,1)</f>
        <v>0</v>
      </c>
      <c r="O873" s="111" t="n">
        <f aca="false">N(O872)+$N873</f>
        <v>311</v>
      </c>
      <c r="S873" s="10" t="str">
        <f aca="false">IFERROR(IF([2]对账明细接口!$N873=0,"",[2]对账明细接口!$N873),"")</f>
        <v/>
      </c>
      <c r="T873" s="112" t="str">
        <f aca="false">IFERROR(IF([2]对账明细接口!$O873=0,"",[2]对账明细接口!$O873),"")</f>
        <v/>
      </c>
      <c r="U873" s="112" t="str">
        <f aca="false">IFERROR(IF([2]对账明细接口!$P873=0,"",[2]对账明细接口!$P873),"")</f>
        <v/>
      </c>
      <c r="V873" s="112" t="str">
        <f aca="false">IFERROR(IF([2]对账明细接口!$Q873=0,"",[2]对账明细接口!$Q873),"")</f>
        <v/>
      </c>
      <c r="W873" s="10" t="str">
        <f aca="false">IFERROR(IF([2]对账明细接口!$R873=0,"",[2]对账明细接口!$R873),"")</f>
        <v/>
      </c>
      <c r="X873" s="10" t="str">
        <f aca="false">IFERROR(IF([2]对账明细接口!$S873=0,"",[2]对账明细接口!$S873),"")</f>
        <v/>
      </c>
      <c r="Y873" s="10" t="str">
        <f aca="false">IFERROR(IF([2]对账明细接口!$T873=0,"",[2]对账明细接口!$T873),"")</f>
        <v/>
      </c>
      <c r="Z873" s="113" t="str">
        <f aca="false">IFERROR(IF([2]对账明细接口!$U873=0,"",[2]对账明细接口!$U873),"")</f>
        <v/>
      </c>
      <c r="AA873" s="113" t="str">
        <f aca="false">IFERROR(IF([2]对账明细接口!$V873=0,"",[2]对账明细接口!$V873),"")</f>
        <v/>
      </c>
      <c r="AB873" s="10" t="str">
        <f aca="false">IFERROR(IF([2]对账明细接口!$W873=0,"",[2]对账明细接口!$W873),"")</f>
        <v/>
      </c>
      <c r="AC873" s="90" t="str">
        <f aca="false">IFERROR(IF([2]对账明细接口!$X874=0,"",[2]对账明细接口!$X874),"")</f>
        <v/>
      </c>
      <c r="AD873" s="90" t="str">
        <f aca="false">IFERROR(IF([2]对账明细接口!$Y874=0,"",[2]对账明细接口!$Y874),"")</f>
        <v/>
      </c>
      <c r="AE873" s="90" t="str">
        <f aca="false">IFERROR(IF([2]对账明细接口!$AA874=0,"",[2]对账明细接口!$AA874),"")</f>
        <v/>
      </c>
      <c r="AF873" s="90" t="str">
        <f aca="false">IFERROR(IF([2]对账明细接口!$AB874=0,"",[2]对账明细接口!$AB874),"")</f>
        <v/>
      </c>
      <c r="AG873" s="90" t="str">
        <f aca="false">IFERROR(IF([2]对账明细接口!$AC874=0,"",[2]对账明细接口!$AC874),"")</f>
        <v/>
      </c>
      <c r="AH873" s="90" t="str">
        <f aca="false">IFERROR(IF([2]对账明细接口!$AD874=0,"",[2]对账明细接口!$AD874),"")</f>
        <v/>
      </c>
    </row>
    <row r="874" customFormat="false" ht="13.5" hidden="false" customHeight="false" outlineLevel="0" collapsed="false">
      <c r="A874" s="109" t="n">
        <v>874</v>
      </c>
      <c r="B874" s="110" t="str">
        <f aca="false">IFERROR(IF([2]对账明细接口!$B$874=0,"",[2]对账明细接口!$B$874),"")</f>
        <v/>
      </c>
      <c r="C874" s="59" t="str">
        <f aca="false">IFERROR(IF([2]对账明细接口!$C$874=0,"",[2]对账明细接口!$C$874),"")</f>
        <v/>
      </c>
      <c r="D874" s="59" t="str">
        <f aca="false">IFERROR(IF([2]对账明细接口!$D$874=0,"",[2]对账明细接口!$D$874),"")</f>
        <v/>
      </c>
      <c r="E874" s="59" t="str">
        <f aca="false">IFERROR(IF([2]对账明细接口!$E$874=0,"",[2]对账明细接口!$E$874),"")</f>
        <v/>
      </c>
      <c r="F874" s="59" t="str">
        <f aca="false">IFERROR(IF([2]对账明细接口!$F$874=0,"",[2]对账明细接口!$F$874),"")</f>
        <v/>
      </c>
      <c r="G874" s="59" t="str">
        <f aca="false">IFERROR(IF([2]对账明细接口!$G$874=0,"",[2]对账明细接口!$G$874),"")</f>
        <v/>
      </c>
      <c r="H874" s="60" t="str">
        <f aca="false">IFERROR(IF([2]对账明细接口!$H$874=0,"",[2]对账明细接口!$H$874),"")</f>
        <v/>
      </c>
      <c r="I874" s="59" t="str">
        <f aca="false">IFERROR(IF([2]对账明细接口!$I$874=0,"",[2]对账明细接口!$I$874),"")</f>
        <v/>
      </c>
      <c r="J874" s="61" t="str">
        <f aca="false">IFERROR(IF([2]对账明细接口!$J$874=0,"",[2]对账明细接口!$J$874),"")</f>
        <v/>
      </c>
      <c r="K874" s="61" t="str">
        <f aca="false">IFERROR(IF([2]对账明细接口!$K$874=0,"",[2]对账明细接口!$K$874),"")</f>
        <v/>
      </c>
      <c r="L874" s="59" t="str">
        <f aca="false">IFERROR(IF([2]对账明细接口!$L$874=0,"",[2]对账明细接口!$L$874),"")</f>
        <v/>
      </c>
      <c r="M874" s="59" t="str">
        <f aca="false">IFERROR(IF([2]对账明细接口!$M$874=0,"",[2]对账明细接口!$M$874),"")</f>
        <v/>
      </c>
      <c r="N874" s="111" t="n">
        <f aca="false">IF($C874="",0,1)</f>
        <v>0</v>
      </c>
      <c r="O874" s="111" t="n">
        <f aca="false">N(O873)+$N874</f>
        <v>311</v>
      </c>
      <c r="S874" s="10" t="str">
        <f aca="false">IFERROR(IF([2]对账明细接口!$N874=0,"",[2]对账明细接口!$N874),"")</f>
        <v/>
      </c>
      <c r="T874" s="112" t="str">
        <f aca="false">IFERROR(IF([2]对账明细接口!$O874=0,"",[2]对账明细接口!$O874),"")</f>
        <v/>
      </c>
      <c r="U874" s="112" t="str">
        <f aca="false">IFERROR(IF([2]对账明细接口!$P874=0,"",[2]对账明细接口!$P874),"")</f>
        <v/>
      </c>
      <c r="V874" s="112" t="str">
        <f aca="false">IFERROR(IF([2]对账明细接口!$Q874=0,"",[2]对账明细接口!$Q874),"")</f>
        <v/>
      </c>
      <c r="W874" s="10" t="str">
        <f aca="false">IFERROR(IF([2]对账明细接口!$R874=0,"",[2]对账明细接口!$R874),"")</f>
        <v/>
      </c>
      <c r="X874" s="10" t="str">
        <f aca="false">IFERROR(IF([2]对账明细接口!$S874=0,"",[2]对账明细接口!$S874),"")</f>
        <v/>
      </c>
      <c r="Y874" s="10" t="str">
        <f aca="false">IFERROR(IF([2]对账明细接口!$T874=0,"",[2]对账明细接口!$T874),"")</f>
        <v/>
      </c>
      <c r="Z874" s="113" t="str">
        <f aca="false">IFERROR(IF([2]对账明细接口!$U874=0,"",[2]对账明细接口!$U874),"")</f>
        <v/>
      </c>
      <c r="AA874" s="113" t="str">
        <f aca="false">IFERROR(IF([2]对账明细接口!$V874=0,"",[2]对账明细接口!$V874),"")</f>
        <v/>
      </c>
      <c r="AB874" s="10" t="str">
        <f aca="false">IFERROR(IF([2]对账明细接口!$W874=0,"",[2]对账明细接口!$W874),"")</f>
        <v/>
      </c>
      <c r="AC874" s="90" t="str">
        <f aca="false">IFERROR(IF([2]对账明细接口!$X875=0,"",[2]对账明细接口!$X875),"")</f>
        <v/>
      </c>
      <c r="AD874" s="90" t="str">
        <f aca="false">IFERROR(IF([2]对账明细接口!$Y875=0,"",[2]对账明细接口!$Y875),"")</f>
        <v/>
      </c>
      <c r="AE874" s="90" t="str">
        <f aca="false">IFERROR(IF([2]对账明细接口!$AA875=0,"",[2]对账明细接口!$AA875),"")</f>
        <v/>
      </c>
      <c r="AF874" s="90" t="str">
        <f aca="false">IFERROR(IF([2]对账明细接口!$AB875=0,"",[2]对账明细接口!$AB875),"")</f>
        <v/>
      </c>
      <c r="AG874" s="90" t="str">
        <f aca="false">IFERROR(IF([2]对账明细接口!$AC875=0,"",[2]对账明细接口!$AC875),"")</f>
        <v/>
      </c>
      <c r="AH874" s="90" t="str">
        <f aca="false">IFERROR(IF([2]对账明细接口!$AD875=0,"",[2]对账明细接口!$AD875),"")</f>
        <v/>
      </c>
    </row>
    <row r="875" customFormat="false" ht="13.5" hidden="false" customHeight="false" outlineLevel="0" collapsed="false">
      <c r="A875" s="109" t="n">
        <v>875</v>
      </c>
      <c r="B875" s="110" t="str">
        <f aca="false">IFERROR(IF([2]对账明细接口!$B$875=0,"",[2]对账明细接口!$B$875),"")</f>
        <v/>
      </c>
      <c r="C875" s="59" t="str">
        <f aca="false">IFERROR(IF([2]对账明细接口!$C$875=0,"",[2]对账明细接口!$C$875),"")</f>
        <v/>
      </c>
      <c r="D875" s="59" t="str">
        <f aca="false">IFERROR(IF([2]对账明细接口!$D$875=0,"",[2]对账明细接口!$D$875),"")</f>
        <v/>
      </c>
      <c r="E875" s="59" t="str">
        <f aca="false">IFERROR(IF([2]对账明细接口!$E$875=0,"",[2]对账明细接口!$E$875),"")</f>
        <v/>
      </c>
      <c r="F875" s="59" t="str">
        <f aca="false">IFERROR(IF([2]对账明细接口!$F$875=0,"",[2]对账明细接口!$F$875),"")</f>
        <v/>
      </c>
      <c r="G875" s="59" t="str">
        <f aca="false">IFERROR(IF([2]对账明细接口!$G$875=0,"",[2]对账明细接口!$G$875),"")</f>
        <v/>
      </c>
      <c r="H875" s="60" t="str">
        <f aca="false">IFERROR(IF([2]对账明细接口!$H$875=0,"",[2]对账明细接口!$H$875),"")</f>
        <v/>
      </c>
      <c r="I875" s="59" t="str">
        <f aca="false">IFERROR(IF([2]对账明细接口!$I$875=0,"",[2]对账明细接口!$I$875),"")</f>
        <v/>
      </c>
      <c r="J875" s="61" t="str">
        <f aca="false">IFERROR(IF([2]对账明细接口!$J$875=0,"",[2]对账明细接口!$J$875),"")</f>
        <v/>
      </c>
      <c r="K875" s="61" t="str">
        <f aca="false">IFERROR(IF([2]对账明细接口!$K$875=0,"",[2]对账明细接口!$K$875),"")</f>
        <v/>
      </c>
      <c r="L875" s="59" t="str">
        <f aca="false">IFERROR(IF([2]对账明细接口!$L$875=0,"",[2]对账明细接口!$L$875),"")</f>
        <v/>
      </c>
      <c r="M875" s="59" t="str">
        <f aca="false">IFERROR(IF([2]对账明细接口!$M$875=0,"",[2]对账明细接口!$M$875),"")</f>
        <v/>
      </c>
      <c r="N875" s="111" t="n">
        <f aca="false">IF($C875="",0,1)</f>
        <v>0</v>
      </c>
      <c r="O875" s="111" t="n">
        <f aca="false">N(O874)+$N875</f>
        <v>311</v>
      </c>
      <c r="S875" s="10" t="str">
        <f aca="false">IFERROR(IF([2]对账明细接口!$N875=0,"",[2]对账明细接口!$N875),"")</f>
        <v/>
      </c>
      <c r="T875" s="112" t="str">
        <f aca="false">IFERROR(IF([2]对账明细接口!$O875=0,"",[2]对账明细接口!$O875),"")</f>
        <v/>
      </c>
      <c r="U875" s="112" t="str">
        <f aca="false">IFERROR(IF([2]对账明细接口!$P875=0,"",[2]对账明细接口!$P875),"")</f>
        <v/>
      </c>
      <c r="V875" s="112" t="str">
        <f aca="false">IFERROR(IF([2]对账明细接口!$Q875=0,"",[2]对账明细接口!$Q875),"")</f>
        <v/>
      </c>
      <c r="W875" s="10" t="str">
        <f aca="false">IFERROR(IF([2]对账明细接口!$R875=0,"",[2]对账明细接口!$R875),"")</f>
        <v/>
      </c>
      <c r="X875" s="10" t="str">
        <f aca="false">IFERROR(IF([2]对账明细接口!$S875=0,"",[2]对账明细接口!$S875),"")</f>
        <v/>
      </c>
      <c r="Y875" s="10" t="str">
        <f aca="false">IFERROR(IF([2]对账明细接口!$T875=0,"",[2]对账明细接口!$T875),"")</f>
        <v/>
      </c>
      <c r="Z875" s="113" t="str">
        <f aca="false">IFERROR(IF([2]对账明细接口!$U875=0,"",[2]对账明细接口!$U875),"")</f>
        <v/>
      </c>
      <c r="AA875" s="113" t="str">
        <f aca="false">IFERROR(IF([2]对账明细接口!$V875=0,"",[2]对账明细接口!$V875),"")</f>
        <v/>
      </c>
      <c r="AB875" s="10" t="str">
        <f aca="false">IFERROR(IF([2]对账明细接口!$W875=0,"",[2]对账明细接口!$W875),"")</f>
        <v/>
      </c>
      <c r="AC875" s="90" t="str">
        <f aca="false">IFERROR(IF([2]对账明细接口!$X876=0,"",[2]对账明细接口!$X876),"")</f>
        <v/>
      </c>
      <c r="AD875" s="90" t="str">
        <f aca="false">IFERROR(IF([2]对账明细接口!$Y876=0,"",[2]对账明细接口!$Y876),"")</f>
        <v/>
      </c>
      <c r="AE875" s="90" t="str">
        <f aca="false">IFERROR(IF([2]对账明细接口!$AA876=0,"",[2]对账明细接口!$AA876),"")</f>
        <v/>
      </c>
      <c r="AF875" s="90" t="str">
        <f aca="false">IFERROR(IF([2]对账明细接口!$AB876=0,"",[2]对账明细接口!$AB876),"")</f>
        <v/>
      </c>
      <c r="AG875" s="90" t="str">
        <f aca="false">IFERROR(IF([2]对账明细接口!$AC876=0,"",[2]对账明细接口!$AC876),"")</f>
        <v/>
      </c>
      <c r="AH875" s="90" t="str">
        <f aca="false">IFERROR(IF([2]对账明细接口!$AD876=0,"",[2]对账明细接口!$AD876),"")</f>
        <v/>
      </c>
    </row>
    <row r="876" customFormat="false" ht="13.5" hidden="false" customHeight="false" outlineLevel="0" collapsed="false">
      <c r="A876" s="109" t="n">
        <v>876</v>
      </c>
      <c r="B876" s="110" t="str">
        <f aca="false">IFERROR(IF([2]对账明细接口!$B$876=0,"",[2]对账明细接口!$B$876),"")</f>
        <v/>
      </c>
      <c r="C876" s="59" t="str">
        <f aca="false">IFERROR(IF([2]对账明细接口!$C$876=0,"",[2]对账明细接口!$C$876),"")</f>
        <v/>
      </c>
      <c r="D876" s="59" t="str">
        <f aca="false">IFERROR(IF([2]对账明细接口!$D$876=0,"",[2]对账明细接口!$D$876),"")</f>
        <v/>
      </c>
      <c r="E876" s="59" t="str">
        <f aca="false">IFERROR(IF([2]对账明细接口!$E$876=0,"",[2]对账明细接口!$E$876),"")</f>
        <v/>
      </c>
      <c r="F876" s="59" t="str">
        <f aca="false">IFERROR(IF([2]对账明细接口!$F$876=0,"",[2]对账明细接口!$F$876),"")</f>
        <v/>
      </c>
      <c r="G876" s="59" t="str">
        <f aca="false">IFERROR(IF([2]对账明细接口!$G$876=0,"",[2]对账明细接口!$G$876),"")</f>
        <v/>
      </c>
      <c r="H876" s="60" t="str">
        <f aca="false">IFERROR(IF([2]对账明细接口!$H$876=0,"",[2]对账明细接口!$H$876),"")</f>
        <v/>
      </c>
      <c r="I876" s="59" t="str">
        <f aca="false">IFERROR(IF([2]对账明细接口!$I$876=0,"",[2]对账明细接口!$I$876),"")</f>
        <v/>
      </c>
      <c r="J876" s="61" t="str">
        <f aca="false">IFERROR(IF([2]对账明细接口!$J$876=0,"",[2]对账明细接口!$J$876),"")</f>
        <v/>
      </c>
      <c r="K876" s="61" t="str">
        <f aca="false">IFERROR(IF([2]对账明细接口!$K$876=0,"",[2]对账明细接口!$K$876),"")</f>
        <v/>
      </c>
      <c r="L876" s="59" t="str">
        <f aca="false">IFERROR(IF([2]对账明细接口!$L$876=0,"",[2]对账明细接口!$L$876),"")</f>
        <v/>
      </c>
      <c r="M876" s="59" t="str">
        <f aca="false">IFERROR(IF([2]对账明细接口!$M$876=0,"",[2]对账明细接口!$M$876),"")</f>
        <v/>
      </c>
      <c r="N876" s="111" t="n">
        <f aca="false">IF($C876="",0,1)</f>
        <v>0</v>
      </c>
      <c r="O876" s="111" t="n">
        <f aca="false">N(O875)+$N876</f>
        <v>311</v>
      </c>
      <c r="S876" s="10" t="str">
        <f aca="false">IFERROR(IF([2]对账明细接口!$N876=0,"",[2]对账明细接口!$N876),"")</f>
        <v/>
      </c>
      <c r="T876" s="112" t="str">
        <f aca="false">IFERROR(IF([2]对账明细接口!$O876=0,"",[2]对账明细接口!$O876),"")</f>
        <v/>
      </c>
      <c r="U876" s="112" t="str">
        <f aca="false">IFERROR(IF([2]对账明细接口!$P876=0,"",[2]对账明细接口!$P876),"")</f>
        <v/>
      </c>
      <c r="V876" s="112" t="str">
        <f aca="false">IFERROR(IF([2]对账明细接口!$Q876=0,"",[2]对账明细接口!$Q876),"")</f>
        <v/>
      </c>
      <c r="W876" s="10" t="str">
        <f aca="false">IFERROR(IF([2]对账明细接口!$R876=0,"",[2]对账明细接口!$R876),"")</f>
        <v/>
      </c>
      <c r="X876" s="10" t="str">
        <f aca="false">IFERROR(IF([2]对账明细接口!$S876=0,"",[2]对账明细接口!$S876),"")</f>
        <v/>
      </c>
      <c r="Y876" s="10" t="str">
        <f aca="false">IFERROR(IF([2]对账明细接口!$T876=0,"",[2]对账明细接口!$T876),"")</f>
        <v/>
      </c>
      <c r="Z876" s="113" t="str">
        <f aca="false">IFERROR(IF([2]对账明细接口!$U876=0,"",[2]对账明细接口!$U876),"")</f>
        <v/>
      </c>
      <c r="AA876" s="113" t="str">
        <f aca="false">IFERROR(IF([2]对账明细接口!$V876=0,"",[2]对账明细接口!$V876),"")</f>
        <v/>
      </c>
      <c r="AB876" s="10" t="str">
        <f aca="false">IFERROR(IF([2]对账明细接口!$W876=0,"",[2]对账明细接口!$W876),"")</f>
        <v/>
      </c>
      <c r="AC876" s="90" t="str">
        <f aca="false">IFERROR(IF([2]对账明细接口!$X877=0,"",[2]对账明细接口!$X877),"")</f>
        <v/>
      </c>
      <c r="AD876" s="90" t="str">
        <f aca="false">IFERROR(IF([2]对账明细接口!$Y877=0,"",[2]对账明细接口!$Y877),"")</f>
        <v/>
      </c>
      <c r="AE876" s="90" t="str">
        <f aca="false">IFERROR(IF([2]对账明细接口!$AA877=0,"",[2]对账明细接口!$AA877),"")</f>
        <v/>
      </c>
      <c r="AF876" s="90" t="str">
        <f aca="false">IFERROR(IF([2]对账明细接口!$AB877=0,"",[2]对账明细接口!$AB877),"")</f>
        <v/>
      </c>
      <c r="AG876" s="90" t="str">
        <f aca="false">IFERROR(IF([2]对账明细接口!$AC877=0,"",[2]对账明细接口!$AC877),"")</f>
        <v/>
      </c>
      <c r="AH876" s="90" t="str">
        <f aca="false">IFERROR(IF([2]对账明细接口!$AD877=0,"",[2]对账明细接口!$AD877),"")</f>
        <v/>
      </c>
    </row>
    <row r="877" customFormat="false" ht="13.5" hidden="false" customHeight="false" outlineLevel="0" collapsed="false">
      <c r="A877" s="109" t="n">
        <v>877</v>
      </c>
      <c r="B877" s="110" t="str">
        <f aca="false">IFERROR(IF([2]对账明细接口!$B$877=0,"",[2]对账明细接口!$B$877),"")</f>
        <v/>
      </c>
      <c r="C877" s="59" t="str">
        <f aca="false">IFERROR(IF([2]对账明细接口!$C$877=0,"",[2]对账明细接口!$C$877),"")</f>
        <v/>
      </c>
      <c r="D877" s="59" t="str">
        <f aca="false">IFERROR(IF([2]对账明细接口!$D$877=0,"",[2]对账明细接口!$D$877),"")</f>
        <v/>
      </c>
      <c r="E877" s="59" t="str">
        <f aca="false">IFERROR(IF([2]对账明细接口!$E$877=0,"",[2]对账明细接口!$E$877),"")</f>
        <v/>
      </c>
      <c r="F877" s="59" t="str">
        <f aca="false">IFERROR(IF([2]对账明细接口!$F$877=0,"",[2]对账明细接口!$F$877),"")</f>
        <v/>
      </c>
      <c r="G877" s="59" t="str">
        <f aca="false">IFERROR(IF([2]对账明细接口!$G$877=0,"",[2]对账明细接口!$G$877),"")</f>
        <v/>
      </c>
      <c r="H877" s="60" t="str">
        <f aca="false">IFERROR(IF([2]对账明细接口!$H$877=0,"",[2]对账明细接口!$H$877),"")</f>
        <v/>
      </c>
      <c r="I877" s="59" t="str">
        <f aca="false">IFERROR(IF([2]对账明细接口!$I$877=0,"",[2]对账明细接口!$I$877),"")</f>
        <v/>
      </c>
      <c r="J877" s="61" t="str">
        <f aca="false">IFERROR(IF([2]对账明细接口!$J$877=0,"",[2]对账明细接口!$J$877),"")</f>
        <v/>
      </c>
      <c r="K877" s="61" t="str">
        <f aca="false">IFERROR(IF([2]对账明细接口!$K$877=0,"",[2]对账明细接口!$K$877),"")</f>
        <v/>
      </c>
      <c r="L877" s="59" t="str">
        <f aca="false">IFERROR(IF([2]对账明细接口!$L$877=0,"",[2]对账明细接口!$L$877),"")</f>
        <v/>
      </c>
      <c r="M877" s="59" t="str">
        <f aca="false">IFERROR(IF([2]对账明细接口!$M$877=0,"",[2]对账明细接口!$M$877),"")</f>
        <v/>
      </c>
      <c r="N877" s="111" t="n">
        <f aca="false">IF($C877="",0,1)</f>
        <v>0</v>
      </c>
      <c r="O877" s="111" t="n">
        <f aca="false">N(O876)+$N877</f>
        <v>311</v>
      </c>
      <c r="S877" s="10" t="str">
        <f aca="false">IFERROR(IF([2]对账明细接口!$N877=0,"",[2]对账明细接口!$N877),"")</f>
        <v/>
      </c>
      <c r="T877" s="112" t="str">
        <f aca="false">IFERROR(IF([2]对账明细接口!$O877=0,"",[2]对账明细接口!$O877),"")</f>
        <v/>
      </c>
      <c r="U877" s="112" t="str">
        <f aca="false">IFERROR(IF([2]对账明细接口!$P877=0,"",[2]对账明细接口!$P877),"")</f>
        <v/>
      </c>
      <c r="V877" s="112" t="str">
        <f aca="false">IFERROR(IF([2]对账明细接口!$Q877=0,"",[2]对账明细接口!$Q877),"")</f>
        <v/>
      </c>
      <c r="W877" s="10" t="str">
        <f aca="false">IFERROR(IF([2]对账明细接口!$R877=0,"",[2]对账明细接口!$R877),"")</f>
        <v/>
      </c>
      <c r="X877" s="10" t="str">
        <f aca="false">IFERROR(IF([2]对账明细接口!$S877=0,"",[2]对账明细接口!$S877),"")</f>
        <v/>
      </c>
      <c r="Y877" s="10" t="str">
        <f aca="false">IFERROR(IF([2]对账明细接口!$T877=0,"",[2]对账明细接口!$T877),"")</f>
        <v/>
      </c>
      <c r="Z877" s="113" t="str">
        <f aca="false">IFERROR(IF([2]对账明细接口!$U877=0,"",[2]对账明细接口!$U877),"")</f>
        <v/>
      </c>
      <c r="AA877" s="113" t="str">
        <f aca="false">IFERROR(IF([2]对账明细接口!$V877=0,"",[2]对账明细接口!$V877),"")</f>
        <v/>
      </c>
      <c r="AB877" s="10" t="str">
        <f aca="false">IFERROR(IF([2]对账明细接口!$W877=0,"",[2]对账明细接口!$W877),"")</f>
        <v/>
      </c>
      <c r="AC877" s="90" t="str">
        <f aca="false">IFERROR(IF([2]对账明细接口!$X878=0,"",[2]对账明细接口!$X878),"")</f>
        <v/>
      </c>
      <c r="AD877" s="90" t="str">
        <f aca="false">IFERROR(IF([2]对账明细接口!$Y878=0,"",[2]对账明细接口!$Y878),"")</f>
        <v/>
      </c>
      <c r="AE877" s="90" t="str">
        <f aca="false">IFERROR(IF([2]对账明细接口!$AA878=0,"",[2]对账明细接口!$AA878),"")</f>
        <v/>
      </c>
      <c r="AF877" s="90" t="str">
        <f aca="false">IFERROR(IF([2]对账明细接口!$AB878=0,"",[2]对账明细接口!$AB878),"")</f>
        <v/>
      </c>
      <c r="AG877" s="90" t="str">
        <f aca="false">IFERROR(IF([2]对账明细接口!$AC878=0,"",[2]对账明细接口!$AC878),"")</f>
        <v/>
      </c>
      <c r="AH877" s="90" t="str">
        <f aca="false">IFERROR(IF([2]对账明细接口!$AD878=0,"",[2]对账明细接口!$AD878),"")</f>
        <v/>
      </c>
    </row>
    <row r="878" customFormat="false" ht="13.5" hidden="false" customHeight="false" outlineLevel="0" collapsed="false">
      <c r="A878" s="109" t="n">
        <v>878</v>
      </c>
      <c r="B878" s="110" t="str">
        <f aca="false">IFERROR(IF([2]对账明细接口!$B$878=0,"",[2]对账明细接口!$B$878),"")</f>
        <v/>
      </c>
      <c r="C878" s="59" t="str">
        <f aca="false">IFERROR(IF([2]对账明细接口!$C$878=0,"",[2]对账明细接口!$C$878),"")</f>
        <v/>
      </c>
      <c r="D878" s="59" t="str">
        <f aca="false">IFERROR(IF([2]对账明细接口!$D$878=0,"",[2]对账明细接口!$D$878),"")</f>
        <v/>
      </c>
      <c r="E878" s="59" t="str">
        <f aca="false">IFERROR(IF([2]对账明细接口!$E$878=0,"",[2]对账明细接口!$E$878),"")</f>
        <v/>
      </c>
      <c r="F878" s="59" t="str">
        <f aca="false">IFERROR(IF([2]对账明细接口!$F$878=0,"",[2]对账明细接口!$F$878),"")</f>
        <v/>
      </c>
      <c r="G878" s="59" t="str">
        <f aca="false">IFERROR(IF([2]对账明细接口!$G$878=0,"",[2]对账明细接口!$G$878),"")</f>
        <v/>
      </c>
      <c r="H878" s="60" t="str">
        <f aca="false">IFERROR(IF([2]对账明细接口!$H$878=0,"",[2]对账明细接口!$H$878),"")</f>
        <v/>
      </c>
      <c r="I878" s="59" t="str">
        <f aca="false">IFERROR(IF([2]对账明细接口!$I$878=0,"",[2]对账明细接口!$I$878),"")</f>
        <v/>
      </c>
      <c r="J878" s="61" t="str">
        <f aca="false">IFERROR(IF([2]对账明细接口!$J$878=0,"",[2]对账明细接口!$J$878),"")</f>
        <v/>
      </c>
      <c r="K878" s="61" t="str">
        <f aca="false">IFERROR(IF([2]对账明细接口!$K$878=0,"",[2]对账明细接口!$K$878),"")</f>
        <v/>
      </c>
      <c r="L878" s="59" t="str">
        <f aca="false">IFERROR(IF([2]对账明细接口!$L$878=0,"",[2]对账明细接口!$L$878),"")</f>
        <v/>
      </c>
      <c r="M878" s="59" t="str">
        <f aca="false">IFERROR(IF([2]对账明细接口!$M$878=0,"",[2]对账明细接口!$M$878),"")</f>
        <v/>
      </c>
      <c r="N878" s="111" t="n">
        <f aca="false">IF($C878="",0,1)</f>
        <v>0</v>
      </c>
      <c r="O878" s="111" t="n">
        <f aca="false">N(O877)+$N878</f>
        <v>311</v>
      </c>
      <c r="S878" s="10" t="str">
        <f aca="false">IFERROR(IF([2]对账明细接口!$N878=0,"",[2]对账明细接口!$N878),"")</f>
        <v/>
      </c>
      <c r="T878" s="112" t="str">
        <f aca="false">IFERROR(IF([2]对账明细接口!$O878=0,"",[2]对账明细接口!$O878),"")</f>
        <v/>
      </c>
      <c r="U878" s="112" t="str">
        <f aca="false">IFERROR(IF([2]对账明细接口!$P878=0,"",[2]对账明细接口!$P878),"")</f>
        <v/>
      </c>
      <c r="V878" s="112" t="str">
        <f aca="false">IFERROR(IF([2]对账明细接口!$Q878=0,"",[2]对账明细接口!$Q878),"")</f>
        <v/>
      </c>
      <c r="W878" s="10" t="str">
        <f aca="false">IFERROR(IF([2]对账明细接口!$R878=0,"",[2]对账明细接口!$R878),"")</f>
        <v/>
      </c>
      <c r="X878" s="10" t="str">
        <f aca="false">IFERROR(IF([2]对账明细接口!$S878=0,"",[2]对账明细接口!$S878),"")</f>
        <v/>
      </c>
      <c r="Y878" s="10" t="str">
        <f aca="false">IFERROR(IF([2]对账明细接口!$T878=0,"",[2]对账明细接口!$T878),"")</f>
        <v/>
      </c>
      <c r="Z878" s="113" t="str">
        <f aca="false">IFERROR(IF([2]对账明细接口!$U878=0,"",[2]对账明细接口!$U878),"")</f>
        <v/>
      </c>
      <c r="AA878" s="113" t="str">
        <f aca="false">IFERROR(IF([2]对账明细接口!$V878=0,"",[2]对账明细接口!$V878),"")</f>
        <v/>
      </c>
      <c r="AB878" s="10" t="str">
        <f aca="false">IFERROR(IF([2]对账明细接口!$W878=0,"",[2]对账明细接口!$W878),"")</f>
        <v/>
      </c>
      <c r="AC878" s="90" t="str">
        <f aca="false">IFERROR(IF([2]对账明细接口!$X879=0,"",[2]对账明细接口!$X879),"")</f>
        <v/>
      </c>
      <c r="AD878" s="90" t="str">
        <f aca="false">IFERROR(IF([2]对账明细接口!$Y879=0,"",[2]对账明细接口!$Y879),"")</f>
        <v/>
      </c>
      <c r="AE878" s="90" t="str">
        <f aca="false">IFERROR(IF([2]对账明细接口!$AA879=0,"",[2]对账明细接口!$AA879),"")</f>
        <v/>
      </c>
      <c r="AF878" s="90" t="str">
        <f aca="false">IFERROR(IF([2]对账明细接口!$AB879=0,"",[2]对账明细接口!$AB879),"")</f>
        <v/>
      </c>
      <c r="AG878" s="90" t="str">
        <f aca="false">IFERROR(IF([2]对账明细接口!$AC879=0,"",[2]对账明细接口!$AC879),"")</f>
        <v/>
      </c>
      <c r="AH878" s="90" t="str">
        <f aca="false">IFERROR(IF([2]对账明细接口!$AD879=0,"",[2]对账明细接口!$AD879),"")</f>
        <v/>
      </c>
    </row>
    <row r="879" customFormat="false" ht="13.5" hidden="false" customHeight="false" outlineLevel="0" collapsed="false">
      <c r="A879" s="109" t="n">
        <v>879</v>
      </c>
      <c r="B879" s="110" t="str">
        <f aca="false">IFERROR(IF([2]对账明细接口!$B$879=0,"",[2]对账明细接口!$B$879),"")</f>
        <v/>
      </c>
      <c r="C879" s="59" t="str">
        <f aca="false">IFERROR(IF([2]对账明细接口!$C$879=0,"",[2]对账明细接口!$C$879),"")</f>
        <v/>
      </c>
      <c r="D879" s="59" t="str">
        <f aca="false">IFERROR(IF([2]对账明细接口!$D$879=0,"",[2]对账明细接口!$D$879),"")</f>
        <v/>
      </c>
      <c r="E879" s="59" t="str">
        <f aca="false">IFERROR(IF([2]对账明细接口!$E$879=0,"",[2]对账明细接口!$E$879),"")</f>
        <v/>
      </c>
      <c r="F879" s="59" t="str">
        <f aca="false">IFERROR(IF([2]对账明细接口!$F$879=0,"",[2]对账明细接口!$F$879),"")</f>
        <v/>
      </c>
      <c r="G879" s="59" t="str">
        <f aca="false">IFERROR(IF([2]对账明细接口!$G$879=0,"",[2]对账明细接口!$G$879),"")</f>
        <v/>
      </c>
      <c r="H879" s="60" t="str">
        <f aca="false">IFERROR(IF([2]对账明细接口!$H$879=0,"",[2]对账明细接口!$H$879),"")</f>
        <v/>
      </c>
      <c r="I879" s="59" t="str">
        <f aca="false">IFERROR(IF([2]对账明细接口!$I$879=0,"",[2]对账明细接口!$I$879),"")</f>
        <v/>
      </c>
      <c r="J879" s="61" t="str">
        <f aca="false">IFERROR(IF([2]对账明细接口!$J$879=0,"",[2]对账明细接口!$J$879),"")</f>
        <v/>
      </c>
      <c r="K879" s="61" t="str">
        <f aca="false">IFERROR(IF([2]对账明细接口!$K$879=0,"",[2]对账明细接口!$K$879),"")</f>
        <v/>
      </c>
      <c r="L879" s="59" t="str">
        <f aca="false">IFERROR(IF([2]对账明细接口!$L$879=0,"",[2]对账明细接口!$L$879),"")</f>
        <v/>
      </c>
      <c r="M879" s="59" t="str">
        <f aca="false">IFERROR(IF([2]对账明细接口!$M$879=0,"",[2]对账明细接口!$M$879),"")</f>
        <v/>
      </c>
      <c r="N879" s="111" t="n">
        <f aca="false">IF($C879="",0,1)</f>
        <v>0</v>
      </c>
      <c r="O879" s="111" t="n">
        <f aca="false">N(O878)+$N879</f>
        <v>311</v>
      </c>
      <c r="S879" s="10" t="str">
        <f aca="false">IFERROR(IF([2]对账明细接口!$N879=0,"",[2]对账明细接口!$N879),"")</f>
        <v/>
      </c>
      <c r="T879" s="112" t="str">
        <f aca="false">IFERROR(IF([2]对账明细接口!$O879=0,"",[2]对账明细接口!$O879),"")</f>
        <v/>
      </c>
      <c r="U879" s="112" t="str">
        <f aca="false">IFERROR(IF([2]对账明细接口!$P879=0,"",[2]对账明细接口!$P879),"")</f>
        <v/>
      </c>
      <c r="V879" s="112" t="str">
        <f aca="false">IFERROR(IF([2]对账明细接口!$Q879=0,"",[2]对账明细接口!$Q879),"")</f>
        <v/>
      </c>
      <c r="W879" s="10" t="str">
        <f aca="false">IFERROR(IF([2]对账明细接口!$R879=0,"",[2]对账明细接口!$R879),"")</f>
        <v/>
      </c>
      <c r="X879" s="10" t="str">
        <f aca="false">IFERROR(IF([2]对账明细接口!$S879=0,"",[2]对账明细接口!$S879),"")</f>
        <v/>
      </c>
      <c r="Y879" s="10" t="str">
        <f aca="false">IFERROR(IF([2]对账明细接口!$T879=0,"",[2]对账明细接口!$T879),"")</f>
        <v/>
      </c>
      <c r="Z879" s="113" t="str">
        <f aca="false">IFERROR(IF([2]对账明细接口!$U879=0,"",[2]对账明细接口!$U879),"")</f>
        <v/>
      </c>
      <c r="AA879" s="113" t="str">
        <f aca="false">IFERROR(IF([2]对账明细接口!$V879=0,"",[2]对账明细接口!$V879),"")</f>
        <v/>
      </c>
      <c r="AB879" s="10" t="str">
        <f aca="false">IFERROR(IF([2]对账明细接口!$W879=0,"",[2]对账明细接口!$W879),"")</f>
        <v/>
      </c>
      <c r="AC879" s="90" t="str">
        <f aca="false">IFERROR(IF([2]对账明细接口!$X880=0,"",[2]对账明细接口!$X880),"")</f>
        <v/>
      </c>
      <c r="AD879" s="90" t="str">
        <f aca="false">IFERROR(IF([2]对账明细接口!$Y880=0,"",[2]对账明细接口!$Y880),"")</f>
        <v/>
      </c>
      <c r="AE879" s="90" t="str">
        <f aca="false">IFERROR(IF([2]对账明细接口!$AA880=0,"",[2]对账明细接口!$AA880),"")</f>
        <v/>
      </c>
      <c r="AF879" s="90" t="str">
        <f aca="false">IFERROR(IF([2]对账明细接口!$AB880=0,"",[2]对账明细接口!$AB880),"")</f>
        <v/>
      </c>
      <c r="AG879" s="90" t="str">
        <f aca="false">IFERROR(IF([2]对账明细接口!$AC880=0,"",[2]对账明细接口!$AC880),"")</f>
        <v/>
      </c>
      <c r="AH879" s="90" t="str">
        <f aca="false">IFERROR(IF([2]对账明细接口!$AD880=0,"",[2]对账明细接口!$AD880),"")</f>
        <v/>
      </c>
    </row>
    <row r="880" customFormat="false" ht="13.5" hidden="false" customHeight="false" outlineLevel="0" collapsed="false">
      <c r="A880" s="109" t="n">
        <v>880</v>
      </c>
      <c r="B880" s="110" t="str">
        <f aca="false">IFERROR(IF([2]对账明细接口!$B$880=0,"",[2]对账明细接口!$B$880),"")</f>
        <v/>
      </c>
      <c r="C880" s="59" t="str">
        <f aca="false">IFERROR(IF([2]对账明细接口!$C$880=0,"",[2]对账明细接口!$C$880),"")</f>
        <v/>
      </c>
      <c r="D880" s="59" t="str">
        <f aca="false">IFERROR(IF([2]对账明细接口!$D$880=0,"",[2]对账明细接口!$D$880),"")</f>
        <v/>
      </c>
      <c r="E880" s="59" t="str">
        <f aca="false">IFERROR(IF([2]对账明细接口!$E$880=0,"",[2]对账明细接口!$E$880),"")</f>
        <v/>
      </c>
      <c r="F880" s="59" t="str">
        <f aca="false">IFERROR(IF([2]对账明细接口!$F$880=0,"",[2]对账明细接口!$F$880),"")</f>
        <v/>
      </c>
      <c r="G880" s="59" t="str">
        <f aca="false">IFERROR(IF([2]对账明细接口!$G$880=0,"",[2]对账明细接口!$G$880),"")</f>
        <v/>
      </c>
      <c r="H880" s="60" t="str">
        <f aca="false">IFERROR(IF([2]对账明细接口!$H$880=0,"",[2]对账明细接口!$H$880),"")</f>
        <v/>
      </c>
      <c r="I880" s="59" t="str">
        <f aca="false">IFERROR(IF([2]对账明细接口!$I$880=0,"",[2]对账明细接口!$I$880),"")</f>
        <v/>
      </c>
      <c r="J880" s="61" t="str">
        <f aca="false">IFERROR(IF([2]对账明细接口!$J$880=0,"",[2]对账明细接口!$J$880),"")</f>
        <v/>
      </c>
      <c r="K880" s="61" t="str">
        <f aca="false">IFERROR(IF([2]对账明细接口!$K$880=0,"",[2]对账明细接口!$K$880),"")</f>
        <v/>
      </c>
      <c r="L880" s="59" t="str">
        <f aca="false">IFERROR(IF([2]对账明细接口!$L$880=0,"",[2]对账明细接口!$L$880),"")</f>
        <v/>
      </c>
      <c r="M880" s="59" t="str">
        <f aca="false">IFERROR(IF([2]对账明细接口!$M$880=0,"",[2]对账明细接口!$M$880),"")</f>
        <v/>
      </c>
      <c r="N880" s="111" t="n">
        <f aca="false">IF($C880="",0,1)</f>
        <v>0</v>
      </c>
      <c r="O880" s="111" t="n">
        <f aca="false">N(O879)+$N880</f>
        <v>311</v>
      </c>
      <c r="S880" s="10" t="str">
        <f aca="false">IFERROR(IF([2]对账明细接口!$N880=0,"",[2]对账明细接口!$N880),"")</f>
        <v/>
      </c>
      <c r="T880" s="112" t="str">
        <f aca="false">IFERROR(IF([2]对账明细接口!$O880=0,"",[2]对账明细接口!$O880),"")</f>
        <v/>
      </c>
      <c r="U880" s="112" t="str">
        <f aca="false">IFERROR(IF([2]对账明细接口!$P880=0,"",[2]对账明细接口!$P880),"")</f>
        <v/>
      </c>
      <c r="V880" s="112" t="str">
        <f aca="false">IFERROR(IF([2]对账明细接口!$Q880=0,"",[2]对账明细接口!$Q880),"")</f>
        <v/>
      </c>
      <c r="W880" s="10" t="str">
        <f aca="false">IFERROR(IF([2]对账明细接口!$R880=0,"",[2]对账明细接口!$R880),"")</f>
        <v/>
      </c>
      <c r="X880" s="10" t="str">
        <f aca="false">IFERROR(IF([2]对账明细接口!$S880=0,"",[2]对账明细接口!$S880),"")</f>
        <v/>
      </c>
      <c r="Y880" s="10" t="str">
        <f aca="false">IFERROR(IF([2]对账明细接口!$T880=0,"",[2]对账明细接口!$T880),"")</f>
        <v/>
      </c>
      <c r="Z880" s="113" t="str">
        <f aca="false">IFERROR(IF([2]对账明细接口!$U880=0,"",[2]对账明细接口!$U880),"")</f>
        <v/>
      </c>
      <c r="AA880" s="113" t="str">
        <f aca="false">IFERROR(IF([2]对账明细接口!$V880=0,"",[2]对账明细接口!$V880),"")</f>
        <v/>
      </c>
      <c r="AB880" s="10" t="str">
        <f aca="false">IFERROR(IF([2]对账明细接口!$W880=0,"",[2]对账明细接口!$W880),"")</f>
        <v/>
      </c>
      <c r="AC880" s="90" t="str">
        <f aca="false">IFERROR(IF([2]对账明细接口!$X881=0,"",[2]对账明细接口!$X881),"")</f>
        <v/>
      </c>
      <c r="AD880" s="90" t="str">
        <f aca="false">IFERROR(IF([2]对账明细接口!$Y881=0,"",[2]对账明细接口!$Y881),"")</f>
        <v/>
      </c>
      <c r="AE880" s="90" t="str">
        <f aca="false">IFERROR(IF([2]对账明细接口!$AA881=0,"",[2]对账明细接口!$AA881),"")</f>
        <v/>
      </c>
      <c r="AF880" s="90" t="str">
        <f aca="false">IFERROR(IF([2]对账明细接口!$AB881=0,"",[2]对账明细接口!$AB881),"")</f>
        <v/>
      </c>
      <c r="AG880" s="90" t="str">
        <f aca="false">IFERROR(IF([2]对账明细接口!$AC881=0,"",[2]对账明细接口!$AC881),"")</f>
        <v/>
      </c>
      <c r="AH880" s="90" t="str">
        <f aca="false">IFERROR(IF([2]对账明细接口!$AD881=0,"",[2]对账明细接口!$AD881),"")</f>
        <v/>
      </c>
    </row>
    <row r="881" customFormat="false" ht="13.5" hidden="false" customHeight="false" outlineLevel="0" collapsed="false">
      <c r="A881" s="109" t="n">
        <v>881</v>
      </c>
      <c r="B881" s="110" t="str">
        <f aca="false">IFERROR(IF([2]对账明细接口!$B$881=0,"",[2]对账明细接口!$B$881),"")</f>
        <v/>
      </c>
      <c r="C881" s="59" t="str">
        <f aca="false">IFERROR(IF([2]对账明细接口!$C$881=0,"",[2]对账明细接口!$C$881),"")</f>
        <v/>
      </c>
      <c r="D881" s="59" t="str">
        <f aca="false">IFERROR(IF([2]对账明细接口!$D$881=0,"",[2]对账明细接口!$D$881),"")</f>
        <v/>
      </c>
      <c r="E881" s="59" t="str">
        <f aca="false">IFERROR(IF([2]对账明细接口!$E$881=0,"",[2]对账明细接口!$E$881),"")</f>
        <v/>
      </c>
      <c r="F881" s="59" t="str">
        <f aca="false">IFERROR(IF([2]对账明细接口!$F$881=0,"",[2]对账明细接口!$F$881),"")</f>
        <v/>
      </c>
      <c r="G881" s="59" t="str">
        <f aca="false">IFERROR(IF([2]对账明细接口!$G$881=0,"",[2]对账明细接口!$G$881),"")</f>
        <v/>
      </c>
      <c r="H881" s="60" t="str">
        <f aca="false">IFERROR(IF([2]对账明细接口!$H$881=0,"",[2]对账明细接口!$H$881),"")</f>
        <v/>
      </c>
      <c r="I881" s="59" t="str">
        <f aca="false">IFERROR(IF([2]对账明细接口!$I$881=0,"",[2]对账明细接口!$I$881),"")</f>
        <v/>
      </c>
      <c r="J881" s="61" t="str">
        <f aca="false">IFERROR(IF([2]对账明细接口!$J$881=0,"",[2]对账明细接口!$J$881),"")</f>
        <v/>
      </c>
      <c r="K881" s="61" t="str">
        <f aca="false">IFERROR(IF([2]对账明细接口!$K$881=0,"",[2]对账明细接口!$K$881),"")</f>
        <v/>
      </c>
      <c r="L881" s="59" t="str">
        <f aca="false">IFERROR(IF([2]对账明细接口!$L$881=0,"",[2]对账明细接口!$L$881),"")</f>
        <v/>
      </c>
      <c r="M881" s="59" t="str">
        <f aca="false">IFERROR(IF([2]对账明细接口!$M$881=0,"",[2]对账明细接口!$M$881),"")</f>
        <v/>
      </c>
      <c r="N881" s="111" t="n">
        <f aca="false">IF($C881="",0,1)</f>
        <v>0</v>
      </c>
      <c r="O881" s="111" t="n">
        <f aca="false">N(O880)+$N881</f>
        <v>311</v>
      </c>
      <c r="S881" s="10" t="str">
        <f aca="false">IFERROR(IF([2]对账明细接口!$N881=0,"",[2]对账明细接口!$N881),"")</f>
        <v/>
      </c>
      <c r="T881" s="112" t="str">
        <f aca="false">IFERROR(IF([2]对账明细接口!$O881=0,"",[2]对账明细接口!$O881),"")</f>
        <v/>
      </c>
      <c r="U881" s="112" t="str">
        <f aca="false">IFERROR(IF([2]对账明细接口!$P881=0,"",[2]对账明细接口!$P881),"")</f>
        <v/>
      </c>
      <c r="V881" s="112" t="str">
        <f aca="false">IFERROR(IF([2]对账明细接口!$Q881=0,"",[2]对账明细接口!$Q881),"")</f>
        <v/>
      </c>
      <c r="W881" s="10" t="str">
        <f aca="false">IFERROR(IF([2]对账明细接口!$R881=0,"",[2]对账明细接口!$R881),"")</f>
        <v/>
      </c>
      <c r="X881" s="10" t="str">
        <f aca="false">IFERROR(IF([2]对账明细接口!$S881=0,"",[2]对账明细接口!$S881),"")</f>
        <v/>
      </c>
      <c r="Y881" s="10" t="str">
        <f aca="false">IFERROR(IF([2]对账明细接口!$T881=0,"",[2]对账明细接口!$T881),"")</f>
        <v/>
      </c>
      <c r="Z881" s="113" t="str">
        <f aca="false">IFERROR(IF([2]对账明细接口!$U881=0,"",[2]对账明细接口!$U881),"")</f>
        <v/>
      </c>
      <c r="AA881" s="113" t="str">
        <f aca="false">IFERROR(IF([2]对账明细接口!$V881=0,"",[2]对账明细接口!$V881),"")</f>
        <v/>
      </c>
      <c r="AB881" s="10" t="str">
        <f aca="false">IFERROR(IF([2]对账明细接口!$W881=0,"",[2]对账明细接口!$W881),"")</f>
        <v/>
      </c>
      <c r="AC881" s="90" t="str">
        <f aca="false">IFERROR(IF([2]对账明细接口!$X882=0,"",[2]对账明细接口!$X882),"")</f>
        <v/>
      </c>
      <c r="AD881" s="90" t="str">
        <f aca="false">IFERROR(IF([2]对账明细接口!$Y882=0,"",[2]对账明细接口!$Y882),"")</f>
        <v/>
      </c>
      <c r="AE881" s="90" t="str">
        <f aca="false">IFERROR(IF([2]对账明细接口!$AA882=0,"",[2]对账明细接口!$AA882),"")</f>
        <v/>
      </c>
      <c r="AF881" s="90" t="str">
        <f aca="false">IFERROR(IF([2]对账明细接口!$AB882=0,"",[2]对账明细接口!$AB882),"")</f>
        <v/>
      </c>
      <c r="AG881" s="90" t="str">
        <f aca="false">IFERROR(IF([2]对账明细接口!$AC882=0,"",[2]对账明细接口!$AC882),"")</f>
        <v/>
      </c>
      <c r="AH881" s="90" t="str">
        <f aca="false">IFERROR(IF([2]对账明细接口!$AD882=0,"",[2]对账明细接口!$AD882),"")</f>
        <v/>
      </c>
    </row>
    <row r="882" customFormat="false" ht="13.5" hidden="false" customHeight="false" outlineLevel="0" collapsed="false">
      <c r="A882" s="109" t="n">
        <v>882</v>
      </c>
      <c r="B882" s="110" t="str">
        <f aca="false">IFERROR(IF([2]对账明细接口!$B$882=0,"",[2]对账明细接口!$B$882),"")</f>
        <v/>
      </c>
      <c r="C882" s="59" t="str">
        <f aca="false">IFERROR(IF([2]对账明细接口!$C$882=0,"",[2]对账明细接口!$C$882),"")</f>
        <v/>
      </c>
      <c r="D882" s="59" t="str">
        <f aca="false">IFERROR(IF([2]对账明细接口!$D$882=0,"",[2]对账明细接口!$D$882),"")</f>
        <v/>
      </c>
      <c r="E882" s="59" t="str">
        <f aca="false">IFERROR(IF([2]对账明细接口!$E$882=0,"",[2]对账明细接口!$E$882),"")</f>
        <v/>
      </c>
      <c r="F882" s="59" t="str">
        <f aca="false">IFERROR(IF([2]对账明细接口!$F$882=0,"",[2]对账明细接口!$F$882),"")</f>
        <v/>
      </c>
      <c r="G882" s="59" t="str">
        <f aca="false">IFERROR(IF([2]对账明细接口!$G$882=0,"",[2]对账明细接口!$G$882),"")</f>
        <v/>
      </c>
      <c r="H882" s="60" t="str">
        <f aca="false">IFERROR(IF([2]对账明细接口!$H$882=0,"",[2]对账明细接口!$H$882),"")</f>
        <v/>
      </c>
      <c r="I882" s="59" t="str">
        <f aca="false">IFERROR(IF([2]对账明细接口!$I$882=0,"",[2]对账明细接口!$I$882),"")</f>
        <v/>
      </c>
      <c r="J882" s="61" t="str">
        <f aca="false">IFERROR(IF([2]对账明细接口!$J$882=0,"",[2]对账明细接口!$J$882),"")</f>
        <v/>
      </c>
      <c r="K882" s="61" t="str">
        <f aca="false">IFERROR(IF([2]对账明细接口!$K$882=0,"",[2]对账明细接口!$K$882),"")</f>
        <v/>
      </c>
      <c r="L882" s="59" t="str">
        <f aca="false">IFERROR(IF([2]对账明细接口!$L$882=0,"",[2]对账明细接口!$L$882),"")</f>
        <v/>
      </c>
      <c r="M882" s="59" t="str">
        <f aca="false">IFERROR(IF([2]对账明细接口!$M$882=0,"",[2]对账明细接口!$M$882),"")</f>
        <v/>
      </c>
      <c r="N882" s="111" t="n">
        <f aca="false">IF($C882="",0,1)</f>
        <v>0</v>
      </c>
      <c r="O882" s="111" t="n">
        <f aca="false">N(O881)+$N882</f>
        <v>311</v>
      </c>
      <c r="S882" s="10" t="str">
        <f aca="false">IFERROR(IF([2]对账明细接口!$N882=0,"",[2]对账明细接口!$N882),"")</f>
        <v/>
      </c>
      <c r="T882" s="112" t="str">
        <f aca="false">IFERROR(IF([2]对账明细接口!$O882=0,"",[2]对账明细接口!$O882),"")</f>
        <v/>
      </c>
      <c r="U882" s="112" t="str">
        <f aca="false">IFERROR(IF([2]对账明细接口!$P882=0,"",[2]对账明细接口!$P882),"")</f>
        <v/>
      </c>
      <c r="V882" s="112" t="str">
        <f aca="false">IFERROR(IF([2]对账明细接口!$Q882=0,"",[2]对账明细接口!$Q882),"")</f>
        <v/>
      </c>
      <c r="W882" s="10" t="str">
        <f aca="false">IFERROR(IF([2]对账明细接口!$R882=0,"",[2]对账明细接口!$R882),"")</f>
        <v/>
      </c>
      <c r="X882" s="10" t="str">
        <f aca="false">IFERROR(IF([2]对账明细接口!$S882=0,"",[2]对账明细接口!$S882),"")</f>
        <v/>
      </c>
      <c r="Y882" s="10" t="str">
        <f aca="false">IFERROR(IF([2]对账明细接口!$T882=0,"",[2]对账明细接口!$T882),"")</f>
        <v/>
      </c>
      <c r="Z882" s="113" t="str">
        <f aca="false">IFERROR(IF([2]对账明细接口!$U882=0,"",[2]对账明细接口!$U882),"")</f>
        <v/>
      </c>
      <c r="AA882" s="113" t="str">
        <f aca="false">IFERROR(IF([2]对账明细接口!$V882=0,"",[2]对账明细接口!$V882),"")</f>
        <v/>
      </c>
      <c r="AB882" s="10" t="str">
        <f aca="false">IFERROR(IF([2]对账明细接口!$W882=0,"",[2]对账明细接口!$W882),"")</f>
        <v/>
      </c>
      <c r="AC882" s="90" t="str">
        <f aca="false">IFERROR(IF([2]对账明细接口!$X883=0,"",[2]对账明细接口!$X883),"")</f>
        <v/>
      </c>
      <c r="AD882" s="90" t="str">
        <f aca="false">IFERROR(IF([2]对账明细接口!$Y883=0,"",[2]对账明细接口!$Y883),"")</f>
        <v/>
      </c>
      <c r="AE882" s="90" t="str">
        <f aca="false">IFERROR(IF([2]对账明细接口!$AA883=0,"",[2]对账明细接口!$AA883),"")</f>
        <v/>
      </c>
      <c r="AF882" s="90" t="str">
        <f aca="false">IFERROR(IF([2]对账明细接口!$AB883=0,"",[2]对账明细接口!$AB883),"")</f>
        <v/>
      </c>
      <c r="AG882" s="90" t="str">
        <f aca="false">IFERROR(IF([2]对账明细接口!$AC883=0,"",[2]对账明细接口!$AC883),"")</f>
        <v/>
      </c>
      <c r="AH882" s="90" t="str">
        <f aca="false">IFERROR(IF([2]对账明细接口!$AD883=0,"",[2]对账明细接口!$AD883),"")</f>
        <v/>
      </c>
    </row>
    <row r="883" customFormat="false" ht="13.5" hidden="false" customHeight="false" outlineLevel="0" collapsed="false">
      <c r="A883" s="109" t="n">
        <v>883</v>
      </c>
      <c r="B883" s="110" t="str">
        <f aca="false">IFERROR(IF([2]对账明细接口!$B$883=0,"",[2]对账明细接口!$B$883),"")</f>
        <v/>
      </c>
      <c r="C883" s="59" t="str">
        <f aca="false">IFERROR(IF([2]对账明细接口!$C$883=0,"",[2]对账明细接口!$C$883),"")</f>
        <v/>
      </c>
      <c r="D883" s="59" t="str">
        <f aca="false">IFERROR(IF([2]对账明细接口!$D$883=0,"",[2]对账明细接口!$D$883),"")</f>
        <v/>
      </c>
      <c r="E883" s="59" t="str">
        <f aca="false">IFERROR(IF([2]对账明细接口!$E$883=0,"",[2]对账明细接口!$E$883),"")</f>
        <v/>
      </c>
      <c r="F883" s="59" t="str">
        <f aca="false">IFERROR(IF([2]对账明细接口!$F$883=0,"",[2]对账明细接口!$F$883),"")</f>
        <v/>
      </c>
      <c r="G883" s="59" t="str">
        <f aca="false">IFERROR(IF([2]对账明细接口!$G$883=0,"",[2]对账明细接口!$G$883),"")</f>
        <v/>
      </c>
      <c r="H883" s="60" t="str">
        <f aca="false">IFERROR(IF([2]对账明细接口!$H$883=0,"",[2]对账明细接口!$H$883),"")</f>
        <v/>
      </c>
      <c r="I883" s="59" t="str">
        <f aca="false">IFERROR(IF([2]对账明细接口!$I$883=0,"",[2]对账明细接口!$I$883),"")</f>
        <v/>
      </c>
      <c r="J883" s="61" t="str">
        <f aca="false">IFERROR(IF([2]对账明细接口!$J$883=0,"",[2]对账明细接口!$J$883),"")</f>
        <v/>
      </c>
      <c r="K883" s="61" t="str">
        <f aca="false">IFERROR(IF([2]对账明细接口!$K$883=0,"",[2]对账明细接口!$K$883),"")</f>
        <v/>
      </c>
      <c r="L883" s="59" t="str">
        <f aca="false">IFERROR(IF([2]对账明细接口!$L$883=0,"",[2]对账明细接口!$L$883),"")</f>
        <v/>
      </c>
      <c r="M883" s="59" t="str">
        <f aca="false">IFERROR(IF([2]对账明细接口!$M$883=0,"",[2]对账明细接口!$M$883),"")</f>
        <v/>
      </c>
      <c r="N883" s="111" t="n">
        <f aca="false">IF($C883="",0,1)</f>
        <v>0</v>
      </c>
      <c r="O883" s="111" t="n">
        <f aca="false">N(O882)+$N883</f>
        <v>311</v>
      </c>
      <c r="S883" s="10" t="str">
        <f aca="false">IFERROR(IF([2]对账明细接口!$N883=0,"",[2]对账明细接口!$N883),"")</f>
        <v/>
      </c>
      <c r="T883" s="112" t="str">
        <f aca="false">IFERROR(IF([2]对账明细接口!$O883=0,"",[2]对账明细接口!$O883),"")</f>
        <v/>
      </c>
      <c r="U883" s="112" t="str">
        <f aca="false">IFERROR(IF([2]对账明细接口!$P883=0,"",[2]对账明细接口!$P883),"")</f>
        <v/>
      </c>
      <c r="V883" s="112" t="str">
        <f aca="false">IFERROR(IF([2]对账明细接口!$Q883=0,"",[2]对账明细接口!$Q883),"")</f>
        <v/>
      </c>
      <c r="W883" s="10" t="str">
        <f aca="false">IFERROR(IF([2]对账明细接口!$R883=0,"",[2]对账明细接口!$R883),"")</f>
        <v/>
      </c>
      <c r="X883" s="10" t="str">
        <f aca="false">IFERROR(IF([2]对账明细接口!$S883=0,"",[2]对账明细接口!$S883),"")</f>
        <v/>
      </c>
      <c r="Y883" s="10" t="str">
        <f aca="false">IFERROR(IF([2]对账明细接口!$T883=0,"",[2]对账明细接口!$T883),"")</f>
        <v/>
      </c>
      <c r="Z883" s="113" t="str">
        <f aca="false">IFERROR(IF([2]对账明细接口!$U883=0,"",[2]对账明细接口!$U883),"")</f>
        <v/>
      </c>
      <c r="AA883" s="113" t="str">
        <f aca="false">IFERROR(IF([2]对账明细接口!$V883=0,"",[2]对账明细接口!$V883),"")</f>
        <v/>
      </c>
      <c r="AB883" s="10" t="str">
        <f aca="false">IFERROR(IF([2]对账明细接口!$W883=0,"",[2]对账明细接口!$W883),"")</f>
        <v/>
      </c>
      <c r="AC883" s="90" t="str">
        <f aca="false">IFERROR(IF([2]对账明细接口!$X884=0,"",[2]对账明细接口!$X884),"")</f>
        <v/>
      </c>
      <c r="AD883" s="90" t="str">
        <f aca="false">IFERROR(IF([2]对账明细接口!$Y884=0,"",[2]对账明细接口!$Y884),"")</f>
        <v/>
      </c>
      <c r="AE883" s="90" t="str">
        <f aca="false">IFERROR(IF([2]对账明细接口!$AA884=0,"",[2]对账明细接口!$AA884),"")</f>
        <v/>
      </c>
      <c r="AF883" s="90" t="str">
        <f aca="false">IFERROR(IF([2]对账明细接口!$AB884=0,"",[2]对账明细接口!$AB884),"")</f>
        <v/>
      </c>
      <c r="AG883" s="90" t="str">
        <f aca="false">IFERROR(IF([2]对账明细接口!$AC884=0,"",[2]对账明细接口!$AC884),"")</f>
        <v/>
      </c>
      <c r="AH883" s="90" t="str">
        <f aca="false">IFERROR(IF([2]对账明细接口!$AD884=0,"",[2]对账明细接口!$AD884),"")</f>
        <v/>
      </c>
    </row>
    <row r="884" customFormat="false" ht="13.5" hidden="false" customHeight="false" outlineLevel="0" collapsed="false">
      <c r="A884" s="109" t="n">
        <v>884</v>
      </c>
      <c r="B884" s="110" t="str">
        <f aca="false">IFERROR(IF([2]对账明细接口!$B$884=0,"",[2]对账明细接口!$B$884),"")</f>
        <v/>
      </c>
      <c r="C884" s="59" t="str">
        <f aca="false">IFERROR(IF([2]对账明细接口!$C$884=0,"",[2]对账明细接口!$C$884),"")</f>
        <v/>
      </c>
      <c r="D884" s="59" t="str">
        <f aca="false">IFERROR(IF([2]对账明细接口!$D$884=0,"",[2]对账明细接口!$D$884),"")</f>
        <v/>
      </c>
      <c r="E884" s="59" t="str">
        <f aca="false">IFERROR(IF([2]对账明细接口!$E$884=0,"",[2]对账明细接口!$E$884),"")</f>
        <v/>
      </c>
      <c r="F884" s="59" t="str">
        <f aca="false">IFERROR(IF([2]对账明细接口!$F$884=0,"",[2]对账明细接口!$F$884),"")</f>
        <v/>
      </c>
      <c r="G884" s="59" t="str">
        <f aca="false">IFERROR(IF([2]对账明细接口!$G$884=0,"",[2]对账明细接口!$G$884),"")</f>
        <v/>
      </c>
      <c r="H884" s="60" t="str">
        <f aca="false">IFERROR(IF([2]对账明细接口!$H$884=0,"",[2]对账明细接口!$H$884),"")</f>
        <v/>
      </c>
      <c r="I884" s="59" t="str">
        <f aca="false">IFERROR(IF([2]对账明细接口!$I$884=0,"",[2]对账明细接口!$I$884),"")</f>
        <v/>
      </c>
      <c r="J884" s="61" t="str">
        <f aca="false">IFERROR(IF([2]对账明细接口!$J$884=0,"",[2]对账明细接口!$J$884),"")</f>
        <v/>
      </c>
      <c r="K884" s="61" t="str">
        <f aca="false">IFERROR(IF([2]对账明细接口!$K$884=0,"",[2]对账明细接口!$K$884),"")</f>
        <v/>
      </c>
      <c r="L884" s="59" t="str">
        <f aca="false">IFERROR(IF([2]对账明细接口!$L$884=0,"",[2]对账明细接口!$L$884),"")</f>
        <v/>
      </c>
      <c r="M884" s="59" t="str">
        <f aca="false">IFERROR(IF([2]对账明细接口!$M$884=0,"",[2]对账明细接口!$M$884),"")</f>
        <v/>
      </c>
      <c r="N884" s="111" t="n">
        <f aca="false">IF($C884="",0,1)</f>
        <v>0</v>
      </c>
      <c r="O884" s="111" t="n">
        <f aca="false">N(O883)+$N884</f>
        <v>311</v>
      </c>
      <c r="S884" s="10" t="str">
        <f aca="false">IFERROR(IF([2]对账明细接口!$N884=0,"",[2]对账明细接口!$N884),"")</f>
        <v/>
      </c>
      <c r="T884" s="112" t="str">
        <f aca="false">IFERROR(IF([2]对账明细接口!$O884=0,"",[2]对账明细接口!$O884),"")</f>
        <v/>
      </c>
      <c r="U884" s="112" t="str">
        <f aca="false">IFERROR(IF([2]对账明细接口!$P884=0,"",[2]对账明细接口!$P884),"")</f>
        <v/>
      </c>
      <c r="V884" s="112" t="str">
        <f aca="false">IFERROR(IF([2]对账明细接口!$Q884=0,"",[2]对账明细接口!$Q884),"")</f>
        <v/>
      </c>
      <c r="W884" s="10" t="str">
        <f aca="false">IFERROR(IF([2]对账明细接口!$R884=0,"",[2]对账明细接口!$R884),"")</f>
        <v/>
      </c>
      <c r="X884" s="10" t="str">
        <f aca="false">IFERROR(IF([2]对账明细接口!$S884=0,"",[2]对账明细接口!$S884),"")</f>
        <v/>
      </c>
      <c r="Y884" s="10" t="str">
        <f aca="false">IFERROR(IF([2]对账明细接口!$T884=0,"",[2]对账明细接口!$T884),"")</f>
        <v/>
      </c>
      <c r="Z884" s="113" t="str">
        <f aca="false">IFERROR(IF([2]对账明细接口!$U884=0,"",[2]对账明细接口!$U884),"")</f>
        <v/>
      </c>
      <c r="AA884" s="113" t="str">
        <f aca="false">IFERROR(IF([2]对账明细接口!$V884=0,"",[2]对账明细接口!$V884),"")</f>
        <v/>
      </c>
      <c r="AB884" s="10" t="str">
        <f aca="false">IFERROR(IF([2]对账明细接口!$W884=0,"",[2]对账明细接口!$W884),"")</f>
        <v/>
      </c>
      <c r="AC884" s="90" t="str">
        <f aca="false">IFERROR(IF([2]对账明细接口!$X885=0,"",[2]对账明细接口!$X885),"")</f>
        <v/>
      </c>
      <c r="AD884" s="90" t="str">
        <f aca="false">IFERROR(IF([2]对账明细接口!$Y885=0,"",[2]对账明细接口!$Y885),"")</f>
        <v/>
      </c>
      <c r="AE884" s="90" t="str">
        <f aca="false">IFERROR(IF([2]对账明细接口!$AA885=0,"",[2]对账明细接口!$AA885),"")</f>
        <v/>
      </c>
      <c r="AF884" s="90" t="str">
        <f aca="false">IFERROR(IF([2]对账明细接口!$AB885=0,"",[2]对账明细接口!$AB885),"")</f>
        <v/>
      </c>
      <c r="AG884" s="90" t="str">
        <f aca="false">IFERROR(IF([2]对账明细接口!$AC885=0,"",[2]对账明细接口!$AC885),"")</f>
        <v/>
      </c>
      <c r="AH884" s="90" t="str">
        <f aca="false">IFERROR(IF([2]对账明细接口!$AD885=0,"",[2]对账明细接口!$AD885),"")</f>
        <v/>
      </c>
    </row>
    <row r="885" customFormat="false" ht="13.5" hidden="false" customHeight="false" outlineLevel="0" collapsed="false">
      <c r="A885" s="109" t="n">
        <v>885</v>
      </c>
      <c r="B885" s="110" t="str">
        <f aca="false">IFERROR(IF([2]对账明细接口!$B$885=0,"",[2]对账明细接口!$B$885),"")</f>
        <v/>
      </c>
      <c r="C885" s="59" t="str">
        <f aca="false">IFERROR(IF([2]对账明细接口!$C$885=0,"",[2]对账明细接口!$C$885),"")</f>
        <v/>
      </c>
      <c r="D885" s="59" t="str">
        <f aca="false">IFERROR(IF([2]对账明细接口!$D$885=0,"",[2]对账明细接口!$D$885),"")</f>
        <v/>
      </c>
      <c r="E885" s="59" t="str">
        <f aca="false">IFERROR(IF([2]对账明细接口!$E$885=0,"",[2]对账明细接口!$E$885),"")</f>
        <v/>
      </c>
      <c r="F885" s="59" t="str">
        <f aca="false">IFERROR(IF([2]对账明细接口!$F$885=0,"",[2]对账明细接口!$F$885),"")</f>
        <v/>
      </c>
      <c r="G885" s="59" t="str">
        <f aca="false">IFERROR(IF([2]对账明细接口!$G$885=0,"",[2]对账明细接口!$G$885),"")</f>
        <v/>
      </c>
      <c r="H885" s="60" t="str">
        <f aca="false">IFERROR(IF([2]对账明细接口!$H$885=0,"",[2]对账明细接口!$H$885),"")</f>
        <v/>
      </c>
      <c r="I885" s="59" t="str">
        <f aca="false">IFERROR(IF([2]对账明细接口!$I$885=0,"",[2]对账明细接口!$I$885),"")</f>
        <v/>
      </c>
      <c r="J885" s="61" t="str">
        <f aca="false">IFERROR(IF([2]对账明细接口!$J$885=0,"",[2]对账明细接口!$J$885),"")</f>
        <v/>
      </c>
      <c r="K885" s="61" t="str">
        <f aca="false">IFERROR(IF([2]对账明细接口!$K$885=0,"",[2]对账明细接口!$K$885),"")</f>
        <v/>
      </c>
      <c r="L885" s="59" t="str">
        <f aca="false">IFERROR(IF([2]对账明细接口!$L$885=0,"",[2]对账明细接口!$L$885),"")</f>
        <v/>
      </c>
      <c r="M885" s="59" t="str">
        <f aca="false">IFERROR(IF([2]对账明细接口!$M$885=0,"",[2]对账明细接口!$M$885),"")</f>
        <v/>
      </c>
      <c r="N885" s="111" t="n">
        <f aca="false">IF($C885="",0,1)</f>
        <v>0</v>
      </c>
      <c r="O885" s="111" t="n">
        <f aca="false">N(O884)+$N885</f>
        <v>311</v>
      </c>
      <c r="S885" s="10" t="str">
        <f aca="false">IFERROR(IF([2]对账明细接口!$N885=0,"",[2]对账明细接口!$N885),"")</f>
        <v/>
      </c>
      <c r="T885" s="112" t="str">
        <f aca="false">IFERROR(IF([2]对账明细接口!$O885=0,"",[2]对账明细接口!$O885),"")</f>
        <v/>
      </c>
      <c r="U885" s="112" t="str">
        <f aca="false">IFERROR(IF([2]对账明细接口!$P885=0,"",[2]对账明细接口!$P885),"")</f>
        <v/>
      </c>
      <c r="V885" s="112" t="str">
        <f aca="false">IFERROR(IF([2]对账明细接口!$Q885=0,"",[2]对账明细接口!$Q885),"")</f>
        <v/>
      </c>
      <c r="W885" s="10" t="str">
        <f aca="false">IFERROR(IF([2]对账明细接口!$R885=0,"",[2]对账明细接口!$R885),"")</f>
        <v/>
      </c>
      <c r="X885" s="10" t="str">
        <f aca="false">IFERROR(IF([2]对账明细接口!$S885=0,"",[2]对账明细接口!$S885),"")</f>
        <v/>
      </c>
      <c r="Y885" s="10" t="str">
        <f aca="false">IFERROR(IF([2]对账明细接口!$T885=0,"",[2]对账明细接口!$T885),"")</f>
        <v/>
      </c>
      <c r="Z885" s="113" t="str">
        <f aca="false">IFERROR(IF([2]对账明细接口!$U885=0,"",[2]对账明细接口!$U885),"")</f>
        <v/>
      </c>
      <c r="AA885" s="113" t="str">
        <f aca="false">IFERROR(IF([2]对账明细接口!$V885=0,"",[2]对账明细接口!$V885),"")</f>
        <v/>
      </c>
      <c r="AB885" s="10" t="str">
        <f aca="false">IFERROR(IF([2]对账明细接口!$W885=0,"",[2]对账明细接口!$W885),"")</f>
        <v/>
      </c>
      <c r="AC885" s="90" t="str">
        <f aca="false">IFERROR(IF([2]对账明细接口!$X886=0,"",[2]对账明细接口!$X886),"")</f>
        <v/>
      </c>
      <c r="AD885" s="90" t="str">
        <f aca="false">IFERROR(IF([2]对账明细接口!$Y886=0,"",[2]对账明细接口!$Y886),"")</f>
        <v/>
      </c>
      <c r="AE885" s="90" t="str">
        <f aca="false">IFERROR(IF([2]对账明细接口!$AA886=0,"",[2]对账明细接口!$AA886),"")</f>
        <v/>
      </c>
      <c r="AF885" s="90" t="str">
        <f aca="false">IFERROR(IF([2]对账明细接口!$AB886=0,"",[2]对账明细接口!$AB886),"")</f>
        <v/>
      </c>
      <c r="AG885" s="90" t="str">
        <f aca="false">IFERROR(IF([2]对账明细接口!$AC886=0,"",[2]对账明细接口!$AC886),"")</f>
        <v/>
      </c>
      <c r="AH885" s="90" t="str">
        <f aca="false">IFERROR(IF([2]对账明细接口!$AD886=0,"",[2]对账明细接口!$AD886),"")</f>
        <v/>
      </c>
    </row>
    <row r="886" customFormat="false" ht="13.5" hidden="false" customHeight="false" outlineLevel="0" collapsed="false">
      <c r="A886" s="109" t="n">
        <v>886</v>
      </c>
      <c r="B886" s="110" t="str">
        <f aca="false">IFERROR(IF([2]对账明细接口!$B$886=0,"",[2]对账明细接口!$B$886),"")</f>
        <v/>
      </c>
      <c r="C886" s="59" t="str">
        <f aca="false">IFERROR(IF([2]对账明细接口!$C$886=0,"",[2]对账明细接口!$C$886),"")</f>
        <v/>
      </c>
      <c r="D886" s="59" t="str">
        <f aca="false">IFERROR(IF([2]对账明细接口!$D$886=0,"",[2]对账明细接口!$D$886),"")</f>
        <v/>
      </c>
      <c r="E886" s="59" t="str">
        <f aca="false">IFERROR(IF([2]对账明细接口!$E$886=0,"",[2]对账明细接口!$E$886),"")</f>
        <v/>
      </c>
      <c r="F886" s="59" t="str">
        <f aca="false">IFERROR(IF([2]对账明细接口!$F$886=0,"",[2]对账明细接口!$F$886),"")</f>
        <v/>
      </c>
      <c r="G886" s="59" t="str">
        <f aca="false">IFERROR(IF([2]对账明细接口!$G$886=0,"",[2]对账明细接口!$G$886),"")</f>
        <v/>
      </c>
      <c r="H886" s="60" t="str">
        <f aca="false">IFERROR(IF([2]对账明细接口!$H$886=0,"",[2]对账明细接口!$H$886),"")</f>
        <v/>
      </c>
      <c r="I886" s="59" t="str">
        <f aca="false">IFERROR(IF([2]对账明细接口!$I$886=0,"",[2]对账明细接口!$I$886),"")</f>
        <v/>
      </c>
      <c r="J886" s="61" t="str">
        <f aca="false">IFERROR(IF([2]对账明细接口!$J$886=0,"",[2]对账明细接口!$J$886),"")</f>
        <v/>
      </c>
      <c r="K886" s="61" t="str">
        <f aca="false">IFERROR(IF([2]对账明细接口!$K$886=0,"",[2]对账明细接口!$K$886),"")</f>
        <v/>
      </c>
      <c r="L886" s="59" t="str">
        <f aca="false">IFERROR(IF([2]对账明细接口!$L$886=0,"",[2]对账明细接口!$L$886),"")</f>
        <v/>
      </c>
      <c r="M886" s="59" t="str">
        <f aca="false">IFERROR(IF([2]对账明细接口!$M$886=0,"",[2]对账明细接口!$M$886),"")</f>
        <v/>
      </c>
      <c r="N886" s="111" t="n">
        <f aca="false">IF($C886="",0,1)</f>
        <v>0</v>
      </c>
      <c r="O886" s="111" t="n">
        <f aca="false">N(O885)+$N886</f>
        <v>311</v>
      </c>
      <c r="S886" s="10" t="str">
        <f aca="false">IFERROR(IF([2]对账明细接口!$N886=0,"",[2]对账明细接口!$N886),"")</f>
        <v/>
      </c>
      <c r="T886" s="112" t="str">
        <f aca="false">IFERROR(IF([2]对账明细接口!$O886=0,"",[2]对账明细接口!$O886),"")</f>
        <v/>
      </c>
      <c r="U886" s="112" t="str">
        <f aca="false">IFERROR(IF([2]对账明细接口!$P886=0,"",[2]对账明细接口!$P886),"")</f>
        <v/>
      </c>
      <c r="V886" s="112" t="str">
        <f aca="false">IFERROR(IF([2]对账明细接口!$Q886=0,"",[2]对账明细接口!$Q886),"")</f>
        <v/>
      </c>
      <c r="W886" s="10" t="str">
        <f aca="false">IFERROR(IF([2]对账明细接口!$R886=0,"",[2]对账明细接口!$R886),"")</f>
        <v/>
      </c>
      <c r="X886" s="10" t="str">
        <f aca="false">IFERROR(IF([2]对账明细接口!$S886=0,"",[2]对账明细接口!$S886),"")</f>
        <v/>
      </c>
      <c r="Y886" s="10" t="str">
        <f aca="false">IFERROR(IF([2]对账明细接口!$T886=0,"",[2]对账明细接口!$T886),"")</f>
        <v/>
      </c>
      <c r="Z886" s="113" t="str">
        <f aca="false">IFERROR(IF([2]对账明细接口!$U886=0,"",[2]对账明细接口!$U886),"")</f>
        <v/>
      </c>
      <c r="AA886" s="113" t="str">
        <f aca="false">IFERROR(IF([2]对账明细接口!$V886=0,"",[2]对账明细接口!$V886),"")</f>
        <v/>
      </c>
      <c r="AB886" s="10" t="str">
        <f aca="false">IFERROR(IF([2]对账明细接口!$W886=0,"",[2]对账明细接口!$W886),"")</f>
        <v/>
      </c>
      <c r="AC886" s="90" t="str">
        <f aca="false">IFERROR(IF([2]对账明细接口!$X887=0,"",[2]对账明细接口!$X887),"")</f>
        <v/>
      </c>
      <c r="AD886" s="90" t="str">
        <f aca="false">IFERROR(IF([2]对账明细接口!$Y887=0,"",[2]对账明细接口!$Y887),"")</f>
        <v/>
      </c>
      <c r="AE886" s="90" t="str">
        <f aca="false">IFERROR(IF([2]对账明细接口!$AA887=0,"",[2]对账明细接口!$AA887),"")</f>
        <v/>
      </c>
      <c r="AF886" s="90" t="str">
        <f aca="false">IFERROR(IF([2]对账明细接口!$AB887=0,"",[2]对账明细接口!$AB887),"")</f>
        <v/>
      </c>
      <c r="AG886" s="90" t="str">
        <f aca="false">IFERROR(IF([2]对账明细接口!$AC887=0,"",[2]对账明细接口!$AC887),"")</f>
        <v/>
      </c>
      <c r="AH886" s="90" t="str">
        <f aca="false">IFERROR(IF([2]对账明细接口!$AD887=0,"",[2]对账明细接口!$AD887),"")</f>
        <v/>
      </c>
    </row>
    <row r="887" customFormat="false" ht="13.5" hidden="false" customHeight="false" outlineLevel="0" collapsed="false">
      <c r="A887" s="109" t="n">
        <v>887</v>
      </c>
      <c r="B887" s="110" t="str">
        <f aca="false">IFERROR(IF([2]对账明细接口!$B$887=0,"",[2]对账明细接口!$B$887),"")</f>
        <v/>
      </c>
      <c r="C887" s="59" t="str">
        <f aca="false">IFERROR(IF([2]对账明细接口!$C$887=0,"",[2]对账明细接口!$C$887),"")</f>
        <v/>
      </c>
      <c r="D887" s="59" t="str">
        <f aca="false">IFERROR(IF([2]对账明细接口!$D$887=0,"",[2]对账明细接口!$D$887),"")</f>
        <v/>
      </c>
      <c r="E887" s="59" t="str">
        <f aca="false">IFERROR(IF([2]对账明细接口!$E$887=0,"",[2]对账明细接口!$E$887),"")</f>
        <v/>
      </c>
      <c r="F887" s="59" t="str">
        <f aca="false">IFERROR(IF([2]对账明细接口!$F$887=0,"",[2]对账明细接口!$F$887),"")</f>
        <v/>
      </c>
      <c r="G887" s="59" t="str">
        <f aca="false">IFERROR(IF([2]对账明细接口!$G$887=0,"",[2]对账明细接口!$G$887),"")</f>
        <v/>
      </c>
      <c r="H887" s="60" t="str">
        <f aca="false">IFERROR(IF([2]对账明细接口!$H$887=0,"",[2]对账明细接口!$H$887),"")</f>
        <v/>
      </c>
      <c r="I887" s="59" t="str">
        <f aca="false">IFERROR(IF([2]对账明细接口!$I$887=0,"",[2]对账明细接口!$I$887),"")</f>
        <v/>
      </c>
      <c r="J887" s="61" t="str">
        <f aca="false">IFERROR(IF([2]对账明细接口!$J$887=0,"",[2]对账明细接口!$J$887),"")</f>
        <v/>
      </c>
      <c r="K887" s="61" t="str">
        <f aca="false">IFERROR(IF([2]对账明细接口!$K$887=0,"",[2]对账明细接口!$K$887),"")</f>
        <v/>
      </c>
      <c r="L887" s="59" t="str">
        <f aca="false">IFERROR(IF([2]对账明细接口!$L$887=0,"",[2]对账明细接口!$L$887),"")</f>
        <v/>
      </c>
      <c r="M887" s="59" t="str">
        <f aca="false">IFERROR(IF([2]对账明细接口!$M$887=0,"",[2]对账明细接口!$M$887),"")</f>
        <v/>
      </c>
      <c r="N887" s="111" t="n">
        <f aca="false">IF($C887="",0,1)</f>
        <v>0</v>
      </c>
      <c r="O887" s="111" t="n">
        <f aca="false">N(O886)+$N887</f>
        <v>311</v>
      </c>
      <c r="S887" s="10" t="str">
        <f aca="false">IFERROR(IF([2]对账明细接口!$N887=0,"",[2]对账明细接口!$N887),"")</f>
        <v/>
      </c>
      <c r="T887" s="112" t="str">
        <f aca="false">IFERROR(IF([2]对账明细接口!$O887=0,"",[2]对账明细接口!$O887),"")</f>
        <v/>
      </c>
      <c r="U887" s="112" t="str">
        <f aca="false">IFERROR(IF([2]对账明细接口!$P887=0,"",[2]对账明细接口!$P887),"")</f>
        <v/>
      </c>
      <c r="V887" s="112" t="str">
        <f aca="false">IFERROR(IF([2]对账明细接口!$Q887=0,"",[2]对账明细接口!$Q887),"")</f>
        <v/>
      </c>
      <c r="W887" s="10" t="str">
        <f aca="false">IFERROR(IF([2]对账明细接口!$R887=0,"",[2]对账明细接口!$R887),"")</f>
        <v/>
      </c>
      <c r="X887" s="10" t="str">
        <f aca="false">IFERROR(IF([2]对账明细接口!$S887=0,"",[2]对账明细接口!$S887),"")</f>
        <v/>
      </c>
      <c r="Y887" s="10" t="str">
        <f aca="false">IFERROR(IF([2]对账明细接口!$T887=0,"",[2]对账明细接口!$T887),"")</f>
        <v/>
      </c>
      <c r="Z887" s="113" t="str">
        <f aca="false">IFERROR(IF([2]对账明细接口!$U887=0,"",[2]对账明细接口!$U887),"")</f>
        <v/>
      </c>
      <c r="AA887" s="113" t="str">
        <f aca="false">IFERROR(IF([2]对账明细接口!$V887=0,"",[2]对账明细接口!$V887),"")</f>
        <v/>
      </c>
      <c r="AB887" s="10" t="str">
        <f aca="false">IFERROR(IF([2]对账明细接口!$W887=0,"",[2]对账明细接口!$W887),"")</f>
        <v/>
      </c>
      <c r="AC887" s="90" t="str">
        <f aca="false">IFERROR(IF([2]对账明细接口!$X888=0,"",[2]对账明细接口!$X888),"")</f>
        <v/>
      </c>
      <c r="AD887" s="90" t="str">
        <f aca="false">IFERROR(IF([2]对账明细接口!$Y888=0,"",[2]对账明细接口!$Y888),"")</f>
        <v/>
      </c>
      <c r="AE887" s="90" t="str">
        <f aca="false">IFERROR(IF([2]对账明细接口!$AA888=0,"",[2]对账明细接口!$AA888),"")</f>
        <v/>
      </c>
      <c r="AF887" s="90" t="str">
        <f aca="false">IFERROR(IF([2]对账明细接口!$AB888=0,"",[2]对账明细接口!$AB888),"")</f>
        <v/>
      </c>
      <c r="AG887" s="90" t="str">
        <f aca="false">IFERROR(IF([2]对账明细接口!$AC888=0,"",[2]对账明细接口!$AC888),"")</f>
        <v/>
      </c>
      <c r="AH887" s="90" t="str">
        <f aca="false">IFERROR(IF([2]对账明细接口!$AD888=0,"",[2]对账明细接口!$AD888),"")</f>
        <v/>
      </c>
    </row>
    <row r="888" customFormat="false" ht="13.5" hidden="false" customHeight="false" outlineLevel="0" collapsed="false">
      <c r="A888" s="109" t="n">
        <v>888</v>
      </c>
      <c r="B888" s="110" t="str">
        <f aca="false">IFERROR(IF([2]对账明细接口!$B$888=0,"",[2]对账明细接口!$B$888),"")</f>
        <v/>
      </c>
      <c r="C888" s="59" t="str">
        <f aca="false">IFERROR(IF([2]对账明细接口!$C$888=0,"",[2]对账明细接口!$C$888),"")</f>
        <v/>
      </c>
      <c r="D888" s="59" t="str">
        <f aca="false">IFERROR(IF([2]对账明细接口!$D$888=0,"",[2]对账明细接口!$D$888),"")</f>
        <v/>
      </c>
      <c r="E888" s="59" t="str">
        <f aca="false">IFERROR(IF([2]对账明细接口!$E$888=0,"",[2]对账明细接口!$E$888),"")</f>
        <v/>
      </c>
      <c r="F888" s="59" t="str">
        <f aca="false">IFERROR(IF([2]对账明细接口!$F$888=0,"",[2]对账明细接口!$F$888),"")</f>
        <v/>
      </c>
      <c r="G888" s="59" t="str">
        <f aca="false">IFERROR(IF([2]对账明细接口!$G$888=0,"",[2]对账明细接口!$G$888),"")</f>
        <v/>
      </c>
      <c r="H888" s="60" t="str">
        <f aca="false">IFERROR(IF([2]对账明细接口!$H$888=0,"",[2]对账明细接口!$H$888),"")</f>
        <v/>
      </c>
      <c r="I888" s="59" t="str">
        <f aca="false">IFERROR(IF([2]对账明细接口!$I$888=0,"",[2]对账明细接口!$I$888),"")</f>
        <v/>
      </c>
      <c r="J888" s="61" t="str">
        <f aca="false">IFERROR(IF([2]对账明细接口!$J$888=0,"",[2]对账明细接口!$J$888),"")</f>
        <v/>
      </c>
      <c r="K888" s="61" t="str">
        <f aca="false">IFERROR(IF([2]对账明细接口!$K$888=0,"",[2]对账明细接口!$K$888),"")</f>
        <v/>
      </c>
      <c r="L888" s="59" t="str">
        <f aca="false">IFERROR(IF([2]对账明细接口!$L$888=0,"",[2]对账明细接口!$L$888),"")</f>
        <v/>
      </c>
      <c r="M888" s="59" t="str">
        <f aca="false">IFERROR(IF([2]对账明细接口!$M$888=0,"",[2]对账明细接口!$M$888),"")</f>
        <v/>
      </c>
      <c r="N888" s="111" t="n">
        <f aca="false">IF($C888="",0,1)</f>
        <v>0</v>
      </c>
      <c r="O888" s="111" t="n">
        <f aca="false">N(O887)+$N888</f>
        <v>311</v>
      </c>
      <c r="S888" s="10" t="str">
        <f aca="false">IFERROR(IF([2]对账明细接口!$N888=0,"",[2]对账明细接口!$N888),"")</f>
        <v/>
      </c>
      <c r="T888" s="112" t="str">
        <f aca="false">IFERROR(IF([2]对账明细接口!$O888=0,"",[2]对账明细接口!$O888),"")</f>
        <v/>
      </c>
      <c r="U888" s="112" t="str">
        <f aca="false">IFERROR(IF([2]对账明细接口!$P888=0,"",[2]对账明细接口!$P888),"")</f>
        <v/>
      </c>
      <c r="V888" s="112" t="str">
        <f aca="false">IFERROR(IF([2]对账明细接口!$Q888=0,"",[2]对账明细接口!$Q888),"")</f>
        <v/>
      </c>
      <c r="W888" s="10" t="str">
        <f aca="false">IFERROR(IF([2]对账明细接口!$R888=0,"",[2]对账明细接口!$R888),"")</f>
        <v/>
      </c>
      <c r="X888" s="10" t="str">
        <f aca="false">IFERROR(IF([2]对账明细接口!$S888=0,"",[2]对账明细接口!$S888),"")</f>
        <v/>
      </c>
      <c r="Y888" s="10" t="str">
        <f aca="false">IFERROR(IF([2]对账明细接口!$T888=0,"",[2]对账明细接口!$T888),"")</f>
        <v/>
      </c>
      <c r="Z888" s="113" t="str">
        <f aca="false">IFERROR(IF([2]对账明细接口!$U888=0,"",[2]对账明细接口!$U888),"")</f>
        <v/>
      </c>
      <c r="AA888" s="113" t="str">
        <f aca="false">IFERROR(IF([2]对账明细接口!$V888=0,"",[2]对账明细接口!$V888),"")</f>
        <v/>
      </c>
      <c r="AB888" s="10" t="str">
        <f aca="false">IFERROR(IF([2]对账明细接口!$W888=0,"",[2]对账明细接口!$W888),"")</f>
        <v/>
      </c>
      <c r="AC888" s="90" t="str">
        <f aca="false">IFERROR(IF([2]对账明细接口!$X889=0,"",[2]对账明细接口!$X889),"")</f>
        <v/>
      </c>
      <c r="AD888" s="90" t="str">
        <f aca="false">IFERROR(IF([2]对账明细接口!$Y889=0,"",[2]对账明细接口!$Y889),"")</f>
        <v/>
      </c>
      <c r="AE888" s="90" t="str">
        <f aca="false">IFERROR(IF([2]对账明细接口!$AA889=0,"",[2]对账明细接口!$AA889),"")</f>
        <v/>
      </c>
      <c r="AF888" s="90" t="str">
        <f aca="false">IFERROR(IF([2]对账明细接口!$AB889=0,"",[2]对账明细接口!$AB889),"")</f>
        <v/>
      </c>
      <c r="AG888" s="90" t="str">
        <f aca="false">IFERROR(IF([2]对账明细接口!$AC889=0,"",[2]对账明细接口!$AC889),"")</f>
        <v/>
      </c>
      <c r="AH888" s="90" t="str">
        <f aca="false">IFERROR(IF([2]对账明细接口!$AD889=0,"",[2]对账明细接口!$AD889),"")</f>
        <v/>
      </c>
    </row>
    <row r="889" customFormat="false" ht="13.5" hidden="false" customHeight="false" outlineLevel="0" collapsed="false">
      <c r="A889" s="109" t="n">
        <v>889</v>
      </c>
      <c r="B889" s="110" t="str">
        <f aca="false">IFERROR(IF([2]对账明细接口!$B$889=0,"",[2]对账明细接口!$B$889),"")</f>
        <v/>
      </c>
      <c r="C889" s="59" t="str">
        <f aca="false">IFERROR(IF([2]对账明细接口!$C$889=0,"",[2]对账明细接口!$C$889),"")</f>
        <v/>
      </c>
      <c r="D889" s="59" t="str">
        <f aca="false">IFERROR(IF([2]对账明细接口!$D$889=0,"",[2]对账明细接口!$D$889),"")</f>
        <v/>
      </c>
      <c r="E889" s="59" t="str">
        <f aca="false">IFERROR(IF([2]对账明细接口!$E$889=0,"",[2]对账明细接口!$E$889),"")</f>
        <v/>
      </c>
      <c r="F889" s="59" t="str">
        <f aca="false">IFERROR(IF([2]对账明细接口!$F$889=0,"",[2]对账明细接口!$F$889),"")</f>
        <v/>
      </c>
      <c r="G889" s="59" t="str">
        <f aca="false">IFERROR(IF([2]对账明细接口!$G$889=0,"",[2]对账明细接口!$G$889),"")</f>
        <v/>
      </c>
      <c r="H889" s="60" t="str">
        <f aca="false">IFERROR(IF([2]对账明细接口!$H$889=0,"",[2]对账明细接口!$H$889),"")</f>
        <v/>
      </c>
      <c r="I889" s="59" t="str">
        <f aca="false">IFERROR(IF([2]对账明细接口!$I$889=0,"",[2]对账明细接口!$I$889),"")</f>
        <v/>
      </c>
      <c r="J889" s="61" t="str">
        <f aca="false">IFERROR(IF([2]对账明细接口!$J$889=0,"",[2]对账明细接口!$J$889),"")</f>
        <v/>
      </c>
      <c r="K889" s="61" t="str">
        <f aca="false">IFERROR(IF([2]对账明细接口!$K$889=0,"",[2]对账明细接口!$K$889),"")</f>
        <v/>
      </c>
      <c r="L889" s="59" t="str">
        <f aca="false">IFERROR(IF([2]对账明细接口!$L$889=0,"",[2]对账明细接口!$L$889),"")</f>
        <v/>
      </c>
      <c r="M889" s="59" t="str">
        <f aca="false">IFERROR(IF([2]对账明细接口!$M$889=0,"",[2]对账明细接口!$M$889),"")</f>
        <v/>
      </c>
      <c r="N889" s="111" t="n">
        <f aca="false">IF($C889="",0,1)</f>
        <v>0</v>
      </c>
      <c r="O889" s="111" t="n">
        <f aca="false">N(O888)+$N889</f>
        <v>311</v>
      </c>
      <c r="S889" s="10" t="str">
        <f aca="false">IFERROR(IF([2]对账明细接口!$N889=0,"",[2]对账明细接口!$N889),"")</f>
        <v/>
      </c>
      <c r="T889" s="112" t="str">
        <f aca="false">IFERROR(IF([2]对账明细接口!$O889=0,"",[2]对账明细接口!$O889),"")</f>
        <v/>
      </c>
      <c r="U889" s="112" t="str">
        <f aca="false">IFERROR(IF([2]对账明细接口!$P889=0,"",[2]对账明细接口!$P889),"")</f>
        <v/>
      </c>
      <c r="V889" s="112" t="str">
        <f aca="false">IFERROR(IF([2]对账明细接口!$Q889=0,"",[2]对账明细接口!$Q889),"")</f>
        <v/>
      </c>
      <c r="W889" s="10" t="str">
        <f aca="false">IFERROR(IF([2]对账明细接口!$R889=0,"",[2]对账明细接口!$R889),"")</f>
        <v/>
      </c>
      <c r="X889" s="10" t="str">
        <f aca="false">IFERROR(IF([2]对账明细接口!$S889=0,"",[2]对账明细接口!$S889),"")</f>
        <v/>
      </c>
      <c r="Y889" s="10" t="str">
        <f aca="false">IFERROR(IF([2]对账明细接口!$T889=0,"",[2]对账明细接口!$T889),"")</f>
        <v/>
      </c>
      <c r="Z889" s="113" t="str">
        <f aca="false">IFERROR(IF([2]对账明细接口!$U889=0,"",[2]对账明细接口!$U889),"")</f>
        <v/>
      </c>
      <c r="AA889" s="113" t="str">
        <f aca="false">IFERROR(IF([2]对账明细接口!$V889=0,"",[2]对账明细接口!$V889),"")</f>
        <v/>
      </c>
      <c r="AB889" s="10" t="str">
        <f aca="false">IFERROR(IF([2]对账明细接口!$W889=0,"",[2]对账明细接口!$W889),"")</f>
        <v/>
      </c>
      <c r="AC889" s="90" t="str">
        <f aca="false">IFERROR(IF([2]对账明细接口!$X890=0,"",[2]对账明细接口!$X890),"")</f>
        <v/>
      </c>
      <c r="AD889" s="90" t="str">
        <f aca="false">IFERROR(IF([2]对账明细接口!$Y890=0,"",[2]对账明细接口!$Y890),"")</f>
        <v/>
      </c>
      <c r="AE889" s="90" t="str">
        <f aca="false">IFERROR(IF([2]对账明细接口!$AA890=0,"",[2]对账明细接口!$AA890),"")</f>
        <v/>
      </c>
      <c r="AF889" s="90" t="str">
        <f aca="false">IFERROR(IF([2]对账明细接口!$AB890=0,"",[2]对账明细接口!$AB890),"")</f>
        <v/>
      </c>
      <c r="AG889" s="90" t="str">
        <f aca="false">IFERROR(IF([2]对账明细接口!$AC890=0,"",[2]对账明细接口!$AC890),"")</f>
        <v/>
      </c>
      <c r="AH889" s="90" t="str">
        <f aca="false">IFERROR(IF([2]对账明细接口!$AD890=0,"",[2]对账明细接口!$AD890),"")</f>
        <v/>
      </c>
    </row>
    <row r="890" customFormat="false" ht="13.5" hidden="false" customHeight="false" outlineLevel="0" collapsed="false">
      <c r="A890" s="109" t="n">
        <v>890</v>
      </c>
      <c r="B890" s="110" t="str">
        <f aca="false">IFERROR(IF([2]对账明细接口!$B$890=0,"",[2]对账明细接口!$B$890),"")</f>
        <v/>
      </c>
      <c r="C890" s="59" t="str">
        <f aca="false">IFERROR(IF([2]对账明细接口!$C$890=0,"",[2]对账明细接口!$C$890),"")</f>
        <v/>
      </c>
      <c r="D890" s="59" t="str">
        <f aca="false">IFERROR(IF([2]对账明细接口!$D$890=0,"",[2]对账明细接口!$D$890),"")</f>
        <v/>
      </c>
      <c r="E890" s="59" t="str">
        <f aca="false">IFERROR(IF([2]对账明细接口!$E$890=0,"",[2]对账明细接口!$E$890),"")</f>
        <v/>
      </c>
      <c r="F890" s="59" t="str">
        <f aca="false">IFERROR(IF([2]对账明细接口!$F$890=0,"",[2]对账明细接口!$F$890),"")</f>
        <v/>
      </c>
      <c r="G890" s="59" t="str">
        <f aca="false">IFERROR(IF([2]对账明细接口!$G$890=0,"",[2]对账明细接口!$G$890),"")</f>
        <v/>
      </c>
      <c r="H890" s="60" t="str">
        <f aca="false">IFERROR(IF([2]对账明细接口!$H$890=0,"",[2]对账明细接口!$H$890),"")</f>
        <v/>
      </c>
      <c r="I890" s="59" t="str">
        <f aca="false">IFERROR(IF([2]对账明细接口!$I$890=0,"",[2]对账明细接口!$I$890),"")</f>
        <v/>
      </c>
      <c r="J890" s="61" t="str">
        <f aca="false">IFERROR(IF([2]对账明细接口!$J$890=0,"",[2]对账明细接口!$J$890),"")</f>
        <v/>
      </c>
      <c r="K890" s="61" t="str">
        <f aca="false">IFERROR(IF([2]对账明细接口!$K$890=0,"",[2]对账明细接口!$K$890),"")</f>
        <v/>
      </c>
      <c r="L890" s="59" t="str">
        <f aca="false">IFERROR(IF([2]对账明细接口!$L$890=0,"",[2]对账明细接口!$L$890),"")</f>
        <v/>
      </c>
      <c r="M890" s="59" t="str">
        <f aca="false">IFERROR(IF([2]对账明细接口!$M$890=0,"",[2]对账明细接口!$M$890),"")</f>
        <v/>
      </c>
      <c r="N890" s="111" t="n">
        <f aca="false">IF($C890="",0,1)</f>
        <v>0</v>
      </c>
      <c r="O890" s="111" t="n">
        <f aca="false">N(O889)+$N890</f>
        <v>311</v>
      </c>
      <c r="S890" s="10" t="str">
        <f aca="false">IFERROR(IF([2]对账明细接口!$N890=0,"",[2]对账明细接口!$N890),"")</f>
        <v/>
      </c>
      <c r="T890" s="112" t="str">
        <f aca="false">IFERROR(IF([2]对账明细接口!$O890=0,"",[2]对账明细接口!$O890),"")</f>
        <v/>
      </c>
      <c r="U890" s="112" t="str">
        <f aca="false">IFERROR(IF([2]对账明细接口!$P890=0,"",[2]对账明细接口!$P890),"")</f>
        <v/>
      </c>
      <c r="V890" s="112" t="str">
        <f aca="false">IFERROR(IF([2]对账明细接口!$Q890=0,"",[2]对账明细接口!$Q890),"")</f>
        <v/>
      </c>
      <c r="W890" s="10" t="str">
        <f aca="false">IFERROR(IF([2]对账明细接口!$R890=0,"",[2]对账明细接口!$R890),"")</f>
        <v/>
      </c>
      <c r="X890" s="10" t="str">
        <f aca="false">IFERROR(IF([2]对账明细接口!$S890=0,"",[2]对账明细接口!$S890),"")</f>
        <v/>
      </c>
      <c r="Y890" s="10" t="str">
        <f aca="false">IFERROR(IF([2]对账明细接口!$T890=0,"",[2]对账明细接口!$T890),"")</f>
        <v/>
      </c>
      <c r="Z890" s="113" t="str">
        <f aca="false">IFERROR(IF([2]对账明细接口!$U890=0,"",[2]对账明细接口!$U890),"")</f>
        <v/>
      </c>
      <c r="AA890" s="113" t="str">
        <f aca="false">IFERROR(IF([2]对账明细接口!$V890=0,"",[2]对账明细接口!$V890),"")</f>
        <v/>
      </c>
      <c r="AB890" s="10" t="str">
        <f aca="false">IFERROR(IF([2]对账明细接口!$W890=0,"",[2]对账明细接口!$W890),"")</f>
        <v/>
      </c>
      <c r="AC890" s="90" t="str">
        <f aca="false">IFERROR(IF([2]对账明细接口!$X891=0,"",[2]对账明细接口!$X891),"")</f>
        <v/>
      </c>
      <c r="AD890" s="90" t="str">
        <f aca="false">IFERROR(IF([2]对账明细接口!$Y891=0,"",[2]对账明细接口!$Y891),"")</f>
        <v/>
      </c>
      <c r="AE890" s="90" t="str">
        <f aca="false">IFERROR(IF([2]对账明细接口!$AA891=0,"",[2]对账明细接口!$AA891),"")</f>
        <v/>
      </c>
      <c r="AF890" s="90" t="str">
        <f aca="false">IFERROR(IF([2]对账明细接口!$AB891=0,"",[2]对账明细接口!$AB891),"")</f>
        <v/>
      </c>
      <c r="AG890" s="90" t="str">
        <f aca="false">IFERROR(IF([2]对账明细接口!$AC891=0,"",[2]对账明细接口!$AC891),"")</f>
        <v/>
      </c>
      <c r="AH890" s="90" t="str">
        <f aca="false">IFERROR(IF([2]对账明细接口!$AD891=0,"",[2]对账明细接口!$AD891),"")</f>
        <v/>
      </c>
    </row>
    <row r="891" customFormat="false" ht="13.5" hidden="false" customHeight="false" outlineLevel="0" collapsed="false">
      <c r="A891" s="109" t="n">
        <v>891</v>
      </c>
      <c r="B891" s="110" t="str">
        <f aca="false">IFERROR(IF([2]对账明细接口!$B$891=0,"",[2]对账明细接口!$B$891),"")</f>
        <v/>
      </c>
      <c r="C891" s="59" t="str">
        <f aca="false">IFERROR(IF([2]对账明细接口!$C$891=0,"",[2]对账明细接口!$C$891),"")</f>
        <v/>
      </c>
      <c r="D891" s="59" t="str">
        <f aca="false">IFERROR(IF([2]对账明细接口!$D$891=0,"",[2]对账明细接口!$D$891),"")</f>
        <v/>
      </c>
      <c r="E891" s="59" t="str">
        <f aca="false">IFERROR(IF([2]对账明细接口!$E$891=0,"",[2]对账明细接口!$E$891),"")</f>
        <v/>
      </c>
      <c r="F891" s="59" t="str">
        <f aca="false">IFERROR(IF([2]对账明细接口!$F$891=0,"",[2]对账明细接口!$F$891),"")</f>
        <v/>
      </c>
      <c r="G891" s="59" t="str">
        <f aca="false">IFERROR(IF([2]对账明细接口!$G$891=0,"",[2]对账明细接口!$G$891),"")</f>
        <v/>
      </c>
      <c r="H891" s="60" t="str">
        <f aca="false">IFERROR(IF([2]对账明细接口!$H$891=0,"",[2]对账明细接口!$H$891),"")</f>
        <v/>
      </c>
      <c r="I891" s="59" t="str">
        <f aca="false">IFERROR(IF([2]对账明细接口!$I$891=0,"",[2]对账明细接口!$I$891),"")</f>
        <v/>
      </c>
      <c r="J891" s="61" t="str">
        <f aca="false">IFERROR(IF([2]对账明细接口!$J$891=0,"",[2]对账明细接口!$J$891),"")</f>
        <v/>
      </c>
      <c r="K891" s="61" t="str">
        <f aca="false">IFERROR(IF([2]对账明细接口!$K$891=0,"",[2]对账明细接口!$K$891),"")</f>
        <v/>
      </c>
      <c r="L891" s="59" t="str">
        <f aca="false">IFERROR(IF([2]对账明细接口!$L$891=0,"",[2]对账明细接口!$L$891),"")</f>
        <v/>
      </c>
      <c r="M891" s="59" t="str">
        <f aca="false">IFERROR(IF([2]对账明细接口!$M$891=0,"",[2]对账明细接口!$M$891),"")</f>
        <v/>
      </c>
      <c r="N891" s="111" t="n">
        <f aca="false">IF($C891="",0,1)</f>
        <v>0</v>
      </c>
      <c r="O891" s="111" t="n">
        <f aca="false">N(O890)+$N891</f>
        <v>311</v>
      </c>
      <c r="S891" s="10" t="str">
        <f aca="false">IFERROR(IF([2]对账明细接口!$N891=0,"",[2]对账明细接口!$N891),"")</f>
        <v/>
      </c>
      <c r="T891" s="112" t="str">
        <f aca="false">IFERROR(IF([2]对账明细接口!$O891=0,"",[2]对账明细接口!$O891),"")</f>
        <v/>
      </c>
      <c r="U891" s="112" t="str">
        <f aca="false">IFERROR(IF([2]对账明细接口!$P891=0,"",[2]对账明细接口!$P891),"")</f>
        <v/>
      </c>
      <c r="V891" s="112" t="str">
        <f aca="false">IFERROR(IF([2]对账明细接口!$Q891=0,"",[2]对账明细接口!$Q891),"")</f>
        <v/>
      </c>
      <c r="W891" s="10" t="str">
        <f aca="false">IFERROR(IF([2]对账明细接口!$R891=0,"",[2]对账明细接口!$R891),"")</f>
        <v/>
      </c>
      <c r="X891" s="10" t="str">
        <f aca="false">IFERROR(IF([2]对账明细接口!$S891=0,"",[2]对账明细接口!$S891),"")</f>
        <v/>
      </c>
      <c r="Y891" s="10" t="str">
        <f aca="false">IFERROR(IF([2]对账明细接口!$T891=0,"",[2]对账明细接口!$T891),"")</f>
        <v/>
      </c>
      <c r="Z891" s="113" t="str">
        <f aca="false">IFERROR(IF([2]对账明细接口!$U891=0,"",[2]对账明细接口!$U891),"")</f>
        <v/>
      </c>
      <c r="AA891" s="113" t="str">
        <f aca="false">IFERROR(IF([2]对账明细接口!$V891=0,"",[2]对账明细接口!$V891),"")</f>
        <v/>
      </c>
      <c r="AB891" s="10" t="str">
        <f aca="false">IFERROR(IF([2]对账明细接口!$W891=0,"",[2]对账明细接口!$W891),"")</f>
        <v/>
      </c>
      <c r="AC891" s="90" t="str">
        <f aca="false">IFERROR(IF([2]对账明细接口!$X892=0,"",[2]对账明细接口!$X892),"")</f>
        <v/>
      </c>
      <c r="AD891" s="90" t="str">
        <f aca="false">IFERROR(IF([2]对账明细接口!$Y892=0,"",[2]对账明细接口!$Y892),"")</f>
        <v/>
      </c>
      <c r="AE891" s="90" t="str">
        <f aca="false">IFERROR(IF([2]对账明细接口!$AA892=0,"",[2]对账明细接口!$AA892),"")</f>
        <v/>
      </c>
      <c r="AF891" s="90" t="str">
        <f aca="false">IFERROR(IF([2]对账明细接口!$AB892=0,"",[2]对账明细接口!$AB892),"")</f>
        <v/>
      </c>
      <c r="AG891" s="90" t="str">
        <f aca="false">IFERROR(IF([2]对账明细接口!$AC892=0,"",[2]对账明细接口!$AC892),"")</f>
        <v/>
      </c>
      <c r="AH891" s="90" t="str">
        <f aca="false">IFERROR(IF([2]对账明细接口!$AD892=0,"",[2]对账明细接口!$AD892),"")</f>
        <v/>
      </c>
    </row>
    <row r="892" customFormat="false" ht="13.5" hidden="false" customHeight="false" outlineLevel="0" collapsed="false">
      <c r="A892" s="109" t="n">
        <v>892</v>
      </c>
      <c r="B892" s="110" t="str">
        <f aca="false">IFERROR(IF([2]对账明细接口!$B$892=0,"",[2]对账明细接口!$B$892),"")</f>
        <v/>
      </c>
      <c r="C892" s="59" t="str">
        <f aca="false">IFERROR(IF([2]对账明细接口!$C$892=0,"",[2]对账明细接口!$C$892),"")</f>
        <v/>
      </c>
      <c r="D892" s="59" t="str">
        <f aca="false">IFERROR(IF([2]对账明细接口!$D$892=0,"",[2]对账明细接口!$D$892),"")</f>
        <v/>
      </c>
      <c r="E892" s="59" t="str">
        <f aca="false">IFERROR(IF([2]对账明细接口!$E$892=0,"",[2]对账明细接口!$E$892),"")</f>
        <v/>
      </c>
      <c r="F892" s="59" t="str">
        <f aca="false">IFERROR(IF([2]对账明细接口!$F$892=0,"",[2]对账明细接口!$F$892),"")</f>
        <v/>
      </c>
      <c r="G892" s="59" t="str">
        <f aca="false">IFERROR(IF([2]对账明细接口!$G$892=0,"",[2]对账明细接口!$G$892),"")</f>
        <v/>
      </c>
      <c r="H892" s="60" t="str">
        <f aca="false">IFERROR(IF([2]对账明细接口!$H$892=0,"",[2]对账明细接口!$H$892),"")</f>
        <v/>
      </c>
      <c r="I892" s="59" t="str">
        <f aca="false">IFERROR(IF([2]对账明细接口!$I$892=0,"",[2]对账明细接口!$I$892),"")</f>
        <v/>
      </c>
      <c r="J892" s="61" t="str">
        <f aca="false">IFERROR(IF([2]对账明细接口!$J$892=0,"",[2]对账明细接口!$J$892),"")</f>
        <v/>
      </c>
      <c r="K892" s="61" t="str">
        <f aca="false">IFERROR(IF([2]对账明细接口!$K$892=0,"",[2]对账明细接口!$K$892),"")</f>
        <v/>
      </c>
      <c r="L892" s="59" t="str">
        <f aca="false">IFERROR(IF([2]对账明细接口!$L$892=0,"",[2]对账明细接口!$L$892),"")</f>
        <v/>
      </c>
      <c r="M892" s="59" t="str">
        <f aca="false">IFERROR(IF([2]对账明细接口!$M$892=0,"",[2]对账明细接口!$M$892),"")</f>
        <v/>
      </c>
      <c r="N892" s="111" t="n">
        <f aca="false">IF($C892="",0,1)</f>
        <v>0</v>
      </c>
      <c r="O892" s="111" t="n">
        <f aca="false">N(O891)+$N892</f>
        <v>311</v>
      </c>
      <c r="S892" s="10" t="str">
        <f aca="false">IFERROR(IF([2]对账明细接口!$N892=0,"",[2]对账明细接口!$N892),"")</f>
        <v/>
      </c>
      <c r="T892" s="112" t="str">
        <f aca="false">IFERROR(IF([2]对账明细接口!$O892=0,"",[2]对账明细接口!$O892),"")</f>
        <v/>
      </c>
      <c r="U892" s="112" t="str">
        <f aca="false">IFERROR(IF([2]对账明细接口!$P892=0,"",[2]对账明细接口!$P892),"")</f>
        <v/>
      </c>
      <c r="V892" s="112" t="str">
        <f aca="false">IFERROR(IF([2]对账明细接口!$Q892=0,"",[2]对账明细接口!$Q892),"")</f>
        <v/>
      </c>
      <c r="W892" s="10" t="str">
        <f aca="false">IFERROR(IF([2]对账明细接口!$R892=0,"",[2]对账明细接口!$R892),"")</f>
        <v/>
      </c>
      <c r="X892" s="10" t="str">
        <f aca="false">IFERROR(IF([2]对账明细接口!$S892=0,"",[2]对账明细接口!$S892),"")</f>
        <v/>
      </c>
      <c r="Y892" s="10" t="str">
        <f aca="false">IFERROR(IF([2]对账明细接口!$T892=0,"",[2]对账明细接口!$T892),"")</f>
        <v/>
      </c>
      <c r="Z892" s="113" t="str">
        <f aca="false">IFERROR(IF([2]对账明细接口!$U892=0,"",[2]对账明细接口!$U892),"")</f>
        <v/>
      </c>
      <c r="AA892" s="113" t="str">
        <f aca="false">IFERROR(IF([2]对账明细接口!$V892=0,"",[2]对账明细接口!$V892),"")</f>
        <v/>
      </c>
      <c r="AB892" s="10" t="str">
        <f aca="false">IFERROR(IF([2]对账明细接口!$W892=0,"",[2]对账明细接口!$W892),"")</f>
        <v/>
      </c>
      <c r="AC892" s="90" t="str">
        <f aca="false">IFERROR(IF([2]对账明细接口!$X893=0,"",[2]对账明细接口!$X893),"")</f>
        <v/>
      </c>
      <c r="AD892" s="90" t="str">
        <f aca="false">IFERROR(IF([2]对账明细接口!$Y893=0,"",[2]对账明细接口!$Y893),"")</f>
        <v/>
      </c>
      <c r="AE892" s="90" t="str">
        <f aca="false">IFERROR(IF([2]对账明细接口!$AA893=0,"",[2]对账明细接口!$AA893),"")</f>
        <v/>
      </c>
      <c r="AF892" s="90" t="str">
        <f aca="false">IFERROR(IF([2]对账明细接口!$AB893=0,"",[2]对账明细接口!$AB893),"")</f>
        <v/>
      </c>
      <c r="AG892" s="90" t="str">
        <f aca="false">IFERROR(IF([2]对账明细接口!$AC893=0,"",[2]对账明细接口!$AC893),"")</f>
        <v/>
      </c>
      <c r="AH892" s="90" t="str">
        <f aca="false">IFERROR(IF([2]对账明细接口!$AD893=0,"",[2]对账明细接口!$AD893),"")</f>
        <v/>
      </c>
    </row>
    <row r="893" customFormat="false" ht="13.5" hidden="false" customHeight="false" outlineLevel="0" collapsed="false">
      <c r="A893" s="109" t="n">
        <v>893</v>
      </c>
      <c r="B893" s="110" t="str">
        <f aca="false">IFERROR(IF([2]对账明细接口!$B$893=0,"",[2]对账明细接口!$B$893),"")</f>
        <v/>
      </c>
      <c r="C893" s="59" t="str">
        <f aca="false">IFERROR(IF([2]对账明细接口!$C$893=0,"",[2]对账明细接口!$C$893),"")</f>
        <v/>
      </c>
      <c r="D893" s="59" t="str">
        <f aca="false">IFERROR(IF([2]对账明细接口!$D$893=0,"",[2]对账明细接口!$D$893),"")</f>
        <v/>
      </c>
      <c r="E893" s="59" t="str">
        <f aca="false">IFERROR(IF([2]对账明细接口!$E$893=0,"",[2]对账明细接口!$E$893),"")</f>
        <v/>
      </c>
      <c r="F893" s="59" t="str">
        <f aca="false">IFERROR(IF([2]对账明细接口!$F$893=0,"",[2]对账明细接口!$F$893),"")</f>
        <v/>
      </c>
      <c r="G893" s="59" t="str">
        <f aca="false">IFERROR(IF([2]对账明细接口!$G$893=0,"",[2]对账明细接口!$G$893),"")</f>
        <v/>
      </c>
      <c r="H893" s="60" t="str">
        <f aca="false">IFERROR(IF([2]对账明细接口!$H$893=0,"",[2]对账明细接口!$H$893),"")</f>
        <v/>
      </c>
      <c r="I893" s="59" t="str">
        <f aca="false">IFERROR(IF([2]对账明细接口!$I$893=0,"",[2]对账明细接口!$I$893),"")</f>
        <v/>
      </c>
      <c r="J893" s="61" t="str">
        <f aca="false">IFERROR(IF([2]对账明细接口!$J$893=0,"",[2]对账明细接口!$J$893),"")</f>
        <v/>
      </c>
      <c r="K893" s="61" t="str">
        <f aca="false">IFERROR(IF([2]对账明细接口!$K$893=0,"",[2]对账明细接口!$K$893),"")</f>
        <v/>
      </c>
      <c r="L893" s="59" t="str">
        <f aca="false">IFERROR(IF([2]对账明细接口!$L$893=0,"",[2]对账明细接口!$L$893),"")</f>
        <v/>
      </c>
      <c r="M893" s="59" t="str">
        <f aca="false">IFERROR(IF([2]对账明细接口!$M$893=0,"",[2]对账明细接口!$M$893),"")</f>
        <v/>
      </c>
      <c r="N893" s="111" t="n">
        <f aca="false">IF($C893="",0,1)</f>
        <v>0</v>
      </c>
      <c r="O893" s="111" t="n">
        <f aca="false">N(O892)+$N893</f>
        <v>311</v>
      </c>
      <c r="S893" s="10" t="str">
        <f aca="false">IFERROR(IF([2]对账明细接口!$N893=0,"",[2]对账明细接口!$N893),"")</f>
        <v/>
      </c>
      <c r="T893" s="112" t="str">
        <f aca="false">IFERROR(IF([2]对账明细接口!$O893=0,"",[2]对账明细接口!$O893),"")</f>
        <v/>
      </c>
      <c r="U893" s="112" t="str">
        <f aca="false">IFERROR(IF([2]对账明细接口!$P893=0,"",[2]对账明细接口!$P893),"")</f>
        <v/>
      </c>
      <c r="V893" s="112" t="str">
        <f aca="false">IFERROR(IF([2]对账明细接口!$Q893=0,"",[2]对账明细接口!$Q893),"")</f>
        <v/>
      </c>
      <c r="W893" s="10" t="str">
        <f aca="false">IFERROR(IF([2]对账明细接口!$R893=0,"",[2]对账明细接口!$R893),"")</f>
        <v/>
      </c>
      <c r="X893" s="10" t="str">
        <f aca="false">IFERROR(IF([2]对账明细接口!$S893=0,"",[2]对账明细接口!$S893),"")</f>
        <v/>
      </c>
      <c r="Y893" s="10" t="str">
        <f aca="false">IFERROR(IF([2]对账明细接口!$T893=0,"",[2]对账明细接口!$T893),"")</f>
        <v/>
      </c>
      <c r="Z893" s="113" t="str">
        <f aca="false">IFERROR(IF([2]对账明细接口!$U893=0,"",[2]对账明细接口!$U893),"")</f>
        <v/>
      </c>
      <c r="AA893" s="113" t="str">
        <f aca="false">IFERROR(IF([2]对账明细接口!$V893=0,"",[2]对账明细接口!$V893),"")</f>
        <v/>
      </c>
      <c r="AB893" s="10" t="str">
        <f aca="false">IFERROR(IF([2]对账明细接口!$W893=0,"",[2]对账明细接口!$W893),"")</f>
        <v/>
      </c>
      <c r="AC893" s="90" t="str">
        <f aca="false">IFERROR(IF([2]对账明细接口!$X894=0,"",[2]对账明细接口!$X894),"")</f>
        <v/>
      </c>
      <c r="AD893" s="90" t="str">
        <f aca="false">IFERROR(IF([2]对账明细接口!$Y894=0,"",[2]对账明细接口!$Y894),"")</f>
        <v/>
      </c>
      <c r="AE893" s="90" t="str">
        <f aca="false">IFERROR(IF([2]对账明细接口!$AA894=0,"",[2]对账明细接口!$AA894),"")</f>
        <v/>
      </c>
      <c r="AF893" s="90" t="str">
        <f aca="false">IFERROR(IF([2]对账明细接口!$AB894=0,"",[2]对账明细接口!$AB894),"")</f>
        <v/>
      </c>
      <c r="AG893" s="90" t="str">
        <f aca="false">IFERROR(IF([2]对账明细接口!$AC894=0,"",[2]对账明细接口!$AC894),"")</f>
        <v/>
      </c>
      <c r="AH893" s="90" t="str">
        <f aca="false">IFERROR(IF([2]对账明细接口!$AD894=0,"",[2]对账明细接口!$AD894),"")</f>
        <v/>
      </c>
    </row>
    <row r="894" customFormat="false" ht="13.5" hidden="false" customHeight="false" outlineLevel="0" collapsed="false">
      <c r="A894" s="109" t="n">
        <v>894</v>
      </c>
      <c r="B894" s="110" t="str">
        <f aca="false">IFERROR(IF([2]对账明细接口!$B$894=0,"",[2]对账明细接口!$B$894),"")</f>
        <v/>
      </c>
      <c r="C894" s="59" t="str">
        <f aca="false">IFERROR(IF([2]对账明细接口!$C$894=0,"",[2]对账明细接口!$C$894),"")</f>
        <v/>
      </c>
      <c r="D894" s="59" t="str">
        <f aca="false">IFERROR(IF([2]对账明细接口!$D$894=0,"",[2]对账明细接口!$D$894),"")</f>
        <v/>
      </c>
      <c r="E894" s="59" t="str">
        <f aca="false">IFERROR(IF([2]对账明细接口!$E$894=0,"",[2]对账明细接口!$E$894),"")</f>
        <v/>
      </c>
      <c r="F894" s="59" t="str">
        <f aca="false">IFERROR(IF([2]对账明细接口!$F$894=0,"",[2]对账明细接口!$F$894),"")</f>
        <v/>
      </c>
      <c r="G894" s="59" t="str">
        <f aca="false">IFERROR(IF([2]对账明细接口!$G$894=0,"",[2]对账明细接口!$G$894),"")</f>
        <v/>
      </c>
      <c r="H894" s="60" t="str">
        <f aca="false">IFERROR(IF([2]对账明细接口!$H$894=0,"",[2]对账明细接口!$H$894),"")</f>
        <v/>
      </c>
      <c r="I894" s="59" t="str">
        <f aca="false">IFERROR(IF([2]对账明细接口!$I$894=0,"",[2]对账明细接口!$I$894),"")</f>
        <v/>
      </c>
      <c r="J894" s="61" t="str">
        <f aca="false">IFERROR(IF([2]对账明细接口!$J$894=0,"",[2]对账明细接口!$J$894),"")</f>
        <v/>
      </c>
      <c r="K894" s="61" t="str">
        <f aca="false">IFERROR(IF([2]对账明细接口!$K$894=0,"",[2]对账明细接口!$K$894),"")</f>
        <v/>
      </c>
      <c r="L894" s="59" t="str">
        <f aca="false">IFERROR(IF([2]对账明细接口!$L$894=0,"",[2]对账明细接口!$L$894),"")</f>
        <v/>
      </c>
      <c r="M894" s="59" t="str">
        <f aca="false">IFERROR(IF([2]对账明细接口!$M$894=0,"",[2]对账明细接口!$M$894),"")</f>
        <v/>
      </c>
      <c r="N894" s="111" t="n">
        <f aca="false">IF($C894="",0,1)</f>
        <v>0</v>
      </c>
      <c r="O894" s="111" t="n">
        <f aca="false">N(O893)+$N894</f>
        <v>311</v>
      </c>
      <c r="S894" s="10" t="str">
        <f aca="false">IFERROR(IF([2]对账明细接口!$N894=0,"",[2]对账明细接口!$N894),"")</f>
        <v/>
      </c>
      <c r="T894" s="112" t="str">
        <f aca="false">IFERROR(IF([2]对账明细接口!$O894=0,"",[2]对账明细接口!$O894),"")</f>
        <v/>
      </c>
      <c r="U894" s="112" t="str">
        <f aca="false">IFERROR(IF([2]对账明细接口!$P894=0,"",[2]对账明细接口!$P894),"")</f>
        <v/>
      </c>
      <c r="V894" s="112" t="str">
        <f aca="false">IFERROR(IF([2]对账明细接口!$Q894=0,"",[2]对账明细接口!$Q894),"")</f>
        <v/>
      </c>
      <c r="W894" s="10" t="str">
        <f aca="false">IFERROR(IF([2]对账明细接口!$R894=0,"",[2]对账明细接口!$R894),"")</f>
        <v/>
      </c>
      <c r="X894" s="10" t="str">
        <f aca="false">IFERROR(IF([2]对账明细接口!$S894=0,"",[2]对账明细接口!$S894),"")</f>
        <v/>
      </c>
      <c r="Y894" s="10" t="str">
        <f aca="false">IFERROR(IF([2]对账明细接口!$T894=0,"",[2]对账明细接口!$T894),"")</f>
        <v/>
      </c>
      <c r="Z894" s="113" t="str">
        <f aca="false">IFERROR(IF([2]对账明细接口!$U894=0,"",[2]对账明细接口!$U894),"")</f>
        <v/>
      </c>
      <c r="AA894" s="113" t="str">
        <f aca="false">IFERROR(IF([2]对账明细接口!$V894=0,"",[2]对账明细接口!$V894),"")</f>
        <v/>
      </c>
      <c r="AB894" s="10" t="str">
        <f aca="false">IFERROR(IF([2]对账明细接口!$W894=0,"",[2]对账明细接口!$W894),"")</f>
        <v/>
      </c>
      <c r="AC894" s="90" t="str">
        <f aca="false">IFERROR(IF([2]对账明细接口!$X895=0,"",[2]对账明细接口!$X895),"")</f>
        <v/>
      </c>
      <c r="AD894" s="90" t="str">
        <f aca="false">IFERROR(IF([2]对账明细接口!$Y895=0,"",[2]对账明细接口!$Y895),"")</f>
        <v/>
      </c>
      <c r="AE894" s="90" t="str">
        <f aca="false">IFERROR(IF([2]对账明细接口!$AA895=0,"",[2]对账明细接口!$AA895),"")</f>
        <v/>
      </c>
      <c r="AF894" s="90" t="str">
        <f aca="false">IFERROR(IF([2]对账明细接口!$AB895=0,"",[2]对账明细接口!$AB895),"")</f>
        <v/>
      </c>
      <c r="AG894" s="90" t="str">
        <f aca="false">IFERROR(IF([2]对账明细接口!$AC895=0,"",[2]对账明细接口!$AC895),"")</f>
        <v/>
      </c>
      <c r="AH894" s="90" t="str">
        <f aca="false">IFERROR(IF([2]对账明细接口!$AD895=0,"",[2]对账明细接口!$AD895),"")</f>
        <v/>
      </c>
    </row>
    <row r="895" customFormat="false" ht="13.5" hidden="false" customHeight="false" outlineLevel="0" collapsed="false">
      <c r="A895" s="109" t="n">
        <v>895</v>
      </c>
      <c r="B895" s="110" t="str">
        <f aca="false">IFERROR(IF([2]对账明细接口!$B$895=0,"",[2]对账明细接口!$B$895),"")</f>
        <v/>
      </c>
      <c r="C895" s="59" t="str">
        <f aca="false">IFERROR(IF([2]对账明细接口!$C$895=0,"",[2]对账明细接口!$C$895),"")</f>
        <v/>
      </c>
      <c r="D895" s="59" t="str">
        <f aca="false">IFERROR(IF([2]对账明细接口!$D$895=0,"",[2]对账明细接口!$D$895),"")</f>
        <v/>
      </c>
      <c r="E895" s="59" t="str">
        <f aca="false">IFERROR(IF([2]对账明细接口!$E$895=0,"",[2]对账明细接口!$E$895),"")</f>
        <v/>
      </c>
      <c r="F895" s="59" t="str">
        <f aca="false">IFERROR(IF([2]对账明细接口!$F$895=0,"",[2]对账明细接口!$F$895),"")</f>
        <v/>
      </c>
      <c r="G895" s="59" t="str">
        <f aca="false">IFERROR(IF([2]对账明细接口!$G$895=0,"",[2]对账明细接口!$G$895),"")</f>
        <v/>
      </c>
      <c r="H895" s="60" t="str">
        <f aca="false">IFERROR(IF([2]对账明细接口!$H$895=0,"",[2]对账明细接口!$H$895),"")</f>
        <v/>
      </c>
      <c r="I895" s="59" t="str">
        <f aca="false">IFERROR(IF([2]对账明细接口!$I$895=0,"",[2]对账明细接口!$I$895),"")</f>
        <v/>
      </c>
      <c r="J895" s="61" t="str">
        <f aca="false">IFERROR(IF([2]对账明细接口!$J$895=0,"",[2]对账明细接口!$J$895),"")</f>
        <v/>
      </c>
      <c r="K895" s="61" t="str">
        <f aca="false">IFERROR(IF([2]对账明细接口!$K$895=0,"",[2]对账明细接口!$K$895),"")</f>
        <v/>
      </c>
      <c r="L895" s="59" t="str">
        <f aca="false">IFERROR(IF([2]对账明细接口!$L$895=0,"",[2]对账明细接口!$L$895),"")</f>
        <v/>
      </c>
      <c r="M895" s="59" t="str">
        <f aca="false">IFERROR(IF([2]对账明细接口!$M$895=0,"",[2]对账明细接口!$M$895),"")</f>
        <v/>
      </c>
      <c r="N895" s="111" t="n">
        <f aca="false">IF($C895="",0,1)</f>
        <v>0</v>
      </c>
      <c r="O895" s="111" t="n">
        <f aca="false">N(O894)+$N895</f>
        <v>311</v>
      </c>
      <c r="S895" s="10" t="str">
        <f aca="false">IFERROR(IF([2]对账明细接口!$N895=0,"",[2]对账明细接口!$N895),"")</f>
        <v/>
      </c>
      <c r="T895" s="112" t="str">
        <f aca="false">IFERROR(IF([2]对账明细接口!$O895=0,"",[2]对账明细接口!$O895),"")</f>
        <v/>
      </c>
      <c r="U895" s="112" t="str">
        <f aca="false">IFERROR(IF([2]对账明细接口!$P895=0,"",[2]对账明细接口!$P895),"")</f>
        <v/>
      </c>
      <c r="V895" s="112" t="str">
        <f aca="false">IFERROR(IF([2]对账明细接口!$Q895=0,"",[2]对账明细接口!$Q895),"")</f>
        <v/>
      </c>
      <c r="W895" s="10" t="str">
        <f aca="false">IFERROR(IF([2]对账明细接口!$R895=0,"",[2]对账明细接口!$R895),"")</f>
        <v/>
      </c>
      <c r="X895" s="10" t="str">
        <f aca="false">IFERROR(IF([2]对账明细接口!$S895=0,"",[2]对账明细接口!$S895),"")</f>
        <v/>
      </c>
      <c r="Y895" s="10" t="str">
        <f aca="false">IFERROR(IF([2]对账明细接口!$T895=0,"",[2]对账明细接口!$T895),"")</f>
        <v/>
      </c>
      <c r="Z895" s="113" t="str">
        <f aca="false">IFERROR(IF([2]对账明细接口!$U895=0,"",[2]对账明细接口!$U895),"")</f>
        <v/>
      </c>
      <c r="AA895" s="113" t="str">
        <f aca="false">IFERROR(IF([2]对账明细接口!$V895=0,"",[2]对账明细接口!$V895),"")</f>
        <v/>
      </c>
      <c r="AB895" s="10" t="str">
        <f aca="false">IFERROR(IF([2]对账明细接口!$W895=0,"",[2]对账明细接口!$W895),"")</f>
        <v/>
      </c>
      <c r="AC895" s="90" t="str">
        <f aca="false">IFERROR(IF([2]对账明细接口!$X896=0,"",[2]对账明细接口!$X896),"")</f>
        <v/>
      </c>
      <c r="AD895" s="90" t="str">
        <f aca="false">IFERROR(IF([2]对账明细接口!$Y896=0,"",[2]对账明细接口!$Y896),"")</f>
        <v/>
      </c>
      <c r="AE895" s="90" t="str">
        <f aca="false">IFERROR(IF([2]对账明细接口!$AA896=0,"",[2]对账明细接口!$AA896),"")</f>
        <v/>
      </c>
      <c r="AF895" s="90" t="str">
        <f aca="false">IFERROR(IF([2]对账明细接口!$AB896=0,"",[2]对账明细接口!$AB896),"")</f>
        <v/>
      </c>
      <c r="AG895" s="90" t="str">
        <f aca="false">IFERROR(IF([2]对账明细接口!$AC896=0,"",[2]对账明细接口!$AC896),"")</f>
        <v/>
      </c>
      <c r="AH895" s="90" t="str">
        <f aca="false">IFERROR(IF([2]对账明细接口!$AD896=0,"",[2]对账明细接口!$AD896),"")</f>
        <v/>
      </c>
    </row>
    <row r="896" customFormat="false" ht="13.5" hidden="false" customHeight="false" outlineLevel="0" collapsed="false">
      <c r="A896" s="109" t="n">
        <v>896</v>
      </c>
      <c r="B896" s="110" t="str">
        <f aca="false">IFERROR(IF([2]对账明细接口!$B$896=0,"",[2]对账明细接口!$B$896),"")</f>
        <v/>
      </c>
      <c r="C896" s="59" t="str">
        <f aca="false">IFERROR(IF([2]对账明细接口!$C$896=0,"",[2]对账明细接口!$C$896),"")</f>
        <v/>
      </c>
      <c r="D896" s="59" t="str">
        <f aca="false">IFERROR(IF([2]对账明细接口!$D$896=0,"",[2]对账明细接口!$D$896),"")</f>
        <v/>
      </c>
      <c r="E896" s="59" t="str">
        <f aca="false">IFERROR(IF([2]对账明细接口!$E$896=0,"",[2]对账明细接口!$E$896),"")</f>
        <v/>
      </c>
      <c r="F896" s="59" t="str">
        <f aca="false">IFERROR(IF([2]对账明细接口!$F$896=0,"",[2]对账明细接口!$F$896),"")</f>
        <v/>
      </c>
      <c r="G896" s="59" t="str">
        <f aca="false">IFERROR(IF([2]对账明细接口!$G$896=0,"",[2]对账明细接口!$G$896),"")</f>
        <v/>
      </c>
      <c r="H896" s="60" t="str">
        <f aca="false">IFERROR(IF([2]对账明细接口!$H$896=0,"",[2]对账明细接口!$H$896),"")</f>
        <v/>
      </c>
      <c r="I896" s="59" t="str">
        <f aca="false">IFERROR(IF([2]对账明细接口!$I$896=0,"",[2]对账明细接口!$I$896),"")</f>
        <v/>
      </c>
      <c r="J896" s="61" t="str">
        <f aca="false">IFERROR(IF([2]对账明细接口!$J$896=0,"",[2]对账明细接口!$J$896),"")</f>
        <v/>
      </c>
      <c r="K896" s="61" t="str">
        <f aca="false">IFERROR(IF([2]对账明细接口!$K$896=0,"",[2]对账明细接口!$K$896),"")</f>
        <v/>
      </c>
      <c r="L896" s="59" t="str">
        <f aca="false">IFERROR(IF([2]对账明细接口!$L$896=0,"",[2]对账明细接口!$L$896),"")</f>
        <v/>
      </c>
      <c r="M896" s="59" t="str">
        <f aca="false">IFERROR(IF([2]对账明细接口!$M$896=0,"",[2]对账明细接口!$M$896),"")</f>
        <v/>
      </c>
      <c r="N896" s="111" t="n">
        <f aca="false">IF($C896="",0,1)</f>
        <v>0</v>
      </c>
      <c r="O896" s="111" t="n">
        <f aca="false">N(O895)+$N896</f>
        <v>311</v>
      </c>
      <c r="S896" s="10" t="str">
        <f aca="false">IFERROR(IF([2]对账明细接口!$N896=0,"",[2]对账明细接口!$N896),"")</f>
        <v/>
      </c>
      <c r="T896" s="112" t="str">
        <f aca="false">IFERROR(IF([2]对账明细接口!$O896=0,"",[2]对账明细接口!$O896),"")</f>
        <v/>
      </c>
      <c r="U896" s="112" t="str">
        <f aca="false">IFERROR(IF([2]对账明细接口!$P896=0,"",[2]对账明细接口!$P896),"")</f>
        <v/>
      </c>
      <c r="V896" s="112" t="str">
        <f aca="false">IFERROR(IF([2]对账明细接口!$Q896=0,"",[2]对账明细接口!$Q896),"")</f>
        <v/>
      </c>
      <c r="W896" s="10" t="str">
        <f aca="false">IFERROR(IF([2]对账明细接口!$R896=0,"",[2]对账明细接口!$R896),"")</f>
        <v/>
      </c>
      <c r="X896" s="10" t="str">
        <f aca="false">IFERROR(IF([2]对账明细接口!$S896=0,"",[2]对账明细接口!$S896),"")</f>
        <v/>
      </c>
      <c r="Y896" s="10" t="str">
        <f aca="false">IFERROR(IF([2]对账明细接口!$T896=0,"",[2]对账明细接口!$T896),"")</f>
        <v/>
      </c>
      <c r="Z896" s="113" t="str">
        <f aca="false">IFERROR(IF([2]对账明细接口!$U896=0,"",[2]对账明细接口!$U896),"")</f>
        <v/>
      </c>
      <c r="AA896" s="113" t="str">
        <f aca="false">IFERROR(IF([2]对账明细接口!$V896=0,"",[2]对账明细接口!$V896),"")</f>
        <v/>
      </c>
      <c r="AB896" s="10" t="str">
        <f aca="false">IFERROR(IF([2]对账明细接口!$W896=0,"",[2]对账明细接口!$W896),"")</f>
        <v/>
      </c>
      <c r="AC896" s="90" t="str">
        <f aca="false">IFERROR(IF([2]对账明细接口!$X897=0,"",[2]对账明细接口!$X897),"")</f>
        <v/>
      </c>
      <c r="AD896" s="90" t="str">
        <f aca="false">IFERROR(IF([2]对账明细接口!$Y897=0,"",[2]对账明细接口!$Y897),"")</f>
        <v/>
      </c>
      <c r="AE896" s="90" t="str">
        <f aca="false">IFERROR(IF([2]对账明细接口!$AA897=0,"",[2]对账明细接口!$AA897),"")</f>
        <v/>
      </c>
      <c r="AF896" s="90" t="str">
        <f aca="false">IFERROR(IF([2]对账明细接口!$AB897=0,"",[2]对账明细接口!$AB897),"")</f>
        <v/>
      </c>
      <c r="AG896" s="90" t="str">
        <f aca="false">IFERROR(IF([2]对账明细接口!$AC897=0,"",[2]对账明细接口!$AC897),"")</f>
        <v/>
      </c>
      <c r="AH896" s="90" t="str">
        <f aca="false">IFERROR(IF([2]对账明细接口!$AD897=0,"",[2]对账明细接口!$AD897),"")</f>
        <v/>
      </c>
    </row>
    <row r="897" customFormat="false" ht="13.5" hidden="false" customHeight="false" outlineLevel="0" collapsed="false">
      <c r="A897" s="109" t="n">
        <v>897</v>
      </c>
      <c r="B897" s="110" t="str">
        <f aca="false">IFERROR(IF([2]对账明细接口!$B$897=0,"",[2]对账明细接口!$B$897),"")</f>
        <v/>
      </c>
      <c r="C897" s="59" t="str">
        <f aca="false">IFERROR(IF([2]对账明细接口!$C$897=0,"",[2]对账明细接口!$C$897),"")</f>
        <v/>
      </c>
      <c r="D897" s="59" t="str">
        <f aca="false">IFERROR(IF([2]对账明细接口!$D$897=0,"",[2]对账明细接口!$D$897),"")</f>
        <v/>
      </c>
      <c r="E897" s="59" t="str">
        <f aca="false">IFERROR(IF([2]对账明细接口!$E$897=0,"",[2]对账明细接口!$E$897),"")</f>
        <v/>
      </c>
      <c r="F897" s="59" t="str">
        <f aca="false">IFERROR(IF([2]对账明细接口!$F$897=0,"",[2]对账明细接口!$F$897),"")</f>
        <v/>
      </c>
      <c r="G897" s="59" t="str">
        <f aca="false">IFERROR(IF([2]对账明细接口!$G$897=0,"",[2]对账明细接口!$G$897),"")</f>
        <v/>
      </c>
      <c r="H897" s="60" t="str">
        <f aca="false">IFERROR(IF([2]对账明细接口!$H$897=0,"",[2]对账明细接口!$H$897),"")</f>
        <v/>
      </c>
      <c r="I897" s="59" t="str">
        <f aca="false">IFERROR(IF([2]对账明细接口!$I$897=0,"",[2]对账明细接口!$I$897),"")</f>
        <v/>
      </c>
      <c r="J897" s="61" t="str">
        <f aca="false">IFERROR(IF([2]对账明细接口!$J$897=0,"",[2]对账明细接口!$J$897),"")</f>
        <v/>
      </c>
      <c r="K897" s="61" t="str">
        <f aca="false">IFERROR(IF([2]对账明细接口!$K$897=0,"",[2]对账明细接口!$K$897),"")</f>
        <v/>
      </c>
      <c r="L897" s="59" t="str">
        <f aca="false">IFERROR(IF([2]对账明细接口!$L$897=0,"",[2]对账明细接口!$L$897),"")</f>
        <v/>
      </c>
      <c r="M897" s="59" t="str">
        <f aca="false">IFERROR(IF([2]对账明细接口!$M$897=0,"",[2]对账明细接口!$M$897),"")</f>
        <v/>
      </c>
      <c r="N897" s="111" t="n">
        <f aca="false">IF($C897="",0,1)</f>
        <v>0</v>
      </c>
      <c r="O897" s="111" t="n">
        <f aca="false">N(O896)+$N897</f>
        <v>311</v>
      </c>
      <c r="S897" s="10" t="str">
        <f aca="false">IFERROR(IF([2]对账明细接口!$N897=0,"",[2]对账明细接口!$N897),"")</f>
        <v/>
      </c>
      <c r="T897" s="112" t="str">
        <f aca="false">IFERROR(IF([2]对账明细接口!$O897=0,"",[2]对账明细接口!$O897),"")</f>
        <v/>
      </c>
      <c r="U897" s="112" t="str">
        <f aca="false">IFERROR(IF([2]对账明细接口!$P897=0,"",[2]对账明细接口!$P897),"")</f>
        <v/>
      </c>
      <c r="V897" s="112" t="str">
        <f aca="false">IFERROR(IF([2]对账明细接口!$Q897=0,"",[2]对账明细接口!$Q897),"")</f>
        <v/>
      </c>
      <c r="W897" s="10" t="str">
        <f aca="false">IFERROR(IF([2]对账明细接口!$R897=0,"",[2]对账明细接口!$R897),"")</f>
        <v/>
      </c>
      <c r="X897" s="10" t="str">
        <f aca="false">IFERROR(IF([2]对账明细接口!$S897=0,"",[2]对账明细接口!$S897),"")</f>
        <v/>
      </c>
      <c r="Y897" s="10" t="str">
        <f aca="false">IFERROR(IF([2]对账明细接口!$T897=0,"",[2]对账明细接口!$T897),"")</f>
        <v/>
      </c>
      <c r="Z897" s="113" t="str">
        <f aca="false">IFERROR(IF([2]对账明细接口!$U897=0,"",[2]对账明细接口!$U897),"")</f>
        <v/>
      </c>
      <c r="AA897" s="113" t="str">
        <f aca="false">IFERROR(IF([2]对账明细接口!$V897=0,"",[2]对账明细接口!$V897),"")</f>
        <v/>
      </c>
      <c r="AB897" s="10" t="str">
        <f aca="false">IFERROR(IF([2]对账明细接口!$W897=0,"",[2]对账明细接口!$W897),"")</f>
        <v/>
      </c>
      <c r="AC897" s="90" t="str">
        <f aca="false">IFERROR(IF([2]对账明细接口!$X898=0,"",[2]对账明细接口!$X898),"")</f>
        <v/>
      </c>
      <c r="AD897" s="90" t="str">
        <f aca="false">IFERROR(IF([2]对账明细接口!$Y898=0,"",[2]对账明细接口!$Y898),"")</f>
        <v/>
      </c>
      <c r="AE897" s="90" t="str">
        <f aca="false">IFERROR(IF([2]对账明细接口!$AA898=0,"",[2]对账明细接口!$AA898),"")</f>
        <v/>
      </c>
      <c r="AF897" s="90" t="str">
        <f aca="false">IFERROR(IF([2]对账明细接口!$AB898=0,"",[2]对账明细接口!$AB898),"")</f>
        <v/>
      </c>
      <c r="AG897" s="90" t="str">
        <f aca="false">IFERROR(IF([2]对账明细接口!$AC898=0,"",[2]对账明细接口!$AC898),"")</f>
        <v/>
      </c>
      <c r="AH897" s="90" t="str">
        <f aca="false">IFERROR(IF([2]对账明细接口!$AD898=0,"",[2]对账明细接口!$AD898),"")</f>
        <v/>
      </c>
    </row>
    <row r="898" customFormat="false" ht="13.5" hidden="false" customHeight="false" outlineLevel="0" collapsed="false">
      <c r="A898" s="109" t="n">
        <v>898</v>
      </c>
      <c r="B898" s="110" t="str">
        <f aca="false">IFERROR(IF([2]对账明细接口!$B$898=0,"",[2]对账明细接口!$B$898),"")</f>
        <v/>
      </c>
      <c r="C898" s="59" t="str">
        <f aca="false">IFERROR(IF([2]对账明细接口!$C$898=0,"",[2]对账明细接口!$C$898),"")</f>
        <v/>
      </c>
      <c r="D898" s="59" t="str">
        <f aca="false">IFERROR(IF([2]对账明细接口!$D$898=0,"",[2]对账明细接口!$D$898),"")</f>
        <v/>
      </c>
      <c r="E898" s="59" t="str">
        <f aca="false">IFERROR(IF([2]对账明细接口!$E$898=0,"",[2]对账明细接口!$E$898),"")</f>
        <v/>
      </c>
      <c r="F898" s="59" t="str">
        <f aca="false">IFERROR(IF([2]对账明细接口!$F$898=0,"",[2]对账明细接口!$F$898),"")</f>
        <v/>
      </c>
      <c r="G898" s="59" t="str">
        <f aca="false">IFERROR(IF([2]对账明细接口!$G$898=0,"",[2]对账明细接口!$G$898),"")</f>
        <v/>
      </c>
      <c r="H898" s="60" t="str">
        <f aca="false">IFERROR(IF([2]对账明细接口!$H$898=0,"",[2]对账明细接口!$H$898),"")</f>
        <v/>
      </c>
      <c r="I898" s="59" t="str">
        <f aca="false">IFERROR(IF([2]对账明细接口!$I$898=0,"",[2]对账明细接口!$I$898),"")</f>
        <v/>
      </c>
      <c r="J898" s="61" t="str">
        <f aca="false">IFERROR(IF([2]对账明细接口!$J$898=0,"",[2]对账明细接口!$J$898),"")</f>
        <v/>
      </c>
      <c r="K898" s="61" t="str">
        <f aca="false">IFERROR(IF([2]对账明细接口!$K$898=0,"",[2]对账明细接口!$K$898),"")</f>
        <v/>
      </c>
      <c r="L898" s="59" t="str">
        <f aca="false">IFERROR(IF([2]对账明细接口!$L$898=0,"",[2]对账明细接口!$L$898),"")</f>
        <v/>
      </c>
      <c r="M898" s="59" t="str">
        <f aca="false">IFERROR(IF([2]对账明细接口!$M$898=0,"",[2]对账明细接口!$M$898),"")</f>
        <v/>
      </c>
      <c r="N898" s="111" t="n">
        <f aca="false">IF($C898="",0,1)</f>
        <v>0</v>
      </c>
      <c r="O898" s="111" t="n">
        <f aca="false">N(O897)+$N898</f>
        <v>311</v>
      </c>
      <c r="S898" s="10" t="str">
        <f aca="false">IFERROR(IF([2]对账明细接口!$N898=0,"",[2]对账明细接口!$N898),"")</f>
        <v/>
      </c>
      <c r="T898" s="112" t="str">
        <f aca="false">IFERROR(IF([2]对账明细接口!$O898=0,"",[2]对账明细接口!$O898),"")</f>
        <v/>
      </c>
      <c r="U898" s="112" t="str">
        <f aca="false">IFERROR(IF([2]对账明细接口!$P898=0,"",[2]对账明细接口!$P898),"")</f>
        <v/>
      </c>
      <c r="V898" s="112" t="str">
        <f aca="false">IFERROR(IF([2]对账明细接口!$Q898=0,"",[2]对账明细接口!$Q898),"")</f>
        <v/>
      </c>
      <c r="W898" s="10" t="str">
        <f aca="false">IFERROR(IF([2]对账明细接口!$R898=0,"",[2]对账明细接口!$R898),"")</f>
        <v/>
      </c>
      <c r="X898" s="10" t="str">
        <f aca="false">IFERROR(IF([2]对账明细接口!$S898=0,"",[2]对账明细接口!$S898),"")</f>
        <v/>
      </c>
      <c r="Y898" s="10" t="str">
        <f aca="false">IFERROR(IF([2]对账明细接口!$T898=0,"",[2]对账明细接口!$T898),"")</f>
        <v/>
      </c>
      <c r="Z898" s="113" t="str">
        <f aca="false">IFERROR(IF([2]对账明细接口!$U898=0,"",[2]对账明细接口!$U898),"")</f>
        <v/>
      </c>
      <c r="AA898" s="113" t="str">
        <f aca="false">IFERROR(IF([2]对账明细接口!$V898=0,"",[2]对账明细接口!$V898),"")</f>
        <v/>
      </c>
      <c r="AB898" s="10" t="str">
        <f aca="false">IFERROR(IF([2]对账明细接口!$W898=0,"",[2]对账明细接口!$W898),"")</f>
        <v/>
      </c>
      <c r="AC898" s="90" t="str">
        <f aca="false">IFERROR(IF([2]对账明细接口!$X899=0,"",[2]对账明细接口!$X899),"")</f>
        <v/>
      </c>
      <c r="AD898" s="90" t="str">
        <f aca="false">IFERROR(IF([2]对账明细接口!$Y899=0,"",[2]对账明细接口!$Y899),"")</f>
        <v/>
      </c>
      <c r="AE898" s="90" t="str">
        <f aca="false">IFERROR(IF([2]对账明细接口!$AA899=0,"",[2]对账明细接口!$AA899),"")</f>
        <v/>
      </c>
      <c r="AF898" s="90" t="str">
        <f aca="false">IFERROR(IF([2]对账明细接口!$AB899=0,"",[2]对账明细接口!$AB899),"")</f>
        <v/>
      </c>
      <c r="AG898" s="90" t="str">
        <f aca="false">IFERROR(IF([2]对账明细接口!$AC899=0,"",[2]对账明细接口!$AC899),"")</f>
        <v/>
      </c>
      <c r="AH898" s="90" t="str">
        <f aca="false">IFERROR(IF([2]对账明细接口!$AD899=0,"",[2]对账明细接口!$AD899),"")</f>
        <v/>
      </c>
    </row>
    <row r="899" customFormat="false" ht="13.5" hidden="false" customHeight="false" outlineLevel="0" collapsed="false">
      <c r="A899" s="109" t="n">
        <v>899</v>
      </c>
      <c r="B899" s="110" t="str">
        <f aca="false">IFERROR(IF([2]对账明细接口!$B$899=0,"",[2]对账明细接口!$B$899),"")</f>
        <v/>
      </c>
      <c r="C899" s="59" t="str">
        <f aca="false">IFERROR(IF([2]对账明细接口!$C$899=0,"",[2]对账明细接口!$C$899),"")</f>
        <v/>
      </c>
      <c r="D899" s="59" t="str">
        <f aca="false">IFERROR(IF([2]对账明细接口!$D$899=0,"",[2]对账明细接口!$D$899),"")</f>
        <v/>
      </c>
      <c r="E899" s="59" t="str">
        <f aca="false">IFERROR(IF([2]对账明细接口!$E$899=0,"",[2]对账明细接口!$E$899),"")</f>
        <v/>
      </c>
      <c r="F899" s="59" t="str">
        <f aca="false">IFERROR(IF([2]对账明细接口!$F$899=0,"",[2]对账明细接口!$F$899),"")</f>
        <v/>
      </c>
      <c r="G899" s="59" t="str">
        <f aca="false">IFERROR(IF([2]对账明细接口!$G$899=0,"",[2]对账明细接口!$G$899),"")</f>
        <v/>
      </c>
      <c r="H899" s="60" t="str">
        <f aca="false">IFERROR(IF([2]对账明细接口!$H$899=0,"",[2]对账明细接口!$H$899),"")</f>
        <v/>
      </c>
      <c r="I899" s="59" t="str">
        <f aca="false">IFERROR(IF([2]对账明细接口!$I$899=0,"",[2]对账明细接口!$I$899),"")</f>
        <v/>
      </c>
      <c r="J899" s="61" t="str">
        <f aca="false">IFERROR(IF([2]对账明细接口!$J$899=0,"",[2]对账明细接口!$J$899),"")</f>
        <v/>
      </c>
      <c r="K899" s="61" t="str">
        <f aca="false">IFERROR(IF([2]对账明细接口!$K$899=0,"",[2]对账明细接口!$K$899),"")</f>
        <v/>
      </c>
      <c r="L899" s="59" t="str">
        <f aca="false">IFERROR(IF([2]对账明细接口!$L$899=0,"",[2]对账明细接口!$L$899),"")</f>
        <v/>
      </c>
      <c r="M899" s="59" t="str">
        <f aca="false">IFERROR(IF([2]对账明细接口!$M$899=0,"",[2]对账明细接口!$M$899),"")</f>
        <v/>
      </c>
      <c r="N899" s="111" t="n">
        <f aca="false">IF($C899="",0,1)</f>
        <v>0</v>
      </c>
      <c r="O899" s="111" t="n">
        <f aca="false">N(O898)+$N899</f>
        <v>311</v>
      </c>
      <c r="S899" s="10" t="str">
        <f aca="false">IFERROR(IF([2]对账明细接口!$N899=0,"",[2]对账明细接口!$N899),"")</f>
        <v/>
      </c>
      <c r="T899" s="112" t="str">
        <f aca="false">IFERROR(IF([2]对账明细接口!$O899=0,"",[2]对账明细接口!$O899),"")</f>
        <v/>
      </c>
      <c r="U899" s="112" t="str">
        <f aca="false">IFERROR(IF([2]对账明细接口!$P899=0,"",[2]对账明细接口!$P899),"")</f>
        <v/>
      </c>
      <c r="V899" s="112" t="str">
        <f aca="false">IFERROR(IF([2]对账明细接口!$Q899=0,"",[2]对账明细接口!$Q899),"")</f>
        <v/>
      </c>
      <c r="W899" s="10" t="str">
        <f aca="false">IFERROR(IF([2]对账明细接口!$R899=0,"",[2]对账明细接口!$R899),"")</f>
        <v/>
      </c>
      <c r="X899" s="10" t="str">
        <f aca="false">IFERROR(IF([2]对账明细接口!$S899=0,"",[2]对账明细接口!$S899),"")</f>
        <v/>
      </c>
      <c r="Y899" s="10" t="str">
        <f aca="false">IFERROR(IF([2]对账明细接口!$T899=0,"",[2]对账明细接口!$T899),"")</f>
        <v/>
      </c>
      <c r="Z899" s="113" t="str">
        <f aca="false">IFERROR(IF([2]对账明细接口!$U899=0,"",[2]对账明细接口!$U899),"")</f>
        <v/>
      </c>
      <c r="AA899" s="113" t="str">
        <f aca="false">IFERROR(IF([2]对账明细接口!$V899=0,"",[2]对账明细接口!$V899),"")</f>
        <v/>
      </c>
      <c r="AB899" s="10" t="str">
        <f aca="false">IFERROR(IF([2]对账明细接口!$W899=0,"",[2]对账明细接口!$W899),"")</f>
        <v/>
      </c>
      <c r="AC899" s="90" t="str">
        <f aca="false">IFERROR(IF([2]对账明细接口!$X900=0,"",[2]对账明细接口!$X900),"")</f>
        <v/>
      </c>
      <c r="AD899" s="90" t="str">
        <f aca="false">IFERROR(IF([2]对账明细接口!$Y900=0,"",[2]对账明细接口!$Y900),"")</f>
        <v/>
      </c>
      <c r="AE899" s="90" t="str">
        <f aca="false">IFERROR(IF([2]对账明细接口!$AA900=0,"",[2]对账明细接口!$AA900),"")</f>
        <v/>
      </c>
      <c r="AF899" s="90" t="str">
        <f aca="false">IFERROR(IF([2]对账明细接口!$AB900=0,"",[2]对账明细接口!$AB900),"")</f>
        <v/>
      </c>
      <c r="AG899" s="90" t="str">
        <f aca="false">IFERROR(IF([2]对账明细接口!$AC900=0,"",[2]对账明细接口!$AC900),"")</f>
        <v/>
      </c>
      <c r="AH899" s="90" t="str">
        <f aca="false">IFERROR(IF([2]对账明细接口!$AD900=0,"",[2]对账明细接口!$AD900),"")</f>
        <v/>
      </c>
    </row>
    <row r="900" customFormat="false" ht="13.5" hidden="false" customHeight="false" outlineLevel="0" collapsed="false">
      <c r="A900" s="109" t="n">
        <v>900</v>
      </c>
      <c r="B900" s="110" t="str">
        <f aca="false">IFERROR(IF([2]对账明细接口!$B$900=0,"",[2]对账明细接口!$B$900),"")</f>
        <v/>
      </c>
      <c r="C900" s="59" t="str">
        <f aca="false">IFERROR(IF([2]对账明细接口!$C$900=0,"",[2]对账明细接口!$C$900),"")</f>
        <v/>
      </c>
      <c r="D900" s="59" t="str">
        <f aca="false">IFERROR(IF([2]对账明细接口!$D$900=0,"",[2]对账明细接口!$D$900),"")</f>
        <v/>
      </c>
      <c r="E900" s="59" t="str">
        <f aca="false">IFERROR(IF([2]对账明细接口!$E$900=0,"",[2]对账明细接口!$E$900),"")</f>
        <v/>
      </c>
      <c r="F900" s="59" t="str">
        <f aca="false">IFERROR(IF([2]对账明细接口!$F$900=0,"",[2]对账明细接口!$F$900),"")</f>
        <v/>
      </c>
      <c r="G900" s="59" t="str">
        <f aca="false">IFERROR(IF([2]对账明细接口!$G$900=0,"",[2]对账明细接口!$G$900),"")</f>
        <v/>
      </c>
      <c r="H900" s="60" t="str">
        <f aca="false">IFERROR(IF([2]对账明细接口!$H$900=0,"",[2]对账明细接口!$H$900),"")</f>
        <v/>
      </c>
      <c r="I900" s="59" t="str">
        <f aca="false">IFERROR(IF([2]对账明细接口!$I$900=0,"",[2]对账明细接口!$I$900),"")</f>
        <v/>
      </c>
      <c r="J900" s="61" t="str">
        <f aca="false">IFERROR(IF([2]对账明细接口!$J$900=0,"",[2]对账明细接口!$J$900),"")</f>
        <v/>
      </c>
      <c r="K900" s="61" t="str">
        <f aca="false">IFERROR(IF([2]对账明细接口!$K$900=0,"",[2]对账明细接口!$K$900),"")</f>
        <v/>
      </c>
      <c r="L900" s="59" t="str">
        <f aca="false">IFERROR(IF([2]对账明细接口!$L$900=0,"",[2]对账明细接口!$L$900),"")</f>
        <v/>
      </c>
      <c r="M900" s="59" t="str">
        <f aca="false">IFERROR(IF([2]对账明细接口!$M$900=0,"",[2]对账明细接口!$M$900),"")</f>
        <v/>
      </c>
      <c r="N900" s="111" t="n">
        <f aca="false">IF($C900="",0,1)</f>
        <v>0</v>
      </c>
      <c r="O900" s="111" t="n">
        <f aca="false">N(O899)+$N900</f>
        <v>311</v>
      </c>
      <c r="S900" s="10" t="str">
        <f aca="false">IFERROR(IF([2]对账明细接口!$N900=0,"",[2]对账明细接口!$N900),"")</f>
        <v/>
      </c>
      <c r="T900" s="112" t="str">
        <f aca="false">IFERROR(IF([2]对账明细接口!$O900=0,"",[2]对账明细接口!$O900),"")</f>
        <v/>
      </c>
      <c r="U900" s="112" t="str">
        <f aca="false">IFERROR(IF([2]对账明细接口!$P900=0,"",[2]对账明细接口!$P900),"")</f>
        <v/>
      </c>
      <c r="V900" s="112" t="str">
        <f aca="false">IFERROR(IF([2]对账明细接口!$Q900=0,"",[2]对账明细接口!$Q900),"")</f>
        <v/>
      </c>
      <c r="W900" s="10" t="str">
        <f aca="false">IFERROR(IF([2]对账明细接口!$R900=0,"",[2]对账明细接口!$R900),"")</f>
        <v/>
      </c>
      <c r="X900" s="10" t="str">
        <f aca="false">IFERROR(IF([2]对账明细接口!$S900=0,"",[2]对账明细接口!$S900),"")</f>
        <v/>
      </c>
      <c r="Y900" s="10" t="str">
        <f aca="false">IFERROR(IF([2]对账明细接口!$T900=0,"",[2]对账明细接口!$T900),"")</f>
        <v/>
      </c>
      <c r="Z900" s="113" t="str">
        <f aca="false">IFERROR(IF([2]对账明细接口!$U900=0,"",[2]对账明细接口!$U900),"")</f>
        <v/>
      </c>
      <c r="AA900" s="113" t="str">
        <f aca="false">IFERROR(IF([2]对账明细接口!$V900=0,"",[2]对账明细接口!$V900),"")</f>
        <v/>
      </c>
      <c r="AB900" s="10" t="str">
        <f aca="false">IFERROR(IF([2]对账明细接口!$W900=0,"",[2]对账明细接口!$W900),"")</f>
        <v/>
      </c>
      <c r="AC900" s="90" t="str">
        <f aca="false">IFERROR(IF([2]对账明细接口!$X901=0,"",[2]对账明细接口!$X901),"")</f>
        <v/>
      </c>
      <c r="AD900" s="90" t="str">
        <f aca="false">IFERROR(IF([2]对账明细接口!$Y901=0,"",[2]对账明细接口!$Y901),"")</f>
        <v/>
      </c>
      <c r="AE900" s="90" t="str">
        <f aca="false">IFERROR(IF([2]对账明细接口!$AA901=0,"",[2]对账明细接口!$AA901),"")</f>
        <v/>
      </c>
      <c r="AF900" s="90" t="str">
        <f aca="false">IFERROR(IF([2]对账明细接口!$AB901=0,"",[2]对账明细接口!$AB901),"")</f>
        <v/>
      </c>
      <c r="AG900" s="90" t="str">
        <f aca="false">IFERROR(IF([2]对账明细接口!$AC901=0,"",[2]对账明细接口!$AC901),"")</f>
        <v/>
      </c>
      <c r="AH900" s="90" t="str">
        <f aca="false">IFERROR(IF([2]对账明细接口!$AD901=0,"",[2]对账明细接口!$AD901),"")</f>
        <v/>
      </c>
    </row>
    <row r="901" customFormat="false" ht="13.5" hidden="false" customHeight="false" outlineLevel="0" collapsed="false">
      <c r="A901" s="109" t="n">
        <v>901</v>
      </c>
      <c r="B901" s="110" t="str">
        <f aca="false">IFERROR(IF([2]对账明细接口!$B$901=0,"",[2]对账明细接口!$B$901),"")</f>
        <v/>
      </c>
      <c r="C901" s="59" t="str">
        <f aca="false">IFERROR(IF([2]对账明细接口!$C$901=0,"",[2]对账明细接口!$C$901),"")</f>
        <v/>
      </c>
      <c r="D901" s="59" t="str">
        <f aca="false">IFERROR(IF([2]对账明细接口!$D$901=0,"",[2]对账明细接口!$D$901),"")</f>
        <v/>
      </c>
      <c r="E901" s="59" t="str">
        <f aca="false">IFERROR(IF([2]对账明细接口!$E$901=0,"",[2]对账明细接口!$E$901),"")</f>
        <v/>
      </c>
      <c r="F901" s="59" t="str">
        <f aca="false">IFERROR(IF([2]对账明细接口!$F$901=0,"",[2]对账明细接口!$F$901),"")</f>
        <v/>
      </c>
      <c r="G901" s="59" t="str">
        <f aca="false">IFERROR(IF([2]对账明细接口!$G$901=0,"",[2]对账明细接口!$G$901),"")</f>
        <v/>
      </c>
      <c r="H901" s="60" t="str">
        <f aca="false">IFERROR(IF([2]对账明细接口!$H$901=0,"",[2]对账明细接口!$H$901),"")</f>
        <v/>
      </c>
      <c r="I901" s="59" t="str">
        <f aca="false">IFERROR(IF([2]对账明细接口!$I$901=0,"",[2]对账明细接口!$I$901),"")</f>
        <v/>
      </c>
      <c r="J901" s="61" t="str">
        <f aca="false">IFERROR(IF([2]对账明细接口!$J$901=0,"",[2]对账明细接口!$J$901),"")</f>
        <v/>
      </c>
      <c r="K901" s="61" t="str">
        <f aca="false">IFERROR(IF([2]对账明细接口!$K$901=0,"",[2]对账明细接口!$K$901),"")</f>
        <v/>
      </c>
      <c r="L901" s="59" t="str">
        <f aca="false">IFERROR(IF([2]对账明细接口!$L$901=0,"",[2]对账明细接口!$L$901),"")</f>
        <v/>
      </c>
      <c r="M901" s="59" t="str">
        <f aca="false">IFERROR(IF([2]对账明细接口!$M$901=0,"",[2]对账明细接口!$M$901),"")</f>
        <v/>
      </c>
      <c r="N901" s="111" t="n">
        <f aca="false">IF($C901="",0,1)</f>
        <v>0</v>
      </c>
      <c r="O901" s="111" t="n">
        <f aca="false">N(O900)+$N901</f>
        <v>311</v>
      </c>
      <c r="S901" s="10" t="str">
        <f aca="false">IFERROR(IF([2]对账明细接口!$N901=0,"",[2]对账明细接口!$N901),"")</f>
        <v/>
      </c>
      <c r="T901" s="112" t="str">
        <f aca="false">IFERROR(IF([2]对账明细接口!$O901=0,"",[2]对账明细接口!$O901),"")</f>
        <v/>
      </c>
      <c r="U901" s="112" t="str">
        <f aca="false">IFERROR(IF([2]对账明细接口!$P901=0,"",[2]对账明细接口!$P901),"")</f>
        <v/>
      </c>
      <c r="V901" s="112" t="str">
        <f aca="false">IFERROR(IF([2]对账明细接口!$Q901=0,"",[2]对账明细接口!$Q901),"")</f>
        <v/>
      </c>
      <c r="W901" s="10" t="str">
        <f aca="false">IFERROR(IF([2]对账明细接口!$R901=0,"",[2]对账明细接口!$R901),"")</f>
        <v/>
      </c>
      <c r="X901" s="10" t="str">
        <f aca="false">IFERROR(IF([2]对账明细接口!$S901=0,"",[2]对账明细接口!$S901),"")</f>
        <v/>
      </c>
      <c r="Y901" s="10" t="str">
        <f aca="false">IFERROR(IF([2]对账明细接口!$T901=0,"",[2]对账明细接口!$T901),"")</f>
        <v/>
      </c>
      <c r="Z901" s="113" t="str">
        <f aca="false">IFERROR(IF([2]对账明细接口!$U901=0,"",[2]对账明细接口!$U901),"")</f>
        <v/>
      </c>
      <c r="AA901" s="113" t="str">
        <f aca="false">IFERROR(IF([2]对账明细接口!$V901=0,"",[2]对账明细接口!$V901),"")</f>
        <v/>
      </c>
      <c r="AB901" s="10" t="str">
        <f aca="false">IFERROR(IF([2]对账明细接口!$W901=0,"",[2]对账明细接口!$W901),"")</f>
        <v/>
      </c>
      <c r="AC901" s="90" t="str">
        <f aca="false">IFERROR(IF([2]对账明细接口!$X902=0,"",[2]对账明细接口!$X902),"")</f>
        <v/>
      </c>
      <c r="AD901" s="90" t="str">
        <f aca="false">IFERROR(IF([2]对账明细接口!$Y902=0,"",[2]对账明细接口!$Y902),"")</f>
        <v/>
      </c>
      <c r="AE901" s="90" t="str">
        <f aca="false">IFERROR(IF([2]对账明细接口!$AA902=0,"",[2]对账明细接口!$AA902),"")</f>
        <v/>
      </c>
      <c r="AF901" s="90" t="str">
        <f aca="false">IFERROR(IF([2]对账明细接口!$AB902=0,"",[2]对账明细接口!$AB902),"")</f>
        <v/>
      </c>
      <c r="AG901" s="90" t="str">
        <f aca="false">IFERROR(IF([2]对账明细接口!$AC902=0,"",[2]对账明细接口!$AC902),"")</f>
        <v/>
      </c>
      <c r="AH901" s="90" t="str">
        <f aca="false">IFERROR(IF([2]对账明细接口!$AD902=0,"",[2]对账明细接口!$AD902),"")</f>
        <v/>
      </c>
    </row>
    <row r="902" customFormat="false" ht="13.5" hidden="false" customHeight="false" outlineLevel="0" collapsed="false">
      <c r="A902" s="109" t="n">
        <v>902</v>
      </c>
      <c r="B902" s="110" t="str">
        <f aca="false">IFERROR(IF([2]对账明细接口!$B$902=0,"",[2]对账明细接口!$B$902),"")</f>
        <v/>
      </c>
      <c r="C902" s="59" t="str">
        <f aca="false">IFERROR(IF([2]对账明细接口!$C$902=0,"",[2]对账明细接口!$C$902),"")</f>
        <v/>
      </c>
      <c r="D902" s="59" t="str">
        <f aca="false">IFERROR(IF([2]对账明细接口!$D$902=0,"",[2]对账明细接口!$D$902),"")</f>
        <v/>
      </c>
      <c r="E902" s="59" t="str">
        <f aca="false">IFERROR(IF([2]对账明细接口!$E$902=0,"",[2]对账明细接口!$E$902),"")</f>
        <v/>
      </c>
      <c r="F902" s="59" t="str">
        <f aca="false">IFERROR(IF([2]对账明细接口!$F$902=0,"",[2]对账明细接口!$F$902),"")</f>
        <v/>
      </c>
      <c r="G902" s="59" t="str">
        <f aca="false">IFERROR(IF([2]对账明细接口!$G$902=0,"",[2]对账明细接口!$G$902),"")</f>
        <v/>
      </c>
      <c r="H902" s="60" t="str">
        <f aca="false">IFERROR(IF([2]对账明细接口!$H$902=0,"",[2]对账明细接口!$H$902),"")</f>
        <v/>
      </c>
      <c r="I902" s="59" t="str">
        <f aca="false">IFERROR(IF([2]对账明细接口!$I$902=0,"",[2]对账明细接口!$I$902),"")</f>
        <v/>
      </c>
      <c r="J902" s="61" t="str">
        <f aca="false">IFERROR(IF([2]对账明细接口!$J$902=0,"",[2]对账明细接口!$J$902),"")</f>
        <v/>
      </c>
      <c r="K902" s="61" t="str">
        <f aca="false">IFERROR(IF([2]对账明细接口!$K$902=0,"",[2]对账明细接口!$K$902),"")</f>
        <v/>
      </c>
      <c r="L902" s="59" t="str">
        <f aca="false">IFERROR(IF([2]对账明细接口!$L$902=0,"",[2]对账明细接口!$L$902),"")</f>
        <v/>
      </c>
      <c r="M902" s="59" t="str">
        <f aca="false">IFERROR(IF([2]对账明细接口!$M$902=0,"",[2]对账明细接口!$M$902),"")</f>
        <v/>
      </c>
      <c r="N902" s="111" t="n">
        <f aca="false">IF($C902="",0,1)</f>
        <v>0</v>
      </c>
      <c r="O902" s="111" t="n">
        <f aca="false">N(O901)+$N902</f>
        <v>311</v>
      </c>
      <c r="S902" s="10" t="str">
        <f aca="false">IFERROR(IF([2]对账明细接口!$N902=0,"",[2]对账明细接口!$N902),"")</f>
        <v/>
      </c>
      <c r="T902" s="112" t="str">
        <f aca="false">IFERROR(IF([2]对账明细接口!$O902=0,"",[2]对账明细接口!$O902),"")</f>
        <v/>
      </c>
      <c r="U902" s="112" t="str">
        <f aca="false">IFERROR(IF([2]对账明细接口!$P902=0,"",[2]对账明细接口!$P902),"")</f>
        <v/>
      </c>
      <c r="V902" s="112" t="str">
        <f aca="false">IFERROR(IF([2]对账明细接口!$Q902=0,"",[2]对账明细接口!$Q902),"")</f>
        <v/>
      </c>
      <c r="W902" s="10" t="str">
        <f aca="false">IFERROR(IF([2]对账明细接口!$R902=0,"",[2]对账明细接口!$R902),"")</f>
        <v/>
      </c>
      <c r="X902" s="10" t="str">
        <f aca="false">IFERROR(IF([2]对账明细接口!$S902=0,"",[2]对账明细接口!$S902),"")</f>
        <v/>
      </c>
      <c r="Y902" s="10" t="str">
        <f aca="false">IFERROR(IF([2]对账明细接口!$T902=0,"",[2]对账明细接口!$T902),"")</f>
        <v/>
      </c>
      <c r="Z902" s="113" t="str">
        <f aca="false">IFERROR(IF([2]对账明细接口!$U902=0,"",[2]对账明细接口!$U902),"")</f>
        <v/>
      </c>
      <c r="AA902" s="113" t="str">
        <f aca="false">IFERROR(IF([2]对账明细接口!$V902=0,"",[2]对账明细接口!$V902),"")</f>
        <v/>
      </c>
      <c r="AB902" s="10" t="str">
        <f aca="false">IFERROR(IF([2]对账明细接口!$W902=0,"",[2]对账明细接口!$W902),"")</f>
        <v/>
      </c>
      <c r="AC902" s="90" t="str">
        <f aca="false">IFERROR(IF([2]对账明细接口!$X903=0,"",[2]对账明细接口!$X903),"")</f>
        <v/>
      </c>
      <c r="AD902" s="90" t="str">
        <f aca="false">IFERROR(IF([2]对账明细接口!$Y903=0,"",[2]对账明细接口!$Y903),"")</f>
        <v/>
      </c>
      <c r="AE902" s="90" t="str">
        <f aca="false">IFERROR(IF([2]对账明细接口!$AA903=0,"",[2]对账明细接口!$AA903),"")</f>
        <v/>
      </c>
      <c r="AF902" s="90" t="str">
        <f aca="false">IFERROR(IF([2]对账明细接口!$AB903=0,"",[2]对账明细接口!$AB903),"")</f>
        <v/>
      </c>
      <c r="AG902" s="90" t="str">
        <f aca="false">IFERROR(IF([2]对账明细接口!$AC903=0,"",[2]对账明细接口!$AC903),"")</f>
        <v/>
      </c>
      <c r="AH902" s="90" t="str">
        <f aca="false">IFERROR(IF([2]对账明细接口!$AD903=0,"",[2]对账明细接口!$AD903),"")</f>
        <v/>
      </c>
    </row>
    <row r="903" customFormat="false" ht="13.5" hidden="false" customHeight="false" outlineLevel="0" collapsed="false">
      <c r="A903" s="109" t="n">
        <v>903</v>
      </c>
      <c r="B903" s="110" t="str">
        <f aca="false">IFERROR(IF([2]对账明细接口!$B$903=0,"",[2]对账明细接口!$B$903),"")</f>
        <v/>
      </c>
      <c r="C903" s="59" t="str">
        <f aca="false">IFERROR(IF([2]对账明细接口!$C$903=0,"",[2]对账明细接口!$C$903),"")</f>
        <v/>
      </c>
      <c r="D903" s="59" t="str">
        <f aca="false">IFERROR(IF([2]对账明细接口!$D$903=0,"",[2]对账明细接口!$D$903),"")</f>
        <v/>
      </c>
      <c r="E903" s="59" t="str">
        <f aca="false">IFERROR(IF([2]对账明细接口!$E$903=0,"",[2]对账明细接口!$E$903),"")</f>
        <v/>
      </c>
      <c r="F903" s="59" t="str">
        <f aca="false">IFERROR(IF([2]对账明细接口!$F$903=0,"",[2]对账明细接口!$F$903),"")</f>
        <v/>
      </c>
      <c r="G903" s="59" t="str">
        <f aca="false">IFERROR(IF([2]对账明细接口!$G$903=0,"",[2]对账明细接口!$G$903),"")</f>
        <v/>
      </c>
      <c r="H903" s="60" t="str">
        <f aca="false">IFERROR(IF([2]对账明细接口!$H$903=0,"",[2]对账明细接口!$H$903),"")</f>
        <v/>
      </c>
      <c r="I903" s="59" t="str">
        <f aca="false">IFERROR(IF([2]对账明细接口!$I$903=0,"",[2]对账明细接口!$I$903),"")</f>
        <v/>
      </c>
      <c r="J903" s="61" t="str">
        <f aca="false">IFERROR(IF([2]对账明细接口!$J$903=0,"",[2]对账明细接口!$J$903),"")</f>
        <v/>
      </c>
      <c r="K903" s="61" t="str">
        <f aca="false">IFERROR(IF([2]对账明细接口!$K$903=0,"",[2]对账明细接口!$K$903),"")</f>
        <v/>
      </c>
      <c r="L903" s="59" t="str">
        <f aca="false">IFERROR(IF([2]对账明细接口!$L$903=0,"",[2]对账明细接口!$L$903),"")</f>
        <v/>
      </c>
      <c r="M903" s="59" t="str">
        <f aca="false">IFERROR(IF([2]对账明细接口!$M$903=0,"",[2]对账明细接口!$M$903),"")</f>
        <v/>
      </c>
      <c r="N903" s="111" t="n">
        <f aca="false">IF($C903="",0,1)</f>
        <v>0</v>
      </c>
      <c r="O903" s="111" t="n">
        <f aca="false">N(O902)+$N903</f>
        <v>311</v>
      </c>
      <c r="S903" s="10" t="str">
        <f aca="false">IFERROR(IF([2]对账明细接口!$N903=0,"",[2]对账明细接口!$N903),"")</f>
        <v/>
      </c>
      <c r="T903" s="112" t="str">
        <f aca="false">IFERROR(IF([2]对账明细接口!$O903=0,"",[2]对账明细接口!$O903),"")</f>
        <v/>
      </c>
      <c r="U903" s="112" t="str">
        <f aca="false">IFERROR(IF([2]对账明细接口!$P903=0,"",[2]对账明细接口!$P903),"")</f>
        <v/>
      </c>
      <c r="V903" s="112" t="str">
        <f aca="false">IFERROR(IF([2]对账明细接口!$Q903=0,"",[2]对账明细接口!$Q903),"")</f>
        <v/>
      </c>
      <c r="W903" s="10" t="str">
        <f aca="false">IFERROR(IF([2]对账明细接口!$R903=0,"",[2]对账明细接口!$R903),"")</f>
        <v/>
      </c>
      <c r="X903" s="10" t="str">
        <f aca="false">IFERROR(IF([2]对账明细接口!$S903=0,"",[2]对账明细接口!$S903),"")</f>
        <v/>
      </c>
      <c r="Y903" s="10" t="str">
        <f aca="false">IFERROR(IF([2]对账明细接口!$T903=0,"",[2]对账明细接口!$T903),"")</f>
        <v/>
      </c>
      <c r="Z903" s="113" t="str">
        <f aca="false">IFERROR(IF([2]对账明细接口!$U903=0,"",[2]对账明细接口!$U903),"")</f>
        <v/>
      </c>
      <c r="AA903" s="113" t="str">
        <f aca="false">IFERROR(IF([2]对账明细接口!$V903=0,"",[2]对账明细接口!$V903),"")</f>
        <v/>
      </c>
      <c r="AB903" s="10" t="str">
        <f aca="false">IFERROR(IF([2]对账明细接口!$W903=0,"",[2]对账明细接口!$W903),"")</f>
        <v/>
      </c>
      <c r="AC903" s="90" t="str">
        <f aca="false">IFERROR(IF([2]对账明细接口!$X904=0,"",[2]对账明细接口!$X904),"")</f>
        <v/>
      </c>
      <c r="AD903" s="90" t="str">
        <f aca="false">IFERROR(IF([2]对账明细接口!$Y904=0,"",[2]对账明细接口!$Y904),"")</f>
        <v/>
      </c>
      <c r="AE903" s="90" t="str">
        <f aca="false">IFERROR(IF([2]对账明细接口!$AA904=0,"",[2]对账明细接口!$AA904),"")</f>
        <v/>
      </c>
      <c r="AF903" s="90" t="str">
        <f aca="false">IFERROR(IF([2]对账明细接口!$AB904=0,"",[2]对账明细接口!$AB904),"")</f>
        <v/>
      </c>
      <c r="AG903" s="90" t="str">
        <f aca="false">IFERROR(IF([2]对账明细接口!$AC904=0,"",[2]对账明细接口!$AC904),"")</f>
        <v/>
      </c>
      <c r="AH903" s="90" t="str">
        <f aca="false">IFERROR(IF([2]对账明细接口!$AD904=0,"",[2]对账明细接口!$AD904),"")</f>
        <v/>
      </c>
    </row>
    <row r="904" customFormat="false" ht="13.5" hidden="false" customHeight="false" outlineLevel="0" collapsed="false">
      <c r="A904" s="109" t="n">
        <v>904</v>
      </c>
      <c r="B904" s="110" t="str">
        <f aca="false">IFERROR(IF([2]对账明细接口!$B$904=0,"",[2]对账明细接口!$B$904),"")</f>
        <v/>
      </c>
      <c r="C904" s="59" t="str">
        <f aca="false">IFERROR(IF([2]对账明细接口!$C$904=0,"",[2]对账明细接口!$C$904),"")</f>
        <v/>
      </c>
      <c r="D904" s="59" t="str">
        <f aca="false">IFERROR(IF([2]对账明细接口!$D$904=0,"",[2]对账明细接口!$D$904),"")</f>
        <v/>
      </c>
      <c r="E904" s="59" t="str">
        <f aca="false">IFERROR(IF([2]对账明细接口!$E$904=0,"",[2]对账明细接口!$E$904),"")</f>
        <v/>
      </c>
      <c r="F904" s="59" t="str">
        <f aca="false">IFERROR(IF([2]对账明细接口!$F$904=0,"",[2]对账明细接口!$F$904),"")</f>
        <v/>
      </c>
      <c r="G904" s="59" t="str">
        <f aca="false">IFERROR(IF([2]对账明细接口!$G$904=0,"",[2]对账明细接口!$G$904),"")</f>
        <v/>
      </c>
      <c r="H904" s="60" t="str">
        <f aca="false">IFERROR(IF([2]对账明细接口!$H$904=0,"",[2]对账明细接口!$H$904),"")</f>
        <v/>
      </c>
      <c r="I904" s="59" t="str">
        <f aca="false">IFERROR(IF([2]对账明细接口!$I$904=0,"",[2]对账明细接口!$I$904),"")</f>
        <v/>
      </c>
      <c r="J904" s="61" t="str">
        <f aca="false">IFERROR(IF([2]对账明细接口!$J$904=0,"",[2]对账明细接口!$J$904),"")</f>
        <v/>
      </c>
      <c r="K904" s="61" t="str">
        <f aca="false">IFERROR(IF([2]对账明细接口!$K$904=0,"",[2]对账明细接口!$K$904),"")</f>
        <v/>
      </c>
      <c r="L904" s="59" t="str">
        <f aca="false">IFERROR(IF([2]对账明细接口!$L$904=0,"",[2]对账明细接口!$L$904),"")</f>
        <v/>
      </c>
      <c r="M904" s="59" t="str">
        <f aca="false">IFERROR(IF([2]对账明细接口!$M$904=0,"",[2]对账明细接口!$M$904),"")</f>
        <v/>
      </c>
      <c r="N904" s="111" t="n">
        <f aca="false">IF($C904="",0,1)</f>
        <v>0</v>
      </c>
      <c r="O904" s="111" t="n">
        <f aca="false">N(O903)+$N904</f>
        <v>311</v>
      </c>
      <c r="S904" s="10" t="str">
        <f aca="false">IFERROR(IF([2]对账明细接口!$N904=0,"",[2]对账明细接口!$N904),"")</f>
        <v/>
      </c>
      <c r="T904" s="112" t="str">
        <f aca="false">IFERROR(IF([2]对账明细接口!$O904=0,"",[2]对账明细接口!$O904),"")</f>
        <v/>
      </c>
      <c r="U904" s="112" t="str">
        <f aca="false">IFERROR(IF([2]对账明细接口!$P904=0,"",[2]对账明细接口!$P904),"")</f>
        <v/>
      </c>
      <c r="V904" s="112" t="str">
        <f aca="false">IFERROR(IF([2]对账明细接口!$Q904=0,"",[2]对账明细接口!$Q904),"")</f>
        <v/>
      </c>
      <c r="W904" s="10" t="str">
        <f aca="false">IFERROR(IF([2]对账明细接口!$R904=0,"",[2]对账明细接口!$R904),"")</f>
        <v/>
      </c>
      <c r="X904" s="10" t="str">
        <f aca="false">IFERROR(IF([2]对账明细接口!$S904=0,"",[2]对账明细接口!$S904),"")</f>
        <v/>
      </c>
      <c r="Y904" s="10" t="str">
        <f aca="false">IFERROR(IF([2]对账明细接口!$T904=0,"",[2]对账明细接口!$T904),"")</f>
        <v/>
      </c>
      <c r="Z904" s="113" t="str">
        <f aca="false">IFERROR(IF([2]对账明细接口!$U904=0,"",[2]对账明细接口!$U904),"")</f>
        <v/>
      </c>
      <c r="AA904" s="113" t="str">
        <f aca="false">IFERROR(IF([2]对账明细接口!$V904=0,"",[2]对账明细接口!$V904),"")</f>
        <v/>
      </c>
      <c r="AB904" s="10" t="str">
        <f aca="false">IFERROR(IF([2]对账明细接口!$W904=0,"",[2]对账明细接口!$W904),"")</f>
        <v/>
      </c>
      <c r="AC904" s="90" t="str">
        <f aca="false">IFERROR(IF([2]对账明细接口!$X905=0,"",[2]对账明细接口!$X905),"")</f>
        <v/>
      </c>
      <c r="AD904" s="90" t="str">
        <f aca="false">IFERROR(IF([2]对账明细接口!$Y905=0,"",[2]对账明细接口!$Y905),"")</f>
        <v/>
      </c>
      <c r="AE904" s="90" t="str">
        <f aca="false">IFERROR(IF([2]对账明细接口!$AA905=0,"",[2]对账明细接口!$AA905),"")</f>
        <v/>
      </c>
      <c r="AF904" s="90" t="str">
        <f aca="false">IFERROR(IF([2]对账明细接口!$AB905=0,"",[2]对账明细接口!$AB905),"")</f>
        <v/>
      </c>
      <c r="AG904" s="90" t="str">
        <f aca="false">IFERROR(IF([2]对账明细接口!$AC905=0,"",[2]对账明细接口!$AC905),"")</f>
        <v/>
      </c>
      <c r="AH904" s="90" t="str">
        <f aca="false">IFERROR(IF([2]对账明细接口!$AD905=0,"",[2]对账明细接口!$AD905),"")</f>
        <v/>
      </c>
    </row>
    <row r="905" customFormat="false" ht="13.5" hidden="false" customHeight="false" outlineLevel="0" collapsed="false">
      <c r="A905" s="109" t="n">
        <v>905</v>
      </c>
      <c r="B905" s="110" t="str">
        <f aca="false">IFERROR(IF([2]对账明细接口!$B$905=0,"",[2]对账明细接口!$B$905),"")</f>
        <v/>
      </c>
      <c r="C905" s="59" t="str">
        <f aca="false">IFERROR(IF([2]对账明细接口!$C$905=0,"",[2]对账明细接口!$C$905),"")</f>
        <v/>
      </c>
      <c r="D905" s="59" t="str">
        <f aca="false">IFERROR(IF([2]对账明细接口!$D$905=0,"",[2]对账明细接口!$D$905),"")</f>
        <v/>
      </c>
      <c r="E905" s="59" t="str">
        <f aca="false">IFERROR(IF([2]对账明细接口!$E$905=0,"",[2]对账明细接口!$E$905),"")</f>
        <v/>
      </c>
      <c r="F905" s="59" t="str">
        <f aca="false">IFERROR(IF([2]对账明细接口!$F$905=0,"",[2]对账明细接口!$F$905),"")</f>
        <v/>
      </c>
      <c r="G905" s="59" t="str">
        <f aca="false">IFERROR(IF([2]对账明细接口!$G$905=0,"",[2]对账明细接口!$G$905),"")</f>
        <v/>
      </c>
      <c r="H905" s="60" t="str">
        <f aca="false">IFERROR(IF([2]对账明细接口!$H$905=0,"",[2]对账明细接口!$H$905),"")</f>
        <v/>
      </c>
      <c r="I905" s="59" t="str">
        <f aca="false">IFERROR(IF([2]对账明细接口!$I$905=0,"",[2]对账明细接口!$I$905),"")</f>
        <v/>
      </c>
      <c r="J905" s="61" t="str">
        <f aca="false">IFERROR(IF([2]对账明细接口!$J$905=0,"",[2]对账明细接口!$J$905),"")</f>
        <v/>
      </c>
      <c r="K905" s="61" t="str">
        <f aca="false">IFERROR(IF([2]对账明细接口!$K$905=0,"",[2]对账明细接口!$K$905),"")</f>
        <v/>
      </c>
      <c r="L905" s="59" t="str">
        <f aca="false">IFERROR(IF([2]对账明细接口!$L$905=0,"",[2]对账明细接口!$L$905),"")</f>
        <v/>
      </c>
      <c r="M905" s="59" t="str">
        <f aca="false">IFERROR(IF([2]对账明细接口!$M$905=0,"",[2]对账明细接口!$M$905),"")</f>
        <v/>
      </c>
      <c r="N905" s="111" t="n">
        <f aca="false">IF($C905="",0,1)</f>
        <v>0</v>
      </c>
      <c r="O905" s="111" t="n">
        <f aca="false">N(O904)+$N905</f>
        <v>311</v>
      </c>
      <c r="S905" s="10" t="str">
        <f aca="false">IFERROR(IF([2]对账明细接口!$N905=0,"",[2]对账明细接口!$N905),"")</f>
        <v/>
      </c>
      <c r="T905" s="112" t="str">
        <f aca="false">IFERROR(IF([2]对账明细接口!$O905=0,"",[2]对账明细接口!$O905),"")</f>
        <v/>
      </c>
      <c r="U905" s="112" t="str">
        <f aca="false">IFERROR(IF([2]对账明细接口!$P905=0,"",[2]对账明细接口!$P905),"")</f>
        <v/>
      </c>
      <c r="V905" s="112" t="str">
        <f aca="false">IFERROR(IF([2]对账明细接口!$Q905=0,"",[2]对账明细接口!$Q905),"")</f>
        <v/>
      </c>
      <c r="W905" s="10" t="str">
        <f aca="false">IFERROR(IF([2]对账明细接口!$R905=0,"",[2]对账明细接口!$R905),"")</f>
        <v/>
      </c>
      <c r="X905" s="10" t="str">
        <f aca="false">IFERROR(IF([2]对账明细接口!$S905=0,"",[2]对账明细接口!$S905),"")</f>
        <v/>
      </c>
      <c r="Y905" s="10" t="str">
        <f aca="false">IFERROR(IF([2]对账明细接口!$T905=0,"",[2]对账明细接口!$T905),"")</f>
        <v/>
      </c>
      <c r="Z905" s="113" t="str">
        <f aca="false">IFERROR(IF([2]对账明细接口!$U905=0,"",[2]对账明细接口!$U905),"")</f>
        <v/>
      </c>
      <c r="AA905" s="113" t="str">
        <f aca="false">IFERROR(IF([2]对账明细接口!$V905=0,"",[2]对账明细接口!$V905),"")</f>
        <v/>
      </c>
      <c r="AB905" s="10" t="str">
        <f aca="false">IFERROR(IF([2]对账明细接口!$W905=0,"",[2]对账明细接口!$W905),"")</f>
        <v/>
      </c>
      <c r="AC905" s="90" t="str">
        <f aca="false">IFERROR(IF([2]对账明细接口!$X906=0,"",[2]对账明细接口!$X906),"")</f>
        <v/>
      </c>
      <c r="AD905" s="90" t="str">
        <f aca="false">IFERROR(IF([2]对账明细接口!$Y906=0,"",[2]对账明细接口!$Y906),"")</f>
        <v/>
      </c>
      <c r="AE905" s="90" t="str">
        <f aca="false">IFERROR(IF([2]对账明细接口!$AA906=0,"",[2]对账明细接口!$AA906),"")</f>
        <v/>
      </c>
      <c r="AF905" s="90" t="str">
        <f aca="false">IFERROR(IF([2]对账明细接口!$AB906=0,"",[2]对账明细接口!$AB906),"")</f>
        <v/>
      </c>
      <c r="AG905" s="90" t="str">
        <f aca="false">IFERROR(IF([2]对账明细接口!$AC906=0,"",[2]对账明细接口!$AC906),"")</f>
        <v/>
      </c>
      <c r="AH905" s="90" t="str">
        <f aca="false">IFERROR(IF([2]对账明细接口!$AD906=0,"",[2]对账明细接口!$AD906),"")</f>
        <v/>
      </c>
    </row>
    <row r="906" customFormat="false" ht="13.5" hidden="false" customHeight="false" outlineLevel="0" collapsed="false">
      <c r="A906" s="109" t="n">
        <v>906</v>
      </c>
      <c r="B906" s="110" t="str">
        <f aca="false">IFERROR(IF([2]对账明细接口!$B$906=0,"",[2]对账明细接口!$B$906),"")</f>
        <v/>
      </c>
      <c r="C906" s="59" t="str">
        <f aca="false">IFERROR(IF([2]对账明细接口!$C$906=0,"",[2]对账明细接口!$C$906),"")</f>
        <v/>
      </c>
      <c r="D906" s="59" t="str">
        <f aca="false">IFERROR(IF([2]对账明细接口!$D$906=0,"",[2]对账明细接口!$D$906),"")</f>
        <v/>
      </c>
      <c r="E906" s="59" t="str">
        <f aca="false">IFERROR(IF([2]对账明细接口!$E$906=0,"",[2]对账明细接口!$E$906),"")</f>
        <v/>
      </c>
      <c r="F906" s="59" t="str">
        <f aca="false">IFERROR(IF([2]对账明细接口!$F$906=0,"",[2]对账明细接口!$F$906),"")</f>
        <v/>
      </c>
      <c r="G906" s="59" t="str">
        <f aca="false">IFERROR(IF([2]对账明细接口!$G$906=0,"",[2]对账明细接口!$G$906),"")</f>
        <v/>
      </c>
      <c r="H906" s="60" t="str">
        <f aca="false">IFERROR(IF([2]对账明细接口!$H$906=0,"",[2]对账明细接口!$H$906),"")</f>
        <v/>
      </c>
      <c r="I906" s="59" t="str">
        <f aca="false">IFERROR(IF([2]对账明细接口!$I$906=0,"",[2]对账明细接口!$I$906),"")</f>
        <v/>
      </c>
      <c r="J906" s="61" t="str">
        <f aca="false">IFERROR(IF([2]对账明细接口!$J$906=0,"",[2]对账明细接口!$J$906),"")</f>
        <v/>
      </c>
      <c r="K906" s="61" t="str">
        <f aca="false">IFERROR(IF([2]对账明细接口!$K$906=0,"",[2]对账明细接口!$K$906),"")</f>
        <v/>
      </c>
      <c r="L906" s="59" t="str">
        <f aca="false">IFERROR(IF([2]对账明细接口!$L$906=0,"",[2]对账明细接口!$L$906),"")</f>
        <v/>
      </c>
      <c r="M906" s="59" t="str">
        <f aca="false">IFERROR(IF([2]对账明细接口!$M$906=0,"",[2]对账明细接口!$M$906),"")</f>
        <v/>
      </c>
      <c r="N906" s="111" t="n">
        <f aca="false">IF($C906="",0,1)</f>
        <v>0</v>
      </c>
      <c r="O906" s="111" t="n">
        <f aca="false">N(O905)+$N906</f>
        <v>311</v>
      </c>
      <c r="S906" s="10" t="str">
        <f aca="false">IFERROR(IF([2]对账明细接口!$N906=0,"",[2]对账明细接口!$N906),"")</f>
        <v/>
      </c>
      <c r="T906" s="112" t="str">
        <f aca="false">IFERROR(IF([2]对账明细接口!$O906=0,"",[2]对账明细接口!$O906),"")</f>
        <v/>
      </c>
      <c r="U906" s="112" t="str">
        <f aca="false">IFERROR(IF([2]对账明细接口!$P906=0,"",[2]对账明细接口!$P906),"")</f>
        <v/>
      </c>
      <c r="V906" s="112" t="str">
        <f aca="false">IFERROR(IF([2]对账明细接口!$Q906=0,"",[2]对账明细接口!$Q906),"")</f>
        <v/>
      </c>
      <c r="W906" s="10" t="str">
        <f aca="false">IFERROR(IF([2]对账明细接口!$R906=0,"",[2]对账明细接口!$R906),"")</f>
        <v/>
      </c>
      <c r="X906" s="10" t="str">
        <f aca="false">IFERROR(IF([2]对账明细接口!$S906=0,"",[2]对账明细接口!$S906),"")</f>
        <v/>
      </c>
      <c r="Y906" s="10" t="str">
        <f aca="false">IFERROR(IF([2]对账明细接口!$T906=0,"",[2]对账明细接口!$T906),"")</f>
        <v/>
      </c>
      <c r="Z906" s="113" t="str">
        <f aca="false">IFERROR(IF([2]对账明细接口!$U906=0,"",[2]对账明细接口!$U906),"")</f>
        <v/>
      </c>
      <c r="AA906" s="113" t="str">
        <f aca="false">IFERROR(IF([2]对账明细接口!$V906=0,"",[2]对账明细接口!$V906),"")</f>
        <v/>
      </c>
      <c r="AB906" s="10" t="str">
        <f aca="false">IFERROR(IF([2]对账明细接口!$W906=0,"",[2]对账明细接口!$W906),"")</f>
        <v/>
      </c>
      <c r="AC906" s="90" t="str">
        <f aca="false">IFERROR(IF([2]对账明细接口!$X907=0,"",[2]对账明细接口!$X907),"")</f>
        <v/>
      </c>
      <c r="AD906" s="90" t="str">
        <f aca="false">IFERROR(IF([2]对账明细接口!$Y907=0,"",[2]对账明细接口!$Y907),"")</f>
        <v/>
      </c>
      <c r="AE906" s="90" t="str">
        <f aca="false">IFERROR(IF([2]对账明细接口!$AA907=0,"",[2]对账明细接口!$AA907),"")</f>
        <v/>
      </c>
      <c r="AF906" s="90" t="str">
        <f aca="false">IFERROR(IF([2]对账明细接口!$AB907=0,"",[2]对账明细接口!$AB907),"")</f>
        <v/>
      </c>
      <c r="AG906" s="90" t="str">
        <f aca="false">IFERROR(IF([2]对账明细接口!$AC907=0,"",[2]对账明细接口!$AC907),"")</f>
        <v/>
      </c>
      <c r="AH906" s="90" t="str">
        <f aca="false">IFERROR(IF([2]对账明细接口!$AD907=0,"",[2]对账明细接口!$AD907),"")</f>
        <v/>
      </c>
    </row>
    <row r="907" customFormat="false" ht="13.5" hidden="false" customHeight="false" outlineLevel="0" collapsed="false">
      <c r="A907" s="109" t="n">
        <v>907</v>
      </c>
      <c r="B907" s="110" t="str">
        <f aca="false">IFERROR(IF([2]对账明细接口!$B$907=0,"",[2]对账明细接口!$B$907),"")</f>
        <v/>
      </c>
      <c r="C907" s="59" t="str">
        <f aca="false">IFERROR(IF([2]对账明细接口!$C$907=0,"",[2]对账明细接口!$C$907),"")</f>
        <v/>
      </c>
      <c r="D907" s="59" t="str">
        <f aca="false">IFERROR(IF([2]对账明细接口!$D$907=0,"",[2]对账明细接口!$D$907),"")</f>
        <v/>
      </c>
      <c r="E907" s="59" t="str">
        <f aca="false">IFERROR(IF([2]对账明细接口!$E$907=0,"",[2]对账明细接口!$E$907),"")</f>
        <v/>
      </c>
      <c r="F907" s="59" t="str">
        <f aca="false">IFERROR(IF([2]对账明细接口!$F$907=0,"",[2]对账明细接口!$F$907),"")</f>
        <v/>
      </c>
      <c r="G907" s="59" t="str">
        <f aca="false">IFERROR(IF([2]对账明细接口!$G$907=0,"",[2]对账明细接口!$G$907),"")</f>
        <v/>
      </c>
      <c r="H907" s="60" t="str">
        <f aca="false">IFERROR(IF([2]对账明细接口!$H$907=0,"",[2]对账明细接口!$H$907),"")</f>
        <v/>
      </c>
      <c r="I907" s="59" t="str">
        <f aca="false">IFERROR(IF([2]对账明细接口!$I$907=0,"",[2]对账明细接口!$I$907),"")</f>
        <v/>
      </c>
      <c r="J907" s="61" t="str">
        <f aca="false">IFERROR(IF([2]对账明细接口!$J$907=0,"",[2]对账明细接口!$J$907),"")</f>
        <v/>
      </c>
      <c r="K907" s="61" t="str">
        <f aca="false">IFERROR(IF([2]对账明细接口!$K$907=0,"",[2]对账明细接口!$K$907),"")</f>
        <v/>
      </c>
      <c r="L907" s="59" t="str">
        <f aca="false">IFERROR(IF([2]对账明细接口!$L$907=0,"",[2]对账明细接口!$L$907),"")</f>
        <v/>
      </c>
      <c r="M907" s="59" t="str">
        <f aca="false">IFERROR(IF([2]对账明细接口!$M$907=0,"",[2]对账明细接口!$M$907),"")</f>
        <v/>
      </c>
      <c r="N907" s="111" t="n">
        <f aca="false">IF($C907="",0,1)</f>
        <v>0</v>
      </c>
      <c r="O907" s="111" t="n">
        <f aca="false">N(O906)+$N907</f>
        <v>311</v>
      </c>
      <c r="S907" s="10" t="str">
        <f aca="false">IFERROR(IF([2]对账明细接口!$N907=0,"",[2]对账明细接口!$N907),"")</f>
        <v/>
      </c>
      <c r="T907" s="112" t="str">
        <f aca="false">IFERROR(IF([2]对账明细接口!$O907=0,"",[2]对账明细接口!$O907),"")</f>
        <v/>
      </c>
      <c r="U907" s="112" t="str">
        <f aca="false">IFERROR(IF([2]对账明细接口!$P907=0,"",[2]对账明细接口!$P907),"")</f>
        <v/>
      </c>
      <c r="V907" s="112" t="str">
        <f aca="false">IFERROR(IF([2]对账明细接口!$Q907=0,"",[2]对账明细接口!$Q907),"")</f>
        <v/>
      </c>
      <c r="W907" s="10" t="str">
        <f aca="false">IFERROR(IF([2]对账明细接口!$R907=0,"",[2]对账明细接口!$R907),"")</f>
        <v/>
      </c>
      <c r="X907" s="10" t="str">
        <f aca="false">IFERROR(IF([2]对账明细接口!$S907=0,"",[2]对账明细接口!$S907),"")</f>
        <v/>
      </c>
      <c r="Y907" s="10" t="str">
        <f aca="false">IFERROR(IF([2]对账明细接口!$T907=0,"",[2]对账明细接口!$T907),"")</f>
        <v/>
      </c>
      <c r="Z907" s="113" t="str">
        <f aca="false">IFERROR(IF([2]对账明细接口!$U907=0,"",[2]对账明细接口!$U907),"")</f>
        <v/>
      </c>
      <c r="AA907" s="113" t="str">
        <f aca="false">IFERROR(IF([2]对账明细接口!$V907=0,"",[2]对账明细接口!$V907),"")</f>
        <v/>
      </c>
      <c r="AB907" s="10" t="str">
        <f aca="false">IFERROR(IF([2]对账明细接口!$W907=0,"",[2]对账明细接口!$W907),"")</f>
        <v/>
      </c>
      <c r="AC907" s="90" t="str">
        <f aca="false">IFERROR(IF([2]对账明细接口!$X908=0,"",[2]对账明细接口!$X908),"")</f>
        <v/>
      </c>
      <c r="AD907" s="90" t="str">
        <f aca="false">IFERROR(IF([2]对账明细接口!$Y908=0,"",[2]对账明细接口!$Y908),"")</f>
        <v/>
      </c>
      <c r="AE907" s="90" t="str">
        <f aca="false">IFERROR(IF([2]对账明细接口!$AA908=0,"",[2]对账明细接口!$AA908),"")</f>
        <v/>
      </c>
      <c r="AF907" s="90" t="str">
        <f aca="false">IFERROR(IF([2]对账明细接口!$AB908=0,"",[2]对账明细接口!$AB908),"")</f>
        <v/>
      </c>
      <c r="AG907" s="90" t="str">
        <f aca="false">IFERROR(IF([2]对账明细接口!$AC908=0,"",[2]对账明细接口!$AC908),"")</f>
        <v/>
      </c>
      <c r="AH907" s="90" t="str">
        <f aca="false">IFERROR(IF([2]对账明细接口!$AD908=0,"",[2]对账明细接口!$AD908),"")</f>
        <v/>
      </c>
    </row>
    <row r="908" customFormat="false" ht="13.5" hidden="false" customHeight="false" outlineLevel="0" collapsed="false">
      <c r="A908" s="109" t="n">
        <v>908</v>
      </c>
      <c r="B908" s="110" t="str">
        <f aca="false">IFERROR(IF([2]对账明细接口!$B$908=0,"",[2]对账明细接口!$B$908),"")</f>
        <v/>
      </c>
      <c r="C908" s="59" t="str">
        <f aca="false">IFERROR(IF([2]对账明细接口!$C$908=0,"",[2]对账明细接口!$C$908),"")</f>
        <v/>
      </c>
      <c r="D908" s="59" t="str">
        <f aca="false">IFERROR(IF([2]对账明细接口!$D$908=0,"",[2]对账明细接口!$D$908),"")</f>
        <v/>
      </c>
      <c r="E908" s="59" t="str">
        <f aca="false">IFERROR(IF([2]对账明细接口!$E$908=0,"",[2]对账明细接口!$E$908),"")</f>
        <v/>
      </c>
      <c r="F908" s="59" t="str">
        <f aca="false">IFERROR(IF([2]对账明细接口!$F$908=0,"",[2]对账明细接口!$F$908),"")</f>
        <v/>
      </c>
      <c r="G908" s="59" t="str">
        <f aca="false">IFERROR(IF([2]对账明细接口!$G$908=0,"",[2]对账明细接口!$G$908),"")</f>
        <v/>
      </c>
      <c r="H908" s="60" t="str">
        <f aca="false">IFERROR(IF([2]对账明细接口!$H$908=0,"",[2]对账明细接口!$H$908),"")</f>
        <v/>
      </c>
      <c r="I908" s="59" t="str">
        <f aca="false">IFERROR(IF([2]对账明细接口!$I$908=0,"",[2]对账明细接口!$I$908),"")</f>
        <v/>
      </c>
      <c r="J908" s="61" t="str">
        <f aca="false">IFERROR(IF([2]对账明细接口!$J$908=0,"",[2]对账明细接口!$J$908),"")</f>
        <v/>
      </c>
      <c r="K908" s="61" t="str">
        <f aca="false">IFERROR(IF([2]对账明细接口!$K$908=0,"",[2]对账明细接口!$K$908),"")</f>
        <v/>
      </c>
      <c r="L908" s="59" t="str">
        <f aca="false">IFERROR(IF([2]对账明细接口!$L$908=0,"",[2]对账明细接口!$L$908),"")</f>
        <v/>
      </c>
      <c r="M908" s="59" t="str">
        <f aca="false">IFERROR(IF([2]对账明细接口!$M$908=0,"",[2]对账明细接口!$M$908),"")</f>
        <v/>
      </c>
      <c r="N908" s="111" t="n">
        <f aca="false">IF($C908="",0,1)</f>
        <v>0</v>
      </c>
      <c r="O908" s="111" t="n">
        <f aca="false">N(O907)+$N908</f>
        <v>311</v>
      </c>
      <c r="S908" s="10" t="str">
        <f aca="false">IFERROR(IF([2]对账明细接口!$N908=0,"",[2]对账明细接口!$N908),"")</f>
        <v/>
      </c>
      <c r="T908" s="112" t="str">
        <f aca="false">IFERROR(IF([2]对账明细接口!$O908=0,"",[2]对账明细接口!$O908),"")</f>
        <v/>
      </c>
      <c r="U908" s="112" t="str">
        <f aca="false">IFERROR(IF([2]对账明细接口!$P908=0,"",[2]对账明细接口!$P908),"")</f>
        <v/>
      </c>
      <c r="V908" s="112" t="str">
        <f aca="false">IFERROR(IF([2]对账明细接口!$Q908=0,"",[2]对账明细接口!$Q908),"")</f>
        <v/>
      </c>
      <c r="W908" s="10" t="str">
        <f aca="false">IFERROR(IF([2]对账明细接口!$R908=0,"",[2]对账明细接口!$R908),"")</f>
        <v/>
      </c>
      <c r="X908" s="10" t="str">
        <f aca="false">IFERROR(IF([2]对账明细接口!$S908=0,"",[2]对账明细接口!$S908),"")</f>
        <v/>
      </c>
      <c r="Y908" s="10" t="str">
        <f aca="false">IFERROR(IF([2]对账明细接口!$T908=0,"",[2]对账明细接口!$T908),"")</f>
        <v/>
      </c>
      <c r="Z908" s="113" t="str">
        <f aca="false">IFERROR(IF([2]对账明细接口!$U908=0,"",[2]对账明细接口!$U908),"")</f>
        <v/>
      </c>
      <c r="AA908" s="113" t="str">
        <f aca="false">IFERROR(IF([2]对账明细接口!$V908=0,"",[2]对账明细接口!$V908),"")</f>
        <v/>
      </c>
      <c r="AB908" s="10" t="str">
        <f aca="false">IFERROR(IF([2]对账明细接口!$W908=0,"",[2]对账明细接口!$W908),"")</f>
        <v/>
      </c>
      <c r="AC908" s="90" t="str">
        <f aca="false">IFERROR(IF([2]对账明细接口!$X909=0,"",[2]对账明细接口!$X909),"")</f>
        <v/>
      </c>
      <c r="AD908" s="90" t="str">
        <f aca="false">IFERROR(IF([2]对账明细接口!$Y909=0,"",[2]对账明细接口!$Y909),"")</f>
        <v/>
      </c>
      <c r="AE908" s="90" t="str">
        <f aca="false">IFERROR(IF([2]对账明细接口!$AA909=0,"",[2]对账明细接口!$AA909),"")</f>
        <v/>
      </c>
      <c r="AF908" s="90" t="str">
        <f aca="false">IFERROR(IF([2]对账明细接口!$AB909=0,"",[2]对账明细接口!$AB909),"")</f>
        <v/>
      </c>
      <c r="AG908" s="90" t="str">
        <f aca="false">IFERROR(IF([2]对账明细接口!$AC909=0,"",[2]对账明细接口!$AC909),"")</f>
        <v/>
      </c>
      <c r="AH908" s="90" t="str">
        <f aca="false">IFERROR(IF([2]对账明细接口!$AD909=0,"",[2]对账明细接口!$AD909),"")</f>
        <v/>
      </c>
    </row>
    <row r="909" customFormat="false" ht="13.5" hidden="false" customHeight="false" outlineLevel="0" collapsed="false">
      <c r="A909" s="109" t="n">
        <v>909</v>
      </c>
      <c r="B909" s="110" t="str">
        <f aca="false">IFERROR(IF([2]对账明细接口!$B$909=0,"",[2]对账明细接口!$B$909),"")</f>
        <v/>
      </c>
      <c r="C909" s="59" t="str">
        <f aca="false">IFERROR(IF([2]对账明细接口!$C$909=0,"",[2]对账明细接口!$C$909),"")</f>
        <v/>
      </c>
      <c r="D909" s="59" t="str">
        <f aca="false">IFERROR(IF([2]对账明细接口!$D$909=0,"",[2]对账明细接口!$D$909),"")</f>
        <v/>
      </c>
      <c r="E909" s="59" t="str">
        <f aca="false">IFERROR(IF([2]对账明细接口!$E$909=0,"",[2]对账明细接口!$E$909),"")</f>
        <v/>
      </c>
      <c r="F909" s="59" t="str">
        <f aca="false">IFERROR(IF([2]对账明细接口!$F$909=0,"",[2]对账明细接口!$F$909),"")</f>
        <v/>
      </c>
      <c r="G909" s="59" t="str">
        <f aca="false">IFERROR(IF([2]对账明细接口!$G$909=0,"",[2]对账明细接口!$G$909),"")</f>
        <v/>
      </c>
      <c r="H909" s="60" t="str">
        <f aca="false">IFERROR(IF([2]对账明细接口!$H$909=0,"",[2]对账明细接口!$H$909),"")</f>
        <v/>
      </c>
      <c r="I909" s="59" t="str">
        <f aca="false">IFERROR(IF([2]对账明细接口!$I$909=0,"",[2]对账明细接口!$I$909),"")</f>
        <v/>
      </c>
      <c r="J909" s="61" t="str">
        <f aca="false">IFERROR(IF([2]对账明细接口!$J$909=0,"",[2]对账明细接口!$J$909),"")</f>
        <v/>
      </c>
      <c r="K909" s="61" t="str">
        <f aca="false">IFERROR(IF([2]对账明细接口!$K$909=0,"",[2]对账明细接口!$K$909),"")</f>
        <v/>
      </c>
      <c r="L909" s="59" t="str">
        <f aca="false">IFERROR(IF([2]对账明细接口!$L$909=0,"",[2]对账明细接口!$L$909),"")</f>
        <v/>
      </c>
      <c r="M909" s="59" t="str">
        <f aca="false">IFERROR(IF([2]对账明细接口!$M$909=0,"",[2]对账明细接口!$M$909),"")</f>
        <v/>
      </c>
      <c r="N909" s="111" t="n">
        <f aca="false">IF($C909="",0,1)</f>
        <v>0</v>
      </c>
      <c r="O909" s="111" t="n">
        <f aca="false">N(O908)+$N909</f>
        <v>311</v>
      </c>
      <c r="S909" s="10" t="str">
        <f aca="false">IFERROR(IF([2]对账明细接口!$N909=0,"",[2]对账明细接口!$N909),"")</f>
        <v/>
      </c>
      <c r="T909" s="112" t="str">
        <f aca="false">IFERROR(IF([2]对账明细接口!$O909=0,"",[2]对账明细接口!$O909),"")</f>
        <v/>
      </c>
      <c r="U909" s="112" t="str">
        <f aca="false">IFERROR(IF([2]对账明细接口!$P909=0,"",[2]对账明细接口!$P909),"")</f>
        <v/>
      </c>
      <c r="V909" s="112" t="str">
        <f aca="false">IFERROR(IF([2]对账明细接口!$Q909=0,"",[2]对账明细接口!$Q909),"")</f>
        <v/>
      </c>
      <c r="W909" s="10" t="str">
        <f aca="false">IFERROR(IF([2]对账明细接口!$R909=0,"",[2]对账明细接口!$R909),"")</f>
        <v/>
      </c>
      <c r="X909" s="10" t="str">
        <f aca="false">IFERROR(IF([2]对账明细接口!$S909=0,"",[2]对账明细接口!$S909),"")</f>
        <v/>
      </c>
      <c r="Y909" s="10" t="str">
        <f aca="false">IFERROR(IF([2]对账明细接口!$T909=0,"",[2]对账明细接口!$T909),"")</f>
        <v/>
      </c>
      <c r="Z909" s="113" t="str">
        <f aca="false">IFERROR(IF([2]对账明细接口!$U909=0,"",[2]对账明细接口!$U909),"")</f>
        <v/>
      </c>
      <c r="AA909" s="113" t="str">
        <f aca="false">IFERROR(IF([2]对账明细接口!$V909=0,"",[2]对账明细接口!$V909),"")</f>
        <v/>
      </c>
      <c r="AB909" s="10" t="str">
        <f aca="false">IFERROR(IF([2]对账明细接口!$W909=0,"",[2]对账明细接口!$W909),"")</f>
        <v/>
      </c>
      <c r="AC909" s="90" t="str">
        <f aca="false">IFERROR(IF([2]对账明细接口!$X910=0,"",[2]对账明细接口!$X910),"")</f>
        <v/>
      </c>
      <c r="AD909" s="90" t="str">
        <f aca="false">IFERROR(IF([2]对账明细接口!$Y910=0,"",[2]对账明细接口!$Y910),"")</f>
        <v/>
      </c>
      <c r="AE909" s="90" t="str">
        <f aca="false">IFERROR(IF([2]对账明细接口!$AA910=0,"",[2]对账明细接口!$AA910),"")</f>
        <v/>
      </c>
      <c r="AF909" s="90" t="str">
        <f aca="false">IFERROR(IF([2]对账明细接口!$AB910=0,"",[2]对账明细接口!$AB910),"")</f>
        <v/>
      </c>
      <c r="AG909" s="90" t="str">
        <f aca="false">IFERROR(IF([2]对账明细接口!$AC910=0,"",[2]对账明细接口!$AC910),"")</f>
        <v/>
      </c>
      <c r="AH909" s="90" t="str">
        <f aca="false">IFERROR(IF([2]对账明细接口!$AD910=0,"",[2]对账明细接口!$AD910),"")</f>
        <v/>
      </c>
    </row>
    <row r="910" customFormat="false" ht="13.5" hidden="false" customHeight="false" outlineLevel="0" collapsed="false">
      <c r="A910" s="109" t="n">
        <v>910</v>
      </c>
      <c r="B910" s="110" t="str">
        <f aca="false">IFERROR(IF([2]对账明细接口!$B$910=0,"",[2]对账明细接口!$B$910),"")</f>
        <v/>
      </c>
      <c r="C910" s="59" t="str">
        <f aca="false">IFERROR(IF([2]对账明细接口!$C$910=0,"",[2]对账明细接口!$C$910),"")</f>
        <v/>
      </c>
      <c r="D910" s="59" t="str">
        <f aca="false">IFERROR(IF([2]对账明细接口!$D$910=0,"",[2]对账明细接口!$D$910),"")</f>
        <v/>
      </c>
      <c r="E910" s="59" t="str">
        <f aca="false">IFERROR(IF([2]对账明细接口!$E$910=0,"",[2]对账明细接口!$E$910),"")</f>
        <v/>
      </c>
      <c r="F910" s="59" t="str">
        <f aca="false">IFERROR(IF([2]对账明细接口!$F$910=0,"",[2]对账明细接口!$F$910),"")</f>
        <v/>
      </c>
      <c r="G910" s="59" t="str">
        <f aca="false">IFERROR(IF([2]对账明细接口!$G$910=0,"",[2]对账明细接口!$G$910),"")</f>
        <v/>
      </c>
      <c r="H910" s="60" t="str">
        <f aca="false">IFERROR(IF([2]对账明细接口!$H$910=0,"",[2]对账明细接口!$H$910),"")</f>
        <v/>
      </c>
      <c r="I910" s="59" t="str">
        <f aca="false">IFERROR(IF([2]对账明细接口!$I$910=0,"",[2]对账明细接口!$I$910),"")</f>
        <v/>
      </c>
      <c r="J910" s="61" t="str">
        <f aca="false">IFERROR(IF([2]对账明细接口!$J$910=0,"",[2]对账明细接口!$J$910),"")</f>
        <v/>
      </c>
      <c r="K910" s="61" t="str">
        <f aca="false">IFERROR(IF([2]对账明细接口!$K$910=0,"",[2]对账明细接口!$K$910),"")</f>
        <v/>
      </c>
      <c r="L910" s="59" t="str">
        <f aca="false">IFERROR(IF([2]对账明细接口!$L$910=0,"",[2]对账明细接口!$L$910),"")</f>
        <v/>
      </c>
      <c r="M910" s="59" t="str">
        <f aca="false">IFERROR(IF([2]对账明细接口!$M$910=0,"",[2]对账明细接口!$M$910),"")</f>
        <v/>
      </c>
      <c r="N910" s="111" t="n">
        <f aca="false">IF($C910="",0,1)</f>
        <v>0</v>
      </c>
      <c r="O910" s="111" t="n">
        <f aca="false">N(O909)+$N910</f>
        <v>311</v>
      </c>
      <c r="S910" s="10" t="str">
        <f aca="false">IFERROR(IF([2]对账明细接口!$N910=0,"",[2]对账明细接口!$N910),"")</f>
        <v/>
      </c>
      <c r="T910" s="112" t="str">
        <f aca="false">IFERROR(IF([2]对账明细接口!$O910=0,"",[2]对账明细接口!$O910),"")</f>
        <v/>
      </c>
      <c r="U910" s="112" t="str">
        <f aca="false">IFERROR(IF([2]对账明细接口!$P910=0,"",[2]对账明细接口!$P910),"")</f>
        <v/>
      </c>
      <c r="V910" s="112" t="str">
        <f aca="false">IFERROR(IF([2]对账明细接口!$Q910=0,"",[2]对账明细接口!$Q910),"")</f>
        <v/>
      </c>
      <c r="W910" s="10" t="str">
        <f aca="false">IFERROR(IF([2]对账明细接口!$R910=0,"",[2]对账明细接口!$R910),"")</f>
        <v/>
      </c>
      <c r="X910" s="10" t="str">
        <f aca="false">IFERROR(IF([2]对账明细接口!$S910=0,"",[2]对账明细接口!$S910),"")</f>
        <v/>
      </c>
      <c r="Y910" s="10" t="str">
        <f aca="false">IFERROR(IF([2]对账明细接口!$T910=0,"",[2]对账明细接口!$T910),"")</f>
        <v/>
      </c>
      <c r="Z910" s="113" t="str">
        <f aca="false">IFERROR(IF([2]对账明细接口!$U910=0,"",[2]对账明细接口!$U910),"")</f>
        <v/>
      </c>
      <c r="AA910" s="113" t="str">
        <f aca="false">IFERROR(IF([2]对账明细接口!$V910=0,"",[2]对账明细接口!$V910),"")</f>
        <v/>
      </c>
      <c r="AB910" s="10" t="str">
        <f aca="false">IFERROR(IF([2]对账明细接口!$W910=0,"",[2]对账明细接口!$W910),"")</f>
        <v/>
      </c>
      <c r="AC910" s="90" t="str">
        <f aca="false">IFERROR(IF([2]对账明细接口!$X911=0,"",[2]对账明细接口!$X911),"")</f>
        <v/>
      </c>
      <c r="AD910" s="90" t="str">
        <f aca="false">IFERROR(IF([2]对账明细接口!$Y911=0,"",[2]对账明细接口!$Y911),"")</f>
        <v/>
      </c>
      <c r="AE910" s="90" t="str">
        <f aca="false">IFERROR(IF([2]对账明细接口!$AA911=0,"",[2]对账明细接口!$AA911),"")</f>
        <v/>
      </c>
      <c r="AF910" s="90" t="str">
        <f aca="false">IFERROR(IF([2]对账明细接口!$AB911=0,"",[2]对账明细接口!$AB911),"")</f>
        <v/>
      </c>
      <c r="AG910" s="90" t="str">
        <f aca="false">IFERROR(IF([2]对账明细接口!$AC911=0,"",[2]对账明细接口!$AC911),"")</f>
        <v/>
      </c>
      <c r="AH910" s="90" t="str">
        <f aca="false">IFERROR(IF([2]对账明细接口!$AD911=0,"",[2]对账明细接口!$AD911),"")</f>
        <v/>
      </c>
    </row>
    <row r="911" customFormat="false" ht="13.5" hidden="false" customHeight="false" outlineLevel="0" collapsed="false">
      <c r="A911" s="109" t="n">
        <v>911</v>
      </c>
      <c r="B911" s="110" t="str">
        <f aca="false">IFERROR(IF([2]对账明细接口!$B$911=0,"",[2]对账明细接口!$B$911),"")</f>
        <v/>
      </c>
      <c r="C911" s="59" t="str">
        <f aca="false">IFERROR(IF([2]对账明细接口!$C$911=0,"",[2]对账明细接口!$C$911),"")</f>
        <v/>
      </c>
      <c r="D911" s="59" t="str">
        <f aca="false">IFERROR(IF([2]对账明细接口!$D$911=0,"",[2]对账明细接口!$D$911),"")</f>
        <v/>
      </c>
      <c r="E911" s="59" t="str">
        <f aca="false">IFERROR(IF([2]对账明细接口!$E$911=0,"",[2]对账明细接口!$E$911),"")</f>
        <v/>
      </c>
      <c r="F911" s="59" t="str">
        <f aca="false">IFERROR(IF([2]对账明细接口!$F$911=0,"",[2]对账明细接口!$F$911),"")</f>
        <v/>
      </c>
      <c r="G911" s="59" t="str">
        <f aca="false">IFERROR(IF([2]对账明细接口!$G$911=0,"",[2]对账明细接口!$G$911),"")</f>
        <v/>
      </c>
      <c r="H911" s="60" t="str">
        <f aca="false">IFERROR(IF([2]对账明细接口!$H$911=0,"",[2]对账明细接口!$H$911),"")</f>
        <v/>
      </c>
      <c r="I911" s="59" t="str">
        <f aca="false">IFERROR(IF([2]对账明细接口!$I$911=0,"",[2]对账明细接口!$I$911),"")</f>
        <v/>
      </c>
      <c r="J911" s="61" t="str">
        <f aca="false">IFERROR(IF([2]对账明细接口!$J$911=0,"",[2]对账明细接口!$J$911),"")</f>
        <v/>
      </c>
      <c r="K911" s="61" t="str">
        <f aca="false">IFERROR(IF([2]对账明细接口!$K$911=0,"",[2]对账明细接口!$K$911),"")</f>
        <v/>
      </c>
      <c r="L911" s="59" t="str">
        <f aca="false">IFERROR(IF([2]对账明细接口!$L$911=0,"",[2]对账明细接口!$L$911),"")</f>
        <v/>
      </c>
      <c r="M911" s="59" t="str">
        <f aca="false">IFERROR(IF([2]对账明细接口!$M$911=0,"",[2]对账明细接口!$M$911),"")</f>
        <v/>
      </c>
      <c r="N911" s="111" t="n">
        <f aca="false">IF($C911="",0,1)</f>
        <v>0</v>
      </c>
      <c r="O911" s="111" t="n">
        <f aca="false">N(O910)+$N911</f>
        <v>311</v>
      </c>
      <c r="S911" s="10" t="str">
        <f aca="false">IFERROR(IF([2]对账明细接口!$N911=0,"",[2]对账明细接口!$N911),"")</f>
        <v/>
      </c>
      <c r="T911" s="112" t="str">
        <f aca="false">IFERROR(IF([2]对账明细接口!$O911=0,"",[2]对账明细接口!$O911),"")</f>
        <v/>
      </c>
      <c r="U911" s="112" t="str">
        <f aca="false">IFERROR(IF([2]对账明细接口!$P911=0,"",[2]对账明细接口!$P911),"")</f>
        <v/>
      </c>
      <c r="V911" s="112" t="str">
        <f aca="false">IFERROR(IF([2]对账明细接口!$Q911=0,"",[2]对账明细接口!$Q911),"")</f>
        <v/>
      </c>
      <c r="W911" s="10" t="str">
        <f aca="false">IFERROR(IF([2]对账明细接口!$R911=0,"",[2]对账明细接口!$R911),"")</f>
        <v/>
      </c>
      <c r="X911" s="10" t="str">
        <f aca="false">IFERROR(IF([2]对账明细接口!$S911=0,"",[2]对账明细接口!$S911),"")</f>
        <v/>
      </c>
      <c r="Y911" s="10" t="str">
        <f aca="false">IFERROR(IF([2]对账明细接口!$T911=0,"",[2]对账明细接口!$T911),"")</f>
        <v/>
      </c>
      <c r="Z911" s="113" t="str">
        <f aca="false">IFERROR(IF([2]对账明细接口!$U911=0,"",[2]对账明细接口!$U911),"")</f>
        <v/>
      </c>
      <c r="AA911" s="113" t="str">
        <f aca="false">IFERROR(IF([2]对账明细接口!$V911=0,"",[2]对账明细接口!$V911),"")</f>
        <v/>
      </c>
      <c r="AB911" s="10" t="str">
        <f aca="false">IFERROR(IF([2]对账明细接口!$W911=0,"",[2]对账明细接口!$W911),"")</f>
        <v/>
      </c>
      <c r="AC911" s="90" t="str">
        <f aca="false">IFERROR(IF([2]对账明细接口!$X912=0,"",[2]对账明细接口!$X912),"")</f>
        <v/>
      </c>
      <c r="AD911" s="90" t="str">
        <f aca="false">IFERROR(IF([2]对账明细接口!$Y912=0,"",[2]对账明细接口!$Y912),"")</f>
        <v/>
      </c>
      <c r="AE911" s="90" t="str">
        <f aca="false">IFERROR(IF([2]对账明细接口!$AA912=0,"",[2]对账明细接口!$AA912),"")</f>
        <v/>
      </c>
      <c r="AF911" s="90" t="str">
        <f aca="false">IFERROR(IF([2]对账明细接口!$AB912=0,"",[2]对账明细接口!$AB912),"")</f>
        <v/>
      </c>
      <c r="AG911" s="90" t="str">
        <f aca="false">IFERROR(IF([2]对账明细接口!$AC912=0,"",[2]对账明细接口!$AC912),"")</f>
        <v/>
      </c>
      <c r="AH911" s="90" t="str">
        <f aca="false">IFERROR(IF([2]对账明细接口!$AD912=0,"",[2]对账明细接口!$AD912),"")</f>
        <v/>
      </c>
    </row>
    <row r="912" customFormat="false" ht="13.5" hidden="false" customHeight="false" outlineLevel="0" collapsed="false">
      <c r="A912" s="109" t="n">
        <v>912</v>
      </c>
      <c r="B912" s="110" t="str">
        <f aca="false">IFERROR(IF([2]对账明细接口!$B$912=0,"",[2]对账明细接口!$B$912),"")</f>
        <v/>
      </c>
      <c r="C912" s="59" t="str">
        <f aca="false">IFERROR(IF([2]对账明细接口!$C$912=0,"",[2]对账明细接口!$C$912),"")</f>
        <v/>
      </c>
      <c r="D912" s="59" t="str">
        <f aca="false">IFERROR(IF([2]对账明细接口!$D$912=0,"",[2]对账明细接口!$D$912),"")</f>
        <v/>
      </c>
      <c r="E912" s="59" t="str">
        <f aca="false">IFERROR(IF([2]对账明细接口!$E$912=0,"",[2]对账明细接口!$E$912),"")</f>
        <v/>
      </c>
      <c r="F912" s="59" t="str">
        <f aca="false">IFERROR(IF([2]对账明细接口!$F$912=0,"",[2]对账明细接口!$F$912),"")</f>
        <v/>
      </c>
      <c r="G912" s="59" t="str">
        <f aca="false">IFERROR(IF([2]对账明细接口!$G$912=0,"",[2]对账明细接口!$G$912),"")</f>
        <v/>
      </c>
      <c r="H912" s="60" t="str">
        <f aca="false">IFERROR(IF([2]对账明细接口!$H$912=0,"",[2]对账明细接口!$H$912),"")</f>
        <v/>
      </c>
      <c r="I912" s="59" t="str">
        <f aca="false">IFERROR(IF([2]对账明细接口!$I$912=0,"",[2]对账明细接口!$I$912),"")</f>
        <v/>
      </c>
      <c r="J912" s="61" t="str">
        <f aca="false">IFERROR(IF([2]对账明细接口!$J$912=0,"",[2]对账明细接口!$J$912),"")</f>
        <v/>
      </c>
      <c r="K912" s="61" t="str">
        <f aca="false">IFERROR(IF([2]对账明细接口!$K$912=0,"",[2]对账明细接口!$K$912),"")</f>
        <v/>
      </c>
      <c r="L912" s="59" t="str">
        <f aca="false">IFERROR(IF([2]对账明细接口!$L$912=0,"",[2]对账明细接口!$L$912),"")</f>
        <v/>
      </c>
      <c r="M912" s="59" t="str">
        <f aca="false">IFERROR(IF([2]对账明细接口!$M$912=0,"",[2]对账明细接口!$M$912),"")</f>
        <v/>
      </c>
      <c r="N912" s="111" t="n">
        <f aca="false">IF($C912="",0,1)</f>
        <v>0</v>
      </c>
      <c r="O912" s="111" t="n">
        <f aca="false">N(O911)+$N912</f>
        <v>311</v>
      </c>
      <c r="S912" s="10" t="str">
        <f aca="false">IFERROR(IF([2]对账明细接口!$N912=0,"",[2]对账明细接口!$N912),"")</f>
        <v/>
      </c>
      <c r="T912" s="112" t="str">
        <f aca="false">IFERROR(IF([2]对账明细接口!$O912=0,"",[2]对账明细接口!$O912),"")</f>
        <v/>
      </c>
      <c r="U912" s="112" t="str">
        <f aca="false">IFERROR(IF([2]对账明细接口!$P912=0,"",[2]对账明细接口!$P912),"")</f>
        <v/>
      </c>
      <c r="V912" s="112" t="str">
        <f aca="false">IFERROR(IF([2]对账明细接口!$Q912=0,"",[2]对账明细接口!$Q912),"")</f>
        <v/>
      </c>
      <c r="W912" s="10" t="str">
        <f aca="false">IFERROR(IF([2]对账明细接口!$R912=0,"",[2]对账明细接口!$R912),"")</f>
        <v/>
      </c>
      <c r="X912" s="10" t="str">
        <f aca="false">IFERROR(IF([2]对账明细接口!$S912=0,"",[2]对账明细接口!$S912),"")</f>
        <v/>
      </c>
      <c r="Y912" s="10" t="str">
        <f aca="false">IFERROR(IF([2]对账明细接口!$T912=0,"",[2]对账明细接口!$T912),"")</f>
        <v/>
      </c>
      <c r="Z912" s="113" t="str">
        <f aca="false">IFERROR(IF([2]对账明细接口!$U912=0,"",[2]对账明细接口!$U912),"")</f>
        <v/>
      </c>
      <c r="AA912" s="113" t="str">
        <f aca="false">IFERROR(IF([2]对账明细接口!$V912=0,"",[2]对账明细接口!$V912),"")</f>
        <v/>
      </c>
      <c r="AB912" s="10" t="str">
        <f aca="false">IFERROR(IF([2]对账明细接口!$W912=0,"",[2]对账明细接口!$W912),"")</f>
        <v/>
      </c>
      <c r="AC912" s="90" t="str">
        <f aca="false">IFERROR(IF([2]对账明细接口!$X913=0,"",[2]对账明细接口!$X913),"")</f>
        <v/>
      </c>
      <c r="AD912" s="90" t="str">
        <f aca="false">IFERROR(IF([2]对账明细接口!$Y913=0,"",[2]对账明细接口!$Y913),"")</f>
        <v/>
      </c>
      <c r="AE912" s="90" t="str">
        <f aca="false">IFERROR(IF([2]对账明细接口!$AA913=0,"",[2]对账明细接口!$AA913),"")</f>
        <v/>
      </c>
      <c r="AF912" s="90" t="str">
        <f aca="false">IFERROR(IF([2]对账明细接口!$AB913=0,"",[2]对账明细接口!$AB913),"")</f>
        <v/>
      </c>
      <c r="AG912" s="90" t="str">
        <f aca="false">IFERROR(IF([2]对账明细接口!$AC913=0,"",[2]对账明细接口!$AC913),"")</f>
        <v/>
      </c>
      <c r="AH912" s="90" t="str">
        <f aca="false">IFERROR(IF([2]对账明细接口!$AD913=0,"",[2]对账明细接口!$AD913),"")</f>
        <v/>
      </c>
    </row>
    <row r="913" customFormat="false" ht="13.5" hidden="false" customHeight="false" outlineLevel="0" collapsed="false">
      <c r="A913" s="109" t="n">
        <v>913</v>
      </c>
      <c r="B913" s="110" t="str">
        <f aca="false">IFERROR(IF([2]对账明细接口!$B$913=0,"",[2]对账明细接口!$B$913),"")</f>
        <v/>
      </c>
      <c r="C913" s="59" t="str">
        <f aca="false">IFERROR(IF([2]对账明细接口!$C$913=0,"",[2]对账明细接口!$C$913),"")</f>
        <v/>
      </c>
      <c r="D913" s="59" t="str">
        <f aca="false">IFERROR(IF([2]对账明细接口!$D$913=0,"",[2]对账明细接口!$D$913),"")</f>
        <v/>
      </c>
      <c r="E913" s="59" t="str">
        <f aca="false">IFERROR(IF([2]对账明细接口!$E$913=0,"",[2]对账明细接口!$E$913),"")</f>
        <v/>
      </c>
      <c r="F913" s="59" t="str">
        <f aca="false">IFERROR(IF([2]对账明细接口!$F$913=0,"",[2]对账明细接口!$F$913),"")</f>
        <v/>
      </c>
      <c r="G913" s="59" t="str">
        <f aca="false">IFERROR(IF([2]对账明细接口!$G$913=0,"",[2]对账明细接口!$G$913),"")</f>
        <v/>
      </c>
      <c r="H913" s="60" t="str">
        <f aca="false">IFERROR(IF([2]对账明细接口!$H$913=0,"",[2]对账明细接口!$H$913),"")</f>
        <v/>
      </c>
      <c r="I913" s="59" t="str">
        <f aca="false">IFERROR(IF([2]对账明细接口!$I$913=0,"",[2]对账明细接口!$I$913),"")</f>
        <v/>
      </c>
      <c r="J913" s="61" t="str">
        <f aca="false">IFERROR(IF([2]对账明细接口!$J$913=0,"",[2]对账明细接口!$J$913),"")</f>
        <v/>
      </c>
      <c r="K913" s="61" t="str">
        <f aca="false">IFERROR(IF([2]对账明细接口!$K$913=0,"",[2]对账明细接口!$K$913),"")</f>
        <v/>
      </c>
      <c r="L913" s="59" t="str">
        <f aca="false">IFERROR(IF([2]对账明细接口!$L$913=0,"",[2]对账明细接口!$L$913),"")</f>
        <v/>
      </c>
      <c r="M913" s="59" t="str">
        <f aca="false">IFERROR(IF([2]对账明细接口!$M$913=0,"",[2]对账明细接口!$M$913),"")</f>
        <v/>
      </c>
      <c r="N913" s="111" t="n">
        <f aca="false">IF($C913="",0,1)</f>
        <v>0</v>
      </c>
      <c r="O913" s="111" t="n">
        <f aca="false">N(O912)+$N913</f>
        <v>311</v>
      </c>
      <c r="S913" s="10" t="str">
        <f aca="false">IFERROR(IF([2]对账明细接口!$N913=0,"",[2]对账明细接口!$N913),"")</f>
        <v/>
      </c>
      <c r="T913" s="112" t="str">
        <f aca="false">IFERROR(IF([2]对账明细接口!$O913=0,"",[2]对账明细接口!$O913),"")</f>
        <v/>
      </c>
      <c r="U913" s="112" t="str">
        <f aca="false">IFERROR(IF([2]对账明细接口!$P913=0,"",[2]对账明细接口!$P913),"")</f>
        <v/>
      </c>
      <c r="V913" s="112" t="str">
        <f aca="false">IFERROR(IF([2]对账明细接口!$Q913=0,"",[2]对账明细接口!$Q913),"")</f>
        <v/>
      </c>
      <c r="W913" s="10" t="str">
        <f aca="false">IFERROR(IF([2]对账明细接口!$R913=0,"",[2]对账明细接口!$R913),"")</f>
        <v/>
      </c>
      <c r="X913" s="10" t="str">
        <f aca="false">IFERROR(IF([2]对账明细接口!$S913=0,"",[2]对账明细接口!$S913),"")</f>
        <v/>
      </c>
      <c r="Y913" s="10" t="str">
        <f aca="false">IFERROR(IF([2]对账明细接口!$T913=0,"",[2]对账明细接口!$T913),"")</f>
        <v/>
      </c>
      <c r="Z913" s="113" t="str">
        <f aca="false">IFERROR(IF([2]对账明细接口!$U913=0,"",[2]对账明细接口!$U913),"")</f>
        <v/>
      </c>
      <c r="AA913" s="113" t="str">
        <f aca="false">IFERROR(IF([2]对账明细接口!$V913=0,"",[2]对账明细接口!$V913),"")</f>
        <v/>
      </c>
      <c r="AB913" s="10" t="str">
        <f aca="false">IFERROR(IF([2]对账明细接口!$W913=0,"",[2]对账明细接口!$W913),"")</f>
        <v/>
      </c>
      <c r="AC913" s="90" t="str">
        <f aca="false">IFERROR(IF([2]对账明细接口!$X914=0,"",[2]对账明细接口!$X914),"")</f>
        <v/>
      </c>
      <c r="AD913" s="90" t="str">
        <f aca="false">IFERROR(IF([2]对账明细接口!$Y914=0,"",[2]对账明细接口!$Y914),"")</f>
        <v/>
      </c>
      <c r="AE913" s="90" t="str">
        <f aca="false">IFERROR(IF([2]对账明细接口!$AA914=0,"",[2]对账明细接口!$AA914),"")</f>
        <v/>
      </c>
      <c r="AF913" s="90" t="str">
        <f aca="false">IFERROR(IF([2]对账明细接口!$AB914=0,"",[2]对账明细接口!$AB914),"")</f>
        <v/>
      </c>
      <c r="AG913" s="90" t="str">
        <f aca="false">IFERROR(IF([2]对账明细接口!$AC914=0,"",[2]对账明细接口!$AC914),"")</f>
        <v/>
      </c>
      <c r="AH913" s="90" t="str">
        <f aca="false">IFERROR(IF([2]对账明细接口!$AD914=0,"",[2]对账明细接口!$AD914),"")</f>
        <v/>
      </c>
    </row>
    <row r="914" customFormat="false" ht="13.5" hidden="false" customHeight="false" outlineLevel="0" collapsed="false">
      <c r="A914" s="109" t="n">
        <v>914</v>
      </c>
      <c r="B914" s="110" t="str">
        <f aca="false">IFERROR(IF([2]对账明细接口!$B$914=0,"",[2]对账明细接口!$B$914),"")</f>
        <v/>
      </c>
      <c r="C914" s="59" t="str">
        <f aca="false">IFERROR(IF([2]对账明细接口!$C$914=0,"",[2]对账明细接口!$C$914),"")</f>
        <v/>
      </c>
      <c r="D914" s="59" t="str">
        <f aca="false">IFERROR(IF([2]对账明细接口!$D$914=0,"",[2]对账明细接口!$D$914),"")</f>
        <v/>
      </c>
      <c r="E914" s="59" t="str">
        <f aca="false">IFERROR(IF([2]对账明细接口!$E$914=0,"",[2]对账明细接口!$E$914),"")</f>
        <v/>
      </c>
      <c r="F914" s="59" t="str">
        <f aca="false">IFERROR(IF([2]对账明细接口!$F$914=0,"",[2]对账明细接口!$F$914),"")</f>
        <v/>
      </c>
      <c r="G914" s="59" t="str">
        <f aca="false">IFERROR(IF([2]对账明细接口!$G$914=0,"",[2]对账明细接口!$G$914),"")</f>
        <v/>
      </c>
      <c r="H914" s="60" t="str">
        <f aca="false">IFERROR(IF([2]对账明细接口!$H$914=0,"",[2]对账明细接口!$H$914),"")</f>
        <v/>
      </c>
      <c r="I914" s="59" t="str">
        <f aca="false">IFERROR(IF([2]对账明细接口!$I$914=0,"",[2]对账明细接口!$I$914),"")</f>
        <v/>
      </c>
      <c r="J914" s="61" t="str">
        <f aca="false">IFERROR(IF([2]对账明细接口!$J$914=0,"",[2]对账明细接口!$J$914),"")</f>
        <v/>
      </c>
      <c r="K914" s="61" t="str">
        <f aca="false">IFERROR(IF([2]对账明细接口!$K$914=0,"",[2]对账明细接口!$K$914),"")</f>
        <v/>
      </c>
      <c r="L914" s="59" t="str">
        <f aca="false">IFERROR(IF([2]对账明细接口!$L$914=0,"",[2]对账明细接口!$L$914),"")</f>
        <v/>
      </c>
      <c r="M914" s="59" t="str">
        <f aca="false">IFERROR(IF([2]对账明细接口!$M$914=0,"",[2]对账明细接口!$M$914),"")</f>
        <v/>
      </c>
      <c r="N914" s="111" t="n">
        <f aca="false">IF($C914="",0,1)</f>
        <v>0</v>
      </c>
      <c r="O914" s="111" t="n">
        <f aca="false">N(O913)+$N914</f>
        <v>311</v>
      </c>
      <c r="S914" s="10" t="str">
        <f aca="false">IFERROR(IF([2]对账明细接口!$N914=0,"",[2]对账明细接口!$N914),"")</f>
        <v/>
      </c>
      <c r="T914" s="112" t="str">
        <f aca="false">IFERROR(IF([2]对账明细接口!$O914=0,"",[2]对账明细接口!$O914),"")</f>
        <v/>
      </c>
      <c r="U914" s="112" t="str">
        <f aca="false">IFERROR(IF([2]对账明细接口!$P914=0,"",[2]对账明细接口!$P914),"")</f>
        <v/>
      </c>
      <c r="V914" s="112" t="str">
        <f aca="false">IFERROR(IF([2]对账明细接口!$Q914=0,"",[2]对账明细接口!$Q914),"")</f>
        <v/>
      </c>
      <c r="W914" s="10" t="str">
        <f aca="false">IFERROR(IF([2]对账明细接口!$R914=0,"",[2]对账明细接口!$R914),"")</f>
        <v/>
      </c>
      <c r="X914" s="10" t="str">
        <f aca="false">IFERROR(IF([2]对账明细接口!$S914=0,"",[2]对账明细接口!$S914),"")</f>
        <v/>
      </c>
      <c r="Y914" s="10" t="str">
        <f aca="false">IFERROR(IF([2]对账明细接口!$T914=0,"",[2]对账明细接口!$T914),"")</f>
        <v/>
      </c>
      <c r="Z914" s="113" t="str">
        <f aca="false">IFERROR(IF([2]对账明细接口!$U914=0,"",[2]对账明细接口!$U914),"")</f>
        <v/>
      </c>
      <c r="AA914" s="113" t="str">
        <f aca="false">IFERROR(IF([2]对账明细接口!$V914=0,"",[2]对账明细接口!$V914),"")</f>
        <v/>
      </c>
      <c r="AB914" s="10" t="str">
        <f aca="false">IFERROR(IF([2]对账明细接口!$W914=0,"",[2]对账明细接口!$W914),"")</f>
        <v/>
      </c>
      <c r="AC914" s="90" t="str">
        <f aca="false">IFERROR(IF([2]对账明细接口!$X915=0,"",[2]对账明细接口!$X915),"")</f>
        <v/>
      </c>
      <c r="AD914" s="90" t="str">
        <f aca="false">IFERROR(IF([2]对账明细接口!$Y915=0,"",[2]对账明细接口!$Y915),"")</f>
        <v/>
      </c>
      <c r="AE914" s="90" t="str">
        <f aca="false">IFERROR(IF([2]对账明细接口!$AA915=0,"",[2]对账明细接口!$AA915),"")</f>
        <v/>
      </c>
      <c r="AF914" s="90" t="str">
        <f aca="false">IFERROR(IF([2]对账明细接口!$AB915=0,"",[2]对账明细接口!$AB915),"")</f>
        <v/>
      </c>
      <c r="AG914" s="90" t="str">
        <f aca="false">IFERROR(IF([2]对账明细接口!$AC915=0,"",[2]对账明细接口!$AC915),"")</f>
        <v/>
      </c>
      <c r="AH914" s="90" t="str">
        <f aca="false">IFERROR(IF([2]对账明细接口!$AD915=0,"",[2]对账明细接口!$AD915),"")</f>
        <v/>
      </c>
    </row>
    <row r="915" customFormat="false" ht="13.5" hidden="false" customHeight="false" outlineLevel="0" collapsed="false">
      <c r="A915" s="109" t="n">
        <v>915</v>
      </c>
      <c r="B915" s="110" t="str">
        <f aca="false">IFERROR(IF([2]对账明细接口!$B$915=0,"",[2]对账明细接口!$B$915),"")</f>
        <v/>
      </c>
      <c r="C915" s="59" t="str">
        <f aca="false">IFERROR(IF([2]对账明细接口!$C$915=0,"",[2]对账明细接口!$C$915),"")</f>
        <v/>
      </c>
      <c r="D915" s="59" t="str">
        <f aca="false">IFERROR(IF([2]对账明细接口!$D$915=0,"",[2]对账明细接口!$D$915),"")</f>
        <v/>
      </c>
      <c r="E915" s="59" t="str">
        <f aca="false">IFERROR(IF([2]对账明细接口!$E$915=0,"",[2]对账明细接口!$E$915),"")</f>
        <v/>
      </c>
      <c r="F915" s="59" t="str">
        <f aca="false">IFERROR(IF([2]对账明细接口!$F$915=0,"",[2]对账明细接口!$F$915),"")</f>
        <v/>
      </c>
      <c r="G915" s="59" t="str">
        <f aca="false">IFERROR(IF([2]对账明细接口!$G$915=0,"",[2]对账明细接口!$G$915),"")</f>
        <v/>
      </c>
      <c r="H915" s="60" t="str">
        <f aca="false">IFERROR(IF([2]对账明细接口!$H$915=0,"",[2]对账明细接口!$H$915),"")</f>
        <v/>
      </c>
      <c r="I915" s="59" t="str">
        <f aca="false">IFERROR(IF([2]对账明细接口!$I$915=0,"",[2]对账明细接口!$I$915),"")</f>
        <v/>
      </c>
      <c r="J915" s="61" t="str">
        <f aca="false">IFERROR(IF([2]对账明细接口!$J$915=0,"",[2]对账明细接口!$J$915),"")</f>
        <v/>
      </c>
      <c r="K915" s="61" t="str">
        <f aca="false">IFERROR(IF([2]对账明细接口!$K$915=0,"",[2]对账明细接口!$K$915),"")</f>
        <v/>
      </c>
      <c r="L915" s="59" t="str">
        <f aca="false">IFERROR(IF([2]对账明细接口!$L$915=0,"",[2]对账明细接口!$L$915),"")</f>
        <v/>
      </c>
      <c r="M915" s="59" t="str">
        <f aca="false">IFERROR(IF([2]对账明细接口!$M$915=0,"",[2]对账明细接口!$M$915),"")</f>
        <v/>
      </c>
      <c r="N915" s="111" t="n">
        <f aca="false">IF($C915="",0,1)</f>
        <v>0</v>
      </c>
      <c r="O915" s="111" t="n">
        <f aca="false">N(O914)+$N915</f>
        <v>311</v>
      </c>
      <c r="S915" s="10" t="str">
        <f aca="false">IFERROR(IF([2]对账明细接口!$N915=0,"",[2]对账明细接口!$N915),"")</f>
        <v/>
      </c>
      <c r="T915" s="112" t="str">
        <f aca="false">IFERROR(IF([2]对账明细接口!$O915=0,"",[2]对账明细接口!$O915),"")</f>
        <v/>
      </c>
      <c r="U915" s="112" t="str">
        <f aca="false">IFERROR(IF([2]对账明细接口!$P915=0,"",[2]对账明细接口!$P915),"")</f>
        <v/>
      </c>
      <c r="V915" s="112" t="str">
        <f aca="false">IFERROR(IF([2]对账明细接口!$Q915=0,"",[2]对账明细接口!$Q915),"")</f>
        <v/>
      </c>
      <c r="W915" s="10" t="str">
        <f aca="false">IFERROR(IF([2]对账明细接口!$R915=0,"",[2]对账明细接口!$R915),"")</f>
        <v/>
      </c>
      <c r="X915" s="10" t="str">
        <f aca="false">IFERROR(IF([2]对账明细接口!$S915=0,"",[2]对账明细接口!$S915),"")</f>
        <v/>
      </c>
      <c r="Y915" s="10" t="str">
        <f aca="false">IFERROR(IF([2]对账明细接口!$T915=0,"",[2]对账明细接口!$T915),"")</f>
        <v/>
      </c>
      <c r="Z915" s="113" t="str">
        <f aca="false">IFERROR(IF([2]对账明细接口!$U915=0,"",[2]对账明细接口!$U915),"")</f>
        <v/>
      </c>
      <c r="AA915" s="113" t="str">
        <f aca="false">IFERROR(IF([2]对账明细接口!$V915=0,"",[2]对账明细接口!$V915),"")</f>
        <v/>
      </c>
      <c r="AB915" s="10" t="str">
        <f aca="false">IFERROR(IF([2]对账明细接口!$W915=0,"",[2]对账明细接口!$W915),"")</f>
        <v/>
      </c>
      <c r="AC915" s="90" t="str">
        <f aca="false">IFERROR(IF([2]对账明细接口!$X916=0,"",[2]对账明细接口!$X916),"")</f>
        <v/>
      </c>
      <c r="AD915" s="90" t="str">
        <f aca="false">IFERROR(IF([2]对账明细接口!$Y916=0,"",[2]对账明细接口!$Y916),"")</f>
        <v/>
      </c>
      <c r="AE915" s="90" t="str">
        <f aca="false">IFERROR(IF([2]对账明细接口!$AA916=0,"",[2]对账明细接口!$AA916),"")</f>
        <v/>
      </c>
      <c r="AF915" s="90" t="str">
        <f aca="false">IFERROR(IF([2]对账明细接口!$AB916=0,"",[2]对账明细接口!$AB916),"")</f>
        <v/>
      </c>
      <c r="AG915" s="90" t="str">
        <f aca="false">IFERROR(IF([2]对账明细接口!$AC916=0,"",[2]对账明细接口!$AC916),"")</f>
        <v/>
      </c>
      <c r="AH915" s="90" t="str">
        <f aca="false">IFERROR(IF([2]对账明细接口!$AD916=0,"",[2]对账明细接口!$AD916),"")</f>
        <v/>
      </c>
    </row>
    <row r="916" customFormat="false" ht="13.5" hidden="false" customHeight="false" outlineLevel="0" collapsed="false">
      <c r="A916" s="109" t="n">
        <v>916</v>
      </c>
      <c r="B916" s="110" t="str">
        <f aca="false">IFERROR(IF([2]对账明细接口!$B$916=0,"",[2]对账明细接口!$B$916),"")</f>
        <v/>
      </c>
      <c r="C916" s="59" t="str">
        <f aca="false">IFERROR(IF([2]对账明细接口!$C$916=0,"",[2]对账明细接口!$C$916),"")</f>
        <v/>
      </c>
      <c r="D916" s="59" t="str">
        <f aca="false">IFERROR(IF([2]对账明细接口!$D$916=0,"",[2]对账明细接口!$D$916),"")</f>
        <v/>
      </c>
      <c r="E916" s="59" t="str">
        <f aca="false">IFERROR(IF([2]对账明细接口!$E$916=0,"",[2]对账明细接口!$E$916),"")</f>
        <v/>
      </c>
      <c r="F916" s="59" t="str">
        <f aca="false">IFERROR(IF([2]对账明细接口!$F$916=0,"",[2]对账明细接口!$F$916),"")</f>
        <v/>
      </c>
      <c r="G916" s="59" t="str">
        <f aca="false">IFERROR(IF([2]对账明细接口!$G$916=0,"",[2]对账明细接口!$G$916),"")</f>
        <v/>
      </c>
      <c r="H916" s="60" t="str">
        <f aca="false">IFERROR(IF([2]对账明细接口!$H$916=0,"",[2]对账明细接口!$H$916),"")</f>
        <v/>
      </c>
      <c r="I916" s="59" t="str">
        <f aca="false">IFERROR(IF([2]对账明细接口!$I$916=0,"",[2]对账明细接口!$I$916),"")</f>
        <v/>
      </c>
      <c r="J916" s="61" t="str">
        <f aca="false">IFERROR(IF([2]对账明细接口!$J$916=0,"",[2]对账明细接口!$J$916),"")</f>
        <v/>
      </c>
      <c r="K916" s="61" t="str">
        <f aca="false">IFERROR(IF([2]对账明细接口!$K$916=0,"",[2]对账明细接口!$K$916),"")</f>
        <v/>
      </c>
      <c r="L916" s="59" t="str">
        <f aca="false">IFERROR(IF([2]对账明细接口!$L$916=0,"",[2]对账明细接口!$L$916),"")</f>
        <v/>
      </c>
      <c r="M916" s="59" t="str">
        <f aca="false">IFERROR(IF([2]对账明细接口!$M$916=0,"",[2]对账明细接口!$M$916),"")</f>
        <v/>
      </c>
      <c r="N916" s="111" t="n">
        <f aca="false">IF($C916="",0,1)</f>
        <v>0</v>
      </c>
      <c r="O916" s="111" t="n">
        <f aca="false">N(O915)+$N916</f>
        <v>311</v>
      </c>
      <c r="S916" s="10" t="str">
        <f aca="false">IFERROR(IF([2]对账明细接口!$N916=0,"",[2]对账明细接口!$N916),"")</f>
        <v/>
      </c>
      <c r="T916" s="112" t="str">
        <f aca="false">IFERROR(IF([2]对账明细接口!$O916=0,"",[2]对账明细接口!$O916),"")</f>
        <v/>
      </c>
      <c r="U916" s="112" t="str">
        <f aca="false">IFERROR(IF([2]对账明细接口!$P916=0,"",[2]对账明细接口!$P916),"")</f>
        <v/>
      </c>
      <c r="V916" s="112" t="str">
        <f aca="false">IFERROR(IF([2]对账明细接口!$Q916=0,"",[2]对账明细接口!$Q916),"")</f>
        <v/>
      </c>
      <c r="W916" s="10" t="str">
        <f aca="false">IFERROR(IF([2]对账明细接口!$R916=0,"",[2]对账明细接口!$R916),"")</f>
        <v/>
      </c>
      <c r="X916" s="10" t="str">
        <f aca="false">IFERROR(IF([2]对账明细接口!$S916=0,"",[2]对账明细接口!$S916),"")</f>
        <v/>
      </c>
      <c r="Y916" s="10" t="str">
        <f aca="false">IFERROR(IF([2]对账明细接口!$T916=0,"",[2]对账明细接口!$T916),"")</f>
        <v/>
      </c>
      <c r="Z916" s="113" t="str">
        <f aca="false">IFERROR(IF([2]对账明细接口!$U916=0,"",[2]对账明细接口!$U916),"")</f>
        <v/>
      </c>
      <c r="AA916" s="113" t="str">
        <f aca="false">IFERROR(IF([2]对账明细接口!$V916=0,"",[2]对账明细接口!$V916),"")</f>
        <v/>
      </c>
      <c r="AB916" s="10" t="str">
        <f aca="false">IFERROR(IF([2]对账明细接口!$W916=0,"",[2]对账明细接口!$W916),"")</f>
        <v/>
      </c>
      <c r="AC916" s="90" t="str">
        <f aca="false">IFERROR(IF([2]对账明细接口!$X917=0,"",[2]对账明细接口!$X917),"")</f>
        <v/>
      </c>
      <c r="AD916" s="90" t="str">
        <f aca="false">IFERROR(IF([2]对账明细接口!$Y917=0,"",[2]对账明细接口!$Y917),"")</f>
        <v/>
      </c>
      <c r="AE916" s="90" t="str">
        <f aca="false">IFERROR(IF([2]对账明细接口!$AA917=0,"",[2]对账明细接口!$AA917),"")</f>
        <v/>
      </c>
      <c r="AF916" s="90" t="str">
        <f aca="false">IFERROR(IF([2]对账明细接口!$AB917=0,"",[2]对账明细接口!$AB917),"")</f>
        <v/>
      </c>
      <c r="AG916" s="90" t="str">
        <f aca="false">IFERROR(IF([2]对账明细接口!$AC917=0,"",[2]对账明细接口!$AC917),"")</f>
        <v/>
      </c>
      <c r="AH916" s="90" t="str">
        <f aca="false">IFERROR(IF([2]对账明细接口!$AD917=0,"",[2]对账明细接口!$AD917),"")</f>
        <v/>
      </c>
    </row>
    <row r="917" customFormat="false" ht="13.5" hidden="false" customHeight="false" outlineLevel="0" collapsed="false">
      <c r="A917" s="109" t="n">
        <v>917</v>
      </c>
      <c r="B917" s="110" t="str">
        <f aca="false">IFERROR(IF([2]对账明细接口!$B$917=0,"",[2]对账明细接口!$B$917),"")</f>
        <v/>
      </c>
      <c r="C917" s="59" t="str">
        <f aca="false">IFERROR(IF([2]对账明细接口!$C$917=0,"",[2]对账明细接口!$C$917),"")</f>
        <v/>
      </c>
      <c r="D917" s="59" t="str">
        <f aca="false">IFERROR(IF([2]对账明细接口!$D$917=0,"",[2]对账明细接口!$D$917),"")</f>
        <v/>
      </c>
      <c r="E917" s="59" t="str">
        <f aca="false">IFERROR(IF([2]对账明细接口!$E$917=0,"",[2]对账明细接口!$E$917),"")</f>
        <v/>
      </c>
      <c r="F917" s="59" t="str">
        <f aca="false">IFERROR(IF([2]对账明细接口!$F$917=0,"",[2]对账明细接口!$F$917),"")</f>
        <v/>
      </c>
      <c r="G917" s="59" t="str">
        <f aca="false">IFERROR(IF([2]对账明细接口!$G$917=0,"",[2]对账明细接口!$G$917),"")</f>
        <v/>
      </c>
      <c r="H917" s="60" t="str">
        <f aca="false">IFERROR(IF([2]对账明细接口!$H$917=0,"",[2]对账明细接口!$H$917),"")</f>
        <v/>
      </c>
      <c r="I917" s="59" t="str">
        <f aca="false">IFERROR(IF([2]对账明细接口!$I$917=0,"",[2]对账明细接口!$I$917),"")</f>
        <v/>
      </c>
      <c r="J917" s="61" t="str">
        <f aca="false">IFERROR(IF([2]对账明细接口!$J$917=0,"",[2]对账明细接口!$J$917),"")</f>
        <v/>
      </c>
      <c r="K917" s="61" t="str">
        <f aca="false">IFERROR(IF([2]对账明细接口!$K$917=0,"",[2]对账明细接口!$K$917),"")</f>
        <v/>
      </c>
      <c r="L917" s="59" t="str">
        <f aca="false">IFERROR(IF([2]对账明细接口!$L$917=0,"",[2]对账明细接口!$L$917),"")</f>
        <v/>
      </c>
      <c r="M917" s="59" t="str">
        <f aca="false">IFERROR(IF([2]对账明细接口!$M$917=0,"",[2]对账明细接口!$M$917),"")</f>
        <v/>
      </c>
      <c r="N917" s="111" t="n">
        <f aca="false">IF($C917="",0,1)</f>
        <v>0</v>
      </c>
      <c r="O917" s="111" t="n">
        <f aca="false">N(O916)+$N917</f>
        <v>311</v>
      </c>
      <c r="S917" s="10" t="str">
        <f aca="false">IFERROR(IF([2]对账明细接口!$N917=0,"",[2]对账明细接口!$N917),"")</f>
        <v/>
      </c>
      <c r="T917" s="112" t="str">
        <f aca="false">IFERROR(IF([2]对账明细接口!$O917=0,"",[2]对账明细接口!$O917),"")</f>
        <v/>
      </c>
      <c r="U917" s="112" t="str">
        <f aca="false">IFERROR(IF([2]对账明细接口!$P917=0,"",[2]对账明细接口!$P917),"")</f>
        <v/>
      </c>
      <c r="V917" s="112" t="str">
        <f aca="false">IFERROR(IF([2]对账明细接口!$Q917=0,"",[2]对账明细接口!$Q917),"")</f>
        <v/>
      </c>
      <c r="W917" s="10" t="str">
        <f aca="false">IFERROR(IF([2]对账明细接口!$R917=0,"",[2]对账明细接口!$R917),"")</f>
        <v/>
      </c>
      <c r="X917" s="10" t="str">
        <f aca="false">IFERROR(IF([2]对账明细接口!$S917=0,"",[2]对账明细接口!$S917),"")</f>
        <v/>
      </c>
      <c r="Y917" s="10" t="str">
        <f aca="false">IFERROR(IF([2]对账明细接口!$T917=0,"",[2]对账明细接口!$T917),"")</f>
        <v/>
      </c>
      <c r="Z917" s="113" t="str">
        <f aca="false">IFERROR(IF([2]对账明细接口!$U917=0,"",[2]对账明细接口!$U917),"")</f>
        <v/>
      </c>
      <c r="AA917" s="113" t="str">
        <f aca="false">IFERROR(IF([2]对账明细接口!$V917=0,"",[2]对账明细接口!$V917),"")</f>
        <v/>
      </c>
      <c r="AB917" s="10" t="str">
        <f aca="false">IFERROR(IF([2]对账明细接口!$W917=0,"",[2]对账明细接口!$W917),"")</f>
        <v/>
      </c>
      <c r="AC917" s="90" t="str">
        <f aca="false">IFERROR(IF([2]对账明细接口!$X918=0,"",[2]对账明细接口!$X918),"")</f>
        <v/>
      </c>
      <c r="AD917" s="90" t="str">
        <f aca="false">IFERROR(IF([2]对账明细接口!$Y918=0,"",[2]对账明细接口!$Y918),"")</f>
        <v/>
      </c>
      <c r="AE917" s="90" t="str">
        <f aca="false">IFERROR(IF([2]对账明细接口!$AA918=0,"",[2]对账明细接口!$AA918),"")</f>
        <v/>
      </c>
      <c r="AF917" s="90" t="str">
        <f aca="false">IFERROR(IF([2]对账明细接口!$AB918=0,"",[2]对账明细接口!$AB918),"")</f>
        <v/>
      </c>
      <c r="AG917" s="90" t="str">
        <f aca="false">IFERROR(IF([2]对账明细接口!$AC918=0,"",[2]对账明细接口!$AC918),"")</f>
        <v/>
      </c>
      <c r="AH917" s="90" t="str">
        <f aca="false">IFERROR(IF([2]对账明细接口!$AD918=0,"",[2]对账明细接口!$AD918),"")</f>
        <v/>
      </c>
    </row>
    <row r="918" customFormat="false" ht="13.5" hidden="false" customHeight="false" outlineLevel="0" collapsed="false">
      <c r="A918" s="109" t="n">
        <v>918</v>
      </c>
      <c r="B918" s="110" t="str">
        <f aca="false">IFERROR(IF([2]对账明细接口!$B$918=0,"",[2]对账明细接口!$B$918),"")</f>
        <v/>
      </c>
      <c r="C918" s="59" t="str">
        <f aca="false">IFERROR(IF([2]对账明细接口!$C$918=0,"",[2]对账明细接口!$C$918),"")</f>
        <v/>
      </c>
      <c r="D918" s="59" t="str">
        <f aca="false">IFERROR(IF([2]对账明细接口!$D$918=0,"",[2]对账明细接口!$D$918),"")</f>
        <v/>
      </c>
      <c r="E918" s="59" t="str">
        <f aca="false">IFERROR(IF([2]对账明细接口!$E$918=0,"",[2]对账明细接口!$E$918),"")</f>
        <v/>
      </c>
      <c r="F918" s="59" t="str">
        <f aca="false">IFERROR(IF([2]对账明细接口!$F$918=0,"",[2]对账明细接口!$F$918),"")</f>
        <v/>
      </c>
      <c r="G918" s="59" t="str">
        <f aca="false">IFERROR(IF([2]对账明细接口!$G$918=0,"",[2]对账明细接口!$G$918),"")</f>
        <v/>
      </c>
      <c r="H918" s="60" t="str">
        <f aca="false">IFERROR(IF([2]对账明细接口!$H$918=0,"",[2]对账明细接口!$H$918),"")</f>
        <v/>
      </c>
      <c r="I918" s="59" t="str">
        <f aca="false">IFERROR(IF([2]对账明细接口!$I$918=0,"",[2]对账明细接口!$I$918),"")</f>
        <v/>
      </c>
      <c r="J918" s="61" t="str">
        <f aca="false">IFERROR(IF([2]对账明细接口!$J$918=0,"",[2]对账明细接口!$J$918),"")</f>
        <v/>
      </c>
      <c r="K918" s="61" t="str">
        <f aca="false">IFERROR(IF([2]对账明细接口!$K$918=0,"",[2]对账明细接口!$K$918),"")</f>
        <v/>
      </c>
      <c r="L918" s="59" t="str">
        <f aca="false">IFERROR(IF([2]对账明细接口!$L$918=0,"",[2]对账明细接口!$L$918),"")</f>
        <v/>
      </c>
      <c r="M918" s="59" t="str">
        <f aca="false">IFERROR(IF([2]对账明细接口!$M$918=0,"",[2]对账明细接口!$M$918),"")</f>
        <v/>
      </c>
      <c r="N918" s="111" t="n">
        <f aca="false">IF($C918="",0,1)</f>
        <v>0</v>
      </c>
      <c r="O918" s="111" t="n">
        <f aca="false">N(O917)+$N918</f>
        <v>311</v>
      </c>
      <c r="S918" s="10" t="str">
        <f aca="false">IFERROR(IF([2]对账明细接口!$N918=0,"",[2]对账明细接口!$N918),"")</f>
        <v/>
      </c>
      <c r="T918" s="112" t="str">
        <f aca="false">IFERROR(IF([2]对账明细接口!$O918=0,"",[2]对账明细接口!$O918),"")</f>
        <v/>
      </c>
      <c r="U918" s="112" t="str">
        <f aca="false">IFERROR(IF([2]对账明细接口!$P918=0,"",[2]对账明细接口!$P918),"")</f>
        <v/>
      </c>
      <c r="V918" s="112" t="str">
        <f aca="false">IFERROR(IF([2]对账明细接口!$Q918=0,"",[2]对账明细接口!$Q918),"")</f>
        <v/>
      </c>
      <c r="W918" s="10" t="str">
        <f aca="false">IFERROR(IF([2]对账明细接口!$R918=0,"",[2]对账明细接口!$R918),"")</f>
        <v/>
      </c>
      <c r="X918" s="10" t="str">
        <f aca="false">IFERROR(IF([2]对账明细接口!$S918=0,"",[2]对账明细接口!$S918),"")</f>
        <v/>
      </c>
      <c r="Y918" s="10" t="str">
        <f aca="false">IFERROR(IF([2]对账明细接口!$T918=0,"",[2]对账明细接口!$T918),"")</f>
        <v/>
      </c>
      <c r="Z918" s="113" t="str">
        <f aca="false">IFERROR(IF([2]对账明细接口!$U918=0,"",[2]对账明细接口!$U918),"")</f>
        <v/>
      </c>
      <c r="AA918" s="113" t="str">
        <f aca="false">IFERROR(IF([2]对账明细接口!$V918=0,"",[2]对账明细接口!$V918),"")</f>
        <v/>
      </c>
      <c r="AB918" s="10" t="str">
        <f aca="false">IFERROR(IF([2]对账明细接口!$W918=0,"",[2]对账明细接口!$W918),"")</f>
        <v/>
      </c>
      <c r="AC918" s="90" t="str">
        <f aca="false">IFERROR(IF([2]对账明细接口!$X919=0,"",[2]对账明细接口!$X919),"")</f>
        <v/>
      </c>
      <c r="AD918" s="90" t="str">
        <f aca="false">IFERROR(IF([2]对账明细接口!$Y919=0,"",[2]对账明细接口!$Y919),"")</f>
        <v/>
      </c>
      <c r="AE918" s="90" t="str">
        <f aca="false">IFERROR(IF([2]对账明细接口!$AA919=0,"",[2]对账明细接口!$AA919),"")</f>
        <v/>
      </c>
      <c r="AF918" s="90" t="str">
        <f aca="false">IFERROR(IF([2]对账明细接口!$AB919=0,"",[2]对账明细接口!$AB919),"")</f>
        <v/>
      </c>
      <c r="AG918" s="90" t="str">
        <f aca="false">IFERROR(IF([2]对账明细接口!$AC919=0,"",[2]对账明细接口!$AC919),"")</f>
        <v/>
      </c>
      <c r="AH918" s="90" t="str">
        <f aca="false">IFERROR(IF([2]对账明细接口!$AD919=0,"",[2]对账明细接口!$AD919),"")</f>
        <v/>
      </c>
    </row>
    <row r="919" customFormat="false" ht="13.5" hidden="false" customHeight="false" outlineLevel="0" collapsed="false">
      <c r="A919" s="109" t="n">
        <v>919</v>
      </c>
      <c r="B919" s="110" t="str">
        <f aca="false">IFERROR(IF([2]对账明细接口!$B$919=0,"",[2]对账明细接口!$B$919),"")</f>
        <v/>
      </c>
      <c r="C919" s="59" t="str">
        <f aca="false">IFERROR(IF([2]对账明细接口!$C$919=0,"",[2]对账明细接口!$C$919),"")</f>
        <v/>
      </c>
      <c r="D919" s="59" t="str">
        <f aca="false">IFERROR(IF([2]对账明细接口!$D$919=0,"",[2]对账明细接口!$D$919),"")</f>
        <v/>
      </c>
      <c r="E919" s="59" t="str">
        <f aca="false">IFERROR(IF([2]对账明细接口!$E$919=0,"",[2]对账明细接口!$E$919),"")</f>
        <v/>
      </c>
      <c r="F919" s="59" t="str">
        <f aca="false">IFERROR(IF([2]对账明细接口!$F$919=0,"",[2]对账明细接口!$F$919),"")</f>
        <v/>
      </c>
      <c r="G919" s="59" t="str">
        <f aca="false">IFERROR(IF([2]对账明细接口!$G$919=0,"",[2]对账明细接口!$G$919),"")</f>
        <v/>
      </c>
      <c r="H919" s="60" t="str">
        <f aca="false">IFERROR(IF([2]对账明细接口!$H$919=0,"",[2]对账明细接口!$H$919),"")</f>
        <v/>
      </c>
      <c r="I919" s="59" t="str">
        <f aca="false">IFERROR(IF([2]对账明细接口!$I$919=0,"",[2]对账明细接口!$I$919),"")</f>
        <v/>
      </c>
      <c r="J919" s="61" t="str">
        <f aca="false">IFERROR(IF([2]对账明细接口!$J$919=0,"",[2]对账明细接口!$J$919),"")</f>
        <v/>
      </c>
      <c r="K919" s="61" t="str">
        <f aca="false">IFERROR(IF([2]对账明细接口!$K$919=0,"",[2]对账明细接口!$K$919),"")</f>
        <v/>
      </c>
      <c r="L919" s="59" t="str">
        <f aca="false">IFERROR(IF([2]对账明细接口!$L$919=0,"",[2]对账明细接口!$L$919),"")</f>
        <v/>
      </c>
      <c r="M919" s="59" t="str">
        <f aca="false">IFERROR(IF([2]对账明细接口!$M$919=0,"",[2]对账明细接口!$M$919),"")</f>
        <v/>
      </c>
      <c r="N919" s="111" t="n">
        <f aca="false">IF($C919="",0,1)</f>
        <v>0</v>
      </c>
      <c r="O919" s="111" t="n">
        <f aca="false">N(O918)+$N919</f>
        <v>311</v>
      </c>
      <c r="S919" s="10" t="str">
        <f aca="false">IFERROR(IF([2]对账明细接口!$N919=0,"",[2]对账明细接口!$N919),"")</f>
        <v/>
      </c>
      <c r="T919" s="112" t="str">
        <f aca="false">IFERROR(IF([2]对账明细接口!$O919=0,"",[2]对账明细接口!$O919),"")</f>
        <v/>
      </c>
      <c r="U919" s="112" t="str">
        <f aca="false">IFERROR(IF([2]对账明细接口!$P919=0,"",[2]对账明细接口!$P919),"")</f>
        <v/>
      </c>
      <c r="V919" s="112" t="str">
        <f aca="false">IFERROR(IF([2]对账明细接口!$Q919=0,"",[2]对账明细接口!$Q919),"")</f>
        <v/>
      </c>
      <c r="W919" s="10" t="str">
        <f aca="false">IFERROR(IF([2]对账明细接口!$R919=0,"",[2]对账明细接口!$R919),"")</f>
        <v/>
      </c>
      <c r="X919" s="10" t="str">
        <f aca="false">IFERROR(IF([2]对账明细接口!$S919=0,"",[2]对账明细接口!$S919),"")</f>
        <v/>
      </c>
      <c r="Y919" s="10" t="str">
        <f aca="false">IFERROR(IF([2]对账明细接口!$T919=0,"",[2]对账明细接口!$T919),"")</f>
        <v/>
      </c>
      <c r="Z919" s="113" t="str">
        <f aca="false">IFERROR(IF([2]对账明细接口!$U919=0,"",[2]对账明细接口!$U919),"")</f>
        <v/>
      </c>
      <c r="AA919" s="113" t="str">
        <f aca="false">IFERROR(IF([2]对账明细接口!$V919=0,"",[2]对账明细接口!$V919),"")</f>
        <v/>
      </c>
      <c r="AB919" s="10" t="str">
        <f aca="false">IFERROR(IF([2]对账明细接口!$W919=0,"",[2]对账明细接口!$W919),"")</f>
        <v/>
      </c>
      <c r="AC919" s="90" t="str">
        <f aca="false">IFERROR(IF([2]对账明细接口!$X920=0,"",[2]对账明细接口!$X920),"")</f>
        <v/>
      </c>
      <c r="AD919" s="90" t="str">
        <f aca="false">IFERROR(IF([2]对账明细接口!$Y920=0,"",[2]对账明细接口!$Y920),"")</f>
        <v/>
      </c>
      <c r="AE919" s="90" t="str">
        <f aca="false">IFERROR(IF([2]对账明细接口!$AA920=0,"",[2]对账明细接口!$AA920),"")</f>
        <v/>
      </c>
      <c r="AF919" s="90" t="str">
        <f aca="false">IFERROR(IF([2]对账明细接口!$AB920=0,"",[2]对账明细接口!$AB920),"")</f>
        <v/>
      </c>
      <c r="AG919" s="90" t="str">
        <f aca="false">IFERROR(IF([2]对账明细接口!$AC920=0,"",[2]对账明细接口!$AC920),"")</f>
        <v/>
      </c>
      <c r="AH919" s="90" t="str">
        <f aca="false">IFERROR(IF([2]对账明细接口!$AD920=0,"",[2]对账明细接口!$AD920),"")</f>
        <v/>
      </c>
    </row>
    <row r="920" customFormat="false" ht="13.5" hidden="false" customHeight="false" outlineLevel="0" collapsed="false">
      <c r="A920" s="109" t="n">
        <v>920</v>
      </c>
      <c r="B920" s="110" t="str">
        <f aca="false">IFERROR(IF([2]对账明细接口!$B$920=0,"",[2]对账明细接口!$B$920),"")</f>
        <v/>
      </c>
      <c r="C920" s="59" t="str">
        <f aca="false">IFERROR(IF([2]对账明细接口!$C$920=0,"",[2]对账明细接口!$C$920),"")</f>
        <v/>
      </c>
      <c r="D920" s="59" t="str">
        <f aca="false">IFERROR(IF([2]对账明细接口!$D$920=0,"",[2]对账明细接口!$D$920),"")</f>
        <v/>
      </c>
      <c r="E920" s="59" t="str">
        <f aca="false">IFERROR(IF([2]对账明细接口!$E$920=0,"",[2]对账明细接口!$E$920),"")</f>
        <v/>
      </c>
      <c r="F920" s="59" t="str">
        <f aca="false">IFERROR(IF([2]对账明细接口!$F$920=0,"",[2]对账明细接口!$F$920),"")</f>
        <v/>
      </c>
      <c r="G920" s="59" t="str">
        <f aca="false">IFERROR(IF([2]对账明细接口!$G$920=0,"",[2]对账明细接口!$G$920),"")</f>
        <v/>
      </c>
      <c r="H920" s="60" t="str">
        <f aca="false">IFERROR(IF([2]对账明细接口!$H$920=0,"",[2]对账明细接口!$H$920),"")</f>
        <v/>
      </c>
      <c r="I920" s="59" t="str">
        <f aca="false">IFERROR(IF([2]对账明细接口!$I$920=0,"",[2]对账明细接口!$I$920),"")</f>
        <v/>
      </c>
      <c r="J920" s="61" t="str">
        <f aca="false">IFERROR(IF([2]对账明细接口!$J$920=0,"",[2]对账明细接口!$J$920),"")</f>
        <v/>
      </c>
      <c r="K920" s="61" t="str">
        <f aca="false">IFERROR(IF([2]对账明细接口!$K$920=0,"",[2]对账明细接口!$K$920),"")</f>
        <v/>
      </c>
      <c r="L920" s="59" t="str">
        <f aca="false">IFERROR(IF([2]对账明细接口!$L$920=0,"",[2]对账明细接口!$L$920),"")</f>
        <v/>
      </c>
      <c r="M920" s="59" t="str">
        <f aca="false">IFERROR(IF([2]对账明细接口!$M$920=0,"",[2]对账明细接口!$M$920),"")</f>
        <v/>
      </c>
      <c r="N920" s="111" t="n">
        <f aca="false">IF($C920="",0,1)</f>
        <v>0</v>
      </c>
      <c r="O920" s="111" t="n">
        <f aca="false">N(O919)+$N920</f>
        <v>311</v>
      </c>
      <c r="S920" s="10" t="str">
        <f aca="false">IFERROR(IF([2]对账明细接口!$N920=0,"",[2]对账明细接口!$N920),"")</f>
        <v/>
      </c>
      <c r="T920" s="112" t="str">
        <f aca="false">IFERROR(IF([2]对账明细接口!$O920=0,"",[2]对账明细接口!$O920),"")</f>
        <v/>
      </c>
      <c r="U920" s="112" t="str">
        <f aca="false">IFERROR(IF([2]对账明细接口!$P920=0,"",[2]对账明细接口!$P920),"")</f>
        <v/>
      </c>
      <c r="V920" s="112" t="str">
        <f aca="false">IFERROR(IF([2]对账明细接口!$Q920=0,"",[2]对账明细接口!$Q920),"")</f>
        <v/>
      </c>
      <c r="W920" s="10" t="str">
        <f aca="false">IFERROR(IF([2]对账明细接口!$R920=0,"",[2]对账明细接口!$R920),"")</f>
        <v/>
      </c>
      <c r="X920" s="10" t="str">
        <f aca="false">IFERROR(IF([2]对账明细接口!$S920=0,"",[2]对账明细接口!$S920),"")</f>
        <v/>
      </c>
      <c r="Y920" s="10" t="str">
        <f aca="false">IFERROR(IF([2]对账明细接口!$T920=0,"",[2]对账明细接口!$T920),"")</f>
        <v/>
      </c>
      <c r="Z920" s="113" t="str">
        <f aca="false">IFERROR(IF([2]对账明细接口!$U920=0,"",[2]对账明细接口!$U920),"")</f>
        <v/>
      </c>
      <c r="AA920" s="113" t="str">
        <f aca="false">IFERROR(IF([2]对账明细接口!$V920=0,"",[2]对账明细接口!$V920),"")</f>
        <v/>
      </c>
      <c r="AB920" s="10" t="str">
        <f aca="false">IFERROR(IF([2]对账明细接口!$W920=0,"",[2]对账明细接口!$W920),"")</f>
        <v/>
      </c>
      <c r="AC920" s="90" t="str">
        <f aca="false">IFERROR(IF([2]对账明细接口!$X921=0,"",[2]对账明细接口!$X921),"")</f>
        <v/>
      </c>
      <c r="AD920" s="90" t="str">
        <f aca="false">IFERROR(IF([2]对账明细接口!$Y921=0,"",[2]对账明细接口!$Y921),"")</f>
        <v/>
      </c>
      <c r="AE920" s="90" t="str">
        <f aca="false">IFERROR(IF([2]对账明细接口!$AA921=0,"",[2]对账明细接口!$AA921),"")</f>
        <v/>
      </c>
      <c r="AF920" s="90" t="str">
        <f aca="false">IFERROR(IF([2]对账明细接口!$AB921=0,"",[2]对账明细接口!$AB921),"")</f>
        <v/>
      </c>
      <c r="AG920" s="90" t="str">
        <f aca="false">IFERROR(IF([2]对账明细接口!$AC921=0,"",[2]对账明细接口!$AC921),"")</f>
        <v/>
      </c>
      <c r="AH920" s="90" t="str">
        <f aca="false">IFERROR(IF([2]对账明细接口!$AD921=0,"",[2]对账明细接口!$AD921),"")</f>
        <v/>
      </c>
    </row>
    <row r="921" customFormat="false" ht="13.5" hidden="false" customHeight="false" outlineLevel="0" collapsed="false">
      <c r="A921" s="109" t="n">
        <v>921</v>
      </c>
      <c r="B921" s="110" t="str">
        <f aca="false">IFERROR(IF([2]对账明细接口!$B$921=0,"",[2]对账明细接口!$B$921),"")</f>
        <v/>
      </c>
      <c r="C921" s="59" t="str">
        <f aca="false">IFERROR(IF([2]对账明细接口!$C$921=0,"",[2]对账明细接口!$C$921),"")</f>
        <v/>
      </c>
      <c r="D921" s="59" t="str">
        <f aca="false">IFERROR(IF([2]对账明细接口!$D$921=0,"",[2]对账明细接口!$D$921),"")</f>
        <v/>
      </c>
      <c r="E921" s="59" t="str">
        <f aca="false">IFERROR(IF([2]对账明细接口!$E$921=0,"",[2]对账明细接口!$E$921),"")</f>
        <v/>
      </c>
      <c r="F921" s="59" t="str">
        <f aca="false">IFERROR(IF([2]对账明细接口!$F$921=0,"",[2]对账明细接口!$F$921),"")</f>
        <v/>
      </c>
      <c r="G921" s="59" t="str">
        <f aca="false">IFERROR(IF([2]对账明细接口!$G$921=0,"",[2]对账明细接口!$G$921),"")</f>
        <v/>
      </c>
      <c r="H921" s="60" t="str">
        <f aca="false">IFERROR(IF([2]对账明细接口!$H$921=0,"",[2]对账明细接口!$H$921),"")</f>
        <v/>
      </c>
      <c r="I921" s="59" t="str">
        <f aca="false">IFERROR(IF([2]对账明细接口!$I$921=0,"",[2]对账明细接口!$I$921),"")</f>
        <v/>
      </c>
      <c r="J921" s="61" t="str">
        <f aca="false">IFERROR(IF([2]对账明细接口!$J$921=0,"",[2]对账明细接口!$J$921),"")</f>
        <v/>
      </c>
      <c r="K921" s="61" t="str">
        <f aca="false">IFERROR(IF([2]对账明细接口!$K$921=0,"",[2]对账明细接口!$K$921),"")</f>
        <v/>
      </c>
      <c r="L921" s="59" t="str">
        <f aca="false">IFERROR(IF([2]对账明细接口!$L$921=0,"",[2]对账明细接口!$L$921),"")</f>
        <v/>
      </c>
      <c r="M921" s="59" t="str">
        <f aca="false">IFERROR(IF([2]对账明细接口!$M$921=0,"",[2]对账明细接口!$M$921),"")</f>
        <v/>
      </c>
      <c r="N921" s="111" t="n">
        <f aca="false">IF($C921="",0,1)</f>
        <v>0</v>
      </c>
      <c r="O921" s="111" t="n">
        <f aca="false">N(O920)+$N921</f>
        <v>311</v>
      </c>
      <c r="S921" s="10" t="str">
        <f aca="false">IFERROR(IF([2]对账明细接口!$N921=0,"",[2]对账明细接口!$N921),"")</f>
        <v/>
      </c>
      <c r="T921" s="112" t="str">
        <f aca="false">IFERROR(IF([2]对账明细接口!$O921=0,"",[2]对账明细接口!$O921),"")</f>
        <v/>
      </c>
      <c r="U921" s="112" t="str">
        <f aca="false">IFERROR(IF([2]对账明细接口!$P921=0,"",[2]对账明细接口!$P921),"")</f>
        <v/>
      </c>
      <c r="V921" s="112" t="str">
        <f aca="false">IFERROR(IF([2]对账明细接口!$Q921=0,"",[2]对账明细接口!$Q921),"")</f>
        <v/>
      </c>
      <c r="W921" s="10" t="str">
        <f aca="false">IFERROR(IF([2]对账明细接口!$R921=0,"",[2]对账明细接口!$R921),"")</f>
        <v/>
      </c>
      <c r="X921" s="10" t="str">
        <f aca="false">IFERROR(IF([2]对账明细接口!$S921=0,"",[2]对账明细接口!$S921),"")</f>
        <v/>
      </c>
      <c r="Y921" s="10" t="str">
        <f aca="false">IFERROR(IF([2]对账明细接口!$T921=0,"",[2]对账明细接口!$T921),"")</f>
        <v/>
      </c>
      <c r="Z921" s="113" t="str">
        <f aca="false">IFERROR(IF([2]对账明细接口!$U921=0,"",[2]对账明细接口!$U921),"")</f>
        <v/>
      </c>
      <c r="AA921" s="113" t="str">
        <f aca="false">IFERROR(IF([2]对账明细接口!$V921=0,"",[2]对账明细接口!$V921),"")</f>
        <v/>
      </c>
      <c r="AB921" s="10" t="str">
        <f aca="false">IFERROR(IF([2]对账明细接口!$W921=0,"",[2]对账明细接口!$W921),"")</f>
        <v/>
      </c>
      <c r="AC921" s="90" t="str">
        <f aca="false">IFERROR(IF([2]对账明细接口!$X922=0,"",[2]对账明细接口!$X922),"")</f>
        <v/>
      </c>
      <c r="AD921" s="90" t="str">
        <f aca="false">IFERROR(IF([2]对账明细接口!$Y922=0,"",[2]对账明细接口!$Y922),"")</f>
        <v/>
      </c>
      <c r="AE921" s="90" t="str">
        <f aca="false">IFERROR(IF([2]对账明细接口!$AA922=0,"",[2]对账明细接口!$AA922),"")</f>
        <v/>
      </c>
      <c r="AF921" s="90" t="str">
        <f aca="false">IFERROR(IF([2]对账明细接口!$AB922=0,"",[2]对账明细接口!$AB922),"")</f>
        <v/>
      </c>
      <c r="AG921" s="90" t="str">
        <f aca="false">IFERROR(IF([2]对账明细接口!$AC922=0,"",[2]对账明细接口!$AC922),"")</f>
        <v/>
      </c>
      <c r="AH921" s="90" t="str">
        <f aca="false">IFERROR(IF([2]对账明细接口!$AD922=0,"",[2]对账明细接口!$AD922),"")</f>
        <v/>
      </c>
    </row>
    <row r="922" customFormat="false" ht="13.5" hidden="false" customHeight="false" outlineLevel="0" collapsed="false">
      <c r="A922" s="109" t="n">
        <v>922</v>
      </c>
      <c r="B922" s="110" t="str">
        <f aca="false">IFERROR(IF([2]对账明细接口!$B$922=0,"",[2]对账明细接口!$B$922),"")</f>
        <v/>
      </c>
      <c r="C922" s="59" t="str">
        <f aca="false">IFERROR(IF([2]对账明细接口!$C$922=0,"",[2]对账明细接口!$C$922),"")</f>
        <v/>
      </c>
      <c r="D922" s="59" t="str">
        <f aca="false">IFERROR(IF([2]对账明细接口!$D$922=0,"",[2]对账明细接口!$D$922),"")</f>
        <v/>
      </c>
      <c r="E922" s="59" t="str">
        <f aca="false">IFERROR(IF([2]对账明细接口!$E$922=0,"",[2]对账明细接口!$E$922),"")</f>
        <v/>
      </c>
      <c r="F922" s="59" t="str">
        <f aca="false">IFERROR(IF([2]对账明细接口!$F$922=0,"",[2]对账明细接口!$F$922),"")</f>
        <v/>
      </c>
      <c r="G922" s="59" t="str">
        <f aca="false">IFERROR(IF([2]对账明细接口!$G$922=0,"",[2]对账明细接口!$G$922),"")</f>
        <v/>
      </c>
      <c r="H922" s="60" t="str">
        <f aca="false">IFERROR(IF([2]对账明细接口!$H$922=0,"",[2]对账明细接口!$H$922),"")</f>
        <v/>
      </c>
      <c r="I922" s="59" t="str">
        <f aca="false">IFERROR(IF([2]对账明细接口!$I$922=0,"",[2]对账明细接口!$I$922),"")</f>
        <v/>
      </c>
      <c r="J922" s="61" t="str">
        <f aca="false">IFERROR(IF([2]对账明细接口!$J$922=0,"",[2]对账明细接口!$J$922),"")</f>
        <v/>
      </c>
      <c r="K922" s="61" t="str">
        <f aca="false">IFERROR(IF([2]对账明细接口!$K$922=0,"",[2]对账明细接口!$K$922),"")</f>
        <v/>
      </c>
      <c r="L922" s="59" t="str">
        <f aca="false">IFERROR(IF([2]对账明细接口!$L$922=0,"",[2]对账明细接口!$L$922),"")</f>
        <v/>
      </c>
      <c r="M922" s="59" t="str">
        <f aca="false">IFERROR(IF([2]对账明细接口!$M$922=0,"",[2]对账明细接口!$M$922),"")</f>
        <v/>
      </c>
      <c r="N922" s="111" t="n">
        <f aca="false">IF($C922="",0,1)</f>
        <v>0</v>
      </c>
      <c r="O922" s="111" t="n">
        <f aca="false">N(O921)+$N922</f>
        <v>311</v>
      </c>
      <c r="S922" s="10" t="str">
        <f aca="false">IFERROR(IF([2]对账明细接口!$N922=0,"",[2]对账明细接口!$N922),"")</f>
        <v/>
      </c>
      <c r="T922" s="112" t="str">
        <f aca="false">IFERROR(IF([2]对账明细接口!$O922=0,"",[2]对账明细接口!$O922),"")</f>
        <v/>
      </c>
      <c r="U922" s="112" t="str">
        <f aca="false">IFERROR(IF([2]对账明细接口!$P922=0,"",[2]对账明细接口!$P922),"")</f>
        <v/>
      </c>
      <c r="V922" s="112" t="str">
        <f aca="false">IFERROR(IF([2]对账明细接口!$Q922=0,"",[2]对账明细接口!$Q922),"")</f>
        <v/>
      </c>
      <c r="W922" s="10" t="str">
        <f aca="false">IFERROR(IF([2]对账明细接口!$R922=0,"",[2]对账明细接口!$R922),"")</f>
        <v/>
      </c>
      <c r="X922" s="10" t="str">
        <f aca="false">IFERROR(IF([2]对账明细接口!$S922=0,"",[2]对账明细接口!$S922),"")</f>
        <v/>
      </c>
      <c r="Y922" s="10" t="str">
        <f aca="false">IFERROR(IF([2]对账明细接口!$T922=0,"",[2]对账明细接口!$T922),"")</f>
        <v/>
      </c>
      <c r="Z922" s="113" t="str">
        <f aca="false">IFERROR(IF([2]对账明细接口!$U922=0,"",[2]对账明细接口!$U922),"")</f>
        <v/>
      </c>
      <c r="AA922" s="113" t="str">
        <f aca="false">IFERROR(IF([2]对账明细接口!$V922=0,"",[2]对账明细接口!$V922),"")</f>
        <v/>
      </c>
      <c r="AB922" s="10" t="str">
        <f aca="false">IFERROR(IF([2]对账明细接口!$W922=0,"",[2]对账明细接口!$W922),"")</f>
        <v/>
      </c>
      <c r="AC922" s="90" t="str">
        <f aca="false">IFERROR(IF([2]对账明细接口!$X923=0,"",[2]对账明细接口!$X923),"")</f>
        <v/>
      </c>
      <c r="AD922" s="90" t="str">
        <f aca="false">IFERROR(IF([2]对账明细接口!$Y923=0,"",[2]对账明细接口!$Y923),"")</f>
        <v/>
      </c>
      <c r="AE922" s="90" t="str">
        <f aca="false">IFERROR(IF([2]对账明细接口!$AA923=0,"",[2]对账明细接口!$AA923),"")</f>
        <v/>
      </c>
      <c r="AF922" s="90" t="str">
        <f aca="false">IFERROR(IF([2]对账明细接口!$AB923=0,"",[2]对账明细接口!$AB923),"")</f>
        <v/>
      </c>
      <c r="AG922" s="90" t="str">
        <f aca="false">IFERROR(IF([2]对账明细接口!$AC923=0,"",[2]对账明细接口!$AC923),"")</f>
        <v/>
      </c>
      <c r="AH922" s="90" t="str">
        <f aca="false">IFERROR(IF([2]对账明细接口!$AD923=0,"",[2]对账明细接口!$AD923),"")</f>
        <v/>
      </c>
    </row>
    <row r="923" customFormat="false" ht="13.5" hidden="false" customHeight="false" outlineLevel="0" collapsed="false">
      <c r="A923" s="109" t="n">
        <v>923</v>
      </c>
      <c r="B923" s="110" t="str">
        <f aca="false">IFERROR(IF([2]对账明细接口!$B$923=0,"",[2]对账明细接口!$B$923),"")</f>
        <v/>
      </c>
      <c r="C923" s="59" t="str">
        <f aca="false">IFERROR(IF([2]对账明细接口!$C$923=0,"",[2]对账明细接口!$C$923),"")</f>
        <v/>
      </c>
      <c r="D923" s="59" t="str">
        <f aca="false">IFERROR(IF([2]对账明细接口!$D$923=0,"",[2]对账明细接口!$D$923),"")</f>
        <v/>
      </c>
      <c r="E923" s="59" t="str">
        <f aca="false">IFERROR(IF([2]对账明细接口!$E$923=0,"",[2]对账明细接口!$E$923),"")</f>
        <v/>
      </c>
      <c r="F923" s="59" t="str">
        <f aca="false">IFERROR(IF([2]对账明细接口!$F$923=0,"",[2]对账明细接口!$F$923),"")</f>
        <v/>
      </c>
      <c r="G923" s="59" t="str">
        <f aca="false">IFERROR(IF([2]对账明细接口!$G$923=0,"",[2]对账明细接口!$G$923),"")</f>
        <v/>
      </c>
      <c r="H923" s="60" t="str">
        <f aca="false">IFERROR(IF([2]对账明细接口!$H$923=0,"",[2]对账明细接口!$H$923),"")</f>
        <v/>
      </c>
      <c r="I923" s="59" t="str">
        <f aca="false">IFERROR(IF([2]对账明细接口!$I$923=0,"",[2]对账明细接口!$I$923),"")</f>
        <v/>
      </c>
      <c r="J923" s="61" t="str">
        <f aca="false">IFERROR(IF([2]对账明细接口!$J$923=0,"",[2]对账明细接口!$J$923),"")</f>
        <v/>
      </c>
      <c r="K923" s="61" t="str">
        <f aca="false">IFERROR(IF([2]对账明细接口!$K$923=0,"",[2]对账明细接口!$K$923),"")</f>
        <v/>
      </c>
      <c r="L923" s="59" t="str">
        <f aca="false">IFERROR(IF([2]对账明细接口!$L$923=0,"",[2]对账明细接口!$L$923),"")</f>
        <v/>
      </c>
      <c r="M923" s="59" t="str">
        <f aca="false">IFERROR(IF([2]对账明细接口!$M$923=0,"",[2]对账明细接口!$M$923),"")</f>
        <v/>
      </c>
      <c r="N923" s="111" t="n">
        <f aca="false">IF($C923="",0,1)</f>
        <v>0</v>
      </c>
      <c r="O923" s="111" t="n">
        <f aca="false">N(O922)+$N923</f>
        <v>311</v>
      </c>
      <c r="S923" s="10" t="str">
        <f aca="false">IFERROR(IF([2]对账明细接口!$N923=0,"",[2]对账明细接口!$N923),"")</f>
        <v/>
      </c>
      <c r="T923" s="112" t="str">
        <f aca="false">IFERROR(IF([2]对账明细接口!$O923=0,"",[2]对账明细接口!$O923),"")</f>
        <v/>
      </c>
      <c r="U923" s="112" t="str">
        <f aca="false">IFERROR(IF([2]对账明细接口!$P923=0,"",[2]对账明细接口!$P923),"")</f>
        <v/>
      </c>
      <c r="V923" s="112" t="str">
        <f aca="false">IFERROR(IF([2]对账明细接口!$Q923=0,"",[2]对账明细接口!$Q923),"")</f>
        <v/>
      </c>
      <c r="W923" s="10" t="str">
        <f aca="false">IFERROR(IF([2]对账明细接口!$R923=0,"",[2]对账明细接口!$R923),"")</f>
        <v/>
      </c>
      <c r="X923" s="10" t="str">
        <f aca="false">IFERROR(IF([2]对账明细接口!$S923=0,"",[2]对账明细接口!$S923),"")</f>
        <v/>
      </c>
      <c r="Y923" s="10" t="str">
        <f aca="false">IFERROR(IF([2]对账明细接口!$T923=0,"",[2]对账明细接口!$T923),"")</f>
        <v/>
      </c>
      <c r="Z923" s="113" t="str">
        <f aca="false">IFERROR(IF([2]对账明细接口!$U923=0,"",[2]对账明细接口!$U923),"")</f>
        <v/>
      </c>
      <c r="AA923" s="113" t="str">
        <f aca="false">IFERROR(IF([2]对账明细接口!$V923=0,"",[2]对账明细接口!$V923),"")</f>
        <v/>
      </c>
      <c r="AB923" s="10" t="str">
        <f aca="false">IFERROR(IF([2]对账明细接口!$W923=0,"",[2]对账明细接口!$W923),"")</f>
        <v/>
      </c>
      <c r="AC923" s="90" t="str">
        <f aca="false">IFERROR(IF([2]对账明细接口!$X924=0,"",[2]对账明细接口!$X924),"")</f>
        <v/>
      </c>
      <c r="AD923" s="90" t="str">
        <f aca="false">IFERROR(IF([2]对账明细接口!$Y924=0,"",[2]对账明细接口!$Y924),"")</f>
        <v/>
      </c>
      <c r="AE923" s="90" t="str">
        <f aca="false">IFERROR(IF([2]对账明细接口!$AA924=0,"",[2]对账明细接口!$AA924),"")</f>
        <v/>
      </c>
      <c r="AF923" s="90" t="str">
        <f aca="false">IFERROR(IF([2]对账明细接口!$AB924=0,"",[2]对账明细接口!$AB924),"")</f>
        <v/>
      </c>
      <c r="AG923" s="90" t="str">
        <f aca="false">IFERROR(IF([2]对账明细接口!$AC924=0,"",[2]对账明细接口!$AC924),"")</f>
        <v/>
      </c>
      <c r="AH923" s="90" t="str">
        <f aca="false">IFERROR(IF([2]对账明细接口!$AD924=0,"",[2]对账明细接口!$AD924),"")</f>
        <v/>
      </c>
    </row>
    <row r="924" customFormat="false" ht="13.5" hidden="false" customHeight="false" outlineLevel="0" collapsed="false">
      <c r="A924" s="109" t="n">
        <v>924</v>
      </c>
      <c r="B924" s="110" t="str">
        <f aca="false">IFERROR(IF([2]对账明细接口!$B$924=0,"",[2]对账明细接口!$B$924),"")</f>
        <v/>
      </c>
      <c r="C924" s="59" t="str">
        <f aca="false">IFERROR(IF([2]对账明细接口!$C$924=0,"",[2]对账明细接口!$C$924),"")</f>
        <v/>
      </c>
      <c r="D924" s="59" t="str">
        <f aca="false">IFERROR(IF([2]对账明细接口!$D$924=0,"",[2]对账明细接口!$D$924),"")</f>
        <v/>
      </c>
      <c r="E924" s="59" t="str">
        <f aca="false">IFERROR(IF([2]对账明细接口!$E$924=0,"",[2]对账明细接口!$E$924),"")</f>
        <v/>
      </c>
      <c r="F924" s="59" t="str">
        <f aca="false">IFERROR(IF([2]对账明细接口!$F$924=0,"",[2]对账明细接口!$F$924),"")</f>
        <v/>
      </c>
      <c r="G924" s="59" t="str">
        <f aca="false">IFERROR(IF([2]对账明细接口!$G$924=0,"",[2]对账明细接口!$G$924),"")</f>
        <v/>
      </c>
      <c r="H924" s="60" t="str">
        <f aca="false">IFERROR(IF([2]对账明细接口!$H$924=0,"",[2]对账明细接口!$H$924),"")</f>
        <v/>
      </c>
      <c r="I924" s="59" t="str">
        <f aca="false">IFERROR(IF([2]对账明细接口!$I$924=0,"",[2]对账明细接口!$I$924),"")</f>
        <v/>
      </c>
      <c r="J924" s="61" t="str">
        <f aca="false">IFERROR(IF([2]对账明细接口!$J$924=0,"",[2]对账明细接口!$J$924),"")</f>
        <v/>
      </c>
      <c r="K924" s="61" t="str">
        <f aca="false">IFERROR(IF([2]对账明细接口!$K$924=0,"",[2]对账明细接口!$K$924),"")</f>
        <v/>
      </c>
      <c r="L924" s="59" t="str">
        <f aca="false">IFERROR(IF([2]对账明细接口!$L$924=0,"",[2]对账明细接口!$L$924),"")</f>
        <v/>
      </c>
      <c r="M924" s="59" t="str">
        <f aca="false">IFERROR(IF([2]对账明细接口!$M$924=0,"",[2]对账明细接口!$M$924),"")</f>
        <v/>
      </c>
      <c r="N924" s="111" t="n">
        <f aca="false">IF($C924="",0,1)</f>
        <v>0</v>
      </c>
      <c r="O924" s="111" t="n">
        <f aca="false">N(O923)+$N924</f>
        <v>311</v>
      </c>
      <c r="S924" s="10" t="str">
        <f aca="false">IFERROR(IF([2]对账明细接口!$N924=0,"",[2]对账明细接口!$N924),"")</f>
        <v/>
      </c>
      <c r="T924" s="112" t="str">
        <f aca="false">IFERROR(IF([2]对账明细接口!$O924=0,"",[2]对账明细接口!$O924),"")</f>
        <v/>
      </c>
      <c r="U924" s="112" t="str">
        <f aca="false">IFERROR(IF([2]对账明细接口!$P924=0,"",[2]对账明细接口!$P924),"")</f>
        <v/>
      </c>
      <c r="V924" s="112" t="str">
        <f aca="false">IFERROR(IF([2]对账明细接口!$Q924=0,"",[2]对账明细接口!$Q924),"")</f>
        <v/>
      </c>
      <c r="W924" s="10" t="str">
        <f aca="false">IFERROR(IF([2]对账明细接口!$R924=0,"",[2]对账明细接口!$R924),"")</f>
        <v/>
      </c>
      <c r="X924" s="10" t="str">
        <f aca="false">IFERROR(IF([2]对账明细接口!$S924=0,"",[2]对账明细接口!$S924),"")</f>
        <v/>
      </c>
      <c r="Y924" s="10" t="str">
        <f aca="false">IFERROR(IF([2]对账明细接口!$T924=0,"",[2]对账明细接口!$T924),"")</f>
        <v/>
      </c>
      <c r="Z924" s="113" t="str">
        <f aca="false">IFERROR(IF([2]对账明细接口!$U924=0,"",[2]对账明细接口!$U924),"")</f>
        <v/>
      </c>
      <c r="AA924" s="113" t="str">
        <f aca="false">IFERROR(IF([2]对账明细接口!$V924=0,"",[2]对账明细接口!$V924),"")</f>
        <v/>
      </c>
      <c r="AB924" s="10" t="str">
        <f aca="false">IFERROR(IF([2]对账明细接口!$W924=0,"",[2]对账明细接口!$W924),"")</f>
        <v/>
      </c>
      <c r="AC924" s="90" t="str">
        <f aca="false">IFERROR(IF([2]对账明细接口!$X925=0,"",[2]对账明细接口!$X925),"")</f>
        <v/>
      </c>
      <c r="AD924" s="90" t="str">
        <f aca="false">IFERROR(IF([2]对账明细接口!$Y925=0,"",[2]对账明细接口!$Y925),"")</f>
        <v/>
      </c>
      <c r="AE924" s="90" t="str">
        <f aca="false">IFERROR(IF([2]对账明细接口!$AA925=0,"",[2]对账明细接口!$AA925),"")</f>
        <v/>
      </c>
      <c r="AF924" s="90" t="str">
        <f aca="false">IFERROR(IF([2]对账明细接口!$AB925=0,"",[2]对账明细接口!$AB925),"")</f>
        <v/>
      </c>
      <c r="AG924" s="90" t="str">
        <f aca="false">IFERROR(IF([2]对账明细接口!$AC925=0,"",[2]对账明细接口!$AC925),"")</f>
        <v/>
      </c>
      <c r="AH924" s="90" t="str">
        <f aca="false">IFERROR(IF([2]对账明细接口!$AD925=0,"",[2]对账明细接口!$AD925),"")</f>
        <v/>
      </c>
    </row>
    <row r="925" customFormat="false" ht="13.5" hidden="false" customHeight="false" outlineLevel="0" collapsed="false">
      <c r="A925" s="109" t="n">
        <v>925</v>
      </c>
      <c r="B925" s="110" t="str">
        <f aca="false">IFERROR(IF([2]对账明细接口!$B$925=0,"",[2]对账明细接口!$B$925),"")</f>
        <v/>
      </c>
      <c r="C925" s="59" t="str">
        <f aca="false">IFERROR(IF([2]对账明细接口!$C$925=0,"",[2]对账明细接口!$C$925),"")</f>
        <v/>
      </c>
      <c r="D925" s="59" t="str">
        <f aca="false">IFERROR(IF([2]对账明细接口!$D$925=0,"",[2]对账明细接口!$D$925),"")</f>
        <v/>
      </c>
      <c r="E925" s="59" t="str">
        <f aca="false">IFERROR(IF([2]对账明细接口!$E$925=0,"",[2]对账明细接口!$E$925),"")</f>
        <v/>
      </c>
      <c r="F925" s="59" t="str">
        <f aca="false">IFERROR(IF([2]对账明细接口!$F$925=0,"",[2]对账明细接口!$F$925),"")</f>
        <v/>
      </c>
      <c r="G925" s="59" t="str">
        <f aca="false">IFERROR(IF([2]对账明细接口!$G$925=0,"",[2]对账明细接口!$G$925),"")</f>
        <v/>
      </c>
      <c r="H925" s="60" t="str">
        <f aca="false">IFERROR(IF([2]对账明细接口!$H$925=0,"",[2]对账明细接口!$H$925),"")</f>
        <v/>
      </c>
      <c r="I925" s="59" t="str">
        <f aca="false">IFERROR(IF([2]对账明细接口!$I$925=0,"",[2]对账明细接口!$I$925),"")</f>
        <v/>
      </c>
      <c r="J925" s="61" t="str">
        <f aca="false">IFERROR(IF([2]对账明细接口!$J$925=0,"",[2]对账明细接口!$J$925),"")</f>
        <v/>
      </c>
      <c r="K925" s="61" t="str">
        <f aca="false">IFERROR(IF([2]对账明细接口!$K$925=0,"",[2]对账明细接口!$K$925),"")</f>
        <v/>
      </c>
      <c r="L925" s="59" t="str">
        <f aca="false">IFERROR(IF([2]对账明细接口!$L$925=0,"",[2]对账明细接口!$L$925),"")</f>
        <v/>
      </c>
      <c r="M925" s="59" t="str">
        <f aca="false">IFERROR(IF([2]对账明细接口!$M$925=0,"",[2]对账明细接口!$M$925),"")</f>
        <v/>
      </c>
      <c r="N925" s="111" t="n">
        <f aca="false">IF($C925="",0,1)</f>
        <v>0</v>
      </c>
      <c r="O925" s="111" t="n">
        <f aca="false">N(O924)+$N925</f>
        <v>311</v>
      </c>
      <c r="S925" s="10" t="str">
        <f aca="false">IFERROR(IF([2]对账明细接口!$N925=0,"",[2]对账明细接口!$N925),"")</f>
        <v/>
      </c>
      <c r="T925" s="112" t="str">
        <f aca="false">IFERROR(IF([2]对账明细接口!$O925=0,"",[2]对账明细接口!$O925),"")</f>
        <v/>
      </c>
      <c r="U925" s="112" t="str">
        <f aca="false">IFERROR(IF([2]对账明细接口!$P925=0,"",[2]对账明细接口!$P925),"")</f>
        <v/>
      </c>
      <c r="V925" s="112" t="str">
        <f aca="false">IFERROR(IF([2]对账明细接口!$Q925=0,"",[2]对账明细接口!$Q925),"")</f>
        <v/>
      </c>
      <c r="W925" s="10" t="str">
        <f aca="false">IFERROR(IF([2]对账明细接口!$R925=0,"",[2]对账明细接口!$R925),"")</f>
        <v/>
      </c>
      <c r="X925" s="10" t="str">
        <f aca="false">IFERROR(IF([2]对账明细接口!$S925=0,"",[2]对账明细接口!$S925),"")</f>
        <v/>
      </c>
      <c r="Y925" s="10" t="str">
        <f aca="false">IFERROR(IF([2]对账明细接口!$T925=0,"",[2]对账明细接口!$T925),"")</f>
        <v/>
      </c>
      <c r="Z925" s="113" t="str">
        <f aca="false">IFERROR(IF([2]对账明细接口!$U925=0,"",[2]对账明细接口!$U925),"")</f>
        <v/>
      </c>
      <c r="AA925" s="113" t="str">
        <f aca="false">IFERROR(IF([2]对账明细接口!$V925=0,"",[2]对账明细接口!$V925),"")</f>
        <v/>
      </c>
      <c r="AB925" s="10" t="str">
        <f aca="false">IFERROR(IF([2]对账明细接口!$W925=0,"",[2]对账明细接口!$W925),"")</f>
        <v/>
      </c>
      <c r="AC925" s="90" t="str">
        <f aca="false">IFERROR(IF([2]对账明细接口!$X926=0,"",[2]对账明细接口!$X926),"")</f>
        <v/>
      </c>
      <c r="AD925" s="90" t="str">
        <f aca="false">IFERROR(IF([2]对账明细接口!$Y926=0,"",[2]对账明细接口!$Y926),"")</f>
        <v/>
      </c>
      <c r="AE925" s="90" t="str">
        <f aca="false">IFERROR(IF([2]对账明细接口!$AA926=0,"",[2]对账明细接口!$AA926),"")</f>
        <v/>
      </c>
      <c r="AF925" s="90" t="str">
        <f aca="false">IFERROR(IF([2]对账明细接口!$AB926=0,"",[2]对账明细接口!$AB926),"")</f>
        <v/>
      </c>
      <c r="AG925" s="90" t="str">
        <f aca="false">IFERROR(IF([2]对账明细接口!$AC926=0,"",[2]对账明细接口!$AC926),"")</f>
        <v/>
      </c>
      <c r="AH925" s="90" t="str">
        <f aca="false">IFERROR(IF([2]对账明细接口!$AD926=0,"",[2]对账明细接口!$AD926),"")</f>
        <v/>
      </c>
    </row>
    <row r="926" customFormat="false" ht="13.5" hidden="false" customHeight="false" outlineLevel="0" collapsed="false">
      <c r="A926" s="109" t="n">
        <v>926</v>
      </c>
      <c r="B926" s="110" t="str">
        <f aca="false">IFERROR(IF([2]对账明细接口!$B$926=0,"",[2]对账明细接口!$B$926),"")</f>
        <v/>
      </c>
      <c r="C926" s="59" t="str">
        <f aca="false">IFERROR(IF([2]对账明细接口!$C$926=0,"",[2]对账明细接口!$C$926),"")</f>
        <v/>
      </c>
      <c r="D926" s="59" t="str">
        <f aca="false">IFERROR(IF([2]对账明细接口!$D$926=0,"",[2]对账明细接口!$D$926),"")</f>
        <v/>
      </c>
      <c r="E926" s="59" t="str">
        <f aca="false">IFERROR(IF([2]对账明细接口!$E$926=0,"",[2]对账明细接口!$E$926),"")</f>
        <v/>
      </c>
      <c r="F926" s="59" t="str">
        <f aca="false">IFERROR(IF([2]对账明细接口!$F$926=0,"",[2]对账明细接口!$F$926),"")</f>
        <v/>
      </c>
      <c r="G926" s="59" t="str">
        <f aca="false">IFERROR(IF([2]对账明细接口!$G$926=0,"",[2]对账明细接口!$G$926),"")</f>
        <v/>
      </c>
      <c r="H926" s="60" t="str">
        <f aca="false">IFERROR(IF([2]对账明细接口!$H$926=0,"",[2]对账明细接口!$H$926),"")</f>
        <v/>
      </c>
      <c r="I926" s="59" t="str">
        <f aca="false">IFERROR(IF([2]对账明细接口!$I$926=0,"",[2]对账明细接口!$I$926),"")</f>
        <v/>
      </c>
      <c r="J926" s="61" t="str">
        <f aca="false">IFERROR(IF([2]对账明细接口!$J$926=0,"",[2]对账明细接口!$J$926),"")</f>
        <v/>
      </c>
      <c r="K926" s="61" t="str">
        <f aca="false">IFERROR(IF([2]对账明细接口!$K$926=0,"",[2]对账明细接口!$K$926),"")</f>
        <v/>
      </c>
      <c r="L926" s="59" t="str">
        <f aca="false">IFERROR(IF([2]对账明细接口!$L$926=0,"",[2]对账明细接口!$L$926),"")</f>
        <v/>
      </c>
      <c r="M926" s="59" t="str">
        <f aca="false">IFERROR(IF([2]对账明细接口!$M$926=0,"",[2]对账明细接口!$M$926),"")</f>
        <v/>
      </c>
      <c r="N926" s="111" t="n">
        <f aca="false">IF($C926="",0,1)</f>
        <v>0</v>
      </c>
      <c r="O926" s="111" t="n">
        <f aca="false">N(O925)+$N926</f>
        <v>311</v>
      </c>
      <c r="S926" s="10" t="str">
        <f aca="false">IFERROR(IF([2]对账明细接口!$N926=0,"",[2]对账明细接口!$N926),"")</f>
        <v/>
      </c>
      <c r="T926" s="112" t="str">
        <f aca="false">IFERROR(IF([2]对账明细接口!$O926=0,"",[2]对账明细接口!$O926),"")</f>
        <v/>
      </c>
      <c r="U926" s="112" t="str">
        <f aca="false">IFERROR(IF([2]对账明细接口!$P926=0,"",[2]对账明细接口!$P926),"")</f>
        <v/>
      </c>
      <c r="V926" s="112" t="str">
        <f aca="false">IFERROR(IF([2]对账明细接口!$Q926=0,"",[2]对账明细接口!$Q926),"")</f>
        <v/>
      </c>
      <c r="W926" s="10" t="str">
        <f aca="false">IFERROR(IF([2]对账明细接口!$R926=0,"",[2]对账明细接口!$R926),"")</f>
        <v/>
      </c>
      <c r="X926" s="10" t="str">
        <f aca="false">IFERROR(IF([2]对账明细接口!$S926=0,"",[2]对账明细接口!$S926),"")</f>
        <v/>
      </c>
      <c r="Y926" s="10" t="str">
        <f aca="false">IFERROR(IF([2]对账明细接口!$T926=0,"",[2]对账明细接口!$T926),"")</f>
        <v/>
      </c>
      <c r="Z926" s="113" t="str">
        <f aca="false">IFERROR(IF([2]对账明细接口!$U926=0,"",[2]对账明细接口!$U926),"")</f>
        <v/>
      </c>
      <c r="AA926" s="113" t="str">
        <f aca="false">IFERROR(IF([2]对账明细接口!$V926=0,"",[2]对账明细接口!$V926),"")</f>
        <v/>
      </c>
      <c r="AB926" s="10" t="str">
        <f aca="false">IFERROR(IF([2]对账明细接口!$W926=0,"",[2]对账明细接口!$W926),"")</f>
        <v/>
      </c>
      <c r="AC926" s="90" t="str">
        <f aca="false">IFERROR(IF([2]对账明细接口!$X927=0,"",[2]对账明细接口!$X927),"")</f>
        <v/>
      </c>
      <c r="AD926" s="90" t="str">
        <f aca="false">IFERROR(IF([2]对账明细接口!$Y927=0,"",[2]对账明细接口!$Y927),"")</f>
        <v/>
      </c>
      <c r="AE926" s="90" t="str">
        <f aca="false">IFERROR(IF([2]对账明细接口!$AA927=0,"",[2]对账明细接口!$AA927),"")</f>
        <v/>
      </c>
      <c r="AF926" s="90" t="str">
        <f aca="false">IFERROR(IF([2]对账明细接口!$AB927=0,"",[2]对账明细接口!$AB927),"")</f>
        <v/>
      </c>
      <c r="AG926" s="90" t="str">
        <f aca="false">IFERROR(IF([2]对账明细接口!$AC927=0,"",[2]对账明细接口!$AC927),"")</f>
        <v/>
      </c>
      <c r="AH926" s="90" t="str">
        <f aca="false">IFERROR(IF([2]对账明细接口!$AD927=0,"",[2]对账明细接口!$AD927),"")</f>
        <v/>
      </c>
    </row>
    <row r="927" customFormat="false" ht="13.5" hidden="false" customHeight="false" outlineLevel="0" collapsed="false">
      <c r="A927" s="109" t="n">
        <v>927</v>
      </c>
      <c r="B927" s="110" t="str">
        <f aca="false">IFERROR(IF([2]对账明细接口!$B$927=0,"",[2]对账明细接口!$B$927),"")</f>
        <v/>
      </c>
      <c r="C927" s="59" t="str">
        <f aca="false">IFERROR(IF([2]对账明细接口!$C$927=0,"",[2]对账明细接口!$C$927),"")</f>
        <v/>
      </c>
      <c r="D927" s="59" t="str">
        <f aca="false">IFERROR(IF([2]对账明细接口!$D$927=0,"",[2]对账明细接口!$D$927),"")</f>
        <v/>
      </c>
      <c r="E927" s="59" t="str">
        <f aca="false">IFERROR(IF([2]对账明细接口!$E$927=0,"",[2]对账明细接口!$E$927),"")</f>
        <v/>
      </c>
      <c r="F927" s="59" t="str">
        <f aca="false">IFERROR(IF([2]对账明细接口!$F$927=0,"",[2]对账明细接口!$F$927),"")</f>
        <v/>
      </c>
      <c r="G927" s="59" t="str">
        <f aca="false">IFERROR(IF([2]对账明细接口!$G$927=0,"",[2]对账明细接口!$G$927),"")</f>
        <v/>
      </c>
      <c r="H927" s="60" t="str">
        <f aca="false">IFERROR(IF([2]对账明细接口!$H$927=0,"",[2]对账明细接口!$H$927),"")</f>
        <v/>
      </c>
      <c r="I927" s="59" t="str">
        <f aca="false">IFERROR(IF([2]对账明细接口!$I$927=0,"",[2]对账明细接口!$I$927),"")</f>
        <v/>
      </c>
      <c r="J927" s="61" t="str">
        <f aca="false">IFERROR(IF([2]对账明细接口!$J$927=0,"",[2]对账明细接口!$J$927),"")</f>
        <v/>
      </c>
      <c r="K927" s="61" t="str">
        <f aca="false">IFERROR(IF([2]对账明细接口!$K$927=0,"",[2]对账明细接口!$K$927),"")</f>
        <v/>
      </c>
      <c r="L927" s="59" t="str">
        <f aca="false">IFERROR(IF([2]对账明细接口!$L$927=0,"",[2]对账明细接口!$L$927),"")</f>
        <v/>
      </c>
      <c r="M927" s="59" t="str">
        <f aca="false">IFERROR(IF([2]对账明细接口!$M$927=0,"",[2]对账明细接口!$M$927),"")</f>
        <v/>
      </c>
      <c r="N927" s="111" t="n">
        <f aca="false">IF($C927="",0,1)</f>
        <v>0</v>
      </c>
      <c r="O927" s="111" t="n">
        <f aca="false">N(O926)+$N927</f>
        <v>311</v>
      </c>
      <c r="S927" s="10" t="str">
        <f aca="false">IFERROR(IF([2]对账明细接口!$N927=0,"",[2]对账明细接口!$N927),"")</f>
        <v/>
      </c>
      <c r="T927" s="112" t="str">
        <f aca="false">IFERROR(IF([2]对账明细接口!$O927=0,"",[2]对账明细接口!$O927),"")</f>
        <v/>
      </c>
      <c r="U927" s="112" t="str">
        <f aca="false">IFERROR(IF([2]对账明细接口!$P927=0,"",[2]对账明细接口!$P927),"")</f>
        <v/>
      </c>
      <c r="V927" s="112" t="str">
        <f aca="false">IFERROR(IF([2]对账明细接口!$Q927=0,"",[2]对账明细接口!$Q927),"")</f>
        <v/>
      </c>
      <c r="W927" s="10" t="str">
        <f aca="false">IFERROR(IF([2]对账明细接口!$R927=0,"",[2]对账明细接口!$R927),"")</f>
        <v/>
      </c>
      <c r="X927" s="10" t="str">
        <f aca="false">IFERROR(IF([2]对账明细接口!$S927=0,"",[2]对账明细接口!$S927),"")</f>
        <v/>
      </c>
      <c r="Y927" s="10" t="str">
        <f aca="false">IFERROR(IF([2]对账明细接口!$T927=0,"",[2]对账明细接口!$T927),"")</f>
        <v/>
      </c>
      <c r="Z927" s="113" t="str">
        <f aca="false">IFERROR(IF([2]对账明细接口!$U927=0,"",[2]对账明细接口!$U927),"")</f>
        <v/>
      </c>
      <c r="AA927" s="113" t="str">
        <f aca="false">IFERROR(IF([2]对账明细接口!$V927=0,"",[2]对账明细接口!$V927),"")</f>
        <v/>
      </c>
      <c r="AB927" s="10" t="str">
        <f aca="false">IFERROR(IF([2]对账明细接口!$W927=0,"",[2]对账明细接口!$W927),"")</f>
        <v/>
      </c>
      <c r="AC927" s="90" t="str">
        <f aca="false">IFERROR(IF([2]对账明细接口!$X928=0,"",[2]对账明细接口!$X928),"")</f>
        <v/>
      </c>
      <c r="AD927" s="90" t="str">
        <f aca="false">IFERROR(IF([2]对账明细接口!$Y928=0,"",[2]对账明细接口!$Y928),"")</f>
        <v/>
      </c>
      <c r="AE927" s="90" t="str">
        <f aca="false">IFERROR(IF([2]对账明细接口!$AA928=0,"",[2]对账明细接口!$AA928),"")</f>
        <v/>
      </c>
      <c r="AF927" s="90" t="str">
        <f aca="false">IFERROR(IF([2]对账明细接口!$AB928=0,"",[2]对账明细接口!$AB928),"")</f>
        <v/>
      </c>
      <c r="AG927" s="90" t="str">
        <f aca="false">IFERROR(IF([2]对账明细接口!$AC928=0,"",[2]对账明细接口!$AC928),"")</f>
        <v/>
      </c>
      <c r="AH927" s="90" t="str">
        <f aca="false">IFERROR(IF([2]对账明细接口!$AD928=0,"",[2]对账明细接口!$AD928),"")</f>
        <v/>
      </c>
    </row>
    <row r="928" customFormat="false" ht="13.5" hidden="false" customHeight="false" outlineLevel="0" collapsed="false">
      <c r="A928" s="109" t="n">
        <v>928</v>
      </c>
      <c r="B928" s="110" t="str">
        <f aca="false">IFERROR(IF([2]对账明细接口!$B$928=0,"",[2]对账明细接口!$B$928),"")</f>
        <v/>
      </c>
      <c r="C928" s="59" t="str">
        <f aca="false">IFERROR(IF([2]对账明细接口!$C$928=0,"",[2]对账明细接口!$C$928),"")</f>
        <v/>
      </c>
      <c r="D928" s="59" t="str">
        <f aca="false">IFERROR(IF([2]对账明细接口!$D$928=0,"",[2]对账明细接口!$D$928),"")</f>
        <v/>
      </c>
      <c r="E928" s="59" t="str">
        <f aca="false">IFERROR(IF([2]对账明细接口!$E$928=0,"",[2]对账明细接口!$E$928),"")</f>
        <v/>
      </c>
      <c r="F928" s="59" t="str">
        <f aca="false">IFERROR(IF([2]对账明细接口!$F$928=0,"",[2]对账明细接口!$F$928),"")</f>
        <v/>
      </c>
      <c r="G928" s="59" t="str">
        <f aca="false">IFERROR(IF([2]对账明细接口!$G$928=0,"",[2]对账明细接口!$G$928),"")</f>
        <v/>
      </c>
      <c r="H928" s="60" t="str">
        <f aca="false">IFERROR(IF([2]对账明细接口!$H$928=0,"",[2]对账明细接口!$H$928),"")</f>
        <v/>
      </c>
      <c r="I928" s="59" t="str">
        <f aca="false">IFERROR(IF([2]对账明细接口!$I$928=0,"",[2]对账明细接口!$I$928),"")</f>
        <v/>
      </c>
      <c r="J928" s="61" t="str">
        <f aca="false">IFERROR(IF([2]对账明细接口!$J$928=0,"",[2]对账明细接口!$J$928),"")</f>
        <v/>
      </c>
      <c r="K928" s="61" t="str">
        <f aca="false">IFERROR(IF([2]对账明细接口!$K$928=0,"",[2]对账明细接口!$K$928),"")</f>
        <v/>
      </c>
      <c r="L928" s="59" t="str">
        <f aca="false">IFERROR(IF([2]对账明细接口!$L$928=0,"",[2]对账明细接口!$L$928),"")</f>
        <v/>
      </c>
      <c r="M928" s="59" t="str">
        <f aca="false">IFERROR(IF([2]对账明细接口!$M$928=0,"",[2]对账明细接口!$M$928),"")</f>
        <v/>
      </c>
      <c r="N928" s="111" t="n">
        <f aca="false">IF($C928="",0,1)</f>
        <v>0</v>
      </c>
      <c r="O928" s="111" t="n">
        <f aca="false">N(O927)+$N928</f>
        <v>311</v>
      </c>
      <c r="S928" s="10" t="str">
        <f aca="false">IFERROR(IF([2]对账明细接口!$N928=0,"",[2]对账明细接口!$N928),"")</f>
        <v/>
      </c>
      <c r="T928" s="112" t="str">
        <f aca="false">IFERROR(IF([2]对账明细接口!$O928=0,"",[2]对账明细接口!$O928),"")</f>
        <v/>
      </c>
      <c r="U928" s="112" t="str">
        <f aca="false">IFERROR(IF([2]对账明细接口!$P928=0,"",[2]对账明细接口!$P928),"")</f>
        <v/>
      </c>
      <c r="V928" s="112" t="str">
        <f aca="false">IFERROR(IF([2]对账明细接口!$Q928=0,"",[2]对账明细接口!$Q928),"")</f>
        <v/>
      </c>
      <c r="W928" s="10" t="str">
        <f aca="false">IFERROR(IF([2]对账明细接口!$R928=0,"",[2]对账明细接口!$R928),"")</f>
        <v/>
      </c>
      <c r="X928" s="10" t="str">
        <f aca="false">IFERROR(IF([2]对账明细接口!$S928=0,"",[2]对账明细接口!$S928),"")</f>
        <v/>
      </c>
      <c r="Y928" s="10" t="str">
        <f aca="false">IFERROR(IF([2]对账明细接口!$T928=0,"",[2]对账明细接口!$T928),"")</f>
        <v/>
      </c>
      <c r="Z928" s="113" t="str">
        <f aca="false">IFERROR(IF([2]对账明细接口!$U928=0,"",[2]对账明细接口!$U928),"")</f>
        <v/>
      </c>
      <c r="AA928" s="113" t="str">
        <f aca="false">IFERROR(IF([2]对账明细接口!$V928=0,"",[2]对账明细接口!$V928),"")</f>
        <v/>
      </c>
      <c r="AB928" s="10" t="str">
        <f aca="false">IFERROR(IF([2]对账明细接口!$W928=0,"",[2]对账明细接口!$W928),"")</f>
        <v/>
      </c>
      <c r="AC928" s="90" t="str">
        <f aca="false">IFERROR(IF([2]对账明细接口!$X929=0,"",[2]对账明细接口!$X929),"")</f>
        <v/>
      </c>
      <c r="AD928" s="90" t="str">
        <f aca="false">IFERROR(IF([2]对账明细接口!$Y929=0,"",[2]对账明细接口!$Y929),"")</f>
        <v/>
      </c>
      <c r="AE928" s="90" t="str">
        <f aca="false">IFERROR(IF([2]对账明细接口!$AA929=0,"",[2]对账明细接口!$AA929),"")</f>
        <v/>
      </c>
      <c r="AF928" s="90" t="str">
        <f aca="false">IFERROR(IF([2]对账明细接口!$AB929=0,"",[2]对账明细接口!$AB929),"")</f>
        <v/>
      </c>
      <c r="AG928" s="90" t="str">
        <f aca="false">IFERROR(IF([2]对账明细接口!$AC929=0,"",[2]对账明细接口!$AC929),"")</f>
        <v/>
      </c>
      <c r="AH928" s="90" t="str">
        <f aca="false">IFERROR(IF([2]对账明细接口!$AD929=0,"",[2]对账明细接口!$AD929),"")</f>
        <v/>
      </c>
    </row>
    <row r="929" customFormat="false" ht="13.5" hidden="false" customHeight="false" outlineLevel="0" collapsed="false">
      <c r="A929" s="109" t="n">
        <v>929</v>
      </c>
      <c r="B929" s="110" t="str">
        <f aca="false">IFERROR(IF([2]对账明细接口!$B$929=0,"",[2]对账明细接口!$B$929),"")</f>
        <v/>
      </c>
      <c r="C929" s="59" t="str">
        <f aca="false">IFERROR(IF([2]对账明细接口!$C$929=0,"",[2]对账明细接口!$C$929),"")</f>
        <v/>
      </c>
      <c r="D929" s="59" t="str">
        <f aca="false">IFERROR(IF([2]对账明细接口!$D$929=0,"",[2]对账明细接口!$D$929),"")</f>
        <v/>
      </c>
      <c r="E929" s="59" t="str">
        <f aca="false">IFERROR(IF([2]对账明细接口!$E$929=0,"",[2]对账明细接口!$E$929),"")</f>
        <v/>
      </c>
      <c r="F929" s="59" t="str">
        <f aca="false">IFERROR(IF([2]对账明细接口!$F$929=0,"",[2]对账明细接口!$F$929),"")</f>
        <v/>
      </c>
      <c r="G929" s="59" t="str">
        <f aca="false">IFERROR(IF([2]对账明细接口!$G$929=0,"",[2]对账明细接口!$G$929),"")</f>
        <v/>
      </c>
      <c r="H929" s="60" t="str">
        <f aca="false">IFERROR(IF([2]对账明细接口!$H$929=0,"",[2]对账明细接口!$H$929),"")</f>
        <v/>
      </c>
      <c r="I929" s="59" t="str">
        <f aca="false">IFERROR(IF([2]对账明细接口!$I$929=0,"",[2]对账明细接口!$I$929),"")</f>
        <v/>
      </c>
      <c r="J929" s="61" t="str">
        <f aca="false">IFERROR(IF([2]对账明细接口!$J$929=0,"",[2]对账明细接口!$J$929),"")</f>
        <v/>
      </c>
      <c r="K929" s="61" t="str">
        <f aca="false">IFERROR(IF([2]对账明细接口!$K$929=0,"",[2]对账明细接口!$K$929),"")</f>
        <v/>
      </c>
      <c r="L929" s="59" t="str">
        <f aca="false">IFERROR(IF([2]对账明细接口!$L$929=0,"",[2]对账明细接口!$L$929),"")</f>
        <v/>
      </c>
      <c r="M929" s="59" t="str">
        <f aca="false">IFERROR(IF([2]对账明细接口!$M$929=0,"",[2]对账明细接口!$M$929),"")</f>
        <v/>
      </c>
      <c r="N929" s="111" t="n">
        <f aca="false">IF($C929="",0,1)</f>
        <v>0</v>
      </c>
      <c r="O929" s="111" t="n">
        <f aca="false">N(O928)+$N929</f>
        <v>311</v>
      </c>
      <c r="S929" s="10" t="str">
        <f aca="false">IFERROR(IF([2]对账明细接口!$N929=0,"",[2]对账明细接口!$N929),"")</f>
        <v/>
      </c>
      <c r="T929" s="112" t="str">
        <f aca="false">IFERROR(IF([2]对账明细接口!$O929=0,"",[2]对账明细接口!$O929),"")</f>
        <v/>
      </c>
      <c r="U929" s="112" t="str">
        <f aca="false">IFERROR(IF([2]对账明细接口!$P929=0,"",[2]对账明细接口!$P929),"")</f>
        <v/>
      </c>
      <c r="V929" s="112" t="str">
        <f aca="false">IFERROR(IF([2]对账明细接口!$Q929=0,"",[2]对账明细接口!$Q929),"")</f>
        <v/>
      </c>
      <c r="W929" s="10" t="str">
        <f aca="false">IFERROR(IF([2]对账明细接口!$R929=0,"",[2]对账明细接口!$R929),"")</f>
        <v/>
      </c>
      <c r="X929" s="10" t="str">
        <f aca="false">IFERROR(IF([2]对账明细接口!$S929=0,"",[2]对账明细接口!$S929),"")</f>
        <v/>
      </c>
      <c r="Y929" s="10" t="str">
        <f aca="false">IFERROR(IF([2]对账明细接口!$T929=0,"",[2]对账明细接口!$T929),"")</f>
        <v/>
      </c>
      <c r="Z929" s="113" t="str">
        <f aca="false">IFERROR(IF([2]对账明细接口!$U929=0,"",[2]对账明细接口!$U929),"")</f>
        <v/>
      </c>
      <c r="AA929" s="113" t="str">
        <f aca="false">IFERROR(IF([2]对账明细接口!$V929=0,"",[2]对账明细接口!$V929),"")</f>
        <v/>
      </c>
      <c r="AB929" s="10" t="str">
        <f aca="false">IFERROR(IF([2]对账明细接口!$W929=0,"",[2]对账明细接口!$W929),"")</f>
        <v/>
      </c>
      <c r="AC929" s="90" t="str">
        <f aca="false">IFERROR(IF([2]对账明细接口!$X930=0,"",[2]对账明细接口!$X930),"")</f>
        <v/>
      </c>
      <c r="AD929" s="90" t="str">
        <f aca="false">IFERROR(IF([2]对账明细接口!$Y930=0,"",[2]对账明细接口!$Y930),"")</f>
        <v/>
      </c>
      <c r="AE929" s="90" t="str">
        <f aca="false">IFERROR(IF([2]对账明细接口!$AA930=0,"",[2]对账明细接口!$AA930),"")</f>
        <v/>
      </c>
      <c r="AF929" s="90" t="str">
        <f aca="false">IFERROR(IF([2]对账明细接口!$AB930=0,"",[2]对账明细接口!$AB930),"")</f>
        <v/>
      </c>
      <c r="AG929" s="90" t="str">
        <f aca="false">IFERROR(IF([2]对账明细接口!$AC930=0,"",[2]对账明细接口!$AC930),"")</f>
        <v/>
      </c>
      <c r="AH929" s="90" t="str">
        <f aca="false">IFERROR(IF([2]对账明细接口!$AD930=0,"",[2]对账明细接口!$AD930),"")</f>
        <v/>
      </c>
    </row>
    <row r="930" customFormat="false" ht="13.5" hidden="false" customHeight="false" outlineLevel="0" collapsed="false">
      <c r="A930" s="109" t="n">
        <v>930</v>
      </c>
      <c r="B930" s="110" t="str">
        <f aca="false">IFERROR(IF([2]对账明细接口!$B$930=0,"",[2]对账明细接口!$B$930),"")</f>
        <v/>
      </c>
      <c r="C930" s="59" t="str">
        <f aca="false">IFERROR(IF([2]对账明细接口!$C$930=0,"",[2]对账明细接口!$C$930),"")</f>
        <v/>
      </c>
      <c r="D930" s="59" t="str">
        <f aca="false">IFERROR(IF([2]对账明细接口!$D$930=0,"",[2]对账明细接口!$D$930),"")</f>
        <v/>
      </c>
      <c r="E930" s="59" t="str">
        <f aca="false">IFERROR(IF([2]对账明细接口!$E$930=0,"",[2]对账明细接口!$E$930),"")</f>
        <v/>
      </c>
      <c r="F930" s="59" t="str">
        <f aca="false">IFERROR(IF([2]对账明细接口!$F$930=0,"",[2]对账明细接口!$F$930),"")</f>
        <v/>
      </c>
      <c r="G930" s="59" t="str">
        <f aca="false">IFERROR(IF([2]对账明细接口!$G$930=0,"",[2]对账明细接口!$G$930),"")</f>
        <v/>
      </c>
      <c r="H930" s="60" t="str">
        <f aca="false">IFERROR(IF([2]对账明细接口!$H$930=0,"",[2]对账明细接口!$H$930),"")</f>
        <v/>
      </c>
      <c r="I930" s="59" t="str">
        <f aca="false">IFERROR(IF([2]对账明细接口!$I$930=0,"",[2]对账明细接口!$I$930),"")</f>
        <v/>
      </c>
      <c r="J930" s="61" t="str">
        <f aca="false">IFERROR(IF([2]对账明细接口!$J$930=0,"",[2]对账明细接口!$J$930),"")</f>
        <v/>
      </c>
      <c r="K930" s="61" t="str">
        <f aca="false">IFERROR(IF([2]对账明细接口!$K$930=0,"",[2]对账明细接口!$K$930),"")</f>
        <v/>
      </c>
      <c r="L930" s="59" t="str">
        <f aca="false">IFERROR(IF([2]对账明细接口!$L$930=0,"",[2]对账明细接口!$L$930),"")</f>
        <v/>
      </c>
      <c r="M930" s="59" t="str">
        <f aca="false">IFERROR(IF([2]对账明细接口!$M$930=0,"",[2]对账明细接口!$M$930),"")</f>
        <v/>
      </c>
      <c r="N930" s="111" t="n">
        <f aca="false">IF($C930="",0,1)</f>
        <v>0</v>
      </c>
      <c r="O930" s="111" t="n">
        <f aca="false">N(O929)+$N930</f>
        <v>311</v>
      </c>
      <c r="S930" s="10" t="str">
        <f aca="false">IFERROR(IF([2]对账明细接口!$N930=0,"",[2]对账明细接口!$N930),"")</f>
        <v/>
      </c>
      <c r="T930" s="112" t="str">
        <f aca="false">IFERROR(IF([2]对账明细接口!$O930=0,"",[2]对账明细接口!$O930),"")</f>
        <v/>
      </c>
      <c r="U930" s="112" t="str">
        <f aca="false">IFERROR(IF([2]对账明细接口!$P930=0,"",[2]对账明细接口!$P930),"")</f>
        <v/>
      </c>
      <c r="V930" s="112" t="str">
        <f aca="false">IFERROR(IF([2]对账明细接口!$Q930=0,"",[2]对账明细接口!$Q930),"")</f>
        <v/>
      </c>
      <c r="W930" s="10" t="str">
        <f aca="false">IFERROR(IF([2]对账明细接口!$R930=0,"",[2]对账明细接口!$R930),"")</f>
        <v/>
      </c>
      <c r="X930" s="10" t="str">
        <f aca="false">IFERROR(IF([2]对账明细接口!$S930=0,"",[2]对账明细接口!$S930),"")</f>
        <v/>
      </c>
      <c r="Y930" s="10" t="str">
        <f aca="false">IFERROR(IF([2]对账明细接口!$T930=0,"",[2]对账明细接口!$T930),"")</f>
        <v/>
      </c>
      <c r="Z930" s="113" t="str">
        <f aca="false">IFERROR(IF([2]对账明细接口!$U930=0,"",[2]对账明细接口!$U930),"")</f>
        <v/>
      </c>
      <c r="AA930" s="113" t="str">
        <f aca="false">IFERROR(IF([2]对账明细接口!$V930=0,"",[2]对账明细接口!$V930),"")</f>
        <v/>
      </c>
      <c r="AB930" s="10" t="str">
        <f aca="false">IFERROR(IF([2]对账明细接口!$W930=0,"",[2]对账明细接口!$W930),"")</f>
        <v/>
      </c>
      <c r="AC930" s="90" t="str">
        <f aca="false">IFERROR(IF([2]对账明细接口!$X931=0,"",[2]对账明细接口!$X931),"")</f>
        <v/>
      </c>
      <c r="AD930" s="90" t="str">
        <f aca="false">IFERROR(IF([2]对账明细接口!$Y931=0,"",[2]对账明细接口!$Y931),"")</f>
        <v/>
      </c>
      <c r="AE930" s="90" t="str">
        <f aca="false">IFERROR(IF([2]对账明细接口!$AA931=0,"",[2]对账明细接口!$AA931),"")</f>
        <v/>
      </c>
      <c r="AF930" s="90" t="str">
        <f aca="false">IFERROR(IF([2]对账明细接口!$AB931=0,"",[2]对账明细接口!$AB931),"")</f>
        <v/>
      </c>
      <c r="AG930" s="90" t="str">
        <f aca="false">IFERROR(IF([2]对账明细接口!$AC931=0,"",[2]对账明细接口!$AC931),"")</f>
        <v/>
      </c>
      <c r="AH930" s="90" t="str">
        <f aca="false">IFERROR(IF([2]对账明细接口!$AD931=0,"",[2]对账明细接口!$AD931),"")</f>
        <v/>
      </c>
    </row>
    <row r="931" customFormat="false" ht="13.5" hidden="false" customHeight="false" outlineLevel="0" collapsed="false">
      <c r="A931" s="109" t="n">
        <v>931</v>
      </c>
      <c r="B931" s="110" t="str">
        <f aca="false">IFERROR(IF([2]对账明细接口!$B$931=0,"",[2]对账明细接口!$B$931),"")</f>
        <v/>
      </c>
      <c r="C931" s="59" t="str">
        <f aca="false">IFERROR(IF([2]对账明细接口!$C$931=0,"",[2]对账明细接口!$C$931),"")</f>
        <v/>
      </c>
      <c r="D931" s="59" t="str">
        <f aca="false">IFERROR(IF([2]对账明细接口!$D$931=0,"",[2]对账明细接口!$D$931),"")</f>
        <v/>
      </c>
      <c r="E931" s="59" t="str">
        <f aca="false">IFERROR(IF([2]对账明细接口!$E$931=0,"",[2]对账明细接口!$E$931),"")</f>
        <v/>
      </c>
      <c r="F931" s="59" t="str">
        <f aca="false">IFERROR(IF([2]对账明细接口!$F$931=0,"",[2]对账明细接口!$F$931),"")</f>
        <v/>
      </c>
      <c r="G931" s="59" t="str">
        <f aca="false">IFERROR(IF([2]对账明细接口!$G$931=0,"",[2]对账明细接口!$G$931),"")</f>
        <v/>
      </c>
      <c r="H931" s="60" t="str">
        <f aca="false">IFERROR(IF([2]对账明细接口!$H$931=0,"",[2]对账明细接口!$H$931),"")</f>
        <v/>
      </c>
      <c r="I931" s="59" t="str">
        <f aca="false">IFERROR(IF([2]对账明细接口!$I$931=0,"",[2]对账明细接口!$I$931),"")</f>
        <v/>
      </c>
      <c r="J931" s="61" t="str">
        <f aca="false">IFERROR(IF([2]对账明细接口!$J$931=0,"",[2]对账明细接口!$J$931),"")</f>
        <v/>
      </c>
      <c r="K931" s="61" t="str">
        <f aca="false">IFERROR(IF([2]对账明细接口!$K$931=0,"",[2]对账明细接口!$K$931),"")</f>
        <v/>
      </c>
      <c r="L931" s="59" t="str">
        <f aca="false">IFERROR(IF([2]对账明细接口!$L$931=0,"",[2]对账明细接口!$L$931),"")</f>
        <v/>
      </c>
      <c r="M931" s="59" t="str">
        <f aca="false">IFERROR(IF([2]对账明细接口!$M$931=0,"",[2]对账明细接口!$M$931),"")</f>
        <v/>
      </c>
      <c r="N931" s="111" t="n">
        <f aca="false">IF($C931="",0,1)</f>
        <v>0</v>
      </c>
      <c r="O931" s="111" t="n">
        <f aca="false">N(O930)+$N931</f>
        <v>311</v>
      </c>
      <c r="S931" s="10" t="str">
        <f aca="false">IFERROR(IF([2]对账明细接口!$N931=0,"",[2]对账明细接口!$N931),"")</f>
        <v/>
      </c>
      <c r="T931" s="112" t="str">
        <f aca="false">IFERROR(IF([2]对账明细接口!$O931=0,"",[2]对账明细接口!$O931),"")</f>
        <v/>
      </c>
      <c r="U931" s="112" t="str">
        <f aca="false">IFERROR(IF([2]对账明细接口!$P931=0,"",[2]对账明细接口!$P931),"")</f>
        <v/>
      </c>
      <c r="V931" s="112" t="str">
        <f aca="false">IFERROR(IF([2]对账明细接口!$Q931=0,"",[2]对账明细接口!$Q931),"")</f>
        <v/>
      </c>
      <c r="W931" s="10" t="str">
        <f aca="false">IFERROR(IF([2]对账明细接口!$R931=0,"",[2]对账明细接口!$R931),"")</f>
        <v/>
      </c>
      <c r="X931" s="10" t="str">
        <f aca="false">IFERROR(IF([2]对账明细接口!$S931=0,"",[2]对账明细接口!$S931),"")</f>
        <v/>
      </c>
      <c r="Y931" s="10" t="str">
        <f aca="false">IFERROR(IF([2]对账明细接口!$T931=0,"",[2]对账明细接口!$T931),"")</f>
        <v/>
      </c>
      <c r="Z931" s="113" t="str">
        <f aca="false">IFERROR(IF([2]对账明细接口!$U931=0,"",[2]对账明细接口!$U931),"")</f>
        <v/>
      </c>
      <c r="AA931" s="113" t="str">
        <f aca="false">IFERROR(IF([2]对账明细接口!$V931=0,"",[2]对账明细接口!$V931),"")</f>
        <v/>
      </c>
      <c r="AB931" s="10" t="str">
        <f aca="false">IFERROR(IF([2]对账明细接口!$W931=0,"",[2]对账明细接口!$W931),"")</f>
        <v/>
      </c>
      <c r="AC931" s="90" t="str">
        <f aca="false">IFERROR(IF([2]对账明细接口!$X932=0,"",[2]对账明细接口!$X932),"")</f>
        <v/>
      </c>
      <c r="AD931" s="90" t="str">
        <f aca="false">IFERROR(IF([2]对账明细接口!$Y932=0,"",[2]对账明细接口!$Y932),"")</f>
        <v/>
      </c>
      <c r="AE931" s="90" t="str">
        <f aca="false">IFERROR(IF([2]对账明细接口!$AA932=0,"",[2]对账明细接口!$AA932),"")</f>
        <v/>
      </c>
      <c r="AF931" s="90" t="str">
        <f aca="false">IFERROR(IF([2]对账明细接口!$AB932=0,"",[2]对账明细接口!$AB932),"")</f>
        <v/>
      </c>
      <c r="AG931" s="90" t="str">
        <f aca="false">IFERROR(IF([2]对账明细接口!$AC932=0,"",[2]对账明细接口!$AC932),"")</f>
        <v/>
      </c>
      <c r="AH931" s="90" t="str">
        <f aca="false">IFERROR(IF([2]对账明细接口!$AD932=0,"",[2]对账明细接口!$AD932),"")</f>
        <v/>
      </c>
    </row>
    <row r="932" customFormat="false" ht="13.5" hidden="false" customHeight="false" outlineLevel="0" collapsed="false">
      <c r="A932" s="109" t="n">
        <v>932</v>
      </c>
      <c r="B932" s="110" t="str">
        <f aca="false">IFERROR(IF([2]对账明细接口!$B$932=0,"",[2]对账明细接口!$B$932),"")</f>
        <v/>
      </c>
      <c r="C932" s="59" t="str">
        <f aca="false">IFERROR(IF([2]对账明细接口!$C$932=0,"",[2]对账明细接口!$C$932),"")</f>
        <v/>
      </c>
      <c r="D932" s="59" t="str">
        <f aca="false">IFERROR(IF([2]对账明细接口!$D$932=0,"",[2]对账明细接口!$D$932),"")</f>
        <v/>
      </c>
      <c r="E932" s="59" t="str">
        <f aca="false">IFERROR(IF([2]对账明细接口!$E$932=0,"",[2]对账明细接口!$E$932),"")</f>
        <v/>
      </c>
      <c r="F932" s="59" t="str">
        <f aca="false">IFERROR(IF([2]对账明细接口!$F$932=0,"",[2]对账明细接口!$F$932),"")</f>
        <v/>
      </c>
      <c r="G932" s="59" t="str">
        <f aca="false">IFERROR(IF([2]对账明细接口!$G$932=0,"",[2]对账明细接口!$G$932),"")</f>
        <v/>
      </c>
      <c r="H932" s="60" t="str">
        <f aca="false">IFERROR(IF([2]对账明细接口!$H$932=0,"",[2]对账明细接口!$H$932),"")</f>
        <v/>
      </c>
      <c r="I932" s="59" t="str">
        <f aca="false">IFERROR(IF([2]对账明细接口!$I$932=0,"",[2]对账明细接口!$I$932),"")</f>
        <v/>
      </c>
      <c r="J932" s="61" t="str">
        <f aca="false">IFERROR(IF([2]对账明细接口!$J$932=0,"",[2]对账明细接口!$J$932),"")</f>
        <v/>
      </c>
      <c r="K932" s="61" t="str">
        <f aca="false">IFERROR(IF([2]对账明细接口!$K$932=0,"",[2]对账明细接口!$K$932),"")</f>
        <v/>
      </c>
      <c r="L932" s="59" t="str">
        <f aca="false">IFERROR(IF([2]对账明细接口!$L$932=0,"",[2]对账明细接口!$L$932),"")</f>
        <v/>
      </c>
      <c r="M932" s="59" t="str">
        <f aca="false">IFERROR(IF([2]对账明细接口!$M$932=0,"",[2]对账明细接口!$M$932),"")</f>
        <v/>
      </c>
      <c r="N932" s="111" t="n">
        <f aca="false">IF($C932="",0,1)</f>
        <v>0</v>
      </c>
      <c r="O932" s="111" t="n">
        <f aca="false">N(O931)+$N932</f>
        <v>311</v>
      </c>
      <c r="S932" s="10" t="str">
        <f aca="false">IFERROR(IF([2]对账明细接口!$N932=0,"",[2]对账明细接口!$N932),"")</f>
        <v/>
      </c>
      <c r="T932" s="112" t="str">
        <f aca="false">IFERROR(IF([2]对账明细接口!$O932=0,"",[2]对账明细接口!$O932),"")</f>
        <v/>
      </c>
      <c r="U932" s="112" t="str">
        <f aca="false">IFERROR(IF([2]对账明细接口!$P932=0,"",[2]对账明细接口!$P932),"")</f>
        <v/>
      </c>
      <c r="V932" s="112" t="str">
        <f aca="false">IFERROR(IF([2]对账明细接口!$Q932=0,"",[2]对账明细接口!$Q932),"")</f>
        <v/>
      </c>
      <c r="W932" s="10" t="str">
        <f aca="false">IFERROR(IF([2]对账明细接口!$R932=0,"",[2]对账明细接口!$R932),"")</f>
        <v/>
      </c>
      <c r="X932" s="10" t="str">
        <f aca="false">IFERROR(IF([2]对账明细接口!$S932=0,"",[2]对账明细接口!$S932),"")</f>
        <v/>
      </c>
      <c r="Y932" s="10" t="str">
        <f aca="false">IFERROR(IF([2]对账明细接口!$T932=0,"",[2]对账明细接口!$T932),"")</f>
        <v/>
      </c>
      <c r="Z932" s="113" t="str">
        <f aca="false">IFERROR(IF([2]对账明细接口!$U932=0,"",[2]对账明细接口!$U932),"")</f>
        <v/>
      </c>
      <c r="AA932" s="113" t="str">
        <f aca="false">IFERROR(IF([2]对账明细接口!$V932=0,"",[2]对账明细接口!$V932),"")</f>
        <v/>
      </c>
      <c r="AB932" s="10" t="str">
        <f aca="false">IFERROR(IF([2]对账明细接口!$W932=0,"",[2]对账明细接口!$W932),"")</f>
        <v/>
      </c>
      <c r="AC932" s="90" t="str">
        <f aca="false">IFERROR(IF([2]对账明细接口!$X933=0,"",[2]对账明细接口!$X933),"")</f>
        <v/>
      </c>
      <c r="AD932" s="90" t="str">
        <f aca="false">IFERROR(IF([2]对账明细接口!$Y933=0,"",[2]对账明细接口!$Y933),"")</f>
        <v/>
      </c>
      <c r="AE932" s="90" t="str">
        <f aca="false">IFERROR(IF([2]对账明细接口!$AA933=0,"",[2]对账明细接口!$AA933),"")</f>
        <v/>
      </c>
      <c r="AF932" s="90" t="str">
        <f aca="false">IFERROR(IF([2]对账明细接口!$AB933=0,"",[2]对账明细接口!$AB933),"")</f>
        <v/>
      </c>
      <c r="AG932" s="90" t="str">
        <f aca="false">IFERROR(IF([2]对账明细接口!$AC933=0,"",[2]对账明细接口!$AC933),"")</f>
        <v/>
      </c>
      <c r="AH932" s="90" t="str">
        <f aca="false">IFERROR(IF([2]对账明细接口!$AD933=0,"",[2]对账明细接口!$AD933),"")</f>
        <v/>
      </c>
    </row>
    <row r="933" customFormat="false" ht="13.5" hidden="false" customHeight="false" outlineLevel="0" collapsed="false">
      <c r="A933" s="109" t="n">
        <v>933</v>
      </c>
      <c r="B933" s="110" t="str">
        <f aca="false">IFERROR(IF([2]对账明细接口!$B$933=0,"",[2]对账明细接口!$B$933),"")</f>
        <v/>
      </c>
      <c r="C933" s="59" t="str">
        <f aca="false">IFERROR(IF([2]对账明细接口!$C$933=0,"",[2]对账明细接口!$C$933),"")</f>
        <v/>
      </c>
      <c r="D933" s="59" t="str">
        <f aca="false">IFERROR(IF([2]对账明细接口!$D$933=0,"",[2]对账明细接口!$D$933),"")</f>
        <v/>
      </c>
      <c r="E933" s="59" t="str">
        <f aca="false">IFERROR(IF([2]对账明细接口!$E$933=0,"",[2]对账明细接口!$E$933),"")</f>
        <v/>
      </c>
      <c r="F933" s="59" t="str">
        <f aca="false">IFERROR(IF([2]对账明细接口!$F$933=0,"",[2]对账明细接口!$F$933),"")</f>
        <v/>
      </c>
      <c r="G933" s="59" t="str">
        <f aca="false">IFERROR(IF([2]对账明细接口!$G$933=0,"",[2]对账明细接口!$G$933),"")</f>
        <v/>
      </c>
      <c r="H933" s="60" t="str">
        <f aca="false">IFERROR(IF([2]对账明细接口!$H$933=0,"",[2]对账明细接口!$H$933),"")</f>
        <v/>
      </c>
      <c r="I933" s="59" t="str">
        <f aca="false">IFERROR(IF([2]对账明细接口!$I$933=0,"",[2]对账明细接口!$I$933),"")</f>
        <v/>
      </c>
      <c r="J933" s="61" t="str">
        <f aca="false">IFERROR(IF([2]对账明细接口!$J$933=0,"",[2]对账明细接口!$J$933),"")</f>
        <v/>
      </c>
      <c r="K933" s="61" t="str">
        <f aca="false">IFERROR(IF([2]对账明细接口!$K$933=0,"",[2]对账明细接口!$K$933),"")</f>
        <v/>
      </c>
      <c r="L933" s="59" t="str">
        <f aca="false">IFERROR(IF([2]对账明细接口!$L$933=0,"",[2]对账明细接口!$L$933),"")</f>
        <v/>
      </c>
      <c r="M933" s="59" t="str">
        <f aca="false">IFERROR(IF([2]对账明细接口!$M$933=0,"",[2]对账明细接口!$M$933),"")</f>
        <v/>
      </c>
      <c r="N933" s="111" t="n">
        <f aca="false">IF($C933="",0,1)</f>
        <v>0</v>
      </c>
      <c r="O933" s="111" t="n">
        <f aca="false">N(O932)+$N933</f>
        <v>311</v>
      </c>
      <c r="S933" s="10" t="str">
        <f aca="false">IFERROR(IF([2]对账明细接口!$N933=0,"",[2]对账明细接口!$N933),"")</f>
        <v/>
      </c>
      <c r="T933" s="112" t="str">
        <f aca="false">IFERROR(IF([2]对账明细接口!$O933=0,"",[2]对账明细接口!$O933),"")</f>
        <v/>
      </c>
      <c r="U933" s="112" t="str">
        <f aca="false">IFERROR(IF([2]对账明细接口!$P933=0,"",[2]对账明细接口!$P933),"")</f>
        <v/>
      </c>
      <c r="V933" s="112" t="str">
        <f aca="false">IFERROR(IF([2]对账明细接口!$Q933=0,"",[2]对账明细接口!$Q933),"")</f>
        <v/>
      </c>
      <c r="W933" s="10" t="str">
        <f aca="false">IFERROR(IF([2]对账明细接口!$R933=0,"",[2]对账明细接口!$R933),"")</f>
        <v/>
      </c>
      <c r="X933" s="10" t="str">
        <f aca="false">IFERROR(IF([2]对账明细接口!$S933=0,"",[2]对账明细接口!$S933),"")</f>
        <v/>
      </c>
      <c r="Y933" s="10" t="str">
        <f aca="false">IFERROR(IF([2]对账明细接口!$T933=0,"",[2]对账明细接口!$T933),"")</f>
        <v/>
      </c>
      <c r="Z933" s="113" t="str">
        <f aca="false">IFERROR(IF([2]对账明细接口!$U933=0,"",[2]对账明细接口!$U933),"")</f>
        <v/>
      </c>
      <c r="AA933" s="113" t="str">
        <f aca="false">IFERROR(IF([2]对账明细接口!$V933=0,"",[2]对账明细接口!$V933),"")</f>
        <v/>
      </c>
      <c r="AB933" s="10" t="str">
        <f aca="false">IFERROR(IF([2]对账明细接口!$W933=0,"",[2]对账明细接口!$W933),"")</f>
        <v/>
      </c>
      <c r="AC933" s="90" t="str">
        <f aca="false">IFERROR(IF([2]对账明细接口!$X934=0,"",[2]对账明细接口!$X934),"")</f>
        <v/>
      </c>
      <c r="AD933" s="90" t="str">
        <f aca="false">IFERROR(IF([2]对账明细接口!$Y934=0,"",[2]对账明细接口!$Y934),"")</f>
        <v/>
      </c>
      <c r="AE933" s="90" t="str">
        <f aca="false">IFERROR(IF([2]对账明细接口!$AA934=0,"",[2]对账明细接口!$AA934),"")</f>
        <v/>
      </c>
      <c r="AF933" s="90" t="str">
        <f aca="false">IFERROR(IF([2]对账明细接口!$AB934=0,"",[2]对账明细接口!$AB934),"")</f>
        <v/>
      </c>
      <c r="AG933" s="90" t="str">
        <f aca="false">IFERROR(IF([2]对账明细接口!$AC934=0,"",[2]对账明细接口!$AC934),"")</f>
        <v/>
      </c>
      <c r="AH933" s="90" t="str">
        <f aca="false">IFERROR(IF([2]对账明细接口!$AD934=0,"",[2]对账明细接口!$AD934),"")</f>
        <v/>
      </c>
    </row>
    <row r="934" customFormat="false" ht="13.5" hidden="false" customHeight="false" outlineLevel="0" collapsed="false">
      <c r="A934" s="109" t="n">
        <v>934</v>
      </c>
      <c r="B934" s="110" t="str">
        <f aca="false">IFERROR(IF([2]对账明细接口!$B$934=0,"",[2]对账明细接口!$B$934),"")</f>
        <v/>
      </c>
      <c r="C934" s="59" t="str">
        <f aca="false">IFERROR(IF([2]对账明细接口!$C$934=0,"",[2]对账明细接口!$C$934),"")</f>
        <v/>
      </c>
      <c r="D934" s="59" t="str">
        <f aca="false">IFERROR(IF([2]对账明细接口!$D$934=0,"",[2]对账明细接口!$D$934),"")</f>
        <v/>
      </c>
      <c r="E934" s="59" t="str">
        <f aca="false">IFERROR(IF([2]对账明细接口!$E$934=0,"",[2]对账明细接口!$E$934),"")</f>
        <v/>
      </c>
      <c r="F934" s="59" t="str">
        <f aca="false">IFERROR(IF([2]对账明细接口!$F$934=0,"",[2]对账明细接口!$F$934),"")</f>
        <v/>
      </c>
      <c r="G934" s="59" t="str">
        <f aca="false">IFERROR(IF([2]对账明细接口!$G$934=0,"",[2]对账明细接口!$G$934),"")</f>
        <v/>
      </c>
      <c r="H934" s="60" t="str">
        <f aca="false">IFERROR(IF([2]对账明细接口!$H$934=0,"",[2]对账明细接口!$H$934),"")</f>
        <v/>
      </c>
      <c r="I934" s="59" t="str">
        <f aca="false">IFERROR(IF([2]对账明细接口!$I$934=0,"",[2]对账明细接口!$I$934),"")</f>
        <v/>
      </c>
      <c r="J934" s="61" t="str">
        <f aca="false">IFERROR(IF([2]对账明细接口!$J$934=0,"",[2]对账明细接口!$J$934),"")</f>
        <v/>
      </c>
      <c r="K934" s="61" t="str">
        <f aca="false">IFERROR(IF([2]对账明细接口!$K$934=0,"",[2]对账明细接口!$K$934),"")</f>
        <v/>
      </c>
      <c r="L934" s="59" t="str">
        <f aca="false">IFERROR(IF([2]对账明细接口!$L$934=0,"",[2]对账明细接口!$L$934),"")</f>
        <v/>
      </c>
      <c r="M934" s="59" t="str">
        <f aca="false">IFERROR(IF([2]对账明细接口!$M$934=0,"",[2]对账明细接口!$M$934),"")</f>
        <v/>
      </c>
      <c r="N934" s="111" t="n">
        <f aca="false">IF($C934="",0,1)</f>
        <v>0</v>
      </c>
      <c r="O934" s="111" t="n">
        <f aca="false">N(O933)+$N934</f>
        <v>311</v>
      </c>
      <c r="S934" s="10" t="str">
        <f aca="false">IFERROR(IF([2]对账明细接口!$N934=0,"",[2]对账明细接口!$N934),"")</f>
        <v/>
      </c>
      <c r="T934" s="112" t="str">
        <f aca="false">IFERROR(IF([2]对账明细接口!$O934=0,"",[2]对账明细接口!$O934),"")</f>
        <v/>
      </c>
      <c r="U934" s="112" t="str">
        <f aca="false">IFERROR(IF([2]对账明细接口!$P934=0,"",[2]对账明细接口!$P934),"")</f>
        <v/>
      </c>
      <c r="V934" s="112" t="str">
        <f aca="false">IFERROR(IF([2]对账明细接口!$Q934=0,"",[2]对账明细接口!$Q934),"")</f>
        <v/>
      </c>
      <c r="W934" s="10" t="str">
        <f aca="false">IFERROR(IF([2]对账明细接口!$R934=0,"",[2]对账明细接口!$R934),"")</f>
        <v/>
      </c>
      <c r="X934" s="10" t="str">
        <f aca="false">IFERROR(IF([2]对账明细接口!$S934=0,"",[2]对账明细接口!$S934),"")</f>
        <v/>
      </c>
      <c r="Y934" s="10" t="str">
        <f aca="false">IFERROR(IF([2]对账明细接口!$T934=0,"",[2]对账明细接口!$T934),"")</f>
        <v/>
      </c>
      <c r="Z934" s="113" t="str">
        <f aca="false">IFERROR(IF([2]对账明细接口!$U934=0,"",[2]对账明细接口!$U934),"")</f>
        <v/>
      </c>
      <c r="AA934" s="113" t="str">
        <f aca="false">IFERROR(IF([2]对账明细接口!$V934=0,"",[2]对账明细接口!$V934),"")</f>
        <v/>
      </c>
      <c r="AB934" s="10" t="str">
        <f aca="false">IFERROR(IF([2]对账明细接口!$W934=0,"",[2]对账明细接口!$W934),"")</f>
        <v/>
      </c>
      <c r="AC934" s="90" t="str">
        <f aca="false">IFERROR(IF([2]对账明细接口!$X935=0,"",[2]对账明细接口!$X935),"")</f>
        <v/>
      </c>
      <c r="AD934" s="90" t="str">
        <f aca="false">IFERROR(IF([2]对账明细接口!$Y935=0,"",[2]对账明细接口!$Y935),"")</f>
        <v/>
      </c>
      <c r="AE934" s="90" t="str">
        <f aca="false">IFERROR(IF([2]对账明细接口!$AA935=0,"",[2]对账明细接口!$AA935),"")</f>
        <v/>
      </c>
      <c r="AF934" s="90" t="str">
        <f aca="false">IFERROR(IF([2]对账明细接口!$AB935=0,"",[2]对账明细接口!$AB935),"")</f>
        <v/>
      </c>
      <c r="AG934" s="90" t="str">
        <f aca="false">IFERROR(IF([2]对账明细接口!$AC935=0,"",[2]对账明细接口!$AC935),"")</f>
        <v/>
      </c>
      <c r="AH934" s="90" t="str">
        <f aca="false">IFERROR(IF([2]对账明细接口!$AD935=0,"",[2]对账明细接口!$AD935),"")</f>
        <v/>
      </c>
    </row>
    <row r="935" customFormat="false" ht="13.5" hidden="false" customHeight="false" outlineLevel="0" collapsed="false">
      <c r="A935" s="109" t="n">
        <v>935</v>
      </c>
      <c r="B935" s="110" t="str">
        <f aca="false">IFERROR(IF([2]对账明细接口!$B$935=0,"",[2]对账明细接口!$B$935),"")</f>
        <v/>
      </c>
      <c r="C935" s="59" t="str">
        <f aca="false">IFERROR(IF([2]对账明细接口!$C$935=0,"",[2]对账明细接口!$C$935),"")</f>
        <v/>
      </c>
      <c r="D935" s="59" t="str">
        <f aca="false">IFERROR(IF([2]对账明细接口!$D$935=0,"",[2]对账明细接口!$D$935),"")</f>
        <v/>
      </c>
      <c r="E935" s="59" t="str">
        <f aca="false">IFERROR(IF([2]对账明细接口!$E$935=0,"",[2]对账明细接口!$E$935),"")</f>
        <v/>
      </c>
      <c r="F935" s="59" t="str">
        <f aca="false">IFERROR(IF([2]对账明细接口!$F$935=0,"",[2]对账明细接口!$F$935),"")</f>
        <v/>
      </c>
      <c r="G935" s="59" t="str">
        <f aca="false">IFERROR(IF([2]对账明细接口!$G$935=0,"",[2]对账明细接口!$G$935),"")</f>
        <v/>
      </c>
      <c r="H935" s="60" t="str">
        <f aca="false">IFERROR(IF([2]对账明细接口!$H$935=0,"",[2]对账明细接口!$H$935),"")</f>
        <v/>
      </c>
      <c r="I935" s="59" t="str">
        <f aca="false">IFERROR(IF([2]对账明细接口!$I$935=0,"",[2]对账明细接口!$I$935),"")</f>
        <v/>
      </c>
      <c r="J935" s="61" t="str">
        <f aca="false">IFERROR(IF([2]对账明细接口!$J$935=0,"",[2]对账明细接口!$J$935),"")</f>
        <v/>
      </c>
      <c r="K935" s="61" t="str">
        <f aca="false">IFERROR(IF([2]对账明细接口!$K$935=0,"",[2]对账明细接口!$K$935),"")</f>
        <v/>
      </c>
      <c r="L935" s="59" t="str">
        <f aca="false">IFERROR(IF([2]对账明细接口!$L$935=0,"",[2]对账明细接口!$L$935),"")</f>
        <v/>
      </c>
      <c r="M935" s="59" t="str">
        <f aca="false">IFERROR(IF([2]对账明细接口!$M$935=0,"",[2]对账明细接口!$M$935),"")</f>
        <v/>
      </c>
      <c r="N935" s="111" t="n">
        <f aca="false">IF($C935="",0,1)</f>
        <v>0</v>
      </c>
      <c r="O935" s="111" t="n">
        <f aca="false">N(O934)+$N935</f>
        <v>311</v>
      </c>
      <c r="S935" s="10" t="str">
        <f aca="false">IFERROR(IF([2]对账明细接口!$N935=0,"",[2]对账明细接口!$N935),"")</f>
        <v/>
      </c>
      <c r="T935" s="112" t="str">
        <f aca="false">IFERROR(IF([2]对账明细接口!$O935=0,"",[2]对账明细接口!$O935),"")</f>
        <v/>
      </c>
      <c r="U935" s="112" t="str">
        <f aca="false">IFERROR(IF([2]对账明细接口!$P935=0,"",[2]对账明细接口!$P935),"")</f>
        <v/>
      </c>
      <c r="V935" s="112" t="str">
        <f aca="false">IFERROR(IF([2]对账明细接口!$Q935=0,"",[2]对账明细接口!$Q935),"")</f>
        <v/>
      </c>
      <c r="W935" s="10" t="str">
        <f aca="false">IFERROR(IF([2]对账明细接口!$R935=0,"",[2]对账明细接口!$R935),"")</f>
        <v/>
      </c>
      <c r="X935" s="10" t="str">
        <f aca="false">IFERROR(IF([2]对账明细接口!$S935=0,"",[2]对账明细接口!$S935),"")</f>
        <v/>
      </c>
      <c r="Y935" s="10" t="str">
        <f aca="false">IFERROR(IF([2]对账明细接口!$T935=0,"",[2]对账明细接口!$T935),"")</f>
        <v/>
      </c>
      <c r="Z935" s="113" t="str">
        <f aca="false">IFERROR(IF([2]对账明细接口!$U935=0,"",[2]对账明细接口!$U935),"")</f>
        <v/>
      </c>
      <c r="AA935" s="113" t="str">
        <f aca="false">IFERROR(IF([2]对账明细接口!$V935=0,"",[2]对账明细接口!$V935),"")</f>
        <v/>
      </c>
      <c r="AB935" s="10" t="str">
        <f aca="false">IFERROR(IF([2]对账明细接口!$W935=0,"",[2]对账明细接口!$W935),"")</f>
        <v/>
      </c>
      <c r="AC935" s="90" t="str">
        <f aca="false">IFERROR(IF([2]对账明细接口!$X936=0,"",[2]对账明细接口!$X936),"")</f>
        <v/>
      </c>
      <c r="AD935" s="90" t="str">
        <f aca="false">IFERROR(IF([2]对账明细接口!$Y936=0,"",[2]对账明细接口!$Y936),"")</f>
        <v/>
      </c>
      <c r="AE935" s="90" t="str">
        <f aca="false">IFERROR(IF([2]对账明细接口!$AA936=0,"",[2]对账明细接口!$AA936),"")</f>
        <v/>
      </c>
      <c r="AF935" s="90" t="str">
        <f aca="false">IFERROR(IF([2]对账明细接口!$AB936=0,"",[2]对账明细接口!$AB936),"")</f>
        <v/>
      </c>
      <c r="AG935" s="90" t="str">
        <f aca="false">IFERROR(IF([2]对账明细接口!$AC936=0,"",[2]对账明细接口!$AC936),"")</f>
        <v/>
      </c>
      <c r="AH935" s="90" t="str">
        <f aca="false">IFERROR(IF([2]对账明细接口!$AD936=0,"",[2]对账明细接口!$AD936),"")</f>
        <v/>
      </c>
    </row>
    <row r="936" customFormat="false" ht="13.5" hidden="false" customHeight="false" outlineLevel="0" collapsed="false">
      <c r="A936" s="109" t="n">
        <v>936</v>
      </c>
      <c r="B936" s="110" t="str">
        <f aca="false">IFERROR(IF([2]对账明细接口!$B$936=0,"",[2]对账明细接口!$B$936),"")</f>
        <v/>
      </c>
      <c r="C936" s="59" t="str">
        <f aca="false">IFERROR(IF([2]对账明细接口!$C$936=0,"",[2]对账明细接口!$C$936),"")</f>
        <v/>
      </c>
      <c r="D936" s="59" t="str">
        <f aca="false">IFERROR(IF([2]对账明细接口!$D$936=0,"",[2]对账明细接口!$D$936),"")</f>
        <v/>
      </c>
      <c r="E936" s="59" t="str">
        <f aca="false">IFERROR(IF([2]对账明细接口!$E$936=0,"",[2]对账明细接口!$E$936),"")</f>
        <v/>
      </c>
      <c r="F936" s="59" t="str">
        <f aca="false">IFERROR(IF([2]对账明细接口!$F$936=0,"",[2]对账明细接口!$F$936),"")</f>
        <v/>
      </c>
      <c r="G936" s="59" t="str">
        <f aca="false">IFERROR(IF([2]对账明细接口!$G$936=0,"",[2]对账明细接口!$G$936),"")</f>
        <v/>
      </c>
      <c r="H936" s="60" t="str">
        <f aca="false">IFERROR(IF([2]对账明细接口!$H$936=0,"",[2]对账明细接口!$H$936),"")</f>
        <v/>
      </c>
      <c r="I936" s="59" t="str">
        <f aca="false">IFERROR(IF([2]对账明细接口!$I$936=0,"",[2]对账明细接口!$I$936),"")</f>
        <v/>
      </c>
      <c r="J936" s="61" t="str">
        <f aca="false">IFERROR(IF([2]对账明细接口!$J$936=0,"",[2]对账明细接口!$J$936),"")</f>
        <v/>
      </c>
      <c r="K936" s="61" t="str">
        <f aca="false">IFERROR(IF([2]对账明细接口!$K$936=0,"",[2]对账明细接口!$K$936),"")</f>
        <v/>
      </c>
      <c r="L936" s="59" t="str">
        <f aca="false">IFERROR(IF([2]对账明细接口!$L$936=0,"",[2]对账明细接口!$L$936),"")</f>
        <v/>
      </c>
      <c r="M936" s="59" t="str">
        <f aca="false">IFERROR(IF([2]对账明细接口!$M$936=0,"",[2]对账明细接口!$M$936),"")</f>
        <v/>
      </c>
      <c r="N936" s="111" t="n">
        <f aca="false">IF($C936="",0,1)</f>
        <v>0</v>
      </c>
      <c r="O936" s="111" t="n">
        <f aca="false">N(O935)+$N936</f>
        <v>311</v>
      </c>
      <c r="S936" s="10" t="str">
        <f aca="false">IFERROR(IF([2]对账明细接口!$N936=0,"",[2]对账明细接口!$N936),"")</f>
        <v/>
      </c>
      <c r="T936" s="112" t="str">
        <f aca="false">IFERROR(IF([2]对账明细接口!$O936=0,"",[2]对账明细接口!$O936),"")</f>
        <v/>
      </c>
      <c r="U936" s="112" t="str">
        <f aca="false">IFERROR(IF([2]对账明细接口!$P936=0,"",[2]对账明细接口!$P936),"")</f>
        <v/>
      </c>
      <c r="V936" s="112" t="str">
        <f aca="false">IFERROR(IF([2]对账明细接口!$Q936=0,"",[2]对账明细接口!$Q936),"")</f>
        <v/>
      </c>
      <c r="W936" s="10" t="str">
        <f aca="false">IFERROR(IF([2]对账明细接口!$R936=0,"",[2]对账明细接口!$R936),"")</f>
        <v/>
      </c>
      <c r="X936" s="10" t="str">
        <f aca="false">IFERROR(IF([2]对账明细接口!$S936=0,"",[2]对账明细接口!$S936),"")</f>
        <v/>
      </c>
      <c r="Y936" s="10" t="str">
        <f aca="false">IFERROR(IF([2]对账明细接口!$T936=0,"",[2]对账明细接口!$T936),"")</f>
        <v/>
      </c>
      <c r="Z936" s="113" t="str">
        <f aca="false">IFERROR(IF([2]对账明细接口!$U936=0,"",[2]对账明细接口!$U936),"")</f>
        <v/>
      </c>
      <c r="AA936" s="113" t="str">
        <f aca="false">IFERROR(IF([2]对账明细接口!$V936=0,"",[2]对账明细接口!$V936),"")</f>
        <v/>
      </c>
      <c r="AB936" s="10" t="str">
        <f aca="false">IFERROR(IF([2]对账明细接口!$W936=0,"",[2]对账明细接口!$W936),"")</f>
        <v/>
      </c>
      <c r="AC936" s="90" t="str">
        <f aca="false">IFERROR(IF([2]对账明细接口!$X937=0,"",[2]对账明细接口!$X937),"")</f>
        <v/>
      </c>
      <c r="AD936" s="90" t="str">
        <f aca="false">IFERROR(IF([2]对账明细接口!$Y937=0,"",[2]对账明细接口!$Y937),"")</f>
        <v/>
      </c>
      <c r="AE936" s="90" t="str">
        <f aca="false">IFERROR(IF([2]对账明细接口!$AA937=0,"",[2]对账明细接口!$AA937),"")</f>
        <v/>
      </c>
      <c r="AF936" s="90" t="str">
        <f aca="false">IFERROR(IF([2]对账明细接口!$AB937=0,"",[2]对账明细接口!$AB937),"")</f>
        <v/>
      </c>
      <c r="AG936" s="90" t="str">
        <f aca="false">IFERROR(IF([2]对账明细接口!$AC937=0,"",[2]对账明细接口!$AC937),"")</f>
        <v/>
      </c>
      <c r="AH936" s="90" t="str">
        <f aca="false">IFERROR(IF([2]对账明细接口!$AD937=0,"",[2]对账明细接口!$AD937),"")</f>
        <v/>
      </c>
    </row>
    <row r="937" customFormat="false" ht="13.5" hidden="false" customHeight="false" outlineLevel="0" collapsed="false">
      <c r="A937" s="109" t="n">
        <v>937</v>
      </c>
      <c r="B937" s="110" t="str">
        <f aca="false">IFERROR(IF([2]对账明细接口!$B$937=0,"",[2]对账明细接口!$B$937),"")</f>
        <v/>
      </c>
      <c r="C937" s="59" t="str">
        <f aca="false">IFERROR(IF([2]对账明细接口!$C$937=0,"",[2]对账明细接口!$C$937),"")</f>
        <v/>
      </c>
      <c r="D937" s="59" t="str">
        <f aca="false">IFERROR(IF([2]对账明细接口!$D$937=0,"",[2]对账明细接口!$D$937),"")</f>
        <v/>
      </c>
      <c r="E937" s="59" t="str">
        <f aca="false">IFERROR(IF([2]对账明细接口!$E$937=0,"",[2]对账明细接口!$E$937),"")</f>
        <v/>
      </c>
      <c r="F937" s="59" t="str">
        <f aca="false">IFERROR(IF([2]对账明细接口!$F$937=0,"",[2]对账明细接口!$F$937),"")</f>
        <v/>
      </c>
      <c r="G937" s="59" t="str">
        <f aca="false">IFERROR(IF([2]对账明细接口!$G$937=0,"",[2]对账明细接口!$G$937),"")</f>
        <v/>
      </c>
      <c r="H937" s="60" t="str">
        <f aca="false">IFERROR(IF([2]对账明细接口!$H$937=0,"",[2]对账明细接口!$H$937),"")</f>
        <v/>
      </c>
      <c r="I937" s="59" t="str">
        <f aca="false">IFERROR(IF([2]对账明细接口!$I$937=0,"",[2]对账明细接口!$I$937),"")</f>
        <v/>
      </c>
      <c r="J937" s="61" t="str">
        <f aca="false">IFERROR(IF([2]对账明细接口!$J$937=0,"",[2]对账明细接口!$J$937),"")</f>
        <v/>
      </c>
      <c r="K937" s="61" t="str">
        <f aca="false">IFERROR(IF([2]对账明细接口!$K$937=0,"",[2]对账明细接口!$K$937),"")</f>
        <v/>
      </c>
      <c r="L937" s="59" t="str">
        <f aca="false">IFERROR(IF([2]对账明细接口!$L$937=0,"",[2]对账明细接口!$L$937),"")</f>
        <v/>
      </c>
      <c r="M937" s="59" t="str">
        <f aca="false">IFERROR(IF([2]对账明细接口!$M$937=0,"",[2]对账明细接口!$M$937),"")</f>
        <v/>
      </c>
      <c r="N937" s="111" t="n">
        <f aca="false">IF($C937="",0,1)</f>
        <v>0</v>
      </c>
      <c r="O937" s="111" t="n">
        <f aca="false">N(O936)+$N937</f>
        <v>311</v>
      </c>
      <c r="S937" s="10" t="str">
        <f aca="false">IFERROR(IF([2]对账明细接口!$N937=0,"",[2]对账明细接口!$N937),"")</f>
        <v/>
      </c>
      <c r="T937" s="112" t="str">
        <f aca="false">IFERROR(IF([2]对账明细接口!$O937=0,"",[2]对账明细接口!$O937),"")</f>
        <v/>
      </c>
      <c r="U937" s="112" t="str">
        <f aca="false">IFERROR(IF([2]对账明细接口!$P937=0,"",[2]对账明细接口!$P937),"")</f>
        <v/>
      </c>
      <c r="V937" s="112" t="str">
        <f aca="false">IFERROR(IF([2]对账明细接口!$Q937=0,"",[2]对账明细接口!$Q937),"")</f>
        <v/>
      </c>
      <c r="W937" s="10" t="str">
        <f aca="false">IFERROR(IF([2]对账明细接口!$R937=0,"",[2]对账明细接口!$R937),"")</f>
        <v/>
      </c>
      <c r="X937" s="10" t="str">
        <f aca="false">IFERROR(IF([2]对账明细接口!$S937=0,"",[2]对账明细接口!$S937),"")</f>
        <v/>
      </c>
      <c r="Y937" s="10" t="str">
        <f aca="false">IFERROR(IF([2]对账明细接口!$T937=0,"",[2]对账明细接口!$T937),"")</f>
        <v/>
      </c>
      <c r="Z937" s="113" t="str">
        <f aca="false">IFERROR(IF([2]对账明细接口!$U937=0,"",[2]对账明细接口!$U937),"")</f>
        <v/>
      </c>
      <c r="AA937" s="113" t="str">
        <f aca="false">IFERROR(IF([2]对账明细接口!$V937=0,"",[2]对账明细接口!$V937),"")</f>
        <v/>
      </c>
      <c r="AB937" s="10" t="str">
        <f aca="false">IFERROR(IF([2]对账明细接口!$W937=0,"",[2]对账明细接口!$W937),"")</f>
        <v/>
      </c>
      <c r="AC937" s="90" t="str">
        <f aca="false">IFERROR(IF([2]对账明细接口!$X938=0,"",[2]对账明细接口!$X938),"")</f>
        <v/>
      </c>
      <c r="AD937" s="90" t="str">
        <f aca="false">IFERROR(IF([2]对账明细接口!$Y938=0,"",[2]对账明细接口!$Y938),"")</f>
        <v/>
      </c>
      <c r="AE937" s="90" t="str">
        <f aca="false">IFERROR(IF([2]对账明细接口!$AA938=0,"",[2]对账明细接口!$AA938),"")</f>
        <v/>
      </c>
      <c r="AF937" s="90" t="str">
        <f aca="false">IFERROR(IF([2]对账明细接口!$AB938=0,"",[2]对账明细接口!$AB938),"")</f>
        <v/>
      </c>
      <c r="AG937" s="90" t="str">
        <f aca="false">IFERROR(IF([2]对账明细接口!$AC938=0,"",[2]对账明细接口!$AC938),"")</f>
        <v/>
      </c>
      <c r="AH937" s="90" t="str">
        <f aca="false">IFERROR(IF([2]对账明细接口!$AD938=0,"",[2]对账明细接口!$AD938),"")</f>
        <v/>
      </c>
    </row>
    <row r="938" customFormat="false" ht="13.5" hidden="false" customHeight="false" outlineLevel="0" collapsed="false">
      <c r="A938" s="109" t="n">
        <v>938</v>
      </c>
      <c r="B938" s="110" t="str">
        <f aca="false">IFERROR(IF([2]对账明细接口!$B$938=0,"",[2]对账明细接口!$B$938),"")</f>
        <v/>
      </c>
      <c r="C938" s="59" t="str">
        <f aca="false">IFERROR(IF([2]对账明细接口!$C$938=0,"",[2]对账明细接口!$C$938),"")</f>
        <v/>
      </c>
      <c r="D938" s="59" t="str">
        <f aca="false">IFERROR(IF([2]对账明细接口!$D$938=0,"",[2]对账明细接口!$D$938),"")</f>
        <v/>
      </c>
      <c r="E938" s="59" t="str">
        <f aca="false">IFERROR(IF([2]对账明细接口!$E$938=0,"",[2]对账明细接口!$E$938),"")</f>
        <v/>
      </c>
      <c r="F938" s="59" t="str">
        <f aca="false">IFERROR(IF([2]对账明细接口!$F$938=0,"",[2]对账明细接口!$F$938),"")</f>
        <v/>
      </c>
      <c r="G938" s="59" t="str">
        <f aca="false">IFERROR(IF([2]对账明细接口!$G$938=0,"",[2]对账明细接口!$G$938),"")</f>
        <v/>
      </c>
      <c r="H938" s="60" t="str">
        <f aca="false">IFERROR(IF([2]对账明细接口!$H$938=0,"",[2]对账明细接口!$H$938),"")</f>
        <v/>
      </c>
      <c r="I938" s="59" t="str">
        <f aca="false">IFERROR(IF([2]对账明细接口!$I$938=0,"",[2]对账明细接口!$I$938),"")</f>
        <v/>
      </c>
      <c r="J938" s="61" t="str">
        <f aca="false">IFERROR(IF([2]对账明细接口!$J$938=0,"",[2]对账明细接口!$J$938),"")</f>
        <v/>
      </c>
      <c r="K938" s="61" t="str">
        <f aca="false">IFERROR(IF([2]对账明细接口!$K$938=0,"",[2]对账明细接口!$K$938),"")</f>
        <v/>
      </c>
      <c r="L938" s="59" t="str">
        <f aca="false">IFERROR(IF([2]对账明细接口!$L$938=0,"",[2]对账明细接口!$L$938),"")</f>
        <v/>
      </c>
      <c r="M938" s="59" t="str">
        <f aca="false">IFERROR(IF([2]对账明细接口!$M$938=0,"",[2]对账明细接口!$M$938),"")</f>
        <v/>
      </c>
      <c r="N938" s="111" t="n">
        <f aca="false">IF($C938="",0,1)</f>
        <v>0</v>
      </c>
      <c r="O938" s="111" t="n">
        <f aca="false">N(O937)+$N938</f>
        <v>311</v>
      </c>
      <c r="S938" s="10" t="str">
        <f aca="false">IFERROR(IF([2]对账明细接口!$N938=0,"",[2]对账明细接口!$N938),"")</f>
        <v/>
      </c>
      <c r="T938" s="112" t="str">
        <f aca="false">IFERROR(IF([2]对账明细接口!$O938=0,"",[2]对账明细接口!$O938),"")</f>
        <v/>
      </c>
      <c r="U938" s="112" t="str">
        <f aca="false">IFERROR(IF([2]对账明细接口!$P938=0,"",[2]对账明细接口!$P938),"")</f>
        <v/>
      </c>
      <c r="V938" s="112" t="str">
        <f aca="false">IFERROR(IF([2]对账明细接口!$Q938=0,"",[2]对账明细接口!$Q938),"")</f>
        <v/>
      </c>
      <c r="W938" s="10" t="str">
        <f aca="false">IFERROR(IF([2]对账明细接口!$R938=0,"",[2]对账明细接口!$R938),"")</f>
        <v/>
      </c>
      <c r="X938" s="10" t="str">
        <f aca="false">IFERROR(IF([2]对账明细接口!$S938=0,"",[2]对账明细接口!$S938),"")</f>
        <v/>
      </c>
      <c r="Y938" s="10" t="str">
        <f aca="false">IFERROR(IF([2]对账明细接口!$T938=0,"",[2]对账明细接口!$T938),"")</f>
        <v/>
      </c>
      <c r="Z938" s="113" t="str">
        <f aca="false">IFERROR(IF([2]对账明细接口!$U938=0,"",[2]对账明细接口!$U938),"")</f>
        <v/>
      </c>
      <c r="AA938" s="113" t="str">
        <f aca="false">IFERROR(IF([2]对账明细接口!$V938=0,"",[2]对账明细接口!$V938),"")</f>
        <v/>
      </c>
      <c r="AB938" s="10" t="str">
        <f aca="false">IFERROR(IF([2]对账明细接口!$W938=0,"",[2]对账明细接口!$W938),"")</f>
        <v/>
      </c>
      <c r="AC938" s="90" t="str">
        <f aca="false">IFERROR(IF([2]对账明细接口!$X939=0,"",[2]对账明细接口!$X939),"")</f>
        <v/>
      </c>
      <c r="AD938" s="90" t="str">
        <f aca="false">IFERROR(IF([2]对账明细接口!$Y939=0,"",[2]对账明细接口!$Y939),"")</f>
        <v/>
      </c>
      <c r="AE938" s="90" t="str">
        <f aca="false">IFERROR(IF([2]对账明细接口!$AA939=0,"",[2]对账明细接口!$AA939),"")</f>
        <v/>
      </c>
      <c r="AF938" s="90" t="str">
        <f aca="false">IFERROR(IF([2]对账明细接口!$AB939=0,"",[2]对账明细接口!$AB939),"")</f>
        <v/>
      </c>
      <c r="AG938" s="90" t="str">
        <f aca="false">IFERROR(IF([2]对账明细接口!$AC939=0,"",[2]对账明细接口!$AC939),"")</f>
        <v/>
      </c>
      <c r="AH938" s="90" t="str">
        <f aca="false">IFERROR(IF([2]对账明细接口!$AD939=0,"",[2]对账明细接口!$AD939),"")</f>
        <v/>
      </c>
    </row>
    <row r="939" customFormat="false" ht="13.5" hidden="false" customHeight="false" outlineLevel="0" collapsed="false">
      <c r="A939" s="109" t="n">
        <v>939</v>
      </c>
      <c r="B939" s="110" t="str">
        <f aca="false">IFERROR(IF([2]对账明细接口!$B$939=0,"",[2]对账明细接口!$B$939),"")</f>
        <v/>
      </c>
      <c r="C939" s="59" t="str">
        <f aca="false">IFERROR(IF([2]对账明细接口!$C$939=0,"",[2]对账明细接口!$C$939),"")</f>
        <v/>
      </c>
      <c r="D939" s="59" t="str">
        <f aca="false">IFERROR(IF([2]对账明细接口!$D$939=0,"",[2]对账明细接口!$D$939),"")</f>
        <v/>
      </c>
      <c r="E939" s="59" t="str">
        <f aca="false">IFERROR(IF([2]对账明细接口!$E$939=0,"",[2]对账明细接口!$E$939),"")</f>
        <v/>
      </c>
      <c r="F939" s="59" t="str">
        <f aca="false">IFERROR(IF([2]对账明细接口!$F$939=0,"",[2]对账明细接口!$F$939),"")</f>
        <v/>
      </c>
      <c r="G939" s="59" t="str">
        <f aca="false">IFERROR(IF([2]对账明细接口!$G$939=0,"",[2]对账明细接口!$G$939),"")</f>
        <v/>
      </c>
      <c r="H939" s="60" t="str">
        <f aca="false">IFERROR(IF([2]对账明细接口!$H$939=0,"",[2]对账明细接口!$H$939),"")</f>
        <v/>
      </c>
      <c r="I939" s="59" t="str">
        <f aca="false">IFERROR(IF([2]对账明细接口!$I$939=0,"",[2]对账明细接口!$I$939),"")</f>
        <v/>
      </c>
      <c r="J939" s="61" t="str">
        <f aca="false">IFERROR(IF([2]对账明细接口!$J$939=0,"",[2]对账明细接口!$J$939),"")</f>
        <v/>
      </c>
      <c r="K939" s="61" t="str">
        <f aca="false">IFERROR(IF([2]对账明细接口!$K$939=0,"",[2]对账明细接口!$K$939),"")</f>
        <v/>
      </c>
      <c r="L939" s="59" t="str">
        <f aca="false">IFERROR(IF([2]对账明细接口!$L$939=0,"",[2]对账明细接口!$L$939),"")</f>
        <v/>
      </c>
      <c r="M939" s="59" t="str">
        <f aca="false">IFERROR(IF([2]对账明细接口!$M$939=0,"",[2]对账明细接口!$M$939),"")</f>
        <v/>
      </c>
      <c r="N939" s="111" t="n">
        <f aca="false">IF($C939="",0,1)</f>
        <v>0</v>
      </c>
      <c r="O939" s="111" t="n">
        <f aca="false">N(O938)+$N939</f>
        <v>311</v>
      </c>
      <c r="S939" s="10" t="str">
        <f aca="false">IFERROR(IF([2]对账明细接口!$N939=0,"",[2]对账明细接口!$N939),"")</f>
        <v/>
      </c>
      <c r="T939" s="112" t="str">
        <f aca="false">IFERROR(IF([2]对账明细接口!$O939=0,"",[2]对账明细接口!$O939),"")</f>
        <v/>
      </c>
      <c r="U939" s="112" t="str">
        <f aca="false">IFERROR(IF([2]对账明细接口!$P939=0,"",[2]对账明细接口!$P939),"")</f>
        <v/>
      </c>
      <c r="V939" s="112" t="str">
        <f aca="false">IFERROR(IF([2]对账明细接口!$Q939=0,"",[2]对账明细接口!$Q939),"")</f>
        <v/>
      </c>
      <c r="W939" s="10" t="str">
        <f aca="false">IFERROR(IF([2]对账明细接口!$R939=0,"",[2]对账明细接口!$R939),"")</f>
        <v/>
      </c>
      <c r="X939" s="10" t="str">
        <f aca="false">IFERROR(IF([2]对账明细接口!$S939=0,"",[2]对账明细接口!$S939),"")</f>
        <v/>
      </c>
      <c r="Y939" s="10" t="str">
        <f aca="false">IFERROR(IF([2]对账明细接口!$T939=0,"",[2]对账明细接口!$T939),"")</f>
        <v/>
      </c>
      <c r="Z939" s="113" t="str">
        <f aca="false">IFERROR(IF([2]对账明细接口!$U939=0,"",[2]对账明细接口!$U939),"")</f>
        <v/>
      </c>
      <c r="AA939" s="113" t="str">
        <f aca="false">IFERROR(IF([2]对账明细接口!$V939=0,"",[2]对账明细接口!$V939),"")</f>
        <v/>
      </c>
      <c r="AB939" s="10" t="str">
        <f aca="false">IFERROR(IF([2]对账明细接口!$W939=0,"",[2]对账明细接口!$W939),"")</f>
        <v/>
      </c>
      <c r="AC939" s="90" t="str">
        <f aca="false">IFERROR(IF([2]对账明细接口!$X940=0,"",[2]对账明细接口!$X940),"")</f>
        <v/>
      </c>
      <c r="AD939" s="90" t="str">
        <f aca="false">IFERROR(IF([2]对账明细接口!$Y940=0,"",[2]对账明细接口!$Y940),"")</f>
        <v/>
      </c>
      <c r="AE939" s="90" t="str">
        <f aca="false">IFERROR(IF([2]对账明细接口!$AA940=0,"",[2]对账明细接口!$AA940),"")</f>
        <v/>
      </c>
      <c r="AF939" s="90" t="str">
        <f aca="false">IFERROR(IF([2]对账明细接口!$AB940=0,"",[2]对账明细接口!$AB940),"")</f>
        <v/>
      </c>
      <c r="AG939" s="90" t="str">
        <f aca="false">IFERROR(IF([2]对账明细接口!$AC940=0,"",[2]对账明细接口!$AC940),"")</f>
        <v/>
      </c>
      <c r="AH939" s="90" t="str">
        <f aca="false">IFERROR(IF([2]对账明细接口!$AD940=0,"",[2]对账明细接口!$AD940),"")</f>
        <v/>
      </c>
    </row>
    <row r="940" customFormat="false" ht="13.5" hidden="false" customHeight="false" outlineLevel="0" collapsed="false">
      <c r="A940" s="109" t="n">
        <v>940</v>
      </c>
      <c r="B940" s="110" t="str">
        <f aca="false">IFERROR(IF([2]对账明细接口!$B$940=0,"",[2]对账明细接口!$B$940),"")</f>
        <v/>
      </c>
      <c r="C940" s="59" t="str">
        <f aca="false">IFERROR(IF([2]对账明细接口!$C$940=0,"",[2]对账明细接口!$C$940),"")</f>
        <v/>
      </c>
      <c r="D940" s="59" t="str">
        <f aca="false">IFERROR(IF([2]对账明细接口!$D$940=0,"",[2]对账明细接口!$D$940),"")</f>
        <v/>
      </c>
      <c r="E940" s="59" t="str">
        <f aca="false">IFERROR(IF([2]对账明细接口!$E$940=0,"",[2]对账明细接口!$E$940),"")</f>
        <v/>
      </c>
      <c r="F940" s="59" t="str">
        <f aca="false">IFERROR(IF([2]对账明细接口!$F$940=0,"",[2]对账明细接口!$F$940),"")</f>
        <v/>
      </c>
      <c r="G940" s="59" t="str">
        <f aca="false">IFERROR(IF([2]对账明细接口!$G$940=0,"",[2]对账明细接口!$G$940),"")</f>
        <v/>
      </c>
      <c r="H940" s="60" t="str">
        <f aca="false">IFERROR(IF([2]对账明细接口!$H$940=0,"",[2]对账明细接口!$H$940),"")</f>
        <v/>
      </c>
      <c r="I940" s="59" t="str">
        <f aca="false">IFERROR(IF([2]对账明细接口!$I$940=0,"",[2]对账明细接口!$I$940),"")</f>
        <v/>
      </c>
      <c r="J940" s="61" t="str">
        <f aca="false">IFERROR(IF([2]对账明细接口!$J$940=0,"",[2]对账明细接口!$J$940),"")</f>
        <v/>
      </c>
      <c r="K940" s="61" t="str">
        <f aca="false">IFERROR(IF([2]对账明细接口!$K$940=0,"",[2]对账明细接口!$K$940),"")</f>
        <v/>
      </c>
      <c r="L940" s="59" t="str">
        <f aca="false">IFERROR(IF([2]对账明细接口!$L$940=0,"",[2]对账明细接口!$L$940),"")</f>
        <v/>
      </c>
      <c r="M940" s="59" t="str">
        <f aca="false">IFERROR(IF([2]对账明细接口!$M$940=0,"",[2]对账明细接口!$M$940),"")</f>
        <v/>
      </c>
      <c r="N940" s="111" t="n">
        <f aca="false">IF($C940="",0,1)</f>
        <v>0</v>
      </c>
      <c r="O940" s="111" t="n">
        <f aca="false">N(O939)+$N940</f>
        <v>311</v>
      </c>
      <c r="S940" s="10" t="str">
        <f aca="false">IFERROR(IF([2]对账明细接口!$N940=0,"",[2]对账明细接口!$N940),"")</f>
        <v/>
      </c>
      <c r="T940" s="112" t="str">
        <f aca="false">IFERROR(IF([2]对账明细接口!$O940=0,"",[2]对账明细接口!$O940),"")</f>
        <v/>
      </c>
      <c r="U940" s="112" t="str">
        <f aca="false">IFERROR(IF([2]对账明细接口!$P940=0,"",[2]对账明细接口!$P940),"")</f>
        <v/>
      </c>
      <c r="V940" s="112" t="str">
        <f aca="false">IFERROR(IF([2]对账明细接口!$Q940=0,"",[2]对账明细接口!$Q940),"")</f>
        <v/>
      </c>
      <c r="W940" s="10" t="str">
        <f aca="false">IFERROR(IF([2]对账明细接口!$R940=0,"",[2]对账明细接口!$R940),"")</f>
        <v/>
      </c>
      <c r="X940" s="10" t="str">
        <f aca="false">IFERROR(IF([2]对账明细接口!$S940=0,"",[2]对账明细接口!$S940),"")</f>
        <v/>
      </c>
      <c r="Y940" s="10" t="str">
        <f aca="false">IFERROR(IF([2]对账明细接口!$T940=0,"",[2]对账明细接口!$T940),"")</f>
        <v/>
      </c>
      <c r="Z940" s="113" t="str">
        <f aca="false">IFERROR(IF([2]对账明细接口!$U940=0,"",[2]对账明细接口!$U940),"")</f>
        <v/>
      </c>
      <c r="AA940" s="113" t="str">
        <f aca="false">IFERROR(IF([2]对账明细接口!$V940=0,"",[2]对账明细接口!$V940),"")</f>
        <v/>
      </c>
      <c r="AB940" s="10" t="str">
        <f aca="false">IFERROR(IF([2]对账明细接口!$W940=0,"",[2]对账明细接口!$W940),"")</f>
        <v/>
      </c>
      <c r="AC940" s="90" t="str">
        <f aca="false">IFERROR(IF([2]对账明细接口!$X941=0,"",[2]对账明细接口!$X941),"")</f>
        <v/>
      </c>
      <c r="AD940" s="90" t="str">
        <f aca="false">IFERROR(IF([2]对账明细接口!$Y941=0,"",[2]对账明细接口!$Y941),"")</f>
        <v/>
      </c>
      <c r="AE940" s="90" t="str">
        <f aca="false">IFERROR(IF([2]对账明细接口!$AA941=0,"",[2]对账明细接口!$AA941),"")</f>
        <v/>
      </c>
      <c r="AF940" s="90" t="str">
        <f aca="false">IFERROR(IF([2]对账明细接口!$AB941=0,"",[2]对账明细接口!$AB941),"")</f>
        <v/>
      </c>
      <c r="AG940" s="90" t="str">
        <f aca="false">IFERROR(IF([2]对账明细接口!$AC941=0,"",[2]对账明细接口!$AC941),"")</f>
        <v/>
      </c>
      <c r="AH940" s="90" t="str">
        <f aca="false">IFERROR(IF([2]对账明细接口!$AD941=0,"",[2]对账明细接口!$AD941),"")</f>
        <v/>
      </c>
    </row>
    <row r="941" customFormat="false" ht="13.5" hidden="false" customHeight="false" outlineLevel="0" collapsed="false">
      <c r="A941" s="109" t="n">
        <v>941</v>
      </c>
      <c r="B941" s="110" t="str">
        <f aca="false">IFERROR(IF([2]对账明细接口!$B$941=0,"",[2]对账明细接口!$B$941),"")</f>
        <v/>
      </c>
      <c r="C941" s="59" t="str">
        <f aca="false">IFERROR(IF([2]对账明细接口!$C$941=0,"",[2]对账明细接口!$C$941),"")</f>
        <v/>
      </c>
      <c r="D941" s="59" t="str">
        <f aca="false">IFERROR(IF([2]对账明细接口!$D$941=0,"",[2]对账明细接口!$D$941),"")</f>
        <v/>
      </c>
      <c r="E941" s="59" t="str">
        <f aca="false">IFERROR(IF([2]对账明细接口!$E$941=0,"",[2]对账明细接口!$E$941),"")</f>
        <v/>
      </c>
      <c r="F941" s="59" t="str">
        <f aca="false">IFERROR(IF([2]对账明细接口!$F$941=0,"",[2]对账明细接口!$F$941),"")</f>
        <v/>
      </c>
      <c r="G941" s="59" t="str">
        <f aca="false">IFERROR(IF([2]对账明细接口!$G$941=0,"",[2]对账明细接口!$G$941),"")</f>
        <v/>
      </c>
      <c r="H941" s="60" t="str">
        <f aca="false">IFERROR(IF([2]对账明细接口!$H$941=0,"",[2]对账明细接口!$H$941),"")</f>
        <v/>
      </c>
      <c r="I941" s="59" t="str">
        <f aca="false">IFERROR(IF([2]对账明细接口!$I$941=0,"",[2]对账明细接口!$I$941),"")</f>
        <v/>
      </c>
      <c r="J941" s="61" t="str">
        <f aca="false">IFERROR(IF([2]对账明细接口!$J$941=0,"",[2]对账明细接口!$J$941),"")</f>
        <v/>
      </c>
      <c r="K941" s="61" t="str">
        <f aca="false">IFERROR(IF([2]对账明细接口!$K$941=0,"",[2]对账明细接口!$K$941),"")</f>
        <v/>
      </c>
      <c r="L941" s="59" t="str">
        <f aca="false">IFERROR(IF([2]对账明细接口!$L$941=0,"",[2]对账明细接口!$L$941),"")</f>
        <v/>
      </c>
      <c r="M941" s="59" t="str">
        <f aca="false">IFERROR(IF([2]对账明细接口!$M$941=0,"",[2]对账明细接口!$M$941),"")</f>
        <v/>
      </c>
      <c r="N941" s="111" t="n">
        <f aca="false">IF($C941="",0,1)</f>
        <v>0</v>
      </c>
      <c r="O941" s="111" t="n">
        <f aca="false">N(O940)+$N941</f>
        <v>311</v>
      </c>
      <c r="S941" s="10" t="str">
        <f aca="false">IFERROR(IF([2]对账明细接口!$N941=0,"",[2]对账明细接口!$N941),"")</f>
        <v/>
      </c>
      <c r="T941" s="112" t="str">
        <f aca="false">IFERROR(IF([2]对账明细接口!$O941=0,"",[2]对账明细接口!$O941),"")</f>
        <v/>
      </c>
      <c r="U941" s="112" t="str">
        <f aca="false">IFERROR(IF([2]对账明细接口!$P941=0,"",[2]对账明细接口!$P941),"")</f>
        <v/>
      </c>
      <c r="V941" s="112" t="str">
        <f aca="false">IFERROR(IF([2]对账明细接口!$Q941=0,"",[2]对账明细接口!$Q941),"")</f>
        <v/>
      </c>
      <c r="W941" s="10" t="str">
        <f aca="false">IFERROR(IF([2]对账明细接口!$R941=0,"",[2]对账明细接口!$R941),"")</f>
        <v/>
      </c>
      <c r="X941" s="10" t="str">
        <f aca="false">IFERROR(IF([2]对账明细接口!$S941=0,"",[2]对账明细接口!$S941),"")</f>
        <v/>
      </c>
      <c r="Y941" s="10" t="str">
        <f aca="false">IFERROR(IF([2]对账明细接口!$T941=0,"",[2]对账明细接口!$T941),"")</f>
        <v/>
      </c>
      <c r="Z941" s="113" t="str">
        <f aca="false">IFERROR(IF([2]对账明细接口!$U941=0,"",[2]对账明细接口!$U941),"")</f>
        <v/>
      </c>
      <c r="AA941" s="113" t="str">
        <f aca="false">IFERROR(IF([2]对账明细接口!$V941=0,"",[2]对账明细接口!$V941),"")</f>
        <v/>
      </c>
      <c r="AB941" s="10" t="str">
        <f aca="false">IFERROR(IF([2]对账明细接口!$W941=0,"",[2]对账明细接口!$W941),"")</f>
        <v/>
      </c>
      <c r="AC941" s="90" t="str">
        <f aca="false">IFERROR(IF([2]对账明细接口!$X942=0,"",[2]对账明细接口!$X942),"")</f>
        <v/>
      </c>
      <c r="AD941" s="90" t="str">
        <f aca="false">IFERROR(IF([2]对账明细接口!$Y942=0,"",[2]对账明细接口!$Y942),"")</f>
        <v/>
      </c>
      <c r="AE941" s="90" t="str">
        <f aca="false">IFERROR(IF([2]对账明细接口!$AA942=0,"",[2]对账明细接口!$AA942),"")</f>
        <v/>
      </c>
      <c r="AF941" s="90" t="str">
        <f aca="false">IFERROR(IF([2]对账明细接口!$AB942=0,"",[2]对账明细接口!$AB942),"")</f>
        <v/>
      </c>
      <c r="AG941" s="90" t="str">
        <f aca="false">IFERROR(IF([2]对账明细接口!$AC942=0,"",[2]对账明细接口!$AC942),"")</f>
        <v/>
      </c>
      <c r="AH941" s="90" t="str">
        <f aca="false">IFERROR(IF([2]对账明细接口!$AD942=0,"",[2]对账明细接口!$AD942),"")</f>
        <v/>
      </c>
    </row>
    <row r="942" customFormat="false" ht="13.5" hidden="false" customHeight="false" outlineLevel="0" collapsed="false">
      <c r="A942" s="109" t="n">
        <v>942</v>
      </c>
      <c r="B942" s="110" t="str">
        <f aca="false">IFERROR(IF([2]对账明细接口!$B$942=0,"",[2]对账明细接口!$B$942),"")</f>
        <v/>
      </c>
      <c r="C942" s="59" t="str">
        <f aca="false">IFERROR(IF([2]对账明细接口!$C$942=0,"",[2]对账明细接口!$C$942),"")</f>
        <v/>
      </c>
      <c r="D942" s="59" t="str">
        <f aca="false">IFERROR(IF([2]对账明细接口!$D$942=0,"",[2]对账明细接口!$D$942),"")</f>
        <v/>
      </c>
      <c r="E942" s="59" t="str">
        <f aca="false">IFERROR(IF([2]对账明细接口!$E$942=0,"",[2]对账明细接口!$E$942),"")</f>
        <v/>
      </c>
      <c r="F942" s="59" t="str">
        <f aca="false">IFERROR(IF([2]对账明细接口!$F$942=0,"",[2]对账明细接口!$F$942),"")</f>
        <v/>
      </c>
      <c r="G942" s="59" t="str">
        <f aca="false">IFERROR(IF([2]对账明细接口!$G$942=0,"",[2]对账明细接口!$G$942),"")</f>
        <v/>
      </c>
      <c r="H942" s="60" t="str">
        <f aca="false">IFERROR(IF([2]对账明细接口!$H$942=0,"",[2]对账明细接口!$H$942),"")</f>
        <v/>
      </c>
      <c r="I942" s="59" t="str">
        <f aca="false">IFERROR(IF([2]对账明细接口!$I$942=0,"",[2]对账明细接口!$I$942),"")</f>
        <v/>
      </c>
      <c r="J942" s="61" t="str">
        <f aca="false">IFERROR(IF([2]对账明细接口!$J$942=0,"",[2]对账明细接口!$J$942),"")</f>
        <v/>
      </c>
      <c r="K942" s="61" t="str">
        <f aca="false">IFERROR(IF([2]对账明细接口!$K$942=0,"",[2]对账明细接口!$K$942),"")</f>
        <v/>
      </c>
      <c r="L942" s="59" t="str">
        <f aca="false">IFERROR(IF([2]对账明细接口!$L$942=0,"",[2]对账明细接口!$L$942),"")</f>
        <v/>
      </c>
      <c r="M942" s="59" t="str">
        <f aca="false">IFERROR(IF([2]对账明细接口!$M$942=0,"",[2]对账明细接口!$M$942),"")</f>
        <v/>
      </c>
      <c r="N942" s="111" t="n">
        <f aca="false">IF($C942="",0,1)</f>
        <v>0</v>
      </c>
      <c r="O942" s="111" t="n">
        <f aca="false">N(O941)+$N942</f>
        <v>311</v>
      </c>
      <c r="S942" s="10" t="str">
        <f aca="false">IFERROR(IF([2]对账明细接口!$N942=0,"",[2]对账明细接口!$N942),"")</f>
        <v/>
      </c>
      <c r="T942" s="112" t="str">
        <f aca="false">IFERROR(IF([2]对账明细接口!$O942=0,"",[2]对账明细接口!$O942),"")</f>
        <v/>
      </c>
      <c r="U942" s="112" t="str">
        <f aca="false">IFERROR(IF([2]对账明细接口!$P942=0,"",[2]对账明细接口!$P942),"")</f>
        <v/>
      </c>
      <c r="V942" s="112" t="str">
        <f aca="false">IFERROR(IF([2]对账明细接口!$Q942=0,"",[2]对账明细接口!$Q942),"")</f>
        <v/>
      </c>
      <c r="W942" s="10" t="str">
        <f aca="false">IFERROR(IF([2]对账明细接口!$R942=0,"",[2]对账明细接口!$R942),"")</f>
        <v/>
      </c>
      <c r="X942" s="10" t="str">
        <f aca="false">IFERROR(IF([2]对账明细接口!$S942=0,"",[2]对账明细接口!$S942),"")</f>
        <v/>
      </c>
      <c r="Y942" s="10" t="str">
        <f aca="false">IFERROR(IF([2]对账明细接口!$T942=0,"",[2]对账明细接口!$T942),"")</f>
        <v/>
      </c>
      <c r="Z942" s="113" t="str">
        <f aca="false">IFERROR(IF([2]对账明细接口!$U942=0,"",[2]对账明细接口!$U942),"")</f>
        <v/>
      </c>
      <c r="AA942" s="113" t="str">
        <f aca="false">IFERROR(IF([2]对账明细接口!$V942=0,"",[2]对账明细接口!$V942),"")</f>
        <v/>
      </c>
      <c r="AB942" s="10" t="str">
        <f aca="false">IFERROR(IF([2]对账明细接口!$W942=0,"",[2]对账明细接口!$W942),"")</f>
        <v/>
      </c>
      <c r="AC942" s="90" t="str">
        <f aca="false">IFERROR(IF([2]对账明细接口!$X943=0,"",[2]对账明细接口!$X943),"")</f>
        <v/>
      </c>
      <c r="AD942" s="90" t="str">
        <f aca="false">IFERROR(IF([2]对账明细接口!$Y943=0,"",[2]对账明细接口!$Y943),"")</f>
        <v/>
      </c>
      <c r="AE942" s="90" t="str">
        <f aca="false">IFERROR(IF([2]对账明细接口!$AA943=0,"",[2]对账明细接口!$AA943),"")</f>
        <v/>
      </c>
      <c r="AF942" s="90" t="str">
        <f aca="false">IFERROR(IF([2]对账明细接口!$AB943=0,"",[2]对账明细接口!$AB943),"")</f>
        <v/>
      </c>
      <c r="AG942" s="90" t="str">
        <f aca="false">IFERROR(IF([2]对账明细接口!$AC943=0,"",[2]对账明细接口!$AC943),"")</f>
        <v/>
      </c>
      <c r="AH942" s="90" t="str">
        <f aca="false">IFERROR(IF([2]对账明细接口!$AD943=0,"",[2]对账明细接口!$AD943),"")</f>
        <v/>
      </c>
    </row>
    <row r="943" customFormat="false" ht="13.5" hidden="false" customHeight="false" outlineLevel="0" collapsed="false">
      <c r="A943" s="109" t="n">
        <v>943</v>
      </c>
      <c r="B943" s="110" t="str">
        <f aca="false">IFERROR(IF([2]对账明细接口!$B$943=0,"",[2]对账明细接口!$B$943),"")</f>
        <v/>
      </c>
      <c r="C943" s="59" t="str">
        <f aca="false">IFERROR(IF([2]对账明细接口!$C$943=0,"",[2]对账明细接口!$C$943),"")</f>
        <v/>
      </c>
      <c r="D943" s="59" t="str">
        <f aca="false">IFERROR(IF([2]对账明细接口!$D$943=0,"",[2]对账明细接口!$D$943),"")</f>
        <v/>
      </c>
      <c r="E943" s="59" t="str">
        <f aca="false">IFERROR(IF([2]对账明细接口!$E$943=0,"",[2]对账明细接口!$E$943),"")</f>
        <v/>
      </c>
      <c r="F943" s="59" t="str">
        <f aca="false">IFERROR(IF([2]对账明细接口!$F$943=0,"",[2]对账明细接口!$F$943),"")</f>
        <v/>
      </c>
      <c r="G943" s="59" t="str">
        <f aca="false">IFERROR(IF([2]对账明细接口!$G$943=0,"",[2]对账明细接口!$G$943),"")</f>
        <v/>
      </c>
      <c r="H943" s="60" t="str">
        <f aca="false">IFERROR(IF([2]对账明细接口!$H$943=0,"",[2]对账明细接口!$H$943),"")</f>
        <v/>
      </c>
      <c r="I943" s="59" t="str">
        <f aca="false">IFERROR(IF([2]对账明细接口!$I$943=0,"",[2]对账明细接口!$I$943),"")</f>
        <v/>
      </c>
      <c r="J943" s="61" t="str">
        <f aca="false">IFERROR(IF([2]对账明细接口!$J$943=0,"",[2]对账明细接口!$J$943),"")</f>
        <v/>
      </c>
      <c r="K943" s="61" t="str">
        <f aca="false">IFERROR(IF([2]对账明细接口!$K$943=0,"",[2]对账明细接口!$K$943),"")</f>
        <v/>
      </c>
      <c r="L943" s="59" t="str">
        <f aca="false">IFERROR(IF([2]对账明细接口!$L$943=0,"",[2]对账明细接口!$L$943),"")</f>
        <v/>
      </c>
      <c r="M943" s="59" t="str">
        <f aca="false">IFERROR(IF([2]对账明细接口!$M$943=0,"",[2]对账明细接口!$M$943),"")</f>
        <v/>
      </c>
      <c r="N943" s="111" t="n">
        <f aca="false">IF($C943="",0,1)</f>
        <v>0</v>
      </c>
      <c r="O943" s="111" t="n">
        <f aca="false">N(O942)+$N943</f>
        <v>311</v>
      </c>
      <c r="S943" s="10" t="str">
        <f aca="false">IFERROR(IF([2]对账明细接口!$N943=0,"",[2]对账明细接口!$N943),"")</f>
        <v/>
      </c>
      <c r="T943" s="112" t="str">
        <f aca="false">IFERROR(IF([2]对账明细接口!$O943=0,"",[2]对账明细接口!$O943),"")</f>
        <v/>
      </c>
      <c r="U943" s="112" t="str">
        <f aca="false">IFERROR(IF([2]对账明细接口!$P943=0,"",[2]对账明细接口!$P943),"")</f>
        <v/>
      </c>
      <c r="V943" s="112" t="str">
        <f aca="false">IFERROR(IF([2]对账明细接口!$Q943=0,"",[2]对账明细接口!$Q943),"")</f>
        <v/>
      </c>
      <c r="W943" s="10" t="str">
        <f aca="false">IFERROR(IF([2]对账明细接口!$R943=0,"",[2]对账明细接口!$R943),"")</f>
        <v/>
      </c>
      <c r="X943" s="10" t="str">
        <f aca="false">IFERROR(IF([2]对账明细接口!$S943=0,"",[2]对账明细接口!$S943),"")</f>
        <v/>
      </c>
      <c r="Y943" s="10" t="str">
        <f aca="false">IFERROR(IF([2]对账明细接口!$T943=0,"",[2]对账明细接口!$T943),"")</f>
        <v/>
      </c>
      <c r="Z943" s="113" t="str">
        <f aca="false">IFERROR(IF([2]对账明细接口!$U943=0,"",[2]对账明细接口!$U943),"")</f>
        <v/>
      </c>
      <c r="AA943" s="113" t="str">
        <f aca="false">IFERROR(IF([2]对账明细接口!$V943=0,"",[2]对账明细接口!$V943),"")</f>
        <v/>
      </c>
      <c r="AB943" s="10" t="str">
        <f aca="false">IFERROR(IF([2]对账明细接口!$W943=0,"",[2]对账明细接口!$W943),"")</f>
        <v/>
      </c>
      <c r="AC943" s="90" t="str">
        <f aca="false">IFERROR(IF([2]对账明细接口!$X944=0,"",[2]对账明细接口!$X944),"")</f>
        <v/>
      </c>
      <c r="AD943" s="90" t="str">
        <f aca="false">IFERROR(IF([2]对账明细接口!$Y944=0,"",[2]对账明细接口!$Y944),"")</f>
        <v/>
      </c>
      <c r="AE943" s="90" t="str">
        <f aca="false">IFERROR(IF([2]对账明细接口!$AA944=0,"",[2]对账明细接口!$AA944),"")</f>
        <v/>
      </c>
      <c r="AF943" s="90" t="str">
        <f aca="false">IFERROR(IF([2]对账明细接口!$AB944=0,"",[2]对账明细接口!$AB944),"")</f>
        <v/>
      </c>
      <c r="AG943" s="90" t="str">
        <f aca="false">IFERROR(IF([2]对账明细接口!$AC944=0,"",[2]对账明细接口!$AC944),"")</f>
        <v/>
      </c>
      <c r="AH943" s="90" t="str">
        <f aca="false">IFERROR(IF([2]对账明细接口!$AD944=0,"",[2]对账明细接口!$AD944),"")</f>
        <v/>
      </c>
    </row>
    <row r="944" customFormat="false" ht="13.5" hidden="false" customHeight="false" outlineLevel="0" collapsed="false">
      <c r="A944" s="109" t="n">
        <v>944</v>
      </c>
      <c r="B944" s="110" t="str">
        <f aca="false">IFERROR(IF([2]对账明细接口!$B$944=0,"",[2]对账明细接口!$B$944),"")</f>
        <v/>
      </c>
      <c r="C944" s="59" t="str">
        <f aca="false">IFERROR(IF([2]对账明细接口!$C$944=0,"",[2]对账明细接口!$C$944),"")</f>
        <v/>
      </c>
      <c r="D944" s="59" t="str">
        <f aca="false">IFERROR(IF([2]对账明细接口!$D$944=0,"",[2]对账明细接口!$D$944),"")</f>
        <v/>
      </c>
      <c r="E944" s="59" t="str">
        <f aca="false">IFERROR(IF([2]对账明细接口!$E$944=0,"",[2]对账明细接口!$E$944),"")</f>
        <v/>
      </c>
      <c r="F944" s="59" t="str">
        <f aca="false">IFERROR(IF([2]对账明细接口!$F$944=0,"",[2]对账明细接口!$F$944),"")</f>
        <v/>
      </c>
      <c r="G944" s="59" t="str">
        <f aca="false">IFERROR(IF([2]对账明细接口!$G$944=0,"",[2]对账明细接口!$G$944),"")</f>
        <v/>
      </c>
      <c r="H944" s="60" t="str">
        <f aca="false">IFERROR(IF([2]对账明细接口!$H$944=0,"",[2]对账明细接口!$H$944),"")</f>
        <v/>
      </c>
      <c r="I944" s="59" t="str">
        <f aca="false">IFERROR(IF([2]对账明细接口!$I$944=0,"",[2]对账明细接口!$I$944),"")</f>
        <v/>
      </c>
      <c r="J944" s="61" t="str">
        <f aca="false">IFERROR(IF([2]对账明细接口!$J$944=0,"",[2]对账明细接口!$J$944),"")</f>
        <v/>
      </c>
      <c r="K944" s="61" t="str">
        <f aca="false">IFERROR(IF([2]对账明细接口!$K$944=0,"",[2]对账明细接口!$K$944),"")</f>
        <v/>
      </c>
      <c r="L944" s="59" t="str">
        <f aca="false">IFERROR(IF([2]对账明细接口!$L$944=0,"",[2]对账明细接口!$L$944),"")</f>
        <v/>
      </c>
      <c r="M944" s="59" t="str">
        <f aca="false">IFERROR(IF([2]对账明细接口!$M$944=0,"",[2]对账明细接口!$M$944),"")</f>
        <v/>
      </c>
      <c r="N944" s="111" t="n">
        <f aca="false">IF($C944="",0,1)</f>
        <v>0</v>
      </c>
      <c r="O944" s="111" t="n">
        <f aca="false">N(O943)+$N944</f>
        <v>311</v>
      </c>
      <c r="S944" s="10" t="str">
        <f aca="false">IFERROR(IF([2]对账明细接口!$N944=0,"",[2]对账明细接口!$N944),"")</f>
        <v/>
      </c>
      <c r="T944" s="112" t="str">
        <f aca="false">IFERROR(IF([2]对账明细接口!$O944=0,"",[2]对账明细接口!$O944),"")</f>
        <v/>
      </c>
      <c r="U944" s="112" t="str">
        <f aca="false">IFERROR(IF([2]对账明细接口!$P944=0,"",[2]对账明细接口!$P944),"")</f>
        <v/>
      </c>
      <c r="V944" s="112" t="str">
        <f aca="false">IFERROR(IF([2]对账明细接口!$Q944=0,"",[2]对账明细接口!$Q944),"")</f>
        <v/>
      </c>
      <c r="W944" s="10" t="str">
        <f aca="false">IFERROR(IF([2]对账明细接口!$R944=0,"",[2]对账明细接口!$R944),"")</f>
        <v/>
      </c>
      <c r="X944" s="10" t="str">
        <f aca="false">IFERROR(IF([2]对账明细接口!$S944=0,"",[2]对账明细接口!$S944),"")</f>
        <v/>
      </c>
      <c r="Y944" s="10" t="str">
        <f aca="false">IFERROR(IF([2]对账明细接口!$T944=0,"",[2]对账明细接口!$T944),"")</f>
        <v/>
      </c>
      <c r="Z944" s="113" t="str">
        <f aca="false">IFERROR(IF([2]对账明细接口!$U944=0,"",[2]对账明细接口!$U944),"")</f>
        <v/>
      </c>
      <c r="AA944" s="113" t="str">
        <f aca="false">IFERROR(IF([2]对账明细接口!$V944=0,"",[2]对账明细接口!$V944),"")</f>
        <v/>
      </c>
      <c r="AB944" s="10" t="str">
        <f aca="false">IFERROR(IF([2]对账明细接口!$W944=0,"",[2]对账明细接口!$W944),"")</f>
        <v/>
      </c>
      <c r="AC944" s="90" t="str">
        <f aca="false">IFERROR(IF([2]对账明细接口!$X945=0,"",[2]对账明细接口!$X945),"")</f>
        <v/>
      </c>
      <c r="AD944" s="90" t="str">
        <f aca="false">IFERROR(IF([2]对账明细接口!$Y945=0,"",[2]对账明细接口!$Y945),"")</f>
        <v/>
      </c>
      <c r="AE944" s="90" t="str">
        <f aca="false">IFERROR(IF([2]对账明细接口!$AA945=0,"",[2]对账明细接口!$AA945),"")</f>
        <v/>
      </c>
      <c r="AF944" s="90" t="str">
        <f aca="false">IFERROR(IF([2]对账明细接口!$AB945=0,"",[2]对账明细接口!$AB945),"")</f>
        <v/>
      </c>
      <c r="AG944" s="90" t="str">
        <f aca="false">IFERROR(IF([2]对账明细接口!$AC945=0,"",[2]对账明细接口!$AC945),"")</f>
        <v/>
      </c>
      <c r="AH944" s="90" t="str">
        <f aca="false">IFERROR(IF([2]对账明细接口!$AD945=0,"",[2]对账明细接口!$AD945),"")</f>
        <v/>
      </c>
    </row>
    <row r="945" customFormat="false" ht="13.5" hidden="false" customHeight="false" outlineLevel="0" collapsed="false">
      <c r="A945" s="109" t="n">
        <v>945</v>
      </c>
      <c r="B945" s="110" t="str">
        <f aca="false">IFERROR(IF([2]对账明细接口!$B$945=0,"",[2]对账明细接口!$B$945),"")</f>
        <v/>
      </c>
      <c r="C945" s="59" t="str">
        <f aca="false">IFERROR(IF([2]对账明细接口!$C$945=0,"",[2]对账明细接口!$C$945),"")</f>
        <v/>
      </c>
      <c r="D945" s="59" t="str">
        <f aca="false">IFERROR(IF([2]对账明细接口!$D$945=0,"",[2]对账明细接口!$D$945),"")</f>
        <v/>
      </c>
      <c r="E945" s="59" t="str">
        <f aca="false">IFERROR(IF([2]对账明细接口!$E$945=0,"",[2]对账明细接口!$E$945),"")</f>
        <v/>
      </c>
      <c r="F945" s="59" t="str">
        <f aca="false">IFERROR(IF([2]对账明细接口!$F$945=0,"",[2]对账明细接口!$F$945),"")</f>
        <v/>
      </c>
      <c r="G945" s="59" t="str">
        <f aca="false">IFERROR(IF([2]对账明细接口!$G$945=0,"",[2]对账明细接口!$G$945),"")</f>
        <v/>
      </c>
      <c r="H945" s="60" t="str">
        <f aca="false">IFERROR(IF([2]对账明细接口!$H$945=0,"",[2]对账明细接口!$H$945),"")</f>
        <v/>
      </c>
      <c r="I945" s="59" t="str">
        <f aca="false">IFERROR(IF([2]对账明细接口!$I$945=0,"",[2]对账明细接口!$I$945),"")</f>
        <v/>
      </c>
      <c r="J945" s="61" t="str">
        <f aca="false">IFERROR(IF([2]对账明细接口!$J$945=0,"",[2]对账明细接口!$J$945),"")</f>
        <v/>
      </c>
      <c r="K945" s="61" t="str">
        <f aca="false">IFERROR(IF([2]对账明细接口!$K$945=0,"",[2]对账明细接口!$K$945),"")</f>
        <v/>
      </c>
      <c r="L945" s="59" t="str">
        <f aca="false">IFERROR(IF([2]对账明细接口!$L$945=0,"",[2]对账明细接口!$L$945),"")</f>
        <v/>
      </c>
      <c r="M945" s="59" t="str">
        <f aca="false">IFERROR(IF([2]对账明细接口!$M$945=0,"",[2]对账明细接口!$M$945),"")</f>
        <v/>
      </c>
      <c r="N945" s="111" t="n">
        <f aca="false">IF($C945="",0,1)</f>
        <v>0</v>
      </c>
      <c r="O945" s="111" t="n">
        <f aca="false">N(O944)+$N945</f>
        <v>311</v>
      </c>
      <c r="S945" s="10" t="str">
        <f aca="false">IFERROR(IF([2]对账明细接口!$N945=0,"",[2]对账明细接口!$N945),"")</f>
        <v/>
      </c>
      <c r="T945" s="112" t="str">
        <f aca="false">IFERROR(IF([2]对账明细接口!$O945=0,"",[2]对账明细接口!$O945),"")</f>
        <v/>
      </c>
      <c r="U945" s="112" t="str">
        <f aca="false">IFERROR(IF([2]对账明细接口!$P945=0,"",[2]对账明细接口!$P945),"")</f>
        <v/>
      </c>
      <c r="V945" s="112" t="str">
        <f aca="false">IFERROR(IF([2]对账明细接口!$Q945=0,"",[2]对账明细接口!$Q945),"")</f>
        <v/>
      </c>
      <c r="W945" s="10" t="str">
        <f aca="false">IFERROR(IF([2]对账明细接口!$R945=0,"",[2]对账明细接口!$R945),"")</f>
        <v/>
      </c>
      <c r="X945" s="10" t="str">
        <f aca="false">IFERROR(IF([2]对账明细接口!$S945=0,"",[2]对账明细接口!$S945),"")</f>
        <v/>
      </c>
      <c r="Y945" s="10" t="str">
        <f aca="false">IFERROR(IF([2]对账明细接口!$T945=0,"",[2]对账明细接口!$T945),"")</f>
        <v/>
      </c>
      <c r="Z945" s="113" t="str">
        <f aca="false">IFERROR(IF([2]对账明细接口!$U945=0,"",[2]对账明细接口!$U945),"")</f>
        <v/>
      </c>
      <c r="AA945" s="113" t="str">
        <f aca="false">IFERROR(IF([2]对账明细接口!$V945=0,"",[2]对账明细接口!$V945),"")</f>
        <v/>
      </c>
      <c r="AB945" s="10" t="str">
        <f aca="false">IFERROR(IF([2]对账明细接口!$W945=0,"",[2]对账明细接口!$W945),"")</f>
        <v/>
      </c>
      <c r="AC945" s="90" t="str">
        <f aca="false">IFERROR(IF([2]对账明细接口!$X946=0,"",[2]对账明细接口!$X946),"")</f>
        <v/>
      </c>
      <c r="AD945" s="90" t="str">
        <f aca="false">IFERROR(IF([2]对账明细接口!$Y946=0,"",[2]对账明细接口!$Y946),"")</f>
        <v/>
      </c>
      <c r="AE945" s="90" t="str">
        <f aca="false">IFERROR(IF([2]对账明细接口!$AA946=0,"",[2]对账明细接口!$AA946),"")</f>
        <v/>
      </c>
      <c r="AF945" s="90" t="str">
        <f aca="false">IFERROR(IF([2]对账明细接口!$AB946=0,"",[2]对账明细接口!$AB946),"")</f>
        <v/>
      </c>
      <c r="AG945" s="90" t="str">
        <f aca="false">IFERROR(IF([2]对账明细接口!$AC946=0,"",[2]对账明细接口!$AC946),"")</f>
        <v/>
      </c>
      <c r="AH945" s="90" t="str">
        <f aca="false">IFERROR(IF([2]对账明细接口!$AD946=0,"",[2]对账明细接口!$AD946),"")</f>
        <v/>
      </c>
    </row>
    <row r="946" customFormat="false" ht="13.5" hidden="false" customHeight="false" outlineLevel="0" collapsed="false">
      <c r="A946" s="109" t="n">
        <v>946</v>
      </c>
      <c r="B946" s="110" t="str">
        <f aca="false">IFERROR(IF([2]对账明细接口!$B$946=0,"",[2]对账明细接口!$B$946),"")</f>
        <v/>
      </c>
      <c r="C946" s="59" t="str">
        <f aca="false">IFERROR(IF([2]对账明细接口!$C$946=0,"",[2]对账明细接口!$C$946),"")</f>
        <v/>
      </c>
      <c r="D946" s="59" t="str">
        <f aca="false">IFERROR(IF([2]对账明细接口!$D$946=0,"",[2]对账明细接口!$D$946),"")</f>
        <v/>
      </c>
      <c r="E946" s="59" t="str">
        <f aca="false">IFERROR(IF([2]对账明细接口!$E$946=0,"",[2]对账明细接口!$E$946),"")</f>
        <v/>
      </c>
      <c r="F946" s="59" t="str">
        <f aca="false">IFERROR(IF([2]对账明细接口!$F$946=0,"",[2]对账明细接口!$F$946),"")</f>
        <v/>
      </c>
      <c r="G946" s="59" t="str">
        <f aca="false">IFERROR(IF([2]对账明细接口!$G$946=0,"",[2]对账明细接口!$G$946),"")</f>
        <v/>
      </c>
      <c r="H946" s="60" t="str">
        <f aca="false">IFERROR(IF([2]对账明细接口!$H$946=0,"",[2]对账明细接口!$H$946),"")</f>
        <v/>
      </c>
      <c r="I946" s="59" t="str">
        <f aca="false">IFERROR(IF([2]对账明细接口!$I$946=0,"",[2]对账明细接口!$I$946),"")</f>
        <v/>
      </c>
      <c r="J946" s="61" t="str">
        <f aca="false">IFERROR(IF([2]对账明细接口!$J$946=0,"",[2]对账明细接口!$J$946),"")</f>
        <v/>
      </c>
      <c r="K946" s="61" t="str">
        <f aca="false">IFERROR(IF([2]对账明细接口!$K$946=0,"",[2]对账明细接口!$K$946),"")</f>
        <v/>
      </c>
      <c r="L946" s="59" t="str">
        <f aca="false">IFERROR(IF([2]对账明细接口!$L$946=0,"",[2]对账明细接口!$L$946),"")</f>
        <v/>
      </c>
      <c r="M946" s="59" t="str">
        <f aca="false">IFERROR(IF([2]对账明细接口!$M$946=0,"",[2]对账明细接口!$M$946),"")</f>
        <v/>
      </c>
      <c r="N946" s="111" t="n">
        <f aca="false">IF($C946="",0,1)</f>
        <v>0</v>
      </c>
      <c r="O946" s="111" t="n">
        <f aca="false">N(O945)+$N946</f>
        <v>311</v>
      </c>
      <c r="S946" s="10" t="str">
        <f aca="false">IFERROR(IF([2]对账明细接口!$N946=0,"",[2]对账明细接口!$N946),"")</f>
        <v/>
      </c>
      <c r="T946" s="112" t="str">
        <f aca="false">IFERROR(IF([2]对账明细接口!$O946=0,"",[2]对账明细接口!$O946),"")</f>
        <v/>
      </c>
      <c r="U946" s="112" t="str">
        <f aca="false">IFERROR(IF([2]对账明细接口!$P946=0,"",[2]对账明细接口!$P946),"")</f>
        <v/>
      </c>
      <c r="V946" s="112" t="str">
        <f aca="false">IFERROR(IF([2]对账明细接口!$Q946=0,"",[2]对账明细接口!$Q946),"")</f>
        <v/>
      </c>
      <c r="W946" s="10" t="str">
        <f aca="false">IFERROR(IF([2]对账明细接口!$R946=0,"",[2]对账明细接口!$R946),"")</f>
        <v/>
      </c>
      <c r="X946" s="10" t="str">
        <f aca="false">IFERROR(IF([2]对账明细接口!$S946=0,"",[2]对账明细接口!$S946),"")</f>
        <v/>
      </c>
      <c r="Y946" s="10" t="str">
        <f aca="false">IFERROR(IF([2]对账明细接口!$T946=0,"",[2]对账明细接口!$T946),"")</f>
        <v/>
      </c>
      <c r="Z946" s="113" t="str">
        <f aca="false">IFERROR(IF([2]对账明细接口!$U946=0,"",[2]对账明细接口!$U946),"")</f>
        <v/>
      </c>
      <c r="AA946" s="113" t="str">
        <f aca="false">IFERROR(IF([2]对账明细接口!$V946=0,"",[2]对账明细接口!$V946),"")</f>
        <v/>
      </c>
      <c r="AB946" s="10" t="str">
        <f aca="false">IFERROR(IF([2]对账明细接口!$W946=0,"",[2]对账明细接口!$W946),"")</f>
        <v/>
      </c>
      <c r="AC946" s="90" t="str">
        <f aca="false">IFERROR(IF([2]对账明细接口!$X947=0,"",[2]对账明细接口!$X947),"")</f>
        <v/>
      </c>
      <c r="AD946" s="90" t="str">
        <f aca="false">IFERROR(IF([2]对账明细接口!$Y947=0,"",[2]对账明细接口!$Y947),"")</f>
        <v/>
      </c>
      <c r="AE946" s="90" t="str">
        <f aca="false">IFERROR(IF([2]对账明细接口!$AA947=0,"",[2]对账明细接口!$AA947),"")</f>
        <v/>
      </c>
      <c r="AF946" s="90" t="str">
        <f aca="false">IFERROR(IF([2]对账明细接口!$AB947=0,"",[2]对账明细接口!$AB947),"")</f>
        <v/>
      </c>
      <c r="AG946" s="90" t="str">
        <f aca="false">IFERROR(IF([2]对账明细接口!$AC947=0,"",[2]对账明细接口!$AC947),"")</f>
        <v/>
      </c>
      <c r="AH946" s="90" t="str">
        <f aca="false">IFERROR(IF([2]对账明细接口!$AD947=0,"",[2]对账明细接口!$AD947),"")</f>
        <v/>
      </c>
    </row>
    <row r="947" customFormat="false" ht="13.5" hidden="false" customHeight="false" outlineLevel="0" collapsed="false">
      <c r="A947" s="109" t="n">
        <v>947</v>
      </c>
      <c r="B947" s="110" t="str">
        <f aca="false">IFERROR(IF([2]对账明细接口!$B$947=0,"",[2]对账明细接口!$B$947),"")</f>
        <v/>
      </c>
      <c r="C947" s="59" t="str">
        <f aca="false">IFERROR(IF([2]对账明细接口!$C$947=0,"",[2]对账明细接口!$C$947),"")</f>
        <v/>
      </c>
      <c r="D947" s="59" t="str">
        <f aca="false">IFERROR(IF([2]对账明细接口!$D$947=0,"",[2]对账明细接口!$D$947),"")</f>
        <v/>
      </c>
      <c r="E947" s="59" t="str">
        <f aca="false">IFERROR(IF([2]对账明细接口!$E$947=0,"",[2]对账明细接口!$E$947),"")</f>
        <v/>
      </c>
      <c r="F947" s="59" t="str">
        <f aca="false">IFERROR(IF([2]对账明细接口!$F$947=0,"",[2]对账明细接口!$F$947),"")</f>
        <v/>
      </c>
      <c r="G947" s="59" t="str">
        <f aca="false">IFERROR(IF([2]对账明细接口!$G$947=0,"",[2]对账明细接口!$G$947),"")</f>
        <v/>
      </c>
      <c r="H947" s="60" t="str">
        <f aca="false">IFERROR(IF([2]对账明细接口!$H$947=0,"",[2]对账明细接口!$H$947),"")</f>
        <v/>
      </c>
      <c r="I947" s="59" t="str">
        <f aca="false">IFERROR(IF([2]对账明细接口!$I$947=0,"",[2]对账明细接口!$I$947),"")</f>
        <v/>
      </c>
      <c r="J947" s="61" t="str">
        <f aca="false">IFERROR(IF([2]对账明细接口!$J$947=0,"",[2]对账明细接口!$J$947),"")</f>
        <v/>
      </c>
      <c r="K947" s="61" t="str">
        <f aca="false">IFERROR(IF([2]对账明细接口!$K$947=0,"",[2]对账明细接口!$K$947),"")</f>
        <v/>
      </c>
      <c r="L947" s="59" t="str">
        <f aca="false">IFERROR(IF([2]对账明细接口!$L$947=0,"",[2]对账明细接口!$L$947),"")</f>
        <v/>
      </c>
      <c r="M947" s="59" t="str">
        <f aca="false">IFERROR(IF([2]对账明细接口!$M$947=0,"",[2]对账明细接口!$M$947),"")</f>
        <v/>
      </c>
      <c r="N947" s="111" t="n">
        <f aca="false">IF($C947="",0,1)</f>
        <v>0</v>
      </c>
      <c r="O947" s="111" t="n">
        <f aca="false">N(O946)+$N947</f>
        <v>311</v>
      </c>
      <c r="S947" s="10" t="str">
        <f aca="false">IFERROR(IF([2]对账明细接口!$N947=0,"",[2]对账明细接口!$N947),"")</f>
        <v/>
      </c>
      <c r="T947" s="112" t="str">
        <f aca="false">IFERROR(IF([2]对账明细接口!$O947=0,"",[2]对账明细接口!$O947),"")</f>
        <v/>
      </c>
      <c r="U947" s="112" t="str">
        <f aca="false">IFERROR(IF([2]对账明细接口!$P947=0,"",[2]对账明细接口!$P947),"")</f>
        <v/>
      </c>
      <c r="V947" s="112" t="str">
        <f aca="false">IFERROR(IF([2]对账明细接口!$Q947=0,"",[2]对账明细接口!$Q947),"")</f>
        <v/>
      </c>
      <c r="W947" s="10" t="str">
        <f aca="false">IFERROR(IF([2]对账明细接口!$R947=0,"",[2]对账明细接口!$R947),"")</f>
        <v/>
      </c>
      <c r="X947" s="10" t="str">
        <f aca="false">IFERROR(IF([2]对账明细接口!$S947=0,"",[2]对账明细接口!$S947),"")</f>
        <v/>
      </c>
      <c r="Y947" s="10" t="str">
        <f aca="false">IFERROR(IF([2]对账明细接口!$T947=0,"",[2]对账明细接口!$T947),"")</f>
        <v/>
      </c>
      <c r="Z947" s="113" t="str">
        <f aca="false">IFERROR(IF([2]对账明细接口!$U947=0,"",[2]对账明细接口!$U947),"")</f>
        <v/>
      </c>
      <c r="AA947" s="113" t="str">
        <f aca="false">IFERROR(IF([2]对账明细接口!$V947=0,"",[2]对账明细接口!$V947),"")</f>
        <v/>
      </c>
      <c r="AB947" s="10" t="str">
        <f aca="false">IFERROR(IF([2]对账明细接口!$W947=0,"",[2]对账明细接口!$W947),"")</f>
        <v/>
      </c>
      <c r="AC947" s="90" t="str">
        <f aca="false">IFERROR(IF([2]对账明细接口!$X948=0,"",[2]对账明细接口!$X948),"")</f>
        <v/>
      </c>
      <c r="AD947" s="90" t="str">
        <f aca="false">IFERROR(IF([2]对账明细接口!$Y948=0,"",[2]对账明细接口!$Y948),"")</f>
        <v/>
      </c>
      <c r="AE947" s="90" t="str">
        <f aca="false">IFERROR(IF([2]对账明细接口!$AA948=0,"",[2]对账明细接口!$AA948),"")</f>
        <v/>
      </c>
      <c r="AF947" s="90" t="str">
        <f aca="false">IFERROR(IF([2]对账明细接口!$AB948=0,"",[2]对账明细接口!$AB948),"")</f>
        <v/>
      </c>
      <c r="AG947" s="90" t="str">
        <f aca="false">IFERROR(IF([2]对账明细接口!$AC948=0,"",[2]对账明细接口!$AC948),"")</f>
        <v/>
      </c>
      <c r="AH947" s="90" t="str">
        <f aca="false">IFERROR(IF([2]对账明细接口!$AD948=0,"",[2]对账明细接口!$AD948),"")</f>
        <v/>
      </c>
    </row>
    <row r="948" customFormat="false" ht="13.5" hidden="false" customHeight="false" outlineLevel="0" collapsed="false">
      <c r="A948" s="109" t="n">
        <v>948</v>
      </c>
      <c r="B948" s="110" t="str">
        <f aca="false">IFERROR(IF([2]对账明细接口!$B$948=0,"",[2]对账明细接口!$B$948),"")</f>
        <v/>
      </c>
      <c r="C948" s="59" t="str">
        <f aca="false">IFERROR(IF([2]对账明细接口!$C$948=0,"",[2]对账明细接口!$C$948),"")</f>
        <v/>
      </c>
      <c r="D948" s="59" t="str">
        <f aca="false">IFERROR(IF([2]对账明细接口!$D$948=0,"",[2]对账明细接口!$D$948),"")</f>
        <v/>
      </c>
      <c r="E948" s="59" t="str">
        <f aca="false">IFERROR(IF([2]对账明细接口!$E$948=0,"",[2]对账明细接口!$E$948),"")</f>
        <v/>
      </c>
      <c r="F948" s="59" t="str">
        <f aca="false">IFERROR(IF([2]对账明细接口!$F$948=0,"",[2]对账明细接口!$F$948),"")</f>
        <v/>
      </c>
      <c r="G948" s="59" t="str">
        <f aca="false">IFERROR(IF([2]对账明细接口!$G$948=0,"",[2]对账明细接口!$G$948),"")</f>
        <v/>
      </c>
      <c r="H948" s="60" t="str">
        <f aca="false">IFERROR(IF([2]对账明细接口!$H$948=0,"",[2]对账明细接口!$H$948),"")</f>
        <v/>
      </c>
      <c r="I948" s="59" t="str">
        <f aca="false">IFERROR(IF([2]对账明细接口!$I$948=0,"",[2]对账明细接口!$I$948),"")</f>
        <v/>
      </c>
      <c r="J948" s="61" t="str">
        <f aca="false">IFERROR(IF([2]对账明细接口!$J$948=0,"",[2]对账明细接口!$J$948),"")</f>
        <v/>
      </c>
      <c r="K948" s="61" t="str">
        <f aca="false">IFERROR(IF([2]对账明细接口!$K$948=0,"",[2]对账明细接口!$K$948),"")</f>
        <v/>
      </c>
      <c r="L948" s="59" t="str">
        <f aca="false">IFERROR(IF([2]对账明细接口!$L$948=0,"",[2]对账明细接口!$L$948),"")</f>
        <v/>
      </c>
      <c r="M948" s="59" t="str">
        <f aca="false">IFERROR(IF([2]对账明细接口!$M$948=0,"",[2]对账明细接口!$M$948),"")</f>
        <v/>
      </c>
      <c r="N948" s="111" t="n">
        <f aca="false">IF($C948="",0,1)</f>
        <v>0</v>
      </c>
      <c r="O948" s="111" t="n">
        <f aca="false">N(O947)+$N948</f>
        <v>311</v>
      </c>
      <c r="S948" s="10" t="str">
        <f aca="false">IFERROR(IF([2]对账明细接口!$N948=0,"",[2]对账明细接口!$N948),"")</f>
        <v/>
      </c>
      <c r="T948" s="112" t="str">
        <f aca="false">IFERROR(IF([2]对账明细接口!$O948=0,"",[2]对账明细接口!$O948),"")</f>
        <v/>
      </c>
      <c r="U948" s="112" t="str">
        <f aca="false">IFERROR(IF([2]对账明细接口!$P948=0,"",[2]对账明细接口!$P948),"")</f>
        <v/>
      </c>
      <c r="V948" s="112" t="str">
        <f aca="false">IFERROR(IF([2]对账明细接口!$Q948=0,"",[2]对账明细接口!$Q948),"")</f>
        <v/>
      </c>
      <c r="W948" s="10" t="str">
        <f aca="false">IFERROR(IF([2]对账明细接口!$R948=0,"",[2]对账明细接口!$R948),"")</f>
        <v/>
      </c>
      <c r="X948" s="10" t="str">
        <f aca="false">IFERROR(IF([2]对账明细接口!$S948=0,"",[2]对账明细接口!$S948),"")</f>
        <v/>
      </c>
      <c r="Y948" s="10" t="str">
        <f aca="false">IFERROR(IF([2]对账明细接口!$T948=0,"",[2]对账明细接口!$T948),"")</f>
        <v/>
      </c>
      <c r="Z948" s="113" t="str">
        <f aca="false">IFERROR(IF([2]对账明细接口!$U948=0,"",[2]对账明细接口!$U948),"")</f>
        <v/>
      </c>
      <c r="AA948" s="113" t="str">
        <f aca="false">IFERROR(IF([2]对账明细接口!$V948=0,"",[2]对账明细接口!$V948),"")</f>
        <v/>
      </c>
      <c r="AB948" s="10" t="str">
        <f aca="false">IFERROR(IF([2]对账明细接口!$W948=0,"",[2]对账明细接口!$W948),"")</f>
        <v/>
      </c>
      <c r="AC948" s="90" t="str">
        <f aca="false">IFERROR(IF([2]对账明细接口!$X949=0,"",[2]对账明细接口!$X949),"")</f>
        <v/>
      </c>
      <c r="AD948" s="90" t="str">
        <f aca="false">IFERROR(IF([2]对账明细接口!$Y949=0,"",[2]对账明细接口!$Y949),"")</f>
        <v/>
      </c>
      <c r="AE948" s="90" t="str">
        <f aca="false">IFERROR(IF([2]对账明细接口!$AA949=0,"",[2]对账明细接口!$AA949),"")</f>
        <v/>
      </c>
      <c r="AF948" s="90" t="str">
        <f aca="false">IFERROR(IF([2]对账明细接口!$AB949=0,"",[2]对账明细接口!$AB949),"")</f>
        <v/>
      </c>
      <c r="AG948" s="90" t="str">
        <f aca="false">IFERROR(IF([2]对账明细接口!$AC949=0,"",[2]对账明细接口!$AC949),"")</f>
        <v/>
      </c>
      <c r="AH948" s="90" t="str">
        <f aca="false">IFERROR(IF([2]对账明细接口!$AD949=0,"",[2]对账明细接口!$AD949),"")</f>
        <v/>
      </c>
    </row>
    <row r="949" customFormat="false" ht="13.5" hidden="false" customHeight="false" outlineLevel="0" collapsed="false">
      <c r="A949" s="109" t="n">
        <v>949</v>
      </c>
      <c r="B949" s="110" t="str">
        <f aca="false">IFERROR(IF([2]对账明细接口!$B$949=0,"",[2]对账明细接口!$B$949),"")</f>
        <v/>
      </c>
      <c r="C949" s="59" t="str">
        <f aca="false">IFERROR(IF([2]对账明细接口!$C$949=0,"",[2]对账明细接口!$C$949),"")</f>
        <v/>
      </c>
      <c r="D949" s="59" t="str">
        <f aca="false">IFERROR(IF([2]对账明细接口!$D$949=0,"",[2]对账明细接口!$D$949),"")</f>
        <v/>
      </c>
      <c r="E949" s="59" t="str">
        <f aca="false">IFERROR(IF([2]对账明细接口!$E$949=0,"",[2]对账明细接口!$E$949),"")</f>
        <v/>
      </c>
      <c r="F949" s="59" t="str">
        <f aca="false">IFERROR(IF([2]对账明细接口!$F$949=0,"",[2]对账明细接口!$F$949),"")</f>
        <v/>
      </c>
      <c r="G949" s="59" t="str">
        <f aca="false">IFERROR(IF([2]对账明细接口!$G$949=0,"",[2]对账明细接口!$G$949),"")</f>
        <v/>
      </c>
      <c r="H949" s="60" t="str">
        <f aca="false">IFERROR(IF([2]对账明细接口!$H$949=0,"",[2]对账明细接口!$H$949),"")</f>
        <v/>
      </c>
      <c r="I949" s="59" t="str">
        <f aca="false">IFERROR(IF([2]对账明细接口!$I$949=0,"",[2]对账明细接口!$I$949),"")</f>
        <v/>
      </c>
      <c r="J949" s="61" t="str">
        <f aca="false">IFERROR(IF([2]对账明细接口!$J$949=0,"",[2]对账明细接口!$J$949),"")</f>
        <v/>
      </c>
      <c r="K949" s="61" t="str">
        <f aca="false">IFERROR(IF([2]对账明细接口!$K$949=0,"",[2]对账明细接口!$K$949),"")</f>
        <v/>
      </c>
      <c r="L949" s="59" t="str">
        <f aca="false">IFERROR(IF([2]对账明细接口!$L$949=0,"",[2]对账明细接口!$L$949),"")</f>
        <v/>
      </c>
      <c r="M949" s="59" t="str">
        <f aca="false">IFERROR(IF([2]对账明细接口!$M$949=0,"",[2]对账明细接口!$M$949),"")</f>
        <v/>
      </c>
      <c r="N949" s="111" t="n">
        <f aca="false">IF($C949="",0,1)</f>
        <v>0</v>
      </c>
      <c r="O949" s="111" t="n">
        <f aca="false">N(O948)+$N949</f>
        <v>311</v>
      </c>
      <c r="S949" s="10" t="str">
        <f aca="false">IFERROR(IF([2]对账明细接口!$N949=0,"",[2]对账明细接口!$N949),"")</f>
        <v/>
      </c>
      <c r="T949" s="112" t="str">
        <f aca="false">IFERROR(IF([2]对账明细接口!$O949=0,"",[2]对账明细接口!$O949),"")</f>
        <v/>
      </c>
      <c r="U949" s="112" t="str">
        <f aca="false">IFERROR(IF([2]对账明细接口!$P949=0,"",[2]对账明细接口!$P949),"")</f>
        <v/>
      </c>
      <c r="V949" s="112" t="str">
        <f aca="false">IFERROR(IF([2]对账明细接口!$Q949=0,"",[2]对账明细接口!$Q949),"")</f>
        <v/>
      </c>
      <c r="W949" s="10" t="str">
        <f aca="false">IFERROR(IF([2]对账明细接口!$R949=0,"",[2]对账明细接口!$R949),"")</f>
        <v/>
      </c>
      <c r="X949" s="10" t="str">
        <f aca="false">IFERROR(IF([2]对账明细接口!$S949=0,"",[2]对账明细接口!$S949),"")</f>
        <v/>
      </c>
      <c r="Y949" s="10" t="str">
        <f aca="false">IFERROR(IF([2]对账明细接口!$T949=0,"",[2]对账明细接口!$T949),"")</f>
        <v/>
      </c>
      <c r="Z949" s="113" t="str">
        <f aca="false">IFERROR(IF([2]对账明细接口!$U949=0,"",[2]对账明细接口!$U949),"")</f>
        <v/>
      </c>
      <c r="AA949" s="113" t="str">
        <f aca="false">IFERROR(IF([2]对账明细接口!$V949=0,"",[2]对账明细接口!$V949),"")</f>
        <v/>
      </c>
      <c r="AB949" s="10" t="str">
        <f aca="false">IFERROR(IF([2]对账明细接口!$W949=0,"",[2]对账明细接口!$W949),"")</f>
        <v/>
      </c>
      <c r="AC949" s="90" t="str">
        <f aca="false">IFERROR(IF([2]对账明细接口!$X950=0,"",[2]对账明细接口!$X950),"")</f>
        <v/>
      </c>
      <c r="AD949" s="90" t="str">
        <f aca="false">IFERROR(IF([2]对账明细接口!$Y950=0,"",[2]对账明细接口!$Y950),"")</f>
        <v/>
      </c>
      <c r="AE949" s="90" t="str">
        <f aca="false">IFERROR(IF([2]对账明细接口!$AA950=0,"",[2]对账明细接口!$AA950),"")</f>
        <v/>
      </c>
      <c r="AF949" s="90" t="str">
        <f aca="false">IFERROR(IF([2]对账明细接口!$AB950=0,"",[2]对账明细接口!$AB950),"")</f>
        <v/>
      </c>
      <c r="AG949" s="90" t="str">
        <f aca="false">IFERROR(IF([2]对账明细接口!$AC950=0,"",[2]对账明细接口!$AC950),"")</f>
        <v/>
      </c>
      <c r="AH949" s="90" t="str">
        <f aca="false">IFERROR(IF([2]对账明细接口!$AD950=0,"",[2]对账明细接口!$AD950),"")</f>
        <v/>
      </c>
    </row>
    <row r="950" customFormat="false" ht="13.5" hidden="false" customHeight="false" outlineLevel="0" collapsed="false">
      <c r="A950" s="109" t="n">
        <v>950</v>
      </c>
      <c r="B950" s="110" t="str">
        <f aca="false">IFERROR(IF([2]对账明细接口!$B$950=0,"",[2]对账明细接口!$B$950),"")</f>
        <v/>
      </c>
      <c r="C950" s="59" t="str">
        <f aca="false">IFERROR(IF([2]对账明细接口!$C$950=0,"",[2]对账明细接口!$C$950),"")</f>
        <v/>
      </c>
      <c r="D950" s="59" t="str">
        <f aca="false">IFERROR(IF([2]对账明细接口!$D$950=0,"",[2]对账明细接口!$D$950),"")</f>
        <v/>
      </c>
      <c r="E950" s="59" t="str">
        <f aca="false">IFERROR(IF([2]对账明细接口!$E$950=0,"",[2]对账明细接口!$E$950),"")</f>
        <v/>
      </c>
      <c r="F950" s="59" t="str">
        <f aca="false">IFERROR(IF([2]对账明细接口!$F$950=0,"",[2]对账明细接口!$F$950),"")</f>
        <v/>
      </c>
      <c r="G950" s="59" t="str">
        <f aca="false">IFERROR(IF([2]对账明细接口!$G$950=0,"",[2]对账明细接口!$G$950),"")</f>
        <v/>
      </c>
      <c r="H950" s="60" t="str">
        <f aca="false">IFERROR(IF([2]对账明细接口!$H$950=0,"",[2]对账明细接口!$H$950),"")</f>
        <v/>
      </c>
      <c r="I950" s="59" t="str">
        <f aca="false">IFERROR(IF([2]对账明细接口!$I$950=0,"",[2]对账明细接口!$I$950),"")</f>
        <v/>
      </c>
      <c r="J950" s="61" t="str">
        <f aca="false">IFERROR(IF([2]对账明细接口!$J$950=0,"",[2]对账明细接口!$J$950),"")</f>
        <v/>
      </c>
      <c r="K950" s="61" t="str">
        <f aca="false">IFERROR(IF([2]对账明细接口!$K$950=0,"",[2]对账明细接口!$K$950),"")</f>
        <v/>
      </c>
      <c r="L950" s="59" t="str">
        <f aca="false">IFERROR(IF([2]对账明细接口!$L$950=0,"",[2]对账明细接口!$L$950),"")</f>
        <v/>
      </c>
      <c r="M950" s="59" t="str">
        <f aca="false">IFERROR(IF([2]对账明细接口!$M$950=0,"",[2]对账明细接口!$M$950),"")</f>
        <v/>
      </c>
      <c r="N950" s="111" t="n">
        <f aca="false">IF($C950="",0,1)</f>
        <v>0</v>
      </c>
      <c r="O950" s="111" t="n">
        <f aca="false">N(O949)+$N950</f>
        <v>311</v>
      </c>
      <c r="S950" s="10" t="str">
        <f aca="false">IFERROR(IF([2]对账明细接口!$N950=0,"",[2]对账明细接口!$N950),"")</f>
        <v/>
      </c>
      <c r="T950" s="112" t="str">
        <f aca="false">IFERROR(IF([2]对账明细接口!$O950=0,"",[2]对账明细接口!$O950),"")</f>
        <v/>
      </c>
      <c r="U950" s="112" t="str">
        <f aca="false">IFERROR(IF([2]对账明细接口!$P950=0,"",[2]对账明细接口!$P950),"")</f>
        <v/>
      </c>
      <c r="V950" s="112" t="str">
        <f aca="false">IFERROR(IF([2]对账明细接口!$Q950=0,"",[2]对账明细接口!$Q950),"")</f>
        <v/>
      </c>
      <c r="W950" s="10" t="str">
        <f aca="false">IFERROR(IF([2]对账明细接口!$R950=0,"",[2]对账明细接口!$R950),"")</f>
        <v/>
      </c>
      <c r="X950" s="10" t="str">
        <f aca="false">IFERROR(IF([2]对账明细接口!$S950=0,"",[2]对账明细接口!$S950),"")</f>
        <v/>
      </c>
      <c r="Y950" s="10" t="str">
        <f aca="false">IFERROR(IF([2]对账明细接口!$T950=0,"",[2]对账明细接口!$T950),"")</f>
        <v/>
      </c>
      <c r="Z950" s="113" t="str">
        <f aca="false">IFERROR(IF([2]对账明细接口!$U950=0,"",[2]对账明细接口!$U950),"")</f>
        <v/>
      </c>
      <c r="AA950" s="113" t="str">
        <f aca="false">IFERROR(IF([2]对账明细接口!$V950=0,"",[2]对账明细接口!$V950),"")</f>
        <v/>
      </c>
      <c r="AB950" s="10" t="str">
        <f aca="false">IFERROR(IF([2]对账明细接口!$W950=0,"",[2]对账明细接口!$W950),"")</f>
        <v/>
      </c>
      <c r="AC950" s="90" t="str">
        <f aca="false">IFERROR(IF([2]对账明细接口!$X951=0,"",[2]对账明细接口!$X951),"")</f>
        <v/>
      </c>
      <c r="AD950" s="90" t="str">
        <f aca="false">IFERROR(IF([2]对账明细接口!$Y951=0,"",[2]对账明细接口!$Y951),"")</f>
        <v/>
      </c>
      <c r="AE950" s="90" t="str">
        <f aca="false">IFERROR(IF([2]对账明细接口!$AA951=0,"",[2]对账明细接口!$AA951),"")</f>
        <v/>
      </c>
      <c r="AF950" s="90" t="str">
        <f aca="false">IFERROR(IF([2]对账明细接口!$AB951=0,"",[2]对账明细接口!$AB951),"")</f>
        <v/>
      </c>
      <c r="AG950" s="90" t="str">
        <f aca="false">IFERROR(IF([2]对账明细接口!$AC951=0,"",[2]对账明细接口!$AC951),"")</f>
        <v/>
      </c>
      <c r="AH950" s="90" t="str">
        <f aca="false">IFERROR(IF([2]对账明细接口!$AD951=0,"",[2]对账明细接口!$AD951),"")</f>
        <v/>
      </c>
    </row>
    <row r="951" customFormat="false" ht="13.5" hidden="false" customHeight="false" outlineLevel="0" collapsed="false">
      <c r="A951" s="109" t="n">
        <v>951</v>
      </c>
      <c r="B951" s="110" t="str">
        <f aca="false">IFERROR(IF([2]对账明细接口!$B$951=0,"",[2]对账明细接口!$B$951),"")</f>
        <v/>
      </c>
      <c r="C951" s="59" t="str">
        <f aca="false">IFERROR(IF([2]对账明细接口!$C$951=0,"",[2]对账明细接口!$C$951),"")</f>
        <v/>
      </c>
      <c r="D951" s="59" t="str">
        <f aca="false">IFERROR(IF([2]对账明细接口!$D$951=0,"",[2]对账明细接口!$D$951),"")</f>
        <v/>
      </c>
      <c r="E951" s="59" t="str">
        <f aca="false">IFERROR(IF([2]对账明细接口!$E$951=0,"",[2]对账明细接口!$E$951),"")</f>
        <v/>
      </c>
      <c r="F951" s="59" t="str">
        <f aca="false">IFERROR(IF([2]对账明细接口!$F$951=0,"",[2]对账明细接口!$F$951),"")</f>
        <v/>
      </c>
      <c r="G951" s="59" t="str">
        <f aca="false">IFERROR(IF([2]对账明细接口!$G$951=0,"",[2]对账明细接口!$G$951),"")</f>
        <v/>
      </c>
      <c r="H951" s="60" t="str">
        <f aca="false">IFERROR(IF([2]对账明细接口!$H$951=0,"",[2]对账明细接口!$H$951),"")</f>
        <v/>
      </c>
      <c r="I951" s="59" t="str">
        <f aca="false">IFERROR(IF([2]对账明细接口!$I$951=0,"",[2]对账明细接口!$I$951),"")</f>
        <v/>
      </c>
      <c r="J951" s="61" t="str">
        <f aca="false">IFERROR(IF([2]对账明细接口!$J$951=0,"",[2]对账明细接口!$J$951),"")</f>
        <v/>
      </c>
      <c r="K951" s="61" t="str">
        <f aca="false">IFERROR(IF([2]对账明细接口!$K$951=0,"",[2]对账明细接口!$K$951),"")</f>
        <v/>
      </c>
      <c r="L951" s="59" t="str">
        <f aca="false">IFERROR(IF([2]对账明细接口!$L$951=0,"",[2]对账明细接口!$L$951),"")</f>
        <v/>
      </c>
      <c r="M951" s="59" t="str">
        <f aca="false">IFERROR(IF([2]对账明细接口!$M$951=0,"",[2]对账明细接口!$M$951),"")</f>
        <v/>
      </c>
      <c r="N951" s="111" t="n">
        <f aca="false">IF($C951="",0,1)</f>
        <v>0</v>
      </c>
      <c r="O951" s="111" t="n">
        <f aca="false">N(O950)+$N951</f>
        <v>311</v>
      </c>
      <c r="S951" s="10" t="str">
        <f aca="false">IFERROR(IF([2]对账明细接口!$N951=0,"",[2]对账明细接口!$N951),"")</f>
        <v/>
      </c>
      <c r="T951" s="112" t="str">
        <f aca="false">IFERROR(IF([2]对账明细接口!$O951=0,"",[2]对账明细接口!$O951),"")</f>
        <v/>
      </c>
      <c r="U951" s="112" t="str">
        <f aca="false">IFERROR(IF([2]对账明细接口!$P951=0,"",[2]对账明细接口!$P951),"")</f>
        <v/>
      </c>
      <c r="V951" s="112" t="str">
        <f aca="false">IFERROR(IF([2]对账明细接口!$Q951=0,"",[2]对账明细接口!$Q951),"")</f>
        <v/>
      </c>
      <c r="W951" s="10" t="str">
        <f aca="false">IFERROR(IF([2]对账明细接口!$R951=0,"",[2]对账明细接口!$R951),"")</f>
        <v/>
      </c>
      <c r="X951" s="10" t="str">
        <f aca="false">IFERROR(IF([2]对账明细接口!$S951=0,"",[2]对账明细接口!$S951),"")</f>
        <v/>
      </c>
      <c r="Y951" s="10" t="str">
        <f aca="false">IFERROR(IF([2]对账明细接口!$T951=0,"",[2]对账明细接口!$T951),"")</f>
        <v/>
      </c>
      <c r="Z951" s="113" t="str">
        <f aca="false">IFERROR(IF([2]对账明细接口!$U951=0,"",[2]对账明细接口!$U951),"")</f>
        <v/>
      </c>
      <c r="AA951" s="113" t="str">
        <f aca="false">IFERROR(IF([2]对账明细接口!$V951=0,"",[2]对账明细接口!$V951),"")</f>
        <v/>
      </c>
      <c r="AB951" s="10" t="str">
        <f aca="false">IFERROR(IF([2]对账明细接口!$W951=0,"",[2]对账明细接口!$W951),"")</f>
        <v/>
      </c>
      <c r="AC951" s="90" t="str">
        <f aca="false">IFERROR(IF([2]对账明细接口!$X952=0,"",[2]对账明细接口!$X952),"")</f>
        <v/>
      </c>
      <c r="AD951" s="90" t="str">
        <f aca="false">IFERROR(IF([2]对账明细接口!$Y952=0,"",[2]对账明细接口!$Y952),"")</f>
        <v/>
      </c>
      <c r="AE951" s="90" t="str">
        <f aca="false">IFERROR(IF([2]对账明细接口!$AA952=0,"",[2]对账明细接口!$AA952),"")</f>
        <v/>
      </c>
      <c r="AF951" s="90" t="str">
        <f aca="false">IFERROR(IF([2]对账明细接口!$AB952=0,"",[2]对账明细接口!$AB952),"")</f>
        <v/>
      </c>
      <c r="AG951" s="90" t="str">
        <f aca="false">IFERROR(IF([2]对账明细接口!$AC952=0,"",[2]对账明细接口!$AC952),"")</f>
        <v/>
      </c>
      <c r="AH951" s="90" t="str">
        <f aca="false">IFERROR(IF([2]对账明细接口!$AD952=0,"",[2]对账明细接口!$AD952),"")</f>
        <v/>
      </c>
    </row>
    <row r="952" customFormat="false" ht="13.5" hidden="false" customHeight="false" outlineLevel="0" collapsed="false">
      <c r="A952" s="109" t="n">
        <v>952</v>
      </c>
      <c r="B952" s="110" t="str">
        <f aca="false">IFERROR(IF([2]对账明细接口!$B$952=0,"",[2]对账明细接口!$B$952),"")</f>
        <v/>
      </c>
      <c r="C952" s="59" t="str">
        <f aca="false">IFERROR(IF([2]对账明细接口!$C$952=0,"",[2]对账明细接口!$C$952),"")</f>
        <v/>
      </c>
      <c r="D952" s="59" t="str">
        <f aca="false">IFERROR(IF([2]对账明细接口!$D$952=0,"",[2]对账明细接口!$D$952),"")</f>
        <v/>
      </c>
      <c r="E952" s="59" t="str">
        <f aca="false">IFERROR(IF([2]对账明细接口!$E$952=0,"",[2]对账明细接口!$E$952),"")</f>
        <v/>
      </c>
      <c r="F952" s="59" t="str">
        <f aca="false">IFERROR(IF([2]对账明细接口!$F$952=0,"",[2]对账明细接口!$F$952),"")</f>
        <v/>
      </c>
      <c r="G952" s="59" t="str">
        <f aca="false">IFERROR(IF([2]对账明细接口!$G$952=0,"",[2]对账明细接口!$G$952),"")</f>
        <v/>
      </c>
      <c r="H952" s="60" t="str">
        <f aca="false">IFERROR(IF([2]对账明细接口!$H$952=0,"",[2]对账明细接口!$H$952),"")</f>
        <v/>
      </c>
      <c r="I952" s="59" t="str">
        <f aca="false">IFERROR(IF([2]对账明细接口!$I$952=0,"",[2]对账明细接口!$I$952),"")</f>
        <v/>
      </c>
      <c r="J952" s="61" t="str">
        <f aca="false">IFERROR(IF([2]对账明细接口!$J$952=0,"",[2]对账明细接口!$J$952),"")</f>
        <v/>
      </c>
      <c r="K952" s="61" t="str">
        <f aca="false">IFERROR(IF([2]对账明细接口!$K$952=0,"",[2]对账明细接口!$K$952),"")</f>
        <v/>
      </c>
      <c r="L952" s="59" t="str">
        <f aca="false">IFERROR(IF([2]对账明细接口!$L$952=0,"",[2]对账明细接口!$L$952),"")</f>
        <v/>
      </c>
      <c r="M952" s="59" t="str">
        <f aca="false">IFERROR(IF([2]对账明细接口!$M$952=0,"",[2]对账明细接口!$M$952),"")</f>
        <v/>
      </c>
      <c r="N952" s="111" t="n">
        <f aca="false">IF($C952="",0,1)</f>
        <v>0</v>
      </c>
      <c r="O952" s="111" t="n">
        <f aca="false">N(O951)+$N952</f>
        <v>311</v>
      </c>
      <c r="S952" s="10" t="str">
        <f aca="false">IFERROR(IF([2]对账明细接口!$N952=0,"",[2]对账明细接口!$N952),"")</f>
        <v/>
      </c>
      <c r="T952" s="112" t="str">
        <f aca="false">IFERROR(IF([2]对账明细接口!$O952=0,"",[2]对账明细接口!$O952),"")</f>
        <v/>
      </c>
      <c r="U952" s="112" t="str">
        <f aca="false">IFERROR(IF([2]对账明细接口!$P952=0,"",[2]对账明细接口!$P952),"")</f>
        <v/>
      </c>
      <c r="V952" s="112" t="str">
        <f aca="false">IFERROR(IF([2]对账明细接口!$Q952=0,"",[2]对账明细接口!$Q952),"")</f>
        <v/>
      </c>
      <c r="W952" s="10" t="str">
        <f aca="false">IFERROR(IF([2]对账明细接口!$R952=0,"",[2]对账明细接口!$R952),"")</f>
        <v/>
      </c>
      <c r="X952" s="10" t="str">
        <f aca="false">IFERROR(IF([2]对账明细接口!$S952=0,"",[2]对账明细接口!$S952),"")</f>
        <v/>
      </c>
      <c r="Y952" s="10" t="str">
        <f aca="false">IFERROR(IF([2]对账明细接口!$T952=0,"",[2]对账明细接口!$T952),"")</f>
        <v/>
      </c>
      <c r="Z952" s="113" t="str">
        <f aca="false">IFERROR(IF([2]对账明细接口!$U952=0,"",[2]对账明细接口!$U952),"")</f>
        <v/>
      </c>
      <c r="AA952" s="113" t="str">
        <f aca="false">IFERROR(IF([2]对账明细接口!$V952=0,"",[2]对账明细接口!$V952),"")</f>
        <v/>
      </c>
      <c r="AB952" s="10" t="str">
        <f aca="false">IFERROR(IF([2]对账明细接口!$W952=0,"",[2]对账明细接口!$W952),"")</f>
        <v/>
      </c>
      <c r="AC952" s="90" t="str">
        <f aca="false">IFERROR(IF([2]对账明细接口!$X953=0,"",[2]对账明细接口!$X953),"")</f>
        <v/>
      </c>
      <c r="AD952" s="90" t="str">
        <f aca="false">IFERROR(IF([2]对账明细接口!$Y953=0,"",[2]对账明细接口!$Y953),"")</f>
        <v/>
      </c>
      <c r="AE952" s="90" t="str">
        <f aca="false">IFERROR(IF([2]对账明细接口!$AA953=0,"",[2]对账明细接口!$AA953),"")</f>
        <v/>
      </c>
      <c r="AF952" s="90" t="str">
        <f aca="false">IFERROR(IF([2]对账明细接口!$AB953=0,"",[2]对账明细接口!$AB953),"")</f>
        <v/>
      </c>
      <c r="AG952" s="90" t="str">
        <f aca="false">IFERROR(IF([2]对账明细接口!$AC953=0,"",[2]对账明细接口!$AC953),"")</f>
        <v/>
      </c>
      <c r="AH952" s="90" t="str">
        <f aca="false">IFERROR(IF([2]对账明细接口!$AD953=0,"",[2]对账明细接口!$AD953),"")</f>
        <v/>
      </c>
    </row>
    <row r="953" customFormat="false" ht="13.5" hidden="false" customHeight="false" outlineLevel="0" collapsed="false">
      <c r="A953" s="109" t="n">
        <v>953</v>
      </c>
      <c r="B953" s="110" t="str">
        <f aca="false">IFERROR(IF([2]对账明细接口!$B$953=0,"",[2]对账明细接口!$B$953),"")</f>
        <v/>
      </c>
      <c r="C953" s="59" t="str">
        <f aca="false">IFERROR(IF([2]对账明细接口!$C$953=0,"",[2]对账明细接口!$C$953),"")</f>
        <v/>
      </c>
      <c r="D953" s="59" t="str">
        <f aca="false">IFERROR(IF([2]对账明细接口!$D$953=0,"",[2]对账明细接口!$D$953),"")</f>
        <v/>
      </c>
      <c r="E953" s="59" t="str">
        <f aca="false">IFERROR(IF([2]对账明细接口!$E$953=0,"",[2]对账明细接口!$E$953),"")</f>
        <v/>
      </c>
      <c r="F953" s="59" t="str">
        <f aca="false">IFERROR(IF([2]对账明细接口!$F$953=0,"",[2]对账明细接口!$F$953),"")</f>
        <v/>
      </c>
      <c r="G953" s="59" t="str">
        <f aca="false">IFERROR(IF([2]对账明细接口!$G$953=0,"",[2]对账明细接口!$G$953),"")</f>
        <v/>
      </c>
      <c r="H953" s="60" t="str">
        <f aca="false">IFERROR(IF([2]对账明细接口!$H$953=0,"",[2]对账明细接口!$H$953),"")</f>
        <v/>
      </c>
      <c r="I953" s="59" t="str">
        <f aca="false">IFERROR(IF([2]对账明细接口!$I$953=0,"",[2]对账明细接口!$I$953),"")</f>
        <v/>
      </c>
      <c r="J953" s="61" t="str">
        <f aca="false">IFERROR(IF([2]对账明细接口!$J$953=0,"",[2]对账明细接口!$J$953),"")</f>
        <v/>
      </c>
      <c r="K953" s="61" t="str">
        <f aca="false">IFERROR(IF([2]对账明细接口!$K$953=0,"",[2]对账明细接口!$K$953),"")</f>
        <v/>
      </c>
      <c r="L953" s="59" t="str">
        <f aca="false">IFERROR(IF([2]对账明细接口!$L$953=0,"",[2]对账明细接口!$L$953),"")</f>
        <v/>
      </c>
      <c r="M953" s="59" t="str">
        <f aca="false">IFERROR(IF([2]对账明细接口!$M$953=0,"",[2]对账明细接口!$M$953),"")</f>
        <v/>
      </c>
      <c r="N953" s="111" t="n">
        <f aca="false">IF($C953="",0,1)</f>
        <v>0</v>
      </c>
      <c r="O953" s="111" t="n">
        <f aca="false">N(O952)+$N953</f>
        <v>311</v>
      </c>
      <c r="S953" s="10" t="str">
        <f aca="false">IFERROR(IF([2]对账明细接口!$N953=0,"",[2]对账明细接口!$N953),"")</f>
        <v/>
      </c>
      <c r="T953" s="112" t="str">
        <f aca="false">IFERROR(IF([2]对账明细接口!$O953=0,"",[2]对账明细接口!$O953),"")</f>
        <v/>
      </c>
      <c r="U953" s="112" t="str">
        <f aca="false">IFERROR(IF([2]对账明细接口!$P953=0,"",[2]对账明细接口!$P953),"")</f>
        <v/>
      </c>
      <c r="V953" s="112" t="str">
        <f aca="false">IFERROR(IF([2]对账明细接口!$Q953=0,"",[2]对账明细接口!$Q953),"")</f>
        <v/>
      </c>
      <c r="W953" s="10" t="str">
        <f aca="false">IFERROR(IF([2]对账明细接口!$R953=0,"",[2]对账明细接口!$R953),"")</f>
        <v/>
      </c>
      <c r="X953" s="10" t="str">
        <f aca="false">IFERROR(IF([2]对账明细接口!$S953=0,"",[2]对账明细接口!$S953),"")</f>
        <v/>
      </c>
      <c r="Y953" s="10" t="str">
        <f aca="false">IFERROR(IF([2]对账明细接口!$T953=0,"",[2]对账明细接口!$T953),"")</f>
        <v/>
      </c>
      <c r="Z953" s="113" t="str">
        <f aca="false">IFERROR(IF([2]对账明细接口!$U953=0,"",[2]对账明细接口!$U953),"")</f>
        <v/>
      </c>
      <c r="AA953" s="113" t="str">
        <f aca="false">IFERROR(IF([2]对账明细接口!$V953=0,"",[2]对账明细接口!$V953),"")</f>
        <v/>
      </c>
      <c r="AB953" s="10" t="str">
        <f aca="false">IFERROR(IF([2]对账明细接口!$W953=0,"",[2]对账明细接口!$W953),"")</f>
        <v/>
      </c>
      <c r="AC953" s="90" t="str">
        <f aca="false">IFERROR(IF([2]对账明细接口!$X954=0,"",[2]对账明细接口!$X954),"")</f>
        <v/>
      </c>
      <c r="AD953" s="90" t="str">
        <f aca="false">IFERROR(IF([2]对账明细接口!$Y954=0,"",[2]对账明细接口!$Y954),"")</f>
        <v/>
      </c>
      <c r="AE953" s="90" t="str">
        <f aca="false">IFERROR(IF([2]对账明细接口!$AA954=0,"",[2]对账明细接口!$AA954),"")</f>
        <v/>
      </c>
      <c r="AF953" s="90" t="str">
        <f aca="false">IFERROR(IF([2]对账明细接口!$AB954=0,"",[2]对账明细接口!$AB954),"")</f>
        <v/>
      </c>
      <c r="AG953" s="90" t="str">
        <f aca="false">IFERROR(IF([2]对账明细接口!$AC954=0,"",[2]对账明细接口!$AC954),"")</f>
        <v/>
      </c>
      <c r="AH953" s="90" t="str">
        <f aca="false">IFERROR(IF([2]对账明细接口!$AD954=0,"",[2]对账明细接口!$AD954),"")</f>
        <v/>
      </c>
    </row>
    <row r="954" customFormat="false" ht="13.5" hidden="false" customHeight="false" outlineLevel="0" collapsed="false">
      <c r="A954" s="109" t="n">
        <v>954</v>
      </c>
      <c r="B954" s="110" t="str">
        <f aca="false">IFERROR(IF([2]对账明细接口!$B$954=0,"",[2]对账明细接口!$B$954),"")</f>
        <v/>
      </c>
      <c r="C954" s="59" t="str">
        <f aca="false">IFERROR(IF([2]对账明细接口!$C$954=0,"",[2]对账明细接口!$C$954),"")</f>
        <v/>
      </c>
      <c r="D954" s="59" t="str">
        <f aca="false">IFERROR(IF([2]对账明细接口!$D$954=0,"",[2]对账明细接口!$D$954),"")</f>
        <v/>
      </c>
      <c r="E954" s="59" t="str">
        <f aca="false">IFERROR(IF([2]对账明细接口!$E$954=0,"",[2]对账明细接口!$E$954),"")</f>
        <v/>
      </c>
      <c r="F954" s="59" t="str">
        <f aca="false">IFERROR(IF([2]对账明细接口!$F$954=0,"",[2]对账明细接口!$F$954),"")</f>
        <v/>
      </c>
      <c r="G954" s="59" t="str">
        <f aca="false">IFERROR(IF([2]对账明细接口!$G$954=0,"",[2]对账明细接口!$G$954),"")</f>
        <v/>
      </c>
      <c r="H954" s="60" t="str">
        <f aca="false">IFERROR(IF([2]对账明细接口!$H$954=0,"",[2]对账明细接口!$H$954),"")</f>
        <v/>
      </c>
      <c r="I954" s="59" t="str">
        <f aca="false">IFERROR(IF([2]对账明细接口!$I$954=0,"",[2]对账明细接口!$I$954),"")</f>
        <v/>
      </c>
      <c r="J954" s="61" t="str">
        <f aca="false">IFERROR(IF([2]对账明细接口!$J$954=0,"",[2]对账明细接口!$J$954),"")</f>
        <v/>
      </c>
      <c r="K954" s="61" t="str">
        <f aca="false">IFERROR(IF([2]对账明细接口!$K$954=0,"",[2]对账明细接口!$K$954),"")</f>
        <v/>
      </c>
      <c r="L954" s="59" t="str">
        <f aca="false">IFERROR(IF([2]对账明细接口!$L$954=0,"",[2]对账明细接口!$L$954),"")</f>
        <v/>
      </c>
      <c r="M954" s="59" t="str">
        <f aca="false">IFERROR(IF([2]对账明细接口!$M$954=0,"",[2]对账明细接口!$M$954),"")</f>
        <v/>
      </c>
      <c r="N954" s="111" t="n">
        <f aca="false">IF($C954="",0,1)</f>
        <v>0</v>
      </c>
      <c r="O954" s="111" t="n">
        <f aca="false">N(O953)+$N954</f>
        <v>311</v>
      </c>
      <c r="S954" s="10" t="str">
        <f aca="false">IFERROR(IF([2]对账明细接口!$N954=0,"",[2]对账明细接口!$N954),"")</f>
        <v/>
      </c>
      <c r="T954" s="112" t="str">
        <f aca="false">IFERROR(IF([2]对账明细接口!$O954=0,"",[2]对账明细接口!$O954),"")</f>
        <v/>
      </c>
      <c r="U954" s="112" t="str">
        <f aca="false">IFERROR(IF([2]对账明细接口!$P954=0,"",[2]对账明细接口!$P954),"")</f>
        <v/>
      </c>
      <c r="V954" s="112" t="str">
        <f aca="false">IFERROR(IF([2]对账明细接口!$Q954=0,"",[2]对账明细接口!$Q954),"")</f>
        <v/>
      </c>
      <c r="W954" s="10" t="str">
        <f aca="false">IFERROR(IF([2]对账明细接口!$R954=0,"",[2]对账明细接口!$R954),"")</f>
        <v/>
      </c>
      <c r="X954" s="10" t="str">
        <f aca="false">IFERROR(IF([2]对账明细接口!$S954=0,"",[2]对账明细接口!$S954),"")</f>
        <v/>
      </c>
      <c r="Y954" s="10" t="str">
        <f aca="false">IFERROR(IF([2]对账明细接口!$T954=0,"",[2]对账明细接口!$T954),"")</f>
        <v/>
      </c>
      <c r="Z954" s="113" t="str">
        <f aca="false">IFERROR(IF([2]对账明细接口!$U954=0,"",[2]对账明细接口!$U954),"")</f>
        <v/>
      </c>
      <c r="AA954" s="113" t="str">
        <f aca="false">IFERROR(IF([2]对账明细接口!$V954=0,"",[2]对账明细接口!$V954),"")</f>
        <v/>
      </c>
      <c r="AB954" s="10" t="str">
        <f aca="false">IFERROR(IF([2]对账明细接口!$W954=0,"",[2]对账明细接口!$W954),"")</f>
        <v/>
      </c>
      <c r="AC954" s="90" t="str">
        <f aca="false">IFERROR(IF([2]对账明细接口!$X955=0,"",[2]对账明细接口!$X955),"")</f>
        <v/>
      </c>
      <c r="AD954" s="90" t="str">
        <f aca="false">IFERROR(IF([2]对账明细接口!$Y955=0,"",[2]对账明细接口!$Y955),"")</f>
        <v/>
      </c>
      <c r="AE954" s="90" t="str">
        <f aca="false">IFERROR(IF([2]对账明细接口!$AA955=0,"",[2]对账明细接口!$AA955),"")</f>
        <v/>
      </c>
      <c r="AF954" s="90" t="str">
        <f aca="false">IFERROR(IF([2]对账明细接口!$AB955=0,"",[2]对账明细接口!$AB955),"")</f>
        <v/>
      </c>
      <c r="AG954" s="90" t="str">
        <f aca="false">IFERROR(IF([2]对账明细接口!$AC955=0,"",[2]对账明细接口!$AC955),"")</f>
        <v/>
      </c>
      <c r="AH954" s="90" t="str">
        <f aca="false">IFERROR(IF([2]对账明细接口!$AD955=0,"",[2]对账明细接口!$AD955),"")</f>
        <v/>
      </c>
    </row>
    <row r="955" customFormat="false" ht="13.5" hidden="false" customHeight="false" outlineLevel="0" collapsed="false">
      <c r="A955" s="109" t="n">
        <v>955</v>
      </c>
      <c r="B955" s="110" t="str">
        <f aca="false">IFERROR(IF([2]对账明细接口!$B$955=0,"",[2]对账明细接口!$B$955),"")</f>
        <v/>
      </c>
      <c r="C955" s="59" t="str">
        <f aca="false">IFERROR(IF([2]对账明细接口!$C$955=0,"",[2]对账明细接口!$C$955),"")</f>
        <v/>
      </c>
      <c r="D955" s="59" t="str">
        <f aca="false">IFERROR(IF([2]对账明细接口!$D$955=0,"",[2]对账明细接口!$D$955),"")</f>
        <v/>
      </c>
      <c r="E955" s="59" t="str">
        <f aca="false">IFERROR(IF([2]对账明细接口!$E$955=0,"",[2]对账明细接口!$E$955),"")</f>
        <v/>
      </c>
      <c r="F955" s="59" t="str">
        <f aca="false">IFERROR(IF([2]对账明细接口!$F$955=0,"",[2]对账明细接口!$F$955),"")</f>
        <v/>
      </c>
      <c r="G955" s="59" t="str">
        <f aca="false">IFERROR(IF([2]对账明细接口!$G$955=0,"",[2]对账明细接口!$G$955),"")</f>
        <v/>
      </c>
      <c r="H955" s="60" t="str">
        <f aca="false">IFERROR(IF([2]对账明细接口!$H$955=0,"",[2]对账明细接口!$H$955),"")</f>
        <v/>
      </c>
      <c r="I955" s="59" t="str">
        <f aca="false">IFERROR(IF([2]对账明细接口!$I$955=0,"",[2]对账明细接口!$I$955),"")</f>
        <v/>
      </c>
      <c r="J955" s="61" t="str">
        <f aca="false">IFERROR(IF([2]对账明细接口!$J$955=0,"",[2]对账明细接口!$J$955),"")</f>
        <v/>
      </c>
      <c r="K955" s="61" t="str">
        <f aca="false">IFERROR(IF([2]对账明细接口!$K$955=0,"",[2]对账明细接口!$K$955),"")</f>
        <v/>
      </c>
      <c r="L955" s="59" t="str">
        <f aca="false">IFERROR(IF([2]对账明细接口!$L$955=0,"",[2]对账明细接口!$L$955),"")</f>
        <v/>
      </c>
      <c r="M955" s="59" t="str">
        <f aca="false">IFERROR(IF([2]对账明细接口!$M$955=0,"",[2]对账明细接口!$M$955),"")</f>
        <v/>
      </c>
      <c r="N955" s="111" t="n">
        <f aca="false">IF($C955="",0,1)</f>
        <v>0</v>
      </c>
      <c r="O955" s="111" t="n">
        <f aca="false">N(O954)+$N955</f>
        <v>311</v>
      </c>
      <c r="S955" s="10" t="str">
        <f aca="false">IFERROR(IF([2]对账明细接口!$N955=0,"",[2]对账明细接口!$N955),"")</f>
        <v/>
      </c>
      <c r="T955" s="112" t="str">
        <f aca="false">IFERROR(IF([2]对账明细接口!$O955=0,"",[2]对账明细接口!$O955),"")</f>
        <v/>
      </c>
      <c r="U955" s="112" t="str">
        <f aca="false">IFERROR(IF([2]对账明细接口!$P955=0,"",[2]对账明细接口!$P955),"")</f>
        <v/>
      </c>
      <c r="V955" s="112" t="str">
        <f aca="false">IFERROR(IF([2]对账明细接口!$Q955=0,"",[2]对账明细接口!$Q955),"")</f>
        <v/>
      </c>
      <c r="W955" s="10" t="str">
        <f aca="false">IFERROR(IF([2]对账明细接口!$R955=0,"",[2]对账明细接口!$R955),"")</f>
        <v/>
      </c>
      <c r="X955" s="10" t="str">
        <f aca="false">IFERROR(IF([2]对账明细接口!$S955=0,"",[2]对账明细接口!$S955),"")</f>
        <v/>
      </c>
      <c r="Y955" s="10" t="str">
        <f aca="false">IFERROR(IF([2]对账明细接口!$T955=0,"",[2]对账明细接口!$T955),"")</f>
        <v/>
      </c>
      <c r="Z955" s="113" t="str">
        <f aca="false">IFERROR(IF([2]对账明细接口!$U955=0,"",[2]对账明细接口!$U955),"")</f>
        <v/>
      </c>
      <c r="AA955" s="113" t="str">
        <f aca="false">IFERROR(IF([2]对账明细接口!$V955=0,"",[2]对账明细接口!$V955),"")</f>
        <v/>
      </c>
      <c r="AB955" s="10" t="str">
        <f aca="false">IFERROR(IF([2]对账明细接口!$W955=0,"",[2]对账明细接口!$W955),"")</f>
        <v/>
      </c>
      <c r="AC955" s="90" t="str">
        <f aca="false">IFERROR(IF([2]对账明细接口!$X956=0,"",[2]对账明细接口!$X956),"")</f>
        <v/>
      </c>
      <c r="AD955" s="90" t="str">
        <f aca="false">IFERROR(IF([2]对账明细接口!$Y956=0,"",[2]对账明细接口!$Y956),"")</f>
        <v/>
      </c>
      <c r="AE955" s="90" t="str">
        <f aca="false">IFERROR(IF([2]对账明细接口!$AA956=0,"",[2]对账明细接口!$AA956),"")</f>
        <v/>
      </c>
      <c r="AF955" s="90" t="str">
        <f aca="false">IFERROR(IF([2]对账明细接口!$AB956=0,"",[2]对账明细接口!$AB956),"")</f>
        <v/>
      </c>
      <c r="AG955" s="90" t="str">
        <f aca="false">IFERROR(IF([2]对账明细接口!$AC956=0,"",[2]对账明细接口!$AC956),"")</f>
        <v/>
      </c>
      <c r="AH955" s="90" t="str">
        <f aca="false">IFERROR(IF([2]对账明细接口!$AD956=0,"",[2]对账明细接口!$AD956),"")</f>
        <v/>
      </c>
    </row>
    <row r="956" customFormat="false" ht="13.5" hidden="false" customHeight="false" outlineLevel="0" collapsed="false">
      <c r="A956" s="109" t="n">
        <v>956</v>
      </c>
      <c r="B956" s="110" t="str">
        <f aca="false">IFERROR(IF([2]对账明细接口!$B$956=0,"",[2]对账明细接口!$B$956),"")</f>
        <v/>
      </c>
      <c r="C956" s="59" t="str">
        <f aca="false">IFERROR(IF([2]对账明细接口!$C$956=0,"",[2]对账明细接口!$C$956),"")</f>
        <v/>
      </c>
      <c r="D956" s="59" t="str">
        <f aca="false">IFERROR(IF([2]对账明细接口!$D$956=0,"",[2]对账明细接口!$D$956),"")</f>
        <v/>
      </c>
      <c r="E956" s="59" t="str">
        <f aca="false">IFERROR(IF([2]对账明细接口!$E$956=0,"",[2]对账明细接口!$E$956),"")</f>
        <v/>
      </c>
      <c r="F956" s="59" t="str">
        <f aca="false">IFERROR(IF([2]对账明细接口!$F$956=0,"",[2]对账明细接口!$F$956),"")</f>
        <v/>
      </c>
      <c r="G956" s="59" t="str">
        <f aca="false">IFERROR(IF([2]对账明细接口!$G$956=0,"",[2]对账明细接口!$G$956),"")</f>
        <v/>
      </c>
      <c r="H956" s="60" t="str">
        <f aca="false">IFERROR(IF([2]对账明细接口!$H$956=0,"",[2]对账明细接口!$H$956),"")</f>
        <v/>
      </c>
      <c r="I956" s="59" t="str">
        <f aca="false">IFERROR(IF([2]对账明细接口!$I$956=0,"",[2]对账明细接口!$I$956),"")</f>
        <v/>
      </c>
      <c r="J956" s="61" t="str">
        <f aca="false">IFERROR(IF([2]对账明细接口!$J$956=0,"",[2]对账明细接口!$J$956),"")</f>
        <v/>
      </c>
      <c r="K956" s="61" t="str">
        <f aca="false">IFERROR(IF([2]对账明细接口!$K$956=0,"",[2]对账明细接口!$K$956),"")</f>
        <v/>
      </c>
      <c r="L956" s="59" t="str">
        <f aca="false">IFERROR(IF([2]对账明细接口!$L$956=0,"",[2]对账明细接口!$L$956),"")</f>
        <v/>
      </c>
      <c r="M956" s="59" t="str">
        <f aca="false">IFERROR(IF([2]对账明细接口!$M$956=0,"",[2]对账明细接口!$M$956),"")</f>
        <v/>
      </c>
      <c r="N956" s="111" t="n">
        <f aca="false">IF($C956="",0,1)</f>
        <v>0</v>
      </c>
      <c r="O956" s="111" t="n">
        <f aca="false">N(O955)+$N956</f>
        <v>311</v>
      </c>
      <c r="S956" s="10" t="str">
        <f aca="false">IFERROR(IF([2]对账明细接口!$N956=0,"",[2]对账明细接口!$N956),"")</f>
        <v/>
      </c>
      <c r="T956" s="112" t="str">
        <f aca="false">IFERROR(IF([2]对账明细接口!$O956=0,"",[2]对账明细接口!$O956),"")</f>
        <v/>
      </c>
      <c r="U956" s="112" t="str">
        <f aca="false">IFERROR(IF([2]对账明细接口!$P956=0,"",[2]对账明细接口!$P956),"")</f>
        <v/>
      </c>
      <c r="V956" s="112" t="str">
        <f aca="false">IFERROR(IF([2]对账明细接口!$Q956=0,"",[2]对账明细接口!$Q956),"")</f>
        <v/>
      </c>
      <c r="W956" s="10" t="str">
        <f aca="false">IFERROR(IF([2]对账明细接口!$R956=0,"",[2]对账明细接口!$R956),"")</f>
        <v/>
      </c>
      <c r="X956" s="10" t="str">
        <f aca="false">IFERROR(IF([2]对账明细接口!$S956=0,"",[2]对账明细接口!$S956),"")</f>
        <v/>
      </c>
      <c r="Y956" s="10" t="str">
        <f aca="false">IFERROR(IF([2]对账明细接口!$T956=0,"",[2]对账明细接口!$T956),"")</f>
        <v/>
      </c>
      <c r="Z956" s="113" t="str">
        <f aca="false">IFERROR(IF([2]对账明细接口!$U956=0,"",[2]对账明细接口!$U956),"")</f>
        <v/>
      </c>
      <c r="AA956" s="113" t="str">
        <f aca="false">IFERROR(IF([2]对账明细接口!$V956=0,"",[2]对账明细接口!$V956),"")</f>
        <v/>
      </c>
      <c r="AB956" s="10" t="str">
        <f aca="false">IFERROR(IF([2]对账明细接口!$W956=0,"",[2]对账明细接口!$W956),"")</f>
        <v/>
      </c>
      <c r="AC956" s="90" t="str">
        <f aca="false">IFERROR(IF([2]对账明细接口!$X957=0,"",[2]对账明细接口!$X957),"")</f>
        <v/>
      </c>
      <c r="AD956" s="90" t="str">
        <f aca="false">IFERROR(IF([2]对账明细接口!$Y957=0,"",[2]对账明细接口!$Y957),"")</f>
        <v/>
      </c>
      <c r="AE956" s="90" t="str">
        <f aca="false">IFERROR(IF([2]对账明细接口!$AA957=0,"",[2]对账明细接口!$AA957),"")</f>
        <v/>
      </c>
      <c r="AF956" s="90" t="str">
        <f aca="false">IFERROR(IF([2]对账明细接口!$AB957=0,"",[2]对账明细接口!$AB957),"")</f>
        <v/>
      </c>
      <c r="AG956" s="90" t="str">
        <f aca="false">IFERROR(IF([2]对账明细接口!$AC957=0,"",[2]对账明细接口!$AC957),"")</f>
        <v/>
      </c>
      <c r="AH956" s="90" t="str">
        <f aca="false">IFERROR(IF([2]对账明细接口!$AD957=0,"",[2]对账明细接口!$AD957),"")</f>
        <v/>
      </c>
    </row>
    <row r="957" customFormat="false" ht="13.5" hidden="false" customHeight="false" outlineLevel="0" collapsed="false">
      <c r="A957" s="109" t="n">
        <v>957</v>
      </c>
      <c r="B957" s="110" t="str">
        <f aca="false">IFERROR(IF([2]对账明细接口!$B$957=0,"",[2]对账明细接口!$B$957),"")</f>
        <v/>
      </c>
      <c r="C957" s="59" t="str">
        <f aca="false">IFERROR(IF([2]对账明细接口!$C$957=0,"",[2]对账明细接口!$C$957),"")</f>
        <v/>
      </c>
      <c r="D957" s="59" t="str">
        <f aca="false">IFERROR(IF([2]对账明细接口!$D$957=0,"",[2]对账明细接口!$D$957),"")</f>
        <v/>
      </c>
      <c r="E957" s="59" t="str">
        <f aca="false">IFERROR(IF([2]对账明细接口!$E$957=0,"",[2]对账明细接口!$E$957),"")</f>
        <v/>
      </c>
      <c r="F957" s="59" t="str">
        <f aca="false">IFERROR(IF([2]对账明细接口!$F$957=0,"",[2]对账明细接口!$F$957),"")</f>
        <v/>
      </c>
      <c r="G957" s="59" t="str">
        <f aca="false">IFERROR(IF([2]对账明细接口!$G$957=0,"",[2]对账明细接口!$G$957),"")</f>
        <v/>
      </c>
      <c r="H957" s="60" t="str">
        <f aca="false">IFERROR(IF([2]对账明细接口!$H$957=0,"",[2]对账明细接口!$H$957),"")</f>
        <v/>
      </c>
      <c r="I957" s="59" t="str">
        <f aca="false">IFERROR(IF([2]对账明细接口!$I$957=0,"",[2]对账明细接口!$I$957),"")</f>
        <v/>
      </c>
      <c r="J957" s="61" t="str">
        <f aca="false">IFERROR(IF([2]对账明细接口!$J$957=0,"",[2]对账明细接口!$J$957),"")</f>
        <v/>
      </c>
      <c r="K957" s="61" t="str">
        <f aca="false">IFERROR(IF([2]对账明细接口!$K$957=0,"",[2]对账明细接口!$K$957),"")</f>
        <v/>
      </c>
      <c r="L957" s="59" t="str">
        <f aca="false">IFERROR(IF([2]对账明细接口!$L$957=0,"",[2]对账明细接口!$L$957),"")</f>
        <v/>
      </c>
      <c r="M957" s="59" t="str">
        <f aca="false">IFERROR(IF([2]对账明细接口!$M$957=0,"",[2]对账明细接口!$M$957),"")</f>
        <v/>
      </c>
      <c r="N957" s="111" t="n">
        <f aca="false">IF($C957="",0,1)</f>
        <v>0</v>
      </c>
      <c r="O957" s="111" t="n">
        <f aca="false">N(O956)+$N957</f>
        <v>311</v>
      </c>
      <c r="S957" s="10" t="str">
        <f aca="false">IFERROR(IF([2]对账明细接口!$N957=0,"",[2]对账明细接口!$N957),"")</f>
        <v/>
      </c>
      <c r="T957" s="112" t="str">
        <f aca="false">IFERROR(IF([2]对账明细接口!$O957=0,"",[2]对账明细接口!$O957),"")</f>
        <v/>
      </c>
      <c r="U957" s="112" t="str">
        <f aca="false">IFERROR(IF([2]对账明细接口!$P957=0,"",[2]对账明细接口!$P957),"")</f>
        <v/>
      </c>
      <c r="V957" s="112" t="str">
        <f aca="false">IFERROR(IF([2]对账明细接口!$Q957=0,"",[2]对账明细接口!$Q957),"")</f>
        <v/>
      </c>
      <c r="W957" s="10" t="str">
        <f aca="false">IFERROR(IF([2]对账明细接口!$R957=0,"",[2]对账明细接口!$R957),"")</f>
        <v/>
      </c>
      <c r="X957" s="10" t="str">
        <f aca="false">IFERROR(IF([2]对账明细接口!$S957=0,"",[2]对账明细接口!$S957),"")</f>
        <v/>
      </c>
      <c r="Y957" s="10" t="str">
        <f aca="false">IFERROR(IF([2]对账明细接口!$T957=0,"",[2]对账明细接口!$T957),"")</f>
        <v/>
      </c>
      <c r="Z957" s="113" t="str">
        <f aca="false">IFERROR(IF([2]对账明细接口!$U957=0,"",[2]对账明细接口!$U957),"")</f>
        <v/>
      </c>
      <c r="AA957" s="113" t="str">
        <f aca="false">IFERROR(IF([2]对账明细接口!$V957=0,"",[2]对账明细接口!$V957),"")</f>
        <v/>
      </c>
      <c r="AB957" s="10" t="str">
        <f aca="false">IFERROR(IF([2]对账明细接口!$W957=0,"",[2]对账明细接口!$W957),"")</f>
        <v/>
      </c>
      <c r="AC957" s="90" t="str">
        <f aca="false">IFERROR(IF([2]对账明细接口!$X958=0,"",[2]对账明细接口!$X958),"")</f>
        <v/>
      </c>
      <c r="AD957" s="90" t="str">
        <f aca="false">IFERROR(IF([2]对账明细接口!$Y958=0,"",[2]对账明细接口!$Y958),"")</f>
        <v/>
      </c>
      <c r="AE957" s="90" t="str">
        <f aca="false">IFERROR(IF([2]对账明细接口!$AA958=0,"",[2]对账明细接口!$AA958),"")</f>
        <v/>
      </c>
      <c r="AF957" s="90" t="str">
        <f aca="false">IFERROR(IF([2]对账明细接口!$AB958=0,"",[2]对账明细接口!$AB958),"")</f>
        <v/>
      </c>
      <c r="AG957" s="90" t="str">
        <f aca="false">IFERROR(IF([2]对账明细接口!$AC958=0,"",[2]对账明细接口!$AC958),"")</f>
        <v/>
      </c>
      <c r="AH957" s="90" t="str">
        <f aca="false">IFERROR(IF([2]对账明细接口!$AD958=0,"",[2]对账明细接口!$AD958),"")</f>
        <v/>
      </c>
    </row>
    <row r="958" customFormat="false" ht="13.5" hidden="false" customHeight="false" outlineLevel="0" collapsed="false">
      <c r="A958" s="109" t="n">
        <v>958</v>
      </c>
      <c r="B958" s="110" t="str">
        <f aca="false">IFERROR(IF([2]对账明细接口!$B$958=0,"",[2]对账明细接口!$B$958),"")</f>
        <v/>
      </c>
      <c r="C958" s="59" t="str">
        <f aca="false">IFERROR(IF([2]对账明细接口!$C$958=0,"",[2]对账明细接口!$C$958),"")</f>
        <v/>
      </c>
      <c r="D958" s="59" t="str">
        <f aca="false">IFERROR(IF([2]对账明细接口!$D$958=0,"",[2]对账明细接口!$D$958),"")</f>
        <v/>
      </c>
      <c r="E958" s="59" t="str">
        <f aca="false">IFERROR(IF([2]对账明细接口!$E$958=0,"",[2]对账明细接口!$E$958),"")</f>
        <v/>
      </c>
      <c r="F958" s="59" t="str">
        <f aca="false">IFERROR(IF([2]对账明细接口!$F$958=0,"",[2]对账明细接口!$F$958),"")</f>
        <v/>
      </c>
      <c r="G958" s="59" t="str">
        <f aca="false">IFERROR(IF([2]对账明细接口!$G$958=0,"",[2]对账明细接口!$G$958),"")</f>
        <v/>
      </c>
      <c r="H958" s="60" t="str">
        <f aca="false">IFERROR(IF([2]对账明细接口!$H$958=0,"",[2]对账明细接口!$H$958),"")</f>
        <v/>
      </c>
      <c r="I958" s="59" t="str">
        <f aca="false">IFERROR(IF([2]对账明细接口!$I$958=0,"",[2]对账明细接口!$I$958),"")</f>
        <v/>
      </c>
      <c r="J958" s="61" t="str">
        <f aca="false">IFERROR(IF([2]对账明细接口!$J$958=0,"",[2]对账明细接口!$J$958),"")</f>
        <v/>
      </c>
      <c r="K958" s="61" t="str">
        <f aca="false">IFERROR(IF([2]对账明细接口!$K$958=0,"",[2]对账明细接口!$K$958),"")</f>
        <v/>
      </c>
      <c r="L958" s="59" t="str">
        <f aca="false">IFERROR(IF([2]对账明细接口!$L$958=0,"",[2]对账明细接口!$L$958),"")</f>
        <v/>
      </c>
      <c r="M958" s="59" t="str">
        <f aca="false">IFERROR(IF([2]对账明细接口!$M$958=0,"",[2]对账明细接口!$M$958),"")</f>
        <v/>
      </c>
      <c r="N958" s="111" t="n">
        <f aca="false">IF($C958="",0,1)</f>
        <v>0</v>
      </c>
      <c r="O958" s="111" t="n">
        <f aca="false">N(O957)+$N958</f>
        <v>311</v>
      </c>
      <c r="S958" s="10" t="str">
        <f aca="false">IFERROR(IF([2]对账明细接口!$N958=0,"",[2]对账明细接口!$N958),"")</f>
        <v/>
      </c>
      <c r="T958" s="112" t="str">
        <f aca="false">IFERROR(IF([2]对账明细接口!$O958=0,"",[2]对账明细接口!$O958),"")</f>
        <v/>
      </c>
      <c r="U958" s="112" t="str">
        <f aca="false">IFERROR(IF([2]对账明细接口!$P958=0,"",[2]对账明细接口!$P958),"")</f>
        <v/>
      </c>
      <c r="V958" s="112" t="str">
        <f aca="false">IFERROR(IF([2]对账明细接口!$Q958=0,"",[2]对账明细接口!$Q958),"")</f>
        <v/>
      </c>
      <c r="W958" s="10" t="str">
        <f aca="false">IFERROR(IF([2]对账明细接口!$R958=0,"",[2]对账明细接口!$R958),"")</f>
        <v/>
      </c>
      <c r="X958" s="10" t="str">
        <f aca="false">IFERROR(IF([2]对账明细接口!$S958=0,"",[2]对账明细接口!$S958),"")</f>
        <v/>
      </c>
      <c r="Y958" s="10" t="str">
        <f aca="false">IFERROR(IF([2]对账明细接口!$T958=0,"",[2]对账明细接口!$T958),"")</f>
        <v/>
      </c>
      <c r="Z958" s="113" t="str">
        <f aca="false">IFERROR(IF([2]对账明细接口!$U958=0,"",[2]对账明细接口!$U958),"")</f>
        <v/>
      </c>
      <c r="AA958" s="113" t="str">
        <f aca="false">IFERROR(IF([2]对账明细接口!$V958=0,"",[2]对账明细接口!$V958),"")</f>
        <v/>
      </c>
      <c r="AB958" s="10" t="str">
        <f aca="false">IFERROR(IF([2]对账明细接口!$W958=0,"",[2]对账明细接口!$W958),"")</f>
        <v/>
      </c>
      <c r="AC958" s="90" t="str">
        <f aca="false">IFERROR(IF([2]对账明细接口!$X959=0,"",[2]对账明细接口!$X959),"")</f>
        <v/>
      </c>
      <c r="AD958" s="90" t="str">
        <f aca="false">IFERROR(IF([2]对账明细接口!$Y959=0,"",[2]对账明细接口!$Y959),"")</f>
        <v/>
      </c>
      <c r="AE958" s="90" t="str">
        <f aca="false">IFERROR(IF([2]对账明细接口!$AA959=0,"",[2]对账明细接口!$AA959),"")</f>
        <v/>
      </c>
      <c r="AF958" s="90" t="str">
        <f aca="false">IFERROR(IF([2]对账明细接口!$AB959=0,"",[2]对账明细接口!$AB959),"")</f>
        <v/>
      </c>
      <c r="AG958" s="90" t="str">
        <f aca="false">IFERROR(IF([2]对账明细接口!$AC959=0,"",[2]对账明细接口!$AC959),"")</f>
        <v/>
      </c>
      <c r="AH958" s="90" t="str">
        <f aca="false">IFERROR(IF([2]对账明细接口!$AD959=0,"",[2]对账明细接口!$AD959),"")</f>
        <v/>
      </c>
    </row>
    <row r="959" customFormat="false" ht="13.5" hidden="false" customHeight="false" outlineLevel="0" collapsed="false">
      <c r="A959" s="109" t="n">
        <v>959</v>
      </c>
      <c r="B959" s="110" t="str">
        <f aca="false">IFERROR(IF([2]对账明细接口!$B$959=0,"",[2]对账明细接口!$B$959),"")</f>
        <v/>
      </c>
      <c r="C959" s="59" t="str">
        <f aca="false">IFERROR(IF([2]对账明细接口!$C$959=0,"",[2]对账明细接口!$C$959),"")</f>
        <v/>
      </c>
      <c r="D959" s="59" t="str">
        <f aca="false">IFERROR(IF([2]对账明细接口!$D$959=0,"",[2]对账明细接口!$D$959),"")</f>
        <v/>
      </c>
      <c r="E959" s="59" t="str">
        <f aca="false">IFERROR(IF([2]对账明细接口!$E$959=0,"",[2]对账明细接口!$E$959),"")</f>
        <v/>
      </c>
      <c r="F959" s="59" t="str">
        <f aca="false">IFERROR(IF([2]对账明细接口!$F$959=0,"",[2]对账明细接口!$F$959),"")</f>
        <v/>
      </c>
      <c r="G959" s="59" t="str">
        <f aca="false">IFERROR(IF([2]对账明细接口!$G$959=0,"",[2]对账明细接口!$G$959),"")</f>
        <v/>
      </c>
      <c r="H959" s="60" t="str">
        <f aca="false">IFERROR(IF([2]对账明细接口!$H$959=0,"",[2]对账明细接口!$H$959),"")</f>
        <v/>
      </c>
      <c r="I959" s="59" t="str">
        <f aca="false">IFERROR(IF([2]对账明细接口!$I$959=0,"",[2]对账明细接口!$I$959),"")</f>
        <v/>
      </c>
      <c r="J959" s="61" t="str">
        <f aca="false">IFERROR(IF([2]对账明细接口!$J$959=0,"",[2]对账明细接口!$J$959),"")</f>
        <v/>
      </c>
      <c r="K959" s="61" t="str">
        <f aca="false">IFERROR(IF([2]对账明细接口!$K$959=0,"",[2]对账明细接口!$K$959),"")</f>
        <v/>
      </c>
      <c r="L959" s="59" t="str">
        <f aca="false">IFERROR(IF([2]对账明细接口!$L$959=0,"",[2]对账明细接口!$L$959),"")</f>
        <v/>
      </c>
      <c r="M959" s="59" t="str">
        <f aca="false">IFERROR(IF([2]对账明细接口!$M$959=0,"",[2]对账明细接口!$M$959),"")</f>
        <v/>
      </c>
      <c r="N959" s="111" t="n">
        <f aca="false">IF($C959="",0,1)</f>
        <v>0</v>
      </c>
      <c r="O959" s="111" t="n">
        <f aca="false">N(O958)+$N959</f>
        <v>311</v>
      </c>
      <c r="S959" s="10" t="str">
        <f aca="false">IFERROR(IF([2]对账明细接口!$N959=0,"",[2]对账明细接口!$N959),"")</f>
        <v/>
      </c>
      <c r="T959" s="112" t="str">
        <f aca="false">IFERROR(IF([2]对账明细接口!$O959=0,"",[2]对账明细接口!$O959),"")</f>
        <v/>
      </c>
      <c r="U959" s="112" t="str">
        <f aca="false">IFERROR(IF([2]对账明细接口!$P959=0,"",[2]对账明细接口!$P959),"")</f>
        <v/>
      </c>
      <c r="V959" s="112" t="str">
        <f aca="false">IFERROR(IF([2]对账明细接口!$Q959=0,"",[2]对账明细接口!$Q959),"")</f>
        <v/>
      </c>
      <c r="W959" s="10" t="str">
        <f aca="false">IFERROR(IF([2]对账明细接口!$R959=0,"",[2]对账明细接口!$R959),"")</f>
        <v/>
      </c>
      <c r="X959" s="10" t="str">
        <f aca="false">IFERROR(IF([2]对账明细接口!$S959=0,"",[2]对账明细接口!$S959),"")</f>
        <v/>
      </c>
      <c r="Y959" s="10" t="str">
        <f aca="false">IFERROR(IF([2]对账明细接口!$T959=0,"",[2]对账明细接口!$T959),"")</f>
        <v/>
      </c>
      <c r="Z959" s="113" t="str">
        <f aca="false">IFERROR(IF([2]对账明细接口!$U959=0,"",[2]对账明细接口!$U959),"")</f>
        <v/>
      </c>
      <c r="AA959" s="113" t="str">
        <f aca="false">IFERROR(IF([2]对账明细接口!$V959=0,"",[2]对账明细接口!$V959),"")</f>
        <v/>
      </c>
      <c r="AB959" s="10" t="str">
        <f aca="false">IFERROR(IF([2]对账明细接口!$W959=0,"",[2]对账明细接口!$W959),"")</f>
        <v/>
      </c>
      <c r="AC959" s="90" t="str">
        <f aca="false">IFERROR(IF([2]对账明细接口!$X960=0,"",[2]对账明细接口!$X960),"")</f>
        <v/>
      </c>
      <c r="AD959" s="90" t="str">
        <f aca="false">IFERROR(IF([2]对账明细接口!$Y960=0,"",[2]对账明细接口!$Y960),"")</f>
        <v/>
      </c>
      <c r="AE959" s="90" t="str">
        <f aca="false">IFERROR(IF([2]对账明细接口!$AA960=0,"",[2]对账明细接口!$AA960),"")</f>
        <v/>
      </c>
      <c r="AF959" s="90" t="str">
        <f aca="false">IFERROR(IF([2]对账明细接口!$AB960=0,"",[2]对账明细接口!$AB960),"")</f>
        <v/>
      </c>
      <c r="AG959" s="90" t="str">
        <f aca="false">IFERROR(IF([2]对账明细接口!$AC960=0,"",[2]对账明细接口!$AC960),"")</f>
        <v/>
      </c>
      <c r="AH959" s="90" t="str">
        <f aca="false">IFERROR(IF([2]对账明细接口!$AD960=0,"",[2]对账明细接口!$AD960),"")</f>
        <v/>
      </c>
    </row>
    <row r="960" customFormat="false" ht="13.5" hidden="false" customHeight="false" outlineLevel="0" collapsed="false">
      <c r="A960" s="109" t="n">
        <v>960</v>
      </c>
      <c r="B960" s="110" t="str">
        <f aca="false">IFERROR(IF([2]对账明细接口!$B$960=0,"",[2]对账明细接口!$B$960),"")</f>
        <v/>
      </c>
      <c r="C960" s="59" t="str">
        <f aca="false">IFERROR(IF([2]对账明细接口!$C$960=0,"",[2]对账明细接口!$C$960),"")</f>
        <v/>
      </c>
      <c r="D960" s="59" t="str">
        <f aca="false">IFERROR(IF([2]对账明细接口!$D$960=0,"",[2]对账明细接口!$D$960),"")</f>
        <v/>
      </c>
      <c r="E960" s="59" t="str">
        <f aca="false">IFERROR(IF([2]对账明细接口!$E$960=0,"",[2]对账明细接口!$E$960),"")</f>
        <v/>
      </c>
      <c r="F960" s="59" t="str">
        <f aca="false">IFERROR(IF([2]对账明细接口!$F$960=0,"",[2]对账明细接口!$F$960),"")</f>
        <v/>
      </c>
      <c r="G960" s="59" t="str">
        <f aca="false">IFERROR(IF([2]对账明细接口!$G$960=0,"",[2]对账明细接口!$G$960),"")</f>
        <v/>
      </c>
      <c r="H960" s="60" t="str">
        <f aca="false">IFERROR(IF([2]对账明细接口!$H$960=0,"",[2]对账明细接口!$H$960),"")</f>
        <v/>
      </c>
      <c r="I960" s="59" t="str">
        <f aca="false">IFERROR(IF([2]对账明细接口!$I$960=0,"",[2]对账明细接口!$I$960),"")</f>
        <v/>
      </c>
      <c r="J960" s="61" t="str">
        <f aca="false">IFERROR(IF([2]对账明细接口!$J$960=0,"",[2]对账明细接口!$J$960),"")</f>
        <v/>
      </c>
      <c r="K960" s="61" t="str">
        <f aca="false">IFERROR(IF([2]对账明细接口!$K$960=0,"",[2]对账明细接口!$K$960),"")</f>
        <v/>
      </c>
      <c r="L960" s="59" t="str">
        <f aca="false">IFERROR(IF([2]对账明细接口!$L$960=0,"",[2]对账明细接口!$L$960),"")</f>
        <v/>
      </c>
      <c r="M960" s="59" t="str">
        <f aca="false">IFERROR(IF([2]对账明细接口!$M$960=0,"",[2]对账明细接口!$M$960),"")</f>
        <v/>
      </c>
      <c r="N960" s="111" t="n">
        <f aca="false">IF($C960="",0,1)</f>
        <v>0</v>
      </c>
      <c r="O960" s="111" t="n">
        <f aca="false">N(O959)+$N960</f>
        <v>311</v>
      </c>
      <c r="S960" s="10" t="str">
        <f aca="false">IFERROR(IF([2]对账明细接口!$N960=0,"",[2]对账明细接口!$N960),"")</f>
        <v/>
      </c>
      <c r="T960" s="112" t="str">
        <f aca="false">IFERROR(IF([2]对账明细接口!$O960=0,"",[2]对账明细接口!$O960),"")</f>
        <v/>
      </c>
      <c r="U960" s="112" t="str">
        <f aca="false">IFERROR(IF([2]对账明细接口!$P960=0,"",[2]对账明细接口!$P960),"")</f>
        <v/>
      </c>
      <c r="V960" s="112" t="str">
        <f aca="false">IFERROR(IF([2]对账明细接口!$Q960=0,"",[2]对账明细接口!$Q960),"")</f>
        <v/>
      </c>
      <c r="W960" s="10" t="str">
        <f aca="false">IFERROR(IF([2]对账明细接口!$R960=0,"",[2]对账明细接口!$R960),"")</f>
        <v/>
      </c>
      <c r="X960" s="10" t="str">
        <f aca="false">IFERROR(IF([2]对账明细接口!$S960=0,"",[2]对账明细接口!$S960),"")</f>
        <v/>
      </c>
      <c r="Y960" s="10" t="str">
        <f aca="false">IFERROR(IF([2]对账明细接口!$T960=0,"",[2]对账明细接口!$T960),"")</f>
        <v/>
      </c>
      <c r="Z960" s="113" t="str">
        <f aca="false">IFERROR(IF([2]对账明细接口!$U960=0,"",[2]对账明细接口!$U960),"")</f>
        <v/>
      </c>
      <c r="AA960" s="113" t="str">
        <f aca="false">IFERROR(IF([2]对账明细接口!$V960=0,"",[2]对账明细接口!$V960),"")</f>
        <v/>
      </c>
      <c r="AB960" s="10" t="str">
        <f aca="false">IFERROR(IF([2]对账明细接口!$W960=0,"",[2]对账明细接口!$W960),"")</f>
        <v/>
      </c>
      <c r="AC960" s="90" t="str">
        <f aca="false">IFERROR(IF([2]对账明细接口!$X961=0,"",[2]对账明细接口!$X961),"")</f>
        <v/>
      </c>
      <c r="AD960" s="90" t="str">
        <f aca="false">IFERROR(IF([2]对账明细接口!$Y961=0,"",[2]对账明细接口!$Y961),"")</f>
        <v/>
      </c>
      <c r="AE960" s="90" t="str">
        <f aca="false">IFERROR(IF([2]对账明细接口!$AA961=0,"",[2]对账明细接口!$AA961),"")</f>
        <v/>
      </c>
      <c r="AF960" s="90" t="str">
        <f aca="false">IFERROR(IF([2]对账明细接口!$AB961=0,"",[2]对账明细接口!$AB961),"")</f>
        <v/>
      </c>
      <c r="AG960" s="90" t="str">
        <f aca="false">IFERROR(IF([2]对账明细接口!$AC961=0,"",[2]对账明细接口!$AC961),"")</f>
        <v/>
      </c>
      <c r="AH960" s="90" t="str">
        <f aca="false">IFERROR(IF([2]对账明细接口!$AD961=0,"",[2]对账明细接口!$AD961),"")</f>
        <v/>
      </c>
    </row>
    <row r="961" customFormat="false" ht="13.5" hidden="false" customHeight="false" outlineLevel="0" collapsed="false">
      <c r="A961" s="109" t="n">
        <v>961</v>
      </c>
      <c r="B961" s="110" t="str">
        <f aca="false">IFERROR(IF([2]对账明细接口!$B$961=0,"",[2]对账明细接口!$B$961),"")</f>
        <v/>
      </c>
      <c r="C961" s="59" t="str">
        <f aca="false">IFERROR(IF([2]对账明细接口!$C$961=0,"",[2]对账明细接口!$C$961),"")</f>
        <v/>
      </c>
      <c r="D961" s="59" t="str">
        <f aca="false">IFERROR(IF([2]对账明细接口!$D$961=0,"",[2]对账明细接口!$D$961),"")</f>
        <v/>
      </c>
      <c r="E961" s="59" t="str">
        <f aca="false">IFERROR(IF([2]对账明细接口!$E$961=0,"",[2]对账明细接口!$E$961),"")</f>
        <v/>
      </c>
      <c r="F961" s="59" t="str">
        <f aca="false">IFERROR(IF([2]对账明细接口!$F$961=0,"",[2]对账明细接口!$F$961),"")</f>
        <v/>
      </c>
      <c r="G961" s="59" t="str">
        <f aca="false">IFERROR(IF([2]对账明细接口!$G$961=0,"",[2]对账明细接口!$G$961),"")</f>
        <v/>
      </c>
      <c r="H961" s="60" t="str">
        <f aca="false">IFERROR(IF([2]对账明细接口!$H$961=0,"",[2]对账明细接口!$H$961),"")</f>
        <v/>
      </c>
      <c r="I961" s="59" t="str">
        <f aca="false">IFERROR(IF([2]对账明细接口!$I$961=0,"",[2]对账明细接口!$I$961),"")</f>
        <v/>
      </c>
      <c r="J961" s="61" t="str">
        <f aca="false">IFERROR(IF([2]对账明细接口!$J$961=0,"",[2]对账明细接口!$J$961),"")</f>
        <v/>
      </c>
      <c r="K961" s="61" t="str">
        <f aca="false">IFERROR(IF([2]对账明细接口!$K$961=0,"",[2]对账明细接口!$K$961),"")</f>
        <v/>
      </c>
      <c r="L961" s="59" t="str">
        <f aca="false">IFERROR(IF([2]对账明细接口!$L$961=0,"",[2]对账明细接口!$L$961),"")</f>
        <v/>
      </c>
      <c r="M961" s="59" t="str">
        <f aca="false">IFERROR(IF([2]对账明细接口!$M$961=0,"",[2]对账明细接口!$M$961),"")</f>
        <v/>
      </c>
      <c r="N961" s="111" t="n">
        <f aca="false">IF($C961="",0,1)</f>
        <v>0</v>
      </c>
      <c r="O961" s="111" t="n">
        <f aca="false">N(O960)+$N961</f>
        <v>311</v>
      </c>
      <c r="S961" s="10" t="str">
        <f aca="false">IFERROR(IF([2]对账明细接口!$N961=0,"",[2]对账明细接口!$N961),"")</f>
        <v/>
      </c>
      <c r="T961" s="112" t="str">
        <f aca="false">IFERROR(IF([2]对账明细接口!$O961=0,"",[2]对账明细接口!$O961),"")</f>
        <v/>
      </c>
      <c r="U961" s="112" t="str">
        <f aca="false">IFERROR(IF([2]对账明细接口!$P961=0,"",[2]对账明细接口!$P961),"")</f>
        <v/>
      </c>
      <c r="V961" s="112" t="str">
        <f aca="false">IFERROR(IF([2]对账明细接口!$Q961=0,"",[2]对账明细接口!$Q961),"")</f>
        <v/>
      </c>
      <c r="W961" s="10" t="str">
        <f aca="false">IFERROR(IF([2]对账明细接口!$R961=0,"",[2]对账明细接口!$R961),"")</f>
        <v/>
      </c>
      <c r="X961" s="10" t="str">
        <f aca="false">IFERROR(IF([2]对账明细接口!$S961=0,"",[2]对账明细接口!$S961),"")</f>
        <v/>
      </c>
      <c r="Y961" s="10" t="str">
        <f aca="false">IFERROR(IF([2]对账明细接口!$T961=0,"",[2]对账明细接口!$T961),"")</f>
        <v/>
      </c>
      <c r="Z961" s="113" t="str">
        <f aca="false">IFERROR(IF([2]对账明细接口!$U961=0,"",[2]对账明细接口!$U961),"")</f>
        <v/>
      </c>
      <c r="AA961" s="113" t="str">
        <f aca="false">IFERROR(IF([2]对账明细接口!$V961=0,"",[2]对账明细接口!$V961),"")</f>
        <v/>
      </c>
      <c r="AB961" s="10" t="str">
        <f aca="false">IFERROR(IF([2]对账明细接口!$W961=0,"",[2]对账明细接口!$W961),"")</f>
        <v/>
      </c>
      <c r="AC961" s="90" t="str">
        <f aca="false">IFERROR(IF([2]对账明细接口!$X962=0,"",[2]对账明细接口!$X962),"")</f>
        <v/>
      </c>
      <c r="AD961" s="90" t="str">
        <f aca="false">IFERROR(IF([2]对账明细接口!$Y962=0,"",[2]对账明细接口!$Y962),"")</f>
        <v/>
      </c>
      <c r="AE961" s="90" t="str">
        <f aca="false">IFERROR(IF([2]对账明细接口!$AA962=0,"",[2]对账明细接口!$AA962),"")</f>
        <v/>
      </c>
      <c r="AF961" s="90" t="str">
        <f aca="false">IFERROR(IF([2]对账明细接口!$AB962=0,"",[2]对账明细接口!$AB962),"")</f>
        <v/>
      </c>
      <c r="AG961" s="90" t="str">
        <f aca="false">IFERROR(IF([2]对账明细接口!$AC962=0,"",[2]对账明细接口!$AC962),"")</f>
        <v/>
      </c>
      <c r="AH961" s="90" t="str">
        <f aca="false">IFERROR(IF([2]对账明细接口!$AD962=0,"",[2]对账明细接口!$AD962),"")</f>
        <v/>
      </c>
    </row>
    <row r="962" customFormat="false" ht="13.5" hidden="false" customHeight="false" outlineLevel="0" collapsed="false">
      <c r="A962" s="109" t="n">
        <v>962</v>
      </c>
      <c r="B962" s="110" t="str">
        <f aca="false">IFERROR(IF([2]对账明细接口!$B$962=0,"",[2]对账明细接口!$B$962),"")</f>
        <v/>
      </c>
      <c r="C962" s="59" t="str">
        <f aca="false">IFERROR(IF([2]对账明细接口!$C$962=0,"",[2]对账明细接口!$C$962),"")</f>
        <v/>
      </c>
      <c r="D962" s="59" t="str">
        <f aca="false">IFERROR(IF([2]对账明细接口!$D$962=0,"",[2]对账明细接口!$D$962),"")</f>
        <v/>
      </c>
      <c r="E962" s="59" t="str">
        <f aca="false">IFERROR(IF([2]对账明细接口!$E$962=0,"",[2]对账明细接口!$E$962),"")</f>
        <v/>
      </c>
      <c r="F962" s="59" t="str">
        <f aca="false">IFERROR(IF([2]对账明细接口!$F$962=0,"",[2]对账明细接口!$F$962),"")</f>
        <v/>
      </c>
      <c r="G962" s="59" t="str">
        <f aca="false">IFERROR(IF([2]对账明细接口!$G$962=0,"",[2]对账明细接口!$G$962),"")</f>
        <v/>
      </c>
      <c r="H962" s="60" t="str">
        <f aca="false">IFERROR(IF([2]对账明细接口!$H$962=0,"",[2]对账明细接口!$H$962),"")</f>
        <v/>
      </c>
      <c r="I962" s="59" t="str">
        <f aca="false">IFERROR(IF([2]对账明细接口!$I$962=0,"",[2]对账明细接口!$I$962),"")</f>
        <v/>
      </c>
      <c r="J962" s="61" t="str">
        <f aca="false">IFERROR(IF([2]对账明细接口!$J$962=0,"",[2]对账明细接口!$J$962),"")</f>
        <v/>
      </c>
      <c r="K962" s="61" t="str">
        <f aca="false">IFERROR(IF([2]对账明细接口!$K$962=0,"",[2]对账明细接口!$K$962),"")</f>
        <v/>
      </c>
      <c r="L962" s="59" t="str">
        <f aca="false">IFERROR(IF([2]对账明细接口!$L$962=0,"",[2]对账明细接口!$L$962),"")</f>
        <v/>
      </c>
      <c r="M962" s="59" t="str">
        <f aca="false">IFERROR(IF([2]对账明细接口!$M$962=0,"",[2]对账明细接口!$M$962),"")</f>
        <v/>
      </c>
      <c r="N962" s="111" t="n">
        <f aca="false">IF($C962="",0,1)</f>
        <v>0</v>
      </c>
      <c r="O962" s="111" t="n">
        <f aca="false">N(O961)+$N962</f>
        <v>311</v>
      </c>
      <c r="S962" s="10" t="str">
        <f aca="false">IFERROR(IF([2]对账明细接口!$N962=0,"",[2]对账明细接口!$N962),"")</f>
        <v/>
      </c>
      <c r="T962" s="112" t="str">
        <f aca="false">IFERROR(IF([2]对账明细接口!$O962=0,"",[2]对账明细接口!$O962),"")</f>
        <v/>
      </c>
      <c r="U962" s="112" t="str">
        <f aca="false">IFERROR(IF([2]对账明细接口!$P962=0,"",[2]对账明细接口!$P962),"")</f>
        <v/>
      </c>
      <c r="V962" s="112" t="str">
        <f aca="false">IFERROR(IF([2]对账明细接口!$Q962=0,"",[2]对账明细接口!$Q962),"")</f>
        <v/>
      </c>
      <c r="W962" s="10" t="str">
        <f aca="false">IFERROR(IF([2]对账明细接口!$R962=0,"",[2]对账明细接口!$R962),"")</f>
        <v/>
      </c>
      <c r="X962" s="10" t="str">
        <f aca="false">IFERROR(IF([2]对账明细接口!$S962=0,"",[2]对账明细接口!$S962),"")</f>
        <v/>
      </c>
      <c r="Y962" s="10" t="str">
        <f aca="false">IFERROR(IF([2]对账明细接口!$T962=0,"",[2]对账明细接口!$T962),"")</f>
        <v/>
      </c>
      <c r="Z962" s="113" t="str">
        <f aca="false">IFERROR(IF([2]对账明细接口!$U962=0,"",[2]对账明细接口!$U962),"")</f>
        <v/>
      </c>
      <c r="AA962" s="113" t="str">
        <f aca="false">IFERROR(IF([2]对账明细接口!$V962=0,"",[2]对账明细接口!$V962),"")</f>
        <v/>
      </c>
      <c r="AB962" s="10" t="str">
        <f aca="false">IFERROR(IF([2]对账明细接口!$W962=0,"",[2]对账明细接口!$W962),"")</f>
        <v/>
      </c>
      <c r="AC962" s="90" t="str">
        <f aca="false">IFERROR(IF([2]对账明细接口!$X963=0,"",[2]对账明细接口!$X963),"")</f>
        <v/>
      </c>
      <c r="AD962" s="90" t="str">
        <f aca="false">IFERROR(IF([2]对账明细接口!$Y963=0,"",[2]对账明细接口!$Y963),"")</f>
        <v/>
      </c>
      <c r="AE962" s="90" t="str">
        <f aca="false">IFERROR(IF([2]对账明细接口!$AA963=0,"",[2]对账明细接口!$AA963),"")</f>
        <v/>
      </c>
      <c r="AF962" s="90" t="str">
        <f aca="false">IFERROR(IF([2]对账明细接口!$AB963=0,"",[2]对账明细接口!$AB963),"")</f>
        <v/>
      </c>
      <c r="AG962" s="90" t="str">
        <f aca="false">IFERROR(IF([2]对账明细接口!$AC963=0,"",[2]对账明细接口!$AC963),"")</f>
        <v/>
      </c>
      <c r="AH962" s="90" t="str">
        <f aca="false">IFERROR(IF([2]对账明细接口!$AD963=0,"",[2]对账明细接口!$AD963),"")</f>
        <v/>
      </c>
    </row>
    <row r="963" customFormat="false" ht="13.5" hidden="false" customHeight="false" outlineLevel="0" collapsed="false">
      <c r="A963" s="109" t="n">
        <v>963</v>
      </c>
      <c r="B963" s="110" t="str">
        <f aca="false">IFERROR(IF([2]对账明细接口!$B$963=0,"",[2]对账明细接口!$B$963),"")</f>
        <v/>
      </c>
      <c r="C963" s="59" t="str">
        <f aca="false">IFERROR(IF([2]对账明细接口!$C$963=0,"",[2]对账明细接口!$C$963),"")</f>
        <v/>
      </c>
      <c r="D963" s="59" t="str">
        <f aca="false">IFERROR(IF([2]对账明细接口!$D$963=0,"",[2]对账明细接口!$D$963),"")</f>
        <v/>
      </c>
      <c r="E963" s="59" t="str">
        <f aca="false">IFERROR(IF([2]对账明细接口!$E$963=0,"",[2]对账明细接口!$E$963),"")</f>
        <v/>
      </c>
      <c r="F963" s="59" t="str">
        <f aca="false">IFERROR(IF([2]对账明细接口!$F$963=0,"",[2]对账明细接口!$F$963),"")</f>
        <v/>
      </c>
      <c r="G963" s="59" t="str">
        <f aca="false">IFERROR(IF([2]对账明细接口!$G$963=0,"",[2]对账明细接口!$G$963),"")</f>
        <v/>
      </c>
      <c r="H963" s="60" t="str">
        <f aca="false">IFERROR(IF([2]对账明细接口!$H$963=0,"",[2]对账明细接口!$H$963),"")</f>
        <v/>
      </c>
      <c r="I963" s="59" t="str">
        <f aca="false">IFERROR(IF([2]对账明细接口!$I$963=0,"",[2]对账明细接口!$I$963),"")</f>
        <v/>
      </c>
      <c r="J963" s="61" t="str">
        <f aca="false">IFERROR(IF([2]对账明细接口!$J$963=0,"",[2]对账明细接口!$J$963),"")</f>
        <v/>
      </c>
      <c r="K963" s="61" t="str">
        <f aca="false">IFERROR(IF([2]对账明细接口!$K$963=0,"",[2]对账明细接口!$K$963),"")</f>
        <v/>
      </c>
      <c r="L963" s="59" t="str">
        <f aca="false">IFERROR(IF([2]对账明细接口!$L$963=0,"",[2]对账明细接口!$L$963),"")</f>
        <v/>
      </c>
      <c r="M963" s="59" t="str">
        <f aca="false">IFERROR(IF([2]对账明细接口!$M$963=0,"",[2]对账明细接口!$M$963),"")</f>
        <v/>
      </c>
      <c r="N963" s="111" t="n">
        <f aca="false">IF($C963="",0,1)</f>
        <v>0</v>
      </c>
      <c r="O963" s="111" t="n">
        <f aca="false">N(O962)+$N963</f>
        <v>311</v>
      </c>
      <c r="S963" s="10" t="str">
        <f aca="false">IFERROR(IF([2]对账明细接口!$N963=0,"",[2]对账明细接口!$N963),"")</f>
        <v/>
      </c>
      <c r="T963" s="112" t="str">
        <f aca="false">IFERROR(IF([2]对账明细接口!$O963=0,"",[2]对账明细接口!$O963),"")</f>
        <v/>
      </c>
      <c r="U963" s="112" t="str">
        <f aca="false">IFERROR(IF([2]对账明细接口!$P963=0,"",[2]对账明细接口!$P963),"")</f>
        <v/>
      </c>
      <c r="V963" s="112" t="str">
        <f aca="false">IFERROR(IF([2]对账明细接口!$Q963=0,"",[2]对账明细接口!$Q963),"")</f>
        <v/>
      </c>
      <c r="W963" s="10" t="str">
        <f aca="false">IFERROR(IF([2]对账明细接口!$R963=0,"",[2]对账明细接口!$R963),"")</f>
        <v/>
      </c>
      <c r="X963" s="10" t="str">
        <f aca="false">IFERROR(IF([2]对账明细接口!$S963=0,"",[2]对账明细接口!$S963),"")</f>
        <v/>
      </c>
      <c r="Y963" s="10" t="str">
        <f aca="false">IFERROR(IF([2]对账明细接口!$T963=0,"",[2]对账明细接口!$T963),"")</f>
        <v/>
      </c>
      <c r="Z963" s="113" t="str">
        <f aca="false">IFERROR(IF([2]对账明细接口!$U963=0,"",[2]对账明细接口!$U963),"")</f>
        <v/>
      </c>
      <c r="AA963" s="113" t="str">
        <f aca="false">IFERROR(IF([2]对账明细接口!$V963=0,"",[2]对账明细接口!$V963),"")</f>
        <v/>
      </c>
      <c r="AB963" s="10" t="str">
        <f aca="false">IFERROR(IF([2]对账明细接口!$W963=0,"",[2]对账明细接口!$W963),"")</f>
        <v/>
      </c>
      <c r="AC963" s="90" t="str">
        <f aca="false">IFERROR(IF([2]对账明细接口!$X964=0,"",[2]对账明细接口!$X964),"")</f>
        <v/>
      </c>
      <c r="AD963" s="90" t="str">
        <f aca="false">IFERROR(IF([2]对账明细接口!$Y964=0,"",[2]对账明细接口!$Y964),"")</f>
        <v/>
      </c>
      <c r="AE963" s="90" t="str">
        <f aca="false">IFERROR(IF([2]对账明细接口!$AA964=0,"",[2]对账明细接口!$AA964),"")</f>
        <v/>
      </c>
      <c r="AF963" s="90" t="str">
        <f aca="false">IFERROR(IF([2]对账明细接口!$AB964=0,"",[2]对账明细接口!$AB964),"")</f>
        <v/>
      </c>
      <c r="AG963" s="90" t="str">
        <f aca="false">IFERROR(IF([2]对账明细接口!$AC964=0,"",[2]对账明细接口!$AC964),"")</f>
        <v/>
      </c>
      <c r="AH963" s="90" t="str">
        <f aca="false">IFERROR(IF([2]对账明细接口!$AD964=0,"",[2]对账明细接口!$AD964),"")</f>
        <v/>
      </c>
    </row>
    <row r="964" customFormat="false" ht="13.5" hidden="false" customHeight="false" outlineLevel="0" collapsed="false">
      <c r="A964" s="109" t="n">
        <v>964</v>
      </c>
      <c r="B964" s="110" t="str">
        <f aca="false">IFERROR(IF([2]对账明细接口!$B$964=0,"",[2]对账明细接口!$B$964),"")</f>
        <v/>
      </c>
      <c r="C964" s="59" t="str">
        <f aca="false">IFERROR(IF([2]对账明细接口!$C$964=0,"",[2]对账明细接口!$C$964),"")</f>
        <v/>
      </c>
      <c r="D964" s="59" t="str">
        <f aca="false">IFERROR(IF([2]对账明细接口!$D$964=0,"",[2]对账明细接口!$D$964),"")</f>
        <v/>
      </c>
      <c r="E964" s="59" t="str">
        <f aca="false">IFERROR(IF([2]对账明细接口!$E$964=0,"",[2]对账明细接口!$E$964),"")</f>
        <v/>
      </c>
      <c r="F964" s="59" t="str">
        <f aca="false">IFERROR(IF([2]对账明细接口!$F$964=0,"",[2]对账明细接口!$F$964),"")</f>
        <v/>
      </c>
      <c r="G964" s="59" t="str">
        <f aca="false">IFERROR(IF([2]对账明细接口!$G$964=0,"",[2]对账明细接口!$G$964),"")</f>
        <v/>
      </c>
      <c r="H964" s="60" t="str">
        <f aca="false">IFERROR(IF([2]对账明细接口!$H$964=0,"",[2]对账明细接口!$H$964),"")</f>
        <v/>
      </c>
      <c r="I964" s="59" t="str">
        <f aca="false">IFERROR(IF([2]对账明细接口!$I$964=0,"",[2]对账明细接口!$I$964),"")</f>
        <v/>
      </c>
      <c r="J964" s="61" t="str">
        <f aca="false">IFERROR(IF([2]对账明细接口!$J$964=0,"",[2]对账明细接口!$J$964),"")</f>
        <v/>
      </c>
      <c r="K964" s="61" t="str">
        <f aca="false">IFERROR(IF([2]对账明细接口!$K$964=0,"",[2]对账明细接口!$K$964),"")</f>
        <v/>
      </c>
      <c r="L964" s="59" t="str">
        <f aca="false">IFERROR(IF([2]对账明细接口!$L$964=0,"",[2]对账明细接口!$L$964),"")</f>
        <v/>
      </c>
      <c r="M964" s="59" t="str">
        <f aca="false">IFERROR(IF([2]对账明细接口!$M$964=0,"",[2]对账明细接口!$M$964),"")</f>
        <v/>
      </c>
      <c r="N964" s="111" t="n">
        <f aca="false">IF($C964="",0,1)</f>
        <v>0</v>
      </c>
      <c r="O964" s="111" t="n">
        <f aca="false">N(O963)+$N964</f>
        <v>311</v>
      </c>
      <c r="S964" s="10" t="str">
        <f aca="false">IFERROR(IF([2]对账明细接口!$N964=0,"",[2]对账明细接口!$N964),"")</f>
        <v/>
      </c>
      <c r="T964" s="112" t="str">
        <f aca="false">IFERROR(IF([2]对账明细接口!$O964=0,"",[2]对账明细接口!$O964),"")</f>
        <v/>
      </c>
      <c r="U964" s="112" t="str">
        <f aca="false">IFERROR(IF([2]对账明细接口!$P964=0,"",[2]对账明细接口!$P964),"")</f>
        <v/>
      </c>
      <c r="V964" s="112" t="str">
        <f aca="false">IFERROR(IF([2]对账明细接口!$Q964=0,"",[2]对账明细接口!$Q964),"")</f>
        <v/>
      </c>
      <c r="W964" s="10" t="str">
        <f aca="false">IFERROR(IF([2]对账明细接口!$R964=0,"",[2]对账明细接口!$R964),"")</f>
        <v/>
      </c>
      <c r="X964" s="10" t="str">
        <f aca="false">IFERROR(IF([2]对账明细接口!$S964=0,"",[2]对账明细接口!$S964),"")</f>
        <v/>
      </c>
      <c r="Y964" s="10" t="str">
        <f aca="false">IFERROR(IF([2]对账明细接口!$T964=0,"",[2]对账明细接口!$T964),"")</f>
        <v/>
      </c>
      <c r="Z964" s="113" t="str">
        <f aca="false">IFERROR(IF([2]对账明细接口!$U964=0,"",[2]对账明细接口!$U964),"")</f>
        <v/>
      </c>
      <c r="AA964" s="113" t="str">
        <f aca="false">IFERROR(IF([2]对账明细接口!$V964=0,"",[2]对账明细接口!$V964),"")</f>
        <v/>
      </c>
      <c r="AB964" s="10" t="str">
        <f aca="false">IFERROR(IF([2]对账明细接口!$W964=0,"",[2]对账明细接口!$W964),"")</f>
        <v/>
      </c>
      <c r="AC964" s="90" t="str">
        <f aca="false">IFERROR(IF([2]对账明细接口!$X965=0,"",[2]对账明细接口!$X965),"")</f>
        <v/>
      </c>
      <c r="AD964" s="90" t="str">
        <f aca="false">IFERROR(IF([2]对账明细接口!$Y965=0,"",[2]对账明细接口!$Y965),"")</f>
        <v/>
      </c>
      <c r="AE964" s="90" t="str">
        <f aca="false">IFERROR(IF([2]对账明细接口!$AA965=0,"",[2]对账明细接口!$AA965),"")</f>
        <v/>
      </c>
      <c r="AF964" s="90" t="str">
        <f aca="false">IFERROR(IF([2]对账明细接口!$AB965=0,"",[2]对账明细接口!$AB965),"")</f>
        <v/>
      </c>
      <c r="AG964" s="90" t="str">
        <f aca="false">IFERROR(IF([2]对账明细接口!$AC965=0,"",[2]对账明细接口!$AC965),"")</f>
        <v/>
      </c>
      <c r="AH964" s="90" t="str">
        <f aca="false">IFERROR(IF([2]对账明细接口!$AD965=0,"",[2]对账明细接口!$AD965),"")</f>
        <v/>
      </c>
    </row>
    <row r="965" customFormat="false" ht="13.5" hidden="false" customHeight="false" outlineLevel="0" collapsed="false">
      <c r="A965" s="109" t="n">
        <v>965</v>
      </c>
      <c r="B965" s="110" t="str">
        <f aca="false">IFERROR(IF([2]对账明细接口!$B$965=0,"",[2]对账明细接口!$B$965),"")</f>
        <v/>
      </c>
      <c r="C965" s="59" t="str">
        <f aca="false">IFERROR(IF([2]对账明细接口!$C$965=0,"",[2]对账明细接口!$C$965),"")</f>
        <v/>
      </c>
      <c r="D965" s="59" t="str">
        <f aca="false">IFERROR(IF([2]对账明细接口!$D$965=0,"",[2]对账明细接口!$D$965),"")</f>
        <v/>
      </c>
      <c r="E965" s="59" t="str">
        <f aca="false">IFERROR(IF([2]对账明细接口!$E$965=0,"",[2]对账明细接口!$E$965),"")</f>
        <v/>
      </c>
      <c r="F965" s="59" t="str">
        <f aca="false">IFERROR(IF([2]对账明细接口!$F$965=0,"",[2]对账明细接口!$F$965),"")</f>
        <v/>
      </c>
      <c r="G965" s="59" t="str">
        <f aca="false">IFERROR(IF([2]对账明细接口!$G$965=0,"",[2]对账明细接口!$G$965),"")</f>
        <v/>
      </c>
      <c r="H965" s="60" t="str">
        <f aca="false">IFERROR(IF([2]对账明细接口!$H$965=0,"",[2]对账明细接口!$H$965),"")</f>
        <v/>
      </c>
      <c r="I965" s="59" t="str">
        <f aca="false">IFERROR(IF([2]对账明细接口!$I$965=0,"",[2]对账明细接口!$I$965),"")</f>
        <v/>
      </c>
      <c r="J965" s="61" t="str">
        <f aca="false">IFERROR(IF([2]对账明细接口!$J$965=0,"",[2]对账明细接口!$J$965),"")</f>
        <v/>
      </c>
      <c r="K965" s="61" t="str">
        <f aca="false">IFERROR(IF([2]对账明细接口!$K$965=0,"",[2]对账明细接口!$K$965),"")</f>
        <v/>
      </c>
      <c r="L965" s="59" t="str">
        <f aca="false">IFERROR(IF([2]对账明细接口!$L$965=0,"",[2]对账明细接口!$L$965),"")</f>
        <v/>
      </c>
      <c r="M965" s="59" t="str">
        <f aca="false">IFERROR(IF([2]对账明细接口!$M$965=0,"",[2]对账明细接口!$M$965),"")</f>
        <v/>
      </c>
      <c r="N965" s="111" t="n">
        <f aca="false">IF($C965="",0,1)</f>
        <v>0</v>
      </c>
      <c r="O965" s="111" t="n">
        <f aca="false">N(O964)+$N965</f>
        <v>311</v>
      </c>
      <c r="S965" s="10" t="str">
        <f aca="false">IFERROR(IF([2]对账明细接口!$N965=0,"",[2]对账明细接口!$N965),"")</f>
        <v/>
      </c>
      <c r="T965" s="112" t="str">
        <f aca="false">IFERROR(IF([2]对账明细接口!$O965=0,"",[2]对账明细接口!$O965),"")</f>
        <v/>
      </c>
      <c r="U965" s="112" t="str">
        <f aca="false">IFERROR(IF([2]对账明细接口!$P965=0,"",[2]对账明细接口!$P965),"")</f>
        <v/>
      </c>
      <c r="V965" s="112" t="str">
        <f aca="false">IFERROR(IF([2]对账明细接口!$Q965=0,"",[2]对账明细接口!$Q965),"")</f>
        <v/>
      </c>
      <c r="W965" s="10" t="str">
        <f aca="false">IFERROR(IF([2]对账明细接口!$R965=0,"",[2]对账明细接口!$R965),"")</f>
        <v/>
      </c>
      <c r="X965" s="10" t="str">
        <f aca="false">IFERROR(IF([2]对账明细接口!$S965=0,"",[2]对账明细接口!$S965),"")</f>
        <v/>
      </c>
      <c r="Y965" s="10" t="str">
        <f aca="false">IFERROR(IF([2]对账明细接口!$T965=0,"",[2]对账明细接口!$T965),"")</f>
        <v/>
      </c>
      <c r="Z965" s="113" t="str">
        <f aca="false">IFERROR(IF([2]对账明细接口!$U965=0,"",[2]对账明细接口!$U965),"")</f>
        <v/>
      </c>
      <c r="AA965" s="113" t="str">
        <f aca="false">IFERROR(IF([2]对账明细接口!$V965=0,"",[2]对账明细接口!$V965),"")</f>
        <v/>
      </c>
      <c r="AB965" s="10" t="str">
        <f aca="false">IFERROR(IF([2]对账明细接口!$W965=0,"",[2]对账明细接口!$W965),"")</f>
        <v/>
      </c>
      <c r="AC965" s="90" t="str">
        <f aca="false">IFERROR(IF([2]对账明细接口!$X966=0,"",[2]对账明细接口!$X966),"")</f>
        <v/>
      </c>
      <c r="AD965" s="90" t="str">
        <f aca="false">IFERROR(IF([2]对账明细接口!$Y966=0,"",[2]对账明细接口!$Y966),"")</f>
        <v/>
      </c>
      <c r="AE965" s="90" t="str">
        <f aca="false">IFERROR(IF([2]对账明细接口!$AA966=0,"",[2]对账明细接口!$AA966),"")</f>
        <v/>
      </c>
      <c r="AF965" s="90" t="str">
        <f aca="false">IFERROR(IF([2]对账明细接口!$AB966=0,"",[2]对账明细接口!$AB966),"")</f>
        <v/>
      </c>
      <c r="AG965" s="90" t="str">
        <f aca="false">IFERROR(IF([2]对账明细接口!$AC966=0,"",[2]对账明细接口!$AC966),"")</f>
        <v/>
      </c>
      <c r="AH965" s="90" t="str">
        <f aca="false">IFERROR(IF([2]对账明细接口!$AD966=0,"",[2]对账明细接口!$AD966),"")</f>
        <v/>
      </c>
    </row>
    <row r="966" customFormat="false" ht="13.5" hidden="false" customHeight="false" outlineLevel="0" collapsed="false">
      <c r="A966" s="109" t="n">
        <v>966</v>
      </c>
      <c r="B966" s="110" t="str">
        <f aca="false">IFERROR(IF([2]对账明细接口!$B$966=0,"",[2]对账明细接口!$B$966),"")</f>
        <v/>
      </c>
      <c r="C966" s="59" t="str">
        <f aca="false">IFERROR(IF([2]对账明细接口!$C$966=0,"",[2]对账明细接口!$C$966),"")</f>
        <v/>
      </c>
      <c r="D966" s="59" t="str">
        <f aca="false">IFERROR(IF([2]对账明细接口!$D$966=0,"",[2]对账明细接口!$D$966),"")</f>
        <v/>
      </c>
      <c r="E966" s="59" t="str">
        <f aca="false">IFERROR(IF([2]对账明细接口!$E$966=0,"",[2]对账明细接口!$E$966),"")</f>
        <v/>
      </c>
      <c r="F966" s="59" t="str">
        <f aca="false">IFERROR(IF([2]对账明细接口!$F$966=0,"",[2]对账明细接口!$F$966),"")</f>
        <v/>
      </c>
      <c r="G966" s="59" t="str">
        <f aca="false">IFERROR(IF([2]对账明细接口!$G$966=0,"",[2]对账明细接口!$G$966),"")</f>
        <v/>
      </c>
      <c r="H966" s="60" t="str">
        <f aca="false">IFERROR(IF([2]对账明细接口!$H$966=0,"",[2]对账明细接口!$H$966),"")</f>
        <v/>
      </c>
      <c r="I966" s="59" t="str">
        <f aca="false">IFERROR(IF([2]对账明细接口!$I$966=0,"",[2]对账明细接口!$I$966),"")</f>
        <v/>
      </c>
      <c r="J966" s="61" t="str">
        <f aca="false">IFERROR(IF([2]对账明细接口!$J$966=0,"",[2]对账明细接口!$J$966),"")</f>
        <v/>
      </c>
      <c r="K966" s="61" t="str">
        <f aca="false">IFERROR(IF([2]对账明细接口!$K$966=0,"",[2]对账明细接口!$K$966),"")</f>
        <v/>
      </c>
      <c r="L966" s="59" t="str">
        <f aca="false">IFERROR(IF([2]对账明细接口!$L$966=0,"",[2]对账明细接口!$L$966),"")</f>
        <v/>
      </c>
      <c r="M966" s="59" t="str">
        <f aca="false">IFERROR(IF([2]对账明细接口!$M$966=0,"",[2]对账明细接口!$M$966),"")</f>
        <v/>
      </c>
      <c r="N966" s="111" t="n">
        <f aca="false">IF($C966="",0,1)</f>
        <v>0</v>
      </c>
      <c r="O966" s="111" t="n">
        <f aca="false">N(O965)+$N966</f>
        <v>311</v>
      </c>
      <c r="S966" s="10" t="str">
        <f aca="false">IFERROR(IF([2]对账明细接口!$N966=0,"",[2]对账明细接口!$N966),"")</f>
        <v/>
      </c>
      <c r="T966" s="112" t="str">
        <f aca="false">IFERROR(IF([2]对账明细接口!$O966=0,"",[2]对账明细接口!$O966),"")</f>
        <v/>
      </c>
      <c r="U966" s="112" t="str">
        <f aca="false">IFERROR(IF([2]对账明细接口!$P966=0,"",[2]对账明细接口!$P966),"")</f>
        <v/>
      </c>
      <c r="V966" s="112" t="str">
        <f aca="false">IFERROR(IF([2]对账明细接口!$Q966=0,"",[2]对账明细接口!$Q966),"")</f>
        <v/>
      </c>
      <c r="W966" s="10" t="str">
        <f aca="false">IFERROR(IF([2]对账明细接口!$R966=0,"",[2]对账明细接口!$R966),"")</f>
        <v/>
      </c>
      <c r="X966" s="10" t="str">
        <f aca="false">IFERROR(IF([2]对账明细接口!$S966=0,"",[2]对账明细接口!$S966),"")</f>
        <v/>
      </c>
      <c r="Y966" s="10" t="str">
        <f aca="false">IFERROR(IF([2]对账明细接口!$T966=0,"",[2]对账明细接口!$T966),"")</f>
        <v/>
      </c>
      <c r="Z966" s="113" t="str">
        <f aca="false">IFERROR(IF([2]对账明细接口!$U966=0,"",[2]对账明细接口!$U966),"")</f>
        <v/>
      </c>
      <c r="AA966" s="113" t="str">
        <f aca="false">IFERROR(IF([2]对账明细接口!$V966=0,"",[2]对账明细接口!$V966),"")</f>
        <v/>
      </c>
      <c r="AB966" s="10" t="str">
        <f aca="false">IFERROR(IF([2]对账明细接口!$W966=0,"",[2]对账明细接口!$W966),"")</f>
        <v/>
      </c>
      <c r="AC966" s="90" t="str">
        <f aca="false">IFERROR(IF([2]对账明细接口!$X967=0,"",[2]对账明细接口!$X967),"")</f>
        <v/>
      </c>
      <c r="AD966" s="90" t="str">
        <f aca="false">IFERROR(IF([2]对账明细接口!$Y967=0,"",[2]对账明细接口!$Y967),"")</f>
        <v/>
      </c>
      <c r="AE966" s="90" t="str">
        <f aca="false">IFERROR(IF([2]对账明细接口!$AA967=0,"",[2]对账明细接口!$AA967),"")</f>
        <v/>
      </c>
      <c r="AF966" s="90" t="str">
        <f aca="false">IFERROR(IF([2]对账明细接口!$AB967=0,"",[2]对账明细接口!$AB967),"")</f>
        <v/>
      </c>
      <c r="AG966" s="90" t="str">
        <f aca="false">IFERROR(IF([2]对账明细接口!$AC967=0,"",[2]对账明细接口!$AC967),"")</f>
        <v/>
      </c>
      <c r="AH966" s="90" t="str">
        <f aca="false">IFERROR(IF([2]对账明细接口!$AD967=0,"",[2]对账明细接口!$AD967),"")</f>
        <v/>
      </c>
    </row>
    <row r="967" customFormat="false" ht="13.5" hidden="false" customHeight="false" outlineLevel="0" collapsed="false">
      <c r="A967" s="109" t="n">
        <v>967</v>
      </c>
      <c r="B967" s="110" t="str">
        <f aca="false">IFERROR(IF([2]对账明细接口!$B$967=0,"",[2]对账明细接口!$B$967),"")</f>
        <v/>
      </c>
      <c r="C967" s="59" t="str">
        <f aca="false">IFERROR(IF([2]对账明细接口!$C$967=0,"",[2]对账明细接口!$C$967),"")</f>
        <v/>
      </c>
      <c r="D967" s="59" t="str">
        <f aca="false">IFERROR(IF([2]对账明细接口!$D$967=0,"",[2]对账明细接口!$D$967),"")</f>
        <v/>
      </c>
      <c r="E967" s="59" t="str">
        <f aca="false">IFERROR(IF([2]对账明细接口!$E$967=0,"",[2]对账明细接口!$E$967),"")</f>
        <v/>
      </c>
      <c r="F967" s="59" t="str">
        <f aca="false">IFERROR(IF([2]对账明细接口!$F$967=0,"",[2]对账明细接口!$F$967),"")</f>
        <v/>
      </c>
      <c r="G967" s="59" t="str">
        <f aca="false">IFERROR(IF([2]对账明细接口!$G$967=0,"",[2]对账明细接口!$G$967),"")</f>
        <v/>
      </c>
      <c r="H967" s="60" t="str">
        <f aca="false">IFERROR(IF([2]对账明细接口!$H$967=0,"",[2]对账明细接口!$H$967),"")</f>
        <v/>
      </c>
      <c r="I967" s="59" t="str">
        <f aca="false">IFERROR(IF([2]对账明细接口!$I$967=0,"",[2]对账明细接口!$I$967),"")</f>
        <v/>
      </c>
      <c r="J967" s="61" t="str">
        <f aca="false">IFERROR(IF([2]对账明细接口!$J$967=0,"",[2]对账明细接口!$J$967),"")</f>
        <v/>
      </c>
      <c r="K967" s="61" t="str">
        <f aca="false">IFERROR(IF([2]对账明细接口!$K$967=0,"",[2]对账明细接口!$K$967),"")</f>
        <v/>
      </c>
      <c r="L967" s="59" t="str">
        <f aca="false">IFERROR(IF([2]对账明细接口!$L$967=0,"",[2]对账明细接口!$L$967),"")</f>
        <v/>
      </c>
      <c r="M967" s="59" t="str">
        <f aca="false">IFERROR(IF([2]对账明细接口!$M$967=0,"",[2]对账明细接口!$M$967),"")</f>
        <v/>
      </c>
      <c r="N967" s="111" t="n">
        <f aca="false">IF($C967="",0,1)</f>
        <v>0</v>
      </c>
      <c r="O967" s="111" t="n">
        <f aca="false">N(O966)+$N967</f>
        <v>311</v>
      </c>
      <c r="S967" s="10" t="str">
        <f aca="false">IFERROR(IF([2]对账明细接口!$N967=0,"",[2]对账明细接口!$N967),"")</f>
        <v/>
      </c>
      <c r="T967" s="112" t="str">
        <f aca="false">IFERROR(IF([2]对账明细接口!$O967=0,"",[2]对账明细接口!$O967),"")</f>
        <v/>
      </c>
      <c r="U967" s="112" t="str">
        <f aca="false">IFERROR(IF([2]对账明细接口!$P967=0,"",[2]对账明细接口!$P967),"")</f>
        <v/>
      </c>
      <c r="V967" s="112" t="str">
        <f aca="false">IFERROR(IF([2]对账明细接口!$Q967=0,"",[2]对账明细接口!$Q967),"")</f>
        <v/>
      </c>
      <c r="W967" s="10" t="str">
        <f aca="false">IFERROR(IF([2]对账明细接口!$R967=0,"",[2]对账明细接口!$R967),"")</f>
        <v/>
      </c>
      <c r="X967" s="10" t="str">
        <f aca="false">IFERROR(IF([2]对账明细接口!$S967=0,"",[2]对账明细接口!$S967),"")</f>
        <v/>
      </c>
      <c r="Y967" s="10" t="str">
        <f aca="false">IFERROR(IF([2]对账明细接口!$T967=0,"",[2]对账明细接口!$T967),"")</f>
        <v/>
      </c>
      <c r="Z967" s="113" t="str">
        <f aca="false">IFERROR(IF([2]对账明细接口!$U967=0,"",[2]对账明细接口!$U967),"")</f>
        <v/>
      </c>
      <c r="AA967" s="113" t="str">
        <f aca="false">IFERROR(IF([2]对账明细接口!$V967=0,"",[2]对账明细接口!$V967),"")</f>
        <v/>
      </c>
      <c r="AB967" s="10" t="str">
        <f aca="false">IFERROR(IF([2]对账明细接口!$W967=0,"",[2]对账明细接口!$W967),"")</f>
        <v/>
      </c>
      <c r="AC967" s="90" t="str">
        <f aca="false">IFERROR(IF([2]对账明细接口!$X968=0,"",[2]对账明细接口!$X968),"")</f>
        <v/>
      </c>
      <c r="AD967" s="90" t="str">
        <f aca="false">IFERROR(IF([2]对账明细接口!$Y968=0,"",[2]对账明细接口!$Y968),"")</f>
        <v/>
      </c>
      <c r="AE967" s="90" t="str">
        <f aca="false">IFERROR(IF([2]对账明细接口!$AA968=0,"",[2]对账明细接口!$AA968),"")</f>
        <v/>
      </c>
      <c r="AF967" s="90" t="str">
        <f aca="false">IFERROR(IF([2]对账明细接口!$AB968=0,"",[2]对账明细接口!$AB968),"")</f>
        <v/>
      </c>
      <c r="AG967" s="90" t="str">
        <f aca="false">IFERROR(IF([2]对账明细接口!$AC968=0,"",[2]对账明细接口!$AC968),"")</f>
        <v/>
      </c>
      <c r="AH967" s="90" t="str">
        <f aca="false">IFERROR(IF([2]对账明细接口!$AD968=0,"",[2]对账明细接口!$AD968),"")</f>
        <v/>
      </c>
    </row>
    <row r="968" customFormat="false" ht="13.5" hidden="false" customHeight="false" outlineLevel="0" collapsed="false">
      <c r="A968" s="109" t="n">
        <v>968</v>
      </c>
      <c r="B968" s="110" t="str">
        <f aca="false">IFERROR(IF([2]对账明细接口!$B$968=0,"",[2]对账明细接口!$B$968),"")</f>
        <v/>
      </c>
      <c r="C968" s="59" t="str">
        <f aca="false">IFERROR(IF([2]对账明细接口!$C$968=0,"",[2]对账明细接口!$C$968),"")</f>
        <v/>
      </c>
      <c r="D968" s="59" t="str">
        <f aca="false">IFERROR(IF([2]对账明细接口!$D$968=0,"",[2]对账明细接口!$D$968),"")</f>
        <v/>
      </c>
      <c r="E968" s="59" t="str">
        <f aca="false">IFERROR(IF([2]对账明细接口!$E$968=0,"",[2]对账明细接口!$E$968),"")</f>
        <v/>
      </c>
      <c r="F968" s="59" t="str">
        <f aca="false">IFERROR(IF([2]对账明细接口!$F$968=0,"",[2]对账明细接口!$F$968),"")</f>
        <v/>
      </c>
      <c r="G968" s="59" t="str">
        <f aca="false">IFERROR(IF([2]对账明细接口!$G$968=0,"",[2]对账明细接口!$G$968),"")</f>
        <v/>
      </c>
      <c r="H968" s="60" t="str">
        <f aca="false">IFERROR(IF([2]对账明细接口!$H$968=0,"",[2]对账明细接口!$H$968),"")</f>
        <v/>
      </c>
      <c r="I968" s="59" t="str">
        <f aca="false">IFERROR(IF([2]对账明细接口!$I$968=0,"",[2]对账明细接口!$I$968),"")</f>
        <v/>
      </c>
      <c r="J968" s="61" t="str">
        <f aca="false">IFERROR(IF([2]对账明细接口!$J$968=0,"",[2]对账明细接口!$J$968),"")</f>
        <v/>
      </c>
      <c r="K968" s="61" t="str">
        <f aca="false">IFERROR(IF([2]对账明细接口!$K$968=0,"",[2]对账明细接口!$K$968),"")</f>
        <v/>
      </c>
      <c r="L968" s="59" t="str">
        <f aca="false">IFERROR(IF([2]对账明细接口!$L$968=0,"",[2]对账明细接口!$L$968),"")</f>
        <v/>
      </c>
      <c r="M968" s="59" t="str">
        <f aca="false">IFERROR(IF([2]对账明细接口!$M$968=0,"",[2]对账明细接口!$M$968),"")</f>
        <v/>
      </c>
      <c r="N968" s="111" t="n">
        <f aca="false">IF($C968="",0,1)</f>
        <v>0</v>
      </c>
      <c r="O968" s="111" t="n">
        <f aca="false">N(O967)+$N968</f>
        <v>311</v>
      </c>
      <c r="S968" s="10" t="str">
        <f aca="false">IFERROR(IF([2]对账明细接口!$N968=0,"",[2]对账明细接口!$N968),"")</f>
        <v/>
      </c>
      <c r="T968" s="112" t="str">
        <f aca="false">IFERROR(IF([2]对账明细接口!$O968=0,"",[2]对账明细接口!$O968),"")</f>
        <v/>
      </c>
      <c r="U968" s="112" t="str">
        <f aca="false">IFERROR(IF([2]对账明细接口!$P968=0,"",[2]对账明细接口!$P968),"")</f>
        <v/>
      </c>
      <c r="V968" s="112" t="str">
        <f aca="false">IFERROR(IF([2]对账明细接口!$Q968=0,"",[2]对账明细接口!$Q968),"")</f>
        <v/>
      </c>
      <c r="W968" s="10" t="str">
        <f aca="false">IFERROR(IF([2]对账明细接口!$R968=0,"",[2]对账明细接口!$R968),"")</f>
        <v/>
      </c>
      <c r="X968" s="10" t="str">
        <f aca="false">IFERROR(IF([2]对账明细接口!$S968=0,"",[2]对账明细接口!$S968),"")</f>
        <v/>
      </c>
      <c r="Y968" s="10" t="str">
        <f aca="false">IFERROR(IF([2]对账明细接口!$T968=0,"",[2]对账明细接口!$T968),"")</f>
        <v/>
      </c>
      <c r="Z968" s="113" t="str">
        <f aca="false">IFERROR(IF([2]对账明细接口!$U968=0,"",[2]对账明细接口!$U968),"")</f>
        <v/>
      </c>
      <c r="AA968" s="113" t="str">
        <f aca="false">IFERROR(IF([2]对账明细接口!$V968=0,"",[2]对账明细接口!$V968),"")</f>
        <v/>
      </c>
      <c r="AB968" s="10" t="str">
        <f aca="false">IFERROR(IF([2]对账明细接口!$W968=0,"",[2]对账明细接口!$W968),"")</f>
        <v/>
      </c>
      <c r="AC968" s="90" t="str">
        <f aca="false">IFERROR(IF([2]对账明细接口!$X969=0,"",[2]对账明细接口!$X969),"")</f>
        <v/>
      </c>
      <c r="AD968" s="90" t="str">
        <f aca="false">IFERROR(IF([2]对账明细接口!$Y969=0,"",[2]对账明细接口!$Y969),"")</f>
        <v/>
      </c>
      <c r="AE968" s="90" t="str">
        <f aca="false">IFERROR(IF([2]对账明细接口!$AA969=0,"",[2]对账明细接口!$AA969),"")</f>
        <v/>
      </c>
      <c r="AF968" s="90" t="str">
        <f aca="false">IFERROR(IF([2]对账明细接口!$AB969=0,"",[2]对账明细接口!$AB969),"")</f>
        <v/>
      </c>
      <c r="AG968" s="90" t="str">
        <f aca="false">IFERROR(IF([2]对账明细接口!$AC969=0,"",[2]对账明细接口!$AC969),"")</f>
        <v/>
      </c>
      <c r="AH968" s="90" t="str">
        <f aca="false">IFERROR(IF([2]对账明细接口!$AD969=0,"",[2]对账明细接口!$AD969),"")</f>
        <v/>
      </c>
    </row>
    <row r="969" customFormat="false" ht="13.5" hidden="false" customHeight="false" outlineLevel="0" collapsed="false">
      <c r="A969" s="109" t="n">
        <v>969</v>
      </c>
      <c r="B969" s="110" t="str">
        <f aca="false">IFERROR(IF([2]对账明细接口!$B$969=0,"",[2]对账明细接口!$B$969),"")</f>
        <v/>
      </c>
      <c r="C969" s="59" t="str">
        <f aca="false">IFERROR(IF([2]对账明细接口!$C$969=0,"",[2]对账明细接口!$C$969),"")</f>
        <v/>
      </c>
      <c r="D969" s="59" t="str">
        <f aca="false">IFERROR(IF([2]对账明细接口!$D$969=0,"",[2]对账明细接口!$D$969),"")</f>
        <v/>
      </c>
      <c r="E969" s="59" t="str">
        <f aca="false">IFERROR(IF([2]对账明细接口!$E$969=0,"",[2]对账明细接口!$E$969),"")</f>
        <v/>
      </c>
      <c r="F969" s="59" t="str">
        <f aca="false">IFERROR(IF([2]对账明细接口!$F$969=0,"",[2]对账明细接口!$F$969),"")</f>
        <v/>
      </c>
      <c r="G969" s="59" t="str">
        <f aca="false">IFERROR(IF([2]对账明细接口!$G$969=0,"",[2]对账明细接口!$G$969),"")</f>
        <v/>
      </c>
      <c r="H969" s="60" t="str">
        <f aca="false">IFERROR(IF([2]对账明细接口!$H$969=0,"",[2]对账明细接口!$H$969),"")</f>
        <v/>
      </c>
      <c r="I969" s="59" t="str">
        <f aca="false">IFERROR(IF([2]对账明细接口!$I$969=0,"",[2]对账明细接口!$I$969),"")</f>
        <v/>
      </c>
      <c r="J969" s="61" t="str">
        <f aca="false">IFERROR(IF([2]对账明细接口!$J$969=0,"",[2]对账明细接口!$J$969),"")</f>
        <v/>
      </c>
      <c r="K969" s="61" t="str">
        <f aca="false">IFERROR(IF([2]对账明细接口!$K$969=0,"",[2]对账明细接口!$K$969),"")</f>
        <v/>
      </c>
      <c r="L969" s="59" t="str">
        <f aca="false">IFERROR(IF([2]对账明细接口!$L$969=0,"",[2]对账明细接口!$L$969),"")</f>
        <v/>
      </c>
      <c r="M969" s="59" t="str">
        <f aca="false">IFERROR(IF([2]对账明细接口!$M$969=0,"",[2]对账明细接口!$M$969),"")</f>
        <v/>
      </c>
      <c r="N969" s="111" t="n">
        <f aca="false">IF($C969="",0,1)</f>
        <v>0</v>
      </c>
      <c r="O969" s="111" t="n">
        <f aca="false">N(O968)+$N969</f>
        <v>311</v>
      </c>
      <c r="S969" s="10" t="str">
        <f aca="false">IFERROR(IF([2]对账明细接口!$N969=0,"",[2]对账明细接口!$N969),"")</f>
        <v/>
      </c>
      <c r="T969" s="112" t="str">
        <f aca="false">IFERROR(IF([2]对账明细接口!$O969=0,"",[2]对账明细接口!$O969),"")</f>
        <v/>
      </c>
      <c r="U969" s="112" t="str">
        <f aca="false">IFERROR(IF([2]对账明细接口!$P969=0,"",[2]对账明细接口!$P969),"")</f>
        <v/>
      </c>
      <c r="V969" s="112" t="str">
        <f aca="false">IFERROR(IF([2]对账明细接口!$Q969=0,"",[2]对账明细接口!$Q969),"")</f>
        <v/>
      </c>
      <c r="W969" s="10" t="str">
        <f aca="false">IFERROR(IF([2]对账明细接口!$R969=0,"",[2]对账明细接口!$R969),"")</f>
        <v/>
      </c>
      <c r="X969" s="10" t="str">
        <f aca="false">IFERROR(IF([2]对账明细接口!$S969=0,"",[2]对账明细接口!$S969),"")</f>
        <v/>
      </c>
      <c r="Y969" s="10" t="str">
        <f aca="false">IFERROR(IF([2]对账明细接口!$T969=0,"",[2]对账明细接口!$T969),"")</f>
        <v/>
      </c>
      <c r="Z969" s="113" t="str">
        <f aca="false">IFERROR(IF([2]对账明细接口!$U969=0,"",[2]对账明细接口!$U969),"")</f>
        <v/>
      </c>
      <c r="AA969" s="113" t="str">
        <f aca="false">IFERROR(IF([2]对账明细接口!$V969=0,"",[2]对账明细接口!$V969),"")</f>
        <v/>
      </c>
      <c r="AB969" s="10" t="str">
        <f aca="false">IFERROR(IF([2]对账明细接口!$W969=0,"",[2]对账明细接口!$W969),"")</f>
        <v/>
      </c>
      <c r="AC969" s="90" t="str">
        <f aca="false">IFERROR(IF([2]对账明细接口!$X970=0,"",[2]对账明细接口!$X970),"")</f>
        <v/>
      </c>
      <c r="AD969" s="90" t="str">
        <f aca="false">IFERROR(IF([2]对账明细接口!$Y970=0,"",[2]对账明细接口!$Y970),"")</f>
        <v/>
      </c>
      <c r="AE969" s="90" t="str">
        <f aca="false">IFERROR(IF([2]对账明细接口!$AA970=0,"",[2]对账明细接口!$AA970),"")</f>
        <v/>
      </c>
      <c r="AF969" s="90" t="str">
        <f aca="false">IFERROR(IF([2]对账明细接口!$AB970=0,"",[2]对账明细接口!$AB970),"")</f>
        <v/>
      </c>
      <c r="AG969" s="90" t="str">
        <f aca="false">IFERROR(IF([2]对账明细接口!$AC970=0,"",[2]对账明细接口!$AC970),"")</f>
        <v/>
      </c>
      <c r="AH969" s="90" t="str">
        <f aca="false">IFERROR(IF([2]对账明细接口!$AD970=0,"",[2]对账明细接口!$AD970),"")</f>
        <v/>
      </c>
    </row>
    <row r="970" customFormat="false" ht="13.5" hidden="false" customHeight="false" outlineLevel="0" collapsed="false">
      <c r="A970" s="109" t="n">
        <v>970</v>
      </c>
      <c r="B970" s="110" t="str">
        <f aca="false">IFERROR(IF([2]对账明细接口!$B$970=0,"",[2]对账明细接口!$B$970),"")</f>
        <v/>
      </c>
      <c r="C970" s="59" t="str">
        <f aca="false">IFERROR(IF([2]对账明细接口!$C$970=0,"",[2]对账明细接口!$C$970),"")</f>
        <v/>
      </c>
      <c r="D970" s="59" t="str">
        <f aca="false">IFERROR(IF([2]对账明细接口!$D$970=0,"",[2]对账明细接口!$D$970),"")</f>
        <v/>
      </c>
      <c r="E970" s="59" t="str">
        <f aca="false">IFERROR(IF([2]对账明细接口!$E$970=0,"",[2]对账明细接口!$E$970),"")</f>
        <v/>
      </c>
      <c r="F970" s="59" t="str">
        <f aca="false">IFERROR(IF([2]对账明细接口!$F$970=0,"",[2]对账明细接口!$F$970),"")</f>
        <v/>
      </c>
      <c r="G970" s="59" t="str">
        <f aca="false">IFERROR(IF([2]对账明细接口!$G$970=0,"",[2]对账明细接口!$G$970),"")</f>
        <v/>
      </c>
      <c r="H970" s="60" t="str">
        <f aca="false">IFERROR(IF([2]对账明细接口!$H$970=0,"",[2]对账明细接口!$H$970),"")</f>
        <v/>
      </c>
      <c r="I970" s="59" t="str">
        <f aca="false">IFERROR(IF([2]对账明细接口!$I$970=0,"",[2]对账明细接口!$I$970),"")</f>
        <v/>
      </c>
      <c r="J970" s="61" t="str">
        <f aca="false">IFERROR(IF([2]对账明细接口!$J$970=0,"",[2]对账明细接口!$J$970),"")</f>
        <v/>
      </c>
      <c r="K970" s="61" t="str">
        <f aca="false">IFERROR(IF([2]对账明细接口!$K$970=0,"",[2]对账明细接口!$K$970),"")</f>
        <v/>
      </c>
      <c r="L970" s="59" t="str">
        <f aca="false">IFERROR(IF([2]对账明细接口!$L$970=0,"",[2]对账明细接口!$L$970),"")</f>
        <v/>
      </c>
      <c r="M970" s="59" t="str">
        <f aca="false">IFERROR(IF([2]对账明细接口!$M$970=0,"",[2]对账明细接口!$M$970),"")</f>
        <v/>
      </c>
      <c r="N970" s="111" t="n">
        <f aca="false">IF($C970="",0,1)</f>
        <v>0</v>
      </c>
      <c r="O970" s="111" t="n">
        <f aca="false">N(O969)+$N970</f>
        <v>311</v>
      </c>
      <c r="S970" s="10" t="str">
        <f aca="false">IFERROR(IF([2]对账明细接口!$N970=0,"",[2]对账明细接口!$N970),"")</f>
        <v/>
      </c>
      <c r="T970" s="112" t="str">
        <f aca="false">IFERROR(IF([2]对账明细接口!$O970=0,"",[2]对账明细接口!$O970),"")</f>
        <v/>
      </c>
      <c r="U970" s="112" t="str">
        <f aca="false">IFERROR(IF([2]对账明细接口!$P970=0,"",[2]对账明细接口!$P970),"")</f>
        <v/>
      </c>
      <c r="V970" s="112" t="str">
        <f aca="false">IFERROR(IF([2]对账明细接口!$Q970=0,"",[2]对账明细接口!$Q970),"")</f>
        <v/>
      </c>
      <c r="W970" s="10" t="str">
        <f aca="false">IFERROR(IF([2]对账明细接口!$R970=0,"",[2]对账明细接口!$R970),"")</f>
        <v/>
      </c>
      <c r="X970" s="10" t="str">
        <f aca="false">IFERROR(IF([2]对账明细接口!$S970=0,"",[2]对账明细接口!$S970),"")</f>
        <v/>
      </c>
      <c r="Y970" s="10" t="str">
        <f aca="false">IFERROR(IF([2]对账明细接口!$T970=0,"",[2]对账明细接口!$T970),"")</f>
        <v/>
      </c>
      <c r="Z970" s="113" t="str">
        <f aca="false">IFERROR(IF([2]对账明细接口!$U970=0,"",[2]对账明细接口!$U970),"")</f>
        <v/>
      </c>
      <c r="AA970" s="113" t="str">
        <f aca="false">IFERROR(IF([2]对账明细接口!$V970=0,"",[2]对账明细接口!$V970),"")</f>
        <v/>
      </c>
      <c r="AB970" s="10" t="str">
        <f aca="false">IFERROR(IF([2]对账明细接口!$W970=0,"",[2]对账明细接口!$W970),"")</f>
        <v/>
      </c>
      <c r="AC970" s="90" t="str">
        <f aca="false">IFERROR(IF([2]对账明细接口!$X971=0,"",[2]对账明细接口!$X971),"")</f>
        <v/>
      </c>
      <c r="AD970" s="90" t="str">
        <f aca="false">IFERROR(IF([2]对账明细接口!$Y971=0,"",[2]对账明细接口!$Y971),"")</f>
        <v/>
      </c>
      <c r="AE970" s="90" t="str">
        <f aca="false">IFERROR(IF([2]对账明细接口!$AA971=0,"",[2]对账明细接口!$AA971),"")</f>
        <v/>
      </c>
      <c r="AF970" s="90" t="str">
        <f aca="false">IFERROR(IF([2]对账明细接口!$AB971=0,"",[2]对账明细接口!$AB971),"")</f>
        <v/>
      </c>
      <c r="AG970" s="90" t="str">
        <f aca="false">IFERROR(IF([2]对账明细接口!$AC971=0,"",[2]对账明细接口!$AC971),"")</f>
        <v/>
      </c>
      <c r="AH970" s="90" t="str">
        <f aca="false">IFERROR(IF([2]对账明细接口!$AD971=0,"",[2]对账明细接口!$AD971),"")</f>
        <v/>
      </c>
    </row>
    <row r="971" customFormat="false" ht="13.5" hidden="false" customHeight="false" outlineLevel="0" collapsed="false">
      <c r="A971" s="109" t="n">
        <v>971</v>
      </c>
      <c r="B971" s="110" t="str">
        <f aca="false">IFERROR(IF([2]对账明细接口!$B$971=0,"",[2]对账明细接口!$B$971),"")</f>
        <v/>
      </c>
      <c r="C971" s="59" t="str">
        <f aca="false">IFERROR(IF([2]对账明细接口!$C$971=0,"",[2]对账明细接口!$C$971),"")</f>
        <v/>
      </c>
      <c r="D971" s="59" t="str">
        <f aca="false">IFERROR(IF([2]对账明细接口!$D$971=0,"",[2]对账明细接口!$D$971),"")</f>
        <v/>
      </c>
      <c r="E971" s="59" t="str">
        <f aca="false">IFERROR(IF([2]对账明细接口!$E$971=0,"",[2]对账明细接口!$E$971),"")</f>
        <v/>
      </c>
      <c r="F971" s="59" t="str">
        <f aca="false">IFERROR(IF([2]对账明细接口!$F$971=0,"",[2]对账明细接口!$F$971),"")</f>
        <v/>
      </c>
      <c r="G971" s="59" t="str">
        <f aca="false">IFERROR(IF([2]对账明细接口!$G$971=0,"",[2]对账明细接口!$G$971),"")</f>
        <v/>
      </c>
      <c r="H971" s="60" t="str">
        <f aca="false">IFERROR(IF([2]对账明细接口!$H$971=0,"",[2]对账明细接口!$H$971),"")</f>
        <v/>
      </c>
      <c r="I971" s="59" t="str">
        <f aca="false">IFERROR(IF([2]对账明细接口!$I$971=0,"",[2]对账明细接口!$I$971),"")</f>
        <v/>
      </c>
      <c r="J971" s="61" t="str">
        <f aca="false">IFERROR(IF([2]对账明细接口!$J$971=0,"",[2]对账明细接口!$J$971),"")</f>
        <v/>
      </c>
      <c r="K971" s="61" t="str">
        <f aca="false">IFERROR(IF([2]对账明细接口!$K$971=0,"",[2]对账明细接口!$K$971),"")</f>
        <v/>
      </c>
      <c r="L971" s="59" t="str">
        <f aca="false">IFERROR(IF([2]对账明细接口!$L$971=0,"",[2]对账明细接口!$L$971),"")</f>
        <v/>
      </c>
      <c r="M971" s="59" t="str">
        <f aca="false">IFERROR(IF([2]对账明细接口!$M$971=0,"",[2]对账明细接口!$M$971),"")</f>
        <v/>
      </c>
      <c r="N971" s="111" t="n">
        <f aca="false">IF($C971="",0,1)</f>
        <v>0</v>
      </c>
      <c r="O971" s="111" t="n">
        <f aca="false">N(O970)+$N971</f>
        <v>311</v>
      </c>
      <c r="S971" s="10" t="str">
        <f aca="false">IFERROR(IF([2]对账明细接口!$N971=0,"",[2]对账明细接口!$N971),"")</f>
        <v/>
      </c>
      <c r="T971" s="112" t="str">
        <f aca="false">IFERROR(IF([2]对账明细接口!$O971=0,"",[2]对账明细接口!$O971),"")</f>
        <v/>
      </c>
      <c r="U971" s="112" t="str">
        <f aca="false">IFERROR(IF([2]对账明细接口!$P971=0,"",[2]对账明细接口!$P971),"")</f>
        <v/>
      </c>
      <c r="V971" s="112" t="str">
        <f aca="false">IFERROR(IF([2]对账明细接口!$Q971=0,"",[2]对账明细接口!$Q971),"")</f>
        <v/>
      </c>
      <c r="W971" s="10" t="str">
        <f aca="false">IFERROR(IF([2]对账明细接口!$R971=0,"",[2]对账明细接口!$R971),"")</f>
        <v/>
      </c>
      <c r="X971" s="10" t="str">
        <f aca="false">IFERROR(IF([2]对账明细接口!$S971=0,"",[2]对账明细接口!$S971),"")</f>
        <v/>
      </c>
      <c r="Y971" s="10" t="str">
        <f aca="false">IFERROR(IF([2]对账明细接口!$T971=0,"",[2]对账明细接口!$T971),"")</f>
        <v/>
      </c>
      <c r="Z971" s="113" t="str">
        <f aca="false">IFERROR(IF([2]对账明细接口!$U971=0,"",[2]对账明细接口!$U971),"")</f>
        <v/>
      </c>
      <c r="AA971" s="113" t="str">
        <f aca="false">IFERROR(IF([2]对账明细接口!$V971=0,"",[2]对账明细接口!$V971),"")</f>
        <v/>
      </c>
      <c r="AB971" s="10" t="str">
        <f aca="false">IFERROR(IF([2]对账明细接口!$W971=0,"",[2]对账明细接口!$W971),"")</f>
        <v/>
      </c>
      <c r="AC971" s="90" t="str">
        <f aca="false">IFERROR(IF([2]对账明细接口!$X972=0,"",[2]对账明细接口!$X972),"")</f>
        <v/>
      </c>
      <c r="AD971" s="90" t="str">
        <f aca="false">IFERROR(IF([2]对账明细接口!$Y972=0,"",[2]对账明细接口!$Y972),"")</f>
        <v/>
      </c>
      <c r="AE971" s="90" t="str">
        <f aca="false">IFERROR(IF([2]对账明细接口!$AA972=0,"",[2]对账明细接口!$AA972),"")</f>
        <v/>
      </c>
      <c r="AF971" s="90" t="str">
        <f aca="false">IFERROR(IF([2]对账明细接口!$AB972=0,"",[2]对账明细接口!$AB972),"")</f>
        <v/>
      </c>
      <c r="AG971" s="90" t="str">
        <f aca="false">IFERROR(IF([2]对账明细接口!$AC972=0,"",[2]对账明细接口!$AC972),"")</f>
        <v/>
      </c>
      <c r="AH971" s="90" t="str">
        <f aca="false">IFERROR(IF([2]对账明细接口!$AD972=0,"",[2]对账明细接口!$AD972),"")</f>
        <v/>
      </c>
    </row>
    <row r="972" customFormat="false" ht="13.5" hidden="false" customHeight="false" outlineLevel="0" collapsed="false">
      <c r="A972" s="109" t="n">
        <v>972</v>
      </c>
      <c r="B972" s="110" t="str">
        <f aca="false">IFERROR(IF([2]对账明细接口!$B$972=0,"",[2]对账明细接口!$B$972),"")</f>
        <v/>
      </c>
      <c r="C972" s="59" t="str">
        <f aca="false">IFERROR(IF([2]对账明细接口!$C$972=0,"",[2]对账明细接口!$C$972),"")</f>
        <v/>
      </c>
      <c r="D972" s="59" t="str">
        <f aca="false">IFERROR(IF([2]对账明细接口!$D$972=0,"",[2]对账明细接口!$D$972),"")</f>
        <v/>
      </c>
      <c r="E972" s="59" t="str">
        <f aca="false">IFERROR(IF([2]对账明细接口!$E$972=0,"",[2]对账明细接口!$E$972),"")</f>
        <v/>
      </c>
      <c r="F972" s="59" t="str">
        <f aca="false">IFERROR(IF([2]对账明细接口!$F$972=0,"",[2]对账明细接口!$F$972),"")</f>
        <v/>
      </c>
      <c r="G972" s="59" t="str">
        <f aca="false">IFERROR(IF([2]对账明细接口!$G$972=0,"",[2]对账明细接口!$G$972),"")</f>
        <v/>
      </c>
      <c r="H972" s="60" t="str">
        <f aca="false">IFERROR(IF([2]对账明细接口!$H$972=0,"",[2]对账明细接口!$H$972),"")</f>
        <v/>
      </c>
      <c r="I972" s="59" t="str">
        <f aca="false">IFERROR(IF([2]对账明细接口!$I$972=0,"",[2]对账明细接口!$I$972),"")</f>
        <v/>
      </c>
      <c r="J972" s="61" t="str">
        <f aca="false">IFERROR(IF([2]对账明细接口!$J$972=0,"",[2]对账明细接口!$J$972),"")</f>
        <v/>
      </c>
      <c r="K972" s="61" t="str">
        <f aca="false">IFERROR(IF([2]对账明细接口!$K$972=0,"",[2]对账明细接口!$K$972),"")</f>
        <v/>
      </c>
      <c r="L972" s="59" t="str">
        <f aca="false">IFERROR(IF([2]对账明细接口!$L$972=0,"",[2]对账明细接口!$L$972),"")</f>
        <v/>
      </c>
      <c r="M972" s="59" t="str">
        <f aca="false">IFERROR(IF([2]对账明细接口!$M$972=0,"",[2]对账明细接口!$M$972),"")</f>
        <v/>
      </c>
      <c r="N972" s="111" t="n">
        <f aca="false">IF($C972="",0,1)</f>
        <v>0</v>
      </c>
      <c r="O972" s="111" t="n">
        <f aca="false">N(O971)+$N972</f>
        <v>311</v>
      </c>
      <c r="S972" s="10" t="str">
        <f aca="false">IFERROR(IF([2]对账明细接口!$N972=0,"",[2]对账明细接口!$N972),"")</f>
        <v/>
      </c>
      <c r="T972" s="112" t="str">
        <f aca="false">IFERROR(IF([2]对账明细接口!$O972=0,"",[2]对账明细接口!$O972),"")</f>
        <v/>
      </c>
      <c r="U972" s="112" t="str">
        <f aca="false">IFERROR(IF([2]对账明细接口!$P972=0,"",[2]对账明细接口!$P972),"")</f>
        <v/>
      </c>
      <c r="V972" s="112" t="str">
        <f aca="false">IFERROR(IF([2]对账明细接口!$Q972=0,"",[2]对账明细接口!$Q972),"")</f>
        <v/>
      </c>
      <c r="W972" s="10" t="str">
        <f aca="false">IFERROR(IF([2]对账明细接口!$R972=0,"",[2]对账明细接口!$R972),"")</f>
        <v/>
      </c>
      <c r="X972" s="10" t="str">
        <f aca="false">IFERROR(IF([2]对账明细接口!$S972=0,"",[2]对账明细接口!$S972),"")</f>
        <v/>
      </c>
      <c r="Y972" s="10" t="str">
        <f aca="false">IFERROR(IF([2]对账明细接口!$T972=0,"",[2]对账明细接口!$T972),"")</f>
        <v/>
      </c>
      <c r="Z972" s="113" t="str">
        <f aca="false">IFERROR(IF([2]对账明细接口!$U972=0,"",[2]对账明细接口!$U972),"")</f>
        <v/>
      </c>
      <c r="AA972" s="113" t="str">
        <f aca="false">IFERROR(IF([2]对账明细接口!$V972=0,"",[2]对账明细接口!$V972),"")</f>
        <v/>
      </c>
      <c r="AB972" s="10" t="str">
        <f aca="false">IFERROR(IF([2]对账明细接口!$W972=0,"",[2]对账明细接口!$W972),"")</f>
        <v/>
      </c>
      <c r="AC972" s="90" t="str">
        <f aca="false">IFERROR(IF([2]对账明细接口!$X973=0,"",[2]对账明细接口!$X973),"")</f>
        <v/>
      </c>
      <c r="AD972" s="90" t="str">
        <f aca="false">IFERROR(IF([2]对账明细接口!$Y973=0,"",[2]对账明细接口!$Y973),"")</f>
        <v/>
      </c>
      <c r="AE972" s="90" t="str">
        <f aca="false">IFERROR(IF([2]对账明细接口!$AA973=0,"",[2]对账明细接口!$AA973),"")</f>
        <v/>
      </c>
      <c r="AF972" s="90" t="str">
        <f aca="false">IFERROR(IF([2]对账明细接口!$AB973=0,"",[2]对账明细接口!$AB973),"")</f>
        <v/>
      </c>
      <c r="AG972" s="90" t="str">
        <f aca="false">IFERROR(IF([2]对账明细接口!$AC973=0,"",[2]对账明细接口!$AC973),"")</f>
        <v/>
      </c>
      <c r="AH972" s="90" t="str">
        <f aca="false">IFERROR(IF([2]对账明细接口!$AD973=0,"",[2]对账明细接口!$AD973),"")</f>
        <v/>
      </c>
    </row>
    <row r="973" customFormat="false" ht="13.5" hidden="false" customHeight="false" outlineLevel="0" collapsed="false">
      <c r="A973" s="109" t="n">
        <v>973</v>
      </c>
      <c r="B973" s="110" t="str">
        <f aca="false">IFERROR(IF([2]对账明细接口!$B$973=0,"",[2]对账明细接口!$B$973),"")</f>
        <v/>
      </c>
      <c r="C973" s="59" t="str">
        <f aca="false">IFERROR(IF([2]对账明细接口!$C$973=0,"",[2]对账明细接口!$C$973),"")</f>
        <v/>
      </c>
      <c r="D973" s="59" t="str">
        <f aca="false">IFERROR(IF([2]对账明细接口!$D$973=0,"",[2]对账明细接口!$D$973),"")</f>
        <v/>
      </c>
      <c r="E973" s="59" t="str">
        <f aca="false">IFERROR(IF([2]对账明细接口!$E$973=0,"",[2]对账明细接口!$E$973),"")</f>
        <v/>
      </c>
      <c r="F973" s="59" t="str">
        <f aca="false">IFERROR(IF([2]对账明细接口!$F$973=0,"",[2]对账明细接口!$F$973),"")</f>
        <v/>
      </c>
      <c r="G973" s="59" t="str">
        <f aca="false">IFERROR(IF([2]对账明细接口!$G$973=0,"",[2]对账明细接口!$G$973),"")</f>
        <v/>
      </c>
      <c r="H973" s="60" t="str">
        <f aca="false">IFERROR(IF([2]对账明细接口!$H$973=0,"",[2]对账明细接口!$H$973),"")</f>
        <v/>
      </c>
      <c r="I973" s="59" t="str">
        <f aca="false">IFERROR(IF([2]对账明细接口!$I$973=0,"",[2]对账明细接口!$I$973),"")</f>
        <v/>
      </c>
      <c r="J973" s="61" t="str">
        <f aca="false">IFERROR(IF([2]对账明细接口!$J$973=0,"",[2]对账明细接口!$J$973),"")</f>
        <v/>
      </c>
      <c r="K973" s="61" t="str">
        <f aca="false">IFERROR(IF([2]对账明细接口!$K$973=0,"",[2]对账明细接口!$K$973),"")</f>
        <v/>
      </c>
      <c r="L973" s="59" t="str">
        <f aca="false">IFERROR(IF([2]对账明细接口!$L$973=0,"",[2]对账明细接口!$L$973),"")</f>
        <v/>
      </c>
      <c r="M973" s="59" t="str">
        <f aca="false">IFERROR(IF([2]对账明细接口!$M$973=0,"",[2]对账明细接口!$M$973),"")</f>
        <v/>
      </c>
      <c r="N973" s="111" t="n">
        <f aca="false">IF($C973="",0,1)</f>
        <v>0</v>
      </c>
      <c r="O973" s="111" t="n">
        <f aca="false">N(O972)+$N973</f>
        <v>311</v>
      </c>
      <c r="S973" s="10" t="str">
        <f aca="false">IFERROR(IF([2]对账明细接口!$N973=0,"",[2]对账明细接口!$N973),"")</f>
        <v/>
      </c>
      <c r="T973" s="112" t="str">
        <f aca="false">IFERROR(IF([2]对账明细接口!$O973=0,"",[2]对账明细接口!$O973),"")</f>
        <v/>
      </c>
      <c r="U973" s="112" t="str">
        <f aca="false">IFERROR(IF([2]对账明细接口!$P973=0,"",[2]对账明细接口!$P973),"")</f>
        <v/>
      </c>
      <c r="V973" s="112" t="str">
        <f aca="false">IFERROR(IF([2]对账明细接口!$Q973=0,"",[2]对账明细接口!$Q973),"")</f>
        <v/>
      </c>
      <c r="W973" s="10" t="str">
        <f aca="false">IFERROR(IF([2]对账明细接口!$R973=0,"",[2]对账明细接口!$R973),"")</f>
        <v/>
      </c>
      <c r="X973" s="10" t="str">
        <f aca="false">IFERROR(IF([2]对账明细接口!$S973=0,"",[2]对账明细接口!$S973),"")</f>
        <v/>
      </c>
      <c r="Y973" s="10" t="str">
        <f aca="false">IFERROR(IF([2]对账明细接口!$T973=0,"",[2]对账明细接口!$T973),"")</f>
        <v/>
      </c>
      <c r="Z973" s="113" t="str">
        <f aca="false">IFERROR(IF([2]对账明细接口!$U973=0,"",[2]对账明细接口!$U973),"")</f>
        <v/>
      </c>
      <c r="AA973" s="113" t="str">
        <f aca="false">IFERROR(IF([2]对账明细接口!$V973=0,"",[2]对账明细接口!$V973),"")</f>
        <v/>
      </c>
      <c r="AB973" s="10" t="str">
        <f aca="false">IFERROR(IF([2]对账明细接口!$W973=0,"",[2]对账明细接口!$W973),"")</f>
        <v/>
      </c>
      <c r="AC973" s="90" t="str">
        <f aca="false">IFERROR(IF([2]对账明细接口!$X974=0,"",[2]对账明细接口!$X974),"")</f>
        <v/>
      </c>
      <c r="AD973" s="90" t="str">
        <f aca="false">IFERROR(IF([2]对账明细接口!$Y974=0,"",[2]对账明细接口!$Y974),"")</f>
        <v/>
      </c>
      <c r="AE973" s="90" t="str">
        <f aca="false">IFERROR(IF([2]对账明细接口!$AA974=0,"",[2]对账明细接口!$AA974),"")</f>
        <v/>
      </c>
      <c r="AF973" s="90" t="str">
        <f aca="false">IFERROR(IF([2]对账明细接口!$AB974=0,"",[2]对账明细接口!$AB974),"")</f>
        <v/>
      </c>
      <c r="AG973" s="90" t="str">
        <f aca="false">IFERROR(IF([2]对账明细接口!$AC974=0,"",[2]对账明细接口!$AC974),"")</f>
        <v/>
      </c>
      <c r="AH973" s="90" t="str">
        <f aca="false">IFERROR(IF([2]对账明细接口!$AD974=0,"",[2]对账明细接口!$AD974),"")</f>
        <v/>
      </c>
    </row>
    <row r="974" customFormat="false" ht="13.5" hidden="false" customHeight="false" outlineLevel="0" collapsed="false">
      <c r="A974" s="109" t="n">
        <v>974</v>
      </c>
      <c r="B974" s="110" t="str">
        <f aca="false">IFERROR(IF([2]对账明细接口!$B$974=0,"",[2]对账明细接口!$B$974),"")</f>
        <v/>
      </c>
      <c r="C974" s="59" t="str">
        <f aca="false">IFERROR(IF([2]对账明细接口!$C$974=0,"",[2]对账明细接口!$C$974),"")</f>
        <v/>
      </c>
      <c r="D974" s="59" t="str">
        <f aca="false">IFERROR(IF([2]对账明细接口!$D$974=0,"",[2]对账明细接口!$D$974),"")</f>
        <v/>
      </c>
      <c r="E974" s="59" t="str">
        <f aca="false">IFERROR(IF([2]对账明细接口!$E$974=0,"",[2]对账明细接口!$E$974),"")</f>
        <v/>
      </c>
      <c r="F974" s="59" t="str">
        <f aca="false">IFERROR(IF([2]对账明细接口!$F$974=0,"",[2]对账明细接口!$F$974),"")</f>
        <v/>
      </c>
      <c r="G974" s="59" t="str">
        <f aca="false">IFERROR(IF([2]对账明细接口!$G$974=0,"",[2]对账明细接口!$G$974),"")</f>
        <v/>
      </c>
      <c r="H974" s="60" t="str">
        <f aca="false">IFERROR(IF([2]对账明细接口!$H$974=0,"",[2]对账明细接口!$H$974),"")</f>
        <v/>
      </c>
      <c r="I974" s="59" t="str">
        <f aca="false">IFERROR(IF([2]对账明细接口!$I$974=0,"",[2]对账明细接口!$I$974),"")</f>
        <v/>
      </c>
      <c r="J974" s="61" t="str">
        <f aca="false">IFERROR(IF([2]对账明细接口!$J$974=0,"",[2]对账明细接口!$J$974),"")</f>
        <v/>
      </c>
      <c r="K974" s="61" t="str">
        <f aca="false">IFERROR(IF([2]对账明细接口!$K$974=0,"",[2]对账明细接口!$K$974),"")</f>
        <v/>
      </c>
      <c r="L974" s="59" t="str">
        <f aca="false">IFERROR(IF([2]对账明细接口!$L$974=0,"",[2]对账明细接口!$L$974),"")</f>
        <v/>
      </c>
      <c r="M974" s="59" t="str">
        <f aca="false">IFERROR(IF([2]对账明细接口!$M$974=0,"",[2]对账明细接口!$M$974),"")</f>
        <v/>
      </c>
      <c r="N974" s="111" t="n">
        <f aca="false">IF($C974="",0,1)</f>
        <v>0</v>
      </c>
      <c r="O974" s="111" t="n">
        <f aca="false">N(O973)+$N974</f>
        <v>311</v>
      </c>
      <c r="S974" s="10" t="str">
        <f aca="false">IFERROR(IF([2]对账明细接口!$N974=0,"",[2]对账明细接口!$N974),"")</f>
        <v/>
      </c>
      <c r="T974" s="112" t="str">
        <f aca="false">IFERROR(IF([2]对账明细接口!$O974=0,"",[2]对账明细接口!$O974),"")</f>
        <v/>
      </c>
      <c r="U974" s="112" t="str">
        <f aca="false">IFERROR(IF([2]对账明细接口!$P974=0,"",[2]对账明细接口!$P974),"")</f>
        <v/>
      </c>
      <c r="V974" s="112" t="str">
        <f aca="false">IFERROR(IF([2]对账明细接口!$Q974=0,"",[2]对账明细接口!$Q974),"")</f>
        <v/>
      </c>
      <c r="W974" s="10" t="str">
        <f aca="false">IFERROR(IF([2]对账明细接口!$R974=0,"",[2]对账明细接口!$R974),"")</f>
        <v/>
      </c>
      <c r="X974" s="10" t="str">
        <f aca="false">IFERROR(IF([2]对账明细接口!$S974=0,"",[2]对账明细接口!$S974),"")</f>
        <v/>
      </c>
      <c r="Y974" s="10" t="str">
        <f aca="false">IFERROR(IF([2]对账明细接口!$T974=0,"",[2]对账明细接口!$T974),"")</f>
        <v/>
      </c>
      <c r="Z974" s="113" t="str">
        <f aca="false">IFERROR(IF([2]对账明细接口!$U974=0,"",[2]对账明细接口!$U974),"")</f>
        <v/>
      </c>
      <c r="AA974" s="113" t="str">
        <f aca="false">IFERROR(IF([2]对账明细接口!$V974=0,"",[2]对账明细接口!$V974),"")</f>
        <v/>
      </c>
      <c r="AB974" s="10" t="str">
        <f aca="false">IFERROR(IF([2]对账明细接口!$W974=0,"",[2]对账明细接口!$W974),"")</f>
        <v/>
      </c>
      <c r="AC974" s="90" t="str">
        <f aca="false">IFERROR(IF([2]对账明细接口!$X975=0,"",[2]对账明细接口!$X975),"")</f>
        <v/>
      </c>
      <c r="AD974" s="90" t="str">
        <f aca="false">IFERROR(IF([2]对账明细接口!$Y975=0,"",[2]对账明细接口!$Y975),"")</f>
        <v/>
      </c>
      <c r="AE974" s="90" t="str">
        <f aca="false">IFERROR(IF([2]对账明细接口!$AA975=0,"",[2]对账明细接口!$AA975),"")</f>
        <v/>
      </c>
      <c r="AF974" s="90" t="str">
        <f aca="false">IFERROR(IF([2]对账明细接口!$AB975=0,"",[2]对账明细接口!$AB975),"")</f>
        <v/>
      </c>
      <c r="AG974" s="90" t="str">
        <f aca="false">IFERROR(IF([2]对账明细接口!$AC975=0,"",[2]对账明细接口!$AC975),"")</f>
        <v/>
      </c>
      <c r="AH974" s="90" t="str">
        <f aca="false">IFERROR(IF([2]对账明细接口!$AD975=0,"",[2]对账明细接口!$AD975),"")</f>
        <v/>
      </c>
    </row>
    <row r="975" customFormat="false" ht="13.5" hidden="false" customHeight="false" outlineLevel="0" collapsed="false">
      <c r="A975" s="109" t="n">
        <v>975</v>
      </c>
      <c r="B975" s="110" t="str">
        <f aca="false">IFERROR(IF([2]对账明细接口!$B$975=0,"",[2]对账明细接口!$B$975),"")</f>
        <v/>
      </c>
      <c r="C975" s="59" t="str">
        <f aca="false">IFERROR(IF([2]对账明细接口!$C$975=0,"",[2]对账明细接口!$C$975),"")</f>
        <v/>
      </c>
      <c r="D975" s="59" t="str">
        <f aca="false">IFERROR(IF([2]对账明细接口!$D$975=0,"",[2]对账明细接口!$D$975),"")</f>
        <v/>
      </c>
      <c r="E975" s="59" t="str">
        <f aca="false">IFERROR(IF([2]对账明细接口!$E$975=0,"",[2]对账明细接口!$E$975),"")</f>
        <v/>
      </c>
      <c r="F975" s="59" t="str">
        <f aca="false">IFERROR(IF([2]对账明细接口!$F$975=0,"",[2]对账明细接口!$F$975),"")</f>
        <v/>
      </c>
      <c r="G975" s="59" t="str">
        <f aca="false">IFERROR(IF([2]对账明细接口!$G$975=0,"",[2]对账明细接口!$G$975),"")</f>
        <v/>
      </c>
      <c r="H975" s="60" t="str">
        <f aca="false">IFERROR(IF([2]对账明细接口!$H$975=0,"",[2]对账明细接口!$H$975),"")</f>
        <v/>
      </c>
      <c r="I975" s="59" t="str">
        <f aca="false">IFERROR(IF([2]对账明细接口!$I$975=0,"",[2]对账明细接口!$I$975),"")</f>
        <v/>
      </c>
      <c r="J975" s="61" t="str">
        <f aca="false">IFERROR(IF([2]对账明细接口!$J$975=0,"",[2]对账明细接口!$J$975),"")</f>
        <v/>
      </c>
      <c r="K975" s="61" t="str">
        <f aca="false">IFERROR(IF([2]对账明细接口!$K$975=0,"",[2]对账明细接口!$K$975),"")</f>
        <v/>
      </c>
      <c r="L975" s="59" t="str">
        <f aca="false">IFERROR(IF([2]对账明细接口!$L$975=0,"",[2]对账明细接口!$L$975),"")</f>
        <v/>
      </c>
      <c r="M975" s="59" t="str">
        <f aca="false">IFERROR(IF([2]对账明细接口!$M$975=0,"",[2]对账明细接口!$M$975),"")</f>
        <v/>
      </c>
      <c r="N975" s="111" t="n">
        <f aca="false">IF($C975="",0,1)</f>
        <v>0</v>
      </c>
      <c r="O975" s="111" t="n">
        <f aca="false">N(O974)+$N975</f>
        <v>311</v>
      </c>
      <c r="S975" s="10" t="str">
        <f aca="false">IFERROR(IF([2]对账明细接口!$N975=0,"",[2]对账明细接口!$N975),"")</f>
        <v/>
      </c>
      <c r="T975" s="112" t="str">
        <f aca="false">IFERROR(IF([2]对账明细接口!$O975=0,"",[2]对账明细接口!$O975),"")</f>
        <v/>
      </c>
      <c r="U975" s="112" t="str">
        <f aca="false">IFERROR(IF([2]对账明细接口!$P975=0,"",[2]对账明细接口!$P975),"")</f>
        <v/>
      </c>
      <c r="V975" s="112" t="str">
        <f aca="false">IFERROR(IF([2]对账明细接口!$Q975=0,"",[2]对账明细接口!$Q975),"")</f>
        <v/>
      </c>
      <c r="W975" s="10" t="str">
        <f aca="false">IFERROR(IF([2]对账明细接口!$R975=0,"",[2]对账明细接口!$R975),"")</f>
        <v/>
      </c>
      <c r="X975" s="10" t="str">
        <f aca="false">IFERROR(IF([2]对账明细接口!$S975=0,"",[2]对账明细接口!$S975),"")</f>
        <v/>
      </c>
      <c r="Y975" s="10" t="str">
        <f aca="false">IFERROR(IF([2]对账明细接口!$T975=0,"",[2]对账明细接口!$T975),"")</f>
        <v/>
      </c>
      <c r="Z975" s="113" t="str">
        <f aca="false">IFERROR(IF([2]对账明细接口!$U975=0,"",[2]对账明细接口!$U975),"")</f>
        <v/>
      </c>
      <c r="AA975" s="113" t="str">
        <f aca="false">IFERROR(IF([2]对账明细接口!$V975=0,"",[2]对账明细接口!$V975),"")</f>
        <v/>
      </c>
      <c r="AB975" s="10" t="str">
        <f aca="false">IFERROR(IF([2]对账明细接口!$W975=0,"",[2]对账明细接口!$W975),"")</f>
        <v/>
      </c>
      <c r="AC975" s="90" t="str">
        <f aca="false">IFERROR(IF([2]对账明细接口!$X976=0,"",[2]对账明细接口!$X976),"")</f>
        <v/>
      </c>
      <c r="AD975" s="90" t="str">
        <f aca="false">IFERROR(IF([2]对账明细接口!$Y976=0,"",[2]对账明细接口!$Y976),"")</f>
        <v/>
      </c>
      <c r="AE975" s="90" t="str">
        <f aca="false">IFERROR(IF([2]对账明细接口!$AA976=0,"",[2]对账明细接口!$AA976),"")</f>
        <v/>
      </c>
      <c r="AF975" s="90" t="str">
        <f aca="false">IFERROR(IF([2]对账明细接口!$AB976=0,"",[2]对账明细接口!$AB976),"")</f>
        <v/>
      </c>
      <c r="AG975" s="90" t="str">
        <f aca="false">IFERROR(IF([2]对账明细接口!$AC976=0,"",[2]对账明细接口!$AC976),"")</f>
        <v/>
      </c>
      <c r="AH975" s="90" t="str">
        <f aca="false">IFERROR(IF([2]对账明细接口!$AD976=0,"",[2]对账明细接口!$AD976),"")</f>
        <v/>
      </c>
    </row>
    <row r="976" customFormat="false" ht="13.5" hidden="false" customHeight="false" outlineLevel="0" collapsed="false">
      <c r="A976" s="109" t="n">
        <v>976</v>
      </c>
      <c r="B976" s="110" t="str">
        <f aca="false">IFERROR(IF([2]对账明细接口!$B$976=0,"",[2]对账明细接口!$B$976),"")</f>
        <v/>
      </c>
      <c r="C976" s="59" t="str">
        <f aca="false">IFERROR(IF([2]对账明细接口!$C$976=0,"",[2]对账明细接口!$C$976),"")</f>
        <v/>
      </c>
      <c r="D976" s="59" t="str">
        <f aca="false">IFERROR(IF([2]对账明细接口!$D$976=0,"",[2]对账明细接口!$D$976),"")</f>
        <v/>
      </c>
      <c r="E976" s="59" t="str">
        <f aca="false">IFERROR(IF([2]对账明细接口!$E$976=0,"",[2]对账明细接口!$E$976),"")</f>
        <v/>
      </c>
      <c r="F976" s="59" t="str">
        <f aca="false">IFERROR(IF([2]对账明细接口!$F$976=0,"",[2]对账明细接口!$F$976),"")</f>
        <v/>
      </c>
      <c r="G976" s="59" t="str">
        <f aca="false">IFERROR(IF([2]对账明细接口!$G$976=0,"",[2]对账明细接口!$G$976),"")</f>
        <v/>
      </c>
      <c r="H976" s="60" t="str">
        <f aca="false">IFERROR(IF([2]对账明细接口!$H$976=0,"",[2]对账明细接口!$H$976),"")</f>
        <v/>
      </c>
      <c r="I976" s="59" t="str">
        <f aca="false">IFERROR(IF([2]对账明细接口!$I$976=0,"",[2]对账明细接口!$I$976),"")</f>
        <v/>
      </c>
      <c r="J976" s="61" t="str">
        <f aca="false">IFERROR(IF([2]对账明细接口!$J$976=0,"",[2]对账明细接口!$J$976),"")</f>
        <v/>
      </c>
      <c r="K976" s="61" t="str">
        <f aca="false">IFERROR(IF([2]对账明细接口!$K$976=0,"",[2]对账明细接口!$K$976),"")</f>
        <v/>
      </c>
      <c r="L976" s="59" t="str">
        <f aca="false">IFERROR(IF([2]对账明细接口!$L$976=0,"",[2]对账明细接口!$L$976),"")</f>
        <v/>
      </c>
      <c r="M976" s="59" t="str">
        <f aca="false">IFERROR(IF([2]对账明细接口!$M$976=0,"",[2]对账明细接口!$M$976),"")</f>
        <v/>
      </c>
      <c r="N976" s="111" t="n">
        <f aca="false">IF($C976="",0,1)</f>
        <v>0</v>
      </c>
      <c r="O976" s="111" t="n">
        <f aca="false">N(O975)+$N976</f>
        <v>311</v>
      </c>
      <c r="S976" s="10" t="str">
        <f aca="false">IFERROR(IF([2]对账明细接口!$N976=0,"",[2]对账明细接口!$N976),"")</f>
        <v/>
      </c>
      <c r="T976" s="112" t="str">
        <f aca="false">IFERROR(IF([2]对账明细接口!$O976=0,"",[2]对账明细接口!$O976),"")</f>
        <v/>
      </c>
      <c r="U976" s="112" t="str">
        <f aca="false">IFERROR(IF([2]对账明细接口!$P976=0,"",[2]对账明细接口!$P976),"")</f>
        <v/>
      </c>
      <c r="V976" s="112" t="str">
        <f aca="false">IFERROR(IF([2]对账明细接口!$Q976=0,"",[2]对账明细接口!$Q976),"")</f>
        <v/>
      </c>
      <c r="W976" s="10" t="str">
        <f aca="false">IFERROR(IF([2]对账明细接口!$R976=0,"",[2]对账明细接口!$R976),"")</f>
        <v/>
      </c>
      <c r="X976" s="10" t="str">
        <f aca="false">IFERROR(IF([2]对账明细接口!$S976=0,"",[2]对账明细接口!$S976),"")</f>
        <v/>
      </c>
      <c r="Y976" s="10" t="str">
        <f aca="false">IFERROR(IF([2]对账明细接口!$T976=0,"",[2]对账明细接口!$T976),"")</f>
        <v/>
      </c>
      <c r="Z976" s="113" t="str">
        <f aca="false">IFERROR(IF([2]对账明细接口!$U976=0,"",[2]对账明细接口!$U976),"")</f>
        <v/>
      </c>
      <c r="AA976" s="113" t="str">
        <f aca="false">IFERROR(IF([2]对账明细接口!$V976=0,"",[2]对账明细接口!$V976),"")</f>
        <v/>
      </c>
      <c r="AB976" s="10" t="str">
        <f aca="false">IFERROR(IF([2]对账明细接口!$W976=0,"",[2]对账明细接口!$W976),"")</f>
        <v/>
      </c>
      <c r="AC976" s="90" t="str">
        <f aca="false">IFERROR(IF([2]对账明细接口!$X977=0,"",[2]对账明细接口!$X977),"")</f>
        <v/>
      </c>
      <c r="AD976" s="90" t="str">
        <f aca="false">IFERROR(IF([2]对账明细接口!$Y977=0,"",[2]对账明细接口!$Y977),"")</f>
        <v/>
      </c>
      <c r="AE976" s="90" t="str">
        <f aca="false">IFERROR(IF([2]对账明细接口!$AA977=0,"",[2]对账明细接口!$AA977),"")</f>
        <v/>
      </c>
      <c r="AF976" s="90" t="str">
        <f aca="false">IFERROR(IF([2]对账明细接口!$AB977=0,"",[2]对账明细接口!$AB977),"")</f>
        <v/>
      </c>
      <c r="AG976" s="90" t="str">
        <f aca="false">IFERROR(IF([2]对账明细接口!$AC977=0,"",[2]对账明细接口!$AC977),"")</f>
        <v/>
      </c>
      <c r="AH976" s="90" t="str">
        <f aca="false">IFERROR(IF([2]对账明细接口!$AD977=0,"",[2]对账明细接口!$AD977),"")</f>
        <v/>
      </c>
    </row>
    <row r="977" customFormat="false" ht="13.5" hidden="false" customHeight="false" outlineLevel="0" collapsed="false">
      <c r="A977" s="109" t="n">
        <v>977</v>
      </c>
      <c r="B977" s="110" t="str">
        <f aca="false">IFERROR(IF([2]对账明细接口!$B$977=0,"",[2]对账明细接口!$B$977),"")</f>
        <v/>
      </c>
      <c r="C977" s="59" t="str">
        <f aca="false">IFERROR(IF([2]对账明细接口!$C$977=0,"",[2]对账明细接口!$C$977),"")</f>
        <v/>
      </c>
      <c r="D977" s="59" t="str">
        <f aca="false">IFERROR(IF([2]对账明细接口!$D$977=0,"",[2]对账明细接口!$D$977),"")</f>
        <v/>
      </c>
      <c r="E977" s="59" t="str">
        <f aca="false">IFERROR(IF([2]对账明细接口!$E$977=0,"",[2]对账明细接口!$E$977),"")</f>
        <v/>
      </c>
      <c r="F977" s="59" t="str">
        <f aca="false">IFERROR(IF([2]对账明细接口!$F$977=0,"",[2]对账明细接口!$F$977),"")</f>
        <v/>
      </c>
      <c r="G977" s="59" t="str">
        <f aca="false">IFERROR(IF([2]对账明细接口!$G$977=0,"",[2]对账明细接口!$G$977),"")</f>
        <v/>
      </c>
      <c r="H977" s="60" t="str">
        <f aca="false">IFERROR(IF([2]对账明细接口!$H$977=0,"",[2]对账明细接口!$H$977),"")</f>
        <v/>
      </c>
      <c r="I977" s="59" t="str">
        <f aca="false">IFERROR(IF([2]对账明细接口!$I$977=0,"",[2]对账明细接口!$I$977),"")</f>
        <v/>
      </c>
      <c r="J977" s="61" t="str">
        <f aca="false">IFERROR(IF([2]对账明细接口!$J$977=0,"",[2]对账明细接口!$J$977),"")</f>
        <v/>
      </c>
      <c r="K977" s="61" t="str">
        <f aca="false">IFERROR(IF([2]对账明细接口!$K$977=0,"",[2]对账明细接口!$K$977),"")</f>
        <v/>
      </c>
      <c r="L977" s="59" t="str">
        <f aca="false">IFERROR(IF([2]对账明细接口!$L$977=0,"",[2]对账明细接口!$L$977),"")</f>
        <v/>
      </c>
      <c r="M977" s="59" t="str">
        <f aca="false">IFERROR(IF([2]对账明细接口!$M$977=0,"",[2]对账明细接口!$M$977),"")</f>
        <v/>
      </c>
      <c r="N977" s="111" t="n">
        <f aca="false">IF($C977="",0,1)</f>
        <v>0</v>
      </c>
      <c r="O977" s="111" t="n">
        <f aca="false">N(O976)+$N977</f>
        <v>311</v>
      </c>
      <c r="S977" s="10" t="str">
        <f aca="false">IFERROR(IF([2]对账明细接口!$N977=0,"",[2]对账明细接口!$N977),"")</f>
        <v/>
      </c>
      <c r="T977" s="112" t="str">
        <f aca="false">IFERROR(IF([2]对账明细接口!$O977=0,"",[2]对账明细接口!$O977),"")</f>
        <v/>
      </c>
      <c r="U977" s="112" t="str">
        <f aca="false">IFERROR(IF([2]对账明细接口!$P977=0,"",[2]对账明细接口!$P977),"")</f>
        <v/>
      </c>
      <c r="V977" s="112" t="str">
        <f aca="false">IFERROR(IF([2]对账明细接口!$Q977=0,"",[2]对账明细接口!$Q977),"")</f>
        <v/>
      </c>
      <c r="W977" s="10" t="str">
        <f aca="false">IFERROR(IF([2]对账明细接口!$R977=0,"",[2]对账明细接口!$R977),"")</f>
        <v/>
      </c>
      <c r="X977" s="10" t="str">
        <f aca="false">IFERROR(IF([2]对账明细接口!$S977=0,"",[2]对账明细接口!$S977),"")</f>
        <v/>
      </c>
      <c r="Y977" s="10" t="str">
        <f aca="false">IFERROR(IF([2]对账明细接口!$T977=0,"",[2]对账明细接口!$T977),"")</f>
        <v/>
      </c>
      <c r="Z977" s="113" t="str">
        <f aca="false">IFERROR(IF([2]对账明细接口!$U977=0,"",[2]对账明细接口!$U977),"")</f>
        <v/>
      </c>
      <c r="AA977" s="113" t="str">
        <f aca="false">IFERROR(IF([2]对账明细接口!$V977=0,"",[2]对账明细接口!$V977),"")</f>
        <v/>
      </c>
      <c r="AB977" s="10" t="str">
        <f aca="false">IFERROR(IF([2]对账明细接口!$W977=0,"",[2]对账明细接口!$W977),"")</f>
        <v/>
      </c>
      <c r="AC977" s="90" t="str">
        <f aca="false">IFERROR(IF([2]对账明细接口!$X978=0,"",[2]对账明细接口!$X978),"")</f>
        <v/>
      </c>
      <c r="AD977" s="90" t="str">
        <f aca="false">IFERROR(IF([2]对账明细接口!$Y978=0,"",[2]对账明细接口!$Y978),"")</f>
        <v/>
      </c>
      <c r="AE977" s="90" t="str">
        <f aca="false">IFERROR(IF([2]对账明细接口!$AA978=0,"",[2]对账明细接口!$AA978),"")</f>
        <v/>
      </c>
      <c r="AF977" s="90" t="str">
        <f aca="false">IFERROR(IF([2]对账明细接口!$AB978=0,"",[2]对账明细接口!$AB978),"")</f>
        <v/>
      </c>
      <c r="AG977" s="90" t="str">
        <f aca="false">IFERROR(IF([2]对账明细接口!$AC978=0,"",[2]对账明细接口!$AC978),"")</f>
        <v/>
      </c>
      <c r="AH977" s="90" t="str">
        <f aca="false">IFERROR(IF([2]对账明细接口!$AD978=0,"",[2]对账明细接口!$AD978),"")</f>
        <v/>
      </c>
    </row>
    <row r="978" customFormat="false" ht="13.5" hidden="false" customHeight="false" outlineLevel="0" collapsed="false">
      <c r="A978" s="109" t="n">
        <v>978</v>
      </c>
      <c r="B978" s="110" t="str">
        <f aca="false">IFERROR(IF([2]对账明细接口!$B$978=0,"",[2]对账明细接口!$B$978),"")</f>
        <v/>
      </c>
      <c r="C978" s="59" t="str">
        <f aca="false">IFERROR(IF([2]对账明细接口!$C$978=0,"",[2]对账明细接口!$C$978),"")</f>
        <v/>
      </c>
      <c r="D978" s="59" t="str">
        <f aca="false">IFERROR(IF([2]对账明细接口!$D$978=0,"",[2]对账明细接口!$D$978),"")</f>
        <v/>
      </c>
      <c r="E978" s="59" t="str">
        <f aca="false">IFERROR(IF([2]对账明细接口!$E$978=0,"",[2]对账明细接口!$E$978),"")</f>
        <v/>
      </c>
      <c r="F978" s="59" t="str">
        <f aca="false">IFERROR(IF([2]对账明细接口!$F$978=0,"",[2]对账明细接口!$F$978),"")</f>
        <v/>
      </c>
      <c r="G978" s="59" t="str">
        <f aca="false">IFERROR(IF([2]对账明细接口!$G$978=0,"",[2]对账明细接口!$G$978),"")</f>
        <v/>
      </c>
      <c r="H978" s="60" t="str">
        <f aca="false">IFERROR(IF([2]对账明细接口!$H$978=0,"",[2]对账明细接口!$H$978),"")</f>
        <v/>
      </c>
      <c r="I978" s="59" t="str">
        <f aca="false">IFERROR(IF([2]对账明细接口!$I$978=0,"",[2]对账明细接口!$I$978),"")</f>
        <v/>
      </c>
      <c r="J978" s="61" t="str">
        <f aca="false">IFERROR(IF([2]对账明细接口!$J$978=0,"",[2]对账明细接口!$J$978),"")</f>
        <v/>
      </c>
      <c r="K978" s="61" t="str">
        <f aca="false">IFERROR(IF([2]对账明细接口!$K$978=0,"",[2]对账明细接口!$K$978),"")</f>
        <v/>
      </c>
      <c r="L978" s="59" t="str">
        <f aca="false">IFERROR(IF([2]对账明细接口!$L$978=0,"",[2]对账明细接口!$L$978),"")</f>
        <v/>
      </c>
      <c r="M978" s="59" t="str">
        <f aca="false">IFERROR(IF([2]对账明细接口!$M$978=0,"",[2]对账明细接口!$M$978),"")</f>
        <v/>
      </c>
      <c r="N978" s="111" t="n">
        <f aca="false">IF($C978="",0,1)</f>
        <v>0</v>
      </c>
      <c r="O978" s="111" t="n">
        <f aca="false">N(O977)+$N978</f>
        <v>311</v>
      </c>
      <c r="S978" s="10" t="str">
        <f aca="false">IFERROR(IF([2]对账明细接口!$N978=0,"",[2]对账明细接口!$N978),"")</f>
        <v/>
      </c>
      <c r="T978" s="112" t="str">
        <f aca="false">IFERROR(IF([2]对账明细接口!$O978=0,"",[2]对账明细接口!$O978),"")</f>
        <v/>
      </c>
      <c r="U978" s="112" t="str">
        <f aca="false">IFERROR(IF([2]对账明细接口!$P978=0,"",[2]对账明细接口!$P978),"")</f>
        <v/>
      </c>
      <c r="V978" s="112" t="str">
        <f aca="false">IFERROR(IF([2]对账明细接口!$Q978=0,"",[2]对账明细接口!$Q978),"")</f>
        <v/>
      </c>
      <c r="W978" s="10" t="str">
        <f aca="false">IFERROR(IF([2]对账明细接口!$R978=0,"",[2]对账明细接口!$R978),"")</f>
        <v/>
      </c>
      <c r="X978" s="10" t="str">
        <f aca="false">IFERROR(IF([2]对账明细接口!$S978=0,"",[2]对账明细接口!$S978),"")</f>
        <v/>
      </c>
      <c r="Y978" s="10" t="str">
        <f aca="false">IFERROR(IF([2]对账明细接口!$T978=0,"",[2]对账明细接口!$T978),"")</f>
        <v/>
      </c>
      <c r="Z978" s="113" t="str">
        <f aca="false">IFERROR(IF([2]对账明细接口!$U978=0,"",[2]对账明细接口!$U978),"")</f>
        <v/>
      </c>
      <c r="AA978" s="113" t="str">
        <f aca="false">IFERROR(IF([2]对账明细接口!$V978=0,"",[2]对账明细接口!$V978),"")</f>
        <v/>
      </c>
      <c r="AB978" s="10" t="str">
        <f aca="false">IFERROR(IF([2]对账明细接口!$W978=0,"",[2]对账明细接口!$W978),"")</f>
        <v/>
      </c>
      <c r="AC978" s="90" t="str">
        <f aca="false">IFERROR(IF([2]对账明细接口!$X979=0,"",[2]对账明细接口!$X979),"")</f>
        <v/>
      </c>
      <c r="AD978" s="90" t="str">
        <f aca="false">IFERROR(IF([2]对账明细接口!$Y979=0,"",[2]对账明细接口!$Y979),"")</f>
        <v/>
      </c>
      <c r="AE978" s="90" t="str">
        <f aca="false">IFERROR(IF([2]对账明细接口!$AA979=0,"",[2]对账明细接口!$AA979),"")</f>
        <v/>
      </c>
      <c r="AF978" s="90" t="str">
        <f aca="false">IFERROR(IF([2]对账明细接口!$AB979=0,"",[2]对账明细接口!$AB979),"")</f>
        <v/>
      </c>
      <c r="AG978" s="90" t="str">
        <f aca="false">IFERROR(IF([2]对账明细接口!$AC979=0,"",[2]对账明细接口!$AC979),"")</f>
        <v/>
      </c>
      <c r="AH978" s="90" t="str">
        <f aca="false">IFERROR(IF([2]对账明细接口!$AD979=0,"",[2]对账明细接口!$AD979),"")</f>
        <v/>
      </c>
    </row>
    <row r="979" customFormat="false" ht="13.5" hidden="false" customHeight="false" outlineLevel="0" collapsed="false">
      <c r="A979" s="109" t="n">
        <v>979</v>
      </c>
      <c r="B979" s="110" t="str">
        <f aca="false">IFERROR(IF([2]对账明细接口!$B$979=0,"",[2]对账明细接口!$B$979),"")</f>
        <v/>
      </c>
      <c r="C979" s="59" t="str">
        <f aca="false">IFERROR(IF([2]对账明细接口!$C$979=0,"",[2]对账明细接口!$C$979),"")</f>
        <v/>
      </c>
      <c r="D979" s="59" t="str">
        <f aca="false">IFERROR(IF([2]对账明细接口!$D$979=0,"",[2]对账明细接口!$D$979),"")</f>
        <v/>
      </c>
      <c r="E979" s="59" t="str">
        <f aca="false">IFERROR(IF([2]对账明细接口!$E$979=0,"",[2]对账明细接口!$E$979),"")</f>
        <v/>
      </c>
      <c r="F979" s="59" t="str">
        <f aca="false">IFERROR(IF([2]对账明细接口!$F$979=0,"",[2]对账明细接口!$F$979),"")</f>
        <v/>
      </c>
      <c r="G979" s="59" t="str">
        <f aca="false">IFERROR(IF([2]对账明细接口!$G$979=0,"",[2]对账明细接口!$G$979),"")</f>
        <v/>
      </c>
      <c r="H979" s="60" t="str">
        <f aca="false">IFERROR(IF([2]对账明细接口!$H$979=0,"",[2]对账明细接口!$H$979),"")</f>
        <v/>
      </c>
      <c r="I979" s="59" t="str">
        <f aca="false">IFERROR(IF([2]对账明细接口!$I$979=0,"",[2]对账明细接口!$I$979),"")</f>
        <v/>
      </c>
      <c r="J979" s="61" t="str">
        <f aca="false">IFERROR(IF([2]对账明细接口!$J$979=0,"",[2]对账明细接口!$J$979),"")</f>
        <v/>
      </c>
      <c r="K979" s="61" t="str">
        <f aca="false">IFERROR(IF([2]对账明细接口!$K$979=0,"",[2]对账明细接口!$K$979),"")</f>
        <v/>
      </c>
      <c r="L979" s="59" t="str">
        <f aca="false">IFERROR(IF([2]对账明细接口!$L$979=0,"",[2]对账明细接口!$L$979),"")</f>
        <v/>
      </c>
      <c r="M979" s="59" t="str">
        <f aca="false">IFERROR(IF([2]对账明细接口!$M$979=0,"",[2]对账明细接口!$M$979),"")</f>
        <v/>
      </c>
      <c r="N979" s="111" t="n">
        <f aca="false">IF($C979="",0,1)</f>
        <v>0</v>
      </c>
      <c r="O979" s="111" t="n">
        <f aca="false">N(O978)+$N979</f>
        <v>311</v>
      </c>
      <c r="S979" s="10" t="str">
        <f aca="false">IFERROR(IF([2]对账明细接口!$N979=0,"",[2]对账明细接口!$N979),"")</f>
        <v/>
      </c>
      <c r="T979" s="112" t="str">
        <f aca="false">IFERROR(IF([2]对账明细接口!$O979=0,"",[2]对账明细接口!$O979),"")</f>
        <v/>
      </c>
      <c r="U979" s="112" t="str">
        <f aca="false">IFERROR(IF([2]对账明细接口!$P979=0,"",[2]对账明细接口!$P979),"")</f>
        <v/>
      </c>
      <c r="V979" s="112" t="str">
        <f aca="false">IFERROR(IF([2]对账明细接口!$Q979=0,"",[2]对账明细接口!$Q979),"")</f>
        <v/>
      </c>
      <c r="W979" s="10" t="str">
        <f aca="false">IFERROR(IF([2]对账明细接口!$R979=0,"",[2]对账明细接口!$R979),"")</f>
        <v/>
      </c>
      <c r="X979" s="10" t="str">
        <f aca="false">IFERROR(IF([2]对账明细接口!$S979=0,"",[2]对账明细接口!$S979),"")</f>
        <v/>
      </c>
      <c r="Y979" s="10" t="str">
        <f aca="false">IFERROR(IF([2]对账明细接口!$T979=0,"",[2]对账明细接口!$T979),"")</f>
        <v/>
      </c>
      <c r="Z979" s="113" t="str">
        <f aca="false">IFERROR(IF([2]对账明细接口!$U979=0,"",[2]对账明细接口!$U979),"")</f>
        <v/>
      </c>
      <c r="AA979" s="113" t="str">
        <f aca="false">IFERROR(IF([2]对账明细接口!$V979=0,"",[2]对账明细接口!$V979),"")</f>
        <v/>
      </c>
      <c r="AB979" s="10" t="str">
        <f aca="false">IFERROR(IF([2]对账明细接口!$W979=0,"",[2]对账明细接口!$W979),"")</f>
        <v/>
      </c>
      <c r="AC979" s="90" t="str">
        <f aca="false">IFERROR(IF([2]对账明细接口!$X980=0,"",[2]对账明细接口!$X980),"")</f>
        <v/>
      </c>
      <c r="AD979" s="90" t="str">
        <f aca="false">IFERROR(IF([2]对账明细接口!$Y980=0,"",[2]对账明细接口!$Y980),"")</f>
        <v/>
      </c>
      <c r="AE979" s="90" t="str">
        <f aca="false">IFERROR(IF([2]对账明细接口!$AA980=0,"",[2]对账明细接口!$AA980),"")</f>
        <v/>
      </c>
      <c r="AF979" s="90" t="str">
        <f aca="false">IFERROR(IF([2]对账明细接口!$AB980=0,"",[2]对账明细接口!$AB980),"")</f>
        <v/>
      </c>
      <c r="AG979" s="90" t="str">
        <f aca="false">IFERROR(IF([2]对账明细接口!$AC980=0,"",[2]对账明细接口!$AC980),"")</f>
        <v/>
      </c>
      <c r="AH979" s="90" t="str">
        <f aca="false">IFERROR(IF([2]对账明细接口!$AD980=0,"",[2]对账明细接口!$AD980),"")</f>
        <v/>
      </c>
    </row>
    <row r="980" customFormat="false" ht="13.5" hidden="false" customHeight="false" outlineLevel="0" collapsed="false">
      <c r="A980" s="109" t="n">
        <v>980</v>
      </c>
      <c r="B980" s="110" t="str">
        <f aca="false">IFERROR(IF([2]对账明细接口!$B$980=0,"",[2]对账明细接口!$B$980),"")</f>
        <v/>
      </c>
      <c r="C980" s="59" t="str">
        <f aca="false">IFERROR(IF([2]对账明细接口!$C$980=0,"",[2]对账明细接口!$C$980),"")</f>
        <v/>
      </c>
      <c r="D980" s="59" t="str">
        <f aca="false">IFERROR(IF([2]对账明细接口!$D$980=0,"",[2]对账明细接口!$D$980),"")</f>
        <v/>
      </c>
      <c r="E980" s="59" t="str">
        <f aca="false">IFERROR(IF([2]对账明细接口!$E$980=0,"",[2]对账明细接口!$E$980),"")</f>
        <v/>
      </c>
      <c r="F980" s="59" t="str">
        <f aca="false">IFERROR(IF([2]对账明细接口!$F$980=0,"",[2]对账明细接口!$F$980),"")</f>
        <v/>
      </c>
      <c r="G980" s="59" t="str">
        <f aca="false">IFERROR(IF([2]对账明细接口!$G$980=0,"",[2]对账明细接口!$G$980),"")</f>
        <v/>
      </c>
      <c r="H980" s="60" t="str">
        <f aca="false">IFERROR(IF([2]对账明细接口!$H$980=0,"",[2]对账明细接口!$H$980),"")</f>
        <v/>
      </c>
      <c r="I980" s="59" t="str">
        <f aca="false">IFERROR(IF([2]对账明细接口!$I$980=0,"",[2]对账明细接口!$I$980),"")</f>
        <v/>
      </c>
      <c r="J980" s="61" t="str">
        <f aca="false">IFERROR(IF([2]对账明细接口!$J$980=0,"",[2]对账明细接口!$J$980),"")</f>
        <v/>
      </c>
      <c r="K980" s="61" t="str">
        <f aca="false">IFERROR(IF([2]对账明细接口!$K$980=0,"",[2]对账明细接口!$K$980),"")</f>
        <v/>
      </c>
      <c r="L980" s="59" t="str">
        <f aca="false">IFERROR(IF([2]对账明细接口!$L$980=0,"",[2]对账明细接口!$L$980),"")</f>
        <v/>
      </c>
      <c r="M980" s="59" t="str">
        <f aca="false">IFERROR(IF([2]对账明细接口!$M$980=0,"",[2]对账明细接口!$M$980),"")</f>
        <v/>
      </c>
      <c r="N980" s="111" t="n">
        <f aca="false">IF($C980="",0,1)</f>
        <v>0</v>
      </c>
      <c r="O980" s="111" t="n">
        <f aca="false">N(O979)+$N980</f>
        <v>311</v>
      </c>
      <c r="S980" s="10" t="str">
        <f aca="false">IFERROR(IF([2]对账明细接口!$N980=0,"",[2]对账明细接口!$N980),"")</f>
        <v/>
      </c>
      <c r="T980" s="112" t="str">
        <f aca="false">IFERROR(IF([2]对账明细接口!$O980=0,"",[2]对账明细接口!$O980),"")</f>
        <v/>
      </c>
      <c r="U980" s="112" t="str">
        <f aca="false">IFERROR(IF([2]对账明细接口!$P980=0,"",[2]对账明细接口!$P980),"")</f>
        <v/>
      </c>
      <c r="V980" s="112" t="str">
        <f aca="false">IFERROR(IF([2]对账明细接口!$Q980=0,"",[2]对账明细接口!$Q980),"")</f>
        <v/>
      </c>
      <c r="W980" s="10" t="str">
        <f aca="false">IFERROR(IF([2]对账明细接口!$R980=0,"",[2]对账明细接口!$R980),"")</f>
        <v/>
      </c>
      <c r="X980" s="10" t="str">
        <f aca="false">IFERROR(IF([2]对账明细接口!$S980=0,"",[2]对账明细接口!$S980),"")</f>
        <v/>
      </c>
      <c r="Y980" s="10" t="str">
        <f aca="false">IFERROR(IF([2]对账明细接口!$T980=0,"",[2]对账明细接口!$T980),"")</f>
        <v/>
      </c>
      <c r="Z980" s="113" t="str">
        <f aca="false">IFERROR(IF([2]对账明细接口!$U980=0,"",[2]对账明细接口!$U980),"")</f>
        <v/>
      </c>
      <c r="AA980" s="113" t="str">
        <f aca="false">IFERROR(IF([2]对账明细接口!$V980=0,"",[2]对账明细接口!$V980),"")</f>
        <v/>
      </c>
      <c r="AB980" s="10" t="str">
        <f aca="false">IFERROR(IF([2]对账明细接口!$W980=0,"",[2]对账明细接口!$W980),"")</f>
        <v/>
      </c>
      <c r="AC980" s="90" t="str">
        <f aca="false">IFERROR(IF([2]对账明细接口!$X981=0,"",[2]对账明细接口!$X981),"")</f>
        <v/>
      </c>
      <c r="AD980" s="90" t="str">
        <f aca="false">IFERROR(IF([2]对账明细接口!$Y981=0,"",[2]对账明细接口!$Y981),"")</f>
        <v/>
      </c>
      <c r="AE980" s="90" t="str">
        <f aca="false">IFERROR(IF([2]对账明细接口!$AA981=0,"",[2]对账明细接口!$AA981),"")</f>
        <v/>
      </c>
      <c r="AF980" s="90" t="str">
        <f aca="false">IFERROR(IF([2]对账明细接口!$AB981=0,"",[2]对账明细接口!$AB981),"")</f>
        <v/>
      </c>
      <c r="AG980" s="90" t="str">
        <f aca="false">IFERROR(IF([2]对账明细接口!$AC981=0,"",[2]对账明细接口!$AC981),"")</f>
        <v/>
      </c>
      <c r="AH980" s="90" t="str">
        <f aca="false">IFERROR(IF([2]对账明细接口!$AD981=0,"",[2]对账明细接口!$AD981),"")</f>
        <v/>
      </c>
    </row>
    <row r="981" customFormat="false" ht="13.5" hidden="false" customHeight="false" outlineLevel="0" collapsed="false">
      <c r="A981" s="109" t="n">
        <v>981</v>
      </c>
      <c r="B981" s="110" t="str">
        <f aca="false">IFERROR(IF([2]对账明细接口!$B$981=0,"",[2]对账明细接口!$B$981),"")</f>
        <v/>
      </c>
      <c r="C981" s="59" t="str">
        <f aca="false">IFERROR(IF([2]对账明细接口!$C$981=0,"",[2]对账明细接口!$C$981),"")</f>
        <v/>
      </c>
      <c r="D981" s="59" t="str">
        <f aca="false">IFERROR(IF([2]对账明细接口!$D$981=0,"",[2]对账明细接口!$D$981),"")</f>
        <v/>
      </c>
      <c r="E981" s="59" t="str">
        <f aca="false">IFERROR(IF([2]对账明细接口!$E$981=0,"",[2]对账明细接口!$E$981),"")</f>
        <v/>
      </c>
      <c r="F981" s="59" t="str">
        <f aca="false">IFERROR(IF([2]对账明细接口!$F$981=0,"",[2]对账明细接口!$F$981),"")</f>
        <v/>
      </c>
      <c r="G981" s="59" t="str">
        <f aca="false">IFERROR(IF([2]对账明细接口!$G$981=0,"",[2]对账明细接口!$G$981),"")</f>
        <v/>
      </c>
      <c r="H981" s="60" t="str">
        <f aca="false">IFERROR(IF([2]对账明细接口!$H$981=0,"",[2]对账明细接口!$H$981),"")</f>
        <v/>
      </c>
      <c r="I981" s="59" t="str">
        <f aca="false">IFERROR(IF([2]对账明细接口!$I$981=0,"",[2]对账明细接口!$I$981),"")</f>
        <v/>
      </c>
      <c r="J981" s="61" t="str">
        <f aca="false">IFERROR(IF([2]对账明细接口!$J$981=0,"",[2]对账明细接口!$J$981),"")</f>
        <v/>
      </c>
      <c r="K981" s="61" t="str">
        <f aca="false">IFERROR(IF([2]对账明细接口!$K$981=0,"",[2]对账明细接口!$K$981),"")</f>
        <v/>
      </c>
      <c r="L981" s="59" t="str">
        <f aca="false">IFERROR(IF([2]对账明细接口!$L$981=0,"",[2]对账明细接口!$L$981),"")</f>
        <v/>
      </c>
      <c r="M981" s="59" t="str">
        <f aca="false">IFERROR(IF([2]对账明细接口!$M$981=0,"",[2]对账明细接口!$M$981),"")</f>
        <v/>
      </c>
      <c r="N981" s="111" t="n">
        <f aca="false">IF($C981="",0,1)</f>
        <v>0</v>
      </c>
      <c r="O981" s="111" t="n">
        <f aca="false">N(O980)+$N981</f>
        <v>311</v>
      </c>
      <c r="S981" s="10" t="str">
        <f aca="false">IFERROR(IF([2]对账明细接口!$N981=0,"",[2]对账明细接口!$N981),"")</f>
        <v/>
      </c>
      <c r="T981" s="112" t="str">
        <f aca="false">IFERROR(IF([2]对账明细接口!$O981=0,"",[2]对账明细接口!$O981),"")</f>
        <v/>
      </c>
      <c r="U981" s="112" t="str">
        <f aca="false">IFERROR(IF([2]对账明细接口!$P981=0,"",[2]对账明细接口!$P981),"")</f>
        <v/>
      </c>
      <c r="V981" s="112" t="str">
        <f aca="false">IFERROR(IF([2]对账明细接口!$Q981=0,"",[2]对账明细接口!$Q981),"")</f>
        <v/>
      </c>
      <c r="W981" s="10" t="str">
        <f aca="false">IFERROR(IF([2]对账明细接口!$R981=0,"",[2]对账明细接口!$R981),"")</f>
        <v/>
      </c>
      <c r="X981" s="10" t="str">
        <f aca="false">IFERROR(IF([2]对账明细接口!$S981=0,"",[2]对账明细接口!$S981),"")</f>
        <v/>
      </c>
      <c r="Y981" s="10" t="str">
        <f aca="false">IFERROR(IF([2]对账明细接口!$T981=0,"",[2]对账明细接口!$T981),"")</f>
        <v/>
      </c>
      <c r="Z981" s="113" t="str">
        <f aca="false">IFERROR(IF([2]对账明细接口!$U981=0,"",[2]对账明细接口!$U981),"")</f>
        <v/>
      </c>
      <c r="AA981" s="113" t="str">
        <f aca="false">IFERROR(IF([2]对账明细接口!$V981=0,"",[2]对账明细接口!$V981),"")</f>
        <v/>
      </c>
      <c r="AB981" s="10" t="str">
        <f aca="false">IFERROR(IF([2]对账明细接口!$W981=0,"",[2]对账明细接口!$W981),"")</f>
        <v/>
      </c>
      <c r="AC981" s="90" t="str">
        <f aca="false">IFERROR(IF([2]对账明细接口!$X982=0,"",[2]对账明细接口!$X982),"")</f>
        <v/>
      </c>
      <c r="AD981" s="90" t="str">
        <f aca="false">IFERROR(IF([2]对账明细接口!$Y982=0,"",[2]对账明细接口!$Y982),"")</f>
        <v/>
      </c>
      <c r="AE981" s="90" t="str">
        <f aca="false">IFERROR(IF([2]对账明细接口!$AA982=0,"",[2]对账明细接口!$AA982),"")</f>
        <v/>
      </c>
      <c r="AF981" s="90" t="str">
        <f aca="false">IFERROR(IF([2]对账明细接口!$AB982=0,"",[2]对账明细接口!$AB982),"")</f>
        <v/>
      </c>
      <c r="AG981" s="90" t="str">
        <f aca="false">IFERROR(IF([2]对账明细接口!$AC982=0,"",[2]对账明细接口!$AC982),"")</f>
        <v/>
      </c>
      <c r="AH981" s="90" t="str">
        <f aca="false">IFERROR(IF([2]对账明细接口!$AD982=0,"",[2]对账明细接口!$AD982),"")</f>
        <v/>
      </c>
    </row>
    <row r="982" customFormat="false" ht="13.5" hidden="false" customHeight="false" outlineLevel="0" collapsed="false">
      <c r="A982" s="109" t="n">
        <v>982</v>
      </c>
      <c r="B982" s="110" t="str">
        <f aca="false">IFERROR(IF([2]对账明细接口!$B$982=0,"",[2]对账明细接口!$B$982),"")</f>
        <v/>
      </c>
      <c r="C982" s="59" t="str">
        <f aca="false">IFERROR(IF([2]对账明细接口!$C$982=0,"",[2]对账明细接口!$C$982),"")</f>
        <v/>
      </c>
      <c r="D982" s="59" t="str">
        <f aca="false">IFERROR(IF([2]对账明细接口!$D$982=0,"",[2]对账明细接口!$D$982),"")</f>
        <v/>
      </c>
      <c r="E982" s="59" t="str">
        <f aca="false">IFERROR(IF([2]对账明细接口!$E$982=0,"",[2]对账明细接口!$E$982),"")</f>
        <v/>
      </c>
      <c r="F982" s="59" t="str">
        <f aca="false">IFERROR(IF([2]对账明细接口!$F$982=0,"",[2]对账明细接口!$F$982),"")</f>
        <v/>
      </c>
      <c r="G982" s="59" t="str">
        <f aca="false">IFERROR(IF([2]对账明细接口!$G$982=0,"",[2]对账明细接口!$G$982),"")</f>
        <v/>
      </c>
      <c r="H982" s="60" t="str">
        <f aca="false">IFERROR(IF([2]对账明细接口!$H$982=0,"",[2]对账明细接口!$H$982),"")</f>
        <v/>
      </c>
      <c r="I982" s="59" t="str">
        <f aca="false">IFERROR(IF([2]对账明细接口!$I$982=0,"",[2]对账明细接口!$I$982),"")</f>
        <v/>
      </c>
      <c r="J982" s="61" t="str">
        <f aca="false">IFERROR(IF([2]对账明细接口!$J$982=0,"",[2]对账明细接口!$J$982),"")</f>
        <v/>
      </c>
      <c r="K982" s="61" t="str">
        <f aca="false">IFERROR(IF([2]对账明细接口!$K$982=0,"",[2]对账明细接口!$K$982),"")</f>
        <v/>
      </c>
      <c r="L982" s="59" t="str">
        <f aca="false">IFERROR(IF([2]对账明细接口!$L$982=0,"",[2]对账明细接口!$L$982),"")</f>
        <v/>
      </c>
      <c r="M982" s="59" t="str">
        <f aca="false">IFERROR(IF([2]对账明细接口!$M$982=0,"",[2]对账明细接口!$M$982),"")</f>
        <v/>
      </c>
      <c r="N982" s="111" t="n">
        <f aca="false">IF($C982="",0,1)</f>
        <v>0</v>
      </c>
      <c r="O982" s="111" t="n">
        <f aca="false">N(O981)+$N982</f>
        <v>311</v>
      </c>
      <c r="S982" s="10" t="str">
        <f aca="false">IFERROR(IF([2]对账明细接口!$N982=0,"",[2]对账明细接口!$N982),"")</f>
        <v/>
      </c>
      <c r="T982" s="112" t="str">
        <f aca="false">IFERROR(IF([2]对账明细接口!$O982=0,"",[2]对账明细接口!$O982),"")</f>
        <v/>
      </c>
      <c r="U982" s="112" t="str">
        <f aca="false">IFERROR(IF([2]对账明细接口!$P982=0,"",[2]对账明细接口!$P982),"")</f>
        <v/>
      </c>
      <c r="V982" s="112" t="str">
        <f aca="false">IFERROR(IF([2]对账明细接口!$Q982=0,"",[2]对账明细接口!$Q982),"")</f>
        <v/>
      </c>
      <c r="W982" s="10" t="str">
        <f aca="false">IFERROR(IF([2]对账明细接口!$R982=0,"",[2]对账明细接口!$R982),"")</f>
        <v/>
      </c>
      <c r="X982" s="10" t="str">
        <f aca="false">IFERROR(IF([2]对账明细接口!$S982=0,"",[2]对账明细接口!$S982),"")</f>
        <v/>
      </c>
      <c r="Y982" s="10" t="str">
        <f aca="false">IFERROR(IF([2]对账明细接口!$T982=0,"",[2]对账明细接口!$T982),"")</f>
        <v/>
      </c>
      <c r="Z982" s="113" t="str">
        <f aca="false">IFERROR(IF([2]对账明细接口!$U982=0,"",[2]对账明细接口!$U982),"")</f>
        <v/>
      </c>
      <c r="AA982" s="113" t="str">
        <f aca="false">IFERROR(IF([2]对账明细接口!$V982=0,"",[2]对账明细接口!$V982),"")</f>
        <v/>
      </c>
      <c r="AB982" s="10" t="str">
        <f aca="false">IFERROR(IF([2]对账明细接口!$W982=0,"",[2]对账明细接口!$W982),"")</f>
        <v/>
      </c>
      <c r="AC982" s="90" t="str">
        <f aca="false">IFERROR(IF([2]对账明细接口!$X983=0,"",[2]对账明细接口!$X983),"")</f>
        <v/>
      </c>
      <c r="AD982" s="90" t="str">
        <f aca="false">IFERROR(IF([2]对账明细接口!$Y983=0,"",[2]对账明细接口!$Y983),"")</f>
        <v/>
      </c>
      <c r="AE982" s="90" t="str">
        <f aca="false">IFERROR(IF([2]对账明细接口!$AA983=0,"",[2]对账明细接口!$AA983),"")</f>
        <v/>
      </c>
      <c r="AF982" s="90" t="str">
        <f aca="false">IFERROR(IF([2]对账明细接口!$AB983=0,"",[2]对账明细接口!$AB983),"")</f>
        <v/>
      </c>
      <c r="AG982" s="90" t="str">
        <f aca="false">IFERROR(IF([2]对账明细接口!$AC983=0,"",[2]对账明细接口!$AC983),"")</f>
        <v/>
      </c>
      <c r="AH982" s="90" t="str">
        <f aca="false">IFERROR(IF([2]对账明细接口!$AD983=0,"",[2]对账明细接口!$AD983),"")</f>
        <v/>
      </c>
    </row>
    <row r="983" customFormat="false" ht="13.5" hidden="false" customHeight="false" outlineLevel="0" collapsed="false">
      <c r="A983" s="109" t="n">
        <v>983</v>
      </c>
      <c r="B983" s="110" t="str">
        <f aca="false">IFERROR(IF([2]对账明细接口!$B$983=0,"",[2]对账明细接口!$B$983),"")</f>
        <v/>
      </c>
      <c r="C983" s="59" t="str">
        <f aca="false">IFERROR(IF([2]对账明细接口!$C$983=0,"",[2]对账明细接口!$C$983),"")</f>
        <v/>
      </c>
      <c r="D983" s="59" t="str">
        <f aca="false">IFERROR(IF([2]对账明细接口!$D$983=0,"",[2]对账明细接口!$D$983),"")</f>
        <v/>
      </c>
      <c r="E983" s="59" t="str">
        <f aca="false">IFERROR(IF([2]对账明细接口!$E$983=0,"",[2]对账明细接口!$E$983),"")</f>
        <v/>
      </c>
      <c r="F983" s="59" t="str">
        <f aca="false">IFERROR(IF([2]对账明细接口!$F$983=0,"",[2]对账明细接口!$F$983),"")</f>
        <v/>
      </c>
      <c r="G983" s="59" t="str">
        <f aca="false">IFERROR(IF([2]对账明细接口!$G$983=0,"",[2]对账明细接口!$G$983),"")</f>
        <v/>
      </c>
      <c r="H983" s="60" t="str">
        <f aca="false">IFERROR(IF([2]对账明细接口!$H$983=0,"",[2]对账明细接口!$H$983),"")</f>
        <v/>
      </c>
      <c r="I983" s="59" t="str">
        <f aca="false">IFERROR(IF([2]对账明细接口!$I$983=0,"",[2]对账明细接口!$I$983),"")</f>
        <v/>
      </c>
      <c r="J983" s="61" t="str">
        <f aca="false">IFERROR(IF([2]对账明细接口!$J$983=0,"",[2]对账明细接口!$J$983),"")</f>
        <v/>
      </c>
      <c r="K983" s="61" t="str">
        <f aca="false">IFERROR(IF([2]对账明细接口!$K$983=0,"",[2]对账明细接口!$K$983),"")</f>
        <v/>
      </c>
      <c r="L983" s="59" t="str">
        <f aca="false">IFERROR(IF([2]对账明细接口!$L$983=0,"",[2]对账明细接口!$L$983),"")</f>
        <v/>
      </c>
      <c r="M983" s="59" t="str">
        <f aca="false">IFERROR(IF([2]对账明细接口!$M$983=0,"",[2]对账明细接口!$M$983),"")</f>
        <v/>
      </c>
      <c r="N983" s="111" t="n">
        <f aca="false">IF($C983="",0,1)</f>
        <v>0</v>
      </c>
      <c r="O983" s="111" t="n">
        <f aca="false">N(O982)+$N983</f>
        <v>311</v>
      </c>
      <c r="S983" s="10" t="str">
        <f aca="false">IFERROR(IF([2]对账明细接口!$N983=0,"",[2]对账明细接口!$N983),"")</f>
        <v/>
      </c>
      <c r="T983" s="112" t="str">
        <f aca="false">IFERROR(IF([2]对账明细接口!$O983=0,"",[2]对账明细接口!$O983),"")</f>
        <v/>
      </c>
      <c r="U983" s="112" t="str">
        <f aca="false">IFERROR(IF([2]对账明细接口!$P983=0,"",[2]对账明细接口!$P983),"")</f>
        <v/>
      </c>
      <c r="V983" s="112" t="str">
        <f aca="false">IFERROR(IF([2]对账明细接口!$Q983=0,"",[2]对账明细接口!$Q983),"")</f>
        <v/>
      </c>
      <c r="W983" s="10" t="str">
        <f aca="false">IFERROR(IF([2]对账明细接口!$R983=0,"",[2]对账明细接口!$R983),"")</f>
        <v/>
      </c>
      <c r="X983" s="10" t="str">
        <f aca="false">IFERROR(IF([2]对账明细接口!$S983=0,"",[2]对账明细接口!$S983),"")</f>
        <v/>
      </c>
      <c r="Y983" s="10" t="str">
        <f aca="false">IFERROR(IF([2]对账明细接口!$T983=0,"",[2]对账明细接口!$T983),"")</f>
        <v/>
      </c>
      <c r="Z983" s="113" t="str">
        <f aca="false">IFERROR(IF([2]对账明细接口!$U983=0,"",[2]对账明细接口!$U983),"")</f>
        <v/>
      </c>
      <c r="AA983" s="113" t="str">
        <f aca="false">IFERROR(IF([2]对账明细接口!$V983=0,"",[2]对账明细接口!$V983),"")</f>
        <v/>
      </c>
      <c r="AB983" s="10" t="str">
        <f aca="false">IFERROR(IF([2]对账明细接口!$W983=0,"",[2]对账明细接口!$W983),"")</f>
        <v/>
      </c>
      <c r="AC983" s="90" t="str">
        <f aca="false">IFERROR(IF([2]对账明细接口!$X984=0,"",[2]对账明细接口!$X984),"")</f>
        <v/>
      </c>
      <c r="AD983" s="90" t="str">
        <f aca="false">IFERROR(IF([2]对账明细接口!$Y984=0,"",[2]对账明细接口!$Y984),"")</f>
        <v/>
      </c>
      <c r="AE983" s="90" t="str">
        <f aca="false">IFERROR(IF([2]对账明细接口!$AA984=0,"",[2]对账明细接口!$AA984),"")</f>
        <v/>
      </c>
      <c r="AF983" s="90" t="str">
        <f aca="false">IFERROR(IF([2]对账明细接口!$AB984=0,"",[2]对账明细接口!$AB984),"")</f>
        <v/>
      </c>
      <c r="AG983" s="90" t="str">
        <f aca="false">IFERROR(IF([2]对账明细接口!$AC984=0,"",[2]对账明细接口!$AC984),"")</f>
        <v/>
      </c>
      <c r="AH983" s="90" t="str">
        <f aca="false">IFERROR(IF([2]对账明细接口!$AD984=0,"",[2]对账明细接口!$AD984),"")</f>
        <v/>
      </c>
    </row>
    <row r="984" customFormat="false" ht="13.5" hidden="false" customHeight="false" outlineLevel="0" collapsed="false">
      <c r="A984" s="109" t="n">
        <v>984</v>
      </c>
      <c r="B984" s="110" t="str">
        <f aca="false">IFERROR(IF([2]对账明细接口!$B$984=0,"",[2]对账明细接口!$B$984),"")</f>
        <v/>
      </c>
      <c r="C984" s="59" t="str">
        <f aca="false">IFERROR(IF([2]对账明细接口!$C$984=0,"",[2]对账明细接口!$C$984),"")</f>
        <v/>
      </c>
      <c r="D984" s="59" t="str">
        <f aca="false">IFERROR(IF([2]对账明细接口!$D$984=0,"",[2]对账明细接口!$D$984),"")</f>
        <v/>
      </c>
      <c r="E984" s="59" t="str">
        <f aca="false">IFERROR(IF([2]对账明细接口!$E$984=0,"",[2]对账明细接口!$E$984),"")</f>
        <v/>
      </c>
      <c r="F984" s="59" t="str">
        <f aca="false">IFERROR(IF([2]对账明细接口!$F$984=0,"",[2]对账明细接口!$F$984),"")</f>
        <v/>
      </c>
      <c r="G984" s="59" t="str">
        <f aca="false">IFERROR(IF([2]对账明细接口!$G$984=0,"",[2]对账明细接口!$G$984),"")</f>
        <v/>
      </c>
      <c r="H984" s="60" t="str">
        <f aca="false">IFERROR(IF([2]对账明细接口!$H$984=0,"",[2]对账明细接口!$H$984),"")</f>
        <v/>
      </c>
      <c r="I984" s="59" t="str">
        <f aca="false">IFERROR(IF([2]对账明细接口!$I$984=0,"",[2]对账明细接口!$I$984),"")</f>
        <v/>
      </c>
      <c r="J984" s="61" t="str">
        <f aca="false">IFERROR(IF([2]对账明细接口!$J$984=0,"",[2]对账明细接口!$J$984),"")</f>
        <v/>
      </c>
      <c r="K984" s="61" t="str">
        <f aca="false">IFERROR(IF([2]对账明细接口!$K$984=0,"",[2]对账明细接口!$K$984),"")</f>
        <v/>
      </c>
      <c r="L984" s="59" t="str">
        <f aca="false">IFERROR(IF([2]对账明细接口!$L$984=0,"",[2]对账明细接口!$L$984),"")</f>
        <v/>
      </c>
      <c r="M984" s="59" t="str">
        <f aca="false">IFERROR(IF([2]对账明细接口!$M$984=0,"",[2]对账明细接口!$M$984),"")</f>
        <v/>
      </c>
      <c r="N984" s="111" t="n">
        <f aca="false">IF($C984="",0,1)</f>
        <v>0</v>
      </c>
      <c r="O984" s="111" t="n">
        <f aca="false">N(O983)+$N984</f>
        <v>311</v>
      </c>
      <c r="S984" s="10" t="str">
        <f aca="false">IFERROR(IF([2]对账明细接口!$N984=0,"",[2]对账明细接口!$N984),"")</f>
        <v/>
      </c>
      <c r="T984" s="112" t="str">
        <f aca="false">IFERROR(IF([2]对账明细接口!$O984=0,"",[2]对账明细接口!$O984),"")</f>
        <v/>
      </c>
      <c r="U984" s="112" t="str">
        <f aca="false">IFERROR(IF([2]对账明细接口!$P984=0,"",[2]对账明细接口!$P984),"")</f>
        <v/>
      </c>
      <c r="V984" s="112" t="str">
        <f aca="false">IFERROR(IF([2]对账明细接口!$Q984=0,"",[2]对账明细接口!$Q984),"")</f>
        <v/>
      </c>
      <c r="W984" s="10" t="str">
        <f aca="false">IFERROR(IF([2]对账明细接口!$R984=0,"",[2]对账明细接口!$R984),"")</f>
        <v/>
      </c>
      <c r="X984" s="10" t="str">
        <f aca="false">IFERROR(IF([2]对账明细接口!$S984=0,"",[2]对账明细接口!$S984),"")</f>
        <v/>
      </c>
      <c r="Y984" s="10" t="str">
        <f aca="false">IFERROR(IF([2]对账明细接口!$T984=0,"",[2]对账明细接口!$T984),"")</f>
        <v/>
      </c>
      <c r="Z984" s="113" t="str">
        <f aca="false">IFERROR(IF([2]对账明细接口!$U984=0,"",[2]对账明细接口!$U984),"")</f>
        <v/>
      </c>
      <c r="AA984" s="113" t="str">
        <f aca="false">IFERROR(IF([2]对账明细接口!$V984=0,"",[2]对账明细接口!$V984),"")</f>
        <v/>
      </c>
      <c r="AB984" s="10" t="str">
        <f aca="false">IFERROR(IF([2]对账明细接口!$W984=0,"",[2]对账明细接口!$W984),"")</f>
        <v/>
      </c>
      <c r="AC984" s="90" t="str">
        <f aca="false">IFERROR(IF([2]对账明细接口!$X985=0,"",[2]对账明细接口!$X985),"")</f>
        <v/>
      </c>
      <c r="AD984" s="90" t="str">
        <f aca="false">IFERROR(IF([2]对账明细接口!$Y985=0,"",[2]对账明细接口!$Y985),"")</f>
        <v/>
      </c>
      <c r="AE984" s="90" t="str">
        <f aca="false">IFERROR(IF([2]对账明细接口!$AA985=0,"",[2]对账明细接口!$AA985),"")</f>
        <v/>
      </c>
      <c r="AF984" s="90" t="str">
        <f aca="false">IFERROR(IF([2]对账明细接口!$AB985=0,"",[2]对账明细接口!$AB985),"")</f>
        <v/>
      </c>
      <c r="AG984" s="90" t="str">
        <f aca="false">IFERROR(IF([2]对账明细接口!$AC985=0,"",[2]对账明细接口!$AC985),"")</f>
        <v/>
      </c>
      <c r="AH984" s="90" t="str">
        <f aca="false">IFERROR(IF([2]对账明细接口!$AD985=0,"",[2]对账明细接口!$AD985),"")</f>
        <v/>
      </c>
    </row>
    <row r="985" customFormat="false" ht="13.5" hidden="false" customHeight="false" outlineLevel="0" collapsed="false">
      <c r="A985" s="109" t="n">
        <v>985</v>
      </c>
      <c r="B985" s="110" t="str">
        <f aca="false">IFERROR(IF([2]对账明细接口!$B$985=0,"",[2]对账明细接口!$B$985),"")</f>
        <v/>
      </c>
      <c r="C985" s="59" t="str">
        <f aca="false">IFERROR(IF([2]对账明细接口!$C$985=0,"",[2]对账明细接口!$C$985),"")</f>
        <v/>
      </c>
      <c r="D985" s="59" t="str">
        <f aca="false">IFERROR(IF([2]对账明细接口!$D$985=0,"",[2]对账明细接口!$D$985),"")</f>
        <v/>
      </c>
      <c r="E985" s="59" t="str">
        <f aca="false">IFERROR(IF([2]对账明细接口!$E$985=0,"",[2]对账明细接口!$E$985),"")</f>
        <v/>
      </c>
      <c r="F985" s="59" t="str">
        <f aca="false">IFERROR(IF([2]对账明细接口!$F$985=0,"",[2]对账明细接口!$F$985),"")</f>
        <v/>
      </c>
      <c r="G985" s="59" t="str">
        <f aca="false">IFERROR(IF([2]对账明细接口!$G$985=0,"",[2]对账明细接口!$G$985),"")</f>
        <v/>
      </c>
      <c r="H985" s="60" t="str">
        <f aca="false">IFERROR(IF([2]对账明细接口!$H$985=0,"",[2]对账明细接口!$H$985),"")</f>
        <v/>
      </c>
      <c r="I985" s="59" t="str">
        <f aca="false">IFERROR(IF([2]对账明细接口!$I$985=0,"",[2]对账明细接口!$I$985),"")</f>
        <v/>
      </c>
      <c r="J985" s="61" t="str">
        <f aca="false">IFERROR(IF([2]对账明细接口!$J$985=0,"",[2]对账明细接口!$J$985),"")</f>
        <v/>
      </c>
      <c r="K985" s="61" t="str">
        <f aca="false">IFERROR(IF([2]对账明细接口!$K$985=0,"",[2]对账明细接口!$K$985),"")</f>
        <v/>
      </c>
      <c r="L985" s="59" t="str">
        <f aca="false">IFERROR(IF([2]对账明细接口!$L$985=0,"",[2]对账明细接口!$L$985),"")</f>
        <v/>
      </c>
      <c r="M985" s="59" t="str">
        <f aca="false">IFERROR(IF([2]对账明细接口!$M$985=0,"",[2]对账明细接口!$M$985),"")</f>
        <v/>
      </c>
      <c r="N985" s="111" t="n">
        <f aca="false">IF($C985="",0,1)</f>
        <v>0</v>
      </c>
      <c r="O985" s="111" t="n">
        <f aca="false">N(O984)+$N985</f>
        <v>311</v>
      </c>
      <c r="S985" s="10" t="str">
        <f aca="false">IFERROR(IF([2]对账明细接口!$N985=0,"",[2]对账明细接口!$N985),"")</f>
        <v/>
      </c>
      <c r="T985" s="112" t="str">
        <f aca="false">IFERROR(IF([2]对账明细接口!$O985=0,"",[2]对账明细接口!$O985),"")</f>
        <v/>
      </c>
      <c r="U985" s="112" t="str">
        <f aca="false">IFERROR(IF([2]对账明细接口!$P985=0,"",[2]对账明细接口!$P985),"")</f>
        <v/>
      </c>
      <c r="V985" s="112" t="str">
        <f aca="false">IFERROR(IF([2]对账明细接口!$Q985=0,"",[2]对账明细接口!$Q985),"")</f>
        <v/>
      </c>
      <c r="W985" s="10" t="str">
        <f aca="false">IFERROR(IF([2]对账明细接口!$R985=0,"",[2]对账明细接口!$R985),"")</f>
        <v/>
      </c>
      <c r="X985" s="10" t="str">
        <f aca="false">IFERROR(IF([2]对账明细接口!$S985=0,"",[2]对账明细接口!$S985),"")</f>
        <v/>
      </c>
      <c r="Y985" s="10" t="str">
        <f aca="false">IFERROR(IF([2]对账明细接口!$T985=0,"",[2]对账明细接口!$T985),"")</f>
        <v/>
      </c>
      <c r="Z985" s="113" t="str">
        <f aca="false">IFERROR(IF([2]对账明细接口!$U985=0,"",[2]对账明细接口!$U985),"")</f>
        <v/>
      </c>
      <c r="AA985" s="113" t="str">
        <f aca="false">IFERROR(IF([2]对账明细接口!$V985=0,"",[2]对账明细接口!$V985),"")</f>
        <v/>
      </c>
      <c r="AB985" s="10" t="str">
        <f aca="false">IFERROR(IF([2]对账明细接口!$W985=0,"",[2]对账明细接口!$W985),"")</f>
        <v/>
      </c>
      <c r="AC985" s="90" t="str">
        <f aca="false">IFERROR(IF([2]对账明细接口!$X986=0,"",[2]对账明细接口!$X986),"")</f>
        <v/>
      </c>
      <c r="AD985" s="90" t="str">
        <f aca="false">IFERROR(IF([2]对账明细接口!$Y986=0,"",[2]对账明细接口!$Y986),"")</f>
        <v/>
      </c>
      <c r="AE985" s="90" t="str">
        <f aca="false">IFERROR(IF([2]对账明细接口!$AA986=0,"",[2]对账明细接口!$AA986),"")</f>
        <v/>
      </c>
      <c r="AF985" s="90" t="str">
        <f aca="false">IFERROR(IF([2]对账明细接口!$AB986=0,"",[2]对账明细接口!$AB986),"")</f>
        <v/>
      </c>
      <c r="AG985" s="90" t="str">
        <f aca="false">IFERROR(IF([2]对账明细接口!$AC986=0,"",[2]对账明细接口!$AC986),"")</f>
        <v/>
      </c>
      <c r="AH985" s="90" t="str">
        <f aca="false">IFERROR(IF([2]对账明细接口!$AD986=0,"",[2]对账明细接口!$AD986),"")</f>
        <v/>
      </c>
    </row>
    <row r="986" customFormat="false" ht="13.5" hidden="false" customHeight="false" outlineLevel="0" collapsed="false">
      <c r="A986" s="109" t="n">
        <v>986</v>
      </c>
      <c r="B986" s="110" t="str">
        <f aca="false">IFERROR(IF([2]对账明细接口!$B$986=0,"",[2]对账明细接口!$B$986),"")</f>
        <v/>
      </c>
      <c r="C986" s="59" t="str">
        <f aca="false">IFERROR(IF([2]对账明细接口!$C$986=0,"",[2]对账明细接口!$C$986),"")</f>
        <v/>
      </c>
      <c r="D986" s="59" t="str">
        <f aca="false">IFERROR(IF([2]对账明细接口!$D$986=0,"",[2]对账明细接口!$D$986),"")</f>
        <v/>
      </c>
      <c r="E986" s="59" t="str">
        <f aca="false">IFERROR(IF([2]对账明细接口!$E$986=0,"",[2]对账明细接口!$E$986),"")</f>
        <v/>
      </c>
      <c r="F986" s="59" t="str">
        <f aca="false">IFERROR(IF([2]对账明细接口!$F$986=0,"",[2]对账明细接口!$F$986),"")</f>
        <v/>
      </c>
      <c r="G986" s="59" t="str">
        <f aca="false">IFERROR(IF([2]对账明细接口!$G$986=0,"",[2]对账明细接口!$G$986),"")</f>
        <v/>
      </c>
      <c r="H986" s="60" t="str">
        <f aca="false">IFERROR(IF([2]对账明细接口!$H$986=0,"",[2]对账明细接口!$H$986),"")</f>
        <v/>
      </c>
      <c r="I986" s="59" t="str">
        <f aca="false">IFERROR(IF([2]对账明细接口!$I$986=0,"",[2]对账明细接口!$I$986),"")</f>
        <v/>
      </c>
      <c r="J986" s="61" t="str">
        <f aca="false">IFERROR(IF([2]对账明细接口!$J$986=0,"",[2]对账明细接口!$J$986),"")</f>
        <v/>
      </c>
      <c r="K986" s="61" t="str">
        <f aca="false">IFERROR(IF([2]对账明细接口!$K$986=0,"",[2]对账明细接口!$K$986),"")</f>
        <v/>
      </c>
      <c r="L986" s="59" t="str">
        <f aca="false">IFERROR(IF([2]对账明细接口!$L$986=0,"",[2]对账明细接口!$L$986),"")</f>
        <v/>
      </c>
      <c r="M986" s="59" t="str">
        <f aca="false">IFERROR(IF([2]对账明细接口!$M$986=0,"",[2]对账明细接口!$M$986),"")</f>
        <v/>
      </c>
      <c r="N986" s="111" t="n">
        <f aca="false">IF($C986="",0,1)</f>
        <v>0</v>
      </c>
      <c r="O986" s="111" t="n">
        <f aca="false">N(O985)+$N986</f>
        <v>311</v>
      </c>
      <c r="S986" s="10" t="str">
        <f aca="false">IFERROR(IF([2]对账明细接口!$N986=0,"",[2]对账明细接口!$N986),"")</f>
        <v/>
      </c>
      <c r="T986" s="112" t="str">
        <f aca="false">IFERROR(IF([2]对账明细接口!$O986=0,"",[2]对账明细接口!$O986),"")</f>
        <v/>
      </c>
      <c r="U986" s="112" t="str">
        <f aca="false">IFERROR(IF([2]对账明细接口!$P986=0,"",[2]对账明细接口!$P986),"")</f>
        <v/>
      </c>
      <c r="V986" s="112" t="str">
        <f aca="false">IFERROR(IF([2]对账明细接口!$Q986=0,"",[2]对账明细接口!$Q986),"")</f>
        <v/>
      </c>
      <c r="W986" s="10" t="str">
        <f aca="false">IFERROR(IF([2]对账明细接口!$R986=0,"",[2]对账明细接口!$R986),"")</f>
        <v/>
      </c>
      <c r="X986" s="10" t="str">
        <f aca="false">IFERROR(IF([2]对账明细接口!$S986=0,"",[2]对账明细接口!$S986),"")</f>
        <v/>
      </c>
      <c r="Y986" s="10" t="str">
        <f aca="false">IFERROR(IF([2]对账明细接口!$T986=0,"",[2]对账明细接口!$T986),"")</f>
        <v/>
      </c>
      <c r="Z986" s="113" t="str">
        <f aca="false">IFERROR(IF([2]对账明细接口!$U986=0,"",[2]对账明细接口!$U986),"")</f>
        <v/>
      </c>
      <c r="AA986" s="113" t="str">
        <f aca="false">IFERROR(IF([2]对账明细接口!$V986=0,"",[2]对账明细接口!$V986),"")</f>
        <v/>
      </c>
      <c r="AB986" s="10" t="str">
        <f aca="false">IFERROR(IF([2]对账明细接口!$W986=0,"",[2]对账明细接口!$W986),"")</f>
        <v/>
      </c>
      <c r="AC986" s="90" t="str">
        <f aca="false">IFERROR(IF([2]对账明细接口!$X987=0,"",[2]对账明细接口!$X987),"")</f>
        <v/>
      </c>
      <c r="AD986" s="90" t="str">
        <f aca="false">IFERROR(IF([2]对账明细接口!$Y987=0,"",[2]对账明细接口!$Y987),"")</f>
        <v/>
      </c>
      <c r="AE986" s="90" t="str">
        <f aca="false">IFERROR(IF([2]对账明细接口!$AA987=0,"",[2]对账明细接口!$AA987),"")</f>
        <v/>
      </c>
      <c r="AF986" s="90" t="str">
        <f aca="false">IFERROR(IF([2]对账明细接口!$AB987=0,"",[2]对账明细接口!$AB987),"")</f>
        <v/>
      </c>
      <c r="AG986" s="90" t="str">
        <f aca="false">IFERROR(IF([2]对账明细接口!$AC987=0,"",[2]对账明细接口!$AC987),"")</f>
        <v/>
      </c>
      <c r="AH986" s="90" t="str">
        <f aca="false">IFERROR(IF([2]对账明细接口!$AD987=0,"",[2]对账明细接口!$AD987),"")</f>
        <v/>
      </c>
    </row>
    <row r="987" customFormat="false" ht="13.5" hidden="false" customHeight="false" outlineLevel="0" collapsed="false">
      <c r="A987" s="109" t="n">
        <v>987</v>
      </c>
      <c r="B987" s="110" t="str">
        <f aca="false">IFERROR(IF([2]对账明细接口!$B$987=0,"",[2]对账明细接口!$B$987),"")</f>
        <v/>
      </c>
      <c r="C987" s="59" t="str">
        <f aca="false">IFERROR(IF([2]对账明细接口!$C$987=0,"",[2]对账明细接口!$C$987),"")</f>
        <v/>
      </c>
      <c r="D987" s="59" t="str">
        <f aca="false">IFERROR(IF([2]对账明细接口!$D$987=0,"",[2]对账明细接口!$D$987),"")</f>
        <v/>
      </c>
      <c r="E987" s="59" t="str">
        <f aca="false">IFERROR(IF([2]对账明细接口!$E$987=0,"",[2]对账明细接口!$E$987),"")</f>
        <v/>
      </c>
      <c r="F987" s="59" t="str">
        <f aca="false">IFERROR(IF([2]对账明细接口!$F$987=0,"",[2]对账明细接口!$F$987),"")</f>
        <v/>
      </c>
      <c r="G987" s="59" t="str">
        <f aca="false">IFERROR(IF([2]对账明细接口!$G$987=0,"",[2]对账明细接口!$G$987),"")</f>
        <v/>
      </c>
      <c r="H987" s="60" t="str">
        <f aca="false">IFERROR(IF([2]对账明细接口!$H$987=0,"",[2]对账明细接口!$H$987),"")</f>
        <v/>
      </c>
      <c r="I987" s="59" t="str">
        <f aca="false">IFERROR(IF([2]对账明细接口!$I$987=0,"",[2]对账明细接口!$I$987),"")</f>
        <v/>
      </c>
      <c r="J987" s="61" t="str">
        <f aca="false">IFERROR(IF([2]对账明细接口!$J$987=0,"",[2]对账明细接口!$J$987),"")</f>
        <v/>
      </c>
      <c r="K987" s="61" t="str">
        <f aca="false">IFERROR(IF([2]对账明细接口!$K$987=0,"",[2]对账明细接口!$K$987),"")</f>
        <v/>
      </c>
      <c r="L987" s="59" t="str">
        <f aca="false">IFERROR(IF([2]对账明细接口!$L$987=0,"",[2]对账明细接口!$L$987),"")</f>
        <v/>
      </c>
      <c r="M987" s="59" t="str">
        <f aca="false">IFERROR(IF([2]对账明细接口!$M$987=0,"",[2]对账明细接口!$M$987),"")</f>
        <v/>
      </c>
      <c r="N987" s="111" t="n">
        <f aca="false">IF($C987="",0,1)</f>
        <v>0</v>
      </c>
      <c r="O987" s="111" t="n">
        <f aca="false">N(O986)+$N987</f>
        <v>311</v>
      </c>
      <c r="S987" s="10" t="str">
        <f aca="false">IFERROR(IF([2]对账明细接口!$N987=0,"",[2]对账明细接口!$N987),"")</f>
        <v/>
      </c>
      <c r="T987" s="112" t="str">
        <f aca="false">IFERROR(IF([2]对账明细接口!$O987=0,"",[2]对账明细接口!$O987),"")</f>
        <v/>
      </c>
      <c r="U987" s="112" t="str">
        <f aca="false">IFERROR(IF([2]对账明细接口!$P987=0,"",[2]对账明细接口!$P987),"")</f>
        <v/>
      </c>
      <c r="V987" s="112" t="str">
        <f aca="false">IFERROR(IF([2]对账明细接口!$Q987=0,"",[2]对账明细接口!$Q987),"")</f>
        <v/>
      </c>
      <c r="W987" s="10" t="str">
        <f aca="false">IFERROR(IF([2]对账明细接口!$R987=0,"",[2]对账明细接口!$R987),"")</f>
        <v/>
      </c>
      <c r="X987" s="10" t="str">
        <f aca="false">IFERROR(IF([2]对账明细接口!$S987=0,"",[2]对账明细接口!$S987),"")</f>
        <v/>
      </c>
      <c r="Y987" s="10" t="str">
        <f aca="false">IFERROR(IF([2]对账明细接口!$T987=0,"",[2]对账明细接口!$T987),"")</f>
        <v/>
      </c>
      <c r="Z987" s="113" t="str">
        <f aca="false">IFERROR(IF([2]对账明细接口!$U987=0,"",[2]对账明细接口!$U987),"")</f>
        <v/>
      </c>
      <c r="AA987" s="113" t="str">
        <f aca="false">IFERROR(IF([2]对账明细接口!$V987=0,"",[2]对账明细接口!$V987),"")</f>
        <v/>
      </c>
      <c r="AB987" s="10" t="str">
        <f aca="false">IFERROR(IF([2]对账明细接口!$W987=0,"",[2]对账明细接口!$W987),"")</f>
        <v/>
      </c>
      <c r="AC987" s="90" t="str">
        <f aca="false">IFERROR(IF([2]对账明细接口!$X988=0,"",[2]对账明细接口!$X988),"")</f>
        <v/>
      </c>
      <c r="AD987" s="90" t="str">
        <f aca="false">IFERROR(IF([2]对账明细接口!$Y988=0,"",[2]对账明细接口!$Y988),"")</f>
        <v/>
      </c>
      <c r="AE987" s="90" t="str">
        <f aca="false">IFERROR(IF([2]对账明细接口!$AA988=0,"",[2]对账明细接口!$AA988),"")</f>
        <v/>
      </c>
      <c r="AF987" s="90" t="str">
        <f aca="false">IFERROR(IF([2]对账明细接口!$AB988=0,"",[2]对账明细接口!$AB988),"")</f>
        <v/>
      </c>
      <c r="AG987" s="90" t="str">
        <f aca="false">IFERROR(IF([2]对账明细接口!$AC988=0,"",[2]对账明细接口!$AC988),"")</f>
        <v/>
      </c>
      <c r="AH987" s="90" t="str">
        <f aca="false">IFERROR(IF([2]对账明细接口!$AD988=0,"",[2]对账明细接口!$AD988),"")</f>
        <v/>
      </c>
    </row>
    <row r="988" customFormat="false" ht="13.5" hidden="false" customHeight="false" outlineLevel="0" collapsed="false">
      <c r="A988" s="109" t="n">
        <v>988</v>
      </c>
      <c r="B988" s="110" t="str">
        <f aca="false">IFERROR(IF([2]对账明细接口!$B$988=0,"",[2]对账明细接口!$B$988),"")</f>
        <v/>
      </c>
      <c r="C988" s="59" t="str">
        <f aca="false">IFERROR(IF([2]对账明细接口!$C$988=0,"",[2]对账明细接口!$C$988),"")</f>
        <v/>
      </c>
      <c r="D988" s="59" t="str">
        <f aca="false">IFERROR(IF([2]对账明细接口!$D$988=0,"",[2]对账明细接口!$D$988),"")</f>
        <v/>
      </c>
      <c r="E988" s="59" t="str">
        <f aca="false">IFERROR(IF([2]对账明细接口!$E$988=0,"",[2]对账明细接口!$E$988),"")</f>
        <v/>
      </c>
      <c r="F988" s="59" t="str">
        <f aca="false">IFERROR(IF([2]对账明细接口!$F$988=0,"",[2]对账明细接口!$F$988),"")</f>
        <v/>
      </c>
      <c r="G988" s="59" t="str">
        <f aca="false">IFERROR(IF([2]对账明细接口!$G$988=0,"",[2]对账明细接口!$G$988),"")</f>
        <v/>
      </c>
      <c r="H988" s="60" t="str">
        <f aca="false">IFERROR(IF([2]对账明细接口!$H$988=0,"",[2]对账明细接口!$H$988),"")</f>
        <v/>
      </c>
      <c r="I988" s="59" t="str">
        <f aca="false">IFERROR(IF([2]对账明细接口!$I$988=0,"",[2]对账明细接口!$I$988),"")</f>
        <v/>
      </c>
      <c r="J988" s="61" t="str">
        <f aca="false">IFERROR(IF([2]对账明细接口!$J$988=0,"",[2]对账明细接口!$J$988),"")</f>
        <v/>
      </c>
      <c r="K988" s="61" t="str">
        <f aca="false">IFERROR(IF([2]对账明细接口!$K$988=0,"",[2]对账明细接口!$K$988),"")</f>
        <v/>
      </c>
      <c r="L988" s="59" t="str">
        <f aca="false">IFERROR(IF([2]对账明细接口!$L$988=0,"",[2]对账明细接口!$L$988),"")</f>
        <v/>
      </c>
      <c r="M988" s="59" t="str">
        <f aca="false">IFERROR(IF([2]对账明细接口!$M$988=0,"",[2]对账明细接口!$M$988),"")</f>
        <v/>
      </c>
      <c r="N988" s="111" t="n">
        <f aca="false">IF($C988="",0,1)</f>
        <v>0</v>
      </c>
      <c r="O988" s="111" t="n">
        <f aca="false">N(O987)+$N988</f>
        <v>311</v>
      </c>
      <c r="S988" s="10" t="str">
        <f aca="false">IFERROR(IF([2]对账明细接口!$N988=0,"",[2]对账明细接口!$N988),"")</f>
        <v/>
      </c>
      <c r="T988" s="112" t="str">
        <f aca="false">IFERROR(IF([2]对账明细接口!$O988=0,"",[2]对账明细接口!$O988),"")</f>
        <v/>
      </c>
      <c r="U988" s="112" t="str">
        <f aca="false">IFERROR(IF([2]对账明细接口!$P988=0,"",[2]对账明细接口!$P988),"")</f>
        <v/>
      </c>
      <c r="V988" s="112" t="str">
        <f aca="false">IFERROR(IF([2]对账明细接口!$Q988=0,"",[2]对账明细接口!$Q988),"")</f>
        <v/>
      </c>
      <c r="W988" s="10" t="str">
        <f aca="false">IFERROR(IF([2]对账明细接口!$R988=0,"",[2]对账明细接口!$R988),"")</f>
        <v/>
      </c>
      <c r="X988" s="10" t="str">
        <f aca="false">IFERROR(IF([2]对账明细接口!$S988=0,"",[2]对账明细接口!$S988),"")</f>
        <v/>
      </c>
      <c r="Y988" s="10" t="str">
        <f aca="false">IFERROR(IF([2]对账明细接口!$T988=0,"",[2]对账明细接口!$T988),"")</f>
        <v/>
      </c>
      <c r="Z988" s="113" t="str">
        <f aca="false">IFERROR(IF([2]对账明细接口!$U988=0,"",[2]对账明细接口!$U988),"")</f>
        <v/>
      </c>
      <c r="AA988" s="113" t="str">
        <f aca="false">IFERROR(IF([2]对账明细接口!$V988=0,"",[2]对账明细接口!$V988),"")</f>
        <v/>
      </c>
      <c r="AB988" s="10" t="str">
        <f aca="false">IFERROR(IF([2]对账明细接口!$W988=0,"",[2]对账明细接口!$W988),"")</f>
        <v/>
      </c>
      <c r="AC988" s="90" t="str">
        <f aca="false">IFERROR(IF([2]对账明细接口!$X989=0,"",[2]对账明细接口!$X989),"")</f>
        <v/>
      </c>
      <c r="AD988" s="90" t="str">
        <f aca="false">IFERROR(IF([2]对账明细接口!$Y989=0,"",[2]对账明细接口!$Y989),"")</f>
        <v/>
      </c>
      <c r="AE988" s="90" t="str">
        <f aca="false">IFERROR(IF([2]对账明细接口!$AA989=0,"",[2]对账明细接口!$AA989),"")</f>
        <v/>
      </c>
      <c r="AF988" s="90" t="str">
        <f aca="false">IFERROR(IF([2]对账明细接口!$AB989=0,"",[2]对账明细接口!$AB989),"")</f>
        <v/>
      </c>
      <c r="AG988" s="90" t="str">
        <f aca="false">IFERROR(IF([2]对账明细接口!$AC989=0,"",[2]对账明细接口!$AC989),"")</f>
        <v/>
      </c>
      <c r="AH988" s="90" t="str">
        <f aca="false">IFERROR(IF([2]对账明细接口!$AD989=0,"",[2]对账明细接口!$AD989),"")</f>
        <v/>
      </c>
    </row>
    <row r="989" customFormat="false" ht="13.5" hidden="false" customHeight="false" outlineLevel="0" collapsed="false">
      <c r="A989" s="109" t="n">
        <v>989</v>
      </c>
      <c r="B989" s="110" t="str">
        <f aca="false">IFERROR(IF([2]对账明细接口!$B$989=0,"",[2]对账明细接口!$B$989),"")</f>
        <v/>
      </c>
      <c r="C989" s="59" t="str">
        <f aca="false">IFERROR(IF([2]对账明细接口!$C$989=0,"",[2]对账明细接口!$C$989),"")</f>
        <v/>
      </c>
      <c r="D989" s="59" t="str">
        <f aca="false">IFERROR(IF([2]对账明细接口!$D$989=0,"",[2]对账明细接口!$D$989),"")</f>
        <v/>
      </c>
      <c r="E989" s="59" t="str">
        <f aca="false">IFERROR(IF([2]对账明细接口!$E$989=0,"",[2]对账明细接口!$E$989),"")</f>
        <v/>
      </c>
      <c r="F989" s="59" t="str">
        <f aca="false">IFERROR(IF([2]对账明细接口!$F$989=0,"",[2]对账明细接口!$F$989),"")</f>
        <v/>
      </c>
      <c r="G989" s="59" t="str">
        <f aca="false">IFERROR(IF([2]对账明细接口!$G$989=0,"",[2]对账明细接口!$G$989),"")</f>
        <v/>
      </c>
      <c r="H989" s="60" t="str">
        <f aca="false">IFERROR(IF([2]对账明细接口!$H$989=0,"",[2]对账明细接口!$H$989),"")</f>
        <v/>
      </c>
      <c r="I989" s="59" t="str">
        <f aca="false">IFERROR(IF([2]对账明细接口!$I$989=0,"",[2]对账明细接口!$I$989),"")</f>
        <v/>
      </c>
      <c r="J989" s="61" t="str">
        <f aca="false">IFERROR(IF([2]对账明细接口!$J$989=0,"",[2]对账明细接口!$J$989),"")</f>
        <v/>
      </c>
      <c r="K989" s="61" t="str">
        <f aca="false">IFERROR(IF([2]对账明细接口!$K$989=0,"",[2]对账明细接口!$K$989),"")</f>
        <v/>
      </c>
      <c r="L989" s="59" t="str">
        <f aca="false">IFERROR(IF([2]对账明细接口!$L$989=0,"",[2]对账明细接口!$L$989),"")</f>
        <v/>
      </c>
      <c r="M989" s="59" t="str">
        <f aca="false">IFERROR(IF([2]对账明细接口!$M$989=0,"",[2]对账明细接口!$M$989),"")</f>
        <v/>
      </c>
      <c r="N989" s="111" t="n">
        <f aca="false">IF($C989="",0,1)</f>
        <v>0</v>
      </c>
      <c r="O989" s="111" t="n">
        <f aca="false">N(O988)+$N989</f>
        <v>311</v>
      </c>
      <c r="S989" s="10" t="str">
        <f aca="false">IFERROR(IF([2]对账明细接口!$N989=0,"",[2]对账明细接口!$N989),"")</f>
        <v/>
      </c>
      <c r="T989" s="112" t="str">
        <f aca="false">IFERROR(IF([2]对账明细接口!$O989=0,"",[2]对账明细接口!$O989),"")</f>
        <v/>
      </c>
      <c r="U989" s="112" t="str">
        <f aca="false">IFERROR(IF([2]对账明细接口!$P989=0,"",[2]对账明细接口!$P989),"")</f>
        <v/>
      </c>
      <c r="V989" s="112" t="str">
        <f aca="false">IFERROR(IF([2]对账明细接口!$Q989=0,"",[2]对账明细接口!$Q989),"")</f>
        <v/>
      </c>
      <c r="W989" s="10" t="str">
        <f aca="false">IFERROR(IF([2]对账明细接口!$R989=0,"",[2]对账明细接口!$R989),"")</f>
        <v/>
      </c>
      <c r="X989" s="10" t="str">
        <f aca="false">IFERROR(IF([2]对账明细接口!$S989=0,"",[2]对账明细接口!$S989),"")</f>
        <v/>
      </c>
      <c r="Y989" s="10" t="str">
        <f aca="false">IFERROR(IF([2]对账明细接口!$T989=0,"",[2]对账明细接口!$T989),"")</f>
        <v/>
      </c>
      <c r="Z989" s="113" t="str">
        <f aca="false">IFERROR(IF([2]对账明细接口!$U989=0,"",[2]对账明细接口!$U989),"")</f>
        <v/>
      </c>
      <c r="AA989" s="113" t="str">
        <f aca="false">IFERROR(IF([2]对账明细接口!$V989=0,"",[2]对账明细接口!$V989),"")</f>
        <v/>
      </c>
      <c r="AB989" s="10" t="str">
        <f aca="false">IFERROR(IF([2]对账明细接口!$W989=0,"",[2]对账明细接口!$W989),"")</f>
        <v/>
      </c>
      <c r="AC989" s="90" t="str">
        <f aca="false">IFERROR(IF([2]对账明细接口!$X990=0,"",[2]对账明细接口!$X990),"")</f>
        <v/>
      </c>
      <c r="AD989" s="90" t="str">
        <f aca="false">IFERROR(IF([2]对账明细接口!$Y990=0,"",[2]对账明细接口!$Y990),"")</f>
        <v/>
      </c>
      <c r="AE989" s="90" t="str">
        <f aca="false">IFERROR(IF([2]对账明细接口!$AA990=0,"",[2]对账明细接口!$AA990),"")</f>
        <v/>
      </c>
      <c r="AF989" s="90" t="str">
        <f aca="false">IFERROR(IF([2]对账明细接口!$AB990=0,"",[2]对账明细接口!$AB990),"")</f>
        <v/>
      </c>
      <c r="AG989" s="90" t="str">
        <f aca="false">IFERROR(IF([2]对账明细接口!$AC990=0,"",[2]对账明细接口!$AC990),"")</f>
        <v/>
      </c>
      <c r="AH989" s="90" t="str">
        <f aca="false">IFERROR(IF([2]对账明细接口!$AD990=0,"",[2]对账明细接口!$AD990),"")</f>
        <v/>
      </c>
    </row>
    <row r="990" customFormat="false" ht="13.5" hidden="false" customHeight="false" outlineLevel="0" collapsed="false">
      <c r="A990" s="109" t="n">
        <v>990</v>
      </c>
      <c r="B990" s="110" t="str">
        <f aca="false">IFERROR(IF([2]对账明细接口!$B$990=0,"",[2]对账明细接口!$B$990),"")</f>
        <v/>
      </c>
      <c r="C990" s="59" t="str">
        <f aca="false">IFERROR(IF([2]对账明细接口!$C$990=0,"",[2]对账明细接口!$C$990),"")</f>
        <v/>
      </c>
      <c r="D990" s="59" t="str">
        <f aca="false">IFERROR(IF([2]对账明细接口!$D$990=0,"",[2]对账明细接口!$D$990),"")</f>
        <v/>
      </c>
      <c r="E990" s="59" t="str">
        <f aca="false">IFERROR(IF([2]对账明细接口!$E$990=0,"",[2]对账明细接口!$E$990),"")</f>
        <v/>
      </c>
      <c r="F990" s="59" t="str">
        <f aca="false">IFERROR(IF([2]对账明细接口!$F$990=0,"",[2]对账明细接口!$F$990),"")</f>
        <v/>
      </c>
      <c r="G990" s="59" t="str">
        <f aca="false">IFERROR(IF([2]对账明细接口!$G$990=0,"",[2]对账明细接口!$G$990),"")</f>
        <v/>
      </c>
      <c r="H990" s="60" t="str">
        <f aca="false">IFERROR(IF([2]对账明细接口!$H$990=0,"",[2]对账明细接口!$H$990),"")</f>
        <v/>
      </c>
      <c r="I990" s="59" t="str">
        <f aca="false">IFERROR(IF([2]对账明细接口!$I$990=0,"",[2]对账明细接口!$I$990),"")</f>
        <v/>
      </c>
      <c r="J990" s="61" t="str">
        <f aca="false">IFERROR(IF([2]对账明细接口!$J$990=0,"",[2]对账明细接口!$J$990),"")</f>
        <v/>
      </c>
      <c r="K990" s="61" t="str">
        <f aca="false">IFERROR(IF([2]对账明细接口!$K$990=0,"",[2]对账明细接口!$K$990),"")</f>
        <v/>
      </c>
      <c r="L990" s="59" t="str">
        <f aca="false">IFERROR(IF([2]对账明细接口!$L$990=0,"",[2]对账明细接口!$L$990),"")</f>
        <v/>
      </c>
      <c r="M990" s="59" t="str">
        <f aca="false">IFERROR(IF([2]对账明细接口!$M$990=0,"",[2]对账明细接口!$M$990),"")</f>
        <v/>
      </c>
      <c r="N990" s="111" t="n">
        <f aca="false">IF($C990="",0,1)</f>
        <v>0</v>
      </c>
      <c r="O990" s="111" t="n">
        <f aca="false">N(O989)+$N990</f>
        <v>311</v>
      </c>
      <c r="S990" s="10" t="str">
        <f aca="false">IFERROR(IF([2]对账明细接口!$N990=0,"",[2]对账明细接口!$N990),"")</f>
        <v/>
      </c>
      <c r="T990" s="112" t="str">
        <f aca="false">IFERROR(IF([2]对账明细接口!$O990=0,"",[2]对账明细接口!$O990),"")</f>
        <v/>
      </c>
      <c r="U990" s="112" t="str">
        <f aca="false">IFERROR(IF([2]对账明细接口!$P990=0,"",[2]对账明细接口!$P990),"")</f>
        <v/>
      </c>
      <c r="V990" s="112" t="str">
        <f aca="false">IFERROR(IF([2]对账明细接口!$Q990=0,"",[2]对账明细接口!$Q990),"")</f>
        <v/>
      </c>
      <c r="W990" s="10" t="str">
        <f aca="false">IFERROR(IF([2]对账明细接口!$R990=0,"",[2]对账明细接口!$R990),"")</f>
        <v/>
      </c>
      <c r="X990" s="10" t="str">
        <f aca="false">IFERROR(IF([2]对账明细接口!$S990=0,"",[2]对账明细接口!$S990),"")</f>
        <v/>
      </c>
      <c r="Y990" s="10" t="str">
        <f aca="false">IFERROR(IF([2]对账明细接口!$T990=0,"",[2]对账明细接口!$T990),"")</f>
        <v/>
      </c>
      <c r="Z990" s="113" t="str">
        <f aca="false">IFERROR(IF([2]对账明细接口!$U990=0,"",[2]对账明细接口!$U990),"")</f>
        <v/>
      </c>
      <c r="AA990" s="113" t="str">
        <f aca="false">IFERROR(IF([2]对账明细接口!$V990=0,"",[2]对账明细接口!$V990),"")</f>
        <v/>
      </c>
      <c r="AB990" s="10" t="str">
        <f aca="false">IFERROR(IF([2]对账明细接口!$W990=0,"",[2]对账明细接口!$W990),"")</f>
        <v/>
      </c>
      <c r="AC990" s="90" t="str">
        <f aca="false">IFERROR(IF([2]对账明细接口!$X991=0,"",[2]对账明细接口!$X991),"")</f>
        <v/>
      </c>
      <c r="AD990" s="90" t="str">
        <f aca="false">IFERROR(IF([2]对账明细接口!$Y991=0,"",[2]对账明细接口!$Y991),"")</f>
        <v/>
      </c>
      <c r="AE990" s="90" t="str">
        <f aca="false">IFERROR(IF([2]对账明细接口!$AA991=0,"",[2]对账明细接口!$AA991),"")</f>
        <v/>
      </c>
      <c r="AF990" s="90" t="str">
        <f aca="false">IFERROR(IF([2]对账明细接口!$AB991=0,"",[2]对账明细接口!$AB991),"")</f>
        <v/>
      </c>
      <c r="AG990" s="90" t="str">
        <f aca="false">IFERROR(IF([2]对账明细接口!$AC991=0,"",[2]对账明细接口!$AC991),"")</f>
        <v/>
      </c>
      <c r="AH990" s="90" t="str">
        <f aca="false">IFERROR(IF([2]对账明细接口!$AD991=0,"",[2]对账明细接口!$AD991),"")</f>
        <v/>
      </c>
    </row>
    <row r="991" customFormat="false" ht="13.5" hidden="false" customHeight="false" outlineLevel="0" collapsed="false">
      <c r="A991" s="109" t="n">
        <v>991</v>
      </c>
      <c r="B991" s="110" t="str">
        <f aca="false">IFERROR(IF([2]对账明细接口!$B$991=0,"",[2]对账明细接口!$B$991),"")</f>
        <v/>
      </c>
      <c r="C991" s="59" t="str">
        <f aca="false">IFERROR(IF([2]对账明细接口!$C$991=0,"",[2]对账明细接口!$C$991),"")</f>
        <v/>
      </c>
      <c r="D991" s="59" t="str">
        <f aca="false">IFERROR(IF([2]对账明细接口!$D$991=0,"",[2]对账明细接口!$D$991),"")</f>
        <v/>
      </c>
      <c r="E991" s="59" t="str">
        <f aca="false">IFERROR(IF([2]对账明细接口!$E$991=0,"",[2]对账明细接口!$E$991),"")</f>
        <v/>
      </c>
      <c r="F991" s="59" t="str">
        <f aca="false">IFERROR(IF([2]对账明细接口!$F$991=0,"",[2]对账明细接口!$F$991),"")</f>
        <v/>
      </c>
      <c r="G991" s="59" t="str">
        <f aca="false">IFERROR(IF([2]对账明细接口!$G$991=0,"",[2]对账明细接口!$G$991),"")</f>
        <v/>
      </c>
      <c r="H991" s="60" t="str">
        <f aca="false">IFERROR(IF([2]对账明细接口!$H$991=0,"",[2]对账明细接口!$H$991),"")</f>
        <v/>
      </c>
      <c r="I991" s="59" t="str">
        <f aca="false">IFERROR(IF([2]对账明细接口!$I$991=0,"",[2]对账明细接口!$I$991),"")</f>
        <v/>
      </c>
      <c r="J991" s="61" t="str">
        <f aca="false">IFERROR(IF([2]对账明细接口!$J$991=0,"",[2]对账明细接口!$J$991),"")</f>
        <v/>
      </c>
      <c r="K991" s="61" t="str">
        <f aca="false">IFERROR(IF([2]对账明细接口!$K$991=0,"",[2]对账明细接口!$K$991),"")</f>
        <v/>
      </c>
      <c r="L991" s="59" t="str">
        <f aca="false">IFERROR(IF([2]对账明细接口!$L$991=0,"",[2]对账明细接口!$L$991),"")</f>
        <v/>
      </c>
      <c r="M991" s="59" t="str">
        <f aca="false">IFERROR(IF([2]对账明细接口!$M$991=0,"",[2]对账明细接口!$M$991),"")</f>
        <v/>
      </c>
      <c r="N991" s="111" t="n">
        <f aca="false">IF($C991="",0,1)</f>
        <v>0</v>
      </c>
      <c r="O991" s="111" t="n">
        <f aca="false">N(O990)+$N991</f>
        <v>311</v>
      </c>
      <c r="S991" s="10" t="str">
        <f aca="false">IFERROR(IF([2]对账明细接口!$N991=0,"",[2]对账明细接口!$N991),"")</f>
        <v/>
      </c>
      <c r="T991" s="112" t="str">
        <f aca="false">IFERROR(IF([2]对账明细接口!$O991=0,"",[2]对账明细接口!$O991),"")</f>
        <v/>
      </c>
      <c r="U991" s="112" t="str">
        <f aca="false">IFERROR(IF([2]对账明细接口!$P991=0,"",[2]对账明细接口!$P991),"")</f>
        <v/>
      </c>
      <c r="V991" s="112" t="str">
        <f aca="false">IFERROR(IF([2]对账明细接口!$Q991=0,"",[2]对账明细接口!$Q991),"")</f>
        <v/>
      </c>
      <c r="W991" s="10" t="str">
        <f aca="false">IFERROR(IF([2]对账明细接口!$R991=0,"",[2]对账明细接口!$R991),"")</f>
        <v/>
      </c>
      <c r="X991" s="10" t="str">
        <f aca="false">IFERROR(IF([2]对账明细接口!$S991=0,"",[2]对账明细接口!$S991),"")</f>
        <v/>
      </c>
      <c r="Y991" s="10" t="str">
        <f aca="false">IFERROR(IF([2]对账明细接口!$T991=0,"",[2]对账明细接口!$T991),"")</f>
        <v/>
      </c>
      <c r="Z991" s="113" t="str">
        <f aca="false">IFERROR(IF([2]对账明细接口!$U991=0,"",[2]对账明细接口!$U991),"")</f>
        <v/>
      </c>
      <c r="AA991" s="113" t="str">
        <f aca="false">IFERROR(IF([2]对账明细接口!$V991=0,"",[2]对账明细接口!$V991),"")</f>
        <v/>
      </c>
      <c r="AB991" s="10" t="str">
        <f aca="false">IFERROR(IF([2]对账明细接口!$W991=0,"",[2]对账明细接口!$W991),"")</f>
        <v/>
      </c>
      <c r="AC991" s="90" t="str">
        <f aca="false">IFERROR(IF([2]对账明细接口!$X992=0,"",[2]对账明细接口!$X992),"")</f>
        <v/>
      </c>
      <c r="AD991" s="90" t="str">
        <f aca="false">IFERROR(IF([2]对账明细接口!$Y992=0,"",[2]对账明细接口!$Y992),"")</f>
        <v/>
      </c>
      <c r="AE991" s="90" t="str">
        <f aca="false">IFERROR(IF([2]对账明细接口!$AA992=0,"",[2]对账明细接口!$AA992),"")</f>
        <v/>
      </c>
      <c r="AF991" s="90" t="str">
        <f aca="false">IFERROR(IF([2]对账明细接口!$AB992=0,"",[2]对账明细接口!$AB992),"")</f>
        <v/>
      </c>
      <c r="AG991" s="90" t="str">
        <f aca="false">IFERROR(IF([2]对账明细接口!$AC992=0,"",[2]对账明细接口!$AC992),"")</f>
        <v/>
      </c>
      <c r="AH991" s="90" t="str">
        <f aca="false">IFERROR(IF([2]对账明细接口!$AD992=0,"",[2]对账明细接口!$AD992),"")</f>
        <v/>
      </c>
    </row>
    <row r="992" customFormat="false" ht="13.5" hidden="false" customHeight="false" outlineLevel="0" collapsed="false">
      <c r="A992" s="109" t="n">
        <v>992</v>
      </c>
      <c r="B992" s="110" t="str">
        <f aca="false">IFERROR(IF([2]对账明细接口!$B$992=0,"",[2]对账明细接口!$B$992),"")</f>
        <v/>
      </c>
      <c r="C992" s="59" t="str">
        <f aca="false">IFERROR(IF([2]对账明细接口!$C$992=0,"",[2]对账明细接口!$C$992),"")</f>
        <v/>
      </c>
      <c r="D992" s="59" t="str">
        <f aca="false">IFERROR(IF([2]对账明细接口!$D$992=0,"",[2]对账明细接口!$D$992),"")</f>
        <v/>
      </c>
      <c r="E992" s="59" t="str">
        <f aca="false">IFERROR(IF([2]对账明细接口!$E$992=0,"",[2]对账明细接口!$E$992),"")</f>
        <v/>
      </c>
      <c r="F992" s="59" t="str">
        <f aca="false">IFERROR(IF([2]对账明细接口!$F$992=0,"",[2]对账明细接口!$F$992),"")</f>
        <v/>
      </c>
      <c r="G992" s="59" t="str">
        <f aca="false">IFERROR(IF([2]对账明细接口!$G$992=0,"",[2]对账明细接口!$G$992),"")</f>
        <v/>
      </c>
      <c r="H992" s="60" t="str">
        <f aca="false">IFERROR(IF([2]对账明细接口!$H$992=0,"",[2]对账明细接口!$H$992),"")</f>
        <v/>
      </c>
      <c r="I992" s="59" t="str">
        <f aca="false">IFERROR(IF([2]对账明细接口!$I$992=0,"",[2]对账明细接口!$I$992),"")</f>
        <v/>
      </c>
      <c r="J992" s="61" t="str">
        <f aca="false">IFERROR(IF([2]对账明细接口!$J$992=0,"",[2]对账明细接口!$J$992),"")</f>
        <v/>
      </c>
      <c r="K992" s="61" t="str">
        <f aca="false">IFERROR(IF([2]对账明细接口!$K$992=0,"",[2]对账明细接口!$K$992),"")</f>
        <v/>
      </c>
      <c r="L992" s="59" t="str">
        <f aca="false">IFERROR(IF([2]对账明细接口!$L$992=0,"",[2]对账明细接口!$L$992),"")</f>
        <v/>
      </c>
      <c r="M992" s="59" t="str">
        <f aca="false">IFERROR(IF([2]对账明细接口!$M$992=0,"",[2]对账明细接口!$M$992),"")</f>
        <v/>
      </c>
      <c r="N992" s="111" t="n">
        <f aca="false">IF($C992="",0,1)</f>
        <v>0</v>
      </c>
      <c r="O992" s="111" t="n">
        <f aca="false">N(O991)+$N992</f>
        <v>311</v>
      </c>
      <c r="S992" s="10" t="str">
        <f aca="false">IFERROR(IF([2]对账明细接口!$N992=0,"",[2]对账明细接口!$N992),"")</f>
        <v/>
      </c>
      <c r="T992" s="112" t="str">
        <f aca="false">IFERROR(IF([2]对账明细接口!$O992=0,"",[2]对账明细接口!$O992),"")</f>
        <v/>
      </c>
      <c r="U992" s="112" t="str">
        <f aca="false">IFERROR(IF([2]对账明细接口!$P992=0,"",[2]对账明细接口!$P992),"")</f>
        <v/>
      </c>
      <c r="V992" s="112" t="str">
        <f aca="false">IFERROR(IF([2]对账明细接口!$Q992=0,"",[2]对账明细接口!$Q992),"")</f>
        <v/>
      </c>
      <c r="W992" s="10" t="str">
        <f aca="false">IFERROR(IF([2]对账明细接口!$R992=0,"",[2]对账明细接口!$R992),"")</f>
        <v/>
      </c>
      <c r="X992" s="10" t="str">
        <f aca="false">IFERROR(IF([2]对账明细接口!$S992=0,"",[2]对账明细接口!$S992),"")</f>
        <v/>
      </c>
      <c r="Y992" s="10" t="str">
        <f aca="false">IFERROR(IF([2]对账明细接口!$T992=0,"",[2]对账明细接口!$T992),"")</f>
        <v/>
      </c>
      <c r="Z992" s="113" t="str">
        <f aca="false">IFERROR(IF([2]对账明细接口!$U992=0,"",[2]对账明细接口!$U992),"")</f>
        <v/>
      </c>
      <c r="AA992" s="113" t="str">
        <f aca="false">IFERROR(IF([2]对账明细接口!$V992=0,"",[2]对账明细接口!$V992),"")</f>
        <v/>
      </c>
      <c r="AB992" s="10" t="str">
        <f aca="false">IFERROR(IF([2]对账明细接口!$W992=0,"",[2]对账明细接口!$W992),"")</f>
        <v/>
      </c>
      <c r="AC992" s="90" t="str">
        <f aca="false">IFERROR(IF([2]对账明细接口!$X993=0,"",[2]对账明细接口!$X993),"")</f>
        <v/>
      </c>
      <c r="AD992" s="90" t="str">
        <f aca="false">IFERROR(IF([2]对账明细接口!$Y993=0,"",[2]对账明细接口!$Y993),"")</f>
        <v/>
      </c>
      <c r="AE992" s="90" t="str">
        <f aca="false">IFERROR(IF([2]对账明细接口!$AA993=0,"",[2]对账明细接口!$AA993),"")</f>
        <v/>
      </c>
      <c r="AF992" s="90" t="str">
        <f aca="false">IFERROR(IF([2]对账明细接口!$AB993=0,"",[2]对账明细接口!$AB993),"")</f>
        <v/>
      </c>
      <c r="AG992" s="90" t="str">
        <f aca="false">IFERROR(IF([2]对账明细接口!$AC993=0,"",[2]对账明细接口!$AC993),"")</f>
        <v/>
      </c>
      <c r="AH992" s="90" t="str">
        <f aca="false">IFERROR(IF([2]对账明细接口!$AD993=0,"",[2]对账明细接口!$AD993),"")</f>
        <v/>
      </c>
    </row>
    <row r="993" customFormat="false" ht="13.5" hidden="false" customHeight="false" outlineLevel="0" collapsed="false">
      <c r="A993" s="109" t="n">
        <v>993</v>
      </c>
      <c r="B993" s="110" t="str">
        <f aca="false">IFERROR(IF([2]对账明细接口!$B$993=0,"",[2]对账明细接口!$B$993),"")</f>
        <v/>
      </c>
      <c r="C993" s="59" t="str">
        <f aca="false">IFERROR(IF([2]对账明细接口!$C$993=0,"",[2]对账明细接口!$C$993),"")</f>
        <v/>
      </c>
      <c r="D993" s="59" t="str">
        <f aca="false">IFERROR(IF([2]对账明细接口!$D$993=0,"",[2]对账明细接口!$D$993),"")</f>
        <v/>
      </c>
      <c r="E993" s="59" t="str">
        <f aca="false">IFERROR(IF([2]对账明细接口!$E$993=0,"",[2]对账明细接口!$E$993),"")</f>
        <v/>
      </c>
      <c r="F993" s="59" t="str">
        <f aca="false">IFERROR(IF([2]对账明细接口!$F$993=0,"",[2]对账明细接口!$F$993),"")</f>
        <v/>
      </c>
      <c r="G993" s="59" t="str">
        <f aca="false">IFERROR(IF([2]对账明细接口!$G$993=0,"",[2]对账明细接口!$G$993),"")</f>
        <v/>
      </c>
      <c r="H993" s="60" t="str">
        <f aca="false">IFERROR(IF([2]对账明细接口!$H$993=0,"",[2]对账明细接口!$H$993),"")</f>
        <v/>
      </c>
      <c r="I993" s="59" t="str">
        <f aca="false">IFERROR(IF([2]对账明细接口!$I$993=0,"",[2]对账明细接口!$I$993),"")</f>
        <v/>
      </c>
      <c r="J993" s="61" t="str">
        <f aca="false">IFERROR(IF([2]对账明细接口!$J$993=0,"",[2]对账明细接口!$J$993),"")</f>
        <v/>
      </c>
      <c r="K993" s="61" t="str">
        <f aca="false">IFERROR(IF([2]对账明细接口!$K$993=0,"",[2]对账明细接口!$K$993),"")</f>
        <v/>
      </c>
      <c r="L993" s="59" t="str">
        <f aca="false">IFERROR(IF([2]对账明细接口!$L$993=0,"",[2]对账明细接口!$L$993),"")</f>
        <v/>
      </c>
      <c r="M993" s="59" t="str">
        <f aca="false">IFERROR(IF([2]对账明细接口!$M$993=0,"",[2]对账明细接口!$M$993),"")</f>
        <v/>
      </c>
      <c r="N993" s="111" t="n">
        <f aca="false">IF($C993="",0,1)</f>
        <v>0</v>
      </c>
      <c r="O993" s="111" t="n">
        <f aca="false">N(O992)+$N993</f>
        <v>311</v>
      </c>
      <c r="S993" s="10" t="str">
        <f aca="false">IFERROR(IF([2]对账明细接口!$N993=0,"",[2]对账明细接口!$N993),"")</f>
        <v/>
      </c>
      <c r="T993" s="112" t="str">
        <f aca="false">IFERROR(IF([2]对账明细接口!$O993=0,"",[2]对账明细接口!$O993),"")</f>
        <v/>
      </c>
      <c r="U993" s="112" t="str">
        <f aca="false">IFERROR(IF([2]对账明细接口!$P993=0,"",[2]对账明细接口!$P993),"")</f>
        <v/>
      </c>
      <c r="V993" s="112" t="str">
        <f aca="false">IFERROR(IF([2]对账明细接口!$Q993=0,"",[2]对账明细接口!$Q993),"")</f>
        <v/>
      </c>
      <c r="W993" s="10" t="str">
        <f aca="false">IFERROR(IF([2]对账明细接口!$R993=0,"",[2]对账明细接口!$R993),"")</f>
        <v/>
      </c>
      <c r="X993" s="10" t="str">
        <f aca="false">IFERROR(IF([2]对账明细接口!$S993=0,"",[2]对账明细接口!$S993),"")</f>
        <v/>
      </c>
      <c r="Y993" s="10" t="str">
        <f aca="false">IFERROR(IF([2]对账明细接口!$T993=0,"",[2]对账明细接口!$T993),"")</f>
        <v/>
      </c>
      <c r="Z993" s="113" t="str">
        <f aca="false">IFERROR(IF([2]对账明细接口!$U993=0,"",[2]对账明细接口!$U993),"")</f>
        <v/>
      </c>
      <c r="AA993" s="113" t="str">
        <f aca="false">IFERROR(IF([2]对账明细接口!$V993=0,"",[2]对账明细接口!$V993),"")</f>
        <v/>
      </c>
      <c r="AB993" s="10" t="str">
        <f aca="false">IFERROR(IF([2]对账明细接口!$W993=0,"",[2]对账明细接口!$W993),"")</f>
        <v/>
      </c>
      <c r="AC993" s="90" t="str">
        <f aca="false">IFERROR(IF([2]对账明细接口!$X994=0,"",[2]对账明细接口!$X994),"")</f>
        <v/>
      </c>
      <c r="AD993" s="90" t="str">
        <f aca="false">IFERROR(IF([2]对账明细接口!$Y994=0,"",[2]对账明细接口!$Y994),"")</f>
        <v/>
      </c>
      <c r="AE993" s="90" t="str">
        <f aca="false">IFERROR(IF([2]对账明细接口!$AA994=0,"",[2]对账明细接口!$AA994),"")</f>
        <v/>
      </c>
      <c r="AF993" s="90" t="str">
        <f aca="false">IFERROR(IF([2]对账明细接口!$AB994=0,"",[2]对账明细接口!$AB994),"")</f>
        <v/>
      </c>
      <c r="AG993" s="90" t="str">
        <f aca="false">IFERROR(IF([2]对账明细接口!$AC994=0,"",[2]对账明细接口!$AC994),"")</f>
        <v/>
      </c>
      <c r="AH993" s="90" t="str">
        <f aca="false">IFERROR(IF([2]对账明细接口!$AD994=0,"",[2]对账明细接口!$AD994),"")</f>
        <v/>
      </c>
    </row>
    <row r="994" customFormat="false" ht="13.5" hidden="false" customHeight="false" outlineLevel="0" collapsed="false">
      <c r="A994" s="109" t="n">
        <v>994</v>
      </c>
      <c r="B994" s="110" t="str">
        <f aca="false">IFERROR(IF([2]对账明细接口!$B$994=0,"",[2]对账明细接口!$B$994),"")</f>
        <v/>
      </c>
      <c r="C994" s="59" t="str">
        <f aca="false">IFERROR(IF([2]对账明细接口!$C$994=0,"",[2]对账明细接口!$C$994),"")</f>
        <v/>
      </c>
      <c r="D994" s="59" t="str">
        <f aca="false">IFERROR(IF([2]对账明细接口!$D$994=0,"",[2]对账明细接口!$D$994),"")</f>
        <v/>
      </c>
      <c r="E994" s="59" t="str">
        <f aca="false">IFERROR(IF([2]对账明细接口!$E$994=0,"",[2]对账明细接口!$E$994),"")</f>
        <v/>
      </c>
      <c r="F994" s="59" t="str">
        <f aca="false">IFERROR(IF([2]对账明细接口!$F$994=0,"",[2]对账明细接口!$F$994),"")</f>
        <v/>
      </c>
      <c r="G994" s="59" t="str">
        <f aca="false">IFERROR(IF([2]对账明细接口!$G$994=0,"",[2]对账明细接口!$G$994),"")</f>
        <v/>
      </c>
      <c r="H994" s="60" t="str">
        <f aca="false">IFERROR(IF([2]对账明细接口!$H$994=0,"",[2]对账明细接口!$H$994),"")</f>
        <v/>
      </c>
      <c r="I994" s="59" t="str">
        <f aca="false">IFERROR(IF([2]对账明细接口!$I$994=0,"",[2]对账明细接口!$I$994),"")</f>
        <v/>
      </c>
      <c r="J994" s="61" t="str">
        <f aca="false">IFERROR(IF([2]对账明细接口!$J$994=0,"",[2]对账明细接口!$J$994),"")</f>
        <v/>
      </c>
      <c r="K994" s="61" t="str">
        <f aca="false">IFERROR(IF([2]对账明细接口!$K$994=0,"",[2]对账明细接口!$K$994),"")</f>
        <v/>
      </c>
      <c r="L994" s="59" t="str">
        <f aca="false">IFERROR(IF([2]对账明细接口!$L$994=0,"",[2]对账明细接口!$L$994),"")</f>
        <v/>
      </c>
      <c r="M994" s="59" t="str">
        <f aca="false">IFERROR(IF([2]对账明细接口!$M$994=0,"",[2]对账明细接口!$M$994),"")</f>
        <v/>
      </c>
      <c r="N994" s="111" t="n">
        <f aca="false">IF($C994="",0,1)</f>
        <v>0</v>
      </c>
      <c r="O994" s="111" t="n">
        <f aca="false">N(O993)+$N994</f>
        <v>311</v>
      </c>
      <c r="S994" s="10" t="str">
        <f aca="false">IFERROR(IF([2]对账明细接口!$N994=0,"",[2]对账明细接口!$N994),"")</f>
        <v/>
      </c>
      <c r="T994" s="112" t="str">
        <f aca="false">IFERROR(IF([2]对账明细接口!$O994=0,"",[2]对账明细接口!$O994),"")</f>
        <v/>
      </c>
      <c r="U994" s="112" t="str">
        <f aca="false">IFERROR(IF([2]对账明细接口!$P994=0,"",[2]对账明细接口!$P994),"")</f>
        <v/>
      </c>
      <c r="V994" s="112" t="str">
        <f aca="false">IFERROR(IF([2]对账明细接口!$Q994=0,"",[2]对账明细接口!$Q994),"")</f>
        <v/>
      </c>
      <c r="W994" s="10" t="str">
        <f aca="false">IFERROR(IF([2]对账明细接口!$R994=0,"",[2]对账明细接口!$R994),"")</f>
        <v/>
      </c>
      <c r="X994" s="10" t="str">
        <f aca="false">IFERROR(IF([2]对账明细接口!$S994=0,"",[2]对账明细接口!$S994),"")</f>
        <v/>
      </c>
      <c r="Y994" s="10" t="str">
        <f aca="false">IFERROR(IF([2]对账明细接口!$T994=0,"",[2]对账明细接口!$T994),"")</f>
        <v/>
      </c>
      <c r="Z994" s="113" t="str">
        <f aca="false">IFERROR(IF([2]对账明细接口!$U994=0,"",[2]对账明细接口!$U994),"")</f>
        <v/>
      </c>
      <c r="AA994" s="113" t="str">
        <f aca="false">IFERROR(IF([2]对账明细接口!$V994=0,"",[2]对账明细接口!$V994),"")</f>
        <v/>
      </c>
      <c r="AB994" s="10" t="str">
        <f aca="false">IFERROR(IF([2]对账明细接口!$W994=0,"",[2]对账明细接口!$W994),"")</f>
        <v/>
      </c>
      <c r="AC994" s="90" t="str">
        <f aca="false">IFERROR(IF([2]对账明细接口!$X995=0,"",[2]对账明细接口!$X995),"")</f>
        <v/>
      </c>
      <c r="AD994" s="90" t="str">
        <f aca="false">IFERROR(IF([2]对账明细接口!$Y995=0,"",[2]对账明细接口!$Y995),"")</f>
        <v/>
      </c>
      <c r="AE994" s="90" t="str">
        <f aca="false">IFERROR(IF([2]对账明细接口!$AA995=0,"",[2]对账明细接口!$AA995),"")</f>
        <v/>
      </c>
      <c r="AF994" s="90" t="str">
        <f aca="false">IFERROR(IF([2]对账明细接口!$AB995=0,"",[2]对账明细接口!$AB995),"")</f>
        <v/>
      </c>
      <c r="AG994" s="90" t="str">
        <f aca="false">IFERROR(IF([2]对账明细接口!$AC995=0,"",[2]对账明细接口!$AC995),"")</f>
        <v/>
      </c>
      <c r="AH994" s="90" t="str">
        <f aca="false">IFERROR(IF([2]对账明细接口!$AD995=0,"",[2]对账明细接口!$AD995),"")</f>
        <v/>
      </c>
    </row>
    <row r="995" customFormat="false" ht="13.5" hidden="false" customHeight="false" outlineLevel="0" collapsed="false">
      <c r="A995" s="109" t="n">
        <v>995</v>
      </c>
      <c r="B995" s="110" t="str">
        <f aca="false">IFERROR(IF([2]对账明细接口!$B$995=0,"",[2]对账明细接口!$B$995),"")</f>
        <v/>
      </c>
      <c r="C995" s="59" t="str">
        <f aca="false">IFERROR(IF([2]对账明细接口!$C$995=0,"",[2]对账明细接口!$C$995),"")</f>
        <v/>
      </c>
      <c r="D995" s="59" t="str">
        <f aca="false">IFERROR(IF([2]对账明细接口!$D$995=0,"",[2]对账明细接口!$D$995),"")</f>
        <v/>
      </c>
      <c r="E995" s="59" t="str">
        <f aca="false">IFERROR(IF([2]对账明细接口!$E$995=0,"",[2]对账明细接口!$E$995),"")</f>
        <v/>
      </c>
      <c r="F995" s="59" t="str">
        <f aca="false">IFERROR(IF([2]对账明细接口!$F$995=0,"",[2]对账明细接口!$F$995),"")</f>
        <v/>
      </c>
      <c r="G995" s="59" t="str">
        <f aca="false">IFERROR(IF([2]对账明细接口!$G$995=0,"",[2]对账明细接口!$G$995),"")</f>
        <v/>
      </c>
      <c r="H995" s="60" t="str">
        <f aca="false">IFERROR(IF([2]对账明细接口!$H$995=0,"",[2]对账明细接口!$H$995),"")</f>
        <v/>
      </c>
      <c r="I995" s="59" t="str">
        <f aca="false">IFERROR(IF([2]对账明细接口!$I$995=0,"",[2]对账明细接口!$I$995),"")</f>
        <v/>
      </c>
      <c r="J995" s="61" t="str">
        <f aca="false">IFERROR(IF([2]对账明细接口!$J$995=0,"",[2]对账明细接口!$J$995),"")</f>
        <v/>
      </c>
      <c r="K995" s="61" t="str">
        <f aca="false">IFERROR(IF([2]对账明细接口!$K$995=0,"",[2]对账明细接口!$K$995),"")</f>
        <v/>
      </c>
      <c r="L995" s="59" t="str">
        <f aca="false">IFERROR(IF([2]对账明细接口!$L$995=0,"",[2]对账明细接口!$L$995),"")</f>
        <v/>
      </c>
      <c r="M995" s="59" t="str">
        <f aca="false">IFERROR(IF([2]对账明细接口!$M$995=0,"",[2]对账明细接口!$M$995),"")</f>
        <v/>
      </c>
      <c r="N995" s="111" t="n">
        <f aca="false">IF($C995="",0,1)</f>
        <v>0</v>
      </c>
      <c r="O995" s="111" t="n">
        <f aca="false">N(O994)+$N995</f>
        <v>311</v>
      </c>
      <c r="S995" s="10" t="str">
        <f aca="false">IFERROR(IF([2]对账明细接口!$N995=0,"",[2]对账明细接口!$N995),"")</f>
        <v/>
      </c>
      <c r="T995" s="112" t="str">
        <f aca="false">IFERROR(IF([2]对账明细接口!$O995=0,"",[2]对账明细接口!$O995),"")</f>
        <v/>
      </c>
      <c r="U995" s="112" t="str">
        <f aca="false">IFERROR(IF([2]对账明细接口!$P995=0,"",[2]对账明细接口!$P995),"")</f>
        <v/>
      </c>
      <c r="V995" s="112" t="str">
        <f aca="false">IFERROR(IF([2]对账明细接口!$Q995=0,"",[2]对账明细接口!$Q995),"")</f>
        <v/>
      </c>
      <c r="W995" s="10" t="str">
        <f aca="false">IFERROR(IF([2]对账明细接口!$R995=0,"",[2]对账明细接口!$R995),"")</f>
        <v/>
      </c>
      <c r="X995" s="10" t="str">
        <f aca="false">IFERROR(IF([2]对账明细接口!$S995=0,"",[2]对账明细接口!$S995),"")</f>
        <v/>
      </c>
      <c r="Y995" s="10" t="str">
        <f aca="false">IFERROR(IF([2]对账明细接口!$T995=0,"",[2]对账明细接口!$T995),"")</f>
        <v/>
      </c>
      <c r="Z995" s="113" t="str">
        <f aca="false">IFERROR(IF([2]对账明细接口!$U995=0,"",[2]对账明细接口!$U995),"")</f>
        <v/>
      </c>
      <c r="AA995" s="113" t="str">
        <f aca="false">IFERROR(IF([2]对账明细接口!$V995=0,"",[2]对账明细接口!$V995),"")</f>
        <v/>
      </c>
      <c r="AB995" s="10" t="str">
        <f aca="false">IFERROR(IF([2]对账明细接口!$W995=0,"",[2]对账明细接口!$W995),"")</f>
        <v/>
      </c>
      <c r="AC995" s="90" t="str">
        <f aca="false">IFERROR(IF([2]对账明细接口!$X996=0,"",[2]对账明细接口!$X996),"")</f>
        <v/>
      </c>
      <c r="AD995" s="90" t="str">
        <f aca="false">IFERROR(IF([2]对账明细接口!$Y996=0,"",[2]对账明细接口!$Y996),"")</f>
        <v/>
      </c>
      <c r="AE995" s="90" t="str">
        <f aca="false">IFERROR(IF([2]对账明细接口!$AA996=0,"",[2]对账明细接口!$AA996),"")</f>
        <v/>
      </c>
      <c r="AF995" s="90" t="str">
        <f aca="false">IFERROR(IF([2]对账明细接口!$AB996=0,"",[2]对账明细接口!$AB996),"")</f>
        <v/>
      </c>
      <c r="AG995" s="90" t="str">
        <f aca="false">IFERROR(IF([2]对账明细接口!$AC996=0,"",[2]对账明细接口!$AC996),"")</f>
        <v/>
      </c>
      <c r="AH995" s="90" t="str">
        <f aca="false">IFERROR(IF([2]对账明细接口!$AD996=0,"",[2]对账明细接口!$AD996),"")</f>
        <v/>
      </c>
    </row>
    <row r="996" customFormat="false" ht="13.5" hidden="false" customHeight="false" outlineLevel="0" collapsed="false">
      <c r="A996" s="109" t="n">
        <v>996</v>
      </c>
      <c r="B996" s="110" t="str">
        <f aca="false">IFERROR(IF([2]对账明细接口!$B$996=0,"",[2]对账明细接口!$B$996),"")</f>
        <v/>
      </c>
      <c r="C996" s="59" t="str">
        <f aca="false">IFERROR(IF([2]对账明细接口!$C$996=0,"",[2]对账明细接口!$C$996),"")</f>
        <v/>
      </c>
      <c r="D996" s="59" t="str">
        <f aca="false">IFERROR(IF([2]对账明细接口!$D$996=0,"",[2]对账明细接口!$D$996),"")</f>
        <v/>
      </c>
      <c r="E996" s="59" t="str">
        <f aca="false">IFERROR(IF([2]对账明细接口!$E$996=0,"",[2]对账明细接口!$E$996),"")</f>
        <v/>
      </c>
      <c r="F996" s="59" t="str">
        <f aca="false">IFERROR(IF([2]对账明细接口!$F$996=0,"",[2]对账明细接口!$F$996),"")</f>
        <v/>
      </c>
      <c r="G996" s="59" t="str">
        <f aca="false">IFERROR(IF([2]对账明细接口!$G$996=0,"",[2]对账明细接口!$G$996),"")</f>
        <v/>
      </c>
      <c r="H996" s="60" t="str">
        <f aca="false">IFERROR(IF([2]对账明细接口!$H$996=0,"",[2]对账明细接口!$H$996),"")</f>
        <v/>
      </c>
      <c r="I996" s="59" t="str">
        <f aca="false">IFERROR(IF([2]对账明细接口!$I$996=0,"",[2]对账明细接口!$I$996),"")</f>
        <v/>
      </c>
      <c r="J996" s="61" t="str">
        <f aca="false">IFERROR(IF([2]对账明细接口!$J$996=0,"",[2]对账明细接口!$J$996),"")</f>
        <v/>
      </c>
      <c r="K996" s="61" t="str">
        <f aca="false">IFERROR(IF([2]对账明细接口!$K$996=0,"",[2]对账明细接口!$K$996),"")</f>
        <v/>
      </c>
      <c r="L996" s="59" t="str">
        <f aca="false">IFERROR(IF([2]对账明细接口!$L$996=0,"",[2]对账明细接口!$L$996),"")</f>
        <v/>
      </c>
      <c r="M996" s="59" t="str">
        <f aca="false">IFERROR(IF([2]对账明细接口!$M$996=0,"",[2]对账明细接口!$M$996),"")</f>
        <v/>
      </c>
      <c r="N996" s="111" t="n">
        <f aca="false">IF($C996="",0,1)</f>
        <v>0</v>
      </c>
      <c r="O996" s="111" t="n">
        <f aca="false">N(O995)+$N996</f>
        <v>311</v>
      </c>
      <c r="S996" s="10" t="str">
        <f aca="false">IFERROR(IF([2]对账明细接口!$N996=0,"",[2]对账明细接口!$N996),"")</f>
        <v/>
      </c>
      <c r="T996" s="112" t="str">
        <f aca="false">IFERROR(IF([2]对账明细接口!$O996=0,"",[2]对账明细接口!$O996),"")</f>
        <v/>
      </c>
      <c r="U996" s="112" t="str">
        <f aca="false">IFERROR(IF([2]对账明细接口!$P996=0,"",[2]对账明细接口!$P996),"")</f>
        <v/>
      </c>
      <c r="V996" s="112" t="str">
        <f aca="false">IFERROR(IF([2]对账明细接口!$Q996=0,"",[2]对账明细接口!$Q996),"")</f>
        <v/>
      </c>
      <c r="W996" s="10" t="str">
        <f aca="false">IFERROR(IF([2]对账明细接口!$R996=0,"",[2]对账明细接口!$R996),"")</f>
        <v/>
      </c>
      <c r="X996" s="10" t="str">
        <f aca="false">IFERROR(IF([2]对账明细接口!$S996=0,"",[2]对账明细接口!$S996),"")</f>
        <v/>
      </c>
      <c r="Y996" s="10" t="str">
        <f aca="false">IFERROR(IF([2]对账明细接口!$T996=0,"",[2]对账明细接口!$T996),"")</f>
        <v/>
      </c>
      <c r="Z996" s="113" t="str">
        <f aca="false">IFERROR(IF([2]对账明细接口!$U996=0,"",[2]对账明细接口!$U996),"")</f>
        <v/>
      </c>
      <c r="AA996" s="113" t="str">
        <f aca="false">IFERROR(IF([2]对账明细接口!$V996=0,"",[2]对账明细接口!$V996),"")</f>
        <v/>
      </c>
      <c r="AB996" s="10" t="str">
        <f aca="false">IFERROR(IF([2]对账明细接口!$W996=0,"",[2]对账明细接口!$W996),"")</f>
        <v/>
      </c>
      <c r="AC996" s="90" t="str">
        <f aca="false">IFERROR(IF([2]对账明细接口!$X997=0,"",[2]对账明细接口!$X997),"")</f>
        <v/>
      </c>
      <c r="AD996" s="90" t="str">
        <f aca="false">IFERROR(IF([2]对账明细接口!$Y997=0,"",[2]对账明细接口!$Y997),"")</f>
        <v/>
      </c>
      <c r="AE996" s="90" t="str">
        <f aca="false">IFERROR(IF([2]对账明细接口!$AA997=0,"",[2]对账明细接口!$AA997),"")</f>
        <v/>
      </c>
      <c r="AF996" s="90" t="str">
        <f aca="false">IFERROR(IF([2]对账明细接口!$AB997=0,"",[2]对账明细接口!$AB997),"")</f>
        <v/>
      </c>
      <c r="AG996" s="90" t="str">
        <f aca="false">IFERROR(IF([2]对账明细接口!$AC997=0,"",[2]对账明细接口!$AC997),"")</f>
        <v/>
      </c>
      <c r="AH996" s="90" t="str">
        <f aca="false">IFERROR(IF([2]对账明细接口!$AD997=0,"",[2]对账明细接口!$AD997),"")</f>
        <v/>
      </c>
    </row>
    <row r="997" customFormat="false" ht="13.5" hidden="false" customHeight="false" outlineLevel="0" collapsed="false">
      <c r="A997" s="109" t="n">
        <v>997</v>
      </c>
      <c r="B997" s="110" t="str">
        <f aca="false">IFERROR(IF([2]对账明细接口!$B$997=0,"",[2]对账明细接口!$B$997),"")</f>
        <v/>
      </c>
      <c r="C997" s="59" t="str">
        <f aca="false">IFERROR(IF([2]对账明细接口!$C$997=0,"",[2]对账明细接口!$C$997),"")</f>
        <v/>
      </c>
      <c r="D997" s="59" t="str">
        <f aca="false">IFERROR(IF([2]对账明细接口!$D$997=0,"",[2]对账明细接口!$D$997),"")</f>
        <v/>
      </c>
      <c r="E997" s="59" t="str">
        <f aca="false">IFERROR(IF([2]对账明细接口!$E$997=0,"",[2]对账明细接口!$E$997),"")</f>
        <v/>
      </c>
      <c r="F997" s="59" t="str">
        <f aca="false">IFERROR(IF([2]对账明细接口!$F$997=0,"",[2]对账明细接口!$F$997),"")</f>
        <v/>
      </c>
      <c r="G997" s="59" t="str">
        <f aca="false">IFERROR(IF([2]对账明细接口!$G$997=0,"",[2]对账明细接口!$G$997),"")</f>
        <v/>
      </c>
      <c r="H997" s="60" t="str">
        <f aca="false">IFERROR(IF([2]对账明细接口!$H$997=0,"",[2]对账明细接口!$H$997),"")</f>
        <v/>
      </c>
      <c r="I997" s="59" t="str">
        <f aca="false">IFERROR(IF([2]对账明细接口!$I$997=0,"",[2]对账明细接口!$I$997),"")</f>
        <v/>
      </c>
      <c r="J997" s="61" t="str">
        <f aca="false">IFERROR(IF([2]对账明细接口!$J$997=0,"",[2]对账明细接口!$J$997),"")</f>
        <v/>
      </c>
      <c r="K997" s="61" t="str">
        <f aca="false">IFERROR(IF([2]对账明细接口!$K$997=0,"",[2]对账明细接口!$K$997),"")</f>
        <v/>
      </c>
      <c r="L997" s="59" t="str">
        <f aca="false">IFERROR(IF([2]对账明细接口!$L$997=0,"",[2]对账明细接口!$L$997),"")</f>
        <v/>
      </c>
      <c r="M997" s="59" t="str">
        <f aca="false">IFERROR(IF([2]对账明细接口!$M$997=0,"",[2]对账明细接口!$M$997),"")</f>
        <v/>
      </c>
      <c r="N997" s="111" t="n">
        <f aca="false">IF($C997="",0,1)</f>
        <v>0</v>
      </c>
      <c r="O997" s="111" t="n">
        <f aca="false">N(O996)+$N997</f>
        <v>311</v>
      </c>
      <c r="S997" s="10" t="str">
        <f aca="false">IFERROR(IF([2]对账明细接口!$N997=0,"",[2]对账明细接口!$N997),"")</f>
        <v/>
      </c>
      <c r="T997" s="112" t="str">
        <f aca="false">IFERROR(IF([2]对账明细接口!$O997=0,"",[2]对账明细接口!$O997),"")</f>
        <v/>
      </c>
      <c r="U997" s="112" t="str">
        <f aca="false">IFERROR(IF([2]对账明细接口!$P997=0,"",[2]对账明细接口!$P997),"")</f>
        <v/>
      </c>
      <c r="V997" s="112" t="str">
        <f aca="false">IFERROR(IF([2]对账明细接口!$Q997=0,"",[2]对账明细接口!$Q997),"")</f>
        <v/>
      </c>
      <c r="W997" s="10" t="str">
        <f aca="false">IFERROR(IF([2]对账明细接口!$R997=0,"",[2]对账明细接口!$R997),"")</f>
        <v/>
      </c>
      <c r="X997" s="10" t="str">
        <f aca="false">IFERROR(IF([2]对账明细接口!$S997=0,"",[2]对账明细接口!$S997),"")</f>
        <v/>
      </c>
      <c r="Y997" s="10" t="str">
        <f aca="false">IFERROR(IF([2]对账明细接口!$T997=0,"",[2]对账明细接口!$T997),"")</f>
        <v/>
      </c>
      <c r="Z997" s="113" t="str">
        <f aca="false">IFERROR(IF([2]对账明细接口!$U997=0,"",[2]对账明细接口!$U997),"")</f>
        <v/>
      </c>
      <c r="AA997" s="113" t="str">
        <f aca="false">IFERROR(IF([2]对账明细接口!$V997=0,"",[2]对账明细接口!$V997),"")</f>
        <v/>
      </c>
      <c r="AB997" s="10" t="str">
        <f aca="false">IFERROR(IF([2]对账明细接口!$W997=0,"",[2]对账明细接口!$W997),"")</f>
        <v/>
      </c>
      <c r="AC997" s="90" t="str">
        <f aca="false">IFERROR(IF([2]对账明细接口!$X998=0,"",[2]对账明细接口!$X998),"")</f>
        <v/>
      </c>
      <c r="AD997" s="90" t="str">
        <f aca="false">IFERROR(IF([2]对账明细接口!$Y998=0,"",[2]对账明细接口!$Y998),"")</f>
        <v/>
      </c>
      <c r="AE997" s="90" t="str">
        <f aca="false">IFERROR(IF([2]对账明细接口!$AA998=0,"",[2]对账明细接口!$AA998),"")</f>
        <v/>
      </c>
      <c r="AF997" s="90" t="str">
        <f aca="false">IFERROR(IF([2]对账明细接口!$AB998=0,"",[2]对账明细接口!$AB998),"")</f>
        <v/>
      </c>
      <c r="AG997" s="90" t="str">
        <f aca="false">IFERROR(IF([2]对账明细接口!$AC998=0,"",[2]对账明细接口!$AC998),"")</f>
        <v/>
      </c>
      <c r="AH997" s="90" t="str">
        <f aca="false">IFERROR(IF([2]对账明细接口!$AD998=0,"",[2]对账明细接口!$AD998),"")</f>
        <v/>
      </c>
    </row>
    <row r="998" customFormat="false" ht="13.5" hidden="false" customHeight="false" outlineLevel="0" collapsed="false">
      <c r="A998" s="109" t="n">
        <v>998</v>
      </c>
      <c r="B998" s="110" t="str">
        <f aca="false">IFERROR(IF([2]对账明细接口!$B$998=0,"",[2]对账明细接口!$B$998),"")</f>
        <v/>
      </c>
      <c r="C998" s="59" t="str">
        <f aca="false">IFERROR(IF([2]对账明细接口!$C$998=0,"",[2]对账明细接口!$C$998),"")</f>
        <v/>
      </c>
      <c r="D998" s="59" t="str">
        <f aca="false">IFERROR(IF([2]对账明细接口!$D$998=0,"",[2]对账明细接口!$D$998),"")</f>
        <v/>
      </c>
      <c r="E998" s="59" t="str">
        <f aca="false">IFERROR(IF([2]对账明细接口!$E$998=0,"",[2]对账明细接口!$E$998),"")</f>
        <v/>
      </c>
      <c r="F998" s="59" t="str">
        <f aca="false">IFERROR(IF([2]对账明细接口!$F$998=0,"",[2]对账明细接口!$F$998),"")</f>
        <v/>
      </c>
      <c r="G998" s="59" t="str">
        <f aca="false">IFERROR(IF([2]对账明细接口!$G$998=0,"",[2]对账明细接口!$G$998),"")</f>
        <v/>
      </c>
      <c r="H998" s="60" t="str">
        <f aca="false">IFERROR(IF([2]对账明细接口!$H$998=0,"",[2]对账明细接口!$H$998),"")</f>
        <v/>
      </c>
      <c r="I998" s="59" t="str">
        <f aca="false">IFERROR(IF([2]对账明细接口!$I$998=0,"",[2]对账明细接口!$I$998),"")</f>
        <v/>
      </c>
      <c r="J998" s="61" t="str">
        <f aca="false">IFERROR(IF([2]对账明细接口!$J$998=0,"",[2]对账明细接口!$J$998),"")</f>
        <v/>
      </c>
      <c r="K998" s="61" t="str">
        <f aca="false">IFERROR(IF([2]对账明细接口!$K$998=0,"",[2]对账明细接口!$K$998),"")</f>
        <v/>
      </c>
      <c r="L998" s="59" t="str">
        <f aca="false">IFERROR(IF([2]对账明细接口!$L$998=0,"",[2]对账明细接口!$L$998),"")</f>
        <v/>
      </c>
      <c r="M998" s="59" t="str">
        <f aca="false">IFERROR(IF([2]对账明细接口!$M$998=0,"",[2]对账明细接口!$M$998),"")</f>
        <v/>
      </c>
      <c r="N998" s="111" t="n">
        <f aca="false">IF($C998="",0,1)</f>
        <v>0</v>
      </c>
      <c r="O998" s="111" t="n">
        <f aca="false">N(O997)+$N998</f>
        <v>311</v>
      </c>
      <c r="S998" s="10" t="str">
        <f aca="false">IFERROR(IF([2]对账明细接口!$N998=0,"",[2]对账明细接口!$N998),"")</f>
        <v/>
      </c>
      <c r="T998" s="112" t="str">
        <f aca="false">IFERROR(IF([2]对账明细接口!$O998=0,"",[2]对账明细接口!$O998),"")</f>
        <v/>
      </c>
      <c r="U998" s="112" t="str">
        <f aca="false">IFERROR(IF([2]对账明细接口!$P998=0,"",[2]对账明细接口!$P998),"")</f>
        <v/>
      </c>
      <c r="V998" s="112" t="str">
        <f aca="false">IFERROR(IF([2]对账明细接口!$Q998=0,"",[2]对账明细接口!$Q998),"")</f>
        <v/>
      </c>
      <c r="W998" s="10" t="str">
        <f aca="false">IFERROR(IF([2]对账明细接口!$R998=0,"",[2]对账明细接口!$R998),"")</f>
        <v/>
      </c>
      <c r="X998" s="10" t="str">
        <f aca="false">IFERROR(IF([2]对账明细接口!$S998=0,"",[2]对账明细接口!$S998),"")</f>
        <v/>
      </c>
      <c r="Y998" s="10" t="str">
        <f aca="false">IFERROR(IF([2]对账明细接口!$T998=0,"",[2]对账明细接口!$T998),"")</f>
        <v/>
      </c>
      <c r="Z998" s="113" t="str">
        <f aca="false">IFERROR(IF([2]对账明细接口!$U998=0,"",[2]对账明细接口!$U998),"")</f>
        <v/>
      </c>
      <c r="AA998" s="113" t="str">
        <f aca="false">IFERROR(IF([2]对账明细接口!$V998=0,"",[2]对账明细接口!$V998),"")</f>
        <v/>
      </c>
      <c r="AB998" s="10" t="str">
        <f aca="false">IFERROR(IF([2]对账明细接口!$W998=0,"",[2]对账明细接口!$W998),"")</f>
        <v/>
      </c>
      <c r="AC998" s="90" t="str">
        <f aca="false">IFERROR(IF([2]对账明细接口!$X999=0,"",[2]对账明细接口!$X999),"")</f>
        <v/>
      </c>
      <c r="AD998" s="90" t="str">
        <f aca="false">IFERROR(IF([2]对账明细接口!$Y999=0,"",[2]对账明细接口!$Y999),"")</f>
        <v/>
      </c>
      <c r="AE998" s="90" t="str">
        <f aca="false">IFERROR(IF([2]对账明细接口!$AA999=0,"",[2]对账明细接口!$AA999),"")</f>
        <v/>
      </c>
      <c r="AF998" s="90" t="str">
        <f aca="false">IFERROR(IF([2]对账明细接口!$AB999=0,"",[2]对账明细接口!$AB999),"")</f>
        <v/>
      </c>
      <c r="AG998" s="90" t="str">
        <f aca="false">IFERROR(IF([2]对账明细接口!$AC999=0,"",[2]对账明细接口!$AC999),"")</f>
        <v/>
      </c>
      <c r="AH998" s="90" t="str">
        <f aca="false">IFERROR(IF([2]对账明细接口!$AD999=0,"",[2]对账明细接口!$AD999),"")</f>
        <v/>
      </c>
    </row>
    <row r="999" customFormat="false" ht="13.5" hidden="false" customHeight="false" outlineLevel="0" collapsed="false">
      <c r="A999" s="109" t="n">
        <v>999</v>
      </c>
      <c r="B999" s="110" t="str">
        <f aca="false">IFERROR(IF([2]对账明细接口!$B$999=0,"",[2]对账明细接口!$B$999),"")</f>
        <v/>
      </c>
      <c r="C999" s="59" t="str">
        <f aca="false">IFERROR(IF([2]对账明细接口!$C$999=0,"",[2]对账明细接口!$C$999),"")</f>
        <v/>
      </c>
      <c r="D999" s="59" t="str">
        <f aca="false">IFERROR(IF([2]对账明细接口!$D$999=0,"",[2]对账明细接口!$D$999),"")</f>
        <v/>
      </c>
      <c r="E999" s="59" t="str">
        <f aca="false">IFERROR(IF([2]对账明细接口!$E$999=0,"",[2]对账明细接口!$E$999),"")</f>
        <v/>
      </c>
      <c r="F999" s="59" t="str">
        <f aca="false">IFERROR(IF([2]对账明细接口!$F$999=0,"",[2]对账明细接口!$F$999),"")</f>
        <v/>
      </c>
      <c r="G999" s="59" t="str">
        <f aca="false">IFERROR(IF([2]对账明细接口!$G$999=0,"",[2]对账明细接口!$G$999),"")</f>
        <v/>
      </c>
      <c r="H999" s="60" t="str">
        <f aca="false">IFERROR(IF([2]对账明细接口!$H$999=0,"",[2]对账明细接口!$H$999),"")</f>
        <v/>
      </c>
      <c r="I999" s="59" t="str">
        <f aca="false">IFERROR(IF([2]对账明细接口!$I$999=0,"",[2]对账明细接口!$I$999),"")</f>
        <v/>
      </c>
      <c r="J999" s="61" t="str">
        <f aca="false">IFERROR(IF([2]对账明细接口!$J$999=0,"",[2]对账明细接口!$J$999),"")</f>
        <v/>
      </c>
      <c r="K999" s="61" t="str">
        <f aca="false">IFERROR(IF([2]对账明细接口!$K$999=0,"",[2]对账明细接口!$K$999),"")</f>
        <v/>
      </c>
      <c r="L999" s="59" t="str">
        <f aca="false">IFERROR(IF([2]对账明细接口!$L$999=0,"",[2]对账明细接口!$L$999),"")</f>
        <v/>
      </c>
      <c r="M999" s="59" t="str">
        <f aca="false">IFERROR(IF([2]对账明细接口!$M$999=0,"",[2]对账明细接口!$M$999),"")</f>
        <v/>
      </c>
      <c r="N999" s="111" t="n">
        <f aca="false">IF($C999="",0,1)</f>
        <v>0</v>
      </c>
      <c r="O999" s="111" t="n">
        <f aca="false">N(O998)+$N999</f>
        <v>311</v>
      </c>
      <c r="S999" s="10" t="str">
        <f aca="false">IFERROR(IF([2]对账明细接口!$N999=0,"",[2]对账明细接口!$N999),"")</f>
        <v/>
      </c>
      <c r="T999" s="112" t="str">
        <f aca="false">IFERROR(IF([2]对账明细接口!$O999=0,"",[2]对账明细接口!$O999),"")</f>
        <v/>
      </c>
      <c r="U999" s="112" t="str">
        <f aca="false">IFERROR(IF([2]对账明细接口!$P999=0,"",[2]对账明细接口!$P999),"")</f>
        <v/>
      </c>
      <c r="V999" s="112" t="str">
        <f aca="false">IFERROR(IF([2]对账明细接口!$Q999=0,"",[2]对账明细接口!$Q999),"")</f>
        <v/>
      </c>
      <c r="W999" s="10" t="str">
        <f aca="false">IFERROR(IF([2]对账明细接口!$R999=0,"",[2]对账明细接口!$R999),"")</f>
        <v/>
      </c>
      <c r="X999" s="10" t="str">
        <f aca="false">IFERROR(IF([2]对账明细接口!$S999=0,"",[2]对账明细接口!$S999),"")</f>
        <v/>
      </c>
      <c r="Y999" s="10" t="str">
        <f aca="false">IFERROR(IF([2]对账明细接口!$T999=0,"",[2]对账明细接口!$T999),"")</f>
        <v/>
      </c>
      <c r="Z999" s="113" t="str">
        <f aca="false">IFERROR(IF([2]对账明细接口!$U999=0,"",[2]对账明细接口!$U999),"")</f>
        <v/>
      </c>
      <c r="AA999" s="113" t="str">
        <f aca="false">IFERROR(IF([2]对账明细接口!$V999=0,"",[2]对账明细接口!$V999),"")</f>
        <v/>
      </c>
      <c r="AB999" s="10" t="str">
        <f aca="false">IFERROR(IF([2]对账明细接口!$W999=0,"",[2]对账明细接口!$W999),"")</f>
        <v/>
      </c>
      <c r="AC999" s="90" t="str">
        <f aca="false">IFERROR(IF([2]对账明细接口!$X1000=0,"",[2]对账明细接口!$X1000),"")</f>
        <v/>
      </c>
      <c r="AD999" s="90" t="str">
        <f aca="false">IFERROR(IF([2]对账明细接口!$Y1000=0,"",[2]对账明细接口!$Y1000),"")</f>
        <v/>
      </c>
      <c r="AE999" s="90" t="str">
        <f aca="false">IFERROR(IF([2]对账明细接口!$AA1000=0,"",[2]对账明细接口!$AA1000),"")</f>
        <v/>
      </c>
      <c r="AF999" s="90" t="str">
        <f aca="false">IFERROR(IF([2]对账明细接口!$AB1000=0,"",[2]对账明细接口!$AB1000),"")</f>
        <v/>
      </c>
      <c r="AG999" s="90" t="str">
        <f aca="false">IFERROR(IF([2]对账明细接口!$AC1000=0,"",[2]对账明细接口!$AC1000),"")</f>
        <v/>
      </c>
      <c r="AH999" s="90" t="str">
        <f aca="false">IFERROR(IF([2]对账明细接口!$AD1000=0,"",[2]对账明细接口!$AD1000),"")</f>
        <v/>
      </c>
    </row>
    <row r="1000" customFormat="false" ht="13.5" hidden="false" customHeight="false" outlineLevel="0" collapsed="false">
      <c r="A1000" s="109" t="n">
        <v>1000</v>
      </c>
      <c r="B1000" s="110" t="str">
        <f aca="false">IFERROR(IF([2]对账明细接口!$B$1000=0,"",[2]对账明细接口!$B$1000),"")</f>
        <v/>
      </c>
      <c r="C1000" s="59" t="str">
        <f aca="false">IFERROR(IF([2]对账明细接口!$C$1000=0,"",[2]对账明细接口!$C$1000),"")</f>
        <v/>
      </c>
      <c r="D1000" s="59" t="str">
        <f aca="false">IFERROR(IF([2]对账明细接口!$D$1000=0,"",[2]对账明细接口!$D$1000),"")</f>
        <v/>
      </c>
      <c r="E1000" s="59" t="str">
        <f aca="false">IFERROR(IF([2]对账明细接口!$E$1000=0,"",[2]对账明细接口!$E$1000),"")</f>
        <v/>
      </c>
      <c r="F1000" s="59" t="str">
        <f aca="false">IFERROR(IF([2]对账明细接口!$F$1000=0,"",[2]对账明细接口!$F$1000),"")</f>
        <v/>
      </c>
      <c r="G1000" s="59" t="str">
        <f aca="false">IFERROR(IF([2]对账明细接口!$G$1000=0,"",[2]对账明细接口!$G$1000),"")</f>
        <v/>
      </c>
      <c r="H1000" s="60" t="str">
        <f aca="false">IFERROR(IF([2]对账明细接口!$H$1000=0,"",[2]对账明细接口!$H$1000),"")</f>
        <v/>
      </c>
      <c r="I1000" s="59" t="str">
        <f aca="false">IFERROR(IF([2]对账明细接口!$I$1000=0,"",[2]对账明细接口!$I$1000),"")</f>
        <v/>
      </c>
      <c r="J1000" s="61" t="str">
        <f aca="false">IFERROR(IF([2]对账明细接口!$J$1000=0,"",[2]对账明细接口!$J$1000),"")</f>
        <v/>
      </c>
      <c r="K1000" s="61" t="str">
        <f aca="false">IFERROR(IF([2]对账明细接口!$K$1000=0,"",[2]对账明细接口!$K$1000),"")</f>
        <v/>
      </c>
      <c r="L1000" s="59" t="str">
        <f aca="false">IFERROR(IF([2]对账明细接口!$L$1000=0,"",[2]对账明细接口!$L$1000),"")</f>
        <v/>
      </c>
      <c r="M1000" s="59" t="str">
        <f aca="false">IFERROR(IF([2]对账明细接口!$M$1000=0,"",[2]对账明细接口!$M$1000),"")</f>
        <v/>
      </c>
      <c r="N1000" s="111" t="n">
        <f aca="false">IF($C1000="",0,1)</f>
        <v>0</v>
      </c>
      <c r="O1000" s="111" t="n">
        <f aca="false">N(O999)+$N1000</f>
        <v>311</v>
      </c>
      <c r="S1000" s="10" t="str">
        <f aca="false">IFERROR(IF([2]对账明细接口!$N1000=0,"",[2]对账明细接口!$N1000),"")</f>
        <v/>
      </c>
      <c r="T1000" s="112" t="str">
        <f aca="false">IFERROR(IF([2]对账明细接口!$O1000=0,"",[2]对账明细接口!$O1000),"")</f>
        <v/>
      </c>
      <c r="U1000" s="112" t="str">
        <f aca="false">IFERROR(IF([2]对账明细接口!$P1000=0,"",[2]对账明细接口!$P1000),"")</f>
        <v/>
      </c>
      <c r="V1000" s="112" t="str">
        <f aca="false">IFERROR(IF([2]对账明细接口!$Q1000=0,"",[2]对账明细接口!$Q1000),"")</f>
        <v/>
      </c>
      <c r="W1000" s="10" t="str">
        <f aca="false">IFERROR(IF([2]对账明细接口!$R1000=0,"",[2]对账明细接口!$R1000),"")</f>
        <v/>
      </c>
      <c r="X1000" s="10" t="str">
        <f aca="false">IFERROR(IF([2]对账明细接口!$S1000=0,"",[2]对账明细接口!$S1000),"")</f>
        <v/>
      </c>
      <c r="Y1000" s="10" t="str">
        <f aca="false">IFERROR(IF([2]对账明细接口!$T1000=0,"",[2]对账明细接口!$T1000),"")</f>
        <v/>
      </c>
      <c r="Z1000" s="113" t="str">
        <f aca="false">IFERROR(IF([2]对账明细接口!$U1000=0,"",[2]对账明细接口!$U1000),"")</f>
        <v/>
      </c>
      <c r="AA1000" s="113" t="str">
        <f aca="false">IFERROR(IF([2]对账明细接口!$V1000=0,"",[2]对账明细接口!$V1000),"")</f>
        <v/>
      </c>
      <c r="AB1000" s="10" t="str">
        <f aca="false">IFERROR(IF([2]对账明细接口!$W1000=0,"",[2]对账明细接口!$W1000),"")</f>
        <v/>
      </c>
      <c r="AC1000" s="90" t="str">
        <f aca="false">IFERROR(IF([2]对账明细接口!$X1001=0,"",[2]对账明细接口!$X1001),"")</f>
        <v/>
      </c>
      <c r="AD1000" s="90" t="str">
        <f aca="false">IFERROR(IF([2]对账明细接口!$Y1001=0,"",[2]对账明细接口!$Y1001),"")</f>
        <v/>
      </c>
      <c r="AE1000" s="90" t="str">
        <f aca="false">IFERROR(IF([2]对账明细接口!$AA1001=0,"",[2]对账明细接口!$AA1001),"")</f>
        <v/>
      </c>
      <c r="AF1000" s="90" t="str">
        <f aca="false">IFERROR(IF([2]对账明细接口!$AB1001=0,"",[2]对账明细接口!$AB1001),"")</f>
        <v/>
      </c>
      <c r="AG1000" s="90" t="str">
        <f aca="false">IFERROR(IF([2]对账明细接口!$AC1001=0,"",[2]对账明细接口!$AC1001),"")</f>
        <v/>
      </c>
      <c r="AH1000" s="90" t="str">
        <f aca="false">IFERROR(IF([2]对账明细接口!$AD1001=0,"",[2]对账明细接口!$AD1001),"")</f>
        <v/>
      </c>
    </row>
    <row r="1001" customFormat="false" ht="13.5" hidden="false" customHeight="false" outlineLevel="0" collapsed="false">
      <c r="A1001" s="109" t="n">
        <v>1001</v>
      </c>
      <c r="B1001" s="110" t="str">
        <f aca="false">IFERROR(IF([2]对账明细接口!$B$1001=0,"",[2]对账明细接口!$B$1001),"")</f>
        <v/>
      </c>
      <c r="C1001" s="59" t="str">
        <f aca="false">IFERROR(IF([2]对账明细接口!$C$1001=0,"",[2]对账明细接口!$C$1001),"")</f>
        <v/>
      </c>
      <c r="D1001" s="59" t="str">
        <f aca="false">IFERROR(IF([2]对账明细接口!$D$1001=0,"",[2]对账明细接口!$D$1001),"")</f>
        <v/>
      </c>
      <c r="E1001" s="59" t="str">
        <f aca="false">IFERROR(IF([2]对账明细接口!$E$1001=0,"",[2]对账明细接口!$E$1001),"")</f>
        <v/>
      </c>
      <c r="F1001" s="59" t="str">
        <f aca="false">IFERROR(IF([2]对账明细接口!$F$1001=0,"",[2]对账明细接口!$F$1001),"")</f>
        <v/>
      </c>
      <c r="G1001" s="59" t="str">
        <f aca="false">IFERROR(IF([2]对账明细接口!$G$1001=0,"",[2]对账明细接口!$G$1001),"")</f>
        <v/>
      </c>
      <c r="H1001" s="60" t="str">
        <f aca="false">IFERROR(IF([2]对账明细接口!$H$1001=0,"",[2]对账明细接口!$H$1001),"")</f>
        <v/>
      </c>
      <c r="I1001" s="59" t="str">
        <f aca="false">IFERROR(IF([2]对账明细接口!$I$1001=0,"",[2]对账明细接口!$I$1001),"")</f>
        <v/>
      </c>
      <c r="J1001" s="61" t="str">
        <f aca="false">IFERROR(IF([2]对账明细接口!$J$1001=0,"",[2]对账明细接口!$J$1001),"")</f>
        <v/>
      </c>
      <c r="K1001" s="61" t="str">
        <f aca="false">IFERROR(IF([2]对账明细接口!$K$1001=0,"",[2]对账明细接口!$K$1001),"")</f>
        <v/>
      </c>
      <c r="L1001" s="59" t="str">
        <f aca="false">IFERROR(IF([2]对账明细接口!$L$1001=0,"",[2]对账明细接口!$L$1001),"")</f>
        <v/>
      </c>
      <c r="M1001" s="59" t="str">
        <f aca="false">IFERROR(IF([2]对账明细接口!$M$1001=0,"",[2]对账明细接口!$M$1001),"")</f>
        <v/>
      </c>
      <c r="N1001" s="111" t="n">
        <f aca="false">IF($C1001="",0,1)</f>
        <v>0</v>
      </c>
      <c r="O1001" s="111" t="n">
        <f aca="false">N(O1000)+$N1001</f>
        <v>311</v>
      </c>
      <c r="S1001" s="10" t="str">
        <f aca="false">IFERROR(IF([2]对账明细接口!$N1001=0,"",[2]对账明细接口!$N1001),"")</f>
        <v/>
      </c>
      <c r="T1001" s="112" t="str">
        <f aca="false">IFERROR(IF([2]对账明细接口!$O1001=0,"",[2]对账明细接口!$O1001),"")</f>
        <v/>
      </c>
      <c r="U1001" s="112" t="str">
        <f aca="false">IFERROR(IF([2]对账明细接口!$P1001=0,"",[2]对账明细接口!$P1001),"")</f>
        <v/>
      </c>
      <c r="V1001" s="112" t="str">
        <f aca="false">IFERROR(IF([2]对账明细接口!$Q1001=0,"",[2]对账明细接口!$Q1001),"")</f>
        <v/>
      </c>
      <c r="W1001" s="10" t="str">
        <f aca="false">IFERROR(IF([2]对账明细接口!$R1001=0,"",[2]对账明细接口!$R1001),"")</f>
        <v/>
      </c>
      <c r="X1001" s="10" t="str">
        <f aca="false">IFERROR(IF([2]对账明细接口!$S1001=0,"",[2]对账明细接口!$S1001),"")</f>
        <v/>
      </c>
      <c r="Y1001" s="10" t="str">
        <f aca="false">IFERROR(IF([2]对账明细接口!$T1001=0,"",[2]对账明细接口!$T1001),"")</f>
        <v/>
      </c>
      <c r="Z1001" s="113" t="str">
        <f aca="false">IFERROR(IF([2]对账明细接口!$U1001=0,"",[2]对账明细接口!$U1001),"")</f>
        <v/>
      </c>
      <c r="AA1001" s="113" t="str">
        <f aca="false">IFERROR(IF([2]对账明细接口!$V1001=0,"",[2]对账明细接口!$V1001),"")</f>
        <v/>
      </c>
      <c r="AB1001" s="10" t="str">
        <f aca="false">IFERROR(IF([2]对账明细接口!$W1001=0,"",[2]对账明细接口!$W1001),"")</f>
        <v/>
      </c>
      <c r="AC1001" s="90" t="str">
        <f aca="false">IFERROR(IF([2]对账明细接口!$X1002=0,"",[2]对账明细接口!$X1002),"")</f>
        <v/>
      </c>
      <c r="AD1001" s="90" t="str">
        <f aca="false">IFERROR(IF([2]对账明细接口!$Y1002=0,"",[2]对账明细接口!$Y1002),"")</f>
        <v/>
      </c>
      <c r="AE1001" s="90" t="str">
        <f aca="false">IFERROR(IF([2]对账明细接口!$AA1002=0,"",[2]对账明细接口!$AA1002),"")</f>
        <v/>
      </c>
      <c r="AF1001" s="90" t="str">
        <f aca="false">IFERROR(IF([2]对账明细接口!$AB1002=0,"",[2]对账明细接口!$AB1002),"")</f>
        <v/>
      </c>
      <c r="AG1001" s="90" t="str">
        <f aca="false">IFERROR(IF([2]对账明细接口!$AC1002=0,"",[2]对账明细接口!$AC1002),"")</f>
        <v/>
      </c>
      <c r="AH1001" s="90" t="str">
        <f aca="false">IFERROR(IF([2]对账明细接口!$AD1002=0,"",[2]对账明细接口!$AD1002),"")</f>
        <v/>
      </c>
    </row>
    <row r="1002" customFormat="false" ht="13.5" hidden="false" customHeight="false" outlineLevel="0" collapsed="false">
      <c r="A1002" s="109" t="n">
        <v>1002</v>
      </c>
      <c r="B1002" s="110" t="str">
        <f aca="false">IFERROR(IF([2]对账明细接口!$B$1002=0,"",[2]对账明细接口!$B$1002),"")</f>
        <v/>
      </c>
      <c r="C1002" s="59" t="str">
        <f aca="false">IFERROR(IF([2]对账明细接口!$C$1002=0,"",[2]对账明细接口!$C$1002),"")</f>
        <v/>
      </c>
      <c r="D1002" s="59" t="str">
        <f aca="false">IFERROR(IF([2]对账明细接口!$D$1002=0,"",[2]对账明细接口!$D$1002),"")</f>
        <v/>
      </c>
      <c r="E1002" s="59" t="str">
        <f aca="false">IFERROR(IF([2]对账明细接口!$E$1002=0,"",[2]对账明细接口!$E$1002),"")</f>
        <v/>
      </c>
      <c r="F1002" s="59" t="str">
        <f aca="false">IFERROR(IF([2]对账明细接口!$F$1002=0,"",[2]对账明细接口!$F$1002),"")</f>
        <v/>
      </c>
      <c r="G1002" s="59" t="str">
        <f aca="false">IFERROR(IF([2]对账明细接口!$G$1002=0,"",[2]对账明细接口!$G$1002),"")</f>
        <v/>
      </c>
      <c r="H1002" s="60" t="str">
        <f aca="false">IFERROR(IF([2]对账明细接口!$H$1002=0,"",[2]对账明细接口!$H$1002),"")</f>
        <v/>
      </c>
      <c r="I1002" s="59" t="str">
        <f aca="false">IFERROR(IF([2]对账明细接口!$I$1002=0,"",[2]对账明细接口!$I$1002),"")</f>
        <v/>
      </c>
      <c r="J1002" s="61" t="str">
        <f aca="false">IFERROR(IF([2]对账明细接口!$J$1002=0,"",[2]对账明细接口!$J$1002),"")</f>
        <v/>
      </c>
      <c r="K1002" s="61" t="str">
        <f aca="false">IFERROR(IF([2]对账明细接口!$K$1002=0,"",[2]对账明细接口!$K$1002),"")</f>
        <v/>
      </c>
      <c r="L1002" s="59" t="str">
        <f aca="false">IFERROR(IF([2]对账明细接口!$L$1002=0,"",[2]对账明细接口!$L$1002),"")</f>
        <v/>
      </c>
      <c r="M1002" s="59" t="str">
        <f aca="false">IFERROR(IF([2]对账明细接口!$M$1002=0,"",[2]对账明细接口!$M$1002),"")</f>
        <v/>
      </c>
      <c r="N1002" s="111" t="n">
        <f aca="false">IF($C1002="",0,1)</f>
        <v>0</v>
      </c>
      <c r="O1002" s="111" t="n">
        <f aca="false">N(O1001)+$N1002</f>
        <v>311</v>
      </c>
      <c r="S1002" s="10" t="str">
        <f aca="false">IFERROR(IF([2]对账明细接口!$N1002=0,"",[2]对账明细接口!$N1002),"")</f>
        <v/>
      </c>
      <c r="T1002" s="112" t="str">
        <f aca="false">IFERROR(IF([2]对账明细接口!$O1002=0,"",[2]对账明细接口!$O1002),"")</f>
        <v/>
      </c>
      <c r="U1002" s="112" t="str">
        <f aca="false">IFERROR(IF([2]对账明细接口!$P1002=0,"",[2]对账明细接口!$P1002),"")</f>
        <v/>
      </c>
      <c r="V1002" s="112" t="str">
        <f aca="false">IFERROR(IF([2]对账明细接口!$Q1002=0,"",[2]对账明细接口!$Q1002),"")</f>
        <v/>
      </c>
      <c r="W1002" s="10" t="str">
        <f aca="false">IFERROR(IF([2]对账明细接口!$R1002=0,"",[2]对账明细接口!$R1002),"")</f>
        <v/>
      </c>
      <c r="X1002" s="10" t="str">
        <f aca="false">IFERROR(IF([2]对账明细接口!$S1002=0,"",[2]对账明细接口!$S1002),"")</f>
        <v/>
      </c>
      <c r="Y1002" s="10" t="str">
        <f aca="false">IFERROR(IF([2]对账明细接口!$T1002=0,"",[2]对账明细接口!$T1002),"")</f>
        <v/>
      </c>
      <c r="Z1002" s="113" t="str">
        <f aca="false">IFERROR(IF([2]对账明细接口!$U1002=0,"",[2]对账明细接口!$U1002),"")</f>
        <v/>
      </c>
      <c r="AA1002" s="113" t="str">
        <f aca="false">IFERROR(IF([2]对账明细接口!$V1002=0,"",[2]对账明细接口!$V1002),"")</f>
        <v/>
      </c>
      <c r="AB1002" s="10" t="str">
        <f aca="false">IFERROR(IF([2]对账明细接口!$W1002=0,"",[2]对账明细接口!$W1002),"")</f>
        <v/>
      </c>
      <c r="AC1002" s="90" t="str">
        <f aca="false">IFERROR(IF([2]对账明细接口!$X1003=0,"",[2]对账明细接口!$X1003),"")</f>
        <v/>
      </c>
      <c r="AD1002" s="90" t="str">
        <f aca="false">IFERROR(IF([2]对账明细接口!$Y1003=0,"",[2]对账明细接口!$Y1003),"")</f>
        <v/>
      </c>
      <c r="AE1002" s="90" t="str">
        <f aca="false">IFERROR(IF([2]对账明细接口!$AA1003=0,"",[2]对账明细接口!$AA1003),"")</f>
        <v/>
      </c>
      <c r="AF1002" s="90" t="str">
        <f aca="false">IFERROR(IF([2]对账明细接口!$AB1003=0,"",[2]对账明细接口!$AB1003),"")</f>
        <v/>
      </c>
      <c r="AG1002" s="90" t="str">
        <f aca="false">IFERROR(IF([2]对账明细接口!$AC1003=0,"",[2]对账明细接口!$AC1003),"")</f>
        <v/>
      </c>
      <c r="AH1002" s="90" t="str">
        <f aca="false">IFERROR(IF([2]对账明细接口!$AD1003=0,"",[2]对账明细接口!$AD1003),"")</f>
        <v/>
      </c>
    </row>
    <row r="1003" customFormat="false" ht="13.5" hidden="false" customHeight="false" outlineLevel="0" collapsed="false">
      <c r="A1003" s="109" t="n">
        <v>1003</v>
      </c>
      <c r="B1003" s="110" t="str">
        <f aca="false">IFERROR(IF([2]对账明细接口!$B$1003=0,"",[2]对账明细接口!$B$1003),"")</f>
        <v/>
      </c>
      <c r="C1003" s="59" t="str">
        <f aca="false">IFERROR(IF([2]对账明细接口!$C$1003=0,"",[2]对账明细接口!$C$1003),"")</f>
        <v/>
      </c>
      <c r="D1003" s="59" t="str">
        <f aca="false">IFERROR(IF([2]对账明细接口!$D$1003=0,"",[2]对账明细接口!$D$1003),"")</f>
        <v/>
      </c>
      <c r="E1003" s="59" t="str">
        <f aca="false">IFERROR(IF([2]对账明细接口!$E$1003=0,"",[2]对账明细接口!$E$1003),"")</f>
        <v/>
      </c>
      <c r="F1003" s="59" t="str">
        <f aca="false">IFERROR(IF([2]对账明细接口!$F$1003=0,"",[2]对账明细接口!$F$1003),"")</f>
        <v/>
      </c>
      <c r="G1003" s="59" t="str">
        <f aca="false">IFERROR(IF([2]对账明细接口!$G$1003=0,"",[2]对账明细接口!$G$1003),"")</f>
        <v/>
      </c>
      <c r="H1003" s="60" t="str">
        <f aca="false">IFERROR(IF([2]对账明细接口!$H$1003=0,"",[2]对账明细接口!$H$1003),"")</f>
        <v/>
      </c>
      <c r="I1003" s="59" t="str">
        <f aca="false">IFERROR(IF([2]对账明细接口!$I$1003=0,"",[2]对账明细接口!$I$1003),"")</f>
        <v/>
      </c>
      <c r="J1003" s="61" t="str">
        <f aca="false">IFERROR(IF([2]对账明细接口!$J$1003=0,"",[2]对账明细接口!$J$1003),"")</f>
        <v/>
      </c>
      <c r="K1003" s="61" t="str">
        <f aca="false">IFERROR(IF([2]对账明细接口!$K$1003=0,"",[2]对账明细接口!$K$1003),"")</f>
        <v/>
      </c>
      <c r="L1003" s="59" t="str">
        <f aca="false">IFERROR(IF([2]对账明细接口!$L$1003=0,"",[2]对账明细接口!$L$1003),"")</f>
        <v/>
      </c>
      <c r="M1003" s="59" t="str">
        <f aca="false">IFERROR(IF([2]对账明细接口!$M$1003=0,"",[2]对账明细接口!$M$1003),"")</f>
        <v/>
      </c>
      <c r="N1003" s="111" t="n">
        <f aca="false">IF($C1003="",0,1)</f>
        <v>0</v>
      </c>
      <c r="O1003" s="111" t="n">
        <f aca="false">N(O1002)+$N1003</f>
        <v>311</v>
      </c>
      <c r="S1003" s="10" t="str">
        <f aca="false">IFERROR(IF([2]对账明细接口!$N1003=0,"",[2]对账明细接口!$N1003),"")</f>
        <v/>
      </c>
      <c r="T1003" s="112" t="str">
        <f aca="false">IFERROR(IF([2]对账明细接口!$O1003=0,"",[2]对账明细接口!$O1003),"")</f>
        <v/>
      </c>
      <c r="U1003" s="112" t="str">
        <f aca="false">IFERROR(IF([2]对账明细接口!$P1003=0,"",[2]对账明细接口!$P1003),"")</f>
        <v/>
      </c>
      <c r="V1003" s="112" t="str">
        <f aca="false">IFERROR(IF([2]对账明细接口!$Q1003=0,"",[2]对账明细接口!$Q1003),"")</f>
        <v/>
      </c>
      <c r="W1003" s="10" t="str">
        <f aca="false">IFERROR(IF([2]对账明细接口!$R1003=0,"",[2]对账明细接口!$R1003),"")</f>
        <v/>
      </c>
      <c r="X1003" s="10" t="str">
        <f aca="false">IFERROR(IF([2]对账明细接口!$S1003=0,"",[2]对账明细接口!$S1003),"")</f>
        <v/>
      </c>
      <c r="Y1003" s="10" t="str">
        <f aca="false">IFERROR(IF([2]对账明细接口!$T1003=0,"",[2]对账明细接口!$T1003),"")</f>
        <v/>
      </c>
      <c r="Z1003" s="113" t="str">
        <f aca="false">IFERROR(IF([2]对账明细接口!$U1003=0,"",[2]对账明细接口!$U1003),"")</f>
        <v/>
      </c>
      <c r="AA1003" s="113" t="str">
        <f aca="false">IFERROR(IF([2]对账明细接口!$V1003=0,"",[2]对账明细接口!$V1003),"")</f>
        <v/>
      </c>
      <c r="AB1003" s="10" t="str">
        <f aca="false">IFERROR(IF([2]对账明细接口!$W1003=0,"",[2]对账明细接口!$W1003),"")</f>
        <v/>
      </c>
      <c r="AC1003" s="90" t="str">
        <f aca="false">IFERROR(IF([2]对账明细接口!$X1004=0,"",[2]对账明细接口!$X1004),"")</f>
        <v/>
      </c>
      <c r="AD1003" s="90" t="str">
        <f aca="false">IFERROR(IF([2]对账明细接口!$Y1004=0,"",[2]对账明细接口!$Y1004),"")</f>
        <v/>
      </c>
      <c r="AE1003" s="90" t="str">
        <f aca="false">IFERROR(IF([2]对账明细接口!$AA1004=0,"",[2]对账明细接口!$AA1004),"")</f>
        <v/>
      </c>
      <c r="AF1003" s="90" t="str">
        <f aca="false">IFERROR(IF([2]对账明细接口!$AB1004=0,"",[2]对账明细接口!$AB1004),"")</f>
        <v/>
      </c>
      <c r="AG1003" s="90" t="str">
        <f aca="false">IFERROR(IF([2]对账明细接口!$AC1004=0,"",[2]对账明细接口!$AC1004),"")</f>
        <v/>
      </c>
      <c r="AH1003" s="90" t="str">
        <f aca="false">IFERROR(IF([2]对账明细接口!$AD1004=0,"",[2]对账明细接口!$AD1004),"")</f>
        <v/>
      </c>
    </row>
    <row r="1004" customFormat="false" ht="13.5" hidden="false" customHeight="false" outlineLevel="0" collapsed="false">
      <c r="A1004" s="109" t="n">
        <v>1004</v>
      </c>
      <c r="B1004" s="110" t="str">
        <f aca="false">IFERROR(IF([2]对账明细接口!$B$1004=0,"",[2]对账明细接口!$B$1004),"")</f>
        <v/>
      </c>
      <c r="C1004" s="59" t="str">
        <f aca="false">IFERROR(IF([2]对账明细接口!$C$1004=0,"",[2]对账明细接口!$C$1004),"")</f>
        <v/>
      </c>
      <c r="D1004" s="59" t="str">
        <f aca="false">IFERROR(IF([2]对账明细接口!$D$1004=0,"",[2]对账明细接口!$D$1004),"")</f>
        <v/>
      </c>
      <c r="E1004" s="59" t="str">
        <f aca="false">IFERROR(IF([2]对账明细接口!$E$1004=0,"",[2]对账明细接口!$E$1004),"")</f>
        <v/>
      </c>
      <c r="F1004" s="59" t="str">
        <f aca="false">IFERROR(IF([2]对账明细接口!$F$1004=0,"",[2]对账明细接口!$F$1004),"")</f>
        <v/>
      </c>
      <c r="G1004" s="59" t="str">
        <f aca="false">IFERROR(IF([2]对账明细接口!$G$1004=0,"",[2]对账明细接口!$G$1004),"")</f>
        <v/>
      </c>
      <c r="H1004" s="60" t="str">
        <f aca="false">IFERROR(IF([2]对账明细接口!$H$1004=0,"",[2]对账明细接口!$H$1004),"")</f>
        <v/>
      </c>
      <c r="I1004" s="59" t="str">
        <f aca="false">IFERROR(IF([2]对账明细接口!$I$1004=0,"",[2]对账明细接口!$I$1004),"")</f>
        <v/>
      </c>
      <c r="J1004" s="61" t="str">
        <f aca="false">IFERROR(IF([2]对账明细接口!$J$1004=0,"",[2]对账明细接口!$J$1004),"")</f>
        <v/>
      </c>
      <c r="K1004" s="61" t="str">
        <f aca="false">IFERROR(IF([2]对账明细接口!$K$1004=0,"",[2]对账明细接口!$K$1004),"")</f>
        <v/>
      </c>
      <c r="L1004" s="59" t="str">
        <f aca="false">IFERROR(IF([2]对账明细接口!$L$1004=0,"",[2]对账明细接口!$L$1004),"")</f>
        <v/>
      </c>
      <c r="M1004" s="59" t="str">
        <f aca="false">IFERROR(IF([2]对账明细接口!$M$1004=0,"",[2]对账明细接口!$M$1004),"")</f>
        <v/>
      </c>
      <c r="N1004" s="111" t="n">
        <f aca="false">IF($C1004="",0,1)</f>
        <v>0</v>
      </c>
      <c r="O1004" s="111" t="n">
        <f aca="false">N(O1003)+$N1004</f>
        <v>311</v>
      </c>
      <c r="S1004" s="10" t="str">
        <f aca="false">IFERROR(IF([2]对账明细接口!$N1004=0,"",[2]对账明细接口!$N1004),"")</f>
        <v/>
      </c>
      <c r="T1004" s="112" t="str">
        <f aca="false">IFERROR(IF([2]对账明细接口!$O1004=0,"",[2]对账明细接口!$O1004),"")</f>
        <v/>
      </c>
      <c r="U1004" s="112" t="str">
        <f aca="false">IFERROR(IF([2]对账明细接口!$P1004=0,"",[2]对账明细接口!$P1004),"")</f>
        <v/>
      </c>
      <c r="V1004" s="112" t="str">
        <f aca="false">IFERROR(IF([2]对账明细接口!$Q1004=0,"",[2]对账明细接口!$Q1004),"")</f>
        <v/>
      </c>
      <c r="W1004" s="10" t="str">
        <f aca="false">IFERROR(IF([2]对账明细接口!$R1004=0,"",[2]对账明细接口!$R1004),"")</f>
        <v/>
      </c>
      <c r="X1004" s="10" t="str">
        <f aca="false">IFERROR(IF([2]对账明细接口!$S1004=0,"",[2]对账明细接口!$S1004),"")</f>
        <v/>
      </c>
      <c r="Y1004" s="10" t="str">
        <f aca="false">IFERROR(IF([2]对账明细接口!$T1004=0,"",[2]对账明细接口!$T1004),"")</f>
        <v/>
      </c>
      <c r="Z1004" s="113" t="str">
        <f aca="false">IFERROR(IF([2]对账明细接口!$U1004=0,"",[2]对账明细接口!$U1004),"")</f>
        <v/>
      </c>
      <c r="AA1004" s="113" t="str">
        <f aca="false">IFERROR(IF([2]对账明细接口!$V1004=0,"",[2]对账明细接口!$V1004),"")</f>
        <v/>
      </c>
      <c r="AB1004" s="10" t="str">
        <f aca="false">IFERROR(IF([2]对账明细接口!$W1004=0,"",[2]对账明细接口!$W1004),"")</f>
        <v/>
      </c>
      <c r="AC1004" s="90" t="str">
        <f aca="false">IFERROR(IF([2]对账明细接口!$X1005=0,"",[2]对账明细接口!$X1005),"")</f>
        <v/>
      </c>
      <c r="AD1004" s="90" t="str">
        <f aca="false">IFERROR(IF([2]对账明细接口!$Y1005=0,"",[2]对账明细接口!$Y1005),"")</f>
        <v/>
      </c>
      <c r="AE1004" s="90" t="str">
        <f aca="false">IFERROR(IF([2]对账明细接口!$AA1005=0,"",[2]对账明细接口!$AA1005),"")</f>
        <v/>
      </c>
      <c r="AF1004" s="90" t="str">
        <f aca="false">IFERROR(IF([2]对账明细接口!$AB1005=0,"",[2]对账明细接口!$AB1005),"")</f>
        <v/>
      </c>
      <c r="AG1004" s="90" t="str">
        <f aca="false">IFERROR(IF([2]对账明细接口!$AC1005=0,"",[2]对账明细接口!$AC1005),"")</f>
        <v/>
      </c>
      <c r="AH1004" s="90" t="str">
        <f aca="false">IFERROR(IF([2]对账明细接口!$AD1005=0,"",[2]对账明细接口!$AD1005),"")</f>
        <v/>
      </c>
    </row>
    <row r="1005" customFormat="false" ht="13.5" hidden="false" customHeight="false" outlineLevel="0" collapsed="false">
      <c r="A1005" s="109" t="n">
        <v>1005</v>
      </c>
      <c r="B1005" s="110" t="str">
        <f aca="false">IFERROR(IF([2]对账明细接口!$B$1005=0,"",[2]对账明细接口!$B$1005),"")</f>
        <v/>
      </c>
      <c r="C1005" s="59" t="str">
        <f aca="false">IFERROR(IF([2]对账明细接口!$C$1005=0,"",[2]对账明细接口!$C$1005),"")</f>
        <v/>
      </c>
      <c r="D1005" s="59" t="str">
        <f aca="false">IFERROR(IF([2]对账明细接口!$D$1005=0,"",[2]对账明细接口!$D$1005),"")</f>
        <v/>
      </c>
      <c r="E1005" s="59" t="str">
        <f aca="false">IFERROR(IF([2]对账明细接口!$E$1005=0,"",[2]对账明细接口!$E$1005),"")</f>
        <v/>
      </c>
      <c r="F1005" s="59" t="str">
        <f aca="false">IFERROR(IF([2]对账明细接口!$F$1005=0,"",[2]对账明细接口!$F$1005),"")</f>
        <v/>
      </c>
      <c r="G1005" s="59" t="str">
        <f aca="false">IFERROR(IF([2]对账明细接口!$G$1005=0,"",[2]对账明细接口!$G$1005),"")</f>
        <v/>
      </c>
      <c r="H1005" s="60" t="str">
        <f aca="false">IFERROR(IF([2]对账明细接口!$H$1005=0,"",[2]对账明细接口!$H$1005),"")</f>
        <v/>
      </c>
      <c r="I1005" s="59" t="str">
        <f aca="false">IFERROR(IF([2]对账明细接口!$I$1005=0,"",[2]对账明细接口!$I$1005),"")</f>
        <v/>
      </c>
      <c r="J1005" s="61" t="str">
        <f aca="false">IFERROR(IF([2]对账明细接口!$J$1005=0,"",[2]对账明细接口!$J$1005),"")</f>
        <v/>
      </c>
      <c r="K1005" s="61" t="str">
        <f aca="false">IFERROR(IF([2]对账明细接口!$K$1005=0,"",[2]对账明细接口!$K$1005),"")</f>
        <v/>
      </c>
      <c r="L1005" s="59" t="str">
        <f aca="false">IFERROR(IF([2]对账明细接口!$L$1005=0,"",[2]对账明细接口!$L$1005),"")</f>
        <v/>
      </c>
      <c r="M1005" s="59" t="str">
        <f aca="false">IFERROR(IF([2]对账明细接口!$M$1005=0,"",[2]对账明细接口!$M$1005),"")</f>
        <v/>
      </c>
      <c r="N1005" s="111" t="n">
        <f aca="false">IF($C1005="",0,1)</f>
        <v>0</v>
      </c>
      <c r="O1005" s="111" t="n">
        <f aca="false">N(O1004)+$N1005</f>
        <v>311</v>
      </c>
      <c r="S1005" s="10" t="str">
        <f aca="false">IFERROR(IF([2]对账明细接口!$N1005=0,"",[2]对账明细接口!$N1005),"")</f>
        <v/>
      </c>
      <c r="T1005" s="112" t="str">
        <f aca="false">IFERROR(IF([2]对账明细接口!$O1005=0,"",[2]对账明细接口!$O1005),"")</f>
        <v/>
      </c>
      <c r="U1005" s="112" t="str">
        <f aca="false">IFERROR(IF([2]对账明细接口!$P1005=0,"",[2]对账明细接口!$P1005),"")</f>
        <v/>
      </c>
      <c r="V1005" s="112" t="str">
        <f aca="false">IFERROR(IF([2]对账明细接口!$Q1005=0,"",[2]对账明细接口!$Q1005),"")</f>
        <v/>
      </c>
      <c r="W1005" s="10" t="str">
        <f aca="false">IFERROR(IF([2]对账明细接口!$R1005=0,"",[2]对账明细接口!$R1005),"")</f>
        <v/>
      </c>
      <c r="X1005" s="10" t="str">
        <f aca="false">IFERROR(IF([2]对账明细接口!$S1005=0,"",[2]对账明细接口!$S1005),"")</f>
        <v/>
      </c>
      <c r="Y1005" s="10" t="str">
        <f aca="false">IFERROR(IF([2]对账明细接口!$T1005=0,"",[2]对账明细接口!$T1005),"")</f>
        <v/>
      </c>
      <c r="Z1005" s="113" t="str">
        <f aca="false">IFERROR(IF([2]对账明细接口!$U1005=0,"",[2]对账明细接口!$U1005),"")</f>
        <v/>
      </c>
      <c r="AA1005" s="113" t="str">
        <f aca="false">IFERROR(IF([2]对账明细接口!$V1005=0,"",[2]对账明细接口!$V1005),"")</f>
        <v/>
      </c>
      <c r="AB1005" s="10" t="str">
        <f aca="false">IFERROR(IF([2]对账明细接口!$W1005=0,"",[2]对账明细接口!$W1005),"")</f>
        <v/>
      </c>
      <c r="AC1005" s="90" t="str">
        <f aca="false">IFERROR(IF([2]对账明细接口!$X1006=0,"",[2]对账明细接口!$X1006),"")</f>
        <v/>
      </c>
      <c r="AD1005" s="90" t="str">
        <f aca="false">IFERROR(IF([2]对账明细接口!$Y1006=0,"",[2]对账明细接口!$Y1006),"")</f>
        <v/>
      </c>
      <c r="AE1005" s="90" t="str">
        <f aca="false">IFERROR(IF([2]对账明细接口!$AA1006=0,"",[2]对账明细接口!$AA1006),"")</f>
        <v/>
      </c>
      <c r="AF1005" s="90" t="str">
        <f aca="false">IFERROR(IF([2]对账明细接口!$AB1006=0,"",[2]对账明细接口!$AB1006),"")</f>
        <v/>
      </c>
      <c r="AG1005" s="90" t="str">
        <f aca="false">IFERROR(IF([2]对账明细接口!$AC1006=0,"",[2]对账明细接口!$AC1006),"")</f>
        <v/>
      </c>
      <c r="AH1005" s="90" t="str">
        <f aca="false">IFERROR(IF([2]对账明细接口!$AD1006=0,"",[2]对账明细接口!$AD1006),"")</f>
        <v/>
      </c>
    </row>
    <row r="1006" customFormat="false" ht="13.5" hidden="false" customHeight="false" outlineLevel="0" collapsed="false">
      <c r="A1006" s="109" t="n">
        <v>1006</v>
      </c>
      <c r="B1006" s="110" t="str">
        <f aca="false">IFERROR(IF([2]对账明细接口!$B$1006=0,"",[2]对账明细接口!$B$1006),"")</f>
        <v/>
      </c>
      <c r="C1006" s="59" t="str">
        <f aca="false">IFERROR(IF([2]对账明细接口!$C$1006=0,"",[2]对账明细接口!$C$1006),"")</f>
        <v/>
      </c>
      <c r="D1006" s="59" t="str">
        <f aca="false">IFERROR(IF([2]对账明细接口!$D$1006=0,"",[2]对账明细接口!$D$1006),"")</f>
        <v/>
      </c>
      <c r="E1006" s="59" t="str">
        <f aca="false">IFERROR(IF([2]对账明细接口!$E$1006=0,"",[2]对账明细接口!$E$1006),"")</f>
        <v/>
      </c>
      <c r="F1006" s="59" t="str">
        <f aca="false">IFERROR(IF([2]对账明细接口!$F$1006=0,"",[2]对账明细接口!$F$1006),"")</f>
        <v/>
      </c>
      <c r="G1006" s="59" t="str">
        <f aca="false">IFERROR(IF([2]对账明细接口!$G$1006=0,"",[2]对账明细接口!$G$1006),"")</f>
        <v/>
      </c>
      <c r="H1006" s="60" t="str">
        <f aca="false">IFERROR(IF([2]对账明细接口!$H$1006=0,"",[2]对账明细接口!$H$1006),"")</f>
        <v/>
      </c>
      <c r="I1006" s="59" t="str">
        <f aca="false">IFERROR(IF([2]对账明细接口!$I$1006=0,"",[2]对账明细接口!$I$1006),"")</f>
        <v/>
      </c>
      <c r="J1006" s="61" t="str">
        <f aca="false">IFERROR(IF([2]对账明细接口!$J$1006=0,"",[2]对账明细接口!$J$1006),"")</f>
        <v/>
      </c>
      <c r="K1006" s="61" t="str">
        <f aca="false">IFERROR(IF([2]对账明细接口!$K$1006=0,"",[2]对账明细接口!$K$1006),"")</f>
        <v/>
      </c>
      <c r="L1006" s="59" t="str">
        <f aca="false">IFERROR(IF([2]对账明细接口!$L$1006=0,"",[2]对账明细接口!$L$1006),"")</f>
        <v/>
      </c>
      <c r="M1006" s="59" t="str">
        <f aca="false">IFERROR(IF([2]对账明细接口!$M$1006=0,"",[2]对账明细接口!$M$1006),"")</f>
        <v/>
      </c>
      <c r="N1006" s="111" t="n">
        <f aca="false">IF($C1006="",0,1)</f>
        <v>0</v>
      </c>
      <c r="O1006" s="111" t="n">
        <f aca="false">N(O1005)+$N1006</f>
        <v>311</v>
      </c>
      <c r="S1006" s="10" t="str">
        <f aca="false">IFERROR(IF([2]对账明细接口!$N1006=0,"",[2]对账明细接口!$N1006),"")</f>
        <v/>
      </c>
      <c r="T1006" s="112" t="str">
        <f aca="false">IFERROR(IF([2]对账明细接口!$O1006=0,"",[2]对账明细接口!$O1006),"")</f>
        <v/>
      </c>
      <c r="U1006" s="112" t="str">
        <f aca="false">IFERROR(IF([2]对账明细接口!$P1006=0,"",[2]对账明细接口!$P1006),"")</f>
        <v/>
      </c>
      <c r="V1006" s="112" t="str">
        <f aca="false">IFERROR(IF([2]对账明细接口!$Q1006=0,"",[2]对账明细接口!$Q1006),"")</f>
        <v/>
      </c>
      <c r="W1006" s="10" t="str">
        <f aca="false">IFERROR(IF([2]对账明细接口!$R1006=0,"",[2]对账明细接口!$R1006),"")</f>
        <v/>
      </c>
      <c r="X1006" s="10" t="str">
        <f aca="false">IFERROR(IF([2]对账明细接口!$S1006=0,"",[2]对账明细接口!$S1006),"")</f>
        <v/>
      </c>
      <c r="Y1006" s="10" t="str">
        <f aca="false">IFERROR(IF([2]对账明细接口!$T1006=0,"",[2]对账明细接口!$T1006),"")</f>
        <v/>
      </c>
      <c r="Z1006" s="113" t="str">
        <f aca="false">IFERROR(IF([2]对账明细接口!$U1006=0,"",[2]对账明细接口!$U1006),"")</f>
        <v/>
      </c>
      <c r="AA1006" s="113" t="str">
        <f aca="false">IFERROR(IF([2]对账明细接口!$V1006=0,"",[2]对账明细接口!$V1006),"")</f>
        <v/>
      </c>
      <c r="AB1006" s="10" t="str">
        <f aca="false">IFERROR(IF([2]对账明细接口!$W1006=0,"",[2]对账明细接口!$W1006),"")</f>
        <v/>
      </c>
      <c r="AC1006" s="90" t="str">
        <f aca="false">IFERROR(IF([2]对账明细接口!$X1007=0,"",[2]对账明细接口!$X1007),"")</f>
        <v/>
      </c>
      <c r="AD1006" s="90" t="str">
        <f aca="false">IFERROR(IF([2]对账明细接口!$Y1007=0,"",[2]对账明细接口!$Y1007),"")</f>
        <v/>
      </c>
      <c r="AE1006" s="90" t="str">
        <f aca="false">IFERROR(IF([2]对账明细接口!$AA1007=0,"",[2]对账明细接口!$AA1007),"")</f>
        <v/>
      </c>
      <c r="AF1006" s="90" t="str">
        <f aca="false">IFERROR(IF([2]对账明细接口!$AB1007=0,"",[2]对账明细接口!$AB1007),"")</f>
        <v/>
      </c>
      <c r="AG1006" s="90" t="str">
        <f aca="false">IFERROR(IF([2]对账明细接口!$AC1007=0,"",[2]对账明细接口!$AC1007),"")</f>
        <v/>
      </c>
      <c r="AH1006" s="90" t="str">
        <f aca="false">IFERROR(IF([2]对账明细接口!$AD1007=0,"",[2]对账明细接口!$AD1007),"")</f>
        <v/>
      </c>
    </row>
    <row r="1007" customFormat="false" ht="13.5" hidden="false" customHeight="false" outlineLevel="0" collapsed="false">
      <c r="A1007" s="109" t="n">
        <v>1007</v>
      </c>
      <c r="B1007" s="110" t="str">
        <f aca="false">IFERROR(IF([2]对账明细接口!$B$1007=0,"",[2]对账明细接口!$B$1007),"")</f>
        <v/>
      </c>
      <c r="C1007" s="59" t="str">
        <f aca="false">IFERROR(IF([2]对账明细接口!$C$1007=0,"",[2]对账明细接口!$C$1007),"")</f>
        <v/>
      </c>
      <c r="D1007" s="59" t="str">
        <f aca="false">IFERROR(IF([2]对账明细接口!$D$1007=0,"",[2]对账明细接口!$D$1007),"")</f>
        <v/>
      </c>
      <c r="E1007" s="59" t="str">
        <f aca="false">IFERROR(IF([2]对账明细接口!$E$1007=0,"",[2]对账明细接口!$E$1007),"")</f>
        <v/>
      </c>
      <c r="F1007" s="59" t="str">
        <f aca="false">IFERROR(IF([2]对账明细接口!$F$1007=0,"",[2]对账明细接口!$F$1007),"")</f>
        <v/>
      </c>
      <c r="G1007" s="59" t="str">
        <f aca="false">IFERROR(IF([2]对账明细接口!$G$1007=0,"",[2]对账明细接口!$G$1007),"")</f>
        <v/>
      </c>
      <c r="H1007" s="60" t="str">
        <f aca="false">IFERROR(IF([2]对账明细接口!$H$1007=0,"",[2]对账明细接口!$H$1007),"")</f>
        <v/>
      </c>
      <c r="I1007" s="59" t="str">
        <f aca="false">IFERROR(IF([2]对账明细接口!$I$1007=0,"",[2]对账明细接口!$I$1007),"")</f>
        <v/>
      </c>
      <c r="J1007" s="61" t="str">
        <f aca="false">IFERROR(IF([2]对账明细接口!$J$1007=0,"",[2]对账明细接口!$J$1007),"")</f>
        <v/>
      </c>
      <c r="K1007" s="61" t="str">
        <f aca="false">IFERROR(IF([2]对账明细接口!$K$1007=0,"",[2]对账明细接口!$K$1007),"")</f>
        <v/>
      </c>
      <c r="L1007" s="59" t="str">
        <f aca="false">IFERROR(IF([2]对账明细接口!$L$1007=0,"",[2]对账明细接口!$L$1007),"")</f>
        <v/>
      </c>
      <c r="M1007" s="59" t="str">
        <f aca="false">IFERROR(IF([2]对账明细接口!$M$1007=0,"",[2]对账明细接口!$M$1007),"")</f>
        <v/>
      </c>
      <c r="N1007" s="111" t="n">
        <f aca="false">IF($C1007="",0,1)</f>
        <v>0</v>
      </c>
      <c r="O1007" s="111" t="n">
        <f aca="false">N(O1006)+$N1007</f>
        <v>311</v>
      </c>
      <c r="S1007" s="10" t="str">
        <f aca="false">IFERROR(IF([2]对账明细接口!$N1007=0,"",[2]对账明细接口!$N1007),"")</f>
        <v/>
      </c>
      <c r="T1007" s="112" t="str">
        <f aca="false">IFERROR(IF([2]对账明细接口!$O1007=0,"",[2]对账明细接口!$O1007),"")</f>
        <v/>
      </c>
      <c r="U1007" s="112" t="str">
        <f aca="false">IFERROR(IF([2]对账明细接口!$P1007=0,"",[2]对账明细接口!$P1007),"")</f>
        <v/>
      </c>
      <c r="V1007" s="112" t="str">
        <f aca="false">IFERROR(IF([2]对账明细接口!$Q1007=0,"",[2]对账明细接口!$Q1007),"")</f>
        <v/>
      </c>
      <c r="W1007" s="10" t="str">
        <f aca="false">IFERROR(IF([2]对账明细接口!$R1007=0,"",[2]对账明细接口!$R1007),"")</f>
        <v/>
      </c>
      <c r="X1007" s="10" t="str">
        <f aca="false">IFERROR(IF([2]对账明细接口!$S1007=0,"",[2]对账明细接口!$S1007),"")</f>
        <v/>
      </c>
      <c r="Y1007" s="10" t="str">
        <f aca="false">IFERROR(IF([2]对账明细接口!$T1007=0,"",[2]对账明细接口!$T1007),"")</f>
        <v/>
      </c>
      <c r="Z1007" s="113" t="str">
        <f aca="false">IFERROR(IF([2]对账明细接口!$U1007=0,"",[2]对账明细接口!$U1007),"")</f>
        <v/>
      </c>
      <c r="AA1007" s="113" t="str">
        <f aca="false">IFERROR(IF([2]对账明细接口!$V1007=0,"",[2]对账明细接口!$V1007),"")</f>
        <v/>
      </c>
      <c r="AB1007" s="10" t="str">
        <f aca="false">IFERROR(IF([2]对账明细接口!$W1007=0,"",[2]对账明细接口!$W1007),"")</f>
        <v/>
      </c>
      <c r="AC1007" s="90" t="str">
        <f aca="false">IFERROR(IF([2]对账明细接口!$X1008=0,"",[2]对账明细接口!$X1008),"")</f>
        <v/>
      </c>
      <c r="AD1007" s="90" t="str">
        <f aca="false">IFERROR(IF([2]对账明细接口!$Y1008=0,"",[2]对账明细接口!$Y1008),"")</f>
        <v/>
      </c>
      <c r="AE1007" s="90" t="str">
        <f aca="false">IFERROR(IF([2]对账明细接口!$AA1008=0,"",[2]对账明细接口!$AA1008),"")</f>
        <v/>
      </c>
      <c r="AF1007" s="90" t="str">
        <f aca="false">IFERROR(IF([2]对账明细接口!$AB1008=0,"",[2]对账明细接口!$AB1008),"")</f>
        <v/>
      </c>
      <c r="AG1007" s="90" t="str">
        <f aca="false">IFERROR(IF([2]对账明细接口!$AC1008=0,"",[2]对账明细接口!$AC1008),"")</f>
        <v/>
      </c>
      <c r="AH1007" s="90" t="str">
        <f aca="false">IFERROR(IF([2]对账明细接口!$AD1008=0,"",[2]对账明细接口!$AD1008),"")</f>
        <v/>
      </c>
    </row>
    <row r="1008" customFormat="false" ht="13.5" hidden="false" customHeight="false" outlineLevel="0" collapsed="false">
      <c r="A1008" s="109" t="n">
        <v>1008</v>
      </c>
      <c r="B1008" s="110" t="str">
        <f aca="false">IFERROR(IF([2]对账明细接口!$B$1008=0,"",[2]对账明细接口!$B$1008),"")</f>
        <v/>
      </c>
      <c r="C1008" s="59" t="str">
        <f aca="false">IFERROR(IF([2]对账明细接口!$C$1008=0,"",[2]对账明细接口!$C$1008),"")</f>
        <v/>
      </c>
      <c r="D1008" s="59" t="str">
        <f aca="false">IFERROR(IF([2]对账明细接口!$D$1008=0,"",[2]对账明细接口!$D$1008),"")</f>
        <v/>
      </c>
      <c r="E1008" s="59" t="str">
        <f aca="false">IFERROR(IF([2]对账明细接口!$E$1008=0,"",[2]对账明细接口!$E$1008),"")</f>
        <v/>
      </c>
      <c r="F1008" s="59" t="str">
        <f aca="false">IFERROR(IF([2]对账明细接口!$F$1008=0,"",[2]对账明细接口!$F$1008),"")</f>
        <v/>
      </c>
      <c r="G1008" s="59" t="str">
        <f aca="false">IFERROR(IF([2]对账明细接口!$G$1008=0,"",[2]对账明细接口!$G$1008),"")</f>
        <v/>
      </c>
      <c r="H1008" s="60" t="str">
        <f aca="false">IFERROR(IF([2]对账明细接口!$H$1008=0,"",[2]对账明细接口!$H$1008),"")</f>
        <v/>
      </c>
      <c r="I1008" s="59" t="str">
        <f aca="false">IFERROR(IF([2]对账明细接口!$I$1008=0,"",[2]对账明细接口!$I$1008),"")</f>
        <v/>
      </c>
      <c r="J1008" s="61" t="str">
        <f aca="false">IFERROR(IF([2]对账明细接口!$J$1008=0,"",[2]对账明细接口!$J$1008),"")</f>
        <v/>
      </c>
      <c r="K1008" s="61" t="str">
        <f aca="false">IFERROR(IF([2]对账明细接口!$K$1008=0,"",[2]对账明细接口!$K$1008),"")</f>
        <v/>
      </c>
      <c r="L1008" s="59" t="str">
        <f aca="false">IFERROR(IF([2]对账明细接口!$L$1008=0,"",[2]对账明细接口!$L$1008),"")</f>
        <v/>
      </c>
      <c r="M1008" s="59" t="str">
        <f aca="false">IFERROR(IF([2]对账明细接口!$M$1008=0,"",[2]对账明细接口!$M$1008),"")</f>
        <v/>
      </c>
      <c r="N1008" s="111" t="n">
        <f aca="false">IF($C1008="",0,1)</f>
        <v>0</v>
      </c>
      <c r="O1008" s="111" t="n">
        <f aca="false">N(O1007)+$N1008</f>
        <v>311</v>
      </c>
      <c r="S1008" s="10" t="str">
        <f aca="false">IFERROR(IF([2]对账明细接口!$N1008=0,"",[2]对账明细接口!$N1008),"")</f>
        <v/>
      </c>
      <c r="T1008" s="112" t="str">
        <f aca="false">IFERROR(IF([2]对账明细接口!$O1008=0,"",[2]对账明细接口!$O1008),"")</f>
        <v/>
      </c>
      <c r="U1008" s="112" t="str">
        <f aca="false">IFERROR(IF([2]对账明细接口!$P1008=0,"",[2]对账明细接口!$P1008),"")</f>
        <v/>
      </c>
      <c r="V1008" s="112" t="str">
        <f aca="false">IFERROR(IF([2]对账明细接口!$Q1008=0,"",[2]对账明细接口!$Q1008),"")</f>
        <v/>
      </c>
      <c r="W1008" s="10" t="str">
        <f aca="false">IFERROR(IF([2]对账明细接口!$R1008=0,"",[2]对账明细接口!$R1008),"")</f>
        <v/>
      </c>
      <c r="X1008" s="10" t="str">
        <f aca="false">IFERROR(IF([2]对账明细接口!$S1008=0,"",[2]对账明细接口!$S1008),"")</f>
        <v/>
      </c>
      <c r="Y1008" s="10" t="str">
        <f aca="false">IFERROR(IF([2]对账明细接口!$T1008=0,"",[2]对账明细接口!$T1008),"")</f>
        <v/>
      </c>
      <c r="Z1008" s="113" t="str">
        <f aca="false">IFERROR(IF([2]对账明细接口!$U1008=0,"",[2]对账明细接口!$U1008),"")</f>
        <v/>
      </c>
      <c r="AA1008" s="113" t="str">
        <f aca="false">IFERROR(IF([2]对账明细接口!$V1008=0,"",[2]对账明细接口!$V1008),"")</f>
        <v/>
      </c>
      <c r="AB1008" s="10" t="str">
        <f aca="false">IFERROR(IF([2]对账明细接口!$W1008=0,"",[2]对账明细接口!$W1008),"")</f>
        <v/>
      </c>
      <c r="AC1008" s="90" t="str">
        <f aca="false">IFERROR(IF([2]对账明细接口!$X1009=0,"",[2]对账明细接口!$X1009),"")</f>
        <v/>
      </c>
      <c r="AD1008" s="90" t="str">
        <f aca="false">IFERROR(IF([2]对账明细接口!$Y1009=0,"",[2]对账明细接口!$Y1009),"")</f>
        <v/>
      </c>
      <c r="AE1008" s="90" t="str">
        <f aca="false">IFERROR(IF([2]对账明细接口!$AA1009=0,"",[2]对账明细接口!$AA1009),"")</f>
        <v/>
      </c>
      <c r="AF1008" s="90" t="str">
        <f aca="false">IFERROR(IF([2]对账明细接口!$AB1009=0,"",[2]对账明细接口!$AB1009),"")</f>
        <v/>
      </c>
      <c r="AG1008" s="90" t="str">
        <f aca="false">IFERROR(IF([2]对账明细接口!$AC1009=0,"",[2]对账明细接口!$AC1009),"")</f>
        <v/>
      </c>
      <c r="AH1008" s="90" t="str">
        <f aca="false">IFERROR(IF([2]对账明细接口!$AD1009=0,"",[2]对账明细接口!$AD1009),"")</f>
        <v/>
      </c>
    </row>
    <row r="1009" customFormat="false" ht="13.5" hidden="false" customHeight="false" outlineLevel="0" collapsed="false">
      <c r="A1009" s="109" t="n">
        <v>1009</v>
      </c>
      <c r="B1009" s="110" t="str">
        <f aca="false">IFERROR(IF([2]对账明细接口!$B$1009=0,"",[2]对账明细接口!$B$1009),"")</f>
        <v/>
      </c>
      <c r="C1009" s="59" t="str">
        <f aca="false">IFERROR(IF([2]对账明细接口!$C$1009=0,"",[2]对账明细接口!$C$1009),"")</f>
        <v/>
      </c>
      <c r="D1009" s="59" t="str">
        <f aca="false">IFERROR(IF([2]对账明细接口!$D$1009=0,"",[2]对账明细接口!$D$1009),"")</f>
        <v/>
      </c>
      <c r="E1009" s="59" t="str">
        <f aca="false">IFERROR(IF([2]对账明细接口!$E$1009=0,"",[2]对账明细接口!$E$1009),"")</f>
        <v/>
      </c>
      <c r="F1009" s="59" t="str">
        <f aca="false">IFERROR(IF([2]对账明细接口!$F$1009=0,"",[2]对账明细接口!$F$1009),"")</f>
        <v/>
      </c>
      <c r="G1009" s="59" t="str">
        <f aca="false">IFERROR(IF([2]对账明细接口!$G$1009=0,"",[2]对账明细接口!$G$1009),"")</f>
        <v/>
      </c>
      <c r="H1009" s="60" t="str">
        <f aca="false">IFERROR(IF([2]对账明细接口!$H$1009=0,"",[2]对账明细接口!$H$1009),"")</f>
        <v/>
      </c>
      <c r="I1009" s="59" t="str">
        <f aca="false">IFERROR(IF([2]对账明细接口!$I$1009=0,"",[2]对账明细接口!$I$1009),"")</f>
        <v/>
      </c>
      <c r="J1009" s="61" t="str">
        <f aca="false">IFERROR(IF([2]对账明细接口!$J$1009=0,"",[2]对账明细接口!$J$1009),"")</f>
        <v/>
      </c>
      <c r="K1009" s="61" t="str">
        <f aca="false">IFERROR(IF([2]对账明细接口!$K$1009=0,"",[2]对账明细接口!$K$1009),"")</f>
        <v/>
      </c>
      <c r="L1009" s="59" t="str">
        <f aca="false">IFERROR(IF([2]对账明细接口!$L$1009=0,"",[2]对账明细接口!$L$1009),"")</f>
        <v/>
      </c>
      <c r="M1009" s="59" t="str">
        <f aca="false">IFERROR(IF([2]对账明细接口!$M$1009=0,"",[2]对账明细接口!$M$1009),"")</f>
        <v/>
      </c>
      <c r="N1009" s="111" t="n">
        <f aca="false">IF($C1009="",0,1)</f>
        <v>0</v>
      </c>
      <c r="O1009" s="111" t="n">
        <f aca="false">N(O1008)+$N1009</f>
        <v>311</v>
      </c>
      <c r="S1009" s="10" t="str">
        <f aca="false">IFERROR(IF([2]对账明细接口!$N1009=0,"",[2]对账明细接口!$N1009),"")</f>
        <v/>
      </c>
      <c r="T1009" s="112" t="str">
        <f aca="false">IFERROR(IF([2]对账明细接口!$O1009=0,"",[2]对账明细接口!$O1009),"")</f>
        <v/>
      </c>
      <c r="U1009" s="112" t="str">
        <f aca="false">IFERROR(IF([2]对账明细接口!$P1009=0,"",[2]对账明细接口!$P1009),"")</f>
        <v/>
      </c>
      <c r="V1009" s="112" t="str">
        <f aca="false">IFERROR(IF([2]对账明细接口!$Q1009=0,"",[2]对账明细接口!$Q1009),"")</f>
        <v/>
      </c>
      <c r="W1009" s="10" t="str">
        <f aca="false">IFERROR(IF([2]对账明细接口!$R1009=0,"",[2]对账明细接口!$R1009),"")</f>
        <v/>
      </c>
      <c r="X1009" s="10" t="str">
        <f aca="false">IFERROR(IF([2]对账明细接口!$S1009=0,"",[2]对账明细接口!$S1009),"")</f>
        <v/>
      </c>
      <c r="Y1009" s="10" t="str">
        <f aca="false">IFERROR(IF([2]对账明细接口!$T1009=0,"",[2]对账明细接口!$T1009),"")</f>
        <v/>
      </c>
      <c r="Z1009" s="113" t="str">
        <f aca="false">IFERROR(IF([2]对账明细接口!$U1009=0,"",[2]对账明细接口!$U1009),"")</f>
        <v/>
      </c>
      <c r="AA1009" s="113" t="str">
        <f aca="false">IFERROR(IF([2]对账明细接口!$V1009=0,"",[2]对账明细接口!$V1009),"")</f>
        <v/>
      </c>
      <c r="AB1009" s="10" t="str">
        <f aca="false">IFERROR(IF([2]对账明细接口!$W1009=0,"",[2]对账明细接口!$W1009),"")</f>
        <v/>
      </c>
      <c r="AC1009" s="90" t="str">
        <f aca="false">IFERROR(IF([2]对账明细接口!$X1010=0,"",[2]对账明细接口!$X1010),"")</f>
        <v/>
      </c>
      <c r="AD1009" s="90" t="str">
        <f aca="false">IFERROR(IF([2]对账明细接口!$Y1010=0,"",[2]对账明细接口!$Y1010),"")</f>
        <v/>
      </c>
      <c r="AE1009" s="90" t="str">
        <f aca="false">IFERROR(IF([2]对账明细接口!$AA1010=0,"",[2]对账明细接口!$AA1010),"")</f>
        <v/>
      </c>
      <c r="AF1009" s="90" t="str">
        <f aca="false">IFERROR(IF([2]对账明细接口!$AB1010=0,"",[2]对账明细接口!$AB1010),"")</f>
        <v/>
      </c>
      <c r="AG1009" s="90" t="str">
        <f aca="false">IFERROR(IF([2]对账明细接口!$AC1010=0,"",[2]对账明细接口!$AC1010),"")</f>
        <v/>
      </c>
      <c r="AH1009" s="90" t="str">
        <f aca="false">IFERROR(IF([2]对账明细接口!$AD1010=0,"",[2]对账明细接口!$AD1010),"")</f>
        <v/>
      </c>
    </row>
    <row r="1010" customFormat="false" ht="13.5" hidden="false" customHeight="false" outlineLevel="0" collapsed="false">
      <c r="A1010" s="109" t="n">
        <v>1010</v>
      </c>
      <c r="B1010" s="110" t="str">
        <f aca="false">IFERROR(IF([2]对账明细接口!$B$1010=0,"",[2]对账明细接口!$B$1010),"")</f>
        <v/>
      </c>
      <c r="C1010" s="59" t="str">
        <f aca="false">IFERROR(IF([2]对账明细接口!$C$1010=0,"",[2]对账明细接口!$C$1010),"")</f>
        <v/>
      </c>
      <c r="D1010" s="59" t="str">
        <f aca="false">IFERROR(IF([2]对账明细接口!$D$1010=0,"",[2]对账明细接口!$D$1010),"")</f>
        <v/>
      </c>
      <c r="E1010" s="59" t="str">
        <f aca="false">IFERROR(IF([2]对账明细接口!$E$1010=0,"",[2]对账明细接口!$E$1010),"")</f>
        <v/>
      </c>
      <c r="F1010" s="59" t="str">
        <f aca="false">IFERROR(IF([2]对账明细接口!$F$1010=0,"",[2]对账明细接口!$F$1010),"")</f>
        <v/>
      </c>
      <c r="G1010" s="59" t="str">
        <f aca="false">IFERROR(IF([2]对账明细接口!$G$1010=0,"",[2]对账明细接口!$G$1010),"")</f>
        <v/>
      </c>
      <c r="H1010" s="60" t="str">
        <f aca="false">IFERROR(IF([2]对账明细接口!$H$1010=0,"",[2]对账明细接口!$H$1010),"")</f>
        <v/>
      </c>
      <c r="I1010" s="59" t="str">
        <f aca="false">IFERROR(IF([2]对账明细接口!$I$1010=0,"",[2]对账明细接口!$I$1010),"")</f>
        <v/>
      </c>
      <c r="J1010" s="61" t="str">
        <f aca="false">IFERROR(IF([2]对账明细接口!$J$1010=0,"",[2]对账明细接口!$J$1010),"")</f>
        <v/>
      </c>
      <c r="K1010" s="61" t="str">
        <f aca="false">IFERROR(IF([2]对账明细接口!$K$1010=0,"",[2]对账明细接口!$K$1010),"")</f>
        <v/>
      </c>
      <c r="L1010" s="59" t="str">
        <f aca="false">IFERROR(IF([2]对账明细接口!$L$1010=0,"",[2]对账明细接口!$L$1010),"")</f>
        <v/>
      </c>
      <c r="M1010" s="59" t="str">
        <f aca="false">IFERROR(IF([2]对账明细接口!$M$1010=0,"",[2]对账明细接口!$M$1010),"")</f>
        <v/>
      </c>
      <c r="N1010" s="111" t="n">
        <f aca="false">IF($C1010="",0,1)</f>
        <v>0</v>
      </c>
      <c r="O1010" s="111" t="n">
        <f aca="false">N(O1009)+$N1010</f>
        <v>311</v>
      </c>
      <c r="S1010" s="10" t="str">
        <f aca="false">IFERROR(IF([2]对账明细接口!$N1010=0,"",[2]对账明细接口!$N1010),"")</f>
        <v/>
      </c>
      <c r="T1010" s="112" t="str">
        <f aca="false">IFERROR(IF([2]对账明细接口!$O1010=0,"",[2]对账明细接口!$O1010),"")</f>
        <v/>
      </c>
      <c r="U1010" s="112" t="str">
        <f aca="false">IFERROR(IF([2]对账明细接口!$P1010=0,"",[2]对账明细接口!$P1010),"")</f>
        <v/>
      </c>
      <c r="V1010" s="112" t="str">
        <f aca="false">IFERROR(IF([2]对账明细接口!$Q1010=0,"",[2]对账明细接口!$Q1010),"")</f>
        <v/>
      </c>
      <c r="W1010" s="10" t="str">
        <f aca="false">IFERROR(IF([2]对账明细接口!$R1010=0,"",[2]对账明细接口!$R1010),"")</f>
        <v/>
      </c>
      <c r="X1010" s="10" t="str">
        <f aca="false">IFERROR(IF([2]对账明细接口!$S1010=0,"",[2]对账明细接口!$S1010),"")</f>
        <v/>
      </c>
      <c r="Y1010" s="10" t="str">
        <f aca="false">IFERROR(IF([2]对账明细接口!$T1010=0,"",[2]对账明细接口!$T1010),"")</f>
        <v/>
      </c>
      <c r="Z1010" s="113" t="str">
        <f aca="false">IFERROR(IF([2]对账明细接口!$U1010=0,"",[2]对账明细接口!$U1010),"")</f>
        <v/>
      </c>
      <c r="AA1010" s="113" t="str">
        <f aca="false">IFERROR(IF([2]对账明细接口!$V1010=0,"",[2]对账明细接口!$V1010),"")</f>
        <v/>
      </c>
      <c r="AB1010" s="10" t="str">
        <f aca="false">IFERROR(IF([2]对账明细接口!$W1010=0,"",[2]对账明细接口!$W1010),"")</f>
        <v/>
      </c>
      <c r="AC1010" s="90" t="str">
        <f aca="false">IFERROR(IF([2]对账明细接口!$X1011=0,"",[2]对账明细接口!$X1011),"")</f>
        <v/>
      </c>
      <c r="AD1010" s="90" t="str">
        <f aca="false">IFERROR(IF([2]对账明细接口!$Y1011=0,"",[2]对账明细接口!$Y1011),"")</f>
        <v/>
      </c>
      <c r="AE1010" s="90" t="str">
        <f aca="false">IFERROR(IF([2]对账明细接口!$AA1011=0,"",[2]对账明细接口!$AA1011),"")</f>
        <v/>
      </c>
      <c r="AF1010" s="90" t="str">
        <f aca="false">IFERROR(IF([2]对账明细接口!$AB1011=0,"",[2]对账明细接口!$AB1011),"")</f>
        <v/>
      </c>
      <c r="AG1010" s="90" t="str">
        <f aca="false">IFERROR(IF([2]对账明细接口!$AC1011=0,"",[2]对账明细接口!$AC1011),"")</f>
        <v/>
      </c>
      <c r="AH1010" s="90" t="str">
        <f aca="false">IFERROR(IF([2]对账明细接口!$AD1011=0,"",[2]对账明细接口!$AD1011),"")</f>
        <v/>
      </c>
    </row>
    <row r="1011" customFormat="false" ht="13.5" hidden="false" customHeight="false" outlineLevel="0" collapsed="false">
      <c r="A1011" s="109" t="n">
        <v>1011</v>
      </c>
      <c r="B1011" s="110" t="str">
        <f aca="false">IFERROR(IF([2]对账明细接口!$B$1011=0,"",[2]对账明细接口!$B$1011),"")</f>
        <v/>
      </c>
      <c r="C1011" s="59" t="str">
        <f aca="false">IFERROR(IF([2]对账明细接口!$C$1011=0,"",[2]对账明细接口!$C$1011),"")</f>
        <v/>
      </c>
      <c r="D1011" s="59" t="str">
        <f aca="false">IFERROR(IF([2]对账明细接口!$D$1011=0,"",[2]对账明细接口!$D$1011),"")</f>
        <v/>
      </c>
      <c r="E1011" s="59" t="str">
        <f aca="false">IFERROR(IF([2]对账明细接口!$E$1011=0,"",[2]对账明细接口!$E$1011),"")</f>
        <v/>
      </c>
      <c r="F1011" s="59" t="str">
        <f aca="false">IFERROR(IF([2]对账明细接口!$F$1011=0,"",[2]对账明细接口!$F$1011),"")</f>
        <v/>
      </c>
      <c r="G1011" s="59" t="str">
        <f aca="false">IFERROR(IF([2]对账明细接口!$G$1011=0,"",[2]对账明细接口!$G$1011),"")</f>
        <v/>
      </c>
      <c r="H1011" s="60" t="str">
        <f aca="false">IFERROR(IF([2]对账明细接口!$H$1011=0,"",[2]对账明细接口!$H$1011),"")</f>
        <v/>
      </c>
      <c r="I1011" s="59" t="str">
        <f aca="false">IFERROR(IF([2]对账明细接口!$I$1011=0,"",[2]对账明细接口!$I$1011),"")</f>
        <v/>
      </c>
      <c r="J1011" s="61" t="str">
        <f aca="false">IFERROR(IF([2]对账明细接口!$J$1011=0,"",[2]对账明细接口!$J$1011),"")</f>
        <v/>
      </c>
      <c r="K1011" s="61" t="str">
        <f aca="false">IFERROR(IF([2]对账明细接口!$K$1011=0,"",[2]对账明细接口!$K$1011),"")</f>
        <v/>
      </c>
      <c r="L1011" s="59" t="str">
        <f aca="false">IFERROR(IF([2]对账明细接口!$L$1011=0,"",[2]对账明细接口!$L$1011),"")</f>
        <v/>
      </c>
      <c r="M1011" s="59" t="str">
        <f aca="false">IFERROR(IF([2]对账明细接口!$M$1011=0,"",[2]对账明细接口!$M$1011),"")</f>
        <v/>
      </c>
      <c r="N1011" s="111" t="n">
        <f aca="false">IF($C1011="",0,1)</f>
        <v>0</v>
      </c>
      <c r="O1011" s="111" t="n">
        <f aca="false">N(O1010)+$N1011</f>
        <v>311</v>
      </c>
      <c r="S1011" s="10" t="str">
        <f aca="false">IFERROR(IF([2]对账明细接口!$N1011=0,"",[2]对账明细接口!$N1011),"")</f>
        <v/>
      </c>
      <c r="T1011" s="112" t="str">
        <f aca="false">IFERROR(IF([2]对账明细接口!$O1011=0,"",[2]对账明细接口!$O1011),"")</f>
        <v/>
      </c>
      <c r="U1011" s="112" t="str">
        <f aca="false">IFERROR(IF([2]对账明细接口!$P1011=0,"",[2]对账明细接口!$P1011),"")</f>
        <v/>
      </c>
      <c r="V1011" s="112" t="str">
        <f aca="false">IFERROR(IF([2]对账明细接口!$Q1011=0,"",[2]对账明细接口!$Q1011),"")</f>
        <v/>
      </c>
      <c r="W1011" s="10" t="str">
        <f aca="false">IFERROR(IF([2]对账明细接口!$R1011=0,"",[2]对账明细接口!$R1011),"")</f>
        <v/>
      </c>
      <c r="X1011" s="10" t="str">
        <f aca="false">IFERROR(IF([2]对账明细接口!$S1011=0,"",[2]对账明细接口!$S1011),"")</f>
        <v/>
      </c>
      <c r="Y1011" s="10" t="str">
        <f aca="false">IFERROR(IF([2]对账明细接口!$T1011=0,"",[2]对账明细接口!$T1011),"")</f>
        <v/>
      </c>
      <c r="Z1011" s="113" t="str">
        <f aca="false">IFERROR(IF([2]对账明细接口!$U1011=0,"",[2]对账明细接口!$U1011),"")</f>
        <v/>
      </c>
      <c r="AA1011" s="113" t="str">
        <f aca="false">IFERROR(IF([2]对账明细接口!$V1011=0,"",[2]对账明细接口!$V1011),"")</f>
        <v/>
      </c>
      <c r="AB1011" s="10" t="str">
        <f aca="false">IFERROR(IF([2]对账明细接口!$W1011=0,"",[2]对账明细接口!$W1011),"")</f>
        <v/>
      </c>
      <c r="AC1011" s="90" t="str">
        <f aca="false">IFERROR(IF([2]对账明细接口!$X1012=0,"",[2]对账明细接口!$X1012),"")</f>
        <v/>
      </c>
      <c r="AD1011" s="90" t="str">
        <f aca="false">IFERROR(IF([2]对账明细接口!$Y1012=0,"",[2]对账明细接口!$Y1012),"")</f>
        <v/>
      </c>
      <c r="AE1011" s="90" t="str">
        <f aca="false">IFERROR(IF([2]对账明细接口!$AA1012=0,"",[2]对账明细接口!$AA1012),"")</f>
        <v/>
      </c>
      <c r="AF1011" s="90" t="str">
        <f aca="false">IFERROR(IF([2]对账明细接口!$AB1012=0,"",[2]对账明细接口!$AB1012),"")</f>
        <v/>
      </c>
      <c r="AG1011" s="90" t="str">
        <f aca="false">IFERROR(IF([2]对账明细接口!$AC1012=0,"",[2]对账明细接口!$AC1012),"")</f>
        <v/>
      </c>
      <c r="AH1011" s="90" t="str">
        <f aca="false">IFERROR(IF([2]对账明细接口!$AD1012=0,"",[2]对账明细接口!$AD1012),"")</f>
        <v/>
      </c>
    </row>
    <row r="1012" customFormat="false" ht="13.5" hidden="false" customHeight="false" outlineLevel="0" collapsed="false">
      <c r="A1012" s="109" t="n">
        <v>1012</v>
      </c>
      <c r="B1012" s="110" t="str">
        <f aca="false">IFERROR(IF([2]对账明细接口!$B$1012=0,"",[2]对账明细接口!$B$1012),"")</f>
        <v/>
      </c>
      <c r="C1012" s="59" t="str">
        <f aca="false">IFERROR(IF([2]对账明细接口!$C$1012=0,"",[2]对账明细接口!$C$1012),"")</f>
        <v/>
      </c>
      <c r="D1012" s="59" t="str">
        <f aca="false">IFERROR(IF([2]对账明细接口!$D$1012=0,"",[2]对账明细接口!$D$1012),"")</f>
        <v/>
      </c>
      <c r="E1012" s="59" t="str">
        <f aca="false">IFERROR(IF([2]对账明细接口!$E$1012=0,"",[2]对账明细接口!$E$1012),"")</f>
        <v/>
      </c>
      <c r="F1012" s="59" t="str">
        <f aca="false">IFERROR(IF([2]对账明细接口!$F$1012=0,"",[2]对账明细接口!$F$1012),"")</f>
        <v/>
      </c>
      <c r="G1012" s="59" t="str">
        <f aca="false">IFERROR(IF([2]对账明细接口!$G$1012=0,"",[2]对账明细接口!$G$1012),"")</f>
        <v/>
      </c>
      <c r="H1012" s="60" t="str">
        <f aca="false">IFERROR(IF([2]对账明细接口!$H$1012=0,"",[2]对账明细接口!$H$1012),"")</f>
        <v/>
      </c>
      <c r="I1012" s="59" t="str">
        <f aca="false">IFERROR(IF([2]对账明细接口!$I$1012=0,"",[2]对账明细接口!$I$1012),"")</f>
        <v/>
      </c>
      <c r="J1012" s="61" t="str">
        <f aca="false">IFERROR(IF([2]对账明细接口!$J$1012=0,"",[2]对账明细接口!$J$1012),"")</f>
        <v/>
      </c>
      <c r="K1012" s="61" t="str">
        <f aca="false">IFERROR(IF([2]对账明细接口!$K$1012=0,"",[2]对账明细接口!$K$1012),"")</f>
        <v/>
      </c>
      <c r="L1012" s="59" t="str">
        <f aca="false">IFERROR(IF([2]对账明细接口!$L$1012=0,"",[2]对账明细接口!$L$1012),"")</f>
        <v/>
      </c>
      <c r="M1012" s="59" t="str">
        <f aca="false">IFERROR(IF([2]对账明细接口!$M$1012=0,"",[2]对账明细接口!$M$1012),"")</f>
        <v/>
      </c>
      <c r="N1012" s="111" t="n">
        <f aca="false">IF($C1012="",0,1)</f>
        <v>0</v>
      </c>
      <c r="O1012" s="111" t="n">
        <f aca="false">N(O1011)+$N1012</f>
        <v>311</v>
      </c>
      <c r="S1012" s="10" t="str">
        <f aca="false">IFERROR(IF([2]对账明细接口!$N1012=0,"",[2]对账明细接口!$N1012),"")</f>
        <v/>
      </c>
      <c r="T1012" s="112" t="str">
        <f aca="false">IFERROR(IF([2]对账明细接口!$O1012=0,"",[2]对账明细接口!$O1012),"")</f>
        <v/>
      </c>
      <c r="U1012" s="112" t="str">
        <f aca="false">IFERROR(IF([2]对账明细接口!$P1012=0,"",[2]对账明细接口!$P1012),"")</f>
        <v/>
      </c>
      <c r="V1012" s="112" t="str">
        <f aca="false">IFERROR(IF([2]对账明细接口!$Q1012=0,"",[2]对账明细接口!$Q1012),"")</f>
        <v/>
      </c>
      <c r="W1012" s="10" t="str">
        <f aca="false">IFERROR(IF([2]对账明细接口!$R1012=0,"",[2]对账明细接口!$R1012),"")</f>
        <v/>
      </c>
      <c r="X1012" s="10" t="str">
        <f aca="false">IFERROR(IF([2]对账明细接口!$S1012=0,"",[2]对账明细接口!$S1012),"")</f>
        <v/>
      </c>
      <c r="Y1012" s="10" t="str">
        <f aca="false">IFERROR(IF([2]对账明细接口!$T1012=0,"",[2]对账明细接口!$T1012),"")</f>
        <v/>
      </c>
      <c r="Z1012" s="113" t="str">
        <f aca="false">IFERROR(IF([2]对账明细接口!$U1012=0,"",[2]对账明细接口!$U1012),"")</f>
        <v/>
      </c>
      <c r="AA1012" s="113" t="str">
        <f aca="false">IFERROR(IF([2]对账明细接口!$V1012=0,"",[2]对账明细接口!$V1012),"")</f>
        <v/>
      </c>
      <c r="AB1012" s="10" t="str">
        <f aca="false">IFERROR(IF([2]对账明细接口!$W1012=0,"",[2]对账明细接口!$W1012),"")</f>
        <v/>
      </c>
      <c r="AC1012" s="90" t="str">
        <f aca="false">IFERROR(IF([2]对账明细接口!$X1013=0,"",[2]对账明细接口!$X1013),"")</f>
        <v/>
      </c>
      <c r="AD1012" s="90" t="str">
        <f aca="false">IFERROR(IF([2]对账明细接口!$Y1013=0,"",[2]对账明细接口!$Y1013),"")</f>
        <v/>
      </c>
      <c r="AE1012" s="90" t="str">
        <f aca="false">IFERROR(IF([2]对账明细接口!$AA1013=0,"",[2]对账明细接口!$AA1013),"")</f>
        <v/>
      </c>
      <c r="AF1012" s="90" t="str">
        <f aca="false">IFERROR(IF([2]对账明细接口!$AB1013=0,"",[2]对账明细接口!$AB1013),"")</f>
        <v/>
      </c>
      <c r="AG1012" s="90" t="str">
        <f aca="false">IFERROR(IF([2]对账明细接口!$AC1013=0,"",[2]对账明细接口!$AC1013),"")</f>
        <v/>
      </c>
      <c r="AH1012" s="90" t="str">
        <f aca="false">IFERROR(IF([2]对账明细接口!$AD1013=0,"",[2]对账明细接口!$AD1013),"")</f>
        <v/>
      </c>
    </row>
    <row r="1013" customFormat="false" ht="13.5" hidden="false" customHeight="false" outlineLevel="0" collapsed="false">
      <c r="A1013" s="109" t="n">
        <v>1013</v>
      </c>
      <c r="B1013" s="110" t="str">
        <f aca="false">IFERROR(IF([2]对账明细接口!$B$1013=0,"",[2]对账明细接口!$B$1013),"")</f>
        <v/>
      </c>
      <c r="C1013" s="59" t="str">
        <f aca="false">IFERROR(IF([2]对账明细接口!$C$1013=0,"",[2]对账明细接口!$C$1013),"")</f>
        <v/>
      </c>
      <c r="D1013" s="59" t="str">
        <f aca="false">IFERROR(IF([2]对账明细接口!$D$1013=0,"",[2]对账明细接口!$D$1013),"")</f>
        <v/>
      </c>
      <c r="E1013" s="59" t="str">
        <f aca="false">IFERROR(IF([2]对账明细接口!$E$1013=0,"",[2]对账明细接口!$E$1013),"")</f>
        <v/>
      </c>
      <c r="F1013" s="59" t="str">
        <f aca="false">IFERROR(IF([2]对账明细接口!$F$1013=0,"",[2]对账明细接口!$F$1013),"")</f>
        <v/>
      </c>
      <c r="G1013" s="59" t="str">
        <f aca="false">IFERROR(IF([2]对账明细接口!$G$1013=0,"",[2]对账明细接口!$G$1013),"")</f>
        <v/>
      </c>
      <c r="H1013" s="60" t="str">
        <f aca="false">IFERROR(IF([2]对账明细接口!$H$1013=0,"",[2]对账明细接口!$H$1013),"")</f>
        <v/>
      </c>
      <c r="I1013" s="59" t="str">
        <f aca="false">IFERROR(IF([2]对账明细接口!$I$1013=0,"",[2]对账明细接口!$I$1013),"")</f>
        <v/>
      </c>
      <c r="J1013" s="61" t="str">
        <f aca="false">IFERROR(IF([2]对账明细接口!$J$1013=0,"",[2]对账明细接口!$J$1013),"")</f>
        <v/>
      </c>
      <c r="K1013" s="61" t="str">
        <f aca="false">IFERROR(IF([2]对账明细接口!$K$1013=0,"",[2]对账明细接口!$K$1013),"")</f>
        <v/>
      </c>
      <c r="L1013" s="59" t="str">
        <f aca="false">IFERROR(IF([2]对账明细接口!$L$1013=0,"",[2]对账明细接口!$L$1013),"")</f>
        <v/>
      </c>
      <c r="M1013" s="59" t="str">
        <f aca="false">IFERROR(IF([2]对账明细接口!$M$1013=0,"",[2]对账明细接口!$M$1013),"")</f>
        <v/>
      </c>
      <c r="N1013" s="111" t="n">
        <f aca="false">IF($C1013="",0,1)</f>
        <v>0</v>
      </c>
      <c r="O1013" s="111" t="n">
        <f aca="false">N(O1012)+$N1013</f>
        <v>311</v>
      </c>
      <c r="S1013" s="10" t="str">
        <f aca="false">IFERROR(IF([2]对账明细接口!$N1013=0,"",[2]对账明细接口!$N1013),"")</f>
        <v/>
      </c>
      <c r="T1013" s="112" t="str">
        <f aca="false">IFERROR(IF([2]对账明细接口!$O1013=0,"",[2]对账明细接口!$O1013),"")</f>
        <v/>
      </c>
      <c r="U1013" s="112" t="str">
        <f aca="false">IFERROR(IF([2]对账明细接口!$P1013=0,"",[2]对账明细接口!$P1013),"")</f>
        <v/>
      </c>
      <c r="V1013" s="112" t="str">
        <f aca="false">IFERROR(IF([2]对账明细接口!$Q1013=0,"",[2]对账明细接口!$Q1013),"")</f>
        <v/>
      </c>
      <c r="W1013" s="10" t="str">
        <f aca="false">IFERROR(IF([2]对账明细接口!$R1013=0,"",[2]对账明细接口!$R1013),"")</f>
        <v/>
      </c>
      <c r="X1013" s="10" t="str">
        <f aca="false">IFERROR(IF([2]对账明细接口!$S1013=0,"",[2]对账明细接口!$S1013),"")</f>
        <v/>
      </c>
      <c r="Y1013" s="10" t="str">
        <f aca="false">IFERROR(IF([2]对账明细接口!$T1013=0,"",[2]对账明细接口!$T1013),"")</f>
        <v/>
      </c>
      <c r="Z1013" s="113" t="str">
        <f aca="false">IFERROR(IF([2]对账明细接口!$U1013=0,"",[2]对账明细接口!$U1013),"")</f>
        <v/>
      </c>
      <c r="AA1013" s="113" t="str">
        <f aca="false">IFERROR(IF([2]对账明细接口!$V1013=0,"",[2]对账明细接口!$V1013),"")</f>
        <v/>
      </c>
      <c r="AB1013" s="10" t="str">
        <f aca="false">IFERROR(IF([2]对账明细接口!$W1013=0,"",[2]对账明细接口!$W1013),"")</f>
        <v/>
      </c>
      <c r="AC1013" s="90" t="str">
        <f aca="false">IFERROR(IF([2]对账明细接口!$X1014=0,"",[2]对账明细接口!$X1014),"")</f>
        <v/>
      </c>
      <c r="AD1013" s="90" t="str">
        <f aca="false">IFERROR(IF([2]对账明细接口!$Y1014=0,"",[2]对账明细接口!$Y1014),"")</f>
        <v/>
      </c>
      <c r="AE1013" s="90" t="str">
        <f aca="false">IFERROR(IF([2]对账明细接口!$AA1014=0,"",[2]对账明细接口!$AA1014),"")</f>
        <v/>
      </c>
      <c r="AF1013" s="90" t="str">
        <f aca="false">IFERROR(IF([2]对账明细接口!$AB1014=0,"",[2]对账明细接口!$AB1014),"")</f>
        <v/>
      </c>
      <c r="AG1013" s="90" t="str">
        <f aca="false">IFERROR(IF([2]对账明细接口!$AC1014=0,"",[2]对账明细接口!$AC1014),"")</f>
        <v/>
      </c>
      <c r="AH1013" s="90" t="str">
        <f aca="false">IFERROR(IF([2]对账明细接口!$AD1014=0,"",[2]对账明细接口!$AD1014),"")</f>
        <v/>
      </c>
    </row>
    <row r="1014" customFormat="false" ht="13.5" hidden="false" customHeight="false" outlineLevel="0" collapsed="false">
      <c r="A1014" s="109" t="n">
        <v>1014</v>
      </c>
      <c r="B1014" s="110" t="str">
        <f aca="false">IFERROR(IF([2]对账明细接口!$B$1014=0,"",[2]对账明细接口!$B$1014),"")</f>
        <v/>
      </c>
      <c r="C1014" s="59" t="str">
        <f aca="false">IFERROR(IF([2]对账明细接口!$C$1014=0,"",[2]对账明细接口!$C$1014),"")</f>
        <v/>
      </c>
      <c r="D1014" s="59" t="str">
        <f aca="false">IFERROR(IF([2]对账明细接口!$D$1014=0,"",[2]对账明细接口!$D$1014),"")</f>
        <v/>
      </c>
      <c r="E1014" s="59" t="str">
        <f aca="false">IFERROR(IF([2]对账明细接口!$E$1014=0,"",[2]对账明细接口!$E$1014),"")</f>
        <v/>
      </c>
      <c r="F1014" s="59" t="str">
        <f aca="false">IFERROR(IF([2]对账明细接口!$F$1014=0,"",[2]对账明细接口!$F$1014),"")</f>
        <v/>
      </c>
      <c r="G1014" s="59" t="str">
        <f aca="false">IFERROR(IF([2]对账明细接口!$G$1014=0,"",[2]对账明细接口!$G$1014),"")</f>
        <v/>
      </c>
      <c r="H1014" s="60" t="str">
        <f aca="false">IFERROR(IF([2]对账明细接口!$H$1014=0,"",[2]对账明细接口!$H$1014),"")</f>
        <v/>
      </c>
      <c r="I1014" s="59" t="str">
        <f aca="false">IFERROR(IF([2]对账明细接口!$I$1014=0,"",[2]对账明细接口!$I$1014),"")</f>
        <v/>
      </c>
      <c r="J1014" s="61" t="str">
        <f aca="false">IFERROR(IF([2]对账明细接口!$J$1014=0,"",[2]对账明细接口!$J$1014),"")</f>
        <v/>
      </c>
      <c r="K1014" s="61" t="str">
        <f aca="false">IFERROR(IF([2]对账明细接口!$K$1014=0,"",[2]对账明细接口!$K$1014),"")</f>
        <v/>
      </c>
      <c r="L1014" s="59" t="str">
        <f aca="false">IFERROR(IF([2]对账明细接口!$L$1014=0,"",[2]对账明细接口!$L$1014),"")</f>
        <v/>
      </c>
      <c r="M1014" s="59" t="str">
        <f aca="false">IFERROR(IF([2]对账明细接口!$M$1014=0,"",[2]对账明细接口!$M$1014),"")</f>
        <v/>
      </c>
      <c r="N1014" s="111" t="n">
        <f aca="false">IF($C1014="",0,1)</f>
        <v>0</v>
      </c>
      <c r="O1014" s="111" t="n">
        <f aca="false">N(O1013)+$N1014</f>
        <v>311</v>
      </c>
      <c r="S1014" s="10" t="str">
        <f aca="false">IFERROR(IF([2]对账明细接口!$N1014=0,"",[2]对账明细接口!$N1014),"")</f>
        <v/>
      </c>
      <c r="T1014" s="112" t="str">
        <f aca="false">IFERROR(IF([2]对账明细接口!$O1014=0,"",[2]对账明细接口!$O1014),"")</f>
        <v/>
      </c>
      <c r="U1014" s="112" t="str">
        <f aca="false">IFERROR(IF([2]对账明细接口!$P1014=0,"",[2]对账明细接口!$P1014),"")</f>
        <v/>
      </c>
      <c r="V1014" s="112" t="str">
        <f aca="false">IFERROR(IF([2]对账明细接口!$Q1014=0,"",[2]对账明细接口!$Q1014),"")</f>
        <v/>
      </c>
      <c r="W1014" s="10" t="str">
        <f aca="false">IFERROR(IF([2]对账明细接口!$R1014=0,"",[2]对账明细接口!$R1014),"")</f>
        <v/>
      </c>
      <c r="X1014" s="10" t="str">
        <f aca="false">IFERROR(IF([2]对账明细接口!$S1014=0,"",[2]对账明细接口!$S1014),"")</f>
        <v/>
      </c>
      <c r="Y1014" s="10" t="str">
        <f aca="false">IFERROR(IF([2]对账明细接口!$T1014=0,"",[2]对账明细接口!$T1014),"")</f>
        <v/>
      </c>
      <c r="Z1014" s="113" t="str">
        <f aca="false">IFERROR(IF([2]对账明细接口!$U1014=0,"",[2]对账明细接口!$U1014),"")</f>
        <v/>
      </c>
      <c r="AA1014" s="113" t="str">
        <f aca="false">IFERROR(IF([2]对账明细接口!$V1014=0,"",[2]对账明细接口!$V1014),"")</f>
        <v/>
      </c>
      <c r="AB1014" s="10" t="str">
        <f aca="false">IFERROR(IF([2]对账明细接口!$W1014=0,"",[2]对账明细接口!$W1014),"")</f>
        <v/>
      </c>
      <c r="AC1014" s="90" t="str">
        <f aca="false">IFERROR(IF([2]对账明细接口!$X1015=0,"",[2]对账明细接口!$X1015),"")</f>
        <v/>
      </c>
      <c r="AD1014" s="90" t="str">
        <f aca="false">IFERROR(IF([2]对账明细接口!$Y1015=0,"",[2]对账明细接口!$Y1015),"")</f>
        <v/>
      </c>
      <c r="AE1014" s="90" t="str">
        <f aca="false">IFERROR(IF([2]对账明细接口!$AA1015=0,"",[2]对账明细接口!$AA1015),"")</f>
        <v/>
      </c>
      <c r="AF1014" s="90" t="str">
        <f aca="false">IFERROR(IF([2]对账明细接口!$AB1015=0,"",[2]对账明细接口!$AB1015),"")</f>
        <v/>
      </c>
      <c r="AG1014" s="90" t="str">
        <f aca="false">IFERROR(IF([2]对账明细接口!$AC1015=0,"",[2]对账明细接口!$AC1015),"")</f>
        <v/>
      </c>
      <c r="AH1014" s="90" t="str">
        <f aca="false">IFERROR(IF([2]对账明细接口!$AD1015=0,"",[2]对账明细接口!$AD1015),"")</f>
        <v/>
      </c>
    </row>
    <row r="1015" customFormat="false" ht="13.5" hidden="false" customHeight="false" outlineLevel="0" collapsed="false">
      <c r="A1015" s="109" t="n">
        <v>1015</v>
      </c>
      <c r="B1015" s="110" t="str">
        <f aca="false">IFERROR(IF([2]对账明细接口!$B$1015=0,"",[2]对账明细接口!$B$1015),"")</f>
        <v/>
      </c>
      <c r="C1015" s="59" t="str">
        <f aca="false">IFERROR(IF([2]对账明细接口!$C$1015=0,"",[2]对账明细接口!$C$1015),"")</f>
        <v/>
      </c>
      <c r="D1015" s="59" t="str">
        <f aca="false">IFERROR(IF([2]对账明细接口!$D$1015=0,"",[2]对账明细接口!$D$1015),"")</f>
        <v/>
      </c>
      <c r="E1015" s="59" t="str">
        <f aca="false">IFERROR(IF([2]对账明细接口!$E$1015=0,"",[2]对账明细接口!$E$1015),"")</f>
        <v/>
      </c>
      <c r="F1015" s="59" t="str">
        <f aca="false">IFERROR(IF([2]对账明细接口!$F$1015=0,"",[2]对账明细接口!$F$1015),"")</f>
        <v/>
      </c>
      <c r="G1015" s="59" t="str">
        <f aca="false">IFERROR(IF([2]对账明细接口!$G$1015=0,"",[2]对账明细接口!$G$1015),"")</f>
        <v/>
      </c>
      <c r="H1015" s="60" t="str">
        <f aca="false">IFERROR(IF([2]对账明细接口!$H$1015=0,"",[2]对账明细接口!$H$1015),"")</f>
        <v/>
      </c>
      <c r="I1015" s="59" t="str">
        <f aca="false">IFERROR(IF([2]对账明细接口!$I$1015=0,"",[2]对账明细接口!$I$1015),"")</f>
        <v/>
      </c>
      <c r="J1015" s="61" t="str">
        <f aca="false">IFERROR(IF([2]对账明细接口!$J$1015=0,"",[2]对账明细接口!$J$1015),"")</f>
        <v/>
      </c>
      <c r="K1015" s="61" t="str">
        <f aca="false">IFERROR(IF([2]对账明细接口!$K$1015=0,"",[2]对账明细接口!$K$1015),"")</f>
        <v/>
      </c>
      <c r="L1015" s="59" t="str">
        <f aca="false">IFERROR(IF([2]对账明细接口!$L$1015=0,"",[2]对账明细接口!$L$1015),"")</f>
        <v/>
      </c>
      <c r="M1015" s="59" t="str">
        <f aca="false">IFERROR(IF([2]对账明细接口!$M$1015=0,"",[2]对账明细接口!$M$1015),"")</f>
        <v/>
      </c>
      <c r="N1015" s="111" t="n">
        <f aca="false">IF($C1015="",0,1)</f>
        <v>0</v>
      </c>
      <c r="O1015" s="111" t="n">
        <f aca="false">N(O1014)+$N1015</f>
        <v>311</v>
      </c>
      <c r="S1015" s="10" t="str">
        <f aca="false">IFERROR(IF([2]对账明细接口!$N1015=0,"",[2]对账明细接口!$N1015),"")</f>
        <v/>
      </c>
      <c r="T1015" s="112" t="str">
        <f aca="false">IFERROR(IF([2]对账明细接口!$O1015=0,"",[2]对账明细接口!$O1015),"")</f>
        <v/>
      </c>
      <c r="U1015" s="112" t="str">
        <f aca="false">IFERROR(IF([2]对账明细接口!$P1015=0,"",[2]对账明细接口!$P1015),"")</f>
        <v/>
      </c>
      <c r="V1015" s="112" t="str">
        <f aca="false">IFERROR(IF([2]对账明细接口!$Q1015=0,"",[2]对账明细接口!$Q1015),"")</f>
        <v/>
      </c>
      <c r="W1015" s="10" t="str">
        <f aca="false">IFERROR(IF([2]对账明细接口!$R1015=0,"",[2]对账明细接口!$R1015),"")</f>
        <v/>
      </c>
      <c r="X1015" s="10" t="str">
        <f aca="false">IFERROR(IF([2]对账明细接口!$S1015=0,"",[2]对账明细接口!$S1015),"")</f>
        <v/>
      </c>
      <c r="Y1015" s="10" t="str">
        <f aca="false">IFERROR(IF([2]对账明细接口!$T1015=0,"",[2]对账明细接口!$T1015),"")</f>
        <v/>
      </c>
      <c r="Z1015" s="113" t="str">
        <f aca="false">IFERROR(IF([2]对账明细接口!$U1015=0,"",[2]对账明细接口!$U1015),"")</f>
        <v/>
      </c>
      <c r="AA1015" s="113" t="str">
        <f aca="false">IFERROR(IF([2]对账明细接口!$V1015=0,"",[2]对账明细接口!$V1015),"")</f>
        <v/>
      </c>
      <c r="AB1015" s="10" t="str">
        <f aca="false">IFERROR(IF([2]对账明细接口!$W1015=0,"",[2]对账明细接口!$W1015),"")</f>
        <v/>
      </c>
      <c r="AC1015" s="90" t="str">
        <f aca="false">IFERROR(IF([2]对账明细接口!$X1016=0,"",[2]对账明细接口!$X1016),"")</f>
        <v/>
      </c>
      <c r="AD1015" s="90" t="str">
        <f aca="false">IFERROR(IF([2]对账明细接口!$Y1016=0,"",[2]对账明细接口!$Y1016),"")</f>
        <v/>
      </c>
      <c r="AE1015" s="90" t="str">
        <f aca="false">IFERROR(IF([2]对账明细接口!$AA1016=0,"",[2]对账明细接口!$AA1016),"")</f>
        <v/>
      </c>
      <c r="AF1015" s="90" t="str">
        <f aca="false">IFERROR(IF([2]对账明细接口!$AB1016=0,"",[2]对账明细接口!$AB1016),"")</f>
        <v/>
      </c>
      <c r="AG1015" s="90" t="str">
        <f aca="false">IFERROR(IF([2]对账明细接口!$AC1016=0,"",[2]对账明细接口!$AC1016),"")</f>
        <v/>
      </c>
      <c r="AH1015" s="90" t="str">
        <f aca="false">IFERROR(IF([2]对账明细接口!$AD1016=0,"",[2]对账明细接口!$AD1016),"")</f>
        <v/>
      </c>
    </row>
    <row r="1016" customFormat="false" ht="13.5" hidden="false" customHeight="false" outlineLevel="0" collapsed="false">
      <c r="A1016" s="109" t="n">
        <v>1016</v>
      </c>
      <c r="B1016" s="110" t="str">
        <f aca="false">IFERROR(IF([2]对账明细接口!$B$1016=0,"",[2]对账明细接口!$B$1016),"")</f>
        <v/>
      </c>
      <c r="C1016" s="59" t="str">
        <f aca="false">IFERROR(IF([2]对账明细接口!$C$1016=0,"",[2]对账明细接口!$C$1016),"")</f>
        <v/>
      </c>
      <c r="D1016" s="59" t="str">
        <f aca="false">IFERROR(IF([2]对账明细接口!$D$1016=0,"",[2]对账明细接口!$D$1016),"")</f>
        <v/>
      </c>
      <c r="E1016" s="59" t="str">
        <f aca="false">IFERROR(IF([2]对账明细接口!$E$1016=0,"",[2]对账明细接口!$E$1016),"")</f>
        <v/>
      </c>
      <c r="F1016" s="59" t="str">
        <f aca="false">IFERROR(IF([2]对账明细接口!$F$1016=0,"",[2]对账明细接口!$F$1016),"")</f>
        <v/>
      </c>
      <c r="G1016" s="59" t="str">
        <f aca="false">IFERROR(IF([2]对账明细接口!$G$1016=0,"",[2]对账明细接口!$G$1016),"")</f>
        <v/>
      </c>
      <c r="H1016" s="60" t="str">
        <f aca="false">IFERROR(IF([2]对账明细接口!$H$1016=0,"",[2]对账明细接口!$H$1016),"")</f>
        <v/>
      </c>
      <c r="I1016" s="59" t="str">
        <f aca="false">IFERROR(IF([2]对账明细接口!$I$1016=0,"",[2]对账明细接口!$I$1016),"")</f>
        <v/>
      </c>
      <c r="J1016" s="61" t="str">
        <f aca="false">IFERROR(IF([2]对账明细接口!$J$1016=0,"",[2]对账明细接口!$J$1016),"")</f>
        <v/>
      </c>
      <c r="K1016" s="61" t="str">
        <f aca="false">IFERROR(IF([2]对账明细接口!$K$1016=0,"",[2]对账明细接口!$K$1016),"")</f>
        <v/>
      </c>
      <c r="L1016" s="59" t="str">
        <f aca="false">IFERROR(IF([2]对账明细接口!$L$1016=0,"",[2]对账明细接口!$L$1016),"")</f>
        <v/>
      </c>
      <c r="M1016" s="59" t="str">
        <f aca="false">IFERROR(IF([2]对账明细接口!$M$1016=0,"",[2]对账明细接口!$M$1016),"")</f>
        <v/>
      </c>
      <c r="N1016" s="111" t="n">
        <f aca="false">IF($C1016="",0,1)</f>
        <v>0</v>
      </c>
      <c r="O1016" s="111" t="n">
        <f aca="false">N(O1015)+$N1016</f>
        <v>311</v>
      </c>
      <c r="S1016" s="10" t="str">
        <f aca="false">IFERROR(IF([2]对账明细接口!$N1016=0,"",[2]对账明细接口!$N1016),"")</f>
        <v/>
      </c>
      <c r="T1016" s="112" t="str">
        <f aca="false">IFERROR(IF([2]对账明细接口!$O1016=0,"",[2]对账明细接口!$O1016),"")</f>
        <v/>
      </c>
      <c r="U1016" s="112" t="str">
        <f aca="false">IFERROR(IF([2]对账明细接口!$P1016=0,"",[2]对账明细接口!$P1016),"")</f>
        <v/>
      </c>
      <c r="V1016" s="112" t="str">
        <f aca="false">IFERROR(IF([2]对账明细接口!$Q1016=0,"",[2]对账明细接口!$Q1016),"")</f>
        <v/>
      </c>
      <c r="W1016" s="10" t="str">
        <f aca="false">IFERROR(IF([2]对账明细接口!$R1016=0,"",[2]对账明细接口!$R1016),"")</f>
        <v/>
      </c>
      <c r="X1016" s="10" t="str">
        <f aca="false">IFERROR(IF([2]对账明细接口!$S1016=0,"",[2]对账明细接口!$S1016),"")</f>
        <v/>
      </c>
      <c r="Y1016" s="10" t="str">
        <f aca="false">IFERROR(IF([2]对账明细接口!$T1016=0,"",[2]对账明细接口!$T1016),"")</f>
        <v/>
      </c>
      <c r="Z1016" s="113" t="str">
        <f aca="false">IFERROR(IF([2]对账明细接口!$U1016=0,"",[2]对账明细接口!$U1016),"")</f>
        <v/>
      </c>
      <c r="AA1016" s="113" t="str">
        <f aca="false">IFERROR(IF([2]对账明细接口!$V1016=0,"",[2]对账明细接口!$V1016),"")</f>
        <v/>
      </c>
      <c r="AB1016" s="10" t="str">
        <f aca="false">IFERROR(IF([2]对账明细接口!$W1016=0,"",[2]对账明细接口!$W1016),"")</f>
        <v/>
      </c>
      <c r="AC1016" s="90" t="str">
        <f aca="false">IFERROR(IF([2]对账明细接口!$X1017=0,"",[2]对账明细接口!$X1017),"")</f>
        <v/>
      </c>
      <c r="AD1016" s="90" t="str">
        <f aca="false">IFERROR(IF([2]对账明细接口!$Y1017=0,"",[2]对账明细接口!$Y1017),"")</f>
        <v/>
      </c>
      <c r="AE1016" s="90" t="str">
        <f aca="false">IFERROR(IF([2]对账明细接口!$AA1017=0,"",[2]对账明细接口!$AA1017),"")</f>
        <v/>
      </c>
      <c r="AF1016" s="90" t="str">
        <f aca="false">IFERROR(IF([2]对账明细接口!$AB1017=0,"",[2]对账明细接口!$AB1017),"")</f>
        <v/>
      </c>
      <c r="AG1016" s="90" t="str">
        <f aca="false">IFERROR(IF([2]对账明细接口!$AC1017=0,"",[2]对账明细接口!$AC1017),"")</f>
        <v/>
      </c>
      <c r="AH1016" s="90" t="str">
        <f aca="false">IFERROR(IF([2]对账明细接口!$AD1017=0,"",[2]对账明细接口!$AD1017),"")</f>
        <v/>
      </c>
    </row>
    <row r="1017" customFormat="false" ht="13.5" hidden="false" customHeight="false" outlineLevel="0" collapsed="false">
      <c r="A1017" s="109" t="n">
        <v>1017</v>
      </c>
      <c r="B1017" s="110" t="str">
        <f aca="false">IFERROR(IF([2]对账明细接口!$B$1017=0,"",[2]对账明细接口!$B$1017),"")</f>
        <v/>
      </c>
      <c r="C1017" s="59" t="str">
        <f aca="false">IFERROR(IF([2]对账明细接口!$C$1017=0,"",[2]对账明细接口!$C$1017),"")</f>
        <v/>
      </c>
      <c r="D1017" s="59" t="str">
        <f aca="false">IFERROR(IF([2]对账明细接口!$D$1017=0,"",[2]对账明细接口!$D$1017),"")</f>
        <v/>
      </c>
      <c r="E1017" s="59" t="str">
        <f aca="false">IFERROR(IF([2]对账明细接口!$E$1017=0,"",[2]对账明细接口!$E$1017),"")</f>
        <v/>
      </c>
      <c r="F1017" s="59" t="str">
        <f aca="false">IFERROR(IF([2]对账明细接口!$F$1017=0,"",[2]对账明细接口!$F$1017),"")</f>
        <v/>
      </c>
      <c r="G1017" s="59" t="str">
        <f aca="false">IFERROR(IF([2]对账明细接口!$G$1017=0,"",[2]对账明细接口!$G$1017),"")</f>
        <v/>
      </c>
      <c r="H1017" s="60" t="str">
        <f aca="false">IFERROR(IF([2]对账明细接口!$H$1017=0,"",[2]对账明细接口!$H$1017),"")</f>
        <v/>
      </c>
      <c r="I1017" s="59" t="str">
        <f aca="false">IFERROR(IF([2]对账明细接口!$I$1017=0,"",[2]对账明细接口!$I$1017),"")</f>
        <v/>
      </c>
      <c r="J1017" s="61" t="str">
        <f aca="false">IFERROR(IF([2]对账明细接口!$J$1017=0,"",[2]对账明细接口!$J$1017),"")</f>
        <v/>
      </c>
      <c r="K1017" s="61" t="str">
        <f aca="false">IFERROR(IF([2]对账明细接口!$K$1017=0,"",[2]对账明细接口!$K$1017),"")</f>
        <v/>
      </c>
      <c r="L1017" s="59" t="str">
        <f aca="false">IFERROR(IF([2]对账明细接口!$L$1017=0,"",[2]对账明细接口!$L$1017),"")</f>
        <v/>
      </c>
      <c r="M1017" s="59" t="str">
        <f aca="false">IFERROR(IF([2]对账明细接口!$M$1017=0,"",[2]对账明细接口!$M$1017),"")</f>
        <v/>
      </c>
      <c r="N1017" s="111" t="n">
        <f aca="false">IF($C1017="",0,1)</f>
        <v>0</v>
      </c>
      <c r="O1017" s="111" t="n">
        <f aca="false">N(O1016)+$N1017</f>
        <v>311</v>
      </c>
      <c r="S1017" s="10" t="str">
        <f aca="false">IFERROR(IF([2]对账明细接口!$N1017=0,"",[2]对账明细接口!$N1017),"")</f>
        <v/>
      </c>
      <c r="T1017" s="112" t="str">
        <f aca="false">IFERROR(IF([2]对账明细接口!$O1017=0,"",[2]对账明细接口!$O1017),"")</f>
        <v/>
      </c>
      <c r="U1017" s="112" t="str">
        <f aca="false">IFERROR(IF([2]对账明细接口!$P1017=0,"",[2]对账明细接口!$P1017),"")</f>
        <v/>
      </c>
      <c r="V1017" s="112" t="str">
        <f aca="false">IFERROR(IF([2]对账明细接口!$Q1017=0,"",[2]对账明细接口!$Q1017),"")</f>
        <v/>
      </c>
      <c r="W1017" s="10" t="str">
        <f aca="false">IFERROR(IF([2]对账明细接口!$R1017=0,"",[2]对账明细接口!$R1017),"")</f>
        <v/>
      </c>
      <c r="X1017" s="10" t="str">
        <f aca="false">IFERROR(IF([2]对账明细接口!$S1017=0,"",[2]对账明细接口!$S1017),"")</f>
        <v/>
      </c>
      <c r="Y1017" s="10" t="str">
        <f aca="false">IFERROR(IF([2]对账明细接口!$T1017=0,"",[2]对账明细接口!$T1017),"")</f>
        <v/>
      </c>
      <c r="Z1017" s="113" t="str">
        <f aca="false">IFERROR(IF([2]对账明细接口!$U1017=0,"",[2]对账明细接口!$U1017),"")</f>
        <v/>
      </c>
      <c r="AA1017" s="113" t="str">
        <f aca="false">IFERROR(IF([2]对账明细接口!$V1017=0,"",[2]对账明细接口!$V1017),"")</f>
        <v/>
      </c>
      <c r="AB1017" s="10" t="str">
        <f aca="false">IFERROR(IF([2]对账明细接口!$W1017=0,"",[2]对账明细接口!$W1017),"")</f>
        <v/>
      </c>
      <c r="AC1017" s="90" t="str">
        <f aca="false">IFERROR(IF([2]对账明细接口!$X1018=0,"",[2]对账明细接口!$X1018),"")</f>
        <v/>
      </c>
      <c r="AD1017" s="90" t="str">
        <f aca="false">IFERROR(IF([2]对账明细接口!$Y1018=0,"",[2]对账明细接口!$Y1018),"")</f>
        <v/>
      </c>
      <c r="AE1017" s="90" t="str">
        <f aca="false">IFERROR(IF([2]对账明细接口!$AA1018=0,"",[2]对账明细接口!$AA1018),"")</f>
        <v/>
      </c>
      <c r="AF1017" s="90" t="str">
        <f aca="false">IFERROR(IF([2]对账明细接口!$AB1018=0,"",[2]对账明细接口!$AB1018),"")</f>
        <v/>
      </c>
      <c r="AG1017" s="90" t="str">
        <f aca="false">IFERROR(IF([2]对账明细接口!$AC1018=0,"",[2]对账明细接口!$AC1018),"")</f>
        <v/>
      </c>
      <c r="AH1017" s="90" t="str">
        <f aca="false">IFERROR(IF([2]对账明细接口!$AD1018=0,"",[2]对账明细接口!$AD1018),"")</f>
        <v/>
      </c>
    </row>
    <row r="1018" customFormat="false" ht="13.5" hidden="false" customHeight="false" outlineLevel="0" collapsed="false">
      <c r="A1018" s="109" t="n">
        <v>1018</v>
      </c>
      <c r="B1018" s="110" t="str">
        <f aca="false">IFERROR(IF([2]对账明细接口!$B$1018=0,"",[2]对账明细接口!$B$1018),"")</f>
        <v/>
      </c>
      <c r="C1018" s="59" t="str">
        <f aca="false">IFERROR(IF([2]对账明细接口!$C$1018=0,"",[2]对账明细接口!$C$1018),"")</f>
        <v/>
      </c>
      <c r="D1018" s="59" t="str">
        <f aca="false">IFERROR(IF([2]对账明细接口!$D$1018=0,"",[2]对账明细接口!$D$1018),"")</f>
        <v/>
      </c>
      <c r="E1018" s="59" t="str">
        <f aca="false">IFERROR(IF([2]对账明细接口!$E$1018=0,"",[2]对账明细接口!$E$1018),"")</f>
        <v/>
      </c>
      <c r="F1018" s="59" t="str">
        <f aca="false">IFERROR(IF([2]对账明细接口!$F$1018=0,"",[2]对账明细接口!$F$1018),"")</f>
        <v/>
      </c>
      <c r="G1018" s="59" t="str">
        <f aca="false">IFERROR(IF([2]对账明细接口!$G$1018=0,"",[2]对账明细接口!$G$1018),"")</f>
        <v/>
      </c>
      <c r="H1018" s="60" t="str">
        <f aca="false">IFERROR(IF([2]对账明细接口!$H$1018=0,"",[2]对账明细接口!$H$1018),"")</f>
        <v/>
      </c>
      <c r="I1018" s="59" t="str">
        <f aca="false">IFERROR(IF([2]对账明细接口!$I$1018=0,"",[2]对账明细接口!$I$1018),"")</f>
        <v/>
      </c>
      <c r="J1018" s="61" t="str">
        <f aca="false">IFERROR(IF([2]对账明细接口!$J$1018=0,"",[2]对账明细接口!$J$1018),"")</f>
        <v/>
      </c>
      <c r="K1018" s="61" t="str">
        <f aca="false">IFERROR(IF([2]对账明细接口!$K$1018=0,"",[2]对账明细接口!$K$1018),"")</f>
        <v/>
      </c>
      <c r="L1018" s="59" t="str">
        <f aca="false">IFERROR(IF([2]对账明细接口!$L$1018=0,"",[2]对账明细接口!$L$1018),"")</f>
        <v/>
      </c>
      <c r="M1018" s="59" t="str">
        <f aca="false">IFERROR(IF([2]对账明细接口!$M$1018=0,"",[2]对账明细接口!$M$1018),"")</f>
        <v/>
      </c>
      <c r="N1018" s="111" t="n">
        <f aca="false">IF($C1018="",0,1)</f>
        <v>0</v>
      </c>
      <c r="O1018" s="111" t="n">
        <f aca="false">N(O1017)+$N1018</f>
        <v>311</v>
      </c>
      <c r="S1018" s="10" t="str">
        <f aca="false">IFERROR(IF([2]对账明细接口!$N1018=0,"",[2]对账明细接口!$N1018),"")</f>
        <v/>
      </c>
      <c r="T1018" s="112" t="str">
        <f aca="false">IFERROR(IF([2]对账明细接口!$O1018=0,"",[2]对账明细接口!$O1018),"")</f>
        <v/>
      </c>
      <c r="U1018" s="112" t="str">
        <f aca="false">IFERROR(IF([2]对账明细接口!$P1018=0,"",[2]对账明细接口!$P1018),"")</f>
        <v/>
      </c>
      <c r="V1018" s="112" t="str">
        <f aca="false">IFERROR(IF([2]对账明细接口!$Q1018=0,"",[2]对账明细接口!$Q1018),"")</f>
        <v/>
      </c>
      <c r="W1018" s="10" t="str">
        <f aca="false">IFERROR(IF([2]对账明细接口!$R1018=0,"",[2]对账明细接口!$R1018),"")</f>
        <v/>
      </c>
      <c r="X1018" s="10" t="str">
        <f aca="false">IFERROR(IF([2]对账明细接口!$S1018=0,"",[2]对账明细接口!$S1018),"")</f>
        <v/>
      </c>
      <c r="Y1018" s="10" t="str">
        <f aca="false">IFERROR(IF([2]对账明细接口!$T1018=0,"",[2]对账明细接口!$T1018),"")</f>
        <v/>
      </c>
      <c r="Z1018" s="113" t="str">
        <f aca="false">IFERROR(IF([2]对账明细接口!$U1018=0,"",[2]对账明细接口!$U1018),"")</f>
        <v/>
      </c>
      <c r="AA1018" s="113" t="str">
        <f aca="false">IFERROR(IF([2]对账明细接口!$V1018=0,"",[2]对账明细接口!$V1018),"")</f>
        <v/>
      </c>
      <c r="AB1018" s="10" t="str">
        <f aca="false">IFERROR(IF([2]对账明细接口!$W1018=0,"",[2]对账明细接口!$W1018),"")</f>
        <v/>
      </c>
      <c r="AC1018" s="90" t="str">
        <f aca="false">IFERROR(IF([2]对账明细接口!$X1019=0,"",[2]对账明细接口!$X1019),"")</f>
        <v/>
      </c>
      <c r="AD1018" s="90" t="str">
        <f aca="false">IFERROR(IF([2]对账明细接口!$Y1019=0,"",[2]对账明细接口!$Y1019),"")</f>
        <v/>
      </c>
      <c r="AE1018" s="90" t="str">
        <f aca="false">IFERROR(IF([2]对账明细接口!$AA1019=0,"",[2]对账明细接口!$AA1019),"")</f>
        <v/>
      </c>
      <c r="AF1018" s="90" t="str">
        <f aca="false">IFERROR(IF([2]对账明细接口!$AB1019=0,"",[2]对账明细接口!$AB1019),"")</f>
        <v/>
      </c>
      <c r="AG1018" s="90" t="str">
        <f aca="false">IFERROR(IF([2]对账明细接口!$AC1019=0,"",[2]对账明细接口!$AC1019),"")</f>
        <v/>
      </c>
      <c r="AH1018" s="90" t="str">
        <f aca="false">IFERROR(IF([2]对账明细接口!$AD1019=0,"",[2]对账明细接口!$AD1019),"")</f>
        <v/>
      </c>
    </row>
    <row r="1019" customFormat="false" ht="13.5" hidden="false" customHeight="false" outlineLevel="0" collapsed="false">
      <c r="A1019" s="109" t="n">
        <v>1019</v>
      </c>
      <c r="B1019" s="110" t="str">
        <f aca="false">IFERROR(IF([2]对账明细接口!$B$1019=0,"",[2]对账明细接口!$B$1019),"")</f>
        <v/>
      </c>
      <c r="C1019" s="59" t="str">
        <f aca="false">IFERROR(IF([2]对账明细接口!$C$1019=0,"",[2]对账明细接口!$C$1019),"")</f>
        <v/>
      </c>
      <c r="D1019" s="59" t="str">
        <f aca="false">IFERROR(IF([2]对账明细接口!$D$1019=0,"",[2]对账明细接口!$D$1019),"")</f>
        <v/>
      </c>
      <c r="E1019" s="59" t="str">
        <f aca="false">IFERROR(IF([2]对账明细接口!$E$1019=0,"",[2]对账明细接口!$E$1019),"")</f>
        <v/>
      </c>
      <c r="F1019" s="59" t="str">
        <f aca="false">IFERROR(IF([2]对账明细接口!$F$1019=0,"",[2]对账明细接口!$F$1019),"")</f>
        <v/>
      </c>
      <c r="G1019" s="59" t="str">
        <f aca="false">IFERROR(IF([2]对账明细接口!$G$1019=0,"",[2]对账明细接口!$G$1019),"")</f>
        <v/>
      </c>
      <c r="H1019" s="60" t="str">
        <f aca="false">IFERROR(IF([2]对账明细接口!$H$1019=0,"",[2]对账明细接口!$H$1019),"")</f>
        <v/>
      </c>
      <c r="I1019" s="59" t="str">
        <f aca="false">IFERROR(IF([2]对账明细接口!$I$1019=0,"",[2]对账明细接口!$I$1019),"")</f>
        <v/>
      </c>
      <c r="J1019" s="61" t="str">
        <f aca="false">IFERROR(IF([2]对账明细接口!$J$1019=0,"",[2]对账明细接口!$J$1019),"")</f>
        <v/>
      </c>
      <c r="K1019" s="61" t="str">
        <f aca="false">IFERROR(IF([2]对账明细接口!$K$1019=0,"",[2]对账明细接口!$K$1019),"")</f>
        <v/>
      </c>
      <c r="L1019" s="59" t="str">
        <f aca="false">IFERROR(IF([2]对账明细接口!$L$1019=0,"",[2]对账明细接口!$L$1019),"")</f>
        <v/>
      </c>
      <c r="M1019" s="59" t="str">
        <f aca="false">IFERROR(IF([2]对账明细接口!$M$1019=0,"",[2]对账明细接口!$M$1019),"")</f>
        <v/>
      </c>
      <c r="N1019" s="111" t="n">
        <f aca="false">IF($C1019="",0,1)</f>
        <v>0</v>
      </c>
      <c r="O1019" s="111" t="n">
        <f aca="false">N(O1018)+$N1019</f>
        <v>311</v>
      </c>
      <c r="S1019" s="10" t="str">
        <f aca="false">IFERROR(IF([2]对账明细接口!$N1019=0,"",[2]对账明细接口!$N1019),"")</f>
        <v/>
      </c>
      <c r="T1019" s="112" t="str">
        <f aca="false">IFERROR(IF([2]对账明细接口!$O1019=0,"",[2]对账明细接口!$O1019),"")</f>
        <v/>
      </c>
      <c r="U1019" s="112" t="str">
        <f aca="false">IFERROR(IF([2]对账明细接口!$P1019=0,"",[2]对账明细接口!$P1019),"")</f>
        <v/>
      </c>
      <c r="V1019" s="112" t="str">
        <f aca="false">IFERROR(IF([2]对账明细接口!$Q1019=0,"",[2]对账明细接口!$Q1019),"")</f>
        <v/>
      </c>
      <c r="W1019" s="10" t="str">
        <f aca="false">IFERROR(IF([2]对账明细接口!$R1019=0,"",[2]对账明细接口!$R1019),"")</f>
        <v/>
      </c>
      <c r="X1019" s="10" t="str">
        <f aca="false">IFERROR(IF([2]对账明细接口!$S1019=0,"",[2]对账明细接口!$S1019),"")</f>
        <v/>
      </c>
      <c r="Y1019" s="10" t="str">
        <f aca="false">IFERROR(IF([2]对账明细接口!$T1019=0,"",[2]对账明细接口!$T1019),"")</f>
        <v/>
      </c>
      <c r="Z1019" s="113" t="str">
        <f aca="false">IFERROR(IF([2]对账明细接口!$U1019=0,"",[2]对账明细接口!$U1019),"")</f>
        <v/>
      </c>
      <c r="AA1019" s="113" t="str">
        <f aca="false">IFERROR(IF([2]对账明细接口!$V1019=0,"",[2]对账明细接口!$V1019),"")</f>
        <v/>
      </c>
      <c r="AB1019" s="10" t="str">
        <f aca="false">IFERROR(IF([2]对账明细接口!$W1019=0,"",[2]对账明细接口!$W1019),"")</f>
        <v/>
      </c>
      <c r="AC1019" s="90" t="str">
        <f aca="false">IFERROR(IF([2]对账明细接口!$X1020=0,"",[2]对账明细接口!$X1020),"")</f>
        <v/>
      </c>
      <c r="AD1019" s="90" t="str">
        <f aca="false">IFERROR(IF([2]对账明细接口!$Y1020=0,"",[2]对账明细接口!$Y1020),"")</f>
        <v/>
      </c>
      <c r="AE1019" s="90" t="str">
        <f aca="false">IFERROR(IF([2]对账明细接口!$AA1020=0,"",[2]对账明细接口!$AA1020),"")</f>
        <v/>
      </c>
      <c r="AF1019" s="90" t="str">
        <f aca="false">IFERROR(IF([2]对账明细接口!$AB1020=0,"",[2]对账明细接口!$AB1020),"")</f>
        <v/>
      </c>
      <c r="AG1019" s="90" t="str">
        <f aca="false">IFERROR(IF([2]对账明细接口!$AC1020=0,"",[2]对账明细接口!$AC1020),"")</f>
        <v/>
      </c>
      <c r="AH1019" s="90" t="str">
        <f aca="false">IFERROR(IF([2]对账明细接口!$AD1020=0,"",[2]对账明细接口!$AD1020),"")</f>
        <v/>
      </c>
    </row>
    <row r="1020" customFormat="false" ht="13.5" hidden="false" customHeight="false" outlineLevel="0" collapsed="false">
      <c r="A1020" s="109" t="n">
        <v>1020</v>
      </c>
      <c r="B1020" s="110" t="str">
        <f aca="false">IFERROR(IF([2]对账明细接口!$B$1020=0,"",[2]对账明细接口!$B$1020),"")</f>
        <v/>
      </c>
      <c r="C1020" s="59" t="str">
        <f aca="false">IFERROR(IF([2]对账明细接口!$C$1020=0,"",[2]对账明细接口!$C$1020),"")</f>
        <v/>
      </c>
      <c r="D1020" s="59" t="str">
        <f aca="false">IFERROR(IF([2]对账明细接口!$D$1020=0,"",[2]对账明细接口!$D$1020),"")</f>
        <v/>
      </c>
      <c r="E1020" s="59" t="str">
        <f aca="false">IFERROR(IF([2]对账明细接口!$E$1020=0,"",[2]对账明细接口!$E$1020),"")</f>
        <v/>
      </c>
      <c r="F1020" s="59" t="str">
        <f aca="false">IFERROR(IF([2]对账明细接口!$F$1020=0,"",[2]对账明细接口!$F$1020),"")</f>
        <v/>
      </c>
      <c r="G1020" s="59" t="str">
        <f aca="false">IFERROR(IF([2]对账明细接口!$G$1020=0,"",[2]对账明细接口!$G$1020),"")</f>
        <v/>
      </c>
      <c r="H1020" s="60" t="str">
        <f aca="false">IFERROR(IF([2]对账明细接口!$H$1020=0,"",[2]对账明细接口!$H$1020),"")</f>
        <v/>
      </c>
      <c r="I1020" s="59" t="str">
        <f aca="false">IFERROR(IF([2]对账明细接口!$I$1020=0,"",[2]对账明细接口!$I$1020),"")</f>
        <v/>
      </c>
      <c r="J1020" s="61" t="str">
        <f aca="false">IFERROR(IF([2]对账明细接口!$J$1020=0,"",[2]对账明细接口!$J$1020),"")</f>
        <v/>
      </c>
      <c r="K1020" s="61" t="str">
        <f aca="false">IFERROR(IF([2]对账明细接口!$K$1020=0,"",[2]对账明细接口!$K$1020),"")</f>
        <v/>
      </c>
      <c r="L1020" s="59" t="str">
        <f aca="false">IFERROR(IF([2]对账明细接口!$L$1020=0,"",[2]对账明细接口!$L$1020),"")</f>
        <v/>
      </c>
      <c r="M1020" s="59" t="str">
        <f aca="false">IFERROR(IF([2]对账明细接口!$M$1020=0,"",[2]对账明细接口!$M$1020),"")</f>
        <v/>
      </c>
      <c r="N1020" s="111" t="n">
        <f aca="false">IF($C1020="",0,1)</f>
        <v>0</v>
      </c>
      <c r="O1020" s="111" t="n">
        <f aca="false">N(O1019)+$N1020</f>
        <v>311</v>
      </c>
      <c r="S1020" s="10" t="str">
        <f aca="false">IFERROR(IF([2]对账明细接口!$N1020=0,"",[2]对账明细接口!$N1020),"")</f>
        <v/>
      </c>
      <c r="T1020" s="112" t="str">
        <f aca="false">IFERROR(IF([2]对账明细接口!$O1020=0,"",[2]对账明细接口!$O1020),"")</f>
        <v/>
      </c>
      <c r="U1020" s="112" t="str">
        <f aca="false">IFERROR(IF([2]对账明细接口!$P1020=0,"",[2]对账明细接口!$P1020),"")</f>
        <v/>
      </c>
      <c r="V1020" s="112" t="str">
        <f aca="false">IFERROR(IF([2]对账明细接口!$Q1020=0,"",[2]对账明细接口!$Q1020),"")</f>
        <v/>
      </c>
      <c r="W1020" s="10" t="str">
        <f aca="false">IFERROR(IF([2]对账明细接口!$R1020=0,"",[2]对账明细接口!$R1020),"")</f>
        <v/>
      </c>
      <c r="X1020" s="10" t="str">
        <f aca="false">IFERROR(IF([2]对账明细接口!$S1020=0,"",[2]对账明细接口!$S1020),"")</f>
        <v/>
      </c>
      <c r="Y1020" s="10" t="str">
        <f aca="false">IFERROR(IF([2]对账明细接口!$T1020=0,"",[2]对账明细接口!$T1020),"")</f>
        <v/>
      </c>
      <c r="Z1020" s="113" t="str">
        <f aca="false">IFERROR(IF([2]对账明细接口!$U1020=0,"",[2]对账明细接口!$U1020),"")</f>
        <v/>
      </c>
      <c r="AA1020" s="113" t="str">
        <f aca="false">IFERROR(IF([2]对账明细接口!$V1020=0,"",[2]对账明细接口!$V1020),"")</f>
        <v/>
      </c>
      <c r="AB1020" s="10" t="str">
        <f aca="false">IFERROR(IF([2]对账明细接口!$W1020=0,"",[2]对账明细接口!$W1020),"")</f>
        <v/>
      </c>
      <c r="AC1020" s="90" t="str">
        <f aca="false">IFERROR(IF([2]对账明细接口!$X1021=0,"",[2]对账明细接口!$X1021),"")</f>
        <v/>
      </c>
      <c r="AD1020" s="90" t="str">
        <f aca="false">IFERROR(IF([2]对账明细接口!$Y1021=0,"",[2]对账明细接口!$Y1021),"")</f>
        <v/>
      </c>
      <c r="AE1020" s="90" t="str">
        <f aca="false">IFERROR(IF([2]对账明细接口!$AA1021=0,"",[2]对账明细接口!$AA1021),"")</f>
        <v/>
      </c>
      <c r="AF1020" s="90" t="str">
        <f aca="false">IFERROR(IF([2]对账明细接口!$AB1021=0,"",[2]对账明细接口!$AB1021),"")</f>
        <v/>
      </c>
      <c r="AG1020" s="90" t="str">
        <f aca="false">IFERROR(IF([2]对账明细接口!$AC1021=0,"",[2]对账明细接口!$AC1021),"")</f>
        <v/>
      </c>
      <c r="AH1020" s="90" t="str">
        <f aca="false">IFERROR(IF([2]对账明细接口!$AD1021=0,"",[2]对账明细接口!$AD1021),"")</f>
        <v/>
      </c>
    </row>
    <row r="1021" customFormat="false" ht="13.5" hidden="false" customHeight="false" outlineLevel="0" collapsed="false">
      <c r="A1021" s="109" t="n">
        <v>1021</v>
      </c>
      <c r="B1021" s="110" t="str">
        <f aca="false">IFERROR(IF([2]对账明细接口!$B$1021=0,"",[2]对账明细接口!$B$1021),"")</f>
        <v/>
      </c>
      <c r="C1021" s="59" t="str">
        <f aca="false">IFERROR(IF([2]对账明细接口!$C$1021=0,"",[2]对账明细接口!$C$1021),"")</f>
        <v/>
      </c>
      <c r="D1021" s="59" t="str">
        <f aca="false">IFERROR(IF([2]对账明细接口!$D$1021=0,"",[2]对账明细接口!$D$1021),"")</f>
        <v/>
      </c>
      <c r="E1021" s="59" t="str">
        <f aca="false">IFERROR(IF([2]对账明细接口!$E$1021=0,"",[2]对账明细接口!$E$1021),"")</f>
        <v/>
      </c>
      <c r="F1021" s="59" t="str">
        <f aca="false">IFERROR(IF([2]对账明细接口!$F$1021=0,"",[2]对账明细接口!$F$1021),"")</f>
        <v/>
      </c>
      <c r="G1021" s="59" t="str">
        <f aca="false">IFERROR(IF([2]对账明细接口!$G$1021=0,"",[2]对账明细接口!$G$1021),"")</f>
        <v/>
      </c>
      <c r="H1021" s="60" t="str">
        <f aca="false">IFERROR(IF([2]对账明细接口!$H$1021=0,"",[2]对账明细接口!$H$1021),"")</f>
        <v/>
      </c>
      <c r="I1021" s="59" t="str">
        <f aca="false">IFERROR(IF([2]对账明细接口!$I$1021=0,"",[2]对账明细接口!$I$1021),"")</f>
        <v/>
      </c>
      <c r="J1021" s="61" t="str">
        <f aca="false">IFERROR(IF([2]对账明细接口!$J$1021=0,"",[2]对账明细接口!$J$1021),"")</f>
        <v/>
      </c>
      <c r="K1021" s="61" t="str">
        <f aca="false">IFERROR(IF([2]对账明细接口!$K$1021=0,"",[2]对账明细接口!$K$1021),"")</f>
        <v/>
      </c>
      <c r="L1021" s="59" t="str">
        <f aca="false">IFERROR(IF([2]对账明细接口!$L$1021=0,"",[2]对账明细接口!$L$1021),"")</f>
        <v/>
      </c>
      <c r="M1021" s="59" t="str">
        <f aca="false">IFERROR(IF([2]对账明细接口!$M$1021=0,"",[2]对账明细接口!$M$1021),"")</f>
        <v/>
      </c>
      <c r="N1021" s="111" t="n">
        <f aca="false">IF($C1021="",0,1)</f>
        <v>0</v>
      </c>
      <c r="O1021" s="111" t="n">
        <f aca="false">N(O1020)+$N1021</f>
        <v>311</v>
      </c>
      <c r="S1021" s="10" t="str">
        <f aca="false">IFERROR(IF([2]对账明细接口!$N1021=0,"",[2]对账明细接口!$N1021),"")</f>
        <v/>
      </c>
      <c r="T1021" s="112" t="str">
        <f aca="false">IFERROR(IF([2]对账明细接口!$O1021=0,"",[2]对账明细接口!$O1021),"")</f>
        <v/>
      </c>
      <c r="U1021" s="112" t="str">
        <f aca="false">IFERROR(IF([2]对账明细接口!$P1021=0,"",[2]对账明细接口!$P1021),"")</f>
        <v/>
      </c>
      <c r="V1021" s="112" t="str">
        <f aca="false">IFERROR(IF([2]对账明细接口!$Q1021=0,"",[2]对账明细接口!$Q1021),"")</f>
        <v/>
      </c>
      <c r="W1021" s="10" t="str">
        <f aca="false">IFERROR(IF([2]对账明细接口!$R1021=0,"",[2]对账明细接口!$R1021),"")</f>
        <v/>
      </c>
      <c r="X1021" s="10" t="str">
        <f aca="false">IFERROR(IF([2]对账明细接口!$S1021=0,"",[2]对账明细接口!$S1021),"")</f>
        <v/>
      </c>
      <c r="Y1021" s="10" t="str">
        <f aca="false">IFERROR(IF([2]对账明细接口!$T1021=0,"",[2]对账明细接口!$T1021),"")</f>
        <v/>
      </c>
      <c r="Z1021" s="113" t="str">
        <f aca="false">IFERROR(IF([2]对账明细接口!$U1021=0,"",[2]对账明细接口!$U1021),"")</f>
        <v/>
      </c>
      <c r="AA1021" s="113" t="str">
        <f aca="false">IFERROR(IF([2]对账明细接口!$V1021=0,"",[2]对账明细接口!$V1021),"")</f>
        <v/>
      </c>
      <c r="AB1021" s="10" t="str">
        <f aca="false">IFERROR(IF([2]对账明细接口!$W1021=0,"",[2]对账明细接口!$W1021),"")</f>
        <v/>
      </c>
      <c r="AC1021" s="90" t="str">
        <f aca="false">IFERROR(IF([2]对账明细接口!$X1022=0,"",[2]对账明细接口!$X1022),"")</f>
        <v/>
      </c>
      <c r="AD1021" s="90" t="str">
        <f aca="false">IFERROR(IF([2]对账明细接口!$Y1022=0,"",[2]对账明细接口!$Y1022),"")</f>
        <v/>
      </c>
      <c r="AE1021" s="90" t="str">
        <f aca="false">IFERROR(IF([2]对账明细接口!$AA1022=0,"",[2]对账明细接口!$AA1022),"")</f>
        <v/>
      </c>
      <c r="AF1021" s="90" t="str">
        <f aca="false">IFERROR(IF([2]对账明细接口!$AB1022=0,"",[2]对账明细接口!$AB1022),"")</f>
        <v/>
      </c>
      <c r="AG1021" s="90" t="str">
        <f aca="false">IFERROR(IF([2]对账明细接口!$AC1022=0,"",[2]对账明细接口!$AC1022),"")</f>
        <v/>
      </c>
      <c r="AH1021" s="90" t="str">
        <f aca="false">IFERROR(IF([2]对账明细接口!$AD1022=0,"",[2]对账明细接口!$AD1022),"")</f>
        <v/>
      </c>
    </row>
    <row r="1022" customFormat="false" ht="13.5" hidden="false" customHeight="false" outlineLevel="0" collapsed="false">
      <c r="A1022" s="109" t="n">
        <v>1022</v>
      </c>
      <c r="B1022" s="110" t="str">
        <f aca="false">IFERROR(IF([2]对账明细接口!$B$1022=0,"",[2]对账明细接口!$B$1022),"")</f>
        <v/>
      </c>
      <c r="C1022" s="59" t="str">
        <f aca="false">IFERROR(IF([2]对账明细接口!$C$1022=0,"",[2]对账明细接口!$C$1022),"")</f>
        <v/>
      </c>
      <c r="D1022" s="59" t="str">
        <f aca="false">IFERROR(IF([2]对账明细接口!$D$1022=0,"",[2]对账明细接口!$D$1022),"")</f>
        <v/>
      </c>
      <c r="E1022" s="59" t="str">
        <f aca="false">IFERROR(IF([2]对账明细接口!$E$1022=0,"",[2]对账明细接口!$E$1022),"")</f>
        <v/>
      </c>
      <c r="F1022" s="59" t="str">
        <f aca="false">IFERROR(IF([2]对账明细接口!$F$1022=0,"",[2]对账明细接口!$F$1022),"")</f>
        <v/>
      </c>
      <c r="G1022" s="59" t="str">
        <f aca="false">IFERROR(IF([2]对账明细接口!$G$1022=0,"",[2]对账明细接口!$G$1022),"")</f>
        <v/>
      </c>
      <c r="H1022" s="60" t="str">
        <f aca="false">IFERROR(IF([2]对账明细接口!$H$1022=0,"",[2]对账明细接口!$H$1022),"")</f>
        <v/>
      </c>
      <c r="I1022" s="59" t="str">
        <f aca="false">IFERROR(IF([2]对账明细接口!$I$1022=0,"",[2]对账明细接口!$I$1022),"")</f>
        <v/>
      </c>
      <c r="J1022" s="61" t="str">
        <f aca="false">IFERROR(IF([2]对账明细接口!$J$1022=0,"",[2]对账明细接口!$J$1022),"")</f>
        <v/>
      </c>
      <c r="K1022" s="61" t="str">
        <f aca="false">IFERROR(IF([2]对账明细接口!$K$1022=0,"",[2]对账明细接口!$K$1022),"")</f>
        <v/>
      </c>
      <c r="L1022" s="59" t="str">
        <f aca="false">IFERROR(IF([2]对账明细接口!$L$1022=0,"",[2]对账明细接口!$L$1022),"")</f>
        <v/>
      </c>
      <c r="M1022" s="59" t="str">
        <f aca="false">IFERROR(IF([2]对账明细接口!$M$1022=0,"",[2]对账明细接口!$M$1022),"")</f>
        <v/>
      </c>
      <c r="N1022" s="111" t="n">
        <f aca="false">IF($C1022="",0,1)</f>
        <v>0</v>
      </c>
      <c r="O1022" s="111" t="n">
        <f aca="false">N(O1021)+$N1022</f>
        <v>311</v>
      </c>
      <c r="S1022" s="10" t="str">
        <f aca="false">IFERROR(IF([2]对账明细接口!$N1022=0,"",[2]对账明细接口!$N1022),"")</f>
        <v/>
      </c>
      <c r="T1022" s="112" t="str">
        <f aca="false">IFERROR(IF([2]对账明细接口!$O1022=0,"",[2]对账明细接口!$O1022),"")</f>
        <v/>
      </c>
      <c r="U1022" s="112" t="str">
        <f aca="false">IFERROR(IF([2]对账明细接口!$P1022=0,"",[2]对账明细接口!$P1022),"")</f>
        <v/>
      </c>
      <c r="V1022" s="112" t="str">
        <f aca="false">IFERROR(IF([2]对账明细接口!$Q1022=0,"",[2]对账明细接口!$Q1022),"")</f>
        <v/>
      </c>
      <c r="W1022" s="10" t="str">
        <f aca="false">IFERROR(IF([2]对账明细接口!$R1022=0,"",[2]对账明细接口!$R1022),"")</f>
        <v/>
      </c>
      <c r="X1022" s="10" t="str">
        <f aca="false">IFERROR(IF([2]对账明细接口!$S1022=0,"",[2]对账明细接口!$S1022),"")</f>
        <v/>
      </c>
      <c r="Y1022" s="10" t="str">
        <f aca="false">IFERROR(IF([2]对账明细接口!$T1022=0,"",[2]对账明细接口!$T1022),"")</f>
        <v/>
      </c>
      <c r="Z1022" s="113" t="str">
        <f aca="false">IFERROR(IF([2]对账明细接口!$U1022=0,"",[2]对账明细接口!$U1022),"")</f>
        <v/>
      </c>
      <c r="AA1022" s="113" t="str">
        <f aca="false">IFERROR(IF([2]对账明细接口!$V1022=0,"",[2]对账明细接口!$V1022),"")</f>
        <v/>
      </c>
      <c r="AB1022" s="10" t="str">
        <f aca="false">IFERROR(IF([2]对账明细接口!$W1022=0,"",[2]对账明细接口!$W1022),"")</f>
        <v/>
      </c>
      <c r="AC1022" s="90" t="str">
        <f aca="false">IFERROR(IF([2]对账明细接口!$X1023=0,"",[2]对账明细接口!$X1023),"")</f>
        <v/>
      </c>
      <c r="AD1022" s="90" t="str">
        <f aca="false">IFERROR(IF([2]对账明细接口!$Y1023=0,"",[2]对账明细接口!$Y1023),"")</f>
        <v/>
      </c>
      <c r="AE1022" s="90" t="str">
        <f aca="false">IFERROR(IF([2]对账明细接口!$AA1023=0,"",[2]对账明细接口!$AA1023),"")</f>
        <v/>
      </c>
      <c r="AF1022" s="90" t="str">
        <f aca="false">IFERROR(IF([2]对账明细接口!$AB1023=0,"",[2]对账明细接口!$AB1023),"")</f>
        <v/>
      </c>
      <c r="AG1022" s="90" t="str">
        <f aca="false">IFERROR(IF([2]对账明细接口!$AC1023=0,"",[2]对账明细接口!$AC1023),"")</f>
        <v/>
      </c>
      <c r="AH1022" s="90" t="str">
        <f aca="false">IFERROR(IF([2]对账明细接口!$AD1023=0,"",[2]对账明细接口!$AD1023),"")</f>
        <v/>
      </c>
    </row>
    <row r="1023" customFormat="false" ht="13.5" hidden="false" customHeight="false" outlineLevel="0" collapsed="false">
      <c r="A1023" s="109" t="n">
        <v>1023</v>
      </c>
      <c r="B1023" s="110" t="str">
        <f aca="false">IFERROR(IF([2]对账明细接口!$B$1023=0,"",[2]对账明细接口!$B$1023),"")</f>
        <v/>
      </c>
      <c r="C1023" s="59" t="str">
        <f aca="false">IFERROR(IF([2]对账明细接口!$C$1023=0,"",[2]对账明细接口!$C$1023),"")</f>
        <v/>
      </c>
      <c r="D1023" s="59" t="str">
        <f aca="false">IFERROR(IF([2]对账明细接口!$D$1023=0,"",[2]对账明细接口!$D$1023),"")</f>
        <v/>
      </c>
      <c r="E1023" s="59" t="str">
        <f aca="false">IFERROR(IF([2]对账明细接口!$E$1023=0,"",[2]对账明细接口!$E$1023),"")</f>
        <v/>
      </c>
      <c r="F1023" s="59" t="str">
        <f aca="false">IFERROR(IF([2]对账明细接口!$F$1023=0,"",[2]对账明细接口!$F$1023),"")</f>
        <v/>
      </c>
      <c r="G1023" s="59" t="str">
        <f aca="false">IFERROR(IF([2]对账明细接口!$G$1023=0,"",[2]对账明细接口!$G$1023),"")</f>
        <v/>
      </c>
      <c r="H1023" s="60" t="str">
        <f aca="false">IFERROR(IF([2]对账明细接口!$H$1023=0,"",[2]对账明细接口!$H$1023),"")</f>
        <v/>
      </c>
      <c r="I1023" s="59" t="str">
        <f aca="false">IFERROR(IF([2]对账明细接口!$I$1023=0,"",[2]对账明细接口!$I$1023),"")</f>
        <v/>
      </c>
      <c r="J1023" s="61" t="str">
        <f aca="false">IFERROR(IF([2]对账明细接口!$J$1023=0,"",[2]对账明细接口!$J$1023),"")</f>
        <v/>
      </c>
      <c r="K1023" s="61" t="str">
        <f aca="false">IFERROR(IF([2]对账明细接口!$K$1023=0,"",[2]对账明细接口!$K$1023),"")</f>
        <v/>
      </c>
      <c r="L1023" s="59" t="str">
        <f aca="false">IFERROR(IF([2]对账明细接口!$L$1023=0,"",[2]对账明细接口!$L$1023),"")</f>
        <v/>
      </c>
      <c r="M1023" s="59" t="str">
        <f aca="false">IFERROR(IF([2]对账明细接口!$M$1023=0,"",[2]对账明细接口!$M$1023),"")</f>
        <v/>
      </c>
      <c r="N1023" s="111" t="n">
        <f aca="false">IF($C1023="",0,1)</f>
        <v>0</v>
      </c>
      <c r="O1023" s="111" t="n">
        <f aca="false">N(O1022)+$N1023</f>
        <v>311</v>
      </c>
      <c r="S1023" s="10" t="str">
        <f aca="false">IFERROR(IF([2]对账明细接口!$N1023=0,"",[2]对账明细接口!$N1023),"")</f>
        <v/>
      </c>
      <c r="T1023" s="112" t="str">
        <f aca="false">IFERROR(IF([2]对账明细接口!$O1023=0,"",[2]对账明细接口!$O1023),"")</f>
        <v/>
      </c>
      <c r="U1023" s="112" t="str">
        <f aca="false">IFERROR(IF([2]对账明细接口!$P1023=0,"",[2]对账明细接口!$P1023),"")</f>
        <v/>
      </c>
      <c r="V1023" s="112" t="str">
        <f aca="false">IFERROR(IF([2]对账明细接口!$Q1023=0,"",[2]对账明细接口!$Q1023),"")</f>
        <v/>
      </c>
      <c r="W1023" s="10" t="str">
        <f aca="false">IFERROR(IF([2]对账明细接口!$R1023=0,"",[2]对账明细接口!$R1023),"")</f>
        <v/>
      </c>
      <c r="X1023" s="10" t="str">
        <f aca="false">IFERROR(IF([2]对账明细接口!$S1023=0,"",[2]对账明细接口!$S1023),"")</f>
        <v/>
      </c>
      <c r="Y1023" s="10" t="str">
        <f aca="false">IFERROR(IF([2]对账明细接口!$T1023=0,"",[2]对账明细接口!$T1023),"")</f>
        <v/>
      </c>
      <c r="Z1023" s="113" t="str">
        <f aca="false">IFERROR(IF([2]对账明细接口!$U1023=0,"",[2]对账明细接口!$U1023),"")</f>
        <v/>
      </c>
      <c r="AA1023" s="113" t="str">
        <f aca="false">IFERROR(IF([2]对账明细接口!$V1023=0,"",[2]对账明细接口!$V1023),"")</f>
        <v/>
      </c>
      <c r="AB1023" s="10" t="str">
        <f aca="false">IFERROR(IF([2]对账明细接口!$W1023=0,"",[2]对账明细接口!$W1023),"")</f>
        <v/>
      </c>
      <c r="AC1023" s="90" t="str">
        <f aca="false">IFERROR(IF([2]对账明细接口!$X1024=0,"",[2]对账明细接口!$X1024),"")</f>
        <v/>
      </c>
      <c r="AD1023" s="90" t="str">
        <f aca="false">IFERROR(IF([2]对账明细接口!$Y1024=0,"",[2]对账明细接口!$Y1024),"")</f>
        <v/>
      </c>
      <c r="AE1023" s="90" t="str">
        <f aca="false">IFERROR(IF([2]对账明细接口!$AA1024=0,"",[2]对账明细接口!$AA1024),"")</f>
        <v/>
      </c>
      <c r="AF1023" s="90" t="str">
        <f aca="false">IFERROR(IF([2]对账明细接口!$AB1024=0,"",[2]对账明细接口!$AB1024),"")</f>
        <v/>
      </c>
      <c r="AG1023" s="90" t="str">
        <f aca="false">IFERROR(IF([2]对账明细接口!$AC1024=0,"",[2]对账明细接口!$AC1024),"")</f>
        <v/>
      </c>
      <c r="AH1023" s="90" t="str">
        <f aca="false">IFERROR(IF([2]对账明细接口!$AD1024=0,"",[2]对账明细接口!$AD1024),"")</f>
        <v/>
      </c>
    </row>
    <row r="1024" customFormat="false" ht="13.5" hidden="false" customHeight="false" outlineLevel="0" collapsed="false">
      <c r="A1024" s="109" t="n">
        <v>1024</v>
      </c>
      <c r="B1024" s="110" t="str">
        <f aca="false">IFERROR(IF([2]对账明细接口!$B$1024=0,"",[2]对账明细接口!$B$1024),"")</f>
        <v/>
      </c>
      <c r="C1024" s="59" t="str">
        <f aca="false">IFERROR(IF([2]对账明细接口!$C$1024=0,"",[2]对账明细接口!$C$1024),"")</f>
        <v/>
      </c>
      <c r="D1024" s="59" t="str">
        <f aca="false">IFERROR(IF([2]对账明细接口!$D$1024=0,"",[2]对账明细接口!$D$1024),"")</f>
        <v/>
      </c>
      <c r="E1024" s="59" t="str">
        <f aca="false">IFERROR(IF([2]对账明细接口!$E$1024=0,"",[2]对账明细接口!$E$1024),"")</f>
        <v/>
      </c>
      <c r="F1024" s="59" t="str">
        <f aca="false">IFERROR(IF([2]对账明细接口!$F$1024=0,"",[2]对账明细接口!$F$1024),"")</f>
        <v/>
      </c>
      <c r="G1024" s="59" t="str">
        <f aca="false">IFERROR(IF([2]对账明细接口!$G$1024=0,"",[2]对账明细接口!$G$1024),"")</f>
        <v/>
      </c>
      <c r="H1024" s="60" t="str">
        <f aca="false">IFERROR(IF([2]对账明细接口!$H$1024=0,"",[2]对账明细接口!$H$1024),"")</f>
        <v/>
      </c>
      <c r="I1024" s="59" t="str">
        <f aca="false">IFERROR(IF([2]对账明细接口!$I$1024=0,"",[2]对账明细接口!$I$1024),"")</f>
        <v/>
      </c>
      <c r="J1024" s="61" t="str">
        <f aca="false">IFERROR(IF([2]对账明细接口!$J$1024=0,"",[2]对账明细接口!$J$1024),"")</f>
        <v/>
      </c>
      <c r="K1024" s="61" t="str">
        <f aca="false">IFERROR(IF([2]对账明细接口!$K$1024=0,"",[2]对账明细接口!$K$1024),"")</f>
        <v/>
      </c>
      <c r="L1024" s="59" t="str">
        <f aca="false">IFERROR(IF([2]对账明细接口!$L$1024=0,"",[2]对账明细接口!$L$1024),"")</f>
        <v/>
      </c>
      <c r="M1024" s="59" t="str">
        <f aca="false">IFERROR(IF([2]对账明细接口!$M$1024=0,"",[2]对账明细接口!$M$1024),"")</f>
        <v/>
      </c>
      <c r="N1024" s="111" t="n">
        <f aca="false">IF($C1024="",0,1)</f>
        <v>0</v>
      </c>
      <c r="O1024" s="111" t="n">
        <f aca="false">N(O1023)+$N1024</f>
        <v>311</v>
      </c>
      <c r="S1024" s="10" t="str">
        <f aca="false">IFERROR(IF([2]对账明细接口!$N1024=0,"",[2]对账明细接口!$N1024),"")</f>
        <v/>
      </c>
      <c r="T1024" s="112" t="str">
        <f aca="false">IFERROR(IF([2]对账明细接口!$O1024=0,"",[2]对账明细接口!$O1024),"")</f>
        <v/>
      </c>
      <c r="U1024" s="112" t="str">
        <f aca="false">IFERROR(IF([2]对账明细接口!$P1024=0,"",[2]对账明细接口!$P1024),"")</f>
        <v/>
      </c>
      <c r="V1024" s="112" t="str">
        <f aca="false">IFERROR(IF([2]对账明细接口!$Q1024=0,"",[2]对账明细接口!$Q1024),"")</f>
        <v/>
      </c>
      <c r="W1024" s="10" t="str">
        <f aca="false">IFERROR(IF([2]对账明细接口!$R1024=0,"",[2]对账明细接口!$R1024),"")</f>
        <v/>
      </c>
      <c r="X1024" s="10" t="str">
        <f aca="false">IFERROR(IF([2]对账明细接口!$S1024=0,"",[2]对账明细接口!$S1024),"")</f>
        <v/>
      </c>
      <c r="Y1024" s="10" t="str">
        <f aca="false">IFERROR(IF([2]对账明细接口!$T1024=0,"",[2]对账明细接口!$T1024),"")</f>
        <v/>
      </c>
      <c r="Z1024" s="113" t="str">
        <f aca="false">IFERROR(IF([2]对账明细接口!$U1024=0,"",[2]对账明细接口!$U1024),"")</f>
        <v/>
      </c>
      <c r="AA1024" s="113" t="str">
        <f aca="false">IFERROR(IF([2]对账明细接口!$V1024=0,"",[2]对账明细接口!$V1024),"")</f>
        <v/>
      </c>
      <c r="AB1024" s="10" t="str">
        <f aca="false">IFERROR(IF([2]对账明细接口!$W1024=0,"",[2]对账明细接口!$W1024),"")</f>
        <v/>
      </c>
      <c r="AC1024" s="90" t="str">
        <f aca="false">IFERROR(IF([2]对账明细接口!$X1025=0,"",[2]对账明细接口!$X1025),"")</f>
        <v/>
      </c>
      <c r="AD1024" s="90" t="str">
        <f aca="false">IFERROR(IF([2]对账明细接口!$Y1025=0,"",[2]对账明细接口!$Y1025),"")</f>
        <v/>
      </c>
      <c r="AE1024" s="90" t="str">
        <f aca="false">IFERROR(IF([2]对账明细接口!$AA1025=0,"",[2]对账明细接口!$AA1025),"")</f>
        <v/>
      </c>
      <c r="AF1024" s="90" t="str">
        <f aca="false">IFERROR(IF([2]对账明细接口!$AB1025=0,"",[2]对账明细接口!$AB1025),"")</f>
        <v/>
      </c>
      <c r="AG1024" s="90" t="str">
        <f aca="false">IFERROR(IF([2]对账明细接口!$AC1025=0,"",[2]对账明细接口!$AC1025),"")</f>
        <v/>
      </c>
      <c r="AH1024" s="90" t="str">
        <f aca="false">IFERROR(IF([2]对账明细接口!$AD1025=0,"",[2]对账明细接口!$AD1025),"")</f>
        <v/>
      </c>
    </row>
    <row r="1025" customFormat="false" ht="13.5" hidden="false" customHeight="false" outlineLevel="0" collapsed="false">
      <c r="A1025" s="109" t="n">
        <v>1025</v>
      </c>
      <c r="B1025" s="110" t="str">
        <f aca="false">IFERROR(IF([2]对账明细接口!$B$1025=0,"",[2]对账明细接口!$B$1025),"")</f>
        <v/>
      </c>
      <c r="C1025" s="59" t="str">
        <f aca="false">IFERROR(IF([2]对账明细接口!$C$1025=0,"",[2]对账明细接口!$C$1025),"")</f>
        <v/>
      </c>
      <c r="D1025" s="59" t="str">
        <f aca="false">IFERROR(IF([2]对账明细接口!$D$1025=0,"",[2]对账明细接口!$D$1025),"")</f>
        <v/>
      </c>
      <c r="E1025" s="59" t="str">
        <f aca="false">IFERROR(IF([2]对账明细接口!$E$1025=0,"",[2]对账明细接口!$E$1025),"")</f>
        <v/>
      </c>
      <c r="F1025" s="59" t="str">
        <f aca="false">IFERROR(IF([2]对账明细接口!$F$1025=0,"",[2]对账明细接口!$F$1025),"")</f>
        <v/>
      </c>
      <c r="G1025" s="59" t="str">
        <f aca="false">IFERROR(IF([2]对账明细接口!$G$1025=0,"",[2]对账明细接口!$G$1025),"")</f>
        <v/>
      </c>
      <c r="H1025" s="60" t="str">
        <f aca="false">IFERROR(IF([2]对账明细接口!$H$1025=0,"",[2]对账明细接口!$H$1025),"")</f>
        <v/>
      </c>
      <c r="I1025" s="59" t="str">
        <f aca="false">IFERROR(IF([2]对账明细接口!$I$1025=0,"",[2]对账明细接口!$I$1025),"")</f>
        <v/>
      </c>
      <c r="J1025" s="61" t="str">
        <f aca="false">IFERROR(IF([2]对账明细接口!$J$1025=0,"",[2]对账明细接口!$J$1025),"")</f>
        <v/>
      </c>
      <c r="K1025" s="61" t="str">
        <f aca="false">IFERROR(IF([2]对账明细接口!$K$1025=0,"",[2]对账明细接口!$K$1025),"")</f>
        <v/>
      </c>
      <c r="L1025" s="59" t="str">
        <f aca="false">IFERROR(IF([2]对账明细接口!$L$1025=0,"",[2]对账明细接口!$L$1025),"")</f>
        <v/>
      </c>
      <c r="M1025" s="59" t="str">
        <f aca="false">IFERROR(IF([2]对账明细接口!$M$1025=0,"",[2]对账明细接口!$M$1025),"")</f>
        <v/>
      </c>
      <c r="N1025" s="111" t="n">
        <f aca="false">IF($C1025="",0,1)</f>
        <v>0</v>
      </c>
      <c r="O1025" s="111" t="n">
        <f aca="false">N(O1024)+$N1025</f>
        <v>311</v>
      </c>
      <c r="S1025" s="10" t="str">
        <f aca="false">IFERROR(IF([2]对账明细接口!$N1025=0,"",[2]对账明细接口!$N1025),"")</f>
        <v/>
      </c>
      <c r="T1025" s="112" t="str">
        <f aca="false">IFERROR(IF([2]对账明细接口!$O1025=0,"",[2]对账明细接口!$O1025),"")</f>
        <v/>
      </c>
      <c r="U1025" s="112" t="str">
        <f aca="false">IFERROR(IF([2]对账明细接口!$P1025=0,"",[2]对账明细接口!$P1025),"")</f>
        <v/>
      </c>
      <c r="V1025" s="112" t="str">
        <f aca="false">IFERROR(IF([2]对账明细接口!$Q1025=0,"",[2]对账明细接口!$Q1025),"")</f>
        <v/>
      </c>
      <c r="W1025" s="10" t="str">
        <f aca="false">IFERROR(IF([2]对账明细接口!$R1025=0,"",[2]对账明细接口!$R1025),"")</f>
        <v/>
      </c>
      <c r="X1025" s="10" t="str">
        <f aca="false">IFERROR(IF([2]对账明细接口!$S1025=0,"",[2]对账明细接口!$S1025),"")</f>
        <v/>
      </c>
      <c r="Y1025" s="10" t="str">
        <f aca="false">IFERROR(IF([2]对账明细接口!$T1025=0,"",[2]对账明细接口!$T1025),"")</f>
        <v/>
      </c>
      <c r="Z1025" s="113" t="str">
        <f aca="false">IFERROR(IF([2]对账明细接口!$U1025=0,"",[2]对账明细接口!$U1025),"")</f>
        <v/>
      </c>
      <c r="AA1025" s="113" t="str">
        <f aca="false">IFERROR(IF([2]对账明细接口!$V1025=0,"",[2]对账明细接口!$V1025),"")</f>
        <v/>
      </c>
      <c r="AB1025" s="10" t="str">
        <f aca="false">IFERROR(IF([2]对账明细接口!$W1025=0,"",[2]对账明细接口!$W1025),"")</f>
        <v/>
      </c>
      <c r="AC1025" s="90" t="str">
        <f aca="false">IFERROR(IF([2]对账明细接口!$X1026=0,"",[2]对账明细接口!$X1026),"")</f>
        <v/>
      </c>
      <c r="AD1025" s="90" t="str">
        <f aca="false">IFERROR(IF([2]对账明细接口!$Y1026=0,"",[2]对账明细接口!$Y1026),"")</f>
        <v/>
      </c>
      <c r="AE1025" s="90" t="str">
        <f aca="false">IFERROR(IF([2]对账明细接口!$AA1026=0,"",[2]对账明细接口!$AA1026),"")</f>
        <v/>
      </c>
      <c r="AF1025" s="90" t="str">
        <f aca="false">IFERROR(IF([2]对账明细接口!$AB1026=0,"",[2]对账明细接口!$AB1026),"")</f>
        <v/>
      </c>
      <c r="AG1025" s="90" t="str">
        <f aca="false">IFERROR(IF([2]对账明细接口!$AC1026=0,"",[2]对账明细接口!$AC1026),"")</f>
        <v/>
      </c>
      <c r="AH1025" s="90" t="str">
        <f aca="false">IFERROR(IF([2]对账明细接口!$AD1026=0,"",[2]对账明细接口!$AD1026),"")</f>
        <v/>
      </c>
    </row>
    <row r="1026" customFormat="false" ht="13.5" hidden="false" customHeight="false" outlineLevel="0" collapsed="false">
      <c r="A1026" s="109" t="n">
        <v>1026</v>
      </c>
      <c r="B1026" s="110" t="str">
        <f aca="false">IFERROR(IF([2]对账明细接口!$B$1026=0,"",[2]对账明细接口!$B$1026),"")</f>
        <v/>
      </c>
      <c r="C1026" s="59" t="str">
        <f aca="false">IFERROR(IF([2]对账明细接口!$C$1026=0,"",[2]对账明细接口!$C$1026),"")</f>
        <v/>
      </c>
      <c r="D1026" s="59" t="str">
        <f aca="false">IFERROR(IF([2]对账明细接口!$D$1026=0,"",[2]对账明细接口!$D$1026),"")</f>
        <v/>
      </c>
      <c r="E1026" s="59" t="str">
        <f aca="false">IFERROR(IF([2]对账明细接口!$E$1026=0,"",[2]对账明细接口!$E$1026),"")</f>
        <v/>
      </c>
      <c r="F1026" s="59" t="str">
        <f aca="false">IFERROR(IF([2]对账明细接口!$F$1026=0,"",[2]对账明细接口!$F$1026),"")</f>
        <v/>
      </c>
      <c r="G1026" s="59" t="str">
        <f aca="false">IFERROR(IF([2]对账明细接口!$G$1026=0,"",[2]对账明细接口!$G$1026),"")</f>
        <v/>
      </c>
      <c r="H1026" s="60" t="str">
        <f aca="false">IFERROR(IF([2]对账明细接口!$H$1026=0,"",[2]对账明细接口!$H$1026),"")</f>
        <v/>
      </c>
      <c r="I1026" s="59" t="str">
        <f aca="false">IFERROR(IF([2]对账明细接口!$I$1026=0,"",[2]对账明细接口!$I$1026),"")</f>
        <v/>
      </c>
      <c r="J1026" s="61" t="str">
        <f aca="false">IFERROR(IF([2]对账明细接口!$J$1026=0,"",[2]对账明细接口!$J$1026),"")</f>
        <v/>
      </c>
      <c r="K1026" s="61" t="str">
        <f aca="false">IFERROR(IF([2]对账明细接口!$K$1026=0,"",[2]对账明细接口!$K$1026),"")</f>
        <v/>
      </c>
      <c r="L1026" s="59" t="str">
        <f aca="false">IFERROR(IF([2]对账明细接口!$L$1026=0,"",[2]对账明细接口!$L$1026),"")</f>
        <v/>
      </c>
      <c r="M1026" s="59" t="str">
        <f aca="false">IFERROR(IF([2]对账明细接口!$M$1026=0,"",[2]对账明细接口!$M$1026),"")</f>
        <v/>
      </c>
      <c r="N1026" s="111" t="n">
        <f aca="false">IF($C1026="",0,1)</f>
        <v>0</v>
      </c>
      <c r="O1026" s="111" t="n">
        <f aca="false">N(O1025)+$N1026</f>
        <v>311</v>
      </c>
      <c r="S1026" s="10" t="str">
        <f aca="false">IFERROR(IF([2]对账明细接口!$N1026=0,"",[2]对账明细接口!$N1026),"")</f>
        <v/>
      </c>
      <c r="T1026" s="112" t="str">
        <f aca="false">IFERROR(IF([2]对账明细接口!$O1026=0,"",[2]对账明细接口!$O1026),"")</f>
        <v/>
      </c>
      <c r="U1026" s="112" t="str">
        <f aca="false">IFERROR(IF([2]对账明细接口!$P1026=0,"",[2]对账明细接口!$P1026),"")</f>
        <v/>
      </c>
      <c r="V1026" s="112" t="str">
        <f aca="false">IFERROR(IF([2]对账明细接口!$Q1026=0,"",[2]对账明细接口!$Q1026),"")</f>
        <v/>
      </c>
      <c r="W1026" s="10" t="str">
        <f aca="false">IFERROR(IF([2]对账明细接口!$R1026=0,"",[2]对账明细接口!$R1026),"")</f>
        <v/>
      </c>
      <c r="X1026" s="10" t="str">
        <f aca="false">IFERROR(IF([2]对账明细接口!$S1026=0,"",[2]对账明细接口!$S1026),"")</f>
        <v/>
      </c>
      <c r="Y1026" s="10" t="str">
        <f aca="false">IFERROR(IF([2]对账明细接口!$T1026=0,"",[2]对账明细接口!$T1026),"")</f>
        <v/>
      </c>
      <c r="Z1026" s="113" t="str">
        <f aca="false">IFERROR(IF([2]对账明细接口!$U1026=0,"",[2]对账明细接口!$U1026),"")</f>
        <v/>
      </c>
      <c r="AA1026" s="113" t="str">
        <f aca="false">IFERROR(IF([2]对账明细接口!$V1026=0,"",[2]对账明细接口!$V1026),"")</f>
        <v/>
      </c>
      <c r="AB1026" s="10" t="str">
        <f aca="false">IFERROR(IF([2]对账明细接口!$W1026=0,"",[2]对账明细接口!$W1026),"")</f>
        <v/>
      </c>
      <c r="AC1026" s="90" t="str">
        <f aca="false">IFERROR(IF([2]对账明细接口!$X1027=0,"",[2]对账明细接口!$X1027),"")</f>
        <v/>
      </c>
      <c r="AD1026" s="90" t="str">
        <f aca="false">IFERROR(IF([2]对账明细接口!$Y1027=0,"",[2]对账明细接口!$Y1027),"")</f>
        <v/>
      </c>
      <c r="AE1026" s="90" t="str">
        <f aca="false">IFERROR(IF([2]对账明细接口!$AA1027=0,"",[2]对账明细接口!$AA1027),"")</f>
        <v/>
      </c>
      <c r="AF1026" s="90" t="str">
        <f aca="false">IFERROR(IF([2]对账明细接口!$AB1027=0,"",[2]对账明细接口!$AB1027),"")</f>
        <v/>
      </c>
      <c r="AG1026" s="90" t="str">
        <f aca="false">IFERROR(IF([2]对账明细接口!$AC1027=0,"",[2]对账明细接口!$AC1027),"")</f>
        <v/>
      </c>
      <c r="AH1026" s="90" t="str">
        <f aca="false">IFERROR(IF([2]对账明细接口!$AD1027=0,"",[2]对账明细接口!$AD1027),"")</f>
        <v/>
      </c>
    </row>
    <row r="1027" customFormat="false" ht="13.5" hidden="false" customHeight="false" outlineLevel="0" collapsed="false">
      <c r="A1027" s="109" t="n">
        <v>1027</v>
      </c>
      <c r="B1027" s="110" t="str">
        <f aca="false">IFERROR(IF([2]对账明细接口!$B$1027=0,"",[2]对账明细接口!$B$1027),"")</f>
        <v/>
      </c>
      <c r="C1027" s="59" t="str">
        <f aca="false">IFERROR(IF([2]对账明细接口!$C$1027=0,"",[2]对账明细接口!$C$1027),"")</f>
        <v/>
      </c>
      <c r="D1027" s="59" t="str">
        <f aca="false">IFERROR(IF([2]对账明细接口!$D$1027=0,"",[2]对账明细接口!$D$1027),"")</f>
        <v/>
      </c>
      <c r="E1027" s="59" t="str">
        <f aca="false">IFERROR(IF([2]对账明细接口!$E$1027=0,"",[2]对账明细接口!$E$1027),"")</f>
        <v/>
      </c>
      <c r="F1027" s="59" t="str">
        <f aca="false">IFERROR(IF([2]对账明细接口!$F$1027=0,"",[2]对账明细接口!$F$1027),"")</f>
        <v/>
      </c>
      <c r="G1027" s="59" t="str">
        <f aca="false">IFERROR(IF([2]对账明细接口!$G$1027=0,"",[2]对账明细接口!$G$1027),"")</f>
        <v/>
      </c>
      <c r="H1027" s="60" t="str">
        <f aca="false">IFERROR(IF([2]对账明细接口!$H$1027=0,"",[2]对账明细接口!$H$1027),"")</f>
        <v/>
      </c>
      <c r="I1027" s="59" t="str">
        <f aca="false">IFERROR(IF([2]对账明细接口!$I$1027=0,"",[2]对账明细接口!$I$1027),"")</f>
        <v/>
      </c>
      <c r="J1027" s="61" t="str">
        <f aca="false">IFERROR(IF([2]对账明细接口!$J$1027=0,"",[2]对账明细接口!$J$1027),"")</f>
        <v/>
      </c>
      <c r="K1027" s="61" t="str">
        <f aca="false">IFERROR(IF([2]对账明细接口!$K$1027=0,"",[2]对账明细接口!$K$1027),"")</f>
        <v/>
      </c>
      <c r="L1027" s="59" t="str">
        <f aca="false">IFERROR(IF([2]对账明细接口!$L$1027=0,"",[2]对账明细接口!$L$1027),"")</f>
        <v/>
      </c>
      <c r="M1027" s="59" t="str">
        <f aca="false">IFERROR(IF([2]对账明细接口!$M$1027=0,"",[2]对账明细接口!$M$1027),"")</f>
        <v/>
      </c>
      <c r="N1027" s="111" t="n">
        <f aca="false">IF($C1027="",0,1)</f>
        <v>0</v>
      </c>
      <c r="O1027" s="111" t="n">
        <f aca="false">N(O1026)+$N1027</f>
        <v>311</v>
      </c>
      <c r="S1027" s="10" t="str">
        <f aca="false">IFERROR(IF([2]对账明细接口!$N1027=0,"",[2]对账明细接口!$N1027),"")</f>
        <v/>
      </c>
      <c r="T1027" s="112" t="str">
        <f aca="false">IFERROR(IF([2]对账明细接口!$O1027=0,"",[2]对账明细接口!$O1027),"")</f>
        <v/>
      </c>
      <c r="U1027" s="112" t="str">
        <f aca="false">IFERROR(IF([2]对账明细接口!$P1027=0,"",[2]对账明细接口!$P1027),"")</f>
        <v/>
      </c>
      <c r="V1027" s="112" t="str">
        <f aca="false">IFERROR(IF([2]对账明细接口!$Q1027=0,"",[2]对账明细接口!$Q1027),"")</f>
        <v/>
      </c>
      <c r="W1027" s="10" t="str">
        <f aca="false">IFERROR(IF([2]对账明细接口!$R1027=0,"",[2]对账明细接口!$R1027),"")</f>
        <v/>
      </c>
      <c r="X1027" s="10" t="str">
        <f aca="false">IFERROR(IF([2]对账明细接口!$S1027=0,"",[2]对账明细接口!$S1027),"")</f>
        <v/>
      </c>
      <c r="Y1027" s="10" t="str">
        <f aca="false">IFERROR(IF([2]对账明细接口!$T1027=0,"",[2]对账明细接口!$T1027),"")</f>
        <v/>
      </c>
      <c r="Z1027" s="113" t="str">
        <f aca="false">IFERROR(IF([2]对账明细接口!$U1027=0,"",[2]对账明细接口!$U1027),"")</f>
        <v/>
      </c>
      <c r="AA1027" s="113" t="str">
        <f aca="false">IFERROR(IF([2]对账明细接口!$V1027=0,"",[2]对账明细接口!$V1027),"")</f>
        <v/>
      </c>
      <c r="AB1027" s="10" t="str">
        <f aca="false">IFERROR(IF([2]对账明细接口!$W1027=0,"",[2]对账明细接口!$W1027),"")</f>
        <v/>
      </c>
      <c r="AC1027" s="90" t="str">
        <f aca="false">IFERROR(IF([2]对账明细接口!$X1028=0,"",[2]对账明细接口!$X1028),"")</f>
        <v/>
      </c>
      <c r="AD1027" s="90" t="str">
        <f aca="false">IFERROR(IF([2]对账明细接口!$Y1028=0,"",[2]对账明细接口!$Y1028),"")</f>
        <v/>
      </c>
      <c r="AE1027" s="90" t="str">
        <f aca="false">IFERROR(IF([2]对账明细接口!$AA1028=0,"",[2]对账明细接口!$AA1028),"")</f>
        <v/>
      </c>
      <c r="AF1027" s="90" t="str">
        <f aca="false">IFERROR(IF([2]对账明细接口!$AB1028=0,"",[2]对账明细接口!$AB1028),"")</f>
        <v/>
      </c>
      <c r="AG1027" s="90" t="str">
        <f aca="false">IFERROR(IF([2]对账明细接口!$AC1028=0,"",[2]对账明细接口!$AC1028),"")</f>
        <v/>
      </c>
      <c r="AH1027" s="90" t="str">
        <f aca="false">IFERROR(IF([2]对账明细接口!$AD1028=0,"",[2]对账明细接口!$AD1028),"")</f>
        <v/>
      </c>
    </row>
    <row r="1028" customFormat="false" ht="13.5" hidden="false" customHeight="false" outlineLevel="0" collapsed="false">
      <c r="A1028" s="109" t="n">
        <v>1028</v>
      </c>
      <c r="B1028" s="110" t="str">
        <f aca="false">IFERROR(IF([2]对账明细接口!$B$1028=0,"",[2]对账明细接口!$B$1028),"")</f>
        <v/>
      </c>
      <c r="C1028" s="59" t="str">
        <f aca="false">IFERROR(IF([2]对账明细接口!$C$1028=0,"",[2]对账明细接口!$C$1028),"")</f>
        <v/>
      </c>
      <c r="D1028" s="59" t="str">
        <f aca="false">IFERROR(IF([2]对账明细接口!$D$1028=0,"",[2]对账明细接口!$D$1028),"")</f>
        <v/>
      </c>
      <c r="E1028" s="59" t="str">
        <f aca="false">IFERROR(IF([2]对账明细接口!$E$1028=0,"",[2]对账明细接口!$E$1028),"")</f>
        <v/>
      </c>
      <c r="F1028" s="59" t="str">
        <f aca="false">IFERROR(IF([2]对账明细接口!$F$1028=0,"",[2]对账明细接口!$F$1028),"")</f>
        <v/>
      </c>
      <c r="G1028" s="59" t="str">
        <f aca="false">IFERROR(IF([2]对账明细接口!$G$1028=0,"",[2]对账明细接口!$G$1028),"")</f>
        <v/>
      </c>
      <c r="H1028" s="60" t="str">
        <f aca="false">IFERROR(IF([2]对账明细接口!$H$1028=0,"",[2]对账明细接口!$H$1028),"")</f>
        <v/>
      </c>
      <c r="I1028" s="59" t="str">
        <f aca="false">IFERROR(IF([2]对账明细接口!$I$1028=0,"",[2]对账明细接口!$I$1028),"")</f>
        <v/>
      </c>
      <c r="J1028" s="61" t="str">
        <f aca="false">IFERROR(IF([2]对账明细接口!$J$1028=0,"",[2]对账明细接口!$J$1028),"")</f>
        <v/>
      </c>
      <c r="K1028" s="61" t="str">
        <f aca="false">IFERROR(IF([2]对账明细接口!$K$1028=0,"",[2]对账明细接口!$K$1028),"")</f>
        <v/>
      </c>
      <c r="L1028" s="59" t="str">
        <f aca="false">IFERROR(IF([2]对账明细接口!$L$1028=0,"",[2]对账明细接口!$L$1028),"")</f>
        <v/>
      </c>
      <c r="M1028" s="59" t="str">
        <f aca="false">IFERROR(IF([2]对账明细接口!$M$1028=0,"",[2]对账明细接口!$M$1028),"")</f>
        <v/>
      </c>
      <c r="N1028" s="111" t="n">
        <f aca="false">IF($C1028="",0,1)</f>
        <v>0</v>
      </c>
      <c r="O1028" s="111" t="n">
        <f aca="false">N(O1027)+$N1028</f>
        <v>311</v>
      </c>
      <c r="S1028" s="10" t="str">
        <f aca="false">IFERROR(IF([2]对账明细接口!$N1028=0,"",[2]对账明细接口!$N1028),"")</f>
        <v/>
      </c>
      <c r="T1028" s="112" t="str">
        <f aca="false">IFERROR(IF([2]对账明细接口!$O1028=0,"",[2]对账明细接口!$O1028),"")</f>
        <v/>
      </c>
      <c r="U1028" s="112" t="str">
        <f aca="false">IFERROR(IF([2]对账明细接口!$P1028=0,"",[2]对账明细接口!$P1028),"")</f>
        <v/>
      </c>
      <c r="V1028" s="112" t="str">
        <f aca="false">IFERROR(IF([2]对账明细接口!$Q1028=0,"",[2]对账明细接口!$Q1028),"")</f>
        <v/>
      </c>
      <c r="W1028" s="10" t="str">
        <f aca="false">IFERROR(IF([2]对账明细接口!$R1028=0,"",[2]对账明细接口!$R1028),"")</f>
        <v/>
      </c>
      <c r="X1028" s="10" t="str">
        <f aca="false">IFERROR(IF([2]对账明细接口!$S1028=0,"",[2]对账明细接口!$S1028),"")</f>
        <v/>
      </c>
      <c r="Y1028" s="10" t="str">
        <f aca="false">IFERROR(IF([2]对账明细接口!$T1028=0,"",[2]对账明细接口!$T1028),"")</f>
        <v/>
      </c>
      <c r="Z1028" s="113" t="str">
        <f aca="false">IFERROR(IF([2]对账明细接口!$U1028=0,"",[2]对账明细接口!$U1028),"")</f>
        <v/>
      </c>
      <c r="AA1028" s="113" t="str">
        <f aca="false">IFERROR(IF([2]对账明细接口!$V1028=0,"",[2]对账明细接口!$V1028),"")</f>
        <v/>
      </c>
      <c r="AB1028" s="10" t="str">
        <f aca="false">IFERROR(IF([2]对账明细接口!$W1028=0,"",[2]对账明细接口!$W1028),"")</f>
        <v/>
      </c>
      <c r="AC1028" s="90" t="str">
        <f aca="false">IFERROR(IF([2]对账明细接口!$X1029=0,"",[2]对账明细接口!$X1029),"")</f>
        <v/>
      </c>
      <c r="AD1028" s="90" t="str">
        <f aca="false">IFERROR(IF([2]对账明细接口!$Y1029=0,"",[2]对账明细接口!$Y1029),"")</f>
        <v/>
      </c>
      <c r="AE1028" s="90" t="str">
        <f aca="false">IFERROR(IF([2]对账明细接口!$AA1029=0,"",[2]对账明细接口!$AA1029),"")</f>
        <v/>
      </c>
      <c r="AF1028" s="90" t="str">
        <f aca="false">IFERROR(IF([2]对账明细接口!$AB1029=0,"",[2]对账明细接口!$AB1029),"")</f>
        <v/>
      </c>
      <c r="AG1028" s="90" t="str">
        <f aca="false">IFERROR(IF([2]对账明细接口!$AC1029=0,"",[2]对账明细接口!$AC1029),"")</f>
        <v/>
      </c>
      <c r="AH1028" s="90" t="str">
        <f aca="false">IFERROR(IF([2]对账明细接口!$AD1029=0,"",[2]对账明细接口!$AD1029),"")</f>
        <v/>
      </c>
    </row>
    <row r="1029" customFormat="false" ht="13.5" hidden="false" customHeight="false" outlineLevel="0" collapsed="false">
      <c r="A1029" s="109" t="n">
        <v>1029</v>
      </c>
      <c r="B1029" s="110" t="str">
        <f aca="false">IFERROR(IF([2]对账明细接口!$B$1029=0,"",[2]对账明细接口!$B$1029),"")</f>
        <v/>
      </c>
      <c r="C1029" s="59" t="str">
        <f aca="false">IFERROR(IF([2]对账明细接口!$C$1029=0,"",[2]对账明细接口!$C$1029),"")</f>
        <v/>
      </c>
      <c r="D1029" s="59" t="str">
        <f aca="false">IFERROR(IF([2]对账明细接口!$D$1029=0,"",[2]对账明细接口!$D$1029),"")</f>
        <v/>
      </c>
      <c r="E1029" s="59" t="str">
        <f aca="false">IFERROR(IF([2]对账明细接口!$E$1029=0,"",[2]对账明细接口!$E$1029),"")</f>
        <v/>
      </c>
      <c r="F1029" s="59" t="str">
        <f aca="false">IFERROR(IF([2]对账明细接口!$F$1029=0,"",[2]对账明细接口!$F$1029),"")</f>
        <v/>
      </c>
      <c r="G1029" s="59" t="str">
        <f aca="false">IFERROR(IF([2]对账明细接口!$G$1029=0,"",[2]对账明细接口!$G$1029),"")</f>
        <v/>
      </c>
      <c r="H1029" s="60" t="str">
        <f aca="false">IFERROR(IF([2]对账明细接口!$H$1029=0,"",[2]对账明细接口!$H$1029),"")</f>
        <v/>
      </c>
      <c r="I1029" s="59" t="str">
        <f aca="false">IFERROR(IF([2]对账明细接口!$I$1029=0,"",[2]对账明细接口!$I$1029),"")</f>
        <v/>
      </c>
      <c r="J1029" s="61" t="str">
        <f aca="false">IFERROR(IF([2]对账明细接口!$J$1029=0,"",[2]对账明细接口!$J$1029),"")</f>
        <v/>
      </c>
      <c r="K1029" s="61" t="str">
        <f aca="false">IFERROR(IF([2]对账明细接口!$K$1029=0,"",[2]对账明细接口!$K$1029),"")</f>
        <v/>
      </c>
      <c r="L1029" s="59" t="str">
        <f aca="false">IFERROR(IF([2]对账明细接口!$L$1029=0,"",[2]对账明细接口!$L$1029),"")</f>
        <v/>
      </c>
      <c r="M1029" s="59" t="str">
        <f aca="false">IFERROR(IF([2]对账明细接口!$M$1029=0,"",[2]对账明细接口!$M$1029),"")</f>
        <v/>
      </c>
      <c r="N1029" s="111" t="n">
        <f aca="false">IF($C1029="",0,1)</f>
        <v>0</v>
      </c>
      <c r="O1029" s="111" t="n">
        <f aca="false">N(O1028)+$N1029</f>
        <v>311</v>
      </c>
      <c r="S1029" s="10" t="str">
        <f aca="false">IFERROR(IF([2]对账明细接口!$N1029=0,"",[2]对账明细接口!$N1029),"")</f>
        <v/>
      </c>
      <c r="T1029" s="112" t="str">
        <f aca="false">IFERROR(IF([2]对账明细接口!$O1029=0,"",[2]对账明细接口!$O1029),"")</f>
        <v/>
      </c>
      <c r="U1029" s="112" t="str">
        <f aca="false">IFERROR(IF([2]对账明细接口!$P1029=0,"",[2]对账明细接口!$P1029),"")</f>
        <v/>
      </c>
      <c r="V1029" s="112" t="str">
        <f aca="false">IFERROR(IF([2]对账明细接口!$Q1029=0,"",[2]对账明细接口!$Q1029),"")</f>
        <v/>
      </c>
      <c r="W1029" s="10" t="str">
        <f aca="false">IFERROR(IF([2]对账明细接口!$R1029=0,"",[2]对账明细接口!$R1029),"")</f>
        <v/>
      </c>
      <c r="X1029" s="10" t="str">
        <f aca="false">IFERROR(IF([2]对账明细接口!$S1029=0,"",[2]对账明细接口!$S1029),"")</f>
        <v/>
      </c>
      <c r="Y1029" s="10" t="str">
        <f aca="false">IFERROR(IF([2]对账明细接口!$T1029=0,"",[2]对账明细接口!$T1029),"")</f>
        <v/>
      </c>
      <c r="Z1029" s="113" t="str">
        <f aca="false">IFERROR(IF([2]对账明细接口!$U1029=0,"",[2]对账明细接口!$U1029),"")</f>
        <v/>
      </c>
      <c r="AA1029" s="113" t="str">
        <f aca="false">IFERROR(IF([2]对账明细接口!$V1029=0,"",[2]对账明细接口!$V1029),"")</f>
        <v/>
      </c>
      <c r="AB1029" s="10" t="str">
        <f aca="false">IFERROR(IF([2]对账明细接口!$W1029=0,"",[2]对账明细接口!$W1029),"")</f>
        <v/>
      </c>
      <c r="AC1029" s="90" t="str">
        <f aca="false">IFERROR(IF([2]对账明细接口!$X1030=0,"",[2]对账明细接口!$X1030),"")</f>
        <v/>
      </c>
      <c r="AD1029" s="90" t="str">
        <f aca="false">IFERROR(IF([2]对账明细接口!$Y1030=0,"",[2]对账明细接口!$Y1030),"")</f>
        <v/>
      </c>
      <c r="AE1029" s="90" t="str">
        <f aca="false">IFERROR(IF([2]对账明细接口!$AA1030=0,"",[2]对账明细接口!$AA1030),"")</f>
        <v/>
      </c>
      <c r="AF1029" s="90" t="str">
        <f aca="false">IFERROR(IF([2]对账明细接口!$AB1030=0,"",[2]对账明细接口!$AB1030),"")</f>
        <v/>
      </c>
      <c r="AG1029" s="90" t="str">
        <f aca="false">IFERROR(IF([2]对账明细接口!$AC1030=0,"",[2]对账明细接口!$AC1030),"")</f>
        <v/>
      </c>
      <c r="AH1029" s="90" t="str">
        <f aca="false">IFERROR(IF([2]对账明细接口!$AD1030=0,"",[2]对账明细接口!$AD1030),"")</f>
        <v/>
      </c>
    </row>
    <row r="1030" customFormat="false" ht="13.5" hidden="false" customHeight="false" outlineLevel="0" collapsed="false">
      <c r="A1030" s="109" t="n">
        <v>1030</v>
      </c>
      <c r="B1030" s="110" t="str">
        <f aca="false">IFERROR(IF([2]对账明细接口!$B$1030=0,"",[2]对账明细接口!$B$1030),"")</f>
        <v/>
      </c>
      <c r="C1030" s="59" t="str">
        <f aca="false">IFERROR(IF([2]对账明细接口!$C$1030=0,"",[2]对账明细接口!$C$1030),"")</f>
        <v/>
      </c>
      <c r="D1030" s="59" t="str">
        <f aca="false">IFERROR(IF([2]对账明细接口!$D$1030=0,"",[2]对账明细接口!$D$1030),"")</f>
        <v/>
      </c>
      <c r="E1030" s="59" t="str">
        <f aca="false">IFERROR(IF([2]对账明细接口!$E$1030=0,"",[2]对账明细接口!$E$1030),"")</f>
        <v/>
      </c>
      <c r="F1030" s="59" t="str">
        <f aca="false">IFERROR(IF([2]对账明细接口!$F$1030=0,"",[2]对账明细接口!$F$1030),"")</f>
        <v/>
      </c>
      <c r="G1030" s="59" t="str">
        <f aca="false">IFERROR(IF([2]对账明细接口!$G$1030=0,"",[2]对账明细接口!$G$1030),"")</f>
        <v/>
      </c>
      <c r="H1030" s="60" t="str">
        <f aca="false">IFERROR(IF([2]对账明细接口!$H$1030=0,"",[2]对账明细接口!$H$1030),"")</f>
        <v/>
      </c>
      <c r="I1030" s="59" t="str">
        <f aca="false">IFERROR(IF([2]对账明细接口!$I$1030=0,"",[2]对账明细接口!$I$1030),"")</f>
        <v/>
      </c>
      <c r="J1030" s="61" t="str">
        <f aca="false">IFERROR(IF([2]对账明细接口!$J$1030=0,"",[2]对账明细接口!$J$1030),"")</f>
        <v/>
      </c>
      <c r="K1030" s="61" t="str">
        <f aca="false">IFERROR(IF([2]对账明细接口!$K$1030=0,"",[2]对账明细接口!$K$1030),"")</f>
        <v/>
      </c>
      <c r="L1030" s="59" t="str">
        <f aca="false">IFERROR(IF([2]对账明细接口!$L$1030=0,"",[2]对账明细接口!$L$1030),"")</f>
        <v/>
      </c>
      <c r="M1030" s="59" t="str">
        <f aca="false">IFERROR(IF([2]对账明细接口!$M$1030=0,"",[2]对账明细接口!$M$1030),"")</f>
        <v/>
      </c>
      <c r="N1030" s="111" t="n">
        <f aca="false">IF($C1030="",0,1)</f>
        <v>0</v>
      </c>
      <c r="O1030" s="111" t="n">
        <f aca="false">N(O1029)+$N1030</f>
        <v>311</v>
      </c>
      <c r="S1030" s="10" t="str">
        <f aca="false">IFERROR(IF([2]对账明细接口!$N1030=0,"",[2]对账明细接口!$N1030),"")</f>
        <v/>
      </c>
      <c r="T1030" s="112" t="str">
        <f aca="false">IFERROR(IF([2]对账明细接口!$O1030=0,"",[2]对账明细接口!$O1030),"")</f>
        <v/>
      </c>
      <c r="U1030" s="112" t="str">
        <f aca="false">IFERROR(IF([2]对账明细接口!$P1030=0,"",[2]对账明细接口!$P1030),"")</f>
        <v/>
      </c>
      <c r="V1030" s="112" t="str">
        <f aca="false">IFERROR(IF([2]对账明细接口!$Q1030=0,"",[2]对账明细接口!$Q1030),"")</f>
        <v/>
      </c>
      <c r="W1030" s="10" t="str">
        <f aca="false">IFERROR(IF([2]对账明细接口!$R1030=0,"",[2]对账明细接口!$R1030),"")</f>
        <v/>
      </c>
      <c r="X1030" s="10" t="str">
        <f aca="false">IFERROR(IF([2]对账明细接口!$S1030=0,"",[2]对账明细接口!$S1030),"")</f>
        <v/>
      </c>
      <c r="Y1030" s="10" t="str">
        <f aca="false">IFERROR(IF([2]对账明细接口!$T1030=0,"",[2]对账明细接口!$T1030),"")</f>
        <v/>
      </c>
      <c r="Z1030" s="113" t="str">
        <f aca="false">IFERROR(IF([2]对账明细接口!$U1030=0,"",[2]对账明细接口!$U1030),"")</f>
        <v/>
      </c>
      <c r="AA1030" s="113" t="str">
        <f aca="false">IFERROR(IF([2]对账明细接口!$V1030=0,"",[2]对账明细接口!$V1030),"")</f>
        <v/>
      </c>
      <c r="AB1030" s="10" t="str">
        <f aca="false">IFERROR(IF([2]对账明细接口!$W1030=0,"",[2]对账明细接口!$W1030),"")</f>
        <v/>
      </c>
      <c r="AC1030" s="90" t="str">
        <f aca="false">IFERROR(IF([2]对账明细接口!$X1031=0,"",[2]对账明细接口!$X1031),"")</f>
        <v/>
      </c>
      <c r="AD1030" s="90" t="str">
        <f aca="false">IFERROR(IF([2]对账明细接口!$Y1031=0,"",[2]对账明细接口!$Y1031),"")</f>
        <v/>
      </c>
      <c r="AE1030" s="90" t="str">
        <f aca="false">IFERROR(IF([2]对账明细接口!$AA1031=0,"",[2]对账明细接口!$AA1031),"")</f>
        <v/>
      </c>
      <c r="AF1030" s="90" t="str">
        <f aca="false">IFERROR(IF([2]对账明细接口!$AB1031=0,"",[2]对账明细接口!$AB1031),"")</f>
        <v/>
      </c>
      <c r="AG1030" s="90" t="str">
        <f aca="false">IFERROR(IF([2]对账明细接口!$AC1031=0,"",[2]对账明细接口!$AC1031),"")</f>
        <v/>
      </c>
      <c r="AH1030" s="90" t="str">
        <f aca="false">IFERROR(IF([2]对账明细接口!$AD1031=0,"",[2]对账明细接口!$AD1031),"")</f>
        <v/>
      </c>
    </row>
    <row r="1031" customFormat="false" ht="13.5" hidden="false" customHeight="false" outlineLevel="0" collapsed="false">
      <c r="A1031" s="109" t="n">
        <v>1031</v>
      </c>
      <c r="B1031" s="110" t="str">
        <f aca="false">IFERROR(IF([2]对账明细接口!$B$1031=0,"",[2]对账明细接口!$B$1031),"")</f>
        <v/>
      </c>
      <c r="C1031" s="59" t="str">
        <f aca="false">IFERROR(IF([2]对账明细接口!$C$1031=0,"",[2]对账明细接口!$C$1031),"")</f>
        <v/>
      </c>
      <c r="D1031" s="59" t="str">
        <f aca="false">IFERROR(IF([2]对账明细接口!$D$1031=0,"",[2]对账明细接口!$D$1031),"")</f>
        <v/>
      </c>
      <c r="E1031" s="59" t="str">
        <f aca="false">IFERROR(IF([2]对账明细接口!$E$1031=0,"",[2]对账明细接口!$E$1031),"")</f>
        <v/>
      </c>
      <c r="F1031" s="59" t="str">
        <f aca="false">IFERROR(IF([2]对账明细接口!$F$1031=0,"",[2]对账明细接口!$F$1031),"")</f>
        <v/>
      </c>
      <c r="G1031" s="59" t="str">
        <f aca="false">IFERROR(IF([2]对账明细接口!$G$1031=0,"",[2]对账明细接口!$G$1031),"")</f>
        <v/>
      </c>
      <c r="H1031" s="60" t="str">
        <f aca="false">IFERROR(IF([2]对账明细接口!$H$1031=0,"",[2]对账明细接口!$H$1031),"")</f>
        <v/>
      </c>
      <c r="I1031" s="59" t="str">
        <f aca="false">IFERROR(IF([2]对账明细接口!$I$1031=0,"",[2]对账明细接口!$I$1031),"")</f>
        <v/>
      </c>
      <c r="J1031" s="61" t="str">
        <f aca="false">IFERROR(IF([2]对账明细接口!$J$1031=0,"",[2]对账明细接口!$J$1031),"")</f>
        <v/>
      </c>
      <c r="K1031" s="61" t="str">
        <f aca="false">IFERROR(IF([2]对账明细接口!$K$1031=0,"",[2]对账明细接口!$K$1031),"")</f>
        <v/>
      </c>
      <c r="L1031" s="59" t="str">
        <f aca="false">IFERROR(IF([2]对账明细接口!$L$1031=0,"",[2]对账明细接口!$L$1031),"")</f>
        <v/>
      </c>
      <c r="M1031" s="59" t="str">
        <f aca="false">IFERROR(IF([2]对账明细接口!$M$1031=0,"",[2]对账明细接口!$M$1031),"")</f>
        <v/>
      </c>
      <c r="N1031" s="111" t="n">
        <f aca="false">IF($C1031="",0,1)</f>
        <v>0</v>
      </c>
      <c r="O1031" s="111" t="n">
        <f aca="false">N(O1030)+$N1031</f>
        <v>311</v>
      </c>
      <c r="S1031" s="10" t="str">
        <f aca="false">IFERROR(IF([2]对账明细接口!$N1031=0,"",[2]对账明细接口!$N1031),"")</f>
        <v/>
      </c>
      <c r="T1031" s="112" t="str">
        <f aca="false">IFERROR(IF([2]对账明细接口!$O1031=0,"",[2]对账明细接口!$O1031),"")</f>
        <v/>
      </c>
      <c r="U1031" s="112" t="str">
        <f aca="false">IFERROR(IF([2]对账明细接口!$P1031=0,"",[2]对账明细接口!$P1031),"")</f>
        <v/>
      </c>
      <c r="V1031" s="112" t="str">
        <f aca="false">IFERROR(IF([2]对账明细接口!$Q1031=0,"",[2]对账明细接口!$Q1031),"")</f>
        <v/>
      </c>
      <c r="W1031" s="10" t="str">
        <f aca="false">IFERROR(IF([2]对账明细接口!$R1031=0,"",[2]对账明细接口!$R1031),"")</f>
        <v/>
      </c>
      <c r="X1031" s="10" t="str">
        <f aca="false">IFERROR(IF([2]对账明细接口!$S1031=0,"",[2]对账明细接口!$S1031),"")</f>
        <v/>
      </c>
      <c r="Y1031" s="10" t="str">
        <f aca="false">IFERROR(IF([2]对账明细接口!$T1031=0,"",[2]对账明细接口!$T1031),"")</f>
        <v/>
      </c>
      <c r="Z1031" s="113" t="str">
        <f aca="false">IFERROR(IF([2]对账明细接口!$U1031=0,"",[2]对账明细接口!$U1031),"")</f>
        <v/>
      </c>
      <c r="AA1031" s="113" t="str">
        <f aca="false">IFERROR(IF([2]对账明细接口!$V1031=0,"",[2]对账明细接口!$V1031),"")</f>
        <v/>
      </c>
      <c r="AB1031" s="10" t="str">
        <f aca="false">IFERROR(IF([2]对账明细接口!$W1031=0,"",[2]对账明细接口!$W1031),"")</f>
        <v/>
      </c>
      <c r="AC1031" s="90" t="str">
        <f aca="false">IFERROR(IF([2]对账明细接口!$X1032=0,"",[2]对账明细接口!$X1032),"")</f>
        <v/>
      </c>
      <c r="AD1031" s="90" t="str">
        <f aca="false">IFERROR(IF([2]对账明细接口!$Y1032=0,"",[2]对账明细接口!$Y1032),"")</f>
        <v/>
      </c>
      <c r="AE1031" s="90" t="str">
        <f aca="false">IFERROR(IF([2]对账明细接口!$AA1032=0,"",[2]对账明细接口!$AA1032),"")</f>
        <v/>
      </c>
      <c r="AF1031" s="90" t="str">
        <f aca="false">IFERROR(IF([2]对账明细接口!$AB1032=0,"",[2]对账明细接口!$AB1032),"")</f>
        <v/>
      </c>
      <c r="AG1031" s="90" t="str">
        <f aca="false">IFERROR(IF([2]对账明细接口!$AC1032=0,"",[2]对账明细接口!$AC1032),"")</f>
        <v/>
      </c>
      <c r="AH1031" s="90" t="str">
        <f aca="false">IFERROR(IF([2]对账明细接口!$AD1032=0,"",[2]对账明细接口!$AD1032),"")</f>
        <v/>
      </c>
    </row>
    <row r="1032" customFormat="false" ht="13.5" hidden="false" customHeight="false" outlineLevel="0" collapsed="false">
      <c r="A1032" s="109" t="n">
        <v>1032</v>
      </c>
      <c r="B1032" s="110" t="str">
        <f aca="false">IFERROR(IF([2]对账明细接口!$B$1032=0,"",[2]对账明细接口!$B$1032),"")</f>
        <v/>
      </c>
      <c r="C1032" s="59" t="str">
        <f aca="false">IFERROR(IF([2]对账明细接口!$C$1032=0,"",[2]对账明细接口!$C$1032),"")</f>
        <v/>
      </c>
      <c r="D1032" s="59" t="str">
        <f aca="false">IFERROR(IF([2]对账明细接口!$D$1032=0,"",[2]对账明细接口!$D$1032),"")</f>
        <v/>
      </c>
      <c r="E1032" s="59" t="str">
        <f aca="false">IFERROR(IF([2]对账明细接口!$E$1032=0,"",[2]对账明细接口!$E$1032),"")</f>
        <v/>
      </c>
      <c r="F1032" s="59" t="str">
        <f aca="false">IFERROR(IF([2]对账明细接口!$F$1032=0,"",[2]对账明细接口!$F$1032),"")</f>
        <v/>
      </c>
      <c r="G1032" s="59" t="str">
        <f aca="false">IFERROR(IF([2]对账明细接口!$G$1032=0,"",[2]对账明细接口!$G$1032),"")</f>
        <v/>
      </c>
      <c r="H1032" s="60" t="str">
        <f aca="false">IFERROR(IF([2]对账明细接口!$H$1032=0,"",[2]对账明细接口!$H$1032),"")</f>
        <v/>
      </c>
      <c r="I1032" s="59" t="str">
        <f aca="false">IFERROR(IF([2]对账明细接口!$I$1032=0,"",[2]对账明细接口!$I$1032),"")</f>
        <v/>
      </c>
      <c r="J1032" s="61" t="str">
        <f aca="false">IFERROR(IF([2]对账明细接口!$J$1032=0,"",[2]对账明细接口!$J$1032),"")</f>
        <v/>
      </c>
      <c r="K1032" s="61" t="str">
        <f aca="false">IFERROR(IF([2]对账明细接口!$K$1032=0,"",[2]对账明细接口!$K$1032),"")</f>
        <v/>
      </c>
      <c r="L1032" s="59" t="str">
        <f aca="false">IFERROR(IF([2]对账明细接口!$L$1032=0,"",[2]对账明细接口!$L$1032),"")</f>
        <v/>
      </c>
      <c r="M1032" s="59" t="str">
        <f aca="false">IFERROR(IF([2]对账明细接口!$M$1032=0,"",[2]对账明细接口!$M$1032),"")</f>
        <v/>
      </c>
      <c r="N1032" s="111" t="n">
        <f aca="false">IF($C1032="",0,1)</f>
        <v>0</v>
      </c>
      <c r="O1032" s="111" t="n">
        <f aca="false">N(O1031)+$N1032</f>
        <v>311</v>
      </c>
      <c r="S1032" s="10" t="str">
        <f aca="false">IFERROR(IF([2]对账明细接口!$N1032=0,"",[2]对账明细接口!$N1032),"")</f>
        <v/>
      </c>
      <c r="T1032" s="112" t="str">
        <f aca="false">IFERROR(IF([2]对账明细接口!$O1032=0,"",[2]对账明细接口!$O1032),"")</f>
        <v/>
      </c>
      <c r="U1032" s="112" t="str">
        <f aca="false">IFERROR(IF([2]对账明细接口!$P1032=0,"",[2]对账明细接口!$P1032),"")</f>
        <v/>
      </c>
      <c r="V1032" s="112" t="str">
        <f aca="false">IFERROR(IF([2]对账明细接口!$Q1032=0,"",[2]对账明细接口!$Q1032),"")</f>
        <v/>
      </c>
      <c r="W1032" s="10" t="str">
        <f aca="false">IFERROR(IF([2]对账明细接口!$R1032=0,"",[2]对账明细接口!$R1032),"")</f>
        <v/>
      </c>
      <c r="X1032" s="10" t="str">
        <f aca="false">IFERROR(IF([2]对账明细接口!$S1032=0,"",[2]对账明细接口!$S1032),"")</f>
        <v/>
      </c>
      <c r="Y1032" s="10" t="str">
        <f aca="false">IFERROR(IF([2]对账明细接口!$T1032=0,"",[2]对账明细接口!$T1032),"")</f>
        <v/>
      </c>
      <c r="Z1032" s="113" t="str">
        <f aca="false">IFERROR(IF([2]对账明细接口!$U1032=0,"",[2]对账明细接口!$U1032),"")</f>
        <v/>
      </c>
      <c r="AA1032" s="113" t="str">
        <f aca="false">IFERROR(IF([2]对账明细接口!$V1032=0,"",[2]对账明细接口!$V1032),"")</f>
        <v/>
      </c>
      <c r="AB1032" s="10" t="str">
        <f aca="false">IFERROR(IF([2]对账明细接口!$W1032=0,"",[2]对账明细接口!$W1032),"")</f>
        <v/>
      </c>
      <c r="AC1032" s="90" t="str">
        <f aca="false">IFERROR(IF([2]对账明细接口!$X1033=0,"",[2]对账明细接口!$X1033),"")</f>
        <v/>
      </c>
      <c r="AD1032" s="90" t="str">
        <f aca="false">IFERROR(IF([2]对账明细接口!$Y1033=0,"",[2]对账明细接口!$Y1033),"")</f>
        <v/>
      </c>
      <c r="AE1032" s="90" t="str">
        <f aca="false">IFERROR(IF([2]对账明细接口!$AA1033=0,"",[2]对账明细接口!$AA1033),"")</f>
        <v/>
      </c>
      <c r="AF1032" s="90" t="str">
        <f aca="false">IFERROR(IF([2]对账明细接口!$AB1033=0,"",[2]对账明细接口!$AB1033),"")</f>
        <v/>
      </c>
      <c r="AG1032" s="90" t="str">
        <f aca="false">IFERROR(IF([2]对账明细接口!$AC1033=0,"",[2]对账明细接口!$AC1033),"")</f>
        <v/>
      </c>
      <c r="AH1032" s="90" t="str">
        <f aca="false">IFERROR(IF([2]对账明细接口!$AD1033=0,"",[2]对账明细接口!$AD1033),"")</f>
        <v/>
      </c>
    </row>
    <row r="1033" customFormat="false" ht="13.5" hidden="false" customHeight="false" outlineLevel="0" collapsed="false">
      <c r="A1033" s="109" t="n">
        <v>1033</v>
      </c>
      <c r="B1033" s="110" t="str">
        <f aca="false">IFERROR(IF([2]对账明细接口!$B$1033=0,"",[2]对账明细接口!$B$1033),"")</f>
        <v/>
      </c>
      <c r="C1033" s="59" t="str">
        <f aca="false">IFERROR(IF([2]对账明细接口!$C$1033=0,"",[2]对账明细接口!$C$1033),"")</f>
        <v/>
      </c>
      <c r="D1033" s="59" t="str">
        <f aca="false">IFERROR(IF([2]对账明细接口!$D$1033=0,"",[2]对账明细接口!$D$1033),"")</f>
        <v/>
      </c>
      <c r="E1033" s="59" t="str">
        <f aca="false">IFERROR(IF([2]对账明细接口!$E$1033=0,"",[2]对账明细接口!$E$1033),"")</f>
        <v/>
      </c>
      <c r="F1033" s="59" t="str">
        <f aca="false">IFERROR(IF([2]对账明细接口!$F$1033=0,"",[2]对账明细接口!$F$1033),"")</f>
        <v/>
      </c>
      <c r="G1033" s="59" t="str">
        <f aca="false">IFERROR(IF([2]对账明细接口!$G$1033=0,"",[2]对账明细接口!$G$1033),"")</f>
        <v/>
      </c>
      <c r="H1033" s="60" t="str">
        <f aca="false">IFERROR(IF([2]对账明细接口!$H$1033=0,"",[2]对账明细接口!$H$1033),"")</f>
        <v/>
      </c>
      <c r="I1033" s="59" t="str">
        <f aca="false">IFERROR(IF([2]对账明细接口!$I$1033=0,"",[2]对账明细接口!$I$1033),"")</f>
        <v/>
      </c>
      <c r="J1033" s="61" t="str">
        <f aca="false">IFERROR(IF([2]对账明细接口!$J$1033=0,"",[2]对账明细接口!$J$1033),"")</f>
        <v/>
      </c>
      <c r="K1033" s="61" t="str">
        <f aca="false">IFERROR(IF([2]对账明细接口!$K$1033=0,"",[2]对账明细接口!$K$1033),"")</f>
        <v/>
      </c>
      <c r="L1033" s="59" t="str">
        <f aca="false">IFERROR(IF([2]对账明细接口!$L$1033=0,"",[2]对账明细接口!$L$1033),"")</f>
        <v/>
      </c>
      <c r="M1033" s="59" t="str">
        <f aca="false">IFERROR(IF([2]对账明细接口!$M$1033=0,"",[2]对账明细接口!$M$1033),"")</f>
        <v/>
      </c>
      <c r="N1033" s="111" t="n">
        <f aca="false">IF($C1033="",0,1)</f>
        <v>0</v>
      </c>
      <c r="O1033" s="111" t="n">
        <f aca="false">N(O1032)+$N1033</f>
        <v>311</v>
      </c>
      <c r="S1033" s="10" t="str">
        <f aca="false">IFERROR(IF([2]对账明细接口!$N1033=0,"",[2]对账明细接口!$N1033),"")</f>
        <v/>
      </c>
      <c r="T1033" s="112" t="str">
        <f aca="false">IFERROR(IF([2]对账明细接口!$O1033=0,"",[2]对账明细接口!$O1033),"")</f>
        <v/>
      </c>
      <c r="U1033" s="112" t="str">
        <f aca="false">IFERROR(IF([2]对账明细接口!$P1033=0,"",[2]对账明细接口!$P1033),"")</f>
        <v/>
      </c>
      <c r="V1033" s="112" t="str">
        <f aca="false">IFERROR(IF([2]对账明细接口!$Q1033=0,"",[2]对账明细接口!$Q1033),"")</f>
        <v/>
      </c>
      <c r="W1033" s="10" t="str">
        <f aca="false">IFERROR(IF([2]对账明细接口!$R1033=0,"",[2]对账明细接口!$R1033),"")</f>
        <v/>
      </c>
      <c r="X1033" s="10" t="str">
        <f aca="false">IFERROR(IF([2]对账明细接口!$S1033=0,"",[2]对账明细接口!$S1033),"")</f>
        <v/>
      </c>
      <c r="Y1033" s="10" t="str">
        <f aca="false">IFERROR(IF([2]对账明细接口!$T1033=0,"",[2]对账明细接口!$T1033),"")</f>
        <v/>
      </c>
      <c r="Z1033" s="113" t="str">
        <f aca="false">IFERROR(IF([2]对账明细接口!$U1033=0,"",[2]对账明细接口!$U1033),"")</f>
        <v/>
      </c>
      <c r="AA1033" s="113" t="str">
        <f aca="false">IFERROR(IF([2]对账明细接口!$V1033=0,"",[2]对账明细接口!$V1033),"")</f>
        <v/>
      </c>
      <c r="AB1033" s="10" t="str">
        <f aca="false">IFERROR(IF([2]对账明细接口!$W1033=0,"",[2]对账明细接口!$W1033),"")</f>
        <v/>
      </c>
      <c r="AC1033" s="90" t="str">
        <f aca="false">IFERROR(IF([2]对账明细接口!$X1034=0,"",[2]对账明细接口!$X1034),"")</f>
        <v/>
      </c>
      <c r="AD1033" s="90" t="str">
        <f aca="false">IFERROR(IF([2]对账明细接口!$Y1034=0,"",[2]对账明细接口!$Y1034),"")</f>
        <v/>
      </c>
      <c r="AE1033" s="90" t="str">
        <f aca="false">IFERROR(IF([2]对账明细接口!$AA1034=0,"",[2]对账明细接口!$AA1034),"")</f>
        <v/>
      </c>
      <c r="AF1033" s="90" t="str">
        <f aca="false">IFERROR(IF([2]对账明细接口!$AB1034=0,"",[2]对账明细接口!$AB1034),"")</f>
        <v/>
      </c>
      <c r="AG1033" s="90" t="str">
        <f aca="false">IFERROR(IF([2]对账明细接口!$AC1034=0,"",[2]对账明细接口!$AC1034),"")</f>
        <v/>
      </c>
      <c r="AH1033" s="90" t="str">
        <f aca="false">IFERROR(IF([2]对账明细接口!$AD1034=0,"",[2]对账明细接口!$AD1034),"")</f>
        <v/>
      </c>
    </row>
    <row r="1034" customFormat="false" ht="13.5" hidden="false" customHeight="false" outlineLevel="0" collapsed="false">
      <c r="A1034" s="109" t="n">
        <v>1034</v>
      </c>
      <c r="B1034" s="110" t="str">
        <f aca="false">IFERROR(IF([2]对账明细接口!$B$1034=0,"",[2]对账明细接口!$B$1034),"")</f>
        <v/>
      </c>
      <c r="C1034" s="59" t="str">
        <f aca="false">IFERROR(IF([2]对账明细接口!$C$1034=0,"",[2]对账明细接口!$C$1034),"")</f>
        <v/>
      </c>
      <c r="D1034" s="59" t="str">
        <f aca="false">IFERROR(IF([2]对账明细接口!$D$1034=0,"",[2]对账明细接口!$D$1034),"")</f>
        <v/>
      </c>
      <c r="E1034" s="59" t="str">
        <f aca="false">IFERROR(IF([2]对账明细接口!$E$1034=0,"",[2]对账明细接口!$E$1034),"")</f>
        <v/>
      </c>
      <c r="F1034" s="59" t="str">
        <f aca="false">IFERROR(IF([2]对账明细接口!$F$1034=0,"",[2]对账明细接口!$F$1034),"")</f>
        <v/>
      </c>
      <c r="G1034" s="59" t="str">
        <f aca="false">IFERROR(IF([2]对账明细接口!$G$1034=0,"",[2]对账明细接口!$G$1034),"")</f>
        <v/>
      </c>
      <c r="H1034" s="60" t="str">
        <f aca="false">IFERROR(IF([2]对账明细接口!$H$1034=0,"",[2]对账明细接口!$H$1034),"")</f>
        <v/>
      </c>
      <c r="I1034" s="59" t="str">
        <f aca="false">IFERROR(IF([2]对账明细接口!$I$1034=0,"",[2]对账明细接口!$I$1034),"")</f>
        <v/>
      </c>
      <c r="J1034" s="61" t="str">
        <f aca="false">IFERROR(IF([2]对账明细接口!$J$1034=0,"",[2]对账明细接口!$J$1034),"")</f>
        <v/>
      </c>
      <c r="K1034" s="61" t="str">
        <f aca="false">IFERROR(IF([2]对账明细接口!$K$1034=0,"",[2]对账明细接口!$K$1034),"")</f>
        <v/>
      </c>
      <c r="L1034" s="59" t="str">
        <f aca="false">IFERROR(IF([2]对账明细接口!$L$1034=0,"",[2]对账明细接口!$L$1034),"")</f>
        <v/>
      </c>
      <c r="M1034" s="59" t="str">
        <f aca="false">IFERROR(IF([2]对账明细接口!$M$1034=0,"",[2]对账明细接口!$M$1034),"")</f>
        <v/>
      </c>
      <c r="N1034" s="111" t="n">
        <f aca="false">IF($C1034="",0,1)</f>
        <v>0</v>
      </c>
      <c r="O1034" s="111" t="n">
        <f aca="false">N(O1033)+$N1034</f>
        <v>311</v>
      </c>
      <c r="S1034" s="10" t="str">
        <f aca="false">IFERROR(IF([2]对账明细接口!$N1034=0,"",[2]对账明细接口!$N1034),"")</f>
        <v/>
      </c>
      <c r="T1034" s="112" t="str">
        <f aca="false">IFERROR(IF([2]对账明细接口!$O1034=0,"",[2]对账明细接口!$O1034),"")</f>
        <v/>
      </c>
      <c r="U1034" s="112" t="str">
        <f aca="false">IFERROR(IF([2]对账明细接口!$P1034=0,"",[2]对账明细接口!$P1034),"")</f>
        <v/>
      </c>
      <c r="V1034" s="112" t="str">
        <f aca="false">IFERROR(IF([2]对账明细接口!$Q1034=0,"",[2]对账明细接口!$Q1034),"")</f>
        <v/>
      </c>
      <c r="W1034" s="10" t="str">
        <f aca="false">IFERROR(IF([2]对账明细接口!$R1034=0,"",[2]对账明细接口!$R1034),"")</f>
        <v/>
      </c>
      <c r="X1034" s="10" t="str">
        <f aca="false">IFERROR(IF([2]对账明细接口!$S1034=0,"",[2]对账明细接口!$S1034),"")</f>
        <v/>
      </c>
      <c r="Y1034" s="10" t="str">
        <f aca="false">IFERROR(IF([2]对账明细接口!$T1034=0,"",[2]对账明细接口!$T1034),"")</f>
        <v/>
      </c>
      <c r="Z1034" s="113" t="str">
        <f aca="false">IFERROR(IF([2]对账明细接口!$U1034=0,"",[2]对账明细接口!$U1034),"")</f>
        <v/>
      </c>
      <c r="AA1034" s="113" t="str">
        <f aca="false">IFERROR(IF([2]对账明细接口!$V1034=0,"",[2]对账明细接口!$V1034),"")</f>
        <v/>
      </c>
      <c r="AB1034" s="10" t="str">
        <f aca="false">IFERROR(IF([2]对账明细接口!$W1034=0,"",[2]对账明细接口!$W1034),"")</f>
        <v/>
      </c>
      <c r="AC1034" s="90" t="str">
        <f aca="false">IFERROR(IF([2]对账明细接口!$X1035=0,"",[2]对账明细接口!$X1035),"")</f>
        <v/>
      </c>
      <c r="AD1034" s="90" t="str">
        <f aca="false">IFERROR(IF([2]对账明细接口!$Y1035=0,"",[2]对账明细接口!$Y1035),"")</f>
        <v/>
      </c>
      <c r="AE1034" s="90" t="str">
        <f aca="false">IFERROR(IF([2]对账明细接口!$AA1035=0,"",[2]对账明细接口!$AA1035),"")</f>
        <v/>
      </c>
      <c r="AF1034" s="90" t="str">
        <f aca="false">IFERROR(IF([2]对账明细接口!$AB1035=0,"",[2]对账明细接口!$AB1035),"")</f>
        <v/>
      </c>
      <c r="AG1034" s="90" t="str">
        <f aca="false">IFERROR(IF([2]对账明细接口!$AC1035=0,"",[2]对账明细接口!$AC1035),"")</f>
        <v/>
      </c>
      <c r="AH1034" s="90" t="str">
        <f aca="false">IFERROR(IF([2]对账明细接口!$AD1035=0,"",[2]对账明细接口!$AD1035),"")</f>
        <v/>
      </c>
    </row>
    <row r="1035" customFormat="false" ht="13.5" hidden="false" customHeight="false" outlineLevel="0" collapsed="false">
      <c r="A1035" s="109" t="n">
        <v>1035</v>
      </c>
      <c r="B1035" s="110" t="str">
        <f aca="false">IFERROR(IF([2]对账明细接口!$B$1035=0,"",[2]对账明细接口!$B$1035),"")</f>
        <v/>
      </c>
      <c r="C1035" s="59" t="str">
        <f aca="false">IFERROR(IF([2]对账明细接口!$C$1035=0,"",[2]对账明细接口!$C$1035),"")</f>
        <v/>
      </c>
      <c r="D1035" s="59" t="str">
        <f aca="false">IFERROR(IF([2]对账明细接口!$D$1035=0,"",[2]对账明细接口!$D$1035),"")</f>
        <v/>
      </c>
      <c r="E1035" s="59" t="str">
        <f aca="false">IFERROR(IF([2]对账明细接口!$E$1035=0,"",[2]对账明细接口!$E$1035),"")</f>
        <v/>
      </c>
      <c r="F1035" s="59" t="str">
        <f aca="false">IFERROR(IF([2]对账明细接口!$F$1035=0,"",[2]对账明细接口!$F$1035),"")</f>
        <v/>
      </c>
      <c r="G1035" s="59" t="str">
        <f aca="false">IFERROR(IF([2]对账明细接口!$G$1035=0,"",[2]对账明细接口!$G$1035),"")</f>
        <v/>
      </c>
      <c r="H1035" s="60" t="str">
        <f aca="false">IFERROR(IF([2]对账明细接口!$H$1035=0,"",[2]对账明细接口!$H$1035),"")</f>
        <v/>
      </c>
      <c r="I1035" s="59" t="str">
        <f aca="false">IFERROR(IF([2]对账明细接口!$I$1035=0,"",[2]对账明细接口!$I$1035),"")</f>
        <v/>
      </c>
      <c r="J1035" s="61" t="str">
        <f aca="false">IFERROR(IF([2]对账明细接口!$J$1035=0,"",[2]对账明细接口!$J$1035),"")</f>
        <v/>
      </c>
      <c r="K1035" s="61" t="str">
        <f aca="false">IFERROR(IF([2]对账明细接口!$K$1035=0,"",[2]对账明细接口!$K$1035),"")</f>
        <v/>
      </c>
      <c r="L1035" s="59" t="str">
        <f aca="false">IFERROR(IF([2]对账明细接口!$L$1035=0,"",[2]对账明细接口!$L$1035),"")</f>
        <v/>
      </c>
      <c r="M1035" s="59" t="str">
        <f aca="false">IFERROR(IF([2]对账明细接口!$M$1035=0,"",[2]对账明细接口!$M$1035),"")</f>
        <v/>
      </c>
      <c r="N1035" s="111" t="n">
        <f aca="false">IF($C1035="",0,1)</f>
        <v>0</v>
      </c>
      <c r="O1035" s="111" t="n">
        <f aca="false">N(O1034)+$N1035</f>
        <v>311</v>
      </c>
      <c r="S1035" s="10" t="str">
        <f aca="false">IFERROR(IF([2]对账明细接口!$N1035=0,"",[2]对账明细接口!$N1035),"")</f>
        <v/>
      </c>
      <c r="T1035" s="112" t="str">
        <f aca="false">IFERROR(IF([2]对账明细接口!$O1035=0,"",[2]对账明细接口!$O1035),"")</f>
        <v/>
      </c>
      <c r="U1035" s="112" t="str">
        <f aca="false">IFERROR(IF([2]对账明细接口!$P1035=0,"",[2]对账明细接口!$P1035),"")</f>
        <v/>
      </c>
      <c r="V1035" s="112" t="str">
        <f aca="false">IFERROR(IF([2]对账明细接口!$Q1035=0,"",[2]对账明细接口!$Q1035),"")</f>
        <v/>
      </c>
      <c r="W1035" s="10" t="str">
        <f aca="false">IFERROR(IF([2]对账明细接口!$R1035=0,"",[2]对账明细接口!$R1035),"")</f>
        <v/>
      </c>
      <c r="X1035" s="10" t="str">
        <f aca="false">IFERROR(IF([2]对账明细接口!$S1035=0,"",[2]对账明细接口!$S1035),"")</f>
        <v/>
      </c>
      <c r="Y1035" s="10" t="str">
        <f aca="false">IFERROR(IF([2]对账明细接口!$T1035=0,"",[2]对账明细接口!$T1035),"")</f>
        <v/>
      </c>
      <c r="Z1035" s="113" t="str">
        <f aca="false">IFERROR(IF([2]对账明细接口!$U1035=0,"",[2]对账明细接口!$U1035),"")</f>
        <v/>
      </c>
      <c r="AA1035" s="113" t="str">
        <f aca="false">IFERROR(IF([2]对账明细接口!$V1035=0,"",[2]对账明细接口!$V1035),"")</f>
        <v/>
      </c>
      <c r="AB1035" s="10" t="str">
        <f aca="false">IFERROR(IF([2]对账明细接口!$W1035=0,"",[2]对账明细接口!$W1035),"")</f>
        <v/>
      </c>
      <c r="AC1035" s="90" t="str">
        <f aca="false">IFERROR(IF([2]对账明细接口!$X1036=0,"",[2]对账明细接口!$X1036),"")</f>
        <v/>
      </c>
      <c r="AD1035" s="90" t="str">
        <f aca="false">IFERROR(IF([2]对账明细接口!$Y1036=0,"",[2]对账明细接口!$Y1036),"")</f>
        <v/>
      </c>
      <c r="AE1035" s="90" t="str">
        <f aca="false">IFERROR(IF([2]对账明细接口!$AA1036=0,"",[2]对账明细接口!$AA1036),"")</f>
        <v/>
      </c>
      <c r="AF1035" s="90" t="str">
        <f aca="false">IFERROR(IF([2]对账明细接口!$AB1036=0,"",[2]对账明细接口!$AB1036),"")</f>
        <v/>
      </c>
      <c r="AG1035" s="90" t="str">
        <f aca="false">IFERROR(IF([2]对账明细接口!$AC1036=0,"",[2]对账明细接口!$AC1036),"")</f>
        <v/>
      </c>
      <c r="AH1035" s="90" t="str">
        <f aca="false">IFERROR(IF([2]对账明细接口!$AD1036=0,"",[2]对账明细接口!$AD1036),"")</f>
        <v/>
      </c>
    </row>
    <row r="1036" customFormat="false" ht="13.5" hidden="false" customHeight="false" outlineLevel="0" collapsed="false">
      <c r="A1036" s="109" t="n">
        <v>1036</v>
      </c>
      <c r="B1036" s="110" t="str">
        <f aca="false">IFERROR(IF([2]对账明细接口!$B$1036=0,"",[2]对账明细接口!$B$1036),"")</f>
        <v/>
      </c>
      <c r="C1036" s="59" t="str">
        <f aca="false">IFERROR(IF([2]对账明细接口!$C$1036=0,"",[2]对账明细接口!$C$1036),"")</f>
        <v/>
      </c>
      <c r="D1036" s="59" t="str">
        <f aca="false">IFERROR(IF([2]对账明细接口!$D$1036=0,"",[2]对账明细接口!$D$1036),"")</f>
        <v/>
      </c>
      <c r="E1036" s="59" t="str">
        <f aca="false">IFERROR(IF([2]对账明细接口!$E$1036=0,"",[2]对账明细接口!$E$1036),"")</f>
        <v/>
      </c>
      <c r="F1036" s="59" t="str">
        <f aca="false">IFERROR(IF([2]对账明细接口!$F$1036=0,"",[2]对账明细接口!$F$1036),"")</f>
        <v/>
      </c>
      <c r="G1036" s="59" t="str">
        <f aca="false">IFERROR(IF([2]对账明细接口!$G$1036=0,"",[2]对账明细接口!$G$1036),"")</f>
        <v/>
      </c>
      <c r="H1036" s="60" t="str">
        <f aca="false">IFERROR(IF([2]对账明细接口!$H$1036=0,"",[2]对账明细接口!$H$1036),"")</f>
        <v/>
      </c>
      <c r="I1036" s="59" t="str">
        <f aca="false">IFERROR(IF([2]对账明细接口!$I$1036=0,"",[2]对账明细接口!$I$1036),"")</f>
        <v/>
      </c>
      <c r="J1036" s="61" t="str">
        <f aca="false">IFERROR(IF([2]对账明细接口!$J$1036=0,"",[2]对账明细接口!$J$1036),"")</f>
        <v/>
      </c>
      <c r="K1036" s="61" t="str">
        <f aca="false">IFERROR(IF([2]对账明细接口!$K$1036=0,"",[2]对账明细接口!$K$1036),"")</f>
        <v/>
      </c>
      <c r="L1036" s="59" t="str">
        <f aca="false">IFERROR(IF([2]对账明细接口!$L$1036=0,"",[2]对账明细接口!$L$1036),"")</f>
        <v/>
      </c>
      <c r="M1036" s="59" t="str">
        <f aca="false">IFERROR(IF([2]对账明细接口!$M$1036=0,"",[2]对账明细接口!$M$1036),"")</f>
        <v/>
      </c>
      <c r="N1036" s="111" t="n">
        <f aca="false">IF($C1036="",0,1)</f>
        <v>0</v>
      </c>
      <c r="O1036" s="111" t="n">
        <f aca="false">N(O1035)+$N1036</f>
        <v>311</v>
      </c>
      <c r="S1036" s="10" t="str">
        <f aca="false">IFERROR(IF([2]对账明细接口!$N1036=0,"",[2]对账明细接口!$N1036),"")</f>
        <v/>
      </c>
      <c r="T1036" s="112" t="str">
        <f aca="false">IFERROR(IF([2]对账明细接口!$O1036=0,"",[2]对账明细接口!$O1036),"")</f>
        <v/>
      </c>
      <c r="U1036" s="112" t="str">
        <f aca="false">IFERROR(IF([2]对账明细接口!$P1036=0,"",[2]对账明细接口!$P1036),"")</f>
        <v/>
      </c>
      <c r="V1036" s="112" t="str">
        <f aca="false">IFERROR(IF([2]对账明细接口!$Q1036=0,"",[2]对账明细接口!$Q1036),"")</f>
        <v/>
      </c>
      <c r="W1036" s="10" t="str">
        <f aca="false">IFERROR(IF([2]对账明细接口!$R1036=0,"",[2]对账明细接口!$R1036),"")</f>
        <v/>
      </c>
      <c r="X1036" s="10" t="str">
        <f aca="false">IFERROR(IF([2]对账明细接口!$S1036=0,"",[2]对账明细接口!$S1036),"")</f>
        <v/>
      </c>
      <c r="Y1036" s="10" t="str">
        <f aca="false">IFERROR(IF([2]对账明细接口!$T1036=0,"",[2]对账明细接口!$T1036),"")</f>
        <v/>
      </c>
      <c r="Z1036" s="113" t="str">
        <f aca="false">IFERROR(IF([2]对账明细接口!$U1036=0,"",[2]对账明细接口!$U1036),"")</f>
        <v/>
      </c>
      <c r="AA1036" s="113" t="str">
        <f aca="false">IFERROR(IF([2]对账明细接口!$V1036=0,"",[2]对账明细接口!$V1036),"")</f>
        <v/>
      </c>
      <c r="AB1036" s="10" t="str">
        <f aca="false">IFERROR(IF([2]对账明细接口!$W1036=0,"",[2]对账明细接口!$W1036),"")</f>
        <v/>
      </c>
      <c r="AC1036" s="90" t="str">
        <f aca="false">IFERROR(IF([2]对账明细接口!$X1037=0,"",[2]对账明细接口!$X1037),"")</f>
        <v/>
      </c>
      <c r="AD1036" s="90" t="str">
        <f aca="false">IFERROR(IF([2]对账明细接口!$Y1037=0,"",[2]对账明细接口!$Y1037),"")</f>
        <v/>
      </c>
      <c r="AE1036" s="90" t="str">
        <f aca="false">IFERROR(IF([2]对账明细接口!$AA1037=0,"",[2]对账明细接口!$AA1037),"")</f>
        <v/>
      </c>
      <c r="AF1036" s="90" t="str">
        <f aca="false">IFERROR(IF([2]对账明细接口!$AB1037=0,"",[2]对账明细接口!$AB1037),"")</f>
        <v/>
      </c>
      <c r="AG1036" s="90" t="str">
        <f aca="false">IFERROR(IF([2]对账明细接口!$AC1037=0,"",[2]对账明细接口!$AC1037),"")</f>
        <v/>
      </c>
      <c r="AH1036" s="90" t="str">
        <f aca="false">IFERROR(IF([2]对账明细接口!$AD1037=0,"",[2]对账明细接口!$AD1037),"")</f>
        <v/>
      </c>
    </row>
    <row r="1037" customFormat="false" ht="13.5" hidden="false" customHeight="false" outlineLevel="0" collapsed="false">
      <c r="A1037" s="109" t="n">
        <v>1037</v>
      </c>
      <c r="B1037" s="110" t="str">
        <f aca="false">IFERROR(IF([2]对账明细接口!$B$1037=0,"",[2]对账明细接口!$B$1037),"")</f>
        <v/>
      </c>
      <c r="C1037" s="59" t="str">
        <f aca="false">IFERROR(IF([2]对账明细接口!$C$1037=0,"",[2]对账明细接口!$C$1037),"")</f>
        <v/>
      </c>
      <c r="D1037" s="59" t="str">
        <f aca="false">IFERROR(IF([2]对账明细接口!$D$1037=0,"",[2]对账明细接口!$D$1037),"")</f>
        <v/>
      </c>
      <c r="E1037" s="59" t="str">
        <f aca="false">IFERROR(IF([2]对账明细接口!$E$1037=0,"",[2]对账明细接口!$E$1037),"")</f>
        <v/>
      </c>
      <c r="F1037" s="59" t="str">
        <f aca="false">IFERROR(IF([2]对账明细接口!$F$1037=0,"",[2]对账明细接口!$F$1037),"")</f>
        <v/>
      </c>
      <c r="G1037" s="59" t="str">
        <f aca="false">IFERROR(IF([2]对账明细接口!$G$1037=0,"",[2]对账明细接口!$G$1037),"")</f>
        <v/>
      </c>
      <c r="H1037" s="60" t="str">
        <f aca="false">IFERROR(IF([2]对账明细接口!$H$1037=0,"",[2]对账明细接口!$H$1037),"")</f>
        <v/>
      </c>
      <c r="I1037" s="59" t="str">
        <f aca="false">IFERROR(IF([2]对账明细接口!$I$1037=0,"",[2]对账明细接口!$I$1037),"")</f>
        <v/>
      </c>
      <c r="J1037" s="61" t="str">
        <f aca="false">IFERROR(IF([2]对账明细接口!$J$1037=0,"",[2]对账明细接口!$J$1037),"")</f>
        <v/>
      </c>
      <c r="K1037" s="61" t="str">
        <f aca="false">IFERROR(IF([2]对账明细接口!$K$1037=0,"",[2]对账明细接口!$K$1037),"")</f>
        <v/>
      </c>
      <c r="L1037" s="59" t="str">
        <f aca="false">IFERROR(IF([2]对账明细接口!$L$1037=0,"",[2]对账明细接口!$L$1037),"")</f>
        <v/>
      </c>
      <c r="M1037" s="59" t="str">
        <f aca="false">IFERROR(IF([2]对账明细接口!$M$1037=0,"",[2]对账明细接口!$M$1037),"")</f>
        <v/>
      </c>
      <c r="N1037" s="111" t="n">
        <f aca="false">IF($C1037="",0,1)</f>
        <v>0</v>
      </c>
      <c r="O1037" s="111" t="n">
        <f aca="false">N(O1036)+$N1037</f>
        <v>311</v>
      </c>
      <c r="S1037" s="10" t="str">
        <f aca="false">IFERROR(IF([2]对账明细接口!$N1037=0,"",[2]对账明细接口!$N1037),"")</f>
        <v/>
      </c>
      <c r="T1037" s="112" t="str">
        <f aca="false">IFERROR(IF([2]对账明细接口!$O1037=0,"",[2]对账明细接口!$O1037),"")</f>
        <v/>
      </c>
      <c r="U1037" s="112" t="str">
        <f aca="false">IFERROR(IF([2]对账明细接口!$P1037=0,"",[2]对账明细接口!$P1037),"")</f>
        <v/>
      </c>
      <c r="V1037" s="112" t="str">
        <f aca="false">IFERROR(IF([2]对账明细接口!$Q1037=0,"",[2]对账明细接口!$Q1037),"")</f>
        <v/>
      </c>
      <c r="W1037" s="10" t="str">
        <f aca="false">IFERROR(IF([2]对账明细接口!$R1037=0,"",[2]对账明细接口!$R1037),"")</f>
        <v/>
      </c>
      <c r="X1037" s="10" t="str">
        <f aca="false">IFERROR(IF([2]对账明细接口!$S1037=0,"",[2]对账明细接口!$S1037),"")</f>
        <v/>
      </c>
      <c r="Y1037" s="10" t="str">
        <f aca="false">IFERROR(IF([2]对账明细接口!$T1037=0,"",[2]对账明细接口!$T1037),"")</f>
        <v/>
      </c>
      <c r="Z1037" s="113" t="str">
        <f aca="false">IFERROR(IF([2]对账明细接口!$U1037=0,"",[2]对账明细接口!$U1037),"")</f>
        <v/>
      </c>
      <c r="AA1037" s="113" t="str">
        <f aca="false">IFERROR(IF([2]对账明细接口!$V1037=0,"",[2]对账明细接口!$V1037),"")</f>
        <v/>
      </c>
      <c r="AB1037" s="10" t="str">
        <f aca="false">IFERROR(IF([2]对账明细接口!$W1037=0,"",[2]对账明细接口!$W1037),"")</f>
        <v/>
      </c>
      <c r="AC1037" s="90" t="str">
        <f aca="false">IFERROR(IF([2]对账明细接口!$X1038=0,"",[2]对账明细接口!$X1038),"")</f>
        <v/>
      </c>
      <c r="AD1037" s="90" t="str">
        <f aca="false">IFERROR(IF([2]对账明细接口!$Y1038=0,"",[2]对账明细接口!$Y1038),"")</f>
        <v/>
      </c>
      <c r="AE1037" s="90" t="str">
        <f aca="false">IFERROR(IF([2]对账明细接口!$AA1038=0,"",[2]对账明细接口!$AA1038),"")</f>
        <v/>
      </c>
      <c r="AF1037" s="90" t="str">
        <f aca="false">IFERROR(IF([2]对账明细接口!$AB1038=0,"",[2]对账明细接口!$AB1038),"")</f>
        <v/>
      </c>
      <c r="AG1037" s="90" t="str">
        <f aca="false">IFERROR(IF([2]对账明细接口!$AC1038=0,"",[2]对账明细接口!$AC1038),"")</f>
        <v/>
      </c>
      <c r="AH1037" s="90" t="str">
        <f aca="false">IFERROR(IF([2]对账明细接口!$AD1038=0,"",[2]对账明细接口!$AD1038),"")</f>
        <v/>
      </c>
    </row>
    <row r="1038" customFormat="false" ht="13.5" hidden="false" customHeight="false" outlineLevel="0" collapsed="false">
      <c r="A1038" s="109" t="n">
        <v>1038</v>
      </c>
      <c r="B1038" s="110" t="str">
        <f aca="false">IFERROR(IF([2]对账明细接口!$B$1038=0,"",[2]对账明细接口!$B$1038),"")</f>
        <v/>
      </c>
      <c r="C1038" s="59" t="str">
        <f aca="false">IFERROR(IF([2]对账明细接口!$C$1038=0,"",[2]对账明细接口!$C$1038),"")</f>
        <v/>
      </c>
      <c r="D1038" s="59" t="str">
        <f aca="false">IFERROR(IF([2]对账明细接口!$D$1038=0,"",[2]对账明细接口!$D$1038),"")</f>
        <v/>
      </c>
      <c r="E1038" s="59" t="str">
        <f aca="false">IFERROR(IF([2]对账明细接口!$E$1038=0,"",[2]对账明细接口!$E$1038),"")</f>
        <v/>
      </c>
      <c r="F1038" s="59" t="str">
        <f aca="false">IFERROR(IF([2]对账明细接口!$F$1038=0,"",[2]对账明细接口!$F$1038),"")</f>
        <v/>
      </c>
      <c r="G1038" s="59" t="str">
        <f aca="false">IFERROR(IF([2]对账明细接口!$G$1038=0,"",[2]对账明细接口!$G$1038),"")</f>
        <v/>
      </c>
      <c r="H1038" s="60" t="str">
        <f aca="false">IFERROR(IF([2]对账明细接口!$H$1038=0,"",[2]对账明细接口!$H$1038),"")</f>
        <v/>
      </c>
      <c r="I1038" s="59" t="str">
        <f aca="false">IFERROR(IF([2]对账明细接口!$I$1038=0,"",[2]对账明细接口!$I$1038),"")</f>
        <v/>
      </c>
      <c r="J1038" s="61" t="str">
        <f aca="false">IFERROR(IF([2]对账明细接口!$J$1038=0,"",[2]对账明细接口!$J$1038),"")</f>
        <v/>
      </c>
      <c r="K1038" s="61" t="str">
        <f aca="false">IFERROR(IF([2]对账明细接口!$K$1038=0,"",[2]对账明细接口!$K$1038),"")</f>
        <v/>
      </c>
      <c r="L1038" s="59" t="str">
        <f aca="false">IFERROR(IF([2]对账明细接口!$L$1038=0,"",[2]对账明细接口!$L$1038),"")</f>
        <v/>
      </c>
      <c r="M1038" s="59" t="str">
        <f aca="false">IFERROR(IF([2]对账明细接口!$M$1038=0,"",[2]对账明细接口!$M$1038),"")</f>
        <v/>
      </c>
      <c r="N1038" s="111" t="n">
        <f aca="false">IF($C1038="",0,1)</f>
        <v>0</v>
      </c>
      <c r="O1038" s="111" t="n">
        <f aca="false">N(O1037)+$N1038</f>
        <v>311</v>
      </c>
      <c r="S1038" s="10" t="str">
        <f aca="false">IFERROR(IF([2]对账明细接口!$N1038=0,"",[2]对账明细接口!$N1038),"")</f>
        <v/>
      </c>
      <c r="T1038" s="112" t="str">
        <f aca="false">IFERROR(IF([2]对账明细接口!$O1038=0,"",[2]对账明细接口!$O1038),"")</f>
        <v/>
      </c>
      <c r="U1038" s="112" t="str">
        <f aca="false">IFERROR(IF([2]对账明细接口!$P1038=0,"",[2]对账明细接口!$P1038),"")</f>
        <v/>
      </c>
      <c r="V1038" s="112" t="str">
        <f aca="false">IFERROR(IF([2]对账明细接口!$Q1038=0,"",[2]对账明细接口!$Q1038),"")</f>
        <v/>
      </c>
      <c r="W1038" s="10" t="str">
        <f aca="false">IFERROR(IF([2]对账明细接口!$R1038=0,"",[2]对账明细接口!$R1038),"")</f>
        <v/>
      </c>
      <c r="X1038" s="10" t="str">
        <f aca="false">IFERROR(IF([2]对账明细接口!$S1038=0,"",[2]对账明细接口!$S1038),"")</f>
        <v/>
      </c>
      <c r="Y1038" s="10" t="str">
        <f aca="false">IFERROR(IF([2]对账明细接口!$T1038=0,"",[2]对账明细接口!$T1038),"")</f>
        <v/>
      </c>
      <c r="Z1038" s="113" t="str">
        <f aca="false">IFERROR(IF([2]对账明细接口!$U1038=0,"",[2]对账明细接口!$U1038),"")</f>
        <v/>
      </c>
      <c r="AA1038" s="113" t="str">
        <f aca="false">IFERROR(IF([2]对账明细接口!$V1038=0,"",[2]对账明细接口!$V1038),"")</f>
        <v/>
      </c>
      <c r="AB1038" s="10" t="str">
        <f aca="false">IFERROR(IF([2]对账明细接口!$W1038=0,"",[2]对账明细接口!$W1038),"")</f>
        <v/>
      </c>
      <c r="AC1038" s="90" t="str">
        <f aca="false">IFERROR(IF([2]对账明细接口!$X1039=0,"",[2]对账明细接口!$X1039),"")</f>
        <v/>
      </c>
      <c r="AD1038" s="90" t="str">
        <f aca="false">IFERROR(IF([2]对账明细接口!$Y1039=0,"",[2]对账明细接口!$Y1039),"")</f>
        <v/>
      </c>
      <c r="AE1038" s="90" t="str">
        <f aca="false">IFERROR(IF([2]对账明细接口!$AA1039=0,"",[2]对账明细接口!$AA1039),"")</f>
        <v/>
      </c>
      <c r="AF1038" s="90" t="str">
        <f aca="false">IFERROR(IF([2]对账明细接口!$AB1039=0,"",[2]对账明细接口!$AB1039),"")</f>
        <v/>
      </c>
      <c r="AG1038" s="90" t="str">
        <f aca="false">IFERROR(IF([2]对账明细接口!$AC1039=0,"",[2]对账明细接口!$AC1039),"")</f>
        <v/>
      </c>
      <c r="AH1038" s="90" t="str">
        <f aca="false">IFERROR(IF([2]对账明细接口!$AD1039=0,"",[2]对账明细接口!$AD1039),"")</f>
        <v/>
      </c>
    </row>
    <row r="1039" customFormat="false" ht="13.5" hidden="false" customHeight="false" outlineLevel="0" collapsed="false">
      <c r="A1039" s="109" t="n">
        <v>1039</v>
      </c>
      <c r="B1039" s="110" t="str">
        <f aca="false">IFERROR(IF([2]对账明细接口!$B$1039=0,"",[2]对账明细接口!$B$1039),"")</f>
        <v/>
      </c>
      <c r="C1039" s="59" t="str">
        <f aca="false">IFERROR(IF([2]对账明细接口!$C$1039=0,"",[2]对账明细接口!$C$1039),"")</f>
        <v/>
      </c>
      <c r="D1039" s="59" t="str">
        <f aca="false">IFERROR(IF([2]对账明细接口!$D$1039=0,"",[2]对账明细接口!$D$1039),"")</f>
        <v/>
      </c>
      <c r="E1039" s="59" t="str">
        <f aca="false">IFERROR(IF([2]对账明细接口!$E$1039=0,"",[2]对账明细接口!$E$1039),"")</f>
        <v/>
      </c>
      <c r="F1039" s="59" t="str">
        <f aca="false">IFERROR(IF([2]对账明细接口!$F$1039=0,"",[2]对账明细接口!$F$1039),"")</f>
        <v/>
      </c>
      <c r="G1039" s="59" t="str">
        <f aca="false">IFERROR(IF([2]对账明细接口!$G$1039=0,"",[2]对账明细接口!$G$1039),"")</f>
        <v/>
      </c>
      <c r="H1039" s="60" t="str">
        <f aca="false">IFERROR(IF([2]对账明细接口!$H$1039=0,"",[2]对账明细接口!$H$1039),"")</f>
        <v/>
      </c>
      <c r="I1039" s="59" t="str">
        <f aca="false">IFERROR(IF([2]对账明细接口!$I$1039=0,"",[2]对账明细接口!$I$1039),"")</f>
        <v/>
      </c>
      <c r="J1039" s="61" t="str">
        <f aca="false">IFERROR(IF([2]对账明细接口!$J$1039=0,"",[2]对账明细接口!$J$1039),"")</f>
        <v/>
      </c>
      <c r="K1039" s="61" t="str">
        <f aca="false">IFERROR(IF([2]对账明细接口!$K$1039=0,"",[2]对账明细接口!$K$1039),"")</f>
        <v/>
      </c>
      <c r="L1039" s="59" t="str">
        <f aca="false">IFERROR(IF([2]对账明细接口!$L$1039=0,"",[2]对账明细接口!$L$1039),"")</f>
        <v/>
      </c>
      <c r="M1039" s="59" t="str">
        <f aca="false">IFERROR(IF([2]对账明细接口!$M$1039=0,"",[2]对账明细接口!$M$1039),"")</f>
        <v/>
      </c>
      <c r="N1039" s="111" t="n">
        <f aca="false">IF($C1039="",0,1)</f>
        <v>0</v>
      </c>
      <c r="O1039" s="111" t="n">
        <f aca="false">N(O1038)+$N1039</f>
        <v>311</v>
      </c>
      <c r="S1039" s="10" t="str">
        <f aca="false">IFERROR(IF([2]对账明细接口!$N1039=0,"",[2]对账明细接口!$N1039),"")</f>
        <v/>
      </c>
      <c r="T1039" s="112" t="str">
        <f aca="false">IFERROR(IF([2]对账明细接口!$O1039=0,"",[2]对账明细接口!$O1039),"")</f>
        <v/>
      </c>
      <c r="U1039" s="112" t="str">
        <f aca="false">IFERROR(IF([2]对账明细接口!$P1039=0,"",[2]对账明细接口!$P1039),"")</f>
        <v/>
      </c>
      <c r="V1039" s="112" t="str">
        <f aca="false">IFERROR(IF([2]对账明细接口!$Q1039=0,"",[2]对账明细接口!$Q1039),"")</f>
        <v/>
      </c>
      <c r="W1039" s="10" t="str">
        <f aca="false">IFERROR(IF([2]对账明细接口!$R1039=0,"",[2]对账明细接口!$R1039),"")</f>
        <v/>
      </c>
      <c r="X1039" s="10" t="str">
        <f aca="false">IFERROR(IF([2]对账明细接口!$S1039=0,"",[2]对账明细接口!$S1039),"")</f>
        <v/>
      </c>
      <c r="Y1039" s="10" t="str">
        <f aca="false">IFERROR(IF([2]对账明细接口!$T1039=0,"",[2]对账明细接口!$T1039),"")</f>
        <v/>
      </c>
      <c r="Z1039" s="113" t="str">
        <f aca="false">IFERROR(IF([2]对账明细接口!$U1039=0,"",[2]对账明细接口!$U1039),"")</f>
        <v/>
      </c>
      <c r="AA1039" s="113" t="str">
        <f aca="false">IFERROR(IF([2]对账明细接口!$V1039=0,"",[2]对账明细接口!$V1039),"")</f>
        <v/>
      </c>
      <c r="AB1039" s="10" t="str">
        <f aca="false">IFERROR(IF([2]对账明细接口!$W1039=0,"",[2]对账明细接口!$W1039),"")</f>
        <v/>
      </c>
      <c r="AC1039" s="90" t="str">
        <f aca="false">IFERROR(IF([2]对账明细接口!$X1040=0,"",[2]对账明细接口!$X1040),"")</f>
        <v/>
      </c>
      <c r="AD1039" s="90" t="str">
        <f aca="false">IFERROR(IF([2]对账明细接口!$Y1040=0,"",[2]对账明细接口!$Y1040),"")</f>
        <v/>
      </c>
      <c r="AE1039" s="90" t="str">
        <f aca="false">IFERROR(IF([2]对账明细接口!$AA1040=0,"",[2]对账明细接口!$AA1040),"")</f>
        <v/>
      </c>
      <c r="AF1039" s="90" t="str">
        <f aca="false">IFERROR(IF([2]对账明细接口!$AB1040=0,"",[2]对账明细接口!$AB1040),"")</f>
        <v/>
      </c>
      <c r="AG1039" s="90" t="str">
        <f aca="false">IFERROR(IF([2]对账明细接口!$AC1040=0,"",[2]对账明细接口!$AC1040),"")</f>
        <v/>
      </c>
      <c r="AH1039" s="90" t="str">
        <f aca="false">IFERROR(IF([2]对账明细接口!$AD1040=0,"",[2]对账明细接口!$AD1040),"")</f>
        <v/>
      </c>
    </row>
    <row r="1040" customFormat="false" ht="13.5" hidden="false" customHeight="false" outlineLevel="0" collapsed="false">
      <c r="A1040" s="109" t="n">
        <v>1040</v>
      </c>
      <c r="B1040" s="110" t="str">
        <f aca="false">IFERROR(IF([2]对账明细接口!$B$1040=0,"",[2]对账明细接口!$B$1040),"")</f>
        <v/>
      </c>
      <c r="C1040" s="59" t="str">
        <f aca="false">IFERROR(IF([2]对账明细接口!$C$1040=0,"",[2]对账明细接口!$C$1040),"")</f>
        <v/>
      </c>
      <c r="D1040" s="59" t="str">
        <f aca="false">IFERROR(IF([2]对账明细接口!$D$1040=0,"",[2]对账明细接口!$D$1040),"")</f>
        <v/>
      </c>
      <c r="E1040" s="59" t="str">
        <f aca="false">IFERROR(IF([2]对账明细接口!$E$1040=0,"",[2]对账明细接口!$E$1040),"")</f>
        <v/>
      </c>
      <c r="F1040" s="59" t="str">
        <f aca="false">IFERROR(IF([2]对账明细接口!$F$1040=0,"",[2]对账明细接口!$F$1040),"")</f>
        <v/>
      </c>
      <c r="G1040" s="59" t="str">
        <f aca="false">IFERROR(IF([2]对账明细接口!$G$1040=0,"",[2]对账明细接口!$G$1040),"")</f>
        <v/>
      </c>
      <c r="H1040" s="60" t="str">
        <f aca="false">IFERROR(IF([2]对账明细接口!$H$1040=0,"",[2]对账明细接口!$H$1040),"")</f>
        <v/>
      </c>
      <c r="I1040" s="59" t="str">
        <f aca="false">IFERROR(IF([2]对账明细接口!$I$1040=0,"",[2]对账明细接口!$I$1040),"")</f>
        <v/>
      </c>
      <c r="J1040" s="61" t="str">
        <f aca="false">IFERROR(IF([2]对账明细接口!$J$1040=0,"",[2]对账明细接口!$J$1040),"")</f>
        <v/>
      </c>
      <c r="K1040" s="61" t="str">
        <f aca="false">IFERROR(IF([2]对账明细接口!$K$1040=0,"",[2]对账明细接口!$K$1040),"")</f>
        <v/>
      </c>
      <c r="L1040" s="59" t="str">
        <f aca="false">IFERROR(IF([2]对账明细接口!$L$1040=0,"",[2]对账明细接口!$L$1040),"")</f>
        <v/>
      </c>
      <c r="M1040" s="59" t="str">
        <f aca="false">IFERROR(IF([2]对账明细接口!$M$1040=0,"",[2]对账明细接口!$M$1040),"")</f>
        <v/>
      </c>
      <c r="N1040" s="111" t="n">
        <f aca="false">IF($C1040="",0,1)</f>
        <v>0</v>
      </c>
      <c r="O1040" s="111" t="n">
        <f aca="false">N(O1039)+$N1040</f>
        <v>311</v>
      </c>
      <c r="S1040" s="10" t="str">
        <f aca="false">IFERROR(IF([2]对账明细接口!$N1040=0,"",[2]对账明细接口!$N1040),"")</f>
        <v/>
      </c>
      <c r="T1040" s="112" t="str">
        <f aca="false">IFERROR(IF([2]对账明细接口!$O1040=0,"",[2]对账明细接口!$O1040),"")</f>
        <v/>
      </c>
      <c r="U1040" s="112" t="str">
        <f aca="false">IFERROR(IF([2]对账明细接口!$P1040=0,"",[2]对账明细接口!$P1040),"")</f>
        <v/>
      </c>
      <c r="V1040" s="112" t="str">
        <f aca="false">IFERROR(IF([2]对账明细接口!$Q1040=0,"",[2]对账明细接口!$Q1040),"")</f>
        <v/>
      </c>
      <c r="W1040" s="10" t="str">
        <f aca="false">IFERROR(IF([2]对账明细接口!$R1040=0,"",[2]对账明细接口!$R1040),"")</f>
        <v/>
      </c>
      <c r="X1040" s="10" t="str">
        <f aca="false">IFERROR(IF([2]对账明细接口!$S1040=0,"",[2]对账明细接口!$S1040),"")</f>
        <v/>
      </c>
      <c r="Y1040" s="10" t="str">
        <f aca="false">IFERROR(IF([2]对账明细接口!$T1040=0,"",[2]对账明细接口!$T1040),"")</f>
        <v/>
      </c>
      <c r="Z1040" s="113" t="str">
        <f aca="false">IFERROR(IF([2]对账明细接口!$U1040=0,"",[2]对账明细接口!$U1040),"")</f>
        <v/>
      </c>
      <c r="AA1040" s="113" t="str">
        <f aca="false">IFERROR(IF([2]对账明细接口!$V1040=0,"",[2]对账明细接口!$V1040),"")</f>
        <v/>
      </c>
      <c r="AB1040" s="10" t="str">
        <f aca="false">IFERROR(IF([2]对账明细接口!$W1040=0,"",[2]对账明细接口!$W1040),"")</f>
        <v/>
      </c>
      <c r="AC1040" s="90" t="str">
        <f aca="false">IFERROR(IF([2]对账明细接口!$X1041=0,"",[2]对账明细接口!$X1041),"")</f>
        <v/>
      </c>
      <c r="AD1040" s="90" t="str">
        <f aca="false">IFERROR(IF([2]对账明细接口!$Y1041=0,"",[2]对账明细接口!$Y1041),"")</f>
        <v/>
      </c>
      <c r="AE1040" s="90" t="str">
        <f aca="false">IFERROR(IF([2]对账明细接口!$AA1041=0,"",[2]对账明细接口!$AA1041),"")</f>
        <v/>
      </c>
      <c r="AF1040" s="90" t="str">
        <f aca="false">IFERROR(IF([2]对账明细接口!$AB1041=0,"",[2]对账明细接口!$AB1041),"")</f>
        <v/>
      </c>
      <c r="AG1040" s="90" t="str">
        <f aca="false">IFERROR(IF([2]对账明细接口!$AC1041=0,"",[2]对账明细接口!$AC1041),"")</f>
        <v/>
      </c>
      <c r="AH1040" s="90" t="str">
        <f aca="false">IFERROR(IF([2]对账明细接口!$AD1041=0,"",[2]对账明细接口!$AD1041),"")</f>
        <v/>
      </c>
    </row>
    <row r="1041" customFormat="false" ht="13.5" hidden="false" customHeight="false" outlineLevel="0" collapsed="false">
      <c r="A1041" s="109" t="n">
        <v>1041</v>
      </c>
      <c r="B1041" s="110" t="str">
        <f aca="false">IFERROR(IF([2]对账明细接口!$B$1041=0,"",[2]对账明细接口!$B$1041),"")</f>
        <v/>
      </c>
      <c r="C1041" s="59" t="str">
        <f aca="false">IFERROR(IF([2]对账明细接口!$C$1041=0,"",[2]对账明细接口!$C$1041),"")</f>
        <v/>
      </c>
      <c r="D1041" s="59" t="str">
        <f aca="false">IFERROR(IF([2]对账明细接口!$D$1041=0,"",[2]对账明细接口!$D$1041),"")</f>
        <v/>
      </c>
      <c r="E1041" s="59" t="str">
        <f aca="false">IFERROR(IF([2]对账明细接口!$E$1041=0,"",[2]对账明细接口!$E$1041),"")</f>
        <v/>
      </c>
      <c r="F1041" s="59" t="str">
        <f aca="false">IFERROR(IF([2]对账明细接口!$F$1041=0,"",[2]对账明细接口!$F$1041),"")</f>
        <v/>
      </c>
      <c r="G1041" s="59" t="str">
        <f aca="false">IFERROR(IF([2]对账明细接口!$G$1041=0,"",[2]对账明细接口!$G$1041),"")</f>
        <v/>
      </c>
      <c r="H1041" s="60" t="str">
        <f aca="false">IFERROR(IF([2]对账明细接口!$H$1041=0,"",[2]对账明细接口!$H$1041),"")</f>
        <v/>
      </c>
      <c r="I1041" s="59" t="str">
        <f aca="false">IFERROR(IF([2]对账明细接口!$I$1041=0,"",[2]对账明细接口!$I$1041),"")</f>
        <v/>
      </c>
      <c r="J1041" s="61" t="str">
        <f aca="false">IFERROR(IF([2]对账明细接口!$J$1041=0,"",[2]对账明细接口!$J$1041),"")</f>
        <v/>
      </c>
      <c r="K1041" s="61" t="str">
        <f aca="false">IFERROR(IF([2]对账明细接口!$K$1041=0,"",[2]对账明细接口!$K$1041),"")</f>
        <v/>
      </c>
      <c r="L1041" s="59" t="str">
        <f aca="false">IFERROR(IF([2]对账明细接口!$L$1041=0,"",[2]对账明细接口!$L$1041),"")</f>
        <v/>
      </c>
      <c r="M1041" s="59" t="str">
        <f aca="false">IFERROR(IF([2]对账明细接口!$M$1041=0,"",[2]对账明细接口!$M$1041),"")</f>
        <v/>
      </c>
      <c r="N1041" s="111" t="n">
        <f aca="false">IF($C1041="",0,1)</f>
        <v>0</v>
      </c>
      <c r="O1041" s="111" t="n">
        <f aca="false">N(O1040)+$N1041</f>
        <v>311</v>
      </c>
      <c r="S1041" s="10" t="str">
        <f aca="false">IFERROR(IF([2]对账明细接口!$N1041=0,"",[2]对账明细接口!$N1041),"")</f>
        <v/>
      </c>
      <c r="T1041" s="112" t="str">
        <f aca="false">IFERROR(IF([2]对账明细接口!$O1041=0,"",[2]对账明细接口!$O1041),"")</f>
        <v/>
      </c>
      <c r="U1041" s="112" t="str">
        <f aca="false">IFERROR(IF([2]对账明细接口!$P1041=0,"",[2]对账明细接口!$P1041),"")</f>
        <v/>
      </c>
      <c r="V1041" s="112" t="str">
        <f aca="false">IFERROR(IF([2]对账明细接口!$Q1041=0,"",[2]对账明细接口!$Q1041),"")</f>
        <v/>
      </c>
      <c r="W1041" s="10" t="str">
        <f aca="false">IFERROR(IF([2]对账明细接口!$R1041=0,"",[2]对账明细接口!$R1041),"")</f>
        <v/>
      </c>
      <c r="X1041" s="10" t="str">
        <f aca="false">IFERROR(IF([2]对账明细接口!$S1041=0,"",[2]对账明细接口!$S1041),"")</f>
        <v/>
      </c>
      <c r="Y1041" s="10" t="str">
        <f aca="false">IFERROR(IF([2]对账明细接口!$T1041=0,"",[2]对账明细接口!$T1041),"")</f>
        <v/>
      </c>
      <c r="Z1041" s="113" t="str">
        <f aca="false">IFERROR(IF([2]对账明细接口!$U1041=0,"",[2]对账明细接口!$U1041),"")</f>
        <v/>
      </c>
      <c r="AA1041" s="113" t="str">
        <f aca="false">IFERROR(IF([2]对账明细接口!$V1041=0,"",[2]对账明细接口!$V1041),"")</f>
        <v/>
      </c>
      <c r="AB1041" s="10" t="str">
        <f aca="false">IFERROR(IF([2]对账明细接口!$W1041=0,"",[2]对账明细接口!$W1041),"")</f>
        <v/>
      </c>
      <c r="AC1041" s="90" t="str">
        <f aca="false">IFERROR(IF([2]对账明细接口!$X1042=0,"",[2]对账明细接口!$X1042),"")</f>
        <v/>
      </c>
      <c r="AD1041" s="90" t="str">
        <f aca="false">IFERROR(IF([2]对账明细接口!$Y1042=0,"",[2]对账明细接口!$Y1042),"")</f>
        <v/>
      </c>
      <c r="AE1041" s="90" t="str">
        <f aca="false">IFERROR(IF([2]对账明细接口!$AA1042=0,"",[2]对账明细接口!$AA1042),"")</f>
        <v/>
      </c>
      <c r="AF1041" s="90" t="str">
        <f aca="false">IFERROR(IF([2]对账明细接口!$AB1042=0,"",[2]对账明细接口!$AB1042),"")</f>
        <v/>
      </c>
      <c r="AG1041" s="90" t="str">
        <f aca="false">IFERROR(IF([2]对账明细接口!$AC1042=0,"",[2]对账明细接口!$AC1042),"")</f>
        <v/>
      </c>
      <c r="AH1041" s="90" t="str">
        <f aca="false">IFERROR(IF([2]对账明细接口!$AD1042=0,"",[2]对账明细接口!$AD1042),"")</f>
        <v/>
      </c>
    </row>
    <row r="1042" customFormat="false" ht="13.5" hidden="false" customHeight="false" outlineLevel="0" collapsed="false">
      <c r="A1042" s="109" t="n">
        <v>1042</v>
      </c>
      <c r="B1042" s="110" t="str">
        <f aca="false">IFERROR(IF([2]对账明细接口!$B$1042=0,"",[2]对账明细接口!$B$1042),"")</f>
        <v/>
      </c>
      <c r="C1042" s="59" t="str">
        <f aca="false">IFERROR(IF([2]对账明细接口!$C$1042=0,"",[2]对账明细接口!$C$1042),"")</f>
        <v/>
      </c>
      <c r="D1042" s="59" t="str">
        <f aca="false">IFERROR(IF([2]对账明细接口!$D$1042=0,"",[2]对账明细接口!$D$1042),"")</f>
        <v/>
      </c>
      <c r="E1042" s="59" t="str">
        <f aca="false">IFERROR(IF([2]对账明细接口!$E$1042=0,"",[2]对账明细接口!$E$1042),"")</f>
        <v/>
      </c>
      <c r="F1042" s="59" t="str">
        <f aca="false">IFERROR(IF([2]对账明细接口!$F$1042=0,"",[2]对账明细接口!$F$1042),"")</f>
        <v/>
      </c>
      <c r="G1042" s="59" t="str">
        <f aca="false">IFERROR(IF([2]对账明细接口!$G$1042=0,"",[2]对账明细接口!$G$1042),"")</f>
        <v/>
      </c>
      <c r="H1042" s="60" t="str">
        <f aca="false">IFERROR(IF([2]对账明细接口!$H$1042=0,"",[2]对账明细接口!$H$1042),"")</f>
        <v/>
      </c>
      <c r="I1042" s="59" t="str">
        <f aca="false">IFERROR(IF([2]对账明细接口!$I$1042=0,"",[2]对账明细接口!$I$1042),"")</f>
        <v/>
      </c>
      <c r="J1042" s="61" t="str">
        <f aca="false">IFERROR(IF([2]对账明细接口!$J$1042=0,"",[2]对账明细接口!$J$1042),"")</f>
        <v/>
      </c>
      <c r="K1042" s="61" t="str">
        <f aca="false">IFERROR(IF([2]对账明细接口!$K$1042=0,"",[2]对账明细接口!$K$1042),"")</f>
        <v/>
      </c>
      <c r="L1042" s="59" t="str">
        <f aca="false">IFERROR(IF([2]对账明细接口!$L$1042=0,"",[2]对账明细接口!$L$1042),"")</f>
        <v/>
      </c>
      <c r="M1042" s="59" t="str">
        <f aca="false">IFERROR(IF([2]对账明细接口!$M$1042=0,"",[2]对账明细接口!$M$1042),"")</f>
        <v/>
      </c>
      <c r="N1042" s="111" t="n">
        <f aca="false">IF($C1042="",0,1)</f>
        <v>0</v>
      </c>
      <c r="O1042" s="111" t="n">
        <f aca="false">N(O1041)+$N1042</f>
        <v>311</v>
      </c>
      <c r="S1042" s="10" t="str">
        <f aca="false">IFERROR(IF([2]对账明细接口!$N1042=0,"",[2]对账明细接口!$N1042),"")</f>
        <v/>
      </c>
      <c r="T1042" s="112" t="str">
        <f aca="false">IFERROR(IF([2]对账明细接口!$O1042=0,"",[2]对账明细接口!$O1042),"")</f>
        <v/>
      </c>
      <c r="U1042" s="112" t="str">
        <f aca="false">IFERROR(IF([2]对账明细接口!$P1042=0,"",[2]对账明细接口!$P1042),"")</f>
        <v/>
      </c>
      <c r="V1042" s="112" t="str">
        <f aca="false">IFERROR(IF([2]对账明细接口!$Q1042=0,"",[2]对账明细接口!$Q1042),"")</f>
        <v/>
      </c>
      <c r="W1042" s="10" t="str">
        <f aca="false">IFERROR(IF([2]对账明细接口!$R1042=0,"",[2]对账明细接口!$R1042),"")</f>
        <v/>
      </c>
      <c r="X1042" s="10" t="str">
        <f aca="false">IFERROR(IF([2]对账明细接口!$S1042=0,"",[2]对账明细接口!$S1042),"")</f>
        <v/>
      </c>
      <c r="Y1042" s="10" t="str">
        <f aca="false">IFERROR(IF([2]对账明细接口!$T1042=0,"",[2]对账明细接口!$T1042),"")</f>
        <v/>
      </c>
      <c r="Z1042" s="113" t="str">
        <f aca="false">IFERROR(IF([2]对账明细接口!$U1042=0,"",[2]对账明细接口!$U1042),"")</f>
        <v/>
      </c>
      <c r="AA1042" s="113" t="str">
        <f aca="false">IFERROR(IF([2]对账明细接口!$V1042=0,"",[2]对账明细接口!$V1042),"")</f>
        <v/>
      </c>
      <c r="AB1042" s="10" t="str">
        <f aca="false">IFERROR(IF([2]对账明细接口!$W1042=0,"",[2]对账明细接口!$W1042),"")</f>
        <v/>
      </c>
      <c r="AC1042" s="90" t="str">
        <f aca="false">IFERROR(IF([2]对账明细接口!$X1043=0,"",[2]对账明细接口!$X1043),"")</f>
        <v/>
      </c>
      <c r="AD1042" s="90" t="str">
        <f aca="false">IFERROR(IF([2]对账明细接口!$Y1043=0,"",[2]对账明细接口!$Y1043),"")</f>
        <v/>
      </c>
      <c r="AE1042" s="90" t="str">
        <f aca="false">IFERROR(IF([2]对账明细接口!$AA1043=0,"",[2]对账明细接口!$AA1043),"")</f>
        <v/>
      </c>
      <c r="AF1042" s="90" t="str">
        <f aca="false">IFERROR(IF([2]对账明细接口!$AB1043=0,"",[2]对账明细接口!$AB1043),"")</f>
        <v/>
      </c>
      <c r="AG1042" s="90" t="str">
        <f aca="false">IFERROR(IF([2]对账明细接口!$AC1043=0,"",[2]对账明细接口!$AC1043),"")</f>
        <v/>
      </c>
      <c r="AH1042" s="90" t="str">
        <f aca="false">IFERROR(IF([2]对账明细接口!$AD1043=0,"",[2]对账明细接口!$AD1043),"")</f>
        <v/>
      </c>
    </row>
    <row r="1043" customFormat="false" ht="13.5" hidden="false" customHeight="false" outlineLevel="0" collapsed="false">
      <c r="A1043" s="109" t="n">
        <v>1043</v>
      </c>
      <c r="B1043" s="110" t="str">
        <f aca="false">IFERROR(IF([2]对账明细接口!$B$1043=0,"",[2]对账明细接口!$B$1043),"")</f>
        <v/>
      </c>
      <c r="C1043" s="59" t="str">
        <f aca="false">IFERROR(IF([2]对账明细接口!$C$1043=0,"",[2]对账明细接口!$C$1043),"")</f>
        <v/>
      </c>
      <c r="D1043" s="59" t="str">
        <f aca="false">IFERROR(IF([2]对账明细接口!$D$1043=0,"",[2]对账明细接口!$D$1043),"")</f>
        <v/>
      </c>
      <c r="E1043" s="59" t="str">
        <f aca="false">IFERROR(IF([2]对账明细接口!$E$1043=0,"",[2]对账明细接口!$E$1043),"")</f>
        <v/>
      </c>
      <c r="F1043" s="59" t="str">
        <f aca="false">IFERROR(IF([2]对账明细接口!$F$1043=0,"",[2]对账明细接口!$F$1043),"")</f>
        <v/>
      </c>
      <c r="G1043" s="59" t="str">
        <f aca="false">IFERROR(IF([2]对账明细接口!$G$1043=0,"",[2]对账明细接口!$G$1043),"")</f>
        <v/>
      </c>
      <c r="H1043" s="60" t="str">
        <f aca="false">IFERROR(IF([2]对账明细接口!$H$1043=0,"",[2]对账明细接口!$H$1043),"")</f>
        <v/>
      </c>
      <c r="I1043" s="59" t="str">
        <f aca="false">IFERROR(IF([2]对账明细接口!$I$1043=0,"",[2]对账明细接口!$I$1043),"")</f>
        <v/>
      </c>
      <c r="J1043" s="61" t="str">
        <f aca="false">IFERROR(IF([2]对账明细接口!$J$1043=0,"",[2]对账明细接口!$J$1043),"")</f>
        <v/>
      </c>
      <c r="K1043" s="61" t="str">
        <f aca="false">IFERROR(IF([2]对账明细接口!$K$1043=0,"",[2]对账明细接口!$K$1043),"")</f>
        <v/>
      </c>
      <c r="L1043" s="59" t="str">
        <f aca="false">IFERROR(IF([2]对账明细接口!$L$1043=0,"",[2]对账明细接口!$L$1043),"")</f>
        <v/>
      </c>
      <c r="M1043" s="59" t="str">
        <f aca="false">IFERROR(IF([2]对账明细接口!$M$1043=0,"",[2]对账明细接口!$M$1043),"")</f>
        <v/>
      </c>
      <c r="N1043" s="111" t="n">
        <f aca="false">IF($C1043="",0,1)</f>
        <v>0</v>
      </c>
      <c r="O1043" s="111" t="n">
        <f aca="false">N(O1042)+$N1043</f>
        <v>311</v>
      </c>
      <c r="S1043" s="10" t="str">
        <f aca="false">IFERROR(IF([2]对账明细接口!$N1043=0,"",[2]对账明细接口!$N1043),"")</f>
        <v/>
      </c>
      <c r="T1043" s="112" t="str">
        <f aca="false">IFERROR(IF([2]对账明细接口!$O1043=0,"",[2]对账明细接口!$O1043),"")</f>
        <v/>
      </c>
      <c r="U1043" s="112" t="str">
        <f aca="false">IFERROR(IF([2]对账明细接口!$P1043=0,"",[2]对账明细接口!$P1043),"")</f>
        <v/>
      </c>
      <c r="V1043" s="112" t="str">
        <f aca="false">IFERROR(IF([2]对账明细接口!$Q1043=0,"",[2]对账明细接口!$Q1043),"")</f>
        <v/>
      </c>
      <c r="W1043" s="10" t="str">
        <f aca="false">IFERROR(IF([2]对账明细接口!$R1043=0,"",[2]对账明细接口!$R1043),"")</f>
        <v/>
      </c>
      <c r="X1043" s="10" t="str">
        <f aca="false">IFERROR(IF([2]对账明细接口!$S1043=0,"",[2]对账明细接口!$S1043),"")</f>
        <v/>
      </c>
      <c r="Y1043" s="10" t="str">
        <f aca="false">IFERROR(IF([2]对账明细接口!$T1043=0,"",[2]对账明细接口!$T1043),"")</f>
        <v/>
      </c>
      <c r="Z1043" s="113" t="str">
        <f aca="false">IFERROR(IF([2]对账明细接口!$U1043=0,"",[2]对账明细接口!$U1043),"")</f>
        <v/>
      </c>
      <c r="AA1043" s="113" t="str">
        <f aca="false">IFERROR(IF([2]对账明细接口!$V1043=0,"",[2]对账明细接口!$V1043),"")</f>
        <v/>
      </c>
      <c r="AB1043" s="10" t="str">
        <f aca="false">IFERROR(IF([2]对账明细接口!$W1043=0,"",[2]对账明细接口!$W1043),"")</f>
        <v/>
      </c>
      <c r="AC1043" s="90" t="str">
        <f aca="false">IFERROR(IF([2]对账明细接口!$X1044=0,"",[2]对账明细接口!$X1044),"")</f>
        <v/>
      </c>
      <c r="AD1043" s="90" t="str">
        <f aca="false">IFERROR(IF([2]对账明细接口!$Y1044=0,"",[2]对账明细接口!$Y1044),"")</f>
        <v/>
      </c>
      <c r="AE1043" s="90" t="str">
        <f aca="false">IFERROR(IF([2]对账明细接口!$AA1044=0,"",[2]对账明细接口!$AA1044),"")</f>
        <v/>
      </c>
      <c r="AF1043" s="90" t="str">
        <f aca="false">IFERROR(IF([2]对账明细接口!$AB1044=0,"",[2]对账明细接口!$AB1044),"")</f>
        <v/>
      </c>
      <c r="AG1043" s="90" t="str">
        <f aca="false">IFERROR(IF([2]对账明细接口!$AC1044=0,"",[2]对账明细接口!$AC1044),"")</f>
        <v/>
      </c>
      <c r="AH1043" s="90" t="str">
        <f aca="false">IFERROR(IF([2]对账明细接口!$AD1044=0,"",[2]对账明细接口!$AD1044),"")</f>
        <v/>
      </c>
    </row>
    <row r="1044" customFormat="false" ht="13.5" hidden="false" customHeight="false" outlineLevel="0" collapsed="false">
      <c r="A1044" s="109" t="n">
        <v>1044</v>
      </c>
      <c r="B1044" s="110" t="str">
        <f aca="false">IFERROR(IF([2]对账明细接口!$B$1044=0,"",[2]对账明细接口!$B$1044),"")</f>
        <v/>
      </c>
      <c r="C1044" s="59" t="str">
        <f aca="false">IFERROR(IF([2]对账明细接口!$C$1044=0,"",[2]对账明细接口!$C$1044),"")</f>
        <v/>
      </c>
      <c r="D1044" s="59" t="str">
        <f aca="false">IFERROR(IF([2]对账明细接口!$D$1044=0,"",[2]对账明细接口!$D$1044),"")</f>
        <v/>
      </c>
      <c r="E1044" s="59" t="str">
        <f aca="false">IFERROR(IF([2]对账明细接口!$E$1044=0,"",[2]对账明细接口!$E$1044),"")</f>
        <v/>
      </c>
      <c r="F1044" s="59" t="str">
        <f aca="false">IFERROR(IF([2]对账明细接口!$F$1044=0,"",[2]对账明细接口!$F$1044),"")</f>
        <v/>
      </c>
      <c r="G1044" s="59" t="str">
        <f aca="false">IFERROR(IF([2]对账明细接口!$G$1044=0,"",[2]对账明细接口!$G$1044),"")</f>
        <v/>
      </c>
      <c r="H1044" s="60" t="str">
        <f aca="false">IFERROR(IF([2]对账明细接口!$H$1044=0,"",[2]对账明细接口!$H$1044),"")</f>
        <v/>
      </c>
      <c r="I1044" s="59" t="str">
        <f aca="false">IFERROR(IF([2]对账明细接口!$I$1044=0,"",[2]对账明细接口!$I$1044),"")</f>
        <v/>
      </c>
      <c r="J1044" s="61" t="str">
        <f aca="false">IFERROR(IF([2]对账明细接口!$J$1044=0,"",[2]对账明细接口!$J$1044),"")</f>
        <v/>
      </c>
      <c r="K1044" s="61" t="str">
        <f aca="false">IFERROR(IF([2]对账明细接口!$K$1044=0,"",[2]对账明细接口!$K$1044),"")</f>
        <v/>
      </c>
      <c r="L1044" s="59" t="str">
        <f aca="false">IFERROR(IF([2]对账明细接口!$L$1044=0,"",[2]对账明细接口!$L$1044),"")</f>
        <v/>
      </c>
      <c r="M1044" s="59" t="str">
        <f aca="false">IFERROR(IF([2]对账明细接口!$M$1044=0,"",[2]对账明细接口!$M$1044),"")</f>
        <v/>
      </c>
      <c r="N1044" s="111" t="n">
        <f aca="false">IF($C1044="",0,1)</f>
        <v>0</v>
      </c>
      <c r="O1044" s="111" t="n">
        <f aca="false">N(O1043)+$N1044</f>
        <v>311</v>
      </c>
      <c r="S1044" s="10" t="str">
        <f aca="false">IFERROR(IF([2]对账明细接口!$N1044=0,"",[2]对账明细接口!$N1044),"")</f>
        <v/>
      </c>
      <c r="T1044" s="112" t="str">
        <f aca="false">IFERROR(IF([2]对账明细接口!$O1044=0,"",[2]对账明细接口!$O1044),"")</f>
        <v/>
      </c>
      <c r="U1044" s="112" t="str">
        <f aca="false">IFERROR(IF([2]对账明细接口!$P1044=0,"",[2]对账明细接口!$P1044),"")</f>
        <v/>
      </c>
      <c r="V1044" s="112" t="str">
        <f aca="false">IFERROR(IF([2]对账明细接口!$Q1044=0,"",[2]对账明细接口!$Q1044),"")</f>
        <v/>
      </c>
      <c r="W1044" s="10" t="str">
        <f aca="false">IFERROR(IF([2]对账明细接口!$R1044=0,"",[2]对账明细接口!$R1044),"")</f>
        <v/>
      </c>
      <c r="X1044" s="10" t="str">
        <f aca="false">IFERROR(IF([2]对账明细接口!$S1044=0,"",[2]对账明细接口!$S1044),"")</f>
        <v/>
      </c>
      <c r="Y1044" s="10" t="str">
        <f aca="false">IFERROR(IF([2]对账明细接口!$T1044=0,"",[2]对账明细接口!$T1044),"")</f>
        <v/>
      </c>
      <c r="Z1044" s="113" t="str">
        <f aca="false">IFERROR(IF([2]对账明细接口!$U1044=0,"",[2]对账明细接口!$U1044),"")</f>
        <v/>
      </c>
      <c r="AA1044" s="113" t="str">
        <f aca="false">IFERROR(IF([2]对账明细接口!$V1044=0,"",[2]对账明细接口!$V1044),"")</f>
        <v/>
      </c>
      <c r="AB1044" s="10" t="str">
        <f aca="false">IFERROR(IF([2]对账明细接口!$W1044=0,"",[2]对账明细接口!$W1044),"")</f>
        <v/>
      </c>
      <c r="AC1044" s="90" t="str">
        <f aca="false">IFERROR(IF([2]对账明细接口!$X1045=0,"",[2]对账明细接口!$X1045),"")</f>
        <v/>
      </c>
      <c r="AD1044" s="90" t="str">
        <f aca="false">IFERROR(IF([2]对账明细接口!$Y1045=0,"",[2]对账明细接口!$Y1045),"")</f>
        <v/>
      </c>
      <c r="AE1044" s="90" t="str">
        <f aca="false">IFERROR(IF([2]对账明细接口!$AA1045=0,"",[2]对账明细接口!$AA1045),"")</f>
        <v/>
      </c>
      <c r="AF1044" s="90" t="str">
        <f aca="false">IFERROR(IF([2]对账明细接口!$AB1045=0,"",[2]对账明细接口!$AB1045),"")</f>
        <v/>
      </c>
      <c r="AG1044" s="90" t="str">
        <f aca="false">IFERROR(IF([2]对账明细接口!$AC1045=0,"",[2]对账明细接口!$AC1045),"")</f>
        <v/>
      </c>
      <c r="AH1044" s="90" t="str">
        <f aca="false">IFERROR(IF([2]对账明细接口!$AD1045=0,"",[2]对账明细接口!$AD1045),"")</f>
        <v/>
      </c>
    </row>
    <row r="1045" customFormat="false" ht="13.5" hidden="false" customHeight="false" outlineLevel="0" collapsed="false">
      <c r="A1045" s="109" t="n">
        <v>1045</v>
      </c>
      <c r="B1045" s="110" t="str">
        <f aca="false">IFERROR(IF([2]对账明细接口!$B$1045=0,"",[2]对账明细接口!$B$1045),"")</f>
        <v/>
      </c>
      <c r="C1045" s="59" t="str">
        <f aca="false">IFERROR(IF([2]对账明细接口!$C$1045=0,"",[2]对账明细接口!$C$1045),"")</f>
        <v/>
      </c>
      <c r="D1045" s="59" t="str">
        <f aca="false">IFERROR(IF([2]对账明细接口!$D$1045=0,"",[2]对账明细接口!$D$1045),"")</f>
        <v/>
      </c>
      <c r="E1045" s="59" t="str">
        <f aca="false">IFERROR(IF([2]对账明细接口!$E$1045=0,"",[2]对账明细接口!$E$1045),"")</f>
        <v/>
      </c>
      <c r="F1045" s="59" t="str">
        <f aca="false">IFERROR(IF([2]对账明细接口!$F$1045=0,"",[2]对账明细接口!$F$1045),"")</f>
        <v/>
      </c>
      <c r="G1045" s="59" t="str">
        <f aca="false">IFERROR(IF([2]对账明细接口!$G$1045=0,"",[2]对账明细接口!$G$1045),"")</f>
        <v/>
      </c>
      <c r="H1045" s="60" t="str">
        <f aca="false">IFERROR(IF([2]对账明细接口!$H$1045=0,"",[2]对账明细接口!$H$1045),"")</f>
        <v/>
      </c>
      <c r="I1045" s="59" t="str">
        <f aca="false">IFERROR(IF([2]对账明细接口!$I$1045=0,"",[2]对账明细接口!$I$1045),"")</f>
        <v/>
      </c>
      <c r="J1045" s="61" t="str">
        <f aca="false">IFERROR(IF([2]对账明细接口!$J$1045=0,"",[2]对账明细接口!$J$1045),"")</f>
        <v/>
      </c>
      <c r="K1045" s="61" t="str">
        <f aca="false">IFERROR(IF([2]对账明细接口!$K$1045=0,"",[2]对账明细接口!$K$1045),"")</f>
        <v/>
      </c>
      <c r="L1045" s="59" t="str">
        <f aca="false">IFERROR(IF([2]对账明细接口!$L$1045=0,"",[2]对账明细接口!$L$1045),"")</f>
        <v/>
      </c>
      <c r="M1045" s="59" t="str">
        <f aca="false">IFERROR(IF([2]对账明细接口!$M$1045=0,"",[2]对账明细接口!$M$1045),"")</f>
        <v/>
      </c>
      <c r="N1045" s="111" t="n">
        <f aca="false">IF($C1045="",0,1)</f>
        <v>0</v>
      </c>
      <c r="O1045" s="111" t="n">
        <f aca="false">N(O1044)+$N1045</f>
        <v>311</v>
      </c>
      <c r="S1045" s="10" t="str">
        <f aca="false">IFERROR(IF([2]对账明细接口!$N1045=0,"",[2]对账明细接口!$N1045),"")</f>
        <v/>
      </c>
      <c r="T1045" s="112" t="str">
        <f aca="false">IFERROR(IF([2]对账明细接口!$O1045=0,"",[2]对账明细接口!$O1045),"")</f>
        <v/>
      </c>
      <c r="U1045" s="112" t="str">
        <f aca="false">IFERROR(IF([2]对账明细接口!$P1045=0,"",[2]对账明细接口!$P1045),"")</f>
        <v/>
      </c>
      <c r="V1045" s="112" t="str">
        <f aca="false">IFERROR(IF([2]对账明细接口!$Q1045=0,"",[2]对账明细接口!$Q1045),"")</f>
        <v/>
      </c>
      <c r="W1045" s="10" t="str">
        <f aca="false">IFERROR(IF([2]对账明细接口!$R1045=0,"",[2]对账明细接口!$R1045),"")</f>
        <v/>
      </c>
      <c r="X1045" s="10" t="str">
        <f aca="false">IFERROR(IF([2]对账明细接口!$S1045=0,"",[2]对账明细接口!$S1045),"")</f>
        <v/>
      </c>
      <c r="Y1045" s="10" t="str">
        <f aca="false">IFERROR(IF([2]对账明细接口!$T1045=0,"",[2]对账明细接口!$T1045),"")</f>
        <v/>
      </c>
      <c r="Z1045" s="113" t="str">
        <f aca="false">IFERROR(IF([2]对账明细接口!$U1045=0,"",[2]对账明细接口!$U1045),"")</f>
        <v/>
      </c>
      <c r="AA1045" s="113" t="str">
        <f aca="false">IFERROR(IF([2]对账明细接口!$V1045=0,"",[2]对账明细接口!$V1045),"")</f>
        <v/>
      </c>
      <c r="AB1045" s="10" t="str">
        <f aca="false">IFERROR(IF([2]对账明细接口!$W1045=0,"",[2]对账明细接口!$W1045),"")</f>
        <v/>
      </c>
      <c r="AC1045" s="90" t="str">
        <f aca="false">IFERROR(IF([2]对账明细接口!$X1046=0,"",[2]对账明细接口!$X1046),"")</f>
        <v/>
      </c>
      <c r="AD1045" s="90" t="str">
        <f aca="false">IFERROR(IF([2]对账明细接口!$Y1046=0,"",[2]对账明细接口!$Y1046),"")</f>
        <v/>
      </c>
      <c r="AE1045" s="90" t="str">
        <f aca="false">IFERROR(IF([2]对账明细接口!$AA1046=0,"",[2]对账明细接口!$AA1046),"")</f>
        <v/>
      </c>
      <c r="AF1045" s="90" t="str">
        <f aca="false">IFERROR(IF([2]对账明细接口!$AB1046=0,"",[2]对账明细接口!$AB1046),"")</f>
        <v/>
      </c>
      <c r="AG1045" s="90" t="str">
        <f aca="false">IFERROR(IF([2]对账明细接口!$AC1046=0,"",[2]对账明细接口!$AC1046),"")</f>
        <v/>
      </c>
      <c r="AH1045" s="90" t="str">
        <f aca="false">IFERROR(IF([2]对账明细接口!$AD1046=0,"",[2]对账明细接口!$AD1046),"")</f>
        <v/>
      </c>
    </row>
    <row r="1046" customFormat="false" ht="13.5" hidden="false" customHeight="false" outlineLevel="0" collapsed="false">
      <c r="A1046" s="109" t="n">
        <v>1046</v>
      </c>
      <c r="B1046" s="110" t="str">
        <f aca="false">IFERROR(IF([2]对账明细接口!$B$1046=0,"",[2]对账明细接口!$B$1046),"")</f>
        <v/>
      </c>
      <c r="C1046" s="59" t="str">
        <f aca="false">IFERROR(IF([2]对账明细接口!$C$1046=0,"",[2]对账明细接口!$C$1046),"")</f>
        <v/>
      </c>
      <c r="D1046" s="59" t="str">
        <f aca="false">IFERROR(IF([2]对账明细接口!$D$1046=0,"",[2]对账明细接口!$D$1046),"")</f>
        <v/>
      </c>
      <c r="E1046" s="59" t="str">
        <f aca="false">IFERROR(IF([2]对账明细接口!$E$1046=0,"",[2]对账明细接口!$E$1046),"")</f>
        <v/>
      </c>
      <c r="F1046" s="59" t="str">
        <f aca="false">IFERROR(IF([2]对账明细接口!$F$1046=0,"",[2]对账明细接口!$F$1046),"")</f>
        <v/>
      </c>
      <c r="G1046" s="59" t="str">
        <f aca="false">IFERROR(IF([2]对账明细接口!$G$1046=0,"",[2]对账明细接口!$G$1046),"")</f>
        <v/>
      </c>
      <c r="H1046" s="60" t="str">
        <f aca="false">IFERROR(IF([2]对账明细接口!$H$1046=0,"",[2]对账明细接口!$H$1046),"")</f>
        <v/>
      </c>
      <c r="I1046" s="59" t="str">
        <f aca="false">IFERROR(IF([2]对账明细接口!$I$1046=0,"",[2]对账明细接口!$I$1046),"")</f>
        <v/>
      </c>
      <c r="J1046" s="61" t="str">
        <f aca="false">IFERROR(IF([2]对账明细接口!$J$1046=0,"",[2]对账明细接口!$J$1046),"")</f>
        <v/>
      </c>
      <c r="K1046" s="61" t="str">
        <f aca="false">IFERROR(IF([2]对账明细接口!$K$1046=0,"",[2]对账明细接口!$K$1046),"")</f>
        <v/>
      </c>
      <c r="L1046" s="59" t="str">
        <f aca="false">IFERROR(IF([2]对账明细接口!$L$1046=0,"",[2]对账明细接口!$L$1046),"")</f>
        <v/>
      </c>
      <c r="M1046" s="59" t="str">
        <f aca="false">IFERROR(IF([2]对账明细接口!$M$1046=0,"",[2]对账明细接口!$M$1046),"")</f>
        <v/>
      </c>
      <c r="N1046" s="111" t="n">
        <f aca="false">IF($C1046="",0,1)</f>
        <v>0</v>
      </c>
      <c r="O1046" s="111" t="n">
        <f aca="false">N(O1045)+$N1046</f>
        <v>311</v>
      </c>
      <c r="S1046" s="10" t="str">
        <f aca="false">IFERROR(IF([2]对账明细接口!$N1046=0,"",[2]对账明细接口!$N1046),"")</f>
        <v/>
      </c>
      <c r="T1046" s="112" t="str">
        <f aca="false">IFERROR(IF([2]对账明细接口!$O1046=0,"",[2]对账明细接口!$O1046),"")</f>
        <v/>
      </c>
      <c r="U1046" s="112" t="str">
        <f aca="false">IFERROR(IF([2]对账明细接口!$P1046=0,"",[2]对账明细接口!$P1046),"")</f>
        <v/>
      </c>
      <c r="V1046" s="112" t="str">
        <f aca="false">IFERROR(IF([2]对账明细接口!$Q1046=0,"",[2]对账明细接口!$Q1046),"")</f>
        <v/>
      </c>
      <c r="W1046" s="10" t="str">
        <f aca="false">IFERROR(IF([2]对账明细接口!$R1046=0,"",[2]对账明细接口!$R1046),"")</f>
        <v/>
      </c>
      <c r="X1046" s="10" t="str">
        <f aca="false">IFERROR(IF([2]对账明细接口!$S1046=0,"",[2]对账明细接口!$S1046),"")</f>
        <v/>
      </c>
      <c r="Y1046" s="10" t="str">
        <f aca="false">IFERROR(IF([2]对账明细接口!$T1046=0,"",[2]对账明细接口!$T1046),"")</f>
        <v/>
      </c>
      <c r="Z1046" s="113" t="str">
        <f aca="false">IFERROR(IF([2]对账明细接口!$U1046=0,"",[2]对账明细接口!$U1046),"")</f>
        <v/>
      </c>
      <c r="AA1046" s="113" t="str">
        <f aca="false">IFERROR(IF([2]对账明细接口!$V1046=0,"",[2]对账明细接口!$V1046),"")</f>
        <v/>
      </c>
      <c r="AB1046" s="10" t="str">
        <f aca="false">IFERROR(IF([2]对账明细接口!$W1046=0,"",[2]对账明细接口!$W1046),"")</f>
        <v/>
      </c>
      <c r="AC1046" s="90" t="str">
        <f aca="false">IFERROR(IF([2]对账明细接口!$X1047=0,"",[2]对账明细接口!$X1047),"")</f>
        <v/>
      </c>
      <c r="AD1046" s="90" t="str">
        <f aca="false">IFERROR(IF([2]对账明细接口!$Y1047=0,"",[2]对账明细接口!$Y1047),"")</f>
        <v/>
      </c>
      <c r="AE1046" s="90" t="str">
        <f aca="false">IFERROR(IF([2]对账明细接口!$AA1047=0,"",[2]对账明细接口!$AA1047),"")</f>
        <v/>
      </c>
      <c r="AF1046" s="90" t="str">
        <f aca="false">IFERROR(IF([2]对账明细接口!$AB1047=0,"",[2]对账明细接口!$AB1047),"")</f>
        <v/>
      </c>
      <c r="AG1046" s="90" t="str">
        <f aca="false">IFERROR(IF([2]对账明细接口!$AC1047=0,"",[2]对账明细接口!$AC1047),"")</f>
        <v/>
      </c>
      <c r="AH1046" s="90" t="str">
        <f aca="false">IFERROR(IF([2]对账明细接口!$AD1047=0,"",[2]对账明细接口!$AD1047),"")</f>
        <v/>
      </c>
    </row>
    <row r="1047" customFormat="false" ht="13.5" hidden="false" customHeight="false" outlineLevel="0" collapsed="false">
      <c r="A1047" s="109" t="n">
        <v>1047</v>
      </c>
      <c r="B1047" s="110" t="str">
        <f aca="false">IFERROR(IF([2]对账明细接口!$B$1047=0,"",[2]对账明细接口!$B$1047),"")</f>
        <v/>
      </c>
      <c r="C1047" s="59" t="str">
        <f aca="false">IFERROR(IF([2]对账明细接口!$C$1047=0,"",[2]对账明细接口!$C$1047),"")</f>
        <v/>
      </c>
      <c r="D1047" s="59" t="str">
        <f aca="false">IFERROR(IF([2]对账明细接口!$D$1047=0,"",[2]对账明细接口!$D$1047),"")</f>
        <v/>
      </c>
      <c r="E1047" s="59" t="str">
        <f aca="false">IFERROR(IF([2]对账明细接口!$E$1047=0,"",[2]对账明细接口!$E$1047),"")</f>
        <v/>
      </c>
      <c r="F1047" s="59" t="str">
        <f aca="false">IFERROR(IF([2]对账明细接口!$F$1047=0,"",[2]对账明细接口!$F$1047),"")</f>
        <v/>
      </c>
      <c r="G1047" s="59" t="str">
        <f aca="false">IFERROR(IF([2]对账明细接口!$G$1047=0,"",[2]对账明细接口!$G$1047),"")</f>
        <v/>
      </c>
      <c r="H1047" s="60" t="str">
        <f aca="false">IFERROR(IF([2]对账明细接口!$H$1047=0,"",[2]对账明细接口!$H$1047),"")</f>
        <v/>
      </c>
      <c r="I1047" s="59" t="str">
        <f aca="false">IFERROR(IF([2]对账明细接口!$I$1047=0,"",[2]对账明细接口!$I$1047),"")</f>
        <v/>
      </c>
      <c r="J1047" s="61" t="str">
        <f aca="false">IFERROR(IF([2]对账明细接口!$J$1047=0,"",[2]对账明细接口!$J$1047),"")</f>
        <v/>
      </c>
      <c r="K1047" s="61" t="str">
        <f aca="false">IFERROR(IF([2]对账明细接口!$K$1047=0,"",[2]对账明细接口!$K$1047),"")</f>
        <v/>
      </c>
      <c r="L1047" s="59" t="str">
        <f aca="false">IFERROR(IF([2]对账明细接口!$L$1047=0,"",[2]对账明细接口!$L$1047),"")</f>
        <v/>
      </c>
      <c r="M1047" s="59" t="str">
        <f aca="false">IFERROR(IF([2]对账明细接口!$M$1047=0,"",[2]对账明细接口!$M$1047),"")</f>
        <v/>
      </c>
      <c r="N1047" s="111" t="n">
        <f aca="false">IF($C1047="",0,1)</f>
        <v>0</v>
      </c>
      <c r="O1047" s="111" t="n">
        <f aca="false">N(O1046)+$N1047</f>
        <v>311</v>
      </c>
      <c r="S1047" s="10" t="str">
        <f aca="false">IFERROR(IF([2]对账明细接口!$N1047=0,"",[2]对账明细接口!$N1047),"")</f>
        <v/>
      </c>
      <c r="T1047" s="112" t="str">
        <f aca="false">IFERROR(IF([2]对账明细接口!$O1047=0,"",[2]对账明细接口!$O1047),"")</f>
        <v/>
      </c>
      <c r="U1047" s="112" t="str">
        <f aca="false">IFERROR(IF([2]对账明细接口!$P1047=0,"",[2]对账明细接口!$P1047),"")</f>
        <v/>
      </c>
      <c r="V1047" s="112" t="str">
        <f aca="false">IFERROR(IF([2]对账明细接口!$Q1047=0,"",[2]对账明细接口!$Q1047),"")</f>
        <v/>
      </c>
      <c r="W1047" s="10" t="str">
        <f aca="false">IFERROR(IF([2]对账明细接口!$R1047=0,"",[2]对账明细接口!$R1047),"")</f>
        <v/>
      </c>
      <c r="X1047" s="10" t="str">
        <f aca="false">IFERROR(IF([2]对账明细接口!$S1047=0,"",[2]对账明细接口!$S1047),"")</f>
        <v/>
      </c>
      <c r="Y1047" s="10" t="str">
        <f aca="false">IFERROR(IF([2]对账明细接口!$T1047=0,"",[2]对账明细接口!$T1047),"")</f>
        <v/>
      </c>
      <c r="Z1047" s="113" t="str">
        <f aca="false">IFERROR(IF([2]对账明细接口!$U1047=0,"",[2]对账明细接口!$U1047),"")</f>
        <v/>
      </c>
      <c r="AA1047" s="113" t="str">
        <f aca="false">IFERROR(IF([2]对账明细接口!$V1047=0,"",[2]对账明细接口!$V1047),"")</f>
        <v/>
      </c>
      <c r="AB1047" s="10" t="str">
        <f aca="false">IFERROR(IF([2]对账明细接口!$W1047=0,"",[2]对账明细接口!$W1047),"")</f>
        <v/>
      </c>
      <c r="AC1047" s="90" t="str">
        <f aca="false">IFERROR(IF([2]对账明细接口!$X1048=0,"",[2]对账明细接口!$X1048),"")</f>
        <v/>
      </c>
      <c r="AD1047" s="90" t="str">
        <f aca="false">IFERROR(IF([2]对账明细接口!$Y1048=0,"",[2]对账明细接口!$Y1048),"")</f>
        <v/>
      </c>
      <c r="AE1047" s="90" t="str">
        <f aca="false">IFERROR(IF([2]对账明细接口!$AA1048=0,"",[2]对账明细接口!$AA1048),"")</f>
        <v/>
      </c>
      <c r="AF1047" s="90" t="str">
        <f aca="false">IFERROR(IF([2]对账明细接口!$AB1048=0,"",[2]对账明细接口!$AB1048),"")</f>
        <v/>
      </c>
      <c r="AG1047" s="90" t="str">
        <f aca="false">IFERROR(IF([2]对账明细接口!$AC1048=0,"",[2]对账明细接口!$AC1048),"")</f>
        <v/>
      </c>
      <c r="AH1047" s="90" t="str">
        <f aca="false">IFERROR(IF([2]对账明细接口!$AD1048=0,"",[2]对账明细接口!$AD1048),"")</f>
        <v/>
      </c>
    </row>
    <row r="1048" customFormat="false" ht="13.5" hidden="false" customHeight="false" outlineLevel="0" collapsed="false">
      <c r="A1048" s="109" t="n">
        <v>1048</v>
      </c>
      <c r="B1048" s="110" t="str">
        <f aca="false">IFERROR(IF([2]对账明细接口!$B$1048=0,"",[2]对账明细接口!$B$1048),"")</f>
        <v/>
      </c>
      <c r="C1048" s="59" t="str">
        <f aca="false">IFERROR(IF([2]对账明细接口!$C$1048=0,"",[2]对账明细接口!$C$1048),"")</f>
        <v/>
      </c>
      <c r="D1048" s="59" t="str">
        <f aca="false">IFERROR(IF([2]对账明细接口!$D$1048=0,"",[2]对账明细接口!$D$1048),"")</f>
        <v/>
      </c>
      <c r="E1048" s="59" t="str">
        <f aca="false">IFERROR(IF([2]对账明细接口!$E$1048=0,"",[2]对账明细接口!$E$1048),"")</f>
        <v/>
      </c>
      <c r="F1048" s="59" t="str">
        <f aca="false">IFERROR(IF([2]对账明细接口!$F$1048=0,"",[2]对账明细接口!$F$1048),"")</f>
        <v/>
      </c>
      <c r="G1048" s="59" t="str">
        <f aca="false">IFERROR(IF([2]对账明细接口!$G$1048=0,"",[2]对账明细接口!$G$1048),"")</f>
        <v/>
      </c>
      <c r="H1048" s="60" t="str">
        <f aca="false">IFERROR(IF([2]对账明细接口!$H$1048=0,"",[2]对账明细接口!$H$1048),"")</f>
        <v/>
      </c>
      <c r="I1048" s="59" t="str">
        <f aca="false">IFERROR(IF([2]对账明细接口!$I$1048=0,"",[2]对账明细接口!$I$1048),"")</f>
        <v/>
      </c>
      <c r="J1048" s="61" t="str">
        <f aca="false">IFERROR(IF([2]对账明细接口!$J$1048=0,"",[2]对账明细接口!$J$1048),"")</f>
        <v/>
      </c>
      <c r="K1048" s="61" t="str">
        <f aca="false">IFERROR(IF([2]对账明细接口!$K$1048=0,"",[2]对账明细接口!$K$1048),"")</f>
        <v/>
      </c>
      <c r="L1048" s="59" t="str">
        <f aca="false">IFERROR(IF([2]对账明细接口!$L$1048=0,"",[2]对账明细接口!$L$1048),"")</f>
        <v/>
      </c>
      <c r="M1048" s="59" t="str">
        <f aca="false">IFERROR(IF([2]对账明细接口!$M$1048=0,"",[2]对账明细接口!$M$1048),"")</f>
        <v/>
      </c>
      <c r="N1048" s="111" t="n">
        <f aca="false">IF($C1048="",0,1)</f>
        <v>0</v>
      </c>
      <c r="O1048" s="111" t="n">
        <f aca="false">N(O1047)+$N1048</f>
        <v>311</v>
      </c>
      <c r="S1048" s="10" t="str">
        <f aca="false">IFERROR(IF([2]对账明细接口!$N1048=0,"",[2]对账明细接口!$N1048),"")</f>
        <v/>
      </c>
      <c r="T1048" s="112" t="str">
        <f aca="false">IFERROR(IF([2]对账明细接口!$O1048=0,"",[2]对账明细接口!$O1048),"")</f>
        <v/>
      </c>
      <c r="U1048" s="112" t="str">
        <f aca="false">IFERROR(IF([2]对账明细接口!$P1048=0,"",[2]对账明细接口!$P1048),"")</f>
        <v/>
      </c>
      <c r="V1048" s="112" t="str">
        <f aca="false">IFERROR(IF([2]对账明细接口!$Q1048=0,"",[2]对账明细接口!$Q1048),"")</f>
        <v/>
      </c>
      <c r="W1048" s="10" t="str">
        <f aca="false">IFERROR(IF([2]对账明细接口!$R1048=0,"",[2]对账明细接口!$R1048),"")</f>
        <v/>
      </c>
      <c r="X1048" s="10" t="str">
        <f aca="false">IFERROR(IF([2]对账明细接口!$S1048=0,"",[2]对账明细接口!$S1048),"")</f>
        <v/>
      </c>
      <c r="Y1048" s="10" t="str">
        <f aca="false">IFERROR(IF([2]对账明细接口!$T1048=0,"",[2]对账明细接口!$T1048),"")</f>
        <v/>
      </c>
      <c r="Z1048" s="113" t="str">
        <f aca="false">IFERROR(IF([2]对账明细接口!$U1048=0,"",[2]对账明细接口!$U1048),"")</f>
        <v/>
      </c>
      <c r="AA1048" s="113" t="str">
        <f aca="false">IFERROR(IF([2]对账明细接口!$V1048=0,"",[2]对账明细接口!$V1048),"")</f>
        <v/>
      </c>
      <c r="AB1048" s="10" t="str">
        <f aca="false">IFERROR(IF([2]对账明细接口!$W1048=0,"",[2]对账明细接口!$W1048),"")</f>
        <v/>
      </c>
      <c r="AC1048" s="90" t="str">
        <f aca="false">IFERROR(IF([2]对账明细接口!$X1049=0,"",[2]对账明细接口!$X1049),"")</f>
        <v/>
      </c>
      <c r="AD1048" s="90" t="str">
        <f aca="false">IFERROR(IF([2]对账明细接口!$Y1049=0,"",[2]对账明细接口!$Y1049),"")</f>
        <v/>
      </c>
      <c r="AE1048" s="90" t="str">
        <f aca="false">IFERROR(IF([2]对账明细接口!$AA1049=0,"",[2]对账明细接口!$AA1049),"")</f>
        <v/>
      </c>
      <c r="AF1048" s="90" t="str">
        <f aca="false">IFERROR(IF([2]对账明细接口!$AB1049=0,"",[2]对账明细接口!$AB1049),"")</f>
        <v/>
      </c>
      <c r="AG1048" s="90" t="str">
        <f aca="false">IFERROR(IF([2]对账明细接口!$AC1049=0,"",[2]对账明细接口!$AC1049),"")</f>
        <v/>
      </c>
      <c r="AH1048" s="90" t="str">
        <f aca="false">IFERROR(IF([2]对账明细接口!$AD1049=0,"",[2]对账明细接口!$AD1049),"")</f>
        <v/>
      </c>
    </row>
    <row r="1049" customFormat="false" ht="13.5" hidden="false" customHeight="false" outlineLevel="0" collapsed="false">
      <c r="A1049" s="109" t="n">
        <v>1049</v>
      </c>
      <c r="B1049" s="110" t="str">
        <f aca="false">IFERROR(IF([2]对账明细接口!$B$1049=0,"",[2]对账明细接口!$B$1049),"")</f>
        <v/>
      </c>
      <c r="C1049" s="59" t="str">
        <f aca="false">IFERROR(IF([2]对账明细接口!$C$1049=0,"",[2]对账明细接口!$C$1049),"")</f>
        <v/>
      </c>
      <c r="D1049" s="59" t="str">
        <f aca="false">IFERROR(IF([2]对账明细接口!$D$1049=0,"",[2]对账明细接口!$D$1049),"")</f>
        <v/>
      </c>
      <c r="E1049" s="59" t="str">
        <f aca="false">IFERROR(IF([2]对账明细接口!$E$1049=0,"",[2]对账明细接口!$E$1049),"")</f>
        <v/>
      </c>
      <c r="F1049" s="59" t="str">
        <f aca="false">IFERROR(IF([2]对账明细接口!$F$1049=0,"",[2]对账明细接口!$F$1049),"")</f>
        <v/>
      </c>
      <c r="G1049" s="59" t="str">
        <f aca="false">IFERROR(IF([2]对账明细接口!$G$1049=0,"",[2]对账明细接口!$G$1049),"")</f>
        <v/>
      </c>
      <c r="H1049" s="60" t="str">
        <f aca="false">IFERROR(IF([2]对账明细接口!$H$1049=0,"",[2]对账明细接口!$H$1049),"")</f>
        <v/>
      </c>
      <c r="I1049" s="59" t="str">
        <f aca="false">IFERROR(IF([2]对账明细接口!$I$1049=0,"",[2]对账明细接口!$I$1049),"")</f>
        <v/>
      </c>
      <c r="J1049" s="61" t="str">
        <f aca="false">IFERROR(IF([2]对账明细接口!$J$1049=0,"",[2]对账明细接口!$J$1049),"")</f>
        <v/>
      </c>
      <c r="K1049" s="61" t="str">
        <f aca="false">IFERROR(IF([2]对账明细接口!$K$1049=0,"",[2]对账明细接口!$K$1049),"")</f>
        <v/>
      </c>
      <c r="L1049" s="59" t="str">
        <f aca="false">IFERROR(IF([2]对账明细接口!$L$1049=0,"",[2]对账明细接口!$L$1049),"")</f>
        <v/>
      </c>
      <c r="M1049" s="59" t="str">
        <f aca="false">IFERROR(IF([2]对账明细接口!$M$1049=0,"",[2]对账明细接口!$M$1049),"")</f>
        <v/>
      </c>
      <c r="N1049" s="111" t="n">
        <f aca="false">IF($C1049="",0,1)</f>
        <v>0</v>
      </c>
      <c r="O1049" s="111" t="n">
        <f aca="false">N(O1048)+$N1049</f>
        <v>311</v>
      </c>
      <c r="S1049" s="10" t="str">
        <f aca="false">IFERROR(IF([2]对账明细接口!$N1049=0,"",[2]对账明细接口!$N1049),"")</f>
        <v/>
      </c>
      <c r="T1049" s="112" t="str">
        <f aca="false">IFERROR(IF([2]对账明细接口!$O1049=0,"",[2]对账明细接口!$O1049),"")</f>
        <v/>
      </c>
      <c r="U1049" s="112" t="str">
        <f aca="false">IFERROR(IF([2]对账明细接口!$P1049=0,"",[2]对账明细接口!$P1049),"")</f>
        <v/>
      </c>
      <c r="V1049" s="112" t="str">
        <f aca="false">IFERROR(IF([2]对账明细接口!$Q1049=0,"",[2]对账明细接口!$Q1049),"")</f>
        <v/>
      </c>
      <c r="W1049" s="10" t="str">
        <f aca="false">IFERROR(IF([2]对账明细接口!$R1049=0,"",[2]对账明细接口!$R1049),"")</f>
        <v/>
      </c>
      <c r="X1049" s="10" t="str">
        <f aca="false">IFERROR(IF([2]对账明细接口!$S1049=0,"",[2]对账明细接口!$S1049),"")</f>
        <v/>
      </c>
      <c r="Y1049" s="10" t="str">
        <f aca="false">IFERROR(IF([2]对账明细接口!$T1049=0,"",[2]对账明细接口!$T1049),"")</f>
        <v/>
      </c>
      <c r="Z1049" s="113" t="str">
        <f aca="false">IFERROR(IF([2]对账明细接口!$U1049=0,"",[2]对账明细接口!$U1049),"")</f>
        <v/>
      </c>
      <c r="AA1049" s="113" t="str">
        <f aca="false">IFERROR(IF([2]对账明细接口!$V1049=0,"",[2]对账明细接口!$V1049),"")</f>
        <v/>
      </c>
      <c r="AB1049" s="10" t="str">
        <f aca="false">IFERROR(IF([2]对账明细接口!$W1049=0,"",[2]对账明细接口!$W1049),"")</f>
        <v/>
      </c>
      <c r="AC1049" s="90" t="str">
        <f aca="false">IFERROR(IF([2]对账明细接口!$X1050=0,"",[2]对账明细接口!$X1050),"")</f>
        <v/>
      </c>
      <c r="AD1049" s="90" t="str">
        <f aca="false">IFERROR(IF([2]对账明细接口!$Y1050=0,"",[2]对账明细接口!$Y1050),"")</f>
        <v/>
      </c>
      <c r="AE1049" s="90" t="str">
        <f aca="false">IFERROR(IF([2]对账明细接口!$AA1050=0,"",[2]对账明细接口!$AA1050),"")</f>
        <v/>
      </c>
      <c r="AF1049" s="90" t="str">
        <f aca="false">IFERROR(IF([2]对账明细接口!$AB1050=0,"",[2]对账明细接口!$AB1050),"")</f>
        <v/>
      </c>
      <c r="AG1049" s="90" t="str">
        <f aca="false">IFERROR(IF([2]对账明细接口!$AC1050=0,"",[2]对账明细接口!$AC1050),"")</f>
        <v/>
      </c>
      <c r="AH1049" s="90" t="str">
        <f aca="false">IFERROR(IF([2]对账明细接口!$AD1050=0,"",[2]对账明细接口!$AD1050),"")</f>
        <v/>
      </c>
    </row>
    <row r="1050" customFormat="false" ht="13.5" hidden="false" customHeight="false" outlineLevel="0" collapsed="false">
      <c r="A1050" s="109" t="n">
        <v>1050</v>
      </c>
      <c r="B1050" s="110" t="str">
        <f aca="false">IFERROR(IF([2]对账明细接口!$B$1050=0,"",[2]对账明细接口!$B$1050),"")</f>
        <v/>
      </c>
      <c r="C1050" s="59" t="str">
        <f aca="false">IFERROR(IF([2]对账明细接口!$C$1050=0,"",[2]对账明细接口!$C$1050),"")</f>
        <v/>
      </c>
      <c r="D1050" s="59" t="str">
        <f aca="false">IFERROR(IF([2]对账明细接口!$D$1050=0,"",[2]对账明细接口!$D$1050),"")</f>
        <v/>
      </c>
      <c r="E1050" s="59" t="str">
        <f aca="false">IFERROR(IF([2]对账明细接口!$E$1050=0,"",[2]对账明细接口!$E$1050),"")</f>
        <v/>
      </c>
      <c r="F1050" s="59" t="str">
        <f aca="false">IFERROR(IF([2]对账明细接口!$F$1050=0,"",[2]对账明细接口!$F$1050),"")</f>
        <v/>
      </c>
      <c r="G1050" s="59" t="str">
        <f aca="false">IFERROR(IF([2]对账明细接口!$G$1050=0,"",[2]对账明细接口!$G$1050),"")</f>
        <v/>
      </c>
      <c r="H1050" s="60" t="str">
        <f aca="false">IFERROR(IF([2]对账明细接口!$H$1050=0,"",[2]对账明细接口!$H$1050),"")</f>
        <v/>
      </c>
      <c r="I1050" s="59" t="str">
        <f aca="false">IFERROR(IF([2]对账明细接口!$I$1050=0,"",[2]对账明细接口!$I$1050),"")</f>
        <v/>
      </c>
      <c r="J1050" s="61" t="str">
        <f aca="false">IFERROR(IF([2]对账明细接口!$J$1050=0,"",[2]对账明细接口!$J$1050),"")</f>
        <v/>
      </c>
      <c r="K1050" s="61" t="str">
        <f aca="false">IFERROR(IF([2]对账明细接口!$K$1050=0,"",[2]对账明细接口!$K$1050),"")</f>
        <v/>
      </c>
      <c r="L1050" s="59" t="str">
        <f aca="false">IFERROR(IF([2]对账明细接口!$L$1050=0,"",[2]对账明细接口!$L$1050),"")</f>
        <v/>
      </c>
      <c r="M1050" s="59" t="str">
        <f aca="false">IFERROR(IF([2]对账明细接口!$M$1050=0,"",[2]对账明细接口!$M$1050),"")</f>
        <v/>
      </c>
      <c r="N1050" s="111" t="n">
        <f aca="false">IF($C1050="",0,1)</f>
        <v>0</v>
      </c>
      <c r="O1050" s="111" t="n">
        <f aca="false">N(O1049)+$N1050</f>
        <v>311</v>
      </c>
      <c r="S1050" s="10" t="str">
        <f aca="false">IFERROR(IF([2]对账明细接口!$N1050=0,"",[2]对账明细接口!$N1050),"")</f>
        <v/>
      </c>
      <c r="T1050" s="112" t="str">
        <f aca="false">IFERROR(IF([2]对账明细接口!$O1050=0,"",[2]对账明细接口!$O1050),"")</f>
        <v/>
      </c>
      <c r="U1050" s="112" t="str">
        <f aca="false">IFERROR(IF([2]对账明细接口!$P1050=0,"",[2]对账明细接口!$P1050),"")</f>
        <v/>
      </c>
      <c r="V1050" s="112" t="str">
        <f aca="false">IFERROR(IF([2]对账明细接口!$Q1050=0,"",[2]对账明细接口!$Q1050),"")</f>
        <v/>
      </c>
      <c r="W1050" s="10" t="str">
        <f aca="false">IFERROR(IF([2]对账明细接口!$R1050=0,"",[2]对账明细接口!$R1050),"")</f>
        <v/>
      </c>
      <c r="X1050" s="10" t="str">
        <f aca="false">IFERROR(IF([2]对账明细接口!$S1050=0,"",[2]对账明细接口!$S1050),"")</f>
        <v/>
      </c>
      <c r="Y1050" s="10" t="str">
        <f aca="false">IFERROR(IF([2]对账明细接口!$T1050=0,"",[2]对账明细接口!$T1050),"")</f>
        <v/>
      </c>
      <c r="Z1050" s="113" t="str">
        <f aca="false">IFERROR(IF([2]对账明细接口!$U1050=0,"",[2]对账明细接口!$U1050),"")</f>
        <v/>
      </c>
      <c r="AA1050" s="113" t="str">
        <f aca="false">IFERROR(IF([2]对账明细接口!$V1050=0,"",[2]对账明细接口!$V1050),"")</f>
        <v/>
      </c>
      <c r="AB1050" s="10" t="str">
        <f aca="false">IFERROR(IF([2]对账明细接口!$W1050=0,"",[2]对账明细接口!$W1050),"")</f>
        <v/>
      </c>
      <c r="AC1050" s="90" t="str">
        <f aca="false">IFERROR(IF([2]对账明细接口!$X1051=0,"",[2]对账明细接口!$X1051),"")</f>
        <v/>
      </c>
      <c r="AD1050" s="90" t="str">
        <f aca="false">IFERROR(IF([2]对账明细接口!$Y1051=0,"",[2]对账明细接口!$Y1051),"")</f>
        <v/>
      </c>
      <c r="AE1050" s="90" t="str">
        <f aca="false">IFERROR(IF([2]对账明细接口!$AA1051=0,"",[2]对账明细接口!$AA1051),"")</f>
        <v/>
      </c>
      <c r="AF1050" s="90" t="str">
        <f aca="false">IFERROR(IF([2]对账明细接口!$AB1051=0,"",[2]对账明细接口!$AB1051),"")</f>
        <v/>
      </c>
      <c r="AG1050" s="90" t="str">
        <f aca="false">IFERROR(IF([2]对账明细接口!$AC1051=0,"",[2]对账明细接口!$AC1051),"")</f>
        <v/>
      </c>
      <c r="AH1050" s="90" t="str">
        <f aca="false">IFERROR(IF([2]对账明细接口!$AD1051=0,"",[2]对账明细接口!$AD1051),"")</f>
        <v/>
      </c>
    </row>
    <row r="1051" customFormat="false" ht="13.5" hidden="false" customHeight="false" outlineLevel="0" collapsed="false">
      <c r="A1051" s="109" t="n">
        <v>1051</v>
      </c>
      <c r="B1051" s="110" t="str">
        <f aca="false">IFERROR(IF([2]对账明细接口!$B$1051=0,"",[2]对账明细接口!$B$1051),"")</f>
        <v/>
      </c>
      <c r="C1051" s="59" t="str">
        <f aca="false">IFERROR(IF([2]对账明细接口!$C$1051=0,"",[2]对账明细接口!$C$1051),"")</f>
        <v/>
      </c>
      <c r="D1051" s="59" t="str">
        <f aca="false">IFERROR(IF([2]对账明细接口!$D$1051=0,"",[2]对账明细接口!$D$1051),"")</f>
        <v/>
      </c>
      <c r="E1051" s="59" t="str">
        <f aca="false">IFERROR(IF([2]对账明细接口!$E$1051=0,"",[2]对账明细接口!$E$1051),"")</f>
        <v/>
      </c>
      <c r="F1051" s="59" t="str">
        <f aca="false">IFERROR(IF([2]对账明细接口!$F$1051=0,"",[2]对账明细接口!$F$1051),"")</f>
        <v/>
      </c>
      <c r="G1051" s="59" t="str">
        <f aca="false">IFERROR(IF([2]对账明细接口!$G$1051=0,"",[2]对账明细接口!$G$1051),"")</f>
        <v/>
      </c>
      <c r="H1051" s="60" t="str">
        <f aca="false">IFERROR(IF([2]对账明细接口!$H$1051=0,"",[2]对账明细接口!$H$1051),"")</f>
        <v/>
      </c>
      <c r="I1051" s="59" t="str">
        <f aca="false">IFERROR(IF([2]对账明细接口!$I$1051=0,"",[2]对账明细接口!$I$1051),"")</f>
        <v/>
      </c>
      <c r="J1051" s="61" t="str">
        <f aca="false">IFERROR(IF([2]对账明细接口!$J$1051=0,"",[2]对账明细接口!$J$1051),"")</f>
        <v/>
      </c>
      <c r="K1051" s="61" t="str">
        <f aca="false">IFERROR(IF([2]对账明细接口!$K$1051=0,"",[2]对账明细接口!$K$1051),"")</f>
        <v/>
      </c>
      <c r="L1051" s="59" t="str">
        <f aca="false">IFERROR(IF([2]对账明细接口!$L$1051=0,"",[2]对账明细接口!$L$1051),"")</f>
        <v/>
      </c>
      <c r="M1051" s="59" t="str">
        <f aca="false">IFERROR(IF([2]对账明细接口!$M$1051=0,"",[2]对账明细接口!$M$1051),"")</f>
        <v/>
      </c>
      <c r="N1051" s="111" t="n">
        <f aca="false">IF($C1051="",0,1)</f>
        <v>0</v>
      </c>
      <c r="O1051" s="111" t="n">
        <f aca="false">N(O1050)+$N1051</f>
        <v>311</v>
      </c>
      <c r="S1051" s="10" t="str">
        <f aca="false">IFERROR(IF([2]对账明细接口!$N1051=0,"",[2]对账明细接口!$N1051),"")</f>
        <v/>
      </c>
      <c r="T1051" s="112" t="str">
        <f aca="false">IFERROR(IF([2]对账明细接口!$O1051=0,"",[2]对账明细接口!$O1051),"")</f>
        <v/>
      </c>
      <c r="U1051" s="112" t="str">
        <f aca="false">IFERROR(IF([2]对账明细接口!$P1051=0,"",[2]对账明细接口!$P1051),"")</f>
        <v/>
      </c>
      <c r="V1051" s="112" t="str">
        <f aca="false">IFERROR(IF([2]对账明细接口!$Q1051=0,"",[2]对账明细接口!$Q1051),"")</f>
        <v/>
      </c>
      <c r="W1051" s="10" t="str">
        <f aca="false">IFERROR(IF([2]对账明细接口!$R1051=0,"",[2]对账明细接口!$R1051),"")</f>
        <v/>
      </c>
      <c r="X1051" s="10" t="str">
        <f aca="false">IFERROR(IF([2]对账明细接口!$S1051=0,"",[2]对账明细接口!$S1051),"")</f>
        <v/>
      </c>
      <c r="Y1051" s="10" t="str">
        <f aca="false">IFERROR(IF([2]对账明细接口!$T1051=0,"",[2]对账明细接口!$T1051),"")</f>
        <v/>
      </c>
      <c r="Z1051" s="113" t="str">
        <f aca="false">IFERROR(IF([2]对账明细接口!$U1051=0,"",[2]对账明细接口!$U1051),"")</f>
        <v/>
      </c>
      <c r="AA1051" s="113" t="str">
        <f aca="false">IFERROR(IF([2]对账明细接口!$V1051=0,"",[2]对账明细接口!$V1051),"")</f>
        <v/>
      </c>
      <c r="AB1051" s="10" t="str">
        <f aca="false">IFERROR(IF([2]对账明细接口!$W1051=0,"",[2]对账明细接口!$W1051),"")</f>
        <v/>
      </c>
      <c r="AC1051" s="90" t="str">
        <f aca="false">IFERROR(IF([2]对账明细接口!$X1052=0,"",[2]对账明细接口!$X1052),"")</f>
        <v/>
      </c>
      <c r="AD1051" s="90" t="str">
        <f aca="false">IFERROR(IF([2]对账明细接口!$Y1052=0,"",[2]对账明细接口!$Y1052),"")</f>
        <v/>
      </c>
      <c r="AE1051" s="90" t="str">
        <f aca="false">IFERROR(IF([2]对账明细接口!$AA1052=0,"",[2]对账明细接口!$AA1052),"")</f>
        <v/>
      </c>
      <c r="AF1051" s="90" t="str">
        <f aca="false">IFERROR(IF([2]对账明细接口!$AB1052=0,"",[2]对账明细接口!$AB1052),"")</f>
        <v/>
      </c>
      <c r="AG1051" s="90" t="str">
        <f aca="false">IFERROR(IF([2]对账明细接口!$AC1052=0,"",[2]对账明细接口!$AC1052),"")</f>
        <v/>
      </c>
      <c r="AH1051" s="90" t="str">
        <f aca="false">IFERROR(IF([2]对账明细接口!$AD1052=0,"",[2]对账明细接口!$AD1052),"")</f>
        <v/>
      </c>
    </row>
    <row r="1052" customFormat="false" ht="13.5" hidden="false" customHeight="false" outlineLevel="0" collapsed="false">
      <c r="A1052" s="109" t="n">
        <v>1052</v>
      </c>
      <c r="B1052" s="110" t="str">
        <f aca="false">IFERROR(IF([2]对账明细接口!$B$1052=0,"",[2]对账明细接口!$B$1052),"")</f>
        <v/>
      </c>
      <c r="C1052" s="59" t="str">
        <f aca="false">IFERROR(IF([2]对账明细接口!$C$1052=0,"",[2]对账明细接口!$C$1052),"")</f>
        <v/>
      </c>
      <c r="D1052" s="59" t="str">
        <f aca="false">IFERROR(IF([2]对账明细接口!$D$1052=0,"",[2]对账明细接口!$D$1052),"")</f>
        <v/>
      </c>
      <c r="E1052" s="59" t="str">
        <f aca="false">IFERROR(IF([2]对账明细接口!$E$1052=0,"",[2]对账明细接口!$E$1052),"")</f>
        <v/>
      </c>
      <c r="F1052" s="59" t="str">
        <f aca="false">IFERROR(IF([2]对账明细接口!$F$1052=0,"",[2]对账明细接口!$F$1052),"")</f>
        <v/>
      </c>
      <c r="G1052" s="59" t="str">
        <f aca="false">IFERROR(IF([2]对账明细接口!$G$1052=0,"",[2]对账明细接口!$G$1052),"")</f>
        <v/>
      </c>
      <c r="H1052" s="60" t="str">
        <f aca="false">IFERROR(IF([2]对账明细接口!$H$1052=0,"",[2]对账明细接口!$H$1052),"")</f>
        <v/>
      </c>
      <c r="I1052" s="59" t="str">
        <f aca="false">IFERROR(IF([2]对账明细接口!$I$1052=0,"",[2]对账明细接口!$I$1052),"")</f>
        <v/>
      </c>
      <c r="J1052" s="61" t="str">
        <f aca="false">IFERROR(IF([2]对账明细接口!$J$1052=0,"",[2]对账明细接口!$J$1052),"")</f>
        <v/>
      </c>
      <c r="K1052" s="61" t="str">
        <f aca="false">IFERROR(IF([2]对账明细接口!$K$1052=0,"",[2]对账明细接口!$K$1052),"")</f>
        <v/>
      </c>
      <c r="L1052" s="59" t="str">
        <f aca="false">IFERROR(IF([2]对账明细接口!$L$1052=0,"",[2]对账明细接口!$L$1052),"")</f>
        <v/>
      </c>
      <c r="M1052" s="59" t="str">
        <f aca="false">IFERROR(IF([2]对账明细接口!$M$1052=0,"",[2]对账明细接口!$M$1052),"")</f>
        <v/>
      </c>
      <c r="N1052" s="111" t="n">
        <f aca="false">IF($C1052="",0,1)</f>
        <v>0</v>
      </c>
      <c r="O1052" s="111" t="n">
        <f aca="false">N(O1051)+$N1052</f>
        <v>311</v>
      </c>
      <c r="S1052" s="10" t="str">
        <f aca="false">IFERROR(IF([2]对账明细接口!$N1052=0,"",[2]对账明细接口!$N1052),"")</f>
        <v/>
      </c>
      <c r="T1052" s="112" t="str">
        <f aca="false">IFERROR(IF([2]对账明细接口!$O1052=0,"",[2]对账明细接口!$O1052),"")</f>
        <v/>
      </c>
      <c r="U1052" s="112" t="str">
        <f aca="false">IFERROR(IF([2]对账明细接口!$P1052=0,"",[2]对账明细接口!$P1052),"")</f>
        <v/>
      </c>
      <c r="V1052" s="112" t="str">
        <f aca="false">IFERROR(IF([2]对账明细接口!$Q1052=0,"",[2]对账明细接口!$Q1052),"")</f>
        <v/>
      </c>
      <c r="W1052" s="10" t="str">
        <f aca="false">IFERROR(IF([2]对账明细接口!$R1052=0,"",[2]对账明细接口!$R1052),"")</f>
        <v/>
      </c>
      <c r="X1052" s="10" t="str">
        <f aca="false">IFERROR(IF([2]对账明细接口!$S1052=0,"",[2]对账明细接口!$S1052),"")</f>
        <v/>
      </c>
      <c r="Y1052" s="10" t="str">
        <f aca="false">IFERROR(IF([2]对账明细接口!$T1052=0,"",[2]对账明细接口!$T1052),"")</f>
        <v/>
      </c>
      <c r="Z1052" s="113" t="str">
        <f aca="false">IFERROR(IF([2]对账明细接口!$U1052=0,"",[2]对账明细接口!$U1052),"")</f>
        <v/>
      </c>
      <c r="AA1052" s="113" t="str">
        <f aca="false">IFERROR(IF([2]对账明细接口!$V1052=0,"",[2]对账明细接口!$V1052),"")</f>
        <v/>
      </c>
      <c r="AB1052" s="10" t="str">
        <f aca="false">IFERROR(IF([2]对账明细接口!$W1052=0,"",[2]对账明细接口!$W1052),"")</f>
        <v/>
      </c>
      <c r="AC1052" s="90" t="str">
        <f aca="false">IFERROR(IF([2]对账明细接口!$X1053=0,"",[2]对账明细接口!$X1053),"")</f>
        <v/>
      </c>
      <c r="AD1052" s="90" t="str">
        <f aca="false">IFERROR(IF([2]对账明细接口!$Y1053=0,"",[2]对账明细接口!$Y1053),"")</f>
        <v/>
      </c>
      <c r="AE1052" s="90" t="str">
        <f aca="false">IFERROR(IF([2]对账明细接口!$AA1053=0,"",[2]对账明细接口!$AA1053),"")</f>
        <v/>
      </c>
      <c r="AF1052" s="90" t="str">
        <f aca="false">IFERROR(IF([2]对账明细接口!$AB1053=0,"",[2]对账明细接口!$AB1053),"")</f>
        <v/>
      </c>
      <c r="AG1052" s="90" t="str">
        <f aca="false">IFERROR(IF([2]对账明细接口!$AC1053=0,"",[2]对账明细接口!$AC1053),"")</f>
        <v/>
      </c>
      <c r="AH1052" s="90" t="str">
        <f aca="false">IFERROR(IF([2]对账明细接口!$AD1053=0,"",[2]对账明细接口!$AD1053),"")</f>
        <v/>
      </c>
    </row>
    <row r="1053" customFormat="false" ht="13.5" hidden="false" customHeight="false" outlineLevel="0" collapsed="false">
      <c r="A1053" s="109" t="n">
        <v>1053</v>
      </c>
      <c r="B1053" s="110" t="str">
        <f aca="false">IFERROR(IF([2]对账明细接口!$B$1053=0,"",[2]对账明细接口!$B$1053),"")</f>
        <v/>
      </c>
      <c r="C1053" s="59" t="str">
        <f aca="false">IFERROR(IF([2]对账明细接口!$C$1053=0,"",[2]对账明细接口!$C$1053),"")</f>
        <v/>
      </c>
      <c r="D1053" s="59" t="str">
        <f aca="false">IFERROR(IF([2]对账明细接口!$D$1053=0,"",[2]对账明细接口!$D$1053),"")</f>
        <v/>
      </c>
      <c r="E1053" s="59" t="str">
        <f aca="false">IFERROR(IF([2]对账明细接口!$E$1053=0,"",[2]对账明细接口!$E$1053),"")</f>
        <v/>
      </c>
      <c r="F1053" s="59" t="str">
        <f aca="false">IFERROR(IF([2]对账明细接口!$F$1053=0,"",[2]对账明细接口!$F$1053),"")</f>
        <v/>
      </c>
      <c r="G1053" s="59" t="str">
        <f aca="false">IFERROR(IF([2]对账明细接口!$G$1053=0,"",[2]对账明细接口!$G$1053),"")</f>
        <v/>
      </c>
      <c r="H1053" s="60" t="str">
        <f aca="false">IFERROR(IF([2]对账明细接口!$H$1053=0,"",[2]对账明细接口!$H$1053),"")</f>
        <v/>
      </c>
      <c r="I1053" s="59" t="str">
        <f aca="false">IFERROR(IF([2]对账明细接口!$I$1053=0,"",[2]对账明细接口!$I$1053),"")</f>
        <v/>
      </c>
      <c r="J1053" s="61" t="str">
        <f aca="false">IFERROR(IF([2]对账明细接口!$J$1053=0,"",[2]对账明细接口!$J$1053),"")</f>
        <v/>
      </c>
      <c r="K1053" s="61" t="str">
        <f aca="false">IFERROR(IF([2]对账明细接口!$K$1053=0,"",[2]对账明细接口!$K$1053),"")</f>
        <v/>
      </c>
      <c r="L1053" s="59" t="str">
        <f aca="false">IFERROR(IF([2]对账明细接口!$L$1053=0,"",[2]对账明细接口!$L$1053),"")</f>
        <v/>
      </c>
      <c r="M1053" s="59" t="str">
        <f aca="false">IFERROR(IF([2]对账明细接口!$M$1053=0,"",[2]对账明细接口!$M$1053),"")</f>
        <v/>
      </c>
      <c r="N1053" s="111" t="n">
        <f aca="false">IF($C1053="",0,1)</f>
        <v>0</v>
      </c>
      <c r="O1053" s="111" t="n">
        <f aca="false">N(O1052)+$N1053</f>
        <v>311</v>
      </c>
      <c r="S1053" s="10" t="str">
        <f aca="false">IFERROR(IF([2]对账明细接口!$N1053=0,"",[2]对账明细接口!$N1053),"")</f>
        <v/>
      </c>
      <c r="T1053" s="112" t="str">
        <f aca="false">IFERROR(IF([2]对账明细接口!$O1053=0,"",[2]对账明细接口!$O1053),"")</f>
        <v/>
      </c>
      <c r="U1053" s="112" t="str">
        <f aca="false">IFERROR(IF([2]对账明细接口!$P1053=0,"",[2]对账明细接口!$P1053),"")</f>
        <v/>
      </c>
      <c r="V1053" s="112" t="str">
        <f aca="false">IFERROR(IF([2]对账明细接口!$Q1053=0,"",[2]对账明细接口!$Q1053),"")</f>
        <v/>
      </c>
      <c r="W1053" s="10" t="str">
        <f aca="false">IFERROR(IF([2]对账明细接口!$R1053=0,"",[2]对账明细接口!$R1053),"")</f>
        <v/>
      </c>
      <c r="X1053" s="10" t="str">
        <f aca="false">IFERROR(IF([2]对账明细接口!$S1053=0,"",[2]对账明细接口!$S1053),"")</f>
        <v/>
      </c>
      <c r="Y1053" s="10" t="str">
        <f aca="false">IFERROR(IF([2]对账明细接口!$T1053=0,"",[2]对账明细接口!$T1053),"")</f>
        <v/>
      </c>
      <c r="Z1053" s="113" t="str">
        <f aca="false">IFERROR(IF([2]对账明细接口!$U1053=0,"",[2]对账明细接口!$U1053),"")</f>
        <v/>
      </c>
      <c r="AA1053" s="113" t="str">
        <f aca="false">IFERROR(IF([2]对账明细接口!$V1053=0,"",[2]对账明细接口!$V1053),"")</f>
        <v/>
      </c>
      <c r="AB1053" s="10" t="str">
        <f aca="false">IFERROR(IF([2]对账明细接口!$W1053=0,"",[2]对账明细接口!$W1053),"")</f>
        <v/>
      </c>
      <c r="AC1053" s="90" t="str">
        <f aca="false">IFERROR(IF([2]对账明细接口!$X1054=0,"",[2]对账明细接口!$X1054),"")</f>
        <v/>
      </c>
      <c r="AD1053" s="90" t="str">
        <f aca="false">IFERROR(IF([2]对账明细接口!$Y1054=0,"",[2]对账明细接口!$Y1054),"")</f>
        <v/>
      </c>
      <c r="AE1053" s="90" t="str">
        <f aca="false">IFERROR(IF([2]对账明细接口!$AA1054=0,"",[2]对账明细接口!$AA1054),"")</f>
        <v/>
      </c>
      <c r="AF1053" s="90" t="str">
        <f aca="false">IFERROR(IF([2]对账明细接口!$AB1054=0,"",[2]对账明细接口!$AB1054),"")</f>
        <v/>
      </c>
      <c r="AG1053" s="90" t="str">
        <f aca="false">IFERROR(IF([2]对账明细接口!$AC1054=0,"",[2]对账明细接口!$AC1054),"")</f>
        <v/>
      </c>
      <c r="AH1053" s="90" t="str">
        <f aca="false">IFERROR(IF([2]对账明细接口!$AD1054=0,"",[2]对账明细接口!$AD1054),"")</f>
        <v/>
      </c>
    </row>
    <row r="1054" customFormat="false" ht="13.5" hidden="false" customHeight="false" outlineLevel="0" collapsed="false">
      <c r="A1054" s="109" t="n">
        <v>1054</v>
      </c>
      <c r="B1054" s="110" t="str">
        <f aca="false">IFERROR(IF([2]对账明细接口!$B$1054=0,"",[2]对账明细接口!$B$1054),"")</f>
        <v/>
      </c>
      <c r="C1054" s="59" t="str">
        <f aca="false">IFERROR(IF([2]对账明细接口!$C$1054=0,"",[2]对账明细接口!$C$1054),"")</f>
        <v/>
      </c>
      <c r="D1054" s="59" t="str">
        <f aca="false">IFERROR(IF([2]对账明细接口!$D$1054=0,"",[2]对账明细接口!$D$1054),"")</f>
        <v/>
      </c>
      <c r="E1054" s="59" t="str">
        <f aca="false">IFERROR(IF([2]对账明细接口!$E$1054=0,"",[2]对账明细接口!$E$1054),"")</f>
        <v/>
      </c>
      <c r="F1054" s="59" t="str">
        <f aca="false">IFERROR(IF([2]对账明细接口!$F$1054=0,"",[2]对账明细接口!$F$1054),"")</f>
        <v/>
      </c>
      <c r="G1054" s="59" t="str">
        <f aca="false">IFERROR(IF([2]对账明细接口!$G$1054=0,"",[2]对账明细接口!$G$1054),"")</f>
        <v/>
      </c>
      <c r="H1054" s="60" t="str">
        <f aca="false">IFERROR(IF([2]对账明细接口!$H$1054=0,"",[2]对账明细接口!$H$1054),"")</f>
        <v/>
      </c>
      <c r="I1054" s="59" t="str">
        <f aca="false">IFERROR(IF([2]对账明细接口!$I$1054=0,"",[2]对账明细接口!$I$1054),"")</f>
        <v/>
      </c>
      <c r="J1054" s="61" t="str">
        <f aca="false">IFERROR(IF([2]对账明细接口!$J$1054=0,"",[2]对账明细接口!$J$1054),"")</f>
        <v/>
      </c>
      <c r="K1054" s="61" t="str">
        <f aca="false">IFERROR(IF([2]对账明细接口!$K$1054=0,"",[2]对账明细接口!$K$1054),"")</f>
        <v/>
      </c>
      <c r="L1054" s="59" t="str">
        <f aca="false">IFERROR(IF([2]对账明细接口!$L$1054=0,"",[2]对账明细接口!$L$1054),"")</f>
        <v/>
      </c>
      <c r="M1054" s="59" t="str">
        <f aca="false">IFERROR(IF([2]对账明细接口!$M$1054=0,"",[2]对账明细接口!$M$1054),"")</f>
        <v/>
      </c>
      <c r="N1054" s="111" t="n">
        <f aca="false">IF($C1054="",0,1)</f>
        <v>0</v>
      </c>
      <c r="O1054" s="111" t="n">
        <f aca="false">N(O1053)+$N1054</f>
        <v>311</v>
      </c>
      <c r="S1054" s="10" t="str">
        <f aca="false">IFERROR(IF([2]对账明细接口!$N1054=0,"",[2]对账明细接口!$N1054),"")</f>
        <v/>
      </c>
      <c r="T1054" s="112" t="str">
        <f aca="false">IFERROR(IF([2]对账明细接口!$O1054=0,"",[2]对账明细接口!$O1054),"")</f>
        <v/>
      </c>
      <c r="U1054" s="112" t="str">
        <f aca="false">IFERROR(IF([2]对账明细接口!$P1054=0,"",[2]对账明细接口!$P1054),"")</f>
        <v/>
      </c>
      <c r="V1054" s="112" t="str">
        <f aca="false">IFERROR(IF([2]对账明细接口!$Q1054=0,"",[2]对账明细接口!$Q1054),"")</f>
        <v/>
      </c>
      <c r="W1054" s="10" t="str">
        <f aca="false">IFERROR(IF([2]对账明细接口!$R1054=0,"",[2]对账明细接口!$R1054),"")</f>
        <v/>
      </c>
      <c r="X1054" s="10" t="str">
        <f aca="false">IFERROR(IF([2]对账明细接口!$S1054=0,"",[2]对账明细接口!$S1054),"")</f>
        <v/>
      </c>
      <c r="Y1054" s="10" t="str">
        <f aca="false">IFERROR(IF([2]对账明细接口!$T1054=0,"",[2]对账明细接口!$T1054),"")</f>
        <v/>
      </c>
      <c r="Z1054" s="113" t="str">
        <f aca="false">IFERROR(IF([2]对账明细接口!$U1054=0,"",[2]对账明细接口!$U1054),"")</f>
        <v/>
      </c>
      <c r="AA1054" s="113" t="str">
        <f aca="false">IFERROR(IF([2]对账明细接口!$V1054=0,"",[2]对账明细接口!$V1054),"")</f>
        <v/>
      </c>
      <c r="AB1054" s="10" t="str">
        <f aca="false">IFERROR(IF([2]对账明细接口!$W1054=0,"",[2]对账明细接口!$W1054),"")</f>
        <v/>
      </c>
      <c r="AC1054" s="90" t="str">
        <f aca="false">IFERROR(IF([2]对账明细接口!$X1055=0,"",[2]对账明细接口!$X1055),"")</f>
        <v/>
      </c>
      <c r="AD1054" s="90" t="str">
        <f aca="false">IFERROR(IF([2]对账明细接口!$Y1055=0,"",[2]对账明细接口!$Y1055),"")</f>
        <v/>
      </c>
      <c r="AE1054" s="90" t="str">
        <f aca="false">IFERROR(IF([2]对账明细接口!$AA1055=0,"",[2]对账明细接口!$AA1055),"")</f>
        <v/>
      </c>
      <c r="AF1054" s="90" t="str">
        <f aca="false">IFERROR(IF([2]对账明细接口!$AB1055=0,"",[2]对账明细接口!$AB1055),"")</f>
        <v/>
      </c>
      <c r="AG1054" s="90" t="str">
        <f aca="false">IFERROR(IF([2]对账明细接口!$AC1055=0,"",[2]对账明细接口!$AC1055),"")</f>
        <v/>
      </c>
      <c r="AH1054" s="90" t="str">
        <f aca="false">IFERROR(IF([2]对账明细接口!$AD1055=0,"",[2]对账明细接口!$AD1055),"")</f>
        <v/>
      </c>
    </row>
    <row r="1055" customFormat="false" ht="13.5" hidden="false" customHeight="false" outlineLevel="0" collapsed="false">
      <c r="A1055" s="109" t="n">
        <v>1055</v>
      </c>
      <c r="B1055" s="110" t="str">
        <f aca="false">IFERROR(IF([2]对账明细接口!$B$1055=0,"",[2]对账明细接口!$B$1055),"")</f>
        <v/>
      </c>
      <c r="C1055" s="59" t="str">
        <f aca="false">IFERROR(IF([2]对账明细接口!$C$1055=0,"",[2]对账明细接口!$C$1055),"")</f>
        <v/>
      </c>
      <c r="D1055" s="59" t="str">
        <f aca="false">IFERROR(IF([2]对账明细接口!$D$1055=0,"",[2]对账明细接口!$D$1055),"")</f>
        <v/>
      </c>
      <c r="E1055" s="59" t="str">
        <f aca="false">IFERROR(IF([2]对账明细接口!$E$1055=0,"",[2]对账明细接口!$E$1055),"")</f>
        <v/>
      </c>
      <c r="F1055" s="59" t="str">
        <f aca="false">IFERROR(IF([2]对账明细接口!$F$1055=0,"",[2]对账明细接口!$F$1055),"")</f>
        <v/>
      </c>
      <c r="G1055" s="59" t="str">
        <f aca="false">IFERROR(IF([2]对账明细接口!$G$1055=0,"",[2]对账明细接口!$G$1055),"")</f>
        <v/>
      </c>
      <c r="H1055" s="60" t="str">
        <f aca="false">IFERROR(IF([2]对账明细接口!$H$1055=0,"",[2]对账明细接口!$H$1055),"")</f>
        <v/>
      </c>
      <c r="I1055" s="59" t="str">
        <f aca="false">IFERROR(IF([2]对账明细接口!$I$1055=0,"",[2]对账明细接口!$I$1055),"")</f>
        <v/>
      </c>
      <c r="J1055" s="61" t="str">
        <f aca="false">IFERROR(IF([2]对账明细接口!$J$1055=0,"",[2]对账明细接口!$J$1055),"")</f>
        <v/>
      </c>
      <c r="K1055" s="61" t="str">
        <f aca="false">IFERROR(IF([2]对账明细接口!$K$1055=0,"",[2]对账明细接口!$K$1055),"")</f>
        <v/>
      </c>
      <c r="L1055" s="59" t="str">
        <f aca="false">IFERROR(IF([2]对账明细接口!$L$1055=0,"",[2]对账明细接口!$L$1055),"")</f>
        <v/>
      </c>
      <c r="M1055" s="59" t="str">
        <f aca="false">IFERROR(IF([2]对账明细接口!$M$1055=0,"",[2]对账明细接口!$M$1055),"")</f>
        <v/>
      </c>
      <c r="N1055" s="111" t="n">
        <f aca="false">IF($C1055="",0,1)</f>
        <v>0</v>
      </c>
      <c r="O1055" s="111" t="n">
        <f aca="false">N(O1054)+$N1055</f>
        <v>311</v>
      </c>
      <c r="S1055" s="10" t="str">
        <f aca="false">IFERROR(IF([2]对账明细接口!$N1055=0,"",[2]对账明细接口!$N1055),"")</f>
        <v/>
      </c>
      <c r="T1055" s="112" t="str">
        <f aca="false">IFERROR(IF([2]对账明细接口!$O1055=0,"",[2]对账明细接口!$O1055),"")</f>
        <v/>
      </c>
      <c r="U1055" s="112" t="str">
        <f aca="false">IFERROR(IF([2]对账明细接口!$P1055=0,"",[2]对账明细接口!$P1055),"")</f>
        <v/>
      </c>
      <c r="V1055" s="112" t="str">
        <f aca="false">IFERROR(IF([2]对账明细接口!$Q1055=0,"",[2]对账明细接口!$Q1055),"")</f>
        <v/>
      </c>
      <c r="W1055" s="10" t="str">
        <f aca="false">IFERROR(IF([2]对账明细接口!$R1055=0,"",[2]对账明细接口!$R1055),"")</f>
        <v/>
      </c>
      <c r="X1055" s="10" t="str">
        <f aca="false">IFERROR(IF([2]对账明细接口!$S1055=0,"",[2]对账明细接口!$S1055),"")</f>
        <v/>
      </c>
      <c r="Y1055" s="10" t="str">
        <f aca="false">IFERROR(IF([2]对账明细接口!$T1055=0,"",[2]对账明细接口!$T1055),"")</f>
        <v/>
      </c>
      <c r="Z1055" s="113" t="str">
        <f aca="false">IFERROR(IF([2]对账明细接口!$U1055=0,"",[2]对账明细接口!$U1055),"")</f>
        <v/>
      </c>
      <c r="AA1055" s="113" t="str">
        <f aca="false">IFERROR(IF([2]对账明细接口!$V1055=0,"",[2]对账明细接口!$V1055),"")</f>
        <v/>
      </c>
      <c r="AB1055" s="10" t="str">
        <f aca="false">IFERROR(IF([2]对账明细接口!$W1055=0,"",[2]对账明细接口!$W1055),"")</f>
        <v/>
      </c>
      <c r="AC1055" s="90" t="str">
        <f aca="false">IFERROR(IF([2]对账明细接口!$X1056=0,"",[2]对账明细接口!$X1056),"")</f>
        <v/>
      </c>
      <c r="AD1055" s="90" t="str">
        <f aca="false">IFERROR(IF([2]对账明细接口!$Y1056=0,"",[2]对账明细接口!$Y1056),"")</f>
        <v/>
      </c>
      <c r="AE1055" s="90" t="str">
        <f aca="false">IFERROR(IF([2]对账明细接口!$AA1056=0,"",[2]对账明细接口!$AA1056),"")</f>
        <v/>
      </c>
      <c r="AF1055" s="90" t="str">
        <f aca="false">IFERROR(IF([2]对账明细接口!$AB1056=0,"",[2]对账明细接口!$AB1056),"")</f>
        <v/>
      </c>
      <c r="AG1055" s="90" t="str">
        <f aca="false">IFERROR(IF([2]对账明细接口!$AC1056=0,"",[2]对账明细接口!$AC1056),"")</f>
        <v/>
      </c>
      <c r="AH1055" s="90" t="str">
        <f aca="false">IFERROR(IF([2]对账明细接口!$AD1056=0,"",[2]对账明细接口!$AD1056),"")</f>
        <v/>
      </c>
    </row>
    <row r="1056" customFormat="false" ht="13.5" hidden="false" customHeight="false" outlineLevel="0" collapsed="false">
      <c r="A1056" s="109" t="n">
        <v>1056</v>
      </c>
      <c r="B1056" s="110" t="str">
        <f aca="false">IFERROR(IF([2]对账明细接口!$B$1056=0,"",[2]对账明细接口!$B$1056),"")</f>
        <v/>
      </c>
      <c r="C1056" s="59" t="str">
        <f aca="false">IFERROR(IF([2]对账明细接口!$C$1056=0,"",[2]对账明细接口!$C$1056),"")</f>
        <v/>
      </c>
      <c r="D1056" s="59" t="str">
        <f aca="false">IFERROR(IF([2]对账明细接口!$D$1056=0,"",[2]对账明细接口!$D$1056),"")</f>
        <v/>
      </c>
      <c r="E1056" s="59" t="str">
        <f aca="false">IFERROR(IF([2]对账明细接口!$E$1056=0,"",[2]对账明细接口!$E$1056),"")</f>
        <v/>
      </c>
      <c r="F1056" s="59" t="str">
        <f aca="false">IFERROR(IF([2]对账明细接口!$F$1056=0,"",[2]对账明细接口!$F$1056),"")</f>
        <v/>
      </c>
      <c r="G1056" s="59" t="str">
        <f aca="false">IFERROR(IF([2]对账明细接口!$G$1056=0,"",[2]对账明细接口!$G$1056),"")</f>
        <v/>
      </c>
      <c r="H1056" s="60" t="str">
        <f aca="false">IFERROR(IF([2]对账明细接口!$H$1056=0,"",[2]对账明细接口!$H$1056),"")</f>
        <v/>
      </c>
      <c r="I1056" s="59" t="str">
        <f aca="false">IFERROR(IF([2]对账明细接口!$I$1056=0,"",[2]对账明细接口!$I$1056),"")</f>
        <v/>
      </c>
      <c r="J1056" s="61" t="str">
        <f aca="false">IFERROR(IF([2]对账明细接口!$J$1056=0,"",[2]对账明细接口!$J$1056),"")</f>
        <v/>
      </c>
      <c r="K1056" s="61" t="str">
        <f aca="false">IFERROR(IF([2]对账明细接口!$K$1056=0,"",[2]对账明细接口!$K$1056),"")</f>
        <v/>
      </c>
      <c r="L1056" s="59" t="str">
        <f aca="false">IFERROR(IF([2]对账明细接口!$L$1056=0,"",[2]对账明细接口!$L$1056),"")</f>
        <v/>
      </c>
      <c r="M1056" s="59" t="str">
        <f aca="false">IFERROR(IF([2]对账明细接口!$M$1056=0,"",[2]对账明细接口!$M$1056),"")</f>
        <v/>
      </c>
      <c r="N1056" s="111" t="n">
        <f aca="false">IF($C1056="",0,1)</f>
        <v>0</v>
      </c>
      <c r="O1056" s="111" t="n">
        <f aca="false">N(O1055)+$N1056</f>
        <v>311</v>
      </c>
      <c r="S1056" s="10" t="str">
        <f aca="false">IFERROR(IF([2]对账明细接口!$N1056=0,"",[2]对账明细接口!$N1056),"")</f>
        <v/>
      </c>
      <c r="T1056" s="112" t="str">
        <f aca="false">IFERROR(IF([2]对账明细接口!$O1056=0,"",[2]对账明细接口!$O1056),"")</f>
        <v/>
      </c>
      <c r="U1056" s="112" t="str">
        <f aca="false">IFERROR(IF([2]对账明细接口!$P1056=0,"",[2]对账明细接口!$P1056),"")</f>
        <v/>
      </c>
      <c r="V1056" s="112" t="str">
        <f aca="false">IFERROR(IF([2]对账明细接口!$Q1056=0,"",[2]对账明细接口!$Q1056),"")</f>
        <v/>
      </c>
      <c r="W1056" s="10" t="str">
        <f aca="false">IFERROR(IF([2]对账明细接口!$R1056=0,"",[2]对账明细接口!$R1056),"")</f>
        <v/>
      </c>
      <c r="X1056" s="10" t="str">
        <f aca="false">IFERROR(IF([2]对账明细接口!$S1056=0,"",[2]对账明细接口!$S1056),"")</f>
        <v/>
      </c>
      <c r="Y1056" s="10" t="str">
        <f aca="false">IFERROR(IF([2]对账明细接口!$T1056=0,"",[2]对账明细接口!$T1056),"")</f>
        <v/>
      </c>
      <c r="Z1056" s="113" t="str">
        <f aca="false">IFERROR(IF([2]对账明细接口!$U1056=0,"",[2]对账明细接口!$U1056),"")</f>
        <v/>
      </c>
      <c r="AA1056" s="113" t="str">
        <f aca="false">IFERROR(IF([2]对账明细接口!$V1056=0,"",[2]对账明细接口!$V1056),"")</f>
        <v/>
      </c>
      <c r="AB1056" s="10" t="str">
        <f aca="false">IFERROR(IF([2]对账明细接口!$W1056=0,"",[2]对账明细接口!$W1056),"")</f>
        <v/>
      </c>
      <c r="AC1056" s="90" t="str">
        <f aca="false">IFERROR(IF([2]对账明细接口!$X1057=0,"",[2]对账明细接口!$X1057),"")</f>
        <v/>
      </c>
      <c r="AD1056" s="90" t="str">
        <f aca="false">IFERROR(IF([2]对账明细接口!$Y1057=0,"",[2]对账明细接口!$Y1057),"")</f>
        <v/>
      </c>
      <c r="AE1056" s="90" t="str">
        <f aca="false">IFERROR(IF([2]对账明细接口!$AA1057=0,"",[2]对账明细接口!$AA1057),"")</f>
        <v/>
      </c>
      <c r="AF1056" s="90" t="str">
        <f aca="false">IFERROR(IF([2]对账明细接口!$AB1057=0,"",[2]对账明细接口!$AB1057),"")</f>
        <v/>
      </c>
      <c r="AG1056" s="90" t="str">
        <f aca="false">IFERROR(IF([2]对账明细接口!$AC1057=0,"",[2]对账明细接口!$AC1057),"")</f>
        <v/>
      </c>
      <c r="AH1056" s="90" t="str">
        <f aca="false">IFERROR(IF([2]对账明细接口!$AD1057=0,"",[2]对账明细接口!$AD1057),"")</f>
        <v/>
      </c>
    </row>
    <row r="1057" customFormat="false" ht="13.5" hidden="false" customHeight="false" outlineLevel="0" collapsed="false">
      <c r="A1057" s="109" t="n">
        <v>1057</v>
      </c>
      <c r="B1057" s="110" t="str">
        <f aca="false">IFERROR(IF([2]对账明细接口!$B$1057=0,"",[2]对账明细接口!$B$1057),"")</f>
        <v/>
      </c>
      <c r="C1057" s="59" t="str">
        <f aca="false">IFERROR(IF([2]对账明细接口!$C$1057=0,"",[2]对账明细接口!$C$1057),"")</f>
        <v/>
      </c>
      <c r="D1057" s="59" t="str">
        <f aca="false">IFERROR(IF([2]对账明细接口!$D$1057=0,"",[2]对账明细接口!$D$1057),"")</f>
        <v/>
      </c>
      <c r="E1057" s="59" t="str">
        <f aca="false">IFERROR(IF([2]对账明细接口!$E$1057=0,"",[2]对账明细接口!$E$1057),"")</f>
        <v/>
      </c>
      <c r="F1057" s="59" t="str">
        <f aca="false">IFERROR(IF([2]对账明细接口!$F$1057=0,"",[2]对账明细接口!$F$1057),"")</f>
        <v/>
      </c>
      <c r="G1057" s="59" t="str">
        <f aca="false">IFERROR(IF([2]对账明细接口!$G$1057=0,"",[2]对账明细接口!$G$1057),"")</f>
        <v/>
      </c>
      <c r="H1057" s="60" t="str">
        <f aca="false">IFERROR(IF([2]对账明细接口!$H$1057=0,"",[2]对账明细接口!$H$1057),"")</f>
        <v/>
      </c>
      <c r="I1057" s="59" t="str">
        <f aca="false">IFERROR(IF([2]对账明细接口!$I$1057=0,"",[2]对账明细接口!$I$1057),"")</f>
        <v/>
      </c>
      <c r="J1057" s="61" t="str">
        <f aca="false">IFERROR(IF([2]对账明细接口!$J$1057=0,"",[2]对账明细接口!$J$1057),"")</f>
        <v/>
      </c>
      <c r="K1057" s="61" t="str">
        <f aca="false">IFERROR(IF([2]对账明细接口!$K$1057=0,"",[2]对账明细接口!$K$1057),"")</f>
        <v/>
      </c>
      <c r="L1057" s="59" t="str">
        <f aca="false">IFERROR(IF([2]对账明细接口!$L$1057=0,"",[2]对账明细接口!$L$1057),"")</f>
        <v/>
      </c>
      <c r="M1057" s="59" t="str">
        <f aca="false">IFERROR(IF([2]对账明细接口!$M$1057=0,"",[2]对账明细接口!$M$1057),"")</f>
        <v/>
      </c>
      <c r="N1057" s="111" t="n">
        <f aca="false">IF($C1057="",0,1)</f>
        <v>0</v>
      </c>
      <c r="O1057" s="111" t="n">
        <f aca="false">N(O1056)+$N1057</f>
        <v>311</v>
      </c>
      <c r="S1057" s="10" t="str">
        <f aca="false">IFERROR(IF([2]对账明细接口!$N1057=0,"",[2]对账明细接口!$N1057),"")</f>
        <v/>
      </c>
      <c r="T1057" s="112" t="str">
        <f aca="false">IFERROR(IF([2]对账明细接口!$O1057=0,"",[2]对账明细接口!$O1057),"")</f>
        <v/>
      </c>
      <c r="U1057" s="112" t="str">
        <f aca="false">IFERROR(IF([2]对账明细接口!$P1057=0,"",[2]对账明细接口!$P1057),"")</f>
        <v/>
      </c>
      <c r="V1057" s="112" t="str">
        <f aca="false">IFERROR(IF([2]对账明细接口!$Q1057=0,"",[2]对账明细接口!$Q1057),"")</f>
        <v/>
      </c>
      <c r="W1057" s="10" t="str">
        <f aca="false">IFERROR(IF([2]对账明细接口!$R1057=0,"",[2]对账明细接口!$R1057),"")</f>
        <v/>
      </c>
      <c r="X1057" s="10" t="str">
        <f aca="false">IFERROR(IF([2]对账明细接口!$S1057=0,"",[2]对账明细接口!$S1057),"")</f>
        <v/>
      </c>
      <c r="Y1057" s="10" t="str">
        <f aca="false">IFERROR(IF([2]对账明细接口!$T1057=0,"",[2]对账明细接口!$T1057),"")</f>
        <v/>
      </c>
      <c r="Z1057" s="113" t="str">
        <f aca="false">IFERROR(IF([2]对账明细接口!$U1057=0,"",[2]对账明细接口!$U1057),"")</f>
        <v/>
      </c>
      <c r="AA1057" s="113" t="str">
        <f aca="false">IFERROR(IF([2]对账明细接口!$V1057=0,"",[2]对账明细接口!$V1057),"")</f>
        <v/>
      </c>
      <c r="AB1057" s="10" t="str">
        <f aca="false">IFERROR(IF([2]对账明细接口!$W1057=0,"",[2]对账明细接口!$W1057),"")</f>
        <v/>
      </c>
      <c r="AC1057" s="90" t="str">
        <f aca="false">IFERROR(IF([2]对账明细接口!$X1058=0,"",[2]对账明细接口!$X1058),"")</f>
        <v/>
      </c>
      <c r="AD1057" s="90" t="str">
        <f aca="false">IFERROR(IF([2]对账明细接口!$Y1058=0,"",[2]对账明细接口!$Y1058),"")</f>
        <v/>
      </c>
      <c r="AE1057" s="90" t="str">
        <f aca="false">IFERROR(IF([2]对账明细接口!$AA1058=0,"",[2]对账明细接口!$AA1058),"")</f>
        <v/>
      </c>
      <c r="AF1057" s="90" t="str">
        <f aca="false">IFERROR(IF([2]对账明细接口!$AB1058=0,"",[2]对账明细接口!$AB1058),"")</f>
        <v/>
      </c>
      <c r="AG1057" s="90" t="str">
        <f aca="false">IFERROR(IF([2]对账明细接口!$AC1058=0,"",[2]对账明细接口!$AC1058),"")</f>
        <v/>
      </c>
      <c r="AH1057" s="90" t="str">
        <f aca="false">IFERROR(IF([2]对账明细接口!$AD1058=0,"",[2]对账明细接口!$AD1058),"")</f>
        <v/>
      </c>
    </row>
    <row r="1058" customFormat="false" ht="13.5" hidden="false" customHeight="false" outlineLevel="0" collapsed="false">
      <c r="A1058" s="109" t="n">
        <v>1058</v>
      </c>
      <c r="B1058" s="110" t="str">
        <f aca="false">IFERROR(IF([2]对账明细接口!$B$1058=0,"",[2]对账明细接口!$B$1058),"")</f>
        <v/>
      </c>
      <c r="C1058" s="59" t="str">
        <f aca="false">IFERROR(IF([2]对账明细接口!$C$1058=0,"",[2]对账明细接口!$C$1058),"")</f>
        <v/>
      </c>
      <c r="D1058" s="59" t="str">
        <f aca="false">IFERROR(IF([2]对账明细接口!$D$1058=0,"",[2]对账明细接口!$D$1058),"")</f>
        <v/>
      </c>
      <c r="E1058" s="59" t="str">
        <f aca="false">IFERROR(IF([2]对账明细接口!$E$1058=0,"",[2]对账明细接口!$E$1058),"")</f>
        <v/>
      </c>
      <c r="F1058" s="59" t="str">
        <f aca="false">IFERROR(IF([2]对账明细接口!$F$1058=0,"",[2]对账明细接口!$F$1058),"")</f>
        <v/>
      </c>
      <c r="G1058" s="59" t="str">
        <f aca="false">IFERROR(IF([2]对账明细接口!$G$1058=0,"",[2]对账明细接口!$G$1058),"")</f>
        <v/>
      </c>
      <c r="H1058" s="60" t="str">
        <f aca="false">IFERROR(IF([2]对账明细接口!$H$1058=0,"",[2]对账明细接口!$H$1058),"")</f>
        <v/>
      </c>
      <c r="I1058" s="59" t="str">
        <f aca="false">IFERROR(IF([2]对账明细接口!$I$1058=0,"",[2]对账明细接口!$I$1058),"")</f>
        <v/>
      </c>
      <c r="J1058" s="61" t="str">
        <f aca="false">IFERROR(IF([2]对账明细接口!$J$1058=0,"",[2]对账明细接口!$J$1058),"")</f>
        <v/>
      </c>
      <c r="K1058" s="61" t="str">
        <f aca="false">IFERROR(IF([2]对账明细接口!$K$1058=0,"",[2]对账明细接口!$K$1058),"")</f>
        <v/>
      </c>
      <c r="L1058" s="59" t="str">
        <f aca="false">IFERROR(IF([2]对账明细接口!$L$1058=0,"",[2]对账明细接口!$L$1058),"")</f>
        <v/>
      </c>
      <c r="M1058" s="59" t="str">
        <f aca="false">IFERROR(IF([2]对账明细接口!$M$1058=0,"",[2]对账明细接口!$M$1058),"")</f>
        <v/>
      </c>
      <c r="N1058" s="111" t="n">
        <f aca="false">IF($C1058="",0,1)</f>
        <v>0</v>
      </c>
      <c r="O1058" s="111" t="n">
        <f aca="false">N(O1057)+$N1058</f>
        <v>311</v>
      </c>
      <c r="S1058" s="10" t="str">
        <f aca="false">IFERROR(IF([2]对账明细接口!$N1058=0,"",[2]对账明细接口!$N1058),"")</f>
        <v/>
      </c>
      <c r="T1058" s="112" t="str">
        <f aca="false">IFERROR(IF([2]对账明细接口!$O1058=0,"",[2]对账明细接口!$O1058),"")</f>
        <v/>
      </c>
      <c r="U1058" s="112" t="str">
        <f aca="false">IFERROR(IF([2]对账明细接口!$P1058=0,"",[2]对账明细接口!$P1058),"")</f>
        <v/>
      </c>
      <c r="V1058" s="112" t="str">
        <f aca="false">IFERROR(IF([2]对账明细接口!$Q1058=0,"",[2]对账明细接口!$Q1058),"")</f>
        <v/>
      </c>
      <c r="W1058" s="10" t="str">
        <f aca="false">IFERROR(IF([2]对账明细接口!$R1058=0,"",[2]对账明细接口!$R1058),"")</f>
        <v/>
      </c>
      <c r="X1058" s="10" t="str">
        <f aca="false">IFERROR(IF([2]对账明细接口!$S1058=0,"",[2]对账明细接口!$S1058),"")</f>
        <v/>
      </c>
      <c r="Y1058" s="10" t="str">
        <f aca="false">IFERROR(IF([2]对账明细接口!$T1058=0,"",[2]对账明细接口!$T1058),"")</f>
        <v/>
      </c>
      <c r="Z1058" s="113" t="str">
        <f aca="false">IFERROR(IF([2]对账明细接口!$U1058=0,"",[2]对账明细接口!$U1058),"")</f>
        <v/>
      </c>
      <c r="AA1058" s="113" t="str">
        <f aca="false">IFERROR(IF([2]对账明细接口!$V1058=0,"",[2]对账明细接口!$V1058),"")</f>
        <v/>
      </c>
      <c r="AB1058" s="10" t="str">
        <f aca="false">IFERROR(IF([2]对账明细接口!$W1058=0,"",[2]对账明细接口!$W1058),"")</f>
        <v/>
      </c>
      <c r="AC1058" s="90" t="str">
        <f aca="false">IFERROR(IF([2]对账明细接口!$X1059=0,"",[2]对账明细接口!$X1059),"")</f>
        <v/>
      </c>
      <c r="AD1058" s="90" t="str">
        <f aca="false">IFERROR(IF([2]对账明细接口!$Y1059=0,"",[2]对账明细接口!$Y1059),"")</f>
        <v/>
      </c>
      <c r="AE1058" s="90" t="str">
        <f aca="false">IFERROR(IF([2]对账明细接口!$AA1059=0,"",[2]对账明细接口!$AA1059),"")</f>
        <v/>
      </c>
      <c r="AF1058" s="90" t="str">
        <f aca="false">IFERROR(IF([2]对账明细接口!$AB1059=0,"",[2]对账明细接口!$AB1059),"")</f>
        <v/>
      </c>
      <c r="AG1058" s="90" t="str">
        <f aca="false">IFERROR(IF([2]对账明细接口!$AC1059=0,"",[2]对账明细接口!$AC1059),"")</f>
        <v/>
      </c>
      <c r="AH1058" s="90" t="str">
        <f aca="false">IFERROR(IF([2]对账明细接口!$AD1059=0,"",[2]对账明细接口!$AD1059),"")</f>
        <v/>
      </c>
    </row>
    <row r="1059" customFormat="false" ht="13.5" hidden="false" customHeight="false" outlineLevel="0" collapsed="false">
      <c r="A1059" s="109" t="n">
        <v>1059</v>
      </c>
      <c r="B1059" s="110" t="str">
        <f aca="false">IFERROR(IF([2]对账明细接口!$B$1059=0,"",[2]对账明细接口!$B$1059),"")</f>
        <v/>
      </c>
      <c r="C1059" s="59" t="str">
        <f aca="false">IFERROR(IF([2]对账明细接口!$C$1059=0,"",[2]对账明细接口!$C$1059),"")</f>
        <v/>
      </c>
      <c r="D1059" s="59" t="str">
        <f aca="false">IFERROR(IF([2]对账明细接口!$D$1059=0,"",[2]对账明细接口!$D$1059),"")</f>
        <v/>
      </c>
      <c r="E1059" s="59" t="str">
        <f aca="false">IFERROR(IF([2]对账明细接口!$E$1059=0,"",[2]对账明细接口!$E$1059),"")</f>
        <v/>
      </c>
      <c r="F1059" s="59" t="str">
        <f aca="false">IFERROR(IF([2]对账明细接口!$F$1059=0,"",[2]对账明细接口!$F$1059),"")</f>
        <v/>
      </c>
      <c r="G1059" s="59" t="str">
        <f aca="false">IFERROR(IF([2]对账明细接口!$G$1059=0,"",[2]对账明细接口!$G$1059),"")</f>
        <v/>
      </c>
      <c r="H1059" s="60" t="str">
        <f aca="false">IFERROR(IF([2]对账明细接口!$H$1059=0,"",[2]对账明细接口!$H$1059),"")</f>
        <v/>
      </c>
      <c r="I1059" s="59" t="str">
        <f aca="false">IFERROR(IF([2]对账明细接口!$I$1059=0,"",[2]对账明细接口!$I$1059),"")</f>
        <v/>
      </c>
      <c r="J1059" s="61" t="str">
        <f aca="false">IFERROR(IF([2]对账明细接口!$J$1059=0,"",[2]对账明细接口!$J$1059),"")</f>
        <v/>
      </c>
      <c r="K1059" s="61" t="str">
        <f aca="false">IFERROR(IF([2]对账明细接口!$K$1059=0,"",[2]对账明细接口!$K$1059),"")</f>
        <v/>
      </c>
      <c r="L1059" s="59" t="str">
        <f aca="false">IFERROR(IF([2]对账明细接口!$L$1059=0,"",[2]对账明细接口!$L$1059),"")</f>
        <v/>
      </c>
      <c r="M1059" s="59" t="str">
        <f aca="false">IFERROR(IF([2]对账明细接口!$M$1059=0,"",[2]对账明细接口!$M$1059),"")</f>
        <v/>
      </c>
      <c r="N1059" s="111" t="n">
        <f aca="false">IF($C1059="",0,1)</f>
        <v>0</v>
      </c>
      <c r="O1059" s="111" t="n">
        <f aca="false">N(O1058)+$N1059</f>
        <v>311</v>
      </c>
      <c r="S1059" s="10" t="str">
        <f aca="false">IFERROR(IF([2]对账明细接口!$N1059=0,"",[2]对账明细接口!$N1059),"")</f>
        <v/>
      </c>
      <c r="T1059" s="112" t="str">
        <f aca="false">IFERROR(IF([2]对账明细接口!$O1059=0,"",[2]对账明细接口!$O1059),"")</f>
        <v/>
      </c>
      <c r="U1059" s="112" t="str">
        <f aca="false">IFERROR(IF([2]对账明细接口!$P1059=0,"",[2]对账明细接口!$P1059),"")</f>
        <v/>
      </c>
      <c r="V1059" s="112" t="str">
        <f aca="false">IFERROR(IF([2]对账明细接口!$Q1059=0,"",[2]对账明细接口!$Q1059),"")</f>
        <v/>
      </c>
      <c r="W1059" s="10" t="str">
        <f aca="false">IFERROR(IF([2]对账明细接口!$R1059=0,"",[2]对账明细接口!$R1059),"")</f>
        <v/>
      </c>
      <c r="X1059" s="10" t="str">
        <f aca="false">IFERROR(IF([2]对账明细接口!$S1059=0,"",[2]对账明细接口!$S1059),"")</f>
        <v/>
      </c>
      <c r="Y1059" s="10" t="str">
        <f aca="false">IFERROR(IF([2]对账明细接口!$T1059=0,"",[2]对账明细接口!$T1059),"")</f>
        <v/>
      </c>
      <c r="Z1059" s="113" t="str">
        <f aca="false">IFERROR(IF([2]对账明细接口!$U1059=0,"",[2]对账明细接口!$U1059),"")</f>
        <v/>
      </c>
      <c r="AA1059" s="113" t="str">
        <f aca="false">IFERROR(IF([2]对账明细接口!$V1059=0,"",[2]对账明细接口!$V1059),"")</f>
        <v/>
      </c>
      <c r="AB1059" s="10" t="str">
        <f aca="false">IFERROR(IF([2]对账明细接口!$W1059=0,"",[2]对账明细接口!$W1059),"")</f>
        <v/>
      </c>
      <c r="AC1059" s="90" t="str">
        <f aca="false">IFERROR(IF([2]对账明细接口!$X1060=0,"",[2]对账明细接口!$X1060),"")</f>
        <v/>
      </c>
      <c r="AD1059" s="90" t="str">
        <f aca="false">IFERROR(IF([2]对账明细接口!$Y1060=0,"",[2]对账明细接口!$Y1060),"")</f>
        <v/>
      </c>
      <c r="AE1059" s="90" t="str">
        <f aca="false">IFERROR(IF([2]对账明细接口!$AA1060=0,"",[2]对账明细接口!$AA1060),"")</f>
        <v/>
      </c>
      <c r="AF1059" s="90" t="str">
        <f aca="false">IFERROR(IF([2]对账明细接口!$AB1060=0,"",[2]对账明细接口!$AB1060),"")</f>
        <v/>
      </c>
      <c r="AG1059" s="90" t="str">
        <f aca="false">IFERROR(IF([2]对账明细接口!$AC1060=0,"",[2]对账明细接口!$AC1060),"")</f>
        <v/>
      </c>
      <c r="AH1059" s="90" t="str">
        <f aca="false">IFERROR(IF([2]对账明细接口!$AD1060=0,"",[2]对账明细接口!$AD1060),"")</f>
        <v/>
      </c>
    </row>
    <row r="1060" customFormat="false" ht="13.5" hidden="false" customHeight="false" outlineLevel="0" collapsed="false">
      <c r="A1060" s="109" t="n">
        <v>1060</v>
      </c>
      <c r="B1060" s="110" t="str">
        <f aca="false">IFERROR(IF([2]对账明细接口!$B$1060=0,"",[2]对账明细接口!$B$1060),"")</f>
        <v/>
      </c>
      <c r="C1060" s="59" t="str">
        <f aca="false">IFERROR(IF([2]对账明细接口!$C$1060=0,"",[2]对账明细接口!$C$1060),"")</f>
        <v/>
      </c>
      <c r="D1060" s="59" t="str">
        <f aca="false">IFERROR(IF([2]对账明细接口!$D$1060=0,"",[2]对账明细接口!$D$1060),"")</f>
        <v/>
      </c>
      <c r="E1060" s="59" t="str">
        <f aca="false">IFERROR(IF([2]对账明细接口!$E$1060=0,"",[2]对账明细接口!$E$1060),"")</f>
        <v/>
      </c>
      <c r="F1060" s="59" t="str">
        <f aca="false">IFERROR(IF([2]对账明细接口!$F$1060=0,"",[2]对账明细接口!$F$1060),"")</f>
        <v/>
      </c>
      <c r="G1060" s="59" t="str">
        <f aca="false">IFERROR(IF([2]对账明细接口!$G$1060=0,"",[2]对账明细接口!$G$1060),"")</f>
        <v/>
      </c>
      <c r="H1060" s="60" t="str">
        <f aca="false">IFERROR(IF([2]对账明细接口!$H$1060=0,"",[2]对账明细接口!$H$1060),"")</f>
        <v/>
      </c>
      <c r="I1060" s="59" t="str">
        <f aca="false">IFERROR(IF([2]对账明细接口!$I$1060=0,"",[2]对账明细接口!$I$1060),"")</f>
        <v/>
      </c>
      <c r="J1060" s="61" t="str">
        <f aca="false">IFERROR(IF([2]对账明细接口!$J$1060=0,"",[2]对账明细接口!$J$1060),"")</f>
        <v/>
      </c>
      <c r="K1060" s="61" t="str">
        <f aca="false">IFERROR(IF([2]对账明细接口!$K$1060=0,"",[2]对账明细接口!$K$1060),"")</f>
        <v/>
      </c>
      <c r="L1060" s="59" t="str">
        <f aca="false">IFERROR(IF([2]对账明细接口!$L$1060=0,"",[2]对账明细接口!$L$1060),"")</f>
        <v/>
      </c>
      <c r="M1060" s="59" t="str">
        <f aca="false">IFERROR(IF([2]对账明细接口!$M$1060=0,"",[2]对账明细接口!$M$1060),"")</f>
        <v/>
      </c>
      <c r="N1060" s="111" t="n">
        <f aca="false">IF($C1060="",0,1)</f>
        <v>0</v>
      </c>
      <c r="O1060" s="111" t="n">
        <f aca="false">N(O1059)+$N1060</f>
        <v>311</v>
      </c>
      <c r="S1060" s="10" t="str">
        <f aca="false">IFERROR(IF([2]对账明细接口!$N1060=0,"",[2]对账明细接口!$N1060),"")</f>
        <v/>
      </c>
      <c r="T1060" s="112" t="str">
        <f aca="false">IFERROR(IF([2]对账明细接口!$O1060=0,"",[2]对账明细接口!$O1060),"")</f>
        <v/>
      </c>
      <c r="U1060" s="112" t="str">
        <f aca="false">IFERROR(IF([2]对账明细接口!$P1060=0,"",[2]对账明细接口!$P1060),"")</f>
        <v/>
      </c>
      <c r="V1060" s="112" t="str">
        <f aca="false">IFERROR(IF([2]对账明细接口!$Q1060=0,"",[2]对账明细接口!$Q1060),"")</f>
        <v/>
      </c>
      <c r="W1060" s="10" t="str">
        <f aca="false">IFERROR(IF([2]对账明细接口!$R1060=0,"",[2]对账明细接口!$R1060),"")</f>
        <v/>
      </c>
      <c r="X1060" s="10" t="str">
        <f aca="false">IFERROR(IF([2]对账明细接口!$S1060=0,"",[2]对账明细接口!$S1060),"")</f>
        <v/>
      </c>
      <c r="Y1060" s="10" t="str">
        <f aca="false">IFERROR(IF([2]对账明细接口!$T1060=0,"",[2]对账明细接口!$T1060),"")</f>
        <v/>
      </c>
      <c r="Z1060" s="113" t="str">
        <f aca="false">IFERROR(IF([2]对账明细接口!$U1060=0,"",[2]对账明细接口!$U1060),"")</f>
        <v/>
      </c>
      <c r="AA1060" s="113" t="str">
        <f aca="false">IFERROR(IF([2]对账明细接口!$V1060=0,"",[2]对账明细接口!$V1060),"")</f>
        <v/>
      </c>
      <c r="AB1060" s="10" t="str">
        <f aca="false">IFERROR(IF([2]对账明细接口!$W1060=0,"",[2]对账明细接口!$W1060),"")</f>
        <v/>
      </c>
      <c r="AC1060" s="90" t="str">
        <f aca="false">IFERROR(IF([2]对账明细接口!$X1061=0,"",[2]对账明细接口!$X1061),"")</f>
        <v/>
      </c>
      <c r="AD1060" s="90" t="str">
        <f aca="false">IFERROR(IF([2]对账明细接口!$Y1061=0,"",[2]对账明细接口!$Y1061),"")</f>
        <v/>
      </c>
      <c r="AE1060" s="90" t="str">
        <f aca="false">IFERROR(IF([2]对账明细接口!$AA1061=0,"",[2]对账明细接口!$AA1061),"")</f>
        <v/>
      </c>
      <c r="AF1060" s="90" t="str">
        <f aca="false">IFERROR(IF([2]对账明细接口!$AB1061=0,"",[2]对账明细接口!$AB1061),"")</f>
        <v/>
      </c>
      <c r="AG1060" s="90" t="str">
        <f aca="false">IFERROR(IF([2]对账明细接口!$AC1061=0,"",[2]对账明细接口!$AC1061),"")</f>
        <v/>
      </c>
      <c r="AH1060" s="90" t="str">
        <f aca="false">IFERROR(IF([2]对账明细接口!$AD1061=0,"",[2]对账明细接口!$AD1061),"")</f>
        <v/>
      </c>
    </row>
    <row r="1061" customFormat="false" ht="13.5" hidden="false" customHeight="false" outlineLevel="0" collapsed="false">
      <c r="A1061" s="109" t="n">
        <v>1061</v>
      </c>
      <c r="B1061" s="110" t="str">
        <f aca="false">IFERROR(IF([2]对账明细接口!$B$1061=0,"",[2]对账明细接口!$B$1061),"")</f>
        <v/>
      </c>
      <c r="C1061" s="59" t="str">
        <f aca="false">IFERROR(IF([2]对账明细接口!$C$1061=0,"",[2]对账明细接口!$C$1061),"")</f>
        <v/>
      </c>
      <c r="D1061" s="59" t="str">
        <f aca="false">IFERROR(IF([2]对账明细接口!$D$1061=0,"",[2]对账明细接口!$D$1061),"")</f>
        <v/>
      </c>
      <c r="E1061" s="59" t="str">
        <f aca="false">IFERROR(IF([2]对账明细接口!$E$1061=0,"",[2]对账明细接口!$E$1061),"")</f>
        <v/>
      </c>
      <c r="F1061" s="59" t="str">
        <f aca="false">IFERROR(IF([2]对账明细接口!$F$1061=0,"",[2]对账明细接口!$F$1061),"")</f>
        <v/>
      </c>
      <c r="G1061" s="59" t="str">
        <f aca="false">IFERROR(IF([2]对账明细接口!$G$1061=0,"",[2]对账明细接口!$G$1061),"")</f>
        <v/>
      </c>
      <c r="H1061" s="60" t="str">
        <f aca="false">IFERROR(IF([2]对账明细接口!$H$1061=0,"",[2]对账明细接口!$H$1061),"")</f>
        <v/>
      </c>
      <c r="I1061" s="59" t="str">
        <f aca="false">IFERROR(IF([2]对账明细接口!$I$1061=0,"",[2]对账明细接口!$I$1061),"")</f>
        <v/>
      </c>
      <c r="J1061" s="61" t="str">
        <f aca="false">IFERROR(IF([2]对账明细接口!$J$1061=0,"",[2]对账明细接口!$J$1061),"")</f>
        <v/>
      </c>
      <c r="K1061" s="61" t="str">
        <f aca="false">IFERROR(IF([2]对账明细接口!$K$1061=0,"",[2]对账明细接口!$K$1061),"")</f>
        <v/>
      </c>
      <c r="L1061" s="59" t="str">
        <f aca="false">IFERROR(IF([2]对账明细接口!$L$1061=0,"",[2]对账明细接口!$L$1061),"")</f>
        <v/>
      </c>
      <c r="M1061" s="59" t="str">
        <f aca="false">IFERROR(IF([2]对账明细接口!$M$1061=0,"",[2]对账明细接口!$M$1061),"")</f>
        <v/>
      </c>
      <c r="N1061" s="111" t="n">
        <f aca="false">IF($C1061="",0,1)</f>
        <v>0</v>
      </c>
      <c r="O1061" s="111" t="n">
        <f aca="false">N(O1060)+$N1061</f>
        <v>311</v>
      </c>
      <c r="S1061" s="10" t="str">
        <f aca="false">IFERROR(IF([2]对账明细接口!$N1061=0,"",[2]对账明细接口!$N1061),"")</f>
        <v/>
      </c>
      <c r="T1061" s="112" t="str">
        <f aca="false">IFERROR(IF([2]对账明细接口!$O1061=0,"",[2]对账明细接口!$O1061),"")</f>
        <v/>
      </c>
      <c r="U1061" s="112" t="str">
        <f aca="false">IFERROR(IF([2]对账明细接口!$P1061=0,"",[2]对账明细接口!$P1061),"")</f>
        <v/>
      </c>
      <c r="V1061" s="112" t="str">
        <f aca="false">IFERROR(IF([2]对账明细接口!$Q1061=0,"",[2]对账明细接口!$Q1061),"")</f>
        <v/>
      </c>
      <c r="W1061" s="10" t="str">
        <f aca="false">IFERROR(IF([2]对账明细接口!$R1061=0,"",[2]对账明细接口!$R1061),"")</f>
        <v/>
      </c>
      <c r="X1061" s="10" t="str">
        <f aca="false">IFERROR(IF([2]对账明细接口!$S1061=0,"",[2]对账明细接口!$S1061),"")</f>
        <v/>
      </c>
      <c r="Y1061" s="10" t="str">
        <f aca="false">IFERROR(IF([2]对账明细接口!$T1061=0,"",[2]对账明细接口!$T1061),"")</f>
        <v/>
      </c>
      <c r="Z1061" s="113" t="str">
        <f aca="false">IFERROR(IF([2]对账明细接口!$U1061=0,"",[2]对账明细接口!$U1061),"")</f>
        <v/>
      </c>
      <c r="AA1061" s="113" t="str">
        <f aca="false">IFERROR(IF([2]对账明细接口!$V1061=0,"",[2]对账明细接口!$V1061),"")</f>
        <v/>
      </c>
      <c r="AB1061" s="10" t="str">
        <f aca="false">IFERROR(IF([2]对账明细接口!$W1061=0,"",[2]对账明细接口!$W1061),"")</f>
        <v/>
      </c>
      <c r="AC1061" s="90" t="str">
        <f aca="false">IFERROR(IF([2]对账明细接口!$X1062=0,"",[2]对账明细接口!$X1062),"")</f>
        <v/>
      </c>
      <c r="AD1061" s="90" t="str">
        <f aca="false">IFERROR(IF([2]对账明细接口!$Y1062=0,"",[2]对账明细接口!$Y1062),"")</f>
        <v/>
      </c>
      <c r="AE1061" s="90" t="str">
        <f aca="false">IFERROR(IF([2]对账明细接口!$AA1062=0,"",[2]对账明细接口!$AA1062),"")</f>
        <v/>
      </c>
      <c r="AF1061" s="90" t="str">
        <f aca="false">IFERROR(IF([2]对账明细接口!$AB1062=0,"",[2]对账明细接口!$AB1062),"")</f>
        <v/>
      </c>
      <c r="AG1061" s="90" t="str">
        <f aca="false">IFERROR(IF([2]对账明细接口!$AC1062=0,"",[2]对账明细接口!$AC1062),"")</f>
        <v/>
      </c>
      <c r="AH1061" s="90" t="str">
        <f aca="false">IFERROR(IF([2]对账明细接口!$AD1062=0,"",[2]对账明细接口!$AD1062),"")</f>
        <v/>
      </c>
    </row>
    <row r="1062" customFormat="false" ht="13.5" hidden="false" customHeight="false" outlineLevel="0" collapsed="false">
      <c r="A1062" s="109" t="n">
        <v>1062</v>
      </c>
      <c r="B1062" s="110" t="str">
        <f aca="false">IFERROR(IF([2]对账明细接口!$B$1062=0,"",[2]对账明细接口!$B$1062),"")</f>
        <v/>
      </c>
      <c r="C1062" s="59" t="str">
        <f aca="false">IFERROR(IF([2]对账明细接口!$C$1062=0,"",[2]对账明细接口!$C$1062),"")</f>
        <v/>
      </c>
      <c r="D1062" s="59" t="str">
        <f aca="false">IFERROR(IF([2]对账明细接口!$D$1062=0,"",[2]对账明细接口!$D$1062),"")</f>
        <v/>
      </c>
      <c r="E1062" s="59" t="str">
        <f aca="false">IFERROR(IF([2]对账明细接口!$E$1062=0,"",[2]对账明细接口!$E$1062),"")</f>
        <v/>
      </c>
      <c r="F1062" s="59" t="str">
        <f aca="false">IFERROR(IF([2]对账明细接口!$F$1062=0,"",[2]对账明细接口!$F$1062),"")</f>
        <v/>
      </c>
      <c r="G1062" s="59" t="str">
        <f aca="false">IFERROR(IF([2]对账明细接口!$G$1062=0,"",[2]对账明细接口!$G$1062),"")</f>
        <v/>
      </c>
      <c r="H1062" s="60" t="str">
        <f aca="false">IFERROR(IF([2]对账明细接口!$H$1062=0,"",[2]对账明细接口!$H$1062),"")</f>
        <v/>
      </c>
      <c r="I1062" s="59" t="str">
        <f aca="false">IFERROR(IF([2]对账明细接口!$I$1062=0,"",[2]对账明细接口!$I$1062),"")</f>
        <v/>
      </c>
      <c r="J1062" s="61" t="str">
        <f aca="false">IFERROR(IF([2]对账明细接口!$J$1062=0,"",[2]对账明细接口!$J$1062),"")</f>
        <v/>
      </c>
      <c r="K1062" s="61" t="str">
        <f aca="false">IFERROR(IF([2]对账明细接口!$K$1062=0,"",[2]对账明细接口!$K$1062),"")</f>
        <v/>
      </c>
      <c r="L1062" s="59" t="str">
        <f aca="false">IFERROR(IF([2]对账明细接口!$L$1062=0,"",[2]对账明细接口!$L$1062),"")</f>
        <v/>
      </c>
      <c r="M1062" s="59" t="str">
        <f aca="false">IFERROR(IF([2]对账明细接口!$M$1062=0,"",[2]对账明细接口!$M$1062),"")</f>
        <v/>
      </c>
      <c r="N1062" s="111" t="n">
        <f aca="false">IF($C1062="",0,1)</f>
        <v>0</v>
      </c>
      <c r="O1062" s="111" t="n">
        <f aca="false">N(O1061)+$N1062</f>
        <v>311</v>
      </c>
      <c r="S1062" s="10" t="str">
        <f aca="false">IFERROR(IF([2]对账明细接口!$N1062=0,"",[2]对账明细接口!$N1062),"")</f>
        <v/>
      </c>
      <c r="T1062" s="112" t="str">
        <f aca="false">IFERROR(IF([2]对账明细接口!$O1062=0,"",[2]对账明细接口!$O1062),"")</f>
        <v/>
      </c>
      <c r="U1062" s="112" t="str">
        <f aca="false">IFERROR(IF([2]对账明细接口!$P1062=0,"",[2]对账明细接口!$P1062),"")</f>
        <v/>
      </c>
      <c r="V1062" s="112" t="str">
        <f aca="false">IFERROR(IF([2]对账明细接口!$Q1062=0,"",[2]对账明细接口!$Q1062),"")</f>
        <v/>
      </c>
      <c r="W1062" s="10" t="str">
        <f aca="false">IFERROR(IF([2]对账明细接口!$R1062=0,"",[2]对账明细接口!$R1062),"")</f>
        <v/>
      </c>
      <c r="X1062" s="10" t="str">
        <f aca="false">IFERROR(IF([2]对账明细接口!$S1062=0,"",[2]对账明细接口!$S1062),"")</f>
        <v/>
      </c>
      <c r="Y1062" s="10" t="str">
        <f aca="false">IFERROR(IF([2]对账明细接口!$T1062=0,"",[2]对账明细接口!$T1062),"")</f>
        <v/>
      </c>
      <c r="Z1062" s="113" t="str">
        <f aca="false">IFERROR(IF([2]对账明细接口!$U1062=0,"",[2]对账明细接口!$U1062),"")</f>
        <v/>
      </c>
      <c r="AA1062" s="113" t="str">
        <f aca="false">IFERROR(IF([2]对账明细接口!$V1062=0,"",[2]对账明细接口!$V1062),"")</f>
        <v/>
      </c>
      <c r="AB1062" s="10" t="str">
        <f aca="false">IFERROR(IF([2]对账明细接口!$W1062=0,"",[2]对账明细接口!$W1062),"")</f>
        <v/>
      </c>
      <c r="AC1062" s="90" t="str">
        <f aca="false">IFERROR(IF([2]对账明细接口!$X1063=0,"",[2]对账明细接口!$X1063),"")</f>
        <v/>
      </c>
      <c r="AD1062" s="90" t="str">
        <f aca="false">IFERROR(IF([2]对账明细接口!$Y1063=0,"",[2]对账明细接口!$Y1063),"")</f>
        <v/>
      </c>
      <c r="AE1062" s="90" t="str">
        <f aca="false">IFERROR(IF([2]对账明细接口!$AA1063=0,"",[2]对账明细接口!$AA1063),"")</f>
        <v/>
      </c>
      <c r="AF1062" s="90" t="str">
        <f aca="false">IFERROR(IF([2]对账明细接口!$AB1063=0,"",[2]对账明细接口!$AB1063),"")</f>
        <v/>
      </c>
      <c r="AG1062" s="90" t="str">
        <f aca="false">IFERROR(IF([2]对账明细接口!$AC1063=0,"",[2]对账明细接口!$AC1063),"")</f>
        <v/>
      </c>
      <c r="AH1062" s="90" t="str">
        <f aca="false">IFERROR(IF([2]对账明细接口!$AD1063=0,"",[2]对账明细接口!$AD1063),"")</f>
        <v/>
      </c>
    </row>
    <row r="1063" customFormat="false" ht="13.5" hidden="false" customHeight="false" outlineLevel="0" collapsed="false">
      <c r="A1063" s="109" t="n">
        <v>1063</v>
      </c>
      <c r="B1063" s="110" t="str">
        <f aca="false">IFERROR(IF([2]对账明细接口!$B$1063=0,"",[2]对账明细接口!$B$1063),"")</f>
        <v/>
      </c>
      <c r="C1063" s="59" t="str">
        <f aca="false">IFERROR(IF([2]对账明细接口!$C$1063=0,"",[2]对账明细接口!$C$1063),"")</f>
        <v/>
      </c>
      <c r="D1063" s="59" t="str">
        <f aca="false">IFERROR(IF([2]对账明细接口!$D$1063=0,"",[2]对账明细接口!$D$1063),"")</f>
        <v/>
      </c>
      <c r="E1063" s="59" t="str">
        <f aca="false">IFERROR(IF([2]对账明细接口!$E$1063=0,"",[2]对账明细接口!$E$1063),"")</f>
        <v/>
      </c>
      <c r="F1063" s="59" t="str">
        <f aca="false">IFERROR(IF([2]对账明细接口!$F$1063=0,"",[2]对账明细接口!$F$1063),"")</f>
        <v/>
      </c>
      <c r="G1063" s="59" t="str">
        <f aca="false">IFERROR(IF([2]对账明细接口!$G$1063=0,"",[2]对账明细接口!$G$1063),"")</f>
        <v/>
      </c>
      <c r="H1063" s="60" t="str">
        <f aca="false">IFERROR(IF([2]对账明细接口!$H$1063=0,"",[2]对账明细接口!$H$1063),"")</f>
        <v/>
      </c>
      <c r="I1063" s="59" t="str">
        <f aca="false">IFERROR(IF([2]对账明细接口!$I$1063=0,"",[2]对账明细接口!$I$1063),"")</f>
        <v/>
      </c>
      <c r="J1063" s="61" t="str">
        <f aca="false">IFERROR(IF([2]对账明细接口!$J$1063=0,"",[2]对账明细接口!$J$1063),"")</f>
        <v/>
      </c>
      <c r="K1063" s="61" t="str">
        <f aca="false">IFERROR(IF([2]对账明细接口!$K$1063=0,"",[2]对账明细接口!$K$1063),"")</f>
        <v/>
      </c>
      <c r="L1063" s="59" t="str">
        <f aca="false">IFERROR(IF([2]对账明细接口!$L$1063=0,"",[2]对账明细接口!$L$1063),"")</f>
        <v/>
      </c>
      <c r="M1063" s="59" t="str">
        <f aca="false">IFERROR(IF([2]对账明细接口!$M$1063=0,"",[2]对账明细接口!$M$1063),"")</f>
        <v/>
      </c>
      <c r="N1063" s="111" t="n">
        <f aca="false">IF($C1063="",0,1)</f>
        <v>0</v>
      </c>
      <c r="O1063" s="111" t="n">
        <f aca="false">N(O1062)+$N1063</f>
        <v>311</v>
      </c>
      <c r="S1063" s="10" t="str">
        <f aca="false">IFERROR(IF([2]对账明细接口!$N1063=0,"",[2]对账明细接口!$N1063),"")</f>
        <v/>
      </c>
      <c r="T1063" s="112" t="str">
        <f aca="false">IFERROR(IF([2]对账明细接口!$O1063=0,"",[2]对账明细接口!$O1063),"")</f>
        <v/>
      </c>
      <c r="U1063" s="112" t="str">
        <f aca="false">IFERROR(IF([2]对账明细接口!$P1063=0,"",[2]对账明细接口!$P1063),"")</f>
        <v/>
      </c>
      <c r="V1063" s="112" t="str">
        <f aca="false">IFERROR(IF([2]对账明细接口!$Q1063=0,"",[2]对账明细接口!$Q1063),"")</f>
        <v/>
      </c>
      <c r="W1063" s="10" t="str">
        <f aca="false">IFERROR(IF([2]对账明细接口!$R1063=0,"",[2]对账明细接口!$R1063),"")</f>
        <v/>
      </c>
      <c r="X1063" s="10" t="str">
        <f aca="false">IFERROR(IF([2]对账明细接口!$S1063=0,"",[2]对账明细接口!$S1063),"")</f>
        <v/>
      </c>
      <c r="Y1063" s="10" t="str">
        <f aca="false">IFERROR(IF([2]对账明细接口!$T1063=0,"",[2]对账明细接口!$T1063),"")</f>
        <v/>
      </c>
      <c r="Z1063" s="113" t="str">
        <f aca="false">IFERROR(IF([2]对账明细接口!$U1063=0,"",[2]对账明细接口!$U1063),"")</f>
        <v/>
      </c>
      <c r="AA1063" s="113" t="str">
        <f aca="false">IFERROR(IF([2]对账明细接口!$V1063=0,"",[2]对账明细接口!$V1063),"")</f>
        <v/>
      </c>
      <c r="AB1063" s="10" t="str">
        <f aca="false">IFERROR(IF([2]对账明细接口!$W1063=0,"",[2]对账明细接口!$W1063),"")</f>
        <v/>
      </c>
      <c r="AC1063" s="90" t="str">
        <f aca="false">IFERROR(IF([2]对账明细接口!$X1064=0,"",[2]对账明细接口!$X1064),"")</f>
        <v/>
      </c>
      <c r="AD1063" s="90" t="str">
        <f aca="false">IFERROR(IF([2]对账明细接口!$Y1064=0,"",[2]对账明细接口!$Y1064),"")</f>
        <v/>
      </c>
      <c r="AE1063" s="90" t="str">
        <f aca="false">IFERROR(IF([2]对账明细接口!$AA1064=0,"",[2]对账明细接口!$AA1064),"")</f>
        <v/>
      </c>
      <c r="AF1063" s="90" t="str">
        <f aca="false">IFERROR(IF([2]对账明细接口!$AB1064=0,"",[2]对账明细接口!$AB1064),"")</f>
        <v/>
      </c>
      <c r="AG1063" s="90" t="str">
        <f aca="false">IFERROR(IF([2]对账明细接口!$AC1064=0,"",[2]对账明细接口!$AC1064),"")</f>
        <v/>
      </c>
      <c r="AH1063" s="90" t="str">
        <f aca="false">IFERROR(IF([2]对账明细接口!$AD1064=0,"",[2]对账明细接口!$AD1064),"")</f>
        <v/>
      </c>
    </row>
    <row r="1064" customFormat="false" ht="13.5" hidden="false" customHeight="false" outlineLevel="0" collapsed="false">
      <c r="A1064" s="109" t="n">
        <v>1064</v>
      </c>
      <c r="B1064" s="110" t="str">
        <f aca="false">IFERROR(IF([2]对账明细接口!$B$1064=0,"",[2]对账明细接口!$B$1064),"")</f>
        <v/>
      </c>
      <c r="C1064" s="59" t="str">
        <f aca="false">IFERROR(IF([2]对账明细接口!$C$1064=0,"",[2]对账明细接口!$C$1064),"")</f>
        <v/>
      </c>
      <c r="D1064" s="59" t="str">
        <f aca="false">IFERROR(IF([2]对账明细接口!$D$1064=0,"",[2]对账明细接口!$D$1064),"")</f>
        <v/>
      </c>
      <c r="E1064" s="59" t="str">
        <f aca="false">IFERROR(IF([2]对账明细接口!$E$1064=0,"",[2]对账明细接口!$E$1064),"")</f>
        <v/>
      </c>
      <c r="F1064" s="59" t="str">
        <f aca="false">IFERROR(IF([2]对账明细接口!$F$1064=0,"",[2]对账明细接口!$F$1064),"")</f>
        <v/>
      </c>
      <c r="G1064" s="59" t="str">
        <f aca="false">IFERROR(IF([2]对账明细接口!$G$1064=0,"",[2]对账明细接口!$G$1064),"")</f>
        <v/>
      </c>
      <c r="H1064" s="60" t="str">
        <f aca="false">IFERROR(IF([2]对账明细接口!$H$1064=0,"",[2]对账明细接口!$H$1064),"")</f>
        <v/>
      </c>
      <c r="I1064" s="59" t="str">
        <f aca="false">IFERROR(IF([2]对账明细接口!$I$1064=0,"",[2]对账明细接口!$I$1064),"")</f>
        <v/>
      </c>
      <c r="J1064" s="61" t="str">
        <f aca="false">IFERROR(IF([2]对账明细接口!$J$1064=0,"",[2]对账明细接口!$J$1064),"")</f>
        <v/>
      </c>
      <c r="K1064" s="61" t="str">
        <f aca="false">IFERROR(IF([2]对账明细接口!$K$1064=0,"",[2]对账明细接口!$K$1064),"")</f>
        <v/>
      </c>
      <c r="L1064" s="59" t="str">
        <f aca="false">IFERROR(IF([2]对账明细接口!$L$1064=0,"",[2]对账明细接口!$L$1064),"")</f>
        <v/>
      </c>
      <c r="M1064" s="59" t="str">
        <f aca="false">IFERROR(IF([2]对账明细接口!$M$1064=0,"",[2]对账明细接口!$M$1064),"")</f>
        <v/>
      </c>
      <c r="N1064" s="111" t="n">
        <f aca="false">IF($C1064="",0,1)</f>
        <v>0</v>
      </c>
      <c r="O1064" s="111" t="n">
        <f aca="false">N(O1063)+$N1064</f>
        <v>311</v>
      </c>
      <c r="S1064" s="10" t="str">
        <f aca="false">IFERROR(IF([2]对账明细接口!$N1064=0,"",[2]对账明细接口!$N1064),"")</f>
        <v/>
      </c>
      <c r="T1064" s="112" t="str">
        <f aca="false">IFERROR(IF([2]对账明细接口!$O1064=0,"",[2]对账明细接口!$O1064),"")</f>
        <v/>
      </c>
      <c r="U1064" s="112" t="str">
        <f aca="false">IFERROR(IF([2]对账明细接口!$P1064=0,"",[2]对账明细接口!$P1064),"")</f>
        <v/>
      </c>
      <c r="V1064" s="112" t="str">
        <f aca="false">IFERROR(IF([2]对账明细接口!$Q1064=0,"",[2]对账明细接口!$Q1064),"")</f>
        <v/>
      </c>
      <c r="W1064" s="10" t="str">
        <f aca="false">IFERROR(IF([2]对账明细接口!$R1064=0,"",[2]对账明细接口!$R1064),"")</f>
        <v/>
      </c>
      <c r="X1064" s="10" t="str">
        <f aca="false">IFERROR(IF([2]对账明细接口!$S1064=0,"",[2]对账明细接口!$S1064),"")</f>
        <v/>
      </c>
      <c r="Y1064" s="10" t="str">
        <f aca="false">IFERROR(IF([2]对账明细接口!$T1064=0,"",[2]对账明细接口!$T1064),"")</f>
        <v/>
      </c>
      <c r="Z1064" s="113" t="str">
        <f aca="false">IFERROR(IF([2]对账明细接口!$U1064=0,"",[2]对账明细接口!$U1064),"")</f>
        <v/>
      </c>
      <c r="AA1064" s="113" t="str">
        <f aca="false">IFERROR(IF([2]对账明细接口!$V1064=0,"",[2]对账明细接口!$V1064),"")</f>
        <v/>
      </c>
      <c r="AB1064" s="10" t="str">
        <f aca="false">IFERROR(IF([2]对账明细接口!$W1064=0,"",[2]对账明细接口!$W1064),"")</f>
        <v/>
      </c>
      <c r="AC1064" s="90" t="str">
        <f aca="false">IFERROR(IF([2]对账明细接口!$X1065=0,"",[2]对账明细接口!$X1065),"")</f>
        <v/>
      </c>
      <c r="AD1064" s="90" t="str">
        <f aca="false">IFERROR(IF([2]对账明细接口!$Y1065=0,"",[2]对账明细接口!$Y1065),"")</f>
        <v/>
      </c>
      <c r="AE1064" s="90" t="str">
        <f aca="false">IFERROR(IF([2]对账明细接口!$AA1065=0,"",[2]对账明细接口!$AA1065),"")</f>
        <v/>
      </c>
      <c r="AF1064" s="90" t="str">
        <f aca="false">IFERROR(IF([2]对账明细接口!$AB1065=0,"",[2]对账明细接口!$AB1065),"")</f>
        <v/>
      </c>
      <c r="AG1064" s="90" t="str">
        <f aca="false">IFERROR(IF([2]对账明细接口!$AC1065=0,"",[2]对账明细接口!$AC1065),"")</f>
        <v/>
      </c>
      <c r="AH1064" s="90" t="str">
        <f aca="false">IFERROR(IF([2]对账明细接口!$AD1065=0,"",[2]对账明细接口!$AD1065),"")</f>
        <v/>
      </c>
    </row>
    <row r="1065" customFormat="false" ht="13.5" hidden="false" customHeight="false" outlineLevel="0" collapsed="false">
      <c r="A1065" s="109" t="n">
        <v>1065</v>
      </c>
      <c r="B1065" s="110" t="str">
        <f aca="false">IFERROR(IF([2]对账明细接口!$B$1065=0,"",[2]对账明细接口!$B$1065),"")</f>
        <v/>
      </c>
      <c r="C1065" s="59" t="str">
        <f aca="false">IFERROR(IF([2]对账明细接口!$C$1065=0,"",[2]对账明细接口!$C$1065),"")</f>
        <v/>
      </c>
      <c r="D1065" s="59" t="str">
        <f aca="false">IFERROR(IF([2]对账明细接口!$D$1065=0,"",[2]对账明细接口!$D$1065),"")</f>
        <v/>
      </c>
      <c r="E1065" s="59" t="str">
        <f aca="false">IFERROR(IF([2]对账明细接口!$E$1065=0,"",[2]对账明细接口!$E$1065),"")</f>
        <v/>
      </c>
      <c r="F1065" s="59" t="str">
        <f aca="false">IFERROR(IF([2]对账明细接口!$F$1065=0,"",[2]对账明细接口!$F$1065),"")</f>
        <v/>
      </c>
      <c r="G1065" s="59" t="str">
        <f aca="false">IFERROR(IF([2]对账明细接口!$G$1065=0,"",[2]对账明细接口!$G$1065),"")</f>
        <v/>
      </c>
      <c r="H1065" s="60" t="str">
        <f aca="false">IFERROR(IF([2]对账明细接口!$H$1065=0,"",[2]对账明细接口!$H$1065),"")</f>
        <v/>
      </c>
      <c r="I1065" s="59" t="str">
        <f aca="false">IFERROR(IF([2]对账明细接口!$I$1065=0,"",[2]对账明细接口!$I$1065),"")</f>
        <v/>
      </c>
      <c r="J1065" s="61" t="str">
        <f aca="false">IFERROR(IF([2]对账明细接口!$J$1065=0,"",[2]对账明细接口!$J$1065),"")</f>
        <v/>
      </c>
      <c r="K1065" s="61" t="str">
        <f aca="false">IFERROR(IF([2]对账明细接口!$K$1065=0,"",[2]对账明细接口!$K$1065),"")</f>
        <v/>
      </c>
      <c r="L1065" s="59" t="str">
        <f aca="false">IFERROR(IF([2]对账明细接口!$L$1065=0,"",[2]对账明细接口!$L$1065),"")</f>
        <v/>
      </c>
      <c r="M1065" s="59" t="str">
        <f aca="false">IFERROR(IF([2]对账明细接口!$M$1065=0,"",[2]对账明细接口!$M$1065),"")</f>
        <v/>
      </c>
      <c r="N1065" s="111" t="n">
        <f aca="false">IF($C1065="",0,1)</f>
        <v>0</v>
      </c>
      <c r="O1065" s="111" t="n">
        <f aca="false">N(O1064)+$N1065</f>
        <v>311</v>
      </c>
      <c r="S1065" s="10" t="str">
        <f aca="false">IFERROR(IF([2]对账明细接口!$N1065=0,"",[2]对账明细接口!$N1065),"")</f>
        <v/>
      </c>
      <c r="T1065" s="112" t="str">
        <f aca="false">IFERROR(IF([2]对账明细接口!$O1065=0,"",[2]对账明细接口!$O1065),"")</f>
        <v/>
      </c>
      <c r="U1065" s="112" t="str">
        <f aca="false">IFERROR(IF([2]对账明细接口!$P1065=0,"",[2]对账明细接口!$P1065),"")</f>
        <v/>
      </c>
      <c r="V1065" s="112" t="str">
        <f aca="false">IFERROR(IF([2]对账明细接口!$Q1065=0,"",[2]对账明细接口!$Q1065),"")</f>
        <v/>
      </c>
      <c r="W1065" s="10" t="str">
        <f aca="false">IFERROR(IF([2]对账明细接口!$R1065=0,"",[2]对账明细接口!$R1065),"")</f>
        <v/>
      </c>
      <c r="X1065" s="10" t="str">
        <f aca="false">IFERROR(IF([2]对账明细接口!$S1065=0,"",[2]对账明细接口!$S1065),"")</f>
        <v/>
      </c>
      <c r="Y1065" s="10" t="str">
        <f aca="false">IFERROR(IF([2]对账明细接口!$T1065=0,"",[2]对账明细接口!$T1065),"")</f>
        <v/>
      </c>
      <c r="Z1065" s="113" t="str">
        <f aca="false">IFERROR(IF([2]对账明细接口!$U1065=0,"",[2]对账明细接口!$U1065),"")</f>
        <v/>
      </c>
      <c r="AA1065" s="113" t="str">
        <f aca="false">IFERROR(IF([2]对账明细接口!$V1065=0,"",[2]对账明细接口!$V1065),"")</f>
        <v/>
      </c>
      <c r="AB1065" s="10" t="str">
        <f aca="false">IFERROR(IF([2]对账明细接口!$W1065=0,"",[2]对账明细接口!$W1065),"")</f>
        <v/>
      </c>
      <c r="AC1065" s="90" t="str">
        <f aca="false">IFERROR(IF([2]对账明细接口!$X1066=0,"",[2]对账明细接口!$X1066),"")</f>
        <v/>
      </c>
      <c r="AD1065" s="90" t="str">
        <f aca="false">IFERROR(IF([2]对账明细接口!$Y1066=0,"",[2]对账明细接口!$Y1066),"")</f>
        <v/>
      </c>
      <c r="AE1065" s="90" t="str">
        <f aca="false">IFERROR(IF([2]对账明细接口!$AA1066=0,"",[2]对账明细接口!$AA1066),"")</f>
        <v/>
      </c>
      <c r="AF1065" s="90" t="str">
        <f aca="false">IFERROR(IF([2]对账明细接口!$AB1066=0,"",[2]对账明细接口!$AB1066),"")</f>
        <v/>
      </c>
      <c r="AG1065" s="90" t="str">
        <f aca="false">IFERROR(IF([2]对账明细接口!$AC1066=0,"",[2]对账明细接口!$AC1066),"")</f>
        <v/>
      </c>
      <c r="AH1065" s="90" t="str">
        <f aca="false">IFERROR(IF([2]对账明细接口!$AD1066=0,"",[2]对账明细接口!$AD1066),"")</f>
        <v/>
      </c>
    </row>
    <row r="1066" customFormat="false" ht="13.5" hidden="false" customHeight="false" outlineLevel="0" collapsed="false">
      <c r="A1066" s="109" t="n">
        <v>1066</v>
      </c>
      <c r="B1066" s="110" t="str">
        <f aca="false">IFERROR(IF([2]对账明细接口!$B$1066=0,"",[2]对账明细接口!$B$1066),"")</f>
        <v/>
      </c>
      <c r="C1066" s="59" t="str">
        <f aca="false">IFERROR(IF([2]对账明细接口!$C$1066=0,"",[2]对账明细接口!$C$1066),"")</f>
        <v/>
      </c>
      <c r="D1066" s="59" t="str">
        <f aca="false">IFERROR(IF([2]对账明细接口!$D$1066=0,"",[2]对账明细接口!$D$1066),"")</f>
        <v/>
      </c>
      <c r="E1066" s="59" t="str">
        <f aca="false">IFERROR(IF([2]对账明细接口!$E$1066=0,"",[2]对账明细接口!$E$1066),"")</f>
        <v/>
      </c>
      <c r="F1066" s="59" t="str">
        <f aca="false">IFERROR(IF([2]对账明细接口!$F$1066=0,"",[2]对账明细接口!$F$1066),"")</f>
        <v/>
      </c>
      <c r="G1066" s="59" t="str">
        <f aca="false">IFERROR(IF([2]对账明细接口!$G$1066=0,"",[2]对账明细接口!$G$1066),"")</f>
        <v/>
      </c>
      <c r="H1066" s="60" t="str">
        <f aca="false">IFERROR(IF([2]对账明细接口!$H$1066=0,"",[2]对账明细接口!$H$1066),"")</f>
        <v/>
      </c>
      <c r="I1066" s="59" t="str">
        <f aca="false">IFERROR(IF([2]对账明细接口!$I$1066=0,"",[2]对账明细接口!$I$1066),"")</f>
        <v/>
      </c>
      <c r="J1066" s="61" t="str">
        <f aca="false">IFERROR(IF([2]对账明细接口!$J$1066=0,"",[2]对账明细接口!$J$1066),"")</f>
        <v/>
      </c>
      <c r="K1066" s="61" t="str">
        <f aca="false">IFERROR(IF([2]对账明细接口!$K$1066=0,"",[2]对账明细接口!$K$1066),"")</f>
        <v/>
      </c>
      <c r="L1066" s="59" t="str">
        <f aca="false">IFERROR(IF([2]对账明细接口!$L$1066=0,"",[2]对账明细接口!$L$1066),"")</f>
        <v/>
      </c>
      <c r="M1066" s="59" t="str">
        <f aca="false">IFERROR(IF([2]对账明细接口!$M$1066=0,"",[2]对账明细接口!$M$1066),"")</f>
        <v/>
      </c>
      <c r="N1066" s="111" t="n">
        <f aca="false">IF($C1066="",0,1)</f>
        <v>0</v>
      </c>
      <c r="O1066" s="111" t="n">
        <f aca="false">N(O1065)+$N1066</f>
        <v>311</v>
      </c>
      <c r="S1066" s="10" t="str">
        <f aca="false">IFERROR(IF([2]对账明细接口!$N1066=0,"",[2]对账明细接口!$N1066),"")</f>
        <v/>
      </c>
      <c r="T1066" s="112" t="str">
        <f aca="false">IFERROR(IF([2]对账明细接口!$O1066=0,"",[2]对账明细接口!$O1066),"")</f>
        <v/>
      </c>
      <c r="U1066" s="112" t="str">
        <f aca="false">IFERROR(IF([2]对账明细接口!$P1066=0,"",[2]对账明细接口!$P1066),"")</f>
        <v/>
      </c>
      <c r="V1066" s="112" t="str">
        <f aca="false">IFERROR(IF([2]对账明细接口!$Q1066=0,"",[2]对账明细接口!$Q1066),"")</f>
        <v/>
      </c>
      <c r="W1066" s="10" t="str">
        <f aca="false">IFERROR(IF([2]对账明细接口!$R1066=0,"",[2]对账明细接口!$R1066),"")</f>
        <v/>
      </c>
      <c r="X1066" s="10" t="str">
        <f aca="false">IFERROR(IF([2]对账明细接口!$S1066=0,"",[2]对账明细接口!$S1066),"")</f>
        <v/>
      </c>
      <c r="Y1066" s="10" t="str">
        <f aca="false">IFERROR(IF([2]对账明细接口!$T1066=0,"",[2]对账明细接口!$T1066),"")</f>
        <v/>
      </c>
      <c r="Z1066" s="113" t="str">
        <f aca="false">IFERROR(IF([2]对账明细接口!$U1066=0,"",[2]对账明细接口!$U1066),"")</f>
        <v/>
      </c>
      <c r="AA1066" s="113" t="str">
        <f aca="false">IFERROR(IF([2]对账明细接口!$V1066=0,"",[2]对账明细接口!$V1066),"")</f>
        <v/>
      </c>
      <c r="AB1066" s="10" t="str">
        <f aca="false">IFERROR(IF([2]对账明细接口!$W1066=0,"",[2]对账明细接口!$W1066),"")</f>
        <v/>
      </c>
      <c r="AC1066" s="90" t="str">
        <f aca="false">IFERROR(IF([2]对账明细接口!$X1067=0,"",[2]对账明细接口!$X1067),"")</f>
        <v/>
      </c>
      <c r="AD1066" s="90" t="str">
        <f aca="false">IFERROR(IF([2]对账明细接口!$Y1067=0,"",[2]对账明细接口!$Y1067),"")</f>
        <v/>
      </c>
      <c r="AE1066" s="90" t="str">
        <f aca="false">IFERROR(IF([2]对账明细接口!$AA1067=0,"",[2]对账明细接口!$AA1067),"")</f>
        <v/>
      </c>
      <c r="AF1066" s="90" t="str">
        <f aca="false">IFERROR(IF([2]对账明细接口!$AB1067=0,"",[2]对账明细接口!$AB1067),"")</f>
        <v/>
      </c>
      <c r="AG1066" s="90" t="str">
        <f aca="false">IFERROR(IF([2]对账明细接口!$AC1067=0,"",[2]对账明细接口!$AC1067),"")</f>
        <v/>
      </c>
      <c r="AH1066" s="90" t="str">
        <f aca="false">IFERROR(IF([2]对账明细接口!$AD1067=0,"",[2]对账明细接口!$AD1067),"")</f>
        <v/>
      </c>
    </row>
    <row r="1067" customFormat="false" ht="13.5" hidden="false" customHeight="false" outlineLevel="0" collapsed="false">
      <c r="A1067" s="109" t="n">
        <v>1067</v>
      </c>
      <c r="B1067" s="110" t="str">
        <f aca="false">IFERROR(IF([2]对账明细接口!$B$1067=0,"",[2]对账明细接口!$B$1067),"")</f>
        <v/>
      </c>
      <c r="C1067" s="59" t="str">
        <f aca="false">IFERROR(IF([2]对账明细接口!$C$1067=0,"",[2]对账明细接口!$C$1067),"")</f>
        <v/>
      </c>
      <c r="D1067" s="59" t="str">
        <f aca="false">IFERROR(IF([2]对账明细接口!$D$1067=0,"",[2]对账明细接口!$D$1067),"")</f>
        <v/>
      </c>
      <c r="E1067" s="59" t="str">
        <f aca="false">IFERROR(IF([2]对账明细接口!$E$1067=0,"",[2]对账明细接口!$E$1067),"")</f>
        <v/>
      </c>
      <c r="F1067" s="59" t="str">
        <f aca="false">IFERROR(IF([2]对账明细接口!$F$1067=0,"",[2]对账明细接口!$F$1067),"")</f>
        <v/>
      </c>
      <c r="G1067" s="59" t="str">
        <f aca="false">IFERROR(IF([2]对账明细接口!$G$1067=0,"",[2]对账明细接口!$G$1067),"")</f>
        <v/>
      </c>
      <c r="H1067" s="60" t="str">
        <f aca="false">IFERROR(IF([2]对账明细接口!$H$1067=0,"",[2]对账明细接口!$H$1067),"")</f>
        <v/>
      </c>
      <c r="I1067" s="59" t="str">
        <f aca="false">IFERROR(IF([2]对账明细接口!$I$1067=0,"",[2]对账明细接口!$I$1067),"")</f>
        <v/>
      </c>
      <c r="J1067" s="61" t="str">
        <f aca="false">IFERROR(IF([2]对账明细接口!$J$1067=0,"",[2]对账明细接口!$J$1067),"")</f>
        <v/>
      </c>
      <c r="K1067" s="61" t="str">
        <f aca="false">IFERROR(IF([2]对账明细接口!$K$1067=0,"",[2]对账明细接口!$K$1067),"")</f>
        <v/>
      </c>
      <c r="L1067" s="59" t="str">
        <f aca="false">IFERROR(IF([2]对账明细接口!$L$1067=0,"",[2]对账明细接口!$L$1067),"")</f>
        <v/>
      </c>
      <c r="M1067" s="59" t="str">
        <f aca="false">IFERROR(IF([2]对账明细接口!$M$1067=0,"",[2]对账明细接口!$M$1067),"")</f>
        <v/>
      </c>
      <c r="N1067" s="111" t="n">
        <f aca="false">IF($C1067="",0,1)</f>
        <v>0</v>
      </c>
      <c r="O1067" s="111" t="n">
        <f aca="false">N(O1066)+$N1067</f>
        <v>311</v>
      </c>
      <c r="S1067" s="10" t="str">
        <f aca="false">IFERROR(IF([2]对账明细接口!$N1067=0,"",[2]对账明细接口!$N1067),"")</f>
        <v/>
      </c>
      <c r="T1067" s="112" t="str">
        <f aca="false">IFERROR(IF([2]对账明细接口!$O1067=0,"",[2]对账明细接口!$O1067),"")</f>
        <v/>
      </c>
      <c r="U1067" s="112" t="str">
        <f aca="false">IFERROR(IF([2]对账明细接口!$P1067=0,"",[2]对账明细接口!$P1067),"")</f>
        <v/>
      </c>
      <c r="V1067" s="112" t="str">
        <f aca="false">IFERROR(IF([2]对账明细接口!$Q1067=0,"",[2]对账明细接口!$Q1067),"")</f>
        <v/>
      </c>
      <c r="W1067" s="10" t="str">
        <f aca="false">IFERROR(IF([2]对账明细接口!$R1067=0,"",[2]对账明细接口!$R1067),"")</f>
        <v/>
      </c>
      <c r="X1067" s="10" t="str">
        <f aca="false">IFERROR(IF([2]对账明细接口!$S1067=0,"",[2]对账明细接口!$S1067),"")</f>
        <v/>
      </c>
      <c r="Y1067" s="10" t="str">
        <f aca="false">IFERROR(IF([2]对账明细接口!$T1067=0,"",[2]对账明细接口!$T1067),"")</f>
        <v/>
      </c>
      <c r="Z1067" s="113" t="str">
        <f aca="false">IFERROR(IF([2]对账明细接口!$U1067=0,"",[2]对账明细接口!$U1067),"")</f>
        <v/>
      </c>
      <c r="AA1067" s="113" t="str">
        <f aca="false">IFERROR(IF([2]对账明细接口!$V1067=0,"",[2]对账明细接口!$V1067),"")</f>
        <v/>
      </c>
      <c r="AB1067" s="10" t="str">
        <f aca="false">IFERROR(IF([2]对账明细接口!$W1067=0,"",[2]对账明细接口!$W1067),"")</f>
        <v/>
      </c>
      <c r="AC1067" s="90" t="str">
        <f aca="false">IFERROR(IF([2]对账明细接口!$X1068=0,"",[2]对账明细接口!$X1068),"")</f>
        <v/>
      </c>
      <c r="AD1067" s="90" t="str">
        <f aca="false">IFERROR(IF([2]对账明细接口!$Y1068=0,"",[2]对账明细接口!$Y1068),"")</f>
        <v/>
      </c>
      <c r="AE1067" s="90" t="str">
        <f aca="false">IFERROR(IF([2]对账明细接口!$AA1068=0,"",[2]对账明细接口!$AA1068),"")</f>
        <v/>
      </c>
      <c r="AF1067" s="90" t="str">
        <f aca="false">IFERROR(IF([2]对账明细接口!$AB1068=0,"",[2]对账明细接口!$AB1068),"")</f>
        <v/>
      </c>
      <c r="AG1067" s="90" t="str">
        <f aca="false">IFERROR(IF([2]对账明细接口!$AC1068=0,"",[2]对账明细接口!$AC1068),"")</f>
        <v/>
      </c>
      <c r="AH1067" s="90" t="str">
        <f aca="false">IFERROR(IF([2]对账明细接口!$AD1068=0,"",[2]对账明细接口!$AD1068),"")</f>
        <v/>
      </c>
    </row>
    <row r="1068" customFormat="false" ht="13.5" hidden="false" customHeight="false" outlineLevel="0" collapsed="false">
      <c r="A1068" s="109" t="n">
        <v>1068</v>
      </c>
      <c r="B1068" s="110" t="str">
        <f aca="false">IFERROR(IF([2]对账明细接口!$B$1068=0,"",[2]对账明细接口!$B$1068),"")</f>
        <v/>
      </c>
      <c r="C1068" s="59" t="str">
        <f aca="false">IFERROR(IF([2]对账明细接口!$C$1068=0,"",[2]对账明细接口!$C$1068),"")</f>
        <v/>
      </c>
      <c r="D1068" s="59" t="str">
        <f aca="false">IFERROR(IF([2]对账明细接口!$D$1068=0,"",[2]对账明细接口!$D$1068),"")</f>
        <v/>
      </c>
      <c r="E1068" s="59" t="str">
        <f aca="false">IFERROR(IF([2]对账明细接口!$E$1068=0,"",[2]对账明细接口!$E$1068),"")</f>
        <v/>
      </c>
      <c r="F1068" s="59" t="str">
        <f aca="false">IFERROR(IF([2]对账明细接口!$F$1068=0,"",[2]对账明细接口!$F$1068),"")</f>
        <v/>
      </c>
      <c r="G1068" s="59" t="str">
        <f aca="false">IFERROR(IF([2]对账明细接口!$G$1068=0,"",[2]对账明细接口!$G$1068),"")</f>
        <v/>
      </c>
      <c r="H1068" s="60" t="str">
        <f aca="false">IFERROR(IF([2]对账明细接口!$H$1068=0,"",[2]对账明细接口!$H$1068),"")</f>
        <v/>
      </c>
      <c r="I1068" s="59" t="str">
        <f aca="false">IFERROR(IF([2]对账明细接口!$I$1068=0,"",[2]对账明细接口!$I$1068),"")</f>
        <v/>
      </c>
      <c r="J1068" s="61" t="str">
        <f aca="false">IFERROR(IF([2]对账明细接口!$J$1068=0,"",[2]对账明细接口!$J$1068),"")</f>
        <v/>
      </c>
      <c r="K1068" s="61" t="str">
        <f aca="false">IFERROR(IF([2]对账明细接口!$K$1068=0,"",[2]对账明细接口!$K$1068),"")</f>
        <v/>
      </c>
      <c r="L1068" s="59" t="str">
        <f aca="false">IFERROR(IF([2]对账明细接口!$L$1068=0,"",[2]对账明细接口!$L$1068),"")</f>
        <v/>
      </c>
      <c r="M1068" s="59" t="str">
        <f aca="false">IFERROR(IF([2]对账明细接口!$M$1068=0,"",[2]对账明细接口!$M$1068),"")</f>
        <v/>
      </c>
      <c r="N1068" s="111" t="n">
        <f aca="false">IF($C1068="",0,1)</f>
        <v>0</v>
      </c>
      <c r="O1068" s="111" t="n">
        <f aca="false">N(O1067)+$N1068</f>
        <v>311</v>
      </c>
      <c r="S1068" s="10" t="str">
        <f aca="false">IFERROR(IF([2]对账明细接口!$N1068=0,"",[2]对账明细接口!$N1068),"")</f>
        <v/>
      </c>
      <c r="T1068" s="112" t="str">
        <f aca="false">IFERROR(IF([2]对账明细接口!$O1068=0,"",[2]对账明细接口!$O1068),"")</f>
        <v/>
      </c>
      <c r="U1068" s="112" t="str">
        <f aca="false">IFERROR(IF([2]对账明细接口!$P1068=0,"",[2]对账明细接口!$P1068),"")</f>
        <v/>
      </c>
      <c r="V1068" s="112" t="str">
        <f aca="false">IFERROR(IF([2]对账明细接口!$Q1068=0,"",[2]对账明细接口!$Q1068),"")</f>
        <v/>
      </c>
      <c r="W1068" s="10" t="str">
        <f aca="false">IFERROR(IF([2]对账明细接口!$R1068=0,"",[2]对账明细接口!$R1068),"")</f>
        <v/>
      </c>
      <c r="X1068" s="10" t="str">
        <f aca="false">IFERROR(IF([2]对账明细接口!$S1068=0,"",[2]对账明细接口!$S1068),"")</f>
        <v/>
      </c>
      <c r="Y1068" s="10" t="str">
        <f aca="false">IFERROR(IF([2]对账明细接口!$T1068=0,"",[2]对账明细接口!$T1068),"")</f>
        <v/>
      </c>
      <c r="Z1068" s="113" t="str">
        <f aca="false">IFERROR(IF([2]对账明细接口!$U1068=0,"",[2]对账明细接口!$U1068),"")</f>
        <v/>
      </c>
      <c r="AA1068" s="113" t="str">
        <f aca="false">IFERROR(IF([2]对账明细接口!$V1068=0,"",[2]对账明细接口!$V1068),"")</f>
        <v/>
      </c>
      <c r="AB1068" s="10" t="str">
        <f aca="false">IFERROR(IF([2]对账明细接口!$W1068=0,"",[2]对账明细接口!$W1068),"")</f>
        <v/>
      </c>
      <c r="AC1068" s="90" t="str">
        <f aca="false">IFERROR(IF([2]对账明细接口!$X1069=0,"",[2]对账明细接口!$X1069),"")</f>
        <v/>
      </c>
      <c r="AD1068" s="90" t="str">
        <f aca="false">IFERROR(IF([2]对账明细接口!$Y1069=0,"",[2]对账明细接口!$Y1069),"")</f>
        <v/>
      </c>
      <c r="AE1068" s="90" t="str">
        <f aca="false">IFERROR(IF([2]对账明细接口!$AA1069=0,"",[2]对账明细接口!$AA1069),"")</f>
        <v/>
      </c>
      <c r="AF1068" s="90" t="str">
        <f aca="false">IFERROR(IF([2]对账明细接口!$AB1069=0,"",[2]对账明细接口!$AB1069),"")</f>
        <v/>
      </c>
      <c r="AG1068" s="90" t="str">
        <f aca="false">IFERROR(IF([2]对账明细接口!$AC1069=0,"",[2]对账明细接口!$AC1069),"")</f>
        <v/>
      </c>
      <c r="AH1068" s="90" t="str">
        <f aca="false">IFERROR(IF([2]对账明细接口!$AD1069=0,"",[2]对账明细接口!$AD1069),"")</f>
        <v/>
      </c>
    </row>
    <row r="1069" customFormat="false" ht="13.5" hidden="false" customHeight="false" outlineLevel="0" collapsed="false">
      <c r="A1069" s="109" t="n">
        <v>1069</v>
      </c>
      <c r="B1069" s="110" t="str">
        <f aca="false">IFERROR(IF([2]对账明细接口!$B$1069=0,"",[2]对账明细接口!$B$1069),"")</f>
        <v/>
      </c>
      <c r="C1069" s="59" t="str">
        <f aca="false">IFERROR(IF([2]对账明细接口!$C$1069=0,"",[2]对账明细接口!$C$1069),"")</f>
        <v/>
      </c>
      <c r="D1069" s="59" t="str">
        <f aca="false">IFERROR(IF([2]对账明细接口!$D$1069=0,"",[2]对账明细接口!$D$1069),"")</f>
        <v/>
      </c>
      <c r="E1069" s="59" t="str">
        <f aca="false">IFERROR(IF([2]对账明细接口!$E$1069=0,"",[2]对账明细接口!$E$1069),"")</f>
        <v/>
      </c>
      <c r="F1069" s="59" t="str">
        <f aca="false">IFERROR(IF([2]对账明细接口!$F$1069=0,"",[2]对账明细接口!$F$1069),"")</f>
        <v/>
      </c>
      <c r="G1069" s="59" t="str">
        <f aca="false">IFERROR(IF([2]对账明细接口!$G$1069=0,"",[2]对账明细接口!$G$1069),"")</f>
        <v/>
      </c>
      <c r="H1069" s="60" t="str">
        <f aca="false">IFERROR(IF([2]对账明细接口!$H$1069=0,"",[2]对账明细接口!$H$1069),"")</f>
        <v/>
      </c>
      <c r="I1069" s="59" t="str">
        <f aca="false">IFERROR(IF([2]对账明细接口!$I$1069=0,"",[2]对账明细接口!$I$1069),"")</f>
        <v/>
      </c>
      <c r="J1069" s="61" t="str">
        <f aca="false">IFERROR(IF([2]对账明细接口!$J$1069=0,"",[2]对账明细接口!$J$1069),"")</f>
        <v/>
      </c>
      <c r="K1069" s="61" t="str">
        <f aca="false">IFERROR(IF([2]对账明细接口!$K$1069=0,"",[2]对账明细接口!$K$1069),"")</f>
        <v/>
      </c>
      <c r="L1069" s="59" t="str">
        <f aca="false">IFERROR(IF([2]对账明细接口!$L$1069=0,"",[2]对账明细接口!$L$1069),"")</f>
        <v/>
      </c>
      <c r="M1069" s="59" t="str">
        <f aca="false">IFERROR(IF([2]对账明细接口!$M$1069=0,"",[2]对账明细接口!$M$1069),"")</f>
        <v/>
      </c>
      <c r="N1069" s="111" t="n">
        <f aca="false">IF($C1069="",0,1)</f>
        <v>0</v>
      </c>
      <c r="O1069" s="111" t="n">
        <f aca="false">N(O1068)+$N1069</f>
        <v>311</v>
      </c>
      <c r="S1069" s="10" t="str">
        <f aca="false">IFERROR(IF([2]对账明细接口!$N1069=0,"",[2]对账明细接口!$N1069),"")</f>
        <v/>
      </c>
      <c r="T1069" s="112" t="str">
        <f aca="false">IFERROR(IF([2]对账明细接口!$O1069=0,"",[2]对账明细接口!$O1069),"")</f>
        <v/>
      </c>
      <c r="U1069" s="112" t="str">
        <f aca="false">IFERROR(IF([2]对账明细接口!$P1069=0,"",[2]对账明细接口!$P1069),"")</f>
        <v/>
      </c>
      <c r="V1069" s="112" t="str">
        <f aca="false">IFERROR(IF([2]对账明细接口!$Q1069=0,"",[2]对账明细接口!$Q1069),"")</f>
        <v/>
      </c>
      <c r="W1069" s="10" t="str">
        <f aca="false">IFERROR(IF([2]对账明细接口!$R1069=0,"",[2]对账明细接口!$R1069),"")</f>
        <v/>
      </c>
      <c r="X1069" s="10" t="str">
        <f aca="false">IFERROR(IF([2]对账明细接口!$S1069=0,"",[2]对账明细接口!$S1069),"")</f>
        <v/>
      </c>
      <c r="Y1069" s="10" t="str">
        <f aca="false">IFERROR(IF([2]对账明细接口!$T1069=0,"",[2]对账明细接口!$T1069),"")</f>
        <v/>
      </c>
      <c r="Z1069" s="113" t="str">
        <f aca="false">IFERROR(IF([2]对账明细接口!$U1069=0,"",[2]对账明细接口!$U1069),"")</f>
        <v/>
      </c>
      <c r="AA1069" s="113" t="str">
        <f aca="false">IFERROR(IF([2]对账明细接口!$V1069=0,"",[2]对账明细接口!$V1069),"")</f>
        <v/>
      </c>
      <c r="AB1069" s="10" t="str">
        <f aca="false">IFERROR(IF([2]对账明细接口!$W1069=0,"",[2]对账明细接口!$W1069),"")</f>
        <v/>
      </c>
      <c r="AC1069" s="90" t="str">
        <f aca="false">IFERROR(IF([2]对账明细接口!$X1070=0,"",[2]对账明细接口!$X1070),"")</f>
        <v/>
      </c>
      <c r="AD1069" s="90" t="str">
        <f aca="false">IFERROR(IF([2]对账明细接口!$Y1070=0,"",[2]对账明细接口!$Y1070),"")</f>
        <v/>
      </c>
      <c r="AE1069" s="90" t="str">
        <f aca="false">IFERROR(IF([2]对账明细接口!$AA1070=0,"",[2]对账明细接口!$AA1070),"")</f>
        <v/>
      </c>
      <c r="AF1069" s="90" t="str">
        <f aca="false">IFERROR(IF([2]对账明细接口!$AB1070=0,"",[2]对账明细接口!$AB1070),"")</f>
        <v/>
      </c>
      <c r="AG1069" s="90" t="str">
        <f aca="false">IFERROR(IF([2]对账明细接口!$AC1070=0,"",[2]对账明细接口!$AC1070),"")</f>
        <v/>
      </c>
      <c r="AH1069" s="90" t="str">
        <f aca="false">IFERROR(IF([2]对账明细接口!$AD1070=0,"",[2]对账明细接口!$AD1070),"")</f>
        <v/>
      </c>
    </row>
    <row r="1070" customFormat="false" ht="13.5" hidden="false" customHeight="false" outlineLevel="0" collapsed="false">
      <c r="A1070" s="109" t="n">
        <v>1070</v>
      </c>
      <c r="B1070" s="110" t="str">
        <f aca="false">IFERROR(IF([2]对账明细接口!$B$1070=0,"",[2]对账明细接口!$B$1070),"")</f>
        <v/>
      </c>
      <c r="C1070" s="59" t="str">
        <f aca="false">IFERROR(IF([2]对账明细接口!$C$1070=0,"",[2]对账明细接口!$C$1070),"")</f>
        <v/>
      </c>
      <c r="D1070" s="59" t="str">
        <f aca="false">IFERROR(IF([2]对账明细接口!$D$1070=0,"",[2]对账明细接口!$D$1070),"")</f>
        <v/>
      </c>
      <c r="E1070" s="59" t="str">
        <f aca="false">IFERROR(IF([2]对账明细接口!$E$1070=0,"",[2]对账明细接口!$E$1070),"")</f>
        <v/>
      </c>
      <c r="F1070" s="59" t="str">
        <f aca="false">IFERROR(IF([2]对账明细接口!$F$1070=0,"",[2]对账明细接口!$F$1070),"")</f>
        <v/>
      </c>
      <c r="G1070" s="59" t="str">
        <f aca="false">IFERROR(IF([2]对账明细接口!$G$1070=0,"",[2]对账明细接口!$G$1070),"")</f>
        <v/>
      </c>
      <c r="H1070" s="60" t="str">
        <f aca="false">IFERROR(IF([2]对账明细接口!$H$1070=0,"",[2]对账明细接口!$H$1070),"")</f>
        <v/>
      </c>
      <c r="I1070" s="59" t="str">
        <f aca="false">IFERROR(IF([2]对账明细接口!$I$1070=0,"",[2]对账明细接口!$I$1070),"")</f>
        <v/>
      </c>
      <c r="J1070" s="61" t="str">
        <f aca="false">IFERROR(IF([2]对账明细接口!$J$1070=0,"",[2]对账明细接口!$J$1070),"")</f>
        <v/>
      </c>
      <c r="K1070" s="61" t="str">
        <f aca="false">IFERROR(IF([2]对账明细接口!$K$1070=0,"",[2]对账明细接口!$K$1070),"")</f>
        <v/>
      </c>
      <c r="L1070" s="59" t="str">
        <f aca="false">IFERROR(IF([2]对账明细接口!$L$1070=0,"",[2]对账明细接口!$L$1070),"")</f>
        <v/>
      </c>
      <c r="M1070" s="59" t="str">
        <f aca="false">IFERROR(IF([2]对账明细接口!$M$1070=0,"",[2]对账明细接口!$M$1070),"")</f>
        <v/>
      </c>
      <c r="N1070" s="111" t="n">
        <f aca="false">IF($C1070="",0,1)</f>
        <v>0</v>
      </c>
      <c r="O1070" s="111" t="n">
        <f aca="false">N(O1069)+$N1070</f>
        <v>311</v>
      </c>
      <c r="S1070" s="10" t="str">
        <f aca="false">IFERROR(IF([2]对账明细接口!$N1070=0,"",[2]对账明细接口!$N1070),"")</f>
        <v/>
      </c>
      <c r="T1070" s="112" t="str">
        <f aca="false">IFERROR(IF([2]对账明细接口!$O1070=0,"",[2]对账明细接口!$O1070),"")</f>
        <v/>
      </c>
      <c r="U1070" s="112" t="str">
        <f aca="false">IFERROR(IF([2]对账明细接口!$P1070=0,"",[2]对账明细接口!$P1070),"")</f>
        <v/>
      </c>
      <c r="V1070" s="112" t="str">
        <f aca="false">IFERROR(IF([2]对账明细接口!$Q1070=0,"",[2]对账明细接口!$Q1070),"")</f>
        <v/>
      </c>
      <c r="W1070" s="10" t="str">
        <f aca="false">IFERROR(IF([2]对账明细接口!$R1070=0,"",[2]对账明细接口!$R1070),"")</f>
        <v/>
      </c>
      <c r="X1070" s="10" t="str">
        <f aca="false">IFERROR(IF([2]对账明细接口!$S1070=0,"",[2]对账明细接口!$S1070),"")</f>
        <v/>
      </c>
      <c r="Y1070" s="10" t="str">
        <f aca="false">IFERROR(IF([2]对账明细接口!$T1070=0,"",[2]对账明细接口!$T1070),"")</f>
        <v/>
      </c>
      <c r="Z1070" s="113" t="str">
        <f aca="false">IFERROR(IF([2]对账明细接口!$U1070=0,"",[2]对账明细接口!$U1070),"")</f>
        <v/>
      </c>
      <c r="AA1070" s="113" t="str">
        <f aca="false">IFERROR(IF([2]对账明细接口!$V1070=0,"",[2]对账明细接口!$V1070),"")</f>
        <v/>
      </c>
      <c r="AB1070" s="10" t="str">
        <f aca="false">IFERROR(IF([2]对账明细接口!$W1070=0,"",[2]对账明细接口!$W1070),"")</f>
        <v/>
      </c>
      <c r="AC1070" s="90" t="str">
        <f aca="false">IFERROR(IF([2]对账明细接口!$X1071=0,"",[2]对账明细接口!$X1071),"")</f>
        <v/>
      </c>
      <c r="AD1070" s="90" t="str">
        <f aca="false">IFERROR(IF([2]对账明细接口!$Y1071=0,"",[2]对账明细接口!$Y1071),"")</f>
        <v/>
      </c>
      <c r="AE1070" s="90" t="str">
        <f aca="false">IFERROR(IF([2]对账明细接口!$AA1071=0,"",[2]对账明细接口!$AA1071),"")</f>
        <v/>
      </c>
      <c r="AF1070" s="90" t="str">
        <f aca="false">IFERROR(IF([2]对账明细接口!$AB1071=0,"",[2]对账明细接口!$AB1071),"")</f>
        <v/>
      </c>
      <c r="AG1070" s="90" t="str">
        <f aca="false">IFERROR(IF([2]对账明细接口!$AC1071=0,"",[2]对账明细接口!$AC1071),"")</f>
        <v/>
      </c>
      <c r="AH1070" s="90" t="str">
        <f aca="false">IFERROR(IF([2]对账明细接口!$AD1071=0,"",[2]对账明细接口!$AD1071),"")</f>
        <v/>
      </c>
    </row>
    <row r="1071" customFormat="false" ht="13.5" hidden="false" customHeight="false" outlineLevel="0" collapsed="false">
      <c r="A1071" s="109" t="n">
        <v>1071</v>
      </c>
      <c r="B1071" s="110" t="str">
        <f aca="false">IFERROR(IF([2]对账明细接口!$B$1071=0,"",[2]对账明细接口!$B$1071),"")</f>
        <v/>
      </c>
      <c r="C1071" s="59" t="str">
        <f aca="false">IFERROR(IF([2]对账明细接口!$C$1071=0,"",[2]对账明细接口!$C$1071),"")</f>
        <v/>
      </c>
      <c r="D1071" s="59" t="str">
        <f aca="false">IFERROR(IF([2]对账明细接口!$D$1071=0,"",[2]对账明细接口!$D$1071),"")</f>
        <v/>
      </c>
      <c r="E1071" s="59" t="str">
        <f aca="false">IFERROR(IF([2]对账明细接口!$E$1071=0,"",[2]对账明细接口!$E$1071),"")</f>
        <v/>
      </c>
      <c r="F1071" s="59" t="str">
        <f aca="false">IFERROR(IF([2]对账明细接口!$F$1071=0,"",[2]对账明细接口!$F$1071),"")</f>
        <v/>
      </c>
      <c r="G1071" s="59" t="str">
        <f aca="false">IFERROR(IF([2]对账明细接口!$G$1071=0,"",[2]对账明细接口!$G$1071),"")</f>
        <v/>
      </c>
      <c r="H1071" s="60" t="str">
        <f aca="false">IFERROR(IF([2]对账明细接口!$H$1071=0,"",[2]对账明细接口!$H$1071),"")</f>
        <v/>
      </c>
      <c r="I1071" s="59" t="str">
        <f aca="false">IFERROR(IF([2]对账明细接口!$I$1071=0,"",[2]对账明细接口!$I$1071),"")</f>
        <v/>
      </c>
      <c r="J1071" s="61" t="str">
        <f aca="false">IFERROR(IF([2]对账明细接口!$J$1071=0,"",[2]对账明细接口!$J$1071),"")</f>
        <v/>
      </c>
      <c r="K1071" s="61" t="str">
        <f aca="false">IFERROR(IF([2]对账明细接口!$K$1071=0,"",[2]对账明细接口!$K$1071),"")</f>
        <v/>
      </c>
      <c r="L1071" s="59" t="str">
        <f aca="false">IFERROR(IF([2]对账明细接口!$L$1071=0,"",[2]对账明细接口!$L$1071),"")</f>
        <v/>
      </c>
      <c r="M1071" s="59" t="str">
        <f aca="false">IFERROR(IF([2]对账明细接口!$M$1071=0,"",[2]对账明细接口!$M$1071),"")</f>
        <v/>
      </c>
      <c r="N1071" s="111" t="n">
        <f aca="false">IF($C1071="",0,1)</f>
        <v>0</v>
      </c>
      <c r="O1071" s="111" t="n">
        <f aca="false">N(O1070)+$N1071</f>
        <v>311</v>
      </c>
      <c r="S1071" s="10" t="str">
        <f aca="false">IFERROR(IF([2]对账明细接口!$N1071=0,"",[2]对账明细接口!$N1071),"")</f>
        <v/>
      </c>
      <c r="T1071" s="112" t="str">
        <f aca="false">IFERROR(IF([2]对账明细接口!$O1071=0,"",[2]对账明细接口!$O1071),"")</f>
        <v/>
      </c>
      <c r="U1071" s="112" t="str">
        <f aca="false">IFERROR(IF([2]对账明细接口!$P1071=0,"",[2]对账明细接口!$P1071),"")</f>
        <v/>
      </c>
      <c r="V1071" s="112" t="str">
        <f aca="false">IFERROR(IF([2]对账明细接口!$Q1071=0,"",[2]对账明细接口!$Q1071),"")</f>
        <v/>
      </c>
      <c r="W1071" s="10" t="str">
        <f aca="false">IFERROR(IF([2]对账明细接口!$R1071=0,"",[2]对账明细接口!$R1071),"")</f>
        <v/>
      </c>
      <c r="X1071" s="10" t="str">
        <f aca="false">IFERROR(IF([2]对账明细接口!$S1071=0,"",[2]对账明细接口!$S1071),"")</f>
        <v/>
      </c>
      <c r="Y1071" s="10" t="str">
        <f aca="false">IFERROR(IF([2]对账明细接口!$T1071=0,"",[2]对账明细接口!$T1071),"")</f>
        <v/>
      </c>
      <c r="Z1071" s="113" t="str">
        <f aca="false">IFERROR(IF([2]对账明细接口!$U1071=0,"",[2]对账明细接口!$U1071),"")</f>
        <v/>
      </c>
      <c r="AA1071" s="113" t="str">
        <f aca="false">IFERROR(IF([2]对账明细接口!$V1071=0,"",[2]对账明细接口!$V1071),"")</f>
        <v/>
      </c>
      <c r="AB1071" s="10" t="str">
        <f aca="false">IFERROR(IF([2]对账明细接口!$W1071=0,"",[2]对账明细接口!$W1071),"")</f>
        <v/>
      </c>
      <c r="AC1071" s="90" t="str">
        <f aca="false">IFERROR(IF([2]对账明细接口!$X1072=0,"",[2]对账明细接口!$X1072),"")</f>
        <v/>
      </c>
      <c r="AD1071" s="90" t="str">
        <f aca="false">IFERROR(IF([2]对账明细接口!$Y1072=0,"",[2]对账明细接口!$Y1072),"")</f>
        <v/>
      </c>
      <c r="AE1071" s="90" t="str">
        <f aca="false">IFERROR(IF([2]对账明细接口!$AA1072=0,"",[2]对账明细接口!$AA1072),"")</f>
        <v/>
      </c>
      <c r="AF1071" s="90" t="str">
        <f aca="false">IFERROR(IF([2]对账明细接口!$AB1072=0,"",[2]对账明细接口!$AB1072),"")</f>
        <v/>
      </c>
      <c r="AG1071" s="90" t="str">
        <f aca="false">IFERROR(IF([2]对账明细接口!$AC1072=0,"",[2]对账明细接口!$AC1072),"")</f>
        <v/>
      </c>
      <c r="AH1071" s="90" t="str">
        <f aca="false">IFERROR(IF([2]对账明细接口!$AD1072=0,"",[2]对账明细接口!$AD1072),"")</f>
        <v/>
      </c>
    </row>
    <row r="1072" customFormat="false" ht="13.5" hidden="false" customHeight="false" outlineLevel="0" collapsed="false">
      <c r="A1072" s="109" t="n">
        <v>1072</v>
      </c>
      <c r="B1072" s="110" t="str">
        <f aca="false">IFERROR(IF([2]对账明细接口!$B$1072=0,"",[2]对账明细接口!$B$1072),"")</f>
        <v/>
      </c>
      <c r="C1072" s="59" t="str">
        <f aca="false">IFERROR(IF([2]对账明细接口!$C$1072=0,"",[2]对账明细接口!$C$1072),"")</f>
        <v/>
      </c>
      <c r="D1072" s="59" t="str">
        <f aca="false">IFERROR(IF([2]对账明细接口!$D$1072=0,"",[2]对账明细接口!$D$1072),"")</f>
        <v/>
      </c>
      <c r="E1072" s="59" t="str">
        <f aca="false">IFERROR(IF([2]对账明细接口!$E$1072=0,"",[2]对账明细接口!$E$1072),"")</f>
        <v/>
      </c>
      <c r="F1072" s="59" t="str">
        <f aca="false">IFERROR(IF([2]对账明细接口!$F$1072=0,"",[2]对账明细接口!$F$1072),"")</f>
        <v/>
      </c>
      <c r="G1072" s="59" t="str">
        <f aca="false">IFERROR(IF([2]对账明细接口!$G$1072=0,"",[2]对账明细接口!$G$1072),"")</f>
        <v/>
      </c>
      <c r="H1072" s="60" t="str">
        <f aca="false">IFERROR(IF([2]对账明细接口!$H$1072=0,"",[2]对账明细接口!$H$1072),"")</f>
        <v/>
      </c>
      <c r="I1072" s="59" t="str">
        <f aca="false">IFERROR(IF([2]对账明细接口!$I$1072=0,"",[2]对账明细接口!$I$1072),"")</f>
        <v/>
      </c>
      <c r="J1072" s="61" t="str">
        <f aca="false">IFERROR(IF([2]对账明细接口!$J$1072=0,"",[2]对账明细接口!$J$1072),"")</f>
        <v/>
      </c>
      <c r="K1072" s="61" t="str">
        <f aca="false">IFERROR(IF([2]对账明细接口!$K$1072=0,"",[2]对账明细接口!$K$1072),"")</f>
        <v/>
      </c>
      <c r="L1072" s="59" t="str">
        <f aca="false">IFERROR(IF([2]对账明细接口!$L$1072=0,"",[2]对账明细接口!$L$1072),"")</f>
        <v/>
      </c>
      <c r="M1072" s="59" t="str">
        <f aca="false">IFERROR(IF([2]对账明细接口!$M$1072=0,"",[2]对账明细接口!$M$1072),"")</f>
        <v/>
      </c>
      <c r="N1072" s="111" t="n">
        <f aca="false">IF($C1072="",0,1)</f>
        <v>0</v>
      </c>
      <c r="O1072" s="111" t="n">
        <f aca="false">N(O1071)+$N1072</f>
        <v>311</v>
      </c>
      <c r="S1072" s="10" t="str">
        <f aca="false">IFERROR(IF([2]对账明细接口!$N1072=0,"",[2]对账明细接口!$N1072),"")</f>
        <v/>
      </c>
      <c r="T1072" s="112" t="str">
        <f aca="false">IFERROR(IF([2]对账明细接口!$O1072=0,"",[2]对账明细接口!$O1072),"")</f>
        <v/>
      </c>
      <c r="U1072" s="112" t="str">
        <f aca="false">IFERROR(IF([2]对账明细接口!$P1072=0,"",[2]对账明细接口!$P1072),"")</f>
        <v/>
      </c>
      <c r="V1072" s="112" t="str">
        <f aca="false">IFERROR(IF([2]对账明细接口!$Q1072=0,"",[2]对账明细接口!$Q1072),"")</f>
        <v/>
      </c>
      <c r="W1072" s="10" t="str">
        <f aca="false">IFERROR(IF([2]对账明细接口!$R1072=0,"",[2]对账明细接口!$R1072),"")</f>
        <v/>
      </c>
      <c r="X1072" s="10" t="str">
        <f aca="false">IFERROR(IF([2]对账明细接口!$S1072=0,"",[2]对账明细接口!$S1072),"")</f>
        <v/>
      </c>
      <c r="Y1072" s="10" t="str">
        <f aca="false">IFERROR(IF([2]对账明细接口!$T1072=0,"",[2]对账明细接口!$T1072),"")</f>
        <v/>
      </c>
      <c r="Z1072" s="113" t="str">
        <f aca="false">IFERROR(IF([2]对账明细接口!$U1072=0,"",[2]对账明细接口!$U1072),"")</f>
        <v/>
      </c>
      <c r="AA1072" s="113" t="str">
        <f aca="false">IFERROR(IF([2]对账明细接口!$V1072=0,"",[2]对账明细接口!$V1072),"")</f>
        <v/>
      </c>
      <c r="AB1072" s="10" t="str">
        <f aca="false">IFERROR(IF([2]对账明细接口!$W1072=0,"",[2]对账明细接口!$W1072),"")</f>
        <v/>
      </c>
      <c r="AC1072" s="90" t="str">
        <f aca="false">IFERROR(IF([2]对账明细接口!$X1073=0,"",[2]对账明细接口!$X1073),"")</f>
        <v/>
      </c>
      <c r="AD1072" s="90" t="str">
        <f aca="false">IFERROR(IF([2]对账明细接口!$Y1073=0,"",[2]对账明细接口!$Y1073),"")</f>
        <v/>
      </c>
      <c r="AE1072" s="90" t="str">
        <f aca="false">IFERROR(IF([2]对账明细接口!$AA1073=0,"",[2]对账明细接口!$AA1073),"")</f>
        <v/>
      </c>
      <c r="AF1072" s="90" t="str">
        <f aca="false">IFERROR(IF([2]对账明细接口!$AB1073=0,"",[2]对账明细接口!$AB1073),"")</f>
        <v/>
      </c>
      <c r="AG1072" s="90" t="str">
        <f aca="false">IFERROR(IF([2]对账明细接口!$AC1073=0,"",[2]对账明细接口!$AC1073),"")</f>
        <v/>
      </c>
      <c r="AH1072" s="90" t="str">
        <f aca="false">IFERROR(IF([2]对账明细接口!$AD1073=0,"",[2]对账明细接口!$AD1073),"")</f>
        <v/>
      </c>
    </row>
    <row r="1073" customFormat="false" ht="13.5" hidden="false" customHeight="false" outlineLevel="0" collapsed="false">
      <c r="A1073" s="109" t="n">
        <v>1073</v>
      </c>
      <c r="B1073" s="110" t="str">
        <f aca="false">IFERROR(IF([2]对账明细接口!$B$1073=0,"",[2]对账明细接口!$B$1073),"")</f>
        <v/>
      </c>
      <c r="C1073" s="59" t="str">
        <f aca="false">IFERROR(IF([2]对账明细接口!$C$1073=0,"",[2]对账明细接口!$C$1073),"")</f>
        <v/>
      </c>
      <c r="D1073" s="59" t="str">
        <f aca="false">IFERROR(IF([2]对账明细接口!$D$1073=0,"",[2]对账明细接口!$D$1073),"")</f>
        <v/>
      </c>
      <c r="E1073" s="59" t="str">
        <f aca="false">IFERROR(IF([2]对账明细接口!$E$1073=0,"",[2]对账明细接口!$E$1073),"")</f>
        <v/>
      </c>
      <c r="F1073" s="59" t="str">
        <f aca="false">IFERROR(IF([2]对账明细接口!$F$1073=0,"",[2]对账明细接口!$F$1073),"")</f>
        <v/>
      </c>
      <c r="G1073" s="59" t="str">
        <f aca="false">IFERROR(IF([2]对账明细接口!$G$1073=0,"",[2]对账明细接口!$G$1073),"")</f>
        <v/>
      </c>
      <c r="H1073" s="60" t="str">
        <f aca="false">IFERROR(IF([2]对账明细接口!$H$1073=0,"",[2]对账明细接口!$H$1073),"")</f>
        <v/>
      </c>
      <c r="I1073" s="59" t="str">
        <f aca="false">IFERROR(IF([2]对账明细接口!$I$1073=0,"",[2]对账明细接口!$I$1073),"")</f>
        <v/>
      </c>
      <c r="J1073" s="61" t="str">
        <f aca="false">IFERROR(IF([2]对账明细接口!$J$1073=0,"",[2]对账明细接口!$J$1073),"")</f>
        <v/>
      </c>
      <c r="K1073" s="61" t="str">
        <f aca="false">IFERROR(IF([2]对账明细接口!$K$1073=0,"",[2]对账明细接口!$K$1073),"")</f>
        <v/>
      </c>
      <c r="L1073" s="59" t="str">
        <f aca="false">IFERROR(IF([2]对账明细接口!$L$1073=0,"",[2]对账明细接口!$L$1073),"")</f>
        <v/>
      </c>
      <c r="M1073" s="59" t="str">
        <f aca="false">IFERROR(IF([2]对账明细接口!$M$1073=0,"",[2]对账明细接口!$M$1073),"")</f>
        <v/>
      </c>
      <c r="N1073" s="111" t="n">
        <f aca="false">IF($C1073="",0,1)</f>
        <v>0</v>
      </c>
      <c r="O1073" s="111" t="n">
        <f aca="false">N(O1072)+$N1073</f>
        <v>311</v>
      </c>
      <c r="S1073" s="10" t="str">
        <f aca="false">IFERROR(IF([2]对账明细接口!$N1073=0,"",[2]对账明细接口!$N1073),"")</f>
        <v/>
      </c>
      <c r="T1073" s="112" t="str">
        <f aca="false">IFERROR(IF([2]对账明细接口!$O1073=0,"",[2]对账明细接口!$O1073),"")</f>
        <v/>
      </c>
      <c r="U1073" s="112" t="str">
        <f aca="false">IFERROR(IF([2]对账明细接口!$P1073=0,"",[2]对账明细接口!$P1073),"")</f>
        <v/>
      </c>
      <c r="V1073" s="112" t="str">
        <f aca="false">IFERROR(IF([2]对账明细接口!$Q1073=0,"",[2]对账明细接口!$Q1073),"")</f>
        <v/>
      </c>
      <c r="W1073" s="10" t="str">
        <f aca="false">IFERROR(IF([2]对账明细接口!$R1073=0,"",[2]对账明细接口!$R1073),"")</f>
        <v/>
      </c>
      <c r="X1073" s="10" t="str">
        <f aca="false">IFERROR(IF([2]对账明细接口!$S1073=0,"",[2]对账明细接口!$S1073),"")</f>
        <v/>
      </c>
      <c r="Y1073" s="10" t="str">
        <f aca="false">IFERROR(IF([2]对账明细接口!$T1073=0,"",[2]对账明细接口!$T1073),"")</f>
        <v/>
      </c>
      <c r="Z1073" s="113" t="str">
        <f aca="false">IFERROR(IF([2]对账明细接口!$U1073=0,"",[2]对账明细接口!$U1073),"")</f>
        <v/>
      </c>
      <c r="AA1073" s="113" t="str">
        <f aca="false">IFERROR(IF([2]对账明细接口!$V1073=0,"",[2]对账明细接口!$V1073),"")</f>
        <v/>
      </c>
      <c r="AB1073" s="10" t="str">
        <f aca="false">IFERROR(IF([2]对账明细接口!$W1073=0,"",[2]对账明细接口!$W1073),"")</f>
        <v/>
      </c>
      <c r="AC1073" s="90" t="str">
        <f aca="false">IFERROR(IF([2]对账明细接口!$X1074=0,"",[2]对账明细接口!$X1074),"")</f>
        <v/>
      </c>
      <c r="AD1073" s="90" t="str">
        <f aca="false">IFERROR(IF([2]对账明细接口!$Y1074=0,"",[2]对账明细接口!$Y1074),"")</f>
        <v/>
      </c>
      <c r="AE1073" s="90" t="str">
        <f aca="false">IFERROR(IF([2]对账明细接口!$AA1074=0,"",[2]对账明细接口!$AA1074),"")</f>
        <v/>
      </c>
      <c r="AF1073" s="90" t="str">
        <f aca="false">IFERROR(IF([2]对账明细接口!$AB1074=0,"",[2]对账明细接口!$AB1074),"")</f>
        <v/>
      </c>
      <c r="AG1073" s="90" t="str">
        <f aca="false">IFERROR(IF([2]对账明细接口!$AC1074=0,"",[2]对账明细接口!$AC1074),"")</f>
        <v/>
      </c>
      <c r="AH1073" s="90" t="str">
        <f aca="false">IFERROR(IF([2]对账明细接口!$AD1074=0,"",[2]对账明细接口!$AD1074),"")</f>
        <v/>
      </c>
    </row>
    <row r="1074" customFormat="false" ht="13.5" hidden="false" customHeight="false" outlineLevel="0" collapsed="false">
      <c r="A1074" s="109" t="n">
        <v>1074</v>
      </c>
      <c r="B1074" s="110" t="str">
        <f aca="false">IFERROR(IF([2]对账明细接口!$B$1074=0,"",[2]对账明细接口!$B$1074),"")</f>
        <v/>
      </c>
      <c r="C1074" s="59" t="str">
        <f aca="false">IFERROR(IF([2]对账明细接口!$C$1074=0,"",[2]对账明细接口!$C$1074),"")</f>
        <v/>
      </c>
      <c r="D1074" s="59" t="str">
        <f aca="false">IFERROR(IF([2]对账明细接口!$D$1074=0,"",[2]对账明细接口!$D$1074),"")</f>
        <v/>
      </c>
      <c r="E1074" s="59" t="str">
        <f aca="false">IFERROR(IF([2]对账明细接口!$E$1074=0,"",[2]对账明细接口!$E$1074),"")</f>
        <v/>
      </c>
      <c r="F1074" s="59" t="str">
        <f aca="false">IFERROR(IF([2]对账明细接口!$F$1074=0,"",[2]对账明细接口!$F$1074),"")</f>
        <v/>
      </c>
      <c r="G1074" s="59" t="str">
        <f aca="false">IFERROR(IF([2]对账明细接口!$G$1074=0,"",[2]对账明细接口!$G$1074),"")</f>
        <v/>
      </c>
      <c r="H1074" s="60" t="str">
        <f aca="false">IFERROR(IF([2]对账明细接口!$H$1074=0,"",[2]对账明细接口!$H$1074),"")</f>
        <v/>
      </c>
      <c r="I1074" s="59" t="str">
        <f aca="false">IFERROR(IF([2]对账明细接口!$I$1074=0,"",[2]对账明细接口!$I$1074),"")</f>
        <v/>
      </c>
      <c r="J1074" s="61" t="str">
        <f aca="false">IFERROR(IF([2]对账明细接口!$J$1074=0,"",[2]对账明细接口!$J$1074),"")</f>
        <v/>
      </c>
      <c r="K1074" s="61" t="str">
        <f aca="false">IFERROR(IF([2]对账明细接口!$K$1074=0,"",[2]对账明细接口!$K$1074),"")</f>
        <v/>
      </c>
      <c r="L1074" s="59" t="str">
        <f aca="false">IFERROR(IF([2]对账明细接口!$L$1074=0,"",[2]对账明细接口!$L$1074),"")</f>
        <v/>
      </c>
      <c r="M1074" s="59" t="str">
        <f aca="false">IFERROR(IF([2]对账明细接口!$M$1074=0,"",[2]对账明细接口!$M$1074),"")</f>
        <v/>
      </c>
      <c r="N1074" s="111" t="n">
        <f aca="false">IF($C1074="",0,1)</f>
        <v>0</v>
      </c>
      <c r="O1074" s="111" t="n">
        <f aca="false">N(O1073)+$N1074</f>
        <v>311</v>
      </c>
      <c r="S1074" s="10" t="str">
        <f aca="false">IFERROR(IF([2]对账明细接口!$N1074=0,"",[2]对账明细接口!$N1074),"")</f>
        <v/>
      </c>
      <c r="T1074" s="112" t="str">
        <f aca="false">IFERROR(IF([2]对账明细接口!$O1074=0,"",[2]对账明细接口!$O1074),"")</f>
        <v/>
      </c>
      <c r="U1074" s="112" t="str">
        <f aca="false">IFERROR(IF([2]对账明细接口!$P1074=0,"",[2]对账明细接口!$P1074),"")</f>
        <v/>
      </c>
      <c r="V1074" s="112" t="str">
        <f aca="false">IFERROR(IF([2]对账明细接口!$Q1074=0,"",[2]对账明细接口!$Q1074),"")</f>
        <v/>
      </c>
      <c r="W1074" s="10" t="str">
        <f aca="false">IFERROR(IF([2]对账明细接口!$R1074=0,"",[2]对账明细接口!$R1074),"")</f>
        <v/>
      </c>
      <c r="X1074" s="10" t="str">
        <f aca="false">IFERROR(IF([2]对账明细接口!$S1074=0,"",[2]对账明细接口!$S1074),"")</f>
        <v/>
      </c>
      <c r="Y1074" s="10" t="str">
        <f aca="false">IFERROR(IF([2]对账明细接口!$T1074=0,"",[2]对账明细接口!$T1074),"")</f>
        <v/>
      </c>
      <c r="Z1074" s="113" t="str">
        <f aca="false">IFERROR(IF([2]对账明细接口!$U1074=0,"",[2]对账明细接口!$U1074),"")</f>
        <v/>
      </c>
      <c r="AA1074" s="113" t="str">
        <f aca="false">IFERROR(IF([2]对账明细接口!$V1074=0,"",[2]对账明细接口!$V1074),"")</f>
        <v/>
      </c>
      <c r="AB1074" s="10" t="str">
        <f aca="false">IFERROR(IF([2]对账明细接口!$W1074=0,"",[2]对账明细接口!$W1074),"")</f>
        <v/>
      </c>
      <c r="AC1074" s="90" t="str">
        <f aca="false">IFERROR(IF([2]对账明细接口!$X1075=0,"",[2]对账明细接口!$X1075),"")</f>
        <v/>
      </c>
      <c r="AD1074" s="90" t="str">
        <f aca="false">IFERROR(IF([2]对账明细接口!$Y1075=0,"",[2]对账明细接口!$Y1075),"")</f>
        <v/>
      </c>
      <c r="AE1074" s="90" t="str">
        <f aca="false">IFERROR(IF([2]对账明细接口!$AA1075=0,"",[2]对账明细接口!$AA1075),"")</f>
        <v/>
      </c>
      <c r="AF1074" s="90" t="str">
        <f aca="false">IFERROR(IF([2]对账明细接口!$AB1075=0,"",[2]对账明细接口!$AB1075),"")</f>
        <v/>
      </c>
      <c r="AG1074" s="90" t="str">
        <f aca="false">IFERROR(IF([2]对账明细接口!$AC1075=0,"",[2]对账明细接口!$AC1075),"")</f>
        <v/>
      </c>
      <c r="AH1074" s="90" t="str">
        <f aca="false">IFERROR(IF([2]对账明细接口!$AD1075=0,"",[2]对账明细接口!$AD1075),"")</f>
        <v/>
      </c>
    </row>
    <row r="1075" customFormat="false" ht="13.5" hidden="false" customHeight="false" outlineLevel="0" collapsed="false">
      <c r="A1075" s="109" t="n">
        <v>1075</v>
      </c>
      <c r="B1075" s="110" t="str">
        <f aca="false">IFERROR(IF([2]对账明细接口!$B$1075=0,"",[2]对账明细接口!$B$1075),"")</f>
        <v/>
      </c>
      <c r="C1075" s="59" t="str">
        <f aca="false">IFERROR(IF([2]对账明细接口!$C$1075=0,"",[2]对账明细接口!$C$1075),"")</f>
        <v/>
      </c>
      <c r="D1075" s="59" t="str">
        <f aca="false">IFERROR(IF([2]对账明细接口!$D$1075=0,"",[2]对账明细接口!$D$1075),"")</f>
        <v/>
      </c>
      <c r="E1075" s="59" t="str">
        <f aca="false">IFERROR(IF([2]对账明细接口!$E$1075=0,"",[2]对账明细接口!$E$1075),"")</f>
        <v/>
      </c>
      <c r="F1075" s="59" t="str">
        <f aca="false">IFERROR(IF([2]对账明细接口!$F$1075=0,"",[2]对账明细接口!$F$1075),"")</f>
        <v/>
      </c>
      <c r="G1075" s="59" t="str">
        <f aca="false">IFERROR(IF([2]对账明细接口!$G$1075=0,"",[2]对账明细接口!$G$1075),"")</f>
        <v/>
      </c>
      <c r="H1075" s="60" t="str">
        <f aca="false">IFERROR(IF([2]对账明细接口!$H$1075=0,"",[2]对账明细接口!$H$1075),"")</f>
        <v/>
      </c>
      <c r="I1075" s="59" t="str">
        <f aca="false">IFERROR(IF([2]对账明细接口!$I$1075=0,"",[2]对账明细接口!$I$1075),"")</f>
        <v/>
      </c>
      <c r="J1075" s="61" t="str">
        <f aca="false">IFERROR(IF([2]对账明细接口!$J$1075=0,"",[2]对账明细接口!$J$1075),"")</f>
        <v/>
      </c>
      <c r="K1075" s="61" t="str">
        <f aca="false">IFERROR(IF([2]对账明细接口!$K$1075=0,"",[2]对账明细接口!$K$1075),"")</f>
        <v/>
      </c>
      <c r="L1075" s="59" t="str">
        <f aca="false">IFERROR(IF([2]对账明细接口!$L$1075=0,"",[2]对账明细接口!$L$1075),"")</f>
        <v/>
      </c>
      <c r="M1075" s="59" t="str">
        <f aca="false">IFERROR(IF([2]对账明细接口!$M$1075=0,"",[2]对账明细接口!$M$1075),"")</f>
        <v/>
      </c>
      <c r="N1075" s="111" t="n">
        <f aca="false">IF($C1075="",0,1)</f>
        <v>0</v>
      </c>
      <c r="O1075" s="111" t="n">
        <f aca="false">N(O1074)+$N1075</f>
        <v>311</v>
      </c>
      <c r="S1075" s="10" t="str">
        <f aca="false">IFERROR(IF([2]对账明细接口!$N1075=0,"",[2]对账明细接口!$N1075),"")</f>
        <v/>
      </c>
      <c r="T1075" s="112" t="str">
        <f aca="false">IFERROR(IF([2]对账明细接口!$O1075=0,"",[2]对账明细接口!$O1075),"")</f>
        <v/>
      </c>
      <c r="U1075" s="112" t="str">
        <f aca="false">IFERROR(IF([2]对账明细接口!$P1075=0,"",[2]对账明细接口!$P1075),"")</f>
        <v/>
      </c>
      <c r="V1075" s="112" t="str">
        <f aca="false">IFERROR(IF([2]对账明细接口!$Q1075=0,"",[2]对账明细接口!$Q1075),"")</f>
        <v/>
      </c>
      <c r="W1075" s="10" t="str">
        <f aca="false">IFERROR(IF([2]对账明细接口!$R1075=0,"",[2]对账明细接口!$R1075),"")</f>
        <v/>
      </c>
      <c r="X1075" s="10" t="str">
        <f aca="false">IFERROR(IF([2]对账明细接口!$S1075=0,"",[2]对账明细接口!$S1075),"")</f>
        <v/>
      </c>
      <c r="Y1075" s="10" t="str">
        <f aca="false">IFERROR(IF([2]对账明细接口!$T1075=0,"",[2]对账明细接口!$T1075),"")</f>
        <v/>
      </c>
      <c r="Z1075" s="113" t="str">
        <f aca="false">IFERROR(IF([2]对账明细接口!$U1075=0,"",[2]对账明细接口!$U1075),"")</f>
        <v/>
      </c>
      <c r="AA1075" s="113" t="str">
        <f aca="false">IFERROR(IF([2]对账明细接口!$V1075=0,"",[2]对账明细接口!$V1075),"")</f>
        <v/>
      </c>
      <c r="AB1075" s="10" t="str">
        <f aca="false">IFERROR(IF([2]对账明细接口!$W1075=0,"",[2]对账明细接口!$W1075),"")</f>
        <v/>
      </c>
      <c r="AC1075" s="90" t="str">
        <f aca="false">IFERROR(IF([2]对账明细接口!$X1076=0,"",[2]对账明细接口!$X1076),"")</f>
        <v/>
      </c>
      <c r="AD1075" s="90" t="str">
        <f aca="false">IFERROR(IF([2]对账明细接口!$Y1076=0,"",[2]对账明细接口!$Y1076),"")</f>
        <v/>
      </c>
      <c r="AE1075" s="90" t="str">
        <f aca="false">IFERROR(IF([2]对账明细接口!$AA1076=0,"",[2]对账明细接口!$AA1076),"")</f>
        <v/>
      </c>
      <c r="AF1075" s="90" t="str">
        <f aca="false">IFERROR(IF([2]对账明细接口!$AB1076=0,"",[2]对账明细接口!$AB1076),"")</f>
        <v/>
      </c>
      <c r="AG1075" s="90" t="str">
        <f aca="false">IFERROR(IF([2]对账明细接口!$AC1076=0,"",[2]对账明细接口!$AC1076),"")</f>
        <v/>
      </c>
      <c r="AH1075" s="90" t="str">
        <f aca="false">IFERROR(IF([2]对账明细接口!$AD1076=0,"",[2]对账明细接口!$AD1076),"")</f>
        <v/>
      </c>
    </row>
    <row r="1076" customFormat="false" ht="13.5" hidden="false" customHeight="false" outlineLevel="0" collapsed="false">
      <c r="A1076" s="109" t="n">
        <v>1076</v>
      </c>
      <c r="B1076" s="110" t="str">
        <f aca="false">IFERROR(IF([2]对账明细接口!$B$1076=0,"",[2]对账明细接口!$B$1076),"")</f>
        <v/>
      </c>
      <c r="C1076" s="59" t="str">
        <f aca="false">IFERROR(IF([2]对账明细接口!$C$1076=0,"",[2]对账明细接口!$C$1076),"")</f>
        <v/>
      </c>
      <c r="D1076" s="59" t="str">
        <f aca="false">IFERROR(IF([2]对账明细接口!$D$1076=0,"",[2]对账明细接口!$D$1076),"")</f>
        <v/>
      </c>
      <c r="E1076" s="59" t="str">
        <f aca="false">IFERROR(IF([2]对账明细接口!$E$1076=0,"",[2]对账明细接口!$E$1076),"")</f>
        <v/>
      </c>
      <c r="F1076" s="59" t="str">
        <f aca="false">IFERROR(IF([2]对账明细接口!$F$1076=0,"",[2]对账明细接口!$F$1076),"")</f>
        <v/>
      </c>
      <c r="G1076" s="59" t="str">
        <f aca="false">IFERROR(IF([2]对账明细接口!$G$1076=0,"",[2]对账明细接口!$G$1076),"")</f>
        <v/>
      </c>
      <c r="H1076" s="60" t="str">
        <f aca="false">IFERROR(IF([2]对账明细接口!$H$1076=0,"",[2]对账明细接口!$H$1076),"")</f>
        <v/>
      </c>
      <c r="I1076" s="59" t="str">
        <f aca="false">IFERROR(IF([2]对账明细接口!$I$1076=0,"",[2]对账明细接口!$I$1076),"")</f>
        <v/>
      </c>
      <c r="J1076" s="61" t="str">
        <f aca="false">IFERROR(IF([2]对账明细接口!$J$1076=0,"",[2]对账明细接口!$J$1076),"")</f>
        <v/>
      </c>
      <c r="K1076" s="61" t="str">
        <f aca="false">IFERROR(IF([2]对账明细接口!$K$1076=0,"",[2]对账明细接口!$K$1076),"")</f>
        <v/>
      </c>
      <c r="L1076" s="59" t="str">
        <f aca="false">IFERROR(IF([2]对账明细接口!$L$1076=0,"",[2]对账明细接口!$L$1076),"")</f>
        <v/>
      </c>
      <c r="M1076" s="59" t="str">
        <f aca="false">IFERROR(IF([2]对账明细接口!$M$1076=0,"",[2]对账明细接口!$M$1076),"")</f>
        <v/>
      </c>
      <c r="N1076" s="111" t="n">
        <f aca="false">IF($C1076="",0,1)</f>
        <v>0</v>
      </c>
      <c r="O1076" s="111" t="n">
        <f aca="false">N(O1075)+$N1076</f>
        <v>311</v>
      </c>
      <c r="S1076" s="10" t="str">
        <f aca="false">IFERROR(IF([2]对账明细接口!$N1076=0,"",[2]对账明细接口!$N1076),"")</f>
        <v/>
      </c>
      <c r="T1076" s="112" t="str">
        <f aca="false">IFERROR(IF([2]对账明细接口!$O1076=0,"",[2]对账明细接口!$O1076),"")</f>
        <v/>
      </c>
      <c r="U1076" s="112" t="str">
        <f aca="false">IFERROR(IF([2]对账明细接口!$P1076=0,"",[2]对账明细接口!$P1076),"")</f>
        <v/>
      </c>
      <c r="V1076" s="112" t="str">
        <f aca="false">IFERROR(IF([2]对账明细接口!$Q1076=0,"",[2]对账明细接口!$Q1076),"")</f>
        <v/>
      </c>
      <c r="W1076" s="10" t="str">
        <f aca="false">IFERROR(IF([2]对账明细接口!$R1076=0,"",[2]对账明细接口!$R1076),"")</f>
        <v/>
      </c>
      <c r="X1076" s="10" t="str">
        <f aca="false">IFERROR(IF([2]对账明细接口!$S1076=0,"",[2]对账明细接口!$S1076),"")</f>
        <v/>
      </c>
      <c r="Y1076" s="10" t="str">
        <f aca="false">IFERROR(IF([2]对账明细接口!$T1076=0,"",[2]对账明细接口!$T1076),"")</f>
        <v/>
      </c>
      <c r="Z1076" s="113" t="str">
        <f aca="false">IFERROR(IF([2]对账明细接口!$U1076=0,"",[2]对账明细接口!$U1076),"")</f>
        <v/>
      </c>
      <c r="AA1076" s="113" t="str">
        <f aca="false">IFERROR(IF([2]对账明细接口!$V1076=0,"",[2]对账明细接口!$V1076),"")</f>
        <v/>
      </c>
      <c r="AB1076" s="10" t="str">
        <f aca="false">IFERROR(IF([2]对账明细接口!$W1076=0,"",[2]对账明细接口!$W1076),"")</f>
        <v/>
      </c>
      <c r="AC1076" s="90" t="str">
        <f aca="false">IFERROR(IF([2]对账明细接口!$X1077=0,"",[2]对账明细接口!$X1077),"")</f>
        <v/>
      </c>
      <c r="AD1076" s="90" t="str">
        <f aca="false">IFERROR(IF([2]对账明细接口!$Y1077=0,"",[2]对账明细接口!$Y1077),"")</f>
        <v/>
      </c>
      <c r="AE1076" s="90" t="str">
        <f aca="false">IFERROR(IF([2]对账明细接口!$AA1077=0,"",[2]对账明细接口!$AA1077),"")</f>
        <v/>
      </c>
      <c r="AF1076" s="90" t="str">
        <f aca="false">IFERROR(IF([2]对账明细接口!$AB1077=0,"",[2]对账明细接口!$AB1077),"")</f>
        <v/>
      </c>
      <c r="AG1076" s="90" t="str">
        <f aca="false">IFERROR(IF([2]对账明细接口!$AC1077=0,"",[2]对账明细接口!$AC1077),"")</f>
        <v/>
      </c>
      <c r="AH1076" s="90" t="str">
        <f aca="false">IFERROR(IF([2]对账明细接口!$AD1077=0,"",[2]对账明细接口!$AD1077),"")</f>
        <v/>
      </c>
    </row>
    <row r="1077" customFormat="false" ht="13.5" hidden="false" customHeight="false" outlineLevel="0" collapsed="false">
      <c r="A1077" s="109" t="n">
        <v>1077</v>
      </c>
      <c r="B1077" s="110" t="str">
        <f aca="false">IFERROR(IF([2]对账明细接口!$B$1077=0,"",[2]对账明细接口!$B$1077),"")</f>
        <v/>
      </c>
      <c r="C1077" s="59" t="str">
        <f aca="false">IFERROR(IF([2]对账明细接口!$C$1077=0,"",[2]对账明细接口!$C$1077),"")</f>
        <v/>
      </c>
      <c r="D1077" s="59" t="str">
        <f aca="false">IFERROR(IF([2]对账明细接口!$D$1077=0,"",[2]对账明细接口!$D$1077),"")</f>
        <v/>
      </c>
      <c r="E1077" s="59" t="str">
        <f aca="false">IFERROR(IF([2]对账明细接口!$E$1077=0,"",[2]对账明细接口!$E$1077),"")</f>
        <v/>
      </c>
      <c r="F1077" s="59" t="str">
        <f aca="false">IFERROR(IF([2]对账明细接口!$F$1077=0,"",[2]对账明细接口!$F$1077),"")</f>
        <v/>
      </c>
      <c r="G1077" s="59" t="str">
        <f aca="false">IFERROR(IF([2]对账明细接口!$G$1077=0,"",[2]对账明细接口!$G$1077),"")</f>
        <v/>
      </c>
      <c r="H1077" s="60" t="str">
        <f aca="false">IFERROR(IF([2]对账明细接口!$H$1077=0,"",[2]对账明细接口!$H$1077),"")</f>
        <v/>
      </c>
      <c r="I1077" s="59" t="str">
        <f aca="false">IFERROR(IF([2]对账明细接口!$I$1077=0,"",[2]对账明细接口!$I$1077),"")</f>
        <v/>
      </c>
      <c r="J1077" s="61" t="str">
        <f aca="false">IFERROR(IF([2]对账明细接口!$J$1077=0,"",[2]对账明细接口!$J$1077),"")</f>
        <v/>
      </c>
      <c r="K1077" s="61" t="str">
        <f aca="false">IFERROR(IF([2]对账明细接口!$K$1077=0,"",[2]对账明细接口!$K$1077),"")</f>
        <v/>
      </c>
      <c r="L1077" s="59" t="str">
        <f aca="false">IFERROR(IF([2]对账明细接口!$L$1077=0,"",[2]对账明细接口!$L$1077),"")</f>
        <v/>
      </c>
      <c r="M1077" s="59" t="str">
        <f aca="false">IFERROR(IF([2]对账明细接口!$M$1077=0,"",[2]对账明细接口!$M$1077),"")</f>
        <v/>
      </c>
      <c r="N1077" s="111" t="n">
        <f aca="false">IF($C1077="",0,1)</f>
        <v>0</v>
      </c>
      <c r="O1077" s="111" t="n">
        <f aca="false">N(O1076)+$N1077</f>
        <v>311</v>
      </c>
      <c r="S1077" s="10" t="str">
        <f aca="false">IFERROR(IF([2]对账明细接口!$N1077=0,"",[2]对账明细接口!$N1077),"")</f>
        <v/>
      </c>
      <c r="T1077" s="112" t="str">
        <f aca="false">IFERROR(IF([2]对账明细接口!$O1077=0,"",[2]对账明细接口!$O1077),"")</f>
        <v/>
      </c>
      <c r="U1077" s="112" t="str">
        <f aca="false">IFERROR(IF([2]对账明细接口!$P1077=0,"",[2]对账明细接口!$P1077),"")</f>
        <v/>
      </c>
      <c r="V1077" s="112" t="str">
        <f aca="false">IFERROR(IF([2]对账明细接口!$Q1077=0,"",[2]对账明细接口!$Q1077),"")</f>
        <v/>
      </c>
      <c r="W1077" s="10" t="str">
        <f aca="false">IFERROR(IF([2]对账明细接口!$R1077=0,"",[2]对账明细接口!$R1077),"")</f>
        <v/>
      </c>
      <c r="X1077" s="10" t="str">
        <f aca="false">IFERROR(IF([2]对账明细接口!$S1077=0,"",[2]对账明细接口!$S1077),"")</f>
        <v/>
      </c>
      <c r="Y1077" s="10" t="str">
        <f aca="false">IFERROR(IF([2]对账明细接口!$T1077=0,"",[2]对账明细接口!$T1077),"")</f>
        <v/>
      </c>
      <c r="Z1077" s="113" t="str">
        <f aca="false">IFERROR(IF([2]对账明细接口!$U1077=0,"",[2]对账明细接口!$U1077),"")</f>
        <v/>
      </c>
      <c r="AA1077" s="113" t="str">
        <f aca="false">IFERROR(IF([2]对账明细接口!$V1077=0,"",[2]对账明细接口!$V1077),"")</f>
        <v/>
      </c>
      <c r="AB1077" s="10" t="str">
        <f aca="false">IFERROR(IF([2]对账明细接口!$W1077=0,"",[2]对账明细接口!$W1077),"")</f>
        <v/>
      </c>
      <c r="AC1077" s="90" t="str">
        <f aca="false">IFERROR(IF([2]对账明细接口!$X1078=0,"",[2]对账明细接口!$X1078),"")</f>
        <v/>
      </c>
      <c r="AD1077" s="90" t="str">
        <f aca="false">IFERROR(IF([2]对账明细接口!$Y1078=0,"",[2]对账明细接口!$Y1078),"")</f>
        <v/>
      </c>
      <c r="AE1077" s="90" t="str">
        <f aca="false">IFERROR(IF([2]对账明细接口!$AA1078=0,"",[2]对账明细接口!$AA1078),"")</f>
        <v/>
      </c>
      <c r="AF1077" s="90" t="str">
        <f aca="false">IFERROR(IF([2]对账明细接口!$AB1078=0,"",[2]对账明细接口!$AB1078),"")</f>
        <v/>
      </c>
      <c r="AG1077" s="90" t="str">
        <f aca="false">IFERROR(IF([2]对账明细接口!$AC1078=0,"",[2]对账明细接口!$AC1078),"")</f>
        <v/>
      </c>
      <c r="AH1077" s="90" t="str">
        <f aca="false">IFERROR(IF([2]对账明细接口!$AD1078=0,"",[2]对账明细接口!$AD1078),"")</f>
        <v/>
      </c>
    </row>
    <row r="1078" customFormat="false" ht="13.5" hidden="false" customHeight="false" outlineLevel="0" collapsed="false">
      <c r="A1078" s="109" t="n">
        <v>1078</v>
      </c>
      <c r="B1078" s="110" t="str">
        <f aca="false">IFERROR(IF([2]对账明细接口!$B$1078=0,"",[2]对账明细接口!$B$1078),"")</f>
        <v/>
      </c>
      <c r="C1078" s="59" t="str">
        <f aca="false">IFERROR(IF([2]对账明细接口!$C$1078=0,"",[2]对账明细接口!$C$1078),"")</f>
        <v/>
      </c>
      <c r="D1078" s="59" t="str">
        <f aca="false">IFERROR(IF([2]对账明细接口!$D$1078=0,"",[2]对账明细接口!$D$1078),"")</f>
        <v/>
      </c>
      <c r="E1078" s="59" t="str">
        <f aca="false">IFERROR(IF([2]对账明细接口!$E$1078=0,"",[2]对账明细接口!$E$1078),"")</f>
        <v/>
      </c>
      <c r="F1078" s="59" t="str">
        <f aca="false">IFERROR(IF([2]对账明细接口!$F$1078=0,"",[2]对账明细接口!$F$1078),"")</f>
        <v/>
      </c>
      <c r="G1078" s="59" t="str">
        <f aca="false">IFERROR(IF([2]对账明细接口!$G$1078=0,"",[2]对账明细接口!$G$1078),"")</f>
        <v/>
      </c>
      <c r="H1078" s="60" t="str">
        <f aca="false">IFERROR(IF([2]对账明细接口!$H$1078=0,"",[2]对账明细接口!$H$1078),"")</f>
        <v/>
      </c>
      <c r="I1078" s="59" t="str">
        <f aca="false">IFERROR(IF([2]对账明细接口!$I$1078=0,"",[2]对账明细接口!$I$1078),"")</f>
        <v/>
      </c>
      <c r="J1078" s="61" t="str">
        <f aca="false">IFERROR(IF([2]对账明细接口!$J$1078=0,"",[2]对账明细接口!$J$1078),"")</f>
        <v/>
      </c>
      <c r="K1078" s="61" t="str">
        <f aca="false">IFERROR(IF([2]对账明细接口!$K$1078=0,"",[2]对账明细接口!$K$1078),"")</f>
        <v/>
      </c>
      <c r="L1078" s="59" t="str">
        <f aca="false">IFERROR(IF([2]对账明细接口!$L$1078=0,"",[2]对账明细接口!$L$1078),"")</f>
        <v/>
      </c>
      <c r="M1078" s="59" t="str">
        <f aca="false">IFERROR(IF([2]对账明细接口!$M$1078=0,"",[2]对账明细接口!$M$1078),"")</f>
        <v/>
      </c>
      <c r="N1078" s="111" t="n">
        <f aca="false">IF($C1078="",0,1)</f>
        <v>0</v>
      </c>
      <c r="O1078" s="111" t="n">
        <f aca="false">N(O1077)+$N1078</f>
        <v>311</v>
      </c>
      <c r="S1078" s="10" t="str">
        <f aca="false">IFERROR(IF([2]对账明细接口!$N1078=0,"",[2]对账明细接口!$N1078),"")</f>
        <v/>
      </c>
      <c r="T1078" s="112" t="str">
        <f aca="false">IFERROR(IF([2]对账明细接口!$O1078=0,"",[2]对账明细接口!$O1078),"")</f>
        <v/>
      </c>
      <c r="U1078" s="112" t="str">
        <f aca="false">IFERROR(IF([2]对账明细接口!$P1078=0,"",[2]对账明细接口!$P1078),"")</f>
        <v/>
      </c>
      <c r="V1078" s="112" t="str">
        <f aca="false">IFERROR(IF([2]对账明细接口!$Q1078=0,"",[2]对账明细接口!$Q1078),"")</f>
        <v/>
      </c>
      <c r="W1078" s="10" t="str">
        <f aca="false">IFERROR(IF([2]对账明细接口!$R1078=0,"",[2]对账明细接口!$R1078),"")</f>
        <v/>
      </c>
      <c r="X1078" s="10" t="str">
        <f aca="false">IFERROR(IF([2]对账明细接口!$S1078=0,"",[2]对账明细接口!$S1078),"")</f>
        <v/>
      </c>
      <c r="Y1078" s="10" t="str">
        <f aca="false">IFERROR(IF([2]对账明细接口!$T1078=0,"",[2]对账明细接口!$T1078),"")</f>
        <v/>
      </c>
      <c r="Z1078" s="113" t="str">
        <f aca="false">IFERROR(IF([2]对账明细接口!$U1078=0,"",[2]对账明细接口!$U1078),"")</f>
        <v/>
      </c>
      <c r="AA1078" s="113" t="str">
        <f aca="false">IFERROR(IF([2]对账明细接口!$V1078=0,"",[2]对账明细接口!$V1078),"")</f>
        <v/>
      </c>
      <c r="AB1078" s="10" t="str">
        <f aca="false">IFERROR(IF([2]对账明细接口!$W1078=0,"",[2]对账明细接口!$W1078),"")</f>
        <v/>
      </c>
      <c r="AC1078" s="90" t="str">
        <f aca="false">IFERROR(IF([2]对账明细接口!$X1079=0,"",[2]对账明细接口!$X1079),"")</f>
        <v/>
      </c>
      <c r="AD1078" s="90" t="str">
        <f aca="false">IFERROR(IF([2]对账明细接口!$Y1079=0,"",[2]对账明细接口!$Y1079),"")</f>
        <v/>
      </c>
      <c r="AE1078" s="90" t="str">
        <f aca="false">IFERROR(IF([2]对账明细接口!$AA1079=0,"",[2]对账明细接口!$AA1079),"")</f>
        <v/>
      </c>
      <c r="AF1078" s="90" t="str">
        <f aca="false">IFERROR(IF([2]对账明细接口!$AB1079=0,"",[2]对账明细接口!$AB1079),"")</f>
        <v/>
      </c>
      <c r="AG1078" s="90" t="str">
        <f aca="false">IFERROR(IF([2]对账明细接口!$AC1079=0,"",[2]对账明细接口!$AC1079),"")</f>
        <v/>
      </c>
      <c r="AH1078" s="90" t="str">
        <f aca="false">IFERROR(IF([2]对账明细接口!$AD1079=0,"",[2]对账明细接口!$AD1079),"")</f>
        <v/>
      </c>
    </row>
    <row r="1079" customFormat="false" ht="13.5" hidden="false" customHeight="false" outlineLevel="0" collapsed="false">
      <c r="A1079" s="109" t="n">
        <v>1079</v>
      </c>
      <c r="B1079" s="110" t="str">
        <f aca="false">IFERROR(IF([2]对账明细接口!$B$1079=0,"",[2]对账明细接口!$B$1079),"")</f>
        <v/>
      </c>
      <c r="C1079" s="59" t="str">
        <f aca="false">IFERROR(IF([2]对账明细接口!$C$1079=0,"",[2]对账明细接口!$C$1079),"")</f>
        <v/>
      </c>
      <c r="D1079" s="59" t="str">
        <f aca="false">IFERROR(IF([2]对账明细接口!$D$1079=0,"",[2]对账明细接口!$D$1079),"")</f>
        <v/>
      </c>
      <c r="E1079" s="59" t="str">
        <f aca="false">IFERROR(IF([2]对账明细接口!$E$1079=0,"",[2]对账明细接口!$E$1079),"")</f>
        <v/>
      </c>
      <c r="F1079" s="59" t="str">
        <f aca="false">IFERROR(IF([2]对账明细接口!$F$1079=0,"",[2]对账明细接口!$F$1079),"")</f>
        <v/>
      </c>
      <c r="G1079" s="59" t="str">
        <f aca="false">IFERROR(IF([2]对账明细接口!$G$1079=0,"",[2]对账明细接口!$G$1079),"")</f>
        <v/>
      </c>
      <c r="H1079" s="60" t="str">
        <f aca="false">IFERROR(IF([2]对账明细接口!$H$1079=0,"",[2]对账明细接口!$H$1079),"")</f>
        <v/>
      </c>
      <c r="I1079" s="59" t="str">
        <f aca="false">IFERROR(IF([2]对账明细接口!$I$1079=0,"",[2]对账明细接口!$I$1079),"")</f>
        <v/>
      </c>
      <c r="J1079" s="61" t="str">
        <f aca="false">IFERROR(IF([2]对账明细接口!$J$1079=0,"",[2]对账明细接口!$J$1079),"")</f>
        <v/>
      </c>
      <c r="K1079" s="61" t="str">
        <f aca="false">IFERROR(IF([2]对账明细接口!$K$1079=0,"",[2]对账明细接口!$K$1079),"")</f>
        <v/>
      </c>
      <c r="L1079" s="59" t="str">
        <f aca="false">IFERROR(IF([2]对账明细接口!$L$1079=0,"",[2]对账明细接口!$L$1079),"")</f>
        <v/>
      </c>
      <c r="M1079" s="59" t="str">
        <f aca="false">IFERROR(IF([2]对账明细接口!$M$1079=0,"",[2]对账明细接口!$M$1079),"")</f>
        <v/>
      </c>
      <c r="N1079" s="111" t="n">
        <f aca="false">IF($C1079="",0,1)</f>
        <v>0</v>
      </c>
      <c r="O1079" s="111" t="n">
        <f aca="false">N(O1078)+$N1079</f>
        <v>311</v>
      </c>
      <c r="S1079" s="10" t="str">
        <f aca="false">IFERROR(IF([2]对账明细接口!$N1079=0,"",[2]对账明细接口!$N1079),"")</f>
        <v/>
      </c>
      <c r="T1079" s="112" t="str">
        <f aca="false">IFERROR(IF([2]对账明细接口!$O1079=0,"",[2]对账明细接口!$O1079),"")</f>
        <v/>
      </c>
      <c r="U1079" s="112" t="str">
        <f aca="false">IFERROR(IF([2]对账明细接口!$P1079=0,"",[2]对账明细接口!$P1079),"")</f>
        <v/>
      </c>
      <c r="V1079" s="112" t="str">
        <f aca="false">IFERROR(IF([2]对账明细接口!$Q1079=0,"",[2]对账明细接口!$Q1079),"")</f>
        <v/>
      </c>
      <c r="W1079" s="10" t="str">
        <f aca="false">IFERROR(IF([2]对账明细接口!$R1079=0,"",[2]对账明细接口!$R1079),"")</f>
        <v/>
      </c>
      <c r="X1079" s="10" t="str">
        <f aca="false">IFERROR(IF([2]对账明细接口!$S1079=0,"",[2]对账明细接口!$S1079),"")</f>
        <v/>
      </c>
      <c r="Y1079" s="10" t="str">
        <f aca="false">IFERROR(IF([2]对账明细接口!$T1079=0,"",[2]对账明细接口!$T1079),"")</f>
        <v/>
      </c>
      <c r="Z1079" s="113" t="str">
        <f aca="false">IFERROR(IF([2]对账明细接口!$U1079=0,"",[2]对账明细接口!$U1079),"")</f>
        <v/>
      </c>
      <c r="AA1079" s="113" t="str">
        <f aca="false">IFERROR(IF([2]对账明细接口!$V1079=0,"",[2]对账明细接口!$V1079),"")</f>
        <v/>
      </c>
      <c r="AB1079" s="10" t="str">
        <f aca="false">IFERROR(IF([2]对账明细接口!$W1079=0,"",[2]对账明细接口!$W1079),"")</f>
        <v/>
      </c>
      <c r="AC1079" s="90" t="str">
        <f aca="false">IFERROR(IF([2]对账明细接口!$X1080=0,"",[2]对账明细接口!$X1080),"")</f>
        <v/>
      </c>
      <c r="AD1079" s="90" t="str">
        <f aca="false">IFERROR(IF([2]对账明细接口!$Y1080=0,"",[2]对账明细接口!$Y1080),"")</f>
        <v/>
      </c>
      <c r="AE1079" s="90" t="str">
        <f aca="false">IFERROR(IF([2]对账明细接口!$AA1080=0,"",[2]对账明细接口!$AA1080),"")</f>
        <v/>
      </c>
      <c r="AF1079" s="90" t="str">
        <f aca="false">IFERROR(IF([2]对账明细接口!$AB1080=0,"",[2]对账明细接口!$AB1080),"")</f>
        <v/>
      </c>
      <c r="AG1079" s="90" t="str">
        <f aca="false">IFERROR(IF([2]对账明细接口!$AC1080=0,"",[2]对账明细接口!$AC1080),"")</f>
        <v/>
      </c>
      <c r="AH1079" s="90" t="str">
        <f aca="false">IFERROR(IF([2]对账明细接口!$AD1080=0,"",[2]对账明细接口!$AD1080),"")</f>
        <v/>
      </c>
    </row>
    <row r="1080" customFormat="false" ht="13.5" hidden="false" customHeight="false" outlineLevel="0" collapsed="false">
      <c r="A1080" s="109" t="n">
        <v>1080</v>
      </c>
      <c r="B1080" s="110" t="str">
        <f aca="false">IFERROR(IF([2]对账明细接口!$B$1080=0,"",[2]对账明细接口!$B$1080),"")</f>
        <v/>
      </c>
      <c r="C1080" s="59" t="str">
        <f aca="false">IFERROR(IF([2]对账明细接口!$C$1080=0,"",[2]对账明细接口!$C$1080),"")</f>
        <v/>
      </c>
      <c r="D1080" s="59" t="str">
        <f aca="false">IFERROR(IF([2]对账明细接口!$D$1080=0,"",[2]对账明细接口!$D$1080),"")</f>
        <v/>
      </c>
      <c r="E1080" s="59" t="str">
        <f aca="false">IFERROR(IF([2]对账明细接口!$E$1080=0,"",[2]对账明细接口!$E$1080),"")</f>
        <v/>
      </c>
      <c r="F1080" s="59" t="str">
        <f aca="false">IFERROR(IF([2]对账明细接口!$F$1080=0,"",[2]对账明细接口!$F$1080),"")</f>
        <v/>
      </c>
      <c r="G1080" s="59" t="str">
        <f aca="false">IFERROR(IF([2]对账明细接口!$G$1080=0,"",[2]对账明细接口!$G$1080),"")</f>
        <v/>
      </c>
      <c r="H1080" s="60" t="str">
        <f aca="false">IFERROR(IF([2]对账明细接口!$H$1080=0,"",[2]对账明细接口!$H$1080),"")</f>
        <v/>
      </c>
      <c r="I1080" s="59" t="str">
        <f aca="false">IFERROR(IF([2]对账明细接口!$I$1080=0,"",[2]对账明细接口!$I$1080),"")</f>
        <v/>
      </c>
      <c r="J1080" s="61" t="str">
        <f aca="false">IFERROR(IF([2]对账明细接口!$J$1080=0,"",[2]对账明细接口!$J$1080),"")</f>
        <v/>
      </c>
      <c r="K1080" s="61" t="str">
        <f aca="false">IFERROR(IF([2]对账明细接口!$K$1080=0,"",[2]对账明细接口!$K$1080),"")</f>
        <v/>
      </c>
      <c r="L1080" s="59" t="str">
        <f aca="false">IFERROR(IF([2]对账明细接口!$L$1080=0,"",[2]对账明细接口!$L$1080),"")</f>
        <v/>
      </c>
      <c r="M1080" s="59" t="str">
        <f aca="false">IFERROR(IF([2]对账明细接口!$M$1080=0,"",[2]对账明细接口!$M$1080),"")</f>
        <v/>
      </c>
      <c r="N1080" s="111" t="n">
        <f aca="false">IF($C1080="",0,1)</f>
        <v>0</v>
      </c>
      <c r="O1080" s="111" t="n">
        <f aca="false">N(O1079)+$N1080</f>
        <v>311</v>
      </c>
      <c r="S1080" s="10" t="str">
        <f aca="false">IFERROR(IF([2]对账明细接口!$N1080=0,"",[2]对账明细接口!$N1080),"")</f>
        <v/>
      </c>
      <c r="T1080" s="112" t="str">
        <f aca="false">IFERROR(IF([2]对账明细接口!$O1080=0,"",[2]对账明细接口!$O1080),"")</f>
        <v/>
      </c>
      <c r="U1080" s="112" t="str">
        <f aca="false">IFERROR(IF([2]对账明细接口!$P1080=0,"",[2]对账明细接口!$P1080),"")</f>
        <v/>
      </c>
      <c r="V1080" s="112" t="str">
        <f aca="false">IFERROR(IF([2]对账明细接口!$Q1080=0,"",[2]对账明细接口!$Q1080),"")</f>
        <v/>
      </c>
      <c r="W1080" s="10" t="str">
        <f aca="false">IFERROR(IF([2]对账明细接口!$R1080=0,"",[2]对账明细接口!$R1080),"")</f>
        <v/>
      </c>
      <c r="X1080" s="10" t="str">
        <f aca="false">IFERROR(IF([2]对账明细接口!$S1080=0,"",[2]对账明细接口!$S1080),"")</f>
        <v/>
      </c>
      <c r="Y1080" s="10" t="str">
        <f aca="false">IFERROR(IF([2]对账明细接口!$T1080=0,"",[2]对账明细接口!$T1080),"")</f>
        <v/>
      </c>
      <c r="Z1080" s="113" t="str">
        <f aca="false">IFERROR(IF([2]对账明细接口!$U1080=0,"",[2]对账明细接口!$U1080),"")</f>
        <v/>
      </c>
      <c r="AA1080" s="113" t="str">
        <f aca="false">IFERROR(IF([2]对账明细接口!$V1080=0,"",[2]对账明细接口!$V1080),"")</f>
        <v/>
      </c>
      <c r="AB1080" s="10" t="str">
        <f aca="false">IFERROR(IF([2]对账明细接口!$W1080=0,"",[2]对账明细接口!$W1080),"")</f>
        <v/>
      </c>
      <c r="AC1080" s="90" t="str">
        <f aca="false">IFERROR(IF([2]对账明细接口!$X1081=0,"",[2]对账明细接口!$X1081),"")</f>
        <v/>
      </c>
      <c r="AD1080" s="90" t="str">
        <f aca="false">IFERROR(IF([2]对账明细接口!$Y1081=0,"",[2]对账明细接口!$Y1081),"")</f>
        <v/>
      </c>
      <c r="AE1080" s="90" t="str">
        <f aca="false">IFERROR(IF([2]对账明细接口!$AA1081=0,"",[2]对账明细接口!$AA1081),"")</f>
        <v/>
      </c>
      <c r="AF1080" s="90" t="str">
        <f aca="false">IFERROR(IF([2]对账明细接口!$AB1081=0,"",[2]对账明细接口!$AB1081),"")</f>
        <v/>
      </c>
      <c r="AG1080" s="90" t="str">
        <f aca="false">IFERROR(IF([2]对账明细接口!$AC1081=0,"",[2]对账明细接口!$AC1081),"")</f>
        <v/>
      </c>
      <c r="AH1080" s="90" t="str">
        <f aca="false">IFERROR(IF([2]对账明细接口!$AD1081=0,"",[2]对账明细接口!$AD1081),"")</f>
        <v/>
      </c>
    </row>
    <row r="1081" customFormat="false" ht="13.5" hidden="false" customHeight="false" outlineLevel="0" collapsed="false">
      <c r="A1081" s="109" t="n">
        <v>1081</v>
      </c>
      <c r="B1081" s="110" t="str">
        <f aca="false">IFERROR(IF([2]对账明细接口!$B$1081=0,"",[2]对账明细接口!$B$1081),"")</f>
        <v/>
      </c>
      <c r="C1081" s="59" t="str">
        <f aca="false">IFERROR(IF([2]对账明细接口!$C$1081=0,"",[2]对账明细接口!$C$1081),"")</f>
        <v/>
      </c>
      <c r="D1081" s="59" t="str">
        <f aca="false">IFERROR(IF([2]对账明细接口!$D$1081=0,"",[2]对账明细接口!$D$1081),"")</f>
        <v/>
      </c>
      <c r="E1081" s="59" t="str">
        <f aca="false">IFERROR(IF([2]对账明细接口!$E$1081=0,"",[2]对账明细接口!$E$1081),"")</f>
        <v/>
      </c>
      <c r="F1081" s="59" t="str">
        <f aca="false">IFERROR(IF([2]对账明细接口!$F$1081=0,"",[2]对账明细接口!$F$1081),"")</f>
        <v/>
      </c>
      <c r="G1081" s="59" t="str">
        <f aca="false">IFERROR(IF([2]对账明细接口!$G$1081=0,"",[2]对账明细接口!$G$1081),"")</f>
        <v/>
      </c>
      <c r="H1081" s="60" t="str">
        <f aca="false">IFERROR(IF([2]对账明细接口!$H$1081=0,"",[2]对账明细接口!$H$1081),"")</f>
        <v/>
      </c>
      <c r="I1081" s="59" t="str">
        <f aca="false">IFERROR(IF([2]对账明细接口!$I$1081=0,"",[2]对账明细接口!$I$1081),"")</f>
        <v/>
      </c>
      <c r="J1081" s="61" t="str">
        <f aca="false">IFERROR(IF([2]对账明细接口!$J$1081=0,"",[2]对账明细接口!$J$1081),"")</f>
        <v/>
      </c>
      <c r="K1081" s="61" t="str">
        <f aca="false">IFERROR(IF([2]对账明细接口!$K$1081=0,"",[2]对账明细接口!$K$1081),"")</f>
        <v/>
      </c>
      <c r="L1081" s="59" t="str">
        <f aca="false">IFERROR(IF([2]对账明细接口!$L$1081=0,"",[2]对账明细接口!$L$1081),"")</f>
        <v/>
      </c>
      <c r="M1081" s="59" t="str">
        <f aca="false">IFERROR(IF([2]对账明细接口!$M$1081=0,"",[2]对账明细接口!$M$1081),"")</f>
        <v/>
      </c>
      <c r="N1081" s="111" t="n">
        <f aca="false">IF($C1081="",0,1)</f>
        <v>0</v>
      </c>
      <c r="O1081" s="111" t="n">
        <f aca="false">N(O1080)+$N1081</f>
        <v>311</v>
      </c>
      <c r="S1081" s="10" t="str">
        <f aca="false">IFERROR(IF([2]对账明细接口!$N1081=0,"",[2]对账明细接口!$N1081),"")</f>
        <v/>
      </c>
      <c r="T1081" s="112" t="str">
        <f aca="false">IFERROR(IF([2]对账明细接口!$O1081=0,"",[2]对账明细接口!$O1081),"")</f>
        <v/>
      </c>
      <c r="U1081" s="112" t="str">
        <f aca="false">IFERROR(IF([2]对账明细接口!$P1081=0,"",[2]对账明细接口!$P1081),"")</f>
        <v/>
      </c>
      <c r="V1081" s="112" t="str">
        <f aca="false">IFERROR(IF([2]对账明细接口!$Q1081=0,"",[2]对账明细接口!$Q1081),"")</f>
        <v/>
      </c>
      <c r="W1081" s="10" t="str">
        <f aca="false">IFERROR(IF([2]对账明细接口!$R1081=0,"",[2]对账明细接口!$R1081),"")</f>
        <v/>
      </c>
      <c r="X1081" s="10" t="str">
        <f aca="false">IFERROR(IF([2]对账明细接口!$S1081=0,"",[2]对账明细接口!$S1081),"")</f>
        <v/>
      </c>
      <c r="Y1081" s="10" t="str">
        <f aca="false">IFERROR(IF([2]对账明细接口!$T1081=0,"",[2]对账明细接口!$T1081),"")</f>
        <v/>
      </c>
      <c r="Z1081" s="113" t="str">
        <f aca="false">IFERROR(IF([2]对账明细接口!$U1081=0,"",[2]对账明细接口!$U1081),"")</f>
        <v/>
      </c>
      <c r="AA1081" s="113" t="str">
        <f aca="false">IFERROR(IF([2]对账明细接口!$V1081=0,"",[2]对账明细接口!$V1081),"")</f>
        <v/>
      </c>
      <c r="AB1081" s="10" t="str">
        <f aca="false">IFERROR(IF([2]对账明细接口!$W1081=0,"",[2]对账明细接口!$W1081),"")</f>
        <v/>
      </c>
      <c r="AC1081" s="90" t="str">
        <f aca="false">IFERROR(IF([2]对账明细接口!$X1082=0,"",[2]对账明细接口!$X1082),"")</f>
        <v/>
      </c>
      <c r="AD1081" s="90" t="str">
        <f aca="false">IFERROR(IF([2]对账明细接口!$Y1082=0,"",[2]对账明细接口!$Y1082),"")</f>
        <v/>
      </c>
      <c r="AE1081" s="90" t="str">
        <f aca="false">IFERROR(IF([2]对账明细接口!$AA1082=0,"",[2]对账明细接口!$AA1082),"")</f>
        <v/>
      </c>
      <c r="AF1081" s="90" t="str">
        <f aca="false">IFERROR(IF([2]对账明细接口!$AB1082=0,"",[2]对账明细接口!$AB1082),"")</f>
        <v/>
      </c>
      <c r="AG1081" s="90" t="str">
        <f aca="false">IFERROR(IF([2]对账明细接口!$AC1082=0,"",[2]对账明细接口!$AC1082),"")</f>
        <v/>
      </c>
      <c r="AH1081" s="90" t="str">
        <f aca="false">IFERROR(IF([2]对账明细接口!$AD1082=0,"",[2]对账明细接口!$AD1082),"")</f>
        <v/>
      </c>
    </row>
    <row r="1082" customFormat="false" ht="13.5" hidden="false" customHeight="false" outlineLevel="0" collapsed="false">
      <c r="A1082" s="109" t="n">
        <v>1082</v>
      </c>
      <c r="B1082" s="110" t="str">
        <f aca="false">IFERROR(IF([2]对账明细接口!$B$1082=0,"",[2]对账明细接口!$B$1082),"")</f>
        <v/>
      </c>
      <c r="C1082" s="59" t="str">
        <f aca="false">IFERROR(IF([2]对账明细接口!$C$1082=0,"",[2]对账明细接口!$C$1082),"")</f>
        <v/>
      </c>
      <c r="D1082" s="59" t="str">
        <f aca="false">IFERROR(IF([2]对账明细接口!$D$1082=0,"",[2]对账明细接口!$D$1082),"")</f>
        <v/>
      </c>
      <c r="E1082" s="59" t="str">
        <f aca="false">IFERROR(IF([2]对账明细接口!$E$1082=0,"",[2]对账明细接口!$E$1082),"")</f>
        <v/>
      </c>
      <c r="F1082" s="59" t="str">
        <f aca="false">IFERROR(IF([2]对账明细接口!$F$1082=0,"",[2]对账明细接口!$F$1082),"")</f>
        <v/>
      </c>
      <c r="G1082" s="59" t="str">
        <f aca="false">IFERROR(IF([2]对账明细接口!$G$1082=0,"",[2]对账明细接口!$G$1082),"")</f>
        <v/>
      </c>
      <c r="H1082" s="60" t="str">
        <f aca="false">IFERROR(IF([2]对账明细接口!$H$1082=0,"",[2]对账明细接口!$H$1082),"")</f>
        <v/>
      </c>
      <c r="I1082" s="59" t="str">
        <f aca="false">IFERROR(IF([2]对账明细接口!$I$1082=0,"",[2]对账明细接口!$I$1082),"")</f>
        <v/>
      </c>
      <c r="J1082" s="61" t="str">
        <f aca="false">IFERROR(IF([2]对账明细接口!$J$1082=0,"",[2]对账明细接口!$J$1082),"")</f>
        <v/>
      </c>
      <c r="K1082" s="61" t="str">
        <f aca="false">IFERROR(IF([2]对账明细接口!$K$1082=0,"",[2]对账明细接口!$K$1082),"")</f>
        <v/>
      </c>
      <c r="L1082" s="59" t="str">
        <f aca="false">IFERROR(IF([2]对账明细接口!$L$1082=0,"",[2]对账明细接口!$L$1082),"")</f>
        <v/>
      </c>
      <c r="M1082" s="59" t="str">
        <f aca="false">IFERROR(IF([2]对账明细接口!$M$1082=0,"",[2]对账明细接口!$M$1082),"")</f>
        <v/>
      </c>
      <c r="N1082" s="111" t="n">
        <f aca="false">IF($C1082="",0,1)</f>
        <v>0</v>
      </c>
      <c r="O1082" s="111" t="n">
        <f aca="false">N(O1081)+$N1082</f>
        <v>311</v>
      </c>
      <c r="S1082" s="10" t="str">
        <f aca="false">IFERROR(IF([2]对账明细接口!$N1082=0,"",[2]对账明细接口!$N1082),"")</f>
        <v/>
      </c>
      <c r="T1082" s="112" t="str">
        <f aca="false">IFERROR(IF([2]对账明细接口!$O1082=0,"",[2]对账明细接口!$O1082),"")</f>
        <v/>
      </c>
      <c r="U1082" s="112" t="str">
        <f aca="false">IFERROR(IF([2]对账明细接口!$P1082=0,"",[2]对账明细接口!$P1082),"")</f>
        <v/>
      </c>
      <c r="V1082" s="112" t="str">
        <f aca="false">IFERROR(IF([2]对账明细接口!$Q1082=0,"",[2]对账明细接口!$Q1082),"")</f>
        <v/>
      </c>
      <c r="W1082" s="10" t="str">
        <f aca="false">IFERROR(IF([2]对账明细接口!$R1082=0,"",[2]对账明细接口!$R1082),"")</f>
        <v/>
      </c>
      <c r="X1082" s="10" t="str">
        <f aca="false">IFERROR(IF([2]对账明细接口!$S1082=0,"",[2]对账明细接口!$S1082),"")</f>
        <v/>
      </c>
      <c r="Y1082" s="10" t="str">
        <f aca="false">IFERROR(IF([2]对账明细接口!$T1082=0,"",[2]对账明细接口!$T1082),"")</f>
        <v/>
      </c>
      <c r="Z1082" s="113" t="str">
        <f aca="false">IFERROR(IF([2]对账明细接口!$U1082=0,"",[2]对账明细接口!$U1082),"")</f>
        <v/>
      </c>
      <c r="AA1082" s="113" t="str">
        <f aca="false">IFERROR(IF([2]对账明细接口!$V1082=0,"",[2]对账明细接口!$V1082),"")</f>
        <v/>
      </c>
      <c r="AB1082" s="10" t="str">
        <f aca="false">IFERROR(IF([2]对账明细接口!$W1082=0,"",[2]对账明细接口!$W1082),"")</f>
        <v/>
      </c>
      <c r="AC1082" s="90" t="str">
        <f aca="false">IFERROR(IF([2]对账明细接口!$X1083=0,"",[2]对账明细接口!$X1083),"")</f>
        <v/>
      </c>
      <c r="AD1082" s="90" t="str">
        <f aca="false">IFERROR(IF([2]对账明细接口!$Y1083=0,"",[2]对账明细接口!$Y1083),"")</f>
        <v/>
      </c>
      <c r="AE1082" s="90" t="str">
        <f aca="false">IFERROR(IF([2]对账明细接口!$AA1083=0,"",[2]对账明细接口!$AA1083),"")</f>
        <v/>
      </c>
      <c r="AF1082" s="90" t="str">
        <f aca="false">IFERROR(IF([2]对账明细接口!$AB1083=0,"",[2]对账明细接口!$AB1083),"")</f>
        <v/>
      </c>
      <c r="AG1082" s="90" t="str">
        <f aca="false">IFERROR(IF([2]对账明细接口!$AC1083=0,"",[2]对账明细接口!$AC1083),"")</f>
        <v/>
      </c>
      <c r="AH1082" s="90" t="str">
        <f aca="false">IFERROR(IF([2]对账明细接口!$AD1083=0,"",[2]对账明细接口!$AD1083),"")</f>
        <v/>
      </c>
    </row>
    <row r="1083" customFormat="false" ht="13.5" hidden="false" customHeight="false" outlineLevel="0" collapsed="false">
      <c r="A1083" s="109" t="n">
        <v>1083</v>
      </c>
      <c r="B1083" s="110" t="str">
        <f aca="false">IFERROR(IF([2]对账明细接口!$B$1083=0,"",[2]对账明细接口!$B$1083),"")</f>
        <v/>
      </c>
      <c r="C1083" s="59" t="str">
        <f aca="false">IFERROR(IF([2]对账明细接口!$C$1083=0,"",[2]对账明细接口!$C$1083),"")</f>
        <v/>
      </c>
      <c r="D1083" s="59" t="str">
        <f aca="false">IFERROR(IF([2]对账明细接口!$D$1083=0,"",[2]对账明细接口!$D$1083),"")</f>
        <v/>
      </c>
      <c r="E1083" s="59" t="str">
        <f aca="false">IFERROR(IF([2]对账明细接口!$E$1083=0,"",[2]对账明细接口!$E$1083),"")</f>
        <v/>
      </c>
      <c r="F1083" s="59" t="str">
        <f aca="false">IFERROR(IF([2]对账明细接口!$F$1083=0,"",[2]对账明细接口!$F$1083),"")</f>
        <v/>
      </c>
      <c r="G1083" s="59" t="str">
        <f aca="false">IFERROR(IF([2]对账明细接口!$G$1083=0,"",[2]对账明细接口!$G$1083),"")</f>
        <v/>
      </c>
      <c r="H1083" s="60" t="str">
        <f aca="false">IFERROR(IF([2]对账明细接口!$H$1083=0,"",[2]对账明细接口!$H$1083),"")</f>
        <v/>
      </c>
      <c r="I1083" s="59" t="str">
        <f aca="false">IFERROR(IF([2]对账明细接口!$I$1083=0,"",[2]对账明细接口!$I$1083),"")</f>
        <v/>
      </c>
      <c r="J1083" s="61" t="str">
        <f aca="false">IFERROR(IF([2]对账明细接口!$J$1083=0,"",[2]对账明细接口!$J$1083),"")</f>
        <v/>
      </c>
      <c r="K1083" s="61" t="str">
        <f aca="false">IFERROR(IF([2]对账明细接口!$K$1083=0,"",[2]对账明细接口!$K$1083),"")</f>
        <v/>
      </c>
      <c r="L1083" s="59" t="str">
        <f aca="false">IFERROR(IF([2]对账明细接口!$L$1083=0,"",[2]对账明细接口!$L$1083),"")</f>
        <v/>
      </c>
      <c r="M1083" s="59" t="str">
        <f aca="false">IFERROR(IF([2]对账明细接口!$M$1083=0,"",[2]对账明细接口!$M$1083),"")</f>
        <v/>
      </c>
      <c r="N1083" s="111" t="n">
        <f aca="false">IF($C1083="",0,1)</f>
        <v>0</v>
      </c>
      <c r="O1083" s="111" t="n">
        <f aca="false">N(O1082)+$N1083</f>
        <v>311</v>
      </c>
      <c r="S1083" s="10" t="str">
        <f aca="false">IFERROR(IF([2]对账明细接口!$N1083=0,"",[2]对账明细接口!$N1083),"")</f>
        <v/>
      </c>
      <c r="T1083" s="112" t="str">
        <f aca="false">IFERROR(IF([2]对账明细接口!$O1083=0,"",[2]对账明细接口!$O1083),"")</f>
        <v/>
      </c>
      <c r="U1083" s="112" t="str">
        <f aca="false">IFERROR(IF([2]对账明细接口!$P1083=0,"",[2]对账明细接口!$P1083),"")</f>
        <v/>
      </c>
      <c r="V1083" s="112" t="str">
        <f aca="false">IFERROR(IF([2]对账明细接口!$Q1083=0,"",[2]对账明细接口!$Q1083),"")</f>
        <v/>
      </c>
      <c r="W1083" s="10" t="str">
        <f aca="false">IFERROR(IF([2]对账明细接口!$R1083=0,"",[2]对账明细接口!$R1083),"")</f>
        <v/>
      </c>
      <c r="X1083" s="10" t="str">
        <f aca="false">IFERROR(IF([2]对账明细接口!$S1083=0,"",[2]对账明细接口!$S1083),"")</f>
        <v/>
      </c>
      <c r="Y1083" s="10" t="str">
        <f aca="false">IFERROR(IF([2]对账明细接口!$T1083=0,"",[2]对账明细接口!$T1083),"")</f>
        <v/>
      </c>
      <c r="Z1083" s="113" t="str">
        <f aca="false">IFERROR(IF([2]对账明细接口!$U1083=0,"",[2]对账明细接口!$U1083),"")</f>
        <v/>
      </c>
      <c r="AA1083" s="113" t="str">
        <f aca="false">IFERROR(IF([2]对账明细接口!$V1083=0,"",[2]对账明细接口!$V1083),"")</f>
        <v/>
      </c>
      <c r="AB1083" s="10" t="str">
        <f aca="false">IFERROR(IF([2]对账明细接口!$W1083=0,"",[2]对账明细接口!$W1083),"")</f>
        <v/>
      </c>
      <c r="AC1083" s="90" t="str">
        <f aca="false">IFERROR(IF([2]对账明细接口!$X1084=0,"",[2]对账明细接口!$X1084),"")</f>
        <v/>
      </c>
      <c r="AD1083" s="90" t="str">
        <f aca="false">IFERROR(IF([2]对账明细接口!$Y1084=0,"",[2]对账明细接口!$Y1084),"")</f>
        <v/>
      </c>
      <c r="AE1083" s="90" t="str">
        <f aca="false">IFERROR(IF([2]对账明细接口!$AA1084=0,"",[2]对账明细接口!$AA1084),"")</f>
        <v/>
      </c>
      <c r="AF1083" s="90" t="str">
        <f aca="false">IFERROR(IF([2]对账明细接口!$AB1084=0,"",[2]对账明细接口!$AB1084),"")</f>
        <v/>
      </c>
      <c r="AG1083" s="90" t="str">
        <f aca="false">IFERROR(IF([2]对账明细接口!$AC1084=0,"",[2]对账明细接口!$AC1084),"")</f>
        <v/>
      </c>
      <c r="AH1083" s="90" t="str">
        <f aca="false">IFERROR(IF([2]对账明细接口!$AD1084=0,"",[2]对账明细接口!$AD1084),"")</f>
        <v/>
      </c>
    </row>
    <row r="1084" customFormat="false" ht="13.5" hidden="false" customHeight="false" outlineLevel="0" collapsed="false">
      <c r="A1084" s="109" t="n">
        <v>1084</v>
      </c>
      <c r="B1084" s="110" t="str">
        <f aca="false">IFERROR(IF([2]对账明细接口!$B$1084=0,"",[2]对账明细接口!$B$1084),"")</f>
        <v/>
      </c>
      <c r="C1084" s="59" t="str">
        <f aca="false">IFERROR(IF([2]对账明细接口!$C$1084=0,"",[2]对账明细接口!$C$1084),"")</f>
        <v/>
      </c>
      <c r="D1084" s="59" t="str">
        <f aca="false">IFERROR(IF([2]对账明细接口!$D$1084=0,"",[2]对账明细接口!$D$1084),"")</f>
        <v/>
      </c>
      <c r="E1084" s="59" t="str">
        <f aca="false">IFERROR(IF([2]对账明细接口!$E$1084=0,"",[2]对账明细接口!$E$1084),"")</f>
        <v/>
      </c>
      <c r="F1084" s="59" t="str">
        <f aca="false">IFERROR(IF([2]对账明细接口!$F$1084=0,"",[2]对账明细接口!$F$1084),"")</f>
        <v/>
      </c>
      <c r="G1084" s="59" t="str">
        <f aca="false">IFERROR(IF([2]对账明细接口!$G$1084=0,"",[2]对账明细接口!$G$1084),"")</f>
        <v/>
      </c>
      <c r="H1084" s="60" t="str">
        <f aca="false">IFERROR(IF([2]对账明细接口!$H$1084=0,"",[2]对账明细接口!$H$1084),"")</f>
        <v/>
      </c>
      <c r="I1084" s="59" t="str">
        <f aca="false">IFERROR(IF([2]对账明细接口!$I$1084=0,"",[2]对账明细接口!$I$1084),"")</f>
        <v/>
      </c>
      <c r="J1084" s="61" t="str">
        <f aca="false">IFERROR(IF([2]对账明细接口!$J$1084=0,"",[2]对账明细接口!$J$1084),"")</f>
        <v/>
      </c>
      <c r="K1084" s="61" t="str">
        <f aca="false">IFERROR(IF([2]对账明细接口!$K$1084=0,"",[2]对账明细接口!$K$1084),"")</f>
        <v/>
      </c>
      <c r="L1084" s="59" t="str">
        <f aca="false">IFERROR(IF([2]对账明细接口!$L$1084=0,"",[2]对账明细接口!$L$1084),"")</f>
        <v/>
      </c>
      <c r="M1084" s="59" t="str">
        <f aca="false">IFERROR(IF([2]对账明细接口!$M$1084=0,"",[2]对账明细接口!$M$1084),"")</f>
        <v/>
      </c>
      <c r="N1084" s="111" t="n">
        <f aca="false">IF($C1084="",0,1)</f>
        <v>0</v>
      </c>
      <c r="O1084" s="111" t="n">
        <f aca="false">N(O1083)+$N1084</f>
        <v>311</v>
      </c>
      <c r="S1084" s="10" t="str">
        <f aca="false">IFERROR(IF([2]对账明细接口!$N1084=0,"",[2]对账明细接口!$N1084),"")</f>
        <v/>
      </c>
      <c r="T1084" s="112" t="str">
        <f aca="false">IFERROR(IF([2]对账明细接口!$O1084=0,"",[2]对账明细接口!$O1084),"")</f>
        <v/>
      </c>
      <c r="U1084" s="112" t="str">
        <f aca="false">IFERROR(IF([2]对账明细接口!$P1084=0,"",[2]对账明细接口!$P1084),"")</f>
        <v/>
      </c>
      <c r="V1084" s="112" t="str">
        <f aca="false">IFERROR(IF([2]对账明细接口!$Q1084=0,"",[2]对账明细接口!$Q1084),"")</f>
        <v/>
      </c>
      <c r="W1084" s="10" t="str">
        <f aca="false">IFERROR(IF([2]对账明细接口!$R1084=0,"",[2]对账明细接口!$R1084),"")</f>
        <v/>
      </c>
      <c r="X1084" s="10" t="str">
        <f aca="false">IFERROR(IF([2]对账明细接口!$S1084=0,"",[2]对账明细接口!$S1084),"")</f>
        <v/>
      </c>
      <c r="Y1084" s="10" t="str">
        <f aca="false">IFERROR(IF([2]对账明细接口!$T1084=0,"",[2]对账明细接口!$T1084),"")</f>
        <v/>
      </c>
      <c r="Z1084" s="113" t="str">
        <f aca="false">IFERROR(IF([2]对账明细接口!$U1084=0,"",[2]对账明细接口!$U1084),"")</f>
        <v/>
      </c>
      <c r="AA1084" s="113" t="str">
        <f aca="false">IFERROR(IF([2]对账明细接口!$V1084=0,"",[2]对账明细接口!$V1084),"")</f>
        <v/>
      </c>
      <c r="AB1084" s="10" t="str">
        <f aca="false">IFERROR(IF([2]对账明细接口!$W1084=0,"",[2]对账明细接口!$W1084),"")</f>
        <v/>
      </c>
      <c r="AC1084" s="90" t="str">
        <f aca="false">IFERROR(IF([2]对账明细接口!$X1085=0,"",[2]对账明细接口!$X1085),"")</f>
        <v/>
      </c>
      <c r="AD1084" s="90" t="str">
        <f aca="false">IFERROR(IF([2]对账明细接口!$Y1085=0,"",[2]对账明细接口!$Y1085),"")</f>
        <v/>
      </c>
      <c r="AE1084" s="90" t="str">
        <f aca="false">IFERROR(IF([2]对账明细接口!$AA1085=0,"",[2]对账明细接口!$AA1085),"")</f>
        <v/>
      </c>
      <c r="AF1084" s="90" t="str">
        <f aca="false">IFERROR(IF([2]对账明细接口!$AB1085=0,"",[2]对账明细接口!$AB1085),"")</f>
        <v/>
      </c>
      <c r="AG1084" s="90" t="str">
        <f aca="false">IFERROR(IF([2]对账明细接口!$AC1085=0,"",[2]对账明细接口!$AC1085),"")</f>
        <v/>
      </c>
      <c r="AH1084" s="90" t="str">
        <f aca="false">IFERROR(IF([2]对账明细接口!$AD1085=0,"",[2]对账明细接口!$AD1085),"")</f>
        <v/>
      </c>
    </row>
    <row r="1085" customFormat="false" ht="13.5" hidden="false" customHeight="false" outlineLevel="0" collapsed="false">
      <c r="A1085" s="109" t="n">
        <v>1085</v>
      </c>
      <c r="B1085" s="110" t="str">
        <f aca="false">IFERROR(IF([2]对账明细接口!$B$1085=0,"",[2]对账明细接口!$B$1085),"")</f>
        <v/>
      </c>
      <c r="C1085" s="59" t="str">
        <f aca="false">IFERROR(IF([2]对账明细接口!$C$1085=0,"",[2]对账明细接口!$C$1085),"")</f>
        <v/>
      </c>
      <c r="D1085" s="59" t="str">
        <f aca="false">IFERROR(IF([2]对账明细接口!$D$1085=0,"",[2]对账明细接口!$D$1085),"")</f>
        <v/>
      </c>
      <c r="E1085" s="59" t="str">
        <f aca="false">IFERROR(IF([2]对账明细接口!$E$1085=0,"",[2]对账明细接口!$E$1085),"")</f>
        <v/>
      </c>
      <c r="F1085" s="59" t="str">
        <f aca="false">IFERROR(IF([2]对账明细接口!$F$1085=0,"",[2]对账明细接口!$F$1085),"")</f>
        <v/>
      </c>
      <c r="G1085" s="59" t="str">
        <f aca="false">IFERROR(IF([2]对账明细接口!$G$1085=0,"",[2]对账明细接口!$G$1085),"")</f>
        <v/>
      </c>
      <c r="H1085" s="60" t="str">
        <f aca="false">IFERROR(IF([2]对账明细接口!$H$1085=0,"",[2]对账明细接口!$H$1085),"")</f>
        <v/>
      </c>
      <c r="I1085" s="59" t="str">
        <f aca="false">IFERROR(IF([2]对账明细接口!$I$1085=0,"",[2]对账明细接口!$I$1085),"")</f>
        <v/>
      </c>
      <c r="J1085" s="61" t="str">
        <f aca="false">IFERROR(IF([2]对账明细接口!$J$1085=0,"",[2]对账明细接口!$J$1085),"")</f>
        <v/>
      </c>
      <c r="K1085" s="61" t="str">
        <f aca="false">IFERROR(IF([2]对账明细接口!$K$1085=0,"",[2]对账明细接口!$K$1085),"")</f>
        <v/>
      </c>
      <c r="L1085" s="59" t="str">
        <f aca="false">IFERROR(IF([2]对账明细接口!$L$1085=0,"",[2]对账明细接口!$L$1085),"")</f>
        <v/>
      </c>
      <c r="M1085" s="59" t="str">
        <f aca="false">IFERROR(IF([2]对账明细接口!$M$1085=0,"",[2]对账明细接口!$M$1085),"")</f>
        <v/>
      </c>
      <c r="N1085" s="111" t="n">
        <f aca="false">IF($C1085="",0,1)</f>
        <v>0</v>
      </c>
      <c r="O1085" s="111" t="n">
        <f aca="false">N(O1084)+$N1085</f>
        <v>311</v>
      </c>
      <c r="S1085" s="10" t="str">
        <f aca="false">IFERROR(IF([2]对账明细接口!$N1085=0,"",[2]对账明细接口!$N1085),"")</f>
        <v/>
      </c>
      <c r="T1085" s="112" t="str">
        <f aca="false">IFERROR(IF([2]对账明细接口!$O1085=0,"",[2]对账明细接口!$O1085),"")</f>
        <v/>
      </c>
      <c r="U1085" s="112" t="str">
        <f aca="false">IFERROR(IF([2]对账明细接口!$P1085=0,"",[2]对账明细接口!$P1085),"")</f>
        <v/>
      </c>
      <c r="V1085" s="112" t="str">
        <f aca="false">IFERROR(IF([2]对账明细接口!$Q1085=0,"",[2]对账明细接口!$Q1085),"")</f>
        <v/>
      </c>
      <c r="W1085" s="10" t="str">
        <f aca="false">IFERROR(IF([2]对账明细接口!$R1085=0,"",[2]对账明细接口!$R1085),"")</f>
        <v/>
      </c>
      <c r="X1085" s="10" t="str">
        <f aca="false">IFERROR(IF([2]对账明细接口!$S1085=0,"",[2]对账明细接口!$S1085),"")</f>
        <v/>
      </c>
      <c r="Y1085" s="10" t="str">
        <f aca="false">IFERROR(IF([2]对账明细接口!$T1085=0,"",[2]对账明细接口!$T1085),"")</f>
        <v/>
      </c>
      <c r="Z1085" s="113" t="str">
        <f aca="false">IFERROR(IF([2]对账明细接口!$U1085=0,"",[2]对账明细接口!$U1085),"")</f>
        <v/>
      </c>
      <c r="AA1085" s="113" t="str">
        <f aca="false">IFERROR(IF([2]对账明细接口!$V1085=0,"",[2]对账明细接口!$V1085),"")</f>
        <v/>
      </c>
      <c r="AB1085" s="10" t="str">
        <f aca="false">IFERROR(IF([2]对账明细接口!$W1085=0,"",[2]对账明细接口!$W1085),"")</f>
        <v/>
      </c>
      <c r="AC1085" s="90" t="str">
        <f aca="false">IFERROR(IF([2]对账明细接口!$X1086=0,"",[2]对账明细接口!$X1086),"")</f>
        <v/>
      </c>
      <c r="AD1085" s="90" t="str">
        <f aca="false">IFERROR(IF([2]对账明细接口!$Y1086=0,"",[2]对账明细接口!$Y1086),"")</f>
        <v/>
      </c>
      <c r="AE1085" s="90" t="str">
        <f aca="false">IFERROR(IF([2]对账明细接口!$AA1086=0,"",[2]对账明细接口!$AA1086),"")</f>
        <v/>
      </c>
      <c r="AF1085" s="90" t="str">
        <f aca="false">IFERROR(IF([2]对账明细接口!$AB1086=0,"",[2]对账明细接口!$AB1086),"")</f>
        <v/>
      </c>
      <c r="AG1085" s="90" t="str">
        <f aca="false">IFERROR(IF([2]对账明细接口!$AC1086=0,"",[2]对账明细接口!$AC1086),"")</f>
        <v/>
      </c>
      <c r="AH1085" s="90" t="str">
        <f aca="false">IFERROR(IF([2]对账明细接口!$AD1086=0,"",[2]对账明细接口!$AD1086),"")</f>
        <v/>
      </c>
    </row>
    <row r="1086" customFormat="false" ht="13.5" hidden="false" customHeight="false" outlineLevel="0" collapsed="false">
      <c r="A1086" s="109" t="n">
        <v>1086</v>
      </c>
      <c r="B1086" s="110" t="str">
        <f aca="false">IFERROR(IF([2]对账明细接口!$B$1086=0,"",[2]对账明细接口!$B$1086),"")</f>
        <v/>
      </c>
      <c r="C1086" s="59" t="str">
        <f aca="false">IFERROR(IF([2]对账明细接口!$C$1086=0,"",[2]对账明细接口!$C$1086),"")</f>
        <v/>
      </c>
      <c r="D1086" s="59" t="str">
        <f aca="false">IFERROR(IF([2]对账明细接口!$D$1086=0,"",[2]对账明细接口!$D$1086),"")</f>
        <v/>
      </c>
      <c r="E1086" s="59" t="str">
        <f aca="false">IFERROR(IF([2]对账明细接口!$E$1086=0,"",[2]对账明细接口!$E$1086),"")</f>
        <v/>
      </c>
      <c r="F1086" s="59" t="str">
        <f aca="false">IFERROR(IF([2]对账明细接口!$F$1086=0,"",[2]对账明细接口!$F$1086),"")</f>
        <v/>
      </c>
      <c r="G1086" s="59" t="str">
        <f aca="false">IFERROR(IF([2]对账明细接口!$G$1086=0,"",[2]对账明细接口!$G$1086),"")</f>
        <v/>
      </c>
      <c r="H1086" s="60" t="str">
        <f aca="false">IFERROR(IF([2]对账明细接口!$H$1086=0,"",[2]对账明细接口!$H$1086),"")</f>
        <v/>
      </c>
      <c r="I1086" s="59" t="str">
        <f aca="false">IFERROR(IF([2]对账明细接口!$I$1086=0,"",[2]对账明细接口!$I$1086),"")</f>
        <v/>
      </c>
      <c r="J1086" s="61" t="str">
        <f aca="false">IFERROR(IF([2]对账明细接口!$J$1086=0,"",[2]对账明细接口!$J$1086),"")</f>
        <v/>
      </c>
      <c r="K1086" s="61" t="str">
        <f aca="false">IFERROR(IF([2]对账明细接口!$K$1086=0,"",[2]对账明细接口!$K$1086),"")</f>
        <v/>
      </c>
      <c r="L1086" s="59" t="str">
        <f aca="false">IFERROR(IF([2]对账明细接口!$L$1086=0,"",[2]对账明细接口!$L$1086),"")</f>
        <v/>
      </c>
      <c r="M1086" s="59" t="str">
        <f aca="false">IFERROR(IF([2]对账明细接口!$M$1086=0,"",[2]对账明细接口!$M$1086),"")</f>
        <v/>
      </c>
      <c r="N1086" s="111" t="n">
        <f aca="false">IF($C1086="",0,1)</f>
        <v>0</v>
      </c>
      <c r="O1086" s="111" t="n">
        <f aca="false">N(O1085)+$N1086</f>
        <v>311</v>
      </c>
      <c r="S1086" s="10" t="str">
        <f aca="false">IFERROR(IF([2]对账明细接口!$N1086=0,"",[2]对账明细接口!$N1086),"")</f>
        <v/>
      </c>
      <c r="T1086" s="112" t="str">
        <f aca="false">IFERROR(IF([2]对账明细接口!$O1086=0,"",[2]对账明细接口!$O1086),"")</f>
        <v/>
      </c>
      <c r="U1086" s="112" t="str">
        <f aca="false">IFERROR(IF([2]对账明细接口!$P1086=0,"",[2]对账明细接口!$P1086),"")</f>
        <v/>
      </c>
      <c r="V1086" s="112" t="str">
        <f aca="false">IFERROR(IF([2]对账明细接口!$Q1086=0,"",[2]对账明细接口!$Q1086),"")</f>
        <v/>
      </c>
      <c r="W1086" s="10" t="str">
        <f aca="false">IFERROR(IF([2]对账明细接口!$R1086=0,"",[2]对账明细接口!$R1086),"")</f>
        <v/>
      </c>
      <c r="X1086" s="10" t="str">
        <f aca="false">IFERROR(IF([2]对账明细接口!$S1086=0,"",[2]对账明细接口!$S1086),"")</f>
        <v/>
      </c>
      <c r="Y1086" s="10" t="str">
        <f aca="false">IFERROR(IF([2]对账明细接口!$T1086=0,"",[2]对账明细接口!$T1086),"")</f>
        <v/>
      </c>
      <c r="Z1086" s="113" t="str">
        <f aca="false">IFERROR(IF([2]对账明细接口!$U1086=0,"",[2]对账明细接口!$U1086),"")</f>
        <v/>
      </c>
      <c r="AA1086" s="113" t="str">
        <f aca="false">IFERROR(IF([2]对账明细接口!$V1086=0,"",[2]对账明细接口!$V1086),"")</f>
        <v/>
      </c>
      <c r="AB1086" s="10" t="str">
        <f aca="false">IFERROR(IF([2]对账明细接口!$W1086=0,"",[2]对账明细接口!$W1086),"")</f>
        <v/>
      </c>
      <c r="AC1086" s="90" t="str">
        <f aca="false">IFERROR(IF([2]对账明细接口!$X1087=0,"",[2]对账明细接口!$X1087),"")</f>
        <v/>
      </c>
      <c r="AD1086" s="90" t="str">
        <f aca="false">IFERROR(IF([2]对账明细接口!$Y1087=0,"",[2]对账明细接口!$Y1087),"")</f>
        <v/>
      </c>
      <c r="AE1086" s="90" t="str">
        <f aca="false">IFERROR(IF([2]对账明细接口!$AA1087=0,"",[2]对账明细接口!$AA1087),"")</f>
        <v/>
      </c>
      <c r="AF1086" s="90" t="str">
        <f aca="false">IFERROR(IF([2]对账明细接口!$AB1087=0,"",[2]对账明细接口!$AB1087),"")</f>
        <v/>
      </c>
      <c r="AG1086" s="90" t="str">
        <f aca="false">IFERROR(IF([2]对账明细接口!$AC1087=0,"",[2]对账明细接口!$AC1087),"")</f>
        <v/>
      </c>
      <c r="AH1086" s="90" t="str">
        <f aca="false">IFERROR(IF([2]对账明细接口!$AD1087=0,"",[2]对账明细接口!$AD1087),"")</f>
        <v/>
      </c>
    </row>
    <row r="1087" customFormat="false" ht="13.5" hidden="false" customHeight="false" outlineLevel="0" collapsed="false">
      <c r="A1087" s="109" t="n">
        <v>1087</v>
      </c>
      <c r="B1087" s="110" t="str">
        <f aca="false">IFERROR(IF([2]对账明细接口!$B$1087=0,"",[2]对账明细接口!$B$1087),"")</f>
        <v/>
      </c>
      <c r="C1087" s="59" t="str">
        <f aca="false">IFERROR(IF([2]对账明细接口!$C$1087=0,"",[2]对账明细接口!$C$1087),"")</f>
        <v/>
      </c>
      <c r="D1087" s="59" t="str">
        <f aca="false">IFERROR(IF([2]对账明细接口!$D$1087=0,"",[2]对账明细接口!$D$1087),"")</f>
        <v/>
      </c>
      <c r="E1087" s="59" t="str">
        <f aca="false">IFERROR(IF([2]对账明细接口!$E$1087=0,"",[2]对账明细接口!$E$1087),"")</f>
        <v/>
      </c>
      <c r="F1087" s="59" t="str">
        <f aca="false">IFERROR(IF([2]对账明细接口!$F$1087=0,"",[2]对账明细接口!$F$1087),"")</f>
        <v/>
      </c>
      <c r="G1087" s="59" t="str">
        <f aca="false">IFERROR(IF([2]对账明细接口!$G$1087=0,"",[2]对账明细接口!$G$1087),"")</f>
        <v/>
      </c>
      <c r="H1087" s="60" t="str">
        <f aca="false">IFERROR(IF([2]对账明细接口!$H$1087=0,"",[2]对账明细接口!$H$1087),"")</f>
        <v/>
      </c>
      <c r="I1087" s="59" t="str">
        <f aca="false">IFERROR(IF([2]对账明细接口!$I$1087=0,"",[2]对账明细接口!$I$1087),"")</f>
        <v/>
      </c>
      <c r="J1087" s="61" t="str">
        <f aca="false">IFERROR(IF([2]对账明细接口!$J$1087=0,"",[2]对账明细接口!$J$1087),"")</f>
        <v/>
      </c>
      <c r="K1087" s="61" t="str">
        <f aca="false">IFERROR(IF([2]对账明细接口!$K$1087=0,"",[2]对账明细接口!$K$1087),"")</f>
        <v/>
      </c>
      <c r="L1087" s="59" t="str">
        <f aca="false">IFERROR(IF([2]对账明细接口!$L$1087=0,"",[2]对账明细接口!$L$1087),"")</f>
        <v/>
      </c>
      <c r="M1087" s="59" t="str">
        <f aca="false">IFERROR(IF([2]对账明细接口!$M$1087=0,"",[2]对账明细接口!$M$1087),"")</f>
        <v/>
      </c>
      <c r="N1087" s="111" t="n">
        <f aca="false">IF($C1087="",0,1)</f>
        <v>0</v>
      </c>
      <c r="O1087" s="111" t="n">
        <f aca="false">N(O1086)+$N1087</f>
        <v>311</v>
      </c>
      <c r="S1087" s="10" t="str">
        <f aca="false">IFERROR(IF([2]对账明细接口!$N1087=0,"",[2]对账明细接口!$N1087),"")</f>
        <v/>
      </c>
      <c r="T1087" s="112" t="str">
        <f aca="false">IFERROR(IF([2]对账明细接口!$O1087=0,"",[2]对账明细接口!$O1087),"")</f>
        <v/>
      </c>
      <c r="U1087" s="112" t="str">
        <f aca="false">IFERROR(IF([2]对账明细接口!$P1087=0,"",[2]对账明细接口!$P1087),"")</f>
        <v/>
      </c>
      <c r="V1087" s="112" t="str">
        <f aca="false">IFERROR(IF([2]对账明细接口!$Q1087=0,"",[2]对账明细接口!$Q1087),"")</f>
        <v/>
      </c>
      <c r="W1087" s="10" t="str">
        <f aca="false">IFERROR(IF([2]对账明细接口!$R1087=0,"",[2]对账明细接口!$R1087),"")</f>
        <v/>
      </c>
      <c r="X1087" s="10" t="str">
        <f aca="false">IFERROR(IF([2]对账明细接口!$S1087=0,"",[2]对账明细接口!$S1087),"")</f>
        <v/>
      </c>
      <c r="Y1087" s="10" t="str">
        <f aca="false">IFERROR(IF([2]对账明细接口!$T1087=0,"",[2]对账明细接口!$T1087),"")</f>
        <v/>
      </c>
      <c r="Z1087" s="113" t="str">
        <f aca="false">IFERROR(IF([2]对账明细接口!$U1087=0,"",[2]对账明细接口!$U1087),"")</f>
        <v/>
      </c>
      <c r="AA1087" s="113" t="str">
        <f aca="false">IFERROR(IF([2]对账明细接口!$V1087=0,"",[2]对账明细接口!$V1087),"")</f>
        <v/>
      </c>
      <c r="AB1087" s="10" t="str">
        <f aca="false">IFERROR(IF([2]对账明细接口!$W1087=0,"",[2]对账明细接口!$W1087),"")</f>
        <v/>
      </c>
      <c r="AC1087" s="90" t="str">
        <f aca="false">IFERROR(IF([2]对账明细接口!$X1088=0,"",[2]对账明细接口!$X1088),"")</f>
        <v/>
      </c>
      <c r="AD1087" s="90" t="str">
        <f aca="false">IFERROR(IF([2]对账明细接口!$Y1088=0,"",[2]对账明细接口!$Y1088),"")</f>
        <v/>
      </c>
      <c r="AE1087" s="90" t="str">
        <f aca="false">IFERROR(IF([2]对账明细接口!$AA1088=0,"",[2]对账明细接口!$AA1088),"")</f>
        <v/>
      </c>
      <c r="AF1087" s="90" t="str">
        <f aca="false">IFERROR(IF([2]对账明细接口!$AB1088=0,"",[2]对账明细接口!$AB1088),"")</f>
        <v/>
      </c>
      <c r="AG1087" s="90" t="str">
        <f aca="false">IFERROR(IF([2]对账明细接口!$AC1088=0,"",[2]对账明细接口!$AC1088),"")</f>
        <v/>
      </c>
      <c r="AH1087" s="90" t="str">
        <f aca="false">IFERROR(IF([2]对账明细接口!$AD1088=0,"",[2]对账明细接口!$AD1088),"")</f>
        <v/>
      </c>
    </row>
    <row r="1088" customFormat="false" ht="13.5" hidden="false" customHeight="false" outlineLevel="0" collapsed="false">
      <c r="A1088" s="109" t="n">
        <v>1088</v>
      </c>
      <c r="B1088" s="110" t="str">
        <f aca="false">IFERROR(IF([2]对账明细接口!$B$1088=0,"",[2]对账明细接口!$B$1088),"")</f>
        <v/>
      </c>
      <c r="C1088" s="59" t="str">
        <f aca="false">IFERROR(IF([2]对账明细接口!$C$1088=0,"",[2]对账明细接口!$C$1088),"")</f>
        <v/>
      </c>
      <c r="D1088" s="59" t="str">
        <f aca="false">IFERROR(IF([2]对账明细接口!$D$1088=0,"",[2]对账明细接口!$D$1088),"")</f>
        <v/>
      </c>
      <c r="E1088" s="59" t="str">
        <f aca="false">IFERROR(IF([2]对账明细接口!$E$1088=0,"",[2]对账明细接口!$E$1088),"")</f>
        <v/>
      </c>
      <c r="F1088" s="59" t="str">
        <f aca="false">IFERROR(IF([2]对账明细接口!$F$1088=0,"",[2]对账明细接口!$F$1088),"")</f>
        <v/>
      </c>
      <c r="G1088" s="59" t="str">
        <f aca="false">IFERROR(IF([2]对账明细接口!$G$1088=0,"",[2]对账明细接口!$G$1088),"")</f>
        <v/>
      </c>
      <c r="H1088" s="60" t="str">
        <f aca="false">IFERROR(IF([2]对账明细接口!$H$1088=0,"",[2]对账明细接口!$H$1088),"")</f>
        <v/>
      </c>
      <c r="I1088" s="59" t="str">
        <f aca="false">IFERROR(IF([2]对账明细接口!$I$1088=0,"",[2]对账明细接口!$I$1088),"")</f>
        <v/>
      </c>
      <c r="J1088" s="61" t="str">
        <f aca="false">IFERROR(IF([2]对账明细接口!$J$1088=0,"",[2]对账明细接口!$J$1088),"")</f>
        <v/>
      </c>
      <c r="K1088" s="61" t="str">
        <f aca="false">IFERROR(IF([2]对账明细接口!$K$1088=0,"",[2]对账明细接口!$K$1088),"")</f>
        <v/>
      </c>
      <c r="L1088" s="59" t="str">
        <f aca="false">IFERROR(IF([2]对账明细接口!$L$1088=0,"",[2]对账明细接口!$L$1088),"")</f>
        <v/>
      </c>
      <c r="M1088" s="59" t="str">
        <f aca="false">IFERROR(IF([2]对账明细接口!$M$1088=0,"",[2]对账明细接口!$M$1088),"")</f>
        <v/>
      </c>
      <c r="N1088" s="111" t="n">
        <f aca="false">IF($C1088="",0,1)</f>
        <v>0</v>
      </c>
      <c r="O1088" s="111" t="n">
        <f aca="false">N(O1087)+$N1088</f>
        <v>311</v>
      </c>
      <c r="S1088" s="10" t="str">
        <f aca="false">IFERROR(IF([2]对账明细接口!$N1088=0,"",[2]对账明细接口!$N1088),"")</f>
        <v/>
      </c>
      <c r="T1088" s="112" t="str">
        <f aca="false">IFERROR(IF([2]对账明细接口!$O1088=0,"",[2]对账明细接口!$O1088),"")</f>
        <v/>
      </c>
      <c r="U1088" s="112" t="str">
        <f aca="false">IFERROR(IF([2]对账明细接口!$P1088=0,"",[2]对账明细接口!$P1088),"")</f>
        <v/>
      </c>
      <c r="V1088" s="112" t="str">
        <f aca="false">IFERROR(IF([2]对账明细接口!$Q1088=0,"",[2]对账明细接口!$Q1088),"")</f>
        <v/>
      </c>
      <c r="W1088" s="10" t="str">
        <f aca="false">IFERROR(IF([2]对账明细接口!$R1088=0,"",[2]对账明细接口!$R1088),"")</f>
        <v/>
      </c>
      <c r="X1088" s="10" t="str">
        <f aca="false">IFERROR(IF([2]对账明细接口!$S1088=0,"",[2]对账明细接口!$S1088),"")</f>
        <v/>
      </c>
      <c r="Y1088" s="10" t="str">
        <f aca="false">IFERROR(IF([2]对账明细接口!$T1088=0,"",[2]对账明细接口!$T1088),"")</f>
        <v/>
      </c>
      <c r="Z1088" s="113" t="str">
        <f aca="false">IFERROR(IF([2]对账明细接口!$U1088=0,"",[2]对账明细接口!$U1088),"")</f>
        <v/>
      </c>
      <c r="AA1088" s="113" t="str">
        <f aca="false">IFERROR(IF([2]对账明细接口!$V1088=0,"",[2]对账明细接口!$V1088),"")</f>
        <v/>
      </c>
      <c r="AB1088" s="10" t="str">
        <f aca="false">IFERROR(IF([2]对账明细接口!$W1088=0,"",[2]对账明细接口!$W1088),"")</f>
        <v/>
      </c>
      <c r="AC1088" s="90" t="str">
        <f aca="false">IFERROR(IF([2]对账明细接口!$X1089=0,"",[2]对账明细接口!$X1089),"")</f>
        <v/>
      </c>
      <c r="AD1088" s="90" t="str">
        <f aca="false">IFERROR(IF([2]对账明细接口!$Y1089=0,"",[2]对账明细接口!$Y1089),"")</f>
        <v/>
      </c>
      <c r="AE1088" s="90" t="str">
        <f aca="false">IFERROR(IF([2]对账明细接口!$AA1089=0,"",[2]对账明细接口!$AA1089),"")</f>
        <v/>
      </c>
      <c r="AF1088" s="90" t="str">
        <f aca="false">IFERROR(IF([2]对账明细接口!$AB1089=0,"",[2]对账明细接口!$AB1089),"")</f>
        <v/>
      </c>
      <c r="AG1088" s="90" t="str">
        <f aca="false">IFERROR(IF([2]对账明细接口!$AC1089=0,"",[2]对账明细接口!$AC1089),"")</f>
        <v/>
      </c>
      <c r="AH1088" s="90" t="str">
        <f aca="false">IFERROR(IF([2]对账明细接口!$AD1089=0,"",[2]对账明细接口!$AD1089),"")</f>
        <v/>
      </c>
    </row>
    <row r="1089" customFormat="false" ht="13.5" hidden="false" customHeight="false" outlineLevel="0" collapsed="false">
      <c r="A1089" s="109" t="n">
        <v>1089</v>
      </c>
      <c r="B1089" s="110" t="str">
        <f aca="false">IFERROR(IF([2]对账明细接口!$B$1089=0,"",[2]对账明细接口!$B$1089),"")</f>
        <v/>
      </c>
      <c r="C1089" s="59" t="str">
        <f aca="false">IFERROR(IF([2]对账明细接口!$C$1089=0,"",[2]对账明细接口!$C$1089),"")</f>
        <v/>
      </c>
      <c r="D1089" s="59" t="str">
        <f aca="false">IFERROR(IF([2]对账明细接口!$D$1089=0,"",[2]对账明细接口!$D$1089),"")</f>
        <v/>
      </c>
      <c r="E1089" s="59" t="str">
        <f aca="false">IFERROR(IF([2]对账明细接口!$E$1089=0,"",[2]对账明细接口!$E$1089),"")</f>
        <v/>
      </c>
      <c r="F1089" s="59" t="str">
        <f aca="false">IFERROR(IF([2]对账明细接口!$F$1089=0,"",[2]对账明细接口!$F$1089),"")</f>
        <v/>
      </c>
      <c r="G1089" s="59" t="str">
        <f aca="false">IFERROR(IF([2]对账明细接口!$G$1089=0,"",[2]对账明细接口!$G$1089),"")</f>
        <v/>
      </c>
      <c r="H1089" s="60" t="str">
        <f aca="false">IFERROR(IF([2]对账明细接口!$H$1089=0,"",[2]对账明细接口!$H$1089),"")</f>
        <v/>
      </c>
      <c r="I1089" s="59" t="str">
        <f aca="false">IFERROR(IF([2]对账明细接口!$I$1089=0,"",[2]对账明细接口!$I$1089),"")</f>
        <v/>
      </c>
      <c r="J1089" s="61" t="str">
        <f aca="false">IFERROR(IF([2]对账明细接口!$J$1089=0,"",[2]对账明细接口!$J$1089),"")</f>
        <v/>
      </c>
      <c r="K1089" s="61" t="str">
        <f aca="false">IFERROR(IF([2]对账明细接口!$K$1089=0,"",[2]对账明细接口!$K$1089),"")</f>
        <v/>
      </c>
      <c r="L1089" s="59" t="str">
        <f aca="false">IFERROR(IF([2]对账明细接口!$L$1089=0,"",[2]对账明细接口!$L$1089),"")</f>
        <v/>
      </c>
      <c r="M1089" s="59" t="str">
        <f aca="false">IFERROR(IF([2]对账明细接口!$M$1089=0,"",[2]对账明细接口!$M$1089),"")</f>
        <v/>
      </c>
      <c r="N1089" s="111" t="n">
        <f aca="false">IF($C1089="",0,1)</f>
        <v>0</v>
      </c>
      <c r="O1089" s="111" t="n">
        <f aca="false">N(O1088)+$N1089</f>
        <v>311</v>
      </c>
      <c r="S1089" s="10" t="str">
        <f aca="false">IFERROR(IF([2]对账明细接口!$N1089=0,"",[2]对账明细接口!$N1089),"")</f>
        <v/>
      </c>
      <c r="T1089" s="112" t="str">
        <f aca="false">IFERROR(IF([2]对账明细接口!$O1089=0,"",[2]对账明细接口!$O1089),"")</f>
        <v/>
      </c>
      <c r="U1089" s="112" t="str">
        <f aca="false">IFERROR(IF([2]对账明细接口!$P1089=0,"",[2]对账明细接口!$P1089),"")</f>
        <v/>
      </c>
      <c r="V1089" s="112" t="str">
        <f aca="false">IFERROR(IF([2]对账明细接口!$Q1089=0,"",[2]对账明细接口!$Q1089),"")</f>
        <v/>
      </c>
      <c r="W1089" s="10" t="str">
        <f aca="false">IFERROR(IF([2]对账明细接口!$R1089=0,"",[2]对账明细接口!$R1089),"")</f>
        <v/>
      </c>
      <c r="X1089" s="10" t="str">
        <f aca="false">IFERROR(IF([2]对账明细接口!$S1089=0,"",[2]对账明细接口!$S1089),"")</f>
        <v/>
      </c>
      <c r="Y1089" s="10" t="str">
        <f aca="false">IFERROR(IF([2]对账明细接口!$T1089=0,"",[2]对账明细接口!$T1089),"")</f>
        <v/>
      </c>
      <c r="Z1089" s="113" t="str">
        <f aca="false">IFERROR(IF([2]对账明细接口!$U1089=0,"",[2]对账明细接口!$U1089),"")</f>
        <v/>
      </c>
      <c r="AA1089" s="113" t="str">
        <f aca="false">IFERROR(IF([2]对账明细接口!$V1089=0,"",[2]对账明细接口!$V1089),"")</f>
        <v/>
      </c>
      <c r="AB1089" s="10" t="str">
        <f aca="false">IFERROR(IF([2]对账明细接口!$W1089=0,"",[2]对账明细接口!$W1089),"")</f>
        <v/>
      </c>
      <c r="AC1089" s="90" t="str">
        <f aca="false">IFERROR(IF([2]对账明细接口!$X1090=0,"",[2]对账明细接口!$X1090),"")</f>
        <v/>
      </c>
      <c r="AD1089" s="90" t="str">
        <f aca="false">IFERROR(IF([2]对账明细接口!$Y1090=0,"",[2]对账明细接口!$Y1090),"")</f>
        <v/>
      </c>
      <c r="AE1089" s="90" t="str">
        <f aca="false">IFERROR(IF([2]对账明细接口!$AA1090=0,"",[2]对账明细接口!$AA1090),"")</f>
        <v/>
      </c>
      <c r="AF1089" s="90" t="str">
        <f aca="false">IFERROR(IF([2]对账明细接口!$AB1090=0,"",[2]对账明细接口!$AB1090),"")</f>
        <v/>
      </c>
      <c r="AG1089" s="90" t="str">
        <f aca="false">IFERROR(IF([2]对账明细接口!$AC1090=0,"",[2]对账明细接口!$AC1090),"")</f>
        <v/>
      </c>
      <c r="AH1089" s="90" t="str">
        <f aca="false">IFERROR(IF([2]对账明细接口!$AD1090=0,"",[2]对账明细接口!$AD1090),"")</f>
        <v/>
      </c>
    </row>
    <row r="1090" customFormat="false" ht="13.5" hidden="false" customHeight="false" outlineLevel="0" collapsed="false">
      <c r="A1090" s="109" t="n">
        <v>1090</v>
      </c>
      <c r="B1090" s="110" t="str">
        <f aca="false">IFERROR(IF([2]对账明细接口!$B$1090=0,"",[2]对账明细接口!$B$1090),"")</f>
        <v/>
      </c>
      <c r="C1090" s="59" t="str">
        <f aca="false">IFERROR(IF([2]对账明细接口!$C$1090=0,"",[2]对账明细接口!$C$1090),"")</f>
        <v/>
      </c>
      <c r="D1090" s="59" t="str">
        <f aca="false">IFERROR(IF([2]对账明细接口!$D$1090=0,"",[2]对账明细接口!$D$1090),"")</f>
        <v/>
      </c>
      <c r="E1090" s="59" t="str">
        <f aca="false">IFERROR(IF([2]对账明细接口!$E$1090=0,"",[2]对账明细接口!$E$1090),"")</f>
        <v/>
      </c>
      <c r="F1090" s="59" t="str">
        <f aca="false">IFERROR(IF([2]对账明细接口!$F$1090=0,"",[2]对账明细接口!$F$1090),"")</f>
        <v/>
      </c>
      <c r="G1090" s="59" t="str">
        <f aca="false">IFERROR(IF([2]对账明细接口!$G$1090=0,"",[2]对账明细接口!$G$1090),"")</f>
        <v/>
      </c>
      <c r="H1090" s="60" t="str">
        <f aca="false">IFERROR(IF([2]对账明细接口!$H$1090=0,"",[2]对账明细接口!$H$1090),"")</f>
        <v/>
      </c>
      <c r="I1090" s="59" t="str">
        <f aca="false">IFERROR(IF([2]对账明细接口!$I$1090=0,"",[2]对账明细接口!$I$1090),"")</f>
        <v/>
      </c>
      <c r="J1090" s="61" t="str">
        <f aca="false">IFERROR(IF([2]对账明细接口!$J$1090=0,"",[2]对账明细接口!$J$1090),"")</f>
        <v/>
      </c>
      <c r="K1090" s="61" t="str">
        <f aca="false">IFERROR(IF([2]对账明细接口!$K$1090=0,"",[2]对账明细接口!$K$1090),"")</f>
        <v/>
      </c>
      <c r="L1090" s="59" t="str">
        <f aca="false">IFERROR(IF([2]对账明细接口!$L$1090=0,"",[2]对账明细接口!$L$1090),"")</f>
        <v/>
      </c>
      <c r="M1090" s="59" t="str">
        <f aca="false">IFERROR(IF([2]对账明细接口!$M$1090=0,"",[2]对账明细接口!$M$1090),"")</f>
        <v/>
      </c>
      <c r="N1090" s="111" t="n">
        <f aca="false">IF($C1090="",0,1)</f>
        <v>0</v>
      </c>
      <c r="O1090" s="111" t="n">
        <f aca="false">N(O1089)+$N1090</f>
        <v>311</v>
      </c>
      <c r="S1090" s="10" t="str">
        <f aca="false">IFERROR(IF([2]对账明细接口!$N1090=0,"",[2]对账明细接口!$N1090),"")</f>
        <v/>
      </c>
      <c r="T1090" s="112" t="str">
        <f aca="false">IFERROR(IF([2]对账明细接口!$O1090=0,"",[2]对账明细接口!$O1090),"")</f>
        <v/>
      </c>
      <c r="U1090" s="112" t="str">
        <f aca="false">IFERROR(IF([2]对账明细接口!$P1090=0,"",[2]对账明细接口!$P1090),"")</f>
        <v/>
      </c>
      <c r="V1090" s="112" t="str">
        <f aca="false">IFERROR(IF([2]对账明细接口!$Q1090=0,"",[2]对账明细接口!$Q1090),"")</f>
        <v/>
      </c>
      <c r="W1090" s="10" t="str">
        <f aca="false">IFERROR(IF([2]对账明细接口!$R1090=0,"",[2]对账明细接口!$R1090),"")</f>
        <v/>
      </c>
      <c r="X1090" s="10" t="str">
        <f aca="false">IFERROR(IF([2]对账明细接口!$S1090=0,"",[2]对账明细接口!$S1090),"")</f>
        <v/>
      </c>
      <c r="Y1090" s="10" t="str">
        <f aca="false">IFERROR(IF([2]对账明细接口!$T1090=0,"",[2]对账明细接口!$T1090),"")</f>
        <v/>
      </c>
      <c r="Z1090" s="113" t="str">
        <f aca="false">IFERROR(IF([2]对账明细接口!$U1090=0,"",[2]对账明细接口!$U1090),"")</f>
        <v/>
      </c>
      <c r="AA1090" s="113" t="str">
        <f aca="false">IFERROR(IF([2]对账明细接口!$V1090=0,"",[2]对账明细接口!$V1090),"")</f>
        <v/>
      </c>
      <c r="AB1090" s="10" t="str">
        <f aca="false">IFERROR(IF([2]对账明细接口!$W1090=0,"",[2]对账明细接口!$W1090),"")</f>
        <v/>
      </c>
      <c r="AC1090" s="90" t="str">
        <f aca="false">IFERROR(IF([2]对账明细接口!$X1091=0,"",[2]对账明细接口!$X1091),"")</f>
        <v/>
      </c>
      <c r="AD1090" s="90" t="str">
        <f aca="false">IFERROR(IF([2]对账明细接口!$Y1091=0,"",[2]对账明细接口!$Y1091),"")</f>
        <v/>
      </c>
      <c r="AE1090" s="90" t="str">
        <f aca="false">IFERROR(IF([2]对账明细接口!$AA1091=0,"",[2]对账明细接口!$AA1091),"")</f>
        <v/>
      </c>
      <c r="AF1090" s="90" t="str">
        <f aca="false">IFERROR(IF([2]对账明细接口!$AB1091=0,"",[2]对账明细接口!$AB1091),"")</f>
        <v/>
      </c>
      <c r="AG1090" s="90" t="str">
        <f aca="false">IFERROR(IF([2]对账明细接口!$AC1091=0,"",[2]对账明细接口!$AC1091),"")</f>
        <v/>
      </c>
      <c r="AH1090" s="90" t="str">
        <f aca="false">IFERROR(IF([2]对账明细接口!$AD1091=0,"",[2]对账明细接口!$AD1091),"")</f>
        <v/>
      </c>
    </row>
    <row r="1091" customFormat="false" ht="13.5" hidden="false" customHeight="false" outlineLevel="0" collapsed="false">
      <c r="A1091" s="109" t="n">
        <v>1091</v>
      </c>
      <c r="B1091" s="110" t="str">
        <f aca="false">IFERROR(IF([2]对账明细接口!$B$1091=0,"",[2]对账明细接口!$B$1091),"")</f>
        <v/>
      </c>
      <c r="C1091" s="59" t="str">
        <f aca="false">IFERROR(IF([2]对账明细接口!$C$1091=0,"",[2]对账明细接口!$C$1091),"")</f>
        <v/>
      </c>
      <c r="D1091" s="59" t="str">
        <f aca="false">IFERROR(IF([2]对账明细接口!$D$1091=0,"",[2]对账明细接口!$D$1091),"")</f>
        <v/>
      </c>
      <c r="E1091" s="59" t="str">
        <f aca="false">IFERROR(IF([2]对账明细接口!$E$1091=0,"",[2]对账明细接口!$E$1091),"")</f>
        <v/>
      </c>
      <c r="F1091" s="59" t="str">
        <f aca="false">IFERROR(IF([2]对账明细接口!$F$1091=0,"",[2]对账明细接口!$F$1091),"")</f>
        <v/>
      </c>
      <c r="G1091" s="59" t="str">
        <f aca="false">IFERROR(IF([2]对账明细接口!$G$1091=0,"",[2]对账明细接口!$G$1091),"")</f>
        <v/>
      </c>
      <c r="H1091" s="60" t="str">
        <f aca="false">IFERROR(IF([2]对账明细接口!$H$1091=0,"",[2]对账明细接口!$H$1091),"")</f>
        <v/>
      </c>
      <c r="I1091" s="59" t="str">
        <f aca="false">IFERROR(IF([2]对账明细接口!$I$1091=0,"",[2]对账明细接口!$I$1091),"")</f>
        <v/>
      </c>
      <c r="J1091" s="61" t="str">
        <f aca="false">IFERROR(IF([2]对账明细接口!$J$1091=0,"",[2]对账明细接口!$J$1091),"")</f>
        <v/>
      </c>
      <c r="K1091" s="61" t="str">
        <f aca="false">IFERROR(IF([2]对账明细接口!$K$1091=0,"",[2]对账明细接口!$K$1091),"")</f>
        <v/>
      </c>
      <c r="L1091" s="59" t="str">
        <f aca="false">IFERROR(IF([2]对账明细接口!$L$1091=0,"",[2]对账明细接口!$L$1091),"")</f>
        <v/>
      </c>
      <c r="M1091" s="59" t="str">
        <f aca="false">IFERROR(IF([2]对账明细接口!$M$1091=0,"",[2]对账明细接口!$M$1091),"")</f>
        <v/>
      </c>
      <c r="N1091" s="111" t="n">
        <f aca="false">IF($C1091="",0,1)</f>
        <v>0</v>
      </c>
      <c r="O1091" s="111" t="n">
        <f aca="false">N(O1090)+$N1091</f>
        <v>311</v>
      </c>
      <c r="S1091" s="10" t="str">
        <f aca="false">IFERROR(IF([2]对账明细接口!$N1091=0,"",[2]对账明细接口!$N1091),"")</f>
        <v/>
      </c>
      <c r="T1091" s="112" t="str">
        <f aca="false">IFERROR(IF([2]对账明细接口!$O1091=0,"",[2]对账明细接口!$O1091),"")</f>
        <v/>
      </c>
      <c r="U1091" s="112" t="str">
        <f aca="false">IFERROR(IF([2]对账明细接口!$P1091=0,"",[2]对账明细接口!$P1091),"")</f>
        <v/>
      </c>
      <c r="V1091" s="112" t="str">
        <f aca="false">IFERROR(IF([2]对账明细接口!$Q1091=0,"",[2]对账明细接口!$Q1091),"")</f>
        <v/>
      </c>
      <c r="W1091" s="10" t="str">
        <f aca="false">IFERROR(IF([2]对账明细接口!$R1091=0,"",[2]对账明细接口!$R1091),"")</f>
        <v/>
      </c>
      <c r="X1091" s="10" t="str">
        <f aca="false">IFERROR(IF([2]对账明细接口!$S1091=0,"",[2]对账明细接口!$S1091),"")</f>
        <v/>
      </c>
      <c r="Y1091" s="10" t="str">
        <f aca="false">IFERROR(IF([2]对账明细接口!$T1091=0,"",[2]对账明细接口!$T1091),"")</f>
        <v/>
      </c>
      <c r="Z1091" s="113" t="str">
        <f aca="false">IFERROR(IF([2]对账明细接口!$U1091=0,"",[2]对账明细接口!$U1091),"")</f>
        <v/>
      </c>
      <c r="AA1091" s="113" t="str">
        <f aca="false">IFERROR(IF([2]对账明细接口!$V1091=0,"",[2]对账明细接口!$V1091),"")</f>
        <v/>
      </c>
      <c r="AB1091" s="10" t="str">
        <f aca="false">IFERROR(IF([2]对账明细接口!$W1091=0,"",[2]对账明细接口!$W1091),"")</f>
        <v/>
      </c>
      <c r="AC1091" s="90" t="str">
        <f aca="false">IFERROR(IF([2]对账明细接口!$X1092=0,"",[2]对账明细接口!$X1092),"")</f>
        <v/>
      </c>
      <c r="AD1091" s="90" t="str">
        <f aca="false">IFERROR(IF([2]对账明细接口!$Y1092=0,"",[2]对账明细接口!$Y1092),"")</f>
        <v/>
      </c>
      <c r="AE1091" s="90" t="str">
        <f aca="false">IFERROR(IF([2]对账明细接口!$AA1092=0,"",[2]对账明细接口!$AA1092),"")</f>
        <v/>
      </c>
      <c r="AF1091" s="90" t="str">
        <f aca="false">IFERROR(IF([2]对账明细接口!$AB1092=0,"",[2]对账明细接口!$AB1092),"")</f>
        <v/>
      </c>
      <c r="AG1091" s="90" t="str">
        <f aca="false">IFERROR(IF([2]对账明细接口!$AC1092=0,"",[2]对账明细接口!$AC1092),"")</f>
        <v/>
      </c>
      <c r="AH1091" s="90" t="str">
        <f aca="false">IFERROR(IF([2]对账明细接口!$AD1092=0,"",[2]对账明细接口!$AD1092),"")</f>
        <v/>
      </c>
    </row>
    <row r="1092" customFormat="false" ht="13.5" hidden="false" customHeight="false" outlineLevel="0" collapsed="false">
      <c r="A1092" s="109" t="n">
        <v>1092</v>
      </c>
      <c r="B1092" s="110" t="str">
        <f aca="false">IFERROR(IF([2]对账明细接口!$B$1092=0,"",[2]对账明细接口!$B$1092),"")</f>
        <v/>
      </c>
      <c r="C1092" s="59" t="str">
        <f aca="false">IFERROR(IF([2]对账明细接口!$C$1092=0,"",[2]对账明细接口!$C$1092),"")</f>
        <v/>
      </c>
      <c r="D1092" s="59" t="str">
        <f aca="false">IFERROR(IF([2]对账明细接口!$D$1092=0,"",[2]对账明细接口!$D$1092),"")</f>
        <v/>
      </c>
      <c r="E1092" s="59" t="str">
        <f aca="false">IFERROR(IF([2]对账明细接口!$E$1092=0,"",[2]对账明细接口!$E$1092),"")</f>
        <v/>
      </c>
      <c r="F1092" s="59" t="str">
        <f aca="false">IFERROR(IF([2]对账明细接口!$F$1092=0,"",[2]对账明细接口!$F$1092),"")</f>
        <v/>
      </c>
      <c r="G1092" s="59" t="str">
        <f aca="false">IFERROR(IF([2]对账明细接口!$G$1092=0,"",[2]对账明细接口!$G$1092),"")</f>
        <v/>
      </c>
      <c r="H1092" s="60" t="str">
        <f aca="false">IFERROR(IF([2]对账明细接口!$H$1092=0,"",[2]对账明细接口!$H$1092),"")</f>
        <v/>
      </c>
      <c r="I1092" s="59" t="str">
        <f aca="false">IFERROR(IF([2]对账明细接口!$I$1092=0,"",[2]对账明细接口!$I$1092),"")</f>
        <v/>
      </c>
      <c r="J1092" s="61" t="str">
        <f aca="false">IFERROR(IF([2]对账明细接口!$J$1092=0,"",[2]对账明细接口!$J$1092),"")</f>
        <v/>
      </c>
      <c r="K1092" s="61" t="str">
        <f aca="false">IFERROR(IF([2]对账明细接口!$K$1092=0,"",[2]对账明细接口!$K$1092),"")</f>
        <v/>
      </c>
      <c r="L1092" s="59" t="str">
        <f aca="false">IFERROR(IF([2]对账明细接口!$L$1092=0,"",[2]对账明细接口!$L$1092),"")</f>
        <v/>
      </c>
      <c r="M1092" s="59" t="str">
        <f aca="false">IFERROR(IF([2]对账明细接口!$M$1092=0,"",[2]对账明细接口!$M$1092),"")</f>
        <v/>
      </c>
      <c r="N1092" s="111" t="n">
        <f aca="false">IF($C1092="",0,1)</f>
        <v>0</v>
      </c>
      <c r="O1092" s="111" t="n">
        <f aca="false">N(O1091)+$N1092</f>
        <v>311</v>
      </c>
      <c r="S1092" s="10" t="str">
        <f aca="false">IFERROR(IF([2]对账明细接口!$N1092=0,"",[2]对账明细接口!$N1092),"")</f>
        <v/>
      </c>
      <c r="T1092" s="112" t="str">
        <f aca="false">IFERROR(IF([2]对账明细接口!$O1092=0,"",[2]对账明细接口!$O1092),"")</f>
        <v/>
      </c>
      <c r="U1092" s="112" t="str">
        <f aca="false">IFERROR(IF([2]对账明细接口!$P1092=0,"",[2]对账明细接口!$P1092),"")</f>
        <v/>
      </c>
      <c r="V1092" s="112" t="str">
        <f aca="false">IFERROR(IF([2]对账明细接口!$Q1092=0,"",[2]对账明细接口!$Q1092),"")</f>
        <v/>
      </c>
      <c r="W1092" s="10" t="str">
        <f aca="false">IFERROR(IF([2]对账明细接口!$R1092=0,"",[2]对账明细接口!$R1092),"")</f>
        <v/>
      </c>
      <c r="X1092" s="10" t="str">
        <f aca="false">IFERROR(IF([2]对账明细接口!$S1092=0,"",[2]对账明细接口!$S1092),"")</f>
        <v/>
      </c>
      <c r="Y1092" s="10" t="str">
        <f aca="false">IFERROR(IF([2]对账明细接口!$T1092=0,"",[2]对账明细接口!$T1092),"")</f>
        <v/>
      </c>
      <c r="Z1092" s="113" t="str">
        <f aca="false">IFERROR(IF([2]对账明细接口!$U1092=0,"",[2]对账明细接口!$U1092),"")</f>
        <v/>
      </c>
      <c r="AA1092" s="113" t="str">
        <f aca="false">IFERROR(IF([2]对账明细接口!$V1092=0,"",[2]对账明细接口!$V1092),"")</f>
        <v/>
      </c>
      <c r="AB1092" s="10" t="str">
        <f aca="false">IFERROR(IF([2]对账明细接口!$W1092=0,"",[2]对账明细接口!$W1092),"")</f>
        <v/>
      </c>
      <c r="AC1092" s="90" t="str">
        <f aca="false">IFERROR(IF([2]对账明细接口!$X1093=0,"",[2]对账明细接口!$X1093),"")</f>
        <v/>
      </c>
      <c r="AD1092" s="90" t="str">
        <f aca="false">IFERROR(IF([2]对账明细接口!$Y1093=0,"",[2]对账明细接口!$Y1093),"")</f>
        <v/>
      </c>
      <c r="AE1092" s="90" t="str">
        <f aca="false">IFERROR(IF([2]对账明细接口!$AA1093=0,"",[2]对账明细接口!$AA1093),"")</f>
        <v/>
      </c>
      <c r="AF1092" s="90" t="str">
        <f aca="false">IFERROR(IF([2]对账明细接口!$AB1093=0,"",[2]对账明细接口!$AB1093),"")</f>
        <v/>
      </c>
      <c r="AG1092" s="90" t="str">
        <f aca="false">IFERROR(IF([2]对账明细接口!$AC1093=0,"",[2]对账明细接口!$AC1093),"")</f>
        <v/>
      </c>
      <c r="AH1092" s="90" t="str">
        <f aca="false">IFERROR(IF([2]对账明细接口!$AD1093=0,"",[2]对账明细接口!$AD1093),"")</f>
        <v/>
      </c>
    </row>
    <row r="1093" customFormat="false" ht="13.5" hidden="false" customHeight="false" outlineLevel="0" collapsed="false">
      <c r="A1093" s="109" t="n">
        <v>1093</v>
      </c>
      <c r="B1093" s="110" t="str">
        <f aca="false">IFERROR(IF([2]对账明细接口!$B$1093=0,"",[2]对账明细接口!$B$1093),"")</f>
        <v/>
      </c>
      <c r="C1093" s="59" t="str">
        <f aca="false">IFERROR(IF([2]对账明细接口!$C$1093=0,"",[2]对账明细接口!$C$1093),"")</f>
        <v/>
      </c>
      <c r="D1093" s="59" t="str">
        <f aca="false">IFERROR(IF([2]对账明细接口!$D$1093=0,"",[2]对账明细接口!$D$1093),"")</f>
        <v/>
      </c>
      <c r="E1093" s="59" t="str">
        <f aca="false">IFERROR(IF([2]对账明细接口!$E$1093=0,"",[2]对账明细接口!$E$1093),"")</f>
        <v/>
      </c>
      <c r="F1093" s="59" t="str">
        <f aca="false">IFERROR(IF([2]对账明细接口!$F$1093=0,"",[2]对账明细接口!$F$1093),"")</f>
        <v/>
      </c>
      <c r="G1093" s="59" t="str">
        <f aca="false">IFERROR(IF([2]对账明细接口!$G$1093=0,"",[2]对账明细接口!$G$1093),"")</f>
        <v/>
      </c>
      <c r="H1093" s="60" t="str">
        <f aca="false">IFERROR(IF([2]对账明细接口!$H$1093=0,"",[2]对账明细接口!$H$1093),"")</f>
        <v/>
      </c>
      <c r="I1093" s="59" t="str">
        <f aca="false">IFERROR(IF([2]对账明细接口!$I$1093=0,"",[2]对账明细接口!$I$1093),"")</f>
        <v/>
      </c>
      <c r="J1093" s="61" t="str">
        <f aca="false">IFERROR(IF([2]对账明细接口!$J$1093=0,"",[2]对账明细接口!$J$1093),"")</f>
        <v/>
      </c>
      <c r="K1093" s="61" t="str">
        <f aca="false">IFERROR(IF([2]对账明细接口!$K$1093=0,"",[2]对账明细接口!$K$1093),"")</f>
        <v/>
      </c>
      <c r="L1093" s="59" t="str">
        <f aca="false">IFERROR(IF([2]对账明细接口!$L$1093=0,"",[2]对账明细接口!$L$1093),"")</f>
        <v/>
      </c>
      <c r="M1093" s="59" t="str">
        <f aca="false">IFERROR(IF([2]对账明细接口!$M$1093=0,"",[2]对账明细接口!$M$1093),"")</f>
        <v/>
      </c>
      <c r="N1093" s="111" t="n">
        <f aca="false">IF($C1093="",0,1)</f>
        <v>0</v>
      </c>
      <c r="O1093" s="111" t="n">
        <f aca="false">N(O1092)+$N1093</f>
        <v>311</v>
      </c>
      <c r="S1093" s="10" t="str">
        <f aca="false">IFERROR(IF([2]对账明细接口!$N1093=0,"",[2]对账明细接口!$N1093),"")</f>
        <v/>
      </c>
      <c r="T1093" s="112" t="str">
        <f aca="false">IFERROR(IF([2]对账明细接口!$O1093=0,"",[2]对账明细接口!$O1093),"")</f>
        <v/>
      </c>
      <c r="U1093" s="112" t="str">
        <f aca="false">IFERROR(IF([2]对账明细接口!$P1093=0,"",[2]对账明细接口!$P1093),"")</f>
        <v/>
      </c>
      <c r="V1093" s="112" t="str">
        <f aca="false">IFERROR(IF([2]对账明细接口!$Q1093=0,"",[2]对账明细接口!$Q1093),"")</f>
        <v/>
      </c>
      <c r="W1093" s="10" t="str">
        <f aca="false">IFERROR(IF([2]对账明细接口!$R1093=0,"",[2]对账明细接口!$R1093),"")</f>
        <v/>
      </c>
      <c r="X1093" s="10" t="str">
        <f aca="false">IFERROR(IF([2]对账明细接口!$S1093=0,"",[2]对账明细接口!$S1093),"")</f>
        <v/>
      </c>
      <c r="Y1093" s="10" t="str">
        <f aca="false">IFERROR(IF([2]对账明细接口!$T1093=0,"",[2]对账明细接口!$T1093),"")</f>
        <v/>
      </c>
      <c r="Z1093" s="113" t="str">
        <f aca="false">IFERROR(IF([2]对账明细接口!$U1093=0,"",[2]对账明细接口!$U1093),"")</f>
        <v/>
      </c>
      <c r="AA1093" s="113" t="str">
        <f aca="false">IFERROR(IF([2]对账明细接口!$V1093=0,"",[2]对账明细接口!$V1093),"")</f>
        <v/>
      </c>
      <c r="AB1093" s="10" t="str">
        <f aca="false">IFERROR(IF([2]对账明细接口!$W1093=0,"",[2]对账明细接口!$W1093),"")</f>
        <v/>
      </c>
      <c r="AC1093" s="90" t="str">
        <f aca="false">IFERROR(IF([2]对账明细接口!$X1094=0,"",[2]对账明细接口!$X1094),"")</f>
        <v/>
      </c>
      <c r="AD1093" s="90" t="str">
        <f aca="false">IFERROR(IF([2]对账明细接口!$Y1094=0,"",[2]对账明细接口!$Y1094),"")</f>
        <v/>
      </c>
      <c r="AE1093" s="90" t="str">
        <f aca="false">IFERROR(IF([2]对账明细接口!$AA1094=0,"",[2]对账明细接口!$AA1094),"")</f>
        <v/>
      </c>
      <c r="AF1093" s="90" t="str">
        <f aca="false">IFERROR(IF([2]对账明细接口!$AB1094=0,"",[2]对账明细接口!$AB1094),"")</f>
        <v/>
      </c>
      <c r="AG1093" s="90" t="str">
        <f aca="false">IFERROR(IF([2]对账明细接口!$AC1094=0,"",[2]对账明细接口!$AC1094),"")</f>
        <v/>
      </c>
      <c r="AH1093" s="90" t="str">
        <f aca="false">IFERROR(IF([2]对账明细接口!$AD1094=0,"",[2]对账明细接口!$AD1094),"")</f>
        <v/>
      </c>
    </row>
    <row r="1094" customFormat="false" ht="13.5" hidden="false" customHeight="false" outlineLevel="0" collapsed="false">
      <c r="A1094" s="109" t="n">
        <v>1094</v>
      </c>
      <c r="B1094" s="110" t="str">
        <f aca="false">IFERROR(IF([2]对账明细接口!$B$1094=0,"",[2]对账明细接口!$B$1094),"")</f>
        <v/>
      </c>
      <c r="C1094" s="59" t="str">
        <f aca="false">IFERROR(IF([2]对账明细接口!$C$1094=0,"",[2]对账明细接口!$C$1094),"")</f>
        <v/>
      </c>
      <c r="D1094" s="59" t="str">
        <f aca="false">IFERROR(IF([2]对账明细接口!$D$1094=0,"",[2]对账明细接口!$D$1094),"")</f>
        <v/>
      </c>
      <c r="E1094" s="59" t="str">
        <f aca="false">IFERROR(IF([2]对账明细接口!$E$1094=0,"",[2]对账明细接口!$E$1094),"")</f>
        <v/>
      </c>
      <c r="F1094" s="59" t="str">
        <f aca="false">IFERROR(IF([2]对账明细接口!$F$1094=0,"",[2]对账明细接口!$F$1094),"")</f>
        <v/>
      </c>
      <c r="G1094" s="59" t="str">
        <f aca="false">IFERROR(IF([2]对账明细接口!$G$1094=0,"",[2]对账明细接口!$G$1094),"")</f>
        <v/>
      </c>
      <c r="H1094" s="60" t="str">
        <f aca="false">IFERROR(IF([2]对账明细接口!$H$1094=0,"",[2]对账明细接口!$H$1094),"")</f>
        <v/>
      </c>
      <c r="I1094" s="59" t="str">
        <f aca="false">IFERROR(IF([2]对账明细接口!$I$1094=0,"",[2]对账明细接口!$I$1094),"")</f>
        <v/>
      </c>
      <c r="J1094" s="61" t="str">
        <f aca="false">IFERROR(IF([2]对账明细接口!$J$1094=0,"",[2]对账明细接口!$J$1094),"")</f>
        <v/>
      </c>
      <c r="K1094" s="61" t="str">
        <f aca="false">IFERROR(IF([2]对账明细接口!$K$1094=0,"",[2]对账明细接口!$K$1094),"")</f>
        <v/>
      </c>
      <c r="L1094" s="59" t="str">
        <f aca="false">IFERROR(IF([2]对账明细接口!$L$1094=0,"",[2]对账明细接口!$L$1094),"")</f>
        <v/>
      </c>
      <c r="M1094" s="59" t="str">
        <f aca="false">IFERROR(IF([2]对账明细接口!$M$1094=0,"",[2]对账明细接口!$M$1094),"")</f>
        <v/>
      </c>
      <c r="N1094" s="111" t="n">
        <f aca="false">IF($C1094="",0,1)</f>
        <v>0</v>
      </c>
      <c r="O1094" s="111" t="n">
        <f aca="false">N(O1093)+$N1094</f>
        <v>311</v>
      </c>
      <c r="S1094" s="10" t="str">
        <f aca="false">IFERROR(IF([2]对账明细接口!$N1094=0,"",[2]对账明细接口!$N1094),"")</f>
        <v/>
      </c>
      <c r="T1094" s="112" t="str">
        <f aca="false">IFERROR(IF([2]对账明细接口!$O1094=0,"",[2]对账明细接口!$O1094),"")</f>
        <v/>
      </c>
      <c r="U1094" s="112" t="str">
        <f aca="false">IFERROR(IF([2]对账明细接口!$P1094=0,"",[2]对账明细接口!$P1094),"")</f>
        <v/>
      </c>
      <c r="V1094" s="112" t="str">
        <f aca="false">IFERROR(IF([2]对账明细接口!$Q1094=0,"",[2]对账明细接口!$Q1094),"")</f>
        <v/>
      </c>
      <c r="W1094" s="10" t="str">
        <f aca="false">IFERROR(IF([2]对账明细接口!$R1094=0,"",[2]对账明细接口!$R1094),"")</f>
        <v/>
      </c>
      <c r="X1094" s="10" t="str">
        <f aca="false">IFERROR(IF([2]对账明细接口!$S1094=0,"",[2]对账明细接口!$S1094),"")</f>
        <v/>
      </c>
      <c r="Y1094" s="10" t="str">
        <f aca="false">IFERROR(IF([2]对账明细接口!$T1094=0,"",[2]对账明细接口!$T1094),"")</f>
        <v/>
      </c>
      <c r="Z1094" s="113" t="str">
        <f aca="false">IFERROR(IF([2]对账明细接口!$U1094=0,"",[2]对账明细接口!$U1094),"")</f>
        <v/>
      </c>
      <c r="AA1094" s="113" t="str">
        <f aca="false">IFERROR(IF([2]对账明细接口!$V1094=0,"",[2]对账明细接口!$V1094),"")</f>
        <v/>
      </c>
      <c r="AB1094" s="10" t="str">
        <f aca="false">IFERROR(IF([2]对账明细接口!$W1094=0,"",[2]对账明细接口!$W1094),"")</f>
        <v/>
      </c>
      <c r="AC1094" s="90" t="str">
        <f aca="false">IFERROR(IF([2]对账明细接口!$X1095=0,"",[2]对账明细接口!$X1095),"")</f>
        <v/>
      </c>
      <c r="AD1094" s="90" t="str">
        <f aca="false">IFERROR(IF([2]对账明细接口!$Y1095=0,"",[2]对账明细接口!$Y1095),"")</f>
        <v/>
      </c>
      <c r="AE1094" s="90" t="str">
        <f aca="false">IFERROR(IF([2]对账明细接口!$AA1095=0,"",[2]对账明细接口!$AA1095),"")</f>
        <v/>
      </c>
      <c r="AF1094" s="90" t="str">
        <f aca="false">IFERROR(IF([2]对账明细接口!$AB1095=0,"",[2]对账明细接口!$AB1095),"")</f>
        <v/>
      </c>
      <c r="AG1094" s="90" t="str">
        <f aca="false">IFERROR(IF([2]对账明细接口!$AC1095=0,"",[2]对账明细接口!$AC1095),"")</f>
        <v/>
      </c>
      <c r="AH1094" s="90" t="str">
        <f aca="false">IFERROR(IF([2]对账明细接口!$AD1095=0,"",[2]对账明细接口!$AD1095),"")</f>
        <v/>
      </c>
    </row>
    <row r="1095" customFormat="false" ht="13.5" hidden="false" customHeight="false" outlineLevel="0" collapsed="false">
      <c r="A1095" s="109" t="n">
        <v>1095</v>
      </c>
      <c r="B1095" s="110" t="str">
        <f aca="false">IFERROR(IF([2]对账明细接口!$B$1095=0,"",[2]对账明细接口!$B$1095),"")</f>
        <v/>
      </c>
      <c r="C1095" s="59" t="str">
        <f aca="false">IFERROR(IF([2]对账明细接口!$C$1095=0,"",[2]对账明细接口!$C$1095),"")</f>
        <v/>
      </c>
      <c r="D1095" s="59" t="str">
        <f aca="false">IFERROR(IF([2]对账明细接口!$D$1095=0,"",[2]对账明细接口!$D$1095),"")</f>
        <v/>
      </c>
      <c r="E1095" s="59" t="str">
        <f aca="false">IFERROR(IF([2]对账明细接口!$E$1095=0,"",[2]对账明细接口!$E$1095),"")</f>
        <v/>
      </c>
      <c r="F1095" s="59" t="str">
        <f aca="false">IFERROR(IF([2]对账明细接口!$F$1095=0,"",[2]对账明细接口!$F$1095),"")</f>
        <v/>
      </c>
      <c r="G1095" s="59" t="str">
        <f aca="false">IFERROR(IF([2]对账明细接口!$G$1095=0,"",[2]对账明细接口!$G$1095),"")</f>
        <v/>
      </c>
      <c r="H1095" s="60" t="str">
        <f aca="false">IFERROR(IF([2]对账明细接口!$H$1095=0,"",[2]对账明细接口!$H$1095),"")</f>
        <v/>
      </c>
      <c r="I1095" s="59" t="str">
        <f aca="false">IFERROR(IF([2]对账明细接口!$I$1095=0,"",[2]对账明细接口!$I$1095),"")</f>
        <v/>
      </c>
      <c r="J1095" s="61" t="str">
        <f aca="false">IFERROR(IF([2]对账明细接口!$J$1095=0,"",[2]对账明细接口!$J$1095),"")</f>
        <v/>
      </c>
      <c r="K1095" s="61" t="str">
        <f aca="false">IFERROR(IF([2]对账明细接口!$K$1095=0,"",[2]对账明细接口!$K$1095),"")</f>
        <v/>
      </c>
      <c r="L1095" s="59" t="str">
        <f aca="false">IFERROR(IF([2]对账明细接口!$L$1095=0,"",[2]对账明细接口!$L$1095),"")</f>
        <v/>
      </c>
      <c r="M1095" s="59" t="str">
        <f aca="false">IFERROR(IF([2]对账明细接口!$M$1095=0,"",[2]对账明细接口!$M$1095),"")</f>
        <v/>
      </c>
      <c r="N1095" s="111" t="n">
        <f aca="false">IF($C1095="",0,1)</f>
        <v>0</v>
      </c>
      <c r="O1095" s="111" t="n">
        <f aca="false">N(O1094)+$N1095</f>
        <v>311</v>
      </c>
      <c r="S1095" s="10" t="str">
        <f aca="false">IFERROR(IF([2]对账明细接口!$N1095=0,"",[2]对账明细接口!$N1095),"")</f>
        <v/>
      </c>
      <c r="T1095" s="112" t="str">
        <f aca="false">IFERROR(IF([2]对账明细接口!$O1095=0,"",[2]对账明细接口!$O1095),"")</f>
        <v/>
      </c>
      <c r="U1095" s="112" t="str">
        <f aca="false">IFERROR(IF([2]对账明细接口!$P1095=0,"",[2]对账明细接口!$P1095),"")</f>
        <v/>
      </c>
      <c r="V1095" s="112" t="str">
        <f aca="false">IFERROR(IF([2]对账明细接口!$Q1095=0,"",[2]对账明细接口!$Q1095),"")</f>
        <v/>
      </c>
      <c r="W1095" s="10" t="str">
        <f aca="false">IFERROR(IF([2]对账明细接口!$R1095=0,"",[2]对账明细接口!$R1095),"")</f>
        <v/>
      </c>
      <c r="X1095" s="10" t="str">
        <f aca="false">IFERROR(IF([2]对账明细接口!$S1095=0,"",[2]对账明细接口!$S1095),"")</f>
        <v/>
      </c>
      <c r="Y1095" s="10" t="str">
        <f aca="false">IFERROR(IF([2]对账明细接口!$T1095=0,"",[2]对账明细接口!$T1095),"")</f>
        <v/>
      </c>
      <c r="Z1095" s="113" t="str">
        <f aca="false">IFERROR(IF([2]对账明细接口!$U1095=0,"",[2]对账明细接口!$U1095),"")</f>
        <v/>
      </c>
      <c r="AA1095" s="113" t="str">
        <f aca="false">IFERROR(IF([2]对账明细接口!$V1095=0,"",[2]对账明细接口!$V1095),"")</f>
        <v/>
      </c>
      <c r="AB1095" s="10" t="str">
        <f aca="false">IFERROR(IF([2]对账明细接口!$W1095=0,"",[2]对账明细接口!$W1095),"")</f>
        <v/>
      </c>
      <c r="AC1095" s="90" t="str">
        <f aca="false">IFERROR(IF([2]对账明细接口!$X1096=0,"",[2]对账明细接口!$X1096),"")</f>
        <v/>
      </c>
      <c r="AD1095" s="90" t="str">
        <f aca="false">IFERROR(IF([2]对账明细接口!$Y1096=0,"",[2]对账明细接口!$Y1096),"")</f>
        <v/>
      </c>
      <c r="AE1095" s="90" t="str">
        <f aca="false">IFERROR(IF([2]对账明细接口!$AA1096=0,"",[2]对账明细接口!$AA1096),"")</f>
        <v/>
      </c>
      <c r="AF1095" s="90" t="str">
        <f aca="false">IFERROR(IF([2]对账明细接口!$AB1096=0,"",[2]对账明细接口!$AB1096),"")</f>
        <v/>
      </c>
      <c r="AG1095" s="90" t="str">
        <f aca="false">IFERROR(IF([2]对账明细接口!$AC1096=0,"",[2]对账明细接口!$AC1096),"")</f>
        <v/>
      </c>
      <c r="AH1095" s="90" t="str">
        <f aca="false">IFERROR(IF([2]对账明细接口!$AD1096=0,"",[2]对账明细接口!$AD1096),"")</f>
        <v/>
      </c>
    </row>
    <row r="1096" customFormat="false" ht="13.5" hidden="false" customHeight="false" outlineLevel="0" collapsed="false">
      <c r="A1096" s="109" t="n">
        <v>1096</v>
      </c>
      <c r="B1096" s="110" t="str">
        <f aca="false">IFERROR(IF([2]对账明细接口!$B$1096=0,"",[2]对账明细接口!$B$1096),"")</f>
        <v/>
      </c>
      <c r="C1096" s="59" t="str">
        <f aca="false">IFERROR(IF([2]对账明细接口!$C$1096=0,"",[2]对账明细接口!$C$1096),"")</f>
        <v/>
      </c>
      <c r="D1096" s="59" t="str">
        <f aca="false">IFERROR(IF([2]对账明细接口!$D$1096=0,"",[2]对账明细接口!$D$1096),"")</f>
        <v/>
      </c>
      <c r="E1096" s="59" t="str">
        <f aca="false">IFERROR(IF([2]对账明细接口!$E$1096=0,"",[2]对账明细接口!$E$1096),"")</f>
        <v/>
      </c>
      <c r="F1096" s="59" t="str">
        <f aca="false">IFERROR(IF([2]对账明细接口!$F$1096=0,"",[2]对账明细接口!$F$1096),"")</f>
        <v/>
      </c>
      <c r="G1096" s="59" t="str">
        <f aca="false">IFERROR(IF([2]对账明细接口!$G$1096=0,"",[2]对账明细接口!$G$1096),"")</f>
        <v/>
      </c>
      <c r="H1096" s="60" t="str">
        <f aca="false">IFERROR(IF([2]对账明细接口!$H$1096=0,"",[2]对账明细接口!$H$1096),"")</f>
        <v/>
      </c>
      <c r="I1096" s="59" t="str">
        <f aca="false">IFERROR(IF([2]对账明细接口!$I$1096=0,"",[2]对账明细接口!$I$1096),"")</f>
        <v/>
      </c>
      <c r="J1096" s="61" t="str">
        <f aca="false">IFERROR(IF([2]对账明细接口!$J$1096=0,"",[2]对账明细接口!$J$1096),"")</f>
        <v/>
      </c>
      <c r="K1096" s="61" t="str">
        <f aca="false">IFERROR(IF([2]对账明细接口!$K$1096=0,"",[2]对账明细接口!$K$1096),"")</f>
        <v/>
      </c>
      <c r="L1096" s="59" t="str">
        <f aca="false">IFERROR(IF([2]对账明细接口!$L$1096=0,"",[2]对账明细接口!$L$1096),"")</f>
        <v/>
      </c>
      <c r="M1096" s="59" t="str">
        <f aca="false">IFERROR(IF([2]对账明细接口!$M$1096=0,"",[2]对账明细接口!$M$1096),"")</f>
        <v/>
      </c>
      <c r="N1096" s="111" t="n">
        <f aca="false">IF($C1096="",0,1)</f>
        <v>0</v>
      </c>
      <c r="O1096" s="111" t="n">
        <f aca="false">N(O1095)+$N1096</f>
        <v>311</v>
      </c>
      <c r="S1096" s="10" t="str">
        <f aca="false">IFERROR(IF([2]对账明细接口!$N1096=0,"",[2]对账明细接口!$N1096),"")</f>
        <v/>
      </c>
      <c r="T1096" s="112" t="str">
        <f aca="false">IFERROR(IF([2]对账明细接口!$O1096=0,"",[2]对账明细接口!$O1096),"")</f>
        <v/>
      </c>
      <c r="U1096" s="112" t="str">
        <f aca="false">IFERROR(IF([2]对账明细接口!$P1096=0,"",[2]对账明细接口!$P1096),"")</f>
        <v/>
      </c>
      <c r="V1096" s="112" t="str">
        <f aca="false">IFERROR(IF([2]对账明细接口!$Q1096=0,"",[2]对账明细接口!$Q1096),"")</f>
        <v/>
      </c>
      <c r="W1096" s="10" t="str">
        <f aca="false">IFERROR(IF([2]对账明细接口!$R1096=0,"",[2]对账明细接口!$R1096),"")</f>
        <v/>
      </c>
      <c r="X1096" s="10" t="str">
        <f aca="false">IFERROR(IF([2]对账明细接口!$S1096=0,"",[2]对账明细接口!$S1096),"")</f>
        <v/>
      </c>
      <c r="Y1096" s="10" t="str">
        <f aca="false">IFERROR(IF([2]对账明细接口!$T1096=0,"",[2]对账明细接口!$T1096),"")</f>
        <v/>
      </c>
      <c r="Z1096" s="113" t="str">
        <f aca="false">IFERROR(IF([2]对账明细接口!$U1096=0,"",[2]对账明细接口!$U1096),"")</f>
        <v/>
      </c>
      <c r="AA1096" s="113" t="str">
        <f aca="false">IFERROR(IF([2]对账明细接口!$V1096=0,"",[2]对账明细接口!$V1096),"")</f>
        <v/>
      </c>
      <c r="AB1096" s="10" t="str">
        <f aca="false">IFERROR(IF([2]对账明细接口!$W1096=0,"",[2]对账明细接口!$W1096),"")</f>
        <v/>
      </c>
      <c r="AC1096" s="90" t="str">
        <f aca="false">IFERROR(IF([2]对账明细接口!$X1097=0,"",[2]对账明细接口!$X1097),"")</f>
        <v/>
      </c>
      <c r="AD1096" s="90" t="str">
        <f aca="false">IFERROR(IF([2]对账明细接口!$Y1097=0,"",[2]对账明细接口!$Y1097),"")</f>
        <v/>
      </c>
      <c r="AE1096" s="90" t="str">
        <f aca="false">IFERROR(IF([2]对账明细接口!$AA1097=0,"",[2]对账明细接口!$AA1097),"")</f>
        <v/>
      </c>
      <c r="AF1096" s="90" t="str">
        <f aca="false">IFERROR(IF([2]对账明细接口!$AB1097=0,"",[2]对账明细接口!$AB1097),"")</f>
        <v/>
      </c>
      <c r="AG1096" s="90" t="str">
        <f aca="false">IFERROR(IF([2]对账明细接口!$AC1097=0,"",[2]对账明细接口!$AC1097),"")</f>
        <v/>
      </c>
      <c r="AH1096" s="90" t="str">
        <f aca="false">IFERROR(IF([2]对账明细接口!$AD1097=0,"",[2]对账明细接口!$AD1097),"")</f>
        <v/>
      </c>
    </row>
    <row r="1097" customFormat="false" ht="13.5" hidden="false" customHeight="false" outlineLevel="0" collapsed="false">
      <c r="A1097" s="109" t="n">
        <v>1097</v>
      </c>
      <c r="B1097" s="110" t="str">
        <f aca="false">IFERROR(IF([2]对账明细接口!$B$1097=0,"",[2]对账明细接口!$B$1097),"")</f>
        <v/>
      </c>
      <c r="C1097" s="59" t="str">
        <f aca="false">IFERROR(IF([2]对账明细接口!$C$1097=0,"",[2]对账明细接口!$C$1097),"")</f>
        <v/>
      </c>
      <c r="D1097" s="59" t="str">
        <f aca="false">IFERROR(IF([2]对账明细接口!$D$1097=0,"",[2]对账明细接口!$D$1097),"")</f>
        <v/>
      </c>
      <c r="E1097" s="59" t="str">
        <f aca="false">IFERROR(IF([2]对账明细接口!$E$1097=0,"",[2]对账明细接口!$E$1097),"")</f>
        <v/>
      </c>
      <c r="F1097" s="59" t="str">
        <f aca="false">IFERROR(IF([2]对账明细接口!$F$1097=0,"",[2]对账明细接口!$F$1097),"")</f>
        <v/>
      </c>
      <c r="G1097" s="59" t="str">
        <f aca="false">IFERROR(IF([2]对账明细接口!$G$1097=0,"",[2]对账明细接口!$G$1097),"")</f>
        <v/>
      </c>
      <c r="H1097" s="60" t="str">
        <f aca="false">IFERROR(IF([2]对账明细接口!$H$1097=0,"",[2]对账明细接口!$H$1097),"")</f>
        <v/>
      </c>
      <c r="I1097" s="59" t="str">
        <f aca="false">IFERROR(IF([2]对账明细接口!$I$1097=0,"",[2]对账明细接口!$I$1097),"")</f>
        <v/>
      </c>
      <c r="J1097" s="61" t="str">
        <f aca="false">IFERROR(IF([2]对账明细接口!$J$1097=0,"",[2]对账明细接口!$J$1097),"")</f>
        <v/>
      </c>
      <c r="K1097" s="61" t="str">
        <f aca="false">IFERROR(IF([2]对账明细接口!$K$1097=0,"",[2]对账明细接口!$K$1097),"")</f>
        <v/>
      </c>
      <c r="L1097" s="59" t="str">
        <f aca="false">IFERROR(IF([2]对账明细接口!$L$1097=0,"",[2]对账明细接口!$L$1097),"")</f>
        <v/>
      </c>
      <c r="M1097" s="59" t="str">
        <f aca="false">IFERROR(IF([2]对账明细接口!$M$1097=0,"",[2]对账明细接口!$M$1097),"")</f>
        <v/>
      </c>
      <c r="N1097" s="111" t="n">
        <f aca="false">IF($C1097="",0,1)</f>
        <v>0</v>
      </c>
      <c r="O1097" s="111" t="n">
        <f aca="false">N(O1096)+$N1097</f>
        <v>311</v>
      </c>
      <c r="S1097" s="10" t="str">
        <f aca="false">IFERROR(IF([2]对账明细接口!$N1097=0,"",[2]对账明细接口!$N1097),"")</f>
        <v/>
      </c>
      <c r="T1097" s="112" t="str">
        <f aca="false">IFERROR(IF([2]对账明细接口!$O1097=0,"",[2]对账明细接口!$O1097),"")</f>
        <v/>
      </c>
      <c r="U1097" s="112" t="str">
        <f aca="false">IFERROR(IF([2]对账明细接口!$P1097=0,"",[2]对账明细接口!$P1097),"")</f>
        <v/>
      </c>
      <c r="V1097" s="112" t="str">
        <f aca="false">IFERROR(IF([2]对账明细接口!$Q1097=0,"",[2]对账明细接口!$Q1097),"")</f>
        <v/>
      </c>
      <c r="W1097" s="10" t="str">
        <f aca="false">IFERROR(IF([2]对账明细接口!$R1097=0,"",[2]对账明细接口!$R1097),"")</f>
        <v/>
      </c>
      <c r="X1097" s="10" t="str">
        <f aca="false">IFERROR(IF([2]对账明细接口!$S1097=0,"",[2]对账明细接口!$S1097),"")</f>
        <v/>
      </c>
      <c r="Y1097" s="10" t="str">
        <f aca="false">IFERROR(IF([2]对账明细接口!$T1097=0,"",[2]对账明细接口!$T1097),"")</f>
        <v/>
      </c>
      <c r="Z1097" s="113" t="str">
        <f aca="false">IFERROR(IF([2]对账明细接口!$U1097=0,"",[2]对账明细接口!$U1097),"")</f>
        <v/>
      </c>
      <c r="AA1097" s="113" t="str">
        <f aca="false">IFERROR(IF([2]对账明细接口!$V1097=0,"",[2]对账明细接口!$V1097),"")</f>
        <v/>
      </c>
      <c r="AB1097" s="10" t="str">
        <f aca="false">IFERROR(IF([2]对账明细接口!$W1097=0,"",[2]对账明细接口!$W1097),"")</f>
        <v/>
      </c>
      <c r="AC1097" s="90" t="str">
        <f aca="false">IFERROR(IF([2]对账明细接口!$X1098=0,"",[2]对账明细接口!$X1098),"")</f>
        <v/>
      </c>
      <c r="AD1097" s="90" t="str">
        <f aca="false">IFERROR(IF([2]对账明细接口!$Y1098=0,"",[2]对账明细接口!$Y1098),"")</f>
        <v/>
      </c>
      <c r="AE1097" s="90" t="str">
        <f aca="false">IFERROR(IF([2]对账明细接口!$AA1098=0,"",[2]对账明细接口!$AA1098),"")</f>
        <v/>
      </c>
      <c r="AF1097" s="90" t="str">
        <f aca="false">IFERROR(IF([2]对账明细接口!$AB1098=0,"",[2]对账明细接口!$AB1098),"")</f>
        <v/>
      </c>
      <c r="AG1097" s="90" t="str">
        <f aca="false">IFERROR(IF([2]对账明细接口!$AC1098=0,"",[2]对账明细接口!$AC1098),"")</f>
        <v/>
      </c>
      <c r="AH1097" s="90" t="str">
        <f aca="false">IFERROR(IF([2]对账明细接口!$AD1098=0,"",[2]对账明细接口!$AD1098),"")</f>
        <v/>
      </c>
    </row>
    <row r="1098" customFormat="false" ht="13.5" hidden="false" customHeight="false" outlineLevel="0" collapsed="false">
      <c r="A1098" s="109" t="n">
        <v>1098</v>
      </c>
      <c r="B1098" s="110" t="str">
        <f aca="false">IFERROR(IF([2]对账明细接口!$B$1098=0,"",[2]对账明细接口!$B$1098),"")</f>
        <v/>
      </c>
      <c r="C1098" s="59" t="str">
        <f aca="false">IFERROR(IF([2]对账明细接口!$C$1098=0,"",[2]对账明细接口!$C$1098),"")</f>
        <v/>
      </c>
      <c r="D1098" s="59" t="str">
        <f aca="false">IFERROR(IF([2]对账明细接口!$D$1098=0,"",[2]对账明细接口!$D$1098),"")</f>
        <v/>
      </c>
      <c r="E1098" s="59" t="str">
        <f aca="false">IFERROR(IF([2]对账明细接口!$E$1098=0,"",[2]对账明细接口!$E$1098),"")</f>
        <v/>
      </c>
      <c r="F1098" s="59" t="str">
        <f aca="false">IFERROR(IF([2]对账明细接口!$F$1098=0,"",[2]对账明细接口!$F$1098),"")</f>
        <v/>
      </c>
      <c r="G1098" s="59" t="str">
        <f aca="false">IFERROR(IF([2]对账明细接口!$G$1098=0,"",[2]对账明细接口!$G$1098),"")</f>
        <v/>
      </c>
      <c r="H1098" s="60" t="str">
        <f aca="false">IFERROR(IF([2]对账明细接口!$H$1098=0,"",[2]对账明细接口!$H$1098),"")</f>
        <v/>
      </c>
      <c r="I1098" s="59" t="str">
        <f aca="false">IFERROR(IF([2]对账明细接口!$I$1098=0,"",[2]对账明细接口!$I$1098),"")</f>
        <v/>
      </c>
      <c r="J1098" s="61" t="str">
        <f aca="false">IFERROR(IF([2]对账明细接口!$J$1098=0,"",[2]对账明细接口!$J$1098),"")</f>
        <v/>
      </c>
      <c r="K1098" s="61" t="str">
        <f aca="false">IFERROR(IF([2]对账明细接口!$K$1098=0,"",[2]对账明细接口!$K$1098),"")</f>
        <v/>
      </c>
      <c r="L1098" s="59" t="str">
        <f aca="false">IFERROR(IF([2]对账明细接口!$L$1098=0,"",[2]对账明细接口!$L$1098),"")</f>
        <v/>
      </c>
      <c r="M1098" s="59" t="str">
        <f aca="false">IFERROR(IF([2]对账明细接口!$M$1098=0,"",[2]对账明细接口!$M$1098),"")</f>
        <v/>
      </c>
      <c r="N1098" s="111" t="n">
        <f aca="false">IF($C1098="",0,1)</f>
        <v>0</v>
      </c>
      <c r="O1098" s="111" t="n">
        <f aca="false">N(O1097)+$N1098</f>
        <v>311</v>
      </c>
      <c r="S1098" s="10" t="str">
        <f aca="false">IFERROR(IF([2]对账明细接口!$N1098=0,"",[2]对账明细接口!$N1098),"")</f>
        <v/>
      </c>
      <c r="T1098" s="112" t="str">
        <f aca="false">IFERROR(IF([2]对账明细接口!$O1098=0,"",[2]对账明细接口!$O1098),"")</f>
        <v/>
      </c>
      <c r="U1098" s="112" t="str">
        <f aca="false">IFERROR(IF([2]对账明细接口!$P1098=0,"",[2]对账明细接口!$P1098),"")</f>
        <v/>
      </c>
      <c r="V1098" s="112" t="str">
        <f aca="false">IFERROR(IF([2]对账明细接口!$Q1098=0,"",[2]对账明细接口!$Q1098),"")</f>
        <v/>
      </c>
      <c r="W1098" s="10" t="str">
        <f aca="false">IFERROR(IF([2]对账明细接口!$R1098=0,"",[2]对账明细接口!$R1098),"")</f>
        <v/>
      </c>
      <c r="X1098" s="10" t="str">
        <f aca="false">IFERROR(IF([2]对账明细接口!$S1098=0,"",[2]对账明细接口!$S1098),"")</f>
        <v/>
      </c>
      <c r="Y1098" s="10" t="str">
        <f aca="false">IFERROR(IF([2]对账明细接口!$T1098=0,"",[2]对账明细接口!$T1098),"")</f>
        <v/>
      </c>
      <c r="Z1098" s="113" t="str">
        <f aca="false">IFERROR(IF([2]对账明细接口!$U1098=0,"",[2]对账明细接口!$U1098),"")</f>
        <v/>
      </c>
      <c r="AA1098" s="113" t="str">
        <f aca="false">IFERROR(IF([2]对账明细接口!$V1098=0,"",[2]对账明细接口!$V1098),"")</f>
        <v/>
      </c>
      <c r="AB1098" s="10" t="str">
        <f aca="false">IFERROR(IF([2]对账明细接口!$W1098=0,"",[2]对账明细接口!$W1098),"")</f>
        <v/>
      </c>
      <c r="AC1098" s="90" t="str">
        <f aca="false">IFERROR(IF([2]对账明细接口!$X1099=0,"",[2]对账明细接口!$X1099),"")</f>
        <v/>
      </c>
      <c r="AD1098" s="90" t="str">
        <f aca="false">IFERROR(IF([2]对账明细接口!$Y1099=0,"",[2]对账明细接口!$Y1099),"")</f>
        <v/>
      </c>
      <c r="AE1098" s="90" t="str">
        <f aca="false">IFERROR(IF([2]对账明细接口!$AA1099=0,"",[2]对账明细接口!$AA1099),"")</f>
        <v/>
      </c>
      <c r="AF1098" s="90" t="str">
        <f aca="false">IFERROR(IF([2]对账明细接口!$AB1099=0,"",[2]对账明细接口!$AB1099),"")</f>
        <v/>
      </c>
      <c r="AG1098" s="90" t="str">
        <f aca="false">IFERROR(IF([2]对账明细接口!$AC1099=0,"",[2]对账明细接口!$AC1099),"")</f>
        <v/>
      </c>
      <c r="AH1098" s="90" t="str">
        <f aca="false">IFERROR(IF([2]对账明细接口!$AD1099=0,"",[2]对账明细接口!$AD1099),"")</f>
        <v/>
      </c>
    </row>
    <row r="1099" customFormat="false" ht="13.5" hidden="false" customHeight="false" outlineLevel="0" collapsed="false">
      <c r="A1099" s="109" t="n">
        <v>1099</v>
      </c>
      <c r="B1099" s="110" t="str">
        <f aca="false">IFERROR(IF([2]对账明细接口!$B$1099=0,"",[2]对账明细接口!$B$1099),"")</f>
        <v/>
      </c>
      <c r="C1099" s="59" t="str">
        <f aca="false">IFERROR(IF([2]对账明细接口!$C$1099=0,"",[2]对账明细接口!$C$1099),"")</f>
        <v/>
      </c>
      <c r="D1099" s="59" t="str">
        <f aca="false">IFERROR(IF([2]对账明细接口!$D$1099=0,"",[2]对账明细接口!$D$1099),"")</f>
        <v/>
      </c>
      <c r="E1099" s="59" t="str">
        <f aca="false">IFERROR(IF([2]对账明细接口!$E$1099=0,"",[2]对账明细接口!$E$1099),"")</f>
        <v/>
      </c>
      <c r="F1099" s="59" t="str">
        <f aca="false">IFERROR(IF([2]对账明细接口!$F$1099=0,"",[2]对账明细接口!$F$1099),"")</f>
        <v/>
      </c>
      <c r="G1099" s="59" t="str">
        <f aca="false">IFERROR(IF([2]对账明细接口!$G$1099=0,"",[2]对账明细接口!$G$1099),"")</f>
        <v/>
      </c>
      <c r="H1099" s="60" t="str">
        <f aca="false">IFERROR(IF([2]对账明细接口!$H$1099=0,"",[2]对账明细接口!$H$1099),"")</f>
        <v/>
      </c>
      <c r="I1099" s="59" t="str">
        <f aca="false">IFERROR(IF([2]对账明细接口!$I$1099=0,"",[2]对账明细接口!$I$1099),"")</f>
        <v/>
      </c>
      <c r="J1099" s="61" t="str">
        <f aca="false">IFERROR(IF([2]对账明细接口!$J$1099=0,"",[2]对账明细接口!$J$1099),"")</f>
        <v/>
      </c>
      <c r="K1099" s="61" t="str">
        <f aca="false">IFERROR(IF([2]对账明细接口!$K$1099=0,"",[2]对账明细接口!$K$1099),"")</f>
        <v/>
      </c>
      <c r="L1099" s="59" t="str">
        <f aca="false">IFERROR(IF([2]对账明细接口!$L$1099=0,"",[2]对账明细接口!$L$1099),"")</f>
        <v/>
      </c>
      <c r="M1099" s="59" t="str">
        <f aca="false">IFERROR(IF([2]对账明细接口!$M$1099=0,"",[2]对账明细接口!$M$1099),"")</f>
        <v/>
      </c>
      <c r="N1099" s="111" t="n">
        <f aca="false">IF($C1099="",0,1)</f>
        <v>0</v>
      </c>
      <c r="O1099" s="111" t="n">
        <f aca="false">N(O1098)+$N1099</f>
        <v>311</v>
      </c>
      <c r="S1099" s="10" t="str">
        <f aca="false">IFERROR(IF([2]对账明细接口!$N1099=0,"",[2]对账明细接口!$N1099),"")</f>
        <v/>
      </c>
      <c r="T1099" s="112" t="str">
        <f aca="false">IFERROR(IF([2]对账明细接口!$O1099=0,"",[2]对账明细接口!$O1099),"")</f>
        <v/>
      </c>
      <c r="U1099" s="112" t="str">
        <f aca="false">IFERROR(IF([2]对账明细接口!$P1099=0,"",[2]对账明细接口!$P1099),"")</f>
        <v/>
      </c>
      <c r="V1099" s="112" t="str">
        <f aca="false">IFERROR(IF([2]对账明细接口!$Q1099=0,"",[2]对账明细接口!$Q1099),"")</f>
        <v/>
      </c>
      <c r="W1099" s="10" t="str">
        <f aca="false">IFERROR(IF([2]对账明细接口!$R1099=0,"",[2]对账明细接口!$R1099),"")</f>
        <v/>
      </c>
      <c r="X1099" s="10" t="str">
        <f aca="false">IFERROR(IF([2]对账明细接口!$S1099=0,"",[2]对账明细接口!$S1099),"")</f>
        <v/>
      </c>
      <c r="Y1099" s="10" t="str">
        <f aca="false">IFERROR(IF([2]对账明细接口!$T1099=0,"",[2]对账明细接口!$T1099),"")</f>
        <v/>
      </c>
      <c r="Z1099" s="113" t="str">
        <f aca="false">IFERROR(IF([2]对账明细接口!$U1099=0,"",[2]对账明细接口!$U1099),"")</f>
        <v/>
      </c>
      <c r="AA1099" s="113" t="str">
        <f aca="false">IFERROR(IF([2]对账明细接口!$V1099=0,"",[2]对账明细接口!$V1099),"")</f>
        <v/>
      </c>
      <c r="AB1099" s="10" t="str">
        <f aca="false">IFERROR(IF([2]对账明细接口!$W1099=0,"",[2]对账明细接口!$W1099),"")</f>
        <v/>
      </c>
      <c r="AC1099" s="90" t="str">
        <f aca="false">IFERROR(IF([2]对账明细接口!$X1100=0,"",[2]对账明细接口!$X1100),"")</f>
        <v/>
      </c>
      <c r="AD1099" s="90" t="str">
        <f aca="false">IFERROR(IF([2]对账明细接口!$Y1100=0,"",[2]对账明细接口!$Y1100),"")</f>
        <v/>
      </c>
      <c r="AE1099" s="90" t="str">
        <f aca="false">IFERROR(IF([2]对账明细接口!$AA1100=0,"",[2]对账明细接口!$AA1100),"")</f>
        <v/>
      </c>
      <c r="AF1099" s="90" t="str">
        <f aca="false">IFERROR(IF([2]对账明细接口!$AB1100=0,"",[2]对账明细接口!$AB1100),"")</f>
        <v/>
      </c>
      <c r="AG1099" s="90" t="str">
        <f aca="false">IFERROR(IF([2]对账明细接口!$AC1100=0,"",[2]对账明细接口!$AC1100),"")</f>
        <v/>
      </c>
      <c r="AH1099" s="90" t="str">
        <f aca="false">IFERROR(IF([2]对账明细接口!$AD1100=0,"",[2]对账明细接口!$AD1100),"")</f>
        <v/>
      </c>
    </row>
    <row r="1100" customFormat="false" ht="13.5" hidden="false" customHeight="false" outlineLevel="0" collapsed="false">
      <c r="A1100" s="109" t="n">
        <v>1100</v>
      </c>
      <c r="B1100" s="110" t="str">
        <f aca="false">IFERROR(IF([2]对账明细接口!$B$1100=0,"",[2]对账明细接口!$B$1100),"")</f>
        <v/>
      </c>
      <c r="C1100" s="59" t="str">
        <f aca="false">IFERROR(IF([2]对账明细接口!$C$1100=0,"",[2]对账明细接口!$C$1100),"")</f>
        <v/>
      </c>
      <c r="D1100" s="59" t="str">
        <f aca="false">IFERROR(IF([2]对账明细接口!$D$1100=0,"",[2]对账明细接口!$D$1100),"")</f>
        <v/>
      </c>
      <c r="E1100" s="59" t="str">
        <f aca="false">IFERROR(IF([2]对账明细接口!$E$1100=0,"",[2]对账明细接口!$E$1100),"")</f>
        <v/>
      </c>
      <c r="F1100" s="59" t="str">
        <f aca="false">IFERROR(IF([2]对账明细接口!$F$1100=0,"",[2]对账明细接口!$F$1100),"")</f>
        <v/>
      </c>
      <c r="G1100" s="59" t="str">
        <f aca="false">IFERROR(IF([2]对账明细接口!$G$1100=0,"",[2]对账明细接口!$G$1100),"")</f>
        <v/>
      </c>
      <c r="H1100" s="60" t="str">
        <f aca="false">IFERROR(IF([2]对账明细接口!$H$1100=0,"",[2]对账明细接口!$H$1100),"")</f>
        <v/>
      </c>
      <c r="I1100" s="59" t="str">
        <f aca="false">IFERROR(IF([2]对账明细接口!$I$1100=0,"",[2]对账明细接口!$I$1100),"")</f>
        <v/>
      </c>
      <c r="J1100" s="61" t="str">
        <f aca="false">IFERROR(IF([2]对账明细接口!$J$1100=0,"",[2]对账明细接口!$J$1100),"")</f>
        <v/>
      </c>
      <c r="K1100" s="61" t="str">
        <f aca="false">IFERROR(IF([2]对账明细接口!$K$1100=0,"",[2]对账明细接口!$K$1100),"")</f>
        <v/>
      </c>
      <c r="L1100" s="59" t="str">
        <f aca="false">IFERROR(IF([2]对账明细接口!$L$1100=0,"",[2]对账明细接口!$L$1100),"")</f>
        <v/>
      </c>
      <c r="M1100" s="59" t="str">
        <f aca="false">IFERROR(IF([2]对账明细接口!$M$1100=0,"",[2]对账明细接口!$M$1100),"")</f>
        <v/>
      </c>
      <c r="N1100" s="111" t="n">
        <f aca="false">IF($C1100="",0,1)</f>
        <v>0</v>
      </c>
      <c r="O1100" s="111" t="n">
        <f aca="false">N(O1099)+$N1100</f>
        <v>311</v>
      </c>
      <c r="S1100" s="10" t="str">
        <f aca="false">IFERROR(IF([2]对账明细接口!$N1100=0,"",[2]对账明细接口!$N1100),"")</f>
        <v/>
      </c>
      <c r="T1100" s="112" t="str">
        <f aca="false">IFERROR(IF([2]对账明细接口!$O1100=0,"",[2]对账明细接口!$O1100),"")</f>
        <v/>
      </c>
      <c r="U1100" s="112" t="str">
        <f aca="false">IFERROR(IF([2]对账明细接口!$P1100=0,"",[2]对账明细接口!$P1100),"")</f>
        <v/>
      </c>
      <c r="V1100" s="112" t="str">
        <f aca="false">IFERROR(IF([2]对账明细接口!$Q1100=0,"",[2]对账明细接口!$Q1100),"")</f>
        <v/>
      </c>
      <c r="W1100" s="10" t="str">
        <f aca="false">IFERROR(IF([2]对账明细接口!$R1100=0,"",[2]对账明细接口!$R1100),"")</f>
        <v/>
      </c>
      <c r="X1100" s="10" t="str">
        <f aca="false">IFERROR(IF([2]对账明细接口!$S1100=0,"",[2]对账明细接口!$S1100),"")</f>
        <v/>
      </c>
      <c r="Y1100" s="10" t="str">
        <f aca="false">IFERROR(IF([2]对账明细接口!$T1100=0,"",[2]对账明细接口!$T1100),"")</f>
        <v/>
      </c>
      <c r="Z1100" s="113" t="str">
        <f aca="false">IFERROR(IF([2]对账明细接口!$U1100=0,"",[2]对账明细接口!$U1100),"")</f>
        <v/>
      </c>
      <c r="AA1100" s="113" t="str">
        <f aca="false">IFERROR(IF([2]对账明细接口!$V1100=0,"",[2]对账明细接口!$V1100),"")</f>
        <v/>
      </c>
      <c r="AB1100" s="10" t="str">
        <f aca="false">IFERROR(IF([2]对账明细接口!$W1100=0,"",[2]对账明细接口!$W1100),"")</f>
        <v/>
      </c>
      <c r="AC1100" s="90" t="str">
        <f aca="false">IFERROR(IF([2]对账明细接口!$X1101=0,"",[2]对账明细接口!$X1101),"")</f>
        <v/>
      </c>
      <c r="AD1100" s="90" t="str">
        <f aca="false">IFERROR(IF([2]对账明细接口!$Y1101=0,"",[2]对账明细接口!$Y1101),"")</f>
        <v/>
      </c>
      <c r="AE1100" s="90" t="str">
        <f aca="false">IFERROR(IF([2]对账明细接口!$AA1101=0,"",[2]对账明细接口!$AA1101),"")</f>
        <v/>
      </c>
      <c r="AF1100" s="90" t="str">
        <f aca="false">IFERROR(IF([2]对账明细接口!$AB1101=0,"",[2]对账明细接口!$AB1101),"")</f>
        <v/>
      </c>
      <c r="AG1100" s="90" t="str">
        <f aca="false">IFERROR(IF([2]对账明细接口!$AC1101=0,"",[2]对账明细接口!$AC1101),"")</f>
        <v/>
      </c>
      <c r="AH1100" s="90" t="str">
        <f aca="false">IFERROR(IF([2]对账明细接口!$AD1101=0,"",[2]对账明细接口!$AD1101),"")</f>
        <v/>
      </c>
    </row>
    <row r="1101" customFormat="false" ht="13.5" hidden="false" customHeight="false" outlineLevel="0" collapsed="false">
      <c r="A1101" s="109" t="n">
        <v>1101</v>
      </c>
      <c r="B1101" s="110" t="str">
        <f aca="false">IFERROR(IF([2]对账明细接口!$B$1101=0,"",[2]对账明细接口!$B$1101),"")</f>
        <v/>
      </c>
      <c r="C1101" s="59" t="str">
        <f aca="false">IFERROR(IF([2]对账明细接口!$C$1101=0,"",[2]对账明细接口!$C$1101),"")</f>
        <v/>
      </c>
      <c r="D1101" s="59" t="str">
        <f aca="false">IFERROR(IF([2]对账明细接口!$D$1101=0,"",[2]对账明细接口!$D$1101),"")</f>
        <v/>
      </c>
      <c r="E1101" s="59" t="str">
        <f aca="false">IFERROR(IF([2]对账明细接口!$E$1101=0,"",[2]对账明细接口!$E$1101),"")</f>
        <v/>
      </c>
      <c r="F1101" s="59" t="str">
        <f aca="false">IFERROR(IF([2]对账明细接口!$F$1101=0,"",[2]对账明细接口!$F$1101),"")</f>
        <v/>
      </c>
      <c r="G1101" s="59" t="str">
        <f aca="false">IFERROR(IF([2]对账明细接口!$G$1101=0,"",[2]对账明细接口!$G$1101),"")</f>
        <v/>
      </c>
      <c r="H1101" s="60" t="str">
        <f aca="false">IFERROR(IF([2]对账明细接口!$H$1101=0,"",[2]对账明细接口!$H$1101),"")</f>
        <v/>
      </c>
      <c r="I1101" s="59" t="str">
        <f aca="false">IFERROR(IF([2]对账明细接口!$I$1101=0,"",[2]对账明细接口!$I$1101),"")</f>
        <v/>
      </c>
      <c r="J1101" s="61" t="str">
        <f aca="false">IFERROR(IF([2]对账明细接口!$J$1101=0,"",[2]对账明细接口!$J$1101),"")</f>
        <v/>
      </c>
      <c r="K1101" s="61" t="str">
        <f aca="false">IFERROR(IF([2]对账明细接口!$K$1101=0,"",[2]对账明细接口!$K$1101),"")</f>
        <v/>
      </c>
      <c r="L1101" s="59" t="str">
        <f aca="false">IFERROR(IF([2]对账明细接口!$L$1101=0,"",[2]对账明细接口!$L$1101),"")</f>
        <v/>
      </c>
      <c r="M1101" s="59" t="str">
        <f aca="false">IFERROR(IF([2]对账明细接口!$M$1101=0,"",[2]对账明细接口!$M$1101),"")</f>
        <v/>
      </c>
      <c r="N1101" s="111" t="n">
        <f aca="false">IF($C1101="",0,1)</f>
        <v>0</v>
      </c>
      <c r="O1101" s="111" t="n">
        <f aca="false">N(O1100)+$N1101</f>
        <v>311</v>
      </c>
      <c r="S1101" s="10" t="str">
        <f aca="false">IFERROR(IF([2]对账明细接口!$N1101=0,"",[2]对账明细接口!$N1101),"")</f>
        <v/>
      </c>
      <c r="T1101" s="112" t="str">
        <f aca="false">IFERROR(IF([2]对账明细接口!$O1101=0,"",[2]对账明细接口!$O1101),"")</f>
        <v/>
      </c>
      <c r="U1101" s="112" t="str">
        <f aca="false">IFERROR(IF([2]对账明细接口!$P1101=0,"",[2]对账明细接口!$P1101),"")</f>
        <v/>
      </c>
      <c r="V1101" s="112" t="str">
        <f aca="false">IFERROR(IF([2]对账明细接口!$Q1101=0,"",[2]对账明细接口!$Q1101),"")</f>
        <v/>
      </c>
      <c r="W1101" s="10" t="str">
        <f aca="false">IFERROR(IF([2]对账明细接口!$R1101=0,"",[2]对账明细接口!$R1101),"")</f>
        <v/>
      </c>
      <c r="X1101" s="10" t="str">
        <f aca="false">IFERROR(IF([2]对账明细接口!$S1101=0,"",[2]对账明细接口!$S1101),"")</f>
        <v/>
      </c>
      <c r="Y1101" s="10" t="str">
        <f aca="false">IFERROR(IF([2]对账明细接口!$T1101=0,"",[2]对账明细接口!$T1101),"")</f>
        <v/>
      </c>
      <c r="Z1101" s="113" t="str">
        <f aca="false">IFERROR(IF([2]对账明细接口!$U1101=0,"",[2]对账明细接口!$U1101),"")</f>
        <v/>
      </c>
      <c r="AA1101" s="113" t="str">
        <f aca="false">IFERROR(IF([2]对账明细接口!$V1101=0,"",[2]对账明细接口!$V1101),"")</f>
        <v/>
      </c>
      <c r="AB1101" s="10" t="str">
        <f aca="false">IFERROR(IF([2]对账明细接口!$W1101=0,"",[2]对账明细接口!$W1101),"")</f>
        <v/>
      </c>
      <c r="AC1101" s="90" t="str">
        <f aca="false">IFERROR(IF([2]对账明细接口!$X1102=0,"",[2]对账明细接口!$X1102),"")</f>
        <v/>
      </c>
      <c r="AD1101" s="90" t="str">
        <f aca="false">IFERROR(IF([2]对账明细接口!$Y1102=0,"",[2]对账明细接口!$Y1102),"")</f>
        <v/>
      </c>
      <c r="AE1101" s="90" t="str">
        <f aca="false">IFERROR(IF([2]对账明细接口!$AA1102=0,"",[2]对账明细接口!$AA1102),"")</f>
        <v/>
      </c>
      <c r="AF1101" s="90" t="str">
        <f aca="false">IFERROR(IF([2]对账明细接口!$AB1102=0,"",[2]对账明细接口!$AB1102),"")</f>
        <v/>
      </c>
      <c r="AG1101" s="90" t="str">
        <f aca="false">IFERROR(IF([2]对账明细接口!$AC1102=0,"",[2]对账明细接口!$AC1102),"")</f>
        <v/>
      </c>
      <c r="AH1101" s="90" t="str">
        <f aca="false">IFERROR(IF([2]对账明细接口!$AD1102=0,"",[2]对账明细接口!$AD1102),"")</f>
        <v/>
      </c>
    </row>
    <row r="1102" customFormat="false" ht="13.5" hidden="false" customHeight="false" outlineLevel="0" collapsed="false">
      <c r="A1102" s="109" t="n">
        <v>1102</v>
      </c>
      <c r="B1102" s="110" t="str">
        <f aca="false">IFERROR(IF([2]对账明细接口!$B$1102=0,"",[2]对账明细接口!$B$1102),"")</f>
        <v/>
      </c>
      <c r="C1102" s="59" t="str">
        <f aca="false">IFERROR(IF([2]对账明细接口!$C$1102=0,"",[2]对账明细接口!$C$1102),"")</f>
        <v/>
      </c>
      <c r="D1102" s="59" t="str">
        <f aca="false">IFERROR(IF([2]对账明细接口!$D$1102=0,"",[2]对账明细接口!$D$1102),"")</f>
        <v/>
      </c>
      <c r="E1102" s="59" t="str">
        <f aca="false">IFERROR(IF([2]对账明细接口!$E$1102=0,"",[2]对账明细接口!$E$1102),"")</f>
        <v/>
      </c>
      <c r="F1102" s="59" t="str">
        <f aca="false">IFERROR(IF([2]对账明细接口!$F$1102=0,"",[2]对账明细接口!$F$1102),"")</f>
        <v/>
      </c>
      <c r="G1102" s="59" t="str">
        <f aca="false">IFERROR(IF([2]对账明细接口!$G$1102=0,"",[2]对账明细接口!$G$1102),"")</f>
        <v/>
      </c>
      <c r="H1102" s="60" t="str">
        <f aca="false">IFERROR(IF([2]对账明细接口!$H$1102=0,"",[2]对账明细接口!$H$1102),"")</f>
        <v/>
      </c>
      <c r="I1102" s="59" t="str">
        <f aca="false">IFERROR(IF([2]对账明细接口!$I$1102=0,"",[2]对账明细接口!$I$1102),"")</f>
        <v/>
      </c>
      <c r="J1102" s="61" t="str">
        <f aca="false">IFERROR(IF([2]对账明细接口!$J$1102=0,"",[2]对账明细接口!$J$1102),"")</f>
        <v/>
      </c>
      <c r="K1102" s="61" t="str">
        <f aca="false">IFERROR(IF([2]对账明细接口!$K$1102=0,"",[2]对账明细接口!$K$1102),"")</f>
        <v/>
      </c>
      <c r="L1102" s="59" t="str">
        <f aca="false">IFERROR(IF([2]对账明细接口!$L$1102=0,"",[2]对账明细接口!$L$1102),"")</f>
        <v/>
      </c>
      <c r="M1102" s="59" t="str">
        <f aca="false">IFERROR(IF([2]对账明细接口!$M$1102=0,"",[2]对账明细接口!$M$1102),"")</f>
        <v/>
      </c>
      <c r="N1102" s="111" t="n">
        <f aca="false">IF($C1102="",0,1)</f>
        <v>0</v>
      </c>
      <c r="O1102" s="111" t="n">
        <f aca="false">N(O1101)+$N1102</f>
        <v>311</v>
      </c>
      <c r="S1102" s="10" t="str">
        <f aca="false">IFERROR(IF([2]对账明细接口!$N1102=0,"",[2]对账明细接口!$N1102),"")</f>
        <v/>
      </c>
      <c r="T1102" s="112" t="str">
        <f aca="false">IFERROR(IF([2]对账明细接口!$O1102=0,"",[2]对账明细接口!$O1102),"")</f>
        <v/>
      </c>
      <c r="U1102" s="112" t="str">
        <f aca="false">IFERROR(IF([2]对账明细接口!$P1102=0,"",[2]对账明细接口!$P1102),"")</f>
        <v/>
      </c>
      <c r="V1102" s="112" t="str">
        <f aca="false">IFERROR(IF([2]对账明细接口!$Q1102=0,"",[2]对账明细接口!$Q1102),"")</f>
        <v/>
      </c>
      <c r="W1102" s="10" t="str">
        <f aca="false">IFERROR(IF([2]对账明细接口!$R1102=0,"",[2]对账明细接口!$R1102),"")</f>
        <v/>
      </c>
      <c r="X1102" s="10" t="str">
        <f aca="false">IFERROR(IF([2]对账明细接口!$S1102=0,"",[2]对账明细接口!$S1102),"")</f>
        <v/>
      </c>
      <c r="Y1102" s="10" t="str">
        <f aca="false">IFERROR(IF([2]对账明细接口!$T1102=0,"",[2]对账明细接口!$T1102),"")</f>
        <v/>
      </c>
      <c r="Z1102" s="113" t="str">
        <f aca="false">IFERROR(IF([2]对账明细接口!$U1102=0,"",[2]对账明细接口!$U1102),"")</f>
        <v/>
      </c>
      <c r="AA1102" s="113" t="str">
        <f aca="false">IFERROR(IF([2]对账明细接口!$V1102=0,"",[2]对账明细接口!$V1102),"")</f>
        <v/>
      </c>
      <c r="AB1102" s="10" t="str">
        <f aca="false">IFERROR(IF([2]对账明细接口!$W1102=0,"",[2]对账明细接口!$W1102),"")</f>
        <v/>
      </c>
      <c r="AC1102" s="90" t="str">
        <f aca="false">IFERROR(IF([2]对账明细接口!$X1103=0,"",[2]对账明细接口!$X1103),"")</f>
        <v/>
      </c>
      <c r="AD1102" s="90" t="str">
        <f aca="false">IFERROR(IF([2]对账明细接口!$Y1103=0,"",[2]对账明细接口!$Y1103),"")</f>
        <v/>
      </c>
      <c r="AE1102" s="90" t="str">
        <f aca="false">IFERROR(IF([2]对账明细接口!$AA1103=0,"",[2]对账明细接口!$AA1103),"")</f>
        <v/>
      </c>
      <c r="AF1102" s="90" t="str">
        <f aca="false">IFERROR(IF([2]对账明细接口!$AB1103=0,"",[2]对账明细接口!$AB1103),"")</f>
        <v/>
      </c>
      <c r="AG1102" s="90" t="str">
        <f aca="false">IFERROR(IF([2]对账明细接口!$AC1103=0,"",[2]对账明细接口!$AC1103),"")</f>
        <v/>
      </c>
      <c r="AH1102" s="90" t="str">
        <f aca="false">IFERROR(IF([2]对账明细接口!$AD1103=0,"",[2]对账明细接口!$AD1103),"")</f>
        <v/>
      </c>
    </row>
    <row r="1103" customFormat="false" ht="13.5" hidden="false" customHeight="false" outlineLevel="0" collapsed="false">
      <c r="A1103" s="109" t="n">
        <v>1103</v>
      </c>
      <c r="B1103" s="110" t="str">
        <f aca="false">IFERROR(IF([2]对账明细接口!$B$1103=0,"",[2]对账明细接口!$B$1103),"")</f>
        <v/>
      </c>
      <c r="C1103" s="59" t="str">
        <f aca="false">IFERROR(IF([2]对账明细接口!$C$1103=0,"",[2]对账明细接口!$C$1103),"")</f>
        <v/>
      </c>
      <c r="D1103" s="59" t="str">
        <f aca="false">IFERROR(IF([2]对账明细接口!$D$1103=0,"",[2]对账明细接口!$D$1103),"")</f>
        <v/>
      </c>
      <c r="E1103" s="59" t="str">
        <f aca="false">IFERROR(IF([2]对账明细接口!$E$1103=0,"",[2]对账明细接口!$E$1103),"")</f>
        <v/>
      </c>
      <c r="F1103" s="59" t="str">
        <f aca="false">IFERROR(IF([2]对账明细接口!$F$1103=0,"",[2]对账明细接口!$F$1103),"")</f>
        <v/>
      </c>
      <c r="G1103" s="59" t="str">
        <f aca="false">IFERROR(IF([2]对账明细接口!$G$1103=0,"",[2]对账明细接口!$G$1103),"")</f>
        <v/>
      </c>
      <c r="H1103" s="60" t="str">
        <f aca="false">IFERROR(IF([2]对账明细接口!$H$1103=0,"",[2]对账明细接口!$H$1103),"")</f>
        <v/>
      </c>
      <c r="I1103" s="59" t="str">
        <f aca="false">IFERROR(IF([2]对账明细接口!$I$1103=0,"",[2]对账明细接口!$I$1103),"")</f>
        <v/>
      </c>
      <c r="J1103" s="61" t="str">
        <f aca="false">IFERROR(IF([2]对账明细接口!$J$1103=0,"",[2]对账明细接口!$J$1103),"")</f>
        <v/>
      </c>
      <c r="K1103" s="61" t="str">
        <f aca="false">IFERROR(IF([2]对账明细接口!$K$1103=0,"",[2]对账明细接口!$K$1103),"")</f>
        <v/>
      </c>
      <c r="L1103" s="59" t="str">
        <f aca="false">IFERROR(IF([2]对账明细接口!$L$1103=0,"",[2]对账明细接口!$L$1103),"")</f>
        <v/>
      </c>
      <c r="M1103" s="59" t="str">
        <f aca="false">IFERROR(IF([2]对账明细接口!$M$1103=0,"",[2]对账明细接口!$M$1103),"")</f>
        <v/>
      </c>
      <c r="N1103" s="111" t="n">
        <f aca="false">IF($C1103="",0,1)</f>
        <v>0</v>
      </c>
      <c r="O1103" s="111" t="n">
        <f aca="false">N(O1102)+$N1103</f>
        <v>311</v>
      </c>
      <c r="S1103" s="10" t="str">
        <f aca="false">IFERROR(IF([2]对账明细接口!$N1103=0,"",[2]对账明细接口!$N1103),"")</f>
        <v/>
      </c>
      <c r="T1103" s="112" t="str">
        <f aca="false">IFERROR(IF([2]对账明细接口!$O1103=0,"",[2]对账明细接口!$O1103),"")</f>
        <v/>
      </c>
      <c r="U1103" s="112" t="str">
        <f aca="false">IFERROR(IF([2]对账明细接口!$P1103=0,"",[2]对账明细接口!$P1103),"")</f>
        <v/>
      </c>
      <c r="V1103" s="112" t="str">
        <f aca="false">IFERROR(IF([2]对账明细接口!$Q1103=0,"",[2]对账明细接口!$Q1103),"")</f>
        <v/>
      </c>
      <c r="W1103" s="10" t="str">
        <f aca="false">IFERROR(IF([2]对账明细接口!$R1103=0,"",[2]对账明细接口!$R1103),"")</f>
        <v/>
      </c>
      <c r="X1103" s="10" t="str">
        <f aca="false">IFERROR(IF([2]对账明细接口!$S1103=0,"",[2]对账明细接口!$S1103),"")</f>
        <v/>
      </c>
      <c r="Y1103" s="10" t="str">
        <f aca="false">IFERROR(IF([2]对账明细接口!$T1103=0,"",[2]对账明细接口!$T1103),"")</f>
        <v/>
      </c>
      <c r="Z1103" s="113" t="str">
        <f aca="false">IFERROR(IF([2]对账明细接口!$U1103=0,"",[2]对账明细接口!$U1103),"")</f>
        <v/>
      </c>
      <c r="AA1103" s="113" t="str">
        <f aca="false">IFERROR(IF([2]对账明细接口!$V1103=0,"",[2]对账明细接口!$V1103),"")</f>
        <v/>
      </c>
      <c r="AB1103" s="10" t="str">
        <f aca="false">IFERROR(IF([2]对账明细接口!$W1103=0,"",[2]对账明细接口!$W1103),"")</f>
        <v/>
      </c>
      <c r="AC1103" s="90" t="str">
        <f aca="false">IFERROR(IF([2]对账明细接口!$X1104=0,"",[2]对账明细接口!$X1104),"")</f>
        <v/>
      </c>
      <c r="AD1103" s="90" t="str">
        <f aca="false">IFERROR(IF([2]对账明细接口!$Y1104=0,"",[2]对账明细接口!$Y1104),"")</f>
        <v/>
      </c>
      <c r="AE1103" s="90" t="str">
        <f aca="false">IFERROR(IF([2]对账明细接口!$AA1104=0,"",[2]对账明细接口!$AA1104),"")</f>
        <v/>
      </c>
      <c r="AF1103" s="90" t="str">
        <f aca="false">IFERROR(IF([2]对账明细接口!$AB1104=0,"",[2]对账明细接口!$AB1104),"")</f>
        <v/>
      </c>
      <c r="AG1103" s="90" t="str">
        <f aca="false">IFERROR(IF([2]对账明细接口!$AC1104=0,"",[2]对账明细接口!$AC1104),"")</f>
        <v/>
      </c>
      <c r="AH1103" s="90" t="str">
        <f aca="false">IFERROR(IF([2]对账明细接口!$AD1104=0,"",[2]对账明细接口!$AD1104),"")</f>
        <v/>
      </c>
    </row>
    <row r="1104" customFormat="false" ht="13.5" hidden="false" customHeight="false" outlineLevel="0" collapsed="false">
      <c r="A1104" s="109" t="n">
        <v>1104</v>
      </c>
      <c r="B1104" s="110" t="str">
        <f aca="false">IFERROR(IF([2]对账明细接口!$B$1104=0,"",[2]对账明细接口!$B$1104),"")</f>
        <v/>
      </c>
      <c r="C1104" s="59" t="str">
        <f aca="false">IFERROR(IF([2]对账明细接口!$C$1104=0,"",[2]对账明细接口!$C$1104),"")</f>
        <v/>
      </c>
      <c r="D1104" s="59" t="str">
        <f aca="false">IFERROR(IF([2]对账明细接口!$D$1104=0,"",[2]对账明细接口!$D$1104),"")</f>
        <v/>
      </c>
      <c r="E1104" s="59" t="str">
        <f aca="false">IFERROR(IF([2]对账明细接口!$E$1104=0,"",[2]对账明细接口!$E$1104),"")</f>
        <v/>
      </c>
      <c r="F1104" s="59" t="str">
        <f aca="false">IFERROR(IF([2]对账明细接口!$F$1104=0,"",[2]对账明细接口!$F$1104),"")</f>
        <v/>
      </c>
      <c r="G1104" s="59" t="str">
        <f aca="false">IFERROR(IF([2]对账明细接口!$G$1104=0,"",[2]对账明细接口!$G$1104),"")</f>
        <v/>
      </c>
      <c r="H1104" s="60" t="str">
        <f aca="false">IFERROR(IF([2]对账明细接口!$H$1104=0,"",[2]对账明细接口!$H$1104),"")</f>
        <v/>
      </c>
      <c r="I1104" s="59" t="str">
        <f aca="false">IFERROR(IF([2]对账明细接口!$I$1104=0,"",[2]对账明细接口!$I$1104),"")</f>
        <v/>
      </c>
      <c r="J1104" s="61" t="str">
        <f aca="false">IFERROR(IF([2]对账明细接口!$J$1104=0,"",[2]对账明细接口!$J$1104),"")</f>
        <v/>
      </c>
      <c r="K1104" s="61" t="str">
        <f aca="false">IFERROR(IF([2]对账明细接口!$K$1104=0,"",[2]对账明细接口!$K$1104),"")</f>
        <v/>
      </c>
      <c r="L1104" s="59" t="str">
        <f aca="false">IFERROR(IF([2]对账明细接口!$L$1104=0,"",[2]对账明细接口!$L$1104),"")</f>
        <v/>
      </c>
      <c r="M1104" s="59" t="str">
        <f aca="false">IFERROR(IF([2]对账明细接口!$M$1104=0,"",[2]对账明细接口!$M$1104),"")</f>
        <v/>
      </c>
      <c r="N1104" s="111" t="n">
        <f aca="false">IF($C1104="",0,1)</f>
        <v>0</v>
      </c>
      <c r="O1104" s="111" t="n">
        <f aca="false">N(O1103)+$N1104</f>
        <v>311</v>
      </c>
      <c r="S1104" s="10" t="str">
        <f aca="false">IFERROR(IF([2]对账明细接口!$N1104=0,"",[2]对账明细接口!$N1104),"")</f>
        <v/>
      </c>
      <c r="T1104" s="112" t="str">
        <f aca="false">IFERROR(IF([2]对账明细接口!$O1104=0,"",[2]对账明细接口!$O1104),"")</f>
        <v/>
      </c>
      <c r="U1104" s="112" t="str">
        <f aca="false">IFERROR(IF([2]对账明细接口!$P1104=0,"",[2]对账明细接口!$P1104),"")</f>
        <v/>
      </c>
      <c r="V1104" s="112" t="str">
        <f aca="false">IFERROR(IF([2]对账明细接口!$Q1104=0,"",[2]对账明细接口!$Q1104),"")</f>
        <v/>
      </c>
      <c r="W1104" s="10" t="str">
        <f aca="false">IFERROR(IF([2]对账明细接口!$R1104=0,"",[2]对账明细接口!$R1104),"")</f>
        <v/>
      </c>
      <c r="X1104" s="10" t="str">
        <f aca="false">IFERROR(IF([2]对账明细接口!$S1104=0,"",[2]对账明细接口!$S1104),"")</f>
        <v/>
      </c>
      <c r="Y1104" s="10" t="str">
        <f aca="false">IFERROR(IF([2]对账明细接口!$T1104=0,"",[2]对账明细接口!$T1104),"")</f>
        <v/>
      </c>
      <c r="Z1104" s="113" t="str">
        <f aca="false">IFERROR(IF([2]对账明细接口!$U1104=0,"",[2]对账明细接口!$U1104),"")</f>
        <v/>
      </c>
      <c r="AA1104" s="113" t="str">
        <f aca="false">IFERROR(IF([2]对账明细接口!$V1104=0,"",[2]对账明细接口!$V1104),"")</f>
        <v/>
      </c>
      <c r="AB1104" s="10" t="str">
        <f aca="false">IFERROR(IF([2]对账明细接口!$W1104=0,"",[2]对账明细接口!$W1104),"")</f>
        <v/>
      </c>
      <c r="AC1104" s="90" t="str">
        <f aca="false">IFERROR(IF([2]对账明细接口!$X1105=0,"",[2]对账明细接口!$X1105),"")</f>
        <v/>
      </c>
      <c r="AD1104" s="90" t="str">
        <f aca="false">IFERROR(IF([2]对账明细接口!$Y1105=0,"",[2]对账明细接口!$Y1105),"")</f>
        <v/>
      </c>
      <c r="AE1104" s="90" t="str">
        <f aca="false">IFERROR(IF([2]对账明细接口!$AA1105=0,"",[2]对账明细接口!$AA1105),"")</f>
        <v/>
      </c>
      <c r="AF1104" s="90" t="str">
        <f aca="false">IFERROR(IF([2]对账明细接口!$AB1105=0,"",[2]对账明细接口!$AB1105),"")</f>
        <v/>
      </c>
      <c r="AG1104" s="90" t="str">
        <f aca="false">IFERROR(IF([2]对账明细接口!$AC1105=0,"",[2]对账明细接口!$AC1105),"")</f>
        <v/>
      </c>
      <c r="AH1104" s="90" t="str">
        <f aca="false">IFERROR(IF([2]对账明细接口!$AD1105=0,"",[2]对账明细接口!$AD1105),"")</f>
        <v/>
      </c>
    </row>
    <row r="1105" customFormat="false" ht="13.5" hidden="false" customHeight="false" outlineLevel="0" collapsed="false">
      <c r="A1105" s="109" t="n">
        <v>1105</v>
      </c>
      <c r="B1105" s="110" t="str">
        <f aca="false">IFERROR(IF([2]对账明细接口!$B$1105=0,"",[2]对账明细接口!$B$1105),"")</f>
        <v/>
      </c>
      <c r="C1105" s="59" t="str">
        <f aca="false">IFERROR(IF([2]对账明细接口!$C$1105=0,"",[2]对账明细接口!$C$1105),"")</f>
        <v/>
      </c>
      <c r="D1105" s="59" t="str">
        <f aca="false">IFERROR(IF([2]对账明细接口!$D$1105=0,"",[2]对账明细接口!$D$1105),"")</f>
        <v/>
      </c>
      <c r="E1105" s="59" t="str">
        <f aca="false">IFERROR(IF([2]对账明细接口!$E$1105=0,"",[2]对账明细接口!$E$1105),"")</f>
        <v/>
      </c>
      <c r="F1105" s="59" t="str">
        <f aca="false">IFERROR(IF([2]对账明细接口!$F$1105=0,"",[2]对账明细接口!$F$1105),"")</f>
        <v/>
      </c>
      <c r="G1105" s="59" t="str">
        <f aca="false">IFERROR(IF([2]对账明细接口!$G$1105=0,"",[2]对账明细接口!$G$1105),"")</f>
        <v/>
      </c>
      <c r="H1105" s="60" t="str">
        <f aca="false">IFERROR(IF([2]对账明细接口!$H$1105=0,"",[2]对账明细接口!$H$1105),"")</f>
        <v/>
      </c>
      <c r="I1105" s="59" t="str">
        <f aca="false">IFERROR(IF([2]对账明细接口!$I$1105=0,"",[2]对账明细接口!$I$1105),"")</f>
        <v/>
      </c>
      <c r="J1105" s="61" t="str">
        <f aca="false">IFERROR(IF([2]对账明细接口!$J$1105=0,"",[2]对账明细接口!$J$1105),"")</f>
        <v/>
      </c>
      <c r="K1105" s="61" t="str">
        <f aca="false">IFERROR(IF([2]对账明细接口!$K$1105=0,"",[2]对账明细接口!$K$1105),"")</f>
        <v/>
      </c>
      <c r="L1105" s="59" t="str">
        <f aca="false">IFERROR(IF([2]对账明细接口!$L$1105=0,"",[2]对账明细接口!$L$1105),"")</f>
        <v/>
      </c>
      <c r="M1105" s="59" t="str">
        <f aca="false">IFERROR(IF([2]对账明细接口!$M$1105=0,"",[2]对账明细接口!$M$1105),"")</f>
        <v/>
      </c>
      <c r="N1105" s="111" t="n">
        <f aca="false">IF($C1105="",0,1)</f>
        <v>0</v>
      </c>
      <c r="O1105" s="111" t="n">
        <f aca="false">N(O1104)+$N1105</f>
        <v>311</v>
      </c>
      <c r="S1105" s="10" t="str">
        <f aca="false">IFERROR(IF([2]对账明细接口!$N1105=0,"",[2]对账明细接口!$N1105),"")</f>
        <v/>
      </c>
      <c r="T1105" s="112" t="str">
        <f aca="false">IFERROR(IF([2]对账明细接口!$O1105=0,"",[2]对账明细接口!$O1105),"")</f>
        <v/>
      </c>
      <c r="U1105" s="112" t="str">
        <f aca="false">IFERROR(IF([2]对账明细接口!$P1105=0,"",[2]对账明细接口!$P1105),"")</f>
        <v/>
      </c>
      <c r="V1105" s="112" t="str">
        <f aca="false">IFERROR(IF([2]对账明细接口!$Q1105=0,"",[2]对账明细接口!$Q1105),"")</f>
        <v/>
      </c>
      <c r="W1105" s="10" t="str">
        <f aca="false">IFERROR(IF([2]对账明细接口!$R1105=0,"",[2]对账明细接口!$R1105),"")</f>
        <v/>
      </c>
      <c r="X1105" s="10" t="str">
        <f aca="false">IFERROR(IF([2]对账明细接口!$S1105=0,"",[2]对账明细接口!$S1105),"")</f>
        <v/>
      </c>
      <c r="Y1105" s="10" t="str">
        <f aca="false">IFERROR(IF([2]对账明细接口!$T1105=0,"",[2]对账明细接口!$T1105),"")</f>
        <v/>
      </c>
      <c r="Z1105" s="113" t="str">
        <f aca="false">IFERROR(IF([2]对账明细接口!$U1105=0,"",[2]对账明细接口!$U1105),"")</f>
        <v/>
      </c>
      <c r="AA1105" s="113" t="str">
        <f aca="false">IFERROR(IF([2]对账明细接口!$V1105=0,"",[2]对账明细接口!$V1105),"")</f>
        <v/>
      </c>
      <c r="AB1105" s="10" t="str">
        <f aca="false">IFERROR(IF([2]对账明细接口!$W1105=0,"",[2]对账明细接口!$W1105),"")</f>
        <v/>
      </c>
      <c r="AC1105" s="90" t="str">
        <f aca="false">IFERROR(IF([2]对账明细接口!$X1106=0,"",[2]对账明细接口!$X1106),"")</f>
        <v/>
      </c>
      <c r="AD1105" s="90" t="str">
        <f aca="false">IFERROR(IF([2]对账明细接口!$Y1106=0,"",[2]对账明细接口!$Y1106),"")</f>
        <v/>
      </c>
      <c r="AE1105" s="90" t="str">
        <f aca="false">IFERROR(IF([2]对账明细接口!$AA1106=0,"",[2]对账明细接口!$AA1106),"")</f>
        <v/>
      </c>
      <c r="AF1105" s="90" t="str">
        <f aca="false">IFERROR(IF([2]对账明细接口!$AB1106=0,"",[2]对账明细接口!$AB1106),"")</f>
        <v/>
      </c>
      <c r="AG1105" s="90" t="str">
        <f aca="false">IFERROR(IF([2]对账明细接口!$AC1106=0,"",[2]对账明细接口!$AC1106),"")</f>
        <v/>
      </c>
      <c r="AH1105" s="90" t="str">
        <f aca="false">IFERROR(IF([2]对账明细接口!$AD1106=0,"",[2]对账明细接口!$AD1106),"")</f>
        <v/>
      </c>
    </row>
    <row r="1106" customFormat="false" ht="13.5" hidden="false" customHeight="false" outlineLevel="0" collapsed="false">
      <c r="A1106" s="109" t="n">
        <v>1106</v>
      </c>
      <c r="B1106" s="110" t="str">
        <f aca="false">IFERROR(IF([2]对账明细接口!$B$1106=0,"",[2]对账明细接口!$B$1106),"")</f>
        <v/>
      </c>
      <c r="C1106" s="59" t="str">
        <f aca="false">IFERROR(IF([2]对账明细接口!$C$1106=0,"",[2]对账明细接口!$C$1106),"")</f>
        <v/>
      </c>
      <c r="D1106" s="59" t="str">
        <f aca="false">IFERROR(IF([2]对账明细接口!$D$1106=0,"",[2]对账明细接口!$D$1106),"")</f>
        <v/>
      </c>
      <c r="E1106" s="59" t="str">
        <f aca="false">IFERROR(IF([2]对账明细接口!$E$1106=0,"",[2]对账明细接口!$E$1106),"")</f>
        <v/>
      </c>
      <c r="F1106" s="59" t="str">
        <f aca="false">IFERROR(IF([2]对账明细接口!$F$1106=0,"",[2]对账明细接口!$F$1106),"")</f>
        <v/>
      </c>
      <c r="G1106" s="59" t="str">
        <f aca="false">IFERROR(IF([2]对账明细接口!$G$1106=0,"",[2]对账明细接口!$G$1106),"")</f>
        <v/>
      </c>
      <c r="H1106" s="60" t="str">
        <f aca="false">IFERROR(IF([2]对账明细接口!$H$1106=0,"",[2]对账明细接口!$H$1106),"")</f>
        <v/>
      </c>
      <c r="I1106" s="59" t="str">
        <f aca="false">IFERROR(IF([2]对账明细接口!$I$1106=0,"",[2]对账明细接口!$I$1106),"")</f>
        <v/>
      </c>
      <c r="J1106" s="61" t="str">
        <f aca="false">IFERROR(IF([2]对账明细接口!$J$1106=0,"",[2]对账明细接口!$J$1106),"")</f>
        <v/>
      </c>
      <c r="K1106" s="61" t="str">
        <f aca="false">IFERROR(IF([2]对账明细接口!$K$1106=0,"",[2]对账明细接口!$K$1106),"")</f>
        <v/>
      </c>
      <c r="L1106" s="59" t="str">
        <f aca="false">IFERROR(IF([2]对账明细接口!$L$1106=0,"",[2]对账明细接口!$L$1106),"")</f>
        <v/>
      </c>
      <c r="M1106" s="59" t="str">
        <f aca="false">IFERROR(IF([2]对账明细接口!$M$1106=0,"",[2]对账明细接口!$M$1106),"")</f>
        <v/>
      </c>
      <c r="N1106" s="111" t="n">
        <f aca="false">IF($C1106="",0,1)</f>
        <v>0</v>
      </c>
      <c r="O1106" s="111" t="n">
        <f aca="false">N(O1105)+$N1106</f>
        <v>311</v>
      </c>
      <c r="S1106" s="10" t="str">
        <f aca="false">IFERROR(IF([2]对账明细接口!$N1106=0,"",[2]对账明细接口!$N1106),"")</f>
        <v/>
      </c>
      <c r="T1106" s="112" t="str">
        <f aca="false">IFERROR(IF([2]对账明细接口!$O1106=0,"",[2]对账明细接口!$O1106),"")</f>
        <v/>
      </c>
      <c r="U1106" s="112" t="str">
        <f aca="false">IFERROR(IF([2]对账明细接口!$P1106=0,"",[2]对账明细接口!$P1106),"")</f>
        <v/>
      </c>
      <c r="V1106" s="112" t="str">
        <f aca="false">IFERROR(IF([2]对账明细接口!$Q1106=0,"",[2]对账明细接口!$Q1106),"")</f>
        <v/>
      </c>
      <c r="W1106" s="10" t="str">
        <f aca="false">IFERROR(IF([2]对账明细接口!$R1106=0,"",[2]对账明细接口!$R1106),"")</f>
        <v/>
      </c>
      <c r="X1106" s="10" t="str">
        <f aca="false">IFERROR(IF([2]对账明细接口!$S1106=0,"",[2]对账明细接口!$S1106),"")</f>
        <v/>
      </c>
      <c r="Y1106" s="10" t="str">
        <f aca="false">IFERROR(IF([2]对账明细接口!$T1106=0,"",[2]对账明细接口!$T1106),"")</f>
        <v/>
      </c>
      <c r="Z1106" s="113" t="str">
        <f aca="false">IFERROR(IF([2]对账明细接口!$U1106=0,"",[2]对账明细接口!$U1106),"")</f>
        <v/>
      </c>
      <c r="AA1106" s="113" t="str">
        <f aca="false">IFERROR(IF([2]对账明细接口!$V1106=0,"",[2]对账明细接口!$V1106),"")</f>
        <v/>
      </c>
      <c r="AB1106" s="10" t="str">
        <f aca="false">IFERROR(IF([2]对账明细接口!$W1106=0,"",[2]对账明细接口!$W1106),"")</f>
        <v/>
      </c>
      <c r="AC1106" s="90" t="str">
        <f aca="false">IFERROR(IF([2]对账明细接口!$X1107=0,"",[2]对账明细接口!$X1107),"")</f>
        <v/>
      </c>
      <c r="AD1106" s="90" t="str">
        <f aca="false">IFERROR(IF([2]对账明细接口!$Y1107=0,"",[2]对账明细接口!$Y1107),"")</f>
        <v/>
      </c>
      <c r="AE1106" s="90" t="str">
        <f aca="false">IFERROR(IF([2]对账明细接口!$AA1107=0,"",[2]对账明细接口!$AA1107),"")</f>
        <v/>
      </c>
      <c r="AF1106" s="90" t="str">
        <f aca="false">IFERROR(IF([2]对账明细接口!$AB1107=0,"",[2]对账明细接口!$AB1107),"")</f>
        <v/>
      </c>
      <c r="AG1106" s="90" t="str">
        <f aca="false">IFERROR(IF([2]对账明细接口!$AC1107=0,"",[2]对账明细接口!$AC1107),"")</f>
        <v/>
      </c>
      <c r="AH1106" s="90" t="str">
        <f aca="false">IFERROR(IF([2]对账明细接口!$AD1107=0,"",[2]对账明细接口!$AD1107),"")</f>
        <v/>
      </c>
    </row>
    <row r="1107" customFormat="false" ht="13.5" hidden="false" customHeight="false" outlineLevel="0" collapsed="false">
      <c r="A1107" s="109" t="n">
        <v>1107</v>
      </c>
      <c r="B1107" s="110" t="str">
        <f aca="false">IFERROR(IF([2]对账明细接口!$B$1107=0,"",[2]对账明细接口!$B$1107),"")</f>
        <v/>
      </c>
      <c r="C1107" s="59" t="str">
        <f aca="false">IFERROR(IF([2]对账明细接口!$C$1107=0,"",[2]对账明细接口!$C$1107),"")</f>
        <v/>
      </c>
      <c r="D1107" s="59" t="str">
        <f aca="false">IFERROR(IF([2]对账明细接口!$D$1107=0,"",[2]对账明细接口!$D$1107),"")</f>
        <v/>
      </c>
      <c r="E1107" s="59" t="str">
        <f aca="false">IFERROR(IF([2]对账明细接口!$E$1107=0,"",[2]对账明细接口!$E$1107),"")</f>
        <v/>
      </c>
      <c r="F1107" s="59" t="str">
        <f aca="false">IFERROR(IF([2]对账明细接口!$F$1107=0,"",[2]对账明细接口!$F$1107),"")</f>
        <v/>
      </c>
      <c r="G1107" s="59" t="str">
        <f aca="false">IFERROR(IF([2]对账明细接口!$G$1107=0,"",[2]对账明细接口!$G$1107),"")</f>
        <v/>
      </c>
      <c r="H1107" s="60" t="str">
        <f aca="false">IFERROR(IF([2]对账明细接口!$H$1107=0,"",[2]对账明细接口!$H$1107),"")</f>
        <v/>
      </c>
      <c r="I1107" s="59" t="str">
        <f aca="false">IFERROR(IF([2]对账明细接口!$I$1107=0,"",[2]对账明细接口!$I$1107),"")</f>
        <v/>
      </c>
      <c r="J1107" s="61" t="str">
        <f aca="false">IFERROR(IF([2]对账明细接口!$J$1107=0,"",[2]对账明细接口!$J$1107),"")</f>
        <v/>
      </c>
      <c r="K1107" s="61" t="str">
        <f aca="false">IFERROR(IF([2]对账明细接口!$K$1107=0,"",[2]对账明细接口!$K$1107),"")</f>
        <v/>
      </c>
      <c r="L1107" s="59" t="str">
        <f aca="false">IFERROR(IF([2]对账明细接口!$L$1107=0,"",[2]对账明细接口!$L$1107),"")</f>
        <v/>
      </c>
      <c r="M1107" s="59" t="str">
        <f aca="false">IFERROR(IF([2]对账明细接口!$M$1107=0,"",[2]对账明细接口!$M$1107),"")</f>
        <v/>
      </c>
      <c r="N1107" s="111" t="n">
        <f aca="false">IF($C1107="",0,1)</f>
        <v>0</v>
      </c>
      <c r="O1107" s="111" t="n">
        <f aca="false">N(O1106)+$N1107</f>
        <v>311</v>
      </c>
      <c r="S1107" s="10" t="str">
        <f aca="false">IFERROR(IF([2]对账明细接口!$N1107=0,"",[2]对账明细接口!$N1107),"")</f>
        <v/>
      </c>
      <c r="T1107" s="112" t="str">
        <f aca="false">IFERROR(IF([2]对账明细接口!$O1107=0,"",[2]对账明细接口!$O1107),"")</f>
        <v/>
      </c>
      <c r="U1107" s="112" t="str">
        <f aca="false">IFERROR(IF([2]对账明细接口!$P1107=0,"",[2]对账明细接口!$P1107),"")</f>
        <v/>
      </c>
      <c r="V1107" s="112" t="str">
        <f aca="false">IFERROR(IF([2]对账明细接口!$Q1107=0,"",[2]对账明细接口!$Q1107),"")</f>
        <v/>
      </c>
      <c r="W1107" s="10" t="str">
        <f aca="false">IFERROR(IF([2]对账明细接口!$R1107=0,"",[2]对账明细接口!$R1107),"")</f>
        <v/>
      </c>
      <c r="X1107" s="10" t="str">
        <f aca="false">IFERROR(IF([2]对账明细接口!$S1107=0,"",[2]对账明细接口!$S1107),"")</f>
        <v/>
      </c>
      <c r="Y1107" s="10" t="str">
        <f aca="false">IFERROR(IF([2]对账明细接口!$T1107=0,"",[2]对账明细接口!$T1107),"")</f>
        <v/>
      </c>
      <c r="Z1107" s="113" t="str">
        <f aca="false">IFERROR(IF([2]对账明细接口!$U1107=0,"",[2]对账明细接口!$U1107),"")</f>
        <v/>
      </c>
      <c r="AA1107" s="113" t="str">
        <f aca="false">IFERROR(IF([2]对账明细接口!$V1107=0,"",[2]对账明细接口!$V1107),"")</f>
        <v/>
      </c>
      <c r="AB1107" s="10" t="str">
        <f aca="false">IFERROR(IF([2]对账明细接口!$W1107=0,"",[2]对账明细接口!$W1107),"")</f>
        <v/>
      </c>
      <c r="AC1107" s="90" t="str">
        <f aca="false">IFERROR(IF([2]对账明细接口!$X1108=0,"",[2]对账明细接口!$X1108),"")</f>
        <v/>
      </c>
      <c r="AD1107" s="90" t="str">
        <f aca="false">IFERROR(IF([2]对账明细接口!$Y1108=0,"",[2]对账明细接口!$Y1108),"")</f>
        <v/>
      </c>
      <c r="AE1107" s="90" t="str">
        <f aca="false">IFERROR(IF([2]对账明细接口!$AA1108=0,"",[2]对账明细接口!$AA1108),"")</f>
        <v/>
      </c>
      <c r="AF1107" s="90" t="str">
        <f aca="false">IFERROR(IF([2]对账明细接口!$AB1108=0,"",[2]对账明细接口!$AB1108),"")</f>
        <v/>
      </c>
      <c r="AG1107" s="90" t="str">
        <f aca="false">IFERROR(IF([2]对账明细接口!$AC1108=0,"",[2]对账明细接口!$AC1108),"")</f>
        <v/>
      </c>
      <c r="AH1107" s="90" t="str">
        <f aca="false">IFERROR(IF([2]对账明细接口!$AD1108=0,"",[2]对账明细接口!$AD1108),"")</f>
        <v/>
      </c>
    </row>
    <row r="1108" customFormat="false" ht="13.5" hidden="false" customHeight="false" outlineLevel="0" collapsed="false">
      <c r="A1108" s="109" t="n">
        <v>1108</v>
      </c>
      <c r="B1108" s="110" t="str">
        <f aca="false">IFERROR(IF([2]对账明细接口!$B$1108=0,"",[2]对账明细接口!$B$1108),"")</f>
        <v/>
      </c>
      <c r="C1108" s="59" t="str">
        <f aca="false">IFERROR(IF([2]对账明细接口!$C$1108=0,"",[2]对账明细接口!$C$1108),"")</f>
        <v/>
      </c>
      <c r="D1108" s="59" t="str">
        <f aca="false">IFERROR(IF([2]对账明细接口!$D$1108=0,"",[2]对账明细接口!$D$1108),"")</f>
        <v/>
      </c>
      <c r="E1108" s="59" t="str">
        <f aca="false">IFERROR(IF([2]对账明细接口!$E$1108=0,"",[2]对账明细接口!$E$1108),"")</f>
        <v/>
      </c>
      <c r="F1108" s="59" t="str">
        <f aca="false">IFERROR(IF([2]对账明细接口!$F$1108=0,"",[2]对账明细接口!$F$1108),"")</f>
        <v/>
      </c>
      <c r="G1108" s="59" t="str">
        <f aca="false">IFERROR(IF([2]对账明细接口!$G$1108=0,"",[2]对账明细接口!$G$1108),"")</f>
        <v/>
      </c>
      <c r="H1108" s="60" t="str">
        <f aca="false">IFERROR(IF([2]对账明细接口!$H$1108=0,"",[2]对账明细接口!$H$1108),"")</f>
        <v/>
      </c>
      <c r="I1108" s="59" t="str">
        <f aca="false">IFERROR(IF([2]对账明细接口!$I$1108=0,"",[2]对账明细接口!$I$1108),"")</f>
        <v/>
      </c>
      <c r="J1108" s="61" t="str">
        <f aca="false">IFERROR(IF([2]对账明细接口!$J$1108=0,"",[2]对账明细接口!$J$1108),"")</f>
        <v/>
      </c>
      <c r="K1108" s="61" t="str">
        <f aca="false">IFERROR(IF([2]对账明细接口!$K$1108=0,"",[2]对账明细接口!$K$1108),"")</f>
        <v/>
      </c>
      <c r="L1108" s="59" t="str">
        <f aca="false">IFERROR(IF([2]对账明细接口!$L$1108=0,"",[2]对账明细接口!$L$1108),"")</f>
        <v/>
      </c>
      <c r="M1108" s="59" t="str">
        <f aca="false">IFERROR(IF([2]对账明细接口!$M$1108=0,"",[2]对账明细接口!$M$1108),"")</f>
        <v/>
      </c>
      <c r="N1108" s="111" t="n">
        <f aca="false">IF($C1108="",0,1)</f>
        <v>0</v>
      </c>
      <c r="O1108" s="111" t="n">
        <f aca="false">N(O1107)+$N1108</f>
        <v>311</v>
      </c>
      <c r="S1108" s="10" t="str">
        <f aca="false">IFERROR(IF([2]对账明细接口!$N1108=0,"",[2]对账明细接口!$N1108),"")</f>
        <v/>
      </c>
      <c r="T1108" s="112" t="str">
        <f aca="false">IFERROR(IF([2]对账明细接口!$O1108=0,"",[2]对账明细接口!$O1108),"")</f>
        <v/>
      </c>
      <c r="U1108" s="112" t="str">
        <f aca="false">IFERROR(IF([2]对账明细接口!$P1108=0,"",[2]对账明细接口!$P1108),"")</f>
        <v/>
      </c>
      <c r="V1108" s="112" t="str">
        <f aca="false">IFERROR(IF([2]对账明细接口!$Q1108=0,"",[2]对账明细接口!$Q1108),"")</f>
        <v/>
      </c>
      <c r="W1108" s="10" t="str">
        <f aca="false">IFERROR(IF([2]对账明细接口!$R1108=0,"",[2]对账明细接口!$R1108),"")</f>
        <v/>
      </c>
      <c r="X1108" s="10" t="str">
        <f aca="false">IFERROR(IF([2]对账明细接口!$S1108=0,"",[2]对账明细接口!$S1108),"")</f>
        <v/>
      </c>
      <c r="Y1108" s="10" t="str">
        <f aca="false">IFERROR(IF([2]对账明细接口!$T1108=0,"",[2]对账明细接口!$T1108),"")</f>
        <v/>
      </c>
      <c r="Z1108" s="113" t="str">
        <f aca="false">IFERROR(IF([2]对账明细接口!$U1108=0,"",[2]对账明细接口!$U1108),"")</f>
        <v/>
      </c>
      <c r="AA1108" s="113" t="str">
        <f aca="false">IFERROR(IF([2]对账明细接口!$V1108=0,"",[2]对账明细接口!$V1108),"")</f>
        <v/>
      </c>
      <c r="AB1108" s="10" t="str">
        <f aca="false">IFERROR(IF([2]对账明细接口!$W1108=0,"",[2]对账明细接口!$W1108),"")</f>
        <v/>
      </c>
      <c r="AC1108" s="90" t="str">
        <f aca="false">IFERROR(IF([2]对账明细接口!$X1109=0,"",[2]对账明细接口!$X1109),"")</f>
        <v/>
      </c>
      <c r="AD1108" s="90" t="str">
        <f aca="false">IFERROR(IF([2]对账明细接口!$Y1109=0,"",[2]对账明细接口!$Y1109),"")</f>
        <v/>
      </c>
      <c r="AE1108" s="90" t="str">
        <f aca="false">IFERROR(IF([2]对账明细接口!$AA1109=0,"",[2]对账明细接口!$AA1109),"")</f>
        <v/>
      </c>
      <c r="AF1108" s="90" t="str">
        <f aca="false">IFERROR(IF([2]对账明细接口!$AB1109=0,"",[2]对账明细接口!$AB1109),"")</f>
        <v/>
      </c>
      <c r="AG1108" s="90" t="str">
        <f aca="false">IFERROR(IF([2]对账明细接口!$AC1109=0,"",[2]对账明细接口!$AC1109),"")</f>
        <v/>
      </c>
      <c r="AH1108" s="90" t="str">
        <f aca="false">IFERROR(IF([2]对账明细接口!$AD1109=0,"",[2]对账明细接口!$AD1109),"")</f>
        <v/>
      </c>
    </row>
    <row r="1109" customFormat="false" ht="13.5" hidden="false" customHeight="false" outlineLevel="0" collapsed="false">
      <c r="A1109" s="109" t="n">
        <v>1109</v>
      </c>
      <c r="B1109" s="110" t="str">
        <f aca="false">IFERROR(IF([2]对账明细接口!$B$1109=0,"",[2]对账明细接口!$B$1109),"")</f>
        <v/>
      </c>
      <c r="C1109" s="59" t="str">
        <f aca="false">IFERROR(IF([2]对账明细接口!$C$1109=0,"",[2]对账明细接口!$C$1109),"")</f>
        <v/>
      </c>
      <c r="D1109" s="59" t="str">
        <f aca="false">IFERROR(IF([2]对账明细接口!$D$1109=0,"",[2]对账明细接口!$D$1109),"")</f>
        <v/>
      </c>
      <c r="E1109" s="59" t="str">
        <f aca="false">IFERROR(IF([2]对账明细接口!$E$1109=0,"",[2]对账明细接口!$E$1109),"")</f>
        <v/>
      </c>
      <c r="F1109" s="59" t="str">
        <f aca="false">IFERROR(IF([2]对账明细接口!$F$1109=0,"",[2]对账明细接口!$F$1109),"")</f>
        <v/>
      </c>
      <c r="G1109" s="59" t="str">
        <f aca="false">IFERROR(IF([2]对账明细接口!$G$1109=0,"",[2]对账明细接口!$G$1109),"")</f>
        <v/>
      </c>
      <c r="H1109" s="60" t="str">
        <f aca="false">IFERROR(IF([2]对账明细接口!$H$1109=0,"",[2]对账明细接口!$H$1109),"")</f>
        <v/>
      </c>
      <c r="I1109" s="59" t="str">
        <f aca="false">IFERROR(IF([2]对账明细接口!$I$1109=0,"",[2]对账明细接口!$I$1109),"")</f>
        <v/>
      </c>
      <c r="J1109" s="61" t="str">
        <f aca="false">IFERROR(IF([2]对账明细接口!$J$1109=0,"",[2]对账明细接口!$J$1109),"")</f>
        <v/>
      </c>
      <c r="K1109" s="61" t="str">
        <f aca="false">IFERROR(IF([2]对账明细接口!$K$1109=0,"",[2]对账明细接口!$K$1109),"")</f>
        <v/>
      </c>
      <c r="L1109" s="59" t="str">
        <f aca="false">IFERROR(IF([2]对账明细接口!$L$1109=0,"",[2]对账明细接口!$L$1109),"")</f>
        <v/>
      </c>
      <c r="M1109" s="59" t="str">
        <f aca="false">IFERROR(IF([2]对账明细接口!$M$1109=0,"",[2]对账明细接口!$M$1109),"")</f>
        <v/>
      </c>
      <c r="N1109" s="111" t="n">
        <f aca="false">IF($C1109="",0,1)</f>
        <v>0</v>
      </c>
      <c r="O1109" s="111" t="n">
        <f aca="false">N(O1108)+$N1109</f>
        <v>311</v>
      </c>
      <c r="S1109" s="10" t="str">
        <f aca="false">IFERROR(IF([2]对账明细接口!$N1109=0,"",[2]对账明细接口!$N1109),"")</f>
        <v/>
      </c>
      <c r="T1109" s="112" t="str">
        <f aca="false">IFERROR(IF([2]对账明细接口!$O1109=0,"",[2]对账明细接口!$O1109),"")</f>
        <v/>
      </c>
      <c r="U1109" s="112" t="str">
        <f aca="false">IFERROR(IF([2]对账明细接口!$P1109=0,"",[2]对账明细接口!$P1109),"")</f>
        <v/>
      </c>
      <c r="V1109" s="112" t="str">
        <f aca="false">IFERROR(IF([2]对账明细接口!$Q1109=0,"",[2]对账明细接口!$Q1109),"")</f>
        <v/>
      </c>
      <c r="W1109" s="10" t="str">
        <f aca="false">IFERROR(IF([2]对账明细接口!$R1109=0,"",[2]对账明细接口!$R1109),"")</f>
        <v/>
      </c>
      <c r="X1109" s="10" t="str">
        <f aca="false">IFERROR(IF([2]对账明细接口!$S1109=0,"",[2]对账明细接口!$S1109),"")</f>
        <v/>
      </c>
      <c r="Y1109" s="10" t="str">
        <f aca="false">IFERROR(IF([2]对账明细接口!$T1109=0,"",[2]对账明细接口!$T1109),"")</f>
        <v/>
      </c>
      <c r="Z1109" s="113" t="str">
        <f aca="false">IFERROR(IF([2]对账明细接口!$U1109=0,"",[2]对账明细接口!$U1109),"")</f>
        <v/>
      </c>
      <c r="AA1109" s="113" t="str">
        <f aca="false">IFERROR(IF([2]对账明细接口!$V1109=0,"",[2]对账明细接口!$V1109),"")</f>
        <v/>
      </c>
      <c r="AB1109" s="10" t="str">
        <f aca="false">IFERROR(IF([2]对账明细接口!$W1109=0,"",[2]对账明细接口!$W1109),"")</f>
        <v/>
      </c>
      <c r="AC1109" s="90" t="str">
        <f aca="false">IFERROR(IF([2]对账明细接口!$X1110=0,"",[2]对账明细接口!$X1110),"")</f>
        <v/>
      </c>
      <c r="AD1109" s="90" t="str">
        <f aca="false">IFERROR(IF([2]对账明细接口!$Y1110=0,"",[2]对账明细接口!$Y1110),"")</f>
        <v/>
      </c>
      <c r="AE1109" s="90" t="str">
        <f aca="false">IFERROR(IF([2]对账明细接口!$AA1110=0,"",[2]对账明细接口!$AA1110),"")</f>
        <v/>
      </c>
      <c r="AF1109" s="90" t="str">
        <f aca="false">IFERROR(IF([2]对账明细接口!$AB1110=0,"",[2]对账明细接口!$AB1110),"")</f>
        <v/>
      </c>
      <c r="AG1109" s="90" t="str">
        <f aca="false">IFERROR(IF([2]对账明细接口!$AC1110=0,"",[2]对账明细接口!$AC1110),"")</f>
        <v/>
      </c>
      <c r="AH1109" s="90" t="str">
        <f aca="false">IFERROR(IF([2]对账明细接口!$AD1110=0,"",[2]对账明细接口!$AD1110),"")</f>
        <v/>
      </c>
    </row>
    <row r="1110" customFormat="false" ht="13.5" hidden="false" customHeight="false" outlineLevel="0" collapsed="false">
      <c r="A1110" s="109" t="n">
        <v>1110</v>
      </c>
      <c r="B1110" s="110" t="str">
        <f aca="false">IFERROR(IF([2]对账明细接口!$B$1110=0,"",[2]对账明细接口!$B$1110),"")</f>
        <v/>
      </c>
      <c r="C1110" s="59" t="str">
        <f aca="false">IFERROR(IF([2]对账明细接口!$C$1110=0,"",[2]对账明细接口!$C$1110),"")</f>
        <v/>
      </c>
      <c r="D1110" s="59" t="str">
        <f aca="false">IFERROR(IF([2]对账明细接口!$D$1110=0,"",[2]对账明细接口!$D$1110),"")</f>
        <v/>
      </c>
      <c r="E1110" s="59" t="str">
        <f aca="false">IFERROR(IF([2]对账明细接口!$E$1110=0,"",[2]对账明细接口!$E$1110),"")</f>
        <v/>
      </c>
      <c r="F1110" s="59" t="str">
        <f aca="false">IFERROR(IF([2]对账明细接口!$F$1110=0,"",[2]对账明细接口!$F$1110),"")</f>
        <v/>
      </c>
      <c r="G1110" s="59" t="str">
        <f aca="false">IFERROR(IF([2]对账明细接口!$G$1110=0,"",[2]对账明细接口!$G$1110),"")</f>
        <v/>
      </c>
      <c r="H1110" s="60" t="str">
        <f aca="false">IFERROR(IF([2]对账明细接口!$H$1110=0,"",[2]对账明细接口!$H$1110),"")</f>
        <v/>
      </c>
      <c r="I1110" s="59" t="str">
        <f aca="false">IFERROR(IF([2]对账明细接口!$I$1110=0,"",[2]对账明细接口!$I$1110),"")</f>
        <v/>
      </c>
      <c r="J1110" s="61" t="str">
        <f aca="false">IFERROR(IF([2]对账明细接口!$J$1110=0,"",[2]对账明细接口!$J$1110),"")</f>
        <v/>
      </c>
      <c r="K1110" s="61" t="str">
        <f aca="false">IFERROR(IF([2]对账明细接口!$K$1110=0,"",[2]对账明细接口!$K$1110),"")</f>
        <v/>
      </c>
      <c r="L1110" s="59" t="str">
        <f aca="false">IFERROR(IF([2]对账明细接口!$L$1110=0,"",[2]对账明细接口!$L$1110),"")</f>
        <v/>
      </c>
      <c r="M1110" s="59" t="str">
        <f aca="false">IFERROR(IF([2]对账明细接口!$M$1110=0,"",[2]对账明细接口!$M$1110),"")</f>
        <v/>
      </c>
      <c r="N1110" s="111" t="n">
        <f aca="false">IF($C1110="",0,1)</f>
        <v>0</v>
      </c>
      <c r="O1110" s="111" t="n">
        <f aca="false">N(O1109)+$N1110</f>
        <v>311</v>
      </c>
      <c r="S1110" s="10" t="str">
        <f aca="false">IFERROR(IF([2]对账明细接口!$N1110=0,"",[2]对账明细接口!$N1110),"")</f>
        <v/>
      </c>
      <c r="T1110" s="112" t="str">
        <f aca="false">IFERROR(IF([2]对账明细接口!$O1110=0,"",[2]对账明细接口!$O1110),"")</f>
        <v/>
      </c>
      <c r="U1110" s="112" t="str">
        <f aca="false">IFERROR(IF([2]对账明细接口!$P1110=0,"",[2]对账明细接口!$P1110),"")</f>
        <v/>
      </c>
      <c r="V1110" s="112" t="str">
        <f aca="false">IFERROR(IF([2]对账明细接口!$Q1110=0,"",[2]对账明细接口!$Q1110),"")</f>
        <v/>
      </c>
      <c r="W1110" s="10" t="str">
        <f aca="false">IFERROR(IF([2]对账明细接口!$R1110=0,"",[2]对账明细接口!$R1110),"")</f>
        <v/>
      </c>
      <c r="X1110" s="10" t="str">
        <f aca="false">IFERROR(IF([2]对账明细接口!$S1110=0,"",[2]对账明细接口!$S1110),"")</f>
        <v/>
      </c>
      <c r="Y1110" s="10" t="str">
        <f aca="false">IFERROR(IF([2]对账明细接口!$T1110=0,"",[2]对账明细接口!$T1110),"")</f>
        <v/>
      </c>
      <c r="Z1110" s="113" t="str">
        <f aca="false">IFERROR(IF([2]对账明细接口!$U1110=0,"",[2]对账明细接口!$U1110),"")</f>
        <v/>
      </c>
      <c r="AA1110" s="113" t="str">
        <f aca="false">IFERROR(IF([2]对账明细接口!$V1110=0,"",[2]对账明细接口!$V1110),"")</f>
        <v/>
      </c>
      <c r="AB1110" s="10" t="str">
        <f aca="false">IFERROR(IF([2]对账明细接口!$W1110=0,"",[2]对账明细接口!$W1110),"")</f>
        <v/>
      </c>
      <c r="AC1110" s="90" t="str">
        <f aca="false">IFERROR(IF([2]对账明细接口!$X1111=0,"",[2]对账明细接口!$X1111),"")</f>
        <v/>
      </c>
      <c r="AD1110" s="90" t="str">
        <f aca="false">IFERROR(IF([2]对账明细接口!$Y1111=0,"",[2]对账明细接口!$Y1111),"")</f>
        <v/>
      </c>
      <c r="AE1110" s="90" t="str">
        <f aca="false">IFERROR(IF([2]对账明细接口!$AA1111=0,"",[2]对账明细接口!$AA1111),"")</f>
        <v/>
      </c>
      <c r="AF1110" s="90" t="str">
        <f aca="false">IFERROR(IF([2]对账明细接口!$AB1111=0,"",[2]对账明细接口!$AB1111),"")</f>
        <v/>
      </c>
      <c r="AG1110" s="90" t="str">
        <f aca="false">IFERROR(IF([2]对账明细接口!$AC1111=0,"",[2]对账明细接口!$AC1111),"")</f>
        <v/>
      </c>
      <c r="AH1110" s="90" t="str">
        <f aca="false">IFERROR(IF([2]对账明细接口!$AD1111=0,"",[2]对账明细接口!$AD1111),"")</f>
        <v/>
      </c>
    </row>
    <row r="1111" customFormat="false" ht="13.5" hidden="false" customHeight="false" outlineLevel="0" collapsed="false">
      <c r="A1111" s="109" t="n">
        <v>1111</v>
      </c>
      <c r="B1111" s="110" t="str">
        <f aca="false">IFERROR(IF([2]对账明细接口!$B$1111=0,"",[2]对账明细接口!$B$1111),"")</f>
        <v/>
      </c>
      <c r="C1111" s="59" t="str">
        <f aca="false">IFERROR(IF([2]对账明细接口!$C$1111=0,"",[2]对账明细接口!$C$1111),"")</f>
        <v/>
      </c>
      <c r="D1111" s="59" t="str">
        <f aca="false">IFERROR(IF([2]对账明细接口!$D$1111=0,"",[2]对账明细接口!$D$1111),"")</f>
        <v/>
      </c>
      <c r="E1111" s="59" t="str">
        <f aca="false">IFERROR(IF([2]对账明细接口!$E$1111=0,"",[2]对账明细接口!$E$1111),"")</f>
        <v/>
      </c>
      <c r="F1111" s="59" t="str">
        <f aca="false">IFERROR(IF([2]对账明细接口!$F$1111=0,"",[2]对账明细接口!$F$1111),"")</f>
        <v/>
      </c>
      <c r="G1111" s="59" t="str">
        <f aca="false">IFERROR(IF([2]对账明细接口!$G$1111=0,"",[2]对账明细接口!$G$1111),"")</f>
        <v/>
      </c>
      <c r="H1111" s="60" t="str">
        <f aca="false">IFERROR(IF([2]对账明细接口!$H$1111=0,"",[2]对账明细接口!$H$1111),"")</f>
        <v/>
      </c>
      <c r="I1111" s="59" t="str">
        <f aca="false">IFERROR(IF([2]对账明细接口!$I$1111=0,"",[2]对账明细接口!$I$1111),"")</f>
        <v/>
      </c>
      <c r="J1111" s="61" t="str">
        <f aca="false">IFERROR(IF([2]对账明细接口!$J$1111=0,"",[2]对账明细接口!$J$1111),"")</f>
        <v/>
      </c>
      <c r="K1111" s="61" t="str">
        <f aca="false">IFERROR(IF([2]对账明细接口!$K$1111=0,"",[2]对账明细接口!$K$1111),"")</f>
        <v/>
      </c>
      <c r="L1111" s="59" t="str">
        <f aca="false">IFERROR(IF([2]对账明细接口!$L$1111=0,"",[2]对账明细接口!$L$1111),"")</f>
        <v/>
      </c>
      <c r="M1111" s="59" t="str">
        <f aca="false">IFERROR(IF([2]对账明细接口!$M$1111=0,"",[2]对账明细接口!$M$1111),"")</f>
        <v/>
      </c>
      <c r="N1111" s="111" t="n">
        <f aca="false">IF($C1111="",0,1)</f>
        <v>0</v>
      </c>
      <c r="O1111" s="111" t="n">
        <f aca="false">N(O1110)+$N1111</f>
        <v>311</v>
      </c>
      <c r="S1111" s="10" t="str">
        <f aca="false">IFERROR(IF([2]对账明细接口!$N1111=0,"",[2]对账明细接口!$N1111),"")</f>
        <v/>
      </c>
      <c r="T1111" s="112" t="str">
        <f aca="false">IFERROR(IF([2]对账明细接口!$O1111=0,"",[2]对账明细接口!$O1111),"")</f>
        <v/>
      </c>
      <c r="U1111" s="112" t="str">
        <f aca="false">IFERROR(IF([2]对账明细接口!$P1111=0,"",[2]对账明细接口!$P1111),"")</f>
        <v/>
      </c>
      <c r="V1111" s="112" t="str">
        <f aca="false">IFERROR(IF([2]对账明细接口!$Q1111=0,"",[2]对账明细接口!$Q1111),"")</f>
        <v/>
      </c>
      <c r="W1111" s="10" t="str">
        <f aca="false">IFERROR(IF([2]对账明细接口!$R1111=0,"",[2]对账明细接口!$R1111),"")</f>
        <v/>
      </c>
      <c r="X1111" s="10" t="str">
        <f aca="false">IFERROR(IF([2]对账明细接口!$S1111=0,"",[2]对账明细接口!$S1111),"")</f>
        <v/>
      </c>
      <c r="Y1111" s="10" t="str">
        <f aca="false">IFERROR(IF([2]对账明细接口!$T1111=0,"",[2]对账明细接口!$T1111),"")</f>
        <v/>
      </c>
      <c r="Z1111" s="113" t="str">
        <f aca="false">IFERROR(IF([2]对账明细接口!$U1111=0,"",[2]对账明细接口!$U1111),"")</f>
        <v/>
      </c>
      <c r="AA1111" s="113" t="str">
        <f aca="false">IFERROR(IF([2]对账明细接口!$V1111=0,"",[2]对账明细接口!$V1111),"")</f>
        <v/>
      </c>
      <c r="AB1111" s="10" t="str">
        <f aca="false">IFERROR(IF([2]对账明细接口!$W1111=0,"",[2]对账明细接口!$W1111),"")</f>
        <v/>
      </c>
      <c r="AC1111" s="90" t="str">
        <f aca="false">IFERROR(IF([2]对账明细接口!$X1112=0,"",[2]对账明细接口!$X1112),"")</f>
        <v/>
      </c>
      <c r="AD1111" s="90" t="str">
        <f aca="false">IFERROR(IF([2]对账明细接口!$Y1112=0,"",[2]对账明细接口!$Y1112),"")</f>
        <v/>
      </c>
      <c r="AE1111" s="90" t="str">
        <f aca="false">IFERROR(IF([2]对账明细接口!$AA1112=0,"",[2]对账明细接口!$AA1112),"")</f>
        <v/>
      </c>
      <c r="AF1111" s="90" t="str">
        <f aca="false">IFERROR(IF([2]对账明细接口!$AB1112=0,"",[2]对账明细接口!$AB1112),"")</f>
        <v/>
      </c>
      <c r="AG1111" s="90" t="str">
        <f aca="false">IFERROR(IF([2]对账明细接口!$AC1112=0,"",[2]对账明细接口!$AC1112),"")</f>
        <v/>
      </c>
      <c r="AH1111" s="90" t="str">
        <f aca="false">IFERROR(IF([2]对账明细接口!$AD1112=0,"",[2]对账明细接口!$AD1112),"")</f>
        <v/>
      </c>
    </row>
    <row r="1112" customFormat="false" ht="13.5" hidden="false" customHeight="false" outlineLevel="0" collapsed="false">
      <c r="A1112" s="109" t="n">
        <v>1112</v>
      </c>
      <c r="B1112" s="110" t="str">
        <f aca="false">IFERROR(IF([2]对账明细接口!$B$1112=0,"",[2]对账明细接口!$B$1112),"")</f>
        <v/>
      </c>
      <c r="C1112" s="59" t="str">
        <f aca="false">IFERROR(IF([2]对账明细接口!$C$1112=0,"",[2]对账明细接口!$C$1112),"")</f>
        <v/>
      </c>
      <c r="D1112" s="59" t="str">
        <f aca="false">IFERROR(IF([2]对账明细接口!$D$1112=0,"",[2]对账明细接口!$D$1112),"")</f>
        <v/>
      </c>
      <c r="E1112" s="59" t="str">
        <f aca="false">IFERROR(IF([2]对账明细接口!$E$1112=0,"",[2]对账明细接口!$E$1112),"")</f>
        <v/>
      </c>
      <c r="F1112" s="59" t="str">
        <f aca="false">IFERROR(IF([2]对账明细接口!$F$1112=0,"",[2]对账明细接口!$F$1112),"")</f>
        <v/>
      </c>
      <c r="G1112" s="59" t="str">
        <f aca="false">IFERROR(IF([2]对账明细接口!$G$1112=0,"",[2]对账明细接口!$G$1112),"")</f>
        <v/>
      </c>
      <c r="H1112" s="60" t="str">
        <f aca="false">IFERROR(IF([2]对账明细接口!$H$1112=0,"",[2]对账明细接口!$H$1112),"")</f>
        <v/>
      </c>
      <c r="I1112" s="59" t="str">
        <f aca="false">IFERROR(IF([2]对账明细接口!$I$1112=0,"",[2]对账明细接口!$I$1112),"")</f>
        <v/>
      </c>
      <c r="J1112" s="61" t="str">
        <f aca="false">IFERROR(IF([2]对账明细接口!$J$1112=0,"",[2]对账明细接口!$J$1112),"")</f>
        <v/>
      </c>
      <c r="K1112" s="61" t="str">
        <f aca="false">IFERROR(IF([2]对账明细接口!$K$1112=0,"",[2]对账明细接口!$K$1112),"")</f>
        <v/>
      </c>
      <c r="L1112" s="59" t="str">
        <f aca="false">IFERROR(IF([2]对账明细接口!$L$1112=0,"",[2]对账明细接口!$L$1112),"")</f>
        <v/>
      </c>
      <c r="M1112" s="59" t="str">
        <f aca="false">IFERROR(IF([2]对账明细接口!$M$1112=0,"",[2]对账明细接口!$M$1112),"")</f>
        <v/>
      </c>
      <c r="N1112" s="111" t="n">
        <f aca="false">IF($C1112="",0,1)</f>
        <v>0</v>
      </c>
      <c r="O1112" s="111" t="n">
        <f aca="false">N(O1111)+$N1112</f>
        <v>311</v>
      </c>
      <c r="S1112" s="10" t="str">
        <f aca="false">IFERROR(IF([2]对账明细接口!$N1112=0,"",[2]对账明细接口!$N1112),"")</f>
        <v/>
      </c>
      <c r="T1112" s="112" t="str">
        <f aca="false">IFERROR(IF([2]对账明细接口!$O1112=0,"",[2]对账明细接口!$O1112),"")</f>
        <v/>
      </c>
      <c r="U1112" s="112" t="str">
        <f aca="false">IFERROR(IF([2]对账明细接口!$P1112=0,"",[2]对账明细接口!$P1112),"")</f>
        <v/>
      </c>
      <c r="V1112" s="112" t="str">
        <f aca="false">IFERROR(IF([2]对账明细接口!$Q1112=0,"",[2]对账明细接口!$Q1112),"")</f>
        <v/>
      </c>
      <c r="W1112" s="10" t="str">
        <f aca="false">IFERROR(IF([2]对账明细接口!$R1112=0,"",[2]对账明细接口!$R1112),"")</f>
        <v/>
      </c>
      <c r="X1112" s="10" t="str">
        <f aca="false">IFERROR(IF([2]对账明细接口!$S1112=0,"",[2]对账明细接口!$S1112),"")</f>
        <v/>
      </c>
      <c r="Y1112" s="10" t="str">
        <f aca="false">IFERROR(IF([2]对账明细接口!$T1112=0,"",[2]对账明细接口!$T1112),"")</f>
        <v/>
      </c>
      <c r="Z1112" s="113" t="str">
        <f aca="false">IFERROR(IF([2]对账明细接口!$U1112=0,"",[2]对账明细接口!$U1112),"")</f>
        <v/>
      </c>
      <c r="AA1112" s="113" t="str">
        <f aca="false">IFERROR(IF([2]对账明细接口!$V1112=0,"",[2]对账明细接口!$V1112),"")</f>
        <v/>
      </c>
      <c r="AB1112" s="10" t="str">
        <f aca="false">IFERROR(IF([2]对账明细接口!$W1112=0,"",[2]对账明细接口!$W1112),"")</f>
        <v/>
      </c>
      <c r="AC1112" s="90" t="str">
        <f aca="false">IFERROR(IF([2]对账明细接口!$X1113=0,"",[2]对账明细接口!$X1113),"")</f>
        <v/>
      </c>
      <c r="AD1112" s="90" t="str">
        <f aca="false">IFERROR(IF([2]对账明细接口!$Y1113=0,"",[2]对账明细接口!$Y1113),"")</f>
        <v/>
      </c>
      <c r="AE1112" s="90" t="str">
        <f aca="false">IFERROR(IF([2]对账明细接口!$AA1113=0,"",[2]对账明细接口!$AA1113),"")</f>
        <v/>
      </c>
      <c r="AF1112" s="90" t="str">
        <f aca="false">IFERROR(IF([2]对账明细接口!$AB1113=0,"",[2]对账明细接口!$AB1113),"")</f>
        <v/>
      </c>
      <c r="AG1112" s="90" t="str">
        <f aca="false">IFERROR(IF([2]对账明细接口!$AC1113=0,"",[2]对账明细接口!$AC1113),"")</f>
        <v/>
      </c>
      <c r="AH1112" s="90" t="str">
        <f aca="false">IFERROR(IF([2]对账明细接口!$AD1113=0,"",[2]对账明细接口!$AD1113),"")</f>
        <v/>
      </c>
    </row>
    <row r="1113" customFormat="false" ht="13.5" hidden="false" customHeight="false" outlineLevel="0" collapsed="false">
      <c r="A1113" s="109" t="n">
        <v>1113</v>
      </c>
      <c r="B1113" s="110" t="str">
        <f aca="false">IFERROR(IF([2]对账明细接口!$B$1113=0,"",[2]对账明细接口!$B$1113),"")</f>
        <v/>
      </c>
      <c r="C1113" s="59" t="str">
        <f aca="false">IFERROR(IF([2]对账明细接口!$C$1113=0,"",[2]对账明细接口!$C$1113),"")</f>
        <v/>
      </c>
      <c r="D1113" s="59" t="str">
        <f aca="false">IFERROR(IF([2]对账明细接口!$D$1113=0,"",[2]对账明细接口!$D$1113),"")</f>
        <v/>
      </c>
      <c r="E1113" s="59" t="str">
        <f aca="false">IFERROR(IF([2]对账明细接口!$E$1113=0,"",[2]对账明细接口!$E$1113),"")</f>
        <v/>
      </c>
      <c r="F1113" s="59" t="str">
        <f aca="false">IFERROR(IF([2]对账明细接口!$F$1113=0,"",[2]对账明细接口!$F$1113),"")</f>
        <v/>
      </c>
      <c r="G1113" s="59" t="str">
        <f aca="false">IFERROR(IF([2]对账明细接口!$G$1113=0,"",[2]对账明细接口!$G$1113),"")</f>
        <v/>
      </c>
      <c r="H1113" s="60" t="str">
        <f aca="false">IFERROR(IF([2]对账明细接口!$H$1113=0,"",[2]对账明细接口!$H$1113),"")</f>
        <v/>
      </c>
      <c r="I1113" s="59" t="str">
        <f aca="false">IFERROR(IF([2]对账明细接口!$I$1113=0,"",[2]对账明细接口!$I$1113),"")</f>
        <v/>
      </c>
      <c r="J1113" s="61" t="str">
        <f aca="false">IFERROR(IF([2]对账明细接口!$J$1113=0,"",[2]对账明细接口!$J$1113),"")</f>
        <v/>
      </c>
      <c r="K1113" s="61" t="str">
        <f aca="false">IFERROR(IF([2]对账明细接口!$K$1113=0,"",[2]对账明细接口!$K$1113),"")</f>
        <v/>
      </c>
      <c r="L1113" s="59" t="str">
        <f aca="false">IFERROR(IF([2]对账明细接口!$L$1113=0,"",[2]对账明细接口!$L$1113),"")</f>
        <v/>
      </c>
      <c r="M1113" s="59" t="str">
        <f aca="false">IFERROR(IF([2]对账明细接口!$M$1113=0,"",[2]对账明细接口!$M$1113),"")</f>
        <v/>
      </c>
      <c r="N1113" s="111" t="n">
        <f aca="false">IF($C1113="",0,1)</f>
        <v>0</v>
      </c>
      <c r="O1113" s="111" t="n">
        <f aca="false">N(O1112)+$N1113</f>
        <v>311</v>
      </c>
      <c r="S1113" s="10" t="str">
        <f aca="false">IFERROR(IF([2]对账明细接口!$N1113=0,"",[2]对账明细接口!$N1113),"")</f>
        <v/>
      </c>
      <c r="T1113" s="112" t="str">
        <f aca="false">IFERROR(IF([2]对账明细接口!$O1113=0,"",[2]对账明细接口!$O1113),"")</f>
        <v/>
      </c>
      <c r="U1113" s="112" t="str">
        <f aca="false">IFERROR(IF([2]对账明细接口!$P1113=0,"",[2]对账明细接口!$P1113),"")</f>
        <v/>
      </c>
      <c r="V1113" s="112" t="str">
        <f aca="false">IFERROR(IF([2]对账明细接口!$Q1113=0,"",[2]对账明细接口!$Q1113),"")</f>
        <v/>
      </c>
      <c r="W1113" s="10" t="str">
        <f aca="false">IFERROR(IF([2]对账明细接口!$R1113=0,"",[2]对账明细接口!$R1113),"")</f>
        <v/>
      </c>
      <c r="X1113" s="10" t="str">
        <f aca="false">IFERROR(IF([2]对账明细接口!$S1113=0,"",[2]对账明细接口!$S1113),"")</f>
        <v/>
      </c>
      <c r="Y1113" s="10" t="str">
        <f aca="false">IFERROR(IF([2]对账明细接口!$T1113=0,"",[2]对账明细接口!$T1113),"")</f>
        <v/>
      </c>
      <c r="Z1113" s="113" t="str">
        <f aca="false">IFERROR(IF([2]对账明细接口!$U1113=0,"",[2]对账明细接口!$U1113),"")</f>
        <v/>
      </c>
      <c r="AA1113" s="113" t="str">
        <f aca="false">IFERROR(IF([2]对账明细接口!$V1113=0,"",[2]对账明细接口!$V1113),"")</f>
        <v/>
      </c>
      <c r="AB1113" s="10" t="str">
        <f aca="false">IFERROR(IF([2]对账明细接口!$W1113=0,"",[2]对账明细接口!$W1113),"")</f>
        <v/>
      </c>
      <c r="AC1113" s="90" t="str">
        <f aca="false">IFERROR(IF([2]对账明细接口!$X1114=0,"",[2]对账明细接口!$X1114),"")</f>
        <v/>
      </c>
      <c r="AD1113" s="90" t="str">
        <f aca="false">IFERROR(IF([2]对账明细接口!$Y1114=0,"",[2]对账明细接口!$Y1114),"")</f>
        <v/>
      </c>
      <c r="AE1113" s="90" t="str">
        <f aca="false">IFERROR(IF([2]对账明细接口!$AA1114=0,"",[2]对账明细接口!$AA1114),"")</f>
        <v/>
      </c>
      <c r="AF1113" s="90" t="str">
        <f aca="false">IFERROR(IF([2]对账明细接口!$AB1114=0,"",[2]对账明细接口!$AB1114),"")</f>
        <v/>
      </c>
      <c r="AG1113" s="90" t="str">
        <f aca="false">IFERROR(IF([2]对账明细接口!$AC1114=0,"",[2]对账明细接口!$AC1114),"")</f>
        <v/>
      </c>
      <c r="AH1113" s="90" t="str">
        <f aca="false">IFERROR(IF([2]对账明细接口!$AD1114=0,"",[2]对账明细接口!$AD1114),"")</f>
        <v/>
      </c>
    </row>
    <row r="1114" customFormat="false" ht="13.5" hidden="false" customHeight="false" outlineLevel="0" collapsed="false">
      <c r="A1114" s="109" t="n">
        <v>1114</v>
      </c>
      <c r="B1114" s="110" t="str">
        <f aca="false">IFERROR(IF([2]对账明细接口!$B$1114=0,"",[2]对账明细接口!$B$1114),"")</f>
        <v/>
      </c>
      <c r="C1114" s="59" t="str">
        <f aca="false">IFERROR(IF([2]对账明细接口!$C$1114=0,"",[2]对账明细接口!$C$1114),"")</f>
        <v/>
      </c>
      <c r="D1114" s="59" t="str">
        <f aca="false">IFERROR(IF([2]对账明细接口!$D$1114=0,"",[2]对账明细接口!$D$1114),"")</f>
        <v/>
      </c>
      <c r="E1114" s="59" t="str">
        <f aca="false">IFERROR(IF([2]对账明细接口!$E$1114=0,"",[2]对账明细接口!$E$1114),"")</f>
        <v/>
      </c>
      <c r="F1114" s="59" t="str">
        <f aca="false">IFERROR(IF([2]对账明细接口!$F$1114=0,"",[2]对账明细接口!$F$1114),"")</f>
        <v/>
      </c>
      <c r="G1114" s="59" t="str">
        <f aca="false">IFERROR(IF([2]对账明细接口!$G$1114=0,"",[2]对账明细接口!$G$1114),"")</f>
        <v/>
      </c>
      <c r="H1114" s="60" t="str">
        <f aca="false">IFERROR(IF([2]对账明细接口!$H$1114=0,"",[2]对账明细接口!$H$1114),"")</f>
        <v/>
      </c>
      <c r="I1114" s="59" t="str">
        <f aca="false">IFERROR(IF([2]对账明细接口!$I$1114=0,"",[2]对账明细接口!$I$1114),"")</f>
        <v/>
      </c>
      <c r="J1114" s="61" t="str">
        <f aca="false">IFERROR(IF([2]对账明细接口!$J$1114=0,"",[2]对账明细接口!$J$1114),"")</f>
        <v/>
      </c>
      <c r="K1114" s="61" t="str">
        <f aca="false">IFERROR(IF([2]对账明细接口!$K$1114=0,"",[2]对账明细接口!$K$1114),"")</f>
        <v/>
      </c>
      <c r="L1114" s="59" t="str">
        <f aca="false">IFERROR(IF([2]对账明细接口!$L$1114=0,"",[2]对账明细接口!$L$1114),"")</f>
        <v/>
      </c>
      <c r="M1114" s="59" t="str">
        <f aca="false">IFERROR(IF([2]对账明细接口!$M$1114=0,"",[2]对账明细接口!$M$1114),"")</f>
        <v/>
      </c>
      <c r="N1114" s="111" t="n">
        <f aca="false">IF($C1114="",0,1)</f>
        <v>0</v>
      </c>
      <c r="O1114" s="111" t="n">
        <f aca="false">N(O1113)+$N1114</f>
        <v>311</v>
      </c>
      <c r="S1114" s="10" t="str">
        <f aca="false">IFERROR(IF([2]对账明细接口!$N1114=0,"",[2]对账明细接口!$N1114),"")</f>
        <v/>
      </c>
      <c r="T1114" s="112" t="str">
        <f aca="false">IFERROR(IF([2]对账明细接口!$O1114=0,"",[2]对账明细接口!$O1114),"")</f>
        <v/>
      </c>
      <c r="U1114" s="112" t="str">
        <f aca="false">IFERROR(IF([2]对账明细接口!$P1114=0,"",[2]对账明细接口!$P1114),"")</f>
        <v/>
      </c>
      <c r="V1114" s="112" t="str">
        <f aca="false">IFERROR(IF([2]对账明细接口!$Q1114=0,"",[2]对账明细接口!$Q1114),"")</f>
        <v/>
      </c>
      <c r="W1114" s="10" t="str">
        <f aca="false">IFERROR(IF([2]对账明细接口!$R1114=0,"",[2]对账明细接口!$R1114),"")</f>
        <v/>
      </c>
      <c r="X1114" s="10" t="str">
        <f aca="false">IFERROR(IF([2]对账明细接口!$S1114=0,"",[2]对账明细接口!$S1114),"")</f>
        <v/>
      </c>
      <c r="Y1114" s="10" t="str">
        <f aca="false">IFERROR(IF([2]对账明细接口!$T1114=0,"",[2]对账明细接口!$T1114),"")</f>
        <v/>
      </c>
      <c r="Z1114" s="113" t="str">
        <f aca="false">IFERROR(IF([2]对账明细接口!$U1114=0,"",[2]对账明细接口!$U1114),"")</f>
        <v/>
      </c>
      <c r="AA1114" s="113" t="str">
        <f aca="false">IFERROR(IF([2]对账明细接口!$V1114=0,"",[2]对账明细接口!$V1114),"")</f>
        <v/>
      </c>
      <c r="AB1114" s="10" t="str">
        <f aca="false">IFERROR(IF([2]对账明细接口!$W1114=0,"",[2]对账明细接口!$W1114),"")</f>
        <v/>
      </c>
      <c r="AC1114" s="90" t="str">
        <f aca="false">IFERROR(IF([2]对账明细接口!$X1115=0,"",[2]对账明细接口!$X1115),"")</f>
        <v/>
      </c>
      <c r="AD1114" s="90" t="str">
        <f aca="false">IFERROR(IF([2]对账明细接口!$Y1115=0,"",[2]对账明细接口!$Y1115),"")</f>
        <v/>
      </c>
      <c r="AE1114" s="90" t="str">
        <f aca="false">IFERROR(IF([2]对账明细接口!$AA1115=0,"",[2]对账明细接口!$AA1115),"")</f>
        <v/>
      </c>
      <c r="AF1114" s="90" t="str">
        <f aca="false">IFERROR(IF([2]对账明细接口!$AB1115=0,"",[2]对账明细接口!$AB1115),"")</f>
        <v/>
      </c>
      <c r="AG1114" s="90" t="str">
        <f aca="false">IFERROR(IF([2]对账明细接口!$AC1115=0,"",[2]对账明细接口!$AC1115),"")</f>
        <v/>
      </c>
      <c r="AH1114" s="90" t="str">
        <f aca="false">IFERROR(IF([2]对账明细接口!$AD1115=0,"",[2]对账明细接口!$AD1115),"")</f>
        <v/>
      </c>
    </row>
    <row r="1115" customFormat="false" ht="13.5" hidden="false" customHeight="false" outlineLevel="0" collapsed="false">
      <c r="A1115" s="109" t="n">
        <v>1115</v>
      </c>
      <c r="B1115" s="110" t="str">
        <f aca="false">IFERROR(IF([2]对账明细接口!$B$1115=0,"",[2]对账明细接口!$B$1115),"")</f>
        <v/>
      </c>
      <c r="C1115" s="59" t="str">
        <f aca="false">IFERROR(IF([2]对账明细接口!$C$1115=0,"",[2]对账明细接口!$C$1115),"")</f>
        <v/>
      </c>
      <c r="D1115" s="59" t="str">
        <f aca="false">IFERROR(IF([2]对账明细接口!$D$1115=0,"",[2]对账明细接口!$D$1115),"")</f>
        <v/>
      </c>
      <c r="E1115" s="59" t="str">
        <f aca="false">IFERROR(IF([2]对账明细接口!$E$1115=0,"",[2]对账明细接口!$E$1115),"")</f>
        <v/>
      </c>
      <c r="F1115" s="59" t="str">
        <f aca="false">IFERROR(IF([2]对账明细接口!$F$1115=0,"",[2]对账明细接口!$F$1115),"")</f>
        <v/>
      </c>
      <c r="G1115" s="59" t="str">
        <f aca="false">IFERROR(IF([2]对账明细接口!$G$1115=0,"",[2]对账明细接口!$G$1115),"")</f>
        <v/>
      </c>
      <c r="H1115" s="60" t="str">
        <f aca="false">IFERROR(IF([2]对账明细接口!$H$1115=0,"",[2]对账明细接口!$H$1115),"")</f>
        <v/>
      </c>
      <c r="I1115" s="59" t="str">
        <f aca="false">IFERROR(IF([2]对账明细接口!$I$1115=0,"",[2]对账明细接口!$I$1115),"")</f>
        <v/>
      </c>
      <c r="J1115" s="61" t="str">
        <f aca="false">IFERROR(IF([2]对账明细接口!$J$1115=0,"",[2]对账明细接口!$J$1115),"")</f>
        <v/>
      </c>
      <c r="K1115" s="61" t="str">
        <f aca="false">IFERROR(IF([2]对账明细接口!$K$1115=0,"",[2]对账明细接口!$K$1115),"")</f>
        <v/>
      </c>
      <c r="L1115" s="59" t="str">
        <f aca="false">IFERROR(IF([2]对账明细接口!$L$1115=0,"",[2]对账明细接口!$L$1115),"")</f>
        <v/>
      </c>
      <c r="M1115" s="59" t="str">
        <f aca="false">IFERROR(IF([2]对账明细接口!$M$1115=0,"",[2]对账明细接口!$M$1115),"")</f>
        <v/>
      </c>
      <c r="N1115" s="111" t="n">
        <f aca="false">IF($C1115="",0,1)</f>
        <v>0</v>
      </c>
      <c r="O1115" s="111" t="n">
        <f aca="false">N(O1114)+$N1115</f>
        <v>311</v>
      </c>
      <c r="S1115" s="10" t="str">
        <f aca="false">IFERROR(IF([2]对账明细接口!$N1115=0,"",[2]对账明细接口!$N1115),"")</f>
        <v/>
      </c>
      <c r="T1115" s="112" t="str">
        <f aca="false">IFERROR(IF([2]对账明细接口!$O1115=0,"",[2]对账明细接口!$O1115),"")</f>
        <v/>
      </c>
      <c r="U1115" s="112" t="str">
        <f aca="false">IFERROR(IF([2]对账明细接口!$P1115=0,"",[2]对账明细接口!$P1115),"")</f>
        <v/>
      </c>
      <c r="V1115" s="112" t="str">
        <f aca="false">IFERROR(IF([2]对账明细接口!$Q1115=0,"",[2]对账明细接口!$Q1115),"")</f>
        <v/>
      </c>
      <c r="W1115" s="10" t="str">
        <f aca="false">IFERROR(IF([2]对账明细接口!$R1115=0,"",[2]对账明细接口!$R1115),"")</f>
        <v/>
      </c>
      <c r="X1115" s="10" t="str">
        <f aca="false">IFERROR(IF([2]对账明细接口!$S1115=0,"",[2]对账明细接口!$S1115),"")</f>
        <v/>
      </c>
      <c r="Y1115" s="10" t="str">
        <f aca="false">IFERROR(IF([2]对账明细接口!$T1115=0,"",[2]对账明细接口!$T1115),"")</f>
        <v/>
      </c>
      <c r="Z1115" s="113" t="str">
        <f aca="false">IFERROR(IF([2]对账明细接口!$U1115=0,"",[2]对账明细接口!$U1115),"")</f>
        <v/>
      </c>
      <c r="AA1115" s="113" t="str">
        <f aca="false">IFERROR(IF([2]对账明细接口!$V1115=0,"",[2]对账明细接口!$V1115),"")</f>
        <v/>
      </c>
      <c r="AB1115" s="10" t="str">
        <f aca="false">IFERROR(IF([2]对账明细接口!$W1115=0,"",[2]对账明细接口!$W1115),"")</f>
        <v/>
      </c>
      <c r="AC1115" s="90" t="str">
        <f aca="false">IFERROR(IF([2]对账明细接口!$X1116=0,"",[2]对账明细接口!$X1116),"")</f>
        <v/>
      </c>
      <c r="AD1115" s="90" t="str">
        <f aca="false">IFERROR(IF([2]对账明细接口!$Y1116=0,"",[2]对账明细接口!$Y1116),"")</f>
        <v/>
      </c>
      <c r="AE1115" s="90" t="str">
        <f aca="false">IFERROR(IF([2]对账明细接口!$AA1116=0,"",[2]对账明细接口!$AA1116),"")</f>
        <v/>
      </c>
      <c r="AF1115" s="90" t="str">
        <f aca="false">IFERROR(IF([2]对账明细接口!$AB1116=0,"",[2]对账明细接口!$AB1116),"")</f>
        <v/>
      </c>
      <c r="AG1115" s="90" t="str">
        <f aca="false">IFERROR(IF([2]对账明细接口!$AC1116=0,"",[2]对账明细接口!$AC1116),"")</f>
        <v/>
      </c>
      <c r="AH1115" s="90" t="str">
        <f aca="false">IFERROR(IF([2]对账明细接口!$AD1116=0,"",[2]对账明细接口!$AD1116),"")</f>
        <v/>
      </c>
    </row>
    <row r="1116" customFormat="false" ht="13.5" hidden="false" customHeight="false" outlineLevel="0" collapsed="false">
      <c r="A1116" s="109" t="n">
        <v>1116</v>
      </c>
      <c r="B1116" s="110" t="str">
        <f aca="false">IFERROR(IF([2]对账明细接口!$B$1116=0,"",[2]对账明细接口!$B$1116),"")</f>
        <v/>
      </c>
      <c r="C1116" s="59" t="str">
        <f aca="false">IFERROR(IF([2]对账明细接口!$C$1116=0,"",[2]对账明细接口!$C$1116),"")</f>
        <v/>
      </c>
      <c r="D1116" s="59" t="str">
        <f aca="false">IFERROR(IF([2]对账明细接口!$D$1116=0,"",[2]对账明细接口!$D$1116),"")</f>
        <v/>
      </c>
      <c r="E1116" s="59" t="str">
        <f aca="false">IFERROR(IF([2]对账明细接口!$E$1116=0,"",[2]对账明细接口!$E$1116),"")</f>
        <v/>
      </c>
      <c r="F1116" s="59" t="str">
        <f aca="false">IFERROR(IF([2]对账明细接口!$F$1116=0,"",[2]对账明细接口!$F$1116),"")</f>
        <v/>
      </c>
      <c r="G1116" s="59" t="str">
        <f aca="false">IFERROR(IF([2]对账明细接口!$G$1116=0,"",[2]对账明细接口!$G$1116),"")</f>
        <v/>
      </c>
      <c r="H1116" s="60" t="str">
        <f aca="false">IFERROR(IF([2]对账明细接口!$H$1116=0,"",[2]对账明细接口!$H$1116),"")</f>
        <v/>
      </c>
      <c r="I1116" s="59" t="str">
        <f aca="false">IFERROR(IF([2]对账明细接口!$I$1116=0,"",[2]对账明细接口!$I$1116),"")</f>
        <v/>
      </c>
      <c r="J1116" s="61" t="str">
        <f aca="false">IFERROR(IF([2]对账明细接口!$J$1116=0,"",[2]对账明细接口!$J$1116),"")</f>
        <v/>
      </c>
      <c r="K1116" s="61" t="str">
        <f aca="false">IFERROR(IF([2]对账明细接口!$K$1116=0,"",[2]对账明细接口!$K$1116),"")</f>
        <v/>
      </c>
      <c r="L1116" s="59" t="str">
        <f aca="false">IFERROR(IF([2]对账明细接口!$L$1116=0,"",[2]对账明细接口!$L$1116),"")</f>
        <v/>
      </c>
      <c r="M1116" s="59" t="str">
        <f aca="false">IFERROR(IF([2]对账明细接口!$M$1116=0,"",[2]对账明细接口!$M$1116),"")</f>
        <v/>
      </c>
      <c r="N1116" s="111" t="n">
        <f aca="false">IF($C1116="",0,1)</f>
        <v>0</v>
      </c>
      <c r="O1116" s="111" t="n">
        <f aca="false">N(O1115)+$N1116</f>
        <v>311</v>
      </c>
      <c r="S1116" s="10" t="str">
        <f aca="false">IFERROR(IF([2]对账明细接口!$N1116=0,"",[2]对账明细接口!$N1116),"")</f>
        <v/>
      </c>
      <c r="T1116" s="112" t="str">
        <f aca="false">IFERROR(IF([2]对账明细接口!$O1116=0,"",[2]对账明细接口!$O1116),"")</f>
        <v/>
      </c>
      <c r="U1116" s="112" t="str">
        <f aca="false">IFERROR(IF([2]对账明细接口!$P1116=0,"",[2]对账明细接口!$P1116),"")</f>
        <v/>
      </c>
      <c r="V1116" s="112" t="str">
        <f aca="false">IFERROR(IF([2]对账明细接口!$Q1116=0,"",[2]对账明细接口!$Q1116),"")</f>
        <v/>
      </c>
      <c r="W1116" s="10" t="str">
        <f aca="false">IFERROR(IF([2]对账明细接口!$R1116=0,"",[2]对账明细接口!$R1116),"")</f>
        <v/>
      </c>
      <c r="X1116" s="10" t="str">
        <f aca="false">IFERROR(IF([2]对账明细接口!$S1116=0,"",[2]对账明细接口!$S1116),"")</f>
        <v/>
      </c>
      <c r="Y1116" s="10" t="str">
        <f aca="false">IFERROR(IF([2]对账明细接口!$T1116=0,"",[2]对账明细接口!$T1116),"")</f>
        <v/>
      </c>
      <c r="Z1116" s="113" t="str">
        <f aca="false">IFERROR(IF([2]对账明细接口!$U1116=0,"",[2]对账明细接口!$U1116),"")</f>
        <v/>
      </c>
      <c r="AA1116" s="113" t="str">
        <f aca="false">IFERROR(IF([2]对账明细接口!$V1116=0,"",[2]对账明细接口!$V1116),"")</f>
        <v/>
      </c>
      <c r="AB1116" s="10" t="str">
        <f aca="false">IFERROR(IF([2]对账明细接口!$W1116=0,"",[2]对账明细接口!$W1116),"")</f>
        <v/>
      </c>
      <c r="AC1116" s="90" t="str">
        <f aca="false">IFERROR(IF([2]对账明细接口!$X1117=0,"",[2]对账明细接口!$X1117),"")</f>
        <v/>
      </c>
      <c r="AD1116" s="90" t="str">
        <f aca="false">IFERROR(IF([2]对账明细接口!$Y1117=0,"",[2]对账明细接口!$Y1117),"")</f>
        <v/>
      </c>
      <c r="AE1116" s="90" t="str">
        <f aca="false">IFERROR(IF([2]对账明细接口!$AA1117=0,"",[2]对账明细接口!$AA1117),"")</f>
        <v/>
      </c>
      <c r="AF1116" s="90" t="str">
        <f aca="false">IFERROR(IF([2]对账明细接口!$AB1117=0,"",[2]对账明细接口!$AB1117),"")</f>
        <v/>
      </c>
      <c r="AG1116" s="90" t="str">
        <f aca="false">IFERROR(IF([2]对账明细接口!$AC1117=0,"",[2]对账明细接口!$AC1117),"")</f>
        <v/>
      </c>
      <c r="AH1116" s="90" t="str">
        <f aca="false">IFERROR(IF([2]对账明细接口!$AD1117=0,"",[2]对账明细接口!$AD1117),"")</f>
        <v/>
      </c>
    </row>
    <row r="1117" customFormat="false" ht="13.5" hidden="false" customHeight="false" outlineLevel="0" collapsed="false">
      <c r="A1117" s="109" t="n">
        <v>1117</v>
      </c>
      <c r="B1117" s="110" t="str">
        <f aca="false">IFERROR(IF([2]对账明细接口!$B$1117=0,"",[2]对账明细接口!$B$1117),"")</f>
        <v/>
      </c>
      <c r="C1117" s="59" t="str">
        <f aca="false">IFERROR(IF([2]对账明细接口!$C$1117=0,"",[2]对账明细接口!$C$1117),"")</f>
        <v/>
      </c>
      <c r="D1117" s="59" t="str">
        <f aca="false">IFERROR(IF([2]对账明细接口!$D$1117=0,"",[2]对账明细接口!$D$1117),"")</f>
        <v/>
      </c>
      <c r="E1117" s="59" t="str">
        <f aca="false">IFERROR(IF([2]对账明细接口!$E$1117=0,"",[2]对账明细接口!$E$1117),"")</f>
        <v/>
      </c>
      <c r="F1117" s="59" t="str">
        <f aca="false">IFERROR(IF([2]对账明细接口!$F$1117=0,"",[2]对账明细接口!$F$1117),"")</f>
        <v/>
      </c>
      <c r="G1117" s="59" t="str">
        <f aca="false">IFERROR(IF([2]对账明细接口!$G$1117=0,"",[2]对账明细接口!$G$1117),"")</f>
        <v/>
      </c>
      <c r="H1117" s="60" t="str">
        <f aca="false">IFERROR(IF([2]对账明细接口!$H$1117=0,"",[2]对账明细接口!$H$1117),"")</f>
        <v/>
      </c>
      <c r="I1117" s="59" t="str">
        <f aca="false">IFERROR(IF([2]对账明细接口!$I$1117=0,"",[2]对账明细接口!$I$1117),"")</f>
        <v/>
      </c>
      <c r="J1117" s="61" t="str">
        <f aca="false">IFERROR(IF([2]对账明细接口!$J$1117=0,"",[2]对账明细接口!$J$1117),"")</f>
        <v/>
      </c>
      <c r="K1117" s="61" t="str">
        <f aca="false">IFERROR(IF([2]对账明细接口!$K$1117=0,"",[2]对账明细接口!$K$1117),"")</f>
        <v/>
      </c>
      <c r="L1117" s="59" t="str">
        <f aca="false">IFERROR(IF([2]对账明细接口!$L$1117=0,"",[2]对账明细接口!$L$1117),"")</f>
        <v/>
      </c>
      <c r="M1117" s="59" t="str">
        <f aca="false">IFERROR(IF([2]对账明细接口!$M$1117=0,"",[2]对账明细接口!$M$1117),"")</f>
        <v/>
      </c>
      <c r="N1117" s="111" t="n">
        <f aca="false">IF($C1117="",0,1)</f>
        <v>0</v>
      </c>
      <c r="O1117" s="111" t="n">
        <f aca="false">N(O1116)+$N1117</f>
        <v>311</v>
      </c>
      <c r="S1117" s="10" t="str">
        <f aca="false">IFERROR(IF([2]对账明细接口!$N1117=0,"",[2]对账明细接口!$N1117),"")</f>
        <v/>
      </c>
      <c r="T1117" s="112" t="str">
        <f aca="false">IFERROR(IF([2]对账明细接口!$O1117=0,"",[2]对账明细接口!$O1117),"")</f>
        <v/>
      </c>
      <c r="U1117" s="112" t="str">
        <f aca="false">IFERROR(IF([2]对账明细接口!$P1117=0,"",[2]对账明细接口!$P1117),"")</f>
        <v/>
      </c>
      <c r="V1117" s="112" t="str">
        <f aca="false">IFERROR(IF([2]对账明细接口!$Q1117=0,"",[2]对账明细接口!$Q1117),"")</f>
        <v/>
      </c>
      <c r="W1117" s="10" t="str">
        <f aca="false">IFERROR(IF([2]对账明细接口!$R1117=0,"",[2]对账明细接口!$R1117),"")</f>
        <v/>
      </c>
      <c r="X1117" s="10" t="str">
        <f aca="false">IFERROR(IF([2]对账明细接口!$S1117=0,"",[2]对账明细接口!$S1117),"")</f>
        <v/>
      </c>
      <c r="Y1117" s="10" t="str">
        <f aca="false">IFERROR(IF([2]对账明细接口!$T1117=0,"",[2]对账明细接口!$T1117),"")</f>
        <v/>
      </c>
      <c r="Z1117" s="113" t="str">
        <f aca="false">IFERROR(IF([2]对账明细接口!$U1117=0,"",[2]对账明细接口!$U1117),"")</f>
        <v/>
      </c>
      <c r="AA1117" s="113" t="str">
        <f aca="false">IFERROR(IF([2]对账明细接口!$V1117=0,"",[2]对账明细接口!$V1117),"")</f>
        <v/>
      </c>
      <c r="AB1117" s="10" t="str">
        <f aca="false">IFERROR(IF([2]对账明细接口!$W1117=0,"",[2]对账明细接口!$W1117),"")</f>
        <v/>
      </c>
      <c r="AC1117" s="90" t="str">
        <f aca="false">IFERROR(IF([2]对账明细接口!$X1118=0,"",[2]对账明细接口!$X1118),"")</f>
        <v/>
      </c>
      <c r="AD1117" s="90" t="str">
        <f aca="false">IFERROR(IF([2]对账明细接口!$Y1118=0,"",[2]对账明细接口!$Y1118),"")</f>
        <v/>
      </c>
      <c r="AE1117" s="90" t="str">
        <f aca="false">IFERROR(IF([2]对账明细接口!$AA1118=0,"",[2]对账明细接口!$AA1118),"")</f>
        <v/>
      </c>
      <c r="AF1117" s="90" t="str">
        <f aca="false">IFERROR(IF([2]对账明细接口!$AB1118=0,"",[2]对账明细接口!$AB1118),"")</f>
        <v/>
      </c>
      <c r="AG1117" s="90" t="str">
        <f aca="false">IFERROR(IF([2]对账明细接口!$AC1118=0,"",[2]对账明细接口!$AC1118),"")</f>
        <v/>
      </c>
      <c r="AH1117" s="90" t="str">
        <f aca="false">IFERROR(IF([2]对账明细接口!$AD1118=0,"",[2]对账明细接口!$AD1118),"")</f>
        <v/>
      </c>
    </row>
    <row r="1118" customFormat="false" ht="13.5" hidden="false" customHeight="false" outlineLevel="0" collapsed="false">
      <c r="A1118" s="109" t="n">
        <v>1118</v>
      </c>
      <c r="B1118" s="110" t="str">
        <f aca="false">IFERROR(IF([2]对账明细接口!$B$1118=0,"",[2]对账明细接口!$B$1118),"")</f>
        <v/>
      </c>
      <c r="C1118" s="59" t="str">
        <f aca="false">IFERROR(IF([2]对账明细接口!$C$1118=0,"",[2]对账明细接口!$C$1118),"")</f>
        <v/>
      </c>
      <c r="D1118" s="59" t="str">
        <f aca="false">IFERROR(IF([2]对账明细接口!$D$1118=0,"",[2]对账明细接口!$D$1118),"")</f>
        <v/>
      </c>
      <c r="E1118" s="59" t="str">
        <f aca="false">IFERROR(IF([2]对账明细接口!$E$1118=0,"",[2]对账明细接口!$E$1118),"")</f>
        <v/>
      </c>
      <c r="F1118" s="59" t="str">
        <f aca="false">IFERROR(IF([2]对账明细接口!$F$1118=0,"",[2]对账明细接口!$F$1118),"")</f>
        <v/>
      </c>
      <c r="G1118" s="59" t="str">
        <f aca="false">IFERROR(IF([2]对账明细接口!$G$1118=0,"",[2]对账明细接口!$G$1118),"")</f>
        <v/>
      </c>
      <c r="H1118" s="60" t="str">
        <f aca="false">IFERROR(IF([2]对账明细接口!$H$1118=0,"",[2]对账明细接口!$H$1118),"")</f>
        <v/>
      </c>
      <c r="I1118" s="59" t="str">
        <f aca="false">IFERROR(IF([2]对账明细接口!$I$1118=0,"",[2]对账明细接口!$I$1118),"")</f>
        <v/>
      </c>
      <c r="J1118" s="61" t="str">
        <f aca="false">IFERROR(IF([2]对账明细接口!$J$1118=0,"",[2]对账明细接口!$J$1118),"")</f>
        <v/>
      </c>
      <c r="K1118" s="61" t="str">
        <f aca="false">IFERROR(IF([2]对账明细接口!$K$1118=0,"",[2]对账明细接口!$K$1118),"")</f>
        <v/>
      </c>
      <c r="L1118" s="59" t="str">
        <f aca="false">IFERROR(IF([2]对账明细接口!$L$1118=0,"",[2]对账明细接口!$L$1118),"")</f>
        <v/>
      </c>
      <c r="M1118" s="59" t="str">
        <f aca="false">IFERROR(IF([2]对账明细接口!$M$1118=0,"",[2]对账明细接口!$M$1118),"")</f>
        <v/>
      </c>
      <c r="N1118" s="111" t="n">
        <f aca="false">IF($C1118="",0,1)</f>
        <v>0</v>
      </c>
      <c r="O1118" s="111" t="n">
        <f aca="false">N(O1117)+$N1118</f>
        <v>311</v>
      </c>
      <c r="S1118" s="10" t="str">
        <f aca="false">IFERROR(IF([2]对账明细接口!$N1118=0,"",[2]对账明细接口!$N1118),"")</f>
        <v/>
      </c>
      <c r="T1118" s="112" t="str">
        <f aca="false">IFERROR(IF([2]对账明细接口!$O1118=0,"",[2]对账明细接口!$O1118),"")</f>
        <v/>
      </c>
      <c r="U1118" s="112" t="str">
        <f aca="false">IFERROR(IF([2]对账明细接口!$P1118=0,"",[2]对账明细接口!$P1118),"")</f>
        <v/>
      </c>
      <c r="V1118" s="112" t="str">
        <f aca="false">IFERROR(IF([2]对账明细接口!$Q1118=0,"",[2]对账明细接口!$Q1118),"")</f>
        <v/>
      </c>
      <c r="W1118" s="10" t="str">
        <f aca="false">IFERROR(IF([2]对账明细接口!$R1118=0,"",[2]对账明细接口!$R1118),"")</f>
        <v/>
      </c>
      <c r="X1118" s="10" t="str">
        <f aca="false">IFERROR(IF([2]对账明细接口!$S1118=0,"",[2]对账明细接口!$S1118),"")</f>
        <v/>
      </c>
      <c r="Y1118" s="10" t="str">
        <f aca="false">IFERROR(IF([2]对账明细接口!$T1118=0,"",[2]对账明细接口!$T1118),"")</f>
        <v/>
      </c>
      <c r="Z1118" s="113" t="str">
        <f aca="false">IFERROR(IF([2]对账明细接口!$U1118=0,"",[2]对账明细接口!$U1118),"")</f>
        <v/>
      </c>
      <c r="AA1118" s="113" t="str">
        <f aca="false">IFERROR(IF([2]对账明细接口!$V1118=0,"",[2]对账明细接口!$V1118),"")</f>
        <v/>
      </c>
      <c r="AB1118" s="10" t="str">
        <f aca="false">IFERROR(IF([2]对账明细接口!$W1118=0,"",[2]对账明细接口!$W1118),"")</f>
        <v/>
      </c>
      <c r="AC1118" s="90" t="str">
        <f aca="false">IFERROR(IF([2]对账明细接口!$X1119=0,"",[2]对账明细接口!$X1119),"")</f>
        <v/>
      </c>
      <c r="AD1118" s="90" t="str">
        <f aca="false">IFERROR(IF([2]对账明细接口!$Y1119=0,"",[2]对账明细接口!$Y1119),"")</f>
        <v/>
      </c>
      <c r="AE1118" s="90" t="str">
        <f aca="false">IFERROR(IF([2]对账明细接口!$AA1119=0,"",[2]对账明细接口!$AA1119),"")</f>
        <v/>
      </c>
      <c r="AF1118" s="90" t="str">
        <f aca="false">IFERROR(IF([2]对账明细接口!$AB1119=0,"",[2]对账明细接口!$AB1119),"")</f>
        <v/>
      </c>
      <c r="AG1118" s="90" t="str">
        <f aca="false">IFERROR(IF([2]对账明细接口!$AC1119=0,"",[2]对账明细接口!$AC1119),"")</f>
        <v/>
      </c>
      <c r="AH1118" s="90" t="str">
        <f aca="false">IFERROR(IF([2]对账明细接口!$AD1119=0,"",[2]对账明细接口!$AD1119),"")</f>
        <v/>
      </c>
    </row>
    <row r="1119" customFormat="false" ht="13.5" hidden="false" customHeight="false" outlineLevel="0" collapsed="false">
      <c r="A1119" s="109" t="n">
        <v>1119</v>
      </c>
      <c r="B1119" s="110" t="str">
        <f aca="false">IFERROR(IF([2]对账明细接口!$B$1119=0,"",[2]对账明细接口!$B$1119),"")</f>
        <v/>
      </c>
      <c r="C1119" s="59" t="str">
        <f aca="false">IFERROR(IF([2]对账明细接口!$C$1119=0,"",[2]对账明细接口!$C$1119),"")</f>
        <v/>
      </c>
      <c r="D1119" s="59" t="str">
        <f aca="false">IFERROR(IF([2]对账明细接口!$D$1119=0,"",[2]对账明细接口!$D$1119),"")</f>
        <v/>
      </c>
      <c r="E1119" s="59" t="str">
        <f aca="false">IFERROR(IF([2]对账明细接口!$E$1119=0,"",[2]对账明细接口!$E$1119),"")</f>
        <v/>
      </c>
      <c r="F1119" s="59" t="str">
        <f aca="false">IFERROR(IF([2]对账明细接口!$F$1119=0,"",[2]对账明细接口!$F$1119),"")</f>
        <v/>
      </c>
      <c r="G1119" s="59" t="str">
        <f aca="false">IFERROR(IF([2]对账明细接口!$G$1119=0,"",[2]对账明细接口!$G$1119),"")</f>
        <v/>
      </c>
      <c r="H1119" s="60" t="str">
        <f aca="false">IFERROR(IF([2]对账明细接口!$H$1119=0,"",[2]对账明细接口!$H$1119),"")</f>
        <v/>
      </c>
      <c r="I1119" s="59" t="str">
        <f aca="false">IFERROR(IF([2]对账明细接口!$I$1119=0,"",[2]对账明细接口!$I$1119),"")</f>
        <v/>
      </c>
      <c r="J1119" s="61" t="str">
        <f aca="false">IFERROR(IF([2]对账明细接口!$J$1119=0,"",[2]对账明细接口!$J$1119),"")</f>
        <v/>
      </c>
      <c r="K1119" s="61" t="str">
        <f aca="false">IFERROR(IF([2]对账明细接口!$K$1119=0,"",[2]对账明细接口!$K$1119),"")</f>
        <v/>
      </c>
      <c r="L1119" s="59" t="str">
        <f aca="false">IFERROR(IF([2]对账明细接口!$L$1119=0,"",[2]对账明细接口!$L$1119),"")</f>
        <v/>
      </c>
      <c r="M1119" s="59" t="str">
        <f aca="false">IFERROR(IF([2]对账明细接口!$M$1119=0,"",[2]对账明细接口!$M$1119),"")</f>
        <v/>
      </c>
      <c r="N1119" s="111" t="n">
        <f aca="false">IF($C1119="",0,1)</f>
        <v>0</v>
      </c>
      <c r="O1119" s="111" t="n">
        <f aca="false">N(O1118)+$N1119</f>
        <v>311</v>
      </c>
      <c r="S1119" s="10" t="str">
        <f aca="false">IFERROR(IF([2]对账明细接口!$N1119=0,"",[2]对账明细接口!$N1119),"")</f>
        <v/>
      </c>
      <c r="T1119" s="112" t="str">
        <f aca="false">IFERROR(IF([2]对账明细接口!$O1119=0,"",[2]对账明细接口!$O1119),"")</f>
        <v/>
      </c>
      <c r="U1119" s="112" t="str">
        <f aca="false">IFERROR(IF([2]对账明细接口!$P1119=0,"",[2]对账明细接口!$P1119),"")</f>
        <v/>
      </c>
      <c r="V1119" s="112" t="str">
        <f aca="false">IFERROR(IF([2]对账明细接口!$Q1119=0,"",[2]对账明细接口!$Q1119),"")</f>
        <v/>
      </c>
      <c r="W1119" s="10" t="str">
        <f aca="false">IFERROR(IF([2]对账明细接口!$R1119=0,"",[2]对账明细接口!$R1119),"")</f>
        <v/>
      </c>
      <c r="X1119" s="10" t="str">
        <f aca="false">IFERROR(IF([2]对账明细接口!$S1119=0,"",[2]对账明细接口!$S1119),"")</f>
        <v/>
      </c>
      <c r="Y1119" s="10" t="str">
        <f aca="false">IFERROR(IF([2]对账明细接口!$T1119=0,"",[2]对账明细接口!$T1119),"")</f>
        <v/>
      </c>
      <c r="Z1119" s="113" t="str">
        <f aca="false">IFERROR(IF([2]对账明细接口!$U1119=0,"",[2]对账明细接口!$U1119),"")</f>
        <v/>
      </c>
      <c r="AA1119" s="113" t="str">
        <f aca="false">IFERROR(IF([2]对账明细接口!$V1119=0,"",[2]对账明细接口!$V1119),"")</f>
        <v/>
      </c>
      <c r="AB1119" s="10" t="str">
        <f aca="false">IFERROR(IF([2]对账明细接口!$W1119=0,"",[2]对账明细接口!$W1119),"")</f>
        <v/>
      </c>
      <c r="AC1119" s="90" t="str">
        <f aca="false">IFERROR(IF([2]对账明细接口!$X1120=0,"",[2]对账明细接口!$X1120),"")</f>
        <v/>
      </c>
      <c r="AD1119" s="90" t="str">
        <f aca="false">IFERROR(IF([2]对账明细接口!$Y1120=0,"",[2]对账明细接口!$Y1120),"")</f>
        <v/>
      </c>
      <c r="AE1119" s="90" t="str">
        <f aca="false">IFERROR(IF([2]对账明细接口!$AA1120=0,"",[2]对账明细接口!$AA1120),"")</f>
        <v/>
      </c>
      <c r="AF1119" s="90" t="str">
        <f aca="false">IFERROR(IF([2]对账明细接口!$AB1120=0,"",[2]对账明细接口!$AB1120),"")</f>
        <v/>
      </c>
      <c r="AG1119" s="90" t="str">
        <f aca="false">IFERROR(IF([2]对账明细接口!$AC1120=0,"",[2]对账明细接口!$AC1120),"")</f>
        <v/>
      </c>
      <c r="AH1119" s="90" t="str">
        <f aca="false">IFERROR(IF([2]对账明细接口!$AD1120=0,"",[2]对账明细接口!$AD1120),"")</f>
        <v/>
      </c>
    </row>
    <row r="1120" customFormat="false" ht="13.5" hidden="false" customHeight="false" outlineLevel="0" collapsed="false">
      <c r="A1120" s="109" t="n">
        <v>1120</v>
      </c>
      <c r="B1120" s="110" t="str">
        <f aca="false">IFERROR(IF([2]对账明细接口!$B$1120=0,"",[2]对账明细接口!$B$1120),"")</f>
        <v/>
      </c>
      <c r="C1120" s="59" t="str">
        <f aca="false">IFERROR(IF([2]对账明细接口!$C$1120=0,"",[2]对账明细接口!$C$1120),"")</f>
        <v/>
      </c>
      <c r="D1120" s="59" t="str">
        <f aca="false">IFERROR(IF([2]对账明细接口!$D$1120=0,"",[2]对账明细接口!$D$1120),"")</f>
        <v/>
      </c>
      <c r="E1120" s="59" t="str">
        <f aca="false">IFERROR(IF([2]对账明细接口!$E$1120=0,"",[2]对账明细接口!$E$1120),"")</f>
        <v/>
      </c>
      <c r="F1120" s="59" t="str">
        <f aca="false">IFERROR(IF([2]对账明细接口!$F$1120=0,"",[2]对账明细接口!$F$1120),"")</f>
        <v/>
      </c>
      <c r="G1120" s="59" t="str">
        <f aca="false">IFERROR(IF([2]对账明细接口!$G$1120=0,"",[2]对账明细接口!$G$1120),"")</f>
        <v/>
      </c>
      <c r="H1120" s="60" t="str">
        <f aca="false">IFERROR(IF([2]对账明细接口!$H$1120=0,"",[2]对账明细接口!$H$1120),"")</f>
        <v/>
      </c>
      <c r="I1120" s="59" t="str">
        <f aca="false">IFERROR(IF([2]对账明细接口!$I$1120=0,"",[2]对账明细接口!$I$1120),"")</f>
        <v/>
      </c>
      <c r="J1120" s="61" t="str">
        <f aca="false">IFERROR(IF([2]对账明细接口!$J$1120=0,"",[2]对账明细接口!$J$1120),"")</f>
        <v/>
      </c>
      <c r="K1120" s="61" t="str">
        <f aca="false">IFERROR(IF([2]对账明细接口!$K$1120=0,"",[2]对账明细接口!$K$1120),"")</f>
        <v/>
      </c>
      <c r="L1120" s="59" t="str">
        <f aca="false">IFERROR(IF([2]对账明细接口!$L$1120=0,"",[2]对账明细接口!$L$1120),"")</f>
        <v/>
      </c>
      <c r="M1120" s="59" t="str">
        <f aca="false">IFERROR(IF([2]对账明细接口!$M$1120=0,"",[2]对账明细接口!$M$1120),"")</f>
        <v/>
      </c>
      <c r="N1120" s="111" t="n">
        <f aca="false">IF($C1120="",0,1)</f>
        <v>0</v>
      </c>
      <c r="O1120" s="111" t="n">
        <f aca="false">N(O1119)+$N1120</f>
        <v>311</v>
      </c>
      <c r="S1120" s="10" t="str">
        <f aca="false">IFERROR(IF([2]对账明细接口!$N1120=0,"",[2]对账明细接口!$N1120),"")</f>
        <v/>
      </c>
      <c r="T1120" s="112" t="str">
        <f aca="false">IFERROR(IF([2]对账明细接口!$O1120=0,"",[2]对账明细接口!$O1120),"")</f>
        <v/>
      </c>
      <c r="U1120" s="112" t="str">
        <f aca="false">IFERROR(IF([2]对账明细接口!$P1120=0,"",[2]对账明细接口!$P1120),"")</f>
        <v/>
      </c>
      <c r="V1120" s="112" t="str">
        <f aca="false">IFERROR(IF([2]对账明细接口!$Q1120=0,"",[2]对账明细接口!$Q1120),"")</f>
        <v/>
      </c>
      <c r="W1120" s="10" t="str">
        <f aca="false">IFERROR(IF([2]对账明细接口!$R1120=0,"",[2]对账明细接口!$R1120),"")</f>
        <v/>
      </c>
      <c r="X1120" s="10" t="str">
        <f aca="false">IFERROR(IF([2]对账明细接口!$S1120=0,"",[2]对账明细接口!$S1120),"")</f>
        <v/>
      </c>
      <c r="Y1120" s="10" t="str">
        <f aca="false">IFERROR(IF([2]对账明细接口!$T1120=0,"",[2]对账明细接口!$T1120),"")</f>
        <v/>
      </c>
      <c r="Z1120" s="113" t="str">
        <f aca="false">IFERROR(IF([2]对账明细接口!$U1120=0,"",[2]对账明细接口!$U1120),"")</f>
        <v/>
      </c>
      <c r="AA1120" s="113" t="str">
        <f aca="false">IFERROR(IF([2]对账明细接口!$V1120=0,"",[2]对账明细接口!$V1120),"")</f>
        <v/>
      </c>
      <c r="AB1120" s="10" t="str">
        <f aca="false">IFERROR(IF([2]对账明细接口!$W1120=0,"",[2]对账明细接口!$W1120),"")</f>
        <v/>
      </c>
      <c r="AC1120" s="90" t="str">
        <f aca="false">IFERROR(IF([2]对账明细接口!$X1121=0,"",[2]对账明细接口!$X1121),"")</f>
        <v/>
      </c>
      <c r="AD1120" s="90" t="str">
        <f aca="false">IFERROR(IF([2]对账明细接口!$Y1121=0,"",[2]对账明细接口!$Y1121),"")</f>
        <v/>
      </c>
      <c r="AE1120" s="90" t="str">
        <f aca="false">IFERROR(IF([2]对账明细接口!$AA1121=0,"",[2]对账明细接口!$AA1121),"")</f>
        <v/>
      </c>
      <c r="AF1120" s="90" t="str">
        <f aca="false">IFERROR(IF([2]对账明细接口!$AB1121=0,"",[2]对账明细接口!$AB1121),"")</f>
        <v/>
      </c>
      <c r="AG1120" s="90" t="str">
        <f aca="false">IFERROR(IF([2]对账明细接口!$AC1121=0,"",[2]对账明细接口!$AC1121),"")</f>
        <v/>
      </c>
      <c r="AH1120" s="90" t="str">
        <f aca="false">IFERROR(IF([2]对账明细接口!$AD1121=0,"",[2]对账明细接口!$AD1121),"")</f>
        <v/>
      </c>
    </row>
    <row r="1121" customFormat="false" ht="13.5" hidden="false" customHeight="false" outlineLevel="0" collapsed="false">
      <c r="A1121" s="109" t="n">
        <v>1121</v>
      </c>
      <c r="B1121" s="110" t="str">
        <f aca="false">IFERROR(IF([2]对账明细接口!$B$1121=0,"",[2]对账明细接口!$B$1121),"")</f>
        <v/>
      </c>
      <c r="C1121" s="59" t="str">
        <f aca="false">IFERROR(IF([2]对账明细接口!$C$1121=0,"",[2]对账明细接口!$C$1121),"")</f>
        <v/>
      </c>
      <c r="D1121" s="59" t="str">
        <f aca="false">IFERROR(IF([2]对账明细接口!$D$1121=0,"",[2]对账明细接口!$D$1121),"")</f>
        <v/>
      </c>
      <c r="E1121" s="59" t="str">
        <f aca="false">IFERROR(IF([2]对账明细接口!$E$1121=0,"",[2]对账明细接口!$E$1121),"")</f>
        <v/>
      </c>
      <c r="F1121" s="59" t="str">
        <f aca="false">IFERROR(IF([2]对账明细接口!$F$1121=0,"",[2]对账明细接口!$F$1121),"")</f>
        <v/>
      </c>
      <c r="G1121" s="59" t="str">
        <f aca="false">IFERROR(IF([2]对账明细接口!$G$1121=0,"",[2]对账明细接口!$G$1121),"")</f>
        <v/>
      </c>
      <c r="H1121" s="60" t="str">
        <f aca="false">IFERROR(IF([2]对账明细接口!$H$1121=0,"",[2]对账明细接口!$H$1121),"")</f>
        <v/>
      </c>
      <c r="I1121" s="59" t="str">
        <f aca="false">IFERROR(IF([2]对账明细接口!$I$1121=0,"",[2]对账明细接口!$I$1121),"")</f>
        <v/>
      </c>
      <c r="J1121" s="61" t="str">
        <f aca="false">IFERROR(IF([2]对账明细接口!$J$1121=0,"",[2]对账明细接口!$J$1121),"")</f>
        <v/>
      </c>
      <c r="K1121" s="61" t="str">
        <f aca="false">IFERROR(IF([2]对账明细接口!$K$1121=0,"",[2]对账明细接口!$K$1121),"")</f>
        <v/>
      </c>
      <c r="L1121" s="59" t="str">
        <f aca="false">IFERROR(IF([2]对账明细接口!$L$1121=0,"",[2]对账明细接口!$L$1121),"")</f>
        <v/>
      </c>
      <c r="M1121" s="59" t="str">
        <f aca="false">IFERROR(IF([2]对账明细接口!$M$1121=0,"",[2]对账明细接口!$M$1121),"")</f>
        <v/>
      </c>
      <c r="N1121" s="111" t="n">
        <f aca="false">IF($C1121="",0,1)</f>
        <v>0</v>
      </c>
      <c r="O1121" s="111" t="n">
        <f aca="false">N(O1120)+$N1121</f>
        <v>311</v>
      </c>
      <c r="S1121" s="10" t="str">
        <f aca="false">IFERROR(IF([2]对账明细接口!$N1121=0,"",[2]对账明细接口!$N1121),"")</f>
        <v/>
      </c>
      <c r="T1121" s="112" t="str">
        <f aca="false">IFERROR(IF([2]对账明细接口!$O1121=0,"",[2]对账明细接口!$O1121),"")</f>
        <v/>
      </c>
      <c r="U1121" s="112" t="str">
        <f aca="false">IFERROR(IF([2]对账明细接口!$P1121=0,"",[2]对账明细接口!$P1121),"")</f>
        <v/>
      </c>
      <c r="V1121" s="112" t="str">
        <f aca="false">IFERROR(IF([2]对账明细接口!$Q1121=0,"",[2]对账明细接口!$Q1121),"")</f>
        <v/>
      </c>
      <c r="W1121" s="10" t="str">
        <f aca="false">IFERROR(IF([2]对账明细接口!$R1121=0,"",[2]对账明细接口!$R1121),"")</f>
        <v/>
      </c>
      <c r="X1121" s="10" t="str">
        <f aca="false">IFERROR(IF([2]对账明细接口!$S1121=0,"",[2]对账明细接口!$S1121),"")</f>
        <v/>
      </c>
      <c r="Y1121" s="10" t="str">
        <f aca="false">IFERROR(IF([2]对账明细接口!$T1121=0,"",[2]对账明细接口!$T1121),"")</f>
        <v/>
      </c>
      <c r="Z1121" s="113" t="str">
        <f aca="false">IFERROR(IF([2]对账明细接口!$U1121=0,"",[2]对账明细接口!$U1121),"")</f>
        <v/>
      </c>
      <c r="AA1121" s="113" t="str">
        <f aca="false">IFERROR(IF([2]对账明细接口!$V1121=0,"",[2]对账明细接口!$V1121),"")</f>
        <v/>
      </c>
      <c r="AB1121" s="10" t="str">
        <f aca="false">IFERROR(IF([2]对账明细接口!$W1121=0,"",[2]对账明细接口!$W1121),"")</f>
        <v/>
      </c>
      <c r="AC1121" s="90" t="str">
        <f aca="false">IFERROR(IF([2]对账明细接口!$X1122=0,"",[2]对账明细接口!$X1122),"")</f>
        <v/>
      </c>
      <c r="AD1121" s="90" t="str">
        <f aca="false">IFERROR(IF([2]对账明细接口!$Y1122=0,"",[2]对账明细接口!$Y1122),"")</f>
        <v/>
      </c>
      <c r="AE1121" s="90" t="str">
        <f aca="false">IFERROR(IF([2]对账明细接口!$AA1122=0,"",[2]对账明细接口!$AA1122),"")</f>
        <v/>
      </c>
      <c r="AF1121" s="90" t="str">
        <f aca="false">IFERROR(IF([2]对账明细接口!$AB1122=0,"",[2]对账明细接口!$AB1122),"")</f>
        <v/>
      </c>
      <c r="AG1121" s="90" t="str">
        <f aca="false">IFERROR(IF([2]对账明细接口!$AC1122=0,"",[2]对账明细接口!$AC1122),"")</f>
        <v/>
      </c>
      <c r="AH1121" s="90" t="str">
        <f aca="false">IFERROR(IF([2]对账明细接口!$AD1122=0,"",[2]对账明细接口!$AD1122),"")</f>
        <v/>
      </c>
    </row>
    <row r="1122" customFormat="false" ht="13.5" hidden="false" customHeight="false" outlineLevel="0" collapsed="false">
      <c r="A1122" s="109" t="n">
        <v>1122</v>
      </c>
      <c r="B1122" s="110" t="str">
        <f aca="false">IFERROR(IF([2]对账明细接口!$B$1122=0,"",[2]对账明细接口!$B$1122),"")</f>
        <v/>
      </c>
      <c r="C1122" s="59" t="str">
        <f aca="false">IFERROR(IF([2]对账明细接口!$C$1122=0,"",[2]对账明细接口!$C$1122),"")</f>
        <v/>
      </c>
      <c r="D1122" s="59" t="str">
        <f aca="false">IFERROR(IF([2]对账明细接口!$D$1122=0,"",[2]对账明细接口!$D$1122),"")</f>
        <v/>
      </c>
      <c r="E1122" s="59" t="str">
        <f aca="false">IFERROR(IF([2]对账明细接口!$E$1122=0,"",[2]对账明细接口!$E$1122),"")</f>
        <v/>
      </c>
      <c r="F1122" s="59" t="str">
        <f aca="false">IFERROR(IF([2]对账明细接口!$F$1122=0,"",[2]对账明细接口!$F$1122),"")</f>
        <v/>
      </c>
      <c r="G1122" s="59" t="str">
        <f aca="false">IFERROR(IF([2]对账明细接口!$G$1122=0,"",[2]对账明细接口!$G$1122),"")</f>
        <v/>
      </c>
      <c r="H1122" s="60" t="str">
        <f aca="false">IFERROR(IF([2]对账明细接口!$H$1122=0,"",[2]对账明细接口!$H$1122),"")</f>
        <v/>
      </c>
      <c r="I1122" s="59" t="str">
        <f aca="false">IFERROR(IF([2]对账明细接口!$I$1122=0,"",[2]对账明细接口!$I$1122),"")</f>
        <v/>
      </c>
      <c r="J1122" s="61" t="str">
        <f aca="false">IFERROR(IF([2]对账明细接口!$J$1122=0,"",[2]对账明细接口!$J$1122),"")</f>
        <v/>
      </c>
      <c r="K1122" s="61" t="str">
        <f aca="false">IFERROR(IF([2]对账明细接口!$K$1122=0,"",[2]对账明细接口!$K$1122),"")</f>
        <v/>
      </c>
      <c r="L1122" s="59" t="str">
        <f aca="false">IFERROR(IF([2]对账明细接口!$L$1122=0,"",[2]对账明细接口!$L$1122),"")</f>
        <v/>
      </c>
      <c r="M1122" s="59" t="str">
        <f aca="false">IFERROR(IF([2]对账明细接口!$M$1122=0,"",[2]对账明细接口!$M$1122),"")</f>
        <v/>
      </c>
      <c r="N1122" s="111" t="n">
        <f aca="false">IF($C1122="",0,1)</f>
        <v>0</v>
      </c>
      <c r="O1122" s="111" t="n">
        <f aca="false">N(O1121)+$N1122</f>
        <v>311</v>
      </c>
      <c r="S1122" s="10" t="str">
        <f aca="false">IFERROR(IF([2]对账明细接口!$N1122=0,"",[2]对账明细接口!$N1122),"")</f>
        <v/>
      </c>
      <c r="T1122" s="112" t="str">
        <f aca="false">IFERROR(IF([2]对账明细接口!$O1122=0,"",[2]对账明细接口!$O1122),"")</f>
        <v/>
      </c>
      <c r="U1122" s="112" t="str">
        <f aca="false">IFERROR(IF([2]对账明细接口!$P1122=0,"",[2]对账明细接口!$P1122),"")</f>
        <v/>
      </c>
      <c r="V1122" s="112" t="str">
        <f aca="false">IFERROR(IF([2]对账明细接口!$Q1122=0,"",[2]对账明细接口!$Q1122),"")</f>
        <v/>
      </c>
      <c r="W1122" s="10" t="str">
        <f aca="false">IFERROR(IF([2]对账明细接口!$R1122=0,"",[2]对账明细接口!$R1122),"")</f>
        <v/>
      </c>
      <c r="X1122" s="10" t="str">
        <f aca="false">IFERROR(IF([2]对账明细接口!$S1122=0,"",[2]对账明细接口!$S1122),"")</f>
        <v/>
      </c>
      <c r="Y1122" s="10" t="str">
        <f aca="false">IFERROR(IF([2]对账明细接口!$T1122=0,"",[2]对账明细接口!$T1122),"")</f>
        <v/>
      </c>
      <c r="Z1122" s="113" t="str">
        <f aca="false">IFERROR(IF([2]对账明细接口!$U1122=0,"",[2]对账明细接口!$U1122),"")</f>
        <v/>
      </c>
      <c r="AA1122" s="113" t="str">
        <f aca="false">IFERROR(IF([2]对账明细接口!$V1122=0,"",[2]对账明细接口!$V1122),"")</f>
        <v/>
      </c>
      <c r="AB1122" s="10" t="str">
        <f aca="false">IFERROR(IF([2]对账明细接口!$W1122=0,"",[2]对账明细接口!$W1122),"")</f>
        <v/>
      </c>
      <c r="AC1122" s="90" t="str">
        <f aca="false">IFERROR(IF([2]对账明细接口!$X1123=0,"",[2]对账明细接口!$X1123),"")</f>
        <v/>
      </c>
      <c r="AD1122" s="90" t="str">
        <f aca="false">IFERROR(IF([2]对账明细接口!$Y1123=0,"",[2]对账明细接口!$Y1123),"")</f>
        <v/>
      </c>
      <c r="AE1122" s="90" t="str">
        <f aca="false">IFERROR(IF([2]对账明细接口!$AA1123=0,"",[2]对账明细接口!$AA1123),"")</f>
        <v/>
      </c>
      <c r="AF1122" s="90" t="str">
        <f aca="false">IFERROR(IF([2]对账明细接口!$AB1123=0,"",[2]对账明细接口!$AB1123),"")</f>
        <v/>
      </c>
      <c r="AG1122" s="90" t="str">
        <f aca="false">IFERROR(IF([2]对账明细接口!$AC1123=0,"",[2]对账明细接口!$AC1123),"")</f>
        <v/>
      </c>
      <c r="AH1122" s="90" t="str">
        <f aca="false">IFERROR(IF([2]对账明细接口!$AD1123=0,"",[2]对账明细接口!$AD1123),"")</f>
        <v/>
      </c>
    </row>
    <row r="1123" customFormat="false" ht="13.5" hidden="false" customHeight="false" outlineLevel="0" collapsed="false">
      <c r="A1123" s="109" t="n">
        <v>1123</v>
      </c>
      <c r="B1123" s="110" t="str">
        <f aca="false">IFERROR(IF([2]对账明细接口!$B$1123=0,"",[2]对账明细接口!$B$1123),"")</f>
        <v/>
      </c>
      <c r="C1123" s="59" t="str">
        <f aca="false">IFERROR(IF([2]对账明细接口!$C$1123=0,"",[2]对账明细接口!$C$1123),"")</f>
        <v/>
      </c>
      <c r="D1123" s="59" t="str">
        <f aca="false">IFERROR(IF([2]对账明细接口!$D$1123=0,"",[2]对账明细接口!$D$1123),"")</f>
        <v/>
      </c>
      <c r="E1123" s="59" t="str">
        <f aca="false">IFERROR(IF([2]对账明细接口!$E$1123=0,"",[2]对账明细接口!$E$1123),"")</f>
        <v/>
      </c>
      <c r="F1123" s="59" t="str">
        <f aca="false">IFERROR(IF([2]对账明细接口!$F$1123=0,"",[2]对账明细接口!$F$1123),"")</f>
        <v/>
      </c>
      <c r="G1123" s="59" t="str">
        <f aca="false">IFERROR(IF([2]对账明细接口!$G$1123=0,"",[2]对账明细接口!$G$1123),"")</f>
        <v/>
      </c>
      <c r="H1123" s="60" t="str">
        <f aca="false">IFERROR(IF([2]对账明细接口!$H$1123=0,"",[2]对账明细接口!$H$1123),"")</f>
        <v/>
      </c>
      <c r="I1123" s="59" t="str">
        <f aca="false">IFERROR(IF([2]对账明细接口!$I$1123=0,"",[2]对账明细接口!$I$1123),"")</f>
        <v/>
      </c>
      <c r="J1123" s="61" t="str">
        <f aca="false">IFERROR(IF([2]对账明细接口!$J$1123=0,"",[2]对账明细接口!$J$1123),"")</f>
        <v/>
      </c>
      <c r="K1123" s="61" t="str">
        <f aca="false">IFERROR(IF([2]对账明细接口!$K$1123=0,"",[2]对账明细接口!$K$1123),"")</f>
        <v/>
      </c>
      <c r="L1123" s="59" t="str">
        <f aca="false">IFERROR(IF([2]对账明细接口!$L$1123=0,"",[2]对账明细接口!$L$1123),"")</f>
        <v/>
      </c>
      <c r="M1123" s="59" t="str">
        <f aca="false">IFERROR(IF([2]对账明细接口!$M$1123=0,"",[2]对账明细接口!$M$1123),"")</f>
        <v/>
      </c>
      <c r="N1123" s="111" t="n">
        <f aca="false">IF($C1123="",0,1)</f>
        <v>0</v>
      </c>
      <c r="O1123" s="111" t="n">
        <f aca="false">N(O1122)+$N1123</f>
        <v>311</v>
      </c>
      <c r="S1123" s="10" t="str">
        <f aca="false">IFERROR(IF([2]对账明细接口!$N1123=0,"",[2]对账明细接口!$N1123),"")</f>
        <v/>
      </c>
      <c r="T1123" s="112" t="str">
        <f aca="false">IFERROR(IF([2]对账明细接口!$O1123=0,"",[2]对账明细接口!$O1123),"")</f>
        <v/>
      </c>
      <c r="U1123" s="112" t="str">
        <f aca="false">IFERROR(IF([2]对账明细接口!$P1123=0,"",[2]对账明细接口!$P1123),"")</f>
        <v/>
      </c>
      <c r="V1123" s="112" t="str">
        <f aca="false">IFERROR(IF([2]对账明细接口!$Q1123=0,"",[2]对账明细接口!$Q1123),"")</f>
        <v/>
      </c>
      <c r="W1123" s="10" t="str">
        <f aca="false">IFERROR(IF([2]对账明细接口!$R1123=0,"",[2]对账明细接口!$R1123),"")</f>
        <v/>
      </c>
      <c r="X1123" s="10" t="str">
        <f aca="false">IFERROR(IF([2]对账明细接口!$S1123=0,"",[2]对账明细接口!$S1123),"")</f>
        <v/>
      </c>
      <c r="Y1123" s="10" t="str">
        <f aca="false">IFERROR(IF([2]对账明细接口!$T1123=0,"",[2]对账明细接口!$T1123),"")</f>
        <v/>
      </c>
      <c r="Z1123" s="113" t="str">
        <f aca="false">IFERROR(IF([2]对账明细接口!$U1123=0,"",[2]对账明细接口!$U1123),"")</f>
        <v/>
      </c>
      <c r="AA1123" s="113" t="str">
        <f aca="false">IFERROR(IF([2]对账明细接口!$V1123=0,"",[2]对账明细接口!$V1123),"")</f>
        <v/>
      </c>
      <c r="AB1123" s="10" t="str">
        <f aca="false">IFERROR(IF([2]对账明细接口!$W1123=0,"",[2]对账明细接口!$W1123),"")</f>
        <v/>
      </c>
      <c r="AC1123" s="90" t="str">
        <f aca="false">IFERROR(IF([2]对账明细接口!$X1124=0,"",[2]对账明细接口!$X1124),"")</f>
        <v/>
      </c>
      <c r="AD1123" s="90" t="str">
        <f aca="false">IFERROR(IF([2]对账明细接口!$Y1124=0,"",[2]对账明细接口!$Y1124),"")</f>
        <v/>
      </c>
      <c r="AE1123" s="90" t="str">
        <f aca="false">IFERROR(IF([2]对账明细接口!$AA1124=0,"",[2]对账明细接口!$AA1124),"")</f>
        <v/>
      </c>
      <c r="AF1123" s="90" t="str">
        <f aca="false">IFERROR(IF([2]对账明细接口!$AB1124=0,"",[2]对账明细接口!$AB1124),"")</f>
        <v/>
      </c>
      <c r="AG1123" s="90" t="str">
        <f aca="false">IFERROR(IF([2]对账明细接口!$AC1124=0,"",[2]对账明细接口!$AC1124),"")</f>
        <v/>
      </c>
      <c r="AH1123" s="90" t="str">
        <f aca="false">IFERROR(IF([2]对账明细接口!$AD1124=0,"",[2]对账明细接口!$AD1124),"")</f>
        <v/>
      </c>
    </row>
    <row r="1124" customFormat="false" ht="13.5" hidden="false" customHeight="false" outlineLevel="0" collapsed="false">
      <c r="A1124" s="109" t="n">
        <v>1124</v>
      </c>
      <c r="B1124" s="110" t="str">
        <f aca="false">IFERROR(IF([2]对账明细接口!$B$1124=0,"",[2]对账明细接口!$B$1124),"")</f>
        <v/>
      </c>
      <c r="C1124" s="59" t="str">
        <f aca="false">IFERROR(IF([2]对账明细接口!$C$1124=0,"",[2]对账明细接口!$C$1124),"")</f>
        <v/>
      </c>
      <c r="D1124" s="59" t="str">
        <f aca="false">IFERROR(IF([2]对账明细接口!$D$1124=0,"",[2]对账明细接口!$D$1124),"")</f>
        <v/>
      </c>
      <c r="E1124" s="59" t="str">
        <f aca="false">IFERROR(IF([2]对账明细接口!$E$1124=0,"",[2]对账明细接口!$E$1124),"")</f>
        <v/>
      </c>
      <c r="F1124" s="59" t="str">
        <f aca="false">IFERROR(IF([2]对账明细接口!$F$1124=0,"",[2]对账明细接口!$F$1124),"")</f>
        <v/>
      </c>
      <c r="G1124" s="59" t="str">
        <f aca="false">IFERROR(IF([2]对账明细接口!$G$1124=0,"",[2]对账明细接口!$G$1124),"")</f>
        <v/>
      </c>
      <c r="H1124" s="60" t="str">
        <f aca="false">IFERROR(IF([2]对账明细接口!$H$1124=0,"",[2]对账明细接口!$H$1124),"")</f>
        <v/>
      </c>
      <c r="I1124" s="59" t="str">
        <f aca="false">IFERROR(IF([2]对账明细接口!$I$1124=0,"",[2]对账明细接口!$I$1124),"")</f>
        <v/>
      </c>
      <c r="J1124" s="61" t="str">
        <f aca="false">IFERROR(IF([2]对账明细接口!$J$1124=0,"",[2]对账明细接口!$J$1124),"")</f>
        <v/>
      </c>
      <c r="K1124" s="61" t="str">
        <f aca="false">IFERROR(IF([2]对账明细接口!$K$1124=0,"",[2]对账明细接口!$K$1124),"")</f>
        <v/>
      </c>
      <c r="L1124" s="59" t="str">
        <f aca="false">IFERROR(IF([2]对账明细接口!$L$1124=0,"",[2]对账明细接口!$L$1124),"")</f>
        <v/>
      </c>
      <c r="M1124" s="59" t="str">
        <f aca="false">IFERROR(IF([2]对账明细接口!$M$1124=0,"",[2]对账明细接口!$M$1124),"")</f>
        <v/>
      </c>
      <c r="N1124" s="111" t="n">
        <f aca="false">IF($C1124="",0,1)</f>
        <v>0</v>
      </c>
      <c r="O1124" s="111" t="n">
        <f aca="false">N(O1123)+$N1124</f>
        <v>311</v>
      </c>
      <c r="S1124" s="10" t="str">
        <f aca="false">IFERROR(IF([2]对账明细接口!$N1124=0,"",[2]对账明细接口!$N1124),"")</f>
        <v/>
      </c>
      <c r="T1124" s="112" t="str">
        <f aca="false">IFERROR(IF([2]对账明细接口!$O1124=0,"",[2]对账明细接口!$O1124),"")</f>
        <v/>
      </c>
      <c r="U1124" s="112" t="str">
        <f aca="false">IFERROR(IF([2]对账明细接口!$P1124=0,"",[2]对账明细接口!$P1124),"")</f>
        <v/>
      </c>
      <c r="V1124" s="112" t="str">
        <f aca="false">IFERROR(IF([2]对账明细接口!$Q1124=0,"",[2]对账明细接口!$Q1124),"")</f>
        <v/>
      </c>
      <c r="W1124" s="10" t="str">
        <f aca="false">IFERROR(IF([2]对账明细接口!$R1124=0,"",[2]对账明细接口!$R1124),"")</f>
        <v/>
      </c>
      <c r="X1124" s="10" t="str">
        <f aca="false">IFERROR(IF([2]对账明细接口!$S1124=0,"",[2]对账明细接口!$S1124),"")</f>
        <v/>
      </c>
      <c r="Y1124" s="10" t="str">
        <f aca="false">IFERROR(IF([2]对账明细接口!$T1124=0,"",[2]对账明细接口!$T1124),"")</f>
        <v/>
      </c>
      <c r="Z1124" s="113" t="str">
        <f aca="false">IFERROR(IF([2]对账明细接口!$U1124=0,"",[2]对账明细接口!$U1124),"")</f>
        <v/>
      </c>
      <c r="AA1124" s="113" t="str">
        <f aca="false">IFERROR(IF([2]对账明细接口!$V1124=0,"",[2]对账明细接口!$V1124),"")</f>
        <v/>
      </c>
      <c r="AB1124" s="10" t="str">
        <f aca="false">IFERROR(IF([2]对账明细接口!$W1124=0,"",[2]对账明细接口!$W1124),"")</f>
        <v/>
      </c>
      <c r="AC1124" s="90" t="str">
        <f aca="false">IFERROR(IF([2]对账明细接口!$X1125=0,"",[2]对账明细接口!$X1125),"")</f>
        <v/>
      </c>
      <c r="AD1124" s="90" t="str">
        <f aca="false">IFERROR(IF([2]对账明细接口!$Y1125=0,"",[2]对账明细接口!$Y1125),"")</f>
        <v/>
      </c>
      <c r="AE1124" s="90" t="str">
        <f aca="false">IFERROR(IF([2]对账明细接口!$AA1125=0,"",[2]对账明细接口!$AA1125),"")</f>
        <v/>
      </c>
      <c r="AF1124" s="90" t="str">
        <f aca="false">IFERROR(IF([2]对账明细接口!$AB1125=0,"",[2]对账明细接口!$AB1125),"")</f>
        <v/>
      </c>
      <c r="AG1124" s="90" t="str">
        <f aca="false">IFERROR(IF([2]对账明细接口!$AC1125=0,"",[2]对账明细接口!$AC1125),"")</f>
        <v/>
      </c>
      <c r="AH1124" s="90" t="str">
        <f aca="false">IFERROR(IF([2]对账明细接口!$AD1125=0,"",[2]对账明细接口!$AD1125),"")</f>
        <v/>
      </c>
    </row>
    <row r="1125" customFormat="false" ht="13.5" hidden="false" customHeight="false" outlineLevel="0" collapsed="false">
      <c r="A1125" s="109" t="n">
        <v>1125</v>
      </c>
      <c r="B1125" s="110" t="str">
        <f aca="false">IFERROR(IF([2]对账明细接口!$B$1125=0,"",[2]对账明细接口!$B$1125),"")</f>
        <v/>
      </c>
      <c r="C1125" s="59" t="str">
        <f aca="false">IFERROR(IF([2]对账明细接口!$C$1125=0,"",[2]对账明细接口!$C$1125),"")</f>
        <v/>
      </c>
      <c r="D1125" s="59" t="str">
        <f aca="false">IFERROR(IF([2]对账明细接口!$D$1125=0,"",[2]对账明细接口!$D$1125),"")</f>
        <v/>
      </c>
      <c r="E1125" s="59" t="str">
        <f aca="false">IFERROR(IF([2]对账明细接口!$E$1125=0,"",[2]对账明细接口!$E$1125),"")</f>
        <v/>
      </c>
      <c r="F1125" s="59" t="str">
        <f aca="false">IFERROR(IF([2]对账明细接口!$F$1125=0,"",[2]对账明细接口!$F$1125),"")</f>
        <v/>
      </c>
      <c r="G1125" s="59" t="str">
        <f aca="false">IFERROR(IF([2]对账明细接口!$G$1125=0,"",[2]对账明细接口!$G$1125),"")</f>
        <v/>
      </c>
      <c r="H1125" s="60" t="str">
        <f aca="false">IFERROR(IF([2]对账明细接口!$H$1125=0,"",[2]对账明细接口!$H$1125),"")</f>
        <v/>
      </c>
      <c r="I1125" s="59" t="str">
        <f aca="false">IFERROR(IF([2]对账明细接口!$I$1125=0,"",[2]对账明细接口!$I$1125),"")</f>
        <v/>
      </c>
      <c r="J1125" s="61" t="str">
        <f aca="false">IFERROR(IF([2]对账明细接口!$J$1125=0,"",[2]对账明细接口!$J$1125),"")</f>
        <v/>
      </c>
      <c r="K1125" s="61" t="str">
        <f aca="false">IFERROR(IF([2]对账明细接口!$K$1125=0,"",[2]对账明细接口!$K$1125),"")</f>
        <v/>
      </c>
      <c r="L1125" s="59" t="str">
        <f aca="false">IFERROR(IF([2]对账明细接口!$L$1125=0,"",[2]对账明细接口!$L$1125),"")</f>
        <v/>
      </c>
      <c r="M1125" s="59" t="str">
        <f aca="false">IFERROR(IF([2]对账明细接口!$M$1125=0,"",[2]对账明细接口!$M$1125),"")</f>
        <v/>
      </c>
      <c r="N1125" s="111" t="n">
        <f aca="false">IF($C1125="",0,1)</f>
        <v>0</v>
      </c>
      <c r="O1125" s="111" t="n">
        <f aca="false">N(O1124)+$N1125</f>
        <v>311</v>
      </c>
      <c r="S1125" s="10" t="str">
        <f aca="false">IFERROR(IF([2]对账明细接口!$N1125=0,"",[2]对账明细接口!$N1125),"")</f>
        <v/>
      </c>
      <c r="T1125" s="112" t="str">
        <f aca="false">IFERROR(IF([2]对账明细接口!$O1125=0,"",[2]对账明细接口!$O1125),"")</f>
        <v/>
      </c>
      <c r="U1125" s="112" t="str">
        <f aca="false">IFERROR(IF([2]对账明细接口!$P1125=0,"",[2]对账明细接口!$P1125),"")</f>
        <v/>
      </c>
      <c r="V1125" s="112" t="str">
        <f aca="false">IFERROR(IF([2]对账明细接口!$Q1125=0,"",[2]对账明细接口!$Q1125),"")</f>
        <v/>
      </c>
      <c r="W1125" s="10" t="str">
        <f aca="false">IFERROR(IF([2]对账明细接口!$R1125=0,"",[2]对账明细接口!$R1125),"")</f>
        <v/>
      </c>
      <c r="X1125" s="10" t="str">
        <f aca="false">IFERROR(IF([2]对账明细接口!$S1125=0,"",[2]对账明细接口!$S1125),"")</f>
        <v/>
      </c>
      <c r="Y1125" s="10" t="str">
        <f aca="false">IFERROR(IF([2]对账明细接口!$T1125=0,"",[2]对账明细接口!$T1125),"")</f>
        <v/>
      </c>
      <c r="Z1125" s="113" t="str">
        <f aca="false">IFERROR(IF([2]对账明细接口!$U1125=0,"",[2]对账明细接口!$U1125),"")</f>
        <v/>
      </c>
      <c r="AA1125" s="113" t="str">
        <f aca="false">IFERROR(IF([2]对账明细接口!$V1125=0,"",[2]对账明细接口!$V1125),"")</f>
        <v/>
      </c>
      <c r="AB1125" s="10" t="str">
        <f aca="false">IFERROR(IF([2]对账明细接口!$W1125=0,"",[2]对账明细接口!$W1125),"")</f>
        <v/>
      </c>
      <c r="AC1125" s="90" t="str">
        <f aca="false">IFERROR(IF([2]对账明细接口!$X1126=0,"",[2]对账明细接口!$X1126),"")</f>
        <v/>
      </c>
      <c r="AD1125" s="90" t="str">
        <f aca="false">IFERROR(IF([2]对账明细接口!$Y1126=0,"",[2]对账明细接口!$Y1126),"")</f>
        <v/>
      </c>
      <c r="AE1125" s="90" t="str">
        <f aca="false">IFERROR(IF([2]对账明细接口!$AA1126=0,"",[2]对账明细接口!$AA1126),"")</f>
        <v/>
      </c>
      <c r="AF1125" s="90" t="str">
        <f aca="false">IFERROR(IF([2]对账明细接口!$AB1126=0,"",[2]对账明细接口!$AB1126),"")</f>
        <v/>
      </c>
      <c r="AG1125" s="90" t="str">
        <f aca="false">IFERROR(IF([2]对账明细接口!$AC1126=0,"",[2]对账明细接口!$AC1126),"")</f>
        <v/>
      </c>
      <c r="AH1125" s="90" t="str">
        <f aca="false">IFERROR(IF([2]对账明细接口!$AD1126=0,"",[2]对账明细接口!$AD1126),"")</f>
        <v/>
      </c>
    </row>
    <row r="1126" customFormat="false" ht="13.5" hidden="false" customHeight="false" outlineLevel="0" collapsed="false">
      <c r="A1126" s="109" t="n">
        <v>1126</v>
      </c>
      <c r="B1126" s="110" t="str">
        <f aca="false">IFERROR(IF([2]对账明细接口!$B$1126=0,"",[2]对账明细接口!$B$1126),"")</f>
        <v/>
      </c>
      <c r="C1126" s="59" t="str">
        <f aca="false">IFERROR(IF([2]对账明细接口!$C$1126=0,"",[2]对账明细接口!$C$1126),"")</f>
        <v/>
      </c>
      <c r="D1126" s="59" t="str">
        <f aca="false">IFERROR(IF([2]对账明细接口!$D$1126=0,"",[2]对账明细接口!$D$1126),"")</f>
        <v/>
      </c>
      <c r="E1126" s="59" t="str">
        <f aca="false">IFERROR(IF([2]对账明细接口!$E$1126=0,"",[2]对账明细接口!$E$1126),"")</f>
        <v/>
      </c>
      <c r="F1126" s="59" t="str">
        <f aca="false">IFERROR(IF([2]对账明细接口!$F$1126=0,"",[2]对账明细接口!$F$1126),"")</f>
        <v/>
      </c>
      <c r="G1126" s="59" t="str">
        <f aca="false">IFERROR(IF([2]对账明细接口!$G$1126=0,"",[2]对账明细接口!$G$1126),"")</f>
        <v/>
      </c>
      <c r="H1126" s="60" t="str">
        <f aca="false">IFERROR(IF([2]对账明细接口!$H$1126=0,"",[2]对账明细接口!$H$1126),"")</f>
        <v/>
      </c>
      <c r="I1126" s="59" t="str">
        <f aca="false">IFERROR(IF([2]对账明细接口!$I$1126=0,"",[2]对账明细接口!$I$1126),"")</f>
        <v/>
      </c>
      <c r="J1126" s="61" t="str">
        <f aca="false">IFERROR(IF([2]对账明细接口!$J$1126=0,"",[2]对账明细接口!$J$1126),"")</f>
        <v/>
      </c>
      <c r="K1126" s="61" t="str">
        <f aca="false">IFERROR(IF([2]对账明细接口!$K$1126=0,"",[2]对账明细接口!$K$1126),"")</f>
        <v/>
      </c>
      <c r="L1126" s="59" t="str">
        <f aca="false">IFERROR(IF([2]对账明细接口!$L$1126=0,"",[2]对账明细接口!$L$1126),"")</f>
        <v/>
      </c>
      <c r="M1126" s="59" t="str">
        <f aca="false">IFERROR(IF([2]对账明细接口!$M$1126=0,"",[2]对账明细接口!$M$1126),"")</f>
        <v/>
      </c>
      <c r="N1126" s="111" t="n">
        <f aca="false">IF($C1126="",0,1)</f>
        <v>0</v>
      </c>
      <c r="O1126" s="111" t="n">
        <f aca="false">N(O1125)+$N1126</f>
        <v>311</v>
      </c>
      <c r="S1126" s="10" t="str">
        <f aca="false">IFERROR(IF([2]对账明细接口!$N1126=0,"",[2]对账明细接口!$N1126),"")</f>
        <v/>
      </c>
      <c r="T1126" s="112" t="str">
        <f aca="false">IFERROR(IF([2]对账明细接口!$O1126=0,"",[2]对账明细接口!$O1126),"")</f>
        <v/>
      </c>
      <c r="U1126" s="112" t="str">
        <f aca="false">IFERROR(IF([2]对账明细接口!$P1126=0,"",[2]对账明细接口!$P1126),"")</f>
        <v/>
      </c>
      <c r="V1126" s="112" t="str">
        <f aca="false">IFERROR(IF([2]对账明细接口!$Q1126=0,"",[2]对账明细接口!$Q1126),"")</f>
        <v/>
      </c>
      <c r="W1126" s="10" t="str">
        <f aca="false">IFERROR(IF([2]对账明细接口!$R1126=0,"",[2]对账明细接口!$R1126),"")</f>
        <v/>
      </c>
      <c r="X1126" s="10" t="str">
        <f aca="false">IFERROR(IF([2]对账明细接口!$S1126=0,"",[2]对账明细接口!$S1126),"")</f>
        <v/>
      </c>
      <c r="Y1126" s="10" t="str">
        <f aca="false">IFERROR(IF([2]对账明细接口!$T1126=0,"",[2]对账明细接口!$T1126),"")</f>
        <v/>
      </c>
      <c r="Z1126" s="113" t="str">
        <f aca="false">IFERROR(IF([2]对账明细接口!$U1126=0,"",[2]对账明细接口!$U1126),"")</f>
        <v/>
      </c>
      <c r="AA1126" s="113" t="str">
        <f aca="false">IFERROR(IF([2]对账明细接口!$V1126=0,"",[2]对账明细接口!$V1126),"")</f>
        <v/>
      </c>
      <c r="AB1126" s="10" t="str">
        <f aca="false">IFERROR(IF([2]对账明细接口!$W1126=0,"",[2]对账明细接口!$W1126),"")</f>
        <v/>
      </c>
      <c r="AC1126" s="90" t="str">
        <f aca="false">IFERROR(IF([2]对账明细接口!$X1127=0,"",[2]对账明细接口!$X1127),"")</f>
        <v/>
      </c>
      <c r="AD1126" s="90" t="str">
        <f aca="false">IFERROR(IF([2]对账明细接口!$Y1127=0,"",[2]对账明细接口!$Y1127),"")</f>
        <v/>
      </c>
      <c r="AE1126" s="90" t="str">
        <f aca="false">IFERROR(IF([2]对账明细接口!$AA1127=0,"",[2]对账明细接口!$AA1127),"")</f>
        <v/>
      </c>
      <c r="AF1126" s="90" t="str">
        <f aca="false">IFERROR(IF([2]对账明细接口!$AB1127=0,"",[2]对账明细接口!$AB1127),"")</f>
        <v/>
      </c>
      <c r="AG1126" s="90" t="str">
        <f aca="false">IFERROR(IF([2]对账明细接口!$AC1127=0,"",[2]对账明细接口!$AC1127),"")</f>
        <v/>
      </c>
      <c r="AH1126" s="90" t="str">
        <f aca="false">IFERROR(IF([2]对账明细接口!$AD1127=0,"",[2]对账明细接口!$AD1127),"")</f>
        <v/>
      </c>
    </row>
    <row r="1127" customFormat="false" ht="13.5" hidden="false" customHeight="false" outlineLevel="0" collapsed="false">
      <c r="A1127" s="109" t="n">
        <v>1127</v>
      </c>
      <c r="B1127" s="110" t="str">
        <f aca="false">IFERROR(IF([2]对账明细接口!$B$1127=0,"",[2]对账明细接口!$B$1127),"")</f>
        <v/>
      </c>
      <c r="C1127" s="59" t="str">
        <f aca="false">IFERROR(IF([2]对账明细接口!$C$1127=0,"",[2]对账明细接口!$C$1127),"")</f>
        <v/>
      </c>
      <c r="D1127" s="59" t="str">
        <f aca="false">IFERROR(IF([2]对账明细接口!$D$1127=0,"",[2]对账明细接口!$D$1127),"")</f>
        <v/>
      </c>
      <c r="E1127" s="59" t="str">
        <f aca="false">IFERROR(IF([2]对账明细接口!$E$1127=0,"",[2]对账明细接口!$E$1127),"")</f>
        <v/>
      </c>
      <c r="F1127" s="59" t="str">
        <f aca="false">IFERROR(IF([2]对账明细接口!$F$1127=0,"",[2]对账明细接口!$F$1127),"")</f>
        <v/>
      </c>
      <c r="G1127" s="59" t="str">
        <f aca="false">IFERROR(IF([2]对账明细接口!$G$1127=0,"",[2]对账明细接口!$G$1127),"")</f>
        <v/>
      </c>
      <c r="H1127" s="60" t="str">
        <f aca="false">IFERROR(IF([2]对账明细接口!$H$1127=0,"",[2]对账明细接口!$H$1127),"")</f>
        <v/>
      </c>
      <c r="I1127" s="59" t="str">
        <f aca="false">IFERROR(IF([2]对账明细接口!$I$1127=0,"",[2]对账明细接口!$I$1127),"")</f>
        <v/>
      </c>
      <c r="J1127" s="61" t="str">
        <f aca="false">IFERROR(IF([2]对账明细接口!$J$1127=0,"",[2]对账明细接口!$J$1127),"")</f>
        <v/>
      </c>
      <c r="K1127" s="61" t="str">
        <f aca="false">IFERROR(IF([2]对账明细接口!$K$1127=0,"",[2]对账明细接口!$K$1127),"")</f>
        <v/>
      </c>
      <c r="L1127" s="59" t="str">
        <f aca="false">IFERROR(IF([2]对账明细接口!$L$1127=0,"",[2]对账明细接口!$L$1127),"")</f>
        <v/>
      </c>
      <c r="M1127" s="59" t="str">
        <f aca="false">IFERROR(IF([2]对账明细接口!$M$1127=0,"",[2]对账明细接口!$M$1127),"")</f>
        <v/>
      </c>
      <c r="N1127" s="111" t="n">
        <f aca="false">IF($C1127="",0,1)</f>
        <v>0</v>
      </c>
      <c r="O1127" s="111" t="n">
        <f aca="false">N(O1126)+$N1127</f>
        <v>311</v>
      </c>
      <c r="S1127" s="10" t="str">
        <f aca="false">IFERROR(IF([2]对账明细接口!$N1127=0,"",[2]对账明细接口!$N1127),"")</f>
        <v/>
      </c>
      <c r="T1127" s="112" t="str">
        <f aca="false">IFERROR(IF([2]对账明细接口!$O1127=0,"",[2]对账明细接口!$O1127),"")</f>
        <v/>
      </c>
      <c r="U1127" s="112" t="str">
        <f aca="false">IFERROR(IF([2]对账明细接口!$P1127=0,"",[2]对账明细接口!$P1127),"")</f>
        <v/>
      </c>
      <c r="V1127" s="112" t="str">
        <f aca="false">IFERROR(IF([2]对账明细接口!$Q1127=0,"",[2]对账明细接口!$Q1127),"")</f>
        <v/>
      </c>
      <c r="W1127" s="10" t="str">
        <f aca="false">IFERROR(IF([2]对账明细接口!$R1127=0,"",[2]对账明细接口!$R1127),"")</f>
        <v/>
      </c>
      <c r="X1127" s="10" t="str">
        <f aca="false">IFERROR(IF([2]对账明细接口!$S1127=0,"",[2]对账明细接口!$S1127),"")</f>
        <v/>
      </c>
      <c r="Y1127" s="10" t="str">
        <f aca="false">IFERROR(IF([2]对账明细接口!$T1127=0,"",[2]对账明细接口!$T1127),"")</f>
        <v/>
      </c>
      <c r="Z1127" s="113" t="str">
        <f aca="false">IFERROR(IF([2]对账明细接口!$U1127=0,"",[2]对账明细接口!$U1127),"")</f>
        <v/>
      </c>
      <c r="AA1127" s="113" t="str">
        <f aca="false">IFERROR(IF([2]对账明细接口!$V1127=0,"",[2]对账明细接口!$V1127),"")</f>
        <v/>
      </c>
      <c r="AB1127" s="10" t="str">
        <f aca="false">IFERROR(IF([2]对账明细接口!$W1127=0,"",[2]对账明细接口!$W1127),"")</f>
        <v/>
      </c>
      <c r="AC1127" s="90" t="str">
        <f aca="false">IFERROR(IF([2]对账明细接口!$X1128=0,"",[2]对账明细接口!$X1128),"")</f>
        <v/>
      </c>
      <c r="AD1127" s="90" t="str">
        <f aca="false">IFERROR(IF([2]对账明细接口!$Y1128=0,"",[2]对账明细接口!$Y1128),"")</f>
        <v/>
      </c>
      <c r="AE1127" s="90" t="str">
        <f aca="false">IFERROR(IF([2]对账明细接口!$AA1128=0,"",[2]对账明细接口!$AA1128),"")</f>
        <v/>
      </c>
      <c r="AF1127" s="90" t="str">
        <f aca="false">IFERROR(IF([2]对账明细接口!$AB1128=0,"",[2]对账明细接口!$AB1128),"")</f>
        <v/>
      </c>
      <c r="AG1127" s="90" t="str">
        <f aca="false">IFERROR(IF([2]对账明细接口!$AC1128=0,"",[2]对账明细接口!$AC1128),"")</f>
        <v/>
      </c>
      <c r="AH1127" s="90" t="str">
        <f aca="false">IFERROR(IF([2]对账明细接口!$AD1128=0,"",[2]对账明细接口!$AD1128),"")</f>
        <v/>
      </c>
    </row>
    <row r="1128" customFormat="false" ht="13.5" hidden="false" customHeight="false" outlineLevel="0" collapsed="false">
      <c r="A1128" s="109" t="n">
        <v>1128</v>
      </c>
      <c r="B1128" s="110" t="str">
        <f aca="false">IFERROR(IF([2]对账明细接口!$B$1128=0,"",[2]对账明细接口!$B$1128),"")</f>
        <v/>
      </c>
      <c r="C1128" s="59" t="str">
        <f aca="false">IFERROR(IF([2]对账明细接口!$C$1128=0,"",[2]对账明细接口!$C$1128),"")</f>
        <v/>
      </c>
      <c r="D1128" s="59" t="str">
        <f aca="false">IFERROR(IF([2]对账明细接口!$D$1128=0,"",[2]对账明细接口!$D$1128),"")</f>
        <v/>
      </c>
      <c r="E1128" s="59" t="str">
        <f aca="false">IFERROR(IF([2]对账明细接口!$E$1128=0,"",[2]对账明细接口!$E$1128),"")</f>
        <v/>
      </c>
      <c r="F1128" s="59" t="str">
        <f aca="false">IFERROR(IF([2]对账明细接口!$F$1128=0,"",[2]对账明细接口!$F$1128),"")</f>
        <v/>
      </c>
      <c r="G1128" s="59" t="str">
        <f aca="false">IFERROR(IF([2]对账明细接口!$G$1128=0,"",[2]对账明细接口!$G$1128),"")</f>
        <v/>
      </c>
      <c r="H1128" s="60" t="str">
        <f aca="false">IFERROR(IF([2]对账明细接口!$H$1128=0,"",[2]对账明细接口!$H$1128),"")</f>
        <v/>
      </c>
      <c r="I1128" s="59" t="str">
        <f aca="false">IFERROR(IF([2]对账明细接口!$I$1128=0,"",[2]对账明细接口!$I$1128),"")</f>
        <v/>
      </c>
      <c r="J1128" s="61" t="str">
        <f aca="false">IFERROR(IF([2]对账明细接口!$J$1128=0,"",[2]对账明细接口!$J$1128),"")</f>
        <v/>
      </c>
      <c r="K1128" s="61" t="str">
        <f aca="false">IFERROR(IF([2]对账明细接口!$K$1128=0,"",[2]对账明细接口!$K$1128),"")</f>
        <v/>
      </c>
      <c r="L1128" s="59" t="str">
        <f aca="false">IFERROR(IF([2]对账明细接口!$L$1128=0,"",[2]对账明细接口!$L$1128),"")</f>
        <v/>
      </c>
      <c r="M1128" s="59" t="str">
        <f aca="false">IFERROR(IF([2]对账明细接口!$M$1128=0,"",[2]对账明细接口!$M$1128),"")</f>
        <v/>
      </c>
      <c r="N1128" s="111" t="n">
        <f aca="false">IF($C1128="",0,1)</f>
        <v>0</v>
      </c>
      <c r="O1128" s="111" t="n">
        <f aca="false">N(O1127)+$N1128</f>
        <v>311</v>
      </c>
      <c r="S1128" s="10" t="str">
        <f aca="false">IFERROR(IF([2]对账明细接口!$N1128=0,"",[2]对账明细接口!$N1128),"")</f>
        <v/>
      </c>
      <c r="T1128" s="112" t="str">
        <f aca="false">IFERROR(IF([2]对账明细接口!$O1128=0,"",[2]对账明细接口!$O1128),"")</f>
        <v/>
      </c>
      <c r="U1128" s="112" t="str">
        <f aca="false">IFERROR(IF([2]对账明细接口!$P1128=0,"",[2]对账明细接口!$P1128),"")</f>
        <v/>
      </c>
      <c r="V1128" s="112" t="str">
        <f aca="false">IFERROR(IF([2]对账明细接口!$Q1128=0,"",[2]对账明细接口!$Q1128),"")</f>
        <v/>
      </c>
      <c r="W1128" s="10" t="str">
        <f aca="false">IFERROR(IF([2]对账明细接口!$R1128=0,"",[2]对账明细接口!$R1128),"")</f>
        <v/>
      </c>
      <c r="X1128" s="10" t="str">
        <f aca="false">IFERROR(IF([2]对账明细接口!$S1128=0,"",[2]对账明细接口!$S1128),"")</f>
        <v/>
      </c>
      <c r="Y1128" s="10" t="str">
        <f aca="false">IFERROR(IF([2]对账明细接口!$T1128=0,"",[2]对账明细接口!$T1128),"")</f>
        <v/>
      </c>
      <c r="Z1128" s="113" t="str">
        <f aca="false">IFERROR(IF([2]对账明细接口!$U1128=0,"",[2]对账明细接口!$U1128),"")</f>
        <v/>
      </c>
      <c r="AA1128" s="113" t="str">
        <f aca="false">IFERROR(IF([2]对账明细接口!$V1128=0,"",[2]对账明细接口!$V1128),"")</f>
        <v/>
      </c>
      <c r="AB1128" s="10" t="str">
        <f aca="false">IFERROR(IF([2]对账明细接口!$W1128=0,"",[2]对账明细接口!$W1128),"")</f>
        <v/>
      </c>
      <c r="AC1128" s="90" t="str">
        <f aca="false">IFERROR(IF([2]对账明细接口!$X1129=0,"",[2]对账明细接口!$X1129),"")</f>
        <v/>
      </c>
      <c r="AD1128" s="90" t="str">
        <f aca="false">IFERROR(IF([2]对账明细接口!$Y1129=0,"",[2]对账明细接口!$Y1129),"")</f>
        <v/>
      </c>
      <c r="AE1128" s="90" t="str">
        <f aca="false">IFERROR(IF([2]对账明细接口!$AA1129=0,"",[2]对账明细接口!$AA1129),"")</f>
        <v/>
      </c>
      <c r="AF1128" s="90" t="str">
        <f aca="false">IFERROR(IF([2]对账明细接口!$AB1129=0,"",[2]对账明细接口!$AB1129),"")</f>
        <v/>
      </c>
      <c r="AG1128" s="90" t="str">
        <f aca="false">IFERROR(IF([2]对账明细接口!$AC1129=0,"",[2]对账明细接口!$AC1129),"")</f>
        <v/>
      </c>
      <c r="AH1128" s="90" t="str">
        <f aca="false">IFERROR(IF([2]对账明细接口!$AD1129=0,"",[2]对账明细接口!$AD1129),"")</f>
        <v/>
      </c>
    </row>
    <row r="1129" customFormat="false" ht="13.5" hidden="false" customHeight="false" outlineLevel="0" collapsed="false">
      <c r="A1129" s="109" t="n">
        <v>1129</v>
      </c>
      <c r="B1129" s="110" t="str">
        <f aca="false">IFERROR(IF([2]对账明细接口!$B$1129=0,"",[2]对账明细接口!$B$1129),"")</f>
        <v/>
      </c>
      <c r="C1129" s="59" t="str">
        <f aca="false">IFERROR(IF([2]对账明细接口!$C$1129=0,"",[2]对账明细接口!$C$1129),"")</f>
        <v/>
      </c>
      <c r="D1129" s="59" t="str">
        <f aca="false">IFERROR(IF([2]对账明细接口!$D$1129=0,"",[2]对账明细接口!$D$1129),"")</f>
        <v/>
      </c>
      <c r="E1129" s="59" t="str">
        <f aca="false">IFERROR(IF([2]对账明细接口!$E$1129=0,"",[2]对账明细接口!$E$1129),"")</f>
        <v/>
      </c>
      <c r="F1129" s="59" t="str">
        <f aca="false">IFERROR(IF([2]对账明细接口!$F$1129=0,"",[2]对账明细接口!$F$1129),"")</f>
        <v/>
      </c>
      <c r="G1129" s="59" t="str">
        <f aca="false">IFERROR(IF([2]对账明细接口!$G$1129=0,"",[2]对账明细接口!$G$1129),"")</f>
        <v/>
      </c>
      <c r="H1129" s="60" t="str">
        <f aca="false">IFERROR(IF([2]对账明细接口!$H$1129=0,"",[2]对账明细接口!$H$1129),"")</f>
        <v/>
      </c>
      <c r="I1129" s="59" t="str">
        <f aca="false">IFERROR(IF([2]对账明细接口!$I$1129=0,"",[2]对账明细接口!$I$1129),"")</f>
        <v/>
      </c>
      <c r="J1129" s="61" t="str">
        <f aca="false">IFERROR(IF([2]对账明细接口!$J$1129=0,"",[2]对账明细接口!$J$1129),"")</f>
        <v/>
      </c>
      <c r="K1129" s="61" t="str">
        <f aca="false">IFERROR(IF([2]对账明细接口!$K$1129=0,"",[2]对账明细接口!$K$1129),"")</f>
        <v/>
      </c>
      <c r="L1129" s="59" t="str">
        <f aca="false">IFERROR(IF([2]对账明细接口!$L$1129=0,"",[2]对账明细接口!$L$1129),"")</f>
        <v/>
      </c>
      <c r="M1129" s="59" t="str">
        <f aca="false">IFERROR(IF([2]对账明细接口!$M$1129=0,"",[2]对账明细接口!$M$1129),"")</f>
        <v/>
      </c>
      <c r="N1129" s="111" t="n">
        <f aca="false">IF($C1129="",0,1)</f>
        <v>0</v>
      </c>
      <c r="O1129" s="111" t="n">
        <f aca="false">N(O1128)+$N1129</f>
        <v>311</v>
      </c>
      <c r="S1129" s="10" t="str">
        <f aca="false">IFERROR(IF([2]对账明细接口!$N1129=0,"",[2]对账明细接口!$N1129),"")</f>
        <v/>
      </c>
      <c r="T1129" s="112" t="str">
        <f aca="false">IFERROR(IF([2]对账明细接口!$O1129=0,"",[2]对账明细接口!$O1129),"")</f>
        <v/>
      </c>
      <c r="U1129" s="112" t="str">
        <f aca="false">IFERROR(IF([2]对账明细接口!$P1129=0,"",[2]对账明细接口!$P1129),"")</f>
        <v/>
      </c>
      <c r="V1129" s="112" t="str">
        <f aca="false">IFERROR(IF([2]对账明细接口!$Q1129=0,"",[2]对账明细接口!$Q1129),"")</f>
        <v/>
      </c>
      <c r="W1129" s="10" t="str">
        <f aca="false">IFERROR(IF([2]对账明细接口!$R1129=0,"",[2]对账明细接口!$R1129),"")</f>
        <v/>
      </c>
      <c r="X1129" s="10" t="str">
        <f aca="false">IFERROR(IF([2]对账明细接口!$S1129=0,"",[2]对账明细接口!$S1129),"")</f>
        <v/>
      </c>
      <c r="Y1129" s="10" t="str">
        <f aca="false">IFERROR(IF([2]对账明细接口!$T1129=0,"",[2]对账明细接口!$T1129),"")</f>
        <v/>
      </c>
      <c r="Z1129" s="113" t="str">
        <f aca="false">IFERROR(IF([2]对账明细接口!$U1129=0,"",[2]对账明细接口!$U1129),"")</f>
        <v/>
      </c>
      <c r="AA1129" s="113" t="str">
        <f aca="false">IFERROR(IF([2]对账明细接口!$V1129=0,"",[2]对账明细接口!$V1129),"")</f>
        <v/>
      </c>
      <c r="AB1129" s="10" t="str">
        <f aca="false">IFERROR(IF([2]对账明细接口!$W1129=0,"",[2]对账明细接口!$W1129),"")</f>
        <v/>
      </c>
      <c r="AC1129" s="90" t="str">
        <f aca="false">IFERROR(IF([2]对账明细接口!$X1130=0,"",[2]对账明细接口!$X1130),"")</f>
        <v/>
      </c>
      <c r="AD1129" s="90" t="str">
        <f aca="false">IFERROR(IF([2]对账明细接口!$Y1130=0,"",[2]对账明细接口!$Y1130),"")</f>
        <v/>
      </c>
      <c r="AE1129" s="90" t="str">
        <f aca="false">IFERROR(IF([2]对账明细接口!$AA1130=0,"",[2]对账明细接口!$AA1130),"")</f>
        <v/>
      </c>
      <c r="AF1129" s="90" t="str">
        <f aca="false">IFERROR(IF([2]对账明细接口!$AB1130=0,"",[2]对账明细接口!$AB1130),"")</f>
        <v/>
      </c>
      <c r="AG1129" s="90" t="str">
        <f aca="false">IFERROR(IF([2]对账明细接口!$AC1130=0,"",[2]对账明细接口!$AC1130),"")</f>
        <v/>
      </c>
      <c r="AH1129" s="90" t="str">
        <f aca="false">IFERROR(IF([2]对账明细接口!$AD1130=0,"",[2]对账明细接口!$AD1130),"")</f>
        <v/>
      </c>
    </row>
    <row r="1130" customFormat="false" ht="13.5" hidden="false" customHeight="false" outlineLevel="0" collapsed="false">
      <c r="A1130" s="109" t="n">
        <v>1130</v>
      </c>
      <c r="B1130" s="110" t="str">
        <f aca="false">IFERROR(IF([2]对账明细接口!$B$1130=0,"",[2]对账明细接口!$B$1130),"")</f>
        <v/>
      </c>
      <c r="C1130" s="59" t="str">
        <f aca="false">IFERROR(IF([2]对账明细接口!$C$1130=0,"",[2]对账明细接口!$C$1130),"")</f>
        <v/>
      </c>
      <c r="D1130" s="59" t="str">
        <f aca="false">IFERROR(IF([2]对账明细接口!$D$1130=0,"",[2]对账明细接口!$D$1130),"")</f>
        <v/>
      </c>
      <c r="E1130" s="59" t="str">
        <f aca="false">IFERROR(IF([2]对账明细接口!$E$1130=0,"",[2]对账明细接口!$E$1130),"")</f>
        <v/>
      </c>
      <c r="F1130" s="59" t="str">
        <f aca="false">IFERROR(IF([2]对账明细接口!$F$1130=0,"",[2]对账明细接口!$F$1130),"")</f>
        <v/>
      </c>
      <c r="G1130" s="59" t="str">
        <f aca="false">IFERROR(IF([2]对账明细接口!$G$1130=0,"",[2]对账明细接口!$G$1130),"")</f>
        <v/>
      </c>
      <c r="H1130" s="60" t="str">
        <f aca="false">IFERROR(IF([2]对账明细接口!$H$1130=0,"",[2]对账明细接口!$H$1130),"")</f>
        <v/>
      </c>
      <c r="I1130" s="59" t="str">
        <f aca="false">IFERROR(IF([2]对账明细接口!$I$1130=0,"",[2]对账明细接口!$I$1130),"")</f>
        <v/>
      </c>
      <c r="J1130" s="61" t="str">
        <f aca="false">IFERROR(IF([2]对账明细接口!$J$1130=0,"",[2]对账明细接口!$J$1130),"")</f>
        <v/>
      </c>
      <c r="K1130" s="61" t="str">
        <f aca="false">IFERROR(IF([2]对账明细接口!$K$1130=0,"",[2]对账明细接口!$K$1130),"")</f>
        <v/>
      </c>
      <c r="L1130" s="59" t="str">
        <f aca="false">IFERROR(IF([2]对账明细接口!$L$1130=0,"",[2]对账明细接口!$L$1130),"")</f>
        <v/>
      </c>
      <c r="M1130" s="59" t="str">
        <f aca="false">IFERROR(IF([2]对账明细接口!$M$1130=0,"",[2]对账明细接口!$M$1130),"")</f>
        <v/>
      </c>
      <c r="N1130" s="111" t="n">
        <f aca="false">IF($C1130="",0,1)</f>
        <v>0</v>
      </c>
      <c r="O1130" s="111" t="n">
        <f aca="false">N(O1129)+$N1130</f>
        <v>311</v>
      </c>
      <c r="S1130" s="10" t="str">
        <f aca="false">IFERROR(IF([2]对账明细接口!$N1130=0,"",[2]对账明细接口!$N1130),"")</f>
        <v/>
      </c>
      <c r="T1130" s="112" t="str">
        <f aca="false">IFERROR(IF([2]对账明细接口!$O1130=0,"",[2]对账明细接口!$O1130),"")</f>
        <v/>
      </c>
      <c r="U1130" s="112" t="str">
        <f aca="false">IFERROR(IF([2]对账明细接口!$P1130=0,"",[2]对账明细接口!$P1130),"")</f>
        <v/>
      </c>
      <c r="V1130" s="112" t="str">
        <f aca="false">IFERROR(IF([2]对账明细接口!$Q1130=0,"",[2]对账明细接口!$Q1130),"")</f>
        <v/>
      </c>
      <c r="W1130" s="10" t="str">
        <f aca="false">IFERROR(IF([2]对账明细接口!$R1130=0,"",[2]对账明细接口!$R1130),"")</f>
        <v/>
      </c>
      <c r="X1130" s="10" t="str">
        <f aca="false">IFERROR(IF([2]对账明细接口!$S1130=0,"",[2]对账明细接口!$S1130),"")</f>
        <v/>
      </c>
      <c r="Y1130" s="10" t="str">
        <f aca="false">IFERROR(IF([2]对账明细接口!$T1130=0,"",[2]对账明细接口!$T1130),"")</f>
        <v/>
      </c>
      <c r="Z1130" s="113" t="str">
        <f aca="false">IFERROR(IF([2]对账明细接口!$U1130=0,"",[2]对账明细接口!$U1130),"")</f>
        <v/>
      </c>
      <c r="AA1130" s="113" t="str">
        <f aca="false">IFERROR(IF([2]对账明细接口!$V1130=0,"",[2]对账明细接口!$V1130),"")</f>
        <v/>
      </c>
      <c r="AB1130" s="10" t="str">
        <f aca="false">IFERROR(IF([2]对账明细接口!$W1130=0,"",[2]对账明细接口!$W1130),"")</f>
        <v/>
      </c>
      <c r="AC1130" s="90" t="str">
        <f aca="false">IFERROR(IF([2]对账明细接口!$X1131=0,"",[2]对账明细接口!$X1131),"")</f>
        <v/>
      </c>
      <c r="AD1130" s="90" t="str">
        <f aca="false">IFERROR(IF([2]对账明细接口!$Y1131=0,"",[2]对账明细接口!$Y1131),"")</f>
        <v/>
      </c>
      <c r="AE1130" s="90" t="str">
        <f aca="false">IFERROR(IF([2]对账明细接口!$AA1131=0,"",[2]对账明细接口!$AA1131),"")</f>
        <v/>
      </c>
      <c r="AF1130" s="90" t="str">
        <f aca="false">IFERROR(IF([2]对账明细接口!$AB1131=0,"",[2]对账明细接口!$AB1131),"")</f>
        <v/>
      </c>
      <c r="AG1130" s="90" t="str">
        <f aca="false">IFERROR(IF([2]对账明细接口!$AC1131=0,"",[2]对账明细接口!$AC1131),"")</f>
        <v/>
      </c>
      <c r="AH1130" s="90" t="str">
        <f aca="false">IFERROR(IF([2]对账明细接口!$AD1131=0,"",[2]对账明细接口!$AD1131),"")</f>
        <v/>
      </c>
    </row>
    <row r="1131" customFormat="false" ht="13.5" hidden="false" customHeight="false" outlineLevel="0" collapsed="false">
      <c r="A1131" s="109" t="n">
        <v>1131</v>
      </c>
      <c r="B1131" s="110" t="str">
        <f aca="false">IFERROR(IF([2]对账明细接口!$B$1131=0,"",[2]对账明细接口!$B$1131),"")</f>
        <v/>
      </c>
      <c r="C1131" s="59" t="str">
        <f aca="false">IFERROR(IF([2]对账明细接口!$C$1131=0,"",[2]对账明细接口!$C$1131),"")</f>
        <v/>
      </c>
      <c r="D1131" s="59" t="str">
        <f aca="false">IFERROR(IF([2]对账明细接口!$D$1131=0,"",[2]对账明细接口!$D$1131),"")</f>
        <v/>
      </c>
      <c r="E1131" s="59" t="str">
        <f aca="false">IFERROR(IF([2]对账明细接口!$E$1131=0,"",[2]对账明细接口!$E$1131),"")</f>
        <v/>
      </c>
      <c r="F1131" s="59" t="str">
        <f aca="false">IFERROR(IF([2]对账明细接口!$F$1131=0,"",[2]对账明细接口!$F$1131),"")</f>
        <v/>
      </c>
      <c r="G1131" s="59" t="str">
        <f aca="false">IFERROR(IF([2]对账明细接口!$G$1131=0,"",[2]对账明细接口!$G$1131),"")</f>
        <v/>
      </c>
      <c r="H1131" s="60" t="str">
        <f aca="false">IFERROR(IF([2]对账明细接口!$H$1131=0,"",[2]对账明细接口!$H$1131),"")</f>
        <v/>
      </c>
      <c r="I1131" s="59" t="str">
        <f aca="false">IFERROR(IF([2]对账明细接口!$I$1131=0,"",[2]对账明细接口!$I$1131),"")</f>
        <v/>
      </c>
      <c r="J1131" s="61" t="str">
        <f aca="false">IFERROR(IF([2]对账明细接口!$J$1131=0,"",[2]对账明细接口!$J$1131),"")</f>
        <v/>
      </c>
      <c r="K1131" s="61" t="str">
        <f aca="false">IFERROR(IF([2]对账明细接口!$K$1131=0,"",[2]对账明细接口!$K$1131),"")</f>
        <v/>
      </c>
      <c r="L1131" s="59" t="str">
        <f aca="false">IFERROR(IF([2]对账明细接口!$L$1131=0,"",[2]对账明细接口!$L$1131),"")</f>
        <v/>
      </c>
      <c r="M1131" s="59" t="str">
        <f aca="false">IFERROR(IF([2]对账明细接口!$M$1131=0,"",[2]对账明细接口!$M$1131),"")</f>
        <v/>
      </c>
      <c r="N1131" s="111" t="n">
        <f aca="false">IF($C1131="",0,1)</f>
        <v>0</v>
      </c>
      <c r="O1131" s="111" t="n">
        <f aca="false">N(O1130)+$N1131</f>
        <v>311</v>
      </c>
      <c r="S1131" s="10" t="str">
        <f aca="false">IFERROR(IF([2]对账明细接口!$N1131=0,"",[2]对账明细接口!$N1131),"")</f>
        <v/>
      </c>
      <c r="T1131" s="112" t="str">
        <f aca="false">IFERROR(IF([2]对账明细接口!$O1131=0,"",[2]对账明细接口!$O1131),"")</f>
        <v/>
      </c>
      <c r="U1131" s="112" t="str">
        <f aca="false">IFERROR(IF([2]对账明细接口!$P1131=0,"",[2]对账明细接口!$P1131),"")</f>
        <v/>
      </c>
      <c r="V1131" s="112" t="str">
        <f aca="false">IFERROR(IF([2]对账明细接口!$Q1131=0,"",[2]对账明细接口!$Q1131),"")</f>
        <v/>
      </c>
      <c r="W1131" s="10" t="str">
        <f aca="false">IFERROR(IF([2]对账明细接口!$R1131=0,"",[2]对账明细接口!$R1131),"")</f>
        <v/>
      </c>
      <c r="X1131" s="10" t="str">
        <f aca="false">IFERROR(IF([2]对账明细接口!$S1131=0,"",[2]对账明细接口!$S1131),"")</f>
        <v/>
      </c>
      <c r="Y1131" s="10" t="str">
        <f aca="false">IFERROR(IF([2]对账明细接口!$T1131=0,"",[2]对账明细接口!$T1131),"")</f>
        <v/>
      </c>
      <c r="Z1131" s="113" t="str">
        <f aca="false">IFERROR(IF([2]对账明细接口!$U1131=0,"",[2]对账明细接口!$U1131),"")</f>
        <v/>
      </c>
      <c r="AA1131" s="113" t="str">
        <f aca="false">IFERROR(IF([2]对账明细接口!$V1131=0,"",[2]对账明细接口!$V1131),"")</f>
        <v/>
      </c>
      <c r="AB1131" s="10" t="str">
        <f aca="false">IFERROR(IF([2]对账明细接口!$W1131=0,"",[2]对账明细接口!$W1131),"")</f>
        <v/>
      </c>
      <c r="AC1131" s="90" t="str">
        <f aca="false">IFERROR(IF([2]对账明细接口!$X1132=0,"",[2]对账明细接口!$X1132),"")</f>
        <v/>
      </c>
      <c r="AD1131" s="90" t="str">
        <f aca="false">IFERROR(IF([2]对账明细接口!$Y1132=0,"",[2]对账明细接口!$Y1132),"")</f>
        <v/>
      </c>
      <c r="AE1131" s="90" t="str">
        <f aca="false">IFERROR(IF([2]对账明细接口!$AA1132=0,"",[2]对账明细接口!$AA1132),"")</f>
        <v/>
      </c>
      <c r="AF1131" s="90" t="str">
        <f aca="false">IFERROR(IF([2]对账明细接口!$AB1132=0,"",[2]对账明细接口!$AB1132),"")</f>
        <v/>
      </c>
      <c r="AG1131" s="90" t="str">
        <f aca="false">IFERROR(IF([2]对账明细接口!$AC1132=0,"",[2]对账明细接口!$AC1132),"")</f>
        <v/>
      </c>
      <c r="AH1131" s="90" t="str">
        <f aca="false">IFERROR(IF([2]对账明细接口!$AD1132=0,"",[2]对账明细接口!$AD1132),"")</f>
        <v/>
      </c>
    </row>
    <row r="1132" customFormat="false" ht="13.5" hidden="false" customHeight="false" outlineLevel="0" collapsed="false">
      <c r="A1132" s="109" t="n">
        <v>1132</v>
      </c>
      <c r="B1132" s="110" t="str">
        <f aca="false">IFERROR(IF([2]对账明细接口!$B$1132=0,"",[2]对账明细接口!$B$1132),"")</f>
        <v/>
      </c>
      <c r="C1132" s="59" t="str">
        <f aca="false">IFERROR(IF([2]对账明细接口!$C$1132=0,"",[2]对账明细接口!$C$1132),"")</f>
        <v/>
      </c>
      <c r="D1132" s="59" t="str">
        <f aca="false">IFERROR(IF([2]对账明细接口!$D$1132=0,"",[2]对账明细接口!$D$1132),"")</f>
        <v/>
      </c>
      <c r="E1132" s="59" t="str">
        <f aca="false">IFERROR(IF([2]对账明细接口!$E$1132=0,"",[2]对账明细接口!$E$1132),"")</f>
        <v/>
      </c>
      <c r="F1132" s="59" t="str">
        <f aca="false">IFERROR(IF([2]对账明细接口!$F$1132=0,"",[2]对账明细接口!$F$1132),"")</f>
        <v/>
      </c>
      <c r="G1132" s="59" t="str">
        <f aca="false">IFERROR(IF([2]对账明细接口!$G$1132=0,"",[2]对账明细接口!$G$1132),"")</f>
        <v/>
      </c>
      <c r="H1132" s="60" t="str">
        <f aca="false">IFERROR(IF([2]对账明细接口!$H$1132=0,"",[2]对账明细接口!$H$1132),"")</f>
        <v/>
      </c>
      <c r="I1132" s="59" t="str">
        <f aca="false">IFERROR(IF([2]对账明细接口!$I$1132=0,"",[2]对账明细接口!$I$1132),"")</f>
        <v/>
      </c>
      <c r="J1132" s="61" t="str">
        <f aca="false">IFERROR(IF([2]对账明细接口!$J$1132=0,"",[2]对账明细接口!$J$1132),"")</f>
        <v/>
      </c>
      <c r="K1132" s="61" t="str">
        <f aca="false">IFERROR(IF([2]对账明细接口!$K$1132=0,"",[2]对账明细接口!$K$1132),"")</f>
        <v/>
      </c>
      <c r="L1132" s="59" t="str">
        <f aca="false">IFERROR(IF([2]对账明细接口!$L$1132=0,"",[2]对账明细接口!$L$1132),"")</f>
        <v/>
      </c>
      <c r="M1132" s="59" t="str">
        <f aca="false">IFERROR(IF([2]对账明细接口!$M$1132=0,"",[2]对账明细接口!$M$1132),"")</f>
        <v/>
      </c>
      <c r="N1132" s="111" t="n">
        <f aca="false">IF($C1132="",0,1)</f>
        <v>0</v>
      </c>
      <c r="O1132" s="111" t="n">
        <f aca="false">N(O1131)+$N1132</f>
        <v>311</v>
      </c>
      <c r="S1132" s="10" t="str">
        <f aca="false">IFERROR(IF([2]对账明细接口!$N1132=0,"",[2]对账明细接口!$N1132),"")</f>
        <v/>
      </c>
      <c r="T1132" s="112" t="str">
        <f aca="false">IFERROR(IF([2]对账明细接口!$O1132=0,"",[2]对账明细接口!$O1132),"")</f>
        <v/>
      </c>
      <c r="U1132" s="112" t="str">
        <f aca="false">IFERROR(IF([2]对账明细接口!$P1132=0,"",[2]对账明细接口!$P1132),"")</f>
        <v/>
      </c>
      <c r="V1132" s="112" t="str">
        <f aca="false">IFERROR(IF([2]对账明细接口!$Q1132=0,"",[2]对账明细接口!$Q1132),"")</f>
        <v/>
      </c>
      <c r="W1132" s="10" t="str">
        <f aca="false">IFERROR(IF([2]对账明细接口!$R1132=0,"",[2]对账明细接口!$R1132),"")</f>
        <v/>
      </c>
      <c r="X1132" s="10" t="str">
        <f aca="false">IFERROR(IF([2]对账明细接口!$S1132=0,"",[2]对账明细接口!$S1132),"")</f>
        <v/>
      </c>
      <c r="Y1132" s="10" t="str">
        <f aca="false">IFERROR(IF([2]对账明细接口!$T1132=0,"",[2]对账明细接口!$T1132),"")</f>
        <v/>
      </c>
      <c r="Z1132" s="113" t="str">
        <f aca="false">IFERROR(IF([2]对账明细接口!$U1132=0,"",[2]对账明细接口!$U1132),"")</f>
        <v/>
      </c>
      <c r="AA1132" s="113" t="str">
        <f aca="false">IFERROR(IF([2]对账明细接口!$V1132=0,"",[2]对账明细接口!$V1132),"")</f>
        <v/>
      </c>
      <c r="AB1132" s="10" t="str">
        <f aca="false">IFERROR(IF([2]对账明细接口!$W1132=0,"",[2]对账明细接口!$W1132),"")</f>
        <v/>
      </c>
      <c r="AC1132" s="90" t="str">
        <f aca="false">IFERROR(IF([2]对账明细接口!$X1133=0,"",[2]对账明细接口!$X1133),"")</f>
        <v/>
      </c>
      <c r="AD1132" s="90" t="str">
        <f aca="false">IFERROR(IF([2]对账明细接口!$Y1133=0,"",[2]对账明细接口!$Y1133),"")</f>
        <v/>
      </c>
      <c r="AE1132" s="90" t="str">
        <f aca="false">IFERROR(IF([2]对账明细接口!$AA1133=0,"",[2]对账明细接口!$AA1133),"")</f>
        <v/>
      </c>
      <c r="AF1132" s="90" t="str">
        <f aca="false">IFERROR(IF([2]对账明细接口!$AB1133=0,"",[2]对账明细接口!$AB1133),"")</f>
        <v/>
      </c>
      <c r="AG1132" s="90" t="str">
        <f aca="false">IFERROR(IF([2]对账明细接口!$AC1133=0,"",[2]对账明细接口!$AC1133),"")</f>
        <v/>
      </c>
      <c r="AH1132" s="90" t="str">
        <f aca="false">IFERROR(IF([2]对账明细接口!$AD1133=0,"",[2]对账明细接口!$AD1133),"")</f>
        <v/>
      </c>
    </row>
    <row r="1133" customFormat="false" ht="13.5" hidden="false" customHeight="false" outlineLevel="0" collapsed="false">
      <c r="A1133" s="109" t="n">
        <v>1133</v>
      </c>
      <c r="B1133" s="110" t="str">
        <f aca="false">IFERROR(IF([2]对账明细接口!$B$1133=0,"",[2]对账明细接口!$B$1133),"")</f>
        <v/>
      </c>
      <c r="C1133" s="59" t="str">
        <f aca="false">IFERROR(IF([2]对账明细接口!$C$1133=0,"",[2]对账明细接口!$C$1133),"")</f>
        <v/>
      </c>
      <c r="D1133" s="59" t="str">
        <f aca="false">IFERROR(IF([2]对账明细接口!$D$1133=0,"",[2]对账明细接口!$D$1133),"")</f>
        <v/>
      </c>
      <c r="E1133" s="59" t="str">
        <f aca="false">IFERROR(IF([2]对账明细接口!$E$1133=0,"",[2]对账明细接口!$E$1133),"")</f>
        <v/>
      </c>
      <c r="F1133" s="59" t="str">
        <f aca="false">IFERROR(IF([2]对账明细接口!$F$1133=0,"",[2]对账明细接口!$F$1133),"")</f>
        <v/>
      </c>
      <c r="G1133" s="59" t="str">
        <f aca="false">IFERROR(IF([2]对账明细接口!$G$1133=0,"",[2]对账明细接口!$G$1133),"")</f>
        <v/>
      </c>
      <c r="H1133" s="60" t="str">
        <f aca="false">IFERROR(IF([2]对账明细接口!$H$1133=0,"",[2]对账明细接口!$H$1133),"")</f>
        <v/>
      </c>
      <c r="I1133" s="59" t="str">
        <f aca="false">IFERROR(IF([2]对账明细接口!$I$1133=0,"",[2]对账明细接口!$I$1133),"")</f>
        <v/>
      </c>
      <c r="J1133" s="61" t="str">
        <f aca="false">IFERROR(IF([2]对账明细接口!$J$1133=0,"",[2]对账明细接口!$J$1133),"")</f>
        <v/>
      </c>
      <c r="K1133" s="61" t="str">
        <f aca="false">IFERROR(IF([2]对账明细接口!$K$1133=0,"",[2]对账明细接口!$K$1133),"")</f>
        <v/>
      </c>
      <c r="L1133" s="59" t="str">
        <f aca="false">IFERROR(IF([2]对账明细接口!$L$1133=0,"",[2]对账明细接口!$L$1133),"")</f>
        <v/>
      </c>
      <c r="M1133" s="59" t="str">
        <f aca="false">IFERROR(IF([2]对账明细接口!$M$1133=0,"",[2]对账明细接口!$M$1133),"")</f>
        <v/>
      </c>
      <c r="N1133" s="111" t="n">
        <f aca="false">IF($C1133="",0,1)</f>
        <v>0</v>
      </c>
      <c r="O1133" s="111" t="n">
        <f aca="false">N(O1132)+$N1133</f>
        <v>311</v>
      </c>
      <c r="S1133" s="10" t="str">
        <f aca="false">IFERROR(IF([2]对账明细接口!$N1133=0,"",[2]对账明细接口!$N1133),"")</f>
        <v/>
      </c>
      <c r="T1133" s="112" t="str">
        <f aca="false">IFERROR(IF([2]对账明细接口!$O1133=0,"",[2]对账明细接口!$O1133),"")</f>
        <v/>
      </c>
      <c r="U1133" s="112" t="str">
        <f aca="false">IFERROR(IF([2]对账明细接口!$P1133=0,"",[2]对账明细接口!$P1133),"")</f>
        <v/>
      </c>
      <c r="V1133" s="112" t="str">
        <f aca="false">IFERROR(IF([2]对账明细接口!$Q1133=0,"",[2]对账明细接口!$Q1133),"")</f>
        <v/>
      </c>
      <c r="W1133" s="10" t="str">
        <f aca="false">IFERROR(IF([2]对账明细接口!$R1133=0,"",[2]对账明细接口!$R1133),"")</f>
        <v/>
      </c>
      <c r="X1133" s="10" t="str">
        <f aca="false">IFERROR(IF([2]对账明细接口!$S1133=0,"",[2]对账明细接口!$S1133),"")</f>
        <v/>
      </c>
      <c r="Y1133" s="10" t="str">
        <f aca="false">IFERROR(IF([2]对账明细接口!$T1133=0,"",[2]对账明细接口!$T1133),"")</f>
        <v/>
      </c>
      <c r="Z1133" s="113" t="str">
        <f aca="false">IFERROR(IF([2]对账明细接口!$U1133=0,"",[2]对账明细接口!$U1133),"")</f>
        <v/>
      </c>
      <c r="AA1133" s="113" t="str">
        <f aca="false">IFERROR(IF([2]对账明细接口!$V1133=0,"",[2]对账明细接口!$V1133),"")</f>
        <v/>
      </c>
      <c r="AB1133" s="10" t="str">
        <f aca="false">IFERROR(IF([2]对账明细接口!$W1133=0,"",[2]对账明细接口!$W1133),"")</f>
        <v/>
      </c>
      <c r="AC1133" s="90" t="str">
        <f aca="false">IFERROR(IF([2]对账明细接口!$X1134=0,"",[2]对账明细接口!$X1134),"")</f>
        <v/>
      </c>
      <c r="AD1133" s="90" t="str">
        <f aca="false">IFERROR(IF([2]对账明细接口!$Y1134=0,"",[2]对账明细接口!$Y1134),"")</f>
        <v/>
      </c>
      <c r="AE1133" s="90" t="str">
        <f aca="false">IFERROR(IF([2]对账明细接口!$AA1134=0,"",[2]对账明细接口!$AA1134),"")</f>
        <v/>
      </c>
      <c r="AF1133" s="90" t="str">
        <f aca="false">IFERROR(IF([2]对账明细接口!$AB1134=0,"",[2]对账明细接口!$AB1134),"")</f>
        <v/>
      </c>
      <c r="AG1133" s="90" t="str">
        <f aca="false">IFERROR(IF([2]对账明细接口!$AC1134=0,"",[2]对账明细接口!$AC1134),"")</f>
        <v/>
      </c>
      <c r="AH1133" s="90" t="str">
        <f aca="false">IFERROR(IF([2]对账明细接口!$AD1134=0,"",[2]对账明细接口!$AD1134),"")</f>
        <v/>
      </c>
    </row>
    <row r="1134" customFormat="false" ht="13.5" hidden="false" customHeight="false" outlineLevel="0" collapsed="false">
      <c r="A1134" s="109" t="n">
        <v>1134</v>
      </c>
      <c r="B1134" s="110" t="str">
        <f aca="false">IFERROR(IF([2]对账明细接口!$B$1134=0,"",[2]对账明细接口!$B$1134),"")</f>
        <v/>
      </c>
      <c r="C1134" s="59" t="str">
        <f aca="false">IFERROR(IF([2]对账明细接口!$C$1134=0,"",[2]对账明细接口!$C$1134),"")</f>
        <v/>
      </c>
      <c r="D1134" s="59" t="str">
        <f aca="false">IFERROR(IF([2]对账明细接口!$D$1134=0,"",[2]对账明细接口!$D$1134),"")</f>
        <v/>
      </c>
      <c r="E1134" s="59" t="str">
        <f aca="false">IFERROR(IF([2]对账明细接口!$E$1134=0,"",[2]对账明细接口!$E$1134),"")</f>
        <v/>
      </c>
      <c r="F1134" s="59" t="str">
        <f aca="false">IFERROR(IF([2]对账明细接口!$F$1134=0,"",[2]对账明细接口!$F$1134),"")</f>
        <v/>
      </c>
      <c r="G1134" s="59" t="str">
        <f aca="false">IFERROR(IF([2]对账明细接口!$G$1134=0,"",[2]对账明细接口!$G$1134),"")</f>
        <v/>
      </c>
      <c r="H1134" s="60" t="str">
        <f aca="false">IFERROR(IF([2]对账明细接口!$H$1134=0,"",[2]对账明细接口!$H$1134),"")</f>
        <v/>
      </c>
      <c r="I1134" s="59" t="str">
        <f aca="false">IFERROR(IF([2]对账明细接口!$I$1134=0,"",[2]对账明细接口!$I$1134),"")</f>
        <v/>
      </c>
      <c r="J1134" s="61" t="str">
        <f aca="false">IFERROR(IF([2]对账明细接口!$J$1134=0,"",[2]对账明细接口!$J$1134),"")</f>
        <v/>
      </c>
      <c r="K1134" s="61" t="str">
        <f aca="false">IFERROR(IF([2]对账明细接口!$K$1134=0,"",[2]对账明细接口!$K$1134),"")</f>
        <v/>
      </c>
      <c r="L1134" s="59" t="str">
        <f aca="false">IFERROR(IF([2]对账明细接口!$L$1134=0,"",[2]对账明细接口!$L$1134),"")</f>
        <v/>
      </c>
      <c r="M1134" s="59" t="str">
        <f aca="false">IFERROR(IF([2]对账明细接口!$M$1134=0,"",[2]对账明细接口!$M$1134),"")</f>
        <v/>
      </c>
      <c r="N1134" s="111" t="n">
        <f aca="false">IF($C1134="",0,1)</f>
        <v>0</v>
      </c>
      <c r="O1134" s="111" t="n">
        <f aca="false">N(O1133)+$N1134</f>
        <v>311</v>
      </c>
      <c r="S1134" s="10" t="str">
        <f aca="false">IFERROR(IF([2]对账明细接口!$N1134=0,"",[2]对账明细接口!$N1134),"")</f>
        <v/>
      </c>
      <c r="T1134" s="112" t="str">
        <f aca="false">IFERROR(IF([2]对账明细接口!$O1134=0,"",[2]对账明细接口!$O1134),"")</f>
        <v/>
      </c>
      <c r="U1134" s="112" t="str">
        <f aca="false">IFERROR(IF([2]对账明细接口!$P1134=0,"",[2]对账明细接口!$P1134),"")</f>
        <v/>
      </c>
      <c r="V1134" s="112" t="str">
        <f aca="false">IFERROR(IF([2]对账明细接口!$Q1134=0,"",[2]对账明细接口!$Q1134),"")</f>
        <v/>
      </c>
      <c r="W1134" s="10" t="str">
        <f aca="false">IFERROR(IF([2]对账明细接口!$R1134=0,"",[2]对账明细接口!$R1134),"")</f>
        <v/>
      </c>
      <c r="X1134" s="10" t="str">
        <f aca="false">IFERROR(IF([2]对账明细接口!$S1134=0,"",[2]对账明细接口!$S1134),"")</f>
        <v/>
      </c>
      <c r="Y1134" s="10" t="str">
        <f aca="false">IFERROR(IF([2]对账明细接口!$T1134=0,"",[2]对账明细接口!$T1134),"")</f>
        <v/>
      </c>
      <c r="Z1134" s="113" t="str">
        <f aca="false">IFERROR(IF([2]对账明细接口!$U1134=0,"",[2]对账明细接口!$U1134),"")</f>
        <v/>
      </c>
      <c r="AA1134" s="113" t="str">
        <f aca="false">IFERROR(IF([2]对账明细接口!$V1134=0,"",[2]对账明细接口!$V1134),"")</f>
        <v/>
      </c>
      <c r="AB1134" s="10" t="str">
        <f aca="false">IFERROR(IF([2]对账明细接口!$W1134=0,"",[2]对账明细接口!$W1134),"")</f>
        <v/>
      </c>
      <c r="AC1134" s="90" t="str">
        <f aca="false">IFERROR(IF([2]对账明细接口!$X1135=0,"",[2]对账明细接口!$X1135),"")</f>
        <v/>
      </c>
      <c r="AD1134" s="90" t="str">
        <f aca="false">IFERROR(IF([2]对账明细接口!$Y1135=0,"",[2]对账明细接口!$Y1135),"")</f>
        <v/>
      </c>
      <c r="AE1134" s="90" t="str">
        <f aca="false">IFERROR(IF([2]对账明细接口!$AA1135=0,"",[2]对账明细接口!$AA1135),"")</f>
        <v/>
      </c>
      <c r="AF1134" s="90" t="str">
        <f aca="false">IFERROR(IF([2]对账明细接口!$AB1135=0,"",[2]对账明细接口!$AB1135),"")</f>
        <v/>
      </c>
      <c r="AG1134" s="90" t="str">
        <f aca="false">IFERROR(IF([2]对账明细接口!$AC1135=0,"",[2]对账明细接口!$AC1135),"")</f>
        <v/>
      </c>
      <c r="AH1134" s="90" t="str">
        <f aca="false">IFERROR(IF([2]对账明细接口!$AD1135=0,"",[2]对账明细接口!$AD1135),"")</f>
        <v/>
      </c>
    </row>
    <row r="1135" customFormat="false" ht="13.5" hidden="false" customHeight="false" outlineLevel="0" collapsed="false">
      <c r="A1135" s="109" t="n">
        <v>1135</v>
      </c>
      <c r="B1135" s="110" t="str">
        <f aca="false">IFERROR(IF([2]对账明细接口!$B$1135=0,"",[2]对账明细接口!$B$1135),"")</f>
        <v/>
      </c>
      <c r="C1135" s="59" t="str">
        <f aca="false">IFERROR(IF([2]对账明细接口!$C$1135=0,"",[2]对账明细接口!$C$1135),"")</f>
        <v/>
      </c>
      <c r="D1135" s="59" t="str">
        <f aca="false">IFERROR(IF([2]对账明细接口!$D$1135=0,"",[2]对账明细接口!$D$1135),"")</f>
        <v/>
      </c>
      <c r="E1135" s="59" t="str">
        <f aca="false">IFERROR(IF([2]对账明细接口!$E$1135=0,"",[2]对账明细接口!$E$1135),"")</f>
        <v/>
      </c>
      <c r="F1135" s="59" t="str">
        <f aca="false">IFERROR(IF([2]对账明细接口!$F$1135=0,"",[2]对账明细接口!$F$1135),"")</f>
        <v/>
      </c>
      <c r="G1135" s="59" t="str">
        <f aca="false">IFERROR(IF([2]对账明细接口!$G$1135=0,"",[2]对账明细接口!$G$1135),"")</f>
        <v/>
      </c>
      <c r="H1135" s="60" t="str">
        <f aca="false">IFERROR(IF([2]对账明细接口!$H$1135=0,"",[2]对账明细接口!$H$1135),"")</f>
        <v/>
      </c>
      <c r="I1135" s="59" t="str">
        <f aca="false">IFERROR(IF([2]对账明细接口!$I$1135=0,"",[2]对账明细接口!$I$1135),"")</f>
        <v/>
      </c>
      <c r="J1135" s="61" t="str">
        <f aca="false">IFERROR(IF([2]对账明细接口!$J$1135=0,"",[2]对账明细接口!$J$1135),"")</f>
        <v/>
      </c>
      <c r="K1135" s="61" t="str">
        <f aca="false">IFERROR(IF([2]对账明细接口!$K$1135=0,"",[2]对账明细接口!$K$1135),"")</f>
        <v/>
      </c>
      <c r="L1135" s="59" t="str">
        <f aca="false">IFERROR(IF([2]对账明细接口!$L$1135=0,"",[2]对账明细接口!$L$1135),"")</f>
        <v/>
      </c>
      <c r="M1135" s="59" t="str">
        <f aca="false">IFERROR(IF([2]对账明细接口!$M$1135=0,"",[2]对账明细接口!$M$1135),"")</f>
        <v/>
      </c>
      <c r="N1135" s="111" t="n">
        <f aca="false">IF($C1135="",0,1)</f>
        <v>0</v>
      </c>
      <c r="O1135" s="111" t="n">
        <f aca="false">N(O1134)+$N1135</f>
        <v>311</v>
      </c>
      <c r="S1135" s="10" t="str">
        <f aca="false">IFERROR(IF([2]对账明细接口!$N1135=0,"",[2]对账明细接口!$N1135),"")</f>
        <v/>
      </c>
      <c r="T1135" s="112" t="str">
        <f aca="false">IFERROR(IF([2]对账明细接口!$O1135=0,"",[2]对账明细接口!$O1135),"")</f>
        <v/>
      </c>
      <c r="U1135" s="112" t="str">
        <f aca="false">IFERROR(IF([2]对账明细接口!$P1135=0,"",[2]对账明细接口!$P1135),"")</f>
        <v/>
      </c>
      <c r="V1135" s="112" t="str">
        <f aca="false">IFERROR(IF([2]对账明细接口!$Q1135=0,"",[2]对账明细接口!$Q1135),"")</f>
        <v/>
      </c>
      <c r="W1135" s="10" t="str">
        <f aca="false">IFERROR(IF([2]对账明细接口!$R1135=0,"",[2]对账明细接口!$R1135),"")</f>
        <v/>
      </c>
      <c r="X1135" s="10" t="str">
        <f aca="false">IFERROR(IF([2]对账明细接口!$S1135=0,"",[2]对账明细接口!$S1135),"")</f>
        <v/>
      </c>
      <c r="Y1135" s="10" t="str">
        <f aca="false">IFERROR(IF([2]对账明细接口!$T1135=0,"",[2]对账明细接口!$T1135),"")</f>
        <v/>
      </c>
      <c r="Z1135" s="113" t="str">
        <f aca="false">IFERROR(IF([2]对账明细接口!$U1135=0,"",[2]对账明细接口!$U1135),"")</f>
        <v/>
      </c>
      <c r="AA1135" s="113" t="str">
        <f aca="false">IFERROR(IF([2]对账明细接口!$V1135=0,"",[2]对账明细接口!$V1135),"")</f>
        <v/>
      </c>
      <c r="AB1135" s="10" t="str">
        <f aca="false">IFERROR(IF([2]对账明细接口!$W1135=0,"",[2]对账明细接口!$W1135),"")</f>
        <v/>
      </c>
      <c r="AC1135" s="90" t="str">
        <f aca="false">IFERROR(IF([2]对账明细接口!$X1136=0,"",[2]对账明细接口!$X1136),"")</f>
        <v/>
      </c>
      <c r="AD1135" s="90" t="str">
        <f aca="false">IFERROR(IF([2]对账明细接口!$Y1136=0,"",[2]对账明细接口!$Y1136),"")</f>
        <v/>
      </c>
      <c r="AE1135" s="90" t="str">
        <f aca="false">IFERROR(IF([2]对账明细接口!$AA1136=0,"",[2]对账明细接口!$AA1136),"")</f>
        <v/>
      </c>
      <c r="AF1135" s="90" t="str">
        <f aca="false">IFERROR(IF([2]对账明细接口!$AB1136=0,"",[2]对账明细接口!$AB1136),"")</f>
        <v/>
      </c>
      <c r="AG1135" s="90" t="str">
        <f aca="false">IFERROR(IF([2]对账明细接口!$AC1136=0,"",[2]对账明细接口!$AC1136),"")</f>
        <v/>
      </c>
      <c r="AH1135" s="90" t="str">
        <f aca="false">IFERROR(IF([2]对账明细接口!$AD1136=0,"",[2]对账明细接口!$AD1136),"")</f>
        <v/>
      </c>
    </row>
    <row r="1136" customFormat="false" ht="13.5" hidden="false" customHeight="false" outlineLevel="0" collapsed="false">
      <c r="A1136" s="109" t="n">
        <v>1136</v>
      </c>
      <c r="B1136" s="110" t="str">
        <f aca="false">IFERROR(IF([2]对账明细接口!$B$1136=0,"",[2]对账明细接口!$B$1136),"")</f>
        <v/>
      </c>
      <c r="C1136" s="59" t="str">
        <f aca="false">IFERROR(IF([2]对账明细接口!$C$1136=0,"",[2]对账明细接口!$C$1136),"")</f>
        <v/>
      </c>
      <c r="D1136" s="59" t="str">
        <f aca="false">IFERROR(IF([2]对账明细接口!$D$1136=0,"",[2]对账明细接口!$D$1136),"")</f>
        <v/>
      </c>
      <c r="E1136" s="59" t="str">
        <f aca="false">IFERROR(IF([2]对账明细接口!$E$1136=0,"",[2]对账明细接口!$E$1136),"")</f>
        <v/>
      </c>
      <c r="F1136" s="59" t="str">
        <f aca="false">IFERROR(IF([2]对账明细接口!$F$1136=0,"",[2]对账明细接口!$F$1136),"")</f>
        <v/>
      </c>
      <c r="G1136" s="59" t="str">
        <f aca="false">IFERROR(IF([2]对账明细接口!$G$1136=0,"",[2]对账明细接口!$G$1136),"")</f>
        <v/>
      </c>
      <c r="H1136" s="60" t="str">
        <f aca="false">IFERROR(IF([2]对账明细接口!$H$1136=0,"",[2]对账明细接口!$H$1136),"")</f>
        <v/>
      </c>
      <c r="I1136" s="59" t="str">
        <f aca="false">IFERROR(IF([2]对账明细接口!$I$1136=0,"",[2]对账明细接口!$I$1136),"")</f>
        <v/>
      </c>
      <c r="J1136" s="61" t="str">
        <f aca="false">IFERROR(IF([2]对账明细接口!$J$1136=0,"",[2]对账明细接口!$J$1136),"")</f>
        <v/>
      </c>
      <c r="K1136" s="61" t="str">
        <f aca="false">IFERROR(IF([2]对账明细接口!$K$1136=0,"",[2]对账明细接口!$K$1136),"")</f>
        <v/>
      </c>
      <c r="L1136" s="59" t="str">
        <f aca="false">IFERROR(IF([2]对账明细接口!$L$1136=0,"",[2]对账明细接口!$L$1136),"")</f>
        <v/>
      </c>
      <c r="M1136" s="59" t="str">
        <f aca="false">IFERROR(IF([2]对账明细接口!$M$1136=0,"",[2]对账明细接口!$M$1136),"")</f>
        <v/>
      </c>
      <c r="N1136" s="111" t="n">
        <f aca="false">IF($C1136="",0,1)</f>
        <v>0</v>
      </c>
      <c r="O1136" s="111" t="n">
        <f aca="false">N(O1135)+$N1136</f>
        <v>311</v>
      </c>
      <c r="S1136" s="10" t="str">
        <f aca="false">IFERROR(IF([2]对账明细接口!$N1136=0,"",[2]对账明细接口!$N1136),"")</f>
        <v/>
      </c>
      <c r="T1136" s="112" t="str">
        <f aca="false">IFERROR(IF([2]对账明细接口!$O1136=0,"",[2]对账明细接口!$O1136),"")</f>
        <v/>
      </c>
      <c r="U1136" s="112" t="str">
        <f aca="false">IFERROR(IF([2]对账明细接口!$P1136=0,"",[2]对账明细接口!$P1136),"")</f>
        <v/>
      </c>
      <c r="V1136" s="112" t="str">
        <f aca="false">IFERROR(IF([2]对账明细接口!$Q1136=0,"",[2]对账明细接口!$Q1136),"")</f>
        <v/>
      </c>
      <c r="W1136" s="10" t="str">
        <f aca="false">IFERROR(IF([2]对账明细接口!$R1136=0,"",[2]对账明细接口!$R1136),"")</f>
        <v/>
      </c>
      <c r="X1136" s="10" t="str">
        <f aca="false">IFERROR(IF([2]对账明细接口!$S1136=0,"",[2]对账明细接口!$S1136),"")</f>
        <v/>
      </c>
      <c r="Y1136" s="10" t="str">
        <f aca="false">IFERROR(IF([2]对账明细接口!$T1136=0,"",[2]对账明细接口!$T1136),"")</f>
        <v/>
      </c>
      <c r="Z1136" s="113" t="str">
        <f aca="false">IFERROR(IF([2]对账明细接口!$U1136=0,"",[2]对账明细接口!$U1136),"")</f>
        <v/>
      </c>
      <c r="AA1136" s="113" t="str">
        <f aca="false">IFERROR(IF([2]对账明细接口!$V1136=0,"",[2]对账明细接口!$V1136),"")</f>
        <v/>
      </c>
      <c r="AB1136" s="10" t="str">
        <f aca="false">IFERROR(IF([2]对账明细接口!$W1136=0,"",[2]对账明细接口!$W1136),"")</f>
        <v/>
      </c>
      <c r="AC1136" s="90" t="str">
        <f aca="false">IFERROR(IF([2]对账明细接口!$X1137=0,"",[2]对账明细接口!$X1137),"")</f>
        <v/>
      </c>
      <c r="AD1136" s="90" t="str">
        <f aca="false">IFERROR(IF([2]对账明细接口!$Y1137=0,"",[2]对账明细接口!$Y1137),"")</f>
        <v/>
      </c>
      <c r="AE1136" s="90" t="str">
        <f aca="false">IFERROR(IF([2]对账明细接口!$AA1137=0,"",[2]对账明细接口!$AA1137),"")</f>
        <v/>
      </c>
      <c r="AF1136" s="90" t="str">
        <f aca="false">IFERROR(IF([2]对账明细接口!$AB1137=0,"",[2]对账明细接口!$AB1137),"")</f>
        <v/>
      </c>
      <c r="AG1136" s="90" t="str">
        <f aca="false">IFERROR(IF([2]对账明细接口!$AC1137=0,"",[2]对账明细接口!$AC1137),"")</f>
        <v/>
      </c>
      <c r="AH1136" s="90" t="str">
        <f aca="false">IFERROR(IF([2]对账明细接口!$AD1137=0,"",[2]对账明细接口!$AD1137),"")</f>
        <v/>
      </c>
    </row>
    <row r="1137" customFormat="false" ht="13.5" hidden="false" customHeight="false" outlineLevel="0" collapsed="false">
      <c r="A1137" s="109" t="n">
        <v>1137</v>
      </c>
      <c r="B1137" s="110" t="str">
        <f aca="false">IFERROR(IF([2]对账明细接口!$B$1137=0,"",[2]对账明细接口!$B$1137),"")</f>
        <v/>
      </c>
      <c r="C1137" s="59" t="str">
        <f aca="false">IFERROR(IF([2]对账明细接口!$C$1137=0,"",[2]对账明细接口!$C$1137),"")</f>
        <v/>
      </c>
      <c r="D1137" s="59" t="str">
        <f aca="false">IFERROR(IF([2]对账明细接口!$D$1137=0,"",[2]对账明细接口!$D$1137),"")</f>
        <v/>
      </c>
      <c r="E1137" s="59" t="str">
        <f aca="false">IFERROR(IF([2]对账明细接口!$E$1137=0,"",[2]对账明细接口!$E$1137),"")</f>
        <v/>
      </c>
      <c r="F1137" s="59" t="str">
        <f aca="false">IFERROR(IF([2]对账明细接口!$F$1137=0,"",[2]对账明细接口!$F$1137),"")</f>
        <v/>
      </c>
      <c r="G1137" s="59" t="str">
        <f aca="false">IFERROR(IF([2]对账明细接口!$G$1137=0,"",[2]对账明细接口!$G$1137),"")</f>
        <v/>
      </c>
      <c r="H1137" s="60" t="str">
        <f aca="false">IFERROR(IF([2]对账明细接口!$H$1137=0,"",[2]对账明细接口!$H$1137),"")</f>
        <v/>
      </c>
      <c r="I1137" s="59" t="str">
        <f aca="false">IFERROR(IF([2]对账明细接口!$I$1137=0,"",[2]对账明细接口!$I$1137),"")</f>
        <v/>
      </c>
      <c r="J1137" s="61" t="str">
        <f aca="false">IFERROR(IF([2]对账明细接口!$J$1137=0,"",[2]对账明细接口!$J$1137),"")</f>
        <v/>
      </c>
      <c r="K1137" s="61" t="str">
        <f aca="false">IFERROR(IF([2]对账明细接口!$K$1137=0,"",[2]对账明细接口!$K$1137),"")</f>
        <v/>
      </c>
      <c r="L1137" s="59" t="str">
        <f aca="false">IFERROR(IF([2]对账明细接口!$L$1137=0,"",[2]对账明细接口!$L$1137),"")</f>
        <v/>
      </c>
      <c r="M1137" s="59" t="str">
        <f aca="false">IFERROR(IF([2]对账明细接口!$M$1137=0,"",[2]对账明细接口!$M$1137),"")</f>
        <v/>
      </c>
      <c r="N1137" s="111" t="n">
        <f aca="false">IF($C1137="",0,1)</f>
        <v>0</v>
      </c>
      <c r="O1137" s="111" t="n">
        <f aca="false">N(O1136)+$N1137</f>
        <v>311</v>
      </c>
      <c r="S1137" s="10" t="str">
        <f aca="false">IFERROR(IF([2]对账明细接口!$N1137=0,"",[2]对账明细接口!$N1137),"")</f>
        <v/>
      </c>
      <c r="T1137" s="112" t="str">
        <f aca="false">IFERROR(IF([2]对账明细接口!$O1137=0,"",[2]对账明细接口!$O1137),"")</f>
        <v/>
      </c>
      <c r="U1137" s="112" t="str">
        <f aca="false">IFERROR(IF([2]对账明细接口!$P1137=0,"",[2]对账明细接口!$P1137),"")</f>
        <v/>
      </c>
      <c r="V1137" s="112" t="str">
        <f aca="false">IFERROR(IF([2]对账明细接口!$Q1137=0,"",[2]对账明细接口!$Q1137),"")</f>
        <v/>
      </c>
      <c r="W1137" s="10" t="str">
        <f aca="false">IFERROR(IF([2]对账明细接口!$R1137=0,"",[2]对账明细接口!$R1137),"")</f>
        <v/>
      </c>
      <c r="X1137" s="10" t="str">
        <f aca="false">IFERROR(IF([2]对账明细接口!$S1137=0,"",[2]对账明细接口!$S1137),"")</f>
        <v/>
      </c>
      <c r="Y1137" s="10" t="str">
        <f aca="false">IFERROR(IF([2]对账明细接口!$T1137=0,"",[2]对账明细接口!$T1137),"")</f>
        <v/>
      </c>
      <c r="Z1137" s="113" t="str">
        <f aca="false">IFERROR(IF([2]对账明细接口!$U1137=0,"",[2]对账明细接口!$U1137),"")</f>
        <v/>
      </c>
      <c r="AA1137" s="113" t="str">
        <f aca="false">IFERROR(IF([2]对账明细接口!$V1137=0,"",[2]对账明细接口!$V1137),"")</f>
        <v/>
      </c>
      <c r="AB1137" s="10" t="str">
        <f aca="false">IFERROR(IF([2]对账明细接口!$W1137=0,"",[2]对账明细接口!$W1137),"")</f>
        <v/>
      </c>
      <c r="AC1137" s="90" t="str">
        <f aca="false">IFERROR(IF([2]对账明细接口!$X1138=0,"",[2]对账明细接口!$X1138),"")</f>
        <v/>
      </c>
      <c r="AD1137" s="90" t="str">
        <f aca="false">IFERROR(IF([2]对账明细接口!$Y1138=0,"",[2]对账明细接口!$Y1138),"")</f>
        <v/>
      </c>
      <c r="AE1137" s="90" t="str">
        <f aca="false">IFERROR(IF([2]对账明细接口!$AA1138=0,"",[2]对账明细接口!$AA1138),"")</f>
        <v/>
      </c>
      <c r="AF1137" s="90" t="str">
        <f aca="false">IFERROR(IF([2]对账明细接口!$AB1138=0,"",[2]对账明细接口!$AB1138),"")</f>
        <v/>
      </c>
      <c r="AG1137" s="90" t="str">
        <f aca="false">IFERROR(IF([2]对账明细接口!$AC1138=0,"",[2]对账明细接口!$AC1138),"")</f>
        <v/>
      </c>
      <c r="AH1137" s="90" t="str">
        <f aca="false">IFERROR(IF([2]对账明细接口!$AD1138=0,"",[2]对账明细接口!$AD1138),"")</f>
        <v/>
      </c>
    </row>
    <row r="1138" customFormat="false" ht="13.5" hidden="false" customHeight="false" outlineLevel="0" collapsed="false">
      <c r="A1138" s="109" t="n">
        <v>1138</v>
      </c>
      <c r="B1138" s="110" t="str">
        <f aca="false">IFERROR(IF([2]对账明细接口!$B$1138=0,"",[2]对账明细接口!$B$1138),"")</f>
        <v/>
      </c>
      <c r="C1138" s="59" t="str">
        <f aca="false">IFERROR(IF([2]对账明细接口!$C$1138=0,"",[2]对账明细接口!$C$1138),"")</f>
        <v/>
      </c>
      <c r="D1138" s="59" t="str">
        <f aca="false">IFERROR(IF([2]对账明细接口!$D$1138=0,"",[2]对账明细接口!$D$1138),"")</f>
        <v/>
      </c>
      <c r="E1138" s="59" t="str">
        <f aca="false">IFERROR(IF([2]对账明细接口!$E$1138=0,"",[2]对账明细接口!$E$1138),"")</f>
        <v/>
      </c>
      <c r="F1138" s="59" t="str">
        <f aca="false">IFERROR(IF([2]对账明细接口!$F$1138=0,"",[2]对账明细接口!$F$1138),"")</f>
        <v/>
      </c>
      <c r="G1138" s="59" t="str">
        <f aca="false">IFERROR(IF([2]对账明细接口!$G$1138=0,"",[2]对账明细接口!$G$1138),"")</f>
        <v/>
      </c>
      <c r="H1138" s="60" t="str">
        <f aca="false">IFERROR(IF([2]对账明细接口!$H$1138=0,"",[2]对账明细接口!$H$1138),"")</f>
        <v/>
      </c>
      <c r="I1138" s="59" t="str">
        <f aca="false">IFERROR(IF([2]对账明细接口!$I$1138=0,"",[2]对账明细接口!$I$1138),"")</f>
        <v/>
      </c>
      <c r="J1138" s="61" t="str">
        <f aca="false">IFERROR(IF([2]对账明细接口!$J$1138=0,"",[2]对账明细接口!$J$1138),"")</f>
        <v/>
      </c>
      <c r="K1138" s="61" t="str">
        <f aca="false">IFERROR(IF([2]对账明细接口!$K$1138=0,"",[2]对账明细接口!$K$1138),"")</f>
        <v/>
      </c>
      <c r="L1138" s="59" t="str">
        <f aca="false">IFERROR(IF([2]对账明细接口!$L$1138=0,"",[2]对账明细接口!$L$1138),"")</f>
        <v/>
      </c>
      <c r="M1138" s="59" t="str">
        <f aca="false">IFERROR(IF([2]对账明细接口!$M$1138=0,"",[2]对账明细接口!$M$1138),"")</f>
        <v/>
      </c>
      <c r="N1138" s="111" t="n">
        <f aca="false">IF($C1138="",0,1)</f>
        <v>0</v>
      </c>
      <c r="O1138" s="111" t="n">
        <f aca="false">N(O1137)+$N1138</f>
        <v>311</v>
      </c>
      <c r="S1138" s="10" t="str">
        <f aca="false">IFERROR(IF([2]对账明细接口!$N1138=0,"",[2]对账明细接口!$N1138),"")</f>
        <v/>
      </c>
      <c r="T1138" s="112" t="str">
        <f aca="false">IFERROR(IF([2]对账明细接口!$O1138=0,"",[2]对账明细接口!$O1138),"")</f>
        <v/>
      </c>
      <c r="U1138" s="112" t="str">
        <f aca="false">IFERROR(IF([2]对账明细接口!$P1138=0,"",[2]对账明细接口!$P1138),"")</f>
        <v/>
      </c>
      <c r="V1138" s="112" t="str">
        <f aca="false">IFERROR(IF([2]对账明细接口!$Q1138=0,"",[2]对账明细接口!$Q1138),"")</f>
        <v/>
      </c>
      <c r="W1138" s="10" t="str">
        <f aca="false">IFERROR(IF([2]对账明细接口!$R1138=0,"",[2]对账明细接口!$R1138),"")</f>
        <v/>
      </c>
      <c r="X1138" s="10" t="str">
        <f aca="false">IFERROR(IF([2]对账明细接口!$S1138=0,"",[2]对账明细接口!$S1138),"")</f>
        <v/>
      </c>
      <c r="Y1138" s="10" t="str">
        <f aca="false">IFERROR(IF([2]对账明细接口!$T1138=0,"",[2]对账明细接口!$T1138),"")</f>
        <v/>
      </c>
      <c r="Z1138" s="113" t="str">
        <f aca="false">IFERROR(IF([2]对账明细接口!$U1138=0,"",[2]对账明细接口!$U1138),"")</f>
        <v/>
      </c>
      <c r="AA1138" s="113" t="str">
        <f aca="false">IFERROR(IF([2]对账明细接口!$V1138=0,"",[2]对账明细接口!$V1138),"")</f>
        <v/>
      </c>
      <c r="AB1138" s="10" t="str">
        <f aca="false">IFERROR(IF([2]对账明细接口!$W1138=0,"",[2]对账明细接口!$W1138),"")</f>
        <v/>
      </c>
      <c r="AC1138" s="90" t="str">
        <f aca="false">IFERROR(IF([2]对账明细接口!$X1139=0,"",[2]对账明细接口!$X1139),"")</f>
        <v/>
      </c>
      <c r="AD1138" s="90" t="str">
        <f aca="false">IFERROR(IF([2]对账明细接口!$Y1139=0,"",[2]对账明细接口!$Y1139),"")</f>
        <v/>
      </c>
      <c r="AE1138" s="90" t="str">
        <f aca="false">IFERROR(IF([2]对账明细接口!$AA1139=0,"",[2]对账明细接口!$AA1139),"")</f>
        <v/>
      </c>
      <c r="AF1138" s="90" t="str">
        <f aca="false">IFERROR(IF([2]对账明细接口!$AB1139=0,"",[2]对账明细接口!$AB1139),"")</f>
        <v/>
      </c>
      <c r="AG1138" s="90" t="str">
        <f aca="false">IFERROR(IF([2]对账明细接口!$AC1139=0,"",[2]对账明细接口!$AC1139),"")</f>
        <v/>
      </c>
      <c r="AH1138" s="90" t="str">
        <f aca="false">IFERROR(IF([2]对账明细接口!$AD1139=0,"",[2]对账明细接口!$AD1139),"")</f>
        <v/>
      </c>
    </row>
    <row r="1139" customFormat="false" ht="13.5" hidden="false" customHeight="false" outlineLevel="0" collapsed="false">
      <c r="A1139" s="109" t="n">
        <v>1139</v>
      </c>
      <c r="B1139" s="110" t="str">
        <f aca="false">IFERROR(IF([2]对账明细接口!$B$1139=0,"",[2]对账明细接口!$B$1139),"")</f>
        <v/>
      </c>
      <c r="C1139" s="59" t="str">
        <f aca="false">IFERROR(IF([2]对账明细接口!$C$1139=0,"",[2]对账明细接口!$C$1139),"")</f>
        <v/>
      </c>
      <c r="D1139" s="59" t="str">
        <f aca="false">IFERROR(IF([2]对账明细接口!$D$1139=0,"",[2]对账明细接口!$D$1139),"")</f>
        <v/>
      </c>
      <c r="E1139" s="59" t="str">
        <f aca="false">IFERROR(IF([2]对账明细接口!$E$1139=0,"",[2]对账明细接口!$E$1139),"")</f>
        <v/>
      </c>
      <c r="F1139" s="59" t="str">
        <f aca="false">IFERROR(IF([2]对账明细接口!$F$1139=0,"",[2]对账明细接口!$F$1139),"")</f>
        <v/>
      </c>
      <c r="G1139" s="59" t="str">
        <f aca="false">IFERROR(IF([2]对账明细接口!$G$1139=0,"",[2]对账明细接口!$G$1139),"")</f>
        <v/>
      </c>
      <c r="H1139" s="60" t="str">
        <f aca="false">IFERROR(IF([2]对账明细接口!$H$1139=0,"",[2]对账明细接口!$H$1139),"")</f>
        <v/>
      </c>
      <c r="I1139" s="59" t="str">
        <f aca="false">IFERROR(IF([2]对账明细接口!$I$1139=0,"",[2]对账明细接口!$I$1139),"")</f>
        <v/>
      </c>
      <c r="J1139" s="61" t="str">
        <f aca="false">IFERROR(IF([2]对账明细接口!$J$1139=0,"",[2]对账明细接口!$J$1139),"")</f>
        <v/>
      </c>
      <c r="K1139" s="61" t="str">
        <f aca="false">IFERROR(IF([2]对账明细接口!$K$1139=0,"",[2]对账明细接口!$K$1139),"")</f>
        <v/>
      </c>
      <c r="L1139" s="59" t="str">
        <f aca="false">IFERROR(IF([2]对账明细接口!$L$1139=0,"",[2]对账明细接口!$L$1139),"")</f>
        <v/>
      </c>
      <c r="M1139" s="59" t="str">
        <f aca="false">IFERROR(IF([2]对账明细接口!$M$1139=0,"",[2]对账明细接口!$M$1139),"")</f>
        <v/>
      </c>
      <c r="N1139" s="111" t="n">
        <f aca="false">IF($C1139="",0,1)</f>
        <v>0</v>
      </c>
      <c r="O1139" s="111" t="n">
        <f aca="false">N(O1138)+$N1139</f>
        <v>311</v>
      </c>
      <c r="S1139" s="10" t="str">
        <f aca="false">IFERROR(IF([2]对账明细接口!$N1139=0,"",[2]对账明细接口!$N1139),"")</f>
        <v/>
      </c>
      <c r="T1139" s="112" t="str">
        <f aca="false">IFERROR(IF([2]对账明细接口!$O1139=0,"",[2]对账明细接口!$O1139),"")</f>
        <v/>
      </c>
      <c r="U1139" s="112" t="str">
        <f aca="false">IFERROR(IF([2]对账明细接口!$P1139=0,"",[2]对账明细接口!$P1139),"")</f>
        <v/>
      </c>
      <c r="V1139" s="112" t="str">
        <f aca="false">IFERROR(IF([2]对账明细接口!$Q1139=0,"",[2]对账明细接口!$Q1139),"")</f>
        <v/>
      </c>
      <c r="W1139" s="10" t="str">
        <f aca="false">IFERROR(IF([2]对账明细接口!$R1139=0,"",[2]对账明细接口!$R1139),"")</f>
        <v/>
      </c>
      <c r="X1139" s="10" t="str">
        <f aca="false">IFERROR(IF([2]对账明细接口!$S1139=0,"",[2]对账明细接口!$S1139),"")</f>
        <v/>
      </c>
      <c r="Y1139" s="10" t="str">
        <f aca="false">IFERROR(IF([2]对账明细接口!$T1139=0,"",[2]对账明细接口!$T1139),"")</f>
        <v/>
      </c>
      <c r="Z1139" s="113" t="str">
        <f aca="false">IFERROR(IF([2]对账明细接口!$U1139=0,"",[2]对账明细接口!$U1139),"")</f>
        <v/>
      </c>
      <c r="AA1139" s="113" t="str">
        <f aca="false">IFERROR(IF([2]对账明细接口!$V1139=0,"",[2]对账明细接口!$V1139),"")</f>
        <v/>
      </c>
      <c r="AB1139" s="10" t="str">
        <f aca="false">IFERROR(IF([2]对账明细接口!$W1139=0,"",[2]对账明细接口!$W1139),"")</f>
        <v/>
      </c>
      <c r="AC1139" s="90" t="str">
        <f aca="false">IFERROR(IF([2]对账明细接口!$X1140=0,"",[2]对账明细接口!$X1140),"")</f>
        <v/>
      </c>
      <c r="AD1139" s="90" t="str">
        <f aca="false">IFERROR(IF([2]对账明细接口!$Y1140=0,"",[2]对账明细接口!$Y1140),"")</f>
        <v/>
      </c>
      <c r="AE1139" s="90" t="str">
        <f aca="false">IFERROR(IF([2]对账明细接口!$AA1140=0,"",[2]对账明细接口!$AA1140),"")</f>
        <v/>
      </c>
      <c r="AF1139" s="90" t="str">
        <f aca="false">IFERROR(IF([2]对账明细接口!$AB1140=0,"",[2]对账明细接口!$AB1140),"")</f>
        <v/>
      </c>
      <c r="AG1139" s="90" t="str">
        <f aca="false">IFERROR(IF([2]对账明细接口!$AC1140=0,"",[2]对账明细接口!$AC1140),"")</f>
        <v/>
      </c>
      <c r="AH1139" s="90" t="str">
        <f aca="false">IFERROR(IF([2]对账明细接口!$AD1140=0,"",[2]对账明细接口!$AD1140),"")</f>
        <v/>
      </c>
    </row>
    <row r="1140" customFormat="false" ht="13.5" hidden="false" customHeight="false" outlineLevel="0" collapsed="false">
      <c r="A1140" s="109" t="n">
        <v>1140</v>
      </c>
      <c r="B1140" s="110" t="str">
        <f aca="false">IFERROR(IF([2]对账明细接口!$B$1140=0,"",[2]对账明细接口!$B$1140),"")</f>
        <v/>
      </c>
      <c r="C1140" s="59" t="str">
        <f aca="false">IFERROR(IF([2]对账明细接口!$C$1140=0,"",[2]对账明细接口!$C$1140),"")</f>
        <v/>
      </c>
      <c r="D1140" s="59" t="str">
        <f aca="false">IFERROR(IF([2]对账明细接口!$D$1140=0,"",[2]对账明细接口!$D$1140),"")</f>
        <v/>
      </c>
      <c r="E1140" s="59" t="str">
        <f aca="false">IFERROR(IF([2]对账明细接口!$E$1140=0,"",[2]对账明细接口!$E$1140),"")</f>
        <v/>
      </c>
      <c r="F1140" s="59" t="str">
        <f aca="false">IFERROR(IF([2]对账明细接口!$F$1140=0,"",[2]对账明细接口!$F$1140),"")</f>
        <v/>
      </c>
      <c r="G1140" s="59" t="str">
        <f aca="false">IFERROR(IF([2]对账明细接口!$G$1140=0,"",[2]对账明细接口!$G$1140),"")</f>
        <v/>
      </c>
      <c r="H1140" s="60" t="str">
        <f aca="false">IFERROR(IF([2]对账明细接口!$H$1140=0,"",[2]对账明细接口!$H$1140),"")</f>
        <v/>
      </c>
      <c r="I1140" s="59" t="str">
        <f aca="false">IFERROR(IF([2]对账明细接口!$I$1140=0,"",[2]对账明细接口!$I$1140),"")</f>
        <v/>
      </c>
      <c r="J1140" s="61" t="str">
        <f aca="false">IFERROR(IF([2]对账明细接口!$J$1140=0,"",[2]对账明细接口!$J$1140),"")</f>
        <v/>
      </c>
      <c r="K1140" s="61" t="str">
        <f aca="false">IFERROR(IF([2]对账明细接口!$K$1140=0,"",[2]对账明细接口!$K$1140),"")</f>
        <v/>
      </c>
      <c r="L1140" s="59" t="str">
        <f aca="false">IFERROR(IF([2]对账明细接口!$L$1140=0,"",[2]对账明细接口!$L$1140),"")</f>
        <v/>
      </c>
      <c r="M1140" s="59" t="str">
        <f aca="false">IFERROR(IF([2]对账明细接口!$M$1140=0,"",[2]对账明细接口!$M$1140),"")</f>
        <v/>
      </c>
      <c r="N1140" s="111" t="n">
        <f aca="false">IF($C1140="",0,1)</f>
        <v>0</v>
      </c>
      <c r="O1140" s="111" t="n">
        <f aca="false">N(O1139)+$N1140</f>
        <v>311</v>
      </c>
      <c r="S1140" s="10" t="str">
        <f aca="false">IFERROR(IF([2]对账明细接口!$N1140=0,"",[2]对账明细接口!$N1140),"")</f>
        <v/>
      </c>
      <c r="T1140" s="112" t="str">
        <f aca="false">IFERROR(IF([2]对账明细接口!$O1140=0,"",[2]对账明细接口!$O1140),"")</f>
        <v/>
      </c>
      <c r="U1140" s="112" t="str">
        <f aca="false">IFERROR(IF([2]对账明细接口!$P1140=0,"",[2]对账明细接口!$P1140),"")</f>
        <v/>
      </c>
      <c r="V1140" s="112" t="str">
        <f aca="false">IFERROR(IF([2]对账明细接口!$Q1140=0,"",[2]对账明细接口!$Q1140),"")</f>
        <v/>
      </c>
      <c r="W1140" s="10" t="str">
        <f aca="false">IFERROR(IF([2]对账明细接口!$R1140=0,"",[2]对账明细接口!$R1140),"")</f>
        <v/>
      </c>
      <c r="X1140" s="10" t="str">
        <f aca="false">IFERROR(IF([2]对账明细接口!$S1140=0,"",[2]对账明细接口!$S1140),"")</f>
        <v/>
      </c>
      <c r="Y1140" s="10" t="str">
        <f aca="false">IFERROR(IF([2]对账明细接口!$T1140=0,"",[2]对账明细接口!$T1140),"")</f>
        <v/>
      </c>
      <c r="Z1140" s="113" t="str">
        <f aca="false">IFERROR(IF([2]对账明细接口!$U1140=0,"",[2]对账明细接口!$U1140),"")</f>
        <v/>
      </c>
      <c r="AA1140" s="113" t="str">
        <f aca="false">IFERROR(IF([2]对账明细接口!$V1140=0,"",[2]对账明细接口!$V1140),"")</f>
        <v/>
      </c>
      <c r="AB1140" s="10" t="str">
        <f aca="false">IFERROR(IF([2]对账明细接口!$W1140=0,"",[2]对账明细接口!$W1140),"")</f>
        <v/>
      </c>
      <c r="AC1140" s="90" t="str">
        <f aca="false">IFERROR(IF([2]对账明细接口!$X1141=0,"",[2]对账明细接口!$X1141),"")</f>
        <v/>
      </c>
      <c r="AD1140" s="90" t="str">
        <f aca="false">IFERROR(IF([2]对账明细接口!$Y1141=0,"",[2]对账明细接口!$Y1141),"")</f>
        <v/>
      </c>
      <c r="AE1140" s="90" t="str">
        <f aca="false">IFERROR(IF([2]对账明细接口!$AA1141=0,"",[2]对账明细接口!$AA1141),"")</f>
        <v/>
      </c>
      <c r="AF1140" s="90" t="str">
        <f aca="false">IFERROR(IF([2]对账明细接口!$AB1141=0,"",[2]对账明细接口!$AB1141),"")</f>
        <v/>
      </c>
      <c r="AG1140" s="90" t="str">
        <f aca="false">IFERROR(IF([2]对账明细接口!$AC1141=0,"",[2]对账明细接口!$AC1141),"")</f>
        <v/>
      </c>
      <c r="AH1140" s="90" t="str">
        <f aca="false">IFERROR(IF([2]对账明细接口!$AD1141=0,"",[2]对账明细接口!$AD1141),"")</f>
        <v/>
      </c>
    </row>
    <row r="1141" customFormat="false" ht="13.5" hidden="false" customHeight="false" outlineLevel="0" collapsed="false">
      <c r="A1141" s="109" t="n">
        <v>1141</v>
      </c>
      <c r="B1141" s="110" t="str">
        <f aca="false">IFERROR(IF([2]对账明细接口!$B$1141=0,"",[2]对账明细接口!$B$1141),"")</f>
        <v/>
      </c>
      <c r="C1141" s="59" t="str">
        <f aca="false">IFERROR(IF([2]对账明细接口!$C$1141=0,"",[2]对账明细接口!$C$1141),"")</f>
        <v/>
      </c>
      <c r="D1141" s="59" t="str">
        <f aca="false">IFERROR(IF([2]对账明细接口!$D$1141=0,"",[2]对账明细接口!$D$1141),"")</f>
        <v/>
      </c>
      <c r="E1141" s="59" t="str">
        <f aca="false">IFERROR(IF([2]对账明细接口!$E$1141=0,"",[2]对账明细接口!$E$1141),"")</f>
        <v/>
      </c>
      <c r="F1141" s="59" t="str">
        <f aca="false">IFERROR(IF([2]对账明细接口!$F$1141=0,"",[2]对账明细接口!$F$1141),"")</f>
        <v/>
      </c>
      <c r="G1141" s="59" t="str">
        <f aca="false">IFERROR(IF([2]对账明细接口!$G$1141=0,"",[2]对账明细接口!$G$1141),"")</f>
        <v/>
      </c>
      <c r="H1141" s="60" t="str">
        <f aca="false">IFERROR(IF([2]对账明细接口!$H$1141=0,"",[2]对账明细接口!$H$1141),"")</f>
        <v/>
      </c>
      <c r="I1141" s="59" t="str">
        <f aca="false">IFERROR(IF([2]对账明细接口!$I$1141=0,"",[2]对账明细接口!$I$1141),"")</f>
        <v/>
      </c>
      <c r="J1141" s="61" t="str">
        <f aca="false">IFERROR(IF([2]对账明细接口!$J$1141=0,"",[2]对账明细接口!$J$1141),"")</f>
        <v/>
      </c>
      <c r="K1141" s="61" t="str">
        <f aca="false">IFERROR(IF([2]对账明细接口!$K$1141=0,"",[2]对账明细接口!$K$1141),"")</f>
        <v/>
      </c>
      <c r="L1141" s="59" t="str">
        <f aca="false">IFERROR(IF([2]对账明细接口!$L$1141=0,"",[2]对账明细接口!$L$1141),"")</f>
        <v/>
      </c>
      <c r="M1141" s="59" t="str">
        <f aca="false">IFERROR(IF([2]对账明细接口!$M$1141=0,"",[2]对账明细接口!$M$1141),"")</f>
        <v/>
      </c>
      <c r="N1141" s="111" t="n">
        <f aca="false">IF($C1141="",0,1)</f>
        <v>0</v>
      </c>
      <c r="O1141" s="111" t="n">
        <f aca="false">N(O1140)+$N1141</f>
        <v>311</v>
      </c>
      <c r="S1141" s="10" t="str">
        <f aca="false">IFERROR(IF([2]对账明细接口!$N1141=0,"",[2]对账明细接口!$N1141),"")</f>
        <v/>
      </c>
      <c r="T1141" s="112" t="str">
        <f aca="false">IFERROR(IF([2]对账明细接口!$O1141=0,"",[2]对账明细接口!$O1141),"")</f>
        <v/>
      </c>
      <c r="U1141" s="112" t="str">
        <f aca="false">IFERROR(IF([2]对账明细接口!$P1141=0,"",[2]对账明细接口!$P1141),"")</f>
        <v/>
      </c>
      <c r="V1141" s="112" t="str">
        <f aca="false">IFERROR(IF([2]对账明细接口!$Q1141=0,"",[2]对账明细接口!$Q1141),"")</f>
        <v/>
      </c>
      <c r="W1141" s="10" t="str">
        <f aca="false">IFERROR(IF([2]对账明细接口!$R1141=0,"",[2]对账明细接口!$R1141),"")</f>
        <v/>
      </c>
      <c r="X1141" s="10" t="str">
        <f aca="false">IFERROR(IF([2]对账明细接口!$S1141=0,"",[2]对账明细接口!$S1141),"")</f>
        <v/>
      </c>
      <c r="Y1141" s="10" t="str">
        <f aca="false">IFERROR(IF([2]对账明细接口!$T1141=0,"",[2]对账明细接口!$T1141),"")</f>
        <v/>
      </c>
      <c r="Z1141" s="113" t="str">
        <f aca="false">IFERROR(IF([2]对账明细接口!$U1141=0,"",[2]对账明细接口!$U1141),"")</f>
        <v/>
      </c>
      <c r="AA1141" s="113" t="str">
        <f aca="false">IFERROR(IF([2]对账明细接口!$V1141=0,"",[2]对账明细接口!$V1141),"")</f>
        <v/>
      </c>
      <c r="AB1141" s="10" t="str">
        <f aca="false">IFERROR(IF([2]对账明细接口!$W1141=0,"",[2]对账明细接口!$W1141),"")</f>
        <v/>
      </c>
      <c r="AC1141" s="90" t="str">
        <f aca="false">IFERROR(IF([2]对账明细接口!$X1142=0,"",[2]对账明细接口!$X1142),"")</f>
        <v/>
      </c>
      <c r="AD1141" s="90" t="str">
        <f aca="false">IFERROR(IF([2]对账明细接口!$Y1142=0,"",[2]对账明细接口!$Y1142),"")</f>
        <v/>
      </c>
      <c r="AE1141" s="90" t="str">
        <f aca="false">IFERROR(IF([2]对账明细接口!$AA1142=0,"",[2]对账明细接口!$AA1142),"")</f>
        <v/>
      </c>
      <c r="AF1141" s="90" t="str">
        <f aca="false">IFERROR(IF([2]对账明细接口!$AB1142=0,"",[2]对账明细接口!$AB1142),"")</f>
        <v/>
      </c>
      <c r="AG1141" s="90" t="str">
        <f aca="false">IFERROR(IF([2]对账明细接口!$AC1142=0,"",[2]对账明细接口!$AC1142),"")</f>
        <v/>
      </c>
      <c r="AH1141" s="90" t="str">
        <f aca="false">IFERROR(IF([2]对账明细接口!$AD1142=0,"",[2]对账明细接口!$AD1142),"")</f>
        <v/>
      </c>
    </row>
    <row r="1142" customFormat="false" ht="13.5" hidden="false" customHeight="false" outlineLevel="0" collapsed="false">
      <c r="A1142" s="109" t="n">
        <v>1142</v>
      </c>
      <c r="B1142" s="110" t="str">
        <f aca="false">IFERROR(IF([2]对账明细接口!$B$1142=0,"",[2]对账明细接口!$B$1142),"")</f>
        <v/>
      </c>
      <c r="C1142" s="59" t="str">
        <f aca="false">IFERROR(IF([2]对账明细接口!$C$1142=0,"",[2]对账明细接口!$C$1142),"")</f>
        <v/>
      </c>
      <c r="D1142" s="59" t="str">
        <f aca="false">IFERROR(IF([2]对账明细接口!$D$1142=0,"",[2]对账明细接口!$D$1142),"")</f>
        <v/>
      </c>
      <c r="E1142" s="59" t="str">
        <f aca="false">IFERROR(IF([2]对账明细接口!$E$1142=0,"",[2]对账明细接口!$E$1142),"")</f>
        <v/>
      </c>
      <c r="F1142" s="59" t="str">
        <f aca="false">IFERROR(IF([2]对账明细接口!$F$1142=0,"",[2]对账明细接口!$F$1142),"")</f>
        <v/>
      </c>
      <c r="G1142" s="59" t="str">
        <f aca="false">IFERROR(IF([2]对账明细接口!$G$1142=0,"",[2]对账明细接口!$G$1142),"")</f>
        <v/>
      </c>
      <c r="H1142" s="60" t="str">
        <f aca="false">IFERROR(IF([2]对账明细接口!$H$1142=0,"",[2]对账明细接口!$H$1142),"")</f>
        <v/>
      </c>
      <c r="I1142" s="59" t="str">
        <f aca="false">IFERROR(IF([2]对账明细接口!$I$1142=0,"",[2]对账明细接口!$I$1142),"")</f>
        <v/>
      </c>
      <c r="J1142" s="61" t="str">
        <f aca="false">IFERROR(IF([2]对账明细接口!$J$1142=0,"",[2]对账明细接口!$J$1142),"")</f>
        <v/>
      </c>
      <c r="K1142" s="61" t="str">
        <f aca="false">IFERROR(IF([2]对账明细接口!$K$1142=0,"",[2]对账明细接口!$K$1142),"")</f>
        <v/>
      </c>
      <c r="L1142" s="59" t="str">
        <f aca="false">IFERROR(IF([2]对账明细接口!$L$1142=0,"",[2]对账明细接口!$L$1142),"")</f>
        <v/>
      </c>
      <c r="M1142" s="59" t="str">
        <f aca="false">IFERROR(IF([2]对账明细接口!$M$1142=0,"",[2]对账明细接口!$M$1142),"")</f>
        <v/>
      </c>
      <c r="N1142" s="111" t="n">
        <f aca="false">IF($C1142="",0,1)</f>
        <v>0</v>
      </c>
      <c r="O1142" s="111" t="n">
        <f aca="false">N(O1141)+$N1142</f>
        <v>311</v>
      </c>
      <c r="S1142" s="10" t="str">
        <f aca="false">IFERROR(IF([2]对账明细接口!$N1142=0,"",[2]对账明细接口!$N1142),"")</f>
        <v/>
      </c>
      <c r="T1142" s="112" t="str">
        <f aca="false">IFERROR(IF([2]对账明细接口!$O1142=0,"",[2]对账明细接口!$O1142),"")</f>
        <v/>
      </c>
      <c r="U1142" s="112" t="str">
        <f aca="false">IFERROR(IF([2]对账明细接口!$P1142=0,"",[2]对账明细接口!$P1142),"")</f>
        <v/>
      </c>
      <c r="V1142" s="112" t="str">
        <f aca="false">IFERROR(IF([2]对账明细接口!$Q1142=0,"",[2]对账明细接口!$Q1142),"")</f>
        <v/>
      </c>
      <c r="W1142" s="10" t="str">
        <f aca="false">IFERROR(IF([2]对账明细接口!$R1142=0,"",[2]对账明细接口!$R1142),"")</f>
        <v/>
      </c>
      <c r="X1142" s="10" t="str">
        <f aca="false">IFERROR(IF([2]对账明细接口!$S1142=0,"",[2]对账明细接口!$S1142),"")</f>
        <v/>
      </c>
      <c r="Y1142" s="10" t="str">
        <f aca="false">IFERROR(IF([2]对账明细接口!$T1142=0,"",[2]对账明细接口!$T1142),"")</f>
        <v/>
      </c>
      <c r="Z1142" s="113" t="str">
        <f aca="false">IFERROR(IF([2]对账明细接口!$U1142=0,"",[2]对账明细接口!$U1142),"")</f>
        <v/>
      </c>
      <c r="AA1142" s="113" t="str">
        <f aca="false">IFERROR(IF([2]对账明细接口!$V1142=0,"",[2]对账明细接口!$V1142),"")</f>
        <v/>
      </c>
      <c r="AB1142" s="10" t="str">
        <f aca="false">IFERROR(IF([2]对账明细接口!$W1142=0,"",[2]对账明细接口!$W1142),"")</f>
        <v/>
      </c>
      <c r="AC1142" s="90" t="str">
        <f aca="false">IFERROR(IF([2]对账明细接口!$X1143=0,"",[2]对账明细接口!$X1143),"")</f>
        <v/>
      </c>
      <c r="AD1142" s="90" t="str">
        <f aca="false">IFERROR(IF([2]对账明细接口!$Y1143=0,"",[2]对账明细接口!$Y1143),"")</f>
        <v/>
      </c>
      <c r="AE1142" s="90" t="str">
        <f aca="false">IFERROR(IF([2]对账明细接口!$AA1143=0,"",[2]对账明细接口!$AA1143),"")</f>
        <v/>
      </c>
      <c r="AF1142" s="90" t="str">
        <f aca="false">IFERROR(IF([2]对账明细接口!$AB1143=0,"",[2]对账明细接口!$AB1143),"")</f>
        <v/>
      </c>
      <c r="AG1142" s="90" t="str">
        <f aca="false">IFERROR(IF([2]对账明细接口!$AC1143=0,"",[2]对账明细接口!$AC1143),"")</f>
        <v/>
      </c>
      <c r="AH1142" s="90" t="str">
        <f aca="false">IFERROR(IF([2]对账明细接口!$AD1143=0,"",[2]对账明细接口!$AD1143),"")</f>
        <v/>
      </c>
    </row>
    <row r="1143" customFormat="false" ht="13.5" hidden="false" customHeight="false" outlineLevel="0" collapsed="false">
      <c r="A1143" s="109" t="n">
        <v>1143</v>
      </c>
      <c r="B1143" s="110" t="str">
        <f aca="false">IFERROR(IF([2]对账明细接口!$B$1143=0,"",[2]对账明细接口!$B$1143),"")</f>
        <v/>
      </c>
      <c r="C1143" s="59" t="str">
        <f aca="false">IFERROR(IF([2]对账明细接口!$C$1143=0,"",[2]对账明细接口!$C$1143),"")</f>
        <v/>
      </c>
      <c r="D1143" s="59" t="str">
        <f aca="false">IFERROR(IF([2]对账明细接口!$D$1143=0,"",[2]对账明细接口!$D$1143),"")</f>
        <v/>
      </c>
      <c r="E1143" s="59" t="str">
        <f aca="false">IFERROR(IF([2]对账明细接口!$E$1143=0,"",[2]对账明细接口!$E$1143),"")</f>
        <v/>
      </c>
      <c r="F1143" s="59" t="str">
        <f aca="false">IFERROR(IF([2]对账明细接口!$F$1143=0,"",[2]对账明细接口!$F$1143),"")</f>
        <v/>
      </c>
      <c r="G1143" s="59" t="str">
        <f aca="false">IFERROR(IF([2]对账明细接口!$G$1143=0,"",[2]对账明细接口!$G$1143),"")</f>
        <v/>
      </c>
      <c r="H1143" s="60" t="str">
        <f aca="false">IFERROR(IF([2]对账明细接口!$H$1143=0,"",[2]对账明细接口!$H$1143),"")</f>
        <v/>
      </c>
      <c r="I1143" s="59" t="str">
        <f aca="false">IFERROR(IF([2]对账明细接口!$I$1143=0,"",[2]对账明细接口!$I$1143),"")</f>
        <v/>
      </c>
      <c r="J1143" s="61" t="str">
        <f aca="false">IFERROR(IF([2]对账明细接口!$J$1143=0,"",[2]对账明细接口!$J$1143),"")</f>
        <v/>
      </c>
      <c r="K1143" s="61" t="str">
        <f aca="false">IFERROR(IF([2]对账明细接口!$K$1143=0,"",[2]对账明细接口!$K$1143),"")</f>
        <v/>
      </c>
      <c r="L1143" s="59" t="str">
        <f aca="false">IFERROR(IF([2]对账明细接口!$L$1143=0,"",[2]对账明细接口!$L$1143),"")</f>
        <v/>
      </c>
      <c r="M1143" s="59" t="str">
        <f aca="false">IFERROR(IF([2]对账明细接口!$M$1143=0,"",[2]对账明细接口!$M$1143),"")</f>
        <v/>
      </c>
      <c r="N1143" s="111" t="n">
        <f aca="false">IF($C1143="",0,1)</f>
        <v>0</v>
      </c>
      <c r="O1143" s="111" t="n">
        <f aca="false">N(O1142)+$N1143</f>
        <v>311</v>
      </c>
      <c r="S1143" s="10" t="str">
        <f aca="false">IFERROR(IF([2]对账明细接口!$N1143=0,"",[2]对账明细接口!$N1143),"")</f>
        <v/>
      </c>
      <c r="T1143" s="112" t="str">
        <f aca="false">IFERROR(IF([2]对账明细接口!$O1143=0,"",[2]对账明细接口!$O1143),"")</f>
        <v/>
      </c>
      <c r="U1143" s="112" t="str">
        <f aca="false">IFERROR(IF([2]对账明细接口!$P1143=0,"",[2]对账明细接口!$P1143),"")</f>
        <v/>
      </c>
      <c r="V1143" s="112" t="str">
        <f aca="false">IFERROR(IF([2]对账明细接口!$Q1143=0,"",[2]对账明细接口!$Q1143),"")</f>
        <v/>
      </c>
      <c r="W1143" s="10" t="str">
        <f aca="false">IFERROR(IF([2]对账明细接口!$R1143=0,"",[2]对账明细接口!$R1143),"")</f>
        <v/>
      </c>
      <c r="X1143" s="10" t="str">
        <f aca="false">IFERROR(IF([2]对账明细接口!$S1143=0,"",[2]对账明细接口!$S1143),"")</f>
        <v/>
      </c>
      <c r="Y1143" s="10" t="str">
        <f aca="false">IFERROR(IF([2]对账明细接口!$T1143=0,"",[2]对账明细接口!$T1143),"")</f>
        <v/>
      </c>
      <c r="Z1143" s="113" t="str">
        <f aca="false">IFERROR(IF([2]对账明细接口!$U1143=0,"",[2]对账明细接口!$U1143),"")</f>
        <v/>
      </c>
      <c r="AA1143" s="113" t="str">
        <f aca="false">IFERROR(IF([2]对账明细接口!$V1143=0,"",[2]对账明细接口!$V1143),"")</f>
        <v/>
      </c>
      <c r="AB1143" s="10" t="str">
        <f aca="false">IFERROR(IF([2]对账明细接口!$W1143=0,"",[2]对账明细接口!$W1143),"")</f>
        <v/>
      </c>
      <c r="AC1143" s="90" t="str">
        <f aca="false">IFERROR(IF([2]对账明细接口!$X1144=0,"",[2]对账明细接口!$X1144),"")</f>
        <v/>
      </c>
      <c r="AD1143" s="90" t="str">
        <f aca="false">IFERROR(IF([2]对账明细接口!$Y1144=0,"",[2]对账明细接口!$Y1144),"")</f>
        <v/>
      </c>
      <c r="AE1143" s="90" t="str">
        <f aca="false">IFERROR(IF([2]对账明细接口!$AA1144=0,"",[2]对账明细接口!$AA1144),"")</f>
        <v/>
      </c>
      <c r="AF1143" s="90" t="str">
        <f aca="false">IFERROR(IF([2]对账明细接口!$AB1144=0,"",[2]对账明细接口!$AB1144),"")</f>
        <v/>
      </c>
      <c r="AG1143" s="90" t="str">
        <f aca="false">IFERROR(IF([2]对账明细接口!$AC1144=0,"",[2]对账明细接口!$AC1144),"")</f>
        <v/>
      </c>
      <c r="AH1143" s="90" t="str">
        <f aca="false">IFERROR(IF([2]对账明细接口!$AD1144=0,"",[2]对账明细接口!$AD1144),"")</f>
        <v/>
      </c>
    </row>
    <row r="1144" customFormat="false" ht="13.5" hidden="false" customHeight="false" outlineLevel="0" collapsed="false">
      <c r="A1144" s="109" t="n">
        <v>1144</v>
      </c>
      <c r="B1144" s="110" t="str">
        <f aca="false">IFERROR(IF([2]对账明细接口!$B$1144=0,"",[2]对账明细接口!$B$1144),"")</f>
        <v/>
      </c>
      <c r="C1144" s="59" t="str">
        <f aca="false">IFERROR(IF([2]对账明细接口!$C$1144=0,"",[2]对账明细接口!$C$1144),"")</f>
        <v/>
      </c>
      <c r="D1144" s="59" t="str">
        <f aca="false">IFERROR(IF([2]对账明细接口!$D$1144=0,"",[2]对账明细接口!$D$1144),"")</f>
        <v/>
      </c>
      <c r="E1144" s="59" t="str">
        <f aca="false">IFERROR(IF([2]对账明细接口!$E$1144=0,"",[2]对账明细接口!$E$1144),"")</f>
        <v/>
      </c>
      <c r="F1144" s="59" t="str">
        <f aca="false">IFERROR(IF([2]对账明细接口!$F$1144=0,"",[2]对账明细接口!$F$1144),"")</f>
        <v/>
      </c>
      <c r="G1144" s="59" t="str">
        <f aca="false">IFERROR(IF([2]对账明细接口!$G$1144=0,"",[2]对账明细接口!$G$1144),"")</f>
        <v/>
      </c>
      <c r="H1144" s="60" t="str">
        <f aca="false">IFERROR(IF([2]对账明细接口!$H$1144=0,"",[2]对账明细接口!$H$1144),"")</f>
        <v/>
      </c>
      <c r="I1144" s="59" t="str">
        <f aca="false">IFERROR(IF([2]对账明细接口!$I$1144=0,"",[2]对账明细接口!$I$1144),"")</f>
        <v/>
      </c>
      <c r="J1144" s="61" t="str">
        <f aca="false">IFERROR(IF([2]对账明细接口!$J$1144=0,"",[2]对账明细接口!$J$1144),"")</f>
        <v/>
      </c>
      <c r="K1144" s="61" t="str">
        <f aca="false">IFERROR(IF([2]对账明细接口!$K$1144=0,"",[2]对账明细接口!$K$1144),"")</f>
        <v/>
      </c>
      <c r="L1144" s="59" t="str">
        <f aca="false">IFERROR(IF([2]对账明细接口!$L$1144=0,"",[2]对账明细接口!$L$1144),"")</f>
        <v/>
      </c>
      <c r="M1144" s="59" t="str">
        <f aca="false">IFERROR(IF([2]对账明细接口!$M$1144=0,"",[2]对账明细接口!$M$1144),"")</f>
        <v/>
      </c>
      <c r="N1144" s="111" t="n">
        <f aca="false">IF($C1144="",0,1)</f>
        <v>0</v>
      </c>
      <c r="O1144" s="111" t="n">
        <f aca="false">N(O1143)+$N1144</f>
        <v>311</v>
      </c>
      <c r="S1144" s="10" t="str">
        <f aca="false">IFERROR(IF([2]对账明细接口!$N1144=0,"",[2]对账明细接口!$N1144),"")</f>
        <v/>
      </c>
      <c r="T1144" s="112" t="str">
        <f aca="false">IFERROR(IF([2]对账明细接口!$O1144=0,"",[2]对账明细接口!$O1144),"")</f>
        <v/>
      </c>
      <c r="U1144" s="112" t="str">
        <f aca="false">IFERROR(IF([2]对账明细接口!$P1144=0,"",[2]对账明细接口!$P1144),"")</f>
        <v/>
      </c>
      <c r="V1144" s="112" t="str">
        <f aca="false">IFERROR(IF([2]对账明细接口!$Q1144=0,"",[2]对账明细接口!$Q1144),"")</f>
        <v/>
      </c>
      <c r="W1144" s="10" t="str">
        <f aca="false">IFERROR(IF([2]对账明细接口!$R1144=0,"",[2]对账明细接口!$R1144),"")</f>
        <v/>
      </c>
      <c r="X1144" s="10" t="str">
        <f aca="false">IFERROR(IF([2]对账明细接口!$S1144=0,"",[2]对账明细接口!$S1144),"")</f>
        <v/>
      </c>
      <c r="Y1144" s="10" t="str">
        <f aca="false">IFERROR(IF([2]对账明细接口!$T1144=0,"",[2]对账明细接口!$T1144),"")</f>
        <v/>
      </c>
      <c r="Z1144" s="113" t="str">
        <f aca="false">IFERROR(IF([2]对账明细接口!$U1144=0,"",[2]对账明细接口!$U1144),"")</f>
        <v/>
      </c>
      <c r="AA1144" s="113" t="str">
        <f aca="false">IFERROR(IF([2]对账明细接口!$V1144=0,"",[2]对账明细接口!$V1144),"")</f>
        <v/>
      </c>
      <c r="AB1144" s="10" t="str">
        <f aca="false">IFERROR(IF([2]对账明细接口!$W1144=0,"",[2]对账明细接口!$W1144),"")</f>
        <v/>
      </c>
      <c r="AC1144" s="90" t="str">
        <f aca="false">IFERROR(IF([2]对账明细接口!$X1145=0,"",[2]对账明细接口!$X1145),"")</f>
        <v/>
      </c>
      <c r="AD1144" s="90" t="str">
        <f aca="false">IFERROR(IF([2]对账明细接口!$Y1145=0,"",[2]对账明细接口!$Y1145),"")</f>
        <v/>
      </c>
      <c r="AE1144" s="90" t="str">
        <f aca="false">IFERROR(IF([2]对账明细接口!$AA1145=0,"",[2]对账明细接口!$AA1145),"")</f>
        <v/>
      </c>
      <c r="AF1144" s="90" t="str">
        <f aca="false">IFERROR(IF([2]对账明细接口!$AB1145=0,"",[2]对账明细接口!$AB1145),"")</f>
        <v/>
      </c>
      <c r="AG1144" s="90" t="str">
        <f aca="false">IFERROR(IF([2]对账明细接口!$AC1145=0,"",[2]对账明细接口!$AC1145),"")</f>
        <v/>
      </c>
      <c r="AH1144" s="90" t="str">
        <f aca="false">IFERROR(IF([2]对账明细接口!$AD1145=0,"",[2]对账明细接口!$AD1145),"")</f>
        <v/>
      </c>
    </row>
    <row r="1145" customFormat="false" ht="13.5" hidden="false" customHeight="false" outlineLevel="0" collapsed="false">
      <c r="A1145" s="109" t="n">
        <v>1145</v>
      </c>
      <c r="B1145" s="110" t="str">
        <f aca="false">IFERROR(IF([2]对账明细接口!$B$1145=0,"",[2]对账明细接口!$B$1145),"")</f>
        <v/>
      </c>
      <c r="C1145" s="59" t="str">
        <f aca="false">IFERROR(IF([2]对账明细接口!$C$1145=0,"",[2]对账明细接口!$C$1145),"")</f>
        <v/>
      </c>
      <c r="D1145" s="59" t="str">
        <f aca="false">IFERROR(IF([2]对账明细接口!$D$1145=0,"",[2]对账明细接口!$D$1145),"")</f>
        <v/>
      </c>
      <c r="E1145" s="59" t="str">
        <f aca="false">IFERROR(IF([2]对账明细接口!$E$1145=0,"",[2]对账明细接口!$E$1145),"")</f>
        <v/>
      </c>
      <c r="F1145" s="59" t="str">
        <f aca="false">IFERROR(IF([2]对账明细接口!$F$1145=0,"",[2]对账明细接口!$F$1145),"")</f>
        <v/>
      </c>
      <c r="G1145" s="59" t="str">
        <f aca="false">IFERROR(IF([2]对账明细接口!$G$1145=0,"",[2]对账明细接口!$G$1145),"")</f>
        <v/>
      </c>
      <c r="H1145" s="60" t="str">
        <f aca="false">IFERROR(IF([2]对账明细接口!$H$1145=0,"",[2]对账明细接口!$H$1145),"")</f>
        <v/>
      </c>
      <c r="I1145" s="59" t="str">
        <f aca="false">IFERROR(IF([2]对账明细接口!$I$1145=0,"",[2]对账明细接口!$I$1145),"")</f>
        <v/>
      </c>
      <c r="J1145" s="61" t="str">
        <f aca="false">IFERROR(IF([2]对账明细接口!$J$1145=0,"",[2]对账明细接口!$J$1145),"")</f>
        <v/>
      </c>
      <c r="K1145" s="61" t="str">
        <f aca="false">IFERROR(IF([2]对账明细接口!$K$1145=0,"",[2]对账明细接口!$K$1145),"")</f>
        <v/>
      </c>
      <c r="L1145" s="59" t="str">
        <f aca="false">IFERROR(IF([2]对账明细接口!$L$1145=0,"",[2]对账明细接口!$L$1145),"")</f>
        <v/>
      </c>
      <c r="M1145" s="59" t="str">
        <f aca="false">IFERROR(IF([2]对账明细接口!$M$1145=0,"",[2]对账明细接口!$M$1145),"")</f>
        <v/>
      </c>
      <c r="N1145" s="111" t="n">
        <f aca="false">IF($C1145="",0,1)</f>
        <v>0</v>
      </c>
      <c r="O1145" s="111" t="n">
        <f aca="false">N(O1144)+$N1145</f>
        <v>311</v>
      </c>
      <c r="S1145" s="10" t="str">
        <f aca="false">IFERROR(IF([2]对账明细接口!$N1145=0,"",[2]对账明细接口!$N1145),"")</f>
        <v/>
      </c>
      <c r="T1145" s="112" t="str">
        <f aca="false">IFERROR(IF([2]对账明细接口!$O1145=0,"",[2]对账明细接口!$O1145),"")</f>
        <v/>
      </c>
      <c r="U1145" s="112" t="str">
        <f aca="false">IFERROR(IF([2]对账明细接口!$P1145=0,"",[2]对账明细接口!$P1145),"")</f>
        <v/>
      </c>
      <c r="V1145" s="112" t="str">
        <f aca="false">IFERROR(IF([2]对账明细接口!$Q1145=0,"",[2]对账明细接口!$Q1145),"")</f>
        <v/>
      </c>
      <c r="W1145" s="10" t="str">
        <f aca="false">IFERROR(IF([2]对账明细接口!$R1145=0,"",[2]对账明细接口!$R1145),"")</f>
        <v/>
      </c>
      <c r="X1145" s="10" t="str">
        <f aca="false">IFERROR(IF([2]对账明细接口!$S1145=0,"",[2]对账明细接口!$S1145),"")</f>
        <v/>
      </c>
      <c r="Y1145" s="10" t="str">
        <f aca="false">IFERROR(IF([2]对账明细接口!$T1145=0,"",[2]对账明细接口!$T1145),"")</f>
        <v/>
      </c>
      <c r="Z1145" s="113" t="str">
        <f aca="false">IFERROR(IF([2]对账明细接口!$U1145=0,"",[2]对账明细接口!$U1145),"")</f>
        <v/>
      </c>
      <c r="AA1145" s="113" t="str">
        <f aca="false">IFERROR(IF([2]对账明细接口!$V1145=0,"",[2]对账明细接口!$V1145),"")</f>
        <v/>
      </c>
      <c r="AB1145" s="10" t="str">
        <f aca="false">IFERROR(IF([2]对账明细接口!$W1145=0,"",[2]对账明细接口!$W1145),"")</f>
        <v/>
      </c>
      <c r="AC1145" s="90" t="str">
        <f aca="false">IFERROR(IF([2]对账明细接口!$X1146=0,"",[2]对账明细接口!$X1146),"")</f>
        <v/>
      </c>
      <c r="AD1145" s="90" t="str">
        <f aca="false">IFERROR(IF([2]对账明细接口!$Y1146=0,"",[2]对账明细接口!$Y1146),"")</f>
        <v/>
      </c>
      <c r="AE1145" s="90" t="str">
        <f aca="false">IFERROR(IF([2]对账明细接口!$AA1146=0,"",[2]对账明细接口!$AA1146),"")</f>
        <v/>
      </c>
      <c r="AF1145" s="90" t="str">
        <f aca="false">IFERROR(IF([2]对账明细接口!$AB1146=0,"",[2]对账明细接口!$AB1146),"")</f>
        <v/>
      </c>
      <c r="AG1145" s="90" t="str">
        <f aca="false">IFERROR(IF([2]对账明细接口!$AC1146=0,"",[2]对账明细接口!$AC1146),"")</f>
        <v/>
      </c>
      <c r="AH1145" s="90" t="str">
        <f aca="false">IFERROR(IF([2]对账明细接口!$AD1146=0,"",[2]对账明细接口!$AD1146),"")</f>
        <v/>
      </c>
    </row>
    <row r="1146" customFormat="false" ht="13.5" hidden="false" customHeight="false" outlineLevel="0" collapsed="false">
      <c r="A1146" s="109" t="n">
        <v>1146</v>
      </c>
      <c r="B1146" s="110" t="str">
        <f aca="false">IFERROR(IF([2]对账明细接口!$B$1146=0,"",[2]对账明细接口!$B$1146),"")</f>
        <v/>
      </c>
      <c r="C1146" s="59" t="str">
        <f aca="false">IFERROR(IF([2]对账明细接口!$C$1146=0,"",[2]对账明细接口!$C$1146),"")</f>
        <v/>
      </c>
      <c r="D1146" s="59" t="str">
        <f aca="false">IFERROR(IF([2]对账明细接口!$D$1146=0,"",[2]对账明细接口!$D$1146),"")</f>
        <v/>
      </c>
      <c r="E1146" s="59" t="str">
        <f aca="false">IFERROR(IF([2]对账明细接口!$E$1146=0,"",[2]对账明细接口!$E$1146),"")</f>
        <v/>
      </c>
      <c r="F1146" s="59" t="str">
        <f aca="false">IFERROR(IF([2]对账明细接口!$F$1146=0,"",[2]对账明细接口!$F$1146),"")</f>
        <v/>
      </c>
      <c r="G1146" s="59" t="str">
        <f aca="false">IFERROR(IF([2]对账明细接口!$G$1146=0,"",[2]对账明细接口!$G$1146),"")</f>
        <v/>
      </c>
      <c r="H1146" s="60" t="str">
        <f aca="false">IFERROR(IF([2]对账明细接口!$H$1146=0,"",[2]对账明细接口!$H$1146),"")</f>
        <v/>
      </c>
      <c r="I1146" s="59" t="str">
        <f aca="false">IFERROR(IF([2]对账明细接口!$I$1146=0,"",[2]对账明细接口!$I$1146),"")</f>
        <v/>
      </c>
      <c r="J1146" s="61" t="str">
        <f aca="false">IFERROR(IF([2]对账明细接口!$J$1146=0,"",[2]对账明细接口!$J$1146),"")</f>
        <v/>
      </c>
      <c r="K1146" s="61" t="str">
        <f aca="false">IFERROR(IF([2]对账明细接口!$K$1146=0,"",[2]对账明细接口!$K$1146),"")</f>
        <v/>
      </c>
      <c r="L1146" s="59" t="str">
        <f aca="false">IFERROR(IF([2]对账明细接口!$L$1146=0,"",[2]对账明细接口!$L$1146),"")</f>
        <v/>
      </c>
      <c r="M1146" s="59" t="str">
        <f aca="false">IFERROR(IF([2]对账明细接口!$M$1146=0,"",[2]对账明细接口!$M$1146),"")</f>
        <v/>
      </c>
      <c r="N1146" s="111" t="n">
        <f aca="false">IF($C1146="",0,1)</f>
        <v>0</v>
      </c>
      <c r="O1146" s="111" t="n">
        <f aca="false">N(O1145)+$N1146</f>
        <v>311</v>
      </c>
      <c r="S1146" s="10" t="str">
        <f aca="false">IFERROR(IF([2]对账明细接口!$N1146=0,"",[2]对账明细接口!$N1146),"")</f>
        <v/>
      </c>
      <c r="T1146" s="112" t="str">
        <f aca="false">IFERROR(IF([2]对账明细接口!$O1146=0,"",[2]对账明细接口!$O1146),"")</f>
        <v/>
      </c>
      <c r="U1146" s="112" t="str">
        <f aca="false">IFERROR(IF([2]对账明细接口!$P1146=0,"",[2]对账明细接口!$P1146),"")</f>
        <v/>
      </c>
      <c r="V1146" s="112" t="str">
        <f aca="false">IFERROR(IF([2]对账明细接口!$Q1146=0,"",[2]对账明细接口!$Q1146),"")</f>
        <v/>
      </c>
      <c r="W1146" s="10" t="str">
        <f aca="false">IFERROR(IF([2]对账明细接口!$R1146=0,"",[2]对账明细接口!$R1146),"")</f>
        <v/>
      </c>
      <c r="X1146" s="10" t="str">
        <f aca="false">IFERROR(IF([2]对账明细接口!$S1146=0,"",[2]对账明细接口!$S1146),"")</f>
        <v/>
      </c>
      <c r="Y1146" s="10" t="str">
        <f aca="false">IFERROR(IF([2]对账明细接口!$T1146=0,"",[2]对账明细接口!$T1146),"")</f>
        <v/>
      </c>
      <c r="Z1146" s="113" t="str">
        <f aca="false">IFERROR(IF([2]对账明细接口!$U1146=0,"",[2]对账明细接口!$U1146),"")</f>
        <v/>
      </c>
      <c r="AA1146" s="113" t="str">
        <f aca="false">IFERROR(IF([2]对账明细接口!$V1146=0,"",[2]对账明细接口!$V1146),"")</f>
        <v/>
      </c>
      <c r="AB1146" s="10" t="str">
        <f aca="false">IFERROR(IF([2]对账明细接口!$W1146=0,"",[2]对账明细接口!$W1146),"")</f>
        <v/>
      </c>
      <c r="AC1146" s="90" t="str">
        <f aca="false">IFERROR(IF([2]对账明细接口!$X1147=0,"",[2]对账明细接口!$X1147),"")</f>
        <v/>
      </c>
      <c r="AD1146" s="90" t="str">
        <f aca="false">IFERROR(IF([2]对账明细接口!$Y1147=0,"",[2]对账明细接口!$Y1147),"")</f>
        <v/>
      </c>
      <c r="AE1146" s="90" t="str">
        <f aca="false">IFERROR(IF([2]对账明细接口!$AA1147=0,"",[2]对账明细接口!$AA1147),"")</f>
        <v/>
      </c>
      <c r="AF1146" s="90" t="str">
        <f aca="false">IFERROR(IF([2]对账明细接口!$AB1147=0,"",[2]对账明细接口!$AB1147),"")</f>
        <v/>
      </c>
      <c r="AG1146" s="90" t="str">
        <f aca="false">IFERROR(IF([2]对账明细接口!$AC1147=0,"",[2]对账明细接口!$AC1147),"")</f>
        <v/>
      </c>
      <c r="AH1146" s="90" t="str">
        <f aca="false">IFERROR(IF([2]对账明细接口!$AD1147=0,"",[2]对账明细接口!$AD1147),"")</f>
        <v/>
      </c>
    </row>
    <row r="1147" customFormat="false" ht="13.5" hidden="false" customHeight="false" outlineLevel="0" collapsed="false">
      <c r="A1147" s="109" t="n">
        <v>1147</v>
      </c>
      <c r="B1147" s="110" t="str">
        <f aca="false">IFERROR(IF([2]对账明细接口!$B$1147=0,"",[2]对账明细接口!$B$1147),"")</f>
        <v/>
      </c>
      <c r="C1147" s="59" t="str">
        <f aca="false">IFERROR(IF([2]对账明细接口!$C$1147=0,"",[2]对账明细接口!$C$1147),"")</f>
        <v/>
      </c>
      <c r="D1147" s="59" t="str">
        <f aca="false">IFERROR(IF([2]对账明细接口!$D$1147=0,"",[2]对账明细接口!$D$1147),"")</f>
        <v/>
      </c>
      <c r="E1147" s="59" t="str">
        <f aca="false">IFERROR(IF([2]对账明细接口!$E$1147=0,"",[2]对账明细接口!$E$1147),"")</f>
        <v/>
      </c>
      <c r="F1147" s="59" t="str">
        <f aca="false">IFERROR(IF([2]对账明细接口!$F$1147=0,"",[2]对账明细接口!$F$1147),"")</f>
        <v/>
      </c>
      <c r="G1147" s="59" t="str">
        <f aca="false">IFERROR(IF([2]对账明细接口!$G$1147=0,"",[2]对账明细接口!$G$1147),"")</f>
        <v/>
      </c>
      <c r="H1147" s="60" t="str">
        <f aca="false">IFERROR(IF([2]对账明细接口!$H$1147=0,"",[2]对账明细接口!$H$1147),"")</f>
        <v/>
      </c>
      <c r="I1147" s="59" t="str">
        <f aca="false">IFERROR(IF([2]对账明细接口!$I$1147=0,"",[2]对账明细接口!$I$1147),"")</f>
        <v/>
      </c>
      <c r="J1147" s="61" t="str">
        <f aca="false">IFERROR(IF([2]对账明细接口!$J$1147=0,"",[2]对账明细接口!$J$1147),"")</f>
        <v/>
      </c>
      <c r="K1147" s="61" t="str">
        <f aca="false">IFERROR(IF([2]对账明细接口!$K$1147=0,"",[2]对账明细接口!$K$1147),"")</f>
        <v/>
      </c>
      <c r="L1147" s="59" t="str">
        <f aca="false">IFERROR(IF([2]对账明细接口!$L$1147=0,"",[2]对账明细接口!$L$1147),"")</f>
        <v/>
      </c>
      <c r="M1147" s="59" t="str">
        <f aca="false">IFERROR(IF([2]对账明细接口!$M$1147=0,"",[2]对账明细接口!$M$1147),"")</f>
        <v/>
      </c>
      <c r="N1147" s="111" t="n">
        <f aca="false">IF($C1147="",0,1)</f>
        <v>0</v>
      </c>
      <c r="O1147" s="111" t="n">
        <f aca="false">N(O1146)+$N1147</f>
        <v>311</v>
      </c>
      <c r="S1147" s="10" t="str">
        <f aca="false">IFERROR(IF([2]对账明细接口!$N1147=0,"",[2]对账明细接口!$N1147),"")</f>
        <v/>
      </c>
      <c r="T1147" s="112" t="str">
        <f aca="false">IFERROR(IF([2]对账明细接口!$O1147=0,"",[2]对账明细接口!$O1147),"")</f>
        <v/>
      </c>
      <c r="U1147" s="112" t="str">
        <f aca="false">IFERROR(IF([2]对账明细接口!$P1147=0,"",[2]对账明细接口!$P1147),"")</f>
        <v/>
      </c>
      <c r="V1147" s="112" t="str">
        <f aca="false">IFERROR(IF([2]对账明细接口!$Q1147=0,"",[2]对账明细接口!$Q1147),"")</f>
        <v/>
      </c>
      <c r="W1147" s="10" t="str">
        <f aca="false">IFERROR(IF([2]对账明细接口!$R1147=0,"",[2]对账明细接口!$R1147),"")</f>
        <v/>
      </c>
      <c r="X1147" s="10" t="str">
        <f aca="false">IFERROR(IF([2]对账明细接口!$S1147=0,"",[2]对账明细接口!$S1147),"")</f>
        <v/>
      </c>
      <c r="Y1147" s="10" t="str">
        <f aca="false">IFERROR(IF([2]对账明细接口!$T1147=0,"",[2]对账明细接口!$T1147),"")</f>
        <v/>
      </c>
      <c r="Z1147" s="113" t="str">
        <f aca="false">IFERROR(IF([2]对账明细接口!$U1147=0,"",[2]对账明细接口!$U1147),"")</f>
        <v/>
      </c>
      <c r="AA1147" s="113" t="str">
        <f aca="false">IFERROR(IF([2]对账明细接口!$V1147=0,"",[2]对账明细接口!$V1147),"")</f>
        <v/>
      </c>
      <c r="AB1147" s="10" t="str">
        <f aca="false">IFERROR(IF([2]对账明细接口!$W1147=0,"",[2]对账明细接口!$W1147),"")</f>
        <v/>
      </c>
      <c r="AC1147" s="90" t="str">
        <f aca="false">IFERROR(IF([2]对账明细接口!$X1148=0,"",[2]对账明细接口!$X1148),"")</f>
        <v/>
      </c>
      <c r="AD1147" s="90" t="str">
        <f aca="false">IFERROR(IF([2]对账明细接口!$Y1148=0,"",[2]对账明细接口!$Y1148),"")</f>
        <v/>
      </c>
      <c r="AE1147" s="90" t="str">
        <f aca="false">IFERROR(IF([2]对账明细接口!$AA1148=0,"",[2]对账明细接口!$AA1148),"")</f>
        <v/>
      </c>
      <c r="AF1147" s="90" t="str">
        <f aca="false">IFERROR(IF([2]对账明细接口!$AB1148=0,"",[2]对账明细接口!$AB1148),"")</f>
        <v/>
      </c>
      <c r="AG1147" s="90" t="str">
        <f aca="false">IFERROR(IF([2]对账明细接口!$AC1148=0,"",[2]对账明细接口!$AC1148),"")</f>
        <v/>
      </c>
      <c r="AH1147" s="90" t="str">
        <f aca="false">IFERROR(IF([2]对账明细接口!$AD1148=0,"",[2]对账明细接口!$AD1148),"")</f>
        <v/>
      </c>
    </row>
    <row r="1148" customFormat="false" ht="13.5" hidden="false" customHeight="false" outlineLevel="0" collapsed="false">
      <c r="A1148" s="109" t="n">
        <v>1148</v>
      </c>
      <c r="B1148" s="110" t="str">
        <f aca="false">IFERROR(IF([2]对账明细接口!$B$1148=0,"",[2]对账明细接口!$B$1148),"")</f>
        <v/>
      </c>
      <c r="C1148" s="59" t="str">
        <f aca="false">IFERROR(IF([2]对账明细接口!$C$1148=0,"",[2]对账明细接口!$C$1148),"")</f>
        <v/>
      </c>
      <c r="D1148" s="59" t="str">
        <f aca="false">IFERROR(IF([2]对账明细接口!$D$1148=0,"",[2]对账明细接口!$D$1148),"")</f>
        <v/>
      </c>
      <c r="E1148" s="59" t="str">
        <f aca="false">IFERROR(IF([2]对账明细接口!$E$1148=0,"",[2]对账明细接口!$E$1148),"")</f>
        <v/>
      </c>
      <c r="F1148" s="59" t="str">
        <f aca="false">IFERROR(IF([2]对账明细接口!$F$1148=0,"",[2]对账明细接口!$F$1148),"")</f>
        <v/>
      </c>
      <c r="G1148" s="59" t="str">
        <f aca="false">IFERROR(IF([2]对账明细接口!$G$1148=0,"",[2]对账明细接口!$G$1148),"")</f>
        <v/>
      </c>
      <c r="H1148" s="60" t="str">
        <f aca="false">IFERROR(IF([2]对账明细接口!$H$1148=0,"",[2]对账明细接口!$H$1148),"")</f>
        <v/>
      </c>
      <c r="I1148" s="59" t="str">
        <f aca="false">IFERROR(IF([2]对账明细接口!$I$1148=0,"",[2]对账明细接口!$I$1148),"")</f>
        <v/>
      </c>
      <c r="J1148" s="61" t="str">
        <f aca="false">IFERROR(IF([2]对账明细接口!$J$1148=0,"",[2]对账明细接口!$J$1148),"")</f>
        <v/>
      </c>
      <c r="K1148" s="61" t="str">
        <f aca="false">IFERROR(IF([2]对账明细接口!$K$1148=0,"",[2]对账明细接口!$K$1148),"")</f>
        <v/>
      </c>
      <c r="L1148" s="59" t="str">
        <f aca="false">IFERROR(IF([2]对账明细接口!$L$1148=0,"",[2]对账明细接口!$L$1148),"")</f>
        <v/>
      </c>
      <c r="M1148" s="59" t="str">
        <f aca="false">IFERROR(IF([2]对账明细接口!$M$1148=0,"",[2]对账明细接口!$M$1148),"")</f>
        <v/>
      </c>
      <c r="N1148" s="111" t="n">
        <f aca="false">IF($C1148="",0,1)</f>
        <v>0</v>
      </c>
      <c r="O1148" s="111" t="n">
        <f aca="false">N(O1147)+$N1148</f>
        <v>311</v>
      </c>
      <c r="S1148" s="10" t="str">
        <f aca="false">IFERROR(IF([2]对账明细接口!$N1148=0,"",[2]对账明细接口!$N1148),"")</f>
        <v/>
      </c>
      <c r="T1148" s="112" t="str">
        <f aca="false">IFERROR(IF([2]对账明细接口!$O1148=0,"",[2]对账明细接口!$O1148),"")</f>
        <v/>
      </c>
      <c r="U1148" s="112" t="str">
        <f aca="false">IFERROR(IF([2]对账明细接口!$P1148=0,"",[2]对账明细接口!$P1148),"")</f>
        <v/>
      </c>
      <c r="V1148" s="112" t="str">
        <f aca="false">IFERROR(IF([2]对账明细接口!$Q1148=0,"",[2]对账明细接口!$Q1148),"")</f>
        <v/>
      </c>
      <c r="W1148" s="10" t="str">
        <f aca="false">IFERROR(IF([2]对账明细接口!$R1148=0,"",[2]对账明细接口!$R1148),"")</f>
        <v/>
      </c>
      <c r="X1148" s="10" t="str">
        <f aca="false">IFERROR(IF([2]对账明细接口!$S1148=0,"",[2]对账明细接口!$S1148),"")</f>
        <v/>
      </c>
      <c r="Y1148" s="10" t="str">
        <f aca="false">IFERROR(IF([2]对账明细接口!$T1148=0,"",[2]对账明细接口!$T1148),"")</f>
        <v/>
      </c>
      <c r="Z1148" s="113" t="str">
        <f aca="false">IFERROR(IF([2]对账明细接口!$U1148=0,"",[2]对账明细接口!$U1148),"")</f>
        <v/>
      </c>
      <c r="AA1148" s="113" t="str">
        <f aca="false">IFERROR(IF([2]对账明细接口!$V1148=0,"",[2]对账明细接口!$V1148),"")</f>
        <v/>
      </c>
      <c r="AB1148" s="10" t="str">
        <f aca="false">IFERROR(IF([2]对账明细接口!$W1148=0,"",[2]对账明细接口!$W1148),"")</f>
        <v/>
      </c>
      <c r="AC1148" s="90" t="str">
        <f aca="false">IFERROR(IF([2]对账明细接口!$X1149=0,"",[2]对账明细接口!$X1149),"")</f>
        <v/>
      </c>
      <c r="AD1148" s="90" t="str">
        <f aca="false">IFERROR(IF([2]对账明细接口!$Y1149=0,"",[2]对账明细接口!$Y1149),"")</f>
        <v/>
      </c>
      <c r="AE1148" s="90" t="str">
        <f aca="false">IFERROR(IF([2]对账明细接口!$AA1149=0,"",[2]对账明细接口!$AA1149),"")</f>
        <v/>
      </c>
      <c r="AF1148" s="90" t="str">
        <f aca="false">IFERROR(IF([2]对账明细接口!$AB1149=0,"",[2]对账明细接口!$AB1149),"")</f>
        <v/>
      </c>
      <c r="AG1148" s="90" t="str">
        <f aca="false">IFERROR(IF([2]对账明细接口!$AC1149=0,"",[2]对账明细接口!$AC1149),"")</f>
        <v/>
      </c>
      <c r="AH1148" s="90" t="str">
        <f aca="false">IFERROR(IF([2]对账明细接口!$AD1149=0,"",[2]对账明细接口!$AD1149),"")</f>
        <v/>
      </c>
    </row>
    <row r="1149" customFormat="false" ht="13.5" hidden="false" customHeight="false" outlineLevel="0" collapsed="false">
      <c r="A1149" s="109" t="n">
        <v>1149</v>
      </c>
      <c r="B1149" s="110" t="str">
        <f aca="false">IFERROR(IF([2]对账明细接口!$B$1149=0,"",[2]对账明细接口!$B$1149),"")</f>
        <v/>
      </c>
      <c r="C1149" s="59" t="str">
        <f aca="false">IFERROR(IF([2]对账明细接口!$C$1149=0,"",[2]对账明细接口!$C$1149),"")</f>
        <v/>
      </c>
      <c r="D1149" s="59" t="str">
        <f aca="false">IFERROR(IF([2]对账明细接口!$D$1149=0,"",[2]对账明细接口!$D$1149),"")</f>
        <v/>
      </c>
      <c r="E1149" s="59" t="str">
        <f aca="false">IFERROR(IF([2]对账明细接口!$E$1149=0,"",[2]对账明细接口!$E$1149),"")</f>
        <v/>
      </c>
      <c r="F1149" s="59" t="str">
        <f aca="false">IFERROR(IF([2]对账明细接口!$F$1149=0,"",[2]对账明细接口!$F$1149),"")</f>
        <v/>
      </c>
      <c r="G1149" s="59" t="str">
        <f aca="false">IFERROR(IF([2]对账明细接口!$G$1149=0,"",[2]对账明细接口!$G$1149),"")</f>
        <v/>
      </c>
      <c r="H1149" s="60" t="str">
        <f aca="false">IFERROR(IF([2]对账明细接口!$H$1149=0,"",[2]对账明细接口!$H$1149),"")</f>
        <v/>
      </c>
      <c r="I1149" s="59" t="str">
        <f aca="false">IFERROR(IF([2]对账明细接口!$I$1149=0,"",[2]对账明细接口!$I$1149),"")</f>
        <v/>
      </c>
      <c r="J1149" s="61" t="str">
        <f aca="false">IFERROR(IF([2]对账明细接口!$J$1149=0,"",[2]对账明细接口!$J$1149),"")</f>
        <v/>
      </c>
      <c r="K1149" s="61" t="str">
        <f aca="false">IFERROR(IF([2]对账明细接口!$K$1149=0,"",[2]对账明细接口!$K$1149),"")</f>
        <v/>
      </c>
      <c r="L1149" s="59" t="str">
        <f aca="false">IFERROR(IF([2]对账明细接口!$L$1149=0,"",[2]对账明细接口!$L$1149),"")</f>
        <v/>
      </c>
      <c r="M1149" s="59" t="str">
        <f aca="false">IFERROR(IF([2]对账明细接口!$M$1149=0,"",[2]对账明细接口!$M$1149),"")</f>
        <v/>
      </c>
      <c r="N1149" s="111" t="n">
        <f aca="false">IF($C1149="",0,1)</f>
        <v>0</v>
      </c>
      <c r="O1149" s="111" t="n">
        <f aca="false">N(O1148)+$N1149</f>
        <v>311</v>
      </c>
      <c r="S1149" s="10" t="str">
        <f aca="false">IFERROR(IF([2]对账明细接口!$N1149=0,"",[2]对账明细接口!$N1149),"")</f>
        <v/>
      </c>
      <c r="T1149" s="112" t="str">
        <f aca="false">IFERROR(IF([2]对账明细接口!$O1149=0,"",[2]对账明细接口!$O1149),"")</f>
        <v/>
      </c>
      <c r="U1149" s="112" t="str">
        <f aca="false">IFERROR(IF([2]对账明细接口!$P1149=0,"",[2]对账明细接口!$P1149),"")</f>
        <v/>
      </c>
      <c r="V1149" s="112" t="str">
        <f aca="false">IFERROR(IF([2]对账明细接口!$Q1149=0,"",[2]对账明细接口!$Q1149),"")</f>
        <v/>
      </c>
      <c r="W1149" s="10" t="str">
        <f aca="false">IFERROR(IF([2]对账明细接口!$R1149=0,"",[2]对账明细接口!$R1149),"")</f>
        <v/>
      </c>
      <c r="X1149" s="10" t="str">
        <f aca="false">IFERROR(IF([2]对账明细接口!$S1149=0,"",[2]对账明细接口!$S1149),"")</f>
        <v/>
      </c>
      <c r="Y1149" s="10" t="str">
        <f aca="false">IFERROR(IF([2]对账明细接口!$T1149=0,"",[2]对账明细接口!$T1149),"")</f>
        <v/>
      </c>
      <c r="Z1149" s="113" t="str">
        <f aca="false">IFERROR(IF([2]对账明细接口!$U1149=0,"",[2]对账明细接口!$U1149),"")</f>
        <v/>
      </c>
      <c r="AA1149" s="113" t="str">
        <f aca="false">IFERROR(IF([2]对账明细接口!$V1149=0,"",[2]对账明细接口!$V1149),"")</f>
        <v/>
      </c>
      <c r="AB1149" s="10" t="str">
        <f aca="false">IFERROR(IF([2]对账明细接口!$W1149=0,"",[2]对账明细接口!$W1149),"")</f>
        <v/>
      </c>
      <c r="AC1149" s="90" t="str">
        <f aca="false">IFERROR(IF([2]对账明细接口!$X1150=0,"",[2]对账明细接口!$X1150),"")</f>
        <v/>
      </c>
      <c r="AD1149" s="90" t="str">
        <f aca="false">IFERROR(IF([2]对账明细接口!$Y1150=0,"",[2]对账明细接口!$Y1150),"")</f>
        <v/>
      </c>
      <c r="AE1149" s="90" t="str">
        <f aca="false">IFERROR(IF([2]对账明细接口!$AA1150=0,"",[2]对账明细接口!$AA1150),"")</f>
        <v/>
      </c>
      <c r="AF1149" s="90" t="str">
        <f aca="false">IFERROR(IF([2]对账明细接口!$AB1150=0,"",[2]对账明细接口!$AB1150),"")</f>
        <v/>
      </c>
      <c r="AG1149" s="90" t="str">
        <f aca="false">IFERROR(IF([2]对账明细接口!$AC1150=0,"",[2]对账明细接口!$AC1150),"")</f>
        <v/>
      </c>
      <c r="AH1149" s="90" t="str">
        <f aca="false">IFERROR(IF([2]对账明细接口!$AD1150=0,"",[2]对账明细接口!$AD1150),"")</f>
        <v/>
      </c>
    </row>
    <row r="1150" customFormat="false" ht="13.5" hidden="false" customHeight="false" outlineLevel="0" collapsed="false">
      <c r="A1150" s="109" t="n">
        <v>1150</v>
      </c>
      <c r="B1150" s="110" t="str">
        <f aca="false">IFERROR(IF([2]对账明细接口!$B$1150=0,"",[2]对账明细接口!$B$1150),"")</f>
        <v/>
      </c>
      <c r="C1150" s="59" t="str">
        <f aca="false">IFERROR(IF([2]对账明细接口!$C$1150=0,"",[2]对账明细接口!$C$1150),"")</f>
        <v/>
      </c>
      <c r="D1150" s="59" t="str">
        <f aca="false">IFERROR(IF([2]对账明细接口!$D$1150=0,"",[2]对账明细接口!$D$1150),"")</f>
        <v/>
      </c>
      <c r="E1150" s="59" t="str">
        <f aca="false">IFERROR(IF([2]对账明细接口!$E$1150=0,"",[2]对账明细接口!$E$1150),"")</f>
        <v/>
      </c>
      <c r="F1150" s="59" t="str">
        <f aca="false">IFERROR(IF([2]对账明细接口!$F$1150=0,"",[2]对账明细接口!$F$1150),"")</f>
        <v/>
      </c>
      <c r="G1150" s="59" t="str">
        <f aca="false">IFERROR(IF([2]对账明细接口!$G$1150=0,"",[2]对账明细接口!$G$1150),"")</f>
        <v/>
      </c>
      <c r="H1150" s="60" t="str">
        <f aca="false">IFERROR(IF([2]对账明细接口!$H$1150=0,"",[2]对账明细接口!$H$1150),"")</f>
        <v/>
      </c>
      <c r="I1150" s="59" t="str">
        <f aca="false">IFERROR(IF([2]对账明细接口!$I$1150=0,"",[2]对账明细接口!$I$1150),"")</f>
        <v/>
      </c>
      <c r="J1150" s="61" t="str">
        <f aca="false">IFERROR(IF([2]对账明细接口!$J$1150=0,"",[2]对账明细接口!$J$1150),"")</f>
        <v/>
      </c>
      <c r="K1150" s="61" t="str">
        <f aca="false">IFERROR(IF([2]对账明细接口!$K$1150=0,"",[2]对账明细接口!$K$1150),"")</f>
        <v/>
      </c>
      <c r="L1150" s="59" t="str">
        <f aca="false">IFERROR(IF([2]对账明细接口!$L$1150=0,"",[2]对账明细接口!$L$1150),"")</f>
        <v/>
      </c>
      <c r="M1150" s="59" t="str">
        <f aca="false">IFERROR(IF([2]对账明细接口!$M$1150=0,"",[2]对账明细接口!$M$1150),"")</f>
        <v/>
      </c>
      <c r="N1150" s="111" t="n">
        <f aca="false">IF($C1150="",0,1)</f>
        <v>0</v>
      </c>
      <c r="O1150" s="111" t="n">
        <f aca="false">N(O1149)+$N1150</f>
        <v>311</v>
      </c>
      <c r="S1150" s="10" t="str">
        <f aca="false">IFERROR(IF([2]对账明细接口!$N1150=0,"",[2]对账明细接口!$N1150),"")</f>
        <v/>
      </c>
      <c r="T1150" s="112" t="str">
        <f aca="false">IFERROR(IF([2]对账明细接口!$O1150=0,"",[2]对账明细接口!$O1150),"")</f>
        <v/>
      </c>
      <c r="U1150" s="112" t="str">
        <f aca="false">IFERROR(IF([2]对账明细接口!$P1150=0,"",[2]对账明细接口!$P1150),"")</f>
        <v/>
      </c>
      <c r="V1150" s="112" t="str">
        <f aca="false">IFERROR(IF([2]对账明细接口!$Q1150=0,"",[2]对账明细接口!$Q1150),"")</f>
        <v/>
      </c>
      <c r="W1150" s="10" t="str">
        <f aca="false">IFERROR(IF([2]对账明细接口!$R1150=0,"",[2]对账明细接口!$R1150),"")</f>
        <v/>
      </c>
      <c r="X1150" s="10" t="str">
        <f aca="false">IFERROR(IF([2]对账明细接口!$S1150=0,"",[2]对账明细接口!$S1150),"")</f>
        <v/>
      </c>
      <c r="Y1150" s="10" t="str">
        <f aca="false">IFERROR(IF([2]对账明细接口!$T1150=0,"",[2]对账明细接口!$T1150),"")</f>
        <v/>
      </c>
      <c r="Z1150" s="113" t="str">
        <f aca="false">IFERROR(IF([2]对账明细接口!$U1150=0,"",[2]对账明细接口!$U1150),"")</f>
        <v/>
      </c>
      <c r="AA1150" s="113" t="str">
        <f aca="false">IFERROR(IF([2]对账明细接口!$V1150=0,"",[2]对账明细接口!$V1150),"")</f>
        <v/>
      </c>
      <c r="AB1150" s="10" t="str">
        <f aca="false">IFERROR(IF([2]对账明细接口!$W1150=0,"",[2]对账明细接口!$W1150),"")</f>
        <v/>
      </c>
      <c r="AC1150" s="90" t="str">
        <f aca="false">IFERROR(IF([2]对账明细接口!$X1151=0,"",[2]对账明细接口!$X1151),"")</f>
        <v/>
      </c>
      <c r="AD1150" s="90" t="str">
        <f aca="false">IFERROR(IF([2]对账明细接口!$Y1151=0,"",[2]对账明细接口!$Y1151),"")</f>
        <v/>
      </c>
      <c r="AE1150" s="90" t="str">
        <f aca="false">IFERROR(IF([2]对账明细接口!$AA1151=0,"",[2]对账明细接口!$AA1151),"")</f>
        <v/>
      </c>
      <c r="AF1150" s="90" t="str">
        <f aca="false">IFERROR(IF([2]对账明细接口!$AB1151=0,"",[2]对账明细接口!$AB1151),"")</f>
        <v/>
      </c>
      <c r="AG1150" s="90" t="str">
        <f aca="false">IFERROR(IF([2]对账明细接口!$AC1151=0,"",[2]对账明细接口!$AC1151),"")</f>
        <v/>
      </c>
      <c r="AH1150" s="90" t="str">
        <f aca="false">IFERROR(IF([2]对账明细接口!$AD1151=0,"",[2]对账明细接口!$AD1151),"")</f>
        <v/>
      </c>
    </row>
    <row r="1151" customFormat="false" ht="13.5" hidden="false" customHeight="false" outlineLevel="0" collapsed="false">
      <c r="A1151" s="109" t="n">
        <v>1151</v>
      </c>
      <c r="B1151" s="110" t="str">
        <f aca="false">IFERROR(IF([2]对账明细接口!$B$1151=0,"",[2]对账明细接口!$B$1151),"")</f>
        <v/>
      </c>
      <c r="C1151" s="59" t="str">
        <f aca="false">IFERROR(IF([2]对账明细接口!$C$1151=0,"",[2]对账明细接口!$C$1151),"")</f>
        <v/>
      </c>
      <c r="D1151" s="59" t="str">
        <f aca="false">IFERROR(IF([2]对账明细接口!$D$1151=0,"",[2]对账明细接口!$D$1151),"")</f>
        <v/>
      </c>
      <c r="E1151" s="59" t="str">
        <f aca="false">IFERROR(IF([2]对账明细接口!$E$1151=0,"",[2]对账明细接口!$E$1151),"")</f>
        <v/>
      </c>
      <c r="F1151" s="59" t="str">
        <f aca="false">IFERROR(IF([2]对账明细接口!$F$1151=0,"",[2]对账明细接口!$F$1151),"")</f>
        <v/>
      </c>
      <c r="G1151" s="59" t="str">
        <f aca="false">IFERROR(IF([2]对账明细接口!$G$1151=0,"",[2]对账明细接口!$G$1151),"")</f>
        <v/>
      </c>
      <c r="H1151" s="60" t="str">
        <f aca="false">IFERROR(IF([2]对账明细接口!$H$1151=0,"",[2]对账明细接口!$H$1151),"")</f>
        <v/>
      </c>
      <c r="I1151" s="59" t="str">
        <f aca="false">IFERROR(IF([2]对账明细接口!$I$1151=0,"",[2]对账明细接口!$I$1151),"")</f>
        <v/>
      </c>
      <c r="J1151" s="61" t="str">
        <f aca="false">IFERROR(IF([2]对账明细接口!$J$1151=0,"",[2]对账明细接口!$J$1151),"")</f>
        <v/>
      </c>
      <c r="K1151" s="61" t="str">
        <f aca="false">IFERROR(IF([2]对账明细接口!$K$1151=0,"",[2]对账明细接口!$K$1151),"")</f>
        <v/>
      </c>
      <c r="L1151" s="59" t="str">
        <f aca="false">IFERROR(IF([2]对账明细接口!$L$1151=0,"",[2]对账明细接口!$L$1151),"")</f>
        <v/>
      </c>
      <c r="M1151" s="59" t="str">
        <f aca="false">IFERROR(IF([2]对账明细接口!$M$1151=0,"",[2]对账明细接口!$M$1151),"")</f>
        <v/>
      </c>
      <c r="N1151" s="111" t="n">
        <f aca="false">IF($C1151="",0,1)</f>
        <v>0</v>
      </c>
      <c r="O1151" s="111" t="n">
        <f aca="false">N(O1150)+$N1151</f>
        <v>311</v>
      </c>
      <c r="S1151" s="10" t="str">
        <f aca="false">IFERROR(IF([2]对账明细接口!$N1151=0,"",[2]对账明细接口!$N1151),"")</f>
        <v/>
      </c>
      <c r="T1151" s="112" t="str">
        <f aca="false">IFERROR(IF([2]对账明细接口!$O1151=0,"",[2]对账明细接口!$O1151),"")</f>
        <v/>
      </c>
      <c r="U1151" s="112" t="str">
        <f aca="false">IFERROR(IF([2]对账明细接口!$P1151=0,"",[2]对账明细接口!$P1151),"")</f>
        <v/>
      </c>
      <c r="V1151" s="112" t="str">
        <f aca="false">IFERROR(IF([2]对账明细接口!$Q1151=0,"",[2]对账明细接口!$Q1151),"")</f>
        <v/>
      </c>
      <c r="W1151" s="10" t="str">
        <f aca="false">IFERROR(IF([2]对账明细接口!$R1151=0,"",[2]对账明细接口!$R1151),"")</f>
        <v/>
      </c>
      <c r="X1151" s="10" t="str">
        <f aca="false">IFERROR(IF([2]对账明细接口!$S1151=0,"",[2]对账明细接口!$S1151),"")</f>
        <v/>
      </c>
      <c r="Y1151" s="10" t="str">
        <f aca="false">IFERROR(IF([2]对账明细接口!$T1151=0,"",[2]对账明细接口!$T1151),"")</f>
        <v/>
      </c>
      <c r="Z1151" s="113" t="str">
        <f aca="false">IFERROR(IF([2]对账明细接口!$U1151=0,"",[2]对账明细接口!$U1151),"")</f>
        <v/>
      </c>
      <c r="AA1151" s="113" t="str">
        <f aca="false">IFERROR(IF([2]对账明细接口!$V1151=0,"",[2]对账明细接口!$V1151),"")</f>
        <v/>
      </c>
      <c r="AB1151" s="10" t="str">
        <f aca="false">IFERROR(IF([2]对账明细接口!$W1151=0,"",[2]对账明细接口!$W1151),"")</f>
        <v/>
      </c>
      <c r="AC1151" s="90" t="str">
        <f aca="false">IFERROR(IF([2]对账明细接口!$X1152=0,"",[2]对账明细接口!$X1152),"")</f>
        <v/>
      </c>
      <c r="AD1151" s="90" t="str">
        <f aca="false">IFERROR(IF([2]对账明细接口!$Y1152=0,"",[2]对账明细接口!$Y1152),"")</f>
        <v/>
      </c>
      <c r="AE1151" s="90" t="str">
        <f aca="false">IFERROR(IF([2]对账明细接口!$AA1152=0,"",[2]对账明细接口!$AA1152),"")</f>
        <v/>
      </c>
      <c r="AF1151" s="90" t="str">
        <f aca="false">IFERROR(IF([2]对账明细接口!$AB1152=0,"",[2]对账明细接口!$AB1152),"")</f>
        <v/>
      </c>
      <c r="AG1151" s="90" t="str">
        <f aca="false">IFERROR(IF([2]对账明细接口!$AC1152=0,"",[2]对账明细接口!$AC1152),"")</f>
        <v/>
      </c>
      <c r="AH1151" s="90" t="str">
        <f aca="false">IFERROR(IF([2]对账明细接口!$AD1152=0,"",[2]对账明细接口!$AD1152),"")</f>
        <v/>
      </c>
    </row>
    <row r="1152" customFormat="false" ht="13.5" hidden="false" customHeight="false" outlineLevel="0" collapsed="false">
      <c r="A1152" s="109" t="n">
        <v>1152</v>
      </c>
      <c r="B1152" s="110" t="str">
        <f aca="false">IFERROR(IF([2]对账明细接口!$B$1152=0,"",[2]对账明细接口!$B$1152),"")</f>
        <v/>
      </c>
      <c r="C1152" s="59" t="str">
        <f aca="false">IFERROR(IF([2]对账明细接口!$C$1152=0,"",[2]对账明细接口!$C$1152),"")</f>
        <v/>
      </c>
      <c r="D1152" s="59" t="str">
        <f aca="false">IFERROR(IF([2]对账明细接口!$D$1152=0,"",[2]对账明细接口!$D$1152),"")</f>
        <v/>
      </c>
      <c r="E1152" s="59" t="str">
        <f aca="false">IFERROR(IF([2]对账明细接口!$E$1152=0,"",[2]对账明细接口!$E$1152),"")</f>
        <v/>
      </c>
      <c r="F1152" s="59" t="str">
        <f aca="false">IFERROR(IF([2]对账明细接口!$F$1152=0,"",[2]对账明细接口!$F$1152),"")</f>
        <v/>
      </c>
      <c r="G1152" s="59" t="str">
        <f aca="false">IFERROR(IF([2]对账明细接口!$G$1152=0,"",[2]对账明细接口!$G$1152),"")</f>
        <v/>
      </c>
      <c r="H1152" s="60" t="str">
        <f aca="false">IFERROR(IF([2]对账明细接口!$H$1152=0,"",[2]对账明细接口!$H$1152),"")</f>
        <v/>
      </c>
      <c r="I1152" s="59" t="str">
        <f aca="false">IFERROR(IF([2]对账明细接口!$I$1152=0,"",[2]对账明细接口!$I$1152),"")</f>
        <v/>
      </c>
      <c r="J1152" s="61" t="str">
        <f aca="false">IFERROR(IF([2]对账明细接口!$J$1152=0,"",[2]对账明细接口!$J$1152),"")</f>
        <v/>
      </c>
      <c r="K1152" s="61" t="str">
        <f aca="false">IFERROR(IF([2]对账明细接口!$K$1152=0,"",[2]对账明细接口!$K$1152),"")</f>
        <v/>
      </c>
      <c r="L1152" s="59" t="str">
        <f aca="false">IFERROR(IF([2]对账明细接口!$L$1152=0,"",[2]对账明细接口!$L$1152),"")</f>
        <v/>
      </c>
      <c r="M1152" s="59" t="str">
        <f aca="false">IFERROR(IF([2]对账明细接口!$M$1152=0,"",[2]对账明细接口!$M$1152),"")</f>
        <v/>
      </c>
      <c r="N1152" s="111" t="n">
        <f aca="false">IF($C1152="",0,1)</f>
        <v>0</v>
      </c>
      <c r="O1152" s="111" t="n">
        <f aca="false">N(O1151)+$N1152</f>
        <v>311</v>
      </c>
      <c r="S1152" s="10" t="str">
        <f aca="false">IFERROR(IF([2]对账明细接口!$N1152=0,"",[2]对账明细接口!$N1152),"")</f>
        <v/>
      </c>
      <c r="T1152" s="112" t="str">
        <f aca="false">IFERROR(IF([2]对账明细接口!$O1152=0,"",[2]对账明细接口!$O1152),"")</f>
        <v/>
      </c>
      <c r="U1152" s="112" t="str">
        <f aca="false">IFERROR(IF([2]对账明细接口!$P1152=0,"",[2]对账明细接口!$P1152),"")</f>
        <v/>
      </c>
      <c r="V1152" s="112" t="str">
        <f aca="false">IFERROR(IF([2]对账明细接口!$Q1152=0,"",[2]对账明细接口!$Q1152),"")</f>
        <v/>
      </c>
      <c r="W1152" s="10" t="str">
        <f aca="false">IFERROR(IF([2]对账明细接口!$R1152=0,"",[2]对账明细接口!$R1152),"")</f>
        <v/>
      </c>
      <c r="X1152" s="10" t="str">
        <f aca="false">IFERROR(IF([2]对账明细接口!$S1152=0,"",[2]对账明细接口!$S1152),"")</f>
        <v/>
      </c>
      <c r="Y1152" s="10" t="str">
        <f aca="false">IFERROR(IF([2]对账明细接口!$T1152=0,"",[2]对账明细接口!$T1152),"")</f>
        <v/>
      </c>
      <c r="Z1152" s="113" t="str">
        <f aca="false">IFERROR(IF([2]对账明细接口!$U1152=0,"",[2]对账明细接口!$U1152),"")</f>
        <v/>
      </c>
      <c r="AA1152" s="113" t="str">
        <f aca="false">IFERROR(IF([2]对账明细接口!$V1152=0,"",[2]对账明细接口!$V1152),"")</f>
        <v/>
      </c>
      <c r="AB1152" s="10" t="str">
        <f aca="false">IFERROR(IF([2]对账明细接口!$W1152=0,"",[2]对账明细接口!$W1152),"")</f>
        <v/>
      </c>
      <c r="AC1152" s="90" t="str">
        <f aca="false">IFERROR(IF([2]对账明细接口!$X1153=0,"",[2]对账明细接口!$X1153),"")</f>
        <v/>
      </c>
      <c r="AD1152" s="90" t="str">
        <f aca="false">IFERROR(IF([2]对账明细接口!$Y1153=0,"",[2]对账明细接口!$Y1153),"")</f>
        <v/>
      </c>
      <c r="AE1152" s="90" t="str">
        <f aca="false">IFERROR(IF([2]对账明细接口!$AA1153=0,"",[2]对账明细接口!$AA1153),"")</f>
        <v/>
      </c>
      <c r="AF1152" s="90" t="str">
        <f aca="false">IFERROR(IF([2]对账明细接口!$AB1153=0,"",[2]对账明细接口!$AB1153),"")</f>
        <v/>
      </c>
      <c r="AG1152" s="90" t="str">
        <f aca="false">IFERROR(IF([2]对账明细接口!$AC1153=0,"",[2]对账明细接口!$AC1153),"")</f>
        <v/>
      </c>
      <c r="AH1152" s="90" t="str">
        <f aca="false">IFERROR(IF([2]对账明细接口!$AD1153=0,"",[2]对账明细接口!$AD1153),"")</f>
        <v/>
      </c>
    </row>
    <row r="1153" customFormat="false" ht="13.5" hidden="false" customHeight="false" outlineLevel="0" collapsed="false">
      <c r="A1153" s="109" t="n">
        <v>1153</v>
      </c>
      <c r="B1153" s="110" t="str">
        <f aca="false">IFERROR(IF([2]对账明细接口!$B$1153=0,"",[2]对账明细接口!$B$1153),"")</f>
        <v/>
      </c>
      <c r="C1153" s="59" t="str">
        <f aca="false">IFERROR(IF([2]对账明细接口!$C$1153=0,"",[2]对账明细接口!$C$1153),"")</f>
        <v/>
      </c>
      <c r="D1153" s="59" t="str">
        <f aca="false">IFERROR(IF([2]对账明细接口!$D$1153=0,"",[2]对账明细接口!$D$1153),"")</f>
        <v/>
      </c>
      <c r="E1153" s="59" t="str">
        <f aca="false">IFERROR(IF([2]对账明细接口!$E$1153=0,"",[2]对账明细接口!$E$1153),"")</f>
        <v/>
      </c>
      <c r="F1153" s="59" t="str">
        <f aca="false">IFERROR(IF([2]对账明细接口!$F$1153=0,"",[2]对账明细接口!$F$1153),"")</f>
        <v/>
      </c>
      <c r="G1153" s="59" t="str">
        <f aca="false">IFERROR(IF([2]对账明细接口!$G$1153=0,"",[2]对账明细接口!$G$1153),"")</f>
        <v/>
      </c>
      <c r="H1153" s="60" t="str">
        <f aca="false">IFERROR(IF([2]对账明细接口!$H$1153=0,"",[2]对账明细接口!$H$1153),"")</f>
        <v/>
      </c>
      <c r="I1153" s="59" t="str">
        <f aca="false">IFERROR(IF([2]对账明细接口!$I$1153=0,"",[2]对账明细接口!$I$1153),"")</f>
        <v/>
      </c>
      <c r="J1153" s="61" t="str">
        <f aca="false">IFERROR(IF([2]对账明细接口!$J$1153=0,"",[2]对账明细接口!$J$1153),"")</f>
        <v/>
      </c>
      <c r="K1153" s="61" t="str">
        <f aca="false">IFERROR(IF([2]对账明细接口!$K$1153=0,"",[2]对账明细接口!$K$1153),"")</f>
        <v/>
      </c>
      <c r="L1153" s="59" t="str">
        <f aca="false">IFERROR(IF([2]对账明细接口!$L$1153=0,"",[2]对账明细接口!$L$1153),"")</f>
        <v/>
      </c>
      <c r="M1153" s="59" t="str">
        <f aca="false">IFERROR(IF([2]对账明细接口!$M$1153=0,"",[2]对账明细接口!$M$1153),"")</f>
        <v/>
      </c>
      <c r="N1153" s="111" t="n">
        <f aca="false">IF($C1153="",0,1)</f>
        <v>0</v>
      </c>
      <c r="O1153" s="111" t="n">
        <f aca="false">N(O1152)+$N1153</f>
        <v>311</v>
      </c>
      <c r="S1153" s="10" t="str">
        <f aca="false">IFERROR(IF([2]对账明细接口!$N1153=0,"",[2]对账明细接口!$N1153),"")</f>
        <v/>
      </c>
      <c r="T1153" s="112" t="str">
        <f aca="false">IFERROR(IF([2]对账明细接口!$O1153=0,"",[2]对账明细接口!$O1153),"")</f>
        <v/>
      </c>
      <c r="U1153" s="112" t="str">
        <f aca="false">IFERROR(IF([2]对账明细接口!$P1153=0,"",[2]对账明细接口!$P1153),"")</f>
        <v/>
      </c>
      <c r="V1153" s="112" t="str">
        <f aca="false">IFERROR(IF([2]对账明细接口!$Q1153=0,"",[2]对账明细接口!$Q1153),"")</f>
        <v/>
      </c>
      <c r="W1153" s="10" t="str">
        <f aca="false">IFERROR(IF([2]对账明细接口!$R1153=0,"",[2]对账明细接口!$R1153),"")</f>
        <v/>
      </c>
      <c r="X1153" s="10" t="str">
        <f aca="false">IFERROR(IF([2]对账明细接口!$S1153=0,"",[2]对账明细接口!$S1153),"")</f>
        <v/>
      </c>
      <c r="Y1153" s="10" t="str">
        <f aca="false">IFERROR(IF([2]对账明细接口!$T1153=0,"",[2]对账明细接口!$T1153),"")</f>
        <v/>
      </c>
      <c r="Z1153" s="113" t="str">
        <f aca="false">IFERROR(IF([2]对账明细接口!$U1153=0,"",[2]对账明细接口!$U1153),"")</f>
        <v/>
      </c>
      <c r="AA1153" s="113" t="str">
        <f aca="false">IFERROR(IF([2]对账明细接口!$V1153=0,"",[2]对账明细接口!$V1153),"")</f>
        <v/>
      </c>
      <c r="AB1153" s="10" t="str">
        <f aca="false">IFERROR(IF([2]对账明细接口!$W1153=0,"",[2]对账明细接口!$W1153),"")</f>
        <v/>
      </c>
      <c r="AC1153" s="90" t="str">
        <f aca="false">IFERROR(IF([2]对账明细接口!$X1154=0,"",[2]对账明细接口!$X1154),"")</f>
        <v/>
      </c>
      <c r="AD1153" s="90" t="str">
        <f aca="false">IFERROR(IF([2]对账明细接口!$Y1154=0,"",[2]对账明细接口!$Y1154),"")</f>
        <v/>
      </c>
      <c r="AE1153" s="90" t="str">
        <f aca="false">IFERROR(IF([2]对账明细接口!$AA1154=0,"",[2]对账明细接口!$AA1154),"")</f>
        <v/>
      </c>
      <c r="AF1153" s="90" t="str">
        <f aca="false">IFERROR(IF([2]对账明细接口!$AB1154=0,"",[2]对账明细接口!$AB1154),"")</f>
        <v/>
      </c>
      <c r="AG1153" s="90" t="str">
        <f aca="false">IFERROR(IF([2]对账明细接口!$AC1154=0,"",[2]对账明细接口!$AC1154),"")</f>
        <v/>
      </c>
      <c r="AH1153" s="90" t="str">
        <f aca="false">IFERROR(IF([2]对账明细接口!$AD1154=0,"",[2]对账明细接口!$AD1154),"")</f>
        <v/>
      </c>
    </row>
    <row r="1154" customFormat="false" ht="13.5" hidden="false" customHeight="false" outlineLevel="0" collapsed="false">
      <c r="A1154" s="109" t="n">
        <v>1154</v>
      </c>
      <c r="B1154" s="110" t="str">
        <f aca="false">IFERROR(IF([2]对账明细接口!$B$1154=0,"",[2]对账明细接口!$B$1154),"")</f>
        <v/>
      </c>
      <c r="C1154" s="59" t="str">
        <f aca="false">IFERROR(IF([2]对账明细接口!$C$1154=0,"",[2]对账明细接口!$C$1154),"")</f>
        <v/>
      </c>
      <c r="D1154" s="59" t="str">
        <f aca="false">IFERROR(IF([2]对账明细接口!$D$1154=0,"",[2]对账明细接口!$D$1154),"")</f>
        <v/>
      </c>
      <c r="E1154" s="59" t="str">
        <f aca="false">IFERROR(IF([2]对账明细接口!$E$1154=0,"",[2]对账明细接口!$E$1154),"")</f>
        <v/>
      </c>
      <c r="F1154" s="59" t="str">
        <f aca="false">IFERROR(IF([2]对账明细接口!$F$1154=0,"",[2]对账明细接口!$F$1154),"")</f>
        <v/>
      </c>
      <c r="G1154" s="59" t="str">
        <f aca="false">IFERROR(IF([2]对账明细接口!$G$1154=0,"",[2]对账明细接口!$G$1154),"")</f>
        <v/>
      </c>
      <c r="H1154" s="60" t="str">
        <f aca="false">IFERROR(IF([2]对账明细接口!$H$1154=0,"",[2]对账明细接口!$H$1154),"")</f>
        <v/>
      </c>
      <c r="I1154" s="59" t="str">
        <f aca="false">IFERROR(IF([2]对账明细接口!$I$1154=0,"",[2]对账明细接口!$I$1154),"")</f>
        <v/>
      </c>
      <c r="J1154" s="61" t="str">
        <f aca="false">IFERROR(IF([2]对账明细接口!$J$1154=0,"",[2]对账明细接口!$J$1154),"")</f>
        <v/>
      </c>
      <c r="K1154" s="61" t="str">
        <f aca="false">IFERROR(IF([2]对账明细接口!$K$1154=0,"",[2]对账明细接口!$K$1154),"")</f>
        <v/>
      </c>
      <c r="L1154" s="59" t="str">
        <f aca="false">IFERROR(IF([2]对账明细接口!$L$1154=0,"",[2]对账明细接口!$L$1154),"")</f>
        <v/>
      </c>
      <c r="M1154" s="59" t="str">
        <f aca="false">IFERROR(IF([2]对账明细接口!$M$1154=0,"",[2]对账明细接口!$M$1154),"")</f>
        <v/>
      </c>
      <c r="N1154" s="111" t="n">
        <f aca="false">IF($C1154="",0,1)</f>
        <v>0</v>
      </c>
      <c r="O1154" s="111" t="n">
        <f aca="false">N(O1153)+$N1154</f>
        <v>311</v>
      </c>
      <c r="S1154" s="10" t="str">
        <f aca="false">IFERROR(IF([2]对账明细接口!$N1154=0,"",[2]对账明细接口!$N1154),"")</f>
        <v/>
      </c>
      <c r="T1154" s="112" t="str">
        <f aca="false">IFERROR(IF([2]对账明细接口!$O1154=0,"",[2]对账明细接口!$O1154),"")</f>
        <v/>
      </c>
      <c r="U1154" s="112" t="str">
        <f aca="false">IFERROR(IF([2]对账明细接口!$P1154=0,"",[2]对账明细接口!$P1154),"")</f>
        <v/>
      </c>
      <c r="V1154" s="112" t="str">
        <f aca="false">IFERROR(IF([2]对账明细接口!$Q1154=0,"",[2]对账明细接口!$Q1154),"")</f>
        <v/>
      </c>
      <c r="W1154" s="10" t="str">
        <f aca="false">IFERROR(IF([2]对账明细接口!$R1154=0,"",[2]对账明细接口!$R1154),"")</f>
        <v/>
      </c>
      <c r="X1154" s="10" t="str">
        <f aca="false">IFERROR(IF([2]对账明细接口!$S1154=0,"",[2]对账明细接口!$S1154),"")</f>
        <v/>
      </c>
      <c r="Y1154" s="10" t="str">
        <f aca="false">IFERROR(IF([2]对账明细接口!$T1154=0,"",[2]对账明细接口!$T1154),"")</f>
        <v/>
      </c>
      <c r="Z1154" s="113" t="str">
        <f aca="false">IFERROR(IF([2]对账明细接口!$U1154=0,"",[2]对账明细接口!$U1154),"")</f>
        <v/>
      </c>
      <c r="AA1154" s="113" t="str">
        <f aca="false">IFERROR(IF([2]对账明细接口!$V1154=0,"",[2]对账明细接口!$V1154),"")</f>
        <v/>
      </c>
      <c r="AB1154" s="10" t="str">
        <f aca="false">IFERROR(IF([2]对账明细接口!$W1154=0,"",[2]对账明细接口!$W1154),"")</f>
        <v/>
      </c>
      <c r="AC1154" s="90" t="str">
        <f aca="false">IFERROR(IF([2]对账明细接口!$X1155=0,"",[2]对账明细接口!$X1155),"")</f>
        <v/>
      </c>
      <c r="AD1154" s="90" t="str">
        <f aca="false">IFERROR(IF([2]对账明细接口!$Y1155=0,"",[2]对账明细接口!$Y1155),"")</f>
        <v/>
      </c>
      <c r="AE1154" s="90" t="str">
        <f aca="false">IFERROR(IF([2]对账明细接口!$AA1155=0,"",[2]对账明细接口!$AA1155),"")</f>
        <v/>
      </c>
      <c r="AF1154" s="90" t="str">
        <f aca="false">IFERROR(IF([2]对账明细接口!$AB1155=0,"",[2]对账明细接口!$AB1155),"")</f>
        <v/>
      </c>
      <c r="AG1154" s="90" t="str">
        <f aca="false">IFERROR(IF([2]对账明细接口!$AC1155=0,"",[2]对账明细接口!$AC1155),"")</f>
        <v/>
      </c>
      <c r="AH1154" s="90" t="str">
        <f aca="false">IFERROR(IF([2]对账明细接口!$AD1155=0,"",[2]对账明细接口!$AD1155),"")</f>
        <v/>
      </c>
    </row>
    <row r="1155" customFormat="false" ht="13.5" hidden="false" customHeight="false" outlineLevel="0" collapsed="false">
      <c r="A1155" s="109" t="n">
        <v>1155</v>
      </c>
      <c r="B1155" s="110" t="str">
        <f aca="false">IFERROR(IF([2]对账明细接口!$B$1155=0,"",[2]对账明细接口!$B$1155),"")</f>
        <v/>
      </c>
      <c r="C1155" s="59" t="str">
        <f aca="false">IFERROR(IF([2]对账明细接口!$C$1155=0,"",[2]对账明细接口!$C$1155),"")</f>
        <v/>
      </c>
      <c r="D1155" s="59" t="str">
        <f aca="false">IFERROR(IF([2]对账明细接口!$D$1155=0,"",[2]对账明细接口!$D$1155),"")</f>
        <v/>
      </c>
      <c r="E1155" s="59" t="str">
        <f aca="false">IFERROR(IF([2]对账明细接口!$E$1155=0,"",[2]对账明细接口!$E$1155),"")</f>
        <v/>
      </c>
      <c r="F1155" s="59" t="str">
        <f aca="false">IFERROR(IF([2]对账明细接口!$F$1155=0,"",[2]对账明细接口!$F$1155),"")</f>
        <v/>
      </c>
      <c r="G1155" s="59" t="str">
        <f aca="false">IFERROR(IF([2]对账明细接口!$G$1155=0,"",[2]对账明细接口!$G$1155),"")</f>
        <v/>
      </c>
      <c r="H1155" s="60" t="str">
        <f aca="false">IFERROR(IF([2]对账明细接口!$H$1155=0,"",[2]对账明细接口!$H$1155),"")</f>
        <v/>
      </c>
      <c r="I1155" s="59" t="str">
        <f aca="false">IFERROR(IF([2]对账明细接口!$I$1155=0,"",[2]对账明细接口!$I$1155),"")</f>
        <v/>
      </c>
      <c r="J1155" s="61" t="str">
        <f aca="false">IFERROR(IF([2]对账明细接口!$J$1155=0,"",[2]对账明细接口!$J$1155),"")</f>
        <v/>
      </c>
      <c r="K1155" s="61" t="str">
        <f aca="false">IFERROR(IF([2]对账明细接口!$K$1155=0,"",[2]对账明细接口!$K$1155),"")</f>
        <v/>
      </c>
      <c r="L1155" s="59" t="str">
        <f aca="false">IFERROR(IF([2]对账明细接口!$L$1155=0,"",[2]对账明细接口!$L$1155),"")</f>
        <v/>
      </c>
      <c r="M1155" s="59" t="str">
        <f aca="false">IFERROR(IF([2]对账明细接口!$M$1155=0,"",[2]对账明细接口!$M$1155),"")</f>
        <v/>
      </c>
      <c r="N1155" s="111" t="n">
        <f aca="false">IF($C1155="",0,1)</f>
        <v>0</v>
      </c>
      <c r="O1155" s="111" t="n">
        <f aca="false">N(O1154)+$N1155</f>
        <v>311</v>
      </c>
      <c r="S1155" s="10" t="str">
        <f aca="false">IFERROR(IF([2]对账明细接口!$N1155=0,"",[2]对账明细接口!$N1155),"")</f>
        <v/>
      </c>
      <c r="T1155" s="112" t="str">
        <f aca="false">IFERROR(IF([2]对账明细接口!$O1155=0,"",[2]对账明细接口!$O1155),"")</f>
        <v/>
      </c>
      <c r="U1155" s="112" t="str">
        <f aca="false">IFERROR(IF([2]对账明细接口!$P1155=0,"",[2]对账明细接口!$P1155),"")</f>
        <v/>
      </c>
      <c r="V1155" s="112" t="str">
        <f aca="false">IFERROR(IF([2]对账明细接口!$Q1155=0,"",[2]对账明细接口!$Q1155),"")</f>
        <v/>
      </c>
      <c r="W1155" s="10" t="str">
        <f aca="false">IFERROR(IF([2]对账明细接口!$R1155=0,"",[2]对账明细接口!$R1155),"")</f>
        <v/>
      </c>
      <c r="X1155" s="10" t="str">
        <f aca="false">IFERROR(IF([2]对账明细接口!$S1155=0,"",[2]对账明细接口!$S1155),"")</f>
        <v/>
      </c>
      <c r="Y1155" s="10" t="str">
        <f aca="false">IFERROR(IF([2]对账明细接口!$T1155=0,"",[2]对账明细接口!$T1155),"")</f>
        <v/>
      </c>
      <c r="Z1155" s="113" t="str">
        <f aca="false">IFERROR(IF([2]对账明细接口!$U1155=0,"",[2]对账明细接口!$U1155),"")</f>
        <v/>
      </c>
      <c r="AA1155" s="113" t="str">
        <f aca="false">IFERROR(IF([2]对账明细接口!$V1155=0,"",[2]对账明细接口!$V1155),"")</f>
        <v/>
      </c>
      <c r="AB1155" s="10" t="str">
        <f aca="false">IFERROR(IF([2]对账明细接口!$W1155=0,"",[2]对账明细接口!$W1155),"")</f>
        <v/>
      </c>
      <c r="AC1155" s="90" t="str">
        <f aca="false">IFERROR(IF([2]对账明细接口!$X1156=0,"",[2]对账明细接口!$X1156),"")</f>
        <v/>
      </c>
      <c r="AD1155" s="90" t="str">
        <f aca="false">IFERROR(IF([2]对账明细接口!$Y1156=0,"",[2]对账明细接口!$Y1156),"")</f>
        <v/>
      </c>
      <c r="AE1155" s="90" t="str">
        <f aca="false">IFERROR(IF([2]对账明细接口!$AA1156=0,"",[2]对账明细接口!$AA1156),"")</f>
        <v/>
      </c>
      <c r="AF1155" s="90" t="str">
        <f aca="false">IFERROR(IF([2]对账明细接口!$AB1156=0,"",[2]对账明细接口!$AB1156),"")</f>
        <v/>
      </c>
      <c r="AG1155" s="90" t="str">
        <f aca="false">IFERROR(IF([2]对账明细接口!$AC1156=0,"",[2]对账明细接口!$AC1156),"")</f>
        <v/>
      </c>
      <c r="AH1155" s="90" t="str">
        <f aca="false">IFERROR(IF([2]对账明细接口!$AD1156=0,"",[2]对账明细接口!$AD1156),"")</f>
        <v/>
      </c>
    </row>
    <row r="1156" customFormat="false" ht="13.5" hidden="false" customHeight="false" outlineLevel="0" collapsed="false">
      <c r="A1156" s="109" t="n">
        <v>1156</v>
      </c>
      <c r="B1156" s="110" t="str">
        <f aca="false">IFERROR(IF([2]对账明细接口!$B$1156=0,"",[2]对账明细接口!$B$1156),"")</f>
        <v/>
      </c>
      <c r="C1156" s="59" t="str">
        <f aca="false">IFERROR(IF([2]对账明细接口!$C$1156=0,"",[2]对账明细接口!$C$1156),"")</f>
        <v/>
      </c>
      <c r="D1156" s="59" t="str">
        <f aca="false">IFERROR(IF([2]对账明细接口!$D$1156=0,"",[2]对账明细接口!$D$1156),"")</f>
        <v/>
      </c>
      <c r="E1156" s="59" t="str">
        <f aca="false">IFERROR(IF([2]对账明细接口!$E$1156=0,"",[2]对账明细接口!$E$1156),"")</f>
        <v/>
      </c>
      <c r="F1156" s="59" t="str">
        <f aca="false">IFERROR(IF([2]对账明细接口!$F$1156=0,"",[2]对账明细接口!$F$1156),"")</f>
        <v/>
      </c>
      <c r="G1156" s="59" t="str">
        <f aca="false">IFERROR(IF([2]对账明细接口!$G$1156=0,"",[2]对账明细接口!$G$1156),"")</f>
        <v/>
      </c>
      <c r="H1156" s="60" t="str">
        <f aca="false">IFERROR(IF([2]对账明细接口!$H$1156=0,"",[2]对账明细接口!$H$1156),"")</f>
        <v/>
      </c>
      <c r="I1156" s="59" t="str">
        <f aca="false">IFERROR(IF([2]对账明细接口!$I$1156=0,"",[2]对账明细接口!$I$1156),"")</f>
        <v/>
      </c>
      <c r="J1156" s="61" t="str">
        <f aca="false">IFERROR(IF([2]对账明细接口!$J$1156=0,"",[2]对账明细接口!$J$1156),"")</f>
        <v/>
      </c>
      <c r="K1156" s="61" t="str">
        <f aca="false">IFERROR(IF([2]对账明细接口!$K$1156=0,"",[2]对账明细接口!$K$1156),"")</f>
        <v/>
      </c>
      <c r="L1156" s="59" t="str">
        <f aca="false">IFERROR(IF([2]对账明细接口!$L$1156=0,"",[2]对账明细接口!$L$1156),"")</f>
        <v/>
      </c>
      <c r="M1156" s="59" t="str">
        <f aca="false">IFERROR(IF([2]对账明细接口!$M$1156=0,"",[2]对账明细接口!$M$1156),"")</f>
        <v/>
      </c>
      <c r="N1156" s="111" t="n">
        <f aca="false">IF($C1156="",0,1)</f>
        <v>0</v>
      </c>
      <c r="O1156" s="111" t="n">
        <f aca="false">N(O1155)+$N1156</f>
        <v>311</v>
      </c>
      <c r="S1156" s="10" t="str">
        <f aca="false">IFERROR(IF([2]对账明细接口!$N1156=0,"",[2]对账明细接口!$N1156),"")</f>
        <v/>
      </c>
      <c r="T1156" s="112" t="str">
        <f aca="false">IFERROR(IF([2]对账明细接口!$O1156=0,"",[2]对账明细接口!$O1156),"")</f>
        <v/>
      </c>
      <c r="U1156" s="112" t="str">
        <f aca="false">IFERROR(IF([2]对账明细接口!$P1156=0,"",[2]对账明细接口!$P1156),"")</f>
        <v/>
      </c>
      <c r="V1156" s="112" t="str">
        <f aca="false">IFERROR(IF([2]对账明细接口!$Q1156=0,"",[2]对账明细接口!$Q1156),"")</f>
        <v/>
      </c>
      <c r="W1156" s="10" t="str">
        <f aca="false">IFERROR(IF([2]对账明细接口!$R1156=0,"",[2]对账明细接口!$R1156),"")</f>
        <v/>
      </c>
      <c r="X1156" s="10" t="str">
        <f aca="false">IFERROR(IF([2]对账明细接口!$S1156=0,"",[2]对账明细接口!$S1156),"")</f>
        <v/>
      </c>
      <c r="Y1156" s="10" t="str">
        <f aca="false">IFERROR(IF([2]对账明细接口!$T1156=0,"",[2]对账明细接口!$T1156),"")</f>
        <v/>
      </c>
      <c r="Z1156" s="113" t="str">
        <f aca="false">IFERROR(IF([2]对账明细接口!$U1156=0,"",[2]对账明细接口!$U1156),"")</f>
        <v/>
      </c>
      <c r="AA1156" s="113" t="str">
        <f aca="false">IFERROR(IF([2]对账明细接口!$V1156=0,"",[2]对账明细接口!$V1156),"")</f>
        <v/>
      </c>
      <c r="AB1156" s="10" t="str">
        <f aca="false">IFERROR(IF([2]对账明细接口!$W1156=0,"",[2]对账明细接口!$W1156),"")</f>
        <v/>
      </c>
      <c r="AC1156" s="90" t="str">
        <f aca="false">IFERROR(IF([2]对账明细接口!$X1157=0,"",[2]对账明细接口!$X1157),"")</f>
        <v/>
      </c>
      <c r="AD1156" s="90" t="str">
        <f aca="false">IFERROR(IF([2]对账明细接口!$Y1157=0,"",[2]对账明细接口!$Y1157),"")</f>
        <v/>
      </c>
      <c r="AE1156" s="90" t="str">
        <f aca="false">IFERROR(IF([2]对账明细接口!$AA1157=0,"",[2]对账明细接口!$AA1157),"")</f>
        <v/>
      </c>
      <c r="AF1156" s="90" t="str">
        <f aca="false">IFERROR(IF([2]对账明细接口!$AB1157=0,"",[2]对账明细接口!$AB1157),"")</f>
        <v/>
      </c>
      <c r="AG1156" s="90" t="str">
        <f aca="false">IFERROR(IF([2]对账明细接口!$AC1157=0,"",[2]对账明细接口!$AC1157),"")</f>
        <v/>
      </c>
      <c r="AH1156" s="90" t="str">
        <f aca="false">IFERROR(IF([2]对账明细接口!$AD1157=0,"",[2]对账明细接口!$AD1157),"")</f>
        <v/>
      </c>
    </row>
    <row r="1157" customFormat="false" ht="13.5" hidden="false" customHeight="false" outlineLevel="0" collapsed="false">
      <c r="A1157" s="109" t="n">
        <v>1157</v>
      </c>
      <c r="B1157" s="110" t="str">
        <f aca="false">IFERROR(IF([2]对账明细接口!$B$1157=0,"",[2]对账明细接口!$B$1157),"")</f>
        <v/>
      </c>
      <c r="C1157" s="59" t="str">
        <f aca="false">IFERROR(IF([2]对账明细接口!$C$1157=0,"",[2]对账明细接口!$C$1157),"")</f>
        <v/>
      </c>
      <c r="D1157" s="59" t="str">
        <f aca="false">IFERROR(IF([2]对账明细接口!$D$1157=0,"",[2]对账明细接口!$D$1157),"")</f>
        <v/>
      </c>
      <c r="E1157" s="59" t="str">
        <f aca="false">IFERROR(IF([2]对账明细接口!$E$1157=0,"",[2]对账明细接口!$E$1157),"")</f>
        <v/>
      </c>
      <c r="F1157" s="59" t="str">
        <f aca="false">IFERROR(IF([2]对账明细接口!$F$1157=0,"",[2]对账明细接口!$F$1157),"")</f>
        <v/>
      </c>
      <c r="G1157" s="59" t="str">
        <f aca="false">IFERROR(IF([2]对账明细接口!$G$1157=0,"",[2]对账明细接口!$G$1157),"")</f>
        <v/>
      </c>
      <c r="H1157" s="60" t="str">
        <f aca="false">IFERROR(IF([2]对账明细接口!$H$1157=0,"",[2]对账明细接口!$H$1157),"")</f>
        <v/>
      </c>
      <c r="I1157" s="59" t="str">
        <f aca="false">IFERROR(IF([2]对账明细接口!$I$1157=0,"",[2]对账明细接口!$I$1157),"")</f>
        <v/>
      </c>
      <c r="J1157" s="61" t="str">
        <f aca="false">IFERROR(IF([2]对账明细接口!$J$1157=0,"",[2]对账明细接口!$J$1157),"")</f>
        <v/>
      </c>
      <c r="K1157" s="61" t="str">
        <f aca="false">IFERROR(IF([2]对账明细接口!$K$1157=0,"",[2]对账明细接口!$K$1157),"")</f>
        <v/>
      </c>
      <c r="L1157" s="59" t="str">
        <f aca="false">IFERROR(IF([2]对账明细接口!$L$1157=0,"",[2]对账明细接口!$L$1157),"")</f>
        <v/>
      </c>
      <c r="M1157" s="59" t="str">
        <f aca="false">IFERROR(IF([2]对账明细接口!$M$1157=0,"",[2]对账明细接口!$M$1157),"")</f>
        <v/>
      </c>
      <c r="N1157" s="111" t="n">
        <f aca="false">IF($C1157="",0,1)</f>
        <v>0</v>
      </c>
      <c r="O1157" s="111" t="n">
        <f aca="false">N(O1156)+$N1157</f>
        <v>311</v>
      </c>
      <c r="S1157" s="10" t="str">
        <f aca="false">IFERROR(IF([2]对账明细接口!$N1157=0,"",[2]对账明细接口!$N1157),"")</f>
        <v/>
      </c>
      <c r="T1157" s="112" t="str">
        <f aca="false">IFERROR(IF([2]对账明细接口!$O1157=0,"",[2]对账明细接口!$O1157),"")</f>
        <v/>
      </c>
      <c r="U1157" s="112" t="str">
        <f aca="false">IFERROR(IF([2]对账明细接口!$P1157=0,"",[2]对账明细接口!$P1157),"")</f>
        <v/>
      </c>
      <c r="V1157" s="112" t="str">
        <f aca="false">IFERROR(IF([2]对账明细接口!$Q1157=0,"",[2]对账明细接口!$Q1157),"")</f>
        <v/>
      </c>
      <c r="W1157" s="10" t="str">
        <f aca="false">IFERROR(IF([2]对账明细接口!$R1157=0,"",[2]对账明细接口!$R1157),"")</f>
        <v/>
      </c>
      <c r="X1157" s="10" t="str">
        <f aca="false">IFERROR(IF([2]对账明细接口!$S1157=0,"",[2]对账明细接口!$S1157),"")</f>
        <v/>
      </c>
      <c r="Y1157" s="10" t="str">
        <f aca="false">IFERROR(IF([2]对账明细接口!$T1157=0,"",[2]对账明细接口!$T1157),"")</f>
        <v/>
      </c>
      <c r="Z1157" s="113" t="str">
        <f aca="false">IFERROR(IF([2]对账明细接口!$U1157=0,"",[2]对账明细接口!$U1157),"")</f>
        <v/>
      </c>
      <c r="AA1157" s="113" t="str">
        <f aca="false">IFERROR(IF([2]对账明细接口!$V1157=0,"",[2]对账明细接口!$V1157),"")</f>
        <v/>
      </c>
      <c r="AB1157" s="10" t="str">
        <f aca="false">IFERROR(IF([2]对账明细接口!$W1157=0,"",[2]对账明细接口!$W1157),"")</f>
        <v/>
      </c>
      <c r="AC1157" s="90" t="str">
        <f aca="false">IFERROR(IF([2]对账明细接口!$X1158=0,"",[2]对账明细接口!$X1158),"")</f>
        <v/>
      </c>
      <c r="AD1157" s="90" t="str">
        <f aca="false">IFERROR(IF([2]对账明细接口!$Y1158=0,"",[2]对账明细接口!$Y1158),"")</f>
        <v/>
      </c>
      <c r="AE1157" s="90" t="str">
        <f aca="false">IFERROR(IF([2]对账明细接口!$AA1158=0,"",[2]对账明细接口!$AA1158),"")</f>
        <v/>
      </c>
      <c r="AF1157" s="90" t="str">
        <f aca="false">IFERROR(IF([2]对账明细接口!$AB1158=0,"",[2]对账明细接口!$AB1158),"")</f>
        <v/>
      </c>
      <c r="AG1157" s="90" t="str">
        <f aca="false">IFERROR(IF([2]对账明细接口!$AC1158=0,"",[2]对账明细接口!$AC1158),"")</f>
        <v/>
      </c>
      <c r="AH1157" s="90" t="str">
        <f aca="false">IFERROR(IF([2]对账明细接口!$AD1158=0,"",[2]对账明细接口!$AD1158),"")</f>
        <v/>
      </c>
    </row>
    <row r="1158" customFormat="false" ht="13.5" hidden="false" customHeight="false" outlineLevel="0" collapsed="false">
      <c r="A1158" s="109" t="n">
        <v>1158</v>
      </c>
      <c r="B1158" s="110" t="str">
        <f aca="false">IFERROR(IF([2]对账明细接口!$B$1158=0,"",[2]对账明细接口!$B$1158),"")</f>
        <v/>
      </c>
      <c r="C1158" s="59" t="str">
        <f aca="false">IFERROR(IF([2]对账明细接口!$C$1158=0,"",[2]对账明细接口!$C$1158),"")</f>
        <v/>
      </c>
      <c r="D1158" s="59" t="str">
        <f aca="false">IFERROR(IF([2]对账明细接口!$D$1158=0,"",[2]对账明细接口!$D$1158),"")</f>
        <v/>
      </c>
      <c r="E1158" s="59" t="str">
        <f aca="false">IFERROR(IF([2]对账明细接口!$E$1158=0,"",[2]对账明细接口!$E$1158),"")</f>
        <v/>
      </c>
      <c r="F1158" s="59" t="str">
        <f aca="false">IFERROR(IF([2]对账明细接口!$F$1158=0,"",[2]对账明细接口!$F$1158),"")</f>
        <v/>
      </c>
      <c r="G1158" s="59" t="str">
        <f aca="false">IFERROR(IF([2]对账明细接口!$G$1158=0,"",[2]对账明细接口!$G$1158),"")</f>
        <v/>
      </c>
      <c r="H1158" s="60" t="str">
        <f aca="false">IFERROR(IF([2]对账明细接口!$H$1158=0,"",[2]对账明细接口!$H$1158),"")</f>
        <v/>
      </c>
      <c r="I1158" s="59" t="str">
        <f aca="false">IFERROR(IF([2]对账明细接口!$I$1158=0,"",[2]对账明细接口!$I$1158),"")</f>
        <v/>
      </c>
      <c r="J1158" s="61" t="str">
        <f aca="false">IFERROR(IF([2]对账明细接口!$J$1158=0,"",[2]对账明细接口!$J$1158),"")</f>
        <v/>
      </c>
      <c r="K1158" s="61" t="str">
        <f aca="false">IFERROR(IF([2]对账明细接口!$K$1158=0,"",[2]对账明细接口!$K$1158),"")</f>
        <v/>
      </c>
      <c r="L1158" s="59" t="str">
        <f aca="false">IFERROR(IF([2]对账明细接口!$L$1158=0,"",[2]对账明细接口!$L$1158),"")</f>
        <v/>
      </c>
      <c r="M1158" s="59" t="str">
        <f aca="false">IFERROR(IF([2]对账明细接口!$M$1158=0,"",[2]对账明细接口!$M$1158),"")</f>
        <v/>
      </c>
      <c r="N1158" s="111" t="n">
        <f aca="false">IF($C1158="",0,1)</f>
        <v>0</v>
      </c>
      <c r="O1158" s="111" t="n">
        <f aca="false">N(O1157)+$N1158</f>
        <v>311</v>
      </c>
      <c r="S1158" s="10" t="str">
        <f aca="false">IFERROR(IF([2]对账明细接口!$N1158=0,"",[2]对账明细接口!$N1158),"")</f>
        <v/>
      </c>
      <c r="T1158" s="112" t="str">
        <f aca="false">IFERROR(IF([2]对账明细接口!$O1158=0,"",[2]对账明细接口!$O1158),"")</f>
        <v/>
      </c>
      <c r="U1158" s="112" t="str">
        <f aca="false">IFERROR(IF([2]对账明细接口!$P1158=0,"",[2]对账明细接口!$P1158),"")</f>
        <v/>
      </c>
      <c r="V1158" s="112" t="str">
        <f aca="false">IFERROR(IF([2]对账明细接口!$Q1158=0,"",[2]对账明细接口!$Q1158),"")</f>
        <v/>
      </c>
      <c r="W1158" s="10" t="str">
        <f aca="false">IFERROR(IF([2]对账明细接口!$R1158=0,"",[2]对账明细接口!$R1158),"")</f>
        <v/>
      </c>
      <c r="X1158" s="10" t="str">
        <f aca="false">IFERROR(IF([2]对账明细接口!$S1158=0,"",[2]对账明细接口!$S1158),"")</f>
        <v/>
      </c>
      <c r="Y1158" s="10" t="str">
        <f aca="false">IFERROR(IF([2]对账明细接口!$T1158=0,"",[2]对账明细接口!$T1158),"")</f>
        <v/>
      </c>
      <c r="Z1158" s="113" t="str">
        <f aca="false">IFERROR(IF([2]对账明细接口!$U1158=0,"",[2]对账明细接口!$U1158),"")</f>
        <v/>
      </c>
      <c r="AA1158" s="113" t="str">
        <f aca="false">IFERROR(IF([2]对账明细接口!$V1158=0,"",[2]对账明细接口!$V1158),"")</f>
        <v/>
      </c>
      <c r="AB1158" s="10" t="str">
        <f aca="false">IFERROR(IF([2]对账明细接口!$W1158=0,"",[2]对账明细接口!$W1158),"")</f>
        <v/>
      </c>
      <c r="AC1158" s="90" t="str">
        <f aca="false">IFERROR(IF([2]对账明细接口!$X1159=0,"",[2]对账明细接口!$X1159),"")</f>
        <v/>
      </c>
      <c r="AD1158" s="90" t="str">
        <f aca="false">IFERROR(IF([2]对账明细接口!$Y1159=0,"",[2]对账明细接口!$Y1159),"")</f>
        <v/>
      </c>
      <c r="AE1158" s="90" t="str">
        <f aca="false">IFERROR(IF([2]对账明细接口!$AA1159=0,"",[2]对账明细接口!$AA1159),"")</f>
        <v/>
      </c>
      <c r="AF1158" s="90" t="str">
        <f aca="false">IFERROR(IF([2]对账明细接口!$AB1159=0,"",[2]对账明细接口!$AB1159),"")</f>
        <v/>
      </c>
      <c r="AG1158" s="90" t="str">
        <f aca="false">IFERROR(IF([2]对账明细接口!$AC1159=0,"",[2]对账明细接口!$AC1159),"")</f>
        <v/>
      </c>
      <c r="AH1158" s="90" t="str">
        <f aca="false">IFERROR(IF([2]对账明细接口!$AD1159=0,"",[2]对账明细接口!$AD1159),"")</f>
        <v/>
      </c>
    </row>
    <row r="1159" customFormat="false" ht="13.5" hidden="false" customHeight="false" outlineLevel="0" collapsed="false">
      <c r="A1159" s="109" t="n">
        <v>1159</v>
      </c>
      <c r="B1159" s="110" t="str">
        <f aca="false">IFERROR(IF([2]对账明细接口!$B$1159=0,"",[2]对账明细接口!$B$1159),"")</f>
        <v/>
      </c>
      <c r="C1159" s="59" t="str">
        <f aca="false">IFERROR(IF([2]对账明细接口!$C$1159=0,"",[2]对账明细接口!$C$1159),"")</f>
        <v/>
      </c>
      <c r="D1159" s="59" t="str">
        <f aca="false">IFERROR(IF([2]对账明细接口!$D$1159=0,"",[2]对账明细接口!$D$1159),"")</f>
        <v/>
      </c>
      <c r="E1159" s="59" t="str">
        <f aca="false">IFERROR(IF([2]对账明细接口!$E$1159=0,"",[2]对账明细接口!$E$1159),"")</f>
        <v/>
      </c>
      <c r="F1159" s="59" t="str">
        <f aca="false">IFERROR(IF([2]对账明细接口!$F$1159=0,"",[2]对账明细接口!$F$1159),"")</f>
        <v/>
      </c>
      <c r="G1159" s="59" t="str">
        <f aca="false">IFERROR(IF([2]对账明细接口!$G$1159=0,"",[2]对账明细接口!$G$1159),"")</f>
        <v/>
      </c>
      <c r="H1159" s="60" t="str">
        <f aca="false">IFERROR(IF([2]对账明细接口!$H$1159=0,"",[2]对账明细接口!$H$1159),"")</f>
        <v/>
      </c>
      <c r="I1159" s="59" t="str">
        <f aca="false">IFERROR(IF([2]对账明细接口!$I$1159=0,"",[2]对账明细接口!$I$1159),"")</f>
        <v/>
      </c>
      <c r="J1159" s="61" t="str">
        <f aca="false">IFERROR(IF([2]对账明细接口!$J$1159=0,"",[2]对账明细接口!$J$1159),"")</f>
        <v/>
      </c>
      <c r="K1159" s="61" t="str">
        <f aca="false">IFERROR(IF([2]对账明细接口!$K$1159=0,"",[2]对账明细接口!$K$1159),"")</f>
        <v/>
      </c>
      <c r="L1159" s="59" t="str">
        <f aca="false">IFERROR(IF([2]对账明细接口!$L$1159=0,"",[2]对账明细接口!$L$1159),"")</f>
        <v/>
      </c>
      <c r="M1159" s="59" t="str">
        <f aca="false">IFERROR(IF([2]对账明细接口!$M$1159=0,"",[2]对账明细接口!$M$1159),"")</f>
        <v/>
      </c>
      <c r="N1159" s="111" t="n">
        <f aca="false">IF($C1159="",0,1)</f>
        <v>0</v>
      </c>
      <c r="O1159" s="111" t="n">
        <f aca="false">N(O1158)+$N1159</f>
        <v>311</v>
      </c>
      <c r="S1159" s="10" t="str">
        <f aca="false">IFERROR(IF([2]对账明细接口!$N1159=0,"",[2]对账明细接口!$N1159),"")</f>
        <v/>
      </c>
      <c r="T1159" s="112" t="str">
        <f aca="false">IFERROR(IF([2]对账明细接口!$O1159=0,"",[2]对账明细接口!$O1159),"")</f>
        <v/>
      </c>
      <c r="U1159" s="112" t="str">
        <f aca="false">IFERROR(IF([2]对账明细接口!$P1159=0,"",[2]对账明细接口!$P1159),"")</f>
        <v/>
      </c>
      <c r="V1159" s="112" t="str">
        <f aca="false">IFERROR(IF([2]对账明细接口!$Q1159=0,"",[2]对账明细接口!$Q1159),"")</f>
        <v/>
      </c>
      <c r="W1159" s="10" t="str">
        <f aca="false">IFERROR(IF([2]对账明细接口!$R1159=0,"",[2]对账明细接口!$R1159),"")</f>
        <v/>
      </c>
      <c r="X1159" s="10" t="str">
        <f aca="false">IFERROR(IF([2]对账明细接口!$S1159=0,"",[2]对账明细接口!$S1159),"")</f>
        <v/>
      </c>
      <c r="Y1159" s="10" t="str">
        <f aca="false">IFERROR(IF([2]对账明细接口!$T1159=0,"",[2]对账明细接口!$T1159),"")</f>
        <v/>
      </c>
      <c r="Z1159" s="113" t="str">
        <f aca="false">IFERROR(IF([2]对账明细接口!$U1159=0,"",[2]对账明细接口!$U1159),"")</f>
        <v/>
      </c>
      <c r="AA1159" s="113" t="str">
        <f aca="false">IFERROR(IF([2]对账明细接口!$V1159=0,"",[2]对账明细接口!$V1159),"")</f>
        <v/>
      </c>
      <c r="AB1159" s="10" t="str">
        <f aca="false">IFERROR(IF([2]对账明细接口!$W1159=0,"",[2]对账明细接口!$W1159),"")</f>
        <v/>
      </c>
      <c r="AC1159" s="90" t="str">
        <f aca="false">IFERROR(IF([2]对账明细接口!$X1160=0,"",[2]对账明细接口!$X1160),"")</f>
        <v/>
      </c>
      <c r="AD1159" s="90" t="str">
        <f aca="false">IFERROR(IF([2]对账明细接口!$Y1160=0,"",[2]对账明细接口!$Y1160),"")</f>
        <v/>
      </c>
      <c r="AE1159" s="90" t="str">
        <f aca="false">IFERROR(IF([2]对账明细接口!$AA1160=0,"",[2]对账明细接口!$AA1160),"")</f>
        <v/>
      </c>
      <c r="AF1159" s="90" t="str">
        <f aca="false">IFERROR(IF([2]对账明细接口!$AB1160=0,"",[2]对账明细接口!$AB1160),"")</f>
        <v/>
      </c>
      <c r="AG1159" s="90" t="str">
        <f aca="false">IFERROR(IF([2]对账明细接口!$AC1160=0,"",[2]对账明细接口!$AC1160),"")</f>
        <v/>
      </c>
      <c r="AH1159" s="90" t="str">
        <f aca="false">IFERROR(IF([2]对账明细接口!$AD1160=0,"",[2]对账明细接口!$AD1160),"")</f>
        <v/>
      </c>
    </row>
    <row r="1160" customFormat="false" ht="13.5" hidden="false" customHeight="false" outlineLevel="0" collapsed="false">
      <c r="A1160" s="109" t="n">
        <v>1160</v>
      </c>
      <c r="B1160" s="110" t="str">
        <f aca="false">IFERROR(IF([2]对账明细接口!$B$1160=0,"",[2]对账明细接口!$B$1160),"")</f>
        <v/>
      </c>
      <c r="C1160" s="59" t="str">
        <f aca="false">IFERROR(IF([2]对账明细接口!$C$1160=0,"",[2]对账明细接口!$C$1160),"")</f>
        <v/>
      </c>
      <c r="D1160" s="59" t="str">
        <f aca="false">IFERROR(IF([2]对账明细接口!$D$1160=0,"",[2]对账明细接口!$D$1160),"")</f>
        <v/>
      </c>
      <c r="E1160" s="59" t="str">
        <f aca="false">IFERROR(IF([2]对账明细接口!$E$1160=0,"",[2]对账明细接口!$E$1160),"")</f>
        <v/>
      </c>
      <c r="F1160" s="59" t="str">
        <f aca="false">IFERROR(IF([2]对账明细接口!$F$1160=0,"",[2]对账明细接口!$F$1160),"")</f>
        <v/>
      </c>
      <c r="G1160" s="59" t="str">
        <f aca="false">IFERROR(IF([2]对账明细接口!$G$1160=0,"",[2]对账明细接口!$G$1160),"")</f>
        <v/>
      </c>
      <c r="H1160" s="60" t="str">
        <f aca="false">IFERROR(IF([2]对账明细接口!$H$1160=0,"",[2]对账明细接口!$H$1160),"")</f>
        <v/>
      </c>
      <c r="I1160" s="59" t="str">
        <f aca="false">IFERROR(IF([2]对账明细接口!$I$1160=0,"",[2]对账明细接口!$I$1160),"")</f>
        <v/>
      </c>
      <c r="J1160" s="61" t="str">
        <f aca="false">IFERROR(IF([2]对账明细接口!$J$1160=0,"",[2]对账明细接口!$J$1160),"")</f>
        <v/>
      </c>
      <c r="K1160" s="61" t="str">
        <f aca="false">IFERROR(IF([2]对账明细接口!$K$1160=0,"",[2]对账明细接口!$K$1160),"")</f>
        <v/>
      </c>
      <c r="L1160" s="59" t="str">
        <f aca="false">IFERROR(IF([2]对账明细接口!$L$1160=0,"",[2]对账明细接口!$L$1160),"")</f>
        <v/>
      </c>
      <c r="M1160" s="59" t="str">
        <f aca="false">IFERROR(IF([2]对账明细接口!$M$1160=0,"",[2]对账明细接口!$M$1160),"")</f>
        <v/>
      </c>
      <c r="N1160" s="111" t="n">
        <f aca="false">IF($C1160="",0,1)</f>
        <v>0</v>
      </c>
      <c r="O1160" s="111" t="n">
        <f aca="false">N(O1159)+$N1160</f>
        <v>311</v>
      </c>
      <c r="S1160" s="10" t="str">
        <f aca="false">IFERROR(IF([2]对账明细接口!$N1160=0,"",[2]对账明细接口!$N1160),"")</f>
        <v/>
      </c>
      <c r="T1160" s="112" t="str">
        <f aca="false">IFERROR(IF([2]对账明细接口!$O1160=0,"",[2]对账明细接口!$O1160),"")</f>
        <v/>
      </c>
      <c r="U1160" s="112" t="str">
        <f aca="false">IFERROR(IF([2]对账明细接口!$P1160=0,"",[2]对账明细接口!$P1160),"")</f>
        <v/>
      </c>
      <c r="V1160" s="112" t="str">
        <f aca="false">IFERROR(IF([2]对账明细接口!$Q1160=0,"",[2]对账明细接口!$Q1160),"")</f>
        <v/>
      </c>
      <c r="W1160" s="10" t="str">
        <f aca="false">IFERROR(IF([2]对账明细接口!$R1160=0,"",[2]对账明细接口!$R1160),"")</f>
        <v/>
      </c>
      <c r="X1160" s="10" t="str">
        <f aca="false">IFERROR(IF([2]对账明细接口!$S1160=0,"",[2]对账明细接口!$S1160),"")</f>
        <v/>
      </c>
      <c r="Y1160" s="10" t="str">
        <f aca="false">IFERROR(IF([2]对账明细接口!$T1160=0,"",[2]对账明细接口!$T1160),"")</f>
        <v/>
      </c>
      <c r="Z1160" s="113" t="str">
        <f aca="false">IFERROR(IF([2]对账明细接口!$U1160=0,"",[2]对账明细接口!$U1160),"")</f>
        <v/>
      </c>
      <c r="AA1160" s="113" t="str">
        <f aca="false">IFERROR(IF([2]对账明细接口!$V1160=0,"",[2]对账明细接口!$V1160),"")</f>
        <v/>
      </c>
      <c r="AB1160" s="10" t="str">
        <f aca="false">IFERROR(IF([2]对账明细接口!$W1160=0,"",[2]对账明细接口!$W1160),"")</f>
        <v/>
      </c>
      <c r="AC1160" s="90" t="str">
        <f aca="false">IFERROR(IF([2]对账明细接口!$X1161=0,"",[2]对账明细接口!$X1161),"")</f>
        <v/>
      </c>
      <c r="AD1160" s="90" t="str">
        <f aca="false">IFERROR(IF([2]对账明细接口!$Y1161=0,"",[2]对账明细接口!$Y1161),"")</f>
        <v/>
      </c>
      <c r="AE1160" s="90" t="str">
        <f aca="false">IFERROR(IF([2]对账明细接口!$AA1161=0,"",[2]对账明细接口!$AA1161),"")</f>
        <v/>
      </c>
      <c r="AF1160" s="90" t="str">
        <f aca="false">IFERROR(IF([2]对账明细接口!$AB1161=0,"",[2]对账明细接口!$AB1161),"")</f>
        <v/>
      </c>
      <c r="AG1160" s="90" t="str">
        <f aca="false">IFERROR(IF([2]对账明细接口!$AC1161=0,"",[2]对账明细接口!$AC1161),"")</f>
        <v/>
      </c>
      <c r="AH1160" s="90" t="str">
        <f aca="false">IFERROR(IF([2]对账明细接口!$AD1161=0,"",[2]对账明细接口!$AD1161),"")</f>
        <v/>
      </c>
    </row>
    <row r="1161" customFormat="false" ht="13.5" hidden="false" customHeight="false" outlineLevel="0" collapsed="false">
      <c r="A1161" s="109" t="n">
        <v>1161</v>
      </c>
      <c r="B1161" s="110" t="str">
        <f aca="false">IFERROR(IF([2]对账明细接口!$B$1161=0,"",[2]对账明细接口!$B$1161),"")</f>
        <v/>
      </c>
      <c r="C1161" s="59" t="str">
        <f aca="false">IFERROR(IF([2]对账明细接口!$C$1161=0,"",[2]对账明细接口!$C$1161),"")</f>
        <v/>
      </c>
      <c r="D1161" s="59" t="str">
        <f aca="false">IFERROR(IF([2]对账明细接口!$D$1161=0,"",[2]对账明细接口!$D$1161),"")</f>
        <v/>
      </c>
      <c r="E1161" s="59" t="str">
        <f aca="false">IFERROR(IF([2]对账明细接口!$E$1161=0,"",[2]对账明细接口!$E$1161),"")</f>
        <v/>
      </c>
      <c r="F1161" s="59" t="str">
        <f aca="false">IFERROR(IF([2]对账明细接口!$F$1161=0,"",[2]对账明细接口!$F$1161),"")</f>
        <v/>
      </c>
      <c r="G1161" s="59" t="str">
        <f aca="false">IFERROR(IF([2]对账明细接口!$G$1161=0,"",[2]对账明细接口!$G$1161),"")</f>
        <v/>
      </c>
      <c r="H1161" s="60" t="str">
        <f aca="false">IFERROR(IF([2]对账明细接口!$H$1161=0,"",[2]对账明细接口!$H$1161),"")</f>
        <v/>
      </c>
      <c r="I1161" s="59" t="str">
        <f aca="false">IFERROR(IF([2]对账明细接口!$I$1161=0,"",[2]对账明细接口!$I$1161),"")</f>
        <v/>
      </c>
      <c r="J1161" s="61" t="str">
        <f aca="false">IFERROR(IF([2]对账明细接口!$J$1161=0,"",[2]对账明细接口!$J$1161),"")</f>
        <v/>
      </c>
      <c r="K1161" s="61" t="str">
        <f aca="false">IFERROR(IF([2]对账明细接口!$K$1161=0,"",[2]对账明细接口!$K$1161),"")</f>
        <v/>
      </c>
      <c r="L1161" s="59" t="str">
        <f aca="false">IFERROR(IF([2]对账明细接口!$L$1161=0,"",[2]对账明细接口!$L$1161),"")</f>
        <v/>
      </c>
      <c r="M1161" s="59" t="str">
        <f aca="false">IFERROR(IF([2]对账明细接口!$M$1161=0,"",[2]对账明细接口!$M$1161),"")</f>
        <v/>
      </c>
      <c r="N1161" s="111" t="n">
        <f aca="false">IF($C1161="",0,1)</f>
        <v>0</v>
      </c>
      <c r="O1161" s="111" t="n">
        <f aca="false">N(O1160)+$N1161</f>
        <v>311</v>
      </c>
      <c r="S1161" s="10" t="str">
        <f aca="false">IFERROR(IF([2]对账明细接口!$N1161=0,"",[2]对账明细接口!$N1161),"")</f>
        <v/>
      </c>
      <c r="T1161" s="112" t="str">
        <f aca="false">IFERROR(IF([2]对账明细接口!$O1161=0,"",[2]对账明细接口!$O1161),"")</f>
        <v/>
      </c>
      <c r="U1161" s="112" t="str">
        <f aca="false">IFERROR(IF([2]对账明细接口!$P1161=0,"",[2]对账明细接口!$P1161),"")</f>
        <v/>
      </c>
      <c r="V1161" s="112" t="str">
        <f aca="false">IFERROR(IF([2]对账明细接口!$Q1161=0,"",[2]对账明细接口!$Q1161),"")</f>
        <v/>
      </c>
      <c r="W1161" s="10" t="str">
        <f aca="false">IFERROR(IF([2]对账明细接口!$R1161=0,"",[2]对账明细接口!$R1161),"")</f>
        <v/>
      </c>
      <c r="X1161" s="10" t="str">
        <f aca="false">IFERROR(IF([2]对账明细接口!$S1161=0,"",[2]对账明细接口!$S1161),"")</f>
        <v/>
      </c>
      <c r="Y1161" s="10" t="str">
        <f aca="false">IFERROR(IF([2]对账明细接口!$T1161=0,"",[2]对账明细接口!$T1161),"")</f>
        <v/>
      </c>
      <c r="Z1161" s="113" t="str">
        <f aca="false">IFERROR(IF([2]对账明细接口!$U1161=0,"",[2]对账明细接口!$U1161),"")</f>
        <v/>
      </c>
      <c r="AA1161" s="113" t="str">
        <f aca="false">IFERROR(IF([2]对账明细接口!$V1161=0,"",[2]对账明细接口!$V1161),"")</f>
        <v/>
      </c>
      <c r="AB1161" s="10" t="str">
        <f aca="false">IFERROR(IF([2]对账明细接口!$W1161=0,"",[2]对账明细接口!$W1161),"")</f>
        <v/>
      </c>
      <c r="AC1161" s="90" t="str">
        <f aca="false">IFERROR(IF([2]对账明细接口!$X1162=0,"",[2]对账明细接口!$X1162),"")</f>
        <v/>
      </c>
      <c r="AD1161" s="90" t="str">
        <f aca="false">IFERROR(IF([2]对账明细接口!$Y1162=0,"",[2]对账明细接口!$Y1162),"")</f>
        <v/>
      </c>
      <c r="AE1161" s="90" t="str">
        <f aca="false">IFERROR(IF([2]对账明细接口!$AA1162=0,"",[2]对账明细接口!$AA1162),"")</f>
        <v/>
      </c>
      <c r="AF1161" s="90" t="str">
        <f aca="false">IFERROR(IF([2]对账明细接口!$AB1162=0,"",[2]对账明细接口!$AB1162),"")</f>
        <v/>
      </c>
      <c r="AG1161" s="90" t="str">
        <f aca="false">IFERROR(IF([2]对账明细接口!$AC1162=0,"",[2]对账明细接口!$AC1162),"")</f>
        <v/>
      </c>
      <c r="AH1161" s="90" t="str">
        <f aca="false">IFERROR(IF([2]对账明细接口!$AD1162=0,"",[2]对账明细接口!$AD1162),"")</f>
        <v/>
      </c>
    </row>
    <row r="1162" customFormat="false" ht="13.5" hidden="false" customHeight="false" outlineLevel="0" collapsed="false">
      <c r="A1162" s="109" t="n">
        <v>1162</v>
      </c>
      <c r="B1162" s="110" t="str">
        <f aca="false">IFERROR(IF([2]对账明细接口!$B$1162=0,"",[2]对账明细接口!$B$1162),"")</f>
        <v/>
      </c>
      <c r="C1162" s="59" t="str">
        <f aca="false">IFERROR(IF([2]对账明细接口!$C$1162=0,"",[2]对账明细接口!$C$1162),"")</f>
        <v/>
      </c>
      <c r="D1162" s="59" t="str">
        <f aca="false">IFERROR(IF([2]对账明细接口!$D$1162=0,"",[2]对账明细接口!$D$1162),"")</f>
        <v/>
      </c>
      <c r="E1162" s="59" t="str">
        <f aca="false">IFERROR(IF([2]对账明细接口!$E$1162=0,"",[2]对账明细接口!$E$1162),"")</f>
        <v/>
      </c>
      <c r="F1162" s="59" t="str">
        <f aca="false">IFERROR(IF([2]对账明细接口!$F$1162=0,"",[2]对账明细接口!$F$1162),"")</f>
        <v/>
      </c>
      <c r="G1162" s="59" t="str">
        <f aca="false">IFERROR(IF([2]对账明细接口!$G$1162=0,"",[2]对账明细接口!$G$1162),"")</f>
        <v/>
      </c>
      <c r="H1162" s="60" t="str">
        <f aca="false">IFERROR(IF([2]对账明细接口!$H$1162=0,"",[2]对账明细接口!$H$1162),"")</f>
        <v/>
      </c>
      <c r="I1162" s="59" t="str">
        <f aca="false">IFERROR(IF([2]对账明细接口!$I$1162=0,"",[2]对账明细接口!$I$1162),"")</f>
        <v/>
      </c>
      <c r="J1162" s="61" t="str">
        <f aca="false">IFERROR(IF([2]对账明细接口!$J$1162=0,"",[2]对账明细接口!$J$1162),"")</f>
        <v/>
      </c>
      <c r="K1162" s="61" t="str">
        <f aca="false">IFERROR(IF([2]对账明细接口!$K$1162=0,"",[2]对账明细接口!$K$1162),"")</f>
        <v/>
      </c>
      <c r="L1162" s="59" t="str">
        <f aca="false">IFERROR(IF([2]对账明细接口!$L$1162=0,"",[2]对账明细接口!$L$1162),"")</f>
        <v/>
      </c>
      <c r="M1162" s="59" t="str">
        <f aca="false">IFERROR(IF([2]对账明细接口!$M$1162=0,"",[2]对账明细接口!$M$1162),"")</f>
        <v/>
      </c>
      <c r="N1162" s="111" t="n">
        <f aca="false">IF($C1162="",0,1)</f>
        <v>0</v>
      </c>
      <c r="O1162" s="111" t="n">
        <f aca="false">N(O1161)+$N1162</f>
        <v>311</v>
      </c>
      <c r="S1162" s="10" t="str">
        <f aca="false">IFERROR(IF([2]对账明细接口!$N1162=0,"",[2]对账明细接口!$N1162),"")</f>
        <v/>
      </c>
      <c r="T1162" s="112" t="str">
        <f aca="false">IFERROR(IF([2]对账明细接口!$O1162=0,"",[2]对账明细接口!$O1162),"")</f>
        <v/>
      </c>
      <c r="U1162" s="112" t="str">
        <f aca="false">IFERROR(IF([2]对账明细接口!$P1162=0,"",[2]对账明细接口!$P1162),"")</f>
        <v/>
      </c>
      <c r="V1162" s="112" t="str">
        <f aca="false">IFERROR(IF([2]对账明细接口!$Q1162=0,"",[2]对账明细接口!$Q1162),"")</f>
        <v/>
      </c>
      <c r="W1162" s="10" t="str">
        <f aca="false">IFERROR(IF([2]对账明细接口!$R1162=0,"",[2]对账明细接口!$R1162),"")</f>
        <v/>
      </c>
      <c r="X1162" s="10" t="str">
        <f aca="false">IFERROR(IF([2]对账明细接口!$S1162=0,"",[2]对账明细接口!$S1162),"")</f>
        <v/>
      </c>
      <c r="Y1162" s="10" t="str">
        <f aca="false">IFERROR(IF([2]对账明细接口!$T1162=0,"",[2]对账明细接口!$T1162),"")</f>
        <v/>
      </c>
      <c r="Z1162" s="113" t="str">
        <f aca="false">IFERROR(IF([2]对账明细接口!$U1162=0,"",[2]对账明细接口!$U1162),"")</f>
        <v/>
      </c>
      <c r="AA1162" s="113" t="str">
        <f aca="false">IFERROR(IF([2]对账明细接口!$V1162=0,"",[2]对账明细接口!$V1162),"")</f>
        <v/>
      </c>
      <c r="AB1162" s="10" t="str">
        <f aca="false">IFERROR(IF([2]对账明细接口!$W1162=0,"",[2]对账明细接口!$W1162),"")</f>
        <v/>
      </c>
      <c r="AC1162" s="90" t="str">
        <f aca="false">IFERROR(IF([2]对账明细接口!$X1163=0,"",[2]对账明细接口!$X1163),"")</f>
        <v/>
      </c>
      <c r="AD1162" s="90" t="str">
        <f aca="false">IFERROR(IF([2]对账明细接口!$Y1163=0,"",[2]对账明细接口!$Y1163),"")</f>
        <v/>
      </c>
      <c r="AE1162" s="90" t="str">
        <f aca="false">IFERROR(IF([2]对账明细接口!$AA1163=0,"",[2]对账明细接口!$AA1163),"")</f>
        <v/>
      </c>
      <c r="AF1162" s="90" t="str">
        <f aca="false">IFERROR(IF([2]对账明细接口!$AB1163=0,"",[2]对账明细接口!$AB1163),"")</f>
        <v/>
      </c>
      <c r="AG1162" s="90" t="str">
        <f aca="false">IFERROR(IF([2]对账明细接口!$AC1163=0,"",[2]对账明细接口!$AC1163),"")</f>
        <v/>
      </c>
      <c r="AH1162" s="90" t="str">
        <f aca="false">IFERROR(IF([2]对账明细接口!$AD1163=0,"",[2]对账明细接口!$AD1163),"")</f>
        <v/>
      </c>
    </row>
    <row r="1163" customFormat="false" ht="13.5" hidden="false" customHeight="false" outlineLevel="0" collapsed="false">
      <c r="A1163" s="109" t="n">
        <v>1163</v>
      </c>
      <c r="B1163" s="110" t="str">
        <f aca="false">IFERROR(IF([2]对账明细接口!$B$1163=0,"",[2]对账明细接口!$B$1163),"")</f>
        <v/>
      </c>
      <c r="C1163" s="59" t="str">
        <f aca="false">IFERROR(IF([2]对账明细接口!$C$1163=0,"",[2]对账明细接口!$C$1163),"")</f>
        <v/>
      </c>
      <c r="D1163" s="59" t="str">
        <f aca="false">IFERROR(IF([2]对账明细接口!$D$1163=0,"",[2]对账明细接口!$D$1163),"")</f>
        <v/>
      </c>
      <c r="E1163" s="59" t="str">
        <f aca="false">IFERROR(IF([2]对账明细接口!$E$1163=0,"",[2]对账明细接口!$E$1163),"")</f>
        <v/>
      </c>
      <c r="F1163" s="59" t="str">
        <f aca="false">IFERROR(IF([2]对账明细接口!$F$1163=0,"",[2]对账明细接口!$F$1163),"")</f>
        <v/>
      </c>
      <c r="G1163" s="59" t="str">
        <f aca="false">IFERROR(IF([2]对账明细接口!$G$1163=0,"",[2]对账明细接口!$G$1163),"")</f>
        <v/>
      </c>
      <c r="H1163" s="60" t="str">
        <f aca="false">IFERROR(IF([2]对账明细接口!$H$1163=0,"",[2]对账明细接口!$H$1163),"")</f>
        <v/>
      </c>
      <c r="I1163" s="59" t="str">
        <f aca="false">IFERROR(IF([2]对账明细接口!$I$1163=0,"",[2]对账明细接口!$I$1163),"")</f>
        <v/>
      </c>
      <c r="J1163" s="61" t="str">
        <f aca="false">IFERROR(IF([2]对账明细接口!$J$1163=0,"",[2]对账明细接口!$J$1163),"")</f>
        <v/>
      </c>
      <c r="K1163" s="61" t="str">
        <f aca="false">IFERROR(IF([2]对账明细接口!$K$1163=0,"",[2]对账明细接口!$K$1163),"")</f>
        <v/>
      </c>
      <c r="L1163" s="59" t="str">
        <f aca="false">IFERROR(IF([2]对账明细接口!$L$1163=0,"",[2]对账明细接口!$L$1163),"")</f>
        <v/>
      </c>
      <c r="M1163" s="59" t="str">
        <f aca="false">IFERROR(IF([2]对账明细接口!$M$1163=0,"",[2]对账明细接口!$M$1163),"")</f>
        <v/>
      </c>
      <c r="N1163" s="111" t="n">
        <f aca="false">IF($C1163="",0,1)</f>
        <v>0</v>
      </c>
      <c r="O1163" s="111" t="n">
        <f aca="false">N(O1162)+$N1163</f>
        <v>311</v>
      </c>
      <c r="S1163" s="10" t="str">
        <f aca="false">IFERROR(IF([2]对账明细接口!$N1163=0,"",[2]对账明细接口!$N1163),"")</f>
        <v/>
      </c>
      <c r="T1163" s="112" t="str">
        <f aca="false">IFERROR(IF([2]对账明细接口!$O1163=0,"",[2]对账明细接口!$O1163),"")</f>
        <v/>
      </c>
      <c r="U1163" s="112" t="str">
        <f aca="false">IFERROR(IF([2]对账明细接口!$P1163=0,"",[2]对账明细接口!$P1163),"")</f>
        <v/>
      </c>
      <c r="V1163" s="112" t="str">
        <f aca="false">IFERROR(IF([2]对账明细接口!$Q1163=0,"",[2]对账明细接口!$Q1163),"")</f>
        <v/>
      </c>
      <c r="W1163" s="10" t="str">
        <f aca="false">IFERROR(IF([2]对账明细接口!$R1163=0,"",[2]对账明细接口!$R1163),"")</f>
        <v/>
      </c>
      <c r="X1163" s="10" t="str">
        <f aca="false">IFERROR(IF([2]对账明细接口!$S1163=0,"",[2]对账明细接口!$S1163),"")</f>
        <v/>
      </c>
      <c r="Y1163" s="10" t="str">
        <f aca="false">IFERROR(IF([2]对账明细接口!$T1163=0,"",[2]对账明细接口!$T1163),"")</f>
        <v/>
      </c>
      <c r="Z1163" s="113" t="str">
        <f aca="false">IFERROR(IF([2]对账明细接口!$U1163=0,"",[2]对账明细接口!$U1163),"")</f>
        <v/>
      </c>
      <c r="AA1163" s="113" t="str">
        <f aca="false">IFERROR(IF([2]对账明细接口!$V1163=0,"",[2]对账明细接口!$V1163),"")</f>
        <v/>
      </c>
      <c r="AB1163" s="10" t="str">
        <f aca="false">IFERROR(IF([2]对账明细接口!$W1163=0,"",[2]对账明细接口!$W1163),"")</f>
        <v/>
      </c>
      <c r="AC1163" s="90" t="str">
        <f aca="false">IFERROR(IF([2]对账明细接口!$X1164=0,"",[2]对账明细接口!$X1164),"")</f>
        <v/>
      </c>
      <c r="AD1163" s="90" t="str">
        <f aca="false">IFERROR(IF([2]对账明细接口!$Y1164=0,"",[2]对账明细接口!$Y1164),"")</f>
        <v/>
      </c>
      <c r="AE1163" s="90" t="str">
        <f aca="false">IFERROR(IF([2]对账明细接口!$AA1164=0,"",[2]对账明细接口!$AA1164),"")</f>
        <v/>
      </c>
      <c r="AF1163" s="90" t="str">
        <f aca="false">IFERROR(IF([2]对账明细接口!$AB1164=0,"",[2]对账明细接口!$AB1164),"")</f>
        <v/>
      </c>
      <c r="AG1163" s="90" t="str">
        <f aca="false">IFERROR(IF([2]对账明细接口!$AC1164=0,"",[2]对账明细接口!$AC1164),"")</f>
        <v/>
      </c>
      <c r="AH1163" s="90" t="str">
        <f aca="false">IFERROR(IF([2]对账明细接口!$AD1164=0,"",[2]对账明细接口!$AD1164),"")</f>
        <v/>
      </c>
    </row>
    <row r="1164" customFormat="false" ht="13.5" hidden="false" customHeight="false" outlineLevel="0" collapsed="false">
      <c r="A1164" s="109" t="n">
        <v>1164</v>
      </c>
      <c r="B1164" s="110" t="str">
        <f aca="false">IFERROR(IF([2]对账明细接口!$B$1164=0,"",[2]对账明细接口!$B$1164),"")</f>
        <v/>
      </c>
      <c r="C1164" s="59" t="str">
        <f aca="false">IFERROR(IF([2]对账明细接口!$C$1164=0,"",[2]对账明细接口!$C$1164),"")</f>
        <v/>
      </c>
      <c r="D1164" s="59" t="str">
        <f aca="false">IFERROR(IF([2]对账明细接口!$D$1164=0,"",[2]对账明细接口!$D$1164),"")</f>
        <v/>
      </c>
      <c r="E1164" s="59" t="str">
        <f aca="false">IFERROR(IF([2]对账明细接口!$E$1164=0,"",[2]对账明细接口!$E$1164),"")</f>
        <v/>
      </c>
      <c r="F1164" s="59" t="str">
        <f aca="false">IFERROR(IF([2]对账明细接口!$F$1164=0,"",[2]对账明细接口!$F$1164),"")</f>
        <v/>
      </c>
      <c r="G1164" s="59" t="str">
        <f aca="false">IFERROR(IF([2]对账明细接口!$G$1164=0,"",[2]对账明细接口!$G$1164),"")</f>
        <v/>
      </c>
      <c r="H1164" s="60" t="str">
        <f aca="false">IFERROR(IF([2]对账明细接口!$H$1164=0,"",[2]对账明细接口!$H$1164),"")</f>
        <v/>
      </c>
      <c r="I1164" s="59" t="str">
        <f aca="false">IFERROR(IF([2]对账明细接口!$I$1164=0,"",[2]对账明细接口!$I$1164),"")</f>
        <v/>
      </c>
      <c r="J1164" s="61" t="str">
        <f aca="false">IFERROR(IF([2]对账明细接口!$J$1164=0,"",[2]对账明细接口!$J$1164),"")</f>
        <v/>
      </c>
      <c r="K1164" s="61" t="str">
        <f aca="false">IFERROR(IF([2]对账明细接口!$K$1164=0,"",[2]对账明细接口!$K$1164),"")</f>
        <v/>
      </c>
      <c r="L1164" s="59" t="str">
        <f aca="false">IFERROR(IF([2]对账明细接口!$L$1164=0,"",[2]对账明细接口!$L$1164),"")</f>
        <v/>
      </c>
      <c r="M1164" s="59" t="str">
        <f aca="false">IFERROR(IF([2]对账明细接口!$M$1164=0,"",[2]对账明细接口!$M$1164),"")</f>
        <v/>
      </c>
      <c r="N1164" s="111" t="n">
        <f aca="false">IF($C1164="",0,1)</f>
        <v>0</v>
      </c>
      <c r="O1164" s="111" t="n">
        <f aca="false">N(O1163)+$N1164</f>
        <v>311</v>
      </c>
      <c r="S1164" s="10" t="str">
        <f aca="false">IFERROR(IF([2]对账明细接口!$N1164=0,"",[2]对账明细接口!$N1164),"")</f>
        <v/>
      </c>
      <c r="T1164" s="112" t="str">
        <f aca="false">IFERROR(IF([2]对账明细接口!$O1164=0,"",[2]对账明细接口!$O1164),"")</f>
        <v/>
      </c>
      <c r="U1164" s="112" t="str">
        <f aca="false">IFERROR(IF([2]对账明细接口!$P1164=0,"",[2]对账明细接口!$P1164),"")</f>
        <v/>
      </c>
      <c r="V1164" s="112" t="str">
        <f aca="false">IFERROR(IF([2]对账明细接口!$Q1164=0,"",[2]对账明细接口!$Q1164),"")</f>
        <v/>
      </c>
      <c r="W1164" s="10" t="str">
        <f aca="false">IFERROR(IF([2]对账明细接口!$R1164=0,"",[2]对账明细接口!$R1164),"")</f>
        <v/>
      </c>
      <c r="X1164" s="10" t="str">
        <f aca="false">IFERROR(IF([2]对账明细接口!$S1164=0,"",[2]对账明细接口!$S1164),"")</f>
        <v/>
      </c>
      <c r="Y1164" s="10" t="str">
        <f aca="false">IFERROR(IF([2]对账明细接口!$T1164=0,"",[2]对账明细接口!$T1164),"")</f>
        <v/>
      </c>
      <c r="Z1164" s="113" t="str">
        <f aca="false">IFERROR(IF([2]对账明细接口!$U1164=0,"",[2]对账明细接口!$U1164),"")</f>
        <v/>
      </c>
      <c r="AA1164" s="113" t="str">
        <f aca="false">IFERROR(IF([2]对账明细接口!$V1164=0,"",[2]对账明细接口!$V1164),"")</f>
        <v/>
      </c>
      <c r="AB1164" s="10" t="str">
        <f aca="false">IFERROR(IF([2]对账明细接口!$W1164=0,"",[2]对账明细接口!$W1164),"")</f>
        <v/>
      </c>
      <c r="AC1164" s="90" t="str">
        <f aca="false">IFERROR(IF([2]对账明细接口!$X1165=0,"",[2]对账明细接口!$X1165),"")</f>
        <v/>
      </c>
      <c r="AD1164" s="90" t="str">
        <f aca="false">IFERROR(IF([2]对账明细接口!$Y1165=0,"",[2]对账明细接口!$Y1165),"")</f>
        <v/>
      </c>
      <c r="AE1164" s="90" t="str">
        <f aca="false">IFERROR(IF([2]对账明细接口!$AA1165=0,"",[2]对账明细接口!$AA1165),"")</f>
        <v/>
      </c>
      <c r="AF1164" s="90" t="str">
        <f aca="false">IFERROR(IF([2]对账明细接口!$AB1165=0,"",[2]对账明细接口!$AB1165),"")</f>
        <v/>
      </c>
      <c r="AG1164" s="90" t="str">
        <f aca="false">IFERROR(IF([2]对账明细接口!$AC1165=0,"",[2]对账明细接口!$AC1165),"")</f>
        <v/>
      </c>
      <c r="AH1164" s="90" t="str">
        <f aca="false">IFERROR(IF([2]对账明细接口!$AD1165=0,"",[2]对账明细接口!$AD1165),"")</f>
        <v/>
      </c>
    </row>
    <row r="1165" customFormat="false" ht="13.5" hidden="false" customHeight="false" outlineLevel="0" collapsed="false">
      <c r="A1165" s="109" t="n">
        <v>1165</v>
      </c>
      <c r="B1165" s="110" t="str">
        <f aca="false">IFERROR(IF([2]对账明细接口!$B$1165=0,"",[2]对账明细接口!$B$1165),"")</f>
        <v/>
      </c>
      <c r="C1165" s="59" t="str">
        <f aca="false">IFERROR(IF([2]对账明细接口!$C$1165=0,"",[2]对账明细接口!$C$1165),"")</f>
        <v/>
      </c>
      <c r="D1165" s="59" t="str">
        <f aca="false">IFERROR(IF([2]对账明细接口!$D$1165=0,"",[2]对账明细接口!$D$1165),"")</f>
        <v/>
      </c>
      <c r="E1165" s="59" t="str">
        <f aca="false">IFERROR(IF([2]对账明细接口!$E$1165=0,"",[2]对账明细接口!$E$1165),"")</f>
        <v/>
      </c>
      <c r="F1165" s="59" t="str">
        <f aca="false">IFERROR(IF([2]对账明细接口!$F$1165=0,"",[2]对账明细接口!$F$1165),"")</f>
        <v/>
      </c>
      <c r="G1165" s="59" t="str">
        <f aca="false">IFERROR(IF([2]对账明细接口!$G$1165=0,"",[2]对账明细接口!$G$1165),"")</f>
        <v/>
      </c>
      <c r="H1165" s="60" t="str">
        <f aca="false">IFERROR(IF([2]对账明细接口!$H$1165=0,"",[2]对账明细接口!$H$1165),"")</f>
        <v/>
      </c>
      <c r="I1165" s="59" t="str">
        <f aca="false">IFERROR(IF([2]对账明细接口!$I$1165=0,"",[2]对账明细接口!$I$1165),"")</f>
        <v/>
      </c>
      <c r="J1165" s="61" t="str">
        <f aca="false">IFERROR(IF([2]对账明细接口!$J$1165=0,"",[2]对账明细接口!$J$1165),"")</f>
        <v/>
      </c>
      <c r="K1165" s="61" t="str">
        <f aca="false">IFERROR(IF([2]对账明细接口!$K$1165=0,"",[2]对账明细接口!$K$1165),"")</f>
        <v/>
      </c>
      <c r="L1165" s="59" t="str">
        <f aca="false">IFERROR(IF([2]对账明细接口!$L$1165=0,"",[2]对账明细接口!$L$1165),"")</f>
        <v/>
      </c>
      <c r="M1165" s="59" t="str">
        <f aca="false">IFERROR(IF([2]对账明细接口!$M$1165=0,"",[2]对账明细接口!$M$1165),"")</f>
        <v/>
      </c>
      <c r="N1165" s="111" t="n">
        <f aca="false">IF($C1165="",0,1)</f>
        <v>0</v>
      </c>
      <c r="O1165" s="111" t="n">
        <f aca="false">N(O1164)+$N1165</f>
        <v>311</v>
      </c>
      <c r="S1165" s="10" t="str">
        <f aca="false">IFERROR(IF([2]对账明细接口!$N1165=0,"",[2]对账明细接口!$N1165),"")</f>
        <v/>
      </c>
      <c r="T1165" s="112" t="str">
        <f aca="false">IFERROR(IF([2]对账明细接口!$O1165=0,"",[2]对账明细接口!$O1165),"")</f>
        <v/>
      </c>
      <c r="U1165" s="112" t="str">
        <f aca="false">IFERROR(IF([2]对账明细接口!$P1165=0,"",[2]对账明细接口!$P1165),"")</f>
        <v/>
      </c>
      <c r="V1165" s="112" t="str">
        <f aca="false">IFERROR(IF([2]对账明细接口!$Q1165=0,"",[2]对账明细接口!$Q1165),"")</f>
        <v/>
      </c>
      <c r="W1165" s="10" t="str">
        <f aca="false">IFERROR(IF([2]对账明细接口!$R1165=0,"",[2]对账明细接口!$R1165),"")</f>
        <v/>
      </c>
      <c r="X1165" s="10" t="str">
        <f aca="false">IFERROR(IF([2]对账明细接口!$S1165=0,"",[2]对账明细接口!$S1165),"")</f>
        <v/>
      </c>
      <c r="Y1165" s="10" t="str">
        <f aca="false">IFERROR(IF([2]对账明细接口!$T1165=0,"",[2]对账明细接口!$T1165),"")</f>
        <v/>
      </c>
      <c r="Z1165" s="113" t="str">
        <f aca="false">IFERROR(IF([2]对账明细接口!$U1165=0,"",[2]对账明细接口!$U1165),"")</f>
        <v/>
      </c>
      <c r="AA1165" s="113" t="str">
        <f aca="false">IFERROR(IF([2]对账明细接口!$V1165=0,"",[2]对账明细接口!$V1165),"")</f>
        <v/>
      </c>
      <c r="AB1165" s="10" t="str">
        <f aca="false">IFERROR(IF([2]对账明细接口!$W1165=0,"",[2]对账明细接口!$W1165),"")</f>
        <v/>
      </c>
      <c r="AC1165" s="90" t="str">
        <f aca="false">IFERROR(IF([2]对账明细接口!$X1166=0,"",[2]对账明细接口!$X1166),"")</f>
        <v/>
      </c>
      <c r="AD1165" s="90" t="str">
        <f aca="false">IFERROR(IF([2]对账明细接口!$Y1166=0,"",[2]对账明细接口!$Y1166),"")</f>
        <v/>
      </c>
      <c r="AE1165" s="90" t="str">
        <f aca="false">IFERROR(IF([2]对账明细接口!$AA1166=0,"",[2]对账明细接口!$AA1166),"")</f>
        <v/>
      </c>
      <c r="AF1165" s="90" t="str">
        <f aca="false">IFERROR(IF([2]对账明细接口!$AB1166=0,"",[2]对账明细接口!$AB1166),"")</f>
        <v/>
      </c>
      <c r="AG1165" s="90" t="str">
        <f aca="false">IFERROR(IF([2]对账明细接口!$AC1166=0,"",[2]对账明细接口!$AC1166),"")</f>
        <v/>
      </c>
      <c r="AH1165" s="90" t="str">
        <f aca="false">IFERROR(IF([2]对账明细接口!$AD1166=0,"",[2]对账明细接口!$AD1166),"")</f>
        <v/>
      </c>
    </row>
    <row r="1166" customFormat="false" ht="13.5" hidden="false" customHeight="false" outlineLevel="0" collapsed="false">
      <c r="A1166" s="109" t="n">
        <v>1166</v>
      </c>
      <c r="B1166" s="110" t="str">
        <f aca="false">IFERROR(IF([2]对账明细接口!$B$1166=0,"",[2]对账明细接口!$B$1166),"")</f>
        <v/>
      </c>
      <c r="C1166" s="59" t="str">
        <f aca="false">IFERROR(IF([2]对账明细接口!$C$1166=0,"",[2]对账明细接口!$C$1166),"")</f>
        <v/>
      </c>
      <c r="D1166" s="59" t="str">
        <f aca="false">IFERROR(IF([2]对账明细接口!$D$1166=0,"",[2]对账明细接口!$D$1166),"")</f>
        <v/>
      </c>
      <c r="E1166" s="59" t="str">
        <f aca="false">IFERROR(IF([2]对账明细接口!$E$1166=0,"",[2]对账明细接口!$E$1166),"")</f>
        <v/>
      </c>
      <c r="F1166" s="59" t="str">
        <f aca="false">IFERROR(IF([2]对账明细接口!$F$1166=0,"",[2]对账明细接口!$F$1166),"")</f>
        <v/>
      </c>
      <c r="G1166" s="59" t="str">
        <f aca="false">IFERROR(IF([2]对账明细接口!$G$1166=0,"",[2]对账明细接口!$G$1166),"")</f>
        <v/>
      </c>
      <c r="H1166" s="60" t="str">
        <f aca="false">IFERROR(IF([2]对账明细接口!$H$1166=0,"",[2]对账明细接口!$H$1166),"")</f>
        <v/>
      </c>
      <c r="I1166" s="59" t="str">
        <f aca="false">IFERROR(IF([2]对账明细接口!$I$1166=0,"",[2]对账明细接口!$I$1166),"")</f>
        <v/>
      </c>
      <c r="J1166" s="61" t="str">
        <f aca="false">IFERROR(IF([2]对账明细接口!$J$1166=0,"",[2]对账明细接口!$J$1166),"")</f>
        <v/>
      </c>
      <c r="K1166" s="61" t="str">
        <f aca="false">IFERROR(IF([2]对账明细接口!$K$1166=0,"",[2]对账明细接口!$K$1166),"")</f>
        <v/>
      </c>
      <c r="L1166" s="59" t="str">
        <f aca="false">IFERROR(IF([2]对账明细接口!$L$1166=0,"",[2]对账明细接口!$L$1166),"")</f>
        <v/>
      </c>
      <c r="M1166" s="59" t="str">
        <f aca="false">IFERROR(IF([2]对账明细接口!$M$1166=0,"",[2]对账明细接口!$M$1166),"")</f>
        <v/>
      </c>
      <c r="N1166" s="111" t="n">
        <f aca="false">IF($C1166="",0,1)</f>
        <v>0</v>
      </c>
      <c r="O1166" s="111" t="n">
        <f aca="false">N(O1165)+$N1166</f>
        <v>311</v>
      </c>
      <c r="S1166" s="10" t="str">
        <f aca="false">IFERROR(IF([2]对账明细接口!$N1166=0,"",[2]对账明细接口!$N1166),"")</f>
        <v/>
      </c>
      <c r="T1166" s="112" t="str">
        <f aca="false">IFERROR(IF([2]对账明细接口!$O1166=0,"",[2]对账明细接口!$O1166),"")</f>
        <v/>
      </c>
      <c r="U1166" s="112" t="str">
        <f aca="false">IFERROR(IF([2]对账明细接口!$P1166=0,"",[2]对账明细接口!$P1166),"")</f>
        <v/>
      </c>
      <c r="V1166" s="112" t="str">
        <f aca="false">IFERROR(IF([2]对账明细接口!$Q1166=0,"",[2]对账明细接口!$Q1166),"")</f>
        <v/>
      </c>
      <c r="W1166" s="10" t="str">
        <f aca="false">IFERROR(IF([2]对账明细接口!$R1166=0,"",[2]对账明细接口!$R1166),"")</f>
        <v/>
      </c>
      <c r="X1166" s="10" t="str">
        <f aca="false">IFERROR(IF([2]对账明细接口!$S1166=0,"",[2]对账明细接口!$S1166),"")</f>
        <v/>
      </c>
      <c r="Y1166" s="10" t="str">
        <f aca="false">IFERROR(IF([2]对账明细接口!$T1166=0,"",[2]对账明细接口!$T1166),"")</f>
        <v/>
      </c>
      <c r="Z1166" s="113" t="str">
        <f aca="false">IFERROR(IF([2]对账明细接口!$U1166=0,"",[2]对账明细接口!$U1166),"")</f>
        <v/>
      </c>
      <c r="AA1166" s="113" t="str">
        <f aca="false">IFERROR(IF([2]对账明细接口!$V1166=0,"",[2]对账明细接口!$V1166),"")</f>
        <v/>
      </c>
      <c r="AB1166" s="10" t="str">
        <f aca="false">IFERROR(IF([2]对账明细接口!$W1166=0,"",[2]对账明细接口!$W1166),"")</f>
        <v/>
      </c>
      <c r="AC1166" s="90" t="str">
        <f aca="false">IFERROR(IF([2]对账明细接口!$X1167=0,"",[2]对账明细接口!$X1167),"")</f>
        <v/>
      </c>
      <c r="AD1166" s="90" t="str">
        <f aca="false">IFERROR(IF([2]对账明细接口!$Y1167=0,"",[2]对账明细接口!$Y1167),"")</f>
        <v/>
      </c>
      <c r="AE1166" s="90" t="str">
        <f aca="false">IFERROR(IF([2]对账明细接口!$AA1167=0,"",[2]对账明细接口!$AA1167),"")</f>
        <v/>
      </c>
      <c r="AF1166" s="90" t="str">
        <f aca="false">IFERROR(IF([2]对账明细接口!$AB1167=0,"",[2]对账明细接口!$AB1167),"")</f>
        <v/>
      </c>
      <c r="AG1166" s="90" t="str">
        <f aca="false">IFERROR(IF([2]对账明细接口!$AC1167=0,"",[2]对账明细接口!$AC1167),"")</f>
        <v/>
      </c>
      <c r="AH1166" s="90" t="str">
        <f aca="false">IFERROR(IF([2]对账明细接口!$AD1167=0,"",[2]对账明细接口!$AD1167),"")</f>
        <v/>
      </c>
    </row>
    <row r="1167" customFormat="false" ht="13.5" hidden="false" customHeight="false" outlineLevel="0" collapsed="false">
      <c r="A1167" s="109" t="n">
        <v>1167</v>
      </c>
      <c r="B1167" s="110" t="str">
        <f aca="false">IFERROR(IF([2]对账明细接口!$B$1167=0,"",[2]对账明细接口!$B$1167),"")</f>
        <v/>
      </c>
      <c r="C1167" s="59" t="str">
        <f aca="false">IFERROR(IF([2]对账明细接口!$C$1167=0,"",[2]对账明细接口!$C$1167),"")</f>
        <v/>
      </c>
      <c r="D1167" s="59" t="str">
        <f aca="false">IFERROR(IF([2]对账明细接口!$D$1167=0,"",[2]对账明细接口!$D$1167),"")</f>
        <v/>
      </c>
      <c r="E1167" s="59" t="str">
        <f aca="false">IFERROR(IF([2]对账明细接口!$E$1167=0,"",[2]对账明细接口!$E$1167),"")</f>
        <v/>
      </c>
      <c r="F1167" s="59" t="str">
        <f aca="false">IFERROR(IF([2]对账明细接口!$F$1167=0,"",[2]对账明细接口!$F$1167),"")</f>
        <v/>
      </c>
      <c r="G1167" s="59" t="str">
        <f aca="false">IFERROR(IF([2]对账明细接口!$G$1167=0,"",[2]对账明细接口!$G$1167),"")</f>
        <v/>
      </c>
      <c r="H1167" s="60" t="str">
        <f aca="false">IFERROR(IF([2]对账明细接口!$H$1167=0,"",[2]对账明细接口!$H$1167),"")</f>
        <v/>
      </c>
      <c r="I1167" s="59" t="str">
        <f aca="false">IFERROR(IF([2]对账明细接口!$I$1167=0,"",[2]对账明细接口!$I$1167),"")</f>
        <v/>
      </c>
      <c r="J1167" s="61" t="str">
        <f aca="false">IFERROR(IF([2]对账明细接口!$J$1167=0,"",[2]对账明细接口!$J$1167),"")</f>
        <v/>
      </c>
      <c r="K1167" s="61" t="str">
        <f aca="false">IFERROR(IF([2]对账明细接口!$K$1167=0,"",[2]对账明细接口!$K$1167),"")</f>
        <v/>
      </c>
      <c r="L1167" s="59" t="str">
        <f aca="false">IFERROR(IF([2]对账明细接口!$L$1167=0,"",[2]对账明细接口!$L$1167),"")</f>
        <v/>
      </c>
      <c r="M1167" s="59" t="str">
        <f aca="false">IFERROR(IF([2]对账明细接口!$M$1167=0,"",[2]对账明细接口!$M$1167),"")</f>
        <v/>
      </c>
      <c r="N1167" s="111" t="n">
        <f aca="false">IF($C1167="",0,1)</f>
        <v>0</v>
      </c>
      <c r="O1167" s="111" t="n">
        <f aca="false">N(O1166)+$N1167</f>
        <v>311</v>
      </c>
      <c r="S1167" s="10" t="str">
        <f aca="false">IFERROR(IF([2]对账明细接口!$N1167=0,"",[2]对账明细接口!$N1167),"")</f>
        <v/>
      </c>
      <c r="T1167" s="112" t="str">
        <f aca="false">IFERROR(IF([2]对账明细接口!$O1167=0,"",[2]对账明细接口!$O1167),"")</f>
        <v/>
      </c>
      <c r="U1167" s="112" t="str">
        <f aca="false">IFERROR(IF([2]对账明细接口!$P1167=0,"",[2]对账明细接口!$P1167),"")</f>
        <v/>
      </c>
      <c r="V1167" s="112" t="str">
        <f aca="false">IFERROR(IF([2]对账明细接口!$Q1167=0,"",[2]对账明细接口!$Q1167),"")</f>
        <v/>
      </c>
      <c r="W1167" s="10" t="str">
        <f aca="false">IFERROR(IF([2]对账明细接口!$R1167=0,"",[2]对账明细接口!$R1167),"")</f>
        <v/>
      </c>
      <c r="X1167" s="10" t="str">
        <f aca="false">IFERROR(IF([2]对账明细接口!$S1167=0,"",[2]对账明细接口!$S1167),"")</f>
        <v/>
      </c>
      <c r="Y1167" s="10" t="str">
        <f aca="false">IFERROR(IF([2]对账明细接口!$T1167=0,"",[2]对账明细接口!$T1167),"")</f>
        <v/>
      </c>
      <c r="Z1167" s="113" t="str">
        <f aca="false">IFERROR(IF([2]对账明细接口!$U1167=0,"",[2]对账明细接口!$U1167),"")</f>
        <v/>
      </c>
      <c r="AA1167" s="113" t="str">
        <f aca="false">IFERROR(IF([2]对账明细接口!$V1167=0,"",[2]对账明细接口!$V1167),"")</f>
        <v/>
      </c>
      <c r="AB1167" s="10" t="str">
        <f aca="false">IFERROR(IF([2]对账明细接口!$W1167=0,"",[2]对账明细接口!$W1167),"")</f>
        <v/>
      </c>
      <c r="AC1167" s="90" t="str">
        <f aca="false">IFERROR(IF([2]对账明细接口!$X1168=0,"",[2]对账明细接口!$X1168),"")</f>
        <v/>
      </c>
      <c r="AD1167" s="90" t="str">
        <f aca="false">IFERROR(IF([2]对账明细接口!$Y1168=0,"",[2]对账明细接口!$Y1168),"")</f>
        <v/>
      </c>
      <c r="AE1167" s="90" t="str">
        <f aca="false">IFERROR(IF([2]对账明细接口!$AA1168=0,"",[2]对账明细接口!$AA1168),"")</f>
        <v/>
      </c>
      <c r="AF1167" s="90" t="str">
        <f aca="false">IFERROR(IF([2]对账明细接口!$AB1168=0,"",[2]对账明细接口!$AB1168),"")</f>
        <v/>
      </c>
      <c r="AG1167" s="90" t="str">
        <f aca="false">IFERROR(IF([2]对账明细接口!$AC1168=0,"",[2]对账明细接口!$AC1168),"")</f>
        <v/>
      </c>
      <c r="AH1167" s="90" t="str">
        <f aca="false">IFERROR(IF([2]对账明细接口!$AD1168=0,"",[2]对账明细接口!$AD1168),"")</f>
        <v/>
      </c>
    </row>
    <row r="1168" customFormat="false" ht="13.5" hidden="false" customHeight="false" outlineLevel="0" collapsed="false">
      <c r="A1168" s="109" t="n">
        <v>1168</v>
      </c>
      <c r="B1168" s="110" t="str">
        <f aca="false">IFERROR(IF([2]对账明细接口!$B$1168=0,"",[2]对账明细接口!$B$1168),"")</f>
        <v/>
      </c>
      <c r="C1168" s="59" t="str">
        <f aca="false">IFERROR(IF([2]对账明细接口!$C$1168=0,"",[2]对账明细接口!$C$1168),"")</f>
        <v/>
      </c>
      <c r="D1168" s="59" t="str">
        <f aca="false">IFERROR(IF([2]对账明细接口!$D$1168=0,"",[2]对账明细接口!$D$1168),"")</f>
        <v/>
      </c>
      <c r="E1168" s="59" t="str">
        <f aca="false">IFERROR(IF([2]对账明细接口!$E$1168=0,"",[2]对账明细接口!$E$1168),"")</f>
        <v/>
      </c>
      <c r="F1168" s="59" t="str">
        <f aca="false">IFERROR(IF([2]对账明细接口!$F$1168=0,"",[2]对账明细接口!$F$1168),"")</f>
        <v/>
      </c>
      <c r="G1168" s="59" t="str">
        <f aca="false">IFERROR(IF([2]对账明细接口!$G$1168=0,"",[2]对账明细接口!$G$1168),"")</f>
        <v/>
      </c>
      <c r="H1168" s="60" t="str">
        <f aca="false">IFERROR(IF([2]对账明细接口!$H$1168=0,"",[2]对账明细接口!$H$1168),"")</f>
        <v/>
      </c>
      <c r="I1168" s="59" t="str">
        <f aca="false">IFERROR(IF([2]对账明细接口!$I$1168=0,"",[2]对账明细接口!$I$1168),"")</f>
        <v/>
      </c>
      <c r="J1168" s="61" t="str">
        <f aca="false">IFERROR(IF([2]对账明细接口!$J$1168=0,"",[2]对账明细接口!$J$1168),"")</f>
        <v/>
      </c>
      <c r="K1168" s="61" t="str">
        <f aca="false">IFERROR(IF([2]对账明细接口!$K$1168=0,"",[2]对账明细接口!$K$1168),"")</f>
        <v/>
      </c>
      <c r="L1168" s="59" t="str">
        <f aca="false">IFERROR(IF([2]对账明细接口!$L$1168=0,"",[2]对账明细接口!$L$1168),"")</f>
        <v/>
      </c>
      <c r="M1168" s="59" t="str">
        <f aca="false">IFERROR(IF([2]对账明细接口!$M$1168=0,"",[2]对账明细接口!$M$1168),"")</f>
        <v/>
      </c>
      <c r="N1168" s="111" t="n">
        <f aca="false">IF($C1168="",0,1)</f>
        <v>0</v>
      </c>
      <c r="O1168" s="111" t="n">
        <f aca="false">N(O1167)+$N1168</f>
        <v>311</v>
      </c>
      <c r="S1168" s="10" t="str">
        <f aca="false">IFERROR(IF([2]对账明细接口!$N1168=0,"",[2]对账明细接口!$N1168),"")</f>
        <v/>
      </c>
      <c r="T1168" s="112" t="str">
        <f aca="false">IFERROR(IF([2]对账明细接口!$O1168=0,"",[2]对账明细接口!$O1168),"")</f>
        <v/>
      </c>
      <c r="U1168" s="112" t="str">
        <f aca="false">IFERROR(IF([2]对账明细接口!$P1168=0,"",[2]对账明细接口!$P1168),"")</f>
        <v/>
      </c>
      <c r="V1168" s="112" t="str">
        <f aca="false">IFERROR(IF([2]对账明细接口!$Q1168=0,"",[2]对账明细接口!$Q1168),"")</f>
        <v/>
      </c>
      <c r="W1168" s="10" t="str">
        <f aca="false">IFERROR(IF([2]对账明细接口!$R1168=0,"",[2]对账明细接口!$R1168),"")</f>
        <v/>
      </c>
      <c r="X1168" s="10" t="str">
        <f aca="false">IFERROR(IF([2]对账明细接口!$S1168=0,"",[2]对账明细接口!$S1168),"")</f>
        <v/>
      </c>
      <c r="Y1168" s="10" t="str">
        <f aca="false">IFERROR(IF([2]对账明细接口!$T1168=0,"",[2]对账明细接口!$T1168),"")</f>
        <v/>
      </c>
      <c r="Z1168" s="113" t="str">
        <f aca="false">IFERROR(IF([2]对账明细接口!$U1168=0,"",[2]对账明细接口!$U1168),"")</f>
        <v/>
      </c>
      <c r="AA1168" s="113" t="str">
        <f aca="false">IFERROR(IF([2]对账明细接口!$V1168=0,"",[2]对账明细接口!$V1168),"")</f>
        <v/>
      </c>
      <c r="AB1168" s="10" t="str">
        <f aca="false">IFERROR(IF([2]对账明细接口!$W1168=0,"",[2]对账明细接口!$W1168),"")</f>
        <v/>
      </c>
      <c r="AC1168" s="90" t="str">
        <f aca="false">IFERROR(IF([2]对账明细接口!$X1169=0,"",[2]对账明细接口!$X1169),"")</f>
        <v/>
      </c>
      <c r="AD1168" s="90" t="str">
        <f aca="false">IFERROR(IF([2]对账明细接口!$Y1169=0,"",[2]对账明细接口!$Y1169),"")</f>
        <v/>
      </c>
      <c r="AE1168" s="90" t="str">
        <f aca="false">IFERROR(IF([2]对账明细接口!$AA1169=0,"",[2]对账明细接口!$AA1169),"")</f>
        <v/>
      </c>
      <c r="AF1168" s="90" t="str">
        <f aca="false">IFERROR(IF([2]对账明细接口!$AB1169=0,"",[2]对账明细接口!$AB1169),"")</f>
        <v/>
      </c>
      <c r="AG1168" s="90" t="str">
        <f aca="false">IFERROR(IF([2]对账明细接口!$AC1169=0,"",[2]对账明细接口!$AC1169),"")</f>
        <v/>
      </c>
      <c r="AH1168" s="90" t="str">
        <f aca="false">IFERROR(IF([2]对账明细接口!$AD1169=0,"",[2]对账明细接口!$AD1169),"")</f>
        <v/>
      </c>
    </row>
    <row r="1169" customFormat="false" ht="13.5" hidden="false" customHeight="false" outlineLevel="0" collapsed="false">
      <c r="A1169" s="109" t="n">
        <v>1169</v>
      </c>
      <c r="B1169" s="110" t="str">
        <f aca="false">IFERROR(IF([2]对账明细接口!$B$1169=0,"",[2]对账明细接口!$B$1169),"")</f>
        <v/>
      </c>
      <c r="C1169" s="59" t="str">
        <f aca="false">IFERROR(IF([2]对账明细接口!$C$1169=0,"",[2]对账明细接口!$C$1169),"")</f>
        <v/>
      </c>
      <c r="D1169" s="59" t="str">
        <f aca="false">IFERROR(IF([2]对账明细接口!$D$1169=0,"",[2]对账明细接口!$D$1169),"")</f>
        <v/>
      </c>
      <c r="E1169" s="59" t="str">
        <f aca="false">IFERROR(IF([2]对账明细接口!$E$1169=0,"",[2]对账明细接口!$E$1169),"")</f>
        <v/>
      </c>
      <c r="F1169" s="59" t="str">
        <f aca="false">IFERROR(IF([2]对账明细接口!$F$1169=0,"",[2]对账明细接口!$F$1169),"")</f>
        <v/>
      </c>
      <c r="G1169" s="59" t="str">
        <f aca="false">IFERROR(IF([2]对账明细接口!$G$1169=0,"",[2]对账明细接口!$G$1169),"")</f>
        <v/>
      </c>
      <c r="H1169" s="60" t="str">
        <f aca="false">IFERROR(IF([2]对账明细接口!$H$1169=0,"",[2]对账明细接口!$H$1169),"")</f>
        <v/>
      </c>
      <c r="I1169" s="59" t="str">
        <f aca="false">IFERROR(IF([2]对账明细接口!$I$1169=0,"",[2]对账明细接口!$I$1169),"")</f>
        <v/>
      </c>
      <c r="J1169" s="61" t="str">
        <f aca="false">IFERROR(IF([2]对账明细接口!$J$1169=0,"",[2]对账明细接口!$J$1169),"")</f>
        <v/>
      </c>
      <c r="K1169" s="61" t="str">
        <f aca="false">IFERROR(IF([2]对账明细接口!$K$1169=0,"",[2]对账明细接口!$K$1169),"")</f>
        <v/>
      </c>
      <c r="L1169" s="59" t="str">
        <f aca="false">IFERROR(IF([2]对账明细接口!$L$1169=0,"",[2]对账明细接口!$L$1169),"")</f>
        <v/>
      </c>
      <c r="M1169" s="59" t="str">
        <f aca="false">IFERROR(IF([2]对账明细接口!$M$1169=0,"",[2]对账明细接口!$M$1169),"")</f>
        <v/>
      </c>
      <c r="N1169" s="111" t="n">
        <f aca="false">IF($C1169="",0,1)</f>
        <v>0</v>
      </c>
      <c r="O1169" s="111" t="n">
        <f aca="false">N(O1168)+$N1169</f>
        <v>311</v>
      </c>
      <c r="S1169" s="10" t="str">
        <f aca="false">IFERROR(IF([2]对账明细接口!$N1169=0,"",[2]对账明细接口!$N1169),"")</f>
        <v/>
      </c>
      <c r="T1169" s="112" t="str">
        <f aca="false">IFERROR(IF([2]对账明细接口!$O1169=0,"",[2]对账明细接口!$O1169),"")</f>
        <v/>
      </c>
      <c r="U1169" s="112" t="str">
        <f aca="false">IFERROR(IF([2]对账明细接口!$P1169=0,"",[2]对账明细接口!$P1169),"")</f>
        <v/>
      </c>
      <c r="V1169" s="112" t="str">
        <f aca="false">IFERROR(IF([2]对账明细接口!$Q1169=0,"",[2]对账明细接口!$Q1169),"")</f>
        <v/>
      </c>
      <c r="W1169" s="10" t="str">
        <f aca="false">IFERROR(IF([2]对账明细接口!$R1169=0,"",[2]对账明细接口!$R1169),"")</f>
        <v/>
      </c>
      <c r="X1169" s="10" t="str">
        <f aca="false">IFERROR(IF([2]对账明细接口!$S1169=0,"",[2]对账明细接口!$S1169),"")</f>
        <v/>
      </c>
      <c r="Y1169" s="10" t="str">
        <f aca="false">IFERROR(IF([2]对账明细接口!$T1169=0,"",[2]对账明细接口!$T1169),"")</f>
        <v/>
      </c>
      <c r="Z1169" s="113" t="str">
        <f aca="false">IFERROR(IF([2]对账明细接口!$U1169=0,"",[2]对账明细接口!$U1169),"")</f>
        <v/>
      </c>
      <c r="AA1169" s="113" t="str">
        <f aca="false">IFERROR(IF([2]对账明细接口!$V1169=0,"",[2]对账明细接口!$V1169),"")</f>
        <v/>
      </c>
      <c r="AB1169" s="10" t="str">
        <f aca="false">IFERROR(IF([2]对账明细接口!$W1169=0,"",[2]对账明细接口!$W1169),"")</f>
        <v/>
      </c>
      <c r="AC1169" s="90" t="str">
        <f aca="false">IFERROR(IF([2]对账明细接口!$X1170=0,"",[2]对账明细接口!$X1170),"")</f>
        <v/>
      </c>
      <c r="AD1169" s="90" t="str">
        <f aca="false">IFERROR(IF([2]对账明细接口!$Y1170=0,"",[2]对账明细接口!$Y1170),"")</f>
        <v/>
      </c>
      <c r="AE1169" s="90" t="str">
        <f aca="false">IFERROR(IF([2]对账明细接口!$AA1170=0,"",[2]对账明细接口!$AA1170),"")</f>
        <v/>
      </c>
      <c r="AF1169" s="90" t="str">
        <f aca="false">IFERROR(IF([2]对账明细接口!$AB1170=0,"",[2]对账明细接口!$AB1170),"")</f>
        <v/>
      </c>
      <c r="AG1169" s="90" t="str">
        <f aca="false">IFERROR(IF([2]对账明细接口!$AC1170=0,"",[2]对账明细接口!$AC1170),"")</f>
        <v/>
      </c>
      <c r="AH1169" s="90" t="str">
        <f aca="false">IFERROR(IF([2]对账明细接口!$AD1170=0,"",[2]对账明细接口!$AD1170),"")</f>
        <v/>
      </c>
    </row>
    <row r="1170" customFormat="false" ht="13.5" hidden="false" customHeight="false" outlineLevel="0" collapsed="false">
      <c r="A1170" s="109" t="n">
        <v>1170</v>
      </c>
      <c r="B1170" s="110" t="str">
        <f aca="false">IFERROR(IF([2]对账明细接口!$B$1170=0,"",[2]对账明细接口!$B$1170),"")</f>
        <v/>
      </c>
      <c r="C1170" s="59" t="str">
        <f aca="false">IFERROR(IF([2]对账明细接口!$C$1170=0,"",[2]对账明细接口!$C$1170),"")</f>
        <v/>
      </c>
      <c r="D1170" s="59" t="str">
        <f aca="false">IFERROR(IF([2]对账明细接口!$D$1170=0,"",[2]对账明细接口!$D$1170),"")</f>
        <v/>
      </c>
      <c r="E1170" s="59" t="str">
        <f aca="false">IFERROR(IF([2]对账明细接口!$E$1170=0,"",[2]对账明细接口!$E$1170),"")</f>
        <v/>
      </c>
      <c r="F1170" s="59" t="str">
        <f aca="false">IFERROR(IF([2]对账明细接口!$F$1170=0,"",[2]对账明细接口!$F$1170),"")</f>
        <v/>
      </c>
      <c r="G1170" s="59" t="str">
        <f aca="false">IFERROR(IF([2]对账明细接口!$G$1170=0,"",[2]对账明细接口!$G$1170),"")</f>
        <v/>
      </c>
      <c r="H1170" s="60" t="str">
        <f aca="false">IFERROR(IF([2]对账明细接口!$H$1170=0,"",[2]对账明细接口!$H$1170),"")</f>
        <v/>
      </c>
      <c r="I1170" s="59" t="str">
        <f aca="false">IFERROR(IF([2]对账明细接口!$I$1170=0,"",[2]对账明细接口!$I$1170),"")</f>
        <v/>
      </c>
      <c r="J1170" s="61" t="str">
        <f aca="false">IFERROR(IF([2]对账明细接口!$J$1170=0,"",[2]对账明细接口!$J$1170),"")</f>
        <v/>
      </c>
      <c r="K1170" s="61" t="str">
        <f aca="false">IFERROR(IF([2]对账明细接口!$K$1170=0,"",[2]对账明细接口!$K$1170),"")</f>
        <v/>
      </c>
      <c r="L1170" s="59" t="str">
        <f aca="false">IFERROR(IF([2]对账明细接口!$L$1170=0,"",[2]对账明细接口!$L$1170),"")</f>
        <v/>
      </c>
      <c r="M1170" s="59" t="str">
        <f aca="false">IFERROR(IF([2]对账明细接口!$M$1170=0,"",[2]对账明细接口!$M$1170),"")</f>
        <v/>
      </c>
      <c r="N1170" s="111" t="n">
        <f aca="false">IF($C1170="",0,1)</f>
        <v>0</v>
      </c>
      <c r="O1170" s="111" t="n">
        <f aca="false">N(O1169)+$N1170</f>
        <v>311</v>
      </c>
      <c r="S1170" s="10" t="str">
        <f aca="false">IFERROR(IF([2]对账明细接口!$N1170=0,"",[2]对账明细接口!$N1170),"")</f>
        <v/>
      </c>
      <c r="T1170" s="112" t="str">
        <f aca="false">IFERROR(IF([2]对账明细接口!$O1170=0,"",[2]对账明细接口!$O1170),"")</f>
        <v/>
      </c>
      <c r="U1170" s="112" t="str">
        <f aca="false">IFERROR(IF([2]对账明细接口!$P1170=0,"",[2]对账明细接口!$P1170),"")</f>
        <v/>
      </c>
      <c r="V1170" s="112" t="str">
        <f aca="false">IFERROR(IF([2]对账明细接口!$Q1170=0,"",[2]对账明细接口!$Q1170),"")</f>
        <v/>
      </c>
      <c r="W1170" s="10" t="str">
        <f aca="false">IFERROR(IF([2]对账明细接口!$R1170=0,"",[2]对账明细接口!$R1170),"")</f>
        <v/>
      </c>
      <c r="X1170" s="10" t="str">
        <f aca="false">IFERROR(IF([2]对账明细接口!$S1170=0,"",[2]对账明细接口!$S1170),"")</f>
        <v/>
      </c>
      <c r="Y1170" s="10" t="str">
        <f aca="false">IFERROR(IF([2]对账明细接口!$T1170=0,"",[2]对账明细接口!$T1170),"")</f>
        <v/>
      </c>
      <c r="Z1170" s="113" t="str">
        <f aca="false">IFERROR(IF([2]对账明细接口!$U1170=0,"",[2]对账明细接口!$U1170),"")</f>
        <v/>
      </c>
      <c r="AA1170" s="113" t="str">
        <f aca="false">IFERROR(IF([2]对账明细接口!$V1170=0,"",[2]对账明细接口!$V1170),"")</f>
        <v/>
      </c>
      <c r="AB1170" s="10" t="str">
        <f aca="false">IFERROR(IF([2]对账明细接口!$W1170=0,"",[2]对账明细接口!$W1170),"")</f>
        <v/>
      </c>
      <c r="AC1170" s="90" t="str">
        <f aca="false">IFERROR(IF([2]对账明细接口!$X1171=0,"",[2]对账明细接口!$X1171),"")</f>
        <v/>
      </c>
      <c r="AD1170" s="90" t="str">
        <f aca="false">IFERROR(IF([2]对账明细接口!$Y1171=0,"",[2]对账明细接口!$Y1171),"")</f>
        <v/>
      </c>
      <c r="AE1170" s="90" t="str">
        <f aca="false">IFERROR(IF([2]对账明细接口!$AA1171=0,"",[2]对账明细接口!$AA1171),"")</f>
        <v/>
      </c>
      <c r="AF1170" s="90" t="str">
        <f aca="false">IFERROR(IF([2]对账明细接口!$AB1171=0,"",[2]对账明细接口!$AB1171),"")</f>
        <v/>
      </c>
      <c r="AG1170" s="90" t="str">
        <f aca="false">IFERROR(IF([2]对账明细接口!$AC1171=0,"",[2]对账明细接口!$AC1171),"")</f>
        <v/>
      </c>
      <c r="AH1170" s="90" t="str">
        <f aca="false">IFERROR(IF([2]对账明细接口!$AD1171=0,"",[2]对账明细接口!$AD1171),"")</f>
        <v/>
      </c>
    </row>
    <row r="1171" customFormat="false" ht="13.5" hidden="false" customHeight="false" outlineLevel="0" collapsed="false">
      <c r="A1171" s="109" t="n">
        <v>1171</v>
      </c>
      <c r="B1171" s="110" t="str">
        <f aca="false">IFERROR(IF([2]对账明细接口!$B$1171=0,"",[2]对账明细接口!$B$1171),"")</f>
        <v/>
      </c>
      <c r="C1171" s="59" t="str">
        <f aca="false">IFERROR(IF([2]对账明细接口!$C$1171=0,"",[2]对账明细接口!$C$1171),"")</f>
        <v/>
      </c>
      <c r="D1171" s="59" t="str">
        <f aca="false">IFERROR(IF([2]对账明细接口!$D$1171=0,"",[2]对账明细接口!$D$1171),"")</f>
        <v/>
      </c>
      <c r="E1171" s="59" t="str">
        <f aca="false">IFERROR(IF([2]对账明细接口!$E$1171=0,"",[2]对账明细接口!$E$1171),"")</f>
        <v/>
      </c>
      <c r="F1171" s="59" t="str">
        <f aca="false">IFERROR(IF([2]对账明细接口!$F$1171=0,"",[2]对账明细接口!$F$1171),"")</f>
        <v/>
      </c>
      <c r="G1171" s="59" t="str">
        <f aca="false">IFERROR(IF([2]对账明细接口!$G$1171=0,"",[2]对账明细接口!$G$1171),"")</f>
        <v/>
      </c>
      <c r="H1171" s="60" t="str">
        <f aca="false">IFERROR(IF([2]对账明细接口!$H$1171=0,"",[2]对账明细接口!$H$1171),"")</f>
        <v/>
      </c>
      <c r="I1171" s="59" t="str">
        <f aca="false">IFERROR(IF([2]对账明细接口!$I$1171=0,"",[2]对账明细接口!$I$1171),"")</f>
        <v/>
      </c>
      <c r="J1171" s="61" t="str">
        <f aca="false">IFERROR(IF([2]对账明细接口!$J$1171=0,"",[2]对账明细接口!$J$1171),"")</f>
        <v/>
      </c>
      <c r="K1171" s="61" t="str">
        <f aca="false">IFERROR(IF([2]对账明细接口!$K$1171=0,"",[2]对账明细接口!$K$1171),"")</f>
        <v/>
      </c>
      <c r="L1171" s="59" t="str">
        <f aca="false">IFERROR(IF([2]对账明细接口!$L$1171=0,"",[2]对账明细接口!$L$1171),"")</f>
        <v/>
      </c>
      <c r="M1171" s="59" t="str">
        <f aca="false">IFERROR(IF([2]对账明细接口!$M$1171=0,"",[2]对账明细接口!$M$1171),"")</f>
        <v/>
      </c>
      <c r="N1171" s="111" t="n">
        <f aca="false">IF($C1171="",0,1)</f>
        <v>0</v>
      </c>
      <c r="O1171" s="111" t="n">
        <f aca="false">N(O1170)+$N1171</f>
        <v>311</v>
      </c>
      <c r="S1171" s="10" t="str">
        <f aca="false">IFERROR(IF([2]对账明细接口!$N1171=0,"",[2]对账明细接口!$N1171),"")</f>
        <v/>
      </c>
      <c r="T1171" s="112" t="str">
        <f aca="false">IFERROR(IF([2]对账明细接口!$O1171=0,"",[2]对账明细接口!$O1171),"")</f>
        <v/>
      </c>
      <c r="U1171" s="112" t="str">
        <f aca="false">IFERROR(IF([2]对账明细接口!$P1171=0,"",[2]对账明细接口!$P1171),"")</f>
        <v/>
      </c>
      <c r="V1171" s="112" t="str">
        <f aca="false">IFERROR(IF([2]对账明细接口!$Q1171=0,"",[2]对账明细接口!$Q1171),"")</f>
        <v/>
      </c>
      <c r="W1171" s="10" t="str">
        <f aca="false">IFERROR(IF([2]对账明细接口!$R1171=0,"",[2]对账明细接口!$R1171),"")</f>
        <v/>
      </c>
      <c r="X1171" s="10" t="str">
        <f aca="false">IFERROR(IF([2]对账明细接口!$S1171=0,"",[2]对账明细接口!$S1171),"")</f>
        <v/>
      </c>
      <c r="Y1171" s="10" t="str">
        <f aca="false">IFERROR(IF([2]对账明细接口!$T1171=0,"",[2]对账明细接口!$T1171),"")</f>
        <v/>
      </c>
      <c r="Z1171" s="113" t="str">
        <f aca="false">IFERROR(IF([2]对账明细接口!$U1171=0,"",[2]对账明细接口!$U1171),"")</f>
        <v/>
      </c>
      <c r="AA1171" s="113" t="str">
        <f aca="false">IFERROR(IF([2]对账明细接口!$V1171=0,"",[2]对账明细接口!$V1171),"")</f>
        <v/>
      </c>
      <c r="AB1171" s="10" t="str">
        <f aca="false">IFERROR(IF([2]对账明细接口!$W1171=0,"",[2]对账明细接口!$W1171),"")</f>
        <v/>
      </c>
      <c r="AC1171" s="90" t="str">
        <f aca="false">IFERROR(IF([2]对账明细接口!$X1172=0,"",[2]对账明细接口!$X1172),"")</f>
        <v/>
      </c>
      <c r="AD1171" s="90" t="str">
        <f aca="false">IFERROR(IF([2]对账明细接口!$Y1172=0,"",[2]对账明细接口!$Y1172),"")</f>
        <v/>
      </c>
      <c r="AE1171" s="90" t="str">
        <f aca="false">IFERROR(IF([2]对账明细接口!$AA1172=0,"",[2]对账明细接口!$AA1172),"")</f>
        <v/>
      </c>
      <c r="AF1171" s="90" t="str">
        <f aca="false">IFERROR(IF([2]对账明细接口!$AB1172=0,"",[2]对账明细接口!$AB1172),"")</f>
        <v/>
      </c>
      <c r="AG1171" s="90" t="str">
        <f aca="false">IFERROR(IF([2]对账明细接口!$AC1172=0,"",[2]对账明细接口!$AC1172),"")</f>
        <v/>
      </c>
      <c r="AH1171" s="90" t="str">
        <f aca="false">IFERROR(IF([2]对账明细接口!$AD1172=0,"",[2]对账明细接口!$AD1172),"")</f>
        <v/>
      </c>
    </row>
    <row r="1172" customFormat="false" ht="13.5" hidden="false" customHeight="false" outlineLevel="0" collapsed="false">
      <c r="A1172" s="109" t="n">
        <v>1172</v>
      </c>
      <c r="B1172" s="110" t="str">
        <f aca="false">IFERROR(IF([2]对账明细接口!$B$1172=0,"",[2]对账明细接口!$B$1172),"")</f>
        <v/>
      </c>
      <c r="C1172" s="59" t="str">
        <f aca="false">IFERROR(IF([2]对账明细接口!$C$1172=0,"",[2]对账明细接口!$C$1172),"")</f>
        <v/>
      </c>
      <c r="D1172" s="59" t="str">
        <f aca="false">IFERROR(IF([2]对账明细接口!$D$1172=0,"",[2]对账明细接口!$D$1172),"")</f>
        <v/>
      </c>
      <c r="E1172" s="59" t="str">
        <f aca="false">IFERROR(IF([2]对账明细接口!$E$1172=0,"",[2]对账明细接口!$E$1172),"")</f>
        <v/>
      </c>
      <c r="F1172" s="59" t="str">
        <f aca="false">IFERROR(IF([2]对账明细接口!$F$1172=0,"",[2]对账明细接口!$F$1172),"")</f>
        <v/>
      </c>
      <c r="G1172" s="59" t="str">
        <f aca="false">IFERROR(IF([2]对账明细接口!$G$1172=0,"",[2]对账明细接口!$G$1172),"")</f>
        <v/>
      </c>
      <c r="H1172" s="60" t="str">
        <f aca="false">IFERROR(IF([2]对账明细接口!$H$1172=0,"",[2]对账明细接口!$H$1172),"")</f>
        <v/>
      </c>
      <c r="I1172" s="59" t="str">
        <f aca="false">IFERROR(IF([2]对账明细接口!$I$1172=0,"",[2]对账明细接口!$I$1172),"")</f>
        <v/>
      </c>
      <c r="J1172" s="61" t="str">
        <f aca="false">IFERROR(IF([2]对账明细接口!$J$1172=0,"",[2]对账明细接口!$J$1172),"")</f>
        <v/>
      </c>
      <c r="K1172" s="61" t="str">
        <f aca="false">IFERROR(IF([2]对账明细接口!$K$1172=0,"",[2]对账明细接口!$K$1172),"")</f>
        <v/>
      </c>
      <c r="L1172" s="59" t="str">
        <f aca="false">IFERROR(IF([2]对账明细接口!$L$1172=0,"",[2]对账明细接口!$L$1172),"")</f>
        <v/>
      </c>
      <c r="M1172" s="59" t="str">
        <f aca="false">IFERROR(IF([2]对账明细接口!$M$1172=0,"",[2]对账明细接口!$M$1172),"")</f>
        <v/>
      </c>
      <c r="N1172" s="111" t="n">
        <f aca="false">IF($C1172="",0,1)</f>
        <v>0</v>
      </c>
      <c r="O1172" s="111" t="n">
        <f aca="false">N(O1171)+$N1172</f>
        <v>311</v>
      </c>
      <c r="S1172" s="10" t="str">
        <f aca="false">IFERROR(IF([2]对账明细接口!$N1172=0,"",[2]对账明细接口!$N1172),"")</f>
        <v/>
      </c>
      <c r="T1172" s="112" t="str">
        <f aca="false">IFERROR(IF([2]对账明细接口!$O1172=0,"",[2]对账明细接口!$O1172),"")</f>
        <v/>
      </c>
      <c r="U1172" s="112" t="str">
        <f aca="false">IFERROR(IF([2]对账明细接口!$P1172=0,"",[2]对账明细接口!$P1172),"")</f>
        <v/>
      </c>
      <c r="V1172" s="112" t="str">
        <f aca="false">IFERROR(IF([2]对账明细接口!$Q1172=0,"",[2]对账明细接口!$Q1172),"")</f>
        <v/>
      </c>
      <c r="W1172" s="10" t="str">
        <f aca="false">IFERROR(IF([2]对账明细接口!$R1172=0,"",[2]对账明细接口!$R1172),"")</f>
        <v/>
      </c>
      <c r="X1172" s="10" t="str">
        <f aca="false">IFERROR(IF([2]对账明细接口!$S1172=0,"",[2]对账明细接口!$S1172),"")</f>
        <v/>
      </c>
      <c r="Y1172" s="10" t="str">
        <f aca="false">IFERROR(IF([2]对账明细接口!$T1172=0,"",[2]对账明细接口!$T1172),"")</f>
        <v/>
      </c>
      <c r="Z1172" s="113" t="str">
        <f aca="false">IFERROR(IF([2]对账明细接口!$U1172=0,"",[2]对账明细接口!$U1172),"")</f>
        <v/>
      </c>
      <c r="AA1172" s="113" t="str">
        <f aca="false">IFERROR(IF([2]对账明细接口!$V1172=0,"",[2]对账明细接口!$V1172),"")</f>
        <v/>
      </c>
      <c r="AB1172" s="10" t="str">
        <f aca="false">IFERROR(IF([2]对账明细接口!$W1172=0,"",[2]对账明细接口!$W1172),"")</f>
        <v/>
      </c>
      <c r="AC1172" s="90" t="str">
        <f aca="false">IFERROR(IF([2]对账明细接口!$X1173=0,"",[2]对账明细接口!$X1173),"")</f>
        <v/>
      </c>
      <c r="AD1172" s="90" t="str">
        <f aca="false">IFERROR(IF([2]对账明细接口!$Y1173=0,"",[2]对账明细接口!$Y1173),"")</f>
        <v/>
      </c>
      <c r="AE1172" s="90" t="str">
        <f aca="false">IFERROR(IF([2]对账明细接口!$AA1173=0,"",[2]对账明细接口!$AA1173),"")</f>
        <v/>
      </c>
      <c r="AF1172" s="90" t="str">
        <f aca="false">IFERROR(IF([2]对账明细接口!$AB1173=0,"",[2]对账明细接口!$AB1173),"")</f>
        <v/>
      </c>
      <c r="AG1172" s="90" t="str">
        <f aca="false">IFERROR(IF([2]对账明细接口!$AC1173=0,"",[2]对账明细接口!$AC1173),"")</f>
        <v/>
      </c>
      <c r="AH1172" s="90" t="str">
        <f aca="false">IFERROR(IF([2]对账明细接口!$AD1173=0,"",[2]对账明细接口!$AD1173),"")</f>
        <v/>
      </c>
    </row>
    <row r="1173" customFormat="false" ht="13.5" hidden="false" customHeight="false" outlineLevel="0" collapsed="false">
      <c r="A1173" s="109" t="n">
        <v>1173</v>
      </c>
      <c r="B1173" s="110" t="str">
        <f aca="false">IFERROR(IF([2]对账明细接口!$B$1173=0,"",[2]对账明细接口!$B$1173),"")</f>
        <v/>
      </c>
      <c r="C1173" s="59" t="str">
        <f aca="false">IFERROR(IF([2]对账明细接口!$C$1173=0,"",[2]对账明细接口!$C$1173),"")</f>
        <v/>
      </c>
      <c r="D1173" s="59" t="str">
        <f aca="false">IFERROR(IF([2]对账明细接口!$D$1173=0,"",[2]对账明细接口!$D$1173),"")</f>
        <v/>
      </c>
      <c r="E1173" s="59" t="str">
        <f aca="false">IFERROR(IF([2]对账明细接口!$E$1173=0,"",[2]对账明细接口!$E$1173),"")</f>
        <v/>
      </c>
      <c r="F1173" s="59" t="str">
        <f aca="false">IFERROR(IF([2]对账明细接口!$F$1173=0,"",[2]对账明细接口!$F$1173),"")</f>
        <v/>
      </c>
      <c r="G1173" s="59" t="str">
        <f aca="false">IFERROR(IF([2]对账明细接口!$G$1173=0,"",[2]对账明细接口!$G$1173),"")</f>
        <v/>
      </c>
      <c r="H1173" s="60" t="str">
        <f aca="false">IFERROR(IF([2]对账明细接口!$H$1173=0,"",[2]对账明细接口!$H$1173),"")</f>
        <v/>
      </c>
      <c r="I1173" s="59" t="str">
        <f aca="false">IFERROR(IF([2]对账明细接口!$I$1173=0,"",[2]对账明细接口!$I$1173),"")</f>
        <v/>
      </c>
      <c r="J1173" s="61" t="str">
        <f aca="false">IFERROR(IF([2]对账明细接口!$J$1173=0,"",[2]对账明细接口!$J$1173),"")</f>
        <v/>
      </c>
      <c r="K1173" s="61" t="str">
        <f aca="false">IFERROR(IF([2]对账明细接口!$K$1173=0,"",[2]对账明细接口!$K$1173),"")</f>
        <v/>
      </c>
      <c r="L1173" s="59" t="str">
        <f aca="false">IFERROR(IF([2]对账明细接口!$L$1173=0,"",[2]对账明细接口!$L$1173),"")</f>
        <v/>
      </c>
      <c r="M1173" s="59" t="str">
        <f aca="false">IFERROR(IF([2]对账明细接口!$M$1173=0,"",[2]对账明细接口!$M$1173),"")</f>
        <v/>
      </c>
      <c r="N1173" s="111" t="n">
        <f aca="false">IF($C1173="",0,1)</f>
        <v>0</v>
      </c>
      <c r="O1173" s="111" t="n">
        <f aca="false">N(O1172)+$N1173</f>
        <v>311</v>
      </c>
      <c r="S1173" s="10" t="str">
        <f aca="false">IFERROR(IF([2]对账明细接口!$N1173=0,"",[2]对账明细接口!$N1173),"")</f>
        <v/>
      </c>
      <c r="T1173" s="112" t="str">
        <f aca="false">IFERROR(IF([2]对账明细接口!$O1173=0,"",[2]对账明细接口!$O1173),"")</f>
        <v/>
      </c>
      <c r="U1173" s="112" t="str">
        <f aca="false">IFERROR(IF([2]对账明细接口!$P1173=0,"",[2]对账明细接口!$P1173),"")</f>
        <v/>
      </c>
      <c r="V1173" s="112" t="str">
        <f aca="false">IFERROR(IF([2]对账明细接口!$Q1173=0,"",[2]对账明细接口!$Q1173),"")</f>
        <v/>
      </c>
      <c r="W1173" s="10" t="str">
        <f aca="false">IFERROR(IF([2]对账明细接口!$R1173=0,"",[2]对账明细接口!$R1173),"")</f>
        <v/>
      </c>
      <c r="X1173" s="10" t="str">
        <f aca="false">IFERROR(IF([2]对账明细接口!$S1173=0,"",[2]对账明细接口!$S1173),"")</f>
        <v/>
      </c>
      <c r="Y1173" s="10" t="str">
        <f aca="false">IFERROR(IF([2]对账明细接口!$T1173=0,"",[2]对账明细接口!$T1173),"")</f>
        <v/>
      </c>
      <c r="Z1173" s="113" t="str">
        <f aca="false">IFERROR(IF([2]对账明细接口!$U1173=0,"",[2]对账明细接口!$U1173),"")</f>
        <v/>
      </c>
      <c r="AA1173" s="113" t="str">
        <f aca="false">IFERROR(IF([2]对账明细接口!$V1173=0,"",[2]对账明细接口!$V1173),"")</f>
        <v/>
      </c>
      <c r="AB1173" s="10" t="str">
        <f aca="false">IFERROR(IF([2]对账明细接口!$W1173=0,"",[2]对账明细接口!$W1173),"")</f>
        <v/>
      </c>
      <c r="AC1173" s="90" t="str">
        <f aca="false">IFERROR(IF([2]对账明细接口!$X1174=0,"",[2]对账明细接口!$X1174),"")</f>
        <v/>
      </c>
      <c r="AD1173" s="90" t="str">
        <f aca="false">IFERROR(IF([2]对账明细接口!$Y1174=0,"",[2]对账明细接口!$Y1174),"")</f>
        <v/>
      </c>
      <c r="AE1173" s="90" t="str">
        <f aca="false">IFERROR(IF([2]对账明细接口!$AA1174=0,"",[2]对账明细接口!$AA1174),"")</f>
        <v/>
      </c>
      <c r="AF1173" s="90" t="str">
        <f aca="false">IFERROR(IF([2]对账明细接口!$AB1174=0,"",[2]对账明细接口!$AB1174),"")</f>
        <v/>
      </c>
      <c r="AG1173" s="90" t="str">
        <f aca="false">IFERROR(IF([2]对账明细接口!$AC1174=0,"",[2]对账明细接口!$AC1174),"")</f>
        <v/>
      </c>
      <c r="AH1173" s="90" t="str">
        <f aca="false">IFERROR(IF([2]对账明细接口!$AD1174=0,"",[2]对账明细接口!$AD1174),"")</f>
        <v/>
      </c>
    </row>
    <row r="1174" customFormat="false" ht="13.5" hidden="false" customHeight="false" outlineLevel="0" collapsed="false">
      <c r="A1174" s="109" t="n">
        <v>1174</v>
      </c>
      <c r="B1174" s="110" t="str">
        <f aca="false">IFERROR(IF([2]对账明细接口!$B$1174=0,"",[2]对账明细接口!$B$1174),"")</f>
        <v/>
      </c>
      <c r="C1174" s="59" t="str">
        <f aca="false">IFERROR(IF([2]对账明细接口!$C$1174=0,"",[2]对账明细接口!$C$1174),"")</f>
        <v/>
      </c>
      <c r="D1174" s="59" t="str">
        <f aca="false">IFERROR(IF([2]对账明细接口!$D$1174=0,"",[2]对账明细接口!$D$1174),"")</f>
        <v/>
      </c>
      <c r="E1174" s="59" t="str">
        <f aca="false">IFERROR(IF([2]对账明细接口!$E$1174=0,"",[2]对账明细接口!$E$1174),"")</f>
        <v/>
      </c>
      <c r="F1174" s="59" t="str">
        <f aca="false">IFERROR(IF([2]对账明细接口!$F$1174=0,"",[2]对账明细接口!$F$1174),"")</f>
        <v/>
      </c>
      <c r="G1174" s="59" t="str">
        <f aca="false">IFERROR(IF([2]对账明细接口!$G$1174=0,"",[2]对账明细接口!$G$1174),"")</f>
        <v/>
      </c>
      <c r="H1174" s="60" t="str">
        <f aca="false">IFERROR(IF([2]对账明细接口!$H$1174=0,"",[2]对账明细接口!$H$1174),"")</f>
        <v/>
      </c>
      <c r="I1174" s="59" t="str">
        <f aca="false">IFERROR(IF([2]对账明细接口!$I$1174=0,"",[2]对账明细接口!$I$1174),"")</f>
        <v/>
      </c>
      <c r="J1174" s="61" t="str">
        <f aca="false">IFERROR(IF([2]对账明细接口!$J$1174=0,"",[2]对账明细接口!$J$1174),"")</f>
        <v/>
      </c>
      <c r="K1174" s="61" t="str">
        <f aca="false">IFERROR(IF([2]对账明细接口!$K$1174=0,"",[2]对账明细接口!$K$1174),"")</f>
        <v/>
      </c>
      <c r="L1174" s="59" t="str">
        <f aca="false">IFERROR(IF([2]对账明细接口!$L$1174=0,"",[2]对账明细接口!$L$1174),"")</f>
        <v/>
      </c>
      <c r="M1174" s="59" t="str">
        <f aca="false">IFERROR(IF([2]对账明细接口!$M$1174=0,"",[2]对账明细接口!$M$1174),"")</f>
        <v/>
      </c>
      <c r="N1174" s="111" t="n">
        <f aca="false">IF($C1174="",0,1)</f>
        <v>0</v>
      </c>
      <c r="O1174" s="111" t="n">
        <f aca="false">N(O1173)+$N1174</f>
        <v>311</v>
      </c>
      <c r="S1174" s="10" t="str">
        <f aca="false">IFERROR(IF([2]对账明细接口!$N1174=0,"",[2]对账明细接口!$N1174),"")</f>
        <v/>
      </c>
      <c r="T1174" s="112" t="str">
        <f aca="false">IFERROR(IF([2]对账明细接口!$O1174=0,"",[2]对账明细接口!$O1174),"")</f>
        <v/>
      </c>
      <c r="U1174" s="112" t="str">
        <f aca="false">IFERROR(IF([2]对账明细接口!$P1174=0,"",[2]对账明细接口!$P1174),"")</f>
        <v/>
      </c>
      <c r="V1174" s="112" t="str">
        <f aca="false">IFERROR(IF([2]对账明细接口!$Q1174=0,"",[2]对账明细接口!$Q1174),"")</f>
        <v/>
      </c>
      <c r="W1174" s="10" t="str">
        <f aca="false">IFERROR(IF([2]对账明细接口!$R1174=0,"",[2]对账明细接口!$R1174),"")</f>
        <v/>
      </c>
      <c r="X1174" s="10" t="str">
        <f aca="false">IFERROR(IF([2]对账明细接口!$S1174=0,"",[2]对账明细接口!$S1174),"")</f>
        <v/>
      </c>
      <c r="Y1174" s="10" t="str">
        <f aca="false">IFERROR(IF([2]对账明细接口!$T1174=0,"",[2]对账明细接口!$T1174),"")</f>
        <v/>
      </c>
      <c r="Z1174" s="113" t="str">
        <f aca="false">IFERROR(IF([2]对账明细接口!$U1174=0,"",[2]对账明细接口!$U1174),"")</f>
        <v/>
      </c>
      <c r="AA1174" s="113" t="str">
        <f aca="false">IFERROR(IF([2]对账明细接口!$V1174=0,"",[2]对账明细接口!$V1174),"")</f>
        <v/>
      </c>
      <c r="AB1174" s="10" t="str">
        <f aca="false">IFERROR(IF([2]对账明细接口!$W1174=0,"",[2]对账明细接口!$W1174),"")</f>
        <v/>
      </c>
      <c r="AC1174" s="90" t="str">
        <f aca="false">IFERROR(IF([2]对账明细接口!$X1175=0,"",[2]对账明细接口!$X1175),"")</f>
        <v/>
      </c>
      <c r="AD1174" s="90" t="str">
        <f aca="false">IFERROR(IF([2]对账明细接口!$Y1175=0,"",[2]对账明细接口!$Y1175),"")</f>
        <v/>
      </c>
      <c r="AE1174" s="90" t="str">
        <f aca="false">IFERROR(IF([2]对账明细接口!$AA1175=0,"",[2]对账明细接口!$AA1175),"")</f>
        <v/>
      </c>
      <c r="AF1174" s="90" t="str">
        <f aca="false">IFERROR(IF([2]对账明细接口!$AB1175=0,"",[2]对账明细接口!$AB1175),"")</f>
        <v/>
      </c>
      <c r="AG1174" s="90" t="str">
        <f aca="false">IFERROR(IF([2]对账明细接口!$AC1175=0,"",[2]对账明细接口!$AC1175),"")</f>
        <v/>
      </c>
      <c r="AH1174" s="90" t="str">
        <f aca="false">IFERROR(IF([2]对账明细接口!$AD1175=0,"",[2]对账明细接口!$AD1175),"")</f>
        <v/>
      </c>
    </row>
    <row r="1175" customFormat="false" ht="13.5" hidden="false" customHeight="false" outlineLevel="0" collapsed="false">
      <c r="A1175" s="109" t="n">
        <v>1175</v>
      </c>
      <c r="B1175" s="110" t="str">
        <f aca="false">IFERROR(IF([2]对账明细接口!$B$1175=0,"",[2]对账明细接口!$B$1175),"")</f>
        <v/>
      </c>
      <c r="C1175" s="59" t="str">
        <f aca="false">IFERROR(IF([2]对账明细接口!$C$1175=0,"",[2]对账明细接口!$C$1175),"")</f>
        <v/>
      </c>
      <c r="D1175" s="59" t="str">
        <f aca="false">IFERROR(IF([2]对账明细接口!$D$1175=0,"",[2]对账明细接口!$D$1175),"")</f>
        <v/>
      </c>
      <c r="E1175" s="59" t="str">
        <f aca="false">IFERROR(IF([2]对账明细接口!$E$1175=0,"",[2]对账明细接口!$E$1175),"")</f>
        <v/>
      </c>
      <c r="F1175" s="59" t="str">
        <f aca="false">IFERROR(IF([2]对账明细接口!$F$1175=0,"",[2]对账明细接口!$F$1175),"")</f>
        <v/>
      </c>
      <c r="G1175" s="59" t="str">
        <f aca="false">IFERROR(IF([2]对账明细接口!$G$1175=0,"",[2]对账明细接口!$G$1175),"")</f>
        <v/>
      </c>
      <c r="H1175" s="60" t="str">
        <f aca="false">IFERROR(IF([2]对账明细接口!$H$1175=0,"",[2]对账明细接口!$H$1175),"")</f>
        <v/>
      </c>
      <c r="I1175" s="59" t="str">
        <f aca="false">IFERROR(IF([2]对账明细接口!$I$1175=0,"",[2]对账明细接口!$I$1175),"")</f>
        <v/>
      </c>
      <c r="J1175" s="61" t="str">
        <f aca="false">IFERROR(IF([2]对账明细接口!$J$1175=0,"",[2]对账明细接口!$J$1175),"")</f>
        <v/>
      </c>
      <c r="K1175" s="61" t="str">
        <f aca="false">IFERROR(IF([2]对账明细接口!$K$1175=0,"",[2]对账明细接口!$K$1175),"")</f>
        <v/>
      </c>
      <c r="L1175" s="59" t="str">
        <f aca="false">IFERROR(IF([2]对账明细接口!$L$1175=0,"",[2]对账明细接口!$L$1175),"")</f>
        <v/>
      </c>
      <c r="M1175" s="59" t="str">
        <f aca="false">IFERROR(IF([2]对账明细接口!$M$1175=0,"",[2]对账明细接口!$M$1175),"")</f>
        <v/>
      </c>
      <c r="N1175" s="111" t="n">
        <f aca="false">IF($C1175="",0,1)</f>
        <v>0</v>
      </c>
      <c r="O1175" s="111" t="n">
        <f aca="false">N(O1174)+$N1175</f>
        <v>311</v>
      </c>
      <c r="S1175" s="10" t="str">
        <f aca="false">IFERROR(IF([2]对账明细接口!$N1175=0,"",[2]对账明细接口!$N1175),"")</f>
        <v/>
      </c>
      <c r="T1175" s="112" t="str">
        <f aca="false">IFERROR(IF([2]对账明细接口!$O1175=0,"",[2]对账明细接口!$O1175),"")</f>
        <v/>
      </c>
      <c r="U1175" s="112" t="str">
        <f aca="false">IFERROR(IF([2]对账明细接口!$P1175=0,"",[2]对账明细接口!$P1175),"")</f>
        <v/>
      </c>
      <c r="V1175" s="112" t="str">
        <f aca="false">IFERROR(IF([2]对账明细接口!$Q1175=0,"",[2]对账明细接口!$Q1175),"")</f>
        <v/>
      </c>
      <c r="W1175" s="10" t="str">
        <f aca="false">IFERROR(IF([2]对账明细接口!$R1175=0,"",[2]对账明细接口!$R1175),"")</f>
        <v/>
      </c>
      <c r="X1175" s="10" t="str">
        <f aca="false">IFERROR(IF([2]对账明细接口!$S1175=0,"",[2]对账明细接口!$S1175),"")</f>
        <v/>
      </c>
      <c r="Y1175" s="10" t="str">
        <f aca="false">IFERROR(IF([2]对账明细接口!$T1175=0,"",[2]对账明细接口!$T1175),"")</f>
        <v/>
      </c>
      <c r="Z1175" s="113" t="str">
        <f aca="false">IFERROR(IF([2]对账明细接口!$U1175=0,"",[2]对账明细接口!$U1175),"")</f>
        <v/>
      </c>
      <c r="AA1175" s="113" t="str">
        <f aca="false">IFERROR(IF([2]对账明细接口!$V1175=0,"",[2]对账明细接口!$V1175),"")</f>
        <v/>
      </c>
      <c r="AB1175" s="10" t="str">
        <f aca="false">IFERROR(IF([2]对账明细接口!$W1175=0,"",[2]对账明细接口!$W1175),"")</f>
        <v/>
      </c>
      <c r="AC1175" s="90" t="str">
        <f aca="false">IFERROR(IF([2]对账明细接口!$X1176=0,"",[2]对账明细接口!$X1176),"")</f>
        <v/>
      </c>
      <c r="AD1175" s="90" t="str">
        <f aca="false">IFERROR(IF([2]对账明细接口!$Y1176=0,"",[2]对账明细接口!$Y1176),"")</f>
        <v/>
      </c>
      <c r="AE1175" s="90" t="str">
        <f aca="false">IFERROR(IF([2]对账明细接口!$AA1176=0,"",[2]对账明细接口!$AA1176),"")</f>
        <v/>
      </c>
      <c r="AF1175" s="90" t="str">
        <f aca="false">IFERROR(IF([2]对账明细接口!$AB1176=0,"",[2]对账明细接口!$AB1176),"")</f>
        <v/>
      </c>
      <c r="AG1175" s="90" t="str">
        <f aca="false">IFERROR(IF([2]对账明细接口!$AC1176=0,"",[2]对账明细接口!$AC1176),"")</f>
        <v/>
      </c>
      <c r="AH1175" s="90" t="str">
        <f aca="false">IFERROR(IF([2]对账明细接口!$AD1176=0,"",[2]对账明细接口!$AD1176),"")</f>
        <v/>
      </c>
    </row>
    <row r="1176" customFormat="false" ht="13.5" hidden="false" customHeight="false" outlineLevel="0" collapsed="false">
      <c r="A1176" s="109" t="n">
        <v>1176</v>
      </c>
      <c r="B1176" s="110" t="str">
        <f aca="false">IFERROR(IF([2]对账明细接口!$B$1176=0,"",[2]对账明细接口!$B$1176),"")</f>
        <v/>
      </c>
      <c r="C1176" s="59" t="str">
        <f aca="false">IFERROR(IF([2]对账明细接口!$C$1176=0,"",[2]对账明细接口!$C$1176),"")</f>
        <v/>
      </c>
      <c r="D1176" s="59" t="str">
        <f aca="false">IFERROR(IF([2]对账明细接口!$D$1176=0,"",[2]对账明细接口!$D$1176),"")</f>
        <v/>
      </c>
      <c r="E1176" s="59" t="str">
        <f aca="false">IFERROR(IF([2]对账明细接口!$E$1176=0,"",[2]对账明细接口!$E$1176),"")</f>
        <v/>
      </c>
      <c r="F1176" s="59" t="str">
        <f aca="false">IFERROR(IF([2]对账明细接口!$F$1176=0,"",[2]对账明细接口!$F$1176),"")</f>
        <v/>
      </c>
      <c r="G1176" s="59" t="str">
        <f aca="false">IFERROR(IF([2]对账明细接口!$G$1176=0,"",[2]对账明细接口!$G$1176),"")</f>
        <v/>
      </c>
      <c r="H1176" s="60" t="str">
        <f aca="false">IFERROR(IF([2]对账明细接口!$H$1176=0,"",[2]对账明细接口!$H$1176),"")</f>
        <v/>
      </c>
      <c r="I1176" s="59" t="str">
        <f aca="false">IFERROR(IF([2]对账明细接口!$I$1176=0,"",[2]对账明细接口!$I$1176),"")</f>
        <v/>
      </c>
      <c r="J1176" s="61" t="str">
        <f aca="false">IFERROR(IF([2]对账明细接口!$J$1176=0,"",[2]对账明细接口!$J$1176),"")</f>
        <v/>
      </c>
      <c r="K1176" s="61" t="str">
        <f aca="false">IFERROR(IF([2]对账明细接口!$K$1176=0,"",[2]对账明细接口!$K$1176),"")</f>
        <v/>
      </c>
      <c r="L1176" s="59" t="str">
        <f aca="false">IFERROR(IF([2]对账明细接口!$L$1176=0,"",[2]对账明细接口!$L$1176),"")</f>
        <v/>
      </c>
      <c r="M1176" s="59" t="str">
        <f aca="false">IFERROR(IF([2]对账明细接口!$M$1176=0,"",[2]对账明细接口!$M$1176),"")</f>
        <v/>
      </c>
      <c r="N1176" s="111" t="n">
        <f aca="false">IF($C1176="",0,1)</f>
        <v>0</v>
      </c>
      <c r="O1176" s="111" t="n">
        <f aca="false">N(O1175)+$N1176</f>
        <v>311</v>
      </c>
      <c r="S1176" s="10" t="str">
        <f aca="false">IFERROR(IF([2]对账明细接口!$N1176=0,"",[2]对账明细接口!$N1176),"")</f>
        <v/>
      </c>
      <c r="T1176" s="112" t="str">
        <f aca="false">IFERROR(IF([2]对账明细接口!$O1176=0,"",[2]对账明细接口!$O1176),"")</f>
        <v/>
      </c>
      <c r="U1176" s="112" t="str">
        <f aca="false">IFERROR(IF([2]对账明细接口!$P1176=0,"",[2]对账明细接口!$P1176),"")</f>
        <v/>
      </c>
      <c r="V1176" s="112" t="str">
        <f aca="false">IFERROR(IF([2]对账明细接口!$Q1176=0,"",[2]对账明细接口!$Q1176),"")</f>
        <v/>
      </c>
      <c r="W1176" s="10" t="str">
        <f aca="false">IFERROR(IF([2]对账明细接口!$R1176=0,"",[2]对账明细接口!$R1176),"")</f>
        <v/>
      </c>
      <c r="X1176" s="10" t="str">
        <f aca="false">IFERROR(IF([2]对账明细接口!$S1176=0,"",[2]对账明细接口!$S1176),"")</f>
        <v/>
      </c>
      <c r="Y1176" s="10" t="str">
        <f aca="false">IFERROR(IF([2]对账明细接口!$T1176=0,"",[2]对账明细接口!$T1176),"")</f>
        <v/>
      </c>
      <c r="Z1176" s="113" t="str">
        <f aca="false">IFERROR(IF([2]对账明细接口!$U1176=0,"",[2]对账明细接口!$U1176),"")</f>
        <v/>
      </c>
      <c r="AA1176" s="113" t="str">
        <f aca="false">IFERROR(IF([2]对账明细接口!$V1176=0,"",[2]对账明细接口!$V1176),"")</f>
        <v/>
      </c>
      <c r="AB1176" s="10" t="str">
        <f aca="false">IFERROR(IF([2]对账明细接口!$W1176=0,"",[2]对账明细接口!$W1176),"")</f>
        <v/>
      </c>
      <c r="AC1176" s="90" t="str">
        <f aca="false">IFERROR(IF([2]对账明细接口!$X1177=0,"",[2]对账明细接口!$X1177),"")</f>
        <v/>
      </c>
      <c r="AD1176" s="90" t="str">
        <f aca="false">IFERROR(IF([2]对账明细接口!$Y1177=0,"",[2]对账明细接口!$Y1177),"")</f>
        <v/>
      </c>
      <c r="AE1176" s="90" t="str">
        <f aca="false">IFERROR(IF([2]对账明细接口!$AA1177=0,"",[2]对账明细接口!$AA1177),"")</f>
        <v/>
      </c>
      <c r="AF1176" s="90" t="str">
        <f aca="false">IFERROR(IF([2]对账明细接口!$AB1177=0,"",[2]对账明细接口!$AB1177),"")</f>
        <v/>
      </c>
      <c r="AG1176" s="90" t="str">
        <f aca="false">IFERROR(IF([2]对账明细接口!$AC1177=0,"",[2]对账明细接口!$AC1177),"")</f>
        <v/>
      </c>
      <c r="AH1176" s="90" t="str">
        <f aca="false">IFERROR(IF([2]对账明细接口!$AD1177=0,"",[2]对账明细接口!$AD1177),"")</f>
        <v/>
      </c>
    </row>
    <row r="1177" customFormat="false" ht="13.5" hidden="false" customHeight="false" outlineLevel="0" collapsed="false">
      <c r="A1177" s="109" t="n">
        <v>1177</v>
      </c>
      <c r="B1177" s="110" t="str">
        <f aca="false">IFERROR(IF([2]对账明细接口!$B$1177=0,"",[2]对账明细接口!$B$1177),"")</f>
        <v/>
      </c>
      <c r="C1177" s="59" t="str">
        <f aca="false">IFERROR(IF([2]对账明细接口!$C$1177=0,"",[2]对账明细接口!$C$1177),"")</f>
        <v/>
      </c>
      <c r="D1177" s="59" t="str">
        <f aca="false">IFERROR(IF([2]对账明细接口!$D$1177=0,"",[2]对账明细接口!$D$1177),"")</f>
        <v/>
      </c>
      <c r="E1177" s="59" t="str">
        <f aca="false">IFERROR(IF([2]对账明细接口!$E$1177=0,"",[2]对账明细接口!$E$1177),"")</f>
        <v/>
      </c>
      <c r="F1177" s="59" t="str">
        <f aca="false">IFERROR(IF([2]对账明细接口!$F$1177=0,"",[2]对账明细接口!$F$1177),"")</f>
        <v/>
      </c>
      <c r="G1177" s="59" t="str">
        <f aca="false">IFERROR(IF([2]对账明细接口!$G$1177=0,"",[2]对账明细接口!$G$1177),"")</f>
        <v/>
      </c>
      <c r="H1177" s="60" t="str">
        <f aca="false">IFERROR(IF([2]对账明细接口!$H$1177=0,"",[2]对账明细接口!$H$1177),"")</f>
        <v/>
      </c>
      <c r="I1177" s="59" t="str">
        <f aca="false">IFERROR(IF([2]对账明细接口!$I$1177=0,"",[2]对账明细接口!$I$1177),"")</f>
        <v/>
      </c>
      <c r="J1177" s="61" t="str">
        <f aca="false">IFERROR(IF([2]对账明细接口!$J$1177=0,"",[2]对账明细接口!$J$1177),"")</f>
        <v/>
      </c>
      <c r="K1177" s="61" t="str">
        <f aca="false">IFERROR(IF([2]对账明细接口!$K$1177=0,"",[2]对账明细接口!$K$1177),"")</f>
        <v/>
      </c>
      <c r="L1177" s="59" t="str">
        <f aca="false">IFERROR(IF([2]对账明细接口!$L$1177=0,"",[2]对账明细接口!$L$1177),"")</f>
        <v/>
      </c>
      <c r="M1177" s="59" t="str">
        <f aca="false">IFERROR(IF([2]对账明细接口!$M$1177=0,"",[2]对账明细接口!$M$1177),"")</f>
        <v/>
      </c>
      <c r="N1177" s="111" t="n">
        <f aca="false">IF($C1177="",0,1)</f>
        <v>0</v>
      </c>
      <c r="O1177" s="111" t="n">
        <f aca="false">N(O1176)+$N1177</f>
        <v>311</v>
      </c>
      <c r="S1177" s="10" t="str">
        <f aca="false">IFERROR(IF([2]对账明细接口!$N1177=0,"",[2]对账明细接口!$N1177),"")</f>
        <v/>
      </c>
      <c r="T1177" s="112" t="str">
        <f aca="false">IFERROR(IF([2]对账明细接口!$O1177=0,"",[2]对账明细接口!$O1177),"")</f>
        <v/>
      </c>
      <c r="U1177" s="112" t="str">
        <f aca="false">IFERROR(IF([2]对账明细接口!$P1177=0,"",[2]对账明细接口!$P1177),"")</f>
        <v/>
      </c>
      <c r="V1177" s="112" t="str">
        <f aca="false">IFERROR(IF([2]对账明细接口!$Q1177=0,"",[2]对账明细接口!$Q1177),"")</f>
        <v/>
      </c>
      <c r="W1177" s="10" t="str">
        <f aca="false">IFERROR(IF([2]对账明细接口!$R1177=0,"",[2]对账明细接口!$R1177),"")</f>
        <v/>
      </c>
      <c r="X1177" s="10" t="str">
        <f aca="false">IFERROR(IF([2]对账明细接口!$S1177=0,"",[2]对账明细接口!$S1177),"")</f>
        <v/>
      </c>
      <c r="Y1177" s="10" t="str">
        <f aca="false">IFERROR(IF([2]对账明细接口!$T1177=0,"",[2]对账明细接口!$T1177),"")</f>
        <v/>
      </c>
      <c r="Z1177" s="113" t="str">
        <f aca="false">IFERROR(IF([2]对账明细接口!$U1177=0,"",[2]对账明细接口!$U1177),"")</f>
        <v/>
      </c>
      <c r="AA1177" s="113" t="str">
        <f aca="false">IFERROR(IF([2]对账明细接口!$V1177=0,"",[2]对账明细接口!$V1177),"")</f>
        <v/>
      </c>
      <c r="AB1177" s="10" t="str">
        <f aca="false">IFERROR(IF([2]对账明细接口!$W1177=0,"",[2]对账明细接口!$W1177),"")</f>
        <v/>
      </c>
      <c r="AC1177" s="90" t="str">
        <f aca="false">IFERROR(IF([2]对账明细接口!$X1178=0,"",[2]对账明细接口!$X1178),"")</f>
        <v/>
      </c>
      <c r="AD1177" s="90" t="str">
        <f aca="false">IFERROR(IF([2]对账明细接口!$Y1178=0,"",[2]对账明细接口!$Y1178),"")</f>
        <v/>
      </c>
      <c r="AE1177" s="90" t="str">
        <f aca="false">IFERROR(IF([2]对账明细接口!$AA1178=0,"",[2]对账明细接口!$AA1178),"")</f>
        <v/>
      </c>
      <c r="AF1177" s="90" t="str">
        <f aca="false">IFERROR(IF([2]对账明细接口!$AB1178=0,"",[2]对账明细接口!$AB1178),"")</f>
        <v/>
      </c>
      <c r="AG1177" s="90" t="str">
        <f aca="false">IFERROR(IF([2]对账明细接口!$AC1178=0,"",[2]对账明细接口!$AC1178),"")</f>
        <v/>
      </c>
      <c r="AH1177" s="90" t="str">
        <f aca="false">IFERROR(IF([2]对账明细接口!$AD1178=0,"",[2]对账明细接口!$AD1178),"")</f>
        <v/>
      </c>
    </row>
    <row r="1178" customFormat="false" ht="13.5" hidden="false" customHeight="false" outlineLevel="0" collapsed="false">
      <c r="A1178" s="109" t="n">
        <v>1178</v>
      </c>
      <c r="B1178" s="110" t="str">
        <f aca="false">IFERROR(IF([2]对账明细接口!$B$1178=0,"",[2]对账明细接口!$B$1178),"")</f>
        <v/>
      </c>
      <c r="C1178" s="59" t="str">
        <f aca="false">IFERROR(IF([2]对账明细接口!$C$1178=0,"",[2]对账明细接口!$C$1178),"")</f>
        <v/>
      </c>
      <c r="D1178" s="59" t="str">
        <f aca="false">IFERROR(IF([2]对账明细接口!$D$1178=0,"",[2]对账明细接口!$D$1178),"")</f>
        <v/>
      </c>
      <c r="E1178" s="59" t="str">
        <f aca="false">IFERROR(IF([2]对账明细接口!$E$1178=0,"",[2]对账明细接口!$E$1178),"")</f>
        <v/>
      </c>
      <c r="F1178" s="59" t="str">
        <f aca="false">IFERROR(IF([2]对账明细接口!$F$1178=0,"",[2]对账明细接口!$F$1178),"")</f>
        <v/>
      </c>
      <c r="G1178" s="59" t="str">
        <f aca="false">IFERROR(IF([2]对账明细接口!$G$1178=0,"",[2]对账明细接口!$G$1178),"")</f>
        <v/>
      </c>
      <c r="H1178" s="60" t="str">
        <f aca="false">IFERROR(IF([2]对账明细接口!$H$1178=0,"",[2]对账明细接口!$H$1178),"")</f>
        <v/>
      </c>
      <c r="I1178" s="59" t="str">
        <f aca="false">IFERROR(IF([2]对账明细接口!$I$1178=0,"",[2]对账明细接口!$I$1178),"")</f>
        <v/>
      </c>
      <c r="J1178" s="61" t="str">
        <f aca="false">IFERROR(IF([2]对账明细接口!$J$1178=0,"",[2]对账明细接口!$J$1178),"")</f>
        <v/>
      </c>
      <c r="K1178" s="61" t="str">
        <f aca="false">IFERROR(IF([2]对账明细接口!$K$1178=0,"",[2]对账明细接口!$K$1178),"")</f>
        <v/>
      </c>
      <c r="L1178" s="59" t="str">
        <f aca="false">IFERROR(IF([2]对账明细接口!$L$1178=0,"",[2]对账明细接口!$L$1178),"")</f>
        <v/>
      </c>
      <c r="M1178" s="59" t="str">
        <f aca="false">IFERROR(IF([2]对账明细接口!$M$1178=0,"",[2]对账明细接口!$M$1178),"")</f>
        <v/>
      </c>
      <c r="N1178" s="111" t="n">
        <f aca="false">IF($C1178="",0,1)</f>
        <v>0</v>
      </c>
      <c r="O1178" s="111" t="n">
        <f aca="false">N(O1177)+$N1178</f>
        <v>311</v>
      </c>
      <c r="S1178" s="10" t="str">
        <f aca="false">IFERROR(IF([2]对账明细接口!$N1178=0,"",[2]对账明细接口!$N1178),"")</f>
        <v/>
      </c>
      <c r="T1178" s="112" t="str">
        <f aca="false">IFERROR(IF([2]对账明细接口!$O1178=0,"",[2]对账明细接口!$O1178),"")</f>
        <v/>
      </c>
      <c r="U1178" s="112" t="str">
        <f aca="false">IFERROR(IF([2]对账明细接口!$P1178=0,"",[2]对账明细接口!$P1178),"")</f>
        <v/>
      </c>
      <c r="V1178" s="112" t="str">
        <f aca="false">IFERROR(IF([2]对账明细接口!$Q1178=0,"",[2]对账明细接口!$Q1178),"")</f>
        <v/>
      </c>
      <c r="W1178" s="10" t="str">
        <f aca="false">IFERROR(IF([2]对账明细接口!$R1178=0,"",[2]对账明细接口!$R1178),"")</f>
        <v/>
      </c>
      <c r="X1178" s="10" t="str">
        <f aca="false">IFERROR(IF([2]对账明细接口!$S1178=0,"",[2]对账明细接口!$S1178),"")</f>
        <v/>
      </c>
      <c r="Y1178" s="10" t="str">
        <f aca="false">IFERROR(IF([2]对账明细接口!$T1178=0,"",[2]对账明细接口!$T1178),"")</f>
        <v/>
      </c>
      <c r="Z1178" s="113" t="str">
        <f aca="false">IFERROR(IF([2]对账明细接口!$U1178=0,"",[2]对账明细接口!$U1178),"")</f>
        <v/>
      </c>
      <c r="AA1178" s="113" t="str">
        <f aca="false">IFERROR(IF([2]对账明细接口!$V1178=0,"",[2]对账明细接口!$V1178),"")</f>
        <v/>
      </c>
      <c r="AB1178" s="10" t="str">
        <f aca="false">IFERROR(IF([2]对账明细接口!$W1178=0,"",[2]对账明细接口!$W1178),"")</f>
        <v/>
      </c>
      <c r="AC1178" s="90" t="str">
        <f aca="false">IFERROR(IF([2]对账明细接口!$X1179=0,"",[2]对账明细接口!$X1179),"")</f>
        <v/>
      </c>
      <c r="AD1178" s="90" t="str">
        <f aca="false">IFERROR(IF([2]对账明细接口!$Y1179=0,"",[2]对账明细接口!$Y1179),"")</f>
        <v/>
      </c>
      <c r="AE1178" s="90" t="str">
        <f aca="false">IFERROR(IF([2]对账明细接口!$AA1179=0,"",[2]对账明细接口!$AA1179),"")</f>
        <v/>
      </c>
      <c r="AF1178" s="90" t="str">
        <f aca="false">IFERROR(IF([2]对账明细接口!$AB1179=0,"",[2]对账明细接口!$AB1179),"")</f>
        <v/>
      </c>
      <c r="AG1178" s="90" t="str">
        <f aca="false">IFERROR(IF([2]对账明细接口!$AC1179=0,"",[2]对账明细接口!$AC1179),"")</f>
        <v/>
      </c>
      <c r="AH1178" s="90" t="str">
        <f aca="false">IFERROR(IF([2]对账明细接口!$AD1179=0,"",[2]对账明细接口!$AD1179),"")</f>
        <v/>
      </c>
    </row>
    <row r="1179" customFormat="false" ht="13.5" hidden="false" customHeight="false" outlineLevel="0" collapsed="false">
      <c r="A1179" s="109" t="n">
        <v>1179</v>
      </c>
      <c r="B1179" s="110" t="str">
        <f aca="false">IFERROR(IF([2]对账明细接口!$B$1179=0,"",[2]对账明细接口!$B$1179),"")</f>
        <v/>
      </c>
      <c r="C1179" s="59" t="str">
        <f aca="false">IFERROR(IF([2]对账明细接口!$C$1179=0,"",[2]对账明细接口!$C$1179),"")</f>
        <v/>
      </c>
      <c r="D1179" s="59" t="str">
        <f aca="false">IFERROR(IF([2]对账明细接口!$D$1179=0,"",[2]对账明细接口!$D$1179),"")</f>
        <v/>
      </c>
      <c r="E1179" s="59" t="str">
        <f aca="false">IFERROR(IF([2]对账明细接口!$E$1179=0,"",[2]对账明细接口!$E$1179),"")</f>
        <v/>
      </c>
      <c r="F1179" s="59" t="str">
        <f aca="false">IFERROR(IF([2]对账明细接口!$F$1179=0,"",[2]对账明细接口!$F$1179),"")</f>
        <v/>
      </c>
      <c r="G1179" s="59" t="str">
        <f aca="false">IFERROR(IF([2]对账明细接口!$G$1179=0,"",[2]对账明细接口!$G$1179),"")</f>
        <v/>
      </c>
      <c r="H1179" s="60" t="str">
        <f aca="false">IFERROR(IF([2]对账明细接口!$H$1179=0,"",[2]对账明细接口!$H$1179),"")</f>
        <v/>
      </c>
      <c r="I1179" s="59" t="str">
        <f aca="false">IFERROR(IF([2]对账明细接口!$I$1179=0,"",[2]对账明细接口!$I$1179),"")</f>
        <v/>
      </c>
      <c r="J1179" s="61" t="str">
        <f aca="false">IFERROR(IF([2]对账明细接口!$J$1179=0,"",[2]对账明细接口!$J$1179),"")</f>
        <v/>
      </c>
      <c r="K1179" s="61" t="str">
        <f aca="false">IFERROR(IF([2]对账明细接口!$K$1179=0,"",[2]对账明细接口!$K$1179),"")</f>
        <v/>
      </c>
      <c r="L1179" s="59" t="str">
        <f aca="false">IFERROR(IF([2]对账明细接口!$L$1179=0,"",[2]对账明细接口!$L$1179),"")</f>
        <v/>
      </c>
      <c r="M1179" s="59" t="str">
        <f aca="false">IFERROR(IF([2]对账明细接口!$M$1179=0,"",[2]对账明细接口!$M$1179),"")</f>
        <v/>
      </c>
      <c r="N1179" s="111" t="n">
        <f aca="false">IF($C1179="",0,1)</f>
        <v>0</v>
      </c>
      <c r="O1179" s="111" t="n">
        <f aca="false">N(O1178)+$N1179</f>
        <v>311</v>
      </c>
      <c r="S1179" s="10" t="str">
        <f aca="false">IFERROR(IF([2]对账明细接口!$N1179=0,"",[2]对账明细接口!$N1179),"")</f>
        <v/>
      </c>
      <c r="T1179" s="112" t="str">
        <f aca="false">IFERROR(IF([2]对账明细接口!$O1179=0,"",[2]对账明细接口!$O1179),"")</f>
        <v/>
      </c>
      <c r="U1179" s="112" t="str">
        <f aca="false">IFERROR(IF([2]对账明细接口!$P1179=0,"",[2]对账明细接口!$P1179),"")</f>
        <v/>
      </c>
      <c r="V1179" s="112" t="str">
        <f aca="false">IFERROR(IF([2]对账明细接口!$Q1179=0,"",[2]对账明细接口!$Q1179),"")</f>
        <v/>
      </c>
      <c r="W1179" s="10" t="str">
        <f aca="false">IFERROR(IF([2]对账明细接口!$R1179=0,"",[2]对账明细接口!$R1179),"")</f>
        <v/>
      </c>
      <c r="X1179" s="10" t="str">
        <f aca="false">IFERROR(IF([2]对账明细接口!$S1179=0,"",[2]对账明细接口!$S1179),"")</f>
        <v/>
      </c>
      <c r="Y1179" s="10" t="str">
        <f aca="false">IFERROR(IF([2]对账明细接口!$T1179=0,"",[2]对账明细接口!$T1179),"")</f>
        <v/>
      </c>
      <c r="Z1179" s="113" t="str">
        <f aca="false">IFERROR(IF([2]对账明细接口!$U1179=0,"",[2]对账明细接口!$U1179),"")</f>
        <v/>
      </c>
      <c r="AA1179" s="113" t="str">
        <f aca="false">IFERROR(IF([2]对账明细接口!$V1179=0,"",[2]对账明细接口!$V1179),"")</f>
        <v/>
      </c>
      <c r="AB1179" s="10" t="str">
        <f aca="false">IFERROR(IF([2]对账明细接口!$W1179=0,"",[2]对账明细接口!$W1179),"")</f>
        <v/>
      </c>
      <c r="AC1179" s="90" t="str">
        <f aca="false">IFERROR(IF([2]对账明细接口!$X1180=0,"",[2]对账明细接口!$X1180),"")</f>
        <v/>
      </c>
      <c r="AD1179" s="90" t="str">
        <f aca="false">IFERROR(IF([2]对账明细接口!$Y1180=0,"",[2]对账明细接口!$Y1180),"")</f>
        <v/>
      </c>
      <c r="AE1179" s="90" t="str">
        <f aca="false">IFERROR(IF([2]对账明细接口!$AA1180=0,"",[2]对账明细接口!$AA1180),"")</f>
        <v/>
      </c>
      <c r="AF1179" s="90" t="str">
        <f aca="false">IFERROR(IF([2]对账明细接口!$AB1180=0,"",[2]对账明细接口!$AB1180),"")</f>
        <v/>
      </c>
      <c r="AG1179" s="90" t="str">
        <f aca="false">IFERROR(IF([2]对账明细接口!$AC1180=0,"",[2]对账明细接口!$AC1180),"")</f>
        <v/>
      </c>
      <c r="AH1179" s="90" t="str">
        <f aca="false">IFERROR(IF([2]对账明细接口!$AD1180=0,"",[2]对账明细接口!$AD1180),"")</f>
        <v/>
      </c>
    </row>
    <row r="1180" customFormat="false" ht="13.5" hidden="false" customHeight="false" outlineLevel="0" collapsed="false">
      <c r="A1180" s="109" t="n">
        <v>1180</v>
      </c>
      <c r="B1180" s="110" t="str">
        <f aca="false">IFERROR(IF([2]对账明细接口!$B$1180=0,"",[2]对账明细接口!$B$1180),"")</f>
        <v/>
      </c>
      <c r="C1180" s="59" t="str">
        <f aca="false">IFERROR(IF([2]对账明细接口!$C$1180=0,"",[2]对账明细接口!$C$1180),"")</f>
        <v/>
      </c>
      <c r="D1180" s="59" t="str">
        <f aca="false">IFERROR(IF([2]对账明细接口!$D$1180=0,"",[2]对账明细接口!$D$1180),"")</f>
        <v/>
      </c>
      <c r="E1180" s="59" t="str">
        <f aca="false">IFERROR(IF([2]对账明细接口!$E$1180=0,"",[2]对账明细接口!$E$1180),"")</f>
        <v/>
      </c>
      <c r="F1180" s="59" t="str">
        <f aca="false">IFERROR(IF([2]对账明细接口!$F$1180=0,"",[2]对账明细接口!$F$1180),"")</f>
        <v/>
      </c>
      <c r="G1180" s="59" t="str">
        <f aca="false">IFERROR(IF([2]对账明细接口!$G$1180=0,"",[2]对账明细接口!$G$1180),"")</f>
        <v/>
      </c>
      <c r="H1180" s="60" t="str">
        <f aca="false">IFERROR(IF([2]对账明细接口!$H$1180=0,"",[2]对账明细接口!$H$1180),"")</f>
        <v/>
      </c>
      <c r="I1180" s="59" t="str">
        <f aca="false">IFERROR(IF([2]对账明细接口!$I$1180=0,"",[2]对账明细接口!$I$1180),"")</f>
        <v/>
      </c>
      <c r="J1180" s="61" t="str">
        <f aca="false">IFERROR(IF([2]对账明细接口!$J$1180=0,"",[2]对账明细接口!$J$1180),"")</f>
        <v/>
      </c>
      <c r="K1180" s="61" t="str">
        <f aca="false">IFERROR(IF([2]对账明细接口!$K$1180=0,"",[2]对账明细接口!$K$1180),"")</f>
        <v/>
      </c>
      <c r="L1180" s="59" t="str">
        <f aca="false">IFERROR(IF([2]对账明细接口!$L$1180=0,"",[2]对账明细接口!$L$1180),"")</f>
        <v/>
      </c>
      <c r="M1180" s="59" t="str">
        <f aca="false">IFERROR(IF([2]对账明细接口!$M$1180=0,"",[2]对账明细接口!$M$1180),"")</f>
        <v/>
      </c>
      <c r="N1180" s="111" t="n">
        <f aca="false">IF($C1180="",0,1)</f>
        <v>0</v>
      </c>
      <c r="O1180" s="111" t="n">
        <f aca="false">N(O1179)+$N1180</f>
        <v>311</v>
      </c>
      <c r="S1180" s="10" t="str">
        <f aca="false">IFERROR(IF([2]对账明细接口!$N1180=0,"",[2]对账明细接口!$N1180),"")</f>
        <v/>
      </c>
      <c r="T1180" s="112" t="str">
        <f aca="false">IFERROR(IF([2]对账明细接口!$O1180=0,"",[2]对账明细接口!$O1180),"")</f>
        <v/>
      </c>
      <c r="U1180" s="112" t="str">
        <f aca="false">IFERROR(IF([2]对账明细接口!$P1180=0,"",[2]对账明细接口!$P1180),"")</f>
        <v/>
      </c>
      <c r="V1180" s="112" t="str">
        <f aca="false">IFERROR(IF([2]对账明细接口!$Q1180=0,"",[2]对账明细接口!$Q1180),"")</f>
        <v/>
      </c>
      <c r="W1180" s="10" t="str">
        <f aca="false">IFERROR(IF([2]对账明细接口!$R1180=0,"",[2]对账明细接口!$R1180),"")</f>
        <v/>
      </c>
      <c r="X1180" s="10" t="str">
        <f aca="false">IFERROR(IF([2]对账明细接口!$S1180=0,"",[2]对账明细接口!$S1180),"")</f>
        <v/>
      </c>
      <c r="Y1180" s="10" t="str">
        <f aca="false">IFERROR(IF([2]对账明细接口!$T1180=0,"",[2]对账明细接口!$T1180),"")</f>
        <v/>
      </c>
      <c r="Z1180" s="113" t="str">
        <f aca="false">IFERROR(IF([2]对账明细接口!$U1180=0,"",[2]对账明细接口!$U1180),"")</f>
        <v/>
      </c>
      <c r="AA1180" s="113" t="str">
        <f aca="false">IFERROR(IF([2]对账明细接口!$V1180=0,"",[2]对账明细接口!$V1180),"")</f>
        <v/>
      </c>
      <c r="AB1180" s="10" t="str">
        <f aca="false">IFERROR(IF([2]对账明细接口!$W1180=0,"",[2]对账明细接口!$W1180),"")</f>
        <v/>
      </c>
      <c r="AC1180" s="90" t="str">
        <f aca="false">IFERROR(IF([2]对账明细接口!$X1181=0,"",[2]对账明细接口!$X1181),"")</f>
        <v/>
      </c>
      <c r="AD1180" s="90" t="str">
        <f aca="false">IFERROR(IF([2]对账明细接口!$Y1181=0,"",[2]对账明细接口!$Y1181),"")</f>
        <v/>
      </c>
      <c r="AE1180" s="90" t="str">
        <f aca="false">IFERROR(IF([2]对账明细接口!$AA1181=0,"",[2]对账明细接口!$AA1181),"")</f>
        <v/>
      </c>
      <c r="AF1180" s="90" t="str">
        <f aca="false">IFERROR(IF([2]对账明细接口!$AB1181=0,"",[2]对账明细接口!$AB1181),"")</f>
        <v/>
      </c>
      <c r="AG1180" s="90" t="str">
        <f aca="false">IFERROR(IF([2]对账明细接口!$AC1181=0,"",[2]对账明细接口!$AC1181),"")</f>
        <v/>
      </c>
      <c r="AH1180" s="90" t="str">
        <f aca="false">IFERROR(IF([2]对账明细接口!$AD1181=0,"",[2]对账明细接口!$AD1181),"")</f>
        <v/>
      </c>
    </row>
    <row r="1181" customFormat="false" ht="13.5" hidden="false" customHeight="false" outlineLevel="0" collapsed="false">
      <c r="A1181" s="109" t="n">
        <v>1181</v>
      </c>
      <c r="B1181" s="110" t="str">
        <f aca="false">IFERROR(IF([2]对账明细接口!$B$1181=0,"",[2]对账明细接口!$B$1181),"")</f>
        <v/>
      </c>
      <c r="C1181" s="59" t="str">
        <f aca="false">IFERROR(IF([2]对账明细接口!$C$1181=0,"",[2]对账明细接口!$C$1181),"")</f>
        <v/>
      </c>
      <c r="D1181" s="59" t="str">
        <f aca="false">IFERROR(IF([2]对账明细接口!$D$1181=0,"",[2]对账明细接口!$D$1181),"")</f>
        <v/>
      </c>
      <c r="E1181" s="59" t="str">
        <f aca="false">IFERROR(IF([2]对账明细接口!$E$1181=0,"",[2]对账明细接口!$E$1181),"")</f>
        <v/>
      </c>
      <c r="F1181" s="59" t="str">
        <f aca="false">IFERROR(IF([2]对账明细接口!$F$1181=0,"",[2]对账明细接口!$F$1181),"")</f>
        <v/>
      </c>
      <c r="G1181" s="59" t="str">
        <f aca="false">IFERROR(IF([2]对账明细接口!$G$1181=0,"",[2]对账明细接口!$G$1181),"")</f>
        <v/>
      </c>
      <c r="H1181" s="60" t="str">
        <f aca="false">IFERROR(IF([2]对账明细接口!$H$1181=0,"",[2]对账明细接口!$H$1181),"")</f>
        <v/>
      </c>
      <c r="I1181" s="59" t="str">
        <f aca="false">IFERROR(IF([2]对账明细接口!$I$1181=0,"",[2]对账明细接口!$I$1181),"")</f>
        <v/>
      </c>
      <c r="J1181" s="61" t="str">
        <f aca="false">IFERROR(IF([2]对账明细接口!$J$1181=0,"",[2]对账明细接口!$J$1181),"")</f>
        <v/>
      </c>
      <c r="K1181" s="61" t="str">
        <f aca="false">IFERROR(IF([2]对账明细接口!$K$1181=0,"",[2]对账明细接口!$K$1181),"")</f>
        <v/>
      </c>
      <c r="L1181" s="59" t="str">
        <f aca="false">IFERROR(IF([2]对账明细接口!$L$1181=0,"",[2]对账明细接口!$L$1181),"")</f>
        <v/>
      </c>
      <c r="M1181" s="59" t="str">
        <f aca="false">IFERROR(IF([2]对账明细接口!$M$1181=0,"",[2]对账明细接口!$M$1181),"")</f>
        <v/>
      </c>
      <c r="N1181" s="111" t="n">
        <f aca="false">IF($C1181="",0,1)</f>
        <v>0</v>
      </c>
      <c r="O1181" s="111" t="n">
        <f aca="false">N(O1180)+$N1181</f>
        <v>311</v>
      </c>
      <c r="S1181" s="10" t="str">
        <f aca="false">IFERROR(IF([2]对账明细接口!$N1181=0,"",[2]对账明细接口!$N1181),"")</f>
        <v/>
      </c>
      <c r="T1181" s="112" t="str">
        <f aca="false">IFERROR(IF([2]对账明细接口!$O1181=0,"",[2]对账明细接口!$O1181),"")</f>
        <v/>
      </c>
      <c r="U1181" s="112" t="str">
        <f aca="false">IFERROR(IF([2]对账明细接口!$P1181=0,"",[2]对账明细接口!$P1181),"")</f>
        <v/>
      </c>
      <c r="V1181" s="112" t="str">
        <f aca="false">IFERROR(IF([2]对账明细接口!$Q1181=0,"",[2]对账明细接口!$Q1181),"")</f>
        <v/>
      </c>
      <c r="W1181" s="10" t="str">
        <f aca="false">IFERROR(IF([2]对账明细接口!$R1181=0,"",[2]对账明细接口!$R1181),"")</f>
        <v/>
      </c>
      <c r="X1181" s="10" t="str">
        <f aca="false">IFERROR(IF([2]对账明细接口!$S1181=0,"",[2]对账明细接口!$S1181),"")</f>
        <v/>
      </c>
      <c r="Y1181" s="10" t="str">
        <f aca="false">IFERROR(IF([2]对账明细接口!$T1181=0,"",[2]对账明细接口!$T1181),"")</f>
        <v/>
      </c>
      <c r="Z1181" s="113" t="str">
        <f aca="false">IFERROR(IF([2]对账明细接口!$U1181=0,"",[2]对账明细接口!$U1181),"")</f>
        <v/>
      </c>
      <c r="AA1181" s="113" t="str">
        <f aca="false">IFERROR(IF([2]对账明细接口!$V1181=0,"",[2]对账明细接口!$V1181),"")</f>
        <v/>
      </c>
      <c r="AB1181" s="10" t="str">
        <f aca="false">IFERROR(IF([2]对账明细接口!$W1181=0,"",[2]对账明细接口!$W1181),"")</f>
        <v/>
      </c>
      <c r="AC1181" s="90" t="str">
        <f aca="false">IFERROR(IF([2]对账明细接口!$X1182=0,"",[2]对账明细接口!$X1182),"")</f>
        <v/>
      </c>
      <c r="AD1181" s="90" t="str">
        <f aca="false">IFERROR(IF([2]对账明细接口!$Y1182=0,"",[2]对账明细接口!$Y1182),"")</f>
        <v/>
      </c>
      <c r="AE1181" s="90" t="str">
        <f aca="false">IFERROR(IF([2]对账明细接口!$AA1182=0,"",[2]对账明细接口!$AA1182),"")</f>
        <v/>
      </c>
      <c r="AF1181" s="90" t="str">
        <f aca="false">IFERROR(IF([2]对账明细接口!$AB1182=0,"",[2]对账明细接口!$AB1182),"")</f>
        <v/>
      </c>
      <c r="AG1181" s="90" t="str">
        <f aca="false">IFERROR(IF([2]对账明细接口!$AC1182=0,"",[2]对账明细接口!$AC1182),"")</f>
        <v/>
      </c>
      <c r="AH1181" s="90" t="str">
        <f aca="false">IFERROR(IF([2]对账明细接口!$AD1182=0,"",[2]对账明细接口!$AD1182),"")</f>
        <v/>
      </c>
    </row>
    <row r="1182" customFormat="false" ht="13.5" hidden="false" customHeight="false" outlineLevel="0" collapsed="false">
      <c r="A1182" s="109" t="n">
        <v>1182</v>
      </c>
      <c r="B1182" s="110" t="str">
        <f aca="false">IFERROR(IF([2]对账明细接口!$B$1182=0,"",[2]对账明细接口!$B$1182),"")</f>
        <v/>
      </c>
      <c r="C1182" s="59" t="str">
        <f aca="false">IFERROR(IF([2]对账明细接口!$C$1182=0,"",[2]对账明细接口!$C$1182),"")</f>
        <v/>
      </c>
      <c r="D1182" s="59" t="str">
        <f aca="false">IFERROR(IF([2]对账明细接口!$D$1182=0,"",[2]对账明细接口!$D$1182),"")</f>
        <v/>
      </c>
      <c r="E1182" s="59" t="str">
        <f aca="false">IFERROR(IF([2]对账明细接口!$E$1182=0,"",[2]对账明细接口!$E$1182),"")</f>
        <v/>
      </c>
      <c r="F1182" s="59" t="str">
        <f aca="false">IFERROR(IF([2]对账明细接口!$F$1182=0,"",[2]对账明细接口!$F$1182),"")</f>
        <v/>
      </c>
      <c r="G1182" s="59" t="str">
        <f aca="false">IFERROR(IF([2]对账明细接口!$G$1182=0,"",[2]对账明细接口!$G$1182),"")</f>
        <v/>
      </c>
      <c r="H1182" s="60" t="str">
        <f aca="false">IFERROR(IF([2]对账明细接口!$H$1182=0,"",[2]对账明细接口!$H$1182),"")</f>
        <v/>
      </c>
      <c r="I1182" s="59" t="str">
        <f aca="false">IFERROR(IF([2]对账明细接口!$I$1182=0,"",[2]对账明细接口!$I$1182),"")</f>
        <v/>
      </c>
      <c r="J1182" s="61" t="str">
        <f aca="false">IFERROR(IF([2]对账明细接口!$J$1182=0,"",[2]对账明细接口!$J$1182),"")</f>
        <v/>
      </c>
      <c r="K1182" s="61" t="str">
        <f aca="false">IFERROR(IF([2]对账明细接口!$K$1182=0,"",[2]对账明细接口!$K$1182),"")</f>
        <v/>
      </c>
      <c r="L1182" s="59" t="str">
        <f aca="false">IFERROR(IF([2]对账明细接口!$L$1182=0,"",[2]对账明细接口!$L$1182),"")</f>
        <v/>
      </c>
      <c r="M1182" s="59" t="str">
        <f aca="false">IFERROR(IF([2]对账明细接口!$M$1182=0,"",[2]对账明细接口!$M$1182),"")</f>
        <v/>
      </c>
      <c r="N1182" s="111" t="n">
        <f aca="false">IF($C1182="",0,1)</f>
        <v>0</v>
      </c>
      <c r="O1182" s="111" t="n">
        <f aca="false">N(O1181)+$N1182</f>
        <v>311</v>
      </c>
      <c r="S1182" s="10" t="str">
        <f aca="false">IFERROR(IF([2]对账明细接口!$N1182=0,"",[2]对账明细接口!$N1182),"")</f>
        <v/>
      </c>
      <c r="T1182" s="112" t="str">
        <f aca="false">IFERROR(IF([2]对账明细接口!$O1182=0,"",[2]对账明细接口!$O1182),"")</f>
        <v/>
      </c>
      <c r="U1182" s="112" t="str">
        <f aca="false">IFERROR(IF([2]对账明细接口!$P1182=0,"",[2]对账明细接口!$P1182),"")</f>
        <v/>
      </c>
      <c r="V1182" s="112" t="str">
        <f aca="false">IFERROR(IF([2]对账明细接口!$Q1182=0,"",[2]对账明细接口!$Q1182),"")</f>
        <v/>
      </c>
      <c r="W1182" s="10" t="str">
        <f aca="false">IFERROR(IF([2]对账明细接口!$R1182=0,"",[2]对账明细接口!$R1182),"")</f>
        <v/>
      </c>
      <c r="X1182" s="10" t="str">
        <f aca="false">IFERROR(IF([2]对账明细接口!$S1182=0,"",[2]对账明细接口!$S1182),"")</f>
        <v/>
      </c>
      <c r="Y1182" s="10" t="str">
        <f aca="false">IFERROR(IF([2]对账明细接口!$T1182=0,"",[2]对账明细接口!$T1182),"")</f>
        <v/>
      </c>
      <c r="Z1182" s="113" t="str">
        <f aca="false">IFERROR(IF([2]对账明细接口!$U1182=0,"",[2]对账明细接口!$U1182),"")</f>
        <v/>
      </c>
      <c r="AA1182" s="113" t="str">
        <f aca="false">IFERROR(IF([2]对账明细接口!$V1182=0,"",[2]对账明细接口!$V1182),"")</f>
        <v/>
      </c>
      <c r="AB1182" s="10" t="str">
        <f aca="false">IFERROR(IF([2]对账明细接口!$W1182=0,"",[2]对账明细接口!$W1182),"")</f>
        <v/>
      </c>
      <c r="AC1182" s="90" t="str">
        <f aca="false">IFERROR(IF([2]对账明细接口!$X1183=0,"",[2]对账明细接口!$X1183),"")</f>
        <v/>
      </c>
      <c r="AD1182" s="90" t="str">
        <f aca="false">IFERROR(IF([2]对账明细接口!$Y1183=0,"",[2]对账明细接口!$Y1183),"")</f>
        <v/>
      </c>
      <c r="AE1182" s="90" t="str">
        <f aca="false">IFERROR(IF([2]对账明细接口!$AA1183=0,"",[2]对账明细接口!$AA1183),"")</f>
        <v/>
      </c>
      <c r="AF1182" s="90" t="str">
        <f aca="false">IFERROR(IF([2]对账明细接口!$AB1183=0,"",[2]对账明细接口!$AB1183),"")</f>
        <v/>
      </c>
      <c r="AG1182" s="90" t="str">
        <f aca="false">IFERROR(IF([2]对账明细接口!$AC1183=0,"",[2]对账明细接口!$AC1183),"")</f>
        <v/>
      </c>
      <c r="AH1182" s="90" t="str">
        <f aca="false">IFERROR(IF([2]对账明细接口!$AD1183=0,"",[2]对账明细接口!$AD1183),"")</f>
        <v/>
      </c>
    </row>
    <row r="1183" customFormat="false" ht="13.5" hidden="false" customHeight="false" outlineLevel="0" collapsed="false">
      <c r="A1183" s="109" t="n">
        <v>1183</v>
      </c>
      <c r="B1183" s="110" t="str">
        <f aca="false">IFERROR(IF([2]对账明细接口!$B$1183=0,"",[2]对账明细接口!$B$1183),"")</f>
        <v/>
      </c>
      <c r="C1183" s="59" t="str">
        <f aca="false">IFERROR(IF([2]对账明细接口!$C$1183=0,"",[2]对账明细接口!$C$1183),"")</f>
        <v/>
      </c>
      <c r="D1183" s="59" t="str">
        <f aca="false">IFERROR(IF([2]对账明细接口!$D$1183=0,"",[2]对账明细接口!$D$1183),"")</f>
        <v/>
      </c>
      <c r="E1183" s="59" t="str">
        <f aca="false">IFERROR(IF([2]对账明细接口!$E$1183=0,"",[2]对账明细接口!$E$1183),"")</f>
        <v/>
      </c>
      <c r="F1183" s="59" t="str">
        <f aca="false">IFERROR(IF([2]对账明细接口!$F$1183=0,"",[2]对账明细接口!$F$1183),"")</f>
        <v/>
      </c>
      <c r="G1183" s="59" t="str">
        <f aca="false">IFERROR(IF([2]对账明细接口!$G$1183=0,"",[2]对账明细接口!$G$1183),"")</f>
        <v/>
      </c>
      <c r="H1183" s="60" t="str">
        <f aca="false">IFERROR(IF([2]对账明细接口!$H$1183=0,"",[2]对账明细接口!$H$1183),"")</f>
        <v/>
      </c>
      <c r="I1183" s="59" t="str">
        <f aca="false">IFERROR(IF([2]对账明细接口!$I$1183=0,"",[2]对账明细接口!$I$1183),"")</f>
        <v/>
      </c>
      <c r="J1183" s="61" t="str">
        <f aca="false">IFERROR(IF([2]对账明细接口!$J$1183=0,"",[2]对账明细接口!$J$1183),"")</f>
        <v/>
      </c>
      <c r="K1183" s="61" t="str">
        <f aca="false">IFERROR(IF([2]对账明细接口!$K$1183=0,"",[2]对账明细接口!$K$1183),"")</f>
        <v/>
      </c>
      <c r="L1183" s="59" t="str">
        <f aca="false">IFERROR(IF([2]对账明细接口!$L$1183=0,"",[2]对账明细接口!$L$1183),"")</f>
        <v/>
      </c>
      <c r="M1183" s="59" t="str">
        <f aca="false">IFERROR(IF([2]对账明细接口!$M$1183=0,"",[2]对账明细接口!$M$1183),"")</f>
        <v/>
      </c>
      <c r="N1183" s="111" t="n">
        <f aca="false">IF($C1183="",0,1)</f>
        <v>0</v>
      </c>
      <c r="O1183" s="111" t="n">
        <f aca="false">N(O1182)+$N1183</f>
        <v>311</v>
      </c>
      <c r="S1183" s="10" t="str">
        <f aca="false">IFERROR(IF([2]对账明细接口!$N1183=0,"",[2]对账明细接口!$N1183),"")</f>
        <v/>
      </c>
      <c r="T1183" s="112" t="str">
        <f aca="false">IFERROR(IF([2]对账明细接口!$O1183=0,"",[2]对账明细接口!$O1183),"")</f>
        <v/>
      </c>
      <c r="U1183" s="112" t="str">
        <f aca="false">IFERROR(IF([2]对账明细接口!$P1183=0,"",[2]对账明细接口!$P1183),"")</f>
        <v/>
      </c>
      <c r="V1183" s="112" t="str">
        <f aca="false">IFERROR(IF([2]对账明细接口!$Q1183=0,"",[2]对账明细接口!$Q1183),"")</f>
        <v/>
      </c>
      <c r="W1183" s="10" t="str">
        <f aca="false">IFERROR(IF([2]对账明细接口!$R1183=0,"",[2]对账明细接口!$R1183),"")</f>
        <v/>
      </c>
      <c r="X1183" s="10" t="str">
        <f aca="false">IFERROR(IF([2]对账明细接口!$S1183=0,"",[2]对账明细接口!$S1183),"")</f>
        <v/>
      </c>
      <c r="Y1183" s="10" t="str">
        <f aca="false">IFERROR(IF([2]对账明细接口!$T1183=0,"",[2]对账明细接口!$T1183),"")</f>
        <v/>
      </c>
      <c r="Z1183" s="113" t="str">
        <f aca="false">IFERROR(IF([2]对账明细接口!$U1183=0,"",[2]对账明细接口!$U1183),"")</f>
        <v/>
      </c>
      <c r="AA1183" s="113" t="str">
        <f aca="false">IFERROR(IF([2]对账明细接口!$V1183=0,"",[2]对账明细接口!$V1183),"")</f>
        <v/>
      </c>
      <c r="AB1183" s="10" t="str">
        <f aca="false">IFERROR(IF([2]对账明细接口!$W1183=0,"",[2]对账明细接口!$W1183),"")</f>
        <v/>
      </c>
      <c r="AC1183" s="90" t="str">
        <f aca="false">IFERROR(IF([2]对账明细接口!$X1184=0,"",[2]对账明细接口!$X1184),"")</f>
        <v/>
      </c>
      <c r="AD1183" s="90" t="str">
        <f aca="false">IFERROR(IF([2]对账明细接口!$Y1184=0,"",[2]对账明细接口!$Y1184),"")</f>
        <v/>
      </c>
      <c r="AE1183" s="90" t="str">
        <f aca="false">IFERROR(IF([2]对账明细接口!$AA1184=0,"",[2]对账明细接口!$AA1184),"")</f>
        <v/>
      </c>
      <c r="AF1183" s="90" t="str">
        <f aca="false">IFERROR(IF([2]对账明细接口!$AB1184=0,"",[2]对账明细接口!$AB1184),"")</f>
        <v/>
      </c>
      <c r="AG1183" s="90" t="str">
        <f aca="false">IFERROR(IF([2]对账明细接口!$AC1184=0,"",[2]对账明细接口!$AC1184),"")</f>
        <v/>
      </c>
      <c r="AH1183" s="90" t="str">
        <f aca="false">IFERROR(IF([2]对账明细接口!$AD1184=0,"",[2]对账明细接口!$AD1184),"")</f>
        <v/>
      </c>
    </row>
    <row r="1184" customFormat="false" ht="13.5" hidden="false" customHeight="false" outlineLevel="0" collapsed="false">
      <c r="A1184" s="109" t="n">
        <v>1184</v>
      </c>
      <c r="B1184" s="110" t="str">
        <f aca="false">IFERROR(IF([2]对账明细接口!$B$1184=0,"",[2]对账明细接口!$B$1184),"")</f>
        <v/>
      </c>
      <c r="C1184" s="59" t="str">
        <f aca="false">IFERROR(IF([2]对账明细接口!$C$1184=0,"",[2]对账明细接口!$C$1184),"")</f>
        <v/>
      </c>
      <c r="D1184" s="59" t="str">
        <f aca="false">IFERROR(IF([2]对账明细接口!$D$1184=0,"",[2]对账明细接口!$D$1184),"")</f>
        <v/>
      </c>
      <c r="E1184" s="59" t="str">
        <f aca="false">IFERROR(IF([2]对账明细接口!$E$1184=0,"",[2]对账明细接口!$E$1184),"")</f>
        <v/>
      </c>
      <c r="F1184" s="59" t="str">
        <f aca="false">IFERROR(IF([2]对账明细接口!$F$1184=0,"",[2]对账明细接口!$F$1184),"")</f>
        <v/>
      </c>
      <c r="G1184" s="59" t="str">
        <f aca="false">IFERROR(IF([2]对账明细接口!$G$1184=0,"",[2]对账明细接口!$G$1184),"")</f>
        <v/>
      </c>
      <c r="H1184" s="60" t="str">
        <f aca="false">IFERROR(IF([2]对账明细接口!$H$1184=0,"",[2]对账明细接口!$H$1184),"")</f>
        <v/>
      </c>
      <c r="I1184" s="59" t="str">
        <f aca="false">IFERROR(IF([2]对账明细接口!$I$1184=0,"",[2]对账明细接口!$I$1184),"")</f>
        <v/>
      </c>
      <c r="J1184" s="61" t="str">
        <f aca="false">IFERROR(IF([2]对账明细接口!$J$1184=0,"",[2]对账明细接口!$J$1184),"")</f>
        <v/>
      </c>
      <c r="K1184" s="61" t="str">
        <f aca="false">IFERROR(IF([2]对账明细接口!$K$1184=0,"",[2]对账明细接口!$K$1184),"")</f>
        <v/>
      </c>
      <c r="L1184" s="59" t="str">
        <f aca="false">IFERROR(IF([2]对账明细接口!$L$1184=0,"",[2]对账明细接口!$L$1184),"")</f>
        <v/>
      </c>
      <c r="M1184" s="59" t="str">
        <f aca="false">IFERROR(IF([2]对账明细接口!$M$1184=0,"",[2]对账明细接口!$M$1184),"")</f>
        <v/>
      </c>
      <c r="N1184" s="111" t="n">
        <f aca="false">IF($C1184="",0,1)</f>
        <v>0</v>
      </c>
      <c r="O1184" s="111" t="n">
        <f aca="false">N(O1183)+$N1184</f>
        <v>311</v>
      </c>
      <c r="S1184" s="10" t="str">
        <f aca="false">IFERROR(IF([2]对账明细接口!$N1184=0,"",[2]对账明细接口!$N1184),"")</f>
        <v/>
      </c>
      <c r="T1184" s="112" t="str">
        <f aca="false">IFERROR(IF([2]对账明细接口!$O1184=0,"",[2]对账明细接口!$O1184),"")</f>
        <v/>
      </c>
      <c r="U1184" s="112" t="str">
        <f aca="false">IFERROR(IF([2]对账明细接口!$P1184=0,"",[2]对账明细接口!$P1184),"")</f>
        <v/>
      </c>
      <c r="V1184" s="112" t="str">
        <f aca="false">IFERROR(IF([2]对账明细接口!$Q1184=0,"",[2]对账明细接口!$Q1184),"")</f>
        <v/>
      </c>
      <c r="W1184" s="10" t="str">
        <f aca="false">IFERROR(IF([2]对账明细接口!$R1184=0,"",[2]对账明细接口!$R1184),"")</f>
        <v/>
      </c>
      <c r="X1184" s="10" t="str">
        <f aca="false">IFERROR(IF([2]对账明细接口!$S1184=0,"",[2]对账明细接口!$S1184),"")</f>
        <v/>
      </c>
      <c r="Y1184" s="10" t="str">
        <f aca="false">IFERROR(IF([2]对账明细接口!$T1184=0,"",[2]对账明细接口!$T1184),"")</f>
        <v/>
      </c>
      <c r="Z1184" s="113" t="str">
        <f aca="false">IFERROR(IF([2]对账明细接口!$U1184=0,"",[2]对账明细接口!$U1184),"")</f>
        <v/>
      </c>
      <c r="AA1184" s="113" t="str">
        <f aca="false">IFERROR(IF([2]对账明细接口!$V1184=0,"",[2]对账明细接口!$V1184),"")</f>
        <v/>
      </c>
      <c r="AB1184" s="10" t="str">
        <f aca="false">IFERROR(IF([2]对账明细接口!$W1184=0,"",[2]对账明细接口!$W1184),"")</f>
        <v/>
      </c>
      <c r="AC1184" s="90" t="str">
        <f aca="false">IFERROR(IF([2]对账明细接口!$X1185=0,"",[2]对账明细接口!$X1185),"")</f>
        <v/>
      </c>
      <c r="AD1184" s="90" t="str">
        <f aca="false">IFERROR(IF([2]对账明细接口!$Y1185=0,"",[2]对账明细接口!$Y1185),"")</f>
        <v/>
      </c>
      <c r="AE1184" s="90" t="str">
        <f aca="false">IFERROR(IF([2]对账明细接口!$AA1185=0,"",[2]对账明细接口!$AA1185),"")</f>
        <v/>
      </c>
      <c r="AF1184" s="90" t="str">
        <f aca="false">IFERROR(IF([2]对账明细接口!$AB1185=0,"",[2]对账明细接口!$AB1185),"")</f>
        <v/>
      </c>
      <c r="AG1184" s="90" t="str">
        <f aca="false">IFERROR(IF([2]对账明细接口!$AC1185=0,"",[2]对账明细接口!$AC1185),"")</f>
        <v/>
      </c>
      <c r="AH1184" s="90" t="str">
        <f aca="false">IFERROR(IF([2]对账明细接口!$AD1185=0,"",[2]对账明细接口!$AD1185),"")</f>
        <v/>
      </c>
    </row>
    <row r="1185" customFormat="false" ht="13.5" hidden="false" customHeight="false" outlineLevel="0" collapsed="false">
      <c r="A1185" s="109" t="n">
        <v>1185</v>
      </c>
      <c r="B1185" s="110" t="str">
        <f aca="false">IFERROR(IF([2]对账明细接口!$B$1185=0,"",[2]对账明细接口!$B$1185),"")</f>
        <v/>
      </c>
      <c r="C1185" s="59" t="str">
        <f aca="false">IFERROR(IF([2]对账明细接口!$C$1185=0,"",[2]对账明细接口!$C$1185),"")</f>
        <v/>
      </c>
      <c r="D1185" s="59" t="str">
        <f aca="false">IFERROR(IF([2]对账明细接口!$D$1185=0,"",[2]对账明细接口!$D$1185),"")</f>
        <v/>
      </c>
      <c r="E1185" s="59" t="str">
        <f aca="false">IFERROR(IF([2]对账明细接口!$E$1185=0,"",[2]对账明细接口!$E$1185),"")</f>
        <v/>
      </c>
      <c r="F1185" s="59" t="str">
        <f aca="false">IFERROR(IF([2]对账明细接口!$F$1185=0,"",[2]对账明细接口!$F$1185),"")</f>
        <v/>
      </c>
      <c r="G1185" s="59" t="str">
        <f aca="false">IFERROR(IF([2]对账明细接口!$G$1185=0,"",[2]对账明细接口!$G$1185),"")</f>
        <v/>
      </c>
      <c r="H1185" s="60" t="str">
        <f aca="false">IFERROR(IF([2]对账明细接口!$H$1185=0,"",[2]对账明细接口!$H$1185),"")</f>
        <v/>
      </c>
      <c r="I1185" s="59" t="str">
        <f aca="false">IFERROR(IF([2]对账明细接口!$I$1185=0,"",[2]对账明细接口!$I$1185),"")</f>
        <v/>
      </c>
      <c r="J1185" s="61" t="str">
        <f aca="false">IFERROR(IF([2]对账明细接口!$J$1185=0,"",[2]对账明细接口!$J$1185),"")</f>
        <v/>
      </c>
      <c r="K1185" s="61" t="str">
        <f aca="false">IFERROR(IF([2]对账明细接口!$K$1185=0,"",[2]对账明细接口!$K$1185),"")</f>
        <v/>
      </c>
      <c r="L1185" s="59" t="str">
        <f aca="false">IFERROR(IF([2]对账明细接口!$L$1185=0,"",[2]对账明细接口!$L$1185),"")</f>
        <v/>
      </c>
      <c r="M1185" s="59" t="str">
        <f aca="false">IFERROR(IF([2]对账明细接口!$M$1185=0,"",[2]对账明细接口!$M$1185),"")</f>
        <v/>
      </c>
      <c r="N1185" s="111" t="n">
        <f aca="false">IF($C1185="",0,1)</f>
        <v>0</v>
      </c>
      <c r="O1185" s="111" t="n">
        <f aca="false">N(O1184)+$N1185</f>
        <v>311</v>
      </c>
      <c r="S1185" s="10" t="str">
        <f aca="false">IFERROR(IF([2]对账明细接口!$N1185=0,"",[2]对账明细接口!$N1185),"")</f>
        <v/>
      </c>
      <c r="T1185" s="112" t="str">
        <f aca="false">IFERROR(IF([2]对账明细接口!$O1185=0,"",[2]对账明细接口!$O1185),"")</f>
        <v/>
      </c>
      <c r="U1185" s="112" t="str">
        <f aca="false">IFERROR(IF([2]对账明细接口!$P1185=0,"",[2]对账明细接口!$P1185),"")</f>
        <v/>
      </c>
      <c r="V1185" s="112" t="str">
        <f aca="false">IFERROR(IF([2]对账明细接口!$Q1185=0,"",[2]对账明细接口!$Q1185),"")</f>
        <v/>
      </c>
      <c r="W1185" s="10" t="str">
        <f aca="false">IFERROR(IF([2]对账明细接口!$R1185=0,"",[2]对账明细接口!$R1185),"")</f>
        <v/>
      </c>
      <c r="X1185" s="10" t="str">
        <f aca="false">IFERROR(IF([2]对账明细接口!$S1185=0,"",[2]对账明细接口!$S1185),"")</f>
        <v/>
      </c>
      <c r="Y1185" s="10" t="str">
        <f aca="false">IFERROR(IF([2]对账明细接口!$T1185=0,"",[2]对账明细接口!$T1185),"")</f>
        <v/>
      </c>
      <c r="Z1185" s="113" t="str">
        <f aca="false">IFERROR(IF([2]对账明细接口!$U1185=0,"",[2]对账明细接口!$U1185),"")</f>
        <v/>
      </c>
      <c r="AA1185" s="113" t="str">
        <f aca="false">IFERROR(IF([2]对账明细接口!$V1185=0,"",[2]对账明细接口!$V1185),"")</f>
        <v/>
      </c>
      <c r="AB1185" s="10" t="str">
        <f aca="false">IFERROR(IF([2]对账明细接口!$W1185=0,"",[2]对账明细接口!$W1185),"")</f>
        <v/>
      </c>
      <c r="AC1185" s="90" t="str">
        <f aca="false">IFERROR(IF([2]对账明细接口!$X1186=0,"",[2]对账明细接口!$X1186),"")</f>
        <v/>
      </c>
      <c r="AD1185" s="90" t="str">
        <f aca="false">IFERROR(IF([2]对账明细接口!$Y1186=0,"",[2]对账明细接口!$Y1186),"")</f>
        <v/>
      </c>
      <c r="AE1185" s="90" t="str">
        <f aca="false">IFERROR(IF([2]对账明细接口!$AA1186=0,"",[2]对账明细接口!$AA1186),"")</f>
        <v/>
      </c>
      <c r="AF1185" s="90" t="str">
        <f aca="false">IFERROR(IF([2]对账明细接口!$AB1186=0,"",[2]对账明细接口!$AB1186),"")</f>
        <v/>
      </c>
      <c r="AG1185" s="90" t="str">
        <f aca="false">IFERROR(IF([2]对账明细接口!$AC1186=0,"",[2]对账明细接口!$AC1186),"")</f>
        <v/>
      </c>
      <c r="AH1185" s="90" t="str">
        <f aca="false">IFERROR(IF([2]对账明细接口!$AD1186=0,"",[2]对账明细接口!$AD1186),"")</f>
        <v/>
      </c>
    </row>
    <row r="1186" customFormat="false" ht="13.5" hidden="false" customHeight="false" outlineLevel="0" collapsed="false">
      <c r="A1186" s="109" t="n">
        <v>1186</v>
      </c>
      <c r="B1186" s="110" t="str">
        <f aca="false">IFERROR(IF([2]对账明细接口!$B$1186=0,"",[2]对账明细接口!$B$1186),"")</f>
        <v/>
      </c>
      <c r="C1186" s="59" t="str">
        <f aca="false">IFERROR(IF([2]对账明细接口!$C$1186=0,"",[2]对账明细接口!$C$1186),"")</f>
        <v/>
      </c>
      <c r="D1186" s="59" t="str">
        <f aca="false">IFERROR(IF([2]对账明细接口!$D$1186=0,"",[2]对账明细接口!$D$1186),"")</f>
        <v/>
      </c>
      <c r="E1186" s="59" t="str">
        <f aca="false">IFERROR(IF([2]对账明细接口!$E$1186=0,"",[2]对账明细接口!$E$1186),"")</f>
        <v/>
      </c>
      <c r="F1186" s="59" t="str">
        <f aca="false">IFERROR(IF([2]对账明细接口!$F$1186=0,"",[2]对账明细接口!$F$1186),"")</f>
        <v/>
      </c>
      <c r="G1186" s="59" t="str">
        <f aca="false">IFERROR(IF([2]对账明细接口!$G$1186=0,"",[2]对账明细接口!$G$1186),"")</f>
        <v/>
      </c>
      <c r="H1186" s="60" t="str">
        <f aca="false">IFERROR(IF([2]对账明细接口!$H$1186=0,"",[2]对账明细接口!$H$1186),"")</f>
        <v/>
      </c>
      <c r="I1186" s="59" t="str">
        <f aca="false">IFERROR(IF([2]对账明细接口!$I$1186=0,"",[2]对账明细接口!$I$1186),"")</f>
        <v/>
      </c>
      <c r="J1186" s="61" t="str">
        <f aca="false">IFERROR(IF([2]对账明细接口!$J$1186=0,"",[2]对账明细接口!$J$1186),"")</f>
        <v/>
      </c>
      <c r="K1186" s="61" t="str">
        <f aca="false">IFERROR(IF([2]对账明细接口!$K$1186=0,"",[2]对账明细接口!$K$1186),"")</f>
        <v/>
      </c>
      <c r="L1186" s="59" t="str">
        <f aca="false">IFERROR(IF([2]对账明细接口!$L$1186=0,"",[2]对账明细接口!$L$1186),"")</f>
        <v/>
      </c>
      <c r="M1186" s="59" t="str">
        <f aca="false">IFERROR(IF([2]对账明细接口!$M$1186=0,"",[2]对账明细接口!$M$1186),"")</f>
        <v/>
      </c>
      <c r="N1186" s="111" t="n">
        <f aca="false">IF($C1186="",0,1)</f>
        <v>0</v>
      </c>
      <c r="O1186" s="111" t="n">
        <f aca="false">N(O1185)+$N1186</f>
        <v>311</v>
      </c>
      <c r="S1186" s="10" t="str">
        <f aca="false">IFERROR(IF([2]对账明细接口!$N1186=0,"",[2]对账明细接口!$N1186),"")</f>
        <v/>
      </c>
      <c r="T1186" s="112" t="str">
        <f aca="false">IFERROR(IF([2]对账明细接口!$O1186=0,"",[2]对账明细接口!$O1186),"")</f>
        <v/>
      </c>
      <c r="U1186" s="112" t="str">
        <f aca="false">IFERROR(IF([2]对账明细接口!$P1186=0,"",[2]对账明细接口!$P1186),"")</f>
        <v/>
      </c>
      <c r="V1186" s="112" t="str">
        <f aca="false">IFERROR(IF([2]对账明细接口!$Q1186=0,"",[2]对账明细接口!$Q1186),"")</f>
        <v/>
      </c>
      <c r="W1186" s="10" t="str">
        <f aca="false">IFERROR(IF([2]对账明细接口!$R1186=0,"",[2]对账明细接口!$R1186),"")</f>
        <v/>
      </c>
      <c r="X1186" s="10" t="str">
        <f aca="false">IFERROR(IF([2]对账明细接口!$S1186=0,"",[2]对账明细接口!$S1186),"")</f>
        <v/>
      </c>
      <c r="Y1186" s="10" t="str">
        <f aca="false">IFERROR(IF([2]对账明细接口!$T1186=0,"",[2]对账明细接口!$T1186),"")</f>
        <v/>
      </c>
      <c r="Z1186" s="113" t="str">
        <f aca="false">IFERROR(IF([2]对账明细接口!$U1186=0,"",[2]对账明细接口!$U1186),"")</f>
        <v/>
      </c>
      <c r="AA1186" s="113" t="str">
        <f aca="false">IFERROR(IF([2]对账明细接口!$V1186=0,"",[2]对账明细接口!$V1186),"")</f>
        <v/>
      </c>
      <c r="AB1186" s="10" t="str">
        <f aca="false">IFERROR(IF([2]对账明细接口!$W1186=0,"",[2]对账明细接口!$W1186),"")</f>
        <v/>
      </c>
      <c r="AC1186" s="90" t="str">
        <f aca="false">IFERROR(IF([2]对账明细接口!$X1187=0,"",[2]对账明细接口!$X1187),"")</f>
        <v/>
      </c>
      <c r="AD1186" s="90" t="str">
        <f aca="false">IFERROR(IF([2]对账明细接口!$Y1187=0,"",[2]对账明细接口!$Y1187),"")</f>
        <v/>
      </c>
      <c r="AE1186" s="90" t="str">
        <f aca="false">IFERROR(IF([2]对账明细接口!$AA1187=0,"",[2]对账明细接口!$AA1187),"")</f>
        <v/>
      </c>
      <c r="AF1186" s="90" t="str">
        <f aca="false">IFERROR(IF([2]对账明细接口!$AB1187=0,"",[2]对账明细接口!$AB1187),"")</f>
        <v/>
      </c>
      <c r="AG1186" s="90" t="str">
        <f aca="false">IFERROR(IF([2]对账明细接口!$AC1187=0,"",[2]对账明细接口!$AC1187),"")</f>
        <v/>
      </c>
      <c r="AH1186" s="90" t="str">
        <f aca="false">IFERROR(IF([2]对账明细接口!$AD1187=0,"",[2]对账明细接口!$AD1187),"")</f>
        <v/>
      </c>
    </row>
    <row r="1187" customFormat="false" ht="13.5" hidden="false" customHeight="false" outlineLevel="0" collapsed="false">
      <c r="A1187" s="109" t="n">
        <v>1187</v>
      </c>
      <c r="B1187" s="110" t="str">
        <f aca="false">IFERROR(IF([2]对账明细接口!$B$1187=0,"",[2]对账明细接口!$B$1187),"")</f>
        <v/>
      </c>
      <c r="C1187" s="59" t="str">
        <f aca="false">IFERROR(IF([2]对账明细接口!$C$1187=0,"",[2]对账明细接口!$C$1187),"")</f>
        <v/>
      </c>
      <c r="D1187" s="59" t="str">
        <f aca="false">IFERROR(IF([2]对账明细接口!$D$1187=0,"",[2]对账明细接口!$D$1187),"")</f>
        <v/>
      </c>
      <c r="E1187" s="59" t="str">
        <f aca="false">IFERROR(IF([2]对账明细接口!$E$1187=0,"",[2]对账明细接口!$E$1187),"")</f>
        <v/>
      </c>
      <c r="F1187" s="59" t="str">
        <f aca="false">IFERROR(IF([2]对账明细接口!$F$1187=0,"",[2]对账明细接口!$F$1187),"")</f>
        <v/>
      </c>
      <c r="G1187" s="59" t="str">
        <f aca="false">IFERROR(IF([2]对账明细接口!$G$1187=0,"",[2]对账明细接口!$G$1187),"")</f>
        <v/>
      </c>
      <c r="H1187" s="60" t="str">
        <f aca="false">IFERROR(IF([2]对账明细接口!$H$1187=0,"",[2]对账明细接口!$H$1187),"")</f>
        <v/>
      </c>
      <c r="I1187" s="59" t="str">
        <f aca="false">IFERROR(IF([2]对账明细接口!$I$1187=0,"",[2]对账明细接口!$I$1187),"")</f>
        <v/>
      </c>
      <c r="J1187" s="61" t="str">
        <f aca="false">IFERROR(IF([2]对账明细接口!$J$1187=0,"",[2]对账明细接口!$J$1187),"")</f>
        <v/>
      </c>
      <c r="K1187" s="61" t="str">
        <f aca="false">IFERROR(IF([2]对账明细接口!$K$1187=0,"",[2]对账明细接口!$K$1187),"")</f>
        <v/>
      </c>
      <c r="L1187" s="59" t="str">
        <f aca="false">IFERROR(IF([2]对账明细接口!$L$1187=0,"",[2]对账明细接口!$L$1187),"")</f>
        <v/>
      </c>
      <c r="M1187" s="59" t="str">
        <f aca="false">IFERROR(IF([2]对账明细接口!$M$1187=0,"",[2]对账明细接口!$M$1187),"")</f>
        <v/>
      </c>
      <c r="N1187" s="111" t="n">
        <f aca="false">IF($C1187="",0,1)</f>
        <v>0</v>
      </c>
      <c r="O1187" s="111" t="n">
        <f aca="false">N(O1186)+$N1187</f>
        <v>311</v>
      </c>
      <c r="S1187" s="10" t="str">
        <f aca="false">IFERROR(IF([2]对账明细接口!$N1187=0,"",[2]对账明细接口!$N1187),"")</f>
        <v/>
      </c>
      <c r="T1187" s="112" t="str">
        <f aca="false">IFERROR(IF([2]对账明细接口!$O1187=0,"",[2]对账明细接口!$O1187),"")</f>
        <v/>
      </c>
      <c r="U1187" s="112" t="str">
        <f aca="false">IFERROR(IF([2]对账明细接口!$P1187=0,"",[2]对账明细接口!$P1187),"")</f>
        <v/>
      </c>
      <c r="V1187" s="112" t="str">
        <f aca="false">IFERROR(IF([2]对账明细接口!$Q1187=0,"",[2]对账明细接口!$Q1187),"")</f>
        <v/>
      </c>
      <c r="W1187" s="10" t="str">
        <f aca="false">IFERROR(IF([2]对账明细接口!$R1187=0,"",[2]对账明细接口!$R1187),"")</f>
        <v/>
      </c>
      <c r="X1187" s="10" t="str">
        <f aca="false">IFERROR(IF([2]对账明细接口!$S1187=0,"",[2]对账明细接口!$S1187),"")</f>
        <v/>
      </c>
      <c r="Y1187" s="10" t="str">
        <f aca="false">IFERROR(IF([2]对账明细接口!$T1187=0,"",[2]对账明细接口!$T1187),"")</f>
        <v/>
      </c>
      <c r="Z1187" s="113" t="str">
        <f aca="false">IFERROR(IF([2]对账明细接口!$U1187=0,"",[2]对账明细接口!$U1187),"")</f>
        <v/>
      </c>
      <c r="AA1187" s="113" t="str">
        <f aca="false">IFERROR(IF([2]对账明细接口!$V1187=0,"",[2]对账明细接口!$V1187),"")</f>
        <v/>
      </c>
      <c r="AB1187" s="10" t="str">
        <f aca="false">IFERROR(IF([2]对账明细接口!$W1187=0,"",[2]对账明细接口!$W1187),"")</f>
        <v/>
      </c>
      <c r="AC1187" s="90" t="str">
        <f aca="false">IFERROR(IF([2]对账明细接口!$X1188=0,"",[2]对账明细接口!$X1188),"")</f>
        <v/>
      </c>
      <c r="AD1187" s="90" t="str">
        <f aca="false">IFERROR(IF([2]对账明细接口!$Y1188=0,"",[2]对账明细接口!$Y1188),"")</f>
        <v/>
      </c>
      <c r="AE1187" s="90" t="str">
        <f aca="false">IFERROR(IF([2]对账明细接口!$AA1188=0,"",[2]对账明细接口!$AA1188),"")</f>
        <v/>
      </c>
      <c r="AF1187" s="90" t="str">
        <f aca="false">IFERROR(IF([2]对账明细接口!$AB1188=0,"",[2]对账明细接口!$AB1188),"")</f>
        <v/>
      </c>
      <c r="AG1187" s="90" t="str">
        <f aca="false">IFERROR(IF([2]对账明细接口!$AC1188=0,"",[2]对账明细接口!$AC1188),"")</f>
        <v/>
      </c>
      <c r="AH1187" s="90" t="str">
        <f aca="false">IFERROR(IF([2]对账明细接口!$AD1188=0,"",[2]对账明细接口!$AD1188),"")</f>
        <v/>
      </c>
    </row>
    <row r="1188" customFormat="false" ht="13.5" hidden="false" customHeight="false" outlineLevel="0" collapsed="false">
      <c r="A1188" s="109" t="n">
        <v>1188</v>
      </c>
      <c r="B1188" s="110" t="str">
        <f aca="false">IFERROR(IF([2]对账明细接口!$B$1188=0,"",[2]对账明细接口!$B$1188),"")</f>
        <v/>
      </c>
      <c r="C1188" s="59" t="str">
        <f aca="false">IFERROR(IF([2]对账明细接口!$C$1188=0,"",[2]对账明细接口!$C$1188),"")</f>
        <v/>
      </c>
      <c r="D1188" s="59" t="str">
        <f aca="false">IFERROR(IF([2]对账明细接口!$D$1188=0,"",[2]对账明细接口!$D$1188),"")</f>
        <v/>
      </c>
      <c r="E1188" s="59" t="str">
        <f aca="false">IFERROR(IF([2]对账明细接口!$E$1188=0,"",[2]对账明细接口!$E$1188),"")</f>
        <v/>
      </c>
      <c r="F1188" s="59" t="str">
        <f aca="false">IFERROR(IF([2]对账明细接口!$F$1188=0,"",[2]对账明细接口!$F$1188),"")</f>
        <v/>
      </c>
      <c r="G1188" s="59" t="str">
        <f aca="false">IFERROR(IF([2]对账明细接口!$G$1188=0,"",[2]对账明细接口!$G$1188),"")</f>
        <v/>
      </c>
      <c r="H1188" s="60" t="str">
        <f aca="false">IFERROR(IF([2]对账明细接口!$H$1188=0,"",[2]对账明细接口!$H$1188),"")</f>
        <v/>
      </c>
      <c r="I1188" s="59" t="str">
        <f aca="false">IFERROR(IF([2]对账明细接口!$I$1188=0,"",[2]对账明细接口!$I$1188),"")</f>
        <v/>
      </c>
      <c r="J1188" s="61" t="str">
        <f aca="false">IFERROR(IF([2]对账明细接口!$J$1188=0,"",[2]对账明细接口!$J$1188),"")</f>
        <v/>
      </c>
      <c r="K1188" s="61" t="str">
        <f aca="false">IFERROR(IF([2]对账明细接口!$K$1188=0,"",[2]对账明细接口!$K$1188),"")</f>
        <v/>
      </c>
      <c r="L1188" s="59" t="str">
        <f aca="false">IFERROR(IF([2]对账明细接口!$L$1188=0,"",[2]对账明细接口!$L$1188),"")</f>
        <v/>
      </c>
      <c r="M1188" s="59" t="str">
        <f aca="false">IFERROR(IF([2]对账明细接口!$M$1188=0,"",[2]对账明细接口!$M$1188),"")</f>
        <v/>
      </c>
      <c r="N1188" s="111" t="n">
        <f aca="false">IF($C1188="",0,1)</f>
        <v>0</v>
      </c>
      <c r="O1188" s="111" t="n">
        <f aca="false">N(O1187)+$N1188</f>
        <v>311</v>
      </c>
      <c r="S1188" s="10" t="str">
        <f aca="false">IFERROR(IF([2]对账明细接口!$N1188=0,"",[2]对账明细接口!$N1188),"")</f>
        <v/>
      </c>
      <c r="T1188" s="112" t="str">
        <f aca="false">IFERROR(IF([2]对账明细接口!$O1188=0,"",[2]对账明细接口!$O1188),"")</f>
        <v/>
      </c>
      <c r="U1188" s="112" t="str">
        <f aca="false">IFERROR(IF([2]对账明细接口!$P1188=0,"",[2]对账明细接口!$P1188),"")</f>
        <v/>
      </c>
      <c r="V1188" s="112" t="str">
        <f aca="false">IFERROR(IF([2]对账明细接口!$Q1188=0,"",[2]对账明细接口!$Q1188),"")</f>
        <v/>
      </c>
      <c r="W1188" s="10" t="str">
        <f aca="false">IFERROR(IF([2]对账明细接口!$R1188=0,"",[2]对账明细接口!$R1188),"")</f>
        <v/>
      </c>
      <c r="X1188" s="10" t="str">
        <f aca="false">IFERROR(IF([2]对账明细接口!$S1188=0,"",[2]对账明细接口!$S1188),"")</f>
        <v/>
      </c>
      <c r="Y1188" s="10" t="str">
        <f aca="false">IFERROR(IF([2]对账明细接口!$T1188=0,"",[2]对账明细接口!$T1188),"")</f>
        <v/>
      </c>
      <c r="Z1188" s="113" t="str">
        <f aca="false">IFERROR(IF([2]对账明细接口!$U1188=0,"",[2]对账明细接口!$U1188),"")</f>
        <v/>
      </c>
      <c r="AA1188" s="113" t="str">
        <f aca="false">IFERROR(IF([2]对账明细接口!$V1188=0,"",[2]对账明细接口!$V1188),"")</f>
        <v/>
      </c>
      <c r="AB1188" s="10" t="str">
        <f aca="false">IFERROR(IF([2]对账明细接口!$W1188=0,"",[2]对账明细接口!$W1188),"")</f>
        <v/>
      </c>
      <c r="AC1188" s="90" t="str">
        <f aca="false">IFERROR(IF([2]对账明细接口!$X1189=0,"",[2]对账明细接口!$X1189),"")</f>
        <v/>
      </c>
      <c r="AD1188" s="90" t="str">
        <f aca="false">IFERROR(IF([2]对账明细接口!$Y1189=0,"",[2]对账明细接口!$Y1189),"")</f>
        <v/>
      </c>
      <c r="AE1188" s="90" t="str">
        <f aca="false">IFERROR(IF([2]对账明细接口!$AA1189=0,"",[2]对账明细接口!$AA1189),"")</f>
        <v/>
      </c>
      <c r="AF1188" s="90" t="str">
        <f aca="false">IFERROR(IF([2]对账明细接口!$AB1189=0,"",[2]对账明细接口!$AB1189),"")</f>
        <v/>
      </c>
      <c r="AG1188" s="90" t="str">
        <f aca="false">IFERROR(IF([2]对账明细接口!$AC1189=0,"",[2]对账明细接口!$AC1189),"")</f>
        <v/>
      </c>
      <c r="AH1188" s="90" t="str">
        <f aca="false">IFERROR(IF([2]对账明细接口!$AD1189=0,"",[2]对账明细接口!$AD1189),"")</f>
        <v/>
      </c>
    </row>
    <row r="1189" customFormat="false" ht="13.5" hidden="false" customHeight="false" outlineLevel="0" collapsed="false">
      <c r="A1189" s="109" t="n">
        <v>1189</v>
      </c>
      <c r="B1189" s="110" t="str">
        <f aca="false">IFERROR(IF([2]对账明细接口!$B$1189=0,"",[2]对账明细接口!$B$1189),"")</f>
        <v/>
      </c>
      <c r="C1189" s="59" t="str">
        <f aca="false">IFERROR(IF([2]对账明细接口!$C$1189=0,"",[2]对账明细接口!$C$1189),"")</f>
        <v/>
      </c>
      <c r="D1189" s="59" t="str">
        <f aca="false">IFERROR(IF([2]对账明细接口!$D$1189=0,"",[2]对账明细接口!$D$1189),"")</f>
        <v/>
      </c>
      <c r="E1189" s="59" t="str">
        <f aca="false">IFERROR(IF([2]对账明细接口!$E$1189=0,"",[2]对账明细接口!$E$1189),"")</f>
        <v/>
      </c>
      <c r="F1189" s="59" t="str">
        <f aca="false">IFERROR(IF([2]对账明细接口!$F$1189=0,"",[2]对账明细接口!$F$1189),"")</f>
        <v/>
      </c>
      <c r="G1189" s="59" t="str">
        <f aca="false">IFERROR(IF([2]对账明细接口!$G$1189=0,"",[2]对账明细接口!$G$1189),"")</f>
        <v/>
      </c>
      <c r="H1189" s="60" t="str">
        <f aca="false">IFERROR(IF([2]对账明细接口!$H$1189=0,"",[2]对账明细接口!$H$1189),"")</f>
        <v/>
      </c>
      <c r="I1189" s="59" t="str">
        <f aca="false">IFERROR(IF([2]对账明细接口!$I$1189=0,"",[2]对账明细接口!$I$1189),"")</f>
        <v/>
      </c>
      <c r="J1189" s="61" t="str">
        <f aca="false">IFERROR(IF([2]对账明细接口!$J$1189=0,"",[2]对账明细接口!$J$1189),"")</f>
        <v/>
      </c>
      <c r="K1189" s="61" t="str">
        <f aca="false">IFERROR(IF([2]对账明细接口!$K$1189=0,"",[2]对账明细接口!$K$1189),"")</f>
        <v/>
      </c>
      <c r="L1189" s="59" t="str">
        <f aca="false">IFERROR(IF([2]对账明细接口!$L$1189=0,"",[2]对账明细接口!$L$1189),"")</f>
        <v/>
      </c>
      <c r="M1189" s="59" t="str">
        <f aca="false">IFERROR(IF([2]对账明细接口!$M$1189=0,"",[2]对账明细接口!$M$1189),"")</f>
        <v/>
      </c>
      <c r="N1189" s="111" t="n">
        <f aca="false">IF($C1189="",0,1)</f>
        <v>0</v>
      </c>
      <c r="O1189" s="111" t="n">
        <f aca="false">N(O1188)+$N1189</f>
        <v>311</v>
      </c>
      <c r="S1189" s="10" t="str">
        <f aca="false">IFERROR(IF([2]对账明细接口!$N1189=0,"",[2]对账明细接口!$N1189),"")</f>
        <v/>
      </c>
      <c r="T1189" s="112" t="str">
        <f aca="false">IFERROR(IF([2]对账明细接口!$O1189=0,"",[2]对账明细接口!$O1189),"")</f>
        <v/>
      </c>
      <c r="U1189" s="112" t="str">
        <f aca="false">IFERROR(IF([2]对账明细接口!$P1189=0,"",[2]对账明细接口!$P1189),"")</f>
        <v/>
      </c>
      <c r="V1189" s="112" t="str">
        <f aca="false">IFERROR(IF([2]对账明细接口!$Q1189=0,"",[2]对账明细接口!$Q1189),"")</f>
        <v/>
      </c>
      <c r="W1189" s="10" t="str">
        <f aca="false">IFERROR(IF([2]对账明细接口!$R1189=0,"",[2]对账明细接口!$R1189),"")</f>
        <v/>
      </c>
      <c r="X1189" s="10" t="str">
        <f aca="false">IFERROR(IF([2]对账明细接口!$S1189=0,"",[2]对账明细接口!$S1189),"")</f>
        <v/>
      </c>
      <c r="Y1189" s="10" t="str">
        <f aca="false">IFERROR(IF([2]对账明细接口!$T1189=0,"",[2]对账明细接口!$T1189),"")</f>
        <v/>
      </c>
      <c r="Z1189" s="113" t="str">
        <f aca="false">IFERROR(IF([2]对账明细接口!$U1189=0,"",[2]对账明细接口!$U1189),"")</f>
        <v/>
      </c>
      <c r="AA1189" s="113" t="str">
        <f aca="false">IFERROR(IF([2]对账明细接口!$V1189=0,"",[2]对账明细接口!$V1189),"")</f>
        <v/>
      </c>
      <c r="AB1189" s="10" t="str">
        <f aca="false">IFERROR(IF([2]对账明细接口!$W1189=0,"",[2]对账明细接口!$W1189),"")</f>
        <v/>
      </c>
      <c r="AC1189" s="90" t="str">
        <f aca="false">IFERROR(IF([2]对账明细接口!$X1190=0,"",[2]对账明细接口!$X1190),"")</f>
        <v/>
      </c>
      <c r="AD1189" s="90" t="str">
        <f aca="false">IFERROR(IF([2]对账明细接口!$Y1190=0,"",[2]对账明细接口!$Y1190),"")</f>
        <v/>
      </c>
      <c r="AE1189" s="90" t="str">
        <f aca="false">IFERROR(IF([2]对账明细接口!$AA1190=0,"",[2]对账明细接口!$AA1190),"")</f>
        <v/>
      </c>
      <c r="AF1189" s="90" t="str">
        <f aca="false">IFERROR(IF([2]对账明细接口!$AB1190=0,"",[2]对账明细接口!$AB1190),"")</f>
        <v/>
      </c>
      <c r="AG1189" s="90" t="str">
        <f aca="false">IFERROR(IF([2]对账明细接口!$AC1190=0,"",[2]对账明细接口!$AC1190),"")</f>
        <v/>
      </c>
      <c r="AH1189" s="90" t="str">
        <f aca="false">IFERROR(IF([2]对账明细接口!$AD1190=0,"",[2]对账明细接口!$AD1190),"")</f>
        <v/>
      </c>
    </row>
    <row r="1190" customFormat="false" ht="13.5" hidden="false" customHeight="false" outlineLevel="0" collapsed="false">
      <c r="A1190" s="109" t="n">
        <v>1190</v>
      </c>
      <c r="B1190" s="110" t="str">
        <f aca="false">IFERROR(IF([2]对账明细接口!$B$1190=0,"",[2]对账明细接口!$B$1190),"")</f>
        <v/>
      </c>
      <c r="C1190" s="59" t="str">
        <f aca="false">IFERROR(IF([2]对账明细接口!$C$1190=0,"",[2]对账明细接口!$C$1190),"")</f>
        <v/>
      </c>
      <c r="D1190" s="59" t="str">
        <f aca="false">IFERROR(IF([2]对账明细接口!$D$1190=0,"",[2]对账明细接口!$D$1190),"")</f>
        <v/>
      </c>
      <c r="E1190" s="59" t="str">
        <f aca="false">IFERROR(IF([2]对账明细接口!$E$1190=0,"",[2]对账明细接口!$E$1190),"")</f>
        <v/>
      </c>
      <c r="F1190" s="59" t="str">
        <f aca="false">IFERROR(IF([2]对账明细接口!$F$1190=0,"",[2]对账明细接口!$F$1190),"")</f>
        <v/>
      </c>
      <c r="G1190" s="59" t="str">
        <f aca="false">IFERROR(IF([2]对账明细接口!$G$1190=0,"",[2]对账明细接口!$G$1190),"")</f>
        <v/>
      </c>
      <c r="H1190" s="60" t="str">
        <f aca="false">IFERROR(IF([2]对账明细接口!$H$1190=0,"",[2]对账明细接口!$H$1190),"")</f>
        <v/>
      </c>
      <c r="I1190" s="59" t="str">
        <f aca="false">IFERROR(IF([2]对账明细接口!$I$1190=0,"",[2]对账明细接口!$I$1190),"")</f>
        <v/>
      </c>
      <c r="J1190" s="61" t="str">
        <f aca="false">IFERROR(IF([2]对账明细接口!$J$1190=0,"",[2]对账明细接口!$J$1190),"")</f>
        <v/>
      </c>
      <c r="K1190" s="61" t="str">
        <f aca="false">IFERROR(IF([2]对账明细接口!$K$1190=0,"",[2]对账明细接口!$K$1190),"")</f>
        <v/>
      </c>
      <c r="L1190" s="59" t="str">
        <f aca="false">IFERROR(IF([2]对账明细接口!$L$1190=0,"",[2]对账明细接口!$L$1190),"")</f>
        <v/>
      </c>
      <c r="M1190" s="59" t="str">
        <f aca="false">IFERROR(IF([2]对账明细接口!$M$1190=0,"",[2]对账明细接口!$M$1190),"")</f>
        <v/>
      </c>
      <c r="N1190" s="111" t="n">
        <f aca="false">IF($C1190="",0,1)</f>
        <v>0</v>
      </c>
      <c r="O1190" s="111" t="n">
        <f aca="false">N(O1189)+$N1190</f>
        <v>311</v>
      </c>
      <c r="S1190" s="10" t="str">
        <f aca="false">IFERROR(IF([2]对账明细接口!$N1190=0,"",[2]对账明细接口!$N1190),"")</f>
        <v/>
      </c>
      <c r="T1190" s="112" t="str">
        <f aca="false">IFERROR(IF([2]对账明细接口!$O1190=0,"",[2]对账明细接口!$O1190),"")</f>
        <v/>
      </c>
      <c r="U1190" s="112" t="str">
        <f aca="false">IFERROR(IF([2]对账明细接口!$P1190=0,"",[2]对账明细接口!$P1190),"")</f>
        <v/>
      </c>
      <c r="V1190" s="112" t="str">
        <f aca="false">IFERROR(IF([2]对账明细接口!$Q1190=0,"",[2]对账明细接口!$Q1190),"")</f>
        <v/>
      </c>
      <c r="W1190" s="10" t="str">
        <f aca="false">IFERROR(IF([2]对账明细接口!$R1190=0,"",[2]对账明细接口!$R1190),"")</f>
        <v/>
      </c>
      <c r="X1190" s="10" t="str">
        <f aca="false">IFERROR(IF([2]对账明细接口!$S1190=0,"",[2]对账明细接口!$S1190),"")</f>
        <v/>
      </c>
      <c r="Y1190" s="10" t="str">
        <f aca="false">IFERROR(IF([2]对账明细接口!$T1190=0,"",[2]对账明细接口!$T1190),"")</f>
        <v/>
      </c>
      <c r="Z1190" s="113" t="str">
        <f aca="false">IFERROR(IF([2]对账明细接口!$U1190=0,"",[2]对账明细接口!$U1190),"")</f>
        <v/>
      </c>
      <c r="AA1190" s="113" t="str">
        <f aca="false">IFERROR(IF([2]对账明细接口!$V1190=0,"",[2]对账明细接口!$V1190),"")</f>
        <v/>
      </c>
      <c r="AB1190" s="10" t="str">
        <f aca="false">IFERROR(IF([2]对账明细接口!$W1190=0,"",[2]对账明细接口!$W1190),"")</f>
        <v/>
      </c>
      <c r="AC1190" s="90" t="str">
        <f aca="false">IFERROR(IF([2]对账明细接口!$X1191=0,"",[2]对账明细接口!$X1191),"")</f>
        <v/>
      </c>
      <c r="AD1190" s="90" t="str">
        <f aca="false">IFERROR(IF([2]对账明细接口!$Y1191=0,"",[2]对账明细接口!$Y1191),"")</f>
        <v/>
      </c>
      <c r="AE1190" s="90" t="str">
        <f aca="false">IFERROR(IF([2]对账明细接口!$AA1191=0,"",[2]对账明细接口!$AA1191),"")</f>
        <v/>
      </c>
      <c r="AF1190" s="90" t="str">
        <f aca="false">IFERROR(IF([2]对账明细接口!$AB1191=0,"",[2]对账明细接口!$AB1191),"")</f>
        <v/>
      </c>
      <c r="AG1190" s="90" t="str">
        <f aca="false">IFERROR(IF([2]对账明细接口!$AC1191=0,"",[2]对账明细接口!$AC1191),"")</f>
        <v/>
      </c>
      <c r="AH1190" s="90" t="str">
        <f aca="false">IFERROR(IF([2]对账明细接口!$AD1191=0,"",[2]对账明细接口!$AD1191),"")</f>
        <v/>
      </c>
    </row>
    <row r="1191" customFormat="false" ht="13.5" hidden="false" customHeight="false" outlineLevel="0" collapsed="false">
      <c r="A1191" s="109" t="n">
        <v>1191</v>
      </c>
      <c r="B1191" s="110" t="str">
        <f aca="false">IFERROR(IF([2]对账明细接口!$B$1191=0,"",[2]对账明细接口!$B$1191),"")</f>
        <v/>
      </c>
      <c r="C1191" s="59" t="str">
        <f aca="false">IFERROR(IF([2]对账明细接口!$C$1191=0,"",[2]对账明细接口!$C$1191),"")</f>
        <v/>
      </c>
      <c r="D1191" s="59" t="str">
        <f aca="false">IFERROR(IF([2]对账明细接口!$D$1191=0,"",[2]对账明细接口!$D$1191),"")</f>
        <v/>
      </c>
      <c r="E1191" s="59" t="str">
        <f aca="false">IFERROR(IF([2]对账明细接口!$E$1191=0,"",[2]对账明细接口!$E$1191),"")</f>
        <v/>
      </c>
      <c r="F1191" s="59" t="str">
        <f aca="false">IFERROR(IF([2]对账明细接口!$F$1191=0,"",[2]对账明细接口!$F$1191),"")</f>
        <v/>
      </c>
      <c r="G1191" s="59" t="str">
        <f aca="false">IFERROR(IF([2]对账明细接口!$G$1191=0,"",[2]对账明细接口!$G$1191),"")</f>
        <v/>
      </c>
      <c r="H1191" s="60" t="str">
        <f aca="false">IFERROR(IF([2]对账明细接口!$H$1191=0,"",[2]对账明细接口!$H$1191),"")</f>
        <v/>
      </c>
      <c r="I1191" s="59" t="str">
        <f aca="false">IFERROR(IF([2]对账明细接口!$I$1191=0,"",[2]对账明细接口!$I$1191),"")</f>
        <v/>
      </c>
      <c r="J1191" s="61" t="str">
        <f aca="false">IFERROR(IF([2]对账明细接口!$J$1191=0,"",[2]对账明细接口!$J$1191),"")</f>
        <v/>
      </c>
      <c r="K1191" s="61" t="str">
        <f aca="false">IFERROR(IF([2]对账明细接口!$K$1191=0,"",[2]对账明细接口!$K$1191),"")</f>
        <v/>
      </c>
      <c r="L1191" s="59" t="str">
        <f aca="false">IFERROR(IF([2]对账明细接口!$L$1191=0,"",[2]对账明细接口!$L$1191),"")</f>
        <v/>
      </c>
      <c r="M1191" s="59" t="str">
        <f aca="false">IFERROR(IF([2]对账明细接口!$M$1191=0,"",[2]对账明细接口!$M$1191),"")</f>
        <v/>
      </c>
      <c r="N1191" s="111" t="n">
        <f aca="false">IF($C1191="",0,1)</f>
        <v>0</v>
      </c>
      <c r="O1191" s="111" t="n">
        <f aca="false">N(O1190)+$N1191</f>
        <v>311</v>
      </c>
      <c r="S1191" s="10" t="str">
        <f aca="false">IFERROR(IF([2]对账明细接口!$N1191=0,"",[2]对账明细接口!$N1191),"")</f>
        <v/>
      </c>
      <c r="T1191" s="112" t="str">
        <f aca="false">IFERROR(IF([2]对账明细接口!$O1191=0,"",[2]对账明细接口!$O1191),"")</f>
        <v/>
      </c>
      <c r="U1191" s="112" t="str">
        <f aca="false">IFERROR(IF([2]对账明细接口!$P1191=0,"",[2]对账明细接口!$P1191),"")</f>
        <v/>
      </c>
      <c r="V1191" s="112" t="str">
        <f aca="false">IFERROR(IF([2]对账明细接口!$Q1191=0,"",[2]对账明细接口!$Q1191),"")</f>
        <v/>
      </c>
      <c r="W1191" s="10" t="str">
        <f aca="false">IFERROR(IF([2]对账明细接口!$R1191=0,"",[2]对账明细接口!$R1191),"")</f>
        <v/>
      </c>
      <c r="X1191" s="10" t="str">
        <f aca="false">IFERROR(IF([2]对账明细接口!$S1191=0,"",[2]对账明细接口!$S1191),"")</f>
        <v/>
      </c>
      <c r="Y1191" s="10" t="str">
        <f aca="false">IFERROR(IF([2]对账明细接口!$T1191=0,"",[2]对账明细接口!$T1191),"")</f>
        <v/>
      </c>
      <c r="Z1191" s="113" t="str">
        <f aca="false">IFERROR(IF([2]对账明细接口!$U1191=0,"",[2]对账明细接口!$U1191),"")</f>
        <v/>
      </c>
      <c r="AA1191" s="113" t="str">
        <f aca="false">IFERROR(IF([2]对账明细接口!$V1191=0,"",[2]对账明细接口!$V1191),"")</f>
        <v/>
      </c>
      <c r="AB1191" s="10" t="str">
        <f aca="false">IFERROR(IF([2]对账明细接口!$W1191=0,"",[2]对账明细接口!$W1191),"")</f>
        <v/>
      </c>
      <c r="AC1191" s="90" t="str">
        <f aca="false">IFERROR(IF([2]对账明细接口!$X1192=0,"",[2]对账明细接口!$X1192),"")</f>
        <v/>
      </c>
      <c r="AD1191" s="90" t="str">
        <f aca="false">IFERROR(IF([2]对账明细接口!$Y1192=0,"",[2]对账明细接口!$Y1192),"")</f>
        <v/>
      </c>
      <c r="AE1191" s="90" t="str">
        <f aca="false">IFERROR(IF([2]对账明细接口!$AA1192=0,"",[2]对账明细接口!$AA1192),"")</f>
        <v/>
      </c>
      <c r="AF1191" s="90" t="str">
        <f aca="false">IFERROR(IF([2]对账明细接口!$AB1192=0,"",[2]对账明细接口!$AB1192),"")</f>
        <v/>
      </c>
      <c r="AG1191" s="90" t="str">
        <f aca="false">IFERROR(IF([2]对账明细接口!$AC1192=0,"",[2]对账明细接口!$AC1192),"")</f>
        <v/>
      </c>
      <c r="AH1191" s="90" t="str">
        <f aca="false">IFERROR(IF([2]对账明细接口!$AD1192=0,"",[2]对账明细接口!$AD1192),"")</f>
        <v/>
      </c>
    </row>
    <row r="1192" customFormat="false" ht="13.5" hidden="false" customHeight="false" outlineLevel="0" collapsed="false">
      <c r="A1192" s="109" t="n">
        <v>1192</v>
      </c>
      <c r="B1192" s="110" t="str">
        <f aca="false">IFERROR(IF([2]对账明细接口!$B$1192=0,"",[2]对账明细接口!$B$1192),"")</f>
        <v/>
      </c>
      <c r="C1192" s="59" t="str">
        <f aca="false">IFERROR(IF([2]对账明细接口!$C$1192=0,"",[2]对账明细接口!$C$1192),"")</f>
        <v/>
      </c>
      <c r="D1192" s="59" t="str">
        <f aca="false">IFERROR(IF([2]对账明细接口!$D$1192=0,"",[2]对账明细接口!$D$1192),"")</f>
        <v/>
      </c>
      <c r="E1192" s="59" t="str">
        <f aca="false">IFERROR(IF([2]对账明细接口!$E$1192=0,"",[2]对账明细接口!$E$1192),"")</f>
        <v/>
      </c>
      <c r="F1192" s="59" t="str">
        <f aca="false">IFERROR(IF([2]对账明细接口!$F$1192=0,"",[2]对账明细接口!$F$1192),"")</f>
        <v/>
      </c>
      <c r="G1192" s="59" t="str">
        <f aca="false">IFERROR(IF([2]对账明细接口!$G$1192=0,"",[2]对账明细接口!$G$1192),"")</f>
        <v/>
      </c>
      <c r="H1192" s="60" t="str">
        <f aca="false">IFERROR(IF([2]对账明细接口!$H$1192=0,"",[2]对账明细接口!$H$1192),"")</f>
        <v/>
      </c>
      <c r="I1192" s="59" t="str">
        <f aca="false">IFERROR(IF([2]对账明细接口!$I$1192=0,"",[2]对账明细接口!$I$1192),"")</f>
        <v/>
      </c>
      <c r="J1192" s="61" t="str">
        <f aca="false">IFERROR(IF([2]对账明细接口!$J$1192=0,"",[2]对账明细接口!$J$1192),"")</f>
        <v/>
      </c>
      <c r="K1192" s="61" t="str">
        <f aca="false">IFERROR(IF([2]对账明细接口!$K$1192=0,"",[2]对账明细接口!$K$1192),"")</f>
        <v/>
      </c>
      <c r="L1192" s="59" t="str">
        <f aca="false">IFERROR(IF([2]对账明细接口!$L$1192=0,"",[2]对账明细接口!$L$1192),"")</f>
        <v/>
      </c>
      <c r="M1192" s="59" t="str">
        <f aca="false">IFERROR(IF([2]对账明细接口!$M$1192=0,"",[2]对账明细接口!$M$1192),"")</f>
        <v/>
      </c>
      <c r="N1192" s="111" t="n">
        <f aca="false">IF($C1192="",0,1)</f>
        <v>0</v>
      </c>
      <c r="O1192" s="111" t="n">
        <f aca="false">N(O1191)+$N1192</f>
        <v>311</v>
      </c>
      <c r="S1192" s="10" t="str">
        <f aca="false">IFERROR(IF([2]对账明细接口!$N1192=0,"",[2]对账明细接口!$N1192),"")</f>
        <v/>
      </c>
      <c r="T1192" s="112" t="str">
        <f aca="false">IFERROR(IF([2]对账明细接口!$O1192=0,"",[2]对账明细接口!$O1192),"")</f>
        <v/>
      </c>
      <c r="U1192" s="112" t="str">
        <f aca="false">IFERROR(IF([2]对账明细接口!$P1192=0,"",[2]对账明细接口!$P1192),"")</f>
        <v/>
      </c>
      <c r="V1192" s="112" t="str">
        <f aca="false">IFERROR(IF([2]对账明细接口!$Q1192=0,"",[2]对账明细接口!$Q1192),"")</f>
        <v/>
      </c>
      <c r="W1192" s="10" t="str">
        <f aca="false">IFERROR(IF([2]对账明细接口!$R1192=0,"",[2]对账明细接口!$R1192),"")</f>
        <v/>
      </c>
      <c r="X1192" s="10" t="str">
        <f aca="false">IFERROR(IF([2]对账明细接口!$S1192=0,"",[2]对账明细接口!$S1192),"")</f>
        <v/>
      </c>
      <c r="Y1192" s="10" t="str">
        <f aca="false">IFERROR(IF([2]对账明细接口!$T1192=0,"",[2]对账明细接口!$T1192),"")</f>
        <v/>
      </c>
      <c r="Z1192" s="113" t="str">
        <f aca="false">IFERROR(IF([2]对账明细接口!$U1192=0,"",[2]对账明细接口!$U1192),"")</f>
        <v/>
      </c>
      <c r="AA1192" s="113" t="str">
        <f aca="false">IFERROR(IF([2]对账明细接口!$V1192=0,"",[2]对账明细接口!$V1192),"")</f>
        <v/>
      </c>
      <c r="AB1192" s="10" t="str">
        <f aca="false">IFERROR(IF([2]对账明细接口!$W1192=0,"",[2]对账明细接口!$W1192),"")</f>
        <v/>
      </c>
      <c r="AC1192" s="90" t="str">
        <f aca="false">IFERROR(IF([2]对账明细接口!$X1193=0,"",[2]对账明细接口!$X1193),"")</f>
        <v/>
      </c>
      <c r="AD1192" s="90" t="str">
        <f aca="false">IFERROR(IF([2]对账明细接口!$Y1193=0,"",[2]对账明细接口!$Y1193),"")</f>
        <v/>
      </c>
      <c r="AE1192" s="90" t="str">
        <f aca="false">IFERROR(IF([2]对账明细接口!$AA1193=0,"",[2]对账明细接口!$AA1193),"")</f>
        <v/>
      </c>
      <c r="AF1192" s="90" t="str">
        <f aca="false">IFERROR(IF([2]对账明细接口!$AB1193=0,"",[2]对账明细接口!$AB1193),"")</f>
        <v/>
      </c>
      <c r="AG1192" s="90" t="str">
        <f aca="false">IFERROR(IF([2]对账明细接口!$AC1193=0,"",[2]对账明细接口!$AC1193),"")</f>
        <v/>
      </c>
      <c r="AH1192" s="90" t="str">
        <f aca="false">IFERROR(IF([2]对账明细接口!$AD1193=0,"",[2]对账明细接口!$AD1193),"")</f>
        <v/>
      </c>
    </row>
    <row r="1193" customFormat="false" ht="13.5" hidden="false" customHeight="false" outlineLevel="0" collapsed="false">
      <c r="A1193" s="109" t="n">
        <v>1193</v>
      </c>
      <c r="B1193" s="110" t="str">
        <f aca="false">IFERROR(IF([2]对账明细接口!$B$1193=0,"",[2]对账明细接口!$B$1193),"")</f>
        <v/>
      </c>
      <c r="C1193" s="59" t="str">
        <f aca="false">IFERROR(IF([2]对账明细接口!$C$1193=0,"",[2]对账明细接口!$C$1193),"")</f>
        <v/>
      </c>
      <c r="D1193" s="59" t="str">
        <f aca="false">IFERROR(IF([2]对账明细接口!$D$1193=0,"",[2]对账明细接口!$D$1193),"")</f>
        <v/>
      </c>
      <c r="E1193" s="59" t="str">
        <f aca="false">IFERROR(IF([2]对账明细接口!$E$1193=0,"",[2]对账明细接口!$E$1193),"")</f>
        <v/>
      </c>
      <c r="F1193" s="59" t="str">
        <f aca="false">IFERROR(IF([2]对账明细接口!$F$1193=0,"",[2]对账明细接口!$F$1193),"")</f>
        <v/>
      </c>
      <c r="G1193" s="59" t="str">
        <f aca="false">IFERROR(IF([2]对账明细接口!$G$1193=0,"",[2]对账明细接口!$G$1193),"")</f>
        <v/>
      </c>
      <c r="H1193" s="60" t="str">
        <f aca="false">IFERROR(IF([2]对账明细接口!$H$1193=0,"",[2]对账明细接口!$H$1193),"")</f>
        <v/>
      </c>
      <c r="I1193" s="59" t="str">
        <f aca="false">IFERROR(IF([2]对账明细接口!$I$1193=0,"",[2]对账明细接口!$I$1193),"")</f>
        <v/>
      </c>
      <c r="J1193" s="61" t="str">
        <f aca="false">IFERROR(IF([2]对账明细接口!$J$1193=0,"",[2]对账明细接口!$J$1193),"")</f>
        <v/>
      </c>
      <c r="K1193" s="61" t="str">
        <f aca="false">IFERROR(IF([2]对账明细接口!$K$1193=0,"",[2]对账明细接口!$K$1193),"")</f>
        <v/>
      </c>
      <c r="L1193" s="59" t="str">
        <f aca="false">IFERROR(IF([2]对账明细接口!$L$1193=0,"",[2]对账明细接口!$L$1193),"")</f>
        <v/>
      </c>
      <c r="M1193" s="59" t="str">
        <f aca="false">IFERROR(IF([2]对账明细接口!$M$1193=0,"",[2]对账明细接口!$M$1193),"")</f>
        <v/>
      </c>
      <c r="N1193" s="111" t="n">
        <f aca="false">IF($C1193="",0,1)</f>
        <v>0</v>
      </c>
      <c r="O1193" s="111" t="n">
        <f aca="false">N(O1192)+$N1193</f>
        <v>311</v>
      </c>
      <c r="S1193" s="10" t="str">
        <f aca="false">IFERROR(IF([2]对账明细接口!$N1193=0,"",[2]对账明细接口!$N1193),"")</f>
        <v/>
      </c>
      <c r="T1193" s="112" t="str">
        <f aca="false">IFERROR(IF([2]对账明细接口!$O1193=0,"",[2]对账明细接口!$O1193),"")</f>
        <v/>
      </c>
      <c r="U1193" s="112" t="str">
        <f aca="false">IFERROR(IF([2]对账明细接口!$P1193=0,"",[2]对账明细接口!$P1193),"")</f>
        <v/>
      </c>
      <c r="V1193" s="112" t="str">
        <f aca="false">IFERROR(IF([2]对账明细接口!$Q1193=0,"",[2]对账明细接口!$Q1193),"")</f>
        <v/>
      </c>
      <c r="W1193" s="10" t="str">
        <f aca="false">IFERROR(IF([2]对账明细接口!$R1193=0,"",[2]对账明细接口!$R1193),"")</f>
        <v/>
      </c>
      <c r="X1193" s="10" t="str">
        <f aca="false">IFERROR(IF([2]对账明细接口!$S1193=0,"",[2]对账明细接口!$S1193),"")</f>
        <v/>
      </c>
      <c r="Y1193" s="10" t="str">
        <f aca="false">IFERROR(IF([2]对账明细接口!$T1193=0,"",[2]对账明细接口!$T1193),"")</f>
        <v/>
      </c>
      <c r="Z1193" s="113" t="str">
        <f aca="false">IFERROR(IF([2]对账明细接口!$U1193=0,"",[2]对账明细接口!$U1193),"")</f>
        <v/>
      </c>
      <c r="AA1193" s="113" t="str">
        <f aca="false">IFERROR(IF([2]对账明细接口!$V1193=0,"",[2]对账明细接口!$V1193),"")</f>
        <v/>
      </c>
      <c r="AB1193" s="10" t="str">
        <f aca="false">IFERROR(IF([2]对账明细接口!$W1193=0,"",[2]对账明细接口!$W1193),"")</f>
        <v/>
      </c>
      <c r="AC1193" s="90" t="str">
        <f aca="false">IFERROR(IF([2]对账明细接口!$X1194=0,"",[2]对账明细接口!$X1194),"")</f>
        <v/>
      </c>
      <c r="AD1193" s="90" t="str">
        <f aca="false">IFERROR(IF([2]对账明细接口!$Y1194=0,"",[2]对账明细接口!$Y1194),"")</f>
        <v/>
      </c>
      <c r="AE1193" s="90" t="str">
        <f aca="false">IFERROR(IF([2]对账明细接口!$AA1194=0,"",[2]对账明细接口!$AA1194),"")</f>
        <v/>
      </c>
      <c r="AF1193" s="90" t="str">
        <f aca="false">IFERROR(IF([2]对账明细接口!$AB1194=0,"",[2]对账明细接口!$AB1194),"")</f>
        <v/>
      </c>
      <c r="AG1193" s="90" t="str">
        <f aca="false">IFERROR(IF([2]对账明细接口!$AC1194=0,"",[2]对账明细接口!$AC1194),"")</f>
        <v/>
      </c>
      <c r="AH1193" s="90" t="str">
        <f aca="false">IFERROR(IF([2]对账明细接口!$AD1194=0,"",[2]对账明细接口!$AD1194),"")</f>
        <v/>
      </c>
    </row>
    <row r="1194" customFormat="false" ht="13.5" hidden="false" customHeight="false" outlineLevel="0" collapsed="false">
      <c r="A1194" s="109" t="n">
        <v>1194</v>
      </c>
      <c r="B1194" s="110" t="str">
        <f aca="false">IFERROR(IF([2]对账明细接口!$B$1194=0,"",[2]对账明细接口!$B$1194),"")</f>
        <v/>
      </c>
      <c r="C1194" s="59" t="str">
        <f aca="false">IFERROR(IF([2]对账明细接口!$C$1194=0,"",[2]对账明细接口!$C$1194),"")</f>
        <v/>
      </c>
      <c r="D1194" s="59" t="str">
        <f aca="false">IFERROR(IF([2]对账明细接口!$D$1194=0,"",[2]对账明细接口!$D$1194),"")</f>
        <v/>
      </c>
      <c r="E1194" s="59" t="str">
        <f aca="false">IFERROR(IF([2]对账明细接口!$E$1194=0,"",[2]对账明细接口!$E$1194),"")</f>
        <v/>
      </c>
      <c r="F1194" s="59" t="str">
        <f aca="false">IFERROR(IF([2]对账明细接口!$F$1194=0,"",[2]对账明细接口!$F$1194),"")</f>
        <v/>
      </c>
      <c r="G1194" s="59" t="str">
        <f aca="false">IFERROR(IF([2]对账明细接口!$G$1194=0,"",[2]对账明细接口!$G$1194),"")</f>
        <v/>
      </c>
      <c r="H1194" s="60" t="str">
        <f aca="false">IFERROR(IF([2]对账明细接口!$H$1194=0,"",[2]对账明细接口!$H$1194),"")</f>
        <v/>
      </c>
      <c r="I1194" s="59" t="str">
        <f aca="false">IFERROR(IF([2]对账明细接口!$I$1194=0,"",[2]对账明细接口!$I$1194),"")</f>
        <v/>
      </c>
      <c r="J1194" s="61" t="str">
        <f aca="false">IFERROR(IF([2]对账明细接口!$J$1194=0,"",[2]对账明细接口!$J$1194),"")</f>
        <v/>
      </c>
      <c r="K1194" s="61" t="str">
        <f aca="false">IFERROR(IF([2]对账明细接口!$K$1194=0,"",[2]对账明细接口!$K$1194),"")</f>
        <v/>
      </c>
      <c r="L1194" s="59" t="str">
        <f aca="false">IFERROR(IF([2]对账明细接口!$L$1194=0,"",[2]对账明细接口!$L$1194),"")</f>
        <v/>
      </c>
      <c r="M1194" s="59" t="str">
        <f aca="false">IFERROR(IF([2]对账明细接口!$M$1194=0,"",[2]对账明细接口!$M$1194),"")</f>
        <v/>
      </c>
      <c r="N1194" s="111" t="n">
        <f aca="false">IF($C1194="",0,1)</f>
        <v>0</v>
      </c>
      <c r="O1194" s="111" t="n">
        <f aca="false">N(O1193)+$N1194</f>
        <v>311</v>
      </c>
      <c r="S1194" s="10" t="str">
        <f aca="false">IFERROR(IF([2]对账明细接口!$N1194=0,"",[2]对账明细接口!$N1194),"")</f>
        <v/>
      </c>
      <c r="T1194" s="112" t="str">
        <f aca="false">IFERROR(IF([2]对账明细接口!$O1194=0,"",[2]对账明细接口!$O1194),"")</f>
        <v/>
      </c>
      <c r="U1194" s="112" t="str">
        <f aca="false">IFERROR(IF([2]对账明细接口!$P1194=0,"",[2]对账明细接口!$P1194),"")</f>
        <v/>
      </c>
      <c r="V1194" s="112" t="str">
        <f aca="false">IFERROR(IF([2]对账明细接口!$Q1194=0,"",[2]对账明细接口!$Q1194),"")</f>
        <v/>
      </c>
      <c r="W1194" s="10" t="str">
        <f aca="false">IFERROR(IF([2]对账明细接口!$R1194=0,"",[2]对账明细接口!$R1194),"")</f>
        <v/>
      </c>
      <c r="X1194" s="10" t="str">
        <f aca="false">IFERROR(IF([2]对账明细接口!$S1194=0,"",[2]对账明细接口!$S1194),"")</f>
        <v/>
      </c>
      <c r="Y1194" s="10" t="str">
        <f aca="false">IFERROR(IF([2]对账明细接口!$T1194=0,"",[2]对账明细接口!$T1194),"")</f>
        <v/>
      </c>
      <c r="Z1194" s="113" t="str">
        <f aca="false">IFERROR(IF([2]对账明细接口!$U1194=0,"",[2]对账明细接口!$U1194),"")</f>
        <v/>
      </c>
      <c r="AA1194" s="113" t="str">
        <f aca="false">IFERROR(IF([2]对账明细接口!$V1194=0,"",[2]对账明细接口!$V1194),"")</f>
        <v/>
      </c>
      <c r="AB1194" s="10" t="str">
        <f aca="false">IFERROR(IF([2]对账明细接口!$W1194=0,"",[2]对账明细接口!$W1194),"")</f>
        <v/>
      </c>
      <c r="AC1194" s="90" t="str">
        <f aca="false">IFERROR(IF([2]对账明细接口!$X1195=0,"",[2]对账明细接口!$X1195),"")</f>
        <v/>
      </c>
      <c r="AD1194" s="90" t="str">
        <f aca="false">IFERROR(IF([2]对账明细接口!$Y1195=0,"",[2]对账明细接口!$Y1195),"")</f>
        <v/>
      </c>
      <c r="AE1194" s="90" t="str">
        <f aca="false">IFERROR(IF([2]对账明细接口!$AA1195=0,"",[2]对账明细接口!$AA1195),"")</f>
        <v/>
      </c>
      <c r="AF1194" s="90" t="str">
        <f aca="false">IFERROR(IF([2]对账明细接口!$AB1195=0,"",[2]对账明细接口!$AB1195),"")</f>
        <v/>
      </c>
      <c r="AG1194" s="90" t="str">
        <f aca="false">IFERROR(IF([2]对账明细接口!$AC1195=0,"",[2]对账明细接口!$AC1195),"")</f>
        <v/>
      </c>
      <c r="AH1194" s="90" t="str">
        <f aca="false">IFERROR(IF([2]对账明细接口!$AD1195=0,"",[2]对账明细接口!$AD1195),"")</f>
        <v/>
      </c>
    </row>
    <row r="1195" customFormat="false" ht="13.5" hidden="false" customHeight="false" outlineLevel="0" collapsed="false">
      <c r="A1195" s="109" t="n">
        <v>1195</v>
      </c>
      <c r="B1195" s="110" t="str">
        <f aca="false">IFERROR(IF([2]对账明细接口!$B$1195=0,"",[2]对账明细接口!$B$1195),"")</f>
        <v/>
      </c>
      <c r="C1195" s="59" t="str">
        <f aca="false">IFERROR(IF([2]对账明细接口!$C$1195=0,"",[2]对账明细接口!$C$1195),"")</f>
        <v/>
      </c>
      <c r="D1195" s="59" t="str">
        <f aca="false">IFERROR(IF([2]对账明细接口!$D$1195=0,"",[2]对账明细接口!$D$1195),"")</f>
        <v/>
      </c>
      <c r="E1195" s="59" t="str">
        <f aca="false">IFERROR(IF([2]对账明细接口!$E$1195=0,"",[2]对账明细接口!$E$1195),"")</f>
        <v/>
      </c>
      <c r="F1195" s="59" t="str">
        <f aca="false">IFERROR(IF([2]对账明细接口!$F$1195=0,"",[2]对账明细接口!$F$1195),"")</f>
        <v/>
      </c>
      <c r="G1195" s="59" t="str">
        <f aca="false">IFERROR(IF([2]对账明细接口!$G$1195=0,"",[2]对账明细接口!$G$1195),"")</f>
        <v/>
      </c>
      <c r="H1195" s="60" t="str">
        <f aca="false">IFERROR(IF([2]对账明细接口!$H$1195=0,"",[2]对账明细接口!$H$1195),"")</f>
        <v/>
      </c>
      <c r="I1195" s="59" t="str">
        <f aca="false">IFERROR(IF([2]对账明细接口!$I$1195=0,"",[2]对账明细接口!$I$1195),"")</f>
        <v/>
      </c>
      <c r="J1195" s="61" t="str">
        <f aca="false">IFERROR(IF([2]对账明细接口!$J$1195=0,"",[2]对账明细接口!$J$1195),"")</f>
        <v/>
      </c>
      <c r="K1195" s="61" t="str">
        <f aca="false">IFERROR(IF([2]对账明细接口!$K$1195=0,"",[2]对账明细接口!$K$1195),"")</f>
        <v/>
      </c>
      <c r="L1195" s="59" t="str">
        <f aca="false">IFERROR(IF([2]对账明细接口!$L$1195=0,"",[2]对账明细接口!$L$1195),"")</f>
        <v/>
      </c>
      <c r="M1195" s="59" t="str">
        <f aca="false">IFERROR(IF([2]对账明细接口!$M$1195=0,"",[2]对账明细接口!$M$1195),"")</f>
        <v/>
      </c>
      <c r="N1195" s="111" t="n">
        <f aca="false">IF($C1195="",0,1)</f>
        <v>0</v>
      </c>
      <c r="O1195" s="111" t="n">
        <f aca="false">N(O1194)+$N1195</f>
        <v>311</v>
      </c>
      <c r="S1195" s="10" t="str">
        <f aca="false">IFERROR(IF([2]对账明细接口!$N1195=0,"",[2]对账明细接口!$N1195),"")</f>
        <v/>
      </c>
      <c r="T1195" s="112" t="str">
        <f aca="false">IFERROR(IF([2]对账明细接口!$O1195=0,"",[2]对账明细接口!$O1195),"")</f>
        <v/>
      </c>
      <c r="U1195" s="112" t="str">
        <f aca="false">IFERROR(IF([2]对账明细接口!$P1195=0,"",[2]对账明细接口!$P1195),"")</f>
        <v/>
      </c>
      <c r="V1195" s="112" t="str">
        <f aca="false">IFERROR(IF([2]对账明细接口!$Q1195=0,"",[2]对账明细接口!$Q1195),"")</f>
        <v/>
      </c>
      <c r="W1195" s="10" t="str">
        <f aca="false">IFERROR(IF([2]对账明细接口!$R1195=0,"",[2]对账明细接口!$R1195),"")</f>
        <v/>
      </c>
      <c r="X1195" s="10" t="str">
        <f aca="false">IFERROR(IF([2]对账明细接口!$S1195=0,"",[2]对账明细接口!$S1195),"")</f>
        <v/>
      </c>
      <c r="Y1195" s="10" t="str">
        <f aca="false">IFERROR(IF([2]对账明细接口!$T1195=0,"",[2]对账明细接口!$T1195),"")</f>
        <v/>
      </c>
      <c r="Z1195" s="113" t="str">
        <f aca="false">IFERROR(IF([2]对账明细接口!$U1195=0,"",[2]对账明细接口!$U1195),"")</f>
        <v/>
      </c>
      <c r="AA1195" s="113" t="str">
        <f aca="false">IFERROR(IF([2]对账明细接口!$V1195=0,"",[2]对账明细接口!$V1195),"")</f>
        <v/>
      </c>
      <c r="AB1195" s="10" t="str">
        <f aca="false">IFERROR(IF([2]对账明细接口!$W1195=0,"",[2]对账明细接口!$W1195),"")</f>
        <v/>
      </c>
      <c r="AC1195" s="90" t="str">
        <f aca="false">IFERROR(IF([2]对账明细接口!$X1196=0,"",[2]对账明细接口!$X1196),"")</f>
        <v/>
      </c>
      <c r="AD1195" s="90" t="str">
        <f aca="false">IFERROR(IF([2]对账明细接口!$Y1196=0,"",[2]对账明细接口!$Y1196),"")</f>
        <v/>
      </c>
      <c r="AE1195" s="90" t="str">
        <f aca="false">IFERROR(IF([2]对账明细接口!$AA1196=0,"",[2]对账明细接口!$AA1196),"")</f>
        <v/>
      </c>
      <c r="AF1195" s="90" t="str">
        <f aca="false">IFERROR(IF([2]对账明细接口!$AB1196=0,"",[2]对账明细接口!$AB1196),"")</f>
        <v/>
      </c>
      <c r="AG1195" s="90" t="str">
        <f aca="false">IFERROR(IF([2]对账明细接口!$AC1196=0,"",[2]对账明细接口!$AC1196),"")</f>
        <v/>
      </c>
      <c r="AH1195" s="90" t="str">
        <f aca="false">IFERROR(IF([2]对账明细接口!$AD1196=0,"",[2]对账明细接口!$AD1196),"")</f>
        <v/>
      </c>
    </row>
    <row r="1196" customFormat="false" ht="13.5" hidden="false" customHeight="false" outlineLevel="0" collapsed="false">
      <c r="A1196" s="109" t="n">
        <v>1196</v>
      </c>
      <c r="B1196" s="110" t="str">
        <f aca="false">IFERROR(IF([2]对账明细接口!$B$1196=0,"",[2]对账明细接口!$B$1196),"")</f>
        <v/>
      </c>
      <c r="C1196" s="59" t="str">
        <f aca="false">IFERROR(IF([2]对账明细接口!$C$1196=0,"",[2]对账明细接口!$C$1196),"")</f>
        <v/>
      </c>
      <c r="D1196" s="59" t="str">
        <f aca="false">IFERROR(IF([2]对账明细接口!$D$1196=0,"",[2]对账明细接口!$D$1196),"")</f>
        <v/>
      </c>
      <c r="E1196" s="59" t="str">
        <f aca="false">IFERROR(IF([2]对账明细接口!$E$1196=0,"",[2]对账明细接口!$E$1196),"")</f>
        <v/>
      </c>
      <c r="F1196" s="59" t="str">
        <f aca="false">IFERROR(IF([2]对账明细接口!$F$1196=0,"",[2]对账明细接口!$F$1196),"")</f>
        <v/>
      </c>
      <c r="G1196" s="59" t="str">
        <f aca="false">IFERROR(IF([2]对账明细接口!$G$1196=0,"",[2]对账明细接口!$G$1196),"")</f>
        <v/>
      </c>
      <c r="H1196" s="60" t="str">
        <f aca="false">IFERROR(IF([2]对账明细接口!$H$1196=0,"",[2]对账明细接口!$H$1196),"")</f>
        <v/>
      </c>
      <c r="I1196" s="59" t="str">
        <f aca="false">IFERROR(IF([2]对账明细接口!$I$1196=0,"",[2]对账明细接口!$I$1196),"")</f>
        <v/>
      </c>
      <c r="J1196" s="61" t="str">
        <f aca="false">IFERROR(IF([2]对账明细接口!$J$1196=0,"",[2]对账明细接口!$J$1196),"")</f>
        <v/>
      </c>
      <c r="K1196" s="61" t="str">
        <f aca="false">IFERROR(IF([2]对账明细接口!$K$1196=0,"",[2]对账明细接口!$K$1196),"")</f>
        <v/>
      </c>
      <c r="L1196" s="59" t="str">
        <f aca="false">IFERROR(IF([2]对账明细接口!$L$1196=0,"",[2]对账明细接口!$L$1196),"")</f>
        <v/>
      </c>
      <c r="M1196" s="59" t="str">
        <f aca="false">IFERROR(IF([2]对账明细接口!$M$1196=0,"",[2]对账明细接口!$M$1196),"")</f>
        <v/>
      </c>
      <c r="N1196" s="111" t="n">
        <f aca="false">IF($C1196="",0,1)</f>
        <v>0</v>
      </c>
      <c r="O1196" s="111" t="n">
        <f aca="false">N(O1195)+$N1196</f>
        <v>311</v>
      </c>
      <c r="S1196" s="10" t="str">
        <f aca="false">IFERROR(IF([2]对账明细接口!$N1196=0,"",[2]对账明细接口!$N1196),"")</f>
        <v/>
      </c>
      <c r="T1196" s="112" t="str">
        <f aca="false">IFERROR(IF([2]对账明细接口!$O1196=0,"",[2]对账明细接口!$O1196),"")</f>
        <v/>
      </c>
      <c r="U1196" s="112" t="str">
        <f aca="false">IFERROR(IF([2]对账明细接口!$P1196=0,"",[2]对账明细接口!$P1196),"")</f>
        <v/>
      </c>
      <c r="V1196" s="112" t="str">
        <f aca="false">IFERROR(IF([2]对账明细接口!$Q1196=0,"",[2]对账明细接口!$Q1196),"")</f>
        <v/>
      </c>
      <c r="W1196" s="10" t="str">
        <f aca="false">IFERROR(IF([2]对账明细接口!$R1196=0,"",[2]对账明细接口!$R1196),"")</f>
        <v/>
      </c>
      <c r="X1196" s="10" t="str">
        <f aca="false">IFERROR(IF([2]对账明细接口!$S1196=0,"",[2]对账明细接口!$S1196),"")</f>
        <v/>
      </c>
      <c r="Y1196" s="10" t="str">
        <f aca="false">IFERROR(IF([2]对账明细接口!$T1196=0,"",[2]对账明细接口!$T1196),"")</f>
        <v/>
      </c>
      <c r="Z1196" s="113" t="str">
        <f aca="false">IFERROR(IF([2]对账明细接口!$U1196=0,"",[2]对账明细接口!$U1196),"")</f>
        <v/>
      </c>
      <c r="AA1196" s="113" t="str">
        <f aca="false">IFERROR(IF([2]对账明细接口!$V1196=0,"",[2]对账明细接口!$V1196),"")</f>
        <v/>
      </c>
      <c r="AB1196" s="10" t="str">
        <f aca="false">IFERROR(IF([2]对账明细接口!$W1196=0,"",[2]对账明细接口!$W1196),"")</f>
        <v/>
      </c>
      <c r="AC1196" s="90" t="str">
        <f aca="false">IFERROR(IF([2]对账明细接口!$X1197=0,"",[2]对账明细接口!$X1197),"")</f>
        <v/>
      </c>
      <c r="AD1196" s="90" t="str">
        <f aca="false">IFERROR(IF([2]对账明细接口!$Y1197=0,"",[2]对账明细接口!$Y1197),"")</f>
        <v/>
      </c>
      <c r="AE1196" s="90" t="str">
        <f aca="false">IFERROR(IF([2]对账明细接口!$AA1197=0,"",[2]对账明细接口!$AA1197),"")</f>
        <v/>
      </c>
      <c r="AF1196" s="90" t="str">
        <f aca="false">IFERROR(IF([2]对账明细接口!$AB1197=0,"",[2]对账明细接口!$AB1197),"")</f>
        <v/>
      </c>
      <c r="AG1196" s="90" t="str">
        <f aca="false">IFERROR(IF([2]对账明细接口!$AC1197=0,"",[2]对账明细接口!$AC1197),"")</f>
        <v/>
      </c>
      <c r="AH1196" s="90" t="str">
        <f aca="false">IFERROR(IF([2]对账明细接口!$AD1197=0,"",[2]对账明细接口!$AD1197),"")</f>
        <v/>
      </c>
    </row>
    <row r="1197" customFormat="false" ht="13.5" hidden="false" customHeight="false" outlineLevel="0" collapsed="false">
      <c r="A1197" s="109" t="n">
        <v>1197</v>
      </c>
      <c r="B1197" s="110" t="str">
        <f aca="false">IFERROR(IF([2]对账明细接口!$B$1197=0,"",[2]对账明细接口!$B$1197),"")</f>
        <v/>
      </c>
      <c r="C1197" s="59" t="str">
        <f aca="false">IFERROR(IF([2]对账明细接口!$C$1197=0,"",[2]对账明细接口!$C$1197),"")</f>
        <v/>
      </c>
      <c r="D1197" s="59" t="str">
        <f aca="false">IFERROR(IF([2]对账明细接口!$D$1197=0,"",[2]对账明细接口!$D$1197),"")</f>
        <v/>
      </c>
      <c r="E1197" s="59" t="str">
        <f aca="false">IFERROR(IF([2]对账明细接口!$E$1197=0,"",[2]对账明细接口!$E$1197),"")</f>
        <v/>
      </c>
      <c r="F1197" s="59" t="str">
        <f aca="false">IFERROR(IF([2]对账明细接口!$F$1197=0,"",[2]对账明细接口!$F$1197),"")</f>
        <v/>
      </c>
      <c r="G1197" s="59" t="str">
        <f aca="false">IFERROR(IF([2]对账明细接口!$G$1197=0,"",[2]对账明细接口!$G$1197),"")</f>
        <v/>
      </c>
      <c r="H1197" s="60" t="str">
        <f aca="false">IFERROR(IF([2]对账明细接口!$H$1197=0,"",[2]对账明细接口!$H$1197),"")</f>
        <v/>
      </c>
      <c r="I1197" s="59" t="str">
        <f aca="false">IFERROR(IF([2]对账明细接口!$I$1197=0,"",[2]对账明细接口!$I$1197),"")</f>
        <v/>
      </c>
      <c r="J1197" s="61" t="str">
        <f aca="false">IFERROR(IF([2]对账明细接口!$J$1197=0,"",[2]对账明细接口!$J$1197),"")</f>
        <v/>
      </c>
      <c r="K1197" s="61" t="str">
        <f aca="false">IFERROR(IF([2]对账明细接口!$K$1197=0,"",[2]对账明细接口!$K$1197),"")</f>
        <v/>
      </c>
      <c r="L1197" s="59" t="str">
        <f aca="false">IFERROR(IF([2]对账明细接口!$L$1197=0,"",[2]对账明细接口!$L$1197),"")</f>
        <v/>
      </c>
      <c r="M1197" s="59" t="str">
        <f aca="false">IFERROR(IF([2]对账明细接口!$M$1197=0,"",[2]对账明细接口!$M$1197),"")</f>
        <v/>
      </c>
      <c r="N1197" s="111" t="n">
        <f aca="false">IF($C1197="",0,1)</f>
        <v>0</v>
      </c>
      <c r="O1197" s="111" t="n">
        <f aca="false">N(O1196)+$N1197</f>
        <v>311</v>
      </c>
      <c r="S1197" s="10" t="str">
        <f aca="false">IFERROR(IF([2]对账明细接口!$N1197=0,"",[2]对账明细接口!$N1197),"")</f>
        <v/>
      </c>
      <c r="T1197" s="112" t="str">
        <f aca="false">IFERROR(IF([2]对账明细接口!$O1197=0,"",[2]对账明细接口!$O1197),"")</f>
        <v/>
      </c>
      <c r="U1197" s="112" t="str">
        <f aca="false">IFERROR(IF([2]对账明细接口!$P1197=0,"",[2]对账明细接口!$P1197),"")</f>
        <v/>
      </c>
      <c r="V1197" s="112" t="str">
        <f aca="false">IFERROR(IF([2]对账明细接口!$Q1197=0,"",[2]对账明细接口!$Q1197),"")</f>
        <v/>
      </c>
      <c r="W1197" s="10" t="str">
        <f aca="false">IFERROR(IF([2]对账明细接口!$R1197=0,"",[2]对账明细接口!$R1197),"")</f>
        <v/>
      </c>
      <c r="X1197" s="10" t="str">
        <f aca="false">IFERROR(IF([2]对账明细接口!$S1197=0,"",[2]对账明细接口!$S1197),"")</f>
        <v/>
      </c>
      <c r="Y1197" s="10" t="str">
        <f aca="false">IFERROR(IF([2]对账明细接口!$T1197=0,"",[2]对账明细接口!$T1197),"")</f>
        <v/>
      </c>
      <c r="Z1197" s="113" t="str">
        <f aca="false">IFERROR(IF([2]对账明细接口!$U1197=0,"",[2]对账明细接口!$U1197),"")</f>
        <v/>
      </c>
      <c r="AA1197" s="113" t="str">
        <f aca="false">IFERROR(IF([2]对账明细接口!$V1197=0,"",[2]对账明细接口!$V1197),"")</f>
        <v/>
      </c>
      <c r="AB1197" s="10" t="str">
        <f aca="false">IFERROR(IF([2]对账明细接口!$W1197=0,"",[2]对账明细接口!$W1197),"")</f>
        <v/>
      </c>
      <c r="AC1197" s="90" t="str">
        <f aca="false">IFERROR(IF([2]对账明细接口!$X1198=0,"",[2]对账明细接口!$X1198),"")</f>
        <v/>
      </c>
      <c r="AD1197" s="90" t="str">
        <f aca="false">IFERROR(IF([2]对账明细接口!$Y1198=0,"",[2]对账明细接口!$Y1198),"")</f>
        <v/>
      </c>
      <c r="AE1197" s="90" t="str">
        <f aca="false">IFERROR(IF([2]对账明细接口!$AA1198=0,"",[2]对账明细接口!$AA1198),"")</f>
        <v/>
      </c>
      <c r="AF1197" s="90" t="str">
        <f aca="false">IFERROR(IF([2]对账明细接口!$AB1198=0,"",[2]对账明细接口!$AB1198),"")</f>
        <v/>
      </c>
      <c r="AG1197" s="90" t="str">
        <f aca="false">IFERROR(IF([2]对账明细接口!$AC1198=0,"",[2]对账明细接口!$AC1198),"")</f>
        <v/>
      </c>
      <c r="AH1197" s="90" t="str">
        <f aca="false">IFERROR(IF([2]对账明细接口!$AD1198=0,"",[2]对账明细接口!$AD1198),"")</f>
        <v/>
      </c>
    </row>
    <row r="1198" customFormat="false" ht="13.5" hidden="false" customHeight="false" outlineLevel="0" collapsed="false">
      <c r="A1198" s="109" t="n">
        <v>1198</v>
      </c>
      <c r="B1198" s="110" t="str">
        <f aca="false">IFERROR(IF([2]对账明细接口!$B$1198=0,"",[2]对账明细接口!$B$1198),"")</f>
        <v/>
      </c>
      <c r="C1198" s="59" t="str">
        <f aca="false">IFERROR(IF([2]对账明细接口!$C$1198=0,"",[2]对账明细接口!$C$1198),"")</f>
        <v/>
      </c>
      <c r="D1198" s="59" t="str">
        <f aca="false">IFERROR(IF([2]对账明细接口!$D$1198=0,"",[2]对账明细接口!$D$1198),"")</f>
        <v/>
      </c>
      <c r="E1198" s="59" t="str">
        <f aca="false">IFERROR(IF([2]对账明细接口!$E$1198=0,"",[2]对账明细接口!$E$1198),"")</f>
        <v/>
      </c>
      <c r="F1198" s="59" t="str">
        <f aca="false">IFERROR(IF([2]对账明细接口!$F$1198=0,"",[2]对账明细接口!$F$1198),"")</f>
        <v/>
      </c>
      <c r="G1198" s="59" t="str">
        <f aca="false">IFERROR(IF([2]对账明细接口!$G$1198=0,"",[2]对账明细接口!$G$1198),"")</f>
        <v/>
      </c>
      <c r="H1198" s="60" t="str">
        <f aca="false">IFERROR(IF([2]对账明细接口!$H$1198=0,"",[2]对账明细接口!$H$1198),"")</f>
        <v/>
      </c>
      <c r="I1198" s="59" t="str">
        <f aca="false">IFERROR(IF([2]对账明细接口!$I$1198=0,"",[2]对账明细接口!$I$1198),"")</f>
        <v/>
      </c>
      <c r="J1198" s="61" t="str">
        <f aca="false">IFERROR(IF([2]对账明细接口!$J$1198=0,"",[2]对账明细接口!$J$1198),"")</f>
        <v/>
      </c>
      <c r="K1198" s="61" t="str">
        <f aca="false">IFERROR(IF([2]对账明细接口!$K$1198=0,"",[2]对账明细接口!$K$1198),"")</f>
        <v/>
      </c>
      <c r="L1198" s="59" t="str">
        <f aca="false">IFERROR(IF([2]对账明细接口!$L$1198=0,"",[2]对账明细接口!$L$1198),"")</f>
        <v/>
      </c>
      <c r="M1198" s="59" t="str">
        <f aca="false">IFERROR(IF([2]对账明细接口!$M$1198=0,"",[2]对账明细接口!$M$1198),"")</f>
        <v/>
      </c>
      <c r="N1198" s="111" t="n">
        <f aca="false">IF($C1198="",0,1)</f>
        <v>0</v>
      </c>
      <c r="O1198" s="111" t="n">
        <f aca="false">N(O1197)+$N1198</f>
        <v>311</v>
      </c>
      <c r="S1198" s="10" t="str">
        <f aca="false">IFERROR(IF([2]对账明细接口!$N1198=0,"",[2]对账明细接口!$N1198),"")</f>
        <v/>
      </c>
      <c r="T1198" s="112" t="str">
        <f aca="false">IFERROR(IF([2]对账明细接口!$O1198=0,"",[2]对账明细接口!$O1198),"")</f>
        <v/>
      </c>
      <c r="U1198" s="112" t="str">
        <f aca="false">IFERROR(IF([2]对账明细接口!$P1198=0,"",[2]对账明细接口!$P1198),"")</f>
        <v/>
      </c>
      <c r="V1198" s="112" t="str">
        <f aca="false">IFERROR(IF([2]对账明细接口!$Q1198=0,"",[2]对账明细接口!$Q1198),"")</f>
        <v/>
      </c>
      <c r="W1198" s="10" t="str">
        <f aca="false">IFERROR(IF([2]对账明细接口!$R1198=0,"",[2]对账明细接口!$R1198),"")</f>
        <v/>
      </c>
      <c r="X1198" s="10" t="str">
        <f aca="false">IFERROR(IF([2]对账明细接口!$S1198=0,"",[2]对账明细接口!$S1198),"")</f>
        <v/>
      </c>
      <c r="Y1198" s="10" t="str">
        <f aca="false">IFERROR(IF([2]对账明细接口!$T1198=0,"",[2]对账明细接口!$T1198),"")</f>
        <v/>
      </c>
      <c r="Z1198" s="113" t="str">
        <f aca="false">IFERROR(IF([2]对账明细接口!$U1198=0,"",[2]对账明细接口!$U1198),"")</f>
        <v/>
      </c>
      <c r="AA1198" s="113" t="str">
        <f aca="false">IFERROR(IF([2]对账明细接口!$V1198=0,"",[2]对账明细接口!$V1198),"")</f>
        <v/>
      </c>
      <c r="AB1198" s="10" t="str">
        <f aca="false">IFERROR(IF([2]对账明细接口!$W1198=0,"",[2]对账明细接口!$W1198),"")</f>
        <v/>
      </c>
      <c r="AC1198" s="90" t="str">
        <f aca="false">IFERROR(IF([2]对账明细接口!$X1199=0,"",[2]对账明细接口!$X1199),"")</f>
        <v/>
      </c>
      <c r="AD1198" s="90" t="str">
        <f aca="false">IFERROR(IF([2]对账明细接口!$Y1199=0,"",[2]对账明细接口!$Y1199),"")</f>
        <v/>
      </c>
      <c r="AE1198" s="90" t="str">
        <f aca="false">IFERROR(IF([2]对账明细接口!$AA1199=0,"",[2]对账明细接口!$AA1199),"")</f>
        <v/>
      </c>
      <c r="AF1198" s="90" t="str">
        <f aca="false">IFERROR(IF([2]对账明细接口!$AB1199=0,"",[2]对账明细接口!$AB1199),"")</f>
        <v/>
      </c>
      <c r="AG1198" s="90" t="str">
        <f aca="false">IFERROR(IF([2]对账明细接口!$AC1199=0,"",[2]对账明细接口!$AC1199),"")</f>
        <v/>
      </c>
      <c r="AH1198" s="90" t="str">
        <f aca="false">IFERROR(IF([2]对账明细接口!$AD1199=0,"",[2]对账明细接口!$AD1199),"")</f>
        <v/>
      </c>
    </row>
    <row r="1199" customFormat="false" ht="13.5" hidden="false" customHeight="false" outlineLevel="0" collapsed="false">
      <c r="A1199" s="109" t="n">
        <v>1199</v>
      </c>
      <c r="B1199" s="110" t="str">
        <f aca="false">IFERROR(IF([2]对账明细接口!$B$1199=0,"",[2]对账明细接口!$B$1199),"")</f>
        <v/>
      </c>
      <c r="C1199" s="59" t="str">
        <f aca="false">IFERROR(IF([2]对账明细接口!$C$1199=0,"",[2]对账明细接口!$C$1199),"")</f>
        <v/>
      </c>
      <c r="D1199" s="59" t="str">
        <f aca="false">IFERROR(IF([2]对账明细接口!$D$1199=0,"",[2]对账明细接口!$D$1199),"")</f>
        <v/>
      </c>
      <c r="E1199" s="59" t="str">
        <f aca="false">IFERROR(IF([2]对账明细接口!$E$1199=0,"",[2]对账明细接口!$E$1199),"")</f>
        <v/>
      </c>
      <c r="F1199" s="59" t="str">
        <f aca="false">IFERROR(IF([2]对账明细接口!$F$1199=0,"",[2]对账明细接口!$F$1199),"")</f>
        <v/>
      </c>
      <c r="G1199" s="59" t="str">
        <f aca="false">IFERROR(IF([2]对账明细接口!$G$1199=0,"",[2]对账明细接口!$G$1199),"")</f>
        <v/>
      </c>
      <c r="H1199" s="60" t="str">
        <f aca="false">IFERROR(IF([2]对账明细接口!$H$1199=0,"",[2]对账明细接口!$H$1199),"")</f>
        <v/>
      </c>
      <c r="I1199" s="59" t="str">
        <f aca="false">IFERROR(IF([2]对账明细接口!$I$1199=0,"",[2]对账明细接口!$I$1199),"")</f>
        <v/>
      </c>
      <c r="J1199" s="61" t="str">
        <f aca="false">IFERROR(IF([2]对账明细接口!$J$1199=0,"",[2]对账明细接口!$J$1199),"")</f>
        <v/>
      </c>
      <c r="K1199" s="61" t="str">
        <f aca="false">IFERROR(IF([2]对账明细接口!$K$1199=0,"",[2]对账明细接口!$K$1199),"")</f>
        <v/>
      </c>
      <c r="L1199" s="59" t="str">
        <f aca="false">IFERROR(IF([2]对账明细接口!$L$1199=0,"",[2]对账明细接口!$L$1199),"")</f>
        <v/>
      </c>
      <c r="M1199" s="59" t="str">
        <f aca="false">IFERROR(IF([2]对账明细接口!$M$1199=0,"",[2]对账明细接口!$M$1199),"")</f>
        <v/>
      </c>
      <c r="N1199" s="111" t="n">
        <f aca="false">IF($C1199="",0,1)</f>
        <v>0</v>
      </c>
      <c r="O1199" s="111" t="n">
        <f aca="false">N(O1198)+$N1199</f>
        <v>311</v>
      </c>
      <c r="S1199" s="10" t="str">
        <f aca="false">IFERROR(IF([2]对账明细接口!$N1199=0,"",[2]对账明细接口!$N1199),"")</f>
        <v/>
      </c>
      <c r="T1199" s="112" t="str">
        <f aca="false">IFERROR(IF([2]对账明细接口!$O1199=0,"",[2]对账明细接口!$O1199),"")</f>
        <v/>
      </c>
      <c r="U1199" s="112" t="str">
        <f aca="false">IFERROR(IF([2]对账明细接口!$P1199=0,"",[2]对账明细接口!$P1199),"")</f>
        <v/>
      </c>
      <c r="V1199" s="112" t="str">
        <f aca="false">IFERROR(IF([2]对账明细接口!$Q1199=0,"",[2]对账明细接口!$Q1199),"")</f>
        <v/>
      </c>
      <c r="W1199" s="10" t="str">
        <f aca="false">IFERROR(IF([2]对账明细接口!$R1199=0,"",[2]对账明细接口!$R1199),"")</f>
        <v/>
      </c>
      <c r="X1199" s="10" t="str">
        <f aca="false">IFERROR(IF([2]对账明细接口!$S1199=0,"",[2]对账明细接口!$S1199),"")</f>
        <v/>
      </c>
      <c r="Y1199" s="10" t="str">
        <f aca="false">IFERROR(IF([2]对账明细接口!$T1199=0,"",[2]对账明细接口!$T1199),"")</f>
        <v/>
      </c>
      <c r="Z1199" s="113" t="str">
        <f aca="false">IFERROR(IF([2]对账明细接口!$U1199=0,"",[2]对账明细接口!$U1199),"")</f>
        <v/>
      </c>
      <c r="AA1199" s="113" t="str">
        <f aca="false">IFERROR(IF([2]对账明细接口!$V1199=0,"",[2]对账明细接口!$V1199),"")</f>
        <v/>
      </c>
      <c r="AB1199" s="10" t="str">
        <f aca="false">IFERROR(IF([2]对账明细接口!$W1199=0,"",[2]对账明细接口!$W1199),"")</f>
        <v/>
      </c>
      <c r="AC1199" s="90" t="str">
        <f aca="false">IFERROR(IF([2]对账明细接口!$X1200=0,"",[2]对账明细接口!$X1200),"")</f>
        <v/>
      </c>
      <c r="AD1199" s="90" t="str">
        <f aca="false">IFERROR(IF([2]对账明细接口!$Y1200=0,"",[2]对账明细接口!$Y1200),"")</f>
        <v/>
      </c>
      <c r="AE1199" s="90" t="str">
        <f aca="false">IFERROR(IF([2]对账明细接口!$AA1200=0,"",[2]对账明细接口!$AA1200),"")</f>
        <v/>
      </c>
      <c r="AF1199" s="90" t="str">
        <f aca="false">IFERROR(IF([2]对账明细接口!$AB1200=0,"",[2]对账明细接口!$AB1200),"")</f>
        <v/>
      </c>
      <c r="AG1199" s="90" t="str">
        <f aca="false">IFERROR(IF([2]对账明细接口!$AC1200=0,"",[2]对账明细接口!$AC1200),"")</f>
        <v/>
      </c>
      <c r="AH1199" s="90" t="str">
        <f aca="false">IFERROR(IF([2]对账明细接口!$AD1200=0,"",[2]对账明细接口!$AD1200),"")</f>
        <v/>
      </c>
    </row>
    <row r="1200" customFormat="false" ht="13.5" hidden="false" customHeight="false" outlineLevel="0" collapsed="false">
      <c r="A1200" s="109" t="n">
        <v>1200</v>
      </c>
      <c r="B1200" s="110" t="str">
        <f aca="false">IFERROR(IF([2]对账明细接口!$B$1200=0,"",[2]对账明细接口!$B$1200),"")</f>
        <v/>
      </c>
      <c r="C1200" s="59" t="str">
        <f aca="false">IFERROR(IF([2]对账明细接口!$C$1200=0,"",[2]对账明细接口!$C$1200),"")</f>
        <v/>
      </c>
      <c r="D1200" s="59" t="str">
        <f aca="false">IFERROR(IF([2]对账明细接口!$D$1200=0,"",[2]对账明细接口!$D$1200),"")</f>
        <v/>
      </c>
      <c r="E1200" s="59" t="str">
        <f aca="false">IFERROR(IF([2]对账明细接口!$E$1200=0,"",[2]对账明细接口!$E$1200),"")</f>
        <v/>
      </c>
      <c r="F1200" s="59" t="str">
        <f aca="false">IFERROR(IF([2]对账明细接口!$F$1200=0,"",[2]对账明细接口!$F$1200),"")</f>
        <v/>
      </c>
      <c r="G1200" s="59" t="str">
        <f aca="false">IFERROR(IF([2]对账明细接口!$G$1200=0,"",[2]对账明细接口!$G$1200),"")</f>
        <v/>
      </c>
      <c r="H1200" s="60" t="str">
        <f aca="false">IFERROR(IF([2]对账明细接口!$H$1200=0,"",[2]对账明细接口!$H$1200),"")</f>
        <v/>
      </c>
      <c r="I1200" s="59" t="str">
        <f aca="false">IFERROR(IF([2]对账明细接口!$I$1200=0,"",[2]对账明细接口!$I$1200),"")</f>
        <v/>
      </c>
      <c r="J1200" s="61" t="str">
        <f aca="false">IFERROR(IF([2]对账明细接口!$J$1200=0,"",[2]对账明细接口!$J$1200),"")</f>
        <v/>
      </c>
      <c r="K1200" s="61" t="str">
        <f aca="false">IFERROR(IF([2]对账明细接口!$K$1200=0,"",[2]对账明细接口!$K$1200),"")</f>
        <v/>
      </c>
      <c r="L1200" s="59" t="str">
        <f aca="false">IFERROR(IF([2]对账明细接口!$L$1200=0,"",[2]对账明细接口!$L$1200),"")</f>
        <v/>
      </c>
      <c r="M1200" s="59" t="str">
        <f aca="false">IFERROR(IF([2]对账明细接口!$M$1200=0,"",[2]对账明细接口!$M$1200),"")</f>
        <v/>
      </c>
      <c r="N1200" s="111" t="n">
        <f aca="false">IF($C1200="",0,1)</f>
        <v>0</v>
      </c>
      <c r="O1200" s="111" t="n">
        <f aca="false">N(O1199)+$N1200</f>
        <v>311</v>
      </c>
      <c r="S1200" s="10" t="str">
        <f aca="false">IFERROR(IF([2]对账明细接口!$N1200=0,"",[2]对账明细接口!$N1200),"")</f>
        <v/>
      </c>
      <c r="T1200" s="112" t="str">
        <f aca="false">IFERROR(IF([2]对账明细接口!$O1200=0,"",[2]对账明细接口!$O1200),"")</f>
        <v/>
      </c>
      <c r="U1200" s="112" t="str">
        <f aca="false">IFERROR(IF([2]对账明细接口!$P1200=0,"",[2]对账明细接口!$P1200),"")</f>
        <v/>
      </c>
      <c r="V1200" s="112" t="str">
        <f aca="false">IFERROR(IF([2]对账明细接口!$Q1200=0,"",[2]对账明细接口!$Q1200),"")</f>
        <v/>
      </c>
      <c r="W1200" s="10" t="str">
        <f aca="false">IFERROR(IF([2]对账明细接口!$R1200=0,"",[2]对账明细接口!$R1200),"")</f>
        <v/>
      </c>
      <c r="X1200" s="10" t="str">
        <f aca="false">IFERROR(IF([2]对账明细接口!$S1200=0,"",[2]对账明细接口!$S1200),"")</f>
        <v/>
      </c>
      <c r="Y1200" s="10" t="str">
        <f aca="false">IFERROR(IF([2]对账明细接口!$T1200=0,"",[2]对账明细接口!$T1200),"")</f>
        <v/>
      </c>
      <c r="Z1200" s="113" t="str">
        <f aca="false">IFERROR(IF([2]对账明细接口!$U1200=0,"",[2]对账明细接口!$U1200),"")</f>
        <v/>
      </c>
      <c r="AA1200" s="113" t="str">
        <f aca="false">IFERROR(IF([2]对账明细接口!$V1200=0,"",[2]对账明细接口!$V1200),"")</f>
        <v/>
      </c>
      <c r="AB1200" s="10" t="str">
        <f aca="false">IFERROR(IF([2]对账明细接口!$W1200=0,"",[2]对账明细接口!$W1200),"")</f>
        <v/>
      </c>
      <c r="AC1200" s="90" t="str">
        <f aca="false">IFERROR(IF([2]对账明细接口!$X1201=0,"",[2]对账明细接口!$X1201),"")</f>
        <v/>
      </c>
      <c r="AD1200" s="90" t="str">
        <f aca="false">IFERROR(IF([2]对账明细接口!$Y1201=0,"",[2]对账明细接口!$Y1201),"")</f>
        <v/>
      </c>
      <c r="AE1200" s="90" t="str">
        <f aca="false">IFERROR(IF([2]对账明细接口!$AA1201=0,"",[2]对账明细接口!$AA1201),"")</f>
        <v/>
      </c>
      <c r="AF1200" s="90" t="str">
        <f aca="false">IFERROR(IF([2]对账明细接口!$AB1201=0,"",[2]对账明细接口!$AB1201),"")</f>
        <v/>
      </c>
      <c r="AG1200" s="90" t="str">
        <f aca="false">IFERROR(IF([2]对账明细接口!$AC1201=0,"",[2]对账明细接口!$AC1201),"")</f>
        <v/>
      </c>
      <c r="AH1200" s="90" t="str">
        <f aca="false">IFERROR(IF([2]对账明细接口!$AD1201=0,"",[2]对账明细接口!$AD1201),"")</f>
        <v/>
      </c>
    </row>
    <row r="1201" customFormat="false" ht="13.5" hidden="false" customHeight="false" outlineLevel="0" collapsed="false">
      <c r="A1201" s="109" t="n">
        <v>1201</v>
      </c>
      <c r="B1201" s="110" t="str">
        <f aca="false">IFERROR(IF([2]对账明细接口!$B$1201=0,"",[2]对账明细接口!$B$1201),"")</f>
        <v/>
      </c>
      <c r="C1201" s="59" t="str">
        <f aca="false">IFERROR(IF([2]对账明细接口!$C$1201=0,"",[2]对账明细接口!$C$1201),"")</f>
        <v/>
      </c>
      <c r="D1201" s="59" t="str">
        <f aca="false">IFERROR(IF([2]对账明细接口!$D$1201=0,"",[2]对账明细接口!$D$1201),"")</f>
        <v/>
      </c>
      <c r="E1201" s="59" t="str">
        <f aca="false">IFERROR(IF([2]对账明细接口!$E$1201=0,"",[2]对账明细接口!$E$1201),"")</f>
        <v/>
      </c>
      <c r="F1201" s="59" t="str">
        <f aca="false">IFERROR(IF([2]对账明细接口!$F$1201=0,"",[2]对账明细接口!$F$1201),"")</f>
        <v/>
      </c>
      <c r="G1201" s="59" t="str">
        <f aca="false">IFERROR(IF([2]对账明细接口!$G$1201=0,"",[2]对账明细接口!$G$1201),"")</f>
        <v/>
      </c>
      <c r="H1201" s="60" t="str">
        <f aca="false">IFERROR(IF([2]对账明细接口!$H$1201=0,"",[2]对账明细接口!$H$1201),"")</f>
        <v/>
      </c>
      <c r="I1201" s="59" t="str">
        <f aca="false">IFERROR(IF([2]对账明细接口!$I$1201=0,"",[2]对账明细接口!$I$1201),"")</f>
        <v/>
      </c>
      <c r="J1201" s="61" t="str">
        <f aca="false">IFERROR(IF([2]对账明细接口!$J$1201=0,"",[2]对账明细接口!$J$1201),"")</f>
        <v/>
      </c>
      <c r="K1201" s="61" t="str">
        <f aca="false">IFERROR(IF([2]对账明细接口!$K$1201=0,"",[2]对账明细接口!$K$1201),"")</f>
        <v/>
      </c>
      <c r="L1201" s="59" t="str">
        <f aca="false">IFERROR(IF([2]对账明细接口!$L$1201=0,"",[2]对账明细接口!$L$1201),"")</f>
        <v/>
      </c>
      <c r="M1201" s="59" t="str">
        <f aca="false">IFERROR(IF([2]对账明细接口!$M$1201=0,"",[2]对账明细接口!$M$1201),"")</f>
        <v/>
      </c>
      <c r="N1201" s="111" t="n">
        <f aca="false">IF($C1201="",0,1)</f>
        <v>0</v>
      </c>
      <c r="O1201" s="111" t="n">
        <f aca="false">N(O1200)+$N1201</f>
        <v>311</v>
      </c>
      <c r="S1201" s="10" t="str">
        <f aca="false">IFERROR(IF([2]对账明细接口!$N1201=0,"",[2]对账明细接口!$N1201),"")</f>
        <v/>
      </c>
      <c r="T1201" s="112" t="str">
        <f aca="false">IFERROR(IF([2]对账明细接口!$O1201=0,"",[2]对账明细接口!$O1201),"")</f>
        <v/>
      </c>
      <c r="U1201" s="112" t="str">
        <f aca="false">IFERROR(IF([2]对账明细接口!$P1201=0,"",[2]对账明细接口!$P1201),"")</f>
        <v/>
      </c>
      <c r="V1201" s="112" t="str">
        <f aca="false">IFERROR(IF([2]对账明细接口!$Q1201=0,"",[2]对账明细接口!$Q1201),"")</f>
        <v/>
      </c>
      <c r="W1201" s="10" t="str">
        <f aca="false">IFERROR(IF([2]对账明细接口!$R1201=0,"",[2]对账明细接口!$R1201),"")</f>
        <v/>
      </c>
      <c r="X1201" s="10" t="str">
        <f aca="false">IFERROR(IF([2]对账明细接口!$S1201=0,"",[2]对账明细接口!$S1201),"")</f>
        <v/>
      </c>
      <c r="Y1201" s="10" t="str">
        <f aca="false">IFERROR(IF([2]对账明细接口!$T1201=0,"",[2]对账明细接口!$T1201),"")</f>
        <v/>
      </c>
      <c r="Z1201" s="113" t="str">
        <f aca="false">IFERROR(IF([2]对账明细接口!$U1201=0,"",[2]对账明细接口!$U1201),"")</f>
        <v/>
      </c>
      <c r="AA1201" s="113" t="str">
        <f aca="false">IFERROR(IF([2]对账明细接口!$V1201=0,"",[2]对账明细接口!$V1201),"")</f>
        <v/>
      </c>
      <c r="AB1201" s="10" t="str">
        <f aca="false">IFERROR(IF([2]对账明细接口!$W1201=0,"",[2]对账明细接口!$W1201),"")</f>
        <v/>
      </c>
      <c r="AC1201" s="90" t="str">
        <f aca="false">IFERROR(IF([2]对账明细接口!$X1202=0,"",[2]对账明细接口!$X1202),"")</f>
        <v/>
      </c>
      <c r="AD1201" s="90" t="str">
        <f aca="false">IFERROR(IF([2]对账明细接口!$Y1202=0,"",[2]对账明细接口!$Y1202),"")</f>
        <v/>
      </c>
      <c r="AE1201" s="90" t="str">
        <f aca="false">IFERROR(IF([2]对账明细接口!$AA1202=0,"",[2]对账明细接口!$AA1202),"")</f>
        <v/>
      </c>
      <c r="AF1201" s="90" t="str">
        <f aca="false">IFERROR(IF([2]对账明细接口!$AB1202=0,"",[2]对账明细接口!$AB1202),"")</f>
        <v/>
      </c>
      <c r="AG1201" s="90" t="str">
        <f aca="false">IFERROR(IF([2]对账明细接口!$AC1202=0,"",[2]对账明细接口!$AC1202),"")</f>
        <v/>
      </c>
      <c r="AH1201" s="90" t="str">
        <f aca="false">IFERROR(IF([2]对账明细接口!$AD1202=0,"",[2]对账明细接口!$AD1202),"")</f>
        <v/>
      </c>
    </row>
    <row r="1202" customFormat="false" ht="13.5" hidden="false" customHeight="false" outlineLevel="0" collapsed="false">
      <c r="A1202" s="109" t="n">
        <v>1202</v>
      </c>
      <c r="B1202" s="110" t="str">
        <f aca="false">IFERROR(IF([2]对账明细接口!$B$1202=0,"",[2]对账明细接口!$B$1202),"")</f>
        <v/>
      </c>
      <c r="C1202" s="59" t="str">
        <f aca="false">IFERROR(IF([2]对账明细接口!$C$1202=0,"",[2]对账明细接口!$C$1202),"")</f>
        <v/>
      </c>
      <c r="D1202" s="59" t="str">
        <f aca="false">IFERROR(IF([2]对账明细接口!$D$1202=0,"",[2]对账明细接口!$D$1202),"")</f>
        <v/>
      </c>
      <c r="E1202" s="59" t="str">
        <f aca="false">IFERROR(IF([2]对账明细接口!$E$1202=0,"",[2]对账明细接口!$E$1202),"")</f>
        <v/>
      </c>
      <c r="F1202" s="59" t="str">
        <f aca="false">IFERROR(IF([2]对账明细接口!$F$1202=0,"",[2]对账明细接口!$F$1202),"")</f>
        <v/>
      </c>
      <c r="G1202" s="59" t="str">
        <f aca="false">IFERROR(IF([2]对账明细接口!$G$1202=0,"",[2]对账明细接口!$G$1202),"")</f>
        <v/>
      </c>
      <c r="H1202" s="60" t="str">
        <f aca="false">IFERROR(IF([2]对账明细接口!$H$1202=0,"",[2]对账明细接口!$H$1202),"")</f>
        <v/>
      </c>
      <c r="I1202" s="59" t="str">
        <f aca="false">IFERROR(IF([2]对账明细接口!$I$1202=0,"",[2]对账明细接口!$I$1202),"")</f>
        <v/>
      </c>
      <c r="J1202" s="61" t="str">
        <f aca="false">IFERROR(IF([2]对账明细接口!$J$1202=0,"",[2]对账明细接口!$J$1202),"")</f>
        <v/>
      </c>
      <c r="K1202" s="61" t="str">
        <f aca="false">IFERROR(IF([2]对账明细接口!$K$1202=0,"",[2]对账明细接口!$K$1202),"")</f>
        <v/>
      </c>
      <c r="L1202" s="59" t="str">
        <f aca="false">IFERROR(IF([2]对账明细接口!$L$1202=0,"",[2]对账明细接口!$L$1202),"")</f>
        <v/>
      </c>
      <c r="M1202" s="59" t="str">
        <f aca="false">IFERROR(IF([2]对账明细接口!$M$1202=0,"",[2]对账明细接口!$M$1202),"")</f>
        <v/>
      </c>
      <c r="N1202" s="111" t="n">
        <f aca="false">IF($C1202="",0,1)</f>
        <v>0</v>
      </c>
      <c r="O1202" s="111" t="n">
        <f aca="false">N(O1201)+$N1202</f>
        <v>311</v>
      </c>
      <c r="S1202" s="10" t="str">
        <f aca="false">IFERROR(IF([2]对账明细接口!$N1202=0,"",[2]对账明细接口!$N1202),"")</f>
        <v/>
      </c>
      <c r="T1202" s="112" t="str">
        <f aca="false">IFERROR(IF([2]对账明细接口!$O1202=0,"",[2]对账明细接口!$O1202),"")</f>
        <v/>
      </c>
      <c r="U1202" s="112" t="str">
        <f aca="false">IFERROR(IF([2]对账明细接口!$P1202=0,"",[2]对账明细接口!$P1202),"")</f>
        <v/>
      </c>
      <c r="V1202" s="112" t="str">
        <f aca="false">IFERROR(IF([2]对账明细接口!$Q1202=0,"",[2]对账明细接口!$Q1202),"")</f>
        <v/>
      </c>
      <c r="W1202" s="10" t="str">
        <f aca="false">IFERROR(IF([2]对账明细接口!$R1202=0,"",[2]对账明细接口!$R1202),"")</f>
        <v/>
      </c>
      <c r="X1202" s="10" t="str">
        <f aca="false">IFERROR(IF([2]对账明细接口!$S1202=0,"",[2]对账明细接口!$S1202),"")</f>
        <v/>
      </c>
      <c r="Y1202" s="10" t="str">
        <f aca="false">IFERROR(IF([2]对账明细接口!$T1202=0,"",[2]对账明细接口!$T1202),"")</f>
        <v/>
      </c>
      <c r="Z1202" s="113" t="str">
        <f aca="false">IFERROR(IF([2]对账明细接口!$U1202=0,"",[2]对账明细接口!$U1202),"")</f>
        <v/>
      </c>
      <c r="AA1202" s="113" t="str">
        <f aca="false">IFERROR(IF([2]对账明细接口!$V1202=0,"",[2]对账明细接口!$V1202),"")</f>
        <v/>
      </c>
      <c r="AB1202" s="10" t="str">
        <f aca="false">IFERROR(IF([2]对账明细接口!$W1202=0,"",[2]对账明细接口!$W1202),"")</f>
        <v/>
      </c>
      <c r="AC1202" s="90" t="str">
        <f aca="false">IFERROR(IF([2]对账明细接口!$X1203=0,"",[2]对账明细接口!$X1203),"")</f>
        <v/>
      </c>
      <c r="AD1202" s="90" t="str">
        <f aca="false">IFERROR(IF([2]对账明细接口!$Y1203=0,"",[2]对账明细接口!$Y1203),"")</f>
        <v/>
      </c>
      <c r="AE1202" s="90" t="str">
        <f aca="false">IFERROR(IF([2]对账明细接口!$AA1203=0,"",[2]对账明细接口!$AA1203),"")</f>
        <v/>
      </c>
      <c r="AF1202" s="90" t="str">
        <f aca="false">IFERROR(IF([2]对账明细接口!$AB1203=0,"",[2]对账明细接口!$AB1203),"")</f>
        <v/>
      </c>
      <c r="AG1202" s="90" t="str">
        <f aca="false">IFERROR(IF([2]对账明细接口!$AC1203=0,"",[2]对账明细接口!$AC1203),"")</f>
        <v/>
      </c>
      <c r="AH1202" s="90" t="str">
        <f aca="false">IFERROR(IF([2]对账明细接口!$AD1203=0,"",[2]对账明细接口!$AD1203),"")</f>
        <v/>
      </c>
    </row>
    <row r="1203" customFormat="false" ht="13.5" hidden="false" customHeight="false" outlineLevel="0" collapsed="false">
      <c r="A1203" s="109" t="n">
        <v>1203</v>
      </c>
      <c r="B1203" s="110" t="str">
        <f aca="false">IFERROR(IF([2]对账明细接口!$B$1203=0,"",[2]对账明细接口!$B$1203),"")</f>
        <v/>
      </c>
      <c r="C1203" s="59" t="str">
        <f aca="false">IFERROR(IF([2]对账明细接口!$C$1203=0,"",[2]对账明细接口!$C$1203),"")</f>
        <v/>
      </c>
      <c r="D1203" s="59" t="str">
        <f aca="false">IFERROR(IF([2]对账明细接口!$D$1203=0,"",[2]对账明细接口!$D$1203),"")</f>
        <v/>
      </c>
      <c r="E1203" s="59" t="str">
        <f aca="false">IFERROR(IF([2]对账明细接口!$E$1203=0,"",[2]对账明细接口!$E$1203),"")</f>
        <v/>
      </c>
      <c r="F1203" s="59" t="str">
        <f aca="false">IFERROR(IF([2]对账明细接口!$F$1203=0,"",[2]对账明细接口!$F$1203),"")</f>
        <v/>
      </c>
      <c r="G1203" s="59" t="str">
        <f aca="false">IFERROR(IF([2]对账明细接口!$G$1203=0,"",[2]对账明细接口!$G$1203),"")</f>
        <v/>
      </c>
      <c r="H1203" s="60" t="str">
        <f aca="false">IFERROR(IF([2]对账明细接口!$H$1203=0,"",[2]对账明细接口!$H$1203),"")</f>
        <v/>
      </c>
      <c r="I1203" s="59" t="str">
        <f aca="false">IFERROR(IF([2]对账明细接口!$I$1203=0,"",[2]对账明细接口!$I$1203),"")</f>
        <v/>
      </c>
      <c r="J1203" s="61" t="str">
        <f aca="false">IFERROR(IF([2]对账明细接口!$J$1203=0,"",[2]对账明细接口!$J$1203),"")</f>
        <v/>
      </c>
      <c r="K1203" s="61" t="str">
        <f aca="false">IFERROR(IF([2]对账明细接口!$K$1203=0,"",[2]对账明细接口!$K$1203),"")</f>
        <v/>
      </c>
      <c r="L1203" s="59" t="str">
        <f aca="false">IFERROR(IF([2]对账明细接口!$L$1203=0,"",[2]对账明细接口!$L$1203),"")</f>
        <v/>
      </c>
      <c r="M1203" s="59" t="str">
        <f aca="false">IFERROR(IF([2]对账明细接口!$M$1203=0,"",[2]对账明细接口!$M$1203),"")</f>
        <v/>
      </c>
      <c r="N1203" s="111" t="n">
        <f aca="false">IF($C1203="",0,1)</f>
        <v>0</v>
      </c>
      <c r="O1203" s="111" t="n">
        <f aca="false">N(O1202)+$N1203</f>
        <v>311</v>
      </c>
      <c r="S1203" s="10" t="str">
        <f aca="false">IFERROR(IF([2]对账明细接口!$N1203=0,"",[2]对账明细接口!$N1203),"")</f>
        <v/>
      </c>
      <c r="T1203" s="112" t="str">
        <f aca="false">IFERROR(IF([2]对账明细接口!$O1203=0,"",[2]对账明细接口!$O1203),"")</f>
        <v/>
      </c>
      <c r="U1203" s="112" t="str">
        <f aca="false">IFERROR(IF([2]对账明细接口!$P1203=0,"",[2]对账明细接口!$P1203),"")</f>
        <v/>
      </c>
      <c r="V1203" s="112" t="str">
        <f aca="false">IFERROR(IF([2]对账明细接口!$Q1203=0,"",[2]对账明细接口!$Q1203),"")</f>
        <v/>
      </c>
      <c r="W1203" s="10" t="str">
        <f aca="false">IFERROR(IF([2]对账明细接口!$R1203=0,"",[2]对账明细接口!$R1203),"")</f>
        <v/>
      </c>
      <c r="X1203" s="10" t="str">
        <f aca="false">IFERROR(IF([2]对账明细接口!$S1203=0,"",[2]对账明细接口!$S1203),"")</f>
        <v/>
      </c>
      <c r="Y1203" s="10" t="str">
        <f aca="false">IFERROR(IF([2]对账明细接口!$T1203=0,"",[2]对账明细接口!$T1203),"")</f>
        <v/>
      </c>
      <c r="Z1203" s="113" t="str">
        <f aca="false">IFERROR(IF([2]对账明细接口!$U1203=0,"",[2]对账明细接口!$U1203),"")</f>
        <v/>
      </c>
      <c r="AA1203" s="113" t="str">
        <f aca="false">IFERROR(IF([2]对账明细接口!$V1203=0,"",[2]对账明细接口!$V1203),"")</f>
        <v/>
      </c>
      <c r="AB1203" s="10" t="str">
        <f aca="false">IFERROR(IF([2]对账明细接口!$W1203=0,"",[2]对账明细接口!$W1203),"")</f>
        <v/>
      </c>
      <c r="AC1203" s="90" t="str">
        <f aca="false">IFERROR(IF([2]对账明细接口!$X1204=0,"",[2]对账明细接口!$X1204),"")</f>
        <v/>
      </c>
      <c r="AD1203" s="90" t="str">
        <f aca="false">IFERROR(IF([2]对账明细接口!$Y1204=0,"",[2]对账明细接口!$Y1204),"")</f>
        <v/>
      </c>
      <c r="AE1203" s="90" t="str">
        <f aca="false">IFERROR(IF([2]对账明细接口!$AA1204=0,"",[2]对账明细接口!$AA1204),"")</f>
        <v/>
      </c>
      <c r="AF1203" s="90" t="str">
        <f aca="false">IFERROR(IF([2]对账明细接口!$AB1204=0,"",[2]对账明细接口!$AB1204),"")</f>
        <v/>
      </c>
      <c r="AG1203" s="90" t="str">
        <f aca="false">IFERROR(IF([2]对账明细接口!$AC1204=0,"",[2]对账明细接口!$AC1204),"")</f>
        <v/>
      </c>
      <c r="AH1203" s="90" t="str">
        <f aca="false">IFERROR(IF([2]对账明细接口!$AD1204=0,"",[2]对账明细接口!$AD1204),"")</f>
        <v/>
      </c>
    </row>
  </sheetData>
  <mergeCells count="3">
    <mergeCell ref="A1:O1"/>
    <mergeCell ref="A2:O2"/>
    <mergeCell ref="Q6:R9"/>
  </mergeCells>
  <conditionalFormatting sqref="A2">
    <cfRule type="expression" priority="2" aboveAverage="0" equalAverage="0" bottom="0" percent="0" rank="0" text="" dxfId="0">
      <formula>$R$4=0</formula>
    </cfRule>
  </conditionalFormatting>
  <conditionalFormatting sqref="Q6">
    <cfRule type="expression" priority="3" aboveAverage="0" equalAverage="0" bottom="0" percent="0" rank="0" text="" dxfId="0">
      <formula>$R$4=0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B1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53" width="6"/>
    <col collapsed="false" customWidth="true" hidden="false" outlineLevel="0" max="2" min="2" style="53" width="12"/>
    <col collapsed="false" customWidth="true" hidden="false" outlineLevel="0" max="3" min="3" style="53" width="15"/>
    <col collapsed="false" customWidth="true" hidden="false" outlineLevel="0" max="4" min="4" style="53" width="22"/>
    <col collapsed="false" customWidth="true" hidden="false" outlineLevel="0" max="5" min="5" style="53" width="14"/>
    <col collapsed="false" customWidth="true" hidden="false" outlineLevel="0" max="6" min="6" style="53" width="11"/>
    <col collapsed="false" customWidth="true" hidden="false" outlineLevel="0" max="7" min="7" style="53" width="12"/>
    <col collapsed="false" customWidth="true" hidden="false" outlineLevel="0" max="8" min="8" style="53" width="11"/>
    <col collapsed="false" customWidth="true" hidden="false" outlineLevel="0" max="9" min="9" style="53" width="7"/>
    <col collapsed="false" customWidth="true" hidden="false" outlineLevel="0" max="10" min="10" style="53" width="12"/>
    <col collapsed="false" customWidth="true" hidden="false" outlineLevel="0" max="11" min="11" style="53" width="13"/>
    <col collapsed="false" customWidth="true" hidden="false" outlineLevel="0" max="12" min="12" style="53" width="11"/>
    <col collapsed="false" customWidth="true" hidden="false" outlineLevel="0" max="13" min="13" style="53" width="16"/>
    <col collapsed="false" customWidth="true" hidden="false" outlineLevel="0" max="15" min="14" style="53" width="6"/>
    <col collapsed="false" customWidth="true" hidden="false" outlineLevel="0" max="16" min="16" style="53" width="2"/>
    <col collapsed="false" customWidth="true" hidden="false" outlineLevel="0" max="17" min="17" style="53" width="13"/>
    <col collapsed="false" customWidth="true" hidden="false" outlineLevel="0" max="18" min="18" style="53" width="60"/>
    <col collapsed="false" customWidth="true" hidden="false" outlineLevel="0" max="19" min="19" style="53" width="13"/>
    <col collapsed="false" customWidth="true" hidden="false" outlineLevel="0" max="22" min="20" style="53" width="10"/>
    <col collapsed="false" customWidth="true" hidden="false" outlineLevel="0" max="23" min="23" style="53" width="12"/>
    <col collapsed="false" customWidth="true" hidden="false" outlineLevel="0" max="24" min="24" style="53" width="10"/>
    <col collapsed="false" customWidth="false" hidden="false" outlineLevel="0" max="16384" min="25" style="53" width="9"/>
  </cols>
  <sheetData>
    <row r="1" customFormat="false" ht="30" hidden="false" customHeight="true" outlineLevel="0" collapsed="false">
      <c r="A1" s="18" t="s">
        <v>220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Q1" s="107" t="s">
        <v>200</v>
      </c>
      <c r="R1" s="104" t="n">
        <f aca="false">MAX($O$4:$O$1203)</f>
        <v>110</v>
      </c>
    </row>
    <row r="2" customFormat="false" ht="18" hidden="false" customHeight="true" outlineLevel="0" collapsed="false">
      <c r="A2" s="108" t="str">
        <f aca="false">IF($R$4=1,"✔ 链接正常，已取到 "&amp;$R$1&amp;" 笔业务　｜　本表 1:1 对应《02 物料与周转物台账》的【对账明细接口】，三个文件必须放在同一个文件夹，文件名也不要改","★★ 链接没接上！→ 请看本表右边 Q6 格的修复说明（往右拉一屏）")</f>
        <v>✔ 链接正常，已取到 110 笔业务　｜　本表 1:1 对应《02 物料与周转物台账》的【对账明细接口】，三个文件必须放在同一个文件夹，文件名也不要改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107" t="s">
        <v>201</v>
      </c>
      <c r="R2" s="104" t="str">
        <f aca="false">IFERROR(IF([1]对账明细接口!$C$4=0,"未更新",[1]对账明细接口!$C$4),"断开")</f>
        <v>果然鲜</v>
      </c>
    </row>
    <row r="3" customFormat="false" ht="30" hidden="false" customHeight="true" outlineLevel="0" collapsed="false">
      <c r="A3" s="96" t="s">
        <v>202</v>
      </c>
      <c r="B3" s="96" t="s">
        <v>203</v>
      </c>
      <c r="C3" s="96" t="s">
        <v>189</v>
      </c>
      <c r="D3" s="96" t="s">
        <v>102</v>
      </c>
      <c r="E3" s="96" t="s">
        <v>82</v>
      </c>
      <c r="F3" s="96" t="s">
        <v>204</v>
      </c>
      <c r="G3" s="96" t="s">
        <v>205</v>
      </c>
      <c r="H3" s="96" t="s">
        <v>122</v>
      </c>
      <c r="I3" s="96" t="s">
        <v>113</v>
      </c>
      <c r="J3" s="96" t="s">
        <v>206</v>
      </c>
      <c r="K3" s="96" t="s">
        <v>207</v>
      </c>
      <c r="L3" s="96" t="s">
        <v>170</v>
      </c>
      <c r="M3" s="96" t="s">
        <v>186</v>
      </c>
      <c r="N3" s="96" t="s">
        <v>208</v>
      </c>
      <c r="O3" s="96" t="s">
        <v>209</v>
      </c>
      <c r="Q3" s="107" t="s">
        <v>210</v>
      </c>
      <c r="R3" s="104" t="n">
        <f aca="false">COUNTA($C$4:$C$1203)</f>
        <v>1200</v>
      </c>
      <c r="S3" s="96" t="s">
        <v>83</v>
      </c>
      <c r="T3" s="96" t="s">
        <v>211</v>
      </c>
      <c r="U3" s="96" t="s">
        <v>212</v>
      </c>
      <c r="V3" s="96" t="s">
        <v>213</v>
      </c>
      <c r="W3" s="96" t="s">
        <v>85</v>
      </c>
      <c r="X3" s="96" t="s">
        <v>214</v>
      </c>
      <c r="Y3" s="96" t="s">
        <v>215</v>
      </c>
      <c r="Z3" s="96" t="s">
        <v>137</v>
      </c>
      <c r="AA3" s="96" t="s">
        <v>138</v>
      </c>
      <c r="AB3" s="96" t="s">
        <v>139</v>
      </c>
    </row>
    <row r="4" customFormat="false" ht="13.5" hidden="false" customHeight="false" outlineLevel="0" collapsed="false">
      <c r="A4" s="109" t="n">
        <v>4</v>
      </c>
      <c r="B4" s="110" t="n">
        <f aca="false">IFERROR(IF([1]对账明细接口!$B$4=0,"",[1]对账明细接口!$B$4),"")</f>
        <v>46266</v>
      </c>
      <c r="C4" s="59" t="str">
        <f aca="false">IFERROR(IF([1]对账明细接口!$C$4=0,"",[1]对账明细接口!$C$4),"")</f>
        <v>果然鲜</v>
      </c>
      <c r="D4" s="59" t="str">
        <f aca="false">IFERROR(IF([1]对账明细接口!$D$4=0,"",[1]对账明细接口!$D$4),"")</f>
        <v>包装物料－期初库存</v>
      </c>
      <c r="E4" s="59" t="str">
        <f aca="false">IFERROR(IF([1]对账明细接口!$E$4=0,"",[1]对账明细接口!$E$4),"")</f>
        <v/>
      </c>
      <c r="F4" s="59" t="str">
        <f aca="false">IFERROR(IF([1]对账明细接口!$F$4=0,"",[1]对账明细接口!$F$4),"")</f>
        <v>气泡垫</v>
      </c>
      <c r="G4" s="59" t="str">
        <f aca="false">IFERROR(IF([1]对账明细接口!$G$4=0,"",[1]对账明细接口!$G$4),"")</f>
        <v>*1000</v>
      </c>
      <c r="H4" s="60" t="n">
        <f aca="false">IFERROR(IF([1]对账明细接口!$H$4=0,"",[1]对账明细接口!$H$4),"")</f>
        <v>13800</v>
      </c>
      <c r="I4" s="59" t="str">
        <f aca="false">IFERROR(IF([1]对账明细接口!$I$4=0,"",[1]对账明细接口!$I$4),"")</f>
        <v>片</v>
      </c>
      <c r="J4" s="61" t="str">
        <f aca="false">IFERROR(IF([1]对账明细接口!$J$4=0,"",[1]对账明细接口!$J$4),"")</f>
        <v/>
      </c>
      <c r="K4" s="61" t="str">
        <f aca="false">IFERROR(IF([1]对账明细接口!$K$4=0,"",[1]对账明细接口!$K$4),"")</f>
        <v/>
      </c>
      <c r="L4" s="59" t="str">
        <f aca="false">IFERROR(IF([1]对账明细接口!$L$4=0,"",[1]对账明细接口!$L$4),"")</f>
        <v/>
      </c>
      <c r="M4" s="59" t="str">
        <f aca="false">IFERROR(IF([1]对账明细接口!$M$4=0,"",[1]对账明细接口!$M$4),"")</f>
        <v/>
      </c>
      <c r="N4" s="111" t="n">
        <f aca="false">IF($C4="",0,1)</f>
        <v>1</v>
      </c>
      <c r="O4" s="111" t="n">
        <f aca="false">N(O3)+$N4</f>
        <v>1</v>
      </c>
      <c r="Q4" s="107" t="s">
        <v>219</v>
      </c>
      <c r="R4" s="104" t="n">
        <f aca="false">IF(OR($R$2="断开",$R$2="未更新"),0,1)</f>
        <v>1</v>
      </c>
      <c r="S4" s="10" t="str">
        <f aca="false">IFERROR(IF([1]对账明细接口!$N4=0,"",[1]对账明细接口!$N4),"")</f>
        <v/>
      </c>
      <c r="T4" s="112" t="str">
        <f aca="false">IFERROR(IF([1]对账明细接口!$O4=0,"",[1]对账明细接口!$O4),"")</f>
        <v/>
      </c>
      <c r="U4" s="112" t="str">
        <f aca="false">IFERROR(IF([1]对账明细接口!$P4=0,"",[1]对账明细接口!$P4),"")</f>
        <v/>
      </c>
      <c r="V4" s="112" t="str">
        <f aca="false">IFERROR(IF([1]对账明细接口!$Q4=0,"",[1]对账明细接口!$Q4),"")</f>
        <v/>
      </c>
      <c r="W4" s="10" t="str">
        <f aca="false">IFERROR(IF([1]对账明细接口!$R4=0,"",[1]对账明细接口!$R4),"")</f>
        <v/>
      </c>
      <c r="X4" s="10" t="str">
        <f aca="false">IFERROR(IF([1]对账明细接口!$S4=0,"",[1]对账明细接口!$S4),"")</f>
        <v/>
      </c>
      <c r="Y4" s="10" t="str">
        <f aca="false">""</f>
        <v/>
      </c>
      <c r="Z4" s="10" t="str">
        <f aca="false">""</f>
        <v/>
      </c>
      <c r="AA4" s="10" t="str">
        <f aca="false">""</f>
        <v/>
      </c>
      <c r="AB4" s="10" t="str">
        <f aca="false">""</f>
        <v/>
      </c>
    </row>
    <row r="5" customFormat="false" ht="13.5" hidden="false" customHeight="false" outlineLevel="0" collapsed="false">
      <c r="A5" s="109" t="n">
        <v>5</v>
      </c>
      <c r="B5" s="110" t="n">
        <f aca="false">IFERROR(IF([1]对账明细接口!$B$5=0,"",[1]对账明细接口!$B$5),"")</f>
        <v>46266</v>
      </c>
      <c r="C5" s="59" t="str">
        <f aca="false">IFERROR(IF([1]对账明细接口!$C$5=0,"",[1]对账明细接口!$C$5),"")</f>
        <v>果然鲜</v>
      </c>
      <c r="D5" s="59" t="str">
        <f aca="false">IFERROR(IF([1]对账明细接口!$D$5=0,"",[1]对账明细接口!$D$5),"")</f>
        <v>包装物料－期初库存</v>
      </c>
      <c r="E5" s="59" t="str">
        <f aca="false">IFERROR(IF([1]对账明细接口!$E$5=0,"",[1]对账明细接口!$E$5),"")</f>
        <v/>
      </c>
      <c r="F5" s="59" t="str">
        <f aca="false">IFERROR(IF([1]对账明细接口!$F$5=0,"",[1]对账明细接口!$F$5),"")</f>
        <v>无纺布</v>
      </c>
      <c r="G5" s="59" t="str">
        <f aca="false">IFERROR(IF([1]对账明细接口!$G$5=0,"",[1]对账明细接口!$G$5),"")</f>
        <v>*400</v>
      </c>
      <c r="H5" s="60" t="n">
        <f aca="false">IFERROR(IF([1]对账明细接口!$H$5=0,"",[1]对账明细接口!$H$5),"")</f>
        <v>2400</v>
      </c>
      <c r="I5" s="59" t="str">
        <f aca="false">IFERROR(IF([1]对账明细接口!$I$5=0,"",[1]对账明细接口!$I$5),"")</f>
        <v>个</v>
      </c>
      <c r="J5" s="61" t="str">
        <f aca="false">IFERROR(IF([1]对账明细接口!$J$5=0,"",[1]对账明细接口!$J$5),"")</f>
        <v/>
      </c>
      <c r="K5" s="61" t="str">
        <f aca="false">IFERROR(IF([1]对账明细接口!$K$5=0,"",[1]对账明细接口!$K$5),"")</f>
        <v/>
      </c>
      <c r="L5" s="59" t="str">
        <f aca="false">IFERROR(IF([1]对账明细接口!$L$5=0,"",[1]对账明细接口!$L$5),"")</f>
        <v/>
      </c>
      <c r="M5" s="59" t="str">
        <f aca="false">IFERROR(IF([1]对账明细接口!$M$5=0,"",[1]对账明细接口!$M$5),"")</f>
        <v/>
      </c>
      <c r="N5" s="111" t="n">
        <f aca="false">IF($C5="",0,1)</f>
        <v>1</v>
      </c>
      <c r="O5" s="111" t="n">
        <f aca="false">N(O4)+$N5</f>
        <v>2</v>
      </c>
      <c r="S5" s="10" t="str">
        <f aca="false">IFERROR(IF([1]对账明细接口!$N5=0,"",[1]对账明细接口!$N5),"")</f>
        <v/>
      </c>
      <c r="T5" s="112" t="str">
        <f aca="false">IFERROR(IF([1]对账明细接口!$O5=0,"",[1]对账明细接口!$O5),"")</f>
        <v/>
      </c>
      <c r="U5" s="112" t="str">
        <f aca="false">IFERROR(IF([1]对账明细接口!$P5=0,"",[1]对账明细接口!$P5),"")</f>
        <v/>
      </c>
      <c r="V5" s="112" t="str">
        <f aca="false">IFERROR(IF([1]对账明细接口!$Q5=0,"",[1]对账明细接口!$Q5),"")</f>
        <v/>
      </c>
      <c r="W5" s="10" t="str">
        <f aca="false">IFERROR(IF([1]对账明细接口!$R5=0,"",[1]对账明细接口!$R5),"")</f>
        <v/>
      </c>
      <c r="X5" s="10" t="str">
        <f aca="false">IFERROR(IF([1]对账明细接口!$S5=0,"",[1]对账明细接口!$S5),"")</f>
        <v/>
      </c>
      <c r="Y5" s="10" t="str">
        <f aca="false">""</f>
        <v/>
      </c>
      <c r="Z5" s="10" t="str">
        <f aca="false">""</f>
        <v/>
      </c>
      <c r="AA5" s="10" t="str">
        <f aca="false">""</f>
        <v/>
      </c>
      <c r="AB5" s="10" t="str">
        <f aca="false">""</f>
        <v/>
      </c>
    </row>
    <row r="6" customFormat="false" ht="13.5" hidden="false" customHeight="false" outlineLevel="0" collapsed="false">
      <c r="A6" s="109" t="n">
        <v>6</v>
      </c>
      <c r="B6" s="110" t="n">
        <f aca="false">IFERROR(IF([1]对账明细接口!$B$6=0,"",[1]对账明细接口!$B$6),"")</f>
        <v>46266</v>
      </c>
      <c r="C6" s="59" t="str">
        <f aca="false">IFERROR(IF([1]对账明细接口!$C$6=0,"",[1]对账明细接口!$C$6),"")</f>
        <v>果然鲜</v>
      </c>
      <c r="D6" s="59" t="str">
        <f aca="false">IFERROR(IF([1]对账明细接口!$D$6=0,"",[1]对账明细接口!$D$6),"")</f>
        <v>包装物料－期初库存</v>
      </c>
      <c r="E6" s="59" t="str">
        <f aca="false">IFERROR(IF([1]对账明细接口!$E$6=0,"",[1]对账明细接口!$E$6),"")</f>
        <v/>
      </c>
      <c r="F6" s="59" t="str">
        <f aca="false">IFERROR(IF([1]对账明细接口!$F$6=0,"",[1]对账明细接口!$F$6),"")</f>
        <v>纸垫板</v>
      </c>
      <c r="G6" s="59" t="str">
        <f aca="false">IFERROR(IF([1]对账明细接口!$G$6=0,"",[1]对账明细接口!$G$6),"")</f>
        <v>*100张</v>
      </c>
      <c r="H6" s="60" t="n">
        <f aca="false">IFERROR(IF([1]对账明细接口!$H$6=0,"",[1]对账明细接口!$H$6),"")</f>
        <v>8700</v>
      </c>
      <c r="I6" s="59" t="str">
        <f aca="false">IFERROR(IF([1]对账明细接口!$I$6=0,"",[1]对账明细接口!$I$6),"")</f>
        <v>张</v>
      </c>
      <c r="J6" s="61" t="str">
        <f aca="false">IFERROR(IF([1]对账明细接口!$J$6=0,"",[1]对账明细接口!$J$6),"")</f>
        <v/>
      </c>
      <c r="K6" s="61" t="str">
        <f aca="false">IFERROR(IF([1]对账明细接口!$K$6=0,"",[1]对账明细接口!$K$6),"")</f>
        <v/>
      </c>
      <c r="L6" s="59" t="str">
        <f aca="false">IFERROR(IF([1]对账明细接口!$L$6=0,"",[1]对账明细接口!$L$6),"")</f>
        <v/>
      </c>
      <c r="M6" s="59" t="str">
        <f aca="false">IFERROR(IF([1]对账明细接口!$M$6=0,"",[1]对账明细接口!$M$6),"")</f>
        <v/>
      </c>
      <c r="N6" s="111" t="n">
        <f aca="false">IF($C6="",0,1)</f>
        <v>1</v>
      </c>
      <c r="O6" s="111" t="n">
        <f aca="false">N(O5)+$N6</f>
        <v>3</v>
      </c>
      <c r="Q6" s="114" t="str">
        <f aca="false">IF($R$4=1,"✔ 链接正常，已自动取到 "&amp;$R$1&amp;" 笔业务。","★★ 取不到《02_物料与周转物台账模板.xlsx》的数据。可能是：① 打开本文件时没点【更新】；② 那个文件被改名或挪走了。修复：菜单【数据】→【编辑链接】→先点【立即更新值】；还取不到数就点【更改源】重新指向《02_物料与周转物台账模板.xlsx》。注意：本册只是查询工具，取不到数就是空的，不会算错账，放心。")</f>
        <v>✔ 链接正常，已自动取到 110 笔业务。</v>
      </c>
      <c r="R6" s="114"/>
      <c r="S6" s="10" t="str">
        <f aca="false">IFERROR(IF([1]对账明细接口!$N6=0,"",[1]对账明细接口!$N6),"")</f>
        <v/>
      </c>
      <c r="T6" s="112" t="str">
        <f aca="false">IFERROR(IF([1]对账明细接口!$O6=0,"",[1]对账明细接口!$O6),"")</f>
        <v/>
      </c>
      <c r="U6" s="112" t="str">
        <f aca="false">IFERROR(IF([1]对账明细接口!$P6=0,"",[1]对账明细接口!$P6),"")</f>
        <v/>
      </c>
      <c r="V6" s="112" t="str">
        <f aca="false">IFERROR(IF([1]对账明细接口!$Q6=0,"",[1]对账明细接口!$Q6),"")</f>
        <v/>
      </c>
      <c r="W6" s="10" t="str">
        <f aca="false">IFERROR(IF([1]对账明细接口!$R6=0,"",[1]对账明细接口!$R6),"")</f>
        <v/>
      </c>
      <c r="X6" s="10" t="str">
        <f aca="false">IFERROR(IF([1]对账明细接口!$S6=0,"",[1]对账明细接口!$S6),"")</f>
        <v/>
      </c>
      <c r="Y6" s="10" t="str">
        <f aca="false">""</f>
        <v/>
      </c>
      <c r="Z6" s="10" t="str">
        <f aca="false">""</f>
        <v/>
      </c>
      <c r="AA6" s="10" t="str">
        <f aca="false">""</f>
        <v/>
      </c>
      <c r="AB6" s="10" t="str">
        <f aca="false">""</f>
        <v/>
      </c>
    </row>
    <row r="7" customFormat="false" ht="13.5" hidden="false" customHeight="false" outlineLevel="0" collapsed="false">
      <c r="A7" s="109" t="n">
        <v>7</v>
      </c>
      <c r="B7" s="110" t="n">
        <f aca="false">IFERROR(IF([1]对账明细接口!$B$7=0,"",[1]对账明细接口!$B$7),"")</f>
        <v>46266</v>
      </c>
      <c r="C7" s="59" t="str">
        <f aca="false">IFERROR(IF([1]对账明细接口!$C$7=0,"",[1]对账明细接口!$C$7),"")</f>
        <v>果然鲜</v>
      </c>
      <c r="D7" s="59" t="str">
        <f aca="false">IFERROR(IF([1]对账明细接口!$D$7=0,"",[1]对账明细接口!$D$7),"")</f>
        <v>包装物料－期初库存</v>
      </c>
      <c r="E7" s="59" t="str">
        <f aca="false">IFERROR(IF([1]对账明细接口!$E$7=0,"",[1]对账明细接口!$E$7),"")</f>
        <v/>
      </c>
      <c r="F7" s="59" t="str">
        <f aca="false">IFERROR(IF([1]对账明细接口!$F$7=0,"",[1]对账明细接口!$F$7),"")</f>
        <v>香梨纸</v>
      </c>
      <c r="G7" s="59" t="str">
        <f aca="false">IFERROR(IF([1]对账明细接口!$G$7=0,"",[1]对账明细接口!$G$7),"")</f>
        <v>*捆</v>
      </c>
      <c r="H7" s="60" t="n">
        <f aca="false">IFERROR(IF([1]对账明细接口!$H$7=0,"",[1]对账明细接口!$H$7),"")</f>
        <v>48</v>
      </c>
      <c r="I7" s="59" t="str">
        <f aca="false">IFERROR(IF([1]对账明细接口!$I$7=0,"",[1]对账明细接口!$I$7),"")</f>
        <v>捆</v>
      </c>
      <c r="J7" s="61" t="str">
        <f aca="false">IFERROR(IF([1]对账明细接口!$J$7=0,"",[1]对账明细接口!$J$7),"")</f>
        <v/>
      </c>
      <c r="K7" s="61" t="str">
        <f aca="false">IFERROR(IF([1]对账明细接口!$K$7=0,"",[1]对账明细接口!$K$7),"")</f>
        <v/>
      </c>
      <c r="L7" s="59" t="str">
        <f aca="false">IFERROR(IF([1]对账明细接口!$L$7=0,"",[1]对账明细接口!$L$7),"")</f>
        <v/>
      </c>
      <c r="M7" s="59" t="str">
        <f aca="false">IFERROR(IF([1]对账明细接口!$M$7=0,"",[1]对账明细接口!$M$7),"")</f>
        <v/>
      </c>
      <c r="N7" s="111" t="n">
        <f aca="false">IF($C7="",0,1)</f>
        <v>1</v>
      </c>
      <c r="O7" s="111" t="n">
        <f aca="false">N(O6)+$N7</f>
        <v>4</v>
      </c>
      <c r="Q7" s="114"/>
      <c r="R7" s="114"/>
      <c r="S7" s="10" t="str">
        <f aca="false">IFERROR(IF([1]对账明细接口!$N7=0,"",[1]对账明细接口!$N7),"")</f>
        <v/>
      </c>
      <c r="T7" s="112" t="str">
        <f aca="false">IFERROR(IF([1]对账明细接口!$O7=0,"",[1]对账明细接口!$O7),"")</f>
        <v/>
      </c>
      <c r="U7" s="112" t="str">
        <f aca="false">IFERROR(IF([1]对账明细接口!$P7=0,"",[1]对账明细接口!$P7),"")</f>
        <v/>
      </c>
      <c r="V7" s="112" t="str">
        <f aca="false">IFERROR(IF([1]对账明细接口!$Q7=0,"",[1]对账明细接口!$Q7),"")</f>
        <v/>
      </c>
      <c r="W7" s="10" t="str">
        <f aca="false">IFERROR(IF([1]对账明细接口!$R7=0,"",[1]对账明细接口!$R7),"")</f>
        <v/>
      </c>
      <c r="X7" s="10" t="str">
        <f aca="false">IFERROR(IF([1]对账明细接口!$S7=0,"",[1]对账明细接口!$S7),"")</f>
        <v/>
      </c>
      <c r="Y7" s="10" t="str">
        <f aca="false">""</f>
        <v/>
      </c>
      <c r="Z7" s="10" t="str">
        <f aca="false">""</f>
        <v/>
      </c>
      <c r="AA7" s="10" t="str">
        <f aca="false">""</f>
        <v/>
      </c>
      <c r="AB7" s="10" t="str">
        <f aca="false">""</f>
        <v/>
      </c>
    </row>
    <row r="8" customFormat="false" ht="13.5" hidden="false" customHeight="false" outlineLevel="0" collapsed="false">
      <c r="A8" s="109" t="n">
        <v>8</v>
      </c>
      <c r="B8" s="110" t="n">
        <f aca="false">IFERROR(IF([1]对账明细接口!$B$8=0,"",[1]对账明细接口!$B$8),"")</f>
        <v>46266</v>
      </c>
      <c r="C8" s="59" t="str">
        <f aca="false">IFERROR(IF([1]对账明细接口!$C$8=0,"",[1]对账明细接口!$C$8),"")</f>
        <v>果然鲜</v>
      </c>
      <c r="D8" s="59" t="str">
        <f aca="false">IFERROR(IF([1]对账明细接口!$D$8=0,"",[1]对账明细接口!$D$8),"")</f>
        <v>包装物料－期初库存</v>
      </c>
      <c r="E8" s="59" t="str">
        <f aca="false">IFERROR(IF([1]对账明细接口!$E$8=0,"",[1]对账明细接口!$E$8),"")</f>
        <v/>
      </c>
      <c r="F8" s="59" t="str">
        <f aca="false">IFERROR(IF([1]对账明细接口!$F$8=0,"",[1]对账明细接口!$F$8),"")</f>
        <v>冷煤/氟利昂</v>
      </c>
      <c r="G8" s="59" t="str">
        <f aca="false">IFERROR(IF([1]对账明细接口!$G$8=0,"",[1]对账明细接口!$G$8),"")</f>
        <v>*瓶</v>
      </c>
      <c r="H8" s="60" t="n">
        <f aca="false">IFERROR(IF([1]对账明细接口!$H$8=0,"",[1]对账明细接口!$H$8),"")</f>
        <v>23</v>
      </c>
      <c r="I8" s="59" t="str">
        <f aca="false">IFERROR(IF([1]对账明细接口!$I$8=0,"",[1]对账明细接口!$I$8),"")</f>
        <v>瓶</v>
      </c>
      <c r="J8" s="61" t="str">
        <f aca="false">IFERROR(IF([1]对账明细接口!$J$8=0,"",[1]对账明细接口!$J$8),"")</f>
        <v/>
      </c>
      <c r="K8" s="61" t="str">
        <f aca="false">IFERROR(IF([1]对账明细接口!$K$8=0,"",[1]对账明细接口!$K$8),"")</f>
        <v/>
      </c>
      <c r="L8" s="59" t="str">
        <f aca="false">IFERROR(IF([1]对账明细接口!$L$8=0,"",[1]对账明细接口!$L$8),"")</f>
        <v/>
      </c>
      <c r="M8" s="59" t="str">
        <f aca="false">IFERROR(IF([1]对账明细接口!$M$8=0,"",[1]对账明细接口!$M$8),"")</f>
        <v/>
      </c>
      <c r="N8" s="111" t="n">
        <f aca="false">IF($C8="",0,1)</f>
        <v>1</v>
      </c>
      <c r="O8" s="111" t="n">
        <f aca="false">N(O7)+$N8</f>
        <v>5</v>
      </c>
      <c r="Q8" s="114"/>
      <c r="R8" s="114"/>
      <c r="S8" s="10" t="str">
        <f aca="false">IFERROR(IF([1]对账明细接口!$N8=0,"",[1]对账明细接口!$N8),"")</f>
        <v/>
      </c>
      <c r="T8" s="112" t="str">
        <f aca="false">IFERROR(IF([1]对账明细接口!$O8=0,"",[1]对账明细接口!$O8),"")</f>
        <v/>
      </c>
      <c r="U8" s="112" t="str">
        <f aca="false">IFERROR(IF([1]对账明细接口!$P8=0,"",[1]对账明细接口!$P8),"")</f>
        <v/>
      </c>
      <c r="V8" s="112" t="str">
        <f aca="false">IFERROR(IF([1]对账明细接口!$Q8=0,"",[1]对账明细接口!$Q8),"")</f>
        <v/>
      </c>
      <c r="W8" s="10" t="str">
        <f aca="false">IFERROR(IF([1]对账明细接口!$R8=0,"",[1]对账明细接口!$R8),"")</f>
        <v/>
      </c>
      <c r="X8" s="10" t="str">
        <f aca="false">IFERROR(IF([1]对账明细接口!$S8=0,"",[1]对账明细接口!$S8),"")</f>
        <v/>
      </c>
      <c r="Y8" s="10" t="str">
        <f aca="false">""</f>
        <v/>
      </c>
      <c r="Z8" s="10" t="str">
        <f aca="false">""</f>
        <v/>
      </c>
      <c r="AA8" s="10" t="str">
        <f aca="false">""</f>
        <v/>
      </c>
      <c r="AB8" s="10" t="str">
        <f aca="false">""</f>
        <v/>
      </c>
    </row>
    <row r="9" customFormat="false" ht="13.5" hidden="false" customHeight="false" outlineLevel="0" collapsed="false">
      <c r="A9" s="109" t="n">
        <v>9</v>
      </c>
      <c r="B9" s="110" t="n">
        <f aca="false">IFERROR(IF([1]对账明细接口!$B$9=0,"",[1]对账明细接口!$B$9),"")</f>
        <v>46266</v>
      </c>
      <c r="C9" s="59" t="str">
        <f aca="false">IFERROR(IF([1]对账明细接口!$C$9=0,"",[1]对账明细接口!$C$9),"")</f>
        <v>果然鲜</v>
      </c>
      <c r="D9" s="59" t="str">
        <f aca="false">IFERROR(IF([1]对账明细接口!$D$9=0,"",[1]对账明细接口!$D$9),"")</f>
        <v>包装物料－期初库存</v>
      </c>
      <c r="E9" s="59" t="str">
        <f aca="false">IFERROR(IF([1]对账明细接口!$E$9=0,"",[1]对账明细接口!$E$9),"")</f>
        <v/>
      </c>
      <c r="F9" s="59" t="str">
        <f aca="false">IFERROR(IF([1]对账明细接口!$F$9=0,"",[1]对账明细接口!$F$9),"")</f>
        <v>胶带</v>
      </c>
      <c r="G9" s="59" t="str">
        <f aca="false">IFERROR(IF([1]对账明细接口!$G$9=0,"",[1]对账明细接口!$G$9),"")</f>
        <v>*30卷</v>
      </c>
      <c r="H9" s="60" t="n">
        <f aca="false">IFERROR(IF([1]对账明细接口!$H$9=0,"",[1]对账明细接口!$H$9),"")</f>
        <v>2</v>
      </c>
      <c r="I9" s="59" t="str">
        <f aca="false">IFERROR(IF([1]对账明细接口!$I$9=0,"",[1]对账明细接口!$I$9),"")</f>
        <v>卷</v>
      </c>
      <c r="J9" s="61" t="str">
        <f aca="false">IFERROR(IF([1]对账明细接口!$J$9=0,"",[1]对账明细接口!$J$9),"")</f>
        <v/>
      </c>
      <c r="K9" s="61" t="str">
        <f aca="false">IFERROR(IF([1]对账明细接口!$K$9=0,"",[1]对账明细接口!$K$9),"")</f>
        <v/>
      </c>
      <c r="L9" s="59" t="str">
        <f aca="false">IFERROR(IF([1]对账明细接口!$L$9=0,"",[1]对账明细接口!$L$9),"")</f>
        <v/>
      </c>
      <c r="M9" s="59" t="str">
        <f aca="false">IFERROR(IF([1]对账明细接口!$M$9=0,"",[1]对账明细接口!$M$9),"")</f>
        <v/>
      </c>
      <c r="N9" s="111" t="n">
        <f aca="false">IF($C9="",0,1)</f>
        <v>1</v>
      </c>
      <c r="O9" s="111" t="n">
        <f aca="false">N(O8)+$N9</f>
        <v>6</v>
      </c>
      <c r="Q9" s="114"/>
      <c r="R9" s="114"/>
      <c r="S9" s="10" t="str">
        <f aca="false">IFERROR(IF([1]对账明细接口!$N9=0,"",[1]对账明细接口!$N9),"")</f>
        <v/>
      </c>
      <c r="T9" s="112" t="str">
        <f aca="false">IFERROR(IF([1]对账明细接口!$O9=0,"",[1]对账明细接口!$O9),"")</f>
        <v/>
      </c>
      <c r="U9" s="112" t="str">
        <f aca="false">IFERROR(IF([1]对账明细接口!$P9=0,"",[1]对账明细接口!$P9),"")</f>
        <v/>
      </c>
      <c r="V9" s="112" t="str">
        <f aca="false">IFERROR(IF([1]对账明细接口!$Q9=0,"",[1]对账明细接口!$Q9),"")</f>
        <v/>
      </c>
      <c r="W9" s="10" t="str">
        <f aca="false">IFERROR(IF([1]对账明细接口!$R9=0,"",[1]对账明细接口!$R9),"")</f>
        <v/>
      </c>
      <c r="X9" s="10" t="str">
        <f aca="false">IFERROR(IF([1]对账明细接口!$S9=0,"",[1]对账明细接口!$S9),"")</f>
        <v/>
      </c>
      <c r="Y9" s="10" t="str">
        <f aca="false">""</f>
        <v/>
      </c>
      <c r="Z9" s="10" t="str">
        <f aca="false">""</f>
        <v/>
      </c>
      <c r="AA9" s="10" t="str">
        <f aca="false">""</f>
        <v/>
      </c>
      <c r="AB9" s="10" t="str">
        <f aca="false">""</f>
        <v/>
      </c>
    </row>
    <row r="10" customFormat="false" ht="13.5" hidden="false" customHeight="false" outlineLevel="0" collapsed="false">
      <c r="A10" s="109" t="n">
        <v>10</v>
      </c>
      <c r="B10" s="110" t="n">
        <f aca="false">IFERROR(IF([1]对账明细接口!$B$10=0,"",[1]对账明细接口!$B$10),"")</f>
        <v>46266</v>
      </c>
      <c r="C10" s="59" t="str">
        <f aca="false">IFERROR(IF([1]对账明细接口!$C$10=0,"",[1]对账明细接口!$C$10),"")</f>
        <v>新顺发泡网</v>
      </c>
      <c r="D10" s="59" t="str">
        <f aca="false">IFERROR(IF([1]对账明细接口!$D$10=0,"",[1]对账明细接口!$D$10),"")</f>
        <v>包装物料－采购入库</v>
      </c>
      <c r="E10" s="59" t="str">
        <f aca="false">IFERROR(IF([1]对账明细接口!$E$10=0,"",[1]对账明细接口!$E$10),"")</f>
        <v>NO:0000743</v>
      </c>
      <c r="F10" s="59" t="str">
        <f aca="false">IFERROR(IF([1]对账明细接口!$F$10=0,"",[1]对账明细接口!$F$10),"")</f>
        <v>香梨网</v>
      </c>
      <c r="G10" s="59" t="str">
        <f aca="false">IFERROR(IF([1]对账明细接口!$G$10=0,"",[1]对账明细接口!$G$10),"")</f>
        <v>*包</v>
      </c>
      <c r="H10" s="60" t="n">
        <f aca="false">IFERROR(IF([1]对账明细接口!$H$10=0,"",[1]对账明细接口!$H$10),"")</f>
        <v>644</v>
      </c>
      <c r="I10" s="59" t="str">
        <f aca="false">IFERROR(IF([1]对账明细接口!$I$10=0,"",[1]对账明细接口!$I$10),"")</f>
        <v>包</v>
      </c>
      <c r="J10" s="61" t="str">
        <f aca="false">IFERROR(IF([1]对账明细接口!$J$10=0,"",[1]对账明细接口!$J$10),"")</f>
        <v/>
      </c>
      <c r="K10" s="61" t="n">
        <f aca="false">IFERROR(IF([1]对账明细接口!$K$10=0,"",[1]对账明细接口!$K$10),"")</f>
        <v>23828</v>
      </c>
      <c r="L10" s="59" t="str">
        <f aca="false">IFERROR(IF([1]对账明细接口!$L$10=0,"",[1]对账明细接口!$L$10),"")</f>
        <v>已付款</v>
      </c>
      <c r="M10" s="59" t="str">
        <f aca="false">IFERROR(IF([1]对账明细接口!$M$10=0,"",[1]对账明细接口!$M$10),"")</f>
        <v>12#</v>
      </c>
      <c r="N10" s="111" t="n">
        <f aca="false">IF($C10="",0,1)</f>
        <v>1</v>
      </c>
      <c r="O10" s="111" t="n">
        <f aca="false">N(O9)+$N10</f>
        <v>7</v>
      </c>
      <c r="S10" s="10" t="str">
        <f aca="false">IFERROR(IF([1]对账明细接口!$N10=0,"",[1]对账明细接口!$N10),"")</f>
        <v/>
      </c>
      <c r="T10" s="112" t="str">
        <f aca="false">IFERROR(IF([1]对账明细接口!$O10=0,"",[1]对账明细接口!$O10),"")</f>
        <v/>
      </c>
      <c r="U10" s="112" t="str">
        <f aca="false">IFERROR(IF([1]对账明细接口!$P10=0,"",[1]对账明细接口!$P10),"")</f>
        <v/>
      </c>
      <c r="V10" s="112" t="str">
        <f aca="false">IFERROR(IF([1]对账明细接口!$Q10=0,"",[1]对账明细接口!$Q10),"")</f>
        <v/>
      </c>
      <c r="W10" s="10" t="str">
        <f aca="false">IFERROR(IF([1]对账明细接口!$R10=0,"",[1]对账明细接口!$R10),"")</f>
        <v>新Q*48887</v>
      </c>
      <c r="X10" s="10" t="str">
        <f aca="false">IFERROR(IF([1]对账明细接口!$S10=0,"",[1]对账明细接口!$S10),"")</f>
        <v/>
      </c>
      <c r="Y10" s="10" t="str">
        <f aca="false">""</f>
        <v/>
      </c>
      <c r="Z10" s="10" t="str">
        <f aca="false">""</f>
        <v/>
      </c>
      <c r="AA10" s="10" t="str">
        <f aca="false">""</f>
        <v/>
      </c>
      <c r="AB10" s="10" t="str">
        <f aca="false">""</f>
        <v/>
      </c>
    </row>
    <row r="11" customFormat="false" ht="13.5" hidden="false" customHeight="false" outlineLevel="0" collapsed="false">
      <c r="A11" s="109" t="n">
        <v>11</v>
      </c>
      <c r="B11" s="110" t="n">
        <f aca="false">IFERROR(IF([1]对账明细接口!$B$11=0,"",[1]对账明细接口!$B$11),"")</f>
        <v>46267</v>
      </c>
      <c r="C11" s="59" t="str">
        <f aca="false">IFERROR(IF([1]对账明细接口!$C$11=0,"",[1]对账明细接口!$C$11),"")</f>
        <v>吐尔洪</v>
      </c>
      <c r="D11" s="59" t="str">
        <f aca="false">IFERROR(IF([1]对账明细接口!$D$11=0,"",[1]对账明细接口!$D$11),"")</f>
        <v>包装物料－领用出库</v>
      </c>
      <c r="E11" s="59" t="str">
        <f aca="false">IFERROR(IF([1]对账明细接口!$E$11=0,"",[1]对账明细接口!$E$11),"")</f>
        <v>NO:0001067</v>
      </c>
      <c r="F11" s="59" t="str">
        <f aca="false">IFERROR(IF([1]对账明细接口!$F$11=0,"",[1]对账明细接口!$F$11),"")</f>
        <v>香梨网</v>
      </c>
      <c r="G11" s="59" t="str">
        <f aca="false">IFERROR(IF([1]对账明细接口!$G$11=0,"",[1]对账明细接口!$G$11),"")</f>
        <v>*包</v>
      </c>
      <c r="H11" s="60" t="n">
        <f aca="false">IFERROR(IF([1]对账明细接口!$H$11=0,"",[1]对账明细接口!$H$11),"")</f>
        <v>24</v>
      </c>
      <c r="I11" s="59" t="str">
        <f aca="false">IFERROR(IF([1]对账明细接口!$I$11=0,"",[1]对账明细接口!$I$11),"")</f>
        <v>包</v>
      </c>
      <c r="J11" s="61" t="str">
        <f aca="false">IFERROR(IF([1]对账明细接口!$J$11=0,"",[1]对账明细接口!$J$11),"")</f>
        <v/>
      </c>
      <c r="K11" s="61" t="n">
        <f aca="false">IFERROR(IF([1]对账明细接口!$K$11=0,"",[1]对账明细接口!$K$11),"")</f>
        <v>1080</v>
      </c>
      <c r="L11" s="59" t="str">
        <f aca="false">IFERROR(IF([1]对账明细接口!$L$11=0,"",[1]对账明细接口!$L$11),"")</f>
        <v>未付款</v>
      </c>
      <c r="M11" s="59" t="str">
        <f aca="false">IFERROR(IF([1]对账明细接口!$M$11=0,"",[1]对账明细接口!$M$11),"")</f>
        <v/>
      </c>
      <c r="N11" s="111" t="n">
        <f aca="false">IF($C11="",0,1)</f>
        <v>1</v>
      </c>
      <c r="O11" s="111" t="n">
        <f aca="false">N(O10)+$N11</f>
        <v>8</v>
      </c>
      <c r="S11" s="10" t="str">
        <f aca="false">IFERROR(IF([1]对账明细接口!$N11=0,"",[1]对账明细接口!$N11),"")</f>
        <v/>
      </c>
      <c r="T11" s="112" t="str">
        <f aca="false">IFERROR(IF([1]对账明细接口!$O11=0,"",[1]对账明细接口!$O11),"")</f>
        <v/>
      </c>
      <c r="U11" s="112" t="str">
        <f aca="false">IFERROR(IF([1]对账明细接口!$P11=0,"",[1]对账明细接口!$P11),"")</f>
        <v/>
      </c>
      <c r="V11" s="112" t="str">
        <f aca="false">IFERROR(IF([1]对账明细接口!$Q11=0,"",[1]对账明细接口!$Q11),"")</f>
        <v/>
      </c>
      <c r="W11" s="10" t="str">
        <f aca="false">IFERROR(IF([1]对账明细接口!$R11=0,"",[1]对账明细接口!$R11),"")</f>
        <v>新N*X8S48</v>
      </c>
      <c r="X11" s="10" t="str">
        <f aca="false">IFERROR(IF([1]对账明细接口!$S11=0,"",[1]对账明细接口!$S11),"")</f>
        <v/>
      </c>
      <c r="Y11" s="10" t="str">
        <f aca="false">""</f>
        <v/>
      </c>
      <c r="Z11" s="10" t="str">
        <f aca="false">""</f>
        <v/>
      </c>
      <c r="AA11" s="10" t="str">
        <f aca="false">""</f>
        <v/>
      </c>
      <c r="AB11" s="10" t="str">
        <f aca="false">""</f>
        <v/>
      </c>
    </row>
    <row r="12" customFormat="false" ht="13.5" hidden="false" customHeight="false" outlineLevel="0" collapsed="false">
      <c r="A12" s="109" t="n">
        <v>12</v>
      </c>
      <c r="B12" s="110" t="n">
        <f aca="false">IFERROR(IF([1]对账明细接口!$B$12=0,"",[1]对账明细接口!$B$12),"")</f>
        <v>46268</v>
      </c>
      <c r="C12" s="59" t="str">
        <f aca="false">IFERROR(IF([1]对账明细接口!$C$12=0,"",[1]对账明细接口!$C$12),"")</f>
        <v>热合曼</v>
      </c>
      <c r="D12" s="59" t="str">
        <f aca="false">IFERROR(IF([1]对账明细接口!$D$12=0,"",[1]对账明细接口!$D$12),"")</f>
        <v>包装物料－领用出库</v>
      </c>
      <c r="E12" s="59" t="str">
        <f aca="false">IFERROR(IF([1]对账明细接口!$E$12=0,"",[1]对账明细接口!$E$12),"")</f>
        <v>NO:0001069</v>
      </c>
      <c r="F12" s="59" t="str">
        <f aca="false">IFERROR(IF([1]对账明细接口!$F$12=0,"",[1]对账明细接口!$F$12),"")</f>
        <v>香梨网</v>
      </c>
      <c r="G12" s="59" t="str">
        <f aca="false">IFERROR(IF([1]对账明细接口!$G$12=0,"",[1]对账明细接口!$G$12),"")</f>
        <v>*包</v>
      </c>
      <c r="H12" s="60" t="n">
        <f aca="false">IFERROR(IF([1]对账明细接口!$H$12=0,"",[1]对账明细接口!$H$12),"")</f>
        <v>44</v>
      </c>
      <c r="I12" s="59" t="str">
        <f aca="false">IFERROR(IF([1]对账明细接口!$I$12=0,"",[1]对账明细接口!$I$12),"")</f>
        <v>包</v>
      </c>
      <c r="J12" s="61" t="str">
        <f aca="false">IFERROR(IF([1]对账明细接口!$J$12=0,"",[1]对账明细接口!$J$12),"")</f>
        <v/>
      </c>
      <c r="K12" s="61" t="n">
        <f aca="false">IFERROR(IF([1]对账明细接口!$K$12=0,"",[1]对账明细接口!$K$12),"")</f>
        <v>1980</v>
      </c>
      <c r="L12" s="59" t="str">
        <f aca="false">IFERROR(IF([1]对账明细接口!$L$12=0,"",[1]对账明细接口!$L$12),"")</f>
        <v>未付款</v>
      </c>
      <c r="M12" s="59" t="str">
        <f aca="false">IFERROR(IF([1]对账明细接口!$M$12=0,"",[1]对账明细接口!$M$12),"")</f>
        <v/>
      </c>
      <c r="N12" s="111" t="n">
        <f aca="false">IF($C12="",0,1)</f>
        <v>1</v>
      </c>
      <c r="O12" s="111" t="n">
        <f aca="false">N(O11)+$N12</f>
        <v>9</v>
      </c>
      <c r="S12" s="10" t="str">
        <f aca="false">IFERROR(IF([1]对账明细接口!$N12=0,"",[1]对账明细接口!$N12),"")</f>
        <v/>
      </c>
      <c r="T12" s="112" t="str">
        <f aca="false">IFERROR(IF([1]对账明细接口!$O12=0,"",[1]对账明细接口!$O12),"")</f>
        <v/>
      </c>
      <c r="U12" s="112" t="str">
        <f aca="false">IFERROR(IF([1]对账明细接口!$P12=0,"",[1]对账明细接口!$P12),"")</f>
        <v/>
      </c>
      <c r="V12" s="112" t="str">
        <f aca="false">IFERROR(IF([1]对账明细接口!$Q12=0,"",[1]对账明细接口!$Q12),"")</f>
        <v/>
      </c>
      <c r="W12" s="10" t="str">
        <f aca="false">IFERROR(IF([1]对账明细接口!$R12=0,"",[1]对账明细接口!$R12),"")</f>
        <v>新A*G0544</v>
      </c>
      <c r="X12" s="10" t="str">
        <f aca="false">IFERROR(IF([1]对账明细接口!$S12=0,"",[1]对账明细接口!$S12),"")</f>
        <v/>
      </c>
      <c r="Y12" s="10" t="str">
        <f aca="false">""</f>
        <v/>
      </c>
      <c r="Z12" s="10" t="str">
        <f aca="false">""</f>
        <v/>
      </c>
      <c r="AA12" s="10" t="str">
        <f aca="false">""</f>
        <v/>
      </c>
      <c r="AB12" s="10" t="str">
        <f aca="false">""</f>
        <v/>
      </c>
    </row>
    <row r="13" customFormat="false" ht="13.5" hidden="false" customHeight="false" outlineLevel="0" collapsed="false">
      <c r="A13" s="109" t="n">
        <v>13</v>
      </c>
      <c r="B13" s="110" t="n">
        <f aca="false">IFERROR(IF([1]对账明细接口!$B$13=0,"",[1]对账明细接口!$B$13),"")</f>
        <v>46268</v>
      </c>
      <c r="C13" s="59" t="str">
        <f aca="false">IFERROR(IF([1]对账明细接口!$C$13=0,"",[1]对账明细接口!$C$13),"")</f>
        <v>麦麦提</v>
      </c>
      <c r="D13" s="59" t="str">
        <f aca="false">IFERROR(IF([1]对账明细接口!$D$13=0,"",[1]对账明细接口!$D$13),"")</f>
        <v>包装物料－领用出库</v>
      </c>
      <c r="E13" s="59" t="str">
        <f aca="false">IFERROR(IF([1]对账明细接口!$E$13=0,"",[1]对账明细接口!$E$13),"")</f>
        <v>NO:0001070</v>
      </c>
      <c r="F13" s="59" t="str">
        <f aca="false">IFERROR(IF([1]对账明细接口!$F$13=0,"",[1]对账明细接口!$F$13),"")</f>
        <v>香梨纸</v>
      </c>
      <c r="G13" s="59" t="str">
        <f aca="false">IFERROR(IF([1]对账明细接口!$G$13=0,"",[1]对账明细接口!$G$13),"")</f>
        <v>*捆</v>
      </c>
      <c r="H13" s="60" t="n">
        <f aca="false">IFERROR(IF([1]对账明细接口!$H$13=0,"",[1]对账明细接口!$H$13),"")</f>
        <v>2</v>
      </c>
      <c r="I13" s="59" t="str">
        <f aca="false">IFERROR(IF([1]对账明细接口!$I$13=0,"",[1]对账明细接口!$I$13),"")</f>
        <v>捆</v>
      </c>
      <c r="J13" s="61" t="str">
        <f aca="false">IFERROR(IF([1]对账明细接口!$J$13=0,"",[1]对账明细接口!$J$13),"")</f>
        <v/>
      </c>
      <c r="K13" s="61" t="n">
        <f aca="false">IFERROR(IF([1]对账明细接口!$K$13=0,"",[1]对账明细接口!$K$13),"")</f>
        <v>96</v>
      </c>
      <c r="L13" s="59" t="str">
        <f aca="false">IFERROR(IF([1]对账明细接口!$L$13=0,"",[1]对账明细接口!$L$13),"")</f>
        <v>已收讫</v>
      </c>
      <c r="M13" s="59" t="str">
        <f aca="false">IFERROR(IF([1]对账明细接口!$M$13=0,"",[1]对账明细接口!$M$13),"")</f>
        <v/>
      </c>
      <c r="N13" s="111" t="n">
        <f aca="false">IF($C13="",0,1)</f>
        <v>1</v>
      </c>
      <c r="O13" s="111" t="n">
        <f aca="false">N(O12)+$N13</f>
        <v>10</v>
      </c>
      <c r="S13" s="10" t="str">
        <f aca="false">IFERROR(IF([1]对账明细接口!$N13=0,"",[1]对账明细接口!$N13),"")</f>
        <v/>
      </c>
      <c r="T13" s="112" t="str">
        <f aca="false">IFERROR(IF([1]对账明细接口!$O13=0,"",[1]对账明细接口!$O13),"")</f>
        <v/>
      </c>
      <c r="U13" s="112" t="str">
        <f aca="false">IFERROR(IF([1]对账明细接口!$P13=0,"",[1]对账明细接口!$P13),"")</f>
        <v/>
      </c>
      <c r="V13" s="112" t="str">
        <f aca="false">IFERROR(IF([1]对账明细接口!$Q13=0,"",[1]对账明细接口!$Q13),"")</f>
        <v/>
      </c>
      <c r="W13" s="10" t="str">
        <f aca="false">IFERROR(IF([1]对账明细接口!$R13=0,"",[1]对账明细接口!$R13),"")</f>
        <v>自提</v>
      </c>
      <c r="X13" s="10" t="str">
        <f aca="false">IFERROR(IF([1]对账明细接口!$S13=0,"",[1]对账明细接口!$S13),"")</f>
        <v/>
      </c>
      <c r="Y13" s="10" t="str">
        <f aca="false">""</f>
        <v/>
      </c>
      <c r="Z13" s="10" t="str">
        <f aca="false">""</f>
        <v/>
      </c>
      <c r="AA13" s="10" t="str">
        <f aca="false">""</f>
        <v/>
      </c>
      <c r="AB13" s="10" t="str">
        <f aca="false">""</f>
        <v/>
      </c>
    </row>
    <row r="14" customFormat="false" ht="13.5" hidden="false" customHeight="false" outlineLevel="0" collapsed="false">
      <c r="A14" s="109" t="n">
        <v>14</v>
      </c>
      <c r="B14" s="110" t="n">
        <f aca="false">IFERROR(IF([1]对账明细接口!$B$14=0,"",[1]对账明细接口!$B$14),"")</f>
        <v>46268</v>
      </c>
      <c r="C14" s="59" t="str">
        <f aca="false">IFERROR(IF([1]对账明细接口!$C$14=0,"",[1]对账明细接口!$C$14),"")</f>
        <v>热合曼</v>
      </c>
      <c r="D14" s="59" t="str">
        <f aca="false">IFERROR(IF([1]对账明细接口!$D$14=0,"",[1]对账明细接口!$D$14),"")</f>
        <v>包装物料－领用出库</v>
      </c>
      <c r="E14" s="59" t="str">
        <f aca="false">IFERROR(IF([1]对账明细接口!$E$14=0,"",[1]对账明细接口!$E$14),"")</f>
        <v>NO:0001071</v>
      </c>
      <c r="F14" s="59" t="str">
        <f aca="false">IFERROR(IF([1]对账明细接口!$F$14=0,"",[1]对账明细接口!$F$14),"")</f>
        <v>香梨纸</v>
      </c>
      <c r="G14" s="59" t="str">
        <f aca="false">IFERROR(IF([1]对账明细接口!$G$14=0,"",[1]对账明细接口!$G$14),"")</f>
        <v>*捆</v>
      </c>
      <c r="H14" s="60" t="n">
        <f aca="false">IFERROR(IF([1]对账明细接口!$H$14=0,"",[1]对账明细接口!$H$14),"")</f>
        <v>2</v>
      </c>
      <c r="I14" s="59" t="str">
        <f aca="false">IFERROR(IF([1]对账明细接口!$I$14=0,"",[1]对账明细接口!$I$14),"")</f>
        <v>捆</v>
      </c>
      <c r="J14" s="61" t="str">
        <f aca="false">IFERROR(IF([1]对账明细接口!$J$14=0,"",[1]对账明细接口!$J$14),"")</f>
        <v/>
      </c>
      <c r="K14" s="61" t="n">
        <f aca="false">IFERROR(IF([1]对账明细接口!$K$14=0,"",[1]对账明细接口!$K$14),"")</f>
        <v>96</v>
      </c>
      <c r="L14" s="59" t="str">
        <f aca="false">IFERROR(IF([1]对账明细接口!$L$14=0,"",[1]对账明细接口!$L$14),"")</f>
        <v>已收讫</v>
      </c>
      <c r="M14" s="59" t="str">
        <f aca="false">IFERROR(IF([1]对账明细接口!$M$14=0,"",[1]对账明细接口!$M$14),"")</f>
        <v/>
      </c>
      <c r="N14" s="111" t="n">
        <f aca="false">IF($C14="",0,1)</f>
        <v>1</v>
      </c>
      <c r="O14" s="111" t="n">
        <f aca="false">N(O13)+$N14</f>
        <v>11</v>
      </c>
      <c r="S14" s="10" t="str">
        <f aca="false">IFERROR(IF([1]对账明细接口!$N14=0,"",[1]对账明细接口!$N14),"")</f>
        <v/>
      </c>
      <c r="T14" s="112" t="str">
        <f aca="false">IFERROR(IF([1]对账明细接口!$O14=0,"",[1]对账明细接口!$O14),"")</f>
        <v/>
      </c>
      <c r="U14" s="112" t="str">
        <f aca="false">IFERROR(IF([1]对账明细接口!$P14=0,"",[1]对账明细接口!$P14),"")</f>
        <v/>
      </c>
      <c r="V14" s="112" t="str">
        <f aca="false">IFERROR(IF([1]对账明细接口!$Q14=0,"",[1]对账明细接口!$Q14),"")</f>
        <v/>
      </c>
      <c r="W14" s="10" t="str">
        <f aca="false">IFERROR(IF([1]对账明细接口!$R14=0,"",[1]对账明细接口!$R14),"")</f>
        <v>自提</v>
      </c>
      <c r="X14" s="10" t="str">
        <f aca="false">IFERROR(IF([1]对账明细接口!$S14=0,"",[1]对账明细接口!$S14),"")</f>
        <v/>
      </c>
      <c r="Y14" s="10" t="str">
        <f aca="false">""</f>
        <v/>
      </c>
      <c r="Z14" s="10" t="str">
        <f aca="false">""</f>
        <v/>
      </c>
      <c r="AA14" s="10" t="str">
        <f aca="false">""</f>
        <v/>
      </c>
      <c r="AB14" s="10" t="str">
        <f aca="false">""</f>
        <v/>
      </c>
    </row>
    <row r="15" customFormat="false" ht="13.5" hidden="false" customHeight="false" outlineLevel="0" collapsed="false">
      <c r="A15" s="109" t="n">
        <v>15</v>
      </c>
      <c r="B15" s="110" t="n">
        <f aca="false">IFERROR(IF([1]对账明细接口!$B$15=0,"",[1]对账明细接口!$B$15),"")</f>
        <v>46268</v>
      </c>
      <c r="C15" s="59" t="str">
        <f aca="false">IFERROR(IF([1]对账明细接口!$C$15=0,"",[1]对账明细接口!$C$15),"")</f>
        <v>麦麦提</v>
      </c>
      <c r="D15" s="59" t="str">
        <f aca="false">IFERROR(IF([1]对账明细接口!$D$15=0,"",[1]对账明细接口!$D$15),"")</f>
        <v>包装物料－领用出库</v>
      </c>
      <c r="E15" s="59" t="str">
        <f aca="false">IFERROR(IF([1]对账明细接口!$E$15=0,"",[1]对账明细接口!$E$15),"")</f>
        <v>NO:0001074</v>
      </c>
      <c r="F15" s="59" t="str">
        <f aca="false">IFERROR(IF([1]对账明细接口!$F$15=0,"",[1]对账明细接口!$F$15),"")</f>
        <v>香梨网</v>
      </c>
      <c r="G15" s="59" t="str">
        <f aca="false">IFERROR(IF([1]对账明细接口!$G$15=0,"",[1]对账明细接口!$G$15),"")</f>
        <v>*包</v>
      </c>
      <c r="H15" s="60" t="n">
        <f aca="false">IFERROR(IF([1]对账明细接口!$H$15=0,"",[1]对账明细接口!$H$15),"")</f>
        <v>44</v>
      </c>
      <c r="I15" s="59" t="str">
        <f aca="false">IFERROR(IF([1]对账明细接口!$I$15=0,"",[1]对账明细接口!$I$15),"")</f>
        <v>包</v>
      </c>
      <c r="J15" s="61" t="str">
        <f aca="false">IFERROR(IF([1]对账明细接口!$J$15=0,"",[1]对账明细接口!$J$15),"")</f>
        <v/>
      </c>
      <c r="K15" s="61" t="n">
        <f aca="false">IFERROR(IF([1]对账明细接口!$K$15=0,"",[1]对账明细接口!$K$15),"")</f>
        <v>1980</v>
      </c>
      <c r="L15" s="59" t="str">
        <f aca="false">IFERROR(IF([1]对账明细接口!$L$15=0,"",[1]对账明细接口!$L$15),"")</f>
        <v>未付款</v>
      </c>
      <c r="M15" s="59" t="str">
        <f aca="false">IFERROR(IF([1]对账明细接口!$M$15=0,"",[1]对账明细接口!$M$15),"")</f>
        <v/>
      </c>
      <c r="N15" s="111" t="n">
        <f aca="false">IF($C15="",0,1)</f>
        <v>1</v>
      </c>
      <c r="O15" s="111" t="n">
        <f aca="false">N(O14)+$N15</f>
        <v>12</v>
      </c>
      <c r="S15" s="10" t="str">
        <f aca="false">IFERROR(IF([1]对账明细接口!$N15=0,"",[1]对账明细接口!$N15),"")</f>
        <v/>
      </c>
      <c r="T15" s="112" t="str">
        <f aca="false">IFERROR(IF([1]对账明细接口!$O15=0,"",[1]对账明细接口!$O15),"")</f>
        <v/>
      </c>
      <c r="U15" s="112" t="str">
        <f aca="false">IFERROR(IF([1]对账明细接口!$P15=0,"",[1]对账明细接口!$P15),"")</f>
        <v/>
      </c>
      <c r="V15" s="112" t="str">
        <f aca="false">IFERROR(IF([1]对账明细接口!$Q15=0,"",[1]对账明细接口!$Q15),"")</f>
        <v/>
      </c>
      <c r="W15" s="10" t="str">
        <f aca="false">IFERROR(IF([1]对账明细接口!$R15=0,"",[1]对账明细接口!$R15),"")</f>
        <v>新A*G0544</v>
      </c>
      <c r="X15" s="10" t="str">
        <f aca="false">IFERROR(IF([1]对账明细接口!$S15=0,"",[1]对账明细接口!$S15),"")</f>
        <v/>
      </c>
      <c r="Y15" s="10" t="str">
        <f aca="false">""</f>
        <v/>
      </c>
      <c r="Z15" s="10" t="str">
        <f aca="false">""</f>
        <v/>
      </c>
      <c r="AA15" s="10" t="str">
        <f aca="false">""</f>
        <v/>
      </c>
      <c r="AB15" s="10" t="str">
        <f aca="false">""</f>
        <v/>
      </c>
    </row>
    <row r="16" customFormat="false" ht="13.5" hidden="false" customHeight="false" outlineLevel="0" collapsed="false">
      <c r="A16" s="109" t="n">
        <v>16</v>
      </c>
      <c r="B16" s="110" t="n">
        <f aca="false">IFERROR(IF([1]对账明细接口!$B$16=0,"",[1]对账明细接口!$B$16),"")</f>
        <v>46269</v>
      </c>
      <c r="C16" s="59" t="str">
        <f aca="false">IFERROR(IF([1]对账明细接口!$C$16=0,"",[1]对账明细接口!$C$16),"")</f>
        <v>荆建君</v>
      </c>
      <c r="D16" s="59" t="str">
        <f aca="false">IFERROR(IF([1]对账明细接口!$D$16=0,"",[1]对账明细接口!$D$16),"")</f>
        <v>包装物料－领用出库</v>
      </c>
      <c r="E16" s="59" t="str">
        <f aca="false">IFERROR(IF([1]对账明细接口!$E$16=0,"",[1]对账明细接口!$E$16),"")</f>
        <v>NO:0001079</v>
      </c>
      <c r="F16" s="59" t="str">
        <f aca="false">IFERROR(IF([1]对账明细接口!$F$16=0,"",[1]对账明细接口!$F$16),"")</f>
        <v>香梨网</v>
      </c>
      <c r="G16" s="59" t="str">
        <f aca="false">IFERROR(IF([1]对账明细接口!$G$16=0,"",[1]对账明细接口!$G$16),"")</f>
        <v>*包</v>
      </c>
      <c r="H16" s="60" t="n">
        <f aca="false">IFERROR(IF([1]对账明细接口!$H$16=0,"",[1]对账明细接口!$H$16),"")</f>
        <v>64</v>
      </c>
      <c r="I16" s="59" t="str">
        <f aca="false">IFERROR(IF([1]对账明细接口!$I$16=0,"",[1]对账明细接口!$I$16),"")</f>
        <v>包</v>
      </c>
      <c r="J16" s="61" t="str">
        <f aca="false">IFERROR(IF([1]对账明细接口!$J$16=0,"",[1]对账明细接口!$J$16),"")</f>
        <v/>
      </c>
      <c r="K16" s="61" t="n">
        <f aca="false">IFERROR(IF([1]对账明细接口!$K$16=0,"",[1]对账明细接口!$K$16),"")</f>
        <v>2880</v>
      </c>
      <c r="L16" s="59" t="str">
        <f aca="false">IFERROR(IF([1]对账明细接口!$L$16=0,"",[1]对账明细接口!$L$16),"")</f>
        <v>未付款</v>
      </c>
      <c r="M16" s="59" t="str">
        <f aca="false">IFERROR(IF([1]对账明细接口!$M$16=0,"",[1]对账明细接口!$M$16),"")</f>
        <v/>
      </c>
      <c r="N16" s="111" t="n">
        <f aca="false">IF($C16="",0,1)</f>
        <v>1</v>
      </c>
      <c r="O16" s="111" t="n">
        <f aca="false">N(O15)+$N16</f>
        <v>13</v>
      </c>
      <c r="S16" s="10" t="str">
        <f aca="false">IFERROR(IF([1]对账明细接口!$N16=0,"",[1]对账明细接口!$N16),"")</f>
        <v/>
      </c>
      <c r="T16" s="112" t="str">
        <f aca="false">IFERROR(IF([1]对账明细接口!$O16=0,"",[1]对账明细接口!$O16),"")</f>
        <v/>
      </c>
      <c r="U16" s="112" t="str">
        <f aca="false">IFERROR(IF([1]对账明细接口!$P16=0,"",[1]对账明细接口!$P16),"")</f>
        <v/>
      </c>
      <c r="V16" s="112" t="str">
        <f aca="false">IFERROR(IF([1]对账明细接口!$Q16=0,"",[1]对账明细接口!$Q16),"")</f>
        <v/>
      </c>
      <c r="W16" s="10" t="str">
        <f aca="false">IFERROR(IF([1]对账明细接口!$R16=0,"",[1]对账明细接口!$R16),"")</f>
        <v>豫A*2737K</v>
      </c>
      <c r="X16" s="10" t="str">
        <f aca="false">IFERROR(IF([1]对账明细接口!$S16=0,"",[1]对账明细接口!$S16),"")</f>
        <v/>
      </c>
      <c r="Y16" s="10" t="str">
        <f aca="false">""</f>
        <v/>
      </c>
      <c r="Z16" s="10" t="str">
        <f aca="false">""</f>
        <v/>
      </c>
      <c r="AA16" s="10" t="str">
        <f aca="false">""</f>
        <v/>
      </c>
      <c r="AB16" s="10" t="str">
        <f aca="false">""</f>
        <v/>
      </c>
    </row>
    <row r="17" customFormat="false" ht="13.5" hidden="false" customHeight="false" outlineLevel="0" collapsed="false">
      <c r="A17" s="109" t="n">
        <v>17</v>
      </c>
      <c r="B17" s="110" t="n">
        <f aca="false">IFERROR(IF([1]对账明细接口!$B$17=0,"",[1]对账明细接口!$B$17),"")</f>
        <v>46269</v>
      </c>
      <c r="C17" s="59" t="str">
        <f aca="false">IFERROR(IF([1]对账明细接口!$C$17=0,"",[1]对账明细接口!$C$17),"")</f>
        <v>努尔敦</v>
      </c>
      <c r="D17" s="59" t="str">
        <f aca="false">IFERROR(IF([1]对账明细接口!$D$17=0,"",[1]对账明细接口!$D$17),"")</f>
        <v>包装物料－领用出库</v>
      </c>
      <c r="E17" s="59" t="str">
        <f aca="false">IFERROR(IF([1]对账明细接口!$E$17=0,"",[1]对账明细接口!$E$17),"")</f>
        <v>NO:0001080</v>
      </c>
      <c r="F17" s="59" t="str">
        <f aca="false">IFERROR(IF([1]对账明细接口!$F$17=0,"",[1]对账明细接口!$F$17),"")</f>
        <v>香梨网</v>
      </c>
      <c r="G17" s="59" t="str">
        <f aca="false">IFERROR(IF([1]对账明细接口!$G$17=0,"",[1]对账明细接口!$G$17),"")</f>
        <v>*包</v>
      </c>
      <c r="H17" s="60" t="n">
        <f aca="false">IFERROR(IF([1]对账明细接口!$H$17=0,"",[1]对账明细接口!$H$17),"")</f>
        <v>120</v>
      </c>
      <c r="I17" s="59" t="str">
        <f aca="false">IFERROR(IF([1]对账明细接口!$I$17=0,"",[1]对账明细接口!$I$17),"")</f>
        <v>包</v>
      </c>
      <c r="J17" s="61" t="str">
        <f aca="false">IFERROR(IF([1]对账明细接口!$J$17=0,"",[1]对账明细接口!$J$17),"")</f>
        <v/>
      </c>
      <c r="K17" s="61" t="n">
        <f aca="false">IFERROR(IF([1]对账明细接口!$K$17=0,"",[1]对账明细接口!$K$17),"")</f>
        <v>5400</v>
      </c>
      <c r="L17" s="59" t="str">
        <f aca="false">IFERROR(IF([1]对账明细接口!$L$17=0,"",[1]对账明细接口!$L$17),"")</f>
        <v>未付款</v>
      </c>
      <c r="M17" s="59" t="str">
        <f aca="false">IFERROR(IF([1]对账明细接口!$M$17=0,"",[1]对账明细接口!$M$17),"")</f>
        <v/>
      </c>
      <c r="N17" s="111" t="n">
        <f aca="false">IF($C17="",0,1)</f>
        <v>1</v>
      </c>
      <c r="O17" s="111" t="n">
        <f aca="false">N(O16)+$N17</f>
        <v>14</v>
      </c>
      <c r="S17" s="10" t="str">
        <f aca="false">IFERROR(IF([1]对账明细接口!$N17=0,"",[1]对账明细接口!$N17),"")</f>
        <v/>
      </c>
      <c r="T17" s="112" t="str">
        <f aca="false">IFERROR(IF([1]对账明细接口!$O17=0,"",[1]对账明细接口!$O17),"")</f>
        <v/>
      </c>
      <c r="U17" s="112" t="str">
        <f aca="false">IFERROR(IF([1]对账明细接口!$P17=0,"",[1]对账明细接口!$P17),"")</f>
        <v/>
      </c>
      <c r="V17" s="112" t="str">
        <f aca="false">IFERROR(IF([1]对账明细接口!$Q17=0,"",[1]对账明细接口!$Q17),"")</f>
        <v/>
      </c>
      <c r="W17" s="10" t="str">
        <f aca="false">IFERROR(IF([1]对账明细接口!$R17=0,"",[1]对账明细接口!$R17),"")</f>
        <v>新F*75240</v>
      </c>
      <c r="X17" s="10" t="str">
        <f aca="false">IFERROR(IF([1]对账明细接口!$S17=0,"",[1]对账明细接口!$S17),"")</f>
        <v/>
      </c>
      <c r="Y17" s="10" t="str">
        <f aca="false">""</f>
        <v/>
      </c>
      <c r="Z17" s="10" t="str">
        <f aca="false">""</f>
        <v/>
      </c>
      <c r="AA17" s="10" t="str">
        <f aca="false">""</f>
        <v/>
      </c>
      <c r="AB17" s="10" t="str">
        <f aca="false">""</f>
        <v/>
      </c>
    </row>
    <row r="18" customFormat="false" ht="13.5" hidden="false" customHeight="false" outlineLevel="0" collapsed="false">
      <c r="A18" s="109" t="n">
        <v>18</v>
      </c>
      <c r="B18" s="110" t="n">
        <f aca="false">IFERROR(IF([1]对账明细接口!$B$18=0,"",[1]对账明细接口!$B$18),"")</f>
        <v>46270</v>
      </c>
      <c r="C18" s="59" t="str">
        <f aca="false">IFERROR(IF([1]对账明细接口!$C$18=0,"",[1]对账明细接口!$C$18),"")</f>
        <v>热合曼</v>
      </c>
      <c r="D18" s="59" t="str">
        <f aca="false">IFERROR(IF([1]对账明细接口!$D$18=0,"",[1]对账明细接口!$D$18),"")</f>
        <v>包装物料－领用出库</v>
      </c>
      <c r="E18" s="59" t="str">
        <f aca="false">IFERROR(IF([1]对账明细接口!$E$18=0,"",[1]对账明细接口!$E$18),"")</f>
        <v>NO:0001084</v>
      </c>
      <c r="F18" s="59" t="str">
        <f aca="false">IFERROR(IF([1]对账明细接口!$F$18=0,"",[1]对账明细接口!$F$18),"")</f>
        <v>香梨纸</v>
      </c>
      <c r="G18" s="59" t="str">
        <f aca="false">IFERROR(IF([1]对账明细接口!$G$18=0,"",[1]对账明细接口!$G$18),"")</f>
        <v>*捆</v>
      </c>
      <c r="H18" s="60" t="n">
        <f aca="false">IFERROR(IF([1]对账明细接口!$H$18=0,"",[1]对账明细接口!$H$18),"")</f>
        <v>10</v>
      </c>
      <c r="I18" s="59" t="str">
        <f aca="false">IFERROR(IF([1]对账明细接口!$I$18=0,"",[1]对账明细接口!$I$18),"")</f>
        <v>捆</v>
      </c>
      <c r="J18" s="61" t="str">
        <f aca="false">IFERROR(IF([1]对账明细接口!$J$18=0,"",[1]对账明细接口!$J$18),"")</f>
        <v/>
      </c>
      <c r="K18" s="61" t="n">
        <f aca="false">IFERROR(IF([1]对账明细接口!$K$18=0,"",[1]对账明细接口!$K$18),"")</f>
        <v>560</v>
      </c>
      <c r="L18" s="59" t="str">
        <f aca="false">IFERROR(IF([1]对账明细接口!$L$18=0,"",[1]对账明细接口!$L$18),"")</f>
        <v>未付款</v>
      </c>
      <c r="M18" s="59" t="str">
        <f aca="false">IFERROR(IF([1]对账明细接口!$M$18=0,"",[1]对账明细接口!$M$18),"")</f>
        <v/>
      </c>
      <c r="N18" s="111" t="n">
        <f aca="false">IF($C18="",0,1)</f>
        <v>1</v>
      </c>
      <c r="O18" s="111" t="n">
        <f aca="false">N(O17)+$N18</f>
        <v>15</v>
      </c>
      <c r="S18" s="10" t="str">
        <f aca="false">IFERROR(IF([1]对账明细接口!$N18=0,"",[1]对账明细接口!$N18),"")</f>
        <v/>
      </c>
      <c r="T18" s="112" t="str">
        <f aca="false">IFERROR(IF([1]对账明细接口!$O18=0,"",[1]对账明细接口!$O18),"")</f>
        <v/>
      </c>
      <c r="U18" s="112" t="str">
        <f aca="false">IFERROR(IF([1]对账明细接口!$P18=0,"",[1]对账明细接口!$P18),"")</f>
        <v/>
      </c>
      <c r="V18" s="112" t="str">
        <f aca="false">IFERROR(IF([1]对账明细接口!$Q18=0,"",[1]对账明细接口!$Q18),"")</f>
        <v/>
      </c>
      <c r="W18" s="10" t="str">
        <f aca="false">IFERROR(IF([1]对账明细接口!$R18=0,"",[1]对账明细接口!$R18),"")</f>
        <v>新N*FJ0676</v>
      </c>
      <c r="X18" s="10" t="str">
        <f aca="false">IFERROR(IF([1]对账明细接口!$S18=0,"",[1]对账明细接口!$S18),"")</f>
        <v/>
      </c>
      <c r="Y18" s="10" t="str">
        <f aca="false">""</f>
        <v/>
      </c>
      <c r="Z18" s="10" t="str">
        <f aca="false">""</f>
        <v/>
      </c>
      <c r="AA18" s="10" t="str">
        <f aca="false">""</f>
        <v/>
      </c>
      <c r="AB18" s="10" t="str">
        <f aca="false">""</f>
        <v/>
      </c>
    </row>
    <row r="19" customFormat="false" ht="13.5" hidden="false" customHeight="false" outlineLevel="0" collapsed="false">
      <c r="A19" s="109" t="n">
        <v>19</v>
      </c>
      <c r="B19" s="110" t="n">
        <f aca="false">IFERROR(IF([1]对账明细接口!$B$19=0,"",[1]对账明细接口!$B$19),"")</f>
        <v>46272</v>
      </c>
      <c r="C19" s="59" t="str">
        <f aca="false">IFERROR(IF([1]对账明细接口!$C$19=0,"",[1]对账明细接口!$C$19),"")</f>
        <v>麦麦提</v>
      </c>
      <c r="D19" s="59" t="str">
        <f aca="false">IFERROR(IF([1]对账明细接口!$D$19=0,"",[1]对账明细接口!$D$19),"")</f>
        <v>包装物料－领用出库</v>
      </c>
      <c r="E19" s="59" t="str">
        <f aca="false">IFERROR(IF([1]对账明细接口!$E$19=0,"",[1]对账明细接口!$E$19),"")</f>
        <v>NO:0001089</v>
      </c>
      <c r="F19" s="59" t="str">
        <f aca="false">IFERROR(IF([1]对账明细接口!$F$19=0,"",[1]对账明细接口!$F$19),"")</f>
        <v>香梨网</v>
      </c>
      <c r="G19" s="59" t="str">
        <f aca="false">IFERROR(IF([1]对账明细接口!$G$19=0,"",[1]对账明细接口!$G$19),"")</f>
        <v>*包</v>
      </c>
      <c r="H19" s="60" t="n">
        <f aca="false">IFERROR(IF([1]对账明细接口!$H$19=0,"",[1]对账明细接口!$H$19),"")</f>
        <v>48</v>
      </c>
      <c r="I19" s="59" t="str">
        <f aca="false">IFERROR(IF([1]对账明细接口!$I$19=0,"",[1]对账明细接口!$I$19),"")</f>
        <v>包</v>
      </c>
      <c r="J19" s="61" t="str">
        <f aca="false">IFERROR(IF([1]对账明细接口!$J$19=0,"",[1]对账明细接口!$J$19),"")</f>
        <v/>
      </c>
      <c r="K19" s="61" t="n">
        <f aca="false">IFERROR(IF([1]对账明细接口!$K$19=0,"",[1]对账明细接口!$K$19),"")</f>
        <v>2160</v>
      </c>
      <c r="L19" s="59" t="str">
        <f aca="false">IFERROR(IF([1]对账明细接口!$L$19=0,"",[1]对账明细接口!$L$19),"")</f>
        <v>未付款</v>
      </c>
      <c r="M19" s="59" t="str">
        <f aca="false">IFERROR(IF([1]对账明细接口!$M$19=0,"",[1]对账明细接口!$M$19),"")</f>
        <v/>
      </c>
      <c r="N19" s="111" t="n">
        <f aca="false">IF($C19="",0,1)</f>
        <v>1</v>
      </c>
      <c r="O19" s="111" t="n">
        <f aca="false">N(O18)+$N19</f>
        <v>16</v>
      </c>
      <c r="S19" s="10" t="str">
        <f aca="false">IFERROR(IF([1]对账明细接口!$N19=0,"",[1]对账明细接口!$N19),"")</f>
        <v/>
      </c>
      <c r="T19" s="112" t="str">
        <f aca="false">IFERROR(IF([1]对账明细接口!$O19=0,"",[1]对账明细接口!$O19),"")</f>
        <v/>
      </c>
      <c r="U19" s="112" t="str">
        <f aca="false">IFERROR(IF([1]对账明细接口!$P19=0,"",[1]对账明细接口!$P19),"")</f>
        <v/>
      </c>
      <c r="V19" s="112" t="str">
        <f aca="false">IFERROR(IF([1]对账明细接口!$Q19=0,"",[1]对账明细接口!$Q19),"")</f>
        <v/>
      </c>
      <c r="W19" s="10" t="str">
        <f aca="false">IFERROR(IF([1]对账明细接口!$R19=0,"",[1]对账明细接口!$R19),"")</f>
        <v>新A*G0544</v>
      </c>
      <c r="X19" s="10" t="str">
        <f aca="false">IFERROR(IF([1]对账明细接口!$S19=0,"",[1]对账明细接口!$S19),"")</f>
        <v/>
      </c>
      <c r="Y19" s="10" t="str">
        <f aca="false">""</f>
        <v/>
      </c>
      <c r="Z19" s="10" t="str">
        <f aca="false">""</f>
        <v/>
      </c>
      <c r="AA19" s="10" t="str">
        <f aca="false">""</f>
        <v/>
      </c>
      <c r="AB19" s="10" t="str">
        <f aca="false">""</f>
        <v/>
      </c>
    </row>
    <row r="20" customFormat="false" ht="13.5" hidden="false" customHeight="false" outlineLevel="0" collapsed="false">
      <c r="A20" s="109" t="n">
        <v>20</v>
      </c>
      <c r="B20" s="110" t="n">
        <f aca="false">IFERROR(IF([1]对账明细接口!$B$20=0,"",[1]对账明细接口!$B$20),"")</f>
        <v>46272</v>
      </c>
      <c r="C20" s="59" t="str">
        <f aca="false">IFERROR(IF([1]对账明细接口!$C$20=0,"",[1]对账明细接口!$C$20),"")</f>
        <v>贾建国</v>
      </c>
      <c r="D20" s="59" t="str">
        <f aca="false">IFERROR(IF([1]对账明细接口!$D$20=0,"",[1]对账明细接口!$D$20),"")</f>
        <v>包装物料－领用出库</v>
      </c>
      <c r="E20" s="59" t="str">
        <f aca="false">IFERROR(IF([1]对账明细接口!$E$20=0,"",[1]对账明细接口!$E$20),"")</f>
        <v>NO:0001092</v>
      </c>
      <c r="F20" s="59" t="str">
        <f aca="false">IFERROR(IF([1]对账明细接口!$F$20=0,"",[1]对账明细接口!$F$20),"")</f>
        <v>香梨网</v>
      </c>
      <c r="G20" s="59" t="str">
        <f aca="false">IFERROR(IF([1]对账明细接口!$G$20=0,"",[1]对账明细接口!$G$20),"")</f>
        <v>*包</v>
      </c>
      <c r="H20" s="60" t="n">
        <f aca="false">IFERROR(IF([1]对账明细接口!$H$20=0,"",[1]对账明细接口!$H$20),"")</f>
        <v>32</v>
      </c>
      <c r="I20" s="59" t="str">
        <f aca="false">IFERROR(IF([1]对账明细接口!$I$20=0,"",[1]对账明细接口!$I$20),"")</f>
        <v>包</v>
      </c>
      <c r="J20" s="61" t="str">
        <f aca="false">IFERROR(IF([1]对账明细接口!$J$20=0,"",[1]对账明细接口!$J$20),"")</f>
        <v/>
      </c>
      <c r="K20" s="61" t="n">
        <f aca="false">IFERROR(IF([1]对账明细接口!$K$20=0,"",[1]对账明细接口!$K$20),"")</f>
        <v>1440</v>
      </c>
      <c r="L20" s="59" t="str">
        <f aca="false">IFERROR(IF([1]对账明细接口!$L$20=0,"",[1]对账明细接口!$L$20),"")</f>
        <v>未付款</v>
      </c>
      <c r="M20" s="59" t="str">
        <f aca="false">IFERROR(IF([1]对账明细接口!$M$20=0,"",[1]对账明细接口!$M$20),"")</f>
        <v/>
      </c>
      <c r="N20" s="111" t="n">
        <f aca="false">IF($C20="",0,1)</f>
        <v>1</v>
      </c>
      <c r="O20" s="111" t="n">
        <f aca="false">N(O19)+$N20</f>
        <v>17</v>
      </c>
      <c r="S20" s="10" t="str">
        <f aca="false">IFERROR(IF([1]对账明细接口!$N20=0,"",[1]对账明细接口!$N20),"")</f>
        <v/>
      </c>
      <c r="T20" s="112" t="str">
        <f aca="false">IFERROR(IF([1]对账明细接口!$O20=0,"",[1]对账明细接口!$O20),"")</f>
        <v/>
      </c>
      <c r="U20" s="112" t="str">
        <f aca="false">IFERROR(IF([1]对账明细接口!$P20=0,"",[1]对账明细接口!$P20),"")</f>
        <v/>
      </c>
      <c r="V20" s="112" t="str">
        <f aca="false">IFERROR(IF([1]对账明细接口!$Q20=0,"",[1]对账明细接口!$Q20),"")</f>
        <v/>
      </c>
      <c r="W20" s="10" t="str">
        <f aca="false">IFERROR(IF([1]对账明细接口!$R20=0,"",[1]对账明细接口!$R20),"")</f>
        <v>豫Q*H5591</v>
      </c>
      <c r="X20" s="10" t="str">
        <f aca="false">IFERROR(IF([1]对账明细接口!$S20=0,"",[1]对账明细接口!$S20),"")</f>
        <v/>
      </c>
      <c r="Y20" s="10" t="str">
        <f aca="false">""</f>
        <v/>
      </c>
      <c r="Z20" s="10" t="str">
        <f aca="false">""</f>
        <v/>
      </c>
      <c r="AA20" s="10" t="str">
        <f aca="false">""</f>
        <v/>
      </c>
      <c r="AB20" s="10" t="str">
        <f aca="false">""</f>
        <v/>
      </c>
    </row>
    <row r="21" customFormat="false" ht="13.5" hidden="false" customHeight="false" outlineLevel="0" collapsed="false">
      <c r="A21" s="109" t="n">
        <v>21</v>
      </c>
      <c r="B21" s="110" t="n">
        <f aca="false">IFERROR(IF([1]对账明细接口!$B$21=0,"",[1]对账明细接口!$B$21),"")</f>
        <v>46272</v>
      </c>
      <c r="C21" s="59" t="str">
        <f aca="false">IFERROR(IF([1]对账明细接口!$C$21=0,"",[1]对账明细接口!$C$21),"")</f>
        <v>贾建国</v>
      </c>
      <c r="D21" s="59" t="str">
        <f aca="false">IFERROR(IF([1]对账明细接口!$D$21=0,"",[1]对账明细接口!$D$21),"")</f>
        <v>包装物料－领用出库</v>
      </c>
      <c r="E21" s="59" t="str">
        <f aca="false">IFERROR(IF([1]对账明细接口!$E$21=0,"",[1]对账明细接口!$E$21),"")</f>
        <v>NO:0001092</v>
      </c>
      <c r="F21" s="59" t="str">
        <f aca="false">IFERROR(IF([1]对账明细接口!$F$21=0,"",[1]对账明细接口!$F$21),"")</f>
        <v>无纺布</v>
      </c>
      <c r="G21" s="59" t="str">
        <f aca="false">IFERROR(IF([1]对账明细接口!$G$21=0,"",[1]对账明细接口!$G$21),"")</f>
        <v>*400</v>
      </c>
      <c r="H21" s="60" t="n">
        <f aca="false">IFERROR(IF([1]对账明细接口!$H$21=0,"",[1]对账明细接口!$H$21),"")</f>
        <v>800</v>
      </c>
      <c r="I21" s="59" t="str">
        <f aca="false">IFERROR(IF([1]对账明细接口!$I$21=0,"",[1]对账明细接口!$I$21),"")</f>
        <v>个</v>
      </c>
      <c r="J21" s="61" t="str">
        <f aca="false">IFERROR(IF([1]对账明细接口!$J$21=0,"",[1]对账明细接口!$J$21),"")</f>
        <v/>
      </c>
      <c r="K21" s="61" t="n">
        <f aca="false">IFERROR(IF([1]对账明细接口!$K$21=0,"",[1]对账明细接口!$K$21),"")</f>
        <v>400</v>
      </c>
      <c r="L21" s="59" t="str">
        <f aca="false">IFERROR(IF([1]对账明细接口!$L$21=0,"",[1]对账明细接口!$L$21),"")</f>
        <v>未付款</v>
      </c>
      <c r="M21" s="59" t="str">
        <f aca="false">IFERROR(IF([1]对账明细接口!$M$21=0,"",[1]对账明细接口!$M$21),"")</f>
        <v/>
      </c>
      <c r="N21" s="111" t="n">
        <f aca="false">IF($C21="",0,1)</f>
        <v>1</v>
      </c>
      <c r="O21" s="111" t="n">
        <f aca="false">N(O20)+$N21</f>
        <v>18</v>
      </c>
      <c r="S21" s="10" t="str">
        <f aca="false">IFERROR(IF([1]对账明细接口!$N21=0,"",[1]对账明细接口!$N21),"")</f>
        <v/>
      </c>
      <c r="T21" s="112" t="str">
        <f aca="false">IFERROR(IF([1]对账明细接口!$O21=0,"",[1]对账明细接口!$O21),"")</f>
        <v/>
      </c>
      <c r="U21" s="112" t="str">
        <f aca="false">IFERROR(IF([1]对账明细接口!$P21=0,"",[1]对账明细接口!$P21),"")</f>
        <v/>
      </c>
      <c r="V21" s="112" t="str">
        <f aca="false">IFERROR(IF([1]对账明细接口!$Q21=0,"",[1]对账明细接口!$Q21),"")</f>
        <v/>
      </c>
      <c r="W21" s="10" t="str">
        <f aca="false">IFERROR(IF([1]对账明细接口!$R21=0,"",[1]对账明细接口!$R21),"")</f>
        <v>豫Q*H5591</v>
      </c>
      <c r="X21" s="10" t="str">
        <f aca="false">IFERROR(IF([1]对账明细接口!$S21=0,"",[1]对账明细接口!$S21),"")</f>
        <v/>
      </c>
      <c r="Y21" s="10" t="str">
        <f aca="false">""</f>
        <v/>
      </c>
      <c r="Z21" s="10" t="str">
        <f aca="false">""</f>
        <v/>
      </c>
      <c r="AA21" s="10" t="str">
        <f aca="false">""</f>
        <v/>
      </c>
      <c r="AB21" s="10" t="str">
        <f aca="false">""</f>
        <v/>
      </c>
    </row>
    <row r="22" customFormat="false" ht="13.5" hidden="false" customHeight="false" outlineLevel="0" collapsed="false">
      <c r="A22" s="109" t="n">
        <v>22</v>
      </c>
      <c r="B22" s="110" t="n">
        <f aca="false">IFERROR(IF([1]对账明细接口!$B$22=0,"",[1]对账明细接口!$B$22),"")</f>
        <v>46272</v>
      </c>
      <c r="C22" s="59" t="str">
        <f aca="false">IFERROR(IF([1]对账明细接口!$C$22=0,"",[1]对账明细接口!$C$22),"")</f>
        <v>热合曼</v>
      </c>
      <c r="D22" s="59" t="str">
        <f aca="false">IFERROR(IF([1]对账明细接口!$D$22=0,"",[1]对账明细接口!$D$22),"")</f>
        <v>包装物料－领用出库</v>
      </c>
      <c r="E22" s="59" t="str">
        <f aca="false">IFERROR(IF([1]对账明细接口!$E$22=0,"",[1]对账明细接口!$E$22),"")</f>
        <v>NO:0001094</v>
      </c>
      <c r="F22" s="59" t="str">
        <f aca="false">IFERROR(IF([1]对账明细接口!$F$22=0,"",[1]对账明细接口!$F$22),"")</f>
        <v>香梨网</v>
      </c>
      <c r="G22" s="59" t="str">
        <f aca="false">IFERROR(IF([1]对账明细接口!$G$22=0,"",[1]对账明细接口!$G$22),"")</f>
        <v>*包</v>
      </c>
      <c r="H22" s="60" t="n">
        <f aca="false">IFERROR(IF([1]对账明细接口!$H$22=0,"",[1]对账明细接口!$H$22),"")</f>
        <v>48</v>
      </c>
      <c r="I22" s="59" t="str">
        <f aca="false">IFERROR(IF([1]对账明细接口!$I$22=0,"",[1]对账明细接口!$I$22),"")</f>
        <v>包</v>
      </c>
      <c r="J22" s="61" t="str">
        <f aca="false">IFERROR(IF([1]对账明细接口!$J$22=0,"",[1]对账明细接口!$J$22),"")</f>
        <v/>
      </c>
      <c r="K22" s="61" t="n">
        <f aca="false">IFERROR(IF([1]对账明细接口!$K$22=0,"",[1]对账明细接口!$K$22),"")</f>
        <v>2160</v>
      </c>
      <c r="L22" s="59" t="str">
        <f aca="false">IFERROR(IF([1]对账明细接口!$L$22=0,"",[1]对账明细接口!$L$22),"")</f>
        <v>未付款</v>
      </c>
      <c r="M22" s="59" t="str">
        <f aca="false">IFERROR(IF([1]对账明细接口!$M$22=0,"",[1]对账明细接口!$M$22),"")</f>
        <v/>
      </c>
      <c r="N22" s="111" t="n">
        <f aca="false">IF($C22="",0,1)</f>
        <v>1</v>
      </c>
      <c r="O22" s="111" t="n">
        <f aca="false">N(O21)+$N22</f>
        <v>19</v>
      </c>
      <c r="S22" s="10" t="str">
        <f aca="false">IFERROR(IF([1]对账明细接口!$N22=0,"",[1]对账明细接口!$N22),"")</f>
        <v/>
      </c>
      <c r="T22" s="112" t="str">
        <f aca="false">IFERROR(IF([1]对账明细接口!$O22=0,"",[1]对账明细接口!$O22),"")</f>
        <v/>
      </c>
      <c r="U22" s="112" t="str">
        <f aca="false">IFERROR(IF([1]对账明细接口!$P22=0,"",[1]对账明细接口!$P22),"")</f>
        <v/>
      </c>
      <c r="V22" s="112" t="str">
        <f aca="false">IFERROR(IF([1]对账明细接口!$Q22=0,"",[1]对账明细接口!$Q22),"")</f>
        <v/>
      </c>
      <c r="W22" s="10" t="str">
        <f aca="false">IFERROR(IF([1]对账明细接口!$R22=0,"",[1]对账明细接口!$R22),"")</f>
        <v>新A*G0544</v>
      </c>
      <c r="X22" s="10" t="str">
        <f aca="false">IFERROR(IF([1]对账明细接口!$S22=0,"",[1]对账明细接口!$S22),"")</f>
        <v/>
      </c>
      <c r="Y22" s="10" t="str">
        <f aca="false">""</f>
        <v/>
      </c>
      <c r="Z22" s="10" t="str">
        <f aca="false">""</f>
        <v/>
      </c>
      <c r="AA22" s="10" t="str">
        <f aca="false">""</f>
        <v/>
      </c>
      <c r="AB22" s="10" t="str">
        <f aca="false">""</f>
        <v/>
      </c>
    </row>
    <row r="23" customFormat="false" ht="13.5" hidden="false" customHeight="false" outlineLevel="0" collapsed="false">
      <c r="A23" s="109" t="n">
        <v>23</v>
      </c>
      <c r="B23" s="110" t="n">
        <f aca="false">IFERROR(IF([1]对账明细接口!$B$23=0,"",[1]对账明细接口!$B$23),"")</f>
        <v>46273</v>
      </c>
      <c r="C23" s="59" t="str">
        <f aca="false">IFERROR(IF([1]对账明细接口!$C$23=0,"",[1]对账明细接口!$C$23),"")</f>
        <v>贾建国</v>
      </c>
      <c r="D23" s="59" t="str">
        <f aca="false">IFERROR(IF([1]对账明细接口!$D$23=0,"",[1]对账明细接口!$D$23),"")</f>
        <v>包装物料－退回入库</v>
      </c>
      <c r="E23" s="59" t="str">
        <f aca="false">IFERROR(IF([1]对账明细接口!$E$23=0,"",[1]对账明细接口!$E$23),"")</f>
        <v>NO:0000760</v>
      </c>
      <c r="F23" s="59" t="str">
        <f aca="false">IFERROR(IF([1]对账明细接口!$F$23=0,"",[1]对账明细接口!$F$23),"")</f>
        <v>无纺布</v>
      </c>
      <c r="G23" s="59" t="str">
        <f aca="false">IFERROR(IF([1]对账明细接口!$G$23=0,"",[1]对账明细接口!$G$23),"")</f>
        <v>*400</v>
      </c>
      <c r="H23" s="60" t="n">
        <f aca="false">IFERROR(IF([1]对账明细接口!$H$23=0,"",[1]对账明细接口!$H$23),"")</f>
        <v>800</v>
      </c>
      <c r="I23" s="59" t="str">
        <f aca="false">IFERROR(IF([1]对账明细接口!$I$23=0,"",[1]对账明细接口!$I$23),"")</f>
        <v>个</v>
      </c>
      <c r="J23" s="61" t="str">
        <f aca="false">IFERROR(IF([1]对账明细接口!$J$23=0,"",[1]对账明细接口!$J$23),"")</f>
        <v/>
      </c>
      <c r="K23" s="61" t="n">
        <f aca="false">IFERROR(IF([1]对账明细接口!$K$23=0,"",[1]对账明细接口!$K$23),"")</f>
        <v>-400</v>
      </c>
      <c r="L23" s="59" t="str">
        <f aca="false">IFERROR(IF([1]对账明细接口!$L$23=0,"",[1]对账明细接口!$L$23),"")</f>
        <v>无需付款</v>
      </c>
      <c r="M23" s="59" t="str">
        <f aca="false">IFERROR(IF([1]对账明细接口!$M$23=0,"",[1]对账明细接口!$M$23),"")</f>
        <v/>
      </c>
      <c r="N23" s="111" t="n">
        <f aca="false">IF($C23="",0,1)</f>
        <v>1</v>
      </c>
      <c r="O23" s="111" t="n">
        <f aca="false">N(O22)+$N23</f>
        <v>20</v>
      </c>
      <c r="S23" s="10" t="str">
        <f aca="false">IFERROR(IF([1]对账明细接口!$N23=0,"",[1]对账明细接口!$N23),"")</f>
        <v/>
      </c>
      <c r="T23" s="112" t="str">
        <f aca="false">IFERROR(IF([1]对账明细接口!$O23=0,"",[1]对账明细接口!$O23),"")</f>
        <v/>
      </c>
      <c r="U23" s="112" t="str">
        <f aca="false">IFERROR(IF([1]对账明细接口!$P23=0,"",[1]对账明细接口!$P23),"")</f>
        <v/>
      </c>
      <c r="V23" s="112" t="str">
        <f aca="false">IFERROR(IF([1]对账明细接口!$Q23=0,"",[1]对账明细接口!$Q23),"")</f>
        <v/>
      </c>
      <c r="W23" s="10" t="str">
        <f aca="false">IFERROR(IF([1]对账明细接口!$R23=0,"",[1]对账明细接口!$R23),"")</f>
        <v>豫Q*H5591</v>
      </c>
      <c r="X23" s="10" t="str">
        <f aca="false">IFERROR(IF([1]对账明细接口!$S23=0,"",[1]对账明细接口!$S23),"")</f>
        <v/>
      </c>
      <c r="Y23" s="10" t="str">
        <f aca="false">""</f>
        <v/>
      </c>
      <c r="Z23" s="10" t="str">
        <f aca="false">""</f>
        <v/>
      </c>
      <c r="AA23" s="10" t="str">
        <f aca="false">""</f>
        <v/>
      </c>
      <c r="AB23" s="10" t="str">
        <f aca="false">""</f>
        <v/>
      </c>
    </row>
    <row r="24" customFormat="false" ht="13.5" hidden="false" customHeight="false" outlineLevel="0" collapsed="false">
      <c r="A24" s="109" t="n">
        <v>24</v>
      </c>
      <c r="B24" s="110" t="n">
        <f aca="false">IFERROR(IF([1]对账明细接口!$B$24=0,"",[1]对账明细接口!$B$24),"")</f>
        <v>46274</v>
      </c>
      <c r="C24" s="59" t="str">
        <f aca="false">IFERROR(IF([1]对账明细接口!$C$24=0,"",[1]对账明细接口!$C$24),"")</f>
        <v>吐尔逊</v>
      </c>
      <c r="D24" s="59" t="str">
        <f aca="false">IFERROR(IF([1]对账明细接口!$D$24=0,"",[1]对账明细接口!$D$24),"")</f>
        <v>包装物料－领用出库</v>
      </c>
      <c r="E24" s="59" t="str">
        <f aca="false">IFERROR(IF([1]对账明细接口!$E$24=0,"",[1]对账明细接口!$E$24),"")</f>
        <v>NO:0001099</v>
      </c>
      <c r="F24" s="59" t="str">
        <f aca="false">IFERROR(IF([1]对账明细接口!$F$24=0,"",[1]对账明细接口!$F$24),"")</f>
        <v>香梨网</v>
      </c>
      <c r="G24" s="59" t="str">
        <f aca="false">IFERROR(IF([1]对账明细接口!$G$24=0,"",[1]对账明细接口!$G$24),"")</f>
        <v>*包</v>
      </c>
      <c r="H24" s="60" t="n">
        <f aca="false">IFERROR(IF([1]对账明细接口!$H$24=0,"",[1]对账明细接口!$H$24),"")</f>
        <v>16</v>
      </c>
      <c r="I24" s="59" t="str">
        <f aca="false">IFERROR(IF([1]对账明细接口!$I$24=0,"",[1]对账明细接口!$I$24),"")</f>
        <v>包</v>
      </c>
      <c r="J24" s="61" t="str">
        <f aca="false">IFERROR(IF([1]对账明细接口!$J$24=0,"",[1]对账明细接口!$J$24),"")</f>
        <v/>
      </c>
      <c r="K24" s="61" t="n">
        <f aca="false">IFERROR(IF([1]对账明细接口!$K$24=0,"",[1]对账明细接口!$K$24),"")</f>
        <v>720</v>
      </c>
      <c r="L24" s="59" t="str">
        <f aca="false">IFERROR(IF([1]对账明细接口!$L$24=0,"",[1]对账明细接口!$L$24),"")</f>
        <v>未付款</v>
      </c>
      <c r="M24" s="59" t="str">
        <f aca="false">IFERROR(IF([1]对账明细接口!$M$24=0,"",[1]对账明细接口!$M$24),"")</f>
        <v/>
      </c>
      <c r="N24" s="111" t="n">
        <f aca="false">IF($C24="",0,1)</f>
        <v>1</v>
      </c>
      <c r="O24" s="111" t="n">
        <f aca="false">N(O23)+$N24</f>
        <v>21</v>
      </c>
      <c r="S24" s="10" t="str">
        <f aca="false">IFERROR(IF([1]对账明细接口!$N24=0,"",[1]对账明细接口!$N24),"")</f>
        <v/>
      </c>
      <c r="T24" s="112" t="str">
        <f aca="false">IFERROR(IF([1]对账明细接口!$O24=0,"",[1]对账明细接口!$O24),"")</f>
        <v/>
      </c>
      <c r="U24" s="112" t="str">
        <f aca="false">IFERROR(IF([1]对账明细接口!$P24=0,"",[1]对账明细接口!$P24),"")</f>
        <v/>
      </c>
      <c r="V24" s="112" t="str">
        <f aca="false">IFERROR(IF([1]对账明细接口!$Q24=0,"",[1]对账明细接口!$Q24),"")</f>
        <v/>
      </c>
      <c r="W24" s="10" t="str">
        <f aca="false">IFERROR(IF([1]对账明细接口!$R24=0,"",[1]对账明细接口!$R24),"")</f>
        <v>新M*87613</v>
      </c>
      <c r="X24" s="10" t="str">
        <f aca="false">IFERROR(IF([1]对账明细接口!$S24=0,"",[1]对账明细接口!$S24),"")</f>
        <v/>
      </c>
      <c r="Y24" s="10" t="str">
        <f aca="false">""</f>
        <v/>
      </c>
      <c r="Z24" s="10" t="str">
        <f aca="false">""</f>
        <v/>
      </c>
      <c r="AA24" s="10" t="str">
        <f aca="false">""</f>
        <v/>
      </c>
      <c r="AB24" s="10" t="str">
        <f aca="false">""</f>
        <v/>
      </c>
    </row>
    <row r="25" customFormat="false" ht="13.5" hidden="false" customHeight="false" outlineLevel="0" collapsed="false">
      <c r="A25" s="109" t="n">
        <v>25</v>
      </c>
      <c r="B25" s="110" t="n">
        <f aca="false">IFERROR(IF([1]对账明细接口!$B$25=0,"",[1]对账明细接口!$B$25),"")</f>
        <v>46274</v>
      </c>
      <c r="C25" s="59" t="str">
        <f aca="false">IFERROR(IF([1]对账明细接口!$C$25=0,"",[1]对账明细接口!$C$25),"")</f>
        <v>吐尔逊</v>
      </c>
      <c r="D25" s="59" t="str">
        <f aca="false">IFERROR(IF([1]对账明细接口!$D$25=0,"",[1]对账明细接口!$D$25),"")</f>
        <v>包装物料－领用出库</v>
      </c>
      <c r="E25" s="59" t="str">
        <f aca="false">IFERROR(IF([1]对账明细接口!$E$25=0,"",[1]对账明细接口!$E$25),"")</f>
        <v>NO:0001099</v>
      </c>
      <c r="F25" s="59" t="str">
        <f aca="false">IFERROR(IF([1]对账明细接口!$F$25=0,"",[1]对账明细接口!$F$25),"")</f>
        <v>香梨纸</v>
      </c>
      <c r="G25" s="59" t="str">
        <f aca="false">IFERROR(IF([1]对账明细接口!$G$25=0,"",[1]对账明细接口!$G$25),"")</f>
        <v>*捆</v>
      </c>
      <c r="H25" s="60" t="n">
        <f aca="false">IFERROR(IF([1]对账明细接口!$H$25=0,"",[1]对账明细接口!$H$25),"")</f>
        <v>2</v>
      </c>
      <c r="I25" s="59" t="str">
        <f aca="false">IFERROR(IF([1]对账明细接口!$I$25=0,"",[1]对账明细接口!$I$25),"")</f>
        <v>捆</v>
      </c>
      <c r="J25" s="61" t="str">
        <f aca="false">IFERROR(IF([1]对账明细接口!$J$25=0,"",[1]对账明细接口!$J$25),"")</f>
        <v/>
      </c>
      <c r="K25" s="61" t="n">
        <f aca="false">IFERROR(IF([1]对账明细接口!$K$25=0,"",[1]对账明细接口!$K$25),"")</f>
        <v>120</v>
      </c>
      <c r="L25" s="59" t="str">
        <f aca="false">IFERROR(IF([1]对账明细接口!$L$25=0,"",[1]对账明细接口!$L$25),"")</f>
        <v>未付款</v>
      </c>
      <c r="M25" s="59" t="str">
        <f aca="false">IFERROR(IF([1]对账明细接口!$M$25=0,"",[1]对账明细接口!$M$25),"")</f>
        <v/>
      </c>
      <c r="N25" s="111" t="n">
        <f aca="false">IF($C25="",0,1)</f>
        <v>1</v>
      </c>
      <c r="O25" s="111" t="n">
        <f aca="false">N(O24)+$N25</f>
        <v>22</v>
      </c>
      <c r="S25" s="10" t="str">
        <f aca="false">IFERROR(IF([1]对账明细接口!$N25=0,"",[1]对账明细接口!$N25),"")</f>
        <v/>
      </c>
      <c r="T25" s="112" t="str">
        <f aca="false">IFERROR(IF([1]对账明细接口!$O25=0,"",[1]对账明细接口!$O25),"")</f>
        <v/>
      </c>
      <c r="U25" s="112" t="str">
        <f aca="false">IFERROR(IF([1]对账明细接口!$P25=0,"",[1]对账明细接口!$P25),"")</f>
        <v/>
      </c>
      <c r="V25" s="112" t="str">
        <f aca="false">IFERROR(IF([1]对账明细接口!$Q25=0,"",[1]对账明细接口!$Q25),"")</f>
        <v/>
      </c>
      <c r="W25" s="10" t="str">
        <f aca="false">IFERROR(IF([1]对账明细接口!$R25=0,"",[1]对账明细接口!$R25),"")</f>
        <v>新M*87613</v>
      </c>
      <c r="X25" s="10" t="str">
        <f aca="false">IFERROR(IF([1]对账明细接口!$S25=0,"",[1]对账明细接口!$S25),"")</f>
        <v/>
      </c>
      <c r="Y25" s="10" t="str">
        <f aca="false">""</f>
        <v/>
      </c>
      <c r="Z25" s="10" t="str">
        <f aca="false">""</f>
        <v/>
      </c>
      <c r="AA25" s="10" t="str">
        <f aca="false">""</f>
        <v/>
      </c>
      <c r="AB25" s="10" t="str">
        <f aca="false">""</f>
        <v/>
      </c>
    </row>
    <row r="26" customFormat="false" ht="13.5" hidden="false" customHeight="false" outlineLevel="0" collapsed="false">
      <c r="A26" s="109" t="n">
        <v>26</v>
      </c>
      <c r="B26" s="110" t="n">
        <f aca="false">IFERROR(IF([1]对账明细接口!$B$26=0,"",[1]对账明细接口!$B$26),"")</f>
        <v>46274</v>
      </c>
      <c r="C26" s="59" t="str">
        <f aca="false">IFERROR(IF([1]对账明细接口!$C$26=0,"",[1]对账明细接口!$C$26),"")</f>
        <v>吐尔洪</v>
      </c>
      <c r="D26" s="59" t="str">
        <f aca="false">IFERROR(IF([1]对账明细接口!$D$26=0,"",[1]对账明细接口!$D$26),"")</f>
        <v>包装物料－领用出库</v>
      </c>
      <c r="E26" s="59" t="str">
        <f aca="false">IFERROR(IF([1]对账明细接口!$E$26=0,"",[1]对账明细接口!$E$26),"")</f>
        <v>NO:0001100</v>
      </c>
      <c r="F26" s="59" t="str">
        <f aca="false">IFERROR(IF([1]对账明细接口!$F$26=0,"",[1]对账明细接口!$F$26),"")</f>
        <v>香梨网</v>
      </c>
      <c r="G26" s="59" t="str">
        <f aca="false">IFERROR(IF([1]对账明细接口!$G$26=0,"",[1]对账明细接口!$G$26),"")</f>
        <v>*包</v>
      </c>
      <c r="H26" s="60" t="n">
        <f aca="false">IFERROR(IF([1]对账明细接口!$H$26=0,"",[1]对账明细接口!$H$26),"")</f>
        <v>12</v>
      </c>
      <c r="I26" s="59" t="str">
        <f aca="false">IFERROR(IF([1]对账明细接口!$I$26=0,"",[1]对账明细接口!$I$26),"")</f>
        <v>包</v>
      </c>
      <c r="J26" s="61" t="str">
        <f aca="false">IFERROR(IF([1]对账明细接口!$J$26=0,"",[1]对账明细接口!$J$26),"")</f>
        <v/>
      </c>
      <c r="K26" s="61" t="n">
        <f aca="false">IFERROR(IF([1]对账明细接口!$K$26=0,"",[1]对账明细接口!$K$26),"")</f>
        <v>540</v>
      </c>
      <c r="L26" s="59" t="str">
        <f aca="false">IFERROR(IF([1]对账明细接口!$L$26=0,"",[1]对账明细接口!$L$26),"")</f>
        <v>未付款</v>
      </c>
      <c r="M26" s="59" t="str">
        <f aca="false">IFERROR(IF([1]对账明细接口!$M$26=0,"",[1]对账明细接口!$M$26),"")</f>
        <v/>
      </c>
      <c r="N26" s="111" t="n">
        <f aca="false">IF($C26="",0,1)</f>
        <v>1</v>
      </c>
      <c r="O26" s="111" t="n">
        <f aca="false">N(O25)+$N26</f>
        <v>23</v>
      </c>
      <c r="S26" s="10" t="str">
        <f aca="false">IFERROR(IF([1]对账明细接口!$N26=0,"",[1]对账明细接口!$N26),"")</f>
        <v/>
      </c>
      <c r="T26" s="112" t="str">
        <f aca="false">IFERROR(IF([1]对账明细接口!$O26=0,"",[1]对账明细接口!$O26),"")</f>
        <v/>
      </c>
      <c r="U26" s="112" t="str">
        <f aca="false">IFERROR(IF([1]对账明细接口!$P26=0,"",[1]对账明细接口!$P26),"")</f>
        <v/>
      </c>
      <c r="V26" s="112" t="str">
        <f aca="false">IFERROR(IF([1]对账明细接口!$Q26=0,"",[1]对账明细接口!$Q26),"")</f>
        <v/>
      </c>
      <c r="W26" s="10" t="str">
        <f aca="false">IFERROR(IF([1]对账明细接口!$R26=0,"",[1]对账明细接口!$R26),"")</f>
        <v>新N*X8S48</v>
      </c>
      <c r="X26" s="10" t="str">
        <f aca="false">IFERROR(IF([1]对账明细接口!$S26=0,"",[1]对账明细接口!$S26),"")</f>
        <v/>
      </c>
      <c r="Y26" s="10" t="str">
        <f aca="false">""</f>
        <v/>
      </c>
      <c r="Z26" s="10" t="str">
        <f aca="false">""</f>
        <v/>
      </c>
      <c r="AA26" s="10" t="str">
        <f aca="false">""</f>
        <v/>
      </c>
      <c r="AB26" s="10" t="str">
        <f aca="false">""</f>
        <v/>
      </c>
    </row>
    <row r="27" customFormat="false" ht="13.5" hidden="false" customHeight="false" outlineLevel="0" collapsed="false">
      <c r="A27" s="109" t="n">
        <v>27</v>
      </c>
      <c r="B27" s="110" t="n">
        <f aca="false">IFERROR(IF([1]对账明细接口!$B$27=0,"",[1]对账明细接口!$B$27),"")</f>
        <v>46274</v>
      </c>
      <c r="C27" s="59" t="str">
        <f aca="false">IFERROR(IF([1]对账明细接口!$C$27=0,"",[1]对账明细接口!$C$27),"")</f>
        <v>荆建君</v>
      </c>
      <c r="D27" s="59" t="str">
        <f aca="false">IFERROR(IF([1]对账明细接口!$D$27=0,"",[1]对账明细接口!$D$27),"")</f>
        <v>包装物料－领用出库</v>
      </c>
      <c r="E27" s="59" t="str">
        <f aca="false">IFERROR(IF([1]对账明细接口!$E$27=0,"",[1]对账明细接口!$E$27),"")</f>
        <v>NO:0001105</v>
      </c>
      <c r="F27" s="59" t="str">
        <f aca="false">IFERROR(IF([1]对账明细接口!$F$27=0,"",[1]对账明细接口!$F$27),"")</f>
        <v>香梨网</v>
      </c>
      <c r="G27" s="59" t="str">
        <f aca="false">IFERROR(IF([1]对账明细接口!$G$27=0,"",[1]对账明细接口!$G$27),"")</f>
        <v>*包</v>
      </c>
      <c r="H27" s="60" t="n">
        <f aca="false">IFERROR(IF([1]对账明细接口!$H$27=0,"",[1]对账明细接口!$H$27),"")</f>
        <v>48</v>
      </c>
      <c r="I27" s="59" t="str">
        <f aca="false">IFERROR(IF([1]对账明细接口!$I$27=0,"",[1]对账明细接口!$I$27),"")</f>
        <v>包</v>
      </c>
      <c r="J27" s="61" t="str">
        <f aca="false">IFERROR(IF([1]对账明细接口!$J$27=0,"",[1]对账明细接口!$J$27),"")</f>
        <v/>
      </c>
      <c r="K27" s="61" t="n">
        <f aca="false">IFERROR(IF([1]对账明细接口!$K$27=0,"",[1]对账明细接口!$K$27),"")</f>
        <v>2160</v>
      </c>
      <c r="L27" s="59" t="str">
        <f aca="false">IFERROR(IF([1]对账明细接口!$L$27=0,"",[1]对账明细接口!$L$27),"")</f>
        <v>未付款</v>
      </c>
      <c r="M27" s="59" t="str">
        <f aca="false">IFERROR(IF([1]对账明细接口!$M$27=0,"",[1]对账明细接口!$M$27),"")</f>
        <v/>
      </c>
      <c r="N27" s="111" t="n">
        <f aca="false">IF($C27="",0,1)</f>
        <v>1</v>
      </c>
      <c r="O27" s="111" t="n">
        <f aca="false">N(O26)+$N27</f>
        <v>24</v>
      </c>
      <c r="S27" s="10" t="str">
        <f aca="false">IFERROR(IF([1]对账明细接口!$N27=0,"",[1]对账明细接口!$N27),"")</f>
        <v/>
      </c>
      <c r="T27" s="112" t="str">
        <f aca="false">IFERROR(IF([1]对账明细接口!$O27=0,"",[1]对账明细接口!$O27),"")</f>
        <v/>
      </c>
      <c r="U27" s="112" t="str">
        <f aca="false">IFERROR(IF([1]对账明细接口!$P27=0,"",[1]对账明细接口!$P27),"")</f>
        <v/>
      </c>
      <c r="V27" s="112" t="str">
        <f aca="false">IFERROR(IF([1]对账明细接口!$Q27=0,"",[1]对账明细接口!$Q27),"")</f>
        <v/>
      </c>
      <c r="W27" s="10" t="str">
        <f aca="false">IFERROR(IF([1]对账明细接口!$R27=0,"",[1]对账明细接口!$R27),"")</f>
        <v>豫A*2737K</v>
      </c>
      <c r="X27" s="10" t="str">
        <f aca="false">IFERROR(IF([1]对账明细接口!$S27=0,"",[1]对账明细接口!$S27),"")</f>
        <v/>
      </c>
      <c r="Y27" s="10" t="str">
        <f aca="false">""</f>
        <v/>
      </c>
      <c r="Z27" s="10" t="str">
        <f aca="false">""</f>
        <v/>
      </c>
      <c r="AA27" s="10" t="str">
        <f aca="false">""</f>
        <v/>
      </c>
      <c r="AB27" s="10" t="str">
        <f aca="false">""</f>
        <v/>
      </c>
    </row>
    <row r="28" customFormat="false" ht="13.5" hidden="false" customHeight="false" outlineLevel="0" collapsed="false">
      <c r="A28" s="109" t="n">
        <v>28</v>
      </c>
      <c r="B28" s="110" t="n">
        <f aca="false">IFERROR(IF([1]对账明细接口!$B$28=0,"",[1]对账明细接口!$B$28),"")</f>
        <v>46274</v>
      </c>
      <c r="C28" s="59" t="str">
        <f aca="false">IFERROR(IF([1]对账明细接口!$C$28=0,"",[1]对账明细接口!$C$28),"")</f>
        <v>麦麦提</v>
      </c>
      <c r="D28" s="59" t="str">
        <f aca="false">IFERROR(IF([1]对账明细接口!$D$28=0,"",[1]对账明细接口!$D$28),"")</f>
        <v>包装物料－领用出库</v>
      </c>
      <c r="E28" s="59" t="str">
        <f aca="false">IFERROR(IF([1]对账明细接口!$E$28=0,"",[1]对账明细接口!$E$28),"")</f>
        <v>NO:0001106</v>
      </c>
      <c r="F28" s="59" t="str">
        <f aca="false">IFERROR(IF([1]对账明细接口!$F$28=0,"",[1]对账明细接口!$F$28),"")</f>
        <v>香梨网</v>
      </c>
      <c r="G28" s="59" t="str">
        <f aca="false">IFERROR(IF([1]对账明细接口!$G$28=0,"",[1]对账明细接口!$G$28),"")</f>
        <v>*包</v>
      </c>
      <c r="H28" s="60" t="n">
        <f aca="false">IFERROR(IF([1]对账明细接口!$H$28=0,"",[1]对账明细接口!$H$28),"")</f>
        <v>48</v>
      </c>
      <c r="I28" s="59" t="str">
        <f aca="false">IFERROR(IF([1]对账明细接口!$I$28=0,"",[1]对账明细接口!$I$28),"")</f>
        <v>包</v>
      </c>
      <c r="J28" s="61" t="str">
        <f aca="false">IFERROR(IF([1]对账明细接口!$J$28=0,"",[1]对账明细接口!$J$28),"")</f>
        <v/>
      </c>
      <c r="K28" s="61" t="n">
        <f aca="false">IFERROR(IF([1]对账明细接口!$K$28=0,"",[1]对账明细接口!$K$28),"")</f>
        <v>2160</v>
      </c>
      <c r="L28" s="59" t="str">
        <f aca="false">IFERROR(IF([1]对账明细接口!$L$28=0,"",[1]对账明细接口!$L$28),"")</f>
        <v>未付款</v>
      </c>
      <c r="M28" s="59" t="str">
        <f aca="false">IFERROR(IF([1]对账明细接口!$M$28=0,"",[1]对账明细接口!$M$28),"")</f>
        <v/>
      </c>
      <c r="N28" s="111" t="n">
        <f aca="false">IF($C28="",0,1)</f>
        <v>1</v>
      </c>
      <c r="O28" s="111" t="n">
        <f aca="false">N(O27)+$N28</f>
        <v>25</v>
      </c>
      <c r="S28" s="10" t="str">
        <f aca="false">IFERROR(IF([1]对账明细接口!$N28=0,"",[1]对账明细接口!$N28),"")</f>
        <v/>
      </c>
      <c r="T28" s="112" t="str">
        <f aca="false">IFERROR(IF([1]对账明细接口!$O28=0,"",[1]对账明细接口!$O28),"")</f>
        <v/>
      </c>
      <c r="U28" s="112" t="str">
        <f aca="false">IFERROR(IF([1]对账明细接口!$P28=0,"",[1]对账明细接口!$P28),"")</f>
        <v/>
      </c>
      <c r="V28" s="112" t="str">
        <f aca="false">IFERROR(IF([1]对账明细接口!$Q28=0,"",[1]对账明细接口!$Q28),"")</f>
        <v/>
      </c>
      <c r="W28" s="10" t="str">
        <f aca="false">IFERROR(IF([1]对账明细接口!$R28=0,"",[1]对账明细接口!$R28),"")</f>
        <v>新A*G0544</v>
      </c>
      <c r="X28" s="10" t="str">
        <f aca="false">IFERROR(IF([1]对账明细接口!$S28=0,"",[1]对账明细接口!$S28),"")</f>
        <v/>
      </c>
      <c r="Y28" s="10" t="str">
        <f aca="false">""</f>
        <v/>
      </c>
      <c r="Z28" s="10" t="str">
        <f aca="false">""</f>
        <v/>
      </c>
      <c r="AA28" s="10" t="str">
        <f aca="false">""</f>
        <v/>
      </c>
      <c r="AB28" s="10" t="str">
        <f aca="false">""</f>
        <v/>
      </c>
    </row>
    <row r="29" customFormat="false" ht="13.5" hidden="false" customHeight="false" outlineLevel="0" collapsed="false">
      <c r="A29" s="109" t="n">
        <v>29</v>
      </c>
      <c r="B29" s="110" t="n">
        <f aca="false">IFERROR(IF([1]对账明细接口!$B$29=0,"",[1]对账明细接口!$B$29),"")</f>
        <v>46276</v>
      </c>
      <c r="C29" s="59" t="str">
        <f aca="false">IFERROR(IF([1]对账明细接口!$C$29=0,"",[1]对账明细接口!$C$29),"")</f>
        <v>新顺发泡网</v>
      </c>
      <c r="D29" s="59" t="str">
        <f aca="false">IFERROR(IF([1]对账明细接口!$D$29=0,"",[1]对账明细接口!$D$29),"")</f>
        <v>包装物料－采购入库</v>
      </c>
      <c r="E29" s="59" t="str">
        <f aca="false">IFERROR(IF([1]对账明细接口!$E$29=0,"",[1]对账明细接口!$E$29),"")</f>
        <v>NO:0000777</v>
      </c>
      <c r="F29" s="59" t="str">
        <f aca="false">IFERROR(IF([1]对账明细接口!$F$29=0,"",[1]对账明细接口!$F$29),"")</f>
        <v>香梨网</v>
      </c>
      <c r="G29" s="59" t="str">
        <f aca="false">IFERROR(IF([1]对账明细接口!$G$29=0,"",[1]对账明细接口!$G$29),"")</f>
        <v>*包</v>
      </c>
      <c r="H29" s="60" t="n">
        <f aca="false">IFERROR(IF([1]对账明细接口!$H$29=0,"",[1]对账明细接口!$H$29),"")</f>
        <v>120</v>
      </c>
      <c r="I29" s="59" t="str">
        <f aca="false">IFERROR(IF([1]对账明细接口!$I$29=0,"",[1]对账明细接口!$I$29),"")</f>
        <v>包</v>
      </c>
      <c r="J29" s="61" t="str">
        <f aca="false">IFERROR(IF([1]对账明细接口!$J$29=0,"",[1]对账明细接口!$J$29),"")</f>
        <v/>
      </c>
      <c r="K29" s="61" t="n">
        <f aca="false">IFERROR(IF([1]对账明细接口!$K$29=0,"",[1]对账明细接口!$K$29),"")</f>
        <v>4440</v>
      </c>
      <c r="L29" s="59" t="str">
        <f aca="false">IFERROR(IF([1]对账明细接口!$L$29=0,"",[1]对账明细接口!$L$29),"")</f>
        <v>未付款</v>
      </c>
      <c r="M29" s="59" t="str">
        <f aca="false">IFERROR(IF([1]对账明细接口!$M$29=0,"",[1]对账明细接口!$M$29),"")</f>
        <v>12#</v>
      </c>
      <c r="N29" s="111" t="n">
        <f aca="false">IF($C29="",0,1)</f>
        <v>1</v>
      </c>
      <c r="O29" s="111" t="n">
        <f aca="false">N(O28)+$N29</f>
        <v>26</v>
      </c>
      <c r="S29" s="10" t="str">
        <f aca="false">IFERROR(IF([1]对账明细接口!$N29=0,"",[1]对账明细接口!$N29),"")</f>
        <v/>
      </c>
      <c r="T29" s="112" t="str">
        <f aca="false">IFERROR(IF([1]对账明细接口!$O29=0,"",[1]对账明细接口!$O29),"")</f>
        <v/>
      </c>
      <c r="U29" s="112" t="str">
        <f aca="false">IFERROR(IF([1]对账明细接口!$P29=0,"",[1]对账明细接口!$P29),"")</f>
        <v/>
      </c>
      <c r="V29" s="112" t="str">
        <f aca="false">IFERROR(IF([1]对账明细接口!$Q29=0,"",[1]对账明细接口!$Q29),"")</f>
        <v/>
      </c>
      <c r="W29" s="10" t="str">
        <f aca="false">IFERROR(IF([1]对账明细接口!$R29=0,"",[1]对账明细接口!$R29),"")</f>
        <v>皖L*SD929</v>
      </c>
      <c r="X29" s="10" t="str">
        <f aca="false">IFERROR(IF([1]对账明细接口!$S29=0,"",[1]对账明细接口!$S29),"")</f>
        <v/>
      </c>
      <c r="Y29" s="10" t="str">
        <f aca="false">""</f>
        <v/>
      </c>
      <c r="Z29" s="10" t="str">
        <f aca="false">""</f>
        <v/>
      </c>
      <c r="AA29" s="10" t="str">
        <f aca="false">""</f>
        <v/>
      </c>
      <c r="AB29" s="10" t="str">
        <f aca="false">""</f>
        <v/>
      </c>
    </row>
    <row r="30" customFormat="false" ht="13.5" hidden="false" customHeight="false" outlineLevel="0" collapsed="false">
      <c r="A30" s="109" t="n">
        <v>30</v>
      </c>
      <c r="B30" s="110" t="n">
        <f aca="false">IFERROR(IF([1]对账明细接口!$B$30=0,"",[1]对账明细接口!$B$30),"")</f>
        <v>46276</v>
      </c>
      <c r="C30" s="59" t="str">
        <f aca="false">IFERROR(IF([1]对账明细接口!$C$30=0,"",[1]对账明细接口!$C$30),"")</f>
        <v>麦麦提</v>
      </c>
      <c r="D30" s="59" t="str">
        <f aca="false">IFERROR(IF([1]对账明细接口!$D$30=0,"",[1]对账明细接口!$D$30),"")</f>
        <v>包装物料－领用出库</v>
      </c>
      <c r="E30" s="59" t="str">
        <f aca="false">IFERROR(IF([1]对账明细接口!$E$30=0,"",[1]对账明细接口!$E$30),"")</f>
        <v>NO:0001113</v>
      </c>
      <c r="F30" s="59" t="str">
        <f aca="false">IFERROR(IF([1]对账明细接口!$F$30=0,"",[1]对账明细接口!$F$30),"")</f>
        <v>香梨网</v>
      </c>
      <c r="G30" s="59" t="str">
        <f aca="false">IFERROR(IF([1]对账明细接口!$G$30=0,"",[1]对账明细接口!$G$30),"")</f>
        <v>*包</v>
      </c>
      <c r="H30" s="60" t="n">
        <f aca="false">IFERROR(IF([1]对账明细接口!$H$30=0,"",[1]对账明细接口!$H$30),"")</f>
        <v>48</v>
      </c>
      <c r="I30" s="59" t="str">
        <f aca="false">IFERROR(IF([1]对账明细接口!$I$30=0,"",[1]对账明细接口!$I$30),"")</f>
        <v>包</v>
      </c>
      <c r="J30" s="61" t="str">
        <f aca="false">IFERROR(IF([1]对账明细接口!$J$30=0,"",[1]对账明细接口!$J$30),"")</f>
        <v/>
      </c>
      <c r="K30" s="61" t="n">
        <f aca="false">IFERROR(IF([1]对账明细接口!$K$30=0,"",[1]对账明细接口!$K$30),"")</f>
        <v>2160</v>
      </c>
      <c r="L30" s="59" t="str">
        <f aca="false">IFERROR(IF([1]对账明细接口!$L$30=0,"",[1]对账明细接口!$L$30),"")</f>
        <v>未付款</v>
      </c>
      <c r="M30" s="59" t="str">
        <f aca="false">IFERROR(IF([1]对账明细接口!$M$30=0,"",[1]对账明细接口!$M$30),"")</f>
        <v/>
      </c>
      <c r="N30" s="111" t="n">
        <f aca="false">IF($C30="",0,1)</f>
        <v>1</v>
      </c>
      <c r="O30" s="111" t="n">
        <f aca="false">N(O29)+$N30</f>
        <v>27</v>
      </c>
      <c r="S30" s="10" t="str">
        <f aca="false">IFERROR(IF([1]对账明细接口!$N30=0,"",[1]对账明细接口!$N30),"")</f>
        <v/>
      </c>
      <c r="T30" s="112" t="str">
        <f aca="false">IFERROR(IF([1]对账明细接口!$O30=0,"",[1]对账明细接口!$O30),"")</f>
        <v/>
      </c>
      <c r="U30" s="112" t="str">
        <f aca="false">IFERROR(IF([1]对账明细接口!$P30=0,"",[1]对账明细接口!$P30),"")</f>
        <v/>
      </c>
      <c r="V30" s="112" t="str">
        <f aca="false">IFERROR(IF([1]对账明细接口!$Q30=0,"",[1]对账明细接口!$Q30),"")</f>
        <v/>
      </c>
      <c r="W30" s="10" t="str">
        <f aca="false">IFERROR(IF([1]对账明细接口!$R30=0,"",[1]对账明细接口!$R30),"")</f>
        <v>新A*G0544</v>
      </c>
      <c r="X30" s="10" t="str">
        <f aca="false">IFERROR(IF([1]对账明细接口!$S30=0,"",[1]对账明细接口!$S30),"")</f>
        <v/>
      </c>
      <c r="Y30" s="10" t="str">
        <f aca="false">""</f>
        <v/>
      </c>
      <c r="Z30" s="10" t="str">
        <f aca="false">""</f>
        <v/>
      </c>
      <c r="AA30" s="10" t="str">
        <f aca="false">""</f>
        <v/>
      </c>
      <c r="AB30" s="10" t="str">
        <f aca="false">""</f>
        <v/>
      </c>
    </row>
    <row r="31" customFormat="false" ht="13.5" hidden="false" customHeight="false" outlineLevel="0" collapsed="false">
      <c r="A31" s="109" t="n">
        <v>31</v>
      </c>
      <c r="B31" s="110" t="n">
        <f aca="false">IFERROR(IF([1]对账明细接口!$B$31=0,"",[1]对账明细接口!$B$31),"")</f>
        <v>46276</v>
      </c>
      <c r="C31" s="59" t="str">
        <f aca="false">IFERROR(IF([1]对账明细接口!$C$31=0,"",[1]对账明细接口!$C$31),"")</f>
        <v>新顺发泡网</v>
      </c>
      <c r="D31" s="59" t="str">
        <f aca="false">IFERROR(IF([1]对账明细接口!$D$31=0,"",[1]对账明细接口!$D$31),"")</f>
        <v>包装物料－采购入库</v>
      </c>
      <c r="E31" s="59" t="str">
        <f aca="false">IFERROR(IF([1]对账明细接口!$E$31=0,"",[1]对账明细接口!$E$31),"")</f>
        <v>NO:0000779</v>
      </c>
      <c r="F31" s="59" t="str">
        <f aca="false">IFERROR(IF([1]对账明细接口!$F$31=0,"",[1]对账明细接口!$F$31),"")</f>
        <v>香梨网</v>
      </c>
      <c r="G31" s="59" t="str">
        <f aca="false">IFERROR(IF([1]对账明细接口!$G$31=0,"",[1]对账明细接口!$G$31),"")</f>
        <v>*包</v>
      </c>
      <c r="H31" s="60" t="n">
        <f aca="false">IFERROR(IF([1]对账明细接口!$H$31=0,"",[1]对账明细接口!$H$31),"")</f>
        <v>120</v>
      </c>
      <c r="I31" s="59" t="str">
        <f aca="false">IFERROR(IF([1]对账明细接口!$I$31=0,"",[1]对账明细接口!$I$31),"")</f>
        <v>包</v>
      </c>
      <c r="J31" s="61" t="str">
        <f aca="false">IFERROR(IF([1]对账明细接口!$J$31=0,"",[1]对账明细接口!$J$31),"")</f>
        <v/>
      </c>
      <c r="K31" s="61" t="n">
        <f aca="false">IFERROR(IF([1]对账明细接口!$K$31=0,"",[1]对账明细接口!$K$31),"")</f>
        <v>4440</v>
      </c>
      <c r="L31" s="59" t="str">
        <f aca="false">IFERROR(IF([1]对账明细接口!$L$31=0,"",[1]对账明细接口!$L$31),"")</f>
        <v>未付款</v>
      </c>
      <c r="M31" s="59" t="str">
        <f aca="false">IFERROR(IF([1]对账明细接口!$M$31=0,"",[1]对账明细接口!$M$31),"")</f>
        <v>12#</v>
      </c>
      <c r="N31" s="111" t="n">
        <f aca="false">IF($C31="",0,1)</f>
        <v>1</v>
      </c>
      <c r="O31" s="111" t="n">
        <f aca="false">N(O30)+$N31</f>
        <v>28</v>
      </c>
      <c r="S31" s="10" t="str">
        <f aca="false">IFERROR(IF([1]对账明细接口!$N31=0,"",[1]对账明细接口!$N31),"")</f>
        <v/>
      </c>
      <c r="T31" s="112" t="str">
        <f aca="false">IFERROR(IF([1]对账明细接口!$O31=0,"",[1]对账明细接口!$O31),"")</f>
        <v/>
      </c>
      <c r="U31" s="112" t="str">
        <f aca="false">IFERROR(IF([1]对账明细接口!$P31=0,"",[1]对账明细接口!$P31),"")</f>
        <v/>
      </c>
      <c r="V31" s="112" t="str">
        <f aca="false">IFERROR(IF([1]对账明细接口!$Q31=0,"",[1]对账明细接口!$Q31),"")</f>
        <v/>
      </c>
      <c r="W31" s="10" t="str">
        <f aca="false">IFERROR(IF([1]对账明细接口!$R31=0,"",[1]对账明细接口!$R31),"")</f>
        <v>皖L*KW876</v>
      </c>
      <c r="X31" s="10" t="str">
        <f aca="false">IFERROR(IF([1]对账明细接口!$S31=0,"",[1]对账明细接口!$S31),"")</f>
        <v/>
      </c>
      <c r="Y31" s="10" t="str">
        <f aca="false">""</f>
        <v/>
      </c>
      <c r="Z31" s="10" t="str">
        <f aca="false">""</f>
        <v/>
      </c>
      <c r="AA31" s="10" t="str">
        <f aca="false">""</f>
        <v/>
      </c>
      <c r="AB31" s="10" t="str">
        <f aca="false">""</f>
        <v/>
      </c>
    </row>
    <row r="32" customFormat="false" ht="13.5" hidden="false" customHeight="false" outlineLevel="0" collapsed="false">
      <c r="A32" s="109" t="n">
        <v>32</v>
      </c>
      <c r="B32" s="110" t="n">
        <f aca="false">IFERROR(IF([1]对账明细接口!$B$32=0,"",[1]对账明细接口!$B$32),"")</f>
        <v>46276</v>
      </c>
      <c r="C32" s="59" t="str">
        <f aca="false">IFERROR(IF([1]对账明细接口!$C$32=0,"",[1]对账明细接口!$C$32),"")</f>
        <v>吐尔洪</v>
      </c>
      <c r="D32" s="59" t="str">
        <f aca="false">IFERROR(IF([1]对账明细接口!$D$32=0,"",[1]对账明细接口!$D$32),"")</f>
        <v>包装物料－领用出库</v>
      </c>
      <c r="E32" s="59" t="str">
        <f aca="false">IFERROR(IF([1]对账明细接口!$E$32=0,"",[1]对账明细接口!$E$32),"")</f>
        <v>NO:0001117</v>
      </c>
      <c r="F32" s="59" t="str">
        <f aca="false">IFERROR(IF([1]对账明细接口!$F$32=0,"",[1]对账明细接口!$F$32),"")</f>
        <v>香梨网</v>
      </c>
      <c r="G32" s="59" t="str">
        <f aca="false">IFERROR(IF([1]对账明细接口!$G$32=0,"",[1]对账明细接口!$G$32),"")</f>
        <v>*包</v>
      </c>
      <c r="H32" s="60" t="n">
        <f aca="false">IFERROR(IF([1]对账明细接口!$H$32=0,"",[1]对账明细接口!$H$32),"")</f>
        <v>3</v>
      </c>
      <c r="I32" s="59" t="str">
        <f aca="false">IFERROR(IF([1]对账明细接口!$I$32=0,"",[1]对账明细接口!$I$32),"")</f>
        <v>包</v>
      </c>
      <c r="J32" s="61" t="str">
        <f aca="false">IFERROR(IF([1]对账明细接口!$J$32=0,"",[1]对账明细接口!$J$32),"")</f>
        <v/>
      </c>
      <c r="K32" s="61" t="n">
        <f aca="false">IFERROR(IF([1]对账明细接口!$K$32=0,"",[1]对账明细接口!$K$32),"")</f>
        <v>135</v>
      </c>
      <c r="L32" s="59" t="str">
        <f aca="false">IFERROR(IF([1]对账明细接口!$L$32=0,"",[1]对账明细接口!$L$32),"")</f>
        <v>未付款</v>
      </c>
      <c r="M32" s="59" t="str">
        <f aca="false">IFERROR(IF([1]对账明细接口!$M$32=0,"",[1]对账明细接口!$M$32),"")</f>
        <v/>
      </c>
      <c r="N32" s="111" t="n">
        <f aca="false">IF($C32="",0,1)</f>
        <v>1</v>
      </c>
      <c r="O32" s="111" t="n">
        <f aca="false">N(O31)+$N32</f>
        <v>29</v>
      </c>
      <c r="S32" s="10" t="str">
        <f aca="false">IFERROR(IF([1]对账明细接口!$N32=0,"",[1]对账明细接口!$N32),"")</f>
        <v/>
      </c>
      <c r="T32" s="112" t="str">
        <f aca="false">IFERROR(IF([1]对账明细接口!$O32=0,"",[1]对账明细接口!$O32),"")</f>
        <v/>
      </c>
      <c r="U32" s="112" t="str">
        <f aca="false">IFERROR(IF([1]对账明细接口!$P32=0,"",[1]对账明细接口!$P32),"")</f>
        <v/>
      </c>
      <c r="V32" s="112" t="str">
        <f aca="false">IFERROR(IF([1]对账明细接口!$Q32=0,"",[1]对账明细接口!$Q32),"")</f>
        <v/>
      </c>
      <c r="W32" s="10" t="str">
        <f aca="false">IFERROR(IF([1]对账明细接口!$R32=0,"",[1]对账明细接口!$R32),"")</f>
        <v>新N*Z0305</v>
      </c>
      <c r="X32" s="10" t="str">
        <f aca="false">IFERROR(IF([1]对账明细接口!$S32=0,"",[1]对账明细接口!$S32),"")</f>
        <v/>
      </c>
      <c r="Y32" s="10" t="str">
        <f aca="false">""</f>
        <v/>
      </c>
      <c r="Z32" s="10" t="str">
        <f aca="false">""</f>
        <v/>
      </c>
      <c r="AA32" s="10" t="str">
        <f aca="false">""</f>
        <v/>
      </c>
      <c r="AB32" s="10" t="str">
        <f aca="false">""</f>
        <v/>
      </c>
    </row>
    <row r="33" customFormat="false" ht="13.5" hidden="false" customHeight="false" outlineLevel="0" collapsed="false">
      <c r="A33" s="109" t="n">
        <v>33</v>
      </c>
      <c r="B33" s="110" t="n">
        <f aca="false">IFERROR(IF([1]对账明细接口!$B$33=0,"",[1]对账明细接口!$B$33),"")</f>
        <v>46276</v>
      </c>
      <c r="C33" s="59" t="str">
        <f aca="false">IFERROR(IF([1]对账明细接口!$C$33=0,"",[1]对账明细接口!$C$33),"")</f>
        <v>热合曼</v>
      </c>
      <c r="D33" s="59" t="str">
        <f aca="false">IFERROR(IF([1]对账明细接口!$D$33=0,"",[1]对账明细接口!$D$33),"")</f>
        <v>包装物料－领用出库</v>
      </c>
      <c r="E33" s="59" t="str">
        <f aca="false">IFERROR(IF([1]对账明细接口!$E$33=0,"",[1]对账明细接口!$E$33),"")</f>
        <v>NO:0001120</v>
      </c>
      <c r="F33" s="59" t="str">
        <f aca="false">IFERROR(IF([1]对账明细接口!$F$33=0,"",[1]对账明细接口!$F$33),"")</f>
        <v>香梨网</v>
      </c>
      <c r="G33" s="59" t="str">
        <f aca="false">IFERROR(IF([1]对账明细接口!$G$33=0,"",[1]对账明细接口!$G$33),"")</f>
        <v>*包</v>
      </c>
      <c r="H33" s="60" t="n">
        <f aca="false">IFERROR(IF([1]对账明细接口!$H$33=0,"",[1]对账明细接口!$H$33),"")</f>
        <v>48</v>
      </c>
      <c r="I33" s="59" t="str">
        <f aca="false">IFERROR(IF([1]对账明细接口!$I$33=0,"",[1]对账明细接口!$I$33),"")</f>
        <v>包</v>
      </c>
      <c r="J33" s="61" t="str">
        <f aca="false">IFERROR(IF([1]对账明细接口!$J$33=0,"",[1]对账明细接口!$J$33),"")</f>
        <v/>
      </c>
      <c r="K33" s="61" t="n">
        <f aca="false">IFERROR(IF([1]对账明细接口!$K$33=0,"",[1]对账明细接口!$K$33),"")</f>
        <v>2160</v>
      </c>
      <c r="L33" s="59" t="str">
        <f aca="false">IFERROR(IF([1]对账明细接口!$L$33=0,"",[1]对账明细接口!$L$33),"")</f>
        <v>未付款</v>
      </c>
      <c r="M33" s="59" t="str">
        <f aca="false">IFERROR(IF([1]对账明细接口!$M$33=0,"",[1]对账明细接口!$M$33),"")</f>
        <v/>
      </c>
      <c r="N33" s="111" t="n">
        <f aca="false">IF($C33="",0,1)</f>
        <v>1</v>
      </c>
      <c r="O33" s="111" t="n">
        <f aca="false">N(O32)+$N33</f>
        <v>30</v>
      </c>
      <c r="S33" s="10" t="str">
        <f aca="false">IFERROR(IF([1]对账明细接口!$N33=0,"",[1]对账明细接口!$N33),"")</f>
        <v/>
      </c>
      <c r="T33" s="112" t="str">
        <f aca="false">IFERROR(IF([1]对账明细接口!$O33=0,"",[1]对账明细接口!$O33),"")</f>
        <v/>
      </c>
      <c r="U33" s="112" t="str">
        <f aca="false">IFERROR(IF([1]对账明细接口!$P33=0,"",[1]对账明细接口!$P33),"")</f>
        <v/>
      </c>
      <c r="V33" s="112" t="str">
        <f aca="false">IFERROR(IF([1]对账明细接口!$Q33=0,"",[1]对账明细接口!$Q33),"")</f>
        <v/>
      </c>
      <c r="W33" s="10" t="str">
        <f aca="false">IFERROR(IF([1]对账明细接口!$R33=0,"",[1]对账明细接口!$R33),"")</f>
        <v>新A*G0544</v>
      </c>
      <c r="X33" s="10" t="str">
        <f aca="false">IFERROR(IF([1]对账明细接口!$S33=0,"",[1]对账明细接口!$S33),"")</f>
        <v/>
      </c>
      <c r="Y33" s="10" t="str">
        <f aca="false">""</f>
        <v/>
      </c>
      <c r="Z33" s="10" t="str">
        <f aca="false">""</f>
        <v/>
      </c>
      <c r="AA33" s="10" t="str">
        <f aca="false">""</f>
        <v/>
      </c>
      <c r="AB33" s="10" t="str">
        <f aca="false">""</f>
        <v/>
      </c>
    </row>
    <row r="34" customFormat="false" ht="13.5" hidden="false" customHeight="false" outlineLevel="0" collapsed="false">
      <c r="A34" s="109" t="n">
        <v>34</v>
      </c>
      <c r="B34" s="110" t="n">
        <f aca="false">IFERROR(IF([1]对账明细接口!$B$34=0,"",[1]对账明细接口!$B$34),"")</f>
        <v>46276</v>
      </c>
      <c r="C34" s="59" t="str">
        <f aca="false">IFERROR(IF([1]对账明细接口!$C$34=0,"",[1]对账明细接口!$C$34),"")</f>
        <v>吐尔洪</v>
      </c>
      <c r="D34" s="59" t="str">
        <f aca="false">IFERROR(IF([1]对账明细接口!$D$34=0,"",[1]对账明细接口!$D$34),"")</f>
        <v>包装物料－领用出库</v>
      </c>
      <c r="E34" s="59" t="str">
        <f aca="false">IFERROR(IF([1]对账明细接口!$E$34=0,"",[1]对账明细接口!$E$34),"")</f>
        <v>NO:0001121</v>
      </c>
      <c r="F34" s="59" t="str">
        <f aca="false">IFERROR(IF([1]对账明细接口!$F$34=0,"",[1]对账明细接口!$F$34),"")</f>
        <v>香梨网</v>
      </c>
      <c r="G34" s="59" t="str">
        <f aca="false">IFERROR(IF([1]对账明细接口!$G$34=0,"",[1]对账明细接口!$G$34),"")</f>
        <v>*包</v>
      </c>
      <c r="H34" s="60" t="n">
        <f aca="false">IFERROR(IF([1]对账明细接口!$H$34=0,"",[1]对账明细接口!$H$34),"")</f>
        <v>12</v>
      </c>
      <c r="I34" s="59" t="str">
        <f aca="false">IFERROR(IF([1]对账明细接口!$I$34=0,"",[1]对账明细接口!$I$34),"")</f>
        <v>包</v>
      </c>
      <c r="J34" s="61" t="str">
        <f aca="false">IFERROR(IF([1]对账明细接口!$J$34=0,"",[1]对账明细接口!$J$34),"")</f>
        <v/>
      </c>
      <c r="K34" s="61" t="n">
        <f aca="false">IFERROR(IF([1]对账明细接口!$K$34=0,"",[1]对账明细接口!$K$34),"")</f>
        <v>540</v>
      </c>
      <c r="L34" s="59" t="str">
        <f aca="false">IFERROR(IF([1]对账明细接口!$L$34=0,"",[1]对账明细接口!$L$34),"")</f>
        <v>未付款</v>
      </c>
      <c r="M34" s="59" t="str">
        <f aca="false">IFERROR(IF([1]对账明细接口!$M$34=0,"",[1]对账明细接口!$M$34),"")</f>
        <v/>
      </c>
      <c r="N34" s="111" t="n">
        <f aca="false">IF($C34="",0,1)</f>
        <v>1</v>
      </c>
      <c r="O34" s="111" t="n">
        <f aca="false">N(O33)+$N34</f>
        <v>31</v>
      </c>
      <c r="S34" s="10" t="str">
        <f aca="false">IFERROR(IF([1]对账明细接口!$N34=0,"",[1]对账明细接口!$N34),"")</f>
        <v/>
      </c>
      <c r="T34" s="112" t="str">
        <f aca="false">IFERROR(IF([1]对账明细接口!$O34=0,"",[1]对账明细接口!$O34),"")</f>
        <v/>
      </c>
      <c r="U34" s="112" t="str">
        <f aca="false">IFERROR(IF([1]对账明细接口!$P34=0,"",[1]对账明细接口!$P34),"")</f>
        <v/>
      </c>
      <c r="V34" s="112" t="str">
        <f aca="false">IFERROR(IF([1]对账明细接口!$Q34=0,"",[1]对账明细接口!$Q34),"")</f>
        <v/>
      </c>
      <c r="W34" s="10" t="str">
        <f aca="false">IFERROR(IF([1]对账明细接口!$R34=0,"",[1]对账明细接口!$R34),"")</f>
        <v>新N*X8S48</v>
      </c>
      <c r="X34" s="10" t="str">
        <f aca="false">IFERROR(IF([1]对账明细接口!$S34=0,"",[1]对账明细接口!$S34),"")</f>
        <v/>
      </c>
      <c r="Y34" s="10" t="str">
        <f aca="false">""</f>
        <v/>
      </c>
      <c r="Z34" s="10" t="str">
        <f aca="false">""</f>
        <v/>
      </c>
      <c r="AA34" s="10" t="str">
        <f aca="false">""</f>
        <v/>
      </c>
      <c r="AB34" s="10" t="str">
        <f aca="false">""</f>
        <v/>
      </c>
    </row>
    <row r="35" customFormat="false" ht="13.5" hidden="false" customHeight="false" outlineLevel="0" collapsed="false">
      <c r="A35" s="109" t="n">
        <v>35</v>
      </c>
      <c r="B35" s="110" t="n">
        <f aca="false">IFERROR(IF([1]对账明细接口!$B$35=0,"",[1]对账明细接口!$B$35),"")</f>
        <v>46277</v>
      </c>
      <c r="C35" s="59" t="str">
        <f aca="false">IFERROR(IF([1]对账明细接口!$C$35=0,"",[1]对账明细接口!$C$35),"")</f>
        <v>新顺发泡网</v>
      </c>
      <c r="D35" s="59" t="str">
        <f aca="false">IFERROR(IF([1]对账明细接口!$D$35=0,"",[1]对账明细接口!$D$35),"")</f>
        <v>包装物料－采购入库</v>
      </c>
      <c r="E35" s="59" t="str">
        <f aca="false">IFERROR(IF([1]对账明细接口!$E$35=0,"",[1]对账明细接口!$E$35),"")</f>
        <v>NO:0000791</v>
      </c>
      <c r="F35" s="59" t="str">
        <f aca="false">IFERROR(IF([1]对账明细接口!$F$35=0,"",[1]对账明细接口!$F$35),"")</f>
        <v>香梨网</v>
      </c>
      <c r="G35" s="59" t="str">
        <f aca="false">IFERROR(IF([1]对账明细接口!$G$35=0,"",[1]对账明细接口!$G$35),"")</f>
        <v>*包</v>
      </c>
      <c r="H35" s="60" t="n">
        <f aca="false">IFERROR(IF([1]对账明细接口!$H$35=0,"",[1]对账明细接口!$H$35),"")</f>
        <v>120</v>
      </c>
      <c r="I35" s="59" t="str">
        <f aca="false">IFERROR(IF([1]对账明细接口!$I$35=0,"",[1]对账明细接口!$I$35),"")</f>
        <v>包</v>
      </c>
      <c r="J35" s="61" t="str">
        <f aca="false">IFERROR(IF([1]对账明细接口!$J$35=0,"",[1]对账明细接口!$J$35),"")</f>
        <v/>
      </c>
      <c r="K35" s="61" t="n">
        <f aca="false">IFERROR(IF([1]对账明细接口!$K$35=0,"",[1]对账明细接口!$K$35),"")</f>
        <v>4440</v>
      </c>
      <c r="L35" s="59" t="str">
        <f aca="false">IFERROR(IF([1]对账明细接口!$L$35=0,"",[1]对账明细接口!$L$35),"")</f>
        <v>未付款</v>
      </c>
      <c r="M35" s="59" t="str">
        <f aca="false">IFERROR(IF([1]对账明细接口!$M$35=0,"",[1]对账明细接口!$M$35),"")</f>
        <v>12#</v>
      </c>
      <c r="N35" s="111" t="n">
        <f aca="false">IF($C35="",0,1)</f>
        <v>1</v>
      </c>
      <c r="O35" s="111" t="n">
        <f aca="false">N(O34)+$N35</f>
        <v>32</v>
      </c>
      <c r="S35" s="10" t="str">
        <f aca="false">IFERROR(IF([1]对账明细接口!$N35=0,"",[1]对账明细接口!$N35),"")</f>
        <v/>
      </c>
      <c r="T35" s="112" t="str">
        <f aca="false">IFERROR(IF([1]对账明细接口!$O35=0,"",[1]对账明细接口!$O35),"")</f>
        <v/>
      </c>
      <c r="U35" s="112" t="str">
        <f aca="false">IFERROR(IF([1]对账明细接口!$P35=0,"",[1]对账明细接口!$P35),"")</f>
        <v/>
      </c>
      <c r="V35" s="112" t="str">
        <f aca="false">IFERROR(IF([1]对账明细接口!$Q35=0,"",[1]对账明细接口!$Q35),"")</f>
        <v/>
      </c>
      <c r="W35" s="10" t="str">
        <f aca="false">IFERROR(IF([1]对账明细接口!$R35=0,"",[1]对账明细接口!$R35),"")</f>
        <v>皖L*SD929</v>
      </c>
      <c r="X35" s="10" t="str">
        <f aca="false">IFERROR(IF([1]对账明细接口!$S35=0,"",[1]对账明细接口!$S35),"")</f>
        <v/>
      </c>
      <c r="Y35" s="10" t="str">
        <f aca="false">""</f>
        <v/>
      </c>
      <c r="Z35" s="10" t="str">
        <f aca="false">""</f>
        <v/>
      </c>
      <c r="AA35" s="10" t="str">
        <f aca="false">""</f>
        <v/>
      </c>
      <c r="AB35" s="10" t="str">
        <f aca="false">""</f>
        <v/>
      </c>
    </row>
    <row r="36" customFormat="false" ht="13.5" hidden="false" customHeight="false" outlineLevel="0" collapsed="false">
      <c r="A36" s="109" t="n">
        <v>36</v>
      </c>
      <c r="B36" s="110" t="n">
        <f aca="false">IFERROR(IF([1]对账明细接口!$B$36=0,"",[1]对账明细接口!$B$36),"")</f>
        <v>46277</v>
      </c>
      <c r="C36" s="59" t="str">
        <f aca="false">IFERROR(IF([1]对账明细接口!$C$36=0,"",[1]对账明细接口!$C$36),"")</f>
        <v>麦麦提</v>
      </c>
      <c r="D36" s="59" t="str">
        <f aca="false">IFERROR(IF([1]对账明细接口!$D$36=0,"",[1]对账明细接口!$D$36),"")</f>
        <v>包装物料－领用出库</v>
      </c>
      <c r="E36" s="59" t="str">
        <f aca="false">IFERROR(IF([1]对账明细接口!$E$36=0,"",[1]对账明细接口!$E$36),"")</f>
        <v>NO:0001125</v>
      </c>
      <c r="F36" s="59" t="str">
        <f aca="false">IFERROR(IF([1]对账明细接口!$F$36=0,"",[1]对账明细接口!$F$36),"")</f>
        <v>香梨网</v>
      </c>
      <c r="G36" s="59" t="str">
        <f aca="false">IFERROR(IF([1]对账明细接口!$G$36=0,"",[1]对账明细接口!$G$36),"")</f>
        <v>*包</v>
      </c>
      <c r="H36" s="60" t="n">
        <f aca="false">IFERROR(IF([1]对账明细接口!$H$36=0,"",[1]对账明细接口!$H$36),"")</f>
        <v>48</v>
      </c>
      <c r="I36" s="59" t="str">
        <f aca="false">IFERROR(IF([1]对账明细接口!$I$36=0,"",[1]对账明细接口!$I$36),"")</f>
        <v>包</v>
      </c>
      <c r="J36" s="61" t="str">
        <f aca="false">IFERROR(IF([1]对账明细接口!$J$36=0,"",[1]对账明细接口!$J$36),"")</f>
        <v/>
      </c>
      <c r="K36" s="61" t="n">
        <f aca="false">IFERROR(IF([1]对账明细接口!$K$36=0,"",[1]对账明细接口!$K$36),"")</f>
        <v>2160</v>
      </c>
      <c r="L36" s="59" t="str">
        <f aca="false">IFERROR(IF([1]对账明细接口!$L$36=0,"",[1]对账明细接口!$L$36),"")</f>
        <v>未付款</v>
      </c>
      <c r="M36" s="59" t="str">
        <f aca="false">IFERROR(IF([1]对账明细接口!$M$36=0,"",[1]对账明细接口!$M$36),"")</f>
        <v/>
      </c>
      <c r="N36" s="111" t="n">
        <f aca="false">IF($C36="",0,1)</f>
        <v>1</v>
      </c>
      <c r="O36" s="111" t="n">
        <f aca="false">N(O35)+$N36</f>
        <v>33</v>
      </c>
      <c r="S36" s="10" t="str">
        <f aca="false">IFERROR(IF([1]对账明细接口!$N36=0,"",[1]对账明细接口!$N36),"")</f>
        <v/>
      </c>
      <c r="T36" s="112" t="str">
        <f aca="false">IFERROR(IF([1]对账明细接口!$O36=0,"",[1]对账明细接口!$O36),"")</f>
        <v/>
      </c>
      <c r="U36" s="112" t="str">
        <f aca="false">IFERROR(IF([1]对账明细接口!$P36=0,"",[1]对账明细接口!$P36),"")</f>
        <v/>
      </c>
      <c r="V36" s="112" t="str">
        <f aca="false">IFERROR(IF([1]对账明细接口!$Q36=0,"",[1]对账明细接口!$Q36),"")</f>
        <v/>
      </c>
      <c r="W36" s="10" t="str">
        <f aca="false">IFERROR(IF([1]对账明细接口!$R36=0,"",[1]对账明细接口!$R36),"")</f>
        <v>新A*G0544</v>
      </c>
      <c r="X36" s="10" t="str">
        <f aca="false">IFERROR(IF([1]对账明细接口!$S36=0,"",[1]对账明细接口!$S36),"")</f>
        <v/>
      </c>
      <c r="Y36" s="10" t="str">
        <f aca="false">""</f>
        <v/>
      </c>
      <c r="Z36" s="10" t="str">
        <f aca="false">""</f>
        <v/>
      </c>
      <c r="AA36" s="10" t="str">
        <f aca="false">""</f>
        <v/>
      </c>
      <c r="AB36" s="10" t="str">
        <f aca="false">""</f>
        <v/>
      </c>
    </row>
    <row r="37" customFormat="false" ht="13.5" hidden="false" customHeight="false" outlineLevel="0" collapsed="false">
      <c r="A37" s="109" t="n">
        <v>37</v>
      </c>
      <c r="B37" s="110" t="n">
        <f aca="false">IFERROR(IF([1]对账明细接口!$B$37=0,"",[1]对账明细接口!$B$37),"")</f>
        <v>46278</v>
      </c>
      <c r="C37" s="59" t="str">
        <f aca="false">IFERROR(IF([1]对账明细接口!$C$37=0,"",[1]对账明细接口!$C$37),"")</f>
        <v>荆建君</v>
      </c>
      <c r="D37" s="59" t="str">
        <f aca="false">IFERROR(IF([1]对账明细接口!$D$37=0,"",[1]对账明细接口!$D$37),"")</f>
        <v>包装物料－领用出库</v>
      </c>
      <c r="E37" s="59" t="str">
        <f aca="false">IFERROR(IF([1]对账明细接口!$E$37=0,"",[1]对账明细接口!$E$37),"")</f>
        <v>NO:0001126</v>
      </c>
      <c r="F37" s="59" t="str">
        <f aca="false">IFERROR(IF([1]对账明细接口!$F$37=0,"",[1]对账明细接口!$F$37),"")</f>
        <v>香梨网</v>
      </c>
      <c r="G37" s="59" t="str">
        <f aca="false">IFERROR(IF([1]对账明细接口!$G$37=0,"",[1]对账明细接口!$G$37),"")</f>
        <v>*包</v>
      </c>
      <c r="H37" s="60" t="n">
        <f aca="false">IFERROR(IF([1]对账明细接口!$H$37=0,"",[1]对账明细接口!$H$37),"")</f>
        <v>120</v>
      </c>
      <c r="I37" s="59" t="str">
        <f aca="false">IFERROR(IF([1]对账明细接口!$I$37=0,"",[1]对账明细接口!$I$37),"")</f>
        <v>包</v>
      </c>
      <c r="J37" s="61" t="str">
        <f aca="false">IFERROR(IF([1]对账明细接口!$J$37=0,"",[1]对账明细接口!$J$37),"")</f>
        <v/>
      </c>
      <c r="K37" s="61" t="n">
        <f aca="false">IFERROR(IF([1]对账明细接口!$K$37=0,"",[1]对账明细接口!$K$37),"")</f>
        <v>5400</v>
      </c>
      <c r="L37" s="59" t="str">
        <f aca="false">IFERROR(IF([1]对账明细接口!$L$37=0,"",[1]对账明细接口!$L$37),"")</f>
        <v>未付款</v>
      </c>
      <c r="M37" s="59" t="str">
        <f aca="false">IFERROR(IF([1]对账明细接口!$M$37=0,"",[1]对账明细接口!$M$37),"")</f>
        <v/>
      </c>
      <c r="N37" s="111" t="n">
        <f aca="false">IF($C37="",0,1)</f>
        <v>1</v>
      </c>
      <c r="O37" s="111" t="n">
        <f aca="false">N(O36)+$N37</f>
        <v>34</v>
      </c>
      <c r="S37" s="10" t="str">
        <f aca="false">IFERROR(IF([1]对账明细接口!$N37=0,"",[1]对账明细接口!$N37),"")</f>
        <v/>
      </c>
      <c r="T37" s="112" t="str">
        <f aca="false">IFERROR(IF([1]对账明细接口!$O37=0,"",[1]对账明细接口!$O37),"")</f>
        <v/>
      </c>
      <c r="U37" s="112" t="str">
        <f aca="false">IFERROR(IF([1]对账明细接口!$P37=0,"",[1]对账明细接口!$P37),"")</f>
        <v/>
      </c>
      <c r="V37" s="112" t="str">
        <f aca="false">IFERROR(IF([1]对账明细接口!$Q37=0,"",[1]对账明细接口!$Q37),"")</f>
        <v/>
      </c>
      <c r="W37" s="10" t="str">
        <f aca="false">IFERROR(IF([1]对账明细接口!$R37=0,"",[1]对账明细接口!$R37),"")</f>
        <v>豫A*2737K</v>
      </c>
      <c r="X37" s="10" t="str">
        <f aca="false">IFERROR(IF([1]对账明细接口!$S37=0,"",[1]对账明细接口!$S37),"")</f>
        <v/>
      </c>
      <c r="Y37" s="10" t="str">
        <f aca="false">""</f>
        <v/>
      </c>
      <c r="Z37" s="10" t="str">
        <f aca="false">""</f>
        <v/>
      </c>
      <c r="AA37" s="10" t="str">
        <f aca="false">""</f>
        <v/>
      </c>
      <c r="AB37" s="10" t="str">
        <f aca="false">""</f>
        <v/>
      </c>
    </row>
    <row r="38" customFormat="false" ht="13.5" hidden="false" customHeight="false" outlineLevel="0" collapsed="false">
      <c r="A38" s="109" t="n">
        <v>38</v>
      </c>
      <c r="B38" s="110" t="n">
        <f aca="false">IFERROR(IF([1]对账明细接口!$B$38=0,"",[1]对账明细接口!$B$38),"")</f>
        <v>46278</v>
      </c>
      <c r="C38" s="59" t="str">
        <f aca="false">IFERROR(IF([1]对账明细接口!$C$38=0,"",[1]对账明细接口!$C$38),"")</f>
        <v>吐尔洪</v>
      </c>
      <c r="D38" s="59" t="str">
        <f aca="false">IFERROR(IF([1]对账明细接口!$D$38=0,"",[1]对账明细接口!$D$38),"")</f>
        <v>包装物料－领用出库</v>
      </c>
      <c r="E38" s="59" t="str">
        <f aca="false">IFERROR(IF([1]对账明细接口!$E$38=0,"",[1]对账明细接口!$E$38),"")</f>
        <v>NO:0001132</v>
      </c>
      <c r="F38" s="59" t="str">
        <f aca="false">IFERROR(IF([1]对账明细接口!$F$38=0,"",[1]对账明细接口!$F$38),"")</f>
        <v>香梨网</v>
      </c>
      <c r="G38" s="59" t="str">
        <f aca="false">IFERROR(IF([1]对账明细接口!$G$38=0,"",[1]对账明细接口!$G$38),"")</f>
        <v>*包</v>
      </c>
      <c r="H38" s="60" t="n">
        <f aca="false">IFERROR(IF([1]对账明细接口!$H$38=0,"",[1]对账明细接口!$H$38),"")</f>
        <v>24</v>
      </c>
      <c r="I38" s="59" t="str">
        <f aca="false">IFERROR(IF([1]对账明细接口!$I$38=0,"",[1]对账明细接口!$I$38),"")</f>
        <v>包</v>
      </c>
      <c r="J38" s="61" t="str">
        <f aca="false">IFERROR(IF([1]对账明细接口!$J$38=0,"",[1]对账明细接口!$J$38),"")</f>
        <v/>
      </c>
      <c r="K38" s="61" t="n">
        <f aca="false">IFERROR(IF([1]对账明细接口!$K$38=0,"",[1]对账明细接口!$K$38),"")</f>
        <v>1080</v>
      </c>
      <c r="L38" s="59" t="str">
        <f aca="false">IFERROR(IF([1]对账明细接口!$L$38=0,"",[1]对账明细接口!$L$38),"")</f>
        <v>未付款</v>
      </c>
      <c r="M38" s="59" t="str">
        <f aca="false">IFERROR(IF([1]对账明细接口!$M$38=0,"",[1]对账明细接口!$M$38),"")</f>
        <v/>
      </c>
      <c r="N38" s="111" t="n">
        <f aca="false">IF($C38="",0,1)</f>
        <v>1</v>
      </c>
      <c r="O38" s="111" t="n">
        <f aca="false">N(O37)+$N38</f>
        <v>35</v>
      </c>
      <c r="S38" s="10" t="str">
        <f aca="false">IFERROR(IF([1]对账明细接口!$N38=0,"",[1]对账明细接口!$N38),"")</f>
        <v/>
      </c>
      <c r="T38" s="112" t="str">
        <f aca="false">IFERROR(IF([1]对账明细接口!$O38=0,"",[1]对账明细接口!$O38),"")</f>
        <v/>
      </c>
      <c r="U38" s="112" t="str">
        <f aca="false">IFERROR(IF([1]对账明细接口!$P38=0,"",[1]对账明细接口!$P38),"")</f>
        <v/>
      </c>
      <c r="V38" s="112" t="str">
        <f aca="false">IFERROR(IF([1]对账明细接口!$Q38=0,"",[1]对账明细接口!$Q38),"")</f>
        <v/>
      </c>
      <c r="W38" s="10" t="str">
        <f aca="false">IFERROR(IF([1]对账明细接口!$R38=0,"",[1]对账明细接口!$R38),"")</f>
        <v>新N*X8S48</v>
      </c>
      <c r="X38" s="10" t="str">
        <f aca="false">IFERROR(IF([1]对账明细接口!$S38=0,"",[1]对账明细接口!$S38),"")</f>
        <v/>
      </c>
      <c r="Y38" s="10" t="str">
        <f aca="false">""</f>
        <v/>
      </c>
      <c r="Z38" s="10" t="str">
        <f aca="false">""</f>
        <v/>
      </c>
      <c r="AA38" s="10" t="str">
        <f aca="false">""</f>
        <v/>
      </c>
      <c r="AB38" s="10" t="str">
        <f aca="false">""</f>
        <v/>
      </c>
    </row>
    <row r="39" customFormat="false" ht="13.5" hidden="false" customHeight="false" outlineLevel="0" collapsed="false">
      <c r="A39" s="109" t="n">
        <v>39</v>
      </c>
      <c r="B39" s="110" t="n">
        <f aca="false">IFERROR(IF([1]对账明细接口!$B$39=0,"",[1]对账明细接口!$B$39),"")</f>
        <v>46278</v>
      </c>
      <c r="C39" s="59" t="str">
        <f aca="false">IFERROR(IF([1]对账明细接口!$C$39=0,"",[1]对账明细接口!$C$39),"")</f>
        <v>努尔敦</v>
      </c>
      <c r="D39" s="59" t="str">
        <f aca="false">IFERROR(IF([1]对账明细接口!$D$39=0,"",[1]对账明细接口!$D$39),"")</f>
        <v>包装物料－领用出库</v>
      </c>
      <c r="E39" s="59" t="str">
        <f aca="false">IFERROR(IF([1]对账明细接口!$E$39=0,"",[1]对账明细接口!$E$39),"")</f>
        <v>NO:0001133</v>
      </c>
      <c r="F39" s="59" t="str">
        <f aca="false">IFERROR(IF([1]对账明细接口!$F$39=0,"",[1]对账明细接口!$F$39),"")</f>
        <v>香梨网</v>
      </c>
      <c r="G39" s="59" t="str">
        <f aca="false">IFERROR(IF([1]对账明细接口!$G$39=0,"",[1]对账明细接口!$G$39),"")</f>
        <v>*包</v>
      </c>
      <c r="H39" s="60" t="n">
        <f aca="false">IFERROR(IF([1]对账明细接口!$H$39=0,"",[1]对账明细接口!$H$39),"")</f>
        <v>120</v>
      </c>
      <c r="I39" s="59" t="str">
        <f aca="false">IFERROR(IF([1]对账明细接口!$I$39=0,"",[1]对账明细接口!$I$39),"")</f>
        <v>包</v>
      </c>
      <c r="J39" s="61" t="str">
        <f aca="false">IFERROR(IF([1]对账明细接口!$J$39=0,"",[1]对账明细接口!$J$39),"")</f>
        <v/>
      </c>
      <c r="K39" s="61" t="n">
        <f aca="false">IFERROR(IF([1]对账明细接口!$K$39=0,"",[1]对账明细接口!$K$39),"")</f>
        <v>5400</v>
      </c>
      <c r="L39" s="59" t="str">
        <f aca="false">IFERROR(IF([1]对账明细接口!$L$39=0,"",[1]对账明细接口!$L$39),"")</f>
        <v>未付款</v>
      </c>
      <c r="M39" s="59" t="str">
        <f aca="false">IFERROR(IF([1]对账明细接口!$M$39=0,"",[1]对账明细接口!$M$39),"")</f>
        <v/>
      </c>
      <c r="N39" s="111" t="n">
        <f aca="false">IF($C39="",0,1)</f>
        <v>1</v>
      </c>
      <c r="O39" s="111" t="n">
        <f aca="false">N(O38)+$N39</f>
        <v>36</v>
      </c>
      <c r="S39" s="10" t="str">
        <f aca="false">IFERROR(IF([1]对账明细接口!$N39=0,"",[1]对账明细接口!$N39),"")</f>
        <v/>
      </c>
      <c r="T39" s="112" t="str">
        <f aca="false">IFERROR(IF([1]对账明细接口!$O39=0,"",[1]对账明细接口!$O39),"")</f>
        <v/>
      </c>
      <c r="U39" s="112" t="str">
        <f aca="false">IFERROR(IF([1]对账明细接口!$P39=0,"",[1]对账明细接口!$P39),"")</f>
        <v/>
      </c>
      <c r="V39" s="112" t="str">
        <f aca="false">IFERROR(IF([1]对账明细接口!$Q39=0,"",[1]对账明细接口!$Q39),"")</f>
        <v/>
      </c>
      <c r="W39" s="10" t="str">
        <f aca="false">IFERROR(IF([1]对账明细接口!$R39=0,"",[1]对账明细接口!$R39),"")</f>
        <v>新F*75240</v>
      </c>
      <c r="X39" s="10" t="str">
        <f aca="false">IFERROR(IF([1]对账明细接口!$S39=0,"",[1]对账明细接口!$S39),"")</f>
        <v/>
      </c>
      <c r="Y39" s="10" t="str">
        <f aca="false">""</f>
        <v/>
      </c>
      <c r="Z39" s="10" t="str">
        <f aca="false">""</f>
        <v/>
      </c>
      <c r="AA39" s="10" t="str">
        <f aca="false">""</f>
        <v/>
      </c>
      <c r="AB39" s="10" t="str">
        <f aca="false">""</f>
        <v/>
      </c>
    </row>
    <row r="40" customFormat="false" ht="13.5" hidden="false" customHeight="false" outlineLevel="0" collapsed="false">
      <c r="A40" s="109" t="n">
        <v>40</v>
      </c>
      <c r="B40" s="110" t="n">
        <f aca="false">IFERROR(IF([1]对账明细接口!$B$40=0,"",[1]对账明细接口!$B$40),"")</f>
        <v>46279</v>
      </c>
      <c r="C40" s="59" t="str">
        <f aca="false">IFERROR(IF([1]对账明细接口!$C$40=0,"",[1]对账明细接口!$C$40),"")</f>
        <v>新顺发泡网</v>
      </c>
      <c r="D40" s="59" t="str">
        <f aca="false">IFERROR(IF([1]对账明细接口!$D$40=0,"",[1]对账明细接口!$D$40),"")</f>
        <v>包装物料－采购入库</v>
      </c>
      <c r="E40" s="59" t="str">
        <f aca="false">IFERROR(IF([1]对账明细接口!$E$40=0,"",[1]对账明细接口!$E$40),"")</f>
        <v>NO:0000856</v>
      </c>
      <c r="F40" s="59" t="str">
        <f aca="false">IFERROR(IF([1]对账明细接口!$F$40=0,"",[1]对账明细接口!$F$40),"")</f>
        <v>香梨网</v>
      </c>
      <c r="G40" s="59" t="str">
        <f aca="false">IFERROR(IF([1]对账明细接口!$G$40=0,"",[1]对账明细接口!$G$40),"")</f>
        <v>*包</v>
      </c>
      <c r="H40" s="60" t="n">
        <f aca="false">IFERROR(IF([1]对账明细接口!$H$40=0,"",[1]对账明细接口!$H$40),"")</f>
        <v>100</v>
      </c>
      <c r="I40" s="59" t="str">
        <f aca="false">IFERROR(IF([1]对账明细接口!$I$40=0,"",[1]对账明细接口!$I$40),"")</f>
        <v>包</v>
      </c>
      <c r="J40" s="61" t="str">
        <f aca="false">IFERROR(IF([1]对账明细接口!$J$40=0,"",[1]对账明细接口!$J$40),"")</f>
        <v/>
      </c>
      <c r="K40" s="61" t="n">
        <f aca="false">IFERROR(IF([1]对账明细接口!$K$40=0,"",[1]对账明细接口!$K$40),"")</f>
        <v>3700</v>
      </c>
      <c r="L40" s="59" t="str">
        <f aca="false">IFERROR(IF([1]对账明细接口!$L$40=0,"",[1]对账明细接口!$L$40),"")</f>
        <v>未付款</v>
      </c>
      <c r="M40" s="59" t="str">
        <f aca="false">IFERROR(IF([1]对账明细接口!$M$40=0,"",[1]对账明细接口!$M$40),"")</f>
        <v>12#</v>
      </c>
      <c r="N40" s="111" t="n">
        <f aca="false">IF($C40="",0,1)</f>
        <v>1</v>
      </c>
      <c r="O40" s="111" t="n">
        <f aca="false">N(O39)+$N40</f>
        <v>37</v>
      </c>
      <c r="S40" s="10" t="str">
        <f aca="false">IFERROR(IF([1]对账明细接口!$N40=0,"",[1]对账明细接口!$N40),"")</f>
        <v/>
      </c>
      <c r="T40" s="112" t="str">
        <f aca="false">IFERROR(IF([1]对账明细接口!$O40=0,"",[1]对账明细接口!$O40),"")</f>
        <v/>
      </c>
      <c r="U40" s="112" t="str">
        <f aca="false">IFERROR(IF([1]对账明细接口!$P40=0,"",[1]对账明细接口!$P40),"")</f>
        <v/>
      </c>
      <c r="V40" s="112" t="str">
        <f aca="false">IFERROR(IF([1]对账明细接口!$Q40=0,"",[1]对账明细接口!$Q40),"")</f>
        <v/>
      </c>
      <c r="W40" s="10" t="str">
        <f aca="false">IFERROR(IF([1]对账明细接口!$R40=0,"",[1]对账明细接口!$R40),"")</f>
        <v>新N*2698H</v>
      </c>
      <c r="X40" s="10" t="str">
        <f aca="false">IFERROR(IF([1]对账明细接口!$S40=0,"",[1]对账明细接口!$S40),"")</f>
        <v/>
      </c>
      <c r="Y40" s="10" t="str">
        <f aca="false">""</f>
        <v/>
      </c>
      <c r="Z40" s="10" t="str">
        <f aca="false">""</f>
        <v/>
      </c>
      <c r="AA40" s="10" t="str">
        <f aca="false">""</f>
        <v/>
      </c>
      <c r="AB40" s="10" t="str">
        <f aca="false">""</f>
        <v/>
      </c>
    </row>
    <row r="41" customFormat="false" ht="13.5" hidden="false" customHeight="false" outlineLevel="0" collapsed="false">
      <c r="A41" s="109" t="n">
        <v>41</v>
      </c>
      <c r="B41" s="110" t="n">
        <f aca="false">IFERROR(IF([1]对账明细接口!$B$41=0,"",[1]对账明细接口!$B$41),"")</f>
        <v>46245</v>
      </c>
      <c r="C41" s="59" t="str">
        <f aca="false">IFERROR(IF([1]对账明细接口!$C$41=0,"",[1]对账明细接口!$C$41),"")</f>
        <v>王照雪</v>
      </c>
      <c r="D41" s="59" t="str">
        <f aca="false">IFERROR(IF([1]对账明细接口!$D$41=0,"",[1]对账明细接口!$D$41),"")</f>
        <v>周转筐－领用出库</v>
      </c>
      <c r="E41" s="59" t="str">
        <f aca="false">IFERROR(IF([1]对账明细接口!$E$41=0,"",[1]对账明细接口!$E$41),"")</f>
        <v>NO:0001015</v>
      </c>
      <c r="F41" s="59" t="str">
        <f aca="false">IFERROR(IF([1]对账明细接口!$F$41=0,"",[1]对账明细接口!$F$41),"")</f>
        <v>公司杂周转筐</v>
      </c>
      <c r="G41" s="59" t="str">
        <f aca="false">IFERROR(IF([1]对账明细接口!$G$41=0,"",[1]对账明细接口!$G$41),"")</f>
        <v/>
      </c>
      <c r="H41" s="60" t="n">
        <f aca="false">IFERROR(IF([1]对账明细接口!$H$41=0,"",[1]对账明细接口!$H$41),"")</f>
        <v>351</v>
      </c>
      <c r="I41" s="59" t="str">
        <f aca="false">IFERROR(IF([1]对账明细接口!$I$41=0,"",[1]对账明细接口!$I$41),"")</f>
        <v>个</v>
      </c>
      <c r="J41" s="61" t="str">
        <f aca="false">IFERROR(IF([1]对账明细接口!$J$41=0,"",[1]对账明细接口!$J$41),"")</f>
        <v/>
      </c>
      <c r="K41" s="61" t="str">
        <f aca="false">IFERROR(IF([1]对账明细接口!$K$41=0,"",[1]对账明细接口!$K$41),"")</f>
        <v/>
      </c>
      <c r="L41" s="59" t="str">
        <f aca="false">IFERROR(IF([1]对账明细接口!$L$41=0,"",[1]对账明细接口!$L$41),"")</f>
        <v/>
      </c>
      <c r="M41" s="59" t="str">
        <f aca="false">IFERROR(IF([1]对账明细接口!$M$41=0,"",[1]对账明细接口!$M$41),"")</f>
        <v/>
      </c>
      <c r="N41" s="111" t="n">
        <f aca="false">IF($C41="",0,1)</f>
        <v>1</v>
      </c>
      <c r="O41" s="111" t="n">
        <f aca="false">N(O40)+$N41</f>
        <v>38</v>
      </c>
      <c r="S41" s="10" t="str">
        <f aca="false">IFERROR(IF([1]对账明细接口!$N41=0,"",[1]对账明细接口!$N41),"")</f>
        <v>公司杂周转筐</v>
      </c>
      <c r="T41" s="112" t="n">
        <f aca="false">IFERROR(IF([1]对账明细接口!$O41=0,"",[1]对账明细接口!$O41),"")</f>
        <v>351</v>
      </c>
      <c r="U41" s="112" t="str">
        <f aca="false">IFERROR(IF([1]对账明细接口!$P41=0,"",[1]对账明细接口!$P41),"")</f>
        <v/>
      </c>
      <c r="V41" s="112" t="str">
        <f aca="false">IFERROR(IF([1]对账明细接口!$Q41=0,"",[1]对账明细接口!$Q41),"")</f>
        <v/>
      </c>
      <c r="W41" s="10" t="str">
        <f aca="false">IFERROR(IF([1]对账明细接口!$R41=0,"",[1]对账明细接口!$R41),"")</f>
        <v>豫L*88X19</v>
      </c>
      <c r="X41" s="10" t="str">
        <f aca="false">IFERROR(IF([1]对账明细接口!$S41=0,"",[1]对账明细接口!$S41),"")</f>
        <v>公司筐</v>
      </c>
      <c r="Y41" s="10" t="str">
        <f aca="false">""</f>
        <v/>
      </c>
      <c r="Z41" s="10" t="str">
        <f aca="false">""</f>
        <v/>
      </c>
      <c r="AA41" s="10" t="str">
        <f aca="false">""</f>
        <v/>
      </c>
      <c r="AB41" s="10" t="str">
        <f aca="false">""</f>
        <v/>
      </c>
    </row>
    <row r="42" customFormat="false" ht="13.5" hidden="false" customHeight="false" outlineLevel="0" collapsed="false">
      <c r="A42" s="109" t="n">
        <v>42</v>
      </c>
      <c r="B42" s="110" t="n">
        <f aca="false">IFERROR(IF([1]对账明细接口!$B$42=0,"",[1]对账明细接口!$B$42),"")</f>
        <v>46255</v>
      </c>
      <c r="C42" s="59" t="str">
        <f aca="false">IFERROR(IF([1]对账明细接口!$C$42=0,"",[1]对账明细接口!$C$42),"")</f>
        <v>王照雪</v>
      </c>
      <c r="D42" s="59" t="str">
        <f aca="false">IFERROR(IF([1]对账明细接口!$D$42=0,"",[1]对账明细接口!$D$42),"")</f>
        <v>周转筐－领用出库</v>
      </c>
      <c r="E42" s="59" t="str">
        <f aca="false">IFERROR(IF([1]对账明细接口!$E$42=0,"",[1]对账明细接口!$E$42),"")</f>
        <v>NO:0001022</v>
      </c>
      <c r="F42" s="59" t="str">
        <f aca="false">IFERROR(IF([1]对账明细接口!$F$42=0,"",[1]对账明细接口!$F$42),"")</f>
        <v>公司杂周转筐</v>
      </c>
      <c r="G42" s="59" t="str">
        <f aca="false">IFERROR(IF([1]对账明细接口!$G$42=0,"",[1]对账明细接口!$G$42),"")</f>
        <v/>
      </c>
      <c r="H42" s="60" t="n">
        <f aca="false">IFERROR(IF([1]对账明细接口!$H$42=0,"",[1]对账明细接口!$H$42),"")</f>
        <v>432</v>
      </c>
      <c r="I42" s="59" t="str">
        <f aca="false">IFERROR(IF([1]对账明细接口!$I$42=0,"",[1]对账明细接口!$I$42),"")</f>
        <v>个</v>
      </c>
      <c r="J42" s="61" t="str">
        <f aca="false">IFERROR(IF([1]对账明细接口!$J$42=0,"",[1]对账明细接口!$J$42),"")</f>
        <v/>
      </c>
      <c r="K42" s="61" t="str">
        <f aca="false">IFERROR(IF([1]对账明细接口!$K$42=0,"",[1]对账明细接口!$K$42),"")</f>
        <v/>
      </c>
      <c r="L42" s="59" t="str">
        <f aca="false">IFERROR(IF([1]对账明细接口!$L$42=0,"",[1]对账明细接口!$L$42),"")</f>
        <v/>
      </c>
      <c r="M42" s="59" t="str">
        <f aca="false">IFERROR(IF([1]对账明细接口!$M$42=0,"",[1]对账明细接口!$M$42),"")</f>
        <v/>
      </c>
      <c r="N42" s="111" t="n">
        <f aca="false">IF($C42="",0,1)</f>
        <v>1</v>
      </c>
      <c r="O42" s="111" t="n">
        <f aca="false">N(O41)+$N42</f>
        <v>39</v>
      </c>
      <c r="S42" s="10" t="str">
        <f aca="false">IFERROR(IF([1]对账明细接口!$N42=0,"",[1]对账明细接口!$N42),"")</f>
        <v>公司杂周转筐</v>
      </c>
      <c r="T42" s="112" t="n">
        <f aca="false">IFERROR(IF([1]对账明细接口!$O42=0,"",[1]对账明细接口!$O42),"")</f>
        <v>432</v>
      </c>
      <c r="U42" s="112" t="str">
        <f aca="false">IFERROR(IF([1]对账明细接口!$P42=0,"",[1]对账明细接口!$P42),"")</f>
        <v/>
      </c>
      <c r="V42" s="112" t="str">
        <f aca="false">IFERROR(IF([1]对账明细接口!$Q42=0,"",[1]对账明细接口!$Q42),"")</f>
        <v/>
      </c>
      <c r="W42" s="10" t="str">
        <f aca="false">IFERROR(IF([1]对账明细接口!$R42=0,"",[1]对账明细接口!$R42),"")</f>
        <v>豫L*88X19</v>
      </c>
      <c r="X42" s="10" t="str">
        <f aca="false">IFERROR(IF([1]对账明细接口!$S42=0,"",[1]对账明细接口!$S42),"")</f>
        <v>公司筐</v>
      </c>
      <c r="Y42" s="10" t="str">
        <f aca="false">""</f>
        <v/>
      </c>
      <c r="Z42" s="10" t="str">
        <f aca="false">""</f>
        <v/>
      </c>
      <c r="AA42" s="10" t="str">
        <f aca="false">""</f>
        <v/>
      </c>
      <c r="AB42" s="10" t="str">
        <f aca="false">""</f>
        <v/>
      </c>
    </row>
    <row r="43" customFormat="false" ht="13.5" hidden="false" customHeight="false" outlineLevel="0" collapsed="false">
      <c r="A43" s="109" t="n">
        <v>43</v>
      </c>
      <c r="B43" s="110" t="n">
        <f aca="false">IFERROR(IF([1]对账明细接口!$B$43=0,"",[1]对账明细接口!$B$43),"")</f>
        <v>46258</v>
      </c>
      <c r="C43" s="59" t="str">
        <f aca="false">IFERROR(IF([1]对账明细接口!$C$43=0,"",[1]对账明细接口!$C$43),"")</f>
        <v>王照雪</v>
      </c>
      <c r="D43" s="59" t="str">
        <f aca="false">IFERROR(IF([1]对账明细接口!$D$43=0,"",[1]对账明细接口!$D$43),"")</f>
        <v>周转筐－领用出库</v>
      </c>
      <c r="E43" s="59" t="str">
        <f aca="false">IFERROR(IF([1]对账明细接口!$E$43=0,"",[1]对账明细接口!$E$43),"")</f>
        <v>NO:0001031</v>
      </c>
      <c r="F43" s="59" t="str">
        <f aca="false">IFERROR(IF([1]对账明细接口!$F$43=0,"",[1]对账明细接口!$F$43),"")</f>
        <v>公司杂周转筐</v>
      </c>
      <c r="G43" s="59" t="str">
        <f aca="false">IFERROR(IF([1]对账明细接口!$G$43=0,"",[1]对账明细接口!$G$43),"")</f>
        <v/>
      </c>
      <c r="H43" s="60" t="n">
        <f aca="false">IFERROR(IF([1]对账明细接口!$H$43=0,"",[1]对账明细接口!$H$43),"")</f>
        <v>282</v>
      </c>
      <c r="I43" s="59" t="str">
        <f aca="false">IFERROR(IF([1]对账明细接口!$I$43=0,"",[1]对账明细接口!$I$43),"")</f>
        <v>个</v>
      </c>
      <c r="J43" s="61" t="str">
        <f aca="false">IFERROR(IF([1]对账明细接口!$J$43=0,"",[1]对账明细接口!$J$43),"")</f>
        <v/>
      </c>
      <c r="K43" s="61" t="str">
        <f aca="false">IFERROR(IF([1]对账明细接口!$K$43=0,"",[1]对账明细接口!$K$43),"")</f>
        <v/>
      </c>
      <c r="L43" s="59" t="str">
        <f aca="false">IFERROR(IF([1]对账明细接口!$L$43=0,"",[1]对账明细接口!$L$43),"")</f>
        <v/>
      </c>
      <c r="M43" s="59" t="str">
        <f aca="false">IFERROR(IF([1]对账明细接口!$M$43=0,"",[1]对账明细接口!$M$43),"")</f>
        <v/>
      </c>
      <c r="N43" s="111" t="n">
        <f aca="false">IF($C43="",0,1)</f>
        <v>1</v>
      </c>
      <c r="O43" s="111" t="n">
        <f aca="false">N(O42)+$N43</f>
        <v>40</v>
      </c>
      <c r="S43" s="10" t="str">
        <f aca="false">IFERROR(IF([1]对账明细接口!$N43=0,"",[1]对账明细接口!$N43),"")</f>
        <v>公司杂周转筐</v>
      </c>
      <c r="T43" s="112" t="n">
        <f aca="false">IFERROR(IF([1]对账明细接口!$O43=0,"",[1]对账明细接口!$O43),"")</f>
        <v>282</v>
      </c>
      <c r="U43" s="112" t="str">
        <f aca="false">IFERROR(IF([1]对账明细接口!$P43=0,"",[1]对账明细接口!$P43),"")</f>
        <v/>
      </c>
      <c r="V43" s="112" t="str">
        <f aca="false">IFERROR(IF([1]对账明细接口!$Q43=0,"",[1]对账明细接口!$Q43),"")</f>
        <v/>
      </c>
      <c r="W43" s="10" t="str">
        <f aca="false">IFERROR(IF([1]对账明细接口!$R43=0,"",[1]对账明细接口!$R43),"")</f>
        <v>豫L*88X19</v>
      </c>
      <c r="X43" s="10" t="str">
        <f aca="false">IFERROR(IF([1]对账明细接口!$S43=0,"",[1]对账明细接口!$S43),"")</f>
        <v>公司筐</v>
      </c>
      <c r="Y43" s="10" t="str">
        <f aca="false">""</f>
        <v/>
      </c>
      <c r="Z43" s="10" t="str">
        <f aca="false">""</f>
        <v/>
      </c>
      <c r="AA43" s="10" t="str">
        <f aca="false">""</f>
        <v/>
      </c>
      <c r="AB43" s="10" t="str">
        <f aca="false">""</f>
        <v/>
      </c>
    </row>
    <row r="44" customFormat="false" ht="13.5" hidden="false" customHeight="false" outlineLevel="0" collapsed="false">
      <c r="A44" s="109" t="n">
        <v>44</v>
      </c>
      <c r="B44" s="110" t="n">
        <f aca="false">IFERROR(IF([1]对账明细接口!$B$44=0,"",[1]对账明细接口!$B$44),"")</f>
        <v>46260</v>
      </c>
      <c r="C44" s="59" t="str">
        <f aca="false">IFERROR(IF([1]对账明细接口!$C$44=0,"",[1]对账明细接口!$C$44),"")</f>
        <v>王照雪</v>
      </c>
      <c r="D44" s="59" t="str">
        <f aca="false">IFERROR(IF([1]对账明细接口!$D$44=0,"",[1]对账明细接口!$D$44),"")</f>
        <v>周转筐－领用出库</v>
      </c>
      <c r="E44" s="59" t="str">
        <f aca="false">IFERROR(IF([1]对账明细接口!$E$44=0,"",[1]对账明细接口!$E$44),"")</f>
        <v>NO:0001037</v>
      </c>
      <c r="F44" s="59" t="str">
        <f aca="false">IFERROR(IF([1]对账明细接口!$F$44=0,"",[1]对账明细接口!$F$44),"")</f>
        <v>公司杂周转筐</v>
      </c>
      <c r="G44" s="59" t="str">
        <f aca="false">IFERROR(IF([1]对账明细接口!$G$44=0,"",[1]对账明细接口!$G$44),"")</f>
        <v/>
      </c>
      <c r="H44" s="60" t="n">
        <f aca="false">IFERROR(IF([1]对账明细接口!$H$44=0,"",[1]对账明细接口!$H$44),"")</f>
        <v>144</v>
      </c>
      <c r="I44" s="59" t="str">
        <f aca="false">IFERROR(IF([1]对账明细接口!$I$44=0,"",[1]对账明细接口!$I$44),"")</f>
        <v>个</v>
      </c>
      <c r="J44" s="61" t="str">
        <f aca="false">IFERROR(IF([1]对账明细接口!$J$44=0,"",[1]对账明细接口!$J$44),"")</f>
        <v/>
      </c>
      <c r="K44" s="61" t="str">
        <f aca="false">IFERROR(IF([1]对账明细接口!$K$44=0,"",[1]对账明细接口!$K$44),"")</f>
        <v/>
      </c>
      <c r="L44" s="59" t="str">
        <f aca="false">IFERROR(IF([1]对账明细接口!$L$44=0,"",[1]对账明细接口!$L$44),"")</f>
        <v/>
      </c>
      <c r="M44" s="59" t="str">
        <f aca="false">IFERROR(IF([1]对账明细接口!$M$44=0,"",[1]对账明细接口!$M$44),"")</f>
        <v/>
      </c>
      <c r="N44" s="111" t="n">
        <f aca="false">IF($C44="",0,1)</f>
        <v>1</v>
      </c>
      <c r="O44" s="111" t="n">
        <f aca="false">N(O43)+$N44</f>
        <v>41</v>
      </c>
      <c r="S44" s="10" t="str">
        <f aca="false">IFERROR(IF([1]对账明细接口!$N44=0,"",[1]对账明细接口!$N44),"")</f>
        <v>公司杂周转筐</v>
      </c>
      <c r="T44" s="112" t="n">
        <f aca="false">IFERROR(IF([1]对账明细接口!$O44=0,"",[1]对账明细接口!$O44),"")</f>
        <v>144</v>
      </c>
      <c r="U44" s="112" t="str">
        <f aca="false">IFERROR(IF([1]对账明细接口!$P44=0,"",[1]对账明细接口!$P44),"")</f>
        <v/>
      </c>
      <c r="V44" s="112" t="str">
        <f aca="false">IFERROR(IF([1]对账明细接口!$Q44=0,"",[1]对账明细接口!$Q44),"")</f>
        <v/>
      </c>
      <c r="W44" s="10" t="str">
        <f aca="false">IFERROR(IF([1]对账明细接口!$R44=0,"",[1]对账明细接口!$R44),"")</f>
        <v>豫L*88X19</v>
      </c>
      <c r="X44" s="10" t="str">
        <f aca="false">IFERROR(IF([1]对账明细接口!$S44=0,"",[1]对账明细接口!$S44),"")</f>
        <v>公司筐</v>
      </c>
      <c r="Y44" s="10" t="str">
        <f aca="false">""</f>
        <v/>
      </c>
      <c r="Z44" s="10" t="str">
        <f aca="false">""</f>
        <v/>
      </c>
      <c r="AA44" s="10" t="str">
        <f aca="false">""</f>
        <v/>
      </c>
      <c r="AB44" s="10" t="str">
        <f aca="false">""</f>
        <v/>
      </c>
    </row>
    <row r="45" customFormat="false" ht="13.5" hidden="false" customHeight="false" outlineLevel="0" collapsed="false">
      <c r="A45" s="109" t="n">
        <v>45</v>
      </c>
      <c r="B45" s="110" t="n">
        <f aca="false">IFERROR(IF([1]对账明细接口!$B$45=0,"",[1]对账明细接口!$B$45),"")</f>
        <v>46258</v>
      </c>
      <c r="C45" s="59" t="str">
        <f aca="false">IFERROR(IF([1]对账明细接口!$C$45=0,"",[1]对账明细接口!$C$45),"")</f>
        <v>王照雪</v>
      </c>
      <c r="D45" s="59" t="str">
        <f aca="false">IFERROR(IF([1]对账明细接口!$D$45=0,"",[1]对账明细接口!$D$45),"")</f>
        <v>周转筐－退回入库</v>
      </c>
      <c r="E45" s="59" t="str">
        <f aca="false">IFERROR(IF([1]对账明细接口!$E$45=0,"",[1]对账明细接口!$E$45),"")</f>
        <v>NO:0000721</v>
      </c>
      <c r="F45" s="59" t="str">
        <f aca="false">IFERROR(IF([1]对账明细接口!$F$45=0,"",[1]对账明细接口!$F$45),"")</f>
        <v>公司杂周转筐</v>
      </c>
      <c r="G45" s="59" t="str">
        <f aca="false">IFERROR(IF([1]对账明细接口!$G$45=0,"",[1]对账明细接口!$G$45),"")</f>
        <v/>
      </c>
      <c r="H45" s="60" t="n">
        <f aca="false">IFERROR(IF([1]对账明细接口!$H$45=0,"",[1]对账明细接口!$H$45),"")</f>
        <v>4</v>
      </c>
      <c r="I45" s="59" t="str">
        <f aca="false">IFERROR(IF([1]对账明细接口!$I$45=0,"",[1]对账明细接口!$I$45),"")</f>
        <v>个</v>
      </c>
      <c r="J45" s="61" t="str">
        <f aca="false">IFERROR(IF([1]对账明细接口!$J$45=0,"",[1]对账明细接口!$J$45),"")</f>
        <v/>
      </c>
      <c r="K45" s="61" t="str">
        <f aca="false">IFERROR(IF([1]对账明细接口!$K$45=0,"",[1]对账明细接口!$K$45),"")</f>
        <v/>
      </c>
      <c r="L45" s="59" t="str">
        <f aca="false">IFERROR(IF([1]对账明细接口!$L$45=0,"",[1]对账明细接口!$L$45),"")</f>
        <v/>
      </c>
      <c r="M45" s="59" t="str">
        <f aca="false">IFERROR(IF([1]对账明细接口!$M$45=0,"",[1]对账明细接口!$M$45),"")</f>
        <v/>
      </c>
      <c r="N45" s="111" t="n">
        <f aca="false">IF($C45="",0,1)</f>
        <v>1</v>
      </c>
      <c r="O45" s="111" t="n">
        <f aca="false">N(O44)+$N45</f>
        <v>42</v>
      </c>
      <c r="S45" s="10" t="str">
        <f aca="false">IFERROR(IF([1]对账明细接口!$N45=0,"",[1]对账明细接口!$N45),"")</f>
        <v>公司杂周转筐</v>
      </c>
      <c r="T45" s="112" t="str">
        <f aca="false">IFERROR(IF([1]对账明细接口!$O45=0,"",[1]对账明细接口!$O45),"")</f>
        <v/>
      </c>
      <c r="U45" s="112" t="n">
        <f aca="false">IFERROR(IF([1]对账明细接口!$P45=0,"",[1]对账明细接口!$P45),"")</f>
        <v>4</v>
      </c>
      <c r="V45" s="112" t="str">
        <f aca="false">IFERROR(IF([1]对账明细接口!$Q45=0,"",[1]对账明细接口!$Q45),"")</f>
        <v/>
      </c>
      <c r="W45" s="10" t="str">
        <f aca="false">IFERROR(IF([1]对账明细接口!$R45=0,"",[1]对账明细接口!$R45),"")</f>
        <v>豫L*88X19</v>
      </c>
      <c r="X45" s="10" t="str">
        <f aca="false">IFERROR(IF([1]对账明细接口!$S45=0,"",[1]对账明细接口!$S45),"")</f>
        <v>公司筐</v>
      </c>
      <c r="Y45" s="10" t="str">
        <f aca="false">""</f>
        <v/>
      </c>
      <c r="Z45" s="10" t="str">
        <f aca="false">""</f>
        <v/>
      </c>
      <c r="AA45" s="10" t="str">
        <f aca="false">""</f>
        <v/>
      </c>
      <c r="AB45" s="10" t="str">
        <f aca="false">""</f>
        <v/>
      </c>
    </row>
    <row r="46" customFormat="false" ht="13.5" hidden="false" customHeight="false" outlineLevel="0" collapsed="false">
      <c r="A46" s="109" t="n">
        <v>46</v>
      </c>
      <c r="B46" s="110" t="n">
        <f aca="false">IFERROR(IF([1]对账明细接口!$B$46=0,"",[1]对账明细接口!$B$46),"")</f>
        <v>46265</v>
      </c>
      <c r="C46" s="59" t="str">
        <f aca="false">IFERROR(IF([1]对账明细接口!$C$46=0,"",[1]对账明细接口!$C$46),"")</f>
        <v>王浩</v>
      </c>
      <c r="D46" s="59" t="str">
        <f aca="false">IFERROR(IF([1]对账明细接口!$D$46=0,"",[1]对账明细接口!$D$46),"")</f>
        <v>周转筐－领用出库</v>
      </c>
      <c r="E46" s="59" t="str">
        <f aca="false">IFERROR(IF([1]对账明细接口!$E$46=0,"",[1]对账明细接口!$E$46),"")</f>
        <v>NO:0001057</v>
      </c>
      <c r="F46" s="59" t="str">
        <f aca="false">IFERROR(IF([1]对账明细接口!$F$46=0,"",[1]对账明细接口!$F$46),"")</f>
        <v>公司一次性筐</v>
      </c>
      <c r="G46" s="59" t="str">
        <f aca="false">IFERROR(IF([1]对账明细接口!$G$46=0,"",[1]对账明细接口!$G$46),"")</f>
        <v/>
      </c>
      <c r="H46" s="60" t="n">
        <f aca="false">IFERROR(IF([1]对账明细接口!$H$46=0,"",[1]对账明细接口!$H$46),"")</f>
        <v>2040</v>
      </c>
      <c r="I46" s="59" t="str">
        <f aca="false">IFERROR(IF([1]对账明细接口!$I$46=0,"",[1]对账明细接口!$I$46),"")</f>
        <v>个</v>
      </c>
      <c r="J46" s="61" t="str">
        <f aca="false">IFERROR(IF([1]对账明细接口!$J$46=0,"",[1]对账明细接口!$J$46),"")</f>
        <v/>
      </c>
      <c r="K46" s="61" t="str">
        <f aca="false">IFERROR(IF([1]对账明细接口!$K$46=0,"",[1]对账明细接口!$K$46),"")</f>
        <v/>
      </c>
      <c r="L46" s="59" t="str">
        <f aca="false">IFERROR(IF([1]对账明细接口!$L$46=0,"",[1]对账明细接口!$L$46),"")</f>
        <v/>
      </c>
      <c r="M46" s="59" t="str">
        <f aca="false">IFERROR(IF([1]对账明细接口!$M$46=0,"",[1]对账明细接口!$M$46),"")</f>
        <v/>
      </c>
      <c r="N46" s="111" t="n">
        <f aca="false">IF($C46="",0,1)</f>
        <v>1</v>
      </c>
      <c r="O46" s="111" t="n">
        <f aca="false">N(O45)+$N46</f>
        <v>43</v>
      </c>
      <c r="S46" s="10" t="str">
        <f aca="false">IFERROR(IF([1]对账明细接口!$N46=0,"",[1]对账明细接口!$N46),"")</f>
        <v>公司一次性筐</v>
      </c>
      <c r="T46" s="112" t="n">
        <f aca="false">IFERROR(IF([1]对账明细接口!$O46=0,"",[1]对账明细接口!$O46),"")</f>
        <v>2040</v>
      </c>
      <c r="U46" s="112" t="str">
        <f aca="false">IFERROR(IF([1]对账明细接口!$P46=0,"",[1]对账明细接口!$P46),"")</f>
        <v/>
      </c>
      <c r="V46" s="112" t="str">
        <f aca="false">IFERROR(IF([1]对账明细接口!$Q46=0,"",[1]对账明细接口!$Q46),"")</f>
        <v/>
      </c>
      <c r="W46" s="10" t="str">
        <f aca="false">IFERROR(IF([1]对账明细接口!$R46=0,"",[1]对账明细接口!$R46),"")</f>
        <v>新Q*67674</v>
      </c>
      <c r="X46" s="10" t="str">
        <f aca="false">IFERROR(IF([1]对账明细接口!$S46=0,"",[1]对账明细接口!$S46),"")</f>
        <v>公司筐</v>
      </c>
      <c r="Y46" s="10" t="str">
        <f aca="false">""</f>
        <v/>
      </c>
      <c r="Z46" s="10" t="str">
        <f aca="false">""</f>
        <v/>
      </c>
      <c r="AA46" s="10" t="str">
        <f aca="false">""</f>
        <v/>
      </c>
      <c r="AB46" s="10" t="str">
        <f aca="false">""</f>
        <v/>
      </c>
    </row>
    <row r="47" customFormat="false" ht="13.5" hidden="false" customHeight="false" outlineLevel="0" collapsed="false">
      <c r="A47" s="109" t="n">
        <v>47</v>
      </c>
      <c r="B47" s="110" t="n">
        <f aca="false">IFERROR(IF([1]对账明细接口!$B$47=0,"",[1]对账明细接口!$B$47),"")</f>
        <v>46266</v>
      </c>
      <c r="C47" s="59" t="str">
        <f aca="false">IFERROR(IF([1]对账明细接口!$C$47=0,"",[1]对账明细接口!$C$47),"")</f>
        <v>马锦祥</v>
      </c>
      <c r="D47" s="59" t="str">
        <f aca="false">IFERROR(IF([1]对账明细接口!$D$47=0,"",[1]对账明细接口!$D$47),"")</f>
        <v>周转筐－领用出库</v>
      </c>
      <c r="E47" s="59" t="str">
        <f aca="false">IFERROR(IF([1]对账明细接口!$E$47=0,"",[1]对账明细接口!$E$47),"")</f>
        <v>NO:0001061</v>
      </c>
      <c r="F47" s="59" t="str">
        <f aca="false">IFERROR(IF([1]对账明细接口!$F$47=0,"",[1]对账明细接口!$F$47),"")</f>
        <v>公司杂周转筐</v>
      </c>
      <c r="G47" s="59" t="str">
        <f aca="false">IFERROR(IF([1]对账明细接口!$G$47=0,"",[1]对账明细接口!$G$47),"")</f>
        <v/>
      </c>
      <c r="H47" s="60" t="n">
        <f aca="false">IFERROR(IF([1]对账明细接口!$H$47=0,"",[1]对账明细接口!$H$47),"")</f>
        <v>588</v>
      </c>
      <c r="I47" s="59" t="str">
        <f aca="false">IFERROR(IF([1]对账明细接口!$I$47=0,"",[1]对账明细接口!$I$47),"")</f>
        <v>个</v>
      </c>
      <c r="J47" s="61" t="str">
        <f aca="false">IFERROR(IF([1]对账明细接口!$J$47=0,"",[1]对账明细接口!$J$47),"")</f>
        <v/>
      </c>
      <c r="K47" s="61" t="str">
        <f aca="false">IFERROR(IF([1]对账明细接口!$K$47=0,"",[1]对账明细接口!$K$47),"")</f>
        <v/>
      </c>
      <c r="L47" s="59" t="str">
        <f aca="false">IFERROR(IF([1]对账明细接口!$L$47=0,"",[1]对账明细接口!$L$47),"")</f>
        <v/>
      </c>
      <c r="M47" s="59" t="str">
        <f aca="false">IFERROR(IF([1]对账明细接口!$M$47=0,"",[1]对账明细接口!$M$47),"")</f>
        <v/>
      </c>
      <c r="N47" s="111" t="n">
        <f aca="false">IF($C47="",0,1)</f>
        <v>1</v>
      </c>
      <c r="O47" s="111" t="n">
        <f aca="false">N(O46)+$N47</f>
        <v>44</v>
      </c>
      <c r="S47" s="10" t="str">
        <f aca="false">IFERROR(IF([1]对账明细接口!$N47=0,"",[1]对账明细接口!$N47),"")</f>
        <v>公司杂周转筐</v>
      </c>
      <c r="T47" s="112" t="n">
        <f aca="false">IFERROR(IF([1]对账明细接口!$O47=0,"",[1]对账明细接口!$O47),"")</f>
        <v>588</v>
      </c>
      <c r="U47" s="112" t="str">
        <f aca="false">IFERROR(IF([1]对账明细接口!$P47=0,"",[1]对账明细接口!$P47),"")</f>
        <v/>
      </c>
      <c r="V47" s="112" t="str">
        <f aca="false">IFERROR(IF([1]对账明细接口!$Q47=0,"",[1]对账明细接口!$Q47),"")</f>
        <v/>
      </c>
      <c r="W47" s="10" t="str">
        <f aca="false">IFERROR(IF([1]对账明细接口!$R47=0,"",[1]对账明细接口!$R47),"")</f>
        <v>新N*K7V85</v>
      </c>
      <c r="X47" s="10" t="str">
        <f aca="false">IFERROR(IF([1]对账明细接口!$S47=0,"",[1]对账明细接口!$S47),"")</f>
        <v>公司筐</v>
      </c>
      <c r="Y47" s="10" t="str">
        <f aca="false">""</f>
        <v/>
      </c>
      <c r="Z47" s="10" t="str">
        <f aca="false">""</f>
        <v/>
      </c>
      <c r="AA47" s="10" t="str">
        <f aca="false">""</f>
        <v/>
      </c>
      <c r="AB47" s="10" t="str">
        <f aca="false">""</f>
        <v/>
      </c>
    </row>
    <row r="48" customFormat="false" ht="13.5" hidden="false" customHeight="false" outlineLevel="0" collapsed="false">
      <c r="A48" s="109" t="n">
        <v>48</v>
      </c>
      <c r="B48" s="110" t="n">
        <f aca="false">IFERROR(IF([1]对账明细接口!$B$48=0,"",[1]对账明细接口!$B$48),"")</f>
        <v>46266</v>
      </c>
      <c r="C48" s="59" t="str">
        <f aca="false">IFERROR(IF([1]对账明细接口!$C$48=0,"",[1]对账明细接口!$C$48),"")</f>
        <v>王照雪</v>
      </c>
      <c r="D48" s="59" t="str">
        <f aca="false">IFERROR(IF([1]对账明细接口!$D$48=0,"",[1]对账明细接口!$D$48),"")</f>
        <v>周转筐－退回入库</v>
      </c>
      <c r="E48" s="59" t="str">
        <f aca="false">IFERROR(IF([1]对账明细接口!$E$48=0,"",[1]对账明细接口!$E$48),"")</f>
        <v>NO:0000742</v>
      </c>
      <c r="F48" s="59" t="str">
        <f aca="false">IFERROR(IF([1]对账明细接口!$F$48=0,"",[1]对账明细接口!$F$48),"")</f>
        <v>公司杂周转筐</v>
      </c>
      <c r="G48" s="59" t="str">
        <f aca="false">IFERROR(IF([1]对账明细接口!$G$48=0,"",[1]对账明细接口!$G$48),"")</f>
        <v/>
      </c>
      <c r="H48" s="60" t="n">
        <f aca="false">IFERROR(IF([1]对账明细接口!$H$48=0,"",[1]对账明细接口!$H$48),"")</f>
        <v>30</v>
      </c>
      <c r="I48" s="59" t="str">
        <f aca="false">IFERROR(IF([1]对账明细接口!$I$48=0,"",[1]对账明细接口!$I$48),"")</f>
        <v>个</v>
      </c>
      <c r="J48" s="61" t="str">
        <f aca="false">IFERROR(IF([1]对账明细接口!$J$48=0,"",[1]对账明细接口!$J$48),"")</f>
        <v/>
      </c>
      <c r="K48" s="61" t="str">
        <f aca="false">IFERROR(IF([1]对账明细接口!$K$48=0,"",[1]对账明细接口!$K$48),"")</f>
        <v/>
      </c>
      <c r="L48" s="59" t="str">
        <f aca="false">IFERROR(IF([1]对账明细接口!$L$48=0,"",[1]对账明细接口!$L$48),"")</f>
        <v/>
      </c>
      <c r="M48" s="59" t="str">
        <f aca="false">IFERROR(IF([1]对账明细接口!$M$48=0,"",[1]对账明细接口!$M$48),"")</f>
        <v/>
      </c>
      <c r="N48" s="111" t="n">
        <f aca="false">IF($C48="",0,1)</f>
        <v>1</v>
      </c>
      <c r="O48" s="111" t="n">
        <f aca="false">N(O47)+$N48</f>
        <v>45</v>
      </c>
      <c r="S48" s="10" t="str">
        <f aca="false">IFERROR(IF([1]对账明细接口!$N48=0,"",[1]对账明细接口!$N48),"")</f>
        <v>公司杂周转筐</v>
      </c>
      <c r="T48" s="112" t="str">
        <f aca="false">IFERROR(IF([1]对账明细接口!$O48=0,"",[1]对账明细接口!$O48),"")</f>
        <v/>
      </c>
      <c r="U48" s="112" t="n">
        <f aca="false">IFERROR(IF([1]对账明细接口!$P48=0,"",[1]对账明细接口!$P48),"")</f>
        <v>30</v>
      </c>
      <c r="V48" s="112" t="str">
        <f aca="false">IFERROR(IF([1]对账明细接口!$Q48=0,"",[1]对账明细接口!$Q48),"")</f>
        <v/>
      </c>
      <c r="W48" s="10" t="str">
        <f aca="false">IFERROR(IF([1]对账明细接口!$R48=0,"",[1]对账明细接口!$R48),"")</f>
        <v>新N*D1W48</v>
      </c>
      <c r="X48" s="10" t="str">
        <f aca="false">IFERROR(IF([1]对账明细接口!$S48=0,"",[1]对账明细接口!$S48),"")</f>
        <v>公司筐</v>
      </c>
      <c r="Y48" s="10" t="str">
        <f aca="false">""</f>
        <v/>
      </c>
      <c r="Z48" s="10" t="str">
        <f aca="false">""</f>
        <v/>
      </c>
      <c r="AA48" s="10" t="str">
        <f aca="false">""</f>
        <v/>
      </c>
      <c r="AB48" s="10" t="str">
        <f aca="false">""</f>
        <v/>
      </c>
    </row>
    <row r="49" customFormat="false" ht="13.5" hidden="false" customHeight="false" outlineLevel="0" collapsed="false">
      <c r="A49" s="109" t="n">
        <v>49</v>
      </c>
      <c r="B49" s="110" t="n">
        <f aca="false">IFERROR(IF([1]对账明细接口!$B$49=0,"",[1]对账明细接口!$B$49),"")</f>
        <v>46267</v>
      </c>
      <c r="C49" s="59" t="str">
        <f aca="false">IFERROR(IF([1]对账明细接口!$C$49=0,"",[1]对账明细接口!$C$49),"")</f>
        <v>全修塑业</v>
      </c>
      <c r="D49" s="59" t="str">
        <f aca="false">IFERROR(IF([1]对账明细接口!$D$49=0,"",[1]对账明细接口!$D$49),"")</f>
        <v>周转筐－采购入库</v>
      </c>
      <c r="E49" s="59" t="str">
        <f aca="false">IFERROR(IF([1]对账明细接口!$E$49=0,"",[1]对账明细接口!$E$49),"")</f>
        <v>NO:0000744</v>
      </c>
      <c r="F49" s="59" t="str">
        <f aca="false">IFERROR(IF([1]对账明细接口!$F$49=0,"",[1]对账明细接口!$F$49),"")</f>
        <v>公司红周转筐</v>
      </c>
      <c r="G49" s="59" t="str">
        <f aca="false">IFERROR(IF([1]对账明细接口!$G$49=0,"",[1]对账明细接口!$G$49),"")</f>
        <v/>
      </c>
      <c r="H49" s="60" t="n">
        <f aca="false">IFERROR(IF([1]对账明细接口!$H$49=0,"",[1]对账明细接口!$H$49),"")</f>
        <v>315</v>
      </c>
      <c r="I49" s="59" t="str">
        <f aca="false">IFERROR(IF([1]对账明细接口!$I$49=0,"",[1]对账明细接口!$I$49),"")</f>
        <v>个</v>
      </c>
      <c r="J49" s="61" t="str">
        <f aca="false">IFERROR(IF([1]对账明细接口!$J$49=0,"",[1]对账明细接口!$J$49),"")</f>
        <v/>
      </c>
      <c r="K49" s="61" t="n">
        <f aca="false">IFERROR(IF([1]对账明细接口!$K$49=0,"",[1]对账明细接口!$K$49),"")</f>
        <v>3150</v>
      </c>
      <c r="L49" s="59" t="str">
        <f aca="false">IFERROR(IF([1]对账明细接口!$L$49=0,"",[1]对账明细接口!$L$49),"")</f>
        <v>未付款</v>
      </c>
      <c r="M49" s="59" t="str">
        <f aca="false">IFERROR(IF([1]对账明细接口!$M$49=0,"",[1]对账明细接口!$M$49),"")</f>
        <v>NO:2745225</v>
      </c>
      <c r="N49" s="111" t="n">
        <f aca="false">IF($C49="",0,1)</f>
        <v>1</v>
      </c>
      <c r="O49" s="111" t="n">
        <f aca="false">N(O48)+$N49</f>
        <v>46</v>
      </c>
      <c r="S49" s="10" t="str">
        <f aca="false">IFERROR(IF([1]对账明细接口!$N49=0,"",[1]对账明细接口!$N49),"")</f>
        <v>公司红周转筐</v>
      </c>
      <c r="T49" s="112" t="str">
        <f aca="false">IFERROR(IF([1]对账明细接口!$O49=0,"",[1]对账明细接口!$O49),"")</f>
        <v/>
      </c>
      <c r="U49" s="112" t="str">
        <f aca="false">IFERROR(IF([1]对账明细接口!$P49=0,"",[1]对账明细接口!$P49),"")</f>
        <v/>
      </c>
      <c r="V49" s="112" t="n">
        <f aca="false">IFERROR(IF([1]对账明细接口!$Q49=0,"",[1]对账明细接口!$Q49),"")</f>
        <v>315</v>
      </c>
      <c r="W49" s="10" t="str">
        <f aca="false">IFERROR(IF([1]对账明细接口!$R49=0,"",[1]对账明细接口!$R49),"")</f>
        <v>新N*X8S48</v>
      </c>
      <c r="X49" s="10" t="str">
        <f aca="false">IFERROR(IF([1]对账明细接口!$S49=0,"",[1]对账明细接口!$S49),"")</f>
        <v>公司筐</v>
      </c>
      <c r="Y49" s="10" t="str">
        <f aca="false">""</f>
        <v/>
      </c>
      <c r="Z49" s="10" t="str">
        <f aca="false">""</f>
        <v/>
      </c>
      <c r="AA49" s="10" t="str">
        <f aca="false">""</f>
        <v/>
      </c>
      <c r="AB49" s="10" t="str">
        <f aca="false">""</f>
        <v/>
      </c>
    </row>
    <row r="50" customFormat="false" ht="13.5" hidden="false" customHeight="false" outlineLevel="0" collapsed="false">
      <c r="A50" s="109" t="n">
        <v>50</v>
      </c>
      <c r="B50" s="110" t="n">
        <f aca="false">IFERROR(IF([1]对账明细接口!$B$50=0,"",[1]对账明细接口!$B$50),"")</f>
        <v>46267</v>
      </c>
      <c r="C50" s="59" t="str">
        <f aca="false">IFERROR(IF([1]对账明细接口!$C$50=0,"",[1]对账明细接口!$C$50),"")</f>
        <v>吐尔洪</v>
      </c>
      <c r="D50" s="59" t="str">
        <f aca="false">IFERROR(IF([1]对账明细接口!$D$50=0,"",[1]对账明细接口!$D$50),"")</f>
        <v>周转筐－领用出库</v>
      </c>
      <c r="E50" s="59" t="str">
        <f aca="false">IFERROR(IF([1]对账明细接口!$E$50=0,"",[1]对账明细接口!$E$50),"")</f>
        <v>NO:0001067</v>
      </c>
      <c r="F50" s="59" t="str">
        <f aca="false">IFERROR(IF([1]对账明细接口!$F$50=0,"",[1]对账明细接口!$F$50),"")</f>
        <v>公司红周转筐</v>
      </c>
      <c r="G50" s="59" t="str">
        <f aca="false">IFERROR(IF([1]对账明细接口!$G$50=0,"",[1]对账明细接口!$G$50),"")</f>
        <v/>
      </c>
      <c r="H50" s="60" t="n">
        <f aca="false">IFERROR(IF([1]对账明细接口!$H$50=0,"",[1]对账明细接口!$H$50),"")</f>
        <v>315</v>
      </c>
      <c r="I50" s="59" t="str">
        <f aca="false">IFERROR(IF([1]对账明细接口!$I$50=0,"",[1]对账明细接口!$I$50),"")</f>
        <v>个</v>
      </c>
      <c r="J50" s="61" t="str">
        <f aca="false">IFERROR(IF([1]对账明细接口!$J$50=0,"",[1]对账明细接口!$J$50),"")</f>
        <v/>
      </c>
      <c r="K50" s="61" t="str">
        <f aca="false">IFERROR(IF([1]对账明细接口!$K$50=0,"",[1]对账明细接口!$K$50),"")</f>
        <v/>
      </c>
      <c r="L50" s="59" t="str">
        <f aca="false">IFERROR(IF([1]对账明细接口!$L$50=0,"",[1]对账明细接口!$L$50),"")</f>
        <v/>
      </c>
      <c r="M50" s="59" t="str">
        <f aca="false">IFERROR(IF([1]对账明细接口!$M$50=0,"",[1]对账明细接口!$M$50),"")</f>
        <v/>
      </c>
      <c r="N50" s="111" t="n">
        <f aca="false">IF($C50="",0,1)</f>
        <v>1</v>
      </c>
      <c r="O50" s="111" t="n">
        <f aca="false">N(O49)+$N50</f>
        <v>47</v>
      </c>
      <c r="S50" s="10" t="str">
        <f aca="false">IFERROR(IF([1]对账明细接口!$N50=0,"",[1]对账明细接口!$N50),"")</f>
        <v>公司红周转筐</v>
      </c>
      <c r="T50" s="112" t="n">
        <f aca="false">IFERROR(IF([1]对账明细接口!$O50=0,"",[1]对账明细接口!$O50),"")</f>
        <v>315</v>
      </c>
      <c r="U50" s="112" t="str">
        <f aca="false">IFERROR(IF([1]对账明细接口!$P50=0,"",[1]对账明细接口!$P50),"")</f>
        <v/>
      </c>
      <c r="V50" s="112" t="str">
        <f aca="false">IFERROR(IF([1]对账明细接口!$Q50=0,"",[1]对账明细接口!$Q50),"")</f>
        <v/>
      </c>
      <c r="W50" s="10" t="str">
        <f aca="false">IFERROR(IF([1]对账明细接口!$R50=0,"",[1]对账明细接口!$R50),"")</f>
        <v>新N*X8S48</v>
      </c>
      <c r="X50" s="10" t="str">
        <f aca="false">IFERROR(IF([1]对账明细接口!$S50=0,"",[1]对账明细接口!$S50),"")</f>
        <v>公司筐</v>
      </c>
      <c r="Y50" s="10" t="str">
        <f aca="false">""</f>
        <v/>
      </c>
      <c r="Z50" s="10" t="str">
        <f aca="false">""</f>
        <v/>
      </c>
      <c r="AA50" s="10" t="str">
        <f aca="false">""</f>
        <v/>
      </c>
      <c r="AB50" s="10" t="str">
        <f aca="false">""</f>
        <v/>
      </c>
    </row>
    <row r="51" customFormat="false" ht="13.5" hidden="false" customHeight="false" outlineLevel="0" collapsed="false">
      <c r="A51" s="109" t="n">
        <v>51</v>
      </c>
      <c r="B51" s="110" t="n">
        <f aca="false">IFERROR(IF([1]对账明细接口!$B$51=0,"",[1]对账明细接口!$B$51),"")</f>
        <v>46268</v>
      </c>
      <c r="C51" s="59" t="str">
        <f aca="false">IFERROR(IF([1]对账明细接口!$C$51=0,"",[1]对账明细接口!$C$51),"")</f>
        <v>全修塑业</v>
      </c>
      <c r="D51" s="59" t="str">
        <f aca="false">IFERROR(IF([1]对账明细接口!$D$51=0,"",[1]对账明细接口!$D$51),"")</f>
        <v>周转筐－采购入库</v>
      </c>
      <c r="E51" s="59" t="str">
        <f aca="false">IFERROR(IF([1]对账明细接口!$E$51=0,"",[1]对账明细接口!$E$51),"")</f>
        <v>NO:0000745</v>
      </c>
      <c r="F51" s="59" t="str">
        <f aca="false">IFERROR(IF([1]对账明细接口!$F$51=0,"",[1]对账明细接口!$F$51),"")</f>
        <v>公司红周转筐</v>
      </c>
      <c r="G51" s="59" t="str">
        <f aca="false">IFERROR(IF([1]对账明细接口!$G$51=0,"",[1]对账明细接口!$G$51),"")</f>
        <v/>
      </c>
      <c r="H51" s="60" t="n">
        <f aca="false">IFERROR(IF([1]对账明细接口!$H$51=0,"",[1]对账明细接口!$H$51),"")</f>
        <v>315</v>
      </c>
      <c r="I51" s="59" t="str">
        <f aca="false">IFERROR(IF([1]对账明细接口!$I$51=0,"",[1]对账明细接口!$I$51),"")</f>
        <v>个</v>
      </c>
      <c r="J51" s="61" t="str">
        <f aca="false">IFERROR(IF([1]对账明细接口!$J$51=0,"",[1]对账明细接口!$J$51),"")</f>
        <v/>
      </c>
      <c r="K51" s="61" t="n">
        <f aca="false">IFERROR(IF([1]对账明细接口!$K$51=0,"",[1]对账明细接口!$K$51),"")</f>
        <v>3150</v>
      </c>
      <c r="L51" s="59" t="str">
        <f aca="false">IFERROR(IF([1]对账明细接口!$L$51=0,"",[1]对账明细接口!$L$51),"")</f>
        <v>未付款</v>
      </c>
      <c r="M51" s="59" t="str">
        <f aca="false">IFERROR(IF([1]对账明细接口!$M$51=0,"",[1]对账明细接口!$M$51),"")</f>
        <v>NO:2745241</v>
      </c>
      <c r="N51" s="111" t="n">
        <f aca="false">IF($C51="",0,1)</f>
        <v>1</v>
      </c>
      <c r="O51" s="111" t="n">
        <f aca="false">N(O50)+$N51</f>
        <v>48</v>
      </c>
      <c r="S51" s="10" t="str">
        <f aca="false">IFERROR(IF([1]对账明细接口!$N51=0,"",[1]对账明细接口!$N51),"")</f>
        <v>公司红周转筐</v>
      </c>
      <c r="T51" s="112" t="str">
        <f aca="false">IFERROR(IF([1]对账明细接口!$O51=0,"",[1]对账明细接口!$O51),"")</f>
        <v/>
      </c>
      <c r="U51" s="112" t="str">
        <f aca="false">IFERROR(IF([1]对账明细接口!$P51=0,"",[1]对账明细接口!$P51),"")</f>
        <v/>
      </c>
      <c r="V51" s="112" t="n">
        <f aca="false">IFERROR(IF([1]对账明细接口!$Q51=0,"",[1]对账明细接口!$Q51),"")</f>
        <v>315</v>
      </c>
      <c r="W51" s="10" t="str">
        <f aca="false">IFERROR(IF([1]对账明细接口!$R51=0,"",[1]对账明细接口!$R51),"")</f>
        <v>新N*X8S48</v>
      </c>
      <c r="X51" s="10" t="str">
        <f aca="false">IFERROR(IF([1]对账明细接口!$S51=0,"",[1]对账明细接口!$S51),"")</f>
        <v>公司筐</v>
      </c>
      <c r="Y51" s="10" t="str">
        <f aca="false">""</f>
        <v/>
      </c>
      <c r="Z51" s="10" t="str">
        <f aca="false">""</f>
        <v/>
      </c>
      <c r="AA51" s="10" t="str">
        <f aca="false">""</f>
        <v/>
      </c>
      <c r="AB51" s="10" t="str">
        <f aca="false">""</f>
        <v/>
      </c>
    </row>
    <row r="52" customFormat="false" ht="13.5" hidden="false" customHeight="false" outlineLevel="0" collapsed="false">
      <c r="A52" s="109" t="n">
        <v>52</v>
      </c>
      <c r="B52" s="110" t="n">
        <f aca="false">IFERROR(IF([1]对账明细接口!$B$52=0,"",[1]对账明细接口!$B$52),"")</f>
        <v>46268</v>
      </c>
      <c r="C52" s="59" t="str">
        <f aca="false">IFERROR(IF([1]对账明细接口!$C$52=0,"",[1]对账明细接口!$C$52),"")</f>
        <v>吐尔洪</v>
      </c>
      <c r="D52" s="59" t="str">
        <f aca="false">IFERROR(IF([1]对账明细接口!$D$52=0,"",[1]对账明细接口!$D$52),"")</f>
        <v>周转筐－领用出库</v>
      </c>
      <c r="E52" s="59" t="str">
        <f aca="false">IFERROR(IF([1]对账明细接口!$E$52=0,"",[1]对账明细接口!$E$52),"")</f>
        <v>NO:0001068</v>
      </c>
      <c r="F52" s="59" t="str">
        <f aca="false">IFERROR(IF([1]对账明细接口!$F$52=0,"",[1]对账明细接口!$F$52),"")</f>
        <v>公司红周转筐</v>
      </c>
      <c r="G52" s="59" t="str">
        <f aca="false">IFERROR(IF([1]对账明细接口!$G$52=0,"",[1]对账明细接口!$G$52),"")</f>
        <v/>
      </c>
      <c r="H52" s="60" t="n">
        <f aca="false">IFERROR(IF([1]对账明细接口!$H$52=0,"",[1]对账明细接口!$H$52),"")</f>
        <v>315</v>
      </c>
      <c r="I52" s="59" t="str">
        <f aca="false">IFERROR(IF([1]对账明细接口!$I$52=0,"",[1]对账明细接口!$I$52),"")</f>
        <v>个</v>
      </c>
      <c r="J52" s="61" t="str">
        <f aca="false">IFERROR(IF([1]对账明细接口!$J$52=0,"",[1]对账明细接口!$J$52),"")</f>
        <v/>
      </c>
      <c r="K52" s="61" t="str">
        <f aca="false">IFERROR(IF([1]对账明细接口!$K$52=0,"",[1]对账明细接口!$K$52),"")</f>
        <v/>
      </c>
      <c r="L52" s="59" t="str">
        <f aca="false">IFERROR(IF([1]对账明细接口!$L$52=0,"",[1]对账明细接口!$L$52),"")</f>
        <v/>
      </c>
      <c r="M52" s="59" t="str">
        <f aca="false">IFERROR(IF([1]对账明细接口!$M$52=0,"",[1]对账明细接口!$M$52),"")</f>
        <v/>
      </c>
      <c r="N52" s="111" t="n">
        <f aca="false">IF($C52="",0,1)</f>
        <v>1</v>
      </c>
      <c r="O52" s="111" t="n">
        <f aca="false">N(O51)+$N52</f>
        <v>49</v>
      </c>
      <c r="S52" s="10" t="str">
        <f aca="false">IFERROR(IF([1]对账明细接口!$N52=0,"",[1]对账明细接口!$N52),"")</f>
        <v>公司红周转筐</v>
      </c>
      <c r="T52" s="112" t="n">
        <f aca="false">IFERROR(IF([1]对账明细接口!$O52=0,"",[1]对账明细接口!$O52),"")</f>
        <v>315</v>
      </c>
      <c r="U52" s="112" t="str">
        <f aca="false">IFERROR(IF([1]对账明细接口!$P52=0,"",[1]对账明细接口!$P52),"")</f>
        <v/>
      </c>
      <c r="V52" s="112" t="str">
        <f aca="false">IFERROR(IF([1]对账明细接口!$Q52=0,"",[1]对账明细接口!$Q52),"")</f>
        <v/>
      </c>
      <c r="W52" s="10" t="str">
        <f aca="false">IFERROR(IF([1]对账明细接口!$R52=0,"",[1]对账明细接口!$R52),"")</f>
        <v>新N*X8S48</v>
      </c>
      <c r="X52" s="10" t="str">
        <f aca="false">IFERROR(IF([1]对账明细接口!$S52=0,"",[1]对账明细接口!$S52),"")</f>
        <v>公司筐</v>
      </c>
      <c r="Y52" s="10" t="str">
        <f aca="false">""</f>
        <v/>
      </c>
      <c r="Z52" s="10" t="str">
        <f aca="false">""</f>
        <v/>
      </c>
      <c r="AA52" s="10" t="str">
        <f aca="false">""</f>
        <v/>
      </c>
      <c r="AB52" s="10" t="str">
        <f aca="false">""</f>
        <v/>
      </c>
    </row>
    <row r="53" customFormat="false" ht="13.5" hidden="false" customHeight="false" outlineLevel="0" collapsed="false">
      <c r="A53" s="109" t="n">
        <v>53</v>
      </c>
      <c r="B53" s="110" t="n">
        <f aca="false">IFERROR(IF([1]对账明细接口!$B$53=0,"",[1]对账明细接口!$B$53),"")</f>
        <v>46268</v>
      </c>
      <c r="C53" s="59" t="str">
        <f aca="false">IFERROR(IF([1]对账明细接口!$C$53=0,"",[1]对账明细接口!$C$53),"")</f>
        <v>全修塑业</v>
      </c>
      <c r="D53" s="59" t="str">
        <f aca="false">IFERROR(IF([1]对账明细接口!$D$53=0,"",[1]对账明细接口!$D$53),"")</f>
        <v>周转筐－采购入库</v>
      </c>
      <c r="E53" s="59" t="str">
        <f aca="false">IFERROR(IF([1]对账明细接口!$E$53=0,"",[1]对账明细接口!$E$53),"")</f>
        <v>NO:0000746</v>
      </c>
      <c r="F53" s="59" t="str">
        <f aca="false">IFERROR(IF([1]对账明细接口!$F$53=0,"",[1]对账明细接口!$F$53),"")</f>
        <v>公司红周转筐</v>
      </c>
      <c r="G53" s="59" t="str">
        <f aca="false">IFERROR(IF([1]对账明细接口!$G$53=0,"",[1]对账明细接口!$G$53),"")</f>
        <v/>
      </c>
      <c r="H53" s="60" t="n">
        <f aca="false">IFERROR(IF([1]对账明细接口!$H$53=0,"",[1]对账明细接口!$H$53),"")</f>
        <v>846</v>
      </c>
      <c r="I53" s="59" t="str">
        <f aca="false">IFERROR(IF([1]对账明细接口!$I$53=0,"",[1]对账明细接口!$I$53),"")</f>
        <v>个</v>
      </c>
      <c r="J53" s="61" t="str">
        <f aca="false">IFERROR(IF([1]对账明细接口!$J$53=0,"",[1]对账明细接口!$J$53),"")</f>
        <v/>
      </c>
      <c r="K53" s="61" t="n">
        <f aca="false">IFERROR(IF([1]对账明细接口!$K$53=0,"",[1]对账明细接口!$K$53),"")</f>
        <v>8460</v>
      </c>
      <c r="L53" s="59" t="str">
        <f aca="false">IFERROR(IF([1]对账明细接口!$L$53=0,"",[1]对账明细接口!$L$53),"")</f>
        <v>未付款</v>
      </c>
      <c r="M53" s="59" t="str">
        <f aca="false">IFERROR(IF([1]对账明细接口!$M$53=0,"",[1]对账明细接口!$M$53),"")</f>
        <v>NO:2745242</v>
      </c>
      <c r="N53" s="111" t="n">
        <f aca="false">IF($C53="",0,1)</f>
        <v>1</v>
      </c>
      <c r="O53" s="111" t="n">
        <f aca="false">N(O52)+$N53</f>
        <v>50</v>
      </c>
      <c r="S53" s="10" t="str">
        <f aca="false">IFERROR(IF([1]对账明细接口!$N53=0,"",[1]对账明细接口!$N53),"")</f>
        <v>公司红周转筐</v>
      </c>
      <c r="T53" s="112" t="str">
        <f aca="false">IFERROR(IF([1]对账明细接口!$O53=0,"",[1]对账明细接口!$O53),"")</f>
        <v/>
      </c>
      <c r="U53" s="112" t="str">
        <f aca="false">IFERROR(IF([1]对账明细接口!$P53=0,"",[1]对账明细接口!$P53),"")</f>
        <v/>
      </c>
      <c r="V53" s="112" t="n">
        <f aca="false">IFERROR(IF([1]对账明细接口!$Q53=0,"",[1]对账明细接口!$Q53),"")</f>
        <v>846</v>
      </c>
      <c r="W53" s="10" t="str">
        <f aca="false">IFERROR(IF([1]对账明细接口!$R53=0,"",[1]对账明细接口!$R53),"")</f>
        <v>新A*G0554</v>
      </c>
      <c r="X53" s="10" t="str">
        <f aca="false">IFERROR(IF([1]对账明细接口!$S53=0,"",[1]对账明细接口!$S53),"")</f>
        <v>公司筐</v>
      </c>
      <c r="Y53" s="10" t="str">
        <f aca="false">""</f>
        <v/>
      </c>
      <c r="Z53" s="10" t="str">
        <f aca="false">""</f>
        <v/>
      </c>
      <c r="AA53" s="10" t="str">
        <f aca="false">""</f>
        <v/>
      </c>
      <c r="AB53" s="10" t="str">
        <f aca="false">""</f>
        <v/>
      </c>
    </row>
    <row r="54" customFormat="false" ht="13.5" hidden="false" customHeight="false" outlineLevel="0" collapsed="false">
      <c r="A54" s="109" t="n">
        <v>54</v>
      </c>
      <c r="B54" s="110" t="n">
        <f aca="false">IFERROR(IF([1]对账明细接口!$B$54=0,"",[1]对账明细接口!$B$54),"")</f>
        <v>46268</v>
      </c>
      <c r="C54" s="59" t="str">
        <f aca="false">IFERROR(IF([1]对账明细接口!$C$54=0,"",[1]对账明细接口!$C$54),"")</f>
        <v>热合曼</v>
      </c>
      <c r="D54" s="59" t="str">
        <f aca="false">IFERROR(IF([1]对账明细接口!$D$54=0,"",[1]对账明细接口!$D$54),"")</f>
        <v>周转筐－领用出库</v>
      </c>
      <c r="E54" s="59" t="str">
        <f aca="false">IFERROR(IF([1]对账明细接口!$E$54=0,"",[1]对账明细接口!$E$54),"")</f>
        <v>NO:0001069</v>
      </c>
      <c r="F54" s="59" t="str">
        <f aca="false">IFERROR(IF([1]对账明细接口!$F$54=0,"",[1]对账明细接口!$F$54),"")</f>
        <v>公司红周转筐</v>
      </c>
      <c r="G54" s="59" t="str">
        <f aca="false">IFERROR(IF([1]对账明细接口!$G$54=0,"",[1]对账明细接口!$G$54),"")</f>
        <v/>
      </c>
      <c r="H54" s="60" t="n">
        <f aca="false">IFERROR(IF([1]对账明细接口!$H$54=0,"",[1]对账明细接口!$H$54),"")</f>
        <v>846</v>
      </c>
      <c r="I54" s="59" t="str">
        <f aca="false">IFERROR(IF([1]对账明细接口!$I$54=0,"",[1]对账明细接口!$I$54),"")</f>
        <v>个</v>
      </c>
      <c r="J54" s="61" t="str">
        <f aca="false">IFERROR(IF([1]对账明细接口!$J$54=0,"",[1]对账明细接口!$J$54),"")</f>
        <v/>
      </c>
      <c r="K54" s="61" t="str">
        <f aca="false">IFERROR(IF([1]对账明细接口!$K$54=0,"",[1]对账明细接口!$K$54),"")</f>
        <v/>
      </c>
      <c r="L54" s="59" t="str">
        <f aca="false">IFERROR(IF([1]对账明细接口!$L$54=0,"",[1]对账明细接口!$L$54),"")</f>
        <v/>
      </c>
      <c r="M54" s="59" t="str">
        <f aca="false">IFERROR(IF([1]对账明细接口!$M$54=0,"",[1]对账明细接口!$M$54),"")</f>
        <v/>
      </c>
      <c r="N54" s="111" t="n">
        <f aca="false">IF($C54="",0,1)</f>
        <v>1</v>
      </c>
      <c r="O54" s="111" t="n">
        <f aca="false">N(O53)+$N54</f>
        <v>51</v>
      </c>
      <c r="S54" s="10" t="str">
        <f aca="false">IFERROR(IF([1]对账明细接口!$N54=0,"",[1]对账明细接口!$N54),"")</f>
        <v>公司红周转筐</v>
      </c>
      <c r="T54" s="112" t="n">
        <f aca="false">IFERROR(IF([1]对账明细接口!$O54=0,"",[1]对账明细接口!$O54),"")</f>
        <v>846</v>
      </c>
      <c r="U54" s="112" t="str">
        <f aca="false">IFERROR(IF([1]对账明细接口!$P54=0,"",[1]对账明细接口!$P54),"")</f>
        <v/>
      </c>
      <c r="V54" s="112" t="str">
        <f aca="false">IFERROR(IF([1]对账明细接口!$Q54=0,"",[1]对账明细接口!$Q54),"")</f>
        <v/>
      </c>
      <c r="W54" s="10" t="str">
        <f aca="false">IFERROR(IF([1]对账明细接口!$R54=0,"",[1]对账明细接口!$R54),"")</f>
        <v>新A*G0554</v>
      </c>
      <c r="X54" s="10" t="str">
        <f aca="false">IFERROR(IF([1]对账明细接口!$S54=0,"",[1]对账明细接口!$S54),"")</f>
        <v>公司筐</v>
      </c>
      <c r="Y54" s="10" t="str">
        <f aca="false">""</f>
        <v/>
      </c>
      <c r="Z54" s="10" t="str">
        <f aca="false">""</f>
        <v/>
      </c>
      <c r="AA54" s="10" t="str">
        <f aca="false">""</f>
        <v/>
      </c>
      <c r="AB54" s="10" t="str">
        <f aca="false">""</f>
        <v/>
      </c>
    </row>
    <row r="55" customFormat="false" ht="13.5" hidden="false" customHeight="false" outlineLevel="0" collapsed="false">
      <c r="A55" s="109" t="n">
        <v>55</v>
      </c>
      <c r="B55" s="110" t="n">
        <f aca="false">IFERROR(IF([1]对账明细接口!$B$55=0,"",[1]对账明细接口!$B$55),"")</f>
        <v>46268</v>
      </c>
      <c r="C55" s="59" t="str">
        <f aca="false">IFERROR(IF([1]对账明细接口!$C$55=0,"",[1]对账明细接口!$C$55),"")</f>
        <v>全修塑业</v>
      </c>
      <c r="D55" s="59" t="str">
        <f aca="false">IFERROR(IF([1]对账明细接口!$D$55=0,"",[1]对账明细接口!$D$55),"")</f>
        <v>周转筐－采购入库</v>
      </c>
      <c r="E55" s="59" t="str">
        <f aca="false">IFERROR(IF([1]对账明细接口!$E$55=0,"",[1]对账明细接口!$E$55),"")</f>
        <v>NO:0000747</v>
      </c>
      <c r="F55" s="59" t="str">
        <f aca="false">IFERROR(IF([1]对账明细接口!$F$55=0,"",[1]对账明细接口!$F$55),"")</f>
        <v>公司红周转筐</v>
      </c>
      <c r="G55" s="59" t="str">
        <f aca="false">IFERROR(IF([1]对账明细接口!$G$55=0,"",[1]对账明细接口!$G$55),"")</f>
        <v/>
      </c>
      <c r="H55" s="60" t="n">
        <f aca="false">IFERROR(IF([1]对账明细接口!$H$55=0,"",[1]对账明细接口!$H$55),"")</f>
        <v>960</v>
      </c>
      <c r="I55" s="59" t="str">
        <f aca="false">IFERROR(IF([1]对账明细接口!$I$55=0,"",[1]对账明细接口!$I$55),"")</f>
        <v>个</v>
      </c>
      <c r="J55" s="61" t="str">
        <f aca="false">IFERROR(IF([1]对账明细接口!$J$55=0,"",[1]对账明细接口!$J$55),"")</f>
        <v/>
      </c>
      <c r="K55" s="61" t="n">
        <f aca="false">IFERROR(IF([1]对账明细接口!$K$55=0,"",[1]对账明细接口!$K$55),"")</f>
        <v>9600</v>
      </c>
      <c r="L55" s="59" t="str">
        <f aca="false">IFERROR(IF([1]对账明细接口!$L$55=0,"",[1]对账明细接口!$L$55),"")</f>
        <v>未付款</v>
      </c>
      <c r="M55" s="59" t="str">
        <f aca="false">IFERROR(IF([1]对账明细接口!$M$55=0,"",[1]对账明细接口!$M$55),"")</f>
        <v>NO:2745243</v>
      </c>
      <c r="N55" s="111" t="n">
        <f aca="false">IF($C55="",0,1)</f>
        <v>1</v>
      </c>
      <c r="O55" s="111" t="n">
        <f aca="false">N(O54)+$N55</f>
        <v>52</v>
      </c>
      <c r="S55" s="10" t="str">
        <f aca="false">IFERROR(IF([1]对账明细接口!$N55=0,"",[1]对账明细接口!$N55),"")</f>
        <v>公司红周转筐</v>
      </c>
      <c r="T55" s="112" t="str">
        <f aca="false">IFERROR(IF([1]对账明细接口!$O55=0,"",[1]对账明细接口!$O55),"")</f>
        <v/>
      </c>
      <c r="U55" s="112" t="str">
        <f aca="false">IFERROR(IF([1]对账明细接口!$P55=0,"",[1]对账明细接口!$P55),"")</f>
        <v/>
      </c>
      <c r="V55" s="112" t="n">
        <f aca="false">IFERROR(IF([1]对账明细接口!$Q55=0,"",[1]对账明细接口!$Q55),"")</f>
        <v>960</v>
      </c>
      <c r="W55" s="10" t="str">
        <f aca="false">IFERROR(IF([1]对账明细接口!$R55=0,"",[1]对账明细接口!$R55),"")</f>
        <v>新N*49209</v>
      </c>
      <c r="X55" s="10" t="str">
        <f aca="false">IFERROR(IF([1]对账明细接口!$S55=0,"",[1]对账明细接口!$S55),"")</f>
        <v>公司筐</v>
      </c>
      <c r="Y55" s="10" t="str">
        <f aca="false">""</f>
        <v/>
      </c>
      <c r="Z55" s="10" t="str">
        <f aca="false">""</f>
        <v/>
      </c>
      <c r="AA55" s="10" t="str">
        <f aca="false">""</f>
        <v/>
      </c>
      <c r="AB55" s="10" t="str">
        <f aca="false">""</f>
        <v/>
      </c>
    </row>
    <row r="56" customFormat="false" ht="13.5" hidden="false" customHeight="false" outlineLevel="0" collapsed="false">
      <c r="A56" s="109" t="n">
        <v>56</v>
      </c>
      <c r="B56" s="110" t="n">
        <f aca="false">IFERROR(IF([1]对账明细接口!$B$56=0,"",[1]对账明细接口!$B$56),"")</f>
        <v>46268</v>
      </c>
      <c r="C56" s="59" t="str">
        <f aca="false">IFERROR(IF([1]对账明细接口!$C$56=0,"",[1]对账明细接口!$C$56),"")</f>
        <v>王灵云</v>
      </c>
      <c r="D56" s="59" t="str">
        <f aca="false">IFERROR(IF([1]对账明细接口!$D$56=0,"",[1]对账明细接口!$D$56),"")</f>
        <v>周转筐－领用出库</v>
      </c>
      <c r="E56" s="59" t="str">
        <f aca="false">IFERROR(IF([1]对账明细接口!$E$56=0,"",[1]对账明细接口!$E$56),"")</f>
        <v>NO:0001072</v>
      </c>
      <c r="F56" s="59" t="str">
        <f aca="false">IFERROR(IF([1]对账明细接口!$F$56=0,"",[1]对账明细接口!$F$56),"")</f>
        <v>公司红周转筐</v>
      </c>
      <c r="G56" s="59" t="str">
        <f aca="false">IFERROR(IF([1]对账明细接口!$G$56=0,"",[1]对账明细接口!$G$56),"")</f>
        <v/>
      </c>
      <c r="H56" s="60" t="n">
        <f aca="false">IFERROR(IF([1]对账明细接口!$H$56=0,"",[1]对账明细接口!$H$56),"")</f>
        <v>960</v>
      </c>
      <c r="I56" s="59" t="str">
        <f aca="false">IFERROR(IF([1]对账明细接口!$I$56=0,"",[1]对账明细接口!$I$56),"")</f>
        <v>个</v>
      </c>
      <c r="J56" s="61" t="str">
        <f aca="false">IFERROR(IF([1]对账明细接口!$J$56=0,"",[1]对账明细接口!$J$56),"")</f>
        <v/>
      </c>
      <c r="K56" s="61" t="str">
        <f aca="false">IFERROR(IF([1]对账明细接口!$K$56=0,"",[1]对账明细接口!$K$56),"")</f>
        <v/>
      </c>
      <c r="L56" s="59" t="str">
        <f aca="false">IFERROR(IF([1]对账明细接口!$L$56=0,"",[1]对账明细接口!$L$56),"")</f>
        <v/>
      </c>
      <c r="M56" s="59" t="str">
        <f aca="false">IFERROR(IF([1]对账明细接口!$M$56=0,"",[1]对账明细接口!$M$56),"")</f>
        <v/>
      </c>
      <c r="N56" s="111" t="n">
        <f aca="false">IF($C56="",0,1)</f>
        <v>1</v>
      </c>
      <c r="O56" s="111" t="n">
        <f aca="false">N(O55)+$N56</f>
        <v>53</v>
      </c>
      <c r="S56" s="10" t="str">
        <f aca="false">IFERROR(IF([1]对账明细接口!$N56=0,"",[1]对账明细接口!$N56),"")</f>
        <v>公司红周转筐</v>
      </c>
      <c r="T56" s="112" t="n">
        <f aca="false">IFERROR(IF([1]对账明细接口!$O56=0,"",[1]对账明细接口!$O56),"")</f>
        <v>960</v>
      </c>
      <c r="U56" s="112" t="str">
        <f aca="false">IFERROR(IF([1]对账明细接口!$P56=0,"",[1]对账明细接口!$P56),"")</f>
        <v/>
      </c>
      <c r="V56" s="112" t="str">
        <f aca="false">IFERROR(IF([1]对账明细接口!$Q56=0,"",[1]对账明细接口!$Q56),"")</f>
        <v/>
      </c>
      <c r="W56" s="10" t="str">
        <f aca="false">IFERROR(IF([1]对账明细接口!$R56=0,"",[1]对账明细接口!$R56),"")</f>
        <v>新N*49209</v>
      </c>
      <c r="X56" s="10" t="str">
        <f aca="false">IFERROR(IF([1]对账明细接口!$S56=0,"",[1]对账明细接口!$S56),"")</f>
        <v>公司筐</v>
      </c>
      <c r="Y56" s="10" t="str">
        <f aca="false">""</f>
        <v/>
      </c>
      <c r="Z56" s="10" t="str">
        <f aca="false">""</f>
        <v/>
      </c>
      <c r="AA56" s="10" t="str">
        <f aca="false">""</f>
        <v/>
      </c>
      <c r="AB56" s="10" t="str">
        <f aca="false">""</f>
        <v/>
      </c>
    </row>
    <row r="57" customFormat="false" ht="13.5" hidden="false" customHeight="false" outlineLevel="0" collapsed="false">
      <c r="A57" s="109" t="n">
        <v>57</v>
      </c>
      <c r="B57" s="110" t="n">
        <f aca="false">IFERROR(IF([1]对账明细接口!$B$57=0,"",[1]对账明细接口!$B$57),"")</f>
        <v>46268</v>
      </c>
      <c r="C57" s="59" t="str">
        <f aca="false">IFERROR(IF([1]对账明细接口!$C$57=0,"",[1]对账明细接口!$C$57),"")</f>
        <v>全修塑业</v>
      </c>
      <c r="D57" s="59" t="str">
        <f aca="false">IFERROR(IF([1]对账明细接口!$D$57=0,"",[1]对账明细接口!$D$57),"")</f>
        <v>周转筐－采购入库</v>
      </c>
      <c r="E57" s="59" t="str">
        <f aca="false">IFERROR(IF([1]对账明细接口!$E$57=0,"",[1]对账明细接口!$E$57),"")</f>
        <v>NO:0000748</v>
      </c>
      <c r="F57" s="59" t="str">
        <f aca="false">IFERROR(IF([1]对账明细接口!$F$57=0,"",[1]对账明细接口!$F$57),"")</f>
        <v>公司红周转筐</v>
      </c>
      <c r="G57" s="59" t="str">
        <f aca="false">IFERROR(IF([1]对账明细接口!$G$57=0,"",[1]对账明细接口!$G$57),"")</f>
        <v/>
      </c>
      <c r="H57" s="60" t="n">
        <f aca="false">IFERROR(IF([1]对账明细接口!$H$57=0,"",[1]对账明细接口!$H$57),"")</f>
        <v>846</v>
      </c>
      <c r="I57" s="59" t="str">
        <f aca="false">IFERROR(IF([1]对账明细接口!$I$57=0,"",[1]对账明细接口!$I$57),"")</f>
        <v>个</v>
      </c>
      <c r="J57" s="61" t="str">
        <f aca="false">IFERROR(IF([1]对账明细接口!$J$57=0,"",[1]对账明细接口!$J$57),"")</f>
        <v/>
      </c>
      <c r="K57" s="61" t="n">
        <f aca="false">IFERROR(IF([1]对账明细接口!$K$57=0,"",[1]对账明细接口!$K$57),"")</f>
        <v>8460</v>
      </c>
      <c r="L57" s="59" t="str">
        <f aca="false">IFERROR(IF([1]对账明细接口!$L$57=0,"",[1]对账明细接口!$L$57),"")</f>
        <v>未付款</v>
      </c>
      <c r="M57" s="59" t="str">
        <f aca="false">IFERROR(IF([1]对账明细接口!$M$57=0,"",[1]对账明细接口!$M$57),"")</f>
        <v>NO:2745244</v>
      </c>
      <c r="N57" s="111" t="n">
        <f aca="false">IF($C57="",0,1)</f>
        <v>1</v>
      </c>
      <c r="O57" s="111" t="n">
        <f aca="false">N(O56)+$N57</f>
        <v>54</v>
      </c>
      <c r="S57" s="10" t="str">
        <f aca="false">IFERROR(IF([1]对账明细接口!$N57=0,"",[1]对账明细接口!$N57),"")</f>
        <v>公司红周转筐</v>
      </c>
      <c r="T57" s="112" t="str">
        <f aca="false">IFERROR(IF([1]对账明细接口!$O57=0,"",[1]对账明细接口!$O57),"")</f>
        <v/>
      </c>
      <c r="U57" s="112" t="str">
        <f aca="false">IFERROR(IF([1]对账明细接口!$P57=0,"",[1]对账明细接口!$P57),"")</f>
        <v/>
      </c>
      <c r="V57" s="112" t="n">
        <f aca="false">IFERROR(IF([1]对账明细接口!$Q57=0,"",[1]对账明细接口!$Q57),"")</f>
        <v>846</v>
      </c>
      <c r="W57" s="10" t="str">
        <f aca="false">IFERROR(IF([1]对账明细接口!$R57=0,"",[1]对账明细接口!$R57),"")</f>
        <v>新A*G0554</v>
      </c>
      <c r="X57" s="10" t="str">
        <f aca="false">IFERROR(IF([1]对账明细接口!$S57=0,"",[1]对账明细接口!$S57),"")</f>
        <v>公司筐</v>
      </c>
      <c r="Y57" s="10" t="str">
        <f aca="false">""</f>
        <v/>
      </c>
      <c r="Z57" s="10" t="str">
        <f aca="false">""</f>
        <v/>
      </c>
      <c r="AA57" s="10" t="str">
        <f aca="false">""</f>
        <v/>
      </c>
      <c r="AB57" s="10" t="str">
        <f aca="false">""</f>
        <v/>
      </c>
    </row>
    <row r="58" customFormat="false" ht="13.5" hidden="false" customHeight="false" outlineLevel="0" collapsed="false">
      <c r="A58" s="109" t="n">
        <v>58</v>
      </c>
      <c r="B58" s="110" t="n">
        <f aca="false">IFERROR(IF([1]对账明细接口!$B$58=0,"",[1]对账明细接口!$B$58),"")</f>
        <v>46268</v>
      </c>
      <c r="C58" s="59" t="str">
        <f aca="false">IFERROR(IF([1]对账明细接口!$C$58=0,"",[1]对账明细接口!$C$58),"")</f>
        <v>麦麦提</v>
      </c>
      <c r="D58" s="59" t="str">
        <f aca="false">IFERROR(IF([1]对账明细接口!$D$58=0,"",[1]对账明细接口!$D$58),"")</f>
        <v>周转筐－领用出库</v>
      </c>
      <c r="E58" s="59" t="str">
        <f aca="false">IFERROR(IF([1]对账明细接口!$E$58=0,"",[1]对账明细接口!$E$58),"")</f>
        <v>NO:0001074</v>
      </c>
      <c r="F58" s="59" t="str">
        <f aca="false">IFERROR(IF([1]对账明细接口!$F$58=0,"",[1]对账明细接口!$F$58),"")</f>
        <v>公司红周转筐</v>
      </c>
      <c r="G58" s="59" t="str">
        <f aca="false">IFERROR(IF([1]对账明细接口!$G$58=0,"",[1]对账明细接口!$G$58),"")</f>
        <v/>
      </c>
      <c r="H58" s="60" t="n">
        <f aca="false">IFERROR(IF([1]对账明细接口!$H$58=0,"",[1]对账明细接口!$H$58),"")</f>
        <v>846</v>
      </c>
      <c r="I58" s="59" t="str">
        <f aca="false">IFERROR(IF([1]对账明细接口!$I$58=0,"",[1]对账明细接口!$I$58),"")</f>
        <v>个</v>
      </c>
      <c r="J58" s="61" t="str">
        <f aca="false">IFERROR(IF([1]对账明细接口!$J$58=0,"",[1]对账明细接口!$J$58),"")</f>
        <v/>
      </c>
      <c r="K58" s="61" t="str">
        <f aca="false">IFERROR(IF([1]对账明细接口!$K$58=0,"",[1]对账明细接口!$K$58),"")</f>
        <v/>
      </c>
      <c r="L58" s="59" t="str">
        <f aca="false">IFERROR(IF([1]对账明细接口!$L$58=0,"",[1]对账明细接口!$L$58),"")</f>
        <v/>
      </c>
      <c r="M58" s="59" t="str">
        <f aca="false">IFERROR(IF([1]对账明细接口!$M$58=0,"",[1]对账明细接口!$M$58),"")</f>
        <v/>
      </c>
      <c r="N58" s="111" t="n">
        <f aca="false">IF($C58="",0,1)</f>
        <v>1</v>
      </c>
      <c r="O58" s="111" t="n">
        <f aca="false">N(O57)+$N58</f>
        <v>55</v>
      </c>
      <c r="S58" s="10" t="str">
        <f aca="false">IFERROR(IF([1]对账明细接口!$N58=0,"",[1]对账明细接口!$N58),"")</f>
        <v>公司红周转筐</v>
      </c>
      <c r="T58" s="112" t="n">
        <f aca="false">IFERROR(IF([1]对账明细接口!$O58=0,"",[1]对账明细接口!$O58),"")</f>
        <v>846</v>
      </c>
      <c r="U58" s="112" t="str">
        <f aca="false">IFERROR(IF([1]对账明细接口!$P58=0,"",[1]对账明细接口!$P58),"")</f>
        <v/>
      </c>
      <c r="V58" s="112" t="str">
        <f aca="false">IFERROR(IF([1]对账明细接口!$Q58=0,"",[1]对账明细接口!$Q58),"")</f>
        <v/>
      </c>
      <c r="W58" s="10" t="str">
        <f aca="false">IFERROR(IF([1]对账明细接口!$R58=0,"",[1]对账明细接口!$R58),"")</f>
        <v>新A*G0554</v>
      </c>
      <c r="X58" s="10" t="str">
        <f aca="false">IFERROR(IF([1]对账明细接口!$S58=0,"",[1]对账明细接口!$S58),"")</f>
        <v>公司筐</v>
      </c>
      <c r="Y58" s="10" t="str">
        <f aca="false">""</f>
        <v/>
      </c>
      <c r="Z58" s="10" t="str">
        <f aca="false">""</f>
        <v/>
      </c>
      <c r="AA58" s="10" t="str">
        <f aca="false">""</f>
        <v/>
      </c>
      <c r="AB58" s="10" t="str">
        <f aca="false">""</f>
        <v/>
      </c>
    </row>
    <row r="59" customFormat="false" ht="13.5" hidden="false" customHeight="false" outlineLevel="0" collapsed="false">
      <c r="A59" s="109" t="n">
        <v>59</v>
      </c>
      <c r="B59" s="110" t="n">
        <f aca="false">IFERROR(IF([1]对账明细接口!$B$59=0,"",[1]对账明细接口!$B$59),"")</f>
        <v>46268</v>
      </c>
      <c r="C59" s="59" t="str">
        <f aca="false">IFERROR(IF([1]对账明细接口!$C$59=0,"",[1]对账明细接口!$C$59),"")</f>
        <v>全修塑业</v>
      </c>
      <c r="D59" s="59" t="str">
        <f aca="false">IFERROR(IF([1]对账明细接口!$D$59=0,"",[1]对账明细接口!$D$59),"")</f>
        <v>周转筐－采购入库</v>
      </c>
      <c r="E59" s="59" t="str">
        <f aca="false">IFERROR(IF([1]对账明细接口!$E$59=0,"",[1]对账明细接口!$E$59),"")</f>
        <v>NO:0000749</v>
      </c>
      <c r="F59" s="59" t="str">
        <f aca="false">IFERROR(IF([1]对账明细接口!$F$59=0,"",[1]对账明细接口!$F$59),"")</f>
        <v>公司红周转筐</v>
      </c>
      <c r="G59" s="59" t="str">
        <f aca="false">IFERROR(IF([1]对账明细接口!$G$59=0,"",[1]对账明细接口!$G$59),"")</f>
        <v/>
      </c>
      <c r="H59" s="60" t="n">
        <f aca="false">IFERROR(IF([1]对账明细接口!$H$59=0,"",[1]对账明细接口!$H$59),"")</f>
        <v>936</v>
      </c>
      <c r="I59" s="59" t="str">
        <f aca="false">IFERROR(IF([1]对账明细接口!$I$59=0,"",[1]对账明细接口!$I$59),"")</f>
        <v>个</v>
      </c>
      <c r="J59" s="61" t="str">
        <f aca="false">IFERROR(IF([1]对账明细接口!$J$59=0,"",[1]对账明细接口!$J$59),"")</f>
        <v/>
      </c>
      <c r="K59" s="61" t="n">
        <f aca="false">IFERROR(IF([1]对账明细接口!$K$59=0,"",[1]对账明细接口!$K$59),"")</f>
        <v>9360</v>
      </c>
      <c r="L59" s="59" t="str">
        <f aca="false">IFERROR(IF([1]对账明细接口!$L$59=0,"",[1]对账明细接口!$L$59),"")</f>
        <v>未付款</v>
      </c>
      <c r="M59" s="59" t="str">
        <f aca="false">IFERROR(IF([1]对账明细接口!$M$59=0,"",[1]对账明细接口!$M$59),"")</f>
        <v>NO:2745245</v>
      </c>
      <c r="N59" s="111" t="n">
        <f aca="false">IF($C59="",0,1)</f>
        <v>1</v>
      </c>
      <c r="O59" s="111" t="n">
        <f aca="false">N(O58)+$N59</f>
        <v>56</v>
      </c>
      <c r="S59" s="10" t="str">
        <f aca="false">IFERROR(IF([1]对账明细接口!$N59=0,"",[1]对账明细接口!$N59),"")</f>
        <v>公司红周转筐</v>
      </c>
      <c r="T59" s="112" t="str">
        <f aca="false">IFERROR(IF([1]对账明细接口!$O59=0,"",[1]对账明细接口!$O59),"")</f>
        <v/>
      </c>
      <c r="U59" s="112" t="str">
        <f aca="false">IFERROR(IF([1]对账明细接口!$P59=0,"",[1]对账明细接口!$P59),"")</f>
        <v/>
      </c>
      <c r="V59" s="112" t="n">
        <f aca="false">IFERROR(IF([1]对账明细接口!$Q59=0,"",[1]对账明细接口!$Q59),"")</f>
        <v>936</v>
      </c>
      <c r="W59" s="10" t="str">
        <f aca="false">IFERROR(IF([1]对账明细接口!$R59=0,"",[1]对账明细接口!$R59),"")</f>
        <v>新F*75240</v>
      </c>
      <c r="X59" s="10" t="str">
        <f aca="false">IFERROR(IF([1]对账明细接口!$S59=0,"",[1]对账明细接口!$S59),"")</f>
        <v>公司筐</v>
      </c>
      <c r="Y59" s="10" t="str">
        <f aca="false">""</f>
        <v/>
      </c>
      <c r="Z59" s="10" t="str">
        <f aca="false">""</f>
        <v/>
      </c>
      <c r="AA59" s="10" t="str">
        <f aca="false">""</f>
        <v/>
      </c>
      <c r="AB59" s="10" t="str">
        <f aca="false">""</f>
        <v/>
      </c>
    </row>
    <row r="60" customFormat="false" ht="13.5" hidden="false" customHeight="false" outlineLevel="0" collapsed="false">
      <c r="A60" s="109" t="n">
        <v>60</v>
      </c>
      <c r="B60" s="110" t="n">
        <f aca="false">IFERROR(IF([1]对账明细接口!$B$60=0,"",[1]对账明细接口!$B$60),"")</f>
        <v>46268</v>
      </c>
      <c r="C60" s="59" t="str">
        <f aca="false">IFERROR(IF([1]对账明细接口!$C$60=0,"",[1]对账明细接口!$C$60),"")</f>
        <v>努尔敦</v>
      </c>
      <c r="D60" s="59" t="str">
        <f aca="false">IFERROR(IF([1]对账明细接口!$D$60=0,"",[1]对账明细接口!$D$60),"")</f>
        <v>周转筐－领用出库</v>
      </c>
      <c r="E60" s="59" t="str">
        <f aca="false">IFERROR(IF([1]对账明细接口!$E$60=0,"",[1]对账明细接口!$E$60),"")</f>
        <v>NO:0001075</v>
      </c>
      <c r="F60" s="59" t="str">
        <f aca="false">IFERROR(IF([1]对账明细接口!$F$60=0,"",[1]对账明细接口!$F$60),"")</f>
        <v>公司红周转筐</v>
      </c>
      <c r="G60" s="59" t="str">
        <f aca="false">IFERROR(IF([1]对账明细接口!$G$60=0,"",[1]对账明细接口!$G$60),"")</f>
        <v/>
      </c>
      <c r="H60" s="60" t="n">
        <f aca="false">IFERROR(IF([1]对账明细接口!$H$60=0,"",[1]对账明细接口!$H$60),"")</f>
        <v>936</v>
      </c>
      <c r="I60" s="59" t="str">
        <f aca="false">IFERROR(IF([1]对账明细接口!$I$60=0,"",[1]对账明细接口!$I$60),"")</f>
        <v>个</v>
      </c>
      <c r="J60" s="61" t="str">
        <f aca="false">IFERROR(IF([1]对账明细接口!$J$60=0,"",[1]对账明细接口!$J$60),"")</f>
        <v/>
      </c>
      <c r="K60" s="61" t="str">
        <f aca="false">IFERROR(IF([1]对账明细接口!$K$60=0,"",[1]对账明细接口!$K$60),"")</f>
        <v/>
      </c>
      <c r="L60" s="59" t="str">
        <f aca="false">IFERROR(IF([1]对账明细接口!$L$60=0,"",[1]对账明细接口!$L$60),"")</f>
        <v/>
      </c>
      <c r="M60" s="59" t="str">
        <f aca="false">IFERROR(IF([1]对账明细接口!$M$60=0,"",[1]对账明细接口!$M$60),"")</f>
        <v/>
      </c>
      <c r="N60" s="111" t="n">
        <f aca="false">IF($C60="",0,1)</f>
        <v>1</v>
      </c>
      <c r="O60" s="111" t="n">
        <f aca="false">N(O59)+$N60</f>
        <v>57</v>
      </c>
      <c r="S60" s="10" t="str">
        <f aca="false">IFERROR(IF([1]对账明细接口!$N60=0,"",[1]对账明细接口!$N60),"")</f>
        <v>公司红周转筐</v>
      </c>
      <c r="T60" s="112" t="n">
        <f aca="false">IFERROR(IF([1]对账明细接口!$O60=0,"",[1]对账明细接口!$O60),"")</f>
        <v>936</v>
      </c>
      <c r="U60" s="112" t="str">
        <f aca="false">IFERROR(IF([1]对账明细接口!$P60=0,"",[1]对账明细接口!$P60),"")</f>
        <v/>
      </c>
      <c r="V60" s="112" t="str">
        <f aca="false">IFERROR(IF([1]对账明细接口!$Q60=0,"",[1]对账明细接口!$Q60),"")</f>
        <v/>
      </c>
      <c r="W60" s="10" t="str">
        <f aca="false">IFERROR(IF([1]对账明细接口!$R60=0,"",[1]对账明细接口!$R60),"")</f>
        <v>新F*75240</v>
      </c>
      <c r="X60" s="10" t="str">
        <f aca="false">IFERROR(IF([1]对账明细接口!$S60=0,"",[1]对账明细接口!$S60),"")</f>
        <v>公司筐</v>
      </c>
      <c r="Y60" s="10" t="str">
        <f aca="false">""</f>
        <v/>
      </c>
      <c r="Z60" s="10" t="str">
        <f aca="false">""</f>
        <v/>
      </c>
      <c r="AA60" s="10" t="str">
        <f aca="false">""</f>
        <v/>
      </c>
      <c r="AB60" s="10" t="str">
        <f aca="false">""</f>
        <v/>
      </c>
    </row>
    <row r="61" customFormat="false" ht="13.5" hidden="false" customHeight="false" outlineLevel="0" collapsed="false">
      <c r="A61" s="109" t="n">
        <v>61</v>
      </c>
      <c r="B61" s="110" t="n">
        <f aca="false">IFERROR(IF([1]对账明细接口!$B$61=0,"",[1]对账明细接口!$B$61),"")</f>
        <v>46269</v>
      </c>
      <c r="C61" s="59" t="str">
        <f aca="false">IFERROR(IF([1]对账明细接口!$C$61=0,"",[1]对账明细接口!$C$61),"")</f>
        <v>全修塑业</v>
      </c>
      <c r="D61" s="59" t="str">
        <f aca="false">IFERROR(IF([1]对账明细接口!$D$61=0,"",[1]对账明细接口!$D$61),"")</f>
        <v>周转筐－采购入库</v>
      </c>
      <c r="E61" s="59" t="str">
        <f aca="false">IFERROR(IF([1]对账明细接口!$E$61=0,"",[1]对账明细接口!$E$61),"")</f>
        <v>NO:0000750</v>
      </c>
      <c r="F61" s="59" t="str">
        <f aca="false">IFERROR(IF([1]对账明细接口!$F$61=0,"",[1]对账明细接口!$F$61),"")</f>
        <v>公司红周转筐</v>
      </c>
      <c r="G61" s="59" t="str">
        <f aca="false">IFERROR(IF([1]对账明细接口!$G$61=0,"",[1]对账明细接口!$G$61),"")</f>
        <v/>
      </c>
      <c r="H61" s="60" t="n">
        <f aca="false">IFERROR(IF([1]对账明细接口!$H$61=0,"",[1]对账明细接口!$H$61),"")</f>
        <v>960</v>
      </c>
      <c r="I61" s="59" t="str">
        <f aca="false">IFERROR(IF([1]对账明细接口!$I$61=0,"",[1]对账明细接口!$I$61),"")</f>
        <v>个</v>
      </c>
      <c r="J61" s="61" t="str">
        <f aca="false">IFERROR(IF([1]对账明细接口!$J$61=0,"",[1]对账明细接口!$J$61),"")</f>
        <v/>
      </c>
      <c r="K61" s="61" t="n">
        <f aca="false">IFERROR(IF([1]对账明细接口!$K$61=0,"",[1]对账明细接口!$K$61),"")</f>
        <v>9600</v>
      </c>
      <c r="L61" s="59" t="str">
        <f aca="false">IFERROR(IF([1]对账明细接口!$L$61=0,"",[1]对账明细接口!$L$61),"")</f>
        <v>未付款</v>
      </c>
      <c r="M61" s="59" t="str">
        <f aca="false">IFERROR(IF([1]对账明细接口!$M$61=0,"",[1]对账明细接口!$M$61),"")</f>
        <v>NO:2745247</v>
      </c>
      <c r="N61" s="111" t="n">
        <f aca="false">IF($C61="",0,1)</f>
        <v>1</v>
      </c>
      <c r="O61" s="111" t="n">
        <f aca="false">N(O60)+$N61</f>
        <v>58</v>
      </c>
      <c r="S61" s="10" t="str">
        <f aca="false">IFERROR(IF([1]对账明细接口!$N61=0,"",[1]对账明细接口!$N61),"")</f>
        <v>公司红周转筐</v>
      </c>
      <c r="T61" s="112" t="str">
        <f aca="false">IFERROR(IF([1]对账明细接口!$O61=0,"",[1]对账明细接口!$O61),"")</f>
        <v/>
      </c>
      <c r="U61" s="112" t="str">
        <f aca="false">IFERROR(IF([1]对账明细接口!$P61=0,"",[1]对账明细接口!$P61),"")</f>
        <v/>
      </c>
      <c r="V61" s="112" t="n">
        <f aca="false">IFERROR(IF([1]对账明细接口!$Q61=0,"",[1]对账明细接口!$Q61),"")</f>
        <v>960</v>
      </c>
      <c r="W61" s="10" t="str">
        <f aca="false">IFERROR(IF([1]对账明细接口!$R61=0,"",[1]对账明细接口!$R61),"")</f>
        <v>豫A*2737K</v>
      </c>
      <c r="X61" s="10" t="str">
        <f aca="false">IFERROR(IF([1]对账明细接口!$S61=0,"",[1]对账明细接口!$S61),"")</f>
        <v>公司筐</v>
      </c>
      <c r="Y61" s="10" t="str">
        <f aca="false">""</f>
        <v/>
      </c>
      <c r="Z61" s="10" t="str">
        <f aca="false">""</f>
        <v/>
      </c>
      <c r="AA61" s="10" t="str">
        <f aca="false">""</f>
        <v/>
      </c>
      <c r="AB61" s="10" t="str">
        <f aca="false">""</f>
        <v/>
      </c>
    </row>
    <row r="62" customFormat="false" ht="13.5" hidden="false" customHeight="false" outlineLevel="0" collapsed="false">
      <c r="A62" s="109" t="n">
        <v>62</v>
      </c>
      <c r="B62" s="110" t="n">
        <f aca="false">IFERROR(IF([1]对账明细接口!$B$62=0,"",[1]对账明细接口!$B$62),"")</f>
        <v>46269</v>
      </c>
      <c r="C62" s="59" t="str">
        <f aca="false">IFERROR(IF([1]对账明细接口!$C$62=0,"",[1]对账明细接口!$C$62),"")</f>
        <v>荆建君</v>
      </c>
      <c r="D62" s="59" t="str">
        <f aca="false">IFERROR(IF([1]对账明细接口!$D$62=0,"",[1]对账明细接口!$D$62),"")</f>
        <v>周转筐－领用出库</v>
      </c>
      <c r="E62" s="59" t="str">
        <f aca="false">IFERROR(IF([1]对账明细接口!$E$62=0,"",[1]对账明细接口!$E$62),"")</f>
        <v>NO:0001077</v>
      </c>
      <c r="F62" s="59" t="str">
        <f aca="false">IFERROR(IF([1]对账明细接口!$F$62=0,"",[1]对账明细接口!$F$62),"")</f>
        <v>公司红周转筐</v>
      </c>
      <c r="G62" s="59" t="str">
        <f aca="false">IFERROR(IF([1]对账明细接口!$G$62=0,"",[1]对账明细接口!$G$62),"")</f>
        <v/>
      </c>
      <c r="H62" s="60" t="n">
        <f aca="false">IFERROR(IF([1]对账明细接口!$H$62=0,"",[1]对账明细接口!$H$62),"")</f>
        <v>960</v>
      </c>
      <c r="I62" s="59" t="str">
        <f aca="false">IFERROR(IF([1]对账明细接口!$I$62=0,"",[1]对账明细接口!$I$62),"")</f>
        <v>个</v>
      </c>
      <c r="J62" s="61" t="str">
        <f aca="false">IFERROR(IF([1]对账明细接口!$J$62=0,"",[1]对账明细接口!$J$62),"")</f>
        <v/>
      </c>
      <c r="K62" s="61" t="str">
        <f aca="false">IFERROR(IF([1]对账明细接口!$K$62=0,"",[1]对账明细接口!$K$62),"")</f>
        <v/>
      </c>
      <c r="L62" s="59" t="str">
        <f aca="false">IFERROR(IF([1]对账明细接口!$L$62=0,"",[1]对账明细接口!$L$62),"")</f>
        <v/>
      </c>
      <c r="M62" s="59" t="str">
        <f aca="false">IFERROR(IF([1]对账明细接口!$M$62=0,"",[1]对账明细接口!$M$62),"")</f>
        <v/>
      </c>
      <c r="N62" s="111" t="n">
        <f aca="false">IF($C62="",0,1)</f>
        <v>1</v>
      </c>
      <c r="O62" s="111" t="n">
        <f aca="false">N(O61)+$N62</f>
        <v>59</v>
      </c>
      <c r="S62" s="10" t="str">
        <f aca="false">IFERROR(IF([1]对账明细接口!$N62=0,"",[1]对账明细接口!$N62),"")</f>
        <v>公司红周转筐</v>
      </c>
      <c r="T62" s="112" t="n">
        <f aca="false">IFERROR(IF([1]对账明细接口!$O62=0,"",[1]对账明细接口!$O62),"")</f>
        <v>960</v>
      </c>
      <c r="U62" s="112" t="str">
        <f aca="false">IFERROR(IF([1]对账明细接口!$P62=0,"",[1]对账明细接口!$P62),"")</f>
        <v/>
      </c>
      <c r="V62" s="112" t="str">
        <f aca="false">IFERROR(IF([1]对账明细接口!$Q62=0,"",[1]对账明细接口!$Q62),"")</f>
        <v/>
      </c>
      <c r="W62" s="10" t="str">
        <f aca="false">IFERROR(IF([1]对账明细接口!$R62=0,"",[1]对账明细接口!$R62),"")</f>
        <v>豫A*2737K</v>
      </c>
      <c r="X62" s="10" t="str">
        <f aca="false">IFERROR(IF([1]对账明细接口!$S62=0,"",[1]对账明细接口!$S62),"")</f>
        <v>公司筐</v>
      </c>
      <c r="Y62" s="10" t="str">
        <f aca="false">""</f>
        <v/>
      </c>
      <c r="Z62" s="10" t="str">
        <f aca="false">""</f>
        <v/>
      </c>
      <c r="AA62" s="10" t="str">
        <f aca="false">""</f>
        <v/>
      </c>
      <c r="AB62" s="10" t="str">
        <f aca="false">""</f>
        <v/>
      </c>
    </row>
    <row r="63" customFormat="false" ht="13.5" hidden="false" customHeight="false" outlineLevel="0" collapsed="false">
      <c r="A63" s="109" t="n">
        <v>63</v>
      </c>
      <c r="B63" s="110" t="n">
        <f aca="false">IFERROR(IF([1]对账明细接口!$B$63=0,"",[1]对账明细接口!$B$63),"")</f>
        <v>46269</v>
      </c>
      <c r="C63" s="59" t="str">
        <f aca="false">IFERROR(IF([1]对账明细接口!$C$63=0,"",[1]对账明细接口!$C$63),"")</f>
        <v>马锦祥</v>
      </c>
      <c r="D63" s="59" t="str">
        <f aca="false">IFERROR(IF([1]对账明细接口!$D$63=0,"",[1]对账明细接口!$D$63),"")</f>
        <v>周转筐－领用出库</v>
      </c>
      <c r="E63" s="59" t="str">
        <f aca="false">IFERROR(IF([1]对账明细接口!$E$63=0,"",[1]对账明细接口!$E$63),"")</f>
        <v>NO:0001076</v>
      </c>
      <c r="F63" s="59" t="str">
        <f aca="false">IFERROR(IF([1]对账明细接口!$F$63=0,"",[1]对账明细接口!$F$63),"")</f>
        <v>公司杂周转筐</v>
      </c>
      <c r="G63" s="59" t="str">
        <f aca="false">IFERROR(IF([1]对账明细接口!$G$63=0,"",[1]对账明细接口!$G$63),"")</f>
        <v/>
      </c>
      <c r="H63" s="60" t="n">
        <f aca="false">IFERROR(IF([1]对账明细接口!$H$63=0,"",[1]对账明细接口!$H$63),"")</f>
        <v>574</v>
      </c>
      <c r="I63" s="59" t="str">
        <f aca="false">IFERROR(IF([1]对账明细接口!$I$63=0,"",[1]对账明细接口!$I$63),"")</f>
        <v>个</v>
      </c>
      <c r="J63" s="61" t="str">
        <f aca="false">IFERROR(IF([1]对账明细接口!$J$63=0,"",[1]对账明细接口!$J$63),"")</f>
        <v/>
      </c>
      <c r="K63" s="61" t="str">
        <f aca="false">IFERROR(IF([1]对账明细接口!$K$63=0,"",[1]对账明细接口!$K$63),"")</f>
        <v/>
      </c>
      <c r="L63" s="59" t="str">
        <f aca="false">IFERROR(IF([1]对账明细接口!$L$63=0,"",[1]对账明细接口!$L$63),"")</f>
        <v/>
      </c>
      <c r="M63" s="59" t="str">
        <f aca="false">IFERROR(IF([1]对账明细接口!$M$63=0,"",[1]对账明细接口!$M$63),"")</f>
        <v/>
      </c>
      <c r="N63" s="111" t="n">
        <f aca="false">IF($C63="",0,1)</f>
        <v>1</v>
      </c>
      <c r="O63" s="111" t="n">
        <f aca="false">N(O62)+$N63</f>
        <v>60</v>
      </c>
      <c r="S63" s="10" t="str">
        <f aca="false">IFERROR(IF([1]对账明细接口!$N63=0,"",[1]对账明细接口!$N63),"")</f>
        <v>公司杂周转筐</v>
      </c>
      <c r="T63" s="112" t="n">
        <f aca="false">IFERROR(IF([1]对账明细接口!$O63=0,"",[1]对账明细接口!$O63),"")</f>
        <v>574</v>
      </c>
      <c r="U63" s="112" t="str">
        <f aca="false">IFERROR(IF([1]对账明细接口!$P63=0,"",[1]对账明细接口!$P63),"")</f>
        <v/>
      </c>
      <c r="V63" s="112" t="str">
        <f aca="false">IFERROR(IF([1]对账明细接口!$Q63=0,"",[1]对账明细接口!$Q63),"")</f>
        <v/>
      </c>
      <c r="W63" s="10" t="str">
        <f aca="false">IFERROR(IF([1]对账明细接口!$R63=0,"",[1]对账明细接口!$R63),"")</f>
        <v>新N*K7V85</v>
      </c>
      <c r="X63" s="10" t="str">
        <f aca="false">IFERROR(IF([1]对账明细接口!$S63=0,"",[1]对账明细接口!$S63),"")</f>
        <v>公司筐</v>
      </c>
      <c r="Y63" s="10" t="str">
        <f aca="false">""</f>
        <v/>
      </c>
      <c r="Z63" s="10" t="str">
        <f aca="false">""</f>
        <v/>
      </c>
      <c r="AA63" s="10" t="str">
        <f aca="false">""</f>
        <v/>
      </c>
      <c r="AB63" s="10" t="str">
        <f aca="false">""</f>
        <v/>
      </c>
    </row>
    <row r="64" customFormat="false" ht="13.5" hidden="false" customHeight="false" outlineLevel="0" collapsed="false">
      <c r="A64" s="109" t="n">
        <v>64</v>
      </c>
      <c r="B64" s="110" t="n">
        <f aca="false">IFERROR(IF([1]对账明细接口!$B$64=0,"",[1]对账明细接口!$B$64),"")</f>
        <v>46269</v>
      </c>
      <c r="C64" s="59" t="str">
        <f aca="false">IFERROR(IF([1]对账明细接口!$C$64=0,"",[1]对账明细接口!$C$64),"")</f>
        <v>全修塑业</v>
      </c>
      <c r="D64" s="59" t="str">
        <f aca="false">IFERROR(IF([1]对账明细接口!$D$64=0,"",[1]对账明细接口!$D$64),"")</f>
        <v>周转筐－采购入库</v>
      </c>
      <c r="E64" s="59" t="str">
        <f aca="false">IFERROR(IF([1]对账明细接口!$E$64=0,"",[1]对账明细接口!$E$64),"")</f>
        <v>NO:0000751</v>
      </c>
      <c r="F64" s="59" t="str">
        <f aca="false">IFERROR(IF([1]对账明细接口!$F$64=0,"",[1]对账明细接口!$F$64),"")</f>
        <v>公司红周转筐</v>
      </c>
      <c r="G64" s="59" t="str">
        <f aca="false">IFERROR(IF([1]对账明细接口!$G$64=0,"",[1]对账明细接口!$G$64),"")</f>
        <v/>
      </c>
      <c r="H64" s="60" t="n">
        <f aca="false">IFERROR(IF([1]对账明细接口!$H$64=0,"",[1]对账明细接口!$H$64),"")</f>
        <v>936</v>
      </c>
      <c r="I64" s="59" t="str">
        <f aca="false">IFERROR(IF([1]对账明细接口!$I$64=0,"",[1]对账明细接口!$I$64),"")</f>
        <v>个</v>
      </c>
      <c r="J64" s="61" t="str">
        <f aca="false">IFERROR(IF([1]对账明细接口!$J$64=0,"",[1]对账明细接口!$J$64),"")</f>
        <v/>
      </c>
      <c r="K64" s="61" t="n">
        <f aca="false">IFERROR(IF([1]对账明细接口!$K$64=0,"",[1]对账明细接口!$K$64),"")</f>
        <v>9360</v>
      </c>
      <c r="L64" s="59" t="str">
        <f aca="false">IFERROR(IF([1]对账明细接口!$L$64=0,"",[1]对账明细接口!$L$64),"")</f>
        <v>未付款</v>
      </c>
      <c r="M64" s="59" t="str">
        <f aca="false">IFERROR(IF([1]对账明细接口!$M$64=0,"",[1]对账明细接口!$M$64),"")</f>
        <v>NO:2745248</v>
      </c>
      <c r="N64" s="111" t="n">
        <f aca="false">IF($C64="",0,1)</f>
        <v>1</v>
      </c>
      <c r="O64" s="111" t="n">
        <f aca="false">N(O63)+$N64</f>
        <v>61</v>
      </c>
      <c r="S64" s="10" t="str">
        <f aca="false">IFERROR(IF([1]对账明细接口!$N64=0,"",[1]对账明细接口!$N64),"")</f>
        <v>公司红周转筐</v>
      </c>
      <c r="T64" s="112" t="str">
        <f aca="false">IFERROR(IF([1]对账明细接口!$O64=0,"",[1]对账明细接口!$O64),"")</f>
        <v/>
      </c>
      <c r="U64" s="112" t="str">
        <f aca="false">IFERROR(IF([1]对账明细接口!$P64=0,"",[1]对账明细接口!$P64),"")</f>
        <v/>
      </c>
      <c r="V64" s="112" t="n">
        <f aca="false">IFERROR(IF([1]对账明细接口!$Q64=0,"",[1]对账明细接口!$Q64),"")</f>
        <v>936</v>
      </c>
      <c r="W64" s="10" t="str">
        <f aca="false">IFERROR(IF([1]对账明细接口!$R64=0,"",[1]对账明细接口!$R64),"")</f>
        <v>新F*75240</v>
      </c>
      <c r="X64" s="10" t="str">
        <f aca="false">IFERROR(IF([1]对账明细接口!$S64=0,"",[1]对账明细接口!$S64),"")</f>
        <v>公司筐</v>
      </c>
      <c r="Y64" s="10" t="str">
        <f aca="false">""</f>
        <v/>
      </c>
      <c r="Z64" s="10" t="str">
        <f aca="false">""</f>
        <v/>
      </c>
      <c r="AA64" s="10" t="str">
        <f aca="false">""</f>
        <v/>
      </c>
      <c r="AB64" s="10" t="str">
        <f aca="false">""</f>
        <v/>
      </c>
    </row>
    <row r="65" customFormat="false" ht="13.5" hidden="false" customHeight="false" outlineLevel="0" collapsed="false">
      <c r="A65" s="109" t="n">
        <v>65</v>
      </c>
      <c r="B65" s="110" t="n">
        <f aca="false">IFERROR(IF([1]对账明细接口!$B$65=0,"",[1]对账明细接口!$B$65),"")</f>
        <v>46269</v>
      </c>
      <c r="C65" s="59" t="str">
        <f aca="false">IFERROR(IF([1]对账明细接口!$C$65=0,"",[1]对账明细接口!$C$65),"")</f>
        <v>努尔敦</v>
      </c>
      <c r="D65" s="59" t="str">
        <f aca="false">IFERROR(IF([1]对账明细接口!$D$65=0,"",[1]对账明细接口!$D$65),"")</f>
        <v>周转筐－领用出库</v>
      </c>
      <c r="E65" s="59" t="str">
        <f aca="false">IFERROR(IF([1]对账明细接口!$E$65=0,"",[1]对账明细接口!$E$65),"")</f>
        <v>NO:0001078</v>
      </c>
      <c r="F65" s="59" t="str">
        <f aca="false">IFERROR(IF([1]对账明细接口!$F$65=0,"",[1]对账明细接口!$F$65),"")</f>
        <v>公司红周转筐</v>
      </c>
      <c r="G65" s="59" t="str">
        <f aca="false">IFERROR(IF([1]对账明细接口!$G$65=0,"",[1]对账明细接口!$G$65),"")</f>
        <v/>
      </c>
      <c r="H65" s="60" t="n">
        <f aca="false">IFERROR(IF([1]对账明细接口!$H$65=0,"",[1]对账明细接口!$H$65),"")</f>
        <v>936</v>
      </c>
      <c r="I65" s="59" t="str">
        <f aca="false">IFERROR(IF([1]对账明细接口!$I$65=0,"",[1]对账明细接口!$I$65),"")</f>
        <v>个</v>
      </c>
      <c r="J65" s="61" t="str">
        <f aca="false">IFERROR(IF([1]对账明细接口!$J$65=0,"",[1]对账明细接口!$J$65),"")</f>
        <v/>
      </c>
      <c r="K65" s="61" t="str">
        <f aca="false">IFERROR(IF([1]对账明细接口!$K$65=0,"",[1]对账明细接口!$K$65),"")</f>
        <v/>
      </c>
      <c r="L65" s="59" t="str">
        <f aca="false">IFERROR(IF([1]对账明细接口!$L$65=0,"",[1]对账明细接口!$L$65),"")</f>
        <v/>
      </c>
      <c r="M65" s="59" t="str">
        <f aca="false">IFERROR(IF([1]对账明细接口!$M$65=0,"",[1]对账明细接口!$M$65),"")</f>
        <v/>
      </c>
      <c r="N65" s="111" t="n">
        <f aca="false">IF($C65="",0,1)</f>
        <v>1</v>
      </c>
      <c r="O65" s="111" t="n">
        <f aca="false">N(O64)+$N65</f>
        <v>62</v>
      </c>
      <c r="S65" s="10" t="str">
        <f aca="false">IFERROR(IF([1]对账明细接口!$N65=0,"",[1]对账明细接口!$N65),"")</f>
        <v>公司红周转筐</v>
      </c>
      <c r="T65" s="112" t="n">
        <f aca="false">IFERROR(IF([1]对账明细接口!$O65=0,"",[1]对账明细接口!$O65),"")</f>
        <v>936</v>
      </c>
      <c r="U65" s="112" t="str">
        <f aca="false">IFERROR(IF([1]对账明细接口!$P65=0,"",[1]对账明细接口!$P65),"")</f>
        <v/>
      </c>
      <c r="V65" s="112" t="str">
        <f aca="false">IFERROR(IF([1]对账明细接口!$Q65=0,"",[1]对账明细接口!$Q65),"")</f>
        <v/>
      </c>
      <c r="W65" s="10" t="str">
        <f aca="false">IFERROR(IF([1]对账明细接口!$R65=0,"",[1]对账明细接口!$R65),"")</f>
        <v>新F*75240</v>
      </c>
      <c r="X65" s="10" t="str">
        <f aca="false">IFERROR(IF([1]对账明细接口!$S65=0,"",[1]对账明细接口!$S65),"")</f>
        <v>公司筐</v>
      </c>
      <c r="Y65" s="10" t="str">
        <f aca="false">""</f>
        <v/>
      </c>
      <c r="Z65" s="10" t="str">
        <f aca="false">""</f>
        <v/>
      </c>
      <c r="AA65" s="10" t="str">
        <f aca="false">""</f>
        <v/>
      </c>
      <c r="AB65" s="10" t="str">
        <f aca="false">""</f>
        <v/>
      </c>
    </row>
    <row r="66" customFormat="false" ht="13.5" hidden="false" customHeight="false" outlineLevel="0" collapsed="false">
      <c r="A66" s="109" t="n">
        <v>66</v>
      </c>
      <c r="B66" s="110" t="n">
        <f aca="false">IFERROR(IF([1]对账明细接口!$B$66=0,"",[1]对账明细接口!$B$66),"")</f>
        <v>46269</v>
      </c>
      <c r="C66" s="59" t="str">
        <f aca="false">IFERROR(IF([1]对账明细接口!$C$66=0,"",[1]对账明细接口!$C$66),"")</f>
        <v>全修塑业</v>
      </c>
      <c r="D66" s="59" t="str">
        <f aca="false">IFERROR(IF([1]对账明细接口!$D$66=0,"",[1]对账明细接口!$D$66),"")</f>
        <v>周转筐－采购入库</v>
      </c>
      <c r="E66" s="59" t="str">
        <f aca="false">IFERROR(IF([1]对账明细接口!$E$66=0,"",[1]对账明细接口!$E$66),"")</f>
        <v>NO:0000753</v>
      </c>
      <c r="F66" s="59" t="str">
        <f aca="false">IFERROR(IF([1]对账明细接口!$F$66=0,"",[1]对账明细接口!$F$66),"")</f>
        <v>公司红周转筐</v>
      </c>
      <c r="G66" s="59" t="str">
        <f aca="false">IFERROR(IF([1]对账明细接口!$G$66=0,"",[1]对账明细接口!$G$66),"")</f>
        <v/>
      </c>
      <c r="H66" s="60" t="n">
        <f aca="false">IFERROR(IF([1]对账明细接口!$H$66=0,"",[1]对账明细接口!$H$66),"")</f>
        <v>582</v>
      </c>
      <c r="I66" s="59" t="str">
        <f aca="false">IFERROR(IF([1]对账明细接口!$I$66=0,"",[1]对账明细接口!$I$66),"")</f>
        <v>个</v>
      </c>
      <c r="J66" s="61" t="str">
        <f aca="false">IFERROR(IF([1]对账明细接口!$J$66=0,"",[1]对账明细接口!$J$66),"")</f>
        <v/>
      </c>
      <c r="K66" s="61" t="n">
        <f aca="false">IFERROR(IF([1]对账明细接口!$K$66=0,"",[1]对账明细接口!$K$66),"")</f>
        <v>5820</v>
      </c>
      <c r="L66" s="59" t="str">
        <f aca="false">IFERROR(IF([1]对账明细接口!$L$66=0,"",[1]对账明细接口!$L$66),"")</f>
        <v>未付款</v>
      </c>
      <c r="M66" s="59" t="str">
        <f aca="false">IFERROR(IF([1]对账明细接口!$M$66=0,"",[1]对账明细接口!$M$66),"")</f>
        <v>NO:2745249</v>
      </c>
      <c r="N66" s="111" t="n">
        <f aca="false">IF($C66="",0,1)</f>
        <v>1</v>
      </c>
      <c r="O66" s="111" t="n">
        <f aca="false">N(O65)+$N66</f>
        <v>63</v>
      </c>
      <c r="S66" s="10" t="str">
        <f aca="false">IFERROR(IF([1]对账明细接口!$N66=0,"",[1]对账明细接口!$N66),"")</f>
        <v>公司红周转筐</v>
      </c>
      <c r="T66" s="112" t="str">
        <f aca="false">IFERROR(IF([1]对账明细接口!$O66=0,"",[1]对账明细接口!$O66),"")</f>
        <v/>
      </c>
      <c r="U66" s="112" t="str">
        <f aca="false">IFERROR(IF([1]对账明细接口!$P66=0,"",[1]对账明细接口!$P66),"")</f>
        <v/>
      </c>
      <c r="V66" s="112" t="n">
        <f aca="false">IFERROR(IF([1]对账明细接口!$Q66=0,"",[1]对账明细接口!$Q66),"")</f>
        <v>582</v>
      </c>
      <c r="W66" s="10" t="str">
        <f aca="false">IFERROR(IF([1]对账明细接口!$R66=0,"",[1]对账明细接口!$R66),"")</f>
        <v>豫A*2737K</v>
      </c>
      <c r="X66" s="10" t="str">
        <f aca="false">IFERROR(IF([1]对账明细接口!$S66=0,"",[1]对账明细接口!$S66),"")</f>
        <v>公司筐</v>
      </c>
      <c r="Y66" s="10" t="str">
        <f aca="false">""</f>
        <v/>
      </c>
      <c r="Z66" s="10" t="str">
        <f aca="false">""</f>
        <v/>
      </c>
      <c r="AA66" s="10" t="str">
        <f aca="false">""</f>
        <v/>
      </c>
      <c r="AB66" s="10" t="str">
        <f aca="false">""</f>
        <v/>
      </c>
    </row>
    <row r="67" customFormat="false" ht="13.5" hidden="false" customHeight="false" outlineLevel="0" collapsed="false">
      <c r="A67" s="109" t="n">
        <v>67</v>
      </c>
      <c r="B67" s="110" t="n">
        <f aca="false">IFERROR(IF([1]对账明细接口!$B$67=0,"",[1]对账明细接口!$B$67),"")</f>
        <v>46269</v>
      </c>
      <c r="C67" s="59" t="str">
        <f aca="false">IFERROR(IF([1]对账明细接口!$C$67=0,"",[1]对账明细接口!$C$67),"")</f>
        <v>荆建君</v>
      </c>
      <c r="D67" s="59" t="str">
        <f aca="false">IFERROR(IF([1]对账明细接口!$D$67=0,"",[1]对账明细接口!$D$67),"")</f>
        <v>周转筐－领用出库</v>
      </c>
      <c r="E67" s="59" t="str">
        <f aca="false">IFERROR(IF([1]对账明细接口!$E$67=0,"",[1]对账明细接口!$E$67),"")</f>
        <v>NO:0001079</v>
      </c>
      <c r="F67" s="59" t="str">
        <f aca="false">IFERROR(IF([1]对账明细接口!$F$67=0,"",[1]对账明细接口!$F$67),"")</f>
        <v>公司红周转筐</v>
      </c>
      <c r="G67" s="59" t="str">
        <f aca="false">IFERROR(IF([1]对账明细接口!$G$67=0,"",[1]对账明细接口!$G$67),"")</f>
        <v/>
      </c>
      <c r="H67" s="60" t="n">
        <f aca="false">IFERROR(IF([1]对账明细接口!$H$67=0,"",[1]对账明细接口!$H$67),"")</f>
        <v>582</v>
      </c>
      <c r="I67" s="59" t="str">
        <f aca="false">IFERROR(IF([1]对账明细接口!$I$67=0,"",[1]对账明细接口!$I$67),"")</f>
        <v>个</v>
      </c>
      <c r="J67" s="61" t="str">
        <f aca="false">IFERROR(IF([1]对账明细接口!$J$67=0,"",[1]对账明细接口!$J$67),"")</f>
        <v/>
      </c>
      <c r="K67" s="61" t="str">
        <f aca="false">IFERROR(IF([1]对账明细接口!$K$67=0,"",[1]对账明细接口!$K$67),"")</f>
        <v/>
      </c>
      <c r="L67" s="59" t="str">
        <f aca="false">IFERROR(IF([1]对账明细接口!$L$67=0,"",[1]对账明细接口!$L$67),"")</f>
        <v/>
      </c>
      <c r="M67" s="59" t="str">
        <f aca="false">IFERROR(IF([1]对账明细接口!$M$67=0,"",[1]对账明细接口!$M$67),"")</f>
        <v/>
      </c>
      <c r="N67" s="111" t="n">
        <f aca="false">IF($C67="",0,1)</f>
        <v>1</v>
      </c>
      <c r="O67" s="111" t="n">
        <f aca="false">N(O66)+$N67</f>
        <v>64</v>
      </c>
      <c r="S67" s="10" t="str">
        <f aca="false">IFERROR(IF([1]对账明细接口!$N67=0,"",[1]对账明细接口!$N67),"")</f>
        <v>公司红周转筐</v>
      </c>
      <c r="T67" s="112" t="n">
        <f aca="false">IFERROR(IF([1]对账明细接口!$O67=0,"",[1]对账明细接口!$O67),"")</f>
        <v>582</v>
      </c>
      <c r="U67" s="112" t="str">
        <f aca="false">IFERROR(IF([1]对账明细接口!$P67=0,"",[1]对账明细接口!$P67),"")</f>
        <v/>
      </c>
      <c r="V67" s="112" t="str">
        <f aca="false">IFERROR(IF([1]对账明细接口!$Q67=0,"",[1]对账明细接口!$Q67),"")</f>
        <v/>
      </c>
      <c r="W67" s="10" t="str">
        <f aca="false">IFERROR(IF([1]对账明细接口!$R67=0,"",[1]对账明细接口!$R67),"")</f>
        <v>豫A*2737K</v>
      </c>
      <c r="X67" s="10" t="str">
        <f aca="false">IFERROR(IF([1]对账明细接口!$S67=0,"",[1]对账明细接口!$S67),"")</f>
        <v>公司筐</v>
      </c>
      <c r="Y67" s="10" t="str">
        <f aca="false">""</f>
        <v/>
      </c>
      <c r="Z67" s="10" t="str">
        <f aca="false">""</f>
        <v/>
      </c>
      <c r="AA67" s="10" t="str">
        <f aca="false">""</f>
        <v/>
      </c>
      <c r="AB67" s="10" t="str">
        <f aca="false">""</f>
        <v/>
      </c>
    </row>
    <row r="68" customFormat="false" ht="13.5" hidden="false" customHeight="false" outlineLevel="0" collapsed="false">
      <c r="A68" s="109" t="n">
        <v>68</v>
      </c>
      <c r="B68" s="110" t="n">
        <f aca="false">IFERROR(IF([1]对账明细接口!$B$68=0,"",[1]对账明细接口!$B$68),"")</f>
        <v>46270</v>
      </c>
      <c r="C68" s="59" t="str">
        <f aca="false">IFERROR(IF([1]对账明细接口!$C$68=0,"",[1]对账明细接口!$C$68),"")</f>
        <v>王浩</v>
      </c>
      <c r="D68" s="59" t="str">
        <f aca="false">IFERROR(IF([1]对账明细接口!$D$68=0,"",[1]对账明细接口!$D$68),"")</f>
        <v>周转筐－领用出库</v>
      </c>
      <c r="E68" s="59" t="str">
        <f aca="false">IFERROR(IF([1]对账明细接口!$E$68=0,"",[1]对账明细接口!$E$68),"")</f>
        <v>NO:0001086</v>
      </c>
      <c r="F68" s="59" t="str">
        <f aca="false">IFERROR(IF([1]对账明细接口!$F$68=0,"",[1]对账明细接口!$F$68),"")</f>
        <v>公司一次性筐</v>
      </c>
      <c r="G68" s="59" t="str">
        <f aca="false">IFERROR(IF([1]对账明细接口!$G$68=0,"",[1]对账明细接口!$G$68),"")</f>
        <v/>
      </c>
      <c r="H68" s="60" t="n">
        <f aca="false">IFERROR(IF([1]对账明细接口!$H$68=0,"",[1]对账明细接口!$H$68),"")</f>
        <v>1320</v>
      </c>
      <c r="I68" s="59" t="str">
        <f aca="false">IFERROR(IF([1]对账明细接口!$I$68=0,"",[1]对账明细接口!$I$68),"")</f>
        <v>个</v>
      </c>
      <c r="J68" s="61" t="str">
        <f aca="false">IFERROR(IF([1]对账明细接口!$J$68=0,"",[1]对账明细接口!$J$68),"")</f>
        <v/>
      </c>
      <c r="K68" s="61" t="str">
        <f aca="false">IFERROR(IF([1]对账明细接口!$K$68=0,"",[1]对账明细接口!$K$68),"")</f>
        <v/>
      </c>
      <c r="L68" s="59" t="str">
        <f aca="false">IFERROR(IF([1]对账明细接口!$L$68=0,"",[1]对账明细接口!$L$68),"")</f>
        <v/>
      </c>
      <c r="M68" s="59" t="str">
        <f aca="false">IFERROR(IF([1]对账明细接口!$M$68=0,"",[1]对账明细接口!$M$68),"")</f>
        <v/>
      </c>
      <c r="N68" s="111" t="n">
        <f aca="false">IF($C68="",0,1)</f>
        <v>1</v>
      </c>
      <c r="O68" s="111" t="n">
        <f aca="false">N(O67)+$N68</f>
        <v>65</v>
      </c>
      <c r="S68" s="10" t="str">
        <f aca="false">IFERROR(IF([1]对账明细接口!$N68=0,"",[1]对账明细接口!$N68),"")</f>
        <v>公司一次性筐</v>
      </c>
      <c r="T68" s="112" t="n">
        <f aca="false">IFERROR(IF([1]对账明细接口!$O68=0,"",[1]对账明细接口!$O68),"")</f>
        <v>1320</v>
      </c>
      <c r="U68" s="112" t="str">
        <f aca="false">IFERROR(IF([1]对账明细接口!$P68=0,"",[1]对账明细接口!$P68),"")</f>
        <v/>
      </c>
      <c r="V68" s="112" t="str">
        <f aca="false">IFERROR(IF([1]对账明细接口!$Q68=0,"",[1]对账明细接口!$Q68),"")</f>
        <v/>
      </c>
      <c r="W68" s="10" t="str">
        <f aca="false">IFERROR(IF([1]对账明细接口!$R68=0,"",[1]对账明细接口!$R68),"")</f>
        <v>新M*79997</v>
      </c>
      <c r="X68" s="10" t="str">
        <f aca="false">IFERROR(IF([1]对账明细接口!$S68=0,"",[1]对账明细接口!$S68),"")</f>
        <v>公司筐</v>
      </c>
      <c r="Y68" s="10" t="str">
        <f aca="false">""</f>
        <v/>
      </c>
      <c r="Z68" s="10" t="str">
        <f aca="false">""</f>
        <v/>
      </c>
      <c r="AA68" s="10" t="str">
        <f aca="false">""</f>
        <v/>
      </c>
      <c r="AB68" s="10" t="str">
        <f aca="false">""</f>
        <v/>
      </c>
    </row>
    <row r="69" customFormat="false" ht="13.5" hidden="false" customHeight="false" outlineLevel="0" collapsed="false">
      <c r="A69" s="109" t="n">
        <v>69</v>
      </c>
      <c r="B69" s="110" t="n">
        <f aca="false">IFERROR(IF([1]对账明细接口!$B$69=0,"",[1]对账明细接口!$B$69),"")</f>
        <v>46271</v>
      </c>
      <c r="C69" s="59" t="str">
        <f aca="false">IFERROR(IF([1]对账明细接口!$C$69=0,"",[1]对账明细接口!$C$69),"")</f>
        <v>贾建国</v>
      </c>
      <c r="D69" s="59" t="str">
        <f aca="false">IFERROR(IF([1]对账明细接口!$D$69=0,"",[1]对账明细接口!$D$69),"")</f>
        <v>周转筐－领用出库</v>
      </c>
      <c r="E69" s="59" t="str">
        <f aca="false">IFERROR(IF([1]对账明细接口!$E$69=0,"",[1]对账明细接口!$E$69),"")</f>
        <v>NO:0001087</v>
      </c>
      <c r="F69" s="59" t="str">
        <f aca="false">IFERROR(IF([1]对账明细接口!$F$69=0,"",[1]对账明细接口!$F$69),"")</f>
        <v>公司新周转筐</v>
      </c>
      <c r="G69" s="59" t="str">
        <f aca="false">IFERROR(IF([1]对账明细接口!$G$69=0,"",[1]对账明细接口!$G$69),"")</f>
        <v/>
      </c>
      <c r="H69" s="60" t="n">
        <f aca="false">IFERROR(IF([1]对账明细接口!$H$69=0,"",[1]对账明细接口!$H$69),"")</f>
        <v>252</v>
      </c>
      <c r="I69" s="59" t="str">
        <f aca="false">IFERROR(IF([1]对账明细接口!$I$69=0,"",[1]对账明细接口!$I$69),"")</f>
        <v>个</v>
      </c>
      <c r="J69" s="61" t="str">
        <f aca="false">IFERROR(IF([1]对账明细接口!$J$69=0,"",[1]对账明细接口!$J$69),"")</f>
        <v/>
      </c>
      <c r="K69" s="61" t="str">
        <f aca="false">IFERROR(IF([1]对账明细接口!$K$69=0,"",[1]对账明细接口!$K$69),"")</f>
        <v/>
      </c>
      <c r="L69" s="59" t="str">
        <f aca="false">IFERROR(IF([1]对账明细接口!$L$69=0,"",[1]对账明细接口!$L$69),"")</f>
        <v/>
      </c>
      <c r="M69" s="59" t="str">
        <f aca="false">IFERROR(IF([1]对账明细接口!$M$69=0,"",[1]对账明细接口!$M$69),"")</f>
        <v/>
      </c>
      <c r="N69" s="111" t="n">
        <f aca="false">IF($C69="",0,1)</f>
        <v>1</v>
      </c>
      <c r="O69" s="111" t="n">
        <f aca="false">N(O68)+$N69</f>
        <v>66</v>
      </c>
      <c r="S69" s="10" t="str">
        <f aca="false">IFERROR(IF([1]对账明细接口!$N69=0,"",[1]对账明细接口!$N69),"")</f>
        <v>公司新周转筐</v>
      </c>
      <c r="T69" s="112" t="n">
        <f aca="false">IFERROR(IF([1]对账明细接口!$O69=0,"",[1]对账明细接口!$O69),"")</f>
        <v>252</v>
      </c>
      <c r="U69" s="112" t="str">
        <f aca="false">IFERROR(IF([1]对账明细接口!$P69=0,"",[1]对账明细接口!$P69),"")</f>
        <v/>
      </c>
      <c r="V69" s="112" t="str">
        <f aca="false">IFERROR(IF([1]对账明细接口!$Q69=0,"",[1]对账明细接口!$Q69),"")</f>
        <v/>
      </c>
      <c r="W69" s="10" t="str">
        <f aca="false">IFERROR(IF([1]对账明细接口!$R69=0,"",[1]对账明细接口!$R69),"")</f>
        <v>新N*56508</v>
      </c>
      <c r="X69" s="10" t="str">
        <f aca="false">IFERROR(IF([1]对账明细接口!$S69=0,"",[1]对账明细接口!$S69),"")</f>
        <v>公司筐</v>
      </c>
      <c r="Y69" s="10" t="str">
        <f aca="false">""</f>
        <v/>
      </c>
      <c r="Z69" s="10" t="str">
        <f aca="false">""</f>
        <v/>
      </c>
      <c r="AA69" s="10" t="str">
        <f aca="false">""</f>
        <v/>
      </c>
      <c r="AB69" s="10" t="str">
        <f aca="false">""</f>
        <v/>
      </c>
    </row>
    <row r="70" customFormat="false" ht="13.5" hidden="false" customHeight="false" outlineLevel="0" collapsed="false">
      <c r="A70" s="109" t="n">
        <v>70</v>
      </c>
      <c r="B70" s="110" t="n">
        <f aca="false">IFERROR(IF([1]对账明细接口!$B$70=0,"",[1]对账明细接口!$B$70),"")</f>
        <v>46272</v>
      </c>
      <c r="C70" s="59" t="str">
        <f aca="false">IFERROR(IF([1]对账明细接口!$C$70=0,"",[1]对账明细接口!$C$70),"")</f>
        <v>全修塑业</v>
      </c>
      <c r="D70" s="59" t="str">
        <f aca="false">IFERROR(IF([1]对账明细接口!$D$70=0,"",[1]对账明细接口!$D$70),"")</f>
        <v>周转筐－采购入库</v>
      </c>
      <c r="E70" s="59" t="str">
        <f aca="false">IFERROR(IF([1]对账明细接口!$E$70=0,"",[1]对账明细接口!$E$70),"")</f>
        <v>NO:0000755</v>
      </c>
      <c r="F70" s="59" t="str">
        <f aca="false">IFERROR(IF([1]对账明细接口!$F$70=0,"",[1]对账明细接口!$F$70),"")</f>
        <v>公司红周转筐</v>
      </c>
      <c r="G70" s="59" t="str">
        <f aca="false">IFERROR(IF([1]对账明细接口!$G$70=0,"",[1]对账明细接口!$G$70),"")</f>
        <v/>
      </c>
      <c r="H70" s="60" t="n">
        <f aca="false">IFERROR(IF([1]对账明细接口!$H$70=0,"",[1]对账明细接口!$H$70),"")</f>
        <v>846</v>
      </c>
      <c r="I70" s="59" t="str">
        <f aca="false">IFERROR(IF([1]对账明细接口!$I$70=0,"",[1]对账明细接口!$I$70),"")</f>
        <v>个</v>
      </c>
      <c r="J70" s="61" t="str">
        <f aca="false">IFERROR(IF([1]对账明细接口!$J$70=0,"",[1]对账明细接口!$J$70),"")</f>
        <v/>
      </c>
      <c r="K70" s="61" t="n">
        <f aca="false">IFERROR(IF([1]对账明细接口!$K$70=0,"",[1]对账明细接口!$K$70),"")</f>
        <v>8460</v>
      </c>
      <c r="L70" s="59" t="str">
        <f aca="false">IFERROR(IF([1]对账明细接口!$L$70=0,"",[1]对账明细接口!$L$70),"")</f>
        <v>未付款</v>
      </c>
      <c r="M70" s="59" t="str">
        <f aca="false">IFERROR(IF([1]对账明细接口!$M$70=0,"",[1]对账明细接口!$M$70),"")</f>
        <v>NO:2745250</v>
      </c>
      <c r="N70" s="111" t="n">
        <f aca="false">IF($C70="",0,1)</f>
        <v>1</v>
      </c>
      <c r="O70" s="111" t="n">
        <f aca="false">N(O69)+$N70</f>
        <v>67</v>
      </c>
      <c r="S70" s="10" t="str">
        <f aca="false">IFERROR(IF([1]对账明细接口!$N70=0,"",[1]对账明细接口!$N70),"")</f>
        <v>公司红周转筐</v>
      </c>
      <c r="T70" s="112" t="str">
        <f aca="false">IFERROR(IF([1]对账明细接口!$O70=0,"",[1]对账明细接口!$O70),"")</f>
        <v/>
      </c>
      <c r="U70" s="112" t="str">
        <f aca="false">IFERROR(IF([1]对账明细接口!$P70=0,"",[1]对账明细接口!$P70),"")</f>
        <v/>
      </c>
      <c r="V70" s="112" t="n">
        <f aca="false">IFERROR(IF([1]对账明细接口!$Q70=0,"",[1]对账明细接口!$Q70),"")</f>
        <v>846</v>
      </c>
      <c r="W70" s="10" t="str">
        <f aca="false">IFERROR(IF([1]对账明细接口!$R70=0,"",[1]对账明细接口!$R70),"")</f>
        <v>新A*G0554</v>
      </c>
      <c r="X70" s="10" t="str">
        <f aca="false">IFERROR(IF([1]对账明细接口!$S70=0,"",[1]对账明细接口!$S70),"")</f>
        <v>公司筐</v>
      </c>
      <c r="Y70" s="10" t="str">
        <f aca="false">""</f>
        <v/>
      </c>
      <c r="Z70" s="10" t="str">
        <f aca="false">""</f>
        <v/>
      </c>
      <c r="AA70" s="10" t="str">
        <f aca="false">""</f>
        <v/>
      </c>
      <c r="AB70" s="10" t="str">
        <f aca="false">""</f>
        <v/>
      </c>
    </row>
    <row r="71" customFormat="false" ht="13.5" hidden="false" customHeight="false" outlineLevel="0" collapsed="false">
      <c r="A71" s="109" t="n">
        <v>71</v>
      </c>
      <c r="B71" s="110" t="n">
        <f aca="false">IFERROR(IF([1]对账明细接口!$B$71=0,"",[1]对账明细接口!$B$71),"")</f>
        <v>46272</v>
      </c>
      <c r="C71" s="59" t="str">
        <f aca="false">IFERROR(IF([1]对账明细接口!$C$71=0,"",[1]对账明细接口!$C$71),"")</f>
        <v>麦麦提</v>
      </c>
      <c r="D71" s="59" t="str">
        <f aca="false">IFERROR(IF([1]对账明细接口!$D$71=0,"",[1]对账明细接口!$D$71),"")</f>
        <v>周转筐－领用出库</v>
      </c>
      <c r="E71" s="59" t="str">
        <f aca="false">IFERROR(IF([1]对账明细接口!$E$71=0,"",[1]对账明细接口!$E$71),"")</f>
        <v>NO:0001089</v>
      </c>
      <c r="F71" s="59" t="str">
        <f aca="false">IFERROR(IF([1]对账明细接口!$F$71=0,"",[1]对账明细接口!$F$71),"")</f>
        <v>公司红周转筐</v>
      </c>
      <c r="G71" s="59" t="str">
        <f aca="false">IFERROR(IF([1]对账明细接口!$G$71=0,"",[1]对账明细接口!$G$71),"")</f>
        <v/>
      </c>
      <c r="H71" s="60" t="n">
        <f aca="false">IFERROR(IF([1]对账明细接口!$H$71=0,"",[1]对账明细接口!$H$71),"")</f>
        <v>846</v>
      </c>
      <c r="I71" s="59" t="str">
        <f aca="false">IFERROR(IF([1]对账明细接口!$I$71=0,"",[1]对账明细接口!$I$71),"")</f>
        <v>个</v>
      </c>
      <c r="J71" s="61" t="str">
        <f aca="false">IFERROR(IF([1]对账明细接口!$J$71=0,"",[1]对账明细接口!$J$71),"")</f>
        <v/>
      </c>
      <c r="K71" s="61" t="str">
        <f aca="false">IFERROR(IF([1]对账明细接口!$K$71=0,"",[1]对账明细接口!$K$71),"")</f>
        <v/>
      </c>
      <c r="L71" s="59" t="str">
        <f aca="false">IFERROR(IF([1]对账明细接口!$L$71=0,"",[1]对账明细接口!$L$71),"")</f>
        <v/>
      </c>
      <c r="M71" s="59" t="str">
        <f aca="false">IFERROR(IF([1]对账明细接口!$M$71=0,"",[1]对账明细接口!$M$71),"")</f>
        <v/>
      </c>
      <c r="N71" s="111" t="n">
        <f aca="false">IF($C71="",0,1)</f>
        <v>1</v>
      </c>
      <c r="O71" s="111" t="n">
        <f aca="false">N(O70)+$N71</f>
        <v>68</v>
      </c>
      <c r="S71" s="10" t="str">
        <f aca="false">IFERROR(IF([1]对账明细接口!$N71=0,"",[1]对账明细接口!$N71),"")</f>
        <v>公司红周转筐</v>
      </c>
      <c r="T71" s="112" t="n">
        <f aca="false">IFERROR(IF([1]对账明细接口!$O71=0,"",[1]对账明细接口!$O71),"")</f>
        <v>846</v>
      </c>
      <c r="U71" s="112" t="str">
        <f aca="false">IFERROR(IF([1]对账明细接口!$P71=0,"",[1]对账明细接口!$P71),"")</f>
        <v/>
      </c>
      <c r="V71" s="112" t="str">
        <f aca="false">IFERROR(IF([1]对账明细接口!$Q71=0,"",[1]对账明细接口!$Q71),"")</f>
        <v/>
      </c>
      <c r="W71" s="10" t="str">
        <f aca="false">IFERROR(IF([1]对账明细接口!$R71=0,"",[1]对账明细接口!$R71),"")</f>
        <v>新A*G0554</v>
      </c>
      <c r="X71" s="10" t="str">
        <f aca="false">IFERROR(IF([1]对账明细接口!$S71=0,"",[1]对账明细接口!$S71),"")</f>
        <v>公司筐</v>
      </c>
      <c r="Y71" s="10" t="str">
        <f aca="false">""</f>
        <v/>
      </c>
      <c r="Z71" s="10" t="str">
        <f aca="false">""</f>
        <v/>
      </c>
      <c r="AA71" s="10" t="str">
        <f aca="false">""</f>
        <v/>
      </c>
      <c r="AB71" s="10" t="str">
        <f aca="false">""</f>
        <v/>
      </c>
    </row>
    <row r="72" customFormat="false" ht="13.5" hidden="false" customHeight="false" outlineLevel="0" collapsed="false">
      <c r="A72" s="109" t="n">
        <v>72</v>
      </c>
      <c r="B72" s="110" t="n">
        <f aca="false">IFERROR(IF([1]对账明细接口!$B$72=0,"",[1]对账明细接口!$B$72),"")</f>
        <v>46272</v>
      </c>
      <c r="C72" s="59" t="str">
        <f aca="false">IFERROR(IF([1]对账明细接口!$C$72=0,"",[1]对账明细接口!$C$72),"")</f>
        <v>全修塑业</v>
      </c>
      <c r="D72" s="59" t="str">
        <f aca="false">IFERROR(IF([1]对账明细接口!$D$72=0,"",[1]对账明细接口!$D$72),"")</f>
        <v>周转筐－采购入库</v>
      </c>
      <c r="E72" s="59" t="str">
        <f aca="false">IFERROR(IF([1]对账明细接口!$E$72=0,"",[1]对账明细接口!$E$72),"")</f>
        <v>NO:0000759</v>
      </c>
      <c r="F72" s="59" t="str">
        <f aca="false">IFERROR(IF([1]对账明细接口!$F$72=0,"",[1]对账明细接口!$F$72),"")</f>
        <v>公司红周转筐</v>
      </c>
      <c r="G72" s="59" t="str">
        <f aca="false">IFERROR(IF([1]对账明细接口!$G$72=0,"",[1]对账明细接口!$G$72),"")</f>
        <v/>
      </c>
      <c r="H72" s="60" t="n">
        <f aca="false">IFERROR(IF([1]对账明细接口!$H$72=0,"",[1]对账明细接口!$H$72),"")</f>
        <v>846</v>
      </c>
      <c r="I72" s="59" t="str">
        <f aca="false">IFERROR(IF([1]对账明细接口!$I$72=0,"",[1]对账明细接口!$I$72),"")</f>
        <v>个</v>
      </c>
      <c r="J72" s="61" t="str">
        <f aca="false">IFERROR(IF([1]对账明细接口!$J$72=0,"",[1]对账明细接口!$J$72),"")</f>
        <v/>
      </c>
      <c r="K72" s="61" t="n">
        <f aca="false">IFERROR(IF([1]对账明细接口!$K$72=0,"",[1]对账明细接口!$K$72),"")</f>
        <v>8460</v>
      </c>
      <c r="L72" s="59" t="str">
        <f aca="false">IFERROR(IF([1]对账明细接口!$L$72=0,"",[1]对账明细接口!$L$72),"")</f>
        <v>未付款</v>
      </c>
      <c r="M72" s="59" t="str">
        <f aca="false">IFERROR(IF([1]对账明细接口!$M$72=0,"",[1]对账明细接口!$M$72),"")</f>
        <v>NO:2745251</v>
      </c>
      <c r="N72" s="111" t="n">
        <f aca="false">IF($C72="",0,1)</f>
        <v>1</v>
      </c>
      <c r="O72" s="111" t="n">
        <f aca="false">N(O71)+$N72</f>
        <v>69</v>
      </c>
      <c r="S72" s="10" t="str">
        <f aca="false">IFERROR(IF([1]对账明细接口!$N72=0,"",[1]对账明细接口!$N72),"")</f>
        <v>公司红周转筐</v>
      </c>
      <c r="T72" s="112" t="str">
        <f aca="false">IFERROR(IF([1]对账明细接口!$O72=0,"",[1]对账明细接口!$O72),"")</f>
        <v/>
      </c>
      <c r="U72" s="112" t="str">
        <f aca="false">IFERROR(IF([1]对账明细接口!$P72=0,"",[1]对账明细接口!$P72),"")</f>
        <v/>
      </c>
      <c r="V72" s="112" t="n">
        <f aca="false">IFERROR(IF([1]对账明细接口!$Q72=0,"",[1]对账明细接口!$Q72),"")</f>
        <v>846</v>
      </c>
      <c r="W72" s="10" t="str">
        <f aca="false">IFERROR(IF([1]对账明细接口!$R72=0,"",[1]对账明细接口!$R72),"")</f>
        <v>新A*G0554</v>
      </c>
      <c r="X72" s="10" t="str">
        <f aca="false">IFERROR(IF([1]对账明细接口!$S72=0,"",[1]对账明细接口!$S72),"")</f>
        <v>公司筐</v>
      </c>
      <c r="Y72" s="10" t="str">
        <f aca="false">""</f>
        <v/>
      </c>
      <c r="Z72" s="10" t="str">
        <f aca="false">""</f>
        <v/>
      </c>
      <c r="AA72" s="10" t="str">
        <f aca="false">""</f>
        <v/>
      </c>
      <c r="AB72" s="10" t="str">
        <f aca="false">""</f>
        <v/>
      </c>
    </row>
    <row r="73" customFormat="false" ht="13.5" hidden="false" customHeight="false" outlineLevel="0" collapsed="false">
      <c r="A73" s="109" t="n">
        <v>73</v>
      </c>
      <c r="B73" s="110" t="n">
        <f aca="false">IFERROR(IF([1]对账明细接口!$B$73=0,"",[1]对账明细接口!$B$73),"")</f>
        <v>46272</v>
      </c>
      <c r="C73" s="59" t="str">
        <f aca="false">IFERROR(IF([1]对账明细接口!$C$73=0,"",[1]对账明细接口!$C$73),"")</f>
        <v>马锦祥</v>
      </c>
      <c r="D73" s="59" t="str">
        <f aca="false">IFERROR(IF([1]对账明细接口!$D$73=0,"",[1]对账明细接口!$D$73),"")</f>
        <v>周转筐－领用出库</v>
      </c>
      <c r="E73" s="59" t="str">
        <f aca="false">IFERROR(IF([1]对账明细接口!$E$73=0,"",[1]对账明细接口!$E$73),"")</f>
        <v>NO:0001090</v>
      </c>
      <c r="F73" s="59" t="str">
        <f aca="false">IFERROR(IF([1]对账明细接口!$F$73=0,"",[1]对账明细接口!$F$73),"")</f>
        <v>公司杂周转筐</v>
      </c>
      <c r="G73" s="59" t="str">
        <f aca="false">IFERROR(IF([1]对账明细接口!$G$73=0,"",[1]对账明细接口!$G$73),"")</f>
        <v/>
      </c>
      <c r="H73" s="60" t="n">
        <f aca="false">IFERROR(IF([1]对账明细接口!$H$73=0,"",[1]对账明细接口!$H$73),"")</f>
        <v>588</v>
      </c>
      <c r="I73" s="59" t="str">
        <f aca="false">IFERROR(IF([1]对账明细接口!$I$73=0,"",[1]对账明细接口!$I$73),"")</f>
        <v>个</v>
      </c>
      <c r="J73" s="61" t="str">
        <f aca="false">IFERROR(IF([1]对账明细接口!$J$73=0,"",[1]对账明细接口!$J$73),"")</f>
        <v/>
      </c>
      <c r="K73" s="61" t="str">
        <f aca="false">IFERROR(IF([1]对账明细接口!$K$73=0,"",[1]对账明细接口!$K$73),"")</f>
        <v/>
      </c>
      <c r="L73" s="59" t="str">
        <f aca="false">IFERROR(IF([1]对账明细接口!$L$73=0,"",[1]对账明细接口!$L$73),"")</f>
        <v/>
      </c>
      <c r="M73" s="59" t="str">
        <f aca="false">IFERROR(IF([1]对账明细接口!$M$73=0,"",[1]对账明细接口!$M$73),"")</f>
        <v/>
      </c>
      <c r="N73" s="111" t="n">
        <f aca="false">IF($C73="",0,1)</f>
        <v>1</v>
      </c>
      <c r="O73" s="111" t="n">
        <f aca="false">N(O72)+$N73</f>
        <v>70</v>
      </c>
      <c r="S73" s="10" t="str">
        <f aca="false">IFERROR(IF([1]对账明细接口!$N73=0,"",[1]对账明细接口!$N73),"")</f>
        <v>公司杂周转筐</v>
      </c>
      <c r="T73" s="112" t="n">
        <f aca="false">IFERROR(IF([1]对账明细接口!$O73=0,"",[1]对账明细接口!$O73),"")</f>
        <v>588</v>
      </c>
      <c r="U73" s="112" t="str">
        <f aca="false">IFERROR(IF([1]对账明细接口!$P73=0,"",[1]对账明细接口!$P73),"")</f>
        <v/>
      </c>
      <c r="V73" s="112" t="str">
        <f aca="false">IFERROR(IF([1]对账明细接口!$Q73=0,"",[1]对账明细接口!$Q73),"")</f>
        <v/>
      </c>
      <c r="W73" s="10" t="str">
        <f aca="false">IFERROR(IF([1]对账明细接口!$R73=0,"",[1]对账明细接口!$R73),"")</f>
        <v>新N*K7V85</v>
      </c>
      <c r="X73" s="10" t="str">
        <f aca="false">IFERROR(IF([1]对账明细接口!$S73=0,"",[1]对账明细接口!$S73),"")</f>
        <v>公司筐</v>
      </c>
      <c r="Y73" s="10" t="str">
        <f aca="false">""</f>
        <v/>
      </c>
      <c r="Z73" s="10" t="str">
        <f aca="false">""</f>
        <v/>
      </c>
      <c r="AA73" s="10" t="str">
        <f aca="false">""</f>
        <v/>
      </c>
      <c r="AB73" s="10" t="str">
        <f aca="false">""</f>
        <v/>
      </c>
    </row>
    <row r="74" customFormat="false" ht="13.5" hidden="false" customHeight="false" outlineLevel="0" collapsed="false">
      <c r="A74" s="109" t="n">
        <v>74</v>
      </c>
      <c r="B74" s="110" t="n">
        <f aca="false">IFERROR(IF([1]对账明细接口!$B$74=0,"",[1]对账明细接口!$B$74),"")</f>
        <v>46272</v>
      </c>
      <c r="C74" s="59" t="str">
        <f aca="false">IFERROR(IF([1]对账明细接口!$C$74=0,"",[1]对账明细接口!$C$74),"")</f>
        <v>贾建国</v>
      </c>
      <c r="D74" s="59" t="str">
        <f aca="false">IFERROR(IF([1]对账明细接口!$D$74=0,"",[1]对账明细接口!$D$74),"")</f>
        <v>周转筐－领用出库</v>
      </c>
      <c r="E74" s="59" t="str">
        <f aca="false">IFERROR(IF([1]对账明细接口!$E$74=0,"",[1]对账明细接口!$E$74),"")</f>
        <v>NO:0001092</v>
      </c>
      <c r="F74" s="59" t="str">
        <f aca="false">IFERROR(IF([1]对账明细接口!$F$74=0,"",[1]对账明细接口!$F$74),"")</f>
        <v>公司新周转筐</v>
      </c>
      <c r="G74" s="59" t="str">
        <f aca="false">IFERROR(IF([1]对账明细接口!$G$74=0,"",[1]对账明细接口!$G$74),"")</f>
        <v/>
      </c>
      <c r="H74" s="60" t="n">
        <f aca="false">IFERROR(IF([1]对账明细接口!$H$74=0,"",[1]对账明细接口!$H$74),"")</f>
        <v>759</v>
      </c>
      <c r="I74" s="59" t="str">
        <f aca="false">IFERROR(IF([1]对账明细接口!$I$74=0,"",[1]对账明细接口!$I$74),"")</f>
        <v>个</v>
      </c>
      <c r="J74" s="61" t="str">
        <f aca="false">IFERROR(IF([1]对账明细接口!$J$74=0,"",[1]对账明细接口!$J$74),"")</f>
        <v/>
      </c>
      <c r="K74" s="61" t="str">
        <f aca="false">IFERROR(IF([1]对账明细接口!$K$74=0,"",[1]对账明细接口!$K$74),"")</f>
        <v/>
      </c>
      <c r="L74" s="59" t="str">
        <f aca="false">IFERROR(IF([1]对账明细接口!$L$74=0,"",[1]对账明细接口!$L$74),"")</f>
        <v/>
      </c>
      <c r="M74" s="59" t="str">
        <f aca="false">IFERROR(IF([1]对账明细接口!$M$74=0,"",[1]对账明细接口!$M$74),"")</f>
        <v/>
      </c>
      <c r="N74" s="111" t="n">
        <f aca="false">IF($C74="",0,1)</f>
        <v>1</v>
      </c>
      <c r="O74" s="111" t="n">
        <f aca="false">N(O73)+$N74</f>
        <v>71</v>
      </c>
      <c r="S74" s="10" t="str">
        <f aca="false">IFERROR(IF([1]对账明细接口!$N74=0,"",[1]对账明细接口!$N74),"")</f>
        <v>公司新周转筐</v>
      </c>
      <c r="T74" s="112" t="n">
        <f aca="false">IFERROR(IF([1]对账明细接口!$O74=0,"",[1]对账明细接口!$O74),"")</f>
        <v>759</v>
      </c>
      <c r="U74" s="112" t="str">
        <f aca="false">IFERROR(IF([1]对账明细接口!$P74=0,"",[1]对账明细接口!$P74),"")</f>
        <v/>
      </c>
      <c r="V74" s="112" t="str">
        <f aca="false">IFERROR(IF([1]对账明细接口!$Q74=0,"",[1]对账明细接口!$Q74),"")</f>
        <v/>
      </c>
      <c r="W74" s="10" t="str">
        <f aca="false">IFERROR(IF([1]对账明细接口!$R74=0,"",[1]对账明细接口!$R74),"")</f>
        <v>豫Q*H5591</v>
      </c>
      <c r="X74" s="10" t="str">
        <f aca="false">IFERROR(IF([1]对账明细接口!$S74=0,"",[1]对账明细接口!$S74),"")</f>
        <v>公司筐</v>
      </c>
      <c r="Y74" s="10" t="str">
        <f aca="false">""</f>
        <v/>
      </c>
      <c r="Z74" s="10" t="str">
        <f aca="false">""</f>
        <v/>
      </c>
      <c r="AA74" s="10" t="str">
        <f aca="false">""</f>
        <v/>
      </c>
      <c r="AB74" s="10" t="str">
        <f aca="false">""</f>
        <v/>
      </c>
    </row>
    <row r="75" customFormat="false" ht="13.5" hidden="false" customHeight="false" outlineLevel="0" collapsed="false">
      <c r="A75" s="109" t="n">
        <v>75</v>
      </c>
      <c r="B75" s="110" t="n">
        <f aca="false">IFERROR(IF([1]对账明细接口!$B$75=0,"",[1]对账明细接口!$B$75),"")</f>
        <v>46272</v>
      </c>
      <c r="C75" s="59" t="str">
        <f aca="false">IFERROR(IF([1]对账明细接口!$C$75=0,"",[1]对账明细接口!$C$75),"")</f>
        <v>热合曼</v>
      </c>
      <c r="D75" s="59" t="str">
        <f aca="false">IFERROR(IF([1]对账明细接口!$D$75=0,"",[1]对账明细接口!$D$75),"")</f>
        <v>周转筐－领用出库</v>
      </c>
      <c r="E75" s="59" t="str">
        <f aca="false">IFERROR(IF([1]对账明细接口!$E$75=0,"",[1]对账明细接口!$E$75),"")</f>
        <v>NO:0001094</v>
      </c>
      <c r="F75" s="59" t="str">
        <f aca="false">IFERROR(IF([1]对账明细接口!$F$75=0,"",[1]对账明细接口!$F$75),"")</f>
        <v>公司红周转筐</v>
      </c>
      <c r="G75" s="59" t="str">
        <f aca="false">IFERROR(IF([1]对账明细接口!$G$75=0,"",[1]对账明细接口!$G$75),"")</f>
        <v/>
      </c>
      <c r="H75" s="60" t="n">
        <f aca="false">IFERROR(IF([1]对账明细接口!$H$75=0,"",[1]对账明细接口!$H$75),"")</f>
        <v>846</v>
      </c>
      <c r="I75" s="59" t="str">
        <f aca="false">IFERROR(IF([1]对账明细接口!$I$75=0,"",[1]对账明细接口!$I$75),"")</f>
        <v>个</v>
      </c>
      <c r="J75" s="61" t="str">
        <f aca="false">IFERROR(IF([1]对账明细接口!$J$75=0,"",[1]对账明细接口!$J$75),"")</f>
        <v/>
      </c>
      <c r="K75" s="61" t="str">
        <f aca="false">IFERROR(IF([1]对账明细接口!$K$75=0,"",[1]对账明细接口!$K$75),"")</f>
        <v/>
      </c>
      <c r="L75" s="59" t="str">
        <f aca="false">IFERROR(IF([1]对账明细接口!$L$75=0,"",[1]对账明细接口!$L$75),"")</f>
        <v/>
      </c>
      <c r="M75" s="59" t="str">
        <f aca="false">IFERROR(IF([1]对账明细接口!$M$75=0,"",[1]对账明细接口!$M$75),"")</f>
        <v/>
      </c>
      <c r="N75" s="111" t="n">
        <f aca="false">IF($C75="",0,1)</f>
        <v>1</v>
      </c>
      <c r="O75" s="111" t="n">
        <f aca="false">N(O74)+$N75</f>
        <v>72</v>
      </c>
      <c r="S75" s="10" t="str">
        <f aca="false">IFERROR(IF([1]对账明细接口!$N75=0,"",[1]对账明细接口!$N75),"")</f>
        <v>公司红周转筐</v>
      </c>
      <c r="T75" s="112" t="n">
        <f aca="false">IFERROR(IF([1]对账明细接口!$O75=0,"",[1]对账明细接口!$O75),"")</f>
        <v>846</v>
      </c>
      <c r="U75" s="112" t="str">
        <f aca="false">IFERROR(IF([1]对账明细接口!$P75=0,"",[1]对账明细接口!$P75),"")</f>
        <v/>
      </c>
      <c r="V75" s="112" t="str">
        <f aca="false">IFERROR(IF([1]对账明细接口!$Q75=0,"",[1]对账明细接口!$Q75),"")</f>
        <v/>
      </c>
      <c r="W75" s="10" t="str">
        <f aca="false">IFERROR(IF([1]对账明细接口!$R75=0,"",[1]对账明细接口!$R75),"")</f>
        <v>新A*G0554</v>
      </c>
      <c r="X75" s="10" t="str">
        <f aca="false">IFERROR(IF([1]对账明细接口!$S75=0,"",[1]对账明细接口!$S75),"")</f>
        <v>公司筐</v>
      </c>
      <c r="Y75" s="10" t="str">
        <f aca="false">""</f>
        <v/>
      </c>
      <c r="Z75" s="10" t="str">
        <f aca="false">""</f>
        <v/>
      </c>
      <c r="AA75" s="10" t="str">
        <f aca="false">""</f>
        <v/>
      </c>
      <c r="AB75" s="10" t="str">
        <f aca="false">""</f>
        <v/>
      </c>
    </row>
    <row r="76" customFormat="false" ht="13.5" hidden="false" customHeight="false" outlineLevel="0" collapsed="false">
      <c r="A76" s="109" t="n">
        <v>76</v>
      </c>
      <c r="B76" s="110" t="n">
        <f aca="false">IFERROR(IF([1]对账明细接口!$B$76=0,"",[1]对账明细接口!$B$76),"")</f>
        <v>46273</v>
      </c>
      <c r="C76" s="59" t="str">
        <f aca="false">IFERROR(IF([1]对账明细接口!$C$76=0,"",[1]对账明细接口!$C$76),"")</f>
        <v>王照雪</v>
      </c>
      <c r="D76" s="59" t="str">
        <f aca="false">IFERROR(IF([1]对账明细接口!$D$76=0,"",[1]对账明细接口!$D$76),"")</f>
        <v>周转筐－退回入库</v>
      </c>
      <c r="E76" s="59" t="str">
        <f aca="false">IFERROR(IF([1]对账明细接口!$E$76=0,"",[1]对账明细接口!$E$76),"")</f>
        <v>NO:000761</v>
      </c>
      <c r="F76" s="59" t="str">
        <f aca="false">IFERROR(IF([1]对账明细接口!$F$76=0,"",[1]对账明细接口!$F$76),"")</f>
        <v>公司杂周转筐</v>
      </c>
      <c r="G76" s="59" t="str">
        <f aca="false">IFERROR(IF([1]对账明细接口!$G$76=0,"",[1]对账明细接口!$G$76),"")</f>
        <v/>
      </c>
      <c r="H76" s="60" t="n">
        <f aca="false">IFERROR(IF([1]对账明细接口!$H$76=0,"",[1]对账明细接口!$H$76),"")</f>
        <v>2</v>
      </c>
      <c r="I76" s="59" t="str">
        <f aca="false">IFERROR(IF([1]对账明细接口!$I$76=0,"",[1]对账明细接口!$I$76),"")</f>
        <v>个</v>
      </c>
      <c r="J76" s="61" t="str">
        <f aca="false">IFERROR(IF([1]对账明细接口!$J$76=0,"",[1]对账明细接口!$J$76),"")</f>
        <v/>
      </c>
      <c r="K76" s="61" t="str">
        <f aca="false">IFERROR(IF([1]对账明细接口!$K$76=0,"",[1]对账明细接口!$K$76),"")</f>
        <v/>
      </c>
      <c r="L76" s="59" t="str">
        <f aca="false">IFERROR(IF([1]对账明细接口!$L$76=0,"",[1]对账明细接口!$L$76),"")</f>
        <v/>
      </c>
      <c r="M76" s="59" t="str">
        <f aca="false">IFERROR(IF([1]对账明细接口!$M$76=0,"",[1]对账明细接口!$M$76),"")</f>
        <v>装扎伤退回</v>
      </c>
      <c r="N76" s="111" t="n">
        <f aca="false">IF($C76="",0,1)</f>
        <v>1</v>
      </c>
      <c r="O76" s="111" t="n">
        <f aca="false">N(O75)+$N76</f>
        <v>73</v>
      </c>
      <c r="S76" s="10" t="str">
        <f aca="false">IFERROR(IF([1]对账明细接口!$N76=0,"",[1]对账明细接口!$N76),"")</f>
        <v>公司杂周转筐</v>
      </c>
      <c r="T76" s="112" t="str">
        <f aca="false">IFERROR(IF([1]对账明细接口!$O76=0,"",[1]对账明细接口!$O76),"")</f>
        <v/>
      </c>
      <c r="U76" s="112" t="n">
        <f aca="false">IFERROR(IF([1]对账明细接口!$P76=0,"",[1]对账明细接口!$P76),"")</f>
        <v>2</v>
      </c>
      <c r="V76" s="112" t="str">
        <f aca="false">IFERROR(IF([1]对账明细接口!$Q76=0,"",[1]对账明细接口!$Q76),"")</f>
        <v/>
      </c>
      <c r="W76" s="10" t="str">
        <f aca="false">IFERROR(IF([1]对账明细接口!$R76=0,"",[1]对账明细接口!$R76),"")</f>
        <v/>
      </c>
      <c r="X76" s="10" t="str">
        <f aca="false">IFERROR(IF([1]对账明细接口!$S76=0,"",[1]对账明细接口!$S76),"")</f>
        <v>公司筐</v>
      </c>
      <c r="Y76" s="10" t="str">
        <f aca="false">""</f>
        <v/>
      </c>
      <c r="Z76" s="10" t="str">
        <f aca="false">""</f>
        <v/>
      </c>
      <c r="AA76" s="10" t="str">
        <f aca="false">""</f>
        <v/>
      </c>
      <c r="AB76" s="10" t="str">
        <f aca="false">""</f>
        <v/>
      </c>
    </row>
    <row r="77" customFormat="false" ht="13.5" hidden="false" customHeight="false" outlineLevel="0" collapsed="false">
      <c r="A77" s="109" t="n">
        <v>77</v>
      </c>
      <c r="B77" s="110" t="n">
        <f aca="false">IFERROR(IF([1]对账明细接口!$B$77=0,"",[1]对账明细接口!$B$77),"")</f>
        <v>46274</v>
      </c>
      <c r="C77" s="59" t="str">
        <f aca="false">IFERROR(IF([1]对账明细接口!$C$77=0,"",[1]对账明细接口!$C$77),"")</f>
        <v>王照雪</v>
      </c>
      <c r="D77" s="59" t="str">
        <f aca="false">IFERROR(IF([1]对账明细接口!$D$77=0,"",[1]对账明细接口!$D$77),"")</f>
        <v>周转筐－领用出库</v>
      </c>
      <c r="E77" s="59" t="str">
        <f aca="false">IFERROR(IF([1]对账明细接口!$E$77=0,"",[1]对账明细接口!$E$77),"")</f>
        <v>NO:0001098</v>
      </c>
      <c r="F77" s="59" t="str">
        <f aca="false">IFERROR(IF([1]对账明细接口!$F$77=0,"",[1]对账明细接口!$F$77),"")</f>
        <v>公司一次性筐</v>
      </c>
      <c r="G77" s="59" t="str">
        <f aca="false">IFERROR(IF([1]对账明细接口!$G$77=0,"",[1]对账明细接口!$G$77),"")</f>
        <v/>
      </c>
      <c r="H77" s="60" t="n">
        <f aca="false">IFERROR(IF([1]对账明细接口!$H$77=0,"",[1]对账明细接口!$H$77),"")</f>
        <v>423</v>
      </c>
      <c r="I77" s="59" t="str">
        <f aca="false">IFERROR(IF([1]对账明细接口!$I$77=0,"",[1]对账明细接口!$I$77),"")</f>
        <v>个</v>
      </c>
      <c r="J77" s="61" t="str">
        <f aca="false">IFERROR(IF([1]对账明细接口!$J$77=0,"",[1]对账明细接口!$J$77),"")</f>
        <v/>
      </c>
      <c r="K77" s="61" t="str">
        <f aca="false">IFERROR(IF([1]对账明细接口!$K$77=0,"",[1]对账明细接口!$K$77),"")</f>
        <v/>
      </c>
      <c r="L77" s="59" t="str">
        <f aca="false">IFERROR(IF([1]对账明细接口!$L$77=0,"",[1]对账明细接口!$L$77),"")</f>
        <v/>
      </c>
      <c r="M77" s="59" t="str">
        <f aca="false">IFERROR(IF([1]对账明细接口!$M$77=0,"",[1]对账明细接口!$M$77),"")</f>
        <v/>
      </c>
      <c r="N77" s="111" t="n">
        <f aca="false">IF($C77="",0,1)</f>
        <v>1</v>
      </c>
      <c r="O77" s="111" t="n">
        <f aca="false">N(O76)+$N77</f>
        <v>74</v>
      </c>
      <c r="S77" s="10" t="str">
        <f aca="false">IFERROR(IF([1]对账明细接口!$N77=0,"",[1]对账明细接口!$N77),"")</f>
        <v>公司一次性筐</v>
      </c>
      <c r="T77" s="112" t="n">
        <f aca="false">IFERROR(IF([1]对账明细接口!$O77=0,"",[1]对账明细接口!$O77),"")</f>
        <v>423</v>
      </c>
      <c r="U77" s="112" t="str">
        <f aca="false">IFERROR(IF([1]对账明细接口!$P77=0,"",[1]对账明细接口!$P77),"")</f>
        <v/>
      </c>
      <c r="V77" s="112" t="str">
        <f aca="false">IFERROR(IF([1]对账明细接口!$Q77=0,"",[1]对账明细接口!$Q77),"")</f>
        <v/>
      </c>
      <c r="W77" s="10" t="str">
        <f aca="false">IFERROR(IF([1]对账明细接口!$R77=0,"",[1]对账明细接口!$R77),"")</f>
        <v>豫L*88X19</v>
      </c>
      <c r="X77" s="10" t="str">
        <f aca="false">IFERROR(IF([1]对账明细接口!$S77=0,"",[1]对账明细接口!$S77),"")</f>
        <v>公司筐</v>
      </c>
      <c r="Y77" s="10" t="str">
        <f aca="false">""</f>
        <v/>
      </c>
      <c r="Z77" s="10" t="str">
        <f aca="false">""</f>
        <v/>
      </c>
      <c r="AA77" s="10" t="str">
        <f aca="false">""</f>
        <v/>
      </c>
      <c r="AB77" s="10" t="str">
        <f aca="false">""</f>
        <v/>
      </c>
    </row>
    <row r="78" customFormat="false" ht="13.5" hidden="false" customHeight="false" outlineLevel="0" collapsed="false">
      <c r="A78" s="109" t="n">
        <v>78</v>
      </c>
      <c r="B78" s="110" t="n">
        <f aca="false">IFERROR(IF([1]对账明细接口!$B$78=0,"",[1]对账明细接口!$B$78),"")</f>
        <v>46274</v>
      </c>
      <c r="C78" s="59" t="str">
        <f aca="false">IFERROR(IF([1]对账明细接口!$C$78=0,"",[1]对账明细接口!$C$78),"")</f>
        <v>吐尔逊</v>
      </c>
      <c r="D78" s="59" t="str">
        <f aca="false">IFERROR(IF([1]对账明细接口!$D$78=0,"",[1]对账明细接口!$D$78),"")</f>
        <v>周转筐－领用出库</v>
      </c>
      <c r="E78" s="59" t="str">
        <f aca="false">IFERROR(IF([1]对账明细接口!$E$78=0,"",[1]对账明细接口!$E$78),"")</f>
        <v>NO:0001099</v>
      </c>
      <c r="F78" s="59" t="str">
        <f aca="false">IFERROR(IF([1]对账明细接口!$F$78=0,"",[1]对账明细接口!$F$78),"")</f>
        <v>公司一次性筐</v>
      </c>
      <c r="G78" s="59" t="str">
        <f aca="false">IFERROR(IF([1]对账明细接口!$G$78=0,"",[1]对账明细接口!$G$78),"")</f>
        <v/>
      </c>
      <c r="H78" s="60" t="n">
        <f aca="false">IFERROR(IF([1]对账明细接口!$H$78=0,"",[1]对账明细接口!$H$78),"")</f>
        <v>1008</v>
      </c>
      <c r="I78" s="59" t="str">
        <f aca="false">IFERROR(IF([1]对账明细接口!$I$78=0,"",[1]对账明细接口!$I$78),"")</f>
        <v>个</v>
      </c>
      <c r="J78" s="61" t="str">
        <f aca="false">IFERROR(IF([1]对账明细接口!$J$78=0,"",[1]对账明细接口!$J$78),"")</f>
        <v/>
      </c>
      <c r="K78" s="61" t="str">
        <f aca="false">IFERROR(IF([1]对账明细接口!$K$78=0,"",[1]对账明细接口!$K$78),"")</f>
        <v/>
      </c>
      <c r="L78" s="59" t="str">
        <f aca="false">IFERROR(IF([1]对账明细接口!$L$78=0,"",[1]对账明细接口!$L$78),"")</f>
        <v/>
      </c>
      <c r="M78" s="59" t="str">
        <f aca="false">IFERROR(IF([1]对账明细接口!$M$78=0,"",[1]对账明细接口!$M$78),"")</f>
        <v/>
      </c>
      <c r="N78" s="111" t="n">
        <f aca="false">IF($C78="",0,1)</f>
        <v>1</v>
      </c>
      <c r="O78" s="111" t="n">
        <f aca="false">N(O77)+$N78</f>
        <v>75</v>
      </c>
      <c r="S78" s="10" t="str">
        <f aca="false">IFERROR(IF([1]对账明细接口!$N78=0,"",[1]对账明细接口!$N78),"")</f>
        <v>公司一次性筐</v>
      </c>
      <c r="T78" s="112" t="n">
        <f aca="false">IFERROR(IF([1]对账明细接口!$O78=0,"",[1]对账明细接口!$O78),"")</f>
        <v>1008</v>
      </c>
      <c r="U78" s="112" t="str">
        <f aca="false">IFERROR(IF([1]对账明细接口!$P78=0,"",[1]对账明细接口!$P78),"")</f>
        <v/>
      </c>
      <c r="V78" s="112" t="str">
        <f aca="false">IFERROR(IF([1]对账明细接口!$Q78=0,"",[1]对账明细接口!$Q78),"")</f>
        <v/>
      </c>
      <c r="W78" s="10" t="str">
        <f aca="false">IFERROR(IF([1]对账明细接口!$R78=0,"",[1]对账明细接口!$R78),"")</f>
        <v>新M*87613</v>
      </c>
      <c r="X78" s="10" t="str">
        <f aca="false">IFERROR(IF([1]对账明细接口!$S78=0,"",[1]对账明细接口!$S78),"")</f>
        <v>公司筐</v>
      </c>
      <c r="Y78" s="10" t="str">
        <f aca="false">""</f>
        <v/>
      </c>
      <c r="Z78" s="10" t="str">
        <f aca="false">""</f>
        <v/>
      </c>
      <c r="AA78" s="10" t="str">
        <f aca="false">""</f>
        <v/>
      </c>
      <c r="AB78" s="10" t="str">
        <f aca="false">""</f>
        <v/>
      </c>
    </row>
    <row r="79" customFormat="false" ht="13.5" hidden="false" customHeight="false" outlineLevel="0" collapsed="false">
      <c r="A79" s="109" t="n">
        <v>79</v>
      </c>
      <c r="B79" s="110" t="n">
        <f aca="false">IFERROR(IF([1]对账明细接口!$B$79=0,"",[1]对账明细接口!$B$79),"")</f>
        <v>46274</v>
      </c>
      <c r="C79" s="59" t="str">
        <f aca="false">IFERROR(IF([1]对账明细接口!$C$79=0,"",[1]对账明细接口!$C$79),"")</f>
        <v>全修塑业</v>
      </c>
      <c r="D79" s="59" t="str">
        <f aca="false">IFERROR(IF([1]对账明细接口!$D$79=0,"",[1]对账明细接口!$D$79),"")</f>
        <v>周转筐－采购入库</v>
      </c>
      <c r="E79" s="59" t="str">
        <f aca="false">IFERROR(IF([1]对账明细接口!$E$79=0,"",[1]对账明细接口!$E$79),"")</f>
        <v>NO:0000763</v>
      </c>
      <c r="F79" s="59" t="str">
        <f aca="false">IFERROR(IF([1]对账明细接口!$F$79=0,"",[1]对账明细接口!$F$79),"")</f>
        <v>公司红周转筐</v>
      </c>
      <c r="G79" s="59" t="str">
        <f aca="false">IFERROR(IF([1]对账明细接口!$G$79=0,"",[1]对账明细接口!$G$79),"")</f>
        <v/>
      </c>
      <c r="H79" s="60" t="n">
        <f aca="false">IFERROR(IF([1]对账明细接口!$H$79=0,"",[1]对账明细接口!$H$79),"")</f>
        <v>378</v>
      </c>
      <c r="I79" s="59" t="str">
        <f aca="false">IFERROR(IF([1]对账明细接口!$I$79=0,"",[1]对账明细接口!$I$79),"")</f>
        <v>个</v>
      </c>
      <c r="J79" s="61" t="str">
        <f aca="false">IFERROR(IF([1]对账明细接口!$J$79=0,"",[1]对账明细接口!$J$79),"")</f>
        <v/>
      </c>
      <c r="K79" s="61" t="n">
        <f aca="false">IFERROR(IF([1]对账明细接口!$K$79=0,"",[1]对账明细接口!$K$79),"")</f>
        <v>3780</v>
      </c>
      <c r="L79" s="59" t="str">
        <f aca="false">IFERROR(IF([1]对账明细接口!$L$79=0,"",[1]对账明细接口!$L$79),"")</f>
        <v>未付款</v>
      </c>
      <c r="M79" s="59" t="str">
        <f aca="false">IFERROR(IF([1]对账明细接口!$M$79=0,"",[1]对账明细接口!$M$79),"")</f>
        <v>NO:2745254</v>
      </c>
      <c r="N79" s="111" t="n">
        <f aca="false">IF($C79="",0,1)</f>
        <v>1</v>
      </c>
      <c r="O79" s="111" t="n">
        <f aca="false">N(O78)+$N79</f>
        <v>76</v>
      </c>
      <c r="S79" s="10" t="str">
        <f aca="false">IFERROR(IF([1]对账明细接口!$N79=0,"",[1]对账明细接口!$N79),"")</f>
        <v>公司红周转筐</v>
      </c>
      <c r="T79" s="112" t="str">
        <f aca="false">IFERROR(IF([1]对账明细接口!$O79=0,"",[1]对账明细接口!$O79),"")</f>
        <v/>
      </c>
      <c r="U79" s="112" t="str">
        <f aca="false">IFERROR(IF([1]对账明细接口!$P79=0,"",[1]对账明细接口!$P79),"")</f>
        <v/>
      </c>
      <c r="V79" s="112" t="n">
        <f aca="false">IFERROR(IF([1]对账明细接口!$Q79=0,"",[1]对账明细接口!$Q79),"")</f>
        <v>378</v>
      </c>
      <c r="W79" s="10" t="str">
        <f aca="false">IFERROR(IF([1]对账明细接口!$R79=0,"",[1]对账明细接口!$R79),"")</f>
        <v>新N*X8S48</v>
      </c>
      <c r="X79" s="10" t="str">
        <f aca="false">IFERROR(IF([1]对账明细接口!$S79=0,"",[1]对账明细接口!$S79),"")</f>
        <v>公司筐</v>
      </c>
      <c r="Y79" s="10" t="str">
        <f aca="false">""</f>
        <v/>
      </c>
      <c r="Z79" s="10" t="str">
        <f aca="false">""</f>
        <v/>
      </c>
      <c r="AA79" s="10" t="str">
        <f aca="false">""</f>
        <v/>
      </c>
      <c r="AB79" s="10" t="str">
        <f aca="false">""</f>
        <v/>
      </c>
    </row>
    <row r="80" customFormat="false" ht="13.5" hidden="false" customHeight="false" outlineLevel="0" collapsed="false">
      <c r="A80" s="109" t="n">
        <v>80</v>
      </c>
      <c r="B80" s="110" t="n">
        <f aca="false">IFERROR(IF([1]对账明细接口!$B$80=0,"",[1]对账明细接口!$B$80),"")</f>
        <v>46274</v>
      </c>
      <c r="C80" s="59" t="str">
        <f aca="false">IFERROR(IF([1]对账明细接口!$C$80=0,"",[1]对账明细接口!$C$80),"")</f>
        <v>全修塑业</v>
      </c>
      <c r="D80" s="59" t="str">
        <f aca="false">IFERROR(IF([1]对账明细接口!$D$80=0,"",[1]对账明细接口!$D$80),"")</f>
        <v>周转筐－采购入库</v>
      </c>
      <c r="E80" s="59" t="str">
        <f aca="false">IFERROR(IF([1]对账明细接口!$E$80=0,"",[1]对账明细接口!$E$80),"")</f>
        <v>NO:0000765</v>
      </c>
      <c r="F80" s="59" t="str">
        <f aca="false">IFERROR(IF([1]对账明细接口!$F$80=0,"",[1]对账明细接口!$F$80),"")</f>
        <v>公司红周转筐</v>
      </c>
      <c r="G80" s="59" t="str">
        <f aca="false">IFERROR(IF([1]对账明细接口!$G$80=0,"",[1]对账明细接口!$G$80),"")</f>
        <v/>
      </c>
      <c r="H80" s="60" t="n">
        <f aca="false">IFERROR(IF([1]对账明细接口!$H$80=0,"",[1]对账明细接口!$H$80),"")</f>
        <v>759</v>
      </c>
      <c r="I80" s="59" t="str">
        <f aca="false">IFERROR(IF([1]对账明细接口!$I$80=0,"",[1]对账明细接口!$I$80),"")</f>
        <v>个</v>
      </c>
      <c r="J80" s="61" t="str">
        <f aca="false">IFERROR(IF([1]对账明细接口!$J$80=0,"",[1]对账明细接口!$J$80),"")</f>
        <v/>
      </c>
      <c r="K80" s="61" t="n">
        <f aca="false">IFERROR(IF([1]对账明细接口!$K$80=0,"",[1]对账明细接口!$K$80),"")</f>
        <v>7590</v>
      </c>
      <c r="L80" s="59" t="str">
        <f aca="false">IFERROR(IF([1]对账明细接口!$L$80=0,"",[1]对账明细接口!$L$80),"")</f>
        <v>未付款</v>
      </c>
      <c r="M80" s="59" t="str">
        <f aca="false">IFERROR(IF([1]对账明细接口!$M$80=0,"",[1]对账明细接口!$M$80),"")</f>
        <v>NO:0017201</v>
      </c>
      <c r="N80" s="111" t="n">
        <f aca="false">IF($C80="",0,1)</f>
        <v>1</v>
      </c>
      <c r="O80" s="111" t="n">
        <f aca="false">N(O79)+$N80</f>
        <v>77</v>
      </c>
      <c r="S80" s="10" t="str">
        <f aca="false">IFERROR(IF([1]对账明细接口!$N80=0,"",[1]对账明细接口!$N80),"")</f>
        <v>公司红周转筐</v>
      </c>
      <c r="T80" s="112" t="str">
        <f aca="false">IFERROR(IF([1]对账明细接口!$O80=0,"",[1]对账明细接口!$O80),"")</f>
        <v/>
      </c>
      <c r="U80" s="112" t="str">
        <f aca="false">IFERROR(IF([1]对账明细接口!$P80=0,"",[1]对账明细接口!$P80),"")</f>
        <v/>
      </c>
      <c r="V80" s="112" t="n">
        <f aca="false">IFERROR(IF([1]对账明细接口!$Q80=0,"",[1]对账明细接口!$Q80),"")</f>
        <v>759</v>
      </c>
      <c r="W80" s="10" t="str">
        <f aca="false">IFERROR(IF([1]对账明细接口!$R80=0,"",[1]对账明细接口!$R80),"")</f>
        <v>豫A*2737K</v>
      </c>
      <c r="X80" s="10" t="str">
        <f aca="false">IFERROR(IF([1]对账明细接口!$S80=0,"",[1]对账明细接口!$S80),"")</f>
        <v>公司筐</v>
      </c>
      <c r="Y80" s="10" t="str">
        <f aca="false">""</f>
        <v/>
      </c>
      <c r="Z80" s="10" t="str">
        <f aca="false">""</f>
        <v/>
      </c>
      <c r="AA80" s="10" t="str">
        <f aca="false">""</f>
        <v/>
      </c>
      <c r="AB80" s="10" t="str">
        <f aca="false">""</f>
        <v/>
      </c>
    </row>
    <row r="81" customFormat="false" ht="13.5" hidden="false" customHeight="false" outlineLevel="0" collapsed="false">
      <c r="A81" s="109" t="n">
        <v>81</v>
      </c>
      <c r="B81" s="110" t="n">
        <f aca="false">IFERROR(IF([1]对账明细接口!$B$81=0,"",[1]对账明细接口!$B$81),"")</f>
        <v>46274</v>
      </c>
      <c r="C81" s="59" t="str">
        <f aca="false">IFERROR(IF([1]对账明细接口!$C$81=0,"",[1]对账明细接口!$C$81),"")</f>
        <v>全修塑业</v>
      </c>
      <c r="D81" s="59" t="str">
        <f aca="false">IFERROR(IF([1]对账明细接口!$D$81=0,"",[1]对账明细接口!$D$81),"")</f>
        <v>周转筐－采购入库</v>
      </c>
      <c r="E81" s="59" t="str">
        <f aca="false">IFERROR(IF([1]对账明细接口!$E$81=0,"",[1]对账明细接口!$E$81),"")</f>
        <v>NO:0000766</v>
      </c>
      <c r="F81" s="59" t="str">
        <f aca="false">IFERROR(IF([1]对账明细接口!$F$81=0,"",[1]对账明细接口!$F$81),"")</f>
        <v>公司红周转筐</v>
      </c>
      <c r="G81" s="59" t="str">
        <f aca="false">IFERROR(IF([1]对账明细接口!$G$81=0,"",[1]对账明细接口!$G$81),"")</f>
        <v/>
      </c>
      <c r="H81" s="60" t="n">
        <f aca="false">IFERROR(IF([1]对账明细接口!$H$81=0,"",[1]对账明细接口!$H$81),"")</f>
        <v>846</v>
      </c>
      <c r="I81" s="59" t="str">
        <f aca="false">IFERROR(IF([1]对账明细接口!$I$81=0,"",[1]对账明细接口!$I$81),"")</f>
        <v>个</v>
      </c>
      <c r="J81" s="61" t="str">
        <f aca="false">IFERROR(IF([1]对账明细接口!$J$81=0,"",[1]对账明细接口!$J$81),"")</f>
        <v/>
      </c>
      <c r="K81" s="61" t="n">
        <f aca="false">IFERROR(IF([1]对账明细接口!$K$81=0,"",[1]对账明细接口!$K$81),"")</f>
        <v>8460</v>
      </c>
      <c r="L81" s="59" t="str">
        <f aca="false">IFERROR(IF([1]对账明细接口!$L$81=0,"",[1]对账明细接口!$L$81),"")</f>
        <v>未付款</v>
      </c>
      <c r="M81" s="59" t="str">
        <f aca="false">IFERROR(IF([1]对账明细接口!$M$81=0,"",[1]对账明细接口!$M$81),"")</f>
        <v>NO:0017203</v>
      </c>
      <c r="N81" s="111" t="n">
        <f aca="false">IF($C81="",0,1)</f>
        <v>1</v>
      </c>
      <c r="O81" s="111" t="n">
        <f aca="false">N(O80)+$N81</f>
        <v>78</v>
      </c>
      <c r="S81" s="10" t="str">
        <f aca="false">IFERROR(IF([1]对账明细接口!$N81=0,"",[1]对账明细接口!$N81),"")</f>
        <v>公司红周转筐</v>
      </c>
      <c r="T81" s="112" t="str">
        <f aca="false">IFERROR(IF([1]对账明细接口!$O81=0,"",[1]对账明细接口!$O81),"")</f>
        <v/>
      </c>
      <c r="U81" s="112" t="str">
        <f aca="false">IFERROR(IF([1]对账明细接口!$P81=0,"",[1]对账明细接口!$P81),"")</f>
        <v/>
      </c>
      <c r="V81" s="112" t="n">
        <f aca="false">IFERROR(IF([1]对账明细接口!$Q81=0,"",[1]对账明细接口!$Q81),"")</f>
        <v>846</v>
      </c>
      <c r="W81" s="10" t="str">
        <f aca="false">IFERROR(IF([1]对账明细接口!$R81=0,"",[1]对账明细接口!$R81),"")</f>
        <v>新A*G0554</v>
      </c>
      <c r="X81" s="10" t="str">
        <f aca="false">IFERROR(IF([1]对账明细接口!$S81=0,"",[1]对账明细接口!$S81),"")</f>
        <v>公司筐</v>
      </c>
      <c r="Y81" s="10" t="str">
        <f aca="false">""</f>
        <v/>
      </c>
      <c r="Z81" s="10" t="str">
        <f aca="false">""</f>
        <v/>
      </c>
      <c r="AA81" s="10" t="str">
        <f aca="false">""</f>
        <v/>
      </c>
      <c r="AB81" s="10" t="str">
        <f aca="false">""</f>
        <v/>
      </c>
    </row>
    <row r="82" customFormat="false" ht="13.5" hidden="false" customHeight="false" outlineLevel="0" collapsed="false">
      <c r="A82" s="109" t="n">
        <v>82</v>
      </c>
      <c r="B82" s="110" t="n">
        <f aca="false">IFERROR(IF([1]对账明细接口!$B$82=0,"",[1]对账明细接口!$B$82),"")</f>
        <v>46274</v>
      </c>
      <c r="C82" s="59" t="str">
        <f aca="false">IFERROR(IF([1]对账明细接口!$C$82=0,"",[1]对账明细接口!$C$82),"")</f>
        <v>吐尔洪</v>
      </c>
      <c r="D82" s="59" t="str">
        <f aca="false">IFERROR(IF([1]对账明细接口!$D$82=0,"",[1]对账明细接口!$D$82),"")</f>
        <v>周转筐－领用出库</v>
      </c>
      <c r="E82" s="59" t="str">
        <f aca="false">IFERROR(IF([1]对账明细接口!$E$82=0,"",[1]对账明细接口!$E$82),"")</f>
        <v>NO:0001102</v>
      </c>
      <c r="F82" s="59" t="str">
        <f aca="false">IFERROR(IF([1]对账明细接口!$F$82=0,"",[1]对账明细接口!$F$82),"")</f>
        <v>公司红周转筐</v>
      </c>
      <c r="G82" s="59" t="str">
        <f aca="false">IFERROR(IF([1]对账明细接口!$G$82=0,"",[1]对账明细接口!$G$82),"")</f>
        <v/>
      </c>
      <c r="H82" s="60" t="n">
        <f aca="false">IFERROR(IF([1]对账明细接口!$H$82=0,"",[1]对账明细接口!$H$82),"")</f>
        <v>378</v>
      </c>
      <c r="I82" s="59" t="str">
        <f aca="false">IFERROR(IF([1]对账明细接口!$I$82=0,"",[1]对账明细接口!$I$82),"")</f>
        <v>个</v>
      </c>
      <c r="J82" s="61" t="str">
        <f aca="false">IFERROR(IF([1]对账明细接口!$J$82=0,"",[1]对账明细接口!$J$82),"")</f>
        <v/>
      </c>
      <c r="K82" s="61" t="str">
        <f aca="false">IFERROR(IF([1]对账明细接口!$K$82=0,"",[1]对账明细接口!$K$82),"")</f>
        <v/>
      </c>
      <c r="L82" s="59" t="str">
        <f aca="false">IFERROR(IF([1]对账明细接口!$L$82=0,"",[1]对账明细接口!$L$82),"")</f>
        <v/>
      </c>
      <c r="M82" s="59" t="str">
        <f aca="false">IFERROR(IF([1]对账明细接口!$M$82=0,"",[1]对账明细接口!$M$82),"")</f>
        <v/>
      </c>
      <c r="N82" s="111" t="n">
        <f aca="false">IF($C82="",0,1)</f>
        <v>1</v>
      </c>
      <c r="O82" s="111" t="n">
        <f aca="false">N(O81)+$N82</f>
        <v>79</v>
      </c>
      <c r="S82" s="10" t="str">
        <f aca="false">IFERROR(IF([1]对账明细接口!$N82=0,"",[1]对账明细接口!$N82),"")</f>
        <v>公司红周转筐</v>
      </c>
      <c r="T82" s="112" t="n">
        <f aca="false">IFERROR(IF([1]对账明细接口!$O82=0,"",[1]对账明细接口!$O82),"")</f>
        <v>378</v>
      </c>
      <c r="U82" s="112" t="str">
        <f aca="false">IFERROR(IF([1]对账明细接口!$P82=0,"",[1]对账明细接口!$P82),"")</f>
        <v/>
      </c>
      <c r="V82" s="112" t="str">
        <f aca="false">IFERROR(IF([1]对账明细接口!$Q82=0,"",[1]对账明细接口!$Q82),"")</f>
        <v/>
      </c>
      <c r="W82" s="10" t="str">
        <f aca="false">IFERROR(IF([1]对账明细接口!$R82=0,"",[1]对账明细接口!$R82),"")</f>
        <v>新N*X8S48</v>
      </c>
      <c r="X82" s="10" t="str">
        <f aca="false">IFERROR(IF([1]对账明细接口!$S82=0,"",[1]对账明细接口!$S82),"")</f>
        <v>公司筐</v>
      </c>
      <c r="Y82" s="10" t="str">
        <f aca="false">""</f>
        <v/>
      </c>
      <c r="Z82" s="10" t="str">
        <f aca="false">""</f>
        <v/>
      </c>
      <c r="AA82" s="10" t="str">
        <f aca="false">""</f>
        <v/>
      </c>
      <c r="AB82" s="10" t="str">
        <f aca="false">""</f>
        <v/>
      </c>
    </row>
    <row r="83" customFormat="false" ht="13.5" hidden="false" customHeight="false" outlineLevel="0" collapsed="false">
      <c r="A83" s="109" t="n">
        <v>83</v>
      </c>
      <c r="B83" s="110" t="n">
        <f aca="false">IFERROR(IF([1]对账明细接口!$B$83=0,"",[1]对账明细接口!$B$83),"")</f>
        <v>46274</v>
      </c>
      <c r="C83" s="59" t="str">
        <f aca="false">IFERROR(IF([1]对账明细接口!$C$83=0,"",[1]对账明细接口!$C$83),"")</f>
        <v>荆建君</v>
      </c>
      <c r="D83" s="59" t="str">
        <f aca="false">IFERROR(IF([1]对账明细接口!$D$83=0,"",[1]对账明细接口!$D$83),"")</f>
        <v>周转筐－领用出库</v>
      </c>
      <c r="E83" s="59" t="str">
        <f aca="false">IFERROR(IF([1]对账明细接口!$E$83=0,"",[1]对账明细接口!$E$83),"")</f>
        <v>NO:0001105</v>
      </c>
      <c r="F83" s="59" t="str">
        <f aca="false">IFERROR(IF([1]对账明细接口!$F$83=0,"",[1]对账明细接口!$F$83),"")</f>
        <v>公司红周转筐</v>
      </c>
      <c r="G83" s="59" t="str">
        <f aca="false">IFERROR(IF([1]对账明细接口!$G$83=0,"",[1]对账明细接口!$G$83),"")</f>
        <v/>
      </c>
      <c r="H83" s="60" t="n">
        <f aca="false">IFERROR(IF([1]对账明细接口!$H$83=0,"",[1]对账明细接口!$H$83),"")</f>
        <v>759</v>
      </c>
      <c r="I83" s="59" t="str">
        <f aca="false">IFERROR(IF([1]对账明细接口!$I$83=0,"",[1]对账明细接口!$I$83),"")</f>
        <v>个</v>
      </c>
      <c r="J83" s="61" t="str">
        <f aca="false">IFERROR(IF([1]对账明细接口!$J$83=0,"",[1]对账明细接口!$J$83),"")</f>
        <v/>
      </c>
      <c r="K83" s="61" t="str">
        <f aca="false">IFERROR(IF([1]对账明细接口!$K$83=0,"",[1]对账明细接口!$K$83),"")</f>
        <v/>
      </c>
      <c r="L83" s="59" t="str">
        <f aca="false">IFERROR(IF([1]对账明细接口!$L$83=0,"",[1]对账明细接口!$L$83),"")</f>
        <v/>
      </c>
      <c r="M83" s="59" t="str">
        <f aca="false">IFERROR(IF([1]对账明细接口!$M$83=0,"",[1]对账明细接口!$M$83),"")</f>
        <v/>
      </c>
      <c r="N83" s="111" t="n">
        <f aca="false">IF($C83="",0,1)</f>
        <v>1</v>
      </c>
      <c r="O83" s="111" t="n">
        <f aca="false">N(O82)+$N83</f>
        <v>80</v>
      </c>
      <c r="S83" s="10" t="str">
        <f aca="false">IFERROR(IF([1]对账明细接口!$N83=0,"",[1]对账明细接口!$N83),"")</f>
        <v>公司红周转筐</v>
      </c>
      <c r="T83" s="112" t="n">
        <f aca="false">IFERROR(IF([1]对账明细接口!$O83=0,"",[1]对账明细接口!$O83),"")</f>
        <v>759</v>
      </c>
      <c r="U83" s="112" t="str">
        <f aca="false">IFERROR(IF([1]对账明细接口!$P83=0,"",[1]对账明细接口!$P83),"")</f>
        <v/>
      </c>
      <c r="V83" s="112" t="str">
        <f aca="false">IFERROR(IF([1]对账明细接口!$Q83=0,"",[1]对账明细接口!$Q83),"")</f>
        <v/>
      </c>
      <c r="W83" s="10" t="str">
        <f aca="false">IFERROR(IF([1]对账明细接口!$R83=0,"",[1]对账明细接口!$R83),"")</f>
        <v>豫A*2737K</v>
      </c>
      <c r="X83" s="10" t="str">
        <f aca="false">IFERROR(IF([1]对账明细接口!$S83=0,"",[1]对账明细接口!$S83),"")</f>
        <v>公司筐</v>
      </c>
      <c r="Y83" s="10" t="str">
        <f aca="false">""</f>
        <v/>
      </c>
      <c r="Z83" s="10" t="str">
        <f aca="false">""</f>
        <v/>
      </c>
      <c r="AA83" s="10" t="str">
        <f aca="false">""</f>
        <v/>
      </c>
      <c r="AB83" s="10" t="str">
        <f aca="false">""</f>
        <v/>
      </c>
    </row>
    <row r="84" customFormat="false" ht="13.5" hidden="false" customHeight="false" outlineLevel="0" collapsed="false">
      <c r="A84" s="109" t="n">
        <v>84</v>
      </c>
      <c r="B84" s="110" t="n">
        <f aca="false">IFERROR(IF([1]对账明细接口!$B$84=0,"",[1]对账明细接口!$B$84),"")</f>
        <v>46274</v>
      </c>
      <c r="C84" s="59" t="str">
        <f aca="false">IFERROR(IF([1]对账明细接口!$C$84=0,"",[1]对账明细接口!$C$84),"")</f>
        <v>麦麦提</v>
      </c>
      <c r="D84" s="59" t="str">
        <f aca="false">IFERROR(IF([1]对账明细接口!$D$84=0,"",[1]对账明细接口!$D$84),"")</f>
        <v>周转筐－领用出库</v>
      </c>
      <c r="E84" s="59" t="str">
        <f aca="false">IFERROR(IF([1]对账明细接口!$E$84=0,"",[1]对账明细接口!$E$84),"")</f>
        <v>NO:0001106</v>
      </c>
      <c r="F84" s="59" t="str">
        <f aca="false">IFERROR(IF([1]对账明细接口!$F$84=0,"",[1]对账明细接口!$F$84),"")</f>
        <v>公司红周转筐</v>
      </c>
      <c r="G84" s="59" t="str">
        <f aca="false">IFERROR(IF([1]对账明细接口!$G$84=0,"",[1]对账明细接口!$G$84),"")</f>
        <v/>
      </c>
      <c r="H84" s="60" t="n">
        <f aca="false">IFERROR(IF([1]对账明细接口!$H$84=0,"",[1]对账明细接口!$H$84),"")</f>
        <v>846</v>
      </c>
      <c r="I84" s="59" t="str">
        <f aca="false">IFERROR(IF([1]对账明细接口!$I$84=0,"",[1]对账明细接口!$I$84),"")</f>
        <v>个</v>
      </c>
      <c r="J84" s="61" t="str">
        <f aca="false">IFERROR(IF([1]对账明细接口!$J$84=0,"",[1]对账明细接口!$J$84),"")</f>
        <v/>
      </c>
      <c r="K84" s="61" t="str">
        <f aca="false">IFERROR(IF([1]对账明细接口!$K$84=0,"",[1]对账明细接口!$K$84),"")</f>
        <v/>
      </c>
      <c r="L84" s="59" t="str">
        <f aca="false">IFERROR(IF([1]对账明细接口!$L$84=0,"",[1]对账明细接口!$L$84),"")</f>
        <v/>
      </c>
      <c r="M84" s="59" t="str">
        <f aca="false">IFERROR(IF([1]对账明细接口!$M$84=0,"",[1]对账明细接口!$M$84),"")</f>
        <v/>
      </c>
      <c r="N84" s="111" t="n">
        <f aca="false">IF($C84="",0,1)</f>
        <v>1</v>
      </c>
      <c r="O84" s="111" t="n">
        <f aca="false">N(O83)+$N84</f>
        <v>81</v>
      </c>
      <c r="S84" s="10" t="str">
        <f aca="false">IFERROR(IF([1]对账明细接口!$N84=0,"",[1]对账明细接口!$N84),"")</f>
        <v>公司红周转筐</v>
      </c>
      <c r="T84" s="112" t="n">
        <f aca="false">IFERROR(IF([1]对账明细接口!$O84=0,"",[1]对账明细接口!$O84),"")</f>
        <v>846</v>
      </c>
      <c r="U84" s="112" t="str">
        <f aca="false">IFERROR(IF([1]对账明细接口!$P84=0,"",[1]对账明细接口!$P84),"")</f>
        <v/>
      </c>
      <c r="V84" s="112" t="str">
        <f aca="false">IFERROR(IF([1]对账明细接口!$Q84=0,"",[1]对账明细接口!$Q84),"")</f>
        <v/>
      </c>
      <c r="W84" s="10" t="str">
        <f aca="false">IFERROR(IF([1]对账明细接口!$R84=0,"",[1]对账明细接口!$R84),"")</f>
        <v>新A*G0554</v>
      </c>
      <c r="X84" s="10" t="str">
        <f aca="false">IFERROR(IF([1]对账明细接口!$S84=0,"",[1]对账明细接口!$S84),"")</f>
        <v>公司筐</v>
      </c>
      <c r="Y84" s="10" t="str">
        <f aca="false">""</f>
        <v/>
      </c>
      <c r="Z84" s="10" t="str">
        <f aca="false">""</f>
        <v/>
      </c>
      <c r="AA84" s="10" t="str">
        <f aca="false">""</f>
        <v/>
      </c>
      <c r="AB84" s="10" t="str">
        <f aca="false">""</f>
        <v/>
      </c>
    </row>
    <row r="85" customFormat="false" ht="13.5" hidden="false" customHeight="false" outlineLevel="0" collapsed="false">
      <c r="A85" s="109" t="n">
        <v>85</v>
      </c>
      <c r="B85" s="110" t="n">
        <f aca="false">IFERROR(IF([1]对账明细接口!$B$85=0,"",[1]对账明细接口!$B$85),"")</f>
        <v>46275</v>
      </c>
      <c r="C85" s="59" t="str">
        <f aca="false">IFERROR(IF([1]对账明细接口!$C$85=0,"",[1]对账明细接口!$C$85),"")</f>
        <v>王照雪</v>
      </c>
      <c r="D85" s="59" t="str">
        <f aca="false">IFERROR(IF([1]对账明细接口!$D$85=0,"",[1]对账明细接口!$D$85),"")</f>
        <v>周转筐－领用出库</v>
      </c>
      <c r="E85" s="59" t="str">
        <f aca="false">IFERROR(IF([1]对账明细接口!$E$85=0,"",[1]对账明细接口!$E$85),"")</f>
        <v>NO:0001107</v>
      </c>
      <c r="F85" s="59" t="str">
        <f aca="false">IFERROR(IF([1]对账明细接口!$F$85=0,"",[1]对账明细接口!$F$85),"")</f>
        <v>公司一次性筐</v>
      </c>
      <c r="G85" s="59" t="str">
        <f aca="false">IFERROR(IF([1]对账明细接口!$G$85=0,"",[1]对账明细接口!$G$85),"")</f>
        <v/>
      </c>
      <c r="H85" s="60" t="n">
        <f aca="false">IFERROR(IF([1]对账明细接口!$H$85=0,"",[1]对账明细接口!$H$85),"")</f>
        <v>423</v>
      </c>
      <c r="I85" s="59" t="str">
        <f aca="false">IFERROR(IF([1]对账明细接口!$I$85=0,"",[1]对账明细接口!$I$85),"")</f>
        <v>个</v>
      </c>
      <c r="J85" s="61" t="str">
        <f aca="false">IFERROR(IF([1]对账明细接口!$J$85=0,"",[1]对账明细接口!$J$85),"")</f>
        <v/>
      </c>
      <c r="K85" s="61" t="str">
        <f aca="false">IFERROR(IF([1]对账明细接口!$K$85=0,"",[1]对账明细接口!$K$85),"")</f>
        <v/>
      </c>
      <c r="L85" s="59" t="str">
        <f aca="false">IFERROR(IF([1]对账明细接口!$L$85=0,"",[1]对账明细接口!$L$85),"")</f>
        <v/>
      </c>
      <c r="M85" s="59" t="str">
        <f aca="false">IFERROR(IF([1]对账明细接口!$M$85=0,"",[1]对账明细接口!$M$85),"")</f>
        <v/>
      </c>
      <c r="N85" s="111" t="n">
        <f aca="false">IF($C85="",0,1)</f>
        <v>1</v>
      </c>
      <c r="O85" s="111" t="n">
        <f aca="false">N(O84)+$N85</f>
        <v>82</v>
      </c>
      <c r="S85" s="10" t="str">
        <f aca="false">IFERROR(IF([1]对账明细接口!$N85=0,"",[1]对账明细接口!$N85),"")</f>
        <v>公司一次性筐</v>
      </c>
      <c r="T85" s="112" t="n">
        <f aca="false">IFERROR(IF([1]对账明细接口!$O85=0,"",[1]对账明细接口!$O85),"")</f>
        <v>423</v>
      </c>
      <c r="U85" s="112" t="str">
        <f aca="false">IFERROR(IF([1]对账明细接口!$P85=0,"",[1]对账明细接口!$P85),"")</f>
        <v/>
      </c>
      <c r="V85" s="112" t="str">
        <f aca="false">IFERROR(IF([1]对账明细接口!$Q85=0,"",[1]对账明细接口!$Q85),"")</f>
        <v/>
      </c>
      <c r="W85" s="10" t="str">
        <f aca="false">IFERROR(IF([1]对账明细接口!$R85=0,"",[1]对账明细接口!$R85),"")</f>
        <v>豫L*88X19</v>
      </c>
      <c r="X85" s="10" t="str">
        <f aca="false">IFERROR(IF([1]对账明细接口!$S85=0,"",[1]对账明细接口!$S85),"")</f>
        <v>公司筐</v>
      </c>
      <c r="Y85" s="10" t="str">
        <f aca="false">""</f>
        <v/>
      </c>
      <c r="Z85" s="10" t="str">
        <f aca="false">""</f>
        <v/>
      </c>
      <c r="AA85" s="10" t="str">
        <f aca="false">""</f>
        <v/>
      </c>
      <c r="AB85" s="10" t="str">
        <f aca="false">""</f>
        <v/>
      </c>
    </row>
    <row r="86" customFormat="false" ht="13.5" hidden="false" customHeight="false" outlineLevel="0" collapsed="false">
      <c r="A86" s="109" t="n">
        <v>86</v>
      </c>
      <c r="B86" s="110" t="n">
        <f aca="false">IFERROR(IF([1]对账明细接口!$B$86=0,"",[1]对账明细接口!$B$86),"")</f>
        <v>46275</v>
      </c>
      <c r="C86" s="59" t="str">
        <f aca="false">IFERROR(IF([1]对账明细接口!$C$86=0,"",[1]对账明细接口!$C$86),"")</f>
        <v>全修塑业</v>
      </c>
      <c r="D86" s="59" t="str">
        <f aca="false">IFERROR(IF([1]对账明细接口!$D$86=0,"",[1]对账明细接口!$D$86),"")</f>
        <v>周转筐－采购入库</v>
      </c>
      <c r="E86" s="59" t="str">
        <f aca="false">IFERROR(IF([1]对账明细接口!$E$86=0,"",[1]对账明细接口!$E$86),"")</f>
        <v>NO:0000771</v>
      </c>
      <c r="F86" s="59" t="str">
        <f aca="false">IFERROR(IF([1]对账明细接口!$F$86=0,"",[1]对账明细接口!$F$86),"")</f>
        <v>公司红周转筐</v>
      </c>
      <c r="G86" s="59" t="str">
        <f aca="false">IFERROR(IF([1]对账明细接口!$G$86=0,"",[1]对账明细接口!$G$86),"")</f>
        <v/>
      </c>
      <c r="H86" s="60" t="n">
        <f aca="false">IFERROR(IF([1]对账明细接口!$H$86=0,"",[1]对账明细接口!$H$86),"")</f>
        <v>960</v>
      </c>
      <c r="I86" s="59" t="str">
        <f aca="false">IFERROR(IF([1]对账明细接口!$I$86=0,"",[1]对账明细接口!$I$86),"")</f>
        <v>个</v>
      </c>
      <c r="J86" s="61" t="str">
        <f aca="false">IFERROR(IF([1]对账明细接口!$J$86=0,"",[1]对账明细接口!$J$86),"")</f>
        <v/>
      </c>
      <c r="K86" s="61" t="n">
        <f aca="false">IFERROR(IF([1]对账明细接口!$K$86=0,"",[1]对账明细接口!$K$86),"")</f>
        <v>9600</v>
      </c>
      <c r="L86" s="59" t="str">
        <f aca="false">IFERROR(IF([1]对账明细接口!$L$86=0,"",[1]对账明细接口!$L$86),"")</f>
        <v>未付款</v>
      </c>
      <c r="M86" s="59" t="str">
        <f aca="false">IFERROR(IF([1]对账明细接口!$M$86=0,"",[1]对账明细接口!$M$86),"")</f>
        <v>NO:0017204</v>
      </c>
      <c r="N86" s="111" t="n">
        <f aca="false">IF($C86="",0,1)</f>
        <v>1</v>
      </c>
      <c r="O86" s="111" t="n">
        <f aca="false">N(O85)+$N86</f>
        <v>83</v>
      </c>
      <c r="S86" s="10" t="str">
        <f aca="false">IFERROR(IF([1]对账明细接口!$N86=0,"",[1]对账明细接口!$N86),"")</f>
        <v>公司红周转筐</v>
      </c>
      <c r="T86" s="112" t="str">
        <f aca="false">IFERROR(IF([1]对账明细接口!$O86=0,"",[1]对账明细接口!$O86),"")</f>
        <v/>
      </c>
      <c r="U86" s="112" t="str">
        <f aca="false">IFERROR(IF([1]对账明细接口!$P86=0,"",[1]对账明细接口!$P86),"")</f>
        <v/>
      </c>
      <c r="V86" s="112" t="n">
        <f aca="false">IFERROR(IF([1]对账明细接口!$Q86=0,"",[1]对账明细接口!$Q86),"")</f>
        <v>960</v>
      </c>
      <c r="W86" s="10" t="str">
        <f aca="false">IFERROR(IF([1]对账明细接口!$R86=0,"",[1]对账明细接口!$R86),"")</f>
        <v>新N*49209</v>
      </c>
      <c r="X86" s="10" t="str">
        <f aca="false">IFERROR(IF([1]对账明细接口!$S86=0,"",[1]对账明细接口!$S86),"")</f>
        <v>公司筐</v>
      </c>
      <c r="Y86" s="10" t="str">
        <f aca="false">""</f>
        <v/>
      </c>
      <c r="Z86" s="10" t="str">
        <f aca="false">""</f>
        <v/>
      </c>
      <c r="AA86" s="10" t="str">
        <f aca="false">""</f>
        <v/>
      </c>
      <c r="AB86" s="10" t="str">
        <f aca="false">""</f>
        <v/>
      </c>
    </row>
    <row r="87" customFormat="false" ht="13.5" hidden="false" customHeight="false" outlineLevel="0" collapsed="false">
      <c r="A87" s="109" t="n">
        <v>87</v>
      </c>
      <c r="B87" s="110" t="n">
        <f aca="false">IFERROR(IF([1]对账明细接口!$B$87=0,"",[1]对账明细接口!$B$87),"")</f>
        <v>46275</v>
      </c>
      <c r="C87" s="59" t="str">
        <f aca="false">IFERROR(IF([1]对账明细接口!$C$87=0,"",[1]对账明细接口!$C$87),"")</f>
        <v>王灵云</v>
      </c>
      <c r="D87" s="59" t="str">
        <f aca="false">IFERROR(IF([1]对账明细接口!$D$87=0,"",[1]对账明细接口!$D$87),"")</f>
        <v>周转筐－领用出库</v>
      </c>
      <c r="E87" s="59" t="str">
        <f aca="false">IFERROR(IF([1]对账明细接口!$E$87=0,"",[1]对账明细接口!$E$87),"")</f>
        <v>NO:0001108</v>
      </c>
      <c r="F87" s="59" t="str">
        <f aca="false">IFERROR(IF([1]对账明细接口!$F$87=0,"",[1]对账明细接口!$F$87),"")</f>
        <v>公司红周转筐</v>
      </c>
      <c r="G87" s="59" t="str">
        <f aca="false">IFERROR(IF([1]对账明细接口!$G$87=0,"",[1]对账明细接口!$G$87),"")</f>
        <v/>
      </c>
      <c r="H87" s="60" t="n">
        <f aca="false">IFERROR(IF([1]对账明细接口!$H$87=0,"",[1]对账明细接口!$H$87),"")</f>
        <v>960</v>
      </c>
      <c r="I87" s="59" t="str">
        <f aca="false">IFERROR(IF([1]对账明细接口!$I$87=0,"",[1]对账明细接口!$I$87),"")</f>
        <v>个</v>
      </c>
      <c r="J87" s="61" t="str">
        <f aca="false">IFERROR(IF([1]对账明细接口!$J$87=0,"",[1]对账明细接口!$J$87),"")</f>
        <v/>
      </c>
      <c r="K87" s="61" t="str">
        <f aca="false">IFERROR(IF([1]对账明细接口!$K$87=0,"",[1]对账明细接口!$K$87),"")</f>
        <v/>
      </c>
      <c r="L87" s="59" t="str">
        <f aca="false">IFERROR(IF([1]对账明细接口!$L$87=0,"",[1]对账明细接口!$L$87),"")</f>
        <v/>
      </c>
      <c r="M87" s="59" t="str">
        <f aca="false">IFERROR(IF([1]对账明细接口!$M$87=0,"",[1]对账明细接口!$M$87),"")</f>
        <v/>
      </c>
      <c r="N87" s="111" t="n">
        <f aca="false">IF($C87="",0,1)</f>
        <v>1</v>
      </c>
      <c r="O87" s="111" t="n">
        <f aca="false">N(O86)+$N87</f>
        <v>84</v>
      </c>
      <c r="S87" s="10" t="str">
        <f aca="false">IFERROR(IF([1]对账明细接口!$N87=0,"",[1]对账明细接口!$N87),"")</f>
        <v>公司红周转筐</v>
      </c>
      <c r="T87" s="112" t="n">
        <f aca="false">IFERROR(IF([1]对账明细接口!$O87=0,"",[1]对账明细接口!$O87),"")</f>
        <v>960</v>
      </c>
      <c r="U87" s="112" t="str">
        <f aca="false">IFERROR(IF([1]对账明细接口!$P87=0,"",[1]对账明细接口!$P87),"")</f>
        <v/>
      </c>
      <c r="V87" s="112" t="str">
        <f aca="false">IFERROR(IF([1]对账明细接口!$Q87=0,"",[1]对账明细接口!$Q87),"")</f>
        <v/>
      </c>
      <c r="W87" s="10" t="str">
        <f aca="false">IFERROR(IF([1]对账明细接口!$R87=0,"",[1]对账明细接口!$R87),"")</f>
        <v>新N*49209</v>
      </c>
      <c r="X87" s="10" t="str">
        <f aca="false">IFERROR(IF([1]对账明细接口!$S87=0,"",[1]对账明细接口!$S87),"")</f>
        <v>公司筐</v>
      </c>
      <c r="Y87" s="10" t="str">
        <f aca="false">""</f>
        <v/>
      </c>
      <c r="Z87" s="10" t="str">
        <f aca="false">""</f>
        <v/>
      </c>
      <c r="AA87" s="10" t="str">
        <f aca="false">""</f>
        <v/>
      </c>
      <c r="AB87" s="10" t="str">
        <f aca="false">""</f>
        <v/>
      </c>
    </row>
    <row r="88" customFormat="false" ht="13.5" hidden="false" customHeight="false" outlineLevel="0" collapsed="false">
      <c r="A88" s="109" t="n">
        <v>88</v>
      </c>
      <c r="B88" s="110" t="n">
        <f aca="false">IFERROR(IF([1]对账明细接口!$B$88=0,"",[1]对账明细接口!$B$88),"")</f>
        <v>46275</v>
      </c>
      <c r="C88" s="59" t="str">
        <f aca="false">IFERROR(IF([1]对账明细接口!$C$88=0,"",[1]对账明细接口!$C$88),"")</f>
        <v>全修塑业</v>
      </c>
      <c r="D88" s="59" t="str">
        <f aca="false">IFERROR(IF([1]对账明细接口!$D$88=0,"",[1]对账明细接口!$D$88),"")</f>
        <v>周转筐－采购入库</v>
      </c>
      <c r="E88" s="59" t="str">
        <f aca="false">IFERROR(IF([1]对账明细接口!$E$88=0,"",[1]对账明细接口!$E$88),"")</f>
        <v>NO:0000774</v>
      </c>
      <c r="F88" s="59" t="str">
        <f aca="false">IFERROR(IF([1]对账明细接口!$F$88=0,"",[1]对账明细接口!$F$88),"")</f>
        <v>公司红周转筐</v>
      </c>
      <c r="G88" s="59" t="str">
        <f aca="false">IFERROR(IF([1]对账明细接口!$G$88=0,"",[1]对账明细接口!$G$88),"")</f>
        <v/>
      </c>
      <c r="H88" s="60" t="n">
        <f aca="false">IFERROR(IF([1]对账明细接口!$H$88=0,"",[1]对账明细接口!$H$88),"")</f>
        <v>369</v>
      </c>
      <c r="I88" s="59" t="str">
        <f aca="false">IFERROR(IF([1]对账明细接口!$I$88=0,"",[1]对账明细接口!$I$88),"")</f>
        <v>个</v>
      </c>
      <c r="J88" s="61" t="str">
        <f aca="false">IFERROR(IF([1]对账明细接口!$J$88=0,"",[1]对账明细接口!$J$88),"")</f>
        <v/>
      </c>
      <c r="K88" s="61" t="n">
        <f aca="false">IFERROR(IF([1]对账明细接口!$K$88=0,"",[1]对账明细接口!$K$88),"")</f>
        <v>3690</v>
      </c>
      <c r="L88" s="59" t="str">
        <f aca="false">IFERROR(IF([1]对账明细接口!$L$88=0,"",[1]对账明细接口!$L$88),"")</f>
        <v>未付款</v>
      </c>
      <c r="M88" s="59" t="str">
        <f aca="false">IFERROR(IF([1]对账明细接口!$M$88=0,"",[1]对账明细接口!$M$88),"")</f>
        <v>NO:0017205</v>
      </c>
      <c r="N88" s="111" t="n">
        <f aca="false">IF($C88="",0,1)</f>
        <v>1</v>
      </c>
      <c r="O88" s="111" t="n">
        <f aca="false">N(O87)+$N88</f>
        <v>85</v>
      </c>
      <c r="S88" s="10" t="str">
        <f aca="false">IFERROR(IF([1]对账明细接口!$N88=0,"",[1]对账明细接口!$N88),"")</f>
        <v>公司红周转筐</v>
      </c>
      <c r="T88" s="112" t="str">
        <f aca="false">IFERROR(IF([1]对账明细接口!$O88=0,"",[1]对账明细接口!$O88),"")</f>
        <v/>
      </c>
      <c r="U88" s="112" t="str">
        <f aca="false">IFERROR(IF([1]对账明细接口!$P88=0,"",[1]对账明细接口!$P88),"")</f>
        <v/>
      </c>
      <c r="V88" s="112" t="n">
        <f aca="false">IFERROR(IF([1]对账明细接口!$Q88=0,"",[1]对账明细接口!$Q88),"")</f>
        <v>369</v>
      </c>
      <c r="W88" s="10" t="str">
        <f aca="false">IFERROR(IF([1]对账明细接口!$R88=0,"",[1]对账明细接口!$R88),"")</f>
        <v>新N*X8S48</v>
      </c>
      <c r="X88" s="10" t="str">
        <f aca="false">IFERROR(IF([1]对账明细接口!$S88=0,"",[1]对账明细接口!$S88),"")</f>
        <v>公司筐</v>
      </c>
      <c r="Y88" s="10" t="str">
        <f aca="false">""</f>
        <v/>
      </c>
      <c r="Z88" s="10" t="str">
        <f aca="false">""</f>
        <v/>
      </c>
      <c r="AA88" s="10" t="str">
        <f aca="false">""</f>
        <v/>
      </c>
      <c r="AB88" s="10" t="str">
        <f aca="false">""</f>
        <v/>
      </c>
    </row>
    <row r="89" customFormat="false" ht="13.5" hidden="false" customHeight="false" outlineLevel="0" collapsed="false">
      <c r="A89" s="109" t="n">
        <v>89</v>
      </c>
      <c r="B89" s="110" t="n">
        <f aca="false">IFERROR(IF([1]对账明细接口!$B$89=0,"",[1]对账明细接口!$B$89),"")</f>
        <v>46275</v>
      </c>
      <c r="C89" s="59" t="str">
        <f aca="false">IFERROR(IF([1]对账明细接口!$C$89=0,"",[1]对账明细接口!$C$89),"")</f>
        <v>吐尔洪</v>
      </c>
      <c r="D89" s="59" t="str">
        <f aca="false">IFERROR(IF([1]对账明细接口!$D$89=0,"",[1]对账明细接口!$D$89),"")</f>
        <v>周转筐－领用出库</v>
      </c>
      <c r="E89" s="59" t="str">
        <f aca="false">IFERROR(IF([1]对账明细接口!$E$89=0,"",[1]对账明细接口!$E$89),"")</f>
        <v>NO:0001110</v>
      </c>
      <c r="F89" s="59" t="str">
        <f aca="false">IFERROR(IF([1]对账明细接口!$F$89=0,"",[1]对账明细接口!$F$89),"")</f>
        <v>公司红周转筐</v>
      </c>
      <c r="G89" s="59" t="str">
        <f aca="false">IFERROR(IF([1]对账明细接口!$G$89=0,"",[1]对账明细接口!$G$89),"")</f>
        <v/>
      </c>
      <c r="H89" s="60" t="n">
        <f aca="false">IFERROR(IF([1]对账明细接口!$H$89=0,"",[1]对账明细接口!$H$89),"")</f>
        <v>369</v>
      </c>
      <c r="I89" s="59" t="str">
        <f aca="false">IFERROR(IF([1]对账明细接口!$I$89=0,"",[1]对账明细接口!$I$89),"")</f>
        <v>个</v>
      </c>
      <c r="J89" s="61" t="str">
        <f aca="false">IFERROR(IF([1]对账明细接口!$J$89=0,"",[1]对账明细接口!$J$89),"")</f>
        <v/>
      </c>
      <c r="K89" s="61" t="str">
        <f aca="false">IFERROR(IF([1]对账明细接口!$K$89=0,"",[1]对账明细接口!$K$89),"")</f>
        <v/>
      </c>
      <c r="L89" s="59" t="str">
        <f aca="false">IFERROR(IF([1]对账明细接口!$L$89=0,"",[1]对账明细接口!$L$89),"")</f>
        <v/>
      </c>
      <c r="M89" s="59" t="str">
        <f aca="false">IFERROR(IF([1]对账明细接口!$M$89=0,"",[1]对账明细接口!$M$89),"")</f>
        <v/>
      </c>
      <c r="N89" s="111" t="n">
        <f aca="false">IF($C89="",0,1)</f>
        <v>1</v>
      </c>
      <c r="O89" s="111" t="n">
        <f aca="false">N(O88)+$N89</f>
        <v>86</v>
      </c>
      <c r="S89" s="10" t="str">
        <f aca="false">IFERROR(IF([1]对账明细接口!$N89=0,"",[1]对账明细接口!$N89),"")</f>
        <v>公司红周转筐</v>
      </c>
      <c r="T89" s="112" t="n">
        <f aca="false">IFERROR(IF([1]对账明细接口!$O89=0,"",[1]对账明细接口!$O89),"")</f>
        <v>369</v>
      </c>
      <c r="U89" s="112" t="str">
        <f aca="false">IFERROR(IF([1]对账明细接口!$P89=0,"",[1]对账明细接口!$P89),"")</f>
        <v/>
      </c>
      <c r="V89" s="112" t="str">
        <f aca="false">IFERROR(IF([1]对账明细接口!$Q89=0,"",[1]对账明细接口!$Q89),"")</f>
        <v/>
      </c>
      <c r="W89" s="10" t="str">
        <f aca="false">IFERROR(IF([1]对账明细接口!$R89=0,"",[1]对账明细接口!$R89),"")</f>
        <v>新N*X8S48</v>
      </c>
      <c r="X89" s="10" t="str">
        <f aca="false">IFERROR(IF([1]对账明细接口!$S89=0,"",[1]对账明细接口!$S89),"")</f>
        <v>公司筐</v>
      </c>
      <c r="Y89" s="10" t="str">
        <f aca="false">""</f>
        <v/>
      </c>
      <c r="Z89" s="10" t="str">
        <f aca="false">""</f>
        <v/>
      </c>
      <c r="AA89" s="10" t="str">
        <f aca="false">""</f>
        <v/>
      </c>
      <c r="AB89" s="10" t="str">
        <f aca="false">""</f>
        <v/>
      </c>
    </row>
    <row r="90" customFormat="false" ht="13.5" hidden="false" customHeight="false" outlineLevel="0" collapsed="false">
      <c r="A90" s="109" t="n">
        <v>90</v>
      </c>
      <c r="B90" s="110" t="n">
        <f aca="false">IFERROR(IF([1]对账明细接口!$B$90=0,"",[1]对账明细接口!$B$90),"")</f>
        <v>46276</v>
      </c>
      <c r="C90" s="59" t="str">
        <f aca="false">IFERROR(IF([1]对账明细接口!$C$90=0,"",[1]对账明细接口!$C$90),"")</f>
        <v>全修塑业</v>
      </c>
      <c r="D90" s="59" t="str">
        <f aca="false">IFERROR(IF([1]对账明细接口!$D$90=0,"",[1]对账明细接口!$D$90),"")</f>
        <v>周转筐－采购入库</v>
      </c>
      <c r="E90" s="59" t="str">
        <f aca="false">IFERROR(IF([1]对账明细接口!$E$90=0,"",[1]对账明细接口!$E$90),"")</f>
        <v>NO:0000778</v>
      </c>
      <c r="F90" s="59" t="str">
        <f aca="false">IFERROR(IF([1]对账明细接口!$F$90=0,"",[1]对账明细接口!$F$90),"")</f>
        <v>公司红周转筐</v>
      </c>
      <c r="G90" s="59" t="str">
        <f aca="false">IFERROR(IF([1]对账明细接口!$G$90=0,"",[1]对账明细接口!$G$90),"")</f>
        <v/>
      </c>
      <c r="H90" s="60" t="n">
        <f aca="false">IFERROR(IF([1]对账明细接口!$H$90=0,"",[1]对账明细接口!$H$90),"")</f>
        <v>846</v>
      </c>
      <c r="I90" s="59" t="str">
        <f aca="false">IFERROR(IF([1]对账明细接口!$I$90=0,"",[1]对账明细接口!$I$90),"")</f>
        <v>个</v>
      </c>
      <c r="J90" s="61" t="str">
        <f aca="false">IFERROR(IF([1]对账明细接口!$J$90=0,"",[1]对账明细接口!$J$90),"")</f>
        <v/>
      </c>
      <c r="K90" s="61" t="n">
        <f aca="false">IFERROR(IF([1]对账明细接口!$K$90=0,"",[1]对账明细接口!$K$90),"")</f>
        <v>8460</v>
      </c>
      <c r="L90" s="59" t="str">
        <f aca="false">IFERROR(IF([1]对账明细接口!$L$90=0,"",[1]对账明细接口!$L$90),"")</f>
        <v>未付款</v>
      </c>
      <c r="M90" s="59" t="str">
        <f aca="false">IFERROR(IF([1]对账明细接口!$M$90=0,"",[1]对账明细接口!$M$90),"")</f>
        <v>NO:0017207</v>
      </c>
      <c r="N90" s="111" t="n">
        <f aca="false">IF($C90="",0,1)</f>
        <v>1</v>
      </c>
      <c r="O90" s="111" t="n">
        <f aca="false">N(O89)+$N90</f>
        <v>87</v>
      </c>
      <c r="S90" s="10" t="str">
        <f aca="false">IFERROR(IF([1]对账明细接口!$N90=0,"",[1]对账明细接口!$N90),"")</f>
        <v>公司红周转筐</v>
      </c>
      <c r="T90" s="112" t="str">
        <f aca="false">IFERROR(IF([1]对账明细接口!$O90=0,"",[1]对账明细接口!$O90),"")</f>
        <v/>
      </c>
      <c r="U90" s="112" t="str">
        <f aca="false">IFERROR(IF([1]对账明细接口!$P90=0,"",[1]对账明细接口!$P90),"")</f>
        <v/>
      </c>
      <c r="V90" s="112" t="n">
        <f aca="false">IFERROR(IF([1]对账明细接口!$Q90=0,"",[1]对账明细接口!$Q90),"")</f>
        <v>846</v>
      </c>
      <c r="W90" s="10" t="str">
        <f aca="false">IFERROR(IF([1]对账明细接口!$R90=0,"",[1]对账明细接口!$R90),"")</f>
        <v>新A*G0554</v>
      </c>
      <c r="X90" s="10" t="str">
        <f aca="false">IFERROR(IF([1]对账明细接口!$S90=0,"",[1]对账明细接口!$S90),"")</f>
        <v>公司筐</v>
      </c>
      <c r="Y90" s="10" t="str">
        <f aca="false">""</f>
        <v/>
      </c>
      <c r="Z90" s="10" t="str">
        <f aca="false">""</f>
        <v/>
      </c>
      <c r="AA90" s="10" t="str">
        <f aca="false">""</f>
        <v/>
      </c>
      <c r="AB90" s="10" t="str">
        <f aca="false">""</f>
        <v/>
      </c>
    </row>
    <row r="91" customFormat="false" ht="13.5" hidden="false" customHeight="false" outlineLevel="0" collapsed="false">
      <c r="A91" s="109" t="n">
        <v>91</v>
      </c>
      <c r="B91" s="110" t="n">
        <f aca="false">IFERROR(IF([1]对账明细接口!$B$91=0,"",[1]对账明细接口!$B$91),"")</f>
        <v>46276</v>
      </c>
      <c r="C91" s="59" t="str">
        <f aca="false">IFERROR(IF([1]对账明细接口!$C$91=0,"",[1]对账明细接口!$C$91),"")</f>
        <v>麦麦提</v>
      </c>
      <c r="D91" s="59" t="str">
        <f aca="false">IFERROR(IF([1]对账明细接口!$D$91=0,"",[1]对账明细接口!$D$91),"")</f>
        <v>周转筐－领用出库</v>
      </c>
      <c r="E91" s="59" t="str">
        <f aca="false">IFERROR(IF([1]对账明细接口!$E$91=0,"",[1]对账明细接口!$E$91),"")</f>
        <v>NO:0001113</v>
      </c>
      <c r="F91" s="59" t="str">
        <f aca="false">IFERROR(IF([1]对账明细接口!$F$91=0,"",[1]对账明细接口!$F$91),"")</f>
        <v>公司红周转筐</v>
      </c>
      <c r="G91" s="59" t="str">
        <f aca="false">IFERROR(IF([1]对账明细接口!$G$91=0,"",[1]对账明细接口!$G$91),"")</f>
        <v/>
      </c>
      <c r="H91" s="60" t="n">
        <f aca="false">IFERROR(IF([1]对账明细接口!$H$91=0,"",[1]对账明细接口!$H$91),"")</f>
        <v>846</v>
      </c>
      <c r="I91" s="59" t="str">
        <f aca="false">IFERROR(IF([1]对账明细接口!$I$91=0,"",[1]对账明细接口!$I$91),"")</f>
        <v>个</v>
      </c>
      <c r="J91" s="61" t="str">
        <f aca="false">IFERROR(IF([1]对账明细接口!$J$91=0,"",[1]对账明细接口!$J$91),"")</f>
        <v/>
      </c>
      <c r="K91" s="61" t="str">
        <f aca="false">IFERROR(IF([1]对账明细接口!$K$91=0,"",[1]对账明细接口!$K$91),"")</f>
        <v/>
      </c>
      <c r="L91" s="59" t="str">
        <f aca="false">IFERROR(IF([1]对账明细接口!$L$91=0,"",[1]对账明细接口!$L$91),"")</f>
        <v/>
      </c>
      <c r="M91" s="59" t="str">
        <f aca="false">IFERROR(IF([1]对账明细接口!$M$91=0,"",[1]对账明细接口!$M$91),"")</f>
        <v/>
      </c>
      <c r="N91" s="111" t="n">
        <f aca="false">IF($C91="",0,1)</f>
        <v>1</v>
      </c>
      <c r="O91" s="111" t="n">
        <f aca="false">N(O90)+$N91</f>
        <v>88</v>
      </c>
      <c r="S91" s="10" t="str">
        <f aca="false">IFERROR(IF([1]对账明细接口!$N91=0,"",[1]对账明细接口!$N91),"")</f>
        <v>公司红周转筐</v>
      </c>
      <c r="T91" s="112" t="n">
        <f aca="false">IFERROR(IF([1]对账明细接口!$O91=0,"",[1]对账明细接口!$O91),"")</f>
        <v>846</v>
      </c>
      <c r="U91" s="112" t="str">
        <f aca="false">IFERROR(IF([1]对账明细接口!$P91=0,"",[1]对账明细接口!$P91),"")</f>
        <v/>
      </c>
      <c r="V91" s="112" t="str">
        <f aca="false">IFERROR(IF([1]对账明细接口!$Q91=0,"",[1]对账明细接口!$Q91),"")</f>
        <v/>
      </c>
      <c r="W91" s="10" t="str">
        <f aca="false">IFERROR(IF([1]对账明细接口!$R91=0,"",[1]对账明细接口!$R91),"")</f>
        <v>新A*G0554</v>
      </c>
      <c r="X91" s="10" t="str">
        <f aca="false">IFERROR(IF([1]对账明细接口!$S91=0,"",[1]对账明细接口!$S91),"")</f>
        <v>公司筐</v>
      </c>
      <c r="Y91" s="10" t="str">
        <f aca="false">""</f>
        <v/>
      </c>
      <c r="Z91" s="10" t="str">
        <f aca="false">""</f>
        <v/>
      </c>
      <c r="AA91" s="10" t="str">
        <f aca="false">""</f>
        <v/>
      </c>
      <c r="AB91" s="10" t="str">
        <f aca="false">""</f>
        <v/>
      </c>
    </row>
    <row r="92" customFormat="false" ht="13.5" hidden="false" customHeight="false" outlineLevel="0" collapsed="false">
      <c r="A92" s="109" t="n">
        <v>92</v>
      </c>
      <c r="B92" s="110" t="n">
        <f aca="false">IFERROR(IF([1]对账明细接口!$B$92=0,"",[1]对账明细接口!$B$92),"")</f>
        <v>46276</v>
      </c>
      <c r="C92" s="59" t="str">
        <f aca="false">IFERROR(IF([1]对账明细接口!$C$92=0,"",[1]对账明细接口!$C$92),"")</f>
        <v>全修塑业</v>
      </c>
      <c r="D92" s="59" t="str">
        <f aca="false">IFERROR(IF([1]对账明细接口!$D$92=0,"",[1]对账明细接口!$D$92),"")</f>
        <v>周转筐－采购入库</v>
      </c>
      <c r="E92" s="59" t="str">
        <f aca="false">IFERROR(IF([1]对账明细接口!$E$92=0,"",[1]对账明细接口!$E$92),"")</f>
        <v>NO:0000784</v>
      </c>
      <c r="F92" s="59" t="str">
        <f aca="false">IFERROR(IF([1]对账明细接口!$F$92=0,"",[1]对账明细接口!$F$92),"")</f>
        <v>公司红周转筐</v>
      </c>
      <c r="G92" s="59" t="str">
        <f aca="false">IFERROR(IF([1]对账明细接口!$G$92=0,"",[1]对账明细接口!$G$92),"")</f>
        <v/>
      </c>
      <c r="H92" s="60" t="n">
        <f aca="false">IFERROR(IF([1]对账明细接口!$H$92=0,"",[1]对账明细接口!$H$92),"")</f>
        <v>936</v>
      </c>
      <c r="I92" s="59" t="str">
        <f aca="false">IFERROR(IF([1]对账明细接口!$I$92=0,"",[1]对账明细接口!$I$92),"")</f>
        <v>个</v>
      </c>
      <c r="J92" s="61" t="str">
        <f aca="false">IFERROR(IF([1]对账明细接口!$J$92=0,"",[1]对账明细接口!$J$92),"")</f>
        <v/>
      </c>
      <c r="K92" s="61" t="n">
        <f aca="false">IFERROR(IF([1]对账明细接口!$K$92=0,"",[1]对账明细接口!$K$92),"")</f>
        <v>9360</v>
      </c>
      <c r="L92" s="59" t="str">
        <f aca="false">IFERROR(IF([1]对账明细接口!$L$92=0,"",[1]对账明细接口!$L$92),"")</f>
        <v>未付款</v>
      </c>
      <c r="M92" s="59" t="str">
        <f aca="false">IFERROR(IF([1]对账明细接口!$M$92=0,"",[1]对账明细接口!$M$92),"")</f>
        <v>NO:0017209</v>
      </c>
      <c r="N92" s="111" t="n">
        <f aca="false">IF($C92="",0,1)</f>
        <v>1</v>
      </c>
      <c r="O92" s="111" t="n">
        <f aca="false">N(O91)+$N92</f>
        <v>89</v>
      </c>
      <c r="S92" s="10" t="str">
        <f aca="false">IFERROR(IF([1]对账明细接口!$N92=0,"",[1]对账明细接口!$N92),"")</f>
        <v>公司红周转筐</v>
      </c>
      <c r="T92" s="112" t="str">
        <f aca="false">IFERROR(IF([1]对账明细接口!$O92=0,"",[1]对账明细接口!$O92),"")</f>
        <v/>
      </c>
      <c r="U92" s="112" t="str">
        <f aca="false">IFERROR(IF([1]对账明细接口!$P92=0,"",[1]对账明细接口!$P92),"")</f>
        <v/>
      </c>
      <c r="V92" s="112" t="n">
        <f aca="false">IFERROR(IF([1]对账明细接口!$Q92=0,"",[1]对账明细接口!$Q92),"")</f>
        <v>936</v>
      </c>
      <c r="W92" s="10" t="str">
        <f aca="false">IFERROR(IF([1]对账明细接口!$R92=0,"",[1]对账明细接口!$R92),"")</f>
        <v>新F*75240</v>
      </c>
      <c r="X92" s="10" t="str">
        <f aca="false">IFERROR(IF([1]对账明细接口!$S92=0,"",[1]对账明细接口!$S92),"")</f>
        <v>公司筐</v>
      </c>
      <c r="Y92" s="10" t="str">
        <f aca="false">""</f>
        <v/>
      </c>
      <c r="Z92" s="10" t="str">
        <f aca="false">""</f>
        <v/>
      </c>
      <c r="AA92" s="10" t="str">
        <f aca="false">""</f>
        <v/>
      </c>
      <c r="AB92" s="10" t="str">
        <f aca="false">""</f>
        <v/>
      </c>
    </row>
    <row r="93" customFormat="false" ht="13.5" hidden="false" customHeight="false" outlineLevel="0" collapsed="false">
      <c r="A93" s="109" t="n">
        <v>93</v>
      </c>
      <c r="B93" s="110" t="n">
        <f aca="false">IFERROR(IF([1]对账明细接口!$B$93=0,"",[1]对账明细接口!$B$93),"")</f>
        <v>46276</v>
      </c>
      <c r="C93" s="59" t="str">
        <f aca="false">IFERROR(IF([1]对账明细接口!$C$93=0,"",[1]对账明细接口!$C$93),"")</f>
        <v>马锦祥</v>
      </c>
      <c r="D93" s="59" t="str">
        <f aca="false">IFERROR(IF([1]对账明细接口!$D$93=0,"",[1]对账明细接口!$D$93),"")</f>
        <v>周转筐－领用出库</v>
      </c>
      <c r="E93" s="59" t="str">
        <f aca="false">IFERROR(IF([1]对账明细接口!$E$93=0,"",[1]对账明细接口!$E$93),"")</f>
        <v>NO:0001114</v>
      </c>
      <c r="F93" s="59" t="str">
        <f aca="false">IFERROR(IF([1]对账明细接口!$F$93=0,"",[1]对账明细接口!$F$93),"")</f>
        <v>公司杂周转筐</v>
      </c>
      <c r="G93" s="59" t="str">
        <f aca="false">IFERROR(IF([1]对账明细接口!$G$93=0,"",[1]对账明细接口!$G$93),"")</f>
        <v/>
      </c>
      <c r="H93" s="60" t="n">
        <f aca="false">IFERROR(IF([1]对账明细接口!$H$93=0,"",[1]对账明细接口!$H$93),"")</f>
        <v>588</v>
      </c>
      <c r="I93" s="59" t="str">
        <f aca="false">IFERROR(IF([1]对账明细接口!$I$93=0,"",[1]对账明细接口!$I$93),"")</f>
        <v>个</v>
      </c>
      <c r="J93" s="61" t="str">
        <f aca="false">IFERROR(IF([1]对账明细接口!$J$93=0,"",[1]对账明细接口!$J$93),"")</f>
        <v/>
      </c>
      <c r="K93" s="61" t="str">
        <f aca="false">IFERROR(IF([1]对账明细接口!$K$93=0,"",[1]对账明细接口!$K$93),"")</f>
        <v/>
      </c>
      <c r="L93" s="59" t="str">
        <f aca="false">IFERROR(IF([1]对账明细接口!$L$93=0,"",[1]对账明细接口!$L$93),"")</f>
        <v/>
      </c>
      <c r="M93" s="59" t="str">
        <f aca="false">IFERROR(IF([1]对账明细接口!$M$93=0,"",[1]对账明细接口!$M$93),"")</f>
        <v/>
      </c>
      <c r="N93" s="111" t="n">
        <f aca="false">IF($C93="",0,1)</f>
        <v>1</v>
      </c>
      <c r="O93" s="111" t="n">
        <f aca="false">N(O92)+$N93</f>
        <v>90</v>
      </c>
      <c r="S93" s="10" t="str">
        <f aca="false">IFERROR(IF([1]对账明细接口!$N93=0,"",[1]对账明细接口!$N93),"")</f>
        <v>公司杂周转筐</v>
      </c>
      <c r="T93" s="112" t="n">
        <f aca="false">IFERROR(IF([1]对账明细接口!$O93=0,"",[1]对账明细接口!$O93),"")</f>
        <v>588</v>
      </c>
      <c r="U93" s="112" t="str">
        <f aca="false">IFERROR(IF([1]对账明细接口!$P93=0,"",[1]对账明细接口!$P93),"")</f>
        <v/>
      </c>
      <c r="V93" s="112" t="str">
        <f aca="false">IFERROR(IF([1]对账明细接口!$Q93=0,"",[1]对账明细接口!$Q93),"")</f>
        <v/>
      </c>
      <c r="W93" s="10" t="str">
        <f aca="false">IFERROR(IF([1]对账明细接口!$R93=0,"",[1]对账明细接口!$R93),"")</f>
        <v>新N*K7V85</v>
      </c>
      <c r="X93" s="10" t="str">
        <f aca="false">IFERROR(IF([1]对账明细接口!$S93=0,"",[1]对账明细接口!$S93),"")</f>
        <v>公司筐</v>
      </c>
      <c r="Y93" s="10" t="str">
        <f aca="false">""</f>
        <v/>
      </c>
      <c r="Z93" s="10" t="str">
        <f aca="false">""</f>
        <v/>
      </c>
      <c r="AA93" s="10" t="str">
        <f aca="false">""</f>
        <v/>
      </c>
      <c r="AB93" s="10" t="str">
        <f aca="false">""</f>
        <v/>
      </c>
    </row>
    <row r="94" customFormat="false" ht="13.5" hidden="false" customHeight="false" outlineLevel="0" collapsed="false">
      <c r="A94" s="109" t="n">
        <v>94</v>
      </c>
      <c r="B94" s="110" t="n">
        <f aca="false">IFERROR(IF([1]对账明细接口!$B$94=0,"",[1]对账明细接口!$B$94),"")</f>
        <v>46276</v>
      </c>
      <c r="C94" s="59" t="str">
        <f aca="false">IFERROR(IF([1]对账明细接口!$C$94=0,"",[1]对账明细接口!$C$94),"")</f>
        <v>王照雪</v>
      </c>
      <c r="D94" s="59" t="str">
        <f aca="false">IFERROR(IF([1]对账明细接口!$D$94=0,"",[1]对账明细接口!$D$94),"")</f>
        <v>周转筐－领用出库</v>
      </c>
      <c r="E94" s="59" t="str">
        <f aca="false">IFERROR(IF([1]对账明细接口!$E$94=0,"",[1]对账明细接口!$E$94),"")</f>
        <v>NO:0001115</v>
      </c>
      <c r="F94" s="59" t="str">
        <f aca="false">IFERROR(IF([1]对账明细接口!$F$94=0,"",[1]对账明细接口!$F$94),"")</f>
        <v>公司杂周转筐</v>
      </c>
      <c r="G94" s="59" t="str">
        <f aca="false">IFERROR(IF([1]对账明细接口!$G$94=0,"",[1]对账明细接口!$G$94),"")</f>
        <v/>
      </c>
      <c r="H94" s="60" t="n">
        <f aca="false">IFERROR(IF([1]对账明细接口!$H$94=0,"",[1]对账明细接口!$H$94),"")</f>
        <v>213</v>
      </c>
      <c r="I94" s="59" t="str">
        <f aca="false">IFERROR(IF([1]对账明细接口!$I$94=0,"",[1]对账明细接口!$I$94),"")</f>
        <v>个</v>
      </c>
      <c r="J94" s="61" t="str">
        <f aca="false">IFERROR(IF([1]对账明细接口!$J$94=0,"",[1]对账明细接口!$J$94),"")</f>
        <v/>
      </c>
      <c r="K94" s="61" t="str">
        <f aca="false">IFERROR(IF([1]对账明细接口!$K$94=0,"",[1]对账明细接口!$K$94),"")</f>
        <v/>
      </c>
      <c r="L94" s="59" t="str">
        <f aca="false">IFERROR(IF([1]对账明细接口!$L$94=0,"",[1]对账明细接口!$L$94),"")</f>
        <v/>
      </c>
      <c r="M94" s="59" t="str">
        <f aca="false">IFERROR(IF([1]对账明细接口!$M$94=0,"",[1]对账明细接口!$M$94),"")</f>
        <v/>
      </c>
      <c r="N94" s="111" t="n">
        <f aca="false">IF($C94="",0,1)</f>
        <v>1</v>
      </c>
      <c r="O94" s="111" t="n">
        <f aca="false">N(O93)+$N94</f>
        <v>91</v>
      </c>
      <c r="S94" s="10" t="str">
        <f aca="false">IFERROR(IF([1]对账明细接口!$N94=0,"",[1]对账明细接口!$N94),"")</f>
        <v>公司杂周转筐</v>
      </c>
      <c r="T94" s="112" t="n">
        <f aca="false">IFERROR(IF([1]对账明细接口!$O94=0,"",[1]对账明细接口!$O94),"")</f>
        <v>213</v>
      </c>
      <c r="U94" s="112" t="str">
        <f aca="false">IFERROR(IF([1]对账明细接口!$P94=0,"",[1]对账明细接口!$P94),"")</f>
        <v/>
      </c>
      <c r="V94" s="112" t="str">
        <f aca="false">IFERROR(IF([1]对账明细接口!$Q94=0,"",[1]对账明细接口!$Q94),"")</f>
        <v/>
      </c>
      <c r="W94" s="10" t="str">
        <f aca="false">IFERROR(IF([1]对账明细接口!$R94=0,"",[1]对账明细接口!$R94),"")</f>
        <v>豫L*88X19</v>
      </c>
      <c r="X94" s="10" t="str">
        <f aca="false">IFERROR(IF([1]对账明细接口!$S94=0,"",[1]对账明细接口!$S94),"")</f>
        <v>公司筐</v>
      </c>
      <c r="Y94" s="10" t="str">
        <f aca="false">""</f>
        <v/>
      </c>
      <c r="Z94" s="10" t="str">
        <f aca="false">""</f>
        <v/>
      </c>
      <c r="AA94" s="10" t="str">
        <f aca="false">""</f>
        <v/>
      </c>
      <c r="AB94" s="10" t="str">
        <f aca="false">""</f>
        <v/>
      </c>
    </row>
    <row r="95" customFormat="false" ht="13.5" hidden="false" customHeight="false" outlineLevel="0" collapsed="false">
      <c r="A95" s="109" t="n">
        <v>95</v>
      </c>
      <c r="B95" s="110" t="n">
        <f aca="false">IFERROR(IF([1]对账明细接口!$B$95=0,"",[1]对账明细接口!$B$95),"")</f>
        <v>46276</v>
      </c>
      <c r="C95" s="59" t="str">
        <f aca="false">IFERROR(IF([1]对账明细接口!$C$95=0,"",[1]对账明细接口!$C$95),"")</f>
        <v>王照雪</v>
      </c>
      <c r="D95" s="59" t="str">
        <f aca="false">IFERROR(IF([1]对账明细接口!$D$95=0,"",[1]对账明细接口!$D$95),"")</f>
        <v>周转筐－领用出库</v>
      </c>
      <c r="E95" s="59" t="str">
        <f aca="false">IFERROR(IF([1]对账明细接口!$E$95=0,"",[1]对账明细接口!$E$95),"")</f>
        <v>NO:0001116</v>
      </c>
      <c r="F95" s="59" t="str">
        <f aca="false">IFERROR(IF([1]对账明细接口!$F$95=0,"",[1]对账明细接口!$F$95),"")</f>
        <v>公司杂周转筐</v>
      </c>
      <c r="G95" s="59" t="str">
        <f aca="false">IFERROR(IF([1]对账明细接口!$G$95=0,"",[1]对账明细接口!$G$95),"")</f>
        <v/>
      </c>
      <c r="H95" s="60" t="n">
        <f aca="false">IFERROR(IF([1]对账明细接口!$H$95=0,"",[1]对账明细接口!$H$95),"")</f>
        <v>423</v>
      </c>
      <c r="I95" s="59" t="str">
        <f aca="false">IFERROR(IF([1]对账明细接口!$I$95=0,"",[1]对账明细接口!$I$95),"")</f>
        <v>个</v>
      </c>
      <c r="J95" s="61" t="str">
        <f aca="false">IFERROR(IF([1]对账明细接口!$J$95=0,"",[1]对账明细接口!$J$95),"")</f>
        <v/>
      </c>
      <c r="K95" s="61" t="str">
        <f aca="false">IFERROR(IF([1]对账明细接口!$K$95=0,"",[1]对账明细接口!$K$95),"")</f>
        <v/>
      </c>
      <c r="L95" s="59" t="str">
        <f aca="false">IFERROR(IF([1]对账明细接口!$L$95=0,"",[1]对账明细接口!$L$95),"")</f>
        <v/>
      </c>
      <c r="M95" s="59" t="str">
        <f aca="false">IFERROR(IF([1]对账明细接口!$M$95=0,"",[1]对账明细接口!$M$95),"")</f>
        <v/>
      </c>
      <c r="N95" s="111" t="n">
        <f aca="false">IF($C95="",0,1)</f>
        <v>1</v>
      </c>
      <c r="O95" s="111" t="n">
        <f aca="false">N(O94)+$N95</f>
        <v>92</v>
      </c>
      <c r="S95" s="10" t="str">
        <f aca="false">IFERROR(IF([1]对账明细接口!$N95=0,"",[1]对账明细接口!$N95),"")</f>
        <v>公司杂周转筐</v>
      </c>
      <c r="T95" s="112" t="n">
        <f aca="false">IFERROR(IF([1]对账明细接口!$O95=0,"",[1]对账明细接口!$O95),"")</f>
        <v>423</v>
      </c>
      <c r="U95" s="112" t="str">
        <f aca="false">IFERROR(IF([1]对账明细接口!$P95=0,"",[1]对账明细接口!$P95),"")</f>
        <v/>
      </c>
      <c r="V95" s="112" t="str">
        <f aca="false">IFERROR(IF([1]对账明细接口!$Q95=0,"",[1]对账明细接口!$Q95),"")</f>
        <v/>
      </c>
      <c r="W95" s="10" t="str">
        <f aca="false">IFERROR(IF([1]对账明细接口!$R95=0,"",[1]对账明细接口!$R95),"")</f>
        <v>豫L*88X19</v>
      </c>
      <c r="X95" s="10" t="str">
        <f aca="false">IFERROR(IF([1]对账明细接口!$S95=0,"",[1]对账明细接口!$S95),"")</f>
        <v>公司筐</v>
      </c>
      <c r="Y95" s="10" t="str">
        <f aca="false">""</f>
        <v/>
      </c>
      <c r="Z95" s="10" t="str">
        <f aca="false">""</f>
        <v/>
      </c>
      <c r="AA95" s="10" t="str">
        <f aca="false">""</f>
        <v/>
      </c>
      <c r="AB95" s="10" t="str">
        <f aca="false">""</f>
        <v/>
      </c>
    </row>
    <row r="96" customFormat="false" ht="13.5" hidden="false" customHeight="false" outlineLevel="0" collapsed="false">
      <c r="A96" s="109" t="n">
        <v>96</v>
      </c>
      <c r="B96" s="110" t="n">
        <f aca="false">IFERROR(IF([1]对账明细接口!$B$96=0,"",[1]对账明细接口!$B$96),"")</f>
        <v>46276</v>
      </c>
      <c r="C96" s="59" t="str">
        <f aca="false">IFERROR(IF([1]对账明细接口!$C$96=0,"",[1]对账明细接口!$C$96),"")</f>
        <v>努尔敦</v>
      </c>
      <c r="D96" s="59" t="str">
        <f aca="false">IFERROR(IF([1]对账明细接口!$D$96=0,"",[1]对账明细接口!$D$96),"")</f>
        <v>周转筐－领用出库</v>
      </c>
      <c r="E96" s="59" t="str">
        <f aca="false">IFERROR(IF([1]对账明细接口!$E$96=0,"",[1]对账明细接口!$E$96),"")</f>
        <v>NO:0001118</v>
      </c>
      <c r="F96" s="59" t="str">
        <f aca="false">IFERROR(IF([1]对账明细接口!$F$96=0,"",[1]对账明细接口!$F$96),"")</f>
        <v>公司红周转筐</v>
      </c>
      <c r="G96" s="59" t="str">
        <f aca="false">IFERROR(IF([1]对账明细接口!$G$96=0,"",[1]对账明细接口!$G$96),"")</f>
        <v/>
      </c>
      <c r="H96" s="60" t="n">
        <f aca="false">IFERROR(IF([1]对账明细接口!$H$96=0,"",[1]对账明细接口!$H$96),"")</f>
        <v>936</v>
      </c>
      <c r="I96" s="59" t="str">
        <f aca="false">IFERROR(IF([1]对账明细接口!$I$96=0,"",[1]对账明细接口!$I$96),"")</f>
        <v>个</v>
      </c>
      <c r="J96" s="61" t="str">
        <f aca="false">IFERROR(IF([1]对账明细接口!$J$96=0,"",[1]对账明细接口!$J$96),"")</f>
        <v/>
      </c>
      <c r="K96" s="61" t="str">
        <f aca="false">IFERROR(IF([1]对账明细接口!$K$96=0,"",[1]对账明细接口!$K$96),"")</f>
        <v/>
      </c>
      <c r="L96" s="59" t="str">
        <f aca="false">IFERROR(IF([1]对账明细接口!$L$96=0,"",[1]对账明细接口!$L$96),"")</f>
        <v/>
      </c>
      <c r="M96" s="59" t="str">
        <f aca="false">IFERROR(IF([1]对账明细接口!$M$96=0,"",[1]对账明细接口!$M$96),"")</f>
        <v/>
      </c>
      <c r="N96" s="111" t="n">
        <f aca="false">IF($C96="",0,1)</f>
        <v>1</v>
      </c>
      <c r="O96" s="111" t="n">
        <f aca="false">N(O95)+$N96</f>
        <v>93</v>
      </c>
      <c r="S96" s="10" t="str">
        <f aca="false">IFERROR(IF([1]对账明细接口!$N96=0,"",[1]对账明细接口!$N96),"")</f>
        <v>公司红周转筐</v>
      </c>
      <c r="T96" s="112" t="n">
        <f aca="false">IFERROR(IF([1]对账明细接口!$O96=0,"",[1]对账明细接口!$O96),"")</f>
        <v>936</v>
      </c>
      <c r="U96" s="112" t="str">
        <f aca="false">IFERROR(IF([1]对账明细接口!$P96=0,"",[1]对账明细接口!$P96),"")</f>
        <v/>
      </c>
      <c r="V96" s="112" t="str">
        <f aca="false">IFERROR(IF([1]对账明细接口!$Q96=0,"",[1]对账明细接口!$Q96),"")</f>
        <v/>
      </c>
      <c r="W96" s="10" t="str">
        <f aca="false">IFERROR(IF([1]对账明细接口!$R96=0,"",[1]对账明细接口!$R96),"")</f>
        <v>新F*75240</v>
      </c>
      <c r="X96" s="10" t="str">
        <f aca="false">IFERROR(IF([1]对账明细接口!$S96=0,"",[1]对账明细接口!$S96),"")</f>
        <v>公司筐</v>
      </c>
      <c r="Y96" s="10" t="str">
        <f aca="false">""</f>
        <v/>
      </c>
      <c r="Z96" s="10" t="str">
        <f aca="false">""</f>
        <v/>
      </c>
      <c r="AA96" s="10" t="str">
        <f aca="false">""</f>
        <v/>
      </c>
      <c r="AB96" s="10" t="str">
        <f aca="false">""</f>
        <v/>
      </c>
    </row>
    <row r="97" customFormat="false" ht="13.5" hidden="false" customHeight="false" outlineLevel="0" collapsed="false">
      <c r="A97" s="109" t="n">
        <v>97</v>
      </c>
      <c r="B97" s="110" t="n">
        <f aca="false">IFERROR(IF([1]对账明细接口!$B$97=0,"",[1]对账明细接口!$B$97),"")</f>
        <v>46276</v>
      </c>
      <c r="C97" s="59" t="str">
        <f aca="false">IFERROR(IF([1]对账明细接口!$C$97=0,"",[1]对账明细接口!$C$97),"")</f>
        <v>全修塑业</v>
      </c>
      <c r="D97" s="59" t="str">
        <f aca="false">IFERROR(IF([1]对账明细接口!$D$97=0,"",[1]对账明细接口!$D$97),"")</f>
        <v>周转筐－采购入库</v>
      </c>
      <c r="E97" s="59" t="str">
        <f aca="false">IFERROR(IF([1]对账明细接口!$E$97=0,"",[1]对账明细接口!$E$97),"")</f>
        <v>NO:0000785</v>
      </c>
      <c r="F97" s="59" t="str">
        <f aca="false">IFERROR(IF([1]对账明细接口!$F$97=0,"",[1]对账明细接口!$F$97),"")</f>
        <v>公司红周转筐</v>
      </c>
      <c r="G97" s="59" t="str">
        <f aca="false">IFERROR(IF([1]对账明细接口!$G$97=0,"",[1]对账明细接口!$G$97),"")</f>
        <v/>
      </c>
      <c r="H97" s="60" t="n">
        <f aca="false">IFERROR(IF([1]对账明细接口!$H$97=0,"",[1]对账明细接口!$H$97),"")</f>
        <v>846</v>
      </c>
      <c r="I97" s="59" t="str">
        <f aca="false">IFERROR(IF([1]对账明细接口!$I$97=0,"",[1]对账明细接口!$I$97),"")</f>
        <v>个</v>
      </c>
      <c r="J97" s="61" t="str">
        <f aca="false">IFERROR(IF([1]对账明细接口!$J$97=0,"",[1]对账明细接口!$J$97),"")</f>
        <v/>
      </c>
      <c r="K97" s="61" t="n">
        <f aca="false">IFERROR(IF([1]对账明细接口!$K$97=0,"",[1]对账明细接口!$K$97),"")</f>
        <v>8460</v>
      </c>
      <c r="L97" s="59" t="str">
        <f aca="false">IFERROR(IF([1]对账明细接口!$L$97=0,"",[1]对账明细接口!$L$97),"")</f>
        <v>未付款</v>
      </c>
      <c r="M97" s="59" t="str">
        <f aca="false">IFERROR(IF([1]对账明细接口!$M$97=0,"",[1]对账明细接口!$M$97),"")</f>
        <v>NO:0017211</v>
      </c>
      <c r="N97" s="111" t="n">
        <f aca="false">IF($C97="",0,1)</f>
        <v>1</v>
      </c>
      <c r="O97" s="111" t="n">
        <f aca="false">N(O96)+$N97</f>
        <v>94</v>
      </c>
      <c r="S97" s="10" t="str">
        <f aca="false">IFERROR(IF([1]对账明细接口!$N97=0,"",[1]对账明细接口!$N97),"")</f>
        <v>公司红周转筐</v>
      </c>
      <c r="T97" s="112" t="str">
        <f aca="false">IFERROR(IF([1]对账明细接口!$O97=0,"",[1]对账明细接口!$O97),"")</f>
        <v/>
      </c>
      <c r="U97" s="112" t="str">
        <f aca="false">IFERROR(IF([1]对账明细接口!$P97=0,"",[1]对账明细接口!$P97),"")</f>
        <v/>
      </c>
      <c r="V97" s="112" t="n">
        <f aca="false">IFERROR(IF([1]对账明细接口!$Q97=0,"",[1]对账明细接口!$Q97),"")</f>
        <v>846</v>
      </c>
      <c r="W97" s="10" t="str">
        <f aca="false">IFERROR(IF([1]对账明细接口!$R97=0,"",[1]对账明细接口!$R97),"")</f>
        <v>新A*G0554</v>
      </c>
      <c r="X97" s="10" t="str">
        <f aca="false">IFERROR(IF([1]对账明细接口!$S97=0,"",[1]对账明细接口!$S97),"")</f>
        <v>公司筐</v>
      </c>
      <c r="Y97" s="10" t="str">
        <f aca="false">""</f>
        <v/>
      </c>
      <c r="Z97" s="10" t="str">
        <f aca="false">""</f>
        <v/>
      </c>
      <c r="AA97" s="10" t="str">
        <f aca="false">""</f>
        <v/>
      </c>
      <c r="AB97" s="10" t="str">
        <f aca="false">""</f>
        <v/>
      </c>
    </row>
    <row r="98" customFormat="false" ht="13.5" hidden="false" customHeight="false" outlineLevel="0" collapsed="false">
      <c r="A98" s="109" t="n">
        <v>98</v>
      </c>
      <c r="B98" s="110" t="n">
        <f aca="false">IFERROR(IF([1]对账明细接口!$B$98=0,"",[1]对账明细接口!$B$98),"")</f>
        <v>46276</v>
      </c>
      <c r="C98" s="59" t="str">
        <f aca="false">IFERROR(IF([1]对账明细接口!$C$98=0,"",[1]对账明细接口!$C$98),"")</f>
        <v>热合曼</v>
      </c>
      <c r="D98" s="59" t="str">
        <f aca="false">IFERROR(IF([1]对账明细接口!$D$98=0,"",[1]对账明细接口!$D$98),"")</f>
        <v>周转筐－领用出库</v>
      </c>
      <c r="E98" s="59" t="str">
        <f aca="false">IFERROR(IF([1]对账明细接口!$E$98=0,"",[1]对账明细接口!$E$98),"")</f>
        <v>NO:0001120</v>
      </c>
      <c r="F98" s="59" t="str">
        <f aca="false">IFERROR(IF([1]对账明细接口!$F$98=0,"",[1]对账明细接口!$F$98),"")</f>
        <v>公司红周转筐</v>
      </c>
      <c r="G98" s="59" t="str">
        <f aca="false">IFERROR(IF([1]对账明细接口!$G$98=0,"",[1]对账明细接口!$G$98),"")</f>
        <v/>
      </c>
      <c r="H98" s="60" t="n">
        <f aca="false">IFERROR(IF([1]对账明细接口!$H$98=0,"",[1]对账明细接口!$H$98),"")</f>
        <v>846</v>
      </c>
      <c r="I98" s="59" t="str">
        <f aca="false">IFERROR(IF([1]对账明细接口!$I$98=0,"",[1]对账明细接口!$I$98),"")</f>
        <v>个</v>
      </c>
      <c r="J98" s="61" t="str">
        <f aca="false">IFERROR(IF([1]对账明细接口!$J$98=0,"",[1]对账明细接口!$J$98),"")</f>
        <v/>
      </c>
      <c r="K98" s="61" t="str">
        <f aca="false">IFERROR(IF([1]对账明细接口!$K$98=0,"",[1]对账明细接口!$K$98),"")</f>
        <v/>
      </c>
      <c r="L98" s="59" t="str">
        <f aca="false">IFERROR(IF([1]对账明细接口!$L$98=0,"",[1]对账明细接口!$L$98),"")</f>
        <v/>
      </c>
      <c r="M98" s="59" t="str">
        <f aca="false">IFERROR(IF([1]对账明细接口!$M$98=0,"",[1]对账明细接口!$M$98),"")</f>
        <v/>
      </c>
      <c r="N98" s="111" t="n">
        <f aca="false">IF($C98="",0,1)</f>
        <v>1</v>
      </c>
      <c r="O98" s="111" t="n">
        <f aca="false">N(O97)+$N98</f>
        <v>95</v>
      </c>
      <c r="S98" s="10" t="str">
        <f aca="false">IFERROR(IF([1]对账明细接口!$N98=0,"",[1]对账明细接口!$N98),"")</f>
        <v>公司红周转筐</v>
      </c>
      <c r="T98" s="112" t="n">
        <f aca="false">IFERROR(IF([1]对账明细接口!$O98=0,"",[1]对账明细接口!$O98),"")</f>
        <v>846</v>
      </c>
      <c r="U98" s="112" t="str">
        <f aca="false">IFERROR(IF([1]对账明细接口!$P98=0,"",[1]对账明细接口!$P98),"")</f>
        <v/>
      </c>
      <c r="V98" s="112" t="str">
        <f aca="false">IFERROR(IF([1]对账明细接口!$Q98=0,"",[1]对账明细接口!$Q98),"")</f>
        <v/>
      </c>
      <c r="W98" s="10" t="str">
        <f aca="false">IFERROR(IF([1]对账明细接口!$R98=0,"",[1]对账明细接口!$R98),"")</f>
        <v>新A*G0554</v>
      </c>
      <c r="X98" s="10" t="str">
        <f aca="false">IFERROR(IF([1]对账明细接口!$S98=0,"",[1]对账明细接口!$S98),"")</f>
        <v>公司筐</v>
      </c>
      <c r="Y98" s="10" t="str">
        <f aca="false">""</f>
        <v/>
      </c>
      <c r="Z98" s="10" t="str">
        <f aca="false">""</f>
        <v/>
      </c>
      <c r="AA98" s="10" t="str">
        <f aca="false">""</f>
        <v/>
      </c>
      <c r="AB98" s="10" t="str">
        <f aca="false">""</f>
        <v/>
      </c>
    </row>
    <row r="99" customFormat="false" ht="13.5" hidden="false" customHeight="false" outlineLevel="0" collapsed="false">
      <c r="A99" s="109" t="n">
        <v>99</v>
      </c>
      <c r="B99" s="110" t="n">
        <f aca="false">IFERROR(IF([1]对账明细接口!$B$99=0,"",[1]对账明细接口!$B$99),"")</f>
        <v>46276</v>
      </c>
      <c r="C99" s="59" t="str">
        <f aca="false">IFERROR(IF([1]对账明细接口!$C$99=0,"",[1]对账明细接口!$C$99),"")</f>
        <v>全修塑业</v>
      </c>
      <c r="D99" s="59" t="str">
        <f aca="false">IFERROR(IF([1]对账明细接口!$D$99=0,"",[1]对账明细接口!$D$99),"")</f>
        <v>周转筐－采购入库</v>
      </c>
      <c r="E99" s="59" t="str">
        <f aca="false">IFERROR(IF([1]对账明细接口!$E$99=0,"",[1]对账明细接口!$E$99),"")</f>
        <v>NO:0000788</v>
      </c>
      <c r="F99" s="59" t="str">
        <f aca="false">IFERROR(IF([1]对账明细接口!$F$99=0,"",[1]对账明细接口!$F$99),"")</f>
        <v>公司红周转筐</v>
      </c>
      <c r="G99" s="59" t="str">
        <f aca="false">IFERROR(IF([1]对账明细接口!$G$99=0,"",[1]对账明细接口!$G$99),"")</f>
        <v/>
      </c>
      <c r="H99" s="60" t="n">
        <f aca="false">IFERROR(IF([1]对账明细接口!$H$99=0,"",[1]对账明细接口!$H$99),"")</f>
        <v>378</v>
      </c>
      <c r="I99" s="59" t="str">
        <f aca="false">IFERROR(IF([1]对账明细接口!$I$99=0,"",[1]对账明细接口!$I$99),"")</f>
        <v>个</v>
      </c>
      <c r="J99" s="61" t="str">
        <f aca="false">IFERROR(IF([1]对账明细接口!$J$99=0,"",[1]对账明细接口!$J$99),"")</f>
        <v/>
      </c>
      <c r="K99" s="61" t="n">
        <f aca="false">IFERROR(IF([1]对账明细接口!$K$99=0,"",[1]对账明细接口!$K$99),"")</f>
        <v>3780</v>
      </c>
      <c r="L99" s="59" t="str">
        <f aca="false">IFERROR(IF([1]对账明细接口!$L$99=0,"",[1]对账明细接口!$L$99),"")</f>
        <v>未付款</v>
      </c>
      <c r="M99" s="59" t="str">
        <f aca="false">IFERROR(IF([1]对账明细接口!$M$99=0,"",[1]对账明细接口!$M$99),"")</f>
        <v>NO:0017212</v>
      </c>
      <c r="N99" s="111" t="n">
        <f aca="false">IF($C99="",0,1)</f>
        <v>1</v>
      </c>
      <c r="O99" s="111" t="n">
        <f aca="false">N(O98)+$N99</f>
        <v>96</v>
      </c>
      <c r="S99" s="10" t="str">
        <f aca="false">IFERROR(IF([1]对账明细接口!$N99=0,"",[1]对账明细接口!$N99),"")</f>
        <v>公司红周转筐</v>
      </c>
      <c r="T99" s="112" t="str">
        <f aca="false">IFERROR(IF([1]对账明细接口!$O99=0,"",[1]对账明细接口!$O99),"")</f>
        <v/>
      </c>
      <c r="U99" s="112" t="str">
        <f aca="false">IFERROR(IF([1]对账明细接口!$P99=0,"",[1]对账明细接口!$P99),"")</f>
        <v/>
      </c>
      <c r="V99" s="112" t="n">
        <f aca="false">IFERROR(IF([1]对账明细接口!$Q99=0,"",[1]对账明细接口!$Q99),"")</f>
        <v>378</v>
      </c>
      <c r="W99" s="10" t="str">
        <f aca="false">IFERROR(IF([1]对账明细接口!$R99=0,"",[1]对账明细接口!$R99),"")</f>
        <v>新N*X8S48</v>
      </c>
      <c r="X99" s="10" t="str">
        <f aca="false">IFERROR(IF([1]对账明细接口!$S99=0,"",[1]对账明细接口!$S99),"")</f>
        <v>公司筐</v>
      </c>
      <c r="Y99" s="10" t="str">
        <f aca="false">""</f>
        <v/>
      </c>
      <c r="Z99" s="10" t="str">
        <f aca="false">""</f>
        <v/>
      </c>
      <c r="AA99" s="10" t="str">
        <f aca="false">""</f>
        <v/>
      </c>
      <c r="AB99" s="10" t="str">
        <f aca="false">""</f>
        <v/>
      </c>
    </row>
    <row r="100" customFormat="false" ht="13.5" hidden="false" customHeight="false" outlineLevel="0" collapsed="false">
      <c r="A100" s="109" t="n">
        <v>100</v>
      </c>
      <c r="B100" s="110" t="n">
        <f aca="false">IFERROR(IF([1]对账明细接口!$B$100=0,"",[1]对账明细接口!$B$100),"")</f>
        <v>46276</v>
      </c>
      <c r="C100" s="59" t="str">
        <f aca="false">IFERROR(IF([1]对账明细接口!$C$100=0,"",[1]对账明细接口!$C$100),"")</f>
        <v>吐尔洪</v>
      </c>
      <c r="D100" s="59" t="str">
        <f aca="false">IFERROR(IF([1]对账明细接口!$D$100=0,"",[1]对账明细接口!$D$100),"")</f>
        <v>周转筐－领用出库</v>
      </c>
      <c r="E100" s="59" t="str">
        <f aca="false">IFERROR(IF([1]对账明细接口!$E$100=0,"",[1]对账明细接口!$E$100),"")</f>
        <v>NO:0001122</v>
      </c>
      <c r="F100" s="59" t="str">
        <f aca="false">IFERROR(IF([1]对账明细接口!$F$100=0,"",[1]对账明细接口!$F$100),"")</f>
        <v>公司红周转筐</v>
      </c>
      <c r="G100" s="59" t="str">
        <f aca="false">IFERROR(IF([1]对账明细接口!$G$100=0,"",[1]对账明细接口!$G$100),"")</f>
        <v/>
      </c>
      <c r="H100" s="60" t="n">
        <f aca="false">IFERROR(IF([1]对账明细接口!$H$100=0,"",[1]对账明细接口!$H$100),"")</f>
        <v>378</v>
      </c>
      <c r="I100" s="59" t="str">
        <f aca="false">IFERROR(IF([1]对账明细接口!$I$100=0,"",[1]对账明细接口!$I$100),"")</f>
        <v>个</v>
      </c>
      <c r="J100" s="61" t="str">
        <f aca="false">IFERROR(IF([1]对账明细接口!$J$100=0,"",[1]对账明细接口!$J$100),"")</f>
        <v/>
      </c>
      <c r="K100" s="61" t="str">
        <f aca="false">IFERROR(IF([1]对账明细接口!$K$100=0,"",[1]对账明细接口!$K$100),"")</f>
        <v/>
      </c>
      <c r="L100" s="59" t="str">
        <f aca="false">IFERROR(IF([1]对账明细接口!$L$100=0,"",[1]对账明细接口!$L$100),"")</f>
        <v/>
      </c>
      <c r="M100" s="59" t="str">
        <f aca="false">IFERROR(IF([1]对账明细接口!$M$100=0,"",[1]对账明细接口!$M$100),"")</f>
        <v/>
      </c>
      <c r="N100" s="111" t="n">
        <f aca="false">IF($C100="",0,1)</f>
        <v>1</v>
      </c>
      <c r="O100" s="111" t="n">
        <f aca="false">N(O99)+$N100</f>
        <v>97</v>
      </c>
      <c r="S100" s="10" t="str">
        <f aca="false">IFERROR(IF([1]对账明细接口!$N100=0,"",[1]对账明细接口!$N100),"")</f>
        <v>公司红周转筐</v>
      </c>
      <c r="T100" s="112" t="n">
        <f aca="false">IFERROR(IF([1]对账明细接口!$O100=0,"",[1]对账明细接口!$O100),"")</f>
        <v>378</v>
      </c>
      <c r="U100" s="112" t="str">
        <f aca="false">IFERROR(IF([1]对账明细接口!$P100=0,"",[1]对账明细接口!$P100),"")</f>
        <v/>
      </c>
      <c r="V100" s="112" t="str">
        <f aca="false">IFERROR(IF([1]对账明细接口!$Q100=0,"",[1]对账明细接口!$Q100),"")</f>
        <v/>
      </c>
      <c r="W100" s="10" t="str">
        <f aca="false">IFERROR(IF([1]对账明细接口!$R100=0,"",[1]对账明细接口!$R100),"")</f>
        <v>新N*X8S48</v>
      </c>
      <c r="X100" s="10" t="str">
        <f aca="false">IFERROR(IF([1]对账明细接口!$S100=0,"",[1]对账明细接口!$S100),"")</f>
        <v>公司筐</v>
      </c>
      <c r="Y100" s="10" t="str">
        <f aca="false">""</f>
        <v/>
      </c>
      <c r="Z100" s="10" t="str">
        <f aca="false">""</f>
        <v/>
      </c>
      <c r="AA100" s="10" t="str">
        <f aca="false">""</f>
        <v/>
      </c>
      <c r="AB100" s="10" t="str">
        <f aca="false">""</f>
        <v/>
      </c>
    </row>
    <row r="101" customFormat="false" ht="13.5" hidden="false" customHeight="false" outlineLevel="0" collapsed="false">
      <c r="A101" s="109" t="n">
        <v>101</v>
      </c>
      <c r="B101" s="110" t="n">
        <f aca="false">IFERROR(IF([1]对账明细接口!$B$101=0,"",[1]对账明细接口!$B$101),"")</f>
        <v>46277</v>
      </c>
      <c r="C101" s="59" t="str">
        <f aca="false">IFERROR(IF([1]对账明细接口!$C$101=0,"",[1]对账明细接口!$C$101),"")</f>
        <v>王照雪</v>
      </c>
      <c r="D101" s="59" t="str">
        <f aca="false">IFERROR(IF([1]对账明细接口!$D$101=0,"",[1]对账明细接口!$D$101),"")</f>
        <v>周转筐－退回入库</v>
      </c>
      <c r="E101" s="59" t="str">
        <f aca="false">IFERROR(IF([1]对账明细接口!$E$101=0,"",[1]对账明细接口!$E$101),"")</f>
        <v>NO:0000789</v>
      </c>
      <c r="F101" s="59" t="str">
        <f aca="false">IFERROR(IF([1]对账明细接口!$F$101=0,"",[1]对账明细接口!$F$101),"")</f>
        <v>公司一次性筐</v>
      </c>
      <c r="G101" s="59" t="str">
        <f aca="false">IFERROR(IF([1]对账明细接口!$G$101=0,"",[1]对账明细接口!$G$101),"")</f>
        <v/>
      </c>
      <c r="H101" s="60" t="n">
        <f aca="false">IFERROR(IF([1]对账明细接口!$H$101=0,"",[1]对账明细接口!$H$101),"")</f>
        <v>1</v>
      </c>
      <c r="I101" s="59" t="str">
        <f aca="false">IFERROR(IF([1]对账明细接口!$I$101=0,"",[1]对账明细接口!$I$101),"")</f>
        <v>个</v>
      </c>
      <c r="J101" s="61" t="str">
        <f aca="false">IFERROR(IF([1]对账明细接口!$J$101=0,"",[1]对账明细接口!$J$101),"")</f>
        <v/>
      </c>
      <c r="K101" s="61" t="str">
        <f aca="false">IFERROR(IF([1]对账明细接口!$K$101=0,"",[1]对账明细接口!$K$101),"")</f>
        <v/>
      </c>
      <c r="L101" s="59" t="str">
        <f aca="false">IFERROR(IF([1]对账明细接口!$L$101=0,"",[1]对账明细接口!$L$101),"")</f>
        <v/>
      </c>
      <c r="M101" s="59" t="str">
        <f aca="false">IFERROR(IF([1]对账明细接口!$M$101=0,"",[1]对账明细接口!$M$101),"")</f>
        <v/>
      </c>
      <c r="N101" s="111" t="n">
        <f aca="false">IF($C101="",0,1)</f>
        <v>1</v>
      </c>
      <c r="O101" s="111" t="n">
        <f aca="false">N(O100)+$N101</f>
        <v>98</v>
      </c>
      <c r="S101" s="10" t="str">
        <f aca="false">IFERROR(IF([1]对账明细接口!$N101=0,"",[1]对账明细接口!$N101),"")</f>
        <v>公司一次性筐</v>
      </c>
      <c r="T101" s="112" t="str">
        <f aca="false">IFERROR(IF([1]对账明细接口!$O101=0,"",[1]对账明细接口!$O101),"")</f>
        <v/>
      </c>
      <c r="U101" s="112" t="n">
        <f aca="false">IFERROR(IF([1]对账明细接口!$P101=0,"",[1]对账明细接口!$P101),"")</f>
        <v>1</v>
      </c>
      <c r="V101" s="112" t="str">
        <f aca="false">IFERROR(IF([1]对账明细接口!$Q101=0,"",[1]对账明细接口!$Q101),"")</f>
        <v/>
      </c>
      <c r="W101" s="10" t="str">
        <f aca="false">IFERROR(IF([1]对账明细接口!$R101=0,"",[1]对账明细接口!$R101),"")</f>
        <v>豫L*88X19</v>
      </c>
      <c r="X101" s="10" t="str">
        <f aca="false">IFERROR(IF([1]对账明细接口!$S101=0,"",[1]对账明细接口!$S101),"")</f>
        <v>公司筐</v>
      </c>
      <c r="Y101" s="10" t="str">
        <f aca="false">""</f>
        <v/>
      </c>
      <c r="Z101" s="10" t="str">
        <f aca="false">""</f>
        <v/>
      </c>
      <c r="AA101" s="10" t="str">
        <f aca="false">""</f>
        <v/>
      </c>
      <c r="AB101" s="10" t="str">
        <f aca="false">""</f>
        <v/>
      </c>
    </row>
    <row r="102" customFormat="false" ht="13.5" hidden="false" customHeight="false" outlineLevel="0" collapsed="false">
      <c r="A102" s="109" t="n">
        <v>102</v>
      </c>
      <c r="B102" s="110" t="n">
        <f aca="false">IFERROR(IF([1]对账明细接口!$B$102=0,"",[1]对账明细接口!$B$102),"")</f>
        <v>46277</v>
      </c>
      <c r="C102" s="59" t="str">
        <f aca="false">IFERROR(IF([1]对账明细接口!$C$102=0,"",[1]对账明细接口!$C$102),"")</f>
        <v>王照雪</v>
      </c>
      <c r="D102" s="59" t="str">
        <f aca="false">IFERROR(IF([1]对账明细接口!$D$102=0,"",[1]对账明细接口!$D$102),"")</f>
        <v>周转筐－退回入库</v>
      </c>
      <c r="E102" s="59" t="str">
        <f aca="false">IFERROR(IF([1]对账明细接口!$E$102=0,"",[1]对账明细接口!$E$102),"")</f>
        <v>NO:0000792</v>
      </c>
      <c r="F102" s="59" t="str">
        <f aca="false">IFERROR(IF([1]对账明细接口!$F$102=0,"",[1]对账明细接口!$F$102),"")</f>
        <v>公司杂周转筐</v>
      </c>
      <c r="G102" s="59" t="str">
        <f aca="false">IFERROR(IF([1]对账明细接口!$G$102=0,"",[1]对账明细接口!$G$102),"")</f>
        <v/>
      </c>
      <c r="H102" s="60" t="n">
        <f aca="false">IFERROR(IF([1]对账明细接口!$H$102=0,"",[1]对账明细接口!$H$102),"")</f>
        <v>45</v>
      </c>
      <c r="I102" s="59" t="str">
        <f aca="false">IFERROR(IF([1]对账明细接口!$I$102=0,"",[1]对账明细接口!$I$102),"")</f>
        <v>个</v>
      </c>
      <c r="J102" s="61" t="str">
        <f aca="false">IFERROR(IF([1]对账明细接口!$J$102=0,"",[1]对账明细接口!$J$102),"")</f>
        <v/>
      </c>
      <c r="K102" s="61" t="str">
        <f aca="false">IFERROR(IF([1]对账明细接口!$K$102=0,"",[1]对账明细接口!$K$102),"")</f>
        <v/>
      </c>
      <c r="L102" s="59" t="str">
        <f aca="false">IFERROR(IF([1]对账明细接口!$L$102=0,"",[1]对账明细接口!$L$102),"")</f>
        <v/>
      </c>
      <c r="M102" s="59" t="str">
        <f aca="false">IFERROR(IF([1]对账明细接口!$M$102=0,"",[1]对账明细接口!$M$102),"")</f>
        <v/>
      </c>
      <c r="N102" s="111" t="n">
        <f aca="false">IF($C102="",0,1)</f>
        <v>1</v>
      </c>
      <c r="O102" s="111" t="n">
        <f aca="false">N(O101)+$N102</f>
        <v>99</v>
      </c>
      <c r="S102" s="10" t="str">
        <f aca="false">IFERROR(IF([1]对账明细接口!$N102=0,"",[1]对账明细接口!$N102),"")</f>
        <v>公司杂周转筐</v>
      </c>
      <c r="T102" s="112" t="str">
        <f aca="false">IFERROR(IF([1]对账明细接口!$O102=0,"",[1]对账明细接口!$O102),"")</f>
        <v/>
      </c>
      <c r="U102" s="112" t="n">
        <f aca="false">IFERROR(IF([1]对账明细接口!$P102=0,"",[1]对账明细接口!$P102),"")</f>
        <v>45</v>
      </c>
      <c r="V102" s="112" t="str">
        <f aca="false">IFERROR(IF([1]对账明细接口!$Q102=0,"",[1]对账明细接口!$Q102),"")</f>
        <v/>
      </c>
      <c r="W102" s="10" t="str">
        <f aca="false">IFERROR(IF([1]对账明细接口!$R102=0,"",[1]对账明细接口!$R102),"")</f>
        <v>豫L*88X19</v>
      </c>
      <c r="X102" s="10" t="str">
        <f aca="false">IFERROR(IF([1]对账明细接口!$S102=0,"",[1]对账明细接口!$S102),"")</f>
        <v>公司筐</v>
      </c>
      <c r="Y102" s="10" t="str">
        <f aca="false">""</f>
        <v/>
      </c>
      <c r="Z102" s="10" t="str">
        <f aca="false">""</f>
        <v/>
      </c>
      <c r="AA102" s="10" t="str">
        <f aca="false">""</f>
        <v/>
      </c>
      <c r="AB102" s="10" t="str">
        <f aca="false">""</f>
        <v/>
      </c>
    </row>
    <row r="103" customFormat="false" ht="13.5" hidden="false" customHeight="false" outlineLevel="0" collapsed="false">
      <c r="A103" s="109" t="n">
        <v>103</v>
      </c>
      <c r="B103" s="110" t="n">
        <f aca="false">IFERROR(IF([1]对账明细接口!$B$103=0,"",[1]对账明细接口!$B$103),"")</f>
        <v>46277</v>
      </c>
      <c r="C103" s="59" t="str">
        <f aca="false">IFERROR(IF([1]对账明细接口!$C$103=0,"",[1]对账明细接口!$C$103),"")</f>
        <v>全修塑业</v>
      </c>
      <c r="D103" s="59" t="str">
        <f aca="false">IFERROR(IF([1]对账明细接口!$D$103=0,"",[1]对账明细接口!$D$103),"")</f>
        <v>周转筐－采购入库</v>
      </c>
      <c r="E103" s="59" t="str">
        <f aca="false">IFERROR(IF([1]对账明细接口!$E$103=0,"",[1]对账明细接口!$E$103),"")</f>
        <v>NO:0000795</v>
      </c>
      <c r="F103" s="59" t="str">
        <f aca="false">IFERROR(IF([1]对账明细接口!$F$103=0,"",[1]对账明细接口!$F$103),"")</f>
        <v>公司红周转筐</v>
      </c>
      <c r="G103" s="59" t="str">
        <f aca="false">IFERROR(IF([1]对账明细接口!$G$103=0,"",[1]对账明细接口!$G$103),"")</f>
        <v/>
      </c>
      <c r="H103" s="60" t="n">
        <f aca="false">IFERROR(IF([1]对账明细接口!$H$103=0,"",[1]对账明细接口!$H$103),"")</f>
        <v>846</v>
      </c>
      <c r="I103" s="59" t="str">
        <f aca="false">IFERROR(IF([1]对账明细接口!$I$103=0,"",[1]对账明细接口!$I$103),"")</f>
        <v>个</v>
      </c>
      <c r="J103" s="61" t="str">
        <f aca="false">IFERROR(IF([1]对账明细接口!$J$103=0,"",[1]对账明细接口!$J$103),"")</f>
        <v/>
      </c>
      <c r="K103" s="61" t="n">
        <f aca="false">IFERROR(IF([1]对账明细接口!$K$103=0,"",[1]对账明细接口!$K$103),"")</f>
        <v>8460</v>
      </c>
      <c r="L103" s="59" t="str">
        <f aca="false">IFERROR(IF([1]对账明细接口!$L$103=0,"",[1]对账明细接口!$L$103),"")</f>
        <v>未付款</v>
      </c>
      <c r="M103" s="59" t="str">
        <f aca="false">IFERROR(IF([1]对账明细接口!$M$103=0,"",[1]对账明细接口!$M$103),"")</f>
        <v>NO:0017213</v>
      </c>
      <c r="N103" s="111" t="n">
        <f aca="false">IF($C103="",0,1)</f>
        <v>1</v>
      </c>
      <c r="O103" s="111" t="n">
        <f aca="false">N(O102)+$N103</f>
        <v>100</v>
      </c>
      <c r="S103" s="10" t="str">
        <f aca="false">IFERROR(IF([1]对账明细接口!$N103=0,"",[1]对账明细接口!$N103),"")</f>
        <v>公司红周转筐</v>
      </c>
      <c r="T103" s="112" t="str">
        <f aca="false">IFERROR(IF([1]对账明细接口!$O103=0,"",[1]对账明细接口!$O103),"")</f>
        <v/>
      </c>
      <c r="U103" s="112" t="str">
        <f aca="false">IFERROR(IF([1]对账明细接口!$P103=0,"",[1]对账明细接口!$P103),"")</f>
        <v/>
      </c>
      <c r="V103" s="112" t="n">
        <f aca="false">IFERROR(IF([1]对账明细接口!$Q103=0,"",[1]对账明细接口!$Q103),"")</f>
        <v>846</v>
      </c>
      <c r="W103" s="10" t="str">
        <f aca="false">IFERROR(IF([1]对账明细接口!$R103=0,"",[1]对账明细接口!$R103),"")</f>
        <v>新A*G0554</v>
      </c>
      <c r="X103" s="10" t="str">
        <f aca="false">IFERROR(IF([1]对账明细接口!$S103=0,"",[1]对账明细接口!$S103),"")</f>
        <v>公司筐</v>
      </c>
      <c r="Y103" s="10" t="str">
        <f aca="false">""</f>
        <v/>
      </c>
      <c r="Z103" s="10" t="str">
        <f aca="false">""</f>
        <v/>
      </c>
      <c r="AA103" s="10" t="str">
        <f aca="false">""</f>
        <v/>
      </c>
      <c r="AB103" s="10" t="str">
        <f aca="false">""</f>
        <v/>
      </c>
    </row>
    <row r="104" customFormat="false" ht="13.5" hidden="false" customHeight="false" outlineLevel="0" collapsed="false">
      <c r="A104" s="109" t="n">
        <v>104</v>
      </c>
      <c r="B104" s="110" t="n">
        <f aca="false">IFERROR(IF([1]对账明细接口!$B$104=0,"",[1]对账明细接口!$B$104),"")</f>
        <v>46277</v>
      </c>
      <c r="C104" s="59" t="str">
        <f aca="false">IFERROR(IF([1]对账明细接口!$C$104=0,"",[1]对账明细接口!$C$104),"")</f>
        <v>麦麦提</v>
      </c>
      <c r="D104" s="59" t="str">
        <f aca="false">IFERROR(IF([1]对账明细接口!$D$104=0,"",[1]对账明细接口!$D$104),"")</f>
        <v>周转筐－领用出库</v>
      </c>
      <c r="E104" s="59" t="str">
        <f aca="false">IFERROR(IF([1]对账明细接口!$E$104=0,"",[1]对账明细接口!$E$104),"")</f>
        <v>NO:0001125</v>
      </c>
      <c r="F104" s="59" t="str">
        <f aca="false">IFERROR(IF([1]对账明细接口!$F$104=0,"",[1]对账明细接口!$F$104),"")</f>
        <v>公司红周转筐</v>
      </c>
      <c r="G104" s="59" t="str">
        <f aca="false">IFERROR(IF([1]对账明细接口!$G$104=0,"",[1]对账明细接口!$G$104),"")</f>
        <v/>
      </c>
      <c r="H104" s="60" t="n">
        <f aca="false">IFERROR(IF([1]对账明细接口!$H$104=0,"",[1]对账明细接口!$H$104),"")</f>
        <v>846</v>
      </c>
      <c r="I104" s="59" t="str">
        <f aca="false">IFERROR(IF([1]对账明细接口!$I$104=0,"",[1]对账明细接口!$I$104),"")</f>
        <v>个</v>
      </c>
      <c r="J104" s="61" t="str">
        <f aca="false">IFERROR(IF([1]对账明细接口!$J$104=0,"",[1]对账明细接口!$J$104),"")</f>
        <v/>
      </c>
      <c r="K104" s="61" t="str">
        <f aca="false">IFERROR(IF([1]对账明细接口!$K$104=0,"",[1]对账明细接口!$K$104),"")</f>
        <v/>
      </c>
      <c r="L104" s="59" t="str">
        <f aca="false">IFERROR(IF([1]对账明细接口!$L$104=0,"",[1]对账明细接口!$L$104),"")</f>
        <v/>
      </c>
      <c r="M104" s="59" t="str">
        <f aca="false">IFERROR(IF([1]对账明细接口!$M$104=0,"",[1]对账明细接口!$M$104),"")</f>
        <v/>
      </c>
      <c r="N104" s="111" t="n">
        <f aca="false">IF($C104="",0,1)</f>
        <v>1</v>
      </c>
      <c r="O104" s="111" t="n">
        <f aca="false">N(O103)+$N104</f>
        <v>101</v>
      </c>
      <c r="S104" s="10" t="str">
        <f aca="false">IFERROR(IF([1]对账明细接口!$N104=0,"",[1]对账明细接口!$N104),"")</f>
        <v>公司红周转筐</v>
      </c>
      <c r="T104" s="112" t="n">
        <f aca="false">IFERROR(IF([1]对账明细接口!$O104=0,"",[1]对账明细接口!$O104),"")</f>
        <v>846</v>
      </c>
      <c r="U104" s="112" t="str">
        <f aca="false">IFERROR(IF([1]对账明细接口!$P104=0,"",[1]对账明细接口!$P104),"")</f>
        <v/>
      </c>
      <c r="V104" s="112" t="str">
        <f aca="false">IFERROR(IF([1]对账明细接口!$Q104=0,"",[1]对账明细接口!$Q104),"")</f>
        <v/>
      </c>
      <c r="W104" s="10" t="str">
        <f aca="false">IFERROR(IF([1]对账明细接口!$R104=0,"",[1]对账明细接口!$R104),"")</f>
        <v>新A*G0555</v>
      </c>
      <c r="X104" s="10" t="str">
        <f aca="false">IFERROR(IF([1]对账明细接口!$S104=0,"",[1]对账明细接口!$S104),"")</f>
        <v>公司筐</v>
      </c>
      <c r="Y104" s="10" t="str">
        <f aca="false">""</f>
        <v/>
      </c>
      <c r="Z104" s="10" t="str">
        <f aca="false">""</f>
        <v/>
      </c>
      <c r="AA104" s="10" t="str">
        <f aca="false">""</f>
        <v/>
      </c>
      <c r="AB104" s="10" t="str">
        <f aca="false">""</f>
        <v/>
      </c>
    </row>
    <row r="105" customFormat="false" ht="13.5" hidden="false" customHeight="false" outlineLevel="0" collapsed="false">
      <c r="A105" s="109" t="n">
        <v>105</v>
      </c>
      <c r="B105" s="110" t="n">
        <f aca="false">IFERROR(IF([1]对账明细接口!$B$105=0,"",[1]对账明细接口!$B$105),"")</f>
        <v>46278</v>
      </c>
      <c r="C105" s="59" t="str">
        <f aca="false">IFERROR(IF([1]对账明细接口!$C$105=0,"",[1]对账明细接口!$C$105),"")</f>
        <v>全修塑业</v>
      </c>
      <c r="D105" s="59" t="str">
        <f aca="false">IFERROR(IF([1]对账明细接口!$D$105=0,"",[1]对账明细接口!$D$105),"")</f>
        <v>周转筐－采购入库</v>
      </c>
      <c r="E105" s="59" t="str">
        <f aca="false">IFERROR(IF([1]对账明细接口!$E$105=0,"",[1]对账明细接口!$E$105),"")</f>
        <v>NO:0000798</v>
      </c>
      <c r="F105" s="59" t="str">
        <f aca="false">IFERROR(IF([1]对账明细接口!$F$105=0,"",[1]对账明细接口!$F$105),"")</f>
        <v>公司红周转筐</v>
      </c>
      <c r="G105" s="59" t="str">
        <f aca="false">IFERROR(IF([1]对账明细接口!$G$105=0,"",[1]对账明细接口!$G$105),"")</f>
        <v/>
      </c>
      <c r="H105" s="60" t="n">
        <f aca="false">IFERROR(IF([1]对账明细接口!$H$105=0,"",[1]对账明细接口!$H$105),"")</f>
        <v>960</v>
      </c>
      <c r="I105" s="59" t="str">
        <f aca="false">IFERROR(IF([1]对账明细接口!$I$105=0,"",[1]对账明细接口!$I$105),"")</f>
        <v>个</v>
      </c>
      <c r="J105" s="61" t="str">
        <f aca="false">IFERROR(IF([1]对账明细接口!$J$105=0,"",[1]对账明细接口!$J$105),"")</f>
        <v/>
      </c>
      <c r="K105" s="61" t="n">
        <f aca="false">IFERROR(IF([1]对账明细接口!$K$105=0,"",[1]对账明细接口!$K$105),"")</f>
        <v>9600</v>
      </c>
      <c r="L105" s="59" t="str">
        <f aca="false">IFERROR(IF([1]对账明细接口!$L$105=0,"",[1]对账明细接口!$L$105),"")</f>
        <v>未付款</v>
      </c>
      <c r="M105" s="59" t="str">
        <f aca="false">IFERROR(IF([1]对账明细接口!$M$105=0,"",[1]对账明细接口!$M$105),"")</f>
        <v>NO:0017215</v>
      </c>
      <c r="N105" s="111" t="n">
        <f aca="false">IF($C105="",0,1)</f>
        <v>1</v>
      </c>
      <c r="O105" s="111" t="n">
        <f aca="false">N(O104)+$N105</f>
        <v>102</v>
      </c>
      <c r="S105" s="10" t="str">
        <f aca="false">IFERROR(IF([1]对账明细接口!$N105=0,"",[1]对账明细接口!$N105),"")</f>
        <v>公司红周转筐</v>
      </c>
      <c r="T105" s="112" t="str">
        <f aca="false">IFERROR(IF([1]对账明细接口!$O105=0,"",[1]对账明细接口!$O105),"")</f>
        <v/>
      </c>
      <c r="U105" s="112" t="str">
        <f aca="false">IFERROR(IF([1]对账明细接口!$P105=0,"",[1]对账明细接口!$P105),"")</f>
        <v/>
      </c>
      <c r="V105" s="112" t="n">
        <f aca="false">IFERROR(IF([1]对账明细接口!$Q105=0,"",[1]对账明细接口!$Q105),"")</f>
        <v>960</v>
      </c>
      <c r="W105" s="10" t="str">
        <f aca="false">IFERROR(IF([1]对账明细接口!$R105=0,"",[1]对账明细接口!$R105),"")</f>
        <v>新N*49209</v>
      </c>
      <c r="X105" s="10" t="str">
        <f aca="false">IFERROR(IF([1]对账明细接口!$S105=0,"",[1]对账明细接口!$S105),"")</f>
        <v>公司筐</v>
      </c>
      <c r="Y105" s="10" t="str">
        <f aca="false">""</f>
        <v/>
      </c>
      <c r="Z105" s="10" t="str">
        <f aca="false">""</f>
        <v/>
      </c>
      <c r="AA105" s="10" t="str">
        <f aca="false">""</f>
        <v/>
      </c>
      <c r="AB105" s="10" t="str">
        <f aca="false">""</f>
        <v/>
      </c>
    </row>
    <row r="106" customFormat="false" ht="13.5" hidden="false" customHeight="false" outlineLevel="0" collapsed="false">
      <c r="A106" s="109" t="n">
        <v>106</v>
      </c>
      <c r="B106" s="110" t="n">
        <f aca="false">IFERROR(IF([1]对账明细接口!$B$106=0,"",[1]对账明细接口!$B$106),"")</f>
        <v>46278</v>
      </c>
      <c r="C106" s="59" t="str">
        <f aca="false">IFERROR(IF([1]对账明细接口!$C$106=0,"",[1]对账明细接口!$C$106),"")</f>
        <v>王照雪</v>
      </c>
      <c r="D106" s="59" t="str">
        <f aca="false">IFERROR(IF([1]对账明细接口!$D$106=0,"",[1]对账明细接口!$D$106),"")</f>
        <v>周转筐－领用出库</v>
      </c>
      <c r="E106" s="59" t="str">
        <f aca="false">IFERROR(IF([1]对账明细接口!$E$106=0,"",[1]对账明细接口!$E$106),"")</f>
        <v>NO:0001129</v>
      </c>
      <c r="F106" s="59" t="str">
        <f aca="false">IFERROR(IF([1]对账明细接口!$F$106=0,"",[1]对账明细接口!$F$106),"")</f>
        <v>公司杂周转筐</v>
      </c>
      <c r="G106" s="59" t="str">
        <f aca="false">IFERROR(IF([1]对账明细接口!$G$106=0,"",[1]对账明细接口!$G$106),"")</f>
        <v/>
      </c>
      <c r="H106" s="60" t="n">
        <f aca="false">IFERROR(IF([1]对账明细接口!$H$106=0,"",[1]对账明细接口!$H$106),"")</f>
        <v>423</v>
      </c>
      <c r="I106" s="59" t="str">
        <f aca="false">IFERROR(IF([1]对账明细接口!$I$106=0,"",[1]对账明细接口!$I$106),"")</f>
        <v>个</v>
      </c>
      <c r="J106" s="61" t="str">
        <f aca="false">IFERROR(IF([1]对账明细接口!$J$106=0,"",[1]对账明细接口!$J$106),"")</f>
        <v/>
      </c>
      <c r="K106" s="61" t="str">
        <f aca="false">IFERROR(IF([1]对账明细接口!$K$106=0,"",[1]对账明细接口!$K$106),"")</f>
        <v/>
      </c>
      <c r="L106" s="59" t="str">
        <f aca="false">IFERROR(IF([1]对账明细接口!$L$106=0,"",[1]对账明细接口!$L$106),"")</f>
        <v/>
      </c>
      <c r="M106" s="59" t="str">
        <f aca="false">IFERROR(IF([1]对账明细接口!$M$106=0,"",[1]对账明细接口!$M$106),"")</f>
        <v/>
      </c>
      <c r="N106" s="111" t="n">
        <f aca="false">IF($C106="",0,1)</f>
        <v>1</v>
      </c>
      <c r="O106" s="111" t="n">
        <f aca="false">N(O105)+$N106</f>
        <v>103</v>
      </c>
      <c r="S106" s="10" t="str">
        <f aca="false">IFERROR(IF([1]对账明细接口!$N106=0,"",[1]对账明细接口!$N106),"")</f>
        <v>公司杂周转筐</v>
      </c>
      <c r="T106" s="112" t="n">
        <f aca="false">IFERROR(IF([1]对账明细接口!$O106=0,"",[1]对账明细接口!$O106),"")</f>
        <v>423</v>
      </c>
      <c r="U106" s="112" t="str">
        <f aca="false">IFERROR(IF([1]对账明细接口!$P106=0,"",[1]对账明细接口!$P106),"")</f>
        <v/>
      </c>
      <c r="V106" s="112" t="str">
        <f aca="false">IFERROR(IF([1]对账明细接口!$Q106=0,"",[1]对账明细接口!$Q106),"")</f>
        <v/>
      </c>
      <c r="W106" s="10" t="str">
        <f aca="false">IFERROR(IF([1]对账明细接口!$R106=0,"",[1]对账明细接口!$R106),"")</f>
        <v>豫L*88X19</v>
      </c>
      <c r="X106" s="10" t="str">
        <f aca="false">IFERROR(IF([1]对账明细接口!$S106=0,"",[1]对账明细接口!$S106),"")</f>
        <v>公司筐</v>
      </c>
      <c r="Y106" s="10" t="str">
        <f aca="false">""</f>
        <v/>
      </c>
      <c r="Z106" s="10" t="str">
        <f aca="false">""</f>
        <v/>
      </c>
      <c r="AA106" s="10" t="str">
        <f aca="false">""</f>
        <v/>
      </c>
      <c r="AB106" s="10" t="str">
        <f aca="false">""</f>
        <v/>
      </c>
    </row>
    <row r="107" customFormat="false" ht="13.5" hidden="false" customHeight="false" outlineLevel="0" collapsed="false">
      <c r="A107" s="109" t="n">
        <v>107</v>
      </c>
      <c r="B107" s="110" t="n">
        <f aca="false">IFERROR(IF([1]对账明细接口!$B$107=0,"",[1]对账明细接口!$B$107),"")</f>
        <v>46278</v>
      </c>
      <c r="C107" s="59" t="str">
        <f aca="false">IFERROR(IF([1]对账明细接口!$C$107=0,"",[1]对账明细接口!$C$107),"")</f>
        <v>王灵云</v>
      </c>
      <c r="D107" s="59" t="str">
        <f aca="false">IFERROR(IF([1]对账明细接口!$D$107=0,"",[1]对账明细接口!$D$107),"")</f>
        <v>周转筐－领用出库</v>
      </c>
      <c r="E107" s="59" t="str">
        <f aca="false">IFERROR(IF([1]对账明细接口!$E$107=0,"",[1]对账明细接口!$E$107),"")</f>
        <v>NO:0001130</v>
      </c>
      <c r="F107" s="59" t="str">
        <f aca="false">IFERROR(IF([1]对账明细接口!$F$107=0,"",[1]对账明细接口!$F$107),"")</f>
        <v>公司红周转筐</v>
      </c>
      <c r="G107" s="59" t="str">
        <f aca="false">IFERROR(IF([1]对账明细接口!$G$107=0,"",[1]对账明细接口!$G$107),"")</f>
        <v/>
      </c>
      <c r="H107" s="60" t="n">
        <f aca="false">IFERROR(IF([1]对账明细接口!$H$107=0,"",[1]对账明细接口!$H$107),"")</f>
        <v>960</v>
      </c>
      <c r="I107" s="59" t="str">
        <f aca="false">IFERROR(IF([1]对账明细接口!$I$107=0,"",[1]对账明细接口!$I$107),"")</f>
        <v>个</v>
      </c>
      <c r="J107" s="61" t="str">
        <f aca="false">IFERROR(IF([1]对账明细接口!$J$107=0,"",[1]对账明细接口!$J$107),"")</f>
        <v/>
      </c>
      <c r="K107" s="61" t="str">
        <f aca="false">IFERROR(IF([1]对账明细接口!$K$107=0,"",[1]对账明细接口!$K$107),"")</f>
        <v/>
      </c>
      <c r="L107" s="59" t="str">
        <f aca="false">IFERROR(IF([1]对账明细接口!$L$107=0,"",[1]对账明细接口!$L$107),"")</f>
        <v/>
      </c>
      <c r="M107" s="59" t="str">
        <f aca="false">IFERROR(IF([1]对账明细接口!$M$107=0,"",[1]对账明细接口!$M$107),"")</f>
        <v/>
      </c>
      <c r="N107" s="111" t="n">
        <f aca="false">IF($C107="",0,1)</f>
        <v>1</v>
      </c>
      <c r="O107" s="111" t="n">
        <f aca="false">N(O106)+$N107</f>
        <v>104</v>
      </c>
      <c r="S107" s="10" t="str">
        <f aca="false">IFERROR(IF([1]对账明细接口!$N107=0,"",[1]对账明细接口!$N107),"")</f>
        <v>公司红周转筐</v>
      </c>
      <c r="T107" s="112" t="n">
        <f aca="false">IFERROR(IF([1]对账明细接口!$O107=0,"",[1]对账明细接口!$O107),"")</f>
        <v>960</v>
      </c>
      <c r="U107" s="112" t="str">
        <f aca="false">IFERROR(IF([1]对账明细接口!$P107=0,"",[1]对账明细接口!$P107),"")</f>
        <v/>
      </c>
      <c r="V107" s="112" t="str">
        <f aca="false">IFERROR(IF([1]对账明细接口!$Q107=0,"",[1]对账明细接口!$Q107),"")</f>
        <v/>
      </c>
      <c r="W107" s="10" t="str">
        <f aca="false">IFERROR(IF([1]对账明细接口!$R107=0,"",[1]对账明细接口!$R107),"")</f>
        <v>新N*49209</v>
      </c>
      <c r="X107" s="10" t="str">
        <f aca="false">IFERROR(IF([1]对账明细接口!$S107=0,"",[1]对账明细接口!$S107),"")</f>
        <v>公司筐</v>
      </c>
      <c r="Y107" s="10" t="str">
        <f aca="false">""</f>
        <v/>
      </c>
      <c r="Z107" s="10" t="str">
        <f aca="false">""</f>
        <v/>
      </c>
      <c r="AA107" s="10" t="str">
        <f aca="false">""</f>
        <v/>
      </c>
      <c r="AB107" s="10" t="str">
        <f aca="false">""</f>
        <v/>
      </c>
    </row>
    <row r="108" customFormat="false" ht="13.5" hidden="false" customHeight="false" outlineLevel="0" collapsed="false">
      <c r="A108" s="109" t="n">
        <v>108</v>
      </c>
      <c r="B108" s="110" t="n">
        <f aca="false">IFERROR(IF([1]对账明细接口!$B$108=0,"",[1]对账明细接口!$B$108),"")</f>
        <v>46278</v>
      </c>
      <c r="C108" s="59" t="str">
        <f aca="false">IFERROR(IF([1]对账明细接口!$C$108=0,"",[1]对账明细接口!$C$108),"")</f>
        <v>马锦祥</v>
      </c>
      <c r="D108" s="59" t="str">
        <f aca="false">IFERROR(IF([1]对账明细接口!$D$108=0,"",[1]对账明细接口!$D$108),"")</f>
        <v>周转筐－领用出库</v>
      </c>
      <c r="E108" s="59" t="str">
        <f aca="false">IFERROR(IF([1]对账明细接口!$E$108=0,"",[1]对账明细接口!$E$108),"")</f>
        <v>NO:0001131</v>
      </c>
      <c r="F108" s="59" t="str">
        <f aca="false">IFERROR(IF([1]对账明细接口!$F$108=0,"",[1]对账明细接口!$F$108),"")</f>
        <v>公司杂周转筐</v>
      </c>
      <c r="G108" s="59" t="str">
        <f aca="false">IFERROR(IF([1]对账明细接口!$G$108=0,"",[1]对账明细接口!$G$108),"")</f>
        <v/>
      </c>
      <c r="H108" s="60" t="n">
        <f aca="false">IFERROR(IF([1]对账明细接口!$H$108=0,"",[1]对账明细接口!$H$108),"")</f>
        <v>588</v>
      </c>
      <c r="I108" s="59" t="str">
        <f aca="false">IFERROR(IF([1]对账明细接口!$I$108=0,"",[1]对账明细接口!$I$108),"")</f>
        <v>个</v>
      </c>
      <c r="J108" s="61" t="str">
        <f aca="false">IFERROR(IF([1]对账明细接口!$J$108=0,"",[1]对账明细接口!$J$108),"")</f>
        <v/>
      </c>
      <c r="K108" s="61" t="str">
        <f aca="false">IFERROR(IF([1]对账明细接口!$K$108=0,"",[1]对账明细接口!$K$108),"")</f>
        <v/>
      </c>
      <c r="L108" s="59" t="str">
        <f aca="false">IFERROR(IF([1]对账明细接口!$L$108=0,"",[1]对账明细接口!$L$108),"")</f>
        <v/>
      </c>
      <c r="M108" s="59" t="str">
        <f aca="false">IFERROR(IF([1]对账明细接口!$M$108=0,"",[1]对账明细接口!$M$108),"")</f>
        <v/>
      </c>
      <c r="N108" s="111" t="n">
        <f aca="false">IF($C108="",0,1)</f>
        <v>1</v>
      </c>
      <c r="O108" s="111" t="n">
        <f aca="false">N(O107)+$N108</f>
        <v>105</v>
      </c>
      <c r="S108" s="10" t="str">
        <f aca="false">IFERROR(IF([1]对账明细接口!$N108=0,"",[1]对账明细接口!$N108),"")</f>
        <v>公司杂周转筐</v>
      </c>
      <c r="T108" s="112" t="n">
        <f aca="false">IFERROR(IF([1]对账明细接口!$O108=0,"",[1]对账明细接口!$O108),"")</f>
        <v>588</v>
      </c>
      <c r="U108" s="112" t="str">
        <f aca="false">IFERROR(IF([1]对账明细接口!$P108=0,"",[1]对账明细接口!$P108),"")</f>
        <v/>
      </c>
      <c r="V108" s="112" t="str">
        <f aca="false">IFERROR(IF([1]对账明细接口!$Q108=0,"",[1]对账明细接口!$Q108),"")</f>
        <v/>
      </c>
      <c r="W108" s="10" t="str">
        <f aca="false">IFERROR(IF([1]对账明细接口!$R108=0,"",[1]对账明细接口!$R108),"")</f>
        <v>新N*K7V85</v>
      </c>
      <c r="X108" s="10" t="str">
        <f aca="false">IFERROR(IF([1]对账明细接口!$S108=0,"",[1]对账明细接口!$S108),"")</f>
        <v>公司筐</v>
      </c>
      <c r="Y108" s="10" t="str">
        <f aca="false">""</f>
        <v/>
      </c>
      <c r="Z108" s="10" t="str">
        <f aca="false">""</f>
        <v/>
      </c>
      <c r="AA108" s="10" t="str">
        <f aca="false">""</f>
        <v/>
      </c>
      <c r="AB108" s="10" t="str">
        <f aca="false">""</f>
        <v/>
      </c>
    </row>
    <row r="109" customFormat="false" ht="13.5" hidden="false" customHeight="false" outlineLevel="0" collapsed="false">
      <c r="A109" s="109" t="n">
        <v>109</v>
      </c>
      <c r="B109" s="110" t="n">
        <f aca="false">IFERROR(IF([1]对账明细接口!$B$109=0,"",[1]对账明细接口!$B$109),"")</f>
        <v>46278</v>
      </c>
      <c r="C109" s="59" t="str">
        <f aca="false">IFERROR(IF([1]对账明细接口!$C$109=0,"",[1]对账明细接口!$C$109),"")</f>
        <v>全修塑业</v>
      </c>
      <c r="D109" s="59" t="str">
        <f aca="false">IFERROR(IF([1]对账明细接口!$D$109=0,"",[1]对账明细接口!$D$109),"")</f>
        <v>周转筐－采购入库</v>
      </c>
      <c r="E109" s="59" t="str">
        <f aca="false">IFERROR(IF([1]对账明细接口!$E$109=0,"",[1]对账明细接口!$E$109),"")</f>
        <v>NO:0000853</v>
      </c>
      <c r="F109" s="59" t="str">
        <f aca="false">IFERROR(IF([1]对账明细接口!$F$109=0,"",[1]对账明细接口!$F$109),"")</f>
        <v>公司红周转筐</v>
      </c>
      <c r="G109" s="59" t="str">
        <f aca="false">IFERROR(IF([1]对账明细接口!$G$109=0,"",[1]对账明细接口!$G$109),"")</f>
        <v/>
      </c>
      <c r="H109" s="60" t="n">
        <f aca="false">IFERROR(IF([1]对账明细接口!$H$109=0,"",[1]对账明细接口!$H$109),"")</f>
        <v>960</v>
      </c>
      <c r="I109" s="59" t="str">
        <f aca="false">IFERROR(IF([1]对账明细接口!$I$109=0,"",[1]对账明细接口!$I$109),"")</f>
        <v>个</v>
      </c>
      <c r="J109" s="61" t="str">
        <f aca="false">IFERROR(IF([1]对账明细接口!$J$109=0,"",[1]对账明细接口!$J$109),"")</f>
        <v/>
      </c>
      <c r="K109" s="61" t="n">
        <f aca="false">IFERROR(IF([1]对账明细接口!$K$109=0,"",[1]对账明细接口!$K$109),"")</f>
        <v>9600</v>
      </c>
      <c r="L109" s="59" t="str">
        <f aca="false">IFERROR(IF([1]对账明细接口!$L$109=0,"",[1]对账明细接口!$L$109),"")</f>
        <v>未付款</v>
      </c>
      <c r="M109" s="59" t="str">
        <f aca="false">IFERROR(IF([1]对账明细接口!$M$109=0,"",[1]对账明细接口!$M$109),"")</f>
        <v>NO:0017217</v>
      </c>
      <c r="N109" s="111" t="n">
        <f aca="false">IF($C109="",0,1)</f>
        <v>1</v>
      </c>
      <c r="O109" s="111" t="n">
        <f aca="false">N(O108)+$N109</f>
        <v>106</v>
      </c>
      <c r="S109" s="10" t="str">
        <f aca="false">IFERROR(IF([1]对账明细接口!$N109=0,"",[1]对账明细接口!$N109),"")</f>
        <v>公司红周转筐</v>
      </c>
      <c r="T109" s="112" t="str">
        <f aca="false">IFERROR(IF([1]对账明细接口!$O109=0,"",[1]对账明细接口!$O109),"")</f>
        <v/>
      </c>
      <c r="U109" s="112" t="str">
        <f aca="false">IFERROR(IF([1]对账明细接口!$P109=0,"",[1]对账明细接口!$P109),"")</f>
        <v/>
      </c>
      <c r="V109" s="112" t="n">
        <f aca="false">IFERROR(IF([1]对账明细接口!$Q109=0,"",[1]对账明细接口!$Q109),"")</f>
        <v>960</v>
      </c>
      <c r="W109" s="10" t="str">
        <f aca="false">IFERROR(IF([1]对账明细接口!$R109=0,"",[1]对账明细接口!$R109),"")</f>
        <v>新N*49209</v>
      </c>
      <c r="X109" s="10" t="str">
        <f aca="false">IFERROR(IF([1]对账明细接口!$S109=0,"",[1]对账明细接口!$S109),"")</f>
        <v>公司筐</v>
      </c>
      <c r="Y109" s="10" t="str">
        <f aca="false">""</f>
        <v/>
      </c>
      <c r="Z109" s="10" t="str">
        <f aca="false">""</f>
        <v/>
      </c>
      <c r="AA109" s="10" t="str">
        <f aca="false">""</f>
        <v/>
      </c>
      <c r="AB109" s="10" t="str">
        <f aca="false">""</f>
        <v/>
      </c>
    </row>
    <row r="110" customFormat="false" ht="13.5" hidden="false" customHeight="false" outlineLevel="0" collapsed="false">
      <c r="A110" s="109" t="n">
        <v>110</v>
      </c>
      <c r="B110" s="110" t="n">
        <f aca="false">IFERROR(IF([1]对账明细接口!$B$110=0,"",[1]对账明细接口!$B$110),"")</f>
        <v>46278</v>
      </c>
      <c r="C110" s="59" t="str">
        <f aca="false">IFERROR(IF([1]对账明细接口!$C$110=0,"",[1]对账明细接口!$C$110),"")</f>
        <v>王灵云</v>
      </c>
      <c r="D110" s="59" t="str">
        <f aca="false">IFERROR(IF([1]对账明细接口!$D$110=0,"",[1]对账明细接口!$D$110),"")</f>
        <v>周转筐－领用出库</v>
      </c>
      <c r="E110" s="59" t="str">
        <f aca="false">IFERROR(IF([1]对账明细接口!$E$110=0,"",[1]对账明细接口!$E$110),"")</f>
        <v>NO:0001135</v>
      </c>
      <c r="F110" s="59" t="str">
        <f aca="false">IFERROR(IF([1]对账明细接口!$F$110=0,"",[1]对账明细接口!$F$110),"")</f>
        <v>公司红周转筐</v>
      </c>
      <c r="G110" s="59" t="str">
        <f aca="false">IFERROR(IF([1]对账明细接口!$G$110=0,"",[1]对账明细接口!$G$110),"")</f>
        <v/>
      </c>
      <c r="H110" s="60" t="n">
        <f aca="false">IFERROR(IF([1]对账明细接口!$H$110=0,"",[1]对账明细接口!$H$110),"")</f>
        <v>960</v>
      </c>
      <c r="I110" s="59" t="str">
        <f aca="false">IFERROR(IF([1]对账明细接口!$I$110=0,"",[1]对账明细接口!$I$110),"")</f>
        <v>个</v>
      </c>
      <c r="J110" s="61" t="str">
        <f aca="false">IFERROR(IF([1]对账明细接口!$J$110=0,"",[1]对账明细接口!$J$110),"")</f>
        <v/>
      </c>
      <c r="K110" s="61" t="str">
        <f aca="false">IFERROR(IF([1]对账明细接口!$K$110=0,"",[1]对账明细接口!$K$110),"")</f>
        <v/>
      </c>
      <c r="L110" s="59" t="str">
        <f aca="false">IFERROR(IF([1]对账明细接口!$L$110=0,"",[1]对账明细接口!$L$110),"")</f>
        <v/>
      </c>
      <c r="M110" s="59" t="str">
        <f aca="false">IFERROR(IF([1]对账明细接口!$M$110=0,"",[1]对账明细接口!$M$110),"")</f>
        <v/>
      </c>
      <c r="N110" s="111" t="n">
        <f aca="false">IF($C110="",0,1)</f>
        <v>1</v>
      </c>
      <c r="O110" s="111" t="n">
        <f aca="false">N(O109)+$N110</f>
        <v>107</v>
      </c>
      <c r="S110" s="10" t="str">
        <f aca="false">IFERROR(IF([1]对账明细接口!$N110=0,"",[1]对账明细接口!$N110),"")</f>
        <v>公司红周转筐</v>
      </c>
      <c r="T110" s="112" t="n">
        <f aca="false">IFERROR(IF([1]对账明细接口!$O110=0,"",[1]对账明细接口!$O110),"")</f>
        <v>960</v>
      </c>
      <c r="U110" s="112" t="str">
        <f aca="false">IFERROR(IF([1]对账明细接口!$P110=0,"",[1]对账明细接口!$P110),"")</f>
        <v/>
      </c>
      <c r="V110" s="112" t="str">
        <f aca="false">IFERROR(IF([1]对账明细接口!$Q110=0,"",[1]对账明细接口!$Q110),"")</f>
        <v/>
      </c>
      <c r="W110" s="10" t="str">
        <f aca="false">IFERROR(IF([1]对账明细接口!$R110=0,"",[1]对账明细接口!$R110),"")</f>
        <v>新N*49209</v>
      </c>
      <c r="X110" s="10" t="str">
        <f aca="false">IFERROR(IF([1]对账明细接口!$S110=0,"",[1]对账明细接口!$S110),"")</f>
        <v>公司筐</v>
      </c>
      <c r="Y110" s="10" t="str">
        <f aca="false">""</f>
        <v/>
      </c>
      <c r="Z110" s="10" t="str">
        <f aca="false">""</f>
        <v/>
      </c>
      <c r="AA110" s="10" t="str">
        <f aca="false">""</f>
        <v/>
      </c>
      <c r="AB110" s="10" t="str">
        <f aca="false">""</f>
        <v/>
      </c>
    </row>
    <row r="111" customFormat="false" ht="13.5" hidden="false" customHeight="false" outlineLevel="0" collapsed="false">
      <c r="A111" s="109" t="n">
        <v>111</v>
      </c>
      <c r="B111" s="110" t="n">
        <f aca="false">IFERROR(IF([1]对账明细接口!$B$111=0,"",[1]对账明细接口!$B$111),"")</f>
        <v>46278</v>
      </c>
      <c r="C111" s="59" t="str">
        <f aca="false">IFERROR(IF([1]对账明细接口!$C$111=0,"",[1]对账明细接口!$C$111),"")</f>
        <v>王照雪</v>
      </c>
      <c r="D111" s="59" t="str">
        <f aca="false">IFERROR(IF([1]对账明细接口!$D$111=0,"",[1]对账明细接口!$D$111),"")</f>
        <v>周转筐－领用出库</v>
      </c>
      <c r="E111" s="59" t="str">
        <f aca="false">IFERROR(IF([1]对账明细接口!$E$111=0,"",[1]对账明细接口!$E$111),"")</f>
        <v>NO:0001137</v>
      </c>
      <c r="F111" s="59" t="str">
        <f aca="false">IFERROR(IF([1]对账明细接口!$F$111=0,"",[1]对账明细接口!$F$111),"")</f>
        <v>公司杂周转筐</v>
      </c>
      <c r="G111" s="59" t="str">
        <f aca="false">IFERROR(IF([1]对账明细接口!$G$111=0,"",[1]对账明细接口!$G$111),"")</f>
        <v/>
      </c>
      <c r="H111" s="60" t="n">
        <f aca="false">IFERROR(IF([1]对账明细接口!$H$111=0,"",[1]对账明细接口!$H$111),"")</f>
        <v>711</v>
      </c>
      <c r="I111" s="59" t="str">
        <f aca="false">IFERROR(IF([1]对账明细接口!$I$111=0,"",[1]对账明细接口!$I$111),"")</f>
        <v>个</v>
      </c>
      <c r="J111" s="61" t="str">
        <f aca="false">IFERROR(IF([1]对账明细接口!$J$111=0,"",[1]对账明细接口!$J$111),"")</f>
        <v/>
      </c>
      <c r="K111" s="61" t="str">
        <f aca="false">IFERROR(IF([1]对账明细接口!$K$111=0,"",[1]对账明细接口!$K$111),"")</f>
        <v/>
      </c>
      <c r="L111" s="59" t="str">
        <f aca="false">IFERROR(IF([1]对账明细接口!$L$111=0,"",[1]对账明细接口!$L$111),"")</f>
        <v/>
      </c>
      <c r="M111" s="59" t="str">
        <f aca="false">IFERROR(IF([1]对账明细接口!$M$111=0,"",[1]对账明细接口!$M$111),"")</f>
        <v>李现东</v>
      </c>
      <c r="N111" s="111" t="n">
        <f aca="false">IF($C111="",0,1)</f>
        <v>1</v>
      </c>
      <c r="O111" s="111" t="n">
        <f aca="false">N(O110)+$N111</f>
        <v>108</v>
      </c>
      <c r="S111" s="10" t="str">
        <f aca="false">IFERROR(IF([1]对账明细接口!$N111=0,"",[1]对账明细接口!$N111),"")</f>
        <v>公司杂周转筐</v>
      </c>
      <c r="T111" s="112" t="n">
        <f aca="false">IFERROR(IF([1]对账明细接口!$O111=0,"",[1]对账明细接口!$O111),"")</f>
        <v>711</v>
      </c>
      <c r="U111" s="112" t="str">
        <f aca="false">IFERROR(IF([1]对账明细接口!$P111=0,"",[1]对账明细接口!$P111),"")</f>
        <v/>
      </c>
      <c r="V111" s="112" t="str">
        <f aca="false">IFERROR(IF([1]对账明细接口!$Q111=0,"",[1]对账明细接口!$Q111),"")</f>
        <v/>
      </c>
      <c r="W111" s="10" t="str">
        <f aca="false">IFERROR(IF([1]对账明细接口!$R111=0,"",[1]对账明细接口!$R111),"")</f>
        <v>新N*53045</v>
      </c>
      <c r="X111" s="10" t="str">
        <f aca="false">IFERROR(IF([1]对账明细接口!$S111=0,"",[1]对账明细接口!$S111),"")</f>
        <v>公司筐</v>
      </c>
      <c r="Y111" s="10" t="str">
        <f aca="false">""</f>
        <v/>
      </c>
      <c r="Z111" s="10" t="str">
        <f aca="false">""</f>
        <v/>
      </c>
      <c r="AA111" s="10" t="str">
        <f aca="false">""</f>
        <v/>
      </c>
      <c r="AB111" s="10" t="str">
        <f aca="false">""</f>
        <v/>
      </c>
    </row>
    <row r="112" customFormat="false" ht="13.5" hidden="false" customHeight="false" outlineLevel="0" collapsed="false">
      <c r="A112" s="109" t="n">
        <v>112</v>
      </c>
      <c r="B112" s="110" t="n">
        <f aca="false">IFERROR(IF([1]对账明细接口!$B$112=0,"",[1]对账明细接口!$B$112),"")</f>
        <v>46277</v>
      </c>
      <c r="C112" s="59" t="str">
        <f aca="false">IFERROR(IF([1]对账明细接口!$C$112=0,"",[1]对账明细接口!$C$112),"")</f>
        <v>王照雪</v>
      </c>
      <c r="D112" s="59" t="str">
        <f aca="false">IFERROR(IF([1]对账明细接口!$D$112=0,"",[1]对账明细接口!$D$112),"")</f>
        <v>客户自备筐－拉扎伤果</v>
      </c>
      <c r="E112" s="59" t="str">
        <f aca="false">IFERROR(IF([1]对账明细接口!$E$112=0,"",[1]对账明细接口!$E$112),"")</f>
        <v/>
      </c>
      <c r="F112" s="59" t="str">
        <f aca="false">IFERROR(IF([1]对账明细接口!$F$112=0,"",[1]对账明细接口!$F$112),"")</f>
        <v>自备一次性筐</v>
      </c>
      <c r="G112" s="59" t="str">
        <f aca="false">IFERROR(IF([1]对账明细接口!$G$112=0,"",[1]对账明细接口!$G$112),"")</f>
        <v/>
      </c>
      <c r="H112" s="60" t="n">
        <f aca="false">IFERROR(IF([1]对账明细接口!$H$112=0,"",[1]对账明细接口!$H$112),"")</f>
        <v>1012</v>
      </c>
      <c r="I112" s="59" t="str">
        <f aca="false">IFERROR(IF([1]对账明细接口!$I$112=0,"",[1]对账明细接口!$I$112),"")</f>
        <v>个</v>
      </c>
      <c r="J112" s="61" t="str">
        <f aca="false">IFERROR(IF([1]对账明细接口!$J$112=0,"",[1]对账明细接口!$J$112),"")</f>
        <v/>
      </c>
      <c r="K112" s="61" t="str">
        <f aca="false">IFERROR(IF([1]对账明细接口!$K$112=0,"",[1]对账明细接口!$K$112),"")</f>
        <v/>
      </c>
      <c r="L112" s="59" t="str">
        <f aca="false">IFERROR(IF([1]对账明细接口!$L$112=0,"",[1]对账明细接口!$L$112),"")</f>
        <v/>
      </c>
      <c r="M112" s="59" t="str">
        <f aca="false">IFERROR(IF([1]对账明细接口!$M$112=0,"",[1]对账明细接口!$M$112),"")</f>
        <v/>
      </c>
      <c r="N112" s="111" t="n">
        <f aca="false">IF($C112="",0,1)</f>
        <v>1</v>
      </c>
      <c r="O112" s="111" t="n">
        <f aca="false">N(O111)+$N112</f>
        <v>109</v>
      </c>
      <c r="S112" s="10" t="str">
        <f aca="false">IFERROR(IF([1]对账明细接口!$N112=0,"",[1]对账明细接口!$N112),"")</f>
        <v>自备一次性筐</v>
      </c>
      <c r="T112" s="112" t="n">
        <f aca="false">IFERROR(IF([1]对账明细接口!$O112=0,"",[1]对账明细接口!$O112),"")</f>
        <v>12</v>
      </c>
      <c r="U112" s="112" t="str">
        <f aca="false">IFERROR(IF([1]对账明细接口!$P112=0,"",[1]对账明细接口!$P112),"")</f>
        <v/>
      </c>
      <c r="V112" s="112" t="n">
        <f aca="false">IFERROR(IF([1]对账明细接口!$Q112=0,"",[1]对账明细接口!$Q112),"")</f>
        <v>1000</v>
      </c>
      <c r="W112" s="10" t="str">
        <f aca="false">IFERROR(IF([1]对账明细接口!$R112=0,"",[1]对账明细接口!$R112),"")</f>
        <v/>
      </c>
      <c r="X112" s="10" t="str">
        <f aca="false">IFERROR(IF([1]对账明细接口!$S112=0,"",[1]对账明细接口!$S112),"")</f>
        <v>自备筐</v>
      </c>
      <c r="Y112" s="10" t="str">
        <f aca="false">""</f>
        <v/>
      </c>
      <c r="Z112" s="10" t="str">
        <f aca="false">""</f>
        <v/>
      </c>
      <c r="AA112" s="10" t="str">
        <f aca="false">""</f>
        <v/>
      </c>
      <c r="AB112" s="10" t="str">
        <f aca="false">""</f>
        <v/>
      </c>
    </row>
    <row r="113" customFormat="false" ht="13.5" hidden="false" customHeight="false" outlineLevel="0" collapsed="false">
      <c r="A113" s="109" t="n">
        <v>113</v>
      </c>
      <c r="B113" s="110" t="str">
        <f aca="false">IFERROR(IF([1]对账明细接口!$B$113=0,"",[1]对账明细接口!$B$113),"")</f>
        <v/>
      </c>
      <c r="C113" s="59" t="str">
        <f aca="false">IFERROR(IF([1]对账明细接口!$C$113=0,"",[1]对账明细接口!$C$113),"")</f>
        <v>王照雪</v>
      </c>
      <c r="D113" s="59" t="str">
        <f aca="false">IFERROR(IF([1]对账明细接口!$D$113=0,"",[1]对账明细接口!$D$113),"")</f>
        <v>次果筐/托盘－领用出库</v>
      </c>
      <c r="E113" s="59" t="str">
        <f aca="false">IFERROR(IF([1]对账明细接口!$E$113=0,"",[1]对账明细接口!$E$113),"")</f>
        <v/>
      </c>
      <c r="F113" s="59" t="str">
        <f aca="false">IFERROR(IF([1]对账明细接口!$F$113=0,"",[1]对账明细接口!$F$113),"")</f>
        <v>公司杂周转筐</v>
      </c>
      <c r="G113" s="59" t="str">
        <f aca="false">IFERROR(IF([1]对账明细接口!$G$113=0,"",[1]对账明细接口!$G$113),"")</f>
        <v/>
      </c>
      <c r="H113" s="60" t="str">
        <f aca="false">IFERROR(IF([1]对账明细接口!$H$113=0,"",[1]对账明细接口!$H$113),"")</f>
        <v/>
      </c>
      <c r="I113" s="59" t="str">
        <f aca="false">IFERROR(IF([1]对账明细接口!$I$113=0,"",[1]对账明细接口!$I$113),"")</f>
        <v>个</v>
      </c>
      <c r="J113" s="61" t="str">
        <f aca="false">IFERROR(IF([1]对账明细接口!$J$113=0,"",[1]对账明细接口!$J$113),"")</f>
        <v/>
      </c>
      <c r="K113" s="61" t="str">
        <f aca="false">IFERROR(IF([1]对账明细接口!$K$113=0,"",[1]对账明细接口!$K$113),"")</f>
        <v/>
      </c>
      <c r="L113" s="59" t="str">
        <f aca="false">IFERROR(IF([1]对账明细接口!$L$113=0,"",[1]对账明细接口!$L$113),"")</f>
        <v/>
      </c>
      <c r="M113" s="59" t="str">
        <f aca="false">IFERROR(IF([1]对账明细接口!$M$113=0,"",[1]对账明细接口!$M$113),"")</f>
        <v/>
      </c>
      <c r="N113" s="111" t="n">
        <f aca="false">IF($C113="",0,1)</f>
        <v>1</v>
      </c>
      <c r="O113" s="111" t="n">
        <f aca="false">N(O112)+$N113</f>
        <v>110</v>
      </c>
      <c r="S113" s="10" t="str">
        <f aca="false">IFERROR(IF([1]对账明细接口!$N113=0,"",[1]对账明细接口!$N113),"")</f>
        <v>公司杂周转筐</v>
      </c>
      <c r="T113" s="112" t="str">
        <f aca="false">IFERROR(IF([1]对账明细接口!$O113=0,"",[1]对账明细接口!$O113),"")</f>
        <v/>
      </c>
      <c r="U113" s="112" t="str">
        <f aca="false">IFERROR(IF([1]对账明细接口!$P113=0,"",[1]对账明细接口!$P113),"")</f>
        <v/>
      </c>
      <c r="V113" s="112" t="str">
        <f aca="false">IFERROR(IF([1]对账明细接口!$Q113=0,"",[1]对账明细接口!$Q113),"")</f>
        <v/>
      </c>
      <c r="W113" s="10" t="str">
        <f aca="false">IFERROR(IF([1]对账明细接口!$R113=0,"",[1]对账明细接口!$R113),"")</f>
        <v/>
      </c>
      <c r="X113" s="10" t="str">
        <f aca="false">IFERROR(IF([1]对账明细接口!$S113=0,"",[1]对账明细接口!$S113),"")</f>
        <v>公司筐</v>
      </c>
      <c r="Y113" s="10" t="str">
        <f aca="false">""</f>
        <v/>
      </c>
      <c r="Z113" s="10" t="str">
        <f aca="false">""</f>
        <v/>
      </c>
      <c r="AA113" s="10" t="str">
        <f aca="false">""</f>
        <v/>
      </c>
      <c r="AB113" s="10" t="str">
        <f aca="false">""</f>
        <v/>
      </c>
    </row>
    <row r="114" customFormat="false" ht="13.5" hidden="false" customHeight="false" outlineLevel="0" collapsed="false">
      <c r="A114" s="109" t="n">
        <v>114</v>
      </c>
      <c r="B114" s="110" t="str">
        <f aca="false">IFERROR(IF([1]对账明细接口!$B$114=0,"",[1]对账明细接口!$B$114),"")</f>
        <v/>
      </c>
      <c r="C114" s="59" t="str">
        <f aca="false">IFERROR(IF([1]对账明细接口!$C$114=0,"",[1]对账明细接口!$C$114),"")</f>
        <v/>
      </c>
      <c r="D114" s="59" t="str">
        <f aca="false">IFERROR(IF([1]对账明细接口!$D$114=0,"",[1]对账明细接口!$D$114),"")</f>
        <v/>
      </c>
      <c r="E114" s="59" t="str">
        <f aca="false">IFERROR(IF([1]对账明细接口!$E$114=0,"",[1]对账明细接口!$E$114),"")</f>
        <v/>
      </c>
      <c r="F114" s="59" t="str">
        <f aca="false">IFERROR(IF([1]对账明细接口!$F$114=0,"",[1]对账明细接口!$F$114),"")</f>
        <v/>
      </c>
      <c r="G114" s="59" t="str">
        <f aca="false">IFERROR(IF([1]对账明细接口!$G$114=0,"",[1]对账明细接口!$G$114),"")</f>
        <v/>
      </c>
      <c r="H114" s="60" t="str">
        <f aca="false">IFERROR(IF([1]对账明细接口!$H$114=0,"",[1]对账明细接口!$H$114),"")</f>
        <v/>
      </c>
      <c r="I114" s="59" t="str">
        <f aca="false">IFERROR(IF([1]对账明细接口!$I$114=0,"",[1]对账明细接口!$I$114),"")</f>
        <v/>
      </c>
      <c r="J114" s="61" t="str">
        <f aca="false">IFERROR(IF([1]对账明细接口!$J$114=0,"",[1]对账明细接口!$J$114),"")</f>
        <v/>
      </c>
      <c r="K114" s="61" t="str">
        <f aca="false">IFERROR(IF([1]对账明细接口!$K$114=0,"",[1]对账明细接口!$K$114),"")</f>
        <v/>
      </c>
      <c r="L114" s="59" t="str">
        <f aca="false">IFERROR(IF([1]对账明细接口!$L$114=0,"",[1]对账明细接口!$L$114),"")</f>
        <v/>
      </c>
      <c r="M114" s="59" t="str">
        <f aca="false">IFERROR(IF([1]对账明细接口!$M$114=0,"",[1]对账明细接口!$M$114),"")</f>
        <v/>
      </c>
      <c r="N114" s="111" t="n">
        <f aca="false">IF($C114="",0,1)</f>
        <v>0</v>
      </c>
      <c r="O114" s="111" t="n">
        <f aca="false">N(O113)+$N114</f>
        <v>110</v>
      </c>
      <c r="S114" s="10" t="str">
        <f aca="false">IFERROR(IF([1]对账明细接口!$N114=0,"",[1]对账明细接口!$N114),"")</f>
        <v/>
      </c>
      <c r="T114" s="112" t="str">
        <f aca="false">IFERROR(IF([1]对账明细接口!$O114=0,"",[1]对账明细接口!$O114),"")</f>
        <v/>
      </c>
      <c r="U114" s="112" t="str">
        <f aca="false">IFERROR(IF([1]对账明细接口!$P114=0,"",[1]对账明细接口!$P114),"")</f>
        <v/>
      </c>
      <c r="V114" s="112" t="str">
        <f aca="false">IFERROR(IF([1]对账明细接口!$Q114=0,"",[1]对账明细接口!$Q114),"")</f>
        <v/>
      </c>
      <c r="W114" s="10" t="str">
        <f aca="false">IFERROR(IF([1]对账明细接口!$R114=0,"",[1]对账明细接口!$R114),"")</f>
        <v/>
      </c>
      <c r="X114" s="10" t="str">
        <f aca="false">IFERROR(IF([1]对账明细接口!$S114=0,"",[1]对账明细接口!$S114),"")</f>
        <v/>
      </c>
      <c r="Y114" s="10" t="str">
        <f aca="false">""</f>
        <v/>
      </c>
      <c r="Z114" s="10" t="str">
        <f aca="false">""</f>
        <v/>
      </c>
      <c r="AA114" s="10" t="str">
        <f aca="false">""</f>
        <v/>
      </c>
      <c r="AB114" s="10" t="str">
        <f aca="false">""</f>
        <v/>
      </c>
    </row>
    <row r="115" customFormat="false" ht="13.5" hidden="false" customHeight="false" outlineLevel="0" collapsed="false">
      <c r="A115" s="109" t="n">
        <v>115</v>
      </c>
      <c r="B115" s="110" t="str">
        <f aca="false">IFERROR(IF([1]对账明细接口!$B$115=0,"",[1]对账明细接口!$B$115),"")</f>
        <v/>
      </c>
      <c r="C115" s="59" t="str">
        <f aca="false">IFERROR(IF([1]对账明细接口!$C$115=0,"",[1]对账明细接口!$C$115),"")</f>
        <v/>
      </c>
      <c r="D115" s="59" t="str">
        <f aca="false">IFERROR(IF([1]对账明细接口!$D$115=0,"",[1]对账明细接口!$D$115),"")</f>
        <v/>
      </c>
      <c r="E115" s="59" t="str">
        <f aca="false">IFERROR(IF([1]对账明细接口!$E$115=0,"",[1]对账明细接口!$E$115),"")</f>
        <v/>
      </c>
      <c r="F115" s="59" t="str">
        <f aca="false">IFERROR(IF([1]对账明细接口!$F$115=0,"",[1]对账明细接口!$F$115),"")</f>
        <v/>
      </c>
      <c r="G115" s="59" t="str">
        <f aca="false">IFERROR(IF([1]对账明细接口!$G$115=0,"",[1]对账明细接口!$G$115),"")</f>
        <v/>
      </c>
      <c r="H115" s="60" t="str">
        <f aca="false">IFERROR(IF([1]对账明细接口!$H$115=0,"",[1]对账明细接口!$H$115),"")</f>
        <v/>
      </c>
      <c r="I115" s="59" t="str">
        <f aca="false">IFERROR(IF([1]对账明细接口!$I$115=0,"",[1]对账明细接口!$I$115),"")</f>
        <v/>
      </c>
      <c r="J115" s="61" t="str">
        <f aca="false">IFERROR(IF([1]对账明细接口!$J$115=0,"",[1]对账明细接口!$J$115),"")</f>
        <v/>
      </c>
      <c r="K115" s="61" t="str">
        <f aca="false">IFERROR(IF([1]对账明细接口!$K$115=0,"",[1]对账明细接口!$K$115),"")</f>
        <v/>
      </c>
      <c r="L115" s="59" t="str">
        <f aca="false">IFERROR(IF([1]对账明细接口!$L$115=0,"",[1]对账明细接口!$L$115),"")</f>
        <v/>
      </c>
      <c r="M115" s="59" t="str">
        <f aca="false">IFERROR(IF([1]对账明细接口!$M$115=0,"",[1]对账明细接口!$M$115),"")</f>
        <v/>
      </c>
      <c r="N115" s="111" t="n">
        <f aca="false">IF($C115="",0,1)</f>
        <v>0</v>
      </c>
      <c r="O115" s="111" t="n">
        <f aca="false">N(O114)+$N115</f>
        <v>110</v>
      </c>
      <c r="S115" s="10" t="str">
        <f aca="false">IFERROR(IF([1]对账明细接口!$N115=0,"",[1]对账明细接口!$N115),"")</f>
        <v/>
      </c>
      <c r="T115" s="112" t="str">
        <f aca="false">IFERROR(IF([1]对账明细接口!$O115=0,"",[1]对账明细接口!$O115),"")</f>
        <v/>
      </c>
      <c r="U115" s="112" t="str">
        <f aca="false">IFERROR(IF([1]对账明细接口!$P115=0,"",[1]对账明细接口!$P115),"")</f>
        <v/>
      </c>
      <c r="V115" s="112" t="str">
        <f aca="false">IFERROR(IF([1]对账明细接口!$Q115=0,"",[1]对账明细接口!$Q115),"")</f>
        <v/>
      </c>
      <c r="W115" s="10" t="str">
        <f aca="false">IFERROR(IF([1]对账明细接口!$R115=0,"",[1]对账明细接口!$R115),"")</f>
        <v/>
      </c>
      <c r="X115" s="10" t="str">
        <f aca="false">IFERROR(IF([1]对账明细接口!$S115=0,"",[1]对账明细接口!$S115),"")</f>
        <v/>
      </c>
      <c r="Y115" s="10" t="str">
        <f aca="false">""</f>
        <v/>
      </c>
      <c r="Z115" s="10" t="str">
        <f aca="false">""</f>
        <v/>
      </c>
      <c r="AA115" s="10" t="str">
        <f aca="false">""</f>
        <v/>
      </c>
      <c r="AB115" s="10" t="str">
        <f aca="false">""</f>
        <v/>
      </c>
    </row>
    <row r="116" customFormat="false" ht="13.5" hidden="false" customHeight="false" outlineLevel="0" collapsed="false">
      <c r="A116" s="109" t="n">
        <v>116</v>
      </c>
      <c r="B116" s="110" t="str">
        <f aca="false">IFERROR(IF([1]对账明细接口!$B$116=0,"",[1]对账明细接口!$B$116),"")</f>
        <v/>
      </c>
      <c r="C116" s="59" t="str">
        <f aca="false">IFERROR(IF([1]对账明细接口!$C$116=0,"",[1]对账明细接口!$C$116),"")</f>
        <v/>
      </c>
      <c r="D116" s="59" t="str">
        <f aca="false">IFERROR(IF([1]对账明细接口!$D$116=0,"",[1]对账明细接口!$D$116),"")</f>
        <v/>
      </c>
      <c r="E116" s="59" t="str">
        <f aca="false">IFERROR(IF([1]对账明细接口!$E$116=0,"",[1]对账明细接口!$E$116),"")</f>
        <v/>
      </c>
      <c r="F116" s="59" t="str">
        <f aca="false">IFERROR(IF([1]对账明细接口!$F$116=0,"",[1]对账明细接口!$F$116),"")</f>
        <v/>
      </c>
      <c r="G116" s="59" t="str">
        <f aca="false">IFERROR(IF([1]对账明细接口!$G$116=0,"",[1]对账明细接口!$G$116),"")</f>
        <v/>
      </c>
      <c r="H116" s="60" t="str">
        <f aca="false">IFERROR(IF([1]对账明细接口!$H$116=0,"",[1]对账明细接口!$H$116),"")</f>
        <v/>
      </c>
      <c r="I116" s="59" t="str">
        <f aca="false">IFERROR(IF([1]对账明细接口!$I$116=0,"",[1]对账明细接口!$I$116),"")</f>
        <v/>
      </c>
      <c r="J116" s="61" t="str">
        <f aca="false">IFERROR(IF([1]对账明细接口!$J$116=0,"",[1]对账明细接口!$J$116),"")</f>
        <v/>
      </c>
      <c r="K116" s="61" t="str">
        <f aca="false">IFERROR(IF([1]对账明细接口!$K$116=0,"",[1]对账明细接口!$K$116),"")</f>
        <v/>
      </c>
      <c r="L116" s="59" t="str">
        <f aca="false">IFERROR(IF([1]对账明细接口!$L$116=0,"",[1]对账明细接口!$L$116),"")</f>
        <v/>
      </c>
      <c r="M116" s="59" t="str">
        <f aca="false">IFERROR(IF([1]对账明细接口!$M$116=0,"",[1]对账明细接口!$M$116),"")</f>
        <v/>
      </c>
      <c r="N116" s="111" t="n">
        <f aca="false">IF($C116="",0,1)</f>
        <v>0</v>
      </c>
      <c r="O116" s="111" t="n">
        <f aca="false">N(O115)+$N116</f>
        <v>110</v>
      </c>
      <c r="S116" s="10" t="str">
        <f aca="false">IFERROR(IF([1]对账明细接口!$N116=0,"",[1]对账明细接口!$N116),"")</f>
        <v/>
      </c>
      <c r="T116" s="112" t="str">
        <f aca="false">IFERROR(IF([1]对账明细接口!$O116=0,"",[1]对账明细接口!$O116),"")</f>
        <v/>
      </c>
      <c r="U116" s="112" t="str">
        <f aca="false">IFERROR(IF([1]对账明细接口!$P116=0,"",[1]对账明细接口!$P116),"")</f>
        <v/>
      </c>
      <c r="V116" s="112" t="str">
        <f aca="false">IFERROR(IF([1]对账明细接口!$Q116=0,"",[1]对账明细接口!$Q116),"")</f>
        <v/>
      </c>
      <c r="W116" s="10" t="str">
        <f aca="false">IFERROR(IF([1]对账明细接口!$R116=0,"",[1]对账明细接口!$R116),"")</f>
        <v/>
      </c>
      <c r="X116" s="10" t="str">
        <f aca="false">IFERROR(IF([1]对账明细接口!$S116=0,"",[1]对账明细接口!$S116),"")</f>
        <v/>
      </c>
      <c r="Y116" s="10" t="str">
        <f aca="false">""</f>
        <v/>
      </c>
      <c r="Z116" s="10" t="str">
        <f aca="false">""</f>
        <v/>
      </c>
      <c r="AA116" s="10" t="str">
        <f aca="false">""</f>
        <v/>
      </c>
      <c r="AB116" s="10" t="str">
        <f aca="false">""</f>
        <v/>
      </c>
    </row>
    <row r="117" customFormat="false" ht="13.5" hidden="false" customHeight="false" outlineLevel="0" collapsed="false">
      <c r="A117" s="109" t="n">
        <v>117</v>
      </c>
      <c r="B117" s="110" t="str">
        <f aca="false">IFERROR(IF([1]对账明细接口!$B$117=0,"",[1]对账明细接口!$B$117),"")</f>
        <v/>
      </c>
      <c r="C117" s="59" t="str">
        <f aca="false">IFERROR(IF([1]对账明细接口!$C$117=0,"",[1]对账明细接口!$C$117),"")</f>
        <v/>
      </c>
      <c r="D117" s="59" t="str">
        <f aca="false">IFERROR(IF([1]对账明细接口!$D$117=0,"",[1]对账明细接口!$D$117),"")</f>
        <v/>
      </c>
      <c r="E117" s="59" t="str">
        <f aca="false">IFERROR(IF([1]对账明细接口!$E$117=0,"",[1]对账明细接口!$E$117),"")</f>
        <v/>
      </c>
      <c r="F117" s="59" t="str">
        <f aca="false">IFERROR(IF([1]对账明细接口!$F$117=0,"",[1]对账明细接口!$F$117),"")</f>
        <v/>
      </c>
      <c r="G117" s="59" t="str">
        <f aca="false">IFERROR(IF([1]对账明细接口!$G$117=0,"",[1]对账明细接口!$G$117),"")</f>
        <v/>
      </c>
      <c r="H117" s="60" t="str">
        <f aca="false">IFERROR(IF([1]对账明细接口!$H$117=0,"",[1]对账明细接口!$H$117),"")</f>
        <v/>
      </c>
      <c r="I117" s="59" t="str">
        <f aca="false">IFERROR(IF([1]对账明细接口!$I$117=0,"",[1]对账明细接口!$I$117),"")</f>
        <v/>
      </c>
      <c r="J117" s="61" t="str">
        <f aca="false">IFERROR(IF([1]对账明细接口!$J$117=0,"",[1]对账明细接口!$J$117),"")</f>
        <v/>
      </c>
      <c r="K117" s="61" t="str">
        <f aca="false">IFERROR(IF([1]对账明细接口!$K$117=0,"",[1]对账明细接口!$K$117),"")</f>
        <v/>
      </c>
      <c r="L117" s="59" t="str">
        <f aca="false">IFERROR(IF([1]对账明细接口!$L$117=0,"",[1]对账明细接口!$L$117),"")</f>
        <v/>
      </c>
      <c r="M117" s="59" t="str">
        <f aca="false">IFERROR(IF([1]对账明细接口!$M$117=0,"",[1]对账明细接口!$M$117),"")</f>
        <v/>
      </c>
      <c r="N117" s="111" t="n">
        <f aca="false">IF($C117="",0,1)</f>
        <v>0</v>
      </c>
      <c r="O117" s="111" t="n">
        <f aca="false">N(O116)+$N117</f>
        <v>110</v>
      </c>
      <c r="S117" s="10" t="str">
        <f aca="false">IFERROR(IF([1]对账明细接口!$N117=0,"",[1]对账明细接口!$N117),"")</f>
        <v/>
      </c>
      <c r="T117" s="112" t="str">
        <f aca="false">IFERROR(IF([1]对账明细接口!$O117=0,"",[1]对账明细接口!$O117),"")</f>
        <v/>
      </c>
      <c r="U117" s="112" t="str">
        <f aca="false">IFERROR(IF([1]对账明细接口!$P117=0,"",[1]对账明细接口!$P117),"")</f>
        <v/>
      </c>
      <c r="V117" s="112" t="str">
        <f aca="false">IFERROR(IF([1]对账明细接口!$Q117=0,"",[1]对账明细接口!$Q117),"")</f>
        <v/>
      </c>
      <c r="W117" s="10" t="str">
        <f aca="false">IFERROR(IF([1]对账明细接口!$R117=0,"",[1]对账明细接口!$R117),"")</f>
        <v/>
      </c>
      <c r="X117" s="10" t="str">
        <f aca="false">IFERROR(IF([1]对账明细接口!$S117=0,"",[1]对账明细接口!$S117),"")</f>
        <v/>
      </c>
      <c r="Y117" s="10" t="str">
        <f aca="false">""</f>
        <v/>
      </c>
      <c r="Z117" s="10" t="str">
        <f aca="false">""</f>
        <v/>
      </c>
      <c r="AA117" s="10" t="str">
        <f aca="false">""</f>
        <v/>
      </c>
      <c r="AB117" s="10" t="str">
        <f aca="false">""</f>
        <v/>
      </c>
    </row>
    <row r="118" customFormat="false" ht="13.5" hidden="false" customHeight="false" outlineLevel="0" collapsed="false">
      <c r="A118" s="109" t="n">
        <v>118</v>
      </c>
      <c r="B118" s="110" t="str">
        <f aca="false">IFERROR(IF([1]对账明细接口!$B$118=0,"",[1]对账明细接口!$B$118),"")</f>
        <v/>
      </c>
      <c r="C118" s="59" t="str">
        <f aca="false">IFERROR(IF([1]对账明细接口!$C$118=0,"",[1]对账明细接口!$C$118),"")</f>
        <v/>
      </c>
      <c r="D118" s="59" t="str">
        <f aca="false">IFERROR(IF([1]对账明细接口!$D$118=0,"",[1]对账明细接口!$D$118),"")</f>
        <v/>
      </c>
      <c r="E118" s="59" t="str">
        <f aca="false">IFERROR(IF([1]对账明细接口!$E$118=0,"",[1]对账明细接口!$E$118),"")</f>
        <v/>
      </c>
      <c r="F118" s="59" t="str">
        <f aca="false">IFERROR(IF([1]对账明细接口!$F$118=0,"",[1]对账明细接口!$F$118),"")</f>
        <v/>
      </c>
      <c r="G118" s="59" t="str">
        <f aca="false">IFERROR(IF([1]对账明细接口!$G$118=0,"",[1]对账明细接口!$G$118),"")</f>
        <v/>
      </c>
      <c r="H118" s="60" t="str">
        <f aca="false">IFERROR(IF([1]对账明细接口!$H$118=0,"",[1]对账明细接口!$H$118),"")</f>
        <v/>
      </c>
      <c r="I118" s="59" t="str">
        <f aca="false">IFERROR(IF([1]对账明细接口!$I$118=0,"",[1]对账明细接口!$I$118),"")</f>
        <v/>
      </c>
      <c r="J118" s="61" t="str">
        <f aca="false">IFERROR(IF([1]对账明细接口!$J$118=0,"",[1]对账明细接口!$J$118),"")</f>
        <v/>
      </c>
      <c r="K118" s="61" t="str">
        <f aca="false">IFERROR(IF([1]对账明细接口!$K$118=0,"",[1]对账明细接口!$K$118),"")</f>
        <v/>
      </c>
      <c r="L118" s="59" t="str">
        <f aca="false">IFERROR(IF([1]对账明细接口!$L$118=0,"",[1]对账明细接口!$L$118),"")</f>
        <v/>
      </c>
      <c r="M118" s="59" t="str">
        <f aca="false">IFERROR(IF([1]对账明细接口!$M$118=0,"",[1]对账明细接口!$M$118),"")</f>
        <v/>
      </c>
      <c r="N118" s="111" t="n">
        <f aca="false">IF($C118="",0,1)</f>
        <v>0</v>
      </c>
      <c r="O118" s="111" t="n">
        <f aca="false">N(O117)+$N118</f>
        <v>110</v>
      </c>
      <c r="S118" s="10" t="str">
        <f aca="false">IFERROR(IF([1]对账明细接口!$N118=0,"",[1]对账明细接口!$N118),"")</f>
        <v/>
      </c>
      <c r="T118" s="112" t="str">
        <f aca="false">IFERROR(IF([1]对账明细接口!$O118=0,"",[1]对账明细接口!$O118),"")</f>
        <v/>
      </c>
      <c r="U118" s="112" t="str">
        <f aca="false">IFERROR(IF([1]对账明细接口!$P118=0,"",[1]对账明细接口!$P118),"")</f>
        <v/>
      </c>
      <c r="V118" s="112" t="str">
        <f aca="false">IFERROR(IF([1]对账明细接口!$Q118=0,"",[1]对账明细接口!$Q118),"")</f>
        <v/>
      </c>
      <c r="W118" s="10" t="str">
        <f aca="false">IFERROR(IF([1]对账明细接口!$R118=0,"",[1]对账明细接口!$R118),"")</f>
        <v/>
      </c>
      <c r="X118" s="10" t="str">
        <f aca="false">IFERROR(IF([1]对账明细接口!$S118=0,"",[1]对账明细接口!$S118),"")</f>
        <v/>
      </c>
      <c r="Y118" s="10" t="str">
        <f aca="false">""</f>
        <v/>
      </c>
      <c r="Z118" s="10" t="str">
        <f aca="false">""</f>
        <v/>
      </c>
      <c r="AA118" s="10" t="str">
        <f aca="false">""</f>
        <v/>
      </c>
      <c r="AB118" s="10" t="str">
        <f aca="false">""</f>
        <v/>
      </c>
    </row>
    <row r="119" customFormat="false" ht="13.5" hidden="false" customHeight="false" outlineLevel="0" collapsed="false">
      <c r="A119" s="109" t="n">
        <v>119</v>
      </c>
      <c r="B119" s="110" t="str">
        <f aca="false">IFERROR(IF([1]对账明细接口!$B$119=0,"",[1]对账明细接口!$B$119),"")</f>
        <v/>
      </c>
      <c r="C119" s="59" t="str">
        <f aca="false">IFERROR(IF([1]对账明细接口!$C$119=0,"",[1]对账明细接口!$C$119),"")</f>
        <v/>
      </c>
      <c r="D119" s="59" t="str">
        <f aca="false">IFERROR(IF([1]对账明细接口!$D$119=0,"",[1]对账明细接口!$D$119),"")</f>
        <v/>
      </c>
      <c r="E119" s="59" t="str">
        <f aca="false">IFERROR(IF([1]对账明细接口!$E$119=0,"",[1]对账明细接口!$E$119),"")</f>
        <v/>
      </c>
      <c r="F119" s="59" t="str">
        <f aca="false">IFERROR(IF([1]对账明细接口!$F$119=0,"",[1]对账明细接口!$F$119),"")</f>
        <v/>
      </c>
      <c r="G119" s="59" t="str">
        <f aca="false">IFERROR(IF([1]对账明细接口!$G$119=0,"",[1]对账明细接口!$G$119),"")</f>
        <v/>
      </c>
      <c r="H119" s="60" t="str">
        <f aca="false">IFERROR(IF([1]对账明细接口!$H$119=0,"",[1]对账明细接口!$H$119),"")</f>
        <v/>
      </c>
      <c r="I119" s="59" t="str">
        <f aca="false">IFERROR(IF([1]对账明细接口!$I$119=0,"",[1]对账明细接口!$I$119),"")</f>
        <v/>
      </c>
      <c r="J119" s="61" t="str">
        <f aca="false">IFERROR(IF([1]对账明细接口!$J$119=0,"",[1]对账明细接口!$J$119),"")</f>
        <v/>
      </c>
      <c r="K119" s="61" t="str">
        <f aca="false">IFERROR(IF([1]对账明细接口!$K$119=0,"",[1]对账明细接口!$K$119),"")</f>
        <v/>
      </c>
      <c r="L119" s="59" t="str">
        <f aca="false">IFERROR(IF([1]对账明细接口!$L$119=0,"",[1]对账明细接口!$L$119),"")</f>
        <v/>
      </c>
      <c r="M119" s="59" t="str">
        <f aca="false">IFERROR(IF([1]对账明细接口!$M$119=0,"",[1]对账明细接口!$M$119),"")</f>
        <v/>
      </c>
      <c r="N119" s="111" t="n">
        <f aca="false">IF($C119="",0,1)</f>
        <v>0</v>
      </c>
      <c r="O119" s="111" t="n">
        <f aca="false">N(O118)+$N119</f>
        <v>110</v>
      </c>
      <c r="S119" s="10" t="str">
        <f aca="false">IFERROR(IF([1]对账明细接口!$N119=0,"",[1]对账明细接口!$N119),"")</f>
        <v/>
      </c>
      <c r="T119" s="112" t="str">
        <f aca="false">IFERROR(IF([1]对账明细接口!$O119=0,"",[1]对账明细接口!$O119),"")</f>
        <v/>
      </c>
      <c r="U119" s="112" t="str">
        <f aca="false">IFERROR(IF([1]对账明细接口!$P119=0,"",[1]对账明细接口!$P119),"")</f>
        <v/>
      </c>
      <c r="V119" s="112" t="str">
        <f aca="false">IFERROR(IF([1]对账明细接口!$Q119=0,"",[1]对账明细接口!$Q119),"")</f>
        <v/>
      </c>
      <c r="W119" s="10" t="str">
        <f aca="false">IFERROR(IF([1]对账明细接口!$R119=0,"",[1]对账明细接口!$R119),"")</f>
        <v/>
      </c>
      <c r="X119" s="10" t="str">
        <f aca="false">IFERROR(IF([1]对账明细接口!$S119=0,"",[1]对账明细接口!$S119),"")</f>
        <v/>
      </c>
      <c r="Y119" s="10" t="str">
        <f aca="false">""</f>
        <v/>
      </c>
      <c r="Z119" s="10" t="str">
        <f aca="false">""</f>
        <v/>
      </c>
      <c r="AA119" s="10" t="str">
        <f aca="false">""</f>
        <v/>
      </c>
      <c r="AB119" s="10" t="str">
        <f aca="false">""</f>
        <v/>
      </c>
    </row>
    <row r="120" customFormat="false" ht="13.5" hidden="false" customHeight="false" outlineLevel="0" collapsed="false">
      <c r="A120" s="109" t="n">
        <v>120</v>
      </c>
      <c r="B120" s="110" t="str">
        <f aca="false">IFERROR(IF([1]对账明细接口!$B$120=0,"",[1]对账明细接口!$B$120),"")</f>
        <v/>
      </c>
      <c r="C120" s="59" t="str">
        <f aca="false">IFERROR(IF([1]对账明细接口!$C$120=0,"",[1]对账明细接口!$C$120),"")</f>
        <v/>
      </c>
      <c r="D120" s="59" t="str">
        <f aca="false">IFERROR(IF([1]对账明细接口!$D$120=0,"",[1]对账明细接口!$D$120),"")</f>
        <v/>
      </c>
      <c r="E120" s="59" t="str">
        <f aca="false">IFERROR(IF([1]对账明细接口!$E$120=0,"",[1]对账明细接口!$E$120),"")</f>
        <v/>
      </c>
      <c r="F120" s="59" t="str">
        <f aca="false">IFERROR(IF([1]对账明细接口!$F$120=0,"",[1]对账明细接口!$F$120),"")</f>
        <v/>
      </c>
      <c r="G120" s="59" t="str">
        <f aca="false">IFERROR(IF([1]对账明细接口!$G$120=0,"",[1]对账明细接口!$G$120),"")</f>
        <v/>
      </c>
      <c r="H120" s="60" t="str">
        <f aca="false">IFERROR(IF([1]对账明细接口!$H$120=0,"",[1]对账明细接口!$H$120),"")</f>
        <v/>
      </c>
      <c r="I120" s="59" t="str">
        <f aca="false">IFERROR(IF([1]对账明细接口!$I$120=0,"",[1]对账明细接口!$I$120),"")</f>
        <v/>
      </c>
      <c r="J120" s="61" t="str">
        <f aca="false">IFERROR(IF([1]对账明细接口!$J$120=0,"",[1]对账明细接口!$J$120),"")</f>
        <v/>
      </c>
      <c r="K120" s="61" t="str">
        <f aca="false">IFERROR(IF([1]对账明细接口!$K$120=0,"",[1]对账明细接口!$K$120),"")</f>
        <v/>
      </c>
      <c r="L120" s="59" t="str">
        <f aca="false">IFERROR(IF([1]对账明细接口!$L$120=0,"",[1]对账明细接口!$L$120),"")</f>
        <v/>
      </c>
      <c r="M120" s="59" t="str">
        <f aca="false">IFERROR(IF([1]对账明细接口!$M$120=0,"",[1]对账明细接口!$M$120),"")</f>
        <v/>
      </c>
      <c r="N120" s="111" t="n">
        <f aca="false">IF($C120="",0,1)</f>
        <v>0</v>
      </c>
      <c r="O120" s="111" t="n">
        <f aca="false">N(O119)+$N120</f>
        <v>110</v>
      </c>
      <c r="S120" s="10" t="str">
        <f aca="false">IFERROR(IF([1]对账明细接口!$N120=0,"",[1]对账明细接口!$N120),"")</f>
        <v/>
      </c>
      <c r="T120" s="112" t="str">
        <f aca="false">IFERROR(IF([1]对账明细接口!$O120=0,"",[1]对账明细接口!$O120),"")</f>
        <v/>
      </c>
      <c r="U120" s="112" t="str">
        <f aca="false">IFERROR(IF([1]对账明细接口!$P120=0,"",[1]对账明细接口!$P120),"")</f>
        <v/>
      </c>
      <c r="V120" s="112" t="str">
        <f aca="false">IFERROR(IF([1]对账明细接口!$Q120=0,"",[1]对账明细接口!$Q120),"")</f>
        <v/>
      </c>
      <c r="W120" s="10" t="str">
        <f aca="false">IFERROR(IF([1]对账明细接口!$R120=0,"",[1]对账明细接口!$R120),"")</f>
        <v/>
      </c>
      <c r="X120" s="10" t="str">
        <f aca="false">IFERROR(IF([1]对账明细接口!$S120=0,"",[1]对账明细接口!$S120),"")</f>
        <v/>
      </c>
      <c r="Y120" s="10" t="str">
        <f aca="false">""</f>
        <v/>
      </c>
      <c r="Z120" s="10" t="str">
        <f aca="false">""</f>
        <v/>
      </c>
      <c r="AA120" s="10" t="str">
        <f aca="false">""</f>
        <v/>
      </c>
      <c r="AB120" s="10" t="str">
        <f aca="false">""</f>
        <v/>
      </c>
    </row>
    <row r="121" customFormat="false" ht="13.5" hidden="false" customHeight="false" outlineLevel="0" collapsed="false">
      <c r="A121" s="109" t="n">
        <v>121</v>
      </c>
      <c r="B121" s="110" t="str">
        <f aca="false">IFERROR(IF([1]对账明细接口!$B$121=0,"",[1]对账明细接口!$B$121),"")</f>
        <v/>
      </c>
      <c r="C121" s="59" t="str">
        <f aca="false">IFERROR(IF([1]对账明细接口!$C$121=0,"",[1]对账明细接口!$C$121),"")</f>
        <v/>
      </c>
      <c r="D121" s="59" t="str">
        <f aca="false">IFERROR(IF([1]对账明细接口!$D$121=0,"",[1]对账明细接口!$D$121),"")</f>
        <v/>
      </c>
      <c r="E121" s="59" t="str">
        <f aca="false">IFERROR(IF([1]对账明细接口!$E$121=0,"",[1]对账明细接口!$E$121),"")</f>
        <v/>
      </c>
      <c r="F121" s="59" t="str">
        <f aca="false">IFERROR(IF([1]对账明细接口!$F$121=0,"",[1]对账明细接口!$F$121),"")</f>
        <v/>
      </c>
      <c r="G121" s="59" t="str">
        <f aca="false">IFERROR(IF([1]对账明细接口!$G$121=0,"",[1]对账明细接口!$G$121),"")</f>
        <v/>
      </c>
      <c r="H121" s="60" t="str">
        <f aca="false">IFERROR(IF([1]对账明细接口!$H$121=0,"",[1]对账明细接口!$H$121),"")</f>
        <v/>
      </c>
      <c r="I121" s="59" t="str">
        <f aca="false">IFERROR(IF([1]对账明细接口!$I$121=0,"",[1]对账明细接口!$I$121),"")</f>
        <v/>
      </c>
      <c r="J121" s="61" t="str">
        <f aca="false">IFERROR(IF([1]对账明细接口!$J$121=0,"",[1]对账明细接口!$J$121),"")</f>
        <v/>
      </c>
      <c r="K121" s="61" t="str">
        <f aca="false">IFERROR(IF([1]对账明细接口!$K$121=0,"",[1]对账明细接口!$K$121),"")</f>
        <v/>
      </c>
      <c r="L121" s="59" t="str">
        <f aca="false">IFERROR(IF([1]对账明细接口!$L$121=0,"",[1]对账明细接口!$L$121),"")</f>
        <v/>
      </c>
      <c r="M121" s="59" t="str">
        <f aca="false">IFERROR(IF([1]对账明细接口!$M$121=0,"",[1]对账明细接口!$M$121),"")</f>
        <v/>
      </c>
      <c r="N121" s="111" t="n">
        <f aca="false">IF($C121="",0,1)</f>
        <v>0</v>
      </c>
      <c r="O121" s="111" t="n">
        <f aca="false">N(O120)+$N121</f>
        <v>110</v>
      </c>
      <c r="S121" s="10" t="str">
        <f aca="false">IFERROR(IF([1]对账明细接口!$N121=0,"",[1]对账明细接口!$N121),"")</f>
        <v/>
      </c>
      <c r="T121" s="112" t="str">
        <f aca="false">IFERROR(IF([1]对账明细接口!$O121=0,"",[1]对账明细接口!$O121),"")</f>
        <v/>
      </c>
      <c r="U121" s="112" t="str">
        <f aca="false">IFERROR(IF([1]对账明细接口!$P121=0,"",[1]对账明细接口!$P121),"")</f>
        <v/>
      </c>
      <c r="V121" s="112" t="str">
        <f aca="false">IFERROR(IF([1]对账明细接口!$Q121=0,"",[1]对账明细接口!$Q121),"")</f>
        <v/>
      </c>
      <c r="W121" s="10" t="str">
        <f aca="false">IFERROR(IF([1]对账明细接口!$R121=0,"",[1]对账明细接口!$R121),"")</f>
        <v/>
      </c>
      <c r="X121" s="10" t="str">
        <f aca="false">IFERROR(IF([1]对账明细接口!$S121=0,"",[1]对账明细接口!$S121),"")</f>
        <v/>
      </c>
      <c r="Y121" s="10" t="str">
        <f aca="false">""</f>
        <v/>
      </c>
      <c r="Z121" s="10" t="str">
        <f aca="false">""</f>
        <v/>
      </c>
      <c r="AA121" s="10" t="str">
        <f aca="false">""</f>
        <v/>
      </c>
      <c r="AB121" s="10" t="str">
        <f aca="false">""</f>
        <v/>
      </c>
    </row>
    <row r="122" customFormat="false" ht="13.5" hidden="false" customHeight="false" outlineLevel="0" collapsed="false">
      <c r="A122" s="109" t="n">
        <v>122</v>
      </c>
      <c r="B122" s="110" t="str">
        <f aca="false">IFERROR(IF([1]对账明细接口!$B$122=0,"",[1]对账明细接口!$B$122),"")</f>
        <v/>
      </c>
      <c r="C122" s="59" t="str">
        <f aca="false">IFERROR(IF([1]对账明细接口!$C$122=0,"",[1]对账明细接口!$C$122),"")</f>
        <v/>
      </c>
      <c r="D122" s="59" t="str">
        <f aca="false">IFERROR(IF([1]对账明细接口!$D$122=0,"",[1]对账明细接口!$D$122),"")</f>
        <v/>
      </c>
      <c r="E122" s="59" t="str">
        <f aca="false">IFERROR(IF([1]对账明细接口!$E$122=0,"",[1]对账明细接口!$E$122),"")</f>
        <v/>
      </c>
      <c r="F122" s="59" t="str">
        <f aca="false">IFERROR(IF([1]对账明细接口!$F$122=0,"",[1]对账明细接口!$F$122),"")</f>
        <v/>
      </c>
      <c r="G122" s="59" t="str">
        <f aca="false">IFERROR(IF([1]对账明细接口!$G$122=0,"",[1]对账明细接口!$G$122),"")</f>
        <v/>
      </c>
      <c r="H122" s="60" t="str">
        <f aca="false">IFERROR(IF([1]对账明细接口!$H$122=0,"",[1]对账明细接口!$H$122),"")</f>
        <v/>
      </c>
      <c r="I122" s="59" t="str">
        <f aca="false">IFERROR(IF([1]对账明细接口!$I$122=0,"",[1]对账明细接口!$I$122),"")</f>
        <v/>
      </c>
      <c r="J122" s="61" t="str">
        <f aca="false">IFERROR(IF([1]对账明细接口!$J$122=0,"",[1]对账明细接口!$J$122),"")</f>
        <v/>
      </c>
      <c r="K122" s="61" t="str">
        <f aca="false">IFERROR(IF([1]对账明细接口!$K$122=0,"",[1]对账明细接口!$K$122),"")</f>
        <v/>
      </c>
      <c r="L122" s="59" t="str">
        <f aca="false">IFERROR(IF([1]对账明细接口!$L$122=0,"",[1]对账明细接口!$L$122),"")</f>
        <v/>
      </c>
      <c r="M122" s="59" t="str">
        <f aca="false">IFERROR(IF([1]对账明细接口!$M$122=0,"",[1]对账明细接口!$M$122),"")</f>
        <v/>
      </c>
      <c r="N122" s="111" t="n">
        <f aca="false">IF($C122="",0,1)</f>
        <v>0</v>
      </c>
      <c r="O122" s="111" t="n">
        <f aca="false">N(O121)+$N122</f>
        <v>110</v>
      </c>
      <c r="S122" s="10" t="str">
        <f aca="false">IFERROR(IF([1]对账明细接口!$N122=0,"",[1]对账明细接口!$N122),"")</f>
        <v/>
      </c>
      <c r="T122" s="112" t="str">
        <f aca="false">IFERROR(IF([1]对账明细接口!$O122=0,"",[1]对账明细接口!$O122),"")</f>
        <v/>
      </c>
      <c r="U122" s="112" t="str">
        <f aca="false">IFERROR(IF([1]对账明细接口!$P122=0,"",[1]对账明细接口!$P122),"")</f>
        <v/>
      </c>
      <c r="V122" s="112" t="str">
        <f aca="false">IFERROR(IF([1]对账明细接口!$Q122=0,"",[1]对账明细接口!$Q122),"")</f>
        <v/>
      </c>
      <c r="W122" s="10" t="str">
        <f aca="false">IFERROR(IF([1]对账明细接口!$R122=0,"",[1]对账明细接口!$R122),"")</f>
        <v/>
      </c>
      <c r="X122" s="10" t="str">
        <f aca="false">IFERROR(IF([1]对账明细接口!$S122=0,"",[1]对账明细接口!$S122),"")</f>
        <v/>
      </c>
      <c r="Y122" s="10" t="str">
        <f aca="false">""</f>
        <v/>
      </c>
      <c r="Z122" s="10" t="str">
        <f aca="false">""</f>
        <v/>
      </c>
      <c r="AA122" s="10" t="str">
        <f aca="false">""</f>
        <v/>
      </c>
      <c r="AB122" s="10" t="str">
        <f aca="false">""</f>
        <v/>
      </c>
    </row>
    <row r="123" customFormat="false" ht="13.5" hidden="false" customHeight="false" outlineLevel="0" collapsed="false">
      <c r="A123" s="109" t="n">
        <v>123</v>
      </c>
      <c r="B123" s="110" t="str">
        <f aca="false">IFERROR(IF([1]对账明细接口!$B$123=0,"",[1]对账明细接口!$B$123),"")</f>
        <v/>
      </c>
      <c r="C123" s="59" t="str">
        <f aca="false">IFERROR(IF([1]对账明细接口!$C$123=0,"",[1]对账明细接口!$C$123),"")</f>
        <v/>
      </c>
      <c r="D123" s="59" t="str">
        <f aca="false">IFERROR(IF([1]对账明细接口!$D$123=0,"",[1]对账明细接口!$D$123),"")</f>
        <v/>
      </c>
      <c r="E123" s="59" t="str">
        <f aca="false">IFERROR(IF([1]对账明细接口!$E$123=0,"",[1]对账明细接口!$E$123),"")</f>
        <v/>
      </c>
      <c r="F123" s="59" t="str">
        <f aca="false">IFERROR(IF([1]对账明细接口!$F$123=0,"",[1]对账明细接口!$F$123),"")</f>
        <v/>
      </c>
      <c r="G123" s="59" t="str">
        <f aca="false">IFERROR(IF([1]对账明细接口!$G$123=0,"",[1]对账明细接口!$G$123),"")</f>
        <v/>
      </c>
      <c r="H123" s="60" t="str">
        <f aca="false">IFERROR(IF([1]对账明细接口!$H$123=0,"",[1]对账明细接口!$H$123),"")</f>
        <v/>
      </c>
      <c r="I123" s="59" t="str">
        <f aca="false">IFERROR(IF([1]对账明细接口!$I$123=0,"",[1]对账明细接口!$I$123),"")</f>
        <v/>
      </c>
      <c r="J123" s="61" t="str">
        <f aca="false">IFERROR(IF([1]对账明细接口!$J$123=0,"",[1]对账明细接口!$J$123),"")</f>
        <v/>
      </c>
      <c r="K123" s="61" t="str">
        <f aca="false">IFERROR(IF([1]对账明细接口!$K$123=0,"",[1]对账明细接口!$K$123),"")</f>
        <v/>
      </c>
      <c r="L123" s="59" t="str">
        <f aca="false">IFERROR(IF([1]对账明细接口!$L$123=0,"",[1]对账明细接口!$L$123),"")</f>
        <v/>
      </c>
      <c r="M123" s="59" t="str">
        <f aca="false">IFERROR(IF([1]对账明细接口!$M$123=0,"",[1]对账明细接口!$M$123),"")</f>
        <v/>
      </c>
      <c r="N123" s="111" t="n">
        <f aca="false">IF($C123="",0,1)</f>
        <v>0</v>
      </c>
      <c r="O123" s="111" t="n">
        <f aca="false">N(O122)+$N123</f>
        <v>110</v>
      </c>
      <c r="S123" s="10" t="str">
        <f aca="false">IFERROR(IF([1]对账明细接口!$N123=0,"",[1]对账明细接口!$N123),"")</f>
        <v/>
      </c>
      <c r="T123" s="112" t="str">
        <f aca="false">IFERROR(IF([1]对账明细接口!$O123=0,"",[1]对账明细接口!$O123),"")</f>
        <v/>
      </c>
      <c r="U123" s="112" t="str">
        <f aca="false">IFERROR(IF([1]对账明细接口!$P123=0,"",[1]对账明细接口!$P123),"")</f>
        <v/>
      </c>
      <c r="V123" s="112" t="str">
        <f aca="false">IFERROR(IF([1]对账明细接口!$Q123=0,"",[1]对账明细接口!$Q123),"")</f>
        <v/>
      </c>
      <c r="W123" s="10" t="str">
        <f aca="false">IFERROR(IF([1]对账明细接口!$R123=0,"",[1]对账明细接口!$R123),"")</f>
        <v/>
      </c>
      <c r="X123" s="10" t="str">
        <f aca="false">IFERROR(IF([1]对账明细接口!$S123=0,"",[1]对账明细接口!$S123),"")</f>
        <v/>
      </c>
      <c r="Y123" s="10" t="str">
        <f aca="false">""</f>
        <v/>
      </c>
      <c r="Z123" s="10" t="str">
        <f aca="false">""</f>
        <v/>
      </c>
      <c r="AA123" s="10" t="str">
        <f aca="false">""</f>
        <v/>
      </c>
      <c r="AB123" s="10" t="str">
        <f aca="false">""</f>
        <v/>
      </c>
    </row>
    <row r="124" customFormat="false" ht="13.5" hidden="false" customHeight="false" outlineLevel="0" collapsed="false">
      <c r="A124" s="109" t="n">
        <v>124</v>
      </c>
      <c r="B124" s="110" t="str">
        <f aca="false">IFERROR(IF([1]对账明细接口!$B$124=0,"",[1]对账明细接口!$B$124),"")</f>
        <v/>
      </c>
      <c r="C124" s="59" t="str">
        <f aca="false">IFERROR(IF([1]对账明细接口!$C$124=0,"",[1]对账明细接口!$C$124),"")</f>
        <v/>
      </c>
      <c r="D124" s="59" t="str">
        <f aca="false">IFERROR(IF([1]对账明细接口!$D$124=0,"",[1]对账明细接口!$D$124),"")</f>
        <v/>
      </c>
      <c r="E124" s="59" t="str">
        <f aca="false">IFERROR(IF([1]对账明细接口!$E$124=0,"",[1]对账明细接口!$E$124),"")</f>
        <v/>
      </c>
      <c r="F124" s="59" t="str">
        <f aca="false">IFERROR(IF([1]对账明细接口!$F$124=0,"",[1]对账明细接口!$F$124),"")</f>
        <v/>
      </c>
      <c r="G124" s="59" t="str">
        <f aca="false">IFERROR(IF([1]对账明细接口!$G$124=0,"",[1]对账明细接口!$G$124),"")</f>
        <v/>
      </c>
      <c r="H124" s="60" t="str">
        <f aca="false">IFERROR(IF([1]对账明细接口!$H$124=0,"",[1]对账明细接口!$H$124),"")</f>
        <v/>
      </c>
      <c r="I124" s="59" t="str">
        <f aca="false">IFERROR(IF([1]对账明细接口!$I$124=0,"",[1]对账明细接口!$I$124),"")</f>
        <v/>
      </c>
      <c r="J124" s="61" t="str">
        <f aca="false">IFERROR(IF([1]对账明细接口!$J$124=0,"",[1]对账明细接口!$J$124),"")</f>
        <v/>
      </c>
      <c r="K124" s="61" t="str">
        <f aca="false">IFERROR(IF([1]对账明细接口!$K$124=0,"",[1]对账明细接口!$K$124),"")</f>
        <v/>
      </c>
      <c r="L124" s="59" t="str">
        <f aca="false">IFERROR(IF([1]对账明细接口!$L$124=0,"",[1]对账明细接口!$L$124),"")</f>
        <v/>
      </c>
      <c r="M124" s="59" t="str">
        <f aca="false">IFERROR(IF([1]对账明细接口!$M$124=0,"",[1]对账明细接口!$M$124),"")</f>
        <v/>
      </c>
      <c r="N124" s="111" t="n">
        <f aca="false">IF($C124="",0,1)</f>
        <v>0</v>
      </c>
      <c r="O124" s="111" t="n">
        <f aca="false">N(O123)+$N124</f>
        <v>110</v>
      </c>
      <c r="S124" s="10" t="str">
        <f aca="false">IFERROR(IF([1]对账明细接口!$N124=0,"",[1]对账明细接口!$N124),"")</f>
        <v/>
      </c>
      <c r="T124" s="112" t="str">
        <f aca="false">IFERROR(IF([1]对账明细接口!$O124=0,"",[1]对账明细接口!$O124),"")</f>
        <v/>
      </c>
      <c r="U124" s="112" t="str">
        <f aca="false">IFERROR(IF([1]对账明细接口!$P124=0,"",[1]对账明细接口!$P124),"")</f>
        <v/>
      </c>
      <c r="V124" s="112" t="str">
        <f aca="false">IFERROR(IF([1]对账明细接口!$Q124=0,"",[1]对账明细接口!$Q124),"")</f>
        <v/>
      </c>
      <c r="W124" s="10" t="str">
        <f aca="false">IFERROR(IF([1]对账明细接口!$R124=0,"",[1]对账明细接口!$R124),"")</f>
        <v/>
      </c>
      <c r="X124" s="10" t="str">
        <f aca="false">IFERROR(IF([1]对账明细接口!$S124=0,"",[1]对账明细接口!$S124),"")</f>
        <v/>
      </c>
      <c r="Y124" s="10" t="str">
        <f aca="false">""</f>
        <v/>
      </c>
      <c r="Z124" s="10" t="str">
        <f aca="false">""</f>
        <v/>
      </c>
      <c r="AA124" s="10" t="str">
        <f aca="false">""</f>
        <v/>
      </c>
      <c r="AB124" s="10" t="str">
        <f aca="false">""</f>
        <v/>
      </c>
    </row>
    <row r="125" customFormat="false" ht="13.5" hidden="false" customHeight="false" outlineLevel="0" collapsed="false">
      <c r="A125" s="109" t="n">
        <v>125</v>
      </c>
      <c r="B125" s="110" t="str">
        <f aca="false">IFERROR(IF([1]对账明细接口!$B$125=0,"",[1]对账明细接口!$B$125),"")</f>
        <v/>
      </c>
      <c r="C125" s="59" t="str">
        <f aca="false">IFERROR(IF([1]对账明细接口!$C$125=0,"",[1]对账明细接口!$C$125),"")</f>
        <v/>
      </c>
      <c r="D125" s="59" t="str">
        <f aca="false">IFERROR(IF([1]对账明细接口!$D$125=0,"",[1]对账明细接口!$D$125),"")</f>
        <v/>
      </c>
      <c r="E125" s="59" t="str">
        <f aca="false">IFERROR(IF([1]对账明细接口!$E$125=0,"",[1]对账明细接口!$E$125),"")</f>
        <v/>
      </c>
      <c r="F125" s="59" t="str">
        <f aca="false">IFERROR(IF([1]对账明细接口!$F$125=0,"",[1]对账明细接口!$F$125),"")</f>
        <v/>
      </c>
      <c r="G125" s="59" t="str">
        <f aca="false">IFERROR(IF([1]对账明细接口!$G$125=0,"",[1]对账明细接口!$G$125),"")</f>
        <v/>
      </c>
      <c r="H125" s="60" t="str">
        <f aca="false">IFERROR(IF([1]对账明细接口!$H$125=0,"",[1]对账明细接口!$H$125),"")</f>
        <v/>
      </c>
      <c r="I125" s="59" t="str">
        <f aca="false">IFERROR(IF([1]对账明细接口!$I$125=0,"",[1]对账明细接口!$I$125),"")</f>
        <v/>
      </c>
      <c r="J125" s="61" t="str">
        <f aca="false">IFERROR(IF([1]对账明细接口!$J$125=0,"",[1]对账明细接口!$J$125),"")</f>
        <v/>
      </c>
      <c r="K125" s="61" t="str">
        <f aca="false">IFERROR(IF([1]对账明细接口!$K$125=0,"",[1]对账明细接口!$K$125),"")</f>
        <v/>
      </c>
      <c r="L125" s="59" t="str">
        <f aca="false">IFERROR(IF([1]对账明细接口!$L$125=0,"",[1]对账明细接口!$L$125),"")</f>
        <v/>
      </c>
      <c r="M125" s="59" t="str">
        <f aca="false">IFERROR(IF([1]对账明细接口!$M$125=0,"",[1]对账明细接口!$M$125),"")</f>
        <v/>
      </c>
      <c r="N125" s="111" t="n">
        <f aca="false">IF($C125="",0,1)</f>
        <v>0</v>
      </c>
      <c r="O125" s="111" t="n">
        <f aca="false">N(O124)+$N125</f>
        <v>110</v>
      </c>
      <c r="S125" s="10" t="str">
        <f aca="false">IFERROR(IF([1]对账明细接口!$N125=0,"",[1]对账明细接口!$N125),"")</f>
        <v/>
      </c>
      <c r="T125" s="112" t="str">
        <f aca="false">IFERROR(IF([1]对账明细接口!$O125=0,"",[1]对账明细接口!$O125),"")</f>
        <v/>
      </c>
      <c r="U125" s="112" t="str">
        <f aca="false">IFERROR(IF([1]对账明细接口!$P125=0,"",[1]对账明细接口!$P125),"")</f>
        <v/>
      </c>
      <c r="V125" s="112" t="str">
        <f aca="false">IFERROR(IF([1]对账明细接口!$Q125=0,"",[1]对账明细接口!$Q125),"")</f>
        <v/>
      </c>
      <c r="W125" s="10" t="str">
        <f aca="false">IFERROR(IF([1]对账明细接口!$R125=0,"",[1]对账明细接口!$R125),"")</f>
        <v/>
      </c>
      <c r="X125" s="10" t="str">
        <f aca="false">IFERROR(IF([1]对账明细接口!$S125=0,"",[1]对账明细接口!$S125),"")</f>
        <v/>
      </c>
      <c r="Y125" s="10" t="str">
        <f aca="false">""</f>
        <v/>
      </c>
      <c r="Z125" s="10" t="str">
        <f aca="false">""</f>
        <v/>
      </c>
      <c r="AA125" s="10" t="str">
        <f aca="false">""</f>
        <v/>
      </c>
      <c r="AB125" s="10" t="str">
        <f aca="false">""</f>
        <v/>
      </c>
    </row>
    <row r="126" customFormat="false" ht="13.5" hidden="false" customHeight="false" outlineLevel="0" collapsed="false">
      <c r="A126" s="109" t="n">
        <v>126</v>
      </c>
      <c r="B126" s="110" t="str">
        <f aca="false">IFERROR(IF([1]对账明细接口!$B$126=0,"",[1]对账明细接口!$B$126),"")</f>
        <v/>
      </c>
      <c r="C126" s="59" t="str">
        <f aca="false">IFERROR(IF([1]对账明细接口!$C$126=0,"",[1]对账明细接口!$C$126),"")</f>
        <v/>
      </c>
      <c r="D126" s="59" t="str">
        <f aca="false">IFERROR(IF([1]对账明细接口!$D$126=0,"",[1]对账明细接口!$D$126),"")</f>
        <v/>
      </c>
      <c r="E126" s="59" t="str">
        <f aca="false">IFERROR(IF([1]对账明细接口!$E$126=0,"",[1]对账明细接口!$E$126),"")</f>
        <v/>
      </c>
      <c r="F126" s="59" t="str">
        <f aca="false">IFERROR(IF([1]对账明细接口!$F$126=0,"",[1]对账明细接口!$F$126),"")</f>
        <v/>
      </c>
      <c r="G126" s="59" t="str">
        <f aca="false">IFERROR(IF([1]对账明细接口!$G$126=0,"",[1]对账明细接口!$G$126),"")</f>
        <v/>
      </c>
      <c r="H126" s="60" t="str">
        <f aca="false">IFERROR(IF([1]对账明细接口!$H$126=0,"",[1]对账明细接口!$H$126),"")</f>
        <v/>
      </c>
      <c r="I126" s="59" t="str">
        <f aca="false">IFERROR(IF([1]对账明细接口!$I$126=0,"",[1]对账明细接口!$I$126),"")</f>
        <v/>
      </c>
      <c r="J126" s="61" t="str">
        <f aca="false">IFERROR(IF([1]对账明细接口!$J$126=0,"",[1]对账明细接口!$J$126),"")</f>
        <v/>
      </c>
      <c r="K126" s="61" t="str">
        <f aca="false">IFERROR(IF([1]对账明细接口!$K$126=0,"",[1]对账明细接口!$K$126),"")</f>
        <v/>
      </c>
      <c r="L126" s="59" t="str">
        <f aca="false">IFERROR(IF([1]对账明细接口!$L$126=0,"",[1]对账明细接口!$L$126),"")</f>
        <v/>
      </c>
      <c r="M126" s="59" t="str">
        <f aca="false">IFERROR(IF([1]对账明细接口!$M$126=0,"",[1]对账明细接口!$M$126),"")</f>
        <v/>
      </c>
      <c r="N126" s="111" t="n">
        <f aca="false">IF($C126="",0,1)</f>
        <v>0</v>
      </c>
      <c r="O126" s="111" t="n">
        <f aca="false">N(O125)+$N126</f>
        <v>110</v>
      </c>
      <c r="S126" s="10" t="str">
        <f aca="false">IFERROR(IF([1]对账明细接口!$N126=0,"",[1]对账明细接口!$N126),"")</f>
        <v/>
      </c>
      <c r="T126" s="112" t="str">
        <f aca="false">IFERROR(IF([1]对账明细接口!$O126=0,"",[1]对账明细接口!$O126),"")</f>
        <v/>
      </c>
      <c r="U126" s="112" t="str">
        <f aca="false">IFERROR(IF([1]对账明细接口!$P126=0,"",[1]对账明细接口!$P126),"")</f>
        <v/>
      </c>
      <c r="V126" s="112" t="str">
        <f aca="false">IFERROR(IF([1]对账明细接口!$Q126=0,"",[1]对账明细接口!$Q126),"")</f>
        <v/>
      </c>
      <c r="W126" s="10" t="str">
        <f aca="false">IFERROR(IF([1]对账明细接口!$R126=0,"",[1]对账明细接口!$R126),"")</f>
        <v/>
      </c>
      <c r="X126" s="10" t="str">
        <f aca="false">IFERROR(IF([1]对账明细接口!$S126=0,"",[1]对账明细接口!$S126),"")</f>
        <v/>
      </c>
      <c r="Y126" s="10" t="str">
        <f aca="false">""</f>
        <v/>
      </c>
      <c r="Z126" s="10" t="str">
        <f aca="false">""</f>
        <v/>
      </c>
      <c r="AA126" s="10" t="str">
        <f aca="false">""</f>
        <v/>
      </c>
      <c r="AB126" s="10" t="str">
        <f aca="false">""</f>
        <v/>
      </c>
    </row>
    <row r="127" customFormat="false" ht="13.5" hidden="false" customHeight="false" outlineLevel="0" collapsed="false">
      <c r="A127" s="109" t="n">
        <v>127</v>
      </c>
      <c r="B127" s="110" t="str">
        <f aca="false">IFERROR(IF([1]对账明细接口!$B$127=0,"",[1]对账明细接口!$B$127),"")</f>
        <v/>
      </c>
      <c r="C127" s="59" t="str">
        <f aca="false">IFERROR(IF([1]对账明细接口!$C$127=0,"",[1]对账明细接口!$C$127),"")</f>
        <v/>
      </c>
      <c r="D127" s="59" t="str">
        <f aca="false">IFERROR(IF([1]对账明细接口!$D$127=0,"",[1]对账明细接口!$D$127),"")</f>
        <v/>
      </c>
      <c r="E127" s="59" t="str">
        <f aca="false">IFERROR(IF([1]对账明细接口!$E$127=0,"",[1]对账明细接口!$E$127),"")</f>
        <v/>
      </c>
      <c r="F127" s="59" t="str">
        <f aca="false">IFERROR(IF([1]对账明细接口!$F$127=0,"",[1]对账明细接口!$F$127),"")</f>
        <v/>
      </c>
      <c r="G127" s="59" t="str">
        <f aca="false">IFERROR(IF([1]对账明细接口!$G$127=0,"",[1]对账明细接口!$G$127),"")</f>
        <v/>
      </c>
      <c r="H127" s="60" t="str">
        <f aca="false">IFERROR(IF([1]对账明细接口!$H$127=0,"",[1]对账明细接口!$H$127),"")</f>
        <v/>
      </c>
      <c r="I127" s="59" t="str">
        <f aca="false">IFERROR(IF([1]对账明细接口!$I$127=0,"",[1]对账明细接口!$I$127),"")</f>
        <v/>
      </c>
      <c r="J127" s="61" t="str">
        <f aca="false">IFERROR(IF([1]对账明细接口!$J$127=0,"",[1]对账明细接口!$J$127),"")</f>
        <v/>
      </c>
      <c r="K127" s="61" t="str">
        <f aca="false">IFERROR(IF([1]对账明细接口!$K$127=0,"",[1]对账明细接口!$K$127),"")</f>
        <v/>
      </c>
      <c r="L127" s="59" t="str">
        <f aca="false">IFERROR(IF([1]对账明细接口!$L$127=0,"",[1]对账明细接口!$L$127),"")</f>
        <v/>
      </c>
      <c r="M127" s="59" t="str">
        <f aca="false">IFERROR(IF([1]对账明细接口!$M$127=0,"",[1]对账明细接口!$M$127),"")</f>
        <v/>
      </c>
      <c r="N127" s="111" t="n">
        <f aca="false">IF($C127="",0,1)</f>
        <v>0</v>
      </c>
      <c r="O127" s="111" t="n">
        <f aca="false">N(O126)+$N127</f>
        <v>110</v>
      </c>
      <c r="S127" s="10" t="str">
        <f aca="false">IFERROR(IF([1]对账明细接口!$N127=0,"",[1]对账明细接口!$N127),"")</f>
        <v/>
      </c>
      <c r="T127" s="112" t="str">
        <f aca="false">IFERROR(IF([1]对账明细接口!$O127=0,"",[1]对账明细接口!$O127),"")</f>
        <v/>
      </c>
      <c r="U127" s="112" t="str">
        <f aca="false">IFERROR(IF([1]对账明细接口!$P127=0,"",[1]对账明细接口!$P127),"")</f>
        <v/>
      </c>
      <c r="V127" s="112" t="str">
        <f aca="false">IFERROR(IF([1]对账明细接口!$Q127=0,"",[1]对账明细接口!$Q127),"")</f>
        <v/>
      </c>
      <c r="W127" s="10" t="str">
        <f aca="false">IFERROR(IF([1]对账明细接口!$R127=0,"",[1]对账明细接口!$R127),"")</f>
        <v/>
      </c>
      <c r="X127" s="10" t="str">
        <f aca="false">IFERROR(IF([1]对账明细接口!$S127=0,"",[1]对账明细接口!$S127),"")</f>
        <v/>
      </c>
      <c r="Y127" s="10" t="str">
        <f aca="false">""</f>
        <v/>
      </c>
      <c r="Z127" s="10" t="str">
        <f aca="false">""</f>
        <v/>
      </c>
      <c r="AA127" s="10" t="str">
        <f aca="false">""</f>
        <v/>
      </c>
      <c r="AB127" s="10" t="str">
        <f aca="false">""</f>
        <v/>
      </c>
    </row>
    <row r="128" customFormat="false" ht="13.5" hidden="false" customHeight="false" outlineLevel="0" collapsed="false">
      <c r="A128" s="109" t="n">
        <v>128</v>
      </c>
      <c r="B128" s="110" t="str">
        <f aca="false">IFERROR(IF([1]对账明细接口!$B$128=0,"",[1]对账明细接口!$B$128),"")</f>
        <v/>
      </c>
      <c r="C128" s="59" t="str">
        <f aca="false">IFERROR(IF([1]对账明细接口!$C$128=0,"",[1]对账明细接口!$C$128),"")</f>
        <v/>
      </c>
      <c r="D128" s="59" t="str">
        <f aca="false">IFERROR(IF([1]对账明细接口!$D$128=0,"",[1]对账明细接口!$D$128),"")</f>
        <v/>
      </c>
      <c r="E128" s="59" t="str">
        <f aca="false">IFERROR(IF([1]对账明细接口!$E$128=0,"",[1]对账明细接口!$E$128),"")</f>
        <v/>
      </c>
      <c r="F128" s="59" t="str">
        <f aca="false">IFERROR(IF([1]对账明细接口!$F$128=0,"",[1]对账明细接口!$F$128),"")</f>
        <v/>
      </c>
      <c r="G128" s="59" t="str">
        <f aca="false">IFERROR(IF([1]对账明细接口!$G$128=0,"",[1]对账明细接口!$G$128),"")</f>
        <v/>
      </c>
      <c r="H128" s="60" t="str">
        <f aca="false">IFERROR(IF([1]对账明细接口!$H$128=0,"",[1]对账明细接口!$H$128),"")</f>
        <v/>
      </c>
      <c r="I128" s="59" t="str">
        <f aca="false">IFERROR(IF([1]对账明细接口!$I$128=0,"",[1]对账明细接口!$I$128),"")</f>
        <v/>
      </c>
      <c r="J128" s="61" t="str">
        <f aca="false">IFERROR(IF([1]对账明细接口!$J$128=0,"",[1]对账明细接口!$J$128),"")</f>
        <v/>
      </c>
      <c r="K128" s="61" t="str">
        <f aca="false">IFERROR(IF([1]对账明细接口!$K$128=0,"",[1]对账明细接口!$K$128),"")</f>
        <v/>
      </c>
      <c r="L128" s="59" t="str">
        <f aca="false">IFERROR(IF([1]对账明细接口!$L$128=0,"",[1]对账明细接口!$L$128),"")</f>
        <v/>
      </c>
      <c r="M128" s="59" t="str">
        <f aca="false">IFERROR(IF([1]对账明细接口!$M$128=0,"",[1]对账明细接口!$M$128),"")</f>
        <v/>
      </c>
      <c r="N128" s="111" t="n">
        <f aca="false">IF($C128="",0,1)</f>
        <v>0</v>
      </c>
      <c r="O128" s="111" t="n">
        <f aca="false">N(O127)+$N128</f>
        <v>110</v>
      </c>
      <c r="S128" s="10" t="str">
        <f aca="false">IFERROR(IF([1]对账明细接口!$N128=0,"",[1]对账明细接口!$N128),"")</f>
        <v/>
      </c>
      <c r="T128" s="112" t="str">
        <f aca="false">IFERROR(IF([1]对账明细接口!$O128=0,"",[1]对账明细接口!$O128),"")</f>
        <v/>
      </c>
      <c r="U128" s="112" t="str">
        <f aca="false">IFERROR(IF([1]对账明细接口!$P128=0,"",[1]对账明细接口!$P128),"")</f>
        <v/>
      </c>
      <c r="V128" s="112" t="str">
        <f aca="false">IFERROR(IF([1]对账明细接口!$Q128=0,"",[1]对账明细接口!$Q128),"")</f>
        <v/>
      </c>
      <c r="W128" s="10" t="str">
        <f aca="false">IFERROR(IF([1]对账明细接口!$R128=0,"",[1]对账明细接口!$R128),"")</f>
        <v/>
      </c>
      <c r="X128" s="10" t="str">
        <f aca="false">IFERROR(IF([1]对账明细接口!$S128=0,"",[1]对账明细接口!$S128),"")</f>
        <v/>
      </c>
      <c r="Y128" s="10" t="str">
        <f aca="false">""</f>
        <v/>
      </c>
      <c r="Z128" s="10" t="str">
        <f aca="false">""</f>
        <v/>
      </c>
      <c r="AA128" s="10" t="str">
        <f aca="false">""</f>
        <v/>
      </c>
      <c r="AB128" s="10" t="str">
        <f aca="false">""</f>
        <v/>
      </c>
    </row>
    <row r="129" customFormat="false" ht="13.5" hidden="false" customHeight="false" outlineLevel="0" collapsed="false">
      <c r="A129" s="109" t="n">
        <v>129</v>
      </c>
      <c r="B129" s="110" t="str">
        <f aca="false">IFERROR(IF([1]对账明细接口!$B$129=0,"",[1]对账明细接口!$B$129),"")</f>
        <v/>
      </c>
      <c r="C129" s="59" t="str">
        <f aca="false">IFERROR(IF([1]对账明细接口!$C$129=0,"",[1]对账明细接口!$C$129),"")</f>
        <v/>
      </c>
      <c r="D129" s="59" t="str">
        <f aca="false">IFERROR(IF([1]对账明细接口!$D$129=0,"",[1]对账明细接口!$D$129),"")</f>
        <v/>
      </c>
      <c r="E129" s="59" t="str">
        <f aca="false">IFERROR(IF([1]对账明细接口!$E$129=0,"",[1]对账明细接口!$E$129),"")</f>
        <v/>
      </c>
      <c r="F129" s="59" t="str">
        <f aca="false">IFERROR(IF([1]对账明细接口!$F$129=0,"",[1]对账明细接口!$F$129),"")</f>
        <v/>
      </c>
      <c r="G129" s="59" t="str">
        <f aca="false">IFERROR(IF([1]对账明细接口!$G$129=0,"",[1]对账明细接口!$G$129),"")</f>
        <v/>
      </c>
      <c r="H129" s="60" t="str">
        <f aca="false">IFERROR(IF([1]对账明细接口!$H$129=0,"",[1]对账明细接口!$H$129),"")</f>
        <v/>
      </c>
      <c r="I129" s="59" t="str">
        <f aca="false">IFERROR(IF([1]对账明细接口!$I$129=0,"",[1]对账明细接口!$I$129),"")</f>
        <v/>
      </c>
      <c r="J129" s="61" t="str">
        <f aca="false">IFERROR(IF([1]对账明细接口!$J$129=0,"",[1]对账明细接口!$J$129),"")</f>
        <v/>
      </c>
      <c r="K129" s="61" t="str">
        <f aca="false">IFERROR(IF([1]对账明细接口!$K$129=0,"",[1]对账明细接口!$K$129),"")</f>
        <v/>
      </c>
      <c r="L129" s="59" t="str">
        <f aca="false">IFERROR(IF([1]对账明细接口!$L$129=0,"",[1]对账明细接口!$L$129),"")</f>
        <v/>
      </c>
      <c r="M129" s="59" t="str">
        <f aca="false">IFERROR(IF([1]对账明细接口!$M$129=0,"",[1]对账明细接口!$M$129),"")</f>
        <v/>
      </c>
      <c r="N129" s="111" t="n">
        <f aca="false">IF($C129="",0,1)</f>
        <v>0</v>
      </c>
      <c r="O129" s="111" t="n">
        <f aca="false">N(O128)+$N129</f>
        <v>110</v>
      </c>
      <c r="S129" s="10" t="str">
        <f aca="false">IFERROR(IF([1]对账明细接口!$N129=0,"",[1]对账明细接口!$N129),"")</f>
        <v/>
      </c>
      <c r="T129" s="112" t="str">
        <f aca="false">IFERROR(IF([1]对账明细接口!$O129=0,"",[1]对账明细接口!$O129),"")</f>
        <v/>
      </c>
      <c r="U129" s="112" t="str">
        <f aca="false">IFERROR(IF([1]对账明细接口!$P129=0,"",[1]对账明细接口!$P129),"")</f>
        <v/>
      </c>
      <c r="V129" s="112" t="str">
        <f aca="false">IFERROR(IF([1]对账明细接口!$Q129=0,"",[1]对账明细接口!$Q129),"")</f>
        <v/>
      </c>
      <c r="W129" s="10" t="str">
        <f aca="false">IFERROR(IF([1]对账明细接口!$R129=0,"",[1]对账明细接口!$R129),"")</f>
        <v/>
      </c>
      <c r="X129" s="10" t="str">
        <f aca="false">IFERROR(IF([1]对账明细接口!$S129=0,"",[1]对账明细接口!$S129),"")</f>
        <v/>
      </c>
      <c r="Y129" s="10" t="str">
        <f aca="false">""</f>
        <v/>
      </c>
      <c r="Z129" s="10" t="str">
        <f aca="false">""</f>
        <v/>
      </c>
      <c r="AA129" s="10" t="str">
        <f aca="false">""</f>
        <v/>
      </c>
      <c r="AB129" s="10" t="str">
        <f aca="false">""</f>
        <v/>
      </c>
    </row>
    <row r="130" customFormat="false" ht="13.5" hidden="false" customHeight="false" outlineLevel="0" collapsed="false">
      <c r="A130" s="109" t="n">
        <v>130</v>
      </c>
      <c r="B130" s="110" t="str">
        <f aca="false">IFERROR(IF([1]对账明细接口!$B$130=0,"",[1]对账明细接口!$B$130),"")</f>
        <v/>
      </c>
      <c r="C130" s="59" t="str">
        <f aca="false">IFERROR(IF([1]对账明细接口!$C$130=0,"",[1]对账明细接口!$C$130),"")</f>
        <v/>
      </c>
      <c r="D130" s="59" t="str">
        <f aca="false">IFERROR(IF([1]对账明细接口!$D$130=0,"",[1]对账明细接口!$D$130),"")</f>
        <v/>
      </c>
      <c r="E130" s="59" t="str">
        <f aca="false">IFERROR(IF([1]对账明细接口!$E$130=0,"",[1]对账明细接口!$E$130),"")</f>
        <v/>
      </c>
      <c r="F130" s="59" t="str">
        <f aca="false">IFERROR(IF([1]对账明细接口!$F$130=0,"",[1]对账明细接口!$F$130),"")</f>
        <v/>
      </c>
      <c r="G130" s="59" t="str">
        <f aca="false">IFERROR(IF([1]对账明细接口!$G$130=0,"",[1]对账明细接口!$G$130),"")</f>
        <v/>
      </c>
      <c r="H130" s="60" t="str">
        <f aca="false">IFERROR(IF([1]对账明细接口!$H$130=0,"",[1]对账明细接口!$H$130),"")</f>
        <v/>
      </c>
      <c r="I130" s="59" t="str">
        <f aca="false">IFERROR(IF([1]对账明细接口!$I$130=0,"",[1]对账明细接口!$I$130),"")</f>
        <v/>
      </c>
      <c r="J130" s="61" t="str">
        <f aca="false">IFERROR(IF([1]对账明细接口!$J$130=0,"",[1]对账明细接口!$J$130),"")</f>
        <v/>
      </c>
      <c r="K130" s="61" t="str">
        <f aca="false">IFERROR(IF([1]对账明细接口!$K$130=0,"",[1]对账明细接口!$K$130),"")</f>
        <v/>
      </c>
      <c r="L130" s="59" t="str">
        <f aca="false">IFERROR(IF([1]对账明细接口!$L$130=0,"",[1]对账明细接口!$L$130),"")</f>
        <v/>
      </c>
      <c r="M130" s="59" t="str">
        <f aca="false">IFERROR(IF([1]对账明细接口!$M$130=0,"",[1]对账明细接口!$M$130),"")</f>
        <v/>
      </c>
      <c r="N130" s="111" t="n">
        <f aca="false">IF($C130="",0,1)</f>
        <v>0</v>
      </c>
      <c r="O130" s="111" t="n">
        <f aca="false">N(O129)+$N130</f>
        <v>110</v>
      </c>
      <c r="S130" s="10" t="str">
        <f aca="false">IFERROR(IF([1]对账明细接口!$N130=0,"",[1]对账明细接口!$N130),"")</f>
        <v/>
      </c>
      <c r="T130" s="112" t="str">
        <f aca="false">IFERROR(IF([1]对账明细接口!$O130=0,"",[1]对账明细接口!$O130),"")</f>
        <v/>
      </c>
      <c r="U130" s="112" t="str">
        <f aca="false">IFERROR(IF([1]对账明细接口!$P130=0,"",[1]对账明细接口!$P130),"")</f>
        <v/>
      </c>
      <c r="V130" s="112" t="str">
        <f aca="false">IFERROR(IF([1]对账明细接口!$Q130=0,"",[1]对账明细接口!$Q130),"")</f>
        <v/>
      </c>
      <c r="W130" s="10" t="str">
        <f aca="false">IFERROR(IF([1]对账明细接口!$R130=0,"",[1]对账明细接口!$R130),"")</f>
        <v/>
      </c>
      <c r="X130" s="10" t="str">
        <f aca="false">IFERROR(IF([1]对账明细接口!$S130=0,"",[1]对账明细接口!$S130),"")</f>
        <v/>
      </c>
      <c r="Y130" s="10" t="str">
        <f aca="false">""</f>
        <v/>
      </c>
      <c r="Z130" s="10" t="str">
        <f aca="false">""</f>
        <v/>
      </c>
      <c r="AA130" s="10" t="str">
        <f aca="false">""</f>
        <v/>
      </c>
      <c r="AB130" s="10" t="str">
        <f aca="false">""</f>
        <v/>
      </c>
    </row>
    <row r="131" customFormat="false" ht="13.5" hidden="false" customHeight="false" outlineLevel="0" collapsed="false">
      <c r="A131" s="109" t="n">
        <v>131</v>
      </c>
      <c r="B131" s="110" t="str">
        <f aca="false">IFERROR(IF([1]对账明细接口!$B$131=0,"",[1]对账明细接口!$B$131),"")</f>
        <v/>
      </c>
      <c r="C131" s="59" t="str">
        <f aca="false">IFERROR(IF([1]对账明细接口!$C$131=0,"",[1]对账明细接口!$C$131),"")</f>
        <v/>
      </c>
      <c r="D131" s="59" t="str">
        <f aca="false">IFERROR(IF([1]对账明细接口!$D$131=0,"",[1]对账明细接口!$D$131),"")</f>
        <v/>
      </c>
      <c r="E131" s="59" t="str">
        <f aca="false">IFERROR(IF([1]对账明细接口!$E$131=0,"",[1]对账明细接口!$E$131),"")</f>
        <v/>
      </c>
      <c r="F131" s="59" t="str">
        <f aca="false">IFERROR(IF([1]对账明细接口!$F$131=0,"",[1]对账明细接口!$F$131),"")</f>
        <v/>
      </c>
      <c r="G131" s="59" t="str">
        <f aca="false">IFERROR(IF([1]对账明细接口!$G$131=0,"",[1]对账明细接口!$G$131),"")</f>
        <v/>
      </c>
      <c r="H131" s="60" t="str">
        <f aca="false">IFERROR(IF([1]对账明细接口!$H$131=0,"",[1]对账明细接口!$H$131),"")</f>
        <v/>
      </c>
      <c r="I131" s="59" t="str">
        <f aca="false">IFERROR(IF([1]对账明细接口!$I$131=0,"",[1]对账明细接口!$I$131),"")</f>
        <v/>
      </c>
      <c r="J131" s="61" t="str">
        <f aca="false">IFERROR(IF([1]对账明细接口!$J$131=0,"",[1]对账明细接口!$J$131),"")</f>
        <v/>
      </c>
      <c r="K131" s="61" t="str">
        <f aca="false">IFERROR(IF([1]对账明细接口!$K$131=0,"",[1]对账明细接口!$K$131),"")</f>
        <v/>
      </c>
      <c r="L131" s="59" t="str">
        <f aca="false">IFERROR(IF([1]对账明细接口!$L$131=0,"",[1]对账明细接口!$L$131),"")</f>
        <v/>
      </c>
      <c r="M131" s="59" t="str">
        <f aca="false">IFERROR(IF([1]对账明细接口!$M$131=0,"",[1]对账明细接口!$M$131),"")</f>
        <v/>
      </c>
      <c r="N131" s="111" t="n">
        <f aca="false">IF($C131="",0,1)</f>
        <v>0</v>
      </c>
      <c r="O131" s="111" t="n">
        <f aca="false">N(O130)+$N131</f>
        <v>110</v>
      </c>
      <c r="S131" s="10" t="str">
        <f aca="false">IFERROR(IF([1]对账明细接口!$N131=0,"",[1]对账明细接口!$N131),"")</f>
        <v/>
      </c>
      <c r="T131" s="112" t="str">
        <f aca="false">IFERROR(IF([1]对账明细接口!$O131=0,"",[1]对账明细接口!$O131),"")</f>
        <v/>
      </c>
      <c r="U131" s="112" t="str">
        <f aca="false">IFERROR(IF([1]对账明细接口!$P131=0,"",[1]对账明细接口!$P131),"")</f>
        <v/>
      </c>
      <c r="V131" s="112" t="str">
        <f aca="false">IFERROR(IF([1]对账明细接口!$Q131=0,"",[1]对账明细接口!$Q131),"")</f>
        <v/>
      </c>
      <c r="W131" s="10" t="str">
        <f aca="false">IFERROR(IF([1]对账明细接口!$R131=0,"",[1]对账明细接口!$R131),"")</f>
        <v/>
      </c>
      <c r="X131" s="10" t="str">
        <f aca="false">IFERROR(IF([1]对账明细接口!$S131=0,"",[1]对账明细接口!$S131),"")</f>
        <v/>
      </c>
      <c r="Y131" s="10" t="str">
        <f aca="false">""</f>
        <v/>
      </c>
      <c r="Z131" s="10" t="str">
        <f aca="false">""</f>
        <v/>
      </c>
      <c r="AA131" s="10" t="str">
        <f aca="false">""</f>
        <v/>
      </c>
      <c r="AB131" s="10" t="str">
        <f aca="false">""</f>
        <v/>
      </c>
    </row>
    <row r="132" customFormat="false" ht="13.5" hidden="false" customHeight="false" outlineLevel="0" collapsed="false">
      <c r="A132" s="109" t="n">
        <v>132</v>
      </c>
      <c r="B132" s="110" t="str">
        <f aca="false">IFERROR(IF([1]对账明细接口!$B$132=0,"",[1]对账明细接口!$B$132),"")</f>
        <v/>
      </c>
      <c r="C132" s="59" t="str">
        <f aca="false">IFERROR(IF([1]对账明细接口!$C$132=0,"",[1]对账明细接口!$C$132),"")</f>
        <v/>
      </c>
      <c r="D132" s="59" t="str">
        <f aca="false">IFERROR(IF([1]对账明细接口!$D$132=0,"",[1]对账明细接口!$D$132),"")</f>
        <v/>
      </c>
      <c r="E132" s="59" t="str">
        <f aca="false">IFERROR(IF([1]对账明细接口!$E$132=0,"",[1]对账明细接口!$E$132),"")</f>
        <v/>
      </c>
      <c r="F132" s="59" t="str">
        <f aca="false">IFERROR(IF([1]对账明细接口!$F$132=0,"",[1]对账明细接口!$F$132),"")</f>
        <v/>
      </c>
      <c r="G132" s="59" t="str">
        <f aca="false">IFERROR(IF([1]对账明细接口!$G$132=0,"",[1]对账明细接口!$G$132),"")</f>
        <v/>
      </c>
      <c r="H132" s="60" t="str">
        <f aca="false">IFERROR(IF([1]对账明细接口!$H$132=0,"",[1]对账明细接口!$H$132),"")</f>
        <v/>
      </c>
      <c r="I132" s="59" t="str">
        <f aca="false">IFERROR(IF([1]对账明细接口!$I$132=0,"",[1]对账明细接口!$I$132),"")</f>
        <v/>
      </c>
      <c r="J132" s="61" t="str">
        <f aca="false">IFERROR(IF([1]对账明细接口!$J$132=0,"",[1]对账明细接口!$J$132),"")</f>
        <v/>
      </c>
      <c r="K132" s="61" t="str">
        <f aca="false">IFERROR(IF([1]对账明细接口!$K$132=0,"",[1]对账明细接口!$K$132),"")</f>
        <v/>
      </c>
      <c r="L132" s="59" t="str">
        <f aca="false">IFERROR(IF([1]对账明细接口!$L$132=0,"",[1]对账明细接口!$L$132),"")</f>
        <v/>
      </c>
      <c r="M132" s="59" t="str">
        <f aca="false">IFERROR(IF([1]对账明细接口!$M$132=0,"",[1]对账明细接口!$M$132),"")</f>
        <v/>
      </c>
      <c r="N132" s="111" t="n">
        <f aca="false">IF($C132="",0,1)</f>
        <v>0</v>
      </c>
      <c r="O132" s="111" t="n">
        <f aca="false">N(O131)+$N132</f>
        <v>110</v>
      </c>
      <c r="S132" s="10" t="str">
        <f aca="false">IFERROR(IF([1]对账明细接口!$N132=0,"",[1]对账明细接口!$N132),"")</f>
        <v/>
      </c>
      <c r="T132" s="112" t="str">
        <f aca="false">IFERROR(IF([1]对账明细接口!$O132=0,"",[1]对账明细接口!$O132),"")</f>
        <v/>
      </c>
      <c r="U132" s="112" t="str">
        <f aca="false">IFERROR(IF([1]对账明细接口!$P132=0,"",[1]对账明细接口!$P132),"")</f>
        <v/>
      </c>
      <c r="V132" s="112" t="str">
        <f aca="false">IFERROR(IF([1]对账明细接口!$Q132=0,"",[1]对账明细接口!$Q132),"")</f>
        <v/>
      </c>
      <c r="W132" s="10" t="str">
        <f aca="false">IFERROR(IF([1]对账明细接口!$R132=0,"",[1]对账明细接口!$R132),"")</f>
        <v/>
      </c>
      <c r="X132" s="10" t="str">
        <f aca="false">IFERROR(IF([1]对账明细接口!$S132=0,"",[1]对账明细接口!$S132),"")</f>
        <v/>
      </c>
      <c r="Y132" s="10" t="str">
        <f aca="false">""</f>
        <v/>
      </c>
      <c r="Z132" s="10" t="str">
        <f aca="false">""</f>
        <v/>
      </c>
      <c r="AA132" s="10" t="str">
        <f aca="false">""</f>
        <v/>
      </c>
      <c r="AB132" s="10" t="str">
        <f aca="false">""</f>
        <v/>
      </c>
    </row>
    <row r="133" customFormat="false" ht="13.5" hidden="false" customHeight="false" outlineLevel="0" collapsed="false">
      <c r="A133" s="109" t="n">
        <v>133</v>
      </c>
      <c r="B133" s="110" t="str">
        <f aca="false">IFERROR(IF([1]对账明细接口!$B$133=0,"",[1]对账明细接口!$B$133),"")</f>
        <v/>
      </c>
      <c r="C133" s="59" t="str">
        <f aca="false">IFERROR(IF([1]对账明细接口!$C$133=0,"",[1]对账明细接口!$C$133),"")</f>
        <v/>
      </c>
      <c r="D133" s="59" t="str">
        <f aca="false">IFERROR(IF([1]对账明细接口!$D$133=0,"",[1]对账明细接口!$D$133),"")</f>
        <v/>
      </c>
      <c r="E133" s="59" t="str">
        <f aca="false">IFERROR(IF([1]对账明细接口!$E$133=0,"",[1]对账明细接口!$E$133),"")</f>
        <v/>
      </c>
      <c r="F133" s="59" t="str">
        <f aca="false">IFERROR(IF([1]对账明细接口!$F$133=0,"",[1]对账明细接口!$F$133),"")</f>
        <v/>
      </c>
      <c r="G133" s="59" t="str">
        <f aca="false">IFERROR(IF([1]对账明细接口!$G$133=0,"",[1]对账明细接口!$G$133),"")</f>
        <v/>
      </c>
      <c r="H133" s="60" t="str">
        <f aca="false">IFERROR(IF([1]对账明细接口!$H$133=0,"",[1]对账明细接口!$H$133),"")</f>
        <v/>
      </c>
      <c r="I133" s="59" t="str">
        <f aca="false">IFERROR(IF([1]对账明细接口!$I$133=0,"",[1]对账明细接口!$I$133),"")</f>
        <v/>
      </c>
      <c r="J133" s="61" t="str">
        <f aca="false">IFERROR(IF([1]对账明细接口!$J$133=0,"",[1]对账明细接口!$J$133),"")</f>
        <v/>
      </c>
      <c r="K133" s="61" t="str">
        <f aca="false">IFERROR(IF([1]对账明细接口!$K$133=0,"",[1]对账明细接口!$K$133),"")</f>
        <v/>
      </c>
      <c r="L133" s="59" t="str">
        <f aca="false">IFERROR(IF([1]对账明细接口!$L$133=0,"",[1]对账明细接口!$L$133),"")</f>
        <v/>
      </c>
      <c r="M133" s="59" t="str">
        <f aca="false">IFERROR(IF([1]对账明细接口!$M$133=0,"",[1]对账明细接口!$M$133),"")</f>
        <v/>
      </c>
      <c r="N133" s="111" t="n">
        <f aca="false">IF($C133="",0,1)</f>
        <v>0</v>
      </c>
      <c r="O133" s="111" t="n">
        <f aca="false">N(O132)+$N133</f>
        <v>110</v>
      </c>
      <c r="S133" s="10" t="str">
        <f aca="false">IFERROR(IF([1]对账明细接口!$N133=0,"",[1]对账明细接口!$N133),"")</f>
        <v/>
      </c>
      <c r="T133" s="112" t="str">
        <f aca="false">IFERROR(IF([1]对账明细接口!$O133=0,"",[1]对账明细接口!$O133),"")</f>
        <v/>
      </c>
      <c r="U133" s="112" t="str">
        <f aca="false">IFERROR(IF([1]对账明细接口!$P133=0,"",[1]对账明细接口!$P133),"")</f>
        <v/>
      </c>
      <c r="V133" s="112" t="str">
        <f aca="false">IFERROR(IF([1]对账明细接口!$Q133=0,"",[1]对账明细接口!$Q133),"")</f>
        <v/>
      </c>
      <c r="W133" s="10" t="str">
        <f aca="false">IFERROR(IF([1]对账明细接口!$R133=0,"",[1]对账明细接口!$R133),"")</f>
        <v/>
      </c>
      <c r="X133" s="10" t="str">
        <f aca="false">IFERROR(IF([1]对账明细接口!$S133=0,"",[1]对账明细接口!$S133),"")</f>
        <v/>
      </c>
      <c r="Y133" s="10" t="str">
        <f aca="false">""</f>
        <v/>
      </c>
      <c r="Z133" s="10" t="str">
        <f aca="false">""</f>
        <v/>
      </c>
      <c r="AA133" s="10" t="str">
        <f aca="false">""</f>
        <v/>
      </c>
      <c r="AB133" s="10" t="str">
        <f aca="false">""</f>
        <v/>
      </c>
    </row>
    <row r="134" customFormat="false" ht="13.5" hidden="false" customHeight="false" outlineLevel="0" collapsed="false">
      <c r="A134" s="109" t="n">
        <v>134</v>
      </c>
      <c r="B134" s="110" t="str">
        <f aca="false">IFERROR(IF([1]对账明细接口!$B$134=0,"",[1]对账明细接口!$B$134),"")</f>
        <v/>
      </c>
      <c r="C134" s="59" t="str">
        <f aca="false">IFERROR(IF([1]对账明细接口!$C$134=0,"",[1]对账明细接口!$C$134),"")</f>
        <v/>
      </c>
      <c r="D134" s="59" t="str">
        <f aca="false">IFERROR(IF([1]对账明细接口!$D$134=0,"",[1]对账明细接口!$D$134),"")</f>
        <v/>
      </c>
      <c r="E134" s="59" t="str">
        <f aca="false">IFERROR(IF([1]对账明细接口!$E$134=0,"",[1]对账明细接口!$E$134),"")</f>
        <v/>
      </c>
      <c r="F134" s="59" t="str">
        <f aca="false">IFERROR(IF([1]对账明细接口!$F$134=0,"",[1]对账明细接口!$F$134),"")</f>
        <v/>
      </c>
      <c r="G134" s="59" t="str">
        <f aca="false">IFERROR(IF([1]对账明细接口!$G$134=0,"",[1]对账明细接口!$G$134),"")</f>
        <v/>
      </c>
      <c r="H134" s="60" t="str">
        <f aca="false">IFERROR(IF([1]对账明细接口!$H$134=0,"",[1]对账明细接口!$H$134),"")</f>
        <v/>
      </c>
      <c r="I134" s="59" t="str">
        <f aca="false">IFERROR(IF([1]对账明细接口!$I$134=0,"",[1]对账明细接口!$I$134),"")</f>
        <v/>
      </c>
      <c r="J134" s="61" t="str">
        <f aca="false">IFERROR(IF([1]对账明细接口!$J$134=0,"",[1]对账明细接口!$J$134),"")</f>
        <v/>
      </c>
      <c r="K134" s="61" t="str">
        <f aca="false">IFERROR(IF([1]对账明细接口!$K$134=0,"",[1]对账明细接口!$K$134),"")</f>
        <v/>
      </c>
      <c r="L134" s="59" t="str">
        <f aca="false">IFERROR(IF([1]对账明细接口!$L$134=0,"",[1]对账明细接口!$L$134),"")</f>
        <v/>
      </c>
      <c r="M134" s="59" t="str">
        <f aca="false">IFERROR(IF([1]对账明细接口!$M$134=0,"",[1]对账明细接口!$M$134),"")</f>
        <v/>
      </c>
      <c r="N134" s="111" t="n">
        <f aca="false">IF($C134="",0,1)</f>
        <v>0</v>
      </c>
      <c r="O134" s="111" t="n">
        <f aca="false">N(O133)+$N134</f>
        <v>110</v>
      </c>
      <c r="S134" s="10" t="str">
        <f aca="false">IFERROR(IF([1]对账明细接口!$N134=0,"",[1]对账明细接口!$N134),"")</f>
        <v/>
      </c>
      <c r="T134" s="112" t="str">
        <f aca="false">IFERROR(IF([1]对账明细接口!$O134=0,"",[1]对账明细接口!$O134),"")</f>
        <v/>
      </c>
      <c r="U134" s="112" t="str">
        <f aca="false">IFERROR(IF([1]对账明细接口!$P134=0,"",[1]对账明细接口!$P134),"")</f>
        <v/>
      </c>
      <c r="V134" s="112" t="str">
        <f aca="false">IFERROR(IF([1]对账明细接口!$Q134=0,"",[1]对账明细接口!$Q134),"")</f>
        <v/>
      </c>
      <c r="W134" s="10" t="str">
        <f aca="false">IFERROR(IF([1]对账明细接口!$R134=0,"",[1]对账明细接口!$R134),"")</f>
        <v/>
      </c>
      <c r="X134" s="10" t="str">
        <f aca="false">IFERROR(IF([1]对账明细接口!$S134=0,"",[1]对账明细接口!$S134),"")</f>
        <v/>
      </c>
      <c r="Y134" s="10" t="str">
        <f aca="false">""</f>
        <v/>
      </c>
      <c r="Z134" s="10" t="str">
        <f aca="false">""</f>
        <v/>
      </c>
      <c r="AA134" s="10" t="str">
        <f aca="false">""</f>
        <v/>
      </c>
      <c r="AB134" s="10" t="str">
        <f aca="false">""</f>
        <v/>
      </c>
    </row>
    <row r="135" customFormat="false" ht="13.5" hidden="false" customHeight="false" outlineLevel="0" collapsed="false">
      <c r="A135" s="109" t="n">
        <v>135</v>
      </c>
      <c r="B135" s="110" t="str">
        <f aca="false">IFERROR(IF([1]对账明细接口!$B$135=0,"",[1]对账明细接口!$B$135),"")</f>
        <v/>
      </c>
      <c r="C135" s="59" t="str">
        <f aca="false">IFERROR(IF([1]对账明细接口!$C$135=0,"",[1]对账明细接口!$C$135),"")</f>
        <v/>
      </c>
      <c r="D135" s="59" t="str">
        <f aca="false">IFERROR(IF([1]对账明细接口!$D$135=0,"",[1]对账明细接口!$D$135),"")</f>
        <v/>
      </c>
      <c r="E135" s="59" t="str">
        <f aca="false">IFERROR(IF([1]对账明细接口!$E$135=0,"",[1]对账明细接口!$E$135),"")</f>
        <v/>
      </c>
      <c r="F135" s="59" t="str">
        <f aca="false">IFERROR(IF([1]对账明细接口!$F$135=0,"",[1]对账明细接口!$F$135),"")</f>
        <v/>
      </c>
      <c r="G135" s="59" t="str">
        <f aca="false">IFERROR(IF([1]对账明细接口!$G$135=0,"",[1]对账明细接口!$G$135),"")</f>
        <v/>
      </c>
      <c r="H135" s="60" t="str">
        <f aca="false">IFERROR(IF([1]对账明细接口!$H$135=0,"",[1]对账明细接口!$H$135),"")</f>
        <v/>
      </c>
      <c r="I135" s="59" t="str">
        <f aca="false">IFERROR(IF([1]对账明细接口!$I$135=0,"",[1]对账明细接口!$I$135),"")</f>
        <v/>
      </c>
      <c r="J135" s="61" t="str">
        <f aca="false">IFERROR(IF([1]对账明细接口!$J$135=0,"",[1]对账明细接口!$J$135),"")</f>
        <v/>
      </c>
      <c r="K135" s="61" t="str">
        <f aca="false">IFERROR(IF([1]对账明细接口!$K$135=0,"",[1]对账明细接口!$K$135),"")</f>
        <v/>
      </c>
      <c r="L135" s="59" t="str">
        <f aca="false">IFERROR(IF([1]对账明细接口!$L$135=0,"",[1]对账明细接口!$L$135),"")</f>
        <v/>
      </c>
      <c r="M135" s="59" t="str">
        <f aca="false">IFERROR(IF([1]对账明细接口!$M$135=0,"",[1]对账明细接口!$M$135),"")</f>
        <v/>
      </c>
      <c r="N135" s="111" t="n">
        <f aca="false">IF($C135="",0,1)</f>
        <v>0</v>
      </c>
      <c r="O135" s="111" t="n">
        <f aca="false">N(O134)+$N135</f>
        <v>110</v>
      </c>
      <c r="S135" s="10" t="str">
        <f aca="false">IFERROR(IF([1]对账明细接口!$N135=0,"",[1]对账明细接口!$N135),"")</f>
        <v/>
      </c>
      <c r="T135" s="112" t="str">
        <f aca="false">IFERROR(IF([1]对账明细接口!$O135=0,"",[1]对账明细接口!$O135),"")</f>
        <v/>
      </c>
      <c r="U135" s="112" t="str">
        <f aca="false">IFERROR(IF([1]对账明细接口!$P135=0,"",[1]对账明细接口!$P135),"")</f>
        <v/>
      </c>
      <c r="V135" s="112" t="str">
        <f aca="false">IFERROR(IF([1]对账明细接口!$Q135=0,"",[1]对账明细接口!$Q135),"")</f>
        <v/>
      </c>
      <c r="W135" s="10" t="str">
        <f aca="false">IFERROR(IF([1]对账明细接口!$R135=0,"",[1]对账明细接口!$R135),"")</f>
        <v/>
      </c>
      <c r="X135" s="10" t="str">
        <f aca="false">IFERROR(IF([1]对账明细接口!$S135=0,"",[1]对账明细接口!$S135),"")</f>
        <v/>
      </c>
      <c r="Y135" s="10" t="str">
        <f aca="false">""</f>
        <v/>
      </c>
      <c r="Z135" s="10" t="str">
        <f aca="false">""</f>
        <v/>
      </c>
      <c r="AA135" s="10" t="str">
        <f aca="false">""</f>
        <v/>
      </c>
      <c r="AB135" s="10" t="str">
        <f aca="false">""</f>
        <v/>
      </c>
    </row>
    <row r="136" customFormat="false" ht="13.5" hidden="false" customHeight="false" outlineLevel="0" collapsed="false">
      <c r="A136" s="109" t="n">
        <v>136</v>
      </c>
      <c r="B136" s="110" t="str">
        <f aca="false">IFERROR(IF([1]对账明细接口!$B$136=0,"",[1]对账明细接口!$B$136),"")</f>
        <v/>
      </c>
      <c r="C136" s="59" t="str">
        <f aca="false">IFERROR(IF([1]对账明细接口!$C$136=0,"",[1]对账明细接口!$C$136),"")</f>
        <v/>
      </c>
      <c r="D136" s="59" t="str">
        <f aca="false">IFERROR(IF([1]对账明细接口!$D$136=0,"",[1]对账明细接口!$D$136),"")</f>
        <v/>
      </c>
      <c r="E136" s="59" t="str">
        <f aca="false">IFERROR(IF([1]对账明细接口!$E$136=0,"",[1]对账明细接口!$E$136),"")</f>
        <v/>
      </c>
      <c r="F136" s="59" t="str">
        <f aca="false">IFERROR(IF([1]对账明细接口!$F$136=0,"",[1]对账明细接口!$F$136),"")</f>
        <v/>
      </c>
      <c r="G136" s="59" t="str">
        <f aca="false">IFERROR(IF([1]对账明细接口!$G$136=0,"",[1]对账明细接口!$G$136),"")</f>
        <v/>
      </c>
      <c r="H136" s="60" t="str">
        <f aca="false">IFERROR(IF([1]对账明细接口!$H$136=0,"",[1]对账明细接口!$H$136),"")</f>
        <v/>
      </c>
      <c r="I136" s="59" t="str">
        <f aca="false">IFERROR(IF([1]对账明细接口!$I$136=0,"",[1]对账明细接口!$I$136),"")</f>
        <v/>
      </c>
      <c r="J136" s="61" t="str">
        <f aca="false">IFERROR(IF([1]对账明细接口!$J$136=0,"",[1]对账明细接口!$J$136),"")</f>
        <v/>
      </c>
      <c r="K136" s="61" t="str">
        <f aca="false">IFERROR(IF([1]对账明细接口!$K$136=0,"",[1]对账明细接口!$K$136),"")</f>
        <v/>
      </c>
      <c r="L136" s="59" t="str">
        <f aca="false">IFERROR(IF([1]对账明细接口!$L$136=0,"",[1]对账明细接口!$L$136),"")</f>
        <v/>
      </c>
      <c r="M136" s="59" t="str">
        <f aca="false">IFERROR(IF([1]对账明细接口!$M$136=0,"",[1]对账明细接口!$M$136),"")</f>
        <v/>
      </c>
      <c r="N136" s="111" t="n">
        <f aca="false">IF($C136="",0,1)</f>
        <v>0</v>
      </c>
      <c r="O136" s="111" t="n">
        <f aca="false">N(O135)+$N136</f>
        <v>110</v>
      </c>
      <c r="S136" s="10" t="str">
        <f aca="false">IFERROR(IF([1]对账明细接口!$N136=0,"",[1]对账明细接口!$N136),"")</f>
        <v/>
      </c>
      <c r="T136" s="112" t="str">
        <f aca="false">IFERROR(IF([1]对账明细接口!$O136=0,"",[1]对账明细接口!$O136),"")</f>
        <v/>
      </c>
      <c r="U136" s="112" t="str">
        <f aca="false">IFERROR(IF([1]对账明细接口!$P136=0,"",[1]对账明细接口!$P136),"")</f>
        <v/>
      </c>
      <c r="V136" s="112" t="str">
        <f aca="false">IFERROR(IF([1]对账明细接口!$Q136=0,"",[1]对账明细接口!$Q136),"")</f>
        <v/>
      </c>
      <c r="W136" s="10" t="str">
        <f aca="false">IFERROR(IF([1]对账明细接口!$R136=0,"",[1]对账明细接口!$R136),"")</f>
        <v/>
      </c>
      <c r="X136" s="10" t="str">
        <f aca="false">IFERROR(IF([1]对账明细接口!$S136=0,"",[1]对账明细接口!$S136),"")</f>
        <v/>
      </c>
      <c r="Y136" s="10" t="str">
        <f aca="false">""</f>
        <v/>
      </c>
      <c r="Z136" s="10" t="str">
        <f aca="false">""</f>
        <v/>
      </c>
      <c r="AA136" s="10" t="str">
        <f aca="false">""</f>
        <v/>
      </c>
      <c r="AB136" s="10" t="str">
        <f aca="false">""</f>
        <v/>
      </c>
    </row>
    <row r="137" customFormat="false" ht="13.5" hidden="false" customHeight="false" outlineLevel="0" collapsed="false">
      <c r="A137" s="109" t="n">
        <v>137</v>
      </c>
      <c r="B137" s="110" t="str">
        <f aca="false">IFERROR(IF([1]对账明细接口!$B$137=0,"",[1]对账明细接口!$B$137),"")</f>
        <v/>
      </c>
      <c r="C137" s="59" t="str">
        <f aca="false">IFERROR(IF([1]对账明细接口!$C$137=0,"",[1]对账明细接口!$C$137),"")</f>
        <v/>
      </c>
      <c r="D137" s="59" t="str">
        <f aca="false">IFERROR(IF([1]对账明细接口!$D$137=0,"",[1]对账明细接口!$D$137),"")</f>
        <v/>
      </c>
      <c r="E137" s="59" t="str">
        <f aca="false">IFERROR(IF([1]对账明细接口!$E$137=0,"",[1]对账明细接口!$E$137),"")</f>
        <v/>
      </c>
      <c r="F137" s="59" t="str">
        <f aca="false">IFERROR(IF([1]对账明细接口!$F$137=0,"",[1]对账明细接口!$F$137),"")</f>
        <v/>
      </c>
      <c r="G137" s="59" t="str">
        <f aca="false">IFERROR(IF([1]对账明细接口!$G$137=0,"",[1]对账明细接口!$G$137),"")</f>
        <v/>
      </c>
      <c r="H137" s="60" t="str">
        <f aca="false">IFERROR(IF([1]对账明细接口!$H$137=0,"",[1]对账明细接口!$H$137),"")</f>
        <v/>
      </c>
      <c r="I137" s="59" t="str">
        <f aca="false">IFERROR(IF([1]对账明细接口!$I$137=0,"",[1]对账明细接口!$I$137),"")</f>
        <v/>
      </c>
      <c r="J137" s="61" t="str">
        <f aca="false">IFERROR(IF([1]对账明细接口!$J$137=0,"",[1]对账明细接口!$J$137),"")</f>
        <v/>
      </c>
      <c r="K137" s="61" t="str">
        <f aca="false">IFERROR(IF([1]对账明细接口!$K$137=0,"",[1]对账明细接口!$K$137),"")</f>
        <v/>
      </c>
      <c r="L137" s="59" t="str">
        <f aca="false">IFERROR(IF([1]对账明细接口!$L$137=0,"",[1]对账明细接口!$L$137),"")</f>
        <v/>
      </c>
      <c r="M137" s="59" t="str">
        <f aca="false">IFERROR(IF([1]对账明细接口!$M$137=0,"",[1]对账明细接口!$M$137),"")</f>
        <v/>
      </c>
      <c r="N137" s="111" t="n">
        <f aca="false">IF($C137="",0,1)</f>
        <v>0</v>
      </c>
      <c r="O137" s="111" t="n">
        <f aca="false">N(O136)+$N137</f>
        <v>110</v>
      </c>
      <c r="S137" s="10" t="str">
        <f aca="false">IFERROR(IF([1]对账明细接口!$N137=0,"",[1]对账明细接口!$N137),"")</f>
        <v/>
      </c>
      <c r="T137" s="112" t="str">
        <f aca="false">IFERROR(IF([1]对账明细接口!$O137=0,"",[1]对账明细接口!$O137),"")</f>
        <v/>
      </c>
      <c r="U137" s="112" t="str">
        <f aca="false">IFERROR(IF([1]对账明细接口!$P137=0,"",[1]对账明细接口!$P137),"")</f>
        <v/>
      </c>
      <c r="V137" s="112" t="str">
        <f aca="false">IFERROR(IF([1]对账明细接口!$Q137=0,"",[1]对账明细接口!$Q137),"")</f>
        <v/>
      </c>
      <c r="W137" s="10" t="str">
        <f aca="false">IFERROR(IF([1]对账明细接口!$R137=0,"",[1]对账明细接口!$R137),"")</f>
        <v/>
      </c>
      <c r="X137" s="10" t="str">
        <f aca="false">IFERROR(IF([1]对账明细接口!$S137=0,"",[1]对账明细接口!$S137),"")</f>
        <v/>
      </c>
      <c r="Y137" s="10" t="str">
        <f aca="false">""</f>
        <v/>
      </c>
      <c r="Z137" s="10" t="str">
        <f aca="false">""</f>
        <v/>
      </c>
      <c r="AA137" s="10" t="str">
        <f aca="false">""</f>
        <v/>
      </c>
      <c r="AB137" s="10" t="str">
        <f aca="false">""</f>
        <v/>
      </c>
    </row>
    <row r="138" customFormat="false" ht="13.5" hidden="false" customHeight="false" outlineLevel="0" collapsed="false">
      <c r="A138" s="109" t="n">
        <v>138</v>
      </c>
      <c r="B138" s="110" t="str">
        <f aca="false">IFERROR(IF([1]对账明细接口!$B$138=0,"",[1]对账明细接口!$B$138),"")</f>
        <v/>
      </c>
      <c r="C138" s="59" t="str">
        <f aca="false">IFERROR(IF([1]对账明细接口!$C$138=0,"",[1]对账明细接口!$C$138),"")</f>
        <v/>
      </c>
      <c r="D138" s="59" t="str">
        <f aca="false">IFERROR(IF([1]对账明细接口!$D$138=0,"",[1]对账明细接口!$D$138),"")</f>
        <v/>
      </c>
      <c r="E138" s="59" t="str">
        <f aca="false">IFERROR(IF([1]对账明细接口!$E$138=0,"",[1]对账明细接口!$E$138),"")</f>
        <v/>
      </c>
      <c r="F138" s="59" t="str">
        <f aca="false">IFERROR(IF([1]对账明细接口!$F$138=0,"",[1]对账明细接口!$F$138),"")</f>
        <v/>
      </c>
      <c r="G138" s="59" t="str">
        <f aca="false">IFERROR(IF([1]对账明细接口!$G$138=0,"",[1]对账明细接口!$G$138),"")</f>
        <v/>
      </c>
      <c r="H138" s="60" t="str">
        <f aca="false">IFERROR(IF([1]对账明细接口!$H$138=0,"",[1]对账明细接口!$H$138),"")</f>
        <v/>
      </c>
      <c r="I138" s="59" t="str">
        <f aca="false">IFERROR(IF([1]对账明细接口!$I$138=0,"",[1]对账明细接口!$I$138),"")</f>
        <v/>
      </c>
      <c r="J138" s="61" t="str">
        <f aca="false">IFERROR(IF([1]对账明细接口!$J$138=0,"",[1]对账明细接口!$J$138),"")</f>
        <v/>
      </c>
      <c r="K138" s="61" t="str">
        <f aca="false">IFERROR(IF([1]对账明细接口!$K$138=0,"",[1]对账明细接口!$K$138),"")</f>
        <v/>
      </c>
      <c r="L138" s="59" t="str">
        <f aca="false">IFERROR(IF([1]对账明细接口!$L$138=0,"",[1]对账明细接口!$L$138),"")</f>
        <v/>
      </c>
      <c r="M138" s="59" t="str">
        <f aca="false">IFERROR(IF([1]对账明细接口!$M$138=0,"",[1]对账明细接口!$M$138),"")</f>
        <v/>
      </c>
      <c r="N138" s="111" t="n">
        <f aca="false">IF($C138="",0,1)</f>
        <v>0</v>
      </c>
      <c r="O138" s="111" t="n">
        <f aca="false">N(O137)+$N138</f>
        <v>110</v>
      </c>
      <c r="S138" s="10" t="str">
        <f aca="false">IFERROR(IF([1]对账明细接口!$N138=0,"",[1]对账明细接口!$N138),"")</f>
        <v/>
      </c>
      <c r="T138" s="112" t="str">
        <f aca="false">IFERROR(IF([1]对账明细接口!$O138=0,"",[1]对账明细接口!$O138),"")</f>
        <v/>
      </c>
      <c r="U138" s="112" t="str">
        <f aca="false">IFERROR(IF([1]对账明细接口!$P138=0,"",[1]对账明细接口!$P138),"")</f>
        <v/>
      </c>
      <c r="V138" s="112" t="str">
        <f aca="false">IFERROR(IF([1]对账明细接口!$Q138=0,"",[1]对账明细接口!$Q138),"")</f>
        <v/>
      </c>
      <c r="W138" s="10" t="str">
        <f aca="false">IFERROR(IF([1]对账明细接口!$R138=0,"",[1]对账明细接口!$R138),"")</f>
        <v/>
      </c>
      <c r="X138" s="10" t="str">
        <f aca="false">IFERROR(IF([1]对账明细接口!$S138=0,"",[1]对账明细接口!$S138),"")</f>
        <v/>
      </c>
      <c r="Y138" s="10" t="str">
        <f aca="false">""</f>
        <v/>
      </c>
      <c r="Z138" s="10" t="str">
        <f aca="false">""</f>
        <v/>
      </c>
      <c r="AA138" s="10" t="str">
        <f aca="false">""</f>
        <v/>
      </c>
      <c r="AB138" s="10" t="str">
        <f aca="false">""</f>
        <v/>
      </c>
    </row>
    <row r="139" customFormat="false" ht="13.5" hidden="false" customHeight="false" outlineLevel="0" collapsed="false">
      <c r="A139" s="109" t="n">
        <v>139</v>
      </c>
      <c r="B139" s="110" t="str">
        <f aca="false">IFERROR(IF([1]对账明细接口!$B$139=0,"",[1]对账明细接口!$B$139),"")</f>
        <v/>
      </c>
      <c r="C139" s="59" t="str">
        <f aca="false">IFERROR(IF([1]对账明细接口!$C$139=0,"",[1]对账明细接口!$C$139),"")</f>
        <v/>
      </c>
      <c r="D139" s="59" t="str">
        <f aca="false">IFERROR(IF([1]对账明细接口!$D$139=0,"",[1]对账明细接口!$D$139),"")</f>
        <v/>
      </c>
      <c r="E139" s="59" t="str">
        <f aca="false">IFERROR(IF([1]对账明细接口!$E$139=0,"",[1]对账明细接口!$E$139),"")</f>
        <v/>
      </c>
      <c r="F139" s="59" t="str">
        <f aca="false">IFERROR(IF([1]对账明细接口!$F$139=0,"",[1]对账明细接口!$F$139),"")</f>
        <v/>
      </c>
      <c r="G139" s="59" t="str">
        <f aca="false">IFERROR(IF([1]对账明细接口!$G$139=0,"",[1]对账明细接口!$G$139),"")</f>
        <v/>
      </c>
      <c r="H139" s="60" t="str">
        <f aca="false">IFERROR(IF([1]对账明细接口!$H$139=0,"",[1]对账明细接口!$H$139),"")</f>
        <v/>
      </c>
      <c r="I139" s="59" t="str">
        <f aca="false">IFERROR(IF([1]对账明细接口!$I$139=0,"",[1]对账明细接口!$I$139),"")</f>
        <v/>
      </c>
      <c r="J139" s="61" t="str">
        <f aca="false">IFERROR(IF([1]对账明细接口!$J$139=0,"",[1]对账明细接口!$J$139),"")</f>
        <v/>
      </c>
      <c r="K139" s="61" t="str">
        <f aca="false">IFERROR(IF([1]对账明细接口!$K$139=0,"",[1]对账明细接口!$K$139),"")</f>
        <v/>
      </c>
      <c r="L139" s="59" t="str">
        <f aca="false">IFERROR(IF([1]对账明细接口!$L$139=0,"",[1]对账明细接口!$L$139),"")</f>
        <v/>
      </c>
      <c r="M139" s="59" t="str">
        <f aca="false">IFERROR(IF([1]对账明细接口!$M$139=0,"",[1]对账明细接口!$M$139),"")</f>
        <v/>
      </c>
      <c r="N139" s="111" t="n">
        <f aca="false">IF($C139="",0,1)</f>
        <v>0</v>
      </c>
      <c r="O139" s="111" t="n">
        <f aca="false">N(O138)+$N139</f>
        <v>110</v>
      </c>
      <c r="S139" s="10" t="str">
        <f aca="false">IFERROR(IF([1]对账明细接口!$N139=0,"",[1]对账明细接口!$N139),"")</f>
        <v/>
      </c>
      <c r="T139" s="112" t="str">
        <f aca="false">IFERROR(IF([1]对账明细接口!$O139=0,"",[1]对账明细接口!$O139),"")</f>
        <v/>
      </c>
      <c r="U139" s="112" t="str">
        <f aca="false">IFERROR(IF([1]对账明细接口!$P139=0,"",[1]对账明细接口!$P139),"")</f>
        <v/>
      </c>
      <c r="V139" s="112" t="str">
        <f aca="false">IFERROR(IF([1]对账明细接口!$Q139=0,"",[1]对账明细接口!$Q139),"")</f>
        <v/>
      </c>
      <c r="W139" s="10" t="str">
        <f aca="false">IFERROR(IF([1]对账明细接口!$R139=0,"",[1]对账明细接口!$R139),"")</f>
        <v/>
      </c>
      <c r="X139" s="10" t="str">
        <f aca="false">IFERROR(IF([1]对账明细接口!$S139=0,"",[1]对账明细接口!$S139),"")</f>
        <v/>
      </c>
      <c r="Y139" s="10" t="str">
        <f aca="false">""</f>
        <v/>
      </c>
      <c r="Z139" s="10" t="str">
        <f aca="false">""</f>
        <v/>
      </c>
      <c r="AA139" s="10" t="str">
        <f aca="false">""</f>
        <v/>
      </c>
      <c r="AB139" s="10" t="str">
        <f aca="false">""</f>
        <v/>
      </c>
    </row>
    <row r="140" customFormat="false" ht="13.5" hidden="false" customHeight="false" outlineLevel="0" collapsed="false">
      <c r="A140" s="109" t="n">
        <v>140</v>
      </c>
      <c r="B140" s="110" t="str">
        <f aca="false">IFERROR(IF([1]对账明细接口!$B$140=0,"",[1]对账明细接口!$B$140),"")</f>
        <v/>
      </c>
      <c r="C140" s="59" t="str">
        <f aca="false">IFERROR(IF([1]对账明细接口!$C$140=0,"",[1]对账明细接口!$C$140),"")</f>
        <v/>
      </c>
      <c r="D140" s="59" t="str">
        <f aca="false">IFERROR(IF([1]对账明细接口!$D$140=0,"",[1]对账明细接口!$D$140),"")</f>
        <v/>
      </c>
      <c r="E140" s="59" t="str">
        <f aca="false">IFERROR(IF([1]对账明细接口!$E$140=0,"",[1]对账明细接口!$E$140),"")</f>
        <v/>
      </c>
      <c r="F140" s="59" t="str">
        <f aca="false">IFERROR(IF([1]对账明细接口!$F$140=0,"",[1]对账明细接口!$F$140),"")</f>
        <v/>
      </c>
      <c r="G140" s="59" t="str">
        <f aca="false">IFERROR(IF([1]对账明细接口!$G$140=0,"",[1]对账明细接口!$G$140),"")</f>
        <v/>
      </c>
      <c r="H140" s="60" t="str">
        <f aca="false">IFERROR(IF([1]对账明细接口!$H$140=0,"",[1]对账明细接口!$H$140),"")</f>
        <v/>
      </c>
      <c r="I140" s="59" t="str">
        <f aca="false">IFERROR(IF([1]对账明细接口!$I$140=0,"",[1]对账明细接口!$I$140),"")</f>
        <v/>
      </c>
      <c r="J140" s="61" t="str">
        <f aca="false">IFERROR(IF([1]对账明细接口!$J$140=0,"",[1]对账明细接口!$J$140),"")</f>
        <v/>
      </c>
      <c r="K140" s="61" t="str">
        <f aca="false">IFERROR(IF([1]对账明细接口!$K$140=0,"",[1]对账明细接口!$K$140),"")</f>
        <v/>
      </c>
      <c r="L140" s="59" t="str">
        <f aca="false">IFERROR(IF([1]对账明细接口!$L$140=0,"",[1]对账明细接口!$L$140),"")</f>
        <v/>
      </c>
      <c r="M140" s="59" t="str">
        <f aca="false">IFERROR(IF([1]对账明细接口!$M$140=0,"",[1]对账明细接口!$M$140),"")</f>
        <v/>
      </c>
      <c r="N140" s="111" t="n">
        <f aca="false">IF($C140="",0,1)</f>
        <v>0</v>
      </c>
      <c r="O140" s="111" t="n">
        <f aca="false">N(O139)+$N140</f>
        <v>110</v>
      </c>
      <c r="S140" s="10" t="str">
        <f aca="false">IFERROR(IF([1]对账明细接口!$N140=0,"",[1]对账明细接口!$N140),"")</f>
        <v/>
      </c>
      <c r="T140" s="112" t="str">
        <f aca="false">IFERROR(IF([1]对账明细接口!$O140=0,"",[1]对账明细接口!$O140),"")</f>
        <v/>
      </c>
      <c r="U140" s="112" t="str">
        <f aca="false">IFERROR(IF([1]对账明细接口!$P140=0,"",[1]对账明细接口!$P140),"")</f>
        <v/>
      </c>
      <c r="V140" s="112" t="str">
        <f aca="false">IFERROR(IF([1]对账明细接口!$Q140=0,"",[1]对账明细接口!$Q140),"")</f>
        <v/>
      </c>
      <c r="W140" s="10" t="str">
        <f aca="false">IFERROR(IF([1]对账明细接口!$R140=0,"",[1]对账明细接口!$R140),"")</f>
        <v/>
      </c>
      <c r="X140" s="10" t="str">
        <f aca="false">IFERROR(IF([1]对账明细接口!$S140=0,"",[1]对账明细接口!$S140),"")</f>
        <v/>
      </c>
      <c r="Y140" s="10" t="str">
        <f aca="false">""</f>
        <v/>
      </c>
      <c r="Z140" s="10" t="str">
        <f aca="false">""</f>
        <v/>
      </c>
      <c r="AA140" s="10" t="str">
        <f aca="false">""</f>
        <v/>
      </c>
      <c r="AB140" s="10" t="str">
        <f aca="false">""</f>
        <v/>
      </c>
    </row>
    <row r="141" customFormat="false" ht="13.5" hidden="false" customHeight="false" outlineLevel="0" collapsed="false">
      <c r="A141" s="109" t="n">
        <v>141</v>
      </c>
      <c r="B141" s="110" t="str">
        <f aca="false">IFERROR(IF([1]对账明细接口!$B$141=0,"",[1]对账明细接口!$B$141),"")</f>
        <v/>
      </c>
      <c r="C141" s="59" t="str">
        <f aca="false">IFERROR(IF([1]对账明细接口!$C$141=0,"",[1]对账明细接口!$C$141),"")</f>
        <v/>
      </c>
      <c r="D141" s="59" t="str">
        <f aca="false">IFERROR(IF([1]对账明细接口!$D$141=0,"",[1]对账明细接口!$D$141),"")</f>
        <v/>
      </c>
      <c r="E141" s="59" t="str">
        <f aca="false">IFERROR(IF([1]对账明细接口!$E$141=0,"",[1]对账明细接口!$E$141),"")</f>
        <v/>
      </c>
      <c r="F141" s="59" t="str">
        <f aca="false">IFERROR(IF([1]对账明细接口!$F$141=0,"",[1]对账明细接口!$F$141),"")</f>
        <v/>
      </c>
      <c r="G141" s="59" t="str">
        <f aca="false">IFERROR(IF([1]对账明细接口!$G$141=0,"",[1]对账明细接口!$G$141),"")</f>
        <v/>
      </c>
      <c r="H141" s="60" t="str">
        <f aca="false">IFERROR(IF([1]对账明细接口!$H$141=0,"",[1]对账明细接口!$H$141),"")</f>
        <v/>
      </c>
      <c r="I141" s="59" t="str">
        <f aca="false">IFERROR(IF([1]对账明细接口!$I$141=0,"",[1]对账明细接口!$I$141),"")</f>
        <v/>
      </c>
      <c r="J141" s="61" t="str">
        <f aca="false">IFERROR(IF([1]对账明细接口!$J$141=0,"",[1]对账明细接口!$J$141),"")</f>
        <v/>
      </c>
      <c r="K141" s="61" t="str">
        <f aca="false">IFERROR(IF([1]对账明细接口!$K$141=0,"",[1]对账明细接口!$K$141),"")</f>
        <v/>
      </c>
      <c r="L141" s="59" t="str">
        <f aca="false">IFERROR(IF([1]对账明细接口!$L$141=0,"",[1]对账明细接口!$L$141),"")</f>
        <v/>
      </c>
      <c r="M141" s="59" t="str">
        <f aca="false">IFERROR(IF([1]对账明细接口!$M$141=0,"",[1]对账明细接口!$M$141),"")</f>
        <v/>
      </c>
      <c r="N141" s="111" t="n">
        <f aca="false">IF($C141="",0,1)</f>
        <v>0</v>
      </c>
      <c r="O141" s="111" t="n">
        <f aca="false">N(O140)+$N141</f>
        <v>110</v>
      </c>
      <c r="S141" s="10" t="str">
        <f aca="false">IFERROR(IF([1]对账明细接口!$N141=0,"",[1]对账明细接口!$N141),"")</f>
        <v/>
      </c>
      <c r="T141" s="112" t="str">
        <f aca="false">IFERROR(IF([1]对账明细接口!$O141=0,"",[1]对账明细接口!$O141),"")</f>
        <v/>
      </c>
      <c r="U141" s="112" t="str">
        <f aca="false">IFERROR(IF([1]对账明细接口!$P141=0,"",[1]对账明细接口!$P141),"")</f>
        <v/>
      </c>
      <c r="V141" s="112" t="str">
        <f aca="false">IFERROR(IF([1]对账明细接口!$Q141=0,"",[1]对账明细接口!$Q141),"")</f>
        <v/>
      </c>
      <c r="W141" s="10" t="str">
        <f aca="false">IFERROR(IF([1]对账明细接口!$R141=0,"",[1]对账明细接口!$R141),"")</f>
        <v/>
      </c>
      <c r="X141" s="10" t="str">
        <f aca="false">IFERROR(IF([1]对账明细接口!$S141=0,"",[1]对账明细接口!$S141),"")</f>
        <v/>
      </c>
      <c r="Y141" s="10" t="str">
        <f aca="false">""</f>
        <v/>
      </c>
      <c r="Z141" s="10" t="str">
        <f aca="false">""</f>
        <v/>
      </c>
      <c r="AA141" s="10" t="str">
        <f aca="false">""</f>
        <v/>
      </c>
      <c r="AB141" s="10" t="str">
        <f aca="false">""</f>
        <v/>
      </c>
    </row>
    <row r="142" customFormat="false" ht="13.5" hidden="false" customHeight="false" outlineLevel="0" collapsed="false">
      <c r="A142" s="109" t="n">
        <v>142</v>
      </c>
      <c r="B142" s="110" t="str">
        <f aca="false">IFERROR(IF([1]对账明细接口!$B$142=0,"",[1]对账明细接口!$B$142),"")</f>
        <v/>
      </c>
      <c r="C142" s="59" t="str">
        <f aca="false">IFERROR(IF([1]对账明细接口!$C$142=0,"",[1]对账明细接口!$C$142),"")</f>
        <v/>
      </c>
      <c r="D142" s="59" t="str">
        <f aca="false">IFERROR(IF([1]对账明细接口!$D$142=0,"",[1]对账明细接口!$D$142),"")</f>
        <v/>
      </c>
      <c r="E142" s="59" t="str">
        <f aca="false">IFERROR(IF([1]对账明细接口!$E$142=0,"",[1]对账明细接口!$E$142),"")</f>
        <v/>
      </c>
      <c r="F142" s="59" t="str">
        <f aca="false">IFERROR(IF([1]对账明细接口!$F$142=0,"",[1]对账明细接口!$F$142),"")</f>
        <v/>
      </c>
      <c r="G142" s="59" t="str">
        <f aca="false">IFERROR(IF([1]对账明细接口!$G$142=0,"",[1]对账明细接口!$G$142),"")</f>
        <v/>
      </c>
      <c r="H142" s="60" t="str">
        <f aca="false">IFERROR(IF([1]对账明细接口!$H$142=0,"",[1]对账明细接口!$H$142),"")</f>
        <v/>
      </c>
      <c r="I142" s="59" t="str">
        <f aca="false">IFERROR(IF([1]对账明细接口!$I$142=0,"",[1]对账明细接口!$I$142),"")</f>
        <v/>
      </c>
      <c r="J142" s="61" t="str">
        <f aca="false">IFERROR(IF([1]对账明细接口!$J$142=0,"",[1]对账明细接口!$J$142),"")</f>
        <v/>
      </c>
      <c r="K142" s="61" t="str">
        <f aca="false">IFERROR(IF([1]对账明细接口!$K$142=0,"",[1]对账明细接口!$K$142),"")</f>
        <v/>
      </c>
      <c r="L142" s="59" t="str">
        <f aca="false">IFERROR(IF([1]对账明细接口!$L$142=0,"",[1]对账明细接口!$L$142),"")</f>
        <v/>
      </c>
      <c r="M142" s="59" t="str">
        <f aca="false">IFERROR(IF([1]对账明细接口!$M$142=0,"",[1]对账明细接口!$M$142),"")</f>
        <v/>
      </c>
      <c r="N142" s="111" t="n">
        <f aca="false">IF($C142="",0,1)</f>
        <v>0</v>
      </c>
      <c r="O142" s="111" t="n">
        <f aca="false">N(O141)+$N142</f>
        <v>110</v>
      </c>
      <c r="S142" s="10" t="str">
        <f aca="false">IFERROR(IF([1]对账明细接口!$N142=0,"",[1]对账明细接口!$N142),"")</f>
        <v/>
      </c>
      <c r="T142" s="112" t="str">
        <f aca="false">IFERROR(IF([1]对账明细接口!$O142=0,"",[1]对账明细接口!$O142),"")</f>
        <v/>
      </c>
      <c r="U142" s="112" t="str">
        <f aca="false">IFERROR(IF([1]对账明细接口!$P142=0,"",[1]对账明细接口!$P142),"")</f>
        <v/>
      </c>
      <c r="V142" s="112" t="str">
        <f aca="false">IFERROR(IF([1]对账明细接口!$Q142=0,"",[1]对账明细接口!$Q142),"")</f>
        <v/>
      </c>
      <c r="W142" s="10" t="str">
        <f aca="false">IFERROR(IF([1]对账明细接口!$R142=0,"",[1]对账明细接口!$R142),"")</f>
        <v/>
      </c>
      <c r="X142" s="10" t="str">
        <f aca="false">IFERROR(IF([1]对账明细接口!$S142=0,"",[1]对账明细接口!$S142),"")</f>
        <v/>
      </c>
      <c r="Y142" s="10" t="str">
        <f aca="false">""</f>
        <v/>
      </c>
      <c r="Z142" s="10" t="str">
        <f aca="false">""</f>
        <v/>
      </c>
      <c r="AA142" s="10" t="str">
        <f aca="false">""</f>
        <v/>
      </c>
      <c r="AB142" s="10" t="str">
        <f aca="false">""</f>
        <v/>
      </c>
    </row>
    <row r="143" customFormat="false" ht="13.5" hidden="false" customHeight="false" outlineLevel="0" collapsed="false">
      <c r="A143" s="109" t="n">
        <v>143</v>
      </c>
      <c r="B143" s="110" t="str">
        <f aca="false">IFERROR(IF([1]对账明细接口!$B$143=0,"",[1]对账明细接口!$B$143),"")</f>
        <v/>
      </c>
      <c r="C143" s="59" t="str">
        <f aca="false">IFERROR(IF([1]对账明细接口!$C$143=0,"",[1]对账明细接口!$C$143),"")</f>
        <v/>
      </c>
      <c r="D143" s="59" t="str">
        <f aca="false">IFERROR(IF([1]对账明细接口!$D$143=0,"",[1]对账明细接口!$D$143),"")</f>
        <v/>
      </c>
      <c r="E143" s="59" t="str">
        <f aca="false">IFERROR(IF([1]对账明细接口!$E$143=0,"",[1]对账明细接口!$E$143),"")</f>
        <v/>
      </c>
      <c r="F143" s="59" t="str">
        <f aca="false">IFERROR(IF([1]对账明细接口!$F$143=0,"",[1]对账明细接口!$F$143),"")</f>
        <v/>
      </c>
      <c r="G143" s="59" t="str">
        <f aca="false">IFERROR(IF([1]对账明细接口!$G$143=0,"",[1]对账明细接口!$G$143),"")</f>
        <v/>
      </c>
      <c r="H143" s="60" t="str">
        <f aca="false">IFERROR(IF([1]对账明细接口!$H$143=0,"",[1]对账明细接口!$H$143),"")</f>
        <v/>
      </c>
      <c r="I143" s="59" t="str">
        <f aca="false">IFERROR(IF([1]对账明细接口!$I$143=0,"",[1]对账明细接口!$I$143),"")</f>
        <v/>
      </c>
      <c r="J143" s="61" t="str">
        <f aca="false">IFERROR(IF([1]对账明细接口!$J$143=0,"",[1]对账明细接口!$J$143),"")</f>
        <v/>
      </c>
      <c r="K143" s="61" t="str">
        <f aca="false">IFERROR(IF([1]对账明细接口!$K$143=0,"",[1]对账明细接口!$K$143),"")</f>
        <v/>
      </c>
      <c r="L143" s="59" t="str">
        <f aca="false">IFERROR(IF([1]对账明细接口!$L$143=0,"",[1]对账明细接口!$L$143),"")</f>
        <v/>
      </c>
      <c r="M143" s="59" t="str">
        <f aca="false">IFERROR(IF([1]对账明细接口!$M$143=0,"",[1]对账明细接口!$M$143),"")</f>
        <v/>
      </c>
      <c r="N143" s="111" t="n">
        <f aca="false">IF($C143="",0,1)</f>
        <v>0</v>
      </c>
      <c r="O143" s="111" t="n">
        <f aca="false">N(O142)+$N143</f>
        <v>110</v>
      </c>
      <c r="S143" s="10" t="str">
        <f aca="false">IFERROR(IF([1]对账明细接口!$N143=0,"",[1]对账明细接口!$N143),"")</f>
        <v/>
      </c>
      <c r="T143" s="112" t="str">
        <f aca="false">IFERROR(IF([1]对账明细接口!$O143=0,"",[1]对账明细接口!$O143),"")</f>
        <v/>
      </c>
      <c r="U143" s="112" t="str">
        <f aca="false">IFERROR(IF([1]对账明细接口!$P143=0,"",[1]对账明细接口!$P143),"")</f>
        <v/>
      </c>
      <c r="V143" s="112" t="str">
        <f aca="false">IFERROR(IF([1]对账明细接口!$Q143=0,"",[1]对账明细接口!$Q143),"")</f>
        <v/>
      </c>
      <c r="W143" s="10" t="str">
        <f aca="false">IFERROR(IF([1]对账明细接口!$R143=0,"",[1]对账明细接口!$R143),"")</f>
        <v/>
      </c>
      <c r="X143" s="10" t="str">
        <f aca="false">IFERROR(IF([1]对账明细接口!$S143=0,"",[1]对账明细接口!$S143),"")</f>
        <v/>
      </c>
      <c r="Y143" s="10" t="str">
        <f aca="false">""</f>
        <v/>
      </c>
      <c r="Z143" s="10" t="str">
        <f aca="false">""</f>
        <v/>
      </c>
      <c r="AA143" s="10" t="str">
        <f aca="false">""</f>
        <v/>
      </c>
      <c r="AB143" s="10" t="str">
        <f aca="false">""</f>
        <v/>
      </c>
    </row>
    <row r="144" customFormat="false" ht="13.5" hidden="false" customHeight="false" outlineLevel="0" collapsed="false">
      <c r="A144" s="109" t="n">
        <v>144</v>
      </c>
      <c r="B144" s="110" t="str">
        <f aca="false">IFERROR(IF([1]对账明细接口!$B$144=0,"",[1]对账明细接口!$B$144),"")</f>
        <v/>
      </c>
      <c r="C144" s="59" t="str">
        <f aca="false">IFERROR(IF([1]对账明细接口!$C$144=0,"",[1]对账明细接口!$C$144),"")</f>
        <v/>
      </c>
      <c r="D144" s="59" t="str">
        <f aca="false">IFERROR(IF([1]对账明细接口!$D$144=0,"",[1]对账明细接口!$D$144),"")</f>
        <v/>
      </c>
      <c r="E144" s="59" t="str">
        <f aca="false">IFERROR(IF([1]对账明细接口!$E$144=0,"",[1]对账明细接口!$E$144),"")</f>
        <v/>
      </c>
      <c r="F144" s="59" t="str">
        <f aca="false">IFERROR(IF([1]对账明细接口!$F$144=0,"",[1]对账明细接口!$F$144),"")</f>
        <v/>
      </c>
      <c r="G144" s="59" t="str">
        <f aca="false">IFERROR(IF([1]对账明细接口!$G$144=0,"",[1]对账明细接口!$G$144),"")</f>
        <v/>
      </c>
      <c r="H144" s="60" t="str">
        <f aca="false">IFERROR(IF([1]对账明细接口!$H$144=0,"",[1]对账明细接口!$H$144),"")</f>
        <v/>
      </c>
      <c r="I144" s="59" t="str">
        <f aca="false">IFERROR(IF([1]对账明细接口!$I$144=0,"",[1]对账明细接口!$I$144),"")</f>
        <v/>
      </c>
      <c r="J144" s="61" t="str">
        <f aca="false">IFERROR(IF([1]对账明细接口!$J$144=0,"",[1]对账明细接口!$J$144),"")</f>
        <v/>
      </c>
      <c r="K144" s="61" t="str">
        <f aca="false">IFERROR(IF([1]对账明细接口!$K$144=0,"",[1]对账明细接口!$K$144),"")</f>
        <v/>
      </c>
      <c r="L144" s="59" t="str">
        <f aca="false">IFERROR(IF([1]对账明细接口!$L$144=0,"",[1]对账明细接口!$L$144),"")</f>
        <v/>
      </c>
      <c r="M144" s="59" t="str">
        <f aca="false">IFERROR(IF([1]对账明细接口!$M$144=0,"",[1]对账明细接口!$M$144),"")</f>
        <v/>
      </c>
      <c r="N144" s="111" t="n">
        <f aca="false">IF($C144="",0,1)</f>
        <v>0</v>
      </c>
      <c r="O144" s="111" t="n">
        <f aca="false">N(O143)+$N144</f>
        <v>110</v>
      </c>
      <c r="S144" s="10" t="str">
        <f aca="false">IFERROR(IF([1]对账明细接口!$N144=0,"",[1]对账明细接口!$N144),"")</f>
        <v/>
      </c>
      <c r="T144" s="112" t="str">
        <f aca="false">IFERROR(IF([1]对账明细接口!$O144=0,"",[1]对账明细接口!$O144),"")</f>
        <v/>
      </c>
      <c r="U144" s="112" t="str">
        <f aca="false">IFERROR(IF([1]对账明细接口!$P144=0,"",[1]对账明细接口!$P144),"")</f>
        <v/>
      </c>
      <c r="V144" s="112" t="str">
        <f aca="false">IFERROR(IF([1]对账明细接口!$Q144=0,"",[1]对账明细接口!$Q144),"")</f>
        <v/>
      </c>
      <c r="W144" s="10" t="str">
        <f aca="false">IFERROR(IF([1]对账明细接口!$R144=0,"",[1]对账明细接口!$R144),"")</f>
        <v/>
      </c>
      <c r="X144" s="10" t="str">
        <f aca="false">IFERROR(IF([1]对账明细接口!$S144=0,"",[1]对账明细接口!$S144),"")</f>
        <v/>
      </c>
      <c r="Y144" s="10" t="str">
        <f aca="false">""</f>
        <v/>
      </c>
      <c r="Z144" s="10" t="str">
        <f aca="false">""</f>
        <v/>
      </c>
      <c r="AA144" s="10" t="str">
        <f aca="false">""</f>
        <v/>
      </c>
      <c r="AB144" s="10" t="str">
        <f aca="false">""</f>
        <v/>
      </c>
    </row>
    <row r="145" customFormat="false" ht="13.5" hidden="false" customHeight="false" outlineLevel="0" collapsed="false">
      <c r="A145" s="109" t="n">
        <v>145</v>
      </c>
      <c r="B145" s="110" t="str">
        <f aca="false">IFERROR(IF([1]对账明细接口!$B$145=0,"",[1]对账明细接口!$B$145),"")</f>
        <v/>
      </c>
      <c r="C145" s="59" t="str">
        <f aca="false">IFERROR(IF([1]对账明细接口!$C$145=0,"",[1]对账明细接口!$C$145),"")</f>
        <v/>
      </c>
      <c r="D145" s="59" t="str">
        <f aca="false">IFERROR(IF([1]对账明细接口!$D$145=0,"",[1]对账明细接口!$D$145),"")</f>
        <v/>
      </c>
      <c r="E145" s="59" t="str">
        <f aca="false">IFERROR(IF([1]对账明细接口!$E$145=0,"",[1]对账明细接口!$E$145),"")</f>
        <v/>
      </c>
      <c r="F145" s="59" t="str">
        <f aca="false">IFERROR(IF([1]对账明细接口!$F$145=0,"",[1]对账明细接口!$F$145),"")</f>
        <v/>
      </c>
      <c r="G145" s="59" t="str">
        <f aca="false">IFERROR(IF([1]对账明细接口!$G$145=0,"",[1]对账明细接口!$G$145),"")</f>
        <v/>
      </c>
      <c r="H145" s="60" t="str">
        <f aca="false">IFERROR(IF([1]对账明细接口!$H$145=0,"",[1]对账明细接口!$H$145),"")</f>
        <v/>
      </c>
      <c r="I145" s="59" t="str">
        <f aca="false">IFERROR(IF([1]对账明细接口!$I$145=0,"",[1]对账明细接口!$I$145),"")</f>
        <v/>
      </c>
      <c r="J145" s="61" t="str">
        <f aca="false">IFERROR(IF([1]对账明细接口!$J$145=0,"",[1]对账明细接口!$J$145),"")</f>
        <v/>
      </c>
      <c r="K145" s="61" t="str">
        <f aca="false">IFERROR(IF([1]对账明细接口!$K$145=0,"",[1]对账明细接口!$K$145),"")</f>
        <v/>
      </c>
      <c r="L145" s="59" t="str">
        <f aca="false">IFERROR(IF([1]对账明细接口!$L$145=0,"",[1]对账明细接口!$L$145),"")</f>
        <v/>
      </c>
      <c r="M145" s="59" t="str">
        <f aca="false">IFERROR(IF([1]对账明细接口!$M$145=0,"",[1]对账明细接口!$M$145),"")</f>
        <v/>
      </c>
      <c r="N145" s="111" t="n">
        <f aca="false">IF($C145="",0,1)</f>
        <v>0</v>
      </c>
      <c r="O145" s="111" t="n">
        <f aca="false">N(O144)+$N145</f>
        <v>110</v>
      </c>
      <c r="S145" s="10" t="str">
        <f aca="false">IFERROR(IF([1]对账明细接口!$N145=0,"",[1]对账明细接口!$N145),"")</f>
        <v/>
      </c>
      <c r="T145" s="112" t="str">
        <f aca="false">IFERROR(IF([1]对账明细接口!$O145=0,"",[1]对账明细接口!$O145),"")</f>
        <v/>
      </c>
      <c r="U145" s="112" t="str">
        <f aca="false">IFERROR(IF([1]对账明细接口!$P145=0,"",[1]对账明细接口!$P145),"")</f>
        <v/>
      </c>
      <c r="V145" s="112" t="str">
        <f aca="false">IFERROR(IF([1]对账明细接口!$Q145=0,"",[1]对账明细接口!$Q145),"")</f>
        <v/>
      </c>
      <c r="W145" s="10" t="str">
        <f aca="false">IFERROR(IF([1]对账明细接口!$R145=0,"",[1]对账明细接口!$R145),"")</f>
        <v/>
      </c>
      <c r="X145" s="10" t="str">
        <f aca="false">IFERROR(IF([1]对账明细接口!$S145=0,"",[1]对账明细接口!$S145),"")</f>
        <v/>
      </c>
      <c r="Y145" s="10" t="str">
        <f aca="false">""</f>
        <v/>
      </c>
      <c r="Z145" s="10" t="str">
        <f aca="false">""</f>
        <v/>
      </c>
      <c r="AA145" s="10" t="str">
        <f aca="false">""</f>
        <v/>
      </c>
      <c r="AB145" s="10" t="str">
        <f aca="false">""</f>
        <v/>
      </c>
    </row>
    <row r="146" customFormat="false" ht="13.5" hidden="false" customHeight="false" outlineLevel="0" collapsed="false">
      <c r="A146" s="109" t="n">
        <v>146</v>
      </c>
      <c r="B146" s="110" t="str">
        <f aca="false">IFERROR(IF([1]对账明细接口!$B$146=0,"",[1]对账明细接口!$B$146),"")</f>
        <v/>
      </c>
      <c r="C146" s="59" t="str">
        <f aca="false">IFERROR(IF([1]对账明细接口!$C$146=0,"",[1]对账明细接口!$C$146),"")</f>
        <v/>
      </c>
      <c r="D146" s="59" t="str">
        <f aca="false">IFERROR(IF([1]对账明细接口!$D$146=0,"",[1]对账明细接口!$D$146),"")</f>
        <v/>
      </c>
      <c r="E146" s="59" t="str">
        <f aca="false">IFERROR(IF([1]对账明细接口!$E$146=0,"",[1]对账明细接口!$E$146),"")</f>
        <v/>
      </c>
      <c r="F146" s="59" t="str">
        <f aca="false">IFERROR(IF([1]对账明细接口!$F$146=0,"",[1]对账明细接口!$F$146),"")</f>
        <v/>
      </c>
      <c r="G146" s="59" t="str">
        <f aca="false">IFERROR(IF([1]对账明细接口!$G$146=0,"",[1]对账明细接口!$G$146),"")</f>
        <v/>
      </c>
      <c r="H146" s="60" t="str">
        <f aca="false">IFERROR(IF([1]对账明细接口!$H$146=0,"",[1]对账明细接口!$H$146),"")</f>
        <v/>
      </c>
      <c r="I146" s="59" t="str">
        <f aca="false">IFERROR(IF([1]对账明细接口!$I$146=0,"",[1]对账明细接口!$I$146),"")</f>
        <v/>
      </c>
      <c r="J146" s="61" t="str">
        <f aca="false">IFERROR(IF([1]对账明细接口!$J$146=0,"",[1]对账明细接口!$J$146),"")</f>
        <v/>
      </c>
      <c r="K146" s="61" t="str">
        <f aca="false">IFERROR(IF([1]对账明细接口!$K$146=0,"",[1]对账明细接口!$K$146),"")</f>
        <v/>
      </c>
      <c r="L146" s="59" t="str">
        <f aca="false">IFERROR(IF([1]对账明细接口!$L$146=0,"",[1]对账明细接口!$L$146),"")</f>
        <v/>
      </c>
      <c r="M146" s="59" t="str">
        <f aca="false">IFERROR(IF([1]对账明细接口!$M$146=0,"",[1]对账明细接口!$M$146),"")</f>
        <v/>
      </c>
      <c r="N146" s="111" t="n">
        <f aca="false">IF($C146="",0,1)</f>
        <v>0</v>
      </c>
      <c r="O146" s="111" t="n">
        <f aca="false">N(O145)+$N146</f>
        <v>110</v>
      </c>
      <c r="S146" s="10" t="str">
        <f aca="false">IFERROR(IF([1]对账明细接口!$N146=0,"",[1]对账明细接口!$N146),"")</f>
        <v/>
      </c>
      <c r="T146" s="112" t="str">
        <f aca="false">IFERROR(IF([1]对账明细接口!$O146=0,"",[1]对账明细接口!$O146),"")</f>
        <v/>
      </c>
      <c r="U146" s="112" t="str">
        <f aca="false">IFERROR(IF([1]对账明细接口!$P146=0,"",[1]对账明细接口!$P146),"")</f>
        <v/>
      </c>
      <c r="V146" s="112" t="str">
        <f aca="false">IFERROR(IF([1]对账明细接口!$Q146=0,"",[1]对账明细接口!$Q146),"")</f>
        <v/>
      </c>
      <c r="W146" s="10" t="str">
        <f aca="false">IFERROR(IF([1]对账明细接口!$R146=0,"",[1]对账明细接口!$R146),"")</f>
        <v/>
      </c>
      <c r="X146" s="10" t="str">
        <f aca="false">IFERROR(IF([1]对账明细接口!$S146=0,"",[1]对账明细接口!$S146),"")</f>
        <v/>
      </c>
      <c r="Y146" s="10" t="str">
        <f aca="false">""</f>
        <v/>
      </c>
      <c r="Z146" s="10" t="str">
        <f aca="false">""</f>
        <v/>
      </c>
      <c r="AA146" s="10" t="str">
        <f aca="false">""</f>
        <v/>
      </c>
      <c r="AB146" s="10" t="str">
        <f aca="false">""</f>
        <v/>
      </c>
    </row>
    <row r="147" customFormat="false" ht="13.5" hidden="false" customHeight="false" outlineLevel="0" collapsed="false">
      <c r="A147" s="109" t="n">
        <v>147</v>
      </c>
      <c r="B147" s="110" t="str">
        <f aca="false">IFERROR(IF([1]对账明细接口!$B$147=0,"",[1]对账明细接口!$B$147),"")</f>
        <v/>
      </c>
      <c r="C147" s="59" t="str">
        <f aca="false">IFERROR(IF([1]对账明细接口!$C$147=0,"",[1]对账明细接口!$C$147),"")</f>
        <v/>
      </c>
      <c r="D147" s="59" t="str">
        <f aca="false">IFERROR(IF([1]对账明细接口!$D$147=0,"",[1]对账明细接口!$D$147),"")</f>
        <v/>
      </c>
      <c r="E147" s="59" t="str">
        <f aca="false">IFERROR(IF([1]对账明细接口!$E$147=0,"",[1]对账明细接口!$E$147),"")</f>
        <v/>
      </c>
      <c r="F147" s="59" t="str">
        <f aca="false">IFERROR(IF([1]对账明细接口!$F$147=0,"",[1]对账明细接口!$F$147),"")</f>
        <v/>
      </c>
      <c r="G147" s="59" t="str">
        <f aca="false">IFERROR(IF([1]对账明细接口!$G$147=0,"",[1]对账明细接口!$G$147),"")</f>
        <v/>
      </c>
      <c r="H147" s="60" t="str">
        <f aca="false">IFERROR(IF([1]对账明细接口!$H$147=0,"",[1]对账明细接口!$H$147),"")</f>
        <v/>
      </c>
      <c r="I147" s="59" t="str">
        <f aca="false">IFERROR(IF([1]对账明细接口!$I$147=0,"",[1]对账明细接口!$I$147),"")</f>
        <v/>
      </c>
      <c r="J147" s="61" t="str">
        <f aca="false">IFERROR(IF([1]对账明细接口!$J$147=0,"",[1]对账明细接口!$J$147),"")</f>
        <v/>
      </c>
      <c r="K147" s="61" t="str">
        <f aca="false">IFERROR(IF([1]对账明细接口!$K$147=0,"",[1]对账明细接口!$K$147),"")</f>
        <v/>
      </c>
      <c r="L147" s="59" t="str">
        <f aca="false">IFERROR(IF([1]对账明细接口!$L$147=0,"",[1]对账明细接口!$L$147),"")</f>
        <v/>
      </c>
      <c r="M147" s="59" t="str">
        <f aca="false">IFERROR(IF([1]对账明细接口!$M$147=0,"",[1]对账明细接口!$M$147),"")</f>
        <v/>
      </c>
      <c r="N147" s="111" t="n">
        <f aca="false">IF($C147="",0,1)</f>
        <v>0</v>
      </c>
      <c r="O147" s="111" t="n">
        <f aca="false">N(O146)+$N147</f>
        <v>110</v>
      </c>
      <c r="S147" s="10" t="str">
        <f aca="false">IFERROR(IF([1]对账明细接口!$N147=0,"",[1]对账明细接口!$N147),"")</f>
        <v/>
      </c>
      <c r="T147" s="112" t="str">
        <f aca="false">IFERROR(IF([1]对账明细接口!$O147=0,"",[1]对账明细接口!$O147),"")</f>
        <v/>
      </c>
      <c r="U147" s="112" t="str">
        <f aca="false">IFERROR(IF([1]对账明细接口!$P147=0,"",[1]对账明细接口!$P147),"")</f>
        <v/>
      </c>
      <c r="V147" s="112" t="str">
        <f aca="false">IFERROR(IF([1]对账明细接口!$Q147=0,"",[1]对账明细接口!$Q147),"")</f>
        <v/>
      </c>
      <c r="W147" s="10" t="str">
        <f aca="false">IFERROR(IF([1]对账明细接口!$R147=0,"",[1]对账明细接口!$R147),"")</f>
        <v/>
      </c>
      <c r="X147" s="10" t="str">
        <f aca="false">IFERROR(IF([1]对账明细接口!$S147=0,"",[1]对账明细接口!$S147),"")</f>
        <v/>
      </c>
      <c r="Y147" s="10" t="str">
        <f aca="false">""</f>
        <v/>
      </c>
      <c r="Z147" s="10" t="str">
        <f aca="false">""</f>
        <v/>
      </c>
      <c r="AA147" s="10" t="str">
        <f aca="false">""</f>
        <v/>
      </c>
      <c r="AB147" s="10" t="str">
        <f aca="false">""</f>
        <v/>
      </c>
    </row>
    <row r="148" customFormat="false" ht="13.5" hidden="false" customHeight="false" outlineLevel="0" collapsed="false">
      <c r="A148" s="109" t="n">
        <v>148</v>
      </c>
      <c r="B148" s="110" t="str">
        <f aca="false">IFERROR(IF([1]对账明细接口!$B$148=0,"",[1]对账明细接口!$B$148),"")</f>
        <v/>
      </c>
      <c r="C148" s="59" t="str">
        <f aca="false">IFERROR(IF([1]对账明细接口!$C$148=0,"",[1]对账明细接口!$C$148),"")</f>
        <v/>
      </c>
      <c r="D148" s="59" t="str">
        <f aca="false">IFERROR(IF([1]对账明细接口!$D$148=0,"",[1]对账明细接口!$D$148),"")</f>
        <v/>
      </c>
      <c r="E148" s="59" t="str">
        <f aca="false">IFERROR(IF([1]对账明细接口!$E$148=0,"",[1]对账明细接口!$E$148),"")</f>
        <v/>
      </c>
      <c r="F148" s="59" t="str">
        <f aca="false">IFERROR(IF([1]对账明细接口!$F$148=0,"",[1]对账明细接口!$F$148),"")</f>
        <v/>
      </c>
      <c r="G148" s="59" t="str">
        <f aca="false">IFERROR(IF([1]对账明细接口!$G$148=0,"",[1]对账明细接口!$G$148),"")</f>
        <v/>
      </c>
      <c r="H148" s="60" t="str">
        <f aca="false">IFERROR(IF([1]对账明细接口!$H$148=0,"",[1]对账明细接口!$H$148),"")</f>
        <v/>
      </c>
      <c r="I148" s="59" t="str">
        <f aca="false">IFERROR(IF([1]对账明细接口!$I$148=0,"",[1]对账明细接口!$I$148),"")</f>
        <v/>
      </c>
      <c r="J148" s="61" t="str">
        <f aca="false">IFERROR(IF([1]对账明细接口!$J$148=0,"",[1]对账明细接口!$J$148),"")</f>
        <v/>
      </c>
      <c r="K148" s="61" t="str">
        <f aca="false">IFERROR(IF([1]对账明细接口!$K$148=0,"",[1]对账明细接口!$K$148),"")</f>
        <v/>
      </c>
      <c r="L148" s="59" t="str">
        <f aca="false">IFERROR(IF([1]对账明细接口!$L$148=0,"",[1]对账明细接口!$L$148),"")</f>
        <v/>
      </c>
      <c r="M148" s="59" t="str">
        <f aca="false">IFERROR(IF([1]对账明细接口!$M$148=0,"",[1]对账明细接口!$M$148),"")</f>
        <v/>
      </c>
      <c r="N148" s="111" t="n">
        <f aca="false">IF($C148="",0,1)</f>
        <v>0</v>
      </c>
      <c r="O148" s="111" t="n">
        <f aca="false">N(O147)+$N148</f>
        <v>110</v>
      </c>
      <c r="S148" s="10" t="str">
        <f aca="false">IFERROR(IF([1]对账明细接口!$N148=0,"",[1]对账明细接口!$N148),"")</f>
        <v/>
      </c>
      <c r="T148" s="112" t="str">
        <f aca="false">IFERROR(IF([1]对账明细接口!$O148=0,"",[1]对账明细接口!$O148),"")</f>
        <v/>
      </c>
      <c r="U148" s="112" t="str">
        <f aca="false">IFERROR(IF([1]对账明细接口!$P148=0,"",[1]对账明细接口!$P148),"")</f>
        <v/>
      </c>
      <c r="V148" s="112" t="str">
        <f aca="false">IFERROR(IF([1]对账明细接口!$Q148=0,"",[1]对账明细接口!$Q148),"")</f>
        <v/>
      </c>
      <c r="W148" s="10" t="str">
        <f aca="false">IFERROR(IF([1]对账明细接口!$R148=0,"",[1]对账明细接口!$R148),"")</f>
        <v/>
      </c>
      <c r="X148" s="10" t="str">
        <f aca="false">IFERROR(IF([1]对账明细接口!$S148=0,"",[1]对账明细接口!$S148),"")</f>
        <v/>
      </c>
      <c r="Y148" s="10" t="str">
        <f aca="false">""</f>
        <v/>
      </c>
      <c r="Z148" s="10" t="str">
        <f aca="false">""</f>
        <v/>
      </c>
      <c r="AA148" s="10" t="str">
        <f aca="false">""</f>
        <v/>
      </c>
      <c r="AB148" s="10" t="str">
        <f aca="false">""</f>
        <v/>
      </c>
    </row>
    <row r="149" customFormat="false" ht="13.5" hidden="false" customHeight="false" outlineLevel="0" collapsed="false">
      <c r="A149" s="109" t="n">
        <v>149</v>
      </c>
      <c r="B149" s="110" t="str">
        <f aca="false">IFERROR(IF([1]对账明细接口!$B$149=0,"",[1]对账明细接口!$B$149),"")</f>
        <v/>
      </c>
      <c r="C149" s="59" t="str">
        <f aca="false">IFERROR(IF([1]对账明细接口!$C$149=0,"",[1]对账明细接口!$C$149),"")</f>
        <v/>
      </c>
      <c r="D149" s="59" t="str">
        <f aca="false">IFERROR(IF([1]对账明细接口!$D$149=0,"",[1]对账明细接口!$D$149),"")</f>
        <v/>
      </c>
      <c r="E149" s="59" t="str">
        <f aca="false">IFERROR(IF([1]对账明细接口!$E$149=0,"",[1]对账明细接口!$E$149),"")</f>
        <v/>
      </c>
      <c r="F149" s="59" t="str">
        <f aca="false">IFERROR(IF([1]对账明细接口!$F$149=0,"",[1]对账明细接口!$F$149),"")</f>
        <v/>
      </c>
      <c r="G149" s="59" t="str">
        <f aca="false">IFERROR(IF([1]对账明细接口!$G$149=0,"",[1]对账明细接口!$G$149),"")</f>
        <v/>
      </c>
      <c r="H149" s="60" t="str">
        <f aca="false">IFERROR(IF([1]对账明细接口!$H$149=0,"",[1]对账明细接口!$H$149),"")</f>
        <v/>
      </c>
      <c r="I149" s="59" t="str">
        <f aca="false">IFERROR(IF([1]对账明细接口!$I$149=0,"",[1]对账明细接口!$I$149),"")</f>
        <v/>
      </c>
      <c r="J149" s="61" t="str">
        <f aca="false">IFERROR(IF([1]对账明细接口!$J$149=0,"",[1]对账明细接口!$J$149),"")</f>
        <v/>
      </c>
      <c r="K149" s="61" t="str">
        <f aca="false">IFERROR(IF([1]对账明细接口!$K$149=0,"",[1]对账明细接口!$K$149),"")</f>
        <v/>
      </c>
      <c r="L149" s="59" t="str">
        <f aca="false">IFERROR(IF([1]对账明细接口!$L$149=0,"",[1]对账明细接口!$L$149),"")</f>
        <v/>
      </c>
      <c r="M149" s="59" t="str">
        <f aca="false">IFERROR(IF([1]对账明细接口!$M$149=0,"",[1]对账明细接口!$M$149),"")</f>
        <v/>
      </c>
      <c r="N149" s="111" t="n">
        <f aca="false">IF($C149="",0,1)</f>
        <v>0</v>
      </c>
      <c r="O149" s="111" t="n">
        <f aca="false">N(O148)+$N149</f>
        <v>110</v>
      </c>
      <c r="S149" s="10" t="str">
        <f aca="false">IFERROR(IF([1]对账明细接口!$N149=0,"",[1]对账明细接口!$N149),"")</f>
        <v/>
      </c>
      <c r="T149" s="112" t="str">
        <f aca="false">IFERROR(IF([1]对账明细接口!$O149=0,"",[1]对账明细接口!$O149),"")</f>
        <v/>
      </c>
      <c r="U149" s="112" t="str">
        <f aca="false">IFERROR(IF([1]对账明细接口!$P149=0,"",[1]对账明细接口!$P149),"")</f>
        <v/>
      </c>
      <c r="V149" s="112" t="str">
        <f aca="false">IFERROR(IF([1]对账明细接口!$Q149=0,"",[1]对账明细接口!$Q149),"")</f>
        <v/>
      </c>
      <c r="W149" s="10" t="str">
        <f aca="false">IFERROR(IF([1]对账明细接口!$R149=0,"",[1]对账明细接口!$R149),"")</f>
        <v/>
      </c>
      <c r="X149" s="10" t="str">
        <f aca="false">IFERROR(IF([1]对账明细接口!$S149=0,"",[1]对账明细接口!$S149),"")</f>
        <v/>
      </c>
      <c r="Y149" s="10" t="str">
        <f aca="false">""</f>
        <v/>
      </c>
      <c r="Z149" s="10" t="str">
        <f aca="false">""</f>
        <v/>
      </c>
      <c r="AA149" s="10" t="str">
        <f aca="false">""</f>
        <v/>
      </c>
      <c r="AB149" s="10" t="str">
        <f aca="false">""</f>
        <v/>
      </c>
    </row>
    <row r="150" customFormat="false" ht="13.5" hidden="false" customHeight="false" outlineLevel="0" collapsed="false">
      <c r="A150" s="109" t="n">
        <v>150</v>
      </c>
      <c r="B150" s="110" t="str">
        <f aca="false">IFERROR(IF([1]对账明细接口!$B$150=0,"",[1]对账明细接口!$B$150),"")</f>
        <v/>
      </c>
      <c r="C150" s="59" t="str">
        <f aca="false">IFERROR(IF([1]对账明细接口!$C$150=0,"",[1]对账明细接口!$C$150),"")</f>
        <v/>
      </c>
      <c r="D150" s="59" t="str">
        <f aca="false">IFERROR(IF([1]对账明细接口!$D$150=0,"",[1]对账明细接口!$D$150),"")</f>
        <v/>
      </c>
      <c r="E150" s="59" t="str">
        <f aca="false">IFERROR(IF([1]对账明细接口!$E$150=0,"",[1]对账明细接口!$E$150),"")</f>
        <v/>
      </c>
      <c r="F150" s="59" t="str">
        <f aca="false">IFERROR(IF([1]对账明细接口!$F$150=0,"",[1]对账明细接口!$F$150),"")</f>
        <v/>
      </c>
      <c r="G150" s="59" t="str">
        <f aca="false">IFERROR(IF([1]对账明细接口!$G$150=0,"",[1]对账明细接口!$G$150),"")</f>
        <v/>
      </c>
      <c r="H150" s="60" t="str">
        <f aca="false">IFERROR(IF([1]对账明细接口!$H$150=0,"",[1]对账明细接口!$H$150),"")</f>
        <v/>
      </c>
      <c r="I150" s="59" t="str">
        <f aca="false">IFERROR(IF([1]对账明细接口!$I$150=0,"",[1]对账明细接口!$I$150),"")</f>
        <v/>
      </c>
      <c r="J150" s="61" t="str">
        <f aca="false">IFERROR(IF([1]对账明细接口!$J$150=0,"",[1]对账明细接口!$J$150),"")</f>
        <v/>
      </c>
      <c r="K150" s="61" t="str">
        <f aca="false">IFERROR(IF([1]对账明细接口!$K$150=0,"",[1]对账明细接口!$K$150),"")</f>
        <v/>
      </c>
      <c r="L150" s="59" t="str">
        <f aca="false">IFERROR(IF([1]对账明细接口!$L$150=0,"",[1]对账明细接口!$L$150),"")</f>
        <v/>
      </c>
      <c r="M150" s="59" t="str">
        <f aca="false">IFERROR(IF([1]对账明细接口!$M$150=0,"",[1]对账明细接口!$M$150),"")</f>
        <v/>
      </c>
      <c r="N150" s="111" t="n">
        <f aca="false">IF($C150="",0,1)</f>
        <v>0</v>
      </c>
      <c r="O150" s="111" t="n">
        <f aca="false">N(O149)+$N150</f>
        <v>110</v>
      </c>
      <c r="S150" s="10" t="str">
        <f aca="false">IFERROR(IF([1]对账明细接口!$N150=0,"",[1]对账明细接口!$N150),"")</f>
        <v/>
      </c>
      <c r="T150" s="112" t="str">
        <f aca="false">IFERROR(IF([1]对账明细接口!$O150=0,"",[1]对账明细接口!$O150),"")</f>
        <v/>
      </c>
      <c r="U150" s="112" t="str">
        <f aca="false">IFERROR(IF([1]对账明细接口!$P150=0,"",[1]对账明细接口!$P150),"")</f>
        <v/>
      </c>
      <c r="V150" s="112" t="str">
        <f aca="false">IFERROR(IF([1]对账明细接口!$Q150=0,"",[1]对账明细接口!$Q150),"")</f>
        <v/>
      </c>
      <c r="W150" s="10" t="str">
        <f aca="false">IFERROR(IF([1]对账明细接口!$R150=0,"",[1]对账明细接口!$R150),"")</f>
        <v/>
      </c>
      <c r="X150" s="10" t="str">
        <f aca="false">IFERROR(IF([1]对账明细接口!$S150=0,"",[1]对账明细接口!$S150),"")</f>
        <v/>
      </c>
      <c r="Y150" s="10" t="str">
        <f aca="false">""</f>
        <v/>
      </c>
      <c r="Z150" s="10" t="str">
        <f aca="false">""</f>
        <v/>
      </c>
      <c r="AA150" s="10" t="str">
        <f aca="false">""</f>
        <v/>
      </c>
      <c r="AB150" s="10" t="str">
        <f aca="false">""</f>
        <v/>
      </c>
    </row>
    <row r="151" customFormat="false" ht="13.5" hidden="false" customHeight="false" outlineLevel="0" collapsed="false">
      <c r="A151" s="109" t="n">
        <v>151</v>
      </c>
      <c r="B151" s="110" t="str">
        <f aca="false">IFERROR(IF([1]对账明细接口!$B$151=0,"",[1]对账明细接口!$B$151),"")</f>
        <v/>
      </c>
      <c r="C151" s="59" t="str">
        <f aca="false">IFERROR(IF([1]对账明细接口!$C$151=0,"",[1]对账明细接口!$C$151),"")</f>
        <v/>
      </c>
      <c r="D151" s="59" t="str">
        <f aca="false">IFERROR(IF([1]对账明细接口!$D$151=0,"",[1]对账明细接口!$D$151),"")</f>
        <v/>
      </c>
      <c r="E151" s="59" t="str">
        <f aca="false">IFERROR(IF([1]对账明细接口!$E$151=0,"",[1]对账明细接口!$E$151),"")</f>
        <v/>
      </c>
      <c r="F151" s="59" t="str">
        <f aca="false">IFERROR(IF([1]对账明细接口!$F$151=0,"",[1]对账明细接口!$F$151),"")</f>
        <v/>
      </c>
      <c r="G151" s="59" t="str">
        <f aca="false">IFERROR(IF([1]对账明细接口!$G$151=0,"",[1]对账明细接口!$G$151),"")</f>
        <v/>
      </c>
      <c r="H151" s="60" t="str">
        <f aca="false">IFERROR(IF([1]对账明细接口!$H$151=0,"",[1]对账明细接口!$H$151),"")</f>
        <v/>
      </c>
      <c r="I151" s="59" t="str">
        <f aca="false">IFERROR(IF([1]对账明细接口!$I$151=0,"",[1]对账明细接口!$I$151),"")</f>
        <v/>
      </c>
      <c r="J151" s="61" t="str">
        <f aca="false">IFERROR(IF([1]对账明细接口!$J$151=0,"",[1]对账明细接口!$J$151),"")</f>
        <v/>
      </c>
      <c r="K151" s="61" t="str">
        <f aca="false">IFERROR(IF([1]对账明细接口!$K$151=0,"",[1]对账明细接口!$K$151),"")</f>
        <v/>
      </c>
      <c r="L151" s="59" t="str">
        <f aca="false">IFERROR(IF([1]对账明细接口!$L$151=0,"",[1]对账明细接口!$L$151),"")</f>
        <v/>
      </c>
      <c r="M151" s="59" t="str">
        <f aca="false">IFERROR(IF([1]对账明细接口!$M$151=0,"",[1]对账明细接口!$M$151),"")</f>
        <v/>
      </c>
      <c r="N151" s="111" t="n">
        <f aca="false">IF($C151="",0,1)</f>
        <v>0</v>
      </c>
      <c r="O151" s="111" t="n">
        <f aca="false">N(O150)+$N151</f>
        <v>110</v>
      </c>
      <c r="S151" s="10" t="str">
        <f aca="false">IFERROR(IF([1]对账明细接口!$N151=0,"",[1]对账明细接口!$N151),"")</f>
        <v/>
      </c>
      <c r="T151" s="112" t="str">
        <f aca="false">IFERROR(IF([1]对账明细接口!$O151=0,"",[1]对账明细接口!$O151),"")</f>
        <v/>
      </c>
      <c r="U151" s="112" t="str">
        <f aca="false">IFERROR(IF([1]对账明细接口!$P151=0,"",[1]对账明细接口!$P151),"")</f>
        <v/>
      </c>
      <c r="V151" s="112" t="str">
        <f aca="false">IFERROR(IF([1]对账明细接口!$Q151=0,"",[1]对账明细接口!$Q151),"")</f>
        <v/>
      </c>
      <c r="W151" s="10" t="str">
        <f aca="false">IFERROR(IF([1]对账明细接口!$R151=0,"",[1]对账明细接口!$R151),"")</f>
        <v/>
      </c>
      <c r="X151" s="10" t="str">
        <f aca="false">IFERROR(IF([1]对账明细接口!$S151=0,"",[1]对账明细接口!$S151),"")</f>
        <v/>
      </c>
      <c r="Y151" s="10" t="str">
        <f aca="false">""</f>
        <v/>
      </c>
      <c r="Z151" s="10" t="str">
        <f aca="false">""</f>
        <v/>
      </c>
      <c r="AA151" s="10" t="str">
        <f aca="false">""</f>
        <v/>
      </c>
      <c r="AB151" s="10" t="str">
        <f aca="false">""</f>
        <v/>
      </c>
    </row>
    <row r="152" customFormat="false" ht="13.5" hidden="false" customHeight="false" outlineLevel="0" collapsed="false">
      <c r="A152" s="109" t="n">
        <v>152</v>
      </c>
      <c r="B152" s="110" t="str">
        <f aca="false">IFERROR(IF([1]对账明细接口!$B$152=0,"",[1]对账明细接口!$B$152),"")</f>
        <v/>
      </c>
      <c r="C152" s="59" t="str">
        <f aca="false">IFERROR(IF([1]对账明细接口!$C$152=0,"",[1]对账明细接口!$C$152),"")</f>
        <v/>
      </c>
      <c r="D152" s="59" t="str">
        <f aca="false">IFERROR(IF([1]对账明细接口!$D$152=0,"",[1]对账明细接口!$D$152),"")</f>
        <v/>
      </c>
      <c r="E152" s="59" t="str">
        <f aca="false">IFERROR(IF([1]对账明细接口!$E$152=0,"",[1]对账明细接口!$E$152),"")</f>
        <v/>
      </c>
      <c r="F152" s="59" t="str">
        <f aca="false">IFERROR(IF([1]对账明细接口!$F$152=0,"",[1]对账明细接口!$F$152),"")</f>
        <v/>
      </c>
      <c r="G152" s="59" t="str">
        <f aca="false">IFERROR(IF([1]对账明细接口!$G$152=0,"",[1]对账明细接口!$G$152),"")</f>
        <v/>
      </c>
      <c r="H152" s="60" t="str">
        <f aca="false">IFERROR(IF([1]对账明细接口!$H$152=0,"",[1]对账明细接口!$H$152),"")</f>
        <v/>
      </c>
      <c r="I152" s="59" t="str">
        <f aca="false">IFERROR(IF([1]对账明细接口!$I$152=0,"",[1]对账明细接口!$I$152),"")</f>
        <v/>
      </c>
      <c r="J152" s="61" t="str">
        <f aca="false">IFERROR(IF([1]对账明细接口!$J$152=0,"",[1]对账明细接口!$J$152),"")</f>
        <v/>
      </c>
      <c r="K152" s="61" t="str">
        <f aca="false">IFERROR(IF([1]对账明细接口!$K$152=0,"",[1]对账明细接口!$K$152),"")</f>
        <v/>
      </c>
      <c r="L152" s="59" t="str">
        <f aca="false">IFERROR(IF([1]对账明细接口!$L$152=0,"",[1]对账明细接口!$L$152),"")</f>
        <v/>
      </c>
      <c r="M152" s="59" t="str">
        <f aca="false">IFERROR(IF([1]对账明细接口!$M$152=0,"",[1]对账明细接口!$M$152),"")</f>
        <v/>
      </c>
      <c r="N152" s="111" t="n">
        <f aca="false">IF($C152="",0,1)</f>
        <v>0</v>
      </c>
      <c r="O152" s="111" t="n">
        <f aca="false">N(O151)+$N152</f>
        <v>110</v>
      </c>
      <c r="S152" s="10" t="str">
        <f aca="false">IFERROR(IF([1]对账明细接口!$N152=0,"",[1]对账明细接口!$N152),"")</f>
        <v/>
      </c>
      <c r="T152" s="112" t="str">
        <f aca="false">IFERROR(IF([1]对账明细接口!$O152=0,"",[1]对账明细接口!$O152),"")</f>
        <v/>
      </c>
      <c r="U152" s="112" t="str">
        <f aca="false">IFERROR(IF([1]对账明细接口!$P152=0,"",[1]对账明细接口!$P152),"")</f>
        <v/>
      </c>
      <c r="V152" s="112" t="str">
        <f aca="false">IFERROR(IF([1]对账明细接口!$Q152=0,"",[1]对账明细接口!$Q152),"")</f>
        <v/>
      </c>
      <c r="W152" s="10" t="str">
        <f aca="false">IFERROR(IF([1]对账明细接口!$R152=0,"",[1]对账明细接口!$R152),"")</f>
        <v/>
      </c>
      <c r="X152" s="10" t="str">
        <f aca="false">IFERROR(IF([1]对账明细接口!$S152=0,"",[1]对账明细接口!$S152),"")</f>
        <v/>
      </c>
      <c r="Y152" s="10" t="str">
        <f aca="false">""</f>
        <v/>
      </c>
      <c r="Z152" s="10" t="str">
        <f aca="false">""</f>
        <v/>
      </c>
      <c r="AA152" s="10" t="str">
        <f aca="false">""</f>
        <v/>
      </c>
      <c r="AB152" s="10" t="str">
        <f aca="false">""</f>
        <v/>
      </c>
    </row>
    <row r="153" customFormat="false" ht="13.5" hidden="false" customHeight="false" outlineLevel="0" collapsed="false">
      <c r="A153" s="109" t="n">
        <v>153</v>
      </c>
      <c r="B153" s="110" t="str">
        <f aca="false">IFERROR(IF([1]对账明细接口!$B$153=0,"",[1]对账明细接口!$B$153),"")</f>
        <v/>
      </c>
      <c r="C153" s="59" t="str">
        <f aca="false">IFERROR(IF([1]对账明细接口!$C$153=0,"",[1]对账明细接口!$C$153),"")</f>
        <v/>
      </c>
      <c r="D153" s="59" t="str">
        <f aca="false">IFERROR(IF([1]对账明细接口!$D$153=0,"",[1]对账明细接口!$D$153),"")</f>
        <v/>
      </c>
      <c r="E153" s="59" t="str">
        <f aca="false">IFERROR(IF([1]对账明细接口!$E$153=0,"",[1]对账明细接口!$E$153),"")</f>
        <v/>
      </c>
      <c r="F153" s="59" t="str">
        <f aca="false">IFERROR(IF([1]对账明细接口!$F$153=0,"",[1]对账明细接口!$F$153),"")</f>
        <v/>
      </c>
      <c r="G153" s="59" t="str">
        <f aca="false">IFERROR(IF([1]对账明细接口!$G$153=0,"",[1]对账明细接口!$G$153),"")</f>
        <v/>
      </c>
      <c r="H153" s="60" t="str">
        <f aca="false">IFERROR(IF([1]对账明细接口!$H$153=0,"",[1]对账明细接口!$H$153),"")</f>
        <v/>
      </c>
      <c r="I153" s="59" t="str">
        <f aca="false">IFERROR(IF([1]对账明细接口!$I$153=0,"",[1]对账明细接口!$I$153),"")</f>
        <v/>
      </c>
      <c r="J153" s="61" t="str">
        <f aca="false">IFERROR(IF([1]对账明细接口!$J$153=0,"",[1]对账明细接口!$J$153),"")</f>
        <v/>
      </c>
      <c r="K153" s="61" t="str">
        <f aca="false">IFERROR(IF([1]对账明细接口!$K$153=0,"",[1]对账明细接口!$K$153),"")</f>
        <v/>
      </c>
      <c r="L153" s="59" t="str">
        <f aca="false">IFERROR(IF([1]对账明细接口!$L$153=0,"",[1]对账明细接口!$L$153),"")</f>
        <v/>
      </c>
      <c r="M153" s="59" t="str">
        <f aca="false">IFERROR(IF([1]对账明细接口!$M$153=0,"",[1]对账明细接口!$M$153),"")</f>
        <v/>
      </c>
      <c r="N153" s="111" t="n">
        <f aca="false">IF($C153="",0,1)</f>
        <v>0</v>
      </c>
      <c r="O153" s="111" t="n">
        <f aca="false">N(O152)+$N153</f>
        <v>110</v>
      </c>
      <c r="S153" s="10" t="str">
        <f aca="false">IFERROR(IF([1]对账明细接口!$N153=0,"",[1]对账明细接口!$N153),"")</f>
        <v/>
      </c>
      <c r="T153" s="112" t="str">
        <f aca="false">IFERROR(IF([1]对账明细接口!$O153=0,"",[1]对账明细接口!$O153),"")</f>
        <v/>
      </c>
      <c r="U153" s="112" t="str">
        <f aca="false">IFERROR(IF([1]对账明细接口!$P153=0,"",[1]对账明细接口!$P153),"")</f>
        <v/>
      </c>
      <c r="V153" s="112" t="str">
        <f aca="false">IFERROR(IF([1]对账明细接口!$Q153=0,"",[1]对账明细接口!$Q153),"")</f>
        <v/>
      </c>
      <c r="W153" s="10" t="str">
        <f aca="false">IFERROR(IF([1]对账明细接口!$R153=0,"",[1]对账明细接口!$R153),"")</f>
        <v/>
      </c>
      <c r="X153" s="10" t="str">
        <f aca="false">IFERROR(IF([1]对账明细接口!$S153=0,"",[1]对账明细接口!$S153),"")</f>
        <v/>
      </c>
      <c r="Y153" s="10" t="str">
        <f aca="false">""</f>
        <v/>
      </c>
      <c r="Z153" s="10" t="str">
        <f aca="false">""</f>
        <v/>
      </c>
      <c r="AA153" s="10" t="str">
        <f aca="false">""</f>
        <v/>
      </c>
      <c r="AB153" s="10" t="str">
        <f aca="false">""</f>
        <v/>
      </c>
    </row>
    <row r="154" customFormat="false" ht="13.5" hidden="false" customHeight="false" outlineLevel="0" collapsed="false">
      <c r="A154" s="109" t="n">
        <v>154</v>
      </c>
      <c r="B154" s="110" t="str">
        <f aca="false">IFERROR(IF([1]对账明细接口!$B$154=0,"",[1]对账明细接口!$B$154),"")</f>
        <v/>
      </c>
      <c r="C154" s="59" t="str">
        <f aca="false">IFERROR(IF([1]对账明细接口!$C$154=0,"",[1]对账明细接口!$C$154),"")</f>
        <v/>
      </c>
      <c r="D154" s="59" t="str">
        <f aca="false">IFERROR(IF([1]对账明细接口!$D$154=0,"",[1]对账明细接口!$D$154),"")</f>
        <v/>
      </c>
      <c r="E154" s="59" t="str">
        <f aca="false">IFERROR(IF([1]对账明细接口!$E$154=0,"",[1]对账明细接口!$E$154),"")</f>
        <v/>
      </c>
      <c r="F154" s="59" t="str">
        <f aca="false">IFERROR(IF([1]对账明细接口!$F$154=0,"",[1]对账明细接口!$F$154),"")</f>
        <v/>
      </c>
      <c r="G154" s="59" t="str">
        <f aca="false">IFERROR(IF([1]对账明细接口!$G$154=0,"",[1]对账明细接口!$G$154),"")</f>
        <v/>
      </c>
      <c r="H154" s="60" t="str">
        <f aca="false">IFERROR(IF([1]对账明细接口!$H$154=0,"",[1]对账明细接口!$H$154),"")</f>
        <v/>
      </c>
      <c r="I154" s="59" t="str">
        <f aca="false">IFERROR(IF([1]对账明细接口!$I$154=0,"",[1]对账明细接口!$I$154),"")</f>
        <v/>
      </c>
      <c r="J154" s="61" t="str">
        <f aca="false">IFERROR(IF([1]对账明细接口!$J$154=0,"",[1]对账明细接口!$J$154),"")</f>
        <v/>
      </c>
      <c r="K154" s="61" t="str">
        <f aca="false">IFERROR(IF([1]对账明细接口!$K$154=0,"",[1]对账明细接口!$K$154),"")</f>
        <v/>
      </c>
      <c r="L154" s="59" t="str">
        <f aca="false">IFERROR(IF([1]对账明细接口!$L$154=0,"",[1]对账明细接口!$L$154),"")</f>
        <v/>
      </c>
      <c r="M154" s="59" t="str">
        <f aca="false">IFERROR(IF([1]对账明细接口!$M$154=0,"",[1]对账明细接口!$M$154),"")</f>
        <v/>
      </c>
      <c r="N154" s="111" t="n">
        <f aca="false">IF($C154="",0,1)</f>
        <v>0</v>
      </c>
      <c r="O154" s="111" t="n">
        <f aca="false">N(O153)+$N154</f>
        <v>110</v>
      </c>
      <c r="S154" s="10" t="str">
        <f aca="false">IFERROR(IF([1]对账明细接口!$N154=0,"",[1]对账明细接口!$N154),"")</f>
        <v/>
      </c>
      <c r="T154" s="112" t="str">
        <f aca="false">IFERROR(IF([1]对账明细接口!$O154=0,"",[1]对账明细接口!$O154),"")</f>
        <v/>
      </c>
      <c r="U154" s="112" t="str">
        <f aca="false">IFERROR(IF([1]对账明细接口!$P154=0,"",[1]对账明细接口!$P154),"")</f>
        <v/>
      </c>
      <c r="V154" s="112" t="str">
        <f aca="false">IFERROR(IF([1]对账明细接口!$Q154=0,"",[1]对账明细接口!$Q154),"")</f>
        <v/>
      </c>
      <c r="W154" s="10" t="str">
        <f aca="false">IFERROR(IF([1]对账明细接口!$R154=0,"",[1]对账明细接口!$R154),"")</f>
        <v/>
      </c>
      <c r="X154" s="10" t="str">
        <f aca="false">IFERROR(IF([1]对账明细接口!$S154=0,"",[1]对账明细接口!$S154),"")</f>
        <v/>
      </c>
      <c r="Y154" s="10" t="str">
        <f aca="false">""</f>
        <v/>
      </c>
      <c r="Z154" s="10" t="str">
        <f aca="false">""</f>
        <v/>
      </c>
      <c r="AA154" s="10" t="str">
        <f aca="false">""</f>
        <v/>
      </c>
      <c r="AB154" s="10" t="str">
        <f aca="false">""</f>
        <v/>
      </c>
    </row>
    <row r="155" customFormat="false" ht="13.5" hidden="false" customHeight="false" outlineLevel="0" collapsed="false">
      <c r="A155" s="109" t="n">
        <v>155</v>
      </c>
      <c r="B155" s="110" t="str">
        <f aca="false">IFERROR(IF([1]对账明细接口!$B$155=0,"",[1]对账明细接口!$B$155),"")</f>
        <v/>
      </c>
      <c r="C155" s="59" t="str">
        <f aca="false">IFERROR(IF([1]对账明细接口!$C$155=0,"",[1]对账明细接口!$C$155),"")</f>
        <v/>
      </c>
      <c r="D155" s="59" t="str">
        <f aca="false">IFERROR(IF([1]对账明细接口!$D$155=0,"",[1]对账明细接口!$D$155),"")</f>
        <v/>
      </c>
      <c r="E155" s="59" t="str">
        <f aca="false">IFERROR(IF([1]对账明细接口!$E$155=0,"",[1]对账明细接口!$E$155),"")</f>
        <v/>
      </c>
      <c r="F155" s="59" t="str">
        <f aca="false">IFERROR(IF([1]对账明细接口!$F$155=0,"",[1]对账明细接口!$F$155),"")</f>
        <v/>
      </c>
      <c r="G155" s="59" t="str">
        <f aca="false">IFERROR(IF([1]对账明细接口!$G$155=0,"",[1]对账明细接口!$G$155),"")</f>
        <v/>
      </c>
      <c r="H155" s="60" t="str">
        <f aca="false">IFERROR(IF([1]对账明细接口!$H$155=0,"",[1]对账明细接口!$H$155),"")</f>
        <v/>
      </c>
      <c r="I155" s="59" t="str">
        <f aca="false">IFERROR(IF([1]对账明细接口!$I$155=0,"",[1]对账明细接口!$I$155),"")</f>
        <v/>
      </c>
      <c r="J155" s="61" t="str">
        <f aca="false">IFERROR(IF([1]对账明细接口!$J$155=0,"",[1]对账明细接口!$J$155),"")</f>
        <v/>
      </c>
      <c r="K155" s="61" t="str">
        <f aca="false">IFERROR(IF([1]对账明细接口!$K$155=0,"",[1]对账明细接口!$K$155),"")</f>
        <v/>
      </c>
      <c r="L155" s="59" t="str">
        <f aca="false">IFERROR(IF([1]对账明细接口!$L$155=0,"",[1]对账明细接口!$L$155),"")</f>
        <v/>
      </c>
      <c r="M155" s="59" t="str">
        <f aca="false">IFERROR(IF([1]对账明细接口!$M$155=0,"",[1]对账明细接口!$M$155),"")</f>
        <v/>
      </c>
      <c r="N155" s="111" t="n">
        <f aca="false">IF($C155="",0,1)</f>
        <v>0</v>
      </c>
      <c r="O155" s="111" t="n">
        <f aca="false">N(O154)+$N155</f>
        <v>110</v>
      </c>
      <c r="S155" s="10" t="str">
        <f aca="false">IFERROR(IF([1]对账明细接口!$N155=0,"",[1]对账明细接口!$N155),"")</f>
        <v/>
      </c>
      <c r="T155" s="112" t="str">
        <f aca="false">IFERROR(IF([1]对账明细接口!$O155=0,"",[1]对账明细接口!$O155),"")</f>
        <v/>
      </c>
      <c r="U155" s="112" t="str">
        <f aca="false">IFERROR(IF([1]对账明细接口!$P155=0,"",[1]对账明细接口!$P155),"")</f>
        <v/>
      </c>
      <c r="V155" s="112" t="str">
        <f aca="false">IFERROR(IF([1]对账明细接口!$Q155=0,"",[1]对账明细接口!$Q155),"")</f>
        <v/>
      </c>
      <c r="W155" s="10" t="str">
        <f aca="false">IFERROR(IF([1]对账明细接口!$R155=0,"",[1]对账明细接口!$R155),"")</f>
        <v/>
      </c>
      <c r="X155" s="10" t="str">
        <f aca="false">IFERROR(IF([1]对账明细接口!$S155=0,"",[1]对账明细接口!$S155),"")</f>
        <v/>
      </c>
      <c r="Y155" s="10" t="str">
        <f aca="false">""</f>
        <v/>
      </c>
      <c r="Z155" s="10" t="str">
        <f aca="false">""</f>
        <v/>
      </c>
      <c r="AA155" s="10" t="str">
        <f aca="false">""</f>
        <v/>
      </c>
      <c r="AB155" s="10" t="str">
        <f aca="false">""</f>
        <v/>
      </c>
    </row>
    <row r="156" customFormat="false" ht="13.5" hidden="false" customHeight="false" outlineLevel="0" collapsed="false">
      <c r="A156" s="109" t="n">
        <v>156</v>
      </c>
      <c r="B156" s="110" t="str">
        <f aca="false">IFERROR(IF([1]对账明细接口!$B$156=0,"",[1]对账明细接口!$B$156),"")</f>
        <v/>
      </c>
      <c r="C156" s="59" t="str">
        <f aca="false">IFERROR(IF([1]对账明细接口!$C$156=0,"",[1]对账明细接口!$C$156),"")</f>
        <v/>
      </c>
      <c r="D156" s="59" t="str">
        <f aca="false">IFERROR(IF([1]对账明细接口!$D$156=0,"",[1]对账明细接口!$D$156),"")</f>
        <v/>
      </c>
      <c r="E156" s="59" t="str">
        <f aca="false">IFERROR(IF([1]对账明细接口!$E$156=0,"",[1]对账明细接口!$E$156),"")</f>
        <v/>
      </c>
      <c r="F156" s="59" t="str">
        <f aca="false">IFERROR(IF([1]对账明细接口!$F$156=0,"",[1]对账明细接口!$F$156),"")</f>
        <v/>
      </c>
      <c r="G156" s="59" t="str">
        <f aca="false">IFERROR(IF([1]对账明细接口!$G$156=0,"",[1]对账明细接口!$G$156),"")</f>
        <v/>
      </c>
      <c r="H156" s="60" t="str">
        <f aca="false">IFERROR(IF([1]对账明细接口!$H$156=0,"",[1]对账明细接口!$H$156),"")</f>
        <v/>
      </c>
      <c r="I156" s="59" t="str">
        <f aca="false">IFERROR(IF([1]对账明细接口!$I$156=0,"",[1]对账明细接口!$I$156),"")</f>
        <v/>
      </c>
      <c r="J156" s="61" t="str">
        <f aca="false">IFERROR(IF([1]对账明细接口!$J$156=0,"",[1]对账明细接口!$J$156),"")</f>
        <v/>
      </c>
      <c r="K156" s="61" t="str">
        <f aca="false">IFERROR(IF([1]对账明细接口!$K$156=0,"",[1]对账明细接口!$K$156),"")</f>
        <v/>
      </c>
      <c r="L156" s="59" t="str">
        <f aca="false">IFERROR(IF([1]对账明细接口!$L$156=0,"",[1]对账明细接口!$L$156),"")</f>
        <v/>
      </c>
      <c r="M156" s="59" t="str">
        <f aca="false">IFERROR(IF([1]对账明细接口!$M$156=0,"",[1]对账明细接口!$M$156),"")</f>
        <v/>
      </c>
      <c r="N156" s="111" t="n">
        <f aca="false">IF($C156="",0,1)</f>
        <v>0</v>
      </c>
      <c r="O156" s="111" t="n">
        <f aca="false">N(O155)+$N156</f>
        <v>110</v>
      </c>
      <c r="S156" s="10" t="str">
        <f aca="false">IFERROR(IF([1]对账明细接口!$N156=0,"",[1]对账明细接口!$N156),"")</f>
        <v/>
      </c>
      <c r="T156" s="112" t="str">
        <f aca="false">IFERROR(IF([1]对账明细接口!$O156=0,"",[1]对账明细接口!$O156),"")</f>
        <v/>
      </c>
      <c r="U156" s="112" t="str">
        <f aca="false">IFERROR(IF([1]对账明细接口!$P156=0,"",[1]对账明细接口!$P156),"")</f>
        <v/>
      </c>
      <c r="V156" s="112" t="str">
        <f aca="false">IFERROR(IF([1]对账明细接口!$Q156=0,"",[1]对账明细接口!$Q156),"")</f>
        <v/>
      </c>
      <c r="W156" s="10" t="str">
        <f aca="false">IFERROR(IF([1]对账明细接口!$R156=0,"",[1]对账明细接口!$R156),"")</f>
        <v/>
      </c>
      <c r="X156" s="10" t="str">
        <f aca="false">IFERROR(IF([1]对账明细接口!$S156=0,"",[1]对账明细接口!$S156),"")</f>
        <v/>
      </c>
      <c r="Y156" s="10" t="str">
        <f aca="false">""</f>
        <v/>
      </c>
      <c r="Z156" s="10" t="str">
        <f aca="false">""</f>
        <v/>
      </c>
      <c r="AA156" s="10" t="str">
        <f aca="false">""</f>
        <v/>
      </c>
      <c r="AB156" s="10" t="str">
        <f aca="false">""</f>
        <v/>
      </c>
    </row>
    <row r="157" customFormat="false" ht="13.5" hidden="false" customHeight="false" outlineLevel="0" collapsed="false">
      <c r="A157" s="109" t="n">
        <v>157</v>
      </c>
      <c r="B157" s="110" t="str">
        <f aca="false">IFERROR(IF([1]对账明细接口!$B$157=0,"",[1]对账明细接口!$B$157),"")</f>
        <v/>
      </c>
      <c r="C157" s="59" t="str">
        <f aca="false">IFERROR(IF([1]对账明细接口!$C$157=0,"",[1]对账明细接口!$C$157),"")</f>
        <v/>
      </c>
      <c r="D157" s="59" t="str">
        <f aca="false">IFERROR(IF([1]对账明细接口!$D$157=0,"",[1]对账明细接口!$D$157),"")</f>
        <v/>
      </c>
      <c r="E157" s="59" t="str">
        <f aca="false">IFERROR(IF([1]对账明细接口!$E$157=0,"",[1]对账明细接口!$E$157),"")</f>
        <v/>
      </c>
      <c r="F157" s="59" t="str">
        <f aca="false">IFERROR(IF([1]对账明细接口!$F$157=0,"",[1]对账明细接口!$F$157),"")</f>
        <v/>
      </c>
      <c r="G157" s="59" t="str">
        <f aca="false">IFERROR(IF([1]对账明细接口!$G$157=0,"",[1]对账明细接口!$G$157),"")</f>
        <v/>
      </c>
      <c r="H157" s="60" t="str">
        <f aca="false">IFERROR(IF([1]对账明细接口!$H$157=0,"",[1]对账明细接口!$H$157),"")</f>
        <v/>
      </c>
      <c r="I157" s="59" t="str">
        <f aca="false">IFERROR(IF([1]对账明细接口!$I$157=0,"",[1]对账明细接口!$I$157),"")</f>
        <v/>
      </c>
      <c r="J157" s="61" t="str">
        <f aca="false">IFERROR(IF([1]对账明细接口!$J$157=0,"",[1]对账明细接口!$J$157),"")</f>
        <v/>
      </c>
      <c r="K157" s="61" t="str">
        <f aca="false">IFERROR(IF([1]对账明细接口!$K$157=0,"",[1]对账明细接口!$K$157),"")</f>
        <v/>
      </c>
      <c r="L157" s="59" t="str">
        <f aca="false">IFERROR(IF([1]对账明细接口!$L$157=0,"",[1]对账明细接口!$L$157),"")</f>
        <v/>
      </c>
      <c r="M157" s="59" t="str">
        <f aca="false">IFERROR(IF([1]对账明细接口!$M$157=0,"",[1]对账明细接口!$M$157),"")</f>
        <v/>
      </c>
      <c r="N157" s="111" t="n">
        <f aca="false">IF($C157="",0,1)</f>
        <v>0</v>
      </c>
      <c r="O157" s="111" t="n">
        <f aca="false">N(O156)+$N157</f>
        <v>110</v>
      </c>
      <c r="S157" s="10" t="str">
        <f aca="false">IFERROR(IF([1]对账明细接口!$N157=0,"",[1]对账明细接口!$N157),"")</f>
        <v/>
      </c>
      <c r="T157" s="112" t="str">
        <f aca="false">IFERROR(IF([1]对账明细接口!$O157=0,"",[1]对账明细接口!$O157),"")</f>
        <v/>
      </c>
      <c r="U157" s="112" t="str">
        <f aca="false">IFERROR(IF([1]对账明细接口!$P157=0,"",[1]对账明细接口!$P157),"")</f>
        <v/>
      </c>
      <c r="V157" s="112" t="str">
        <f aca="false">IFERROR(IF([1]对账明细接口!$Q157=0,"",[1]对账明细接口!$Q157),"")</f>
        <v/>
      </c>
      <c r="W157" s="10" t="str">
        <f aca="false">IFERROR(IF([1]对账明细接口!$R157=0,"",[1]对账明细接口!$R157),"")</f>
        <v/>
      </c>
      <c r="X157" s="10" t="str">
        <f aca="false">IFERROR(IF([1]对账明细接口!$S157=0,"",[1]对账明细接口!$S157),"")</f>
        <v/>
      </c>
      <c r="Y157" s="10" t="str">
        <f aca="false">""</f>
        <v/>
      </c>
      <c r="Z157" s="10" t="str">
        <f aca="false">""</f>
        <v/>
      </c>
      <c r="AA157" s="10" t="str">
        <f aca="false">""</f>
        <v/>
      </c>
      <c r="AB157" s="10" t="str">
        <f aca="false">""</f>
        <v/>
      </c>
    </row>
    <row r="158" customFormat="false" ht="13.5" hidden="false" customHeight="false" outlineLevel="0" collapsed="false">
      <c r="A158" s="109" t="n">
        <v>158</v>
      </c>
      <c r="B158" s="110" t="str">
        <f aca="false">IFERROR(IF([1]对账明细接口!$B$158=0,"",[1]对账明细接口!$B$158),"")</f>
        <v/>
      </c>
      <c r="C158" s="59" t="str">
        <f aca="false">IFERROR(IF([1]对账明细接口!$C$158=0,"",[1]对账明细接口!$C$158),"")</f>
        <v/>
      </c>
      <c r="D158" s="59" t="str">
        <f aca="false">IFERROR(IF([1]对账明细接口!$D$158=0,"",[1]对账明细接口!$D$158),"")</f>
        <v/>
      </c>
      <c r="E158" s="59" t="str">
        <f aca="false">IFERROR(IF([1]对账明细接口!$E$158=0,"",[1]对账明细接口!$E$158),"")</f>
        <v/>
      </c>
      <c r="F158" s="59" t="str">
        <f aca="false">IFERROR(IF([1]对账明细接口!$F$158=0,"",[1]对账明细接口!$F$158),"")</f>
        <v/>
      </c>
      <c r="G158" s="59" t="str">
        <f aca="false">IFERROR(IF([1]对账明细接口!$G$158=0,"",[1]对账明细接口!$G$158),"")</f>
        <v/>
      </c>
      <c r="H158" s="60" t="str">
        <f aca="false">IFERROR(IF([1]对账明细接口!$H$158=0,"",[1]对账明细接口!$H$158),"")</f>
        <v/>
      </c>
      <c r="I158" s="59" t="str">
        <f aca="false">IFERROR(IF([1]对账明细接口!$I$158=0,"",[1]对账明细接口!$I$158),"")</f>
        <v/>
      </c>
      <c r="J158" s="61" t="str">
        <f aca="false">IFERROR(IF([1]对账明细接口!$J$158=0,"",[1]对账明细接口!$J$158),"")</f>
        <v/>
      </c>
      <c r="K158" s="61" t="str">
        <f aca="false">IFERROR(IF([1]对账明细接口!$K$158=0,"",[1]对账明细接口!$K$158),"")</f>
        <v/>
      </c>
      <c r="L158" s="59" t="str">
        <f aca="false">IFERROR(IF([1]对账明细接口!$L$158=0,"",[1]对账明细接口!$L$158),"")</f>
        <v/>
      </c>
      <c r="M158" s="59" t="str">
        <f aca="false">IFERROR(IF([1]对账明细接口!$M$158=0,"",[1]对账明细接口!$M$158),"")</f>
        <v/>
      </c>
      <c r="N158" s="111" t="n">
        <f aca="false">IF($C158="",0,1)</f>
        <v>0</v>
      </c>
      <c r="O158" s="111" t="n">
        <f aca="false">N(O157)+$N158</f>
        <v>110</v>
      </c>
      <c r="S158" s="10" t="str">
        <f aca="false">IFERROR(IF([1]对账明细接口!$N158=0,"",[1]对账明细接口!$N158),"")</f>
        <v/>
      </c>
      <c r="T158" s="112" t="str">
        <f aca="false">IFERROR(IF([1]对账明细接口!$O158=0,"",[1]对账明细接口!$O158),"")</f>
        <v/>
      </c>
      <c r="U158" s="112" t="str">
        <f aca="false">IFERROR(IF([1]对账明细接口!$P158=0,"",[1]对账明细接口!$P158),"")</f>
        <v/>
      </c>
      <c r="V158" s="112" t="str">
        <f aca="false">IFERROR(IF([1]对账明细接口!$Q158=0,"",[1]对账明细接口!$Q158),"")</f>
        <v/>
      </c>
      <c r="W158" s="10" t="str">
        <f aca="false">IFERROR(IF([1]对账明细接口!$R158=0,"",[1]对账明细接口!$R158),"")</f>
        <v/>
      </c>
      <c r="X158" s="10" t="str">
        <f aca="false">IFERROR(IF([1]对账明细接口!$S158=0,"",[1]对账明细接口!$S158),"")</f>
        <v/>
      </c>
      <c r="Y158" s="10" t="str">
        <f aca="false">""</f>
        <v/>
      </c>
      <c r="Z158" s="10" t="str">
        <f aca="false">""</f>
        <v/>
      </c>
      <c r="AA158" s="10" t="str">
        <f aca="false">""</f>
        <v/>
      </c>
      <c r="AB158" s="10" t="str">
        <f aca="false">""</f>
        <v/>
      </c>
    </row>
    <row r="159" customFormat="false" ht="13.5" hidden="false" customHeight="false" outlineLevel="0" collapsed="false">
      <c r="A159" s="109" t="n">
        <v>159</v>
      </c>
      <c r="B159" s="110" t="str">
        <f aca="false">IFERROR(IF([1]对账明细接口!$B$159=0,"",[1]对账明细接口!$B$159),"")</f>
        <v/>
      </c>
      <c r="C159" s="59" t="str">
        <f aca="false">IFERROR(IF([1]对账明细接口!$C$159=0,"",[1]对账明细接口!$C$159),"")</f>
        <v/>
      </c>
      <c r="D159" s="59" t="str">
        <f aca="false">IFERROR(IF([1]对账明细接口!$D$159=0,"",[1]对账明细接口!$D$159),"")</f>
        <v/>
      </c>
      <c r="E159" s="59" t="str">
        <f aca="false">IFERROR(IF([1]对账明细接口!$E$159=0,"",[1]对账明细接口!$E$159),"")</f>
        <v/>
      </c>
      <c r="F159" s="59" t="str">
        <f aca="false">IFERROR(IF([1]对账明细接口!$F$159=0,"",[1]对账明细接口!$F$159),"")</f>
        <v/>
      </c>
      <c r="G159" s="59" t="str">
        <f aca="false">IFERROR(IF([1]对账明细接口!$G$159=0,"",[1]对账明细接口!$G$159),"")</f>
        <v/>
      </c>
      <c r="H159" s="60" t="str">
        <f aca="false">IFERROR(IF([1]对账明细接口!$H$159=0,"",[1]对账明细接口!$H$159),"")</f>
        <v/>
      </c>
      <c r="I159" s="59" t="str">
        <f aca="false">IFERROR(IF([1]对账明细接口!$I$159=0,"",[1]对账明细接口!$I$159),"")</f>
        <v/>
      </c>
      <c r="J159" s="61" t="str">
        <f aca="false">IFERROR(IF([1]对账明细接口!$J$159=0,"",[1]对账明细接口!$J$159),"")</f>
        <v/>
      </c>
      <c r="K159" s="61" t="str">
        <f aca="false">IFERROR(IF([1]对账明细接口!$K$159=0,"",[1]对账明细接口!$K$159),"")</f>
        <v/>
      </c>
      <c r="L159" s="59" t="str">
        <f aca="false">IFERROR(IF([1]对账明细接口!$L$159=0,"",[1]对账明细接口!$L$159),"")</f>
        <v/>
      </c>
      <c r="M159" s="59" t="str">
        <f aca="false">IFERROR(IF([1]对账明细接口!$M$159=0,"",[1]对账明细接口!$M$159),"")</f>
        <v/>
      </c>
      <c r="N159" s="111" t="n">
        <f aca="false">IF($C159="",0,1)</f>
        <v>0</v>
      </c>
      <c r="O159" s="111" t="n">
        <f aca="false">N(O158)+$N159</f>
        <v>110</v>
      </c>
      <c r="S159" s="10" t="str">
        <f aca="false">IFERROR(IF([1]对账明细接口!$N159=0,"",[1]对账明细接口!$N159),"")</f>
        <v/>
      </c>
      <c r="T159" s="112" t="str">
        <f aca="false">IFERROR(IF([1]对账明细接口!$O159=0,"",[1]对账明细接口!$O159),"")</f>
        <v/>
      </c>
      <c r="U159" s="112" t="str">
        <f aca="false">IFERROR(IF([1]对账明细接口!$P159=0,"",[1]对账明细接口!$P159),"")</f>
        <v/>
      </c>
      <c r="V159" s="112" t="str">
        <f aca="false">IFERROR(IF([1]对账明细接口!$Q159=0,"",[1]对账明细接口!$Q159),"")</f>
        <v/>
      </c>
      <c r="W159" s="10" t="str">
        <f aca="false">IFERROR(IF([1]对账明细接口!$R159=0,"",[1]对账明细接口!$R159),"")</f>
        <v/>
      </c>
      <c r="X159" s="10" t="str">
        <f aca="false">IFERROR(IF([1]对账明细接口!$S159=0,"",[1]对账明细接口!$S159),"")</f>
        <v/>
      </c>
      <c r="Y159" s="10" t="str">
        <f aca="false">""</f>
        <v/>
      </c>
      <c r="Z159" s="10" t="str">
        <f aca="false">""</f>
        <v/>
      </c>
      <c r="AA159" s="10" t="str">
        <f aca="false">""</f>
        <v/>
      </c>
      <c r="AB159" s="10" t="str">
        <f aca="false">""</f>
        <v/>
      </c>
    </row>
    <row r="160" customFormat="false" ht="13.5" hidden="false" customHeight="false" outlineLevel="0" collapsed="false">
      <c r="A160" s="109" t="n">
        <v>160</v>
      </c>
      <c r="B160" s="110" t="str">
        <f aca="false">IFERROR(IF([1]对账明细接口!$B$160=0,"",[1]对账明细接口!$B$160),"")</f>
        <v/>
      </c>
      <c r="C160" s="59" t="str">
        <f aca="false">IFERROR(IF([1]对账明细接口!$C$160=0,"",[1]对账明细接口!$C$160),"")</f>
        <v/>
      </c>
      <c r="D160" s="59" t="str">
        <f aca="false">IFERROR(IF([1]对账明细接口!$D$160=0,"",[1]对账明细接口!$D$160),"")</f>
        <v/>
      </c>
      <c r="E160" s="59" t="str">
        <f aca="false">IFERROR(IF([1]对账明细接口!$E$160=0,"",[1]对账明细接口!$E$160),"")</f>
        <v/>
      </c>
      <c r="F160" s="59" t="str">
        <f aca="false">IFERROR(IF([1]对账明细接口!$F$160=0,"",[1]对账明细接口!$F$160),"")</f>
        <v/>
      </c>
      <c r="G160" s="59" t="str">
        <f aca="false">IFERROR(IF([1]对账明细接口!$G$160=0,"",[1]对账明细接口!$G$160),"")</f>
        <v/>
      </c>
      <c r="H160" s="60" t="str">
        <f aca="false">IFERROR(IF([1]对账明细接口!$H$160=0,"",[1]对账明细接口!$H$160),"")</f>
        <v/>
      </c>
      <c r="I160" s="59" t="str">
        <f aca="false">IFERROR(IF([1]对账明细接口!$I$160=0,"",[1]对账明细接口!$I$160),"")</f>
        <v/>
      </c>
      <c r="J160" s="61" t="str">
        <f aca="false">IFERROR(IF([1]对账明细接口!$J$160=0,"",[1]对账明细接口!$J$160),"")</f>
        <v/>
      </c>
      <c r="K160" s="61" t="str">
        <f aca="false">IFERROR(IF([1]对账明细接口!$K$160=0,"",[1]对账明细接口!$K$160),"")</f>
        <v/>
      </c>
      <c r="L160" s="59" t="str">
        <f aca="false">IFERROR(IF([1]对账明细接口!$L$160=0,"",[1]对账明细接口!$L$160),"")</f>
        <v/>
      </c>
      <c r="M160" s="59" t="str">
        <f aca="false">IFERROR(IF([1]对账明细接口!$M$160=0,"",[1]对账明细接口!$M$160),"")</f>
        <v/>
      </c>
      <c r="N160" s="111" t="n">
        <f aca="false">IF($C160="",0,1)</f>
        <v>0</v>
      </c>
      <c r="O160" s="111" t="n">
        <f aca="false">N(O159)+$N160</f>
        <v>110</v>
      </c>
      <c r="S160" s="10" t="str">
        <f aca="false">IFERROR(IF([1]对账明细接口!$N160=0,"",[1]对账明细接口!$N160),"")</f>
        <v/>
      </c>
      <c r="T160" s="112" t="str">
        <f aca="false">IFERROR(IF([1]对账明细接口!$O160=0,"",[1]对账明细接口!$O160),"")</f>
        <v/>
      </c>
      <c r="U160" s="112" t="str">
        <f aca="false">IFERROR(IF([1]对账明细接口!$P160=0,"",[1]对账明细接口!$P160),"")</f>
        <v/>
      </c>
      <c r="V160" s="112" t="str">
        <f aca="false">IFERROR(IF([1]对账明细接口!$Q160=0,"",[1]对账明细接口!$Q160),"")</f>
        <v/>
      </c>
      <c r="W160" s="10" t="str">
        <f aca="false">IFERROR(IF([1]对账明细接口!$R160=0,"",[1]对账明细接口!$R160),"")</f>
        <v/>
      </c>
      <c r="X160" s="10" t="str">
        <f aca="false">IFERROR(IF([1]对账明细接口!$S160=0,"",[1]对账明细接口!$S160),"")</f>
        <v/>
      </c>
      <c r="Y160" s="10" t="str">
        <f aca="false">""</f>
        <v/>
      </c>
      <c r="Z160" s="10" t="str">
        <f aca="false">""</f>
        <v/>
      </c>
      <c r="AA160" s="10" t="str">
        <f aca="false">""</f>
        <v/>
      </c>
      <c r="AB160" s="10" t="str">
        <f aca="false">""</f>
        <v/>
      </c>
    </row>
    <row r="161" customFormat="false" ht="13.5" hidden="false" customHeight="false" outlineLevel="0" collapsed="false">
      <c r="A161" s="109" t="n">
        <v>161</v>
      </c>
      <c r="B161" s="110" t="str">
        <f aca="false">IFERROR(IF([1]对账明细接口!$B$161=0,"",[1]对账明细接口!$B$161),"")</f>
        <v/>
      </c>
      <c r="C161" s="59" t="str">
        <f aca="false">IFERROR(IF([1]对账明细接口!$C$161=0,"",[1]对账明细接口!$C$161),"")</f>
        <v/>
      </c>
      <c r="D161" s="59" t="str">
        <f aca="false">IFERROR(IF([1]对账明细接口!$D$161=0,"",[1]对账明细接口!$D$161),"")</f>
        <v/>
      </c>
      <c r="E161" s="59" t="str">
        <f aca="false">IFERROR(IF([1]对账明细接口!$E$161=0,"",[1]对账明细接口!$E$161),"")</f>
        <v/>
      </c>
      <c r="F161" s="59" t="str">
        <f aca="false">IFERROR(IF([1]对账明细接口!$F$161=0,"",[1]对账明细接口!$F$161),"")</f>
        <v/>
      </c>
      <c r="G161" s="59" t="str">
        <f aca="false">IFERROR(IF([1]对账明细接口!$G$161=0,"",[1]对账明细接口!$G$161),"")</f>
        <v/>
      </c>
      <c r="H161" s="60" t="str">
        <f aca="false">IFERROR(IF([1]对账明细接口!$H$161=0,"",[1]对账明细接口!$H$161),"")</f>
        <v/>
      </c>
      <c r="I161" s="59" t="str">
        <f aca="false">IFERROR(IF([1]对账明细接口!$I$161=0,"",[1]对账明细接口!$I$161),"")</f>
        <v/>
      </c>
      <c r="J161" s="61" t="str">
        <f aca="false">IFERROR(IF([1]对账明细接口!$J$161=0,"",[1]对账明细接口!$J$161),"")</f>
        <v/>
      </c>
      <c r="K161" s="61" t="str">
        <f aca="false">IFERROR(IF([1]对账明细接口!$K$161=0,"",[1]对账明细接口!$K$161),"")</f>
        <v/>
      </c>
      <c r="L161" s="59" t="str">
        <f aca="false">IFERROR(IF([1]对账明细接口!$L$161=0,"",[1]对账明细接口!$L$161),"")</f>
        <v/>
      </c>
      <c r="M161" s="59" t="str">
        <f aca="false">IFERROR(IF([1]对账明细接口!$M$161=0,"",[1]对账明细接口!$M$161),"")</f>
        <v/>
      </c>
      <c r="N161" s="111" t="n">
        <f aca="false">IF($C161="",0,1)</f>
        <v>0</v>
      </c>
      <c r="O161" s="111" t="n">
        <f aca="false">N(O160)+$N161</f>
        <v>110</v>
      </c>
      <c r="S161" s="10" t="str">
        <f aca="false">IFERROR(IF([1]对账明细接口!$N161=0,"",[1]对账明细接口!$N161),"")</f>
        <v/>
      </c>
      <c r="T161" s="112" t="str">
        <f aca="false">IFERROR(IF([1]对账明细接口!$O161=0,"",[1]对账明细接口!$O161),"")</f>
        <v/>
      </c>
      <c r="U161" s="112" t="str">
        <f aca="false">IFERROR(IF([1]对账明细接口!$P161=0,"",[1]对账明细接口!$P161),"")</f>
        <v/>
      </c>
      <c r="V161" s="112" t="str">
        <f aca="false">IFERROR(IF([1]对账明细接口!$Q161=0,"",[1]对账明细接口!$Q161),"")</f>
        <v/>
      </c>
      <c r="W161" s="10" t="str">
        <f aca="false">IFERROR(IF([1]对账明细接口!$R161=0,"",[1]对账明细接口!$R161),"")</f>
        <v/>
      </c>
      <c r="X161" s="10" t="str">
        <f aca="false">IFERROR(IF([1]对账明细接口!$S161=0,"",[1]对账明细接口!$S161),"")</f>
        <v/>
      </c>
      <c r="Y161" s="10" t="str">
        <f aca="false">""</f>
        <v/>
      </c>
      <c r="Z161" s="10" t="str">
        <f aca="false">""</f>
        <v/>
      </c>
      <c r="AA161" s="10" t="str">
        <f aca="false">""</f>
        <v/>
      </c>
      <c r="AB161" s="10" t="str">
        <f aca="false">""</f>
        <v/>
      </c>
    </row>
    <row r="162" customFormat="false" ht="13.5" hidden="false" customHeight="false" outlineLevel="0" collapsed="false">
      <c r="A162" s="109" t="n">
        <v>162</v>
      </c>
      <c r="B162" s="110" t="str">
        <f aca="false">IFERROR(IF([1]对账明细接口!$B$162=0,"",[1]对账明细接口!$B$162),"")</f>
        <v/>
      </c>
      <c r="C162" s="59" t="str">
        <f aca="false">IFERROR(IF([1]对账明细接口!$C$162=0,"",[1]对账明细接口!$C$162),"")</f>
        <v/>
      </c>
      <c r="D162" s="59" t="str">
        <f aca="false">IFERROR(IF([1]对账明细接口!$D$162=0,"",[1]对账明细接口!$D$162),"")</f>
        <v/>
      </c>
      <c r="E162" s="59" t="str">
        <f aca="false">IFERROR(IF([1]对账明细接口!$E$162=0,"",[1]对账明细接口!$E$162),"")</f>
        <v/>
      </c>
      <c r="F162" s="59" t="str">
        <f aca="false">IFERROR(IF([1]对账明细接口!$F$162=0,"",[1]对账明细接口!$F$162),"")</f>
        <v/>
      </c>
      <c r="G162" s="59" t="str">
        <f aca="false">IFERROR(IF([1]对账明细接口!$G$162=0,"",[1]对账明细接口!$G$162),"")</f>
        <v/>
      </c>
      <c r="H162" s="60" t="str">
        <f aca="false">IFERROR(IF([1]对账明细接口!$H$162=0,"",[1]对账明细接口!$H$162),"")</f>
        <v/>
      </c>
      <c r="I162" s="59" t="str">
        <f aca="false">IFERROR(IF([1]对账明细接口!$I$162=0,"",[1]对账明细接口!$I$162),"")</f>
        <v/>
      </c>
      <c r="J162" s="61" t="str">
        <f aca="false">IFERROR(IF([1]对账明细接口!$J$162=0,"",[1]对账明细接口!$J$162),"")</f>
        <v/>
      </c>
      <c r="K162" s="61" t="str">
        <f aca="false">IFERROR(IF([1]对账明细接口!$K$162=0,"",[1]对账明细接口!$K$162),"")</f>
        <v/>
      </c>
      <c r="L162" s="59" t="str">
        <f aca="false">IFERROR(IF([1]对账明细接口!$L$162=0,"",[1]对账明细接口!$L$162),"")</f>
        <v/>
      </c>
      <c r="M162" s="59" t="str">
        <f aca="false">IFERROR(IF([1]对账明细接口!$M$162=0,"",[1]对账明细接口!$M$162),"")</f>
        <v/>
      </c>
      <c r="N162" s="111" t="n">
        <f aca="false">IF($C162="",0,1)</f>
        <v>0</v>
      </c>
      <c r="O162" s="111" t="n">
        <f aca="false">N(O161)+$N162</f>
        <v>110</v>
      </c>
      <c r="S162" s="10" t="str">
        <f aca="false">IFERROR(IF([1]对账明细接口!$N162=0,"",[1]对账明细接口!$N162),"")</f>
        <v/>
      </c>
      <c r="T162" s="112" t="str">
        <f aca="false">IFERROR(IF([1]对账明细接口!$O162=0,"",[1]对账明细接口!$O162),"")</f>
        <v/>
      </c>
      <c r="U162" s="112" t="str">
        <f aca="false">IFERROR(IF([1]对账明细接口!$P162=0,"",[1]对账明细接口!$P162),"")</f>
        <v/>
      </c>
      <c r="V162" s="112" t="str">
        <f aca="false">IFERROR(IF([1]对账明细接口!$Q162=0,"",[1]对账明细接口!$Q162),"")</f>
        <v/>
      </c>
      <c r="W162" s="10" t="str">
        <f aca="false">IFERROR(IF([1]对账明细接口!$R162=0,"",[1]对账明细接口!$R162),"")</f>
        <v/>
      </c>
      <c r="X162" s="10" t="str">
        <f aca="false">IFERROR(IF([1]对账明细接口!$S162=0,"",[1]对账明细接口!$S162),"")</f>
        <v/>
      </c>
      <c r="Y162" s="10" t="str">
        <f aca="false">""</f>
        <v/>
      </c>
      <c r="Z162" s="10" t="str">
        <f aca="false">""</f>
        <v/>
      </c>
      <c r="AA162" s="10" t="str">
        <f aca="false">""</f>
        <v/>
      </c>
      <c r="AB162" s="10" t="str">
        <f aca="false">""</f>
        <v/>
      </c>
    </row>
    <row r="163" customFormat="false" ht="13.5" hidden="false" customHeight="false" outlineLevel="0" collapsed="false">
      <c r="A163" s="109" t="n">
        <v>163</v>
      </c>
      <c r="B163" s="110" t="str">
        <f aca="false">IFERROR(IF([1]对账明细接口!$B$163=0,"",[1]对账明细接口!$B$163),"")</f>
        <v/>
      </c>
      <c r="C163" s="59" t="str">
        <f aca="false">IFERROR(IF([1]对账明细接口!$C$163=0,"",[1]对账明细接口!$C$163),"")</f>
        <v/>
      </c>
      <c r="D163" s="59" t="str">
        <f aca="false">IFERROR(IF([1]对账明细接口!$D$163=0,"",[1]对账明细接口!$D$163),"")</f>
        <v/>
      </c>
      <c r="E163" s="59" t="str">
        <f aca="false">IFERROR(IF([1]对账明细接口!$E$163=0,"",[1]对账明细接口!$E$163),"")</f>
        <v/>
      </c>
      <c r="F163" s="59" t="str">
        <f aca="false">IFERROR(IF([1]对账明细接口!$F$163=0,"",[1]对账明细接口!$F$163),"")</f>
        <v/>
      </c>
      <c r="G163" s="59" t="str">
        <f aca="false">IFERROR(IF([1]对账明细接口!$G$163=0,"",[1]对账明细接口!$G$163),"")</f>
        <v/>
      </c>
      <c r="H163" s="60" t="str">
        <f aca="false">IFERROR(IF([1]对账明细接口!$H$163=0,"",[1]对账明细接口!$H$163),"")</f>
        <v/>
      </c>
      <c r="I163" s="59" t="str">
        <f aca="false">IFERROR(IF([1]对账明细接口!$I$163=0,"",[1]对账明细接口!$I$163),"")</f>
        <v/>
      </c>
      <c r="J163" s="61" t="str">
        <f aca="false">IFERROR(IF([1]对账明细接口!$J$163=0,"",[1]对账明细接口!$J$163),"")</f>
        <v/>
      </c>
      <c r="K163" s="61" t="str">
        <f aca="false">IFERROR(IF([1]对账明细接口!$K$163=0,"",[1]对账明细接口!$K$163),"")</f>
        <v/>
      </c>
      <c r="L163" s="59" t="str">
        <f aca="false">IFERROR(IF([1]对账明细接口!$L$163=0,"",[1]对账明细接口!$L$163),"")</f>
        <v/>
      </c>
      <c r="M163" s="59" t="str">
        <f aca="false">IFERROR(IF([1]对账明细接口!$M$163=0,"",[1]对账明细接口!$M$163),"")</f>
        <v/>
      </c>
      <c r="N163" s="111" t="n">
        <f aca="false">IF($C163="",0,1)</f>
        <v>0</v>
      </c>
      <c r="O163" s="111" t="n">
        <f aca="false">N(O162)+$N163</f>
        <v>110</v>
      </c>
      <c r="S163" s="10" t="str">
        <f aca="false">IFERROR(IF([1]对账明细接口!$N163=0,"",[1]对账明细接口!$N163),"")</f>
        <v/>
      </c>
      <c r="T163" s="112" t="str">
        <f aca="false">IFERROR(IF([1]对账明细接口!$O163=0,"",[1]对账明细接口!$O163),"")</f>
        <v/>
      </c>
      <c r="U163" s="112" t="str">
        <f aca="false">IFERROR(IF([1]对账明细接口!$P163=0,"",[1]对账明细接口!$P163),"")</f>
        <v/>
      </c>
      <c r="V163" s="112" t="str">
        <f aca="false">IFERROR(IF([1]对账明细接口!$Q163=0,"",[1]对账明细接口!$Q163),"")</f>
        <v/>
      </c>
      <c r="W163" s="10" t="str">
        <f aca="false">IFERROR(IF([1]对账明细接口!$R163=0,"",[1]对账明细接口!$R163),"")</f>
        <v/>
      </c>
      <c r="X163" s="10" t="str">
        <f aca="false">IFERROR(IF([1]对账明细接口!$S163=0,"",[1]对账明细接口!$S163),"")</f>
        <v/>
      </c>
      <c r="Y163" s="10" t="str">
        <f aca="false">""</f>
        <v/>
      </c>
      <c r="Z163" s="10" t="str">
        <f aca="false">""</f>
        <v/>
      </c>
      <c r="AA163" s="10" t="str">
        <f aca="false">""</f>
        <v/>
      </c>
      <c r="AB163" s="10" t="str">
        <f aca="false">""</f>
        <v/>
      </c>
    </row>
    <row r="164" customFormat="false" ht="13.5" hidden="false" customHeight="false" outlineLevel="0" collapsed="false">
      <c r="A164" s="109" t="n">
        <v>164</v>
      </c>
      <c r="B164" s="110" t="str">
        <f aca="false">IFERROR(IF([1]对账明细接口!$B$164=0,"",[1]对账明细接口!$B$164),"")</f>
        <v/>
      </c>
      <c r="C164" s="59" t="str">
        <f aca="false">IFERROR(IF([1]对账明细接口!$C$164=0,"",[1]对账明细接口!$C$164),"")</f>
        <v/>
      </c>
      <c r="D164" s="59" t="str">
        <f aca="false">IFERROR(IF([1]对账明细接口!$D$164=0,"",[1]对账明细接口!$D$164),"")</f>
        <v/>
      </c>
      <c r="E164" s="59" t="str">
        <f aca="false">IFERROR(IF([1]对账明细接口!$E$164=0,"",[1]对账明细接口!$E$164),"")</f>
        <v/>
      </c>
      <c r="F164" s="59" t="str">
        <f aca="false">IFERROR(IF([1]对账明细接口!$F$164=0,"",[1]对账明细接口!$F$164),"")</f>
        <v/>
      </c>
      <c r="G164" s="59" t="str">
        <f aca="false">IFERROR(IF([1]对账明细接口!$G$164=0,"",[1]对账明细接口!$G$164),"")</f>
        <v/>
      </c>
      <c r="H164" s="60" t="str">
        <f aca="false">IFERROR(IF([1]对账明细接口!$H$164=0,"",[1]对账明细接口!$H$164),"")</f>
        <v/>
      </c>
      <c r="I164" s="59" t="str">
        <f aca="false">IFERROR(IF([1]对账明细接口!$I$164=0,"",[1]对账明细接口!$I$164),"")</f>
        <v/>
      </c>
      <c r="J164" s="61" t="str">
        <f aca="false">IFERROR(IF([1]对账明细接口!$J$164=0,"",[1]对账明细接口!$J$164),"")</f>
        <v/>
      </c>
      <c r="K164" s="61" t="str">
        <f aca="false">IFERROR(IF([1]对账明细接口!$K$164=0,"",[1]对账明细接口!$K$164),"")</f>
        <v/>
      </c>
      <c r="L164" s="59" t="str">
        <f aca="false">IFERROR(IF([1]对账明细接口!$L$164=0,"",[1]对账明细接口!$L$164),"")</f>
        <v/>
      </c>
      <c r="M164" s="59" t="str">
        <f aca="false">IFERROR(IF([1]对账明细接口!$M$164=0,"",[1]对账明细接口!$M$164),"")</f>
        <v/>
      </c>
      <c r="N164" s="111" t="n">
        <f aca="false">IF($C164="",0,1)</f>
        <v>0</v>
      </c>
      <c r="O164" s="111" t="n">
        <f aca="false">N(O163)+$N164</f>
        <v>110</v>
      </c>
      <c r="S164" s="10" t="str">
        <f aca="false">IFERROR(IF([1]对账明细接口!$N164=0,"",[1]对账明细接口!$N164),"")</f>
        <v/>
      </c>
      <c r="T164" s="112" t="str">
        <f aca="false">IFERROR(IF([1]对账明细接口!$O164=0,"",[1]对账明细接口!$O164),"")</f>
        <v/>
      </c>
      <c r="U164" s="112" t="str">
        <f aca="false">IFERROR(IF([1]对账明细接口!$P164=0,"",[1]对账明细接口!$P164),"")</f>
        <v/>
      </c>
      <c r="V164" s="112" t="str">
        <f aca="false">IFERROR(IF([1]对账明细接口!$Q164=0,"",[1]对账明细接口!$Q164),"")</f>
        <v/>
      </c>
      <c r="W164" s="10" t="str">
        <f aca="false">IFERROR(IF([1]对账明细接口!$R164=0,"",[1]对账明细接口!$R164),"")</f>
        <v/>
      </c>
      <c r="X164" s="10" t="str">
        <f aca="false">IFERROR(IF([1]对账明细接口!$S164=0,"",[1]对账明细接口!$S164),"")</f>
        <v/>
      </c>
      <c r="Y164" s="10" t="str">
        <f aca="false">""</f>
        <v/>
      </c>
      <c r="Z164" s="10" t="str">
        <f aca="false">""</f>
        <v/>
      </c>
      <c r="AA164" s="10" t="str">
        <f aca="false">""</f>
        <v/>
      </c>
      <c r="AB164" s="10" t="str">
        <f aca="false">""</f>
        <v/>
      </c>
    </row>
    <row r="165" customFormat="false" ht="13.5" hidden="false" customHeight="false" outlineLevel="0" collapsed="false">
      <c r="A165" s="109" t="n">
        <v>165</v>
      </c>
      <c r="B165" s="110" t="str">
        <f aca="false">IFERROR(IF([1]对账明细接口!$B$165=0,"",[1]对账明细接口!$B$165),"")</f>
        <v/>
      </c>
      <c r="C165" s="59" t="str">
        <f aca="false">IFERROR(IF([1]对账明细接口!$C$165=0,"",[1]对账明细接口!$C$165),"")</f>
        <v/>
      </c>
      <c r="D165" s="59" t="str">
        <f aca="false">IFERROR(IF([1]对账明细接口!$D$165=0,"",[1]对账明细接口!$D$165),"")</f>
        <v/>
      </c>
      <c r="E165" s="59" t="str">
        <f aca="false">IFERROR(IF([1]对账明细接口!$E$165=0,"",[1]对账明细接口!$E$165),"")</f>
        <v/>
      </c>
      <c r="F165" s="59" t="str">
        <f aca="false">IFERROR(IF([1]对账明细接口!$F$165=0,"",[1]对账明细接口!$F$165),"")</f>
        <v/>
      </c>
      <c r="G165" s="59" t="str">
        <f aca="false">IFERROR(IF([1]对账明细接口!$G$165=0,"",[1]对账明细接口!$G$165),"")</f>
        <v/>
      </c>
      <c r="H165" s="60" t="str">
        <f aca="false">IFERROR(IF([1]对账明细接口!$H$165=0,"",[1]对账明细接口!$H$165),"")</f>
        <v/>
      </c>
      <c r="I165" s="59" t="str">
        <f aca="false">IFERROR(IF([1]对账明细接口!$I$165=0,"",[1]对账明细接口!$I$165),"")</f>
        <v/>
      </c>
      <c r="J165" s="61" t="str">
        <f aca="false">IFERROR(IF([1]对账明细接口!$J$165=0,"",[1]对账明细接口!$J$165),"")</f>
        <v/>
      </c>
      <c r="K165" s="61" t="str">
        <f aca="false">IFERROR(IF([1]对账明细接口!$K$165=0,"",[1]对账明细接口!$K$165),"")</f>
        <v/>
      </c>
      <c r="L165" s="59" t="str">
        <f aca="false">IFERROR(IF([1]对账明细接口!$L$165=0,"",[1]对账明细接口!$L$165),"")</f>
        <v/>
      </c>
      <c r="M165" s="59" t="str">
        <f aca="false">IFERROR(IF([1]对账明细接口!$M$165=0,"",[1]对账明细接口!$M$165),"")</f>
        <v/>
      </c>
      <c r="N165" s="111" t="n">
        <f aca="false">IF($C165="",0,1)</f>
        <v>0</v>
      </c>
      <c r="O165" s="111" t="n">
        <f aca="false">N(O164)+$N165</f>
        <v>110</v>
      </c>
      <c r="S165" s="10" t="str">
        <f aca="false">IFERROR(IF([1]对账明细接口!$N165=0,"",[1]对账明细接口!$N165),"")</f>
        <v/>
      </c>
      <c r="T165" s="112" t="str">
        <f aca="false">IFERROR(IF([1]对账明细接口!$O165=0,"",[1]对账明细接口!$O165),"")</f>
        <v/>
      </c>
      <c r="U165" s="112" t="str">
        <f aca="false">IFERROR(IF([1]对账明细接口!$P165=0,"",[1]对账明细接口!$P165),"")</f>
        <v/>
      </c>
      <c r="V165" s="112" t="str">
        <f aca="false">IFERROR(IF([1]对账明细接口!$Q165=0,"",[1]对账明细接口!$Q165),"")</f>
        <v/>
      </c>
      <c r="W165" s="10" t="str">
        <f aca="false">IFERROR(IF([1]对账明细接口!$R165=0,"",[1]对账明细接口!$R165),"")</f>
        <v/>
      </c>
      <c r="X165" s="10" t="str">
        <f aca="false">IFERROR(IF([1]对账明细接口!$S165=0,"",[1]对账明细接口!$S165),"")</f>
        <v/>
      </c>
      <c r="Y165" s="10" t="str">
        <f aca="false">""</f>
        <v/>
      </c>
      <c r="Z165" s="10" t="str">
        <f aca="false">""</f>
        <v/>
      </c>
      <c r="AA165" s="10" t="str">
        <f aca="false">""</f>
        <v/>
      </c>
      <c r="AB165" s="10" t="str">
        <f aca="false">""</f>
        <v/>
      </c>
    </row>
    <row r="166" customFormat="false" ht="13.5" hidden="false" customHeight="false" outlineLevel="0" collapsed="false">
      <c r="A166" s="109" t="n">
        <v>166</v>
      </c>
      <c r="B166" s="110" t="str">
        <f aca="false">IFERROR(IF([1]对账明细接口!$B$166=0,"",[1]对账明细接口!$B$166),"")</f>
        <v/>
      </c>
      <c r="C166" s="59" t="str">
        <f aca="false">IFERROR(IF([1]对账明细接口!$C$166=0,"",[1]对账明细接口!$C$166),"")</f>
        <v/>
      </c>
      <c r="D166" s="59" t="str">
        <f aca="false">IFERROR(IF([1]对账明细接口!$D$166=0,"",[1]对账明细接口!$D$166),"")</f>
        <v/>
      </c>
      <c r="E166" s="59" t="str">
        <f aca="false">IFERROR(IF([1]对账明细接口!$E$166=0,"",[1]对账明细接口!$E$166),"")</f>
        <v/>
      </c>
      <c r="F166" s="59" t="str">
        <f aca="false">IFERROR(IF([1]对账明细接口!$F$166=0,"",[1]对账明细接口!$F$166),"")</f>
        <v/>
      </c>
      <c r="G166" s="59" t="str">
        <f aca="false">IFERROR(IF([1]对账明细接口!$G$166=0,"",[1]对账明细接口!$G$166),"")</f>
        <v/>
      </c>
      <c r="H166" s="60" t="str">
        <f aca="false">IFERROR(IF([1]对账明细接口!$H$166=0,"",[1]对账明细接口!$H$166),"")</f>
        <v/>
      </c>
      <c r="I166" s="59" t="str">
        <f aca="false">IFERROR(IF([1]对账明细接口!$I$166=0,"",[1]对账明细接口!$I$166),"")</f>
        <v/>
      </c>
      <c r="J166" s="61" t="str">
        <f aca="false">IFERROR(IF([1]对账明细接口!$J$166=0,"",[1]对账明细接口!$J$166),"")</f>
        <v/>
      </c>
      <c r="K166" s="61" t="str">
        <f aca="false">IFERROR(IF([1]对账明细接口!$K$166=0,"",[1]对账明细接口!$K$166),"")</f>
        <v/>
      </c>
      <c r="L166" s="59" t="str">
        <f aca="false">IFERROR(IF([1]对账明细接口!$L$166=0,"",[1]对账明细接口!$L$166),"")</f>
        <v/>
      </c>
      <c r="M166" s="59" t="str">
        <f aca="false">IFERROR(IF([1]对账明细接口!$M$166=0,"",[1]对账明细接口!$M$166),"")</f>
        <v/>
      </c>
      <c r="N166" s="111" t="n">
        <f aca="false">IF($C166="",0,1)</f>
        <v>0</v>
      </c>
      <c r="O166" s="111" t="n">
        <f aca="false">N(O165)+$N166</f>
        <v>110</v>
      </c>
      <c r="S166" s="10" t="str">
        <f aca="false">IFERROR(IF([1]对账明细接口!$N166=0,"",[1]对账明细接口!$N166),"")</f>
        <v/>
      </c>
      <c r="T166" s="112" t="str">
        <f aca="false">IFERROR(IF([1]对账明细接口!$O166=0,"",[1]对账明细接口!$O166),"")</f>
        <v/>
      </c>
      <c r="U166" s="112" t="str">
        <f aca="false">IFERROR(IF([1]对账明细接口!$P166=0,"",[1]对账明细接口!$P166),"")</f>
        <v/>
      </c>
      <c r="V166" s="112" t="str">
        <f aca="false">IFERROR(IF([1]对账明细接口!$Q166=0,"",[1]对账明细接口!$Q166),"")</f>
        <v/>
      </c>
      <c r="W166" s="10" t="str">
        <f aca="false">IFERROR(IF([1]对账明细接口!$R166=0,"",[1]对账明细接口!$R166),"")</f>
        <v/>
      </c>
      <c r="X166" s="10" t="str">
        <f aca="false">IFERROR(IF([1]对账明细接口!$S166=0,"",[1]对账明细接口!$S166),"")</f>
        <v/>
      </c>
      <c r="Y166" s="10" t="str">
        <f aca="false">""</f>
        <v/>
      </c>
      <c r="Z166" s="10" t="str">
        <f aca="false">""</f>
        <v/>
      </c>
      <c r="AA166" s="10" t="str">
        <f aca="false">""</f>
        <v/>
      </c>
      <c r="AB166" s="10" t="str">
        <f aca="false">""</f>
        <v/>
      </c>
    </row>
    <row r="167" customFormat="false" ht="13.5" hidden="false" customHeight="false" outlineLevel="0" collapsed="false">
      <c r="A167" s="109" t="n">
        <v>167</v>
      </c>
      <c r="B167" s="110" t="str">
        <f aca="false">IFERROR(IF([1]对账明细接口!$B$167=0,"",[1]对账明细接口!$B$167),"")</f>
        <v/>
      </c>
      <c r="C167" s="59" t="str">
        <f aca="false">IFERROR(IF([1]对账明细接口!$C$167=0,"",[1]对账明细接口!$C$167),"")</f>
        <v/>
      </c>
      <c r="D167" s="59" t="str">
        <f aca="false">IFERROR(IF([1]对账明细接口!$D$167=0,"",[1]对账明细接口!$D$167),"")</f>
        <v/>
      </c>
      <c r="E167" s="59" t="str">
        <f aca="false">IFERROR(IF([1]对账明细接口!$E$167=0,"",[1]对账明细接口!$E$167),"")</f>
        <v/>
      </c>
      <c r="F167" s="59" t="str">
        <f aca="false">IFERROR(IF([1]对账明细接口!$F$167=0,"",[1]对账明细接口!$F$167),"")</f>
        <v/>
      </c>
      <c r="G167" s="59" t="str">
        <f aca="false">IFERROR(IF([1]对账明细接口!$G$167=0,"",[1]对账明细接口!$G$167),"")</f>
        <v/>
      </c>
      <c r="H167" s="60" t="str">
        <f aca="false">IFERROR(IF([1]对账明细接口!$H$167=0,"",[1]对账明细接口!$H$167),"")</f>
        <v/>
      </c>
      <c r="I167" s="59" t="str">
        <f aca="false">IFERROR(IF([1]对账明细接口!$I$167=0,"",[1]对账明细接口!$I$167),"")</f>
        <v/>
      </c>
      <c r="J167" s="61" t="str">
        <f aca="false">IFERROR(IF([1]对账明细接口!$J$167=0,"",[1]对账明细接口!$J$167),"")</f>
        <v/>
      </c>
      <c r="K167" s="61" t="str">
        <f aca="false">IFERROR(IF([1]对账明细接口!$K$167=0,"",[1]对账明细接口!$K$167),"")</f>
        <v/>
      </c>
      <c r="L167" s="59" t="str">
        <f aca="false">IFERROR(IF([1]对账明细接口!$L$167=0,"",[1]对账明细接口!$L$167),"")</f>
        <v/>
      </c>
      <c r="M167" s="59" t="str">
        <f aca="false">IFERROR(IF([1]对账明细接口!$M$167=0,"",[1]对账明细接口!$M$167),"")</f>
        <v/>
      </c>
      <c r="N167" s="111" t="n">
        <f aca="false">IF($C167="",0,1)</f>
        <v>0</v>
      </c>
      <c r="O167" s="111" t="n">
        <f aca="false">N(O166)+$N167</f>
        <v>110</v>
      </c>
      <c r="S167" s="10" t="str">
        <f aca="false">IFERROR(IF([1]对账明细接口!$N167=0,"",[1]对账明细接口!$N167),"")</f>
        <v/>
      </c>
      <c r="T167" s="112" t="str">
        <f aca="false">IFERROR(IF([1]对账明细接口!$O167=0,"",[1]对账明细接口!$O167),"")</f>
        <v/>
      </c>
      <c r="U167" s="112" t="str">
        <f aca="false">IFERROR(IF([1]对账明细接口!$P167=0,"",[1]对账明细接口!$P167),"")</f>
        <v/>
      </c>
      <c r="V167" s="112" t="str">
        <f aca="false">IFERROR(IF([1]对账明细接口!$Q167=0,"",[1]对账明细接口!$Q167),"")</f>
        <v/>
      </c>
      <c r="W167" s="10" t="str">
        <f aca="false">IFERROR(IF([1]对账明细接口!$R167=0,"",[1]对账明细接口!$R167),"")</f>
        <v/>
      </c>
      <c r="X167" s="10" t="str">
        <f aca="false">IFERROR(IF([1]对账明细接口!$S167=0,"",[1]对账明细接口!$S167),"")</f>
        <v/>
      </c>
      <c r="Y167" s="10" t="str">
        <f aca="false">""</f>
        <v/>
      </c>
      <c r="Z167" s="10" t="str">
        <f aca="false">""</f>
        <v/>
      </c>
      <c r="AA167" s="10" t="str">
        <f aca="false">""</f>
        <v/>
      </c>
      <c r="AB167" s="10" t="str">
        <f aca="false">""</f>
        <v/>
      </c>
    </row>
    <row r="168" customFormat="false" ht="13.5" hidden="false" customHeight="false" outlineLevel="0" collapsed="false">
      <c r="A168" s="109" t="n">
        <v>168</v>
      </c>
      <c r="B168" s="110" t="str">
        <f aca="false">IFERROR(IF([1]对账明细接口!$B$168=0,"",[1]对账明细接口!$B$168),"")</f>
        <v/>
      </c>
      <c r="C168" s="59" t="str">
        <f aca="false">IFERROR(IF([1]对账明细接口!$C$168=0,"",[1]对账明细接口!$C$168),"")</f>
        <v/>
      </c>
      <c r="D168" s="59" t="str">
        <f aca="false">IFERROR(IF([1]对账明细接口!$D$168=0,"",[1]对账明细接口!$D$168),"")</f>
        <v/>
      </c>
      <c r="E168" s="59" t="str">
        <f aca="false">IFERROR(IF([1]对账明细接口!$E$168=0,"",[1]对账明细接口!$E$168),"")</f>
        <v/>
      </c>
      <c r="F168" s="59" t="str">
        <f aca="false">IFERROR(IF([1]对账明细接口!$F$168=0,"",[1]对账明细接口!$F$168),"")</f>
        <v/>
      </c>
      <c r="G168" s="59" t="str">
        <f aca="false">IFERROR(IF([1]对账明细接口!$G$168=0,"",[1]对账明细接口!$G$168),"")</f>
        <v/>
      </c>
      <c r="H168" s="60" t="str">
        <f aca="false">IFERROR(IF([1]对账明细接口!$H$168=0,"",[1]对账明细接口!$H$168),"")</f>
        <v/>
      </c>
      <c r="I168" s="59" t="str">
        <f aca="false">IFERROR(IF([1]对账明细接口!$I$168=0,"",[1]对账明细接口!$I$168),"")</f>
        <v/>
      </c>
      <c r="J168" s="61" t="str">
        <f aca="false">IFERROR(IF([1]对账明细接口!$J$168=0,"",[1]对账明细接口!$J$168),"")</f>
        <v/>
      </c>
      <c r="K168" s="61" t="str">
        <f aca="false">IFERROR(IF([1]对账明细接口!$K$168=0,"",[1]对账明细接口!$K$168),"")</f>
        <v/>
      </c>
      <c r="L168" s="59" t="str">
        <f aca="false">IFERROR(IF([1]对账明细接口!$L$168=0,"",[1]对账明细接口!$L$168),"")</f>
        <v/>
      </c>
      <c r="M168" s="59" t="str">
        <f aca="false">IFERROR(IF([1]对账明细接口!$M$168=0,"",[1]对账明细接口!$M$168),"")</f>
        <v/>
      </c>
      <c r="N168" s="111" t="n">
        <f aca="false">IF($C168="",0,1)</f>
        <v>0</v>
      </c>
      <c r="O168" s="111" t="n">
        <f aca="false">N(O167)+$N168</f>
        <v>110</v>
      </c>
      <c r="S168" s="10" t="str">
        <f aca="false">IFERROR(IF([1]对账明细接口!$N168=0,"",[1]对账明细接口!$N168),"")</f>
        <v/>
      </c>
      <c r="T168" s="112" t="str">
        <f aca="false">IFERROR(IF([1]对账明细接口!$O168=0,"",[1]对账明细接口!$O168),"")</f>
        <v/>
      </c>
      <c r="U168" s="112" t="str">
        <f aca="false">IFERROR(IF([1]对账明细接口!$P168=0,"",[1]对账明细接口!$P168),"")</f>
        <v/>
      </c>
      <c r="V168" s="112" t="str">
        <f aca="false">IFERROR(IF([1]对账明细接口!$Q168=0,"",[1]对账明细接口!$Q168),"")</f>
        <v/>
      </c>
      <c r="W168" s="10" t="str">
        <f aca="false">IFERROR(IF([1]对账明细接口!$R168=0,"",[1]对账明细接口!$R168),"")</f>
        <v/>
      </c>
      <c r="X168" s="10" t="str">
        <f aca="false">IFERROR(IF([1]对账明细接口!$S168=0,"",[1]对账明细接口!$S168),"")</f>
        <v/>
      </c>
      <c r="Y168" s="10" t="str">
        <f aca="false">""</f>
        <v/>
      </c>
      <c r="Z168" s="10" t="str">
        <f aca="false">""</f>
        <v/>
      </c>
      <c r="AA168" s="10" t="str">
        <f aca="false">""</f>
        <v/>
      </c>
      <c r="AB168" s="10" t="str">
        <f aca="false">""</f>
        <v/>
      </c>
    </row>
    <row r="169" customFormat="false" ht="13.5" hidden="false" customHeight="false" outlineLevel="0" collapsed="false">
      <c r="A169" s="109" t="n">
        <v>169</v>
      </c>
      <c r="B169" s="110" t="str">
        <f aca="false">IFERROR(IF([1]对账明细接口!$B$169=0,"",[1]对账明细接口!$B$169),"")</f>
        <v/>
      </c>
      <c r="C169" s="59" t="str">
        <f aca="false">IFERROR(IF([1]对账明细接口!$C$169=0,"",[1]对账明细接口!$C$169),"")</f>
        <v/>
      </c>
      <c r="D169" s="59" t="str">
        <f aca="false">IFERROR(IF([1]对账明细接口!$D$169=0,"",[1]对账明细接口!$D$169),"")</f>
        <v/>
      </c>
      <c r="E169" s="59" t="str">
        <f aca="false">IFERROR(IF([1]对账明细接口!$E$169=0,"",[1]对账明细接口!$E$169),"")</f>
        <v/>
      </c>
      <c r="F169" s="59" t="str">
        <f aca="false">IFERROR(IF([1]对账明细接口!$F$169=0,"",[1]对账明细接口!$F$169),"")</f>
        <v/>
      </c>
      <c r="G169" s="59" t="str">
        <f aca="false">IFERROR(IF([1]对账明细接口!$G$169=0,"",[1]对账明细接口!$G$169),"")</f>
        <v/>
      </c>
      <c r="H169" s="60" t="str">
        <f aca="false">IFERROR(IF([1]对账明细接口!$H$169=0,"",[1]对账明细接口!$H$169),"")</f>
        <v/>
      </c>
      <c r="I169" s="59" t="str">
        <f aca="false">IFERROR(IF([1]对账明细接口!$I$169=0,"",[1]对账明细接口!$I$169),"")</f>
        <v/>
      </c>
      <c r="J169" s="61" t="str">
        <f aca="false">IFERROR(IF([1]对账明细接口!$J$169=0,"",[1]对账明细接口!$J$169),"")</f>
        <v/>
      </c>
      <c r="K169" s="61" t="str">
        <f aca="false">IFERROR(IF([1]对账明细接口!$K$169=0,"",[1]对账明细接口!$K$169),"")</f>
        <v/>
      </c>
      <c r="L169" s="59" t="str">
        <f aca="false">IFERROR(IF([1]对账明细接口!$L$169=0,"",[1]对账明细接口!$L$169),"")</f>
        <v/>
      </c>
      <c r="M169" s="59" t="str">
        <f aca="false">IFERROR(IF([1]对账明细接口!$M$169=0,"",[1]对账明细接口!$M$169),"")</f>
        <v/>
      </c>
      <c r="N169" s="111" t="n">
        <f aca="false">IF($C169="",0,1)</f>
        <v>0</v>
      </c>
      <c r="O169" s="111" t="n">
        <f aca="false">N(O168)+$N169</f>
        <v>110</v>
      </c>
      <c r="S169" s="10" t="str">
        <f aca="false">IFERROR(IF([1]对账明细接口!$N169=0,"",[1]对账明细接口!$N169),"")</f>
        <v/>
      </c>
      <c r="T169" s="112" t="str">
        <f aca="false">IFERROR(IF([1]对账明细接口!$O169=0,"",[1]对账明细接口!$O169),"")</f>
        <v/>
      </c>
      <c r="U169" s="112" t="str">
        <f aca="false">IFERROR(IF([1]对账明细接口!$P169=0,"",[1]对账明细接口!$P169),"")</f>
        <v/>
      </c>
      <c r="V169" s="112" t="str">
        <f aca="false">IFERROR(IF([1]对账明细接口!$Q169=0,"",[1]对账明细接口!$Q169),"")</f>
        <v/>
      </c>
      <c r="W169" s="10" t="str">
        <f aca="false">IFERROR(IF([1]对账明细接口!$R169=0,"",[1]对账明细接口!$R169),"")</f>
        <v/>
      </c>
      <c r="X169" s="10" t="str">
        <f aca="false">IFERROR(IF([1]对账明细接口!$S169=0,"",[1]对账明细接口!$S169),"")</f>
        <v/>
      </c>
      <c r="Y169" s="10" t="str">
        <f aca="false">""</f>
        <v/>
      </c>
      <c r="Z169" s="10" t="str">
        <f aca="false">""</f>
        <v/>
      </c>
      <c r="AA169" s="10" t="str">
        <f aca="false">""</f>
        <v/>
      </c>
      <c r="AB169" s="10" t="str">
        <f aca="false">""</f>
        <v/>
      </c>
    </row>
    <row r="170" customFormat="false" ht="13.5" hidden="false" customHeight="false" outlineLevel="0" collapsed="false">
      <c r="A170" s="109" t="n">
        <v>170</v>
      </c>
      <c r="B170" s="110" t="str">
        <f aca="false">IFERROR(IF([1]对账明细接口!$B$170=0,"",[1]对账明细接口!$B$170),"")</f>
        <v/>
      </c>
      <c r="C170" s="59" t="str">
        <f aca="false">IFERROR(IF([1]对账明细接口!$C$170=0,"",[1]对账明细接口!$C$170),"")</f>
        <v/>
      </c>
      <c r="D170" s="59" t="str">
        <f aca="false">IFERROR(IF([1]对账明细接口!$D$170=0,"",[1]对账明细接口!$D$170),"")</f>
        <v/>
      </c>
      <c r="E170" s="59" t="str">
        <f aca="false">IFERROR(IF([1]对账明细接口!$E$170=0,"",[1]对账明细接口!$E$170),"")</f>
        <v/>
      </c>
      <c r="F170" s="59" t="str">
        <f aca="false">IFERROR(IF([1]对账明细接口!$F$170=0,"",[1]对账明细接口!$F$170),"")</f>
        <v/>
      </c>
      <c r="G170" s="59" t="str">
        <f aca="false">IFERROR(IF([1]对账明细接口!$G$170=0,"",[1]对账明细接口!$G$170),"")</f>
        <v/>
      </c>
      <c r="H170" s="60" t="str">
        <f aca="false">IFERROR(IF([1]对账明细接口!$H$170=0,"",[1]对账明细接口!$H$170),"")</f>
        <v/>
      </c>
      <c r="I170" s="59" t="str">
        <f aca="false">IFERROR(IF([1]对账明细接口!$I$170=0,"",[1]对账明细接口!$I$170),"")</f>
        <v/>
      </c>
      <c r="J170" s="61" t="str">
        <f aca="false">IFERROR(IF([1]对账明细接口!$J$170=0,"",[1]对账明细接口!$J$170),"")</f>
        <v/>
      </c>
      <c r="K170" s="61" t="str">
        <f aca="false">IFERROR(IF([1]对账明细接口!$K$170=0,"",[1]对账明细接口!$K$170),"")</f>
        <v/>
      </c>
      <c r="L170" s="59" t="str">
        <f aca="false">IFERROR(IF([1]对账明细接口!$L$170=0,"",[1]对账明细接口!$L$170),"")</f>
        <v/>
      </c>
      <c r="M170" s="59" t="str">
        <f aca="false">IFERROR(IF([1]对账明细接口!$M$170=0,"",[1]对账明细接口!$M$170),"")</f>
        <v/>
      </c>
      <c r="N170" s="111" t="n">
        <f aca="false">IF($C170="",0,1)</f>
        <v>0</v>
      </c>
      <c r="O170" s="111" t="n">
        <f aca="false">N(O169)+$N170</f>
        <v>110</v>
      </c>
      <c r="S170" s="10" t="str">
        <f aca="false">IFERROR(IF([1]对账明细接口!$N170=0,"",[1]对账明细接口!$N170),"")</f>
        <v/>
      </c>
      <c r="T170" s="112" t="str">
        <f aca="false">IFERROR(IF([1]对账明细接口!$O170=0,"",[1]对账明细接口!$O170),"")</f>
        <v/>
      </c>
      <c r="U170" s="112" t="str">
        <f aca="false">IFERROR(IF([1]对账明细接口!$P170=0,"",[1]对账明细接口!$P170),"")</f>
        <v/>
      </c>
      <c r="V170" s="112" t="str">
        <f aca="false">IFERROR(IF([1]对账明细接口!$Q170=0,"",[1]对账明细接口!$Q170),"")</f>
        <v/>
      </c>
      <c r="W170" s="10" t="str">
        <f aca="false">IFERROR(IF([1]对账明细接口!$R170=0,"",[1]对账明细接口!$R170),"")</f>
        <v/>
      </c>
      <c r="X170" s="10" t="str">
        <f aca="false">IFERROR(IF([1]对账明细接口!$S170=0,"",[1]对账明细接口!$S170),"")</f>
        <v/>
      </c>
      <c r="Y170" s="10" t="str">
        <f aca="false">""</f>
        <v/>
      </c>
      <c r="Z170" s="10" t="str">
        <f aca="false">""</f>
        <v/>
      </c>
      <c r="AA170" s="10" t="str">
        <f aca="false">""</f>
        <v/>
      </c>
      <c r="AB170" s="10" t="str">
        <f aca="false">""</f>
        <v/>
      </c>
    </row>
    <row r="171" customFormat="false" ht="13.5" hidden="false" customHeight="false" outlineLevel="0" collapsed="false">
      <c r="A171" s="109" t="n">
        <v>171</v>
      </c>
      <c r="B171" s="110" t="str">
        <f aca="false">IFERROR(IF([1]对账明细接口!$B$171=0,"",[1]对账明细接口!$B$171),"")</f>
        <v/>
      </c>
      <c r="C171" s="59" t="str">
        <f aca="false">IFERROR(IF([1]对账明细接口!$C$171=0,"",[1]对账明细接口!$C$171),"")</f>
        <v/>
      </c>
      <c r="D171" s="59" t="str">
        <f aca="false">IFERROR(IF([1]对账明细接口!$D$171=0,"",[1]对账明细接口!$D$171),"")</f>
        <v/>
      </c>
      <c r="E171" s="59" t="str">
        <f aca="false">IFERROR(IF([1]对账明细接口!$E$171=0,"",[1]对账明细接口!$E$171),"")</f>
        <v/>
      </c>
      <c r="F171" s="59" t="str">
        <f aca="false">IFERROR(IF([1]对账明细接口!$F$171=0,"",[1]对账明细接口!$F$171),"")</f>
        <v/>
      </c>
      <c r="G171" s="59" t="str">
        <f aca="false">IFERROR(IF([1]对账明细接口!$G$171=0,"",[1]对账明细接口!$G$171),"")</f>
        <v/>
      </c>
      <c r="H171" s="60" t="str">
        <f aca="false">IFERROR(IF([1]对账明细接口!$H$171=0,"",[1]对账明细接口!$H$171),"")</f>
        <v/>
      </c>
      <c r="I171" s="59" t="str">
        <f aca="false">IFERROR(IF([1]对账明细接口!$I$171=0,"",[1]对账明细接口!$I$171),"")</f>
        <v/>
      </c>
      <c r="J171" s="61" t="str">
        <f aca="false">IFERROR(IF([1]对账明细接口!$J$171=0,"",[1]对账明细接口!$J$171),"")</f>
        <v/>
      </c>
      <c r="K171" s="61" t="str">
        <f aca="false">IFERROR(IF([1]对账明细接口!$K$171=0,"",[1]对账明细接口!$K$171),"")</f>
        <v/>
      </c>
      <c r="L171" s="59" t="str">
        <f aca="false">IFERROR(IF([1]对账明细接口!$L$171=0,"",[1]对账明细接口!$L$171),"")</f>
        <v/>
      </c>
      <c r="M171" s="59" t="str">
        <f aca="false">IFERROR(IF([1]对账明细接口!$M$171=0,"",[1]对账明细接口!$M$171),"")</f>
        <v/>
      </c>
      <c r="N171" s="111" t="n">
        <f aca="false">IF($C171="",0,1)</f>
        <v>0</v>
      </c>
      <c r="O171" s="111" t="n">
        <f aca="false">N(O170)+$N171</f>
        <v>110</v>
      </c>
      <c r="S171" s="10" t="str">
        <f aca="false">IFERROR(IF([1]对账明细接口!$N171=0,"",[1]对账明细接口!$N171),"")</f>
        <v/>
      </c>
      <c r="T171" s="112" t="str">
        <f aca="false">IFERROR(IF([1]对账明细接口!$O171=0,"",[1]对账明细接口!$O171),"")</f>
        <v/>
      </c>
      <c r="U171" s="112" t="str">
        <f aca="false">IFERROR(IF([1]对账明细接口!$P171=0,"",[1]对账明细接口!$P171),"")</f>
        <v/>
      </c>
      <c r="V171" s="112" t="str">
        <f aca="false">IFERROR(IF([1]对账明细接口!$Q171=0,"",[1]对账明细接口!$Q171),"")</f>
        <v/>
      </c>
      <c r="W171" s="10" t="str">
        <f aca="false">IFERROR(IF([1]对账明细接口!$R171=0,"",[1]对账明细接口!$R171),"")</f>
        <v/>
      </c>
      <c r="X171" s="10" t="str">
        <f aca="false">IFERROR(IF([1]对账明细接口!$S171=0,"",[1]对账明细接口!$S171),"")</f>
        <v/>
      </c>
      <c r="Y171" s="10" t="str">
        <f aca="false">""</f>
        <v/>
      </c>
      <c r="Z171" s="10" t="str">
        <f aca="false">""</f>
        <v/>
      </c>
      <c r="AA171" s="10" t="str">
        <f aca="false">""</f>
        <v/>
      </c>
      <c r="AB171" s="10" t="str">
        <f aca="false">""</f>
        <v/>
      </c>
    </row>
    <row r="172" customFormat="false" ht="13.5" hidden="false" customHeight="false" outlineLevel="0" collapsed="false">
      <c r="A172" s="109" t="n">
        <v>172</v>
      </c>
      <c r="B172" s="110" t="str">
        <f aca="false">IFERROR(IF([1]对账明细接口!$B$172=0,"",[1]对账明细接口!$B$172),"")</f>
        <v/>
      </c>
      <c r="C172" s="59" t="str">
        <f aca="false">IFERROR(IF([1]对账明细接口!$C$172=0,"",[1]对账明细接口!$C$172),"")</f>
        <v/>
      </c>
      <c r="D172" s="59" t="str">
        <f aca="false">IFERROR(IF([1]对账明细接口!$D$172=0,"",[1]对账明细接口!$D$172),"")</f>
        <v/>
      </c>
      <c r="E172" s="59" t="str">
        <f aca="false">IFERROR(IF([1]对账明细接口!$E$172=0,"",[1]对账明细接口!$E$172),"")</f>
        <v/>
      </c>
      <c r="F172" s="59" t="str">
        <f aca="false">IFERROR(IF([1]对账明细接口!$F$172=0,"",[1]对账明细接口!$F$172),"")</f>
        <v/>
      </c>
      <c r="G172" s="59" t="str">
        <f aca="false">IFERROR(IF([1]对账明细接口!$G$172=0,"",[1]对账明细接口!$G$172),"")</f>
        <v/>
      </c>
      <c r="H172" s="60" t="str">
        <f aca="false">IFERROR(IF([1]对账明细接口!$H$172=0,"",[1]对账明细接口!$H$172),"")</f>
        <v/>
      </c>
      <c r="I172" s="59" t="str">
        <f aca="false">IFERROR(IF([1]对账明细接口!$I$172=0,"",[1]对账明细接口!$I$172),"")</f>
        <v/>
      </c>
      <c r="J172" s="61" t="str">
        <f aca="false">IFERROR(IF([1]对账明细接口!$J$172=0,"",[1]对账明细接口!$J$172),"")</f>
        <v/>
      </c>
      <c r="K172" s="61" t="str">
        <f aca="false">IFERROR(IF([1]对账明细接口!$K$172=0,"",[1]对账明细接口!$K$172),"")</f>
        <v/>
      </c>
      <c r="L172" s="59" t="str">
        <f aca="false">IFERROR(IF([1]对账明细接口!$L$172=0,"",[1]对账明细接口!$L$172),"")</f>
        <v/>
      </c>
      <c r="M172" s="59" t="str">
        <f aca="false">IFERROR(IF([1]对账明细接口!$M$172=0,"",[1]对账明细接口!$M$172),"")</f>
        <v/>
      </c>
      <c r="N172" s="111" t="n">
        <f aca="false">IF($C172="",0,1)</f>
        <v>0</v>
      </c>
      <c r="O172" s="111" t="n">
        <f aca="false">N(O171)+$N172</f>
        <v>110</v>
      </c>
      <c r="S172" s="10" t="str">
        <f aca="false">IFERROR(IF([1]对账明细接口!$N172=0,"",[1]对账明细接口!$N172),"")</f>
        <v/>
      </c>
      <c r="T172" s="112" t="str">
        <f aca="false">IFERROR(IF([1]对账明细接口!$O172=0,"",[1]对账明细接口!$O172),"")</f>
        <v/>
      </c>
      <c r="U172" s="112" t="str">
        <f aca="false">IFERROR(IF([1]对账明细接口!$P172=0,"",[1]对账明细接口!$P172),"")</f>
        <v/>
      </c>
      <c r="V172" s="112" t="str">
        <f aca="false">IFERROR(IF([1]对账明细接口!$Q172=0,"",[1]对账明细接口!$Q172),"")</f>
        <v/>
      </c>
      <c r="W172" s="10" t="str">
        <f aca="false">IFERROR(IF([1]对账明细接口!$R172=0,"",[1]对账明细接口!$R172),"")</f>
        <v/>
      </c>
      <c r="X172" s="10" t="str">
        <f aca="false">IFERROR(IF([1]对账明细接口!$S172=0,"",[1]对账明细接口!$S172),"")</f>
        <v/>
      </c>
      <c r="Y172" s="10" t="str">
        <f aca="false">""</f>
        <v/>
      </c>
      <c r="Z172" s="10" t="str">
        <f aca="false">""</f>
        <v/>
      </c>
      <c r="AA172" s="10" t="str">
        <f aca="false">""</f>
        <v/>
      </c>
      <c r="AB172" s="10" t="str">
        <f aca="false">""</f>
        <v/>
      </c>
    </row>
    <row r="173" customFormat="false" ht="13.5" hidden="false" customHeight="false" outlineLevel="0" collapsed="false">
      <c r="A173" s="109" t="n">
        <v>173</v>
      </c>
      <c r="B173" s="110" t="str">
        <f aca="false">IFERROR(IF([1]对账明细接口!$B$173=0,"",[1]对账明细接口!$B$173),"")</f>
        <v/>
      </c>
      <c r="C173" s="59" t="str">
        <f aca="false">IFERROR(IF([1]对账明细接口!$C$173=0,"",[1]对账明细接口!$C$173),"")</f>
        <v/>
      </c>
      <c r="D173" s="59" t="str">
        <f aca="false">IFERROR(IF([1]对账明细接口!$D$173=0,"",[1]对账明细接口!$D$173),"")</f>
        <v/>
      </c>
      <c r="E173" s="59" t="str">
        <f aca="false">IFERROR(IF([1]对账明细接口!$E$173=0,"",[1]对账明细接口!$E$173),"")</f>
        <v/>
      </c>
      <c r="F173" s="59" t="str">
        <f aca="false">IFERROR(IF([1]对账明细接口!$F$173=0,"",[1]对账明细接口!$F$173),"")</f>
        <v/>
      </c>
      <c r="G173" s="59" t="str">
        <f aca="false">IFERROR(IF([1]对账明细接口!$G$173=0,"",[1]对账明细接口!$G$173),"")</f>
        <v/>
      </c>
      <c r="H173" s="60" t="str">
        <f aca="false">IFERROR(IF([1]对账明细接口!$H$173=0,"",[1]对账明细接口!$H$173),"")</f>
        <v/>
      </c>
      <c r="I173" s="59" t="str">
        <f aca="false">IFERROR(IF([1]对账明细接口!$I$173=0,"",[1]对账明细接口!$I$173),"")</f>
        <v/>
      </c>
      <c r="J173" s="61" t="str">
        <f aca="false">IFERROR(IF([1]对账明细接口!$J$173=0,"",[1]对账明细接口!$J$173),"")</f>
        <v/>
      </c>
      <c r="K173" s="61" t="str">
        <f aca="false">IFERROR(IF([1]对账明细接口!$K$173=0,"",[1]对账明细接口!$K$173),"")</f>
        <v/>
      </c>
      <c r="L173" s="59" t="str">
        <f aca="false">IFERROR(IF([1]对账明细接口!$L$173=0,"",[1]对账明细接口!$L$173),"")</f>
        <v/>
      </c>
      <c r="M173" s="59" t="str">
        <f aca="false">IFERROR(IF([1]对账明细接口!$M$173=0,"",[1]对账明细接口!$M$173),"")</f>
        <v/>
      </c>
      <c r="N173" s="111" t="n">
        <f aca="false">IF($C173="",0,1)</f>
        <v>0</v>
      </c>
      <c r="O173" s="111" t="n">
        <f aca="false">N(O172)+$N173</f>
        <v>110</v>
      </c>
      <c r="S173" s="10" t="str">
        <f aca="false">IFERROR(IF([1]对账明细接口!$N173=0,"",[1]对账明细接口!$N173),"")</f>
        <v/>
      </c>
      <c r="T173" s="112" t="str">
        <f aca="false">IFERROR(IF([1]对账明细接口!$O173=0,"",[1]对账明细接口!$O173),"")</f>
        <v/>
      </c>
      <c r="U173" s="112" t="str">
        <f aca="false">IFERROR(IF([1]对账明细接口!$P173=0,"",[1]对账明细接口!$P173),"")</f>
        <v/>
      </c>
      <c r="V173" s="112" t="str">
        <f aca="false">IFERROR(IF([1]对账明细接口!$Q173=0,"",[1]对账明细接口!$Q173),"")</f>
        <v/>
      </c>
      <c r="W173" s="10" t="str">
        <f aca="false">IFERROR(IF([1]对账明细接口!$R173=0,"",[1]对账明细接口!$R173),"")</f>
        <v/>
      </c>
      <c r="X173" s="10" t="str">
        <f aca="false">IFERROR(IF([1]对账明细接口!$S173=0,"",[1]对账明细接口!$S173),"")</f>
        <v/>
      </c>
      <c r="Y173" s="10" t="str">
        <f aca="false">""</f>
        <v/>
      </c>
      <c r="Z173" s="10" t="str">
        <f aca="false">""</f>
        <v/>
      </c>
      <c r="AA173" s="10" t="str">
        <f aca="false">""</f>
        <v/>
      </c>
      <c r="AB173" s="10" t="str">
        <f aca="false">""</f>
        <v/>
      </c>
    </row>
    <row r="174" customFormat="false" ht="13.5" hidden="false" customHeight="false" outlineLevel="0" collapsed="false">
      <c r="A174" s="109" t="n">
        <v>174</v>
      </c>
      <c r="B174" s="110" t="str">
        <f aca="false">IFERROR(IF([1]对账明细接口!$B$174=0,"",[1]对账明细接口!$B$174),"")</f>
        <v/>
      </c>
      <c r="C174" s="59" t="str">
        <f aca="false">IFERROR(IF([1]对账明细接口!$C$174=0,"",[1]对账明细接口!$C$174),"")</f>
        <v/>
      </c>
      <c r="D174" s="59" t="str">
        <f aca="false">IFERROR(IF([1]对账明细接口!$D$174=0,"",[1]对账明细接口!$D$174),"")</f>
        <v/>
      </c>
      <c r="E174" s="59" t="str">
        <f aca="false">IFERROR(IF([1]对账明细接口!$E$174=0,"",[1]对账明细接口!$E$174),"")</f>
        <v/>
      </c>
      <c r="F174" s="59" t="str">
        <f aca="false">IFERROR(IF([1]对账明细接口!$F$174=0,"",[1]对账明细接口!$F$174),"")</f>
        <v/>
      </c>
      <c r="G174" s="59" t="str">
        <f aca="false">IFERROR(IF([1]对账明细接口!$G$174=0,"",[1]对账明细接口!$G$174),"")</f>
        <v/>
      </c>
      <c r="H174" s="60" t="str">
        <f aca="false">IFERROR(IF([1]对账明细接口!$H$174=0,"",[1]对账明细接口!$H$174),"")</f>
        <v/>
      </c>
      <c r="I174" s="59" t="str">
        <f aca="false">IFERROR(IF([1]对账明细接口!$I$174=0,"",[1]对账明细接口!$I$174),"")</f>
        <v/>
      </c>
      <c r="J174" s="61" t="str">
        <f aca="false">IFERROR(IF([1]对账明细接口!$J$174=0,"",[1]对账明细接口!$J$174),"")</f>
        <v/>
      </c>
      <c r="K174" s="61" t="str">
        <f aca="false">IFERROR(IF([1]对账明细接口!$K$174=0,"",[1]对账明细接口!$K$174),"")</f>
        <v/>
      </c>
      <c r="L174" s="59" t="str">
        <f aca="false">IFERROR(IF([1]对账明细接口!$L$174=0,"",[1]对账明细接口!$L$174),"")</f>
        <v/>
      </c>
      <c r="M174" s="59" t="str">
        <f aca="false">IFERROR(IF([1]对账明细接口!$M$174=0,"",[1]对账明细接口!$M$174),"")</f>
        <v/>
      </c>
      <c r="N174" s="111" t="n">
        <f aca="false">IF($C174="",0,1)</f>
        <v>0</v>
      </c>
      <c r="O174" s="111" t="n">
        <f aca="false">N(O173)+$N174</f>
        <v>110</v>
      </c>
      <c r="S174" s="10" t="str">
        <f aca="false">IFERROR(IF([1]对账明细接口!$N174=0,"",[1]对账明细接口!$N174),"")</f>
        <v/>
      </c>
      <c r="T174" s="112" t="str">
        <f aca="false">IFERROR(IF([1]对账明细接口!$O174=0,"",[1]对账明细接口!$O174),"")</f>
        <v/>
      </c>
      <c r="U174" s="112" t="str">
        <f aca="false">IFERROR(IF([1]对账明细接口!$P174=0,"",[1]对账明细接口!$P174),"")</f>
        <v/>
      </c>
      <c r="V174" s="112" t="str">
        <f aca="false">IFERROR(IF([1]对账明细接口!$Q174=0,"",[1]对账明细接口!$Q174),"")</f>
        <v/>
      </c>
      <c r="W174" s="10" t="str">
        <f aca="false">IFERROR(IF([1]对账明细接口!$R174=0,"",[1]对账明细接口!$R174),"")</f>
        <v/>
      </c>
      <c r="X174" s="10" t="str">
        <f aca="false">IFERROR(IF([1]对账明细接口!$S174=0,"",[1]对账明细接口!$S174),"")</f>
        <v/>
      </c>
      <c r="Y174" s="10" t="str">
        <f aca="false">""</f>
        <v/>
      </c>
      <c r="Z174" s="10" t="str">
        <f aca="false">""</f>
        <v/>
      </c>
      <c r="AA174" s="10" t="str">
        <f aca="false">""</f>
        <v/>
      </c>
      <c r="AB174" s="10" t="str">
        <f aca="false">""</f>
        <v/>
      </c>
    </row>
    <row r="175" customFormat="false" ht="13.5" hidden="false" customHeight="false" outlineLevel="0" collapsed="false">
      <c r="A175" s="109" t="n">
        <v>175</v>
      </c>
      <c r="B175" s="110" t="str">
        <f aca="false">IFERROR(IF([1]对账明细接口!$B$175=0,"",[1]对账明细接口!$B$175),"")</f>
        <v/>
      </c>
      <c r="C175" s="59" t="str">
        <f aca="false">IFERROR(IF([1]对账明细接口!$C$175=0,"",[1]对账明细接口!$C$175),"")</f>
        <v/>
      </c>
      <c r="D175" s="59" t="str">
        <f aca="false">IFERROR(IF([1]对账明细接口!$D$175=0,"",[1]对账明细接口!$D$175),"")</f>
        <v/>
      </c>
      <c r="E175" s="59" t="str">
        <f aca="false">IFERROR(IF([1]对账明细接口!$E$175=0,"",[1]对账明细接口!$E$175),"")</f>
        <v/>
      </c>
      <c r="F175" s="59" t="str">
        <f aca="false">IFERROR(IF([1]对账明细接口!$F$175=0,"",[1]对账明细接口!$F$175),"")</f>
        <v/>
      </c>
      <c r="G175" s="59" t="str">
        <f aca="false">IFERROR(IF([1]对账明细接口!$G$175=0,"",[1]对账明细接口!$G$175),"")</f>
        <v/>
      </c>
      <c r="H175" s="60" t="str">
        <f aca="false">IFERROR(IF([1]对账明细接口!$H$175=0,"",[1]对账明细接口!$H$175),"")</f>
        <v/>
      </c>
      <c r="I175" s="59" t="str">
        <f aca="false">IFERROR(IF([1]对账明细接口!$I$175=0,"",[1]对账明细接口!$I$175),"")</f>
        <v/>
      </c>
      <c r="J175" s="61" t="str">
        <f aca="false">IFERROR(IF([1]对账明细接口!$J$175=0,"",[1]对账明细接口!$J$175),"")</f>
        <v/>
      </c>
      <c r="K175" s="61" t="str">
        <f aca="false">IFERROR(IF([1]对账明细接口!$K$175=0,"",[1]对账明细接口!$K$175),"")</f>
        <v/>
      </c>
      <c r="L175" s="59" t="str">
        <f aca="false">IFERROR(IF([1]对账明细接口!$L$175=0,"",[1]对账明细接口!$L$175),"")</f>
        <v/>
      </c>
      <c r="M175" s="59" t="str">
        <f aca="false">IFERROR(IF([1]对账明细接口!$M$175=0,"",[1]对账明细接口!$M$175),"")</f>
        <v/>
      </c>
      <c r="N175" s="111" t="n">
        <f aca="false">IF($C175="",0,1)</f>
        <v>0</v>
      </c>
      <c r="O175" s="111" t="n">
        <f aca="false">N(O174)+$N175</f>
        <v>110</v>
      </c>
      <c r="S175" s="10" t="str">
        <f aca="false">IFERROR(IF([1]对账明细接口!$N175=0,"",[1]对账明细接口!$N175),"")</f>
        <v/>
      </c>
      <c r="T175" s="112" t="str">
        <f aca="false">IFERROR(IF([1]对账明细接口!$O175=0,"",[1]对账明细接口!$O175),"")</f>
        <v/>
      </c>
      <c r="U175" s="112" t="str">
        <f aca="false">IFERROR(IF([1]对账明细接口!$P175=0,"",[1]对账明细接口!$P175),"")</f>
        <v/>
      </c>
      <c r="V175" s="112" t="str">
        <f aca="false">IFERROR(IF([1]对账明细接口!$Q175=0,"",[1]对账明细接口!$Q175),"")</f>
        <v/>
      </c>
      <c r="W175" s="10" t="str">
        <f aca="false">IFERROR(IF([1]对账明细接口!$R175=0,"",[1]对账明细接口!$R175),"")</f>
        <v/>
      </c>
      <c r="X175" s="10" t="str">
        <f aca="false">IFERROR(IF([1]对账明细接口!$S175=0,"",[1]对账明细接口!$S175),"")</f>
        <v/>
      </c>
      <c r="Y175" s="10" t="str">
        <f aca="false">""</f>
        <v/>
      </c>
      <c r="Z175" s="10" t="str">
        <f aca="false">""</f>
        <v/>
      </c>
      <c r="AA175" s="10" t="str">
        <f aca="false">""</f>
        <v/>
      </c>
      <c r="AB175" s="10" t="str">
        <f aca="false">""</f>
        <v/>
      </c>
    </row>
    <row r="176" customFormat="false" ht="13.5" hidden="false" customHeight="false" outlineLevel="0" collapsed="false">
      <c r="A176" s="109" t="n">
        <v>176</v>
      </c>
      <c r="B176" s="110" t="str">
        <f aca="false">IFERROR(IF([1]对账明细接口!$B$176=0,"",[1]对账明细接口!$B$176),"")</f>
        <v/>
      </c>
      <c r="C176" s="59" t="str">
        <f aca="false">IFERROR(IF([1]对账明细接口!$C$176=0,"",[1]对账明细接口!$C$176),"")</f>
        <v/>
      </c>
      <c r="D176" s="59" t="str">
        <f aca="false">IFERROR(IF([1]对账明细接口!$D$176=0,"",[1]对账明细接口!$D$176),"")</f>
        <v/>
      </c>
      <c r="E176" s="59" t="str">
        <f aca="false">IFERROR(IF([1]对账明细接口!$E$176=0,"",[1]对账明细接口!$E$176),"")</f>
        <v/>
      </c>
      <c r="F176" s="59" t="str">
        <f aca="false">IFERROR(IF([1]对账明细接口!$F$176=0,"",[1]对账明细接口!$F$176),"")</f>
        <v/>
      </c>
      <c r="G176" s="59" t="str">
        <f aca="false">IFERROR(IF([1]对账明细接口!$G$176=0,"",[1]对账明细接口!$G$176),"")</f>
        <v/>
      </c>
      <c r="H176" s="60" t="str">
        <f aca="false">IFERROR(IF([1]对账明细接口!$H$176=0,"",[1]对账明细接口!$H$176),"")</f>
        <v/>
      </c>
      <c r="I176" s="59" t="str">
        <f aca="false">IFERROR(IF([1]对账明细接口!$I$176=0,"",[1]对账明细接口!$I$176),"")</f>
        <v/>
      </c>
      <c r="J176" s="61" t="str">
        <f aca="false">IFERROR(IF([1]对账明细接口!$J$176=0,"",[1]对账明细接口!$J$176),"")</f>
        <v/>
      </c>
      <c r="K176" s="61" t="str">
        <f aca="false">IFERROR(IF([1]对账明细接口!$K$176=0,"",[1]对账明细接口!$K$176),"")</f>
        <v/>
      </c>
      <c r="L176" s="59" t="str">
        <f aca="false">IFERROR(IF([1]对账明细接口!$L$176=0,"",[1]对账明细接口!$L$176),"")</f>
        <v/>
      </c>
      <c r="M176" s="59" t="str">
        <f aca="false">IFERROR(IF([1]对账明细接口!$M$176=0,"",[1]对账明细接口!$M$176),"")</f>
        <v/>
      </c>
      <c r="N176" s="111" t="n">
        <f aca="false">IF($C176="",0,1)</f>
        <v>0</v>
      </c>
      <c r="O176" s="111" t="n">
        <f aca="false">N(O175)+$N176</f>
        <v>110</v>
      </c>
      <c r="S176" s="10" t="str">
        <f aca="false">IFERROR(IF([1]对账明细接口!$N176=0,"",[1]对账明细接口!$N176),"")</f>
        <v/>
      </c>
      <c r="T176" s="112" t="str">
        <f aca="false">IFERROR(IF([1]对账明细接口!$O176=0,"",[1]对账明细接口!$O176),"")</f>
        <v/>
      </c>
      <c r="U176" s="112" t="str">
        <f aca="false">IFERROR(IF([1]对账明细接口!$P176=0,"",[1]对账明细接口!$P176),"")</f>
        <v/>
      </c>
      <c r="V176" s="112" t="str">
        <f aca="false">IFERROR(IF([1]对账明细接口!$Q176=0,"",[1]对账明细接口!$Q176),"")</f>
        <v/>
      </c>
      <c r="W176" s="10" t="str">
        <f aca="false">IFERROR(IF([1]对账明细接口!$R176=0,"",[1]对账明细接口!$R176),"")</f>
        <v/>
      </c>
      <c r="X176" s="10" t="str">
        <f aca="false">IFERROR(IF([1]对账明细接口!$S176=0,"",[1]对账明细接口!$S176),"")</f>
        <v/>
      </c>
      <c r="Y176" s="10" t="str">
        <f aca="false">""</f>
        <v/>
      </c>
      <c r="Z176" s="10" t="str">
        <f aca="false">""</f>
        <v/>
      </c>
      <c r="AA176" s="10" t="str">
        <f aca="false">""</f>
        <v/>
      </c>
      <c r="AB176" s="10" t="str">
        <f aca="false">""</f>
        <v/>
      </c>
    </row>
    <row r="177" customFormat="false" ht="13.5" hidden="false" customHeight="false" outlineLevel="0" collapsed="false">
      <c r="A177" s="109" t="n">
        <v>177</v>
      </c>
      <c r="B177" s="110" t="str">
        <f aca="false">IFERROR(IF([1]对账明细接口!$B$177=0,"",[1]对账明细接口!$B$177),"")</f>
        <v/>
      </c>
      <c r="C177" s="59" t="str">
        <f aca="false">IFERROR(IF([1]对账明细接口!$C$177=0,"",[1]对账明细接口!$C$177),"")</f>
        <v/>
      </c>
      <c r="D177" s="59" t="str">
        <f aca="false">IFERROR(IF([1]对账明细接口!$D$177=0,"",[1]对账明细接口!$D$177),"")</f>
        <v/>
      </c>
      <c r="E177" s="59" t="str">
        <f aca="false">IFERROR(IF([1]对账明细接口!$E$177=0,"",[1]对账明细接口!$E$177),"")</f>
        <v/>
      </c>
      <c r="F177" s="59" t="str">
        <f aca="false">IFERROR(IF([1]对账明细接口!$F$177=0,"",[1]对账明细接口!$F$177),"")</f>
        <v/>
      </c>
      <c r="G177" s="59" t="str">
        <f aca="false">IFERROR(IF([1]对账明细接口!$G$177=0,"",[1]对账明细接口!$G$177),"")</f>
        <v/>
      </c>
      <c r="H177" s="60" t="str">
        <f aca="false">IFERROR(IF([1]对账明细接口!$H$177=0,"",[1]对账明细接口!$H$177),"")</f>
        <v/>
      </c>
      <c r="I177" s="59" t="str">
        <f aca="false">IFERROR(IF([1]对账明细接口!$I$177=0,"",[1]对账明细接口!$I$177),"")</f>
        <v/>
      </c>
      <c r="J177" s="61" t="str">
        <f aca="false">IFERROR(IF([1]对账明细接口!$J$177=0,"",[1]对账明细接口!$J$177),"")</f>
        <v/>
      </c>
      <c r="K177" s="61" t="str">
        <f aca="false">IFERROR(IF([1]对账明细接口!$K$177=0,"",[1]对账明细接口!$K$177),"")</f>
        <v/>
      </c>
      <c r="L177" s="59" t="str">
        <f aca="false">IFERROR(IF([1]对账明细接口!$L$177=0,"",[1]对账明细接口!$L$177),"")</f>
        <v/>
      </c>
      <c r="M177" s="59" t="str">
        <f aca="false">IFERROR(IF([1]对账明细接口!$M$177=0,"",[1]对账明细接口!$M$177),"")</f>
        <v/>
      </c>
      <c r="N177" s="111" t="n">
        <f aca="false">IF($C177="",0,1)</f>
        <v>0</v>
      </c>
      <c r="O177" s="111" t="n">
        <f aca="false">N(O176)+$N177</f>
        <v>110</v>
      </c>
      <c r="S177" s="10" t="str">
        <f aca="false">IFERROR(IF([1]对账明细接口!$N177=0,"",[1]对账明细接口!$N177),"")</f>
        <v/>
      </c>
      <c r="T177" s="112" t="str">
        <f aca="false">IFERROR(IF([1]对账明细接口!$O177=0,"",[1]对账明细接口!$O177),"")</f>
        <v/>
      </c>
      <c r="U177" s="112" t="str">
        <f aca="false">IFERROR(IF([1]对账明细接口!$P177=0,"",[1]对账明细接口!$P177),"")</f>
        <v/>
      </c>
      <c r="V177" s="112" t="str">
        <f aca="false">IFERROR(IF([1]对账明细接口!$Q177=0,"",[1]对账明细接口!$Q177),"")</f>
        <v/>
      </c>
      <c r="W177" s="10" t="str">
        <f aca="false">IFERROR(IF([1]对账明细接口!$R177=0,"",[1]对账明细接口!$R177),"")</f>
        <v/>
      </c>
      <c r="X177" s="10" t="str">
        <f aca="false">IFERROR(IF([1]对账明细接口!$S177=0,"",[1]对账明细接口!$S177),"")</f>
        <v/>
      </c>
      <c r="Y177" s="10" t="str">
        <f aca="false">""</f>
        <v/>
      </c>
      <c r="Z177" s="10" t="str">
        <f aca="false">""</f>
        <v/>
      </c>
      <c r="AA177" s="10" t="str">
        <f aca="false">""</f>
        <v/>
      </c>
      <c r="AB177" s="10" t="str">
        <f aca="false">""</f>
        <v/>
      </c>
    </row>
    <row r="178" customFormat="false" ht="13.5" hidden="false" customHeight="false" outlineLevel="0" collapsed="false">
      <c r="A178" s="109" t="n">
        <v>178</v>
      </c>
      <c r="B178" s="110" t="str">
        <f aca="false">IFERROR(IF([1]对账明细接口!$B$178=0,"",[1]对账明细接口!$B$178),"")</f>
        <v/>
      </c>
      <c r="C178" s="59" t="str">
        <f aca="false">IFERROR(IF([1]对账明细接口!$C$178=0,"",[1]对账明细接口!$C$178),"")</f>
        <v/>
      </c>
      <c r="D178" s="59" t="str">
        <f aca="false">IFERROR(IF([1]对账明细接口!$D$178=0,"",[1]对账明细接口!$D$178),"")</f>
        <v/>
      </c>
      <c r="E178" s="59" t="str">
        <f aca="false">IFERROR(IF([1]对账明细接口!$E$178=0,"",[1]对账明细接口!$E$178),"")</f>
        <v/>
      </c>
      <c r="F178" s="59" t="str">
        <f aca="false">IFERROR(IF([1]对账明细接口!$F$178=0,"",[1]对账明细接口!$F$178),"")</f>
        <v/>
      </c>
      <c r="G178" s="59" t="str">
        <f aca="false">IFERROR(IF([1]对账明细接口!$G$178=0,"",[1]对账明细接口!$G$178),"")</f>
        <v/>
      </c>
      <c r="H178" s="60" t="str">
        <f aca="false">IFERROR(IF([1]对账明细接口!$H$178=0,"",[1]对账明细接口!$H$178),"")</f>
        <v/>
      </c>
      <c r="I178" s="59" t="str">
        <f aca="false">IFERROR(IF([1]对账明细接口!$I$178=0,"",[1]对账明细接口!$I$178),"")</f>
        <v/>
      </c>
      <c r="J178" s="61" t="str">
        <f aca="false">IFERROR(IF([1]对账明细接口!$J$178=0,"",[1]对账明细接口!$J$178),"")</f>
        <v/>
      </c>
      <c r="K178" s="61" t="str">
        <f aca="false">IFERROR(IF([1]对账明细接口!$K$178=0,"",[1]对账明细接口!$K$178),"")</f>
        <v/>
      </c>
      <c r="L178" s="59" t="str">
        <f aca="false">IFERROR(IF([1]对账明细接口!$L$178=0,"",[1]对账明细接口!$L$178),"")</f>
        <v/>
      </c>
      <c r="M178" s="59" t="str">
        <f aca="false">IFERROR(IF([1]对账明细接口!$M$178=0,"",[1]对账明细接口!$M$178),"")</f>
        <v/>
      </c>
      <c r="N178" s="111" t="n">
        <f aca="false">IF($C178="",0,1)</f>
        <v>0</v>
      </c>
      <c r="O178" s="111" t="n">
        <f aca="false">N(O177)+$N178</f>
        <v>110</v>
      </c>
      <c r="S178" s="10" t="str">
        <f aca="false">IFERROR(IF([1]对账明细接口!$N178=0,"",[1]对账明细接口!$N178),"")</f>
        <v/>
      </c>
      <c r="T178" s="112" t="str">
        <f aca="false">IFERROR(IF([1]对账明细接口!$O178=0,"",[1]对账明细接口!$O178),"")</f>
        <v/>
      </c>
      <c r="U178" s="112" t="str">
        <f aca="false">IFERROR(IF([1]对账明细接口!$P178=0,"",[1]对账明细接口!$P178),"")</f>
        <v/>
      </c>
      <c r="V178" s="112" t="str">
        <f aca="false">IFERROR(IF([1]对账明细接口!$Q178=0,"",[1]对账明细接口!$Q178),"")</f>
        <v/>
      </c>
      <c r="W178" s="10" t="str">
        <f aca="false">IFERROR(IF([1]对账明细接口!$R178=0,"",[1]对账明细接口!$R178),"")</f>
        <v/>
      </c>
      <c r="X178" s="10" t="str">
        <f aca="false">IFERROR(IF([1]对账明细接口!$S178=0,"",[1]对账明细接口!$S178),"")</f>
        <v/>
      </c>
      <c r="Y178" s="10" t="str">
        <f aca="false">""</f>
        <v/>
      </c>
      <c r="Z178" s="10" t="str">
        <f aca="false">""</f>
        <v/>
      </c>
      <c r="AA178" s="10" t="str">
        <f aca="false">""</f>
        <v/>
      </c>
      <c r="AB178" s="10" t="str">
        <f aca="false">""</f>
        <v/>
      </c>
    </row>
    <row r="179" customFormat="false" ht="13.5" hidden="false" customHeight="false" outlineLevel="0" collapsed="false">
      <c r="A179" s="109" t="n">
        <v>179</v>
      </c>
      <c r="B179" s="110" t="str">
        <f aca="false">IFERROR(IF([1]对账明细接口!$B$179=0,"",[1]对账明细接口!$B$179),"")</f>
        <v/>
      </c>
      <c r="C179" s="59" t="str">
        <f aca="false">IFERROR(IF([1]对账明细接口!$C$179=0,"",[1]对账明细接口!$C$179),"")</f>
        <v/>
      </c>
      <c r="D179" s="59" t="str">
        <f aca="false">IFERROR(IF([1]对账明细接口!$D$179=0,"",[1]对账明细接口!$D$179),"")</f>
        <v/>
      </c>
      <c r="E179" s="59" t="str">
        <f aca="false">IFERROR(IF([1]对账明细接口!$E$179=0,"",[1]对账明细接口!$E$179),"")</f>
        <v/>
      </c>
      <c r="F179" s="59" t="str">
        <f aca="false">IFERROR(IF([1]对账明细接口!$F$179=0,"",[1]对账明细接口!$F$179),"")</f>
        <v/>
      </c>
      <c r="G179" s="59" t="str">
        <f aca="false">IFERROR(IF([1]对账明细接口!$G$179=0,"",[1]对账明细接口!$G$179),"")</f>
        <v/>
      </c>
      <c r="H179" s="60" t="str">
        <f aca="false">IFERROR(IF([1]对账明细接口!$H$179=0,"",[1]对账明细接口!$H$179),"")</f>
        <v/>
      </c>
      <c r="I179" s="59" t="str">
        <f aca="false">IFERROR(IF([1]对账明细接口!$I$179=0,"",[1]对账明细接口!$I$179),"")</f>
        <v/>
      </c>
      <c r="J179" s="61" t="str">
        <f aca="false">IFERROR(IF([1]对账明细接口!$J$179=0,"",[1]对账明细接口!$J$179),"")</f>
        <v/>
      </c>
      <c r="K179" s="61" t="str">
        <f aca="false">IFERROR(IF([1]对账明细接口!$K$179=0,"",[1]对账明细接口!$K$179),"")</f>
        <v/>
      </c>
      <c r="L179" s="59" t="str">
        <f aca="false">IFERROR(IF([1]对账明细接口!$L$179=0,"",[1]对账明细接口!$L$179),"")</f>
        <v/>
      </c>
      <c r="M179" s="59" t="str">
        <f aca="false">IFERROR(IF([1]对账明细接口!$M$179=0,"",[1]对账明细接口!$M$179),"")</f>
        <v/>
      </c>
      <c r="N179" s="111" t="n">
        <f aca="false">IF($C179="",0,1)</f>
        <v>0</v>
      </c>
      <c r="O179" s="111" t="n">
        <f aca="false">N(O178)+$N179</f>
        <v>110</v>
      </c>
      <c r="S179" s="10" t="str">
        <f aca="false">IFERROR(IF([1]对账明细接口!$N179=0,"",[1]对账明细接口!$N179),"")</f>
        <v/>
      </c>
      <c r="T179" s="112" t="str">
        <f aca="false">IFERROR(IF([1]对账明细接口!$O179=0,"",[1]对账明细接口!$O179),"")</f>
        <v/>
      </c>
      <c r="U179" s="112" t="str">
        <f aca="false">IFERROR(IF([1]对账明细接口!$P179=0,"",[1]对账明细接口!$P179),"")</f>
        <v/>
      </c>
      <c r="V179" s="112" t="str">
        <f aca="false">IFERROR(IF([1]对账明细接口!$Q179=0,"",[1]对账明细接口!$Q179),"")</f>
        <v/>
      </c>
      <c r="W179" s="10" t="str">
        <f aca="false">IFERROR(IF([1]对账明细接口!$R179=0,"",[1]对账明细接口!$R179),"")</f>
        <v/>
      </c>
      <c r="X179" s="10" t="str">
        <f aca="false">IFERROR(IF([1]对账明细接口!$S179=0,"",[1]对账明细接口!$S179),"")</f>
        <v/>
      </c>
      <c r="Y179" s="10" t="str">
        <f aca="false">""</f>
        <v/>
      </c>
      <c r="Z179" s="10" t="str">
        <f aca="false">""</f>
        <v/>
      </c>
      <c r="AA179" s="10" t="str">
        <f aca="false">""</f>
        <v/>
      </c>
      <c r="AB179" s="10" t="str">
        <f aca="false">""</f>
        <v/>
      </c>
    </row>
    <row r="180" customFormat="false" ht="13.5" hidden="false" customHeight="false" outlineLevel="0" collapsed="false">
      <c r="A180" s="109" t="n">
        <v>180</v>
      </c>
      <c r="B180" s="110" t="str">
        <f aca="false">IFERROR(IF([1]对账明细接口!$B$180=0,"",[1]对账明细接口!$B$180),"")</f>
        <v/>
      </c>
      <c r="C180" s="59" t="str">
        <f aca="false">IFERROR(IF([1]对账明细接口!$C$180=0,"",[1]对账明细接口!$C$180),"")</f>
        <v/>
      </c>
      <c r="D180" s="59" t="str">
        <f aca="false">IFERROR(IF([1]对账明细接口!$D$180=0,"",[1]对账明细接口!$D$180),"")</f>
        <v/>
      </c>
      <c r="E180" s="59" t="str">
        <f aca="false">IFERROR(IF([1]对账明细接口!$E$180=0,"",[1]对账明细接口!$E$180),"")</f>
        <v/>
      </c>
      <c r="F180" s="59" t="str">
        <f aca="false">IFERROR(IF([1]对账明细接口!$F$180=0,"",[1]对账明细接口!$F$180),"")</f>
        <v/>
      </c>
      <c r="G180" s="59" t="str">
        <f aca="false">IFERROR(IF([1]对账明细接口!$G$180=0,"",[1]对账明细接口!$G$180),"")</f>
        <v/>
      </c>
      <c r="H180" s="60" t="str">
        <f aca="false">IFERROR(IF([1]对账明细接口!$H$180=0,"",[1]对账明细接口!$H$180),"")</f>
        <v/>
      </c>
      <c r="I180" s="59" t="str">
        <f aca="false">IFERROR(IF([1]对账明细接口!$I$180=0,"",[1]对账明细接口!$I$180),"")</f>
        <v/>
      </c>
      <c r="J180" s="61" t="str">
        <f aca="false">IFERROR(IF([1]对账明细接口!$J$180=0,"",[1]对账明细接口!$J$180),"")</f>
        <v/>
      </c>
      <c r="K180" s="61" t="str">
        <f aca="false">IFERROR(IF([1]对账明细接口!$K$180=0,"",[1]对账明细接口!$K$180),"")</f>
        <v/>
      </c>
      <c r="L180" s="59" t="str">
        <f aca="false">IFERROR(IF([1]对账明细接口!$L$180=0,"",[1]对账明细接口!$L$180),"")</f>
        <v/>
      </c>
      <c r="M180" s="59" t="str">
        <f aca="false">IFERROR(IF([1]对账明细接口!$M$180=0,"",[1]对账明细接口!$M$180),"")</f>
        <v/>
      </c>
      <c r="N180" s="111" t="n">
        <f aca="false">IF($C180="",0,1)</f>
        <v>0</v>
      </c>
      <c r="O180" s="111" t="n">
        <f aca="false">N(O179)+$N180</f>
        <v>110</v>
      </c>
      <c r="S180" s="10" t="str">
        <f aca="false">IFERROR(IF([1]对账明细接口!$N180=0,"",[1]对账明细接口!$N180),"")</f>
        <v/>
      </c>
      <c r="T180" s="112" t="str">
        <f aca="false">IFERROR(IF([1]对账明细接口!$O180=0,"",[1]对账明细接口!$O180),"")</f>
        <v/>
      </c>
      <c r="U180" s="112" t="str">
        <f aca="false">IFERROR(IF([1]对账明细接口!$P180=0,"",[1]对账明细接口!$P180),"")</f>
        <v/>
      </c>
      <c r="V180" s="112" t="str">
        <f aca="false">IFERROR(IF([1]对账明细接口!$Q180=0,"",[1]对账明细接口!$Q180),"")</f>
        <v/>
      </c>
      <c r="W180" s="10" t="str">
        <f aca="false">IFERROR(IF([1]对账明细接口!$R180=0,"",[1]对账明细接口!$R180),"")</f>
        <v/>
      </c>
      <c r="X180" s="10" t="str">
        <f aca="false">IFERROR(IF([1]对账明细接口!$S180=0,"",[1]对账明细接口!$S180),"")</f>
        <v/>
      </c>
      <c r="Y180" s="10" t="str">
        <f aca="false">""</f>
        <v/>
      </c>
      <c r="Z180" s="10" t="str">
        <f aca="false">""</f>
        <v/>
      </c>
      <c r="AA180" s="10" t="str">
        <f aca="false">""</f>
        <v/>
      </c>
      <c r="AB180" s="10" t="str">
        <f aca="false">""</f>
        <v/>
      </c>
    </row>
    <row r="181" customFormat="false" ht="13.5" hidden="false" customHeight="false" outlineLevel="0" collapsed="false">
      <c r="A181" s="109" t="n">
        <v>181</v>
      </c>
      <c r="B181" s="110" t="str">
        <f aca="false">IFERROR(IF([1]对账明细接口!$B$181=0,"",[1]对账明细接口!$B$181),"")</f>
        <v/>
      </c>
      <c r="C181" s="59" t="str">
        <f aca="false">IFERROR(IF([1]对账明细接口!$C$181=0,"",[1]对账明细接口!$C$181),"")</f>
        <v/>
      </c>
      <c r="D181" s="59" t="str">
        <f aca="false">IFERROR(IF([1]对账明细接口!$D$181=0,"",[1]对账明细接口!$D$181),"")</f>
        <v/>
      </c>
      <c r="E181" s="59" t="str">
        <f aca="false">IFERROR(IF([1]对账明细接口!$E$181=0,"",[1]对账明细接口!$E$181),"")</f>
        <v/>
      </c>
      <c r="F181" s="59" t="str">
        <f aca="false">IFERROR(IF([1]对账明细接口!$F$181=0,"",[1]对账明细接口!$F$181),"")</f>
        <v/>
      </c>
      <c r="G181" s="59" t="str">
        <f aca="false">IFERROR(IF([1]对账明细接口!$G$181=0,"",[1]对账明细接口!$G$181),"")</f>
        <v/>
      </c>
      <c r="H181" s="60" t="str">
        <f aca="false">IFERROR(IF([1]对账明细接口!$H$181=0,"",[1]对账明细接口!$H$181),"")</f>
        <v/>
      </c>
      <c r="I181" s="59" t="str">
        <f aca="false">IFERROR(IF([1]对账明细接口!$I$181=0,"",[1]对账明细接口!$I$181),"")</f>
        <v/>
      </c>
      <c r="J181" s="61" t="str">
        <f aca="false">IFERROR(IF([1]对账明细接口!$J$181=0,"",[1]对账明细接口!$J$181),"")</f>
        <v/>
      </c>
      <c r="K181" s="61" t="str">
        <f aca="false">IFERROR(IF([1]对账明细接口!$K$181=0,"",[1]对账明细接口!$K$181),"")</f>
        <v/>
      </c>
      <c r="L181" s="59" t="str">
        <f aca="false">IFERROR(IF([1]对账明细接口!$L$181=0,"",[1]对账明细接口!$L$181),"")</f>
        <v/>
      </c>
      <c r="M181" s="59" t="str">
        <f aca="false">IFERROR(IF([1]对账明细接口!$M$181=0,"",[1]对账明细接口!$M$181),"")</f>
        <v/>
      </c>
      <c r="N181" s="111" t="n">
        <f aca="false">IF($C181="",0,1)</f>
        <v>0</v>
      </c>
      <c r="O181" s="111" t="n">
        <f aca="false">N(O180)+$N181</f>
        <v>110</v>
      </c>
      <c r="S181" s="10" t="str">
        <f aca="false">IFERROR(IF([1]对账明细接口!$N181=0,"",[1]对账明细接口!$N181),"")</f>
        <v/>
      </c>
      <c r="T181" s="112" t="str">
        <f aca="false">IFERROR(IF([1]对账明细接口!$O181=0,"",[1]对账明细接口!$O181),"")</f>
        <v/>
      </c>
      <c r="U181" s="112" t="str">
        <f aca="false">IFERROR(IF([1]对账明细接口!$P181=0,"",[1]对账明细接口!$P181),"")</f>
        <v/>
      </c>
      <c r="V181" s="112" t="str">
        <f aca="false">IFERROR(IF([1]对账明细接口!$Q181=0,"",[1]对账明细接口!$Q181),"")</f>
        <v/>
      </c>
      <c r="W181" s="10" t="str">
        <f aca="false">IFERROR(IF([1]对账明细接口!$R181=0,"",[1]对账明细接口!$R181),"")</f>
        <v/>
      </c>
      <c r="X181" s="10" t="str">
        <f aca="false">IFERROR(IF([1]对账明细接口!$S181=0,"",[1]对账明细接口!$S181),"")</f>
        <v/>
      </c>
      <c r="Y181" s="10" t="str">
        <f aca="false">""</f>
        <v/>
      </c>
      <c r="Z181" s="10" t="str">
        <f aca="false">""</f>
        <v/>
      </c>
      <c r="AA181" s="10" t="str">
        <f aca="false">""</f>
        <v/>
      </c>
      <c r="AB181" s="10" t="str">
        <f aca="false">""</f>
        <v/>
      </c>
    </row>
    <row r="182" customFormat="false" ht="13.5" hidden="false" customHeight="false" outlineLevel="0" collapsed="false">
      <c r="A182" s="109" t="n">
        <v>182</v>
      </c>
      <c r="B182" s="110" t="str">
        <f aca="false">IFERROR(IF([1]对账明细接口!$B$182=0,"",[1]对账明细接口!$B$182),"")</f>
        <v/>
      </c>
      <c r="C182" s="59" t="str">
        <f aca="false">IFERROR(IF([1]对账明细接口!$C$182=0,"",[1]对账明细接口!$C$182),"")</f>
        <v/>
      </c>
      <c r="D182" s="59" t="str">
        <f aca="false">IFERROR(IF([1]对账明细接口!$D$182=0,"",[1]对账明细接口!$D$182),"")</f>
        <v/>
      </c>
      <c r="E182" s="59" t="str">
        <f aca="false">IFERROR(IF([1]对账明细接口!$E$182=0,"",[1]对账明细接口!$E$182),"")</f>
        <v/>
      </c>
      <c r="F182" s="59" t="str">
        <f aca="false">IFERROR(IF([1]对账明细接口!$F$182=0,"",[1]对账明细接口!$F$182),"")</f>
        <v/>
      </c>
      <c r="G182" s="59" t="str">
        <f aca="false">IFERROR(IF([1]对账明细接口!$G$182=0,"",[1]对账明细接口!$G$182),"")</f>
        <v/>
      </c>
      <c r="H182" s="60" t="str">
        <f aca="false">IFERROR(IF([1]对账明细接口!$H$182=0,"",[1]对账明细接口!$H$182),"")</f>
        <v/>
      </c>
      <c r="I182" s="59" t="str">
        <f aca="false">IFERROR(IF([1]对账明细接口!$I$182=0,"",[1]对账明细接口!$I$182),"")</f>
        <v/>
      </c>
      <c r="J182" s="61" t="str">
        <f aca="false">IFERROR(IF([1]对账明细接口!$J$182=0,"",[1]对账明细接口!$J$182),"")</f>
        <v/>
      </c>
      <c r="K182" s="61" t="str">
        <f aca="false">IFERROR(IF([1]对账明细接口!$K$182=0,"",[1]对账明细接口!$K$182),"")</f>
        <v/>
      </c>
      <c r="L182" s="59" t="str">
        <f aca="false">IFERROR(IF([1]对账明细接口!$L$182=0,"",[1]对账明细接口!$L$182),"")</f>
        <v/>
      </c>
      <c r="M182" s="59" t="str">
        <f aca="false">IFERROR(IF([1]对账明细接口!$M$182=0,"",[1]对账明细接口!$M$182),"")</f>
        <v/>
      </c>
      <c r="N182" s="111" t="n">
        <f aca="false">IF($C182="",0,1)</f>
        <v>0</v>
      </c>
      <c r="O182" s="111" t="n">
        <f aca="false">N(O181)+$N182</f>
        <v>110</v>
      </c>
      <c r="S182" s="10" t="str">
        <f aca="false">IFERROR(IF([1]对账明细接口!$N182=0,"",[1]对账明细接口!$N182),"")</f>
        <v/>
      </c>
      <c r="T182" s="112" t="str">
        <f aca="false">IFERROR(IF([1]对账明细接口!$O182=0,"",[1]对账明细接口!$O182),"")</f>
        <v/>
      </c>
      <c r="U182" s="112" t="str">
        <f aca="false">IFERROR(IF([1]对账明细接口!$P182=0,"",[1]对账明细接口!$P182),"")</f>
        <v/>
      </c>
      <c r="V182" s="112" t="str">
        <f aca="false">IFERROR(IF([1]对账明细接口!$Q182=0,"",[1]对账明细接口!$Q182),"")</f>
        <v/>
      </c>
      <c r="W182" s="10" t="str">
        <f aca="false">IFERROR(IF([1]对账明细接口!$R182=0,"",[1]对账明细接口!$R182),"")</f>
        <v/>
      </c>
      <c r="X182" s="10" t="str">
        <f aca="false">IFERROR(IF([1]对账明细接口!$S182=0,"",[1]对账明细接口!$S182),"")</f>
        <v/>
      </c>
      <c r="Y182" s="10" t="str">
        <f aca="false">""</f>
        <v/>
      </c>
      <c r="Z182" s="10" t="str">
        <f aca="false">""</f>
        <v/>
      </c>
      <c r="AA182" s="10" t="str">
        <f aca="false">""</f>
        <v/>
      </c>
      <c r="AB182" s="10" t="str">
        <f aca="false">""</f>
        <v/>
      </c>
    </row>
    <row r="183" customFormat="false" ht="13.5" hidden="false" customHeight="false" outlineLevel="0" collapsed="false">
      <c r="A183" s="109" t="n">
        <v>183</v>
      </c>
      <c r="B183" s="110" t="str">
        <f aca="false">IFERROR(IF([1]对账明细接口!$B$183=0,"",[1]对账明细接口!$B$183),"")</f>
        <v/>
      </c>
      <c r="C183" s="59" t="str">
        <f aca="false">IFERROR(IF([1]对账明细接口!$C$183=0,"",[1]对账明细接口!$C$183),"")</f>
        <v/>
      </c>
      <c r="D183" s="59" t="str">
        <f aca="false">IFERROR(IF([1]对账明细接口!$D$183=0,"",[1]对账明细接口!$D$183),"")</f>
        <v/>
      </c>
      <c r="E183" s="59" t="str">
        <f aca="false">IFERROR(IF([1]对账明细接口!$E$183=0,"",[1]对账明细接口!$E$183),"")</f>
        <v/>
      </c>
      <c r="F183" s="59" t="str">
        <f aca="false">IFERROR(IF([1]对账明细接口!$F$183=0,"",[1]对账明细接口!$F$183),"")</f>
        <v/>
      </c>
      <c r="G183" s="59" t="str">
        <f aca="false">IFERROR(IF([1]对账明细接口!$G$183=0,"",[1]对账明细接口!$G$183),"")</f>
        <v/>
      </c>
      <c r="H183" s="60" t="str">
        <f aca="false">IFERROR(IF([1]对账明细接口!$H$183=0,"",[1]对账明细接口!$H$183),"")</f>
        <v/>
      </c>
      <c r="I183" s="59" t="str">
        <f aca="false">IFERROR(IF([1]对账明细接口!$I$183=0,"",[1]对账明细接口!$I$183),"")</f>
        <v/>
      </c>
      <c r="J183" s="61" t="str">
        <f aca="false">IFERROR(IF([1]对账明细接口!$J$183=0,"",[1]对账明细接口!$J$183),"")</f>
        <v/>
      </c>
      <c r="K183" s="61" t="str">
        <f aca="false">IFERROR(IF([1]对账明细接口!$K$183=0,"",[1]对账明细接口!$K$183),"")</f>
        <v/>
      </c>
      <c r="L183" s="59" t="str">
        <f aca="false">IFERROR(IF([1]对账明细接口!$L$183=0,"",[1]对账明细接口!$L$183),"")</f>
        <v/>
      </c>
      <c r="M183" s="59" t="str">
        <f aca="false">IFERROR(IF([1]对账明细接口!$M$183=0,"",[1]对账明细接口!$M$183),"")</f>
        <v/>
      </c>
      <c r="N183" s="111" t="n">
        <f aca="false">IF($C183="",0,1)</f>
        <v>0</v>
      </c>
      <c r="O183" s="111" t="n">
        <f aca="false">N(O182)+$N183</f>
        <v>110</v>
      </c>
      <c r="S183" s="10" t="str">
        <f aca="false">IFERROR(IF([1]对账明细接口!$N183=0,"",[1]对账明细接口!$N183),"")</f>
        <v/>
      </c>
      <c r="T183" s="112" t="str">
        <f aca="false">IFERROR(IF([1]对账明细接口!$O183=0,"",[1]对账明细接口!$O183),"")</f>
        <v/>
      </c>
      <c r="U183" s="112" t="str">
        <f aca="false">IFERROR(IF([1]对账明细接口!$P183=0,"",[1]对账明细接口!$P183),"")</f>
        <v/>
      </c>
      <c r="V183" s="112" t="str">
        <f aca="false">IFERROR(IF([1]对账明细接口!$Q183=0,"",[1]对账明细接口!$Q183),"")</f>
        <v/>
      </c>
      <c r="W183" s="10" t="str">
        <f aca="false">IFERROR(IF([1]对账明细接口!$R183=0,"",[1]对账明细接口!$R183),"")</f>
        <v/>
      </c>
      <c r="X183" s="10" t="str">
        <f aca="false">IFERROR(IF([1]对账明细接口!$S183=0,"",[1]对账明细接口!$S183),"")</f>
        <v/>
      </c>
      <c r="Y183" s="10" t="str">
        <f aca="false">""</f>
        <v/>
      </c>
      <c r="Z183" s="10" t="str">
        <f aca="false">""</f>
        <v/>
      </c>
      <c r="AA183" s="10" t="str">
        <f aca="false">""</f>
        <v/>
      </c>
      <c r="AB183" s="10" t="str">
        <f aca="false">""</f>
        <v/>
      </c>
    </row>
    <row r="184" customFormat="false" ht="13.5" hidden="false" customHeight="false" outlineLevel="0" collapsed="false">
      <c r="A184" s="109" t="n">
        <v>184</v>
      </c>
      <c r="B184" s="110" t="str">
        <f aca="false">IFERROR(IF([1]对账明细接口!$B$184=0,"",[1]对账明细接口!$B$184),"")</f>
        <v/>
      </c>
      <c r="C184" s="59" t="str">
        <f aca="false">IFERROR(IF([1]对账明细接口!$C$184=0,"",[1]对账明细接口!$C$184),"")</f>
        <v/>
      </c>
      <c r="D184" s="59" t="str">
        <f aca="false">IFERROR(IF([1]对账明细接口!$D$184=0,"",[1]对账明细接口!$D$184),"")</f>
        <v/>
      </c>
      <c r="E184" s="59" t="str">
        <f aca="false">IFERROR(IF([1]对账明细接口!$E$184=0,"",[1]对账明细接口!$E$184),"")</f>
        <v/>
      </c>
      <c r="F184" s="59" t="str">
        <f aca="false">IFERROR(IF([1]对账明细接口!$F$184=0,"",[1]对账明细接口!$F$184),"")</f>
        <v/>
      </c>
      <c r="G184" s="59" t="str">
        <f aca="false">IFERROR(IF([1]对账明细接口!$G$184=0,"",[1]对账明细接口!$G$184),"")</f>
        <v/>
      </c>
      <c r="H184" s="60" t="str">
        <f aca="false">IFERROR(IF([1]对账明细接口!$H$184=0,"",[1]对账明细接口!$H$184),"")</f>
        <v/>
      </c>
      <c r="I184" s="59" t="str">
        <f aca="false">IFERROR(IF([1]对账明细接口!$I$184=0,"",[1]对账明细接口!$I$184),"")</f>
        <v/>
      </c>
      <c r="J184" s="61" t="str">
        <f aca="false">IFERROR(IF([1]对账明细接口!$J$184=0,"",[1]对账明细接口!$J$184),"")</f>
        <v/>
      </c>
      <c r="K184" s="61" t="str">
        <f aca="false">IFERROR(IF([1]对账明细接口!$K$184=0,"",[1]对账明细接口!$K$184),"")</f>
        <v/>
      </c>
      <c r="L184" s="59" t="str">
        <f aca="false">IFERROR(IF([1]对账明细接口!$L$184=0,"",[1]对账明细接口!$L$184),"")</f>
        <v/>
      </c>
      <c r="M184" s="59" t="str">
        <f aca="false">IFERROR(IF([1]对账明细接口!$M$184=0,"",[1]对账明细接口!$M$184),"")</f>
        <v/>
      </c>
      <c r="N184" s="111" t="n">
        <f aca="false">IF($C184="",0,1)</f>
        <v>0</v>
      </c>
      <c r="O184" s="111" t="n">
        <f aca="false">N(O183)+$N184</f>
        <v>110</v>
      </c>
      <c r="S184" s="10" t="str">
        <f aca="false">IFERROR(IF([1]对账明细接口!$N184=0,"",[1]对账明细接口!$N184),"")</f>
        <v/>
      </c>
      <c r="T184" s="112" t="str">
        <f aca="false">IFERROR(IF([1]对账明细接口!$O184=0,"",[1]对账明细接口!$O184),"")</f>
        <v/>
      </c>
      <c r="U184" s="112" t="str">
        <f aca="false">IFERROR(IF([1]对账明细接口!$P184=0,"",[1]对账明细接口!$P184),"")</f>
        <v/>
      </c>
      <c r="V184" s="112" t="str">
        <f aca="false">IFERROR(IF([1]对账明细接口!$Q184=0,"",[1]对账明细接口!$Q184),"")</f>
        <v/>
      </c>
      <c r="W184" s="10" t="str">
        <f aca="false">IFERROR(IF([1]对账明细接口!$R184=0,"",[1]对账明细接口!$R184),"")</f>
        <v/>
      </c>
      <c r="X184" s="10" t="str">
        <f aca="false">IFERROR(IF([1]对账明细接口!$S184=0,"",[1]对账明细接口!$S184),"")</f>
        <v/>
      </c>
      <c r="Y184" s="10" t="str">
        <f aca="false">""</f>
        <v/>
      </c>
      <c r="Z184" s="10" t="str">
        <f aca="false">""</f>
        <v/>
      </c>
      <c r="AA184" s="10" t="str">
        <f aca="false">""</f>
        <v/>
      </c>
      <c r="AB184" s="10" t="str">
        <f aca="false">""</f>
        <v/>
      </c>
    </row>
    <row r="185" customFormat="false" ht="13.5" hidden="false" customHeight="false" outlineLevel="0" collapsed="false">
      <c r="A185" s="109" t="n">
        <v>185</v>
      </c>
      <c r="B185" s="110" t="str">
        <f aca="false">IFERROR(IF([1]对账明细接口!$B$185=0,"",[1]对账明细接口!$B$185),"")</f>
        <v/>
      </c>
      <c r="C185" s="59" t="str">
        <f aca="false">IFERROR(IF([1]对账明细接口!$C$185=0,"",[1]对账明细接口!$C$185),"")</f>
        <v/>
      </c>
      <c r="D185" s="59" t="str">
        <f aca="false">IFERROR(IF([1]对账明细接口!$D$185=0,"",[1]对账明细接口!$D$185),"")</f>
        <v/>
      </c>
      <c r="E185" s="59" t="str">
        <f aca="false">IFERROR(IF([1]对账明细接口!$E$185=0,"",[1]对账明细接口!$E$185),"")</f>
        <v/>
      </c>
      <c r="F185" s="59" t="str">
        <f aca="false">IFERROR(IF([1]对账明细接口!$F$185=0,"",[1]对账明细接口!$F$185),"")</f>
        <v/>
      </c>
      <c r="G185" s="59" t="str">
        <f aca="false">IFERROR(IF([1]对账明细接口!$G$185=0,"",[1]对账明细接口!$G$185),"")</f>
        <v/>
      </c>
      <c r="H185" s="60" t="str">
        <f aca="false">IFERROR(IF([1]对账明细接口!$H$185=0,"",[1]对账明细接口!$H$185),"")</f>
        <v/>
      </c>
      <c r="I185" s="59" t="str">
        <f aca="false">IFERROR(IF([1]对账明细接口!$I$185=0,"",[1]对账明细接口!$I$185),"")</f>
        <v/>
      </c>
      <c r="J185" s="61" t="str">
        <f aca="false">IFERROR(IF([1]对账明细接口!$J$185=0,"",[1]对账明细接口!$J$185),"")</f>
        <v/>
      </c>
      <c r="K185" s="61" t="str">
        <f aca="false">IFERROR(IF([1]对账明细接口!$K$185=0,"",[1]对账明细接口!$K$185),"")</f>
        <v/>
      </c>
      <c r="L185" s="59" t="str">
        <f aca="false">IFERROR(IF([1]对账明细接口!$L$185=0,"",[1]对账明细接口!$L$185),"")</f>
        <v/>
      </c>
      <c r="M185" s="59" t="str">
        <f aca="false">IFERROR(IF([1]对账明细接口!$M$185=0,"",[1]对账明细接口!$M$185),"")</f>
        <v/>
      </c>
      <c r="N185" s="111" t="n">
        <f aca="false">IF($C185="",0,1)</f>
        <v>0</v>
      </c>
      <c r="O185" s="111" t="n">
        <f aca="false">N(O184)+$N185</f>
        <v>110</v>
      </c>
      <c r="S185" s="10" t="str">
        <f aca="false">IFERROR(IF([1]对账明细接口!$N185=0,"",[1]对账明细接口!$N185),"")</f>
        <v/>
      </c>
      <c r="T185" s="112" t="str">
        <f aca="false">IFERROR(IF([1]对账明细接口!$O185=0,"",[1]对账明细接口!$O185),"")</f>
        <v/>
      </c>
      <c r="U185" s="112" t="str">
        <f aca="false">IFERROR(IF([1]对账明细接口!$P185=0,"",[1]对账明细接口!$P185),"")</f>
        <v/>
      </c>
      <c r="V185" s="112" t="str">
        <f aca="false">IFERROR(IF([1]对账明细接口!$Q185=0,"",[1]对账明细接口!$Q185),"")</f>
        <v/>
      </c>
      <c r="W185" s="10" t="str">
        <f aca="false">IFERROR(IF([1]对账明细接口!$R185=0,"",[1]对账明细接口!$R185),"")</f>
        <v/>
      </c>
      <c r="X185" s="10" t="str">
        <f aca="false">IFERROR(IF([1]对账明细接口!$S185=0,"",[1]对账明细接口!$S185),"")</f>
        <v/>
      </c>
      <c r="Y185" s="10" t="str">
        <f aca="false">""</f>
        <v/>
      </c>
      <c r="Z185" s="10" t="str">
        <f aca="false">""</f>
        <v/>
      </c>
      <c r="AA185" s="10" t="str">
        <f aca="false">""</f>
        <v/>
      </c>
      <c r="AB185" s="10" t="str">
        <f aca="false">""</f>
        <v/>
      </c>
    </row>
    <row r="186" customFormat="false" ht="13.5" hidden="false" customHeight="false" outlineLevel="0" collapsed="false">
      <c r="A186" s="109" t="n">
        <v>186</v>
      </c>
      <c r="B186" s="110" t="str">
        <f aca="false">IFERROR(IF([1]对账明细接口!$B$186=0,"",[1]对账明细接口!$B$186),"")</f>
        <v/>
      </c>
      <c r="C186" s="59" t="str">
        <f aca="false">IFERROR(IF([1]对账明细接口!$C$186=0,"",[1]对账明细接口!$C$186),"")</f>
        <v/>
      </c>
      <c r="D186" s="59" t="str">
        <f aca="false">IFERROR(IF([1]对账明细接口!$D$186=0,"",[1]对账明细接口!$D$186),"")</f>
        <v/>
      </c>
      <c r="E186" s="59" t="str">
        <f aca="false">IFERROR(IF([1]对账明细接口!$E$186=0,"",[1]对账明细接口!$E$186),"")</f>
        <v/>
      </c>
      <c r="F186" s="59" t="str">
        <f aca="false">IFERROR(IF([1]对账明细接口!$F$186=0,"",[1]对账明细接口!$F$186),"")</f>
        <v/>
      </c>
      <c r="G186" s="59" t="str">
        <f aca="false">IFERROR(IF([1]对账明细接口!$G$186=0,"",[1]对账明细接口!$G$186),"")</f>
        <v/>
      </c>
      <c r="H186" s="60" t="str">
        <f aca="false">IFERROR(IF([1]对账明细接口!$H$186=0,"",[1]对账明细接口!$H$186),"")</f>
        <v/>
      </c>
      <c r="I186" s="59" t="str">
        <f aca="false">IFERROR(IF([1]对账明细接口!$I$186=0,"",[1]对账明细接口!$I$186),"")</f>
        <v/>
      </c>
      <c r="J186" s="61" t="str">
        <f aca="false">IFERROR(IF([1]对账明细接口!$J$186=0,"",[1]对账明细接口!$J$186),"")</f>
        <v/>
      </c>
      <c r="K186" s="61" t="str">
        <f aca="false">IFERROR(IF([1]对账明细接口!$K$186=0,"",[1]对账明细接口!$K$186),"")</f>
        <v/>
      </c>
      <c r="L186" s="59" t="str">
        <f aca="false">IFERROR(IF([1]对账明细接口!$L$186=0,"",[1]对账明细接口!$L$186),"")</f>
        <v/>
      </c>
      <c r="M186" s="59" t="str">
        <f aca="false">IFERROR(IF([1]对账明细接口!$M$186=0,"",[1]对账明细接口!$M$186),"")</f>
        <v/>
      </c>
      <c r="N186" s="111" t="n">
        <f aca="false">IF($C186="",0,1)</f>
        <v>0</v>
      </c>
      <c r="O186" s="111" t="n">
        <f aca="false">N(O185)+$N186</f>
        <v>110</v>
      </c>
      <c r="S186" s="10" t="str">
        <f aca="false">IFERROR(IF([1]对账明细接口!$N186=0,"",[1]对账明细接口!$N186),"")</f>
        <v/>
      </c>
      <c r="T186" s="112" t="str">
        <f aca="false">IFERROR(IF([1]对账明细接口!$O186=0,"",[1]对账明细接口!$O186),"")</f>
        <v/>
      </c>
      <c r="U186" s="112" t="str">
        <f aca="false">IFERROR(IF([1]对账明细接口!$P186=0,"",[1]对账明细接口!$P186),"")</f>
        <v/>
      </c>
      <c r="V186" s="112" t="str">
        <f aca="false">IFERROR(IF([1]对账明细接口!$Q186=0,"",[1]对账明细接口!$Q186),"")</f>
        <v/>
      </c>
      <c r="W186" s="10" t="str">
        <f aca="false">IFERROR(IF([1]对账明细接口!$R186=0,"",[1]对账明细接口!$R186),"")</f>
        <v/>
      </c>
      <c r="X186" s="10" t="str">
        <f aca="false">IFERROR(IF([1]对账明细接口!$S186=0,"",[1]对账明细接口!$S186),"")</f>
        <v/>
      </c>
      <c r="Y186" s="10" t="str">
        <f aca="false">""</f>
        <v/>
      </c>
      <c r="Z186" s="10" t="str">
        <f aca="false">""</f>
        <v/>
      </c>
      <c r="AA186" s="10" t="str">
        <f aca="false">""</f>
        <v/>
      </c>
      <c r="AB186" s="10" t="str">
        <f aca="false">""</f>
        <v/>
      </c>
    </row>
    <row r="187" customFormat="false" ht="13.5" hidden="false" customHeight="false" outlineLevel="0" collapsed="false">
      <c r="A187" s="109" t="n">
        <v>187</v>
      </c>
      <c r="B187" s="110" t="str">
        <f aca="false">IFERROR(IF([1]对账明细接口!$B$187=0,"",[1]对账明细接口!$B$187),"")</f>
        <v/>
      </c>
      <c r="C187" s="59" t="str">
        <f aca="false">IFERROR(IF([1]对账明细接口!$C$187=0,"",[1]对账明细接口!$C$187),"")</f>
        <v/>
      </c>
      <c r="D187" s="59" t="str">
        <f aca="false">IFERROR(IF([1]对账明细接口!$D$187=0,"",[1]对账明细接口!$D$187),"")</f>
        <v/>
      </c>
      <c r="E187" s="59" t="str">
        <f aca="false">IFERROR(IF([1]对账明细接口!$E$187=0,"",[1]对账明细接口!$E$187),"")</f>
        <v/>
      </c>
      <c r="F187" s="59" t="str">
        <f aca="false">IFERROR(IF([1]对账明细接口!$F$187=0,"",[1]对账明细接口!$F$187),"")</f>
        <v/>
      </c>
      <c r="G187" s="59" t="str">
        <f aca="false">IFERROR(IF([1]对账明细接口!$G$187=0,"",[1]对账明细接口!$G$187),"")</f>
        <v/>
      </c>
      <c r="H187" s="60" t="str">
        <f aca="false">IFERROR(IF([1]对账明细接口!$H$187=0,"",[1]对账明细接口!$H$187),"")</f>
        <v/>
      </c>
      <c r="I187" s="59" t="str">
        <f aca="false">IFERROR(IF([1]对账明细接口!$I$187=0,"",[1]对账明细接口!$I$187),"")</f>
        <v/>
      </c>
      <c r="J187" s="61" t="str">
        <f aca="false">IFERROR(IF([1]对账明细接口!$J$187=0,"",[1]对账明细接口!$J$187),"")</f>
        <v/>
      </c>
      <c r="K187" s="61" t="str">
        <f aca="false">IFERROR(IF([1]对账明细接口!$K$187=0,"",[1]对账明细接口!$K$187),"")</f>
        <v/>
      </c>
      <c r="L187" s="59" t="str">
        <f aca="false">IFERROR(IF([1]对账明细接口!$L$187=0,"",[1]对账明细接口!$L$187),"")</f>
        <v/>
      </c>
      <c r="M187" s="59" t="str">
        <f aca="false">IFERROR(IF([1]对账明细接口!$M$187=0,"",[1]对账明细接口!$M$187),"")</f>
        <v/>
      </c>
      <c r="N187" s="111" t="n">
        <f aca="false">IF($C187="",0,1)</f>
        <v>0</v>
      </c>
      <c r="O187" s="111" t="n">
        <f aca="false">N(O186)+$N187</f>
        <v>110</v>
      </c>
      <c r="S187" s="10" t="str">
        <f aca="false">IFERROR(IF([1]对账明细接口!$N187=0,"",[1]对账明细接口!$N187),"")</f>
        <v/>
      </c>
      <c r="T187" s="112" t="str">
        <f aca="false">IFERROR(IF([1]对账明细接口!$O187=0,"",[1]对账明细接口!$O187),"")</f>
        <v/>
      </c>
      <c r="U187" s="112" t="str">
        <f aca="false">IFERROR(IF([1]对账明细接口!$P187=0,"",[1]对账明细接口!$P187),"")</f>
        <v/>
      </c>
      <c r="V187" s="112" t="str">
        <f aca="false">IFERROR(IF([1]对账明细接口!$Q187=0,"",[1]对账明细接口!$Q187),"")</f>
        <v/>
      </c>
      <c r="W187" s="10" t="str">
        <f aca="false">IFERROR(IF([1]对账明细接口!$R187=0,"",[1]对账明细接口!$R187),"")</f>
        <v/>
      </c>
      <c r="X187" s="10" t="str">
        <f aca="false">IFERROR(IF([1]对账明细接口!$S187=0,"",[1]对账明细接口!$S187),"")</f>
        <v/>
      </c>
      <c r="Y187" s="10" t="str">
        <f aca="false">""</f>
        <v/>
      </c>
      <c r="Z187" s="10" t="str">
        <f aca="false">""</f>
        <v/>
      </c>
      <c r="AA187" s="10" t="str">
        <f aca="false">""</f>
        <v/>
      </c>
      <c r="AB187" s="10" t="str">
        <f aca="false">""</f>
        <v/>
      </c>
    </row>
    <row r="188" customFormat="false" ht="13.5" hidden="false" customHeight="false" outlineLevel="0" collapsed="false">
      <c r="A188" s="109" t="n">
        <v>188</v>
      </c>
      <c r="B188" s="110" t="str">
        <f aca="false">IFERROR(IF([1]对账明细接口!$B$188=0,"",[1]对账明细接口!$B$188),"")</f>
        <v/>
      </c>
      <c r="C188" s="59" t="str">
        <f aca="false">IFERROR(IF([1]对账明细接口!$C$188=0,"",[1]对账明细接口!$C$188),"")</f>
        <v/>
      </c>
      <c r="D188" s="59" t="str">
        <f aca="false">IFERROR(IF([1]对账明细接口!$D$188=0,"",[1]对账明细接口!$D$188),"")</f>
        <v/>
      </c>
      <c r="E188" s="59" t="str">
        <f aca="false">IFERROR(IF([1]对账明细接口!$E$188=0,"",[1]对账明细接口!$E$188),"")</f>
        <v/>
      </c>
      <c r="F188" s="59" t="str">
        <f aca="false">IFERROR(IF([1]对账明细接口!$F$188=0,"",[1]对账明细接口!$F$188),"")</f>
        <v/>
      </c>
      <c r="G188" s="59" t="str">
        <f aca="false">IFERROR(IF([1]对账明细接口!$G$188=0,"",[1]对账明细接口!$G$188),"")</f>
        <v/>
      </c>
      <c r="H188" s="60" t="str">
        <f aca="false">IFERROR(IF([1]对账明细接口!$H$188=0,"",[1]对账明细接口!$H$188),"")</f>
        <v/>
      </c>
      <c r="I188" s="59" t="str">
        <f aca="false">IFERROR(IF([1]对账明细接口!$I$188=0,"",[1]对账明细接口!$I$188),"")</f>
        <v/>
      </c>
      <c r="J188" s="61" t="str">
        <f aca="false">IFERROR(IF([1]对账明细接口!$J$188=0,"",[1]对账明细接口!$J$188),"")</f>
        <v/>
      </c>
      <c r="K188" s="61" t="str">
        <f aca="false">IFERROR(IF([1]对账明细接口!$K$188=0,"",[1]对账明细接口!$K$188),"")</f>
        <v/>
      </c>
      <c r="L188" s="59" t="str">
        <f aca="false">IFERROR(IF([1]对账明细接口!$L$188=0,"",[1]对账明细接口!$L$188),"")</f>
        <v/>
      </c>
      <c r="M188" s="59" t="str">
        <f aca="false">IFERROR(IF([1]对账明细接口!$M$188=0,"",[1]对账明细接口!$M$188),"")</f>
        <v/>
      </c>
      <c r="N188" s="111" t="n">
        <f aca="false">IF($C188="",0,1)</f>
        <v>0</v>
      </c>
      <c r="O188" s="111" t="n">
        <f aca="false">N(O187)+$N188</f>
        <v>110</v>
      </c>
      <c r="S188" s="10" t="str">
        <f aca="false">IFERROR(IF([1]对账明细接口!$N188=0,"",[1]对账明细接口!$N188),"")</f>
        <v/>
      </c>
      <c r="T188" s="112" t="str">
        <f aca="false">IFERROR(IF([1]对账明细接口!$O188=0,"",[1]对账明细接口!$O188),"")</f>
        <v/>
      </c>
      <c r="U188" s="112" t="str">
        <f aca="false">IFERROR(IF([1]对账明细接口!$P188=0,"",[1]对账明细接口!$P188),"")</f>
        <v/>
      </c>
      <c r="V188" s="112" t="str">
        <f aca="false">IFERROR(IF([1]对账明细接口!$Q188=0,"",[1]对账明细接口!$Q188),"")</f>
        <v/>
      </c>
      <c r="W188" s="10" t="str">
        <f aca="false">IFERROR(IF([1]对账明细接口!$R188=0,"",[1]对账明细接口!$R188),"")</f>
        <v/>
      </c>
      <c r="X188" s="10" t="str">
        <f aca="false">IFERROR(IF([1]对账明细接口!$S188=0,"",[1]对账明细接口!$S188),"")</f>
        <v/>
      </c>
      <c r="Y188" s="10" t="str">
        <f aca="false">""</f>
        <v/>
      </c>
      <c r="Z188" s="10" t="str">
        <f aca="false">""</f>
        <v/>
      </c>
      <c r="AA188" s="10" t="str">
        <f aca="false">""</f>
        <v/>
      </c>
      <c r="AB188" s="10" t="str">
        <f aca="false">""</f>
        <v/>
      </c>
    </row>
    <row r="189" customFormat="false" ht="13.5" hidden="false" customHeight="false" outlineLevel="0" collapsed="false">
      <c r="A189" s="109" t="n">
        <v>189</v>
      </c>
      <c r="B189" s="110" t="str">
        <f aca="false">IFERROR(IF([1]对账明细接口!$B$189=0,"",[1]对账明细接口!$B$189),"")</f>
        <v/>
      </c>
      <c r="C189" s="59" t="str">
        <f aca="false">IFERROR(IF([1]对账明细接口!$C$189=0,"",[1]对账明细接口!$C$189),"")</f>
        <v/>
      </c>
      <c r="D189" s="59" t="str">
        <f aca="false">IFERROR(IF([1]对账明细接口!$D$189=0,"",[1]对账明细接口!$D$189),"")</f>
        <v/>
      </c>
      <c r="E189" s="59" t="str">
        <f aca="false">IFERROR(IF([1]对账明细接口!$E$189=0,"",[1]对账明细接口!$E$189),"")</f>
        <v/>
      </c>
      <c r="F189" s="59" t="str">
        <f aca="false">IFERROR(IF([1]对账明细接口!$F$189=0,"",[1]对账明细接口!$F$189),"")</f>
        <v/>
      </c>
      <c r="G189" s="59" t="str">
        <f aca="false">IFERROR(IF([1]对账明细接口!$G$189=0,"",[1]对账明细接口!$G$189),"")</f>
        <v/>
      </c>
      <c r="H189" s="60" t="str">
        <f aca="false">IFERROR(IF([1]对账明细接口!$H$189=0,"",[1]对账明细接口!$H$189),"")</f>
        <v/>
      </c>
      <c r="I189" s="59" t="str">
        <f aca="false">IFERROR(IF([1]对账明细接口!$I$189=0,"",[1]对账明细接口!$I$189),"")</f>
        <v/>
      </c>
      <c r="J189" s="61" t="str">
        <f aca="false">IFERROR(IF([1]对账明细接口!$J$189=0,"",[1]对账明细接口!$J$189),"")</f>
        <v/>
      </c>
      <c r="K189" s="61" t="str">
        <f aca="false">IFERROR(IF([1]对账明细接口!$K$189=0,"",[1]对账明细接口!$K$189),"")</f>
        <v/>
      </c>
      <c r="L189" s="59" t="str">
        <f aca="false">IFERROR(IF([1]对账明细接口!$L$189=0,"",[1]对账明细接口!$L$189),"")</f>
        <v/>
      </c>
      <c r="M189" s="59" t="str">
        <f aca="false">IFERROR(IF([1]对账明细接口!$M$189=0,"",[1]对账明细接口!$M$189),"")</f>
        <v/>
      </c>
      <c r="N189" s="111" t="n">
        <f aca="false">IF($C189="",0,1)</f>
        <v>0</v>
      </c>
      <c r="O189" s="111" t="n">
        <f aca="false">N(O188)+$N189</f>
        <v>110</v>
      </c>
      <c r="S189" s="10" t="str">
        <f aca="false">IFERROR(IF([1]对账明细接口!$N189=0,"",[1]对账明细接口!$N189),"")</f>
        <v/>
      </c>
      <c r="T189" s="112" t="str">
        <f aca="false">IFERROR(IF([1]对账明细接口!$O189=0,"",[1]对账明细接口!$O189),"")</f>
        <v/>
      </c>
      <c r="U189" s="112" t="str">
        <f aca="false">IFERROR(IF([1]对账明细接口!$P189=0,"",[1]对账明细接口!$P189),"")</f>
        <v/>
      </c>
      <c r="V189" s="112" t="str">
        <f aca="false">IFERROR(IF([1]对账明细接口!$Q189=0,"",[1]对账明细接口!$Q189),"")</f>
        <v/>
      </c>
      <c r="W189" s="10" t="str">
        <f aca="false">IFERROR(IF([1]对账明细接口!$R189=0,"",[1]对账明细接口!$R189),"")</f>
        <v/>
      </c>
      <c r="X189" s="10" t="str">
        <f aca="false">IFERROR(IF([1]对账明细接口!$S189=0,"",[1]对账明细接口!$S189),"")</f>
        <v/>
      </c>
      <c r="Y189" s="10" t="str">
        <f aca="false">""</f>
        <v/>
      </c>
      <c r="Z189" s="10" t="str">
        <f aca="false">""</f>
        <v/>
      </c>
      <c r="AA189" s="10" t="str">
        <f aca="false">""</f>
        <v/>
      </c>
      <c r="AB189" s="10" t="str">
        <f aca="false">""</f>
        <v/>
      </c>
    </row>
    <row r="190" customFormat="false" ht="13.5" hidden="false" customHeight="false" outlineLevel="0" collapsed="false">
      <c r="A190" s="109" t="n">
        <v>190</v>
      </c>
      <c r="B190" s="110" t="str">
        <f aca="false">IFERROR(IF([1]对账明细接口!$B$190=0,"",[1]对账明细接口!$B$190),"")</f>
        <v/>
      </c>
      <c r="C190" s="59" t="str">
        <f aca="false">IFERROR(IF([1]对账明细接口!$C$190=0,"",[1]对账明细接口!$C$190),"")</f>
        <v/>
      </c>
      <c r="D190" s="59" t="str">
        <f aca="false">IFERROR(IF([1]对账明细接口!$D$190=0,"",[1]对账明细接口!$D$190),"")</f>
        <v/>
      </c>
      <c r="E190" s="59" t="str">
        <f aca="false">IFERROR(IF([1]对账明细接口!$E$190=0,"",[1]对账明细接口!$E$190),"")</f>
        <v/>
      </c>
      <c r="F190" s="59" t="str">
        <f aca="false">IFERROR(IF([1]对账明细接口!$F$190=0,"",[1]对账明细接口!$F$190),"")</f>
        <v/>
      </c>
      <c r="G190" s="59" t="str">
        <f aca="false">IFERROR(IF([1]对账明细接口!$G$190=0,"",[1]对账明细接口!$G$190),"")</f>
        <v/>
      </c>
      <c r="H190" s="60" t="str">
        <f aca="false">IFERROR(IF([1]对账明细接口!$H$190=0,"",[1]对账明细接口!$H$190),"")</f>
        <v/>
      </c>
      <c r="I190" s="59" t="str">
        <f aca="false">IFERROR(IF([1]对账明细接口!$I$190=0,"",[1]对账明细接口!$I$190),"")</f>
        <v/>
      </c>
      <c r="J190" s="61" t="str">
        <f aca="false">IFERROR(IF([1]对账明细接口!$J$190=0,"",[1]对账明细接口!$J$190),"")</f>
        <v/>
      </c>
      <c r="K190" s="61" t="str">
        <f aca="false">IFERROR(IF([1]对账明细接口!$K$190=0,"",[1]对账明细接口!$K$190),"")</f>
        <v/>
      </c>
      <c r="L190" s="59" t="str">
        <f aca="false">IFERROR(IF([1]对账明细接口!$L$190=0,"",[1]对账明细接口!$L$190),"")</f>
        <v/>
      </c>
      <c r="M190" s="59" t="str">
        <f aca="false">IFERROR(IF([1]对账明细接口!$M$190=0,"",[1]对账明细接口!$M$190),"")</f>
        <v/>
      </c>
      <c r="N190" s="111" t="n">
        <f aca="false">IF($C190="",0,1)</f>
        <v>0</v>
      </c>
      <c r="O190" s="111" t="n">
        <f aca="false">N(O189)+$N190</f>
        <v>110</v>
      </c>
      <c r="S190" s="10" t="str">
        <f aca="false">IFERROR(IF([1]对账明细接口!$N190=0,"",[1]对账明细接口!$N190),"")</f>
        <v/>
      </c>
      <c r="T190" s="112" t="str">
        <f aca="false">IFERROR(IF([1]对账明细接口!$O190=0,"",[1]对账明细接口!$O190),"")</f>
        <v/>
      </c>
      <c r="U190" s="112" t="str">
        <f aca="false">IFERROR(IF([1]对账明细接口!$P190=0,"",[1]对账明细接口!$P190),"")</f>
        <v/>
      </c>
      <c r="V190" s="112" t="str">
        <f aca="false">IFERROR(IF([1]对账明细接口!$Q190=0,"",[1]对账明细接口!$Q190),"")</f>
        <v/>
      </c>
      <c r="W190" s="10" t="str">
        <f aca="false">IFERROR(IF([1]对账明细接口!$R190=0,"",[1]对账明细接口!$R190),"")</f>
        <v/>
      </c>
      <c r="X190" s="10" t="str">
        <f aca="false">IFERROR(IF([1]对账明细接口!$S190=0,"",[1]对账明细接口!$S190),"")</f>
        <v/>
      </c>
      <c r="Y190" s="10" t="str">
        <f aca="false">""</f>
        <v/>
      </c>
      <c r="Z190" s="10" t="str">
        <f aca="false">""</f>
        <v/>
      </c>
      <c r="AA190" s="10" t="str">
        <f aca="false">""</f>
        <v/>
      </c>
      <c r="AB190" s="10" t="str">
        <f aca="false">""</f>
        <v/>
      </c>
    </row>
    <row r="191" customFormat="false" ht="13.5" hidden="false" customHeight="false" outlineLevel="0" collapsed="false">
      <c r="A191" s="109" t="n">
        <v>191</v>
      </c>
      <c r="B191" s="110" t="str">
        <f aca="false">IFERROR(IF([1]对账明细接口!$B$191=0,"",[1]对账明细接口!$B$191),"")</f>
        <v/>
      </c>
      <c r="C191" s="59" t="str">
        <f aca="false">IFERROR(IF([1]对账明细接口!$C$191=0,"",[1]对账明细接口!$C$191),"")</f>
        <v/>
      </c>
      <c r="D191" s="59" t="str">
        <f aca="false">IFERROR(IF([1]对账明细接口!$D$191=0,"",[1]对账明细接口!$D$191),"")</f>
        <v/>
      </c>
      <c r="E191" s="59" t="str">
        <f aca="false">IFERROR(IF([1]对账明细接口!$E$191=0,"",[1]对账明细接口!$E$191),"")</f>
        <v/>
      </c>
      <c r="F191" s="59" t="str">
        <f aca="false">IFERROR(IF([1]对账明细接口!$F$191=0,"",[1]对账明细接口!$F$191),"")</f>
        <v/>
      </c>
      <c r="G191" s="59" t="str">
        <f aca="false">IFERROR(IF([1]对账明细接口!$G$191=0,"",[1]对账明细接口!$G$191),"")</f>
        <v/>
      </c>
      <c r="H191" s="60" t="str">
        <f aca="false">IFERROR(IF([1]对账明细接口!$H$191=0,"",[1]对账明细接口!$H$191),"")</f>
        <v/>
      </c>
      <c r="I191" s="59" t="str">
        <f aca="false">IFERROR(IF([1]对账明细接口!$I$191=0,"",[1]对账明细接口!$I$191),"")</f>
        <v/>
      </c>
      <c r="J191" s="61" t="str">
        <f aca="false">IFERROR(IF([1]对账明细接口!$J$191=0,"",[1]对账明细接口!$J$191),"")</f>
        <v/>
      </c>
      <c r="K191" s="61" t="str">
        <f aca="false">IFERROR(IF([1]对账明细接口!$K$191=0,"",[1]对账明细接口!$K$191),"")</f>
        <v/>
      </c>
      <c r="L191" s="59" t="str">
        <f aca="false">IFERROR(IF([1]对账明细接口!$L$191=0,"",[1]对账明细接口!$L$191),"")</f>
        <v/>
      </c>
      <c r="M191" s="59" t="str">
        <f aca="false">IFERROR(IF([1]对账明细接口!$M$191=0,"",[1]对账明细接口!$M$191),"")</f>
        <v/>
      </c>
      <c r="N191" s="111" t="n">
        <f aca="false">IF($C191="",0,1)</f>
        <v>0</v>
      </c>
      <c r="O191" s="111" t="n">
        <f aca="false">N(O190)+$N191</f>
        <v>110</v>
      </c>
      <c r="S191" s="10" t="str">
        <f aca="false">IFERROR(IF([1]对账明细接口!$N191=0,"",[1]对账明细接口!$N191),"")</f>
        <v/>
      </c>
      <c r="T191" s="112" t="str">
        <f aca="false">IFERROR(IF([1]对账明细接口!$O191=0,"",[1]对账明细接口!$O191),"")</f>
        <v/>
      </c>
      <c r="U191" s="112" t="str">
        <f aca="false">IFERROR(IF([1]对账明细接口!$P191=0,"",[1]对账明细接口!$P191),"")</f>
        <v/>
      </c>
      <c r="V191" s="112" t="str">
        <f aca="false">IFERROR(IF([1]对账明细接口!$Q191=0,"",[1]对账明细接口!$Q191),"")</f>
        <v/>
      </c>
      <c r="W191" s="10" t="str">
        <f aca="false">IFERROR(IF([1]对账明细接口!$R191=0,"",[1]对账明细接口!$R191),"")</f>
        <v/>
      </c>
      <c r="X191" s="10" t="str">
        <f aca="false">IFERROR(IF([1]对账明细接口!$S191=0,"",[1]对账明细接口!$S191),"")</f>
        <v/>
      </c>
      <c r="Y191" s="10" t="str">
        <f aca="false">""</f>
        <v/>
      </c>
      <c r="Z191" s="10" t="str">
        <f aca="false">""</f>
        <v/>
      </c>
      <c r="AA191" s="10" t="str">
        <f aca="false">""</f>
        <v/>
      </c>
      <c r="AB191" s="10" t="str">
        <f aca="false">""</f>
        <v/>
      </c>
    </row>
    <row r="192" customFormat="false" ht="13.5" hidden="false" customHeight="false" outlineLevel="0" collapsed="false">
      <c r="A192" s="109" t="n">
        <v>192</v>
      </c>
      <c r="B192" s="110" t="str">
        <f aca="false">IFERROR(IF([1]对账明细接口!$B$192=0,"",[1]对账明细接口!$B$192),"")</f>
        <v/>
      </c>
      <c r="C192" s="59" t="str">
        <f aca="false">IFERROR(IF([1]对账明细接口!$C$192=0,"",[1]对账明细接口!$C$192),"")</f>
        <v/>
      </c>
      <c r="D192" s="59" t="str">
        <f aca="false">IFERROR(IF([1]对账明细接口!$D$192=0,"",[1]对账明细接口!$D$192),"")</f>
        <v/>
      </c>
      <c r="E192" s="59" t="str">
        <f aca="false">IFERROR(IF([1]对账明细接口!$E$192=0,"",[1]对账明细接口!$E$192),"")</f>
        <v/>
      </c>
      <c r="F192" s="59" t="str">
        <f aca="false">IFERROR(IF([1]对账明细接口!$F$192=0,"",[1]对账明细接口!$F$192),"")</f>
        <v/>
      </c>
      <c r="G192" s="59" t="str">
        <f aca="false">IFERROR(IF([1]对账明细接口!$G$192=0,"",[1]对账明细接口!$G$192),"")</f>
        <v/>
      </c>
      <c r="H192" s="60" t="str">
        <f aca="false">IFERROR(IF([1]对账明细接口!$H$192=0,"",[1]对账明细接口!$H$192),"")</f>
        <v/>
      </c>
      <c r="I192" s="59" t="str">
        <f aca="false">IFERROR(IF([1]对账明细接口!$I$192=0,"",[1]对账明细接口!$I$192),"")</f>
        <v/>
      </c>
      <c r="J192" s="61" t="str">
        <f aca="false">IFERROR(IF([1]对账明细接口!$J$192=0,"",[1]对账明细接口!$J$192),"")</f>
        <v/>
      </c>
      <c r="K192" s="61" t="str">
        <f aca="false">IFERROR(IF([1]对账明细接口!$K$192=0,"",[1]对账明细接口!$K$192),"")</f>
        <v/>
      </c>
      <c r="L192" s="59" t="str">
        <f aca="false">IFERROR(IF([1]对账明细接口!$L$192=0,"",[1]对账明细接口!$L$192),"")</f>
        <v/>
      </c>
      <c r="M192" s="59" t="str">
        <f aca="false">IFERROR(IF([1]对账明细接口!$M$192=0,"",[1]对账明细接口!$M$192),"")</f>
        <v/>
      </c>
      <c r="N192" s="111" t="n">
        <f aca="false">IF($C192="",0,1)</f>
        <v>0</v>
      </c>
      <c r="O192" s="111" t="n">
        <f aca="false">N(O191)+$N192</f>
        <v>110</v>
      </c>
      <c r="S192" s="10" t="str">
        <f aca="false">IFERROR(IF([1]对账明细接口!$N192=0,"",[1]对账明细接口!$N192),"")</f>
        <v/>
      </c>
      <c r="T192" s="112" t="str">
        <f aca="false">IFERROR(IF([1]对账明细接口!$O192=0,"",[1]对账明细接口!$O192),"")</f>
        <v/>
      </c>
      <c r="U192" s="112" t="str">
        <f aca="false">IFERROR(IF([1]对账明细接口!$P192=0,"",[1]对账明细接口!$P192),"")</f>
        <v/>
      </c>
      <c r="V192" s="112" t="str">
        <f aca="false">IFERROR(IF([1]对账明细接口!$Q192=0,"",[1]对账明细接口!$Q192),"")</f>
        <v/>
      </c>
      <c r="W192" s="10" t="str">
        <f aca="false">IFERROR(IF([1]对账明细接口!$R192=0,"",[1]对账明细接口!$R192),"")</f>
        <v/>
      </c>
      <c r="X192" s="10" t="str">
        <f aca="false">IFERROR(IF([1]对账明细接口!$S192=0,"",[1]对账明细接口!$S192),"")</f>
        <v/>
      </c>
      <c r="Y192" s="10" t="str">
        <f aca="false">""</f>
        <v/>
      </c>
      <c r="Z192" s="10" t="str">
        <f aca="false">""</f>
        <v/>
      </c>
      <c r="AA192" s="10" t="str">
        <f aca="false">""</f>
        <v/>
      </c>
      <c r="AB192" s="10" t="str">
        <f aca="false">""</f>
        <v/>
      </c>
    </row>
    <row r="193" customFormat="false" ht="13.5" hidden="false" customHeight="false" outlineLevel="0" collapsed="false">
      <c r="A193" s="109" t="n">
        <v>193</v>
      </c>
      <c r="B193" s="110" t="str">
        <f aca="false">IFERROR(IF([1]对账明细接口!$B$193=0,"",[1]对账明细接口!$B$193),"")</f>
        <v/>
      </c>
      <c r="C193" s="59" t="str">
        <f aca="false">IFERROR(IF([1]对账明细接口!$C$193=0,"",[1]对账明细接口!$C$193),"")</f>
        <v/>
      </c>
      <c r="D193" s="59" t="str">
        <f aca="false">IFERROR(IF([1]对账明细接口!$D$193=0,"",[1]对账明细接口!$D$193),"")</f>
        <v/>
      </c>
      <c r="E193" s="59" t="str">
        <f aca="false">IFERROR(IF([1]对账明细接口!$E$193=0,"",[1]对账明细接口!$E$193),"")</f>
        <v/>
      </c>
      <c r="F193" s="59" t="str">
        <f aca="false">IFERROR(IF([1]对账明细接口!$F$193=0,"",[1]对账明细接口!$F$193),"")</f>
        <v/>
      </c>
      <c r="G193" s="59" t="str">
        <f aca="false">IFERROR(IF([1]对账明细接口!$G$193=0,"",[1]对账明细接口!$G$193),"")</f>
        <v/>
      </c>
      <c r="H193" s="60" t="str">
        <f aca="false">IFERROR(IF([1]对账明细接口!$H$193=0,"",[1]对账明细接口!$H$193),"")</f>
        <v/>
      </c>
      <c r="I193" s="59" t="str">
        <f aca="false">IFERROR(IF([1]对账明细接口!$I$193=0,"",[1]对账明细接口!$I$193),"")</f>
        <v/>
      </c>
      <c r="J193" s="61" t="str">
        <f aca="false">IFERROR(IF([1]对账明细接口!$J$193=0,"",[1]对账明细接口!$J$193),"")</f>
        <v/>
      </c>
      <c r="K193" s="61" t="str">
        <f aca="false">IFERROR(IF([1]对账明细接口!$K$193=0,"",[1]对账明细接口!$K$193),"")</f>
        <v/>
      </c>
      <c r="L193" s="59" t="str">
        <f aca="false">IFERROR(IF([1]对账明细接口!$L$193=0,"",[1]对账明细接口!$L$193),"")</f>
        <v/>
      </c>
      <c r="M193" s="59" t="str">
        <f aca="false">IFERROR(IF([1]对账明细接口!$M$193=0,"",[1]对账明细接口!$M$193),"")</f>
        <v/>
      </c>
      <c r="N193" s="111" t="n">
        <f aca="false">IF($C193="",0,1)</f>
        <v>0</v>
      </c>
      <c r="O193" s="111" t="n">
        <f aca="false">N(O192)+$N193</f>
        <v>110</v>
      </c>
      <c r="S193" s="10" t="str">
        <f aca="false">IFERROR(IF([1]对账明细接口!$N193=0,"",[1]对账明细接口!$N193),"")</f>
        <v/>
      </c>
      <c r="T193" s="112" t="str">
        <f aca="false">IFERROR(IF([1]对账明细接口!$O193=0,"",[1]对账明细接口!$O193),"")</f>
        <v/>
      </c>
      <c r="U193" s="112" t="str">
        <f aca="false">IFERROR(IF([1]对账明细接口!$P193=0,"",[1]对账明细接口!$P193),"")</f>
        <v/>
      </c>
      <c r="V193" s="112" t="str">
        <f aca="false">IFERROR(IF([1]对账明细接口!$Q193=0,"",[1]对账明细接口!$Q193),"")</f>
        <v/>
      </c>
      <c r="W193" s="10" t="str">
        <f aca="false">IFERROR(IF([1]对账明细接口!$R193=0,"",[1]对账明细接口!$R193),"")</f>
        <v/>
      </c>
      <c r="X193" s="10" t="str">
        <f aca="false">IFERROR(IF([1]对账明细接口!$S193=0,"",[1]对账明细接口!$S193),"")</f>
        <v/>
      </c>
      <c r="Y193" s="10" t="str">
        <f aca="false">""</f>
        <v/>
      </c>
      <c r="Z193" s="10" t="str">
        <f aca="false">""</f>
        <v/>
      </c>
      <c r="AA193" s="10" t="str">
        <f aca="false">""</f>
        <v/>
      </c>
      <c r="AB193" s="10" t="str">
        <f aca="false">""</f>
        <v/>
      </c>
    </row>
    <row r="194" customFormat="false" ht="13.5" hidden="false" customHeight="false" outlineLevel="0" collapsed="false">
      <c r="A194" s="109" t="n">
        <v>194</v>
      </c>
      <c r="B194" s="110" t="str">
        <f aca="false">IFERROR(IF([1]对账明细接口!$B$194=0,"",[1]对账明细接口!$B$194),"")</f>
        <v/>
      </c>
      <c r="C194" s="59" t="str">
        <f aca="false">IFERROR(IF([1]对账明细接口!$C$194=0,"",[1]对账明细接口!$C$194),"")</f>
        <v/>
      </c>
      <c r="D194" s="59" t="str">
        <f aca="false">IFERROR(IF([1]对账明细接口!$D$194=0,"",[1]对账明细接口!$D$194),"")</f>
        <v/>
      </c>
      <c r="E194" s="59" t="str">
        <f aca="false">IFERROR(IF([1]对账明细接口!$E$194=0,"",[1]对账明细接口!$E$194),"")</f>
        <v/>
      </c>
      <c r="F194" s="59" t="str">
        <f aca="false">IFERROR(IF([1]对账明细接口!$F$194=0,"",[1]对账明细接口!$F$194),"")</f>
        <v/>
      </c>
      <c r="G194" s="59" t="str">
        <f aca="false">IFERROR(IF([1]对账明细接口!$G$194=0,"",[1]对账明细接口!$G$194),"")</f>
        <v/>
      </c>
      <c r="H194" s="60" t="str">
        <f aca="false">IFERROR(IF([1]对账明细接口!$H$194=0,"",[1]对账明细接口!$H$194),"")</f>
        <v/>
      </c>
      <c r="I194" s="59" t="str">
        <f aca="false">IFERROR(IF([1]对账明细接口!$I$194=0,"",[1]对账明细接口!$I$194),"")</f>
        <v/>
      </c>
      <c r="J194" s="61" t="str">
        <f aca="false">IFERROR(IF([1]对账明细接口!$J$194=0,"",[1]对账明细接口!$J$194),"")</f>
        <v/>
      </c>
      <c r="K194" s="61" t="str">
        <f aca="false">IFERROR(IF([1]对账明细接口!$K$194=0,"",[1]对账明细接口!$K$194),"")</f>
        <v/>
      </c>
      <c r="L194" s="59" t="str">
        <f aca="false">IFERROR(IF([1]对账明细接口!$L$194=0,"",[1]对账明细接口!$L$194),"")</f>
        <v/>
      </c>
      <c r="M194" s="59" t="str">
        <f aca="false">IFERROR(IF([1]对账明细接口!$M$194=0,"",[1]对账明细接口!$M$194),"")</f>
        <v/>
      </c>
      <c r="N194" s="111" t="n">
        <f aca="false">IF($C194="",0,1)</f>
        <v>0</v>
      </c>
      <c r="O194" s="111" t="n">
        <f aca="false">N(O193)+$N194</f>
        <v>110</v>
      </c>
      <c r="S194" s="10" t="str">
        <f aca="false">IFERROR(IF([1]对账明细接口!$N194=0,"",[1]对账明细接口!$N194),"")</f>
        <v/>
      </c>
      <c r="T194" s="112" t="str">
        <f aca="false">IFERROR(IF([1]对账明细接口!$O194=0,"",[1]对账明细接口!$O194),"")</f>
        <v/>
      </c>
      <c r="U194" s="112" t="str">
        <f aca="false">IFERROR(IF([1]对账明细接口!$P194=0,"",[1]对账明细接口!$P194),"")</f>
        <v/>
      </c>
      <c r="V194" s="112" t="str">
        <f aca="false">IFERROR(IF([1]对账明细接口!$Q194=0,"",[1]对账明细接口!$Q194),"")</f>
        <v/>
      </c>
      <c r="W194" s="10" t="str">
        <f aca="false">IFERROR(IF([1]对账明细接口!$R194=0,"",[1]对账明细接口!$R194),"")</f>
        <v/>
      </c>
      <c r="X194" s="10" t="str">
        <f aca="false">IFERROR(IF([1]对账明细接口!$S194=0,"",[1]对账明细接口!$S194),"")</f>
        <v/>
      </c>
      <c r="Y194" s="10" t="str">
        <f aca="false">""</f>
        <v/>
      </c>
      <c r="Z194" s="10" t="str">
        <f aca="false">""</f>
        <v/>
      </c>
      <c r="AA194" s="10" t="str">
        <f aca="false">""</f>
        <v/>
      </c>
      <c r="AB194" s="10" t="str">
        <f aca="false">""</f>
        <v/>
      </c>
    </row>
    <row r="195" customFormat="false" ht="13.5" hidden="false" customHeight="false" outlineLevel="0" collapsed="false">
      <c r="A195" s="109" t="n">
        <v>195</v>
      </c>
      <c r="B195" s="110" t="str">
        <f aca="false">IFERROR(IF([1]对账明细接口!$B$195=0,"",[1]对账明细接口!$B$195),"")</f>
        <v/>
      </c>
      <c r="C195" s="59" t="str">
        <f aca="false">IFERROR(IF([1]对账明细接口!$C$195=0,"",[1]对账明细接口!$C$195),"")</f>
        <v/>
      </c>
      <c r="D195" s="59" t="str">
        <f aca="false">IFERROR(IF([1]对账明细接口!$D$195=0,"",[1]对账明细接口!$D$195),"")</f>
        <v/>
      </c>
      <c r="E195" s="59" t="str">
        <f aca="false">IFERROR(IF([1]对账明细接口!$E$195=0,"",[1]对账明细接口!$E$195),"")</f>
        <v/>
      </c>
      <c r="F195" s="59" t="str">
        <f aca="false">IFERROR(IF([1]对账明细接口!$F$195=0,"",[1]对账明细接口!$F$195),"")</f>
        <v/>
      </c>
      <c r="G195" s="59" t="str">
        <f aca="false">IFERROR(IF([1]对账明细接口!$G$195=0,"",[1]对账明细接口!$G$195),"")</f>
        <v/>
      </c>
      <c r="H195" s="60" t="str">
        <f aca="false">IFERROR(IF([1]对账明细接口!$H$195=0,"",[1]对账明细接口!$H$195),"")</f>
        <v/>
      </c>
      <c r="I195" s="59" t="str">
        <f aca="false">IFERROR(IF([1]对账明细接口!$I$195=0,"",[1]对账明细接口!$I$195),"")</f>
        <v/>
      </c>
      <c r="J195" s="61" t="str">
        <f aca="false">IFERROR(IF([1]对账明细接口!$J$195=0,"",[1]对账明细接口!$J$195),"")</f>
        <v/>
      </c>
      <c r="K195" s="61" t="str">
        <f aca="false">IFERROR(IF([1]对账明细接口!$K$195=0,"",[1]对账明细接口!$K$195),"")</f>
        <v/>
      </c>
      <c r="L195" s="59" t="str">
        <f aca="false">IFERROR(IF([1]对账明细接口!$L$195=0,"",[1]对账明细接口!$L$195),"")</f>
        <v/>
      </c>
      <c r="M195" s="59" t="str">
        <f aca="false">IFERROR(IF([1]对账明细接口!$M$195=0,"",[1]对账明细接口!$M$195),"")</f>
        <v/>
      </c>
      <c r="N195" s="111" t="n">
        <f aca="false">IF($C195="",0,1)</f>
        <v>0</v>
      </c>
      <c r="O195" s="111" t="n">
        <f aca="false">N(O194)+$N195</f>
        <v>110</v>
      </c>
      <c r="S195" s="10" t="str">
        <f aca="false">IFERROR(IF([1]对账明细接口!$N195=0,"",[1]对账明细接口!$N195),"")</f>
        <v/>
      </c>
      <c r="T195" s="112" t="str">
        <f aca="false">IFERROR(IF([1]对账明细接口!$O195=0,"",[1]对账明细接口!$O195),"")</f>
        <v/>
      </c>
      <c r="U195" s="112" t="str">
        <f aca="false">IFERROR(IF([1]对账明细接口!$P195=0,"",[1]对账明细接口!$P195),"")</f>
        <v/>
      </c>
      <c r="V195" s="112" t="str">
        <f aca="false">IFERROR(IF([1]对账明细接口!$Q195=0,"",[1]对账明细接口!$Q195),"")</f>
        <v/>
      </c>
      <c r="W195" s="10" t="str">
        <f aca="false">IFERROR(IF([1]对账明细接口!$R195=0,"",[1]对账明细接口!$R195),"")</f>
        <v/>
      </c>
      <c r="X195" s="10" t="str">
        <f aca="false">IFERROR(IF([1]对账明细接口!$S195=0,"",[1]对账明细接口!$S195),"")</f>
        <v/>
      </c>
      <c r="Y195" s="10" t="str">
        <f aca="false">""</f>
        <v/>
      </c>
      <c r="Z195" s="10" t="str">
        <f aca="false">""</f>
        <v/>
      </c>
      <c r="AA195" s="10" t="str">
        <f aca="false">""</f>
        <v/>
      </c>
      <c r="AB195" s="10" t="str">
        <f aca="false">""</f>
        <v/>
      </c>
    </row>
    <row r="196" customFormat="false" ht="13.5" hidden="false" customHeight="false" outlineLevel="0" collapsed="false">
      <c r="A196" s="109" t="n">
        <v>196</v>
      </c>
      <c r="B196" s="110" t="str">
        <f aca="false">IFERROR(IF([1]对账明细接口!$B$196=0,"",[1]对账明细接口!$B$196),"")</f>
        <v/>
      </c>
      <c r="C196" s="59" t="str">
        <f aca="false">IFERROR(IF([1]对账明细接口!$C$196=0,"",[1]对账明细接口!$C$196),"")</f>
        <v/>
      </c>
      <c r="D196" s="59" t="str">
        <f aca="false">IFERROR(IF([1]对账明细接口!$D$196=0,"",[1]对账明细接口!$D$196),"")</f>
        <v/>
      </c>
      <c r="E196" s="59" t="str">
        <f aca="false">IFERROR(IF([1]对账明细接口!$E$196=0,"",[1]对账明细接口!$E$196),"")</f>
        <v/>
      </c>
      <c r="F196" s="59" t="str">
        <f aca="false">IFERROR(IF([1]对账明细接口!$F$196=0,"",[1]对账明细接口!$F$196),"")</f>
        <v/>
      </c>
      <c r="G196" s="59" t="str">
        <f aca="false">IFERROR(IF([1]对账明细接口!$G$196=0,"",[1]对账明细接口!$G$196),"")</f>
        <v/>
      </c>
      <c r="H196" s="60" t="str">
        <f aca="false">IFERROR(IF([1]对账明细接口!$H$196=0,"",[1]对账明细接口!$H$196),"")</f>
        <v/>
      </c>
      <c r="I196" s="59" t="str">
        <f aca="false">IFERROR(IF([1]对账明细接口!$I$196=0,"",[1]对账明细接口!$I$196),"")</f>
        <v/>
      </c>
      <c r="J196" s="61" t="str">
        <f aca="false">IFERROR(IF([1]对账明细接口!$J$196=0,"",[1]对账明细接口!$J$196),"")</f>
        <v/>
      </c>
      <c r="K196" s="61" t="str">
        <f aca="false">IFERROR(IF([1]对账明细接口!$K$196=0,"",[1]对账明细接口!$K$196),"")</f>
        <v/>
      </c>
      <c r="L196" s="59" t="str">
        <f aca="false">IFERROR(IF([1]对账明细接口!$L$196=0,"",[1]对账明细接口!$L$196),"")</f>
        <v/>
      </c>
      <c r="M196" s="59" t="str">
        <f aca="false">IFERROR(IF([1]对账明细接口!$M$196=0,"",[1]对账明细接口!$M$196),"")</f>
        <v/>
      </c>
      <c r="N196" s="111" t="n">
        <f aca="false">IF($C196="",0,1)</f>
        <v>0</v>
      </c>
      <c r="O196" s="111" t="n">
        <f aca="false">N(O195)+$N196</f>
        <v>110</v>
      </c>
      <c r="S196" s="10" t="str">
        <f aca="false">IFERROR(IF([1]对账明细接口!$N196=0,"",[1]对账明细接口!$N196),"")</f>
        <v/>
      </c>
      <c r="T196" s="112" t="str">
        <f aca="false">IFERROR(IF([1]对账明细接口!$O196=0,"",[1]对账明细接口!$O196),"")</f>
        <v/>
      </c>
      <c r="U196" s="112" t="str">
        <f aca="false">IFERROR(IF([1]对账明细接口!$P196=0,"",[1]对账明细接口!$P196),"")</f>
        <v/>
      </c>
      <c r="V196" s="112" t="str">
        <f aca="false">IFERROR(IF([1]对账明细接口!$Q196=0,"",[1]对账明细接口!$Q196),"")</f>
        <v/>
      </c>
      <c r="W196" s="10" t="str">
        <f aca="false">IFERROR(IF([1]对账明细接口!$R196=0,"",[1]对账明细接口!$R196),"")</f>
        <v/>
      </c>
      <c r="X196" s="10" t="str">
        <f aca="false">IFERROR(IF([1]对账明细接口!$S196=0,"",[1]对账明细接口!$S196),"")</f>
        <v/>
      </c>
      <c r="Y196" s="10" t="str">
        <f aca="false">""</f>
        <v/>
      </c>
      <c r="Z196" s="10" t="str">
        <f aca="false">""</f>
        <v/>
      </c>
      <c r="AA196" s="10" t="str">
        <f aca="false">""</f>
        <v/>
      </c>
      <c r="AB196" s="10" t="str">
        <f aca="false">""</f>
        <v/>
      </c>
    </row>
    <row r="197" customFormat="false" ht="13.5" hidden="false" customHeight="false" outlineLevel="0" collapsed="false">
      <c r="A197" s="109" t="n">
        <v>197</v>
      </c>
      <c r="B197" s="110" t="str">
        <f aca="false">IFERROR(IF([1]对账明细接口!$B$197=0,"",[1]对账明细接口!$B$197),"")</f>
        <v/>
      </c>
      <c r="C197" s="59" t="str">
        <f aca="false">IFERROR(IF([1]对账明细接口!$C$197=0,"",[1]对账明细接口!$C$197),"")</f>
        <v/>
      </c>
      <c r="D197" s="59" t="str">
        <f aca="false">IFERROR(IF([1]对账明细接口!$D$197=0,"",[1]对账明细接口!$D$197),"")</f>
        <v/>
      </c>
      <c r="E197" s="59" t="str">
        <f aca="false">IFERROR(IF([1]对账明细接口!$E$197=0,"",[1]对账明细接口!$E$197),"")</f>
        <v/>
      </c>
      <c r="F197" s="59" t="str">
        <f aca="false">IFERROR(IF([1]对账明细接口!$F$197=0,"",[1]对账明细接口!$F$197),"")</f>
        <v/>
      </c>
      <c r="G197" s="59" t="str">
        <f aca="false">IFERROR(IF([1]对账明细接口!$G$197=0,"",[1]对账明细接口!$G$197),"")</f>
        <v/>
      </c>
      <c r="H197" s="60" t="str">
        <f aca="false">IFERROR(IF([1]对账明细接口!$H$197=0,"",[1]对账明细接口!$H$197),"")</f>
        <v/>
      </c>
      <c r="I197" s="59" t="str">
        <f aca="false">IFERROR(IF([1]对账明细接口!$I$197=0,"",[1]对账明细接口!$I$197),"")</f>
        <v/>
      </c>
      <c r="J197" s="61" t="str">
        <f aca="false">IFERROR(IF([1]对账明细接口!$J$197=0,"",[1]对账明细接口!$J$197),"")</f>
        <v/>
      </c>
      <c r="K197" s="61" t="str">
        <f aca="false">IFERROR(IF([1]对账明细接口!$K$197=0,"",[1]对账明细接口!$K$197),"")</f>
        <v/>
      </c>
      <c r="L197" s="59" t="str">
        <f aca="false">IFERROR(IF([1]对账明细接口!$L$197=0,"",[1]对账明细接口!$L$197),"")</f>
        <v/>
      </c>
      <c r="M197" s="59" t="str">
        <f aca="false">IFERROR(IF([1]对账明细接口!$M$197=0,"",[1]对账明细接口!$M$197),"")</f>
        <v/>
      </c>
      <c r="N197" s="111" t="n">
        <f aca="false">IF($C197="",0,1)</f>
        <v>0</v>
      </c>
      <c r="O197" s="111" t="n">
        <f aca="false">N(O196)+$N197</f>
        <v>110</v>
      </c>
      <c r="S197" s="10" t="str">
        <f aca="false">IFERROR(IF([1]对账明细接口!$N197=0,"",[1]对账明细接口!$N197),"")</f>
        <v/>
      </c>
      <c r="T197" s="112" t="str">
        <f aca="false">IFERROR(IF([1]对账明细接口!$O197=0,"",[1]对账明细接口!$O197),"")</f>
        <v/>
      </c>
      <c r="U197" s="112" t="str">
        <f aca="false">IFERROR(IF([1]对账明细接口!$P197=0,"",[1]对账明细接口!$P197),"")</f>
        <v/>
      </c>
      <c r="V197" s="112" t="str">
        <f aca="false">IFERROR(IF([1]对账明细接口!$Q197=0,"",[1]对账明细接口!$Q197),"")</f>
        <v/>
      </c>
      <c r="W197" s="10" t="str">
        <f aca="false">IFERROR(IF([1]对账明细接口!$R197=0,"",[1]对账明细接口!$R197),"")</f>
        <v/>
      </c>
      <c r="X197" s="10" t="str">
        <f aca="false">IFERROR(IF([1]对账明细接口!$S197=0,"",[1]对账明细接口!$S197),"")</f>
        <v/>
      </c>
      <c r="Y197" s="10" t="str">
        <f aca="false">""</f>
        <v/>
      </c>
      <c r="Z197" s="10" t="str">
        <f aca="false">""</f>
        <v/>
      </c>
      <c r="AA197" s="10" t="str">
        <f aca="false">""</f>
        <v/>
      </c>
      <c r="AB197" s="10" t="str">
        <f aca="false">""</f>
        <v/>
      </c>
    </row>
    <row r="198" customFormat="false" ht="13.5" hidden="false" customHeight="false" outlineLevel="0" collapsed="false">
      <c r="A198" s="109" t="n">
        <v>198</v>
      </c>
      <c r="B198" s="110" t="str">
        <f aca="false">IFERROR(IF([1]对账明细接口!$B$198=0,"",[1]对账明细接口!$B$198),"")</f>
        <v/>
      </c>
      <c r="C198" s="59" t="str">
        <f aca="false">IFERROR(IF([1]对账明细接口!$C$198=0,"",[1]对账明细接口!$C$198),"")</f>
        <v/>
      </c>
      <c r="D198" s="59" t="str">
        <f aca="false">IFERROR(IF([1]对账明细接口!$D$198=0,"",[1]对账明细接口!$D$198),"")</f>
        <v/>
      </c>
      <c r="E198" s="59" t="str">
        <f aca="false">IFERROR(IF([1]对账明细接口!$E$198=0,"",[1]对账明细接口!$E$198),"")</f>
        <v/>
      </c>
      <c r="F198" s="59" t="str">
        <f aca="false">IFERROR(IF([1]对账明细接口!$F$198=0,"",[1]对账明细接口!$F$198),"")</f>
        <v/>
      </c>
      <c r="G198" s="59" t="str">
        <f aca="false">IFERROR(IF([1]对账明细接口!$G$198=0,"",[1]对账明细接口!$G$198),"")</f>
        <v/>
      </c>
      <c r="H198" s="60" t="str">
        <f aca="false">IFERROR(IF([1]对账明细接口!$H$198=0,"",[1]对账明细接口!$H$198),"")</f>
        <v/>
      </c>
      <c r="I198" s="59" t="str">
        <f aca="false">IFERROR(IF([1]对账明细接口!$I$198=0,"",[1]对账明细接口!$I$198),"")</f>
        <v/>
      </c>
      <c r="J198" s="61" t="str">
        <f aca="false">IFERROR(IF([1]对账明细接口!$J$198=0,"",[1]对账明细接口!$J$198),"")</f>
        <v/>
      </c>
      <c r="K198" s="61" t="str">
        <f aca="false">IFERROR(IF([1]对账明细接口!$K$198=0,"",[1]对账明细接口!$K$198),"")</f>
        <v/>
      </c>
      <c r="L198" s="59" t="str">
        <f aca="false">IFERROR(IF([1]对账明细接口!$L$198=0,"",[1]对账明细接口!$L$198),"")</f>
        <v/>
      </c>
      <c r="M198" s="59" t="str">
        <f aca="false">IFERROR(IF([1]对账明细接口!$M$198=0,"",[1]对账明细接口!$M$198),"")</f>
        <v/>
      </c>
      <c r="N198" s="111" t="n">
        <f aca="false">IF($C198="",0,1)</f>
        <v>0</v>
      </c>
      <c r="O198" s="111" t="n">
        <f aca="false">N(O197)+$N198</f>
        <v>110</v>
      </c>
      <c r="S198" s="10" t="str">
        <f aca="false">IFERROR(IF([1]对账明细接口!$N198=0,"",[1]对账明细接口!$N198),"")</f>
        <v/>
      </c>
      <c r="T198" s="112" t="str">
        <f aca="false">IFERROR(IF([1]对账明细接口!$O198=0,"",[1]对账明细接口!$O198),"")</f>
        <v/>
      </c>
      <c r="U198" s="112" t="str">
        <f aca="false">IFERROR(IF([1]对账明细接口!$P198=0,"",[1]对账明细接口!$P198),"")</f>
        <v/>
      </c>
      <c r="V198" s="112" t="str">
        <f aca="false">IFERROR(IF([1]对账明细接口!$Q198=0,"",[1]对账明细接口!$Q198),"")</f>
        <v/>
      </c>
      <c r="W198" s="10" t="str">
        <f aca="false">IFERROR(IF([1]对账明细接口!$R198=0,"",[1]对账明细接口!$R198),"")</f>
        <v/>
      </c>
      <c r="X198" s="10" t="str">
        <f aca="false">IFERROR(IF([1]对账明细接口!$S198=0,"",[1]对账明细接口!$S198),"")</f>
        <v/>
      </c>
      <c r="Y198" s="10" t="str">
        <f aca="false">""</f>
        <v/>
      </c>
      <c r="Z198" s="10" t="str">
        <f aca="false">""</f>
        <v/>
      </c>
      <c r="AA198" s="10" t="str">
        <f aca="false">""</f>
        <v/>
      </c>
      <c r="AB198" s="10" t="str">
        <f aca="false">""</f>
        <v/>
      </c>
    </row>
    <row r="199" customFormat="false" ht="13.5" hidden="false" customHeight="false" outlineLevel="0" collapsed="false">
      <c r="A199" s="109" t="n">
        <v>199</v>
      </c>
      <c r="B199" s="110" t="str">
        <f aca="false">IFERROR(IF([1]对账明细接口!$B$199=0,"",[1]对账明细接口!$B$199),"")</f>
        <v/>
      </c>
      <c r="C199" s="59" t="str">
        <f aca="false">IFERROR(IF([1]对账明细接口!$C$199=0,"",[1]对账明细接口!$C$199),"")</f>
        <v/>
      </c>
      <c r="D199" s="59" t="str">
        <f aca="false">IFERROR(IF([1]对账明细接口!$D$199=0,"",[1]对账明细接口!$D$199),"")</f>
        <v/>
      </c>
      <c r="E199" s="59" t="str">
        <f aca="false">IFERROR(IF([1]对账明细接口!$E$199=0,"",[1]对账明细接口!$E$199),"")</f>
        <v/>
      </c>
      <c r="F199" s="59" t="str">
        <f aca="false">IFERROR(IF([1]对账明细接口!$F$199=0,"",[1]对账明细接口!$F$199),"")</f>
        <v/>
      </c>
      <c r="G199" s="59" t="str">
        <f aca="false">IFERROR(IF([1]对账明细接口!$G$199=0,"",[1]对账明细接口!$G$199),"")</f>
        <v/>
      </c>
      <c r="H199" s="60" t="str">
        <f aca="false">IFERROR(IF([1]对账明细接口!$H$199=0,"",[1]对账明细接口!$H$199),"")</f>
        <v/>
      </c>
      <c r="I199" s="59" t="str">
        <f aca="false">IFERROR(IF([1]对账明细接口!$I$199=0,"",[1]对账明细接口!$I$199),"")</f>
        <v/>
      </c>
      <c r="J199" s="61" t="str">
        <f aca="false">IFERROR(IF([1]对账明细接口!$J$199=0,"",[1]对账明细接口!$J$199),"")</f>
        <v/>
      </c>
      <c r="K199" s="61" t="str">
        <f aca="false">IFERROR(IF([1]对账明细接口!$K$199=0,"",[1]对账明细接口!$K$199),"")</f>
        <v/>
      </c>
      <c r="L199" s="59" t="str">
        <f aca="false">IFERROR(IF([1]对账明细接口!$L$199=0,"",[1]对账明细接口!$L$199),"")</f>
        <v/>
      </c>
      <c r="M199" s="59" t="str">
        <f aca="false">IFERROR(IF([1]对账明细接口!$M$199=0,"",[1]对账明细接口!$M$199),"")</f>
        <v/>
      </c>
      <c r="N199" s="111" t="n">
        <f aca="false">IF($C199="",0,1)</f>
        <v>0</v>
      </c>
      <c r="O199" s="111" t="n">
        <f aca="false">N(O198)+$N199</f>
        <v>110</v>
      </c>
      <c r="S199" s="10" t="str">
        <f aca="false">IFERROR(IF([1]对账明细接口!$N199=0,"",[1]对账明细接口!$N199),"")</f>
        <v/>
      </c>
      <c r="T199" s="112" t="str">
        <f aca="false">IFERROR(IF([1]对账明细接口!$O199=0,"",[1]对账明细接口!$O199),"")</f>
        <v/>
      </c>
      <c r="U199" s="112" t="str">
        <f aca="false">IFERROR(IF([1]对账明细接口!$P199=0,"",[1]对账明细接口!$P199),"")</f>
        <v/>
      </c>
      <c r="V199" s="112" t="str">
        <f aca="false">IFERROR(IF([1]对账明细接口!$Q199=0,"",[1]对账明细接口!$Q199),"")</f>
        <v/>
      </c>
      <c r="W199" s="10" t="str">
        <f aca="false">IFERROR(IF([1]对账明细接口!$R199=0,"",[1]对账明细接口!$R199),"")</f>
        <v/>
      </c>
      <c r="X199" s="10" t="str">
        <f aca="false">IFERROR(IF([1]对账明细接口!$S199=0,"",[1]对账明细接口!$S199),"")</f>
        <v/>
      </c>
      <c r="Y199" s="10" t="str">
        <f aca="false">""</f>
        <v/>
      </c>
      <c r="Z199" s="10" t="str">
        <f aca="false">""</f>
        <v/>
      </c>
      <c r="AA199" s="10" t="str">
        <f aca="false">""</f>
        <v/>
      </c>
      <c r="AB199" s="10" t="str">
        <f aca="false">""</f>
        <v/>
      </c>
    </row>
    <row r="200" customFormat="false" ht="13.5" hidden="false" customHeight="false" outlineLevel="0" collapsed="false">
      <c r="A200" s="109" t="n">
        <v>200</v>
      </c>
      <c r="B200" s="110" t="str">
        <f aca="false">IFERROR(IF([1]对账明细接口!$B$200=0,"",[1]对账明细接口!$B$200),"")</f>
        <v/>
      </c>
      <c r="C200" s="59" t="str">
        <f aca="false">IFERROR(IF([1]对账明细接口!$C$200=0,"",[1]对账明细接口!$C$200),"")</f>
        <v/>
      </c>
      <c r="D200" s="59" t="str">
        <f aca="false">IFERROR(IF([1]对账明细接口!$D$200=0,"",[1]对账明细接口!$D$200),"")</f>
        <v/>
      </c>
      <c r="E200" s="59" t="str">
        <f aca="false">IFERROR(IF([1]对账明细接口!$E$200=0,"",[1]对账明细接口!$E$200),"")</f>
        <v/>
      </c>
      <c r="F200" s="59" t="str">
        <f aca="false">IFERROR(IF([1]对账明细接口!$F$200=0,"",[1]对账明细接口!$F$200),"")</f>
        <v/>
      </c>
      <c r="G200" s="59" t="str">
        <f aca="false">IFERROR(IF([1]对账明细接口!$G$200=0,"",[1]对账明细接口!$G$200),"")</f>
        <v/>
      </c>
      <c r="H200" s="60" t="str">
        <f aca="false">IFERROR(IF([1]对账明细接口!$H$200=0,"",[1]对账明细接口!$H$200),"")</f>
        <v/>
      </c>
      <c r="I200" s="59" t="str">
        <f aca="false">IFERROR(IF([1]对账明细接口!$I$200=0,"",[1]对账明细接口!$I$200),"")</f>
        <v/>
      </c>
      <c r="J200" s="61" t="str">
        <f aca="false">IFERROR(IF([1]对账明细接口!$J$200=0,"",[1]对账明细接口!$J$200),"")</f>
        <v/>
      </c>
      <c r="K200" s="61" t="str">
        <f aca="false">IFERROR(IF([1]对账明细接口!$K$200=0,"",[1]对账明细接口!$K$200),"")</f>
        <v/>
      </c>
      <c r="L200" s="59" t="str">
        <f aca="false">IFERROR(IF([1]对账明细接口!$L$200=0,"",[1]对账明细接口!$L$200),"")</f>
        <v/>
      </c>
      <c r="M200" s="59" t="str">
        <f aca="false">IFERROR(IF([1]对账明细接口!$M$200=0,"",[1]对账明细接口!$M$200),"")</f>
        <v/>
      </c>
      <c r="N200" s="111" t="n">
        <f aca="false">IF($C200="",0,1)</f>
        <v>0</v>
      </c>
      <c r="O200" s="111" t="n">
        <f aca="false">N(O199)+$N200</f>
        <v>110</v>
      </c>
      <c r="S200" s="10" t="str">
        <f aca="false">IFERROR(IF([1]对账明细接口!$N200=0,"",[1]对账明细接口!$N200),"")</f>
        <v/>
      </c>
      <c r="T200" s="112" t="str">
        <f aca="false">IFERROR(IF([1]对账明细接口!$O200=0,"",[1]对账明细接口!$O200),"")</f>
        <v/>
      </c>
      <c r="U200" s="112" t="str">
        <f aca="false">IFERROR(IF([1]对账明细接口!$P200=0,"",[1]对账明细接口!$P200),"")</f>
        <v/>
      </c>
      <c r="V200" s="112" t="str">
        <f aca="false">IFERROR(IF([1]对账明细接口!$Q200=0,"",[1]对账明细接口!$Q200),"")</f>
        <v/>
      </c>
      <c r="W200" s="10" t="str">
        <f aca="false">IFERROR(IF([1]对账明细接口!$R200=0,"",[1]对账明细接口!$R200),"")</f>
        <v/>
      </c>
      <c r="X200" s="10" t="str">
        <f aca="false">IFERROR(IF([1]对账明细接口!$S200=0,"",[1]对账明细接口!$S200),"")</f>
        <v/>
      </c>
      <c r="Y200" s="10" t="str">
        <f aca="false">""</f>
        <v/>
      </c>
      <c r="Z200" s="10" t="str">
        <f aca="false">""</f>
        <v/>
      </c>
      <c r="AA200" s="10" t="str">
        <f aca="false">""</f>
        <v/>
      </c>
      <c r="AB200" s="10" t="str">
        <f aca="false">""</f>
        <v/>
      </c>
    </row>
    <row r="201" customFormat="false" ht="13.5" hidden="false" customHeight="false" outlineLevel="0" collapsed="false">
      <c r="A201" s="109" t="n">
        <v>201</v>
      </c>
      <c r="B201" s="110" t="str">
        <f aca="false">IFERROR(IF([1]对账明细接口!$B$201=0,"",[1]对账明细接口!$B$201),"")</f>
        <v/>
      </c>
      <c r="C201" s="59" t="str">
        <f aca="false">IFERROR(IF([1]对账明细接口!$C$201=0,"",[1]对账明细接口!$C$201),"")</f>
        <v/>
      </c>
      <c r="D201" s="59" t="str">
        <f aca="false">IFERROR(IF([1]对账明细接口!$D$201=0,"",[1]对账明细接口!$D$201),"")</f>
        <v/>
      </c>
      <c r="E201" s="59" t="str">
        <f aca="false">IFERROR(IF([1]对账明细接口!$E$201=0,"",[1]对账明细接口!$E$201),"")</f>
        <v/>
      </c>
      <c r="F201" s="59" t="str">
        <f aca="false">IFERROR(IF([1]对账明细接口!$F$201=0,"",[1]对账明细接口!$F$201),"")</f>
        <v/>
      </c>
      <c r="G201" s="59" t="str">
        <f aca="false">IFERROR(IF([1]对账明细接口!$G$201=0,"",[1]对账明细接口!$G$201),"")</f>
        <v/>
      </c>
      <c r="H201" s="60" t="str">
        <f aca="false">IFERROR(IF([1]对账明细接口!$H$201=0,"",[1]对账明细接口!$H$201),"")</f>
        <v/>
      </c>
      <c r="I201" s="59" t="str">
        <f aca="false">IFERROR(IF([1]对账明细接口!$I$201=0,"",[1]对账明细接口!$I$201),"")</f>
        <v/>
      </c>
      <c r="J201" s="61" t="str">
        <f aca="false">IFERROR(IF([1]对账明细接口!$J$201=0,"",[1]对账明细接口!$J$201),"")</f>
        <v/>
      </c>
      <c r="K201" s="61" t="str">
        <f aca="false">IFERROR(IF([1]对账明细接口!$K$201=0,"",[1]对账明细接口!$K$201),"")</f>
        <v/>
      </c>
      <c r="L201" s="59" t="str">
        <f aca="false">IFERROR(IF([1]对账明细接口!$L$201=0,"",[1]对账明细接口!$L$201),"")</f>
        <v/>
      </c>
      <c r="M201" s="59" t="str">
        <f aca="false">IFERROR(IF([1]对账明细接口!$M$201=0,"",[1]对账明细接口!$M$201),"")</f>
        <v/>
      </c>
      <c r="N201" s="111" t="n">
        <f aca="false">IF($C201="",0,1)</f>
        <v>0</v>
      </c>
      <c r="O201" s="111" t="n">
        <f aca="false">N(O200)+$N201</f>
        <v>110</v>
      </c>
      <c r="S201" s="10" t="str">
        <f aca="false">IFERROR(IF([1]对账明细接口!$N201=0,"",[1]对账明细接口!$N201),"")</f>
        <v/>
      </c>
      <c r="T201" s="112" t="str">
        <f aca="false">IFERROR(IF([1]对账明细接口!$O201=0,"",[1]对账明细接口!$O201),"")</f>
        <v/>
      </c>
      <c r="U201" s="112" t="str">
        <f aca="false">IFERROR(IF([1]对账明细接口!$P201=0,"",[1]对账明细接口!$P201),"")</f>
        <v/>
      </c>
      <c r="V201" s="112" t="str">
        <f aca="false">IFERROR(IF([1]对账明细接口!$Q201=0,"",[1]对账明细接口!$Q201),"")</f>
        <v/>
      </c>
      <c r="W201" s="10" t="str">
        <f aca="false">IFERROR(IF([1]对账明细接口!$R201=0,"",[1]对账明细接口!$R201),"")</f>
        <v/>
      </c>
      <c r="X201" s="10" t="str">
        <f aca="false">IFERROR(IF([1]对账明细接口!$S201=0,"",[1]对账明细接口!$S201),"")</f>
        <v/>
      </c>
      <c r="Y201" s="10" t="str">
        <f aca="false">""</f>
        <v/>
      </c>
      <c r="Z201" s="10" t="str">
        <f aca="false">""</f>
        <v/>
      </c>
      <c r="AA201" s="10" t="str">
        <f aca="false">""</f>
        <v/>
      </c>
      <c r="AB201" s="10" t="str">
        <f aca="false">""</f>
        <v/>
      </c>
    </row>
    <row r="202" customFormat="false" ht="13.5" hidden="false" customHeight="false" outlineLevel="0" collapsed="false">
      <c r="A202" s="109" t="n">
        <v>202</v>
      </c>
      <c r="B202" s="110" t="str">
        <f aca="false">IFERROR(IF([1]对账明细接口!$B$202=0,"",[1]对账明细接口!$B$202),"")</f>
        <v/>
      </c>
      <c r="C202" s="59" t="str">
        <f aca="false">IFERROR(IF([1]对账明细接口!$C$202=0,"",[1]对账明细接口!$C$202),"")</f>
        <v/>
      </c>
      <c r="D202" s="59" t="str">
        <f aca="false">IFERROR(IF([1]对账明细接口!$D$202=0,"",[1]对账明细接口!$D$202),"")</f>
        <v/>
      </c>
      <c r="E202" s="59" t="str">
        <f aca="false">IFERROR(IF([1]对账明细接口!$E$202=0,"",[1]对账明细接口!$E$202),"")</f>
        <v/>
      </c>
      <c r="F202" s="59" t="str">
        <f aca="false">IFERROR(IF([1]对账明细接口!$F$202=0,"",[1]对账明细接口!$F$202),"")</f>
        <v/>
      </c>
      <c r="G202" s="59" t="str">
        <f aca="false">IFERROR(IF([1]对账明细接口!$G$202=0,"",[1]对账明细接口!$G$202),"")</f>
        <v/>
      </c>
      <c r="H202" s="60" t="str">
        <f aca="false">IFERROR(IF([1]对账明细接口!$H$202=0,"",[1]对账明细接口!$H$202),"")</f>
        <v/>
      </c>
      <c r="I202" s="59" t="str">
        <f aca="false">IFERROR(IF([1]对账明细接口!$I$202=0,"",[1]对账明细接口!$I$202),"")</f>
        <v/>
      </c>
      <c r="J202" s="61" t="str">
        <f aca="false">IFERROR(IF([1]对账明细接口!$J$202=0,"",[1]对账明细接口!$J$202),"")</f>
        <v/>
      </c>
      <c r="K202" s="61" t="str">
        <f aca="false">IFERROR(IF([1]对账明细接口!$K$202=0,"",[1]对账明细接口!$K$202),"")</f>
        <v/>
      </c>
      <c r="L202" s="59" t="str">
        <f aca="false">IFERROR(IF([1]对账明细接口!$L$202=0,"",[1]对账明细接口!$L$202),"")</f>
        <v/>
      </c>
      <c r="M202" s="59" t="str">
        <f aca="false">IFERROR(IF([1]对账明细接口!$M$202=0,"",[1]对账明细接口!$M$202),"")</f>
        <v/>
      </c>
      <c r="N202" s="111" t="n">
        <f aca="false">IF($C202="",0,1)</f>
        <v>0</v>
      </c>
      <c r="O202" s="111" t="n">
        <f aca="false">N(O201)+$N202</f>
        <v>110</v>
      </c>
      <c r="S202" s="10" t="str">
        <f aca="false">IFERROR(IF([1]对账明细接口!$N202=0,"",[1]对账明细接口!$N202),"")</f>
        <v/>
      </c>
      <c r="T202" s="112" t="str">
        <f aca="false">IFERROR(IF([1]对账明细接口!$O202=0,"",[1]对账明细接口!$O202),"")</f>
        <v/>
      </c>
      <c r="U202" s="112" t="str">
        <f aca="false">IFERROR(IF([1]对账明细接口!$P202=0,"",[1]对账明细接口!$P202),"")</f>
        <v/>
      </c>
      <c r="V202" s="112" t="str">
        <f aca="false">IFERROR(IF([1]对账明细接口!$Q202=0,"",[1]对账明细接口!$Q202),"")</f>
        <v/>
      </c>
      <c r="W202" s="10" t="str">
        <f aca="false">IFERROR(IF([1]对账明细接口!$R202=0,"",[1]对账明细接口!$R202),"")</f>
        <v/>
      </c>
      <c r="X202" s="10" t="str">
        <f aca="false">IFERROR(IF([1]对账明细接口!$S202=0,"",[1]对账明细接口!$S202),"")</f>
        <v/>
      </c>
      <c r="Y202" s="10" t="str">
        <f aca="false">""</f>
        <v/>
      </c>
      <c r="Z202" s="10" t="str">
        <f aca="false">""</f>
        <v/>
      </c>
      <c r="AA202" s="10" t="str">
        <f aca="false">""</f>
        <v/>
      </c>
      <c r="AB202" s="10" t="str">
        <f aca="false">""</f>
        <v/>
      </c>
    </row>
    <row r="203" customFormat="false" ht="13.5" hidden="false" customHeight="false" outlineLevel="0" collapsed="false">
      <c r="A203" s="109" t="n">
        <v>203</v>
      </c>
      <c r="B203" s="110" t="str">
        <f aca="false">IFERROR(IF([1]对账明细接口!$B$203=0,"",[1]对账明细接口!$B$203),"")</f>
        <v/>
      </c>
      <c r="C203" s="59" t="str">
        <f aca="false">IFERROR(IF([1]对账明细接口!$C$203=0,"",[1]对账明细接口!$C$203),"")</f>
        <v/>
      </c>
      <c r="D203" s="59" t="str">
        <f aca="false">IFERROR(IF([1]对账明细接口!$D$203=0,"",[1]对账明细接口!$D$203),"")</f>
        <v/>
      </c>
      <c r="E203" s="59" t="str">
        <f aca="false">IFERROR(IF([1]对账明细接口!$E$203=0,"",[1]对账明细接口!$E$203),"")</f>
        <v/>
      </c>
      <c r="F203" s="59" t="str">
        <f aca="false">IFERROR(IF([1]对账明细接口!$F$203=0,"",[1]对账明细接口!$F$203),"")</f>
        <v/>
      </c>
      <c r="G203" s="59" t="str">
        <f aca="false">IFERROR(IF([1]对账明细接口!$G$203=0,"",[1]对账明细接口!$G$203),"")</f>
        <v/>
      </c>
      <c r="H203" s="60" t="str">
        <f aca="false">IFERROR(IF([1]对账明细接口!$H$203=0,"",[1]对账明细接口!$H$203),"")</f>
        <v/>
      </c>
      <c r="I203" s="59" t="str">
        <f aca="false">IFERROR(IF([1]对账明细接口!$I$203=0,"",[1]对账明细接口!$I$203),"")</f>
        <v/>
      </c>
      <c r="J203" s="61" t="str">
        <f aca="false">IFERROR(IF([1]对账明细接口!$J$203=0,"",[1]对账明细接口!$J$203),"")</f>
        <v/>
      </c>
      <c r="K203" s="61" t="str">
        <f aca="false">IFERROR(IF([1]对账明细接口!$K$203=0,"",[1]对账明细接口!$K$203),"")</f>
        <v/>
      </c>
      <c r="L203" s="59" t="str">
        <f aca="false">IFERROR(IF([1]对账明细接口!$L$203=0,"",[1]对账明细接口!$L$203),"")</f>
        <v/>
      </c>
      <c r="M203" s="59" t="str">
        <f aca="false">IFERROR(IF([1]对账明细接口!$M$203=0,"",[1]对账明细接口!$M$203),"")</f>
        <v/>
      </c>
      <c r="N203" s="111" t="n">
        <f aca="false">IF($C203="",0,1)</f>
        <v>0</v>
      </c>
      <c r="O203" s="111" t="n">
        <f aca="false">N(O202)+$N203</f>
        <v>110</v>
      </c>
      <c r="S203" s="10" t="str">
        <f aca="false">IFERROR(IF([1]对账明细接口!$N203=0,"",[1]对账明细接口!$N203),"")</f>
        <v/>
      </c>
      <c r="T203" s="112" t="str">
        <f aca="false">IFERROR(IF([1]对账明细接口!$O203=0,"",[1]对账明细接口!$O203),"")</f>
        <v/>
      </c>
      <c r="U203" s="112" t="str">
        <f aca="false">IFERROR(IF([1]对账明细接口!$P203=0,"",[1]对账明细接口!$P203),"")</f>
        <v/>
      </c>
      <c r="V203" s="112" t="str">
        <f aca="false">IFERROR(IF([1]对账明细接口!$Q203=0,"",[1]对账明细接口!$Q203),"")</f>
        <v/>
      </c>
      <c r="W203" s="10" t="str">
        <f aca="false">IFERROR(IF([1]对账明细接口!$R203=0,"",[1]对账明细接口!$R203),"")</f>
        <v/>
      </c>
      <c r="X203" s="10" t="str">
        <f aca="false">IFERROR(IF([1]对账明细接口!$S203=0,"",[1]对账明细接口!$S203),"")</f>
        <v/>
      </c>
      <c r="Y203" s="10" t="str">
        <f aca="false">""</f>
        <v/>
      </c>
      <c r="Z203" s="10" t="str">
        <f aca="false">""</f>
        <v/>
      </c>
      <c r="AA203" s="10" t="str">
        <f aca="false">""</f>
        <v/>
      </c>
      <c r="AB203" s="10" t="str">
        <f aca="false">""</f>
        <v/>
      </c>
    </row>
    <row r="204" customFormat="false" ht="13.5" hidden="false" customHeight="false" outlineLevel="0" collapsed="false">
      <c r="A204" s="109" t="n">
        <v>204</v>
      </c>
      <c r="B204" s="110" t="str">
        <f aca="false">IFERROR(IF([1]对账明细接口!$B$204=0,"",[1]对账明细接口!$B$204),"")</f>
        <v/>
      </c>
      <c r="C204" s="59" t="str">
        <f aca="false">IFERROR(IF([1]对账明细接口!$C$204=0,"",[1]对账明细接口!$C$204),"")</f>
        <v/>
      </c>
      <c r="D204" s="59" t="str">
        <f aca="false">IFERROR(IF([1]对账明细接口!$D$204=0,"",[1]对账明细接口!$D$204),"")</f>
        <v/>
      </c>
      <c r="E204" s="59" t="str">
        <f aca="false">IFERROR(IF([1]对账明细接口!$E$204=0,"",[1]对账明细接口!$E$204),"")</f>
        <v/>
      </c>
      <c r="F204" s="59" t="str">
        <f aca="false">IFERROR(IF([1]对账明细接口!$F$204=0,"",[1]对账明细接口!$F$204),"")</f>
        <v/>
      </c>
      <c r="G204" s="59" t="str">
        <f aca="false">IFERROR(IF([1]对账明细接口!$G$204=0,"",[1]对账明细接口!$G$204),"")</f>
        <v/>
      </c>
      <c r="H204" s="60" t="str">
        <f aca="false">IFERROR(IF([1]对账明细接口!$H$204=0,"",[1]对账明细接口!$H$204),"")</f>
        <v/>
      </c>
      <c r="I204" s="59" t="str">
        <f aca="false">IFERROR(IF([1]对账明细接口!$I$204=0,"",[1]对账明细接口!$I$204),"")</f>
        <v/>
      </c>
      <c r="J204" s="61" t="str">
        <f aca="false">IFERROR(IF([1]对账明细接口!$J$204=0,"",[1]对账明细接口!$J$204),"")</f>
        <v/>
      </c>
      <c r="K204" s="61" t="str">
        <f aca="false">IFERROR(IF([1]对账明细接口!$K$204=0,"",[1]对账明细接口!$K$204),"")</f>
        <v/>
      </c>
      <c r="L204" s="59" t="str">
        <f aca="false">IFERROR(IF([1]对账明细接口!$L$204=0,"",[1]对账明细接口!$L$204),"")</f>
        <v/>
      </c>
      <c r="M204" s="59" t="str">
        <f aca="false">IFERROR(IF([1]对账明细接口!$M$204=0,"",[1]对账明细接口!$M$204),"")</f>
        <v/>
      </c>
      <c r="N204" s="111" t="n">
        <f aca="false">IF($C204="",0,1)</f>
        <v>0</v>
      </c>
      <c r="O204" s="111" t="n">
        <f aca="false">N(O203)+$N204</f>
        <v>110</v>
      </c>
      <c r="S204" s="10" t="str">
        <f aca="false">IFERROR(IF([1]对账明细接口!$N204=0,"",[1]对账明细接口!$N204),"")</f>
        <v/>
      </c>
      <c r="T204" s="112" t="str">
        <f aca="false">IFERROR(IF([1]对账明细接口!$O204=0,"",[1]对账明细接口!$O204),"")</f>
        <v/>
      </c>
      <c r="U204" s="112" t="str">
        <f aca="false">IFERROR(IF([1]对账明细接口!$P204=0,"",[1]对账明细接口!$P204),"")</f>
        <v/>
      </c>
      <c r="V204" s="112" t="str">
        <f aca="false">IFERROR(IF([1]对账明细接口!$Q204=0,"",[1]对账明细接口!$Q204),"")</f>
        <v/>
      </c>
      <c r="W204" s="10" t="str">
        <f aca="false">IFERROR(IF([1]对账明细接口!$R204=0,"",[1]对账明细接口!$R204),"")</f>
        <v/>
      </c>
      <c r="X204" s="10" t="str">
        <f aca="false">IFERROR(IF([1]对账明细接口!$S204=0,"",[1]对账明细接口!$S204),"")</f>
        <v/>
      </c>
      <c r="Y204" s="10" t="str">
        <f aca="false">""</f>
        <v/>
      </c>
      <c r="Z204" s="10" t="str">
        <f aca="false">""</f>
        <v/>
      </c>
      <c r="AA204" s="10" t="str">
        <f aca="false">""</f>
        <v/>
      </c>
      <c r="AB204" s="10" t="str">
        <f aca="false">""</f>
        <v/>
      </c>
    </row>
    <row r="205" customFormat="false" ht="13.5" hidden="false" customHeight="false" outlineLevel="0" collapsed="false">
      <c r="A205" s="109" t="n">
        <v>205</v>
      </c>
      <c r="B205" s="110" t="str">
        <f aca="false">IFERROR(IF([1]对账明细接口!$B$205=0,"",[1]对账明细接口!$B$205),"")</f>
        <v/>
      </c>
      <c r="C205" s="59" t="str">
        <f aca="false">IFERROR(IF([1]对账明细接口!$C$205=0,"",[1]对账明细接口!$C$205),"")</f>
        <v/>
      </c>
      <c r="D205" s="59" t="str">
        <f aca="false">IFERROR(IF([1]对账明细接口!$D$205=0,"",[1]对账明细接口!$D$205),"")</f>
        <v/>
      </c>
      <c r="E205" s="59" t="str">
        <f aca="false">IFERROR(IF([1]对账明细接口!$E$205=0,"",[1]对账明细接口!$E$205),"")</f>
        <v/>
      </c>
      <c r="F205" s="59" t="str">
        <f aca="false">IFERROR(IF([1]对账明细接口!$F$205=0,"",[1]对账明细接口!$F$205),"")</f>
        <v/>
      </c>
      <c r="G205" s="59" t="str">
        <f aca="false">IFERROR(IF([1]对账明细接口!$G$205=0,"",[1]对账明细接口!$G$205),"")</f>
        <v/>
      </c>
      <c r="H205" s="60" t="str">
        <f aca="false">IFERROR(IF([1]对账明细接口!$H$205=0,"",[1]对账明细接口!$H$205),"")</f>
        <v/>
      </c>
      <c r="I205" s="59" t="str">
        <f aca="false">IFERROR(IF([1]对账明细接口!$I$205=0,"",[1]对账明细接口!$I$205),"")</f>
        <v/>
      </c>
      <c r="J205" s="61" t="str">
        <f aca="false">IFERROR(IF([1]对账明细接口!$J$205=0,"",[1]对账明细接口!$J$205),"")</f>
        <v/>
      </c>
      <c r="K205" s="61" t="str">
        <f aca="false">IFERROR(IF([1]对账明细接口!$K$205=0,"",[1]对账明细接口!$K$205),"")</f>
        <v/>
      </c>
      <c r="L205" s="59" t="str">
        <f aca="false">IFERROR(IF([1]对账明细接口!$L$205=0,"",[1]对账明细接口!$L$205),"")</f>
        <v/>
      </c>
      <c r="M205" s="59" t="str">
        <f aca="false">IFERROR(IF([1]对账明细接口!$M$205=0,"",[1]对账明细接口!$M$205),"")</f>
        <v/>
      </c>
      <c r="N205" s="111" t="n">
        <f aca="false">IF($C205="",0,1)</f>
        <v>0</v>
      </c>
      <c r="O205" s="111" t="n">
        <f aca="false">N(O204)+$N205</f>
        <v>110</v>
      </c>
      <c r="S205" s="10" t="str">
        <f aca="false">IFERROR(IF([1]对账明细接口!$N205=0,"",[1]对账明细接口!$N205),"")</f>
        <v/>
      </c>
      <c r="T205" s="112" t="str">
        <f aca="false">IFERROR(IF([1]对账明细接口!$O205=0,"",[1]对账明细接口!$O205),"")</f>
        <v/>
      </c>
      <c r="U205" s="112" t="str">
        <f aca="false">IFERROR(IF([1]对账明细接口!$P205=0,"",[1]对账明细接口!$P205),"")</f>
        <v/>
      </c>
      <c r="V205" s="112" t="str">
        <f aca="false">IFERROR(IF([1]对账明细接口!$Q205=0,"",[1]对账明细接口!$Q205),"")</f>
        <v/>
      </c>
      <c r="W205" s="10" t="str">
        <f aca="false">IFERROR(IF([1]对账明细接口!$R205=0,"",[1]对账明细接口!$R205),"")</f>
        <v/>
      </c>
      <c r="X205" s="10" t="str">
        <f aca="false">IFERROR(IF([1]对账明细接口!$S205=0,"",[1]对账明细接口!$S205),"")</f>
        <v/>
      </c>
      <c r="Y205" s="10" t="str">
        <f aca="false">""</f>
        <v/>
      </c>
      <c r="Z205" s="10" t="str">
        <f aca="false">""</f>
        <v/>
      </c>
      <c r="AA205" s="10" t="str">
        <f aca="false">""</f>
        <v/>
      </c>
      <c r="AB205" s="10" t="str">
        <f aca="false">""</f>
        <v/>
      </c>
    </row>
    <row r="206" customFormat="false" ht="13.5" hidden="false" customHeight="false" outlineLevel="0" collapsed="false">
      <c r="A206" s="109" t="n">
        <v>206</v>
      </c>
      <c r="B206" s="110" t="str">
        <f aca="false">IFERROR(IF([1]对账明细接口!$B$206=0,"",[1]对账明细接口!$B$206),"")</f>
        <v/>
      </c>
      <c r="C206" s="59" t="str">
        <f aca="false">IFERROR(IF([1]对账明细接口!$C$206=0,"",[1]对账明细接口!$C$206),"")</f>
        <v/>
      </c>
      <c r="D206" s="59" t="str">
        <f aca="false">IFERROR(IF([1]对账明细接口!$D$206=0,"",[1]对账明细接口!$D$206),"")</f>
        <v/>
      </c>
      <c r="E206" s="59" t="str">
        <f aca="false">IFERROR(IF([1]对账明细接口!$E$206=0,"",[1]对账明细接口!$E$206),"")</f>
        <v/>
      </c>
      <c r="F206" s="59" t="str">
        <f aca="false">IFERROR(IF([1]对账明细接口!$F$206=0,"",[1]对账明细接口!$F$206),"")</f>
        <v/>
      </c>
      <c r="G206" s="59" t="str">
        <f aca="false">IFERROR(IF([1]对账明细接口!$G$206=0,"",[1]对账明细接口!$G$206),"")</f>
        <v/>
      </c>
      <c r="H206" s="60" t="str">
        <f aca="false">IFERROR(IF([1]对账明细接口!$H$206=0,"",[1]对账明细接口!$H$206),"")</f>
        <v/>
      </c>
      <c r="I206" s="59" t="str">
        <f aca="false">IFERROR(IF([1]对账明细接口!$I$206=0,"",[1]对账明细接口!$I$206),"")</f>
        <v/>
      </c>
      <c r="J206" s="61" t="str">
        <f aca="false">IFERROR(IF([1]对账明细接口!$J$206=0,"",[1]对账明细接口!$J$206),"")</f>
        <v/>
      </c>
      <c r="K206" s="61" t="str">
        <f aca="false">IFERROR(IF([1]对账明细接口!$K$206=0,"",[1]对账明细接口!$K$206),"")</f>
        <v/>
      </c>
      <c r="L206" s="59" t="str">
        <f aca="false">IFERROR(IF([1]对账明细接口!$L$206=0,"",[1]对账明细接口!$L$206),"")</f>
        <v/>
      </c>
      <c r="M206" s="59" t="str">
        <f aca="false">IFERROR(IF([1]对账明细接口!$M$206=0,"",[1]对账明细接口!$M$206),"")</f>
        <v/>
      </c>
      <c r="N206" s="111" t="n">
        <f aca="false">IF($C206="",0,1)</f>
        <v>0</v>
      </c>
      <c r="O206" s="111" t="n">
        <f aca="false">N(O205)+$N206</f>
        <v>110</v>
      </c>
      <c r="S206" s="10" t="str">
        <f aca="false">IFERROR(IF([1]对账明细接口!$N206=0,"",[1]对账明细接口!$N206),"")</f>
        <v/>
      </c>
      <c r="T206" s="112" t="str">
        <f aca="false">IFERROR(IF([1]对账明细接口!$O206=0,"",[1]对账明细接口!$O206),"")</f>
        <v/>
      </c>
      <c r="U206" s="112" t="str">
        <f aca="false">IFERROR(IF([1]对账明细接口!$P206=0,"",[1]对账明细接口!$P206),"")</f>
        <v/>
      </c>
      <c r="V206" s="112" t="str">
        <f aca="false">IFERROR(IF([1]对账明细接口!$Q206=0,"",[1]对账明细接口!$Q206),"")</f>
        <v/>
      </c>
      <c r="W206" s="10" t="str">
        <f aca="false">IFERROR(IF([1]对账明细接口!$R206=0,"",[1]对账明细接口!$R206),"")</f>
        <v/>
      </c>
      <c r="X206" s="10" t="str">
        <f aca="false">IFERROR(IF([1]对账明细接口!$S206=0,"",[1]对账明细接口!$S206),"")</f>
        <v/>
      </c>
      <c r="Y206" s="10" t="str">
        <f aca="false">""</f>
        <v/>
      </c>
      <c r="Z206" s="10" t="str">
        <f aca="false">""</f>
        <v/>
      </c>
      <c r="AA206" s="10" t="str">
        <f aca="false">""</f>
        <v/>
      </c>
      <c r="AB206" s="10" t="str">
        <f aca="false">""</f>
        <v/>
      </c>
    </row>
    <row r="207" customFormat="false" ht="13.5" hidden="false" customHeight="false" outlineLevel="0" collapsed="false">
      <c r="A207" s="109" t="n">
        <v>207</v>
      </c>
      <c r="B207" s="110" t="str">
        <f aca="false">IFERROR(IF([1]对账明细接口!$B$207=0,"",[1]对账明细接口!$B$207),"")</f>
        <v/>
      </c>
      <c r="C207" s="59" t="str">
        <f aca="false">IFERROR(IF([1]对账明细接口!$C$207=0,"",[1]对账明细接口!$C$207),"")</f>
        <v/>
      </c>
      <c r="D207" s="59" t="str">
        <f aca="false">IFERROR(IF([1]对账明细接口!$D$207=0,"",[1]对账明细接口!$D$207),"")</f>
        <v/>
      </c>
      <c r="E207" s="59" t="str">
        <f aca="false">IFERROR(IF([1]对账明细接口!$E$207=0,"",[1]对账明细接口!$E$207),"")</f>
        <v/>
      </c>
      <c r="F207" s="59" t="str">
        <f aca="false">IFERROR(IF([1]对账明细接口!$F$207=0,"",[1]对账明细接口!$F$207),"")</f>
        <v/>
      </c>
      <c r="G207" s="59" t="str">
        <f aca="false">IFERROR(IF([1]对账明细接口!$G$207=0,"",[1]对账明细接口!$G$207),"")</f>
        <v/>
      </c>
      <c r="H207" s="60" t="str">
        <f aca="false">IFERROR(IF([1]对账明细接口!$H$207=0,"",[1]对账明细接口!$H$207),"")</f>
        <v/>
      </c>
      <c r="I207" s="59" t="str">
        <f aca="false">IFERROR(IF([1]对账明细接口!$I$207=0,"",[1]对账明细接口!$I$207),"")</f>
        <v/>
      </c>
      <c r="J207" s="61" t="str">
        <f aca="false">IFERROR(IF([1]对账明细接口!$J$207=0,"",[1]对账明细接口!$J$207),"")</f>
        <v/>
      </c>
      <c r="K207" s="61" t="str">
        <f aca="false">IFERROR(IF([1]对账明细接口!$K$207=0,"",[1]对账明细接口!$K$207),"")</f>
        <v/>
      </c>
      <c r="L207" s="59" t="str">
        <f aca="false">IFERROR(IF([1]对账明细接口!$L$207=0,"",[1]对账明细接口!$L$207),"")</f>
        <v/>
      </c>
      <c r="M207" s="59" t="str">
        <f aca="false">IFERROR(IF([1]对账明细接口!$M$207=0,"",[1]对账明细接口!$M$207),"")</f>
        <v/>
      </c>
      <c r="N207" s="111" t="n">
        <f aca="false">IF($C207="",0,1)</f>
        <v>0</v>
      </c>
      <c r="O207" s="111" t="n">
        <f aca="false">N(O206)+$N207</f>
        <v>110</v>
      </c>
      <c r="S207" s="10" t="str">
        <f aca="false">IFERROR(IF([1]对账明细接口!$N207=0,"",[1]对账明细接口!$N207),"")</f>
        <v/>
      </c>
      <c r="T207" s="112" t="str">
        <f aca="false">IFERROR(IF([1]对账明细接口!$O207=0,"",[1]对账明细接口!$O207),"")</f>
        <v/>
      </c>
      <c r="U207" s="112" t="str">
        <f aca="false">IFERROR(IF([1]对账明细接口!$P207=0,"",[1]对账明细接口!$P207),"")</f>
        <v/>
      </c>
      <c r="V207" s="112" t="str">
        <f aca="false">IFERROR(IF([1]对账明细接口!$Q207=0,"",[1]对账明细接口!$Q207),"")</f>
        <v/>
      </c>
      <c r="W207" s="10" t="str">
        <f aca="false">IFERROR(IF([1]对账明细接口!$R207=0,"",[1]对账明细接口!$R207),"")</f>
        <v/>
      </c>
      <c r="X207" s="10" t="str">
        <f aca="false">IFERROR(IF([1]对账明细接口!$S207=0,"",[1]对账明细接口!$S207),"")</f>
        <v/>
      </c>
      <c r="Y207" s="10" t="str">
        <f aca="false">""</f>
        <v/>
      </c>
      <c r="Z207" s="10" t="str">
        <f aca="false">""</f>
        <v/>
      </c>
      <c r="AA207" s="10" t="str">
        <f aca="false">""</f>
        <v/>
      </c>
      <c r="AB207" s="10" t="str">
        <f aca="false">""</f>
        <v/>
      </c>
    </row>
    <row r="208" customFormat="false" ht="13.5" hidden="false" customHeight="false" outlineLevel="0" collapsed="false">
      <c r="A208" s="109" t="n">
        <v>208</v>
      </c>
      <c r="B208" s="110" t="str">
        <f aca="false">IFERROR(IF([1]对账明细接口!$B$208=0,"",[1]对账明细接口!$B$208),"")</f>
        <v/>
      </c>
      <c r="C208" s="59" t="str">
        <f aca="false">IFERROR(IF([1]对账明细接口!$C$208=0,"",[1]对账明细接口!$C$208),"")</f>
        <v/>
      </c>
      <c r="D208" s="59" t="str">
        <f aca="false">IFERROR(IF([1]对账明细接口!$D$208=0,"",[1]对账明细接口!$D$208),"")</f>
        <v/>
      </c>
      <c r="E208" s="59" t="str">
        <f aca="false">IFERROR(IF([1]对账明细接口!$E$208=0,"",[1]对账明细接口!$E$208),"")</f>
        <v/>
      </c>
      <c r="F208" s="59" t="str">
        <f aca="false">IFERROR(IF([1]对账明细接口!$F$208=0,"",[1]对账明细接口!$F$208),"")</f>
        <v/>
      </c>
      <c r="G208" s="59" t="str">
        <f aca="false">IFERROR(IF([1]对账明细接口!$G$208=0,"",[1]对账明细接口!$G$208),"")</f>
        <v/>
      </c>
      <c r="H208" s="60" t="str">
        <f aca="false">IFERROR(IF([1]对账明细接口!$H$208=0,"",[1]对账明细接口!$H$208),"")</f>
        <v/>
      </c>
      <c r="I208" s="59" t="str">
        <f aca="false">IFERROR(IF([1]对账明细接口!$I$208=0,"",[1]对账明细接口!$I$208),"")</f>
        <v/>
      </c>
      <c r="J208" s="61" t="str">
        <f aca="false">IFERROR(IF([1]对账明细接口!$J$208=0,"",[1]对账明细接口!$J$208),"")</f>
        <v/>
      </c>
      <c r="K208" s="61" t="str">
        <f aca="false">IFERROR(IF([1]对账明细接口!$K$208=0,"",[1]对账明细接口!$K$208),"")</f>
        <v/>
      </c>
      <c r="L208" s="59" t="str">
        <f aca="false">IFERROR(IF([1]对账明细接口!$L$208=0,"",[1]对账明细接口!$L$208),"")</f>
        <v/>
      </c>
      <c r="M208" s="59" t="str">
        <f aca="false">IFERROR(IF([1]对账明细接口!$M$208=0,"",[1]对账明细接口!$M$208),"")</f>
        <v/>
      </c>
      <c r="N208" s="111" t="n">
        <f aca="false">IF($C208="",0,1)</f>
        <v>0</v>
      </c>
      <c r="O208" s="111" t="n">
        <f aca="false">N(O207)+$N208</f>
        <v>110</v>
      </c>
      <c r="S208" s="10" t="str">
        <f aca="false">IFERROR(IF([1]对账明细接口!$N208=0,"",[1]对账明细接口!$N208),"")</f>
        <v/>
      </c>
      <c r="T208" s="112" t="str">
        <f aca="false">IFERROR(IF([1]对账明细接口!$O208=0,"",[1]对账明细接口!$O208),"")</f>
        <v/>
      </c>
      <c r="U208" s="112" t="str">
        <f aca="false">IFERROR(IF([1]对账明细接口!$P208=0,"",[1]对账明细接口!$P208),"")</f>
        <v/>
      </c>
      <c r="V208" s="112" t="str">
        <f aca="false">IFERROR(IF([1]对账明细接口!$Q208=0,"",[1]对账明细接口!$Q208),"")</f>
        <v/>
      </c>
      <c r="W208" s="10" t="str">
        <f aca="false">IFERROR(IF([1]对账明细接口!$R208=0,"",[1]对账明细接口!$R208),"")</f>
        <v/>
      </c>
      <c r="X208" s="10" t="str">
        <f aca="false">IFERROR(IF([1]对账明细接口!$S208=0,"",[1]对账明细接口!$S208),"")</f>
        <v/>
      </c>
      <c r="Y208" s="10" t="str">
        <f aca="false">""</f>
        <v/>
      </c>
      <c r="Z208" s="10" t="str">
        <f aca="false">""</f>
        <v/>
      </c>
      <c r="AA208" s="10" t="str">
        <f aca="false">""</f>
        <v/>
      </c>
      <c r="AB208" s="10" t="str">
        <f aca="false">""</f>
        <v/>
      </c>
    </row>
    <row r="209" customFormat="false" ht="13.5" hidden="false" customHeight="false" outlineLevel="0" collapsed="false">
      <c r="A209" s="109" t="n">
        <v>209</v>
      </c>
      <c r="B209" s="110" t="str">
        <f aca="false">IFERROR(IF([1]对账明细接口!$B$209=0,"",[1]对账明细接口!$B$209),"")</f>
        <v/>
      </c>
      <c r="C209" s="59" t="str">
        <f aca="false">IFERROR(IF([1]对账明细接口!$C$209=0,"",[1]对账明细接口!$C$209),"")</f>
        <v/>
      </c>
      <c r="D209" s="59" t="str">
        <f aca="false">IFERROR(IF([1]对账明细接口!$D$209=0,"",[1]对账明细接口!$D$209),"")</f>
        <v/>
      </c>
      <c r="E209" s="59" t="str">
        <f aca="false">IFERROR(IF([1]对账明细接口!$E$209=0,"",[1]对账明细接口!$E$209),"")</f>
        <v/>
      </c>
      <c r="F209" s="59" t="str">
        <f aca="false">IFERROR(IF([1]对账明细接口!$F$209=0,"",[1]对账明细接口!$F$209),"")</f>
        <v/>
      </c>
      <c r="G209" s="59" t="str">
        <f aca="false">IFERROR(IF([1]对账明细接口!$G$209=0,"",[1]对账明细接口!$G$209),"")</f>
        <v/>
      </c>
      <c r="H209" s="60" t="str">
        <f aca="false">IFERROR(IF([1]对账明细接口!$H$209=0,"",[1]对账明细接口!$H$209),"")</f>
        <v/>
      </c>
      <c r="I209" s="59" t="str">
        <f aca="false">IFERROR(IF([1]对账明细接口!$I$209=0,"",[1]对账明细接口!$I$209),"")</f>
        <v/>
      </c>
      <c r="J209" s="61" t="str">
        <f aca="false">IFERROR(IF([1]对账明细接口!$J$209=0,"",[1]对账明细接口!$J$209),"")</f>
        <v/>
      </c>
      <c r="K209" s="61" t="str">
        <f aca="false">IFERROR(IF([1]对账明细接口!$K$209=0,"",[1]对账明细接口!$K$209),"")</f>
        <v/>
      </c>
      <c r="L209" s="59" t="str">
        <f aca="false">IFERROR(IF([1]对账明细接口!$L$209=0,"",[1]对账明细接口!$L$209),"")</f>
        <v/>
      </c>
      <c r="M209" s="59" t="str">
        <f aca="false">IFERROR(IF([1]对账明细接口!$M$209=0,"",[1]对账明细接口!$M$209),"")</f>
        <v/>
      </c>
      <c r="N209" s="111" t="n">
        <f aca="false">IF($C209="",0,1)</f>
        <v>0</v>
      </c>
      <c r="O209" s="111" t="n">
        <f aca="false">N(O208)+$N209</f>
        <v>110</v>
      </c>
      <c r="S209" s="10" t="str">
        <f aca="false">IFERROR(IF([1]对账明细接口!$N209=0,"",[1]对账明细接口!$N209),"")</f>
        <v/>
      </c>
      <c r="T209" s="112" t="str">
        <f aca="false">IFERROR(IF([1]对账明细接口!$O209=0,"",[1]对账明细接口!$O209),"")</f>
        <v/>
      </c>
      <c r="U209" s="112" t="str">
        <f aca="false">IFERROR(IF([1]对账明细接口!$P209=0,"",[1]对账明细接口!$P209),"")</f>
        <v/>
      </c>
      <c r="V209" s="112" t="str">
        <f aca="false">IFERROR(IF([1]对账明细接口!$Q209=0,"",[1]对账明细接口!$Q209),"")</f>
        <v/>
      </c>
      <c r="W209" s="10" t="str">
        <f aca="false">IFERROR(IF([1]对账明细接口!$R209=0,"",[1]对账明细接口!$R209),"")</f>
        <v/>
      </c>
      <c r="X209" s="10" t="str">
        <f aca="false">IFERROR(IF([1]对账明细接口!$S209=0,"",[1]对账明细接口!$S209),"")</f>
        <v/>
      </c>
      <c r="Y209" s="10" t="str">
        <f aca="false">""</f>
        <v/>
      </c>
      <c r="Z209" s="10" t="str">
        <f aca="false">""</f>
        <v/>
      </c>
      <c r="AA209" s="10" t="str">
        <f aca="false">""</f>
        <v/>
      </c>
      <c r="AB209" s="10" t="str">
        <f aca="false">""</f>
        <v/>
      </c>
    </row>
    <row r="210" customFormat="false" ht="13.5" hidden="false" customHeight="false" outlineLevel="0" collapsed="false">
      <c r="A210" s="109" t="n">
        <v>210</v>
      </c>
      <c r="B210" s="110" t="str">
        <f aca="false">IFERROR(IF([1]对账明细接口!$B$210=0,"",[1]对账明细接口!$B$210),"")</f>
        <v/>
      </c>
      <c r="C210" s="59" t="str">
        <f aca="false">IFERROR(IF([1]对账明细接口!$C$210=0,"",[1]对账明细接口!$C$210),"")</f>
        <v/>
      </c>
      <c r="D210" s="59" t="str">
        <f aca="false">IFERROR(IF([1]对账明细接口!$D$210=0,"",[1]对账明细接口!$D$210),"")</f>
        <v/>
      </c>
      <c r="E210" s="59" t="str">
        <f aca="false">IFERROR(IF([1]对账明细接口!$E$210=0,"",[1]对账明细接口!$E$210),"")</f>
        <v/>
      </c>
      <c r="F210" s="59" t="str">
        <f aca="false">IFERROR(IF([1]对账明细接口!$F$210=0,"",[1]对账明细接口!$F$210),"")</f>
        <v/>
      </c>
      <c r="G210" s="59" t="str">
        <f aca="false">IFERROR(IF([1]对账明细接口!$G$210=0,"",[1]对账明细接口!$G$210),"")</f>
        <v/>
      </c>
      <c r="H210" s="60" t="str">
        <f aca="false">IFERROR(IF([1]对账明细接口!$H$210=0,"",[1]对账明细接口!$H$210),"")</f>
        <v/>
      </c>
      <c r="I210" s="59" t="str">
        <f aca="false">IFERROR(IF([1]对账明细接口!$I$210=0,"",[1]对账明细接口!$I$210),"")</f>
        <v/>
      </c>
      <c r="J210" s="61" t="str">
        <f aca="false">IFERROR(IF([1]对账明细接口!$J$210=0,"",[1]对账明细接口!$J$210),"")</f>
        <v/>
      </c>
      <c r="K210" s="61" t="str">
        <f aca="false">IFERROR(IF([1]对账明细接口!$K$210=0,"",[1]对账明细接口!$K$210),"")</f>
        <v/>
      </c>
      <c r="L210" s="59" t="str">
        <f aca="false">IFERROR(IF([1]对账明细接口!$L$210=0,"",[1]对账明细接口!$L$210),"")</f>
        <v/>
      </c>
      <c r="M210" s="59" t="str">
        <f aca="false">IFERROR(IF([1]对账明细接口!$M$210=0,"",[1]对账明细接口!$M$210),"")</f>
        <v/>
      </c>
      <c r="N210" s="111" t="n">
        <f aca="false">IF($C210="",0,1)</f>
        <v>0</v>
      </c>
      <c r="O210" s="111" t="n">
        <f aca="false">N(O209)+$N210</f>
        <v>110</v>
      </c>
      <c r="S210" s="10" t="str">
        <f aca="false">IFERROR(IF([1]对账明细接口!$N210=0,"",[1]对账明细接口!$N210),"")</f>
        <v/>
      </c>
      <c r="T210" s="112" t="str">
        <f aca="false">IFERROR(IF([1]对账明细接口!$O210=0,"",[1]对账明细接口!$O210),"")</f>
        <v/>
      </c>
      <c r="U210" s="112" t="str">
        <f aca="false">IFERROR(IF([1]对账明细接口!$P210=0,"",[1]对账明细接口!$P210),"")</f>
        <v/>
      </c>
      <c r="V210" s="112" t="str">
        <f aca="false">IFERROR(IF([1]对账明细接口!$Q210=0,"",[1]对账明细接口!$Q210),"")</f>
        <v/>
      </c>
      <c r="W210" s="10" t="str">
        <f aca="false">IFERROR(IF([1]对账明细接口!$R210=0,"",[1]对账明细接口!$R210),"")</f>
        <v/>
      </c>
      <c r="X210" s="10" t="str">
        <f aca="false">IFERROR(IF([1]对账明细接口!$S210=0,"",[1]对账明细接口!$S210),"")</f>
        <v/>
      </c>
      <c r="Y210" s="10" t="str">
        <f aca="false">""</f>
        <v/>
      </c>
      <c r="Z210" s="10" t="str">
        <f aca="false">""</f>
        <v/>
      </c>
      <c r="AA210" s="10" t="str">
        <f aca="false">""</f>
        <v/>
      </c>
      <c r="AB210" s="10" t="str">
        <f aca="false">""</f>
        <v/>
      </c>
    </row>
    <row r="211" customFormat="false" ht="13.5" hidden="false" customHeight="false" outlineLevel="0" collapsed="false">
      <c r="A211" s="109" t="n">
        <v>211</v>
      </c>
      <c r="B211" s="110" t="str">
        <f aca="false">IFERROR(IF([1]对账明细接口!$B$211=0,"",[1]对账明细接口!$B$211),"")</f>
        <v/>
      </c>
      <c r="C211" s="59" t="str">
        <f aca="false">IFERROR(IF([1]对账明细接口!$C$211=0,"",[1]对账明细接口!$C$211),"")</f>
        <v/>
      </c>
      <c r="D211" s="59" t="str">
        <f aca="false">IFERROR(IF([1]对账明细接口!$D$211=0,"",[1]对账明细接口!$D$211),"")</f>
        <v/>
      </c>
      <c r="E211" s="59" t="str">
        <f aca="false">IFERROR(IF([1]对账明细接口!$E$211=0,"",[1]对账明细接口!$E$211),"")</f>
        <v/>
      </c>
      <c r="F211" s="59" t="str">
        <f aca="false">IFERROR(IF([1]对账明细接口!$F$211=0,"",[1]对账明细接口!$F$211),"")</f>
        <v/>
      </c>
      <c r="G211" s="59" t="str">
        <f aca="false">IFERROR(IF([1]对账明细接口!$G$211=0,"",[1]对账明细接口!$G$211),"")</f>
        <v/>
      </c>
      <c r="H211" s="60" t="str">
        <f aca="false">IFERROR(IF([1]对账明细接口!$H$211=0,"",[1]对账明细接口!$H$211),"")</f>
        <v/>
      </c>
      <c r="I211" s="59" t="str">
        <f aca="false">IFERROR(IF([1]对账明细接口!$I$211=0,"",[1]对账明细接口!$I$211),"")</f>
        <v/>
      </c>
      <c r="J211" s="61" t="str">
        <f aca="false">IFERROR(IF([1]对账明细接口!$J$211=0,"",[1]对账明细接口!$J$211),"")</f>
        <v/>
      </c>
      <c r="K211" s="61" t="str">
        <f aca="false">IFERROR(IF([1]对账明细接口!$K$211=0,"",[1]对账明细接口!$K$211),"")</f>
        <v/>
      </c>
      <c r="L211" s="59" t="str">
        <f aca="false">IFERROR(IF([1]对账明细接口!$L$211=0,"",[1]对账明细接口!$L$211),"")</f>
        <v/>
      </c>
      <c r="M211" s="59" t="str">
        <f aca="false">IFERROR(IF([1]对账明细接口!$M$211=0,"",[1]对账明细接口!$M$211),"")</f>
        <v/>
      </c>
      <c r="N211" s="111" t="n">
        <f aca="false">IF($C211="",0,1)</f>
        <v>0</v>
      </c>
      <c r="O211" s="111" t="n">
        <f aca="false">N(O210)+$N211</f>
        <v>110</v>
      </c>
      <c r="S211" s="10" t="str">
        <f aca="false">IFERROR(IF([1]对账明细接口!$N211=0,"",[1]对账明细接口!$N211),"")</f>
        <v/>
      </c>
      <c r="T211" s="112" t="str">
        <f aca="false">IFERROR(IF([1]对账明细接口!$O211=0,"",[1]对账明细接口!$O211),"")</f>
        <v/>
      </c>
      <c r="U211" s="112" t="str">
        <f aca="false">IFERROR(IF([1]对账明细接口!$P211=0,"",[1]对账明细接口!$P211),"")</f>
        <v/>
      </c>
      <c r="V211" s="112" t="str">
        <f aca="false">IFERROR(IF([1]对账明细接口!$Q211=0,"",[1]对账明细接口!$Q211),"")</f>
        <v/>
      </c>
      <c r="W211" s="10" t="str">
        <f aca="false">IFERROR(IF([1]对账明细接口!$R211=0,"",[1]对账明细接口!$R211),"")</f>
        <v/>
      </c>
      <c r="X211" s="10" t="str">
        <f aca="false">IFERROR(IF([1]对账明细接口!$S211=0,"",[1]对账明细接口!$S211),"")</f>
        <v/>
      </c>
      <c r="Y211" s="10" t="str">
        <f aca="false">""</f>
        <v/>
      </c>
      <c r="Z211" s="10" t="str">
        <f aca="false">""</f>
        <v/>
      </c>
      <c r="AA211" s="10" t="str">
        <f aca="false">""</f>
        <v/>
      </c>
      <c r="AB211" s="10" t="str">
        <f aca="false">""</f>
        <v/>
      </c>
    </row>
    <row r="212" customFormat="false" ht="13.5" hidden="false" customHeight="false" outlineLevel="0" collapsed="false">
      <c r="A212" s="109" t="n">
        <v>212</v>
      </c>
      <c r="B212" s="110" t="str">
        <f aca="false">IFERROR(IF([1]对账明细接口!$B$212=0,"",[1]对账明细接口!$B$212),"")</f>
        <v/>
      </c>
      <c r="C212" s="59" t="str">
        <f aca="false">IFERROR(IF([1]对账明细接口!$C$212=0,"",[1]对账明细接口!$C$212),"")</f>
        <v/>
      </c>
      <c r="D212" s="59" t="str">
        <f aca="false">IFERROR(IF([1]对账明细接口!$D$212=0,"",[1]对账明细接口!$D$212),"")</f>
        <v/>
      </c>
      <c r="E212" s="59" t="str">
        <f aca="false">IFERROR(IF([1]对账明细接口!$E$212=0,"",[1]对账明细接口!$E$212),"")</f>
        <v/>
      </c>
      <c r="F212" s="59" t="str">
        <f aca="false">IFERROR(IF([1]对账明细接口!$F$212=0,"",[1]对账明细接口!$F$212),"")</f>
        <v/>
      </c>
      <c r="G212" s="59" t="str">
        <f aca="false">IFERROR(IF([1]对账明细接口!$G$212=0,"",[1]对账明细接口!$G$212),"")</f>
        <v/>
      </c>
      <c r="H212" s="60" t="str">
        <f aca="false">IFERROR(IF([1]对账明细接口!$H$212=0,"",[1]对账明细接口!$H$212),"")</f>
        <v/>
      </c>
      <c r="I212" s="59" t="str">
        <f aca="false">IFERROR(IF([1]对账明细接口!$I$212=0,"",[1]对账明细接口!$I$212),"")</f>
        <v/>
      </c>
      <c r="J212" s="61" t="str">
        <f aca="false">IFERROR(IF([1]对账明细接口!$J$212=0,"",[1]对账明细接口!$J$212),"")</f>
        <v/>
      </c>
      <c r="K212" s="61" t="str">
        <f aca="false">IFERROR(IF([1]对账明细接口!$K$212=0,"",[1]对账明细接口!$K$212),"")</f>
        <v/>
      </c>
      <c r="L212" s="59" t="str">
        <f aca="false">IFERROR(IF([1]对账明细接口!$L$212=0,"",[1]对账明细接口!$L$212),"")</f>
        <v/>
      </c>
      <c r="M212" s="59" t="str">
        <f aca="false">IFERROR(IF([1]对账明细接口!$M$212=0,"",[1]对账明细接口!$M$212),"")</f>
        <v/>
      </c>
      <c r="N212" s="111" t="n">
        <f aca="false">IF($C212="",0,1)</f>
        <v>0</v>
      </c>
      <c r="O212" s="111" t="n">
        <f aca="false">N(O211)+$N212</f>
        <v>110</v>
      </c>
      <c r="S212" s="10" t="str">
        <f aca="false">IFERROR(IF([1]对账明细接口!$N212=0,"",[1]对账明细接口!$N212),"")</f>
        <v/>
      </c>
      <c r="T212" s="112" t="str">
        <f aca="false">IFERROR(IF([1]对账明细接口!$O212=0,"",[1]对账明细接口!$O212),"")</f>
        <v/>
      </c>
      <c r="U212" s="112" t="str">
        <f aca="false">IFERROR(IF([1]对账明细接口!$P212=0,"",[1]对账明细接口!$P212),"")</f>
        <v/>
      </c>
      <c r="V212" s="112" t="str">
        <f aca="false">IFERROR(IF([1]对账明细接口!$Q212=0,"",[1]对账明细接口!$Q212),"")</f>
        <v/>
      </c>
      <c r="W212" s="10" t="str">
        <f aca="false">IFERROR(IF([1]对账明细接口!$R212=0,"",[1]对账明细接口!$R212),"")</f>
        <v/>
      </c>
      <c r="X212" s="10" t="str">
        <f aca="false">IFERROR(IF([1]对账明细接口!$S212=0,"",[1]对账明细接口!$S212),"")</f>
        <v/>
      </c>
      <c r="Y212" s="10" t="str">
        <f aca="false">""</f>
        <v/>
      </c>
      <c r="Z212" s="10" t="str">
        <f aca="false">""</f>
        <v/>
      </c>
      <c r="AA212" s="10" t="str">
        <f aca="false">""</f>
        <v/>
      </c>
      <c r="AB212" s="10" t="str">
        <f aca="false">""</f>
        <v/>
      </c>
    </row>
    <row r="213" customFormat="false" ht="13.5" hidden="false" customHeight="false" outlineLevel="0" collapsed="false">
      <c r="A213" s="109" t="n">
        <v>213</v>
      </c>
      <c r="B213" s="110" t="str">
        <f aca="false">IFERROR(IF([1]对账明细接口!$B$213=0,"",[1]对账明细接口!$B$213),"")</f>
        <v/>
      </c>
      <c r="C213" s="59" t="str">
        <f aca="false">IFERROR(IF([1]对账明细接口!$C$213=0,"",[1]对账明细接口!$C$213),"")</f>
        <v/>
      </c>
      <c r="D213" s="59" t="str">
        <f aca="false">IFERROR(IF([1]对账明细接口!$D$213=0,"",[1]对账明细接口!$D$213),"")</f>
        <v/>
      </c>
      <c r="E213" s="59" t="str">
        <f aca="false">IFERROR(IF([1]对账明细接口!$E$213=0,"",[1]对账明细接口!$E$213),"")</f>
        <v/>
      </c>
      <c r="F213" s="59" t="str">
        <f aca="false">IFERROR(IF([1]对账明细接口!$F$213=0,"",[1]对账明细接口!$F$213),"")</f>
        <v/>
      </c>
      <c r="G213" s="59" t="str">
        <f aca="false">IFERROR(IF([1]对账明细接口!$G$213=0,"",[1]对账明细接口!$G$213),"")</f>
        <v/>
      </c>
      <c r="H213" s="60" t="str">
        <f aca="false">IFERROR(IF([1]对账明细接口!$H$213=0,"",[1]对账明细接口!$H$213),"")</f>
        <v/>
      </c>
      <c r="I213" s="59" t="str">
        <f aca="false">IFERROR(IF([1]对账明细接口!$I$213=0,"",[1]对账明细接口!$I$213),"")</f>
        <v/>
      </c>
      <c r="J213" s="61" t="str">
        <f aca="false">IFERROR(IF([1]对账明细接口!$J$213=0,"",[1]对账明细接口!$J$213),"")</f>
        <v/>
      </c>
      <c r="K213" s="61" t="str">
        <f aca="false">IFERROR(IF([1]对账明细接口!$K$213=0,"",[1]对账明细接口!$K$213),"")</f>
        <v/>
      </c>
      <c r="L213" s="59" t="str">
        <f aca="false">IFERROR(IF([1]对账明细接口!$L$213=0,"",[1]对账明细接口!$L$213),"")</f>
        <v/>
      </c>
      <c r="M213" s="59" t="str">
        <f aca="false">IFERROR(IF([1]对账明细接口!$M$213=0,"",[1]对账明细接口!$M$213),"")</f>
        <v/>
      </c>
      <c r="N213" s="111" t="n">
        <f aca="false">IF($C213="",0,1)</f>
        <v>0</v>
      </c>
      <c r="O213" s="111" t="n">
        <f aca="false">N(O212)+$N213</f>
        <v>110</v>
      </c>
      <c r="S213" s="10" t="str">
        <f aca="false">IFERROR(IF([1]对账明细接口!$N213=0,"",[1]对账明细接口!$N213),"")</f>
        <v/>
      </c>
      <c r="T213" s="112" t="str">
        <f aca="false">IFERROR(IF([1]对账明细接口!$O213=0,"",[1]对账明细接口!$O213),"")</f>
        <v/>
      </c>
      <c r="U213" s="112" t="str">
        <f aca="false">IFERROR(IF([1]对账明细接口!$P213=0,"",[1]对账明细接口!$P213),"")</f>
        <v/>
      </c>
      <c r="V213" s="112" t="str">
        <f aca="false">IFERROR(IF([1]对账明细接口!$Q213=0,"",[1]对账明细接口!$Q213),"")</f>
        <v/>
      </c>
      <c r="W213" s="10" t="str">
        <f aca="false">IFERROR(IF([1]对账明细接口!$R213=0,"",[1]对账明细接口!$R213),"")</f>
        <v/>
      </c>
      <c r="X213" s="10" t="str">
        <f aca="false">IFERROR(IF([1]对账明细接口!$S213=0,"",[1]对账明细接口!$S213),"")</f>
        <v/>
      </c>
      <c r="Y213" s="10" t="str">
        <f aca="false">""</f>
        <v/>
      </c>
      <c r="Z213" s="10" t="str">
        <f aca="false">""</f>
        <v/>
      </c>
      <c r="AA213" s="10" t="str">
        <f aca="false">""</f>
        <v/>
      </c>
      <c r="AB213" s="10" t="str">
        <f aca="false">""</f>
        <v/>
      </c>
    </row>
    <row r="214" customFormat="false" ht="13.5" hidden="false" customHeight="false" outlineLevel="0" collapsed="false">
      <c r="A214" s="109" t="n">
        <v>214</v>
      </c>
      <c r="B214" s="110" t="str">
        <f aca="false">IFERROR(IF([1]对账明细接口!$B$214=0,"",[1]对账明细接口!$B$214),"")</f>
        <v/>
      </c>
      <c r="C214" s="59" t="str">
        <f aca="false">IFERROR(IF([1]对账明细接口!$C$214=0,"",[1]对账明细接口!$C$214),"")</f>
        <v/>
      </c>
      <c r="D214" s="59" t="str">
        <f aca="false">IFERROR(IF([1]对账明细接口!$D$214=0,"",[1]对账明细接口!$D$214),"")</f>
        <v/>
      </c>
      <c r="E214" s="59" t="str">
        <f aca="false">IFERROR(IF([1]对账明细接口!$E$214=0,"",[1]对账明细接口!$E$214),"")</f>
        <v/>
      </c>
      <c r="F214" s="59" t="str">
        <f aca="false">IFERROR(IF([1]对账明细接口!$F$214=0,"",[1]对账明细接口!$F$214),"")</f>
        <v/>
      </c>
      <c r="G214" s="59" t="str">
        <f aca="false">IFERROR(IF([1]对账明细接口!$G$214=0,"",[1]对账明细接口!$G$214),"")</f>
        <v/>
      </c>
      <c r="H214" s="60" t="str">
        <f aca="false">IFERROR(IF([1]对账明细接口!$H$214=0,"",[1]对账明细接口!$H$214),"")</f>
        <v/>
      </c>
      <c r="I214" s="59" t="str">
        <f aca="false">IFERROR(IF([1]对账明细接口!$I$214=0,"",[1]对账明细接口!$I$214),"")</f>
        <v/>
      </c>
      <c r="J214" s="61" t="str">
        <f aca="false">IFERROR(IF([1]对账明细接口!$J$214=0,"",[1]对账明细接口!$J$214),"")</f>
        <v/>
      </c>
      <c r="K214" s="61" t="str">
        <f aca="false">IFERROR(IF([1]对账明细接口!$K$214=0,"",[1]对账明细接口!$K$214),"")</f>
        <v/>
      </c>
      <c r="L214" s="59" t="str">
        <f aca="false">IFERROR(IF([1]对账明细接口!$L$214=0,"",[1]对账明细接口!$L$214),"")</f>
        <v/>
      </c>
      <c r="M214" s="59" t="str">
        <f aca="false">IFERROR(IF([1]对账明细接口!$M$214=0,"",[1]对账明细接口!$M$214),"")</f>
        <v/>
      </c>
      <c r="N214" s="111" t="n">
        <f aca="false">IF($C214="",0,1)</f>
        <v>0</v>
      </c>
      <c r="O214" s="111" t="n">
        <f aca="false">N(O213)+$N214</f>
        <v>110</v>
      </c>
      <c r="S214" s="10" t="str">
        <f aca="false">IFERROR(IF([1]对账明细接口!$N214=0,"",[1]对账明细接口!$N214),"")</f>
        <v/>
      </c>
      <c r="T214" s="112" t="str">
        <f aca="false">IFERROR(IF([1]对账明细接口!$O214=0,"",[1]对账明细接口!$O214),"")</f>
        <v/>
      </c>
      <c r="U214" s="112" t="str">
        <f aca="false">IFERROR(IF([1]对账明细接口!$P214=0,"",[1]对账明细接口!$P214),"")</f>
        <v/>
      </c>
      <c r="V214" s="112" t="str">
        <f aca="false">IFERROR(IF([1]对账明细接口!$Q214=0,"",[1]对账明细接口!$Q214),"")</f>
        <v/>
      </c>
      <c r="W214" s="10" t="str">
        <f aca="false">IFERROR(IF([1]对账明细接口!$R214=0,"",[1]对账明细接口!$R214),"")</f>
        <v/>
      </c>
      <c r="X214" s="10" t="str">
        <f aca="false">IFERROR(IF([1]对账明细接口!$S214=0,"",[1]对账明细接口!$S214),"")</f>
        <v/>
      </c>
      <c r="Y214" s="10" t="str">
        <f aca="false">""</f>
        <v/>
      </c>
      <c r="Z214" s="10" t="str">
        <f aca="false">""</f>
        <v/>
      </c>
      <c r="AA214" s="10" t="str">
        <f aca="false">""</f>
        <v/>
      </c>
      <c r="AB214" s="10" t="str">
        <f aca="false">""</f>
        <v/>
      </c>
    </row>
    <row r="215" customFormat="false" ht="13.5" hidden="false" customHeight="false" outlineLevel="0" collapsed="false">
      <c r="A215" s="109" t="n">
        <v>215</v>
      </c>
      <c r="B215" s="110" t="str">
        <f aca="false">IFERROR(IF([1]对账明细接口!$B$215=0,"",[1]对账明细接口!$B$215),"")</f>
        <v/>
      </c>
      <c r="C215" s="59" t="str">
        <f aca="false">IFERROR(IF([1]对账明细接口!$C$215=0,"",[1]对账明细接口!$C$215),"")</f>
        <v/>
      </c>
      <c r="D215" s="59" t="str">
        <f aca="false">IFERROR(IF([1]对账明细接口!$D$215=0,"",[1]对账明细接口!$D$215),"")</f>
        <v/>
      </c>
      <c r="E215" s="59" t="str">
        <f aca="false">IFERROR(IF([1]对账明细接口!$E$215=0,"",[1]对账明细接口!$E$215),"")</f>
        <v/>
      </c>
      <c r="F215" s="59" t="str">
        <f aca="false">IFERROR(IF([1]对账明细接口!$F$215=0,"",[1]对账明细接口!$F$215),"")</f>
        <v/>
      </c>
      <c r="G215" s="59" t="str">
        <f aca="false">IFERROR(IF([1]对账明细接口!$G$215=0,"",[1]对账明细接口!$G$215),"")</f>
        <v/>
      </c>
      <c r="H215" s="60" t="str">
        <f aca="false">IFERROR(IF([1]对账明细接口!$H$215=0,"",[1]对账明细接口!$H$215),"")</f>
        <v/>
      </c>
      <c r="I215" s="59" t="str">
        <f aca="false">IFERROR(IF([1]对账明细接口!$I$215=0,"",[1]对账明细接口!$I$215),"")</f>
        <v/>
      </c>
      <c r="J215" s="61" t="str">
        <f aca="false">IFERROR(IF([1]对账明细接口!$J$215=0,"",[1]对账明细接口!$J$215),"")</f>
        <v/>
      </c>
      <c r="K215" s="61" t="str">
        <f aca="false">IFERROR(IF([1]对账明细接口!$K$215=0,"",[1]对账明细接口!$K$215),"")</f>
        <v/>
      </c>
      <c r="L215" s="59" t="str">
        <f aca="false">IFERROR(IF([1]对账明细接口!$L$215=0,"",[1]对账明细接口!$L$215),"")</f>
        <v/>
      </c>
      <c r="M215" s="59" t="str">
        <f aca="false">IFERROR(IF([1]对账明细接口!$M$215=0,"",[1]对账明细接口!$M$215),"")</f>
        <v/>
      </c>
      <c r="N215" s="111" t="n">
        <f aca="false">IF($C215="",0,1)</f>
        <v>0</v>
      </c>
      <c r="O215" s="111" t="n">
        <f aca="false">N(O214)+$N215</f>
        <v>110</v>
      </c>
      <c r="S215" s="10" t="str">
        <f aca="false">IFERROR(IF([1]对账明细接口!$N215=0,"",[1]对账明细接口!$N215),"")</f>
        <v/>
      </c>
      <c r="T215" s="112" t="str">
        <f aca="false">IFERROR(IF([1]对账明细接口!$O215=0,"",[1]对账明细接口!$O215),"")</f>
        <v/>
      </c>
      <c r="U215" s="112" t="str">
        <f aca="false">IFERROR(IF([1]对账明细接口!$P215=0,"",[1]对账明细接口!$P215),"")</f>
        <v/>
      </c>
      <c r="V215" s="112" t="str">
        <f aca="false">IFERROR(IF([1]对账明细接口!$Q215=0,"",[1]对账明细接口!$Q215),"")</f>
        <v/>
      </c>
      <c r="W215" s="10" t="str">
        <f aca="false">IFERROR(IF([1]对账明细接口!$R215=0,"",[1]对账明细接口!$R215),"")</f>
        <v/>
      </c>
      <c r="X215" s="10" t="str">
        <f aca="false">IFERROR(IF([1]对账明细接口!$S215=0,"",[1]对账明细接口!$S215),"")</f>
        <v/>
      </c>
      <c r="Y215" s="10" t="str">
        <f aca="false">""</f>
        <v/>
      </c>
      <c r="Z215" s="10" t="str">
        <f aca="false">""</f>
        <v/>
      </c>
      <c r="AA215" s="10" t="str">
        <f aca="false">""</f>
        <v/>
      </c>
      <c r="AB215" s="10" t="str">
        <f aca="false">""</f>
        <v/>
      </c>
    </row>
    <row r="216" customFormat="false" ht="13.5" hidden="false" customHeight="false" outlineLevel="0" collapsed="false">
      <c r="A216" s="109" t="n">
        <v>216</v>
      </c>
      <c r="B216" s="110" t="str">
        <f aca="false">IFERROR(IF([1]对账明细接口!$B$216=0,"",[1]对账明细接口!$B$216),"")</f>
        <v/>
      </c>
      <c r="C216" s="59" t="str">
        <f aca="false">IFERROR(IF([1]对账明细接口!$C$216=0,"",[1]对账明细接口!$C$216),"")</f>
        <v/>
      </c>
      <c r="D216" s="59" t="str">
        <f aca="false">IFERROR(IF([1]对账明细接口!$D$216=0,"",[1]对账明细接口!$D$216),"")</f>
        <v/>
      </c>
      <c r="E216" s="59" t="str">
        <f aca="false">IFERROR(IF([1]对账明细接口!$E$216=0,"",[1]对账明细接口!$E$216),"")</f>
        <v/>
      </c>
      <c r="F216" s="59" t="str">
        <f aca="false">IFERROR(IF([1]对账明细接口!$F$216=0,"",[1]对账明细接口!$F$216),"")</f>
        <v/>
      </c>
      <c r="G216" s="59" t="str">
        <f aca="false">IFERROR(IF([1]对账明细接口!$G$216=0,"",[1]对账明细接口!$G$216),"")</f>
        <v/>
      </c>
      <c r="H216" s="60" t="str">
        <f aca="false">IFERROR(IF([1]对账明细接口!$H$216=0,"",[1]对账明细接口!$H$216),"")</f>
        <v/>
      </c>
      <c r="I216" s="59" t="str">
        <f aca="false">IFERROR(IF([1]对账明细接口!$I$216=0,"",[1]对账明细接口!$I$216),"")</f>
        <v/>
      </c>
      <c r="J216" s="61" t="str">
        <f aca="false">IFERROR(IF([1]对账明细接口!$J$216=0,"",[1]对账明细接口!$J$216),"")</f>
        <v/>
      </c>
      <c r="K216" s="61" t="str">
        <f aca="false">IFERROR(IF([1]对账明细接口!$K$216=0,"",[1]对账明细接口!$K$216),"")</f>
        <v/>
      </c>
      <c r="L216" s="59" t="str">
        <f aca="false">IFERROR(IF([1]对账明细接口!$L$216=0,"",[1]对账明细接口!$L$216),"")</f>
        <v/>
      </c>
      <c r="M216" s="59" t="str">
        <f aca="false">IFERROR(IF([1]对账明细接口!$M$216=0,"",[1]对账明细接口!$M$216),"")</f>
        <v/>
      </c>
      <c r="N216" s="111" t="n">
        <f aca="false">IF($C216="",0,1)</f>
        <v>0</v>
      </c>
      <c r="O216" s="111" t="n">
        <f aca="false">N(O215)+$N216</f>
        <v>110</v>
      </c>
      <c r="S216" s="10" t="str">
        <f aca="false">IFERROR(IF([1]对账明细接口!$N216=0,"",[1]对账明细接口!$N216),"")</f>
        <v/>
      </c>
      <c r="T216" s="112" t="str">
        <f aca="false">IFERROR(IF([1]对账明细接口!$O216=0,"",[1]对账明细接口!$O216),"")</f>
        <v/>
      </c>
      <c r="U216" s="112" t="str">
        <f aca="false">IFERROR(IF([1]对账明细接口!$P216=0,"",[1]对账明细接口!$P216),"")</f>
        <v/>
      </c>
      <c r="V216" s="112" t="str">
        <f aca="false">IFERROR(IF([1]对账明细接口!$Q216=0,"",[1]对账明细接口!$Q216),"")</f>
        <v/>
      </c>
      <c r="W216" s="10" t="str">
        <f aca="false">IFERROR(IF([1]对账明细接口!$R216=0,"",[1]对账明细接口!$R216),"")</f>
        <v/>
      </c>
      <c r="X216" s="10" t="str">
        <f aca="false">IFERROR(IF([1]对账明细接口!$S216=0,"",[1]对账明细接口!$S216),"")</f>
        <v/>
      </c>
      <c r="Y216" s="10" t="str">
        <f aca="false">""</f>
        <v/>
      </c>
      <c r="Z216" s="10" t="str">
        <f aca="false">""</f>
        <v/>
      </c>
      <c r="AA216" s="10" t="str">
        <f aca="false">""</f>
        <v/>
      </c>
      <c r="AB216" s="10" t="str">
        <f aca="false">""</f>
        <v/>
      </c>
    </row>
    <row r="217" customFormat="false" ht="13.5" hidden="false" customHeight="false" outlineLevel="0" collapsed="false">
      <c r="A217" s="109" t="n">
        <v>217</v>
      </c>
      <c r="B217" s="110" t="str">
        <f aca="false">IFERROR(IF([1]对账明细接口!$B$217=0,"",[1]对账明细接口!$B$217),"")</f>
        <v/>
      </c>
      <c r="C217" s="59" t="str">
        <f aca="false">IFERROR(IF([1]对账明细接口!$C$217=0,"",[1]对账明细接口!$C$217),"")</f>
        <v/>
      </c>
      <c r="D217" s="59" t="str">
        <f aca="false">IFERROR(IF([1]对账明细接口!$D$217=0,"",[1]对账明细接口!$D$217),"")</f>
        <v/>
      </c>
      <c r="E217" s="59" t="str">
        <f aca="false">IFERROR(IF([1]对账明细接口!$E$217=0,"",[1]对账明细接口!$E$217),"")</f>
        <v/>
      </c>
      <c r="F217" s="59" t="str">
        <f aca="false">IFERROR(IF([1]对账明细接口!$F$217=0,"",[1]对账明细接口!$F$217),"")</f>
        <v/>
      </c>
      <c r="G217" s="59" t="str">
        <f aca="false">IFERROR(IF([1]对账明细接口!$G$217=0,"",[1]对账明细接口!$G$217),"")</f>
        <v/>
      </c>
      <c r="H217" s="60" t="str">
        <f aca="false">IFERROR(IF([1]对账明细接口!$H$217=0,"",[1]对账明细接口!$H$217),"")</f>
        <v/>
      </c>
      <c r="I217" s="59" t="str">
        <f aca="false">IFERROR(IF([1]对账明细接口!$I$217=0,"",[1]对账明细接口!$I$217),"")</f>
        <v/>
      </c>
      <c r="J217" s="61" t="str">
        <f aca="false">IFERROR(IF([1]对账明细接口!$J$217=0,"",[1]对账明细接口!$J$217),"")</f>
        <v/>
      </c>
      <c r="K217" s="61" t="str">
        <f aca="false">IFERROR(IF([1]对账明细接口!$K$217=0,"",[1]对账明细接口!$K$217),"")</f>
        <v/>
      </c>
      <c r="L217" s="59" t="str">
        <f aca="false">IFERROR(IF([1]对账明细接口!$L$217=0,"",[1]对账明细接口!$L$217),"")</f>
        <v/>
      </c>
      <c r="M217" s="59" t="str">
        <f aca="false">IFERROR(IF([1]对账明细接口!$M$217=0,"",[1]对账明细接口!$M$217),"")</f>
        <v/>
      </c>
      <c r="N217" s="111" t="n">
        <f aca="false">IF($C217="",0,1)</f>
        <v>0</v>
      </c>
      <c r="O217" s="111" t="n">
        <f aca="false">N(O216)+$N217</f>
        <v>110</v>
      </c>
      <c r="S217" s="10" t="str">
        <f aca="false">IFERROR(IF([1]对账明细接口!$N217=0,"",[1]对账明细接口!$N217),"")</f>
        <v/>
      </c>
      <c r="T217" s="112" t="str">
        <f aca="false">IFERROR(IF([1]对账明细接口!$O217=0,"",[1]对账明细接口!$O217),"")</f>
        <v/>
      </c>
      <c r="U217" s="112" t="str">
        <f aca="false">IFERROR(IF([1]对账明细接口!$P217=0,"",[1]对账明细接口!$P217),"")</f>
        <v/>
      </c>
      <c r="V217" s="112" t="str">
        <f aca="false">IFERROR(IF([1]对账明细接口!$Q217=0,"",[1]对账明细接口!$Q217),"")</f>
        <v/>
      </c>
      <c r="W217" s="10" t="str">
        <f aca="false">IFERROR(IF([1]对账明细接口!$R217=0,"",[1]对账明细接口!$R217),"")</f>
        <v/>
      </c>
      <c r="X217" s="10" t="str">
        <f aca="false">IFERROR(IF([1]对账明细接口!$S217=0,"",[1]对账明细接口!$S217),"")</f>
        <v/>
      </c>
      <c r="Y217" s="10" t="str">
        <f aca="false">""</f>
        <v/>
      </c>
      <c r="Z217" s="10" t="str">
        <f aca="false">""</f>
        <v/>
      </c>
      <c r="AA217" s="10" t="str">
        <f aca="false">""</f>
        <v/>
      </c>
      <c r="AB217" s="10" t="str">
        <f aca="false">""</f>
        <v/>
      </c>
    </row>
    <row r="218" customFormat="false" ht="13.5" hidden="false" customHeight="false" outlineLevel="0" collapsed="false">
      <c r="A218" s="109" t="n">
        <v>218</v>
      </c>
      <c r="B218" s="110" t="str">
        <f aca="false">IFERROR(IF([1]对账明细接口!$B$218=0,"",[1]对账明细接口!$B$218),"")</f>
        <v/>
      </c>
      <c r="C218" s="59" t="str">
        <f aca="false">IFERROR(IF([1]对账明细接口!$C$218=0,"",[1]对账明细接口!$C$218),"")</f>
        <v/>
      </c>
      <c r="D218" s="59" t="str">
        <f aca="false">IFERROR(IF([1]对账明细接口!$D$218=0,"",[1]对账明细接口!$D$218),"")</f>
        <v/>
      </c>
      <c r="E218" s="59" t="str">
        <f aca="false">IFERROR(IF([1]对账明细接口!$E$218=0,"",[1]对账明细接口!$E$218),"")</f>
        <v/>
      </c>
      <c r="F218" s="59" t="str">
        <f aca="false">IFERROR(IF([1]对账明细接口!$F$218=0,"",[1]对账明细接口!$F$218),"")</f>
        <v/>
      </c>
      <c r="G218" s="59" t="str">
        <f aca="false">IFERROR(IF([1]对账明细接口!$G$218=0,"",[1]对账明细接口!$G$218),"")</f>
        <v/>
      </c>
      <c r="H218" s="60" t="str">
        <f aca="false">IFERROR(IF([1]对账明细接口!$H$218=0,"",[1]对账明细接口!$H$218),"")</f>
        <v/>
      </c>
      <c r="I218" s="59" t="str">
        <f aca="false">IFERROR(IF([1]对账明细接口!$I$218=0,"",[1]对账明细接口!$I$218),"")</f>
        <v/>
      </c>
      <c r="J218" s="61" t="str">
        <f aca="false">IFERROR(IF([1]对账明细接口!$J$218=0,"",[1]对账明细接口!$J$218),"")</f>
        <v/>
      </c>
      <c r="K218" s="61" t="str">
        <f aca="false">IFERROR(IF([1]对账明细接口!$K$218=0,"",[1]对账明细接口!$K$218),"")</f>
        <v/>
      </c>
      <c r="L218" s="59" t="str">
        <f aca="false">IFERROR(IF([1]对账明细接口!$L$218=0,"",[1]对账明细接口!$L$218),"")</f>
        <v/>
      </c>
      <c r="M218" s="59" t="str">
        <f aca="false">IFERROR(IF([1]对账明细接口!$M$218=0,"",[1]对账明细接口!$M$218),"")</f>
        <v/>
      </c>
      <c r="N218" s="111" t="n">
        <f aca="false">IF($C218="",0,1)</f>
        <v>0</v>
      </c>
      <c r="O218" s="111" t="n">
        <f aca="false">N(O217)+$N218</f>
        <v>110</v>
      </c>
      <c r="S218" s="10" t="str">
        <f aca="false">IFERROR(IF([1]对账明细接口!$N218=0,"",[1]对账明细接口!$N218),"")</f>
        <v/>
      </c>
      <c r="T218" s="112" t="str">
        <f aca="false">IFERROR(IF([1]对账明细接口!$O218=0,"",[1]对账明细接口!$O218),"")</f>
        <v/>
      </c>
      <c r="U218" s="112" t="str">
        <f aca="false">IFERROR(IF([1]对账明细接口!$P218=0,"",[1]对账明细接口!$P218),"")</f>
        <v/>
      </c>
      <c r="V218" s="112" t="str">
        <f aca="false">IFERROR(IF([1]对账明细接口!$Q218=0,"",[1]对账明细接口!$Q218),"")</f>
        <v/>
      </c>
      <c r="W218" s="10" t="str">
        <f aca="false">IFERROR(IF([1]对账明细接口!$R218=0,"",[1]对账明细接口!$R218),"")</f>
        <v/>
      </c>
      <c r="X218" s="10" t="str">
        <f aca="false">IFERROR(IF([1]对账明细接口!$S218=0,"",[1]对账明细接口!$S218),"")</f>
        <v/>
      </c>
      <c r="Y218" s="10" t="str">
        <f aca="false">""</f>
        <v/>
      </c>
      <c r="Z218" s="10" t="str">
        <f aca="false">""</f>
        <v/>
      </c>
      <c r="AA218" s="10" t="str">
        <f aca="false">""</f>
        <v/>
      </c>
      <c r="AB218" s="10" t="str">
        <f aca="false">""</f>
        <v/>
      </c>
    </row>
    <row r="219" customFormat="false" ht="13.5" hidden="false" customHeight="false" outlineLevel="0" collapsed="false">
      <c r="A219" s="109" t="n">
        <v>219</v>
      </c>
      <c r="B219" s="110" t="str">
        <f aca="false">IFERROR(IF([1]对账明细接口!$B$219=0,"",[1]对账明细接口!$B$219),"")</f>
        <v/>
      </c>
      <c r="C219" s="59" t="str">
        <f aca="false">IFERROR(IF([1]对账明细接口!$C$219=0,"",[1]对账明细接口!$C$219),"")</f>
        <v/>
      </c>
      <c r="D219" s="59" t="str">
        <f aca="false">IFERROR(IF([1]对账明细接口!$D$219=0,"",[1]对账明细接口!$D$219),"")</f>
        <v/>
      </c>
      <c r="E219" s="59" t="str">
        <f aca="false">IFERROR(IF([1]对账明细接口!$E$219=0,"",[1]对账明细接口!$E$219),"")</f>
        <v/>
      </c>
      <c r="F219" s="59" t="str">
        <f aca="false">IFERROR(IF([1]对账明细接口!$F$219=0,"",[1]对账明细接口!$F$219),"")</f>
        <v/>
      </c>
      <c r="G219" s="59" t="str">
        <f aca="false">IFERROR(IF([1]对账明细接口!$G$219=0,"",[1]对账明细接口!$G$219),"")</f>
        <v/>
      </c>
      <c r="H219" s="60" t="str">
        <f aca="false">IFERROR(IF([1]对账明细接口!$H$219=0,"",[1]对账明细接口!$H$219),"")</f>
        <v/>
      </c>
      <c r="I219" s="59" t="str">
        <f aca="false">IFERROR(IF([1]对账明细接口!$I$219=0,"",[1]对账明细接口!$I$219),"")</f>
        <v/>
      </c>
      <c r="J219" s="61" t="str">
        <f aca="false">IFERROR(IF([1]对账明细接口!$J$219=0,"",[1]对账明细接口!$J$219),"")</f>
        <v/>
      </c>
      <c r="K219" s="61" t="str">
        <f aca="false">IFERROR(IF([1]对账明细接口!$K$219=0,"",[1]对账明细接口!$K$219),"")</f>
        <v/>
      </c>
      <c r="L219" s="59" t="str">
        <f aca="false">IFERROR(IF([1]对账明细接口!$L$219=0,"",[1]对账明细接口!$L$219),"")</f>
        <v/>
      </c>
      <c r="M219" s="59" t="str">
        <f aca="false">IFERROR(IF([1]对账明细接口!$M$219=0,"",[1]对账明细接口!$M$219),"")</f>
        <v/>
      </c>
      <c r="N219" s="111" t="n">
        <f aca="false">IF($C219="",0,1)</f>
        <v>0</v>
      </c>
      <c r="O219" s="111" t="n">
        <f aca="false">N(O218)+$N219</f>
        <v>110</v>
      </c>
      <c r="S219" s="10" t="str">
        <f aca="false">IFERROR(IF([1]对账明细接口!$N219=0,"",[1]对账明细接口!$N219),"")</f>
        <v/>
      </c>
      <c r="T219" s="112" t="str">
        <f aca="false">IFERROR(IF([1]对账明细接口!$O219=0,"",[1]对账明细接口!$O219),"")</f>
        <v/>
      </c>
      <c r="U219" s="112" t="str">
        <f aca="false">IFERROR(IF([1]对账明细接口!$P219=0,"",[1]对账明细接口!$P219),"")</f>
        <v/>
      </c>
      <c r="V219" s="112" t="str">
        <f aca="false">IFERROR(IF([1]对账明细接口!$Q219=0,"",[1]对账明细接口!$Q219),"")</f>
        <v/>
      </c>
      <c r="W219" s="10" t="str">
        <f aca="false">IFERROR(IF([1]对账明细接口!$R219=0,"",[1]对账明细接口!$R219),"")</f>
        <v/>
      </c>
      <c r="X219" s="10" t="str">
        <f aca="false">IFERROR(IF([1]对账明细接口!$S219=0,"",[1]对账明细接口!$S219),"")</f>
        <v/>
      </c>
      <c r="Y219" s="10" t="str">
        <f aca="false">""</f>
        <v/>
      </c>
      <c r="Z219" s="10" t="str">
        <f aca="false">""</f>
        <v/>
      </c>
      <c r="AA219" s="10" t="str">
        <f aca="false">""</f>
        <v/>
      </c>
      <c r="AB219" s="10" t="str">
        <f aca="false">""</f>
        <v/>
      </c>
    </row>
    <row r="220" customFormat="false" ht="13.5" hidden="false" customHeight="false" outlineLevel="0" collapsed="false">
      <c r="A220" s="109" t="n">
        <v>220</v>
      </c>
      <c r="B220" s="110" t="str">
        <f aca="false">IFERROR(IF([1]对账明细接口!$B$220=0,"",[1]对账明细接口!$B$220),"")</f>
        <v/>
      </c>
      <c r="C220" s="59" t="str">
        <f aca="false">IFERROR(IF([1]对账明细接口!$C$220=0,"",[1]对账明细接口!$C$220),"")</f>
        <v/>
      </c>
      <c r="D220" s="59" t="str">
        <f aca="false">IFERROR(IF([1]对账明细接口!$D$220=0,"",[1]对账明细接口!$D$220),"")</f>
        <v/>
      </c>
      <c r="E220" s="59" t="str">
        <f aca="false">IFERROR(IF([1]对账明细接口!$E$220=0,"",[1]对账明细接口!$E$220),"")</f>
        <v/>
      </c>
      <c r="F220" s="59" t="str">
        <f aca="false">IFERROR(IF([1]对账明细接口!$F$220=0,"",[1]对账明细接口!$F$220),"")</f>
        <v/>
      </c>
      <c r="G220" s="59" t="str">
        <f aca="false">IFERROR(IF([1]对账明细接口!$G$220=0,"",[1]对账明细接口!$G$220),"")</f>
        <v/>
      </c>
      <c r="H220" s="60" t="str">
        <f aca="false">IFERROR(IF([1]对账明细接口!$H$220=0,"",[1]对账明细接口!$H$220),"")</f>
        <v/>
      </c>
      <c r="I220" s="59" t="str">
        <f aca="false">IFERROR(IF([1]对账明细接口!$I$220=0,"",[1]对账明细接口!$I$220),"")</f>
        <v/>
      </c>
      <c r="J220" s="61" t="str">
        <f aca="false">IFERROR(IF([1]对账明细接口!$J$220=0,"",[1]对账明细接口!$J$220),"")</f>
        <v/>
      </c>
      <c r="K220" s="61" t="str">
        <f aca="false">IFERROR(IF([1]对账明细接口!$K$220=0,"",[1]对账明细接口!$K$220),"")</f>
        <v/>
      </c>
      <c r="L220" s="59" t="str">
        <f aca="false">IFERROR(IF([1]对账明细接口!$L$220=0,"",[1]对账明细接口!$L$220),"")</f>
        <v/>
      </c>
      <c r="M220" s="59" t="str">
        <f aca="false">IFERROR(IF([1]对账明细接口!$M$220=0,"",[1]对账明细接口!$M$220),"")</f>
        <v/>
      </c>
      <c r="N220" s="111" t="n">
        <f aca="false">IF($C220="",0,1)</f>
        <v>0</v>
      </c>
      <c r="O220" s="111" t="n">
        <f aca="false">N(O219)+$N220</f>
        <v>110</v>
      </c>
      <c r="S220" s="10" t="str">
        <f aca="false">IFERROR(IF([1]对账明细接口!$N220=0,"",[1]对账明细接口!$N220),"")</f>
        <v/>
      </c>
      <c r="T220" s="112" t="str">
        <f aca="false">IFERROR(IF([1]对账明细接口!$O220=0,"",[1]对账明细接口!$O220),"")</f>
        <v/>
      </c>
      <c r="U220" s="112" t="str">
        <f aca="false">IFERROR(IF([1]对账明细接口!$P220=0,"",[1]对账明细接口!$P220),"")</f>
        <v/>
      </c>
      <c r="V220" s="112" t="str">
        <f aca="false">IFERROR(IF([1]对账明细接口!$Q220=0,"",[1]对账明细接口!$Q220),"")</f>
        <v/>
      </c>
      <c r="W220" s="10" t="str">
        <f aca="false">IFERROR(IF([1]对账明细接口!$R220=0,"",[1]对账明细接口!$R220),"")</f>
        <v/>
      </c>
      <c r="X220" s="10" t="str">
        <f aca="false">IFERROR(IF([1]对账明细接口!$S220=0,"",[1]对账明细接口!$S220),"")</f>
        <v/>
      </c>
      <c r="Y220" s="10" t="str">
        <f aca="false">""</f>
        <v/>
      </c>
      <c r="Z220" s="10" t="str">
        <f aca="false">""</f>
        <v/>
      </c>
      <c r="AA220" s="10" t="str">
        <f aca="false">""</f>
        <v/>
      </c>
      <c r="AB220" s="10" t="str">
        <f aca="false">""</f>
        <v/>
      </c>
    </row>
    <row r="221" customFormat="false" ht="13.5" hidden="false" customHeight="false" outlineLevel="0" collapsed="false">
      <c r="A221" s="109" t="n">
        <v>221</v>
      </c>
      <c r="B221" s="110" t="str">
        <f aca="false">IFERROR(IF([1]对账明细接口!$B$221=0,"",[1]对账明细接口!$B$221),"")</f>
        <v/>
      </c>
      <c r="C221" s="59" t="str">
        <f aca="false">IFERROR(IF([1]对账明细接口!$C$221=0,"",[1]对账明细接口!$C$221),"")</f>
        <v/>
      </c>
      <c r="D221" s="59" t="str">
        <f aca="false">IFERROR(IF([1]对账明细接口!$D$221=0,"",[1]对账明细接口!$D$221),"")</f>
        <v/>
      </c>
      <c r="E221" s="59" t="str">
        <f aca="false">IFERROR(IF([1]对账明细接口!$E$221=0,"",[1]对账明细接口!$E$221),"")</f>
        <v/>
      </c>
      <c r="F221" s="59" t="str">
        <f aca="false">IFERROR(IF([1]对账明细接口!$F$221=0,"",[1]对账明细接口!$F$221),"")</f>
        <v/>
      </c>
      <c r="G221" s="59" t="str">
        <f aca="false">IFERROR(IF([1]对账明细接口!$G$221=0,"",[1]对账明细接口!$G$221),"")</f>
        <v/>
      </c>
      <c r="H221" s="60" t="str">
        <f aca="false">IFERROR(IF([1]对账明细接口!$H$221=0,"",[1]对账明细接口!$H$221),"")</f>
        <v/>
      </c>
      <c r="I221" s="59" t="str">
        <f aca="false">IFERROR(IF([1]对账明细接口!$I$221=0,"",[1]对账明细接口!$I$221),"")</f>
        <v/>
      </c>
      <c r="J221" s="61" t="str">
        <f aca="false">IFERROR(IF([1]对账明细接口!$J$221=0,"",[1]对账明细接口!$J$221),"")</f>
        <v/>
      </c>
      <c r="K221" s="61" t="str">
        <f aca="false">IFERROR(IF([1]对账明细接口!$K$221=0,"",[1]对账明细接口!$K$221),"")</f>
        <v/>
      </c>
      <c r="L221" s="59" t="str">
        <f aca="false">IFERROR(IF([1]对账明细接口!$L$221=0,"",[1]对账明细接口!$L$221),"")</f>
        <v/>
      </c>
      <c r="M221" s="59" t="str">
        <f aca="false">IFERROR(IF([1]对账明细接口!$M$221=0,"",[1]对账明细接口!$M$221),"")</f>
        <v/>
      </c>
      <c r="N221" s="111" t="n">
        <f aca="false">IF($C221="",0,1)</f>
        <v>0</v>
      </c>
      <c r="O221" s="111" t="n">
        <f aca="false">N(O220)+$N221</f>
        <v>110</v>
      </c>
      <c r="S221" s="10" t="str">
        <f aca="false">IFERROR(IF([1]对账明细接口!$N221=0,"",[1]对账明细接口!$N221),"")</f>
        <v/>
      </c>
      <c r="T221" s="112" t="str">
        <f aca="false">IFERROR(IF([1]对账明细接口!$O221=0,"",[1]对账明细接口!$O221),"")</f>
        <v/>
      </c>
      <c r="U221" s="112" t="str">
        <f aca="false">IFERROR(IF([1]对账明细接口!$P221=0,"",[1]对账明细接口!$P221),"")</f>
        <v/>
      </c>
      <c r="V221" s="112" t="str">
        <f aca="false">IFERROR(IF([1]对账明细接口!$Q221=0,"",[1]对账明细接口!$Q221),"")</f>
        <v/>
      </c>
      <c r="W221" s="10" t="str">
        <f aca="false">IFERROR(IF([1]对账明细接口!$R221=0,"",[1]对账明细接口!$R221),"")</f>
        <v/>
      </c>
      <c r="X221" s="10" t="str">
        <f aca="false">IFERROR(IF([1]对账明细接口!$S221=0,"",[1]对账明细接口!$S221),"")</f>
        <v/>
      </c>
      <c r="Y221" s="10" t="str">
        <f aca="false">""</f>
        <v/>
      </c>
      <c r="Z221" s="10" t="str">
        <f aca="false">""</f>
        <v/>
      </c>
      <c r="AA221" s="10" t="str">
        <f aca="false">""</f>
        <v/>
      </c>
      <c r="AB221" s="10" t="str">
        <f aca="false">""</f>
        <v/>
      </c>
    </row>
    <row r="222" customFormat="false" ht="13.5" hidden="false" customHeight="false" outlineLevel="0" collapsed="false">
      <c r="A222" s="109" t="n">
        <v>222</v>
      </c>
      <c r="B222" s="110" t="str">
        <f aca="false">IFERROR(IF([1]对账明细接口!$B$222=0,"",[1]对账明细接口!$B$222),"")</f>
        <v/>
      </c>
      <c r="C222" s="59" t="str">
        <f aca="false">IFERROR(IF([1]对账明细接口!$C$222=0,"",[1]对账明细接口!$C$222),"")</f>
        <v/>
      </c>
      <c r="D222" s="59" t="str">
        <f aca="false">IFERROR(IF([1]对账明细接口!$D$222=0,"",[1]对账明细接口!$D$222),"")</f>
        <v/>
      </c>
      <c r="E222" s="59" t="str">
        <f aca="false">IFERROR(IF([1]对账明细接口!$E$222=0,"",[1]对账明细接口!$E$222),"")</f>
        <v/>
      </c>
      <c r="F222" s="59" t="str">
        <f aca="false">IFERROR(IF([1]对账明细接口!$F$222=0,"",[1]对账明细接口!$F$222),"")</f>
        <v/>
      </c>
      <c r="G222" s="59" t="str">
        <f aca="false">IFERROR(IF([1]对账明细接口!$G$222=0,"",[1]对账明细接口!$G$222),"")</f>
        <v/>
      </c>
      <c r="H222" s="60" t="str">
        <f aca="false">IFERROR(IF([1]对账明细接口!$H$222=0,"",[1]对账明细接口!$H$222),"")</f>
        <v/>
      </c>
      <c r="I222" s="59" t="str">
        <f aca="false">IFERROR(IF([1]对账明细接口!$I$222=0,"",[1]对账明细接口!$I$222),"")</f>
        <v/>
      </c>
      <c r="J222" s="61" t="str">
        <f aca="false">IFERROR(IF([1]对账明细接口!$J$222=0,"",[1]对账明细接口!$J$222),"")</f>
        <v/>
      </c>
      <c r="K222" s="61" t="str">
        <f aca="false">IFERROR(IF([1]对账明细接口!$K$222=0,"",[1]对账明细接口!$K$222),"")</f>
        <v/>
      </c>
      <c r="L222" s="59" t="str">
        <f aca="false">IFERROR(IF([1]对账明细接口!$L$222=0,"",[1]对账明细接口!$L$222),"")</f>
        <v/>
      </c>
      <c r="M222" s="59" t="str">
        <f aca="false">IFERROR(IF([1]对账明细接口!$M$222=0,"",[1]对账明细接口!$M$222),"")</f>
        <v/>
      </c>
      <c r="N222" s="111" t="n">
        <f aca="false">IF($C222="",0,1)</f>
        <v>0</v>
      </c>
      <c r="O222" s="111" t="n">
        <f aca="false">N(O221)+$N222</f>
        <v>110</v>
      </c>
      <c r="S222" s="10" t="str">
        <f aca="false">IFERROR(IF([1]对账明细接口!$N222=0,"",[1]对账明细接口!$N222),"")</f>
        <v/>
      </c>
      <c r="T222" s="112" t="str">
        <f aca="false">IFERROR(IF([1]对账明细接口!$O222=0,"",[1]对账明细接口!$O222),"")</f>
        <v/>
      </c>
      <c r="U222" s="112" t="str">
        <f aca="false">IFERROR(IF([1]对账明细接口!$P222=0,"",[1]对账明细接口!$P222),"")</f>
        <v/>
      </c>
      <c r="V222" s="112" t="str">
        <f aca="false">IFERROR(IF([1]对账明细接口!$Q222=0,"",[1]对账明细接口!$Q222),"")</f>
        <v/>
      </c>
      <c r="W222" s="10" t="str">
        <f aca="false">IFERROR(IF([1]对账明细接口!$R222=0,"",[1]对账明细接口!$R222),"")</f>
        <v/>
      </c>
      <c r="X222" s="10" t="str">
        <f aca="false">IFERROR(IF([1]对账明细接口!$S222=0,"",[1]对账明细接口!$S222),"")</f>
        <v/>
      </c>
      <c r="Y222" s="10" t="str">
        <f aca="false">""</f>
        <v/>
      </c>
      <c r="Z222" s="10" t="str">
        <f aca="false">""</f>
        <v/>
      </c>
      <c r="AA222" s="10" t="str">
        <f aca="false">""</f>
        <v/>
      </c>
      <c r="AB222" s="10" t="str">
        <f aca="false">""</f>
        <v/>
      </c>
    </row>
    <row r="223" customFormat="false" ht="13.5" hidden="false" customHeight="false" outlineLevel="0" collapsed="false">
      <c r="A223" s="109" t="n">
        <v>223</v>
      </c>
      <c r="B223" s="110" t="str">
        <f aca="false">IFERROR(IF([1]对账明细接口!$B$223=0,"",[1]对账明细接口!$B$223),"")</f>
        <v/>
      </c>
      <c r="C223" s="59" t="str">
        <f aca="false">IFERROR(IF([1]对账明细接口!$C$223=0,"",[1]对账明细接口!$C$223),"")</f>
        <v/>
      </c>
      <c r="D223" s="59" t="str">
        <f aca="false">IFERROR(IF([1]对账明细接口!$D$223=0,"",[1]对账明细接口!$D$223),"")</f>
        <v/>
      </c>
      <c r="E223" s="59" t="str">
        <f aca="false">IFERROR(IF([1]对账明细接口!$E$223=0,"",[1]对账明细接口!$E$223),"")</f>
        <v/>
      </c>
      <c r="F223" s="59" t="str">
        <f aca="false">IFERROR(IF([1]对账明细接口!$F$223=0,"",[1]对账明细接口!$F$223),"")</f>
        <v/>
      </c>
      <c r="G223" s="59" t="str">
        <f aca="false">IFERROR(IF([1]对账明细接口!$G$223=0,"",[1]对账明细接口!$G$223),"")</f>
        <v/>
      </c>
      <c r="H223" s="60" t="str">
        <f aca="false">IFERROR(IF([1]对账明细接口!$H$223=0,"",[1]对账明细接口!$H$223),"")</f>
        <v/>
      </c>
      <c r="I223" s="59" t="str">
        <f aca="false">IFERROR(IF([1]对账明细接口!$I$223=0,"",[1]对账明细接口!$I$223),"")</f>
        <v/>
      </c>
      <c r="J223" s="61" t="str">
        <f aca="false">IFERROR(IF([1]对账明细接口!$J$223=0,"",[1]对账明细接口!$J$223),"")</f>
        <v/>
      </c>
      <c r="K223" s="61" t="str">
        <f aca="false">IFERROR(IF([1]对账明细接口!$K$223=0,"",[1]对账明细接口!$K$223),"")</f>
        <v/>
      </c>
      <c r="L223" s="59" t="str">
        <f aca="false">IFERROR(IF([1]对账明细接口!$L$223=0,"",[1]对账明细接口!$L$223),"")</f>
        <v/>
      </c>
      <c r="M223" s="59" t="str">
        <f aca="false">IFERROR(IF([1]对账明细接口!$M$223=0,"",[1]对账明细接口!$M$223),"")</f>
        <v/>
      </c>
      <c r="N223" s="111" t="n">
        <f aca="false">IF($C223="",0,1)</f>
        <v>0</v>
      </c>
      <c r="O223" s="111" t="n">
        <f aca="false">N(O222)+$N223</f>
        <v>110</v>
      </c>
      <c r="S223" s="10" t="str">
        <f aca="false">IFERROR(IF([1]对账明细接口!$N223=0,"",[1]对账明细接口!$N223),"")</f>
        <v/>
      </c>
      <c r="T223" s="112" t="str">
        <f aca="false">IFERROR(IF([1]对账明细接口!$O223=0,"",[1]对账明细接口!$O223),"")</f>
        <v/>
      </c>
      <c r="U223" s="112" t="str">
        <f aca="false">IFERROR(IF([1]对账明细接口!$P223=0,"",[1]对账明细接口!$P223),"")</f>
        <v/>
      </c>
      <c r="V223" s="112" t="str">
        <f aca="false">IFERROR(IF([1]对账明细接口!$Q223=0,"",[1]对账明细接口!$Q223),"")</f>
        <v/>
      </c>
      <c r="W223" s="10" t="str">
        <f aca="false">IFERROR(IF([1]对账明细接口!$R223=0,"",[1]对账明细接口!$R223),"")</f>
        <v/>
      </c>
      <c r="X223" s="10" t="str">
        <f aca="false">IFERROR(IF([1]对账明细接口!$S223=0,"",[1]对账明细接口!$S223),"")</f>
        <v/>
      </c>
      <c r="Y223" s="10" t="str">
        <f aca="false">""</f>
        <v/>
      </c>
      <c r="Z223" s="10" t="str">
        <f aca="false">""</f>
        <v/>
      </c>
      <c r="AA223" s="10" t="str">
        <f aca="false">""</f>
        <v/>
      </c>
      <c r="AB223" s="10" t="str">
        <f aca="false">""</f>
        <v/>
      </c>
    </row>
    <row r="224" customFormat="false" ht="13.5" hidden="false" customHeight="false" outlineLevel="0" collapsed="false">
      <c r="A224" s="109" t="n">
        <v>224</v>
      </c>
      <c r="B224" s="110" t="str">
        <f aca="false">IFERROR(IF([1]对账明细接口!$B$224=0,"",[1]对账明细接口!$B$224),"")</f>
        <v/>
      </c>
      <c r="C224" s="59" t="str">
        <f aca="false">IFERROR(IF([1]对账明细接口!$C$224=0,"",[1]对账明细接口!$C$224),"")</f>
        <v/>
      </c>
      <c r="D224" s="59" t="str">
        <f aca="false">IFERROR(IF([1]对账明细接口!$D$224=0,"",[1]对账明细接口!$D$224),"")</f>
        <v/>
      </c>
      <c r="E224" s="59" t="str">
        <f aca="false">IFERROR(IF([1]对账明细接口!$E$224=0,"",[1]对账明细接口!$E$224),"")</f>
        <v/>
      </c>
      <c r="F224" s="59" t="str">
        <f aca="false">IFERROR(IF([1]对账明细接口!$F$224=0,"",[1]对账明细接口!$F$224),"")</f>
        <v/>
      </c>
      <c r="G224" s="59" t="str">
        <f aca="false">IFERROR(IF([1]对账明细接口!$G$224=0,"",[1]对账明细接口!$G$224),"")</f>
        <v/>
      </c>
      <c r="H224" s="60" t="str">
        <f aca="false">IFERROR(IF([1]对账明细接口!$H$224=0,"",[1]对账明细接口!$H$224),"")</f>
        <v/>
      </c>
      <c r="I224" s="59" t="str">
        <f aca="false">IFERROR(IF([1]对账明细接口!$I$224=0,"",[1]对账明细接口!$I$224),"")</f>
        <v/>
      </c>
      <c r="J224" s="61" t="str">
        <f aca="false">IFERROR(IF([1]对账明细接口!$J$224=0,"",[1]对账明细接口!$J$224),"")</f>
        <v/>
      </c>
      <c r="K224" s="61" t="str">
        <f aca="false">IFERROR(IF([1]对账明细接口!$K$224=0,"",[1]对账明细接口!$K$224),"")</f>
        <v/>
      </c>
      <c r="L224" s="59" t="str">
        <f aca="false">IFERROR(IF([1]对账明细接口!$L$224=0,"",[1]对账明细接口!$L$224),"")</f>
        <v/>
      </c>
      <c r="M224" s="59" t="str">
        <f aca="false">IFERROR(IF([1]对账明细接口!$M$224=0,"",[1]对账明细接口!$M$224),"")</f>
        <v/>
      </c>
      <c r="N224" s="111" t="n">
        <f aca="false">IF($C224="",0,1)</f>
        <v>0</v>
      </c>
      <c r="O224" s="111" t="n">
        <f aca="false">N(O223)+$N224</f>
        <v>110</v>
      </c>
      <c r="S224" s="10" t="str">
        <f aca="false">IFERROR(IF([1]对账明细接口!$N224=0,"",[1]对账明细接口!$N224),"")</f>
        <v/>
      </c>
      <c r="T224" s="112" t="str">
        <f aca="false">IFERROR(IF([1]对账明细接口!$O224=0,"",[1]对账明细接口!$O224),"")</f>
        <v/>
      </c>
      <c r="U224" s="112" t="str">
        <f aca="false">IFERROR(IF([1]对账明细接口!$P224=0,"",[1]对账明细接口!$P224),"")</f>
        <v/>
      </c>
      <c r="V224" s="112" t="str">
        <f aca="false">IFERROR(IF([1]对账明细接口!$Q224=0,"",[1]对账明细接口!$Q224),"")</f>
        <v/>
      </c>
      <c r="W224" s="10" t="str">
        <f aca="false">IFERROR(IF([1]对账明细接口!$R224=0,"",[1]对账明细接口!$R224),"")</f>
        <v/>
      </c>
      <c r="X224" s="10" t="str">
        <f aca="false">IFERROR(IF([1]对账明细接口!$S224=0,"",[1]对账明细接口!$S224),"")</f>
        <v/>
      </c>
      <c r="Y224" s="10" t="str">
        <f aca="false">""</f>
        <v/>
      </c>
      <c r="Z224" s="10" t="str">
        <f aca="false">""</f>
        <v/>
      </c>
      <c r="AA224" s="10" t="str">
        <f aca="false">""</f>
        <v/>
      </c>
      <c r="AB224" s="10" t="str">
        <f aca="false">""</f>
        <v/>
      </c>
    </row>
    <row r="225" customFormat="false" ht="13.5" hidden="false" customHeight="false" outlineLevel="0" collapsed="false">
      <c r="A225" s="109" t="n">
        <v>225</v>
      </c>
      <c r="B225" s="110" t="str">
        <f aca="false">IFERROR(IF([1]对账明细接口!$B$225=0,"",[1]对账明细接口!$B$225),"")</f>
        <v/>
      </c>
      <c r="C225" s="59" t="str">
        <f aca="false">IFERROR(IF([1]对账明细接口!$C$225=0,"",[1]对账明细接口!$C$225),"")</f>
        <v/>
      </c>
      <c r="D225" s="59" t="str">
        <f aca="false">IFERROR(IF([1]对账明细接口!$D$225=0,"",[1]对账明细接口!$D$225),"")</f>
        <v/>
      </c>
      <c r="E225" s="59" t="str">
        <f aca="false">IFERROR(IF([1]对账明细接口!$E$225=0,"",[1]对账明细接口!$E$225),"")</f>
        <v/>
      </c>
      <c r="F225" s="59" t="str">
        <f aca="false">IFERROR(IF([1]对账明细接口!$F$225=0,"",[1]对账明细接口!$F$225),"")</f>
        <v/>
      </c>
      <c r="G225" s="59" t="str">
        <f aca="false">IFERROR(IF([1]对账明细接口!$G$225=0,"",[1]对账明细接口!$G$225),"")</f>
        <v/>
      </c>
      <c r="H225" s="60" t="str">
        <f aca="false">IFERROR(IF([1]对账明细接口!$H$225=0,"",[1]对账明细接口!$H$225),"")</f>
        <v/>
      </c>
      <c r="I225" s="59" t="str">
        <f aca="false">IFERROR(IF([1]对账明细接口!$I$225=0,"",[1]对账明细接口!$I$225),"")</f>
        <v/>
      </c>
      <c r="J225" s="61" t="str">
        <f aca="false">IFERROR(IF([1]对账明细接口!$J$225=0,"",[1]对账明细接口!$J$225),"")</f>
        <v/>
      </c>
      <c r="K225" s="61" t="str">
        <f aca="false">IFERROR(IF([1]对账明细接口!$K$225=0,"",[1]对账明细接口!$K$225),"")</f>
        <v/>
      </c>
      <c r="L225" s="59" t="str">
        <f aca="false">IFERROR(IF([1]对账明细接口!$L$225=0,"",[1]对账明细接口!$L$225),"")</f>
        <v/>
      </c>
      <c r="M225" s="59" t="str">
        <f aca="false">IFERROR(IF([1]对账明细接口!$M$225=0,"",[1]对账明细接口!$M$225),"")</f>
        <v/>
      </c>
      <c r="N225" s="111" t="n">
        <f aca="false">IF($C225="",0,1)</f>
        <v>0</v>
      </c>
      <c r="O225" s="111" t="n">
        <f aca="false">N(O224)+$N225</f>
        <v>110</v>
      </c>
      <c r="S225" s="10" t="str">
        <f aca="false">IFERROR(IF([1]对账明细接口!$N225=0,"",[1]对账明细接口!$N225),"")</f>
        <v/>
      </c>
      <c r="T225" s="112" t="str">
        <f aca="false">IFERROR(IF([1]对账明细接口!$O225=0,"",[1]对账明细接口!$O225),"")</f>
        <v/>
      </c>
      <c r="U225" s="112" t="str">
        <f aca="false">IFERROR(IF([1]对账明细接口!$P225=0,"",[1]对账明细接口!$P225),"")</f>
        <v/>
      </c>
      <c r="V225" s="112" t="str">
        <f aca="false">IFERROR(IF([1]对账明细接口!$Q225=0,"",[1]对账明细接口!$Q225),"")</f>
        <v/>
      </c>
      <c r="W225" s="10" t="str">
        <f aca="false">IFERROR(IF([1]对账明细接口!$R225=0,"",[1]对账明细接口!$R225),"")</f>
        <v/>
      </c>
      <c r="X225" s="10" t="str">
        <f aca="false">IFERROR(IF([1]对账明细接口!$S225=0,"",[1]对账明细接口!$S225),"")</f>
        <v/>
      </c>
      <c r="Y225" s="10" t="str">
        <f aca="false">""</f>
        <v/>
      </c>
      <c r="Z225" s="10" t="str">
        <f aca="false">""</f>
        <v/>
      </c>
      <c r="AA225" s="10" t="str">
        <f aca="false">""</f>
        <v/>
      </c>
      <c r="AB225" s="10" t="str">
        <f aca="false">""</f>
        <v/>
      </c>
    </row>
    <row r="226" customFormat="false" ht="13.5" hidden="false" customHeight="false" outlineLevel="0" collapsed="false">
      <c r="A226" s="109" t="n">
        <v>226</v>
      </c>
      <c r="B226" s="110" t="str">
        <f aca="false">IFERROR(IF([1]对账明细接口!$B$226=0,"",[1]对账明细接口!$B$226),"")</f>
        <v/>
      </c>
      <c r="C226" s="59" t="str">
        <f aca="false">IFERROR(IF([1]对账明细接口!$C$226=0,"",[1]对账明细接口!$C$226),"")</f>
        <v/>
      </c>
      <c r="D226" s="59" t="str">
        <f aca="false">IFERROR(IF([1]对账明细接口!$D$226=0,"",[1]对账明细接口!$D$226),"")</f>
        <v/>
      </c>
      <c r="E226" s="59" t="str">
        <f aca="false">IFERROR(IF([1]对账明细接口!$E$226=0,"",[1]对账明细接口!$E$226),"")</f>
        <v/>
      </c>
      <c r="F226" s="59" t="str">
        <f aca="false">IFERROR(IF([1]对账明细接口!$F$226=0,"",[1]对账明细接口!$F$226),"")</f>
        <v/>
      </c>
      <c r="G226" s="59" t="str">
        <f aca="false">IFERROR(IF([1]对账明细接口!$G$226=0,"",[1]对账明细接口!$G$226),"")</f>
        <v/>
      </c>
      <c r="H226" s="60" t="str">
        <f aca="false">IFERROR(IF([1]对账明细接口!$H$226=0,"",[1]对账明细接口!$H$226),"")</f>
        <v/>
      </c>
      <c r="I226" s="59" t="str">
        <f aca="false">IFERROR(IF([1]对账明细接口!$I$226=0,"",[1]对账明细接口!$I$226),"")</f>
        <v/>
      </c>
      <c r="J226" s="61" t="str">
        <f aca="false">IFERROR(IF([1]对账明细接口!$J$226=0,"",[1]对账明细接口!$J$226),"")</f>
        <v/>
      </c>
      <c r="K226" s="61" t="str">
        <f aca="false">IFERROR(IF([1]对账明细接口!$K$226=0,"",[1]对账明细接口!$K$226),"")</f>
        <v/>
      </c>
      <c r="L226" s="59" t="str">
        <f aca="false">IFERROR(IF([1]对账明细接口!$L$226=0,"",[1]对账明细接口!$L$226),"")</f>
        <v/>
      </c>
      <c r="M226" s="59" t="str">
        <f aca="false">IFERROR(IF([1]对账明细接口!$M$226=0,"",[1]对账明细接口!$M$226),"")</f>
        <v/>
      </c>
      <c r="N226" s="111" t="n">
        <f aca="false">IF($C226="",0,1)</f>
        <v>0</v>
      </c>
      <c r="O226" s="111" t="n">
        <f aca="false">N(O225)+$N226</f>
        <v>110</v>
      </c>
      <c r="S226" s="10" t="str">
        <f aca="false">IFERROR(IF([1]对账明细接口!$N226=0,"",[1]对账明细接口!$N226),"")</f>
        <v/>
      </c>
      <c r="T226" s="112" t="str">
        <f aca="false">IFERROR(IF([1]对账明细接口!$O226=0,"",[1]对账明细接口!$O226),"")</f>
        <v/>
      </c>
      <c r="U226" s="112" t="str">
        <f aca="false">IFERROR(IF([1]对账明细接口!$P226=0,"",[1]对账明细接口!$P226),"")</f>
        <v/>
      </c>
      <c r="V226" s="112" t="str">
        <f aca="false">IFERROR(IF([1]对账明细接口!$Q226=0,"",[1]对账明细接口!$Q226),"")</f>
        <v/>
      </c>
      <c r="W226" s="10" t="str">
        <f aca="false">IFERROR(IF([1]对账明细接口!$R226=0,"",[1]对账明细接口!$R226),"")</f>
        <v/>
      </c>
      <c r="X226" s="10" t="str">
        <f aca="false">IFERROR(IF([1]对账明细接口!$S226=0,"",[1]对账明细接口!$S226),"")</f>
        <v/>
      </c>
      <c r="Y226" s="10" t="str">
        <f aca="false">""</f>
        <v/>
      </c>
      <c r="Z226" s="10" t="str">
        <f aca="false">""</f>
        <v/>
      </c>
      <c r="AA226" s="10" t="str">
        <f aca="false">""</f>
        <v/>
      </c>
      <c r="AB226" s="10" t="str">
        <f aca="false">""</f>
        <v/>
      </c>
    </row>
    <row r="227" customFormat="false" ht="13.5" hidden="false" customHeight="false" outlineLevel="0" collapsed="false">
      <c r="A227" s="109" t="n">
        <v>227</v>
      </c>
      <c r="B227" s="110" t="str">
        <f aca="false">IFERROR(IF([1]对账明细接口!$B$227=0,"",[1]对账明细接口!$B$227),"")</f>
        <v/>
      </c>
      <c r="C227" s="59" t="str">
        <f aca="false">IFERROR(IF([1]对账明细接口!$C$227=0,"",[1]对账明细接口!$C$227),"")</f>
        <v/>
      </c>
      <c r="D227" s="59" t="str">
        <f aca="false">IFERROR(IF([1]对账明细接口!$D$227=0,"",[1]对账明细接口!$D$227),"")</f>
        <v/>
      </c>
      <c r="E227" s="59" t="str">
        <f aca="false">IFERROR(IF([1]对账明细接口!$E$227=0,"",[1]对账明细接口!$E$227),"")</f>
        <v/>
      </c>
      <c r="F227" s="59" t="str">
        <f aca="false">IFERROR(IF([1]对账明细接口!$F$227=0,"",[1]对账明细接口!$F$227),"")</f>
        <v/>
      </c>
      <c r="G227" s="59" t="str">
        <f aca="false">IFERROR(IF([1]对账明细接口!$G$227=0,"",[1]对账明细接口!$G$227),"")</f>
        <v/>
      </c>
      <c r="H227" s="60" t="str">
        <f aca="false">IFERROR(IF([1]对账明细接口!$H$227=0,"",[1]对账明细接口!$H$227),"")</f>
        <v/>
      </c>
      <c r="I227" s="59" t="str">
        <f aca="false">IFERROR(IF([1]对账明细接口!$I$227=0,"",[1]对账明细接口!$I$227),"")</f>
        <v/>
      </c>
      <c r="J227" s="61" t="str">
        <f aca="false">IFERROR(IF([1]对账明细接口!$J$227=0,"",[1]对账明细接口!$J$227),"")</f>
        <v/>
      </c>
      <c r="K227" s="61" t="str">
        <f aca="false">IFERROR(IF([1]对账明细接口!$K$227=0,"",[1]对账明细接口!$K$227),"")</f>
        <v/>
      </c>
      <c r="L227" s="59" t="str">
        <f aca="false">IFERROR(IF([1]对账明细接口!$L$227=0,"",[1]对账明细接口!$L$227),"")</f>
        <v/>
      </c>
      <c r="M227" s="59" t="str">
        <f aca="false">IFERROR(IF([1]对账明细接口!$M$227=0,"",[1]对账明细接口!$M$227),"")</f>
        <v/>
      </c>
      <c r="N227" s="111" t="n">
        <f aca="false">IF($C227="",0,1)</f>
        <v>0</v>
      </c>
      <c r="O227" s="111" t="n">
        <f aca="false">N(O226)+$N227</f>
        <v>110</v>
      </c>
      <c r="S227" s="10" t="str">
        <f aca="false">IFERROR(IF([1]对账明细接口!$N227=0,"",[1]对账明细接口!$N227),"")</f>
        <v/>
      </c>
      <c r="T227" s="112" t="str">
        <f aca="false">IFERROR(IF([1]对账明细接口!$O227=0,"",[1]对账明细接口!$O227),"")</f>
        <v/>
      </c>
      <c r="U227" s="112" t="str">
        <f aca="false">IFERROR(IF([1]对账明细接口!$P227=0,"",[1]对账明细接口!$P227),"")</f>
        <v/>
      </c>
      <c r="V227" s="112" t="str">
        <f aca="false">IFERROR(IF([1]对账明细接口!$Q227=0,"",[1]对账明细接口!$Q227),"")</f>
        <v/>
      </c>
      <c r="W227" s="10" t="str">
        <f aca="false">IFERROR(IF([1]对账明细接口!$R227=0,"",[1]对账明细接口!$R227),"")</f>
        <v/>
      </c>
      <c r="X227" s="10" t="str">
        <f aca="false">IFERROR(IF([1]对账明细接口!$S227=0,"",[1]对账明细接口!$S227),"")</f>
        <v/>
      </c>
      <c r="Y227" s="10" t="str">
        <f aca="false">""</f>
        <v/>
      </c>
      <c r="Z227" s="10" t="str">
        <f aca="false">""</f>
        <v/>
      </c>
      <c r="AA227" s="10" t="str">
        <f aca="false">""</f>
        <v/>
      </c>
      <c r="AB227" s="10" t="str">
        <f aca="false">""</f>
        <v/>
      </c>
    </row>
    <row r="228" customFormat="false" ht="13.5" hidden="false" customHeight="false" outlineLevel="0" collapsed="false">
      <c r="A228" s="109" t="n">
        <v>228</v>
      </c>
      <c r="B228" s="110" t="str">
        <f aca="false">IFERROR(IF([1]对账明细接口!$B$228=0,"",[1]对账明细接口!$B$228),"")</f>
        <v/>
      </c>
      <c r="C228" s="59" t="str">
        <f aca="false">IFERROR(IF([1]对账明细接口!$C$228=0,"",[1]对账明细接口!$C$228),"")</f>
        <v/>
      </c>
      <c r="D228" s="59" t="str">
        <f aca="false">IFERROR(IF([1]对账明细接口!$D$228=0,"",[1]对账明细接口!$D$228),"")</f>
        <v/>
      </c>
      <c r="E228" s="59" t="str">
        <f aca="false">IFERROR(IF([1]对账明细接口!$E$228=0,"",[1]对账明细接口!$E$228),"")</f>
        <v/>
      </c>
      <c r="F228" s="59" t="str">
        <f aca="false">IFERROR(IF([1]对账明细接口!$F$228=0,"",[1]对账明细接口!$F$228),"")</f>
        <v/>
      </c>
      <c r="G228" s="59" t="str">
        <f aca="false">IFERROR(IF([1]对账明细接口!$G$228=0,"",[1]对账明细接口!$G$228),"")</f>
        <v/>
      </c>
      <c r="H228" s="60" t="str">
        <f aca="false">IFERROR(IF([1]对账明细接口!$H$228=0,"",[1]对账明细接口!$H$228),"")</f>
        <v/>
      </c>
      <c r="I228" s="59" t="str">
        <f aca="false">IFERROR(IF([1]对账明细接口!$I$228=0,"",[1]对账明细接口!$I$228),"")</f>
        <v/>
      </c>
      <c r="J228" s="61" t="str">
        <f aca="false">IFERROR(IF([1]对账明细接口!$J$228=0,"",[1]对账明细接口!$J$228),"")</f>
        <v/>
      </c>
      <c r="K228" s="61" t="str">
        <f aca="false">IFERROR(IF([1]对账明细接口!$K$228=0,"",[1]对账明细接口!$K$228),"")</f>
        <v/>
      </c>
      <c r="L228" s="59" t="str">
        <f aca="false">IFERROR(IF([1]对账明细接口!$L$228=0,"",[1]对账明细接口!$L$228),"")</f>
        <v/>
      </c>
      <c r="M228" s="59" t="str">
        <f aca="false">IFERROR(IF([1]对账明细接口!$M$228=0,"",[1]对账明细接口!$M$228),"")</f>
        <v/>
      </c>
      <c r="N228" s="111" t="n">
        <f aca="false">IF($C228="",0,1)</f>
        <v>0</v>
      </c>
      <c r="O228" s="111" t="n">
        <f aca="false">N(O227)+$N228</f>
        <v>110</v>
      </c>
      <c r="S228" s="10" t="str">
        <f aca="false">IFERROR(IF([1]对账明细接口!$N228=0,"",[1]对账明细接口!$N228),"")</f>
        <v/>
      </c>
      <c r="T228" s="112" t="str">
        <f aca="false">IFERROR(IF([1]对账明细接口!$O228=0,"",[1]对账明细接口!$O228),"")</f>
        <v/>
      </c>
      <c r="U228" s="112" t="str">
        <f aca="false">IFERROR(IF([1]对账明细接口!$P228=0,"",[1]对账明细接口!$P228),"")</f>
        <v/>
      </c>
      <c r="V228" s="112" t="str">
        <f aca="false">IFERROR(IF([1]对账明细接口!$Q228=0,"",[1]对账明细接口!$Q228),"")</f>
        <v/>
      </c>
      <c r="W228" s="10" t="str">
        <f aca="false">IFERROR(IF([1]对账明细接口!$R228=0,"",[1]对账明细接口!$R228),"")</f>
        <v/>
      </c>
      <c r="X228" s="10" t="str">
        <f aca="false">IFERROR(IF([1]对账明细接口!$S228=0,"",[1]对账明细接口!$S228),"")</f>
        <v/>
      </c>
      <c r="Y228" s="10" t="str">
        <f aca="false">""</f>
        <v/>
      </c>
      <c r="Z228" s="10" t="str">
        <f aca="false">""</f>
        <v/>
      </c>
      <c r="AA228" s="10" t="str">
        <f aca="false">""</f>
        <v/>
      </c>
      <c r="AB228" s="10" t="str">
        <f aca="false">""</f>
        <v/>
      </c>
    </row>
    <row r="229" customFormat="false" ht="13.5" hidden="false" customHeight="false" outlineLevel="0" collapsed="false">
      <c r="A229" s="109" t="n">
        <v>229</v>
      </c>
      <c r="B229" s="110" t="str">
        <f aca="false">IFERROR(IF([1]对账明细接口!$B$229=0,"",[1]对账明细接口!$B$229),"")</f>
        <v/>
      </c>
      <c r="C229" s="59" t="str">
        <f aca="false">IFERROR(IF([1]对账明细接口!$C$229=0,"",[1]对账明细接口!$C$229),"")</f>
        <v/>
      </c>
      <c r="D229" s="59" t="str">
        <f aca="false">IFERROR(IF([1]对账明细接口!$D$229=0,"",[1]对账明细接口!$D$229),"")</f>
        <v/>
      </c>
      <c r="E229" s="59" t="str">
        <f aca="false">IFERROR(IF([1]对账明细接口!$E$229=0,"",[1]对账明细接口!$E$229),"")</f>
        <v/>
      </c>
      <c r="F229" s="59" t="str">
        <f aca="false">IFERROR(IF([1]对账明细接口!$F$229=0,"",[1]对账明细接口!$F$229),"")</f>
        <v/>
      </c>
      <c r="G229" s="59" t="str">
        <f aca="false">IFERROR(IF([1]对账明细接口!$G$229=0,"",[1]对账明细接口!$G$229),"")</f>
        <v/>
      </c>
      <c r="H229" s="60" t="str">
        <f aca="false">IFERROR(IF([1]对账明细接口!$H$229=0,"",[1]对账明细接口!$H$229),"")</f>
        <v/>
      </c>
      <c r="I229" s="59" t="str">
        <f aca="false">IFERROR(IF([1]对账明细接口!$I$229=0,"",[1]对账明细接口!$I$229),"")</f>
        <v/>
      </c>
      <c r="J229" s="61" t="str">
        <f aca="false">IFERROR(IF([1]对账明细接口!$J$229=0,"",[1]对账明细接口!$J$229),"")</f>
        <v/>
      </c>
      <c r="K229" s="61" t="str">
        <f aca="false">IFERROR(IF([1]对账明细接口!$K$229=0,"",[1]对账明细接口!$K$229),"")</f>
        <v/>
      </c>
      <c r="L229" s="59" t="str">
        <f aca="false">IFERROR(IF([1]对账明细接口!$L$229=0,"",[1]对账明细接口!$L$229),"")</f>
        <v/>
      </c>
      <c r="M229" s="59" t="str">
        <f aca="false">IFERROR(IF([1]对账明细接口!$M$229=0,"",[1]对账明细接口!$M$229),"")</f>
        <v/>
      </c>
      <c r="N229" s="111" t="n">
        <f aca="false">IF($C229="",0,1)</f>
        <v>0</v>
      </c>
      <c r="O229" s="111" t="n">
        <f aca="false">N(O228)+$N229</f>
        <v>110</v>
      </c>
      <c r="S229" s="10" t="str">
        <f aca="false">IFERROR(IF([1]对账明细接口!$N229=0,"",[1]对账明细接口!$N229),"")</f>
        <v/>
      </c>
      <c r="T229" s="112" t="str">
        <f aca="false">IFERROR(IF([1]对账明细接口!$O229=0,"",[1]对账明细接口!$O229),"")</f>
        <v/>
      </c>
      <c r="U229" s="112" t="str">
        <f aca="false">IFERROR(IF([1]对账明细接口!$P229=0,"",[1]对账明细接口!$P229),"")</f>
        <v/>
      </c>
      <c r="V229" s="112" t="str">
        <f aca="false">IFERROR(IF([1]对账明细接口!$Q229=0,"",[1]对账明细接口!$Q229),"")</f>
        <v/>
      </c>
      <c r="W229" s="10" t="str">
        <f aca="false">IFERROR(IF([1]对账明细接口!$R229=0,"",[1]对账明细接口!$R229),"")</f>
        <v/>
      </c>
      <c r="X229" s="10" t="str">
        <f aca="false">IFERROR(IF([1]对账明细接口!$S229=0,"",[1]对账明细接口!$S229),"")</f>
        <v/>
      </c>
      <c r="Y229" s="10" t="str">
        <f aca="false">""</f>
        <v/>
      </c>
      <c r="Z229" s="10" t="str">
        <f aca="false">""</f>
        <v/>
      </c>
      <c r="AA229" s="10" t="str">
        <f aca="false">""</f>
        <v/>
      </c>
      <c r="AB229" s="10" t="str">
        <f aca="false">""</f>
        <v/>
      </c>
    </row>
    <row r="230" customFormat="false" ht="13.5" hidden="false" customHeight="false" outlineLevel="0" collapsed="false">
      <c r="A230" s="109" t="n">
        <v>230</v>
      </c>
      <c r="B230" s="110" t="str">
        <f aca="false">IFERROR(IF([1]对账明细接口!$B$230=0,"",[1]对账明细接口!$B$230),"")</f>
        <v/>
      </c>
      <c r="C230" s="59" t="str">
        <f aca="false">IFERROR(IF([1]对账明细接口!$C$230=0,"",[1]对账明细接口!$C$230),"")</f>
        <v/>
      </c>
      <c r="D230" s="59" t="str">
        <f aca="false">IFERROR(IF([1]对账明细接口!$D$230=0,"",[1]对账明细接口!$D$230),"")</f>
        <v/>
      </c>
      <c r="E230" s="59" t="str">
        <f aca="false">IFERROR(IF([1]对账明细接口!$E$230=0,"",[1]对账明细接口!$E$230),"")</f>
        <v/>
      </c>
      <c r="F230" s="59" t="str">
        <f aca="false">IFERROR(IF([1]对账明细接口!$F$230=0,"",[1]对账明细接口!$F$230),"")</f>
        <v/>
      </c>
      <c r="G230" s="59" t="str">
        <f aca="false">IFERROR(IF([1]对账明细接口!$G$230=0,"",[1]对账明细接口!$G$230),"")</f>
        <v/>
      </c>
      <c r="H230" s="60" t="str">
        <f aca="false">IFERROR(IF([1]对账明细接口!$H$230=0,"",[1]对账明细接口!$H$230),"")</f>
        <v/>
      </c>
      <c r="I230" s="59" t="str">
        <f aca="false">IFERROR(IF([1]对账明细接口!$I$230=0,"",[1]对账明细接口!$I$230),"")</f>
        <v/>
      </c>
      <c r="J230" s="61" t="str">
        <f aca="false">IFERROR(IF([1]对账明细接口!$J$230=0,"",[1]对账明细接口!$J$230),"")</f>
        <v/>
      </c>
      <c r="K230" s="61" t="str">
        <f aca="false">IFERROR(IF([1]对账明细接口!$K$230=0,"",[1]对账明细接口!$K$230),"")</f>
        <v/>
      </c>
      <c r="L230" s="59" t="str">
        <f aca="false">IFERROR(IF([1]对账明细接口!$L$230=0,"",[1]对账明细接口!$L$230),"")</f>
        <v/>
      </c>
      <c r="M230" s="59" t="str">
        <f aca="false">IFERROR(IF([1]对账明细接口!$M$230=0,"",[1]对账明细接口!$M$230),"")</f>
        <v/>
      </c>
      <c r="N230" s="111" t="n">
        <f aca="false">IF($C230="",0,1)</f>
        <v>0</v>
      </c>
      <c r="O230" s="111" t="n">
        <f aca="false">N(O229)+$N230</f>
        <v>110</v>
      </c>
      <c r="S230" s="10" t="str">
        <f aca="false">IFERROR(IF([1]对账明细接口!$N230=0,"",[1]对账明细接口!$N230),"")</f>
        <v/>
      </c>
      <c r="T230" s="112" t="str">
        <f aca="false">IFERROR(IF([1]对账明细接口!$O230=0,"",[1]对账明细接口!$O230),"")</f>
        <v/>
      </c>
      <c r="U230" s="112" t="str">
        <f aca="false">IFERROR(IF([1]对账明细接口!$P230=0,"",[1]对账明细接口!$P230),"")</f>
        <v/>
      </c>
      <c r="V230" s="112" t="str">
        <f aca="false">IFERROR(IF([1]对账明细接口!$Q230=0,"",[1]对账明细接口!$Q230),"")</f>
        <v/>
      </c>
      <c r="W230" s="10" t="str">
        <f aca="false">IFERROR(IF([1]对账明细接口!$R230=0,"",[1]对账明细接口!$R230),"")</f>
        <v/>
      </c>
      <c r="X230" s="10" t="str">
        <f aca="false">IFERROR(IF([1]对账明细接口!$S230=0,"",[1]对账明细接口!$S230),"")</f>
        <v/>
      </c>
      <c r="Y230" s="10" t="str">
        <f aca="false">""</f>
        <v/>
      </c>
      <c r="Z230" s="10" t="str">
        <f aca="false">""</f>
        <v/>
      </c>
      <c r="AA230" s="10" t="str">
        <f aca="false">""</f>
        <v/>
      </c>
      <c r="AB230" s="10" t="str">
        <f aca="false">""</f>
        <v/>
      </c>
    </row>
    <row r="231" customFormat="false" ht="13.5" hidden="false" customHeight="false" outlineLevel="0" collapsed="false">
      <c r="A231" s="109" t="n">
        <v>231</v>
      </c>
      <c r="B231" s="110" t="str">
        <f aca="false">IFERROR(IF([1]对账明细接口!$B$231=0,"",[1]对账明细接口!$B$231),"")</f>
        <v/>
      </c>
      <c r="C231" s="59" t="str">
        <f aca="false">IFERROR(IF([1]对账明细接口!$C$231=0,"",[1]对账明细接口!$C$231),"")</f>
        <v/>
      </c>
      <c r="D231" s="59" t="str">
        <f aca="false">IFERROR(IF([1]对账明细接口!$D$231=0,"",[1]对账明细接口!$D$231),"")</f>
        <v/>
      </c>
      <c r="E231" s="59" t="str">
        <f aca="false">IFERROR(IF([1]对账明细接口!$E$231=0,"",[1]对账明细接口!$E$231),"")</f>
        <v/>
      </c>
      <c r="F231" s="59" t="str">
        <f aca="false">IFERROR(IF([1]对账明细接口!$F$231=0,"",[1]对账明细接口!$F$231),"")</f>
        <v/>
      </c>
      <c r="G231" s="59" t="str">
        <f aca="false">IFERROR(IF([1]对账明细接口!$G$231=0,"",[1]对账明细接口!$G$231),"")</f>
        <v/>
      </c>
      <c r="H231" s="60" t="str">
        <f aca="false">IFERROR(IF([1]对账明细接口!$H$231=0,"",[1]对账明细接口!$H$231),"")</f>
        <v/>
      </c>
      <c r="I231" s="59" t="str">
        <f aca="false">IFERROR(IF([1]对账明细接口!$I$231=0,"",[1]对账明细接口!$I$231),"")</f>
        <v/>
      </c>
      <c r="J231" s="61" t="str">
        <f aca="false">IFERROR(IF([1]对账明细接口!$J$231=0,"",[1]对账明细接口!$J$231),"")</f>
        <v/>
      </c>
      <c r="K231" s="61" t="str">
        <f aca="false">IFERROR(IF([1]对账明细接口!$K$231=0,"",[1]对账明细接口!$K$231),"")</f>
        <v/>
      </c>
      <c r="L231" s="59" t="str">
        <f aca="false">IFERROR(IF([1]对账明细接口!$L$231=0,"",[1]对账明细接口!$L$231),"")</f>
        <v/>
      </c>
      <c r="M231" s="59" t="str">
        <f aca="false">IFERROR(IF([1]对账明细接口!$M$231=0,"",[1]对账明细接口!$M$231),"")</f>
        <v/>
      </c>
      <c r="N231" s="111" t="n">
        <f aca="false">IF($C231="",0,1)</f>
        <v>0</v>
      </c>
      <c r="O231" s="111" t="n">
        <f aca="false">N(O230)+$N231</f>
        <v>110</v>
      </c>
      <c r="S231" s="10" t="str">
        <f aca="false">IFERROR(IF([1]对账明细接口!$N231=0,"",[1]对账明细接口!$N231),"")</f>
        <v/>
      </c>
      <c r="T231" s="112" t="str">
        <f aca="false">IFERROR(IF([1]对账明细接口!$O231=0,"",[1]对账明细接口!$O231),"")</f>
        <v/>
      </c>
      <c r="U231" s="112" t="str">
        <f aca="false">IFERROR(IF([1]对账明细接口!$P231=0,"",[1]对账明细接口!$P231),"")</f>
        <v/>
      </c>
      <c r="V231" s="112" t="str">
        <f aca="false">IFERROR(IF([1]对账明细接口!$Q231=0,"",[1]对账明细接口!$Q231),"")</f>
        <v/>
      </c>
      <c r="W231" s="10" t="str">
        <f aca="false">IFERROR(IF([1]对账明细接口!$R231=0,"",[1]对账明细接口!$R231),"")</f>
        <v/>
      </c>
      <c r="X231" s="10" t="str">
        <f aca="false">IFERROR(IF([1]对账明细接口!$S231=0,"",[1]对账明细接口!$S231),"")</f>
        <v/>
      </c>
      <c r="Y231" s="10" t="str">
        <f aca="false">""</f>
        <v/>
      </c>
      <c r="Z231" s="10" t="str">
        <f aca="false">""</f>
        <v/>
      </c>
      <c r="AA231" s="10" t="str">
        <f aca="false">""</f>
        <v/>
      </c>
      <c r="AB231" s="10" t="str">
        <f aca="false">""</f>
        <v/>
      </c>
    </row>
    <row r="232" customFormat="false" ht="13.5" hidden="false" customHeight="false" outlineLevel="0" collapsed="false">
      <c r="A232" s="109" t="n">
        <v>232</v>
      </c>
      <c r="B232" s="110" t="str">
        <f aca="false">IFERROR(IF([1]对账明细接口!$B$232=0,"",[1]对账明细接口!$B$232),"")</f>
        <v/>
      </c>
      <c r="C232" s="59" t="str">
        <f aca="false">IFERROR(IF([1]对账明细接口!$C$232=0,"",[1]对账明细接口!$C$232),"")</f>
        <v/>
      </c>
      <c r="D232" s="59" t="str">
        <f aca="false">IFERROR(IF([1]对账明细接口!$D$232=0,"",[1]对账明细接口!$D$232),"")</f>
        <v/>
      </c>
      <c r="E232" s="59" t="str">
        <f aca="false">IFERROR(IF([1]对账明细接口!$E$232=0,"",[1]对账明细接口!$E$232),"")</f>
        <v/>
      </c>
      <c r="F232" s="59" t="str">
        <f aca="false">IFERROR(IF([1]对账明细接口!$F$232=0,"",[1]对账明细接口!$F$232),"")</f>
        <v/>
      </c>
      <c r="G232" s="59" t="str">
        <f aca="false">IFERROR(IF([1]对账明细接口!$G$232=0,"",[1]对账明细接口!$G$232),"")</f>
        <v/>
      </c>
      <c r="H232" s="60" t="str">
        <f aca="false">IFERROR(IF([1]对账明细接口!$H$232=0,"",[1]对账明细接口!$H$232),"")</f>
        <v/>
      </c>
      <c r="I232" s="59" t="str">
        <f aca="false">IFERROR(IF([1]对账明细接口!$I$232=0,"",[1]对账明细接口!$I$232),"")</f>
        <v/>
      </c>
      <c r="J232" s="61" t="str">
        <f aca="false">IFERROR(IF([1]对账明细接口!$J$232=0,"",[1]对账明细接口!$J$232),"")</f>
        <v/>
      </c>
      <c r="K232" s="61" t="str">
        <f aca="false">IFERROR(IF([1]对账明细接口!$K$232=0,"",[1]对账明细接口!$K$232),"")</f>
        <v/>
      </c>
      <c r="L232" s="59" t="str">
        <f aca="false">IFERROR(IF([1]对账明细接口!$L$232=0,"",[1]对账明细接口!$L$232),"")</f>
        <v/>
      </c>
      <c r="M232" s="59" t="str">
        <f aca="false">IFERROR(IF([1]对账明细接口!$M$232=0,"",[1]对账明细接口!$M$232),"")</f>
        <v/>
      </c>
      <c r="N232" s="111" t="n">
        <f aca="false">IF($C232="",0,1)</f>
        <v>0</v>
      </c>
      <c r="O232" s="111" t="n">
        <f aca="false">N(O231)+$N232</f>
        <v>110</v>
      </c>
      <c r="S232" s="10" t="str">
        <f aca="false">IFERROR(IF([1]对账明细接口!$N232=0,"",[1]对账明细接口!$N232),"")</f>
        <v/>
      </c>
      <c r="T232" s="112" t="str">
        <f aca="false">IFERROR(IF([1]对账明细接口!$O232=0,"",[1]对账明细接口!$O232),"")</f>
        <v/>
      </c>
      <c r="U232" s="112" t="str">
        <f aca="false">IFERROR(IF([1]对账明细接口!$P232=0,"",[1]对账明细接口!$P232),"")</f>
        <v/>
      </c>
      <c r="V232" s="112" t="str">
        <f aca="false">IFERROR(IF([1]对账明细接口!$Q232=0,"",[1]对账明细接口!$Q232),"")</f>
        <v/>
      </c>
      <c r="W232" s="10" t="str">
        <f aca="false">IFERROR(IF([1]对账明细接口!$R232=0,"",[1]对账明细接口!$R232),"")</f>
        <v/>
      </c>
      <c r="X232" s="10" t="str">
        <f aca="false">IFERROR(IF([1]对账明细接口!$S232=0,"",[1]对账明细接口!$S232),"")</f>
        <v/>
      </c>
      <c r="Y232" s="10" t="str">
        <f aca="false">""</f>
        <v/>
      </c>
      <c r="Z232" s="10" t="str">
        <f aca="false">""</f>
        <v/>
      </c>
      <c r="AA232" s="10" t="str">
        <f aca="false">""</f>
        <v/>
      </c>
      <c r="AB232" s="10" t="str">
        <f aca="false">""</f>
        <v/>
      </c>
    </row>
    <row r="233" customFormat="false" ht="13.5" hidden="false" customHeight="false" outlineLevel="0" collapsed="false">
      <c r="A233" s="109" t="n">
        <v>233</v>
      </c>
      <c r="B233" s="110" t="str">
        <f aca="false">IFERROR(IF([1]对账明细接口!$B$233=0,"",[1]对账明细接口!$B$233),"")</f>
        <v/>
      </c>
      <c r="C233" s="59" t="str">
        <f aca="false">IFERROR(IF([1]对账明细接口!$C$233=0,"",[1]对账明细接口!$C$233),"")</f>
        <v/>
      </c>
      <c r="D233" s="59" t="str">
        <f aca="false">IFERROR(IF([1]对账明细接口!$D$233=0,"",[1]对账明细接口!$D$233),"")</f>
        <v/>
      </c>
      <c r="E233" s="59" t="str">
        <f aca="false">IFERROR(IF([1]对账明细接口!$E$233=0,"",[1]对账明细接口!$E$233),"")</f>
        <v/>
      </c>
      <c r="F233" s="59" t="str">
        <f aca="false">IFERROR(IF([1]对账明细接口!$F$233=0,"",[1]对账明细接口!$F$233),"")</f>
        <v/>
      </c>
      <c r="G233" s="59" t="str">
        <f aca="false">IFERROR(IF([1]对账明细接口!$G$233=0,"",[1]对账明细接口!$G$233),"")</f>
        <v/>
      </c>
      <c r="H233" s="60" t="str">
        <f aca="false">IFERROR(IF([1]对账明细接口!$H$233=0,"",[1]对账明细接口!$H$233),"")</f>
        <v/>
      </c>
      <c r="I233" s="59" t="str">
        <f aca="false">IFERROR(IF([1]对账明细接口!$I$233=0,"",[1]对账明细接口!$I$233),"")</f>
        <v/>
      </c>
      <c r="J233" s="61" t="str">
        <f aca="false">IFERROR(IF([1]对账明细接口!$J$233=0,"",[1]对账明细接口!$J$233),"")</f>
        <v/>
      </c>
      <c r="K233" s="61" t="str">
        <f aca="false">IFERROR(IF([1]对账明细接口!$K$233=0,"",[1]对账明细接口!$K$233),"")</f>
        <v/>
      </c>
      <c r="L233" s="59" t="str">
        <f aca="false">IFERROR(IF([1]对账明细接口!$L$233=0,"",[1]对账明细接口!$L$233),"")</f>
        <v/>
      </c>
      <c r="M233" s="59" t="str">
        <f aca="false">IFERROR(IF([1]对账明细接口!$M$233=0,"",[1]对账明细接口!$M$233),"")</f>
        <v/>
      </c>
      <c r="N233" s="111" t="n">
        <f aca="false">IF($C233="",0,1)</f>
        <v>0</v>
      </c>
      <c r="O233" s="111" t="n">
        <f aca="false">N(O232)+$N233</f>
        <v>110</v>
      </c>
      <c r="S233" s="10" t="str">
        <f aca="false">IFERROR(IF([1]对账明细接口!$N233=0,"",[1]对账明细接口!$N233),"")</f>
        <v/>
      </c>
      <c r="T233" s="112" t="str">
        <f aca="false">IFERROR(IF([1]对账明细接口!$O233=0,"",[1]对账明细接口!$O233),"")</f>
        <v/>
      </c>
      <c r="U233" s="112" t="str">
        <f aca="false">IFERROR(IF([1]对账明细接口!$P233=0,"",[1]对账明细接口!$P233),"")</f>
        <v/>
      </c>
      <c r="V233" s="112" t="str">
        <f aca="false">IFERROR(IF([1]对账明细接口!$Q233=0,"",[1]对账明细接口!$Q233),"")</f>
        <v/>
      </c>
      <c r="W233" s="10" t="str">
        <f aca="false">IFERROR(IF([1]对账明细接口!$R233=0,"",[1]对账明细接口!$R233),"")</f>
        <v/>
      </c>
      <c r="X233" s="10" t="str">
        <f aca="false">IFERROR(IF([1]对账明细接口!$S233=0,"",[1]对账明细接口!$S233),"")</f>
        <v/>
      </c>
      <c r="Y233" s="10" t="str">
        <f aca="false">""</f>
        <v/>
      </c>
      <c r="Z233" s="10" t="str">
        <f aca="false">""</f>
        <v/>
      </c>
      <c r="AA233" s="10" t="str">
        <f aca="false">""</f>
        <v/>
      </c>
      <c r="AB233" s="10" t="str">
        <f aca="false">""</f>
        <v/>
      </c>
    </row>
    <row r="234" customFormat="false" ht="13.5" hidden="false" customHeight="false" outlineLevel="0" collapsed="false">
      <c r="A234" s="109" t="n">
        <v>234</v>
      </c>
      <c r="B234" s="110" t="str">
        <f aca="false">IFERROR(IF([1]对账明细接口!$B$234=0,"",[1]对账明细接口!$B$234),"")</f>
        <v/>
      </c>
      <c r="C234" s="59" t="str">
        <f aca="false">IFERROR(IF([1]对账明细接口!$C$234=0,"",[1]对账明细接口!$C$234),"")</f>
        <v/>
      </c>
      <c r="D234" s="59" t="str">
        <f aca="false">IFERROR(IF([1]对账明细接口!$D$234=0,"",[1]对账明细接口!$D$234),"")</f>
        <v/>
      </c>
      <c r="E234" s="59" t="str">
        <f aca="false">IFERROR(IF([1]对账明细接口!$E$234=0,"",[1]对账明细接口!$E$234),"")</f>
        <v/>
      </c>
      <c r="F234" s="59" t="str">
        <f aca="false">IFERROR(IF([1]对账明细接口!$F$234=0,"",[1]对账明细接口!$F$234),"")</f>
        <v/>
      </c>
      <c r="G234" s="59" t="str">
        <f aca="false">IFERROR(IF([1]对账明细接口!$G$234=0,"",[1]对账明细接口!$G$234),"")</f>
        <v/>
      </c>
      <c r="H234" s="60" t="str">
        <f aca="false">IFERROR(IF([1]对账明细接口!$H$234=0,"",[1]对账明细接口!$H$234),"")</f>
        <v/>
      </c>
      <c r="I234" s="59" t="str">
        <f aca="false">IFERROR(IF([1]对账明细接口!$I$234=0,"",[1]对账明细接口!$I$234),"")</f>
        <v/>
      </c>
      <c r="J234" s="61" t="str">
        <f aca="false">IFERROR(IF([1]对账明细接口!$J$234=0,"",[1]对账明细接口!$J$234),"")</f>
        <v/>
      </c>
      <c r="K234" s="61" t="str">
        <f aca="false">IFERROR(IF([1]对账明细接口!$K$234=0,"",[1]对账明细接口!$K$234),"")</f>
        <v/>
      </c>
      <c r="L234" s="59" t="str">
        <f aca="false">IFERROR(IF([1]对账明细接口!$L$234=0,"",[1]对账明细接口!$L$234),"")</f>
        <v/>
      </c>
      <c r="M234" s="59" t="str">
        <f aca="false">IFERROR(IF([1]对账明细接口!$M$234=0,"",[1]对账明细接口!$M$234),"")</f>
        <v/>
      </c>
      <c r="N234" s="111" t="n">
        <f aca="false">IF($C234="",0,1)</f>
        <v>0</v>
      </c>
      <c r="O234" s="111" t="n">
        <f aca="false">N(O233)+$N234</f>
        <v>110</v>
      </c>
      <c r="S234" s="10" t="str">
        <f aca="false">IFERROR(IF([1]对账明细接口!$N234=0,"",[1]对账明细接口!$N234),"")</f>
        <v/>
      </c>
      <c r="T234" s="112" t="str">
        <f aca="false">IFERROR(IF([1]对账明细接口!$O234=0,"",[1]对账明细接口!$O234),"")</f>
        <v/>
      </c>
      <c r="U234" s="112" t="str">
        <f aca="false">IFERROR(IF([1]对账明细接口!$P234=0,"",[1]对账明细接口!$P234),"")</f>
        <v/>
      </c>
      <c r="V234" s="112" t="str">
        <f aca="false">IFERROR(IF([1]对账明细接口!$Q234=0,"",[1]对账明细接口!$Q234),"")</f>
        <v/>
      </c>
      <c r="W234" s="10" t="str">
        <f aca="false">IFERROR(IF([1]对账明细接口!$R234=0,"",[1]对账明细接口!$R234),"")</f>
        <v/>
      </c>
      <c r="X234" s="10" t="str">
        <f aca="false">IFERROR(IF([1]对账明细接口!$S234=0,"",[1]对账明细接口!$S234),"")</f>
        <v/>
      </c>
      <c r="Y234" s="10" t="str">
        <f aca="false">""</f>
        <v/>
      </c>
      <c r="Z234" s="10" t="str">
        <f aca="false">""</f>
        <v/>
      </c>
      <c r="AA234" s="10" t="str">
        <f aca="false">""</f>
        <v/>
      </c>
      <c r="AB234" s="10" t="str">
        <f aca="false">""</f>
        <v/>
      </c>
    </row>
    <row r="235" customFormat="false" ht="13.5" hidden="false" customHeight="false" outlineLevel="0" collapsed="false">
      <c r="A235" s="109" t="n">
        <v>235</v>
      </c>
      <c r="B235" s="110" t="str">
        <f aca="false">IFERROR(IF([1]对账明细接口!$B$235=0,"",[1]对账明细接口!$B$235),"")</f>
        <v/>
      </c>
      <c r="C235" s="59" t="str">
        <f aca="false">IFERROR(IF([1]对账明细接口!$C$235=0,"",[1]对账明细接口!$C$235),"")</f>
        <v/>
      </c>
      <c r="D235" s="59" t="str">
        <f aca="false">IFERROR(IF([1]对账明细接口!$D$235=0,"",[1]对账明细接口!$D$235),"")</f>
        <v/>
      </c>
      <c r="E235" s="59" t="str">
        <f aca="false">IFERROR(IF([1]对账明细接口!$E$235=0,"",[1]对账明细接口!$E$235),"")</f>
        <v/>
      </c>
      <c r="F235" s="59" t="str">
        <f aca="false">IFERROR(IF([1]对账明细接口!$F$235=0,"",[1]对账明细接口!$F$235),"")</f>
        <v/>
      </c>
      <c r="G235" s="59" t="str">
        <f aca="false">IFERROR(IF([1]对账明细接口!$G$235=0,"",[1]对账明细接口!$G$235),"")</f>
        <v/>
      </c>
      <c r="H235" s="60" t="str">
        <f aca="false">IFERROR(IF([1]对账明细接口!$H$235=0,"",[1]对账明细接口!$H$235),"")</f>
        <v/>
      </c>
      <c r="I235" s="59" t="str">
        <f aca="false">IFERROR(IF([1]对账明细接口!$I$235=0,"",[1]对账明细接口!$I$235),"")</f>
        <v/>
      </c>
      <c r="J235" s="61" t="str">
        <f aca="false">IFERROR(IF([1]对账明细接口!$J$235=0,"",[1]对账明细接口!$J$235),"")</f>
        <v/>
      </c>
      <c r="K235" s="61" t="str">
        <f aca="false">IFERROR(IF([1]对账明细接口!$K$235=0,"",[1]对账明细接口!$K$235),"")</f>
        <v/>
      </c>
      <c r="L235" s="59" t="str">
        <f aca="false">IFERROR(IF([1]对账明细接口!$L$235=0,"",[1]对账明细接口!$L$235),"")</f>
        <v/>
      </c>
      <c r="M235" s="59" t="str">
        <f aca="false">IFERROR(IF([1]对账明细接口!$M$235=0,"",[1]对账明细接口!$M$235),"")</f>
        <v/>
      </c>
      <c r="N235" s="111" t="n">
        <f aca="false">IF($C235="",0,1)</f>
        <v>0</v>
      </c>
      <c r="O235" s="111" t="n">
        <f aca="false">N(O234)+$N235</f>
        <v>110</v>
      </c>
      <c r="S235" s="10" t="str">
        <f aca="false">IFERROR(IF([1]对账明细接口!$N235=0,"",[1]对账明细接口!$N235),"")</f>
        <v/>
      </c>
      <c r="T235" s="112" t="str">
        <f aca="false">IFERROR(IF([1]对账明细接口!$O235=0,"",[1]对账明细接口!$O235),"")</f>
        <v/>
      </c>
      <c r="U235" s="112" t="str">
        <f aca="false">IFERROR(IF([1]对账明细接口!$P235=0,"",[1]对账明细接口!$P235),"")</f>
        <v/>
      </c>
      <c r="V235" s="112" t="str">
        <f aca="false">IFERROR(IF([1]对账明细接口!$Q235=0,"",[1]对账明细接口!$Q235),"")</f>
        <v/>
      </c>
      <c r="W235" s="10" t="str">
        <f aca="false">IFERROR(IF([1]对账明细接口!$R235=0,"",[1]对账明细接口!$R235),"")</f>
        <v/>
      </c>
      <c r="X235" s="10" t="str">
        <f aca="false">IFERROR(IF([1]对账明细接口!$S235=0,"",[1]对账明细接口!$S235),"")</f>
        <v/>
      </c>
      <c r="Y235" s="10" t="str">
        <f aca="false">""</f>
        <v/>
      </c>
      <c r="Z235" s="10" t="str">
        <f aca="false">""</f>
        <v/>
      </c>
      <c r="AA235" s="10" t="str">
        <f aca="false">""</f>
        <v/>
      </c>
      <c r="AB235" s="10" t="str">
        <f aca="false">""</f>
        <v/>
      </c>
    </row>
    <row r="236" customFormat="false" ht="13.5" hidden="false" customHeight="false" outlineLevel="0" collapsed="false">
      <c r="A236" s="109" t="n">
        <v>236</v>
      </c>
      <c r="B236" s="110" t="str">
        <f aca="false">IFERROR(IF([1]对账明细接口!$B$236=0,"",[1]对账明细接口!$B$236),"")</f>
        <v/>
      </c>
      <c r="C236" s="59" t="str">
        <f aca="false">IFERROR(IF([1]对账明细接口!$C$236=0,"",[1]对账明细接口!$C$236),"")</f>
        <v/>
      </c>
      <c r="D236" s="59" t="str">
        <f aca="false">IFERROR(IF([1]对账明细接口!$D$236=0,"",[1]对账明细接口!$D$236),"")</f>
        <v/>
      </c>
      <c r="E236" s="59" t="str">
        <f aca="false">IFERROR(IF([1]对账明细接口!$E$236=0,"",[1]对账明细接口!$E$236),"")</f>
        <v/>
      </c>
      <c r="F236" s="59" t="str">
        <f aca="false">IFERROR(IF([1]对账明细接口!$F$236=0,"",[1]对账明细接口!$F$236),"")</f>
        <v/>
      </c>
      <c r="G236" s="59" t="str">
        <f aca="false">IFERROR(IF([1]对账明细接口!$G$236=0,"",[1]对账明细接口!$G$236),"")</f>
        <v/>
      </c>
      <c r="H236" s="60" t="str">
        <f aca="false">IFERROR(IF([1]对账明细接口!$H$236=0,"",[1]对账明细接口!$H$236),"")</f>
        <v/>
      </c>
      <c r="I236" s="59" t="str">
        <f aca="false">IFERROR(IF([1]对账明细接口!$I$236=0,"",[1]对账明细接口!$I$236),"")</f>
        <v/>
      </c>
      <c r="J236" s="61" t="str">
        <f aca="false">IFERROR(IF([1]对账明细接口!$J$236=0,"",[1]对账明细接口!$J$236),"")</f>
        <v/>
      </c>
      <c r="K236" s="61" t="str">
        <f aca="false">IFERROR(IF([1]对账明细接口!$K$236=0,"",[1]对账明细接口!$K$236),"")</f>
        <v/>
      </c>
      <c r="L236" s="59" t="str">
        <f aca="false">IFERROR(IF([1]对账明细接口!$L$236=0,"",[1]对账明细接口!$L$236),"")</f>
        <v/>
      </c>
      <c r="M236" s="59" t="str">
        <f aca="false">IFERROR(IF([1]对账明细接口!$M$236=0,"",[1]对账明细接口!$M$236),"")</f>
        <v/>
      </c>
      <c r="N236" s="111" t="n">
        <f aca="false">IF($C236="",0,1)</f>
        <v>0</v>
      </c>
      <c r="O236" s="111" t="n">
        <f aca="false">N(O235)+$N236</f>
        <v>110</v>
      </c>
      <c r="S236" s="10" t="str">
        <f aca="false">IFERROR(IF([1]对账明细接口!$N236=0,"",[1]对账明细接口!$N236),"")</f>
        <v/>
      </c>
      <c r="T236" s="112" t="str">
        <f aca="false">IFERROR(IF([1]对账明细接口!$O236=0,"",[1]对账明细接口!$O236),"")</f>
        <v/>
      </c>
      <c r="U236" s="112" t="str">
        <f aca="false">IFERROR(IF([1]对账明细接口!$P236=0,"",[1]对账明细接口!$P236),"")</f>
        <v/>
      </c>
      <c r="V236" s="112" t="str">
        <f aca="false">IFERROR(IF([1]对账明细接口!$Q236=0,"",[1]对账明细接口!$Q236),"")</f>
        <v/>
      </c>
      <c r="W236" s="10" t="str">
        <f aca="false">IFERROR(IF([1]对账明细接口!$R236=0,"",[1]对账明细接口!$R236),"")</f>
        <v/>
      </c>
      <c r="X236" s="10" t="str">
        <f aca="false">IFERROR(IF([1]对账明细接口!$S236=0,"",[1]对账明细接口!$S236),"")</f>
        <v/>
      </c>
      <c r="Y236" s="10" t="str">
        <f aca="false">""</f>
        <v/>
      </c>
      <c r="Z236" s="10" t="str">
        <f aca="false">""</f>
        <v/>
      </c>
      <c r="AA236" s="10" t="str">
        <f aca="false">""</f>
        <v/>
      </c>
      <c r="AB236" s="10" t="str">
        <f aca="false">""</f>
        <v/>
      </c>
    </row>
    <row r="237" customFormat="false" ht="13.5" hidden="false" customHeight="false" outlineLevel="0" collapsed="false">
      <c r="A237" s="109" t="n">
        <v>237</v>
      </c>
      <c r="B237" s="110" t="str">
        <f aca="false">IFERROR(IF([1]对账明细接口!$B$237=0,"",[1]对账明细接口!$B$237),"")</f>
        <v/>
      </c>
      <c r="C237" s="59" t="str">
        <f aca="false">IFERROR(IF([1]对账明细接口!$C$237=0,"",[1]对账明细接口!$C$237),"")</f>
        <v/>
      </c>
      <c r="D237" s="59" t="str">
        <f aca="false">IFERROR(IF([1]对账明细接口!$D$237=0,"",[1]对账明细接口!$D$237),"")</f>
        <v/>
      </c>
      <c r="E237" s="59" t="str">
        <f aca="false">IFERROR(IF([1]对账明细接口!$E$237=0,"",[1]对账明细接口!$E$237),"")</f>
        <v/>
      </c>
      <c r="F237" s="59" t="str">
        <f aca="false">IFERROR(IF([1]对账明细接口!$F$237=0,"",[1]对账明细接口!$F$237),"")</f>
        <v/>
      </c>
      <c r="G237" s="59" t="str">
        <f aca="false">IFERROR(IF([1]对账明细接口!$G$237=0,"",[1]对账明细接口!$G$237),"")</f>
        <v/>
      </c>
      <c r="H237" s="60" t="str">
        <f aca="false">IFERROR(IF([1]对账明细接口!$H$237=0,"",[1]对账明细接口!$H$237),"")</f>
        <v/>
      </c>
      <c r="I237" s="59" t="str">
        <f aca="false">IFERROR(IF([1]对账明细接口!$I$237=0,"",[1]对账明细接口!$I$237),"")</f>
        <v/>
      </c>
      <c r="J237" s="61" t="str">
        <f aca="false">IFERROR(IF([1]对账明细接口!$J$237=0,"",[1]对账明细接口!$J$237),"")</f>
        <v/>
      </c>
      <c r="K237" s="61" t="str">
        <f aca="false">IFERROR(IF([1]对账明细接口!$K$237=0,"",[1]对账明细接口!$K$237),"")</f>
        <v/>
      </c>
      <c r="L237" s="59" t="str">
        <f aca="false">IFERROR(IF([1]对账明细接口!$L$237=0,"",[1]对账明细接口!$L$237),"")</f>
        <v/>
      </c>
      <c r="M237" s="59" t="str">
        <f aca="false">IFERROR(IF([1]对账明细接口!$M$237=0,"",[1]对账明细接口!$M$237),"")</f>
        <v/>
      </c>
      <c r="N237" s="111" t="n">
        <f aca="false">IF($C237="",0,1)</f>
        <v>0</v>
      </c>
      <c r="O237" s="111" t="n">
        <f aca="false">N(O236)+$N237</f>
        <v>110</v>
      </c>
      <c r="S237" s="10" t="str">
        <f aca="false">IFERROR(IF([1]对账明细接口!$N237=0,"",[1]对账明细接口!$N237),"")</f>
        <v/>
      </c>
      <c r="T237" s="112" t="str">
        <f aca="false">IFERROR(IF([1]对账明细接口!$O237=0,"",[1]对账明细接口!$O237),"")</f>
        <v/>
      </c>
      <c r="U237" s="112" t="str">
        <f aca="false">IFERROR(IF([1]对账明细接口!$P237=0,"",[1]对账明细接口!$P237),"")</f>
        <v/>
      </c>
      <c r="V237" s="112" t="str">
        <f aca="false">IFERROR(IF([1]对账明细接口!$Q237=0,"",[1]对账明细接口!$Q237),"")</f>
        <v/>
      </c>
      <c r="W237" s="10" t="str">
        <f aca="false">IFERROR(IF([1]对账明细接口!$R237=0,"",[1]对账明细接口!$R237),"")</f>
        <v/>
      </c>
      <c r="X237" s="10" t="str">
        <f aca="false">IFERROR(IF([1]对账明细接口!$S237=0,"",[1]对账明细接口!$S237),"")</f>
        <v/>
      </c>
      <c r="Y237" s="10" t="str">
        <f aca="false">""</f>
        <v/>
      </c>
      <c r="Z237" s="10" t="str">
        <f aca="false">""</f>
        <v/>
      </c>
      <c r="AA237" s="10" t="str">
        <f aca="false">""</f>
        <v/>
      </c>
      <c r="AB237" s="10" t="str">
        <f aca="false">""</f>
        <v/>
      </c>
    </row>
    <row r="238" customFormat="false" ht="13.5" hidden="false" customHeight="false" outlineLevel="0" collapsed="false">
      <c r="A238" s="109" t="n">
        <v>238</v>
      </c>
      <c r="B238" s="110" t="str">
        <f aca="false">IFERROR(IF([1]对账明细接口!$B$238=0,"",[1]对账明细接口!$B$238),"")</f>
        <v/>
      </c>
      <c r="C238" s="59" t="str">
        <f aca="false">IFERROR(IF([1]对账明细接口!$C$238=0,"",[1]对账明细接口!$C$238),"")</f>
        <v/>
      </c>
      <c r="D238" s="59" t="str">
        <f aca="false">IFERROR(IF([1]对账明细接口!$D$238=0,"",[1]对账明细接口!$D$238),"")</f>
        <v/>
      </c>
      <c r="E238" s="59" t="str">
        <f aca="false">IFERROR(IF([1]对账明细接口!$E$238=0,"",[1]对账明细接口!$E$238),"")</f>
        <v/>
      </c>
      <c r="F238" s="59" t="str">
        <f aca="false">IFERROR(IF([1]对账明细接口!$F$238=0,"",[1]对账明细接口!$F$238),"")</f>
        <v/>
      </c>
      <c r="G238" s="59" t="str">
        <f aca="false">IFERROR(IF([1]对账明细接口!$G$238=0,"",[1]对账明细接口!$G$238),"")</f>
        <v/>
      </c>
      <c r="H238" s="60" t="str">
        <f aca="false">IFERROR(IF([1]对账明细接口!$H$238=0,"",[1]对账明细接口!$H$238),"")</f>
        <v/>
      </c>
      <c r="I238" s="59" t="str">
        <f aca="false">IFERROR(IF([1]对账明细接口!$I$238=0,"",[1]对账明细接口!$I$238),"")</f>
        <v/>
      </c>
      <c r="J238" s="61" t="str">
        <f aca="false">IFERROR(IF([1]对账明细接口!$J$238=0,"",[1]对账明细接口!$J$238),"")</f>
        <v/>
      </c>
      <c r="K238" s="61" t="str">
        <f aca="false">IFERROR(IF([1]对账明细接口!$K$238=0,"",[1]对账明细接口!$K$238),"")</f>
        <v/>
      </c>
      <c r="L238" s="59" t="str">
        <f aca="false">IFERROR(IF([1]对账明细接口!$L$238=0,"",[1]对账明细接口!$L$238),"")</f>
        <v/>
      </c>
      <c r="M238" s="59" t="str">
        <f aca="false">IFERROR(IF([1]对账明细接口!$M$238=0,"",[1]对账明细接口!$M$238),"")</f>
        <v/>
      </c>
      <c r="N238" s="111" t="n">
        <f aca="false">IF($C238="",0,1)</f>
        <v>0</v>
      </c>
      <c r="O238" s="111" t="n">
        <f aca="false">N(O237)+$N238</f>
        <v>110</v>
      </c>
      <c r="S238" s="10" t="str">
        <f aca="false">IFERROR(IF([1]对账明细接口!$N238=0,"",[1]对账明细接口!$N238),"")</f>
        <v/>
      </c>
      <c r="T238" s="112" t="str">
        <f aca="false">IFERROR(IF([1]对账明细接口!$O238=0,"",[1]对账明细接口!$O238),"")</f>
        <v/>
      </c>
      <c r="U238" s="112" t="str">
        <f aca="false">IFERROR(IF([1]对账明细接口!$P238=0,"",[1]对账明细接口!$P238),"")</f>
        <v/>
      </c>
      <c r="V238" s="112" t="str">
        <f aca="false">IFERROR(IF([1]对账明细接口!$Q238=0,"",[1]对账明细接口!$Q238),"")</f>
        <v/>
      </c>
      <c r="W238" s="10" t="str">
        <f aca="false">IFERROR(IF([1]对账明细接口!$R238=0,"",[1]对账明细接口!$R238),"")</f>
        <v/>
      </c>
      <c r="X238" s="10" t="str">
        <f aca="false">IFERROR(IF([1]对账明细接口!$S238=0,"",[1]对账明细接口!$S238),"")</f>
        <v/>
      </c>
      <c r="Y238" s="10" t="str">
        <f aca="false">""</f>
        <v/>
      </c>
      <c r="Z238" s="10" t="str">
        <f aca="false">""</f>
        <v/>
      </c>
      <c r="AA238" s="10" t="str">
        <f aca="false">""</f>
        <v/>
      </c>
      <c r="AB238" s="10" t="str">
        <f aca="false">""</f>
        <v/>
      </c>
    </row>
    <row r="239" customFormat="false" ht="13.5" hidden="false" customHeight="false" outlineLevel="0" collapsed="false">
      <c r="A239" s="109" t="n">
        <v>239</v>
      </c>
      <c r="B239" s="110" t="str">
        <f aca="false">IFERROR(IF([1]对账明细接口!$B$239=0,"",[1]对账明细接口!$B$239),"")</f>
        <v/>
      </c>
      <c r="C239" s="59" t="str">
        <f aca="false">IFERROR(IF([1]对账明细接口!$C$239=0,"",[1]对账明细接口!$C$239),"")</f>
        <v/>
      </c>
      <c r="D239" s="59" t="str">
        <f aca="false">IFERROR(IF([1]对账明细接口!$D$239=0,"",[1]对账明细接口!$D$239),"")</f>
        <v/>
      </c>
      <c r="E239" s="59" t="str">
        <f aca="false">IFERROR(IF([1]对账明细接口!$E$239=0,"",[1]对账明细接口!$E$239),"")</f>
        <v/>
      </c>
      <c r="F239" s="59" t="str">
        <f aca="false">IFERROR(IF([1]对账明细接口!$F$239=0,"",[1]对账明细接口!$F$239),"")</f>
        <v/>
      </c>
      <c r="G239" s="59" t="str">
        <f aca="false">IFERROR(IF([1]对账明细接口!$G$239=0,"",[1]对账明细接口!$G$239),"")</f>
        <v/>
      </c>
      <c r="H239" s="60" t="str">
        <f aca="false">IFERROR(IF([1]对账明细接口!$H$239=0,"",[1]对账明细接口!$H$239),"")</f>
        <v/>
      </c>
      <c r="I239" s="59" t="str">
        <f aca="false">IFERROR(IF([1]对账明细接口!$I$239=0,"",[1]对账明细接口!$I$239),"")</f>
        <v/>
      </c>
      <c r="J239" s="61" t="str">
        <f aca="false">IFERROR(IF([1]对账明细接口!$J$239=0,"",[1]对账明细接口!$J$239),"")</f>
        <v/>
      </c>
      <c r="K239" s="61" t="str">
        <f aca="false">IFERROR(IF([1]对账明细接口!$K$239=0,"",[1]对账明细接口!$K$239),"")</f>
        <v/>
      </c>
      <c r="L239" s="59" t="str">
        <f aca="false">IFERROR(IF([1]对账明细接口!$L$239=0,"",[1]对账明细接口!$L$239),"")</f>
        <v/>
      </c>
      <c r="M239" s="59" t="str">
        <f aca="false">IFERROR(IF([1]对账明细接口!$M$239=0,"",[1]对账明细接口!$M$239),"")</f>
        <v/>
      </c>
      <c r="N239" s="111" t="n">
        <f aca="false">IF($C239="",0,1)</f>
        <v>0</v>
      </c>
      <c r="O239" s="111" t="n">
        <f aca="false">N(O238)+$N239</f>
        <v>110</v>
      </c>
      <c r="S239" s="10" t="str">
        <f aca="false">IFERROR(IF([1]对账明细接口!$N239=0,"",[1]对账明细接口!$N239),"")</f>
        <v/>
      </c>
      <c r="T239" s="112" t="str">
        <f aca="false">IFERROR(IF([1]对账明细接口!$O239=0,"",[1]对账明细接口!$O239),"")</f>
        <v/>
      </c>
      <c r="U239" s="112" t="str">
        <f aca="false">IFERROR(IF([1]对账明细接口!$P239=0,"",[1]对账明细接口!$P239),"")</f>
        <v/>
      </c>
      <c r="V239" s="112" t="str">
        <f aca="false">IFERROR(IF([1]对账明细接口!$Q239=0,"",[1]对账明细接口!$Q239),"")</f>
        <v/>
      </c>
      <c r="W239" s="10" t="str">
        <f aca="false">IFERROR(IF([1]对账明细接口!$R239=0,"",[1]对账明细接口!$R239),"")</f>
        <v/>
      </c>
      <c r="X239" s="10" t="str">
        <f aca="false">IFERROR(IF([1]对账明细接口!$S239=0,"",[1]对账明细接口!$S239),"")</f>
        <v/>
      </c>
      <c r="Y239" s="10" t="str">
        <f aca="false">""</f>
        <v/>
      </c>
      <c r="Z239" s="10" t="str">
        <f aca="false">""</f>
        <v/>
      </c>
      <c r="AA239" s="10" t="str">
        <f aca="false">""</f>
        <v/>
      </c>
      <c r="AB239" s="10" t="str">
        <f aca="false">""</f>
        <v/>
      </c>
    </row>
    <row r="240" customFormat="false" ht="13.5" hidden="false" customHeight="false" outlineLevel="0" collapsed="false">
      <c r="A240" s="109" t="n">
        <v>240</v>
      </c>
      <c r="B240" s="110" t="str">
        <f aca="false">IFERROR(IF([1]对账明细接口!$B$240=0,"",[1]对账明细接口!$B$240),"")</f>
        <v/>
      </c>
      <c r="C240" s="59" t="str">
        <f aca="false">IFERROR(IF([1]对账明细接口!$C$240=0,"",[1]对账明细接口!$C$240),"")</f>
        <v/>
      </c>
      <c r="D240" s="59" t="str">
        <f aca="false">IFERROR(IF([1]对账明细接口!$D$240=0,"",[1]对账明细接口!$D$240),"")</f>
        <v/>
      </c>
      <c r="E240" s="59" t="str">
        <f aca="false">IFERROR(IF([1]对账明细接口!$E$240=0,"",[1]对账明细接口!$E$240),"")</f>
        <v/>
      </c>
      <c r="F240" s="59" t="str">
        <f aca="false">IFERROR(IF([1]对账明细接口!$F$240=0,"",[1]对账明细接口!$F$240),"")</f>
        <v/>
      </c>
      <c r="G240" s="59" t="str">
        <f aca="false">IFERROR(IF([1]对账明细接口!$G$240=0,"",[1]对账明细接口!$G$240),"")</f>
        <v/>
      </c>
      <c r="H240" s="60" t="str">
        <f aca="false">IFERROR(IF([1]对账明细接口!$H$240=0,"",[1]对账明细接口!$H$240),"")</f>
        <v/>
      </c>
      <c r="I240" s="59" t="str">
        <f aca="false">IFERROR(IF([1]对账明细接口!$I$240=0,"",[1]对账明细接口!$I$240),"")</f>
        <v/>
      </c>
      <c r="J240" s="61" t="str">
        <f aca="false">IFERROR(IF([1]对账明细接口!$J$240=0,"",[1]对账明细接口!$J$240),"")</f>
        <v/>
      </c>
      <c r="K240" s="61" t="str">
        <f aca="false">IFERROR(IF([1]对账明细接口!$K$240=0,"",[1]对账明细接口!$K$240),"")</f>
        <v/>
      </c>
      <c r="L240" s="59" t="str">
        <f aca="false">IFERROR(IF([1]对账明细接口!$L$240=0,"",[1]对账明细接口!$L$240),"")</f>
        <v/>
      </c>
      <c r="M240" s="59" t="str">
        <f aca="false">IFERROR(IF([1]对账明细接口!$M$240=0,"",[1]对账明细接口!$M$240),"")</f>
        <v/>
      </c>
      <c r="N240" s="111" t="n">
        <f aca="false">IF($C240="",0,1)</f>
        <v>0</v>
      </c>
      <c r="O240" s="111" t="n">
        <f aca="false">N(O239)+$N240</f>
        <v>110</v>
      </c>
      <c r="S240" s="10" t="str">
        <f aca="false">IFERROR(IF([1]对账明细接口!$N240=0,"",[1]对账明细接口!$N240),"")</f>
        <v/>
      </c>
      <c r="T240" s="112" t="str">
        <f aca="false">IFERROR(IF([1]对账明细接口!$O240=0,"",[1]对账明细接口!$O240),"")</f>
        <v/>
      </c>
      <c r="U240" s="112" t="str">
        <f aca="false">IFERROR(IF([1]对账明细接口!$P240=0,"",[1]对账明细接口!$P240),"")</f>
        <v/>
      </c>
      <c r="V240" s="112" t="str">
        <f aca="false">IFERROR(IF([1]对账明细接口!$Q240=0,"",[1]对账明细接口!$Q240),"")</f>
        <v/>
      </c>
      <c r="W240" s="10" t="str">
        <f aca="false">IFERROR(IF([1]对账明细接口!$R240=0,"",[1]对账明细接口!$R240),"")</f>
        <v/>
      </c>
      <c r="X240" s="10" t="str">
        <f aca="false">IFERROR(IF([1]对账明细接口!$S240=0,"",[1]对账明细接口!$S240),"")</f>
        <v/>
      </c>
      <c r="Y240" s="10" t="str">
        <f aca="false">""</f>
        <v/>
      </c>
      <c r="Z240" s="10" t="str">
        <f aca="false">""</f>
        <v/>
      </c>
      <c r="AA240" s="10" t="str">
        <f aca="false">""</f>
        <v/>
      </c>
      <c r="AB240" s="10" t="str">
        <f aca="false">""</f>
        <v/>
      </c>
    </row>
    <row r="241" customFormat="false" ht="13.5" hidden="false" customHeight="false" outlineLevel="0" collapsed="false">
      <c r="A241" s="109" t="n">
        <v>241</v>
      </c>
      <c r="B241" s="110" t="str">
        <f aca="false">IFERROR(IF([1]对账明细接口!$B$241=0,"",[1]对账明细接口!$B$241),"")</f>
        <v/>
      </c>
      <c r="C241" s="59" t="str">
        <f aca="false">IFERROR(IF([1]对账明细接口!$C$241=0,"",[1]对账明细接口!$C$241),"")</f>
        <v/>
      </c>
      <c r="D241" s="59" t="str">
        <f aca="false">IFERROR(IF([1]对账明细接口!$D$241=0,"",[1]对账明细接口!$D$241),"")</f>
        <v/>
      </c>
      <c r="E241" s="59" t="str">
        <f aca="false">IFERROR(IF([1]对账明细接口!$E$241=0,"",[1]对账明细接口!$E$241),"")</f>
        <v/>
      </c>
      <c r="F241" s="59" t="str">
        <f aca="false">IFERROR(IF([1]对账明细接口!$F$241=0,"",[1]对账明细接口!$F$241),"")</f>
        <v/>
      </c>
      <c r="G241" s="59" t="str">
        <f aca="false">IFERROR(IF([1]对账明细接口!$G$241=0,"",[1]对账明细接口!$G$241),"")</f>
        <v/>
      </c>
      <c r="H241" s="60" t="str">
        <f aca="false">IFERROR(IF([1]对账明细接口!$H$241=0,"",[1]对账明细接口!$H$241),"")</f>
        <v/>
      </c>
      <c r="I241" s="59" t="str">
        <f aca="false">IFERROR(IF([1]对账明细接口!$I$241=0,"",[1]对账明细接口!$I$241),"")</f>
        <v/>
      </c>
      <c r="J241" s="61" t="str">
        <f aca="false">IFERROR(IF([1]对账明细接口!$J$241=0,"",[1]对账明细接口!$J$241),"")</f>
        <v/>
      </c>
      <c r="K241" s="61" t="str">
        <f aca="false">IFERROR(IF([1]对账明细接口!$K$241=0,"",[1]对账明细接口!$K$241),"")</f>
        <v/>
      </c>
      <c r="L241" s="59" t="str">
        <f aca="false">IFERROR(IF([1]对账明细接口!$L$241=0,"",[1]对账明细接口!$L$241),"")</f>
        <v/>
      </c>
      <c r="M241" s="59" t="str">
        <f aca="false">IFERROR(IF([1]对账明细接口!$M$241=0,"",[1]对账明细接口!$M$241),"")</f>
        <v/>
      </c>
      <c r="N241" s="111" t="n">
        <f aca="false">IF($C241="",0,1)</f>
        <v>0</v>
      </c>
      <c r="O241" s="111" t="n">
        <f aca="false">N(O240)+$N241</f>
        <v>110</v>
      </c>
      <c r="S241" s="10" t="str">
        <f aca="false">IFERROR(IF([1]对账明细接口!$N241=0,"",[1]对账明细接口!$N241),"")</f>
        <v/>
      </c>
      <c r="T241" s="112" t="str">
        <f aca="false">IFERROR(IF([1]对账明细接口!$O241=0,"",[1]对账明细接口!$O241),"")</f>
        <v/>
      </c>
      <c r="U241" s="112" t="str">
        <f aca="false">IFERROR(IF([1]对账明细接口!$P241=0,"",[1]对账明细接口!$P241),"")</f>
        <v/>
      </c>
      <c r="V241" s="112" t="str">
        <f aca="false">IFERROR(IF([1]对账明细接口!$Q241=0,"",[1]对账明细接口!$Q241),"")</f>
        <v/>
      </c>
      <c r="W241" s="10" t="str">
        <f aca="false">IFERROR(IF([1]对账明细接口!$R241=0,"",[1]对账明细接口!$R241),"")</f>
        <v/>
      </c>
      <c r="X241" s="10" t="str">
        <f aca="false">IFERROR(IF([1]对账明细接口!$S241=0,"",[1]对账明细接口!$S241),"")</f>
        <v/>
      </c>
      <c r="Y241" s="10" t="str">
        <f aca="false">""</f>
        <v/>
      </c>
      <c r="Z241" s="10" t="str">
        <f aca="false">""</f>
        <v/>
      </c>
      <c r="AA241" s="10" t="str">
        <f aca="false">""</f>
        <v/>
      </c>
      <c r="AB241" s="10" t="str">
        <f aca="false">""</f>
        <v/>
      </c>
    </row>
    <row r="242" customFormat="false" ht="13.5" hidden="false" customHeight="false" outlineLevel="0" collapsed="false">
      <c r="A242" s="109" t="n">
        <v>242</v>
      </c>
      <c r="B242" s="110" t="str">
        <f aca="false">IFERROR(IF([1]对账明细接口!$B$242=0,"",[1]对账明细接口!$B$242),"")</f>
        <v/>
      </c>
      <c r="C242" s="59" t="str">
        <f aca="false">IFERROR(IF([1]对账明细接口!$C$242=0,"",[1]对账明细接口!$C$242),"")</f>
        <v/>
      </c>
      <c r="D242" s="59" t="str">
        <f aca="false">IFERROR(IF([1]对账明细接口!$D$242=0,"",[1]对账明细接口!$D$242),"")</f>
        <v/>
      </c>
      <c r="E242" s="59" t="str">
        <f aca="false">IFERROR(IF([1]对账明细接口!$E$242=0,"",[1]对账明细接口!$E$242),"")</f>
        <v/>
      </c>
      <c r="F242" s="59" t="str">
        <f aca="false">IFERROR(IF([1]对账明细接口!$F$242=0,"",[1]对账明细接口!$F$242),"")</f>
        <v/>
      </c>
      <c r="G242" s="59" t="str">
        <f aca="false">IFERROR(IF([1]对账明细接口!$G$242=0,"",[1]对账明细接口!$G$242),"")</f>
        <v/>
      </c>
      <c r="H242" s="60" t="str">
        <f aca="false">IFERROR(IF([1]对账明细接口!$H$242=0,"",[1]对账明细接口!$H$242),"")</f>
        <v/>
      </c>
      <c r="I242" s="59" t="str">
        <f aca="false">IFERROR(IF([1]对账明细接口!$I$242=0,"",[1]对账明细接口!$I$242),"")</f>
        <v/>
      </c>
      <c r="J242" s="61" t="str">
        <f aca="false">IFERROR(IF([1]对账明细接口!$J$242=0,"",[1]对账明细接口!$J$242),"")</f>
        <v/>
      </c>
      <c r="K242" s="61" t="str">
        <f aca="false">IFERROR(IF([1]对账明细接口!$K$242=0,"",[1]对账明细接口!$K$242),"")</f>
        <v/>
      </c>
      <c r="L242" s="59" t="str">
        <f aca="false">IFERROR(IF([1]对账明细接口!$L$242=0,"",[1]对账明细接口!$L$242),"")</f>
        <v/>
      </c>
      <c r="M242" s="59" t="str">
        <f aca="false">IFERROR(IF([1]对账明细接口!$M$242=0,"",[1]对账明细接口!$M$242),"")</f>
        <v/>
      </c>
      <c r="N242" s="111" t="n">
        <f aca="false">IF($C242="",0,1)</f>
        <v>0</v>
      </c>
      <c r="O242" s="111" t="n">
        <f aca="false">N(O241)+$N242</f>
        <v>110</v>
      </c>
      <c r="S242" s="10" t="str">
        <f aca="false">IFERROR(IF([1]对账明细接口!$N242=0,"",[1]对账明细接口!$N242),"")</f>
        <v/>
      </c>
      <c r="T242" s="112" t="str">
        <f aca="false">IFERROR(IF([1]对账明细接口!$O242=0,"",[1]对账明细接口!$O242),"")</f>
        <v/>
      </c>
      <c r="U242" s="112" t="str">
        <f aca="false">IFERROR(IF([1]对账明细接口!$P242=0,"",[1]对账明细接口!$P242),"")</f>
        <v/>
      </c>
      <c r="V242" s="112" t="str">
        <f aca="false">IFERROR(IF([1]对账明细接口!$Q242=0,"",[1]对账明细接口!$Q242),"")</f>
        <v/>
      </c>
      <c r="W242" s="10" t="str">
        <f aca="false">IFERROR(IF([1]对账明细接口!$R242=0,"",[1]对账明细接口!$R242),"")</f>
        <v/>
      </c>
      <c r="X242" s="10" t="str">
        <f aca="false">IFERROR(IF([1]对账明细接口!$S242=0,"",[1]对账明细接口!$S242),"")</f>
        <v/>
      </c>
      <c r="Y242" s="10" t="str">
        <f aca="false">""</f>
        <v/>
      </c>
      <c r="Z242" s="10" t="str">
        <f aca="false">""</f>
        <v/>
      </c>
      <c r="AA242" s="10" t="str">
        <f aca="false">""</f>
        <v/>
      </c>
      <c r="AB242" s="10" t="str">
        <f aca="false">""</f>
        <v/>
      </c>
    </row>
    <row r="243" customFormat="false" ht="13.5" hidden="false" customHeight="false" outlineLevel="0" collapsed="false">
      <c r="A243" s="109" t="n">
        <v>243</v>
      </c>
      <c r="B243" s="110" t="str">
        <f aca="false">IFERROR(IF([1]对账明细接口!$B$243=0,"",[1]对账明细接口!$B$243),"")</f>
        <v/>
      </c>
      <c r="C243" s="59" t="str">
        <f aca="false">IFERROR(IF([1]对账明细接口!$C$243=0,"",[1]对账明细接口!$C$243),"")</f>
        <v/>
      </c>
      <c r="D243" s="59" t="str">
        <f aca="false">IFERROR(IF([1]对账明细接口!$D$243=0,"",[1]对账明细接口!$D$243),"")</f>
        <v/>
      </c>
      <c r="E243" s="59" t="str">
        <f aca="false">IFERROR(IF([1]对账明细接口!$E$243=0,"",[1]对账明细接口!$E$243),"")</f>
        <v/>
      </c>
      <c r="F243" s="59" t="str">
        <f aca="false">IFERROR(IF([1]对账明细接口!$F$243=0,"",[1]对账明细接口!$F$243),"")</f>
        <v/>
      </c>
      <c r="G243" s="59" t="str">
        <f aca="false">IFERROR(IF([1]对账明细接口!$G$243=0,"",[1]对账明细接口!$G$243),"")</f>
        <v/>
      </c>
      <c r="H243" s="60" t="str">
        <f aca="false">IFERROR(IF([1]对账明细接口!$H$243=0,"",[1]对账明细接口!$H$243),"")</f>
        <v/>
      </c>
      <c r="I243" s="59" t="str">
        <f aca="false">IFERROR(IF([1]对账明细接口!$I$243=0,"",[1]对账明细接口!$I$243),"")</f>
        <v/>
      </c>
      <c r="J243" s="61" t="str">
        <f aca="false">IFERROR(IF([1]对账明细接口!$J$243=0,"",[1]对账明细接口!$J$243),"")</f>
        <v/>
      </c>
      <c r="K243" s="61" t="str">
        <f aca="false">IFERROR(IF([1]对账明细接口!$K$243=0,"",[1]对账明细接口!$K$243),"")</f>
        <v/>
      </c>
      <c r="L243" s="59" t="str">
        <f aca="false">IFERROR(IF([1]对账明细接口!$L$243=0,"",[1]对账明细接口!$L$243),"")</f>
        <v/>
      </c>
      <c r="M243" s="59" t="str">
        <f aca="false">IFERROR(IF([1]对账明细接口!$M$243=0,"",[1]对账明细接口!$M$243),"")</f>
        <v/>
      </c>
      <c r="N243" s="111" t="n">
        <f aca="false">IF($C243="",0,1)</f>
        <v>0</v>
      </c>
      <c r="O243" s="111" t="n">
        <f aca="false">N(O242)+$N243</f>
        <v>110</v>
      </c>
      <c r="S243" s="10" t="str">
        <f aca="false">IFERROR(IF([1]对账明细接口!$N243=0,"",[1]对账明细接口!$N243),"")</f>
        <v/>
      </c>
      <c r="T243" s="112" t="str">
        <f aca="false">IFERROR(IF([1]对账明细接口!$O243=0,"",[1]对账明细接口!$O243),"")</f>
        <v/>
      </c>
      <c r="U243" s="112" t="str">
        <f aca="false">IFERROR(IF([1]对账明细接口!$P243=0,"",[1]对账明细接口!$P243),"")</f>
        <v/>
      </c>
      <c r="V243" s="112" t="str">
        <f aca="false">IFERROR(IF([1]对账明细接口!$Q243=0,"",[1]对账明细接口!$Q243),"")</f>
        <v/>
      </c>
      <c r="W243" s="10" t="str">
        <f aca="false">IFERROR(IF([1]对账明细接口!$R243=0,"",[1]对账明细接口!$R243),"")</f>
        <v/>
      </c>
      <c r="X243" s="10" t="str">
        <f aca="false">IFERROR(IF([1]对账明细接口!$S243=0,"",[1]对账明细接口!$S243),"")</f>
        <v/>
      </c>
      <c r="Y243" s="10" t="str">
        <f aca="false">""</f>
        <v/>
      </c>
      <c r="Z243" s="10" t="str">
        <f aca="false">""</f>
        <v/>
      </c>
      <c r="AA243" s="10" t="str">
        <f aca="false">""</f>
        <v/>
      </c>
      <c r="AB243" s="10" t="str">
        <f aca="false">""</f>
        <v/>
      </c>
    </row>
    <row r="244" customFormat="false" ht="13.5" hidden="false" customHeight="false" outlineLevel="0" collapsed="false">
      <c r="A244" s="109" t="n">
        <v>244</v>
      </c>
      <c r="B244" s="110" t="str">
        <f aca="false">IFERROR(IF([1]对账明细接口!$B$244=0,"",[1]对账明细接口!$B$244),"")</f>
        <v/>
      </c>
      <c r="C244" s="59" t="str">
        <f aca="false">IFERROR(IF([1]对账明细接口!$C$244=0,"",[1]对账明细接口!$C$244),"")</f>
        <v/>
      </c>
      <c r="D244" s="59" t="str">
        <f aca="false">IFERROR(IF([1]对账明细接口!$D$244=0,"",[1]对账明细接口!$D$244),"")</f>
        <v/>
      </c>
      <c r="E244" s="59" t="str">
        <f aca="false">IFERROR(IF([1]对账明细接口!$E$244=0,"",[1]对账明细接口!$E$244),"")</f>
        <v/>
      </c>
      <c r="F244" s="59" t="str">
        <f aca="false">IFERROR(IF([1]对账明细接口!$F$244=0,"",[1]对账明细接口!$F$244),"")</f>
        <v/>
      </c>
      <c r="G244" s="59" t="str">
        <f aca="false">IFERROR(IF([1]对账明细接口!$G$244=0,"",[1]对账明细接口!$G$244),"")</f>
        <v/>
      </c>
      <c r="H244" s="60" t="str">
        <f aca="false">IFERROR(IF([1]对账明细接口!$H$244=0,"",[1]对账明细接口!$H$244),"")</f>
        <v/>
      </c>
      <c r="I244" s="59" t="str">
        <f aca="false">IFERROR(IF([1]对账明细接口!$I$244=0,"",[1]对账明细接口!$I$244),"")</f>
        <v/>
      </c>
      <c r="J244" s="61" t="str">
        <f aca="false">IFERROR(IF([1]对账明细接口!$J$244=0,"",[1]对账明细接口!$J$244),"")</f>
        <v/>
      </c>
      <c r="K244" s="61" t="str">
        <f aca="false">IFERROR(IF([1]对账明细接口!$K$244=0,"",[1]对账明细接口!$K$244),"")</f>
        <v/>
      </c>
      <c r="L244" s="59" t="str">
        <f aca="false">IFERROR(IF([1]对账明细接口!$L$244=0,"",[1]对账明细接口!$L$244),"")</f>
        <v/>
      </c>
      <c r="M244" s="59" t="str">
        <f aca="false">IFERROR(IF([1]对账明细接口!$M$244=0,"",[1]对账明细接口!$M$244),"")</f>
        <v/>
      </c>
      <c r="N244" s="111" t="n">
        <f aca="false">IF($C244="",0,1)</f>
        <v>0</v>
      </c>
      <c r="O244" s="111" t="n">
        <f aca="false">N(O243)+$N244</f>
        <v>110</v>
      </c>
      <c r="S244" s="10" t="str">
        <f aca="false">IFERROR(IF([1]对账明细接口!$N244=0,"",[1]对账明细接口!$N244),"")</f>
        <v/>
      </c>
      <c r="T244" s="112" t="str">
        <f aca="false">IFERROR(IF([1]对账明细接口!$O244=0,"",[1]对账明细接口!$O244),"")</f>
        <v/>
      </c>
      <c r="U244" s="112" t="str">
        <f aca="false">IFERROR(IF([1]对账明细接口!$P244=0,"",[1]对账明细接口!$P244),"")</f>
        <v/>
      </c>
      <c r="V244" s="112" t="str">
        <f aca="false">IFERROR(IF([1]对账明细接口!$Q244=0,"",[1]对账明细接口!$Q244),"")</f>
        <v/>
      </c>
      <c r="W244" s="10" t="str">
        <f aca="false">IFERROR(IF([1]对账明细接口!$R244=0,"",[1]对账明细接口!$R244),"")</f>
        <v/>
      </c>
      <c r="X244" s="10" t="str">
        <f aca="false">IFERROR(IF([1]对账明细接口!$S244=0,"",[1]对账明细接口!$S244),"")</f>
        <v/>
      </c>
      <c r="Y244" s="10" t="str">
        <f aca="false">""</f>
        <v/>
      </c>
      <c r="Z244" s="10" t="str">
        <f aca="false">""</f>
        <v/>
      </c>
      <c r="AA244" s="10" t="str">
        <f aca="false">""</f>
        <v/>
      </c>
      <c r="AB244" s="10" t="str">
        <f aca="false">""</f>
        <v/>
      </c>
    </row>
    <row r="245" customFormat="false" ht="13.5" hidden="false" customHeight="false" outlineLevel="0" collapsed="false">
      <c r="A245" s="109" t="n">
        <v>245</v>
      </c>
      <c r="B245" s="110" t="str">
        <f aca="false">IFERROR(IF([1]对账明细接口!$B$245=0,"",[1]对账明细接口!$B$245),"")</f>
        <v/>
      </c>
      <c r="C245" s="59" t="str">
        <f aca="false">IFERROR(IF([1]对账明细接口!$C$245=0,"",[1]对账明细接口!$C$245),"")</f>
        <v/>
      </c>
      <c r="D245" s="59" t="str">
        <f aca="false">IFERROR(IF([1]对账明细接口!$D$245=0,"",[1]对账明细接口!$D$245),"")</f>
        <v/>
      </c>
      <c r="E245" s="59" t="str">
        <f aca="false">IFERROR(IF([1]对账明细接口!$E$245=0,"",[1]对账明细接口!$E$245),"")</f>
        <v/>
      </c>
      <c r="F245" s="59" t="str">
        <f aca="false">IFERROR(IF([1]对账明细接口!$F$245=0,"",[1]对账明细接口!$F$245),"")</f>
        <v/>
      </c>
      <c r="G245" s="59" t="str">
        <f aca="false">IFERROR(IF([1]对账明细接口!$G$245=0,"",[1]对账明细接口!$G$245),"")</f>
        <v/>
      </c>
      <c r="H245" s="60" t="str">
        <f aca="false">IFERROR(IF([1]对账明细接口!$H$245=0,"",[1]对账明细接口!$H$245),"")</f>
        <v/>
      </c>
      <c r="I245" s="59" t="str">
        <f aca="false">IFERROR(IF([1]对账明细接口!$I$245=0,"",[1]对账明细接口!$I$245),"")</f>
        <v/>
      </c>
      <c r="J245" s="61" t="str">
        <f aca="false">IFERROR(IF([1]对账明细接口!$J$245=0,"",[1]对账明细接口!$J$245),"")</f>
        <v/>
      </c>
      <c r="K245" s="61" t="str">
        <f aca="false">IFERROR(IF([1]对账明细接口!$K$245=0,"",[1]对账明细接口!$K$245),"")</f>
        <v/>
      </c>
      <c r="L245" s="59" t="str">
        <f aca="false">IFERROR(IF([1]对账明细接口!$L$245=0,"",[1]对账明细接口!$L$245),"")</f>
        <v/>
      </c>
      <c r="M245" s="59" t="str">
        <f aca="false">IFERROR(IF([1]对账明细接口!$M$245=0,"",[1]对账明细接口!$M$245),"")</f>
        <v/>
      </c>
      <c r="N245" s="111" t="n">
        <f aca="false">IF($C245="",0,1)</f>
        <v>0</v>
      </c>
      <c r="O245" s="111" t="n">
        <f aca="false">N(O244)+$N245</f>
        <v>110</v>
      </c>
      <c r="S245" s="10" t="str">
        <f aca="false">IFERROR(IF([1]对账明细接口!$N245=0,"",[1]对账明细接口!$N245),"")</f>
        <v/>
      </c>
      <c r="T245" s="112" t="str">
        <f aca="false">IFERROR(IF([1]对账明细接口!$O245=0,"",[1]对账明细接口!$O245),"")</f>
        <v/>
      </c>
      <c r="U245" s="112" t="str">
        <f aca="false">IFERROR(IF([1]对账明细接口!$P245=0,"",[1]对账明细接口!$P245),"")</f>
        <v/>
      </c>
      <c r="V245" s="112" t="str">
        <f aca="false">IFERROR(IF([1]对账明细接口!$Q245=0,"",[1]对账明细接口!$Q245),"")</f>
        <v/>
      </c>
      <c r="W245" s="10" t="str">
        <f aca="false">IFERROR(IF([1]对账明细接口!$R245=0,"",[1]对账明细接口!$R245),"")</f>
        <v/>
      </c>
      <c r="X245" s="10" t="str">
        <f aca="false">IFERROR(IF([1]对账明细接口!$S245=0,"",[1]对账明细接口!$S245),"")</f>
        <v/>
      </c>
      <c r="Y245" s="10" t="str">
        <f aca="false">""</f>
        <v/>
      </c>
      <c r="Z245" s="10" t="str">
        <f aca="false">""</f>
        <v/>
      </c>
      <c r="AA245" s="10" t="str">
        <f aca="false">""</f>
        <v/>
      </c>
      <c r="AB245" s="10" t="str">
        <f aca="false">""</f>
        <v/>
      </c>
    </row>
    <row r="246" customFormat="false" ht="13.5" hidden="false" customHeight="false" outlineLevel="0" collapsed="false">
      <c r="A246" s="109" t="n">
        <v>246</v>
      </c>
      <c r="B246" s="110" t="str">
        <f aca="false">IFERROR(IF([1]对账明细接口!$B$246=0,"",[1]对账明细接口!$B$246),"")</f>
        <v/>
      </c>
      <c r="C246" s="59" t="str">
        <f aca="false">IFERROR(IF([1]对账明细接口!$C$246=0,"",[1]对账明细接口!$C$246),"")</f>
        <v/>
      </c>
      <c r="D246" s="59" t="str">
        <f aca="false">IFERROR(IF([1]对账明细接口!$D$246=0,"",[1]对账明细接口!$D$246),"")</f>
        <v/>
      </c>
      <c r="E246" s="59" t="str">
        <f aca="false">IFERROR(IF([1]对账明细接口!$E$246=0,"",[1]对账明细接口!$E$246),"")</f>
        <v/>
      </c>
      <c r="F246" s="59" t="str">
        <f aca="false">IFERROR(IF([1]对账明细接口!$F$246=0,"",[1]对账明细接口!$F$246),"")</f>
        <v/>
      </c>
      <c r="G246" s="59" t="str">
        <f aca="false">IFERROR(IF([1]对账明细接口!$G$246=0,"",[1]对账明细接口!$G$246),"")</f>
        <v/>
      </c>
      <c r="H246" s="60" t="str">
        <f aca="false">IFERROR(IF([1]对账明细接口!$H$246=0,"",[1]对账明细接口!$H$246),"")</f>
        <v/>
      </c>
      <c r="I246" s="59" t="str">
        <f aca="false">IFERROR(IF([1]对账明细接口!$I$246=0,"",[1]对账明细接口!$I$246),"")</f>
        <v/>
      </c>
      <c r="J246" s="61" t="str">
        <f aca="false">IFERROR(IF([1]对账明细接口!$J$246=0,"",[1]对账明细接口!$J$246),"")</f>
        <v/>
      </c>
      <c r="K246" s="61" t="str">
        <f aca="false">IFERROR(IF([1]对账明细接口!$K$246=0,"",[1]对账明细接口!$K$246),"")</f>
        <v/>
      </c>
      <c r="L246" s="59" t="str">
        <f aca="false">IFERROR(IF([1]对账明细接口!$L$246=0,"",[1]对账明细接口!$L$246),"")</f>
        <v/>
      </c>
      <c r="M246" s="59" t="str">
        <f aca="false">IFERROR(IF([1]对账明细接口!$M$246=0,"",[1]对账明细接口!$M$246),"")</f>
        <v/>
      </c>
      <c r="N246" s="111" t="n">
        <f aca="false">IF($C246="",0,1)</f>
        <v>0</v>
      </c>
      <c r="O246" s="111" t="n">
        <f aca="false">N(O245)+$N246</f>
        <v>110</v>
      </c>
      <c r="S246" s="10" t="str">
        <f aca="false">IFERROR(IF([1]对账明细接口!$N246=0,"",[1]对账明细接口!$N246),"")</f>
        <v/>
      </c>
      <c r="T246" s="112" t="str">
        <f aca="false">IFERROR(IF([1]对账明细接口!$O246=0,"",[1]对账明细接口!$O246),"")</f>
        <v/>
      </c>
      <c r="U246" s="112" t="str">
        <f aca="false">IFERROR(IF([1]对账明细接口!$P246=0,"",[1]对账明细接口!$P246),"")</f>
        <v/>
      </c>
      <c r="V246" s="112" t="str">
        <f aca="false">IFERROR(IF([1]对账明细接口!$Q246=0,"",[1]对账明细接口!$Q246),"")</f>
        <v/>
      </c>
      <c r="W246" s="10" t="str">
        <f aca="false">IFERROR(IF([1]对账明细接口!$R246=0,"",[1]对账明细接口!$R246),"")</f>
        <v/>
      </c>
      <c r="X246" s="10" t="str">
        <f aca="false">IFERROR(IF([1]对账明细接口!$S246=0,"",[1]对账明细接口!$S246),"")</f>
        <v/>
      </c>
      <c r="Y246" s="10" t="str">
        <f aca="false">""</f>
        <v/>
      </c>
      <c r="Z246" s="10" t="str">
        <f aca="false">""</f>
        <v/>
      </c>
      <c r="AA246" s="10" t="str">
        <f aca="false">""</f>
        <v/>
      </c>
      <c r="AB246" s="10" t="str">
        <f aca="false">""</f>
        <v/>
      </c>
    </row>
    <row r="247" customFormat="false" ht="13.5" hidden="false" customHeight="false" outlineLevel="0" collapsed="false">
      <c r="A247" s="109" t="n">
        <v>247</v>
      </c>
      <c r="B247" s="110" t="str">
        <f aca="false">IFERROR(IF([1]对账明细接口!$B$247=0,"",[1]对账明细接口!$B$247),"")</f>
        <v/>
      </c>
      <c r="C247" s="59" t="str">
        <f aca="false">IFERROR(IF([1]对账明细接口!$C$247=0,"",[1]对账明细接口!$C$247),"")</f>
        <v/>
      </c>
      <c r="D247" s="59" t="str">
        <f aca="false">IFERROR(IF([1]对账明细接口!$D$247=0,"",[1]对账明细接口!$D$247),"")</f>
        <v/>
      </c>
      <c r="E247" s="59" t="str">
        <f aca="false">IFERROR(IF([1]对账明细接口!$E$247=0,"",[1]对账明细接口!$E$247),"")</f>
        <v/>
      </c>
      <c r="F247" s="59" t="str">
        <f aca="false">IFERROR(IF([1]对账明细接口!$F$247=0,"",[1]对账明细接口!$F$247),"")</f>
        <v/>
      </c>
      <c r="G247" s="59" t="str">
        <f aca="false">IFERROR(IF([1]对账明细接口!$G$247=0,"",[1]对账明细接口!$G$247),"")</f>
        <v/>
      </c>
      <c r="H247" s="60" t="str">
        <f aca="false">IFERROR(IF([1]对账明细接口!$H$247=0,"",[1]对账明细接口!$H$247),"")</f>
        <v/>
      </c>
      <c r="I247" s="59" t="str">
        <f aca="false">IFERROR(IF([1]对账明细接口!$I$247=0,"",[1]对账明细接口!$I$247),"")</f>
        <v/>
      </c>
      <c r="J247" s="61" t="str">
        <f aca="false">IFERROR(IF([1]对账明细接口!$J$247=0,"",[1]对账明细接口!$J$247),"")</f>
        <v/>
      </c>
      <c r="K247" s="61" t="str">
        <f aca="false">IFERROR(IF([1]对账明细接口!$K$247=0,"",[1]对账明细接口!$K$247),"")</f>
        <v/>
      </c>
      <c r="L247" s="59" t="str">
        <f aca="false">IFERROR(IF([1]对账明细接口!$L$247=0,"",[1]对账明细接口!$L$247),"")</f>
        <v/>
      </c>
      <c r="M247" s="59" t="str">
        <f aca="false">IFERROR(IF([1]对账明细接口!$M$247=0,"",[1]对账明细接口!$M$247),"")</f>
        <v/>
      </c>
      <c r="N247" s="111" t="n">
        <f aca="false">IF($C247="",0,1)</f>
        <v>0</v>
      </c>
      <c r="O247" s="111" t="n">
        <f aca="false">N(O246)+$N247</f>
        <v>110</v>
      </c>
      <c r="S247" s="10" t="str">
        <f aca="false">IFERROR(IF([1]对账明细接口!$N247=0,"",[1]对账明细接口!$N247),"")</f>
        <v/>
      </c>
      <c r="T247" s="112" t="str">
        <f aca="false">IFERROR(IF([1]对账明细接口!$O247=0,"",[1]对账明细接口!$O247),"")</f>
        <v/>
      </c>
      <c r="U247" s="112" t="str">
        <f aca="false">IFERROR(IF([1]对账明细接口!$P247=0,"",[1]对账明细接口!$P247),"")</f>
        <v/>
      </c>
      <c r="V247" s="112" t="str">
        <f aca="false">IFERROR(IF([1]对账明细接口!$Q247=0,"",[1]对账明细接口!$Q247),"")</f>
        <v/>
      </c>
      <c r="W247" s="10" t="str">
        <f aca="false">IFERROR(IF([1]对账明细接口!$R247=0,"",[1]对账明细接口!$R247),"")</f>
        <v/>
      </c>
      <c r="X247" s="10" t="str">
        <f aca="false">IFERROR(IF([1]对账明细接口!$S247=0,"",[1]对账明细接口!$S247),"")</f>
        <v/>
      </c>
      <c r="Y247" s="10" t="str">
        <f aca="false">""</f>
        <v/>
      </c>
      <c r="Z247" s="10" t="str">
        <f aca="false">""</f>
        <v/>
      </c>
      <c r="AA247" s="10" t="str">
        <f aca="false">""</f>
        <v/>
      </c>
      <c r="AB247" s="10" t="str">
        <f aca="false">""</f>
        <v/>
      </c>
    </row>
    <row r="248" customFormat="false" ht="13.5" hidden="false" customHeight="false" outlineLevel="0" collapsed="false">
      <c r="A248" s="109" t="n">
        <v>248</v>
      </c>
      <c r="B248" s="110" t="str">
        <f aca="false">IFERROR(IF([1]对账明细接口!$B$248=0,"",[1]对账明细接口!$B$248),"")</f>
        <v/>
      </c>
      <c r="C248" s="59" t="str">
        <f aca="false">IFERROR(IF([1]对账明细接口!$C$248=0,"",[1]对账明细接口!$C$248),"")</f>
        <v/>
      </c>
      <c r="D248" s="59" t="str">
        <f aca="false">IFERROR(IF([1]对账明细接口!$D$248=0,"",[1]对账明细接口!$D$248),"")</f>
        <v/>
      </c>
      <c r="E248" s="59" t="str">
        <f aca="false">IFERROR(IF([1]对账明细接口!$E$248=0,"",[1]对账明细接口!$E$248),"")</f>
        <v/>
      </c>
      <c r="F248" s="59" t="str">
        <f aca="false">IFERROR(IF([1]对账明细接口!$F$248=0,"",[1]对账明细接口!$F$248),"")</f>
        <v/>
      </c>
      <c r="G248" s="59" t="str">
        <f aca="false">IFERROR(IF([1]对账明细接口!$G$248=0,"",[1]对账明细接口!$G$248),"")</f>
        <v/>
      </c>
      <c r="H248" s="60" t="str">
        <f aca="false">IFERROR(IF([1]对账明细接口!$H$248=0,"",[1]对账明细接口!$H$248),"")</f>
        <v/>
      </c>
      <c r="I248" s="59" t="str">
        <f aca="false">IFERROR(IF([1]对账明细接口!$I$248=0,"",[1]对账明细接口!$I$248),"")</f>
        <v/>
      </c>
      <c r="J248" s="61" t="str">
        <f aca="false">IFERROR(IF([1]对账明细接口!$J$248=0,"",[1]对账明细接口!$J$248),"")</f>
        <v/>
      </c>
      <c r="K248" s="61" t="str">
        <f aca="false">IFERROR(IF([1]对账明细接口!$K$248=0,"",[1]对账明细接口!$K$248),"")</f>
        <v/>
      </c>
      <c r="L248" s="59" t="str">
        <f aca="false">IFERROR(IF([1]对账明细接口!$L$248=0,"",[1]对账明细接口!$L$248),"")</f>
        <v/>
      </c>
      <c r="M248" s="59" t="str">
        <f aca="false">IFERROR(IF([1]对账明细接口!$M$248=0,"",[1]对账明细接口!$M$248),"")</f>
        <v/>
      </c>
      <c r="N248" s="111" t="n">
        <f aca="false">IF($C248="",0,1)</f>
        <v>0</v>
      </c>
      <c r="O248" s="111" t="n">
        <f aca="false">N(O247)+$N248</f>
        <v>110</v>
      </c>
      <c r="S248" s="10" t="str">
        <f aca="false">IFERROR(IF([1]对账明细接口!$N248=0,"",[1]对账明细接口!$N248),"")</f>
        <v/>
      </c>
      <c r="T248" s="112" t="str">
        <f aca="false">IFERROR(IF([1]对账明细接口!$O248=0,"",[1]对账明细接口!$O248),"")</f>
        <v/>
      </c>
      <c r="U248" s="112" t="str">
        <f aca="false">IFERROR(IF([1]对账明细接口!$P248=0,"",[1]对账明细接口!$P248),"")</f>
        <v/>
      </c>
      <c r="V248" s="112" t="str">
        <f aca="false">IFERROR(IF([1]对账明细接口!$Q248=0,"",[1]对账明细接口!$Q248),"")</f>
        <v/>
      </c>
      <c r="W248" s="10" t="str">
        <f aca="false">IFERROR(IF([1]对账明细接口!$R248=0,"",[1]对账明细接口!$R248),"")</f>
        <v/>
      </c>
      <c r="X248" s="10" t="str">
        <f aca="false">IFERROR(IF([1]对账明细接口!$S248=0,"",[1]对账明细接口!$S248),"")</f>
        <v/>
      </c>
      <c r="Y248" s="10" t="str">
        <f aca="false">""</f>
        <v/>
      </c>
      <c r="Z248" s="10" t="str">
        <f aca="false">""</f>
        <v/>
      </c>
      <c r="AA248" s="10" t="str">
        <f aca="false">""</f>
        <v/>
      </c>
      <c r="AB248" s="10" t="str">
        <f aca="false">""</f>
        <v/>
      </c>
    </row>
    <row r="249" customFormat="false" ht="13.5" hidden="false" customHeight="false" outlineLevel="0" collapsed="false">
      <c r="A249" s="109" t="n">
        <v>249</v>
      </c>
      <c r="B249" s="110" t="str">
        <f aca="false">IFERROR(IF([1]对账明细接口!$B$249=0,"",[1]对账明细接口!$B$249),"")</f>
        <v/>
      </c>
      <c r="C249" s="59" t="str">
        <f aca="false">IFERROR(IF([1]对账明细接口!$C$249=0,"",[1]对账明细接口!$C$249),"")</f>
        <v/>
      </c>
      <c r="D249" s="59" t="str">
        <f aca="false">IFERROR(IF([1]对账明细接口!$D$249=0,"",[1]对账明细接口!$D$249),"")</f>
        <v/>
      </c>
      <c r="E249" s="59" t="str">
        <f aca="false">IFERROR(IF([1]对账明细接口!$E$249=0,"",[1]对账明细接口!$E$249),"")</f>
        <v/>
      </c>
      <c r="F249" s="59" t="str">
        <f aca="false">IFERROR(IF([1]对账明细接口!$F$249=0,"",[1]对账明细接口!$F$249),"")</f>
        <v/>
      </c>
      <c r="G249" s="59" t="str">
        <f aca="false">IFERROR(IF([1]对账明细接口!$G$249=0,"",[1]对账明细接口!$G$249),"")</f>
        <v/>
      </c>
      <c r="H249" s="60" t="str">
        <f aca="false">IFERROR(IF([1]对账明细接口!$H$249=0,"",[1]对账明细接口!$H$249),"")</f>
        <v/>
      </c>
      <c r="I249" s="59" t="str">
        <f aca="false">IFERROR(IF([1]对账明细接口!$I$249=0,"",[1]对账明细接口!$I$249),"")</f>
        <v/>
      </c>
      <c r="J249" s="61" t="str">
        <f aca="false">IFERROR(IF([1]对账明细接口!$J$249=0,"",[1]对账明细接口!$J$249),"")</f>
        <v/>
      </c>
      <c r="K249" s="61" t="str">
        <f aca="false">IFERROR(IF([1]对账明细接口!$K$249=0,"",[1]对账明细接口!$K$249),"")</f>
        <v/>
      </c>
      <c r="L249" s="59" t="str">
        <f aca="false">IFERROR(IF([1]对账明细接口!$L$249=0,"",[1]对账明细接口!$L$249),"")</f>
        <v/>
      </c>
      <c r="M249" s="59" t="str">
        <f aca="false">IFERROR(IF([1]对账明细接口!$M$249=0,"",[1]对账明细接口!$M$249),"")</f>
        <v/>
      </c>
      <c r="N249" s="111" t="n">
        <f aca="false">IF($C249="",0,1)</f>
        <v>0</v>
      </c>
      <c r="O249" s="111" t="n">
        <f aca="false">N(O248)+$N249</f>
        <v>110</v>
      </c>
      <c r="S249" s="10" t="str">
        <f aca="false">IFERROR(IF([1]对账明细接口!$N249=0,"",[1]对账明细接口!$N249),"")</f>
        <v/>
      </c>
      <c r="T249" s="112" t="str">
        <f aca="false">IFERROR(IF([1]对账明细接口!$O249=0,"",[1]对账明细接口!$O249),"")</f>
        <v/>
      </c>
      <c r="U249" s="112" t="str">
        <f aca="false">IFERROR(IF([1]对账明细接口!$P249=0,"",[1]对账明细接口!$P249),"")</f>
        <v/>
      </c>
      <c r="V249" s="112" t="str">
        <f aca="false">IFERROR(IF([1]对账明细接口!$Q249=0,"",[1]对账明细接口!$Q249),"")</f>
        <v/>
      </c>
      <c r="W249" s="10" t="str">
        <f aca="false">IFERROR(IF([1]对账明细接口!$R249=0,"",[1]对账明细接口!$R249),"")</f>
        <v/>
      </c>
      <c r="X249" s="10" t="str">
        <f aca="false">IFERROR(IF([1]对账明细接口!$S249=0,"",[1]对账明细接口!$S249),"")</f>
        <v/>
      </c>
      <c r="Y249" s="10" t="str">
        <f aca="false">""</f>
        <v/>
      </c>
      <c r="Z249" s="10" t="str">
        <f aca="false">""</f>
        <v/>
      </c>
      <c r="AA249" s="10" t="str">
        <f aca="false">""</f>
        <v/>
      </c>
      <c r="AB249" s="10" t="str">
        <f aca="false">""</f>
        <v/>
      </c>
    </row>
    <row r="250" customFormat="false" ht="13.5" hidden="false" customHeight="false" outlineLevel="0" collapsed="false">
      <c r="A250" s="109" t="n">
        <v>250</v>
      </c>
      <c r="B250" s="110" t="str">
        <f aca="false">IFERROR(IF([1]对账明细接口!$B$250=0,"",[1]对账明细接口!$B$250),"")</f>
        <v/>
      </c>
      <c r="C250" s="59" t="str">
        <f aca="false">IFERROR(IF([1]对账明细接口!$C$250=0,"",[1]对账明细接口!$C$250),"")</f>
        <v/>
      </c>
      <c r="D250" s="59" t="str">
        <f aca="false">IFERROR(IF([1]对账明细接口!$D$250=0,"",[1]对账明细接口!$D$250),"")</f>
        <v/>
      </c>
      <c r="E250" s="59" t="str">
        <f aca="false">IFERROR(IF([1]对账明细接口!$E$250=0,"",[1]对账明细接口!$E$250),"")</f>
        <v/>
      </c>
      <c r="F250" s="59" t="str">
        <f aca="false">IFERROR(IF([1]对账明细接口!$F$250=0,"",[1]对账明细接口!$F$250),"")</f>
        <v/>
      </c>
      <c r="G250" s="59" t="str">
        <f aca="false">IFERROR(IF([1]对账明细接口!$G$250=0,"",[1]对账明细接口!$G$250),"")</f>
        <v/>
      </c>
      <c r="H250" s="60" t="str">
        <f aca="false">IFERROR(IF([1]对账明细接口!$H$250=0,"",[1]对账明细接口!$H$250),"")</f>
        <v/>
      </c>
      <c r="I250" s="59" t="str">
        <f aca="false">IFERROR(IF([1]对账明细接口!$I$250=0,"",[1]对账明细接口!$I$250),"")</f>
        <v/>
      </c>
      <c r="J250" s="61" t="str">
        <f aca="false">IFERROR(IF([1]对账明细接口!$J$250=0,"",[1]对账明细接口!$J$250),"")</f>
        <v/>
      </c>
      <c r="K250" s="61" t="str">
        <f aca="false">IFERROR(IF([1]对账明细接口!$K$250=0,"",[1]对账明细接口!$K$250),"")</f>
        <v/>
      </c>
      <c r="L250" s="59" t="str">
        <f aca="false">IFERROR(IF([1]对账明细接口!$L$250=0,"",[1]对账明细接口!$L$250),"")</f>
        <v/>
      </c>
      <c r="M250" s="59" t="str">
        <f aca="false">IFERROR(IF([1]对账明细接口!$M$250=0,"",[1]对账明细接口!$M$250),"")</f>
        <v/>
      </c>
      <c r="N250" s="111" t="n">
        <f aca="false">IF($C250="",0,1)</f>
        <v>0</v>
      </c>
      <c r="O250" s="111" t="n">
        <f aca="false">N(O249)+$N250</f>
        <v>110</v>
      </c>
      <c r="S250" s="10" t="str">
        <f aca="false">IFERROR(IF([1]对账明细接口!$N250=0,"",[1]对账明细接口!$N250),"")</f>
        <v/>
      </c>
      <c r="T250" s="112" t="str">
        <f aca="false">IFERROR(IF([1]对账明细接口!$O250=0,"",[1]对账明细接口!$O250),"")</f>
        <v/>
      </c>
      <c r="U250" s="112" t="str">
        <f aca="false">IFERROR(IF([1]对账明细接口!$P250=0,"",[1]对账明细接口!$P250),"")</f>
        <v/>
      </c>
      <c r="V250" s="112" t="str">
        <f aca="false">IFERROR(IF([1]对账明细接口!$Q250=0,"",[1]对账明细接口!$Q250),"")</f>
        <v/>
      </c>
      <c r="W250" s="10" t="str">
        <f aca="false">IFERROR(IF([1]对账明细接口!$R250=0,"",[1]对账明细接口!$R250),"")</f>
        <v/>
      </c>
      <c r="X250" s="10" t="str">
        <f aca="false">IFERROR(IF([1]对账明细接口!$S250=0,"",[1]对账明细接口!$S250),"")</f>
        <v/>
      </c>
      <c r="Y250" s="10" t="str">
        <f aca="false">""</f>
        <v/>
      </c>
      <c r="Z250" s="10" t="str">
        <f aca="false">""</f>
        <v/>
      </c>
      <c r="AA250" s="10" t="str">
        <f aca="false">""</f>
        <v/>
      </c>
      <c r="AB250" s="10" t="str">
        <f aca="false">""</f>
        <v/>
      </c>
    </row>
    <row r="251" customFormat="false" ht="13.5" hidden="false" customHeight="false" outlineLevel="0" collapsed="false">
      <c r="A251" s="109" t="n">
        <v>251</v>
      </c>
      <c r="B251" s="110" t="str">
        <f aca="false">IFERROR(IF([1]对账明细接口!$B$251=0,"",[1]对账明细接口!$B$251),"")</f>
        <v/>
      </c>
      <c r="C251" s="59" t="str">
        <f aca="false">IFERROR(IF([1]对账明细接口!$C$251=0,"",[1]对账明细接口!$C$251),"")</f>
        <v/>
      </c>
      <c r="D251" s="59" t="str">
        <f aca="false">IFERROR(IF([1]对账明细接口!$D$251=0,"",[1]对账明细接口!$D$251),"")</f>
        <v/>
      </c>
      <c r="E251" s="59" t="str">
        <f aca="false">IFERROR(IF([1]对账明细接口!$E$251=0,"",[1]对账明细接口!$E$251),"")</f>
        <v/>
      </c>
      <c r="F251" s="59" t="str">
        <f aca="false">IFERROR(IF([1]对账明细接口!$F$251=0,"",[1]对账明细接口!$F$251),"")</f>
        <v/>
      </c>
      <c r="G251" s="59" t="str">
        <f aca="false">IFERROR(IF([1]对账明细接口!$G$251=0,"",[1]对账明细接口!$G$251),"")</f>
        <v/>
      </c>
      <c r="H251" s="60" t="str">
        <f aca="false">IFERROR(IF([1]对账明细接口!$H$251=0,"",[1]对账明细接口!$H$251),"")</f>
        <v/>
      </c>
      <c r="I251" s="59" t="str">
        <f aca="false">IFERROR(IF([1]对账明细接口!$I$251=0,"",[1]对账明细接口!$I$251),"")</f>
        <v/>
      </c>
      <c r="J251" s="61" t="str">
        <f aca="false">IFERROR(IF([1]对账明细接口!$J$251=0,"",[1]对账明细接口!$J$251),"")</f>
        <v/>
      </c>
      <c r="K251" s="61" t="str">
        <f aca="false">IFERROR(IF([1]对账明细接口!$K$251=0,"",[1]对账明细接口!$K$251),"")</f>
        <v/>
      </c>
      <c r="L251" s="59" t="str">
        <f aca="false">IFERROR(IF([1]对账明细接口!$L$251=0,"",[1]对账明细接口!$L$251),"")</f>
        <v/>
      </c>
      <c r="M251" s="59" t="str">
        <f aca="false">IFERROR(IF([1]对账明细接口!$M$251=0,"",[1]对账明细接口!$M$251),"")</f>
        <v/>
      </c>
      <c r="N251" s="111" t="n">
        <f aca="false">IF($C251="",0,1)</f>
        <v>0</v>
      </c>
      <c r="O251" s="111" t="n">
        <f aca="false">N(O250)+$N251</f>
        <v>110</v>
      </c>
      <c r="S251" s="10" t="str">
        <f aca="false">IFERROR(IF([1]对账明细接口!$N251=0,"",[1]对账明细接口!$N251),"")</f>
        <v/>
      </c>
      <c r="T251" s="112" t="str">
        <f aca="false">IFERROR(IF([1]对账明细接口!$O251=0,"",[1]对账明细接口!$O251),"")</f>
        <v/>
      </c>
      <c r="U251" s="112" t="str">
        <f aca="false">IFERROR(IF([1]对账明细接口!$P251=0,"",[1]对账明细接口!$P251),"")</f>
        <v/>
      </c>
      <c r="V251" s="112" t="str">
        <f aca="false">IFERROR(IF([1]对账明细接口!$Q251=0,"",[1]对账明细接口!$Q251),"")</f>
        <v/>
      </c>
      <c r="W251" s="10" t="str">
        <f aca="false">IFERROR(IF([1]对账明细接口!$R251=0,"",[1]对账明细接口!$R251),"")</f>
        <v/>
      </c>
      <c r="X251" s="10" t="str">
        <f aca="false">IFERROR(IF([1]对账明细接口!$S251=0,"",[1]对账明细接口!$S251),"")</f>
        <v/>
      </c>
      <c r="Y251" s="10" t="str">
        <f aca="false">""</f>
        <v/>
      </c>
      <c r="Z251" s="10" t="str">
        <f aca="false">""</f>
        <v/>
      </c>
      <c r="AA251" s="10" t="str">
        <f aca="false">""</f>
        <v/>
      </c>
      <c r="AB251" s="10" t="str">
        <f aca="false">""</f>
        <v/>
      </c>
    </row>
    <row r="252" customFormat="false" ht="13.5" hidden="false" customHeight="false" outlineLevel="0" collapsed="false">
      <c r="A252" s="109" t="n">
        <v>252</v>
      </c>
      <c r="B252" s="110" t="str">
        <f aca="false">IFERROR(IF([1]对账明细接口!$B$252=0,"",[1]对账明细接口!$B$252),"")</f>
        <v/>
      </c>
      <c r="C252" s="59" t="str">
        <f aca="false">IFERROR(IF([1]对账明细接口!$C$252=0,"",[1]对账明细接口!$C$252),"")</f>
        <v/>
      </c>
      <c r="D252" s="59" t="str">
        <f aca="false">IFERROR(IF([1]对账明细接口!$D$252=0,"",[1]对账明细接口!$D$252),"")</f>
        <v/>
      </c>
      <c r="E252" s="59" t="str">
        <f aca="false">IFERROR(IF([1]对账明细接口!$E$252=0,"",[1]对账明细接口!$E$252),"")</f>
        <v/>
      </c>
      <c r="F252" s="59" t="str">
        <f aca="false">IFERROR(IF([1]对账明细接口!$F$252=0,"",[1]对账明细接口!$F$252),"")</f>
        <v/>
      </c>
      <c r="G252" s="59" t="str">
        <f aca="false">IFERROR(IF([1]对账明细接口!$G$252=0,"",[1]对账明细接口!$G$252),"")</f>
        <v/>
      </c>
      <c r="H252" s="60" t="str">
        <f aca="false">IFERROR(IF([1]对账明细接口!$H$252=0,"",[1]对账明细接口!$H$252),"")</f>
        <v/>
      </c>
      <c r="I252" s="59" t="str">
        <f aca="false">IFERROR(IF([1]对账明细接口!$I$252=0,"",[1]对账明细接口!$I$252),"")</f>
        <v/>
      </c>
      <c r="J252" s="61" t="str">
        <f aca="false">IFERROR(IF([1]对账明细接口!$J$252=0,"",[1]对账明细接口!$J$252),"")</f>
        <v/>
      </c>
      <c r="K252" s="61" t="str">
        <f aca="false">IFERROR(IF([1]对账明细接口!$K$252=0,"",[1]对账明细接口!$K$252),"")</f>
        <v/>
      </c>
      <c r="L252" s="59" t="str">
        <f aca="false">IFERROR(IF([1]对账明细接口!$L$252=0,"",[1]对账明细接口!$L$252),"")</f>
        <v/>
      </c>
      <c r="M252" s="59" t="str">
        <f aca="false">IFERROR(IF([1]对账明细接口!$M$252=0,"",[1]对账明细接口!$M$252),"")</f>
        <v/>
      </c>
      <c r="N252" s="111" t="n">
        <f aca="false">IF($C252="",0,1)</f>
        <v>0</v>
      </c>
      <c r="O252" s="111" t="n">
        <f aca="false">N(O251)+$N252</f>
        <v>110</v>
      </c>
      <c r="S252" s="10" t="str">
        <f aca="false">IFERROR(IF([1]对账明细接口!$N252=0,"",[1]对账明细接口!$N252),"")</f>
        <v/>
      </c>
      <c r="T252" s="112" t="str">
        <f aca="false">IFERROR(IF([1]对账明细接口!$O252=0,"",[1]对账明细接口!$O252),"")</f>
        <v/>
      </c>
      <c r="U252" s="112" t="str">
        <f aca="false">IFERROR(IF([1]对账明细接口!$P252=0,"",[1]对账明细接口!$P252),"")</f>
        <v/>
      </c>
      <c r="V252" s="112" t="str">
        <f aca="false">IFERROR(IF([1]对账明细接口!$Q252=0,"",[1]对账明细接口!$Q252),"")</f>
        <v/>
      </c>
      <c r="W252" s="10" t="str">
        <f aca="false">IFERROR(IF([1]对账明细接口!$R252=0,"",[1]对账明细接口!$R252),"")</f>
        <v/>
      </c>
      <c r="X252" s="10" t="str">
        <f aca="false">IFERROR(IF([1]对账明细接口!$S252=0,"",[1]对账明细接口!$S252),"")</f>
        <v/>
      </c>
      <c r="Y252" s="10" t="str">
        <f aca="false">""</f>
        <v/>
      </c>
      <c r="Z252" s="10" t="str">
        <f aca="false">""</f>
        <v/>
      </c>
      <c r="AA252" s="10" t="str">
        <f aca="false">""</f>
        <v/>
      </c>
      <c r="AB252" s="10" t="str">
        <f aca="false">""</f>
        <v/>
      </c>
    </row>
    <row r="253" customFormat="false" ht="13.5" hidden="false" customHeight="false" outlineLevel="0" collapsed="false">
      <c r="A253" s="109" t="n">
        <v>253</v>
      </c>
      <c r="B253" s="110" t="str">
        <f aca="false">IFERROR(IF([1]对账明细接口!$B$253=0,"",[1]对账明细接口!$B$253),"")</f>
        <v/>
      </c>
      <c r="C253" s="59" t="str">
        <f aca="false">IFERROR(IF([1]对账明细接口!$C$253=0,"",[1]对账明细接口!$C$253),"")</f>
        <v/>
      </c>
      <c r="D253" s="59" t="str">
        <f aca="false">IFERROR(IF([1]对账明细接口!$D$253=0,"",[1]对账明细接口!$D$253),"")</f>
        <v/>
      </c>
      <c r="E253" s="59" t="str">
        <f aca="false">IFERROR(IF([1]对账明细接口!$E$253=0,"",[1]对账明细接口!$E$253),"")</f>
        <v/>
      </c>
      <c r="F253" s="59" t="str">
        <f aca="false">IFERROR(IF([1]对账明细接口!$F$253=0,"",[1]对账明细接口!$F$253),"")</f>
        <v/>
      </c>
      <c r="G253" s="59" t="str">
        <f aca="false">IFERROR(IF([1]对账明细接口!$G$253=0,"",[1]对账明细接口!$G$253),"")</f>
        <v/>
      </c>
      <c r="H253" s="60" t="str">
        <f aca="false">IFERROR(IF([1]对账明细接口!$H$253=0,"",[1]对账明细接口!$H$253),"")</f>
        <v/>
      </c>
      <c r="I253" s="59" t="str">
        <f aca="false">IFERROR(IF([1]对账明细接口!$I$253=0,"",[1]对账明细接口!$I$253),"")</f>
        <v/>
      </c>
      <c r="J253" s="61" t="str">
        <f aca="false">IFERROR(IF([1]对账明细接口!$J$253=0,"",[1]对账明细接口!$J$253),"")</f>
        <v/>
      </c>
      <c r="K253" s="61" t="str">
        <f aca="false">IFERROR(IF([1]对账明细接口!$K$253=0,"",[1]对账明细接口!$K$253),"")</f>
        <v/>
      </c>
      <c r="L253" s="59" t="str">
        <f aca="false">IFERROR(IF([1]对账明细接口!$L$253=0,"",[1]对账明细接口!$L$253),"")</f>
        <v/>
      </c>
      <c r="M253" s="59" t="str">
        <f aca="false">IFERROR(IF([1]对账明细接口!$M$253=0,"",[1]对账明细接口!$M$253),"")</f>
        <v/>
      </c>
      <c r="N253" s="111" t="n">
        <f aca="false">IF($C253="",0,1)</f>
        <v>0</v>
      </c>
      <c r="O253" s="111" t="n">
        <f aca="false">N(O252)+$N253</f>
        <v>110</v>
      </c>
      <c r="S253" s="10" t="str">
        <f aca="false">IFERROR(IF([1]对账明细接口!$N253=0,"",[1]对账明细接口!$N253),"")</f>
        <v/>
      </c>
      <c r="T253" s="112" t="str">
        <f aca="false">IFERROR(IF([1]对账明细接口!$O253=0,"",[1]对账明细接口!$O253),"")</f>
        <v/>
      </c>
      <c r="U253" s="112" t="str">
        <f aca="false">IFERROR(IF([1]对账明细接口!$P253=0,"",[1]对账明细接口!$P253),"")</f>
        <v/>
      </c>
      <c r="V253" s="112" t="str">
        <f aca="false">IFERROR(IF([1]对账明细接口!$Q253=0,"",[1]对账明细接口!$Q253),"")</f>
        <v/>
      </c>
      <c r="W253" s="10" t="str">
        <f aca="false">IFERROR(IF([1]对账明细接口!$R253=0,"",[1]对账明细接口!$R253),"")</f>
        <v/>
      </c>
      <c r="X253" s="10" t="str">
        <f aca="false">IFERROR(IF([1]对账明细接口!$S253=0,"",[1]对账明细接口!$S253),"")</f>
        <v/>
      </c>
      <c r="Y253" s="10" t="str">
        <f aca="false">""</f>
        <v/>
      </c>
      <c r="Z253" s="10" t="str">
        <f aca="false">""</f>
        <v/>
      </c>
      <c r="AA253" s="10" t="str">
        <f aca="false">""</f>
        <v/>
      </c>
      <c r="AB253" s="10" t="str">
        <f aca="false">""</f>
        <v/>
      </c>
    </row>
    <row r="254" customFormat="false" ht="13.5" hidden="false" customHeight="false" outlineLevel="0" collapsed="false">
      <c r="A254" s="109" t="n">
        <v>254</v>
      </c>
      <c r="B254" s="110" t="str">
        <f aca="false">IFERROR(IF([1]对账明细接口!$B$254=0,"",[1]对账明细接口!$B$254),"")</f>
        <v/>
      </c>
      <c r="C254" s="59" t="str">
        <f aca="false">IFERROR(IF([1]对账明细接口!$C$254=0,"",[1]对账明细接口!$C$254),"")</f>
        <v/>
      </c>
      <c r="D254" s="59" t="str">
        <f aca="false">IFERROR(IF([1]对账明细接口!$D$254=0,"",[1]对账明细接口!$D$254),"")</f>
        <v/>
      </c>
      <c r="E254" s="59" t="str">
        <f aca="false">IFERROR(IF([1]对账明细接口!$E$254=0,"",[1]对账明细接口!$E$254),"")</f>
        <v/>
      </c>
      <c r="F254" s="59" t="str">
        <f aca="false">IFERROR(IF([1]对账明细接口!$F$254=0,"",[1]对账明细接口!$F$254),"")</f>
        <v/>
      </c>
      <c r="G254" s="59" t="str">
        <f aca="false">IFERROR(IF([1]对账明细接口!$G$254=0,"",[1]对账明细接口!$G$254),"")</f>
        <v/>
      </c>
      <c r="H254" s="60" t="str">
        <f aca="false">IFERROR(IF([1]对账明细接口!$H$254=0,"",[1]对账明细接口!$H$254),"")</f>
        <v/>
      </c>
      <c r="I254" s="59" t="str">
        <f aca="false">IFERROR(IF([1]对账明细接口!$I$254=0,"",[1]对账明细接口!$I$254),"")</f>
        <v/>
      </c>
      <c r="J254" s="61" t="str">
        <f aca="false">IFERROR(IF([1]对账明细接口!$J$254=0,"",[1]对账明细接口!$J$254),"")</f>
        <v/>
      </c>
      <c r="K254" s="61" t="str">
        <f aca="false">IFERROR(IF([1]对账明细接口!$K$254=0,"",[1]对账明细接口!$K$254),"")</f>
        <v/>
      </c>
      <c r="L254" s="59" t="str">
        <f aca="false">IFERROR(IF([1]对账明细接口!$L$254=0,"",[1]对账明细接口!$L$254),"")</f>
        <v/>
      </c>
      <c r="M254" s="59" t="str">
        <f aca="false">IFERROR(IF([1]对账明细接口!$M$254=0,"",[1]对账明细接口!$M$254),"")</f>
        <v/>
      </c>
      <c r="N254" s="111" t="n">
        <f aca="false">IF($C254="",0,1)</f>
        <v>0</v>
      </c>
      <c r="O254" s="111" t="n">
        <f aca="false">N(O253)+$N254</f>
        <v>110</v>
      </c>
      <c r="S254" s="10" t="str">
        <f aca="false">IFERROR(IF([1]对账明细接口!$N254=0,"",[1]对账明细接口!$N254),"")</f>
        <v/>
      </c>
      <c r="T254" s="112" t="str">
        <f aca="false">IFERROR(IF([1]对账明细接口!$O254=0,"",[1]对账明细接口!$O254),"")</f>
        <v/>
      </c>
      <c r="U254" s="112" t="str">
        <f aca="false">IFERROR(IF([1]对账明细接口!$P254=0,"",[1]对账明细接口!$P254),"")</f>
        <v/>
      </c>
      <c r="V254" s="112" t="str">
        <f aca="false">IFERROR(IF([1]对账明细接口!$Q254=0,"",[1]对账明细接口!$Q254),"")</f>
        <v/>
      </c>
      <c r="W254" s="10" t="str">
        <f aca="false">IFERROR(IF([1]对账明细接口!$R254=0,"",[1]对账明细接口!$R254),"")</f>
        <v/>
      </c>
      <c r="X254" s="10" t="str">
        <f aca="false">IFERROR(IF([1]对账明细接口!$S254=0,"",[1]对账明细接口!$S254),"")</f>
        <v/>
      </c>
      <c r="Y254" s="10" t="str">
        <f aca="false">""</f>
        <v/>
      </c>
      <c r="Z254" s="10" t="str">
        <f aca="false">""</f>
        <v/>
      </c>
      <c r="AA254" s="10" t="str">
        <f aca="false">""</f>
        <v/>
      </c>
      <c r="AB254" s="10" t="str">
        <f aca="false">""</f>
        <v/>
      </c>
    </row>
    <row r="255" customFormat="false" ht="13.5" hidden="false" customHeight="false" outlineLevel="0" collapsed="false">
      <c r="A255" s="109" t="n">
        <v>255</v>
      </c>
      <c r="B255" s="110" t="str">
        <f aca="false">IFERROR(IF([1]对账明细接口!$B$255=0,"",[1]对账明细接口!$B$255),"")</f>
        <v/>
      </c>
      <c r="C255" s="59" t="str">
        <f aca="false">IFERROR(IF([1]对账明细接口!$C$255=0,"",[1]对账明细接口!$C$255),"")</f>
        <v/>
      </c>
      <c r="D255" s="59" t="str">
        <f aca="false">IFERROR(IF([1]对账明细接口!$D$255=0,"",[1]对账明细接口!$D$255),"")</f>
        <v/>
      </c>
      <c r="E255" s="59" t="str">
        <f aca="false">IFERROR(IF([1]对账明细接口!$E$255=0,"",[1]对账明细接口!$E$255),"")</f>
        <v/>
      </c>
      <c r="F255" s="59" t="str">
        <f aca="false">IFERROR(IF([1]对账明细接口!$F$255=0,"",[1]对账明细接口!$F$255),"")</f>
        <v/>
      </c>
      <c r="G255" s="59" t="str">
        <f aca="false">IFERROR(IF([1]对账明细接口!$G$255=0,"",[1]对账明细接口!$G$255),"")</f>
        <v/>
      </c>
      <c r="H255" s="60" t="str">
        <f aca="false">IFERROR(IF([1]对账明细接口!$H$255=0,"",[1]对账明细接口!$H$255),"")</f>
        <v/>
      </c>
      <c r="I255" s="59" t="str">
        <f aca="false">IFERROR(IF([1]对账明细接口!$I$255=0,"",[1]对账明细接口!$I$255),"")</f>
        <v/>
      </c>
      <c r="J255" s="61" t="str">
        <f aca="false">IFERROR(IF([1]对账明细接口!$J$255=0,"",[1]对账明细接口!$J$255),"")</f>
        <v/>
      </c>
      <c r="K255" s="61" t="str">
        <f aca="false">IFERROR(IF([1]对账明细接口!$K$255=0,"",[1]对账明细接口!$K$255),"")</f>
        <v/>
      </c>
      <c r="L255" s="59" t="str">
        <f aca="false">IFERROR(IF([1]对账明细接口!$L$255=0,"",[1]对账明细接口!$L$255),"")</f>
        <v/>
      </c>
      <c r="M255" s="59" t="str">
        <f aca="false">IFERROR(IF([1]对账明细接口!$M$255=0,"",[1]对账明细接口!$M$255),"")</f>
        <v/>
      </c>
      <c r="N255" s="111" t="n">
        <f aca="false">IF($C255="",0,1)</f>
        <v>0</v>
      </c>
      <c r="O255" s="111" t="n">
        <f aca="false">N(O254)+$N255</f>
        <v>110</v>
      </c>
      <c r="S255" s="10" t="str">
        <f aca="false">IFERROR(IF([1]对账明细接口!$N255=0,"",[1]对账明细接口!$N255),"")</f>
        <v/>
      </c>
      <c r="T255" s="112" t="str">
        <f aca="false">IFERROR(IF([1]对账明细接口!$O255=0,"",[1]对账明细接口!$O255),"")</f>
        <v/>
      </c>
      <c r="U255" s="112" t="str">
        <f aca="false">IFERROR(IF([1]对账明细接口!$P255=0,"",[1]对账明细接口!$P255),"")</f>
        <v/>
      </c>
      <c r="V255" s="112" t="str">
        <f aca="false">IFERROR(IF([1]对账明细接口!$Q255=0,"",[1]对账明细接口!$Q255),"")</f>
        <v/>
      </c>
      <c r="W255" s="10" t="str">
        <f aca="false">IFERROR(IF([1]对账明细接口!$R255=0,"",[1]对账明细接口!$R255),"")</f>
        <v/>
      </c>
      <c r="X255" s="10" t="str">
        <f aca="false">IFERROR(IF([1]对账明细接口!$S255=0,"",[1]对账明细接口!$S255),"")</f>
        <v/>
      </c>
      <c r="Y255" s="10" t="str">
        <f aca="false">""</f>
        <v/>
      </c>
      <c r="Z255" s="10" t="str">
        <f aca="false">""</f>
        <v/>
      </c>
      <c r="AA255" s="10" t="str">
        <f aca="false">""</f>
        <v/>
      </c>
      <c r="AB255" s="10" t="str">
        <f aca="false">""</f>
        <v/>
      </c>
    </row>
    <row r="256" customFormat="false" ht="13.5" hidden="false" customHeight="false" outlineLevel="0" collapsed="false">
      <c r="A256" s="109" t="n">
        <v>256</v>
      </c>
      <c r="B256" s="110" t="str">
        <f aca="false">IFERROR(IF([1]对账明细接口!$B$256=0,"",[1]对账明细接口!$B$256),"")</f>
        <v/>
      </c>
      <c r="C256" s="59" t="str">
        <f aca="false">IFERROR(IF([1]对账明细接口!$C$256=0,"",[1]对账明细接口!$C$256),"")</f>
        <v/>
      </c>
      <c r="D256" s="59" t="str">
        <f aca="false">IFERROR(IF([1]对账明细接口!$D$256=0,"",[1]对账明细接口!$D$256),"")</f>
        <v/>
      </c>
      <c r="E256" s="59" t="str">
        <f aca="false">IFERROR(IF([1]对账明细接口!$E$256=0,"",[1]对账明细接口!$E$256),"")</f>
        <v/>
      </c>
      <c r="F256" s="59" t="str">
        <f aca="false">IFERROR(IF([1]对账明细接口!$F$256=0,"",[1]对账明细接口!$F$256),"")</f>
        <v/>
      </c>
      <c r="G256" s="59" t="str">
        <f aca="false">IFERROR(IF([1]对账明细接口!$G$256=0,"",[1]对账明细接口!$G$256),"")</f>
        <v/>
      </c>
      <c r="H256" s="60" t="str">
        <f aca="false">IFERROR(IF([1]对账明细接口!$H$256=0,"",[1]对账明细接口!$H$256),"")</f>
        <v/>
      </c>
      <c r="I256" s="59" t="str">
        <f aca="false">IFERROR(IF([1]对账明细接口!$I$256=0,"",[1]对账明细接口!$I$256),"")</f>
        <v/>
      </c>
      <c r="J256" s="61" t="str">
        <f aca="false">IFERROR(IF([1]对账明细接口!$J$256=0,"",[1]对账明细接口!$J$256),"")</f>
        <v/>
      </c>
      <c r="K256" s="61" t="str">
        <f aca="false">IFERROR(IF([1]对账明细接口!$K$256=0,"",[1]对账明细接口!$K$256),"")</f>
        <v/>
      </c>
      <c r="L256" s="59" t="str">
        <f aca="false">IFERROR(IF([1]对账明细接口!$L$256=0,"",[1]对账明细接口!$L$256),"")</f>
        <v/>
      </c>
      <c r="M256" s="59" t="str">
        <f aca="false">IFERROR(IF([1]对账明细接口!$M$256=0,"",[1]对账明细接口!$M$256),"")</f>
        <v/>
      </c>
      <c r="N256" s="111" t="n">
        <f aca="false">IF($C256="",0,1)</f>
        <v>0</v>
      </c>
      <c r="O256" s="111" t="n">
        <f aca="false">N(O255)+$N256</f>
        <v>110</v>
      </c>
      <c r="S256" s="10" t="str">
        <f aca="false">IFERROR(IF([1]对账明细接口!$N256=0,"",[1]对账明细接口!$N256),"")</f>
        <v/>
      </c>
      <c r="T256" s="112" t="str">
        <f aca="false">IFERROR(IF([1]对账明细接口!$O256=0,"",[1]对账明细接口!$O256),"")</f>
        <v/>
      </c>
      <c r="U256" s="112" t="str">
        <f aca="false">IFERROR(IF([1]对账明细接口!$P256=0,"",[1]对账明细接口!$P256),"")</f>
        <v/>
      </c>
      <c r="V256" s="112" t="str">
        <f aca="false">IFERROR(IF([1]对账明细接口!$Q256=0,"",[1]对账明细接口!$Q256),"")</f>
        <v/>
      </c>
      <c r="W256" s="10" t="str">
        <f aca="false">IFERROR(IF([1]对账明细接口!$R256=0,"",[1]对账明细接口!$R256),"")</f>
        <v/>
      </c>
      <c r="X256" s="10" t="str">
        <f aca="false">IFERROR(IF([1]对账明细接口!$S256=0,"",[1]对账明细接口!$S256),"")</f>
        <v/>
      </c>
      <c r="Y256" s="10" t="str">
        <f aca="false">""</f>
        <v/>
      </c>
      <c r="Z256" s="10" t="str">
        <f aca="false">""</f>
        <v/>
      </c>
      <c r="AA256" s="10" t="str">
        <f aca="false">""</f>
        <v/>
      </c>
      <c r="AB256" s="10" t="str">
        <f aca="false">""</f>
        <v/>
      </c>
    </row>
    <row r="257" customFormat="false" ht="13.5" hidden="false" customHeight="false" outlineLevel="0" collapsed="false">
      <c r="A257" s="109" t="n">
        <v>257</v>
      </c>
      <c r="B257" s="110" t="str">
        <f aca="false">IFERROR(IF([1]对账明细接口!$B$257=0,"",[1]对账明细接口!$B$257),"")</f>
        <v/>
      </c>
      <c r="C257" s="59" t="str">
        <f aca="false">IFERROR(IF([1]对账明细接口!$C$257=0,"",[1]对账明细接口!$C$257),"")</f>
        <v/>
      </c>
      <c r="D257" s="59" t="str">
        <f aca="false">IFERROR(IF([1]对账明细接口!$D$257=0,"",[1]对账明细接口!$D$257),"")</f>
        <v/>
      </c>
      <c r="E257" s="59" t="str">
        <f aca="false">IFERROR(IF([1]对账明细接口!$E$257=0,"",[1]对账明细接口!$E$257),"")</f>
        <v/>
      </c>
      <c r="F257" s="59" t="str">
        <f aca="false">IFERROR(IF([1]对账明细接口!$F$257=0,"",[1]对账明细接口!$F$257),"")</f>
        <v/>
      </c>
      <c r="G257" s="59" t="str">
        <f aca="false">IFERROR(IF([1]对账明细接口!$G$257=0,"",[1]对账明细接口!$G$257),"")</f>
        <v/>
      </c>
      <c r="H257" s="60" t="str">
        <f aca="false">IFERROR(IF([1]对账明细接口!$H$257=0,"",[1]对账明细接口!$H$257),"")</f>
        <v/>
      </c>
      <c r="I257" s="59" t="str">
        <f aca="false">IFERROR(IF([1]对账明细接口!$I$257=0,"",[1]对账明细接口!$I$257),"")</f>
        <v/>
      </c>
      <c r="J257" s="61" t="str">
        <f aca="false">IFERROR(IF([1]对账明细接口!$J$257=0,"",[1]对账明细接口!$J$257),"")</f>
        <v/>
      </c>
      <c r="K257" s="61" t="str">
        <f aca="false">IFERROR(IF([1]对账明细接口!$K$257=0,"",[1]对账明细接口!$K$257),"")</f>
        <v/>
      </c>
      <c r="L257" s="59" t="str">
        <f aca="false">IFERROR(IF([1]对账明细接口!$L$257=0,"",[1]对账明细接口!$L$257),"")</f>
        <v/>
      </c>
      <c r="M257" s="59" t="str">
        <f aca="false">IFERROR(IF([1]对账明细接口!$M$257=0,"",[1]对账明细接口!$M$257),"")</f>
        <v/>
      </c>
      <c r="N257" s="111" t="n">
        <f aca="false">IF($C257="",0,1)</f>
        <v>0</v>
      </c>
      <c r="O257" s="111" t="n">
        <f aca="false">N(O256)+$N257</f>
        <v>110</v>
      </c>
      <c r="S257" s="10" t="str">
        <f aca="false">IFERROR(IF([1]对账明细接口!$N257=0,"",[1]对账明细接口!$N257),"")</f>
        <v/>
      </c>
      <c r="T257" s="112" t="str">
        <f aca="false">IFERROR(IF([1]对账明细接口!$O257=0,"",[1]对账明细接口!$O257),"")</f>
        <v/>
      </c>
      <c r="U257" s="112" t="str">
        <f aca="false">IFERROR(IF([1]对账明细接口!$P257=0,"",[1]对账明细接口!$P257),"")</f>
        <v/>
      </c>
      <c r="V257" s="112" t="str">
        <f aca="false">IFERROR(IF([1]对账明细接口!$Q257=0,"",[1]对账明细接口!$Q257),"")</f>
        <v/>
      </c>
      <c r="W257" s="10" t="str">
        <f aca="false">IFERROR(IF([1]对账明细接口!$R257=0,"",[1]对账明细接口!$R257),"")</f>
        <v/>
      </c>
      <c r="X257" s="10" t="str">
        <f aca="false">IFERROR(IF([1]对账明细接口!$S257=0,"",[1]对账明细接口!$S257),"")</f>
        <v/>
      </c>
      <c r="Y257" s="10" t="str">
        <f aca="false">""</f>
        <v/>
      </c>
      <c r="Z257" s="10" t="str">
        <f aca="false">""</f>
        <v/>
      </c>
      <c r="AA257" s="10" t="str">
        <f aca="false">""</f>
        <v/>
      </c>
      <c r="AB257" s="10" t="str">
        <f aca="false">""</f>
        <v/>
      </c>
    </row>
    <row r="258" customFormat="false" ht="13.5" hidden="false" customHeight="false" outlineLevel="0" collapsed="false">
      <c r="A258" s="109" t="n">
        <v>258</v>
      </c>
      <c r="B258" s="110" t="str">
        <f aca="false">IFERROR(IF([1]对账明细接口!$B$258=0,"",[1]对账明细接口!$B$258),"")</f>
        <v/>
      </c>
      <c r="C258" s="59" t="str">
        <f aca="false">IFERROR(IF([1]对账明细接口!$C$258=0,"",[1]对账明细接口!$C$258),"")</f>
        <v/>
      </c>
      <c r="D258" s="59" t="str">
        <f aca="false">IFERROR(IF([1]对账明细接口!$D$258=0,"",[1]对账明细接口!$D$258),"")</f>
        <v/>
      </c>
      <c r="E258" s="59" t="str">
        <f aca="false">IFERROR(IF([1]对账明细接口!$E$258=0,"",[1]对账明细接口!$E$258),"")</f>
        <v/>
      </c>
      <c r="F258" s="59" t="str">
        <f aca="false">IFERROR(IF([1]对账明细接口!$F$258=0,"",[1]对账明细接口!$F$258),"")</f>
        <v/>
      </c>
      <c r="G258" s="59" t="str">
        <f aca="false">IFERROR(IF([1]对账明细接口!$G$258=0,"",[1]对账明细接口!$G$258),"")</f>
        <v/>
      </c>
      <c r="H258" s="60" t="str">
        <f aca="false">IFERROR(IF([1]对账明细接口!$H$258=0,"",[1]对账明细接口!$H$258),"")</f>
        <v/>
      </c>
      <c r="I258" s="59" t="str">
        <f aca="false">IFERROR(IF([1]对账明细接口!$I$258=0,"",[1]对账明细接口!$I$258),"")</f>
        <v/>
      </c>
      <c r="J258" s="61" t="str">
        <f aca="false">IFERROR(IF([1]对账明细接口!$J$258=0,"",[1]对账明细接口!$J$258),"")</f>
        <v/>
      </c>
      <c r="K258" s="61" t="str">
        <f aca="false">IFERROR(IF([1]对账明细接口!$K$258=0,"",[1]对账明细接口!$K$258),"")</f>
        <v/>
      </c>
      <c r="L258" s="59" t="str">
        <f aca="false">IFERROR(IF([1]对账明细接口!$L$258=0,"",[1]对账明细接口!$L$258),"")</f>
        <v/>
      </c>
      <c r="M258" s="59" t="str">
        <f aca="false">IFERROR(IF([1]对账明细接口!$M$258=0,"",[1]对账明细接口!$M$258),"")</f>
        <v/>
      </c>
      <c r="N258" s="111" t="n">
        <f aca="false">IF($C258="",0,1)</f>
        <v>0</v>
      </c>
      <c r="O258" s="111" t="n">
        <f aca="false">N(O257)+$N258</f>
        <v>110</v>
      </c>
      <c r="S258" s="10" t="str">
        <f aca="false">IFERROR(IF([1]对账明细接口!$N258=0,"",[1]对账明细接口!$N258),"")</f>
        <v/>
      </c>
      <c r="T258" s="112" t="str">
        <f aca="false">IFERROR(IF([1]对账明细接口!$O258=0,"",[1]对账明细接口!$O258),"")</f>
        <v/>
      </c>
      <c r="U258" s="112" t="str">
        <f aca="false">IFERROR(IF([1]对账明细接口!$P258=0,"",[1]对账明细接口!$P258),"")</f>
        <v/>
      </c>
      <c r="V258" s="112" t="str">
        <f aca="false">IFERROR(IF([1]对账明细接口!$Q258=0,"",[1]对账明细接口!$Q258),"")</f>
        <v/>
      </c>
      <c r="W258" s="10" t="str">
        <f aca="false">IFERROR(IF([1]对账明细接口!$R258=0,"",[1]对账明细接口!$R258),"")</f>
        <v/>
      </c>
      <c r="X258" s="10" t="str">
        <f aca="false">IFERROR(IF([1]对账明细接口!$S258=0,"",[1]对账明细接口!$S258),"")</f>
        <v/>
      </c>
      <c r="Y258" s="10" t="str">
        <f aca="false">""</f>
        <v/>
      </c>
      <c r="Z258" s="10" t="str">
        <f aca="false">""</f>
        <v/>
      </c>
      <c r="AA258" s="10" t="str">
        <f aca="false">""</f>
        <v/>
      </c>
      <c r="AB258" s="10" t="str">
        <f aca="false">""</f>
        <v/>
      </c>
    </row>
    <row r="259" customFormat="false" ht="13.5" hidden="false" customHeight="false" outlineLevel="0" collapsed="false">
      <c r="A259" s="109" t="n">
        <v>259</v>
      </c>
      <c r="B259" s="110" t="str">
        <f aca="false">IFERROR(IF([1]对账明细接口!$B$259=0,"",[1]对账明细接口!$B$259),"")</f>
        <v/>
      </c>
      <c r="C259" s="59" t="str">
        <f aca="false">IFERROR(IF([1]对账明细接口!$C$259=0,"",[1]对账明细接口!$C$259),"")</f>
        <v/>
      </c>
      <c r="D259" s="59" t="str">
        <f aca="false">IFERROR(IF([1]对账明细接口!$D$259=0,"",[1]对账明细接口!$D$259),"")</f>
        <v/>
      </c>
      <c r="E259" s="59" t="str">
        <f aca="false">IFERROR(IF([1]对账明细接口!$E$259=0,"",[1]对账明细接口!$E$259),"")</f>
        <v/>
      </c>
      <c r="F259" s="59" t="str">
        <f aca="false">IFERROR(IF([1]对账明细接口!$F$259=0,"",[1]对账明细接口!$F$259),"")</f>
        <v/>
      </c>
      <c r="G259" s="59" t="str">
        <f aca="false">IFERROR(IF([1]对账明细接口!$G$259=0,"",[1]对账明细接口!$G$259),"")</f>
        <v/>
      </c>
      <c r="H259" s="60" t="str">
        <f aca="false">IFERROR(IF([1]对账明细接口!$H$259=0,"",[1]对账明细接口!$H$259),"")</f>
        <v/>
      </c>
      <c r="I259" s="59" t="str">
        <f aca="false">IFERROR(IF([1]对账明细接口!$I$259=0,"",[1]对账明细接口!$I$259),"")</f>
        <v/>
      </c>
      <c r="J259" s="61" t="str">
        <f aca="false">IFERROR(IF([1]对账明细接口!$J$259=0,"",[1]对账明细接口!$J$259),"")</f>
        <v/>
      </c>
      <c r="K259" s="61" t="str">
        <f aca="false">IFERROR(IF([1]对账明细接口!$K$259=0,"",[1]对账明细接口!$K$259),"")</f>
        <v/>
      </c>
      <c r="L259" s="59" t="str">
        <f aca="false">IFERROR(IF([1]对账明细接口!$L$259=0,"",[1]对账明细接口!$L$259),"")</f>
        <v/>
      </c>
      <c r="M259" s="59" t="str">
        <f aca="false">IFERROR(IF([1]对账明细接口!$M$259=0,"",[1]对账明细接口!$M$259),"")</f>
        <v/>
      </c>
      <c r="N259" s="111" t="n">
        <f aca="false">IF($C259="",0,1)</f>
        <v>0</v>
      </c>
      <c r="O259" s="111" t="n">
        <f aca="false">N(O258)+$N259</f>
        <v>110</v>
      </c>
      <c r="S259" s="10" t="str">
        <f aca="false">IFERROR(IF([1]对账明细接口!$N259=0,"",[1]对账明细接口!$N259),"")</f>
        <v/>
      </c>
      <c r="T259" s="112" t="str">
        <f aca="false">IFERROR(IF([1]对账明细接口!$O259=0,"",[1]对账明细接口!$O259),"")</f>
        <v/>
      </c>
      <c r="U259" s="112" t="str">
        <f aca="false">IFERROR(IF([1]对账明细接口!$P259=0,"",[1]对账明细接口!$P259),"")</f>
        <v/>
      </c>
      <c r="V259" s="112" t="str">
        <f aca="false">IFERROR(IF([1]对账明细接口!$Q259=0,"",[1]对账明细接口!$Q259),"")</f>
        <v/>
      </c>
      <c r="W259" s="10" t="str">
        <f aca="false">IFERROR(IF([1]对账明细接口!$R259=0,"",[1]对账明细接口!$R259),"")</f>
        <v/>
      </c>
      <c r="X259" s="10" t="str">
        <f aca="false">IFERROR(IF([1]对账明细接口!$S259=0,"",[1]对账明细接口!$S259),"")</f>
        <v/>
      </c>
      <c r="Y259" s="10" t="str">
        <f aca="false">""</f>
        <v/>
      </c>
      <c r="Z259" s="10" t="str">
        <f aca="false">""</f>
        <v/>
      </c>
      <c r="AA259" s="10" t="str">
        <f aca="false">""</f>
        <v/>
      </c>
      <c r="AB259" s="10" t="str">
        <f aca="false">""</f>
        <v/>
      </c>
    </row>
    <row r="260" customFormat="false" ht="13.5" hidden="false" customHeight="false" outlineLevel="0" collapsed="false">
      <c r="A260" s="109" t="n">
        <v>260</v>
      </c>
      <c r="B260" s="110" t="str">
        <f aca="false">IFERROR(IF([1]对账明细接口!$B$260=0,"",[1]对账明细接口!$B$260),"")</f>
        <v/>
      </c>
      <c r="C260" s="59" t="str">
        <f aca="false">IFERROR(IF([1]对账明细接口!$C$260=0,"",[1]对账明细接口!$C$260),"")</f>
        <v/>
      </c>
      <c r="D260" s="59" t="str">
        <f aca="false">IFERROR(IF([1]对账明细接口!$D$260=0,"",[1]对账明细接口!$D$260),"")</f>
        <v/>
      </c>
      <c r="E260" s="59" t="str">
        <f aca="false">IFERROR(IF([1]对账明细接口!$E$260=0,"",[1]对账明细接口!$E$260),"")</f>
        <v/>
      </c>
      <c r="F260" s="59" t="str">
        <f aca="false">IFERROR(IF([1]对账明细接口!$F$260=0,"",[1]对账明细接口!$F$260),"")</f>
        <v/>
      </c>
      <c r="G260" s="59" t="str">
        <f aca="false">IFERROR(IF([1]对账明细接口!$G$260=0,"",[1]对账明细接口!$G$260),"")</f>
        <v/>
      </c>
      <c r="H260" s="60" t="str">
        <f aca="false">IFERROR(IF([1]对账明细接口!$H$260=0,"",[1]对账明细接口!$H$260),"")</f>
        <v/>
      </c>
      <c r="I260" s="59" t="str">
        <f aca="false">IFERROR(IF([1]对账明细接口!$I$260=0,"",[1]对账明细接口!$I$260),"")</f>
        <v/>
      </c>
      <c r="J260" s="61" t="str">
        <f aca="false">IFERROR(IF([1]对账明细接口!$J$260=0,"",[1]对账明细接口!$J$260),"")</f>
        <v/>
      </c>
      <c r="K260" s="61" t="str">
        <f aca="false">IFERROR(IF([1]对账明细接口!$K$260=0,"",[1]对账明细接口!$K$260),"")</f>
        <v/>
      </c>
      <c r="L260" s="59" t="str">
        <f aca="false">IFERROR(IF([1]对账明细接口!$L$260=0,"",[1]对账明细接口!$L$260),"")</f>
        <v/>
      </c>
      <c r="M260" s="59" t="str">
        <f aca="false">IFERROR(IF([1]对账明细接口!$M$260=0,"",[1]对账明细接口!$M$260),"")</f>
        <v/>
      </c>
      <c r="N260" s="111" t="n">
        <f aca="false">IF($C260="",0,1)</f>
        <v>0</v>
      </c>
      <c r="O260" s="111" t="n">
        <f aca="false">N(O259)+$N260</f>
        <v>110</v>
      </c>
      <c r="S260" s="10" t="str">
        <f aca="false">IFERROR(IF([1]对账明细接口!$N260=0,"",[1]对账明细接口!$N260),"")</f>
        <v/>
      </c>
      <c r="T260" s="112" t="str">
        <f aca="false">IFERROR(IF([1]对账明细接口!$O260=0,"",[1]对账明细接口!$O260),"")</f>
        <v/>
      </c>
      <c r="U260" s="112" t="str">
        <f aca="false">IFERROR(IF([1]对账明细接口!$P260=0,"",[1]对账明细接口!$P260),"")</f>
        <v/>
      </c>
      <c r="V260" s="112" t="str">
        <f aca="false">IFERROR(IF([1]对账明细接口!$Q260=0,"",[1]对账明细接口!$Q260),"")</f>
        <v/>
      </c>
      <c r="W260" s="10" t="str">
        <f aca="false">IFERROR(IF([1]对账明细接口!$R260=0,"",[1]对账明细接口!$R260),"")</f>
        <v/>
      </c>
      <c r="X260" s="10" t="str">
        <f aca="false">IFERROR(IF([1]对账明细接口!$S260=0,"",[1]对账明细接口!$S260),"")</f>
        <v/>
      </c>
      <c r="Y260" s="10" t="str">
        <f aca="false">""</f>
        <v/>
      </c>
      <c r="Z260" s="10" t="str">
        <f aca="false">""</f>
        <v/>
      </c>
      <c r="AA260" s="10" t="str">
        <f aca="false">""</f>
        <v/>
      </c>
      <c r="AB260" s="10" t="str">
        <f aca="false">""</f>
        <v/>
      </c>
    </row>
    <row r="261" customFormat="false" ht="13.5" hidden="false" customHeight="false" outlineLevel="0" collapsed="false">
      <c r="A261" s="109" t="n">
        <v>261</v>
      </c>
      <c r="B261" s="110" t="str">
        <f aca="false">IFERROR(IF([1]对账明细接口!$B$261=0,"",[1]对账明细接口!$B$261),"")</f>
        <v/>
      </c>
      <c r="C261" s="59" t="str">
        <f aca="false">IFERROR(IF([1]对账明细接口!$C$261=0,"",[1]对账明细接口!$C$261),"")</f>
        <v/>
      </c>
      <c r="D261" s="59" t="str">
        <f aca="false">IFERROR(IF([1]对账明细接口!$D$261=0,"",[1]对账明细接口!$D$261),"")</f>
        <v/>
      </c>
      <c r="E261" s="59" t="str">
        <f aca="false">IFERROR(IF([1]对账明细接口!$E$261=0,"",[1]对账明细接口!$E$261),"")</f>
        <v/>
      </c>
      <c r="F261" s="59" t="str">
        <f aca="false">IFERROR(IF([1]对账明细接口!$F$261=0,"",[1]对账明细接口!$F$261),"")</f>
        <v/>
      </c>
      <c r="G261" s="59" t="str">
        <f aca="false">IFERROR(IF([1]对账明细接口!$G$261=0,"",[1]对账明细接口!$G$261),"")</f>
        <v/>
      </c>
      <c r="H261" s="60" t="str">
        <f aca="false">IFERROR(IF([1]对账明细接口!$H$261=0,"",[1]对账明细接口!$H$261),"")</f>
        <v/>
      </c>
      <c r="I261" s="59" t="str">
        <f aca="false">IFERROR(IF([1]对账明细接口!$I$261=0,"",[1]对账明细接口!$I$261),"")</f>
        <v/>
      </c>
      <c r="J261" s="61" t="str">
        <f aca="false">IFERROR(IF([1]对账明细接口!$J$261=0,"",[1]对账明细接口!$J$261),"")</f>
        <v/>
      </c>
      <c r="K261" s="61" t="str">
        <f aca="false">IFERROR(IF([1]对账明细接口!$K$261=0,"",[1]对账明细接口!$K$261),"")</f>
        <v/>
      </c>
      <c r="L261" s="59" t="str">
        <f aca="false">IFERROR(IF([1]对账明细接口!$L$261=0,"",[1]对账明细接口!$L$261),"")</f>
        <v/>
      </c>
      <c r="M261" s="59" t="str">
        <f aca="false">IFERROR(IF([1]对账明细接口!$M$261=0,"",[1]对账明细接口!$M$261),"")</f>
        <v/>
      </c>
      <c r="N261" s="111" t="n">
        <f aca="false">IF($C261="",0,1)</f>
        <v>0</v>
      </c>
      <c r="O261" s="111" t="n">
        <f aca="false">N(O260)+$N261</f>
        <v>110</v>
      </c>
      <c r="S261" s="10" t="str">
        <f aca="false">IFERROR(IF([1]对账明细接口!$N261=0,"",[1]对账明细接口!$N261),"")</f>
        <v/>
      </c>
      <c r="T261" s="112" t="str">
        <f aca="false">IFERROR(IF([1]对账明细接口!$O261=0,"",[1]对账明细接口!$O261),"")</f>
        <v/>
      </c>
      <c r="U261" s="112" t="str">
        <f aca="false">IFERROR(IF([1]对账明细接口!$P261=0,"",[1]对账明细接口!$P261),"")</f>
        <v/>
      </c>
      <c r="V261" s="112" t="str">
        <f aca="false">IFERROR(IF([1]对账明细接口!$Q261=0,"",[1]对账明细接口!$Q261),"")</f>
        <v/>
      </c>
      <c r="W261" s="10" t="str">
        <f aca="false">IFERROR(IF([1]对账明细接口!$R261=0,"",[1]对账明细接口!$R261),"")</f>
        <v/>
      </c>
      <c r="X261" s="10" t="str">
        <f aca="false">IFERROR(IF([1]对账明细接口!$S261=0,"",[1]对账明细接口!$S261),"")</f>
        <v/>
      </c>
      <c r="Y261" s="10" t="str">
        <f aca="false">""</f>
        <v/>
      </c>
      <c r="Z261" s="10" t="str">
        <f aca="false">""</f>
        <v/>
      </c>
      <c r="AA261" s="10" t="str">
        <f aca="false">""</f>
        <v/>
      </c>
      <c r="AB261" s="10" t="str">
        <f aca="false">""</f>
        <v/>
      </c>
    </row>
    <row r="262" customFormat="false" ht="13.5" hidden="false" customHeight="false" outlineLevel="0" collapsed="false">
      <c r="A262" s="109" t="n">
        <v>262</v>
      </c>
      <c r="B262" s="110" t="str">
        <f aca="false">IFERROR(IF([1]对账明细接口!$B$262=0,"",[1]对账明细接口!$B$262),"")</f>
        <v/>
      </c>
      <c r="C262" s="59" t="str">
        <f aca="false">IFERROR(IF([1]对账明细接口!$C$262=0,"",[1]对账明细接口!$C$262),"")</f>
        <v/>
      </c>
      <c r="D262" s="59" t="str">
        <f aca="false">IFERROR(IF([1]对账明细接口!$D$262=0,"",[1]对账明细接口!$D$262),"")</f>
        <v/>
      </c>
      <c r="E262" s="59" t="str">
        <f aca="false">IFERROR(IF([1]对账明细接口!$E$262=0,"",[1]对账明细接口!$E$262),"")</f>
        <v/>
      </c>
      <c r="F262" s="59" t="str">
        <f aca="false">IFERROR(IF([1]对账明细接口!$F$262=0,"",[1]对账明细接口!$F$262),"")</f>
        <v/>
      </c>
      <c r="G262" s="59" t="str">
        <f aca="false">IFERROR(IF([1]对账明细接口!$G$262=0,"",[1]对账明细接口!$G$262),"")</f>
        <v/>
      </c>
      <c r="H262" s="60" t="str">
        <f aca="false">IFERROR(IF([1]对账明细接口!$H$262=0,"",[1]对账明细接口!$H$262),"")</f>
        <v/>
      </c>
      <c r="I262" s="59" t="str">
        <f aca="false">IFERROR(IF([1]对账明细接口!$I$262=0,"",[1]对账明细接口!$I$262),"")</f>
        <v/>
      </c>
      <c r="J262" s="61" t="str">
        <f aca="false">IFERROR(IF([1]对账明细接口!$J$262=0,"",[1]对账明细接口!$J$262),"")</f>
        <v/>
      </c>
      <c r="K262" s="61" t="str">
        <f aca="false">IFERROR(IF([1]对账明细接口!$K$262=0,"",[1]对账明细接口!$K$262),"")</f>
        <v/>
      </c>
      <c r="L262" s="59" t="str">
        <f aca="false">IFERROR(IF([1]对账明细接口!$L$262=0,"",[1]对账明细接口!$L$262),"")</f>
        <v/>
      </c>
      <c r="M262" s="59" t="str">
        <f aca="false">IFERROR(IF([1]对账明细接口!$M$262=0,"",[1]对账明细接口!$M$262),"")</f>
        <v/>
      </c>
      <c r="N262" s="111" t="n">
        <f aca="false">IF($C262="",0,1)</f>
        <v>0</v>
      </c>
      <c r="O262" s="111" t="n">
        <f aca="false">N(O261)+$N262</f>
        <v>110</v>
      </c>
      <c r="S262" s="10" t="str">
        <f aca="false">IFERROR(IF([1]对账明细接口!$N262=0,"",[1]对账明细接口!$N262),"")</f>
        <v/>
      </c>
      <c r="T262" s="112" t="str">
        <f aca="false">IFERROR(IF([1]对账明细接口!$O262=0,"",[1]对账明细接口!$O262),"")</f>
        <v/>
      </c>
      <c r="U262" s="112" t="str">
        <f aca="false">IFERROR(IF([1]对账明细接口!$P262=0,"",[1]对账明细接口!$P262),"")</f>
        <v/>
      </c>
      <c r="V262" s="112" t="str">
        <f aca="false">IFERROR(IF([1]对账明细接口!$Q262=0,"",[1]对账明细接口!$Q262),"")</f>
        <v/>
      </c>
      <c r="W262" s="10" t="str">
        <f aca="false">IFERROR(IF([1]对账明细接口!$R262=0,"",[1]对账明细接口!$R262),"")</f>
        <v/>
      </c>
      <c r="X262" s="10" t="str">
        <f aca="false">IFERROR(IF([1]对账明细接口!$S262=0,"",[1]对账明细接口!$S262),"")</f>
        <v/>
      </c>
      <c r="Y262" s="10" t="str">
        <f aca="false">""</f>
        <v/>
      </c>
      <c r="Z262" s="10" t="str">
        <f aca="false">""</f>
        <v/>
      </c>
      <c r="AA262" s="10" t="str">
        <f aca="false">""</f>
        <v/>
      </c>
      <c r="AB262" s="10" t="str">
        <f aca="false">""</f>
        <v/>
      </c>
    </row>
    <row r="263" customFormat="false" ht="13.5" hidden="false" customHeight="false" outlineLevel="0" collapsed="false">
      <c r="A263" s="109" t="n">
        <v>263</v>
      </c>
      <c r="B263" s="110" t="str">
        <f aca="false">IFERROR(IF([1]对账明细接口!$B$263=0,"",[1]对账明细接口!$B$263),"")</f>
        <v/>
      </c>
      <c r="C263" s="59" t="str">
        <f aca="false">IFERROR(IF([1]对账明细接口!$C$263=0,"",[1]对账明细接口!$C$263),"")</f>
        <v/>
      </c>
      <c r="D263" s="59" t="str">
        <f aca="false">IFERROR(IF([1]对账明细接口!$D$263=0,"",[1]对账明细接口!$D$263),"")</f>
        <v/>
      </c>
      <c r="E263" s="59" t="str">
        <f aca="false">IFERROR(IF([1]对账明细接口!$E$263=0,"",[1]对账明细接口!$E$263),"")</f>
        <v/>
      </c>
      <c r="F263" s="59" t="str">
        <f aca="false">IFERROR(IF([1]对账明细接口!$F$263=0,"",[1]对账明细接口!$F$263),"")</f>
        <v/>
      </c>
      <c r="G263" s="59" t="str">
        <f aca="false">IFERROR(IF([1]对账明细接口!$G$263=0,"",[1]对账明细接口!$G$263),"")</f>
        <v/>
      </c>
      <c r="H263" s="60" t="str">
        <f aca="false">IFERROR(IF([1]对账明细接口!$H$263=0,"",[1]对账明细接口!$H$263),"")</f>
        <v/>
      </c>
      <c r="I263" s="59" t="str">
        <f aca="false">IFERROR(IF([1]对账明细接口!$I$263=0,"",[1]对账明细接口!$I$263),"")</f>
        <v/>
      </c>
      <c r="J263" s="61" t="str">
        <f aca="false">IFERROR(IF([1]对账明细接口!$J$263=0,"",[1]对账明细接口!$J$263),"")</f>
        <v/>
      </c>
      <c r="K263" s="61" t="str">
        <f aca="false">IFERROR(IF([1]对账明细接口!$K$263=0,"",[1]对账明细接口!$K$263),"")</f>
        <v/>
      </c>
      <c r="L263" s="59" t="str">
        <f aca="false">IFERROR(IF([1]对账明细接口!$L$263=0,"",[1]对账明细接口!$L$263),"")</f>
        <v/>
      </c>
      <c r="M263" s="59" t="str">
        <f aca="false">IFERROR(IF([1]对账明细接口!$M$263=0,"",[1]对账明细接口!$M$263),"")</f>
        <v/>
      </c>
      <c r="N263" s="111" t="n">
        <f aca="false">IF($C263="",0,1)</f>
        <v>0</v>
      </c>
      <c r="O263" s="111" t="n">
        <f aca="false">N(O262)+$N263</f>
        <v>110</v>
      </c>
      <c r="S263" s="10" t="str">
        <f aca="false">IFERROR(IF([1]对账明细接口!$N263=0,"",[1]对账明细接口!$N263),"")</f>
        <v/>
      </c>
      <c r="T263" s="112" t="str">
        <f aca="false">IFERROR(IF([1]对账明细接口!$O263=0,"",[1]对账明细接口!$O263),"")</f>
        <v/>
      </c>
      <c r="U263" s="112" t="str">
        <f aca="false">IFERROR(IF([1]对账明细接口!$P263=0,"",[1]对账明细接口!$P263),"")</f>
        <v/>
      </c>
      <c r="V263" s="112" t="str">
        <f aca="false">IFERROR(IF([1]对账明细接口!$Q263=0,"",[1]对账明细接口!$Q263),"")</f>
        <v/>
      </c>
      <c r="W263" s="10" t="str">
        <f aca="false">IFERROR(IF([1]对账明细接口!$R263=0,"",[1]对账明细接口!$R263),"")</f>
        <v/>
      </c>
      <c r="X263" s="10" t="str">
        <f aca="false">IFERROR(IF([1]对账明细接口!$S263=0,"",[1]对账明细接口!$S263),"")</f>
        <v/>
      </c>
      <c r="Y263" s="10" t="str">
        <f aca="false">""</f>
        <v/>
      </c>
      <c r="Z263" s="10" t="str">
        <f aca="false">""</f>
        <v/>
      </c>
      <c r="AA263" s="10" t="str">
        <f aca="false">""</f>
        <v/>
      </c>
      <c r="AB263" s="10" t="str">
        <f aca="false">""</f>
        <v/>
      </c>
    </row>
    <row r="264" customFormat="false" ht="13.5" hidden="false" customHeight="false" outlineLevel="0" collapsed="false">
      <c r="A264" s="109" t="n">
        <v>264</v>
      </c>
      <c r="B264" s="110" t="str">
        <f aca="false">IFERROR(IF([1]对账明细接口!$B$264=0,"",[1]对账明细接口!$B$264),"")</f>
        <v/>
      </c>
      <c r="C264" s="59" t="str">
        <f aca="false">IFERROR(IF([1]对账明细接口!$C$264=0,"",[1]对账明细接口!$C$264),"")</f>
        <v/>
      </c>
      <c r="D264" s="59" t="str">
        <f aca="false">IFERROR(IF([1]对账明细接口!$D$264=0,"",[1]对账明细接口!$D$264),"")</f>
        <v/>
      </c>
      <c r="E264" s="59" t="str">
        <f aca="false">IFERROR(IF([1]对账明细接口!$E$264=0,"",[1]对账明细接口!$E$264),"")</f>
        <v/>
      </c>
      <c r="F264" s="59" t="str">
        <f aca="false">IFERROR(IF([1]对账明细接口!$F$264=0,"",[1]对账明细接口!$F$264),"")</f>
        <v/>
      </c>
      <c r="G264" s="59" t="str">
        <f aca="false">IFERROR(IF([1]对账明细接口!$G$264=0,"",[1]对账明细接口!$G$264),"")</f>
        <v/>
      </c>
      <c r="H264" s="60" t="str">
        <f aca="false">IFERROR(IF([1]对账明细接口!$H$264=0,"",[1]对账明细接口!$H$264),"")</f>
        <v/>
      </c>
      <c r="I264" s="59" t="str">
        <f aca="false">IFERROR(IF([1]对账明细接口!$I$264=0,"",[1]对账明细接口!$I$264),"")</f>
        <v/>
      </c>
      <c r="J264" s="61" t="str">
        <f aca="false">IFERROR(IF([1]对账明细接口!$J$264=0,"",[1]对账明细接口!$J$264),"")</f>
        <v/>
      </c>
      <c r="K264" s="61" t="str">
        <f aca="false">IFERROR(IF([1]对账明细接口!$K$264=0,"",[1]对账明细接口!$K$264),"")</f>
        <v/>
      </c>
      <c r="L264" s="59" t="str">
        <f aca="false">IFERROR(IF([1]对账明细接口!$L$264=0,"",[1]对账明细接口!$L$264),"")</f>
        <v/>
      </c>
      <c r="M264" s="59" t="str">
        <f aca="false">IFERROR(IF([1]对账明细接口!$M$264=0,"",[1]对账明细接口!$M$264),"")</f>
        <v/>
      </c>
      <c r="N264" s="111" t="n">
        <f aca="false">IF($C264="",0,1)</f>
        <v>0</v>
      </c>
      <c r="O264" s="111" t="n">
        <f aca="false">N(O263)+$N264</f>
        <v>110</v>
      </c>
      <c r="S264" s="10" t="str">
        <f aca="false">IFERROR(IF([1]对账明细接口!$N264=0,"",[1]对账明细接口!$N264),"")</f>
        <v/>
      </c>
      <c r="T264" s="112" t="str">
        <f aca="false">IFERROR(IF([1]对账明细接口!$O264=0,"",[1]对账明细接口!$O264),"")</f>
        <v/>
      </c>
      <c r="U264" s="112" t="str">
        <f aca="false">IFERROR(IF([1]对账明细接口!$P264=0,"",[1]对账明细接口!$P264),"")</f>
        <v/>
      </c>
      <c r="V264" s="112" t="str">
        <f aca="false">IFERROR(IF([1]对账明细接口!$Q264=0,"",[1]对账明细接口!$Q264),"")</f>
        <v/>
      </c>
      <c r="W264" s="10" t="str">
        <f aca="false">IFERROR(IF([1]对账明细接口!$R264=0,"",[1]对账明细接口!$R264),"")</f>
        <v/>
      </c>
      <c r="X264" s="10" t="str">
        <f aca="false">IFERROR(IF([1]对账明细接口!$S264=0,"",[1]对账明细接口!$S264),"")</f>
        <v/>
      </c>
      <c r="Y264" s="10" t="str">
        <f aca="false">""</f>
        <v/>
      </c>
      <c r="Z264" s="10" t="str">
        <f aca="false">""</f>
        <v/>
      </c>
      <c r="AA264" s="10" t="str">
        <f aca="false">""</f>
        <v/>
      </c>
      <c r="AB264" s="10" t="str">
        <f aca="false">""</f>
        <v/>
      </c>
    </row>
    <row r="265" customFormat="false" ht="13.5" hidden="false" customHeight="false" outlineLevel="0" collapsed="false">
      <c r="A265" s="109" t="n">
        <v>265</v>
      </c>
      <c r="B265" s="110" t="str">
        <f aca="false">IFERROR(IF([1]对账明细接口!$B$265=0,"",[1]对账明细接口!$B$265),"")</f>
        <v/>
      </c>
      <c r="C265" s="59" t="str">
        <f aca="false">IFERROR(IF([1]对账明细接口!$C$265=0,"",[1]对账明细接口!$C$265),"")</f>
        <v/>
      </c>
      <c r="D265" s="59" t="str">
        <f aca="false">IFERROR(IF([1]对账明细接口!$D$265=0,"",[1]对账明细接口!$D$265),"")</f>
        <v/>
      </c>
      <c r="E265" s="59" t="str">
        <f aca="false">IFERROR(IF([1]对账明细接口!$E$265=0,"",[1]对账明细接口!$E$265),"")</f>
        <v/>
      </c>
      <c r="F265" s="59" t="str">
        <f aca="false">IFERROR(IF([1]对账明细接口!$F$265=0,"",[1]对账明细接口!$F$265),"")</f>
        <v/>
      </c>
      <c r="G265" s="59" t="str">
        <f aca="false">IFERROR(IF([1]对账明细接口!$G$265=0,"",[1]对账明细接口!$G$265),"")</f>
        <v/>
      </c>
      <c r="H265" s="60" t="str">
        <f aca="false">IFERROR(IF([1]对账明细接口!$H$265=0,"",[1]对账明细接口!$H$265),"")</f>
        <v/>
      </c>
      <c r="I265" s="59" t="str">
        <f aca="false">IFERROR(IF([1]对账明细接口!$I$265=0,"",[1]对账明细接口!$I$265),"")</f>
        <v/>
      </c>
      <c r="J265" s="61" t="str">
        <f aca="false">IFERROR(IF([1]对账明细接口!$J$265=0,"",[1]对账明细接口!$J$265),"")</f>
        <v/>
      </c>
      <c r="K265" s="61" t="str">
        <f aca="false">IFERROR(IF([1]对账明细接口!$K$265=0,"",[1]对账明细接口!$K$265),"")</f>
        <v/>
      </c>
      <c r="L265" s="59" t="str">
        <f aca="false">IFERROR(IF([1]对账明细接口!$L$265=0,"",[1]对账明细接口!$L$265),"")</f>
        <v/>
      </c>
      <c r="M265" s="59" t="str">
        <f aca="false">IFERROR(IF([1]对账明细接口!$M$265=0,"",[1]对账明细接口!$M$265),"")</f>
        <v/>
      </c>
      <c r="N265" s="111" t="n">
        <f aca="false">IF($C265="",0,1)</f>
        <v>0</v>
      </c>
      <c r="O265" s="111" t="n">
        <f aca="false">N(O264)+$N265</f>
        <v>110</v>
      </c>
      <c r="S265" s="10" t="str">
        <f aca="false">IFERROR(IF([1]对账明细接口!$N265=0,"",[1]对账明细接口!$N265),"")</f>
        <v/>
      </c>
      <c r="T265" s="112" t="str">
        <f aca="false">IFERROR(IF([1]对账明细接口!$O265=0,"",[1]对账明细接口!$O265),"")</f>
        <v/>
      </c>
      <c r="U265" s="112" t="str">
        <f aca="false">IFERROR(IF([1]对账明细接口!$P265=0,"",[1]对账明细接口!$P265),"")</f>
        <v/>
      </c>
      <c r="V265" s="112" t="str">
        <f aca="false">IFERROR(IF([1]对账明细接口!$Q265=0,"",[1]对账明细接口!$Q265),"")</f>
        <v/>
      </c>
      <c r="W265" s="10" t="str">
        <f aca="false">IFERROR(IF([1]对账明细接口!$R265=0,"",[1]对账明细接口!$R265),"")</f>
        <v/>
      </c>
      <c r="X265" s="10" t="str">
        <f aca="false">IFERROR(IF([1]对账明细接口!$S265=0,"",[1]对账明细接口!$S265),"")</f>
        <v/>
      </c>
      <c r="Y265" s="10" t="str">
        <f aca="false">""</f>
        <v/>
      </c>
      <c r="Z265" s="10" t="str">
        <f aca="false">""</f>
        <v/>
      </c>
      <c r="AA265" s="10" t="str">
        <f aca="false">""</f>
        <v/>
      </c>
      <c r="AB265" s="10" t="str">
        <f aca="false">""</f>
        <v/>
      </c>
    </row>
    <row r="266" customFormat="false" ht="13.5" hidden="false" customHeight="false" outlineLevel="0" collapsed="false">
      <c r="A266" s="109" t="n">
        <v>266</v>
      </c>
      <c r="B266" s="110" t="str">
        <f aca="false">IFERROR(IF([1]对账明细接口!$B$266=0,"",[1]对账明细接口!$B$266),"")</f>
        <v/>
      </c>
      <c r="C266" s="59" t="str">
        <f aca="false">IFERROR(IF([1]对账明细接口!$C$266=0,"",[1]对账明细接口!$C$266),"")</f>
        <v/>
      </c>
      <c r="D266" s="59" t="str">
        <f aca="false">IFERROR(IF([1]对账明细接口!$D$266=0,"",[1]对账明细接口!$D$266),"")</f>
        <v/>
      </c>
      <c r="E266" s="59" t="str">
        <f aca="false">IFERROR(IF([1]对账明细接口!$E$266=0,"",[1]对账明细接口!$E$266),"")</f>
        <v/>
      </c>
      <c r="F266" s="59" t="str">
        <f aca="false">IFERROR(IF([1]对账明细接口!$F$266=0,"",[1]对账明细接口!$F$266),"")</f>
        <v/>
      </c>
      <c r="G266" s="59" t="str">
        <f aca="false">IFERROR(IF([1]对账明细接口!$G$266=0,"",[1]对账明细接口!$G$266),"")</f>
        <v/>
      </c>
      <c r="H266" s="60" t="str">
        <f aca="false">IFERROR(IF([1]对账明细接口!$H$266=0,"",[1]对账明细接口!$H$266),"")</f>
        <v/>
      </c>
      <c r="I266" s="59" t="str">
        <f aca="false">IFERROR(IF([1]对账明细接口!$I$266=0,"",[1]对账明细接口!$I$266),"")</f>
        <v/>
      </c>
      <c r="J266" s="61" t="str">
        <f aca="false">IFERROR(IF([1]对账明细接口!$J$266=0,"",[1]对账明细接口!$J$266),"")</f>
        <v/>
      </c>
      <c r="K266" s="61" t="str">
        <f aca="false">IFERROR(IF([1]对账明细接口!$K$266=0,"",[1]对账明细接口!$K$266),"")</f>
        <v/>
      </c>
      <c r="L266" s="59" t="str">
        <f aca="false">IFERROR(IF([1]对账明细接口!$L$266=0,"",[1]对账明细接口!$L$266),"")</f>
        <v/>
      </c>
      <c r="M266" s="59" t="str">
        <f aca="false">IFERROR(IF([1]对账明细接口!$M$266=0,"",[1]对账明细接口!$M$266),"")</f>
        <v/>
      </c>
      <c r="N266" s="111" t="n">
        <f aca="false">IF($C266="",0,1)</f>
        <v>0</v>
      </c>
      <c r="O266" s="111" t="n">
        <f aca="false">N(O265)+$N266</f>
        <v>110</v>
      </c>
      <c r="S266" s="10" t="str">
        <f aca="false">IFERROR(IF([1]对账明细接口!$N266=0,"",[1]对账明细接口!$N266),"")</f>
        <v/>
      </c>
      <c r="T266" s="112" t="str">
        <f aca="false">IFERROR(IF([1]对账明细接口!$O266=0,"",[1]对账明细接口!$O266),"")</f>
        <v/>
      </c>
      <c r="U266" s="112" t="str">
        <f aca="false">IFERROR(IF([1]对账明细接口!$P266=0,"",[1]对账明细接口!$P266),"")</f>
        <v/>
      </c>
      <c r="V266" s="112" t="str">
        <f aca="false">IFERROR(IF([1]对账明细接口!$Q266=0,"",[1]对账明细接口!$Q266),"")</f>
        <v/>
      </c>
      <c r="W266" s="10" t="str">
        <f aca="false">IFERROR(IF([1]对账明细接口!$R266=0,"",[1]对账明细接口!$R266),"")</f>
        <v/>
      </c>
      <c r="X266" s="10" t="str">
        <f aca="false">IFERROR(IF([1]对账明细接口!$S266=0,"",[1]对账明细接口!$S266),"")</f>
        <v/>
      </c>
      <c r="Y266" s="10" t="str">
        <f aca="false">""</f>
        <v/>
      </c>
      <c r="Z266" s="10" t="str">
        <f aca="false">""</f>
        <v/>
      </c>
      <c r="AA266" s="10" t="str">
        <f aca="false">""</f>
        <v/>
      </c>
      <c r="AB266" s="10" t="str">
        <f aca="false">""</f>
        <v/>
      </c>
    </row>
    <row r="267" customFormat="false" ht="13.5" hidden="false" customHeight="false" outlineLevel="0" collapsed="false">
      <c r="A267" s="109" t="n">
        <v>267</v>
      </c>
      <c r="B267" s="110" t="str">
        <f aca="false">IFERROR(IF([1]对账明细接口!$B$267=0,"",[1]对账明细接口!$B$267),"")</f>
        <v/>
      </c>
      <c r="C267" s="59" t="str">
        <f aca="false">IFERROR(IF([1]对账明细接口!$C$267=0,"",[1]对账明细接口!$C$267),"")</f>
        <v/>
      </c>
      <c r="D267" s="59" t="str">
        <f aca="false">IFERROR(IF([1]对账明细接口!$D$267=0,"",[1]对账明细接口!$D$267),"")</f>
        <v/>
      </c>
      <c r="E267" s="59" t="str">
        <f aca="false">IFERROR(IF([1]对账明细接口!$E$267=0,"",[1]对账明细接口!$E$267),"")</f>
        <v/>
      </c>
      <c r="F267" s="59" t="str">
        <f aca="false">IFERROR(IF([1]对账明细接口!$F$267=0,"",[1]对账明细接口!$F$267),"")</f>
        <v/>
      </c>
      <c r="G267" s="59" t="str">
        <f aca="false">IFERROR(IF([1]对账明细接口!$G$267=0,"",[1]对账明细接口!$G$267),"")</f>
        <v/>
      </c>
      <c r="H267" s="60" t="str">
        <f aca="false">IFERROR(IF([1]对账明细接口!$H$267=0,"",[1]对账明细接口!$H$267),"")</f>
        <v/>
      </c>
      <c r="I267" s="59" t="str">
        <f aca="false">IFERROR(IF([1]对账明细接口!$I$267=0,"",[1]对账明细接口!$I$267),"")</f>
        <v/>
      </c>
      <c r="J267" s="61" t="str">
        <f aca="false">IFERROR(IF([1]对账明细接口!$J$267=0,"",[1]对账明细接口!$J$267),"")</f>
        <v/>
      </c>
      <c r="K267" s="61" t="str">
        <f aca="false">IFERROR(IF([1]对账明细接口!$K$267=0,"",[1]对账明细接口!$K$267),"")</f>
        <v/>
      </c>
      <c r="L267" s="59" t="str">
        <f aca="false">IFERROR(IF([1]对账明细接口!$L$267=0,"",[1]对账明细接口!$L$267),"")</f>
        <v/>
      </c>
      <c r="M267" s="59" t="str">
        <f aca="false">IFERROR(IF([1]对账明细接口!$M$267=0,"",[1]对账明细接口!$M$267),"")</f>
        <v/>
      </c>
      <c r="N267" s="111" t="n">
        <f aca="false">IF($C267="",0,1)</f>
        <v>0</v>
      </c>
      <c r="O267" s="111" t="n">
        <f aca="false">N(O266)+$N267</f>
        <v>110</v>
      </c>
      <c r="S267" s="10" t="str">
        <f aca="false">IFERROR(IF([1]对账明细接口!$N267=0,"",[1]对账明细接口!$N267),"")</f>
        <v/>
      </c>
      <c r="T267" s="112" t="str">
        <f aca="false">IFERROR(IF([1]对账明细接口!$O267=0,"",[1]对账明细接口!$O267),"")</f>
        <v/>
      </c>
      <c r="U267" s="112" t="str">
        <f aca="false">IFERROR(IF([1]对账明细接口!$P267=0,"",[1]对账明细接口!$P267),"")</f>
        <v/>
      </c>
      <c r="V267" s="112" t="str">
        <f aca="false">IFERROR(IF([1]对账明细接口!$Q267=0,"",[1]对账明细接口!$Q267),"")</f>
        <v/>
      </c>
      <c r="W267" s="10" t="str">
        <f aca="false">IFERROR(IF([1]对账明细接口!$R267=0,"",[1]对账明细接口!$R267),"")</f>
        <v/>
      </c>
      <c r="X267" s="10" t="str">
        <f aca="false">IFERROR(IF([1]对账明细接口!$S267=0,"",[1]对账明细接口!$S267),"")</f>
        <v/>
      </c>
      <c r="Y267" s="10" t="str">
        <f aca="false">""</f>
        <v/>
      </c>
      <c r="Z267" s="10" t="str">
        <f aca="false">""</f>
        <v/>
      </c>
      <c r="AA267" s="10" t="str">
        <f aca="false">""</f>
        <v/>
      </c>
      <c r="AB267" s="10" t="str">
        <f aca="false">""</f>
        <v/>
      </c>
    </row>
    <row r="268" customFormat="false" ht="13.5" hidden="false" customHeight="false" outlineLevel="0" collapsed="false">
      <c r="A268" s="109" t="n">
        <v>268</v>
      </c>
      <c r="B268" s="110" t="str">
        <f aca="false">IFERROR(IF([1]对账明细接口!$B$268=0,"",[1]对账明细接口!$B$268),"")</f>
        <v/>
      </c>
      <c r="C268" s="59" t="str">
        <f aca="false">IFERROR(IF([1]对账明细接口!$C$268=0,"",[1]对账明细接口!$C$268),"")</f>
        <v/>
      </c>
      <c r="D268" s="59" t="str">
        <f aca="false">IFERROR(IF([1]对账明细接口!$D$268=0,"",[1]对账明细接口!$D$268),"")</f>
        <v/>
      </c>
      <c r="E268" s="59" t="str">
        <f aca="false">IFERROR(IF([1]对账明细接口!$E$268=0,"",[1]对账明细接口!$E$268),"")</f>
        <v/>
      </c>
      <c r="F268" s="59" t="str">
        <f aca="false">IFERROR(IF([1]对账明细接口!$F$268=0,"",[1]对账明细接口!$F$268),"")</f>
        <v/>
      </c>
      <c r="G268" s="59" t="str">
        <f aca="false">IFERROR(IF([1]对账明细接口!$G$268=0,"",[1]对账明细接口!$G$268),"")</f>
        <v/>
      </c>
      <c r="H268" s="60" t="str">
        <f aca="false">IFERROR(IF([1]对账明细接口!$H$268=0,"",[1]对账明细接口!$H$268),"")</f>
        <v/>
      </c>
      <c r="I268" s="59" t="str">
        <f aca="false">IFERROR(IF([1]对账明细接口!$I$268=0,"",[1]对账明细接口!$I$268),"")</f>
        <v/>
      </c>
      <c r="J268" s="61" t="str">
        <f aca="false">IFERROR(IF([1]对账明细接口!$J$268=0,"",[1]对账明细接口!$J$268),"")</f>
        <v/>
      </c>
      <c r="K268" s="61" t="str">
        <f aca="false">IFERROR(IF([1]对账明细接口!$K$268=0,"",[1]对账明细接口!$K$268),"")</f>
        <v/>
      </c>
      <c r="L268" s="59" t="str">
        <f aca="false">IFERROR(IF([1]对账明细接口!$L$268=0,"",[1]对账明细接口!$L$268),"")</f>
        <v/>
      </c>
      <c r="M268" s="59" t="str">
        <f aca="false">IFERROR(IF([1]对账明细接口!$M$268=0,"",[1]对账明细接口!$M$268),"")</f>
        <v/>
      </c>
      <c r="N268" s="111" t="n">
        <f aca="false">IF($C268="",0,1)</f>
        <v>0</v>
      </c>
      <c r="O268" s="111" t="n">
        <f aca="false">N(O267)+$N268</f>
        <v>110</v>
      </c>
      <c r="S268" s="10" t="str">
        <f aca="false">IFERROR(IF([1]对账明细接口!$N268=0,"",[1]对账明细接口!$N268),"")</f>
        <v/>
      </c>
      <c r="T268" s="112" t="str">
        <f aca="false">IFERROR(IF([1]对账明细接口!$O268=0,"",[1]对账明细接口!$O268),"")</f>
        <v/>
      </c>
      <c r="U268" s="112" t="str">
        <f aca="false">IFERROR(IF([1]对账明细接口!$P268=0,"",[1]对账明细接口!$P268),"")</f>
        <v/>
      </c>
      <c r="V268" s="112" t="str">
        <f aca="false">IFERROR(IF([1]对账明细接口!$Q268=0,"",[1]对账明细接口!$Q268),"")</f>
        <v/>
      </c>
      <c r="W268" s="10" t="str">
        <f aca="false">IFERROR(IF([1]对账明细接口!$R268=0,"",[1]对账明细接口!$R268),"")</f>
        <v/>
      </c>
      <c r="X268" s="10" t="str">
        <f aca="false">IFERROR(IF([1]对账明细接口!$S268=0,"",[1]对账明细接口!$S268),"")</f>
        <v/>
      </c>
      <c r="Y268" s="10" t="str">
        <f aca="false">""</f>
        <v/>
      </c>
      <c r="Z268" s="10" t="str">
        <f aca="false">""</f>
        <v/>
      </c>
      <c r="AA268" s="10" t="str">
        <f aca="false">""</f>
        <v/>
      </c>
      <c r="AB268" s="10" t="str">
        <f aca="false">""</f>
        <v/>
      </c>
    </row>
    <row r="269" customFormat="false" ht="13.5" hidden="false" customHeight="false" outlineLevel="0" collapsed="false">
      <c r="A269" s="109" t="n">
        <v>269</v>
      </c>
      <c r="B269" s="110" t="str">
        <f aca="false">IFERROR(IF([1]对账明细接口!$B$269=0,"",[1]对账明细接口!$B$269),"")</f>
        <v/>
      </c>
      <c r="C269" s="59" t="str">
        <f aca="false">IFERROR(IF([1]对账明细接口!$C$269=0,"",[1]对账明细接口!$C$269),"")</f>
        <v/>
      </c>
      <c r="D269" s="59" t="str">
        <f aca="false">IFERROR(IF([1]对账明细接口!$D$269=0,"",[1]对账明细接口!$D$269),"")</f>
        <v/>
      </c>
      <c r="E269" s="59" t="str">
        <f aca="false">IFERROR(IF([1]对账明细接口!$E$269=0,"",[1]对账明细接口!$E$269),"")</f>
        <v/>
      </c>
      <c r="F269" s="59" t="str">
        <f aca="false">IFERROR(IF([1]对账明细接口!$F$269=0,"",[1]对账明细接口!$F$269),"")</f>
        <v/>
      </c>
      <c r="G269" s="59" t="str">
        <f aca="false">IFERROR(IF([1]对账明细接口!$G$269=0,"",[1]对账明细接口!$G$269),"")</f>
        <v/>
      </c>
      <c r="H269" s="60" t="str">
        <f aca="false">IFERROR(IF([1]对账明细接口!$H$269=0,"",[1]对账明细接口!$H$269),"")</f>
        <v/>
      </c>
      <c r="I269" s="59" t="str">
        <f aca="false">IFERROR(IF([1]对账明细接口!$I$269=0,"",[1]对账明细接口!$I$269),"")</f>
        <v/>
      </c>
      <c r="J269" s="61" t="str">
        <f aca="false">IFERROR(IF([1]对账明细接口!$J$269=0,"",[1]对账明细接口!$J$269),"")</f>
        <v/>
      </c>
      <c r="K269" s="61" t="str">
        <f aca="false">IFERROR(IF([1]对账明细接口!$K$269=0,"",[1]对账明细接口!$K$269),"")</f>
        <v/>
      </c>
      <c r="L269" s="59" t="str">
        <f aca="false">IFERROR(IF([1]对账明细接口!$L$269=0,"",[1]对账明细接口!$L$269),"")</f>
        <v/>
      </c>
      <c r="M269" s="59" t="str">
        <f aca="false">IFERROR(IF([1]对账明细接口!$M$269=0,"",[1]对账明细接口!$M$269),"")</f>
        <v/>
      </c>
      <c r="N269" s="111" t="n">
        <f aca="false">IF($C269="",0,1)</f>
        <v>0</v>
      </c>
      <c r="O269" s="111" t="n">
        <f aca="false">N(O268)+$N269</f>
        <v>110</v>
      </c>
      <c r="S269" s="10" t="str">
        <f aca="false">IFERROR(IF([1]对账明细接口!$N269=0,"",[1]对账明细接口!$N269),"")</f>
        <v/>
      </c>
      <c r="T269" s="112" t="str">
        <f aca="false">IFERROR(IF([1]对账明细接口!$O269=0,"",[1]对账明细接口!$O269),"")</f>
        <v/>
      </c>
      <c r="U269" s="112" t="str">
        <f aca="false">IFERROR(IF([1]对账明细接口!$P269=0,"",[1]对账明细接口!$P269),"")</f>
        <v/>
      </c>
      <c r="V269" s="112" t="str">
        <f aca="false">IFERROR(IF([1]对账明细接口!$Q269=0,"",[1]对账明细接口!$Q269),"")</f>
        <v/>
      </c>
      <c r="W269" s="10" t="str">
        <f aca="false">IFERROR(IF([1]对账明细接口!$R269=0,"",[1]对账明细接口!$R269),"")</f>
        <v/>
      </c>
      <c r="X269" s="10" t="str">
        <f aca="false">IFERROR(IF([1]对账明细接口!$S269=0,"",[1]对账明细接口!$S269),"")</f>
        <v/>
      </c>
      <c r="Y269" s="10" t="str">
        <f aca="false">""</f>
        <v/>
      </c>
      <c r="Z269" s="10" t="str">
        <f aca="false">""</f>
        <v/>
      </c>
      <c r="AA269" s="10" t="str">
        <f aca="false">""</f>
        <v/>
      </c>
      <c r="AB269" s="10" t="str">
        <f aca="false">""</f>
        <v/>
      </c>
    </row>
    <row r="270" customFormat="false" ht="13.5" hidden="false" customHeight="false" outlineLevel="0" collapsed="false">
      <c r="A270" s="109" t="n">
        <v>270</v>
      </c>
      <c r="B270" s="110" t="str">
        <f aca="false">IFERROR(IF([1]对账明细接口!$B$270=0,"",[1]对账明细接口!$B$270),"")</f>
        <v/>
      </c>
      <c r="C270" s="59" t="str">
        <f aca="false">IFERROR(IF([1]对账明细接口!$C$270=0,"",[1]对账明细接口!$C$270),"")</f>
        <v/>
      </c>
      <c r="D270" s="59" t="str">
        <f aca="false">IFERROR(IF([1]对账明细接口!$D$270=0,"",[1]对账明细接口!$D$270),"")</f>
        <v/>
      </c>
      <c r="E270" s="59" t="str">
        <f aca="false">IFERROR(IF([1]对账明细接口!$E$270=0,"",[1]对账明细接口!$E$270),"")</f>
        <v/>
      </c>
      <c r="F270" s="59" t="str">
        <f aca="false">IFERROR(IF([1]对账明细接口!$F$270=0,"",[1]对账明细接口!$F$270),"")</f>
        <v/>
      </c>
      <c r="G270" s="59" t="str">
        <f aca="false">IFERROR(IF([1]对账明细接口!$G$270=0,"",[1]对账明细接口!$G$270),"")</f>
        <v/>
      </c>
      <c r="H270" s="60" t="str">
        <f aca="false">IFERROR(IF([1]对账明细接口!$H$270=0,"",[1]对账明细接口!$H$270),"")</f>
        <v/>
      </c>
      <c r="I270" s="59" t="str">
        <f aca="false">IFERROR(IF([1]对账明细接口!$I$270=0,"",[1]对账明细接口!$I$270),"")</f>
        <v/>
      </c>
      <c r="J270" s="61" t="str">
        <f aca="false">IFERROR(IF([1]对账明细接口!$J$270=0,"",[1]对账明细接口!$J$270),"")</f>
        <v/>
      </c>
      <c r="K270" s="61" t="str">
        <f aca="false">IFERROR(IF([1]对账明细接口!$K$270=0,"",[1]对账明细接口!$K$270),"")</f>
        <v/>
      </c>
      <c r="L270" s="59" t="str">
        <f aca="false">IFERROR(IF([1]对账明细接口!$L$270=0,"",[1]对账明细接口!$L$270),"")</f>
        <v/>
      </c>
      <c r="M270" s="59" t="str">
        <f aca="false">IFERROR(IF([1]对账明细接口!$M$270=0,"",[1]对账明细接口!$M$270),"")</f>
        <v/>
      </c>
      <c r="N270" s="111" t="n">
        <f aca="false">IF($C270="",0,1)</f>
        <v>0</v>
      </c>
      <c r="O270" s="111" t="n">
        <f aca="false">N(O269)+$N270</f>
        <v>110</v>
      </c>
      <c r="S270" s="10" t="str">
        <f aca="false">IFERROR(IF([1]对账明细接口!$N270=0,"",[1]对账明细接口!$N270),"")</f>
        <v/>
      </c>
      <c r="T270" s="112" t="str">
        <f aca="false">IFERROR(IF([1]对账明细接口!$O270=0,"",[1]对账明细接口!$O270),"")</f>
        <v/>
      </c>
      <c r="U270" s="112" t="str">
        <f aca="false">IFERROR(IF([1]对账明细接口!$P270=0,"",[1]对账明细接口!$P270),"")</f>
        <v/>
      </c>
      <c r="V270" s="112" t="str">
        <f aca="false">IFERROR(IF([1]对账明细接口!$Q270=0,"",[1]对账明细接口!$Q270),"")</f>
        <v/>
      </c>
      <c r="W270" s="10" t="str">
        <f aca="false">IFERROR(IF([1]对账明细接口!$R270=0,"",[1]对账明细接口!$R270),"")</f>
        <v/>
      </c>
      <c r="X270" s="10" t="str">
        <f aca="false">IFERROR(IF([1]对账明细接口!$S270=0,"",[1]对账明细接口!$S270),"")</f>
        <v/>
      </c>
      <c r="Y270" s="10" t="str">
        <f aca="false">""</f>
        <v/>
      </c>
      <c r="Z270" s="10" t="str">
        <f aca="false">""</f>
        <v/>
      </c>
      <c r="AA270" s="10" t="str">
        <f aca="false">""</f>
        <v/>
      </c>
      <c r="AB270" s="10" t="str">
        <f aca="false">""</f>
        <v/>
      </c>
    </row>
    <row r="271" customFormat="false" ht="13.5" hidden="false" customHeight="false" outlineLevel="0" collapsed="false">
      <c r="A271" s="109" t="n">
        <v>271</v>
      </c>
      <c r="B271" s="110" t="str">
        <f aca="false">IFERROR(IF([1]对账明细接口!$B$271=0,"",[1]对账明细接口!$B$271),"")</f>
        <v/>
      </c>
      <c r="C271" s="59" t="str">
        <f aca="false">IFERROR(IF([1]对账明细接口!$C$271=0,"",[1]对账明细接口!$C$271),"")</f>
        <v/>
      </c>
      <c r="D271" s="59" t="str">
        <f aca="false">IFERROR(IF([1]对账明细接口!$D$271=0,"",[1]对账明细接口!$D$271),"")</f>
        <v/>
      </c>
      <c r="E271" s="59" t="str">
        <f aca="false">IFERROR(IF([1]对账明细接口!$E$271=0,"",[1]对账明细接口!$E$271),"")</f>
        <v/>
      </c>
      <c r="F271" s="59" t="str">
        <f aca="false">IFERROR(IF([1]对账明细接口!$F$271=0,"",[1]对账明细接口!$F$271),"")</f>
        <v/>
      </c>
      <c r="G271" s="59" t="str">
        <f aca="false">IFERROR(IF([1]对账明细接口!$G$271=0,"",[1]对账明细接口!$G$271),"")</f>
        <v/>
      </c>
      <c r="H271" s="60" t="str">
        <f aca="false">IFERROR(IF([1]对账明细接口!$H$271=0,"",[1]对账明细接口!$H$271),"")</f>
        <v/>
      </c>
      <c r="I271" s="59" t="str">
        <f aca="false">IFERROR(IF([1]对账明细接口!$I$271=0,"",[1]对账明细接口!$I$271),"")</f>
        <v/>
      </c>
      <c r="J271" s="61" t="str">
        <f aca="false">IFERROR(IF([1]对账明细接口!$J$271=0,"",[1]对账明细接口!$J$271),"")</f>
        <v/>
      </c>
      <c r="K271" s="61" t="str">
        <f aca="false">IFERROR(IF([1]对账明细接口!$K$271=0,"",[1]对账明细接口!$K$271),"")</f>
        <v/>
      </c>
      <c r="L271" s="59" t="str">
        <f aca="false">IFERROR(IF([1]对账明细接口!$L$271=0,"",[1]对账明细接口!$L$271),"")</f>
        <v/>
      </c>
      <c r="M271" s="59" t="str">
        <f aca="false">IFERROR(IF([1]对账明细接口!$M$271=0,"",[1]对账明细接口!$M$271),"")</f>
        <v/>
      </c>
      <c r="N271" s="111" t="n">
        <f aca="false">IF($C271="",0,1)</f>
        <v>0</v>
      </c>
      <c r="O271" s="111" t="n">
        <f aca="false">N(O270)+$N271</f>
        <v>110</v>
      </c>
      <c r="S271" s="10" t="str">
        <f aca="false">IFERROR(IF([1]对账明细接口!$N271=0,"",[1]对账明细接口!$N271),"")</f>
        <v/>
      </c>
      <c r="T271" s="112" t="str">
        <f aca="false">IFERROR(IF([1]对账明细接口!$O271=0,"",[1]对账明细接口!$O271),"")</f>
        <v/>
      </c>
      <c r="U271" s="112" t="str">
        <f aca="false">IFERROR(IF([1]对账明细接口!$P271=0,"",[1]对账明细接口!$P271),"")</f>
        <v/>
      </c>
      <c r="V271" s="112" t="str">
        <f aca="false">IFERROR(IF([1]对账明细接口!$Q271=0,"",[1]对账明细接口!$Q271),"")</f>
        <v/>
      </c>
      <c r="W271" s="10" t="str">
        <f aca="false">IFERROR(IF([1]对账明细接口!$R271=0,"",[1]对账明细接口!$R271),"")</f>
        <v/>
      </c>
      <c r="X271" s="10" t="str">
        <f aca="false">IFERROR(IF([1]对账明细接口!$S271=0,"",[1]对账明细接口!$S271),"")</f>
        <v/>
      </c>
      <c r="Y271" s="10" t="str">
        <f aca="false">""</f>
        <v/>
      </c>
      <c r="Z271" s="10" t="str">
        <f aca="false">""</f>
        <v/>
      </c>
      <c r="AA271" s="10" t="str">
        <f aca="false">""</f>
        <v/>
      </c>
      <c r="AB271" s="10" t="str">
        <f aca="false">""</f>
        <v/>
      </c>
    </row>
    <row r="272" customFormat="false" ht="13.5" hidden="false" customHeight="false" outlineLevel="0" collapsed="false">
      <c r="A272" s="109" t="n">
        <v>272</v>
      </c>
      <c r="B272" s="110" t="str">
        <f aca="false">IFERROR(IF([1]对账明细接口!$B$272=0,"",[1]对账明细接口!$B$272),"")</f>
        <v/>
      </c>
      <c r="C272" s="59" t="str">
        <f aca="false">IFERROR(IF([1]对账明细接口!$C$272=0,"",[1]对账明细接口!$C$272),"")</f>
        <v/>
      </c>
      <c r="D272" s="59" t="str">
        <f aca="false">IFERROR(IF([1]对账明细接口!$D$272=0,"",[1]对账明细接口!$D$272),"")</f>
        <v/>
      </c>
      <c r="E272" s="59" t="str">
        <f aca="false">IFERROR(IF([1]对账明细接口!$E$272=0,"",[1]对账明细接口!$E$272),"")</f>
        <v/>
      </c>
      <c r="F272" s="59" t="str">
        <f aca="false">IFERROR(IF([1]对账明细接口!$F$272=0,"",[1]对账明细接口!$F$272),"")</f>
        <v/>
      </c>
      <c r="G272" s="59" t="str">
        <f aca="false">IFERROR(IF([1]对账明细接口!$G$272=0,"",[1]对账明细接口!$G$272),"")</f>
        <v/>
      </c>
      <c r="H272" s="60" t="str">
        <f aca="false">IFERROR(IF([1]对账明细接口!$H$272=0,"",[1]对账明细接口!$H$272),"")</f>
        <v/>
      </c>
      <c r="I272" s="59" t="str">
        <f aca="false">IFERROR(IF([1]对账明细接口!$I$272=0,"",[1]对账明细接口!$I$272),"")</f>
        <v/>
      </c>
      <c r="J272" s="61" t="str">
        <f aca="false">IFERROR(IF([1]对账明细接口!$J$272=0,"",[1]对账明细接口!$J$272),"")</f>
        <v/>
      </c>
      <c r="K272" s="61" t="str">
        <f aca="false">IFERROR(IF([1]对账明细接口!$K$272=0,"",[1]对账明细接口!$K$272),"")</f>
        <v/>
      </c>
      <c r="L272" s="59" t="str">
        <f aca="false">IFERROR(IF([1]对账明细接口!$L$272=0,"",[1]对账明细接口!$L$272),"")</f>
        <v/>
      </c>
      <c r="M272" s="59" t="str">
        <f aca="false">IFERROR(IF([1]对账明细接口!$M$272=0,"",[1]对账明细接口!$M$272),"")</f>
        <v/>
      </c>
      <c r="N272" s="111" t="n">
        <f aca="false">IF($C272="",0,1)</f>
        <v>0</v>
      </c>
      <c r="O272" s="111" t="n">
        <f aca="false">N(O271)+$N272</f>
        <v>110</v>
      </c>
      <c r="S272" s="10" t="str">
        <f aca="false">IFERROR(IF([1]对账明细接口!$N272=0,"",[1]对账明细接口!$N272),"")</f>
        <v/>
      </c>
      <c r="T272" s="112" t="str">
        <f aca="false">IFERROR(IF([1]对账明细接口!$O272=0,"",[1]对账明细接口!$O272),"")</f>
        <v/>
      </c>
      <c r="U272" s="112" t="str">
        <f aca="false">IFERROR(IF([1]对账明细接口!$P272=0,"",[1]对账明细接口!$P272),"")</f>
        <v/>
      </c>
      <c r="V272" s="112" t="str">
        <f aca="false">IFERROR(IF([1]对账明细接口!$Q272=0,"",[1]对账明细接口!$Q272),"")</f>
        <v/>
      </c>
      <c r="W272" s="10" t="str">
        <f aca="false">IFERROR(IF([1]对账明细接口!$R272=0,"",[1]对账明细接口!$R272),"")</f>
        <v/>
      </c>
      <c r="X272" s="10" t="str">
        <f aca="false">IFERROR(IF([1]对账明细接口!$S272=0,"",[1]对账明细接口!$S272),"")</f>
        <v/>
      </c>
      <c r="Y272" s="10" t="str">
        <f aca="false">""</f>
        <v/>
      </c>
      <c r="Z272" s="10" t="str">
        <f aca="false">""</f>
        <v/>
      </c>
      <c r="AA272" s="10" t="str">
        <f aca="false">""</f>
        <v/>
      </c>
      <c r="AB272" s="10" t="str">
        <f aca="false">""</f>
        <v/>
      </c>
    </row>
    <row r="273" customFormat="false" ht="13.5" hidden="false" customHeight="false" outlineLevel="0" collapsed="false">
      <c r="A273" s="109" t="n">
        <v>273</v>
      </c>
      <c r="B273" s="110" t="str">
        <f aca="false">IFERROR(IF([1]对账明细接口!$B$273=0,"",[1]对账明细接口!$B$273),"")</f>
        <v/>
      </c>
      <c r="C273" s="59" t="str">
        <f aca="false">IFERROR(IF([1]对账明细接口!$C$273=0,"",[1]对账明细接口!$C$273),"")</f>
        <v/>
      </c>
      <c r="D273" s="59" t="str">
        <f aca="false">IFERROR(IF([1]对账明细接口!$D$273=0,"",[1]对账明细接口!$D$273),"")</f>
        <v/>
      </c>
      <c r="E273" s="59" t="str">
        <f aca="false">IFERROR(IF([1]对账明细接口!$E$273=0,"",[1]对账明细接口!$E$273),"")</f>
        <v/>
      </c>
      <c r="F273" s="59" t="str">
        <f aca="false">IFERROR(IF([1]对账明细接口!$F$273=0,"",[1]对账明细接口!$F$273),"")</f>
        <v/>
      </c>
      <c r="G273" s="59" t="str">
        <f aca="false">IFERROR(IF([1]对账明细接口!$G$273=0,"",[1]对账明细接口!$G$273),"")</f>
        <v/>
      </c>
      <c r="H273" s="60" t="str">
        <f aca="false">IFERROR(IF([1]对账明细接口!$H$273=0,"",[1]对账明细接口!$H$273),"")</f>
        <v/>
      </c>
      <c r="I273" s="59" t="str">
        <f aca="false">IFERROR(IF([1]对账明细接口!$I$273=0,"",[1]对账明细接口!$I$273),"")</f>
        <v/>
      </c>
      <c r="J273" s="61" t="str">
        <f aca="false">IFERROR(IF([1]对账明细接口!$J$273=0,"",[1]对账明细接口!$J$273),"")</f>
        <v/>
      </c>
      <c r="K273" s="61" t="str">
        <f aca="false">IFERROR(IF([1]对账明细接口!$K$273=0,"",[1]对账明细接口!$K$273),"")</f>
        <v/>
      </c>
      <c r="L273" s="59" t="str">
        <f aca="false">IFERROR(IF([1]对账明细接口!$L$273=0,"",[1]对账明细接口!$L$273),"")</f>
        <v/>
      </c>
      <c r="M273" s="59" t="str">
        <f aca="false">IFERROR(IF([1]对账明细接口!$M$273=0,"",[1]对账明细接口!$M$273),"")</f>
        <v/>
      </c>
      <c r="N273" s="111" t="n">
        <f aca="false">IF($C273="",0,1)</f>
        <v>0</v>
      </c>
      <c r="O273" s="111" t="n">
        <f aca="false">N(O272)+$N273</f>
        <v>110</v>
      </c>
      <c r="S273" s="10" t="str">
        <f aca="false">IFERROR(IF([1]对账明细接口!$N273=0,"",[1]对账明细接口!$N273),"")</f>
        <v/>
      </c>
      <c r="T273" s="112" t="str">
        <f aca="false">IFERROR(IF([1]对账明细接口!$O273=0,"",[1]对账明细接口!$O273),"")</f>
        <v/>
      </c>
      <c r="U273" s="112" t="str">
        <f aca="false">IFERROR(IF([1]对账明细接口!$P273=0,"",[1]对账明细接口!$P273),"")</f>
        <v/>
      </c>
      <c r="V273" s="112" t="str">
        <f aca="false">IFERROR(IF([1]对账明细接口!$Q273=0,"",[1]对账明细接口!$Q273),"")</f>
        <v/>
      </c>
      <c r="W273" s="10" t="str">
        <f aca="false">IFERROR(IF([1]对账明细接口!$R273=0,"",[1]对账明细接口!$R273),"")</f>
        <v/>
      </c>
      <c r="X273" s="10" t="str">
        <f aca="false">IFERROR(IF([1]对账明细接口!$S273=0,"",[1]对账明细接口!$S273),"")</f>
        <v/>
      </c>
      <c r="Y273" s="10" t="str">
        <f aca="false">""</f>
        <v/>
      </c>
      <c r="Z273" s="10" t="str">
        <f aca="false">""</f>
        <v/>
      </c>
      <c r="AA273" s="10" t="str">
        <f aca="false">""</f>
        <v/>
      </c>
      <c r="AB273" s="10" t="str">
        <f aca="false">""</f>
        <v/>
      </c>
    </row>
    <row r="274" customFormat="false" ht="13.5" hidden="false" customHeight="false" outlineLevel="0" collapsed="false">
      <c r="A274" s="109" t="n">
        <v>274</v>
      </c>
      <c r="B274" s="110" t="str">
        <f aca="false">IFERROR(IF([1]对账明细接口!$B$274=0,"",[1]对账明细接口!$B$274),"")</f>
        <v/>
      </c>
      <c r="C274" s="59" t="str">
        <f aca="false">IFERROR(IF([1]对账明细接口!$C$274=0,"",[1]对账明细接口!$C$274),"")</f>
        <v/>
      </c>
      <c r="D274" s="59" t="str">
        <f aca="false">IFERROR(IF([1]对账明细接口!$D$274=0,"",[1]对账明细接口!$D$274),"")</f>
        <v/>
      </c>
      <c r="E274" s="59" t="str">
        <f aca="false">IFERROR(IF([1]对账明细接口!$E$274=0,"",[1]对账明细接口!$E$274),"")</f>
        <v/>
      </c>
      <c r="F274" s="59" t="str">
        <f aca="false">IFERROR(IF([1]对账明细接口!$F$274=0,"",[1]对账明细接口!$F$274),"")</f>
        <v/>
      </c>
      <c r="G274" s="59" t="str">
        <f aca="false">IFERROR(IF([1]对账明细接口!$G$274=0,"",[1]对账明细接口!$G$274),"")</f>
        <v/>
      </c>
      <c r="H274" s="60" t="str">
        <f aca="false">IFERROR(IF([1]对账明细接口!$H$274=0,"",[1]对账明细接口!$H$274),"")</f>
        <v/>
      </c>
      <c r="I274" s="59" t="str">
        <f aca="false">IFERROR(IF([1]对账明细接口!$I$274=0,"",[1]对账明细接口!$I$274),"")</f>
        <v/>
      </c>
      <c r="J274" s="61" t="str">
        <f aca="false">IFERROR(IF([1]对账明细接口!$J$274=0,"",[1]对账明细接口!$J$274),"")</f>
        <v/>
      </c>
      <c r="K274" s="61" t="str">
        <f aca="false">IFERROR(IF([1]对账明细接口!$K$274=0,"",[1]对账明细接口!$K$274),"")</f>
        <v/>
      </c>
      <c r="L274" s="59" t="str">
        <f aca="false">IFERROR(IF([1]对账明细接口!$L$274=0,"",[1]对账明细接口!$L$274),"")</f>
        <v/>
      </c>
      <c r="M274" s="59" t="str">
        <f aca="false">IFERROR(IF([1]对账明细接口!$M$274=0,"",[1]对账明细接口!$M$274),"")</f>
        <v/>
      </c>
      <c r="N274" s="111" t="n">
        <f aca="false">IF($C274="",0,1)</f>
        <v>0</v>
      </c>
      <c r="O274" s="111" t="n">
        <f aca="false">N(O273)+$N274</f>
        <v>110</v>
      </c>
      <c r="S274" s="10" t="str">
        <f aca="false">IFERROR(IF([1]对账明细接口!$N274=0,"",[1]对账明细接口!$N274),"")</f>
        <v/>
      </c>
      <c r="T274" s="112" t="str">
        <f aca="false">IFERROR(IF([1]对账明细接口!$O274=0,"",[1]对账明细接口!$O274),"")</f>
        <v/>
      </c>
      <c r="U274" s="112" t="str">
        <f aca="false">IFERROR(IF([1]对账明细接口!$P274=0,"",[1]对账明细接口!$P274),"")</f>
        <v/>
      </c>
      <c r="V274" s="112" t="str">
        <f aca="false">IFERROR(IF([1]对账明细接口!$Q274=0,"",[1]对账明细接口!$Q274),"")</f>
        <v/>
      </c>
      <c r="W274" s="10" t="str">
        <f aca="false">IFERROR(IF([1]对账明细接口!$R274=0,"",[1]对账明细接口!$R274),"")</f>
        <v/>
      </c>
      <c r="X274" s="10" t="str">
        <f aca="false">IFERROR(IF([1]对账明细接口!$S274=0,"",[1]对账明细接口!$S274),"")</f>
        <v/>
      </c>
      <c r="Y274" s="10" t="str">
        <f aca="false">""</f>
        <v/>
      </c>
      <c r="Z274" s="10" t="str">
        <f aca="false">""</f>
        <v/>
      </c>
      <c r="AA274" s="10" t="str">
        <f aca="false">""</f>
        <v/>
      </c>
      <c r="AB274" s="10" t="str">
        <f aca="false">""</f>
        <v/>
      </c>
    </row>
    <row r="275" customFormat="false" ht="13.5" hidden="false" customHeight="false" outlineLevel="0" collapsed="false">
      <c r="A275" s="109" t="n">
        <v>275</v>
      </c>
      <c r="B275" s="110" t="str">
        <f aca="false">IFERROR(IF([1]对账明细接口!$B$275=0,"",[1]对账明细接口!$B$275),"")</f>
        <v/>
      </c>
      <c r="C275" s="59" t="str">
        <f aca="false">IFERROR(IF([1]对账明细接口!$C$275=0,"",[1]对账明细接口!$C$275),"")</f>
        <v/>
      </c>
      <c r="D275" s="59" t="str">
        <f aca="false">IFERROR(IF([1]对账明细接口!$D$275=0,"",[1]对账明细接口!$D$275),"")</f>
        <v/>
      </c>
      <c r="E275" s="59" t="str">
        <f aca="false">IFERROR(IF([1]对账明细接口!$E$275=0,"",[1]对账明细接口!$E$275),"")</f>
        <v/>
      </c>
      <c r="F275" s="59" t="str">
        <f aca="false">IFERROR(IF([1]对账明细接口!$F$275=0,"",[1]对账明细接口!$F$275),"")</f>
        <v/>
      </c>
      <c r="G275" s="59" t="str">
        <f aca="false">IFERROR(IF([1]对账明细接口!$G$275=0,"",[1]对账明细接口!$G$275),"")</f>
        <v/>
      </c>
      <c r="H275" s="60" t="str">
        <f aca="false">IFERROR(IF([1]对账明细接口!$H$275=0,"",[1]对账明细接口!$H$275),"")</f>
        <v/>
      </c>
      <c r="I275" s="59" t="str">
        <f aca="false">IFERROR(IF([1]对账明细接口!$I$275=0,"",[1]对账明细接口!$I$275),"")</f>
        <v/>
      </c>
      <c r="J275" s="61" t="str">
        <f aca="false">IFERROR(IF([1]对账明细接口!$J$275=0,"",[1]对账明细接口!$J$275),"")</f>
        <v/>
      </c>
      <c r="K275" s="61" t="str">
        <f aca="false">IFERROR(IF([1]对账明细接口!$K$275=0,"",[1]对账明细接口!$K$275),"")</f>
        <v/>
      </c>
      <c r="L275" s="59" t="str">
        <f aca="false">IFERROR(IF([1]对账明细接口!$L$275=0,"",[1]对账明细接口!$L$275),"")</f>
        <v/>
      </c>
      <c r="M275" s="59" t="str">
        <f aca="false">IFERROR(IF([1]对账明细接口!$M$275=0,"",[1]对账明细接口!$M$275),"")</f>
        <v/>
      </c>
      <c r="N275" s="111" t="n">
        <f aca="false">IF($C275="",0,1)</f>
        <v>0</v>
      </c>
      <c r="O275" s="111" t="n">
        <f aca="false">N(O274)+$N275</f>
        <v>110</v>
      </c>
      <c r="S275" s="10" t="str">
        <f aca="false">IFERROR(IF([1]对账明细接口!$N275=0,"",[1]对账明细接口!$N275),"")</f>
        <v/>
      </c>
      <c r="T275" s="112" t="str">
        <f aca="false">IFERROR(IF([1]对账明细接口!$O275=0,"",[1]对账明细接口!$O275),"")</f>
        <v/>
      </c>
      <c r="U275" s="112" t="str">
        <f aca="false">IFERROR(IF([1]对账明细接口!$P275=0,"",[1]对账明细接口!$P275),"")</f>
        <v/>
      </c>
      <c r="V275" s="112" t="str">
        <f aca="false">IFERROR(IF([1]对账明细接口!$Q275=0,"",[1]对账明细接口!$Q275),"")</f>
        <v/>
      </c>
      <c r="W275" s="10" t="str">
        <f aca="false">IFERROR(IF([1]对账明细接口!$R275=0,"",[1]对账明细接口!$R275),"")</f>
        <v/>
      </c>
      <c r="X275" s="10" t="str">
        <f aca="false">IFERROR(IF([1]对账明细接口!$S275=0,"",[1]对账明细接口!$S275),"")</f>
        <v/>
      </c>
      <c r="Y275" s="10" t="str">
        <f aca="false">""</f>
        <v/>
      </c>
      <c r="Z275" s="10" t="str">
        <f aca="false">""</f>
        <v/>
      </c>
      <c r="AA275" s="10" t="str">
        <f aca="false">""</f>
        <v/>
      </c>
      <c r="AB275" s="10" t="str">
        <f aca="false">""</f>
        <v/>
      </c>
    </row>
    <row r="276" customFormat="false" ht="13.5" hidden="false" customHeight="false" outlineLevel="0" collapsed="false">
      <c r="A276" s="109" t="n">
        <v>276</v>
      </c>
      <c r="B276" s="110" t="str">
        <f aca="false">IFERROR(IF([1]对账明细接口!$B$276=0,"",[1]对账明细接口!$B$276),"")</f>
        <v/>
      </c>
      <c r="C276" s="59" t="str">
        <f aca="false">IFERROR(IF([1]对账明细接口!$C$276=0,"",[1]对账明细接口!$C$276),"")</f>
        <v/>
      </c>
      <c r="D276" s="59" t="str">
        <f aca="false">IFERROR(IF([1]对账明细接口!$D$276=0,"",[1]对账明细接口!$D$276),"")</f>
        <v/>
      </c>
      <c r="E276" s="59" t="str">
        <f aca="false">IFERROR(IF([1]对账明细接口!$E$276=0,"",[1]对账明细接口!$E$276),"")</f>
        <v/>
      </c>
      <c r="F276" s="59" t="str">
        <f aca="false">IFERROR(IF([1]对账明细接口!$F$276=0,"",[1]对账明细接口!$F$276),"")</f>
        <v/>
      </c>
      <c r="G276" s="59" t="str">
        <f aca="false">IFERROR(IF([1]对账明细接口!$G$276=0,"",[1]对账明细接口!$G$276),"")</f>
        <v/>
      </c>
      <c r="H276" s="60" t="str">
        <f aca="false">IFERROR(IF([1]对账明细接口!$H$276=0,"",[1]对账明细接口!$H$276),"")</f>
        <v/>
      </c>
      <c r="I276" s="59" t="str">
        <f aca="false">IFERROR(IF([1]对账明细接口!$I$276=0,"",[1]对账明细接口!$I$276),"")</f>
        <v/>
      </c>
      <c r="J276" s="61" t="str">
        <f aca="false">IFERROR(IF([1]对账明细接口!$J$276=0,"",[1]对账明细接口!$J$276),"")</f>
        <v/>
      </c>
      <c r="K276" s="61" t="str">
        <f aca="false">IFERROR(IF([1]对账明细接口!$K$276=0,"",[1]对账明细接口!$K$276),"")</f>
        <v/>
      </c>
      <c r="L276" s="59" t="str">
        <f aca="false">IFERROR(IF([1]对账明细接口!$L$276=0,"",[1]对账明细接口!$L$276),"")</f>
        <v/>
      </c>
      <c r="M276" s="59" t="str">
        <f aca="false">IFERROR(IF([1]对账明细接口!$M$276=0,"",[1]对账明细接口!$M$276),"")</f>
        <v/>
      </c>
      <c r="N276" s="111" t="n">
        <f aca="false">IF($C276="",0,1)</f>
        <v>0</v>
      </c>
      <c r="O276" s="111" t="n">
        <f aca="false">N(O275)+$N276</f>
        <v>110</v>
      </c>
      <c r="S276" s="10" t="str">
        <f aca="false">IFERROR(IF([1]对账明细接口!$N276=0,"",[1]对账明细接口!$N276),"")</f>
        <v/>
      </c>
      <c r="T276" s="112" t="str">
        <f aca="false">IFERROR(IF([1]对账明细接口!$O276=0,"",[1]对账明细接口!$O276),"")</f>
        <v/>
      </c>
      <c r="U276" s="112" t="str">
        <f aca="false">IFERROR(IF([1]对账明细接口!$P276=0,"",[1]对账明细接口!$P276),"")</f>
        <v/>
      </c>
      <c r="V276" s="112" t="str">
        <f aca="false">IFERROR(IF([1]对账明细接口!$Q276=0,"",[1]对账明细接口!$Q276),"")</f>
        <v/>
      </c>
      <c r="W276" s="10" t="str">
        <f aca="false">IFERROR(IF([1]对账明细接口!$R276=0,"",[1]对账明细接口!$R276),"")</f>
        <v/>
      </c>
      <c r="X276" s="10" t="str">
        <f aca="false">IFERROR(IF([1]对账明细接口!$S276=0,"",[1]对账明细接口!$S276),"")</f>
        <v/>
      </c>
      <c r="Y276" s="10" t="str">
        <f aca="false">""</f>
        <v/>
      </c>
      <c r="Z276" s="10" t="str">
        <f aca="false">""</f>
        <v/>
      </c>
      <c r="AA276" s="10" t="str">
        <f aca="false">""</f>
        <v/>
      </c>
      <c r="AB276" s="10" t="str">
        <f aca="false">""</f>
        <v/>
      </c>
    </row>
    <row r="277" customFormat="false" ht="13.5" hidden="false" customHeight="false" outlineLevel="0" collapsed="false">
      <c r="A277" s="109" t="n">
        <v>277</v>
      </c>
      <c r="B277" s="110" t="str">
        <f aca="false">IFERROR(IF([1]对账明细接口!$B$277=0,"",[1]对账明细接口!$B$277),"")</f>
        <v/>
      </c>
      <c r="C277" s="59" t="str">
        <f aca="false">IFERROR(IF([1]对账明细接口!$C$277=0,"",[1]对账明细接口!$C$277),"")</f>
        <v/>
      </c>
      <c r="D277" s="59" t="str">
        <f aca="false">IFERROR(IF([1]对账明细接口!$D$277=0,"",[1]对账明细接口!$D$277),"")</f>
        <v/>
      </c>
      <c r="E277" s="59" t="str">
        <f aca="false">IFERROR(IF([1]对账明细接口!$E$277=0,"",[1]对账明细接口!$E$277),"")</f>
        <v/>
      </c>
      <c r="F277" s="59" t="str">
        <f aca="false">IFERROR(IF([1]对账明细接口!$F$277=0,"",[1]对账明细接口!$F$277),"")</f>
        <v/>
      </c>
      <c r="G277" s="59" t="str">
        <f aca="false">IFERROR(IF([1]对账明细接口!$G$277=0,"",[1]对账明细接口!$G$277),"")</f>
        <v/>
      </c>
      <c r="H277" s="60" t="str">
        <f aca="false">IFERROR(IF([1]对账明细接口!$H$277=0,"",[1]对账明细接口!$H$277),"")</f>
        <v/>
      </c>
      <c r="I277" s="59" t="str">
        <f aca="false">IFERROR(IF([1]对账明细接口!$I$277=0,"",[1]对账明细接口!$I$277),"")</f>
        <v/>
      </c>
      <c r="J277" s="61" t="str">
        <f aca="false">IFERROR(IF([1]对账明细接口!$J$277=0,"",[1]对账明细接口!$J$277),"")</f>
        <v/>
      </c>
      <c r="K277" s="61" t="str">
        <f aca="false">IFERROR(IF([1]对账明细接口!$K$277=0,"",[1]对账明细接口!$K$277),"")</f>
        <v/>
      </c>
      <c r="L277" s="59" t="str">
        <f aca="false">IFERROR(IF([1]对账明细接口!$L$277=0,"",[1]对账明细接口!$L$277),"")</f>
        <v/>
      </c>
      <c r="M277" s="59" t="str">
        <f aca="false">IFERROR(IF([1]对账明细接口!$M$277=0,"",[1]对账明细接口!$M$277),"")</f>
        <v/>
      </c>
      <c r="N277" s="111" t="n">
        <f aca="false">IF($C277="",0,1)</f>
        <v>0</v>
      </c>
      <c r="O277" s="111" t="n">
        <f aca="false">N(O276)+$N277</f>
        <v>110</v>
      </c>
      <c r="S277" s="10" t="str">
        <f aca="false">IFERROR(IF([1]对账明细接口!$N277=0,"",[1]对账明细接口!$N277),"")</f>
        <v/>
      </c>
      <c r="T277" s="112" t="str">
        <f aca="false">IFERROR(IF([1]对账明细接口!$O277=0,"",[1]对账明细接口!$O277),"")</f>
        <v/>
      </c>
      <c r="U277" s="112" t="str">
        <f aca="false">IFERROR(IF([1]对账明细接口!$P277=0,"",[1]对账明细接口!$P277),"")</f>
        <v/>
      </c>
      <c r="V277" s="112" t="str">
        <f aca="false">IFERROR(IF([1]对账明细接口!$Q277=0,"",[1]对账明细接口!$Q277),"")</f>
        <v/>
      </c>
      <c r="W277" s="10" t="str">
        <f aca="false">IFERROR(IF([1]对账明细接口!$R277=0,"",[1]对账明细接口!$R277),"")</f>
        <v/>
      </c>
      <c r="X277" s="10" t="str">
        <f aca="false">IFERROR(IF([1]对账明细接口!$S277=0,"",[1]对账明细接口!$S277),"")</f>
        <v/>
      </c>
      <c r="Y277" s="10" t="str">
        <f aca="false">""</f>
        <v/>
      </c>
      <c r="Z277" s="10" t="str">
        <f aca="false">""</f>
        <v/>
      </c>
      <c r="AA277" s="10" t="str">
        <f aca="false">""</f>
        <v/>
      </c>
      <c r="AB277" s="10" t="str">
        <f aca="false">""</f>
        <v/>
      </c>
    </row>
    <row r="278" customFormat="false" ht="13.5" hidden="false" customHeight="false" outlineLevel="0" collapsed="false">
      <c r="A278" s="109" t="n">
        <v>278</v>
      </c>
      <c r="B278" s="110" t="str">
        <f aca="false">IFERROR(IF([1]对账明细接口!$B$278=0,"",[1]对账明细接口!$B$278),"")</f>
        <v/>
      </c>
      <c r="C278" s="59" t="str">
        <f aca="false">IFERROR(IF([1]对账明细接口!$C$278=0,"",[1]对账明细接口!$C$278),"")</f>
        <v/>
      </c>
      <c r="D278" s="59" t="str">
        <f aca="false">IFERROR(IF([1]对账明细接口!$D$278=0,"",[1]对账明细接口!$D$278),"")</f>
        <v/>
      </c>
      <c r="E278" s="59" t="str">
        <f aca="false">IFERROR(IF([1]对账明细接口!$E$278=0,"",[1]对账明细接口!$E$278),"")</f>
        <v/>
      </c>
      <c r="F278" s="59" t="str">
        <f aca="false">IFERROR(IF([1]对账明细接口!$F$278=0,"",[1]对账明细接口!$F$278),"")</f>
        <v/>
      </c>
      <c r="G278" s="59" t="str">
        <f aca="false">IFERROR(IF([1]对账明细接口!$G$278=0,"",[1]对账明细接口!$G$278),"")</f>
        <v/>
      </c>
      <c r="H278" s="60" t="str">
        <f aca="false">IFERROR(IF([1]对账明细接口!$H$278=0,"",[1]对账明细接口!$H$278),"")</f>
        <v/>
      </c>
      <c r="I278" s="59" t="str">
        <f aca="false">IFERROR(IF([1]对账明细接口!$I$278=0,"",[1]对账明细接口!$I$278),"")</f>
        <v/>
      </c>
      <c r="J278" s="61" t="str">
        <f aca="false">IFERROR(IF([1]对账明细接口!$J$278=0,"",[1]对账明细接口!$J$278),"")</f>
        <v/>
      </c>
      <c r="K278" s="61" t="str">
        <f aca="false">IFERROR(IF([1]对账明细接口!$K$278=0,"",[1]对账明细接口!$K$278),"")</f>
        <v/>
      </c>
      <c r="L278" s="59" t="str">
        <f aca="false">IFERROR(IF([1]对账明细接口!$L$278=0,"",[1]对账明细接口!$L$278),"")</f>
        <v/>
      </c>
      <c r="M278" s="59" t="str">
        <f aca="false">IFERROR(IF([1]对账明细接口!$M$278=0,"",[1]对账明细接口!$M$278),"")</f>
        <v/>
      </c>
      <c r="N278" s="111" t="n">
        <f aca="false">IF($C278="",0,1)</f>
        <v>0</v>
      </c>
      <c r="O278" s="111" t="n">
        <f aca="false">N(O277)+$N278</f>
        <v>110</v>
      </c>
      <c r="S278" s="10" t="str">
        <f aca="false">IFERROR(IF([1]对账明细接口!$N278=0,"",[1]对账明细接口!$N278),"")</f>
        <v/>
      </c>
      <c r="T278" s="112" t="str">
        <f aca="false">IFERROR(IF([1]对账明细接口!$O278=0,"",[1]对账明细接口!$O278),"")</f>
        <v/>
      </c>
      <c r="U278" s="112" t="str">
        <f aca="false">IFERROR(IF([1]对账明细接口!$P278=0,"",[1]对账明细接口!$P278),"")</f>
        <v/>
      </c>
      <c r="V278" s="112" t="str">
        <f aca="false">IFERROR(IF([1]对账明细接口!$Q278=0,"",[1]对账明细接口!$Q278),"")</f>
        <v/>
      </c>
      <c r="W278" s="10" t="str">
        <f aca="false">IFERROR(IF([1]对账明细接口!$R278=0,"",[1]对账明细接口!$R278),"")</f>
        <v/>
      </c>
      <c r="X278" s="10" t="str">
        <f aca="false">IFERROR(IF([1]对账明细接口!$S278=0,"",[1]对账明细接口!$S278),"")</f>
        <v/>
      </c>
      <c r="Y278" s="10" t="str">
        <f aca="false">""</f>
        <v/>
      </c>
      <c r="Z278" s="10" t="str">
        <f aca="false">""</f>
        <v/>
      </c>
      <c r="AA278" s="10" t="str">
        <f aca="false">""</f>
        <v/>
      </c>
      <c r="AB278" s="10" t="str">
        <f aca="false">""</f>
        <v/>
      </c>
    </row>
    <row r="279" customFormat="false" ht="13.5" hidden="false" customHeight="false" outlineLevel="0" collapsed="false">
      <c r="A279" s="109" t="n">
        <v>279</v>
      </c>
      <c r="B279" s="110" t="str">
        <f aca="false">IFERROR(IF([1]对账明细接口!$B$279=0,"",[1]对账明细接口!$B$279),"")</f>
        <v/>
      </c>
      <c r="C279" s="59" t="str">
        <f aca="false">IFERROR(IF([1]对账明细接口!$C$279=0,"",[1]对账明细接口!$C$279),"")</f>
        <v/>
      </c>
      <c r="D279" s="59" t="str">
        <f aca="false">IFERROR(IF([1]对账明细接口!$D$279=0,"",[1]对账明细接口!$D$279),"")</f>
        <v/>
      </c>
      <c r="E279" s="59" t="str">
        <f aca="false">IFERROR(IF([1]对账明细接口!$E$279=0,"",[1]对账明细接口!$E$279),"")</f>
        <v/>
      </c>
      <c r="F279" s="59" t="str">
        <f aca="false">IFERROR(IF([1]对账明细接口!$F$279=0,"",[1]对账明细接口!$F$279),"")</f>
        <v/>
      </c>
      <c r="G279" s="59" t="str">
        <f aca="false">IFERROR(IF([1]对账明细接口!$G$279=0,"",[1]对账明细接口!$G$279),"")</f>
        <v/>
      </c>
      <c r="H279" s="60" t="str">
        <f aca="false">IFERROR(IF([1]对账明细接口!$H$279=0,"",[1]对账明细接口!$H$279),"")</f>
        <v/>
      </c>
      <c r="I279" s="59" t="str">
        <f aca="false">IFERROR(IF([1]对账明细接口!$I$279=0,"",[1]对账明细接口!$I$279),"")</f>
        <v/>
      </c>
      <c r="J279" s="61" t="str">
        <f aca="false">IFERROR(IF([1]对账明细接口!$J$279=0,"",[1]对账明细接口!$J$279),"")</f>
        <v/>
      </c>
      <c r="K279" s="61" t="str">
        <f aca="false">IFERROR(IF([1]对账明细接口!$K$279=0,"",[1]对账明细接口!$K$279),"")</f>
        <v/>
      </c>
      <c r="L279" s="59" t="str">
        <f aca="false">IFERROR(IF([1]对账明细接口!$L$279=0,"",[1]对账明细接口!$L$279),"")</f>
        <v/>
      </c>
      <c r="M279" s="59" t="str">
        <f aca="false">IFERROR(IF([1]对账明细接口!$M$279=0,"",[1]对账明细接口!$M$279),"")</f>
        <v/>
      </c>
      <c r="N279" s="111" t="n">
        <f aca="false">IF($C279="",0,1)</f>
        <v>0</v>
      </c>
      <c r="O279" s="111" t="n">
        <f aca="false">N(O278)+$N279</f>
        <v>110</v>
      </c>
      <c r="S279" s="10" t="str">
        <f aca="false">IFERROR(IF([1]对账明细接口!$N279=0,"",[1]对账明细接口!$N279),"")</f>
        <v/>
      </c>
      <c r="T279" s="112" t="str">
        <f aca="false">IFERROR(IF([1]对账明细接口!$O279=0,"",[1]对账明细接口!$O279),"")</f>
        <v/>
      </c>
      <c r="U279" s="112" t="str">
        <f aca="false">IFERROR(IF([1]对账明细接口!$P279=0,"",[1]对账明细接口!$P279),"")</f>
        <v/>
      </c>
      <c r="V279" s="112" t="str">
        <f aca="false">IFERROR(IF([1]对账明细接口!$Q279=0,"",[1]对账明细接口!$Q279),"")</f>
        <v/>
      </c>
      <c r="W279" s="10" t="str">
        <f aca="false">IFERROR(IF([1]对账明细接口!$R279=0,"",[1]对账明细接口!$R279),"")</f>
        <v/>
      </c>
      <c r="X279" s="10" t="str">
        <f aca="false">IFERROR(IF([1]对账明细接口!$S279=0,"",[1]对账明细接口!$S279),"")</f>
        <v/>
      </c>
      <c r="Y279" s="10" t="str">
        <f aca="false">""</f>
        <v/>
      </c>
      <c r="Z279" s="10" t="str">
        <f aca="false">""</f>
        <v/>
      </c>
      <c r="AA279" s="10" t="str">
        <f aca="false">""</f>
        <v/>
      </c>
      <c r="AB279" s="10" t="str">
        <f aca="false">""</f>
        <v/>
      </c>
    </row>
    <row r="280" customFormat="false" ht="13.5" hidden="false" customHeight="false" outlineLevel="0" collapsed="false">
      <c r="A280" s="109" t="n">
        <v>280</v>
      </c>
      <c r="B280" s="110" t="str">
        <f aca="false">IFERROR(IF([1]对账明细接口!$B$280=0,"",[1]对账明细接口!$B$280),"")</f>
        <v/>
      </c>
      <c r="C280" s="59" t="str">
        <f aca="false">IFERROR(IF([1]对账明细接口!$C$280=0,"",[1]对账明细接口!$C$280),"")</f>
        <v/>
      </c>
      <c r="D280" s="59" t="str">
        <f aca="false">IFERROR(IF([1]对账明细接口!$D$280=0,"",[1]对账明细接口!$D$280),"")</f>
        <v/>
      </c>
      <c r="E280" s="59" t="str">
        <f aca="false">IFERROR(IF([1]对账明细接口!$E$280=0,"",[1]对账明细接口!$E$280),"")</f>
        <v/>
      </c>
      <c r="F280" s="59" t="str">
        <f aca="false">IFERROR(IF([1]对账明细接口!$F$280=0,"",[1]对账明细接口!$F$280),"")</f>
        <v/>
      </c>
      <c r="G280" s="59" t="str">
        <f aca="false">IFERROR(IF([1]对账明细接口!$G$280=0,"",[1]对账明细接口!$G$280),"")</f>
        <v/>
      </c>
      <c r="H280" s="60" t="str">
        <f aca="false">IFERROR(IF([1]对账明细接口!$H$280=0,"",[1]对账明细接口!$H$280),"")</f>
        <v/>
      </c>
      <c r="I280" s="59" t="str">
        <f aca="false">IFERROR(IF([1]对账明细接口!$I$280=0,"",[1]对账明细接口!$I$280),"")</f>
        <v/>
      </c>
      <c r="J280" s="61" t="str">
        <f aca="false">IFERROR(IF([1]对账明细接口!$J$280=0,"",[1]对账明细接口!$J$280),"")</f>
        <v/>
      </c>
      <c r="K280" s="61" t="str">
        <f aca="false">IFERROR(IF([1]对账明细接口!$K$280=0,"",[1]对账明细接口!$K$280),"")</f>
        <v/>
      </c>
      <c r="L280" s="59" t="str">
        <f aca="false">IFERROR(IF([1]对账明细接口!$L$280=0,"",[1]对账明细接口!$L$280),"")</f>
        <v/>
      </c>
      <c r="M280" s="59" t="str">
        <f aca="false">IFERROR(IF([1]对账明细接口!$M$280=0,"",[1]对账明细接口!$M$280),"")</f>
        <v/>
      </c>
      <c r="N280" s="111" t="n">
        <f aca="false">IF($C280="",0,1)</f>
        <v>0</v>
      </c>
      <c r="O280" s="111" t="n">
        <f aca="false">N(O279)+$N280</f>
        <v>110</v>
      </c>
      <c r="S280" s="10" t="str">
        <f aca="false">IFERROR(IF([1]对账明细接口!$N280=0,"",[1]对账明细接口!$N280),"")</f>
        <v/>
      </c>
      <c r="T280" s="112" t="str">
        <f aca="false">IFERROR(IF([1]对账明细接口!$O280=0,"",[1]对账明细接口!$O280),"")</f>
        <v/>
      </c>
      <c r="U280" s="112" t="str">
        <f aca="false">IFERROR(IF([1]对账明细接口!$P280=0,"",[1]对账明细接口!$P280),"")</f>
        <v/>
      </c>
      <c r="V280" s="112" t="str">
        <f aca="false">IFERROR(IF([1]对账明细接口!$Q280=0,"",[1]对账明细接口!$Q280),"")</f>
        <v/>
      </c>
      <c r="W280" s="10" t="str">
        <f aca="false">IFERROR(IF([1]对账明细接口!$R280=0,"",[1]对账明细接口!$R280),"")</f>
        <v/>
      </c>
      <c r="X280" s="10" t="str">
        <f aca="false">IFERROR(IF([1]对账明细接口!$S280=0,"",[1]对账明细接口!$S280),"")</f>
        <v/>
      </c>
      <c r="Y280" s="10" t="str">
        <f aca="false">""</f>
        <v/>
      </c>
      <c r="Z280" s="10" t="str">
        <f aca="false">""</f>
        <v/>
      </c>
      <c r="AA280" s="10" t="str">
        <f aca="false">""</f>
        <v/>
      </c>
      <c r="AB280" s="10" t="str">
        <f aca="false">""</f>
        <v/>
      </c>
    </row>
    <row r="281" customFormat="false" ht="13.5" hidden="false" customHeight="false" outlineLevel="0" collapsed="false">
      <c r="A281" s="109" t="n">
        <v>281</v>
      </c>
      <c r="B281" s="110" t="str">
        <f aca="false">IFERROR(IF([1]对账明细接口!$B$281=0,"",[1]对账明细接口!$B$281),"")</f>
        <v/>
      </c>
      <c r="C281" s="59" t="str">
        <f aca="false">IFERROR(IF([1]对账明细接口!$C$281=0,"",[1]对账明细接口!$C$281),"")</f>
        <v/>
      </c>
      <c r="D281" s="59" t="str">
        <f aca="false">IFERROR(IF([1]对账明细接口!$D$281=0,"",[1]对账明细接口!$D$281),"")</f>
        <v/>
      </c>
      <c r="E281" s="59" t="str">
        <f aca="false">IFERROR(IF([1]对账明细接口!$E$281=0,"",[1]对账明细接口!$E$281),"")</f>
        <v/>
      </c>
      <c r="F281" s="59" t="str">
        <f aca="false">IFERROR(IF([1]对账明细接口!$F$281=0,"",[1]对账明细接口!$F$281),"")</f>
        <v/>
      </c>
      <c r="G281" s="59" t="str">
        <f aca="false">IFERROR(IF([1]对账明细接口!$G$281=0,"",[1]对账明细接口!$G$281),"")</f>
        <v/>
      </c>
      <c r="H281" s="60" t="str">
        <f aca="false">IFERROR(IF([1]对账明细接口!$H$281=0,"",[1]对账明细接口!$H$281),"")</f>
        <v/>
      </c>
      <c r="I281" s="59" t="str">
        <f aca="false">IFERROR(IF([1]对账明细接口!$I$281=0,"",[1]对账明细接口!$I$281),"")</f>
        <v/>
      </c>
      <c r="J281" s="61" t="str">
        <f aca="false">IFERROR(IF([1]对账明细接口!$J$281=0,"",[1]对账明细接口!$J$281),"")</f>
        <v/>
      </c>
      <c r="K281" s="61" t="str">
        <f aca="false">IFERROR(IF([1]对账明细接口!$K$281=0,"",[1]对账明细接口!$K$281),"")</f>
        <v/>
      </c>
      <c r="L281" s="59" t="str">
        <f aca="false">IFERROR(IF([1]对账明细接口!$L$281=0,"",[1]对账明细接口!$L$281),"")</f>
        <v/>
      </c>
      <c r="M281" s="59" t="str">
        <f aca="false">IFERROR(IF([1]对账明细接口!$M$281=0,"",[1]对账明细接口!$M$281),"")</f>
        <v/>
      </c>
      <c r="N281" s="111" t="n">
        <f aca="false">IF($C281="",0,1)</f>
        <v>0</v>
      </c>
      <c r="O281" s="111" t="n">
        <f aca="false">N(O280)+$N281</f>
        <v>110</v>
      </c>
      <c r="S281" s="10" t="str">
        <f aca="false">IFERROR(IF([1]对账明细接口!$N281=0,"",[1]对账明细接口!$N281),"")</f>
        <v/>
      </c>
      <c r="T281" s="112" t="str">
        <f aca="false">IFERROR(IF([1]对账明细接口!$O281=0,"",[1]对账明细接口!$O281),"")</f>
        <v/>
      </c>
      <c r="U281" s="112" t="str">
        <f aca="false">IFERROR(IF([1]对账明细接口!$P281=0,"",[1]对账明细接口!$P281),"")</f>
        <v/>
      </c>
      <c r="V281" s="112" t="str">
        <f aca="false">IFERROR(IF([1]对账明细接口!$Q281=0,"",[1]对账明细接口!$Q281),"")</f>
        <v/>
      </c>
      <c r="W281" s="10" t="str">
        <f aca="false">IFERROR(IF([1]对账明细接口!$R281=0,"",[1]对账明细接口!$R281),"")</f>
        <v/>
      </c>
      <c r="X281" s="10" t="str">
        <f aca="false">IFERROR(IF([1]对账明细接口!$S281=0,"",[1]对账明细接口!$S281),"")</f>
        <v/>
      </c>
      <c r="Y281" s="10" t="str">
        <f aca="false">""</f>
        <v/>
      </c>
      <c r="Z281" s="10" t="str">
        <f aca="false">""</f>
        <v/>
      </c>
      <c r="AA281" s="10" t="str">
        <f aca="false">""</f>
        <v/>
      </c>
      <c r="AB281" s="10" t="str">
        <f aca="false">""</f>
        <v/>
      </c>
    </row>
    <row r="282" customFormat="false" ht="13.5" hidden="false" customHeight="false" outlineLevel="0" collapsed="false">
      <c r="A282" s="109" t="n">
        <v>282</v>
      </c>
      <c r="B282" s="110" t="str">
        <f aca="false">IFERROR(IF([1]对账明细接口!$B$282=0,"",[1]对账明细接口!$B$282),"")</f>
        <v/>
      </c>
      <c r="C282" s="59" t="str">
        <f aca="false">IFERROR(IF([1]对账明细接口!$C$282=0,"",[1]对账明细接口!$C$282),"")</f>
        <v/>
      </c>
      <c r="D282" s="59" t="str">
        <f aca="false">IFERROR(IF([1]对账明细接口!$D$282=0,"",[1]对账明细接口!$D$282),"")</f>
        <v/>
      </c>
      <c r="E282" s="59" t="str">
        <f aca="false">IFERROR(IF([1]对账明细接口!$E$282=0,"",[1]对账明细接口!$E$282),"")</f>
        <v/>
      </c>
      <c r="F282" s="59" t="str">
        <f aca="false">IFERROR(IF([1]对账明细接口!$F$282=0,"",[1]对账明细接口!$F$282),"")</f>
        <v/>
      </c>
      <c r="G282" s="59" t="str">
        <f aca="false">IFERROR(IF([1]对账明细接口!$G$282=0,"",[1]对账明细接口!$G$282),"")</f>
        <v/>
      </c>
      <c r="H282" s="60" t="str">
        <f aca="false">IFERROR(IF([1]对账明细接口!$H$282=0,"",[1]对账明细接口!$H$282),"")</f>
        <v/>
      </c>
      <c r="I282" s="59" t="str">
        <f aca="false">IFERROR(IF([1]对账明细接口!$I$282=0,"",[1]对账明细接口!$I$282),"")</f>
        <v/>
      </c>
      <c r="J282" s="61" t="str">
        <f aca="false">IFERROR(IF([1]对账明细接口!$J$282=0,"",[1]对账明细接口!$J$282),"")</f>
        <v/>
      </c>
      <c r="K282" s="61" t="str">
        <f aca="false">IFERROR(IF([1]对账明细接口!$K$282=0,"",[1]对账明细接口!$K$282),"")</f>
        <v/>
      </c>
      <c r="L282" s="59" t="str">
        <f aca="false">IFERROR(IF([1]对账明细接口!$L$282=0,"",[1]对账明细接口!$L$282),"")</f>
        <v/>
      </c>
      <c r="M282" s="59" t="str">
        <f aca="false">IFERROR(IF([1]对账明细接口!$M$282=0,"",[1]对账明细接口!$M$282),"")</f>
        <v/>
      </c>
      <c r="N282" s="111" t="n">
        <f aca="false">IF($C282="",0,1)</f>
        <v>0</v>
      </c>
      <c r="O282" s="111" t="n">
        <f aca="false">N(O281)+$N282</f>
        <v>110</v>
      </c>
      <c r="S282" s="10" t="str">
        <f aca="false">IFERROR(IF([1]对账明细接口!$N282=0,"",[1]对账明细接口!$N282),"")</f>
        <v/>
      </c>
      <c r="T282" s="112" t="str">
        <f aca="false">IFERROR(IF([1]对账明细接口!$O282=0,"",[1]对账明细接口!$O282),"")</f>
        <v/>
      </c>
      <c r="U282" s="112" t="str">
        <f aca="false">IFERROR(IF([1]对账明细接口!$P282=0,"",[1]对账明细接口!$P282),"")</f>
        <v/>
      </c>
      <c r="V282" s="112" t="str">
        <f aca="false">IFERROR(IF([1]对账明细接口!$Q282=0,"",[1]对账明细接口!$Q282),"")</f>
        <v/>
      </c>
      <c r="W282" s="10" t="str">
        <f aca="false">IFERROR(IF([1]对账明细接口!$R282=0,"",[1]对账明细接口!$R282),"")</f>
        <v/>
      </c>
      <c r="X282" s="10" t="str">
        <f aca="false">IFERROR(IF([1]对账明细接口!$S282=0,"",[1]对账明细接口!$S282),"")</f>
        <v/>
      </c>
      <c r="Y282" s="10" t="str">
        <f aca="false">""</f>
        <v/>
      </c>
      <c r="Z282" s="10" t="str">
        <f aca="false">""</f>
        <v/>
      </c>
      <c r="AA282" s="10" t="str">
        <f aca="false">""</f>
        <v/>
      </c>
      <c r="AB282" s="10" t="str">
        <f aca="false">""</f>
        <v/>
      </c>
    </row>
    <row r="283" customFormat="false" ht="13.5" hidden="false" customHeight="false" outlineLevel="0" collapsed="false">
      <c r="A283" s="109" t="n">
        <v>283</v>
      </c>
      <c r="B283" s="110" t="str">
        <f aca="false">IFERROR(IF([1]对账明细接口!$B$283=0,"",[1]对账明细接口!$B$283),"")</f>
        <v/>
      </c>
      <c r="C283" s="59" t="str">
        <f aca="false">IFERROR(IF([1]对账明细接口!$C$283=0,"",[1]对账明细接口!$C$283),"")</f>
        <v/>
      </c>
      <c r="D283" s="59" t="str">
        <f aca="false">IFERROR(IF([1]对账明细接口!$D$283=0,"",[1]对账明细接口!$D$283),"")</f>
        <v/>
      </c>
      <c r="E283" s="59" t="str">
        <f aca="false">IFERROR(IF([1]对账明细接口!$E$283=0,"",[1]对账明细接口!$E$283),"")</f>
        <v/>
      </c>
      <c r="F283" s="59" t="str">
        <f aca="false">IFERROR(IF([1]对账明细接口!$F$283=0,"",[1]对账明细接口!$F$283),"")</f>
        <v/>
      </c>
      <c r="G283" s="59" t="str">
        <f aca="false">IFERROR(IF([1]对账明细接口!$G$283=0,"",[1]对账明细接口!$G$283),"")</f>
        <v/>
      </c>
      <c r="H283" s="60" t="str">
        <f aca="false">IFERROR(IF([1]对账明细接口!$H$283=0,"",[1]对账明细接口!$H$283),"")</f>
        <v/>
      </c>
      <c r="I283" s="59" t="str">
        <f aca="false">IFERROR(IF([1]对账明细接口!$I$283=0,"",[1]对账明细接口!$I$283),"")</f>
        <v/>
      </c>
      <c r="J283" s="61" t="str">
        <f aca="false">IFERROR(IF([1]对账明细接口!$J$283=0,"",[1]对账明细接口!$J$283),"")</f>
        <v/>
      </c>
      <c r="K283" s="61" t="str">
        <f aca="false">IFERROR(IF([1]对账明细接口!$K$283=0,"",[1]对账明细接口!$K$283),"")</f>
        <v/>
      </c>
      <c r="L283" s="59" t="str">
        <f aca="false">IFERROR(IF([1]对账明细接口!$L$283=0,"",[1]对账明细接口!$L$283),"")</f>
        <v/>
      </c>
      <c r="M283" s="59" t="str">
        <f aca="false">IFERROR(IF([1]对账明细接口!$M$283=0,"",[1]对账明细接口!$M$283),"")</f>
        <v/>
      </c>
      <c r="N283" s="111" t="n">
        <f aca="false">IF($C283="",0,1)</f>
        <v>0</v>
      </c>
      <c r="O283" s="111" t="n">
        <f aca="false">N(O282)+$N283</f>
        <v>110</v>
      </c>
      <c r="S283" s="10" t="str">
        <f aca="false">IFERROR(IF([1]对账明细接口!$N283=0,"",[1]对账明细接口!$N283),"")</f>
        <v/>
      </c>
      <c r="T283" s="112" t="str">
        <f aca="false">IFERROR(IF([1]对账明细接口!$O283=0,"",[1]对账明细接口!$O283),"")</f>
        <v/>
      </c>
      <c r="U283" s="112" t="str">
        <f aca="false">IFERROR(IF([1]对账明细接口!$P283=0,"",[1]对账明细接口!$P283),"")</f>
        <v/>
      </c>
      <c r="V283" s="112" t="str">
        <f aca="false">IFERROR(IF([1]对账明细接口!$Q283=0,"",[1]对账明细接口!$Q283),"")</f>
        <v/>
      </c>
      <c r="W283" s="10" t="str">
        <f aca="false">IFERROR(IF([1]对账明细接口!$R283=0,"",[1]对账明细接口!$R283),"")</f>
        <v/>
      </c>
      <c r="X283" s="10" t="str">
        <f aca="false">IFERROR(IF([1]对账明细接口!$S283=0,"",[1]对账明细接口!$S283),"")</f>
        <v/>
      </c>
      <c r="Y283" s="10" t="str">
        <f aca="false">""</f>
        <v/>
      </c>
      <c r="Z283" s="10" t="str">
        <f aca="false">""</f>
        <v/>
      </c>
      <c r="AA283" s="10" t="str">
        <f aca="false">""</f>
        <v/>
      </c>
      <c r="AB283" s="10" t="str">
        <f aca="false">""</f>
        <v/>
      </c>
    </row>
    <row r="284" customFormat="false" ht="13.5" hidden="false" customHeight="false" outlineLevel="0" collapsed="false">
      <c r="A284" s="109" t="n">
        <v>284</v>
      </c>
      <c r="B284" s="110" t="str">
        <f aca="false">IFERROR(IF([1]对账明细接口!$B$284=0,"",[1]对账明细接口!$B$284),"")</f>
        <v/>
      </c>
      <c r="C284" s="59" t="str">
        <f aca="false">IFERROR(IF([1]对账明细接口!$C$284=0,"",[1]对账明细接口!$C$284),"")</f>
        <v/>
      </c>
      <c r="D284" s="59" t="str">
        <f aca="false">IFERROR(IF([1]对账明细接口!$D$284=0,"",[1]对账明细接口!$D$284),"")</f>
        <v/>
      </c>
      <c r="E284" s="59" t="str">
        <f aca="false">IFERROR(IF([1]对账明细接口!$E$284=0,"",[1]对账明细接口!$E$284),"")</f>
        <v/>
      </c>
      <c r="F284" s="59" t="str">
        <f aca="false">IFERROR(IF([1]对账明细接口!$F$284=0,"",[1]对账明细接口!$F$284),"")</f>
        <v/>
      </c>
      <c r="G284" s="59" t="str">
        <f aca="false">IFERROR(IF([1]对账明细接口!$G$284=0,"",[1]对账明细接口!$G$284),"")</f>
        <v/>
      </c>
      <c r="H284" s="60" t="str">
        <f aca="false">IFERROR(IF([1]对账明细接口!$H$284=0,"",[1]对账明细接口!$H$284),"")</f>
        <v/>
      </c>
      <c r="I284" s="59" t="str">
        <f aca="false">IFERROR(IF([1]对账明细接口!$I$284=0,"",[1]对账明细接口!$I$284),"")</f>
        <v/>
      </c>
      <c r="J284" s="61" t="str">
        <f aca="false">IFERROR(IF([1]对账明细接口!$J$284=0,"",[1]对账明细接口!$J$284),"")</f>
        <v/>
      </c>
      <c r="K284" s="61" t="str">
        <f aca="false">IFERROR(IF([1]对账明细接口!$K$284=0,"",[1]对账明细接口!$K$284),"")</f>
        <v/>
      </c>
      <c r="L284" s="59" t="str">
        <f aca="false">IFERROR(IF([1]对账明细接口!$L$284=0,"",[1]对账明细接口!$L$284),"")</f>
        <v/>
      </c>
      <c r="M284" s="59" t="str">
        <f aca="false">IFERROR(IF([1]对账明细接口!$M$284=0,"",[1]对账明细接口!$M$284),"")</f>
        <v/>
      </c>
      <c r="N284" s="111" t="n">
        <f aca="false">IF($C284="",0,1)</f>
        <v>0</v>
      </c>
      <c r="O284" s="111" t="n">
        <f aca="false">N(O283)+$N284</f>
        <v>110</v>
      </c>
      <c r="S284" s="10" t="str">
        <f aca="false">IFERROR(IF([1]对账明细接口!$N284=0,"",[1]对账明细接口!$N284),"")</f>
        <v/>
      </c>
      <c r="T284" s="112" t="str">
        <f aca="false">IFERROR(IF([1]对账明细接口!$O284=0,"",[1]对账明细接口!$O284),"")</f>
        <v/>
      </c>
      <c r="U284" s="112" t="str">
        <f aca="false">IFERROR(IF([1]对账明细接口!$P284=0,"",[1]对账明细接口!$P284),"")</f>
        <v/>
      </c>
      <c r="V284" s="112" t="str">
        <f aca="false">IFERROR(IF([1]对账明细接口!$Q284=0,"",[1]对账明细接口!$Q284),"")</f>
        <v/>
      </c>
      <c r="W284" s="10" t="str">
        <f aca="false">IFERROR(IF([1]对账明细接口!$R284=0,"",[1]对账明细接口!$R284),"")</f>
        <v/>
      </c>
      <c r="X284" s="10" t="str">
        <f aca="false">IFERROR(IF([1]对账明细接口!$S284=0,"",[1]对账明细接口!$S284),"")</f>
        <v/>
      </c>
      <c r="Y284" s="10" t="str">
        <f aca="false">""</f>
        <v/>
      </c>
      <c r="Z284" s="10" t="str">
        <f aca="false">""</f>
        <v/>
      </c>
      <c r="AA284" s="10" t="str">
        <f aca="false">""</f>
        <v/>
      </c>
      <c r="AB284" s="10" t="str">
        <f aca="false">""</f>
        <v/>
      </c>
    </row>
    <row r="285" customFormat="false" ht="13.5" hidden="false" customHeight="false" outlineLevel="0" collapsed="false">
      <c r="A285" s="109" t="n">
        <v>285</v>
      </c>
      <c r="B285" s="110" t="str">
        <f aca="false">IFERROR(IF([1]对账明细接口!$B$285=0,"",[1]对账明细接口!$B$285),"")</f>
        <v/>
      </c>
      <c r="C285" s="59" t="str">
        <f aca="false">IFERROR(IF([1]对账明细接口!$C$285=0,"",[1]对账明细接口!$C$285),"")</f>
        <v/>
      </c>
      <c r="D285" s="59" t="str">
        <f aca="false">IFERROR(IF([1]对账明细接口!$D$285=0,"",[1]对账明细接口!$D$285),"")</f>
        <v/>
      </c>
      <c r="E285" s="59" t="str">
        <f aca="false">IFERROR(IF([1]对账明细接口!$E$285=0,"",[1]对账明细接口!$E$285),"")</f>
        <v/>
      </c>
      <c r="F285" s="59" t="str">
        <f aca="false">IFERROR(IF([1]对账明细接口!$F$285=0,"",[1]对账明细接口!$F$285),"")</f>
        <v/>
      </c>
      <c r="G285" s="59" t="str">
        <f aca="false">IFERROR(IF([1]对账明细接口!$G$285=0,"",[1]对账明细接口!$G$285),"")</f>
        <v/>
      </c>
      <c r="H285" s="60" t="str">
        <f aca="false">IFERROR(IF([1]对账明细接口!$H$285=0,"",[1]对账明细接口!$H$285),"")</f>
        <v/>
      </c>
      <c r="I285" s="59" t="str">
        <f aca="false">IFERROR(IF([1]对账明细接口!$I$285=0,"",[1]对账明细接口!$I$285),"")</f>
        <v/>
      </c>
      <c r="J285" s="61" t="str">
        <f aca="false">IFERROR(IF([1]对账明细接口!$J$285=0,"",[1]对账明细接口!$J$285),"")</f>
        <v/>
      </c>
      <c r="K285" s="61" t="str">
        <f aca="false">IFERROR(IF([1]对账明细接口!$K$285=0,"",[1]对账明细接口!$K$285),"")</f>
        <v/>
      </c>
      <c r="L285" s="59" t="str">
        <f aca="false">IFERROR(IF([1]对账明细接口!$L$285=0,"",[1]对账明细接口!$L$285),"")</f>
        <v/>
      </c>
      <c r="M285" s="59" t="str">
        <f aca="false">IFERROR(IF([1]对账明细接口!$M$285=0,"",[1]对账明细接口!$M$285),"")</f>
        <v/>
      </c>
      <c r="N285" s="111" t="n">
        <f aca="false">IF($C285="",0,1)</f>
        <v>0</v>
      </c>
      <c r="O285" s="111" t="n">
        <f aca="false">N(O284)+$N285</f>
        <v>110</v>
      </c>
      <c r="S285" s="10" t="str">
        <f aca="false">IFERROR(IF([1]对账明细接口!$N285=0,"",[1]对账明细接口!$N285),"")</f>
        <v/>
      </c>
      <c r="T285" s="112" t="str">
        <f aca="false">IFERROR(IF([1]对账明细接口!$O285=0,"",[1]对账明细接口!$O285),"")</f>
        <v/>
      </c>
      <c r="U285" s="112" t="str">
        <f aca="false">IFERROR(IF([1]对账明细接口!$P285=0,"",[1]对账明细接口!$P285),"")</f>
        <v/>
      </c>
      <c r="V285" s="112" t="str">
        <f aca="false">IFERROR(IF([1]对账明细接口!$Q285=0,"",[1]对账明细接口!$Q285),"")</f>
        <v/>
      </c>
      <c r="W285" s="10" t="str">
        <f aca="false">IFERROR(IF([1]对账明细接口!$R285=0,"",[1]对账明细接口!$R285),"")</f>
        <v/>
      </c>
      <c r="X285" s="10" t="str">
        <f aca="false">IFERROR(IF([1]对账明细接口!$S285=0,"",[1]对账明细接口!$S285),"")</f>
        <v/>
      </c>
      <c r="Y285" s="10" t="str">
        <f aca="false">""</f>
        <v/>
      </c>
      <c r="Z285" s="10" t="str">
        <f aca="false">""</f>
        <v/>
      </c>
      <c r="AA285" s="10" t="str">
        <f aca="false">""</f>
        <v/>
      </c>
      <c r="AB285" s="10" t="str">
        <f aca="false">""</f>
        <v/>
      </c>
    </row>
    <row r="286" customFormat="false" ht="13.5" hidden="false" customHeight="false" outlineLevel="0" collapsed="false">
      <c r="A286" s="109" t="n">
        <v>286</v>
      </c>
      <c r="B286" s="110" t="str">
        <f aca="false">IFERROR(IF([1]对账明细接口!$B$286=0,"",[1]对账明细接口!$B$286),"")</f>
        <v/>
      </c>
      <c r="C286" s="59" t="str">
        <f aca="false">IFERROR(IF([1]对账明细接口!$C$286=0,"",[1]对账明细接口!$C$286),"")</f>
        <v/>
      </c>
      <c r="D286" s="59" t="str">
        <f aca="false">IFERROR(IF([1]对账明细接口!$D$286=0,"",[1]对账明细接口!$D$286),"")</f>
        <v/>
      </c>
      <c r="E286" s="59" t="str">
        <f aca="false">IFERROR(IF([1]对账明细接口!$E$286=0,"",[1]对账明细接口!$E$286),"")</f>
        <v/>
      </c>
      <c r="F286" s="59" t="str">
        <f aca="false">IFERROR(IF([1]对账明细接口!$F$286=0,"",[1]对账明细接口!$F$286),"")</f>
        <v/>
      </c>
      <c r="G286" s="59" t="str">
        <f aca="false">IFERROR(IF([1]对账明细接口!$G$286=0,"",[1]对账明细接口!$G$286),"")</f>
        <v/>
      </c>
      <c r="H286" s="60" t="str">
        <f aca="false">IFERROR(IF([1]对账明细接口!$H$286=0,"",[1]对账明细接口!$H$286),"")</f>
        <v/>
      </c>
      <c r="I286" s="59" t="str">
        <f aca="false">IFERROR(IF([1]对账明细接口!$I$286=0,"",[1]对账明细接口!$I$286),"")</f>
        <v/>
      </c>
      <c r="J286" s="61" t="str">
        <f aca="false">IFERROR(IF([1]对账明细接口!$J$286=0,"",[1]对账明细接口!$J$286),"")</f>
        <v/>
      </c>
      <c r="K286" s="61" t="str">
        <f aca="false">IFERROR(IF([1]对账明细接口!$K$286=0,"",[1]对账明细接口!$K$286),"")</f>
        <v/>
      </c>
      <c r="L286" s="59" t="str">
        <f aca="false">IFERROR(IF([1]对账明细接口!$L$286=0,"",[1]对账明细接口!$L$286),"")</f>
        <v/>
      </c>
      <c r="M286" s="59" t="str">
        <f aca="false">IFERROR(IF([1]对账明细接口!$M$286=0,"",[1]对账明细接口!$M$286),"")</f>
        <v/>
      </c>
      <c r="N286" s="111" t="n">
        <f aca="false">IF($C286="",0,1)</f>
        <v>0</v>
      </c>
      <c r="O286" s="111" t="n">
        <f aca="false">N(O285)+$N286</f>
        <v>110</v>
      </c>
      <c r="S286" s="10" t="str">
        <f aca="false">IFERROR(IF([1]对账明细接口!$N286=0,"",[1]对账明细接口!$N286),"")</f>
        <v/>
      </c>
      <c r="T286" s="112" t="str">
        <f aca="false">IFERROR(IF([1]对账明细接口!$O286=0,"",[1]对账明细接口!$O286),"")</f>
        <v/>
      </c>
      <c r="U286" s="112" t="str">
        <f aca="false">IFERROR(IF([1]对账明细接口!$P286=0,"",[1]对账明细接口!$P286),"")</f>
        <v/>
      </c>
      <c r="V286" s="112" t="str">
        <f aca="false">IFERROR(IF([1]对账明细接口!$Q286=0,"",[1]对账明细接口!$Q286),"")</f>
        <v/>
      </c>
      <c r="W286" s="10" t="str">
        <f aca="false">IFERROR(IF([1]对账明细接口!$R286=0,"",[1]对账明细接口!$R286),"")</f>
        <v/>
      </c>
      <c r="X286" s="10" t="str">
        <f aca="false">IFERROR(IF([1]对账明细接口!$S286=0,"",[1]对账明细接口!$S286),"")</f>
        <v/>
      </c>
      <c r="Y286" s="10" t="str">
        <f aca="false">""</f>
        <v/>
      </c>
      <c r="Z286" s="10" t="str">
        <f aca="false">""</f>
        <v/>
      </c>
      <c r="AA286" s="10" t="str">
        <f aca="false">""</f>
        <v/>
      </c>
      <c r="AB286" s="10" t="str">
        <f aca="false">""</f>
        <v/>
      </c>
    </row>
    <row r="287" customFormat="false" ht="13.5" hidden="false" customHeight="false" outlineLevel="0" collapsed="false">
      <c r="A287" s="109" t="n">
        <v>287</v>
      </c>
      <c r="B287" s="110" t="str">
        <f aca="false">IFERROR(IF([1]对账明细接口!$B$287=0,"",[1]对账明细接口!$B$287),"")</f>
        <v/>
      </c>
      <c r="C287" s="59" t="str">
        <f aca="false">IFERROR(IF([1]对账明细接口!$C$287=0,"",[1]对账明细接口!$C$287),"")</f>
        <v/>
      </c>
      <c r="D287" s="59" t="str">
        <f aca="false">IFERROR(IF([1]对账明细接口!$D$287=0,"",[1]对账明细接口!$D$287),"")</f>
        <v/>
      </c>
      <c r="E287" s="59" t="str">
        <f aca="false">IFERROR(IF([1]对账明细接口!$E$287=0,"",[1]对账明细接口!$E$287),"")</f>
        <v/>
      </c>
      <c r="F287" s="59" t="str">
        <f aca="false">IFERROR(IF([1]对账明细接口!$F$287=0,"",[1]对账明细接口!$F$287),"")</f>
        <v/>
      </c>
      <c r="G287" s="59" t="str">
        <f aca="false">IFERROR(IF([1]对账明细接口!$G$287=0,"",[1]对账明细接口!$G$287),"")</f>
        <v/>
      </c>
      <c r="H287" s="60" t="str">
        <f aca="false">IFERROR(IF([1]对账明细接口!$H$287=0,"",[1]对账明细接口!$H$287),"")</f>
        <v/>
      </c>
      <c r="I287" s="59" t="str">
        <f aca="false">IFERROR(IF([1]对账明细接口!$I$287=0,"",[1]对账明细接口!$I$287),"")</f>
        <v/>
      </c>
      <c r="J287" s="61" t="str">
        <f aca="false">IFERROR(IF([1]对账明细接口!$J$287=0,"",[1]对账明细接口!$J$287),"")</f>
        <v/>
      </c>
      <c r="K287" s="61" t="str">
        <f aca="false">IFERROR(IF([1]对账明细接口!$K$287=0,"",[1]对账明细接口!$K$287),"")</f>
        <v/>
      </c>
      <c r="L287" s="59" t="str">
        <f aca="false">IFERROR(IF([1]对账明细接口!$L$287=0,"",[1]对账明细接口!$L$287),"")</f>
        <v/>
      </c>
      <c r="M287" s="59" t="str">
        <f aca="false">IFERROR(IF([1]对账明细接口!$M$287=0,"",[1]对账明细接口!$M$287),"")</f>
        <v/>
      </c>
      <c r="N287" s="111" t="n">
        <f aca="false">IF($C287="",0,1)</f>
        <v>0</v>
      </c>
      <c r="O287" s="111" t="n">
        <f aca="false">N(O286)+$N287</f>
        <v>110</v>
      </c>
      <c r="S287" s="10" t="str">
        <f aca="false">IFERROR(IF([1]对账明细接口!$N287=0,"",[1]对账明细接口!$N287),"")</f>
        <v/>
      </c>
      <c r="T287" s="112" t="str">
        <f aca="false">IFERROR(IF([1]对账明细接口!$O287=0,"",[1]对账明细接口!$O287),"")</f>
        <v/>
      </c>
      <c r="U287" s="112" t="str">
        <f aca="false">IFERROR(IF([1]对账明细接口!$P287=0,"",[1]对账明细接口!$P287),"")</f>
        <v/>
      </c>
      <c r="V287" s="112" t="str">
        <f aca="false">IFERROR(IF([1]对账明细接口!$Q287=0,"",[1]对账明细接口!$Q287),"")</f>
        <v/>
      </c>
      <c r="W287" s="10" t="str">
        <f aca="false">IFERROR(IF([1]对账明细接口!$R287=0,"",[1]对账明细接口!$R287),"")</f>
        <v/>
      </c>
      <c r="X287" s="10" t="str">
        <f aca="false">IFERROR(IF([1]对账明细接口!$S287=0,"",[1]对账明细接口!$S287),"")</f>
        <v/>
      </c>
      <c r="Y287" s="10" t="str">
        <f aca="false">""</f>
        <v/>
      </c>
      <c r="Z287" s="10" t="str">
        <f aca="false">""</f>
        <v/>
      </c>
      <c r="AA287" s="10" t="str">
        <f aca="false">""</f>
        <v/>
      </c>
      <c r="AB287" s="10" t="str">
        <f aca="false">""</f>
        <v/>
      </c>
    </row>
    <row r="288" customFormat="false" ht="13.5" hidden="false" customHeight="false" outlineLevel="0" collapsed="false">
      <c r="A288" s="109" t="n">
        <v>288</v>
      </c>
      <c r="B288" s="110" t="str">
        <f aca="false">IFERROR(IF([1]对账明细接口!$B$288=0,"",[1]对账明细接口!$B$288),"")</f>
        <v/>
      </c>
      <c r="C288" s="59" t="str">
        <f aca="false">IFERROR(IF([1]对账明细接口!$C$288=0,"",[1]对账明细接口!$C$288),"")</f>
        <v/>
      </c>
      <c r="D288" s="59" t="str">
        <f aca="false">IFERROR(IF([1]对账明细接口!$D$288=0,"",[1]对账明细接口!$D$288),"")</f>
        <v/>
      </c>
      <c r="E288" s="59" t="str">
        <f aca="false">IFERROR(IF([1]对账明细接口!$E$288=0,"",[1]对账明细接口!$E$288),"")</f>
        <v/>
      </c>
      <c r="F288" s="59" t="str">
        <f aca="false">IFERROR(IF([1]对账明细接口!$F$288=0,"",[1]对账明细接口!$F$288),"")</f>
        <v/>
      </c>
      <c r="G288" s="59" t="str">
        <f aca="false">IFERROR(IF([1]对账明细接口!$G$288=0,"",[1]对账明细接口!$G$288),"")</f>
        <v/>
      </c>
      <c r="H288" s="60" t="str">
        <f aca="false">IFERROR(IF([1]对账明细接口!$H$288=0,"",[1]对账明细接口!$H$288),"")</f>
        <v/>
      </c>
      <c r="I288" s="59" t="str">
        <f aca="false">IFERROR(IF([1]对账明细接口!$I$288=0,"",[1]对账明细接口!$I$288),"")</f>
        <v/>
      </c>
      <c r="J288" s="61" t="str">
        <f aca="false">IFERROR(IF([1]对账明细接口!$J$288=0,"",[1]对账明细接口!$J$288),"")</f>
        <v/>
      </c>
      <c r="K288" s="61" t="str">
        <f aca="false">IFERROR(IF([1]对账明细接口!$K$288=0,"",[1]对账明细接口!$K$288),"")</f>
        <v/>
      </c>
      <c r="L288" s="59" t="str">
        <f aca="false">IFERROR(IF([1]对账明细接口!$L$288=0,"",[1]对账明细接口!$L$288),"")</f>
        <v/>
      </c>
      <c r="M288" s="59" t="str">
        <f aca="false">IFERROR(IF([1]对账明细接口!$M$288=0,"",[1]对账明细接口!$M$288),"")</f>
        <v/>
      </c>
      <c r="N288" s="111" t="n">
        <f aca="false">IF($C288="",0,1)</f>
        <v>0</v>
      </c>
      <c r="O288" s="111" t="n">
        <f aca="false">N(O287)+$N288</f>
        <v>110</v>
      </c>
      <c r="S288" s="10" t="str">
        <f aca="false">IFERROR(IF([1]对账明细接口!$N288=0,"",[1]对账明细接口!$N288),"")</f>
        <v/>
      </c>
      <c r="T288" s="112" t="str">
        <f aca="false">IFERROR(IF([1]对账明细接口!$O288=0,"",[1]对账明细接口!$O288),"")</f>
        <v/>
      </c>
      <c r="U288" s="112" t="str">
        <f aca="false">IFERROR(IF([1]对账明细接口!$P288=0,"",[1]对账明细接口!$P288),"")</f>
        <v/>
      </c>
      <c r="V288" s="112" t="str">
        <f aca="false">IFERROR(IF([1]对账明细接口!$Q288=0,"",[1]对账明细接口!$Q288),"")</f>
        <v/>
      </c>
      <c r="W288" s="10" t="str">
        <f aca="false">IFERROR(IF([1]对账明细接口!$R288=0,"",[1]对账明细接口!$R288),"")</f>
        <v/>
      </c>
      <c r="X288" s="10" t="str">
        <f aca="false">IFERROR(IF([1]对账明细接口!$S288=0,"",[1]对账明细接口!$S288),"")</f>
        <v/>
      </c>
      <c r="Y288" s="10" t="str">
        <f aca="false">""</f>
        <v/>
      </c>
      <c r="Z288" s="10" t="str">
        <f aca="false">""</f>
        <v/>
      </c>
      <c r="AA288" s="10" t="str">
        <f aca="false">""</f>
        <v/>
      </c>
      <c r="AB288" s="10" t="str">
        <f aca="false">""</f>
        <v/>
      </c>
    </row>
    <row r="289" customFormat="false" ht="13.5" hidden="false" customHeight="false" outlineLevel="0" collapsed="false">
      <c r="A289" s="109" t="n">
        <v>289</v>
      </c>
      <c r="B289" s="110" t="str">
        <f aca="false">IFERROR(IF([1]对账明细接口!$B$289=0,"",[1]对账明细接口!$B$289),"")</f>
        <v/>
      </c>
      <c r="C289" s="59" t="str">
        <f aca="false">IFERROR(IF([1]对账明细接口!$C$289=0,"",[1]对账明细接口!$C$289),"")</f>
        <v/>
      </c>
      <c r="D289" s="59" t="str">
        <f aca="false">IFERROR(IF([1]对账明细接口!$D$289=0,"",[1]对账明细接口!$D$289),"")</f>
        <v/>
      </c>
      <c r="E289" s="59" t="str">
        <f aca="false">IFERROR(IF([1]对账明细接口!$E$289=0,"",[1]对账明细接口!$E$289),"")</f>
        <v/>
      </c>
      <c r="F289" s="59" t="str">
        <f aca="false">IFERROR(IF([1]对账明细接口!$F$289=0,"",[1]对账明细接口!$F$289),"")</f>
        <v/>
      </c>
      <c r="G289" s="59" t="str">
        <f aca="false">IFERROR(IF([1]对账明细接口!$G$289=0,"",[1]对账明细接口!$G$289),"")</f>
        <v/>
      </c>
      <c r="H289" s="60" t="str">
        <f aca="false">IFERROR(IF([1]对账明细接口!$H$289=0,"",[1]对账明细接口!$H$289),"")</f>
        <v/>
      </c>
      <c r="I289" s="59" t="str">
        <f aca="false">IFERROR(IF([1]对账明细接口!$I$289=0,"",[1]对账明细接口!$I$289),"")</f>
        <v/>
      </c>
      <c r="J289" s="61" t="str">
        <f aca="false">IFERROR(IF([1]对账明细接口!$J$289=0,"",[1]对账明细接口!$J$289),"")</f>
        <v/>
      </c>
      <c r="K289" s="61" t="str">
        <f aca="false">IFERROR(IF([1]对账明细接口!$K$289=0,"",[1]对账明细接口!$K$289),"")</f>
        <v/>
      </c>
      <c r="L289" s="59" t="str">
        <f aca="false">IFERROR(IF([1]对账明细接口!$L$289=0,"",[1]对账明细接口!$L$289),"")</f>
        <v/>
      </c>
      <c r="M289" s="59" t="str">
        <f aca="false">IFERROR(IF([1]对账明细接口!$M$289=0,"",[1]对账明细接口!$M$289),"")</f>
        <v/>
      </c>
      <c r="N289" s="111" t="n">
        <f aca="false">IF($C289="",0,1)</f>
        <v>0</v>
      </c>
      <c r="O289" s="111" t="n">
        <f aca="false">N(O288)+$N289</f>
        <v>110</v>
      </c>
      <c r="S289" s="10" t="str">
        <f aca="false">IFERROR(IF([1]对账明细接口!$N289=0,"",[1]对账明细接口!$N289),"")</f>
        <v/>
      </c>
      <c r="T289" s="112" t="str">
        <f aca="false">IFERROR(IF([1]对账明细接口!$O289=0,"",[1]对账明细接口!$O289),"")</f>
        <v/>
      </c>
      <c r="U289" s="112" t="str">
        <f aca="false">IFERROR(IF([1]对账明细接口!$P289=0,"",[1]对账明细接口!$P289),"")</f>
        <v/>
      </c>
      <c r="V289" s="112" t="str">
        <f aca="false">IFERROR(IF([1]对账明细接口!$Q289=0,"",[1]对账明细接口!$Q289),"")</f>
        <v/>
      </c>
      <c r="W289" s="10" t="str">
        <f aca="false">IFERROR(IF([1]对账明细接口!$R289=0,"",[1]对账明细接口!$R289),"")</f>
        <v/>
      </c>
      <c r="X289" s="10" t="str">
        <f aca="false">IFERROR(IF([1]对账明细接口!$S289=0,"",[1]对账明细接口!$S289),"")</f>
        <v/>
      </c>
      <c r="Y289" s="10" t="str">
        <f aca="false">""</f>
        <v/>
      </c>
      <c r="Z289" s="10" t="str">
        <f aca="false">""</f>
        <v/>
      </c>
      <c r="AA289" s="10" t="str">
        <f aca="false">""</f>
        <v/>
      </c>
      <c r="AB289" s="10" t="str">
        <f aca="false">""</f>
        <v/>
      </c>
    </row>
    <row r="290" customFormat="false" ht="13.5" hidden="false" customHeight="false" outlineLevel="0" collapsed="false">
      <c r="A290" s="109" t="n">
        <v>290</v>
      </c>
      <c r="B290" s="110" t="str">
        <f aca="false">IFERROR(IF([1]对账明细接口!$B$290=0,"",[1]对账明细接口!$B$290),"")</f>
        <v/>
      </c>
      <c r="C290" s="59" t="str">
        <f aca="false">IFERROR(IF([1]对账明细接口!$C$290=0,"",[1]对账明细接口!$C$290),"")</f>
        <v/>
      </c>
      <c r="D290" s="59" t="str">
        <f aca="false">IFERROR(IF([1]对账明细接口!$D$290=0,"",[1]对账明细接口!$D$290),"")</f>
        <v/>
      </c>
      <c r="E290" s="59" t="str">
        <f aca="false">IFERROR(IF([1]对账明细接口!$E$290=0,"",[1]对账明细接口!$E$290),"")</f>
        <v/>
      </c>
      <c r="F290" s="59" t="str">
        <f aca="false">IFERROR(IF([1]对账明细接口!$F$290=0,"",[1]对账明细接口!$F$290),"")</f>
        <v/>
      </c>
      <c r="G290" s="59" t="str">
        <f aca="false">IFERROR(IF([1]对账明细接口!$G$290=0,"",[1]对账明细接口!$G$290),"")</f>
        <v/>
      </c>
      <c r="H290" s="60" t="str">
        <f aca="false">IFERROR(IF([1]对账明细接口!$H$290=0,"",[1]对账明细接口!$H$290),"")</f>
        <v/>
      </c>
      <c r="I290" s="59" t="str">
        <f aca="false">IFERROR(IF([1]对账明细接口!$I$290=0,"",[1]对账明细接口!$I$290),"")</f>
        <v/>
      </c>
      <c r="J290" s="61" t="str">
        <f aca="false">IFERROR(IF([1]对账明细接口!$J$290=0,"",[1]对账明细接口!$J$290),"")</f>
        <v/>
      </c>
      <c r="K290" s="61" t="str">
        <f aca="false">IFERROR(IF([1]对账明细接口!$K$290=0,"",[1]对账明细接口!$K$290),"")</f>
        <v/>
      </c>
      <c r="L290" s="59" t="str">
        <f aca="false">IFERROR(IF([1]对账明细接口!$L$290=0,"",[1]对账明细接口!$L$290),"")</f>
        <v/>
      </c>
      <c r="M290" s="59" t="str">
        <f aca="false">IFERROR(IF([1]对账明细接口!$M$290=0,"",[1]对账明细接口!$M$290),"")</f>
        <v/>
      </c>
      <c r="N290" s="111" t="n">
        <f aca="false">IF($C290="",0,1)</f>
        <v>0</v>
      </c>
      <c r="O290" s="111" t="n">
        <f aca="false">N(O289)+$N290</f>
        <v>110</v>
      </c>
      <c r="S290" s="10" t="str">
        <f aca="false">IFERROR(IF([1]对账明细接口!$N290=0,"",[1]对账明细接口!$N290),"")</f>
        <v/>
      </c>
      <c r="T290" s="112" t="str">
        <f aca="false">IFERROR(IF([1]对账明细接口!$O290=0,"",[1]对账明细接口!$O290),"")</f>
        <v/>
      </c>
      <c r="U290" s="112" t="str">
        <f aca="false">IFERROR(IF([1]对账明细接口!$P290=0,"",[1]对账明细接口!$P290),"")</f>
        <v/>
      </c>
      <c r="V290" s="112" t="str">
        <f aca="false">IFERROR(IF([1]对账明细接口!$Q290=0,"",[1]对账明细接口!$Q290),"")</f>
        <v/>
      </c>
      <c r="W290" s="10" t="str">
        <f aca="false">IFERROR(IF([1]对账明细接口!$R290=0,"",[1]对账明细接口!$R290),"")</f>
        <v/>
      </c>
      <c r="X290" s="10" t="str">
        <f aca="false">IFERROR(IF([1]对账明细接口!$S290=0,"",[1]对账明细接口!$S290),"")</f>
        <v/>
      </c>
      <c r="Y290" s="10" t="str">
        <f aca="false">""</f>
        <v/>
      </c>
      <c r="Z290" s="10" t="str">
        <f aca="false">""</f>
        <v/>
      </c>
      <c r="AA290" s="10" t="str">
        <f aca="false">""</f>
        <v/>
      </c>
      <c r="AB290" s="10" t="str">
        <f aca="false">""</f>
        <v/>
      </c>
    </row>
    <row r="291" customFormat="false" ht="13.5" hidden="false" customHeight="false" outlineLevel="0" collapsed="false">
      <c r="A291" s="109" t="n">
        <v>291</v>
      </c>
      <c r="B291" s="110" t="str">
        <f aca="false">IFERROR(IF([1]对账明细接口!$B$291=0,"",[1]对账明细接口!$B$291),"")</f>
        <v/>
      </c>
      <c r="C291" s="59" t="str">
        <f aca="false">IFERROR(IF([1]对账明细接口!$C$291=0,"",[1]对账明细接口!$C$291),"")</f>
        <v/>
      </c>
      <c r="D291" s="59" t="str">
        <f aca="false">IFERROR(IF([1]对账明细接口!$D$291=0,"",[1]对账明细接口!$D$291),"")</f>
        <v/>
      </c>
      <c r="E291" s="59" t="str">
        <f aca="false">IFERROR(IF([1]对账明细接口!$E$291=0,"",[1]对账明细接口!$E$291),"")</f>
        <v/>
      </c>
      <c r="F291" s="59" t="str">
        <f aca="false">IFERROR(IF([1]对账明细接口!$F$291=0,"",[1]对账明细接口!$F$291),"")</f>
        <v/>
      </c>
      <c r="G291" s="59" t="str">
        <f aca="false">IFERROR(IF([1]对账明细接口!$G$291=0,"",[1]对账明细接口!$G$291),"")</f>
        <v/>
      </c>
      <c r="H291" s="60" t="str">
        <f aca="false">IFERROR(IF([1]对账明细接口!$H$291=0,"",[1]对账明细接口!$H$291),"")</f>
        <v/>
      </c>
      <c r="I291" s="59" t="str">
        <f aca="false">IFERROR(IF([1]对账明细接口!$I$291=0,"",[1]对账明细接口!$I$291),"")</f>
        <v/>
      </c>
      <c r="J291" s="61" t="str">
        <f aca="false">IFERROR(IF([1]对账明细接口!$J$291=0,"",[1]对账明细接口!$J$291),"")</f>
        <v/>
      </c>
      <c r="K291" s="61" t="str">
        <f aca="false">IFERROR(IF([1]对账明细接口!$K$291=0,"",[1]对账明细接口!$K$291),"")</f>
        <v/>
      </c>
      <c r="L291" s="59" t="str">
        <f aca="false">IFERROR(IF([1]对账明细接口!$L$291=0,"",[1]对账明细接口!$L$291),"")</f>
        <v/>
      </c>
      <c r="M291" s="59" t="str">
        <f aca="false">IFERROR(IF([1]对账明细接口!$M$291=0,"",[1]对账明细接口!$M$291),"")</f>
        <v/>
      </c>
      <c r="N291" s="111" t="n">
        <f aca="false">IF($C291="",0,1)</f>
        <v>0</v>
      </c>
      <c r="O291" s="111" t="n">
        <f aca="false">N(O290)+$N291</f>
        <v>110</v>
      </c>
      <c r="S291" s="10" t="str">
        <f aca="false">IFERROR(IF([1]对账明细接口!$N291=0,"",[1]对账明细接口!$N291),"")</f>
        <v/>
      </c>
      <c r="T291" s="112" t="str">
        <f aca="false">IFERROR(IF([1]对账明细接口!$O291=0,"",[1]对账明细接口!$O291),"")</f>
        <v/>
      </c>
      <c r="U291" s="112" t="str">
        <f aca="false">IFERROR(IF([1]对账明细接口!$P291=0,"",[1]对账明细接口!$P291),"")</f>
        <v/>
      </c>
      <c r="V291" s="112" t="str">
        <f aca="false">IFERROR(IF([1]对账明细接口!$Q291=0,"",[1]对账明细接口!$Q291),"")</f>
        <v/>
      </c>
      <c r="W291" s="10" t="str">
        <f aca="false">IFERROR(IF([1]对账明细接口!$R291=0,"",[1]对账明细接口!$R291),"")</f>
        <v/>
      </c>
      <c r="X291" s="10" t="str">
        <f aca="false">IFERROR(IF([1]对账明细接口!$S291=0,"",[1]对账明细接口!$S291),"")</f>
        <v/>
      </c>
      <c r="Y291" s="10" t="str">
        <f aca="false">""</f>
        <v/>
      </c>
      <c r="Z291" s="10" t="str">
        <f aca="false">""</f>
        <v/>
      </c>
      <c r="AA291" s="10" t="str">
        <f aca="false">""</f>
        <v/>
      </c>
      <c r="AB291" s="10" t="str">
        <f aca="false">""</f>
        <v/>
      </c>
    </row>
    <row r="292" customFormat="false" ht="13.5" hidden="false" customHeight="false" outlineLevel="0" collapsed="false">
      <c r="A292" s="109" t="n">
        <v>292</v>
      </c>
      <c r="B292" s="110" t="str">
        <f aca="false">IFERROR(IF([1]对账明细接口!$B$292=0,"",[1]对账明细接口!$B$292),"")</f>
        <v/>
      </c>
      <c r="C292" s="59" t="str">
        <f aca="false">IFERROR(IF([1]对账明细接口!$C$292=0,"",[1]对账明细接口!$C$292),"")</f>
        <v/>
      </c>
      <c r="D292" s="59" t="str">
        <f aca="false">IFERROR(IF([1]对账明细接口!$D$292=0,"",[1]对账明细接口!$D$292),"")</f>
        <v/>
      </c>
      <c r="E292" s="59" t="str">
        <f aca="false">IFERROR(IF([1]对账明细接口!$E$292=0,"",[1]对账明细接口!$E$292),"")</f>
        <v/>
      </c>
      <c r="F292" s="59" t="str">
        <f aca="false">IFERROR(IF([1]对账明细接口!$F$292=0,"",[1]对账明细接口!$F$292),"")</f>
        <v/>
      </c>
      <c r="G292" s="59" t="str">
        <f aca="false">IFERROR(IF([1]对账明细接口!$G$292=0,"",[1]对账明细接口!$G$292),"")</f>
        <v/>
      </c>
      <c r="H292" s="60" t="str">
        <f aca="false">IFERROR(IF([1]对账明细接口!$H$292=0,"",[1]对账明细接口!$H$292),"")</f>
        <v/>
      </c>
      <c r="I292" s="59" t="str">
        <f aca="false">IFERROR(IF([1]对账明细接口!$I$292=0,"",[1]对账明细接口!$I$292),"")</f>
        <v/>
      </c>
      <c r="J292" s="61" t="str">
        <f aca="false">IFERROR(IF([1]对账明细接口!$J$292=0,"",[1]对账明细接口!$J$292),"")</f>
        <v/>
      </c>
      <c r="K292" s="61" t="str">
        <f aca="false">IFERROR(IF([1]对账明细接口!$K$292=0,"",[1]对账明细接口!$K$292),"")</f>
        <v/>
      </c>
      <c r="L292" s="59" t="str">
        <f aca="false">IFERROR(IF([1]对账明细接口!$L$292=0,"",[1]对账明细接口!$L$292),"")</f>
        <v/>
      </c>
      <c r="M292" s="59" t="str">
        <f aca="false">IFERROR(IF([1]对账明细接口!$M$292=0,"",[1]对账明细接口!$M$292),"")</f>
        <v/>
      </c>
      <c r="N292" s="111" t="n">
        <f aca="false">IF($C292="",0,1)</f>
        <v>0</v>
      </c>
      <c r="O292" s="111" t="n">
        <f aca="false">N(O291)+$N292</f>
        <v>110</v>
      </c>
      <c r="S292" s="10" t="str">
        <f aca="false">IFERROR(IF([1]对账明细接口!$N292=0,"",[1]对账明细接口!$N292),"")</f>
        <v/>
      </c>
      <c r="T292" s="112" t="str">
        <f aca="false">IFERROR(IF([1]对账明细接口!$O292=0,"",[1]对账明细接口!$O292),"")</f>
        <v/>
      </c>
      <c r="U292" s="112" t="str">
        <f aca="false">IFERROR(IF([1]对账明细接口!$P292=0,"",[1]对账明细接口!$P292),"")</f>
        <v/>
      </c>
      <c r="V292" s="112" t="str">
        <f aca="false">IFERROR(IF([1]对账明细接口!$Q292=0,"",[1]对账明细接口!$Q292),"")</f>
        <v/>
      </c>
      <c r="W292" s="10" t="str">
        <f aca="false">IFERROR(IF([1]对账明细接口!$R292=0,"",[1]对账明细接口!$R292),"")</f>
        <v/>
      </c>
      <c r="X292" s="10" t="str">
        <f aca="false">IFERROR(IF([1]对账明细接口!$S292=0,"",[1]对账明细接口!$S292),"")</f>
        <v/>
      </c>
      <c r="Y292" s="10" t="str">
        <f aca="false">""</f>
        <v/>
      </c>
      <c r="Z292" s="10" t="str">
        <f aca="false">""</f>
        <v/>
      </c>
      <c r="AA292" s="10" t="str">
        <f aca="false">""</f>
        <v/>
      </c>
      <c r="AB292" s="10" t="str">
        <f aca="false">""</f>
        <v/>
      </c>
    </row>
    <row r="293" customFormat="false" ht="13.5" hidden="false" customHeight="false" outlineLevel="0" collapsed="false">
      <c r="A293" s="109" t="n">
        <v>293</v>
      </c>
      <c r="B293" s="110" t="str">
        <f aca="false">IFERROR(IF([1]对账明细接口!$B$293=0,"",[1]对账明细接口!$B$293),"")</f>
        <v/>
      </c>
      <c r="C293" s="59" t="str">
        <f aca="false">IFERROR(IF([1]对账明细接口!$C$293=0,"",[1]对账明细接口!$C$293),"")</f>
        <v/>
      </c>
      <c r="D293" s="59" t="str">
        <f aca="false">IFERROR(IF([1]对账明细接口!$D$293=0,"",[1]对账明细接口!$D$293),"")</f>
        <v/>
      </c>
      <c r="E293" s="59" t="str">
        <f aca="false">IFERROR(IF([1]对账明细接口!$E$293=0,"",[1]对账明细接口!$E$293),"")</f>
        <v/>
      </c>
      <c r="F293" s="59" t="str">
        <f aca="false">IFERROR(IF([1]对账明细接口!$F$293=0,"",[1]对账明细接口!$F$293),"")</f>
        <v/>
      </c>
      <c r="G293" s="59" t="str">
        <f aca="false">IFERROR(IF([1]对账明细接口!$G$293=0,"",[1]对账明细接口!$G$293),"")</f>
        <v/>
      </c>
      <c r="H293" s="60" t="str">
        <f aca="false">IFERROR(IF([1]对账明细接口!$H$293=0,"",[1]对账明细接口!$H$293),"")</f>
        <v/>
      </c>
      <c r="I293" s="59" t="str">
        <f aca="false">IFERROR(IF([1]对账明细接口!$I$293=0,"",[1]对账明细接口!$I$293),"")</f>
        <v/>
      </c>
      <c r="J293" s="61" t="str">
        <f aca="false">IFERROR(IF([1]对账明细接口!$J$293=0,"",[1]对账明细接口!$J$293),"")</f>
        <v/>
      </c>
      <c r="K293" s="61" t="str">
        <f aca="false">IFERROR(IF([1]对账明细接口!$K$293=0,"",[1]对账明细接口!$K$293),"")</f>
        <v/>
      </c>
      <c r="L293" s="59" t="str">
        <f aca="false">IFERROR(IF([1]对账明细接口!$L$293=0,"",[1]对账明细接口!$L$293),"")</f>
        <v/>
      </c>
      <c r="M293" s="59" t="str">
        <f aca="false">IFERROR(IF([1]对账明细接口!$M$293=0,"",[1]对账明细接口!$M$293),"")</f>
        <v/>
      </c>
      <c r="N293" s="111" t="n">
        <f aca="false">IF($C293="",0,1)</f>
        <v>0</v>
      </c>
      <c r="O293" s="111" t="n">
        <f aca="false">N(O292)+$N293</f>
        <v>110</v>
      </c>
      <c r="S293" s="10" t="str">
        <f aca="false">IFERROR(IF([1]对账明细接口!$N293=0,"",[1]对账明细接口!$N293),"")</f>
        <v/>
      </c>
      <c r="T293" s="112" t="str">
        <f aca="false">IFERROR(IF([1]对账明细接口!$O293=0,"",[1]对账明细接口!$O293),"")</f>
        <v/>
      </c>
      <c r="U293" s="112" t="str">
        <f aca="false">IFERROR(IF([1]对账明细接口!$P293=0,"",[1]对账明细接口!$P293),"")</f>
        <v/>
      </c>
      <c r="V293" s="112" t="str">
        <f aca="false">IFERROR(IF([1]对账明细接口!$Q293=0,"",[1]对账明细接口!$Q293),"")</f>
        <v/>
      </c>
      <c r="W293" s="10" t="str">
        <f aca="false">IFERROR(IF([1]对账明细接口!$R293=0,"",[1]对账明细接口!$R293),"")</f>
        <v/>
      </c>
      <c r="X293" s="10" t="str">
        <f aca="false">IFERROR(IF([1]对账明细接口!$S293=0,"",[1]对账明细接口!$S293),"")</f>
        <v/>
      </c>
      <c r="Y293" s="10" t="str">
        <f aca="false">""</f>
        <v/>
      </c>
      <c r="Z293" s="10" t="str">
        <f aca="false">""</f>
        <v/>
      </c>
      <c r="AA293" s="10" t="str">
        <f aca="false">""</f>
        <v/>
      </c>
      <c r="AB293" s="10" t="str">
        <f aca="false">""</f>
        <v/>
      </c>
    </row>
    <row r="294" customFormat="false" ht="13.5" hidden="false" customHeight="false" outlineLevel="0" collapsed="false">
      <c r="A294" s="109" t="n">
        <v>294</v>
      </c>
      <c r="B294" s="110" t="str">
        <f aca="false">IFERROR(IF([1]对账明细接口!$B$294=0,"",[1]对账明细接口!$B$294),"")</f>
        <v/>
      </c>
      <c r="C294" s="59" t="str">
        <f aca="false">IFERROR(IF([1]对账明细接口!$C$294=0,"",[1]对账明细接口!$C$294),"")</f>
        <v/>
      </c>
      <c r="D294" s="59" t="str">
        <f aca="false">IFERROR(IF([1]对账明细接口!$D$294=0,"",[1]对账明细接口!$D$294),"")</f>
        <v/>
      </c>
      <c r="E294" s="59" t="str">
        <f aca="false">IFERROR(IF([1]对账明细接口!$E$294=0,"",[1]对账明细接口!$E$294),"")</f>
        <v/>
      </c>
      <c r="F294" s="59" t="str">
        <f aca="false">IFERROR(IF([1]对账明细接口!$F$294=0,"",[1]对账明细接口!$F$294),"")</f>
        <v/>
      </c>
      <c r="G294" s="59" t="str">
        <f aca="false">IFERROR(IF([1]对账明细接口!$G$294=0,"",[1]对账明细接口!$G$294),"")</f>
        <v/>
      </c>
      <c r="H294" s="60" t="str">
        <f aca="false">IFERROR(IF([1]对账明细接口!$H$294=0,"",[1]对账明细接口!$H$294),"")</f>
        <v/>
      </c>
      <c r="I294" s="59" t="str">
        <f aca="false">IFERROR(IF([1]对账明细接口!$I$294=0,"",[1]对账明细接口!$I$294),"")</f>
        <v/>
      </c>
      <c r="J294" s="61" t="str">
        <f aca="false">IFERROR(IF([1]对账明细接口!$J$294=0,"",[1]对账明细接口!$J$294),"")</f>
        <v/>
      </c>
      <c r="K294" s="61" t="str">
        <f aca="false">IFERROR(IF([1]对账明细接口!$K$294=0,"",[1]对账明细接口!$K$294),"")</f>
        <v/>
      </c>
      <c r="L294" s="59" t="str">
        <f aca="false">IFERROR(IF([1]对账明细接口!$L$294=0,"",[1]对账明细接口!$L$294),"")</f>
        <v/>
      </c>
      <c r="M294" s="59" t="str">
        <f aca="false">IFERROR(IF([1]对账明细接口!$M$294=0,"",[1]对账明细接口!$M$294),"")</f>
        <v/>
      </c>
      <c r="N294" s="111" t="n">
        <f aca="false">IF($C294="",0,1)</f>
        <v>0</v>
      </c>
      <c r="O294" s="111" t="n">
        <f aca="false">N(O293)+$N294</f>
        <v>110</v>
      </c>
      <c r="S294" s="10" t="str">
        <f aca="false">IFERROR(IF([1]对账明细接口!$N294=0,"",[1]对账明细接口!$N294),"")</f>
        <v/>
      </c>
      <c r="T294" s="112" t="str">
        <f aca="false">IFERROR(IF([1]对账明细接口!$O294=0,"",[1]对账明细接口!$O294),"")</f>
        <v/>
      </c>
      <c r="U294" s="112" t="str">
        <f aca="false">IFERROR(IF([1]对账明细接口!$P294=0,"",[1]对账明细接口!$P294),"")</f>
        <v/>
      </c>
      <c r="V294" s="112" t="str">
        <f aca="false">IFERROR(IF([1]对账明细接口!$Q294=0,"",[1]对账明细接口!$Q294),"")</f>
        <v/>
      </c>
      <c r="W294" s="10" t="str">
        <f aca="false">IFERROR(IF([1]对账明细接口!$R294=0,"",[1]对账明细接口!$R294),"")</f>
        <v/>
      </c>
      <c r="X294" s="10" t="str">
        <f aca="false">IFERROR(IF([1]对账明细接口!$S294=0,"",[1]对账明细接口!$S294),"")</f>
        <v/>
      </c>
      <c r="Y294" s="10" t="str">
        <f aca="false">""</f>
        <v/>
      </c>
      <c r="Z294" s="10" t="str">
        <f aca="false">""</f>
        <v/>
      </c>
      <c r="AA294" s="10" t="str">
        <f aca="false">""</f>
        <v/>
      </c>
      <c r="AB294" s="10" t="str">
        <f aca="false">""</f>
        <v/>
      </c>
    </row>
    <row r="295" customFormat="false" ht="13.5" hidden="false" customHeight="false" outlineLevel="0" collapsed="false">
      <c r="A295" s="109" t="n">
        <v>295</v>
      </c>
      <c r="B295" s="110" t="str">
        <f aca="false">IFERROR(IF([1]对账明细接口!$B$295=0,"",[1]对账明细接口!$B$295),"")</f>
        <v/>
      </c>
      <c r="C295" s="59" t="str">
        <f aca="false">IFERROR(IF([1]对账明细接口!$C$295=0,"",[1]对账明细接口!$C$295),"")</f>
        <v/>
      </c>
      <c r="D295" s="59" t="str">
        <f aca="false">IFERROR(IF([1]对账明细接口!$D$295=0,"",[1]对账明细接口!$D$295),"")</f>
        <v/>
      </c>
      <c r="E295" s="59" t="str">
        <f aca="false">IFERROR(IF([1]对账明细接口!$E$295=0,"",[1]对账明细接口!$E$295),"")</f>
        <v/>
      </c>
      <c r="F295" s="59" t="str">
        <f aca="false">IFERROR(IF([1]对账明细接口!$F$295=0,"",[1]对账明细接口!$F$295),"")</f>
        <v/>
      </c>
      <c r="G295" s="59" t="str">
        <f aca="false">IFERROR(IF([1]对账明细接口!$G$295=0,"",[1]对账明细接口!$G$295),"")</f>
        <v/>
      </c>
      <c r="H295" s="60" t="str">
        <f aca="false">IFERROR(IF([1]对账明细接口!$H$295=0,"",[1]对账明细接口!$H$295),"")</f>
        <v/>
      </c>
      <c r="I295" s="59" t="str">
        <f aca="false">IFERROR(IF([1]对账明细接口!$I$295=0,"",[1]对账明细接口!$I$295),"")</f>
        <v/>
      </c>
      <c r="J295" s="61" t="str">
        <f aca="false">IFERROR(IF([1]对账明细接口!$J$295=0,"",[1]对账明细接口!$J$295),"")</f>
        <v/>
      </c>
      <c r="K295" s="61" t="str">
        <f aca="false">IFERROR(IF([1]对账明细接口!$K$295=0,"",[1]对账明细接口!$K$295),"")</f>
        <v/>
      </c>
      <c r="L295" s="59" t="str">
        <f aca="false">IFERROR(IF([1]对账明细接口!$L$295=0,"",[1]对账明细接口!$L$295),"")</f>
        <v/>
      </c>
      <c r="M295" s="59" t="str">
        <f aca="false">IFERROR(IF([1]对账明细接口!$M$295=0,"",[1]对账明细接口!$M$295),"")</f>
        <v/>
      </c>
      <c r="N295" s="111" t="n">
        <f aca="false">IF($C295="",0,1)</f>
        <v>0</v>
      </c>
      <c r="O295" s="111" t="n">
        <f aca="false">N(O294)+$N295</f>
        <v>110</v>
      </c>
      <c r="S295" s="10" t="str">
        <f aca="false">IFERROR(IF([1]对账明细接口!$N295=0,"",[1]对账明细接口!$N295),"")</f>
        <v/>
      </c>
      <c r="T295" s="112" t="str">
        <f aca="false">IFERROR(IF([1]对账明细接口!$O295=0,"",[1]对账明细接口!$O295),"")</f>
        <v/>
      </c>
      <c r="U295" s="112" t="str">
        <f aca="false">IFERROR(IF([1]对账明细接口!$P295=0,"",[1]对账明细接口!$P295),"")</f>
        <v/>
      </c>
      <c r="V295" s="112" t="str">
        <f aca="false">IFERROR(IF([1]对账明细接口!$Q295=0,"",[1]对账明细接口!$Q295),"")</f>
        <v/>
      </c>
      <c r="W295" s="10" t="str">
        <f aca="false">IFERROR(IF([1]对账明细接口!$R295=0,"",[1]对账明细接口!$R295),"")</f>
        <v/>
      </c>
      <c r="X295" s="10" t="str">
        <f aca="false">IFERROR(IF([1]对账明细接口!$S295=0,"",[1]对账明细接口!$S295),"")</f>
        <v/>
      </c>
      <c r="Y295" s="10" t="str">
        <f aca="false">""</f>
        <v/>
      </c>
      <c r="Z295" s="10" t="str">
        <f aca="false">""</f>
        <v/>
      </c>
      <c r="AA295" s="10" t="str">
        <f aca="false">""</f>
        <v/>
      </c>
      <c r="AB295" s="10" t="str">
        <f aca="false">""</f>
        <v/>
      </c>
    </row>
    <row r="296" customFormat="false" ht="13.5" hidden="false" customHeight="false" outlineLevel="0" collapsed="false">
      <c r="A296" s="109" t="n">
        <v>296</v>
      </c>
      <c r="B296" s="110" t="str">
        <f aca="false">IFERROR(IF([1]对账明细接口!$B$296=0,"",[1]对账明细接口!$B$296),"")</f>
        <v/>
      </c>
      <c r="C296" s="59" t="str">
        <f aca="false">IFERROR(IF([1]对账明细接口!$C$296=0,"",[1]对账明细接口!$C$296),"")</f>
        <v/>
      </c>
      <c r="D296" s="59" t="str">
        <f aca="false">IFERROR(IF([1]对账明细接口!$D$296=0,"",[1]对账明细接口!$D$296),"")</f>
        <v/>
      </c>
      <c r="E296" s="59" t="str">
        <f aca="false">IFERROR(IF([1]对账明细接口!$E$296=0,"",[1]对账明细接口!$E$296),"")</f>
        <v/>
      </c>
      <c r="F296" s="59" t="str">
        <f aca="false">IFERROR(IF([1]对账明细接口!$F$296=0,"",[1]对账明细接口!$F$296),"")</f>
        <v/>
      </c>
      <c r="G296" s="59" t="str">
        <f aca="false">IFERROR(IF([1]对账明细接口!$G$296=0,"",[1]对账明细接口!$G$296),"")</f>
        <v/>
      </c>
      <c r="H296" s="60" t="str">
        <f aca="false">IFERROR(IF([1]对账明细接口!$H$296=0,"",[1]对账明细接口!$H$296),"")</f>
        <v/>
      </c>
      <c r="I296" s="59" t="str">
        <f aca="false">IFERROR(IF([1]对账明细接口!$I$296=0,"",[1]对账明细接口!$I$296),"")</f>
        <v/>
      </c>
      <c r="J296" s="61" t="str">
        <f aca="false">IFERROR(IF([1]对账明细接口!$J$296=0,"",[1]对账明细接口!$J$296),"")</f>
        <v/>
      </c>
      <c r="K296" s="61" t="str">
        <f aca="false">IFERROR(IF([1]对账明细接口!$K$296=0,"",[1]对账明细接口!$K$296),"")</f>
        <v/>
      </c>
      <c r="L296" s="59" t="str">
        <f aca="false">IFERROR(IF([1]对账明细接口!$L$296=0,"",[1]对账明细接口!$L$296),"")</f>
        <v/>
      </c>
      <c r="M296" s="59" t="str">
        <f aca="false">IFERROR(IF([1]对账明细接口!$M$296=0,"",[1]对账明细接口!$M$296),"")</f>
        <v/>
      </c>
      <c r="N296" s="111" t="n">
        <f aca="false">IF($C296="",0,1)</f>
        <v>0</v>
      </c>
      <c r="O296" s="111" t="n">
        <f aca="false">N(O295)+$N296</f>
        <v>110</v>
      </c>
      <c r="S296" s="10" t="str">
        <f aca="false">IFERROR(IF([1]对账明细接口!$N296=0,"",[1]对账明细接口!$N296),"")</f>
        <v/>
      </c>
      <c r="T296" s="112" t="str">
        <f aca="false">IFERROR(IF([1]对账明细接口!$O296=0,"",[1]对账明细接口!$O296),"")</f>
        <v/>
      </c>
      <c r="U296" s="112" t="str">
        <f aca="false">IFERROR(IF([1]对账明细接口!$P296=0,"",[1]对账明细接口!$P296),"")</f>
        <v/>
      </c>
      <c r="V296" s="112" t="str">
        <f aca="false">IFERROR(IF([1]对账明细接口!$Q296=0,"",[1]对账明细接口!$Q296),"")</f>
        <v/>
      </c>
      <c r="W296" s="10" t="str">
        <f aca="false">IFERROR(IF([1]对账明细接口!$R296=0,"",[1]对账明细接口!$R296),"")</f>
        <v/>
      </c>
      <c r="X296" s="10" t="str">
        <f aca="false">IFERROR(IF([1]对账明细接口!$S296=0,"",[1]对账明细接口!$S296),"")</f>
        <v/>
      </c>
      <c r="Y296" s="10" t="str">
        <f aca="false">""</f>
        <v/>
      </c>
      <c r="Z296" s="10" t="str">
        <f aca="false">""</f>
        <v/>
      </c>
      <c r="AA296" s="10" t="str">
        <f aca="false">""</f>
        <v/>
      </c>
      <c r="AB296" s="10" t="str">
        <f aca="false">""</f>
        <v/>
      </c>
    </row>
    <row r="297" customFormat="false" ht="13.5" hidden="false" customHeight="false" outlineLevel="0" collapsed="false">
      <c r="A297" s="109" t="n">
        <v>297</v>
      </c>
      <c r="B297" s="110" t="str">
        <f aca="false">IFERROR(IF([1]对账明细接口!$B$297=0,"",[1]对账明细接口!$B$297),"")</f>
        <v/>
      </c>
      <c r="C297" s="59" t="str">
        <f aca="false">IFERROR(IF([1]对账明细接口!$C$297=0,"",[1]对账明细接口!$C$297),"")</f>
        <v/>
      </c>
      <c r="D297" s="59" t="str">
        <f aca="false">IFERROR(IF([1]对账明细接口!$D$297=0,"",[1]对账明细接口!$D$297),"")</f>
        <v/>
      </c>
      <c r="E297" s="59" t="str">
        <f aca="false">IFERROR(IF([1]对账明细接口!$E$297=0,"",[1]对账明细接口!$E$297),"")</f>
        <v/>
      </c>
      <c r="F297" s="59" t="str">
        <f aca="false">IFERROR(IF([1]对账明细接口!$F$297=0,"",[1]对账明细接口!$F$297),"")</f>
        <v/>
      </c>
      <c r="G297" s="59" t="str">
        <f aca="false">IFERROR(IF([1]对账明细接口!$G$297=0,"",[1]对账明细接口!$G$297),"")</f>
        <v/>
      </c>
      <c r="H297" s="60" t="str">
        <f aca="false">IFERROR(IF([1]对账明细接口!$H$297=0,"",[1]对账明细接口!$H$297),"")</f>
        <v/>
      </c>
      <c r="I297" s="59" t="str">
        <f aca="false">IFERROR(IF([1]对账明细接口!$I$297=0,"",[1]对账明细接口!$I$297),"")</f>
        <v/>
      </c>
      <c r="J297" s="61" t="str">
        <f aca="false">IFERROR(IF([1]对账明细接口!$J$297=0,"",[1]对账明细接口!$J$297),"")</f>
        <v/>
      </c>
      <c r="K297" s="61" t="str">
        <f aca="false">IFERROR(IF([1]对账明细接口!$K$297=0,"",[1]对账明细接口!$K$297),"")</f>
        <v/>
      </c>
      <c r="L297" s="59" t="str">
        <f aca="false">IFERROR(IF([1]对账明细接口!$L$297=0,"",[1]对账明细接口!$L$297),"")</f>
        <v/>
      </c>
      <c r="M297" s="59" t="str">
        <f aca="false">IFERROR(IF([1]对账明细接口!$M$297=0,"",[1]对账明细接口!$M$297),"")</f>
        <v/>
      </c>
      <c r="N297" s="111" t="n">
        <f aca="false">IF($C297="",0,1)</f>
        <v>0</v>
      </c>
      <c r="O297" s="111" t="n">
        <f aca="false">N(O296)+$N297</f>
        <v>110</v>
      </c>
      <c r="S297" s="10" t="str">
        <f aca="false">IFERROR(IF([1]对账明细接口!$N297=0,"",[1]对账明细接口!$N297),"")</f>
        <v/>
      </c>
      <c r="T297" s="112" t="str">
        <f aca="false">IFERROR(IF([1]对账明细接口!$O297=0,"",[1]对账明细接口!$O297),"")</f>
        <v/>
      </c>
      <c r="U297" s="112" t="str">
        <f aca="false">IFERROR(IF([1]对账明细接口!$P297=0,"",[1]对账明细接口!$P297),"")</f>
        <v/>
      </c>
      <c r="V297" s="112" t="str">
        <f aca="false">IFERROR(IF([1]对账明细接口!$Q297=0,"",[1]对账明细接口!$Q297),"")</f>
        <v/>
      </c>
      <c r="W297" s="10" t="str">
        <f aca="false">IFERROR(IF([1]对账明细接口!$R297=0,"",[1]对账明细接口!$R297),"")</f>
        <v/>
      </c>
      <c r="X297" s="10" t="str">
        <f aca="false">IFERROR(IF([1]对账明细接口!$S297=0,"",[1]对账明细接口!$S297),"")</f>
        <v/>
      </c>
      <c r="Y297" s="10" t="str">
        <f aca="false">""</f>
        <v/>
      </c>
      <c r="Z297" s="10" t="str">
        <f aca="false">""</f>
        <v/>
      </c>
      <c r="AA297" s="10" t="str">
        <f aca="false">""</f>
        <v/>
      </c>
      <c r="AB297" s="10" t="str">
        <f aca="false">""</f>
        <v/>
      </c>
    </row>
    <row r="298" customFormat="false" ht="13.5" hidden="false" customHeight="false" outlineLevel="0" collapsed="false">
      <c r="A298" s="109" t="n">
        <v>298</v>
      </c>
      <c r="B298" s="110" t="str">
        <f aca="false">IFERROR(IF([1]对账明细接口!$B$298=0,"",[1]对账明细接口!$B$298),"")</f>
        <v/>
      </c>
      <c r="C298" s="59" t="str">
        <f aca="false">IFERROR(IF([1]对账明细接口!$C$298=0,"",[1]对账明细接口!$C$298),"")</f>
        <v/>
      </c>
      <c r="D298" s="59" t="str">
        <f aca="false">IFERROR(IF([1]对账明细接口!$D$298=0,"",[1]对账明细接口!$D$298),"")</f>
        <v/>
      </c>
      <c r="E298" s="59" t="str">
        <f aca="false">IFERROR(IF([1]对账明细接口!$E$298=0,"",[1]对账明细接口!$E$298),"")</f>
        <v/>
      </c>
      <c r="F298" s="59" t="str">
        <f aca="false">IFERROR(IF([1]对账明细接口!$F$298=0,"",[1]对账明细接口!$F$298),"")</f>
        <v/>
      </c>
      <c r="G298" s="59" t="str">
        <f aca="false">IFERROR(IF([1]对账明细接口!$G$298=0,"",[1]对账明细接口!$G$298),"")</f>
        <v/>
      </c>
      <c r="H298" s="60" t="str">
        <f aca="false">IFERROR(IF([1]对账明细接口!$H$298=0,"",[1]对账明细接口!$H$298),"")</f>
        <v/>
      </c>
      <c r="I298" s="59" t="str">
        <f aca="false">IFERROR(IF([1]对账明细接口!$I$298=0,"",[1]对账明细接口!$I$298),"")</f>
        <v/>
      </c>
      <c r="J298" s="61" t="str">
        <f aca="false">IFERROR(IF([1]对账明细接口!$J$298=0,"",[1]对账明细接口!$J$298),"")</f>
        <v/>
      </c>
      <c r="K298" s="61" t="str">
        <f aca="false">IFERROR(IF([1]对账明细接口!$K$298=0,"",[1]对账明细接口!$K$298),"")</f>
        <v/>
      </c>
      <c r="L298" s="59" t="str">
        <f aca="false">IFERROR(IF([1]对账明细接口!$L$298=0,"",[1]对账明细接口!$L$298),"")</f>
        <v/>
      </c>
      <c r="M298" s="59" t="str">
        <f aca="false">IFERROR(IF([1]对账明细接口!$M$298=0,"",[1]对账明细接口!$M$298),"")</f>
        <v/>
      </c>
      <c r="N298" s="111" t="n">
        <f aca="false">IF($C298="",0,1)</f>
        <v>0</v>
      </c>
      <c r="O298" s="111" t="n">
        <f aca="false">N(O297)+$N298</f>
        <v>110</v>
      </c>
      <c r="S298" s="10" t="str">
        <f aca="false">IFERROR(IF([1]对账明细接口!$N298=0,"",[1]对账明细接口!$N298),"")</f>
        <v/>
      </c>
      <c r="T298" s="112" t="str">
        <f aca="false">IFERROR(IF([1]对账明细接口!$O298=0,"",[1]对账明细接口!$O298),"")</f>
        <v/>
      </c>
      <c r="U298" s="112" t="str">
        <f aca="false">IFERROR(IF([1]对账明细接口!$P298=0,"",[1]对账明细接口!$P298),"")</f>
        <v/>
      </c>
      <c r="V298" s="112" t="str">
        <f aca="false">IFERROR(IF([1]对账明细接口!$Q298=0,"",[1]对账明细接口!$Q298),"")</f>
        <v/>
      </c>
      <c r="W298" s="10" t="str">
        <f aca="false">IFERROR(IF([1]对账明细接口!$R298=0,"",[1]对账明细接口!$R298),"")</f>
        <v/>
      </c>
      <c r="X298" s="10" t="str">
        <f aca="false">IFERROR(IF([1]对账明细接口!$S298=0,"",[1]对账明细接口!$S298),"")</f>
        <v/>
      </c>
      <c r="Y298" s="10" t="str">
        <f aca="false">""</f>
        <v/>
      </c>
      <c r="Z298" s="10" t="str">
        <f aca="false">""</f>
        <v/>
      </c>
      <c r="AA298" s="10" t="str">
        <f aca="false">""</f>
        <v/>
      </c>
      <c r="AB298" s="10" t="str">
        <f aca="false">""</f>
        <v/>
      </c>
    </row>
    <row r="299" customFormat="false" ht="13.5" hidden="false" customHeight="false" outlineLevel="0" collapsed="false">
      <c r="A299" s="109" t="n">
        <v>299</v>
      </c>
      <c r="B299" s="110" t="str">
        <f aca="false">IFERROR(IF([1]对账明细接口!$B$299=0,"",[1]对账明细接口!$B$299),"")</f>
        <v/>
      </c>
      <c r="C299" s="59" t="str">
        <f aca="false">IFERROR(IF([1]对账明细接口!$C$299=0,"",[1]对账明细接口!$C$299),"")</f>
        <v/>
      </c>
      <c r="D299" s="59" t="str">
        <f aca="false">IFERROR(IF([1]对账明细接口!$D$299=0,"",[1]对账明细接口!$D$299),"")</f>
        <v/>
      </c>
      <c r="E299" s="59" t="str">
        <f aca="false">IFERROR(IF([1]对账明细接口!$E$299=0,"",[1]对账明细接口!$E$299),"")</f>
        <v/>
      </c>
      <c r="F299" s="59" t="str">
        <f aca="false">IFERROR(IF([1]对账明细接口!$F$299=0,"",[1]对账明细接口!$F$299),"")</f>
        <v/>
      </c>
      <c r="G299" s="59" t="str">
        <f aca="false">IFERROR(IF([1]对账明细接口!$G$299=0,"",[1]对账明细接口!$G$299),"")</f>
        <v/>
      </c>
      <c r="H299" s="60" t="str">
        <f aca="false">IFERROR(IF([1]对账明细接口!$H$299=0,"",[1]对账明细接口!$H$299),"")</f>
        <v/>
      </c>
      <c r="I299" s="59" t="str">
        <f aca="false">IFERROR(IF([1]对账明细接口!$I$299=0,"",[1]对账明细接口!$I$299),"")</f>
        <v/>
      </c>
      <c r="J299" s="61" t="str">
        <f aca="false">IFERROR(IF([1]对账明细接口!$J$299=0,"",[1]对账明细接口!$J$299),"")</f>
        <v/>
      </c>
      <c r="K299" s="61" t="str">
        <f aca="false">IFERROR(IF([1]对账明细接口!$K$299=0,"",[1]对账明细接口!$K$299),"")</f>
        <v/>
      </c>
      <c r="L299" s="59" t="str">
        <f aca="false">IFERROR(IF([1]对账明细接口!$L$299=0,"",[1]对账明细接口!$L$299),"")</f>
        <v/>
      </c>
      <c r="M299" s="59" t="str">
        <f aca="false">IFERROR(IF([1]对账明细接口!$M$299=0,"",[1]对账明细接口!$M$299),"")</f>
        <v/>
      </c>
      <c r="N299" s="111" t="n">
        <f aca="false">IF($C299="",0,1)</f>
        <v>0</v>
      </c>
      <c r="O299" s="111" t="n">
        <f aca="false">N(O298)+$N299</f>
        <v>110</v>
      </c>
      <c r="S299" s="10" t="str">
        <f aca="false">IFERROR(IF([1]对账明细接口!$N299=0,"",[1]对账明细接口!$N299),"")</f>
        <v/>
      </c>
      <c r="T299" s="112" t="str">
        <f aca="false">IFERROR(IF([1]对账明细接口!$O299=0,"",[1]对账明细接口!$O299),"")</f>
        <v/>
      </c>
      <c r="U299" s="112" t="str">
        <f aca="false">IFERROR(IF([1]对账明细接口!$P299=0,"",[1]对账明细接口!$P299),"")</f>
        <v/>
      </c>
      <c r="V299" s="112" t="str">
        <f aca="false">IFERROR(IF([1]对账明细接口!$Q299=0,"",[1]对账明细接口!$Q299),"")</f>
        <v/>
      </c>
      <c r="W299" s="10" t="str">
        <f aca="false">IFERROR(IF([1]对账明细接口!$R299=0,"",[1]对账明细接口!$R299),"")</f>
        <v/>
      </c>
      <c r="X299" s="10" t="str">
        <f aca="false">IFERROR(IF([1]对账明细接口!$S299=0,"",[1]对账明细接口!$S299),"")</f>
        <v/>
      </c>
      <c r="Y299" s="10" t="str">
        <f aca="false">""</f>
        <v/>
      </c>
      <c r="Z299" s="10" t="str">
        <f aca="false">""</f>
        <v/>
      </c>
      <c r="AA299" s="10" t="str">
        <f aca="false">""</f>
        <v/>
      </c>
      <c r="AB299" s="10" t="str">
        <f aca="false">""</f>
        <v/>
      </c>
    </row>
    <row r="300" customFormat="false" ht="13.5" hidden="false" customHeight="false" outlineLevel="0" collapsed="false">
      <c r="A300" s="109" t="n">
        <v>300</v>
      </c>
      <c r="B300" s="110" t="str">
        <f aca="false">IFERROR(IF([1]对账明细接口!$B$300=0,"",[1]对账明细接口!$B$300),"")</f>
        <v/>
      </c>
      <c r="C300" s="59" t="str">
        <f aca="false">IFERROR(IF([1]对账明细接口!$C$300=0,"",[1]对账明细接口!$C$300),"")</f>
        <v/>
      </c>
      <c r="D300" s="59" t="str">
        <f aca="false">IFERROR(IF([1]对账明细接口!$D$300=0,"",[1]对账明细接口!$D$300),"")</f>
        <v/>
      </c>
      <c r="E300" s="59" t="str">
        <f aca="false">IFERROR(IF([1]对账明细接口!$E$300=0,"",[1]对账明细接口!$E$300),"")</f>
        <v/>
      </c>
      <c r="F300" s="59" t="str">
        <f aca="false">IFERROR(IF([1]对账明细接口!$F$300=0,"",[1]对账明细接口!$F$300),"")</f>
        <v/>
      </c>
      <c r="G300" s="59" t="str">
        <f aca="false">IFERROR(IF([1]对账明细接口!$G$300=0,"",[1]对账明细接口!$G$300),"")</f>
        <v/>
      </c>
      <c r="H300" s="60" t="str">
        <f aca="false">IFERROR(IF([1]对账明细接口!$H$300=0,"",[1]对账明细接口!$H$300),"")</f>
        <v/>
      </c>
      <c r="I300" s="59" t="str">
        <f aca="false">IFERROR(IF([1]对账明细接口!$I$300=0,"",[1]对账明细接口!$I$300),"")</f>
        <v/>
      </c>
      <c r="J300" s="61" t="str">
        <f aca="false">IFERROR(IF([1]对账明细接口!$J$300=0,"",[1]对账明细接口!$J$300),"")</f>
        <v/>
      </c>
      <c r="K300" s="61" t="str">
        <f aca="false">IFERROR(IF([1]对账明细接口!$K$300=0,"",[1]对账明细接口!$K$300),"")</f>
        <v/>
      </c>
      <c r="L300" s="59" t="str">
        <f aca="false">IFERROR(IF([1]对账明细接口!$L$300=0,"",[1]对账明细接口!$L$300),"")</f>
        <v/>
      </c>
      <c r="M300" s="59" t="str">
        <f aca="false">IFERROR(IF([1]对账明细接口!$M$300=0,"",[1]对账明细接口!$M$300),"")</f>
        <v/>
      </c>
      <c r="N300" s="111" t="n">
        <f aca="false">IF($C300="",0,1)</f>
        <v>0</v>
      </c>
      <c r="O300" s="111" t="n">
        <f aca="false">N(O299)+$N300</f>
        <v>110</v>
      </c>
      <c r="S300" s="10" t="str">
        <f aca="false">IFERROR(IF([1]对账明细接口!$N300=0,"",[1]对账明细接口!$N300),"")</f>
        <v/>
      </c>
      <c r="T300" s="112" t="str">
        <f aca="false">IFERROR(IF([1]对账明细接口!$O300=0,"",[1]对账明细接口!$O300),"")</f>
        <v/>
      </c>
      <c r="U300" s="112" t="str">
        <f aca="false">IFERROR(IF([1]对账明细接口!$P300=0,"",[1]对账明细接口!$P300),"")</f>
        <v/>
      </c>
      <c r="V300" s="112" t="str">
        <f aca="false">IFERROR(IF([1]对账明细接口!$Q300=0,"",[1]对账明细接口!$Q300),"")</f>
        <v/>
      </c>
      <c r="W300" s="10" t="str">
        <f aca="false">IFERROR(IF([1]对账明细接口!$R300=0,"",[1]对账明细接口!$R300),"")</f>
        <v/>
      </c>
      <c r="X300" s="10" t="str">
        <f aca="false">IFERROR(IF([1]对账明细接口!$S300=0,"",[1]对账明细接口!$S300),"")</f>
        <v/>
      </c>
      <c r="Y300" s="10" t="str">
        <f aca="false">""</f>
        <v/>
      </c>
      <c r="Z300" s="10" t="str">
        <f aca="false">""</f>
        <v/>
      </c>
      <c r="AA300" s="10" t="str">
        <f aca="false">""</f>
        <v/>
      </c>
      <c r="AB300" s="10" t="str">
        <f aca="false">""</f>
        <v/>
      </c>
    </row>
    <row r="301" customFormat="false" ht="13.5" hidden="false" customHeight="false" outlineLevel="0" collapsed="false">
      <c r="A301" s="109" t="n">
        <v>301</v>
      </c>
      <c r="B301" s="110" t="str">
        <f aca="false">IFERROR(IF([1]对账明细接口!$B$301=0,"",[1]对账明细接口!$B$301),"")</f>
        <v/>
      </c>
      <c r="C301" s="59" t="str">
        <f aca="false">IFERROR(IF([1]对账明细接口!$C$301=0,"",[1]对账明细接口!$C$301),"")</f>
        <v/>
      </c>
      <c r="D301" s="59" t="str">
        <f aca="false">IFERROR(IF([1]对账明细接口!$D$301=0,"",[1]对账明细接口!$D$301),"")</f>
        <v/>
      </c>
      <c r="E301" s="59" t="str">
        <f aca="false">IFERROR(IF([1]对账明细接口!$E$301=0,"",[1]对账明细接口!$E$301),"")</f>
        <v/>
      </c>
      <c r="F301" s="59" t="str">
        <f aca="false">IFERROR(IF([1]对账明细接口!$F$301=0,"",[1]对账明细接口!$F$301),"")</f>
        <v/>
      </c>
      <c r="G301" s="59" t="str">
        <f aca="false">IFERROR(IF([1]对账明细接口!$G$301=0,"",[1]对账明细接口!$G$301),"")</f>
        <v/>
      </c>
      <c r="H301" s="60" t="str">
        <f aca="false">IFERROR(IF([1]对账明细接口!$H$301=0,"",[1]对账明细接口!$H$301),"")</f>
        <v/>
      </c>
      <c r="I301" s="59" t="str">
        <f aca="false">IFERROR(IF([1]对账明细接口!$I$301=0,"",[1]对账明细接口!$I$301),"")</f>
        <v/>
      </c>
      <c r="J301" s="61" t="str">
        <f aca="false">IFERROR(IF([1]对账明细接口!$J$301=0,"",[1]对账明细接口!$J$301),"")</f>
        <v/>
      </c>
      <c r="K301" s="61" t="str">
        <f aca="false">IFERROR(IF([1]对账明细接口!$K$301=0,"",[1]对账明细接口!$K$301),"")</f>
        <v/>
      </c>
      <c r="L301" s="59" t="str">
        <f aca="false">IFERROR(IF([1]对账明细接口!$L$301=0,"",[1]对账明细接口!$L$301),"")</f>
        <v/>
      </c>
      <c r="M301" s="59" t="str">
        <f aca="false">IFERROR(IF([1]对账明细接口!$M$301=0,"",[1]对账明细接口!$M$301),"")</f>
        <v/>
      </c>
      <c r="N301" s="111" t="n">
        <f aca="false">IF($C301="",0,1)</f>
        <v>0</v>
      </c>
      <c r="O301" s="111" t="n">
        <f aca="false">N(O300)+$N301</f>
        <v>110</v>
      </c>
      <c r="S301" s="10" t="str">
        <f aca="false">IFERROR(IF([1]对账明细接口!$N301=0,"",[1]对账明细接口!$N301),"")</f>
        <v/>
      </c>
      <c r="T301" s="112" t="str">
        <f aca="false">IFERROR(IF([1]对账明细接口!$O301=0,"",[1]对账明细接口!$O301),"")</f>
        <v/>
      </c>
      <c r="U301" s="112" t="str">
        <f aca="false">IFERROR(IF([1]对账明细接口!$P301=0,"",[1]对账明细接口!$P301),"")</f>
        <v/>
      </c>
      <c r="V301" s="112" t="str">
        <f aca="false">IFERROR(IF([1]对账明细接口!$Q301=0,"",[1]对账明细接口!$Q301),"")</f>
        <v/>
      </c>
      <c r="W301" s="10" t="str">
        <f aca="false">IFERROR(IF([1]对账明细接口!$R301=0,"",[1]对账明细接口!$R301),"")</f>
        <v/>
      </c>
      <c r="X301" s="10" t="str">
        <f aca="false">IFERROR(IF([1]对账明细接口!$S301=0,"",[1]对账明细接口!$S301),"")</f>
        <v/>
      </c>
      <c r="Y301" s="10" t="str">
        <f aca="false">""</f>
        <v/>
      </c>
      <c r="Z301" s="10" t="str">
        <f aca="false">""</f>
        <v/>
      </c>
      <c r="AA301" s="10" t="str">
        <f aca="false">""</f>
        <v/>
      </c>
      <c r="AB301" s="10" t="str">
        <f aca="false">""</f>
        <v/>
      </c>
    </row>
    <row r="302" customFormat="false" ht="13.5" hidden="false" customHeight="false" outlineLevel="0" collapsed="false">
      <c r="A302" s="109" t="n">
        <v>302</v>
      </c>
      <c r="B302" s="110" t="str">
        <f aca="false">IFERROR(IF([1]对账明细接口!$B$302=0,"",[1]对账明细接口!$B$302),"")</f>
        <v/>
      </c>
      <c r="C302" s="59" t="str">
        <f aca="false">IFERROR(IF([1]对账明细接口!$C$302=0,"",[1]对账明细接口!$C$302),"")</f>
        <v/>
      </c>
      <c r="D302" s="59" t="str">
        <f aca="false">IFERROR(IF([1]对账明细接口!$D$302=0,"",[1]对账明细接口!$D$302),"")</f>
        <v/>
      </c>
      <c r="E302" s="59" t="str">
        <f aca="false">IFERROR(IF([1]对账明细接口!$E$302=0,"",[1]对账明细接口!$E$302),"")</f>
        <v/>
      </c>
      <c r="F302" s="59" t="str">
        <f aca="false">IFERROR(IF([1]对账明细接口!$F$302=0,"",[1]对账明细接口!$F$302),"")</f>
        <v/>
      </c>
      <c r="G302" s="59" t="str">
        <f aca="false">IFERROR(IF([1]对账明细接口!$G$302=0,"",[1]对账明细接口!$G$302),"")</f>
        <v/>
      </c>
      <c r="H302" s="60" t="str">
        <f aca="false">IFERROR(IF([1]对账明细接口!$H$302=0,"",[1]对账明细接口!$H$302),"")</f>
        <v/>
      </c>
      <c r="I302" s="59" t="str">
        <f aca="false">IFERROR(IF([1]对账明细接口!$I$302=0,"",[1]对账明细接口!$I$302),"")</f>
        <v/>
      </c>
      <c r="J302" s="61" t="str">
        <f aca="false">IFERROR(IF([1]对账明细接口!$J$302=0,"",[1]对账明细接口!$J$302),"")</f>
        <v/>
      </c>
      <c r="K302" s="61" t="str">
        <f aca="false">IFERROR(IF([1]对账明细接口!$K$302=0,"",[1]对账明细接口!$K$302),"")</f>
        <v/>
      </c>
      <c r="L302" s="59" t="str">
        <f aca="false">IFERROR(IF([1]对账明细接口!$L$302=0,"",[1]对账明细接口!$L$302),"")</f>
        <v/>
      </c>
      <c r="M302" s="59" t="str">
        <f aca="false">IFERROR(IF([1]对账明细接口!$M$302=0,"",[1]对账明细接口!$M$302),"")</f>
        <v/>
      </c>
      <c r="N302" s="111" t="n">
        <f aca="false">IF($C302="",0,1)</f>
        <v>0</v>
      </c>
      <c r="O302" s="111" t="n">
        <f aca="false">N(O301)+$N302</f>
        <v>110</v>
      </c>
      <c r="S302" s="10" t="str">
        <f aca="false">IFERROR(IF([1]对账明细接口!$N302=0,"",[1]对账明细接口!$N302),"")</f>
        <v/>
      </c>
      <c r="T302" s="112" t="str">
        <f aca="false">IFERROR(IF([1]对账明细接口!$O302=0,"",[1]对账明细接口!$O302),"")</f>
        <v/>
      </c>
      <c r="U302" s="112" t="str">
        <f aca="false">IFERROR(IF([1]对账明细接口!$P302=0,"",[1]对账明细接口!$P302),"")</f>
        <v/>
      </c>
      <c r="V302" s="112" t="str">
        <f aca="false">IFERROR(IF([1]对账明细接口!$Q302=0,"",[1]对账明细接口!$Q302),"")</f>
        <v/>
      </c>
      <c r="W302" s="10" t="str">
        <f aca="false">IFERROR(IF([1]对账明细接口!$R302=0,"",[1]对账明细接口!$R302),"")</f>
        <v/>
      </c>
      <c r="X302" s="10" t="str">
        <f aca="false">IFERROR(IF([1]对账明细接口!$S302=0,"",[1]对账明细接口!$S302),"")</f>
        <v/>
      </c>
      <c r="Y302" s="10" t="str">
        <f aca="false">""</f>
        <v/>
      </c>
      <c r="Z302" s="10" t="str">
        <f aca="false">""</f>
        <v/>
      </c>
      <c r="AA302" s="10" t="str">
        <f aca="false">""</f>
        <v/>
      </c>
      <c r="AB302" s="10" t="str">
        <f aca="false">""</f>
        <v/>
      </c>
    </row>
    <row r="303" customFormat="false" ht="13.5" hidden="false" customHeight="false" outlineLevel="0" collapsed="false">
      <c r="A303" s="109" t="n">
        <v>303</v>
      </c>
      <c r="B303" s="110" t="str">
        <f aca="false">IFERROR(IF([1]对账明细接口!$B$303=0,"",[1]对账明细接口!$B$303),"")</f>
        <v/>
      </c>
      <c r="C303" s="59" t="str">
        <f aca="false">IFERROR(IF([1]对账明细接口!$C$303=0,"",[1]对账明细接口!$C$303),"")</f>
        <v/>
      </c>
      <c r="D303" s="59" t="str">
        <f aca="false">IFERROR(IF([1]对账明细接口!$D$303=0,"",[1]对账明细接口!$D$303),"")</f>
        <v/>
      </c>
      <c r="E303" s="59" t="str">
        <f aca="false">IFERROR(IF([1]对账明细接口!$E$303=0,"",[1]对账明细接口!$E$303),"")</f>
        <v/>
      </c>
      <c r="F303" s="59" t="str">
        <f aca="false">IFERROR(IF([1]对账明细接口!$F$303=0,"",[1]对账明细接口!$F$303),"")</f>
        <v/>
      </c>
      <c r="G303" s="59" t="str">
        <f aca="false">IFERROR(IF([1]对账明细接口!$G$303=0,"",[1]对账明细接口!$G$303),"")</f>
        <v/>
      </c>
      <c r="H303" s="60" t="str">
        <f aca="false">IFERROR(IF([1]对账明细接口!$H$303=0,"",[1]对账明细接口!$H$303),"")</f>
        <v/>
      </c>
      <c r="I303" s="59" t="str">
        <f aca="false">IFERROR(IF([1]对账明细接口!$I$303=0,"",[1]对账明细接口!$I$303),"")</f>
        <v/>
      </c>
      <c r="J303" s="61" t="str">
        <f aca="false">IFERROR(IF([1]对账明细接口!$J$303=0,"",[1]对账明细接口!$J$303),"")</f>
        <v/>
      </c>
      <c r="K303" s="61" t="str">
        <f aca="false">IFERROR(IF([1]对账明细接口!$K$303=0,"",[1]对账明细接口!$K$303),"")</f>
        <v/>
      </c>
      <c r="L303" s="59" t="str">
        <f aca="false">IFERROR(IF([1]对账明细接口!$L$303=0,"",[1]对账明细接口!$L$303),"")</f>
        <v/>
      </c>
      <c r="M303" s="59" t="str">
        <f aca="false">IFERROR(IF([1]对账明细接口!$M$303=0,"",[1]对账明细接口!$M$303),"")</f>
        <v/>
      </c>
      <c r="N303" s="111" t="n">
        <f aca="false">IF($C303="",0,1)</f>
        <v>0</v>
      </c>
      <c r="O303" s="111" t="n">
        <f aca="false">N(O302)+$N303</f>
        <v>110</v>
      </c>
      <c r="S303" s="10" t="str">
        <f aca="false">IFERROR(IF([1]对账明细接口!$N303=0,"",[1]对账明细接口!$N303),"")</f>
        <v/>
      </c>
      <c r="T303" s="112" t="str">
        <f aca="false">IFERROR(IF([1]对账明细接口!$O303=0,"",[1]对账明细接口!$O303),"")</f>
        <v/>
      </c>
      <c r="U303" s="112" t="str">
        <f aca="false">IFERROR(IF([1]对账明细接口!$P303=0,"",[1]对账明细接口!$P303),"")</f>
        <v/>
      </c>
      <c r="V303" s="112" t="str">
        <f aca="false">IFERROR(IF([1]对账明细接口!$Q303=0,"",[1]对账明细接口!$Q303),"")</f>
        <v/>
      </c>
      <c r="W303" s="10" t="str">
        <f aca="false">IFERROR(IF([1]对账明细接口!$R303=0,"",[1]对账明细接口!$R303),"")</f>
        <v/>
      </c>
      <c r="X303" s="10" t="str">
        <f aca="false">IFERROR(IF([1]对账明细接口!$S303=0,"",[1]对账明细接口!$S303),"")</f>
        <v/>
      </c>
      <c r="Y303" s="10" t="str">
        <f aca="false">""</f>
        <v/>
      </c>
      <c r="Z303" s="10" t="str">
        <f aca="false">""</f>
        <v/>
      </c>
      <c r="AA303" s="10" t="str">
        <f aca="false">""</f>
        <v/>
      </c>
      <c r="AB303" s="10" t="str">
        <f aca="false">""</f>
        <v/>
      </c>
    </row>
    <row r="304" customFormat="false" ht="13.5" hidden="false" customHeight="false" outlineLevel="0" collapsed="false">
      <c r="A304" s="109" t="n">
        <v>304</v>
      </c>
      <c r="B304" s="110" t="str">
        <f aca="false">IFERROR(IF([1]对账明细接口!$B$304=0,"",[1]对账明细接口!$B$304),"")</f>
        <v/>
      </c>
      <c r="C304" s="59" t="str">
        <f aca="false">IFERROR(IF([1]对账明细接口!$C$304=0,"",[1]对账明细接口!$C$304),"")</f>
        <v/>
      </c>
      <c r="D304" s="59" t="str">
        <f aca="false">IFERROR(IF([1]对账明细接口!$D$304=0,"",[1]对账明细接口!$D$304),"")</f>
        <v/>
      </c>
      <c r="E304" s="59" t="str">
        <f aca="false">IFERROR(IF([1]对账明细接口!$E$304=0,"",[1]对账明细接口!$E$304),"")</f>
        <v/>
      </c>
      <c r="F304" s="59" t="str">
        <f aca="false">IFERROR(IF([1]对账明细接口!$F$304=0,"",[1]对账明细接口!$F$304),"")</f>
        <v/>
      </c>
      <c r="G304" s="59" t="str">
        <f aca="false">IFERROR(IF([1]对账明细接口!$G$304=0,"",[1]对账明细接口!$G$304),"")</f>
        <v/>
      </c>
      <c r="H304" s="60" t="str">
        <f aca="false">IFERROR(IF([1]对账明细接口!$H$304=0,"",[1]对账明细接口!$H$304),"")</f>
        <v/>
      </c>
      <c r="I304" s="59" t="str">
        <f aca="false">IFERROR(IF([1]对账明细接口!$I$304=0,"",[1]对账明细接口!$I$304),"")</f>
        <v/>
      </c>
      <c r="J304" s="61" t="str">
        <f aca="false">IFERROR(IF([1]对账明细接口!$J$304=0,"",[1]对账明细接口!$J$304),"")</f>
        <v/>
      </c>
      <c r="K304" s="61" t="str">
        <f aca="false">IFERROR(IF([1]对账明细接口!$K$304=0,"",[1]对账明细接口!$K$304),"")</f>
        <v/>
      </c>
      <c r="L304" s="59" t="str">
        <f aca="false">IFERROR(IF([1]对账明细接口!$L$304=0,"",[1]对账明细接口!$L$304),"")</f>
        <v/>
      </c>
      <c r="M304" s="59" t="str">
        <f aca="false">IFERROR(IF([1]对账明细接口!$M$304=0,"",[1]对账明细接口!$M$304),"")</f>
        <v/>
      </c>
      <c r="N304" s="111" t="n">
        <f aca="false">IF($C304="",0,1)</f>
        <v>0</v>
      </c>
      <c r="O304" s="111" t="n">
        <f aca="false">N(O303)+$N304</f>
        <v>110</v>
      </c>
      <c r="S304" s="10" t="str">
        <f aca="false">IFERROR(IF([1]对账明细接口!$N304=0,"",[1]对账明细接口!$N304),"")</f>
        <v/>
      </c>
      <c r="T304" s="112" t="str">
        <f aca="false">IFERROR(IF([1]对账明细接口!$O304=0,"",[1]对账明细接口!$O304),"")</f>
        <v/>
      </c>
      <c r="U304" s="112" t="str">
        <f aca="false">IFERROR(IF([1]对账明细接口!$P304=0,"",[1]对账明细接口!$P304),"")</f>
        <v/>
      </c>
      <c r="V304" s="112" t="str">
        <f aca="false">IFERROR(IF([1]对账明细接口!$Q304=0,"",[1]对账明细接口!$Q304),"")</f>
        <v/>
      </c>
      <c r="W304" s="10" t="str">
        <f aca="false">IFERROR(IF([1]对账明细接口!$R304=0,"",[1]对账明细接口!$R304),"")</f>
        <v/>
      </c>
      <c r="X304" s="10" t="str">
        <f aca="false">IFERROR(IF([1]对账明细接口!$S304=0,"",[1]对账明细接口!$S304),"")</f>
        <v/>
      </c>
      <c r="Y304" s="10" t="str">
        <f aca="false">""</f>
        <v/>
      </c>
      <c r="Z304" s="10" t="str">
        <f aca="false">""</f>
        <v/>
      </c>
      <c r="AA304" s="10" t="str">
        <f aca="false">""</f>
        <v/>
      </c>
      <c r="AB304" s="10" t="str">
        <f aca="false">""</f>
        <v/>
      </c>
    </row>
    <row r="305" customFormat="false" ht="13.5" hidden="false" customHeight="false" outlineLevel="0" collapsed="false">
      <c r="A305" s="109" t="n">
        <v>305</v>
      </c>
      <c r="B305" s="110" t="str">
        <f aca="false">IFERROR(IF([1]对账明细接口!$B$305=0,"",[1]对账明细接口!$B$305),"")</f>
        <v/>
      </c>
      <c r="C305" s="59" t="str">
        <f aca="false">IFERROR(IF([1]对账明细接口!$C$305=0,"",[1]对账明细接口!$C$305),"")</f>
        <v/>
      </c>
      <c r="D305" s="59" t="str">
        <f aca="false">IFERROR(IF([1]对账明细接口!$D$305=0,"",[1]对账明细接口!$D$305),"")</f>
        <v/>
      </c>
      <c r="E305" s="59" t="str">
        <f aca="false">IFERROR(IF([1]对账明细接口!$E$305=0,"",[1]对账明细接口!$E$305),"")</f>
        <v/>
      </c>
      <c r="F305" s="59" t="str">
        <f aca="false">IFERROR(IF([1]对账明细接口!$F$305=0,"",[1]对账明细接口!$F$305),"")</f>
        <v/>
      </c>
      <c r="G305" s="59" t="str">
        <f aca="false">IFERROR(IF([1]对账明细接口!$G$305=0,"",[1]对账明细接口!$G$305),"")</f>
        <v/>
      </c>
      <c r="H305" s="60" t="str">
        <f aca="false">IFERROR(IF([1]对账明细接口!$H$305=0,"",[1]对账明细接口!$H$305),"")</f>
        <v/>
      </c>
      <c r="I305" s="59" t="str">
        <f aca="false">IFERROR(IF([1]对账明细接口!$I$305=0,"",[1]对账明细接口!$I$305),"")</f>
        <v/>
      </c>
      <c r="J305" s="61" t="str">
        <f aca="false">IFERROR(IF([1]对账明细接口!$J$305=0,"",[1]对账明细接口!$J$305),"")</f>
        <v/>
      </c>
      <c r="K305" s="61" t="str">
        <f aca="false">IFERROR(IF([1]对账明细接口!$K$305=0,"",[1]对账明细接口!$K$305),"")</f>
        <v/>
      </c>
      <c r="L305" s="59" t="str">
        <f aca="false">IFERROR(IF([1]对账明细接口!$L$305=0,"",[1]对账明细接口!$L$305),"")</f>
        <v/>
      </c>
      <c r="M305" s="59" t="str">
        <f aca="false">IFERROR(IF([1]对账明细接口!$M$305=0,"",[1]对账明细接口!$M$305),"")</f>
        <v/>
      </c>
      <c r="N305" s="111" t="n">
        <f aca="false">IF($C305="",0,1)</f>
        <v>0</v>
      </c>
      <c r="O305" s="111" t="n">
        <f aca="false">N(O304)+$N305</f>
        <v>110</v>
      </c>
      <c r="S305" s="10" t="str">
        <f aca="false">IFERROR(IF([1]对账明细接口!$N305=0,"",[1]对账明细接口!$N305),"")</f>
        <v/>
      </c>
      <c r="T305" s="112" t="str">
        <f aca="false">IFERROR(IF([1]对账明细接口!$O305=0,"",[1]对账明细接口!$O305),"")</f>
        <v/>
      </c>
      <c r="U305" s="112" t="str">
        <f aca="false">IFERROR(IF([1]对账明细接口!$P305=0,"",[1]对账明细接口!$P305),"")</f>
        <v/>
      </c>
      <c r="V305" s="112" t="str">
        <f aca="false">IFERROR(IF([1]对账明细接口!$Q305=0,"",[1]对账明细接口!$Q305),"")</f>
        <v/>
      </c>
      <c r="W305" s="10" t="str">
        <f aca="false">IFERROR(IF([1]对账明细接口!$R305=0,"",[1]对账明细接口!$R305),"")</f>
        <v/>
      </c>
      <c r="X305" s="10" t="str">
        <f aca="false">IFERROR(IF([1]对账明细接口!$S305=0,"",[1]对账明细接口!$S305),"")</f>
        <v/>
      </c>
      <c r="Y305" s="10" t="str">
        <f aca="false">""</f>
        <v/>
      </c>
      <c r="Z305" s="10" t="str">
        <f aca="false">""</f>
        <v/>
      </c>
      <c r="AA305" s="10" t="str">
        <f aca="false">""</f>
        <v/>
      </c>
      <c r="AB305" s="10" t="str">
        <f aca="false">""</f>
        <v/>
      </c>
    </row>
    <row r="306" customFormat="false" ht="13.5" hidden="false" customHeight="false" outlineLevel="0" collapsed="false">
      <c r="A306" s="109" t="n">
        <v>306</v>
      </c>
      <c r="B306" s="110" t="str">
        <f aca="false">IFERROR(IF([1]对账明细接口!$B$306=0,"",[1]对账明细接口!$B$306),"")</f>
        <v/>
      </c>
      <c r="C306" s="59" t="str">
        <f aca="false">IFERROR(IF([1]对账明细接口!$C$306=0,"",[1]对账明细接口!$C$306),"")</f>
        <v/>
      </c>
      <c r="D306" s="59" t="str">
        <f aca="false">IFERROR(IF([1]对账明细接口!$D$306=0,"",[1]对账明细接口!$D$306),"")</f>
        <v/>
      </c>
      <c r="E306" s="59" t="str">
        <f aca="false">IFERROR(IF([1]对账明细接口!$E$306=0,"",[1]对账明细接口!$E$306),"")</f>
        <v/>
      </c>
      <c r="F306" s="59" t="str">
        <f aca="false">IFERROR(IF([1]对账明细接口!$F$306=0,"",[1]对账明细接口!$F$306),"")</f>
        <v/>
      </c>
      <c r="G306" s="59" t="str">
        <f aca="false">IFERROR(IF([1]对账明细接口!$G$306=0,"",[1]对账明细接口!$G$306),"")</f>
        <v/>
      </c>
      <c r="H306" s="60" t="str">
        <f aca="false">IFERROR(IF([1]对账明细接口!$H$306=0,"",[1]对账明细接口!$H$306),"")</f>
        <v/>
      </c>
      <c r="I306" s="59" t="str">
        <f aca="false">IFERROR(IF([1]对账明细接口!$I$306=0,"",[1]对账明细接口!$I$306),"")</f>
        <v/>
      </c>
      <c r="J306" s="61" t="str">
        <f aca="false">IFERROR(IF([1]对账明细接口!$J$306=0,"",[1]对账明细接口!$J$306),"")</f>
        <v/>
      </c>
      <c r="K306" s="61" t="str">
        <f aca="false">IFERROR(IF([1]对账明细接口!$K$306=0,"",[1]对账明细接口!$K$306),"")</f>
        <v/>
      </c>
      <c r="L306" s="59" t="str">
        <f aca="false">IFERROR(IF([1]对账明细接口!$L$306=0,"",[1]对账明细接口!$L$306),"")</f>
        <v/>
      </c>
      <c r="M306" s="59" t="str">
        <f aca="false">IFERROR(IF([1]对账明细接口!$M$306=0,"",[1]对账明细接口!$M$306),"")</f>
        <v/>
      </c>
      <c r="N306" s="111" t="n">
        <f aca="false">IF($C306="",0,1)</f>
        <v>0</v>
      </c>
      <c r="O306" s="111" t="n">
        <f aca="false">N(O305)+$N306</f>
        <v>110</v>
      </c>
      <c r="S306" s="10" t="str">
        <f aca="false">IFERROR(IF([1]对账明细接口!$N306=0,"",[1]对账明细接口!$N306),"")</f>
        <v/>
      </c>
      <c r="T306" s="112" t="str">
        <f aca="false">IFERROR(IF([1]对账明细接口!$O306=0,"",[1]对账明细接口!$O306),"")</f>
        <v/>
      </c>
      <c r="U306" s="112" t="str">
        <f aca="false">IFERROR(IF([1]对账明细接口!$P306=0,"",[1]对账明细接口!$P306),"")</f>
        <v/>
      </c>
      <c r="V306" s="112" t="str">
        <f aca="false">IFERROR(IF([1]对账明细接口!$Q306=0,"",[1]对账明细接口!$Q306),"")</f>
        <v/>
      </c>
      <c r="W306" s="10" t="str">
        <f aca="false">IFERROR(IF([1]对账明细接口!$R306=0,"",[1]对账明细接口!$R306),"")</f>
        <v/>
      </c>
      <c r="X306" s="10" t="str">
        <f aca="false">IFERROR(IF([1]对账明细接口!$S306=0,"",[1]对账明细接口!$S306),"")</f>
        <v/>
      </c>
      <c r="Y306" s="10" t="str">
        <f aca="false">""</f>
        <v/>
      </c>
      <c r="Z306" s="10" t="str">
        <f aca="false">""</f>
        <v/>
      </c>
      <c r="AA306" s="10" t="str">
        <f aca="false">""</f>
        <v/>
      </c>
      <c r="AB306" s="10" t="str">
        <f aca="false">""</f>
        <v/>
      </c>
    </row>
    <row r="307" customFormat="false" ht="13.5" hidden="false" customHeight="false" outlineLevel="0" collapsed="false">
      <c r="A307" s="109" t="n">
        <v>307</v>
      </c>
      <c r="B307" s="110" t="str">
        <f aca="false">IFERROR(IF([1]对账明细接口!$B$307=0,"",[1]对账明细接口!$B$307),"")</f>
        <v/>
      </c>
      <c r="C307" s="59" t="str">
        <f aca="false">IFERROR(IF([1]对账明细接口!$C$307=0,"",[1]对账明细接口!$C$307),"")</f>
        <v/>
      </c>
      <c r="D307" s="59" t="str">
        <f aca="false">IFERROR(IF([1]对账明细接口!$D$307=0,"",[1]对账明细接口!$D$307),"")</f>
        <v/>
      </c>
      <c r="E307" s="59" t="str">
        <f aca="false">IFERROR(IF([1]对账明细接口!$E$307=0,"",[1]对账明细接口!$E$307),"")</f>
        <v/>
      </c>
      <c r="F307" s="59" t="str">
        <f aca="false">IFERROR(IF([1]对账明细接口!$F$307=0,"",[1]对账明细接口!$F$307),"")</f>
        <v/>
      </c>
      <c r="G307" s="59" t="str">
        <f aca="false">IFERROR(IF([1]对账明细接口!$G$307=0,"",[1]对账明细接口!$G$307),"")</f>
        <v/>
      </c>
      <c r="H307" s="60" t="str">
        <f aca="false">IFERROR(IF([1]对账明细接口!$H$307=0,"",[1]对账明细接口!$H$307),"")</f>
        <v/>
      </c>
      <c r="I307" s="59" t="str">
        <f aca="false">IFERROR(IF([1]对账明细接口!$I$307=0,"",[1]对账明细接口!$I$307),"")</f>
        <v/>
      </c>
      <c r="J307" s="61" t="str">
        <f aca="false">IFERROR(IF([1]对账明细接口!$J$307=0,"",[1]对账明细接口!$J$307),"")</f>
        <v/>
      </c>
      <c r="K307" s="61" t="str">
        <f aca="false">IFERROR(IF([1]对账明细接口!$K$307=0,"",[1]对账明细接口!$K$307),"")</f>
        <v/>
      </c>
      <c r="L307" s="59" t="str">
        <f aca="false">IFERROR(IF([1]对账明细接口!$L$307=0,"",[1]对账明细接口!$L$307),"")</f>
        <v/>
      </c>
      <c r="M307" s="59" t="str">
        <f aca="false">IFERROR(IF([1]对账明细接口!$M$307=0,"",[1]对账明细接口!$M$307),"")</f>
        <v/>
      </c>
      <c r="N307" s="111" t="n">
        <f aca="false">IF($C307="",0,1)</f>
        <v>0</v>
      </c>
      <c r="O307" s="111" t="n">
        <f aca="false">N(O306)+$N307</f>
        <v>110</v>
      </c>
      <c r="S307" s="10" t="str">
        <f aca="false">IFERROR(IF([1]对账明细接口!$N307=0,"",[1]对账明细接口!$N307),"")</f>
        <v/>
      </c>
      <c r="T307" s="112" t="str">
        <f aca="false">IFERROR(IF([1]对账明细接口!$O307=0,"",[1]对账明细接口!$O307),"")</f>
        <v/>
      </c>
      <c r="U307" s="112" t="str">
        <f aca="false">IFERROR(IF([1]对账明细接口!$P307=0,"",[1]对账明细接口!$P307),"")</f>
        <v/>
      </c>
      <c r="V307" s="112" t="str">
        <f aca="false">IFERROR(IF([1]对账明细接口!$Q307=0,"",[1]对账明细接口!$Q307),"")</f>
        <v/>
      </c>
      <c r="W307" s="10" t="str">
        <f aca="false">IFERROR(IF([1]对账明细接口!$R307=0,"",[1]对账明细接口!$R307),"")</f>
        <v/>
      </c>
      <c r="X307" s="10" t="str">
        <f aca="false">IFERROR(IF([1]对账明细接口!$S307=0,"",[1]对账明细接口!$S307),"")</f>
        <v/>
      </c>
      <c r="Y307" s="10" t="str">
        <f aca="false">""</f>
        <v/>
      </c>
      <c r="Z307" s="10" t="str">
        <f aca="false">""</f>
        <v/>
      </c>
      <c r="AA307" s="10" t="str">
        <f aca="false">""</f>
        <v/>
      </c>
      <c r="AB307" s="10" t="str">
        <f aca="false">""</f>
        <v/>
      </c>
    </row>
    <row r="308" customFormat="false" ht="13.5" hidden="false" customHeight="false" outlineLevel="0" collapsed="false">
      <c r="A308" s="109" t="n">
        <v>308</v>
      </c>
      <c r="B308" s="110" t="str">
        <f aca="false">IFERROR(IF([1]对账明细接口!$B$308=0,"",[1]对账明细接口!$B$308),"")</f>
        <v/>
      </c>
      <c r="C308" s="59" t="str">
        <f aca="false">IFERROR(IF([1]对账明细接口!$C$308=0,"",[1]对账明细接口!$C$308),"")</f>
        <v/>
      </c>
      <c r="D308" s="59" t="str">
        <f aca="false">IFERROR(IF([1]对账明细接口!$D$308=0,"",[1]对账明细接口!$D$308),"")</f>
        <v/>
      </c>
      <c r="E308" s="59" t="str">
        <f aca="false">IFERROR(IF([1]对账明细接口!$E$308=0,"",[1]对账明细接口!$E$308),"")</f>
        <v/>
      </c>
      <c r="F308" s="59" t="str">
        <f aca="false">IFERROR(IF([1]对账明细接口!$F$308=0,"",[1]对账明细接口!$F$308),"")</f>
        <v/>
      </c>
      <c r="G308" s="59" t="str">
        <f aca="false">IFERROR(IF([1]对账明细接口!$G$308=0,"",[1]对账明细接口!$G$308),"")</f>
        <v/>
      </c>
      <c r="H308" s="60" t="str">
        <f aca="false">IFERROR(IF([1]对账明细接口!$H$308=0,"",[1]对账明细接口!$H$308),"")</f>
        <v/>
      </c>
      <c r="I308" s="59" t="str">
        <f aca="false">IFERROR(IF([1]对账明细接口!$I$308=0,"",[1]对账明细接口!$I$308),"")</f>
        <v/>
      </c>
      <c r="J308" s="61" t="str">
        <f aca="false">IFERROR(IF([1]对账明细接口!$J$308=0,"",[1]对账明细接口!$J$308),"")</f>
        <v/>
      </c>
      <c r="K308" s="61" t="str">
        <f aca="false">IFERROR(IF([1]对账明细接口!$K$308=0,"",[1]对账明细接口!$K$308),"")</f>
        <v/>
      </c>
      <c r="L308" s="59" t="str">
        <f aca="false">IFERROR(IF([1]对账明细接口!$L$308=0,"",[1]对账明细接口!$L$308),"")</f>
        <v/>
      </c>
      <c r="M308" s="59" t="str">
        <f aca="false">IFERROR(IF([1]对账明细接口!$M$308=0,"",[1]对账明细接口!$M$308),"")</f>
        <v/>
      </c>
      <c r="N308" s="111" t="n">
        <f aca="false">IF($C308="",0,1)</f>
        <v>0</v>
      </c>
      <c r="O308" s="111" t="n">
        <f aca="false">N(O307)+$N308</f>
        <v>110</v>
      </c>
      <c r="S308" s="10" t="str">
        <f aca="false">IFERROR(IF([1]对账明细接口!$N308=0,"",[1]对账明细接口!$N308),"")</f>
        <v/>
      </c>
      <c r="T308" s="112" t="str">
        <f aca="false">IFERROR(IF([1]对账明细接口!$O308=0,"",[1]对账明细接口!$O308),"")</f>
        <v/>
      </c>
      <c r="U308" s="112" t="str">
        <f aca="false">IFERROR(IF([1]对账明细接口!$P308=0,"",[1]对账明细接口!$P308),"")</f>
        <v/>
      </c>
      <c r="V308" s="112" t="str">
        <f aca="false">IFERROR(IF([1]对账明细接口!$Q308=0,"",[1]对账明细接口!$Q308),"")</f>
        <v/>
      </c>
      <c r="W308" s="10" t="str">
        <f aca="false">IFERROR(IF([1]对账明细接口!$R308=0,"",[1]对账明细接口!$R308),"")</f>
        <v/>
      </c>
      <c r="X308" s="10" t="str">
        <f aca="false">IFERROR(IF([1]对账明细接口!$S308=0,"",[1]对账明细接口!$S308),"")</f>
        <v/>
      </c>
      <c r="Y308" s="10" t="str">
        <f aca="false">""</f>
        <v/>
      </c>
      <c r="Z308" s="10" t="str">
        <f aca="false">""</f>
        <v/>
      </c>
      <c r="AA308" s="10" t="str">
        <f aca="false">""</f>
        <v/>
      </c>
      <c r="AB308" s="10" t="str">
        <f aca="false">""</f>
        <v/>
      </c>
    </row>
    <row r="309" customFormat="false" ht="13.5" hidden="false" customHeight="false" outlineLevel="0" collapsed="false">
      <c r="A309" s="109" t="n">
        <v>309</v>
      </c>
      <c r="B309" s="110" t="str">
        <f aca="false">IFERROR(IF([1]对账明细接口!$B$309=0,"",[1]对账明细接口!$B$309),"")</f>
        <v/>
      </c>
      <c r="C309" s="59" t="str">
        <f aca="false">IFERROR(IF([1]对账明细接口!$C$309=0,"",[1]对账明细接口!$C$309),"")</f>
        <v/>
      </c>
      <c r="D309" s="59" t="str">
        <f aca="false">IFERROR(IF([1]对账明细接口!$D$309=0,"",[1]对账明细接口!$D$309),"")</f>
        <v/>
      </c>
      <c r="E309" s="59" t="str">
        <f aca="false">IFERROR(IF([1]对账明细接口!$E$309=0,"",[1]对账明细接口!$E$309),"")</f>
        <v/>
      </c>
      <c r="F309" s="59" t="str">
        <f aca="false">IFERROR(IF([1]对账明细接口!$F$309=0,"",[1]对账明细接口!$F$309),"")</f>
        <v/>
      </c>
      <c r="G309" s="59" t="str">
        <f aca="false">IFERROR(IF([1]对账明细接口!$G$309=0,"",[1]对账明细接口!$G$309),"")</f>
        <v/>
      </c>
      <c r="H309" s="60" t="str">
        <f aca="false">IFERROR(IF([1]对账明细接口!$H$309=0,"",[1]对账明细接口!$H$309),"")</f>
        <v/>
      </c>
      <c r="I309" s="59" t="str">
        <f aca="false">IFERROR(IF([1]对账明细接口!$I$309=0,"",[1]对账明细接口!$I$309),"")</f>
        <v/>
      </c>
      <c r="J309" s="61" t="str">
        <f aca="false">IFERROR(IF([1]对账明细接口!$J$309=0,"",[1]对账明细接口!$J$309),"")</f>
        <v/>
      </c>
      <c r="K309" s="61" t="str">
        <f aca="false">IFERROR(IF([1]对账明细接口!$K$309=0,"",[1]对账明细接口!$K$309),"")</f>
        <v/>
      </c>
      <c r="L309" s="59" t="str">
        <f aca="false">IFERROR(IF([1]对账明细接口!$L$309=0,"",[1]对账明细接口!$L$309),"")</f>
        <v/>
      </c>
      <c r="M309" s="59" t="str">
        <f aca="false">IFERROR(IF([1]对账明细接口!$M$309=0,"",[1]对账明细接口!$M$309),"")</f>
        <v/>
      </c>
      <c r="N309" s="111" t="n">
        <f aca="false">IF($C309="",0,1)</f>
        <v>0</v>
      </c>
      <c r="O309" s="111" t="n">
        <f aca="false">N(O308)+$N309</f>
        <v>110</v>
      </c>
      <c r="S309" s="10" t="str">
        <f aca="false">IFERROR(IF([1]对账明细接口!$N309=0,"",[1]对账明细接口!$N309),"")</f>
        <v/>
      </c>
      <c r="T309" s="112" t="str">
        <f aca="false">IFERROR(IF([1]对账明细接口!$O309=0,"",[1]对账明细接口!$O309),"")</f>
        <v/>
      </c>
      <c r="U309" s="112" t="str">
        <f aca="false">IFERROR(IF([1]对账明细接口!$P309=0,"",[1]对账明细接口!$P309),"")</f>
        <v/>
      </c>
      <c r="V309" s="112" t="str">
        <f aca="false">IFERROR(IF([1]对账明细接口!$Q309=0,"",[1]对账明细接口!$Q309),"")</f>
        <v/>
      </c>
      <c r="W309" s="10" t="str">
        <f aca="false">IFERROR(IF([1]对账明细接口!$R309=0,"",[1]对账明细接口!$R309),"")</f>
        <v/>
      </c>
      <c r="X309" s="10" t="str">
        <f aca="false">IFERROR(IF([1]对账明细接口!$S309=0,"",[1]对账明细接口!$S309),"")</f>
        <v/>
      </c>
      <c r="Y309" s="10" t="str">
        <f aca="false">""</f>
        <v/>
      </c>
      <c r="Z309" s="10" t="str">
        <f aca="false">""</f>
        <v/>
      </c>
      <c r="AA309" s="10" t="str">
        <f aca="false">""</f>
        <v/>
      </c>
      <c r="AB309" s="10" t="str">
        <f aca="false">""</f>
        <v/>
      </c>
    </row>
    <row r="310" customFormat="false" ht="13.5" hidden="false" customHeight="false" outlineLevel="0" collapsed="false">
      <c r="A310" s="109" t="n">
        <v>310</v>
      </c>
      <c r="B310" s="110" t="str">
        <f aca="false">IFERROR(IF([1]对账明细接口!$B$310=0,"",[1]对账明细接口!$B$310),"")</f>
        <v/>
      </c>
      <c r="C310" s="59" t="str">
        <f aca="false">IFERROR(IF([1]对账明细接口!$C$310=0,"",[1]对账明细接口!$C$310),"")</f>
        <v/>
      </c>
      <c r="D310" s="59" t="str">
        <f aca="false">IFERROR(IF([1]对账明细接口!$D$310=0,"",[1]对账明细接口!$D$310),"")</f>
        <v/>
      </c>
      <c r="E310" s="59" t="str">
        <f aca="false">IFERROR(IF([1]对账明细接口!$E$310=0,"",[1]对账明细接口!$E$310),"")</f>
        <v/>
      </c>
      <c r="F310" s="59" t="str">
        <f aca="false">IFERROR(IF([1]对账明细接口!$F$310=0,"",[1]对账明细接口!$F$310),"")</f>
        <v/>
      </c>
      <c r="G310" s="59" t="str">
        <f aca="false">IFERROR(IF([1]对账明细接口!$G$310=0,"",[1]对账明细接口!$G$310),"")</f>
        <v/>
      </c>
      <c r="H310" s="60" t="str">
        <f aca="false">IFERROR(IF([1]对账明细接口!$H$310=0,"",[1]对账明细接口!$H$310),"")</f>
        <v/>
      </c>
      <c r="I310" s="59" t="str">
        <f aca="false">IFERROR(IF([1]对账明细接口!$I$310=0,"",[1]对账明细接口!$I$310),"")</f>
        <v/>
      </c>
      <c r="J310" s="61" t="str">
        <f aca="false">IFERROR(IF([1]对账明细接口!$J$310=0,"",[1]对账明细接口!$J$310),"")</f>
        <v/>
      </c>
      <c r="K310" s="61" t="str">
        <f aca="false">IFERROR(IF([1]对账明细接口!$K$310=0,"",[1]对账明细接口!$K$310),"")</f>
        <v/>
      </c>
      <c r="L310" s="59" t="str">
        <f aca="false">IFERROR(IF([1]对账明细接口!$L$310=0,"",[1]对账明细接口!$L$310),"")</f>
        <v/>
      </c>
      <c r="M310" s="59" t="str">
        <f aca="false">IFERROR(IF([1]对账明细接口!$M$310=0,"",[1]对账明细接口!$M$310),"")</f>
        <v/>
      </c>
      <c r="N310" s="111" t="n">
        <f aca="false">IF($C310="",0,1)</f>
        <v>0</v>
      </c>
      <c r="O310" s="111" t="n">
        <f aca="false">N(O309)+$N310</f>
        <v>110</v>
      </c>
      <c r="S310" s="10" t="str">
        <f aca="false">IFERROR(IF([1]对账明细接口!$N310=0,"",[1]对账明细接口!$N310),"")</f>
        <v/>
      </c>
      <c r="T310" s="112" t="str">
        <f aca="false">IFERROR(IF([1]对账明细接口!$O310=0,"",[1]对账明细接口!$O310),"")</f>
        <v/>
      </c>
      <c r="U310" s="112" t="str">
        <f aca="false">IFERROR(IF([1]对账明细接口!$P310=0,"",[1]对账明细接口!$P310),"")</f>
        <v/>
      </c>
      <c r="V310" s="112" t="str">
        <f aca="false">IFERROR(IF([1]对账明细接口!$Q310=0,"",[1]对账明细接口!$Q310),"")</f>
        <v/>
      </c>
      <c r="W310" s="10" t="str">
        <f aca="false">IFERROR(IF([1]对账明细接口!$R310=0,"",[1]对账明细接口!$R310),"")</f>
        <v/>
      </c>
      <c r="X310" s="10" t="str">
        <f aca="false">IFERROR(IF([1]对账明细接口!$S310=0,"",[1]对账明细接口!$S310),"")</f>
        <v/>
      </c>
      <c r="Y310" s="10" t="str">
        <f aca="false">""</f>
        <v/>
      </c>
      <c r="Z310" s="10" t="str">
        <f aca="false">""</f>
        <v/>
      </c>
      <c r="AA310" s="10" t="str">
        <f aca="false">""</f>
        <v/>
      </c>
      <c r="AB310" s="10" t="str">
        <f aca="false">""</f>
        <v/>
      </c>
    </row>
    <row r="311" customFormat="false" ht="13.5" hidden="false" customHeight="false" outlineLevel="0" collapsed="false">
      <c r="A311" s="109" t="n">
        <v>311</v>
      </c>
      <c r="B311" s="110" t="str">
        <f aca="false">IFERROR(IF([1]对账明细接口!$B$311=0,"",[1]对账明细接口!$B$311),"")</f>
        <v/>
      </c>
      <c r="C311" s="59" t="str">
        <f aca="false">IFERROR(IF([1]对账明细接口!$C$311=0,"",[1]对账明细接口!$C$311),"")</f>
        <v/>
      </c>
      <c r="D311" s="59" t="str">
        <f aca="false">IFERROR(IF([1]对账明细接口!$D$311=0,"",[1]对账明细接口!$D$311),"")</f>
        <v/>
      </c>
      <c r="E311" s="59" t="str">
        <f aca="false">IFERROR(IF([1]对账明细接口!$E$311=0,"",[1]对账明细接口!$E$311),"")</f>
        <v/>
      </c>
      <c r="F311" s="59" t="str">
        <f aca="false">IFERROR(IF([1]对账明细接口!$F$311=0,"",[1]对账明细接口!$F$311),"")</f>
        <v/>
      </c>
      <c r="G311" s="59" t="str">
        <f aca="false">IFERROR(IF([1]对账明细接口!$G$311=0,"",[1]对账明细接口!$G$311),"")</f>
        <v/>
      </c>
      <c r="H311" s="60" t="str">
        <f aca="false">IFERROR(IF([1]对账明细接口!$H$311=0,"",[1]对账明细接口!$H$311),"")</f>
        <v/>
      </c>
      <c r="I311" s="59" t="str">
        <f aca="false">IFERROR(IF([1]对账明细接口!$I$311=0,"",[1]对账明细接口!$I$311),"")</f>
        <v/>
      </c>
      <c r="J311" s="61" t="str">
        <f aca="false">IFERROR(IF([1]对账明细接口!$J$311=0,"",[1]对账明细接口!$J$311),"")</f>
        <v/>
      </c>
      <c r="K311" s="61" t="str">
        <f aca="false">IFERROR(IF([1]对账明细接口!$K$311=0,"",[1]对账明细接口!$K$311),"")</f>
        <v/>
      </c>
      <c r="L311" s="59" t="str">
        <f aca="false">IFERROR(IF([1]对账明细接口!$L$311=0,"",[1]对账明细接口!$L$311),"")</f>
        <v/>
      </c>
      <c r="M311" s="59" t="str">
        <f aca="false">IFERROR(IF([1]对账明细接口!$M$311=0,"",[1]对账明细接口!$M$311),"")</f>
        <v/>
      </c>
      <c r="N311" s="111" t="n">
        <f aca="false">IF($C311="",0,1)</f>
        <v>0</v>
      </c>
      <c r="O311" s="111" t="n">
        <f aca="false">N(O310)+$N311</f>
        <v>110</v>
      </c>
      <c r="S311" s="10" t="str">
        <f aca="false">IFERROR(IF([1]对账明细接口!$N311=0,"",[1]对账明细接口!$N311),"")</f>
        <v/>
      </c>
      <c r="T311" s="112" t="str">
        <f aca="false">IFERROR(IF([1]对账明细接口!$O311=0,"",[1]对账明细接口!$O311),"")</f>
        <v/>
      </c>
      <c r="U311" s="112" t="str">
        <f aca="false">IFERROR(IF([1]对账明细接口!$P311=0,"",[1]对账明细接口!$P311),"")</f>
        <v/>
      </c>
      <c r="V311" s="112" t="str">
        <f aca="false">IFERROR(IF([1]对账明细接口!$Q311=0,"",[1]对账明细接口!$Q311),"")</f>
        <v/>
      </c>
      <c r="W311" s="10" t="str">
        <f aca="false">IFERROR(IF([1]对账明细接口!$R311=0,"",[1]对账明细接口!$R311),"")</f>
        <v/>
      </c>
      <c r="X311" s="10" t="str">
        <f aca="false">IFERROR(IF([1]对账明细接口!$S311=0,"",[1]对账明细接口!$S311),"")</f>
        <v/>
      </c>
      <c r="Y311" s="10" t="str">
        <f aca="false">""</f>
        <v/>
      </c>
      <c r="Z311" s="10" t="str">
        <f aca="false">""</f>
        <v/>
      </c>
      <c r="AA311" s="10" t="str">
        <f aca="false">""</f>
        <v/>
      </c>
      <c r="AB311" s="10" t="str">
        <f aca="false">""</f>
        <v/>
      </c>
    </row>
    <row r="312" customFormat="false" ht="13.5" hidden="false" customHeight="false" outlineLevel="0" collapsed="false">
      <c r="A312" s="109" t="n">
        <v>312</v>
      </c>
      <c r="B312" s="110" t="str">
        <f aca="false">IFERROR(IF([1]对账明细接口!$B$312=0,"",[1]对账明细接口!$B$312),"")</f>
        <v/>
      </c>
      <c r="C312" s="59" t="str">
        <f aca="false">IFERROR(IF([1]对账明细接口!$C$312=0,"",[1]对账明细接口!$C$312),"")</f>
        <v/>
      </c>
      <c r="D312" s="59" t="str">
        <f aca="false">IFERROR(IF([1]对账明细接口!$D$312=0,"",[1]对账明细接口!$D$312),"")</f>
        <v/>
      </c>
      <c r="E312" s="59" t="str">
        <f aca="false">IFERROR(IF([1]对账明细接口!$E$312=0,"",[1]对账明细接口!$E$312),"")</f>
        <v/>
      </c>
      <c r="F312" s="59" t="str">
        <f aca="false">IFERROR(IF([1]对账明细接口!$F$312=0,"",[1]对账明细接口!$F$312),"")</f>
        <v/>
      </c>
      <c r="G312" s="59" t="str">
        <f aca="false">IFERROR(IF([1]对账明细接口!$G$312=0,"",[1]对账明细接口!$G$312),"")</f>
        <v/>
      </c>
      <c r="H312" s="60" t="str">
        <f aca="false">IFERROR(IF([1]对账明细接口!$H$312=0,"",[1]对账明细接口!$H$312),"")</f>
        <v/>
      </c>
      <c r="I312" s="59" t="str">
        <f aca="false">IFERROR(IF([1]对账明细接口!$I$312=0,"",[1]对账明细接口!$I$312),"")</f>
        <v/>
      </c>
      <c r="J312" s="61" t="str">
        <f aca="false">IFERROR(IF([1]对账明细接口!$J$312=0,"",[1]对账明细接口!$J$312),"")</f>
        <v/>
      </c>
      <c r="K312" s="61" t="str">
        <f aca="false">IFERROR(IF([1]对账明细接口!$K$312=0,"",[1]对账明细接口!$K$312),"")</f>
        <v/>
      </c>
      <c r="L312" s="59" t="str">
        <f aca="false">IFERROR(IF([1]对账明细接口!$L$312=0,"",[1]对账明细接口!$L$312),"")</f>
        <v/>
      </c>
      <c r="M312" s="59" t="str">
        <f aca="false">IFERROR(IF([1]对账明细接口!$M$312=0,"",[1]对账明细接口!$M$312),"")</f>
        <v/>
      </c>
      <c r="N312" s="111" t="n">
        <f aca="false">IF($C312="",0,1)</f>
        <v>0</v>
      </c>
      <c r="O312" s="111" t="n">
        <f aca="false">N(O311)+$N312</f>
        <v>110</v>
      </c>
      <c r="S312" s="10" t="str">
        <f aca="false">IFERROR(IF([1]对账明细接口!$N312=0,"",[1]对账明细接口!$N312),"")</f>
        <v/>
      </c>
      <c r="T312" s="112" t="str">
        <f aca="false">IFERROR(IF([1]对账明细接口!$O312=0,"",[1]对账明细接口!$O312),"")</f>
        <v/>
      </c>
      <c r="U312" s="112" t="str">
        <f aca="false">IFERROR(IF([1]对账明细接口!$P312=0,"",[1]对账明细接口!$P312),"")</f>
        <v/>
      </c>
      <c r="V312" s="112" t="str">
        <f aca="false">IFERROR(IF([1]对账明细接口!$Q312=0,"",[1]对账明细接口!$Q312),"")</f>
        <v/>
      </c>
      <c r="W312" s="10" t="str">
        <f aca="false">IFERROR(IF([1]对账明细接口!$R312=0,"",[1]对账明细接口!$R312),"")</f>
        <v/>
      </c>
      <c r="X312" s="10" t="str">
        <f aca="false">IFERROR(IF([1]对账明细接口!$S312=0,"",[1]对账明细接口!$S312),"")</f>
        <v/>
      </c>
      <c r="Y312" s="10" t="str">
        <f aca="false">""</f>
        <v/>
      </c>
      <c r="Z312" s="10" t="str">
        <f aca="false">""</f>
        <v/>
      </c>
      <c r="AA312" s="10" t="str">
        <f aca="false">""</f>
        <v/>
      </c>
      <c r="AB312" s="10" t="str">
        <f aca="false">""</f>
        <v/>
      </c>
    </row>
    <row r="313" customFormat="false" ht="13.5" hidden="false" customHeight="false" outlineLevel="0" collapsed="false">
      <c r="A313" s="109" t="n">
        <v>313</v>
      </c>
      <c r="B313" s="110" t="str">
        <f aca="false">IFERROR(IF([1]对账明细接口!$B$313=0,"",[1]对账明细接口!$B$313),"")</f>
        <v/>
      </c>
      <c r="C313" s="59" t="str">
        <f aca="false">IFERROR(IF([1]对账明细接口!$C$313=0,"",[1]对账明细接口!$C$313),"")</f>
        <v/>
      </c>
      <c r="D313" s="59" t="str">
        <f aca="false">IFERROR(IF([1]对账明细接口!$D$313=0,"",[1]对账明细接口!$D$313),"")</f>
        <v/>
      </c>
      <c r="E313" s="59" t="str">
        <f aca="false">IFERROR(IF([1]对账明细接口!$E$313=0,"",[1]对账明细接口!$E$313),"")</f>
        <v/>
      </c>
      <c r="F313" s="59" t="str">
        <f aca="false">IFERROR(IF([1]对账明细接口!$F$313=0,"",[1]对账明细接口!$F$313),"")</f>
        <v/>
      </c>
      <c r="G313" s="59" t="str">
        <f aca="false">IFERROR(IF([1]对账明细接口!$G$313=0,"",[1]对账明细接口!$G$313),"")</f>
        <v/>
      </c>
      <c r="H313" s="60" t="str">
        <f aca="false">IFERROR(IF([1]对账明细接口!$H$313=0,"",[1]对账明细接口!$H$313),"")</f>
        <v/>
      </c>
      <c r="I313" s="59" t="str">
        <f aca="false">IFERROR(IF([1]对账明细接口!$I$313=0,"",[1]对账明细接口!$I$313),"")</f>
        <v/>
      </c>
      <c r="J313" s="61" t="str">
        <f aca="false">IFERROR(IF([1]对账明细接口!$J$313=0,"",[1]对账明细接口!$J$313),"")</f>
        <v/>
      </c>
      <c r="K313" s="61" t="str">
        <f aca="false">IFERROR(IF([1]对账明细接口!$K$313=0,"",[1]对账明细接口!$K$313),"")</f>
        <v/>
      </c>
      <c r="L313" s="59" t="str">
        <f aca="false">IFERROR(IF([1]对账明细接口!$L$313=0,"",[1]对账明细接口!$L$313),"")</f>
        <v/>
      </c>
      <c r="M313" s="59" t="str">
        <f aca="false">IFERROR(IF([1]对账明细接口!$M$313=0,"",[1]对账明细接口!$M$313),"")</f>
        <v/>
      </c>
      <c r="N313" s="111" t="n">
        <f aca="false">IF($C313="",0,1)</f>
        <v>0</v>
      </c>
      <c r="O313" s="111" t="n">
        <f aca="false">N(O312)+$N313</f>
        <v>110</v>
      </c>
      <c r="S313" s="10" t="str">
        <f aca="false">IFERROR(IF([1]对账明细接口!$N313=0,"",[1]对账明细接口!$N313),"")</f>
        <v/>
      </c>
      <c r="T313" s="112" t="str">
        <f aca="false">IFERROR(IF([1]对账明细接口!$O313=0,"",[1]对账明细接口!$O313),"")</f>
        <v/>
      </c>
      <c r="U313" s="112" t="str">
        <f aca="false">IFERROR(IF([1]对账明细接口!$P313=0,"",[1]对账明细接口!$P313),"")</f>
        <v/>
      </c>
      <c r="V313" s="112" t="str">
        <f aca="false">IFERROR(IF([1]对账明细接口!$Q313=0,"",[1]对账明细接口!$Q313),"")</f>
        <v/>
      </c>
      <c r="W313" s="10" t="str">
        <f aca="false">IFERROR(IF([1]对账明细接口!$R313=0,"",[1]对账明细接口!$R313),"")</f>
        <v/>
      </c>
      <c r="X313" s="10" t="str">
        <f aca="false">IFERROR(IF([1]对账明细接口!$S313=0,"",[1]对账明细接口!$S313),"")</f>
        <v/>
      </c>
      <c r="Y313" s="10" t="str">
        <f aca="false">""</f>
        <v/>
      </c>
      <c r="Z313" s="10" t="str">
        <f aca="false">""</f>
        <v/>
      </c>
      <c r="AA313" s="10" t="str">
        <f aca="false">""</f>
        <v/>
      </c>
      <c r="AB313" s="10" t="str">
        <f aca="false">""</f>
        <v/>
      </c>
    </row>
    <row r="314" customFormat="false" ht="13.5" hidden="false" customHeight="false" outlineLevel="0" collapsed="false">
      <c r="A314" s="109" t="n">
        <v>314</v>
      </c>
      <c r="B314" s="110" t="str">
        <f aca="false">IFERROR(IF([1]对账明细接口!$B$314=0,"",[1]对账明细接口!$B$314),"")</f>
        <v/>
      </c>
      <c r="C314" s="59" t="str">
        <f aca="false">IFERROR(IF([1]对账明细接口!$C$314=0,"",[1]对账明细接口!$C$314),"")</f>
        <v/>
      </c>
      <c r="D314" s="59" t="str">
        <f aca="false">IFERROR(IF([1]对账明细接口!$D$314=0,"",[1]对账明细接口!$D$314),"")</f>
        <v/>
      </c>
      <c r="E314" s="59" t="str">
        <f aca="false">IFERROR(IF([1]对账明细接口!$E$314=0,"",[1]对账明细接口!$E$314),"")</f>
        <v/>
      </c>
      <c r="F314" s="59" t="str">
        <f aca="false">IFERROR(IF([1]对账明细接口!$F$314=0,"",[1]对账明细接口!$F$314),"")</f>
        <v/>
      </c>
      <c r="G314" s="59" t="str">
        <f aca="false">IFERROR(IF([1]对账明细接口!$G$314=0,"",[1]对账明细接口!$G$314),"")</f>
        <v/>
      </c>
      <c r="H314" s="60" t="str">
        <f aca="false">IFERROR(IF([1]对账明细接口!$H$314=0,"",[1]对账明细接口!$H$314),"")</f>
        <v/>
      </c>
      <c r="I314" s="59" t="str">
        <f aca="false">IFERROR(IF([1]对账明细接口!$I$314=0,"",[1]对账明细接口!$I$314),"")</f>
        <v/>
      </c>
      <c r="J314" s="61" t="str">
        <f aca="false">IFERROR(IF([1]对账明细接口!$J$314=0,"",[1]对账明细接口!$J$314),"")</f>
        <v/>
      </c>
      <c r="K314" s="61" t="str">
        <f aca="false">IFERROR(IF([1]对账明细接口!$K$314=0,"",[1]对账明细接口!$K$314),"")</f>
        <v/>
      </c>
      <c r="L314" s="59" t="str">
        <f aca="false">IFERROR(IF([1]对账明细接口!$L$314=0,"",[1]对账明细接口!$L$314),"")</f>
        <v/>
      </c>
      <c r="M314" s="59" t="str">
        <f aca="false">IFERROR(IF([1]对账明细接口!$M$314=0,"",[1]对账明细接口!$M$314),"")</f>
        <v/>
      </c>
      <c r="N314" s="111" t="n">
        <f aca="false">IF($C314="",0,1)</f>
        <v>0</v>
      </c>
      <c r="O314" s="111" t="n">
        <f aca="false">N(O313)+$N314</f>
        <v>110</v>
      </c>
      <c r="S314" s="10" t="str">
        <f aca="false">IFERROR(IF([1]对账明细接口!$N314=0,"",[1]对账明细接口!$N314),"")</f>
        <v/>
      </c>
      <c r="T314" s="112" t="str">
        <f aca="false">IFERROR(IF([1]对账明细接口!$O314=0,"",[1]对账明细接口!$O314),"")</f>
        <v/>
      </c>
      <c r="U314" s="112" t="str">
        <f aca="false">IFERROR(IF([1]对账明细接口!$P314=0,"",[1]对账明细接口!$P314),"")</f>
        <v/>
      </c>
      <c r="V314" s="112" t="str">
        <f aca="false">IFERROR(IF([1]对账明细接口!$Q314=0,"",[1]对账明细接口!$Q314),"")</f>
        <v/>
      </c>
      <c r="W314" s="10" t="str">
        <f aca="false">IFERROR(IF([1]对账明细接口!$R314=0,"",[1]对账明细接口!$R314),"")</f>
        <v/>
      </c>
      <c r="X314" s="10" t="str">
        <f aca="false">IFERROR(IF([1]对账明细接口!$S314=0,"",[1]对账明细接口!$S314),"")</f>
        <v/>
      </c>
      <c r="Y314" s="10" t="str">
        <f aca="false">""</f>
        <v/>
      </c>
      <c r="Z314" s="10" t="str">
        <f aca="false">""</f>
        <v/>
      </c>
      <c r="AA314" s="10" t="str">
        <f aca="false">""</f>
        <v/>
      </c>
      <c r="AB314" s="10" t="str">
        <f aca="false">""</f>
        <v/>
      </c>
    </row>
    <row r="315" customFormat="false" ht="13.5" hidden="false" customHeight="false" outlineLevel="0" collapsed="false">
      <c r="A315" s="109" t="n">
        <v>315</v>
      </c>
      <c r="B315" s="110" t="str">
        <f aca="false">IFERROR(IF([1]对账明细接口!$B$315=0,"",[1]对账明细接口!$B$315),"")</f>
        <v/>
      </c>
      <c r="C315" s="59" t="str">
        <f aca="false">IFERROR(IF([1]对账明细接口!$C$315=0,"",[1]对账明细接口!$C$315),"")</f>
        <v/>
      </c>
      <c r="D315" s="59" t="str">
        <f aca="false">IFERROR(IF([1]对账明细接口!$D$315=0,"",[1]对账明细接口!$D$315),"")</f>
        <v/>
      </c>
      <c r="E315" s="59" t="str">
        <f aca="false">IFERROR(IF([1]对账明细接口!$E$315=0,"",[1]对账明细接口!$E$315),"")</f>
        <v/>
      </c>
      <c r="F315" s="59" t="str">
        <f aca="false">IFERROR(IF([1]对账明细接口!$F$315=0,"",[1]对账明细接口!$F$315),"")</f>
        <v/>
      </c>
      <c r="G315" s="59" t="str">
        <f aca="false">IFERROR(IF([1]对账明细接口!$G$315=0,"",[1]对账明细接口!$G$315),"")</f>
        <v/>
      </c>
      <c r="H315" s="60" t="str">
        <f aca="false">IFERROR(IF([1]对账明细接口!$H$315=0,"",[1]对账明细接口!$H$315),"")</f>
        <v/>
      </c>
      <c r="I315" s="59" t="str">
        <f aca="false">IFERROR(IF([1]对账明细接口!$I$315=0,"",[1]对账明细接口!$I$315),"")</f>
        <v/>
      </c>
      <c r="J315" s="61" t="str">
        <f aca="false">IFERROR(IF([1]对账明细接口!$J$315=0,"",[1]对账明细接口!$J$315),"")</f>
        <v/>
      </c>
      <c r="K315" s="61" t="str">
        <f aca="false">IFERROR(IF([1]对账明细接口!$K$315=0,"",[1]对账明细接口!$K$315),"")</f>
        <v/>
      </c>
      <c r="L315" s="59" t="str">
        <f aca="false">IFERROR(IF([1]对账明细接口!$L$315=0,"",[1]对账明细接口!$L$315),"")</f>
        <v/>
      </c>
      <c r="M315" s="59" t="str">
        <f aca="false">IFERROR(IF([1]对账明细接口!$M$315=0,"",[1]对账明细接口!$M$315),"")</f>
        <v/>
      </c>
      <c r="N315" s="111" t="n">
        <f aca="false">IF($C315="",0,1)</f>
        <v>0</v>
      </c>
      <c r="O315" s="111" t="n">
        <f aca="false">N(O314)+$N315</f>
        <v>110</v>
      </c>
      <c r="S315" s="10" t="str">
        <f aca="false">IFERROR(IF([1]对账明细接口!$N315=0,"",[1]对账明细接口!$N315),"")</f>
        <v/>
      </c>
      <c r="T315" s="112" t="str">
        <f aca="false">IFERROR(IF([1]对账明细接口!$O315=0,"",[1]对账明细接口!$O315),"")</f>
        <v/>
      </c>
      <c r="U315" s="112" t="str">
        <f aca="false">IFERROR(IF([1]对账明细接口!$P315=0,"",[1]对账明细接口!$P315),"")</f>
        <v/>
      </c>
      <c r="V315" s="112" t="str">
        <f aca="false">IFERROR(IF([1]对账明细接口!$Q315=0,"",[1]对账明细接口!$Q315),"")</f>
        <v/>
      </c>
      <c r="W315" s="10" t="str">
        <f aca="false">IFERROR(IF([1]对账明细接口!$R315=0,"",[1]对账明细接口!$R315),"")</f>
        <v/>
      </c>
      <c r="X315" s="10" t="str">
        <f aca="false">IFERROR(IF([1]对账明细接口!$S315=0,"",[1]对账明细接口!$S315),"")</f>
        <v/>
      </c>
      <c r="Y315" s="10" t="str">
        <f aca="false">""</f>
        <v/>
      </c>
      <c r="Z315" s="10" t="str">
        <f aca="false">""</f>
        <v/>
      </c>
      <c r="AA315" s="10" t="str">
        <f aca="false">""</f>
        <v/>
      </c>
      <c r="AB315" s="10" t="str">
        <f aca="false">""</f>
        <v/>
      </c>
    </row>
    <row r="316" customFormat="false" ht="13.5" hidden="false" customHeight="false" outlineLevel="0" collapsed="false">
      <c r="A316" s="109" t="n">
        <v>316</v>
      </c>
      <c r="B316" s="110" t="str">
        <f aca="false">IFERROR(IF([1]对账明细接口!$B$316=0,"",[1]对账明细接口!$B$316),"")</f>
        <v/>
      </c>
      <c r="C316" s="59" t="str">
        <f aca="false">IFERROR(IF([1]对账明细接口!$C$316=0,"",[1]对账明细接口!$C$316),"")</f>
        <v/>
      </c>
      <c r="D316" s="59" t="str">
        <f aca="false">IFERROR(IF([1]对账明细接口!$D$316=0,"",[1]对账明细接口!$D$316),"")</f>
        <v/>
      </c>
      <c r="E316" s="59" t="str">
        <f aca="false">IFERROR(IF([1]对账明细接口!$E$316=0,"",[1]对账明细接口!$E$316),"")</f>
        <v/>
      </c>
      <c r="F316" s="59" t="str">
        <f aca="false">IFERROR(IF([1]对账明细接口!$F$316=0,"",[1]对账明细接口!$F$316),"")</f>
        <v/>
      </c>
      <c r="G316" s="59" t="str">
        <f aca="false">IFERROR(IF([1]对账明细接口!$G$316=0,"",[1]对账明细接口!$G$316),"")</f>
        <v/>
      </c>
      <c r="H316" s="60" t="str">
        <f aca="false">IFERROR(IF([1]对账明细接口!$H$316=0,"",[1]对账明细接口!$H$316),"")</f>
        <v/>
      </c>
      <c r="I316" s="59" t="str">
        <f aca="false">IFERROR(IF([1]对账明细接口!$I$316=0,"",[1]对账明细接口!$I$316),"")</f>
        <v/>
      </c>
      <c r="J316" s="61" t="str">
        <f aca="false">IFERROR(IF([1]对账明细接口!$J$316=0,"",[1]对账明细接口!$J$316),"")</f>
        <v/>
      </c>
      <c r="K316" s="61" t="str">
        <f aca="false">IFERROR(IF([1]对账明细接口!$K$316=0,"",[1]对账明细接口!$K$316),"")</f>
        <v/>
      </c>
      <c r="L316" s="59" t="str">
        <f aca="false">IFERROR(IF([1]对账明细接口!$L$316=0,"",[1]对账明细接口!$L$316),"")</f>
        <v/>
      </c>
      <c r="M316" s="59" t="str">
        <f aca="false">IFERROR(IF([1]对账明细接口!$M$316=0,"",[1]对账明细接口!$M$316),"")</f>
        <v/>
      </c>
      <c r="N316" s="111" t="n">
        <f aca="false">IF($C316="",0,1)</f>
        <v>0</v>
      </c>
      <c r="O316" s="111" t="n">
        <f aca="false">N(O315)+$N316</f>
        <v>110</v>
      </c>
      <c r="S316" s="10" t="str">
        <f aca="false">IFERROR(IF([1]对账明细接口!$N316=0,"",[1]对账明细接口!$N316),"")</f>
        <v/>
      </c>
      <c r="T316" s="112" t="str">
        <f aca="false">IFERROR(IF([1]对账明细接口!$O316=0,"",[1]对账明细接口!$O316),"")</f>
        <v/>
      </c>
      <c r="U316" s="112" t="str">
        <f aca="false">IFERROR(IF([1]对账明细接口!$P316=0,"",[1]对账明细接口!$P316),"")</f>
        <v/>
      </c>
      <c r="V316" s="112" t="str">
        <f aca="false">IFERROR(IF([1]对账明细接口!$Q316=0,"",[1]对账明细接口!$Q316),"")</f>
        <v/>
      </c>
      <c r="W316" s="10" t="str">
        <f aca="false">IFERROR(IF([1]对账明细接口!$R316=0,"",[1]对账明细接口!$R316),"")</f>
        <v/>
      </c>
      <c r="X316" s="10" t="str">
        <f aca="false">IFERROR(IF([1]对账明细接口!$S316=0,"",[1]对账明细接口!$S316),"")</f>
        <v/>
      </c>
      <c r="Y316" s="10" t="str">
        <f aca="false">""</f>
        <v/>
      </c>
      <c r="Z316" s="10" t="str">
        <f aca="false">""</f>
        <v/>
      </c>
      <c r="AA316" s="10" t="str">
        <f aca="false">""</f>
        <v/>
      </c>
      <c r="AB316" s="10" t="str">
        <f aca="false">""</f>
        <v/>
      </c>
    </row>
    <row r="317" customFormat="false" ht="13.5" hidden="false" customHeight="false" outlineLevel="0" collapsed="false">
      <c r="A317" s="109" t="n">
        <v>317</v>
      </c>
      <c r="B317" s="110" t="str">
        <f aca="false">IFERROR(IF([1]对账明细接口!$B$317=0,"",[1]对账明细接口!$B$317),"")</f>
        <v/>
      </c>
      <c r="C317" s="59" t="str">
        <f aca="false">IFERROR(IF([1]对账明细接口!$C$317=0,"",[1]对账明细接口!$C$317),"")</f>
        <v/>
      </c>
      <c r="D317" s="59" t="str">
        <f aca="false">IFERROR(IF([1]对账明细接口!$D$317=0,"",[1]对账明细接口!$D$317),"")</f>
        <v/>
      </c>
      <c r="E317" s="59" t="str">
        <f aca="false">IFERROR(IF([1]对账明细接口!$E$317=0,"",[1]对账明细接口!$E$317),"")</f>
        <v/>
      </c>
      <c r="F317" s="59" t="str">
        <f aca="false">IFERROR(IF([1]对账明细接口!$F$317=0,"",[1]对账明细接口!$F$317),"")</f>
        <v/>
      </c>
      <c r="G317" s="59" t="str">
        <f aca="false">IFERROR(IF([1]对账明细接口!$G$317=0,"",[1]对账明细接口!$G$317),"")</f>
        <v/>
      </c>
      <c r="H317" s="60" t="str">
        <f aca="false">IFERROR(IF([1]对账明细接口!$H$317=0,"",[1]对账明细接口!$H$317),"")</f>
        <v/>
      </c>
      <c r="I317" s="59" t="str">
        <f aca="false">IFERROR(IF([1]对账明细接口!$I$317=0,"",[1]对账明细接口!$I$317),"")</f>
        <v/>
      </c>
      <c r="J317" s="61" t="str">
        <f aca="false">IFERROR(IF([1]对账明细接口!$J$317=0,"",[1]对账明细接口!$J$317),"")</f>
        <v/>
      </c>
      <c r="K317" s="61" t="str">
        <f aca="false">IFERROR(IF([1]对账明细接口!$K$317=0,"",[1]对账明细接口!$K$317),"")</f>
        <v/>
      </c>
      <c r="L317" s="59" t="str">
        <f aca="false">IFERROR(IF([1]对账明细接口!$L$317=0,"",[1]对账明细接口!$L$317),"")</f>
        <v/>
      </c>
      <c r="M317" s="59" t="str">
        <f aca="false">IFERROR(IF([1]对账明细接口!$M$317=0,"",[1]对账明细接口!$M$317),"")</f>
        <v/>
      </c>
      <c r="N317" s="111" t="n">
        <f aca="false">IF($C317="",0,1)</f>
        <v>0</v>
      </c>
      <c r="O317" s="111" t="n">
        <f aca="false">N(O316)+$N317</f>
        <v>110</v>
      </c>
      <c r="S317" s="10" t="str">
        <f aca="false">IFERROR(IF([1]对账明细接口!$N317=0,"",[1]对账明细接口!$N317),"")</f>
        <v/>
      </c>
      <c r="T317" s="112" t="str">
        <f aca="false">IFERROR(IF([1]对账明细接口!$O317=0,"",[1]对账明细接口!$O317),"")</f>
        <v/>
      </c>
      <c r="U317" s="112" t="str">
        <f aca="false">IFERROR(IF([1]对账明细接口!$P317=0,"",[1]对账明细接口!$P317),"")</f>
        <v/>
      </c>
      <c r="V317" s="112" t="str">
        <f aca="false">IFERROR(IF([1]对账明细接口!$Q317=0,"",[1]对账明细接口!$Q317),"")</f>
        <v/>
      </c>
      <c r="W317" s="10" t="str">
        <f aca="false">IFERROR(IF([1]对账明细接口!$R317=0,"",[1]对账明细接口!$R317),"")</f>
        <v/>
      </c>
      <c r="X317" s="10" t="str">
        <f aca="false">IFERROR(IF([1]对账明细接口!$S317=0,"",[1]对账明细接口!$S317),"")</f>
        <v/>
      </c>
      <c r="Y317" s="10" t="str">
        <f aca="false">""</f>
        <v/>
      </c>
      <c r="Z317" s="10" t="str">
        <f aca="false">""</f>
        <v/>
      </c>
      <c r="AA317" s="10" t="str">
        <f aca="false">""</f>
        <v/>
      </c>
      <c r="AB317" s="10" t="str">
        <f aca="false">""</f>
        <v/>
      </c>
    </row>
    <row r="318" customFormat="false" ht="13.5" hidden="false" customHeight="false" outlineLevel="0" collapsed="false">
      <c r="A318" s="109" t="n">
        <v>318</v>
      </c>
      <c r="B318" s="110" t="str">
        <f aca="false">IFERROR(IF([1]对账明细接口!$B$318=0,"",[1]对账明细接口!$B$318),"")</f>
        <v/>
      </c>
      <c r="C318" s="59" t="str">
        <f aca="false">IFERROR(IF([1]对账明细接口!$C$318=0,"",[1]对账明细接口!$C$318),"")</f>
        <v/>
      </c>
      <c r="D318" s="59" t="str">
        <f aca="false">IFERROR(IF([1]对账明细接口!$D$318=0,"",[1]对账明细接口!$D$318),"")</f>
        <v/>
      </c>
      <c r="E318" s="59" t="str">
        <f aca="false">IFERROR(IF([1]对账明细接口!$E$318=0,"",[1]对账明细接口!$E$318),"")</f>
        <v/>
      </c>
      <c r="F318" s="59" t="str">
        <f aca="false">IFERROR(IF([1]对账明细接口!$F$318=0,"",[1]对账明细接口!$F$318),"")</f>
        <v/>
      </c>
      <c r="G318" s="59" t="str">
        <f aca="false">IFERROR(IF([1]对账明细接口!$G$318=0,"",[1]对账明细接口!$G$318),"")</f>
        <v/>
      </c>
      <c r="H318" s="60" t="str">
        <f aca="false">IFERROR(IF([1]对账明细接口!$H$318=0,"",[1]对账明细接口!$H$318),"")</f>
        <v/>
      </c>
      <c r="I318" s="59" t="str">
        <f aca="false">IFERROR(IF([1]对账明细接口!$I$318=0,"",[1]对账明细接口!$I$318),"")</f>
        <v/>
      </c>
      <c r="J318" s="61" t="str">
        <f aca="false">IFERROR(IF([1]对账明细接口!$J$318=0,"",[1]对账明细接口!$J$318),"")</f>
        <v/>
      </c>
      <c r="K318" s="61" t="str">
        <f aca="false">IFERROR(IF([1]对账明细接口!$K$318=0,"",[1]对账明细接口!$K$318),"")</f>
        <v/>
      </c>
      <c r="L318" s="59" t="str">
        <f aca="false">IFERROR(IF([1]对账明细接口!$L$318=0,"",[1]对账明细接口!$L$318),"")</f>
        <v/>
      </c>
      <c r="M318" s="59" t="str">
        <f aca="false">IFERROR(IF([1]对账明细接口!$M$318=0,"",[1]对账明细接口!$M$318),"")</f>
        <v/>
      </c>
      <c r="N318" s="111" t="n">
        <f aca="false">IF($C318="",0,1)</f>
        <v>0</v>
      </c>
      <c r="O318" s="111" t="n">
        <f aca="false">N(O317)+$N318</f>
        <v>110</v>
      </c>
      <c r="S318" s="10" t="str">
        <f aca="false">IFERROR(IF([1]对账明细接口!$N318=0,"",[1]对账明细接口!$N318),"")</f>
        <v/>
      </c>
      <c r="T318" s="112" t="str">
        <f aca="false">IFERROR(IF([1]对账明细接口!$O318=0,"",[1]对账明细接口!$O318),"")</f>
        <v/>
      </c>
      <c r="U318" s="112" t="str">
        <f aca="false">IFERROR(IF([1]对账明细接口!$P318=0,"",[1]对账明细接口!$P318),"")</f>
        <v/>
      </c>
      <c r="V318" s="112" t="str">
        <f aca="false">IFERROR(IF([1]对账明细接口!$Q318=0,"",[1]对账明细接口!$Q318),"")</f>
        <v/>
      </c>
      <c r="W318" s="10" t="str">
        <f aca="false">IFERROR(IF([1]对账明细接口!$R318=0,"",[1]对账明细接口!$R318),"")</f>
        <v/>
      </c>
      <c r="X318" s="10" t="str">
        <f aca="false">IFERROR(IF([1]对账明细接口!$S318=0,"",[1]对账明细接口!$S318),"")</f>
        <v/>
      </c>
      <c r="Y318" s="10" t="str">
        <f aca="false">""</f>
        <v/>
      </c>
      <c r="Z318" s="10" t="str">
        <f aca="false">""</f>
        <v/>
      </c>
      <c r="AA318" s="10" t="str">
        <f aca="false">""</f>
        <v/>
      </c>
      <c r="AB318" s="10" t="str">
        <f aca="false">""</f>
        <v/>
      </c>
    </row>
    <row r="319" customFormat="false" ht="13.5" hidden="false" customHeight="false" outlineLevel="0" collapsed="false">
      <c r="A319" s="109" t="n">
        <v>319</v>
      </c>
      <c r="B319" s="110" t="str">
        <f aca="false">IFERROR(IF([1]对账明细接口!$B$319=0,"",[1]对账明细接口!$B$319),"")</f>
        <v/>
      </c>
      <c r="C319" s="59" t="str">
        <f aca="false">IFERROR(IF([1]对账明细接口!$C$319=0,"",[1]对账明细接口!$C$319),"")</f>
        <v/>
      </c>
      <c r="D319" s="59" t="str">
        <f aca="false">IFERROR(IF([1]对账明细接口!$D$319=0,"",[1]对账明细接口!$D$319),"")</f>
        <v/>
      </c>
      <c r="E319" s="59" t="str">
        <f aca="false">IFERROR(IF([1]对账明细接口!$E$319=0,"",[1]对账明细接口!$E$319),"")</f>
        <v/>
      </c>
      <c r="F319" s="59" t="str">
        <f aca="false">IFERROR(IF([1]对账明细接口!$F$319=0,"",[1]对账明细接口!$F$319),"")</f>
        <v/>
      </c>
      <c r="G319" s="59" t="str">
        <f aca="false">IFERROR(IF([1]对账明细接口!$G$319=0,"",[1]对账明细接口!$G$319),"")</f>
        <v/>
      </c>
      <c r="H319" s="60" t="str">
        <f aca="false">IFERROR(IF([1]对账明细接口!$H$319=0,"",[1]对账明细接口!$H$319),"")</f>
        <v/>
      </c>
      <c r="I319" s="59" t="str">
        <f aca="false">IFERROR(IF([1]对账明细接口!$I$319=0,"",[1]对账明细接口!$I$319),"")</f>
        <v/>
      </c>
      <c r="J319" s="61" t="str">
        <f aca="false">IFERROR(IF([1]对账明细接口!$J$319=0,"",[1]对账明细接口!$J$319),"")</f>
        <v/>
      </c>
      <c r="K319" s="61" t="str">
        <f aca="false">IFERROR(IF([1]对账明细接口!$K$319=0,"",[1]对账明细接口!$K$319),"")</f>
        <v/>
      </c>
      <c r="L319" s="59" t="str">
        <f aca="false">IFERROR(IF([1]对账明细接口!$L$319=0,"",[1]对账明细接口!$L$319),"")</f>
        <v/>
      </c>
      <c r="M319" s="59" t="str">
        <f aca="false">IFERROR(IF([1]对账明细接口!$M$319=0,"",[1]对账明细接口!$M$319),"")</f>
        <v/>
      </c>
      <c r="N319" s="111" t="n">
        <f aca="false">IF($C319="",0,1)</f>
        <v>0</v>
      </c>
      <c r="O319" s="111" t="n">
        <f aca="false">N(O318)+$N319</f>
        <v>110</v>
      </c>
      <c r="S319" s="10" t="str">
        <f aca="false">IFERROR(IF([1]对账明细接口!$N319=0,"",[1]对账明细接口!$N319),"")</f>
        <v/>
      </c>
      <c r="T319" s="112" t="str">
        <f aca="false">IFERROR(IF([1]对账明细接口!$O319=0,"",[1]对账明细接口!$O319),"")</f>
        <v/>
      </c>
      <c r="U319" s="112" t="str">
        <f aca="false">IFERROR(IF([1]对账明细接口!$P319=0,"",[1]对账明细接口!$P319),"")</f>
        <v/>
      </c>
      <c r="V319" s="112" t="str">
        <f aca="false">IFERROR(IF([1]对账明细接口!$Q319=0,"",[1]对账明细接口!$Q319),"")</f>
        <v/>
      </c>
      <c r="W319" s="10" t="str">
        <f aca="false">IFERROR(IF([1]对账明细接口!$R319=0,"",[1]对账明细接口!$R319),"")</f>
        <v/>
      </c>
      <c r="X319" s="10" t="str">
        <f aca="false">IFERROR(IF([1]对账明细接口!$S319=0,"",[1]对账明细接口!$S319),"")</f>
        <v/>
      </c>
      <c r="Y319" s="10" t="str">
        <f aca="false">""</f>
        <v/>
      </c>
      <c r="Z319" s="10" t="str">
        <f aca="false">""</f>
        <v/>
      </c>
      <c r="AA319" s="10" t="str">
        <f aca="false">""</f>
        <v/>
      </c>
      <c r="AB319" s="10" t="str">
        <f aca="false">""</f>
        <v/>
      </c>
    </row>
    <row r="320" customFormat="false" ht="13.5" hidden="false" customHeight="false" outlineLevel="0" collapsed="false">
      <c r="A320" s="109" t="n">
        <v>320</v>
      </c>
      <c r="B320" s="110" t="str">
        <f aca="false">IFERROR(IF([1]对账明细接口!$B$320=0,"",[1]对账明细接口!$B$320),"")</f>
        <v/>
      </c>
      <c r="C320" s="59" t="str">
        <f aca="false">IFERROR(IF([1]对账明细接口!$C$320=0,"",[1]对账明细接口!$C$320),"")</f>
        <v/>
      </c>
      <c r="D320" s="59" t="str">
        <f aca="false">IFERROR(IF([1]对账明细接口!$D$320=0,"",[1]对账明细接口!$D$320),"")</f>
        <v/>
      </c>
      <c r="E320" s="59" t="str">
        <f aca="false">IFERROR(IF([1]对账明细接口!$E$320=0,"",[1]对账明细接口!$E$320),"")</f>
        <v/>
      </c>
      <c r="F320" s="59" t="str">
        <f aca="false">IFERROR(IF([1]对账明细接口!$F$320=0,"",[1]对账明细接口!$F$320),"")</f>
        <v/>
      </c>
      <c r="G320" s="59" t="str">
        <f aca="false">IFERROR(IF([1]对账明细接口!$G$320=0,"",[1]对账明细接口!$G$320),"")</f>
        <v/>
      </c>
      <c r="H320" s="60" t="str">
        <f aca="false">IFERROR(IF([1]对账明细接口!$H$320=0,"",[1]对账明细接口!$H$320),"")</f>
        <v/>
      </c>
      <c r="I320" s="59" t="str">
        <f aca="false">IFERROR(IF([1]对账明细接口!$I$320=0,"",[1]对账明细接口!$I$320),"")</f>
        <v/>
      </c>
      <c r="J320" s="61" t="str">
        <f aca="false">IFERROR(IF([1]对账明细接口!$J$320=0,"",[1]对账明细接口!$J$320),"")</f>
        <v/>
      </c>
      <c r="K320" s="61" t="str">
        <f aca="false">IFERROR(IF([1]对账明细接口!$K$320=0,"",[1]对账明细接口!$K$320),"")</f>
        <v/>
      </c>
      <c r="L320" s="59" t="str">
        <f aca="false">IFERROR(IF([1]对账明细接口!$L$320=0,"",[1]对账明细接口!$L$320),"")</f>
        <v/>
      </c>
      <c r="M320" s="59" t="str">
        <f aca="false">IFERROR(IF([1]对账明细接口!$M$320=0,"",[1]对账明细接口!$M$320),"")</f>
        <v/>
      </c>
      <c r="N320" s="111" t="n">
        <f aca="false">IF($C320="",0,1)</f>
        <v>0</v>
      </c>
      <c r="O320" s="111" t="n">
        <f aca="false">N(O319)+$N320</f>
        <v>110</v>
      </c>
      <c r="S320" s="10" t="str">
        <f aca="false">IFERROR(IF([1]对账明细接口!$N320=0,"",[1]对账明细接口!$N320),"")</f>
        <v/>
      </c>
      <c r="T320" s="112" t="str">
        <f aca="false">IFERROR(IF([1]对账明细接口!$O320=0,"",[1]对账明细接口!$O320),"")</f>
        <v/>
      </c>
      <c r="U320" s="112" t="str">
        <f aca="false">IFERROR(IF([1]对账明细接口!$P320=0,"",[1]对账明细接口!$P320),"")</f>
        <v/>
      </c>
      <c r="V320" s="112" t="str">
        <f aca="false">IFERROR(IF([1]对账明细接口!$Q320=0,"",[1]对账明细接口!$Q320),"")</f>
        <v/>
      </c>
      <c r="W320" s="10" t="str">
        <f aca="false">IFERROR(IF([1]对账明细接口!$R320=0,"",[1]对账明细接口!$R320),"")</f>
        <v/>
      </c>
      <c r="X320" s="10" t="str">
        <f aca="false">IFERROR(IF([1]对账明细接口!$S320=0,"",[1]对账明细接口!$S320),"")</f>
        <v/>
      </c>
      <c r="Y320" s="10" t="str">
        <f aca="false">""</f>
        <v/>
      </c>
      <c r="Z320" s="10" t="str">
        <f aca="false">""</f>
        <v/>
      </c>
      <c r="AA320" s="10" t="str">
        <f aca="false">""</f>
        <v/>
      </c>
      <c r="AB320" s="10" t="str">
        <f aca="false">""</f>
        <v/>
      </c>
    </row>
    <row r="321" customFormat="false" ht="13.5" hidden="false" customHeight="false" outlineLevel="0" collapsed="false">
      <c r="A321" s="109" t="n">
        <v>321</v>
      </c>
      <c r="B321" s="110" t="str">
        <f aca="false">IFERROR(IF([1]对账明细接口!$B$321=0,"",[1]对账明细接口!$B$321),"")</f>
        <v/>
      </c>
      <c r="C321" s="59" t="str">
        <f aca="false">IFERROR(IF([1]对账明细接口!$C$321=0,"",[1]对账明细接口!$C$321),"")</f>
        <v/>
      </c>
      <c r="D321" s="59" t="str">
        <f aca="false">IFERROR(IF([1]对账明细接口!$D$321=0,"",[1]对账明细接口!$D$321),"")</f>
        <v/>
      </c>
      <c r="E321" s="59" t="str">
        <f aca="false">IFERROR(IF([1]对账明细接口!$E$321=0,"",[1]对账明细接口!$E$321),"")</f>
        <v/>
      </c>
      <c r="F321" s="59" t="str">
        <f aca="false">IFERROR(IF([1]对账明细接口!$F$321=0,"",[1]对账明细接口!$F$321),"")</f>
        <v/>
      </c>
      <c r="G321" s="59" t="str">
        <f aca="false">IFERROR(IF([1]对账明细接口!$G$321=0,"",[1]对账明细接口!$G$321),"")</f>
        <v/>
      </c>
      <c r="H321" s="60" t="str">
        <f aca="false">IFERROR(IF([1]对账明细接口!$H$321=0,"",[1]对账明细接口!$H$321),"")</f>
        <v/>
      </c>
      <c r="I321" s="59" t="str">
        <f aca="false">IFERROR(IF([1]对账明细接口!$I$321=0,"",[1]对账明细接口!$I$321),"")</f>
        <v/>
      </c>
      <c r="J321" s="61" t="str">
        <f aca="false">IFERROR(IF([1]对账明细接口!$J$321=0,"",[1]对账明细接口!$J$321),"")</f>
        <v/>
      </c>
      <c r="K321" s="61" t="str">
        <f aca="false">IFERROR(IF([1]对账明细接口!$K$321=0,"",[1]对账明细接口!$K$321),"")</f>
        <v/>
      </c>
      <c r="L321" s="59" t="str">
        <f aca="false">IFERROR(IF([1]对账明细接口!$L$321=0,"",[1]对账明细接口!$L$321),"")</f>
        <v/>
      </c>
      <c r="M321" s="59" t="str">
        <f aca="false">IFERROR(IF([1]对账明细接口!$M$321=0,"",[1]对账明细接口!$M$321),"")</f>
        <v/>
      </c>
      <c r="N321" s="111" t="n">
        <f aca="false">IF($C321="",0,1)</f>
        <v>0</v>
      </c>
      <c r="O321" s="111" t="n">
        <f aca="false">N(O320)+$N321</f>
        <v>110</v>
      </c>
      <c r="S321" s="10" t="str">
        <f aca="false">IFERROR(IF([1]对账明细接口!$N321=0,"",[1]对账明细接口!$N321),"")</f>
        <v/>
      </c>
      <c r="T321" s="112" t="str">
        <f aca="false">IFERROR(IF([1]对账明细接口!$O321=0,"",[1]对账明细接口!$O321),"")</f>
        <v/>
      </c>
      <c r="U321" s="112" t="str">
        <f aca="false">IFERROR(IF([1]对账明细接口!$P321=0,"",[1]对账明细接口!$P321),"")</f>
        <v/>
      </c>
      <c r="V321" s="112" t="str">
        <f aca="false">IFERROR(IF([1]对账明细接口!$Q321=0,"",[1]对账明细接口!$Q321),"")</f>
        <v/>
      </c>
      <c r="W321" s="10" t="str">
        <f aca="false">IFERROR(IF([1]对账明细接口!$R321=0,"",[1]对账明细接口!$R321),"")</f>
        <v/>
      </c>
      <c r="X321" s="10" t="str">
        <f aca="false">IFERROR(IF([1]对账明细接口!$S321=0,"",[1]对账明细接口!$S321),"")</f>
        <v/>
      </c>
      <c r="Y321" s="10" t="str">
        <f aca="false">""</f>
        <v/>
      </c>
      <c r="Z321" s="10" t="str">
        <f aca="false">""</f>
        <v/>
      </c>
      <c r="AA321" s="10" t="str">
        <f aca="false">""</f>
        <v/>
      </c>
      <c r="AB321" s="10" t="str">
        <f aca="false">""</f>
        <v/>
      </c>
    </row>
    <row r="322" customFormat="false" ht="13.5" hidden="false" customHeight="false" outlineLevel="0" collapsed="false">
      <c r="A322" s="109" t="n">
        <v>322</v>
      </c>
      <c r="B322" s="110" t="str">
        <f aca="false">IFERROR(IF([1]对账明细接口!$B$322=0,"",[1]对账明细接口!$B$322),"")</f>
        <v/>
      </c>
      <c r="C322" s="59" t="str">
        <f aca="false">IFERROR(IF([1]对账明细接口!$C$322=0,"",[1]对账明细接口!$C$322),"")</f>
        <v/>
      </c>
      <c r="D322" s="59" t="str">
        <f aca="false">IFERROR(IF([1]对账明细接口!$D$322=0,"",[1]对账明细接口!$D$322),"")</f>
        <v/>
      </c>
      <c r="E322" s="59" t="str">
        <f aca="false">IFERROR(IF([1]对账明细接口!$E$322=0,"",[1]对账明细接口!$E$322),"")</f>
        <v/>
      </c>
      <c r="F322" s="59" t="str">
        <f aca="false">IFERROR(IF([1]对账明细接口!$F$322=0,"",[1]对账明细接口!$F$322),"")</f>
        <v/>
      </c>
      <c r="G322" s="59" t="str">
        <f aca="false">IFERROR(IF([1]对账明细接口!$G$322=0,"",[1]对账明细接口!$G$322),"")</f>
        <v/>
      </c>
      <c r="H322" s="60" t="str">
        <f aca="false">IFERROR(IF([1]对账明细接口!$H$322=0,"",[1]对账明细接口!$H$322),"")</f>
        <v/>
      </c>
      <c r="I322" s="59" t="str">
        <f aca="false">IFERROR(IF([1]对账明细接口!$I$322=0,"",[1]对账明细接口!$I$322),"")</f>
        <v/>
      </c>
      <c r="J322" s="61" t="str">
        <f aca="false">IFERROR(IF([1]对账明细接口!$J$322=0,"",[1]对账明细接口!$J$322),"")</f>
        <v/>
      </c>
      <c r="K322" s="61" t="str">
        <f aca="false">IFERROR(IF([1]对账明细接口!$K$322=0,"",[1]对账明细接口!$K$322),"")</f>
        <v/>
      </c>
      <c r="L322" s="59" t="str">
        <f aca="false">IFERROR(IF([1]对账明细接口!$L$322=0,"",[1]对账明细接口!$L$322),"")</f>
        <v/>
      </c>
      <c r="M322" s="59" t="str">
        <f aca="false">IFERROR(IF([1]对账明细接口!$M$322=0,"",[1]对账明细接口!$M$322),"")</f>
        <v/>
      </c>
      <c r="N322" s="111" t="n">
        <f aca="false">IF($C322="",0,1)</f>
        <v>0</v>
      </c>
      <c r="O322" s="111" t="n">
        <f aca="false">N(O321)+$N322</f>
        <v>110</v>
      </c>
      <c r="S322" s="10" t="str">
        <f aca="false">IFERROR(IF([1]对账明细接口!$N322=0,"",[1]对账明细接口!$N322),"")</f>
        <v/>
      </c>
      <c r="T322" s="112" t="str">
        <f aca="false">IFERROR(IF([1]对账明细接口!$O322=0,"",[1]对账明细接口!$O322),"")</f>
        <v/>
      </c>
      <c r="U322" s="112" t="str">
        <f aca="false">IFERROR(IF([1]对账明细接口!$P322=0,"",[1]对账明细接口!$P322),"")</f>
        <v/>
      </c>
      <c r="V322" s="112" t="str">
        <f aca="false">IFERROR(IF([1]对账明细接口!$Q322=0,"",[1]对账明细接口!$Q322),"")</f>
        <v/>
      </c>
      <c r="W322" s="10" t="str">
        <f aca="false">IFERROR(IF([1]对账明细接口!$R322=0,"",[1]对账明细接口!$R322),"")</f>
        <v/>
      </c>
      <c r="X322" s="10" t="str">
        <f aca="false">IFERROR(IF([1]对账明细接口!$S322=0,"",[1]对账明细接口!$S322),"")</f>
        <v/>
      </c>
      <c r="Y322" s="10" t="str">
        <f aca="false">""</f>
        <v/>
      </c>
      <c r="Z322" s="10" t="str">
        <f aca="false">""</f>
        <v/>
      </c>
      <c r="AA322" s="10" t="str">
        <f aca="false">""</f>
        <v/>
      </c>
      <c r="AB322" s="10" t="str">
        <f aca="false">""</f>
        <v/>
      </c>
    </row>
    <row r="323" customFormat="false" ht="13.5" hidden="false" customHeight="false" outlineLevel="0" collapsed="false">
      <c r="A323" s="109" t="n">
        <v>323</v>
      </c>
      <c r="B323" s="110" t="str">
        <f aca="false">IFERROR(IF([1]对账明细接口!$B$323=0,"",[1]对账明细接口!$B$323),"")</f>
        <v/>
      </c>
      <c r="C323" s="59" t="str">
        <f aca="false">IFERROR(IF([1]对账明细接口!$C$323=0,"",[1]对账明细接口!$C$323),"")</f>
        <v/>
      </c>
      <c r="D323" s="59" t="str">
        <f aca="false">IFERROR(IF([1]对账明细接口!$D$323=0,"",[1]对账明细接口!$D$323),"")</f>
        <v/>
      </c>
      <c r="E323" s="59" t="str">
        <f aca="false">IFERROR(IF([1]对账明细接口!$E$323=0,"",[1]对账明细接口!$E$323),"")</f>
        <v/>
      </c>
      <c r="F323" s="59" t="str">
        <f aca="false">IFERROR(IF([1]对账明细接口!$F$323=0,"",[1]对账明细接口!$F$323),"")</f>
        <v/>
      </c>
      <c r="G323" s="59" t="str">
        <f aca="false">IFERROR(IF([1]对账明细接口!$G$323=0,"",[1]对账明细接口!$G$323),"")</f>
        <v/>
      </c>
      <c r="H323" s="60" t="str">
        <f aca="false">IFERROR(IF([1]对账明细接口!$H$323=0,"",[1]对账明细接口!$H$323),"")</f>
        <v/>
      </c>
      <c r="I323" s="59" t="str">
        <f aca="false">IFERROR(IF([1]对账明细接口!$I$323=0,"",[1]对账明细接口!$I$323),"")</f>
        <v/>
      </c>
      <c r="J323" s="61" t="str">
        <f aca="false">IFERROR(IF([1]对账明细接口!$J$323=0,"",[1]对账明细接口!$J$323),"")</f>
        <v/>
      </c>
      <c r="K323" s="61" t="str">
        <f aca="false">IFERROR(IF([1]对账明细接口!$K$323=0,"",[1]对账明细接口!$K$323),"")</f>
        <v/>
      </c>
      <c r="L323" s="59" t="str">
        <f aca="false">IFERROR(IF([1]对账明细接口!$L$323=0,"",[1]对账明细接口!$L$323),"")</f>
        <v/>
      </c>
      <c r="M323" s="59" t="str">
        <f aca="false">IFERROR(IF([1]对账明细接口!$M$323=0,"",[1]对账明细接口!$M$323),"")</f>
        <v/>
      </c>
      <c r="N323" s="111" t="n">
        <f aca="false">IF($C323="",0,1)</f>
        <v>0</v>
      </c>
      <c r="O323" s="111" t="n">
        <f aca="false">N(O322)+$N323</f>
        <v>110</v>
      </c>
      <c r="S323" s="10" t="str">
        <f aca="false">IFERROR(IF([1]对账明细接口!$N323=0,"",[1]对账明细接口!$N323),"")</f>
        <v/>
      </c>
      <c r="T323" s="112" t="str">
        <f aca="false">IFERROR(IF([1]对账明细接口!$O323=0,"",[1]对账明细接口!$O323),"")</f>
        <v/>
      </c>
      <c r="U323" s="112" t="str">
        <f aca="false">IFERROR(IF([1]对账明细接口!$P323=0,"",[1]对账明细接口!$P323),"")</f>
        <v/>
      </c>
      <c r="V323" s="112" t="str">
        <f aca="false">IFERROR(IF([1]对账明细接口!$Q323=0,"",[1]对账明细接口!$Q323),"")</f>
        <v/>
      </c>
      <c r="W323" s="10" t="str">
        <f aca="false">IFERROR(IF([1]对账明细接口!$R323=0,"",[1]对账明细接口!$R323),"")</f>
        <v/>
      </c>
      <c r="X323" s="10" t="str">
        <f aca="false">IFERROR(IF([1]对账明细接口!$S323=0,"",[1]对账明细接口!$S323),"")</f>
        <v/>
      </c>
      <c r="Y323" s="10" t="str">
        <f aca="false">""</f>
        <v/>
      </c>
      <c r="Z323" s="10" t="str">
        <f aca="false">""</f>
        <v/>
      </c>
      <c r="AA323" s="10" t="str">
        <f aca="false">""</f>
        <v/>
      </c>
      <c r="AB323" s="10" t="str">
        <f aca="false">""</f>
        <v/>
      </c>
    </row>
    <row r="324" customFormat="false" ht="13.5" hidden="false" customHeight="false" outlineLevel="0" collapsed="false">
      <c r="A324" s="109" t="n">
        <v>324</v>
      </c>
      <c r="B324" s="110" t="str">
        <f aca="false">IFERROR(IF([1]对账明细接口!$B$324=0,"",[1]对账明细接口!$B$324),"")</f>
        <v/>
      </c>
      <c r="C324" s="59" t="str">
        <f aca="false">IFERROR(IF([1]对账明细接口!$C$324=0,"",[1]对账明细接口!$C$324),"")</f>
        <v/>
      </c>
      <c r="D324" s="59" t="str">
        <f aca="false">IFERROR(IF([1]对账明细接口!$D$324=0,"",[1]对账明细接口!$D$324),"")</f>
        <v/>
      </c>
      <c r="E324" s="59" t="str">
        <f aca="false">IFERROR(IF([1]对账明细接口!$E$324=0,"",[1]对账明细接口!$E$324),"")</f>
        <v/>
      </c>
      <c r="F324" s="59" t="str">
        <f aca="false">IFERROR(IF([1]对账明细接口!$F$324=0,"",[1]对账明细接口!$F$324),"")</f>
        <v/>
      </c>
      <c r="G324" s="59" t="str">
        <f aca="false">IFERROR(IF([1]对账明细接口!$G$324=0,"",[1]对账明细接口!$G$324),"")</f>
        <v/>
      </c>
      <c r="H324" s="60" t="str">
        <f aca="false">IFERROR(IF([1]对账明细接口!$H$324=0,"",[1]对账明细接口!$H$324),"")</f>
        <v/>
      </c>
      <c r="I324" s="59" t="str">
        <f aca="false">IFERROR(IF([1]对账明细接口!$I$324=0,"",[1]对账明细接口!$I$324),"")</f>
        <v/>
      </c>
      <c r="J324" s="61" t="str">
        <f aca="false">IFERROR(IF([1]对账明细接口!$J$324=0,"",[1]对账明细接口!$J$324),"")</f>
        <v/>
      </c>
      <c r="K324" s="61" t="str">
        <f aca="false">IFERROR(IF([1]对账明细接口!$K$324=0,"",[1]对账明细接口!$K$324),"")</f>
        <v/>
      </c>
      <c r="L324" s="59" t="str">
        <f aca="false">IFERROR(IF([1]对账明细接口!$L$324=0,"",[1]对账明细接口!$L$324),"")</f>
        <v/>
      </c>
      <c r="M324" s="59" t="str">
        <f aca="false">IFERROR(IF([1]对账明细接口!$M$324=0,"",[1]对账明细接口!$M$324),"")</f>
        <v/>
      </c>
      <c r="N324" s="111" t="n">
        <f aca="false">IF($C324="",0,1)</f>
        <v>0</v>
      </c>
      <c r="O324" s="111" t="n">
        <f aca="false">N(O323)+$N324</f>
        <v>110</v>
      </c>
      <c r="S324" s="10" t="str">
        <f aca="false">IFERROR(IF([1]对账明细接口!$N324=0,"",[1]对账明细接口!$N324),"")</f>
        <v/>
      </c>
      <c r="T324" s="112" t="str">
        <f aca="false">IFERROR(IF([1]对账明细接口!$O324=0,"",[1]对账明细接口!$O324),"")</f>
        <v/>
      </c>
      <c r="U324" s="112" t="str">
        <f aca="false">IFERROR(IF([1]对账明细接口!$P324=0,"",[1]对账明细接口!$P324),"")</f>
        <v/>
      </c>
      <c r="V324" s="112" t="str">
        <f aca="false">IFERROR(IF([1]对账明细接口!$Q324=0,"",[1]对账明细接口!$Q324),"")</f>
        <v/>
      </c>
      <c r="W324" s="10" t="str">
        <f aca="false">IFERROR(IF([1]对账明细接口!$R324=0,"",[1]对账明细接口!$R324),"")</f>
        <v/>
      </c>
      <c r="X324" s="10" t="str">
        <f aca="false">IFERROR(IF([1]对账明细接口!$S324=0,"",[1]对账明细接口!$S324),"")</f>
        <v/>
      </c>
      <c r="Y324" s="10" t="str">
        <f aca="false">""</f>
        <v/>
      </c>
      <c r="Z324" s="10" t="str">
        <f aca="false">""</f>
        <v/>
      </c>
      <c r="AA324" s="10" t="str">
        <f aca="false">""</f>
        <v/>
      </c>
      <c r="AB324" s="10" t="str">
        <f aca="false">""</f>
        <v/>
      </c>
    </row>
    <row r="325" customFormat="false" ht="13.5" hidden="false" customHeight="false" outlineLevel="0" collapsed="false">
      <c r="A325" s="109" t="n">
        <v>325</v>
      </c>
      <c r="B325" s="110" t="str">
        <f aca="false">IFERROR(IF([1]对账明细接口!$B$325=0,"",[1]对账明细接口!$B$325),"")</f>
        <v/>
      </c>
      <c r="C325" s="59" t="str">
        <f aca="false">IFERROR(IF([1]对账明细接口!$C$325=0,"",[1]对账明细接口!$C$325),"")</f>
        <v/>
      </c>
      <c r="D325" s="59" t="str">
        <f aca="false">IFERROR(IF([1]对账明细接口!$D$325=0,"",[1]对账明细接口!$D$325),"")</f>
        <v/>
      </c>
      <c r="E325" s="59" t="str">
        <f aca="false">IFERROR(IF([1]对账明细接口!$E$325=0,"",[1]对账明细接口!$E$325),"")</f>
        <v/>
      </c>
      <c r="F325" s="59" t="str">
        <f aca="false">IFERROR(IF([1]对账明细接口!$F$325=0,"",[1]对账明细接口!$F$325),"")</f>
        <v/>
      </c>
      <c r="G325" s="59" t="str">
        <f aca="false">IFERROR(IF([1]对账明细接口!$G$325=0,"",[1]对账明细接口!$G$325),"")</f>
        <v/>
      </c>
      <c r="H325" s="60" t="str">
        <f aca="false">IFERROR(IF([1]对账明细接口!$H$325=0,"",[1]对账明细接口!$H$325),"")</f>
        <v/>
      </c>
      <c r="I325" s="59" t="str">
        <f aca="false">IFERROR(IF([1]对账明细接口!$I$325=0,"",[1]对账明细接口!$I$325),"")</f>
        <v/>
      </c>
      <c r="J325" s="61" t="str">
        <f aca="false">IFERROR(IF([1]对账明细接口!$J$325=0,"",[1]对账明细接口!$J$325),"")</f>
        <v/>
      </c>
      <c r="K325" s="61" t="str">
        <f aca="false">IFERROR(IF([1]对账明细接口!$K$325=0,"",[1]对账明细接口!$K$325),"")</f>
        <v/>
      </c>
      <c r="L325" s="59" t="str">
        <f aca="false">IFERROR(IF([1]对账明细接口!$L$325=0,"",[1]对账明细接口!$L$325),"")</f>
        <v/>
      </c>
      <c r="M325" s="59" t="str">
        <f aca="false">IFERROR(IF([1]对账明细接口!$M$325=0,"",[1]对账明细接口!$M$325),"")</f>
        <v/>
      </c>
      <c r="N325" s="111" t="n">
        <f aca="false">IF($C325="",0,1)</f>
        <v>0</v>
      </c>
      <c r="O325" s="111" t="n">
        <f aca="false">N(O324)+$N325</f>
        <v>110</v>
      </c>
      <c r="S325" s="10" t="str">
        <f aca="false">IFERROR(IF([1]对账明细接口!$N325=0,"",[1]对账明细接口!$N325),"")</f>
        <v/>
      </c>
      <c r="T325" s="112" t="str">
        <f aca="false">IFERROR(IF([1]对账明细接口!$O325=0,"",[1]对账明细接口!$O325),"")</f>
        <v/>
      </c>
      <c r="U325" s="112" t="str">
        <f aca="false">IFERROR(IF([1]对账明细接口!$P325=0,"",[1]对账明细接口!$P325),"")</f>
        <v/>
      </c>
      <c r="V325" s="112" t="str">
        <f aca="false">IFERROR(IF([1]对账明细接口!$Q325=0,"",[1]对账明细接口!$Q325),"")</f>
        <v/>
      </c>
      <c r="W325" s="10" t="str">
        <f aca="false">IFERROR(IF([1]对账明细接口!$R325=0,"",[1]对账明细接口!$R325),"")</f>
        <v/>
      </c>
      <c r="X325" s="10" t="str">
        <f aca="false">IFERROR(IF([1]对账明细接口!$S325=0,"",[1]对账明细接口!$S325),"")</f>
        <v/>
      </c>
      <c r="Y325" s="10" t="str">
        <f aca="false">""</f>
        <v/>
      </c>
      <c r="Z325" s="10" t="str">
        <f aca="false">""</f>
        <v/>
      </c>
      <c r="AA325" s="10" t="str">
        <f aca="false">""</f>
        <v/>
      </c>
      <c r="AB325" s="10" t="str">
        <f aca="false">""</f>
        <v/>
      </c>
    </row>
    <row r="326" customFormat="false" ht="13.5" hidden="false" customHeight="false" outlineLevel="0" collapsed="false">
      <c r="A326" s="109" t="n">
        <v>326</v>
      </c>
      <c r="B326" s="110" t="str">
        <f aca="false">IFERROR(IF([1]对账明细接口!$B$326=0,"",[1]对账明细接口!$B$326),"")</f>
        <v/>
      </c>
      <c r="C326" s="59" t="str">
        <f aca="false">IFERROR(IF([1]对账明细接口!$C$326=0,"",[1]对账明细接口!$C$326),"")</f>
        <v/>
      </c>
      <c r="D326" s="59" t="str">
        <f aca="false">IFERROR(IF([1]对账明细接口!$D$326=0,"",[1]对账明细接口!$D$326),"")</f>
        <v/>
      </c>
      <c r="E326" s="59" t="str">
        <f aca="false">IFERROR(IF([1]对账明细接口!$E$326=0,"",[1]对账明细接口!$E$326),"")</f>
        <v/>
      </c>
      <c r="F326" s="59" t="str">
        <f aca="false">IFERROR(IF([1]对账明细接口!$F$326=0,"",[1]对账明细接口!$F$326),"")</f>
        <v/>
      </c>
      <c r="G326" s="59" t="str">
        <f aca="false">IFERROR(IF([1]对账明细接口!$G$326=0,"",[1]对账明细接口!$G$326),"")</f>
        <v/>
      </c>
      <c r="H326" s="60" t="str">
        <f aca="false">IFERROR(IF([1]对账明细接口!$H$326=0,"",[1]对账明细接口!$H$326),"")</f>
        <v/>
      </c>
      <c r="I326" s="59" t="str">
        <f aca="false">IFERROR(IF([1]对账明细接口!$I$326=0,"",[1]对账明细接口!$I$326),"")</f>
        <v/>
      </c>
      <c r="J326" s="61" t="str">
        <f aca="false">IFERROR(IF([1]对账明细接口!$J$326=0,"",[1]对账明细接口!$J$326),"")</f>
        <v/>
      </c>
      <c r="K326" s="61" t="str">
        <f aca="false">IFERROR(IF([1]对账明细接口!$K$326=0,"",[1]对账明细接口!$K$326),"")</f>
        <v/>
      </c>
      <c r="L326" s="59" t="str">
        <f aca="false">IFERROR(IF([1]对账明细接口!$L$326=0,"",[1]对账明细接口!$L$326),"")</f>
        <v/>
      </c>
      <c r="M326" s="59" t="str">
        <f aca="false">IFERROR(IF([1]对账明细接口!$M$326=0,"",[1]对账明细接口!$M$326),"")</f>
        <v/>
      </c>
      <c r="N326" s="111" t="n">
        <f aca="false">IF($C326="",0,1)</f>
        <v>0</v>
      </c>
      <c r="O326" s="111" t="n">
        <f aca="false">N(O325)+$N326</f>
        <v>110</v>
      </c>
      <c r="S326" s="10" t="str">
        <f aca="false">IFERROR(IF([1]对账明细接口!$N326=0,"",[1]对账明细接口!$N326),"")</f>
        <v/>
      </c>
      <c r="T326" s="112" t="str">
        <f aca="false">IFERROR(IF([1]对账明细接口!$O326=0,"",[1]对账明细接口!$O326),"")</f>
        <v/>
      </c>
      <c r="U326" s="112" t="str">
        <f aca="false">IFERROR(IF([1]对账明细接口!$P326=0,"",[1]对账明细接口!$P326),"")</f>
        <v/>
      </c>
      <c r="V326" s="112" t="str">
        <f aca="false">IFERROR(IF([1]对账明细接口!$Q326=0,"",[1]对账明细接口!$Q326),"")</f>
        <v/>
      </c>
      <c r="W326" s="10" t="str">
        <f aca="false">IFERROR(IF([1]对账明细接口!$R326=0,"",[1]对账明细接口!$R326),"")</f>
        <v/>
      </c>
      <c r="X326" s="10" t="str">
        <f aca="false">IFERROR(IF([1]对账明细接口!$S326=0,"",[1]对账明细接口!$S326),"")</f>
        <v/>
      </c>
      <c r="Y326" s="10" t="str">
        <f aca="false">""</f>
        <v/>
      </c>
      <c r="Z326" s="10" t="str">
        <f aca="false">""</f>
        <v/>
      </c>
      <c r="AA326" s="10" t="str">
        <f aca="false">""</f>
        <v/>
      </c>
      <c r="AB326" s="10" t="str">
        <f aca="false">""</f>
        <v/>
      </c>
    </row>
    <row r="327" customFormat="false" ht="13.5" hidden="false" customHeight="false" outlineLevel="0" collapsed="false">
      <c r="A327" s="109" t="n">
        <v>327</v>
      </c>
      <c r="B327" s="110" t="str">
        <f aca="false">IFERROR(IF([1]对账明细接口!$B$327=0,"",[1]对账明细接口!$B$327),"")</f>
        <v/>
      </c>
      <c r="C327" s="59" t="str">
        <f aca="false">IFERROR(IF([1]对账明细接口!$C$327=0,"",[1]对账明细接口!$C$327),"")</f>
        <v/>
      </c>
      <c r="D327" s="59" t="str">
        <f aca="false">IFERROR(IF([1]对账明细接口!$D$327=0,"",[1]对账明细接口!$D$327),"")</f>
        <v/>
      </c>
      <c r="E327" s="59" t="str">
        <f aca="false">IFERROR(IF([1]对账明细接口!$E$327=0,"",[1]对账明细接口!$E$327),"")</f>
        <v/>
      </c>
      <c r="F327" s="59" t="str">
        <f aca="false">IFERROR(IF([1]对账明细接口!$F$327=0,"",[1]对账明细接口!$F$327),"")</f>
        <v/>
      </c>
      <c r="G327" s="59" t="str">
        <f aca="false">IFERROR(IF([1]对账明细接口!$G$327=0,"",[1]对账明细接口!$G$327),"")</f>
        <v/>
      </c>
      <c r="H327" s="60" t="str">
        <f aca="false">IFERROR(IF([1]对账明细接口!$H$327=0,"",[1]对账明细接口!$H$327),"")</f>
        <v/>
      </c>
      <c r="I327" s="59" t="str">
        <f aca="false">IFERROR(IF([1]对账明细接口!$I$327=0,"",[1]对账明细接口!$I$327),"")</f>
        <v/>
      </c>
      <c r="J327" s="61" t="str">
        <f aca="false">IFERROR(IF([1]对账明细接口!$J$327=0,"",[1]对账明细接口!$J$327),"")</f>
        <v/>
      </c>
      <c r="K327" s="61" t="str">
        <f aca="false">IFERROR(IF([1]对账明细接口!$K$327=0,"",[1]对账明细接口!$K$327),"")</f>
        <v/>
      </c>
      <c r="L327" s="59" t="str">
        <f aca="false">IFERROR(IF([1]对账明细接口!$L$327=0,"",[1]对账明细接口!$L$327),"")</f>
        <v/>
      </c>
      <c r="M327" s="59" t="str">
        <f aca="false">IFERROR(IF([1]对账明细接口!$M$327=0,"",[1]对账明细接口!$M$327),"")</f>
        <v/>
      </c>
      <c r="N327" s="111" t="n">
        <f aca="false">IF($C327="",0,1)</f>
        <v>0</v>
      </c>
      <c r="O327" s="111" t="n">
        <f aca="false">N(O326)+$N327</f>
        <v>110</v>
      </c>
      <c r="S327" s="10" t="str">
        <f aca="false">IFERROR(IF([1]对账明细接口!$N327=0,"",[1]对账明细接口!$N327),"")</f>
        <v/>
      </c>
      <c r="T327" s="112" t="str">
        <f aca="false">IFERROR(IF([1]对账明细接口!$O327=0,"",[1]对账明细接口!$O327),"")</f>
        <v/>
      </c>
      <c r="U327" s="112" t="str">
        <f aca="false">IFERROR(IF([1]对账明细接口!$P327=0,"",[1]对账明细接口!$P327),"")</f>
        <v/>
      </c>
      <c r="V327" s="112" t="str">
        <f aca="false">IFERROR(IF([1]对账明细接口!$Q327=0,"",[1]对账明细接口!$Q327),"")</f>
        <v/>
      </c>
      <c r="W327" s="10" t="str">
        <f aca="false">IFERROR(IF([1]对账明细接口!$R327=0,"",[1]对账明细接口!$R327),"")</f>
        <v/>
      </c>
      <c r="X327" s="10" t="str">
        <f aca="false">IFERROR(IF([1]对账明细接口!$S327=0,"",[1]对账明细接口!$S327),"")</f>
        <v/>
      </c>
      <c r="Y327" s="10" t="str">
        <f aca="false">""</f>
        <v/>
      </c>
      <c r="Z327" s="10" t="str">
        <f aca="false">""</f>
        <v/>
      </c>
      <c r="AA327" s="10" t="str">
        <f aca="false">""</f>
        <v/>
      </c>
      <c r="AB327" s="10" t="str">
        <f aca="false">""</f>
        <v/>
      </c>
    </row>
    <row r="328" customFormat="false" ht="13.5" hidden="false" customHeight="false" outlineLevel="0" collapsed="false">
      <c r="A328" s="109" t="n">
        <v>328</v>
      </c>
      <c r="B328" s="110" t="str">
        <f aca="false">IFERROR(IF([1]对账明细接口!$B$328=0,"",[1]对账明细接口!$B$328),"")</f>
        <v/>
      </c>
      <c r="C328" s="59" t="str">
        <f aca="false">IFERROR(IF([1]对账明细接口!$C$328=0,"",[1]对账明细接口!$C$328),"")</f>
        <v/>
      </c>
      <c r="D328" s="59" t="str">
        <f aca="false">IFERROR(IF([1]对账明细接口!$D$328=0,"",[1]对账明细接口!$D$328),"")</f>
        <v/>
      </c>
      <c r="E328" s="59" t="str">
        <f aca="false">IFERROR(IF([1]对账明细接口!$E$328=0,"",[1]对账明细接口!$E$328),"")</f>
        <v/>
      </c>
      <c r="F328" s="59" t="str">
        <f aca="false">IFERROR(IF([1]对账明细接口!$F$328=0,"",[1]对账明细接口!$F$328),"")</f>
        <v/>
      </c>
      <c r="G328" s="59" t="str">
        <f aca="false">IFERROR(IF([1]对账明细接口!$G$328=0,"",[1]对账明细接口!$G$328),"")</f>
        <v/>
      </c>
      <c r="H328" s="60" t="str">
        <f aca="false">IFERROR(IF([1]对账明细接口!$H$328=0,"",[1]对账明细接口!$H$328),"")</f>
        <v/>
      </c>
      <c r="I328" s="59" t="str">
        <f aca="false">IFERROR(IF([1]对账明细接口!$I$328=0,"",[1]对账明细接口!$I$328),"")</f>
        <v/>
      </c>
      <c r="J328" s="61" t="str">
        <f aca="false">IFERROR(IF([1]对账明细接口!$J$328=0,"",[1]对账明细接口!$J$328),"")</f>
        <v/>
      </c>
      <c r="K328" s="61" t="str">
        <f aca="false">IFERROR(IF([1]对账明细接口!$K$328=0,"",[1]对账明细接口!$K$328),"")</f>
        <v/>
      </c>
      <c r="L328" s="59" t="str">
        <f aca="false">IFERROR(IF([1]对账明细接口!$L$328=0,"",[1]对账明细接口!$L$328),"")</f>
        <v/>
      </c>
      <c r="M328" s="59" t="str">
        <f aca="false">IFERROR(IF([1]对账明细接口!$M$328=0,"",[1]对账明细接口!$M$328),"")</f>
        <v/>
      </c>
      <c r="N328" s="111" t="n">
        <f aca="false">IF($C328="",0,1)</f>
        <v>0</v>
      </c>
      <c r="O328" s="111" t="n">
        <f aca="false">N(O327)+$N328</f>
        <v>110</v>
      </c>
      <c r="S328" s="10" t="str">
        <f aca="false">IFERROR(IF([1]对账明细接口!$N328=0,"",[1]对账明细接口!$N328),"")</f>
        <v/>
      </c>
      <c r="T328" s="112" t="str">
        <f aca="false">IFERROR(IF([1]对账明细接口!$O328=0,"",[1]对账明细接口!$O328),"")</f>
        <v/>
      </c>
      <c r="U328" s="112" t="str">
        <f aca="false">IFERROR(IF([1]对账明细接口!$P328=0,"",[1]对账明细接口!$P328),"")</f>
        <v/>
      </c>
      <c r="V328" s="112" t="str">
        <f aca="false">IFERROR(IF([1]对账明细接口!$Q328=0,"",[1]对账明细接口!$Q328),"")</f>
        <v/>
      </c>
      <c r="W328" s="10" t="str">
        <f aca="false">IFERROR(IF([1]对账明细接口!$R328=0,"",[1]对账明细接口!$R328),"")</f>
        <v/>
      </c>
      <c r="X328" s="10" t="str">
        <f aca="false">IFERROR(IF([1]对账明细接口!$S328=0,"",[1]对账明细接口!$S328),"")</f>
        <v/>
      </c>
      <c r="Y328" s="10" t="str">
        <f aca="false">""</f>
        <v/>
      </c>
      <c r="Z328" s="10" t="str">
        <f aca="false">""</f>
        <v/>
      </c>
      <c r="AA328" s="10" t="str">
        <f aca="false">""</f>
        <v/>
      </c>
      <c r="AB328" s="10" t="str">
        <f aca="false">""</f>
        <v/>
      </c>
    </row>
    <row r="329" customFormat="false" ht="13.5" hidden="false" customHeight="false" outlineLevel="0" collapsed="false">
      <c r="A329" s="109" t="n">
        <v>329</v>
      </c>
      <c r="B329" s="110" t="str">
        <f aca="false">IFERROR(IF([1]对账明细接口!$B$329=0,"",[1]对账明细接口!$B$329),"")</f>
        <v/>
      </c>
      <c r="C329" s="59" t="str">
        <f aca="false">IFERROR(IF([1]对账明细接口!$C$329=0,"",[1]对账明细接口!$C$329),"")</f>
        <v/>
      </c>
      <c r="D329" s="59" t="str">
        <f aca="false">IFERROR(IF([1]对账明细接口!$D$329=0,"",[1]对账明细接口!$D$329),"")</f>
        <v/>
      </c>
      <c r="E329" s="59" t="str">
        <f aca="false">IFERROR(IF([1]对账明细接口!$E$329=0,"",[1]对账明细接口!$E$329),"")</f>
        <v/>
      </c>
      <c r="F329" s="59" t="str">
        <f aca="false">IFERROR(IF([1]对账明细接口!$F$329=0,"",[1]对账明细接口!$F$329),"")</f>
        <v/>
      </c>
      <c r="G329" s="59" t="str">
        <f aca="false">IFERROR(IF([1]对账明细接口!$G$329=0,"",[1]对账明细接口!$G$329),"")</f>
        <v/>
      </c>
      <c r="H329" s="60" t="str">
        <f aca="false">IFERROR(IF([1]对账明细接口!$H$329=0,"",[1]对账明细接口!$H$329),"")</f>
        <v/>
      </c>
      <c r="I329" s="59" t="str">
        <f aca="false">IFERROR(IF([1]对账明细接口!$I$329=0,"",[1]对账明细接口!$I$329),"")</f>
        <v/>
      </c>
      <c r="J329" s="61" t="str">
        <f aca="false">IFERROR(IF([1]对账明细接口!$J$329=0,"",[1]对账明细接口!$J$329),"")</f>
        <v/>
      </c>
      <c r="K329" s="61" t="str">
        <f aca="false">IFERROR(IF([1]对账明细接口!$K$329=0,"",[1]对账明细接口!$K$329),"")</f>
        <v/>
      </c>
      <c r="L329" s="59" t="str">
        <f aca="false">IFERROR(IF([1]对账明细接口!$L$329=0,"",[1]对账明细接口!$L$329),"")</f>
        <v/>
      </c>
      <c r="M329" s="59" t="str">
        <f aca="false">IFERROR(IF([1]对账明细接口!$M$329=0,"",[1]对账明细接口!$M$329),"")</f>
        <v/>
      </c>
      <c r="N329" s="111" t="n">
        <f aca="false">IF($C329="",0,1)</f>
        <v>0</v>
      </c>
      <c r="O329" s="111" t="n">
        <f aca="false">N(O328)+$N329</f>
        <v>110</v>
      </c>
      <c r="S329" s="10" t="str">
        <f aca="false">IFERROR(IF([1]对账明细接口!$N329=0,"",[1]对账明细接口!$N329),"")</f>
        <v/>
      </c>
      <c r="T329" s="112" t="str">
        <f aca="false">IFERROR(IF([1]对账明细接口!$O329=0,"",[1]对账明细接口!$O329),"")</f>
        <v/>
      </c>
      <c r="U329" s="112" t="str">
        <f aca="false">IFERROR(IF([1]对账明细接口!$P329=0,"",[1]对账明细接口!$P329),"")</f>
        <v/>
      </c>
      <c r="V329" s="112" t="str">
        <f aca="false">IFERROR(IF([1]对账明细接口!$Q329=0,"",[1]对账明细接口!$Q329),"")</f>
        <v/>
      </c>
      <c r="W329" s="10" t="str">
        <f aca="false">IFERROR(IF([1]对账明细接口!$R329=0,"",[1]对账明细接口!$R329),"")</f>
        <v/>
      </c>
      <c r="X329" s="10" t="str">
        <f aca="false">IFERROR(IF([1]对账明细接口!$S329=0,"",[1]对账明细接口!$S329),"")</f>
        <v/>
      </c>
      <c r="Y329" s="10" t="str">
        <f aca="false">""</f>
        <v/>
      </c>
      <c r="Z329" s="10" t="str">
        <f aca="false">""</f>
        <v/>
      </c>
      <c r="AA329" s="10" t="str">
        <f aca="false">""</f>
        <v/>
      </c>
      <c r="AB329" s="10" t="str">
        <f aca="false">""</f>
        <v/>
      </c>
    </row>
    <row r="330" customFormat="false" ht="13.5" hidden="false" customHeight="false" outlineLevel="0" collapsed="false">
      <c r="A330" s="109" t="n">
        <v>330</v>
      </c>
      <c r="B330" s="110" t="str">
        <f aca="false">IFERROR(IF([1]对账明细接口!$B$330=0,"",[1]对账明细接口!$B$330),"")</f>
        <v/>
      </c>
      <c r="C330" s="59" t="str">
        <f aca="false">IFERROR(IF([1]对账明细接口!$C$330=0,"",[1]对账明细接口!$C$330),"")</f>
        <v/>
      </c>
      <c r="D330" s="59" t="str">
        <f aca="false">IFERROR(IF([1]对账明细接口!$D$330=0,"",[1]对账明细接口!$D$330),"")</f>
        <v/>
      </c>
      <c r="E330" s="59" t="str">
        <f aca="false">IFERROR(IF([1]对账明细接口!$E$330=0,"",[1]对账明细接口!$E$330),"")</f>
        <v/>
      </c>
      <c r="F330" s="59" t="str">
        <f aca="false">IFERROR(IF([1]对账明细接口!$F$330=0,"",[1]对账明细接口!$F$330),"")</f>
        <v/>
      </c>
      <c r="G330" s="59" t="str">
        <f aca="false">IFERROR(IF([1]对账明细接口!$G$330=0,"",[1]对账明细接口!$G$330),"")</f>
        <v/>
      </c>
      <c r="H330" s="60" t="str">
        <f aca="false">IFERROR(IF([1]对账明细接口!$H$330=0,"",[1]对账明细接口!$H$330),"")</f>
        <v/>
      </c>
      <c r="I330" s="59" t="str">
        <f aca="false">IFERROR(IF([1]对账明细接口!$I$330=0,"",[1]对账明细接口!$I$330),"")</f>
        <v/>
      </c>
      <c r="J330" s="61" t="str">
        <f aca="false">IFERROR(IF([1]对账明细接口!$J$330=0,"",[1]对账明细接口!$J$330),"")</f>
        <v/>
      </c>
      <c r="K330" s="61" t="str">
        <f aca="false">IFERROR(IF([1]对账明细接口!$K$330=0,"",[1]对账明细接口!$K$330),"")</f>
        <v/>
      </c>
      <c r="L330" s="59" t="str">
        <f aca="false">IFERROR(IF([1]对账明细接口!$L$330=0,"",[1]对账明细接口!$L$330),"")</f>
        <v/>
      </c>
      <c r="M330" s="59" t="str">
        <f aca="false">IFERROR(IF([1]对账明细接口!$M$330=0,"",[1]对账明细接口!$M$330),"")</f>
        <v/>
      </c>
      <c r="N330" s="111" t="n">
        <f aca="false">IF($C330="",0,1)</f>
        <v>0</v>
      </c>
      <c r="O330" s="111" t="n">
        <f aca="false">N(O329)+$N330</f>
        <v>110</v>
      </c>
      <c r="S330" s="10" t="str">
        <f aca="false">IFERROR(IF([1]对账明细接口!$N330=0,"",[1]对账明细接口!$N330),"")</f>
        <v/>
      </c>
      <c r="T330" s="112" t="str">
        <f aca="false">IFERROR(IF([1]对账明细接口!$O330=0,"",[1]对账明细接口!$O330),"")</f>
        <v/>
      </c>
      <c r="U330" s="112" t="str">
        <f aca="false">IFERROR(IF([1]对账明细接口!$P330=0,"",[1]对账明细接口!$P330),"")</f>
        <v/>
      </c>
      <c r="V330" s="112" t="str">
        <f aca="false">IFERROR(IF([1]对账明细接口!$Q330=0,"",[1]对账明细接口!$Q330),"")</f>
        <v/>
      </c>
      <c r="W330" s="10" t="str">
        <f aca="false">IFERROR(IF([1]对账明细接口!$R330=0,"",[1]对账明细接口!$R330),"")</f>
        <v/>
      </c>
      <c r="X330" s="10" t="str">
        <f aca="false">IFERROR(IF([1]对账明细接口!$S330=0,"",[1]对账明细接口!$S330),"")</f>
        <v/>
      </c>
      <c r="Y330" s="10" t="str">
        <f aca="false">""</f>
        <v/>
      </c>
      <c r="Z330" s="10" t="str">
        <f aca="false">""</f>
        <v/>
      </c>
      <c r="AA330" s="10" t="str">
        <f aca="false">""</f>
        <v/>
      </c>
      <c r="AB330" s="10" t="str">
        <f aca="false">""</f>
        <v/>
      </c>
    </row>
    <row r="331" customFormat="false" ht="13.5" hidden="false" customHeight="false" outlineLevel="0" collapsed="false">
      <c r="A331" s="109" t="n">
        <v>331</v>
      </c>
      <c r="B331" s="110" t="str">
        <f aca="false">IFERROR(IF([1]对账明细接口!$B$331=0,"",[1]对账明细接口!$B$331),"")</f>
        <v/>
      </c>
      <c r="C331" s="59" t="str">
        <f aca="false">IFERROR(IF([1]对账明细接口!$C$331=0,"",[1]对账明细接口!$C$331),"")</f>
        <v/>
      </c>
      <c r="D331" s="59" t="str">
        <f aca="false">IFERROR(IF([1]对账明细接口!$D$331=0,"",[1]对账明细接口!$D$331),"")</f>
        <v/>
      </c>
      <c r="E331" s="59" t="str">
        <f aca="false">IFERROR(IF([1]对账明细接口!$E$331=0,"",[1]对账明细接口!$E$331),"")</f>
        <v/>
      </c>
      <c r="F331" s="59" t="str">
        <f aca="false">IFERROR(IF([1]对账明细接口!$F$331=0,"",[1]对账明细接口!$F$331),"")</f>
        <v/>
      </c>
      <c r="G331" s="59" t="str">
        <f aca="false">IFERROR(IF([1]对账明细接口!$G$331=0,"",[1]对账明细接口!$G$331),"")</f>
        <v/>
      </c>
      <c r="H331" s="60" t="str">
        <f aca="false">IFERROR(IF([1]对账明细接口!$H$331=0,"",[1]对账明细接口!$H$331),"")</f>
        <v/>
      </c>
      <c r="I331" s="59" t="str">
        <f aca="false">IFERROR(IF([1]对账明细接口!$I$331=0,"",[1]对账明细接口!$I$331),"")</f>
        <v/>
      </c>
      <c r="J331" s="61" t="str">
        <f aca="false">IFERROR(IF([1]对账明细接口!$J$331=0,"",[1]对账明细接口!$J$331),"")</f>
        <v/>
      </c>
      <c r="K331" s="61" t="str">
        <f aca="false">IFERROR(IF([1]对账明细接口!$K$331=0,"",[1]对账明细接口!$K$331),"")</f>
        <v/>
      </c>
      <c r="L331" s="59" t="str">
        <f aca="false">IFERROR(IF([1]对账明细接口!$L$331=0,"",[1]对账明细接口!$L$331),"")</f>
        <v/>
      </c>
      <c r="M331" s="59" t="str">
        <f aca="false">IFERROR(IF([1]对账明细接口!$M$331=0,"",[1]对账明细接口!$M$331),"")</f>
        <v/>
      </c>
      <c r="N331" s="111" t="n">
        <f aca="false">IF($C331="",0,1)</f>
        <v>0</v>
      </c>
      <c r="O331" s="111" t="n">
        <f aca="false">N(O330)+$N331</f>
        <v>110</v>
      </c>
      <c r="S331" s="10" t="str">
        <f aca="false">IFERROR(IF([1]对账明细接口!$N331=0,"",[1]对账明细接口!$N331),"")</f>
        <v/>
      </c>
      <c r="T331" s="112" t="str">
        <f aca="false">IFERROR(IF([1]对账明细接口!$O331=0,"",[1]对账明细接口!$O331),"")</f>
        <v/>
      </c>
      <c r="U331" s="112" t="str">
        <f aca="false">IFERROR(IF([1]对账明细接口!$P331=0,"",[1]对账明细接口!$P331),"")</f>
        <v/>
      </c>
      <c r="V331" s="112" t="str">
        <f aca="false">IFERROR(IF([1]对账明细接口!$Q331=0,"",[1]对账明细接口!$Q331),"")</f>
        <v/>
      </c>
      <c r="W331" s="10" t="str">
        <f aca="false">IFERROR(IF([1]对账明细接口!$R331=0,"",[1]对账明细接口!$R331),"")</f>
        <v/>
      </c>
      <c r="X331" s="10" t="str">
        <f aca="false">IFERROR(IF([1]对账明细接口!$S331=0,"",[1]对账明细接口!$S331),"")</f>
        <v/>
      </c>
      <c r="Y331" s="10" t="str">
        <f aca="false">""</f>
        <v/>
      </c>
      <c r="Z331" s="10" t="str">
        <f aca="false">""</f>
        <v/>
      </c>
      <c r="AA331" s="10" t="str">
        <f aca="false">""</f>
        <v/>
      </c>
      <c r="AB331" s="10" t="str">
        <f aca="false">""</f>
        <v/>
      </c>
    </row>
    <row r="332" customFormat="false" ht="13.5" hidden="false" customHeight="false" outlineLevel="0" collapsed="false">
      <c r="A332" s="109" t="n">
        <v>332</v>
      </c>
      <c r="B332" s="110" t="str">
        <f aca="false">IFERROR(IF([1]对账明细接口!$B$332=0,"",[1]对账明细接口!$B$332),"")</f>
        <v/>
      </c>
      <c r="C332" s="59" t="str">
        <f aca="false">IFERROR(IF([1]对账明细接口!$C$332=0,"",[1]对账明细接口!$C$332),"")</f>
        <v/>
      </c>
      <c r="D332" s="59" t="str">
        <f aca="false">IFERROR(IF([1]对账明细接口!$D$332=0,"",[1]对账明细接口!$D$332),"")</f>
        <v/>
      </c>
      <c r="E332" s="59" t="str">
        <f aca="false">IFERROR(IF([1]对账明细接口!$E$332=0,"",[1]对账明细接口!$E$332),"")</f>
        <v/>
      </c>
      <c r="F332" s="59" t="str">
        <f aca="false">IFERROR(IF([1]对账明细接口!$F$332=0,"",[1]对账明细接口!$F$332),"")</f>
        <v/>
      </c>
      <c r="G332" s="59" t="str">
        <f aca="false">IFERROR(IF([1]对账明细接口!$G$332=0,"",[1]对账明细接口!$G$332),"")</f>
        <v/>
      </c>
      <c r="H332" s="60" t="str">
        <f aca="false">IFERROR(IF([1]对账明细接口!$H$332=0,"",[1]对账明细接口!$H$332),"")</f>
        <v/>
      </c>
      <c r="I332" s="59" t="str">
        <f aca="false">IFERROR(IF([1]对账明细接口!$I$332=0,"",[1]对账明细接口!$I$332),"")</f>
        <v/>
      </c>
      <c r="J332" s="61" t="str">
        <f aca="false">IFERROR(IF([1]对账明细接口!$J$332=0,"",[1]对账明细接口!$J$332),"")</f>
        <v/>
      </c>
      <c r="K332" s="61" t="str">
        <f aca="false">IFERROR(IF([1]对账明细接口!$K$332=0,"",[1]对账明细接口!$K$332),"")</f>
        <v/>
      </c>
      <c r="L332" s="59" t="str">
        <f aca="false">IFERROR(IF([1]对账明细接口!$L$332=0,"",[1]对账明细接口!$L$332),"")</f>
        <v/>
      </c>
      <c r="M332" s="59" t="str">
        <f aca="false">IFERROR(IF([1]对账明细接口!$M$332=0,"",[1]对账明细接口!$M$332),"")</f>
        <v/>
      </c>
      <c r="N332" s="111" t="n">
        <f aca="false">IF($C332="",0,1)</f>
        <v>0</v>
      </c>
      <c r="O332" s="111" t="n">
        <f aca="false">N(O331)+$N332</f>
        <v>110</v>
      </c>
      <c r="S332" s="10" t="str">
        <f aca="false">IFERROR(IF([1]对账明细接口!$N332=0,"",[1]对账明细接口!$N332),"")</f>
        <v/>
      </c>
      <c r="T332" s="112" t="str">
        <f aca="false">IFERROR(IF([1]对账明细接口!$O332=0,"",[1]对账明细接口!$O332),"")</f>
        <v/>
      </c>
      <c r="U332" s="112" t="str">
        <f aca="false">IFERROR(IF([1]对账明细接口!$P332=0,"",[1]对账明细接口!$P332),"")</f>
        <v/>
      </c>
      <c r="V332" s="112" t="str">
        <f aca="false">IFERROR(IF([1]对账明细接口!$Q332=0,"",[1]对账明细接口!$Q332),"")</f>
        <v/>
      </c>
      <c r="W332" s="10" t="str">
        <f aca="false">IFERROR(IF([1]对账明细接口!$R332=0,"",[1]对账明细接口!$R332),"")</f>
        <v/>
      </c>
      <c r="X332" s="10" t="str">
        <f aca="false">IFERROR(IF([1]对账明细接口!$S332=0,"",[1]对账明细接口!$S332),"")</f>
        <v/>
      </c>
      <c r="Y332" s="10" t="str">
        <f aca="false">""</f>
        <v/>
      </c>
      <c r="Z332" s="10" t="str">
        <f aca="false">""</f>
        <v/>
      </c>
      <c r="AA332" s="10" t="str">
        <f aca="false">""</f>
        <v/>
      </c>
      <c r="AB332" s="10" t="str">
        <f aca="false">""</f>
        <v/>
      </c>
    </row>
    <row r="333" customFormat="false" ht="13.5" hidden="false" customHeight="false" outlineLevel="0" collapsed="false">
      <c r="A333" s="109" t="n">
        <v>333</v>
      </c>
      <c r="B333" s="110" t="str">
        <f aca="false">IFERROR(IF([1]对账明细接口!$B$333=0,"",[1]对账明细接口!$B$333),"")</f>
        <v/>
      </c>
      <c r="C333" s="59" t="str">
        <f aca="false">IFERROR(IF([1]对账明细接口!$C$333=0,"",[1]对账明细接口!$C$333),"")</f>
        <v/>
      </c>
      <c r="D333" s="59" t="str">
        <f aca="false">IFERROR(IF([1]对账明细接口!$D$333=0,"",[1]对账明细接口!$D$333),"")</f>
        <v/>
      </c>
      <c r="E333" s="59" t="str">
        <f aca="false">IFERROR(IF([1]对账明细接口!$E$333=0,"",[1]对账明细接口!$E$333),"")</f>
        <v/>
      </c>
      <c r="F333" s="59" t="str">
        <f aca="false">IFERROR(IF([1]对账明细接口!$F$333=0,"",[1]对账明细接口!$F$333),"")</f>
        <v/>
      </c>
      <c r="G333" s="59" t="str">
        <f aca="false">IFERROR(IF([1]对账明细接口!$G$333=0,"",[1]对账明细接口!$G$333),"")</f>
        <v/>
      </c>
      <c r="H333" s="60" t="str">
        <f aca="false">IFERROR(IF([1]对账明细接口!$H$333=0,"",[1]对账明细接口!$H$333),"")</f>
        <v/>
      </c>
      <c r="I333" s="59" t="str">
        <f aca="false">IFERROR(IF([1]对账明细接口!$I$333=0,"",[1]对账明细接口!$I$333),"")</f>
        <v/>
      </c>
      <c r="J333" s="61" t="str">
        <f aca="false">IFERROR(IF([1]对账明细接口!$J$333=0,"",[1]对账明细接口!$J$333),"")</f>
        <v/>
      </c>
      <c r="K333" s="61" t="str">
        <f aca="false">IFERROR(IF([1]对账明细接口!$K$333=0,"",[1]对账明细接口!$K$333),"")</f>
        <v/>
      </c>
      <c r="L333" s="59" t="str">
        <f aca="false">IFERROR(IF([1]对账明细接口!$L$333=0,"",[1]对账明细接口!$L$333),"")</f>
        <v/>
      </c>
      <c r="M333" s="59" t="str">
        <f aca="false">IFERROR(IF([1]对账明细接口!$M$333=0,"",[1]对账明细接口!$M$333),"")</f>
        <v/>
      </c>
      <c r="N333" s="111" t="n">
        <f aca="false">IF($C333="",0,1)</f>
        <v>0</v>
      </c>
      <c r="O333" s="111" t="n">
        <f aca="false">N(O332)+$N333</f>
        <v>110</v>
      </c>
      <c r="S333" s="10" t="str">
        <f aca="false">IFERROR(IF([1]对账明细接口!$N333=0,"",[1]对账明细接口!$N333),"")</f>
        <v/>
      </c>
      <c r="T333" s="112" t="str">
        <f aca="false">IFERROR(IF([1]对账明细接口!$O333=0,"",[1]对账明细接口!$O333),"")</f>
        <v/>
      </c>
      <c r="U333" s="112" t="str">
        <f aca="false">IFERROR(IF([1]对账明细接口!$P333=0,"",[1]对账明细接口!$P333),"")</f>
        <v/>
      </c>
      <c r="V333" s="112" t="str">
        <f aca="false">IFERROR(IF([1]对账明细接口!$Q333=0,"",[1]对账明细接口!$Q333),"")</f>
        <v/>
      </c>
      <c r="W333" s="10" t="str">
        <f aca="false">IFERROR(IF([1]对账明细接口!$R333=0,"",[1]对账明细接口!$R333),"")</f>
        <v/>
      </c>
      <c r="X333" s="10" t="str">
        <f aca="false">IFERROR(IF([1]对账明细接口!$S333=0,"",[1]对账明细接口!$S333),"")</f>
        <v/>
      </c>
      <c r="Y333" s="10" t="str">
        <f aca="false">""</f>
        <v/>
      </c>
      <c r="Z333" s="10" t="str">
        <f aca="false">""</f>
        <v/>
      </c>
      <c r="AA333" s="10" t="str">
        <f aca="false">""</f>
        <v/>
      </c>
      <c r="AB333" s="10" t="str">
        <f aca="false">""</f>
        <v/>
      </c>
    </row>
    <row r="334" customFormat="false" ht="13.5" hidden="false" customHeight="false" outlineLevel="0" collapsed="false">
      <c r="A334" s="109" t="n">
        <v>334</v>
      </c>
      <c r="B334" s="110" t="str">
        <f aca="false">IFERROR(IF([1]对账明细接口!$B$334=0,"",[1]对账明细接口!$B$334),"")</f>
        <v/>
      </c>
      <c r="C334" s="59" t="str">
        <f aca="false">IFERROR(IF([1]对账明细接口!$C$334=0,"",[1]对账明细接口!$C$334),"")</f>
        <v/>
      </c>
      <c r="D334" s="59" t="str">
        <f aca="false">IFERROR(IF([1]对账明细接口!$D$334=0,"",[1]对账明细接口!$D$334),"")</f>
        <v/>
      </c>
      <c r="E334" s="59" t="str">
        <f aca="false">IFERROR(IF([1]对账明细接口!$E$334=0,"",[1]对账明细接口!$E$334),"")</f>
        <v/>
      </c>
      <c r="F334" s="59" t="str">
        <f aca="false">IFERROR(IF([1]对账明细接口!$F$334=0,"",[1]对账明细接口!$F$334),"")</f>
        <v/>
      </c>
      <c r="G334" s="59" t="str">
        <f aca="false">IFERROR(IF([1]对账明细接口!$G$334=0,"",[1]对账明细接口!$G$334),"")</f>
        <v/>
      </c>
      <c r="H334" s="60" t="str">
        <f aca="false">IFERROR(IF([1]对账明细接口!$H$334=0,"",[1]对账明细接口!$H$334),"")</f>
        <v/>
      </c>
      <c r="I334" s="59" t="str">
        <f aca="false">IFERROR(IF([1]对账明细接口!$I$334=0,"",[1]对账明细接口!$I$334),"")</f>
        <v/>
      </c>
      <c r="J334" s="61" t="str">
        <f aca="false">IFERROR(IF([1]对账明细接口!$J$334=0,"",[1]对账明细接口!$J$334),"")</f>
        <v/>
      </c>
      <c r="K334" s="61" t="str">
        <f aca="false">IFERROR(IF([1]对账明细接口!$K$334=0,"",[1]对账明细接口!$K$334),"")</f>
        <v/>
      </c>
      <c r="L334" s="59" t="str">
        <f aca="false">IFERROR(IF([1]对账明细接口!$L$334=0,"",[1]对账明细接口!$L$334),"")</f>
        <v/>
      </c>
      <c r="M334" s="59" t="str">
        <f aca="false">IFERROR(IF([1]对账明细接口!$M$334=0,"",[1]对账明细接口!$M$334),"")</f>
        <v/>
      </c>
      <c r="N334" s="111" t="n">
        <f aca="false">IF($C334="",0,1)</f>
        <v>0</v>
      </c>
      <c r="O334" s="111" t="n">
        <f aca="false">N(O333)+$N334</f>
        <v>110</v>
      </c>
      <c r="S334" s="10" t="str">
        <f aca="false">IFERROR(IF([1]对账明细接口!$N334=0,"",[1]对账明细接口!$N334),"")</f>
        <v/>
      </c>
      <c r="T334" s="112" t="str">
        <f aca="false">IFERROR(IF([1]对账明细接口!$O334=0,"",[1]对账明细接口!$O334),"")</f>
        <v/>
      </c>
      <c r="U334" s="112" t="str">
        <f aca="false">IFERROR(IF([1]对账明细接口!$P334=0,"",[1]对账明细接口!$P334),"")</f>
        <v/>
      </c>
      <c r="V334" s="112" t="str">
        <f aca="false">IFERROR(IF([1]对账明细接口!$Q334=0,"",[1]对账明细接口!$Q334),"")</f>
        <v/>
      </c>
      <c r="W334" s="10" t="str">
        <f aca="false">IFERROR(IF([1]对账明细接口!$R334=0,"",[1]对账明细接口!$R334),"")</f>
        <v/>
      </c>
      <c r="X334" s="10" t="str">
        <f aca="false">IFERROR(IF([1]对账明细接口!$S334=0,"",[1]对账明细接口!$S334),"")</f>
        <v/>
      </c>
      <c r="Y334" s="10" t="str">
        <f aca="false">""</f>
        <v/>
      </c>
      <c r="Z334" s="10" t="str">
        <f aca="false">""</f>
        <v/>
      </c>
      <c r="AA334" s="10" t="str">
        <f aca="false">""</f>
        <v/>
      </c>
      <c r="AB334" s="10" t="str">
        <f aca="false">""</f>
        <v/>
      </c>
    </row>
    <row r="335" customFormat="false" ht="13.5" hidden="false" customHeight="false" outlineLevel="0" collapsed="false">
      <c r="A335" s="109" t="n">
        <v>335</v>
      </c>
      <c r="B335" s="110" t="str">
        <f aca="false">IFERROR(IF([1]对账明细接口!$B$335=0,"",[1]对账明细接口!$B$335),"")</f>
        <v/>
      </c>
      <c r="C335" s="59" t="str">
        <f aca="false">IFERROR(IF([1]对账明细接口!$C$335=0,"",[1]对账明细接口!$C$335),"")</f>
        <v/>
      </c>
      <c r="D335" s="59" t="str">
        <f aca="false">IFERROR(IF([1]对账明细接口!$D$335=0,"",[1]对账明细接口!$D$335),"")</f>
        <v/>
      </c>
      <c r="E335" s="59" t="str">
        <f aca="false">IFERROR(IF([1]对账明细接口!$E$335=0,"",[1]对账明细接口!$E$335),"")</f>
        <v/>
      </c>
      <c r="F335" s="59" t="str">
        <f aca="false">IFERROR(IF([1]对账明细接口!$F$335=0,"",[1]对账明细接口!$F$335),"")</f>
        <v/>
      </c>
      <c r="G335" s="59" t="str">
        <f aca="false">IFERROR(IF([1]对账明细接口!$G$335=0,"",[1]对账明细接口!$G$335),"")</f>
        <v/>
      </c>
      <c r="H335" s="60" t="str">
        <f aca="false">IFERROR(IF([1]对账明细接口!$H$335=0,"",[1]对账明细接口!$H$335),"")</f>
        <v/>
      </c>
      <c r="I335" s="59" t="str">
        <f aca="false">IFERROR(IF([1]对账明细接口!$I$335=0,"",[1]对账明细接口!$I$335),"")</f>
        <v/>
      </c>
      <c r="J335" s="61" t="str">
        <f aca="false">IFERROR(IF([1]对账明细接口!$J$335=0,"",[1]对账明细接口!$J$335),"")</f>
        <v/>
      </c>
      <c r="K335" s="61" t="str">
        <f aca="false">IFERROR(IF([1]对账明细接口!$K$335=0,"",[1]对账明细接口!$K$335),"")</f>
        <v/>
      </c>
      <c r="L335" s="59" t="str">
        <f aca="false">IFERROR(IF([1]对账明细接口!$L$335=0,"",[1]对账明细接口!$L$335),"")</f>
        <v/>
      </c>
      <c r="M335" s="59" t="str">
        <f aca="false">IFERROR(IF([1]对账明细接口!$M$335=0,"",[1]对账明细接口!$M$335),"")</f>
        <v/>
      </c>
      <c r="N335" s="111" t="n">
        <f aca="false">IF($C335="",0,1)</f>
        <v>0</v>
      </c>
      <c r="O335" s="111" t="n">
        <f aca="false">N(O334)+$N335</f>
        <v>110</v>
      </c>
      <c r="S335" s="10" t="str">
        <f aca="false">IFERROR(IF([1]对账明细接口!$N335=0,"",[1]对账明细接口!$N335),"")</f>
        <v/>
      </c>
      <c r="T335" s="112" t="str">
        <f aca="false">IFERROR(IF([1]对账明细接口!$O335=0,"",[1]对账明细接口!$O335),"")</f>
        <v/>
      </c>
      <c r="U335" s="112" t="str">
        <f aca="false">IFERROR(IF([1]对账明细接口!$P335=0,"",[1]对账明细接口!$P335),"")</f>
        <v/>
      </c>
      <c r="V335" s="112" t="str">
        <f aca="false">IFERROR(IF([1]对账明细接口!$Q335=0,"",[1]对账明细接口!$Q335),"")</f>
        <v/>
      </c>
      <c r="W335" s="10" t="str">
        <f aca="false">IFERROR(IF([1]对账明细接口!$R335=0,"",[1]对账明细接口!$R335),"")</f>
        <v/>
      </c>
      <c r="X335" s="10" t="str">
        <f aca="false">IFERROR(IF([1]对账明细接口!$S335=0,"",[1]对账明细接口!$S335),"")</f>
        <v/>
      </c>
      <c r="Y335" s="10" t="str">
        <f aca="false">""</f>
        <v/>
      </c>
      <c r="Z335" s="10" t="str">
        <f aca="false">""</f>
        <v/>
      </c>
      <c r="AA335" s="10" t="str">
        <f aca="false">""</f>
        <v/>
      </c>
      <c r="AB335" s="10" t="str">
        <f aca="false">""</f>
        <v/>
      </c>
    </row>
    <row r="336" customFormat="false" ht="13.5" hidden="false" customHeight="false" outlineLevel="0" collapsed="false">
      <c r="A336" s="109" t="n">
        <v>336</v>
      </c>
      <c r="B336" s="110" t="str">
        <f aca="false">IFERROR(IF([1]对账明细接口!$B$336=0,"",[1]对账明细接口!$B$336),"")</f>
        <v/>
      </c>
      <c r="C336" s="59" t="str">
        <f aca="false">IFERROR(IF([1]对账明细接口!$C$336=0,"",[1]对账明细接口!$C$336),"")</f>
        <v/>
      </c>
      <c r="D336" s="59" t="str">
        <f aca="false">IFERROR(IF([1]对账明细接口!$D$336=0,"",[1]对账明细接口!$D$336),"")</f>
        <v/>
      </c>
      <c r="E336" s="59" t="str">
        <f aca="false">IFERROR(IF([1]对账明细接口!$E$336=0,"",[1]对账明细接口!$E$336),"")</f>
        <v/>
      </c>
      <c r="F336" s="59" t="str">
        <f aca="false">IFERROR(IF([1]对账明细接口!$F$336=0,"",[1]对账明细接口!$F$336),"")</f>
        <v/>
      </c>
      <c r="G336" s="59" t="str">
        <f aca="false">IFERROR(IF([1]对账明细接口!$G$336=0,"",[1]对账明细接口!$G$336),"")</f>
        <v/>
      </c>
      <c r="H336" s="60" t="str">
        <f aca="false">IFERROR(IF([1]对账明细接口!$H$336=0,"",[1]对账明细接口!$H$336),"")</f>
        <v/>
      </c>
      <c r="I336" s="59" t="str">
        <f aca="false">IFERROR(IF([1]对账明细接口!$I$336=0,"",[1]对账明细接口!$I$336),"")</f>
        <v/>
      </c>
      <c r="J336" s="61" t="str">
        <f aca="false">IFERROR(IF([1]对账明细接口!$J$336=0,"",[1]对账明细接口!$J$336),"")</f>
        <v/>
      </c>
      <c r="K336" s="61" t="str">
        <f aca="false">IFERROR(IF([1]对账明细接口!$K$336=0,"",[1]对账明细接口!$K$336),"")</f>
        <v/>
      </c>
      <c r="L336" s="59" t="str">
        <f aca="false">IFERROR(IF([1]对账明细接口!$L$336=0,"",[1]对账明细接口!$L$336),"")</f>
        <v/>
      </c>
      <c r="M336" s="59" t="str">
        <f aca="false">IFERROR(IF([1]对账明细接口!$M$336=0,"",[1]对账明细接口!$M$336),"")</f>
        <v/>
      </c>
      <c r="N336" s="111" t="n">
        <f aca="false">IF($C336="",0,1)</f>
        <v>0</v>
      </c>
      <c r="O336" s="111" t="n">
        <f aca="false">N(O335)+$N336</f>
        <v>110</v>
      </c>
      <c r="S336" s="10" t="str">
        <f aca="false">IFERROR(IF([1]对账明细接口!$N336=0,"",[1]对账明细接口!$N336),"")</f>
        <v/>
      </c>
      <c r="T336" s="112" t="str">
        <f aca="false">IFERROR(IF([1]对账明细接口!$O336=0,"",[1]对账明细接口!$O336),"")</f>
        <v/>
      </c>
      <c r="U336" s="112" t="str">
        <f aca="false">IFERROR(IF([1]对账明细接口!$P336=0,"",[1]对账明细接口!$P336),"")</f>
        <v/>
      </c>
      <c r="V336" s="112" t="str">
        <f aca="false">IFERROR(IF([1]对账明细接口!$Q336=0,"",[1]对账明细接口!$Q336),"")</f>
        <v/>
      </c>
      <c r="W336" s="10" t="str">
        <f aca="false">IFERROR(IF([1]对账明细接口!$R336=0,"",[1]对账明细接口!$R336),"")</f>
        <v/>
      </c>
      <c r="X336" s="10" t="str">
        <f aca="false">IFERROR(IF([1]对账明细接口!$S336=0,"",[1]对账明细接口!$S336),"")</f>
        <v/>
      </c>
      <c r="Y336" s="10" t="str">
        <f aca="false">""</f>
        <v/>
      </c>
      <c r="Z336" s="10" t="str">
        <f aca="false">""</f>
        <v/>
      </c>
      <c r="AA336" s="10" t="str">
        <f aca="false">""</f>
        <v/>
      </c>
      <c r="AB336" s="10" t="str">
        <f aca="false">""</f>
        <v/>
      </c>
    </row>
    <row r="337" customFormat="false" ht="13.5" hidden="false" customHeight="false" outlineLevel="0" collapsed="false">
      <c r="A337" s="109" t="n">
        <v>337</v>
      </c>
      <c r="B337" s="110" t="str">
        <f aca="false">IFERROR(IF([1]对账明细接口!$B$337=0,"",[1]对账明细接口!$B$337),"")</f>
        <v/>
      </c>
      <c r="C337" s="59" t="str">
        <f aca="false">IFERROR(IF([1]对账明细接口!$C$337=0,"",[1]对账明细接口!$C$337),"")</f>
        <v/>
      </c>
      <c r="D337" s="59" t="str">
        <f aca="false">IFERROR(IF([1]对账明细接口!$D$337=0,"",[1]对账明细接口!$D$337),"")</f>
        <v/>
      </c>
      <c r="E337" s="59" t="str">
        <f aca="false">IFERROR(IF([1]对账明细接口!$E$337=0,"",[1]对账明细接口!$E$337),"")</f>
        <v/>
      </c>
      <c r="F337" s="59" t="str">
        <f aca="false">IFERROR(IF([1]对账明细接口!$F$337=0,"",[1]对账明细接口!$F$337),"")</f>
        <v/>
      </c>
      <c r="G337" s="59" t="str">
        <f aca="false">IFERROR(IF([1]对账明细接口!$G$337=0,"",[1]对账明细接口!$G$337),"")</f>
        <v/>
      </c>
      <c r="H337" s="60" t="str">
        <f aca="false">IFERROR(IF([1]对账明细接口!$H$337=0,"",[1]对账明细接口!$H$337),"")</f>
        <v/>
      </c>
      <c r="I337" s="59" t="str">
        <f aca="false">IFERROR(IF([1]对账明细接口!$I$337=0,"",[1]对账明细接口!$I$337),"")</f>
        <v/>
      </c>
      <c r="J337" s="61" t="str">
        <f aca="false">IFERROR(IF([1]对账明细接口!$J$337=0,"",[1]对账明细接口!$J$337),"")</f>
        <v/>
      </c>
      <c r="K337" s="61" t="str">
        <f aca="false">IFERROR(IF([1]对账明细接口!$K$337=0,"",[1]对账明细接口!$K$337),"")</f>
        <v/>
      </c>
      <c r="L337" s="59" t="str">
        <f aca="false">IFERROR(IF([1]对账明细接口!$L$337=0,"",[1]对账明细接口!$L$337),"")</f>
        <v/>
      </c>
      <c r="M337" s="59" t="str">
        <f aca="false">IFERROR(IF([1]对账明细接口!$M$337=0,"",[1]对账明细接口!$M$337),"")</f>
        <v/>
      </c>
      <c r="N337" s="111" t="n">
        <f aca="false">IF($C337="",0,1)</f>
        <v>0</v>
      </c>
      <c r="O337" s="111" t="n">
        <f aca="false">N(O336)+$N337</f>
        <v>110</v>
      </c>
      <c r="S337" s="10" t="str">
        <f aca="false">IFERROR(IF([1]对账明细接口!$N337=0,"",[1]对账明细接口!$N337),"")</f>
        <v/>
      </c>
      <c r="T337" s="112" t="str">
        <f aca="false">IFERROR(IF([1]对账明细接口!$O337=0,"",[1]对账明细接口!$O337),"")</f>
        <v/>
      </c>
      <c r="U337" s="112" t="str">
        <f aca="false">IFERROR(IF([1]对账明细接口!$P337=0,"",[1]对账明细接口!$P337),"")</f>
        <v/>
      </c>
      <c r="V337" s="112" t="str">
        <f aca="false">IFERROR(IF([1]对账明细接口!$Q337=0,"",[1]对账明细接口!$Q337),"")</f>
        <v/>
      </c>
      <c r="W337" s="10" t="str">
        <f aca="false">IFERROR(IF([1]对账明细接口!$R337=0,"",[1]对账明细接口!$R337),"")</f>
        <v/>
      </c>
      <c r="X337" s="10" t="str">
        <f aca="false">IFERROR(IF([1]对账明细接口!$S337=0,"",[1]对账明细接口!$S337),"")</f>
        <v/>
      </c>
      <c r="Y337" s="10" t="str">
        <f aca="false">""</f>
        <v/>
      </c>
      <c r="Z337" s="10" t="str">
        <f aca="false">""</f>
        <v/>
      </c>
      <c r="AA337" s="10" t="str">
        <f aca="false">""</f>
        <v/>
      </c>
      <c r="AB337" s="10" t="str">
        <f aca="false">""</f>
        <v/>
      </c>
    </row>
    <row r="338" customFormat="false" ht="13.5" hidden="false" customHeight="false" outlineLevel="0" collapsed="false">
      <c r="A338" s="109" t="n">
        <v>338</v>
      </c>
      <c r="B338" s="110" t="str">
        <f aca="false">IFERROR(IF([1]对账明细接口!$B$338=0,"",[1]对账明细接口!$B$338),"")</f>
        <v/>
      </c>
      <c r="C338" s="59" t="str">
        <f aca="false">IFERROR(IF([1]对账明细接口!$C$338=0,"",[1]对账明细接口!$C$338),"")</f>
        <v/>
      </c>
      <c r="D338" s="59" t="str">
        <f aca="false">IFERROR(IF([1]对账明细接口!$D$338=0,"",[1]对账明细接口!$D$338),"")</f>
        <v/>
      </c>
      <c r="E338" s="59" t="str">
        <f aca="false">IFERROR(IF([1]对账明细接口!$E$338=0,"",[1]对账明细接口!$E$338),"")</f>
        <v/>
      </c>
      <c r="F338" s="59" t="str">
        <f aca="false">IFERROR(IF([1]对账明细接口!$F$338=0,"",[1]对账明细接口!$F$338),"")</f>
        <v/>
      </c>
      <c r="G338" s="59" t="str">
        <f aca="false">IFERROR(IF([1]对账明细接口!$G$338=0,"",[1]对账明细接口!$G$338),"")</f>
        <v/>
      </c>
      <c r="H338" s="60" t="str">
        <f aca="false">IFERROR(IF([1]对账明细接口!$H$338=0,"",[1]对账明细接口!$H$338),"")</f>
        <v/>
      </c>
      <c r="I338" s="59" t="str">
        <f aca="false">IFERROR(IF([1]对账明细接口!$I$338=0,"",[1]对账明细接口!$I$338),"")</f>
        <v/>
      </c>
      <c r="J338" s="61" t="str">
        <f aca="false">IFERROR(IF([1]对账明细接口!$J$338=0,"",[1]对账明细接口!$J$338),"")</f>
        <v/>
      </c>
      <c r="K338" s="61" t="str">
        <f aca="false">IFERROR(IF([1]对账明细接口!$K$338=0,"",[1]对账明细接口!$K$338),"")</f>
        <v/>
      </c>
      <c r="L338" s="59" t="str">
        <f aca="false">IFERROR(IF([1]对账明细接口!$L$338=0,"",[1]对账明细接口!$L$338),"")</f>
        <v/>
      </c>
      <c r="M338" s="59" t="str">
        <f aca="false">IFERROR(IF([1]对账明细接口!$M$338=0,"",[1]对账明细接口!$M$338),"")</f>
        <v/>
      </c>
      <c r="N338" s="111" t="n">
        <f aca="false">IF($C338="",0,1)</f>
        <v>0</v>
      </c>
      <c r="O338" s="111" t="n">
        <f aca="false">N(O337)+$N338</f>
        <v>110</v>
      </c>
      <c r="S338" s="10" t="str">
        <f aca="false">IFERROR(IF([1]对账明细接口!$N338=0,"",[1]对账明细接口!$N338),"")</f>
        <v/>
      </c>
      <c r="T338" s="112" t="str">
        <f aca="false">IFERROR(IF([1]对账明细接口!$O338=0,"",[1]对账明细接口!$O338),"")</f>
        <v/>
      </c>
      <c r="U338" s="112" t="str">
        <f aca="false">IFERROR(IF([1]对账明细接口!$P338=0,"",[1]对账明细接口!$P338),"")</f>
        <v/>
      </c>
      <c r="V338" s="112" t="str">
        <f aca="false">IFERROR(IF([1]对账明细接口!$Q338=0,"",[1]对账明细接口!$Q338),"")</f>
        <v/>
      </c>
      <c r="W338" s="10" t="str">
        <f aca="false">IFERROR(IF([1]对账明细接口!$R338=0,"",[1]对账明细接口!$R338),"")</f>
        <v/>
      </c>
      <c r="X338" s="10" t="str">
        <f aca="false">IFERROR(IF([1]对账明细接口!$S338=0,"",[1]对账明细接口!$S338),"")</f>
        <v/>
      </c>
      <c r="Y338" s="10" t="str">
        <f aca="false">""</f>
        <v/>
      </c>
      <c r="Z338" s="10" t="str">
        <f aca="false">""</f>
        <v/>
      </c>
      <c r="AA338" s="10" t="str">
        <f aca="false">""</f>
        <v/>
      </c>
      <c r="AB338" s="10" t="str">
        <f aca="false">""</f>
        <v/>
      </c>
    </row>
    <row r="339" customFormat="false" ht="13.5" hidden="false" customHeight="false" outlineLevel="0" collapsed="false">
      <c r="A339" s="109" t="n">
        <v>339</v>
      </c>
      <c r="B339" s="110" t="str">
        <f aca="false">IFERROR(IF([1]对账明细接口!$B$339=0,"",[1]对账明细接口!$B$339),"")</f>
        <v/>
      </c>
      <c r="C339" s="59" t="str">
        <f aca="false">IFERROR(IF([1]对账明细接口!$C$339=0,"",[1]对账明细接口!$C$339),"")</f>
        <v/>
      </c>
      <c r="D339" s="59" t="str">
        <f aca="false">IFERROR(IF([1]对账明细接口!$D$339=0,"",[1]对账明细接口!$D$339),"")</f>
        <v/>
      </c>
      <c r="E339" s="59" t="str">
        <f aca="false">IFERROR(IF([1]对账明细接口!$E$339=0,"",[1]对账明细接口!$E$339),"")</f>
        <v/>
      </c>
      <c r="F339" s="59" t="str">
        <f aca="false">IFERROR(IF([1]对账明细接口!$F$339=0,"",[1]对账明细接口!$F$339),"")</f>
        <v/>
      </c>
      <c r="G339" s="59" t="str">
        <f aca="false">IFERROR(IF([1]对账明细接口!$G$339=0,"",[1]对账明细接口!$G$339),"")</f>
        <v/>
      </c>
      <c r="H339" s="60" t="str">
        <f aca="false">IFERROR(IF([1]对账明细接口!$H$339=0,"",[1]对账明细接口!$H$339),"")</f>
        <v/>
      </c>
      <c r="I339" s="59" t="str">
        <f aca="false">IFERROR(IF([1]对账明细接口!$I$339=0,"",[1]对账明细接口!$I$339),"")</f>
        <v/>
      </c>
      <c r="J339" s="61" t="str">
        <f aca="false">IFERROR(IF([1]对账明细接口!$J$339=0,"",[1]对账明细接口!$J$339),"")</f>
        <v/>
      </c>
      <c r="K339" s="61" t="str">
        <f aca="false">IFERROR(IF([1]对账明细接口!$K$339=0,"",[1]对账明细接口!$K$339),"")</f>
        <v/>
      </c>
      <c r="L339" s="59" t="str">
        <f aca="false">IFERROR(IF([1]对账明细接口!$L$339=0,"",[1]对账明细接口!$L$339),"")</f>
        <v/>
      </c>
      <c r="M339" s="59" t="str">
        <f aca="false">IFERROR(IF([1]对账明细接口!$M$339=0,"",[1]对账明细接口!$M$339),"")</f>
        <v/>
      </c>
      <c r="N339" s="111" t="n">
        <f aca="false">IF($C339="",0,1)</f>
        <v>0</v>
      </c>
      <c r="O339" s="111" t="n">
        <f aca="false">N(O338)+$N339</f>
        <v>110</v>
      </c>
      <c r="S339" s="10" t="str">
        <f aca="false">IFERROR(IF([1]对账明细接口!$N339=0,"",[1]对账明细接口!$N339),"")</f>
        <v/>
      </c>
      <c r="T339" s="112" t="str">
        <f aca="false">IFERROR(IF([1]对账明细接口!$O339=0,"",[1]对账明细接口!$O339),"")</f>
        <v/>
      </c>
      <c r="U339" s="112" t="str">
        <f aca="false">IFERROR(IF([1]对账明细接口!$P339=0,"",[1]对账明细接口!$P339),"")</f>
        <v/>
      </c>
      <c r="V339" s="112" t="str">
        <f aca="false">IFERROR(IF([1]对账明细接口!$Q339=0,"",[1]对账明细接口!$Q339),"")</f>
        <v/>
      </c>
      <c r="W339" s="10" t="str">
        <f aca="false">IFERROR(IF([1]对账明细接口!$R339=0,"",[1]对账明细接口!$R339),"")</f>
        <v/>
      </c>
      <c r="X339" s="10" t="str">
        <f aca="false">IFERROR(IF([1]对账明细接口!$S339=0,"",[1]对账明细接口!$S339),"")</f>
        <v/>
      </c>
      <c r="Y339" s="10" t="str">
        <f aca="false">""</f>
        <v/>
      </c>
      <c r="Z339" s="10" t="str">
        <f aca="false">""</f>
        <v/>
      </c>
      <c r="AA339" s="10" t="str">
        <f aca="false">""</f>
        <v/>
      </c>
      <c r="AB339" s="10" t="str">
        <f aca="false">""</f>
        <v/>
      </c>
    </row>
    <row r="340" customFormat="false" ht="13.5" hidden="false" customHeight="false" outlineLevel="0" collapsed="false">
      <c r="A340" s="109" t="n">
        <v>340</v>
      </c>
      <c r="B340" s="110" t="str">
        <f aca="false">IFERROR(IF([1]对账明细接口!$B$340=0,"",[1]对账明细接口!$B$340),"")</f>
        <v/>
      </c>
      <c r="C340" s="59" t="str">
        <f aca="false">IFERROR(IF([1]对账明细接口!$C$340=0,"",[1]对账明细接口!$C$340),"")</f>
        <v/>
      </c>
      <c r="D340" s="59" t="str">
        <f aca="false">IFERROR(IF([1]对账明细接口!$D$340=0,"",[1]对账明细接口!$D$340),"")</f>
        <v/>
      </c>
      <c r="E340" s="59" t="str">
        <f aca="false">IFERROR(IF([1]对账明细接口!$E$340=0,"",[1]对账明细接口!$E$340),"")</f>
        <v/>
      </c>
      <c r="F340" s="59" t="str">
        <f aca="false">IFERROR(IF([1]对账明细接口!$F$340=0,"",[1]对账明细接口!$F$340),"")</f>
        <v/>
      </c>
      <c r="G340" s="59" t="str">
        <f aca="false">IFERROR(IF([1]对账明细接口!$G$340=0,"",[1]对账明细接口!$G$340),"")</f>
        <v/>
      </c>
      <c r="H340" s="60" t="str">
        <f aca="false">IFERROR(IF([1]对账明细接口!$H$340=0,"",[1]对账明细接口!$H$340),"")</f>
        <v/>
      </c>
      <c r="I340" s="59" t="str">
        <f aca="false">IFERROR(IF([1]对账明细接口!$I$340=0,"",[1]对账明细接口!$I$340),"")</f>
        <v/>
      </c>
      <c r="J340" s="61" t="str">
        <f aca="false">IFERROR(IF([1]对账明细接口!$J$340=0,"",[1]对账明细接口!$J$340),"")</f>
        <v/>
      </c>
      <c r="K340" s="61" t="str">
        <f aca="false">IFERROR(IF([1]对账明细接口!$K$340=0,"",[1]对账明细接口!$K$340),"")</f>
        <v/>
      </c>
      <c r="L340" s="59" t="str">
        <f aca="false">IFERROR(IF([1]对账明细接口!$L$340=0,"",[1]对账明细接口!$L$340),"")</f>
        <v/>
      </c>
      <c r="M340" s="59" t="str">
        <f aca="false">IFERROR(IF([1]对账明细接口!$M$340=0,"",[1]对账明细接口!$M$340),"")</f>
        <v/>
      </c>
      <c r="N340" s="111" t="n">
        <f aca="false">IF($C340="",0,1)</f>
        <v>0</v>
      </c>
      <c r="O340" s="111" t="n">
        <f aca="false">N(O339)+$N340</f>
        <v>110</v>
      </c>
      <c r="S340" s="10" t="str">
        <f aca="false">IFERROR(IF([1]对账明细接口!$N340=0,"",[1]对账明细接口!$N340),"")</f>
        <v/>
      </c>
      <c r="T340" s="112" t="str">
        <f aca="false">IFERROR(IF([1]对账明细接口!$O340=0,"",[1]对账明细接口!$O340),"")</f>
        <v/>
      </c>
      <c r="U340" s="112" t="str">
        <f aca="false">IFERROR(IF([1]对账明细接口!$P340=0,"",[1]对账明细接口!$P340),"")</f>
        <v/>
      </c>
      <c r="V340" s="112" t="str">
        <f aca="false">IFERROR(IF([1]对账明细接口!$Q340=0,"",[1]对账明细接口!$Q340),"")</f>
        <v/>
      </c>
      <c r="W340" s="10" t="str">
        <f aca="false">IFERROR(IF([1]对账明细接口!$R340=0,"",[1]对账明细接口!$R340),"")</f>
        <v/>
      </c>
      <c r="X340" s="10" t="str">
        <f aca="false">IFERROR(IF([1]对账明细接口!$S340=0,"",[1]对账明细接口!$S340),"")</f>
        <v/>
      </c>
      <c r="Y340" s="10" t="str">
        <f aca="false">""</f>
        <v/>
      </c>
      <c r="Z340" s="10" t="str">
        <f aca="false">""</f>
        <v/>
      </c>
      <c r="AA340" s="10" t="str">
        <f aca="false">""</f>
        <v/>
      </c>
      <c r="AB340" s="10" t="str">
        <f aca="false">""</f>
        <v/>
      </c>
    </row>
    <row r="341" customFormat="false" ht="13.5" hidden="false" customHeight="false" outlineLevel="0" collapsed="false">
      <c r="A341" s="109" t="n">
        <v>341</v>
      </c>
      <c r="B341" s="110" t="str">
        <f aca="false">IFERROR(IF([1]对账明细接口!$B$341=0,"",[1]对账明细接口!$B$341),"")</f>
        <v/>
      </c>
      <c r="C341" s="59" t="str">
        <f aca="false">IFERROR(IF([1]对账明细接口!$C$341=0,"",[1]对账明细接口!$C$341),"")</f>
        <v/>
      </c>
      <c r="D341" s="59" t="str">
        <f aca="false">IFERROR(IF([1]对账明细接口!$D$341=0,"",[1]对账明细接口!$D$341),"")</f>
        <v/>
      </c>
      <c r="E341" s="59" t="str">
        <f aca="false">IFERROR(IF([1]对账明细接口!$E$341=0,"",[1]对账明细接口!$E$341),"")</f>
        <v/>
      </c>
      <c r="F341" s="59" t="str">
        <f aca="false">IFERROR(IF([1]对账明细接口!$F$341=0,"",[1]对账明细接口!$F$341),"")</f>
        <v/>
      </c>
      <c r="G341" s="59" t="str">
        <f aca="false">IFERROR(IF([1]对账明细接口!$G$341=0,"",[1]对账明细接口!$G$341),"")</f>
        <v/>
      </c>
      <c r="H341" s="60" t="str">
        <f aca="false">IFERROR(IF([1]对账明细接口!$H$341=0,"",[1]对账明细接口!$H$341),"")</f>
        <v/>
      </c>
      <c r="I341" s="59" t="str">
        <f aca="false">IFERROR(IF([1]对账明细接口!$I$341=0,"",[1]对账明细接口!$I$341),"")</f>
        <v/>
      </c>
      <c r="J341" s="61" t="str">
        <f aca="false">IFERROR(IF([1]对账明细接口!$J$341=0,"",[1]对账明细接口!$J$341),"")</f>
        <v/>
      </c>
      <c r="K341" s="61" t="str">
        <f aca="false">IFERROR(IF([1]对账明细接口!$K$341=0,"",[1]对账明细接口!$K$341),"")</f>
        <v/>
      </c>
      <c r="L341" s="59" t="str">
        <f aca="false">IFERROR(IF([1]对账明细接口!$L$341=0,"",[1]对账明细接口!$L$341),"")</f>
        <v/>
      </c>
      <c r="M341" s="59" t="str">
        <f aca="false">IFERROR(IF([1]对账明细接口!$M$341=0,"",[1]对账明细接口!$M$341),"")</f>
        <v/>
      </c>
      <c r="N341" s="111" t="n">
        <f aca="false">IF($C341="",0,1)</f>
        <v>0</v>
      </c>
      <c r="O341" s="111" t="n">
        <f aca="false">N(O340)+$N341</f>
        <v>110</v>
      </c>
      <c r="S341" s="10" t="str">
        <f aca="false">IFERROR(IF([1]对账明细接口!$N341=0,"",[1]对账明细接口!$N341),"")</f>
        <v/>
      </c>
      <c r="T341" s="112" t="str">
        <f aca="false">IFERROR(IF([1]对账明细接口!$O341=0,"",[1]对账明细接口!$O341),"")</f>
        <v/>
      </c>
      <c r="U341" s="112" t="str">
        <f aca="false">IFERROR(IF([1]对账明细接口!$P341=0,"",[1]对账明细接口!$P341),"")</f>
        <v/>
      </c>
      <c r="V341" s="112" t="str">
        <f aca="false">IFERROR(IF([1]对账明细接口!$Q341=0,"",[1]对账明细接口!$Q341),"")</f>
        <v/>
      </c>
      <c r="W341" s="10" t="str">
        <f aca="false">IFERROR(IF([1]对账明细接口!$R341=0,"",[1]对账明细接口!$R341),"")</f>
        <v/>
      </c>
      <c r="X341" s="10" t="str">
        <f aca="false">IFERROR(IF([1]对账明细接口!$S341=0,"",[1]对账明细接口!$S341),"")</f>
        <v/>
      </c>
      <c r="Y341" s="10" t="str">
        <f aca="false">""</f>
        <v/>
      </c>
      <c r="Z341" s="10" t="str">
        <f aca="false">""</f>
        <v/>
      </c>
      <c r="AA341" s="10" t="str">
        <f aca="false">""</f>
        <v/>
      </c>
      <c r="AB341" s="10" t="str">
        <f aca="false">""</f>
        <v/>
      </c>
    </row>
    <row r="342" customFormat="false" ht="13.5" hidden="false" customHeight="false" outlineLevel="0" collapsed="false">
      <c r="A342" s="109" t="n">
        <v>342</v>
      </c>
      <c r="B342" s="110" t="str">
        <f aca="false">IFERROR(IF([1]对账明细接口!$B$342=0,"",[1]对账明细接口!$B$342),"")</f>
        <v/>
      </c>
      <c r="C342" s="59" t="str">
        <f aca="false">IFERROR(IF([1]对账明细接口!$C$342=0,"",[1]对账明细接口!$C$342),"")</f>
        <v/>
      </c>
      <c r="D342" s="59" t="str">
        <f aca="false">IFERROR(IF([1]对账明细接口!$D$342=0,"",[1]对账明细接口!$D$342),"")</f>
        <v/>
      </c>
      <c r="E342" s="59" t="str">
        <f aca="false">IFERROR(IF([1]对账明细接口!$E$342=0,"",[1]对账明细接口!$E$342),"")</f>
        <v/>
      </c>
      <c r="F342" s="59" t="str">
        <f aca="false">IFERROR(IF([1]对账明细接口!$F$342=0,"",[1]对账明细接口!$F$342),"")</f>
        <v/>
      </c>
      <c r="G342" s="59" t="str">
        <f aca="false">IFERROR(IF([1]对账明细接口!$G$342=0,"",[1]对账明细接口!$G$342),"")</f>
        <v/>
      </c>
      <c r="H342" s="60" t="str">
        <f aca="false">IFERROR(IF([1]对账明细接口!$H$342=0,"",[1]对账明细接口!$H$342),"")</f>
        <v/>
      </c>
      <c r="I342" s="59" t="str">
        <f aca="false">IFERROR(IF([1]对账明细接口!$I$342=0,"",[1]对账明细接口!$I$342),"")</f>
        <v/>
      </c>
      <c r="J342" s="61" t="str">
        <f aca="false">IFERROR(IF([1]对账明细接口!$J$342=0,"",[1]对账明细接口!$J$342),"")</f>
        <v/>
      </c>
      <c r="K342" s="61" t="str">
        <f aca="false">IFERROR(IF([1]对账明细接口!$K$342=0,"",[1]对账明细接口!$K$342),"")</f>
        <v/>
      </c>
      <c r="L342" s="59" t="str">
        <f aca="false">IFERROR(IF([1]对账明细接口!$L$342=0,"",[1]对账明细接口!$L$342),"")</f>
        <v/>
      </c>
      <c r="M342" s="59" t="str">
        <f aca="false">IFERROR(IF([1]对账明细接口!$M$342=0,"",[1]对账明细接口!$M$342),"")</f>
        <v/>
      </c>
      <c r="N342" s="111" t="n">
        <f aca="false">IF($C342="",0,1)</f>
        <v>0</v>
      </c>
      <c r="O342" s="111" t="n">
        <f aca="false">N(O341)+$N342</f>
        <v>110</v>
      </c>
      <c r="S342" s="10" t="str">
        <f aca="false">IFERROR(IF([1]对账明细接口!$N342=0,"",[1]对账明细接口!$N342),"")</f>
        <v/>
      </c>
      <c r="T342" s="112" t="str">
        <f aca="false">IFERROR(IF([1]对账明细接口!$O342=0,"",[1]对账明细接口!$O342),"")</f>
        <v/>
      </c>
      <c r="U342" s="112" t="str">
        <f aca="false">IFERROR(IF([1]对账明细接口!$P342=0,"",[1]对账明细接口!$P342),"")</f>
        <v/>
      </c>
      <c r="V342" s="112" t="str">
        <f aca="false">IFERROR(IF([1]对账明细接口!$Q342=0,"",[1]对账明细接口!$Q342),"")</f>
        <v/>
      </c>
      <c r="W342" s="10" t="str">
        <f aca="false">IFERROR(IF([1]对账明细接口!$R342=0,"",[1]对账明细接口!$R342),"")</f>
        <v/>
      </c>
      <c r="X342" s="10" t="str">
        <f aca="false">IFERROR(IF([1]对账明细接口!$S342=0,"",[1]对账明细接口!$S342),"")</f>
        <v/>
      </c>
      <c r="Y342" s="10" t="str">
        <f aca="false">""</f>
        <v/>
      </c>
      <c r="Z342" s="10" t="str">
        <f aca="false">""</f>
        <v/>
      </c>
      <c r="AA342" s="10" t="str">
        <f aca="false">""</f>
        <v/>
      </c>
      <c r="AB342" s="10" t="str">
        <f aca="false">""</f>
        <v/>
      </c>
    </row>
    <row r="343" customFormat="false" ht="13.5" hidden="false" customHeight="false" outlineLevel="0" collapsed="false">
      <c r="A343" s="109" t="n">
        <v>343</v>
      </c>
      <c r="B343" s="110" t="str">
        <f aca="false">IFERROR(IF([1]对账明细接口!$B$343=0,"",[1]对账明细接口!$B$343),"")</f>
        <v/>
      </c>
      <c r="C343" s="59" t="str">
        <f aca="false">IFERROR(IF([1]对账明细接口!$C$343=0,"",[1]对账明细接口!$C$343),"")</f>
        <v/>
      </c>
      <c r="D343" s="59" t="str">
        <f aca="false">IFERROR(IF([1]对账明细接口!$D$343=0,"",[1]对账明细接口!$D$343),"")</f>
        <v/>
      </c>
      <c r="E343" s="59" t="str">
        <f aca="false">IFERROR(IF([1]对账明细接口!$E$343=0,"",[1]对账明细接口!$E$343),"")</f>
        <v/>
      </c>
      <c r="F343" s="59" t="str">
        <f aca="false">IFERROR(IF([1]对账明细接口!$F$343=0,"",[1]对账明细接口!$F$343),"")</f>
        <v/>
      </c>
      <c r="G343" s="59" t="str">
        <f aca="false">IFERROR(IF([1]对账明细接口!$G$343=0,"",[1]对账明细接口!$G$343),"")</f>
        <v/>
      </c>
      <c r="H343" s="60" t="str">
        <f aca="false">IFERROR(IF([1]对账明细接口!$H$343=0,"",[1]对账明细接口!$H$343),"")</f>
        <v/>
      </c>
      <c r="I343" s="59" t="str">
        <f aca="false">IFERROR(IF([1]对账明细接口!$I$343=0,"",[1]对账明细接口!$I$343),"")</f>
        <v/>
      </c>
      <c r="J343" s="61" t="str">
        <f aca="false">IFERROR(IF([1]对账明细接口!$J$343=0,"",[1]对账明细接口!$J$343),"")</f>
        <v/>
      </c>
      <c r="K343" s="61" t="str">
        <f aca="false">IFERROR(IF([1]对账明细接口!$K$343=0,"",[1]对账明细接口!$K$343),"")</f>
        <v/>
      </c>
      <c r="L343" s="59" t="str">
        <f aca="false">IFERROR(IF([1]对账明细接口!$L$343=0,"",[1]对账明细接口!$L$343),"")</f>
        <v/>
      </c>
      <c r="M343" s="59" t="str">
        <f aca="false">IFERROR(IF([1]对账明细接口!$M$343=0,"",[1]对账明细接口!$M$343),"")</f>
        <v/>
      </c>
      <c r="N343" s="111" t="n">
        <f aca="false">IF($C343="",0,1)</f>
        <v>0</v>
      </c>
      <c r="O343" s="111" t="n">
        <f aca="false">N(O342)+$N343</f>
        <v>110</v>
      </c>
      <c r="S343" s="10" t="str">
        <f aca="false">IFERROR(IF([1]对账明细接口!$N343=0,"",[1]对账明细接口!$N343),"")</f>
        <v/>
      </c>
      <c r="T343" s="112" t="str">
        <f aca="false">IFERROR(IF([1]对账明细接口!$O343=0,"",[1]对账明细接口!$O343),"")</f>
        <v/>
      </c>
      <c r="U343" s="112" t="str">
        <f aca="false">IFERROR(IF([1]对账明细接口!$P343=0,"",[1]对账明细接口!$P343),"")</f>
        <v/>
      </c>
      <c r="V343" s="112" t="str">
        <f aca="false">IFERROR(IF([1]对账明细接口!$Q343=0,"",[1]对账明细接口!$Q343),"")</f>
        <v/>
      </c>
      <c r="W343" s="10" t="str">
        <f aca="false">IFERROR(IF([1]对账明细接口!$R343=0,"",[1]对账明细接口!$R343),"")</f>
        <v/>
      </c>
      <c r="X343" s="10" t="str">
        <f aca="false">IFERROR(IF([1]对账明细接口!$S343=0,"",[1]对账明细接口!$S343),"")</f>
        <v/>
      </c>
      <c r="Y343" s="10" t="str">
        <f aca="false">""</f>
        <v/>
      </c>
      <c r="Z343" s="10" t="str">
        <f aca="false">""</f>
        <v/>
      </c>
      <c r="AA343" s="10" t="str">
        <f aca="false">""</f>
        <v/>
      </c>
      <c r="AB343" s="10" t="str">
        <f aca="false">""</f>
        <v/>
      </c>
    </row>
    <row r="344" customFormat="false" ht="13.5" hidden="false" customHeight="false" outlineLevel="0" collapsed="false">
      <c r="A344" s="109" t="n">
        <v>344</v>
      </c>
      <c r="B344" s="110" t="str">
        <f aca="false">IFERROR(IF([1]对账明细接口!$B$344=0,"",[1]对账明细接口!$B$344),"")</f>
        <v/>
      </c>
      <c r="C344" s="59" t="str">
        <f aca="false">IFERROR(IF([1]对账明细接口!$C$344=0,"",[1]对账明细接口!$C$344),"")</f>
        <v/>
      </c>
      <c r="D344" s="59" t="str">
        <f aca="false">IFERROR(IF([1]对账明细接口!$D$344=0,"",[1]对账明细接口!$D$344),"")</f>
        <v/>
      </c>
      <c r="E344" s="59" t="str">
        <f aca="false">IFERROR(IF([1]对账明细接口!$E$344=0,"",[1]对账明细接口!$E$344),"")</f>
        <v/>
      </c>
      <c r="F344" s="59" t="str">
        <f aca="false">IFERROR(IF([1]对账明细接口!$F$344=0,"",[1]对账明细接口!$F$344),"")</f>
        <v/>
      </c>
      <c r="G344" s="59" t="str">
        <f aca="false">IFERROR(IF([1]对账明细接口!$G$344=0,"",[1]对账明细接口!$G$344),"")</f>
        <v/>
      </c>
      <c r="H344" s="60" t="str">
        <f aca="false">IFERROR(IF([1]对账明细接口!$H$344=0,"",[1]对账明细接口!$H$344),"")</f>
        <v/>
      </c>
      <c r="I344" s="59" t="str">
        <f aca="false">IFERROR(IF([1]对账明细接口!$I$344=0,"",[1]对账明细接口!$I$344),"")</f>
        <v/>
      </c>
      <c r="J344" s="61" t="str">
        <f aca="false">IFERROR(IF([1]对账明细接口!$J$344=0,"",[1]对账明细接口!$J$344),"")</f>
        <v/>
      </c>
      <c r="K344" s="61" t="str">
        <f aca="false">IFERROR(IF([1]对账明细接口!$K$344=0,"",[1]对账明细接口!$K$344),"")</f>
        <v/>
      </c>
      <c r="L344" s="59" t="str">
        <f aca="false">IFERROR(IF([1]对账明细接口!$L$344=0,"",[1]对账明细接口!$L$344),"")</f>
        <v/>
      </c>
      <c r="M344" s="59" t="str">
        <f aca="false">IFERROR(IF([1]对账明细接口!$M$344=0,"",[1]对账明细接口!$M$344),"")</f>
        <v/>
      </c>
      <c r="N344" s="111" t="n">
        <f aca="false">IF($C344="",0,1)</f>
        <v>0</v>
      </c>
      <c r="O344" s="111" t="n">
        <f aca="false">N(O343)+$N344</f>
        <v>110</v>
      </c>
      <c r="S344" s="10" t="str">
        <f aca="false">IFERROR(IF([1]对账明细接口!$N344=0,"",[1]对账明细接口!$N344),"")</f>
        <v/>
      </c>
      <c r="T344" s="112" t="str">
        <f aca="false">IFERROR(IF([1]对账明细接口!$O344=0,"",[1]对账明细接口!$O344),"")</f>
        <v/>
      </c>
      <c r="U344" s="112" t="str">
        <f aca="false">IFERROR(IF([1]对账明细接口!$P344=0,"",[1]对账明细接口!$P344),"")</f>
        <v/>
      </c>
      <c r="V344" s="112" t="str">
        <f aca="false">IFERROR(IF([1]对账明细接口!$Q344=0,"",[1]对账明细接口!$Q344),"")</f>
        <v/>
      </c>
      <c r="W344" s="10" t="str">
        <f aca="false">IFERROR(IF([1]对账明细接口!$R344=0,"",[1]对账明细接口!$R344),"")</f>
        <v/>
      </c>
      <c r="X344" s="10" t="str">
        <f aca="false">IFERROR(IF([1]对账明细接口!$S344=0,"",[1]对账明细接口!$S344),"")</f>
        <v/>
      </c>
      <c r="Y344" s="10" t="str">
        <f aca="false">""</f>
        <v/>
      </c>
      <c r="Z344" s="10" t="str">
        <f aca="false">""</f>
        <v/>
      </c>
      <c r="AA344" s="10" t="str">
        <f aca="false">""</f>
        <v/>
      </c>
      <c r="AB344" s="10" t="str">
        <f aca="false">""</f>
        <v/>
      </c>
    </row>
    <row r="345" customFormat="false" ht="13.5" hidden="false" customHeight="false" outlineLevel="0" collapsed="false">
      <c r="A345" s="109" t="n">
        <v>345</v>
      </c>
      <c r="B345" s="110" t="str">
        <f aca="false">IFERROR(IF([1]对账明细接口!$B$345=0,"",[1]对账明细接口!$B$345),"")</f>
        <v/>
      </c>
      <c r="C345" s="59" t="str">
        <f aca="false">IFERROR(IF([1]对账明细接口!$C$345=0,"",[1]对账明细接口!$C$345),"")</f>
        <v/>
      </c>
      <c r="D345" s="59" t="str">
        <f aca="false">IFERROR(IF([1]对账明细接口!$D$345=0,"",[1]对账明细接口!$D$345),"")</f>
        <v/>
      </c>
      <c r="E345" s="59" t="str">
        <f aca="false">IFERROR(IF([1]对账明细接口!$E$345=0,"",[1]对账明细接口!$E$345),"")</f>
        <v/>
      </c>
      <c r="F345" s="59" t="str">
        <f aca="false">IFERROR(IF([1]对账明细接口!$F$345=0,"",[1]对账明细接口!$F$345),"")</f>
        <v/>
      </c>
      <c r="G345" s="59" t="str">
        <f aca="false">IFERROR(IF([1]对账明细接口!$G$345=0,"",[1]对账明细接口!$G$345),"")</f>
        <v/>
      </c>
      <c r="H345" s="60" t="str">
        <f aca="false">IFERROR(IF([1]对账明细接口!$H$345=0,"",[1]对账明细接口!$H$345),"")</f>
        <v/>
      </c>
      <c r="I345" s="59" t="str">
        <f aca="false">IFERROR(IF([1]对账明细接口!$I$345=0,"",[1]对账明细接口!$I$345),"")</f>
        <v/>
      </c>
      <c r="J345" s="61" t="str">
        <f aca="false">IFERROR(IF([1]对账明细接口!$J$345=0,"",[1]对账明细接口!$J$345),"")</f>
        <v/>
      </c>
      <c r="K345" s="61" t="str">
        <f aca="false">IFERROR(IF([1]对账明细接口!$K$345=0,"",[1]对账明细接口!$K$345),"")</f>
        <v/>
      </c>
      <c r="L345" s="59" t="str">
        <f aca="false">IFERROR(IF([1]对账明细接口!$L$345=0,"",[1]对账明细接口!$L$345),"")</f>
        <v/>
      </c>
      <c r="M345" s="59" t="str">
        <f aca="false">IFERROR(IF([1]对账明细接口!$M$345=0,"",[1]对账明细接口!$M$345),"")</f>
        <v/>
      </c>
      <c r="N345" s="111" t="n">
        <f aca="false">IF($C345="",0,1)</f>
        <v>0</v>
      </c>
      <c r="O345" s="111" t="n">
        <f aca="false">N(O344)+$N345</f>
        <v>110</v>
      </c>
      <c r="S345" s="10" t="str">
        <f aca="false">IFERROR(IF([1]对账明细接口!$N345=0,"",[1]对账明细接口!$N345),"")</f>
        <v/>
      </c>
      <c r="T345" s="112" t="str">
        <f aca="false">IFERROR(IF([1]对账明细接口!$O345=0,"",[1]对账明细接口!$O345),"")</f>
        <v/>
      </c>
      <c r="U345" s="112" t="str">
        <f aca="false">IFERROR(IF([1]对账明细接口!$P345=0,"",[1]对账明细接口!$P345),"")</f>
        <v/>
      </c>
      <c r="V345" s="112" t="str">
        <f aca="false">IFERROR(IF([1]对账明细接口!$Q345=0,"",[1]对账明细接口!$Q345),"")</f>
        <v/>
      </c>
      <c r="W345" s="10" t="str">
        <f aca="false">IFERROR(IF([1]对账明细接口!$R345=0,"",[1]对账明细接口!$R345),"")</f>
        <v/>
      </c>
      <c r="X345" s="10" t="str">
        <f aca="false">IFERROR(IF([1]对账明细接口!$S345=0,"",[1]对账明细接口!$S345),"")</f>
        <v/>
      </c>
      <c r="Y345" s="10" t="str">
        <f aca="false">""</f>
        <v/>
      </c>
      <c r="Z345" s="10" t="str">
        <f aca="false">""</f>
        <v/>
      </c>
      <c r="AA345" s="10" t="str">
        <f aca="false">""</f>
        <v/>
      </c>
      <c r="AB345" s="10" t="str">
        <f aca="false">""</f>
        <v/>
      </c>
    </row>
    <row r="346" customFormat="false" ht="13.5" hidden="false" customHeight="false" outlineLevel="0" collapsed="false">
      <c r="A346" s="109" t="n">
        <v>346</v>
      </c>
      <c r="B346" s="110" t="str">
        <f aca="false">IFERROR(IF([1]对账明细接口!$B$346=0,"",[1]对账明细接口!$B$346),"")</f>
        <v/>
      </c>
      <c r="C346" s="59" t="str">
        <f aca="false">IFERROR(IF([1]对账明细接口!$C$346=0,"",[1]对账明细接口!$C$346),"")</f>
        <v/>
      </c>
      <c r="D346" s="59" t="str">
        <f aca="false">IFERROR(IF([1]对账明细接口!$D$346=0,"",[1]对账明细接口!$D$346),"")</f>
        <v/>
      </c>
      <c r="E346" s="59" t="str">
        <f aca="false">IFERROR(IF([1]对账明细接口!$E$346=0,"",[1]对账明细接口!$E$346),"")</f>
        <v/>
      </c>
      <c r="F346" s="59" t="str">
        <f aca="false">IFERROR(IF([1]对账明细接口!$F$346=0,"",[1]对账明细接口!$F$346),"")</f>
        <v/>
      </c>
      <c r="G346" s="59" t="str">
        <f aca="false">IFERROR(IF([1]对账明细接口!$G$346=0,"",[1]对账明细接口!$G$346),"")</f>
        <v/>
      </c>
      <c r="H346" s="60" t="str">
        <f aca="false">IFERROR(IF([1]对账明细接口!$H$346=0,"",[1]对账明细接口!$H$346),"")</f>
        <v/>
      </c>
      <c r="I346" s="59" t="str">
        <f aca="false">IFERROR(IF([1]对账明细接口!$I$346=0,"",[1]对账明细接口!$I$346),"")</f>
        <v/>
      </c>
      <c r="J346" s="61" t="str">
        <f aca="false">IFERROR(IF([1]对账明细接口!$J$346=0,"",[1]对账明细接口!$J$346),"")</f>
        <v/>
      </c>
      <c r="K346" s="61" t="str">
        <f aca="false">IFERROR(IF([1]对账明细接口!$K$346=0,"",[1]对账明细接口!$K$346),"")</f>
        <v/>
      </c>
      <c r="L346" s="59" t="str">
        <f aca="false">IFERROR(IF([1]对账明细接口!$L$346=0,"",[1]对账明细接口!$L$346),"")</f>
        <v/>
      </c>
      <c r="M346" s="59" t="str">
        <f aca="false">IFERROR(IF([1]对账明细接口!$M$346=0,"",[1]对账明细接口!$M$346),"")</f>
        <v/>
      </c>
      <c r="N346" s="111" t="n">
        <f aca="false">IF($C346="",0,1)</f>
        <v>0</v>
      </c>
      <c r="O346" s="111" t="n">
        <f aca="false">N(O345)+$N346</f>
        <v>110</v>
      </c>
      <c r="S346" s="10" t="str">
        <f aca="false">IFERROR(IF([1]对账明细接口!$N346=0,"",[1]对账明细接口!$N346),"")</f>
        <v/>
      </c>
      <c r="T346" s="112" t="str">
        <f aca="false">IFERROR(IF([1]对账明细接口!$O346=0,"",[1]对账明细接口!$O346),"")</f>
        <v/>
      </c>
      <c r="U346" s="112" t="str">
        <f aca="false">IFERROR(IF([1]对账明细接口!$P346=0,"",[1]对账明细接口!$P346),"")</f>
        <v/>
      </c>
      <c r="V346" s="112" t="str">
        <f aca="false">IFERROR(IF([1]对账明细接口!$Q346=0,"",[1]对账明细接口!$Q346),"")</f>
        <v/>
      </c>
      <c r="W346" s="10" t="str">
        <f aca="false">IFERROR(IF([1]对账明细接口!$R346=0,"",[1]对账明细接口!$R346),"")</f>
        <v/>
      </c>
      <c r="X346" s="10" t="str">
        <f aca="false">IFERROR(IF([1]对账明细接口!$S346=0,"",[1]对账明细接口!$S346),"")</f>
        <v/>
      </c>
      <c r="Y346" s="10" t="str">
        <f aca="false">""</f>
        <v/>
      </c>
      <c r="Z346" s="10" t="str">
        <f aca="false">""</f>
        <v/>
      </c>
      <c r="AA346" s="10" t="str">
        <f aca="false">""</f>
        <v/>
      </c>
      <c r="AB346" s="10" t="str">
        <f aca="false">""</f>
        <v/>
      </c>
    </row>
    <row r="347" customFormat="false" ht="13.5" hidden="false" customHeight="false" outlineLevel="0" collapsed="false">
      <c r="A347" s="109" t="n">
        <v>347</v>
      </c>
      <c r="B347" s="110" t="str">
        <f aca="false">IFERROR(IF([1]对账明细接口!$B$347=0,"",[1]对账明细接口!$B$347),"")</f>
        <v/>
      </c>
      <c r="C347" s="59" t="str">
        <f aca="false">IFERROR(IF([1]对账明细接口!$C$347=0,"",[1]对账明细接口!$C$347),"")</f>
        <v/>
      </c>
      <c r="D347" s="59" t="str">
        <f aca="false">IFERROR(IF([1]对账明细接口!$D$347=0,"",[1]对账明细接口!$D$347),"")</f>
        <v/>
      </c>
      <c r="E347" s="59" t="str">
        <f aca="false">IFERROR(IF([1]对账明细接口!$E$347=0,"",[1]对账明细接口!$E$347),"")</f>
        <v/>
      </c>
      <c r="F347" s="59" t="str">
        <f aca="false">IFERROR(IF([1]对账明细接口!$F$347=0,"",[1]对账明细接口!$F$347),"")</f>
        <v/>
      </c>
      <c r="G347" s="59" t="str">
        <f aca="false">IFERROR(IF([1]对账明细接口!$G$347=0,"",[1]对账明细接口!$G$347),"")</f>
        <v/>
      </c>
      <c r="H347" s="60" t="str">
        <f aca="false">IFERROR(IF([1]对账明细接口!$H$347=0,"",[1]对账明细接口!$H$347),"")</f>
        <v/>
      </c>
      <c r="I347" s="59" t="str">
        <f aca="false">IFERROR(IF([1]对账明细接口!$I$347=0,"",[1]对账明细接口!$I$347),"")</f>
        <v/>
      </c>
      <c r="J347" s="61" t="str">
        <f aca="false">IFERROR(IF([1]对账明细接口!$J$347=0,"",[1]对账明细接口!$J$347),"")</f>
        <v/>
      </c>
      <c r="K347" s="61" t="str">
        <f aca="false">IFERROR(IF([1]对账明细接口!$K$347=0,"",[1]对账明细接口!$K$347),"")</f>
        <v/>
      </c>
      <c r="L347" s="59" t="str">
        <f aca="false">IFERROR(IF([1]对账明细接口!$L$347=0,"",[1]对账明细接口!$L$347),"")</f>
        <v/>
      </c>
      <c r="M347" s="59" t="str">
        <f aca="false">IFERROR(IF([1]对账明细接口!$M$347=0,"",[1]对账明细接口!$M$347),"")</f>
        <v/>
      </c>
      <c r="N347" s="111" t="n">
        <f aca="false">IF($C347="",0,1)</f>
        <v>0</v>
      </c>
      <c r="O347" s="111" t="n">
        <f aca="false">N(O346)+$N347</f>
        <v>110</v>
      </c>
      <c r="S347" s="10" t="str">
        <f aca="false">IFERROR(IF([1]对账明细接口!$N347=0,"",[1]对账明细接口!$N347),"")</f>
        <v/>
      </c>
      <c r="T347" s="112" t="str">
        <f aca="false">IFERROR(IF([1]对账明细接口!$O347=0,"",[1]对账明细接口!$O347),"")</f>
        <v/>
      </c>
      <c r="U347" s="112" t="str">
        <f aca="false">IFERROR(IF([1]对账明细接口!$P347=0,"",[1]对账明细接口!$P347),"")</f>
        <v/>
      </c>
      <c r="V347" s="112" t="str">
        <f aca="false">IFERROR(IF([1]对账明细接口!$Q347=0,"",[1]对账明细接口!$Q347),"")</f>
        <v/>
      </c>
      <c r="W347" s="10" t="str">
        <f aca="false">IFERROR(IF([1]对账明细接口!$R347=0,"",[1]对账明细接口!$R347),"")</f>
        <v/>
      </c>
      <c r="X347" s="10" t="str">
        <f aca="false">IFERROR(IF([1]对账明细接口!$S347=0,"",[1]对账明细接口!$S347),"")</f>
        <v/>
      </c>
      <c r="Y347" s="10" t="str">
        <f aca="false">""</f>
        <v/>
      </c>
      <c r="Z347" s="10" t="str">
        <f aca="false">""</f>
        <v/>
      </c>
      <c r="AA347" s="10" t="str">
        <f aca="false">""</f>
        <v/>
      </c>
      <c r="AB347" s="10" t="str">
        <f aca="false">""</f>
        <v/>
      </c>
    </row>
    <row r="348" customFormat="false" ht="13.5" hidden="false" customHeight="false" outlineLevel="0" collapsed="false">
      <c r="A348" s="109" t="n">
        <v>348</v>
      </c>
      <c r="B348" s="110" t="str">
        <f aca="false">IFERROR(IF([1]对账明细接口!$B$348=0,"",[1]对账明细接口!$B$348),"")</f>
        <v/>
      </c>
      <c r="C348" s="59" t="str">
        <f aca="false">IFERROR(IF([1]对账明细接口!$C$348=0,"",[1]对账明细接口!$C$348),"")</f>
        <v/>
      </c>
      <c r="D348" s="59" t="str">
        <f aca="false">IFERROR(IF([1]对账明细接口!$D$348=0,"",[1]对账明细接口!$D$348),"")</f>
        <v/>
      </c>
      <c r="E348" s="59" t="str">
        <f aca="false">IFERROR(IF([1]对账明细接口!$E$348=0,"",[1]对账明细接口!$E$348),"")</f>
        <v/>
      </c>
      <c r="F348" s="59" t="str">
        <f aca="false">IFERROR(IF([1]对账明细接口!$F$348=0,"",[1]对账明细接口!$F$348),"")</f>
        <v/>
      </c>
      <c r="G348" s="59" t="str">
        <f aca="false">IFERROR(IF([1]对账明细接口!$G$348=0,"",[1]对账明细接口!$G$348),"")</f>
        <v/>
      </c>
      <c r="H348" s="60" t="str">
        <f aca="false">IFERROR(IF([1]对账明细接口!$H$348=0,"",[1]对账明细接口!$H$348),"")</f>
        <v/>
      </c>
      <c r="I348" s="59" t="str">
        <f aca="false">IFERROR(IF([1]对账明细接口!$I$348=0,"",[1]对账明细接口!$I$348),"")</f>
        <v/>
      </c>
      <c r="J348" s="61" t="str">
        <f aca="false">IFERROR(IF([1]对账明细接口!$J$348=0,"",[1]对账明细接口!$J$348),"")</f>
        <v/>
      </c>
      <c r="K348" s="61" t="str">
        <f aca="false">IFERROR(IF([1]对账明细接口!$K$348=0,"",[1]对账明细接口!$K$348),"")</f>
        <v/>
      </c>
      <c r="L348" s="59" t="str">
        <f aca="false">IFERROR(IF([1]对账明细接口!$L$348=0,"",[1]对账明细接口!$L$348),"")</f>
        <v/>
      </c>
      <c r="M348" s="59" t="str">
        <f aca="false">IFERROR(IF([1]对账明细接口!$M$348=0,"",[1]对账明细接口!$M$348),"")</f>
        <v/>
      </c>
      <c r="N348" s="111" t="n">
        <f aca="false">IF($C348="",0,1)</f>
        <v>0</v>
      </c>
      <c r="O348" s="111" t="n">
        <f aca="false">N(O347)+$N348</f>
        <v>110</v>
      </c>
      <c r="S348" s="10" t="str">
        <f aca="false">IFERROR(IF([1]对账明细接口!$N348=0,"",[1]对账明细接口!$N348),"")</f>
        <v/>
      </c>
      <c r="T348" s="112" t="str">
        <f aca="false">IFERROR(IF([1]对账明细接口!$O348=0,"",[1]对账明细接口!$O348),"")</f>
        <v/>
      </c>
      <c r="U348" s="112" t="str">
        <f aca="false">IFERROR(IF([1]对账明细接口!$P348=0,"",[1]对账明细接口!$P348),"")</f>
        <v/>
      </c>
      <c r="V348" s="112" t="str">
        <f aca="false">IFERROR(IF([1]对账明细接口!$Q348=0,"",[1]对账明细接口!$Q348),"")</f>
        <v/>
      </c>
      <c r="W348" s="10" t="str">
        <f aca="false">IFERROR(IF([1]对账明细接口!$R348=0,"",[1]对账明细接口!$R348),"")</f>
        <v/>
      </c>
      <c r="X348" s="10" t="str">
        <f aca="false">IFERROR(IF([1]对账明细接口!$S348=0,"",[1]对账明细接口!$S348),"")</f>
        <v/>
      </c>
      <c r="Y348" s="10" t="str">
        <f aca="false">""</f>
        <v/>
      </c>
      <c r="Z348" s="10" t="str">
        <f aca="false">""</f>
        <v/>
      </c>
      <c r="AA348" s="10" t="str">
        <f aca="false">""</f>
        <v/>
      </c>
      <c r="AB348" s="10" t="str">
        <f aca="false">""</f>
        <v/>
      </c>
    </row>
    <row r="349" customFormat="false" ht="13.5" hidden="false" customHeight="false" outlineLevel="0" collapsed="false">
      <c r="A349" s="109" t="n">
        <v>349</v>
      </c>
      <c r="B349" s="110" t="str">
        <f aca="false">IFERROR(IF([1]对账明细接口!$B$349=0,"",[1]对账明细接口!$B$349),"")</f>
        <v/>
      </c>
      <c r="C349" s="59" t="str">
        <f aca="false">IFERROR(IF([1]对账明细接口!$C$349=0,"",[1]对账明细接口!$C$349),"")</f>
        <v/>
      </c>
      <c r="D349" s="59" t="str">
        <f aca="false">IFERROR(IF([1]对账明细接口!$D$349=0,"",[1]对账明细接口!$D$349),"")</f>
        <v/>
      </c>
      <c r="E349" s="59" t="str">
        <f aca="false">IFERROR(IF([1]对账明细接口!$E$349=0,"",[1]对账明细接口!$E$349),"")</f>
        <v/>
      </c>
      <c r="F349" s="59" t="str">
        <f aca="false">IFERROR(IF([1]对账明细接口!$F$349=0,"",[1]对账明细接口!$F$349),"")</f>
        <v/>
      </c>
      <c r="G349" s="59" t="str">
        <f aca="false">IFERROR(IF([1]对账明细接口!$G$349=0,"",[1]对账明细接口!$G$349),"")</f>
        <v/>
      </c>
      <c r="H349" s="60" t="str">
        <f aca="false">IFERROR(IF([1]对账明细接口!$H$349=0,"",[1]对账明细接口!$H$349),"")</f>
        <v/>
      </c>
      <c r="I349" s="59" t="str">
        <f aca="false">IFERROR(IF([1]对账明细接口!$I$349=0,"",[1]对账明细接口!$I$349),"")</f>
        <v/>
      </c>
      <c r="J349" s="61" t="str">
        <f aca="false">IFERROR(IF([1]对账明细接口!$J$349=0,"",[1]对账明细接口!$J$349),"")</f>
        <v/>
      </c>
      <c r="K349" s="61" t="str">
        <f aca="false">IFERROR(IF([1]对账明细接口!$K$349=0,"",[1]对账明细接口!$K$349),"")</f>
        <v/>
      </c>
      <c r="L349" s="59" t="str">
        <f aca="false">IFERROR(IF([1]对账明细接口!$L$349=0,"",[1]对账明细接口!$L$349),"")</f>
        <v/>
      </c>
      <c r="M349" s="59" t="str">
        <f aca="false">IFERROR(IF([1]对账明细接口!$M$349=0,"",[1]对账明细接口!$M$349),"")</f>
        <v/>
      </c>
      <c r="N349" s="111" t="n">
        <f aca="false">IF($C349="",0,1)</f>
        <v>0</v>
      </c>
      <c r="O349" s="111" t="n">
        <f aca="false">N(O348)+$N349</f>
        <v>110</v>
      </c>
      <c r="S349" s="10" t="str">
        <f aca="false">IFERROR(IF([1]对账明细接口!$N349=0,"",[1]对账明细接口!$N349),"")</f>
        <v/>
      </c>
      <c r="T349" s="112" t="str">
        <f aca="false">IFERROR(IF([1]对账明细接口!$O349=0,"",[1]对账明细接口!$O349),"")</f>
        <v/>
      </c>
      <c r="U349" s="112" t="str">
        <f aca="false">IFERROR(IF([1]对账明细接口!$P349=0,"",[1]对账明细接口!$P349),"")</f>
        <v/>
      </c>
      <c r="V349" s="112" t="str">
        <f aca="false">IFERROR(IF([1]对账明细接口!$Q349=0,"",[1]对账明细接口!$Q349),"")</f>
        <v/>
      </c>
      <c r="W349" s="10" t="str">
        <f aca="false">IFERROR(IF([1]对账明细接口!$R349=0,"",[1]对账明细接口!$R349),"")</f>
        <v/>
      </c>
      <c r="X349" s="10" t="str">
        <f aca="false">IFERROR(IF([1]对账明细接口!$S349=0,"",[1]对账明细接口!$S349),"")</f>
        <v/>
      </c>
      <c r="Y349" s="10" t="str">
        <f aca="false">""</f>
        <v/>
      </c>
      <c r="Z349" s="10" t="str">
        <f aca="false">""</f>
        <v/>
      </c>
      <c r="AA349" s="10" t="str">
        <f aca="false">""</f>
        <v/>
      </c>
      <c r="AB349" s="10" t="str">
        <f aca="false">""</f>
        <v/>
      </c>
    </row>
    <row r="350" customFormat="false" ht="13.5" hidden="false" customHeight="false" outlineLevel="0" collapsed="false">
      <c r="A350" s="109" t="n">
        <v>350</v>
      </c>
      <c r="B350" s="110" t="str">
        <f aca="false">IFERROR(IF([1]对账明细接口!$B$350=0,"",[1]对账明细接口!$B$350),"")</f>
        <v/>
      </c>
      <c r="C350" s="59" t="str">
        <f aca="false">IFERROR(IF([1]对账明细接口!$C$350=0,"",[1]对账明细接口!$C$350),"")</f>
        <v/>
      </c>
      <c r="D350" s="59" t="str">
        <f aca="false">IFERROR(IF([1]对账明细接口!$D$350=0,"",[1]对账明细接口!$D$350),"")</f>
        <v/>
      </c>
      <c r="E350" s="59" t="str">
        <f aca="false">IFERROR(IF([1]对账明细接口!$E$350=0,"",[1]对账明细接口!$E$350),"")</f>
        <v/>
      </c>
      <c r="F350" s="59" t="str">
        <f aca="false">IFERROR(IF([1]对账明细接口!$F$350=0,"",[1]对账明细接口!$F$350),"")</f>
        <v/>
      </c>
      <c r="G350" s="59" t="str">
        <f aca="false">IFERROR(IF([1]对账明细接口!$G$350=0,"",[1]对账明细接口!$G$350),"")</f>
        <v/>
      </c>
      <c r="H350" s="60" t="str">
        <f aca="false">IFERROR(IF([1]对账明细接口!$H$350=0,"",[1]对账明细接口!$H$350),"")</f>
        <v/>
      </c>
      <c r="I350" s="59" t="str">
        <f aca="false">IFERROR(IF([1]对账明细接口!$I$350=0,"",[1]对账明细接口!$I$350),"")</f>
        <v/>
      </c>
      <c r="J350" s="61" t="str">
        <f aca="false">IFERROR(IF([1]对账明细接口!$J$350=0,"",[1]对账明细接口!$J$350),"")</f>
        <v/>
      </c>
      <c r="K350" s="61" t="str">
        <f aca="false">IFERROR(IF([1]对账明细接口!$K$350=0,"",[1]对账明细接口!$K$350),"")</f>
        <v/>
      </c>
      <c r="L350" s="59" t="str">
        <f aca="false">IFERROR(IF([1]对账明细接口!$L$350=0,"",[1]对账明细接口!$L$350),"")</f>
        <v/>
      </c>
      <c r="M350" s="59" t="str">
        <f aca="false">IFERROR(IF([1]对账明细接口!$M$350=0,"",[1]对账明细接口!$M$350),"")</f>
        <v/>
      </c>
      <c r="N350" s="111" t="n">
        <f aca="false">IF($C350="",0,1)</f>
        <v>0</v>
      </c>
      <c r="O350" s="111" t="n">
        <f aca="false">N(O349)+$N350</f>
        <v>110</v>
      </c>
      <c r="S350" s="10" t="str">
        <f aca="false">IFERROR(IF([1]对账明细接口!$N350=0,"",[1]对账明细接口!$N350),"")</f>
        <v/>
      </c>
      <c r="T350" s="112" t="str">
        <f aca="false">IFERROR(IF([1]对账明细接口!$O350=0,"",[1]对账明细接口!$O350),"")</f>
        <v/>
      </c>
      <c r="U350" s="112" t="str">
        <f aca="false">IFERROR(IF([1]对账明细接口!$P350=0,"",[1]对账明细接口!$P350),"")</f>
        <v/>
      </c>
      <c r="V350" s="112" t="str">
        <f aca="false">IFERROR(IF([1]对账明细接口!$Q350=0,"",[1]对账明细接口!$Q350),"")</f>
        <v/>
      </c>
      <c r="W350" s="10" t="str">
        <f aca="false">IFERROR(IF([1]对账明细接口!$R350=0,"",[1]对账明细接口!$R350),"")</f>
        <v/>
      </c>
      <c r="X350" s="10" t="str">
        <f aca="false">IFERROR(IF([1]对账明细接口!$S350=0,"",[1]对账明细接口!$S350),"")</f>
        <v/>
      </c>
      <c r="Y350" s="10" t="str">
        <f aca="false">""</f>
        <v/>
      </c>
      <c r="Z350" s="10" t="str">
        <f aca="false">""</f>
        <v/>
      </c>
      <c r="AA350" s="10" t="str">
        <f aca="false">""</f>
        <v/>
      </c>
      <c r="AB350" s="10" t="str">
        <f aca="false">""</f>
        <v/>
      </c>
    </row>
    <row r="351" customFormat="false" ht="13.5" hidden="false" customHeight="false" outlineLevel="0" collapsed="false">
      <c r="A351" s="109" t="n">
        <v>351</v>
      </c>
      <c r="B351" s="110" t="str">
        <f aca="false">IFERROR(IF([1]对账明细接口!$B$351=0,"",[1]对账明细接口!$B$351),"")</f>
        <v/>
      </c>
      <c r="C351" s="59" t="str">
        <f aca="false">IFERROR(IF([1]对账明细接口!$C$351=0,"",[1]对账明细接口!$C$351),"")</f>
        <v/>
      </c>
      <c r="D351" s="59" t="str">
        <f aca="false">IFERROR(IF([1]对账明细接口!$D$351=0,"",[1]对账明细接口!$D$351),"")</f>
        <v/>
      </c>
      <c r="E351" s="59" t="str">
        <f aca="false">IFERROR(IF([1]对账明细接口!$E$351=0,"",[1]对账明细接口!$E$351),"")</f>
        <v/>
      </c>
      <c r="F351" s="59" t="str">
        <f aca="false">IFERROR(IF([1]对账明细接口!$F$351=0,"",[1]对账明细接口!$F$351),"")</f>
        <v/>
      </c>
      <c r="G351" s="59" t="str">
        <f aca="false">IFERROR(IF([1]对账明细接口!$G$351=0,"",[1]对账明细接口!$G$351),"")</f>
        <v/>
      </c>
      <c r="H351" s="60" t="str">
        <f aca="false">IFERROR(IF([1]对账明细接口!$H$351=0,"",[1]对账明细接口!$H$351),"")</f>
        <v/>
      </c>
      <c r="I351" s="59" t="str">
        <f aca="false">IFERROR(IF([1]对账明细接口!$I$351=0,"",[1]对账明细接口!$I$351),"")</f>
        <v/>
      </c>
      <c r="J351" s="61" t="str">
        <f aca="false">IFERROR(IF([1]对账明细接口!$J$351=0,"",[1]对账明细接口!$J$351),"")</f>
        <v/>
      </c>
      <c r="K351" s="61" t="str">
        <f aca="false">IFERROR(IF([1]对账明细接口!$K$351=0,"",[1]对账明细接口!$K$351),"")</f>
        <v/>
      </c>
      <c r="L351" s="59" t="str">
        <f aca="false">IFERROR(IF([1]对账明细接口!$L$351=0,"",[1]对账明细接口!$L$351),"")</f>
        <v/>
      </c>
      <c r="M351" s="59" t="str">
        <f aca="false">IFERROR(IF([1]对账明细接口!$M$351=0,"",[1]对账明细接口!$M$351),"")</f>
        <v/>
      </c>
      <c r="N351" s="111" t="n">
        <f aca="false">IF($C351="",0,1)</f>
        <v>0</v>
      </c>
      <c r="O351" s="111" t="n">
        <f aca="false">N(O350)+$N351</f>
        <v>110</v>
      </c>
      <c r="S351" s="10" t="str">
        <f aca="false">IFERROR(IF([1]对账明细接口!$N351=0,"",[1]对账明细接口!$N351),"")</f>
        <v/>
      </c>
      <c r="T351" s="112" t="str">
        <f aca="false">IFERROR(IF([1]对账明细接口!$O351=0,"",[1]对账明细接口!$O351),"")</f>
        <v/>
      </c>
      <c r="U351" s="112" t="str">
        <f aca="false">IFERROR(IF([1]对账明细接口!$P351=0,"",[1]对账明细接口!$P351),"")</f>
        <v/>
      </c>
      <c r="V351" s="112" t="str">
        <f aca="false">IFERROR(IF([1]对账明细接口!$Q351=0,"",[1]对账明细接口!$Q351),"")</f>
        <v/>
      </c>
      <c r="W351" s="10" t="str">
        <f aca="false">IFERROR(IF([1]对账明细接口!$R351=0,"",[1]对账明细接口!$R351),"")</f>
        <v/>
      </c>
      <c r="X351" s="10" t="str">
        <f aca="false">IFERROR(IF([1]对账明细接口!$S351=0,"",[1]对账明细接口!$S351),"")</f>
        <v/>
      </c>
      <c r="Y351" s="10" t="str">
        <f aca="false">""</f>
        <v/>
      </c>
      <c r="Z351" s="10" t="str">
        <f aca="false">""</f>
        <v/>
      </c>
      <c r="AA351" s="10" t="str">
        <f aca="false">""</f>
        <v/>
      </c>
      <c r="AB351" s="10" t="str">
        <f aca="false">""</f>
        <v/>
      </c>
    </row>
    <row r="352" customFormat="false" ht="13.5" hidden="false" customHeight="false" outlineLevel="0" collapsed="false">
      <c r="A352" s="109" t="n">
        <v>352</v>
      </c>
      <c r="B352" s="110" t="str">
        <f aca="false">IFERROR(IF([1]对账明细接口!$B$352=0,"",[1]对账明细接口!$B$352),"")</f>
        <v/>
      </c>
      <c r="C352" s="59" t="str">
        <f aca="false">IFERROR(IF([1]对账明细接口!$C$352=0,"",[1]对账明细接口!$C$352),"")</f>
        <v/>
      </c>
      <c r="D352" s="59" t="str">
        <f aca="false">IFERROR(IF([1]对账明细接口!$D$352=0,"",[1]对账明细接口!$D$352),"")</f>
        <v/>
      </c>
      <c r="E352" s="59" t="str">
        <f aca="false">IFERROR(IF([1]对账明细接口!$E$352=0,"",[1]对账明细接口!$E$352),"")</f>
        <v/>
      </c>
      <c r="F352" s="59" t="str">
        <f aca="false">IFERROR(IF([1]对账明细接口!$F$352=0,"",[1]对账明细接口!$F$352),"")</f>
        <v/>
      </c>
      <c r="G352" s="59" t="str">
        <f aca="false">IFERROR(IF([1]对账明细接口!$G$352=0,"",[1]对账明细接口!$G$352),"")</f>
        <v/>
      </c>
      <c r="H352" s="60" t="str">
        <f aca="false">IFERROR(IF([1]对账明细接口!$H$352=0,"",[1]对账明细接口!$H$352),"")</f>
        <v/>
      </c>
      <c r="I352" s="59" t="str">
        <f aca="false">IFERROR(IF([1]对账明细接口!$I$352=0,"",[1]对账明细接口!$I$352),"")</f>
        <v/>
      </c>
      <c r="J352" s="61" t="str">
        <f aca="false">IFERROR(IF([1]对账明细接口!$J$352=0,"",[1]对账明细接口!$J$352),"")</f>
        <v/>
      </c>
      <c r="K352" s="61" t="str">
        <f aca="false">IFERROR(IF([1]对账明细接口!$K$352=0,"",[1]对账明细接口!$K$352),"")</f>
        <v/>
      </c>
      <c r="L352" s="59" t="str">
        <f aca="false">IFERROR(IF([1]对账明细接口!$L$352=0,"",[1]对账明细接口!$L$352),"")</f>
        <v/>
      </c>
      <c r="M352" s="59" t="str">
        <f aca="false">IFERROR(IF([1]对账明细接口!$M$352=0,"",[1]对账明细接口!$M$352),"")</f>
        <v/>
      </c>
      <c r="N352" s="111" t="n">
        <f aca="false">IF($C352="",0,1)</f>
        <v>0</v>
      </c>
      <c r="O352" s="111" t="n">
        <f aca="false">N(O351)+$N352</f>
        <v>110</v>
      </c>
      <c r="S352" s="10" t="str">
        <f aca="false">IFERROR(IF([1]对账明细接口!$N352=0,"",[1]对账明细接口!$N352),"")</f>
        <v/>
      </c>
      <c r="T352" s="112" t="str">
        <f aca="false">IFERROR(IF([1]对账明细接口!$O352=0,"",[1]对账明细接口!$O352),"")</f>
        <v/>
      </c>
      <c r="U352" s="112" t="str">
        <f aca="false">IFERROR(IF([1]对账明细接口!$P352=0,"",[1]对账明细接口!$P352),"")</f>
        <v/>
      </c>
      <c r="V352" s="112" t="str">
        <f aca="false">IFERROR(IF([1]对账明细接口!$Q352=0,"",[1]对账明细接口!$Q352),"")</f>
        <v/>
      </c>
      <c r="W352" s="10" t="str">
        <f aca="false">IFERROR(IF([1]对账明细接口!$R352=0,"",[1]对账明细接口!$R352),"")</f>
        <v/>
      </c>
      <c r="X352" s="10" t="str">
        <f aca="false">IFERROR(IF([1]对账明细接口!$S352=0,"",[1]对账明细接口!$S352),"")</f>
        <v/>
      </c>
      <c r="Y352" s="10" t="str">
        <f aca="false">""</f>
        <v/>
      </c>
      <c r="Z352" s="10" t="str">
        <f aca="false">""</f>
        <v/>
      </c>
      <c r="AA352" s="10" t="str">
        <f aca="false">""</f>
        <v/>
      </c>
      <c r="AB352" s="10" t="str">
        <f aca="false">""</f>
        <v/>
      </c>
    </row>
    <row r="353" customFormat="false" ht="13.5" hidden="false" customHeight="false" outlineLevel="0" collapsed="false">
      <c r="A353" s="109" t="n">
        <v>353</v>
      </c>
      <c r="B353" s="110" t="str">
        <f aca="false">IFERROR(IF([1]对账明细接口!$B$353=0,"",[1]对账明细接口!$B$353),"")</f>
        <v/>
      </c>
      <c r="C353" s="59" t="str">
        <f aca="false">IFERROR(IF([1]对账明细接口!$C$353=0,"",[1]对账明细接口!$C$353),"")</f>
        <v/>
      </c>
      <c r="D353" s="59" t="str">
        <f aca="false">IFERROR(IF([1]对账明细接口!$D$353=0,"",[1]对账明细接口!$D$353),"")</f>
        <v/>
      </c>
      <c r="E353" s="59" t="str">
        <f aca="false">IFERROR(IF([1]对账明细接口!$E$353=0,"",[1]对账明细接口!$E$353),"")</f>
        <v/>
      </c>
      <c r="F353" s="59" t="str">
        <f aca="false">IFERROR(IF([1]对账明细接口!$F$353=0,"",[1]对账明细接口!$F$353),"")</f>
        <v/>
      </c>
      <c r="G353" s="59" t="str">
        <f aca="false">IFERROR(IF([1]对账明细接口!$G$353=0,"",[1]对账明细接口!$G$353),"")</f>
        <v/>
      </c>
      <c r="H353" s="60" t="str">
        <f aca="false">IFERROR(IF([1]对账明细接口!$H$353=0,"",[1]对账明细接口!$H$353),"")</f>
        <v/>
      </c>
      <c r="I353" s="59" t="str">
        <f aca="false">IFERROR(IF([1]对账明细接口!$I$353=0,"",[1]对账明细接口!$I$353),"")</f>
        <v/>
      </c>
      <c r="J353" s="61" t="str">
        <f aca="false">IFERROR(IF([1]对账明细接口!$J$353=0,"",[1]对账明细接口!$J$353),"")</f>
        <v/>
      </c>
      <c r="K353" s="61" t="str">
        <f aca="false">IFERROR(IF([1]对账明细接口!$K$353=0,"",[1]对账明细接口!$K$353),"")</f>
        <v/>
      </c>
      <c r="L353" s="59" t="str">
        <f aca="false">IFERROR(IF([1]对账明细接口!$L$353=0,"",[1]对账明细接口!$L$353),"")</f>
        <v/>
      </c>
      <c r="M353" s="59" t="str">
        <f aca="false">IFERROR(IF([1]对账明细接口!$M$353=0,"",[1]对账明细接口!$M$353),"")</f>
        <v/>
      </c>
      <c r="N353" s="111" t="n">
        <f aca="false">IF($C353="",0,1)</f>
        <v>0</v>
      </c>
      <c r="O353" s="111" t="n">
        <f aca="false">N(O352)+$N353</f>
        <v>110</v>
      </c>
      <c r="S353" s="10" t="str">
        <f aca="false">IFERROR(IF([1]对账明细接口!$N353=0,"",[1]对账明细接口!$N353),"")</f>
        <v/>
      </c>
      <c r="T353" s="112" t="str">
        <f aca="false">IFERROR(IF([1]对账明细接口!$O353=0,"",[1]对账明细接口!$O353),"")</f>
        <v/>
      </c>
      <c r="U353" s="112" t="str">
        <f aca="false">IFERROR(IF([1]对账明细接口!$P353=0,"",[1]对账明细接口!$P353),"")</f>
        <v/>
      </c>
      <c r="V353" s="112" t="str">
        <f aca="false">IFERROR(IF([1]对账明细接口!$Q353=0,"",[1]对账明细接口!$Q353),"")</f>
        <v/>
      </c>
      <c r="W353" s="10" t="str">
        <f aca="false">IFERROR(IF([1]对账明细接口!$R353=0,"",[1]对账明细接口!$R353),"")</f>
        <v/>
      </c>
      <c r="X353" s="10" t="str">
        <f aca="false">IFERROR(IF([1]对账明细接口!$S353=0,"",[1]对账明细接口!$S353),"")</f>
        <v/>
      </c>
      <c r="Y353" s="10" t="str">
        <f aca="false">""</f>
        <v/>
      </c>
      <c r="Z353" s="10" t="str">
        <f aca="false">""</f>
        <v/>
      </c>
      <c r="AA353" s="10" t="str">
        <f aca="false">""</f>
        <v/>
      </c>
      <c r="AB353" s="10" t="str">
        <f aca="false">""</f>
        <v/>
      </c>
    </row>
    <row r="354" customFormat="false" ht="13.5" hidden="false" customHeight="false" outlineLevel="0" collapsed="false">
      <c r="A354" s="109" t="n">
        <v>354</v>
      </c>
      <c r="B354" s="110" t="str">
        <f aca="false">IFERROR(IF([1]对账明细接口!$B$354=0,"",[1]对账明细接口!$B$354),"")</f>
        <v/>
      </c>
      <c r="C354" s="59" t="str">
        <f aca="false">IFERROR(IF([1]对账明细接口!$C$354=0,"",[1]对账明细接口!$C$354),"")</f>
        <v/>
      </c>
      <c r="D354" s="59" t="str">
        <f aca="false">IFERROR(IF([1]对账明细接口!$D$354=0,"",[1]对账明细接口!$D$354),"")</f>
        <v/>
      </c>
      <c r="E354" s="59" t="str">
        <f aca="false">IFERROR(IF([1]对账明细接口!$E$354=0,"",[1]对账明细接口!$E$354),"")</f>
        <v/>
      </c>
      <c r="F354" s="59" t="str">
        <f aca="false">IFERROR(IF([1]对账明细接口!$F$354=0,"",[1]对账明细接口!$F$354),"")</f>
        <v/>
      </c>
      <c r="G354" s="59" t="str">
        <f aca="false">IFERROR(IF([1]对账明细接口!$G$354=0,"",[1]对账明细接口!$G$354),"")</f>
        <v/>
      </c>
      <c r="H354" s="60" t="str">
        <f aca="false">IFERROR(IF([1]对账明细接口!$H$354=0,"",[1]对账明细接口!$H$354),"")</f>
        <v/>
      </c>
      <c r="I354" s="59" t="str">
        <f aca="false">IFERROR(IF([1]对账明细接口!$I$354=0,"",[1]对账明细接口!$I$354),"")</f>
        <v/>
      </c>
      <c r="J354" s="61" t="str">
        <f aca="false">IFERROR(IF([1]对账明细接口!$J$354=0,"",[1]对账明细接口!$J$354),"")</f>
        <v/>
      </c>
      <c r="K354" s="61" t="str">
        <f aca="false">IFERROR(IF([1]对账明细接口!$K$354=0,"",[1]对账明细接口!$K$354),"")</f>
        <v/>
      </c>
      <c r="L354" s="59" t="str">
        <f aca="false">IFERROR(IF([1]对账明细接口!$L$354=0,"",[1]对账明细接口!$L$354),"")</f>
        <v/>
      </c>
      <c r="M354" s="59" t="str">
        <f aca="false">IFERROR(IF([1]对账明细接口!$M$354=0,"",[1]对账明细接口!$M$354),"")</f>
        <v/>
      </c>
      <c r="N354" s="111" t="n">
        <f aca="false">IF($C354="",0,1)</f>
        <v>0</v>
      </c>
      <c r="O354" s="111" t="n">
        <f aca="false">N(O353)+$N354</f>
        <v>110</v>
      </c>
      <c r="S354" s="10" t="str">
        <f aca="false">IFERROR(IF([1]对账明细接口!$N354=0,"",[1]对账明细接口!$N354),"")</f>
        <v/>
      </c>
      <c r="T354" s="112" t="str">
        <f aca="false">IFERROR(IF([1]对账明细接口!$O354=0,"",[1]对账明细接口!$O354),"")</f>
        <v/>
      </c>
      <c r="U354" s="112" t="str">
        <f aca="false">IFERROR(IF([1]对账明细接口!$P354=0,"",[1]对账明细接口!$P354),"")</f>
        <v/>
      </c>
      <c r="V354" s="112" t="str">
        <f aca="false">IFERROR(IF([1]对账明细接口!$Q354=0,"",[1]对账明细接口!$Q354),"")</f>
        <v/>
      </c>
      <c r="W354" s="10" t="str">
        <f aca="false">IFERROR(IF([1]对账明细接口!$R354=0,"",[1]对账明细接口!$R354),"")</f>
        <v/>
      </c>
      <c r="X354" s="10" t="str">
        <f aca="false">IFERROR(IF([1]对账明细接口!$S354=0,"",[1]对账明细接口!$S354),"")</f>
        <v/>
      </c>
      <c r="Y354" s="10" t="str">
        <f aca="false">""</f>
        <v/>
      </c>
      <c r="Z354" s="10" t="str">
        <f aca="false">""</f>
        <v/>
      </c>
      <c r="AA354" s="10" t="str">
        <f aca="false">""</f>
        <v/>
      </c>
      <c r="AB354" s="10" t="str">
        <f aca="false">""</f>
        <v/>
      </c>
    </row>
    <row r="355" customFormat="false" ht="13.5" hidden="false" customHeight="false" outlineLevel="0" collapsed="false">
      <c r="A355" s="109" t="n">
        <v>355</v>
      </c>
      <c r="B355" s="110" t="str">
        <f aca="false">IFERROR(IF([1]对账明细接口!$B$355=0,"",[1]对账明细接口!$B$355),"")</f>
        <v/>
      </c>
      <c r="C355" s="59" t="str">
        <f aca="false">IFERROR(IF([1]对账明细接口!$C$355=0,"",[1]对账明细接口!$C$355),"")</f>
        <v/>
      </c>
      <c r="D355" s="59" t="str">
        <f aca="false">IFERROR(IF([1]对账明细接口!$D$355=0,"",[1]对账明细接口!$D$355),"")</f>
        <v/>
      </c>
      <c r="E355" s="59" t="str">
        <f aca="false">IFERROR(IF([1]对账明细接口!$E$355=0,"",[1]对账明细接口!$E$355),"")</f>
        <v/>
      </c>
      <c r="F355" s="59" t="str">
        <f aca="false">IFERROR(IF([1]对账明细接口!$F$355=0,"",[1]对账明细接口!$F$355),"")</f>
        <v/>
      </c>
      <c r="G355" s="59" t="str">
        <f aca="false">IFERROR(IF([1]对账明细接口!$G$355=0,"",[1]对账明细接口!$G$355),"")</f>
        <v/>
      </c>
      <c r="H355" s="60" t="str">
        <f aca="false">IFERROR(IF([1]对账明细接口!$H$355=0,"",[1]对账明细接口!$H$355),"")</f>
        <v/>
      </c>
      <c r="I355" s="59" t="str">
        <f aca="false">IFERROR(IF([1]对账明细接口!$I$355=0,"",[1]对账明细接口!$I$355),"")</f>
        <v/>
      </c>
      <c r="J355" s="61" t="str">
        <f aca="false">IFERROR(IF([1]对账明细接口!$J$355=0,"",[1]对账明细接口!$J$355),"")</f>
        <v/>
      </c>
      <c r="K355" s="61" t="str">
        <f aca="false">IFERROR(IF([1]对账明细接口!$K$355=0,"",[1]对账明细接口!$K$355),"")</f>
        <v/>
      </c>
      <c r="L355" s="59" t="str">
        <f aca="false">IFERROR(IF([1]对账明细接口!$L$355=0,"",[1]对账明细接口!$L$355),"")</f>
        <v/>
      </c>
      <c r="M355" s="59" t="str">
        <f aca="false">IFERROR(IF([1]对账明细接口!$M$355=0,"",[1]对账明细接口!$M$355),"")</f>
        <v/>
      </c>
      <c r="N355" s="111" t="n">
        <f aca="false">IF($C355="",0,1)</f>
        <v>0</v>
      </c>
      <c r="O355" s="111" t="n">
        <f aca="false">N(O354)+$N355</f>
        <v>110</v>
      </c>
      <c r="S355" s="10" t="str">
        <f aca="false">IFERROR(IF([1]对账明细接口!$N355=0,"",[1]对账明细接口!$N355),"")</f>
        <v/>
      </c>
      <c r="T355" s="112" t="str">
        <f aca="false">IFERROR(IF([1]对账明细接口!$O355=0,"",[1]对账明细接口!$O355),"")</f>
        <v/>
      </c>
      <c r="U355" s="112" t="str">
        <f aca="false">IFERROR(IF([1]对账明细接口!$P355=0,"",[1]对账明细接口!$P355),"")</f>
        <v/>
      </c>
      <c r="V355" s="112" t="str">
        <f aca="false">IFERROR(IF([1]对账明细接口!$Q355=0,"",[1]对账明细接口!$Q355),"")</f>
        <v/>
      </c>
      <c r="W355" s="10" t="str">
        <f aca="false">IFERROR(IF([1]对账明细接口!$R355=0,"",[1]对账明细接口!$R355),"")</f>
        <v/>
      </c>
      <c r="X355" s="10" t="str">
        <f aca="false">IFERROR(IF([1]对账明细接口!$S355=0,"",[1]对账明细接口!$S355),"")</f>
        <v/>
      </c>
      <c r="Y355" s="10" t="str">
        <f aca="false">""</f>
        <v/>
      </c>
      <c r="Z355" s="10" t="str">
        <f aca="false">""</f>
        <v/>
      </c>
      <c r="AA355" s="10" t="str">
        <f aca="false">""</f>
        <v/>
      </c>
      <c r="AB355" s="10" t="str">
        <f aca="false">""</f>
        <v/>
      </c>
    </row>
    <row r="356" customFormat="false" ht="13.5" hidden="false" customHeight="false" outlineLevel="0" collapsed="false">
      <c r="A356" s="109" t="n">
        <v>356</v>
      </c>
      <c r="B356" s="110" t="str">
        <f aca="false">IFERROR(IF([1]对账明细接口!$B$356=0,"",[1]对账明细接口!$B$356),"")</f>
        <v/>
      </c>
      <c r="C356" s="59" t="str">
        <f aca="false">IFERROR(IF([1]对账明细接口!$C$356=0,"",[1]对账明细接口!$C$356),"")</f>
        <v/>
      </c>
      <c r="D356" s="59" t="str">
        <f aca="false">IFERROR(IF([1]对账明细接口!$D$356=0,"",[1]对账明细接口!$D$356),"")</f>
        <v/>
      </c>
      <c r="E356" s="59" t="str">
        <f aca="false">IFERROR(IF([1]对账明细接口!$E$356=0,"",[1]对账明细接口!$E$356),"")</f>
        <v/>
      </c>
      <c r="F356" s="59" t="str">
        <f aca="false">IFERROR(IF([1]对账明细接口!$F$356=0,"",[1]对账明细接口!$F$356),"")</f>
        <v/>
      </c>
      <c r="G356" s="59" t="str">
        <f aca="false">IFERROR(IF([1]对账明细接口!$G$356=0,"",[1]对账明细接口!$G$356),"")</f>
        <v/>
      </c>
      <c r="H356" s="60" t="str">
        <f aca="false">IFERROR(IF([1]对账明细接口!$H$356=0,"",[1]对账明细接口!$H$356),"")</f>
        <v/>
      </c>
      <c r="I356" s="59" t="str">
        <f aca="false">IFERROR(IF([1]对账明细接口!$I$356=0,"",[1]对账明细接口!$I$356),"")</f>
        <v/>
      </c>
      <c r="J356" s="61" t="str">
        <f aca="false">IFERROR(IF([1]对账明细接口!$J$356=0,"",[1]对账明细接口!$J$356),"")</f>
        <v/>
      </c>
      <c r="K356" s="61" t="str">
        <f aca="false">IFERROR(IF([1]对账明细接口!$K$356=0,"",[1]对账明细接口!$K$356),"")</f>
        <v/>
      </c>
      <c r="L356" s="59" t="str">
        <f aca="false">IFERROR(IF([1]对账明细接口!$L$356=0,"",[1]对账明细接口!$L$356),"")</f>
        <v/>
      </c>
      <c r="M356" s="59" t="str">
        <f aca="false">IFERROR(IF([1]对账明细接口!$M$356=0,"",[1]对账明细接口!$M$356),"")</f>
        <v/>
      </c>
      <c r="N356" s="111" t="n">
        <f aca="false">IF($C356="",0,1)</f>
        <v>0</v>
      </c>
      <c r="O356" s="111" t="n">
        <f aca="false">N(O355)+$N356</f>
        <v>110</v>
      </c>
      <c r="S356" s="10" t="str">
        <f aca="false">IFERROR(IF([1]对账明细接口!$N356=0,"",[1]对账明细接口!$N356),"")</f>
        <v/>
      </c>
      <c r="T356" s="112" t="str">
        <f aca="false">IFERROR(IF([1]对账明细接口!$O356=0,"",[1]对账明细接口!$O356),"")</f>
        <v/>
      </c>
      <c r="U356" s="112" t="str">
        <f aca="false">IFERROR(IF([1]对账明细接口!$P356=0,"",[1]对账明细接口!$P356),"")</f>
        <v/>
      </c>
      <c r="V356" s="112" t="str">
        <f aca="false">IFERROR(IF([1]对账明细接口!$Q356=0,"",[1]对账明细接口!$Q356),"")</f>
        <v/>
      </c>
      <c r="W356" s="10" t="str">
        <f aca="false">IFERROR(IF([1]对账明细接口!$R356=0,"",[1]对账明细接口!$R356),"")</f>
        <v/>
      </c>
      <c r="X356" s="10" t="str">
        <f aca="false">IFERROR(IF([1]对账明细接口!$S356=0,"",[1]对账明细接口!$S356),"")</f>
        <v/>
      </c>
      <c r="Y356" s="10" t="str">
        <f aca="false">""</f>
        <v/>
      </c>
      <c r="Z356" s="10" t="str">
        <f aca="false">""</f>
        <v/>
      </c>
      <c r="AA356" s="10" t="str">
        <f aca="false">""</f>
        <v/>
      </c>
      <c r="AB356" s="10" t="str">
        <f aca="false">""</f>
        <v/>
      </c>
    </row>
    <row r="357" customFormat="false" ht="13.5" hidden="false" customHeight="false" outlineLevel="0" collapsed="false">
      <c r="A357" s="109" t="n">
        <v>357</v>
      </c>
      <c r="B357" s="110" t="str">
        <f aca="false">IFERROR(IF([1]对账明细接口!$B$357=0,"",[1]对账明细接口!$B$357),"")</f>
        <v/>
      </c>
      <c r="C357" s="59" t="str">
        <f aca="false">IFERROR(IF([1]对账明细接口!$C$357=0,"",[1]对账明细接口!$C$357),"")</f>
        <v/>
      </c>
      <c r="D357" s="59" t="str">
        <f aca="false">IFERROR(IF([1]对账明细接口!$D$357=0,"",[1]对账明细接口!$D$357),"")</f>
        <v/>
      </c>
      <c r="E357" s="59" t="str">
        <f aca="false">IFERROR(IF([1]对账明细接口!$E$357=0,"",[1]对账明细接口!$E$357),"")</f>
        <v/>
      </c>
      <c r="F357" s="59" t="str">
        <f aca="false">IFERROR(IF([1]对账明细接口!$F$357=0,"",[1]对账明细接口!$F$357),"")</f>
        <v/>
      </c>
      <c r="G357" s="59" t="str">
        <f aca="false">IFERROR(IF([1]对账明细接口!$G$357=0,"",[1]对账明细接口!$G$357),"")</f>
        <v/>
      </c>
      <c r="H357" s="60" t="str">
        <f aca="false">IFERROR(IF([1]对账明细接口!$H$357=0,"",[1]对账明细接口!$H$357),"")</f>
        <v/>
      </c>
      <c r="I357" s="59" t="str">
        <f aca="false">IFERROR(IF([1]对账明细接口!$I$357=0,"",[1]对账明细接口!$I$357),"")</f>
        <v/>
      </c>
      <c r="J357" s="61" t="str">
        <f aca="false">IFERROR(IF([1]对账明细接口!$J$357=0,"",[1]对账明细接口!$J$357),"")</f>
        <v/>
      </c>
      <c r="K357" s="61" t="str">
        <f aca="false">IFERROR(IF([1]对账明细接口!$K$357=0,"",[1]对账明细接口!$K$357),"")</f>
        <v/>
      </c>
      <c r="L357" s="59" t="str">
        <f aca="false">IFERROR(IF([1]对账明细接口!$L$357=0,"",[1]对账明细接口!$L$357),"")</f>
        <v/>
      </c>
      <c r="M357" s="59" t="str">
        <f aca="false">IFERROR(IF([1]对账明细接口!$M$357=0,"",[1]对账明细接口!$M$357),"")</f>
        <v/>
      </c>
      <c r="N357" s="111" t="n">
        <f aca="false">IF($C357="",0,1)</f>
        <v>0</v>
      </c>
      <c r="O357" s="111" t="n">
        <f aca="false">N(O356)+$N357</f>
        <v>110</v>
      </c>
      <c r="S357" s="10" t="str">
        <f aca="false">IFERROR(IF([1]对账明细接口!$N357=0,"",[1]对账明细接口!$N357),"")</f>
        <v/>
      </c>
      <c r="T357" s="112" t="str">
        <f aca="false">IFERROR(IF([1]对账明细接口!$O357=0,"",[1]对账明细接口!$O357),"")</f>
        <v/>
      </c>
      <c r="U357" s="112" t="str">
        <f aca="false">IFERROR(IF([1]对账明细接口!$P357=0,"",[1]对账明细接口!$P357),"")</f>
        <v/>
      </c>
      <c r="V357" s="112" t="str">
        <f aca="false">IFERROR(IF([1]对账明细接口!$Q357=0,"",[1]对账明细接口!$Q357),"")</f>
        <v/>
      </c>
      <c r="W357" s="10" t="str">
        <f aca="false">IFERROR(IF([1]对账明细接口!$R357=0,"",[1]对账明细接口!$R357),"")</f>
        <v/>
      </c>
      <c r="X357" s="10" t="str">
        <f aca="false">IFERROR(IF([1]对账明细接口!$S357=0,"",[1]对账明细接口!$S357),"")</f>
        <v/>
      </c>
      <c r="Y357" s="10" t="str">
        <f aca="false">""</f>
        <v/>
      </c>
      <c r="Z357" s="10" t="str">
        <f aca="false">""</f>
        <v/>
      </c>
      <c r="AA357" s="10" t="str">
        <f aca="false">""</f>
        <v/>
      </c>
      <c r="AB357" s="10" t="str">
        <f aca="false">""</f>
        <v/>
      </c>
    </row>
    <row r="358" customFormat="false" ht="13.5" hidden="false" customHeight="false" outlineLevel="0" collapsed="false">
      <c r="A358" s="109" t="n">
        <v>358</v>
      </c>
      <c r="B358" s="110" t="str">
        <f aca="false">IFERROR(IF([1]对账明细接口!$B$358=0,"",[1]对账明细接口!$B$358),"")</f>
        <v/>
      </c>
      <c r="C358" s="59" t="str">
        <f aca="false">IFERROR(IF([1]对账明细接口!$C$358=0,"",[1]对账明细接口!$C$358),"")</f>
        <v/>
      </c>
      <c r="D358" s="59" t="str">
        <f aca="false">IFERROR(IF([1]对账明细接口!$D$358=0,"",[1]对账明细接口!$D$358),"")</f>
        <v/>
      </c>
      <c r="E358" s="59" t="str">
        <f aca="false">IFERROR(IF([1]对账明细接口!$E$358=0,"",[1]对账明细接口!$E$358),"")</f>
        <v/>
      </c>
      <c r="F358" s="59" t="str">
        <f aca="false">IFERROR(IF([1]对账明细接口!$F$358=0,"",[1]对账明细接口!$F$358),"")</f>
        <v/>
      </c>
      <c r="G358" s="59" t="str">
        <f aca="false">IFERROR(IF([1]对账明细接口!$G$358=0,"",[1]对账明细接口!$G$358),"")</f>
        <v/>
      </c>
      <c r="H358" s="60" t="str">
        <f aca="false">IFERROR(IF([1]对账明细接口!$H$358=0,"",[1]对账明细接口!$H$358),"")</f>
        <v/>
      </c>
      <c r="I358" s="59" t="str">
        <f aca="false">IFERROR(IF([1]对账明细接口!$I$358=0,"",[1]对账明细接口!$I$358),"")</f>
        <v/>
      </c>
      <c r="J358" s="61" t="str">
        <f aca="false">IFERROR(IF([1]对账明细接口!$J$358=0,"",[1]对账明细接口!$J$358),"")</f>
        <v/>
      </c>
      <c r="K358" s="61" t="str">
        <f aca="false">IFERROR(IF([1]对账明细接口!$K$358=0,"",[1]对账明细接口!$K$358),"")</f>
        <v/>
      </c>
      <c r="L358" s="59" t="str">
        <f aca="false">IFERROR(IF([1]对账明细接口!$L$358=0,"",[1]对账明细接口!$L$358),"")</f>
        <v/>
      </c>
      <c r="M358" s="59" t="str">
        <f aca="false">IFERROR(IF([1]对账明细接口!$M$358=0,"",[1]对账明细接口!$M$358),"")</f>
        <v/>
      </c>
      <c r="N358" s="111" t="n">
        <f aca="false">IF($C358="",0,1)</f>
        <v>0</v>
      </c>
      <c r="O358" s="111" t="n">
        <f aca="false">N(O357)+$N358</f>
        <v>110</v>
      </c>
      <c r="S358" s="10" t="str">
        <f aca="false">IFERROR(IF([1]对账明细接口!$N358=0,"",[1]对账明细接口!$N358),"")</f>
        <v/>
      </c>
      <c r="T358" s="112" t="str">
        <f aca="false">IFERROR(IF([1]对账明细接口!$O358=0,"",[1]对账明细接口!$O358),"")</f>
        <v/>
      </c>
      <c r="U358" s="112" t="str">
        <f aca="false">IFERROR(IF([1]对账明细接口!$P358=0,"",[1]对账明细接口!$P358),"")</f>
        <v/>
      </c>
      <c r="V358" s="112" t="str">
        <f aca="false">IFERROR(IF([1]对账明细接口!$Q358=0,"",[1]对账明细接口!$Q358),"")</f>
        <v/>
      </c>
      <c r="W358" s="10" t="str">
        <f aca="false">IFERROR(IF([1]对账明细接口!$R358=0,"",[1]对账明细接口!$R358),"")</f>
        <v/>
      </c>
      <c r="X358" s="10" t="str">
        <f aca="false">IFERROR(IF([1]对账明细接口!$S358=0,"",[1]对账明细接口!$S358),"")</f>
        <v/>
      </c>
      <c r="Y358" s="10" t="str">
        <f aca="false">""</f>
        <v/>
      </c>
      <c r="Z358" s="10" t="str">
        <f aca="false">""</f>
        <v/>
      </c>
      <c r="AA358" s="10" t="str">
        <f aca="false">""</f>
        <v/>
      </c>
      <c r="AB358" s="10" t="str">
        <f aca="false">""</f>
        <v/>
      </c>
    </row>
    <row r="359" customFormat="false" ht="13.5" hidden="false" customHeight="false" outlineLevel="0" collapsed="false">
      <c r="A359" s="109" t="n">
        <v>359</v>
      </c>
      <c r="B359" s="110" t="str">
        <f aca="false">IFERROR(IF([1]对账明细接口!$B$359=0,"",[1]对账明细接口!$B$359),"")</f>
        <v/>
      </c>
      <c r="C359" s="59" t="str">
        <f aca="false">IFERROR(IF([1]对账明细接口!$C$359=0,"",[1]对账明细接口!$C$359),"")</f>
        <v/>
      </c>
      <c r="D359" s="59" t="str">
        <f aca="false">IFERROR(IF([1]对账明细接口!$D$359=0,"",[1]对账明细接口!$D$359),"")</f>
        <v/>
      </c>
      <c r="E359" s="59" t="str">
        <f aca="false">IFERROR(IF([1]对账明细接口!$E$359=0,"",[1]对账明细接口!$E$359),"")</f>
        <v/>
      </c>
      <c r="F359" s="59" t="str">
        <f aca="false">IFERROR(IF([1]对账明细接口!$F$359=0,"",[1]对账明细接口!$F$359),"")</f>
        <v/>
      </c>
      <c r="G359" s="59" t="str">
        <f aca="false">IFERROR(IF([1]对账明细接口!$G$359=0,"",[1]对账明细接口!$G$359),"")</f>
        <v/>
      </c>
      <c r="H359" s="60" t="str">
        <f aca="false">IFERROR(IF([1]对账明细接口!$H$359=0,"",[1]对账明细接口!$H$359),"")</f>
        <v/>
      </c>
      <c r="I359" s="59" t="str">
        <f aca="false">IFERROR(IF([1]对账明细接口!$I$359=0,"",[1]对账明细接口!$I$359),"")</f>
        <v/>
      </c>
      <c r="J359" s="61" t="str">
        <f aca="false">IFERROR(IF([1]对账明细接口!$J$359=0,"",[1]对账明细接口!$J$359),"")</f>
        <v/>
      </c>
      <c r="K359" s="61" t="str">
        <f aca="false">IFERROR(IF([1]对账明细接口!$K$359=0,"",[1]对账明细接口!$K$359),"")</f>
        <v/>
      </c>
      <c r="L359" s="59" t="str">
        <f aca="false">IFERROR(IF([1]对账明细接口!$L$359=0,"",[1]对账明细接口!$L$359),"")</f>
        <v/>
      </c>
      <c r="M359" s="59" t="str">
        <f aca="false">IFERROR(IF([1]对账明细接口!$M$359=0,"",[1]对账明细接口!$M$359),"")</f>
        <v/>
      </c>
      <c r="N359" s="111" t="n">
        <f aca="false">IF($C359="",0,1)</f>
        <v>0</v>
      </c>
      <c r="O359" s="111" t="n">
        <f aca="false">N(O358)+$N359</f>
        <v>110</v>
      </c>
      <c r="S359" s="10" t="str">
        <f aca="false">IFERROR(IF([1]对账明细接口!$N359=0,"",[1]对账明细接口!$N359),"")</f>
        <v/>
      </c>
      <c r="T359" s="112" t="str">
        <f aca="false">IFERROR(IF([1]对账明细接口!$O359=0,"",[1]对账明细接口!$O359),"")</f>
        <v/>
      </c>
      <c r="U359" s="112" t="str">
        <f aca="false">IFERROR(IF([1]对账明细接口!$P359=0,"",[1]对账明细接口!$P359),"")</f>
        <v/>
      </c>
      <c r="V359" s="112" t="str">
        <f aca="false">IFERROR(IF([1]对账明细接口!$Q359=0,"",[1]对账明细接口!$Q359),"")</f>
        <v/>
      </c>
      <c r="W359" s="10" t="str">
        <f aca="false">IFERROR(IF([1]对账明细接口!$R359=0,"",[1]对账明细接口!$R359),"")</f>
        <v/>
      </c>
      <c r="X359" s="10" t="str">
        <f aca="false">IFERROR(IF([1]对账明细接口!$S359=0,"",[1]对账明细接口!$S359),"")</f>
        <v/>
      </c>
      <c r="Y359" s="10" t="str">
        <f aca="false">""</f>
        <v/>
      </c>
      <c r="Z359" s="10" t="str">
        <f aca="false">""</f>
        <v/>
      </c>
      <c r="AA359" s="10" t="str">
        <f aca="false">""</f>
        <v/>
      </c>
      <c r="AB359" s="10" t="str">
        <f aca="false">""</f>
        <v/>
      </c>
    </row>
    <row r="360" customFormat="false" ht="13.5" hidden="false" customHeight="false" outlineLevel="0" collapsed="false">
      <c r="A360" s="109" t="n">
        <v>360</v>
      </c>
      <c r="B360" s="110" t="str">
        <f aca="false">IFERROR(IF([1]对账明细接口!$B$360=0,"",[1]对账明细接口!$B$360),"")</f>
        <v/>
      </c>
      <c r="C360" s="59" t="str">
        <f aca="false">IFERROR(IF([1]对账明细接口!$C$360=0,"",[1]对账明细接口!$C$360),"")</f>
        <v/>
      </c>
      <c r="D360" s="59" t="str">
        <f aca="false">IFERROR(IF([1]对账明细接口!$D$360=0,"",[1]对账明细接口!$D$360),"")</f>
        <v/>
      </c>
      <c r="E360" s="59" t="str">
        <f aca="false">IFERROR(IF([1]对账明细接口!$E$360=0,"",[1]对账明细接口!$E$360),"")</f>
        <v/>
      </c>
      <c r="F360" s="59" t="str">
        <f aca="false">IFERROR(IF([1]对账明细接口!$F$360=0,"",[1]对账明细接口!$F$360),"")</f>
        <v/>
      </c>
      <c r="G360" s="59" t="str">
        <f aca="false">IFERROR(IF([1]对账明细接口!$G$360=0,"",[1]对账明细接口!$G$360),"")</f>
        <v/>
      </c>
      <c r="H360" s="60" t="str">
        <f aca="false">IFERROR(IF([1]对账明细接口!$H$360=0,"",[1]对账明细接口!$H$360),"")</f>
        <v/>
      </c>
      <c r="I360" s="59" t="str">
        <f aca="false">IFERROR(IF([1]对账明细接口!$I$360=0,"",[1]对账明细接口!$I$360),"")</f>
        <v/>
      </c>
      <c r="J360" s="61" t="str">
        <f aca="false">IFERROR(IF([1]对账明细接口!$J$360=0,"",[1]对账明细接口!$J$360),"")</f>
        <v/>
      </c>
      <c r="K360" s="61" t="str">
        <f aca="false">IFERROR(IF([1]对账明细接口!$K$360=0,"",[1]对账明细接口!$K$360),"")</f>
        <v/>
      </c>
      <c r="L360" s="59" t="str">
        <f aca="false">IFERROR(IF([1]对账明细接口!$L$360=0,"",[1]对账明细接口!$L$360),"")</f>
        <v/>
      </c>
      <c r="M360" s="59" t="str">
        <f aca="false">IFERROR(IF([1]对账明细接口!$M$360=0,"",[1]对账明细接口!$M$360),"")</f>
        <v/>
      </c>
      <c r="N360" s="111" t="n">
        <f aca="false">IF($C360="",0,1)</f>
        <v>0</v>
      </c>
      <c r="O360" s="111" t="n">
        <f aca="false">N(O359)+$N360</f>
        <v>110</v>
      </c>
      <c r="S360" s="10" t="str">
        <f aca="false">IFERROR(IF([1]对账明细接口!$N360=0,"",[1]对账明细接口!$N360),"")</f>
        <v/>
      </c>
      <c r="T360" s="112" t="str">
        <f aca="false">IFERROR(IF([1]对账明细接口!$O360=0,"",[1]对账明细接口!$O360),"")</f>
        <v/>
      </c>
      <c r="U360" s="112" t="str">
        <f aca="false">IFERROR(IF([1]对账明细接口!$P360=0,"",[1]对账明细接口!$P360),"")</f>
        <v/>
      </c>
      <c r="V360" s="112" t="str">
        <f aca="false">IFERROR(IF([1]对账明细接口!$Q360=0,"",[1]对账明细接口!$Q360),"")</f>
        <v/>
      </c>
      <c r="W360" s="10" t="str">
        <f aca="false">IFERROR(IF([1]对账明细接口!$R360=0,"",[1]对账明细接口!$R360),"")</f>
        <v/>
      </c>
      <c r="X360" s="10" t="str">
        <f aca="false">IFERROR(IF([1]对账明细接口!$S360=0,"",[1]对账明细接口!$S360),"")</f>
        <v/>
      </c>
      <c r="Y360" s="10" t="str">
        <f aca="false">""</f>
        <v/>
      </c>
      <c r="Z360" s="10" t="str">
        <f aca="false">""</f>
        <v/>
      </c>
      <c r="AA360" s="10" t="str">
        <f aca="false">""</f>
        <v/>
      </c>
      <c r="AB360" s="10" t="str">
        <f aca="false">""</f>
        <v/>
      </c>
    </row>
    <row r="361" customFormat="false" ht="13.5" hidden="false" customHeight="false" outlineLevel="0" collapsed="false">
      <c r="A361" s="109" t="n">
        <v>361</v>
      </c>
      <c r="B361" s="110" t="str">
        <f aca="false">IFERROR(IF([1]对账明细接口!$B$361=0,"",[1]对账明细接口!$B$361),"")</f>
        <v/>
      </c>
      <c r="C361" s="59" t="str">
        <f aca="false">IFERROR(IF([1]对账明细接口!$C$361=0,"",[1]对账明细接口!$C$361),"")</f>
        <v/>
      </c>
      <c r="D361" s="59" t="str">
        <f aca="false">IFERROR(IF([1]对账明细接口!$D$361=0,"",[1]对账明细接口!$D$361),"")</f>
        <v/>
      </c>
      <c r="E361" s="59" t="str">
        <f aca="false">IFERROR(IF([1]对账明细接口!$E$361=0,"",[1]对账明细接口!$E$361),"")</f>
        <v/>
      </c>
      <c r="F361" s="59" t="str">
        <f aca="false">IFERROR(IF([1]对账明细接口!$F$361=0,"",[1]对账明细接口!$F$361),"")</f>
        <v/>
      </c>
      <c r="G361" s="59" t="str">
        <f aca="false">IFERROR(IF([1]对账明细接口!$G$361=0,"",[1]对账明细接口!$G$361),"")</f>
        <v/>
      </c>
      <c r="H361" s="60" t="str">
        <f aca="false">IFERROR(IF([1]对账明细接口!$H$361=0,"",[1]对账明细接口!$H$361),"")</f>
        <v/>
      </c>
      <c r="I361" s="59" t="str">
        <f aca="false">IFERROR(IF([1]对账明细接口!$I$361=0,"",[1]对账明细接口!$I$361),"")</f>
        <v/>
      </c>
      <c r="J361" s="61" t="str">
        <f aca="false">IFERROR(IF([1]对账明细接口!$J$361=0,"",[1]对账明细接口!$J$361),"")</f>
        <v/>
      </c>
      <c r="K361" s="61" t="str">
        <f aca="false">IFERROR(IF([1]对账明细接口!$K$361=0,"",[1]对账明细接口!$K$361),"")</f>
        <v/>
      </c>
      <c r="L361" s="59" t="str">
        <f aca="false">IFERROR(IF([1]对账明细接口!$L$361=0,"",[1]对账明细接口!$L$361),"")</f>
        <v/>
      </c>
      <c r="M361" s="59" t="str">
        <f aca="false">IFERROR(IF([1]对账明细接口!$M$361=0,"",[1]对账明细接口!$M$361),"")</f>
        <v/>
      </c>
      <c r="N361" s="111" t="n">
        <f aca="false">IF($C361="",0,1)</f>
        <v>0</v>
      </c>
      <c r="O361" s="111" t="n">
        <f aca="false">N(O360)+$N361</f>
        <v>110</v>
      </c>
      <c r="S361" s="10" t="str">
        <f aca="false">IFERROR(IF([1]对账明细接口!$N361=0,"",[1]对账明细接口!$N361),"")</f>
        <v/>
      </c>
      <c r="T361" s="112" t="str">
        <f aca="false">IFERROR(IF([1]对账明细接口!$O361=0,"",[1]对账明细接口!$O361),"")</f>
        <v/>
      </c>
      <c r="U361" s="112" t="str">
        <f aca="false">IFERROR(IF([1]对账明细接口!$P361=0,"",[1]对账明细接口!$P361),"")</f>
        <v/>
      </c>
      <c r="V361" s="112" t="str">
        <f aca="false">IFERROR(IF([1]对账明细接口!$Q361=0,"",[1]对账明细接口!$Q361),"")</f>
        <v/>
      </c>
      <c r="W361" s="10" t="str">
        <f aca="false">IFERROR(IF([1]对账明细接口!$R361=0,"",[1]对账明细接口!$R361),"")</f>
        <v/>
      </c>
      <c r="X361" s="10" t="str">
        <f aca="false">IFERROR(IF([1]对账明细接口!$S361=0,"",[1]对账明细接口!$S361),"")</f>
        <v/>
      </c>
      <c r="Y361" s="10" t="str">
        <f aca="false">""</f>
        <v/>
      </c>
      <c r="Z361" s="10" t="str">
        <f aca="false">""</f>
        <v/>
      </c>
      <c r="AA361" s="10" t="str">
        <f aca="false">""</f>
        <v/>
      </c>
      <c r="AB361" s="10" t="str">
        <f aca="false">""</f>
        <v/>
      </c>
    </row>
    <row r="362" customFormat="false" ht="13.5" hidden="false" customHeight="false" outlineLevel="0" collapsed="false">
      <c r="A362" s="109" t="n">
        <v>362</v>
      </c>
      <c r="B362" s="110" t="str">
        <f aca="false">IFERROR(IF([1]对账明细接口!$B$362=0,"",[1]对账明细接口!$B$362),"")</f>
        <v/>
      </c>
      <c r="C362" s="59" t="str">
        <f aca="false">IFERROR(IF([1]对账明细接口!$C$362=0,"",[1]对账明细接口!$C$362),"")</f>
        <v/>
      </c>
      <c r="D362" s="59" t="str">
        <f aca="false">IFERROR(IF([1]对账明细接口!$D$362=0,"",[1]对账明细接口!$D$362),"")</f>
        <v/>
      </c>
      <c r="E362" s="59" t="str">
        <f aca="false">IFERROR(IF([1]对账明细接口!$E$362=0,"",[1]对账明细接口!$E$362),"")</f>
        <v/>
      </c>
      <c r="F362" s="59" t="str">
        <f aca="false">IFERROR(IF([1]对账明细接口!$F$362=0,"",[1]对账明细接口!$F$362),"")</f>
        <v/>
      </c>
      <c r="G362" s="59" t="str">
        <f aca="false">IFERROR(IF([1]对账明细接口!$G$362=0,"",[1]对账明细接口!$G$362),"")</f>
        <v/>
      </c>
      <c r="H362" s="60" t="str">
        <f aca="false">IFERROR(IF([1]对账明细接口!$H$362=0,"",[1]对账明细接口!$H$362),"")</f>
        <v/>
      </c>
      <c r="I362" s="59" t="str">
        <f aca="false">IFERROR(IF([1]对账明细接口!$I$362=0,"",[1]对账明细接口!$I$362),"")</f>
        <v/>
      </c>
      <c r="J362" s="61" t="str">
        <f aca="false">IFERROR(IF([1]对账明细接口!$J$362=0,"",[1]对账明细接口!$J$362),"")</f>
        <v/>
      </c>
      <c r="K362" s="61" t="str">
        <f aca="false">IFERROR(IF([1]对账明细接口!$K$362=0,"",[1]对账明细接口!$K$362),"")</f>
        <v/>
      </c>
      <c r="L362" s="59" t="str">
        <f aca="false">IFERROR(IF([1]对账明细接口!$L$362=0,"",[1]对账明细接口!$L$362),"")</f>
        <v/>
      </c>
      <c r="M362" s="59" t="str">
        <f aca="false">IFERROR(IF([1]对账明细接口!$M$362=0,"",[1]对账明细接口!$M$362),"")</f>
        <v/>
      </c>
      <c r="N362" s="111" t="n">
        <f aca="false">IF($C362="",0,1)</f>
        <v>0</v>
      </c>
      <c r="O362" s="111" t="n">
        <f aca="false">N(O361)+$N362</f>
        <v>110</v>
      </c>
      <c r="S362" s="10" t="str">
        <f aca="false">IFERROR(IF([1]对账明细接口!$N362=0,"",[1]对账明细接口!$N362),"")</f>
        <v/>
      </c>
      <c r="T362" s="112" t="str">
        <f aca="false">IFERROR(IF([1]对账明细接口!$O362=0,"",[1]对账明细接口!$O362),"")</f>
        <v/>
      </c>
      <c r="U362" s="112" t="str">
        <f aca="false">IFERROR(IF([1]对账明细接口!$P362=0,"",[1]对账明细接口!$P362),"")</f>
        <v/>
      </c>
      <c r="V362" s="112" t="str">
        <f aca="false">IFERROR(IF([1]对账明细接口!$Q362=0,"",[1]对账明细接口!$Q362),"")</f>
        <v/>
      </c>
      <c r="W362" s="10" t="str">
        <f aca="false">IFERROR(IF([1]对账明细接口!$R362=0,"",[1]对账明细接口!$R362),"")</f>
        <v/>
      </c>
      <c r="X362" s="10" t="str">
        <f aca="false">IFERROR(IF([1]对账明细接口!$S362=0,"",[1]对账明细接口!$S362),"")</f>
        <v/>
      </c>
      <c r="Y362" s="10" t="str">
        <f aca="false">""</f>
        <v/>
      </c>
      <c r="Z362" s="10" t="str">
        <f aca="false">""</f>
        <v/>
      </c>
      <c r="AA362" s="10" t="str">
        <f aca="false">""</f>
        <v/>
      </c>
      <c r="AB362" s="10" t="str">
        <f aca="false">""</f>
        <v/>
      </c>
    </row>
    <row r="363" customFormat="false" ht="13.5" hidden="false" customHeight="false" outlineLevel="0" collapsed="false">
      <c r="A363" s="109" t="n">
        <v>363</v>
      </c>
      <c r="B363" s="110" t="str">
        <f aca="false">IFERROR(IF([1]对账明细接口!$B$363=0,"",[1]对账明细接口!$B$363),"")</f>
        <v/>
      </c>
      <c r="C363" s="59" t="str">
        <f aca="false">IFERROR(IF([1]对账明细接口!$C$363=0,"",[1]对账明细接口!$C$363),"")</f>
        <v/>
      </c>
      <c r="D363" s="59" t="str">
        <f aca="false">IFERROR(IF([1]对账明细接口!$D$363=0,"",[1]对账明细接口!$D$363),"")</f>
        <v/>
      </c>
      <c r="E363" s="59" t="str">
        <f aca="false">IFERROR(IF([1]对账明细接口!$E$363=0,"",[1]对账明细接口!$E$363),"")</f>
        <v/>
      </c>
      <c r="F363" s="59" t="str">
        <f aca="false">IFERROR(IF([1]对账明细接口!$F$363=0,"",[1]对账明细接口!$F$363),"")</f>
        <v/>
      </c>
      <c r="G363" s="59" t="str">
        <f aca="false">IFERROR(IF([1]对账明细接口!$G$363=0,"",[1]对账明细接口!$G$363),"")</f>
        <v/>
      </c>
      <c r="H363" s="60" t="str">
        <f aca="false">IFERROR(IF([1]对账明细接口!$H$363=0,"",[1]对账明细接口!$H$363),"")</f>
        <v/>
      </c>
      <c r="I363" s="59" t="str">
        <f aca="false">IFERROR(IF([1]对账明细接口!$I$363=0,"",[1]对账明细接口!$I$363),"")</f>
        <v/>
      </c>
      <c r="J363" s="61" t="str">
        <f aca="false">IFERROR(IF([1]对账明细接口!$J$363=0,"",[1]对账明细接口!$J$363),"")</f>
        <v/>
      </c>
      <c r="K363" s="61" t="str">
        <f aca="false">IFERROR(IF([1]对账明细接口!$K$363=0,"",[1]对账明细接口!$K$363),"")</f>
        <v/>
      </c>
      <c r="L363" s="59" t="str">
        <f aca="false">IFERROR(IF([1]对账明细接口!$L$363=0,"",[1]对账明细接口!$L$363),"")</f>
        <v/>
      </c>
      <c r="M363" s="59" t="str">
        <f aca="false">IFERROR(IF([1]对账明细接口!$M$363=0,"",[1]对账明细接口!$M$363),"")</f>
        <v/>
      </c>
      <c r="N363" s="111" t="n">
        <f aca="false">IF($C363="",0,1)</f>
        <v>0</v>
      </c>
      <c r="O363" s="111" t="n">
        <f aca="false">N(O362)+$N363</f>
        <v>110</v>
      </c>
      <c r="S363" s="10" t="str">
        <f aca="false">IFERROR(IF([1]对账明细接口!$N363=0,"",[1]对账明细接口!$N363),"")</f>
        <v/>
      </c>
      <c r="T363" s="112" t="str">
        <f aca="false">IFERROR(IF([1]对账明细接口!$O363=0,"",[1]对账明细接口!$O363),"")</f>
        <v/>
      </c>
      <c r="U363" s="112" t="str">
        <f aca="false">IFERROR(IF([1]对账明细接口!$P363=0,"",[1]对账明细接口!$P363),"")</f>
        <v/>
      </c>
      <c r="V363" s="112" t="str">
        <f aca="false">IFERROR(IF([1]对账明细接口!$Q363=0,"",[1]对账明细接口!$Q363),"")</f>
        <v/>
      </c>
      <c r="W363" s="10" t="str">
        <f aca="false">IFERROR(IF([1]对账明细接口!$R363=0,"",[1]对账明细接口!$R363),"")</f>
        <v/>
      </c>
      <c r="X363" s="10" t="str">
        <f aca="false">IFERROR(IF([1]对账明细接口!$S363=0,"",[1]对账明细接口!$S363),"")</f>
        <v/>
      </c>
      <c r="Y363" s="10" t="str">
        <f aca="false">""</f>
        <v/>
      </c>
      <c r="Z363" s="10" t="str">
        <f aca="false">""</f>
        <v/>
      </c>
      <c r="AA363" s="10" t="str">
        <f aca="false">""</f>
        <v/>
      </c>
      <c r="AB363" s="10" t="str">
        <f aca="false">""</f>
        <v/>
      </c>
    </row>
    <row r="364" customFormat="false" ht="13.5" hidden="false" customHeight="false" outlineLevel="0" collapsed="false">
      <c r="A364" s="109" t="n">
        <v>364</v>
      </c>
      <c r="B364" s="110" t="str">
        <f aca="false">IFERROR(IF([1]对账明细接口!$B$364=0,"",[1]对账明细接口!$B$364),"")</f>
        <v/>
      </c>
      <c r="C364" s="59" t="str">
        <f aca="false">IFERROR(IF([1]对账明细接口!$C$364=0,"",[1]对账明细接口!$C$364),"")</f>
        <v/>
      </c>
      <c r="D364" s="59" t="str">
        <f aca="false">IFERROR(IF([1]对账明细接口!$D$364=0,"",[1]对账明细接口!$D$364),"")</f>
        <v/>
      </c>
      <c r="E364" s="59" t="str">
        <f aca="false">IFERROR(IF([1]对账明细接口!$E$364=0,"",[1]对账明细接口!$E$364),"")</f>
        <v/>
      </c>
      <c r="F364" s="59" t="str">
        <f aca="false">IFERROR(IF([1]对账明细接口!$F$364=0,"",[1]对账明细接口!$F$364),"")</f>
        <v/>
      </c>
      <c r="G364" s="59" t="str">
        <f aca="false">IFERROR(IF([1]对账明细接口!$G$364=0,"",[1]对账明细接口!$G$364),"")</f>
        <v/>
      </c>
      <c r="H364" s="60" t="str">
        <f aca="false">IFERROR(IF([1]对账明细接口!$H$364=0,"",[1]对账明细接口!$H$364),"")</f>
        <v/>
      </c>
      <c r="I364" s="59" t="str">
        <f aca="false">IFERROR(IF([1]对账明细接口!$I$364=0,"",[1]对账明细接口!$I$364),"")</f>
        <v/>
      </c>
      <c r="J364" s="61" t="str">
        <f aca="false">IFERROR(IF([1]对账明细接口!$J$364=0,"",[1]对账明细接口!$J$364),"")</f>
        <v/>
      </c>
      <c r="K364" s="61" t="str">
        <f aca="false">IFERROR(IF([1]对账明细接口!$K$364=0,"",[1]对账明细接口!$K$364),"")</f>
        <v/>
      </c>
      <c r="L364" s="59" t="str">
        <f aca="false">IFERROR(IF([1]对账明细接口!$L$364=0,"",[1]对账明细接口!$L$364),"")</f>
        <v/>
      </c>
      <c r="M364" s="59" t="str">
        <f aca="false">IFERROR(IF([1]对账明细接口!$M$364=0,"",[1]对账明细接口!$M$364),"")</f>
        <v/>
      </c>
      <c r="N364" s="111" t="n">
        <f aca="false">IF($C364="",0,1)</f>
        <v>0</v>
      </c>
      <c r="O364" s="111" t="n">
        <f aca="false">N(O363)+$N364</f>
        <v>110</v>
      </c>
      <c r="S364" s="10" t="str">
        <f aca="false">IFERROR(IF([1]对账明细接口!$N364=0,"",[1]对账明细接口!$N364),"")</f>
        <v/>
      </c>
      <c r="T364" s="112" t="str">
        <f aca="false">IFERROR(IF([1]对账明细接口!$O364=0,"",[1]对账明细接口!$O364),"")</f>
        <v/>
      </c>
      <c r="U364" s="112" t="str">
        <f aca="false">IFERROR(IF([1]对账明细接口!$P364=0,"",[1]对账明细接口!$P364),"")</f>
        <v/>
      </c>
      <c r="V364" s="112" t="str">
        <f aca="false">IFERROR(IF([1]对账明细接口!$Q364=0,"",[1]对账明细接口!$Q364),"")</f>
        <v/>
      </c>
      <c r="W364" s="10" t="str">
        <f aca="false">IFERROR(IF([1]对账明细接口!$R364=0,"",[1]对账明细接口!$R364),"")</f>
        <v/>
      </c>
      <c r="X364" s="10" t="str">
        <f aca="false">IFERROR(IF([1]对账明细接口!$S364=0,"",[1]对账明细接口!$S364),"")</f>
        <v/>
      </c>
      <c r="Y364" s="10" t="str">
        <f aca="false">""</f>
        <v/>
      </c>
      <c r="Z364" s="10" t="str">
        <f aca="false">""</f>
        <v/>
      </c>
      <c r="AA364" s="10" t="str">
        <f aca="false">""</f>
        <v/>
      </c>
      <c r="AB364" s="10" t="str">
        <f aca="false">""</f>
        <v/>
      </c>
    </row>
    <row r="365" customFormat="false" ht="13.5" hidden="false" customHeight="false" outlineLevel="0" collapsed="false">
      <c r="A365" s="109" t="n">
        <v>365</v>
      </c>
      <c r="B365" s="110" t="str">
        <f aca="false">IFERROR(IF([1]对账明细接口!$B$365=0,"",[1]对账明细接口!$B$365),"")</f>
        <v/>
      </c>
      <c r="C365" s="59" t="str">
        <f aca="false">IFERROR(IF([1]对账明细接口!$C$365=0,"",[1]对账明细接口!$C$365),"")</f>
        <v/>
      </c>
      <c r="D365" s="59" t="str">
        <f aca="false">IFERROR(IF([1]对账明细接口!$D$365=0,"",[1]对账明细接口!$D$365),"")</f>
        <v/>
      </c>
      <c r="E365" s="59" t="str">
        <f aca="false">IFERROR(IF([1]对账明细接口!$E$365=0,"",[1]对账明细接口!$E$365),"")</f>
        <v/>
      </c>
      <c r="F365" s="59" t="str">
        <f aca="false">IFERROR(IF([1]对账明细接口!$F$365=0,"",[1]对账明细接口!$F$365),"")</f>
        <v/>
      </c>
      <c r="G365" s="59" t="str">
        <f aca="false">IFERROR(IF([1]对账明细接口!$G$365=0,"",[1]对账明细接口!$G$365),"")</f>
        <v/>
      </c>
      <c r="H365" s="60" t="str">
        <f aca="false">IFERROR(IF([1]对账明细接口!$H$365=0,"",[1]对账明细接口!$H$365),"")</f>
        <v/>
      </c>
      <c r="I365" s="59" t="str">
        <f aca="false">IFERROR(IF([1]对账明细接口!$I$365=0,"",[1]对账明细接口!$I$365),"")</f>
        <v/>
      </c>
      <c r="J365" s="61" t="str">
        <f aca="false">IFERROR(IF([1]对账明细接口!$J$365=0,"",[1]对账明细接口!$J$365),"")</f>
        <v/>
      </c>
      <c r="K365" s="61" t="str">
        <f aca="false">IFERROR(IF([1]对账明细接口!$K$365=0,"",[1]对账明细接口!$K$365),"")</f>
        <v/>
      </c>
      <c r="L365" s="59" t="str">
        <f aca="false">IFERROR(IF([1]对账明细接口!$L$365=0,"",[1]对账明细接口!$L$365),"")</f>
        <v/>
      </c>
      <c r="M365" s="59" t="str">
        <f aca="false">IFERROR(IF([1]对账明细接口!$M$365=0,"",[1]对账明细接口!$M$365),"")</f>
        <v/>
      </c>
      <c r="N365" s="111" t="n">
        <f aca="false">IF($C365="",0,1)</f>
        <v>0</v>
      </c>
      <c r="O365" s="111" t="n">
        <f aca="false">N(O364)+$N365</f>
        <v>110</v>
      </c>
      <c r="S365" s="10" t="str">
        <f aca="false">IFERROR(IF([1]对账明细接口!$N365=0,"",[1]对账明细接口!$N365),"")</f>
        <v/>
      </c>
      <c r="T365" s="112" t="str">
        <f aca="false">IFERROR(IF([1]对账明细接口!$O365=0,"",[1]对账明细接口!$O365),"")</f>
        <v/>
      </c>
      <c r="U365" s="112" t="str">
        <f aca="false">IFERROR(IF([1]对账明细接口!$P365=0,"",[1]对账明细接口!$P365),"")</f>
        <v/>
      </c>
      <c r="V365" s="112" t="str">
        <f aca="false">IFERROR(IF([1]对账明细接口!$Q365=0,"",[1]对账明细接口!$Q365),"")</f>
        <v/>
      </c>
      <c r="W365" s="10" t="str">
        <f aca="false">IFERROR(IF([1]对账明细接口!$R365=0,"",[1]对账明细接口!$R365),"")</f>
        <v/>
      </c>
      <c r="X365" s="10" t="str">
        <f aca="false">IFERROR(IF([1]对账明细接口!$S365=0,"",[1]对账明细接口!$S365),"")</f>
        <v/>
      </c>
      <c r="Y365" s="10" t="str">
        <f aca="false">""</f>
        <v/>
      </c>
      <c r="Z365" s="10" t="str">
        <f aca="false">""</f>
        <v/>
      </c>
      <c r="AA365" s="10" t="str">
        <f aca="false">""</f>
        <v/>
      </c>
      <c r="AB365" s="10" t="str">
        <f aca="false">""</f>
        <v/>
      </c>
    </row>
    <row r="366" customFormat="false" ht="13.5" hidden="false" customHeight="false" outlineLevel="0" collapsed="false">
      <c r="A366" s="109" t="n">
        <v>366</v>
      </c>
      <c r="B366" s="110" t="str">
        <f aca="false">IFERROR(IF([1]对账明细接口!$B$366=0,"",[1]对账明细接口!$B$366),"")</f>
        <v/>
      </c>
      <c r="C366" s="59" t="str">
        <f aca="false">IFERROR(IF([1]对账明细接口!$C$366=0,"",[1]对账明细接口!$C$366),"")</f>
        <v/>
      </c>
      <c r="D366" s="59" t="str">
        <f aca="false">IFERROR(IF([1]对账明细接口!$D$366=0,"",[1]对账明细接口!$D$366),"")</f>
        <v/>
      </c>
      <c r="E366" s="59" t="str">
        <f aca="false">IFERROR(IF([1]对账明细接口!$E$366=0,"",[1]对账明细接口!$E$366),"")</f>
        <v/>
      </c>
      <c r="F366" s="59" t="str">
        <f aca="false">IFERROR(IF([1]对账明细接口!$F$366=0,"",[1]对账明细接口!$F$366),"")</f>
        <v/>
      </c>
      <c r="G366" s="59" t="str">
        <f aca="false">IFERROR(IF([1]对账明细接口!$G$366=0,"",[1]对账明细接口!$G$366),"")</f>
        <v/>
      </c>
      <c r="H366" s="60" t="str">
        <f aca="false">IFERROR(IF([1]对账明细接口!$H$366=0,"",[1]对账明细接口!$H$366),"")</f>
        <v/>
      </c>
      <c r="I366" s="59" t="str">
        <f aca="false">IFERROR(IF([1]对账明细接口!$I$366=0,"",[1]对账明细接口!$I$366),"")</f>
        <v/>
      </c>
      <c r="J366" s="61" t="str">
        <f aca="false">IFERROR(IF([1]对账明细接口!$J$366=0,"",[1]对账明细接口!$J$366),"")</f>
        <v/>
      </c>
      <c r="K366" s="61" t="str">
        <f aca="false">IFERROR(IF([1]对账明细接口!$K$366=0,"",[1]对账明细接口!$K$366),"")</f>
        <v/>
      </c>
      <c r="L366" s="59" t="str">
        <f aca="false">IFERROR(IF([1]对账明细接口!$L$366=0,"",[1]对账明细接口!$L$366),"")</f>
        <v/>
      </c>
      <c r="M366" s="59" t="str">
        <f aca="false">IFERROR(IF([1]对账明细接口!$M$366=0,"",[1]对账明细接口!$M$366),"")</f>
        <v/>
      </c>
      <c r="N366" s="111" t="n">
        <f aca="false">IF($C366="",0,1)</f>
        <v>0</v>
      </c>
      <c r="O366" s="111" t="n">
        <f aca="false">N(O365)+$N366</f>
        <v>110</v>
      </c>
      <c r="S366" s="10" t="str">
        <f aca="false">IFERROR(IF([1]对账明细接口!$N366=0,"",[1]对账明细接口!$N366),"")</f>
        <v/>
      </c>
      <c r="T366" s="112" t="str">
        <f aca="false">IFERROR(IF([1]对账明细接口!$O366=0,"",[1]对账明细接口!$O366),"")</f>
        <v/>
      </c>
      <c r="U366" s="112" t="str">
        <f aca="false">IFERROR(IF([1]对账明细接口!$P366=0,"",[1]对账明细接口!$P366),"")</f>
        <v/>
      </c>
      <c r="V366" s="112" t="str">
        <f aca="false">IFERROR(IF([1]对账明细接口!$Q366=0,"",[1]对账明细接口!$Q366),"")</f>
        <v/>
      </c>
      <c r="W366" s="10" t="str">
        <f aca="false">IFERROR(IF([1]对账明细接口!$R366=0,"",[1]对账明细接口!$R366),"")</f>
        <v/>
      </c>
      <c r="X366" s="10" t="str">
        <f aca="false">IFERROR(IF([1]对账明细接口!$S366=0,"",[1]对账明细接口!$S366),"")</f>
        <v/>
      </c>
      <c r="Y366" s="10" t="str">
        <f aca="false">""</f>
        <v/>
      </c>
      <c r="Z366" s="10" t="str">
        <f aca="false">""</f>
        <v/>
      </c>
      <c r="AA366" s="10" t="str">
        <f aca="false">""</f>
        <v/>
      </c>
      <c r="AB366" s="10" t="str">
        <f aca="false">""</f>
        <v/>
      </c>
    </row>
    <row r="367" customFormat="false" ht="13.5" hidden="false" customHeight="false" outlineLevel="0" collapsed="false">
      <c r="A367" s="109" t="n">
        <v>367</v>
      </c>
      <c r="B367" s="110" t="str">
        <f aca="false">IFERROR(IF([1]对账明细接口!$B$367=0,"",[1]对账明细接口!$B$367),"")</f>
        <v/>
      </c>
      <c r="C367" s="59" t="str">
        <f aca="false">IFERROR(IF([1]对账明细接口!$C$367=0,"",[1]对账明细接口!$C$367),"")</f>
        <v/>
      </c>
      <c r="D367" s="59" t="str">
        <f aca="false">IFERROR(IF([1]对账明细接口!$D$367=0,"",[1]对账明细接口!$D$367),"")</f>
        <v/>
      </c>
      <c r="E367" s="59" t="str">
        <f aca="false">IFERROR(IF([1]对账明细接口!$E$367=0,"",[1]对账明细接口!$E$367),"")</f>
        <v/>
      </c>
      <c r="F367" s="59" t="str">
        <f aca="false">IFERROR(IF([1]对账明细接口!$F$367=0,"",[1]对账明细接口!$F$367),"")</f>
        <v/>
      </c>
      <c r="G367" s="59" t="str">
        <f aca="false">IFERROR(IF([1]对账明细接口!$G$367=0,"",[1]对账明细接口!$G$367),"")</f>
        <v/>
      </c>
      <c r="H367" s="60" t="str">
        <f aca="false">IFERROR(IF([1]对账明细接口!$H$367=0,"",[1]对账明细接口!$H$367),"")</f>
        <v/>
      </c>
      <c r="I367" s="59" t="str">
        <f aca="false">IFERROR(IF([1]对账明细接口!$I$367=0,"",[1]对账明细接口!$I$367),"")</f>
        <v/>
      </c>
      <c r="J367" s="61" t="str">
        <f aca="false">IFERROR(IF([1]对账明细接口!$J$367=0,"",[1]对账明细接口!$J$367),"")</f>
        <v/>
      </c>
      <c r="K367" s="61" t="str">
        <f aca="false">IFERROR(IF([1]对账明细接口!$K$367=0,"",[1]对账明细接口!$K$367),"")</f>
        <v/>
      </c>
      <c r="L367" s="59" t="str">
        <f aca="false">IFERROR(IF([1]对账明细接口!$L$367=0,"",[1]对账明细接口!$L$367),"")</f>
        <v/>
      </c>
      <c r="M367" s="59" t="str">
        <f aca="false">IFERROR(IF([1]对账明细接口!$M$367=0,"",[1]对账明细接口!$M$367),"")</f>
        <v/>
      </c>
      <c r="N367" s="111" t="n">
        <f aca="false">IF($C367="",0,1)</f>
        <v>0</v>
      </c>
      <c r="O367" s="111" t="n">
        <f aca="false">N(O366)+$N367</f>
        <v>110</v>
      </c>
      <c r="S367" s="10" t="str">
        <f aca="false">IFERROR(IF([1]对账明细接口!$N367=0,"",[1]对账明细接口!$N367),"")</f>
        <v/>
      </c>
      <c r="T367" s="112" t="str">
        <f aca="false">IFERROR(IF([1]对账明细接口!$O367=0,"",[1]对账明细接口!$O367),"")</f>
        <v/>
      </c>
      <c r="U367" s="112" t="str">
        <f aca="false">IFERROR(IF([1]对账明细接口!$P367=0,"",[1]对账明细接口!$P367),"")</f>
        <v/>
      </c>
      <c r="V367" s="112" t="str">
        <f aca="false">IFERROR(IF([1]对账明细接口!$Q367=0,"",[1]对账明细接口!$Q367),"")</f>
        <v/>
      </c>
      <c r="W367" s="10" t="str">
        <f aca="false">IFERROR(IF([1]对账明细接口!$R367=0,"",[1]对账明细接口!$R367),"")</f>
        <v/>
      </c>
      <c r="X367" s="10" t="str">
        <f aca="false">IFERROR(IF([1]对账明细接口!$S367=0,"",[1]对账明细接口!$S367),"")</f>
        <v/>
      </c>
      <c r="Y367" s="10" t="str">
        <f aca="false">""</f>
        <v/>
      </c>
      <c r="Z367" s="10" t="str">
        <f aca="false">""</f>
        <v/>
      </c>
      <c r="AA367" s="10" t="str">
        <f aca="false">""</f>
        <v/>
      </c>
      <c r="AB367" s="10" t="str">
        <f aca="false">""</f>
        <v/>
      </c>
    </row>
    <row r="368" customFormat="false" ht="13.5" hidden="false" customHeight="false" outlineLevel="0" collapsed="false">
      <c r="A368" s="109" t="n">
        <v>368</v>
      </c>
      <c r="B368" s="110" t="str">
        <f aca="false">IFERROR(IF([1]对账明细接口!$B$368=0,"",[1]对账明细接口!$B$368),"")</f>
        <v/>
      </c>
      <c r="C368" s="59" t="str">
        <f aca="false">IFERROR(IF([1]对账明细接口!$C$368=0,"",[1]对账明细接口!$C$368),"")</f>
        <v/>
      </c>
      <c r="D368" s="59" t="str">
        <f aca="false">IFERROR(IF([1]对账明细接口!$D$368=0,"",[1]对账明细接口!$D$368),"")</f>
        <v/>
      </c>
      <c r="E368" s="59" t="str">
        <f aca="false">IFERROR(IF([1]对账明细接口!$E$368=0,"",[1]对账明细接口!$E$368),"")</f>
        <v/>
      </c>
      <c r="F368" s="59" t="str">
        <f aca="false">IFERROR(IF([1]对账明细接口!$F$368=0,"",[1]对账明细接口!$F$368),"")</f>
        <v/>
      </c>
      <c r="G368" s="59" t="str">
        <f aca="false">IFERROR(IF([1]对账明细接口!$G$368=0,"",[1]对账明细接口!$G$368),"")</f>
        <v/>
      </c>
      <c r="H368" s="60" t="str">
        <f aca="false">IFERROR(IF([1]对账明细接口!$H$368=0,"",[1]对账明细接口!$H$368),"")</f>
        <v/>
      </c>
      <c r="I368" s="59" t="str">
        <f aca="false">IFERROR(IF([1]对账明细接口!$I$368=0,"",[1]对账明细接口!$I$368),"")</f>
        <v/>
      </c>
      <c r="J368" s="61" t="str">
        <f aca="false">IFERROR(IF([1]对账明细接口!$J$368=0,"",[1]对账明细接口!$J$368),"")</f>
        <v/>
      </c>
      <c r="K368" s="61" t="str">
        <f aca="false">IFERROR(IF([1]对账明细接口!$K$368=0,"",[1]对账明细接口!$K$368),"")</f>
        <v/>
      </c>
      <c r="L368" s="59" t="str">
        <f aca="false">IFERROR(IF([1]对账明细接口!$L$368=0,"",[1]对账明细接口!$L$368),"")</f>
        <v/>
      </c>
      <c r="M368" s="59" t="str">
        <f aca="false">IFERROR(IF([1]对账明细接口!$M$368=0,"",[1]对账明细接口!$M$368),"")</f>
        <v/>
      </c>
      <c r="N368" s="111" t="n">
        <f aca="false">IF($C368="",0,1)</f>
        <v>0</v>
      </c>
      <c r="O368" s="111" t="n">
        <f aca="false">N(O367)+$N368</f>
        <v>110</v>
      </c>
      <c r="S368" s="10" t="str">
        <f aca="false">IFERROR(IF([1]对账明细接口!$N368=0,"",[1]对账明细接口!$N368),"")</f>
        <v/>
      </c>
      <c r="T368" s="112" t="str">
        <f aca="false">IFERROR(IF([1]对账明细接口!$O368=0,"",[1]对账明细接口!$O368),"")</f>
        <v/>
      </c>
      <c r="U368" s="112" t="str">
        <f aca="false">IFERROR(IF([1]对账明细接口!$P368=0,"",[1]对账明细接口!$P368),"")</f>
        <v/>
      </c>
      <c r="V368" s="112" t="str">
        <f aca="false">IFERROR(IF([1]对账明细接口!$Q368=0,"",[1]对账明细接口!$Q368),"")</f>
        <v/>
      </c>
      <c r="W368" s="10" t="str">
        <f aca="false">IFERROR(IF([1]对账明细接口!$R368=0,"",[1]对账明细接口!$R368),"")</f>
        <v/>
      </c>
      <c r="X368" s="10" t="str">
        <f aca="false">IFERROR(IF([1]对账明细接口!$S368=0,"",[1]对账明细接口!$S368),"")</f>
        <v/>
      </c>
      <c r="Y368" s="10" t="str">
        <f aca="false">""</f>
        <v/>
      </c>
      <c r="Z368" s="10" t="str">
        <f aca="false">""</f>
        <v/>
      </c>
      <c r="AA368" s="10" t="str">
        <f aca="false">""</f>
        <v/>
      </c>
      <c r="AB368" s="10" t="str">
        <f aca="false">""</f>
        <v/>
      </c>
    </row>
    <row r="369" customFormat="false" ht="13.5" hidden="false" customHeight="false" outlineLevel="0" collapsed="false">
      <c r="A369" s="109" t="n">
        <v>369</v>
      </c>
      <c r="B369" s="110" t="str">
        <f aca="false">IFERROR(IF([1]对账明细接口!$B$369=0,"",[1]对账明细接口!$B$369),"")</f>
        <v/>
      </c>
      <c r="C369" s="59" t="str">
        <f aca="false">IFERROR(IF([1]对账明细接口!$C$369=0,"",[1]对账明细接口!$C$369),"")</f>
        <v/>
      </c>
      <c r="D369" s="59" t="str">
        <f aca="false">IFERROR(IF([1]对账明细接口!$D$369=0,"",[1]对账明细接口!$D$369),"")</f>
        <v/>
      </c>
      <c r="E369" s="59" t="str">
        <f aca="false">IFERROR(IF([1]对账明细接口!$E$369=0,"",[1]对账明细接口!$E$369),"")</f>
        <v/>
      </c>
      <c r="F369" s="59" t="str">
        <f aca="false">IFERROR(IF([1]对账明细接口!$F$369=0,"",[1]对账明细接口!$F$369),"")</f>
        <v/>
      </c>
      <c r="G369" s="59" t="str">
        <f aca="false">IFERROR(IF([1]对账明细接口!$G$369=0,"",[1]对账明细接口!$G$369),"")</f>
        <v/>
      </c>
      <c r="H369" s="60" t="str">
        <f aca="false">IFERROR(IF([1]对账明细接口!$H$369=0,"",[1]对账明细接口!$H$369),"")</f>
        <v/>
      </c>
      <c r="I369" s="59" t="str">
        <f aca="false">IFERROR(IF([1]对账明细接口!$I$369=0,"",[1]对账明细接口!$I$369),"")</f>
        <v/>
      </c>
      <c r="J369" s="61" t="str">
        <f aca="false">IFERROR(IF([1]对账明细接口!$J$369=0,"",[1]对账明细接口!$J$369),"")</f>
        <v/>
      </c>
      <c r="K369" s="61" t="str">
        <f aca="false">IFERROR(IF([1]对账明细接口!$K$369=0,"",[1]对账明细接口!$K$369),"")</f>
        <v/>
      </c>
      <c r="L369" s="59" t="str">
        <f aca="false">IFERROR(IF([1]对账明细接口!$L$369=0,"",[1]对账明细接口!$L$369),"")</f>
        <v/>
      </c>
      <c r="M369" s="59" t="str">
        <f aca="false">IFERROR(IF([1]对账明细接口!$M$369=0,"",[1]对账明细接口!$M$369),"")</f>
        <v/>
      </c>
      <c r="N369" s="111" t="n">
        <f aca="false">IF($C369="",0,1)</f>
        <v>0</v>
      </c>
      <c r="O369" s="111" t="n">
        <f aca="false">N(O368)+$N369</f>
        <v>110</v>
      </c>
      <c r="S369" s="10" t="str">
        <f aca="false">IFERROR(IF([1]对账明细接口!$N369=0,"",[1]对账明细接口!$N369),"")</f>
        <v/>
      </c>
      <c r="T369" s="112" t="str">
        <f aca="false">IFERROR(IF([1]对账明细接口!$O369=0,"",[1]对账明细接口!$O369),"")</f>
        <v/>
      </c>
      <c r="U369" s="112" t="str">
        <f aca="false">IFERROR(IF([1]对账明细接口!$P369=0,"",[1]对账明细接口!$P369),"")</f>
        <v/>
      </c>
      <c r="V369" s="112" t="str">
        <f aca="false">IFERROR(IF([1]对账明细接口!$Q369=0,"",[1]对账明细接口!$Q369),"")</f>
        <v/>
      </c>
      <c r="W369" s="10" t="str">
        <f aca="false">IFERROR(IF([1]对账明细接口!$R369=0,"",[1]对账明细接口!$R369),"")</f>
        <v/>
      </c>
      <c r="X369" s="10" t="str">
        <f aca="false">IFERROR(IF([1]对账明细接口!$S369=0,"",[1]对账明细接口!$S369),"")</f>
        <v/>
      </c>
      <c r="Y369" s="10" t="str">
        <f aca="false">""</f>
        <v/>
      </c>
      <c r="Z369" s="10" t="str">
        <f aca="false">""</f>
        <v/>
      </c>
      <c r="AA369" s="10" t="str">
        <f aca="false">""</f>
        <v/>
      </c>
      <c r="AB369" s="10" t="str">
        <f aca="false">""</f>
        <v/>
      </c>
    </row>
    <row r="370" customFormat="false" ht="13.5" hidden="false" customHeight="false" outlineLevel="0" collapsed="false">
      <c r="A370" s="109" t="n">
        <v>370</v>
      </c>
      <c r="B370" s="110" t="str">
        <f aca="false">IFERROR(IF([1]对账明细接口!$B$370=0,"",[1]对账明细接口!$B$370),"")</f>
        <v/>
      </c>
      <c r="C370" s="59" t="str">
        <f aca="false">IFERROR(IF([1]对账明细接口!$C$370=0,"",[1]对账明细接口!$C$370),"")</f>
        <v/>
      </c>
      <c r="D370" s="59" t="str">
        <f aca="false">IFERROR(IF([1]对账明细接口!$D$370=0,"",[1]对账明细接口!$D$370),"")</f>
        <v/>
      </c>
      <c r="E370" s="59" t="str">
        <f aca="false">IFERROR(IF([1]对账明细接口!$E$370=0,"",[1]对账明细接口!$E$370),"")</f>
        <v/>
      </c>
      <c r="F370" s="59" t="str">
        <f aca="false">IFERROR(IF([1]对账明细接口!$F$370=0,"",[1]对账明细接口!$F$370),"")</f>
        <v/>
      </c>
      <c r="G370" s="59" t="str">
        <f aca="false">IFERROR(IF([1]对账明细接口!$G$370=0,"",[1]对账明细接口!$G$370),"")</f>
        <v/>
      </c>
      <c r="H370" s="60" t="str">
        <f aca="false">IFERROR(IF([1]对账明细接口!$H$370=0,"",[1]对账明细接口!$H$370),"")</f>
        <v/>
      </c>
      <c r="I370" s="59" t="str">
        <f aca="false">IFERROR(IF([1]对账明细接口!$I$370=0,"",[1]对账明细接口!$I$370),"")</f>
        <v/>
      </c>
      <c r="J370" s="61" t="str">
        <f aca="false">IFERROR(IF([1]对账明细接口!$J$370=0,"",[1]对账明细接口!$J$370),"")</f>
        <v/>
      </c>
      <c r="K370" s="61" t="str">
        <f aca="false">IFERROR(IF([1]对账明细接口!$K$370=0,"",[1]对账明细接口!$K$370),"")</f>
        <v/>
      </c>
      <c r="L370" s="59" t="str">
        <f aca="false">IFERROR(IF([1]对账明细接口!$L$370=0,"",[1]对账明细接口!$L$370),"")</f>
        <v/>
      </c>
      <c r="M370" s="59" t="str">
        <f aca="false">IFERROR(IF([1]对账明细接口!$M$370=0,"",[1]对账明细接口!$M$370),"")</f>
        <v/>
      </c>
      <c r="N370" s="111" t="n">
        <f aca="false">IF($C370="",0,1)</f>
        <v>0</v>
      </c>
      <c r="O370" s="111" t="n">
        <f aca="false">N(O369)+$N370</f>
        <v>110</v>
      </c>
      <c r="S370" s="10" t="str">
        <f aca="false">IFERROR(IF([1]对账明细接口!$N370=0,"",[1]对账明细接口!$N370),"")</f>
        <v/>
      </c>
      <c r="T370" s="112" t="str">
        <f aca="false">IFERROR(IF([1]对账明细接口!$O370=0,"",[1]对账明细接口!$O370),"")</f>
        <v/>
      </c>
      <c r="U370" s="112" t="str">
        <f aca="false">IFERROR(IF([1]对账明细接口!$P370=0,"",[1]对账明细接口!$P370),"")</f>
        <v/>
      </c>
      <c r="V370" s="112" t="str">
        <f aca="false">IFERROR(IF([1]对账明细接口!$Q370=0,"",[1]对账明细接口!$Q370),"")</f>
        <v/>
      </c>
      <c r="W370" s="10" t="str">
        <f aca="false">IFERROR(IF([1]对账明细接口!$R370=0,"",[1]对账明细接口!$R370),"")</f>
        <v/>
      </c>
      <c r="X370" s="10" t="str">
        <f aca="false">IFERROR(IF([1]对账明细接口!$S370=0,"",[1]对账明细接口!$S370),"")</f>
        <v/>
      </c>
      <c r="Y370" s="10" t="str">
        <f aca="false">""</f>
        <v/>
      </c>
      <c r="Z370" s="10" t="str">
        <f aca="false">""</f>
        <v/>
      </c>
      <c r="AA370" s="10" t="str">
        <f aca="false">""</f>
        <v/>
      </c>
      <c r="AB370" s="10" t="str">
        <f aca="false">""</f>
        <v/>
      </c>
    </row>
    <row r="371" customFormat="false" ht="13.5" hidden="false" customHeight="false" outlineLevel="0" collapsed="false">
      <c r="A371" s="109" t="n">
        <v>371</v>
      </c>
      <c r="B371" s="110" t="str">
        <f aca="false">IFERROR(IF([1]对账明细接口!$B$371=0,"",[1]对账明细接口!$B$371),"")</f>
        <v/>
      </c>
      <c r="C371" s="59" t="str">
        <f aca="false">IFERROR(IF([1]对账明细接口!$C$371=0,"",[1]对账明细接口!$C$371),"")</f>
        <v/>
      </c>
      <c r="D371" s="59" t="str">
        <f aca="false">IFERROR(IF([1]对账明细接口!$D$371=0,"",[1]对账明细接口!$D$371),"")</f>
        <v/>
      </c>
      <c r="E371" s="59" t="str">
        <f aca="false">IFERROR(IF([1]对账明细接口!$E$371=0,"",[1]对账明细接口!$E$371),"")</f>
        <v/>
      </c>
      <c r="F371" s="59" t="str">
        <f aca="false">IFERROR(IF([1]对账明细接口!$F$371=0,"",[1]对账明细接口!$F$371),"")</f>
        <v/>
      </c>
      <c r="G371" s="59" t="str">
        <f aca="false">IFERROR(IF([1]对账明细接口!$G$371=0,"",[1]对账明细接口!$G$371),"")</f>
        <v/>
      </c>
      <c r="H371" s="60" t="str">
        <f aca="false">IFERROR(IF([1]对账明细接口!$H$371=0,"",[1]对账明细接口!$H$371),"")</f>
        <v/>
      </c>
      <c r="I371" s="59" t="str">
        <f aca="false">IFERROR(IF([1]对账明细接口!$I$371=0,"",[1]对账明细接口!$I$371),"")</f>
        <v/>
      </c>
      <c r="J371" s="61" t="str">
        <f aca="false">IFERROR(IF([1]对账明细接口!$J$371=0,"",[1]对账明细接口!$J$371),"")</f>
        <v/>
      </c>
      <c r="K371" s="61" t="str">
        <f aca="false">IFERROR(IF([1]对账明细接口!$K$371=0,"",[1]对账明细接口!$K$371),"")</f>
        <v/>
      </c>
      <c r="L371" s="59" t="str">
        <f aca="false">IFERROR(IF([1]对账明细接口!$L$371=0,"",[1]对账明细接口!$L$371),"")</f>
        <v/>
      </c>
      <c r="M371" s="59" t="str">
        <f aca="false">IFERROR(IF([1]对账明细接口!$M$371=0,"",[1]对账明细接口!$M$371),"")</f>
        <v/>
      </c>
      <c r="N371" s="111" t="n">
        <f aca="false">IF($C371="",0,1)</f>
        <v>0</v>
      </c>
      <c r="O371" s="111" t="n">
        <f aca="false">N(O370)+$N371</f>
        <v>110</v>
      </c>
      <c r="S371" s="10" t="str">
        <f aca="false">IFERROR(IF([1]对账明细接口!$N371=0,"",[1]对账明细接口!$N371),"")</f>
        <v/>
      </c>
      <c r="T371" s="112" t="str">
        <f aca="false">IFERROR(IF([1]对账明细接口!$O371=0,"",[1]对账明细接口!$O371),"")</f>
        <v/>
      </c>
      <c r="U371" s="112" t="str">
        <f aca="false">IFERROR(IF([1]对账明细接口!$P371=0,"",[1]对账明细接口!$P371),"")</f>
        <v/>
      </c>
      <c r="V371" s="112" t="str">
        <f aca="false">IFERROR(IF([1]对账明细接口!$Q371=0,"",[1]对账明细接口!$Q371),"")</f>
        <v/>
      </c>
      <c r="W371" s="10" t="str">
        <f aca="false">IFERROR(IF([1]对账明细接口!$R371=0,"",[1]对账明细接口!$R371),"")</f>
        <v/>
      </c>
      <c r="X371" s="10" t="str">
        <f aca="false">IFERROR(IF([1]对账明细接口!$S371=0,"",[1]对账明细接口!$S371),"")</f>
        <v/>
      </c>
      <c r="Y371" s="10" t="str">
        <f aca="false">""</f>
        <v/>
      </c>
      <c r="Z371" s="10" t="str">
        <f aca="false">""</f>
        <v/>
      </c>
      <c r="AA371" s="10" t="str">
        <f aca="false">""</f>
        <v/>
      </c>
      <c r="AB371" s="10" t="str">
        <f aca="false">""</f>
        <v/>
      </c>
    </row>
    <row r="372" customFormat="false" ht="13.5" hidden="false" customHeight="false" outlineLevel="0" collapsed="false">
      <c r="A372" s="109" t="n">
        <v>372</v>
      </c>
      <c r="B372" s="110" t="str">
        <f aca="false">IFERROR(IF([1]对账明细接口!$B$372=0,"",[1]对账明细接口!$B$372),"")</f>
        <v/>
      </c>
      <c r="C372" s="59" t="str">
        <f aca="false">IFERROR(IF([1]对账明细接口!$C$372=0,"",[1]对账明细接口!$C$372),"")</f>
        <v/>
      </c>
      <c r="D372" s="59" t="str">
        <f aca="false">IFERROR(IF([1]对账明细接口!$D$372=0,"",[1]对账明细接口!$D$372),"")</f>
        <v/>
      </c>
      <c r="E372" s="59" t="str">
        <f aca="false">IFERROR(IF([1]对账明细接口!$E$372=0,"",[1]对账明细接口!$E$372),"")</f>
        <v/>
      </c>
      <c r="F372" s="59" t="str">
        <f aca="false">IFERROR(IF([1]对账明细接口!$F$372=0,"",[1]对账明细接口!$F$372),"")</f>
        <v/>
      </c>
      <c r="G372" s="59" t="str">
        <f aca="false">IFERROR(IF([1]对账明细接口!$G$372=0,"",[1]对账明细接口!$G$372),"")</f>
        <v/>
      </c>
      <c r="H372" s="60" t="str">
        <f aca="false">IFERROR(IF([1]对账明细接口!$H$372=0,"",[1]对账明细接口!$H$372),"")</f>
        <v/>
      </c>
      <c r="I372" s="59" t="str">
        <f aca="false">IFERROR(IF([1]对账明细接口!$I$372=0,"",[1]对账明细接口!$I$372),"")</f>
        <v/>
      </c>
      <c r="J372" s="61" t="str">
        <f aca="false">IFERROR(IF([1]对账明细接口!$J$372=0,"",[1]对账明细接口!$J$372),"")</f>
        <v/>
      </c>
      <c r="K372" s="61" t="str">
        <f aca="false">IFERROR(IF([1]对账明细接口!$K$372=0,"",[1]对账明细接口!$K$372),"")</f>
        <v/>
      </c>
      <c r="L372" s="59" t="str">
        <f aca="false">IFERROR(IF([1]对账明细接口!$L$372=0,"",[1]对账明细接口!$L$372),"")</f>
        <v/>
      </c>
      <c r="M372" s="59" t="str">
        <f aca="false">IFERROR(IF([1]对账明细接口!$M$372=0,"",[1]对账明细接口!$M$372),"")</f>
        <v/>
      </c>
      <c r="N372" s="111" t="n">
        <f aca="false">IF($C372="",0,1)</f>
        <v>0</v>
      </c>
      <c r="O372" s="111" t="n">
        <f aca="false">N(O371)+$N372</f>
        <v>110</v>
      </c>
      <c r="S372" s="10" t="str">
        <f aca="false">IFERROR(IF([1]对账明细接口!$N372=0,"",[1]对账明细接口!$N372),"")</f>
        <v/>
      </c>
      <c r="T372" s="112" t="str">
        <f aca="false">IFERROR(IF([1]对账明细接口!$O372=0,"",[1]对账明细接口!$O372),"")</f>
        <v/>
      </c>
      <c r="U372" s="112" t="str">
        <f aca="false">IFERROR(IF([1]对账明细接口!$P372=0,"",[1]对账明细接口!$P372),"")</f>
        <v/>
      </c>
      <c r="V372" s="112" t="str">
        <f aca="false">IFERROR(IF([1]对账明细接口!$Q372=0,"",[1]对账明细接口!$Q372),"")</f>
        <v/>
      </c>
      <c r="W372" s="10" t="str">
        <f aca="false">IFERROR(IF([1]对账明细接口!$R372=0,"",[1]对账明细接口!$R372),"")</f>
        <v/>
      </c>
      <c r="X372" s="10" t="str">
        <f aca="false">IFERROR(IF([1]对账明细接口!$S372=0,"",[1]对账明细接口!$S372),"")</f>
        <v/>
      </c>
      <c r="Y372" s="10" t="str">
        <f aca="false">""</f>
        <v/>
      </c>
      <c r="Z372" s="10" t="str">
        <f aca="false">""</f>
        <v/>
      </c>
      <c r="AA372" s="10" t="str">
        <f aca="false">""</f>
        <v/>
      </c>
      <c r="AB372" s="10" t="str">
        <f aca="false">""</f>
        <v/>
      </c>
    </row>
    <row r="373" customFormat="false" ht="13.5" hidden="false" customHeight="false" outlineLevel="0" collapsed="false">
      <c r="A373" s="109" t="n">
        <v>373</v>
      </c>
      <c r="B373" s="110" t="str">
        <f aca="false">IFERROR(IF([1]对账明细接口!$B$373=0,"",[1]对账明细接口!$B$373),"")</f>
        <v/>
      </c>
      <c r="C373" s="59" t="str">
        <f aca="false">IFERROR(IF([1]对账明细接口!$C$373=0,"",[1]对账明细接口!$C$373),"")</f>
        <v/>
      </c>
      <c r="D373" s="59" t="str">
        <f aca="false">IFERROR(IF([1]对账明细接口!$D$373=0,"",[1]对账明细接口!$D$373),"")</f>
        <v/>
      </c>
      <c r="E373" s="59" t="str">
        <f aca="false">IFERROR(IF([1]对账明细接口!$E$373=0,"",[1]对账明细接口!$E$373),"")</f>
        <v/>
      </c>
      <c r="F373" s="59" t="str">
        <f aca="false">IFERROR(IF([1]对账明细接口!$F$373=0,"",[1]对账明细接口!$F$373),"")</f>
        <v/>
      </c>
      <c r="G373" s="59" t="str">
        <f aca="false">IFERROR(IF([1]对账明细接口!$G$373=0,"",[1]对账明细接口!$G$373),"")</f>
        <v/>
      </c>
      <c r="H373" s="60" t="str">
        <f aca="false">IFERROR(IF([1]对账明细接口!$H$373=0,"",[1]对账明细接口!$H$373),"")</f>
        <v/>
      </c>
      <c r="I373" s="59" t="str">
        <f aca="false">IFERROR(IF([1]对账明细接口!$I$373=0,"",[1]对账明细接口!$I$373),"")</f>
        <v/>
      </c>
      <c r="J373" s="61" t="str">
        <f aca="false">IFERROR(IF([1]对账明细接口!$J$373=0,"",[1]对账明细接口!$J$373),"")</f>
        <v/>
      </c>
      <c r="K373" s="61" t="str">
        <f aca="false">IFERROR(IF([1]对账明细接口!$K$373=0,"",[1]对账明细接口!$K$373),"")</f>
        <v/>
      </c>
      <c r="L373" s="59" t="str">
        <f aca="false">IFERROR(IF([1]对账明细接口!$L$373=0,"",[1]对账明细接口!$L$373),"")</f>
        <v/>
      </c>
      <c r="M373" s="59" t="str">
        <f aca="false">IFERROR(IF([1]对账明细接口!$M$373=0,"",[1]对账明细接口!$M$373),"")</f>
        <v/>
      </c>
      <c r="N373" s="111" t="n">
        <f aca="false">IF($C373="",0,1)</f>
        <v>0</v>
      </c>
      <c r="O373" s="111" t="n">
        <f aca="false">N(O372)+$N373</f>
        <v>110</v>
      </c>
      <c r="S373" s="10" t="str">
        <f aca="false">IFERROR(IF([1]对账明细接口!$N373=0,"",[1]对账明细接口!$N373),"")</f>
        <v/>
      </c>
      <c r="T373" s="112" t="str">
        <f aca="false">IFERROR(IF([1]对账明细接口!$O373=0,"",[1]对账明细接口!$O373),"")</f>
        <v/>
      </c>
      <c r="U373" s="112" t="str">
        <f aca="false">IFERROR(IF([1]对账明细接口!$P373=0,"",[1]对账明细接口!$P373),"")</f>
        <v/>
      </c>
      <c r="V373" s="112" t="str">
        <f aca="false">IFERROR(IF([1]对账明细接口!$Q373=0,"",[1]对账明细接口!$Q373),"")</f>
        <v/>
      </c>
      <c r="W373" s="10" t="str">
        <f aca="false">IFERROR(IF([1]对账明细接口!$R373=0,"",[1]对账明细接口!$R373),"")</f>
        <v/>
      </c>
      <c r="X373" s="10" t="str">
        <f aca="false">IFERROR(IF([1]对账明细接口!$S373=0,"",[1]对账明细接口!$S373),"")</f>
        <v/>
      </c>
      <c r="Y373" s="10" t="str">
        <f aca="false">""</f>
        <v/>
      </c>
      <c r="Z373" s="10" t="str">
        <f aca="false">""</f>
        <v/>
      </c>
      <c r="AA373" s="10" t="str">
        <f aca="false">""</f>
        <v/>
      </c>
      <c r="AB373" s="10" t="str">
        <f aca="false">""</f>
        <v/>
      </c>
    </row>
    <row r="374" customFormat="false" ht="13.5" hidden="false" customHeight="false" outlineLevel="0" collapsed="false">
      <c r="A374" s="109" t="n">
        <v>374</v>
      </c>
      <c r="B374" s="110" t="str">
        <f aca="false">IFERROR(IF([1]对账明细接口!$B$374=0,"",[1]对账明细接口!$B$374),"")</f>
        <v/>
      </c>
      <c r="C374" s="59" t="str">
        <f aca="false">IFERROR(IF([1]对账明细接口!$C$374=0,"",[1]对账明细接口!$C$374),"")</f>
        <v/>
      </c>
      <c r="D374" s="59" t="str">
        <f aca="false">IFERROR(IF([1]对账明细接口!$D$374=0,"",[1]对账明细接口!$D$374),"")</f>
        <v/>
      </c>
      <c r="E374" s="59" t="str">
        <f aca="false">IFERROR(IF([1]对账明细接口!$E$374=0,"",[1]对账明细接口!$E$374),"")</f>
        <v/>
      </c>
      <c r="F374" s="59" t="str">
        <f aca="false">IFERROR(IF([1]对账明细接口!$F$374=0,"",[1]对账明细接口!$F$374),"")</f>
        <v/>
      </c>
      <c r="G374" s="59" t="str">
        <f aca="false">IFERROR(IF([1]对账明细接口!$G$374=0,"",[1]对账明细接口!$G$374),"")</f>
        <v/>
      </c>
      <c r="H374" s="60" t="str">
        <f aca="false">IFERROR(IF([1]对账明细接口!$H$374=0,"",[1]对账明细接口!$H$374),"")</f>
        <v/>
      </c>
      <c r="I374" s="59" t="str">
        <f aca="false">IFERROR(IF([1]对账明细接口!$I$374=0,"",[1]对账明细接口!$I$374),"")</f>
        <v/>
      </c>
      <c r="J374" s="61" t="str">
        <f aca="false">IFERROR(IF([1]对账明细接口!$J$374=0,"",[1]对账明细接口!$J$374),"")</f>
        <v/>
      </c>
      <c r="K374" s="61" t="str">
        <f aca="false">IFERROR(IF([1]对账明细接口!$K$374=0,"",[1]对账明细接口!$K$374),"")</f>
        <v/>
      </c>
      <c r="L374" s="59" t="str">
        <f aca="false">IFERROR(IF([1]对账明细接口!$L$374=0,"",[1]对账明细接口!$L$374),"")</f>
        <v/>
      </c>
      <c r="M374" s="59" t="str">
        <f aca="false">IFERROR(IF([1]对账明细接口!$M$374=0,"",[1]对账明细接口!$M$374),"")</f>
        <v/>
      </c>
      <c r="N374" s="111" t="n">
        <f aca="false">IF($C374="",0,1)</f>
        <v>0</v>
      </c>
      <c r="O374" s="111" t="n">
        <f aca="false">N(O373)+$N374</f>
        <v>110</v>
      </c>
      <c r="S374" s="10" t="str">
        <f aca="false">IFERROR(IF([1]对账明细接口!$N374=0,"",[1]对账明细接口!$N374),"")</f>
        <v/>
      </c>
      <c r="T374" s="112" t="str">
        <f aca="false">IFERROR(IF([1]对账明细接口!$O374=0,"",[1]对账明细接口!$O374),"")</f>
        <v/>
      </c>
      <c r="U374" s="112" t="str">
        <f aca="false">IFERROR(IF([1]对账明细接口!$P374=0,"",[1]对账明细接口!$P374),"")</f>
        <v/>
      </c>
      <c r="V374" s="112" t="str">
        <f aca="false">IFERROR(IF([1]对账明细接口!$Q374=0,"",[1]对账明细接口!$Q374),"")</f>
        <v/>
      </c>
      <c r="W374" s="10" t="str">
        <f aca="false">IFERROR(IF([1]对账明细接口!$R374=0,"",[1]对账明细接口!$R374),"")</f>
        <v/>
      </c>
      <c r="X374" s="10" t="str">
        <f aca="false">IFERROR(IF([1]对账明细接口!$S374=0,"",[1]对账明细接口!$S374),"")</f>
        <v/>
      </c>
      <c r="Y374" s="10" t="str">
        <f aca="false">""</f>
        <v/>
      </c>
      <c r="Z374" s="10" t="str">
        <f aca="false">""</f>
        <v/>
      </c>
      <c r="AA374" s="10" t="str">
        <f aca="false">""</f>
        <v/>
      </c>
      <c r="AB374" s="10" t="str">
        <f aca="false">""</f>
        <v/>
      </c>
    </row>
    <row r="375" customFormat="false" ht="13.5" hidden="false" customHeight="false" outlineLevel="0" collapsed="false">
      <c r="A375" s="109" t="n">
        <v>375</v>
      </c>
      <c r="B375" s="110" t="str">
        <f aca="false">IFERROR(IF([1]对账明细接口!$B$375=0,"",[1]对账明细接口!$B$375),"")</f>
        <v/>
      </c>
      <c r="C375" s="59" t="str">
        <f aca="false">IFERROR(IF([1]对账明细接口!$C$375=0,"",[1]对账明细接口!$C$375),"")</f>
        <v/>
      </c>
      <c r="D375" s="59" t="str">
        <f aca="false">IFERROR(IF([1]对账明细接口!$D$375=0,"",[1]对账明细接口!$D$375),"")</f>
        <v/>
      </c>
      <c r="E375" s="59" t="str">
        <f aca="false">IFERROR(IF([1]对账明细接口!$E$375=0,"",[1]对账明细接口!$E$375),"")</f>
        <v/>
      </c>
      <c r="F375" s="59" t="str">
        <f aca="false">IFERROR(IF([1]对账明细接口!$F$375=0,"",[1]对账明细接口!$F$375),"")</f>
        <v/>
      </c>
      <c r="G375" s="59" t="str">
        <f aca="false">IFERROR(IF([1]对账明细接口!$G$375=0,"",[1]对账明细接口!$G$375),"")</f>
        <v/>
      </c>
      <c r="H375" s="60" t="str">
        <f aca="false">IFERROR(IF([1]对账明细接口!$H$375=0,"",[1]对账明细接口!$H$375),"")</f>
        <v/>
      </c>
      <c r="I375" s="59" t="str">
        <f aca="false">IFERROR(IF([1]对账明细接口!$I$375=0,"",[1]对账明细接口!$I$375),"")</f>
        <v/>
      </c>
      <c r="J375" s="61" t="str">
        <f aca="false">IFERROR(IF([1]对账明细接口!$J$375=0,"",[1]对账明细接口!$J$375),"")</f>
        <v/>
      </c>
      <c r="K375" s="61" t="str">
        <f aca="false">IFERROR(IF([1]对账明细接口!$K$375=0,"",[1]对账明细接口!$K$375),"")</f>
        <v/>
      </c>
      <c r="L375" s="59" t="str">
        <f aca="false">IFERROR(IF([1]对账明细接口!$L$375=0,"",[1]对账明细接口!$L$375),"")</f>
        <v/>
      </c>
      <c r="M375" s="59" t="str">
        <f aca="false">IFERROR(IF([1]对账明细接口!$M$375=0,"",[1]对账明细接口!$M$375),"")</f>
        <v/>
      </c>
      <c r="N375" s="111" t="n">
        <f aca="false">IF($C375="",0,1)</f>
        <v>0</v>
      </c>
      <c r="O375" s="111" t="n">
        <f aca="false">N(O374)+$N375</f>
        <v>110</v>
      </c>
      <c r="S375" s="10" t="str">
        <f aca="false">IFERROR(IF([1]对账明细接口!$N375=0,"",[1]对账明细接口!$N375),"")</f>
        <v/>
      </c>
      <c r="T375" s="112" t="str">
        <f aca="false">IFERROR(IF([1]对账明细接口!$O375=0,"",[1]对账明细接口!$O375),"")</f>
        <v/>
      </c>
      <c r="U375" s="112" t="str">
        <f aca="false">IFERROR(IF([1]对账明细接口!$P375=0,"",[1]对账明细接口!$P375),"")</f>
        <v/>
      </c>
      <c r="V375" s="112" t="str">
        <f aca="false">IFERROR(IF([1]对账明细接口!$Q375=0,"",[1]对账明细接口!$Q375),"")</f>
        <v/>
      </c>
      <c r="W375" s="10" t="str">
        <f aca="false">IFERROR(IF([1]对账明细接口!$R375=0,"",[1]对账明细接口!$R375),"")</f>
        <v/>
      </c>
      <c r="X375" s="10" t="str">
        <f aca="false">IFERROR(IF([1]对账明细接口!$S375=0,"",[1]对账明细接口!$S375),"")</f>
        <v/>
      </c>
      <c r="Y375" s="10" t="str">
        <f aca="false">""</f>
        <v/>
      </c>
      <c r="Z375" s="10" t="str">
        <f aca="false">""</f>
        <v/>
      </c>
      <c r="AA375" s="10" t="str">
        <f aca="false">""</f>
        <v/>
      </c>
      <c r="AB375" s="10" t="str">
        <f aca="false">""</f>
        <v/>
      </c>
    </row>
    <row r="376" customFormat="false" ht="13.5" hidden="false" customHeight="false" outlineLevel="0" collapsed="false">
      <c r="A376" s="109" t="n">
        <v>376</v>
      </c>
      <c r="B376" s="110" t="str">
        <f aca="false">IFERROR(IF([1]对账明细接口!$B$376=0,"",[1]对账明细接口!$B$376),"")</f>
        <v/>
      </c>
      <c r="C376" s="59" t="str">
        <f aca="false">IFERROR(IF([1]对账明细接口!$C$376=0,"",[1]对账明细接口!$C$376),"")</f>
        <v/>
      </c>
      <c r="D376" s="59" t="str">
        <f aca="false">IFERROR(IF([1]对账明细接口!$D$376=0,"",[1]对账明细接口!$D$376),"")</f>
        <v/>
      </c>
      <c r="E376" s="59" t="str">
        <f aca="false">IFERROR(IF([1]对账明细接口!$E$376=0,"",[1]对账明细接口!$E$376),"")</f>
        <v/>
      </c>
      <c r="F376" s="59" t="str">
        <f aca="false">IFERROR(IF([1]对账明细接口!$F$376=0,"",[1]对账明细接口!$F$376),"")</f>
        <v/>
      </c>
      <c r="G376" s="59" t="str">
        <f aca="false">IFERROR(IF([1]对账明细接口!$G$376=0,"",[1]对账明细接口!$G$376),"")</f>
        <v/>
      </c>
      <c r="H376" s="60" t="str">
        <f aca="false">IFERROR(IF([1]对账明细接口!$H$376=0,"",[1]对账明细接口!$H$376),"")</f>
        <v/>
      </c>
      <c r="I376" s="59" t="str">
        <f aca="false">IFERROR(IF([1]对账明细接口!$I$376=0,"",[1]对账明细接口!$I$376),"")</f>
        <v/>
      </c>
      <c r="J376" s="61" t="str">
        <f aca="false">IFERROR(IF([1]对账明细接口!$J$376=0,"",[1]对账明细接口!$J$376),"")</f>
        <v/>
      </c>
      <c r="K376" s="61" t="str">
        <f aca="false">IFERROR(IF([1]对账明细接口!$K$376=0,"",[1]对账明细接口!$K$376),"")</f>
        <v/>
      </c>
      <c r="L376" s="59" t="str">
        <f aca="false">IFERROR(IF([1]对账明细接口!$L$376=0,"",[1]对账明细接口!$L$376),"")</f>
        <v/>
      </c>
      <c r="M376" s="59" t="str">
        <f aca="false">IFERROR(IF([1]对账明细接口!$M$376=0,"",[1]对账明细接口!$M$376),"")</f>
        <v/>
      </c>
      <c r="N376" s="111" t="n">
        <f aca="false">IF($C376="",0,1)</f>
        <v>0</v>
      </c>
      <c r="O376" s="111" t="n">
        <f aca="false">N(O375)+$N376</f>
        <v>110</v>
      </c>
      <c r="S376" s="10" t="str">
        <f aca="false">IFERROR(IF([1]对账明细接口!$N376=0,"",[1]对账明细接口!$N376),"")</f>
        <v/>
      </c>
      <c r="T376" s="112" t="str">
        <f aca="false">IFERROR(IF([1]对账明细接口!$O376=0,"",[1]对账明细接口!$O376),"")</f>
        <v/>
      </c>
      <c r="U376" s="112" t="str">
        <f aca="false">IFERROR(IF([1]对账明细接口!$P376=0,"",[1]对账明细接口!$P376),"")</f>
        <v/>
      </c>
      <c r="V376" s="112" t="str">
        <f aca="false">IFERROR(IF([1]对账明细接口!$Q376=0,"",[1]对账明细接口!$Q376),"")</f>
        <v/>
      </c>
      <c r="W376" s="10" t="str">
        <f aca="false">IFERROR(IF([1]对账明细接口!$R376=0,"",[1]对账明细接口!$R376),"")</f>
        <v/>
      </c>
      <c r="X376" s="10" t="str">
        <f aca="false">IFERROR(IF([1]对账明细接口!$S376=0,"",[1]对账明细接口!$S376),"")</f>
        <v/>
      </c>
      <c r="Y376" s="10" t="str">
        <f aca="false">""</f>
        <v/>
      </c>
      <c r="Z376" s="10" t="str">
        <f aca="false">""</f>
        <v/>
      </c>
      <c r="AA376" s="10" t="str">
        <f aca="false">""</f>
        <v/>
      </c>
      <c r="AB376" s="10" t="str">
        <f aca="false">""</f>
        <v/>
      </c>
    </row>
    <row r="377" customFormat="false" ht="13.5" hidden="false" customHeight="false" outlineLevel="0" collapsed="false">
      <c r="A377" s="109" t="n">
        <v>377</v>
      </c>
      <c r="B377" s="110" t="str">
        <f aca="false">IFERROR(IF([1]对账明细接口!$B$377=0,"",[1]对账明细接口!$B$377),"")</f>
        <v/>
      </c>
      <c r="C377" s="59" t="str">
        <f aca="false">IFERROR(IF([1]对账明细接口!$C$377=0,"",[1]对账明细接口!$C$377),"")</f>
        <v/>
      </c>
      <c r="D377" s="59" t="str">
        <f aca="false">IFERROR(IF([1]对账明细接口!$D$377=0,"",[1]对账明细接口!$D$377),"")</f>
        <v/>
      </c>
      <c r="E377" s="59" t="str">
        <f aca="false">IFERROR(IF([1]对账明细接口!$E$377=0,"",[1]对账明细接口!$E$377),"")</f>
        <v/>
      </c>
      <c r="F377" s="59" t="str">
        <f aca="false">IFERROR(IF([1]对账明细接口!$F$377=0,"",[1]对账明细接口!$F$377),"")</f>
        <v/>
      </c>
      <c r="G377" s="59" t="str">
        <f aca="false">IFERROR(IF([1]对账明细接口!$G$377=0,"",[1]对账明细接口!$G$377),"")</f>
        <v/>
      </c>
      <c r="H377" s="60" t="str">
        <f aca="false">IFERROR(IF([1]对账明细接口!$H$377=0,"",[1]对账明细接口!$H$377),"")</f>
        <v/>
      </c>
      <c r="I377" s="59" t="str">
        <f aca="false">IFERROR(IF([1]对账明细接口!$I$377=0,"",[1]对账明细接口!$I$377),"")</f>
        <v/>
      </c>
      <c r="J377" s="61" t="str">
        <f aca="false">IFERROR(IF([1]对账明细接口!$J$377=0,"",[1]对账明细接口!$J$377),"")</f>
        <v/>
      </c>
      <c r="K377" s="61" t="str">
        <f aca="false">IFERROR(IF([1]对账明细接口!$K$377=0,"",[1]对账明细接口!$K$377),"")</f>
        <v/>
      </c>
      <c r="L377" s="59" t="str">
        <f aca="false">IFERROR(IF([1]对账明细接口!$L$377=0,"",[1]对账明细接口!$L$377),"")</f>
        <v/>
      </c>
      <c r="M377" s="59" t="str">
        <f aca="false">IFERROR(IF([1]对账明细接口!$M$377=0,"",[1]对账明细接口!$M$377),"")</f>
        <v/>
      </c>
      <c r="N377" s="111" t="n">
        <f aca="false">IF($C377="",0,1)</f>
        <v>0</v>
      </c>
      <c r="O377" s="111" t="n">
        <f aca="false">N(O376)+$N377</f>
        <v>110</v>
      </c>
      <c r="S377" s="10" t="str">
        <f aca="false">IFERROR(IF([1]对账明细接口!$N377=0,"",[1]对账明细接口!$N377),"")</f>
        <v/>
      </c>
      <c r="T377" s="112" t="str">
        <f aca="false">IFERROR(IF([1]对账明细接口!$O377=0,"",[1]对账明细接口!$O377),"")</f>
        <v/>
      </c>
      <c r="U377" s="112" t="str">
        <f aca="false">IFERROR(IF([1]对账明细接口!$P377=0,"",[1]对账明细接口!$P377),"")</f>
        <v/>
      </c>
      <c r="V377" s="112" t="str">
        <f aca="false">IFERROR(IF([1]对账明细接口!$Q377=0,"",[1]对账明细接口!$Q377),"")</f>
        <v/>
      </c>
      <c r="W377" s="10" t="str">
        <f aca="false">IFERROR(IF([1]对账明细接口!$R377=0,"",[1]对账明细接口!$R377),"")</f>
        <v/>
      </c>
      <c r="X377" s="10" t="str">
        <f aca="false">IFERROR(IF([1]对账明细接口!$S377=0,"",[1]对账明细接口!$S377),"")</f>
        <v/>
      </c>
      <c r="Y377" s="10" t="str">
        <f aca="false">""</f>
        <v/>
      </c>
      <c r="Z377" s="10" t="str">
        <f aca="false">""</f>
        <v/>
      </c>
      <c r="AA377" s="10" t="str">
        <f aca="false">""</f>
        <v/>
      </c>
      <c r="AB377" s="10" t="str">
        <f aca="false">""</f>
        <v/>
      </c>
    </row>
    <row r="378" customFormat="false" ht="13.5" hidden="false" customHeight="false" outlineLevel="0" collapsed="false">
      <c r="A378" s="109" t="n">
        <v>378</v>
      </c>
      <c r="B378" s="110" t="str">
        <f aca="false">IFERROR(IF([1]对账明细接口!$B$378=0,"",[1]对账明细接口!$B$378),"")</f>
        <v/>
      </c>
      <c r="C378" s="59" t="str">
        <f aca="false">IFERROR(IF([1]对账明细接口!$C$378=0,"",[1]对账明细接口!$C$378),"")</f>
        <v/>
      </c>
      <c r="D378" s="59" t="str">
        <f aca="false">IFERROR(IF([1]对账明细接口!$D$378=0,"",[1]对账明细接口!$D$378),"")</f>
        <v/>
      </c>
      <c r="E378" s="59" t="str">
        <f aca="false">IFERROR(IF([1]对账明细接口!$E$378=0,"",[1]对账明细接口!$E$378),"")</f>
        <v/>
      </c>
      <c r="F378" s="59" t="str">
        <f aca="false">IFERROR(IF([1]对账明细接口!$F$378=0,"",[1]对账明细接口!$F$378),"")</f>
        <v/>
      </c>
      <c r="G378" s="59" t="str">
        <f aca="false">IFERROR(IF([1]对账明细接口!$G$378=0,"",[1]对账明细接口!$G$378),"")</f>
        <v/>
      </c>
      <c r="H378" s="60" t="str">
        <f aca="false">IFERROR(IF([1]对账明细接口!$H$378=0,"",[1]对账明细接口!$H$378),"")</f>
        <v/>
      </c>
      <c r="I378" s="59" t="str">
        <f aca="false">IFERROR(IF([1]对账明细接口!$I$378=0,"",[1]对账明细接口!$I$378),"")</f>
        <v/>
      </c>
      <c r="J378" s="61" t="str">
        <f aca="false">IFERROR(IF([1]对账明细接口!$J$378=0,"",[1]对账明细接口!$J$378),"")</f>
        <v/>
      </c>
      <c r="K378" s="61" t="str">
        <f aca="false">IFERROR(IF([1]对账明细接口!$K$378=0,"",[1]对账明细接口!$K$378),"")</f>
        <v/>
      </c>
      <c r="L378" s="59" t="str">
        <f aca="false">IFERROR(IF([1]对账明细接口!$L$378=0,"",[1]对账明细接口!$L$378),"")</f>
        <v/>
      </c>
      <c r="M378" s="59" t="str">
        <f aca="false">IFERROR(IF([1]对账明细接口!$M$378=0,"",[1]对账明细接口!$M$378),"")</f>
        <v/>
      </c>
      <c r="N378" s="111" t="n">
        <f aca="false">IF($C378="",0,1)</f>
        <v>0</v>
      </c>
      <c r="O378" s="111" t="n">
        <f aca="false">N(O377)+$N378</f>
        <v>110</v>
      </c>
      <c r="S378" s="10" t="str">
        <f aca="false">IFERROR(IF([1]对账明细接口!$N378=0,"",[1]对账明细接口!$N378),"")</f>
        <v/>
      </c>
      <c r="T378" s="112" t="str">
        <f aca="false">IFERROR(IF([1]对账明细接口!$O378=0,"",[1]对账明细接口!$O378),"")</f>
        <v/>
      </c>
      <c r="U378" s="112" t="str">
        <f aca="false">IFERROR(IF([1]对账明细接口!$P378=0,"",[1]对账明细接口!$P378),"")</f>
        <v/>
      </c>
      <c r="V378" s="112" t="str">
        <f aca="false">IFERROR(IF([1]对账明细接口!$Q378=0,"",[1]对账明细接口!$Q378),"")</f>
        <v/>
      </c>
      <c r="W378" s="10" t="str">
        <f aca="false">IFERROR(IF([1]对账明细接口!$R378=0,"",[1]对账明细接口!$R378),"")</f>
        <v/>
      </c>
      <c r="X378" s="10" t="str">
        <f aca="false">IFERROR(IF([1]对账明细接口!$S378=0,"",[1]对账明细接口!$S378),"")</f>
        <v/>
      </c>
      <c r="Y378" s="10" t="str">
        <f aca="false">""</f>
        <v/>
      </c>
      <c r="Z378" s="10" t="str">
        <f aca="false">""</f>
        <v/>
      </c>
      <c r="AA378" s="10" t="str">
        <f aca="false">""</f>
        <v/>
      </c>
      <c r="AB378" s="10" t="str">
        <f aca="false">""</f>
        <v/>
      </c>
    </row>
    <row r="379" customFormat="false" ht="13.5" hidden="false" customHeight="false" outlineLevel="0" collapsed="false">
      <c r="A379" s="109" t="n">
        <v>379</v>
      </c>
      <c r="B379" s="110" t="str">
        <f aca="false">IFERROR(IF([1]对账明细接口!$B$379=0,"",[1]对账明细接口!$B$379),"")</f>
        <v/>
      </c>
      <c r="C379" s="59" t="str">
        <f aca="false">IFERROR(IF([1]对账明细接口!$C$379=0,"",[1]对账明细接口!$C$379),"")</f>
        <v/>
      </c>
      <c r="D379" s="59" t="str">
        <f aca="false">IFERROR(IF([1]对账明细接口!$D$379=0,"",[1]对账明细接口!$D$379),"")</f>
        <v/>
      </c>
      <c r="E379" s="59" t="str">
        <f aca="false">IFERROR(IF([1]对账明细接口!$E$379=0,"",[1]对账明细接口!$E$379),"")</f>
        <v/>
      </c>
      <c r="F379" s="59" t="str">
        <f aca="false">IFERROR(IF([1]对账明细接口!$F$379=0,"",[1]对账明细接口!$F$379),"")</f>
        <v/>
      </c>
      <c r="G379" s="59" t="str">
        <f aca="false">IFERROR(IF([1]对账明细接口!$G$379=0,"",[1]对账明细接口!$G$379),"")</f>
        <v/>
      </c>
      <c r="H379" s="60" t="str">
        <f aca="false">IFERROR(IF([1]对账明细接口!$H$379=0,"",[1]对账明细接口!$H$379),"")</f>
        <v/>
      </c>
      <c r="I379" s="59" t="str">
        <f aca="false">IFERROR(IF([1]对账明细接口!$I$379=0,"",[1]对账明细接口!$I$379),"")</f>
        <v/>
      </c>
      <c r="J379" s="61" t="str">
        <f aca="false">IFERROR(IF([1]对账明细接口!$J$379=0,"",[1]对账明细接口!$J$379),"")</f>
        <v/>
      </c>
      <c r="K379" s="61" t="str">
        <f aca="false">IFERROR(IF([1]对账明细接口!$K$379=0,"",[1]对账明细接口!$K$379),"")</f>
        <v/>
      </c>
      <c r="L379" s="59" t="str">
        <f aca="false">IFERROR(IF([1]对账明细接口!$L$379=0,"",[1]对账明细接口!$L$379),"")</f>
        <v/>
      </c>
      <c r="M379" s="59" t="str">
        <f aca="false">IFERROR(IF([1]对账明细接口!$M$379=0,"",[1]对账明细接口!$M$379),"")</f>
        <v/>
      </c>
      <c r="N379" s="111" t="n">
        <f aca="false">IF($C379="",0,1)</f>
        <v>0</v>
      </c>
      <c r="O379" s="111" t="n">
        <f aca="false">N(O378)+$N379</f>
        <v>110</v>
      </c>
      <c r="S379" s="10" t="str">
        <f aca="false">IFERROR(IF([1]对账明细接口!$N379=0,"",[1]对账明细接口!$N379),"")</f>
        <v/>
      </c>
      <c r="T379" s="112" t="str">
        <f aca="false">IFERROR(IF([1]对账明细接口!$O379=0,"",[1]对账明细接口!$O379),"")</f>
        <v/>
      </c>
      <c r="U379" s="112" t="str">
        <f aca="false">IFERROR(IF([1]对账明细接口!$P379=0,"",[1]对账明细接口!$P379),"")</f>
        <v/>
      </c>
      <c r="V379" s="112" t="str">
        <f aca="false">IFERROR(IF([1]对账明细接口!$Q379=0,"",[1]对账明细接口!$Q379),"")</f>
        <v/>
      </c>
      <c r="W379" s="10" t="str">
        <f aca="false">IFERROR(IF([1]对账明细接口!$R379=0,"",[1]对账明细接口!$R379),"")</f>
        <v/>
      </c>
      <c r="X379" s="10" t="str">
        <f aca="false">IFERROR(IF([1]对账明细接口!$S379=0,"",[1]对账明细接口!$S379),"")</f>
        <v/>
      </c>
      <c r="Y379" s="10" t="str">
        <f aca="false">""</f>
        <v/>
      </c>
      <c r="Z379" s="10" t="str">
        <f aca="false">""</f>
        <v/>
      </c>
      <c r="AA379" s="10" t="str">
        <f aca="false">""</f>
        <v/>
      </c>
      <c r="AB379" s="10" t="str">
        <f aca="false">""</f>
        <v/>
      </c>
    </row>
    <row r="380" customFormat="false" ht="13.5" hidden="false" customHeight="false" outlineLevel="0" collapsed="false">
      <c r="A380" s="109" t="n">
        <v>380</v>
      </c>
      <c r="B380" s="110" t="str">
        <f aca="false">IFERROR(IF([1]对账明细接口!$B$380=0,"",[1]对账明细接口!$B$380),"")</f>
        <v/>
      </c>
      <c r="C380" s="59" t="str">
        <f aca="false">IFERROR(IF([1]对账明细接口!$C$380=0,"",[1]对账明细接口!$C$380),"")</f>
        <v/>
      </c>
      <c r="D380" s="59" t="str">
        <f aca="false">IFERROR(IF([1]对账明细接口!$D$380=0,"",[1]对账明细接口!$D$380),"")</f>
        <v/>
      </c>
      <c r="E380" s="59" t="str">
        <f aca="false">IFERROR(IF([1]对账明细接口!$E$380=0,"",[1]对账明细接口!$E$380),"")</f>
        <v/>
      </c>
      <c r="F380" s="59" t="str">
        <f aca="false">IFERROR(IF([1]对账明细接口!$F$380=0,"",[1]对账明细接口!$F$380),"")</f>
        <v/>
      </c>
      <c r="G380" s="59" t="str">
        <f aca="false">IFERROR(IF([1]对账明细接口!$G$380=0,"",[1]对账明细接口!$G$380),"")</f>
        <v/>
      </c>
      <c r="H380" s="60" t="str">
        <f aca="false">IFERROR(IF([1]对账明细接口!$H$380=0,"",[1]对账明细接口!$H$380),"")</f>
        <v/>
      </c>
      <c r="I380" s="59" t="str">
        <f aca="false">IFERROR(IF([1]对账明细接口!$I$380=0,"",[1]对账明细接口!$I$380),"")</f>
        <v/>
      </c>
      <c r="J380" s="61" t="str">
        <f aca="false">IFERROR(IF([1]对账明细接口!$J$380=0,"",[1]对账明细接口!$J$380),"")</f>
        <v/>
      </c>
      <c r="K380" s="61" t="str">
        <f aca="false">IFERROR(IF([1]对账明细接口!$K$380=0,"",[1]对账明细接口!$K$380),"")</f>
        <v/>
      </c>
      <c r="L380" s="59" t="str">
        <f aca="false">IFERROR(IF([1]对账明细接口!$L$380=0,"",[1]对账明细接口!$L$380),"")</f>
        <v/>
      </c>
      <c r="M380" s="59" t="str">
        <f aca="false">IFERROR(IF([1]对账明细接口!$M$380=0,"",[1]对账明细接口!$M$380),"")</f>
        <v/>
      </c>
      <c r="N380" s="111" t="n">
        <f aca="false">IF($C380="",0,1)</f>
        <v>0</v>
      </c>
      <c r="O380" s="111" t="n">
        <f aca="false">N(O379)+$N380</f>
        <v>110</v>
      </c>
      <c r="S380" s="10" t="str">
        <f aca="false">IFERROR(IF([1]对账明细接口!$N380=0,"",[1]对账明细接口!$N380),"")</f>
        <v/>
      </c>
      <c r="T380" s="112" t="str">
        <f aca="false">IFERROR(IF([1]对账明细接口!$O380=0,"",[1]对账明细接口!$O380),"")</f>
        <v/>
      </c>
      <c r="U380" s="112" t="str">
        <f aca="false">IFERROR(IF([1]对账明细接口!$P380=0,"",[1]对账明细接口!$P380),"")</f>
        <v/>
      </c>
      <c r="V380" s="112" t="str">
        <f aca="false">IFERROR(IF([1]对账明细接口!$Q380=0,"",[1]对账明细接口!$Q380),"")</f>
        <v/>
      </c>
      <c r="W380" s="10" t="str">
        <f aca="false">IFERROR(IF([1]对账明细接口!$R380=0,"",[1]对账明细接口!$R380),"")</f>
        <v/>
      </c>
      <c r="X380" s="10" t="str">
        <f aca="false">IFERROR(IF([1]对账明细接口!$S380=0,"",[1]对账明细接口!$S380),"")</f>
        <v/>
      </c>
      <c r="Y380" s="10" t="str">
        <f aca="false">""</f>
        <v/>
      </c>
      <c r="Z380" s="10" t="str">
        <f aca="false">""</f>
        <v/>
      </c>
      <c r="AA380" s="10" t="str">
        <f aca="false">""</f>
        <v/>
      </c>
      <c r="AB380" s="10" t="str">
        <f aca="false">""</f>
        <v/>
      </c>
    </row>
    <row r="381" customFormat="false" ht="13.5" hidden="false" customHeight="false" outlineLevel="0" collapsed="false">
      <c r="A381" s="109" t="n">
        <v>381</v>
      </c>
      <c r="B381" s="110" t="str">
        <f aca="false">IFERROR(IF([1]对账明细接口!$B$381=0,"",[1]对账明细接口!$B$381),"")</f>
        <v/>
      </c>
      <c r="C381" s="59" t="str">
        <f aca="false">IFERROR(IF([1]对账明细接口!$C$381=0,"",[1]对账明细接口!$C$381),"")</f>
        <v/>
      </c>
      <c r="D381" s="59" t="str">
        <f aca="false">IFERROR(IF([1]对账明细接口!$D$381=0,"",[1]对账明细接口!$D$381),"")</f>
        <v/>
      </c>
      <c r="E381" s="59" t="str">
        <f aca="false">IFERROR(IF([1]对账明细接口!$E$381=0,"",[1]对账明细接口!$E$381),"")</f>
        <v/>
      </c>
      <c r="F381" s="59" t="str">
        <f aca="false">IFERROR(IF([1]对账明细接口!$F$381=0,"",[1]对账明细接口!$F$381),"")</f>
        <v/>
      </c>
      <c r="G381" s="59" t="str">
        <f aca="false">IFERROR(IF([1]对账明细接口!$G$381=0,"",[1]对账明细接口!$G$381),"")</f>
        <v/>
      </c>
      <c r="H381" s="60" t="str">
        <f aca="false">IFERROR(IF([1]对账明细接口!$H$381=0,"",[1]对账明细接口!$H$381),"")</f>
        <v/>
      </c>
      <c r="I381" s="59" t="str">
        <f aca="false">IFERROR(IF([1]对账明细接口!$I$381=0,"",[1]对账明细接口!$I$381),"")</f>
        <v/>
      </c>
      <c r="J381" s="61" t="str">
        <f aca="false">IFERROR(IF([1]对账明细接口!$J$381=0,"",[1]对账明细接口!$J$381),"")</f>
        <v/>
      </c>
      <c r="K381" s="61" t="str">
        <f aca="false">IFERROR(IF([1]对账明细接口!$K$381=0,"",[1]对账明细接口!$K$381),"")</f>
        <v/>
      </c>
      <c r="L381" s="59" t="str">
        <f aca="false">IFERROR(IF([1]对账明细接口!$L$381=0,"",[1]对账明细接口!$L$381),"")</f>
        <v/>
      </c>
      <c r="M381" s="59" t="str">
        <f aca="false">IFERROR(IF([1]对账明细接口!$M$381=0,"",[1]对账明细接口!$M$381),"")</f>
        <v/>
      </c>
      <c r="N381" s="111" t="n">
        <f aca="false">IF($C381="",0,1)</f>
        <v>0</v>
      </c>
      <c r="O381" s="111" t="n">
        <f aca="false">N(O380)+$N381</f>
        <v>110</v>
      </c>
      <c r="S381" s="10" t="str">
        <f aca="false">IFERROR(IF([1]对账明细接口!$N381=0,"",[1]对账明细接口!$N381),"")</f>
        <v/>
      </c>
      <c r="T381" s="112" t="str">
        <f aca="false">IFERROR(IF([1]对账明细接口!$O381=0,"",[1]对账明细接口!$O381),"")</f>
        <v/>
      </c>
      <c r="U381" s="112" t="str">
        <f aca="false">IFERROR(IF([1]对账明细接口!$P381=0,"",[1]对账明细接口!$P381),"")</f>
        <v/>
      </c>
      <c r="V381" s="112" t="str">
        <f aca="false">IFERROR(IF([1]对账明细接口!$Q381=0,"",[1]对账明细接口!$Q381),"")</f>
        <v/>
      </c>
      <c r="W381" s="10" t="str">
        <f aca="false">IFERROR(IF([1]对账明细接口!$R381=0,"",[1]对账明细接口!$R381),"")</f>
        <v/>
      </c>
      <c r="X381" s="10" t="str">
        <f aca="false">IFERROR(IF([1]对账明细接口!$S381=0,"",[1]对账明细接口!$S381),"")</f>
        <v/>
      </c>
      <c r="Y381" s="10" t="str">
        <f aca="false">""</f>
        <v/>
      </c>
      <c r="Z381" s="10" t="str">
        <f aca="false">""</f>
        <v/>
      </c>
      <c r="AA381" s="10" t="str">
        <f aca="false">""</f>
        <v/>
      </c>
      <c r="AB381" s="10" t="str">
        <f aca="false">""</f>
        <v/>
      </c>
    </row>
    <row r="382" customFormat="false" ht="13.5" hidden="false" customHeight="false" outlineLevel="0" collapsed="false">
      <c r="A382" s="109" t="n">
        <v>382</v>
      </c>
      <c r="B382" s="110" t="str">
        <f aca="false">IFERROR(IF([1]对账明细接口!$B$382=0,"",[1]对账明细接口!$B$382),"")</f>
        <v/>
      </c>
      <c r="C382" s="59" t="str">
        <f aca="false">IFERROR(IF([1]对账明细接口!$C$382=0,"",[1]对账明细接口!$C$382),"")</f>
        <v/>
      </c>
      <c r="D382" s="59" t="str">
        <f aca="false">IFERROR(IF([1]对账明细接口!$D$382=0,"",[1]对账明细接口!$D$382),"")</f>
        <v/>
      </c>
      <c r="E382" s="59" t="str">
        <f aca="false">IFERROR(IF([1]对账明细接口!$E$382=0,"",[1]对账明细接口!$E$382),"")</f>
        <v/>
      </c>
      <c r="F382" s="59" t="str">
        <f aca="false">IFERROR(IF([1]对账明细接口!$F$382=0,"",[1]对账明细接口!$F$382),"")</f>
        <v/>
      </c>
      <c r="G382" s="59" t="str">
        <f aca="false">IFERROR(IF([1]对账明细接口!$G$382=0,"",[1]对账明细接口!$G$382),"")</f>
        <v/>
      </c>
      <c r="H382" s="60" t="str">
        <f aca="false">IFERROR(IF([1]对账明细接口!$H$382=0,"",[1]对账明细接口!$H$382),"")</f>
        <v/>
      </c>
      <c r="I382" s="59" t="str">
        <f aca="false">IFERROR(IF([1]对账明细接口!$I$382=0,"",[1]对账明细接口!$I$382),"")</f>
        <v/>
      </c>
      <c r="J382" s="61" t="str">
        <f aca="false">IFERROR(IF([1]对账明细接口!$J$382=0,"",[1]对账明细接口!$J$382),"")</f>
        <v/>
      </c>
      <c r="K382" s="61" t="str">
        <f aca="false">IFERROR(IF([1]对账明细接口!$K$382=0,"",[1]对账明细接口!$K$382),"")</f>
        <v/>
      </c>
      <c r="L382" s="59" t="str">
        <f aca="false">IFERROR(IF([1]对账明细接口!$L$382=0,"",[1]对账明细接口!$L$382),"")</f>
        <v/>
      </c>
      <c r="M382" s="59" t="str">
        <f aca="false">IFERROR(IF([1]对账明细接口!$M$382=0,"",[1]对账明细接口!$M$382),"")</f>
        <v/>
      </c>
      <c r="N382" s="111" t="n">
        <f aca="false">IF($C382="",0,1)</f>
        <v>0</v>
      </c>
      <c r="O382" s="111" t="n">
        <f aca="false">N(O381)+$N382</f>
        <v>110</v>
      </c>
      <c r="S382" s="10" t="str">
        <f aca="false">IFERROR(IF([1]对账明细接口!$N382=0,"",[1]对账明细接口!$N382),"")</f>
        <v/>
      </c>
      <c r="T382" s="112" t="str">
        <f aca="false">IFERROR(IF([1]对账明细接口!$O382=0,"",[1]对账明细接口!$O382),"")</f>
        <v/>
      </c>
      <c r="U382" s="112" t="str">
        <f aca="false">IFERROR(IF([1]对账明细接口!$P382=0,"",[1]对账明细接口!$P382),"")</f>
        <v/>
      </c>
      <c r="V382" s="112" t="str">
        <f aca="false">IFERROR(IF([1]对账明细接口!$Q382=0,"",[1]对账明细接口!$Q382),"")</f>
        <v/>
      </c>
      <c r="W382" s="10" t="str">
        <f aca="false">IFERROR(IF([1]对账明细接口!$R382=0,"",[1]对账明细接口!$R382),"")</f>
        <v/>
      </c>
      <c r="X382" s="10" t="str">
        <f aca="false">IFERROR(IF([1]对账明细接口!$S382=0,"",[1]对账明细接口!$S382),"")</f>
        <v/>
      </c>
      <c r="Y382" s="10" t="str">
        <f aca="false">""</f>
        <v/>
      </c>
      <c r="Z382" s="10" t="str">
        <f aca="false">""</f>
        <v/>
      </c>
      <c r="AA382" s="10" t="str">
        <f aca="false">""</f>
        <v/>
      </c>
      <c r="AB382" s="10" t="str">
        <f aca="false">""</f>
        <v/>
      </c>
    </row>
    <row r="383" customFormat="false" ht="13.5" hidden="false" customHeight="false" outlineLevel="0" collapsed="false">
      <c r="A383" s="109" t="n">
        <v>383</v>
      </c>
      <c r="B383" s="110" t="str">
        <f aca="false">IFERROR(IF([1]对账明细接口!$B$383=0,"",[1]对账明细接口!$B$383),"")</f>
        <v/>
      </c>
      <c r="C383" s="59" t="str">
        <f aca="false">IFERROR(IF([1]对账明细接口!$C$383=0,"",[1]对账明细接口!$C$383),"")</f>
        <v/>
      </c>
      <c r="D383" s="59" t="str">
        <f aca="false">IFERROR(IF([1]对账明细接口!$D$383=0,"",[1]对账明细接口!$D$383),"")</f>
        <v/>
      </c>
      <c r="E383" s="59" t="str">
        <f aca="false">IFERROR(IF([1]对账明细接口!$E$383=0,"",[1]对账明细接口!$E$383),"")</f>
        <v/>
      </c>
      <c r="F383" s="59" t="str">
        <f aca="false">IFERROR(IF([1]对账明细接口!$F$383=0,"",[1]对账明细接口!$F$383),"")</f>
        <v/>
      </c>
      <c r="G383" s="59" t="str">
        <f aca="false">IFERROR(IF([1]对账明细接口!$G$383=0,"",[1]对账明细接口!$G$383),"")</f>
        <v/>
      </c>
      <c r="H383" s="60" t="str">
        <f aca="false">IFERROR(IF([1]对账明细接口!$H$383=0,"",[1]对账明细接口!$H$383),"")</f>
        <v/>
      </c>
      <c r="I383" s="59" t="str">
        <f aca="false">IFERROR(IF([1]对账明细接口!$I$383=0,"",[1]对账明细接口!$I$383),"")</f>
        <v/>
      </c>
      <c r="J383" s="61" t="str">
        <f aca="false">IFERROR(IF([1]对账明细接口!$J$383=0,"",[1]对账明细接口!$J$383),"")</f>
        <v/>
      </c>
      <c r="K383" s="61" t="str">
        <f aca="false">IFERROR(IF([1]对账明细接口!$K$383=0,"",[1]对账明细接口!$K$383),"")</f>
        <v/>
      </c>
      <c r="L383" s="59" t="str">
        <f aca="false">IFERROR(IF([1]对账明细接口!$L$383=0,"",[1]对账明细接口!$L$383),"")</f>
        <v/>
      </c>
      <c r="M383" s="59" t="str">
        <f aca="false">IFERROR(IF([1]对账明细接口!$M$383=0,"",[1]对账明细接口!$M$383),"")</f>
        <v/>
      </c>
      <c r="N383" s="111" t="n">
        <f aca="false">IF($C383="",0,1)</f>
        <v>0</v>
      </c>
      <c r="O383" s="111" t="n">
        <f aca="false">N(O382)+$N383</f>
        <v>110</v>
      </c>
      <c r="S383" s="10" t="str">
        <f aca="false">IFERROR(IF([1]对账明细接口!$N383=0,"",[1]对账明细接口!$N383),"")</f>
        <v/>
      </c>
      <c r="T383" s="112" t="str">
        <f aca="false">IFERROR(IF([1]对账明细接口!$O383=0,"",[1]对账明细接口!$O383),"")</f>
        <v/>
      </c>
      <c r="U383" s="112" t="str">
        <f aca="false">IFERROR(IF([1]对账明细接口!$P383=0,"",[1]对账明细接口!$P383),"")</f>
        <v/>
      </c>
      <c r="V383" s="112" t="str">
        <f aca="false">IFERROR(IF([1]对账明细接口!$Q383=0,"",[1]对账明细接口!$Q383),"")</f>
        <v/>
      </c>
      <c r="W383" s="10" t="str">
        <f aca="false">IFERROR(IF([1]对账明细接口!$R383=0,"",[1]对账明细接口!$R383),"")</f>
        <v/>
      </c>
      <c r="X383" s="10" t="str">
        <f aca="false">IFERROR(IF([1]对账明细接口!$S383=0,"",[1]对账明细接口!$S383),"")</f>
        <v/>
      </c>
      <c r="Y383" s="10" t="str">
        <f aca="false">""</f>
        <v/>
      </c>
      <c r="Z383" s="10" t="str">
        <f aca="false">""</f>
        <v/>
      </c>
      <c r="AA383" s="10" t="str">
        <f aca="false">""</f>
        <v/>
      </c>
      <c r="AB383" s="10" t="str">
        <f aca="false">""</f>
        <v/>
      </c>
    </row>
    <row r="384" customFormat="false" ht="13.5" hidden="false" customHeight="false" outlineLevel="0" collapsed="false">
      <c r="A384" s="109" t="n">
        <v>384</v>
      </c>
      <c r="B384" s="110" t="str">
        <f aca="false">IFERROR(IF([1]对账明细接口!$B$384=0,"",[1]对账明细接口!$B$384),"")</f>
        <v/>
      </c>
      <c r="C384" s="59" t="str">
        <f aca="false">IFERROR(IF([1]对账明细接口!$C$384=0,"",[1]对账明细接口!$C$384),"")</f>
        <v/>
      </c>
      <c r="D384" s="59" t="str">
        <f aca="false">IFERROR(IF([1]对账明细接口!$D$384=0,"",[1]对账明细接口!$D$384),"")</f>
        <v/>
      </c>
      <c r="E384" s="59" t="str">
        <f aca="false">IFERROR(IF([1]对账明细接口!$E$384=0,"",[1]对账明细接口!$E$384),"")</f>
        <v/>
      </c>
      <c r="F384" s="59" t="str">
        <f aca="false">IFERROR(IF([1]对账明细接口!$F$384=0,"",[1]对账明细接口!$F$384),"")</f>
        <v/>
      </c>
      <c r="G384" s="59" t="str">
        <f aca="false">IFERROR(IF([1]对账明细接口!$G$384=0,"",[1]对账明细接口!$G$384),"")</f>
        <v/>
      </c>
      <c r="H384" s="60" t="str">
        <f aca="false">IFERROR(IF([1]对账明细接口!$H$384=0,"",[1]对账明细接口!$H$384),"")</f>
        <v/>
      </c>
      <c r="I384" s="59" t="str">
        <f aca="false">IFERROR(IF([1]对账明细接口!$I$384=0,"",[1]对账明细接口!$I$384),"")</f>
        <v/>
      </c>
      <c r="J384" s="61" t="str">
        <f aca="false">IFERROR(IF([1]对账明细接口!$J$384=0,"",[1]对账明细接口!$J$384),"")</f>
        <v/>
      </c>
      <c r="K384" s="61" t="str">
        <f aca="false">IFERROR(IF([1]对账明细接口!$K$384=0,"",[1]对账明细接口!$K$384),"")</f>
        <v/>
      </c>
      <c r="L384" s="59" t="str">
        <f aca="false">IFERROR(IF([1]对账明细接口!$L$384=0,"",[1]对账明细接口!$L$384),"")</f>
        <v/>
      </c>
      <c r="M384" s="59" t="str">
        <f aca="false">IFERROR(IF([1]对账明细接口!$M$384=0,"",[1]对账明细接口!$M$384),"")</f>
        <v/>
      </c>
      <c r="N384" s="111" t="n">
        <f aca="false">IF($C384="",0,1)</f>
        <v>0</v>
      </c>
      <c r="O384" s="111" t="n">
        <f aca="false">N(O383)+$N384</f>
        <v>110</v>
      </c>
      <c r="S384" s="10" t="str">
        <f aca="false">IFERROR(IF([1]对账明细接口!$N384=0,"",[1]对账明细接口!$N384),"")</f>
        <v/>
      </c>
      <c r="T384" s="112" t="str">
        <f aca="false">IFERROR(IF([1]对账明细接口!$O384=0,"",[1]对账明细接口!$O384),"")</f>
        <v/>
      </c>
      <c r="U384" s="112" t="str">
        <f aca="false">IFERROR(IF([1]对账明细接口!$P384=0,"",[1]对账明细接口!$P384),"")</f>
        <v/>
      </c>
      <c r="V384" s="112" t="str">
        <f aca="false">IFERROR(IF([1]对账明细接口!$Q384=0,"",[1]对账明细接口!$Q384),"")</f>
        <v/>
      </c>
      <c r="W384" s="10" t="str">
        <f aca="false">IFERROR(IF([1]对账明细接口!$R384=0,"",[1]对账明细接口!$R384),"")</f>
        <v/>
      </c>
      <c r="X384" s="10" t="str">
        <f aca="false">IFERROR(IF([1]对账明细接口!$S384=0,"",[1]对账明细接口!$S384),"")</f>
        <v/>
      </c>
      <c r="Y384" s="10" t="str">
        <f aca="false">""</f>
        <v/>
      </c>
      <c r="Z384" s="10" t="str">
        <f aca="false">""</f>
        <v/>
      </c>
      <c r="AA384" s="10" t="str">
        <f aca="false">""</f>
        <v/>
      </c>
      <c r="AB384" s="10" t="str">
        <f aca="false">""</f>
        <v/>
      </c>
    </row>
    <row r="385" customFormat="false" ht="13.5" hidden="false" customHeight="false" outlineLevel="0" collapsed="false">
      <c r="A385" s="109" t="n">
        <v>385</v>
      </c>
      <c r="B385" s="110" t="str">
        <f aca="false">IFERROR(IF([1]对账明细接口!$B$385=0,"",[1]对账明细接口!$B$385),"")</f>
        <v/>
      </c>
      <c r="C385" s="59" t="str">
        <f aca="false">IFERROR(IF([1]对账明细接口!$C$385=0,"",[1]对账明细接口!$C$385),"")</f>
        <v/>
      </c>
      <c r="D385" s="59" t="str">
        <f aca="false">IFERROR(IF([1]对账明细接口!$D$385=0,"",[1]对账明细接口!$D$385),"")</f>
        <v/>
      </c>
      <c r="E385" s="59" t="str">
        <f aca="false">IFERROR(IF([1]对账明细接口!$E$385=0,"",[1]对账明细接口!$E$385),"")</f>
        <v/>
      </c>
      <c r="F385" s="59" t="str">
        <f aca="false">IFERROR(IF([1]对账明细接口!$F$385=0,"",[1]对账明细接口!$F$385),"")</f>
        <v/>
      </c>
      <c r="G385" s="59" t="str">
        <f aca="false">IFERROR(IF([1]对账明细接口!$G$385=0,"",[1]对账明细接口!$G$385),"")</f>
        <v/>
      </c>
      <c r="H385" s="60" t="str">
        <f aca="false">IFERROR(IF([1]对账明细接口!$H$385=0,"",[1]对账明细接口!$H$385),"")</f>
        <v/>
      </c>
      <c r="I385" s="59" t="str">
        <f aca="false">IFERROR(IF([1]对账明细接口!$I$385=0,"",[1]对账明细接口!$I$385),"")</f>
        <v/>
      </c>
      <c r="J385" s="61" t="str">
        <f aca="false">IFERROR(IF([1]对账明细接口!$J$385=0,"",[1]对账明细接口!$J$385),"")</f>
        <v/>
      </c>
      <c r="K385" s="61" t="str">
        <f aca="false">IFERROR(IF([1]对账明细接口!$K$385=0,"",[1]对账明细接口!$K$385),"")</f>
        <v/>
      </c>
      <c r="L385" s="59" t="str">
        <f aca="false">IFERROR(IF([1]对账明细接口!$L$385=0,"",[1]对账明细接口!$L$385),"")</f>
        <v/>
      </c>
      <c r="M385" s="59" t="str">
        <f aca="false">IFERROR(IF([1]对账明细接口!$M$385=0,"",[1]对账明细接口!$M$385),"")</f>
        <v/>
      </c>
      <c r="N385" s="111" t="n">
        <f aca="false">IF($C385="",0,1)</f>
        <v>0</v>
      </c>
      <c r="O385" s="111" t="n">
        <f aca="false">N(O384)+$N385</f>
        <v>110</v>
      </c>
      <c r="S385" s="10" t="str">
        <f aca="false">IFERROR(IF([1]对账明细接口!$N385=0,"",[1]对账明细接口!$N385),"")</f>
        <v/>
      </c>
      <c r="T385" s="112" t="str">
        <f aca="false">IFERROR(IF([1]对账明细接口!$O385=0,"",[1]对账明细接口!$O385),"")</f>
        <v/>
      </c>
      <c r="U385" s="112" t="str">
        <f aca="false">IFERROR(IF([1]对账明细接口!$P385=0,"",[1]对账明细接口!$P385),"")</f>
        <v/>
      </c>
      <c r="V385" s="112" t="str">
        <f aca="false">IFERROR(IF([1]对账明细接口!$Q385=0,"",[1]对账明细接口!$Q385),"")</f>
        <v/>
      </c>
      <c r="W385" s="10" t="str">
        <f aca="false">IFERROR(IF([1]对账明细接口!$R385=0,"",[1]对账明细接口!$R385),"")</f>
        <v/>
      </c>
      <c r="X385" s="10" t="str">
        <f aca="false">IFERROR(IF([1]对账明细接口!$S385=0,"",[1]对账明细接口!$S385),"")</f>
        <v/>
      </c>
      <c r="Y385" s="10" t="str">
        <f aca="false">""</f>
        <v/>
      </c>
      <c r="Z385" s="10" t="str">
        <f aca="false">""</f>
        <v/>
      </c>
      <c r="AA385" s="10" t="str">
        <f aca="false">""</f>
        <v/>
      </c>
      <c r="AB385" s="10" t="str">
        <f aca="false">""</f>
        <v/>
      </c>
    </row>
    <row r="386" customFormat="false" ht="13.5" hidden="false" customHeight="false" outlineLevel="0" collapsed="false">
      <c r="A386" s="109" t="n">
        <v>386</v>
      </c>
      <c r="B386" s="110" t="str">
        <f aca="false">IFERROR(IF([1]对账明细接口!$B$386=0,"",[1]对账明细接口!$B$386),"")</f>
        <v/>
      </c>
      <c r="C386" s="59" t="str">
        <f aca="false">IFERROR(IF([1]对账明细接口!$C$386=0,"",[1]对账明细接口!$C$386),"")</f>
        <v/>
      </c>
      <c r="D386" s="59" t="str">
        <f aca="false">IFERROR(IF([1]对账明细接口!$D$386=0,"",[1]对账明细接口!$D$386),"")</f>
        <v/>
      </c>
      <c r="E386" s="59" t="str">
        <f aca="false">IFERROR(IF([1]对账明细接口!$E$386=0,"",[1]对账明细接口!$E$386),"")</f>
        <v/>
      </c>
      <c r="F386" s="59" t="str">
        <f aca="false">IFERROR(IF([1]对账明细接口!$F$386=0,"",[1]对账明细接口!$F$386),"")</f>
        <v/>
      </c>
      <c r="G386" s="59" t="str">
        <f aca="false">IFERROR(IF([1]对账明细接口!$G$386=0,"",[1]对账明细接口!$G$386),"")</f>
        <v/>
      </c>
      <c r="H386" s="60" t="str">
        <f aca="false">IFERROR(IF([1]对账明细接口!$H$386=0,"",[1]对账明细接口!$H$386),"")</f>
        <v/>
      </c>
      <c r="I386" s="59" t="str">
        <f aca="false">IFERROR(IF([1]对账明细接口!$I$386=0,"",[1]对账明细接口!$I$386),"")</f>
        <v/>
      </c>
      <c r="J386" s="61" t="str">
        <f aca="false">IFERROR(IF([1]对账明细接口!$J$386=0,"",[1]对账明细接口!$J$386),"")</f>
        <v/>
      </c>
      <c r="K386" s="61" t="str">
        <f aca="false">IFERROR(IF([1]对账明细接口!$K$386=0,"",[1]对账明细接口!$K$386),"")</f>
        <v/>
      </c>
      <c r="L386" s="59" t="str">
        <f aca="false">IFERROR(IF([1]对账明细接口!$L$386=0,"",[1]对账明细接口!$L$386),"")</f>
        <v/>
      </c>
      <c r="M386" s="59" t="str">
        <f aca="false">IFERROR(IF([1]对账明细接口!$M$386=0,"",[1]对账明细接口!$M$386),"")</f>
        <v/>
      </c>
      <c r="N386" s="111" t="n">
        <f aca="false">IF($C386="",0,1)</f>
        <v>0</v>
      </c>
      <c r="O386" s="111" t="n">
        <f aca="false">N(O385)+$N386</f>
        <v>110</v>
      </c>
      <c r="S386" s="10" t="str">
        <f aca="false">IFERROR(IF([1]对账明细接口!$N386=0,"",[1]对账明细接口!$N386),"")</f>
        <v/>
      </c>
      <c r="T386" s="112" t="str">
        <f aca="false">IFERROR(IF([1]对账明细接口!$O386=0,"",[1]对账明细接口!$O386),"")</f>
        <v/>
      </c>
      <c r="U386" s="112" t="str">
        <f aca="false">IFERROR(IF([1]对账明细接口!$P386=0,"",[1]对账明细接口!$P386),"")</f>
        <v/>
      </c>
      <c r="V386" s="112" t="str">
        <f aca="false">IFERROR(IF([1]对账明细接口!$Q386=0,"",[1]对账明细接口!$Q386),"")</f>
        <v/>
      </c>
      <c r="W386" s="10" t="str">
        <f aca="false">IFERROR(IF([1]对账明细接口!$R386=0,"",[1]对账明细接口!$R386),"")</f>
        <v/>
      </c>
      <c r="X386" s="10" t="str">
        <f aca="false">IFERROR(IF([1]对账明细接口!$S386=0,"",[1]对账明细接口!$S386),"")</f>
        <v/>
      </c>
      <c r="Y386" s="10" t="str">
        <f aca="false">""</f>
        <v/>
      </c>
      <c r="Z386" s="10" t="str">
        <f aca="false">""</f>
        <v/>
      </c>
      <c r="AA386" s="10" t="str">
        <f aca="false">""</f>
        <v/>
      </c>
      <c r="AB386" s="10" t="str">
        <f aca="false">""</f>
        <v/>
      </c>
    </row>
    <row r="387" customFormat="false" ht="13.5" hidden="false" customHeight="false" outlineLevel="0" collapsed="false">
      <c r="A387" s="109" t="n">
        <v>387</v>
      </c>
      <c r="B387" s="110" t="str">
        <f aca="false">IFERROR(IF([1]对账明细接口!$B$387=0,"",[1]对账明细接口!$B$387),"")</f>
        <v/>
      </c>
      <c r="C387" s="59" t="str">
        <f aca="false">IFERROR(IF([1]对账明细接口!$C$387=0,"",[1]对账明细接口!$C$387),"")</f>
        <v/>
      </c>
      <c r="D387" s="59" t="str">
        <f aca="false">IFERROR(IF([1]对账明细接口!$D$387=0,"",[1]对账明细接口!$D$387),"")</f>
        <v/>
      </c>
      <c r="E387" s="59" t="str">
        <f aca="false">IFERROR(IF([1]对账明细接口!$E$387=0,"",[1]对账明细接口!$E$387),"")</f>
        <v/>
      </c>
      <c r="F387" s="59" t="str">
        <f aca="false">IFERROR(IF([1]对账明细接口!$F$387=0,"",[1]对账明细接口!$F$387),"")</f>
        <v/>
      </c>
      <c r="G387" s="59" t="str">
        <f aca="false">IFERROR(IF([1]对账明细接口!$G$387=0,"",[1]对账明细接口!$G$387),"")</f>
        <v/>
      </c>
      <c r="H387" s="60" t="str">
        <f aca="false">IFERROR(IF([1]对账明细接口!$H$387=0,"",[1]对账明细接口!$H$387),"")</f>
        <v/>
      </c>
      <c r="I387" s="59" t="str">
        <f aca="false">IFERROR(IF([1]对账明细接口!$I$387=0,"",[1]对账明细接口!$I$387),"")</f>
        <v/>
      </c>
      <c r="J387" s="61" t="str">
        <f aca="false">IFERROR(IF([1]对账明细接口!$J$387=0,"",[1]对账明细接口!$J$387),"")</f>
        <v/>
      </c>
      <c r="K387" s="61" t="str">
        <f aca="false">IFERROR(IF([1]对账明细接口!$K$387=0,"",[1]对账明细接口!$K$387),"")</f>
        <v/>
      </c>
      <c r="L387" s="59" t="str">
        <f aca="false">IFERROR(IF([1]对账明细接口!$L$387=0,"",[1]对账明细接口!$L$387),"")</f>
        <v/>
      </c>
      <c r="M387" s="59" t="str">
        <f aca="false">IFERROR(IF([1]对账明细接口!$M$387=0,"",[1]对账明细接口!$M$387),"")</f>
        <v/>
      </c>
      <c r="N387" s="111" t="n">
        <f aca="false">IF($C387="",0,1)</f>
        <v>0</v>
      </c>
      <c r="O387" s="111" t="n">
        <f aca="false">N(O386)+$N387</f>
        <v>110</v>
      </c>
      <c r="S387" s="10" t="str">
        <f aca="false">IFERROR(IF([1]对账明细接口!$N387=0,"",[1]对账明细接口!$N387),"")</f>
        <v/>
      </c>
      <c r="T387" s="112" t="str">
        <f aca="false">IFERROR(IF([1]对账明细接口!$O387=0,"",[1]对账明细接口!$O387),"")</f>
        <v/>
      </c>
      <c r="U387" s="112" t="str">
        <f aca="false">IFERROR(IF([1]对账明细接口!$P387=0,"",[1]对账明细接口!$P387),"")</f>
        <v/>
      </c>
      <c r="V387" s="112" t="str">
        <f aca="false">IFERROR(IF([1]对账明细接口!$Q387=0,"",[1]对账明细接口!$Q387),"")</f>
        <v/>
      </c>
      <c r="W387" s="10" t="str">
        <f aca="false">IFERROR(IF([1]对账明细接口!$R387=0,"",[1]对账明细接口!$R387),"")</f>
        <v/>
      </c>
      <c r="X387" s="10" t="str">
        <f aca="false">IFERROR(IF([1]对账明细接口!$S387=0,"",[1]对账明细接口!$S387),"")</f>
        <v/>
      </c>
      <c r="Y387" s="10" t="str">
        <f aca="false">""</f>
        <v/>
      </c>
      <c r="Z387" s="10" t="str">
        <f aca="false">""</f>
        <v/>
      </c>
      <c r="AA387" s="10" t="str">
        <f aca="false">""</f>
        <v/>
      </c>
      <c r="AB387" s="10" t="str">
        <f aca="false">""</f>
        <v/>
      </c>
    </row>
    <row r="388" customFormat="false" ht="13.5" hidden="false" customHeight="false" outlineLevel="0" collapsed="false">
      <c r="A388" s="109" t="n">
        <v>388</v>
      </c>
      <c r="B388" s="110" t="str">
        <f aca="false">IFERROR(IF([1]对账明细接口!$B$388=0,"",[1]对账明细接口!$B$388),"")</f>
        <v/>
      </c>
      <c r="C388" s="59" t="str">
        <f aca="false">IFERROR(IF([1]对账明细接口!$C$388=0,"",[1]对账明细接口!$C$388),"")</f>
        <v/>
      </c>
      <c r="D388" s="59" t="str">
        <f aca="false">IFERROR(IF([1]对账明细接口!$D$388=0,"",[1]对账明细接口!$D$388),"")</f>
        <v/>
      </c>
      <c r="E388" s="59" t="str">
        <f aca="false">IFERROR(IF([1]对账明细接口!$E$388=0,"",[1]对账明细接口!$E$388),"")</f>
        <v/>
      </c>
      <c r="F388" s="59" t="str">
        <f aca="false">IFERROR(IF([1]对账明细接口!$F$388=0,"",[1]对账明细接口!$F$388),"")</f>
        <v/>
      </c>
      <c r="G388" s="59" t="str">
        <f aca="false">IFERROR(IF([1]对账明细接口!$G$388=0,"",[1]对账明细接口!$G$388),"")</f>
        <v/>
      </c>
      <c r="H388" s="60" t="str">
        <f aca="false">IFERROR(IF([1]对账明细接口!$H$388=0,"",[1]对账明细接口!$H$388),"")</f>
        <v/>
      </c>
      <c r="I388" s="59" t="str">
        <f aca="false">IFERROR(IF([1]对账明细接口!$I$388=0,"",[1]对账明细接口!$I$388),"")</f>
        <v/>
      </c>
      <c r="J388" s="61" t="str">
        <f aca="false">IFERROR(IF([1]对账明细接口!$J$388=0,"",[1]对账明细接口!$J$388),"")</f>
        <v/>
      </c>
      <c r="K388" s="61" t="str">
        <f aca="false">IFERROR(IF([1]对账明细接口!$K$388=0,"",[1]对账明细接口!$K$388),"")</f>
        <v/>
      </c>
      <c r="L388" s="59" t="str">
        <f aca="false">IFERROR(IF([1]对账明细接口!$L$388=0,"",[1]对账明细接口!$L$388),"")</f>
        <v/>
      </c>
      <c r="M388" s="59" t="str">
        <f aca="false">IFERROR(IF([1]对账明细接口!$M$388=0,"",[1]对账明细接口!$M$388),"")</f>
        <v/>
      </c>
      <c r="N388" s="111" t="n">
        <f aca="false">IF($C388="",0,1)</f>
        <v>0</v>
      </c>
      <c r="O388" s="111" t="n">
        <f aca="false">N(O387)+$N388</f>
        <v>110</v>
      </c>
      <c r="S388" s="10" t="str">
        <f aca="false">IFERROR(IF([1]对账明细接口!$N388=0,"",[1]对账明细接口!$N388),"")</f>
        <v/>
      </c>
      <c r="T388" s="112" t="str">
        <f aca="false">IFERROR(IF([1]对账明细接口!$O388=0,"",[1]对账明细接口!$O388),"")</f>
        <v/>
      </c>
      <c r="U388" s="112" t="str">
        <f aca="false">IFERROR(IF([1]对账明细接口!$P388=0,"",[1]对账明细接口!$P388),"")</f>
        <v/>
      </c>
      <c r="V388" s="112" t="str">
        <f aca="false">IFERROR(IF([1]对账明细接口!$Q388=0,"",[1]对账明细接口!$Q388),"")</f>
        <v/>
      </c>
      <c r="W388" s="10" t="str">
        <f aca="false">IFERROR(IF([1]对账明细接口!$R388=0,"",[1]对账明细接口!$R388),"")</f>
        <v/>
      </c>
      <c r="X388" s="10" t="str">
        <f aca="false">IFERROR(IF([1]对账明细接口!$S388=0,"",[1]对账明细接口!$S388),"")</f>
        <v/>
      </c>
      <c r="Y388" s="10" t="str">
        <f aca="false">""</f>
        <v/>
      </c>
      <c r="Z388" s="10" t="str">
        <f aca="false">""</f>
        <v/>
      </c>
      <c r="AA388" s="10" t="str">
        <f aca="false">""</f>
        <v/>
      </c>
      <c r="AB388" s="10" t="str">
        <f aca="false">""</f>
        <v/>
      </c>
    </row>
    <row r="389" customFormat="false" ht="13.5" hidden="false" customHeight="false" outlineLevel="0" collapsed="false">
      <c r="A389" s="109" t="n">
        <v>389</v>
      </c>
      <c r="B389" s="110" t="str">
        <f aca="false">IFERROR(IF([1]对账明细接口!$B$389=0,"",[1]对账明细接口!$B$389),"")</f>
        <v/>
      </c>
      <c r="C389" s="59" t="str">
        <f aca="false">IFERROR(IF([1]对账明细接口!$C$389=0,"",[1]对账明细接口!$C$389),"")</f>
        <v/>
      </c>
      <c r="D389" s="59" t="str">
        <f aca="false">IFERROR(IF([1]对账明细接口!$D$389=0,"",[1]对账明细接口!$D$389),"")</f>
        <v/>
      </c>
      <c r="E389" s="59" t="str">
        <f aca="false">IFERROR(IF([1]对账明细接口!$E$389=0,"",[1]对账明细接口!$E$389),"")</f>
        <v/>
      </c>
      <c r="F389" s="59" t="str">
        <f aca="false">IFERROR(IF([1]对账明细接口!$F$389=0,"",[1]对账明细接口!$F$389),"")</f>
        <v/>
      </c>
      <c r="G389" s="59" t="str">
        <f aca="false">IFERROR(IF([1]对账明细接口!$G$389=0,"",[1]对账明细接口!$G$389),"")</f>
        <v/>
      </c>
      <c r="H389" s="60" t="str">
        <f aca="false">IFERROR(IF([1]对账明细接口!$H$389=0,"",[1]对账明细接口!$H$389),"")</f>
        <v/>
      </c>
      <c r="I389" s="59" t="str">
        <f aca="false">IFERROR(IF([1]对账明细接口!$I$389=0,"",[1]对账明细接口!$I$389),"")</f>
        <v/>
      </c>
      <c r="J389" s="61" t="str">
        <f aca="false">IFERROR(IF([1]对账明细接口!$J$389=0,"",[1]对账明细接口!$J$389),"")</f>
        <v/>
      </c>
      <c r="K389" s="61" t="str">
        <f aca="false">IFERROR(IF([1]对账明细接口!$K$389=0,"",[1]对账明细接口!$K$389),"")</f>
        <v/>
      </c>
      <c r="L389" s="59" t="str">
        <f aca="false">IFERROR(IF([1]对账明细接口!$L$389=0,"",[1]对账明细接口!$L$389),"")</f>
        <v/>
      </c>
      <c r="M389" s="59" t="str">
        <f aca="false">IFERROR(IF([1]对账明细接口!$M$389=0,"",[1]对账明细接口!$M$389),"")</f>
        <v/>
      </c>
      <c r="N389" s="111" t="n">
        <f aca="false">IF($C389="",0,1)</f>
        <v>0</v>
      </c>
      <c r="O389" s="111" t="n">
        <f aca="false">N(O388)+$N389</f>
        <v>110</v>
      </c>
      <c r="S389" s="10" t="str">
        <f aca="false">IFERROR(IF([1]对账明细接口!$N389=0,"",[1]对账明细接口!$N389),"")</f>
        <v/>
      </c>
      <c r="T389" s="112" t="str">
        <f aca="false">IFERROR(IF([1]对账明细接口!$O389=0,"",[1]对账明细接口!$O389),"")</f>
        <v/>
      </c>
      <c r="U389" s="112" t="str">
        <f aca="false">IFERROR(IF([1]对账明细接口!$P389=0,"",[1]对账明细接口!$P389),"")</f>
        <v/>
      </c>
      <c r="V389" s="112" t="str">
        <f aca="false">IFERROR(IF([1]对账明细接口!$Q389=0,"",[1]对账明细接口!$Q389),"")</f>
        <v/>
      </c>
      <c r="W389" s="10" t="str">
        <f aca="false">IFERROR(IF([1]对账明细接口!$R389=0,"",[1]对账明细接口!$R389),"")</f>
        <v/>
      </c>
      <c r="X389" s="10" t="str">
        <f aca="false">IFERROR(IF([1]对账明细接口!$S389=0,"",[1]对账明细接口!$S389),"")</f>
        <v/>
      </c>
      <c r="Y389" s="10" t="str">
        <f aca="false">""</f>
        <v/>
      </c>
      <c r="Z389" s="10" t="str">
        <f aca="false">""</f>
        <v/>
      </c>
      <c r="AA389" s="10" t="str">
        <f aca="false">""</f>
        <v/>
      </c>
      <c r="AB389" s="10" t="str">
        <f aca="false">""</f>
        <v/>
      </c>
    </row>
    <row r="390" customFormat="false" ht="13.5" hidden="false" customHeight="false" outlineLevel="0" collapsed="false">
      <c r="A390" s="109" t="n">
        <v>390</v>
      </c>
      <c r="B390" s="110" t="str">
        <f aca="false">IFERROR(IF([1]对账明细接口!$B$390=0,"",[1]对账明细接口!$B$390),"")</f>
        <v/>
      </c>
      <c r="C390" s="59" t="str">
        <f aca="false">IFERROR(IF([1]对账明细接口!$C$390=0,"",[1]对账明细接口!$C$390),"")</f>
        <v/>
      </c>
      <c r="D390" s="59" t="str">
        <f aca="false">IFERROR(IF([1]对账明细接口!$D$390=0,"",[1]对账明细接口!$D$390),"")</f>
        <v/>
      </c>
      <c r="E390" s="59" t="str">
        <f aca="false">IFERROR(IF([1]对账明细接口!$E$390=0,"",[1]对账明细接口!$E$390),"")</f>
        <v/>
      </c>
      <c r="F390" s="59" t="str">
        <f aca="false">IFERROR(IF([1]对账明细接口!$F$390=0,"",[1]对账明细接口!$F$390),"")</f>
        <v/>
      </c>
      <c r="G390" s="59" t="str">
        <f aca="false">IFERROR(IF([1]对账明细接口!$G$390=0,"",[1]对账明细接口!$G$390),"")</f>
        <v/>
      </c>
      <c r="H390" s="60" t="str">
        <f aca="false">IFERROR(IF([1]对账明细接口!$H$390=0,"",[1]对账明细接口!$H$390),"")</f>
        <v/>
      </c>
      <c r="I390" s="59" t="str">
        <f aca="false">IFERROR(IF([1]对账明细接口!$I$390=0,"",[1]对账明细接口!$I$390),"")</f>
        <v/>
      </c>
      <c r="J390" s="61" t="str">
        <f aca="false">IFERROR(IF([1]对账明细接口!$J$390=0,"",[1]对账明细接口!$J$390),"")</f>
        <v/>
      </c>
      <c r="K390" s="61" t="str">
        <f aca="false">IFERROR(IF([1]对账明细接口!$K$390=0,"",[1]对账明细接口!$K$390),"")</f>
        <v/>
      </c>
      <c r="L390" s="59" t="str">
        <f aca="false">IFERROR(IF([1]对账明细接口!$L$390=0,"",[1]对账明细接口!$L$390),"")</f>
        <v/>
      </c>
      <c r="M390" s="59" t="str">
        <f aca="false">IFERROR(IF([1]对账明细接口!$M$390=0,"",[1]对账明细接口!$M$390),"")</f>
        <v/>
      </c>
      <c r="N390" s="111" t="n">
        <f aca="false">IF($C390="",0,1)</f>
        <v>0</v>
      </c>
      <c r="O390" s="111" t="n">
        <f aca="false">N(O389)+$N390</f>
        <v>110</v>
      </c>
      <c r="S390" s="10" t="str">
        <f aca="false">IFERROR(IF([1]对账明细接口!$N390=0,"",[1]对账明细接口!$N390),"")</f>
        <v/>
      </c>
      <c r="T390" s="112" t="str">
        <f aca="false">IFERROR(IF([1]对账明细接口!$O390=0,"",[1]对账明细接口!$O390),"")</f>
        <v/>
      </c>
      <c r="U390" s="112" t="str">
        <f aca="false">IFERROR(IF([1]对账明细接口!$P390=0,"",[1]对账明细接口!$P390),"")</f>
        <v/>
      </c>
      <c r="V390" s="112" t="str">
        <f aca="false">IFERROR(IF([1]对账明细接口!$Q390=0,"",[1]对账明细接口!$Q390),"")</f>
        <v/>
      </c>
      <c r="W390" s="10" t="str">
        <f aca="false">IFERROR(IF([1]对账明细接口!$R390=0,"",[1]对账明细接口!$R390),"")</f>
        <v/>
      </c>
      <c r="X390" s="10" t="str">
        <f aca="false">IFERROR(IF([1]对账明细接口!$S390=0,"",[1]对账明细接口!$S390),"")</f>
        <v/>
      </c>
      <c r="Y390" s="10" t="str">
        <f aca="false">""</f>
        <v/>
      </c>
      <c r="Z390" s="10" t="str">
        <f aca="false">""</f>
        <v/>
      </c>
      <c r="AA390" s="10" t="str">
        <f aca="false">""</f>
        <v/>
      </c>
      <c r="AB390" s="10" t="str">
        <f aca="false">""</f>
        <v/>
      </c>
    </row>
    <row r="391" customFormat="false" ht="13.5" hidden="false" customHeight="false" outlineLevel="0" collapsed="false">
      <c r="A391" s="109" t="n">
        <v>391</v>
      </c>
      <c r="B391" s="110" t="str">
        <f aca="false">IFERROR(IF([1]对账明细接口!$B$391=0,"",[1]对账明细接口!$B$391),"")</f>
        <v/>
      </c>
      <c r="C391" s="59" t="str">
        <f aca="false">IFERROR(IF([1]对账明细接口!$C$391=0,"",[1]对账明细接口!$C$391),"")</f>
        <v/>
      </c>
      <c r="D391" s="59" t="str">
        <f aca="false">IFERROR(IF([1]对账明细接口!$D$391=0,"",[1]对账明细接口!$D$391),"")</f>
        <v/>
      </c>
      <c r="E391" s="59" t="str">
        <f aca="false">IFERROR(IF([1]对账明细接口!$E$391=0,"",[1]对账明细接口!$E$391),"")</f>
        <v/>
      </c>
      <c r="F391" s="59" t="str">
        <f aca="false">IFERROR(IF([1]对账明细接口!$F$391=0,"",[1]对账明细接口!$F$391),"")</f>
        <v/>
      </c>
      <c r="G391" s="59" t="str">
        <f aca="false">IFERROR(IF([1]对账明细接口!$G$391=0,"",[1]对账明细接口!$G$391),"")</f>
        <v/>
      </c>
      <c r="H391" s="60" t="str">
        <f aca="false">IFERROR(IF([1]对账明细接口!$H$391=0,"",[1]对账明细接口!$H$391),"")</f>
        <v/>
      </c>
      <c r="I391" s="59" t="str">
        <f aca="false">IFERROR(IF([1]对账明细接口!$I$391=0,"",[1]对账明细接口!$I$391),"")</f>
        <v/>
      </c>
      <c r="J391" s="61" t="str">
        <f aca="false">IFERROR(IF([1]对账明细接口!$J$391=0,"",[1]对账明细接口!$J$391),"")</f>
        <v/>
      </c>
      <c r="K391" s="61" t="str">
        <f aca="false">IFERROR(IF([1]对账明细接口!$K$391=0,"",[1]对账明细接口!$K$391),"")</f>
        <v/>
      </c>
      <c r="L391" s="59" t="str">
        <f aca="false">IFERROR(IF([1]对账明细接口!$L$391=0,"",[1]对账明细接口!$L$391),"")</f>
        <v/>
      </c>
      <c r="M391" s="59" t="str">
        <f aca="false">IFERROR(IF([1]对账明细接口!$M$391=0,"",[1]对账明细接口!$M$391),"")</f>
        <v/>
      </c>
      <c r="N391" s="111" t="n">
        <f aca="false">IF($C391="",0,1)</f>
        <v>0</v>
      </c>
      <c r="O391" s="111" t="n">
        <f aca="false">N(O390)+$N391</f>
        <v>110</v>
      </c>
      <c r="S391" s="10" t="str">
        <f aca="false">IFERROR(IF([1]对账明细接口!$N391=0,"",[1]对账明细接口!$N391),"")</f>
        <v/>
      </c>
      <c r="T391" s="112" t="str">
        <f aca="false">IFERROR(IF([1]对账明细接口!$O391=0,"",[1]对账明细接口!$O391),"")</f>
        <v/>
      </c>
      <c r="U391" s="112" t="str">
        <f aca="false">IFERROR(IF([1]对账明细接口!$P391=0,"",[1]对账明细接口!$P391),"")</f>
        <v/>
      </c>
      <c r="V391" s="112" t="str">
        <f aca="false">IFERROR(IF([1]对账明细接口!$Q391=0,"",[1]对账明细接口!$Q391),"")</f>
        <v/>
      </c>
      <c r="W391" s="10" t="str">
        <f aca="false">IFERROR(IF([1]对账明细接口!$R391=0,"",[1]对账明细接口!$R391),"")</f>
        <v/>
      </c>
      <c r="X391" s="10" t="str">
        <f aca="false">IFERROR(IF([1]对账明细接口!$S391=0,"",[1]对账明细接口!$S391),"")</f>
        <v/>
      </c>
      <c r="Y391" s="10" t="str">
        <f aca="false">""</f>
        <v/>
      </c>
      <c r="Z391" s="10" t="str">
        <f aca="false">""</f>
        <v/>
      </c>
      <c r="AA391" s="10" t="str">
        <f aca="false">""</f>
        <v/>
      </c>
      <c r="AB391" s="10" t="str">
        <f aca="false">""</f>
        <v/>
      </c>
    </row>
    <row r="392" customFormat="false" ht="13.5" hidden="false" customHeight="false" outlineLevel="0" collapsed="false">
      <c r="A392" s="109" t="n">
        <v>392</v>
      </c>
      <c r="B392" s="110" t="str">
        <f aca="false">IFERROR(IF([1]对账明细接口!$B$392=0,"",[1]对账明细接口!$B$392),"")</f>
        <v/>
      </c>
      <c r="C392" s="59" t="str">
        <f aca="false">IFERROR(IF([1]对账明细接口!$C$392=0,"",[1]对账明细接口!$C$392),"")</f>
        <v/>
      </c>
      <c r="D392" s="59" t="str">
        <f aca="false">IFERROR(IF([1]对账明细接口!$D$392=0,"",[1]对账明细接口!$D$392),"")</f>
        <v/>
      </c>
      <c r="E392" s="59" t="str">
        <f aca="false">IFERROR(IF([1]对账明细接口!$E$392=0,"",[1]对账明细接口!$E$392),"")</f>
        <v/>
      </c>
      <c r="F392" s="59" t="str">
        <f aca="false">IFERROR(IF([1]对账明细接口!$F$392=0,"",[1]对账明细接口!$F$392),"")</f>
        <v/>
      </c>
      <c r="G392" s="59" t="str">
        <f aca="false">IFERROR(IF([1]对账明细接口!$G$392=0,"",[1]对账明细接口!$G$392),"")</f>
        <v/>
      </c>
      <c r="H392" s="60" t="str">
        <f aca="false">IFERROR(IF([1]对账明细接口!$H$392=0,"",[1]对账明细接口!$H$392),"")</f>
        <v/>
      </c>
      <c r="I392" s="59" t="str">
        <f aca="false">IFERROR(IF([1]对账明细接口!$I$392=0,"",[1]对账明细接口!$I$392),"")</f>
        <v/>
      </c>
      <c r="J392" s="61" t="str">
        <f aca="false">IFERROR(IF([1]对账明细接口!$J$392=0,"",[1]对账明细接口!$J$392),"")</f>
        <v/>
      </c>
      <c r="K392" s="61" t="str">
        <f aca="false">IFERROR(IF([1]对账明细接口!$K$392=0,"",[1]对账明细接口!$K$392),"")</f>
        <v/>
      </c>
      <c r="L392" s="59" t="str">
        <f aca="false">IFERROR(IF([1]对账明细接口!$L$392=0,"",[1]对账明细接口!$L$392),"")</f>
        <v/>
      </c>
      <c r="M392" s="59" t="str">
        <f aca="false">IFERROR(IF([1]对账明细接口!$M$392=0,"",[1]对账明细接口!$M$392),"")</f>
        <v/>
      </c>
      <c r="N392" s="111" t="n">
        <f aca="false">IF($C392="",0,1)</f>
        <v>0</v>
      </c>
      <c r="O392" s="111" t="n">
        <f aca="false">N(O391)+$N392</f>
        <v>110</v>
      </c>
      <c r="S392" s="10" t="str">
        <f aca="false">IFERROR(IF([1]对账明细接口!$N392=0,"",[1]对账明细接口!$N392),"")</f>
        <v/>
      </c>
      <c r="T392" s="112" t="str">
        <f aca="false">IFERROR(IF([1]对账明细接口!$O392=0,"",[1]对账明细接口!$O392),"")</f>
        <v/>
      </c>
      <c r="U392" s="112" t="str">
        <f aca="false">IFERROR(IF([1]对账明细接口!$P392=0,"",[1]对账明细接口!$P392),"")</f>
        <v/>
      </c>
      <c r="V392" s="112" t="str">
        <f aca="false">IFERROR(IF([1]对账明细接口!$Q392=0,"",[1]对账明细接口!$Q392),"")</f>
        <v/>
      </c>
      <c r="W392" s="10" t="str">
        <f aca="false">IFERROR(IF([1]对账明细接口!$R392=0,"",[1]对账明细接口!$R392),"")</f>
        <v/>
      </c>
      <c r="X392" s="10" t="str">
        <f aca="false">IFERROR(IF([1]对账明细接口!$S392=0,"",[1]对账明细接口!$S392),"")</f>
        <v/>
      </c>
      <c r="Y392" s="10" t="str">
        <f aca="false">""</f>
        <v/>
      </c>
      <c r="Z392" s="10" t="str">
        <f aca="false">""</f>
        <v/>
      </c>
      <c r="AA392" s="10" t="str">
        <f aca="false">""</f>
        <v/>
      </c>
      <c r="AB392" s="10" t="str">
        <f aca="false">""</f>
        <v/>
      </c>
    </row>
    <row r="393" customFormat="false" ht="13.5" hidden="false" customHeight="false" outlineLevel="0" collapsed="false">
      <c r="A393" s="109" t="n">
        <v>393</v>
      </c>
      <c r="B393" s="110" t="str">
        <f aca="false">IFERROR(IF([1]对账明细接口!$B$393=0,"",[1]对账明细接口!$B$393),"")</f>
        <v/>
      </c>
      <c r="C393" s="59" t="str">
        <f aca="false">IFERROR(IF([1]对账明细接口!$C$393=0,"",[1]对账明细接口!$C$393),"")</f>
        <v/>
      </c>
      <c r="D393" s="59" t="str">
        <f aca="false">IFERROR(IF([1]对账明细接口!$D$393=0,"",[1]对账明细接口!$D$393),"")</f>
        <v/>
      </c>
      <c r="E393" s="59" t="str">
        <f aca="false">IFERROR(IF([1]对账明细接口!$E$393=0,"",[1]对账明细接口!$E$393),"")</f>
        <v/>
      </c>
      <c r="F393" s="59" t="str">
        <f aca="false">IFERROR(IF([1]对账明细接口!$F$393=0,"",[1]对账明细接口!$F$393),"")</f>
        <v/>
      </c>
      <c r="G393" s="59" t="str">
        <f aca="false">IFERROR(IF([1]对账明细接口!$G$393=0,"",[1]对账明细接口!$G$393),"")</f>
        <v/>
      </c>
      <c r="H393" s="60" t="str">
        <f aca="false">IFERROR(IF([1]对账明细接口!$H$393=0,"",[1]对账明细接口!$H$393),"")</f>
        <v/>
      </c>
      <c r="I393" s="59" t="str">
        <f aca="false">IFERROR(IF([1]对账明细接口!$I$393=0,"",[1]对账明细接口!$I$393),"")</f>
        <v/>
      </c>
      <c r="J393" s="61" t="str">
        <f aca="false">IFERROR(IF([1]对账明细接口!$J$393=0,"",[1]对账明细接口!$J$393),"")</f>
        <v/>
      </c>
      <c r="K393" s="61" t="str">
        <f aca="false">IFERROR(IF([1]对账明细接口!$K$393=0,"",[1]对账明细接口!$K$393),"")</f>
        <v/>
      </c>
      <c r="L393" s="59" t="str">
        <f aca="false">IFERROR(IF([1]对账明细接口!$L$393=0,"",[1]对账明细接口!$L$393),"")</f>
        <v/>
      </c>
      <c r="M393" s="59" t="str">
        <f aca="false">IFERROR(IF([1]对账明细接口!$M$393=0,"",[1]对账明细接口!$M$393),"")</f>
        <v/>
      </c>
      <c r="N393" s="111" t="n">
        <f aca="false">IF($C393="",0,1)</f>
        <v>0</v>
      </c>
      <c r="O393" s="111" t="n">
        <f aca="false">N(O392)+$N393</f>
        <v>110</v>
      </c>
      <c r="S393" s="10" t="str">
        <f aca="false">IFERROR(IF([1]对账明细接口!$N393=0,"",[1]对账明细接口!$N393),"")</f>
        <v/>
      </c>
      <c r="T393" s="112" t="str">
        <f aca="false">IFERROR(IF([1]对账明细接口!$O393=0,"",[1]对账明细接口!$O393),"")</f>
        <v/>
      </c>
      <c r="U393" s="112" t="str">
        <f aca="false">IFERROR(IF([1]对账明细接口!$P393=0,"",[1]对账明细接口!$P393),"")</f>
        <v/>
      </c>
      <c r="V393" s="112" t="str">
        <f aca="false">IFERROR(IF([1]对账明细接口!$Q393=0,"",[1]对账明细接口!$Q393),"")</f>
        <v/>
      </c>
      <c r="W393" s="10" t="str">
        <f aca="false">IFERROR(IF([1]对账明细接口!$R393=0,"",[1]对账明细接口!$R393),"")</f>
        <v/>
      </c>
      <c r="X393" s="10" t="str">
        <f aca="false">IFERROR(IF([1]对账明细接口!$S393=0,"",[1]对账明细接口!$S393),"")</f>
        <v/>
      </c>
      <c r="Y393" s="10" t="str">
        <f aca="false">""</f>
        <v/>
      </c>
      <c r="Z393" s="10" t="str">
        <f aca="false">""</f>
        <v/>
      </c>
      <c r="AA393" s="10" t="str">
        <f aca="false">""</f>
        <v/>
      </c>
      <c r="AB393" s="10" t="str">
        <f aca="false">""</f>
        <v/>
      </c>
    </row>
    <row r="394" customFormat="false" ht="13.5" hidden="false" customHeight="false" outlineLevel="0" collapsed="false">
      <c r="A394" s="109" t="n">
        <v>394</v>
      </c>
      <c r="B394" s="110" t="str">
        <f aca="false">IFERROR(IF([1]对账明细接口!$B$394=0,"",[1]对账明细接口!$B$394),"")</f>
        <v/>
      </c>
      <c r="C394" s="59" t="str">
        <f aca="false">IFERROR(IF([1]对账明细接口!$C$394=0,"",[1]对账明细接口!$C$394),"")</f>
        <v/>
      </c>
      <c r="D394" s="59" t="str">
        <f aca="false">IFERROR(IF([1]对账明细接口!$D$394=0,"",[1]对账明细接口!$D$394),"")</f>
        <v/>
      </c>
      <c r="E394" s="59" t="str">
        <f aca="false">IFERROR(IF([1]对账明细接口!$E$394=0,"",[1]对账明细接口!$E$394),"")</f>
        <v/>
      </c>
      <c r="F394" s="59" t="str">
        <f aca="false">IFERROR(IF([1]对账明细接口!$F$394=0,"",[1]对账明细接口!$F$394),"")</f>
        <v/>
      </c>
      <c r="G394" s="59" t="str">
        <f aca="false">IFERROR(IF([1]对账明细接口!$G$394=0,"",[1]对账明细接口!$G$394),"")</f>
        <v/>
      </c>
      <c r="H394" s="60" t="str">
        <f aca="false">IFERROR(IF([1]对账明细接口!$H$394=0,"",[1]对账明细接口!$H$394),"")</f>
        <v/>
      </c>
      <c r="I394" s="59" t="str">
        <f aca="false">IFERROR(IF([1]对账明细接口!$I$394=0,"",[1]对账明细接口!$I$394),"")</f>
        <v/>
      </c>
      <c r="J394" s="61" t="str">
        <f aca="false">IFERROR(IF([1]对账明细接口!$J$394=0,"",[1]对账明细接口!$J$394),"")</f>
        <v/>
      </c>
      <c r="K394" s="61" t="str">
        <f aca="false">IFERROR(IF([1]对账明细接口!$K$394=0,"",[1]对账明细接口!$K$394),"")</f>
        <v/>
      </c>
      <c r="L394" s="59" t="str">
        <f aca="false">IFERROR(IF([1]对账明细接口!$L$394=0,"",[1]对账明细接口!$L$394),"")</f>
        <v/>
      </c>
      <c r="M394" s="59" t="str">
        <f aca="false">IFERROR(IF([1]对账明细接口!$M$394=0,"",[1]对账明细接口!$M$394),"")</f>
        <v/>
      </c>
      <c r="N394" s="111" t="n">
        <f aca="false">IF($C394="",0,1)</f>
        <v>0</v>
      </c>
      <c r="O394" s="111" t="n">
        <f aca="false">N(O393)+$N394</f>
        <v>110</v>
      </c>
      <c r="S394" s="10" t="str">
        <f aca="false">IFERROR(IF([1]对账明细接口!$N394=0,"",[1]对账明细接口!$N394),"")</f>
        <v/>
      </c>
      <c r="T394" s="112" t="str">
        <f aca="false">IFERROR(IF([1]对账明细接口!$O394=0,"",[1]对账明细接口!$O394),"")</f>
        <v/>
      </c>
      <c r="U394" s="112" t="str">
        <f aca="false">IFERROR(IF([1]对账明细接口!$P394=0,"",[1]对账明细接口!$P394),"")</f>
        <v/>
      </c>
      <c r="V394" s="112" t="str">
        <f aca="false">IFERROR(IF([1]对账明细接口!$Q394=0,"",[1]对账明细接口!$Q394),"")</f>
        <v/>
      </c>
      <c r="W394" s="10" t="str">
        <f aca="false">IFERROR(IF([1]对账明细接口!$R394=0,"",[1]对账明细接口!$R394),"")</f>
        <v/>
      </c>
      <c r="X394" s="10" t="str">
        <f aca="false">IFERROR(IF([1]对账明细接口!$S394=0,"",[1]对账明细接口!$S394),"")</f>
        <v/>
      </c>
      <c r="Y394" s="10" t="str">
        <f aca="false">""</f>
        <v/>
      </c>
      <c r="Z394" s="10" t="str">
        <f aca="false">""</f>
        <v/>
      </c>
      <c r="AA394" s="10" t="str">
        <f aca="false">""</f>
        <v/>
      </c>
      <c r="AB394" s="10" t="str">
        <f aca="false">""</f>
        <v/>
      </c>
    </row>
    <row r="395" customFormat="false" ht="13.5" hidden="false" customHeight="false" outlineLevel="0" collapsed="false">
      <c r="A395" s="109" t="n">
        <v>395</v>
      </c>
      <c r="B395" s="110" t="str">
        <f aca="false">IFERROR(IF([1]对账明细接口!$B$395=0,"",[1]对账明细接口!$B$395),"")</f>
        <v/>
      </c>
      <c r="C395" s="59" t="str">
        <f aca="false">IFERROR(IF([1]对账明细接口!$C$395=0,"",[1]对账明细接口!$C$395),"")</f>
        <v/>
      </c>
      <c r="D395" s="59" t="str">
        <f aca="false">IFERROR(IF([1]对账明细接口!$D$395=0,"",[1]对账明细接口!$D$395),"")</f>
        <v/>
      </c>
      <c r="E395" s="59" t="str">
        <f aca="false">IFERROR(IF([1]对账明细接口!$E$395=0,"",[1]对账明细接口!$E$395),"")</f>
        <v/>
      </c>
      <c r="F395" s="59" t="str">
        <f aca="false">IFERROR(IF([1]对账明细接口!$F$395=0,"",[1]对账明细接口!$F$395),"")</f>
        <v/>
      </c>
      <c r="G395" s="59" t="str">
        <f aca="false">IFERROR(IF([1]对账明细接口!$G$395=0,"",[1]对账明细接口!$G$395),"")</f>
        <v/>
      </c>
      <c r="H395" s="60" t="str">
        <f aca="false">IFERROR(IF([1]对账明细接口!$H$395=0,"",[1]对账明细接口!$H$395),"")</f>
        <v/>
      </c>
      <c r="I395" s="59" t="str">
        <f aca="false">IFERROR(IF([1]对账明细接口!$I$395=0,"",[1]对账明细接口!$I$395),"")</f>
        <v/>
      </c>
      <c r="J395" s="61" t="str">
        <f aca="false">IFERROR(IF([1]对账明细接口!$J$395=0,"",[1]对账明细接口!$J$395),"")</f>
        <v/>
      </c>
      <c r="K395" s="61" t="str">
        <f aca="false">IFERROR(IF([1]对账明细接口!$K$395=0,"",[1]对账明细接口!$K$395),"")</f>
        <v/>
      </c>
      <c r="L395" s="59" t="str">
        <f aca="false">IFERROR(IF([1]对账明细接口!$L$395=0,"",[1]对账明细接口!$L$395),"")</f>
        <v/>
      </c>
      <c r="M395" s="59" t="str">
        <f aca="false">IFERROR(IF([1]对账明细接口!$M$395=0,"",[1]对账明细接口!$M$395),"")</f>
        <v/>
      </c>
      <c r="N395" s="111" t="n">
        <f aca="false">IF($C395="",0,1)</f>
        <v>0</v>
      </c>
      <c r="O395" s="111" t="n">
        <f aca="false">N(O394)+$N395</f>
        <v>110</v>
      </c>
      <c r="S395" s="10" t="str">
        <f aca="false">IFERROR(IF([1]对账明细接口!$N395=0,"",[1]对账明细接口!$N395),"")</f>
        <v/>
      </c>
      <c r="T395" s="112" t="str">
        <f aca="false">IFERROR(IF([1]对账明细接口!$O395=0,"",[1]对账明细接口!$O395),"")</f>
        <v/>
      </c>
      <c r="U395" s="112" t="str">
        <f aca="false">IFERROR(IF([1]对账明细接口!$P395=0,"",[1]对账明细接口!$P395),"")</f>
        <v/>
      </c>
      <c r="V395" s="112" t="str">
        <f aca="false">IFERROR(IF([1]对账明细接口!$Q395=0,"",[1]对账明细接口!$Q395),"")</f>
        <v/>
      </c>
      <c r="W395" s="10" t="str">
        <f aca="false">IFERROR(IF([1]对账明细接口!$R395=0,"",[1]对账明细接口!$R395),"")</f>
        <v/>
      </c>
      <c r="X395" s="10" t="str">
        <f aca="false">IFERROR(IF([1]对账明细接口!$S395=0,"",[1]对账明细接口!$S395),"")</f>
        <v/>
      </c>
      <c r="Y395" s="10" t="str">
        <f aca="false">""</f>
        <v/>
      </c>
      <c r="Z395" s="10" t="str">
        <f aca="false">""</f>
        <v/>
      </c>
      <c r="AA395" s="10" t="str">
        <f aca="false">""</f>
        <v/>
      </c>
      <c r="AB395" s="10" t="str">
        <f aca="false">""</f>
        <v/>
      </c>
    </row>
    <row r="396" customFormat="false" ht="13.5" hidden="false" customHeight="false" outlineLevel="0" collapsed="false">
      <c r="A396" s="109" t="n">
        <v>396</v>
      </c>
      <c r="B396" s="110" t="str">
        <f aca="false">IFERROR(IF([1]对账明细接口!$B$396=0,"",[1]对账明细接口!$B$396),"")</f>
        <v/>
      </c>
      <c r="C396" s="59" t="str">
        <f aca="false">IFERROR(IF([1]对账明细接口!$C$396=0,"",[1]对账明细接口!$C$396),"")</f>
        <v/>
      </c>
      <c r="D396" s="59" t="str">
        <f aca="false">IFERROR(IF([1]对账明细接口!$D$396=0,"",[1]对账明细接口!$D$396),"")</f>
        <v/>
      </c>
      <c r="E396" s="59" t="str">
        <f aca="false">IFERROR(IF([1]对账明细接口!$E$396=0,"",[1]对账明细接口!$E$396),"")</f>
        <v/>
      </c>
      <c r="F396" s="59" t="str">
        <f aca="false">IFERROR(IF([1]对账明细接口!$F$396=0,"",[1]对账明细接口!$F$396),"")</f>
        <v/>
      </c>
      <c r="G396" s="59" t="str">
        <f aca="false">IFERROR(IF([1]对账明细接口!$G$396=0,"",[1]对账明细接口!$G$396),"")</f>
        <v/>
      </c>
      <c r="H396" s="60" t="str">
        <f aca="false">IFERROR(IF([1]对账明细接口!$H$396=0,"",[1]对账明细接口!$H$396),"")</f>
        <v/>
      </c>
      <c r="I396" s="59" t="str">
        <f aca="false">IFERROR(IF([1]对账明细接口!$I$396=0,"",[1]对账明细接口!$I$396),"")</f>
        <v/>
      </c>
      <c r="J396" s="61" t="str">
        <f aca="false">IFERROR(IF([1]对账明细接口!$J$396=0,"",[1]对账明细接口!$J$396),"")</f>
        <v/>
      </c>
      <c r="K396" s="61" t="str">
        <f aca="false">IFERROR(IF([1]对账明细接口!$K$396=0,"",[1]对账明细接口!$K$396),"")</f>
        <v/>
      </c>
      <c r="L396" s="59" t="str">
        <f aca="false">IFERROR(IF([1]对账明细接口!$L$396=0,"",[1]对账明细接口!$L$396),"")</f>
        <v/>
      </c>
      <c r="M396" s="59" t="str">
        <f aca="false">IFERROR(IF([1]对账明细接口!$M$396=0,"",[1]对账明细接口!$M$396),"")</f>
        <v/>
      </c>
      <c r="N396" s="111" t="n">
        <f aca="false">IF($C396="",0,1)</f>
        <v>0</v>
      </c>
      <c r="O396" s="111" t="n">
        <f aca="false">N(O395)+$N396</f>
        <v>110</v>
      </c>
      <c r="S396" s="10" t="str">
        <f aca="false">IFERROR(IF([1]对账明细接口!$N396=0,"",[1]对账明细接口!$N396),"")</f>
        <v/>
      </c>
      <c r="T396" s="112" t="str">
        <f aca="false">IFERROR(IF([1]对账明细接口!$O396=0,"",[1]对账明细接口!$O396),"")</f>
        <v/>
      </c>
      <c r="U396" s="112" t="str">
        <f aca="false">IFERROR(IF([1]对账明细接口!$P396=0,"",[1]对账明细接口!$P396),"")</f>
        <v/>
      </c>
      <c r="V396" s="112" t="str">
        <f aca="false">IFERROR(IF([1]对账明细接口!$Q396=0,"",[1]对账明细接口!$Q396),"")</f>
        <v/>
      </c>
      <c r="W396" s="10" t="str">
        <f aca="false">IFERROR(IF([1]对账明细接口!$R396=0,"",[1]对账明细接口!$R396),"")</f>
        <v/>
      </c>
      <c r="X396" s="10" t="str">
        <f aca="false">IFERROR(IF([1]对账明细接口!$S396=0,"",[1]对账明细接口!$S396),"")</f>
        <v/>
      </c>
      <c r="Y396" s="10" t="str">
        <f aca="false">""</f>
        <v/>
      </c>
      <c r="Z396" s="10" t="str">
        <f aca="false">""</f>
        <v/>
      </c>
      <c r="AA396" s="10" t="str">
        <f aca="false">""</f>
        <v/>
      </c>
      <c r="AB396" s="10" t="str">
        <f aca="false">""</f>
        <v/>
      </c>
    </row>
    <row r="397" customFormat="false" ht="13.5" hidden="false" customHeight="false" outlineLevel="0" collapsed="false">
      <c r="A397" s="109" t="n">
        <v>397</v>
      </c>
      <c r="B397" s="110" t="str">
        <f aca="false">IFERROR(IF([1]对账明细接口!$B$397=0,"",[1]对账明细接口!$B$397),"")</f>
        <v/>
      </c>
      <c r="C397" s="59" t="str">
        <f aca="false">IFERROR(IF([1]对账明细接口!$C$397=0,"",[1]对账明细接口!$C$397),"")</f>
        <v/>
      </c>
      <c r="D397" s="59" t="str">
        <f aca="false">IFERROR(IF([1]对账明细接口!$D$397=0,"",[1]对账明细接口!$D$397),"")</f>
        <v/>
      </c>
      <c r="E397" s="59" t="str">
        <f aca="false">IFERROR(IF([1]对账明细接口!$E$397=0,"",[1]对账明细接口!$E$397),"")</f>
        <v/>
      </c>
      <c r="F397" s="59" t="str">
        <f aca="false">IFERROR(IF([1]对账明细接口!$F$397=0,"",[1]对账明细接口!$F$397),"")</f>
        <v/>
      </c>
      <c r="G397" s="59" t="str">
        <f aca="false">IFERROR(IF([1]对账明细接口!$G$397=0,"",[1]对账明细接口!$G$397),"")</f>
        <v/>
      </c>
      <c r="H397" s="60" t="str">
        <f aca="false">IFERROR(IF([1]对账明细接口!$H$397=0,"",[1]对账明细接口!$H$397),"")</f>
        <v/>
      </c>
      <c r="I397" s="59" t="str">
        <f aca="false">IFERROR(IF([1]对账明细接口!$I$397=0,"",[1]对账明细接口!$I$397),"")</f>
        <v/>
      </c>
      <c r="J397" s="61" t="str">
        <f aca="false">IFERROR(IF([1]对账明细接口!$J$397=0,"",[1]对账明细接口!$J$397),"")</f>
        <v/>
      </c>
      <c r="K397" s="61" t="str">
        <f aca="false">IFERROR(IF([1]对账明细接口!$K$397=0,"",[1]对账明细接口!$K$397),"")</f>
        <v/>
      </c>
      <c r="L397" s="59" t="str">
        <f aca="false">IFERROR(IF([1]对账明细接口!$L$397=0,"",[1]对账明细接口!$L$397),"")</f>
        <v/>
      </c>
      <c r="M397" s="59" t="str">
        <f aca="false">IFERROR(IF([1]对账明细接口!$M$397=0,"",[1]对账明细接口!$M$397),"")</f>
        <v/>
      </c>
      <c r="N397" s="111" t="n">
        <f aca="false">IF($C397="",0,1)</f>
        <v>0</v>
      </c>
      <c r="O397" s="111" t="n">
        <f aca="false">N(O396)+$N397</f>
        <v>110</v>
      </c>
      <c r="S397" s="10" t="str">
        <f aca="false">IFERROR(IF([1]对账明细接口!$N397=0,"",[1]对账明细接口!$N397),"")</f>
        <v/>
      </c>
      <c r="T397" s="112" t="str">
        <f aca="false">IFERROR(IF([1]对账明细接口!$O397=0,"",[1]对账明细接口!$O397),"")</f>
        <v/>
      </c>
      <c r="U397" s="112" t="str">
        <f aca="false">IFERROR(IF([1]对账明细接口!$P397=0,"",[1]对账明细接口!$P397),"")</f>
        <v/>
      </c>
      <c r="V397" s="112" t="str">
        <f aca="false">IFERROR(IF([1]对账明细接口!$Q397=0,"",[1]对账明细接口!$Q397),"")</f>
        <v/>
      </c>
      <c r="W397" s="10" t="str">
        <f aca="false">IFERROR(IF([1]对账明细接口!$R397=0,"",[1]对账明细接口!$R397),"")</f>
        <v/>
      </c>
      <c r="X397" s="10" t="str">
        <f aca="false">IFERROR(IF([1]对账明细接口!$S397=0,"",[1]对账明细接口!$S397),"")</f>
        <v/>
      </c>
      <c r="Y397" s="10" t="str">
        <f aca="false">""</f>
        <v/>
      </c>
      <c r="Z397" s="10" t="str">
        <f aca="false">""</f>
        <v/>
      </c>
      <c r="AA397" s="10" t="str">
        <f aca="false">""</f>
        <v/>
      </c>
      <c r="AB397" s="10" t="str">
        <f aca="false">""</f>
        <v/>
      </c>
    </row>
    <row r="398" customFormat="false" ht="13.5" hidden="false" customHeight="false" outlineLevel="0" collapsed="false">
      <c r="A398" s="109" t="n">
        <v>398</v>
      </c>
      <c r="B398" s="110" t="str">
        <f aca="false">IFERROR(IF([1]对账明细接口!$B$398=0,"",[1]对账明细接口!$B$398),"")</f>
        <v/>
      </c>
      <c r="C398" s="59" t="str">
        <f aca="false">IFERROR(IF([1]对账明细接口!$C$398=0,"",[1]对账明细接口!$C$398),"")</f>
        <v/>
      </c>
      <c r="D398" s="59" t="str">
        <f aca="false">IFERROR(IF([1]对账明细接口!$D$398=0,"",[1]对账明细接口!$D$398),"")</f>
        <v/>
      </c>
      <c r="E398" s="59" t="str">
        <f aca="false">IFERROR(IF([1]对账明细接口!$E$398=0,"",[1]对账明细接口!$E$398),"")</f>
        <v/>
      </c>
      <c r="F398" s="59" t="str">
        <f aca="false">IFERROR(IF([1]对账明细接口!$F$398=0,"",[1]对账明细接口!$F$398),"")</f>
        <v/>
      </c>
      <c r="G398" s="59" t="str">
        <f aca="false">IFERROR(IF([1]对账明细接口!$G$398=0,"",[1]对账明细接口!$G$398),"")</f>
        <v/>
      </c>
      <c r="H398" s="60" t="str">
        <f aca="false">IFERROR(IF([1]对账明细接口!$H$398=0,"",[1]对账明细接口!$H$398),"")</f>
        <v/>
      </c>
      <c r="I398" s="59" t="str">
        <f aca="false">IFERROR(IF([1]对账明细接口!$I$398=0,"",[1]对账明细接口!$I$398),"")</f>
        <v/>
      </c>
      <c r="J398" s="61" t="str">
        <f aca="false">IFERROR(IF([1]对账明细接口!$J$398=0,"",[1]对账明细接口!$J$398),"")</f>
        <v/>
      </c>
      <c r="K398" s="61" t="str">
        <f aca="false">IFERROR(IF([1]对账明细接口!$K$398=0,"",[1]对账明细接口!$K$398),"")</f>
        <v/>
      </c>
      <c r="L398" s="59" t="str">
        <f aca="false">IFERROR(IF([1]对账明细接口!$L$398=0,"",[1]对账明细接口!$L$398),"")</f>
        <v/>
      </c>
      <c r="M398" s="59" t="str">
        <f aca="false">IFERROR(IF([1]对账明细接口!$M$398=0,"",[1]对账明细接口!$M$398),"")</f>
        <v/>
      </c>
      <c r="N398" s="111" t="n">
        <f aca="false">IF($C398="",0,1)</f>
        <v>0</v>
      </c>
      <c r="O398" s="111" t="n">
        <f aca="false">N(O397)+$N398</f>
        <v>110</v>
      </c>
      <c r="S398" s="10" t="str">
        <f aca="false">IFERROR(IF([1]对账明细接口!$N398=0,"",[1]对账明细接口!$N398),"")</f>
        <v/>
      </c>
      <c r="T398" s="112" t="str">
        <f aca="false">IFERROR(IF([1]对账明细接口!$O398=0,"",[1]对账明细接口!$O398),"")</f>
        <v/>
      </c>
      <c r="U398" s="112" t="str">
        <f aca="false">IFERROR(IF([1]对账明细接口!$P398=0,"",[1]对账明细接口!$P398),"")</f>
        <v/>
      </c>
      <c r="V398" s="112" t="str">
        <f aca="false">IFERROR(IF([1]对账明细接口!$Q398=0,"",[1]对账明细接口!$Q398),"")</f>
        <v/>
      </c>
      <c r="W398" s="10" t="str">
        <f aca="false">IFERROR(IF([1]对账明细接口!$R398=0,"",[1]对账明细接口!$R398),"")</f>
        <v/>
      </c>
      <c r="X398" s="10" t="str">
        <f aca="false">IFERROR(IF([1]对账明细接口!$S398=0,"",[1]对账明细接口!$S398),"")</f>
        <v/>
      </c>
      <c r="Y398" s="10" t="str">
        <f aca="false">""</f>
        <v/>
      </c>
      <c r="Z398" s="10" t="str">
        <f aca="false">""</f>
        <v/>
      </c>
      <c r="AA398" s="10" t="str">
        <f aca="false">""</f>
        <v/>
      </c>
      <c r="AB398" s="10" t="str">
        <f aca="false">""</f>
        <v/>
      </c>
    </row>
    <row r="399" customFormat="false" ht="13.5" hidden="false" customHeight="false" outlineLevel="0" collapsed="false">
      <c r="A399" s="109" t="n">
        <v>399</v>
      </c>
      <c r="B399" s="110" t="str">
        <f aca="false">IFERROR(IF([1]对账明细接口!$B$399=0,"",[1]对账明细接口!$B$399),"")</f>
        <v/>
      </c>
      <c r="C399" s="59" t="str">
        <f aca="false">IFERROR(IF([1]对账明细接口!$C$399=0,"",[1]对账明细接口!$C$399),"")</f>
        <v/>
      </c>
      <c r="D399" s="59" t="str">
        <f aca="false">IFERROR(IF([1]对账明细接口!$D$399=0,"",[1]对账明细接口!$D$399),"")</f>
        <v/>
      </c>
      <c r="E399" s="59" t="str">
        <f aca="false">IFERROR(IF([1]对账明细接口!$E$399=0,"",[1]对账明细接口!$E$399),"")</f>
        <v/>
      </c>
      <c r="F399" s="59" t="str">
        <f aca="false">IFERROR(IF([1]对账明细接口!$F$399=0,"",[1]对账明细接口!$F$399),"")</f>
        <v/>
      </c>
      <c r="G399" s="59" t="str">
        <f aca="false">IFERROR(IF([1]对账明细接口!$G$399=0,"",[1]对账明细接口!$G$399),"")</f>
        <v/>
      </c>
      <c r="H399" s="60" t="str">
        <f aca="false">IFERROR(IF([1]对账明细接口!$H$399=0,"",[1]对账明细接口!$H$399),"")</f>
        <v/>
      </c>
      <c r="I399" s="59" t="str">
        <f aca="false">IFERROR(IF([1]对账明细接口!$I$399=0,"",[1]对账明细接口!$I$399),"")</f>
        <v/>
      </c>
      <c r="J399" s="61" t="str">
        <f aca="false">IFERROR(IF([1]对账明细接口!$J$399=0,"",[1]对账明细接口!$J$399),"")</f>
        <v/>
      </c>
      <c r="K399" s="61" t="str">
        <f aca="false">IFERROR(IF([1]对账明细接口!$K$399=0,"",[1]对账明细接口!$K$399),"")</f>
        <v/>
      </c>
      <c r="L399" s="59" t="str">
        <f aca="false">IFERROR(IF([1]对账明细接口!$L$399=0,"",[1]对账明细接口!$L$399),"")</f>
        <v/>
      </c>
      <c r="M399" s="59" t="str">
        <f aca="false">IFERROR(IF([1]对账明细接口!$M$399=0,"",[1]对账明细接口!$M$399),"")</f>
        <v/>
      </c>
      <c r="N399" s="111" t="n">
        <f aca="false">IF($C399="",0,1)</f>
        <v>0</v>
      </c>
      <c r="O399" s="111" t="n">
        <f aca="false">N(O398)+$N399</f>
        <v>110</v>
      </c>
      <c r="S399" s="10" t="str">
        <f aca="false">IFERROR(IF([1]对账明细接口!$N399=0,"",[1]对账明细接口!$N399),"")</f>
        <v/>
      </c>
      <c r="T399" s="112" t="str">
        <f aca="false">IFERROR(IF([1]对账明细接口!$O399=0,"",[1]对账明细接口!$O399),"")</f>
        <v/>
      </c>
      <c r="U399" s="112" t="str">
        <f aca="false">IFERROR(IF([1]对账明细接口!$P399=0,"",[1]对账明细接口!$P399),"")</f>
        <v/>
      </c>
      <c r="V399" s="112" t="str">
        <f aca="false">IFERROR(IF([1]对账明细接口!$Q399=0,"",[1]对账明细接口!$Q399),"")</f>
        <v/>
      </c>
      <c r="W399" s="10" t="str">
        <f aca="false">IFERROR(IF([1]对账明细接口!$R399=0,"",[1]对账明细接口!$R399),"")</f>
        <v/>
      </c>
      <c r="X399" s="10" t="str">
        <f aca="false">IFERROR(IF([1]对账明细接口!$S399=0,"",[1]对账明细接口!$S399),"")</f>
        <v/>
      </c>
      <c r="Y399" s="10" t="str">
        <f aca="false">""</f>
        <v/>
      </c>
      <c r="Z399" s="10" t="str">
        <f aca="false">""</f>
        <v/>
      </c>
      <c r="AA399" s="10" t="str">
        <f aca="false">""</f>
        <v/>
      </c>
      <c r="AB399" s="10" t="str">
        <f aca="false">""</f>
        <v/>
      </c>
    </row>
    <row r="400" customFormat="false" ht="13.5" hidden="false" customHeight="false" outlineLevel="0" collapsed="false">
      <c r="A400" s="109" t="n">
        <v>400</v>
      </c>
      <c r="B400" s="110" t="str">
        <f aca="false">IFERROR(IF([1]对账明细接口!$B$400=0,"",[1]对账明细接口!$B$400),"")</f>
        <v/>
      </c>
      <c r="C400" s="59" t="str">
        <f aca="false">IFERROR(IF([1]对账明细接口!$C$400=0,"",[1]对账明细接口!$C$400),"")</f>
        <v/>
      </c>
      <c r="D400" s="59" t="str">
        <f aca="false">IFERROR(IF([1]对账明细接口!$D$400=0,"",[1]对账明细接口!$D$400),"")</f>
        <v/>
      </c>
      <c r="E400" s="59" t="str">
        <f aca="false">IFERROR(IF([1]对账明细接口!$E$400=0,"",[1]对账明细接口!$E$400),"")</f>
        <v/>
      </c>
      <c r="F400" s="59" t="str">
        <f aca="false">IFERROR(IF([1]对账明细接口!$F$400=0,"",[1]对账明细接口!$F$400),"")</f>
        <v/>
      </c>
      <c r="G400" s="59" t="str">
        <f aca="false">IFERROR(IF([1]对账明细接口!$G$400=0,"",[1]对账明细接口!$G$400),"")</f>
        <v/>
      </c>
      <c r="H400" s="60" t="str">
        <f aca="false">IFERROR(IF([1]对账明细接口!$H$400=0,"",[1]对账明细接口!$H$400),"")</f>
        <v/>
      </c>
      <c r="I400" s="59" t="str">
        <f aca="false">IFERROR(IF([1]对账明细接口!$I$400=0,"",[1]对账明细接口!$I$400),"")</f>
        <v/>
      </c>
      <c r="J400" s="61" t="str">
        <f aca="false">IFERROR(IF([1]对账明细接口!$J$400=0,"",[1]对账明细接口!$J$400),"")</f>
        <v/>
      </c>
      <c r="K400" s="61" t="str">
        <f aca="false">IFERROR(IF([1]对账明细接口!$K$400=0,"",[1]对账明细接口!$K$400),"")</f>
        <v/>
      </c>
      <c r="L400" s="59" t="str">
        <f aca="false">IFERROR(IF([1]对账明细接口!$L$400=0,"",[1]对账明细接口!$L$400),"")</f>
        <v/>
      </c>
      <c r="M400" s="59" t="str">
        <f aca="false">IFERROR(IF([1]对账明细接口!$M$400=0,"",[1]对账明细接口!$M$400),"")</f>
        <v/>
      </c>
      <c r="N400" s="111" t="n">
        <f aca="false">IF($C400="",0,1)</f>
        <v>0</v>
      </c>
      <c r="O400" s="111" t="n">
        <f aca="false">N(O399)+$N400</f>
        <v>110</v>
      </c>
      <c r="S400" s="10" t="str">
        <f aca="false">IFERROR(IF([1]对账明细接口!$N400=0,"",[1]对账明细接口!$N400),"")</f>
        <v/>
      </c>
      <c r="T400" s="112" t="str">
        <f aca="false">IFERROR(IF([1]对账明细接口!$O400=0,"",[1]对账明细接口!$O400),"")</f>
        <v/>
      </c>
      <c r="U400" s="112" t="str">
        <f aca="false">IFERROR(IF([1]对账明细接口!$P400=0,"",[1]对账明细接口!$P400),"")</f>
        <v/>
      </c>
      <c r="V400" s="112" t="str">
        <f aca="false">IFERROR(IF([1]对账明细接口!$Q400=0,"",[1]对账明细接口!$Q400),"")</f>
        <v/>
      </c>
      <c r="W400" s="10" t="str">
        <f aca="false">IFERROR(IF([1]对账明细接口!$R400=0,"",[1]对账明细接口!$R400),"")</f>
        <v/>
      </c>
      <c r="X400" s="10" t="str">
        <f aca="false">IFERROR(IF([1]对账明细接口!$S400=0,"",[1]对账明细接口!$S400),"")</f>
        <v/>
      </c>
      <c r="Y400" s="10" t="str">
        <f aca="false">""</f>
        <v/>
      </c>
      <c r="Z400" s="10" t="str">
        <f aca="false">""</f>
        <v/>
      </c>
      <c r="AA400" s="10" t="str">
        <f aca="false">""</f>
        <v/>
      </c>
      <c r="AB400" s="10" t="str">
        <f aca="false">""</f>
        <v/>
      </c>
    </row>
    <row r="401" customFormat="false" ht="13.5" hidden="false" customHeight="false" outlineLevel="0" collapsed="false">
      <c r="A401" s="109" t="n">
        <v>401</v>
      </c>
      <c r="B401" s="110" t="str">
        <f aca="false">IFERROR(IF([1]对账明细接口!$B$401=0,"",[1]对账明细接口!$B$401),"")</f>
        <v/>
      </c>
      <c r="C401" s="59" t="str">
        <f aca="false">IFERROR(IF([1]对账明细接口!$C$401=0,"",[1]对账明细接口!$C$401),"")</f>
        <v/>
      </c>
      <c r="D401" s="59" t="str">
        <f aca="false">IFERROR(IF([1]对账明细接口!$D$401=0,"",[1]对账明细接口!$D$401),"")</f>
        <v/>
      </c>
      <c r="E401" s="59" t="str">
        <f aca="false">IFERROR(IF([1]对账明细接口!$E$401=0,"",[1]对账明细接口!$E$401),"")</f>
        <v/>
      </c>
      <c r="F401" s="59" t="str">
        <f aca="false">IFERROR(IF([1]对账明细接口!$F$401=0,"",[1]对账明细接口!$F$401),"")</f>
        <v/>
      </c>
      <c r="G401" s="59" t="str">
        <f aca="false">IFERROR(IF([1]对账明细接口!$G$401=0,"",[1]对账明细接口!$G$401),"")</f>
        <v/>
      </c>
      <c r="H401" s="60" t="str">
        <f aca="false">IFERROR(IF([1]对账明细接口!$H$401=0,"",[1]对账明细接口!$H$401),"")</f>
        <v/>
      </c>
      <c r="I401" s="59" t="str">
        <f aca="false">IFERROR(IF([1]对账明细接口!$I$401=0,"",[1]对账明细接口!$I$401),"")</f>
        <v/>
      </c>
      <c r="J401" s="61" t="str">
        <f aca="false">IFERROR(IF([1]对账明细接口!$J$401=0,"",[1]对账明细接口!$J$401),"")</f>
        <v/>
      </c>
      <c r="K401" s="61" t="str">
        <f aca="false">IFERROR(IF([1]对账明细接口!$K$401=0,"",[1]对账明细接口!$K$401),"")</f>
        <v/>
      </c>
      <c r="L401" s="59" t="str">
        <f aca="false">IFERROR(IF([1]对账明细接口!$L$401=0,"",[1]对账明细接口!$L$401),"")</f>
        <v/>
      </c>
      <c r="M401" s="59" t="str">
        <f aca="false">IFERROR(IF([1]对账明细接口!$M$401=0,"",[1]对账明细接口!$M$401),"")</f>
        <v/>
      </c>
      <c r="N401" s="111" t="n">
        <f aca="false">IF($C401="",0,1)</f>
        <v>0</v>
      </c>
      <c r="O401" s="111" t="n">
        <f aca="false">N(O400)+$N401</f>
        <v>110</v>
      </c>
      <c r="S401" s="10" t="str">
        <f aca="false">IFERROR(IF([1]对账明细接口!$N401=0,"",[1]对账明细接口!$N401),"")</f>
        <v/>
      </c>
      <c r="T401" s="112" t="str">
        <f aca="false">IFERROR(IF([1]对账明细接口!$O401=0,"",[1]对账明细接口!$O401),"")</f>
        <v/>
      </c>
      <c r="U401" s="112" t="str">
        <f aca="false">IFERROR(IF([1]对账明细接口!$P401=0,"",[1]对账明细接口!$P401),"")</f>
        <v/>
      </c>
      <c r="V401" s="112" t="str">
        <f aca="false">IFERROR(IF([1]对账明细接口!$Q401=0,"",[1]对账明细接口!$Q401),"")</f>
        <v/>
      </c>
      <c r="W401" s="10" t="str">
        <f aca="false">IFERROR(IF([1]对账明细接口!$R401=0,"",[1]对账明细接口!$R401),"")</f>
        <v/>
      </c>
      <c r="X401" s="10" t="str">
        <f aca="false">IFERROR(IF([1]对账明细接口!$S401=0,"",[1]对账明细接口!$S401),"")</f>
        <v/>
      </c>
      <c r="Y401" s="10" t="str">
        <f aca="false">""</f>
        <v/>
      </c>
      <c r="Z401" s="10" t="str">
        <f aca="false">""</f>
        <v/>
      </c>
      <c r="AA401" s="10" t="str">
        <f aca="false">""</f>
        <v/>
      </c>
      <c r="AB401" s="10" t="str">
        <f aca="false">""</f>
        <v/>
      </c>
    </row>
    <row r="402" customFormat="false" ht="13.5" hidden="false" customHeight="false" outlineLevel="0" collapsed="false">
      <c r="A402" s="109" t="n">
        <v>402</v>
      </c>
      <c r="B402" s="110" t="str">
        <f aca="false">IFERROR(IF([1]对账明细接口!$B$402=0,"",[1]对账明细接口!$B$402),"")</f>
        <v/>
      </c>
      <c r="C402" s="59" t="str">
        <f aca="false">IFERROR(IF([1]对账明细接口!$C$402=0,"",[1]对账明细接口!$C$402),"")</f>
        <v/>
      </c>
      <c r="D402" s="59" t="str">
        <f aca="false">IFERROR(IF([1]对账明细接口!$D$402=0,"",[1]对账明细接口!$D$402),"")</f>
        <v/>
      </c>
      <c r="E402" s="59" t="str">
        <f aca="false">IFERROR(IF([1]对账明细接口!$E$402=0,"",[1]对账明细接口!$E$402),"")</f>
        <v/>
      </c>
      <c r="F402" s="59" t="str">
        <f aca="false">IFERROR(IF([1]对账明细接口!$F$402=0,"",[1]对账明细接口!$F$402),"")</f>
        <v/>
      </c>
      <c r="G402" s="59" t="str">
        <f aca="false">IFERROR(IF([1]对账明细接口!$G$402=0,"",[1]对账明细接口!$G$402),"")</f>
        <v/>
      </c>
      <c r="H402" s="60" t="str">
        <f aca="false">IFERROR(IF([1]对账明细接口!$H$402=0,"",[1]对账明细接口!$H$402),"")</f>
        <v/>
      </c>
      <c r="I402" s="59" t="str">
        <f aca="false">IFERROR(IF([1]对账明细接口!$I$402=0,"",[1]对账明细接口!$I$402),"")</f>
        <v/>
      </c>
      <c r="J402" s="61" t="str">
        <f aca="false">IFERROR(IF([1]对账明细接口!$J$402=0,"",[1]对账明细接口!$J$402),"")</f>
        <v/>
      </c>
      <c r="K402" s="61" t="str">
        <f aca="false">IFERROR(IF([1]对账明细接口!$K$402=0,"",[1]对账明细接口!$K$402),"")</f>
        <v/>
      </c>
      <c r="L402" s="59" t="str">
        <f aca="false">IFERROR(IF([1]对账明细接口!$L$402=0,"",[1]对账明细接口!$L$402),"")</f>
        <v/>
      </c>
      <c r="M402" s="59" t="str">
        <f aca="false">IFERROR(IF([1]对账明细接口!$M$402=0,"",[1]对账明细接口!$M$402),"")</f>
        <v/>
      </c>
      <c r="N402" s="111" t="n">
        <f aca="false">IF($C402="",0,1)</f>
        <v>0</v>
      </c>
      <c r="O402" s="111" t="n">
        <f aca="false">N(O401)+$N402</f>
        <v>110</v>
      </c>
      <c r="S402" s="10" t="str">
        <f aca="false">IFERROR(IF([1]对账明细接口!$N402=0,"",[1]对账明细接口!$N402),"")</f>
        <v/>
      </c>
      <c r="T402" s="112" t="str">
        <f aca="false">IFERROR(IF([1]对账明细接口!$O402=0,"",[1]对账明细接口!$O402),"")</f>
        <v/>
      </c>
      <c r="U402" s="112" t="str">
        <f aca="false">IFERROR(IF([1]对账明细接口!$P402=0,"",[1]对账明细接口!$P402),"")</f>
        <v/>
      </c>
      <c r="V402" s="112" t="str">
        <f aca="false">IFERROR(IF([1]对账明细接口!$Q402=0,"",[1]对账明细接口!$Q402),"")</f>
        <v/>
      </c>
      <c r="W402" s="10" t="str">
        <f aca="false">IFERROR(IF([1]对账明细接口!$R402=0,"",[1]对账明细接口!$R402),"")</f>
        <v/>
      </c>
      <c r="X402" s="10" t="str">
        <f aca="false">IFERROR(IF([1]对账明细接口!$S402=0,"",[1]对账明细接口!$S402),"")</f>
        <v/>
      </c>
      <c r="Y402" s="10" t="str">
        <f aca="false">""</f>
        <v/>
      </c>
      <c r="Z402" s="10" t="str">
        <f aca="false">""</f>
        <v/>
      </c>
      <c r="AA402" s="10" t="str">
        <f aca="false">""</f>
        <v/>
      </c>
      <c r="AB402" s="10" t="str">
        <f aca="false">""</f>
        <v/>
      </c>
    </row>
    <row r="403" customFormat="false" ht="13.5" hidden="false" customHeight="false" outlineLevel="0" collapsed="false">
      <c r="A403" s="109" t="n">
        <v>403</v>
      </c>
      <c r="B403" s="110" t="str">
        <f aca="false">IFERROR(IF([1]对账明细接口!$B$403=0,"",[1]对账明细接口!$B$403),"")</f>
        <v/>
      </c>
      <c r="C403" s="59" t="str">
        <f aca="false">IFERROR(IF([1]对账明细接口!$C$403=0,"",[1]对账明细接口!$C$403),"")</f>
        <v/>
      </c>
      <c r="D403" s="59" t="str">
        <f aca="false">IFERROR(IF([1]对账明细接口!$D$403=0,"",[1]对账明细接口!$D$403),"")</f>
        <v/>
      </c>
      <c r="E403" s="59" t="str">
        <f aca="false">IFERROR(IF([1]对账明细接口!$E$403=0,"",[1]对账明细接口!$E$403),"")</f>
        <v/>
      </c>
      <c r="F403" s="59" t="str">
        <f aca="false">IFERROR(IF([1]对账明细接口!$F$403=0,"",[1]对账明细接口!$F$403),"")</f>
        <v/>
      </c>
      <c r="G403" s="59" t="str">
        <f aca="false">IFERROR(IF([1]对账明细接口!$G$403=0,"",[1]对账明细接口!$G$403),"")</f>
        <v/>
      </c>
      <c r="H403" s="60" t="str">
        <f aca="false">IFERROR(IF([1]对账明细接口!$H$403=0,"",[1]对账明细接口!$H$403),"")</f>
        <v/>
      </c>
      <c r="I403" s="59" t="str">
        <f aca="false">IFERROR(IF([1]对账明细接口!$I$403=0,"",[1]对账明细接口!$I$403),"")</f>
        <v/>
      </c>
      <c r="J403" s="61" t="str">
        <f aca="false">IFERROR(IF([1]对账明细接口!$J$403=0,"",[1]对账明细接口!$J$403),"")</f>
        <v/>
      </c>
      <c r="K403" s="61" t="str">
        <f aca="false">IFERROR(IF([1]对账明细接口!$K$403=0,"",[1]对账明细接口!$K$403),"")</f>
        <v/>
      </c>
      <c r="L403" s="59" t="str">
        <f aca="false">IFERROR(IF([1]对账明细接口!$L$403=0,"",[1]对账明细接口!$L$403),"")</f>
        <v/>
      </c>
      <c r="M403" s="59" t="str">
        <f aca="false">IFERROR(IF([1]对账明细接口!$M$403=0,"",[1]对账明细接口!$M$403),"")</f>
        <v/>
      </c>
      <c r="N403" s="111" t="n">
        <f aca="false">IF($C403="",0,1)</f>
        <v>0</v>
      </c>
      <c r="O403" s="111" t="n">
        <f aca="false">N(O402)+$N403</f>
        <v>110</v>
      </c>
      <c r="S403" s="10" t="str">
        <f aca="false">IFERROR(IF([1]对账明细接口!$N403=0,"",[1]对账明细接口!$N403),"")</f>
        <v/>
      </c>
      <c r="T403" s="112" t="str">
        <f aca="false">IFERROR(IF([1]对账明细接口!$O403=0,"",[1]对账明细接口!$O403),"")</f>
        <v/>
      </c>
      <c r="U403" s="112" t="str">
        <f aca="false">IFERROR(IF([1]对账明细接口!$P403=0,"",[1]对账明细接口!$P403),"")</f>
        <v/>
      </c>
      <c r="V403" s="112" t="str">
        <f aca="false">IFERROR(IF([1]对账明细接口!$Q403=0,"",[1]对账明细接口!$Q403),"")</f>
        <v/>
      </c>
      <c r="W403" s="10" t="str">
        <f aca="false">IFERROR(IF([1]对账明细接口!$R403=0,"",[1]对账明细接口!$R403),"")</f>
        <v/>
      </c>
      <c r="X403" s="10" t="str">
        <f aca="false">IFERROR(IF([1]对账明细接口!$S403=0,"",[1]对账明细接口!$S403),"")</f>
        <v/>
      </c>
      <c r="Y403" s="10" t="str">
        <f aca="false">""</f>
        <v/>
      </c>
      <c r="Z403" s="10" t="str">
        <f aca="false">""</f>
        <v/>
      </c>
      <c r="AA403" s="10" t="str">
        <f aca="false">""</f>
        <v/>
      </c>
      <c r="AB403" s="10" t="str">
        <f aca="false">""</f>
        <v/>
      </c>
    </row>
    <row r="404" customFormat="false" ht="13.5" hidden="false" customHeight="false" outlineLevel="0" collapsed="false">
      <c r="A404" s="109" t="n">
        <v>404</v>
      </c>
      <c r="B404" s="110" t="str">
        <f aca="false">IFERROR(IF([1]对账明细接口!$B$404=0,"",[1]对账明细接口!$B$404),"")</f>
        <v/>
      </c>
      <c r="C404" s="59" t="str">
        <f aca="false">IFERROR(IF([1]对账明细接口!$C$404=0,"",[1]对账明细接口!$C$404),"")</f>
        <v/>
      </c>
      <c r="D404" s="59" t="str">
        <f aca="false">IFERROR(IF([1]对账明细接口!$D$404=0,"",[1]对账明细接口!$D$404),"")</f>
        <v/>
      </c>
      <c r="E404" s="59" t="str">
        <f aca="false">IFERROR(IF([1]对账明细接口!$E$404=0,"",[1]对账明细接口!$E$404),"")</f>
        <v/>
      </c>
      <c r="F404" s="59" t="str">
        <f aca="false">IFERROR(IF([1]对账明细接口!$F$404=0,"",[1]对账明细接口!$F$404),"")</f>
        <v/>
      </c>
      <c r="G404" s="59" t="str">
        <f aca="false">IFERROR(IF([1]对账明细接口!$G$404=0,"",[1]对账明细接口!$G$404),"")</f>
        <v/>
      </c>
      <c r="H404" s="60" t="str">
        <f aca="false">IFERROR(IF([1]对账明细接口!$H$404=0,"",[1]对账明细接口!$H$404),"")</f>
        <v/>
      </c>
      <c r="I404" s="59" t="str">
        <f aca="false">IFERROR(IF([1]对账明细接口!$I$404=0,"",[1]对账明细接口!$I$404),"")</f>
        <v/>
      </c>
      <c r="J404" s="61" t="str">
        <f aca="false">IFERROR(IF([1]对账明细接口!$J$404=0,"",[1]对账明细接口!$J$404),"")</f>
        <v/>
      </c>
      <c r="K404" s="61" t="str">
        <f aca="false">IFERROR(IF([1]对账明细接口!$K$404=0,"",[1]对账明细接口!$K$404),"")</f>
        <v/>
      </c>
      <c r="L404" s="59" t="str">
        <f aca="false">IFERROR(IF([1]对账明细接口!$L$404=0,"",[1]对账明细接口!$L$404),"")</f>
        <v/>
      </c>
      <c r="M404" s="59" t="str">
        <f aca="false">IFERROR(IF([1]对账明细接口!$M$404=0,"",[1]对账明细接口!$M$404),"")</f>
        <v/>
      </c>
      <c r="N404" s="111" t="n">
        <f aca="false">IF($C404="",0,1)</f>
        <v>0</v>
      </c>
      <c r="O404" s="111" t="n">
        <f aca="false">N(O403)+$N404</f>
        <v>110</v>
      </c>
      <c r="S404" s="10" t="str">
        <f aca="false">IFERROR(IF([1]对账明细接口!$N404=0,"",[1]对账明细接口!$N404),"")</f>
        <v/>
      </c>
      <c r="T404" s="112" t="str">
        <f aca="false">IFERROR(IF([1]对账明细接口!$O404=0,"",[1]对账明细接口!$O404),"")</f>
        <v/>
      </c>
      <c r="U404" s="112" t="str">
        <f aca="false">IFERROR(IF([1]对账明细接口!$P404=0,"",[1]对账明细接口!$P404),"")</f>
        <v/>
      </c>
      <c r="V404" s="112" t="str">
        <f aca="false">IFERROR(IF([1]对账明细接口!$Q404=0,"",[1]对账明细接口!$Q404),"")</f>
        <v/>
      </c>
      <c r="W404" s="10" t="str">
        <f aca="false">IFERROR(IF([1]对账明细接口!$R404=0,"",[1]对账明细接口!$R404),"")</f>
        <v/>
      </c>
      <c r="X404" s="10" t="str">
        <f aca="false">IFERROR(IF([1]对账明细接口!$S404=0,"",[1]对账明细接口!$S404),"")</f>
        <v/>
      </c>
      <c r="Y404" s="10" t="str">
        <f aca="false">""</f>
        <v/>
      </c>
      <c r="Z404" s="10" t="str">
        <f aca="false">""</f>
        <v/>
      </c>
      <c r="AA404" s="10" t="str">
        <f aca="false">""</f>
        <v/>
      </c>
      <c r="AB404" s="10" t="str">
        <f aca="false">""</f>
        <v/>
      </c>
    </row>
    <row r="405" customFormat="false" ht="13.5" hidden="false" customHeight="false" outlineLevel="0" collapsed="false">
      <c r="A405" s="109" t="n">
        <v>405</v>
      </c>
      <c r="B405" s="110" t="str">
        <f aca="false">IFERROR(IF([1]对账明细接口!$B$405=0,"",[1]对账明细接口!$B$405),"")</f>
        <v/>
      </c>
      <c r="C405" s="59" t="str">
        <f aca="false">IFERROR(IF([1]对账明细接口!$C$405=0,"",[1]对账明细接口!$C$405),"")</f>
        <v/>
      </c>
      <c r="D405" s="59" t="str">
        <f aca="false">IFERROR(IF([1]对账明细接口!$D$405=0,"",[1]对账明细接口!$D$405),"")</f>
        <v/>
      </c>
      <c r="E405" s="59" t="str">
        <f aca="false">IFERROR(IF([1]对账明细接口!$E$405=0,"",[1]对账明细接口!$E$405),"")</f>
        <v/>
      </c>
      <c r="F405" s="59" t="str">
        <f aca="false">IFERROR(IF([1]对账明细接口!$F$405=0,"",[1]对账明细接口!$F$405),"")</f>
        <v/>
      </c>
      <c r="G405" s="59" t="str">
        <f aca="false">IFERROR(IF([1]对账明细接口!$G$405=0,"",[1]对账明细接口!$G$405),"")</f>
        <v/>
      </c>
      <c r="H405" s="60" t="str">
        <f aca="false">IFERROR(IF([1]对账明细接口!$H$405=0,"",[1]对账明细接口!$H$405),"")</f>
        <v/>
      </c>
      <c r="I405" s="59" t="str">
        <f aca="false">IFERROR(IF([1]对账明细接口!$I$405=0,"",[1]对账明细接口!$I$405),"")</f>
        <v/>
      </c>
      <c r="J405" s="61" t="str">
        <f aca="false">IFERROR(IF([1]对账明细接口!$J$405=0,"",[1]对账明细接口!$J$405),"")</f>
        <v/>
      </c>
      <c r="K405" s="61" t="str">
        <f aca="false">IFERROR(IF([1]对账明细接口!$K$405=0,"",[1]对账明细接口!$K$405),"")</f>
        <v/>
      </c>
      <c r="L405" s="59" t="str">
        <f aca="false">IFERROR(IF([1]对账明细接口!$L$405=0,"",[1]对账明细接口!$L$405),"")</f>
        <v/>
      </c>
      <c r="M405" s="59" t="str">
        <f aca="false">IFERROR(IF([1]对账明细接口!$M$405=0,"",[1]对账明细接口!$M$405),"")</f>
        <v/>
      </c>
      <c r="N405" s="111" t="n">
        <f aca="false">IF($C405="",0,1)</f>
        <v>0</v>
      </c>
      <c r="O405" s="111" t="n">
        <f aca="false">N(O404)+$N405</f>
        <v>110</v>
      </c>
      <c r="S405" s="10" t="str">
        <f aca="false">IFERROR(IF([1]对账明细接口!$N405=0,"",[1]对账明细接口!$N405),"")</f>
        <v/>
      </c>
      <c r="T405" s="112" t="str">
        <f aca="false">IFERROR(IF([1]对账明细接口!$O405=0,"",[1]对账明细接口!$O405),"")</f>
        <v/>
      </c>
      <c r="U405" s="112" t="str">
        <f aca="false">IFERROR(IF([1]对账明细接口!$P405=0,"",[1]对账明细接口!$P405),"")</f>
        <v/>
      </c>
      <c r="V405" s="112" t="str">
        <f aca="false">IFERROR(IF([1]对账明细接口!$Q405=0,"",[1]对账明细接口!$Q405),"")</f>
        <v/>
      </c>
      <c r="W405" s="10" t="str">
        <f aca="false">IFERROR(IF([1]对账明细接口!$R405=0,"",[1]对账明细接口!$R405),"")</f>
        <v/>
      </c>
      <c r="X405" s="10" t="str">
        <f aca="false">IFERROR(IF([1]对账明细接口!$S405=0,"",[1]对账明细接口!$S405),"")</f>
        <v/>
      </c>
      <c r="Y405" s="10" t="str">
        <f aca="false">""</f>
        <v/>
      </c>
      <c r="Z405" s="10" t="str">
        <f aca="false">""</f>
        <v/>
      </c>
      <c r="AA405" s="10" t="str">
        <f aca="false">""</f>
        <v/>
      </c>
      <c r="AB405" s="10" t="str">
        <f aca="false">""</f>
        <v/>
      </c>
    </row>
    <row r="406" customFormat="false" ht="13.5" hidden="false" customHeight="false" outlineLevel="0" collapsed="false">
      <c r="A406" s="109" t="n">
        <v>406</v>
      </c>
      <c r="B406" s="110" t="str">
        <f aca="false">IFERROR(IF([1]对账明细接口!$B$406=0,"",[1]对账明细接口!$B$406),"")</f>
        <v/>
      </c>
      <c r="C406" s="59" t="str">
        <f aca="false">IFERROR(IF([1]对账明细接口!$C$406=0,"",[1]对账明细接口!$C$406),"")</f>
        <v/>
      </c>
      <c r="D406" s="59" t="str">
        <f aca="false">IFERROR(IF([1]对账明细接口!$D$406=0,"",[1]对账明细接口!$D$406),"")</f>
        <v/>
      </c>
      <c r="E406" s="59" t="str">
        <f aca="false">IFERROR(IF([1]对账明细接口!$E$406=0,"",[1]对账明细接口!$E$406),"")</f>
        <v/>
      </c>
      <c r="F406" s="59" t="str">
        <f aca="false">IFERROR(IF([1]对账明细接口!$F$406=0,"",[1]对账明细接口!$F$406),"")</f>
        <v/>
      </c>
      <c r="G406" s="59" t="str">
        <f aca="false">IFERROR(IF([1]对账明细接口!$G$406=0,"",[1]对账明细接口!$G$406),"")</f>
        <v/>
      </c>
      <c r="H406" s="60" t="str">
        <f aca="false">IFERROR(IF([1]对账明细接口!$H$406=0,"",[1]对账明细接口!$H$406),"")</f>
        <v/>
      </c>
      <c r="I406" s="59" t="str">
        <f aca="false">IFERROR(IF([1]对账明细接口!$I$406=0,"",[1]对账明细接口!$I$406),"")</f>
        <v/>
      </c>
      <c r="J406" s="61" t="str">
        <f aca="false">IFERROR(IF([1]对账明细接口!$J$406=0,"",[1]对账明细接口!$J$406),"")</f>
        <v/>
      </c>
      <c r="K406" s="61" t="str">
        <f aca="false">IFERROR(IF([1]对账明细接口!$K$406=0,"",[1]对账明细接口!$K$406),"")</f>
        <v/>
      </c>
      <c r="L406" s="59" t="str">
        <f aca="false">IFERROR(IF([1]对账明细接口!$L$406=0,"",[1]对账明细接口!$L$406),"")</f>
        <v/>
      </c>
      <c r="M406" s="59" t="str">
        <f aca="false">IFERROR(IF([1]对账明细接口!$M$406=0,"",[1]对账明细接口!$M$406),"")</f>
        <v/>
      </c>
      <c r="N406" s="111" t="n">
        <f aca="false">IF($C406="",0,1)</f>
        <v>0</v>
      </c>
      <c r="O406" s="111" t="n">
        <f aca="false">N(O405)+$N406</f>
        <v>110</v>
      </c>
      <c r="S406" s="10" t="str">
        <f aca="false">IFERROR(IF([1]对账明细接口!$N406=0,"",[1]对账明细接口!$N406),"")</f>
        <v/>
      </c>
      <c r="T406" s="112" t="str">
        <f aca="false">IFERROR(IF([1]对账明细接口!$O406=0,"",[1]对账明细接口!$O406),"")</f>
        <v/>
      </c>
      <c r="U406" s="112" t="str">
        <f aca="false">IFERROR(IF([1]对账明细接口!$P406=0,"",[1]对账明细接口!$P406),"")</f>
        <v/>
      </c>
      <c r="V406" s="112" t="str">
        <f aca="false">IFERROR(IF([1]对账明细接口!$Q406=0,"",[1]对账明细接口!$Q406),"")</f>
        <v/>
      </c>
      <c r="W406" s="10" t="str">
        <f aca="false">IFERROR(IF([1]对账明细接口!$R406=0,"",[1]对账明细接口!$R406),"")</f>
        <v/>
      </c>
      <c r="X406" s="10" t="str">
        <f aca="false">IFERROR(IF([1]对账明细接口!$S406=0,"",[1]对账明细接口!$S406),"")</f>
        <v/>
      </c>
      <c r="Y406" s="10" t="str">
        <f aca="false">""</f>
        <v/>
      </c>
      <c r="Z406" s="10" t="str">
        <f aca="false">""</f>
        <v/>
      </c>
      <c r="AA406" s="10" t="str">
        <f aca="false">""</f>
        <v/>
      </c>
      <c r="AB406" s="10" t="str">
        <f aca="false">""</f>
        <v/>
      </c>
    </row>
    <row r="407" customFormat="false" ht="13.5" hidden="false" customHeight="false" outlineLevel="0" collapsed="false">
      <c r="A407" s="109" t="n">
        <v>407</v>
      </c>
      <c r="B407" s="110" t="str">
        <f aca="false">IFERROR(IF([1]对账明细接口!$B$407=0,"",[1]对账明细接口!$B$407),"")</f>
        <v/>
      </c>
      <c r="C407" s="59" t="str">
        <f aca="false">IFERROR(IF([1]对账明细接口!$C$407=0,"",[1]对账明细接口!$C$407),"")</f>
        <v/>
      </c>
      <c r="D407" s="59" t="str">
        <f aca="false">IFERROR(IF([1]对账明细接口!$D$407=0,"",[1]对账明细接口!$D$407),"")</f>
        <v/>
      </c>
      <c r="E407" s="59" t="str">
        <f aca="false">IFERROR(IF([1]对账明细接口!$E$407=0,"",[1]对账明细接口!$E$407),"")</f>
        <v/>
      </c>
      <c r="F407" s="59" t="str">
        <f aca="false">IFERROR(IF([1]对账明细接口!$F$407=0,"",[1]对账明细接口!$F$407),"")</f>
        <v/>
      </c>
      <c r="G407" s="59" t="str">
        <f aca="false">IFERROR(IF([1]对账明细接口!$G$407=0,"",[1]对账明细接口!$G$407),"")</f>
        <v/>
      </c>
      <c r="H407" s="60" t="str">
        <f aca="false">IFERROR(IF([1]对账明细接口!$H$407=0,"",[1]对账明细接口!$H$407),"")</f>
        <v/>
      </c>
      <c r="I407" s="59" t="str">
        <f aca="false">IFERROR(IF([1]对账明细接口!$I$407=0,"",[1]对账明细接口!$I$407),"")</f>
        <v/>
      </c>
      <c r="J407" s="61" t="str">
        <f aca="false">IFERROR(IF([1]对账明细接口!$J$407=0,"",[1]对账明细接口!$J$407),"")</f>
        <v/>
      </c>
      <c r="K407" s="61" t="str">
        <f aca="false">IFERROR(IF([1]对账明细接口!$K$407=0,"",[1]对账明细接口!$K$407),"")</f>
        <v/>
      </c>
      <c r="L407" s="59" t="str">
        <f aca="false">IFERROR(IF([1]对账明细接口!$L$407=0,"",[1]对账明细接口!$L$407),"")</f>
        <v/>
      </c>
      <c r="M407" s="59" t="str">
        <f aca="false">IFERROR(IF([1]对账明细接口!$M$407=0,"",[1]对账明细接口!$M$407),"")</f>
        <v/>
      </c>
      <c r="N407" s="111" t="n">
        <f aca="false">IF($C407="",0,1)</f>
        <v>0</v>
      </c>
      <c r="O407" s="111" t="n">
        <f aca="false">N(O406)+$N407</f>
        <v>110</v>
      </c>
      <c r="S407" s="10" t="str">
        <f aca="false">IFERROR(IF([1]对账明细接口!$N407=0,"",[1]对账明细接口!$N407),"")</f>
        <v/>
      </c>
      <c r="T407" s="112" t="str">
        <f aca="false">IFERROR(IF([1]对账明细接口!$O407=0,"",[1]对账明细接口!$O407),"")</f>
        <v/>
      </c>
      <c r="U407" s="112" t="str">
        <f aca="false">IFERROR(IF([1]对账明细接口!$P407=0,"",[1]对账明细接口!$P407),"")</f>
        <v/>
      </c>
      <c r="V407" s="112" t="str">
        <f aca="false">IFERROR(IF([1]对账明细接口!$Q407=0,"",[1]对账明细接口!$Q407),"")</f>
        <v/>
      </c>
      <c r="W407" s="10" t="str">
        <f aca="false">IFERROR(IF([1]对账明细接口!$R407=0,"",[1]对账明细接口!$R407),"")</f>
        <v/>
      </c>
      <c r="X407" s="10" t="str">
        <f aca="false">IFERROR(IF([1]对账明细接口!$S407=0,"",[1]对账明细接口!$S407),"")</f>
        <v/>
      </c>
      <c r="Y407" s="10" t="str">
        <f aca="false">""</f>
        <v/>
      </c>
      <c r="Z407" s="10" t="str">
        <f aca="false">""</f>
        <v/>
      </c>
      <c r="AA407" s="10" t="str">
        <f aca="false">""</f>
        <v/>
      </c>
      <c r="AB407" s="10" t="str">
        <f aca="false">""</f>
        <v/>
      </c>
    </row>
    <row r="408" customFormat="false" ht="13.5" hidden="false" customHeight="false" outlineLevel="0" collapsed="false">
      <c r="A408" s="109" t="n">
        <v>408</v>
      </c>
      <c r="B408" s="110" t="str">
        <f aca="false">IFERROR(IF([1]对账明细接口!$B$408=0,"",[1]对账明细接口!$B$408),"")</f>
        <v/>
      </c>
      <c r="C408" s="59" t="str">
        <f aca="false">IFERROR(IF([1]对账明细接口!$C$408=0,"",[1]对账明细接口!$C$408),"")</f>
        <v/>
      </c>
      <c r="D408" s="59" t="str">
        <f aca="false">IFERROR(IF([1]对账明细接口!$D$408=0,"",[1]对账明细接口!$D$408),"")</f>
        <v/>
      </c>
      <c r="E408" s="59" t="str">
        <f aca="false">IFERROR(IF([1]对账明细接口!$E$408=0,"",[1]对账明细接口!$E$408),"")</f>
        <v/>
      </c>
      <c r="F408" s="59" t="str">
        <f aca="false">IFERROR(IF([1]对账明细接口!$F$408=0,"",[1]对账明细接口!$F$408),"")</f>
        <v/>
      </c>
      <c r="G408" s="59" t="str">
        <f aca="false">IFERROR(IF([1]对账明细接口!$G$408=0,"",[1]对账明细接口!$G$408),"")</f>
        <v/>
      </c>
      <c r="H408" s="60" t="str">
        <f aca="false">IFERROR(IF([1]对账明细接口!$H$408=0,"",[1]对账明细接口!$H$408),"")</f>
        <v/>
      </c>
      <c r="I408" s="59" t="str">
        <f aca="false">IFERROR(IF([1]对账明细接口!$I$408=0,"",[1]对账明细接口!$I$408),"")</f>
        <v/>
      </c>
      <c r="J408" s="61" t="str">
        <f aca="false">IFERROR(IF([1]对账明细接口!$J$408=0,"",[1]对账明细接口!$J$408),"")</f>
        <v/>
      </c>
      <c r="K408" s="61" t="str">
        <f aca="false">IFERROR(IF([1]对账明细接口!$K$408=0,"",[1]对账明细接口!$K$408),"")</f>
        <v/>
      </c>
      <c r="L408" s="59" t="str">
        <f aca="false">IFERROR(IF([1]对账明细接口!$L$408=0,"",[1]对账明细接口!$L$408),"")</f>
        <v/>
      </c>
      <c r="M408" s="59" t="str">
        <f aca="false">IFERROR(IF([1]对账明细接口!$M$408=0,"",[1]对账明细接口!$M$408),"")</f>
        <v/>
      </c>
      <c r="N408" s="111" t="n">
        <f aca="false">IF($C408="",0,1)</f>
        <v>0</v>
      </c>
      <c r="O408" s="111" t="n">
        <f aca="false">N(O407)+$N408</f>
        <v>110</v>
      </c>
      <c r="S408" s="10" t="str">
        <f aca="false">IFERROR(IF([1]对账明细接口!$N408=0,"",[1]对账明细接口!$N408),"")</f>
        <v/>
      </c>
      <c r="T408" s="112" t="str">
        <f aca="false">IFERROR(IF([1]对账明细接口!$O408=0,"",[1]对账明细接口!$O408),"")</f>
        <v/>
      </c>
      <c r="U408" s="112" t="str">
        <f aca="false">IFERROR(IF([1]对账明细接口!$P408=0,"",[1]对账明细接口!$P408),"")</f>
        <v/>
      </c>
      <c r="V408" s="112" t="str">
        <f aca="false">IFERROR(IF([1]对账明细接口!$Q408=0,"",[1]对账明细接口!$Q408),"")</f>
        <v/>
      </c>
      <c r="W408" s="10" t="str">
        <f aca="false">IFERROR(IF([1]对账明细接口!$R408=0,"",[1]对账明细接口!$R408),"")</f>
        <v/>
      </c>
      <c r="X408" s="10" t="str">
        <f aca="false">IFERROR(IF([1]对账明细接口!$S408=0,"",[1]对账明细接口!$S408),"")</f>
        <v/>
      </c>
      <c r="Y408" s="10" t="str">
        <f aca="false">""</f>
        <v/>
      </c>
      <c r="Z408" s="10" t="str">
        <f aca="false">""</f>
        <v/>
      </c>
      <c r="AA408" s="10" t="str">
        <f aca="false">""</f>
        <v/>
      </c>
      <c r="AB408" s="10" t="str">
        <f aca="false">""</f>
        <v/>
      </c>
    </row>
    <row r="409" customFormat="false" ht="13.5" hidden="false" customHeight="false" outlineLevel="0" collapsed="false">
      <c r="A409" s="109" t="n">
        <v>409</v>
      </c>
      <c r="B409" s="110" t="str">
        <f aca="false">IFERROR(IF([1]对账明细接口!$B$409=0,"",[1]对账明细接口!$B$409),"")</f>
        <v/>
      </c>
      <c r="C409" s="59" t="str">
        <f aca="false">IFERROR(IF([1]对账明细接口!$C$409=0,"",[1]对账明细接口!$C$409),"")</f>
        <v/>
      </c>
      <c r="D409" s="59" t="str">
        <f aca="false">IFERROR(IF([1]对账明细接口!$D$409=0,"",[1]对账明细接口!$D$409),"")</f>
        <v/>
      </c>
      <c r="E409" s="59" t="str">
        <f aca="false">IFERROR(IF([1]对账明细接口!$E$409=0,"",[1]对账明细接口!$E$409),"")</f>
        <v/>
      </c>
      <c r="F409" s="59" t="str">
        <f aca="false">IFERROR(IF([1]对账明细接口!$F$409=0,"",[1]对账明细接口!$F$409),"")</f>
        <v/>
      </c>
      <c r="G409" s="59" t="str">
        <f aca="false">IFERROR(IF([1]对账明细接口!$G$409=0,"",[1]对账明细接口!$G$409),"")</f>
        <v/>
      </c>
      <c r="H409" s="60" t="str">
        <f aca="false">IFERROR(IF([1]对账明细接口!$H$409=0,"",[1]对账明细接口!$H$409),"")</f>
        <v/>
      </c>
      <c r="I409" s="59" t="str">
        <f aca="false">IFERROR(IF([1]对账明细接口!$I$409=0,"",[1]对账明细接口!$I$409),"")</f>
        <v/>
      </c>
      <c r="J409" s="61" t="str">
        <f aca="false">IFERROR(IF([1]对账明细接口!$J$409=0,"",[1]对账明细接口!$J$409),"")</f>
        <v/>
      </c>
      <c r="K409" s="61" t="str">
        <f aca="false">IFERROR(IF([1]对账明细接口!$K$409=0,"",[1]对账明细接口!$K$409),"")</f>
        <v/>
      </c>
      <c r="L409" s="59" t="str">
        <f aca="false">IFERROR(IF([1]对账明细接口!$L$409=0,"",[1]对账明细接口!$L$409),"")</f>
        <v/>
      </c>
      <c r="M409" s="59" t="str">
        <f aca="false">IFERROR(IF([1]对账明细接口!$M$409=0,"",[1]对账明细接口!$M$409),"")</f>
        <v/>
      </c>
      <c r="N409" s="111" t="n">
        <f aca="false">IF($C409="",0,1)</f>
        <v>0</v>
      </c>
      <c r="O409" s="111" t="n">
        <f aca="false">N(O408)+$N409</f>
        <v>110</v>
      </c>
      <c r="S409" s="10" t="str">
        <f aca="false">IFERROR(IF([1]对账明细接口!$N409=0,"",[1]对账明细接口!$N409),"")</f>
        <v/>
      </c>
      <c r="T409" s="112" t="str">
        <f aca="false">IFERROR(IF([1]对账明细接口!$O409=0,"",[1]对账明细接口!$O409),"")</f>
        <v/>
      </c>
      <c r="U409" s="112" t="str">
        <f aca="false">IFERROR(IF([1]对账明细接口!$P409=0,"",[1]对账明细接口!$P409),"")</f>
        <v/>
      </c>
      <c r="V409" s="112" t="str">
        <f aca="false">IFERROR(IF([1]对账明细接口!$Q409=0,"",[1]对账明细接口!$Q409),"")</f>
        <v/>
      </c>
      <c r="W409" s="10" t="str">
        <f aca="false">IFERROR(IF([1]对账明细接口!$R409=0,"",[1]对账明细接口!$R409),"")</f>
        <v/>
      </c>
      <c r="X409" s="10" t="str">
        <f aca="false">IFERROR(IF([1]对账明细接口!$S409=0,"",[1]对账明细接口!$S409),"")</f>
        <v/>
      </c>
      <c r="Y409" s="10" t="str">
        <f aca="false">""</f>
        <v/>
      </c>
      <c r="Z409" s="10" t="str">
        <f aca="false">""</f>
        <v/>
      </c>
      <c r="AA409" s="10" t="str">
        <f aca="false">""</f>
        <v/>
      </c>
      <c r="AB409" s="10" t="str">
        <f aca="false">""</f>
        <v/>
      </c>
    </row>
    <row r="410" customFormat="false" ht="13.5" hidden="false" customHeight="false" outlineLevel="0" collapsed="false">
      <c r="A410" s="109" t="n">
        <v>410</v>
      </c>
      <c r="B410" s="110" t="str">
        <f aca="false">IFERROR(IF([1]对账明细接口!$B$410=0,"",[1]对账明细接口!$B$410),"")</f>
        <v/>
      </c>
      <c r="C410" s="59" t="str">
        <f aca="false">IFERROR(IF([1]对账明细接口!$C$410=0,"",[1]对账明细接口!$C$410),"")</f>
        <v/>
      </c>
      <c r="D410" s="59" t="str">
        <f aca="false">IFERROR(IF([1]对账明细接口!$D$410=0,"",[1]对账明细接口!$D$410),"")</f>
        <v/>
      </c>
      <c r="E410" s="59" t="str">
        <f aca="false">IFERROR(IF([1]对账明细接口!$E$410=0,"",[1]对账明细接口!$E$410),"")</f>
        <v/>
      </c>
      <c r="F410" s="59" t="str">
        <f aca="false">IFERROR(IF([1]对账明细接口!$F$410=0,"",[1]对账明细接口!$F$410),"")</f>
        <v/>
      </c>
      <c r="G410" s="59" t="str">
        <f aca="false">IFERROR(IF([1]对账明细接口!$G$410=0,"",[1]对账明细接口!$G$410),"")</f>
        <v/>
      </c>
      <c r="H410" s="60" t="str">
        <f aca="false">IFERROR(IF([1]对账明细接口!$H$410=0,"",[1]对账明细接口!$H$410),"")</f>
        <v/>
      </c>
      <c r="I410" s="59" t="str">
        <f aca="false">IFERROR(IF([1]对账明细接口!$I$410=0,"",[1]对账明细接口!$I$410),"")</f>
        <v/>
      </c>
      <c r="J410" s="61" t="str">
        <f aca="false">IFERROR(IF([1]对账明细接口!$J$410=0,"",[1]对账明细接口!$J$410),"")</f>
        <v/>
      </c>
      <c r="K410" s="61" t="str">
        <f aca="false">IFERROR(IF([1]对账明细接口!$K$410=0,"",[1]对账明细接口!$K$410),"")</f>
        <v/>
      </c>
      <c r="L410" s="59" t="str">
        <f aca="false">IFERROR(IF([1]对账明细接口!$L$410=0,"",[1]对账明细接口!$L$410),"")</f>
        <v/>
      </c>
      <c r="M410" s="59" t="str">
        <f aca="false">IFERROR(IF([1]对账明细接口!$M$410=0,"",[1]对账明细接口!$M$410),"")</f>
        <v/>
      </c>
      <c r="N410" s="111" t="n">
        <f aca="false">IF($C410="",0,1)</f>
        <v>0</v>
      </c>
      <c r="O410" s="111" t="n">
        <f aca="false">N(O409)+$N410</f>
        <v>110</v>
      </c>
      <c r="S410" s="10" t="str">
        <f aca="false">IFERROR(IF([1]对账明细接口!$N410=0,"",[1]对账明细接口!$N410),"")</f>
        <v/>
      </c>
      <c r="T410" s="112" t="str">
        <f aca="false">IFERROR(IF([1]对账明细接口!$O410=0,"",[1]对账明细接口!$O410),"")</f>
        <v/>
      </c>
      <c r="U410" s="112" t="str">
        <f aca="false">IFERROR(IF([1]对账明细接口!$P410=0,"",[1]对账明细接口!$P410),"")</f>
        <v/>
      </c>
      <c r="V410" s="112" t="str">
        <f aca="false">IFERROR(IF([1]对账明细接口!$Q410=0,"",[1]对账明细接口!$Q410),"")</f>
        <v/>
      </c>
      <c r="W410" s="10" t="str">
        <f aca="false">IFERROR(IF([1]对账明细接口!$R410=0,"",[1]对账明细接口!$R410),"")</f>
        <v/>
      </c>
      <c r="X410" s="10" t="str">
        <f aca="false">IFERROR(IF([1]对账明细接口!$S410=0,"",[1]对账明细接口!$S410),"")</f>
        <v/>
      </c>
      <c r="Y410" s="10" t="str">
        <f aca="false">""</f>
        <v/>
      </c>
      <c r="Z410" s="10" t="str">
        <f aca="false">""</f>
        <v/>
      </c>
      <c r="AA410" s="10" t="str">
        <f aca="false">""</f>
        <v/>
      </c>
      <c r="AB410" s="10" t="str">
        <f aca="false">""</f>
        <v/>
      </c>
    </row>
    <row r="411" customFormat="false" ht="13.5" hidden="false" customHeight="false" outlineLevel="0" collapsed="false">
      <c r="A411" s="109" t="n">
        <v>411</v>
      </c>
      <c r="B411" s="110" t="str">
        <f aca="false">IFERROR(IF([1]对账明细接口!$B$411=0,"",[1]对账明细接口!$B$411),"")</f>
        <v/>
      </c>
      <c r="C411" s="59" t="str">
        <f aca="false">IFERROR(IF([1]对账明细接口!$C$411=0,"",[1]对账明细接口!$C$411),"")</f>
        <v/>
      </c>
      <c r="D411" s="59" t="str">
        <f aca="false">IFERROR(IF([1]对账明细接口!$D$411=0,"",[1]对账明细接口!$D$411),"")</f>
        <v/>
      </c>
      <c r="E411" s="59" t="str">
        <f aca="false">IFERROR(IF([1]对账明细接口!$E$411=0,"",[1]对账明细接口!$E$411),"")</f>
        <v/>
      </c>
      <c r="F411" s="59" t="str">
        <f aca="false">IFERROR(IF([1]对账明细接口!$F$411=0,"",[1]对账明细接口!$F$411),"")</f>
        <v/>
      </c>
      <c r="G411" s="59" t="str">
        <f aca="false">IFERROR(IF([1]对账明细接口!$G$411=0,"",[1]对账明细接口!$G$411),"")</f>
        <v/>
      </c>
      <c r="H411" s="60" t="str">
        <f aca="false">IFERROR(IF([1]对账明细接口!$H$411=0,"",[1]对账明细接口!$H$411),"")</f>
        <v/>
      </c>
      <c r="I411" s="59" t="str">
        <f aca="false">IFERROR(IF([1]对账明细接口!$I$411=0,"",[1]对账明细接口!$I$411),"")</f>
        <v/>
      </c>
      <c r="J411" s="61" t="str">
        <f aca="false">IFERROR(IF([1]对账明细接口!$J$411=0,"",[1]对账明细接口!$J$411),"")</f>
        <v/>
      </c>
      <c r="K411" s="61" t="str">
        <f aca="false">IFERROR(IF([1]对账明细接口!$K$411=0,"",[1]对账明细接口!$K$411),"")</f>
        <v/>
      </c>
      <c r="L411" s="59" t="str">
        <f aca="false">IFERROR(IF([1]对账明细接口!$L$411=0,"",[1]对账明细接口!$L$411),"")</f>
        <v/>
      </c>
      <c r="M411" s="59" t="str">
        <f aca="false">IFERROR(IF([1]对账明细接口!$M$411=0,"",[1]对账明细接口!$M$411),"")</f>
        <v/>
      </c>
      <c r="N411" s="111" t="n">
        <f aca="false">IF($C411="",0,1)</f>
        <v>0</v>
      </c>
      <c r="O411" s="111" t="n">
        <f aca="false">N(O410)+$N411</f>
        <v>110</v>
      </c>
      <c r="S411" s="10" t="str">
        <f aca="false">IFERROR(IF([1]对账明细接口!$N411=0,"",[1]对账明细接口!$N411),"")</f>
        <v/>
      </c>
      <c r="T411" s="112" t="str">
        <f aca="false">IFERROR(IF([1]对账明细接口!$O411=0,"",[1]对账明细接口!$O411),"")</f>
        <v/>
      </c>
      <c r="U411" s="112" t="str">
        <f aca="false">IFERROR(IF([1]对账明细接口!$P411=0,"",[1]对账明细接口!$P411),"")</f>
        <v/>
      </c>
      <c r="V411" s="112" t="str">
        <f aca="false">IFERROR(IF([1]对账明细接口!$Q411=0,"",[1]对账明细接口!$Q411),"")</f>
        <v/>
      </c>
      <c r="W411" s="10" t="str">
        <f aca="false">IFERROR(IF([1]对账明细接口!$R411=0,"",[1]对账明细接口!$R411),"")</f>
        <v/>
      </c>
      <c r="X411" s="10" t="str">
        <f aca="false">IFERROR(IF([1]对账明细接口!$S411=0,"",[1]对账明细接口!$S411),"")</f>
        <v/>
      </c>
      <c r="Y411" s="10" t="str">
        <f aca="false">""</f>
        <v/>
      </c>
      <c r="Z411" s="10" t="str">
        <f aca="false">""</f>
        <v/>
      </c>
      <c r="AA411" s="10" t="str">
        <f aca="false">""</f>
        <v/>
      </c>
      <c r="AB411" s="10" t="str">
        <f aca="false">""</f>
        <v/>
      </c>
    </row>
    <row r="412" customFormat="false" ht="13.5" hidden="false" customHeight="false" outlineLevel="0" collapsed="false">
      <c r="A412" s="109" t="n">
        <v>412</v>
      </c>
      <c r="B412" s="110" t="str">
        <f aca="false">IFERROR(IF([1]对账明细接口!$B$412=0,"",[1]对账明细接口!$B$412),"")</f>
        <v/>
      </c>
      <c r="C412" s="59" t="str">
        <f aca="false">IFERROR(IF([1]对账明细接口!$C$412=0,"",[1]对账明细接口!$C$412),"")</f>
        <v/>
      </c>
      <c r="D412" s="59" t="str">
        <f aca="false">IFERROR(IF([1]对账明细接口!$D$412=0,"",[1]对账明细接口!$D$412),"")</f>
        <v/>
      </c>
      <c r="E412" s="59" t="str">
        <f aca="false">IFERROR(IF([1]对账明细接口!$E$412=0,"",[1]对账明细接口!$E$412),"")</f>
        <v/>
      </c>
      <c r="F412" s="59" t="str">
        <f aca="false">IFERROR(IF([1]对账明细接口!$F$412=0,"",[1]对账明细接口!$F$412),"")</f>
        <v/>
      </c>
      <c r="G412" s="59" t="str">
        <f aca="false">IFERROR(IF([1]对账明细接口!$G$412=0,"",[1]对账明细接口!$G$412),"")</f>
        <v/>
      </c>
      <c r="H412" s="60" t="str">
        <f aca="false">IFERROR(IF([1]对账明细接口!$H$412=0,"",[1]对账明细接口!$H$412),"")</f>
        <v/>
      </c>
      <c r="I412" s="59" t="str">
        <f aca="false">IFERROR(IF([1]对账明细接口!$I$412=0,"",[1]对账明细接口!$I$412),"")</f>
        <v/>
      </c>
      <c r="J412" s="61" t="str">
        <f aca="false">IFERROR(IF([1]对账明细接口!$J$412=0,"",[1]对账明细接口!$J$412),"")</f>
        <v/>
      </c>
      <c r="K412" s="61" t="str">
        <f aca="false">IFERROR(IF([1]对账明细接口!$K$412=0,"",[1]对账明细接口!$K$412),"")</f>
        <v/>
      </c>
      <c r="L412" s="59" t="str">
        <f aca="false">IFERROR(IF([1]对账明细接口!$L$412=0,"",[1]对账明细接口!$L$412),"")</f>
        <v/>
      </c>
      <c r="M412" s="59" t="str">
        <f aca="false">IFERROR(IF([1]对账明细接口!$M$412=0,"",[1]对账明细接口!$M$412),"")</f>
        <v/>
      </c>
      <c r="N412" s="111" t="n">
        <f aca="false">IF($C412="",0,1)</f>
        <v>0</v>
      </c>
      <c r="O412" s="111" t="n">
        <f aca="false">N(O411)+$N412</f>
        <v>110</v>
      </c>
      <c r="S412" s="10" t="str">
        <f aca="false">IFERROR(IF([1]对账明细接口!$N412=0,"",[1]对账明细接口!$N412),"")</f>
        <v/>
      </c>
      <c r="T412" s="112" t="str">
        <f aca="false">IFERROR(IF([1]对账明细接口!$O412=0,"",[1]对账明细接口!$O412),"")</f>
        <v/>
      </c>
      <c r="U412" s="112" t="str">
        <f aca="false">IFERROR(IF([1]对账明细接口!$P412=0,"",[1]对账明细接口!$P412),"")</f>
        <v/>
      </c>
      <c r="V412" s="112" t="str">
        <f aca="false">IFERROR(IF([1]对账明细接口!$Q412=0,"",[1]对账明细接口!$Q412),"")</f>
        <v/>
      </c>
      <c r="W412" s="10" t="str">
        <f aca="false">IFERROR(IF([1]对账明细接口!$R412=0,"",[1]对账明细接口!$R412),"")</f>
        <v/>
      </c>
      <c r="X412" s="10" t="str">
        <f aca="false">IFERROR(IF([1]对账明细接口!$S412=0,"",[1]对账明细接口!$S412),"")</f>
        <v/>
      </c>
      <c r="Y412" s="10" t="str">
        <f aca="false">""</f>
        <v/>
      </c>
      <c r="Z412" s="10" t="str">
        <f aca="false">""</f>
        <v/>
      </c>
      <c r="AA412" s="10" t="str">
        <f aca="false">""</f>
        <v/>
      </c>
      <c r="AB412" s="10" t="str">
        <f aca="false">""</f>
        <v/>
      </c>
    </row>
    <row r="413" customFormat="false" ht="13.5" hidden="false" customHeight="false" outlineLevel="0" collapsed="false">
      <c r="A413" s="109" t="n">
        <v>413</v>
      </c>
      <c r="B413" s="110" t="str">
        <f aca="false">IFERROR(IF([1]对账明细接口!$B$413=0,"",[1]对账明细接口!$B$413),"")</f>
        <v/>
      </c>
      <c r="C413" s="59" t="str">
        <f aca="false">IFERROR(IF([1]对账明细接口!$C$413=0,"",[1]对账明细接口!$C$413),"")</f>
        <v/>
      </c>
      <c r="D413" s="59" t="str">
        <f aca="false">IFERROR(IF([1]对账明细接口!$D$413=0,"",[1]对账明细接口!$D$413),"")</f>
        <v/>
      </c>
      <c r="E413" s="59" t="str">
        <f aca="false">IFERROR(IF([1]对账明细接口!$E$413=0,"",[1]对账明细接口!$E$413),"")</f>
        <v/>
      </c>
      <c r="F413" s="59" t="str">
        <f aca="false">IFERROR(IF([1]对账明细接口!$F$413=0,"",[1]对账明细接口!$F$413),"")</f>
        <v/>
      </c>
      <c r="G413" s="59" t="str">
        <f aca="false">IFERROR(IF([1]对账明细接口!$G$413=0,"",[1]对账明细接口!$G$413),"")</f>
        <v/>
      </c>
      <c r="H413" s="60" t="str">
        <f aca="false">IFERROR(IF([1]对账明细接口!$H$413=0,"",[1]对账明细接口!$H$413),"")</f>
        <v/>
      </c>
      <c r="I413" s="59" t="str">
        <f aca="false">IFERROR(IF([1]对账明细接口!$I$413=0,"",[1]对账明细接口!$I$413),"")</f>
        <v/>
      </c>
      <c r="J413" s="61" t="str">
        <f aca="false">IFERROR(IF([1]对账明细接口!$J$413=0,"",[1]对账明细接口!$J$413),"")</f>
        <v/>
      </c>
      <c r="K413" s="61" t="str">
        <f aca="false">IFERROR(IF([1]对账明细接口!$K$413=0,"",[1]对账明细接口!$K$413),"")</f>
        <v/>
      </c>
      <c r="L413" s="59" t="str">
        <f aca="false">IFERROR(IF([1]对账明细接口!$L$413=0,"",[1]对账明细接口!$L$413),"")</f>
        <v/>
      </c>
      <c r="M413" s="59" t="str">
        <f aca="false">IFERROR(IF([1]对账明细接口!$M$413=0,"",[1]对账明细接口!$M$413),"")</f>
        <v/>
      </c>
      <c r="N413" s="111" t="n">
        <f aca="false">IF($C413="",0,1)</f>
        <v>0</v>
      </c>
      <c r="O413" s="111" t="n">
        <f aca="false">N(O412)+$N413</f>
        <v>110</v>
      </c>
      <c r="S413" s="10" t="str">
        <f aca="false">IFERROR(IF([1]对账明细接口!$N413=0,"",[1]对账明细接口!$N413),"")</f>
        <v/>
      </c>
      <c r="T413" s="112" t="str">
        <f aca="false">IFERROR(IF([1]对账明细接口!$O413=0,"",[1]对账明细接口!$O413),"")</f>
        <v/>
      </c>
      <c r="U413" s="112" t="str">
        <f aca="false">IFERROR(IF([1]对账明细接口!$P413=0,"",[1]对账明细接口!$P413),"")</f>
        <v/>
      </c>
      <c r="V413" s="112" t="str">
        <f aca="false">IFERROR(IF([1]对账明细接口!$Q413=0,"",[1]对账明细接口!$Q413),"")</f>
        <v/>
      </c>
      <c r="W413" s="10" t="str">
        <f aca="false">IFERROR(IF([1]对账明细接口!$R413=0,"",[1]对账明细接口!$R413),"")</f>
        <v/>
      </c>
      <c r="X413" s="10" t="str">
        <f aca="false">IFERROR(IF([1]对账明细接口!$S413=0,"",[1]对账明细接口!$S413),"")</f>
        <v/>
      </c>
      <c r="Y413" s="10" t="str">
        <f aca="false">""</f>
        <v/>
      </c>
      <c r="Z413" s="10" t="str">
        <f aca="false">""</f>
        <v/>
      </c>
      <c r="AA413" s="10" t="str">
        <f aca="false">""</f>
        <v/>
      </c>
      <c r="AB413" s="10" t="str">
        <f aca="false">""</f>
        <v/>
      </c>
    </row>
    <row r="414" customFormat="false" ht="13.5" hidden="false" customHeight="false" outlineLevel="0" collapsed="false">
      <c r="A414" s="109" t="n">
        <v>414</v>
      </c>
      <c r="B414" s="110" t="str">
        <f aca="false">IFERROR(IF([1]对账明细接口!$B$414=0,"",[1]对账明细接口!$B$414),"")</f>
        <v/>
      </c>
      <c r="C414" s="59" t="str">
        <f aca="false">IFERROR(IF([1]对账明细接口!$C$414=0,"",[1]对账明细接口!$C$414),"")</f>
        <v/>
      </c>
      <c r="D414" s="59" t="str">
        <f aca="false">IFERROR(IF([1]对账明细接口!$D$414=0,"",[1]对账明细接口!$D$414),"")</f>
        <v/>
      </c>
      <c r="E414" s="59" t="str">
        <f aca="false">IFERROR(IF([1]对账明细接口!$E$414=0,"",[1]对账明细接口!$E$414),"")</f>
        <v/>
      </c>
      <c r="F414" s="59" t="str">
        <f aca="false">IFERROR(IF([1]对账明细接口!$F$414=0,"",[1]对账明细接口!$F$414),"")</f>
        <v/>
      </c>
      <c r="G414" s="59" t="str">
        <f aca="false">IFERROR(IF([1]对账明细接口!$G$414=0,"",[1]对账明细接口!$G$414),"")</f>
        <v/>
      </c>
      <c r="H414" s="60" t="str">
        <f aca="false">IFERROR(IF([1]对账明细接口!$H$414=0,"",[1]对账明细接口!$H$414),"")</f>
        <v/>
      </c>
      <c r="I414" s="59" t="str">
        <f aca="false">IFERROR(IF([1]对账明细接口!$I$414=0,"",[1]对账明细接口!$I$414),"")</f>
        <v/>
      </c>
      <c r="J414" s="61" t="str">
        <f aca="false">IFERROR(IF([1]对账明细接口!$J$414=0,"",[1]对账明细接口!$J$414),"")</f>
        <v/>
      </c>
      <c r="K414" s="61" t="str">
        <f aca="false">IFERROR(IF([1]对账明细接口!$K$414=0,"",[1]对账明细接口!$K$414),"")</f>
        <v/>
      </c>
      <c r="L414" s="59" t="str">
        <f aca="false">IFERROR(IF([1]对账明细接口!$L$414=0,"",[1]对账明细接口!$L$414),"")</f>
        <v/>
      </c>
      <c r="M414" s="59" t="str">
        <f aca="false">IFERROR(IF([1]对账明细接口!$M$414=0,"",[1]对账明细接口!$M$414),"")</f>
        <v/>
      </c>
      <c r="N414" s="111" t="n">
        <f aca="false">IF($C414="",0,1)</f>
        <v>0</v>
      </c>
      <c r="O414" s="111" t="n">
        <f aca="false">N(O413)+$N414</f>
        <v>110</v>
      </c>
      <c r="S414" s="10" t="str">
        <f aca="false">IFERROR(IF([1]对账明细接口!$N414=0,"",[1]对账明细接口!$N414),"")</f>
        <v/>
      </c>
      <c r="T414" s="112" t="str">
        <f aca="false">IFERROR(IF([1]对账明细接口!$O414=0,"",[1]对账明细接口!$O414),"")</f>
        <v/>
      </c>
      <c r="U414" s="112" t="str">
        <f aca="false">IFERROR(IF([1]对账明细接口!$P414=0,"",[1]对账明细接口!$P414),"")</f>
        <v/>
      </c>
      <c r="V414" s="112" t="str">
        <f aca="false">IFERROR(IF([1]对账明细接口!$Q414=0,"",[1]对账明细接口!$Q414),"")</f>
        <v/>
      </c>
      <c r="W414" s="10" t="str">
        <f aca="false">IFERROR(IF([1]对账明细接口!$R414=0,"",[1]对账明细接口!$R414),"")</f>
        <v/>
      </c>
      <c r="X414" s="10" t="str">
        <f aca="false">IFERROR(IF([1]对账明细接口!$S414=0,"",[1]对账明细接口!$S414),"")</f>
        <v/>
      </c>
      <c r="Y414" s="10" t="str">
        <f aca="false">""</f>
        <v/>
      </c>
      <c r="Z414" s="10" t="str">
        <f aca="false">""</f>
        <v/>
      </c>
      <c r="AA414" s="10" t="str">
        <f aca="false">""</f>
        <v/>
      </c>
      <c r="AB414" s="10" t="str">
        <f aca="false">""</f>
        <v/>
      </c>
    </row>
    <row r="415" customFormat="false" ht="13.5" hidden="false" customHeight="false" outlineLevel="0" collapsed="false">
      <c r="A415" s="109" t="n">
        <v>415</v>
      </c>
      <c r="B415" s="110" t="str">
        <f aca="false">IFERROR(IF([1]对账明细接口!$B$415=0,"",[1]对账明细接口!$B$415),"")</f>
        <v/>
      </c>
      <c r="C415" s="59" t="str">
        <f aca="false">IFERROR(IF([1]对账明细接口!$C$415=0,"",[1]对账明细接口!$C$415),"")</f>
        <v/>
      </c>
      <c r="D415" s="59" t="str">
        <f aca="false">IFERROR(IF([1]对账明细接口!$D$415=0,"",[1]对账明细接口!$D$415),"")</f>
        <v/>
      </c>
      <c r="E415" s="59" t="str">
        <f aca="false">IFERROR(IF([1]对账明细接口!$E$415=0,"",[1]对账明细接口!$E$415),"")</f>
        <v/>
      </c>
      <c r="F415" s="59" t="str">
        <f aca="false">IFERROR(IF([1]对账明细接口!$F$415=0,"",[1]对账明细接口!$F$415),"")</f>
        <v/>
      </c>
      <c r="G415" s="59" t="str">
        <f aca="false">IFERROR(IF([1]对账明细接口!$G$415=0,"",[1]对账明细接口!$G$415),"")</f>
        <v/>
      </c>
      <c r="H415" s="60" t="str">
        <f aca="false">IFERROR(IF([1]对账明细接口!$H$415=0,"",[1]对账明细接口!$H$415),"")</f>
        <v/>
      </c>
      <c r="I415" s="59" t="str">
        <f aca="false">IFERROR(IF([1]对账明细接口!$I$415=0,"",[1]对账明细接口!$I$415),"")</f>
        <v/>
      </c>
      <c r="J415" s="61" t="str">
        <f aca="false">IFERROR(IF([1]对账明细接口!$J$415=0,"",[1]对账明细接口!$J$415),"")</f>
        <v/>
      </c>
      <c r="K415" s="61" t="str">
        <f aca="false">IFERROR(IF([1]对账明细接口!$K$415=0,"",[1]对账明细接口!$K$415),"")</f>
        <v/>
      </c>
      <c r="L415" s="59" t="str">
        <f aca="false">IFERROR(IF([1]对账明细接口!$L$415=0,"",[1]对账明细接口!$L$415),"")</f>
        <v/>
      </c>
      <c r="M415" s="59" t="str">
        <f aca="false">IFERROR(IF([1]对账明细接口!$M$415=0,"",[1]对账明细接口!$M$415),"")</f>
        <v/>
      </c>
      <c r="N415" s="111" t="n">
        <f aca="false">IF($C415="",0,1)</f>
        <v>0</v>
      </c>
      <c r="O415" s="111" t="n">
        <f aca="false">N(O414)+$N415</f>
        <v>110</v>
      </c>
      <c r="S415" s="10" t="str">
        <f aca="false">IFERROR(IF([1]对账明细接口!$N415=0,"",[1]对账明细接口!$N415),"")</f>
        <v/>
      </c>
      <c r="T415" s="112" t="str">
        <f aca="false">IFERROR(IF([1]对账明细接口!$O415=0,"",[1]对账明细接口!$O415),"")</f>
        <v/>
      </c>
      <c r="U415" s="112" t="str">
        <f aca="false">IFERROR(IF([1]对账明细接口!$P415=0,"",[1]对账明细接口!$P415),"")</f>
        <v/>
      </c>
      <c r="V415" s="112" t="str">
        <f aca="false">IFERROR(IF([1]对账明细接口!$Q415=0,"",[1]对账明细接口!$Q415),"")</f>
        <v/>
      </c>
      <c r="W415" s="10" t="str">
        <f aca="false">IFERROR(IF([1]对账明细接口!$R415=0,"",[1]对账明细接口!$R415),"")</f>
        <v/>
      </c>
      <c r="X415" s="10" t="str">
        <f aca="false">IFERROR(IF([1]对账明细接口!$S415=0,"",[1]对账明细接口!$S415),"")</f>
        <v/>
      </c>
      <c r="Y415" s="10" t="str">
        <f aca="false">""</f>
        <v/>
      </c>
      <c r="Z415" s="10" t="str">
        <f aca="false">""</f>
        <v/>
      </c>
      <c r="AA415" s="10" t="str">
        <f aca="false">""</f>
        <v/>
      </c>
      <c r="AB415" s="10" t="str">
        <f aca="false">""</f>
        <v/>
      </c>
    </row>
    <row r="416" customFormat="false" ht="13.5" hidden="false" customHeight="false" outlineLevel="0" collapsed="false">
      <c r="A416" s="109" t="n">
        <v>416</v>
      </c>
      <c r="B416" s="110" t="str">
        <f aca="false">IFERROR(IF([1]对账明细接口!$B$416=0,"",[1]对账明细接口!$B$416),"")</f>
        <v/>
      </c>
      <c r="C416" s="59" t="str">
        <f aca="false">IFERROR(IF([1]对账明细接口!$C$416=0,"",[1]对账明细接口!$C$416),"")</f>
        <v/>
      </c>
      <c r="D416" s="59" t="str">
        <f aca="false">IFERROR(IF([1]对账明细接口!$D$416=0,"",[1]对账明细接口!$D$416),"")</f>
        <v/>
      </c>
      <c r="E416" s="59" t="str">
        <f aca="false">IFERROR(IF([1]对账明细接口!$E$416=0,"",[1]对账明细接口!$E$416),"")</f>
        <v/>
      </c>
      <c r="F416" s="59" t="str">
        <f aca="false">IFERROR(IF([1]对账明细接口!$F$416=0,"",[1]对账明细接口!$F$416),"")</f>
        <v/>
      </c>
      <c r="G416" s="59" t="str">
        <f aca="false">IFERROR(IF([1]对账明细接口!$G$416=0,"",[1]对账明细接口!$G$416),"")</f>
        <v/>
      </c>
      <c r="H416" s="60" t="str">
        <f aca="false">IFERROR(IF([1]对账明细接口!$H$416=0,"",[1]对账明细接口!$H$416),"")</f>
        <v/>
      </c>
      <c r="I416" s="59" t="str">
        <f aca="false">IFERROR(IF([1]对账明细接口!$I$416=0,"",[1]对账明细接口!$I$416),"")</f>
        <v/>
      </c>
      <c r="J416" s="61" t="str">
        <f aca="false">IFERROR(IF([1]对账明细接口!$J$416=0,"",[1]对账明细接口!$J$416),"")</f>
        <v/>
      </c>
      <c r="K416" s="61" t="str">
        <f aca="false">IFERROR(IF([1]对账明细接口!$K$416=0,"",[1]对账明细接口!$K$416),"")</f>
        <v/>
      </c>
      <c r="L416" s="59" t="str">
        <f aca="false">IFERROR(IF([1]对账明细接口!$L$416=0,"",[1]对账明细接口!$L$416),"")</f>
        <v/>
      </c>
      <c r="M416" s="59" t="str">
        <f aca="false">IFERROR(IF([1]对账明细接口!$M$416=0,"",[1]对账明细接口!$M$416),"")</f>
        <v/>
      </c>
      <c r="N416" s="111" t="n">
        <f aca="false">IF($C416="",0,1)</f>
        <v>0</v>
      </c>
      <c r="O416" s="111" t="n">
        <f aca="false">N(O415)+$N416</f>
        <v>110</v>
      </c>
      <c r="S416" s="10" t="str">
        <f aca="false">IFERROR(IF([1]对账明细接口!$N416=0,"",[1]对账明细接口!$N416),"")</f>
        <v/>
      </c>
      <c r="T416" s="112" t="str">
        <f aca="false">IFERROR(IF([1]对账明细接口!$O416=0,"",[1]对账明细接口!$O416),"")</f>
        <v/>
      </c>
      <c r="U416" s="112" t="str">
        <f aca="false">IFERROR(IF([1]对账明细接口!$P416=0,"",[1]对账明细接口!$P416),"")</f>
        <v/>
      </c>
      <c r="V416" s="112" t="str">
        <f aca="false">IFERROR(IF([1]对账明细接口!$Q416=0,"",[1]对账明细接口!$Q416),"")</f>
        <v/>
      </c>
      <c r="W416" s="10" t="str">
        <f aca="false">IFERROR(IF([1]对账明细接口!$R416=0,"",[1]对账明细接口!$R416),"")</f>
        <v/>
      </c>
      <c r="X416" s="10" t="str">
        <f aca="false">IFERROR(IF([1]对账明细接口!$S416=0,"",[1]对账明细接口!$S416),"")</f>
        <v/>
      </c>
      <c r="Y416" s="10" t="str">
        <f aca="false">""</f>
        <v/>
      </c>
      <c r="Z416" s="10" t="str">
        <f aca="false">""</f>
        <v/>
      </c>
      <c r="AA416" s="10" t="str">
        <f aca="false">""</f>
        <v/>
      </c>
      <c r="AB416" s="10" t="str">
        <f aca="false">""</f>
        <v/>
      </c>
    </row>
    <row r="417" customFormat="false" ht="13.5" hidden="false" customHeight="false" outlineLevel="0" collapsed="false">
      <c r="A417" s="109" t="n">
        <v>417</v>
      </c>
      <c r="B417" s="110" t="str">
        <f aca="false">IFERROR(IF([1]对账明细接口!$B$417=0,"",[1]对账明细接口!$B$417),"")</f>
        <v/>
      </c>
      <c r="C417" s="59" t="str">
        <f aca="false">IFERROR(IF([1]对账明细接口!$C$417=0,"",[1]对账明细接口!$C$417),"")</f>
        <v/>
      </c>
      <c r="D417" s="59" t="str">
        <f aca="false">IFERROR(IF([1]对账明细接口!$D$417=0,"",[1]对账明细接口!$D$417),"")</f>
        <v/>
      </c>
      <c r="E417" s="59" t="str">
        <f aca="false">IFERROR(IF([1]对账明细接口!$E$417=0,"",[1]对账明细接口!$E$417),"")</f>
        <v/>
      </c>
      <c r="F417" s="59" t="str">
        <f aca="false">IFERROR(IF([1]对账明细接口!$F$417=0,"",[1]对账明细接口!$F$417),"")</f>
        <v/>
      </c>
      <c r="G417" s="59" t="str">
        <f aca="false">IFERROR(IF([1]对账明细接口!$G$417=0,"",[1]对账明细接口!$G$417),"")</f>
        <v/>
      </c>
      <c r="H417" s="60" t="str">
        <f aca="false">IFERROR(IF([1]对账明细接口!$H$417=0,"",[1]对账明细接口!$H$417),"")</f>
        <v/>
      </c>
      <c r="I417" s="59" t="str">
        <f aca="false">IFERROR(IF([1]对账明细接口!$I$417=0,"",[1]对账明细接口!$I$417),"")</f>
        <v/>
      </c>
      <c r="J417" s="61" t="str">
        <f aca="false">IFERROR(IF([1]对账明细接口!$J$417=0,"",[1]对账明细接口!$J$417),"")</f>
        <v/>
      </c>
      <c r="K417" s="61" t="str">
        <f aca="false">IFERROR(IF([1]对账明细接口!$K$417=0,"",[1]对账明细接口!$K$417),"")</f>
        <v/>
      </c>
      <c r="L417" s="59" t="str">
        <f aca="false">IFERROR(IF([1]对账明细接口!$L$417=0,"",[1]对账明细接口!$L$417),"")</f>
        <v/>
      </c>
      <c r="M417" s="59" t="str">
        <f aca="false">IFERROR(IF([1]对账明细接口!$M$417=0,"",[1]对账明细接口!$M$417),"")</f>
        <v/>
      </c>
      <c r="N417" s="111" t="n">
        <f aca="false">IF($C417="",0,1)</f>
        <v>0</v>
      </c>
      <c r="O417" s="111" t="n">
        <f aca="false">N(O416)+$N417</f>
        <v>110</v>
      </c>
      <c r="S417" s="10" t="str">
        <f aca="false">IFERROR(IF([1]对账明细接口!$N417=0,"",[1]对账明细接口!$N417),"")</f>
        <v/>
      </c>
      <c r="T417" s="112" t="str">
        <f aca="false">IFERROR(IF([1]对账明细接口!$O417=0,"",[1]对账明细接口!$O417),"")</f>
        <v/>
      </c>
      <c r="U417" s="112" t="str">
        <f aca="false">IFERROR(IF([1]对账明细接口!$P417=0,"",[1]对账明细接口!$P417),"")</f>
        <v/>
      </c>
      <c r="V417" s="112" t="str">
        <f aca="false">IFERROR(IF([1]对账明细接口!$Q417=0,"",[1]对账明细接口!$Q417),"")</f>
        <v/>
      </c>
      <c r="W417" s="10" t="str">
        <f aca="false">IFERROR(IF([1]对账明细接口!$R417=0,"",[1]对账明细接口!$R417),"")</f>
        <v/>
      </c>
      <c r="X417" s="10" t="str">
        <f aca="false">IFERROR(IF([1]对账明细接口!$S417=0,"",[1]对账明细接口!$S417),"")</f>
        <v/>
      </c>
      <c r="Y417" s="10" t="str">
        <f aca="false">""</f>
        <v/>
      </c>
      <c r="Z417" s="10" t="str">
        <f aca="false">""</f>
        <v/>
      </c>
      <c r="AA417" s="10" t="str">
        <f aca="false">""</f>
        <v/>
      </c>
      <c r="AB417" s="10" t="str">
        <f aca="false">""</f>
        <v/>
      </c>
    </row>
    <row r="418" customFormat="false" ht="13.5" hidden="false" customHeight="false" outlineLevel="0" collapsed="false">
      <c r="A418" s="109" t="n">
        <v>418</v>
      </c>
      <c r="B418" s="110" t="str">
        <f aca="false">IFERROR(IF([1]对账明细接口!$B$418=0,"",[1]对账明细接口!$B$418),"")</f>
        <v/>
      </c>
      <c r="C418" s="59" t="str">
        <f aca="false">IFERROR(IF([1]对账明细接口!$C$418=0,"",[1]对账明细接口!$C$418),"")</f>
        <v/>
      </c>
      <c r="D418" s="59" t="str">
        <f aca="false">IFERROR(IF([1]对账明细接口!$D$418=0,"",[1]对账明细接口!$D$418),"")</f>
        <v/>
      </c>
      <c r="E418" s="59" t="str">
        <f aca="false">IFERROR(IF([1]对账明细接口!$E$418=0,"",[1]对账明细接口!$E$418),"")</f>
        <v/>
      </c>
      <c r="F418" s="59" t="str">
        <f aca="false">IFERROR(IF([1]对账明细接口!$F$418=0,"",[1]对账明细接口!$F$418),"")</f>
        <v/>
      </c>
      <c r="G418" s="59" t="str">
        <f aca="false">IFERROR(IF([1]对账明细接口!$G$418=0,"",[1]对账明细接口!$G$418),"")</f>
        <v/>
      </c>
      <c r="H418" s="60" t="str">
        <f aca="false">IFERROR(IF([1]对账明细接口!$H$418=0,"",[1]对账明细接口!$H$418),"")</f>
        <v/>
      </c>
      <c r="I418" s="59" t="str">
        <f aca="false">IFERROR(IF([1]对账明细接口!$I$418=0,"",[1]对账明细接口!$I$418),"")</f>
        <v/>
      </c>
      <c r="J418" s="61" t="str">
        <f aca="false">IFERROR(IF([1]对账明细接口!$J$418=0,"",[1]对账明细接口!$J$418),"")</f>
        <v/>
      </c>
      <c r="K418" s="61" t="str">
        <f aca="false">IFERROR(IF([1]对账明细接口!$K$418=0,"",[1]对账明细接口!$K$418),"")</f>
        <v/>
      </c>
      <c r="L418" s="59" t="str">
        <f aca="false">IFERROR(IF([1]对账明细接口!$L$418=0,"",[1]对账明细接口!$L$418),"")</f>
        <v/>
      </c>
      <c r="M418" s="59" t="str">
        <f aca="false">IFERROR(IF([1]对账明细接口!$M$418=0,"",[1]对账明细接口!$M$418),"")</f>
        <v/>
      </c>
      <c r="N418" s="111" t="n">
        <f aca="false">IF($C418="",0,1)</f>
        <v>0</v>
      </c>
      <c r="O418" s="111" t="n">
        <f aca="false">N(O417)+$N418</f>
        <v>110</v>
      </c>
      <c r="S418" s="10" t="str">
        <f aca="false">IFERROR(IF([1]对账明细接口!$N418=0,"",[1]对账明细接口!$N418),"")</f>
        <v/>
      </c>
      <c r="T418" s="112" t="str">
        <f aca="false">IFERROR(IF([1]对账明细接口!$O418=0,"",[1]对账明细接口!$O418),"")</f>
        <v/>
      </c>
      <c r="U418" s="112" t="str">
        <f aca="false">IFERROR(IF([1]对账明细接口!$P418=0,"",[1]对账明细接口!$P418),"")</f>
        <v/>
      </c>
      <c r="V418" s="112" t="str">
        <f aca="false">IFERROR(IF([1]对账明细接口!$Q418=0,"",[1]对账明细接口!$Q418),"")</f>
        <v/>
      </c>
      <c r="W418" s="10" t="str">
        <f aca="false">IFERROR(IF([1]对账明细接口!$R418=0,"",[1]对账明细接口!$R418),"")</f>
        <v/>
      </c>
      <c r="X418" s="10" t="str">
        <f aca="false">IFERROR(IF([1]对账明细接口!$S418=0,"",[1]对账明细接口!$S418),"")</f>
        <v/>
      </c>
      <c r="Y418" s="10" t="str">
        <f aca="false">""</f>
        <v/>
      </c>
      <c r="Z418" s="10" t="str">
        <f aca="false">""</f>
        <v/>
      </c>
      <c r="AA418" s="10" t="str">
        <f aca="false">""</f>
        <v/>
      </c>
      <c r="AB418" s="10" t="str">
        <f aca="false">""</f>
        <v/>
      </c>
    </row>
    <row r="419" customFormat="false" ht="13.5" hidden="false" customHeight="false" outlineLevel="0" collapsed="false">
      <c r="A419" s="109" t="n">
        <v>419</v>
      </c>
      <c r="B419" s="110" t="str">
        <f aca="false">IFERROR(IF([1]对账明细接口!$B$419=0,"",[1]对账明细接口!$B$419),"")</f>
        <v/>
      </c>
      <c r="C419" s="59" t="str">
        <f aca="false">IFERROR(IF([1]对账明细接口!$C$419=0,"",[1]对账明细接口!$C$419),"")</f>
        <v/>
      </c>
      <c r="D419" s="59" t="str">
        <f aca="false">IFERROR(IF([1]对账明细接口!$D$419=0,"",[1]对账明细接口!$D$419),"")</f>
        <v/>
      </c>
      <c r="E419" s="59" t="str">
        <f aca="false">IFERROR(IF([1]对账明细接口!$E$419=0,"",[1]对账明细接口!$E$419),"")</f>
        <v/>
      </c>
      <c r="F419" s="59" t="str">
        <f aca="false">IFERROR(IF([1]对账明细接口!$F$419=0,"",[1]对账明细接口!$F$419),"")</f>
        <v/>
      </c>
      <c r="G419" s="59" t="str">
        <f aca="false">IFERROR(IF([1]对账明细接口!$G$419=0,"",[1]对账明细接口!$G$419),"")</f>
        <v/>
      </c>
      <c r="H419" s="60" t="str">
        <f aca="false">IFERROR(IF([1]对账明细接口!$H$419=0,"",[1]对账明细接口!$H$419),"")</f>
        <v/>
      </c>
      <c r="I419" s="59" t="str">
        <f aca="false">IFERROR(IF([1]对账明细接口!$I$419=0,"",[1]对账明细接口!$I$419),"")</f>
        <v/>
      </c>
      <c r="J419" s="61" t="str">
        <f aca="false">IFERROR(IF([1]对账明细接口!$J$419=0,"",[1]对账明细接口!$J$419),"")</f>
        <v/>
      </c>
      <c r="K419" s="61" t="str">
        <f aca="false">IFERROR(IF([1]对账明细接口!$K$419=0,"",[1]对账明细接口!$K$419),"")</f>
        <v/>
      </c>
      <c r="L419" s="59" t="str">
        <f aca="false">IFERROR(IF([1]对账明细接口!$L$419=0,"",[1]对账明细接口!$L$419),"")</f>
        <v/>
      </c>
      <c r="M419" s="59" t="str">
        <f aca="false">IFERROR(IF([1]对账明细接口!$M$419=0,"",[1]对账明细接口!$M$419),"")</f>
        <v/>
      </c>
      <c r="N419" s="111" t="n">
        <f aca="false">IF($C419="",0,1)</f>
        <v>0</v>
      </c>
      <c r="O419" s="111" t="n">
        <f aca="false">N(O418)+$N419</f>
        <v>110</v>
      </c>
      <c r="S419" s="10" t="str">
        <f aca="false">IFERROR(IF([1]对账明细接口!$N419=0,"",[1]对账明细接口!$N419),"")</f>
        <v/>
      </c>
      <c r="T419" s="112" t="str">
        <f aca="false">IFERROR(IF([1]对账明细接口!$O419=0,"",[1]对账明细接口!$O419),"")</f>
        <v/>
      </c>
      <c r="U419" s="112" t="str">
        <f aca="false">IFERROR(IF([1]对账明细接口!$P419=0,"",[1]对账明细接口!$P419),"")</f>
        <v/>
      </c>
      <c r="V419" s="112" t="str">
        <f aca="false">IFERROR(IF([1]对账明细接口!$Q419=0,"",[1]对账明细接口!$Q419),"")</f>
        <v/>
      </c>
      <c r="W419" s="10" t="str">
        <f aca="false">IFERROR(IF([1]对账明细接口!$R419=0,"",[1]对账明细接口!$R419),"")</f>
        <v/>
      </c>
      <c r="X419" s="10" t="str">
        <f aca="false">IFERROR(IF([1]对账明细接口!$S419=0,"",[1]对账明细接口!$S419),"")</f>
        <v/>
      </c>
      <c r="Y419" s="10" t="str">
        <f aca="false">""</f>
        <v/>
      </c>
      <c r="Z419" s="10" t="str">
        <f aca="false">""</f>
        <v/>
      </c>
      <c r="AA419" s="10" t="str">
        <f aca="false">""</f>
        <v/>
      </c>
      <c r="AB419" s="10" t="str">
        <f aca="false">""</f>
        <v/>
      </c>
    </row>
    <row r="420" customFormat="false" ht="13.5" hidden="false" customHeight="false" outlineLevel="0" collapsed="false">
      <c r="A420" s="109" t="n">
        <v>420</v>
      </c>
      <c r="B420" s="110" t="str">
        <f aca="false">IFERROR(IF([1]对账明细接口!$B$420=0,"",[1]对账明细接口!$B$420),"")</f>
        <v/>
      </c>
      <c r="C420" s="59" t="str">
        <f aca="false">IFERROR(IF([1]对账明细接口!$C$420=0,"",[1]对账明细接口!$C$420),"")</f>
        <v/>
      </c>
      <c r="D420" s="59" t="str">
        <f aca="false">IFERROR(IF([1]对账明细接口!$D$420=0,"",[1]对账明细接口!$D$420),"")</f>
        <v/>
      </c>
      <c r="E420" s="59" t="str">
        <f aca="false">IFERROR(IF([1]对账明细接口!$E$420=0,"",[1]对账明细接口!$E$420),"")</f>
        <v/>
      </c>
      <c r="F420" s="59" t="str">
        <f aca="false">IFERROR(IF([1]对账明细接口!$F$420=0,"",[1]对账明细接口!$F$420),"")</f>
        <v/>
      </c>
      <c r="G420" s="59" t="str">
        <f aca="false">IFERROR(IF([1]对账明细接口!$G$420=0,"",[1]对账明细接口!$G$420),"")</f>
        <v/>
      </c>
      <c r="H420" s="60" t="str">
        <f aca="false">IFERROR(IF([1]对账明细接口!$H$420=0,"",[1]对账明细接口!$H$420),"")</f>
        <v/>
      </c>
      <c r="I420" s="59" t="str">
        <f aca="false">IFERROR(IF([1]对账明细接口!$I$420=0,"",[1]对账明细接口!$I$420),"")</f>
        <v/>
      </c>
      <c r="J420" s="61" t="str">
        <f aca="false">IFERROR(IF([1]对账明细接口!$J$420=0,"",[1]对账明细接口!$J$420),"")</f>
        <v/>
      </c>
      <c r="K420" s="61" t="str">
        <f aca="false">IFERROR(IF([1]对账明细接口!$K$420=0,"",[1]对账明细接口!$K$420),"")</f>
        <v/>
      </c>
      <c r="L420" s="59" t="str">
        <f aca="false">IFERROR(IF([1]对账明细接口!$L$420=0,"",[1]对账明细接口!$L$420),"")</f>
        <v/>
      </c>
      <c r="M420" s="59" t="str">
        <f aca="false">IFERROR(IF([1]对账明细接口!$M$420=0,"",[1]对账明细接口!$M$420),"")</f>
        <v/>
      </c>
      <c r="N420" s="111" t="n">
        <f aca="false">IF($C420="",0,1)</f>
        <v>0</v>
      </c>
      <c r="O420" s="111" t="n">
        <f aca="false">N(O419)+$N420</f>
        <v>110</v>
      </c>
      <c r="S420" s="10" t="str">
        <f aca="false">IFERROR(IF([1]对账明细接口!$N420=0,"",[1]对账明细接口!$N420),"")</f>
        <v/>
      </c>
      <c r="T420" s="112" t="str">
        <f aca="false">IFERROR(IF([1]对账明细接口!$O420=0,"",[1]对账明细接口!$O420),"")</f>
        <v/>
      </c>
      <c r="U420" s="112" t="str">
        <f aca="false">IFERROR(IF([1]对账明细接口!$P420=0,"",[1]对账明细接口!$P420),"")</f>
        <v/>
      </c>
      <c r="V420" s="112" t="str">
        <f aca="false">IFERROR(IF([1]对账明细接口!$Q420=0,"",[1]对账明细接口!$Q420),"")</f>
        <v/>
      </c>
      <c r="W420" s="10" t="str">
        <f aca="false">IFERROR(IF([1]对账明细接口!$R420=0,"",[1]对账明细接口!$R420),"")</f>
        <v/>
      </c>
      <c r="X420" s="10" t="str">
        <f aca="false">IFERROR(IF([1]对账明细接口!$S420=0,"",[1]对账明细接口!$S420),"")</f>
        <v/>
      </c>
      <c r="Y420" s="10" t="str">
        <f aca="false">""</f>
        <v/>
      </c>
      <c r="Z420" s="10" t="str">
        <f aca="false">""</f>
        <v/>
      </c>
      <c r="AA420" s="10" t="str">
        <f aca="false">""</f>
        <v/>
      </c>
      <c r="AB420" s="10" t="str">
        <f aca="false">""</f>
        <v/>
      </c>
    </row>
    <row r="421" customFormat="false" ht="13.5" hidden="false" customHeight="false" outlineLevel="0" collapsed="false">
      <c r="A421" s="109" t="n">
        <v>421</v>
      </c>
      <c r="B421" s="110" t="str">
        <f aca="false">IFERROR(IF([1]对账明细接口!$B$421=0,"",[1]对账明细接口!$B$421),"")</f>
        <v/>
      </c>
      <c r="C421" s="59" t="str">
        <f aca="false">IFERROR(IF([1]对账明细接口!$C$421=0,"",[1]对账明细接口!$C$421),"")</f>
        <v/>
      </c>
      <c r="D421" s="59" t="str">
        <f aca="false">IFERROR(IF([1]对账明细接口!$D$421=0,"",[1]对账明细接口!$D$421),"")</f>
        <v/>
      </c>
      <c r="E421" s="59" t="str">
        <f aca="false">IFERROR(IF([1]对账明细接口!$E$421=0,"",[1]对账明细接口!$E$421),"")</f>
        <v/>
      </c>
      <c r="F421" s="59" t="str">
        <f aca="false">IFERROR(IF([1]对账明细接口!$F$421=0,"",[1]对账明细接口!$F$421),"")</f>
        <v/>
      </c>
      <c r="G421" s="59" t="str">
        <f aca="false">IFERROR(IF([1]对账明细接口!$G$421=0,"",[1]对账明细接口!$G$421),"")</f>
        <v/>
      </c>
      <c r="H421" s="60" t="str">
        <f aca="false">IFERROR(IF([1]对账明细接口!$H$421=0,"",[1]对账明细接口!$H$421),"")</f>
        <v/>
      </c>
      <c r="I421" s="59" t="str">
        <f aca="false">IFERROR(IF([1]对账明细接口!$I$421=0,"",[1]对账明细接口!$I$421),"")</f>
        <v/>
      </c>
      <c r="J421" s="61" t="str">
        <f aca="false">IFERROR(IF([1]对账明细接口!$J$421=0,"",[1]对账明细接口!$J$421),"")</f>
        <v/>
      </c>
      <c r="K421" s="61" t="str">
        <f aca="false">IFERROR(IF([1]对账明细接口!$K$421=0,"",[1]对账明细接口!$K$421),"")</f>
        <v/>
      </c>
      <c r="L421" s="59" t="str">
        <f aca="false">IFERROR(IF([1]对账明细接口!$L$421=0,"",[1]对账明细接口!$L$421),"")</f>
        <v/>
      </c>
      <c r="M421" s="59" t="str">
        <f aca="false">IFERROR(IF([1]对账明细接口!$M$421=0,"",[1]对账明细接口!$M$421),"")</f>
        <v/>
      </c>
      <c r="N421" s="111" t="n">
        <f aca="false">IF($C421="",0,1)</f>
        <v>0</v>
      </c>
      <c r="O421" s="111" t="n">
        <f aca="false">N(O420)+$N421</f>
        <v>110</v>
      </c>
      <c r="S421" s="10" t="str">
        <f aca="false">IFERROR(IF([1]对账明细接口!$N421=0,"",[1]对账明细接口!$N421),"")</f>
        <v/>
      </c>
      <c r="T421" s="112" t="str">
        <f aca="false">IFERROR(IF([1]对账明细接口!$O421=0,"",[1]对账明细接口!$O421),"")</f>
        <v/>
      </c>
      <c r="U421" s="112" t="str">
        <f aca="false">IFERROR(IF([1]对账明细接口!$P421=0,"",[1]对账明细接口!$P421),"")</f>
        <v/>
      </c>
      <c r="V421" s="112" t="str">
        <f aca="false">IFERROR(IF([1]对账明细接口!$Q421=0,"",[1]对账明细接口!$Q421),"")</f>
        <v/>
      </c>
      <c r="W421" s="10" t="str">
        <f aca="false">IFERROR(IF([1]对账明细接口!$R421=0,"",[1]对账明细接口!$R421),"")</f>
        <v/>
      </c>
      <c r="X421" s="10" t="str">
        <f aca="false">IFERROR(IF([1]对账明细接口!$S421=0,"",[1]对账明细接口!$S421),"")</f>
        <v/>
      </c>
      <c r="Y421" s="10" t="str">
        <f aca="false">""</f>
        <v/>
      </c>
      <c r="Z421" s="10" t="str">
        <f aca="false">""</f>
        <v/>
      </c>
      <c r="AA421" s="10" t="str">
        <f aca="false">""</f>
        <v/>
      </c>
      <c r="AB421" s="10" t="str">
        <f aca="false">""</f>
        <v/>
      </c>
    </row>
    <row r="422" customFormat="false" ht="13.5" hidden="false" customHeight="false" outlineLevel="0" collapsed="false">
      <c r="A422" s="109" t="n">
        <v>422</v>
      </c>
      <c r="B422" s="110" t="str">
        <f aca="false">IFERROR(IF([1]对账明细接口!$B$422=0,"",[1]对账明细接口!$B$422),"")</f>
        <v/>
      </c>
      <c r="C422" s="59" t="str">
        <f aca="false">IFERROR(IF([1]对账明细接口!$C$422=0,"",[1]对账明细接口!$C$422),"")</f>
        <v/>
      </c>
      <c r="D422" s="59" t="str">
        <f aca="false">IFERROR(IF([1]对账明细接口!$D$422=0,"",[1]对账明细接口!$D$422),"")</f>
        <v/>
      </c>
      <c r="E422" s="59" t="str">
        <f aca="false">IFERROR(IF([1]对账明细接口!$E$422=0,"",[1]对账明细接口!$E$422),"")</f>
        <v/>
      </c>
      <c r="F422" s="59" t="str">
        <f aca="false">IFERROR(IF([1]对账明细接口!$F$422=0,"",[1]对账明细接口!$F$422),"")</f>
        <v/>
      </c>
      <c r="G422" s="59" t="str">
        <f aca="false">IFERROR(IF([1]对账明细接口!$G$422=0,"",[1]对账明细接口!$G$422),"")</f>
        <v/>
      </c>
      <c r="H422" s="60" t="str">
        <f aca="false">IFERROR(IF([1]对账明细接口!$H$422=0,"",[1]对账明细接口!$H$422),"")</f>
        <v/>
      </c>
      <c r="I422" s="59" t="str">
        <f aca="false">IFERROR(IF([1]对账明细接口!$I$422=0,"",[1]对账明细接口!$I$422),"")</f>
        <v/>
      </c>
      <c r="J422" s="61" t="str">
        <f aca="false">IFERROR(IF([1]对账明细接口!$J$422=0,"",[1]对账明细接口!$J$422),"")</f>
        <v/>
      </c>
      <c r="K422" s="61" t="str">
        <f aca="false">IFERROR(IF([1]对账明细接口!$K$422=0,"",[1]对账明细接口!$K$422),"")</f>
        <v/>
      </c>
      <c r="L422" s="59" t="str">
        <f aca="false">IFERROR(IF([1]对账明细接口!$L$422=0,"",[1]对账明细接口!$L$422),"")</f>
        <v/>
      </c>
      <c r="M422" s="59" t="str">
        <f aca="false">IFERROR(IF([1]对账明细接口!$M$422=0,"",[1]对账明细接口!$M$422),"")</f>
        <v/>
      </c>
      <c r="N422" s="111" t="n">
        <f aca="false">IF($C422="",0,1)</f>
        <v>0</v>
      </c>
      <c r="O422" s="111" t="n">
        <f aca="false">N(O421)+$N422</f>
        <v>110</v>
      </c>
      <c r="S422" s="10" t="str">
        <f aca="false">IFERROR(IF([1]对账明细接口!$N422=0,"",[1]对账明细接口!$N422),"")</f>
        <v/>
      </c>
      <c r="T422" s="112" t="str">
        <f aca="false">IFERROR(IF([1]对账明细接口!$O422=0,"",[1]对账明细接口!$O422),"")</f>
        <v/>
      </c>
      <c r="U422" s="112" t="str">
        <f aca="false">IFERROR(IF([1]对账明细接口!$P422=0,"",[1]对账明细接口!$P422),"")</f>
        <v/>
      </c>
      <c r="V422" s="112" t="str">
        <f aca="false">IFERROR(IF([1]对账明细接口!$Q422=0,"",[1]对账明细接口!$Q422),"")</f>
        <v/>
      </c>
      <c r="W422" s="10" t="str">
        <f aca="false">IFERROR(IF([1]对账明细接口!$R422=0,"",[1]对账明细接口!$R422),"")</f>
        <v/>
      </c>
      <c r="X422" s="10" t="str">
        <f aca="false">IFERROR(IF([1]对账明细接口!$S422=0,"",[1]对账明细接口!$S422),"")</f>
        <v/>
      </c>
      <c r="Y422" s="10" t="str">
        <f aca="false">""</f>
        <v/>
      </c>
      <c r="Z422" s="10" t="str">
        <f aca="false">""</f>
        <v/>
      </c>
      <c r="AA422" s="10" t="str">
        <f aca="false">""</f>
        <v/>
      </c>
      <c r="AB422" s="10" t="str">
        <f aca="false">""</f>
        <v/>
      </c>
    </row>
    <row r="423" customFormat="false" ht="13.5" hidden="false" customHeight="false" outlineLevel="0" collapsed="false">
      <c r="A423" s="109" t="n">
        <v>423</v>
      </c>
      <c r="B423" s="110" t="str">
        <f aca="false">IFERROR(IF([1]对账明细接口!$B$423=0,"",[1]对账明细接口!$B$423),"")</f>
        <v/>
      </c>
      <c r="C423" s="59" t="str">
        <f aca="false">IFERROR(IF([1]对账明细接口!$C$423=0,"",[1]对账明细接口!$C$423),"")</f>
        <v/>
      </c>
      <c r="D423" s="59" t="str">
        <f aca="false">IFERROR(IF([1]对账明细接口!$D$423=0,"",[1]对账明细接口!$D$423),"")</f>
        <v/>
      </c>
      <c r="E423" s="59" t="str">
        <f aca="false">IFERROR(IF([1]对账明细接口!$E$423=0,"",[1]对账明细接口!$E$423),"")</f>
        <v/>
      </c>
      <c r="F423" s="59" t="str">
        <f aca="false">IFERROR(IF([1]对账明细接口!$F$423=0,"",[1]对账明细接口!$F$423),"")</f>
        <v/>
      </c>
      <c r="G423" s="59" t="str">
        <f aca="false">IFERROR(IF([1]对账明细接口!$G$423=0,"",[1]对账明细接口!$G$423),"")</f>
        <v/>
      </c>
      <c r="H423" s="60" t="str">
        <f aca="false">IFERROR(IF([1]对账明细接口!$H$423=0,"",[1]对账明细接口!$H$423),"")</f>
        <v/>
      </c>
      <c r="I423" s="59" t="str">
        <f aca="false">IFERROR(IF([1]对账明细接口!$I$423=0,"",[1]对账明细接口!$I$423),"")</f>
        <v/>
      </c>
      <c r="J423" s="61" t="str">
        <f aca="false">IFERROR(IF([1]对账明细接口!$J$423=0,"",[1]对账明细接口!$J$423),"")</f>
        <v/>
      </c>
      <c r="K423" s="61" t="str">
        <f aca="false">IFERROR(IF([1]对账明细接口!$K$423=0,"",[1]对账明细接口!$K$423),"")</f>
        <v/>
      </c>
      <c r="L423" s="59" t="str">
        <f aca="false">IFERROR(IF([1]对账明细接口!$L$423=0,"",[1]对账明细接口!$L$423),"")</f>
        <v/>
      </c>
      <c r="M423" s="59" t="str">
        <f aca="false">IFERROR(IF([1]对账明细接口!$M$423=0,"",[1]对账明细接口!$M$423),"")</f>
        <v/>
      </c>
      <c r="N423" s="111" t="n">
        <f aca="false">IF($C423="",0,1)</f>
        <v>0</v>
      </c>
      <c r="O423" s="111" t="n">
        <f aca="false">N(O422)+$N423</f>
        <v>110</v>
      </c>
      <c r="S423" s="10" t="str">
        <f aca="false">IFERROR(IF([1]对账明细接口!$N423=0,"",[1]对账明细接口!$N423),"")</f>
        <v/>
      </c>
      <c r="T423" s="112" t="str">
        <f aca="false">IFERROR(IF([1]对账明细接口!$O423=0,"",[1]对账明细接口!$O423),"")</f>
        <v/>
      </c>
      <c r="U423" s="112" t="str">
        <f aca="false">IFERROR(IF([1]对账明细接口!$P423=0,"",[1]对账明细接口!$P423),"")</f>
        <v/>
      </c>
      <c r="V423" s="112" t="str">
        <f aca="false">IFERROR(IF([1]对账明细接口!$Q423=0,"",[1]对账明细接口!$Q423),"")</f>
        <v/>
      </c>
      <c r="W423" s="10" t="str">
        <f aca="false">IFERROR(IF([1]对账明细接口!$R423=0,"",[1]对账明细接口!$R423),"")</f>
        <v/>
      </c>
      <c r="X423" s="10" t="str">
        <f aca="false">IFERROR(IF([1]对账明细接口!$S423=0,"",[1]对账明细接口!$S423),"")</f>
        <v/>
      </c>
      <c r="Y423" s="10" t="str">
        <f aca="false">""</f>
        <v/>
      </c>
      <c r="Z423" s="10" t="str">
        <f aca="false">""</f>
        <v/>
      </c>
      <c r="AA423" s="10" t="str">
        <f aca="false">""</f>
        <v/>
      </c>
      <c r="AB423" s="10" t="str">
        <f aca="false">""</f>
        <v/>
      </c>
    </row>
    <row r="424" customFormat="false" ht="13.5" hidden="false" customHeight="false" outlineLevel="0" collapsed="false">
      <c r="A424" s="109" t="n">
        <v>424</v>
      </c>
      <c r="B424" s="110" t="str">
        <f aca="false">IFERROR(IF([1]对账明细接口!$B$424=0,"",[1]对账明细接口!$B$424),"")</f>
        <v/>
      </c>
      <c r="C424" s="59" t="str">
        <f aca="false">IFERROR(IF([1]对账明细接口!$C$424=0,"",[1]对账明细接口!$C$424),"")</f>
        <v/>
      </c>
      <c r="D424" s="59" t="str">
        <f aca="false">IFERROR(IF([1]对账明细接口!$D$424=0,"",[1]对账明细接口!$D$424),"")</f>
        <v/>
      </c>
      <c r="E424" s="59" t="str">
        <f aca="false">IFERROR(IF([1]对账明细接口!$E$424=0,"",[1]对账明细接口!$E$424),"")</f>
        <v/>
      </c>
      <c r="F424" s="59" t="str">
        <f aca="false">IFERROR(IF([1]对账明细接口!$F$424=0,"",[1]对账明细接口!$F$424),"")</f>
        <v/>
      </c>
      <c r="G424" s="59" t="str">
        <f aca="false">IFERROR(IF([1]对账明细接口!$G$424=0,"",[1]对账明细接口!$G$424),"")</f>
        <v/>
      </c>
      <c r="H424" s="60" t="str">
        <f aca="false">IFERROR(IF([1]对账明细接口!$H$424=0,"",[1]对账明细接口!$H$424),"")</f>
        <v/>
      </c>
      <c r="I424" s="59" t="str">
        <f aca="false">IFERROR(IF([1]对账明细接口!$I$424=0,"",[1]对账明细接口!$I$424),"")</f>
        <v/>
      </c>
      <c r="J424" s="61" t="str">
        <f aca="false">IFERROR(IF([1]对账明细接口!$J$424=0,"",[1]对账明细接口!$J$424),"")</f>
        <v/>
      </c>
      <c r="K424" s="61" t="str">
        <f aca="false">IFERROR(IF([1]对账明细接口!$K$424=0,"",[1]对账明细接口!$K$424),"")</f>
        <v/>
      </c>
      <c r="L424" s="59" t="str">
        <f aca="false">IFERROR(IF([1]对账明细接口!$L$424=0,"",[1]对账明细接口!$L$424),"")</f>
        <v/>
      </c>
      <c r="M424" s="59" t="str">
        <f aca="false">IFERROR(IF([1]对账明细接口!$M$424=0,"",[1]对账明细接口!$M$424),"")</f>
        <v/>
      </c>
      <c r="N424" s="111" t="n">
        <f aca="false">IF($C424="",0,1)</f>
        <v>0</v>
      </c>
      <c r="O424" s="111" t="n">
        <f aca="false">N(O423)+$N424</f>
        <v>110</v>
      </c>
      <c r="S424" s="10" t="str">
        <f aca="false">IFERROR(IF([1]对账明细接口!$N424=0,"",[1]对账明细接口!$N424),"")</f>
        <v/>
      </c>
      <c r="T424" s="112" t="str">
        <f aca="false">IFERROR(IF([1]对账明细接口!$O424=0,"",[1]对账明细接口!$O424),"")</f>
        <v/>
      </c>
      <c r="U424" s="112" t="str">
        <f aca="false">IFERROR(IF([1]对账明细接口!$P424=0,"",[1]对账明细接口!$P424),"")</f>
        <v/>
      </c>
      <c r="V424" s="112" t="str">
        <f aca="false">IFERROR(IF([1]对账明细接口!$Q424=0,"",[1]对账明细接口!$Q424),"")</f>
        <v/>
      </c>
      <c r="W424" s="10" t="str">
        <f aca="false">IFERROR(IF([1]对账明细接口!$R424=0,"",[1]对账明细接口!$R424),"")</f>
        <v/>
      </c>
      <c r="X424" s="10" t="str">
        <f aca="false">IFERROR(IF([1]对账明细接口!$S424=0,"",[1]对账明细接口!$S424),"")</f>
        <v/>
      </c>
      <c r="Y424" s="10" t="str">
        <f aca="false">""</f>
        <v/>
      </c>
      <c r="Z424" s="10" t="str">
        <f aca="false">""</f>
        <v/>
      </c>
      <c r="AA424" s="10" t="str">
        <f aca="false">""</f>
        <v/>
      </c>
      <c r="AB424" s="10" t="str">
        <f aca="false">""</f>
        <v/>
      </c>
    </row>
    <row r="425" customFormat="false" ht="13.5" hidden="false" customHeight="false" outlineLevel="0" collapsed="false">
      <c r="A425" s="109" t="n">
        <v>425</v>
      </c>
      <c r="B425" s="110" t="str">
        <f aca="false">IFERROR(IF([1]对账明细接口!$B$425=0,"",[1]对账明细接口!$B$425),"")</f>
        <v/>
      </c>
      <c r="C425" s="59" t="str">
        <f aca="false">IFERROR(IF([1]对账明细接口!$C$425=0,"",[1]对账明细接口!$C$425),"")</f>
        <v/>
      </c>
      <c r="D425" s="59" t="str">
        <f aca="false">IFERROR(IF([1]对账明细接口!$D$425=0,"",[1]对账明细接口!$D$425),"")</f>
        <v/>
      </c>
      <c r="E425" s="59" t="str">
        <f aca="false">IFERROR(IF([1]对账明细接口!$E$425=0,"",[1]对账明细接口!$E$425),"")</f>
        <v/>
      </c>
      <c r="F425" s="59" t="str">
        <f aca="false">IFERROR(IF([1]对账明细接口!$F$425=0,"",[1]对账明细接口!$F$425),"")</f>
        <v/>
      </c>
      <c r="G425" s="59" t="str">
        <f aca="false">IFERROR(IF([1]对账明细接口!$G$425=0,"",[1]对账明细接口!$G$425),"")</f>
        <v/>
      </c>
      <c r="H425" s="60" t="str">
        <f aca="false">IFERROR(IF([1]对账明细接口!$H$425=0,"",[1]对账明细接口!$H$425),"")</f>
        <v/>
      </c>
      <c r="I425" s="59" t="str">
        <f aca="false">IFERROR(IF([1]对账明细接口!$I$425=0,"",[1]对账明细接口!$I$425),"")</f>
        <v/>
      </c>
      <c r="J425" s="61" t="str">
        <f aca="false">IFERROR(IF([1]对账明细接口!$J$425=0,"",[1]对账明细接口!$J$425),"")</f>
        <v/>
      </c>
      <c r="K425" s="61" t="str">
        <f aca="false">IFERROR(IF([1]对账明细接口!$K$425=0,"",[1]对账明细接口!$K$425),"")</f>
        <v/>
      </c>
      <c r="L425" s="59" t="str">
        <f aca="false">IFERROR(IF([1]对账明细接口!$L$425=0,"",[1]对账明细接口!$L$425),"")</f>
        <v/>
      </c>
      <c r="M425" s="59" t="str">
        <f aca="false">IFERROR(IF([1]对账明细接口!$M$425=0,"",[1]对账明细接口!$M$425),"")</f>
        <v/>
      </c>
      <c r="N425" s="111" t="n">
        <f aca="false">IF($C425="",0,1)</f>
        <v>0</v>
      </c>
      <c r="O425" s="111" t="n">
        <f aca="false">N(O424)+$N425</f>
        <v>110</v>
      </c>
      <c r="S425" s="10" t="str">
        <f aca="false">IFERROR(IF([1]对账明细接口!$N425=0,"",[1]对账明细接口!$N425),"")</f>
        <v/>
      </c>
      <c r="T425" s="112" t="str">
        <f aca="false">IFERROR(IF([1]对账明细接口!$O425=0,"",[1]对账明细接口!$O425),"")</f>
        <v/>
      </c>
      <c r="U425" s="112" t="str">
        <f aca="false">IFERROR(IF([1]对账明细接口!$P425=0,"",[1]对账明细接口!$P425),"")</f>
        <v/>
      </c>
      <c r="V425" s="112" t="str">
        <f aca="false">IFERROR(IF([1]对账明细接口!$Q425=0,"",[1]对账明细接口!$Q425),"")</f>
        <v/>
      </c>
      <c r="W425" s="10" t="str">
        <f aca="false">IFERROR(IF([1]对账明细接口!$R425=0,"",[1]对账明细接口!$R425),"")</f>
        <v/>
      </c>
      <c r="X425" s="10" t="str">
        <f aca="false">IFERROR(IF([1]对账明细接口!$S425=0,"",[1]对账明细接口!$S425),"")</f>
        <v/>
      </c>
      <c r="Y425" s="10" t="str">
        <f aca="false">""</f>
        <v/>
      </c>
      <c r="Z425" s="10" t="str">
        <f aca="false">""</f>
        <v/>
      </c>
      <c r="AA425" s="10" t="str">
        <f aca="false">""</f>
        <v/>
      </c>
      <c r="AB425" s="10" t="str">
        <f aca="false">""</f>
        <v/>
      </c>
    </row>
    <row r="426" customFormat="false" ht="13.5" hidden="false" customHeight="false" outlineLevel="0" collapsed="false">
      <c r="A426" s="109" t="n">
        <v>426</v>
      </c>
      <c r="B426" s="110" t="str">
        <f aca="false">IFERROR(IF([1]对账明细接口!$B$426=0,"",[1]对账明细接口!$B$426),"")</f>
        <v/>
      </c>
      <c r="C426" s="59" t="str">
        <f aca="false">IFERROR(IF([1]对账明细接口!$C$426=0,"",[1]对账明细接口!$C$426),"")</f>
        <v/>
      </c>
      <c r="D426" s="59" t="str">
        <f aca="false">IFERROR(IF([1]对账明细接口!$D$426=0,"",[1]对账明细接口!$D$426),"")</f>
        <v/>
      </c>
      <c r="E426" s="59" t="str">
        <f aca="false">IFERROR(IF([1]对账明细接口!$E$426=0,"",[1]对账明细接口!$E$426),"")</f>
        <v/>
      </c>
      <c r="F426" s="59" t="str">
        <f aca="false">IFERROR(IF([1]对账明细接口!$F$426=0,"",[1]对账明细接口!$F$426),"")</f>
        <v/>
      </c>
      <c r="G426" s="59" t="str">
        <f aca="false">IFERROR(IF([1]对账明细接口!$G$426=0,"",[1]对账明细接口!$G$426),"")</f>
        <v/>
      </c>
      <c r="H426" s="60" t="str">
        <f aca="false">IFERROR(IF([1]对账明细接口!$H$426=0,"",[1]对账明细接口!$H$426),"")</f>
        <v/>
      </c>
      <c r="I426" s="59" t="str">
        <f aca="false">IFERROR(IF([1]对账明细接口!$I$426=0,"",[1]对账明细接口!$I$426),"")</f>
        <v/>
      </c>
      <c r="J426" s="61" t="str">
        <f aca="false">IFERROR(IF([1]对账明细接口!$J$426=0,"",[1]对账明细接口!$J$426),"")</f>
        <v/>
      </c>
      <c r="K426" s="61" t="str">
        <f aca="false">IFERROR(IF([1]对账明细接口!$K$426=0,"",[1]对账明细接口!$K$426),"")</f>
        <v/>
      </c>
      <c r="L426" s="59" t="str">
        <f aca="false">IFERROR(IF([1]对账明细接口!$L$426=0,"",[1]对账明细接口!$L$426),"")</f>
        <v/>
      </c>
      <c r="M426" s="59" t="str">
        <f aca="false">IFERROR(IF([1]对账明细接口!$M$426=0,"",[1]对账明细接口!$M$426),"")</f>
        <v/>
      </c>
      <c r="N426" s="111" t="n">
        <f aca="false">IF($C426="",0,1)</f>
        <v>0</v>
      </c>
      <c r="O426" s="111" t="n">
        <f aca="false">N(O425)+$N426</f>
        <v>110</v>
      </c>
      <c r="S426" s="10" t="str">
        <f aca="false">IFERROR(IF([1]对账明细接口!$N426=0,"",[1]对账明细接口!$N426),"")</f>
        <v/>
      </c>
      <c r="T426" s="112" t="str">
        <f aca="false">IFERROR(IF([1]对账明细接口!$O426=0,"",[1]对账明细接口!$O426),"")</f>
        <v/>
      </c>
      <c r="U426" s="112" t="str">
        <f aca="false">IFERROR(IF([1]对账明细接口!$P426=0,"",[1]对账明细接口!$P426),"")</f>
        <v/>
      </c>
      <c r="V426" s="112" t="str">
        <f aca="false">IFERROR(IF([1]对账明细接口!$Q426=0,"",[1]对账明细接口!$Q426),"")</f>
        <v/>
      </c>
      <c r="W426" s="10" t="str">
        <f aca="false">IFERROR(IF([1]对账明细接口!$R426=0,"",[1]对账明细接口!$R426),"")</f>
        <v/>
      </c>
      <c r="X426" s="10" t="str">
        <f aca="false">IFERROR(IF([1]对账明细接口!$S426=0,"",[1]对账明细接口!$S426),"")</f>
        <v/>
      </c>
      <c r="Y426" s="10" t="str">
        <f aca="false">""</f>
        <v/>
      </c>
      <c r="Z426" s="10" t="str">
        <f aca="false">""</f>
        <v/>
      </c>
      <c r="AA426" s="10" t="str">
        <f aca="false">""</f>
        <v/>
      </c>
      <c r="AB426" s="10" t="str">
        <f aca="false">""</f>
        <v/>
      </c>
    </row>
    <row r="427" customFormat="false" ht="13.5" hidden="false" customHeight="false" outlineLevel="0" collapsed="false">
      <c r="A427" s="109" t="n">
        <v>427</v>
      </c>
      <c r="B427" s="110" t="str">
        <f aca="false">IFERROR(IF([1]对账明细接口!$B$427=0,"",[1]对账明细接口!$B$427),"")</f>
        <v/>
      </c>
      <c r="C427" s="59" t="str">
        <f aca="false">IFERROR(IF([1]对账明细接口!$C$427=0,"",[1]对账明细接口!$C$427),"")</f>
        <v/>
      </c>
      <c r="D427" s="59" t="str">
        <f aca="false">IFERROR(IF([1]对账明细接口!$D$427=0,"",[1]对账明细接口!$D$427),"")</f>
        <v/>
      </c>
      <c r="E427" s="59" t="str">
        <f aca="false">IFERROR(IF([1]对账明细接口!$E$427=0,"",[1]对账明细接口!$E$427),"")</f>
        <v/>
      </c>
      <c r="F427" s="59" t="str">
        <f aca="false">IFERROR(IF([1]对账明细接口!$F$427=0,"",[1]对账明细接口!$F$427),"")</f>
        <v/>
      </c>
      <c r="G427" s="59" t="str">
        <f aca="false">IFERROR(IF([1]对账明细接口!$G$427=0,"",[1]对账明细接口!$G$427),"")</f>
        <v/>
      </c>
      <c r="H427" s="60" t="str">
        <f aca="false">IFERROR(IF([1]对账明细接口!$H$427=0,"",[1]对账明细接口!$H$427),"")</f>
        <v/>
      </c>
      <c r="I427" s="59" t="str">
        <f aca="false">IFERROR(IF([1]对账明细接口!$I$427=0,"",[1]对账明细接口!$I$427),"")</f>
        <v/>
      </c>
      <c r="J427" s="61" t="str">
        <f aca="false">IFERROR(IF([1]对账明细接口!$J$427=0,"",[1]对账明细接口!$J$427),"")</f>
        <v/>
      </c>
      <c r="K427" s="61" t="str">
        <f aca="false">IFERROR(IF([1]对账明细接口!$K$427=0,"",[1]对账明细接口!$K$427),"")</f>
        <v/>
      </c>
      <c r="L427" s="59" t="str">
        <f aca="false">IFERROR(IF([1]对账明细接口!$L$427=0,"",[1]对账明细接口!$L$427),"")</f>
        <v/>
      </c>
      <c r="M427" s="59" t="str">
        <f aca="false">IFERROR(IF([1]对账明细接口!$M$427=0,"",[1]对账明细接口!$M$427),"")</f>
        <v/>
      </c>
      <c r="N427" s="111" t="n">
        <f aca="false">IF($C427="",0,1)</f>
        <v>0</v>
      </c>
      <c r="O427" s="111" t="n">
        <f aca="false">N(O426)+$N427</f>
        <v>110</v>
      </c>
      <c r="S427" s="10" t="str">
        <f aca="false">IFERROR(IF([1]对账明细接口!$N427=0,"",[1]对账明细接口!$N427),"")</f>
        <v/>
      </c>
      <c r="T427" s="112" t="str">
        <f aca="false">IFERROR(IF([1]对账明细接口!$O427=0,"",[1]对账明细接口!$O427),"")</f>
        <v/>
      </c>
      <c r="U427" s="112" t="str">
        <f aca="false">IFERROR(IF([1]对账明细接口!$P427=0,"",[1]对账明细接口!$P427),"")</f>
        <v/>
      </c>
      <c r="V427" s="112" t="str">
        <f aca="false">IFERROR(IF([1]对账明细接口!$Q427=0,"",[1]对账明细接口!$Q427),"")</f>
        <v/>
      </c>
      <c r="W427" s="10" t="str">
        <f aca="false">IFERROR(IF([1]对账明细接口!$R427=0,"",[1]对账明细接口!$R427),"")</f>
        <v/>
      </c>
      <c r="X427" s="10" t="str">
        <f aca="false">IFERROR(IF([1]对账明细接口!$S427=0,"",[1]对账明细接口!$S427),"")</f>
        <v/>
      </c>
      <c r="Y427" s="10" t="str">
        <f aca="false">""</f>
        <v/>
      </c>
      <c r="Z427" s="10" t="str">
        <f aca="false">""</f>
        <v/>
      </c>
      <c r="AA427" s="10" t="str">
        <f aca="false">""</f>
        <v/>
      </c>
      <c r="AB427" s="10" t="str">
        <f aca="false">""</f>
        <v/>
      </c>
    </row>
    <row r="428" customFormat="false" ht="13.5" hidden="false" customHeight="false" outlineLevel="0" collapsed="false">
      <c r="A428" s="109" t="n">
        <v>428</v>
      </c>
      <c r="B428" s="110" t="str">
        <f aca="false">IFERROR(IF([1]对账明细接口!$B$428=0,"",[1]对账明细接口!$B$428),"")</f>
        <v/>
      </c>
      <c r="C428" s="59" t="str">
        <f aca="false">IFERROR(IF([1]对账明细接口!$C$428=0,"",[1]对账明细接口!$C$428),"")</f>
        <v/>
      </c>
      <c r="D428" s="59" t="str">
        <f aca="false">IFERROR(IF([1]对账明细接口!$D$428=0,"",[1]对账明细接口!$D$428),"")</f>
        <v/>
      </c>
      <c r="E428" s="59" t="str">
        <f aca="false">IFERROR(IF([1]对账明细接口!$E$428=0,"",[1]对账明细接口!$E$428),"")</f>
        <v/>
      </c>
      <c r="F428" s="59" t="str">
        <f aca="false">IFERROR(IF([1]对账明细接口!$F$428=0,"",[1]对账明细接口!$F$428),"")</f>
        <v/>
      </c>
      <c r="G428" s="59" t="str">
        <f aca="false">IFERROR(IF([1]对账明细接口!$G$428=0,"",[1]对账明细接口!$G$428),"")</f>
        <v/>
      </c>
      <c r="H428" s="60" t="str">
        <f aca="false">IFERROR(IF([1]对账明细接口!$H$428=0,"",[1]对账明细接口!$H$428),"")</f>
        <v/>
      </c>
      <c r="I428" s="59" t="str">
        <f aca="false">IFERROR(IF([1]对账明细接口!$I$428=0,"",[1]对账明细接口!$I$428),"")</f>
        <v/>
      </c>
      <c r="J428" s="61" t="str">
        <f aca="false">IFERROR(IF([1]对账明细接口!$J$428=0,"",[1]对账明细接口!$J$428),"")</f>
        <v/>
      </c>
      <c r="K428" s="61" t="str">
        <f aca="false">IFERROR(IF([1]对账明细接口!$K$428=0,"",[1]对账明细接口!$K$428),"")</f>
        <v/>
      </c>
      <c r="L428" s="59" t="str">
        <f aca="false">IFERROR(IF([1]对账明细接口!$L$428=0,"",[1]对账明细接口!$L$428),"")</f>
        <v/>
      </c>
      <c r="M428" s="59" t="str">
        <f aca="false">IFERROR(IF([1]对账明细接口!$M$428=0,"",[1]对账明细接口!$M$428),"")</f>
        <v/>
      </c>
      <c r="N428" s="111" t="n">
        <f aca="false">IF($C428="",0,1)</f>
        <v>0</v>
      </c>
      <c r="O428" s="111" t="n">
        <f aca="false">N(O427)+$N428</f>
        <v>110</v>
      </c>
      <c r="S428" s="10" t="str">
        <f aca="false">IFERROR(IF([1]对账明细接口!$N428=0,"",[1]对账明细接口!$N428),"")</f>
        <v/>
      </c>
      <c r="T428" s="112" t="str">
        <f aca="false">IFERROR(IF([1]对账明细接口!$O428=0,"",[1]对账明细接口!$O428),"")</f>
        <v/>
      </c>
      <c r="U428" s="112" t="str">
        <f aca="false">IFERROR(IF([1]对账明细接口!$P428=0,"",[1]对账明细接口!$P428),"")</f>
        <v/>
      </c>
      <c r="V428" s="112" t="str">
        <f aca="false">IFERROR(IF([1]对账明细接口!$Q428=0,"",[1]对账明细接口!$Q428),"")</f>
        <v/>
      </c>
      <c r="W428" s="10" t="str">
        <f aca="false">IFERROR(IF([1]对账明细接口!$R428=0,"",[1]对账明细接口!$R428),"")</f>
        <v/>
      </c>
      <c r="X428" s="10" t="str">
        <f aca="false">IFERROR(IF([1]对账明细接口!$S428=0,"",[1]对账明细接口!$S428),"")</f>
        <v/>
      </c>
      <c r="Y428" s="10" t="str">
        <f aca="false">""</f>
        <v/>
      </c>
      <c r="Z428" s="10" t="str">
        <f aca="false">""</f>
        <v/>
      </c>
      <c r="AA428" s="10" t="str">
        <f aca="false">""</f>
        <v/>
      </c>
      <c r="AB428" s="10" t="str">
        <f aca="false">""</f>
        <v/>
      </c>
    </row>
    <row r="429" customFormat="false" ht="13.5" hidden="false" customHeight="false" outlineLevel="0" collapsed="false">
      <c r="A429" s="109" t="n">
        <v>429</v>
      </c>
      <c r="B429" s="110" t="str">
        <f aca="false">IFERROR(IF([1]对账明细接口!$B$429=0,"",[1]对账明细接口!$B$429),"")</f>
        <v/>
      </c>
      <c r="C429" s="59" t="str">
        <f aca="false">IFERROR(IF([1]对账明细接口!$C$429=0,"",[1]对账明细接口!$C$429),"")</f>
        <v/>
      </c>
      <c r="D429" s="59" t="str">
        <f aca="false">IFERROR(IF([1]对账明细接口!$D$429=0,"",[1]对账明细接口!$D$429),"")</f>
        <v/>
      </c>
      <c r="E429" s="59" t="str">
        <f aca="false">IFERROR(IF([1]对账明细接口!$E$429=0,"",[1]对账明细接口!$E$429),"")</f>
        <v/>
      </c>
      <c r="F429" s="59" t="str">
        <f aca="false">IFERROR(IF([1]对账明细接口!$F$429=0,"",[1]对账明细接口!$F$429),"")</f>
        <v/>
      </c>
      <c r="G429" s="59" t="str">
        <f aca="false">IFERROR(IF([1]对账明细接口!$G$429=0,"",[1]对账明细接口!$G$429),"")</f>
        <v/>
      </c>
      <c r="H429" s="60" t="str">
        <f aca="false">IFERROR(IF([1]对账明细接口!$H$429=0,"",[1]对账明细接口!$H$429),"")</f>
        <v/>
      </c>
      <c r="I429" s="59" t="str">
        <f aca="false">IFERROR(IF([1]对账明细接口!$I$429=0,"",[1]对账明细接口!$I$429),"")</f>
        <v/>
      </c>
      <c r="J429" s="61" t="str">
        <f aca="false">IFERROR(IF([1]对账明细接口!$J$429=0,"",[1]对账明细接口!$J$429),"")</f>
        <v/>
      </c>
      <c r="K429" s="61" t="str">
        <f aca="false">IFERROR(IF([1]对账明细接口!$K$429=0,"",[1]对账明细接口!$K$429),"")</f>
        <v/>
      </c>
      <c r="L429" s="59" t="str">
        <f aca="false">IFERROR(IF([1]对账明细接口!$L$429=0,"",[1]对账明细接口!$L$429),"")</f>
        <v/>
      </c>
      <c r="M429" s="59" t="str">
        <f aca="false">IFERROR(IF([1]对账明细接口!$M$429=0,"",[1]对账明细接口!$M$429),"")</f>
        <v/>
      </c>
      <c r="N429" s="111" t="n">
        <f aca="false">IF($C429="",0,1)</f>
        <v>0</v>
      </c>
      <c r="O429" s="111" t="n">
        <f aca="false">N(O428)+$N429</f>
        <v>110</v>
      </c>
      <c r="S429" s="10" t="str">
        <f aca="false">IFERROR(IF([1]对账明细接口!$N429=0,"",[1]对账明细接口!$N429),"")</f>
        <v/>
      </c>
      <c r="T429" s="112" t="str">
        <f aca="false">IFERROR(IF([1]对账明细接口!$O429=0,"",[1]对账明细接口!$O429),"")</f>
        <v/>
      </c>
      <c r="U429" s="112" t="str">
        <f aca="false">IFERROR(IF([1]对账明细接口!$P429=0,"",[1]对账明细接口!$P429),"")</f>
        <v/>
      </c>
      <c r="V429" s="112" t="str">
        <f aca="false">IFERROR(IF([1]对账明细接口!$Q429=0,"",[1]对账明细接口!$Q429),"")</f>
        <v/>
      </c>
      <c r="W429" s="10" t="str">
        <f aca="false">IFERROR(IF([1]对账明细接口!$R429=0,"",[1]对账明细接口!$R429),"")</f>
        <v/>
      </c>
      <c r="X429" s="10" t="str">
        <f aca="false">IFERROR(IF([1]对账明细接口!$S429=0,"",[1]对账明细接口!$S429),"")</f>
        <v/>
      </c>
      <c r="Y429" s="10" t="str">
        <f aca="false">""</f>
        <v/>
      </c>
      <c r="Z429" s="10" t="str">
        <f aca="false">""</f>
        <v/>
      </c>
      <c r="AA429" s="10" t="str">
        <f aca="false">""</f>
        <v/>
      </c>
      <c r="AB429" s="10" t="str">
        <f aca="false">""</f>
        <v/>
      </c>
    </row>
    <row r="430" customFormat="false" ht="13.5" hidden="false" customHeight="false" outlineLevel="0" collapsed="false">
      <c r="A430" s="109" t="n">
        <v>430</v>
      </c>
      <c r="B430" s="110" t="str">
        <f aca="false">IFERROR(IF([1]对账明细接口!$B$430=0,"",[1]对账明细接口!$B$430),"")</f>
        <v/>
      </c>
      <c r="C430" s="59" t="str">
        <f aca="false">IFERROR(IF([1]对账明细接口!$C$430=0,"",[1]对账明细接口!$C$430),"")</f>
        <v/>
      </c>
      <c r="D430" s="59" t="str">
        <f aca="false">IFERROR(IF([1]对账明细接口!$D$430=0,"",[1]对账明细接口!$D$430),"")</f>
        <v/>
      </c>
      <c r="E430" s="59" t="str">
        <f aca="false">IFERROR(IF([1]对账明细接口!$E$430=0,"",[1]对账明细接口!$E$430),"")</f>
        <v/>
      </c>
      <c r="F430" s="59" t="str">
        <f aca="false">IFERROR(IF([1]对账明细接口!$F$430=0,"",[1]对账明细接口!$F$430),"")</f>
        <v/>
      </c>
      <c r="G430" s="59" t="str">
        <f aca="false">IFERROR(IF([1]对账明细接口!$G$430=0,"",[1]对账明细接口!$G$430),"")</f>
        <v/>
      </c>
      <c r="H430" s="60" t="str">
        <f aca="false">IFERROR(IF([1]对账明细接口!$H$430=0,"",[1]对账明细接口!$H$430),"")</f>
        <v/>
      </c>
      <c r="I430" s="59" t="str">
        <f aca="false">IFERROR(IF([1]对账明细接口!$I$430=0,"",[1]对账明细接口!$I$430),"")</f>
        <v/>
      </c>
      <c r="J430" s="61" t="str">
        <f aca="false">IFERROR(IF([1]对账明细接口!$J$430=0,"",[1]对账明细接口!$J$430),"")</f>
        <v/>
      </c>
      <c r="K430" s="61" t="str">
        <f aca="false">IFERROR(IF([1]对账明细接口!$K$430=0,"",[1]对账明细接口!$K$430),"")</f>
        <v/>
      </c>
      <c r="L430" s="59" t="str">
        <f aca="false">IFERROR(IF([1]对账明细接口!$L$430=0,"",[1]对账明细接口!$L$430),"")</f>
        <v/>
      </c>
      <c r="M430" s="59" t="str">
        <f aca="false">IFERROR(IF([1]对账明细接口!$M$430=0,"",[1]对账明细接口!$M$430),"")</f>
        <v/>
      </c>
      <c r="N430" s="111" t="n">
        <f aca="false">IF($C430="",0,1)</f>
        <v>0</v>
      </c>
      <c r="O430" s="111" t="n">
        <f aca="false">N(O429)+$N430</f>
        <v>110</v>
      </c>
      <c r="S430" s="10" t="str">
        <f aca="false">IFERROR(IF([1]对账明细接口!$N430=0,"",[1]对账明细接口!$N430),"")</f>
        <v/>
      </c>
      <c r="T430" s="112" t="str">
        <f aca="false">IFERROR(IF([1]对账明细接口!$O430=0,"",[1]对账明细接口!$O430),"")</f>
        <v/>
      </c>
      <c r="U430" s="112" t="str">
        <f aca="false">IFERROR(IF([1]对账明细接口!$P430=0,"",[1]对账明细接口!$P430),"")</f>
        <v/>
      </c>
      <c r="V430" s="112" t="str">
        <f aca="false">IFERROR(IF([1]对账明细接口!$Q430=0,"",[1]对账明细接口!$Q430),"")</f>
        <v/>
      </c>
      <c r="W430" s="10" t="str">
        <f aca="false">IFERROR(IF([1]对账明细接口!$R430=0,"",[1]对账明细接口!$R430),"")</f>
        <v/>
      </c>
      <c r="X430" s="10" t="str">
        <f aca="false">IFERROR(IF([1]对账明细接口!$S430=0,"",[1]对账明细接口!$S430),"")</f>
        <v/>
      </c>
      <c r="Y430" s="10" t="str">
        <f aca="false">""</f>
        <v/>
      </c>
      <c r="Z430" s="10" t="str">
        <f aca="false">""</f>
        <v/>
      </c>
      <c r="AA430" s="10" t="str">
        <f aca="false">""</f>
        <v/>
      </c>
      <c r="AB430" s="10" t="str">
        <f aca="false">""</f>
        <v/>
      </c>
    </row>
    <row r="431" customFormat="false" ht="13.5" hidden="false" customHeight="false" outlineLevel="0" collapsed="false">
      <c r="A431" s="109" t="n">
        <v>431</v>
      </c>
      <c r="B431" s="110" t="str">
        <f aca="false">IFERROR(IF([1]对账明细接口!$B$431=0,"",[1]对账明细接口!$B$431),"")</f>
        <v/>
      </c>
      <c r="C431" s="59" t="str">
        <f aca="false">IFERROR(IF([1]对账明细接口!$C$431=0,"",[1]对账明细接口!$C$431),"")</f>
        <v/>
      </c>
      <c r="D431" s="59" t="str">
        <f aca="false">IFERROR(IF([1]对账明细接口!$D$431=0,"",[1]对账明细接口!$D$431),"")</f>
        <v/>
      </c>
      <c r="E431" s="59" t="str">
        <f aca="false">IFERROR(IF([1]对账明细接口!$E$431=0,"",[1]对账明细接口!$E$431),"")</f>
        <v/>
      </c>
      <c r="F431" s="59" t="str">
        <f aca="false">IFERROR(IF([1]对账明细接口!$F$431=0,"",[1]对账明细接口!$F$431),"")</f>
        <v/>
      </c>
      <c r="G431" s="59" t="str">
        <f aca="false">IFERROR(IF([1]对账明细接口!$G$431=0,"",[1]对账明细接口!$G$431),"")</f>
        <v/>
      </c>
      <c r="H431" s="60" t="str">
        <f aca="false">IFERROR(IF([1]对账明细接口!$H$431=0,"",[1]对账明细接口!$H$431),"")</f>
        <v/>
      </c>
      <c r="I431" s="59" t="str">
        <f aca="false">IFERROR(IF([1]对账明细接口!$I$431=0,"",[1]对账明细接口!$I$431),"")</f>
        <v/>
      </c>
      <c r="J431" s="61" t="str">
        <f aca="false">IFERROR(IF([1]对账明细接口!$J$431=0,"",[1]对账明细接口!$J$431),"")</f>
        <v/>
      </c>
      <c r="K431" s="61" t="str">
        <f aca="false">IFERROR(IF([1]对账明细接口!$K$431=0,"",[1]对账明细接口!$K$431),"")</f>
        <v/>
      </c>
      <c r="L431" s="59" t="str">
        <f aca="false">IFERROR(IF([1]对账明细接口!$L$431=0,"",[1]对账明细接口!$L$431),"")</f>
        <v/>
      </c>
      <c r="M431" s="59" t="str">
        <f aca="false">IFERROR(IF([1]对账明细接口!$M$431=0,"",[1]对账明细接口!$M$431),"")</f>
        <v/>
      </c>
      <c r="N431" s="111" t="n">
        <f aca="false">IF($C431="",0,1)</f>
        <v>0</v>
      </c>
      <c r="O431" s="111" t="n">
        <f aca="false">N(O430)+$N431</f>
        <v>110</v>
      </c>
      <c r="S431" s="10" t="str">
        <f aca="false">IFERROR(IF([1]对账明细接口!$N431=0,"",[1]对账明细接口!$N431),"")</f>
        <v/>
      </c>
      <c r="T431" s="112" t="str">
        <f aca="false">IFERROR(IF([1]对账明细接口!$O431=0,"",[1]对账明细接口!$O431),"")</f>
        <v/>
      </c>
      <c r="U431" s="112" t="str">
        <f aca="false">IFERROR(IF([1]对账明细接口!$P431=0,"",[1]对账明细接口!$P431),"")</f>
        <v/>
      </c>
      <c r="V431" s="112" t="str">
        <f aca="false">IFERROR(IF([1]对账明细接口!$Q431=0,"",[1]对账明细接口!$Q431),"")</f>
        <v/>
      </c>
      <c r="W431" s="10" t="str">
        <f aca="false">IFERROR(IF([1]对账明细接口!$R431=0,"",[1]对账明细接口!$R431),"")</f>
        <v/>
      </c>
      <c r="X431" s="10" t="str">
        <f aca="false">IFERROR(IF([1]对账明细接口!$S431=0,"",[1]对账明细接口!$S431),"")</f>
        <v/>
      </c>
      <c r="Y431" s="10" t="str">
        <f aca="false">""</f>
        <v/>
      </c>
      <c r="Z431" s="10" t="str">
        <f aca="false">""</f>
        <v/>
      </c>
      <c r="AA431" s="10" t="str">
        <f aca="false">""</f>
        <v/>
      </c>
      <c r="AB431" s="10" t="str">
        <f aca="false">""</f>
        <v/>
      </c>
    </row>
    <row r="432" customFormat="false" ht="13.5" hidden="false" customHeight="false" outlineLevel="0" collapsed="false">
      <c r="A432" s="109" t="n">
        <v>432</v>
      </c>
      <c r="B432" s="110" t="str">
        <f aca="false">IFERROR(IF([1]对账明细接口!$B$432=0,"",[1]对账明细接口!$B$432),"")</f>
        <v/>
      </c>
      <c r="C432" s="59" t="str">
        <f aca="false">IFERROR(IF([1]对账明细接口!$C$432=0,"",[1]对账明细接口!$C$432),"")</f>
        <v/>
      </c>
      <c r="D432" s="59" t="str">
        <f aca="false">IFERROR(IF([1]对账明细接口!$D$432=0,"",[1]对账明细接口!$D$432),"")</f>
        <v/>
      </c>
      <c r="E432" s="59" t="str">
        <f aca="false">IFERROR(IF([1]对账明细接口!$E$432=0,"",[1]对账明细接口!$E$432),"")</f>
        <v/>
      </c>
      <c r="F432" s="59" t="str">
        <f aca="false">IFERROR(IF([1]对账明细接口!$F$432=0,"",[1]对账明细接口!$F$432),"")</f>
        <v/>
      </c>
      <c r="G432" s="59" t="str">
        <f aca="false">IFERROR(IF([1]对账明细接口!$G$432=0,"",[1]对账明细接口!$G$432),"")</f>
        <v/>
      </c>
      <c r="H432" s="60" t="str">
        <f aca="false">IFERROR(IF([1]对账明细接口!$H$432=0,"",[1]对账明细接口!$H$432),"")</f>
        <v/>
      </c>
      <c r="I432" s="59" t="str">
        <f aca="false">IFERROR(IF([1]对账明细接口!$I$432=0,"",[1]对账明细接口!$I$432),"")</f>
        <v/>
      </c>
      <c r="J432" s="61" t="str">
        <f aca="false">IFERROR(IF([1]对账明细接口!$J$432=0,"",[1]对账明细接口!$J$432),"")</f>
        <v/>
      </c>
      <c r="K432" s="61" t="str">
        <f aca="false">IFERROR(IF([1]对账明细接口!$K$432=0,"",[1]对账明细接口!$K$432),"")</f>
        <v/>
      </c>
      <c r="L432" s="59" t="str">
        <f aca="false">IFERROR(IF([1]对账明细接口!$L$432=0,"",[1]对账明细接口!$L$432),"")</f>
        <v/>
      </c>
      <c r="M432" s="59" t="str">
        <f aca="false">IFERROR(IF([1]对账明细接口!$M$432=0,"",[1]对账明细接口!$M$432),"")</f>
        <v/>
      </c>
      <c r="N432" s="111" t="n">
        <f aca="false">IF($C432="",0,1)</f>
        <v>0</v>
      </c>
      <c r="O432" s="111" t="n">
        <f aca="false">N(O431)+$N432</f>
        <v>110</v>
      </c>
      <c r="S432" s="10" t="str">
        <f aca="false">IFERROR(IF([1]对账明细接口!$N432=0,"",[1]对账明细接口!$N432),"")</f>
        <v/>
      </c>
      <c r="T432" s="112" t="str">
        <f aca="false">IFERROR(IF([1]对账明细接口!$O432=0,"",[1]对账明细接口!$O432),"")</f>
        <v/>
      </c>
      <c r="U432" s="112" t="str">
        <f aca="false">IFERROR(IF([1]对账明细接口!$P432=0,"",[1]对账明细接口!$P432),"")</f>
        <v/>
      </c>
      <c r="V432" s="112" t="str">
        <f aca="false">IFERROR(IF([1]对账明细接口!$Q432=0,"",[1]对账明细接口!$Q432),"")</f>
        <v/>
      </c>
      <c r="W432" s="10" t="str">
        <f aca="false">IFERROR(IF([1]对账明细接口!$R432=0,"",[1]对账明细接口!$R432),"")</f>
        <v/>
      </c>
      <c r="X432" s="10" t="str">
        <f aca="false">IFERROR(IF([1]对账明细接口!$S432=0,"",[1]对账明细接口!$S432),"")</f>
        <v/>
      </c>
      <c r="Y432" s="10" t="str">
        <f aca="false">""</f>
        <v/>
      </c>
      <c r="Z432" s="10" t="str">
        <f aca="false">""</f>
        <v/>
      </c>
      <c r="AA432" s="10" t="str">
        <f aca="false">""</f>
        <v/>
      </c>
      <c r="AB432" s="10" t="str">
        <f aca="false">""</f>
        <v/>
      </c>
    </row>
    <row r="433" customFormat="false" ht="13.5" hidden="false" customHeight="false" outlineLevel="0" collapsed="false">
      <c r="A433" s="109" t="n">
        <v>433</v>
      </c>
      <c r="B433" s="110" t="str">
        <f aca="false">IFERROR(IF([1]对账明细接口!$B$433=0,"",[1]对账明细接口!$B$433),"")</f>
        <v/>
      </c>
      <c r="C433" s="59" t="str">
        <f aca="false">IFERROR(IF([1]对账明细接口!$C$433=0,"",[1]对账明细接口!$C$433),"")</f>
        <v/>
      </c>
      <c r="D433" s="59" t="str">
        <f aca="false">IFERROR(IF([1]对账明细接口!$D$433=0,"",[1]对账明细接口!$D$433),"")</f>
        <v/>
      </c>
      <c r="E433" s="59" t="str">
        <f aca="false">IFERROR(IF([1]对账明细接口!$E$433=0,"",[1]对账明细接口!$E$433),"")</f>
        <v/>
      </c>
      <c r="F433" s="59" t="str">
        <f aca="false">IFERROR(IF([1]对账明细接口!$F$433=0,"",[1]对账明细接口!$F$433),"")</f>
        <v/>
      </c>
      <c r="G433" s="59" t="str">
        <f aca="false">IFERROR(IF([1]对账明细接口!$G$433=0,"",[1]对账明细接口!$G$433),"")</f>
        <v/>
      </c>
      <c r="H433" s="60" t="str">
        <f aca="false">IFERROR(IF([1]对账明细接口!$H$433=0,"",[1]对账明细接口!$H$433),"")</f>
        <v/>
      </c>
      <c r="I433" s="59" t="str">
        <f aca="false">IFERROR(IF([1]对账明细接口!$I$433=0,"",[1]对账明细接口!$I$433),"")</f>
        <v/>
      </c>
      <c r="J433" s="61" t="str">
        <f aca="false">IFERROR(IF([1]对账明细接口!$J$433=0,"",[1]对账明细接口!$J$433),"")</f>
        <v/>
      </c>
      <c r="K433" s="61" t="str">
        <f aca="false">IFERROR(IF([1]对账明细接口!$K$433=0,"",[1]对账明细接口!$K$433),"")</f>
        <v/>
      </c>
      <c r="L433" s="59" t="str">
        <f aca="false">IFERROR(IF([1]对账明细接口!$L$433=0,"",[1]对账明细接口!$L$433),"")</f>
        <v/>
      </c>
      <c r="M433" s="59" t="str">
        <f aca="false">IFERROR(IF([1]对账明细接口!$M$433=0,"",[1]对账明细接口!$M$433),"")</f>
        <v/>
      </c>
      <c r="N433" s="111" t="n">
        <f aca="false">IF($C433="",0,1)</f>
        <v>0</v>
      </c>
      <c r="O433" s="111" t="n">
        <f aca="false">N(O432)+$N433</f>
        <v>110</v>
      </c>
      <c r="S433" s="10" t="str">
        <f aca="false">IFERROR(IF([1]对账明细接口!$N433=0,"",[1]对账明细接口!$N433),"")</f>
        <v/>
      </c>
      <c r="T433" s="112" t="str">
        <f aca="false">IFERROR(IF([1]对账明细接口!$O433=0,"",[1]对账明细接口!$O433),"")</f>
        <v/>
      </c>
      <c r="U433" s="112" t="str">
        <f aca="false">IFERROR(IF([1]对账明细接口!$P433=0,"",[1]对账明细接口!$P433),"")</f>
        <v/>
      </c>
      <c r="V433" s="112" t="str">
        <f aca="false">IFERROR(IF([1]对账明细接口!$Q433=0,"",[1]对账明细接口!$Q433),"")</f>
        <v/>
      </c>
      <c r="W433" s="10" t="str">
        <f aca="false">IFERROR(IF([1]对账明细接口!$R433=0,"",[1]对账明细接口!$R433),"")</f>
        <v/>
      </c>
      <c r="X433" s="10" t="str">
        <f aca="false">IFERROR(IF([1]对账明细接口!$S433=0,"",[1]对账明细接口!$S433),"")</f>
        <v/>
      </c>
      <c r="Y433" s="10" t="str">
        <f aca="false">""</f>
        <v/>
      </c>
      <c r="Z433" s="10" t="str">
        <f aca="false">""</f>
        <v/>
      </c>
      <c r="AA433" s="10" t="str">
        <f aca="false">""</f>
        <v/>
      </c>
      <c r="AB433" s="10" t="str">
        <f aca="false">""</f>
        <v/>
      </c>
    </row>
    <row r="434" customFormat="false" ht="13.5" hidden="false" customHeight="false" outlineLevel="0" collapsed="false">
      <c r="A434" s="109" t="n">
        <v>434</v>
      </c>
      <c r="B434" s="110" t="str">
        <f aca="false">IFERROR(IF([1]对账明细接口!$B$434=0,"",[1]对账明细接口!$B$434),"")</f>
        <v/>
      </c>
      <c r="C434" s="59" t="str">
        <f aca="false">IFERROR(IF([1]对账明细接口!$C$434=0,"",[1]对账明细接口!$C$434),"")</f>
        <v/>
      </c>
      <c r="D434" s="59" t="str">
        <f aca="false">IFERROR(IF([1]对账明细接口!$D$434=0,"",[1]对账明细接口!$D$434),"")</f>
        <v/>
      </c>
      <c r="E434" s="59" t="str">
        <f aca="false">IFERROR(IF([1]对账明细接口!$E$434=0,"",[1]对账明细接口!$E$434),"")</f>
        <v/>
      </c>
      <c r="F434" s="59" t="str">
        <f aca="false">IFERROR(IF([1]对账明细接口!$F$434=0,"",[1]对账明细接口!$F$434),"")</f>
        <v/>
      </c>
      <c r="G434" s="59" t="str">
        <f aca="false">IFERROR(IF([1]对账明细接口!$G$434=0,"",[1]对账明细接口!$G$434),"")</f>
        <v/>
      </c>
      <c r="H434" s="60" t="str">
        <f aca="false">IFERROR(IF([1]对账明细接口!$H$434=0,"",[1]对账明细接口!$H$434),"")</f>
        <v/>
      </c>
      <c r="I434" s="59" t="str">
        <f aca="false">IFERROR(IF([1]对账明细接口!$I$434=0,"",[1]对账明细接口!$I$434),"")</f>
        <v/>
      </c>
      <c r="J434" s="61" t="str">
        <f aca="false">IFERROR(IF([1]对账明细接口!$J$434=0,"",[1]对账明细接口!$J$434),"")</f>
        <v/>
      </c>
      <c r="K434" s="61" t="str">
        <f aca="false">IFERROR(IF([1]对账明细接口!$K$434=0,"",[1]对账明细接口!$K$434),"")</f>
        <v/>
      </c>
      <c r="L434" s="59" t="str">
        <f aca="false">IFERROR(IF([1]对账明细接口!$L$434=0,"",[1]对账明细接口!$L$434),"")</f>
        <v/>
      </c>
      <c r="M434" s="59" t="str">
        <f aca="false">IFERROR(IF([1]对账明细接口!$M$434=0,"",[1]对账明细接口!$M$434),"")</f>
        <v/>
      </c>
      <c r="N434" s="111" t="n">
        <f aca="false">IF($C434="",0,1)</f>
        <v>0</v>
      </c>
      <c r="O434" s="111" t="n">
        <f aca="false">N(O433)+$N434</f>
        <v>110</v>
      </c>
      <c r="S434" s="10" t="str">
        <f aca="false">IFERROR(IF([1]对账明细接口!$N434=0,"",[1]对账明细接口!$N434),"")</f>
        <v/>
      </c>
      <c r="T434" s="112" t="str">
        <f aca="false">IFERROR(IF([1]对账明细接口!$O434=0,"",[1]对账明细接口!$O434),"")</f>
        <v/>
      </c>
      <c r="U434" s="112" t="str">
        <f aca="false">IFERROR(IF([1]对账明细接口!$P434=0,"",[1]对账明细接口!$P434),"")</f>
        <v/>
      </c>
      <c r="V434" s="112" t="str">
        <f aca="false">IFERROR(IF([1]对账明细接口!$Q434=0,"",[1]对账明细接口!$Q434),"")</f>
        <v/>
      </c>
      <c r="W434" s="10" t="str">
        <f aca="false">IFERROR(IF([1]对账明细接口!$R434=0,"",[1]对账明细接口!$R434),"")</f>
        <v/>
      </c>
      <c r="X434" s="10" t="str">
        <f aca="false">IFERROR(IF([1]对账明细接口!$S434=0,"",[1]对账明细接口!$S434),"")</f>
        <v/>
      </c>
      <c r="Y434" s="10" t="str">
        <f aca="false">""</f>
        <v/>
      </c>
      <c r="Z434" s="10" t="str">
        <f aca="false">""</f>
        <v/>
      </c>
      <c r="AA434" s="10" t="str">
        <f aca="false">""</f>
        <v/>
      </c>
      <c r="AB434" s="10" t="str">
        <f aca="false">""</f>
        <v/>
      </c>
    </row>
    <row r="435" customFormat="false" ht="13.5" hidden="false" customHeight="false" outlineLevel="0" collapsed="false">
      <c r="A435" s="109" t="n">
        <v>435</v>
      </c>
      <c r="B435" s="110" t="str">
        <f aca="false">IFERROR(IF([1]对账明细接口!$B$435=0,"",[1]对账明细接口!$B$435),"")</f>
        <v/>
      </c>
      <c r="C435" s="59" t="str">
        <f aca="false">IFERROR(IF([1]对账明细接口!$C$435=0,"",[1]对账明细接口!$C$435),"")</f>
        <v/>
      </c>
      <c r="D435" s="59" t="str">
        <f aca="false">IFERROR(IF([1]对账明细接口!$D$435=0,"",[1]对账明细接口!$D$435),"")</f>
        <v/>
      </c>
      <c r="E435" s="59" t="str">
        <f aca="false">IFERROR(IF([1]对账明细接口!$E$435=0,"",[1]对账明细接口!$E$435),"")</f>
        <v/>
      </c>
      <c r="F435" s="59" t="str">
        <f aca="false">IFERROR(IF([1]对账明细接口!$F$435=0,"",[1]对账明细接口!$F$435),"")</f>
        <v/>
      </c>
      <c r="G435" s="59" t="str">
        <f aca="false">IFERROR(IF([1]对账明细接口!$G$435=0,"",[1]对账明细接口!$G$435),"")</f>
        <v/>
      </c>
      <c r="H435" s="60" t="str">
        <f aca="false">IFERROR(IF([1]对账明细接口!$H$435=0,"",[1]对账明细接口!$H$435),"")</f>
        <v/>
      </c>
      <c r="I435" s="59" t="str">
        <f aca="false">IFERROR(IF([1]对账明细接口!$I$435=0,"",[1]对账明细接口!$I$435),"")</f>
        <v/>
      </c>
      <c r="J435" s="61" t="str">
        <f aca="false">IFERROR(IF([1]对账明细接口!$J$435=0,"",[1]对账明细接口!$J$435),"")</f>
        <v/>
      </c>
      <c r="K435" s="61" t="str">
        <f aca="false">IFERROR(IF([1]对账明细接口!$K$435=0,"",[1]对账明细接口!$K$435),"")</f>
        <v/>
      </c>
      <c r="L435" s="59" t="str">
        <f aca="false">IFERROR(IF([1]对账明细接口!$L$435=0,"",[1]对账明细接口!$L$435),"")</f>
        <v/>
      </c>
      <c r="M435" s="59" t="str">
        <f aca="false">IFERROR(IF([1]对账明细接口!$M$435=0,"",[1]对账明细接口!$M$435),"")</f>
        <v/>
      </c>
      <c r="N435" s="111" t="n">
        <f aca="false">IF($C435="",0,1)</f>
        <v>0</v>
      </c>
      <c r="O435" s="111" t="n">
        <f aca="false">N(O434)+$N435</f>
        <v>110</v>
      </c>
      <c r="S435" s="10" t="str">
        <f aca="false">IFERROR(IF([1]对账明细接口!$N435=0,"",[1]对账明细接口!$N435),"")</f>
        <v/>
      </c>
      <c r="T435" s="112" t="str">
        <f aca="false">IFERROR(IF([1]对账明细接口!$O435=0,"",[1]对账明细接口!$O435),"")</f>
        <v/>
      </c>
      <c r="U435" s="112" t="str">
        <f aca="false">IFERROR(IF([1]对账明细接口!$P435=0,"",[1]对账明细接口!$P435),"")</f>
        <v/>
      </c>
      <c r="V435" s="112" t="str">
        <f aca="false">IFERROR(IF([1]对账明细接口!$Q435=0,"",[1]对账明细接口!$Q435),"")</f>
        <v/>
      </c>
      <c r="W435" s="10" t="str">
        <f aca="false">IFERROR(IF([1]对账明细接口!$R435=0,"",[1]对账明细接口!$R435),"")</f>
        <v/>
      </c>
      <c r="X435" s="10" t="str">
        <f aca="false">IFERROR(IF([1]对账明细接口!$S435=0,"",[1]对账明细接口!$S435),"")</f>
        <v/>
      </c>
      <c r="Y435" s="10" t="str">
        <f aca="false">""</f>
        <v/>
      </c>
      <c r="Z435" s="10" t="str">
        <f aca="false">""</f>
        <v/>
      </c>
      <c r="AA435" s="10" t="str">
        <f aca="false">""</f>
        <v/>
      </c>
      <c r="AB435" s="10" t="str">
        <f aca="false">""</f>
        <v/>
      </c>
    </row>
    <row r="436" customFormat="false" ht="13.5" hidden="false" customHeight="false" outlineLevel="0" collapsed="false">
      <c r="A436" s="109" t="n">
        <v>436</v>
      </c>
      <c r="B436" s="110" t="str">
        <f aca="false">IFERROR(IF([1]对账明细接口!$B$436=0,"",[1]对账明细接口!$B$436),"")</f>
        <v/>
      </c>
      <c r="C436" s="59" t="str">
        <f aca="false">IFERROR(IF([1]对账明细接口!$C$436=0,"",[1]对账明细接口!$C$436),"")</f>
        <v/>
      </c>
      <c r="D436" s="59" t="str">
        <f aca="false">IFERROR(IF([1]对账明细接口!$D$436=0,"",[1]对账明细接口!$D$436),"")</f>
        <v/>
      </c>
      <c r="E436" s="59" t="str">
        <f aca="false">IFERROR(IF([1]对账明细接口!$E$436=0,"",[1]对账明细接口!$E$436),"")</f>
        <v/>
      </c>
      <c r="F436" s="59" t="str">
        <f aca="false">IFERROR(IF([1]对账明细接口!$F$436=0,"",[1]对账明细接口!$F$436),"")</f>
        <v/>
      </c>
      <c r="G436" s="59" t="str">
        <f aca="false">IFERROR(IF([1]对账明细接口!$G$436=0,"",[1]对账明细接口!$G$436),"")</f>
        <v/>
      </c>
      <c r="H436" s="60" t="str">
        <f aca="false">IFERROR(IF([1]对账明细接口!$H$436=0,"",[1]对账明细接口!$H$436),"")</f>
        <v/>
      </c>
      <c r="I436" s="59" t="str">
        <f aca="false">IFERROR(IF([1]对账明细接口!$I$436=0,"",[1]对账明细接口!$I$436),"")</f>
        <v/>
      </c>
      <c r="J436" s="61" t="str">
        <f aca="false">IFERROR(IF([1]对账明细接口!$J$436=0,"",[1]对账明细接口!$J$436),"")</f>
        <v/>
      </c>
      <c r="K436" s="61" t="str">
        <f aca="false">IFERROR(IF([1]对账明细接口!$K$436=0,"",[1]对账明细接口!$K$436),"")</f>
        <v/>
      </c>
      <c r="L436" s="59" t="str">
        <f aca="false">IFERROR(IF([1]对账明细接口!$L$436=0,"",[1]对账明细接口!$L$436),"")</f>
        <v/>
      </c>
      <c r="M436" s="59" t="str">
        <f aca="false">IFERROR(IF([1]对账明细接口!$M$436=0,"",[1]对账明细接口!$M$436),"")</f>
        <v/>
      </c>
      <c r="N436" s="111" t="n">
        <f aca="false">IF($C436="",0,1)</f>
        <v>0</v>
      </c>
      <c r="O436" s="111" t="n">
        <f aca="false">N(O435)+$N436</f>
        <v>110</v>
      </c>
      <c r="S436" s="10" t="str">
        <f aca="false">IFERROR(IF([1]对账明细接口!$N436=0,"",[1]对账明细接口!$N436),"")</f>
        <v/>
      </c>
      <c r="T436" s="112" t="str">
        <f aca="false">IFERROR(IF([1]对账明细接口!$O436=0,"",[1]对账明细接口!$O436),"")</f>
        <v/>
      </c>
      <c r="U436" s="112" t="str">
        <f aca="false">IFERROR(IF([1]对账明细接口!$P436=0,"",[1]对账明细接口!$P436),"")</f>
        <v/>
      </c>
      <c r="V436" s="112" t="str">
        <f aca="false">IFERROR(IF([1]对账明细接口!$Q436=0,"",[1]对账明细接口!$Q436),"")</f>
        <v/>
      </c>
      <c r="W436" s="10" t="str">
        <f aca="false">IFERROR(IF([1]对账明细接口!$R436=0,"",[1]对账明细接口!$R436),"")</f>
        <v/>
      </c>
      <c r="X436" s="10" t="str">
        <f aca="false">IFERROR(IF([1]对账明细接口!$S436=0,"",[1]对账明细接口!$S436),"")</f>
        <v/>
      </c>
      <c r="Y436" s="10" t="str">
        <f aca="false">""</f>
        <v/>
      </c>
      <c r="Z436" s="10" t="str">
        <f aca="false">""</f>
        <v/>
      </c>
      <c r="AA436" s="10" t="str">
        <f aca="false">""</f>
        <v/>
      </c>
      <c r="AB436" s="10" t="str">
        <f aca="false">""</f>
        <v/>
      </c>
    </row>
    <row r="437" customFormat="false" ht="13.5" hidden="false" customHeight="false" outlineLevel="0" collapsed="false">
      <c r="A437" s="109" t="n">
        <v>437</v>
      </c>
      <c r="B437" s="110" t="str">
        <f aca="false">IFERROR(IF([1]对账明细接口!$B$437=0,"",[1]对账明细接口!$B$437),"")</f>
        <v/>
      </c>
      <c r="C437" s="59" t="str">
        <f aca="false">IFERROR(IF([1]对账明细接口!$C$437=0,"",[1]对账明细接口!$C$437),"")</f>
        <v/>
      </c>
      <c r="D437" s="59" t="str">
        <f aca="false">IFERROR(IF([1]对账明细接口!$D$437=0,"",[1]对账明细接口!$D$437),"")</f>
        <v/>
      </c>
      <c r="E437" s="59" t="str">
        <f aca="false">IFERROR(IF([1]对账明细接口!$E$437=0,"",[1]对账明细接口!$E$437),"")</f>
        <v/>
      </c>
      <c r="F437" s="59" t="str">
        <f aca="false">IFERROR(IF([1]对账明细接口!$F$437=0,"",[1]对账明细接口!$F$437),"")</f>
        <v/>
      </c>
      <c r="G437" s="59" t="str">
        <f aca="false">IFERROR(IF([1]对账明细接口!$G$437=0,"",[1]对账明细接口!$G$437),"")</f>
        <v/>
      </c>
      <c r="H437" s="60" t="str">
        <f aca="false">IFERROR(IF([1]对账明细接口!$H$437=0,"",[1]对账明细接口!$H$437),"")</f>
        <v/>
      </c>
      <c r="I437" s="59" t="str">
        <f aca="false">IFERROR(IF([1]对账明细接口!$I$437=0,"",[1]对账明细接口!$I$437),"")</f>
        <v/>
      </c>
      <c r="J437" s="61" t="str">
        <f aca="false">IFERROR(IF([1]对账明细接口!$J$437=0,"",[1]对账明细接口!$J$437),"")</f>
        <v/>
      </c>
      <c r="K437" s="61" t="str">
        <f aca="false">IFERROR(IF([1]对账明细接口!$K$437=0,"",[1]对账明细接口!$K$437),"")</f>
        <v/>
      </c>
      <c r="L437" s="59" t="str">
        <f aca="false">IFERROR(IF([1]对账明细接口!$L$437=0,"",[1]对账明细接口!$L$437),"")</f>
        <v/>
      </c>
      <c r="M437" s="59" t="str">
        <f aca="false">IFERROR(IF([1]对账明细接口!$M$437=0,"",[1]对账明细接口!$M$437),"")</f>
        <v/>
      </c>
      <c r="N437" s="111" t="n">
        <f aca="false">IF($C437="",0,1)</f>
        <v>0</v>
      </c>
      <c r="O437" s="111" t="n">
        <f aca="false">N(O436)+$N437</f>
        <v>110</v>
      </c>
      <c r="S437" s="10" t="str">
        <f aca="false">IFERROR(IF([1]对账明细接口!$N437=0,"",[1]对账明细接口!$N437),"")</f>
        <v/>
      </c>
      <c r="T437" s="112" t="str">
        <f aca="false">IFERROR(IF([1]对账明细接口!$O437=0,"",[1]对账明细接口!$O437),"")</f>
        <v/>
      </c>
      <c r="U437" s="112" t="str">
        <f aca="false">IFERROR(IF([1]对账明细接口!$P437=0,"",[1]对账明细接口!$P437),"")</f>
        <v/>
      </c>
      <c r="V437" s="112" t="str">
        <f aca="false">IFERROR(IF([1]对账明细接口!$Q437=0,"",[1]对账明细接口!$Q437),"")</f>
        <v/>
      </c>
      <c r="W437" s="10" t="str">
        <f aca="false">IFERROR(IF([1]对账明细接口!$R437=0,"",[1]对账明细接口!$R437),"")</f>
        <v/>
      </c>
      <c r="X437" s="10" t="str">
        <f aca="false">IFERROR(IF([1]对账明细接口!$S437=0,"",[1]对账明细接口!$S437),"")</f>
        <v/>
      </c>
      <c r="Y437" s="10" t="str">
        <f aca="false">""</f>
        <v/>
      </c>
      <c r="Z437" s="10" t="str">
        <f aca="false">""</f>
        <v/>
      </c>
      <c r="AA437" s="10" t="str">
        <f aca="false">""</f>
        <v/>
      </c>
      <c r="AB437" s="10" t="str">
        <f aca="false">""</f>
        <v/>
      </c>
    </row>
    <row r="438" customFormat="false" ht="13.5" hidden="false" customHeight="false" outlineLevel="0" collapsed="false">
      <c r="A438" s="109" t="n">
        <v>438</v>
      </c>
      <c r="B438" s="110" t="str">
        <f aca="false">IFERROR(IF([1]对账明细接口!$B$438=0,"",[1]对账明细接口!$B$438),"")</f>
        <v/>
      </c>
      <c r="C438" s="59" t="str">
        <f aca="false">IFERROR(IF([1]对账明细接口!$C$438=0,"",[1]对账明细接口!$C$438),"")</f>
        <v/>
      </c>
      <c r="D438" s="59" t="str">
        <f aca="false">IFERROR(IF([1]对账明细接口!$D$438=0,"",[1]对账明细接口!$D$438),"")</f>
        <v/>
      </c>
      <c r="E438" s="59" t="str">
        <f aca="false">IFERROR(IF([1]对账明细接口!$E$438=0,"",[1]对账明细接口!$E$438),"")</f>
        <v/>
      </c>
      <c r="F438" s="59" t="str">
        <f aca="false">IFERROR(IF([1]对账明细接口!$F$438=0,"",[1]对账明细接口!$F$438),"")</f>
        <v/>
      </c>
      <c r="G438" s="59" t="str">
        <f aca="false">IFERROR(IF([1]对账明细接口!$G$438=0,"",[1]对账明细接口!$G$438),"")</f>
        <v/>
      </c>
      <c r="H438" s="60" t="str">
        <f aca="false">IFERROR(IF([1]对账明细接口!$H$438=0,"",[1]对账明细接口!$H$438),"")</f>
        <v/>
      </c>
      <c r="I438" s="59" t="str">
        <f aca="false">IFERROR(IF([1]对账明细接口!$I$438=0,"",[1]对账明细接口!$I$438),"")</f>
        <v/>
      </c>
      <c r="J438" s="61" t="str">
        <f aca="false">IFERROR(IF([1]对账明细接口!$J$438=0,"",[1]对账明细接口!$J$438),"")</f>
        <v/>
      </c>
      <c r="K438" s="61" t="str">
        <f aca="false">IFERROR(IF([1]对账明细接口!$K$438=0,"",[1]对账明细接口!$K$438),"")</f>
        <v/>
      </c>
      <c r="L438" s="59" t="str">
        <f aca="false">IFERROR(IF([1]对账明细接口!$L$438=0,"",[1]对账明细接口!$L$438),"")</f>
        <v/>
      </c>
      <c r="M438" s="59" t="str">
        <f aca="false">IFERROR(IF([1]对账明细接口!$M$438=0,"",[1]对账明细接口!$M$438),"")</f>
        <v/>
      </c>
      <c r="N438" s="111" t="n">
        <f aca="false">IF($C438="",0,1)</f>
        <v>0</v>
      </c>
      <c r="O438" s="111" t="n">
        <f aca="false">N(O437)+$N438</f>
        <v>110</v>
      </c>
      <c r="S438" s="10" t="str">
        <f aca="false">IFERROR(IF([1]对账明细接口!$N438=0,"",[1]对账明细接口!$N438),"")</f>
        <v/>
      </c>
      <c r="T438" s="112" t="str">
        <f aca="false">IFERROR(IF([1]对账明细接口!$O438=0,"",[1]对账明细接口!$O438),"")</f>
        <v/>
      </c>
      <c r="U438" s="112" t="str">
        <f aca="false">IFERROR(IF([1]对账明细接口!$P438=0,"",[1]对账明细接口!$P438),"")</f>
        <v/>
      </c>
      <c r="V438" s="112" t="str">
        <f aca="false">IFERROR(IF([1]对账明细接口!$Q438=0,"",[1]对账明细接口!$Q438),"")</f>
        <v/>
      </c>
      <c r="W438" s="10" t="str">
        <f aca="false">IFERROR(IF([1]对账明细接口!$R438=0,"",[1]对账明细接口!$R438),"")</f>
        <v/>
      </c>
      <c r="X438" s="10" t="str">
        <f aca="false">IFERROR(IF([1]对账明细接口!$S438=0,"",[1]对账明细接口!$S438),"")</f>
        <v/>
      </c>
      <c r="Y438" s="10" t="str">
        <f aca="false">""</f>
        <v/>
      </c>
      <c r="Z438" s="10" t="str">
        <f aca="false">""</f>
        <v/>
      </c>
      <c r="AA438" s="10" t="str">
        <f aca="false">""</f>
        <v/>
      </c>
      <c r="AB438" s="10" t="str">
        <f aca="false">""</f>
        <v/>
      </c>
    </row>
    <row r="439" customFormat="false" ht="13.5" hidden="false" customHeight="false" outlineLevel="0" collapsed="false">
      <c r="A439" s="109" t="n">
        <v>439</v>
      </c>
      <c r="B439" s="110" t="str">
        <f aca="false">IFERROR(IF([1]对账明细接口!$B$439=0,"",[1]对账明细接口!$B$439),"")</f>
        <v/>
      </c>
      <c r="C439" s="59" t="str">
        <f aca="false">IFERROR(IF([1]对账明细接口!$C$439=0,"",[1]对账明细接口!$C$439),"")</f>
        <v/>
      </c>
      <c r="D439" s="59" t="str">
        <f aca="false">IFERROR(IF([1]对账明细接口!$D$439=0,"",[1]对账明细接口!$D$439),"")</f>
        <v/>
      </c>
      <c r="E439" s="59" t="str">
        <f aca="false">IFERROR(IF([1]对账明细接口!$E$439=0,"",[1]对账明细接口!$E$439),"")</f>
        <v/>
      </c>
      <c r="F439" s="59" t="str">
        <f aca="false">IFERROR(IF([1]对账明细接口!$F$439=0,"",[1]对账明细接口!$F$439),"")</f>
        <v/>
      </c>
      <c r="G439" s="59" t="str">
        <f aca="false">IFERROR(IF([1]对账明细接口!$G$439=0,"",[1]对账明细接口!$G$439),"")</f>
        <v/>
      </c>
      <c r="H439" s="60" t="str">
        <f aca="false">IFERROR(IF([1]对账明细接口!$H$439=0,"",[1]对账明细接口!$H$439),"")</f>
        <v/>
      </c>
      <c r="I439" s="59" t="str">
        <f aca="false">IFERROR(IF([1]对账明细接口!$I$439=0,"",[1]对账明细接口!$I$439),"")</f>
        <v/>
      </c>
      <c r="J439" s="61" t="str">
        <f aca="false">IFERROR(IF([1]对账明细接口!$J$439=0,"",[1]对账明细接口!$J$439),"")</f>
        <v/>
      </c>
      <c r="K439" s="61" t="str">
        <f aca="false">IFERROR(IF([1]对账明细接口!$K$439=0,"",[1]对账明细接口!$K$439),"")</f>
        <v/>
      </c>
      <c r="L439" s="59" t="str">
        <f aca="false">IFERROR(IF([1]对账明细接口!$L$439=0,"",[1]对账明细接口!$L$439),"")</f>
        <v/>
      </c>
      <c r="M439" s="59" t="str">
        <f aca="false">IFERROR(IF([1]对账明细接口!$M$439=0,"",[1]对账明细接口!$M$439),"")</f>
        <v/>
      </c>
      <c r="N439" s="111" t="n">
        <f aca="false">IF($C439="",0,1)</f>
        <v>0</v>
      </c>
      <c r="O439" s="111" t="n">
        <f aca="false">N(O438)+$N439</f>
        <v>110</v>
      </c>
      <c r="S439" s="10" t="str">
        <f aca="false">IFERROR(IF([1]对账明细接口!$N439=0,"",[1]对账明细接口!$N439),"")</f>
        <v/>
      </c>
      <c r="T439" s="112" t="str">
        <f aca="false">IFERROR(IF([1]对账明细接口!$O439=0,"",[1]对账明细接口!$O439),"")</f>
        <v/>
      </c>
      <c r="U439" s="112" t="str">
        <f aca="false">IFERROR(IF([1]对账明细接口!$P439=0,"",[1]对账明细接口!$P439),"")</f>
        <v/>
      </c>
      <c r="V439" s="112" t="str">
        <f aca="false">IFERROR(IF([1]对账明细接口!$Q439=0,"",[1]对账明细接口!$Q439),"")</f>
        <v/>
      </c>
      <c r="W439" s="10" t="str">
        <f aca="false">IFERROR(IF([1]对账明细接口!$R439=0,"",[1]对账明细接口!$R439),"")</f>
        <v/>
      </c>
      <c r="X439" s="10" t="str">
        <f aca="false">IFERROR(IF([1]对账明细接口!$S439=0,"",[1]对账明细接口!$S439),"")</f>
        <v/>
      </c>
      <c r="Y439" s="10" t="str">
        <f aca="false">""</f>
        <v/>
      </c>
      <c r="Z439" s="10" t="str">
        <f aca="false">""</f>
        <v/>
      </c>
      <c r="AA439" s="10" t="str">
        <f aca="false">""</f>
        <v/>
      </c>
      <c r="AB439" s="10" t="str">
        <f aca="false">""</f>
        <v/>
      </c>
    </row>
    <row r="440" customFormat="false" ht="13.5" hidden="false" customHeight="false" outlineLevel="0" collapsed="false">
      <c r="A440" s="109" t="n">
        <v>440</v>
      </c>
      <c r="B440" s="110" t="str">
        <f aca="false">IFERROR(IF([1]对账明细接口!$B$440=0,"",[1]对账明细接口!$B$440),"")</f>
        <v/>
      </c>
      <c r="C440" s="59" t="str">
        <f aca="false">IFERROR(IF([1]对账明细接口!$C$440=0,"",[1]对账明细接口!$C$440),"")</f>
        <v/>
      </c>
      <c r="D440" s="59" t="str">
        <f aca="false">IFERROR(IF([1]对账明细接口!$D$440=0,"",[1]对账明细接口!$D$440),"")</f>
        <v/>
      </c>
      <c r="E440" s="59" t="str">
        <f aca="false">IFERROR(IF([1]对账明细接口!$E$440=0,"",[1]对账明细接口!$E$440),"")</f>
        <v/>
      </c>
      <c r="F440" s="59" t="str">
        <f aca="false">IFERROR(IF([1]对账明细接口!$F$440=0,"",[1]对账明细接口!$F$440),"")</f>
        <v/>
      </c>
      <c r="G440" s="59" t="str">
        <f aca="false">IFERROR(IF([1]对账明细接口!$G$440=0,"",[1]对账明细接口!$G$440),"")</f>
        <v/>
      </c>
      <c r="H440" s="60" t="str">
        <f aca="false">IFERROR(IF([1]对账明细接口!$H$440=0,"",[1]对账明细接口!$H$440),"")</f>
        <v/>
      </c>
      <c r="I440" s="59" t="str">
        <f aca="false">IFERROR(IF([1]对账明细接口!$I$440=0,"",[1]对账明细接口!$I$440),"")</f>
        <v/>
      </c>
      <c r="J440" s="61" t="str">
        <f aca="false">IFERROR(IF([1]对账明细接口!$J$440=0,"",[1]对账明细接口!$J$440),"")</f>
        <v/>
      </c>
      <c r="K440" s="61" t="str">
        <f aca="false">IFERROR(IF([1]对账明细接口!$K$440=0,"",[1]对账明细接口!$K$440),"")</f>
        <v/>
      </c>
      <c r="L440" s="59" t="str">
        <f aca="false">IFERROR(IF([1]对账明细接口!$L$440=0,"",[1]对账明细接口!$L$440),"")</f>
        <v/>
      </c>
      <c r="M440" s="59" t="str">
        <f aca="false">IFERROR(IF([1]对账明细接口!$M$440=0,"",[1]对账明细接口!$M$440),"")</f>
        <v/>
      </c>
      <c r="N440" s="111" t="n">
        <f aca="false">IF($C440="",0,1)</f>
        <v>0</v>
      </c>
      <c r="O440" s="111" t="n">
        <f aca="false">N(O439)+$N440</f>
        <v>110</v>
      </c>
      <c r="S440" s="10" t="str">
        <f aca="false">IFERROR(IF([1]对账明细接口!$N440=0,"",[1]对账明细接口!$N440),"")</f>
        <v/>
      </c>
      <c r="T440" s="112" t="str">
        <f aca="false">IFERROR(IF([1]对账明细接口!$O440=0,"",[1]对账明细接口!$O440),"")</f>
        <v/>
      </c>
      <c r="U440" s="112" t="str">
        <f aca="false">IFERROR(IF([1]对账明细接口!$P440=0,"",[1]对账明细接口!$P440),"")</f>
        <v/>
      </c>
      <c r="V440" s="112" t="str">
        <f aca="false">IFERROR(IF([1]对账明细接口!$Q440=0,"",[1]对账明细接口!$Q440),"")</f>
        <v/>
      </c>
      <c r="W440" s="10" t="str">
        <f aca="false">IFERROR(IF([1]对账明细接口!$R440=0,"",[1]对账明细接口!$R440),"")</f>
        <v/>
      </c>
      <c r="X440" s="10" t="str">
        <f aca="false">IFERROR(IF([1]对账明细接口!$S440=0,"",[1]对账明细接口!$S440),"")</f>
        <v/>
      </c>
      <c r="Y440" s="10" t="str">
        <f aca="false">""</f>
        <v/>
      </c>
      <c r="Z440" s="10" t="str">
        <f aca="false">""</f>
        <v/>
      </c>
      <c r="AA440" s="10" t="str">
        <f aca="false">""</f>
        <v/>
      </c>
      <c r="AB440" s="10" t="str">
        <f aca="false">""</f>
        <v/>
      </c>
    </row>
    <row r="441" customFormat="false" ht="13.5" hidden="false" customHeight="false" outlineLevel="0" collapsed="false">
      <c r="A441" s="109" t="n">
        <v>441</v>
      </c>
      <c r="B441" s="110" t="str">
        <f aca="false">IFERROR(IF([1]对账明细接口!$B$441=0,"",[1]对账明细接口!$B$441),"")</f>
        <v/>
      </c>
      <c r="C441" s="59" t="str">
        <f aca="false">IFERROR(IF([1]对账明细接口!$C$441=0,"",[1]对账明细接口!$C$441),"")</f>
        <v/>
      </c>
      <c r="D441" s="59" t="str">
        <f aca="false">IFERROR(IF([1]对账明细接口!$D$441=0,"",[1]对账明细接口!$D$441),"")</f>
        <v/>
      </c>
      <c r="E441" s="59" t="str">
        <f aca="false">IFERROR(IF([1]对账明细接口!$E$441=0,"",[1]对账明细接口!$E$441),"")</f>
        <v/>
      </c>
      <c r="F441" s="59" t="str">
        <f aca="false">IFERROR(IF([1]对账明细接口!$F$441=0,"",[1]对账明细接口!$F$441),"")</f>
        <v/>
      </c>
      <c r="G441" s="59" t="str">
        <f aca="false">IFERROR(IF([1]对账明细接口!$G$441=0,"",[1]对账明细接口!$G$441),"")</f>
        <v/>
      </c>
      <c r="H441" s="60" t="str">
        <f aca="false">IFERROR(IF([1]对账明细接口!$H$441=0,"",[1]对账明细接口!$H$441),"")</f>
        <v/>
      </c>
      <c r="I441" s="59" t="str">
        <f aca="false">IFERROR(IF([1]对账明细接口!$I$441=0,"",[1]对账明细接口!$I$441),"")</f>
        <v/>
      </c>
      <c r="J441" s="61" t="str">
        <f aca="false">IFERROR(IF([1]对账明细接口!$J$441=0,"",[1]对账明细接口!$J$441),"")</f>
        <v/>
      </c>
      <c r="K441" s="61" t="str">
        <f aca="false">IFERROR(IF([1]对账明细接口!$K$441=0,"",[1]对账明细接口!$K$441),"")</f>
        <v/>
      </c>
      <c r="L441" s="59" t="str">
        <f aca="false">IFERROR(IF([1]对账明细接口!$L$441=0,"",[1]对账明细接口!$L$441),"")</f>
        <v/>
      </c>
      <c r="M441" s="59" t="str">
        <f aca="false">IFERROR(IF([1]对账明细接口!$M$441=0,"",[1]对账明细接口!$M$441),"")</f>
        <v/>
      </c>
      <c r="N441" s="111" t="n">
        <f aca="false">IF($C441="",0,1)</f>
        <v>0</v>
      </c>
      <c r="O441" s="111" t="n">
        <f aca="false">N(O440)+$N441</f>
        <v>110</v>
      </c>
      <c r="S441" s="10" t="str">
        <f aca="false">IFERROR(IF([1]对账明细接口!$N441=0,"",[1]对账明细接口!$N441),"")</f>
        <v/>
      </c>
      <c r="T441" s="112" t="str">
        <f aca="false">IFERROR(IF([1]对账明细接口!$O441=0,"",[1]对账明细接口!$O441),"")</f>
        <v/>
      </c>
      <c r="U441" s="112" t="str">
        <f aca="false">IFERROR(IF([1]对账明细接口!$P441=0,"",[1]对账明细接口!$P441),"")</f>
        <v/>
      </c>
      <c r="V441" s="112" t="str">
        <f aca="false">IFERROR(IF([1]对账明细接口!$Q441=0,"",[1]对账明细接口!$Q441),"")</f>
        <v/>
      </c>
      <c r="W441" s="10" t="str">
        <f aca="false">IFERROR(IF([1]对账明细接口!$R441=0,"",[1]对账明细接口!$R441),"")</f>
        <v/>
      </c>
      <c r="X441" s="10" t="str">
        <f aca="false">IFERROR(IF([1]对账明细接口!$S441=0,"",[1]对账明细接口!$S441),"")</f>
        <v/>
      </c>
      <c r="Y441" s="10" t="str">
        <f aca="false">""</f>
        <v/>
      </c>
      <c r="Z441" s="10" t="str">
        <f aca="false">""</f>
        <v/>
      </c>
      <c r="AA441" s="10" t="str">
        <f aca="false">""</f>
        <v/>
      </c>
      <c r="AB441" s="10" t="str">
        <f aca="false">""</f>
        <v/>
      </c>
    </row>
    <row r="442" customFormat="false" ht="13.5" hidden="false" customHeight="false" outlineLevel="0" collapsed="false">
      <c r="A442" s="109" t="n">
        <v>442</v>
      </c>
      <c r="B442" s="110" t="str">
        <f aca="false">IFERROR(IF([1]对账明细接口!$B$442=0,"",[1]对账明细接口!$B$442),"")</f>
        <v/>
      </c>
      <c r="C442" s="59" t="str">
        <f aca="false">IFERROR(IF([1]对账明细接口!$C$442=0,"",[1]对账明细接口!$C$442),"")</f>
        <v/>
      </c>
      <c r="D442" s="59" t="str">
        <f aca="false">IFERROR(IF([1]对账明细接口!$D$442=0,"",[1]对账明细接口!$D$442),"")</f>
        <v/>
      </c>
      <c r="E442" s="59" t="str">
        <f aca="false">IFERROR(IF([1]对账明细接口!$E$442=0,"",[1]对账明细接口!$E$442),"")</f>
        <v/>
      </c>
      <c r="F442" s="59" t="str">
        <f aca="false">IFERROR(IF([1]对账明细接口!$F$442=0,"",[1]对账明细接口!$F$442),"")</f>
        <v/>
      </c>
      <c r="G442" s="59" t="str">
        <f aca="false">IFERROR(IF([1]对账明细接口!$G$442=0,"",[1]对账明细接口!$G$442),"")</f>
        <v/>
      </c>
      <c r="H442" s="60" t="str">
        <f aca="false">IFERROR(IF([1]对账明细接口!$H$442=0,"",[1]对账明细接口!$H$442),"")</f>
        <v/>
      </c>
      <c r="I442" s="59" t="str">
        <f aca="false">IFERROR(IF([1]对账明细接口!$I$442=0,"",[1]对账明细接口!$I$442),"")</f>
        <v/>
      </c>
      <c r="J442" s="61" t="str">
        <f aca="false">IFERROR(IF([1]对账明细接口!$J$442=0,"",[1]对账明细接口!$J$442),"")</f>
        <v/>
      </c>
      <c r="K442" s="61" t="str">
        <f aca="false">IFERROR(IF([1]对账明细接口!$K$442=0,"",[1]对账明细接口!$K$442),"")</f>
        <v/>
      </c>
      <c r="L442" s="59" t="str">
        <f aca="false">IFERROR(IF([1]对账明细接口!$L$442=0,"",[1]对账明细接口!$L$442),"")</f>
        <v/>
      </c>
      <c r="M442" s="59" t="str">
        <f aca="false">IFERROR(IF([1]对账明细接口!$M$442=0,"",[1]对账明细接口!$M$442),"")</f>
        <v/>
      </c>
      <c r="N442" s="111" t="n">
        <f aca="false">IF($C442="",0,1)</f>
        <v>0</v>
      </c>
      <c r="O442" s="111" t="n">
        <f aca="false">N(O441)+$N442</f>
        <v>110</v>
      </c>
      <c r="S442" s="10" t="str">
        <f aca="false">IFERROR(IF([1]对账明细接口!$N442=0,"",[1]对账明细接口!$N442),"")</f>
        <v/>
      </c>
      <c r="T442" s="112" t="str">
        <f aca="false">IFERROR(IF([1]对账明细接口!$O442=0,"",[1]对账明细接口!$O442),"")</f>
        <v/>
      </c>
      <c r="U442" s="112" t="str">
        <f aca="false">IFERROR(IF([1]对账明细接口!$P442=0,"",[1]对账明细接口!$P442),"")</f>
        <v/>
      </c>
      <c r="V442" s="112" t="str">
        <f aca="false">IFERROR(IF([1]对账明细接口!$Q442=0,"",[1]对账明细接口!$Q442),"")</f>
        <v/>
      </c>
      <c r="W442" s="10" t="str">
        <f aca="false">IFERROR(IF([1]对账明细接口!$R442=0,"",[1]对账明细接口!$R442),"")</f>
        <v/>
      </c>
      <c r="X442" s="10" t="str">
        <f aca="false">IFERROR(IF([1]对账明细接口!$S442=0,"",[1]对账明细接口!$S442),"")</f>
        <v/>
      </c>
      <c r="Y442" s="10" t="str">
        <f aca="false">""</f>
        <v/>
      </c>
      <c r="Z442" s="10" t="str">
        <f aca="false">""</f>
        <v/>
      </c>
      <c r="AA442" s="10" t="str">
        <f aca="false">""</f>
        <v/>
      </c>
      <c r="AB442" s="10" t="str">
        <f aca="false">""</f>
        <v/>
      </c>
    </row>
    <row r="443" customFormat="false" ht="13.5" hidden="false" customHeight="false" outlineLevel="0" collapsed="false">
      <c r="A443" s="109" t="n">
        <v>443</v>
      </c>
      <c r="B443" s="110" t="str">
        <f aca="false">IFERROR(IF([1]对账明细接口!$B$443=0,"",[1]对账明细接口!$B$443),"")</f>
        <v/>
      </c>
      <c r="C443" s="59" t="str">
        <f aca="false">IFERROR(IF([1]对账明细接口!$C$443=0,"",[1]对账明细接口!$C$443),"")</f>
        <v/>
      </c>
      <c r="D443" s="59" t="str">
        <f aca="false">IFERROR(IF([1]对账明细接口!$D$443=0,"",[1]对账明细接口!$D$443),"")</f>
        <v/>
      </c>
      <c r="E443" s="59" t="str">
        <f aca="false">IFERROR(IF([1]对账明细接口!$E$443=0,"",[1]对账明细接口!$E$443),"")</f>
        <v/>
      </c>
      <c r="F443" s="59" t="str">
        <f aca="false">IFERROR(IF([1]对账明细接口!$F$443=0,"",[1]对账明细接口!$F$443),"")</f>
        <v/>
      </c>
      <c r="G443" s="59" t="str">
        <f aca="false">IFERROR(IF([1]对账明细接口!$G$443=0,"",[1]对账明细接口!$G$443),"")</f>
        <v/>
      </c>
      <c r="H443" s="60" t="str">
        <f aca="false">IFERROR(IF([1]对账明细接口!$H$443=0,"",[1]对账明细接口!$H$443),"")</f>
        <v/>
      </c>
      <c r="I443" s="59" t="str">
        <f aca="false">IFERROR(IF([1]对账明细接口!$I$443=0,"",[1]对账明细接口!$I$443),"")</f>
        <v/>
      </c>
      <c r="J443" s="61" t="str">
        <f aca="false">IFERROR(IF([1]对账明细接口!$J$443=0,"",[1]对账明细接口!$J$443),"")</f>
        <v/>
      </c>
      <c r="K443" s="61" t="str">
        <f aca="false">IFERROR(IF([1]对账明细接口!$K$443=0,"",[1]对账明细接口!$K$443),"")</f>
        <v/>
      </c>
      <c r="L443" s="59" t="str">
        <f aca="false">IFERROR(IF([1]对账明细接口!$L$443=0,"",[1]对账明细接口!$L$443),"")</f>
        <v/>
      </c>
      <c r="M443" s="59" t="str">
        <f aca="false">IFERROR(IF([1]对账明细接口!$M$443=0,"",[1]对账明细接口!$M$443),"")</f>
        <v/>
      </c>
      <c r="N443" s="111" t="n">
        <f aca="false">IF($C443="",0,1)</f>
        <v>0</v>
      </c>
      <c r="O443" s="111" t="n">
        <f aca="false">N(O442)+$N443</f>
        <v>110</v>
      </c>
      <c r="S443" s="10" t="str">
        <f aca="false">IFERROR(IF([1]对账明细接口!$N443=0,"",[1]对账明细接口!$N443),"")</f>
        <v/>
      </c>
      <c r="T443" s="112" t="str">
        <f aca="false">IFERROR(IF([1]对账明细接口!$O443=0,"",[1]对账明细接口!$O443),"")</f>
        <v/>
      </c>
      <c r="U443" s="112" t="str">
        <f aca="false">IFERROR(IF([1]对账明细接口!$P443=0,"",[1]对账明细接口!$P443),"")</f>
        <v/>
      </c>
      <c r="V443" s="112" t="str">
        <f aca="false">IFERROR(IF([1]对账明细接口!$Q443=0,"",[1]对账明细接口!$Q443),"")</f>
        <v/>
      </c>
      <c r="W443" s="10" t="str">
        <f aca="false">IFERROR(IF([1]对账明细接口!$R443=0,"",[1]对账明细接口!$R443),"")</f>
        <v/>
      </c>
      <c r="X443" s="10" t="str">
        <f aca="false">IFERROR(IF([1]对账明细接口!$S443=0,"",[1]对账明细接口!$S443),"")</f>
        <v/>
      </c>
      <c r="Y443" s="10" t="str">
        <f aca="false">""</f>
        <v/>
      </c>
      <c r="Z443" s="10" t="str">
        <f aca="false">""</f>
        <v/>
      </c>
      <c r="AA443" s="10" t="str">
        <f aca="false">""</f>
        <v/>
      </c>
      <c r="AB443" s="10" t="str">
        <f aca="false">""</f>
        <v/>
      </c>
    </row>
    <row r="444" customFormat="false" ht="13.5" hidden="false" customHeight="false" outlineLevel="0" collapsed="false">
      <c r="A444" s="109" t="n">
        <v>444</v>
      </c>
      <c r="B444" s="110" t="str">
        <f aca="false">IFERROR(IF([1]对账明细接口!$B$444=0,"",[1]对账明细接口!$B$444),"")</f>
        <v/>
      </c>
      <c r="C444" s="59" t="str">
        <f aca="false">IFERROR(IF([1]对账明细接口!$C$444=0,"",[1]对账明细接口!$C$444),"")</f>
        <v/>
      </c>
      <c r="D444" s="59" t="str">
        <f aca="false">IFERROR(IF([1]对账明细接口!$D$444=0,"",[1]对账明细接口!$D$444),"")</f>
        <v/>
      </c>
      <c r="E444" s="59" t="str">
        <f aca="false">IFERROR(IF([1]对账明细接口!$E$444=0,"",[1]对账明细接口!$E$444),"")</f>
        <v/>
      </c>
      <c r="F444" s="59" t="str">
        <f aca="false">IFERROR(IF([1]对账明细接口!$F$444=0,"",[1]对账明细接口!$F$444),"")</f>
        <v/>
      </c>
      <c r="G444" s="59" t="str">
        <f aca="false">IFERROR(IF([1]对账明细接口!$G$444=0,"",[1]对账明细接口!$G$444),"")</f>
        <v/>
      </c>
      <c r="H444" s="60" t="str">
        <f aca="false">IFERROR(IF([1]对账明细接口!$H$444=0,"",[1]对账明细接口!$H$444),"")</f>
        <v/>
      </c>
      <c r="I444" s="59" t="str">
        <f aca="false">IFERROR(IF([1]对账明细接口!$I$444=0,"",[1]对账明细接口!$I$444),"")</f>
        <v/>
      </c>
      <c r="J444" s="61" t="str">
        <f aca="false">IFERROR(IF([1]对账明细接口!$J$444=0,"",[1]对账明细接口!$J$444),"")</f>
        <v/>
      </c>
      <c r="K444" s="61" t="str">
        <f aca="false">IFERROR(IF([1]对账明细接口!$K$444=0,"",[1]对账明细接口!$K$444),"")</f>
        <v/>
      </c>
      <c r="L444" s="59" t="str">
        <f aca="false">IFERROR(IF([1]对账明细接口!$L$444=0,"",[1]对账明细接口!$L$444),"")</f>
        <v/>
      </c>
      <c r="M444" s="59" t="str">
        <f aca="false">IFERROR(IF([1]对账明细接口!$M$444=0,"",[1]对账明细接口!$M$444),"")</f>
        <v/>
      </c>
      <c r="N444" s="111" t="n">
        <f aca="false">IF($C444="",0,1)</f>
        <v>0</v>
      </c>
      <c r="O444" s="111" t="n">
        <f aca="false">N(O443)+$N444</f>
        <v>110</v>
      </c>
      <c r="S444" s="10" t="str">
        <f aca="false">IFERROR(IF([1]对账明细接口!$N444=0,"",[1]对账明细接口!$N444),"")</f>
        <v/>
      </c>
      <c r="T444" s="112" t="str">
        <f aca="false">IFERROR(IF([1]对账明细接口!$O444=0,"",[1]对账明细接口!$O444),"")</f>
        <v/>
      </c>
      <c r="U444" s="112" t="str">
        <f aca="false">IFERROR(IF([1]对账明细接口!$P444=0,"",[1]对账明细接口!$P444),"")</f>
        <v/>
      </c>
      <c r="V444" s="112" t="str">
        <f aca="false">IFERROR(IF([1]对账明细接口!$Q444=0,"",[1]对账明细接口!$Q444),"")</f>
        <v/>
      </c>
      <c r="W444" s="10" t="str">
        <f aca="false">IFERROR(IF([1]对账明细接口!$R444=0,"",[1]对账明细接口!$R444),"")</f>
        <v/>
      </c>
      <c r="X444" s="10" t="str">
        <f aca="false">IFERROR(IF([1]对账明细接口!$S444=0,"",[1]对账明细接口!$S444),"")</f>
        <v/>
      </c>
      <c r="Y444" s="10" t="str">
        <f aca="false">""</f>
        <v/>
      </c>
      <c r="Z444" s="10" t="str">
        <f aca="false">""</f>
        <v/>
      </c>
      <c r="AA444" s="10" t="str">
        <f aca="false">""</f>
        <v/>
      </c>
      <c r="AB444" s="10" t="str">
        <f aca="false">""</f>
        <v/>
      </c>
    </row>
    <row r="445" customFormat="false" ht="13.5" hidden="false" customHeight="false" outlineLevel="0" collapsed="false">
      <c r="A445" s="109" t="n">
        <v>445</v>
      </c>
      <c r="B445" s="110" t="str">
        <f aca="false">IFERROR(IF([1]对账明细接口!$B$445=0,"",[1]对账明细接口!$B$445),"")</f>
        <v/>
      </c>
      <c r="C445" s="59" t="str">
        <f aca="false">IFERROR(IF([1]对账明细接口!$C$445=0,"",[1]对账明细接口!$C$445),"")</f>
        <v/>
      </c>
      <c r="D445" s="59" t="str">
        <f aca="false">IFERROR(IF([1]对账明细接口!$D$445=0,"",[1]对账明细接口!$D$445),"")</f>
        <v/>
      </c>
      <c r="E445" s="59" t="str">
        <f aca="false">IFERROR(IF([1]对账明细接口!$E$445=0,"",[1]对账明细接口!$E$445),"")</f>
        <v/>
      </c>
      <c r="F445" s="59" t="str">
        <f aca="false">IFERROR(IF([1]对账明细接口!$F$445=0,"",[1]对账明细接口!$F$445),"")</f>
        <v/>
      </c>
      <c r="G445" s="59" t="str">
        <f aca="false">IFERROR(IF([1]对账明细接口!$G$445=0,"",[1]对账明细接口!$G$445),"")</f>
        <v/>
      </c>
      <c r="H445" s="60" t="str">
        <f aca="false">IFERROR(IF([1]对账明细接口!$H$445=0,"",[1]对账明细接口!$H$445),"")</f>
        <v/>
      </c>
      <c r="I445" s="59" t="str">
        <f aca="false">IFERROR(IF([1]对账明细接口!$I$445=0,"",[1]对账明细接口!$I$445),"")</f>
        <v/>
      </c>
      <c r="J445" s="61" t="str">
        <f aca="false">IFERROR(IF([1]对账明细接口!$J$445=0,"",[1]对账明细接口!$J$445),"")</f>
        <v/>
      </c>
      <c r="K445" s="61" t="str">
        <f aca="false">IFERROR(IF([1]对账明细接口!$K$445=0,"",[1]对账明细接口!$K$445),"")</f>
        <v/>
      </c>
      <c r="L445" s="59" t="str">
        <f aca="false">IFERROR(IF([1]对账明细接口!$L$445=0,"",[1]对账明细接口!$L$445),"")</f>
        <v/>
      </c>
      <c r="M445" s="59" t="str">
        <f aca="false">IFERROR(IF([1]对账明细接口!$M$445=0,"",[1]对账明细接口!$M$445),"")</f>
        <v/>
      </c>
      <c r="N445" s="111" t="n">
        <f aca="false">IF($C445="",0,1)</f>
        <v>0</v>
      </c>
      <c r="O445" s="111" t="n">
        <f aca="false">N(O444)+$N445</f>
        <v>110</v>
      </c>
      <c r="S445" s="10" t="str">
        <f aca="false">IFERROR(IF([1]对账明细接口!$N445=0,"",[1]对账明细接口!$N445),"")</f>
        <v/>
      </c>
      <c r="T445" s="112" t="str">
        <f aca="false">IFERROR(IF([1]对账明细接口!$O445=0,"",[1]对账明细接口!$O445),"")</f>
        <v/>
      </c>
      <c r="U445" s="112" t="str">
        <f aca="false">IFERROR(IF([1]对账明细接口!$P445=0,"",[1]对账明细接口!$P445),"")</f>
        <v/>
      </c>
      <c r="V445" s="112" t="str">
        <f aca="false">IFERROR(IF([1]对账明细接口!$Q445=0,"",[1]对账明细接口!$Q445),"")</f>
        <v/>
      </c>
      <c r="W445" s="10" t="str">
        <f aca="false">IFERROR(IF([1]对账明细接口!$R445=0,"",[1]对账明细接口!$R445),"")</f>
        <v/>
      </c>
      <c r="X445" s="10" t="str">
        <f aca="false">IFERROR(IF([1]对账明细接口!$S445=0,"",[1]对账明细接口!$S445),"")</f>
        <v/>
      </c>
      <c r="Y445" s="10" t="str">
        <f aca="false">""</f>
        <v/>
      </c>
      <c r="Z445" s="10" t="str">
        <f aca="false">""</f>
        <v/>
      </c>
      <c r="AA445" s="10" t="str">
        <f aca="false">""</f>
        <v/>
      </c>
      <c r="AB445" s="10" t="str">
        <f aca="false">""</f>
        <v/>
      </c>
    </row>
    <row r="446" customFormat="false" ht="13.5" hidden="false" customHeight="false" outlineLevel="0" collapsed="false">
      <c r="A446" s="109" t="n">
        <v>446</v>
      </c>
      <c r="B446" s="110" t="str">
        <f aca="false">IFERROR(IF([1]对账明细接口!$B$446=0,"",[1]对账明细接口!$B$446),"")</f>
        <v/>
      </c>
      <c r="C446" s="59" t="str">
        <f aca="false">IFERROR(IF([1]对账明细接口!$C$446=0,"",[1]对账明细接口!$C$446),"")</f>
        <v/>
      </c>
      <c r="D446" s="59" t="str">
        <f aca="false">IFERROR(IF([1]对账明细接口!$D$446=0,"",[1]对账明细接口!$D$446),"")</f>
        <v/>
      </c>
      <c r="E446" s="59" t="str">
        <f aca="false">IFERROR(IF([1]对账明细接口!$E$446=0,"",[1]对账明细接口!$E$446),"")</f>
        <v/>
      </c>
      <c r="F446" s="59" t="str">
        <f aca="false">IFERROR(IF([1]对账明细接口!$F$446=0,"",[1]对账明细接口!$F$446),"")</f>
        <v/>
      </c>
      <c r="G446" s="59" t="str">
        <f aca="false">IFERROR(IF([1]对账明细接口!$G$446=0,"",[1]对账明细接口!$G$446),"")</f>
        <v/>
      </c>
      <c r="H446" s="60" t="str">
        <f aca="false">IFERROR(IF([1]对账明细接口!$H$446=0,"",[1]对账明细接口!$H$446),"")</f>
        <v/>
      </c>
      <c r="I446" s="59" t="str">
        <f aca="false">IFERROR(IF([1]对账明细接口!$I$446=0,"",[1]对账明细接口!$I$446),"")</f>
        <v/>
      </c>
      <c r="J446" s="61" t="str">
        <f aca="false">IFERROR(IF([1]对账明细接口!$J$446=0,"",[1]对账明细接口!$J$446),"")</f>
        <v/>
      </c>
      <c r="K446" s="61" t="str">
        <f aca="false">IFERROR(IF([1]对账明细接口!$K$446=0,"",[1]对账明细接口!$K$446),"")</f>
        <v/>
      </c>
      <c r="L446" s="59" t="str">
        <f aca="false">IFERROR(IF([1]对账明细接口!$L$446=0,"",[1]对账明细接口!$L$446),"")</f>
        <v/>
      </c>
      <c r="M446" s="59" t="str">
        <f aca="false">IFERROR(IF([1]对账明细接口!$M$446=0,"",[1]对账明细接口!$M$446),"")</f>
        <v/>
      </c>
      <c r="N446" s="111" t="n">
        <f aca="false">IF($C446="",0,1)</f>
        <v>0</v>
      </c>
      <c r="O446" s="111" t="n">
        <f aca="false">N(O445)+$N446</f>
        <v>110</v>
      </c>
      <c r="S446" s="10" t="str">
        <f aca="false">IFERROR(IF([1]对账明细接口!$N446=0,"",[1]对账明细接口!$N446),"")</f>
        <v/>
      </c>
      <c r="T446" s="112" t="str">
        <f aca="false">IFERROR(IF([1]对账明细接口!$O446=0,"",[1]对账明细接口!$O446),"")</f>
        <v/>
      </c>
      <c r="U446" s="112" t="str">
        <f aca="false">IFERROR(IF([1]对账明细接口!$P446=0,"",[1]对账明细接口!$P446),"")</f>
        <v/>
      </c>
      <c r="V446" s="112" t="str">
        <f aca="false">IFERROR(IF([1]对账明细接口!$Q446=0,"",[1]对账明细接口!$Q446),"")</f>
        <v/>
      </c>
      <c r="W446" s="10" t="str">
        <f aca="false">IFERROR(IF([1]对账明细接口!$R446=0,"",[1]对账明细接口!$R446),"")</f>
        <v/>
      </c>
      <c r="X446" s="10" t="str">
        <f aca="false">IFERROR(IF([1]对账明细接口!$S446=0,"",[1]对账明细接口!$S446),"")</f>
        <v/>
      </c>
      <c r="Y446" s="10" t="str">
        <f aca="false">""</f>
        <v/>
      </c>
      <c r="Z446" s="10" t="str">
        <f aca="false">""</f>
        <v/>
      </c>
      <c r="AA446" s="10" t="str">
        <f aca="false">""</f>
        <v/>
      </c>
      <c r="AB446" s="10" t="str">
        <f aca="false">""</f>
        <v/>
      </c>
    </row>
    <row r="447" customFormat="false" ht="13.5" hidden="false" customHeight="false" outlineLevel="0" collapsed="false">
      <c r="A447" s="109" t="n">
        <v>447</v>
      </c>
      <c r="B447" s="110" t="str">
        <f aca="false">IFERROR(IF([1]对账明细接口!$B$447=0,"",[1]对账明细接口!$B$447),"")</f>
        <v/>
      </c>
      <c r="C447" s="59" t="str">
        <f aca="false">IFERROR(IF([1]对账明细接口!$C$447=0,"",[1]对账明细接口!$C$447),"")</f>
        <v/>
      </c>
      <c r="D447" s="59" t="str">
        <f aca="false">IFERROR(IF([1]对账明细接口!$D$447=0,"",[1]对账明细接口!$D$447),"")</f>
        <v/>
      </c>
      <c r="E447" s="59" t="str">
        <f aca="false">IFERROR(IF([1]对账明细接口!$E$447=0,"",[1]对账明细接口!$E$447),"")</f>
        <v/>
      </c>
      <c r="F447" s="59" t="str">
        <f aca="false">IFERROR(IF([1]对账明细接口!$F$447=0,"",[1]对账明细接口!$F$447),"")</f>
        <v/>
      </c>
      <c r="G447" s="59" t="str">
        <f aca="false">IFERROR(IF([1]对账明细接口!$G$447=0,"",[1]对账明细接口!$G$447),"")</f>
        <v/>
      </c>
      <c r="H447" s="60" t="str">
        <f aca="false">IFERROR(IF([1]对账明细接口!$H$447=0,"",[1]对账明细接口!$H$447),"")</f>
        <v/>
      </c>
      <c r="I447" s="59" t="str">
        <f aca="false">IFERROR(IF([1]对账明细接口!$I$447=0,"",[1]对账明细接口!$I$447),"")</f>
        <v/>
      </c>
      <c r="J447" s="61" t="str">
        <f aca="false">IFERROR(IF([1]对账明细接口!$J$447=0,"",[1]对账明细接口!$J$447),"")</f>
        <v/>
      </c>
      <c r="K447" s="61" t="str">
        <f aca="false">IFERROR(IF([1]对账明细接口!$K$447=0,"",[1]对账明细接口!$K$447),"")</f>
        <v/>
      </c>
      <c r="L447" s="59" t="str">
        <f aca="false">IFERROR(IF([1]对账明细接口!$L$447=0,"",[1]对账明细接口!$L$447),"")</f>
        <v/>
      </c>
      <c r="M447" s="59" t="str">
        <f aca="false">IFERROR(IF([1]对账明细接口!$M$447=0,"",[1]对账明细接口!$M$447),"")</f>
        <v/>
      </c>
      <c r="N447" s="111" t="n">
        <f aca="false">IF($C447="",0,1)</f>
        <v>0</v>
      </c>
      <c r="O447" s="111" t="n">
        <f aca="false">N(O446)+$N447</f>
        <v>110</v>
      </c>
      <c r="S447" s="10" t="str">
        <f aca="false">IFERROR(IF([1]对账明细接口!$N447=0,"",[1]对账明细接口!$N447),"")</f>
        <v/>
      </c>
      <c r="T447" s="112" t="str">
        <f aca="false">IFERROR(IF([1]对账明细接口!$O447=0,"",[1]对账明细接口!$O447),"")</f>
        <v/>
      </c>
      <c r="U447" s="112" t="str">
        <f aca="false">IFERROR(IF([1]对账明细接口!$P447=0,"",[1]对账明细接口!$P447),"")</f>
        <v/>
      </c>
      <c r="V447" s="112" t="str">
        <f aca="false">IFERROR(IF([1]对账明细接口!$Q447=0,"",[1]对账明细接口!$Q447),"")</f>
        <v/>
      </c>
      <c r="W447" s="10" t="str">
        <f aca="false">IFERROR(IF([1]对账明细接口!$R447=0,"",[1]对账明细接口!$R447),"")</f>
        <v/>
      </c>
      <c r="X447" s="10" t="str">
        <f aca="false">IFERROR(IF([1]对账明细接口!$S447=0,"",[1]对账明细接口!$S447),"")</f>
        <v/>
      </c>
      <c r="Y447" s="10" t="str">
        <f aca="false">""</f>
        <v/>
      </c>
      <c r="Z447" s="10" t="str">
        <f aca="false">""</f>
        <v/>
      </c>
      <c r="AA447" s="10" t="str">
        <f aca="false">""</f>
        <v/>
      </c>
      <c r="AB447" s="10" t="str">
        <f aca="false">""</f>
        <v/>
      </c>
    </row>
    <row r="448" customFormat="false" ht="13.5" hidden="false" customHeight="false" outlineLevel="0" collapsed="false">
      <c r="A448" s="109" t="n">
        <v>448</v>
      </c>
      <c r="B448" s="110" t="str">
        <f aca="false">IFERROR(IF([1]对账明细接口!$B$448=0,"",[1]对账明细接口!$B$448),"")</f>
        <v/>
      </c>
      <c r="C448" s="59" t="str">
        <f aca="false">IFERROR(IF([1]对账明细接口!$C$448=0,"",[1]对账明细接口!$C$448),"")</f>
        <v/>
      </c>
      <c r="D448" s="59" t="str">
        <f aca="false">IFERROR(IF([1]对账明细接口!$D$448=0,"",[1]对账明细接口!$D$448),"")</f>
        <v/>
      </c>
      <c r="E448" s="59" t="str">
        <f aca="false">IFERROR(IF([1]对账明细接口!$E$448=0,"",[1]对账明细接口!$E$448),"")</f>
        <v/>
      </c>
      <c r="F448" s="59" t="str">
        <f aca="false">IFERROR(IF([1]对账明细接口!$F$448=0,"",[1]对账明细接口!$F$448),"")</f>
        <v/>
      </c>
      <c r="G448" s="59" t="str">
        <f aca="false">IFERROR(IF([1]对账明细接口!$G$448=0,"",[1]对账明细接口!$G$448),"")</f>
        <v/>
      </c>
      <c r="H448" s="60" t="str">
        <f aca="false">IFERROR(IF([1]对账明细接口!$H$448=0,"",[1]对账明细接口!$H$448),"")</f>
        <v/>
      </c>
      <c r="I448" s="59" t="str">
        <f aca="false">IFERROR(IF([1]对账明细接口!$I$448=0,"",[1]对账明细接口!$I$448),"")</f>
        <v/>
      </c>
      <c r="J448" s="61" t="str">
        <f aca="false">IFERROR(IF([1]对账明细接口!$J$448=0,"",[1]对账明细接口!$J$448),"")</f>
        <v/>
      </c>
      <c r="K448" s="61" t="str">
        <f aca="false">IFERROR(IF([1]对账明细接口!$K$448=0,"",[1]对账明细接口!$K$448),"")</f>
        <v/>
      </c>
      <c r="L448" s="59" t="str">
        <f aca="false">IFERROR(IF([1]对账明细接口!$L$448=0,"",[1]对账明细接口!$L$448),"")</f>
        <v/>
      </c>
      <c r="M448" s="59" t="str">
        <f aca="false">IFERROR(IF([1]对账明细接口!$M$448=0,"",[1]对账明细接口!$M$448),"")</f>
        <v/>
      </c>
      <c r="N448" s="111" t="n">
        <f aca="false">IF($C448="",0,1)</f>
        <v>0</v>
      </c>
      <c r="O448" s="111" t="n">
        <f aca="false">N(O447)+$N448</f>
        <v>110</v>
      </c>
      <c r="S448" s="10" t="str">
        <f aca="false">IFERROR(IF([1]对账明细接口!$N448=0,"",[1]对账明细接口!$N448),"")</f>
        <v/>
      </c>
      <c r="T448" s="112" t="str">
        <f aca="false">IFERROR(IF([1]对账明细接口!$O448=0,"",[1]对账明细接口!$O448),"")</f>
        <v/>
      </c>
      <c r="U448" s="112" t="str">
        <f aca="false">IFERROR(IF([1]对账明细接口!$P448=0,"",[1]对账明细接口!$P448),"")</f>
        <v/>
      </c>
      <c r="V448" s="112" t="str">
        <f aca="false">IFERROR(IF([1]对账明细接口!$Q448=0,"",[1]对账明细接口!$Q448),"")</f>
        <v/>
      </c>
      <c r="W448" s="10" t="str">
        <f aca="false">IFERROR(IF([1]对账明细接口!$R448=0,"",[1]对账明细接口!$R448),"")</f>
        <v/>
      </c>
      <c r="X448" s="10" t="str">
        <f aca="false">IFERROR(IF([1]对账明细接口!$S448=0,"",[1]对账明细接口!$S448),"")</f>
        <v/>
      </c>
      <c r="Y448" s="10" t="str">
        <f aca="false">""</f>
        <v/>
      </c>
      <c r="Z448" s="10" t="str">
        <f aca="false">""</f>
        <v/>
      </c>
      <c r="AA448" s="10" t="str">
        <f aca="false">""</f>
        <v/>
      </c>
      <c r="AB448" s="10" t="str">
        <f aca="false">""</f>
        <v/>
      </c>
    </row>
    <row r="449" customFormat="false" ht="13.5" hidden="false" customHeight="false" outlineLevel="0" collapsed="false">
      <c r="A449" s="109" t="n">
        <v>449</v>
      </c>
      <c r="B449" s="110" t="str">
        <f aca="false">IFERROR(IF([1]对账明细接口!$B$449=0,"",[1]对账明细接口!$B$449),"")</f>
        <v/>
      </c>
      <c r="C449" s="59" t="str">
        <f aca="false">IFERROR(IF([1]对账明细接口!$C$449=0,"",[1]对账明细接口!$C$449),"")</f>
        <v/>
      </c>
      <c r="D449" s="59" t="str">
        <f aca="false">IFERROR(IF([1]对账明细接口!$D$449=0,"",[1]对账明细接口!$D$449),"")</f>
        <v/>
      </c>
      <c r="E449" s="59" t="str">
        <f aca="false">IFERROR(IF([1]对账明细接口!$E$449=0,"",[1]对账明细接口!$E$449),"")</f>
        <v/>
      </c>
      <c r="F449" s="59" t="str">
        <f aca="false">IFERROR(IF([1]对账明细接口!$F$449=0,"",[1]对账明细接口!$F$449),"")</f>
        <v/>
      </c>
      <c r="G449" s="59" t="str">
        <f aca="false">IFERROR(IF([1]对账明细接口!$G$449=0,"",[1]对账明细接口!$G$449),"")</f>
        <v/>
      </c>
      <c r="H449" s="60" t="str">
        <f aca="false">IFERROR(IF([1]对账明细接口!$H$449=0,"",[1]对账明细接口!$H$449),"")</f>
        <v/>
      </c>
      <c r="I449" s="59" t="str">
        <f aca="false">IFERROR(IF([1]对账明细接口!$I$449=0,"",[1]对账明细接口!$I$449),"")</f>
        <v/>
      </c>
      <c r="J449" s="61" t="str">
        <f aca="false">IFERROR(IF([1]对账明细接口!$J$449=0,"",[1]对账明细接口!$J$449),"")</f>
        <v/>
      </c>
      <c r="K449" s="61" t="str">
        <f aca="false">IFERROR(IF([1]对账明细接口!$K$449=0,"",[1]对账明细接口!$K$449),"")</f>
        <v/>
      </c>
      <c r="L449" s="59" t="str">
        <f aca="false">IFERROR(IF([1]对账明细接口!$L$449=0,"",[1]对账明细接口!$L$449),"")</f>
        <v/>
      </c>
      <c r="M449" s="59" t="str">
        <f aca="false">IFERROR(IF([1]对账明细接口!$M$449=0,"",[1]对账明细接口!$M$449),"")</f>
        <v/>
      </c>
      <c r="N449" s="111" t="n">
        <f aca="false">IF($C449="",0,1)</f>
        <v>0</v>
      </c>
      <c r="O449" s="111" t="n">
        <f aca="false">N(O448)+$N449</f>
        <v>110</v>
      </c>
      <c r="S449" s="10" t="str">
        <f aca="false">IFERROR(IF([1]对账明细接口!$N449=0,"",[1]对账明细接口!$N449),"")</f>
        <v/>
      </c>
      <c r="T449" s="112" t="str">
        <f aca="false">IFERROR(IF([1]对账明细接口!$O449=0,"",[1]对账明细接口!$O449),"")</f>
        <v/>
      </c>
      <c r="U449" s="112" t="str">
        <f aca="false">IFERROR(IF([1]对账明细接口!$P449=0,"",[1]对账明细接口!$P449),"")</f>
        <v/>
      </c>
      <c r="V449" s="112" t="str">
        <f aca="false">IFERROR(IF([1]对账明细接口!$Q449=0,"",[1]对账明细接口!$Q449),"")</f>
        <v/>
      </c>
      <c r="W449" s="10" t="str">
        <f aca="false">IFERROR(IF([1]对账明细接口!$R449=0,"",[1]对账明细接口!$R449),"")</f>
        <v/>
      </c>
      <c r="X449" s="10" t="str">
        <f aca="false">IFERROR(IF([1]对账明细接口!$S449=0,"",[1]对账明细接口!$S449),"")</f>
        <v/>
      </c>
      <c r="Y449" s="10" t="str">
        <f aca="false">""</f>
        <v/>
      </c>
      <c r="Z449" s="10" t="str">
        <f aca="false">""</f>
        <v/>
      </c>
      <c r="AA449" s="10" t="str">
        <f aca="false">""</f>
        <v/>
      </c>
      <c r="AB449" s="10" t="str">
        <f aca="false">""</f>
        <v/>
      </c>
    </row>
    <row r="450" customFormat="false" ht="13.5" hidden="false" customHeight="false" outlineLevel="0" collapsed="false">
      <c r="A450" s="109" t="n">
        <v>450</v>
      </c>
      <c r="B450" s="110" t="str">
        <f aca="false">IFERROR(IF([1]对账明细接口!$B$450=0,"",[1]对账明细接口!$B$450),"")</f>
        <v/>
      </c>
      <c r="C450" s="59" t="str">
        <f aca="false">IFERROR(IF([1]对账明细接口!$C$450=0,"",[1]对账明细接口!$C$450),"")</f>
        <v/>
      </c>
      <c r="D450" s="59" t="str">
        <f aca="false">IFERROR(IF([1]对账明细接口!$D$450=0,"",[1]对账明细接口!$D$450),"")</f>
        <v/>
      </c>
      <c r="E450" s="59" t="str">
        <f aca="false">IFERROR(IF([1]对账明细接口!$E$450=0,"",[1]对账明细接口!$E$450),"")</f>
        <v/>
      </c>
      <c r="F450" s="59" t="str">
        <f aca="false">IFERROR(IF([1]对账明细接口!$F$450=0,"",[1]对账明细接口!$F$450),"")</f>
        <v/>
      </c>
      <c r="G450" s="59" t="str">
        <f aca="false">IFERROR(IF([1]对账明细接口!$G$450=0,"",[1]对账明细接口!$G$450),"")</f>
        <v/>
      </c>
      <c r="H450" s="60" t="str">
        <f aca="false">IFERROR(IF([1]对账明细接口!$H$450=0,"",[1]对账明细接口!$H$450),"")</f>
        <v/>
      </c>
      <c r="I450" s="59" t="str">
        <f aca="false">IFERROR(IF([1]对账明细接口!$I$450=0,"",[1]对账明细接口!$I$450),"")</f>
        <v/>
      </c>
      <c r="J450" s="61" t="str">
        <f aca="false">IFERROR(IF([1]对账明细接口!$J$450=0,"",[1]对账明细接口!$J$450),"")</f>
        <v/>
      </c>
      <c r="K450" s="61" t="str">
        <f aca="false">IFERROR(IF([1]对账明细接口!$K$450=0,"",[1]对账明细接口!$K$450),"")</f>
        <v/>
      </c>
      <c r="L450" s="59" t="str">
        <f aca="false">IFERROR(IF([1]对账明细接口!$L$450=0,"",[1]对账明细接口!$L$450),"")</f>
        <v/>
      </c>
      <c r="M450" s="59" t="str">
        <f aca="false">IFERROR(IF([1]对账明细接口!$M$450=0,"",[1]对账明细接口!$M$450),"")</f>
        <v/>
      </c>
      <c r="N450" s="111" t="n">
        <f aca="false">IF($C450="",0,1)</f>
        <v>0</v>
      </c>
      <c r="O450" s="111" t="n">
        <f aca="false">N(O449)+$N450</f>
        <v>110</v>
      </c>
      <c r="S450" s="10" t="str">
        <f aca="false">IFERROR(IF([1]对账明细接口!$N450=0,"",[1]对账明细接口!$N450),"")</f>
        <v/>
      </c>
      <c r="T450" s="112" t="str">
        <f aca="false">IFERROR(IF([1]对账明细接口!$O450=0,"",[1]对账明细接口!$O450),"")</f>
        <v/>
      </c>
      <c r="U450" s="112" t="str">
        <f aca="false">IFERROR(IF([1]对账明细接口!$P450=0,"",[1]对账明细接口!$P450),"")</f>
        <v/>
      </c>
      <c r="V450" s="112" t="str">
        <f aca="false">IFERROR(IF([1]对账明细接口!$Q450=0,"",[1]对账明细接口!$Q450),"")</f>
        <v/>
      </c>
      <c r="W450" s="10" t="str">
        <f aca="false">IFERROR(IF([1]对账明细接口!$R450=0,"",[1]对账明细接口!$R450),"")</f>
        <v/>
      </c>
      <c r="X450" s="10" t="str">
        <f aca="false">IFERROR(IF([1]对账明细接口!$S450=0,"",[1]对账明细接口!$S450),"")</f>
        <v/>
      </c>
      <c r="Y450" s="10" t="str">
        <f aca="false">""</f>
        <v/>
      </c>
      <c r="Z450" s="10" t="str">
        <f aca="false">""</f>
        <v/>
      </c>
      <c r="AA450" s="10" t="str">
        <f aca="false">""</f>
        <v/>
      </c>
      <c r="AB450" s="10" t="str">
        <f aca="false">""</f>
        <v/>
      </c>
    </row>
    <row r="451" customFormat="false" ht="13.5" hidden="false" customHeight="false" outlineLevel="0" collapsed="false">
      <c r="A451" s="109" t="n">
        <v>451</v>
      </c>
      <c r="B451" s="110" t="str">
        <f aca="false">IFERROR(IF([1]对账明细接口!$B$451=0,"",[1]对账明细接口!$B$451),"")</f>
        <v/>
      </c>
      <c r="C451" s="59" t="str">
        <f aca="false">IFERROR(IF([1]对账明细接口!$C$451=0,"",[1]对账明细接口!$C$451),"")</f>
        <v/>
      </c>
      <c r="D451" s="59" t="str">
        <f aca="false">IFERROR(IF([1]对账明细接口!$D$451=0,"",[1]对账明细接口!$D$451),"")</f>
        <v/>
      </c>
      <c r="E451" s="59" t="str">
        <f aca="false">IFERROR(IF([1]对账明细接口!$E$451=0,"",[1]对账明细接口!$E$451),"")</f>
        <v/>
      </c>
      <c r="F451" s="59" t="str">
        <f aca="false">IFERROR(IF([1]对账明细接口!$F$451=0,"",[1]对账明细接口!$F$451),"")</f>
        <v/>
      </c>
      <c r="G451" s="59" t="str">
        <f aca="false">IFERROR(IF([1]对账明细接口!$G$451=0,"",[1]对账明细接口!$G$451),"")</f>
        <v/>
      </c>
      <c r="H451" s="60" t="str">
        <f aca="false">IFERROR(IF([1]对账明细接口!$H$451=0,"",[1]对账明细接口!$H$451),"")</f>
        <v/>
      </c>
      <c r="I451" s="59" t="str">
        <f aca="false">IFERROR(IF([1]对账明细接口!$I$451=0,"",[1]对账明细接口!$I$451),"")</f>
        <v/>
      </c>
      <c r="J451" s="61" t="str">
        <f aca="false">IFERROR(IF([1]对账明细接口!$J$451=0,"",[1]对账明细接口!$J$451),"")</f>
        <v/>
      </c>
      <c r="K451" s="61" t="str">
        <f aca="false">IFERROR(IF([1]对账明细接口!$K$451=0,"",[1]对账明细接口!$K$451),"")</f>
        <v/>
      </c>
      <c r="L451" s="59" t="str">
        <f aca="false">IFERROR(IF([1]对账明细接口!$L$451=0,"",[1]对账明细接口!$L$451),"")</f>
        <v/>
      </c>
      <c r="M451" s="59" t="str">
        <f aca="false">IFERROR(IF([1]对账明细接口!$M$451=0,"",[1]对账明细接口!$M$451),"")</f>
        <v/>
      </c>
      <c r="N451" s="111" t="n">
        <f aca="false">IF($C451="",0,1)</f>
        <v>0</v>
      </c>
      <c r="O451" s="111" t="n">
        <f aca="false">N(O450)+$N451</f>
        <v>110</v>
      </c>
      <c r="S451" s="10" t="str">
        <f aca="false">IFERROR(IF([1]对账明细接口!$N451=0,"",[1]对账明细接口!$N451),"")</f>
        <v/>
      </c>
      <c r="T451" s="112" t="str">
        <f aca="false">IFERROR(IF([1]对账明细接口!$O451=0,"",[1]对账明细接口!$O451),"")</f>
        <v/>
      </c>
      <c r="U451" s="112" t="str">
        <f aca="false">IFERROR(IF([1]对账明细接口!$P451=0,"",[1]对账明细接口!$P451),"")</f>
        <v/>
      </c>
      <c r="V451" s="112" t="str">
        <f aca="false">IFERROR(IF([1]对账明细接口!$Q451=0,"",[1]对账明细接口!$Q451),"")</f>
        <v/>
      </c>
      <c r="W451" s="10" t="str">
        <f aca="false">IFERROR(IF([1]对账明细接口!$R451=0,"",[1]对账明细接口!$R451),"")</f>
        <v/>
      </c>
      <c r="X451" s="10" t="str">
        <f aca="false">IFERROR(IF([1]对账明细接口!$S451=0,"",[1]对账明细接口!$S451),"")</f>
        <v/>
      </c>
      <c r="Y451" s="10" t="str">
        <f aca="false">""</f>
        <v/>
      </c>
      <c r="Z451" s="10" t="str">
        <f aca="false">""</f>
        <v/>
      </c>
      <c r="AA451" s="10" t="str">
        <f aca="false">""</f>
        <v/>
      </c>
      <c r="AB451" s="10" t="str">
        <f aca="false">""</f>
        <v/>
      </c>
    </row>
    <row r="452" customFormat="false" ht="13.5" hidden="false" customHeight="false" outlineLevel="0" collapsed="false">
      <c r="A452" s="109" t="n">
        <v>452</v>
      </c>
      <c r="B452" s="110" t="str">
        <f aca="false">IFERROR(IF([1]对账明细接口!$B$452=0,"",[1]对账明细接口!$B$452),"")</f>
        <v/>
      </c>
      <c r="C452" s="59" t="str">
        <f aca="false">IFERROR(IF([1]对账明细接口!$C$452=0,"",[1]对账明细接口!$C$452),"")</f>
        <v/>
      </c>
      <c r="D452" s="59" t="str">
        <f aca="false">IFERROR(IF([1]对账明细接口!$D$452=0,"",[1]对账明细接口!$D$452),"")</f>
        <v/>
      </c>
      <c r="E452" s="59" t="str">
        <f aca="false">IFERROR(IF([1]对账明细接口!$E$452=0,"",[1]对账明细接口!$E$452),"")</f>
        <v/>
      </c>
      <c r="F452" s="59" t="str">
        <f aca="false">IFERROR(IF([1]对账明细接口!$F$452=0,"",[1]对账明细接口!$F$452),"")</f>
        <v/>
      </c>
      <c r="G452" s="59" t="str">
        <f aca="false">IFERROR(IF([1]对账明细接口!$G$452=0,"",[1]对账明细接口!$G$452),"")</f>
        <v/>
      </c>
      <c r="H452" s="60" t="str">
        <f aca="false">IFERROR(IF([1]对账明细接口!$H$452=0,"",[1]对账明细接口!$H$452),"")</f>
        <v/>
      </c>
      <c r="I452" s="59" t="str">
        <f aca="false">IFERROR(IF([1]对账明细接口!$I$452=0,"",[1]对账明细接口!$I$452),"")</f>
        <v/>
      </c>
      <c r="J452" s="61" t="str">
        <f aca="false">IFERROR(IF([1]对账明细接口!$J$452=0,"",[1]对账明细接口!$J$452),"")</f>
        <v/>
      </c>
      <c r="K452" s="61" t="str">
        <f aca="false">IFERROR(IF([1]对账明细接口!$K$452=0,"",[1]对账明细接口!$K$452),"")</f>
        <v/>
      </c>
      <c r="L452" s="59" t="str">
        <f aca="false">IFERROR(IF([1]对账明细接口!$L$452=0,"",[1]对账明细接口!$L$452),"")</f>
        <v/>
      </c>
      <c r="M452" s="59" t="str">
        <f aca="false">IFERROR(IF([1]对账明细接口!$M$452=0,"",[1]对账明细接口!$M$452),"")</f>
        <v/>
      </c>
      <c r="N452" s="111" t="n">
        <f aca="false">IF($C452="",0,1)</f>
        <v>0</v>
      </c>
      <c r="O452" s="111" t="n">
        <f aca="false">N(O451)+$N452</f>
        <v>110</v>
      </c>
      <c r="S452" s="10" t="str">
        <f aca="false">IFERROR(IF([1]对账明细接口!$N452=0,"",[1]对账明细接口!$N452),"")</f>
        <v/>
      </c>
      <c r="T452" s="112" t="str">
        <f aca="false">IFERROR(IF([1]对账明细接口!$O452=0,"",[1]对账明细接口!$O452),"")</f>
        <v/>
      </c>
      <c r="U452" s="112" t="str">
        <f aca="false">IFERROR(IF([1]对账明细接口!$P452=0,"",[1]对账明细接口!$P452),"")</f>
        <v/>
      </c>
      <c r="V452" s="112" t="str">
        <f aca="false">IFERROR(IF([1]对账明细接口!$Q452=0,"",[1]对账明细接口!$Q452),"")</f>
        <v/>
      </c>
      <c r="W452" s="10" t="str">
        <f aca="false">IFERROR(IF([1]对账明细接口!$R452=0,"",[1]对账明细接口!$R452),"")</f>
        <v/>
      </c>
      <c r="X452" s="10" t="str">
        <f aca="false">IFERROR(IF([1]对账明细接口!$S452=0,"",[1]对账明细接口!$S452),"")</f>
        <v/>
      </c>
      <c r="Y452" s="10" t="str">
        <f aca="false">""</f>
        <v/>
      </c>
      <c r="Z452" s="10" t="str">
        <f aca="false">""</f>
        <v/>
      </c>
      <c r="AA452" s="10" t="str">
        <f aca="false">""</f>
        <v/>
      </c>
      <c r="AB452" s="10" t="str">
        <f aca="false">""</f>
        <v/>
      </c>
    </row>
    <row r="453" customFormat="false" ht="13.5" hidden="false" customHeight="false" outlineLevel="0" collapsed="false">
      <c r="A453" s="109" t="n">
        <v>453</v>
      </c>
      <c r="B453" s="110" t="str">
        <f aca="false">IFERROR(IF([1]对账明细接口!$B$453=0,"",[1]对账明细接口!$B$453),"")</f>
        <v/>
      </c>
      <c r="C453" s="59" t="str">
        <f aca="false">IFERROR(IF([1]对账明细接口!$C$453=0,"",[1]对账明细接口!$C$453),"")</f>
        <v/>
      </c>
      <c r="D453" s="59" t="str">
        <f aca="false">IFERROR(IF([1]对账明细接口!$D$453=0,"",[1]对账明细接口!$D$453),"")</f>
        <v/>
      </c>
      <c r="E453" s="59" t="str">
        <f aca="false">IFERROR(IF([1]对账明细接口!$E$453=0,"",[1]对账明细接口!$E$453),"")</f>
        <v/>
      </c>
      <c r="F453" s="59" t="str">
        <f aca="false">IFERROR(IF([1]对账明细接口!$F$453=0,"",[1]对账明细接口!$F$453),"")</f>
        <v/>
      </c>
      <c r="G453" s="59" t="str">
        <f aca="false">IFERROR(IF([1]对账明细接口!$G$453=0,"",[1]对账明细接口!$G$453),"")</f>
        <v/>
      </c>
      <c r="H453" s="60" t="str">
        <f aca="false">IFERROR(IF([1]对账明细接口!$H$453=0,"",[1]对账明细接口!$H$453),"")</f>
        <v/>
      </c>
      <c r="I453" s="59" t="str">
        <f aca="false">IFERROR(IF([1]对账明细接口!$I$453=0,"",[1]对账明细接口!$I$453),"")</f>
        <v/>
      </c>
      <c r="J453" s="61" t="str">
        <f aca="false">IFERROR(IF([1]对账明细接口!$J$453=0,"",[1]对账明细接口!$J$453),"")</f>
        <v/>
      </c>
      <c r="K453" s="61" t="str">
        <f aca="false">IFERROR(IF([1]对账明细接口!$K$453=0,"",[1]对账明细接口!$K$453),"")</f>
        <v/>
      </c>
      <c r="L453" s="59" t="str">
        <f aca="false">IFERROR(IF([1]对账明细接口!$L$453=0,"",[1]对账明细接口!$L$453),"")</f>
        <v/>
      </c>
      <c r="M453" s="59" t="str">
        <f aca="false">IFERROR(IF([1]对账明细接口!$M$453=0,"",[1]对账明细接口!$M$453),"")</f>
        <v/>
      </c>
      <c r="N453" s="111" t="n">
        <f aca="false">IF($C453="",0,1)</f>
        <v>0</v>
      </c>
      <c r="O453" s="111" t="n">
        <f aca="false">N(O452)+$N453</f>
        <v>110</v>
      </c>
      <c r="S453" s="10" t="str">
        <f aca="false">IFERROR(IF([1]对账明细接口!$N453=0,"",[1]对账明细接口!$N453),"")</f>
        <v/>
      </c>
      <c r="T453" s="112" t="str">
        <f aca="false">IFERROR(IF([1]对账明细接口!$O453=0,"",[1]对账明细接口!$O453),"")</f>
        <v/>
      </c>
      <c r="U453" s="112" t="str">
        <f aca="false">IFERROR(IF([1]对账明细接口!$P453=0,"",[1]对账明细接口!$P453),"")</f>
        <v/>
      </c>
      <c r="V453" s="112" t="str">
        <f aca="false">IFERROR(IF([1]对账明细接口!$Q453=0,"",[1]对账明细接口!$Q453),"")</f>
        <v/>
      </c>
      <c r="W453" s="10" t="str">
        <f aca="false">IFERROR(IF([1]对账明细接口!$R453=0,"",[1]对账明细接口!$R453),"")</f>
        <v/>
      </c>
      <c r="X453" s="10" t="str">
        <f aca="false">IFERROR(IF([1]对账明细接口!$S453=0,"",[1]对账明细接口!$S453),"")</f>
        <v/>
      </c>
      <c r="Y453" s="10" t="str">
        <f aca="false">""</f>
        <v/>
      </c>
      <c r="Z453" s="10" t="str">
        <f aca="false">""</f>
        <v/>
      </c>
      <c r="AA453" s="10" t="str">
        <f aca="false">""</f>
        <v/>
      </c>
      <c r="AB453" s="10" t="str">
        <f aca="false">""</f>
        <v/>
      </c>
    </row>
    <row r="454" customFormat="false" ht="13.5" hidden="false" customHeight="false" outlineLevel="0" collapsed="false">
      <c r="A454" s="109" t="n">
        <v>454</v>
      </c>
      <c r="B454" s="110" t="str">
        <f aca="false">IFERROR(IF([1]对账明细接口!$B$454=0,"",[1]对账明细接口!$B$454),"")</f>
        <v/>
      </c>
      <c r="C454" s="59" t="str">
        <f aca="false">IFERROR(IF([1]对账明细接口!$C$454=0,"",[1]对账明细接口!$C$454),"")</f>
        <v/>
      </c>
      <c r="D454" s="59" t="str">
        <f aca="false">IFERROR(IF([1]对账明细接口!$D$454=0,"",[1]对账明细接口!$D$454),"")</f>
        <v/>
      </c>
      <c r="E454" s="59" t="str">
        <f aca="false">IFERROR(IF([1]对账明细接口!$E$454=0,"",[1]对账明细接口!$E$454),"")</f>
        <v/>
      </c>
      <c r="F454" s="59" t="str">
        <f aca="false">IFERROR(IF([1]对账明细接口!$F$454=0,"",[1]对账明细接口!$F$454),"")</f>
        <v/>
      </c>
      <c r="G454" s="59" t="str">
        <f aca="false">IFERROR(IF([1]对账明细接口!$G$454=0,"",[1]对账明细接口!$G$454),"")</f>
        <v/>
      </c>
      <c r="H454" s="60" t="str">
        <f aca="false">IFERROR(IF([1]对账明细接口!$H$454=0,"",[1]对账明细接口!$H$454),"")</f>
        <v/>
      </c>
      <c r="I454" s="59" t="str">
        <f aca="false">IFERROR(IF([1]对账明细接口!$I$454=0,"",[1]对账明细接口!$I$454),"")</f>
        <v/>
      </c>
      <c r="J454" s="61" t="str">
        <f aca="false">IFERROR(IF([1]对账明细接口!$J$454=0,"",[1]对账明细接口!$J$454),"")</f>
        <v/>
      </c>
      <c r="K454" s="61" t="str">
        <f aca="false">IFERROR(IF([1]对账明细接口!$K$454=0,"",[1]对账明细接口!$K$454),"")</f>
        <v/>
      </c>
      <c r="L454" s="59" t="str">
        <f aca="false">IFERROR(IF([1]对账明细接口!$L$454=0,"",[1]对账明细接口!$L$454),"")</f>
        <v/>
      </c>
      <c r="M454" s="59" t="str">
        <f aca="false">IFERROR(IF([1]对账明细接口!$M$454=0,"",[1]对账明细接口!$M$454),"")</f>
        <v/>
      </c>
      <c r="N454" s="111" t="n">
        <f aca="false">IF($C454="",0,1)</f>
        <v>0</v>
      </c>
      <c r="O454" s="111" t="n">
        <f aca="false">N(O453)+$N454</f>
        <v>110</v>
      </c>
      <c r="S454" s="10" t="str">
        <f aca="false">IFERROR(IF([1]对账明细接口!$N454=0,"",[1]对账明细接口!$N454),"")</f>
        <v/>
      </c>
      <c r="T454" s="112" t="str">
        <f aca="false">IFERROR(IF([1]对账明细接口!$O454=0,"",[1]对账明细接口!$O454),"")</f>
        <v/>
      </c>
      <c r="U454" s="112" t="str">
        <f aca="false">IFERROR(IF([1]对账明细接口!$P454=0,"",[1]对账明细接口!$P454),"")</f>
        <v/>
      </c>
      <c r="V454" s="112" t="str">
        <f aca="false">IFERROR(IF([1]对账明细接口!$Q454=0,"",[1]对账明细接口!$Q454),"")</f>
        <v/>
      </c>
      <c r="W454" s="10" t="str">
        <f aca="false">IFERROR(IF([1]对账明细接口!$R454=0,"",[1]对账明细接口!$R454),"")</f>
        <v/>
      </c>
      <c r="X454" s="10" t="str">
        <f aca="false">IFERROR(IF([1]对账明细接口!$S454=0,"",[1]对账明细接口!$S454),"")</f>
        <v/>
      </c>
      <c r="Y454" s="10" t="str">
        <f aca="false">""</f>
        <v/>
      </c>
      <c r="Z454" s="10" t="str">
        <f aca="false">""</f>
        <v/>
      </c>
      <c r="AA454" s="10" t="str">
        <f aca="false">""</f>
        <v/>
      </c>
      <c r="AB454" s="10" t="str">
        <f aca="false">""</f>
        <v/>
      </c>
    </row>
    <row r="455" customFormat="false" ht="13.5" hidden="false" customHeight="false" outlineLevel="0" collapsed="false">
      <c r="A455" s="109" t="n">
        <v>455</v>
      </c>
      <c r="B455" s="110" t="str">
        <f aca="false">IFERROR(IF([1]对账明细接口!$B$455=0,"",[1]对账明细接口!$B$455),"")</f>
        <v/>
      </c>
      <c r="C455" s="59" t="str">
        <f aca="false">IFERROR(IF([1]对账明细接口!$C$455=0,"",[1]对账明细接口!$C$455),"")</f>
        <v/>
      </c>
      <c r="D455" s="59" t="str">
        <f aca="false">IFERROR(IF([1]对账明细接口!$D$455=0,"",[1]对账明细接口!$D$455),"")</f>
        <v/>
      </c>
      <c r="E455" s="59" t="str">
        <f aca="false">IFERROR(IF([1]对账明细接口!$E$455=0,"",[1]对账明细接口!$E$455),"")</f>
        <v/>
      </c>
      <c r="F455" s="59" t="str">
        <f aca="false">IFERROR(IF([1]对账明细接口!$F$455=0,"",[1]对账明细接口!$F$455),"")</f>
        <v/>
      </c>
      <c r="G455" s="59" t="str">
        <f aca="false">IFERROR(IF([1]对账明细接口!$G$455=0,"",[1]对账明细接口!$G$455),"")</f>
        <v/>
      </c>
      <c r="H455" s="60" t="str">
        <f aca="false">IFERROR(IF([1]对账明细接口!$H$455=0,"",[1]对账明细接口!$H$455),"")</f>
        <v/>
      </c>
      <c r="I455" s="59" t="str">
        <f aca="false">IFERROR(IF([1]对账明细接口!$I$455=0,"",[1]对账明细接口!$I$455),"")</f>
        <v/>
      </c>
      <c r="J455" s="61" t="str">
        <f aca="false">IFERROR(IF([1]对账明细接口!$J$455=0,"",[1]对账明细接口!$J$455),"")</f>
        <v/>
      </c>
      <c r="K455" s="61" t="str">
        <f aca="false">IFERROR(IF([1]对账明细接口!$K$455=0,"",[1]对账明细接口!$K$455),"")</f>
        <v/>
      </c>
      <c r="L455" s="59" t="str">
        <f aca="false">IFERROR(IF([1]对账明细接口!$L$455=0,"",[1]对账明细接口!$L$455),"")</f>
        <v/>
      </c>
      <c r="M455" s="59" t="str">
        <f aca="false">IFERROR(IF([1]对账明细接口!$M$455=0,"",[1]对账明细接口!$M$455),"")</f>
        <v/>
      </c>
      <c r="N455" s="111" t="n">
        <f aca="false">IF($C455="",0,1)</f>
        <v>0</v>
      </c>
      <c r="O455" s="111" t="n">
        <f aca="false">N(O454)+$N455</f>
        <v>110</v>
      </c>
      <c r="S455" s="10" t="str">
        <f aca="false">IFERROR(IF([1]对账明细接口!$N455=0,"",[1]对账明细接口!$N455),"")</f>
        <v/>
      </c>
      <c r="T455" s="112" t="str">
        <f aca="false">IFERROR(IF([1]对账明细接口!$O455=0,"",[1]对账明细接口!$O455),"")</f>
        <v/>
      </c>
      <c r="U455" s="112" t="str">
        <f aca="false">IFERROR(IF([1]对账明细接口!$P455=0,"",[1]对账明细接口!$P455),"")</f>
        <v/>
      </c>
      <c r="V455" s="112" t="str">
        <f aca="false">IFERROR(IF([1]对账明细接口!$Q455=0,"",[1]对账明细接口!$Q455),"")</f>
        <v/>
      </c>
      <c r="W455" s="10" t="str">
        <f aca="false">IFERROR(IF([1]对账明细接口!$R455=0,"",[1]对账明细接口!$R455),"")</f>
        <v/>
      </c>
      <c r="X455" s="10" t="str">
        <f aca="false">IFERROR(IF([1]对账明细接口!$S455=0,"",[1]对账明细接口!$S455),"")</f>
        <v/>
      </c>
      <c r="Y455" s="10" t="str">
        <f aca="false">""</f>
        <v/>
      </c>
      <c r="Z455" s="10" t="str">
        <f aca="false">""</f>
        <v/>
      </c>
      <c r="AA455" s="10" t="str">
        <f aca="false">""</f>
        <v/>
      </c>
      <c r="AB455" s="10" t="str">
        <f aca="false">""</f>
        <v/>
      </c>
    </row>
    <row r="456" customFormat="false" ht="13.5" hidden="false" customHeight="false" outlineLevel="0" collapsed="false">
      <c r="A456" s="109" t="n">
        <v>456</v>
      </c>
      <c r="B456" s="110" t="str">
        <f aca="false">IFERROR(IF([1]对账明细接口!$B$456=0,"",[1]对账明细接口!$B$456),"")</f>
        <v/>
      </c>
      <c r="C456" s="59" t="str">
        <f aca="false">IFERROR(IF([1]对账明细接口!$C$456=0,"",[1]对账明细接口!$C$456),"")</f>
        <v/>
      </c>
      <c r="D456" s="59" t="str">
        <f aca="false">IFERROR(IF([1]对账明细接口!$D$456=0,"",[1]对账明细接口!$D$456),"")</f>
        <v/>
      </c>
      <c r="E456" s="59" t="str">
        <f aca="false">IFERROR(IF([1]对账明细接口!$E$456=0,"",[1]对账明细接口!$E$456),"")</f>
        <v/>
      </c>
      <c r="F456" s="59" t="str">
        <f aca="false">IFERROR(IF([1]对账明细接口!$F$456=0,"",[1]对账明细接口!$F$456),"")</f>
        <v/>
      </c>
      <c r="G456" s="59" t="str">
        <f aca="false">IFERROR(IF([1]对账明细接口!$G$456=0,"",[1]对账明细接口!$G$456),"")</f>
        <v/>
      </c>
      <c r="H456" s="60" t="str">
        <f aca="false">IFERROR(IF([1]对账明细接口!$H$456=0,"",[1]对账明细接口!$H$456),"")</f>
        <v/>
      </c>
      <c r="I456" s="59" t="str">
        <f aca="false">IFERROR(IF([1]对账明细接口!$I$456=0,"",[1]对账明细接口!$I$456),"")</f>
        <v/>
      </c>
      <c r="J456" s="61" t="str">
        <f aca="false">IFERROR(IF([1]对账明细接口!$J$456=0,"",[1]对账明细接口!$J$456),"")</f>
        <v/>
      </c>
      <c r="K456" s="61" t="str">
        <f aca="false">IFERROR(IF([1]对账明细接口!$K$456=0,"",[1]对账明细接口!$K$456),"")</f>
        <v/>
      </c>
      <c r="L456" s="59" t="str">
        <f aca="false">IFERROR(IF([1]对账明细接口!$L$456=0,"",[1]对账明细接口!$L$456),"")</f>
        <v/>
      </c>
      <c r="M456" s="59" t="str">
        <f aca="false">IFERROR(IF([1]对账明细接口!$M$456=0,"",[1]对账明细接口!$M$456),"")</f>
        <v/>
      </c>
      <c r="N456" s="111" t="n">
        <f aca="false">IF($C456="",0,1)</f>
        <v>0</v>
      </c>
      <c r="O456" s="111" t="n">
        <f aca="false">N(O455)+$N456</f>
        <v>110</v>
      </c>
      <c r="S456" s="10" t="str">
        <f aca="false">IFERROR(IF([1]对账明细接口!$N456=0,"",[1]对账明细接口!$N456),"")</f>
        <v/>
      </c>
      <c r="T456" s="112" t="str">
        <f aca="false">IFERROR(IF([1]对账明细接口!$O456=0,"",[1]对账明细接口!$O456),"")</f>
        <v/>
      </c>
      <c r="U456" s="112" t="str">
        <f aca="false">IFERROR(IF([1]对账明细接口!$P456=0,"",[1]对账明细接口!$P456),"")</f>
        <v/>
      </c>
      <c r="V456" s="112" t="str">
        <f aca="false">IFERROR(IF([1]对账明细接口!$Q456=0,"",[1]对账明细接口!$Q456),"")</f>
        <v/>
      </c>
      <c r="W456" s="10" t="str">
        <f aca="false">IFERROR(IF([1]对账明细接口!$R456=0,"",[1]对账明细接口!$R456),"")</f>
        <v/>
      </c>
      <c r="X456" s="10" t="str">
        <f aca="false">IFERROR(IF([1]对账明细接口!$S456=0,"",[1]对账明细接口!$S456),"")</f>
        <v/>
      </c>
      <c r="Y456" s="10" t="str">
        <f aca="false">""</f>
        <v/>
      </c>
      <c r="Z456" s="10" t="str">
        <f aca="false">""</f>
        <v/>
      </c>
      <c r="AA456" s="10" t="str">
        <f aca="false">""</f>
        <v/>
      </c>
      <c r="AB456" s="10" t="str">
        <f aca="false">""</f>
        <v/>
      </c>
    </row>
    <row r="457" customFormat="false" ht="13.5" hidden="false" customHeight="false" outlineLevel="0" collapsed="false">
      <c r="A457" s="109" t="n">
        <v>457</v>
      </c>
      <c r="B457" s="110" t="str">
        <f aca="false">IFERROR(IF([1]对账明细接口!$B$457=0,"",[1]对账明细接口!$B$457),"")</f>
        <v/>
      </c>
      <c r="C457" s="59" t="str">
        <f aca="false">IFERROR(IF([1]对账明细接口!$C$457=0,"",[1]对账明细接口!$C$457),"")</f>
        <v/>
      </c>
      <c r="D457" s="59" t="str">
        <f aca="false">IFERROR(IF([1]对账明细接口!$D$457=0,"",[1]对账明细接口!$D$457),"")</f>
        <v/>
      </c>
      <c r="E457" s="59" t="str">
        <f aca="false">IFERROR(IF([1]对账明细接口!$E$457=0,"",[1]对账明细接口!$E$457),"")</f>
        <v/>
      </c>
      <c r="F457" s="59" t="str">
        <f aca="false">IFERROR(IF([1]对账明细接口!$F$457=0,"",[1]对账明细接口!$F$457),"")</f>
        <v/>
      </c>
      <c r="G457" s="59" t="str">
        <f aca="false">IFERROR(IF([1]对账明细接口!$G$457=0,"",[1]对账明细接口!$G$457),"")</f>
        <v/>
      </c>
      <c r="H457" s="60" t="str">
        <f aca="false">IFERROR(IF([1]对账明细接口!$H$457=0,"",[1]对账明细接口!$H$457),"")</f>
        <v/>
      </c>
      <c r="I457" s="59" t="str">
        <f aca="false">IFERROR(IF([1]对账明细接口!$I$457=0,"",[1]对账明细接口!$I$457),"")</f>
        <v/>
      </c>
      <c r="J457" s="61" t="str">
        <f aca="false">IFERROR(IF([1]对账明细接口!$J$457=0,"",[1]对账明细接口!$J$457),"")</f>
        <v/>
      </c>
      <c r="K457" s="61" t="str">
        <f aca="false">IFERROR(IF([1]对账明细接口!$K$457=0,"",[1]对账明细接口!$K$457),"")</f>
        <v/>
      </c>
      <c r="L457" s="59" t="str">
        <f aca="false">IFERROR(IF([1]对账明细接口!$L$457=0,"",[1]对账明细接口!$L$457),"")</f>
        <v/>
      </c>
      <c r="M457" s="59" t="str">
        <f aca="false">IFERROR(IF([1]对账明细接口!$M$457=0,"",[1]对账明细接口!$M$457),"")</f>
        <v/>
      </c>
      <c r="N457" s="111" t="n">
        <f aca="false">IF($C457="",0,1)</f>
        <v>0</v>
      </c>
      <c r="O457" s="111" t="n">
        <f aca="false">N(O456)+$N457</f>
        <v>110</v>
      </c>
      <c r="S457" s="10" t="str">
        <f aca="false">IFERROR(IF([1]对账明细接口!$N457=0,"",[1]对账明细接口!$N457),"")</f>
        <v/>
      </c>
      <c r="T457" s="112" t="str">
        <f aca="false">IFERROR(IF([1]对账明细接口!$O457=0,"",[1]对账明细接口!$O457),"")</f>
        <v/>
      </c>
      <c r="U457" s="112" t="str">
        <f aca="false">IFERROR(IF([1]对账明细接口!$P457=0,"",[1]对账明细接口!$P457),"")</f>
        <v/>
      </c>
      <c r="V457" s="112" t="str">
        <f aca="false">IFERROR(IF([1]对账明细接口!$Q457=0,"",[1]对账明细接口!$Q457),"")</f>
        <v/>
      </c>
      <c r="W457" s="10" t="str">
        <f aca="false">IFERROR(IF([1]对账明细接口!$R457=0,"",[1]对账明细接口!$R457),"")</f>
        <v/>
      </c>
      <c r="X457" s="10" t="str">
        <f aca="false">IFERROR(IF([1]对账明细接口!$S457=0,"",[1]对账明细接口!$S457),"")</f>
        <v/>
      </c>
      <c r="Y457" s="10" t="str">
        <f aca="false">""</f>
        <v/>
      </c>
      <c r="Z457" s="10" t="str">
        <f aca="false">""</f>
        <v/>
      </c>
      <c r="AA457" s="10" t="str">
        <f aca="false">""</f>
        <v/>
      </c>
      <c r="AB457" s="10" t="str">
        <f aca="false">""</f>
        <v/>
      </c>
    </row>
    <row r="458" customFormat="false" ht="13.5" hidden="false" customHeight="false" outlineLevel="0" collapsed="false">
      <c r="A458" s="109" t="n">
        <v>458</v>
      </c>
      <c r="B458" s="110" t="str">
        <f aca="false">IFERROR(IF([1]对账明细接口!$B$458=0,"",[1]对账明细接口!$B$458),"")</f>
        <v/>
      </c>
      <c r="C458" s="59" t="str">
        <f aca="false">IFERROR(IF([1]对账明细接口!$C$458=0,"",[1]对账明细接口!$C$458),"")</f>
        <v/>
      </c>
      <c r="D458" s="59" t="str">
        <f aca="false">IFERROR(IF([1]对账明细接口!$D$458=0,"",[1]对账明细接口!$D$458),"")</f>
        <v/>
      </c>
      <c r="E458" s="59" t="str">
        <f aca="false">IFERROR(IF([1]对账明细接口!$E$458=0,"",[1]对账明细接口!$E$458),"")</f>
        <v/>
      </c>
      <c r="F458" s="59" t="str">
        <f aca="false">IFERROR(IF([1]对账明细接口!$F$458=0,"",[1]对账明细接口!$F$458),"")</f>
        <v/>
      </c>
      <c r="G458" s="59" t="str">
        <f aca="false">IFERROR(IF([1]对账明细接口!$G$458=0,"",[1]对账明细接口!$G$458),"")</f>
        <v/>
      </c>
      <c r="H458" s="60" t="str">
        <f aca="false">IFERROR(IF([1]对账明细接口!$H$458=0,"",[1]对账明细接口!$H$458),"")</f>
        <v/>
      </c>
      <c r="I458" s="59" t="str">
        <f aca="false">IFERROR(IF([1]对账明细接口!$I$458=0,"",[1]对账明细接口!$I$458),"")</f>
        <v/>
      </c>
      <c r="J458" s="61" t="str">
        <f aca="false">IFERROR(IF([1]对账明细接口!$J$458=0,"",[1]对账明细接口!$J$458),"")</f>
        <v/>
      </c>
      <c r="K458" s="61" t="str">
        <f aca="false">IFERROR(IF([1]对账明细接口!$K$458=0,"",[1]对账明细接口!$K$458),"")</f>
        <v/>
      </c>
      <c r="L458" s="59" t="str">
        <f aca="false">IFERROR(IF([1]对账明细接口!$L$458=0,"",[1]对账明细接口!$L$458),"")</f>
        <v/>
      </c>
      <c r="M458" s="59" t="str">
        <f aca="false">IFERROR(IF([1]对账明细接口!$M$458=0,"",[1]对账明细接口!$M$458),"")</f>
        <v/>
      </c>
      <c r="N458" s="111" t="n">
        <f aca="false">IF($C458="",0,1)</f>
        <v>0</v>
      </c>
      <c r="O458" s="111" t="n">
        <f aca="false">N(O457)+$N458</f>
        <v>110</v>
      </c>
      <c r="S458" s="10" t="str">
        <f aca="false">IFERROR(IF([1]对账明细接口!$N458=0,"",[1]对账明细接口!$N458),"")</f>
        <v/>
      </c>
      <c r="T458" s="112" t="str">
        <f aca="false">IFERROR(IF([1]对账明细接口!$O458=0,"",[1]对账明细接口!$O458),"")</f>
        <v/>
      </c>
      <c r="U458" s="112" t="str">
        <f aca="false">IFERROR(IF([1]对账明细接口!$P458=0,"",[1]对账明细接口!$P458),"")</f>
        <v/>
      </c>
      <c r="V458" s="112" t="str">
        <f aca="false">IFERROR(IF([1]对账明细接口!$Q458=0,"",[1]对账明细接口!$Q458),"")</f>
        <v/>
      </c>
      <c r="W458" s="10" t="str">
        <f aca="false">IFERROR(IF([1]对账明细接口!$R458=0,"",[1]对账明细接口!$R458),"")</f>
        <v/>
      </c>
      <c r="X458" s="10" t="str">
        <f aca="false">IFERROR(IF([1]对账明细接口!$S458=0,"",[1]对账明细接口!$S458),"")</f>
        <v/>
      </c>
      <c r="Y458" s="10" t="str">
        <f aca="false">""</f>
        <v/>
      </c>
      <c r="Z458" s="10" t="str">
        <f aca="false">""</f>
        <v/>
      </c>
      <c r="AA458" s="10" t="str">
        <f aca="false">""</f>
        <v/>
      </c>
      <c r="AB458" s="10" t="str">
        <f aca="false">""</f>
        <v/>
      </c>
    </row>
    <row r="459" customFormat="false" ht="13.5" hidden="false" customHeight="false" outlineLevel="0" collapsed="false">
      <c r="A459" s="109" t="n">
        <v>459</v>
      </c>
      <c r="B459" s="110" t="str">
        <f aca="false">IFERROR(IF([1]对账明细接口!$B$459=0,"",[1]对账明细接口!$B$459),"")</f>
        <v/>
      </c>
      <c r="C459" s="59" t="str">
        <f aca="false">IFERROR(IF([1]对账明细接口!$C$459=0,"",[1]对账明细接口!$C$459),"")</f>
        <v/>
      </c>
      <c r="D459" s="59" t="str">
        <f aca="false">IFERROR(IF([1]对账明细接口!$D$459=0,"",[1]对账明细接口!$D$459),"")</f>
        <v/>
      </c>
      <c r="E459" s="59" t="str">
        <f aca="false">IFERROR(IF([1]对账明细接口!$E$459=0,"",[1]对账明细接口!$E$459),"")</f>
        <v/>
      </c>
      <c r="F459" s="59" t="str">
        <f aca="false">IFERROR(IF([1]对账明细接口!$F$459=0,"",[1]对账明细接口!$F$459),"")</f>
        <v/>
      </c>
      <c r="G459" s="59" t="str">
        <f aca="false">IFERROR(IF([1]对账明细接口!$G$459=0,"",[1]对账明细接口!$G$459),"")</f>
        <v/>
      </c>
      <c r="H459" s="60" t="str">
        <f aca="false">IFERROR(IF([1]对账明细接口!$H$459=0,"",[1]对账明细接口!$H$459),"")</f>
        <v/>
      </c>
      <c r="I459" s="59" t="str">
        <f aca="false">IFERROR(IF([1]对账明细接口!$I$459=0,"",[1]对账明细接口!$I$459),"")</f>
        <v/>
      </c>
      <c r="J459" s="61" t="str">
        <f aca="false">IFERROR(IF([1]对账明细接口!$J$459=0,"",[1]对账明细接口!$J$459),"")</f>
        <v/>
      </c>
      <c r="K459" s="61" t="str">
        <f aca="false">IFERROR(IF([1]对账明细接口!$K$459=0,"",[1]对账明细接口!$K$459),"")</f>
        <v/>
      </c>
      <c r="L459" s="59" t="str">
        <f aca="false">IFERROR(IF([1]对账明细接口!$L$459=0,"",[1]对账明细接口!$L$459),"")</f>
        <v/>
      </c>
      <c r="M459" s="59" t="str">
        <f aca="false">IFERROR(IF([1]对账明细接口!$M$459=0,"",[1]对账明细接口!$M$459),"")</f>
        <v/>
      </c>
      <c r="N459" s="111" t="n">
        <f aca="false">IF($C459="",0,1)</f>
        <v>0</v>
      </c>
      <c r="O459" s="111" t="n">
        <f aca="false">N(O458)+$N459</f>
        <v>110</v>
      </c>
      <c r="S459" s="10" t="str">
        <f aca="false">IFERROR(IF([1]对账明细接口!$N459=0,"",[1]对账明细接口!$N459),"")</f>
        <v/>
      </c>
      <c r="T459" s="112" t="str">
        <f aca="false">IFERROR(IF([1]对账明细接口!$O459=0,"",[1]对账明细接口!$O459),"")</f>
        <v/>
      </c>
      <c r="U459" s="112" t="str">
        <f aca="false">IFERROR(IF([1]对账明细接口!$P459=0,"",[1]对账明细接口!$P459),"")</f>
        <v/>
      </c>
      <c r="V459" s="112" t="str">
        <f aca="false">IFERROR(IF([1]对账明细接口!$Q459=0,"",[1]对账明细接口!$Q459),"")</f>
        <v/>
      </c>
      <c r="W459" s="10" t="str">
        <f aca="false">IFERROR(IF([1]对账明细接口!$R459=0,"",[1]对账明细接口!$R459),"")</f>
        <v/>
      </c>
      <c r="X459" s="10" t="str">
        <f aca="false">IFERROR(IF([1]对账明细接口!$S459=0,"",[1]对账明细接口!$S459),"")</f>
        <v/>
      </c>
      <c r="Y459" s="10" t="str">
        <f aca="false">""</f>
        <v/>
      </c>
      <c r="Z459" s="10" t="str">
        <f aca="false">""</f>
        <v/>
      </c>
      <c r="AA459" s="10" t="str">
        <f aca="false">""</f>
        <v/>
      </c>
      <c r="AB459" s="10" t="str">
        <f aca="false">""</f>
        <v/>
      </c>
    </row>
    <row r="460" customFormat="false" ht="13.5" hidden="false" customHeight="false" outlineLevel="0" collapsed="false">
      <c r="A460" s="109" t="n">
        <v>460</v>
      </c>
      <c r="B460" s="110" t="str">
        <f aca="false">IFERROR(IF([1]对账明细接口!$B$460=0,"",[1]对账明细接口!$B$460),"")</f>
        <v/>
      </c>
      <c r="C460" s="59" t="str">
        <f aca="false">IFERROR(IF([1]对账明细接口!$C$460=0,"",[1]对账明细接口!$C$460),"")</f>
        <v/>
      </c>
      <c r="D460" s="59" t="str">
        <f aca="false">IFERROR(IF([1]对账明细接口!$D$460=0,"",[1]对账明细接口!$D$460),"")</f>
        <v/>
      </c>
      <c r="E460" s="59" t="str">
        <f aca="false">IFERROR(IF([1]对账明细接口!$E$460=0,"",[1]对账明细接口!$E$460),"")</f>
        <v/>
      </c>
      <c r="F460" s="59" t="str">
        <f aca="false">IFERROR(IF([1]对账明细接口!$F$460=0,"",[1]对账明细接口!$F$460),"")</f>
        <v/>
      </c>
      <c r="G460" s="59" t="str">
        <f aca="false">IFERROR(IF([1]对账明细接口!$G$460=0,"",[1]对账明细接口!$G$460),"")</f>
        <v/>
      </c>
      <c r="H460" s="60" t="str">
        <f aca="false">IFERROR(IF([1]对账明细接口!$H$460=0,"",[1]对账明细接口!$H$460),"")</f>
        <v/>
      </c>
      <c r="I460" s="59" t="str">
        <f aca="false">IFERROR(IF([1]对账明细接口!$I$460=0,"",[1]对账明细接口!$I$460),"")</f>
        <v/>
      </c>
      <c r="J460" s="61" t="str">
        <f aca="false">IFERROR(IF([1]对账明细接口!$J$460=0,"",[1]对账明细接口!$J$460),"")</f>
        <v/>
      </c>
      <c r="K460" s="61" t="str">
        <f aca="false">IFERROR(IF([1]对账明细接口!$K$460=0,"",[1]对账明细接口!$K$460),"")</f>
        <v/>
      </c>
      <c r="L460" s="59" t="str">
        <f aca="false">IFERROR(IF([1]对账明细接口!$L$460=0,"",[1]对账明细接口!$L$460),"")</f>
        <v/>
      </c>
      <c r="M460" s="59" t="str">
        <f aca="false">IFERROR(IF([1]对账明细接口!$M$460=0,"",[1]对账明细接口!$M$460),"")</f>
        <v/>
      </c>
      <c r="N460" s="111" t="n">
        <f aca="false">IF($C460="",0,1)</f>
        <v>0</v>
      </c>
      <c r="O460" s="111" t="n">
        <f aca="false">N(O459)+$N460</f>
        <v>110</v>
      </c>
      <c r="S460" s="10" t="str">
        <f aca="false">IFERROR(IF([1]对账明细接口!$N460=0,"",[1]对账明细接口!$N460),"")</f>
        <v/>
      </c>
      <c r="T460" s="112" t="str">
        <f aca="false">IFERROR(IF([1]对账明细接口!$O460=0,"",[1]对账明细接口!$O460),"")</f>
        <v/>
      </c>
      <c r="U460" s="112" t="str">
        <f aca="false">IFERROR(IF([1]对账明细接口!$P460=0,"",[1]对账明细接口!$P460),"")</f>
        <v/>
      </c>
      <c r="V460" s="112" t="str">
        <f aca="false">IFERROR(IF([1]对账明细接口!$Q460=0,"",[1]对账明细接口!$Q460),"")</f>
        <v/>
      </c>
      <c r="W460" s="10" t="str">
        <f aca="false">IFERROR(IF([1]对账明细接口!$R460=0,"",[1]对账明细接口!$R460),"")</f>
        <v/>
      </c>
      <c r="X460" s="10" t="str">
        <f aca="false">IFERROR(IF([1]对账明细接口!$S460=0,"",[1]对账明细接口!$S460),"")</f>
        <v/>
      </c>
      <c r="Y460" s="10" t="str">
        <f aca="false">""</f>
        <v/>
      </c>
      <c r="Z460" s="10" t="str">
        <f aca="false">""</f>
        <v/>
      </c>
      <c r="AA460" s="10" t="str">
        <f aca="false">""</f>
        <v/>
      </c>
      <c r="AB460" s="10" t="str">
        <f aca="false">""</f>
        <v/>
      </c>
    </row>
    <row r="461" customFormat="false" ht="13.5" hidden="false" customHeight="false" outlineLevel="0" collapsed="false">
      <c r="A461" s="109" t="n">
        <v>461</v>
      </c>
      <c r="B461" s="110" t="str">
        <f aca="false">IFERROR(IF([1]对账明细接口!$B$461=0,"",[1]对账明细接口!$B$461),"")</f>
        <v/>
      </c>
      <c r="C461" s="59" t="str">
        <f aca="false">IFERROR(IF([1]对账明细接口!$C$461=0,"",[1]对账明细接口!$C$461),"")</f>
        <v/>
      </c>
      <c r="D461" s="59" t="str">
        <f aca="false">IFERROR(IF([1]对账明细接口!$D$461=0,"",[1]对账明细接口!$D$461),"")</f>
        <v/>
      </c>
      <c r="E461" s="59" t="str">
        <f aca="false">IFERROR(IF([1]对账明细接口!$E$461=0,"",[1]对账明细接口!$E$461),"")</f>
        <v/>
      </c>
      <c r="F461" s="59" t="str">
        <f aca="false">IFERROR(IF([1]对账明细接口!$F$461=0,"",[1]对账明细接口!$F$461),"")</f>
        <v/>
      </c>
      <c r="G461" s="59" t="str">
        <f aca="false">IFERROR(IF([1]对账明细接口!$G$461=0,"",[1]对账明细接口!$G$461),"")</f>
        <v/>
      </c>
      <c r="H461" s="60" t="str">
        <f aca="false">IFERROR(IF([1]对账明细接口!$H$461=0,"",[1]对账明细接口!$H$461),"")</f>
        <v/>
      </c>
      <c r="I461" s="59" t="str">
        <f aca="false">IFERROR(IF([1]对账明细接口!$I$461=0,"",[1]对账明细接口!$I$461),"")</f>
        <v/>
      </c>
      <c r="J461" s="61" t="str">
        <f aca="false">IFERROR(IF([1]对账明细接口!$J$461=0,"",[1]对账明细接口!$J$461),"")</f>
        <v/>
      </c>
      <c r="K461" s="61" t="str">
        <f aca="false">IFERROR(IF([1]对账明细接口!$K$461=0,"",[1]对账明细接口!$K$461),"")</f>
        <v/>
      </c>
      <c r="L461" s="59" t="str">
        <f aca="false">IFERROR(IF([1]对账明细接口!$L$461=0,"",[1]对账明细接口!$L$461),"")</f>
        <v/>
      </c>
      <c r="M461" s="59" t="str">
        <f aca="false">IFERROR(IF([1]对账明细接口!$M$461=0,"",[1]对账明细接口!$M$461),"")</f>
        <v/>
      </c>
      <c r="N461" s="111" t="n">
        <f aca="false">IF($C461="",0,1)</f>
        <v>0</v>
      </c>
      <c r="O461" s="111" t="n">
        <f aca="false">N(O460)+$N461</f>
        <v>110</v>
      </c>
      <c r="S461" s="10" t="str">
        <f aca="false">IFERROR(IF([1]对账明细接口!$N461=0,"",[1]对账明细接口!$N461),"")</f>
        <v/>
      </c>
      <c r="T461" s="112" t="str">
        <f aca="false">IFERROR(IF([1]对账明细接口!$O461=0,"",[1]对账明细接口!$O461),"")</f>
        <v/>
      </c>
      <c r="U461" s="112" t="str">
        <f aca="false">IFERROR(IF([1]对账明细接口!$P461=0,"",[1]对账明细接口!$P461),"")</f>
        <v/>
      </c>
      <c r="V461" s="112" t="str">
        <f aca="false">IFERROR(IF([1]对账明细接口!$Q461=0,"",[1]对账明细接口!$Q461),"")</f>
        <v/>
      </c>
      <c r="W461" s="10" t="str">
        <f aca="false">IFERROR(IF([1]对账明细接口!$R461=0,"",[1]对账明细接口!$R461),"")</f>
        <v/>
      </c>
      <c r="X461" s="10" t="str">
        <f aca="false">IFERROR(IF([1]对账明细接口!$S461=0,"",[1]对账明细接口!$S461),"")</f>
        <v/>
      </c>
      <c r="Y461" s="10" t="str">
        <f aca="false">""</f>
        <v/>
      </c>
      <c r="Z461" s="10" t="str">
        <f aca="false">""</f>
        <v/>
      </c>
      <c r="AA461" s="10" t="str">
        <f aca="false">""</f>
        <v/>
      </c>
      <c r="AB461" s="10" t="str">
        <f aca="false">""</f>
        <v/>
      </c>
    </row>
    <row r="462" customFormat="false" ht="13.5" hidden="false" customHeight="false" outlineLevel="0" collapsed="false">
      <c r="A462" s="109" t="n">
        <v>462</v>
      </c>
      <c r="B462" s="110" t="str">
        <f aca="false">IFERROR(IF([1]对账明细接口!$B$462=0,"",[1]对账明细接口!$B$462),"")</f>
        <v/>
      </c>
      <c r="C462" s="59" t="str">
        <f aca="false">IFERROR(IF([1]对账明细接口!$C$462=0,"",[1]对账明细接口!$C$462),"")</f>
        <v/>
      </c>
      <c r="D462" s="59" t="str">
        <f aca="false">IFERROR(IF([1]对账明细接口!$D$462=0,"",[1]对账明细接口!$D$462),"")</f>
        <v/>
      </c>
      <c r="E462" s="59" t="str">
        <f aca="false">IFERROR(IF([1]对账明细接口!$E$462=0,"",[1]对账明细接口!$E$462),"")</f>
        <v/>
      </c>
      <c r="F462" s="59" t="str">
        <f aca="false">IFERROR(IF([1]对账明细接口!$F$462=0,"",[1]对账明细接口!$F$462),"")</f>
        <v/>
      </c>
      <c r="G462" s="59" t="str">
        <f aca="false">IFERROR(IF([1]对账明细接口!$G$462=0,"",[1]对账明细接口!$G$462),"")</f>
        <v/>
      </c>
      <c r="H462" s="60" t="str">
        <f aca="false">IFERROR(IF([1]对账明细接口!$H$462=0,"",[1]对账明细接口!$H$462),"")</f>
        <v/>
      </c>
      <c r="I462" s="59" t="str">
        <f aca="false">IFERROR(IF([1]对账明细接口!$I$462=0,"",[1]对账明细接口!$I$462),"")</f>
        <v/>
      </c>
      <c r="J462" s="61" t="str">
        <f aca="false">IFERROR(IF([1]对账明细接口!$J$462=0,"",[1]对账明细接口!$J$462),"")</f>
        <v/>
      </c>
      <c r="K462" s="61" t="str">
        <f aca="false">IFERROR(IF([1]对账明细接口!$K$462=0,"",[1]对账明细接口!$K$462),"")</f>
        <v/>
      </c>
      <c r="L462" s="59" t="str">
        <f aca="false">IFERROR(IF([1]对账明细接口!$L$462=0,"",[1]对账明细接口!$L$462),"")</f>
        <v/>
      </c>
      <c r="M462" s="59" t="str">
        <f aca="false">IFERROR(IF([1]对账明细接口!$M$462=0,"",[1]对账明细接口!$M$462),"")</f>
        <v/>
      </c>
      <c r="N462" s="111" t="n">
        <f aca="false">IF($C462="",0,1)</f>
        <v>0</v>
      </c>
      <c r="O462" s="111" t="n">
        <f aca="false">N(O461)+$N462</f>
        <v>110</v>
      </c>
      <c r="S462" s="10" t="str">
        <f aca="false">IFERROR(IF([1]对账明细接口!$N462=0,"",[1]对账明细接口!$N462),"")</f>
        <v/>
      </c>
      <c r="T462" s="112" t="str">
        <f aca="false">IFERROR(IF([1]对账明细接口!$O462=0,"",[1]对账明细接口!$O462),"")</f>
        <v/>
      </c>
      <c r="U462" s="112" t="str">
        <f aca="false">IFERROR(IF([1]对账明细接口!$P462=0,"",[1]对账明细接口!$P462),"")</f>
        <v/>
      </c>
      <c r="V462" s="112" t="str">
        <f aca="false">IFERROR(IF([1]对账明细接口!$Q462=0,"",[1]对账明细接口!$Q462),"")</f>
        <v/>
      </c>
      <c r="W462" s="10" t="str">
        <f aca="false">IFERROR(IF([1]对账明细接口!$R462=0,"",[1]对账明细接口!$R462),"")</f>
        <v/>
      </c>
      <c r="X462" s="10" t="str">
        <f aca="false">IFERROR(IF([1]对账明细接口!$S462=0,"",[1]对账明细接口!$S462),"")</f>
        <v/>
      </c>
      <c r="Y462" s="10" t="str">
        <f aca="false">""</f>
        <v/>
      </c>
      <c r="Z462" s="10" t="str">
        <f aca="false">""</f>
        <v/>
      </c>
      <c r="AA462" s="10" t="str">
        <f aca="false">""</f>
        <v/>
      </c>
      <c r="AB462" s="10" t="str">
        <f aca="false">""</f>
        <v/>
      </c>
    </row>
    <row r="463" customFormat="false" ht="13.5" hidden="false" customHeight="false" outlineLevel="0" collapsed="false">
      <c r="A463" s="109" t="n">
        <v>463</v>
      </c>
      <c r="B463" s="110" t="str">
        <f aca="false">IFERROR(IF([1]对账明细接口!$B$463=0,"",[1]对账明细接口!$B$463),"")</f>
        <v/>
      </c>
      <c r="C463" s="59" t="str">
        <f aca="false">IFERROR(IF([1]对账明细接口!$C$463=0,"",[1]对账明细接口!$C$463),"")</f>
        <v/>
      </c>
      <c r="D463" s="59" t="str">
        <f aca="false">IFERROR(IF([1]对账明细接口!$D$463=0,"",[1]对账明细接口!$D$463),"")</f>
        <v/>
      </c>
      <c r="E463" s="59" t="str">
        <f aca="false">IFERROR(IF([1]对账明细接口!$E$463=0,"",[1]对账明细接口!$E$463),"")</f>
        <v/>
      </c>
      <c r="F463" s="59" t="str">
        <f aca="false">IFERROR(IF([1]对账明细接口!$F$463=0,"",[1]对账明细接口!$F$463),"")</f>
        <v/>
      </c>
      <c r="G463" s="59" t="str">
        <f aca="false">IFERROR(IF([1]对账明细接口!$G$463=0,"",[1]对账明细接口!$G$463),"")</f>
        <v/>
      </c>
      <c r="H463" s="60" t="str">
        <f aca="false">IFERROR(IF([1]对账明细接口!$H$463=0,"",[1]对账明细接口!$H$463),"")</f>
        <v/>
      </c>
      <c r="I463" s="59" t="str">
        <f aca="false">IFERROR(IF([1]对账明细接口!$I$463=0,"",[1]对账明细接口!$I$463),"")</f>
        <v/>
      </c>
      <c r="J463" s="61" t="str">
        <f aca="false">IFERROR(IF([1]对账明细接口!$J$463=0,"",[1]对账明细接口!$J$463),"")</f>
        <v/>
      </c>
      <c r="K463" s="61" t="str">
        <f aca="false">IFERROR(IF([1]对账明细接口!$K$463=0,"",[1]对账明细接口!$K$463),"")</f>
        <v/>
      </c>
      <c r="L463" s="59" t="str">
        <f aca="false">IFERROR(IF([1]对账明细接口!$L$463=0,"",[1]对账明细接口!$L$463),"")</f>
        <v/>
      </c>
      <c r="M463" s="59" t="str">
        <f aca="false">IFERROR(IF([1]对账明细接口!$M$463=0,"",[1]对账明细接口!$M$463),"")</f>
        <v/>
      </c>
      <c r="N463" s="111" t="n">
        <f aca="false">IF($C463="",0,1)</f>
        <v>0</v>
      </c>
      <c r="O463" s="111" t="n">
        <f aca="false">N(O462)+$N463</f>
        <v>110</v>
      </c>
      <c r="S463" s="10" t="str">
        <f aca="false">IFERROR(IF([1]对账明细接口!$N463=0,"",[1]对账明细接口!$N463),"")</f>
        <v/>
      </c>
      <c r="T463" s="112" t="str">
        <f aca="false">IFERROR(IF([1]对账明细接口!$O463=0,"",[1]对账明细接口!$O463),"")</f>
        <v/>
      </c>
      <c r="U463" s="112" t="str">
        <f aca="false">IFERROR(IF([1]对账明细接口!$P463=0,"",[1]对账明细接口!$P463),"")</f>
        <v/>
      </c>
      <c r="V463" s="112" t="str">
        <f aca="false">IFERROR(IF([1]对账明细接口!$Q463=0,"",[1]对账明细接口!$Q463),"")</f>
        <v/>
      </c>
      <c r="W463" s="10" t="str">
        <f aca="false">IFERROR(IF([1]对账明细接口!$R463=0,"",[1]对账明细接口!$R463),"")</f>
        <v/>
      </c>
      <c r="X463" s="10" t="str">
        <f aca="false">IFERROR(IF([1]对账明细接口!$S463=0,"",[1]对账明细接口!$S463),"")</f>
        <v/>
      </c>
      <c r="Y463" s="10" t="str">
        <f aca="false">""</f>
        <v/>
      </c>
      <c r="Z463" s="10" t="str">
        <f aca="false">""</f>
        <v/>
      </c>
      <c r="AA463" s="10" t="str">
        <f aca="false">""</f>
        <v/>
      </c>
      <c r="AB463" s="10" t="str">
        <f aca="false">""</f>
        <v/>
      </c>
    </row>
    <row r="464" customFormat="false" ht="13.5" hidden="false" customHeight="false" outlineLevel="0" collapsed="false">
      <c r="A464" s="109" t="n">
        <v>464</v>
      </c>
      <c r="B464" s="110" t="str">
        <f aca="false">IFERROR(IF([1]对账明细接口!$B$464=0,"",[1]对账明细接口!$B$464),"")</f>
        <v/>
      </c>
      <c r="C464" s="59" t="str">
        <f aca="false">IFERROR(IF([1]对账明细接口!$C$464=0,"",[1]对账明细接口!$C$464),"")</f>
        <v/>
      </c>
      <c r="D464" s="59" t="str">
        <f aca="false">IFERROR(IF([1]对账明细接口!$D$464=0,"",[1]对账明细接口!$D$464),"")</f>
        <v/>
      </c>
      <c r="E464" s="59" t="str">
        <f aca="false">IFERROR(IF([1]对账明细接口!$E$464=0,"",[1]对账明细接口!$E$464),"")</f>
        <v/>
      </c>
      <c r="F464" s="59" t="str">
        <f aca="false">IFERROR(IF([1]对账明细接口!$F$464=0,"",[1]对账明细接口!$F$464),"")</f>
        <v/>
      </c>
      <c r="G464" s="59" t="str">
        <f aca="false">IFERROR(IF([1]对账明细接口!$G$464=0,"",[1]对账明细接口!$G$464),"")</f>
        <v/>
      </c>
      <c r="H464" s="60" t="str">
        <f aca="false">IFERROR(IF([1]对账明细接口!$H$464=0,"",[1]对账明细接口!$H$464),"")</f>
        <v/>
      </c>
      <c r="I464" s="59" t="str">
        <f aca="false">IFERROR(IF([1]对账明细接口!$I$464=0,"",[1]对账明细接口!$I$464),"")</f>
        <v/>
      </c>
      <c r="J464" s="61" t="str">
        <f aca="false">IFERROR(IF([1]对账明细接口!$J$464=0,"",[1]对账明细接口!$J$464),"")</f>
        <v/>
      </c>
      <c r="K464" s="61" t="str">
        <f aca="false">IFERROR(IF([1]对账明细接口!$K$464=0,"",[1]对账明细接口!$K$464),"")</f>
        <v/>
      </c>
      <c r="L464" s="59" t="str">
        <f aca="false">IFERROR(IF([1]对账明细接口!$L$464=0,"",[1]对账明细接口!$L$464),"")</f>
        <v/>
      </c>
      <c r="M464" s="59" t="str">
        <f aca="false">IFERROR(IF([1]对账明细接口!$M$464=0,"",[1]对账明细接口!$M$464),"")</f>
        <v/>
      </c>
      <c r="N464" s="111" t="n">
        <f aca="false">IF($C464="",0,1)</f>
        <v>0</v>
      </c>
      <c r="O464" s="111" t="n">
        <f aca="false">N(O463)+$N464</f>
        <v>110</v>
      </c>
      <c r="S464" s="10" t="str">
        <f aca="false">IFERROR(IF([1]对账明细接口!$N464=0,"",[1]对账明细接口!$N464),"")</f>
        <v/>
      </c>
      <c r="T464" s="112" t="str">
        <f aca="false">IFERROR(IF([1]对账明细接口!$O464=0,"",[1]对账明细接口!$O464),"")</f>
        <v/>
      </c>
      <c r="U464" s="112" t="str">
        <f aca="false">IFERROR(IF([1]对账明细接口!$P464=0,"",[1]对账明细接口!$P464),"")</f>
        <v/>
      </c>
      <c r="V464" s="112" t="str">
        <f aca="false">IFERROR(IF([1]对账明细接口!$Q464=0,"",[1]对账明细接口!$Q464),"")</f>
        <v/>
      </c>
      <c r="W464" s="10" t="str">
        <f aca="false">IFERROR(IF([1]对账明细接口!$R464=0,"",[1]对账明细接口!$R464),"")</f>
        <v/>
      </c>
      <c r="X464" s="10" t="str">
        <f aca="false">IFERROR(IF([1]对账明细接口!$S464=0,"",[1]对账明细接口!$S464),"")</f>
        <v/>
      </c>
      <c r="Y464" s="10" t="str">
        <f aca="false">""</f>
        <v/>
      </c>
      <c r="Z464" s="10" t="str">
        <f aca="false">""</f>
        <v/>
      </c>
      <c r="AA464" s="10" t="str">
        <f aca="false">""</f>
        <v/>
      </c>
      <c r="AB464" s="10" t="str">
        <f aca="false">""</f>
        <v/>
      </c>
    </row>
    <row r="465" customFormat="false" ht="13.5" hidden="false" customHeight="false" outlineLevel="0" collapsed="false">
      <c r="A465" s="109" t="n">
        <v>465</v>
      </c>
      <c r="B465" s="110" t="str">
        <f aca="false">IFERROR(IF([1]对账明细接口!$B$465=0,"",[1]对账明细接口!$B$465),"")</f>
        <v/>
      </c>
      <c r="C465" s="59" t="str">
        <f aca="false">IFERROR(IF([1]对账明细接口!$C$465=0,"",[1]对账明细接口!$C$465),"")</f>
        <v/>
      </c>
      <c r="D465" s="59" t="str">
        <f aca="false">IFERROR(IF([1]对账明细接口!$D$465=0,"",[1]对账明细接口!$D$465),"")</f>
        <v/>
      </c>
      <c r="E465" s="59" t="str">
        <f aca="false">IFERROR(IF([1]对账明细接口!$E$465=0,"",[1]对账明细接口!$E$465),"")</f>
        <v/>
      </c>
      <c r="F465" s="59" t="str">
        <f aca="false">IFERROR(IF([1]对账明细接口!$F$465=0,"",[1]对账明细接口!$F$465),"")</f>
        <v/>
      </c>
      <c r="G465" s="59" t="str">
        <f aca="false">IFERROR(IF([1]对账明细接口!$G$465=0,"",[1]对账明细接口!$G$465),"")</f>
        <v/>
      </c>
      <c r="H465" s="60" t="str">
        <f aca="false">IFERROR(IF([1]对账明细接口!$H$465=0,"",[1]对账明细接口!$H$465),"")</f>
        <v/>
      </c>
      <c r="I465" s="59" t="str">
        <f aca="false">IFERROR(IF([1]对账明细接口!$I$465=0,"",[1]对账明细接口!$I$465),"")</f>
        <v/>
      </c>
      <c r="J465" s="61" t="str">
        <f aca="false">IFERROR(IF([1]对账明细接口!$J$465=0,"",[1]对账明细接口!$J$465),"")</f>
        <v/>
      </c>
      <c r="K465" s="61" t="str">
        <f aca="false">IFERROR(IF([1]对账明细接口!$K$465=0,"",[1]对账明细接口!$K$465),"")</f>
        <v/>
      </c>
      <c r="L465" s="59" t="str">
        <f aca="false">IFERROR(IF([1]对账明细接口!$L$465=0,"",[1]对账明细接口!$L$465),"")</f>
        <v/>
      </c>
      <c r="M465" s="59" t="str">
        <f aca="false">IFERROR(IF([1]对账明细接口!$M$465=0,"",[1]对账明细接口!$M$465),"")</f>
        <v/>
      </c>
      <c r="N465" s="111" t="n">
        <f aca="false">IF($C465="",0,1)</f>
        <v>0</v>
      </c>
      <c r="O465" s="111" t="n">
        <f aca="false">N(O464)+$N465</f>
        <v>110</v>
      </c>
      <c r="S465" s="10" t="str">
        <f aca="false">IFERROR(IF([1]对账明细接口!$N465=0,"",[1]对账明细接口!$N465),"")</f>
        <v/>
      </c>
      <c r="T465" s="112" t="str">
        <f aca="false">IFERROR(IF([1]对账明细接口!$O465=0,"",[1]对账明细接口!$O465),"")</f>
        <v/>
      </c>
      <c r="U465" s="112" t="str">
        <f aca="false">IFERROR(IF([1]对账明细接口!$P465=0,"",[1]对账明细接口!$P465),"")</f>
        <v/>
      </c>
      <c r="V465" s="112" t="str">
        <f aca="false">IFERROR(IF([1]对账明细接口!$Q465=0,"",[1]对账明细接口!$Q465),"")</f>
        <v/>
      </c>
      <c r="W465" s="10" t="str">
        <f aca="false">IFERROR(IF([1]对账明细接口!$R465=0,"",[1]对账明细接口!$R465),"")</f>
        <v/>
      </c>
      <c r="X465" s="10" t="str">
        <f aca="false">IFERROR(IF([1]对账明细接口!$S465=0,"",[1]对账明细接口!$S465),"")</f>
        <v/>
      </c>
      <c r="Y465" s="10" t="str">
        <f aca="false">""</f>
        <v/>
      </c>
      <c r="Z465" s="10" t="str">
        <f aca="false">""</f>
        <v/>
      </c>
      <c r="AA465" s="10" t="str">
        <f aca="false">""</f>
        <v/>
      </c>
      <c r="AB465" s="10" t="str">
        <f aca="false">""</f>
        <v/>
      </c>
    </row>
    <row r="466" customFormat="false" ht="13.5" hidden="false" customHeight="false" outlineLevel="0" collapsed="false">
      <c r="A466" s="109" t="n">
        <v>466</v>
      </c>
      <c r="B466" s="110" t="str">
        <f aca="false">IFERROR(IF([1]对账明细接口!$B$466=0,"",[1]对账明细接口!$B$466),"")</f>
        <v/>
      </c>
      <c r="C466" s="59" t="str">
        <f aca="false">IFERROR(IF([1]对账明细接口!$C$466=0,"",[1]对账明细接口!$C$466),"")</f>
        <v/>
      </c>
      <c r="D466" s="59" t="str">
        <f aca="false">IFERROR(IF([1]对账明细接口!$D$466=0,"",[1]对账明细接口!$D$466),"")</f>
        <v/>
      </c>
      <c r="E466" s="59" t="str">
        <f aca="false">IFERROR(IF([1]对账明细接口!$E$466=0,"",[1]对账明细接口!$E$466),"")</f>
        <v/>
      </c>
      <c r="F466" s="59" t="str">
        <f aca="false">IFERROR(IF([1]对账明细接口!$F$466=0,"",[1]对账明细接口!$F$466),"")</f>
        <v/>
      </c>
      <c r="G466" s="59" t="str">
        <f aca="false">IFERROR(IF([1]对账明细接口!$G$466=0,"",[1]对账明细接口!$G$466),"")</f>
        <v/>
      </c>
      <c r="H466" s="60" t="str">
        <f aca="false">IFERROR(IF([1]对账明细接口!$H$466=0,"",[1]对账明细接口!$H$466),"")</f>
        <v/>
      </c>
      <c r="I466" s="59" t="str">
        <f aca="false">IFERROR(IF([1]对账明细接口!$I$466=0,"",[1]对账明细接口!$I$466),"")</f>
        <v/>
      </c>
      <c r="J466" s="61" t="str">
        <f aca="false">IFERROR(IF([1]对账明细接口!$J$466=0,"",[1]对账明细接口!$J$466),"")</f>
        <v/>
      </c>
      <c r="K466" s="61" t="str">
        <f aca="false">IFERROR(IF([1]对账明细接口!$K$466=0,"",[1]对账明细接口!$K$466),"")</f>
        <v/>
      </c>
      <c r="L466" s="59" t="str">
        <f aca="false">IFERROR(IF([1]对账明细接口!$L$466=0,"",[1]对账明细接口!$L$466),"")</f>
        <v/>
      </c>
      <c r="M466" s="59" t="str">
        <f aca="false">IFERROR(IF([1]对账明细接口!$M$466=0,"",[1]对账明细接口!$M$466),"")</f>
        <v/>
      </c>
      <c r="N466" s="111" t="n">
        <f aca="false">IF($C466="",0,1)</f>
        <v>0</v>
      </c>
      <c r="O466" s="111" t="n">
        <f aca="false">N(O465)+$N466</f>
        <v>110</v>
      </c>
      <c r="S466" s="10" t="str">
        <f aca="false">IFERROR(IF([1]对账明细接口!$N466=0,"",[1]对账明细接口!$N466),"")</f>
        <v/>
      </c>
      <c r="T466" s="112" t="str">
        <f aca="false">IFERROR(IF([1]对账明细接口!$O466=0,"",[1]对账明细接口!$O466),"")</f>
        <v/>
      </c>
      <c r="U466" s="112" t="str">
        <f aca="false">IFERROR(IF([1]对账明细接口!$P466=0,"",[1]对账明细接口!$P466),"")</f>
        <v/>
      </c>
      <c r="V466" s="112" t="str">
        <f aca="false">IFERROR(IF([1]对账明细接口!$Q466=0,"",[1]对账明细接口!$Q466),"")</f>
        <v/>
      </c>
      <c r="W466" s="10" t="str">
        <f aca="false">IFERROR(IF([1]对账明细接口!$R466=0,"",[1]对账明细接口!$R466),"")</f>
        <v/>
      </c>
      <c r="X466" s="10" t="str">
        <f aca="false">IFERROR(IF([1]对账明细接口!$S466=0,"",[1]对账明细接口!$S466),"")</f>
        <v/>
      </c>
      <c r="Y466" s="10" t="str">
        <f aca="false">""</f>
        <v/>
      </c>
      <c r="Z466" s="10" t="str">
        <f aca="false">""</f>
        <v/>
      </c>
      <c r="AA466" s="10" t="str">
        <f aca="false">""</f>
        <v/>
      </c>
      <c r="AB466" s="10" t="str">
        <f aca="false">""</f>
        <v/>
      </c>
    </row>
    <row r="467" customFormat="false" ht="13.5" hidden="false" customHeight="false" outlineLevel="0" collapsed="false">
      <c r="A467" s="109" t="n">
        <v>467</v>
      </c>
      <c r="B467" s="110" t="str">
        <f aca="false">IFERROR(IF([1]对账明细接口!$B$467=0,"",[1]对账明细接口!$B$467),"")</f>
        <v/>
      </c>
      <c r="C467" s="59" t="str">
        <f aca="false">IFERROR(IF([1]对账明细接口!$C$467=0,"",[1]对账明细接口!$C$467),"")</f>
        <v/>
      </c>
      <c r="D467" s="59" t="str">
        <f aca="false">IFERROR(IF([1]对账明细接口!$D$467=0,"",[1]对账明细接口!$D$467),"")</f>
        <v/>
      </c>
      <c r="E467" s="59" t="str">
        <f aca="false">IFERROR(IF([1]对账明细接口!$E$467=0,"",[1]对账明细接口!$E$467),"")</f>
        <v/>
      </c>
      <c r="F467" s="59" t="str">
        <f aca="false">IFERROR(IF([1]对账明细接口!$F$467=0,"",[1]对账明细接口!$F$467),"")</f>
        <v/>
      </c>
      <c r="G467" s="59" t="str">
        <f aca="false">IFERROR(IF([1]对账明细接口!$G$467=0,"",[1]对账明细接口!$G$467),"")</f>
        <v/>
      </c>
      <c r="H467" s="60" t="str">
        <f aca="false">IFERROR(IF([1]对账明细接口!$H$467=0,"",[1]对账明细接口!$H$467),"")</f>
        <v/>
      </c>
      <c r="I467" s="59" t="str">
        <f aca="false">IFERROR(IF([1]对账明细接口!$I$467=0,"",[1]对账明细接口!$I$467),"")</f>
        <v/>
      </c>
      <c r="J467" s="61" t="str">
        <f aca="false">IFERROR(IF([1]对账明细接口!$J$467=0,"",[1]对账明细接口!$J$467),"")</f>
        <v/>
      </c>
      <c r="K467" s="61" t="str">
        <f aca="false">IFERROR(IF([1]对账明细接口!$K$467=0,"",[1]对账明细接口!$K$467),"")</f>
        <v/>
      </c>
      <c r="L467" s="59" t="str">
        <f aca="false">IFERROR(IF([1]对账明细接口!$L$467=0,"",[1]对账明细接口!$L$467),"")</f>
        <v/>
      </c>
      <c r="M467" s="59" t="str">
        <f aca="false">IFERROR(IF([1]对账明细接口!$M$467=0,"",[1]对账明细接口!$M$467),"")</f>
        <v/>
      </c>
      <c r="N467" s="111" t="n">
        <f aca="false">IF($C467="",0,1)</f>
        <v>0</v>
      </c>
      <c r="O467" s="111" t="n">
        <f aca="false">N(O466)+$N467</f>
        <v>110</v>
      </c>
      <c r="S467" s="10" t="str">
        <f aca="false">IFERROR(IF([1]对账明细接口!$N467=0,"",[1]对账明细接口!$N467),"")</f>
        <v/>
      </c>
      <c r="T467" s="112" t="str">
        <f aca="false">IFERROR(IF([1]对账明细接口!$O467=0,"",[1]对账明细接口!$O467),"")</f>
        <v/>
      </c>
      <c r="U467" s="112" t="str">
        <f aca="false">IFERROR(IF([1]对账明细接口!$P467=0,"",[1]对账明细接口!$P467),"")</f>
        <v/>
      </c>
      <c r="V467" s="112" t="str">
        <f aca="false">IFERROR(IF([1]对账明细接口!$Q467=0,"",[1]对账明细接口!$Q467),"")</f>
        <v/>
      </c>
      <c r="W467" s="10" t="str">
        <f aca="false">IFERROR(IF([1]对账明细接口!$R467=0,"",[1]对账明细接口!$R467),"")</f>
        <v/>
      </c>
      <c r="X467" s="10" t="str">
        <f aca="false">IFERROR(IF([1]对账明细接口!$S467=0,"",[1]对账明细接口!$S467),"")</f>
        <v/>
      </c>
      <c r="Y467" s="10" t="str">
        <f aca="false">""</f>
        <v/>
      </c>
      <c r="Z467" s="10" t="str">
        <f aca="false">""</f>
        <v/>
      </c>
      <c r="AA467" s="10" t="str">
        <f aca="false">""</f>
        <v/>
      </c>
      <c r="AB467" s="10" t="str">
        <f aca="false">""</f>
        <v/>
      </c>
    </row>
    <row r="468" customFormat="false" ht="13.5" hidden="false" customHeight="false" outlineLevel="0" collapsed="false">
      <c r="A468" s="109" t="n">
        <v>468</v>
      </c>
      <c r="B468" s="110" t="str">
        <f aca="false">IFERROR(IF([1]对账明细接口!$B$468=0,"",[1]对账明细接口!$B$468),"")</f>
        <v/>
      </c>
      <c r="C468" s="59" t="str">
        <f aca="false">IFERROR(IF([1]对账明细接口!$C$468=0,"",[1]对账明细接口!$C$468),"")</f>
        <v/>
      </c>
      <c r="D468" s="59" t="str">
        <f aca="false">IFERROR(IF([1]对账明细接口!$D$468=0,"",[1]对账明细接口!$D$468),"")</f>
        <v/>
      </c>
      <c r="E468" s="59" t="str">
        <f aca="false">IFERROR(IF([1]对账明细接口!$E$468=0,"",[1]对账明细接口!$E$468),"")</f>
        <v/>
      </c>
      <c r="F468" s="59" t="str">
        <f aca="false">IFERROR(IF([1]对账明细接口!$F$468=0,"",[1]对账明细接口!$F$468),"")</f>
        <v/>
      </c>
      <c r="G468" s="59" t="str">
        <f aca="false">IFERROR(IF([1]对账明细接口!$G$468=0,"",[1]对账明细接口!$G$468),"")</f>
        <v/>
      </c>
      <c r="H468" s="60" t="str">
        <f aca="false">IFERROR(IF([1]对账明细接口!$H$468=0,"",[1]对账明细接口!$H$468),"")</f>
        <v/>
      </c>
      <c r="I468" s="59" t="str">
        <f aca="false">IFERROR(IF([1]对账明细接口!$I$468=0,"",[1]对账明细接口!$I$468),"")</f>
        <v/>
      </c>
      <c r="J468" s="61" t="str">
        <f aca="false">IFERROR(IF([1]对账明细接口!$J$468=0,"",[1]对账明细接口!$J$468),"")</f>
        <v/>
      </c>
      <c r="K468" s="61" t="str">
        <f aca="false">IFERROR(IF([1]对账明细接口!$K$468=0,"",[1]对账明细接口!$K$468),"")</f>
        <v/>
      </c>
      <c r="L468" s="59" t="str">
        <f aca="false">IFERROR(IF([1]对账明细接口!$L$468=0,"",[1]对账明细接口!$L$468),"")</f>
        <v/>
      </c>
      <c r="M468" s="59" t="str">
        <f aca="false">IFERROR(IF([1]对账明细接口!$M$468=0,"",[1]对账明细接口!$M$468),"")</f>
        <v/>
      </c>
      <c r="N468" s="111" t="n">
        <f aca="false">IF($C468="",0,1)</f>
        <v>0</v>
      </c>
      <c r="O468" s="111" t="n">
        <f aca="false">N(O467)+$N468</f>
        <v>110</v>
      </c>
      <c r="S468" s="10" t="str">
        <f aca="false">IFERROR(IF([1]对账明细接口!$N468=0,"",[1]对账明细接口!$N468),"")</f>
        <v/>
      </c>
      <c r="T468" s="112" t="str">
        <f aca="false">IFERROR(IF([1]对账明细接口!$O468=0,"",[1]对账明细接口!$O468),"")</f>
        <v/>
      </c>
      <c r="U468" s="112" t="str">
        <f aca="false">IFERROR(IF([1]对账明细接口!$P468=0,"",[1]对账明细接口!$P468),"")</f>
        <v/>
      </c>
      <c r="V468" s="112" t="str">
        <f aca="false">IFERROR(IF([1]对账明细接口!$Q468=0,"",[1]对账明细接口!$Q468),"")</f>
        <v/>
      </c>
      <c r="W468" s="10" t="str">
        <f aca="false">IFERROR(IF([1]对账明细接口!$R468=0,"",[1]对账明细接口!$R468),"")</f>
        <v/>
      </c>
      <c r="X468" s="10" t="str">
        <f aca="false">IFERROR(IF([1]对账明细接口!$S468=0,"",[1]对账明细接口!$S468),"")</f>
        <v/>
      </c>
      <c r="Y468" s="10" t="str">
        <f aca="false">""</f>
        <v/>
      </c>
      <c r="Z468" s="10" t="str">
        <f aca="false">""</f>
        <v/>
      </c>
      <c r="AA468" s="10" t="str">
        <f aca="false">""</f>
        <v/>
      </c>
      <c r="AB468" s="10" t="str">
        <f aca="false">""</f>
        <v/>
      </c>
    </row>
    <row r="469" customFormat="false" ht="13.5" hidden="false" customHeight="false" outlineLevel="0" collapsed="false">
      <c r="A469" s="109" t="n">
        <v>469</v>
      </c>
      <c r="B469" s="110" t="str">
        <f aca="false">IFERROR(IF([1]对账明细接口!$B$469=0,"",[1]对账明细接口!$B$469),"")</f>
        <v/>
      </c>
      <c r="C469" s="59" t="str">
        <f aca="false">IFERROR(IF([1]对账明细接口!$C$469=0,"",[1]对账明细接口!$C$469),"")</f>
        <v/>
      </c>
      <c r="D469" s="59" t="str">
        <f aca="false">IFERROR(IF([1]对账明细接口!$D$469=0,"",[1]对账明细接口!$D$469),"")</f>
        <v/>
      </c>
      <c r="E469" s="59" t="str">
        <f aca="false">IFERROR(IF([1]对账明细接口!$E$469=0,"",[1]对账明细接口!$E$469),"")</f>
        <v/>
      </c>
      <c r="F469" s="59" t="str">
        <f aca="false">IFERROR(IF([1]对账明细接口!$F$469=0,"",[1]对账明细接口!$F$469),"")</f>
        <v/>
      </c>
      <c r="G469" s="59" t="str">
        <f aca="false">IFERROR(IF([1]对账明细接口!$G$469=0,"",[1]对账明细接口!$G$469),"")</f>
        <v/>
      </c>
      <c r="H469" s="60" t="str">
        <f aca="false">IFERROR(IF([1]对账明细接口!$H$469=0,"",[1]对账明细接口!$H$469),"")</f>
        <v/>
      </c>
      <c r="I469" s="59" t="str">
        <f aca="false">IFERROR(IF([1]对账明细接口!$I$469=0,"",[1]对账明细接口!$I$469),"")</f>
        <v/>
      </c>
      <c r="J469" s="61" t="str">
        <f aca="false">IFERROR(IF([1]对账明细接口!$J$469=0,"",[1]对账明细接口!$J$469),"")</f>
        <v/>
      </c>
      <c r="K469" s="61" t="str">
        <f aca="false">IFERROR(IF([1]对账明细接口!$K$469=0,"",[1]对账明细接口!$K$469),"")</f>
        <v/>
      </c>
      <c r="L469" s="59" t="str">
        <f aca="false">IFERROR(IF([1]对账明细接口!$L$469=0,"",[1]对账明细接口!$L$469),"")</f>
        <v/>
      </c>
      <c r="M469" s="59" t="str">
        <f aca="false">IFERROR(IF([1]对账明细接口!$M$469=0,"",[1]对账明细接口!$M$469),"")</f>
        <v/>
      </c>
      <c r="N469" s="111" t="n">
        <f aca="false">IF($C469="",0,1)</f>
        <v>0</v>
      </c>
      <c r="O469" s="111" t="n">
        <f aca="false">N(O468)+$N469</f>
        <v>110</v>
      </c>
      <c r="S469" s="10" t="str">
        <f aca="false">IFERROR(IF([1]对账明细接口!$N469=0,"",[1]对账明细接口!$N469),"")</f>
        <v/>
      </c>
      <c r="T469" s="112" t="str">
        <f aca="false">IFERROR(IF([1]对账明细接口!$O469=0,"",[1]对账明细接口!$O469),"")</f>
        <v/>
      </c>
      <c r="U469" s="112" t="str">
        <f aca="false">IFERROR(IF([1]对账明细接口!$P469=0,"",[1]对账明细接口!$P469),"")</f>
        <v/>
      </c>
      <c r="V469" s="112" t="str">
        <f aca="false">IFERROR(IF([1]对账明细接口!$Q469=0,"",[1]对账明细接口!$Q469),"")</f>
        <v/>
      </c>
      <c r="W469" s="10" t="str">
        <f aca="false">IFERROR(IF([1]对账明细接口!$R469=0,"",[1]对账明细接口!$R469),"")</f>
        <v/>
      </c>
      <c r="X469" s="10" t="str">
        <f aca="false">IFERROR(IF([1]对账明细接口!$S469=0,"",[1]对账明细接口!$S469),"")</f>
        <v/>
      </c>
      <c r="Y469" s="10" t="str">
        <f aca="false">""</f>
        <v/>
      </c>
      <c r="Z469" s="10" t="str">
        <f aca="false">""</f>
        <v/>
      </c>
      <c r="AA469" s="10" t="str">
        <f aca="false">""</f>
        <v/>
      </c>
      <c r="AB469" s="10" t="str">
        <f aca="false">""</f>
        <v/>
      </c>
    </row>
    <row r="470" customFormat="false" ht="13.5" hidden="false" customHeight="false" outlineLevel="0" collapsed="false">
      <c r="A470" s="109" t="n">
        <v>470</v>
      </c>
      <c r="B470" s="110" t="str">
        <f aca="false">IFERROR(IF([1]对账明细接口!$B$470=0,"",[1]对账明细接口!$B$470),"")</f>
        <v/>
      </c>
      <c r="C470" s="59" t="str">
        <f aca="false">IFERROR(IF([1]对账明细接口!$C$470=0,"",[1]对账明细接口!$C$470),"")</f>
        <v/>
      </c>
      <c r="D470" s="59" t="str">
        <f aca="false">IFERROR(IF([1]对账明细接口!$D$470=0,"",[1]对账明细接口!$D$470),"")</f>
        <v/>
      </c>
      <c r="E470" s="59" t="str">
        <f aca="false">IFERROR(IF([1]对账明细接口!$E$470=0,"",[1]对账明细接口!$E$470),"")</f>
        <v/>
      </c>
      <c r="F470" s="59" t="str">
        <f aca="false">IFERROR(IF([1]对账明细接口!$F$470=0,"",[1]对账明细接口!$F$470),"")</f>
        <v/>
      </c>
      <c r="G470" s="59" t="str">
        <f aca="false">IFERROR(IF([1]对账明细接口!$G$470=0,"",[1]对账明细接口!$G$470),"")</f>
        <v/>
      </c>
      <c r="H470" s="60" t="str">
        <f aca="false">IFERROR(IF([1]对账明细接口!$H$470=0,"",[1]对账明细接口!$H$470),"")</f>
        <v/>
      </c>
      <c r="I470" s="59" t="str">
        <f aca="false">IFERROR(IF([1]对账明细接口!$I$470=0,"",[1]对账明细接口!$I$470),"")</f>
        <v/>
      </c>
      <c r="J470" s="61" t="str">
        <f aca="false">IFERROR(IF([1]对账明细接口!$J$470=0,"",[1]对账明细接口!$J$470),"")</f>
        <v/>
      </c>
      <c r="K470" s="61" t="str">
        <f aca="false">IFERROR(IF([1]对账明细接口!$K$470=0,"",[1]对账明细接口!$K$470),"")</f>
        <v/>
      </c>
      <c r="L470" s="59" t="str">
        <f aca="false">IFERROR(IF([1]对账明细接口!$L$470=0,"",[1]对账明细接口!$L$470),"")</f>
        <v/>
      </c>
      <c r="M470" s="59" t="str">
        <f aca="false">IFERROR(IF([1]对账明细接口!$M$470=0,"",[1]对账明细接口!$M$470),"")</f>
        <v/>
      </c>
      <c r="N470" s="111" t="n">
        <f aca="false">IF($C470="",0,1)</f>
        <v>0</v>
      </c>
      <c r="O470" s="111" t="n">
        <f aca="false">N(O469)+$N470</f>
        <v>110</v>
      </c>
      <c r="S470" s="10" t="str">
        <f aca="false">IFERROR(IF([1]对账明细接口!$N470=0,"",[1]对账明细接口!$N470),"")</f>
        <v/>
      </c>
      <c r="T470" s="112" t="str">
        <f aca="false">IFERROR(IF([1]对账明细接口!$O470=0,"",[1]对账明细接口!$O470),"")</f>
        <v/>
      </c>
      <c r="U470" s="112" t="str">
        <f aca="false">IFERROR(IF([1]对账明细接口!$P470=0,"",[1]对账明细接口!$P470),"")</f>
        <v/>
      </c>
      <c r="V470" s="112" t="str">
        <f aca="false">IFERROR(IF([1]对账明细接口!$Q470=0,"",[1]对账明细接口!$Q470),"")</f>
        <v/>
      </c>
      <c r="W470" s="10" t="str">
        <f aca="false">IFERROR(IF([1]对账明细接口!$R470=0,"",[1]对账明细接口!$R470),"")</f>
        <v/>
      </c>
      <c r="X470" s="10" t="str">
        <f aca="false">IFERROR(IF([1]对账明细接口!$S470=0,"",[1]对账明细接口!$S470),"")</f>
        <v/>
      </c>
      <c r="Y470" s="10" t="str">
        <f aca="false">""</f>
        <v/>
      </c>
      <c r="Z470" s="10" t="str">
        <f aca="false">""</f>
        <v/>
      </c>
      <c r="AA470" s="10" t="str">
        <f aca="false">""</f>
        <v/>
      </c>
      <c r="AB470" s="10" t="str">
        <f aca="false">""</f>
        <v/>
      </c>
    </row>
    <row r="471" customFormat="false" ht="13.5" hidden="false" customHeight="false" outlineLevel="0" collapsed="false">
      <c r="A471" s="109" t="n">
        <v>471</v>
      </c>
      <c r="B471" s="110" t="str">
        <f aca="false">IFERROR(IF([1]对账明细接口!$B$471=0,"",[1]对账明细接口!$B$471),"")</f>
        <v/>
      </c>
      <c r="C471" s="59" t="str">
        <f aca="false">IFERROR(IF([1]对账明细接口!$C$471=0,"",[1]对账明细接口!$C$471),"")</f>
        <v/>
      </c>
      <c r="D471" s="59" t="str">
        <f aca="false">IFERROR(IF([1]对账明细接口!$D$471=0,"",[1]对账明细接口!$D$471),"")</f>
        <v/>
      </c>
      <c r="E471" s="59" t="str">
        <f aca="false">IFERROR(IF([1]对账明细接口!$E$471=0,"",[1]对账明细接口!$E$471),"")</f>
        <v/>
      </c>
      <c r="F471" s="59" t="str">
        <f aca="false">IFERROR(IF([1]对账明细接口!$F$471=0,"",[1]对账明细接口!$F$471),"")</f>
        <v/>
      </c>
      <c r="G471" s="59" t="str">
        <f aca="false">IFERROR(IF([1]对账明细接口!$G$471=0,"",[1]对账明细接口!$G$471),"")</f>
        <v/>
      </c>
      <c r="H471" s="60" t="str">
        <f aca="false">IFERROR(IF([1]对账明细接口!$H$471=0,"",[1]对账明细接口!$H$471),"")</f>
        <v/>
      </c>
      <c r="I471" s="59" t="str">
        <f aca="false">IFERROR(IF([1]对账明细接口!$I$471=0,"",[1]对账明细接口!$I$471),"")</f>
        <v/>
      </c>
      <c r="J471" s="61" t="str">
        <f aca="false">IFERROR(IF([1]对账明细接口!$J$471=0,"",[1]对账明细接口!$J$471),"")</f>
        <v/>
      </c>
      <c r="K471" s="61" t="str">
        <f aca="false">IFERROR(IF([1]对账明细接口!$K$471=0,"",[1]对账明细接口!$K$471),"")</f>
        <v/>
      </c>
      <c r="L471" s="59" t="str">
        <f aca="false">IFERROR(IF([1]对账明细接口!$L$471=0,"",[1]对账明细接口!$L$471),"")</f>
        <v/>
      </c>
      <c r="M471" s="59" t="str">
        <f aca="false">IFERROR(IF([1]对账明细接口!$M$471=0,"",[1]对账明细接口!$M$471),"")</f>
        <v/>
      </c>
      <c r="N471" s="111" t="n">
        <f aca="false">IF($C471="",0,1)</f>
        <v>0</v>
      </c>
      <c r="O471" s="111" t="n">
        <f aca="false">N(O470)+$N471</f>
        <v>110</v>
      </c>
      <c r="S471" s="10" t="str">
        <f aca="false">IFERROR(IF([1]对账明细接口!$N471=0,"",[1]对账明细接口!$N471),"")</f>
        <v/>
      </c>
      <c r="T471" s="112" t="str">
        <f aca="false">IFERROR(IF([1]对账明细接口!$O471=0,"",[1]对账明细接口!$O471),"")</f>
        <v/>
      </c>
      <c r="U471" s="112" t="str">
        <f aca="false">IFERROR(IF([1]对账明细接口!$P471=0,"",[1]对账明细接口!$P471),"")</f>
        <v/>
      </c>
      <c r="V471" s="112" t="str">
        <f aca="false">IFERROR(IF([1]对账明细接口!$Q471=0,"",[1]对账明细接口!$Q471),"")</f>
        <v/>
      </c>
      <c r="W471" s="10" t="str">
        <f aca="false">IFERROR(IF([1]对账明细接口!$R471=0,"",[1]对账明细接口!$R471),"")</f>
        <v/>
      </c>
      <c r="X471" s="10" t="str">
        <f aca="false">IFERROR(IF([1]对账明细接口!$S471=0,"",[1]对账明细接口!$S471),"")</f>
        <v/>
      </c>
      <c r="Y471" s="10" t="str">
        <f aca="false">""</f>
        <v/>
      </c>
      <c r="Z471" s="10" t="str">
        <f aca="false">""</f>
        <v/>
      </c>
      <c r="AA471" s="10" t="str">
        <f aca="false">""</f>
        <v/>
      </c>
      <c r="AB471" s="10" t="str">
        <f aca="false">""</f>
        <v/>
      </c>
    </row>
    <row r="472" customFormat="false" ht="13.5" hidden="false" customHeight="false" outlineLevel="0" collapsed="false">
      <c r="A472" s="109" t="n">
        <v>472</v>
      </c>
      <c r="B472" s="110" t="str">
        <f aca="false">IFERROR(IF([1]对账明细接口!$B$472=0,"",[1]对账明细接口!$B$472),"")</f>
        <v/>
      </c>
      <c r="C472" s="59" t="str">
        <f aca="false">IFERROR(IF([1]对账明细接口!$C$472=0,"",[1]对账明细接口!$C$472),"")</f>
        <v/>
      </c>
      <c r="D472" s="59" t="str">
        <f aca="false">IFERROR(IF([1]对账明细接口!$D$472=0,"",[1]对账明细接口!$D$472),"")</f>
        <v/>
      </c>
      <c r="E472" s="59" t="str">
        <f aca="false">IFERROR(IF([1]对账明细接口!$E$472=0,"",[1]对账明细接口!$E$472),"")</f>
        <v/>
      </c>
      <c r="F472" s="59" t="str">
        <f aca="false">IFERROR(IF([1]对账明细接口!$F$472=0,"",[1]对账明细接口!$F$472),"")</f>
        <v/>
      </c>
      <c r="G472" s="59" t="str">
        <f aca="false">IFERROR(IF([1]对账明细接口!$G$472=0,"",[1]对账明细接口!$G$472),"")</f>
        <v/>
      </c>
      <c r="H472" s="60" t="str">
        <f aca="false">IFERROR(IF([1]对账明细接口!$H$472=0,"",[1]对账明细接口!$H$472),"")</f>
        <v/>
      </c>
      <c r="I472" s="59" t="str">
        <f aca="false">IFERROR(IF([1]对账明细接口!$I$472=0,"",[1]对账明细接口!$I$472),"")</f>
        <v/>
      </c>
      <c r="J472" s="61" t="str">
        <f aca="false">IFERROR(IF([1]对账明细接口!$J$472=0,"",[1]对账明细接口!$J$472),"")</f>
        <v/>
      </c>
      <c r="K472" s="61" t="str">
        <f aca="false">IFERROR(IF([1]对账明细接口!$K$472=0,"",[1]对账明细接口!$K$472),"")</f>
        <v/>
      </c>
      <c r="L472" s="59" t="str">
        <f aca="false">IFERROR(IF([1]对账明细接口!$L$472=0,"",[1]对账明细接口!$L$472),"")</f>
        <v/>
      </c>
      <c r="M472" s="59" t="str">
        <f aca="false">IFERROR(IF([1]对账明细接口!$M$472=0,"",[1]对账明细接口!$M$472),"")</f>
        <v/>
      </c>
      <c r="N472" s="111" t="n">
        <f aca="false">IF($C472="",0,1)</f>
        <v>0</v>
      </c>
      <c r="O472" s="111" t="n">
        <f aca="false">N(O471)+$N472</f>
        <v>110</v>
      </c>
      <c r="S472" s="10" t="str">
        <f aca="false">IFERROR(IF([1]对账明细接口!$N472=0,"",[1]对账明细接口!$N472),"")</f>
        <v/>
      </c>
      <c r="T472" s="112" t="str">
        <f aca="false">IFERROR(IF([1]对账明细接口!$O472=0,"",[1]对账明细接口!$O472),"")</f>
        <v/>
      </c>
      <c r="U472" s="112" t="str">
        <f aca="false">IFERROR(IF([1]对账明细接口!$P472=0,"",[1]对账明细接口!$P472),"")</f>
        <v/>
      </c>
      <c r="V472" s="112" t="str">
        <f aca="false">IFERROR(IF([1]对账明细接口!$Q472=0,"",[1]对账明细接口!$Q472),"")</f>
        <v/>
      </c>
      <c r="W472" s="10" t="str">
        <f aca="false">IFERROR(IF([1]对账明细接口!$R472=0,"",[1]对账明细接口!$R472),"")</f>
        <v/>
      </c>
      <c r="X472" s="10" t="str">
        <f aca="false">IFERROR(IF([1]对账明细接口!$S472=0,"",[1]对账明细接口!$S472),"")</f>
        <v/>
      </c>
      <c r="Y472" s="10" t="str">
        <f aca="false">""</f>
        <v/>
      </c>
      <c r="Z472" s="10" t="str">
        <f aca="false">""</f>
        <v/>
      </c>
      <c r="AA472" s="10" t="str">
        <f aca="false">""</f>
        <v/>
      </c>
      <c r="AB472" s="10" t="str">
        <f aca="false">""</f>
        <v/>
      </c>
    </row>
    <row r="473" customFormat="false" ht="13.5" hidden="false" customHeight="false" outlineLevel="0" collapsed="false">
      <c r="A473" s="109" t="n">
        <v>473</v>
      </c>
      <c r="B473" s="110" t="str">
        <f aca="false">IFERROR(IF([1]对账明细接口!$B$473=0,"",[1]对账明细接口!$B$473),"")</f>
        <v/>
      </c>
      <c r="C473" s="59" t="str">
        <f aca="false">IFERROR(IF([1]对账明细接口!$C$473=0,"",[1]对账明细接口!$C$473),"")</f>
        <v/>
      </c>
      <c r="D473" s="59" t="str">
        <f aca="false">IFERROR(IF([1]对账明细接口!$D$473=0,"",[1]对账明细接口!$D$473),"")</f>
        <v/>
      </c>
      <c r="E473" s="59" t="str">
        <f aca="false">IFERROR(IF([1]对账明细接口!$E$473=0,"",[1]对账明细接口!$E$473),"")</f>
        <v/>
      </c>
      <c r="F473" s="59" t="str">
        <f aca="false">IFERROR(IF([1]对账明细接口!$F$473=0,"",[1]对账明细接口!$F$473),"")</f>
        <v/>
      </c>
      <c r="G473" s="59" t="str">
        <f aca="false">IFERROR(IF([1]对账明细接口!$G$473=0,"",[1]对账明细接口!$G$473),"")</f>
        <v/>
      </c>
      <c r="H473" s="60" t="str">
        <f aca="false">IFERROR(IF([1]对账明细接口!$H$473=0,"",[1]对账明细接口!$H$473),"")</f>
        <v/>
      </c>
      <c r="I473" s="59" t="str">
        <f aca="false">IFERROR(IF([1]对账明细接口!$I$473=0,"",[1]对账明细接口!$I$473),"")</f>
        <v/>
      </c>
      <c r="J473" s="61" t="str">
        <f aca="false">IFERROR(IF([1]对账明细接口!$J$473=0,"",[1]对账明细接口!$J$473),"")</f>
        <v/>
      </c>
      <c r="K473" s="61" t="str">
        <f aca="false">IFERROR(IF([1]对账明细接口!$K$473=0,"",[1]对账明细接口!$K$473),"")</f>
        <v/>
      </c>
      <c r="L473" s="59" t="str">
        <f aca="false">IFERROR(IF([1]对账明细接口!$L$473=0,"",[1]对账明细接口!$L$473),"")</f>
        <v/>
      </c>
      <c r="M473" s="59" t="str">
        <f aca="false">IFERROR(IF([1]对账明细接口!$M$473=0,"",[1]对账明细接口!$M$473),"")</f>
        <v/>
      </c>
      <c r="N473" s="111" t="n">
        <f aca="false">IF($C473="",0,1)</f>
        <v>0</v>
      </c>
      <c r="O473" s="111" t="n">
        <f aca="false">N(O472)+$N473</f>
        <v>110</v>
      </c>
      <c r="S473" s="10" t="str">
        <f aca="false">IFERROR(IF([1]对账明细接口!$N473=0,"",[1]对账明细接口!$N473),"")</f>
        <v/>
      </c>
      <c r="T473" s="112" t="str">
        <f aca="false">IFERROR(IF([1]对账明细接口!$O473=0,"",[1]对账明细接口!$O473),"")</f>
        <v/>
      </c>
      <c r="U473" s="112" t="str">
        <f aca="false">IFERROR(IF([1]对账明细接口!$P473=0,"",[1]对账明细接口!$P473),"")</f>
        <v/>
      </c>
      <c r="V473" s="112" t="str">
        <f aca="false">IFERROR(IF([1]对账明细接口!$Q473=0,"",[1]对账明细接口!$Q473),"")</f>
        <v/>
      </c>
      <c r="W473" s="10" t="str">
        <f aca="false">IFERROR(IF([1]对账明细接口!$R473=0,"",[1]对账明细接口!$R473),"")</f>
        <v/>
      </c>
      <c r="X473" s="10" t="str">
        <f aca="false">IFERROR(IF([1]对账明细接口!$S473=0,"",[1]对账明细接口!$S473),"")</f>
        <v/>
      </c>
      <c r="Y473" s="10" t="str">
        <f aca="false">""</f>
        <v/>
      </c>
      <c r="Z473" s="10" t="str">
        <f aca="false">""</f>
        <v/>
      </c>
      <c r="AA473" s="10" t="str">
        <f aca="false">""</f>
        <v/>
      </c>
      <c r="AB473" s="10" t="str">
        <f aca="false">""</f>
        <v/>
      </c>
    </row>
    <row r="474" customFormat="false" ht="13.5" hidden="false" customHeight="false" outlineLevel="0" collapsed="false">
      <c r="A474" s="109" t="n">
        <v>474</v>
      </c>
      <c r="B474" s="110" t="str">
        <f aca="false">IFERROR(IF([1]对账明细接口!$B$474=0,"",[1]对账明细接口!$B$474),"")</f>
        <v/>
      </c>
      <c r="C474" s="59" t="str">
        <f aca="false">IFERROR(IF([1]对账明细接口!$C$474=0,"",[1]对账明细接口!$C$474),"")</f>
        <v/>
      </c>
      <c r="D474" s="59" t="str">
        <f aca="false">IFERROR(IF([1]对账明细接口!$D$474=0,"",[1]对账明细接口!$D$474),"")</f>
        <v/>
      </c>
      <c r="E474" s="59" t="str">
        <f aca="false">IFERROR(IF([1]对账明细接口!$E$474=0,"",[1]对账明细接口!$E$474),"")</f>
        <v/>
      </c>
      <c r="F474" s="59" t="str">
        <f aca="false">IFERROR(IF([1]对账明细接口!$F$474=0,"",[1]对账明细接口!$F$474),"")</f>
        <v/>
      </c>
      <c r="G474" s="59" t="str">
        <f aca="false">IFERROR(IF([1]对账明细接口!$G$474=0,"",[1]对账明细接口!$G$474),"")</f>
        <v/>
      </c>
      <c r="H474" s="60" t="str">
        <f aca="false">IFERROR(IF([1]对账明细接口!$H$474=0,"",[1]对账明细接口!$H$474),"")</f>
        <v/>
      </c>
      <c r="I474" s="59" t="str">
        <f aca="false">IFERROR(IF([1]对账明细接口!$I$474=0,"",[1]对账明细接口!$I$474),"")</f>
        <v/>
      </c>
      <c r="J474" s="61" t="str">
        <f aca="false">IFERROR(IF([1]对账明细接口!$J$474=0,"",[1]对账明细接口!$J$474),"")</f>
        <v/>
      </c>
      <c r="K474" s="61" t="str">
        <f aca="false">IFERROR(IF([1]对账明细接口!$K$474=0,"",[1]对账明细接口!$K$474),"")</f>
        <v/>
      </c>
      <c r="L474" s="59" t="str">
        <f aca="false">IFERROR(IF([1]对账明细接口!$L$474=0,"",[1]对账明细接口!$L$474),"")</f>
        <v/>
      </c>
      <c r="M474" s="59" t="str">
        <f aca="false">IFERROR(IF([1]对账明细接口!$M$474=0,"",[1]对账明细接口!$M$474),"")</f>
        <v/>
      </c>
      <c r="N474" s="111" t="n">
        <f aca="false">IF($C474="",0,1)</f>
        <v>0</v>
      </c>
      <c r="O474" s="111" t="n">
        <f aca="false">N(O473)+$N474</f>
        <v>110</v>
      </c>
      <c r="S474" s="10" t="str">
        <f aca="false">IFERROR(IF([1]对账明细接口!$N474=0,"",[1]对账明细接口!$N474),"")</f>
        <v/>
      </c>
      <c r="T474" s="112" t="str">
        <f aca="false">IFERROR(IF([1]对账明细接口!$O474=0,"",[1]对账明细接口!$O474),"")</f>
        <v/>
      </c>
      <c r="U474" s="112" t="str">
        <f aca="false">IFERROR(IF([1]对账明细接口!$P474=0,"",[1]对账明细接口!$P474),"")</f>
        <v/>
      </c>
      <c r="V474" s="112" t="str">
        <f aca="false">IFERROR(IF([1]对账明细接口!$Q474=0,"",[1]对账明细接口!$Q474),"")</f>
        <v/>
      </c>
      <c r="W474" s="10" t="str">
        <f aca="false">IFERROR(IF([1]对账明细接口!$R474=0,"",[1]对账明细接口!$R474),"")</f>
        <v/>
      </c>
      <c r="X474" s="10" t="str">
        <f aca="false">IFERROR(IF([1]对账明细接口!$S474=0,"",[1]对账明细接口!$S474),"")</f>
        <v/>
      </c>
      <c r="Y474" s="10" t="str">
        <f aca="false">""</f>
        <v/>
      </c>
      <c r="Z474" s="10" t="str">
        <f aca="false">""</f>
        <v/>
      </c>
      <c r="AA474" s="10" t="str">
        <f aca="false">""</f>
        <v/>
      </c>
      <c r="AB474" s="10" t="str">
        <f aca="false">""</f>
        <v/>
      </c>
    </row>
    <row r="475" customFormat="false" ht="13.5" hidden="false" customHeight="false" outlineLevel="0" collapsed="false">
      <c r="A475" s="109" t="n">
        <v>475</v>
      </c>
      <c r="B475" s="110" t="str">
        <f aca="false">IFERROR(IF([1]对账明细接口!$B$475=0,"",[1]对账明细接口!$B$475),"")</f>
        <v/>
      </c>
      <c r="C475" s="59" t="str">
        <f aca="false">IFERROR(IF([1]对账明细接口!$C$475=0,"",[1]对账明细接口!$C$475),"")</f>
        <v/>
      </c>
      <c r="D475" s="59" t="str">
        <f aca="false">IFERROR(IF([1]对账明细接口!$D$475=0,"",[1]对账明细接口!$D$475),"")</f>
        <v/>
      </c>
      <c r="E475" s="59" t="str">
        <f aca="false">IFERROR(IF([1]对账明细接口!$E$475=0,"",[1]对账明细接口!$E$475),"")</f>
        <v/>
      </c>
      <c r="F475" s="59" t="str">
        <f aca="false">IFERROR(IF([1]对账明细接口!$F$475=0,"",[1]对账明细接口!$F$475),"")</f>
        <v/>
      </c>
      <c r="G475" s="59" t="str">
        <f aca="false">IFERROR(IF([1]对账明细接口!$G$475=0,"",[1]对账明细接口!$G$475),"")</f>
        <v/>
      </c>
      <c r="H475" s="60" t="str">
        <f aca="false">IFERROR(IF([1]对账明细接口!$H$475=0,"",[1]对账明细接口!$H$475),"")</f>
        <v/>
      </c>
      <c r="I475" s="59" t="str">
        <f aca="false">IFERROR(IF([1]对账明细接口!$I$475=0,"",[1]对账明细接口!$I$475),"")</f>
        <v/>
      </c>
      <c r="J475" s="61" t="str">
        <f aca="false">IFERROR(IF([1]对账明细接口!$J$475=0,"",[1]对账明细接口!$J$475),"")</f>
        <v/>
      </c>
      <c r="K475" s="61" t="str">
        <f aca="false">IFERROR(IF([1]对账明细接口!$K$475=0,"",[1]对账明细接口!$K$475),"")</f>
        <v/>
      </c>
      <c r="L475" s="59" t="str">
        <f aca="false">IFERROR(IF([1]对账明细接口!$L$475=0,"",[1]对账明细接口!$L$475),"")</f>
        <v/>
      </c>
      <c r="M475" s="59" t="str">
        <f aca="false">IFERROR(IF([1]对账明细接口!$M$475=0,"",[1]对账明细接口!$M$475),"")</f>
        <v/>
      </c>
      <c r="N475" s="111" t="n">
        <f aca="false">IF($C475="",0,1)</f>
        <v>0</v>
      </c>
      <c r="O475" s="111" t="n">
        <f aca="false">N(O474)+$N475</f>
        <v>110</v>
      </c>
      <c r="S475" s="10" t="str">
        <f aca="false">IFERROR(IF([1]对账明细接口!$N475=0,"",[1]对账明细接口!$N475),"")</f>
        <v/>
      </c>
      <c r="T475" s="112" t="str">
        <f aca="false">IFERROR(IF([1]对账明细接口!$O475=0,"",[1]对账明细接口!$O475),"")</f>
        <v/>
      </c>
      <c r="U475" s="112" t="str">
        <f aca="false">IFERROR(IF([1]对账明细接口!$P475=0,"",[1]对账明细接口!$P475),"")</f>
        <v/>
      </c>
      <c r="V475" s="112" t="str">
        <f aca="false">IFERROR(IF([1]对账明细接口!$Q475=0,"",[1]对账明细接口!$Q475),"")</f>
        <v/>
      </c>
      <c r="W475" s="10" t="str">
        <f aca="false">IFERROR(IF([1]对账明细接口!$R475=0,"",[1]对账明细接口!$R475),"")</f>
        <v/>
      </c>
      <c r="X475" s="10" t="str">
        <f aca="false">IFERROR(IF([1]对账明细接口!$S475=0,"",[1]对账明细接口!$S475),"")</f>
        <v/>
      </c>
      <c r="Y475" s="10" t="str">
        <f aca="false">""</f>
        <v/>
      </c>
      <c r="Z475" s="10" t="str">
        <f aca="false">""</f>
        <v/>
      </c>
      <c r="AA475" s="10" t="str">
        <f aca="false">""</f>
        <v/>
      </c>
      <c r="AB475" s="10" t="str">
        <f aca="false">""</f>
        <v/>
      </c>
    </row>
    <row r="476" customFormat="false" ht="13.5" hidden="false" customHeight="false" outlineLevel="0" collapsed="false">
      <c r="A476" s="109" t="n">
        <v>476</v>
      </c>
      <c r="B476" s="110" t="str">
        <f aca="false">IFERROR(IF([1]对账明细接口!$B$476=0,"",[1]对账明细接口!$B$476),"")</f>
        <v/>
      </c>
      <c r="C476" s="59" t="str">
        <f aca="false">IFERROR(IF([1]对账明细接口!$C$476=0,"",[1]对账明细接口!$C$476),"")</f>
        <v/>
      </c>
      <c r="D476" s="59" t="str">
        <f aca="false">IFERROR(IF([1]对账明细接口!$D$476=0,"",[1]对账明细接口!$D$476),"")</f>
        <v/>
      </c>
      <c r="E476" s="59" t="str">
        <f aca="false">IFERROR(IF([1]对账明细接口!$E$476=0,"",[1]对账明细接口!$E$476),"")</f>
        <v/>
      </c>
      <c r="F476" s="59" t="str">
        <f aca="false">IFERROR(IF([1]对账明细接口!$F$476=0,"",[1]对账明细接口!$F$476),"")</f>
        <v/>
      </c>
      <c r="G476" s="59" t="str">
        <f aca="false">IFERROR(IF([1]对账明细接口!$G$476=0,"",[1]对账明细接口!$G$476),"")</f>
        <v/>
      </c>
      <c r="H476" s="60" t="str">
        <f aca="false">IFERROR(IF([1]对账明细接口!$H$476=0,"",[1]对账明细接口!$H$476),"")</f>
        <v/>
      </c>
      <c r="I476" s="59" t="str">
        <f aca="false">IFERROR(IF([1]对账明细接口!$I$476=0,"",[1]对账明细接口!$I$476),"")</f>
        <v/>
      </c>
      <c r="J476" s="61" t="str">
        <f aca="false">IFERROR(IF([1]对账明细接口!$J$476=0,"",[1]对账明细接口!$J$476),"")</f>
        <v/>
      </c>
      <c r="K476" s="61" t="str">
        <f aca="false">IFERROR(IF([1]对账明细接口!$K$476=0,"",[1]对账明细接口!$K$476),"")</f>
        <v/>
      </c>
      <c r="L476" s="59" t="str">
        <f aca="false">IFERROR(IF([1]对账明细接口!$L$476=0,"",[1]对账明细接口!$L$476),"")</f>
        <v/>
      </c>
      <c r="M476" s="59" t="str">
        <f aca="false">IFERROR(IF([1]对账明细接口!$M$476=0,"",[1]对账明细接口!$M$476),"")</f>
        <v/>
      </c>
      <c r="N476" s="111" t="n">
        <f aca="false">IF($C476="",0,1)</f>
        <v>0</v>
      </c>
      <c r="O476" s="111" t="n">
        <f aca="false">N(O475)+$N476</f>
        <v>110</v>
      </c>
      <c r="S476" s="10" t="str">
        <f aca="false">IFERROR(IF([1]对账明细接口!$N476=0,"",[1]对账明细接口!$N476),"")</f>
        <v/>
      </c>
      <c r="T476" s="112" t="str">
        <f aca="false">IFERROR(IF([1]对账明细接口!$O476=0,"",[1]对账明细接口!$O476),"")</f>
        <v/>
      </c>
      <c r="U476" s="112" t="str">
        <f aca="false">IFERROR(IF([1]对账明细接口!$P476=0,"",[1]对账明细接口!$P476),"")</f>
        <v/>
      </c>
      <c r="V476" s="112" t="str">
        <f aca="false">IFERROR(IF([1]对账明细接口!$Q476=0,"",[1]对账明细接口!$Q476),"")</f>
        <v/>
      </c>
      <c r="W476" s="10" t="str">
        <f aca="false">IFERROR(IF([1]对账明细接口!$R476=0,"",[1]对账明细接口!$R476),"")</f>
        <v/>
      </c>
      <c r="X476" s="10" t="str">
        <f aca="false">IFERROR(IF([1]对账明细接口!$S476=0,"",[1]对账明细接口!$S476),"")</f>
        <v/>
      </c>
      <c r="Y476" s="10" t="str">
        <f aca="false">""</f>
        <v/>
      </c>
      <c r="Z476" s="10" t="str">
        <f aca="false">""</f>
        <v/>
      </c>
      <c r="AA476" s="10" t="str">
        <f aca="false">""</f>
        <v/>
      </c>
      <c r="AB476" s="10" t="str">
        <f aca="false">""</f>
        <v/>
      </c>
    </row>
    <row r="477" customFormat="false" ht="13.5" hidden="false" customHeight="false" outlineLevel="0" collapsed="false">
      <c r="A477" s="109" t="n">
        <v>477</v>
      </c>
      <c r="B477" s="110" t="str">
        <f aca="false">IFERROR(IF([1]对账明细接口!$B$477=0,"",[1]对账明细接口!$B$477),"")</f>
        <v/>
      </c>
      <c r="C477" s="59" t="str">
        <f aca="false">IFERROR(IF([1]对账明细接口!$C$477=0,"",[1]对账明细接口!$C$477),"")</f>
        <v/>
      </c>
      <c r="D477" s="59" t="str">
        <f aca="false">IFERROR(IF([1]对账明细接口!$D$477=0,"",[1]对账明细接口!$D$477),"")</f>
        <v/>
      </c>
      <c r="E477" s="59" t="str">
        <f aca="false">IFERROR(IF([1]对账明细接口!$E$477=0,"",[1]对账明细接口!$E$477),"")</f>
        <v/>
      </c>
      <c r="F477" s="59" t="str">
        <f aca="false">IFERROR(IF([1]对账明细接口!$F$477=0,"",[1]对账明细接口!$F$477),"")</f>
        <v/>
      </c>
      <c r="G477" s="59" t="str">
        <f aca="false">IFERROR(IF([1]对账明细接口!$G$477=0,"",[1]对账明细接口!$G$477),"")</f>
        <v/>
      </c>
      <c r="H477" s="60" t="str">
        <f aca="false">IFERROR(IF([1]对账明细接口!$H$477=0,"",[1]对账明细接口!$H$477),"")</f>
        <v/>
      </c>
      <c r="I477" s="59" t="str">
        <f aca="false">IFERROR(IF([1]对账明细接口!$I$477=0,"",[1]对账明细接口!$I$477),"")</f>
        <v/>
      </c>
      <c r="J477" s="61" t="str">
        <f aca="false">IFERROR(IF([1]对账明细接口!$J$477=0,"",[1]对账明细接口!$J$477),"")</f>
        <v/>
      </c>
      <c r="K477" s="61" t="str">
        <f aca="false">IFERROR(IF([1]对账明细接口!$K$477=0,"",[1]对账明细接口!$K$477),"")</f>
        <v/>
      </c>
      <c r="L477" s="59" t="str">
        <f aca="false">IFERROR(IF([1]对账明细接口!$L$477=0,"",[1]对账明细接口!$L$477),"")</f>
        <v/>
      </c>
      <c r="M477" s="59" t="str">
        <f aca="false">IFERROR(IF([1]对账明细接口!$M$477=0,"",[1]对账明细接口!$M$477),"")</f>
        <v/>
      </c>
      <c r="N477" s="111" t="n">
        <f aca="false">IF($C477="",0,1)</f>
        <v>0</v>
      </c>
      <c r="O477" s="111" t="n">
        <f aca="false">N(O476)+$N477</f>
        <v>110</v>
      </c>
      <c r="S477" s="10" t="str">
        <f aca="false">IFERROR(IF([1]对账明细接口!$N477=0,"",[1]对账明细接口!$N477),"")</f>
        <v/>
      </c>
      <c r="T477" s="112" t="str">
        <f aca="false">IFERROR(IF([1]对账明细接口!$O477=0,"",[1]对账明细接口!$O477),"")</f>
        <v/>
      </c>
      <c r="U477" s="112" t="str">
        <f aca="false">IFERROR(IF([1]对账明细接口!$P477=0,"",[1]对账明细接口!$P477),"")</f>
        <v/>
      </c>
      <c r="V477" s="112" t="str">
        <f aca="false">IFERROR(IF([1]对账明细接口!$Q477=0,"",[1]对账明细接口!$Q477),"")</f>
        <v/>
      </c>
      <c r="W477" s="10" t="str">
        <f aca="false">IFERROR(IF([1]对账明细接口!$R477=0,"",[1]对账明细接口!$R477),"")</f>
        <v/>
      </c>
      <c r="X477" s="10" t="str">
        <f aca="false">IFERROR(IF([1]对账明细接口!$S477=0,"",[1]对账明细接口!$S477),"")</f>
        <v/>
      </c>
      <c r="Y477" s="10" t="str">
        <f aca="false">""</f>
        <v/>
      </c>
      <c r="Z477" s="10" t="str">
        <f aca="false">""</f>
        <v/>
      </c>
      <c r="AA477" s="10" t="str">
        <f aca="false">""</f>
        <v/>
      </c>
      <c r="AB477" s="10" t="str">
        <f aca="false">""</f>
        <v/>
      </c>
    </row>
    <row r="478" customFormat="false" ht="13.5" hidden="false" customHeight="false" outlineLevel="0" collapsed="false">
      <c r="A478" s="109" t="n">
        <v>478</v>
      </c>
      <c r="B478" s="110" t="str">
        <f aca="false">IFERROR(IF([1]对账明细接口!$B$478=0,"",[1]对账明细接口!$B$478),"")</f>
        <v/>
      </c>
      <c r="C478" s="59" t="str">
        <f aca="false">IFERROR(IF([1]对账明细接口!$C$478=0,"",[1]对账明细接口!$C$478),"")</f>
        <v/>
      </c>
      <c r="D478" s="59" t="str">
        <f aca="false">IFERROR(IF([1]对账明细接口!$D$478=0,"",[1]对账明细接口!$D$478),"")</f>
        <v/>
      </c>
      <c r="E478" s="59" t="str">
        <f aca="false">IFERROR(IF([1]对账明细接口!$E$478=0,"",[1]对账明细接口!$E$478),"")</f>
        <v/>
      </c>
      <c r="F478" s="59" t="str">
        <f aca="false">IFERROR(IF([1]对账明细接口!$F$478=0,"",[1]对账明细接口!$F$478),"")</f>
        <v/>
      </c>
      <c r="G478" s="59" t="str">
        <f aca="false">IFERROR(IF([1]对账明细接口!$G$478=0,"",[1]对账明细接口!$G$478),"")</f>
        <v/>
      </c>
      <c r="H478" s="60" t="str">
        <f aca="false">IFERROR(IF([1]对账明细接口!$H$478=0,"",[1]对账明细接口!$H$478),"")</f>
        <v/>
      </c>
      <c r="I478" s="59" t="str">
        <f aca="false">IFERROR(IF([1]对账明细接口!$I$478=0,"",[1]对账明细接口!$I$478),"")</f>
        <v/>
      </c>
      <c r="J478" s="61" t="str">
        <f aca="false">IFERROR(IF([1]对账明细接口!$J$478=0,"",[1]对账明细接口!$J$478),"")</f>
        <v/>
      </c>
      <c r="K478" s="61" t="str">
        <f aca="false">IFERROR(IF([1]对账明细接口!$K$478=0,"",[1]对账明细接口!$K$478),"")</f>
        <v/>
      </c>
      <c r="L478" s="59" t="str">
        <f aca="false">IFERROR(IF([1]对账明细接口!$L$478=0,"",[1]对账明细接口!$L$478),"")</f>
        <v/>
      </c>
      <c r="M478" s="59" t="str">
        <f aca="false">IFERROR(IF([1]对账明细接口!$M$478=0,"",[1]对账明细接口!$M$478),"")</f>
        <v/>
      </c>
      <c r="N478" s="111" t="n">
        <f aca="false">IF($C478="",0,1)</f>
        <v>0</v>
      </c>
      <c r="O478" s="111" t="n">
        <f aca="false">N(O477)+$N478</f>
        <v>110</v>
      </c>
      <c r="S478" s="10" t="str">
        <f aca="false">IFERROR(IF([1]对账明细接口!$N478=0,"",[1]对账明细接口!$N478),"")</f>
        <v/>
      </c>
      <c r="T478" s="112" t="str">
        <f aca="false">IFERROR(IF([1]对账明细接口!$O478=0,"",[1]对账明细接口!$O478),"")</f>
        <v/>
      </c>
      <c r="U478" s="112" t="str">
        <f aca="false">IFERROR(IF([1]对账明细接口!$P478=0,"",[1]对账明细接口!$P478),"")</f>
        <v/>
      </c>
      <c r="V478" s="112" t="str">
        <f aca="false">IFERROR(IF([1]对账明细接口!$Q478=0,"",[1]对账明细接口!$Q478),"")</f>
        <v/>
      </c>
      <c r="W478" s="10" t="str">
        <f aca="false">IFERROR(IF([1]对账明细接口!$R478=0,"",[1]对账明细接口!$R478),"")</f>
        <v/>
      </c>
      <c r="X478" s="10" t="str">
        <f aca="false">IFERROR(IF([1]对账明细接口!$S478=0,"",[1]对账明细接口!$S478),"")</f>
        <v/>
      </c>
      <c r="Y478" s="10" t="str">
        <f aca="false">""</f>
        <v/>
      </c>
      <c r="Z478" s="10" t="str">
        <f aca="false">""</f>
        <v/>
      </c>
      <c r="AA478" s="10" t="str">
        <f aca="false">""</f>
        <v/>
      </c>
      <c r="AB478" s="10" t="str">
        <f aca="false">""</f>
        <v/>
      </c>
    </row>
    <row r="479" customFormat="false" ht="13.5" hidden="false" customHeight="false" outlineLevel="0" collapsed="false">
      <c r="A479" s="109" t="n">
        <v>479</v>
      </c>
      <c r="B479" s="110" t="str">
        <f aca="false">IFERROR(IF([1]对账明细接口!$B$479=0,"",[1]对账明细接口!$B$479),"")</f>
        <v/>
      </c>
      <c r="C479" s="59" t="str">
        <f aca="false">IFERROR(IF([1]对账明细接口!$C$479=0,"",[1]对账明细接口!$C$479),"")</f>
        <v/>
      </c>
      <c r="D479" s="59" t="str">
        <f aca="false">IFERROR(IF([1]对账明细接口!$D$479=0,"",[1]对账明细接口!$D$479),"")</f>
        <v/>
      </c>
      <c r="E479" s="59" t="str">
        <f aca="false">IFERROR(IF([1]对账明细接口!$E$479=0,"",[1]对账明细接口!$E$479),"")</f>
        <v/>
      </c>
      <c r="F479" s="59" t="str">
        <f aca="false">IFERROR(IF([1]对账明细接口!$F$479=0,"",[1]对账明细接口!$F$479),"")</f>
        <v/>
      </c>
      <c r="G479" s="59" t="str">
        <f aca="false">IFERROR(IF([1]对账明细接口!$G$479=0,"",[1]对账明细接口!$G$479),"")</f>
        <v/>
      </c>
      <c r="H479" s="60" t="str">
        <f aca="false">IFERROR(IF([1]对账明细接口!$H$479=0,"",[1]对账明细接口!$H$479),"")</f>
        <v/>
      </c>
      <c r="I479" s="59" t="str">
        <f aca="false">IFERROR(IF([1]对账明细接口!$I$479=0,"",[1]对账明细接口!$I$479),"")</f>
        <v/>
      </c>
      <c r="J479" s="61" t="str">
        <f aca="false">IFERROR(IF([1]对账明细接口!$J$479=0,"",[1]对账明细接口!$J$479),"")</f>
        <v/>
      </c>
      <c r="K479" s="61" t="str">
        <f aca="false">IFERROR(IF([1]对账明细接口!$K$479=0,"",[1]对账明细接口!$K$479),"")</f>
        <v/>
      </c>
      <c r="L479" s="59" t="str">
        <f aca="false">IFERROR(IF([1]对账明细接口!$L$479=0,"",[1]对账明细接口!$L$479),"")</f>
        <v/>
      </c>
      <c r="M479" s="59" t="str">
        <f aca="false">IFERROR(IF([1]对账明细接口!$M$479=0,"",[1]对账明细接口!$M$479),"")</f>
        <v/>
      </c>
      <c r="N479" s="111" t="n">
        <f aca="false">IF($C479="",0,1)</f>
        <v>0</v>
      </c>
      <c r="O479" s="111" t="n">
        <f aca="false">N(O478)+$N479</f>
        <v>110</v>
      </c>
      <c r="S479" s="10" t="str">
        <f aca="false">IFERROR(IF([1]对账明细接口!$N479=0,"",[1]对账明细接口!$N479),"")</f>
        <v/>
      </c>
      <c r="T479" s="112" t="str">
        <f aca="false">IFERROR(IF([1]对账明细接口!$O479=0,"",[1]对账明细接口!$O479),"")</f>
        <v/>
      </c>
      <c r="U479" s="112" t="str">
        <f aca="false">IFERROR(IF([1]对账明细接口!$P479=0,"",[1]对账明细接口!$P479),"")</f>
        <v/>
      </c>
      <c r="V479" s="112" t="str">
        <f aca="false">IFERROR(IF([1]对账明细接口!$Q479=0,"",[1]对账明细接口!$Q479),"")</f>
        <v/>
      </c>
      <c r="W479" s="10" t="str">
        <f aca="false">IFERROR(IF([1]对账明细接口!$R479=0,"",[1]对账明细接口!$R479),"")</f>
        <v/>
      </c>
      <c r="X479" s="10" t="str">
        <f aca="false">IFERROR(IF([1]对账明细接口!$S479=0,"",[1]对账明细接口!$S479),"")</f>
        <v/>
      </c>
      <c r="Y479" s="10" t="str">
        <f aca="false">""</f>
        <v/>
      </c>
      <c r="Z479" s="10" t="str">
        <f aca="false">""</f>
        <v/>
      </c>
      <c r="AA479" s="10" t="str">
        <f aca="false">""</f>
        <v/>
      </c>
      <c r="AB479" s="10" t="str">
        <f aca="false">""</f>
        <v/>
      </c>
    </row>
    <row r="480" customFormat="false" ht="13.5" hidden="false" customHeight="false" outlineLevel="0" collapsed="false">
      <c r="A480" s="109" t="n">
        <v>480</v>
      </c>
      <c r="B480" s="110" t="str">
        <f aca="false">IFERROR(IF([1]对账明细接口!$B$480=0,"",[1]对账明细接口!$B$480),"")</f>
        <v/>
      </c>
      <c r="C480" s="59" t="str">
        <f aca="false">IFERROR(IF([1]对账明细接口!$C$480=0,"",[1]对账明细接口!$C$480),"")</f>
        <v/>
      </c>
      <c r="D480" s="59" t="str">
        <f aca="false">IFERROR(IF([1]对账明细接口!$D$480=0,"",[1]对账明细接口!$D$480),"")</f>
        <v/>
      </c>
      <c r="E480" s="59" t="str">
        <f aca="false">IFERROR(IF([1]对账明细接口!$E$480=0,"",[1]对账明细接口!$E$480),"")</f>
        <v/>
      </c>
      <c r="F480" s="59" t="str">
        <f aca="false">IFERROR(IF([1]对账明细接口!$F$480=0,"",[1]对账明细接口!$F$480),"")</f>
        <v/>
      </c>
      <c r="G480" s="59" t="str">
        <f aca="false">IFERROR(IF([1]对账明细接口!$G$480=0,"",[1]对账明细接口!$G$480),"")</f>
        <v/>
      </c>
      <c r="H480" s="60" t="str">
        <f aca="false">IFERROR(IF([1]对账明细接口!$H$480=0,"",[1]对账明细接口!$H$480),"")</f>
        <v/>
      </c>
      <c r="I480" s="59" t="str">
        <f aca="false">IFERROR(IF([1]对账明细接口!$I$480=0,"",[1]对账明细接口!$I$480),"")</f>
        <v/>
      </c>
      <c r="J480" s="61" t="str">
        <f aca="false">IFERROR(IF([1]对账明细接口!$J$480=0,"",[1]对账明细接口!$J$480),"")</f>
        <v/>
      </c>
      <c r="K480" s="61" t="str">
        <f aca="false">IFERROR(IF([1]对账明细接口!$K$480=0,"",[1]对账明细接口!$K$480),"")</f>
        <v/>
      </c>
      <c r="L480" s="59" t="str">
        <f aca="false">IFERROR(IF([1]对账明细接口!$L$480=0,"",[1]对账明细接口!$L$480),"")</f>
        <v/>
      </c>
      <c r="M480" s="59" t="str">
        <f aca="false">IFERROR(IF([1]对账明细接口!$M$480=0,"",[1]对账明细接口!$M$480),"")</f>
        <v/>
      </c>
      <c r="N480" s="111" t="n">
        <f aca="false">IF($C480="",0,1)</f>
        <v>0</v>
      </c>
      <c r="O480" s="111" t="n">
        <f aca="false">N(O479)+$N480</f>
        <v>110</v>
      </c>
      <c r="S480" s="10" t="str">
        <f aca="false">IFERROR(IF([1]对账明细接口!$N480=0,"",[1]对账明细接口!$N480),"")</f>
        <v/>
      </c>
      <c r="T480" s="112" t="str">
        <f aca="false">IFERROR(IF([1]对账明细接口!$O480=0,"",[1]对账明细接口!$O480),"")</f>
        <v/>
      </c>
      <c r="U480" s="112" t="str">
        <f aca="false">IFERROR(IF([1]对账明细接口!$P480=0,"",[1]对账明细接口!$P480),"")</f>
        <v/>
      </c>
      <c r="V480" s="112" t="str">
        <f aca="false">IFERROR(IF([1]对账明细接口!$Q480=0,"",[1]对账明细接口!$Q480),"")</f>
        <v/>
      </c>
      <c r="W480" s="10" t="str">
        <f aca="false">IFERROR(IF([1]对账明细接口!$R480=0,"",[1]对账明细接口!$R480),"")</f>
        <v/>
      </c>
      <c r="X480" s="10" t="str">
        <f aca="false">IFERROR(IF([1]对账明细接口!$S480=0,"",[1]对账明细接口!$S480),"")</f>
        <v/>
      </c>
      <c r="Y480" s="10" t="str">
        <f aca="false">""</f>
        <v/>
      </c>
      <c r="Z480" s="10" t="str">
        <f aca="false">""</f>
        <v/>
      </c>
      <c r="AA480" s="10" t="str">
        <f aca="false">""</f>
        <v/>
      </c>
      <c r="AB480" s="10" t="str">
        <f aca="false">""</f>
        <v/>
      </c>
    </row>
    <row r="481" customFormat="false" ht="13.5" hidden="false" customHeight="false" outlineLevel="0" collapsed="false">
      <c r="A481" s="109" t="n">
        <v>481</v>
      </c>
      <c r="B481" s="110" t="str">
        <f aca="false">IFERROR(IF([1]对账明细接口!$B$481=0,"",[1]对账明细接口!$B$481),"")</f>
        <v/>
      </c>
      <c r="C481" s="59" t="str">
        <f aca="false">IFERROR(IF([1]对账明细接口!$C$481=0,"",[1]对账明细接口!$C$481),"")</f>
        <v/>
      </c>
      <c r="D481" s="59" t="str">
        <f aca="false">IFERROR(IF([1]对账明细接口!$D$481=0,"",[1]对账明细接口!$D$481),"")</f>
        <v/>
      </c>
      <c r="E481" s="59" t="str">
        <f aca="false">IFERROR(IF([1]对账明细接口!$E$481=0,"",[1]对账明细接口!$E$481),"")</f>
        <v/>
      </c>
      <c r="F481" s="59" t="str">
        <f aca="false">IFERROR(IF([1]对账明细接口!$F$481=0,"",[1]对账明细接口!$F$481),"")</f>
        <v/>
      </c>
      <c r="G481" s="59" t="str">
        <f aca="false">IFERROR(IF([1]对账明细接口!$G$481=0,"",[1]对账明细接口!$G$481),"")</f>
        <v/>
      </c>
      <c r="H481" s="60" t="str">
        <f aca="false">IFERROR(IF([1]对账明细接口!$H$481=0,"",[1]对账明细接口!$H$481),"")</f>
        <v/>
      </c>
      <c r="I481" s="59" t="str">
        <f aca="false">IFERROR(IF([1]对账明细接口!$I$481=0,"",[1]对账明细接口!$I$481),"")</f>
        <v/>
      </c>
      <c r="J481" s="61" t="str">
        <f aca="false">IFERROR(IF([1]对账明细接口!$J$481=0,"",[1]对账明细接口!$J$481),"")</f>
        <v/>
      </c>
      <c r="K481" s="61" t="str">
        <f aca="false">IFERROR(IF([1]对账明细接口!$K$481=0,"",[1]对账明细接口!$K$481),"")</f>
        <v/>
      </c>
      <c r="L481" s="59" t="str">
        <f aca="false">IFERROR(IF([1]对账明细接口!$L$481=0,"",[1]对账明细接口!$L$481),"")</f>
        <v/>
      </c>
      <c r="M481" s="59" t="str">
        <f aca="false">IFERROR(IF([1]对账明细接口!$M$481=0,"",[1]对账明细接口!$M$481),"")</f>
        <v/>
      </c>
      <c r="N481" s="111" t="n">
        <f aca="false">IF($C481="",0,1)</f>
        <v>0</v>
      </c>
      <c r="O481" s="111" t="n">
        <f aca="false">N(O480)+$N481</f>
        <v>110</v>
      </c>
      <c r="S481" s="10" t="str">
        <f aca="false">IFERROR(IF([1]对账明细接口!$N481=0,"",[1]对账明细接口!$N481),"")</f>
        <v/>
      </c>
      <c r="T481" s="112" t="str">
        <f aca="false">IFERROR(IF([1]对账明细接口!$O481=0,"",[1]对账明细接口!$O481),"")</f>
        <v/>
      </c>
      <c r="U481" s="112" t="str">
        <f aca="false">IFERROR(IF([1]对账明细接口!$P481=0,"",[1]对账明细接口!$P481),"")</f>
        <v/>
      </c>
      <c r="V481" s="112" t="str">
        <f aca="false">IFERROR(IF([1]对账明细接口!$Q481=0,"",[1]对账明细接口!$Q481),"")</f>
        <v/>
      </c>
      <c r="W481" s="10" t="str">
        <f aca="false">IFERROR(IF([1]对账明细接口!$R481=0,"",[1]对账明细接口!$R481),"")</f>
        <v/>
      </c>
      <c r="X481" s="10" t="str">
        <f aca="false">IFERROR(IF([1]对账明细接口!$S481=0,"",[1]对账明细接口!$S481),"")</f>
        <v/>
      </c>
      <c r="Y481" s="10" t="str">
        <f aca="false">""</f>
        <v/>
      </c>
      <c r="Z481" s="10" t="str">
        <f aca="false">""</f>
        <v/>
      </c>
      <c r="AA481" s="10" t="str">
        <f aca="false">""</f>
        <v/>
      </c>
      <c r="AB481" s="10" t="str">
        <f aca="false">""</f>
        <v/>
      </c>
    </row>
    <row r="482" customFormat="false" ht="13.5" hidden="false" customHeight="false" outlineLevel="0" collapsed="false">
      <c r="A482" s="109" t="n">
        <v>482</v>
      </c>
      <c r="B482" s="110" t="str">
        <f aca="false">IFERROR(IF([1]对账明细接口!$B$482=0,"",[1]对账明细接口!$B$482),"")</f>
        <v/>
      </c>
      <c r="C482" s="59" t="str">
        <f aca="false">IFERROR(IF([1]对账明细接口!$C$482=0,"",[1]对账明细接口!$C$482),"")</f>
        <v/>
      </c>
      <c r="D482" s="59" t="str">
        <f aca="false">IFERROR(IF([1]对账明细接口!$D$482=0,"",[1]对账明细接口!$D$482),"")</f>
        <v/>
      </c>
      <c r="E482" s="59" t="str">
        <f aca="false">IFERROR(IF([1]对账明细接口!$E$482=0,"",[1]对账明细接口!$E$482),"")</f>
        <v/>
      </c>
      <c r="F482" s="59" t="str">
        <f aca="false">IFERROR(IF([1]对账明细接口!$F$482=0,"",[1]对账明细接口!$F$482),"")</f>
        <v/>
      </c>
      <c r="G482" s="59" t="str">
        <f aca="false">IFERROR(IF([1]对账明细接口!$G$482=0,"",[1]对账明细接口!$G$482),"")</f>
        <v/>
      </c>
      <c r="H482" s="60" t="str">
        <f aca="false">IFERROR(IF([1]对账明细接口!$H$482=0,"",[1]对账明细接口!$H$482),"")</f>
        <v/>
      </c>
      <c r="I482" s="59" t="str">
        <f aca="false">IFERROR(IF([1]对账明细接口!$I$482=0,"",[1]对账明细接口!$I$482),"")</f>
        <v/>
      </c>
      <c r="J482" s="61" t="str">
        <f aca="false">IFERROR(IF([1]对账明细接口!$J$482=0,"",[1]对账明细接口!$J$482),"")</f>
        <v/>
      </c>
      <c r="K482" s="61" t="str">
        <f aca="false">IFERROR(IF([1]对账明细接口!$K$482=0,"",[1]对账明细接口!$K$482),"")</f>
        <v/>
      </c>
      <c r="L482" s="59" t="str">
        <f aca="false">IFERROR(IF([1]对账明细接口!$L$482=0,"",[1]对账明细接口!$L$482),"")</f>
        <v/>
      </c>
      <c r="M482" s="59" t="str">
        <f aca="false">IFERROR(IF([1]对账明细接口!$M$482=0,"",[1]对账明细接口!$M$482),"")</f>
        <v/>
      </c>
      <c r="N482" s="111" t="n">
        <f aca="false">IF($C482="",0,1)</f>
        <v>0</v>
      </c>
      <c r="O482" s="111" t="n">
        <f aca="false">N(O481)+$N482</f>
        <v>110</v>
      </c>
      <c r="S482" s="10" t="str">
        <f aca="false">IFERROR(IF([1]对账明细接口!$N482=0,"",[1]对账明细接口!$N482),"")</f>
        <v/>
      </c>
      <c r="T482" s="112" t="str">
        <f aca="false">IFERROR(IF([1]对账明细接口!$O482=0,"",[1]对账明细接口!$O482),"")</f>
        <v/>
      </c>
      <c r="U482" s="112" t="str">
        <f aca="false">IFERROR(IF([1]对账明细接口!$P482=0,"",[1]对账明细接口!$P482),"")</f>
        <v/>
      </c>
      <c r="V482" s="112" t="str">
        <f aca="false">IFERROR(IF([1]对账明细接口!$Q482=0,"",[1]对账明细接口!$Q482),"")</f>
        <v/>
      </c>
      <c r="W482" s="10" t="str">
        <f aca="false">IFERROR(IF([1]对账明细接口!$R482=0,"",[1]对账明细接口!$R482),"")</f>
        <v/>
      </c>
      <c r="X482" s="10" t="str">
        <f aca="false">IFERROR(IF([1]对账明细接口!$S482=0,"",[1]对账明细接口!$S482),"")</f>
        <v/>
      </c>
      <c r="Y482" s="10" t="str">
        <f aca="false">""</f>
        <v/>
      </c>
      <c r="Z482" s="10" t="str">
        <f aca="false">""</f>
        <v/>
      </c>
      <c r="AA482" s="10" t="str">
        <f aca="false">""</f>
        <v/>
      </c>
      <c r="AB482" s="10" t="str">
        <f aca="false">""</f>
        <v/>
      </c>
    </row>
    <row r="483" customFormat="false" ht="13.5" hidden="false" customHeight="false" outlineLevel="0" collapsed="false">
      <c r="A483" s="109" t="n">
        <v>483</v>
      </c>
      <c r="B483" s="110" t="str">
        <f aca="false">IFERROR(IF([1]对账明细接口!$B$483=0,"",[1]对账明细接口!$B$483),"")</f>
        <v/>
      </c>
      <c r="C483" s="59" t="str">
        <f aca="false">IFERROR(IF([1]对账明细接口!$C$483=0,"",[1]对账明细接口!$C$483),"")</f>
        <v/>
      </c>
      <c r="D483" s="59" t="str">
        <f aca="false">IFERROR(IF([1]对账明细接口!$D$483=0,"",[1]对账明细接口!$D$483),"")</f>
        <v/>
      </c>
      <c r="E483" s="59" t="str">
        <f aca="false">IFERROR(IF([1]对账明细接口!$E$483=0,"",[1]对账明细接口!$E$483),"")</f>
        <v/>
      </c>
      <c r="F483" s="59" t="str">
        <f aca="false">IFERROR(IF([1]对账明细接口!$F$483=0,"",[1]对账明细接口!$F$483),"")</f>
        <v/>
      </c>
      <c r="G483" s="59" t="str">
        <f aca="false">IFERROR(IF([1]对账明细接口!$G$483=0,"",[1]对账明细接口!$G$483),"")</f>
        <v/>
      </c>
      <c r="H483" s="60" t="str">
        <f aca="false">IFERROR(IF([1]对账明细接口!$H$483=0,"",[1]对账明细接口!$H$483),"")</f>
        <v/>
      </c>
      <c r="I483" s="59" t="str">
        <f aca="false">IFERROR(IF([1]对账明细接口!$I$483=0,"",[1]对账明细接口!$I$483),"")</f>
        <v/>
      </c>
      <c r="J483" s="61" t="str">
        <f aca="false">IFERROR(IF([1]对账明细接口!$J$483=0,"",[1]对账明细接口!$J$483),"")</f>
        <v/>
      </c>
      <c r="K483" s="61" t="str">
        <f aca="false">IFERROR(IF([1]对账明细接口!$K$483=0,"",[1]对账明细接口!$K$483),"")</f>
        <v/>
      </c>
      <c r="L483" s="59" t="str">
        <f aca="false">IFERROR(IF([1]对账明细接口!$L$483=0,"",[1]对账明细接口!$L$483),"")</f>
        <v/>
      </c>
      <c r="M483" s="59" t="str">
        <f aca="false">IFERROR(IF([1]对账明细接口!$M$483=0,"",[1]对账明细接口!$M$483),"")</f>
        <v/>
      </c>
      <c r="N483" s="111" t="n">
        <f aca="false">IF($C483="",0,1)</f>
        <v>0</v>
      </c>
      <c r="O483" s="111" t="n">
        <f aca="false">N(O482)+$N483</f>
        <v>110</v>
      </c>
      <c r="S483" s="10" t="str">
        <f aca="false">IFERROR(IF([1]对账明细接口!$N483=0,"",[1]对账明细接口!$N483),"")</f>
        <v/>
      </c>
      <c r="T483" s="112" t="str">
        <f aca="false">IFERROR(IF([1]对账明细接口!$O483=0,"",[1]对账明细接口!$O483),"")</f>
        <v/>
      </c>
      <c r="U483" s="112" t="str">
        <f aca="false">IFERROR(IF([1]对账明细接口!$P483=0,"",[1]对账明细接口!$P483),"")</f>
        <v/>
      </c>
      <c r="V483" s="112" t="str">
        <f aca="false">IFERROR(IF([1]对账明细接口!$Q483=0,"",[1]对账明细接口!$Q483),"")</f>
        <v/>
      </c>
      <c r="W483" s="10" t="str">
        <f aca="false">IFERROR(IF([1]对账明细接口!$R483=0,"",[1]对账明细接口!$R483),"")</f>
        <v/>
      </c>
      <c r="X483" s="10" t="str">
        <f aca="false">IFERROR(IF([1]对账明细接口!$S483=0,"",[1]对账明细接口!$S483),"")</f>
        <v/>
      </c>
      <c r="Y483" s="10" t="str">
        <f aca="false">""</f>
        <v/>
      </c>
      <c r="Z483" s="10" t="str">
        <f aca="false">""</f>
        <v/>
      </c>
      <c r="AA483" s="10" t="str">
        <f aca="false">""</f>
        <v/>
      </c>
      <c r="AB483" s="10" t="str">
        <f aca="false">""</f>
        <v/>
      </c>
    </row>
    <row r="484" customFormat="false" ht="13.5" hidden="false" customHeight="false" outlineLevel="0" collapsed="false">
      <c r="A484" s="109" t="n">
        <v>484</v>
      </c>
      <c r="B484" s="110" t="str">
        <f aca="false">IFERROR(IF([1]对账明细接口!$B$484=0,"",[1]对账明细接口!$B$484),"")</f>
        <v/>
      </c>
      <c r="C484" s="59" t="str">
        <f aca="false">IFERROR(IF([1]对账明细接口!$C$484=0,"",[1]对账明细接口!$C$484),"")</f>
        <v/>
      </c>
      <c r="D484" s="59" t="str">
        <f aca="false">IFERROR(IF([1]对账明细接口!$D$484=0,"",[1]对账明细接口!$D$484),"")</f>
        <v/>
      </c>
      <c r="E484" s="59" t="str">
        <f aca="false">IFERROR(IF([1]对账明细接口!$E$484=0,"",[1]对账明细接口!$E$484),"")</f>
        <v/>
      </c>
      <c r="F484" s="59" t="str">
        <f aca="false">IFERROR(IF([1]对账明细接口!$F$484=0,"",[1]对账明细接口!$F$484),"")</f>
        <v/>
      </c>
      <c r="G484" s="59" t="str">
        <f aca="false">IFERROR(IF([1]对账明细接口!$G$484=0,"",[1]对账明细接口!$G$484),"")</f>
        <v/>
      </c>
      <c r="H484" s="60" t="str">
        <f aca="false">IFERROR(IF([1]对账明细接口!$H$484=0,"",[1]对账明细接口!$H$484),"")</f>
        <v/>
      </c>
      <c r="I484" s="59" t="str">
        <f aca="false">IFERROR(IF([1]对账明细接口!$I$484=0,"",[1]对账明细接口!$I$484),"")</f>
        <v/>
      </c>
      <c r="J484" s="61" t="str">
        <f aca="false">IFERROR(IF([1]对账明细接口!$J$484=0,"",[1]对账明细接口!$J$484),"")</f>
        <v/>
      </c>
      <c r="K484" s="61" t="str">
        <f aca="false">IFERROR(IF([1]对账明细接口!$K$484=0,"",[1]对账明细接口!$K$484),"")</f>
        <v/>
      </c>
      <c r="L484" s="59" t="str">
        <f aca="false">IFERROR(IF([1]对账明细接口!$L$484=0,"",[1]对账明细接口!$L$484),"")</f>
        <v/>
      </c>
      <c r="M484" s="59" t="str">
        <f aca="false">IFERROR(IF([1]对账明细接口!$M$484=0,"",[1]对账明细接口!$M$484),"")</f>
        <v/>
      </c>
      <c r="N484" s="111" t="n">
        <f aca="false">IF($C484="",0,1)</f>
        <v>0</v>
      </c>
      <c r="O484" s="111" t="n">
        <f aca="false">N(O483)+$N484</f>
        <v>110</v>
      </c>
      <c r="S484" s="10" t="str">
        <f aca="false">IFERROR(IF([1]对账明细接口!$N484=0,"",[1]对账明细接口!$N484),"")</f>
        <v/>
      </c>
      <c r="T484" s="112" t="str">
        <f aca="false">IFERROR(IF([1]对账明细接口!$O484=0,"",[1]对账明细接口!$O484),"")</f>
        <v/>
      </c>
      <c r="U484" s="112" t="str">
        <f aca="false">IFERROR(IF([1]对账明细接口!$P484=0,"",[1]对账明细接口!$P484),"")</f>
        <v/>
      </c>
      <c r="V484" s="112" t="str">
        <f aca="false">IFERROR(IF([1]对账明细接口!$Q484=0,"",[1]对账明细接口!$Q484),"")</f>
        <v/>
      </c>
      <c r="W484" s="10" t="str">
        <f aca="false">IFERROR(IF([1]对账明细接口!$R484=0,"",[1]对账明细接口!$R484),"")</f>
        <v/>
      </c>
      <c r="X484" s="10" t="str">
        <f aca="false">IFERROR(IF([1]对账明细接口!$S484=0,"",[1]对账明细接口!$S484),"")</f>
        <v/>
      </c>
      <c r="Y484" s="10" t="str">
        <f aca="false">""</f>
        <v/>
      </c>
      <c r="Z484" s="10" t="str">
        <f aca="false">""</f>
        <v/>
      </c>
      <c r="AA484" s="10" t="str">
        <f aca="false">""</f>
        <v/>
      </c>
      <c r="AB484" s="10" t="str">
        <f aca="false">""</f>
        <v/>
      </c>
    </row>
    <row r="485" customFormat="false" ht="13.5" hidden="false" customHeight="false" outlineLevel="0" collapsed="false">
      <c r="A485" s="109" t="n">
        <v>485</v>
      </c>
      <c r="B485" s="110" t="str">
        <f aca="false">IFERROR(IF([1]对账明细接口!$B$485=0,"",[1]对账明细接口!$B$485),"")</f>
        <v/>
      </c>
      <c r="C485" s="59" t="str">
        <f aca="false">IFERROR(IF([1]对账明细接口!$C$485=0,"",[1]对账明细接口!$C$485),"")</f>
        <v/>
      </c>
      <c r="D485" s="59" t="str">
        <f aca="false">IFERROR(IF([1]对账明细接口!$D$485=0,"",[1]对账明细接口!$D$485),"")</f>
        <v/>
      </c>
      <c r="E485" s="59" t="str">
        <f aca="false">IFERROR(IF([1]对账明细接口!$E$485=0,"",[1]对账明细接口!$E$485),"")</f>
        <v/>
      </c>
      <c r="F485" s="59" t="str">
        <f aca="false">IFERROR(IF([1]对账明细接口!$F$485=0,"",[1]对账明细接口!$F$485),"")</f>
        <v/>
      </c>
      <c r="G485" s="59" t="str">
        <f aca="false">IFERROR(IF([1]对账明细接口!$G$485=0,"",[1]对账明细接口!$G$485),"")</f>
        <v/>
      </c>
      <c r="H485" s="60" t="str">
        <f aca="false">IFERROR(IF([1]对账明细接口!$H$485=0,"",[1]对账明细接口!$H$485),"")</f>
        <v/>
      </c>
      <c r="I485" s="59" t="str">
        <f aca="false">IFERROR(IF([1]对账明细接口!$I$485=0,"",[1]对账明细接口!$I$485),"")</f>
        <v/>
      </c>
      <c r="J485" s="61" t="str">
        <f aca="false">IFERROR(IF([1]对账明细接口!$J$485=0,"",[1]对账明细接口!$J$485),"")</f>
        <v/>
      </c>
      <c r="K485" s="61" t="str">
        <f aca="false">IFERROR(IF([1]对账明细接口!$K$485=0,"",[1]对账明细接口!$K$485),"")</f>
        <v/>
      </c>
      <c r="L485" s="59" t="str">
        <f aca="false">IFERROR(IF([1]对账明细接口!$L$485=0,"",[1]对账明细接口!$L$485),"")</f>
        <v/>
      </c>
      <c r="M485" s="59" t="str">
        <f aca="false">IFERROR(IF([1]对账明细接口!$M$485=0,"",[1]对账明细接口!$M$485),"")</f>
        <v/>
      </c>
      <c r="N485" s="111" t="n">
        <f aca="false">IF($C485="",0,1)</f>
        <v>0</v>
      </c>
      <c r="O485" s="111" t="n">
        <f aca="false">N(O484)+$N485</f>
        <v>110</v>
      </c>
      <c r="S485" s="10" t="str">
        <f aca="false">IFERROR(IF([1]对账明细接口!$N485=0,"",[1]对账明细接口!$N485),"")</f>
        <v/>
      </c>
      <c r="T485" s="112" t="str">
        <f aca="false">IFERROR(IF([1]对账明细接口!$O485=0,"",[1]对账明细接口!$O485),"")</f>
        <v/>
      </c>
      <c r="U485" s="112" t="str">
        <f aca="false">IFERROR(IF([1]对账明细接口!$P485=0,"",[1]对账明细接口!$P485),"")</f>
        <v/>
      </c>
      <c r="V485" s="112" t="str">
        <f aca="false">IFERROR(IF([1]对账明细接口!$Q485=0,"",[1]对账明细接口!$Q485),"")</f>
        <v/>
      </c>
      <c r="W485" s="10" t="str">
        <f aca="false">IFERROR(IF([1]对账明细接口!$R485=0,"",[1]对账明细接口!$R485),"")</f>
        <v/>
      </c>
      <c r="X485" s="10" t="str">
        <f aca="false">IFERROR(IF([1]对账明细接口!$S485=0,"",[1]对账明细接口!$S485),"")</f>
        <v/>
      </c>
      <c r="Y485" s="10" t="str">
        <f aca="false">""</f>
        <v/>
      </c>
      <c r="Z485" s="10" t="str">
        <f aca="false">""</f>
        <v/>
      </c>
      <c r="AA485" s="10" t="str">
        <f aca="false">""</f>
        <v/>
      </c>
      <c r="AB485" s="10" t="str">
        <f aca="false">""</f>
        <v/>
      </c>
    </row>
    <row r="486" customFormat="false" ht="13.5" hidden="false" customHeight="false" outlineLevel="0" collapsed="false">
      <c r="A486" s="109" t="n">
        <v>486</v>
      </c>
      <c r="B486" s="110" t="str">
        <f aca="false">IFERROR(IF([1]对账明细接口!$B$486=0,"",[1]对账明细接口!$B$486),"")</f>
        <v/>
      </c>
      <c r="C486" s="59" t="str">
        <f aca="false">IFERROR(IF([1]对账明细接口!$C$486=0,"",[1]对账明细接口!$C$486),"")</f>
        <v/>
      </c>
      <c r="D486" s="59" t="str">
        <f aca="false">IFERROR(IF([1]对账明细接口!$D$486=0,"",[1]对账明细接口!$D$486),"")</f>
        <v/>
      </c>
      <c r="E486" s="59" t="str">
        <f aca="false">IFERROR(IF([1]对账明细接口!$E$486=0,"",[1]对账明细接口!$E$486),"")</f>
        <v/>
      </c>
      <c r="F486" s="59" t="str">
        <f aca="false">IFERROR(IF([1]对账明细接口!$F$486=0,"",[1]对账明细接口!$F$486),"")</f>
        <v/>
      </c>
      <c r="G486" s="59" t="str">
        <f aca="false">IFERROR(IF([1]对账明细接口!$G$486=0,"",[1]对账明细接口!$G$486),"")</f>
        <v/>
      </c>
      <c r="H486" s="60" t="str">
        <f aca="false">IFERROR(IF([1]对账明细接口!$H$486=0,"",[1]对账明细接口!$H$486),"")</f>
        <v/>
      </c>
      <c r="I486" s="59" t="str">
        <f aca="false">IFERROR(IF([1]对账明细接口!$I$486=0,"",[1]对账明细接口!$I$486),"")</f>
        <v/>
      </c>
      <c r="J486" s="61" t="str">
        <f aca="false">IFERROR(IF([1]对账明细接口!$J$486=0,"",[1]对账明细接口!$J$486),"")</f>
        <v/>
      </c>
      <c r="K486" s="61" t="str">
        <f aca="false">IFERROR(IF([1]对账明细接口!$K$486=0,"",[1]对账明细接口!$K$486),"")</f>
        <v/>
      </c>
      <c r="L486" s="59" t="str">
        <f aca="false">IFERROR(IF([1]对账明细接口!$L$486=0,"",[1]对账明细接口!$L$486),"")</f>
        <v/>
      </c>
      <c r="M486" s="59" t="str">
        <f aca="false">IFERROR(IF([1]对账明细接口!$M$486=0,"",[1]对账明细接口!$M$486),"")</f>
        <v/>
      </c>
      <c r="N486" s="111" t="n">
        <f aca="false">IF($C486="",0,1)</f>
        <v>0</v>
      </c>
      <c r="O486" s="111" t="n">
        <f aca="false">N(O485)+$N486</f>
        <v>110</v>
      </c>
      <c r="S486" s="10" t="str">
        <f aca="false">IFERROR(IF([1]对账明细接口!$N486=0,"",[1]对账明细接口!$N486),"")</f>
        <v/>
      </c>
      <c r="T486" s="112" t="str">
        <f aca="false">IFERROR(IF([1]对账明细接口!$O486=0,"",[1]对账明细接口!$O486),"")</f>
        <v/>
      </c>
      <c r="U486" s="112" t="str">
        <f aca="false">IFERROR(IF([1]对账明细接口!$P486=0,"",[1]对账明细接口!$P486),"")</f>
        <v/>
      </c>
      <c r="V486" s="112" t="str">
        <f aca="false">IFERROR(IF([1]对账明细接口!$Q486=0,"",[1]对账明细接口!$Q486),"")</f>
        <v/>
      </c>
      <c r="W486" s="10" t="str">
        <f aca="false">IFERROR(IF([1]对账明细接口!$R486=0,"",[1]对账明细接口!$R486),"")</f>
        <v/>
      </c>
      <c r="X486" s="10" t="str">
        <f aca="false">IFERROR(IF([1]对账明细接口!$S486=0,"",[1]对账明细接口!$S486),"")</f>
        <v/>
      </c>
      <c r="Y486" s="10" t="str">
        <f aca="false">""</f>
        <v/>
      </c>
      <c r="Z486" s="10" t="str">
        <f aca="false">""</f>
        <v/>
      </c>
      <c r="AA486" s="10" t="str">
        <f aca="false">""</f>
        <v/>
      </c>
      <c r="AB486" s="10" t="str">
        <f aca="false">""</f>
        <v/>
      </c>
    </row>
    <row r="487" customFormat="false" ht="13.5" hidden="false" customHeight="false" outlineLevel="0" collapsed="false">
      <c r="A487" s="109" t="n">
        <v>487</v>
      </c>
      <c r="B487" s="110" t="str">
        <f aca="false">IFERROR(IF([1]对账明细接口!$B$487=0,"",[1]对账明细接口!$B$487),"")</f>
        <v/>
      </c>
      <c r="C487" s="59" t="str">
        <f aca="false">IFERROR(IF([1]对账明细接口!$C$487=0,"",[1]对账明细接口!$C$487),"")</f>
        <v/>
      </c>
      <c r="D487" s="59" t="str">
        <f aca="false">IFERROR(IF([1]对账明细接口!$D$487=0,"",[1]对账明细接口!$D$487),"")</f>
        <v/>
      </c>
      <c r="E487" s="59" t="str">
        <f aca="false">IFERROR(IF([1]对账明细接口!$E$487=0,"",[1]对账明细接口!$E$487),"")</f>
        <v/>
      </c>
      <c r="F487" s="59" t="str">
        <f aca="false">IFERROR(IF([1]对账明细接口!$F$487=0,"",[1]对账明细接口!$F$487),"")</f>
        <v/>
      </c>
      <c r="G487" s="59" t="str">
        <f aca="false">IFERROR(IF([1]对账明细接口!$G$487=0,"",[1]对账明细接口!$G$487),"")</f>
        <v/>
      </c>
      <c r="H487" s="60" t="str">
        <f aca="false">IFERROR(IF([1]对账明细接口!$H$487=0,"",[1]对账明细接口!$H$487),"")</f>
        <v/>
      </c>
      <c r="I487" s="59" t="str">
        <f aca="false">IFERROR(IF([1]对账明细接口!$I$487=0,"",[1]对账明细接口!$I$487),"")</f>
        <v/>
      </c>
      <c r="J487" s="61" t="str">
        <f aca="false">IFERROR(IF([1]对账明细接口!$J$487=0,"",[1]对账明细接口!$J$487),"")</f>
        <v/>
      </c>
      <c r="K487" s="61" t="str">
        <f aca="false">IFERROR(IF([1]对账明细接口!$K$487=0,"",[1]对账明细接口!$K$487),"")</f>
        <v/>
      </c>
      <c r="L487" s="59" t="str">
        <f aca="false">IFERROR(IF([1]对账明细接口!$L$487=0,"",[1]对账明细接口!$L$487),"")</f>
        <v/>
      </c>
      <c r="M487" s="59" t="str">
        <f aca="false">IFERROR(IF([1]对账明细接口!$M$487=0,"",[1]对账明细接口!$M$487),"")</f>
        <v/>
      </c>
      <c r="N487" s="111" t="n">
        <f aca="false">IF($C487="",0,1)</f>
        <v>0</v>
      </c>
      <c r="O487" s="111" t="n">
        <f aca="false">N(O486)+$N487</f>
        <v>110</v>
      </c>
      <c r="S487" s="10" t="str">
        <f aca="false">IFERROR(IF([1]对账明细接口!$N487=0,"",[1]对账明细接口!$N487),"")</f>
        <v/>
      </c>
      <c r="T487" s="112" t="str">
        <f aca="false">IFERROR(IF([1]对账明细接口!$O487=0,"",[1]对账明细接口!$O487),"")</f>
        <v/>
      </c>
      <c r="U487" s="112" t="str">
        <f aca="false">IFERROR(IF([1]对账明细接口!$P487=0,"",[1]对账明细接口!$P487),"")</f>
        <v/>
      </c>
      <c r="V487" s="112" t="str">
        <f aca="false">IFERROR(IF([1]对账明细接口!$Q487=0,"",[1]对账明细接口!$Q487),"")</f>
        <v/>
      </c>
      <c r="W487" s="10" t="str">
        <f aca="false">IFERROR(IF([1]对账明细接口!$R487=0,"",[1]对账明细接口!$R487),"")</f>
        <v/>
      </c>
      <c r="X487" s="10" t="str">
        <f aca="false">IFERROR(IF([1]对账明细接口!$S487=0,"",[1]对账明细接口!$S487),"")</f>
        <v/>
      </c>
      <c r="Y487" s="10" t="str">
        <f aca="false">""</f>
        <v/>
      </c>
      <c r="Z487" s="10" t="str">
        <f aca="false">""</f>
        <v/>
      </c>
      <c r="AA487" s="10" t="str">
        <f aca="false">""</f>
        <v/>
      </c>
      <c r="AB487" s="10" t="str">
        <f aca="false">""</f>
        <v/>
      </c>
    </row>
    <row r="488" customFormat="false" ht="13.5" hidden="false" customHeight="false" outlineLevel="0" collapsed="false">
      <c r="A488" s="109" t="n">
        <v>488</v>
      </c>
      <c r="B488" s="110" t="str">
        <f aca="false">IFERROR(IF([1]对账明细接口!$B$488=0,"",[1]对账明细接口!$B$488),"")</f>
        <v/>
      </c>
      <c r="C488" s="59" t="str">
        <f aca="false">IFERROR(IF([1]对账明细接口!$C$488=0,"",[1]对账明细接口!$C$488),"")</f>
        <v/>
      </c>
      <c r="D488" s="59" t="str">
        <f aca="false">IFERROR(IF([1]对账明细接口!$D$488=0,"",[1]对账明细接口!$D$488),"")</f>
        <v/>
      </c>
      <c r="E488" s="59" t="str">
        <f aca="false">IFERROR(IF([1]对账明细接口!$E$488=0,"",[1]对账明细接口!$E$488),"")</f>
        <v/>
      </c>
      <c r="F488" s="59" t="str">
        <f aca="false">IFERROR(IF([1]对账明细接口!$F$488=0,"",[1]对账明细接口!$F$488),"")</f>
        <v/>
      </c>
      <c r="G488" s="59" t="str">
        <f aca="false">IFERROR(IF([1]对账明细接口!$G$488=0,"",[1]对账明细接口!$G$488),"")</f>
        <v/>
      </c>
      <c r="H488" s="60" t="str">
        <f aca="false">IFERROR(IF([1]对账明细接口!$H$488=0,"",[1]对账明细接口!$H$488),"")</f>
        <v/>
      </c>
      <c r="I488" s="59" t="str">
        <f aca="false">IFERROR(IF([1]对账明细接口!$I$488=0,"",[1]对账明细接口!$I$488),"")</f>
        <v/>
      </c>
      <c r="J488" s="61" t="str">
        <f aca="false">IFERROR(IF([1]对账明细接口!$J$488=0,"",[1]对账明细接口!$J$488),"")</f>
        <v/>
      </c>
      <c r="K488" s="61" t="str">
        <f aca="false">IFERROR(IF([1]对账明细接口!$K$488=0,"",[1]对账明细接口!$K$488),"")</f>
        <v/>
      </c>
      <c r="L488" s="59" t="str">
        <f aca="false">IFERROR(IF([1]对账明细接口!$L$488=0,"",[1]对账明细接口!$L$488),"")</f>
        <v/>
      </c>
      <c r="M488" s="59" t="str">
        <f aca="false">IFERROR(IF([1]对账明细接口!$M$488=0,"",[1]对账明细接口!$M$488),"")</f>
        <v/>
      </c>
      <c r="N488" s="111" t="n">
        <f aca="false">IF($C488="",0,1)</f>
        <v>0</v>
      </c>
      <c r="O488" s="111" t="n">
        <f aca="false">N(O487)+$N488</f>
        <v>110</v>
      </c>
      <c r="S488" s="10" t="str">
        <f aca="false">IFERROR(IF([1]对账明细接口!$N488=0,"",[1]对账明细接口!$N488),"")</f>
        <v/>
      </c>
      <c r="T488" s="112" t="str">
        <f aca="false">IFERROR(IF([1]对账明细接口!$O488=0,"",[1]对账明细接口!$O488),"")</f>
        <v/>
      </c>
      <c r="U488" s="112" t="str">
        <f aca="false">IFERROR(IF([1]对账明细接口!$P488=0,"",[1]对账明细接口!$P488),"")</f>
        <v/>
      </c>
      <c r="V488" s="112" t="str">
        <f aca="false">IFERROR(IF([1]对账明细接口!$Q488=0,"",[1]对账明细接口!$Q488),"")</f>
        <v/>
      </c>
      <c r="W488" s="10" t="str">
        <f aca="false">IFERROR(IF([1]对账明细接口!$R488=0,"",[1]对账明细接口!$R488),"")</f>
        <v/>
      </c>
      <c r="X488" s="10" t="str">
        <f aca="false">IFERROR(IF([1]对账明细接口!$S488=0,"",[1]对账明细接口!$S488),"")</f>
        <v/>
      </c>
      <c r="Y488" s="10" t="str">
        <f aca="false">""</f>
        <v/>
      </c>
      <c r="Z488" s="10" t="str">
        <f aca="false">""</f>
        <v/>
      </c>
      <c r="AA488" s="10" t="str">
        <f aca="false">""</f>
        <v/>
      </c>
      <c r="AB488" s="10" t="str">
        <f aca="false">""</f>
        <v/>
      </c>
    </row>
    <row r="489" customFormat="false" ht="13.5" hidden="false" customHeight="false" outlineLevel="0" collapsed="false">
      <c r="A489" s="109" t="n">
        <v>489</v>
      </c>
      <c r="B489" s="110" t="str">
        <f aca="false">IFERROR(IF([1]对账明细接口!$B$489=0,"",[1]对账明细接口!$B$489),"")</f>
        <v/>
      </c>
      <c r="C489" s="59" t="str">
        <f aca="false">IFERROR(IF([1]对账明细接口!$C$489=0,"",[1]对账明细接口!$C$489),"")</f>
        <v/>
      </c>
      <c r="D489" s="59" t="str">
        <f aca="false">IFERROR(IF([1]对账明细接口!$D$489=0,"",[1]对账明细接口!$D$489),"")</f>
        <v/>
      </c>
      <c r="E489" s="59" t="str">
        <f aca="false">IFERROR(IF([1]对账明细接口!$E$489=0,"",[1]对账明细接口!$E$489),"")</f>
        <v/>
      </c>
      <c r="F489" s="59" t="str">
        <f aca="false">IFERROR(IF([1]对账明细接口!$F$489=0,"",[1]对账明细接口!$F$489),"")</f>
        <v/>
      </c>
      <c r="G489" s="59" t="str">
        <f aca="false">IFERROR(IF([1]对账明细接口!$G$489=0,"",[1]对账明细接口!$G$489),"")</f>
        <v/>
      </c>
      <c r="H489" s="60" t="str">
        <f aca="false">IFERROR(IF([1]对账明细接口!$H$489=0,"",[1]对账明细接口!$H$489),"")</f>
        <v/>
      </c>
      <c r="I489" s="59" t="str">
        <f aca="false">IFERROR(IF([1]对账明细接口!$I$489=0,"",[1]对账明细接口!$I$489),"")</f>
        <v/>
      </c>
      <c r="J489" s="61" t="str">
        <f aca="false">IFERROR(IF([1]对账明细接口!$J$489=0,"",[1]对账明细接口!$J$489),"")</f>
        <v/>
      </c>
      <c r="K489" s="61" t="str">
        <f aca="false">IFERROR(IF([1]对账明细接口!$K$489=0,"",[1]对账明细接口!$K$489),"")</f>
        <v/>
      </c>
      <c r="L489" s="59" t="str">
        <f aca="false">IFERROR(IF([1]对账明细接口!$L$489=0,"",[1]对账明细接口!$L$489),"")</f>
        <v/>
      </c>
      <c r="M489" s="59" t="str">
        <f aca="false">IFERROR(IF([1]对账明细接口!$M$489=0,"",[1]对账明细接口!$M$489),"")</f>
        <v/>
      </c>
      <c r="N489" s="111" t="n">
        <f aca="false">IF($C489="",0,1)</f>
        <v>0</v>
      </c>
      <c r="O489" s="111" t="n">
        <f aca="false">N(O488)+$N489</f>
        <v>110</v>
      </c>
      <c r="S489" s="10" t="str">
        <f aca="false">IFERROR(IF([1]对账明细接口!$N489=0,"",[1]对账明细接口!$N489),"")</f>
        <v/>
      </c>
      <c r="T489" s="112" t="str">
        <f aca="false">IFERROR(IF([1]对账明细接口!$O489=0,"",[1]对账明细接口!$O489),"")</f>
        <v/>
      </c>
      <c r="U489" s="112" t="str">
        <f aca="false">IFERROR(IF([1]对账明细接口!$P489=0,"",[1]对账明细接口!$P489),"")</f>
        <v/>
      </c>
      <c r="V489" s="112" t="str">
        <f aca="false">IFERROR(IF([1]对账明细接口!$Q489=0,"",[1]对账明细接口!$Q489),"")</f>
        <v/>
      </c>
      <c r="W489" s="10" t="str">
        <f aca="false">IFERROR(IF([1]对账明细接口!$R489=0,"",[1]对账明细接口!$R489),"")</f>
        <v/>
      </c>
      <c r="X489" s="10" t="str">
        <f aca="false">IFERROR(IF([1]对账明细接口!$S489=0,"",[1]对账明细接口!$S489),"")</f>
        <v/>
      </c>
      <c r="Y489" s="10" t="str">
        <f aca="false">""</f>
        <v/>
      </c>
      <c r="Z489" s="10" t="str">
        <f aca="false">""</f>
        <v/>
      </c>
      <c r="AA489" s="10" t="str">
        <f aca="false">""</f>
        <v/>
      </c>
      <c r="AB489" s="10" t="str">
        <f aca="false">""</f>
        <v/>
      </c>
    </row>
    <row r="490" customFormat="false" ht="13.5" hidden="false" customHeight="false" outlineLevel="0" collapsed="false">
      <c r="A490" s="109" t="n">
        <v>490</v>
      </c>
      <c r="B490" s="110" t="str">
        <f aca="false">IFERROR(IF([1]对账明细接口!$B$490=0,"",[1]对账明细接口!$B$490),"")</f>
        <v/>
      </c>
      <c r="C490" s="59" t="str">
        <f aca="false">IFERROR(IF([1]对账明细接口!$C$490=0,"",[1]对账明细接口!$C$490),"")</f>
        <v/>
      </c>
      <c r="D490" s="59" t="str">
        <f aca="false">IFERROR(IF([1]对账明细接口!$D$490=0,"",[1]对账明细接口!$D$490),"")</f>
        <v/>
      </c>
      <c r="E490" s="59" t="str">
        <f aca="false">IFERROR(IF([1]对账明细接口!$E$490=0,"",[1]对账明细接口!$E$490),"")</f>
        <v/>
      </c>
      <c r="F490" s="59" t="str">
        <f aca="false">IFERROR(IF([1]对账明细接口!$F$490=0,"",[1]对账明细接口!$F$490),"")</f>
        <v/>
      </c>
      <c r="G490" s="59" t="str">
        <f aca="false">IFERROR(IF([1]对账明细接口!$G$490=0,"",[1]对账明细接口!$G$490),"")</f>
        <v/>
      </c>
      <c r="H490" s="60" t="str">
        <f aca="false">IFERROR(IF([1]对账明细接口!$H$490=0,"",[1]对账明细接口!$H$490),"")</f>
        <v/>
      </c>
      <c r="I490" s="59" t="str">
        <f aca="false">IFERROR(IF([1]对账明细接口!$I$490=0,"",[1]对账明细接口!$I$490),"")</f>
        <v/>
      </c>
      <c r="J490" s="61" t="str">
        <f aca="false">IFERROR(IF([1]对账明细接口!$J$490=0,"",[1]对账明细接口!$J$490),"")</f>
        <v/>
      </c>
      <c r="K490" s="61" t="str">
        <f aca="false">IFERROR(IF([1]对账明细接口!$K$490=0,"",[1]对账明细接口!$K$490),"")</f>
        <v/>
      </c>
      <c r="L490" s="59" t="str">
        <f aca="false">IFERROR(IF([1]对账明细接口!$L$490=0,"",[1]对账明细接口!$L$490),"")</f>
        <v/>
      </c>
      <c r="M490" s="59" t="str">
        <f aca="false">IFERROR(IF([1]对账明细接口!$M$490=0,"",[1]对账明细接口!$M$490),"")</f>
        <v/>
      </c>
      <c r="N490" s="111" t="n">
        <f aca="false">IF($C490="",0,1)</f>
        <v>0</v>
      </c>
      <c r="O490" s="111" t="n">
        <f aca="false">N(O489)+$N490</f>
        <v>110</v>
      </c>
      <c r="S490" s="10" t="str">
        <f aca="false">IFERROR(IF([1]对账明细接口!$N490=0,"",[1]对账明细接口!$N490),"")</f>
        <v/>
      </c>
      <c r="T490" s="112" t="str">
        <f aca="false">IFERROR(IF([1]对账明细接口!$O490=0,"",[1]对账明细接口!$O490),"")</f>
        <v/>
      </c>
      <c r="U490" s="112" t="str">
        <f aca="false">IFERROR(IF([1]对账明细接口!$P490=0,"",[1]对账明细接口!$P490),"")</f>
        <v/>
      </c>
      <c r="V490" s="112" t="str">
        <f aca="false">IFERROR(IF([1]对账明细接口!$Q490=0,"",[1]对账明细接口!$Q490),"")</f>
        <v/>
      </c>
      <c r="W490" s="10" t="str">
        <f aca="false">IFERROR(IF([1]对账明细接口!$R490=0,"",[1]对账明细接口!$R490),"")</f>
        <v/>
      </c>
      <c r="X490" s="10" t="str">
        <f aca="false">IFERROR(IF([1]对账明细接口!$S490=0,"",[1]对账明细接口!$S490),"")</f>
        <v/>
      </c>
      <c r="Y490" s="10" t="str">
        <f aca="false">""</f>
        <v/>
      </c>
      <c r="Z490" s="10" t="str">
        <f aca="false">""</f>
        <v/>
      </c>
      <c r="AA490" s="10" t="str">
        <f aca="false">""</f>
        <v/>
      </c>
      <c r="AB490" s="10" t="str">
        <f aca="false">""</f>
        <v/>
      </c>
    </row>
    <row r="491" customFormat="false" ht="13.5" hidden="false" customHeight="false" outlineLevel="0" collapsed="false">
      <c r="A491" s="109" t="n">
        <v>491</v>
      </c>
      <c r="B491" s="110" t="str">
        <f aca="false">IFERROR(IF([1]对账明细接口!$B$491=0,"",[1]对账明细接口!$B$491),"")</f>
        <v/>
      </c>
      <c r="C491" s="59" t="str">
        <f aca="false">IFERROR(IF([1]对账明细接口!$C$491=0,"",[1]对账明细接口!$C$491),"")</f>
        <v/>
      </c>
      <c r="D491" s="59" t="str">
        <f aca="false">IFERROR(IF([1]对账明细接口!$D$491=0,"",[1]对账明细接口!$D$491),"")</f>
        <v/>
      </c>
      <c r="E491" s="59" t="str">
        <f aca="false">IFERROR(IF([1]对账明细接口!$E$491=0,"",[1]对账明细接口!$E$491),"")</f>
        <v/>
      </c>
      <c r="F491" s="59" t="str">
        <f aca="false">IFERROR(IF([1]对账明细接口!$F$491=0,"",[1]对账明细接口!$F$491),"")</f>
        <v/>
      </c>
      <c r="G491" s="59" t="str">
        <f aca="false">IFERROR(IF([1]对账明细接口!$G$491=0,"",[1]对账明细接口!$G$491),"")</f>
        <v/>
      </c>
      <c r="H491" s="60" t="str">
        <f aca="false">IFERROR(IF([1]对账明细接口!$H$491=0,"",[1]对账明细接口!$H$491),"")</f>
        <v/>
      </c>
      <c r="I491" s="59" t="str">
        <f aca="false">IFERROR(IF([1]对账明细接口!$I$491=0,"",[1]对账明细接口!$I$491),"")</f>
        <v/>
      </c>
      <c r="J491" s="61" t="str">
        <f aca="false">IFERROR(IF([1]对账明细接口!$J$491=0,"",[1]对账明细接口!$J$491),"")</f>
        <v/>
      </c>
      <c r="K491" s="61" t="str">
        <f aca="false">IFERROR(IF([1]对账明细接口!$K$491=0,"",[1]对账明细接口!$K$491),"")</f>
        <v/>
      </c>
      <c r="L491" s="59" t="str">
        <f aca="false">IFERROR(IF([1]对账明细接口!$L$491=0,"",[1]对账明细接口!$L$491),"")</f>
        <v/>
      </c>
      <c r="M491" s="59" t="str">
        <f aca="false">IFERROR(IF([1]对账明细接口!$M$491=0,"",[1]对账明细接口!$M$491),"")</f>
        <v/>
      </c>
      <c r="N491" s="111" t="n">
        <f aca="false">IF($C491="",0,1)</f>
        <v>0</v>
      </c>
      <c r="O491" s="111" t="n">
        <f aca="false">N(O490)+$N491</f>
        <v>110</v>
      </c>
      <c r="S491" s="10" t="str">
        <f aca="false">IFERROR(IF([1]对账明细接口!$N491=0,"",[1]对账明细接口!$N491),"")</f>
        <v/>
      </c>
      <c r="T491" s="112" t="str">
        <f aca="false">IFERROR(IF([1]对账明细接口!$O491=0,"",[1]对账明细接口!$O491),"")</f>
        <v/>
      </c>
      <c r="U491" s="112" t="str">
        <f aca="false">IFERROR(IF([1]对账明细接口!$P491=0,"",[1]对账明细接口!$P491),"")</f>
        <v/>
      </c>
      <c r="V491" s="112" t="str">
        <f aca="false">IFERROR(IF([1]对账明细接口!$Q491=0,"",[1]对账明细接口!$Q491),"")</f>
        <v/>
      </c>
      <c r="W491" s="10" t="str">
        <f aca="false">IFERROR(IF([1]对账明细接口!$R491=0,"",[1]对账明细接口!$R491),"")</f>
        <v/>
      </c>
      <c r="X491" s="10" t="str">
        <f aca="false">IFERROR(IF([1]对账明细接口!$S491=0,"",[1]对账明细接口!$S491),"")</f>
        <v/>
      </c>
      <c r="Y491" s="10" t="str">
        <f aca="false">""</f>
        <v/>
      </c>
      <c r="Z491" s="10" t="str">
        <f aca="false">""</f>
        <v/>
      </c>
      <c r="AA491" s="10" t="str">
        <f aca="false">""</f>
        <v/>
      </c>
      <c r="AB491" s="10" t="str">
        <f aca="false">""</f>
        <v/>
      </c>
    </row>
    <row r="492" customFormat="false" ht="13.5" hidden="false" customHeight="false" outlineLevel="0" collapsed="false">
      <c r="A492" s="109" t="n">
        <v>492</v>
      </c>
      <c r="B492" s="110" t="str">
        <f aca="false">IFERROR(IF([1]对账明细接口!$B$492=0,"",[1]对账明细接口!$B$492),"")</f>
        <v/>
      </c>
      <c r="C492" s="59" t="str">
        <f aca="false">IFERROR(IF([1]对账明细接口!$C$492=0,"",[1]对账明细接口!$C$492),"")</f>
        <v/>
      </c>
      <c r="D492" s="59" t="str">
        <f aca="false">IFERROR(IF([1]对账明细接口!$D$492=0,"",[1]对账明细接口!$D$492),"")</f>
        <v/>
      </c>
      <c r="E492" s="59" t="str">
        <f aca="false">IFERROR(IF([1]对账明细接口!$E$492=0,"",[1]对账明细接口!$E$492),"")</f>
        <v/>
      </c>
      <c r="F492" s="59" t="str">
        <f aca="false">IFERROR(IF([1]对账明细接口!$F$492=0,"",[1]对账明细接口!$F$492),"")</f>
        <v/>
      </c>
      <c r="G492" s="59" t="str">
        <f aca="false">IFERROR(IF([1]对账明细接口!$G$492=0,"",[1]对账明细接口!$G$492),"")</f>
        <v/>
      </c>
      <c r="H492" s="60" t="str">
        <f aca="false">IFERROR(IF([1]对账明细接口!$H$492=0,"",[1]对账明细接口!$H$492),"")</f>
        <v/>
      </c>
      <c r="I492" s="59" t="str">
        <f aca="false">IFERROR(IF([1]对账明细接口!$I$492=0,"",[1]对账明细接口!$I$492),"")</f>
        <v/>
      </c>
      <c r="J492" s="61" t="str">
        <f aca="false">IFERROR(IF([1]对账明细接口!$J$492=0,"",[1]对账明细接口!$J$492),"")</f>
        <v/>
      </c>
      <c r="K492" s="61" t="str">
        <f aca="false">IFERROR(IF([1]对账明细接口!$K$492=0,"",[1]对账明细接口!$K$492),"")</f>
        <v/>
      </c>
      <c r="L492" s="59" t="str">
        <f aca="false">IFERROR(IF([1]对账明细接口!$L$492=0,"",[1]对账明细接口!$L$492),"")</f>
        <v/>
      </c>
      <c r="M492" s="59" t="str">
        <f aca="false">IFERROR(IF([1]对账明细接口!$M$492=0,"",[1]对账明细接口!$M$492),"")</f>
        <v/>
      </c>
      <c r="N492" s="111" t="n">
        <f aca="false">IF($C492="",0,1)</f>
        <v>0</v>
      </c>
      <c r="O492" s="111" t="n">
        <f aca="false">N(O491)+$N492</f>
        <v>110</v>
      </c>
      <c r="S492" s="10" t="str">
        <f aca="false">IFERROR(IF([1]对账明细接口!$N492=0,"",[1]对账明细接口!$N492),"")</f>
        <v/>
      </c>
      <c r="T492" s="112" t="str">
        <f aca="false">IFERROR(IF([1]对账明细接口!$O492=0,"",[1]对账明细接口!$O492),"")</f>
        <v/>
      </c>
      <c r="U492" s="112" t="str">
        <f aca="false">IFERROR(IF([1]对账明细接口!$P492=0,"",[1]对账明细接口!$P492),"")</f>
        <v/>
      </c>
      <c r="V492" s="112" t="str">
        <f aca="false">IFERROR(IF([1]对账明细接口!$Q492=0,"",[1]对账明细接口!$Q492),"")</f>
        <v/>
      </c>
      <c r="W492" s="10" t="str">
        <f aca="false">IFERROR(IF([1]对账明细接口!$R492=0,"",[1]对账明细接口!$R492),"")</f>
        <v/>
      </c>
      <c r="X492" s="10" t="str">
        <f aca="false">IFERROR(IF([1]对账明细接口!$S492=0,"",[1]对账明细接口!$S492),"")</f>
        <v/>
      </c>
      <c r="Y492" s="10" t="str">
        <f aca="false">""</f>
        <v/>
      </c>
      <c r="Z492" s="10" t="str">
        <f aca="false">""</f>
        <v/>
      </c>
      <c r="AA492" s="10" t="str">
        <f aca="false">""</f>
        <v/>
      </c>
      <c r="AB492" s="10" t="str">
        <f aca="false">""</f>
        <v/>
      </c>
    </row>
    <row r="493" customFormat="false" ht="13.5" hidden="false" customHeight="false" outlineLevel="0" collapsed="false">
      <c r="A493" s="109" t="n">
        <v>493</v>
      </c>
      <c r="B493" s="110" t="str">
        <f aca="false">IFERROR(IF([1]对账明细接口!$B$493=0,"",[1]对账明细接口!$B$493),"")</f>
        <v/>
      </c>
      <c r="C493" s="59" t="str">
        <f aca="false">IFERROR(IF([1]对账明细接口!$C$493=0,"",[1]对账明细接口!$C$493),"")</f>
        <v/>
      </c>
      <c r="D493" s="59" t="str">
        <f aca="false">IFERROR(IF([1]对账明细接口!$D$493=0,"",[1]对账明细接口!$D$493),"")</f>
        <v/>
      </c>
      <c r="E493" s="59" t="str">
        <f aca="false">IFERROR(IF([1]对账明细接口!$E$493=0,"",[1]对账明细接口!$E$493),"")</f>
        <v/>
      </c>
      <c r="F493" s="59" t="str">
        <f aca="false">IFERROR(IF([1]对账明细接口!$F$493=0,"",[1]对账明细接口!$F$493),"")</f>
        <v/>
      </c>
      <c r="G493" s="59" t="str">
        <f aca="false">IFERROR(IF([1]对账明细接口!$G$493=0,"",[1]对账明细接口!$G$493),"")</f>
        <v/>
      </c>
      <c r="H493" s="60" t="str">
        <f aca="false">IFERROR(IF([1]对账明细接口!$H$493=0,"",[1]对账明细接口!$H$493),"")</f>
        <v/>
      </c>
      <c r="I493" s="59" t="str">
        <f aca="false">IFERROR(IF([1]对账明细接口!$I$493=0,"",[1]对账明细接口!$I$493),"")</f>
        <v/>
      </c>
      <c r="J493" s="61" t="str">
        <f aca="false">IFERROR(IF([1]对账明细接口!$J$493=0,"",[1]对账明细接口!$J$493),"")</f>
        <v/>
      </c>
      <c r="K493" s="61" t="str">
        <f aca="false">IFERROR(IF([1]对账明细接口!$K$493=0,"",[1]对账明细接口!$K$493),"")</f>
        <v/>
      </c>
      <c r="L493" s="59" t="str">
        <f aca="false">IFERROR(IF([1]对账明细接口!$L$493=0,"",[1]对账明细接口!$L$493),"")</f>
        <v/>
      </c>
      <c r="M493" s="59" t="str">
        <f aca="false">IFERROR(IF([1]对账明细接口!$M$493=0,"",[1]对账明细接口!$M$493),"")</f>
        <v/>
      </c>
      <c r="N493" s="111" t="n">
        <f aca="false">IF($C493="",0,1)</f>
        <v>0</v>
      </c>
      <c r="O493" s="111" t="n">
        <f aca="false">N(O492)+$N493</f>
        <v>110</v>
      </c>
      <c r="S493" s="10" t="str">
        <f aca="false">IFERROR(IF([1]对账明细接口!$N493=0,"",[1]对账明细接口!$N493),"")</f>
        <v/>
      </c>
      <c r="T493" s="112" t="str">
        <f aca="false">IFERROR(IF([1]对账明细接口!$O493=0,"",[1]对账明细接口!$O493),"")</f>
        <v/>
      </c>
      <c r="U493" s="112" t="str">
        <f aca="false">IFERROR(IF([1]对账明细接口!$P493=0,"",[1]对账明细接口!$P493),"")</f>
        <v/>
      </c>
      <c r="V493" s="112" t="str">
        <f aca="false">IFERROR(IF([1]对账明细接口!$Q493=0,"",[1]对账明细接口!$Q493),"")</f>
        <v/>
      </c>
      <c r="W493" s="10" t="str">
        <f aca="false">IFERROR(IF([1]对账明细接口!$R493=0,"",[1]对账明细接口!$R493),"")</f>
        <v/>
      </c>
      <c r="X493" s="10" t="str">
        <f aca="false">IFERROR(IF([1]对账明细接口!$S493=0,"",[1]对账明细接口!$S493),"")</f>
        <v/>
      </c>
      <c r="Y493" s="10" t="str">
        <f aca="false">""</f>
        <v/>
      </c>
      <c r="Z493" s="10" t="str">
        <f aca="false">""</f>
        <v/>
      </c>
      <c r="AA493" s="10" t="str">
        <f aca="false">""</f>
        <v/>
      </c>
      <c r="AB493" s="10" t="str">
        <f aca="false">""</f>
        <v/>
      </c>
    </row>
    <row r="494" customFormat="false" ht="13.5" hidden="false" customHeight="false" outlineLevel="0" collapsed="false">
      <c r="A494" s="109" t="n">
        <v>494</v>
      </c>
      <c r="B494" s="110" t="str">
        <f aca="false">IFERROR(IF([1]对账明细接口!$B$494=0,"",[1]对账明细接口!$B$494),"")</f>
        <v/>
      </c>
      <c r="C494" s="59" t="str">
        <f aca="false">IFERROR(IF([1]对账明细接口!$C$494=0,"",[1]对账明细接口!$C$494),"")</f>
        <v/>
      </c>
      <c r="D494" s="59" t="str">
        <f aca="false">IFERROR(IF([1]对账明细接口!$D$494=0,"",[1]对账明细接口!$D$494),"")</f>
        <v/>
      </c>
      <c r="E494" s="59" t="str">
        <f aca="false">IFERROR(IF([1]对账明细接口!$E$494=0,"",[1]对账明细接口!$E$494),"")</f>
        <v/>
      </c>
      <c r="F494" s="59" t="str">
        <f aca="false">IFERROR(IF([1]对账明细接口!$F$494=0,"",[1]对账明细接口!$F$494),"")</f>
        <v/>
      </c>
      <c r="G494" s="59" t="str">
        <f aca="false">IFERROR(IF([1]对账明细接口!$G$494=0,"",[1]对账明细接口!$G$494),"")</f>
        <v/>
      </c>
      <c r="H494" s="60" t="str">
        <f aca="false">IFERROR(IF([1]对账明细接口!$H$494=0,"",[1]对账明细接口!$H$494),"")</f>
        <v/>
      </c>
      <c r="I494" s="59" t="str">
        <f aca="false">IFERROR(IF([1]对账明细接口!$I$494=0,"",[1]对账明细接口!$I$494),"")</f>
        <v/>
      </c>
      <c r="J494" s="61" t="str">
        <f aca="false">IFERROR(IF([1]对账明细接口!$J$494=0,"",[1]对账明细接口!$J$494),"")</f>
        <v/>
      </c>
      <c r="K494" s="61" t="str">
        <f aca="false">IFERROR(IF([1]对账明细接口!$K$494=0,"",[1]对账明细接口!$K$494),"")</f>
        <v/>
      </c>
      <c r="L494" s="59" t="str">
        <f aca="false">IFERROR(IF([1]对账明细接口!$L$494=0,"",[1]对账明细接口!$L$494),"")</f>
        <v/>
      </c>
      <c r="M494" s="59" t="str">
        <f aca="false">IFERROR(IF([1]对账明细接口!$M$494=0,"",[1]对账明细接口!$M$494),"")</f>
        <v/>
      </c>
      <c r="N494" s="111" t="n">
        <f aca="false">IF($C494="",0,1)</f>
        <v>0</v>
      </c>
      <c r="O494" s="111" t="n">
        <f aca="false">N(O493)+$N494</f>
        <v>110</v>
      </c>
      <c r="S494" s="10" t="str">
        <f aca="false">IFERROR(IF([1]对账明细接口!$N494=0,"",[1]对账明细接口!$N494),"")</f>
        <v/>
      </c>
      <c r="T494" s="112" t="str">
        <f aca="false">IFERROR(IF([1]对账明细接口!$O494=0,"",[1]对账明细接口!$O494),"")</f>
        <v/>
      </c>
      <c r="U494" s="112" t="str">
        <f aca="false">IFERROR(IF([1]对账明细接口!$P494=0,"",[1]对账明细接口!$P494),"")</f>
        <v/>
      </c>
      <c r="V494" s="112" t="str">
        <f aca="false">IFERROR(IF([1]对账明细接口!$Q494=0,"",[1]对账明细接口!$Q494),"")</f>
        <v/>
      </c>
      <c r="W494" s="10" t="str">
        <f aca="false">IFERROR(IF([1]对账明细接口!$R494=0,"",[1]对账明细接口!$R494),"")</f>
        <v/>
      </c>
      <c r="X494" s="10" t="str">
        <f aca="false">IFERROR(IF([1]对账明细接口!$S494=0,"",[1]对账明细接口!$S494),"")</f>
        <v/>
      </c>
      <c r="Y494" s="10" t="str">
        <f aca="false">""</f>
        <v/>
      </c>
      <c r="Z494" s="10" t="str">
        <f aca="false">""</f>
        <v/>
      </c>
      <c r="AA494" s="10" t="str">
        <f aca="false">""</f>
        <v/>
      </c>
      <c r="AB494" s="10" t="str">
        <f aca="false">""</f>
        <v/>
      </c>
    </row>
    <row r="495" customFormat="false" ht="13.5" hidden="false" customHeight="false" outlineLevel="0" collapsed="false">
      <c r="A495" s="109" t="n">
        <v>495</v>
      </c>
      <c r="B495" s="110" t="str">
        <f aca="false">IFERROR(IF([1]对账明细接口!$B$495=0,"",[1]对账明细接口!$B$495),"")</f>
        <v/>
      </c>
      <c r="C495" s="59" t="str">
        <f aca="false">IFERROR(IF([1]对账明细接口!$C$495=0,"",[1]对账明细接口!$C$495),"")</f>
        <v/>
      </c>
      <c r="D495" s="59" t="str">
        <f aca="false">IFERROR(IF([1]对账明细接口!$D$495=0,"",[1]对账明细接口!$D$495),"")</f>
        <v/>
      </c>
      <c r="E495" s="59" t="str">
        <f aca="false">IFERROR(IF([1]对账明细接口!$E$495=0,"",[1]对账明细接口!$E$495),"")</f>
        <v/>
      </c>
      <c r="F495" s="59" t="str">
        <f aca="false">IFERROR(IF([1]对账明细接口!$F$495=0,"",[1]对账明细接口!$F$495),"")</f>
        <v/>
      </c>
      <c r="G495" s="59" t="str">
        <f aca="false">IFERROR(IF([1]对账明细接口!$G$495=0,"",[1]对账明细接口!$G$495),"")</f>
        <v/>
      </c>
      <c r="H495" s="60" t="str">
        <f aca="false">IFERROR(IF([1]对账明细接口!$H$495=0,"",[1]对账明细接口!$H$495),"")</f>
        <v/>
      </c>
      <c r="I495" s="59" t="str">
        <f aca="false">IFERROR(IF([1]对账明细接口!$I$495=0,"",[1]对账明细接口!$I$495),"")</f>
        <v/>
      </c>
      <c r="J495" s="61" t="str">
        <f aca="false">IFERROR(IF([1]对账明细接口!$J$495=0,"",[1]对账明细接口!$J$495),"")</f>
        <v/>
      </c>
      <c r="K495" s="61" t="str">
        <f aca="false">IFERROR(IF([1]对账明细接口!$K$495=0,"",[1]对账明细接口!$K$495),"")</f>
        <v/>
      </c>
      <c r="L495" s="59" t="str">
        <f aca="false">IFERROR(IF([1]对账明细接口!$L$495=0,"",[1]对账明细接口!$L$495),"")</f>
        <v/>
      </c>
      <c r="M495" s="59" t="str">
        <f aca="false">IFERROR(IF([1]对账明细接口!$M$495=0,"",[1]对账明细接口!$M$495),"")</f>
        <v/>
      </c>
      <c r="N495" s="111" t="n">
        <f aca="false">IF($C495="",0,1)</f>
        <v>0</v>
      </c>
      <c r="O495" s="111" t="n">
        <f aca="false">N(O494)+$N495</f>
        <v>110</v>
      </c>
      <c r="S495" s="10" t="str">
        <f aca="false">IFERROR(IF([1]对账明细接口!$N495=0,"",[1]对账明细接口!$N495),"")</f>
        <v/>
      </c>
      <c r="T495" s="112" t="str">
        <f aca="false">IFERROR(IF([1]对账明细接口!$O495=0,"",[1]对账明细接口!$O495),"")</f>
        <v/>
      </c>
      <c r="U495" s="112" t="str">
        <f aca="false">IFERROR(IF([1]对账明细接口!$P495=0,"",[1]对账明细接口!$P495),"")</f>
        <v/>
      </c>
      <c r="V495" s="112" t="str">
        <f aca="false">IFERROR(IF([1]对账明细接口!$Q495=0,"",[1]对账明细接口!$Q495),"")</f>
        <v/>
      </c>
      <c r="W495" s="10" t="str">
        <f aca="false">IFERROR(IF([1]对账明细接口!$R495=0,"",[1]对账明细接口!$R495),"")</f>
        <v/>
      </c>
      <c r="X495" s="10" t="str">
        <f aca="false">IFERROR(IF([1]对账明细接口!$S495=0,"",[1]对账明细接口!$S495),"")</f>
        <v/>
      </c>
      <c r="Y495" s="10" t="str">
        <f aca="false">""</f>
        <v/>
      </c>
      <c r="Z495" s="10" t="str">
        <f aca="false">""</f>
        <v/>
      </c>
      <c r="AA495" s="10" t="str">
        <f aca="false">""</f>
        <v/>
      </c>
      <c r="AB495" s="10" t="str">
        <f aca="false">""</f>
        <v/>
      </c>
    </row>
    <row r="496" customFormat="false" ht="13.5" hidden="false" customHeight="false" outlineLevel="0" collapsed="false">
      <c r="A496" s="109" t="n">
        <v>496</v>
      </c>
      <c r="B496" s="110" t="str">
        <f aca="false">IFERROR(IF([1]对账明细接口!$B$496=0,"",[1]对账明细接口!$B$496),"")</f>
        <v/>
      </c>
      <c r="C496" s="59" t="str">
        <f aca="false">IFERROR(IF([1]对账明细接口!$C$496=0,"",[1]对账明细接口!$C$496),"")</f>
        <v/>
      </c>
      <c r="D496" s="59" t="str">
        <f aca="false">IFERROR(IF([1]对账明细接口!$D$496=0,"",[1]对账明细接口!$D$496),"")</f>
        <v/>
      </c>
      <c r="E496" s="59" t="str">
        <f aca="false">IFERROR(IF([1]对账明细接口!$E$496=0,"",[1]对账明细接口!$E$496),"")</f>
        <v/>
      </c>
      <c r="F496" s="59" t="str">
        <f aca="false">IFERROR(IF([1]对账明细接口!$F$496=0,"",[1]对账明细接口!$F$496),"")</f>
        <v/>
      </c>
      <c r="G496" s="59" t="str">
        <f aca="false">IFERROR(IF([1]对账明细接口!$G$496=0,"",[1]对账明细接口!$G$496),"")</f>
        <v/>
      </c>
      <c r="H496" s="60" t="str">
        <f aca="false">IFERROR(IF([1]对账明细接口!$H$496=0,"",[1]对账明细接口!$H$496),"")</f>
        <v/>
      </c>
      <c r="I496" s="59" t="str">
        <f aca="false">IFERROR(IF([1]对账明细接口!$I$496=0,"",[1]对账明细接口!$I$496),"")</f>
        <v/>
      </c>
      <c r="J496" s="61" t="str">
        <f aca="false">IFERROR(IF([1]对账明细接口!$J$496=0,"",[1]对账明细接口!$J$496),"")</f>
        <v/>
      </c>
      <c r="K496" s="61" t="str">
        <f aca="false">IFERROR(IF([1]对账明细接口!$K$496=0,"",[1]对账明细接口!$K$496),"")</f>
        <v/>
      </c>
      <c r="L496" s="59" t="str">
        <f aca="false">IFERROR(IF([1]对账明细接口!$L$496=0,"",[1]对账明细接口!$L$496),"")</f>
        <v/>
      </c>
      <c r="M496" s="59" t="str">
        <f aca="false">IFERROR(IF([1]对账明细接口!$M$496=0,"",[1]对账明细接口!$M$496),"")</f>
        <v/>
      </c>
      <c r="N496" s="111" t="n">
        <f aca="false">IF($C496="",0,1)</f>
        <v>0</v>
      </c>
      <c r="O496" s="111" t="n">
        <f aca="false">N(O495)+$N496</f>
        <v>110</v>
      </c>
      <c r="S496" s="10" t="str">
        <f aca="false">IFERROR(IF([1]对账明细接口!$N496=0,"",[1]对账明细接口!$N496),"")</f>
        <v/>
      </c>
      <c r="T496" s="112" t="str">
        <f aca="false">IFERROR(IF([1]对账明细接口!$O496=0,"",[1]对账明细接口!$O496),"")</f>
        <v/>
      </c>
      <c r="U496" s="112" t="str">
        <f aca="false">IFERROR(IF([1]对账明细接口!$P496=0,"",[1]对账明细接口!$P496),"")</f>
        <v/>
      </c>
      <c r="V496" s="112" t="str">
        <f aca="false">IFERROR(IF([1]对账明细接口!$Q496=0,"",[1]对账明细接口!$Q496),"")</f>
        <v/>
      </c>
      <c r="W496" s="10" t="str">
        <f aca="false">IFERROR(IF([1]对账明细接口!$R496=0,"",[1]对账明细接口!$R496),"")</f>
        <v/>
      </c>
      <c r="X496" s="10" t="str">
        <f aca="false">IFERROR(IF([1]对账明细接口!$S496=0,"",[1]对账明细接口!$S496),"")</f>
        <v/>
      </c>
      <c r="Y496" s="10" t="str">
        <f aca="false">""</f>
        <v/>
      </c>
      <c r="Z496" s="10" t="str">
        <f aca="false">""</f>
        <v/>
      </c>
      <c r="AA496" s="10" t="str">
        <f aca="false">""</f>
        <v/>
      </c>
      <c r="AB496" s="10" t="str">
        <f aca="false">""</f>
        <v/>
      </c>
    </row>
    <row r="497" customFormat="false" ht="13.5" hidden="false" customHeight="false" outlineLevel="0" collapsed="false">
      <c r="A497" s="109" t="n">
        <v>497</v>
      </c>
      <c r="B497" s="110" t="str">
        <f aca="false">IFERROR(IF([1]对账明细接口!$B$497=0,"",[1]对账明细接口!$B$497),"")</f>
        <v/>
      </c>
      <c r="C497" s="59" t="str">
        <f aca="false">IFERROR(IF([1]对账明细接口!$C$497=0,"",[1]对账明细接口!$C$497),"")</f>
        <v/>
      </c>
      <c r="D497" s="59" t="str">
        <f aca="false">IFERROR(IF([1]对账明细接口!$D$497=0,"",[1]对账明细接口!$D$497),"")</f>
        <v/>
      </c>
      <c r="E497" s="59" t="str">
        <f aca="false">IFERROR(IF([1]对账明细接口!$E$497=0,"",[1]对账明细接口!$E$497),"")</f>
        <v/>
      </c>
      <c r="F497" s="59" t="str">
        <f aca="false">IFERROR(IF([1]对账明细接口!$F$497=0,"",[1]对账明细接口!$F$497),"")</f>
        <v/>
      </c>
      <c r="G497" s="59" t="str">
        <f aca="false">IFERROR(IF([1]对账明细接口!$G$497=0,"",[1]对账明细接口!$G$497),"")</f>
        <v/>
      </c>
      <c r="H497" s="60" t="str">
        <f aca="false">IFERROR(IF([1]对账明细接口!$H$497=0,"",[1]对账明细接口!$H$497),"")</f>
        <v/>
      </c>
      <c r="I497" s="59" t="str">
        <f aca="false">IFERROR(IF([1]对账明细接口!$I$497=0,"",[1]对账明细接口!$I$497),"")</f>
        <v/>
      </c>
      <c r="J497" s="61" t="str">
        <f aca="false">IFERROR(IF([1]对账明细接口!$J$497=0,"",[1]对账明细接口!$J$497),"")</f>
        <v/>
      </c>
      <c r="K497" s="61" t="str">
        <f aca="false">IFERROR(IF([1]对账明细接口!$K$497=0,"",[1]对账明细接口!$K$497),"")</f>
        <v/>
      </c>
      <c r="L497" s="59" t="str">
        <f aca="false">IFERROR(IF([1]对账明细接口!$L$497=0,"",[1]对账明细接口!$L$497),"")</f>
        <v/>
      </c>
      <c r="M497" s="59" t="str">
        <f aca="false">IFERROR(IF([1]对账明细接口!$M$497=0,"",[1]对账明细接口!$M$497),"")</f>
        <v/>
      </c>
      <c r="N497" s="111" t="n">
        <f aca="false">IF($C497="",0,1)</f>
        <v>0</v>
      </c>
      <c r="O497" s="111" t="n">
        <f aca="false">N(O496)+$N497</f>
        <v>110</v>
      </c>
      <c r="S497" s="10" t="str">
        <f aca="false">IFERROR(IF([1]对账明细接口!$N497=0,"",[1]对账明细接口!$N497),"")</f>
        <v/>
      </c>
      <c r="T497" s="112" t="str">
        <f aca="false">IFERROR(IF([1]对账明细接口!$O497=0,"",[1]对账明细接口!$O497),"")</f>
        <v/>
      </c>
      <c r="U497" s="112" t="str">
        <f aca="false">IFERROR(IF([1]对账明细接口!$P497=0,"",[1]对账明细接口!$P497),"")</f>
        <v/>
      </c>
      <c r="V497" s="112" t="str">
        <f aca="false">IFERROR(IF([1]对账明细接口!$Q497=0,"",[1]对账明细接口!$Q497),"")</f>
        <v/>
      </c>
      <c r="W497" s="10" t="str">
        <f aca="false">IFERROR(IF([1]对账明细接口!$R497=0,"",[1]对账明细接口!$R497),"")</f>
        <v/>
      </c>
      <c r="X497" s="10" t="str">
        <f aca="false">IFERROR(IF([1]对账明细接口!$S497=0,"",[1]对账明细接口!$S497),"")</f>
        <v/>
      </c>
      <c r="Y497" s="10" t="str">
        <f aca="false">""</f>
        <v/>
      </c>
      <c r="Z497" s="10" t="str">
        <f aca="false">""</f>
        <v/>
      </c>
      <c r="AA497" s="10" t="str">
        <f aca="false">""</f>
        <v/>
      </c>
      <c r="AB497" s="10" t="str">
        <f aca="false">""</f>
        <v/>
      </c>
    </row>
    <row r="498" customFormat="false" ht="13.5" hidden="false" customHeight="false" outlineLevel="0" collapsed="false">
      <c r="A498" s="109" t="n">
        <v>498</v>
      </c>
      <c r="B498" s="110" t="str">
        <f aca="false">IFERROR(IF([1]对账明细接口!$B$498=0,"",[1]对账明细接口!$B$498),"")</f>
        <v/>
      </c>
      <c r="C498" s="59" t="str">
        <f aca="false">IFERROR(IF([1]对账明细接口!$C$498=0,"",[1]对账明细接口!$C$498),"")</f>
        <v/>
      </c>
      <c r="D498" s="59" t="str">
        <f aca="false">IFERROR(IF([1]对账明细接口!$D$498=0,"",[1]对账明细接口!$D$498),"")</f>
        <v/>
      </c>
      <c r="E498" s="59" t="str">
        <f aca="false">IFERROR(IF([1]对账明细接口!$E$498=0,"",[1]对账明细接口!$E$498),"")</f>
        <v/>
      </c>
      <c r="F498" s="59" t="str">
        <f aca="false">IFERROR(IF([1]对账明细接口!$F$498=0,"",[1]对账明细接口!$F$498),"")</f>
        <v/>
      </c>
      <c r="G498" s="59" t="str">
        <f aca="false">IFERROR(IF([1]对账明细接口!$G$498=0,"",[1]对账明细接口!$G$498),"")</f>
        <v/>
      </c>
      <c r="H498" s="60" t="str">
        <f aca="false">IFERROR(IF([1]对账明细接口!$H$498=0,"",[1]对账明细接口!$H$498),"")</f>
        <v/>
      </c>
      <c r="I498" s="59" t="str">
        <f aca="false">IFERROR(IF([1]对账明细接口!$I$498=0,"",[1]对账明细接口!$I$498),"")</f>
        <v/>
      </c>
      <c r="J498" s="61" t="str">
        <f aca="false">IFERROR(IF([1]对账明细接口!$J$498=0,"",[1]对账明细接口!$J$498),"")</f>
        <v/>
      </c>
      <c r="K498" s="61" t="str">
        <f aca="false">IFERROR(IF([1]对账明细接口!$K$498=0,"",[1]对账明细接口!$K$498),"")</f>
        <v/>
      </c>
      <c r="L498" s="59" t="str">
        <f aca="false">IFERROR(IF([1]对账明细接口!$L$498=0,"",[1]对账明细接口!$L$498),"")</f>
        <v/>
      </c>
      <c r="M498" s="59" t="str">
        <f aca="false">IFERROR(IF([1]对账明细接口!$M$498=0,"",[1]对账明细接口!$M$498),"")</f>
        <v/>
      </c>
      <c r="N498" s="111" t="n">
        <f aca="false">IF($C498="",0,1)</f>
        <v>0</v>
      </c>
      <c r="O498" s="111" t="n">
        <f aca="false">N(O497)+$N498</f>
        <v>110</v>
      </c>
      <c r="S498" s="10" t="str">
        <f aca="false">IFERROR(IF([1]对账明细接口!$N498=0,"",[1]对账明细接口!$N498),"")</f>
        <v/>
      </c>
      <c r="T498" s="112" t="str">
        <f aca="false">IFERROR(IF([1]对账明细接口!$O498=0,"",[1]对账明细接口!$O498),"")</f>
        <v/>
      </c>
      <c r="U498" s="112" t="str">
        <f aca="false">IFERROR(IF([1]对账明细接口!$P498=0,"",[1]对账明细接口!$P498),"")</f>
        <v/>
      </c>
      <c r="V498" s="112" t="str">
        <f aca="false">IFERROR(IF([1]对账明细接口!$Q498=0,"",[1]对账明细接口!$Q498),"")</f>
        <v/>
      </c>
      <c r="W498" s="10" t="str">
        <f aca="false">IFERROR(IF([1]对账明细接口!$R498=0,"",[1]对账明细接口!$R498),"")</f>
        <v/>
      </c>
      <c r="X498" s="10" t="str">
        <f aca="false">IFERROR(IF([1]对账明细接口!$S498=0,"",[1]对账明细接口!$S498),"")</f>
        <v/>
      </c>
      <c r="Y498" s="10" t="str">
        <f aca="false">""</f>
        <v/>
      </c>
      <c r="Z498" s="10" t="str">
        <f aca="false">""</f>
        <v/>
      </c>
      <c r="AA498" s="10" t="str">
        <f aca="false">""</f>
        <v/>
      </c>
      <c r="AB498" s="10" t="str">
        <f aca="false">""</f>
        <v/>
      </c>
    </row>
    <row r="499" customFormat="false" ht="13.5" hidden="false" customHeight="false" outlineLevel="0" collapsed="false">
      <c r="A499" s="109" t="n">
        <v>499</v>
      </c>
      <c r="B499" s="110" t="str">
        <f aca="false">IFERROR(IF([1]对账明细接口!$B$499=0,"",[1]对账明细接口!$B$499),"")</f>
        <v/>
      </c>
      <c r="C499" s="59" t="str">
        <f aca="false">IFERROR(IF([1]对账明细接口!$C$499=0,"",[1]对账明细接口!$C$499),"")</f>
        <v/>
      </c>
      <c r="D499" s="59" t="str">
        <f aca="false">IFERROR(IF([1]对账明细接口!$D$499=0,"",[1]对账明细接口!$D$499),"")</f>
        <v/>
      </c>
      <c r="E499" s="59" t="str">
        <f aca="false">IFERROR(IF([1]对账明细接口!$E$499=0,"",[1]对账明细接口!$E$499),"")</f>
        <v/>
      </c>
      <c r="F499" s="59" t="str">
        <f aca="false">IFERROR(IF([1]对账明细接口!$F$499=0,"",[1]对账明细接口!$F$499),"")</f>
        <v/>
      </c>
      <c r="G499" s="59" t="str">
        <f aca="false">IFERROR(IF([1]对账明细接口!$G$499=0,"",[1]对账明细接口!$G$499),"")</f>
        <v/>
      </c>
      <c r="H499" s="60" t="str">
        <f aca="false">IFERROR(IF([1]对账明细接口!$H$499=0,"",[1]对账明细接口!$H$499),"")</f>
        <v/>
      </c>
      <c r="I499" s="59" t="str">
        <f aca="false">IFERROR(IF([1]对账明细接口!$I$499=0,"",[1]对账明细接口!$I$499),"")</f>
        <v/>
      </c>
      <c r="J499" s="61" t="str">
        <f aca="false">IFERROR(IF([1]对账明细接口!$J$499=0,"",[1]对账明细接口!$J$499),"")</f>
        <v/>
      </c>
      <c r="K499" s="61" t="str">
        <f aca="false">IFERROR(IF([1]对账明细接口!$K$499=0,"",[1]对账明细接口!$K$499),"")</f>
        <v/>
      </c>
      <c r="L499" s="59" t="str">
        <f aca="false">IFERROR(IF([1]对账明细接口!$L$499=0,"",[1]对账明细接口!$L$499),"")</f>
        <v/>
      </c>
      <c r="M499" s="59" t="str">
        <f aca="false">IFERROR(IF([1]对账明细接口!$M$499=0,"",[1]对账明细接口!$M$499),"")</f>
        <v/>
      </c>
      <c r="N499" s="111" t="n">
        <f aca="false">IF($C499="",0,1)</f>
        <v>0</v>
      </c>
      <c r="O499" s="111" t="n">
        <f aca="false">N(O498)+$N499</f>
        <v>110</v>
      </c>
      <c r="S499" s="10" t="str">
        <f aca="false">IFERROR(IF([1]对账明细接口!$N499=0,"",[1]对账明细接口!$N499),"")</f>
        <v/>
      </c>
      <c r="T499" s="112" t="str">
        <f aca="false">IFERROR(IF([1]对账明细接口!$O499=0,"",[1]对账明细接口!$O499),"")</f>
        <v/>
      </c>
      <c r="U499" s="112" t="str">
        <f aca="false">IFERROR(IF([1]对账明细接口!$P499=0,"",[1]对账明细接口!$P499),"")</f>
        <v/>
      </c>
      <c r="V499" s="112" t="str">
        <f aca="false">IFERROR(IF([1]对账明细接口!$Q499=0,"",[1]对账明细接口!$Q499),"")</f>
        <v/>
      </c>
      <c r="W499" s="10" t="str">
        <f aca="false">IFERROR(IF([1]对账明细接口!$R499=0,"",[1]对账明细接口!$R499),"")</f>
        <v/>
      </c>
      <c r="X499" s="10" t="str">
        <f aca="false">IFERROR(IF([1]对账明细接口!$S499=0,"",[1]对账明细接口!$S499),"")</f>
        <v/>
      </c>
      <c r="Y499" s="10" t="str">
        <f aca="false">""</f>
        <v/>
      </c>
      <c r="Z499" s="10" t="str">
        <f aca="false">""</f>
        <v/>
      </c>
      <c r="AA499" s="10" t="str">
        <f aca="false">""</f>
        <v/>
      </c>
      <c r="AB499" s="10" t="str">
        <f aca="false">""</f>
        <v/>
      </c>
    </row>
    <row r="500" customFormat="false" ht="13.5" hidden="false" customHeight="false" outlineLevel="0" collapsed="false">
      <c r="A500" s="109" t="n">
        <v>500</v>
      </c>
      <c r="B500" s="110" t="str">
        <f aca="false">IFERROR(IF([1]对账明细接口!$B$500=0,"",[1]对账明细接口!$B$500),"")</f>
        <v/>
      </c>
      <c r="C500" s="59" t="str">
        <f aca="false">IFERROR(IF([1]对账明细接口!$C$500=0,"",[1]对账明细接口!$C$500),"")</f>
        <v/>
      </c>
      <c r="D500" s="59" t="str">
        <f aca="false">IFERROR(IF([1]对账明细接口!$D$500=0,"",[1]对账明细接口!$D$500),"")</f>
        <v/>
      </c>
      <c r="E500" s="59" t="str">
        <f aca="false">IFERROR(IF([1]对账明细接口!$E$500=0,"",[1]对账明细接口!$E$500),"")</f>
        <v/>
      </c>
      <c r="F500" s="59" t="str">
        <f aca="false">IFERROR(IF([1]对账明细接口!$F$500=0,"",[1]对账明细接口!$F$500),"")</f>
        <v/>
      </c>
      <c r="G500" s="59" t="str">
        <f aca="false">IFERROR(IF([1]对账明细接口!$G$500=0,"",[1]对账明细接口!$G$500),"")</f>
        <v/>
      </c>
      <c r="H500" s="60" t="str">
        <f aca="false">IFERROR(IF([1]对账明细接口!$H$500=0,"",[1]对账明细接口!$H$500),"")</f>
        <v/>
      </c>
      <c r="I500" s="59" t="str">
        <f aca="false">IFERROR(IF([1]对账明细接口!$I$500=0,"",[1]对账明细接口!$I$500),"")</f>
        <v/>
      </c>
      <c r="J500" s="61" t="str">
        <f aca="false">IFERROR(IF([1]对账明细接口!$J$500=0,"",[1]对账明细接口!$J$500),"")</f>
        <v/>
      </c>
      <c r="K500" s="61" t="str">
        <f aca="false">IFERROR(IF([1]对账明细接口!$K$500=0,"",[1]对账明细接口!$K$500),"")</f>
        <v/>
      </c>
      <c r="L500" s="59" t="str">
        <f aca="false">IFERROR(IF([1]对账明细接口!$L$500=0,"",[1]对账明细接口!$L$500),"")</f>
        <v/>
      </c>
      <c r="M500" s="59" t="str">
        <f aca="false">IFERROR(IF([1]对账明细接口!$M$500=0,"",[1]对账明细接口!$M$500),"")</f>
        <v/>
      </c>
      <c r="N500" s="111" t="n">
        <f aca="false">IF($C500="",0,1)</f>
        <v>0</v>
      </c>
      <c r="O500" s="111" t="n">
        <f aca="false">N(O499)+$N500</f>
        <v>110</v>
      </c>
      <c r="S500" s="10" t="str">
        <f aca="false">IFERROR(IF([1]对账明细接口!$N500=0,"",[1]对账明细接口!$N500),"")</f>
        <v/>
      </c>
      <c r="T500" s="112" t="str">
        <f aca="false">IFERROR(IF([1]对账明细接口!$O500=0,"",[1]对账明细接口!$O500),"")</f>
        <v/>
      </c>
      <c r="U500" s="112" t="str">
        <f aca="false">IFERROR(IF([1]对账明细接口!$P500=0,"",[1]对账明细接口!$P500),"")</f>
        <v/>
      </c>
      <c r="V500" s="112" t="str">
        <f aca="false">IFERROR(IF([1]对账明细接口!$Q500=0,"",[1]对账明细接口!$Q500),"")</f>
        <v/>
      </c>
      <c r="W500" s="10" t="str">
        <f aca="false">IFERROR(IF([1]对账明细接口!$R500=0,"",[1]对账明细接口!$R500),"")</f>
        <v/>
      </c>
      <c r="X500" s="10" t="str">
        <f aca="false">IFERROR(IF([1]对账明细接口!$S500=0,"",[1]对账明细接口!$S500),"")</f>
        <v/>
      </c>
      <c r="Y500" s="10" t="str">
        <f aca="false">""</f>
        <v/>
      </c>
      <c r="Z500" s="10" t="str">
        <f aca="false">""</f>
        <v/>
      </c>
      <c r="AA500" s="10" t="str">
        <f aca="false">""</f>
        <v/>
      </c>
      <c r="AB500" s="10" t="str">
        <f aca="false">""</f>
        <v/>
      </c>
    </row>
    <row r="501" customFormat="false" ht="13.5" hidden="false" customHeight="false" outlineLevel="0" collapsed="false">
      <c r="A501" s="109" t="n">
        <v>501</v>
      </c>
      <c r="B501" s="110" t="str">
        <f aca="false">IFERROR(IF([1]对账明细接口!$B$501=0,"",[1]对账明细接口!$B$501),"")</f>
        <v/>
      </c>
      <c r="C501" s="59" t="str">
        <f aca="false">IFERROR(IF([1]对账明细接口!$C$501=0,"",[1]对账明细接口!$C$501),"")</f>
        <v/>
      </c>
      <c r="D501" s="59" t="str">
        <f aca="false">IFERROR(IF([1]对账明细接口!$D$501=0,"",[1]对账明细接口!$D$501),"")</f>
        <v/>
      </c>
      <c r="E501" s="59" t="str">
        <f aca="false">IFERROR(IF([1]对账明细接口!$E$501=0,"",[1]对账明细接口!$E$501),"")</f>
        <v/>
      </c>
      <c r="F501" s="59" t="str">
        <f aca="false">IFERROR(IF([1]对账明细接口!$F$501=0,"",[1]对账明细接口!$F$501),"")</f>
        <v/>
      </c>
      <c r="G501" s="59" t="str">
        <f aca="false">IFERROR(IF([1]对账明细接口!$G$501=0,"",[1]对账明细接口!$G$501),"")</f>
        <v/>
      </c>
      <c r="H501" s="60" t="str">
        <f aca="false">IFERROR(IF([1]对账明细接口!$H$501=0,"",[1]对账明细接口!$H$501),"")</f>
        <v/>
      </c>
      <c r="I501" s="59" t="str">
        <f aca="false">IFERROR(IF([1]对账明细接口!$I$501=0,"",[1]对账明细接口!$I$501),"")</f>
        <v/>
      </c>
      <c r="J501" s="61" t="str">
        <f aca="false">IFERROR(IF([1]对账明细接口!$J$501=0,"",[1]对账明细接口!$J$501),"")</f>
        <v/>
      </c>
      <c r="K501" s="61" t="str">
        <f aca="false">IFERROR(IF([1]对账明细接口!$K$501=0,"",[1]对账明细接口!$K$501),"")</f>
        <v/>
      </c>
      <c r="L501" s="59" t="str">
        <f aca="false">IFERROR(IF([1]对账明细接口!$L$501=0,"",[1]对账明细接口!$L$501),"")</f>
        <v/>
      </c>
      <c r="M501" s="59" t="str">
        <f aca="false">IFERROR(IF([1]对账明细接口!$M$501=0,"",[1]对账明细接口!$M$501),"")</f>
        <v/>
      </c>
      <c r="N501" s="111" t="n">
        <f aca="false">IF($C501="",0,1)</f>
        <v>0</v>
      </c>
      <c r="O501" s="111" t="n">
        <f aca="false">N(O500)+$N501</f>
        <v>110</v>
      </c>
      <c r="S501" s="10" t="str">
        <f aca="false">IFERROR(IF([1]对账明细接口!$N501=0,"",[1]对账明细接口!$N501),"")</f>
        <v/>
      </c>
      <c r="T501" s="112" t="str">
        <f aca="false">IFERROR(IF([1]对账明细接口!$O501=0,"",[1]对账明细接口!$O501),"")</f>
        <v/>
      </c>
      <c r="U501" s="112" t="str">
        <f aca="false">IFERROR(IF([1]对账明细接口!$P501=0,"",[1]对账明细接口!$P501),"")</f>
        <v/>
      </c>
      <c r="V501" s="112" t="str">
        <f aca="false">IFERROR(IF([1]对账明细接口!$Q501=0,"",[1]对账明细接口!$Q501),"")</f>
        <v/>
      </c>
      <c r="W501" s="10" t="str">
        <f aca="false">IFERROR(IF([1]对账明细接口!$R501=0,"",[1]对账明细接口!$R501),"")</f>
        <v/>
      </c>
      <c r="X501" s="10" t="str">
        <f aca="false">IFERROR(IF([1]对账明细接口!$S501=0,"",[1]对账明细接口!$S501),"")</f>
        <v/>
      </c>
      <c r="Y501" s="10" t="str">
        <f aca="false">""</f>
        <v/>
      </c>
      <c r="Z501" s="10" t="str">
        <f aca="false">""</f>
        <v/>
      </c>
      <c r="AA501" s="10" t="str">
        <f aca="false">""</f>
        <v/>
      </c>
      <c r="AB501" s="10" t="str">
        <f aca="false">""</f>
        <v/>
      </c>
    </row>
    <row r="502" customFormat="false" ht="13.5" hidden="false" customHeight="false" outlineLevel="0" collapsed="false">
      <c r="A502" s="109" t="n">
        <v>502</v>
      </c>
      <c r="B502" s="110" t="str">
        <f aca="false">IFERROR(IF([1]对账明细接口!$B$502=0,"",[1]对账明细接口!$B$502),"")</f>
        <v/>
      </c>
      <c r="C502" s="59" t="str">
        <f aca="false">IFERROR(IF([1]对账明细接口!$C$502=0,"",[1]对账明细接口!$C$502),"")</f>
        <v/>
      </c>
      <c r="D502" s="59" t="str">
        <f aca="false">IFERROR(IF([1]对账明细接口!$D$502=0,"",[1]对账明细接口!$D$502),"")</f>
        <v/>
      </c>
      <c r="E502" s="59" t="str">
        <f aca="false">IFERROR(IF([1]对账明细接口!$E$502=0,"",[1]对账明细接口!$E$502),"")</f>
        <v/>
      </c>
      <c r="F502" s="59" t="str">
        <f aca="false">IFERROR(IF([1]对账明细接口!$F$502=0,"",[1]对账明细接口!$F$502),"")</f>
        <v/>
      </c>
      <c r="G502" s="59" t="str">
        <f aca="false">IFERROR(IF([1]对账明细接口!$G$502=0,"",[1]对账明细接口!$G$502),"")</f>
        <v/>
      </c>
      <c r="H502" s="60" t="str">
        <f aca="false">IFERROR(IF([1]对账明细接口!$H$502=0,"",[1]对账明细接口!$H$502),"")</f>
        <v/>
      </c>
      <c r="I502" s="59" t="str">
        <f aca="false">IFERROR(IF([1]对账明细接口!$I$502=0,"",[1]对账明细接口!$I$502),"")</f>
        <v/>
      </c>
      <c r="J502" s="61" t="str">
        <f aca="false">IFERROR(IF([1]对账明细接口!$J$502=0,"",[1]对账明细接口!$J$502),"")</f>
        <v/>
      </c>
      <c r="K502" s="61" t="str">
        <f aca="false">IFERROR(IF([1]对账明细接口!$K$502=0,"",[1]对账明细接口!$K$502),"")</f>
        <v/>
      </c>
      <c r="L502" s="59" t="str">
        <f aca="false">IFERROR(IF([1]对账明细接口!$L$502=0,"",[1]对账明细接口!$L$502),"")</f>
        <v/>
      </c>
      <c r="M502" s="59" t="str">
        <f aca="false">IFERROR(IF([1]对账明细接口!$M$502=0,"",[1]对账明细接口!$M$502),"")</f>
        <v/>
      </c>
      <c r="N502" s="111" t="n">
        <f aca="false">IF($C502="",0,1)</f>
        <v>0</v>
      </c>
      <c r="O502" s="111" t="n">
        <f aca="false">N(O501)+$N502</f>
        <v>110</v>
      </c>
      <c r="S502" s="10" t="str">
        <f aca="false">IFERROR(IF([1]对账明细接口!$N502=0,"",[1]对账明细接口!$N502),"")</f>
        <v/>
      </c>
      <c r="T502" s="112" t="str">
        <f aca="false">IFERROR(IF([1]对账明细接口!$O502=0,"",[1]对账明细接口!$O502),"")</f>
        <v/>
      </c>
      <c r="U502" s="112" t="str">
        <f aca="false">IFERROR(IF([1]对账明细接口!$P502=0,"",[1]对账明细接口!$P502),"")</f>
        <v/>
      </c>
      <c r="V502" s="112" t="str">
        <f aca="false">IFERROR(IF([1]对账明细接口!$Q502=0,"",[1]对账明细接口!$Q502),"")</f>
        <v/>
      </c>
      <c r="W502" s="10" t="str">
        <f aca="false">IFERROR(IF([1]对账明细接口!$R502=0,"",[1]对账明细接口!$R502),"")</f>
        <v/>
      </c>
      <c r="X502" s="10" t="str">
        <f aca="false">IFERROR(IF([1]对账明细接口!$S502=0,"",[1]对账明细接口!$S502),"")</f>
        <v/>
      </c>
      <c r="Y502" s="10" t="str">
        <f aca="false">""</f>
        <v/>
      </c>
      <c r="Z502" s="10" t="str">
        <f aca="false">""</f>
        <v/>
      </c>
      <c r="AA502" s="10" t="str">
        <f aca="false">""</f>
        <v/>
      </c>
      <c r="AB502" s="10" t="str">
        <f aca="false">""</f>
        <v/>
      </c>
    </row>
    <row r="503" customFormat="false" ht="13.5" hidden="false" customHeight="false" outlineLevel="0" collapsed="false">
      <c r="A503" s="109" t="n">
        <v>503</v>
      </c>
      <c r="B503" s="110" t="str">
        <f aca="false">IFERROR(IF([1]对账明细接口!$B$503=0,"",[1]对账明细接口!$B$503),"")</f>
        <v/>
      </c>
      <c r="C503" s="59" t="str">
        <f aca="false">IFERROR(IF([1]对账明细接口!$C$503=0,"",[1]对账明细接口!$C$503),"")</f>
        <v/>
      </c>
      <c r="D503" s="59" t="str">
        <f aca="false">IFERROR(IF([1]对账明细接口!$D$503=0,"",[1]对账明细接口!$D$503),"")</f>
        <v/>
      </c>
      <c r="E503" s="59" t="str">
        <f aca="false">IFERROR(IF([1]对账明细接口!$E$503=0,"",[1]对账明细接口!$E$503),"")</f>
        <v/>
      </c>
      <c r="F503" s="59" t="str">
        <f aca="false">IFERROR(IF([1]对账明细接口!$F$503=0,"",[1]对账明细接口!$F$503),"")</f>
        <v/>
      </c>
      <c r="G503" s="59" t="str">
        <f aca="false">IFERROR(IF([1]对账明细接口!$G$503=0,"",[1]对账明细接口!$G$503),"")</f>
        <v/>
      </c>
      <c r="H503" s="60" t="str">
        <f aca="false">IFERROR(IF([1]对账明细接口!$H$503=0,"",[1]对账明细接口!$H$503),"")</f>
        <v/>
      </c>
      <c r="I503" s="59" t="str">
        <f aca="false">IFERROR(IF([1]对账明细接口!$I$503=0,"",[1]对账明细接口!$I$503),"")</f>
        <v/>
      </c>
      <c r="J503" s="61" t="str">
        <f aca="false">IFERROR(IF([1]对账明细接口!$J$503=0,"",[1]对账明细接口!$J$503),"")</f>
        <v/>
      </c>
      <c r="K503" s="61" t="str">
        <f aca="false">IFERROR(IF([1]对账明细接口!$K$503=0,"",[1]对账明细接口!$K$503),"")</f>
        <v/>
      </c>
      <c r="L503" s="59" t="str">
        <f aca="false">IFERROR(IF([1]对账明细接口!$L$503=0,"",[1]对账明细接口!$L$503),"")</f>
        <v/>
      </c>
      <c r="M503" s="59" t="str">
        <f aca="false">IFERROR(IF([1]对账明细接口!$M$503=0,"",[1]对账明细接口!$M$503),"")</f>
        <v/>
      </c>
      <c r="N503" s="111" t="n">
        <f aca="false">IF($C503="",0,1)</f>
        <v>0</v>
      </c>
      <c r="O503" s="111" t="n">
        <f aca="false">N(O502)+$N503</f>
        <v>110</v>
      </c>
      <c r="S503" s="10" t="str">
        <f aca="false">IFERROR(IF([1]对账明细接口!$N503=0,"",[1]对账明细接口!$N503),"")</f>
        <v/>
      </c>
      <c r="T503" s="112" t="str">
        <f aca="false">IFERROR(IF([1]对账明细接口!$O503=0,"",[1]对账明细接口!$O503),"")</f>
        <v/>
      </c>
      <c r="U503" s="112" t="str">
        <f aca="false">IFERROR(IF([1]对账明细接口!$P503=0,"",[1]对账明细接口!$P503),"")</f>
        <v/>
      </c>
      <c r="V503" s="112" t="str">
        <f aca="false">IFERROR(IF([1]对账明细接口!$Q503=0,"",[1]对账明细接口!$Q503),"")</f>
        <v/>
      </c>
      <c r="W503" s="10" t="str">
        <f aca="false">IFERROR(IF([1]对账明细接口!$R503=0,"",[1]对账明细接口!$R503),"")</f>
        <v/>
      </c>
      <c r="X503" s="10" t="str">
        <f aca="false">IFERROR(IF([1]对账明细接口!$S503=0,"",[1]对账明细接口!$S503),"")</f>
        <v/>
      </c>
      <c r="Y503" s="10" t="str">
        <f aca="false">""</f>
        <v/>
      </c>
      <c r="Z503" s="10" t="str">
        <f aca="false">""</f>
        <v/>
      </c>
      <c r="AA503" s="10" t="str">
        <f aca="false">""</f>
        <v/>
      </c>
      <c r="AB503" s="10" t="str">
        <f aca="false">""</f>
        <v/>
      </c>
    </row>
    <row r="504" customFormat="false" ht="13.5" hidden="false" customHeight="false" outlineLevel="0" collapsed="false">
      <c r="A504" s="109" t="n">
        <v>504</v>
      </c>
      <c r="B504" s="110" t="str">
        <f aca="false">IFERROR(IF([1]对账明细接口!$B$504=0,"",[1]对账明细接口!$B$504),"")</f>
        <v/>
      </c>
      <c r="C504" s="59" t="str">
        <f aca="false">IFERROR(IF([1]对账明细接口!$C$504=0,"",[1]对账明细接口!$C$504),"")</f>
        <v/>
      </c>
      <c r="D504" s="59" t="str">
        <f aca="false">IFERROR(IF([1]对账明细接口!$D$504=0,"",[1]对账明细接口!$D$504),"")</f>
        <v/>
      </c>
      <c r="E504" s="59" t="str">
        <f aca="false">IFERROR(IF([1]对账明细接口!$E$504=0,"",[1]对账明细接口!$E$504),"")</f>
        <v/>
      </c>
      <c r="F504" s="59" t="str">
        <f aca="false">IFERROR(IF([1]对账明细接口!$F$504=0,"",[1]对账明细接口!$F$504),"")</f>
        <v/>
      </c>
      <c r="G504" s="59" t="str">
        <f aca="false">IFERROR(IF([1]对账明细接口!$G$504=0,"",[1]对账明细接口!$G$504),"")</f>
        <v/>
      </c>
      <c r="H504" s="60" t="str">
        <f aca="false">IFERROR(IF([1]对账明细接口!$H$504=0,"",[1]对账明细接口!$H$504),"")</f>
        <v/>
      </c>
      <c r="I504" s="59" t="str">
        <f aca="false">IFERROR(IF([1]对账明细接口!$I$504=0,"",[1]对账明细接口!$I$504),"")</f>
        <v/>
      </c>
      <c r="J504" s="61" t="str">
        <f aca="false">IFERROR(IF([1]对账明细接口!$J$504=0,"",[1]对账明细接口!$J$504),"")</f>
        <v/>
      </c>
      <c r="K504" s="61" t="str">
        <f aca="false">IFERROR(IF([1]对账明细接口!$K$504=0,"",[1]对账明细接口!$K$504),"")</f>
        <v/>
      </c>
      <c r="L504" s="59" t="str">
        <f aca="false">IFERROR(IF([1]对账明细接口!$L$504=0,"",[1]对账明细接口!$L$504),"")</f>
        <v/>
      </c>
      <c r="M504" s="59" t="str">
        <f aca="false">IFERROR(IF([1]对账明细接口!$M$504=0,"",[1]对账明细接口!$M$504),"")</f>
        <v/>
      </c>
      <c r="N504" s="111" t="n">
        <f aca="false">IF($C504="",0,1)</f>
        <v>0</v>
      </c>
      <c r="O504" s="111" t="n">
        <f aca="false">N(O503)+$N504</f>
        <v>110</v>
      </c>
      <c r="S504" s="10" t="str">
        <f aca="false">IFERROR(IF([1]对账明细接口!$N504=0,"",[1]对账明细接口!$N504),"")</f>
        <v/>
      </c>
      <c r="T504" s="112" t="str">
        <f aca="false">IFERROR(IF([1]对账明细接口!$O504=0,"",[1]对账明细接口!$O504),"")</f>
        <v/>
      </c>
      <c r="U504" s="112" t="str">
        <f aca="false">IFERROR(IF([1]对账明细接口!$P504=0,"",[1]对账明细接口!$P504),"")</f>
        <v/>
      </c>
      <c r="V504" s="112" t="str">
        <f aca="false">IFERROR(IF([1]对账明细接口!$Q504=0,"",[1]对账明细接口!$Q504),"")</f>
        <v/>
      </c>
      <c r="W504" s="10" t="str">
        <f aca="false">IFERROR(IF([1]对账明细接口!$R504=0,"",[1]对账明细接口!$R504),"")</f>
        <v/>
      </c>
      <c r="X504" s="10" t="str">
        <f aca="false">IFERROR(IF([1]对账明细接口!$S504=0,"",[1]对账明细接口!$S504),"")</f>
        <v/>
      </c>
      <c r="Y504" s="10" t="str">
        <f aca="false">""</f>
        <v/>
      </c>
      <c r="Z504" s="10" t="str">
        <f aca="false">""</f>
        <v/>
      </c>
      <c r="AA504" s="10" t="str">
        <f aca="false">""</f>
        <v/>
      </c>
      <c r="AB504" s="10" t="str">
        <f aca="false">""</f>
        <v/>
      </c>
    </row>
    <row r="505" customFormat="false" ht="13.5" hidden="false" customHeight="false" outlineLevel="0" collapsed="false">
      <c r="A505" s="109" t="n">
        <v>505</v>
      </c>
      <c r="B505" s="110" t="str">
        <f aca="false">IFERROR(IF([1]对账明细接口!$B$505=0,"",[1]对账明细接口!$B$505),"")</f>
        <v/>
      </c>
      <c r="C505" s="59" t="str">
        <f aca="false">IFERROR(IF([1]对账明细接口!$C$505=0,"",[1]对账明细接口!$C$505),"")</f>
        <v/>
      </c>
      <c r="D505" s="59" t="str">
        <f aca="false">IFERROR(IF([1]对账明细接口!$D$505=0,"",[1]对账明细接口!$D$505),"")</f>
        <v/>
      </c>
      <c r="E505" s="59" t="str">
        <f aca="false">IFERROR(IF([1]对账明细接口!$E$505=0,"",[1]对账明细接口!$E$505),"")</f>
        <v/>
      </c>
      <c r="F505" s="59" t="str">
        <f aca="false">IFERROR(IF([1]对账明细接口!$F$505=0,"",[1]对账明细接口!$F$505),"")</f>
        <v/>
      </c>
      <c r="G505" s="59" t="str">
        <f aca="false">IFERROR(IF([1]对账明细接口!$G$505=0,"",[1]对账明细接口!$G$505),"")</f>
        <v/>
      </c>
      <c r="H505" s="60" t="str">
        <f aca="false">IFERROR(IF([1]对账明细接口!$H$505=0,"",[1]对账明细接口!$H$505),"")</f>
        <v/>
      </c>
      <c r="I505" s="59" t="str">
        <f aca="false">IFERROR(IF([1]对账明细接口!$I$505=0,"",[1]对账明细接口!$I$505),"")</f>
        <v/>
      </c>
      <c r="J505" s="61" t="str">
        <f aca="false">IFERROR(IF([1]对账明细接口!$J$505=0,"",[1]对账明细接口!$J$505),"")</f>
        <v/>
      </c>
      <c r="K505" s="61" t="str">
        <f aca="false">IFERROR(IF([1]对账明细接口!$K$505=0,"",[1]对账明细接口!$K$505),"")</f>
        <v/>
      </c>
      <c r="L505" s="59" t="str">
        <f aca="false">IFERROR(IF([1]对账明细接口!$L$505=0,"",[1]对账明细接口!$L$505),"")</f>
        <v/>
      </c>
      <c r="M505" s="59" t="str">
        <f aca="false">IFERROR(IF([1]对账明细接口!$M$505=0,"",[1]对账明细接口!$M$505),"")</f>
        <v/>
      </c>
      <c r="N505" s="111" t="n">
        <f aca="false">IF($C505="",0,1)</f>
        <v>0</v>
      </c>
      <c r="O505" s="111" t="n">
        <f aca="false">N(O504)+$N505</f>
        <v>110</v>
      </c>
      <c r="S505" s="10" t="str">
        <f aca="false">IFERROR(IF([1]对账明细接口!$N505=0,"",[1]对账明细接口!$N505),"")</f>
        <v/>
      </c>
      <c r="T505" s="112" t="str">
        <f aca="false">IFERROR(IF([1]对账明细接口!$O505=0,"",[1]对账明细接口!$O505),"")</f>
        <v/>
      </c>
      <c r="U505" s="112" t="str">
        <f aca="false">IFERROR(IF([1]对账明细接口!$P505=0,"",[1]对账明细接口!$P505),"")</f>
        <v/>
      </c>
      <c r="V505" s="112" t="str">
        <f aca="false">IFERROR(IF([1]对账明细接口!$Q505=0,"",[1]对账明细接口!$Q505),"")</f>
        <v/>
      </c>
      <c r="W505" s="10" t="str">
        <f aca="false">IFERROR(IF([1]对账明细接口!$R505=0,"",[1]对账明细接口!$R505),"")</f>
        <v/>
      </c>
      <c r="X505" s="10" t="str">
        <f aca="false">IFERROR(IF([1]对账明细接口!$S505=0,"",[1]对账明细接口!$S505),"")</f>
        <v/>
      </c>
      <c r="Y505" s="10" t="str">
        <f aca="false">""</f>
        <v/>
      </c>
      <c r="Z505" s="10" t="str">
        <f aca="false">""</f>
        <v/>
      </c>
      <c r="AA505" s="10" t="str">
        <f aca="false">""</f>
        <v/>
      </c>
      <c r="AB505" s="10" t="str">
        <f aca="false">""</f>
        <v/>
      </c>
    </row>
    <row r="506" customFormat="false" ht="13.5" hidden="false" customHeight="false" outlineLevel="0" collapsed="false">
      <c r="A506" s="109" t="n">
        <v>506</v>
      </c>
      <c r="B506" s="110" t="str">
        <f aca="false">IFERROR(IF([1]对账明细接口!$B$506=0,"",[1]对账明细接口!$B$506),"")</f>
        <v/>
      </c>
      <c r="C506" s="59" t="str">
        <f aca="false">IFERROR(IF([1]对账明细接口!$C$506=0,"",[1]对账明细接口!$C$506),"")</f>
        <v/>
      </c>
      <c r="D506" s="59" t="str">
        <f aca="false">IFERROR(IF([1]对账明细接口!$D$506=0,"",[1]对账明细接口!$D$506),"")</f>
        <v/>
      </c>
      <c r="E506" s="59" t="str">
        <f aca="false">IFERROR(IF([1]对账明细接口!$E$506=0,"",[1]对账明细接口!$E$506),"")</f>
        <v/>
      </c>
      <c r="F506" s="59" t="str">
        <f aca="false">IFERROR(IF([1]对账明细接口!$F$506=0,"",[1]对账明细接口!$F$506),"")</f>
        <v/>
      </c>
      <c r="G506" s="59" t="str">
        <f aca="false">IFERROR(IF([1]对账明细接口!$G$506=0,"",[1]对账明细接口!$G$506),"")</f>
        <v/>
      </c>
      <c r="H506" s="60" t="str">
        <f aca="false">IFERROR(IF([1]对账明细接口!$H$506=0,"",[1]对账明细接口!$H$506),"")</f>
        <v/>
      </c>
      <c r="I506" s="59" t="str">
        <f aca="false">IFERROR(IF([1]对账明细接口!$I$506=0,"",[1]对账明细接口!$I$506),"")</f>
        <v/>
      </c>
      <c r="J506" s="61" t="str">
        <f aca="false">IFERROR(IF([1]对账明细接口!$J$506=0,"",[1]对账明细接口!$J$506),"")</f>
        <v/>
      </c>
      <c r="K506" s="61" t="str">
        <f aca="false">IFERROR(IF([1]对账明细接口!$K$506=0,"",[1]对账明细接口!$K$506),"")</f>
        <v/>
      </c>
      <c r="L506" s="59" t="str">
        <f aca="false">IFERROR(IF([1]对账明细接口!$L$506=0,"",[1]对账明细接口!$L$506),"")</f>
        <v/>
      </c>
      <c r="M506" s="59" t="str">
        <f aca="false">IFERROR(IF([1]对账明细接口!$M$506=0,"",[1]对账明细接口!$M$506),"")</f>
        <v/>
      </c>
      <c r="N506" s="111" t="n">
        <f aca="false">IF($C506="",0,1)</f>
        <v>0</v>
      </c>
      <c r="O506" s="111" t="n">
        <f aca="false">N(O505)+$N506</f>
        <v>110</v>
      </c>
      <c r="S506" s="10" t="str">
        <f aca="false">IFERROR(IF([1]对账明细接口!$N506=0,"",[1]对账明细接口!$N506),"")</f>
        <v/>
      </c>
      <c r="T506" s="112" t="str">
        <f aca="false">IFERROR(IF([1]对账明细接口!$O506=0,"",[1]对账明细接口!$O506),"")</f>
        <v/>
      </c>
      <c r="U506" s="112" t="str">
        <f aca="false">IFERROR(IF([1]对账明细接口!$P506=0,"",[1]对账明细接口!$P506),"")</f>
        <v/>
      </c>
      <c r="V506" s="112" t="str">
        <f aca="false">IFERROR(IF([1]对账明细接口!$Q506=0,"",[1]对账明细接口!$Q506),"")</f>
        <v/>
      </c>
      <c r="W506" s="10" t="str">
        <f aca="false">IFERROR(IF([1]对账明细接口!$R506=0,"",[1]对账明细接口!$R506),"")</f>
        <v/>
      </c>
      <c r="X506" s="10" t="str">
        <f aca="false">IFERROR(IF([1]对账明细接口!$S506=0,"",[1]对账明细接口!$S506),"")</f>
        <v/>
      </c>
      <c r="Y506" s="10" t="str">
        <f aca="false">""</f>
        <v/>
      </c>
      <c r="Z506" s="10" t="str">
        <f aca="false">""</f>
        <v/>
      </c>
      <c r="AA506" s="10" t="str">
        <f aca="false">""</f>
        <v/>
      </c>
      <c r="AB506" s="10" t="str">
        <f aca="false">""</f>
        <v/>
      </c>
    </row>
    <row r="507" customFormat="false" ht="13.5" hidden="false" customHeight="false" outlineLevel="0" collapsed="false">
      <c r="A507" s="109" t="n">
        <v>507</v>
      </c>
      <c r="B507" s="110" t="str">
        <f aca="false">IFERROR(IF([1]对账明细接口!$B$507=0,"",[1]对账明细接口!$B$507),"")</f>
        <v/>
      </c>
      <c r="C507" s="59" t="str">
        <f aca="false">IFERROR(IF([1]对账明细接口!$C$507=0,"",[1]对账明细接口!$C$507),"")</f>
        <v/>
      </c>
      <c r="D507" s="59" t="str">
        <f aca="false">IFERROR(IF([1]对账明细接口!$D$507=0,"",[1]对账明细接口!$D$507),"")</f>
        <v/>
      </c>
      <c r="E507" s="59" t="str">
        <f aca="false">IFERROR(IF([1]对账明细接口!$E$507=0,"",[1]对账明细接口!$E$507),"")</f>
        <v/>
      </c>
      <c r="F507" s="59" t="str">
        <f aca="false">IFERROR(IF([1]对账明细接口!$F$507=0,"",[1]对账明细接口!$F$507),"")</f>
        <v/>
      </c>
      <c r="G507" s="59" t="str">
        <f aca="false">IFERROR(IF([1]对账明细接口!$G$507=0,"",[1]对账明细接口!$G$507),"")</f>
        <v/>
      </c>
      <c r="H507" s="60" t="str">
        <f aca="false">IFERROR(IF([1]对账明细接口!$H$507=0,"",[1]对账明细接口!$H$507),"")</f>
        <v/>
      </c>
      <c r="I507" s="59" t="str">
        <f aca="false">IFERROR(IF([1]对账明细接口!$I$507=0,"",[1]对账明细接口!$I$507),"")</f>
        <v/>
      </c>
      <c r="J507" s="61" t="str">
        <f aca="false">IFERROR(IF([1]对账明细接口!$J$507=0,"",[1]对账明细接口!$J$507),"")</f>
        <v/>
      </c>
      <c r="K507" s="61" t="str">
        <f aca="false">IFERROR(IF([1]对账明细接口!$K$507=0,"",[1]对账明细接口!$K$507),"")</f>
        <v/>
      </c>
      <c r="L507" s="59" t="str">
        <f aca="false">IFERROR(IF([1]对账明细接口!$L$507=0,"",[1]对账明细接口!$L$507),"")</f>
        <v/>
      </c>
      <c r="M507" s="59" t="str">
        <f aca="false">IFERROR(IF([1]对账明细接口!$M$507=0,"",[1]对账明细接口!$M$507),"")</f>
        <v/>
      </c>
      <c r="N507" s="111" t="n">
        <f aca="false">IF($C507="",0,1)</f>
        <v>0</v>
      </c>
      <c r="O507" s="111" t="n">
        <f aca="false">N(O506)+$N507</f>
        <v>110</v>
      </c>
      <c r="S507" s="10" t="str">
        <f aca="false">IFERROR(IF([1]对账明细接口!$N507=0,"",[1]对账明细接口!$N507),"")</f>
        <v/>
      </c>
      <c r="T507" s="112" t="str">
        <f aca="false">IFERROR(IF([1]对账明细接口!$O507=0,"",[1]对账明细接口!$O507),"")</f>
        <v/>
      </c>
      <c r="U507" s="112" t="str">
        <f aca="false">IFERROR(IF([1]对账明细接口!$P507=0,"",[1]对账明细接口!$P507),"")</f>
        <v/>
      </c>
      <c r="V507" s="112" t="str">
        <f aca="false">IFERROR(IF([1]对账明细接口!$Q507=0,"",[1]对账明细接口!$Q507),"")</f>
        <v/>
      </c>
      <c r="W507" s="10" t="str">
        <f aca="false">IFERROR(IF([1]对账明细接口!$R507=0,"",[1]对账明细接口!$R507),"")</f>
        <v/>
      </c>
      <c r="X507" s="10" t="str">
        <f aca="false">IFERROR(IF([1]对账明细接口!$S507=0,"",[1]对账明细接口!$S507),"")</f>
        <v/>
      </c>
      <c r="Y507" s="10" t="str">
        <f aca="false">""</f>
        <v/>
      </c>
      <c r="Z507" s="10" t="str">
        <f aca="false">""</f>
        <v/>
      </c>
      <c r="AA507" s="10" t="str">
        <f aca="false">""</f>
        <v/>
      </c>
      <c r="AB507" s="10" t="str">
        <f aca="false">""</f>
        <v/>
      </c>
    </row>
    <row r="508" customFormat="false" ht="13.5" hidden="false" customHeight="false" outlineLevel="0" collapsed="false">
      <c r="A508" s="109" t="n">
        <v>508</v>
      </c>
      <c r="B508" s="110" t="str">
        <f aca="false">IFERROR(IF([1]对账明细接口!$B$508=0,"",[1]对账明细接口!$B$508),"")</f>
        <v/>
      </c>
      <c r="C508" s="59" t="str">
        <f aca="false">IFERROR(IF([1]对账明细接口!$C$508=0,"",[1]对账明细接口!$C$508),"")</f>
        <v/>
      </c>
      <c r="D508" s="59" t="str">
        <f aca="false">IFERROR(IF([1]对账明细接口!$D$508=0,"",[1]对账明细接口!$D$508),"")</f>
        <v/>
      </c>
      <c r="E508" s="59" t="str">
        <f aca="false">IFERROR(IF([1]对账明细接口!$E$508=0,"",[1]对账明细接口!$E$508),"")</f>
        <v/>
      </c>
      <c r="F508" s="59" t="str">
        <f aca="false">IFERROR(IF([1]对账明细接口!$F$508=0,"",[1]对账明细接口!$F$508),"")</f>
        <v/>
      </c>
      <c r="G508" s="59" t="str">
        <f aca="false">IFERROR(IF([1]对账明细接口!$G$508=0,"",[1]对账明细接口!$G$508),"")</f>
        <v/>
      </c>
      <c r="H508" s="60" t="str">
        <f aca="false">IFERROR(IF([1]对账明细接口!$H$508=0,"",[1]对账明细接口!$H$508),"")</f>
        <v/>
      </c>
      <c r="I508" s="59" t="str">
        <f aca="false">IFERROR(IF([1]对账明细接口!$I$508=0,"",[1]对账明细接口!$I$508),"")</f>
        <v/>
      </c>
      <c r="J508" s="61" t="str">
        <f aca="false">IFERROR(IF([1]对账明细接口!$J$508=0,"",[1]对账明细接口!$J$508),"")</f>
        <v/>
      </c>
      <c r="K508" s="61" t="str">
        <f aca="false">IFERROR(IF([1]对账明细接口!$K$508=0,"",[1]对账明细接口!$K$508),"")</f>
        <v/>
      </c>
      <c r="L508" s="59" t="str">
        <f aca="false">IFERROR(IF([1]对账明细接口!$L$508=0,"",[1]对账明细接口!$L$508),"")</f>
        <v/>
      </c>
      <c r="M508" s="59" t="str">
        <f aca="false">IFERROR(IF([1]对账明细接口!$M$508=0,"",[1]对账明细接口!$M$508),"")</f>
        <v/>
      </c>
      <c r="N508" s="111" t="n">
        <f aca="false">IF($C508="",0,1)</f>
        <v>0</v>
      </c>
      <c r="O508" s="111" t="n">
        <f aca="false">N(O507)+$N508</f>
        <v>110</v>
      </c>
      <c r="S508" s="10" t="str">
        <f aca="false">IFERROR(IF([1]对账明细接口!$N508=0,"",[1]对账明细接口!$N508),"")</f>
        <v/>
      </c>
      <c r="T508" s="112" t="str">
        <f aca="false">IFERROR(IF([1]对账明细接口!$O508=0,"",[1]对账明细接口!$O508),"")</f>
        <v/>
      </c>
      <c r="U508" s="112" t="str">
        <f aca="false">IFERROR(IF([1]对账明细接口!$P508=0,"",[1]对账明细接口!$P508),"")</f>
        <v/>
      </c>
      <c r="V508" s="112" t="str">
        <f aca="false">IFERROR(IF([1]对账明细接口!$Q508=0,"",[1]对账明细接口!$Q508),"")</f>
        <v/>
      </c>
      <c r="W508" s="10" t="str">
        <f aca="false">IFERROR(IF([1]对账明细接口!$R508=0,"",[1]对账明细接口!$R508),"")</f>
        <v/>
      </c>
      <c r="X508" s="10" t="str">
        <f aca="false">IFERROR(IF([1]对账明细接口!$S508=0,"",[1]对账明细接口!$S508),"")</f>
        <v/>
      </c>
      <c r="Y508" s="10" t="str">
        <f aca="false">""</f>
        <v/>
      </c>
      <c r="Z508" s="10" t="str">
        <f aca="false">""</f>
        <v/>
      </c>
      <c r="AA508" s="10" t="str">
        <f aca="false">""</f>
        <v/>
      </c>
      <c r="AB508" s="10" t="str">
        <f aca="false">""</f>
        <v/>
      </c>
    </row>
    <row r="509" customFormat="false" ht="13.5" hidden="false" customHeight="false" outlineLevel="0" collapsed="false">
      <c r="A509" s="109" t="n">
        <v>509</v>
      </c>
      <c r="B509" s="110" t="str">
        <f aca="false">IFERROR(IF([1]对账明细接口!$B$509=0,"",[1]对账明细接口!$B$509),"")</f>
        <v/>
      </c>
      <c r="C509" s="59" t="str">
        <f aca="false">IFERROR(IF([1]对账明细接口!$C$509=0,"",[1]对账明细接口!$C$509),"")</f>
        <v/>
      </c>
      <c r="D509" s="59" t="str">
        <f aca="false">IFERROR(IF([1]对账明细接口!$D$509=0,"",[1]对账明细接口!$D$509),"")</f>
        <v/>
      </c>
      <c r="E509" s="59" t="str">
        <f aca="false">IFERROR(IF([1]对账明细接口!$E$509=0,"",[1]对账明细接口!$E$509),"")</f>
        <v/>
      </c>
      <c r="F509" s="59" t="str">
        <f aca="false">IFERROR(IF([1]对账明细接口!$F$509=0,"",[1]对账明细接口!$F$509),"")</f>
        <v/>
      </c>
      <c r="G509" s="59" t="str">
        <f aca="false">IFERROR(IF([1]对账明细接口!$G$509=0,"",[1]对账明细接口!$G$509),"")</f>
        <v/>
      </c>
      <c r="H509" s="60" t="str">
        <f aca="false">IFERROR(IF([1]对账明细接口!$H$509=0,"",[1]对账明细接口!$H$509),"")</f>
        <v/>
      </c>
      <c r="I509" s="59" t="str">
        <f aca="false">IFERROR(IF([1]对账明细接口!$I$509=0,"",[1]对账明细接口!$I$509),"")</f>
        <v/>
      </c>
      <c r="J509" s="61" t="str">
        <f aca="false">IFERROR(IF([1]对账明细接口!$J$509=0,"",[1]对账明细接口!$J$509),"")</f>
        <v/>
      </c>
      <c r="K509" s="61" t="str">
        <f aca="false">IFERROR(IF([1]对账明细接口!$K$509=0,"",[1]对账明细接口!$K$509),"")</f>
        <v/>
      </c>
      <c r="L509" s="59" t="str">
        <f aca="false">IFERROR(IF([1]对账明细接口!$L$509=0,"",[1]对账明细接口!$L$509),"")</f>
        <v/>
      </c>
      <c r="M509" s="59" t="str">
        <f aca="false">IFERROR(IF([1]对账明细接口!$M$509=0,"",[1]对账明细接口!$M$509),"")</f>
        <v/>
      </c>
      <c r="N509" s="111" t="n">
        <f aca="false">IF($C509="",0,1)</f>
        <v>0</v>
      </c>
      <c r="O509" s="111" t="n">
        <f aca="false">N(O508)+$N509</f>
        <v>110</v>
      </c>
      <c r="S509" s="10" t="str">
        <f aca="false">IFERROR(IF([1]对账明细接口!$N509=0,"",[1]对账明细接口!$N509),"")</f>
        <v/>
      </c>
      <c r="T509" s="112" t="str">
        <f aca="false">IFERROR(IF([1]对账明细接口!$O509=0,"",[1]对账明细接口!$O509),"")</f>
        <v/>
      </c>
      <c r="U509" s="112" t="str">
        <f aca="false">IFERROR(IF([1]对账明细接口!$P509=0,"",[1]对账明细接口!$P509),"")</f>
        <v/>
      </c>
      <c r="V509" s="112" t="str">
        <f aca="false">IFERROR(IF([1]对账明细接口!$Q509=0,"",[1]对账明细接口!$Q509),"")</f>
        <v/>
      </c>
      <c r="W509" s="10" t="str">
        <f aca="false">IFERROR(IF([1]对账明细接口!$R509=0,"",[1]对账明细接口!$R509),"")</f>
        <v/>
      </c>
      <c r="X509" s="10" t="str">
        <f aca="false">IFERROR(IF([1]对账明细接口!$S509=0,"",[1]对账明细接口!$S509),"")</f>
        <v/>
      </c>
      <c r="Y509" s="10" t="str">
        <f aca="false">""</f>
        <v/>
      </c>
      <c r="Z509" s="10" t="str">
        <f aca="false">""</f>
        <v/>
      </c>
      <c r="AA509" s="10" t="str">
        <f aca="false">""</f>
        <v/>
      </c>
      <c r="AB509" s="10" t="str">
        <f aca="false">""</f>
        <v/>
      </c>
    </row>
    <row r="510" customFormat="false" ht="13.5" hidden="false" customHeight="false" outlineLevel="0" collapsed="false">
      <c r="A510" s="109" t="n">
        <v>510</v>
      </c>
      <c r="B510" s="110" t="str">
        <f aca="false">IFERROR(IF([1]对账明细接口!$B$510=0,"",[1]对账明细接口!$B$510),"")</f>
        <v/>
      </c>
      <c r="C510" s="59" t="str">
        <f aca="false">IFERROR(IF([1]对账明细接口!$C$510=0,"",[1]对账明细接口!$C$510),"")</f>
        <v/>
      </c>
      <c r="D510" s="59" t="str">
        <f aca="false">IFERROR(IF([1]对账明细接口!$D$510=0,"",[1]对账明细接口!$D$510),"")</f>
        <v/>
      </c>
      <c r="E510" s="59" t="str">
        <f aca="false">IFERROR(IF([1]对账明细接口!$E$510=0,"",[1]对账明细接口!$E$510),"")</f>
        <v/>
      </c>
      <c r="F510" s="59" t="str">
        <f aca="false">IFERROR(IF([1]对账明细接口!$F$510=0,"",[1]对账明细接口!$F$510),"")</f>
        <v/>
      </c>
      <c r="G510" s="59" t="str">
        <f aca="false">IFERROR(IF([1]对账明细接口!$G$510=0,"",[1]对账明细接口!$G$510),"")</f>
        <v/>
      </c>
      <c r="H510" s="60" t="str">
        <f aca="false">IFERROR(IF([1]对账明细接口!$H$510=0,"",[1]对账明细接口!$H$510),"")</f>
        <v/>
      </c>
      <c r="I510" s="59" t="str">
        <f aca="false">IFERROR(IF([1]对账明细接口!$I$510=0,"",[1]对账明细接口!$I$510),"")</f>
        <v/>
      </c>
      <c r="J510" s="61" t="str">
        <f aca="false">IFERROR(IF([1]对账明细接口!$J$510=0,"",[1]对账明细接口!$J$510),"")</f>
        <v/>
      </c>
      <c r="K510" s="61" t="str">
        <f aca="false">IFERROR(IF([1]对账明细接口!$K$510=0,"",[1]对账明细接口!$K$510),"")</f>
        <v/>
      </c>
      <c r="L510" s="59" t="str">
        <f aca="false">IFERROR(IF([1]对账明细接口!$L$510=0,"",[1]对账明细接口!$L$510),"")</f>
        <v/>
      </c>
      <c r="M510" s="59" t="str">
        <f aca="false">IFERROR(IF([1]对账明细接口!$M$510=0,"",[1]对账明细接口!$M$510),"")</f>
        <v/>
      </c>
      <c r="N510" s="111" t="n">
        <f aca="false">IF($C510="",0,1)</f>
        <v>0</v>
      </c>
      <c r="O510" s="111" t="n">
        <f aca="false">N(O509)+$N510</f>
        <v>110</v>
      </c>
      <c r="S510" s="10" t="str">
        <f aca="false">IFERROR(IF([1]对账明细接口!$N510=0,"",[1]对账明细接口!$N510),"")</f>
        <v/>
      </c>
      <c r="T510" s="112" t="str">
        <f aca="false">IFERROR(IF([1]对账明细接口!$O510=0,"",[1]对账明细接口!$O510),"")</f>
        <v/>
      </c>
      <c r="U510" s="112" t="str">
        <f aca="false">IFERROR(IF([1]对账明细接口!$P510=0,"",[1]对账明细接口!$P510),"")</f>
        <v/>
      </c>
      <c r="V510" s="112" t="str">
        <f aca="false">IFERROR(IF([1]对账明细接口!$Q510=0,"",[1]对账明细接口!$Q510),"")</f>
        <v/>
      </c>
      <c r="W510" s="10" t="str">
        <f aca="false">IFERROR(IF([1]对账明细接口!$R510=0,"",[1]对账明细接口!$R510),"")</f>
        <v/>
      </c>
      <c r="X510" s="10" t="str">
        <f aca="false">IFERROR(IF([1]对账明细接口!$S510=0,"",[1]对账明细接口!$S510),"")</f>
        <v/>
      </c>
      <c r="Y510" s="10" t="str">
        <f aca="false">""</f>
        <v/>
      </c>
      <c r="Z510" s="10" t="str">
        <f aca="false">""</f>
        <v/>
      </c>
      <c r="AA510" s="10" t="str">
        <f aca="false">""</f>
        <v/>
      </c>
      <c r="AB510" s="10" t="str">
        <f aca="false">""</f>
        <v/>
      </c>
    </row>
    <row r="511" customFormat="false" ht="13.5" hidden="false" customHeight="false" outlineLevel="0" collapsed="false">
      <c r="A511" s="109" t="n">
        <v>511</v>
      </c>
      <c r="B511" s="110" t="str">
        <f aca="false">IFERROR(IF([1]对账明细接口!$B$511=0,"",[1]对账明细接口!$B$511),"")</f>
        <v/>
      </c>
      <c r="C511" s="59" t="str">
        <f aca="false">IFERROR(IF([1]对账明细接口!$C$511=0,"",[1]对账明细接口!$C$511),"")</f>
        <v/>
      </c>
      <c r="D511" s="59" t="str">
        <f aca="false">IFERROR(IF([1]对账明细接口!$D$511=0,"",[1]对账明细接口!$D$511),"")</f>
        <v/>
      </c>
      <c r="E511" s="59" t="str">
        <f aca="false">IFERROR(IF([1]对账明细接口!$E$511=0,"",[1]对账明细接口!$E$511),"")</f>
        <v/>
      </c>
      <c r="F511" s="59" t="str">
        <f aca="false">IFERROR(IF([1]对账明细接口!$F$511=0,"",[1]对账明细接口!$F$511),"")</f>
        <v/>
      </c>
      <c r="G511" s="59" t="str">
        <f aca="false">IFERROR(IF([1]对账明细接口!$G$511=0,"",[1]对账明细接口!$G$511),"")</f>
        <v/>
      </c>
      <c r="H511" s="60" t="str">
        <f aca="false">IFERROR(IF([1]对账明细接口!$H$511=0,"",[1]对账明细接口!$H$511),"")</f>
        <v/>
      </c>
      <c r="I511" s="59" t="str">
        <f aca="false">IFERROR(IF([1]对账明细接口!$I$511=0,"",[1]对账明细接口!$I$511),"")</f>
        <v/>
      </c>
      <c r="J511" s="61" t="str">
        <f aca="false">IFERROR(IF([1]对账明细接口!$J$511=0,"",[1]对账明细接口!$J$511),"")</f>
        <v/>
      </c>
      <c r="K511" s="61" t="str">
        <f aca="false">IFERROR(IF([1]对账明细接口!$K$511=0,"",[1]对账明细接口!$K$511),"")</f>
        <v/>
      </c>
      <c r="L511" s="59" t="str">
        <f aca="false">IFERROR(IF([1]对账明细接口!$L$511=0,"",[1]对账明细接口!$L$511),"")</f>
        <v/>
      </c>
      <c r="M511" s="59" t="str">
        <f aca="false">IFERROR(IF([1]对账明细接口!$M$511=0,"",[1]对账明细接口!$M$511),"")</f>
        <v/>
      </c>
      <c r="N511" s="111" t="n">
        <f aca="false">IF($C511="",0,1)</f>
        <v>0</v>
      </c>
      <c r="O511" s="111" t="n">
        <f aca="false">N(O510)+$N511</f>
        <v>110</v>
      </c>
      <c r="S511" s="10" t="str">
        <f aca="false">IFERROR(IF([1]对账明细接口!$N511=0,"",[1]对账明细接口!$N511),"")</f>
        <v/>
      </c>
      <c r="T511" s="112" t="str">
        <f aca="false">IFERROR(IF([1]对账明细接口!$O511=0,"",[1]对账明细接口!$O511),"")</f>
        <v/>
      </c>
      <c r="U511" s="112" t="str">
        <f aca="false">IFERROR(IF([1]对账明细接口!$P511=0,"",[1]对账明细接口!$P511),"")</f>
        <v/>
      </c>
      <c r="V511" s="112" t="str">
        <f aca="false">IFERROR(IF([1]对账明细接口!$Q511=0,"",[1]对账明细接口!$Q511),"")</f>
        <v/>
      </c>
      <c r="W511" s="10" t="str">
        <f aca="false">IFERROR(IF([1]对账明细接口!$R511=0,"",[1]对账明细接口!$R511),"")</f>
        <v/>
      </c>
      <c r="X511" s="10" t="str">
        <f aca="false">IFERROR(IF([1]对账明细接口!$S511=0,"",[1]对账明细接口!$S511),"")</f>
        <v/>
      </c>
      <c r="Y511" s="10" t="str">
        <f aca="false">""</f>
        <v/>
      </c>
      <c r="Z511" s="10" t="str">
        <f aca="false">""</f>
        <v/>
      </c>
      <c r="AA511" s="10" t="str">
        <f aca="false">""</f>
        <v/>
      </c>
      <c r="AB511" s="10" t="str">
        <f aca="false">""</f>
        <v/>
      </c>
    </row>
    <row r="512" customFormat="false" ht="13.5" hidden="false" customHeight="false" outlineLevel="0" collapsed="false">
      <c r="A512" s="109" t="n">
        <v>512</v>
      </c>
      <c r="B512" s="110" t="str">
        <f aca="false">IFERROR(IF([1]对账明细接口!$B$512=0,"",[1]对账明细接口!$B$512),"")</f>
        <v/>
      </c>
      <c r="C512" s="59" t="str">
        <f aca="false">IFERROR(IF([1]对账明细接口!$C$512=0,"",[1]对账明细接口!$C$512),"")</f>
        <v/>
      </c>
      <c r="D512" s="59" t="str">
        <f aca="false">IFERROR(IF([1]对账明细接口!$D$512=0,"",[1]对账明细接口!$D$512),"")</f>
        <v/>
      </c>
      <c r="E512" s="59" t="str">
        <f aca="false">IFERROR(IF([1]对账明细接口!$E$512=0,"",[1]对账明细接口!$E$512),"")</f>
        <v/>
      </c>
      <c r="F512" s="59" t="str">
        <f aca="false">IFERROR(IF([1]对账明细接口!$F$512=0,"",[1]对账明细接口!$F$512),"")</f>
        <v/>
      </c>
      <c r="G512" s="59" t="str">
        <f aca="false">IFERROR(IF([1]对账明细接口!$G$512=0,"",[1]对账明细接口!$G$512),"")</f>
        <v/>
      </c>
      <c r="H512" s="60" t="str">
        <f aca="false">IFERROR(IF([1]对账明细接口!$H$512=0,"",[1]对账明细接口!$H$512),"")</f>
        <v/>
      </c>
      <c r="I512" s="59" t="str">
        <f aca="false">IFERROR(IF([1]对账明细接口!$I$512=0,"",[1]对账明细接口!$I$512),"")</f>
        <v/>
      </c>
      <c r="J512" s="61" t="str">
        <f aca="false">IFERROR(IF([1]对账明细接口!$J$512=0,"",[1]对账明细接口!$J$512),"")</f>
        <v/>
      </c>
      <c r="K512" s="61" t="str">
        <f aca="false">IFERROR(IF([1]对账明细接口!$K$512=0,"",[1]对账明细接口!$K$512),"")</f>
        <v/>
      </c>
      <c r="L512" s="59" t="str">
        <f aca="false">IFERROR(IF([1]对账明细接口!$L$512=0,"",[1]对账明细接口!$L$512),"")</f>
        <v/>
      </c>
      <c r="M512" s="59" t="str">
        <f aca="false">IFERROR(IF([1]对账明细接口!$M$512=0,"",[1]对账明细接口!$M$512),"")</f>
        <v/>
      </c>
      <c r="N512" s="111" t="n">
        <f aca="false">IF($C512="",0,1)</f>
        <v>0</v>
      </c>
      <c r="O512" s="111" t="n">
        <f aca="false">N(O511)+$N512</f>
        <v>110</v>
      </c>
      <c r="S512" s="10" t="str">
        <f aca="false">IFERROR(IF([1]对账明细接口!$N512=0,"",[1]对账明细接口!$N512),"")</f>
        <v/>
      </c>
      <c r="T512" s="112" t="str">
        <f aca="false">IFERROR(IF([1]对账明细接口!$O512=0,"",[1]对账明细接口!$O512),"")</f>
        <v/>
      </c>
      <c r="U512" s="112" t="str">
        <f aca="false">IFERROR(IF([1]对账明细接口!$P512=0,"",[1]对账明细接口!$P512),"")</f>
        <v/>
      </c>
      <c r="V512" s="112" t="str">
        <f aca="false">IFERROR(IF([1]对账明细接口!$Q512=0,"",[1]对账明细接口!$Q512),"")</f>
        <v/>
      </c>
      <c r="W512" s="10" t="str">
        <f aca="false">IFERROR(IF([1]对账明细接口!$R512=0,"",[1]对账明细接口!$R512),"")</f>
        <v/>
      </c>
      <c r="X512" s="10" t="str">
        <f aca="false">IFERROR(IF([1]对账明细接口!$S512=0,"",[1]对账明细接口!$S512),"")</f>
        <v/>
      </c>
      <c r="Y512" s="10" t="str">
        <f aca="false">""</f>
        <v/>
      </c>
      <c r="Z512" s="10" t="str">
        <f aca="false">""</f>
        <v/>
      </c>
      <c r="AA512" s="10" t="str">
        <f aca="false">""</f>
        <v/>
      </c>
      <c r="AB512" s="10" t="str">
        <f aca="false">""</f>
        <v/>
      </c>
    </row>
    <row r="513" customFormat="false" ht="13.5" hidden="false" customHeight="false" outlineLevel="0" collapsed="false">
      <c r="A513" s="109" t="n">
        <v>513</v>
      </c>
      <c r="B513" s="110" t="str">
        <f aca="false">IFERROR(IF([1]对账明细接口!$B$513=0,"",[1]对账明细接口!$B$513),"")</f>
        <v/>
      </c>
      <c r="C513" s="59" t="str">
        <f aca="false">IFERROR(IF([1]对账明细接口!$C$513=0,"",[1]对账明细接口!$C$513),"")</f>
        <v/>
      </c>
      <c r="D513" s="59" t="str">
        <f aca="false">IFERROR(IF([1]对账明细接口!$D$513=0,"",[1]对账明细接口!$D$513),"")</f>
        <v/>
      </c>
      <c r="E513" s="59" t="str">
        <f aca="false">IFERROR(IF([1]对账明细接口!$E$513=0,"",[1]对账明细接口!$E$513),"")</f>
        <v/>
      </c>
      <c r="F513" s="59" t="str">
        <f aca="false">IFERROR(IF([1]对账明细接口!$F$513=0,"",[1]对账明细接口!$F$513),"")</f>
        <v/>
      </c>
      <c r="G513" s="59" t="str">
        <f aca="false">IFERROR(IF([1]对账明细接口!$G$513=0,"",[1]对账明细接口!$G$513),"")</f>
        <v/>
      </c>
      <c r="H513" s="60" t="str">
        <f aca="false">IFERROR(IF([1]对账明细接口!$H$513=0,"",[1]对账明细接口!$H$513),"")</f>
        <v/>
      </c>
      <c r="I513" s="59" t="str">
        <f aca="false">IFERROR(IF([1]对账明细接口!$I$513=0,"",[1]对账明细接口!$I$513),"")</f>
        <v/>
      </c>
      <c r="J513" s="61" t="str">
        <f aca="false">IFERROR(IF([1]对账明细接口!$J$513=0,"",[1]对账明细接口!$J$513),"")</f>
        <v/>
      </c>
      <c r="K513" s="61" t="str">
        <f aca="false">IFERROR(IF([1]对账明细接口!$K$513=0,"",[1]对账明细接口!$K$513),"")</f>
        <v/>
      </c>
      <c r="L513" s="59" t="str">
        <f aca="false">IFERROR(IF([1]对账明细接口!$L$513=0,"",[1]对账明细接口!$L$513),"")</f>
        <v/>
      </c>
      <c r="M513" s="59" t="str">
        <f aca="false">IFERROR(IF([1]对账明细接口!$M$513=0,"",[1]对账明细接口!$M$513),"")</f>
        <v/>
      </c>
      <c r="N513" s="111" t="n">
        <f aca="false">IF($C513="",0,1)</f>
        <v>0</v>
      </c>
      <c r="O513" s="111" t="n">
        <f aca="false">N(O512)+$N513</f>
        <v>110</v>
      </c>
      <c r="S513" s="10" t="str">
        <f aca="false">IFERROR(IF([1]对账明细接口!$N513=0,"",[1]对账明细接口!$N513),"")</f>
        <v/>
      </c>
      <c r="T513" s="112" t="str">
        <f aca="false">IFERROR(IF([1]对账明细接口!$O513=0,"",[1]对账明细接口!$O513),"")</f>
        <v/>
      </c>
      <c r="U513" s="112" t="str">
        <f aca="false">IFERROR(IF([1]对账明细接口!$P513=0,"",[1]对账明细接口!$P513),"")</f>
        <v/>
      </c>
      <c r="V513" s="112" t="str">
        <f aca="false">IFERROR(IF([1]对账明细接口!$Q513=0,"",[1]对账明细接口!$Q513),"")</f>
        <v/>
      </c>
      <c r="W513" s="10" t="str">
        <f aca="false">IFERROR(IF([1]对账明细接口!$R513=0,"",[1]对账明细接口!$R513),"")</f>
        <v/>
      </c>
      <c r="X513" s="10" t="str">
        <f aca="false">IFERROR(IF([1]对账明细接口!$S513=0,"",[1]对账明细接口!$S513),"")</f>
        <v/>
      </c>
      <c r="Y513" s="10" t="str">
        <f aca="false">""</f>
        <v/>
      </c>
      <c r="Z513" s="10" t="str">
        <f aca="false">""</f>
        <v/>
      </c>
      <c r="AA513" s="10" t="str">
        <f aca="false">""</f>
        <v/>
      </c>
      <c r="AB513" s="10" t="str">
        <f aca="false">""</f>
        <v/>
      </c>
    </row>
    <row r="514" customFormat="false" ht="13.5" hidden="false" customHeight="false" outlineLevel="0" collapsed="false">
      <c r="A514" s="109" t="n">
        <v>514</v>
      </c>
      <c r="B514" s="110" t="str">
        <f aca="false">IFERROR(IF([1]对账明细接口!$B$514=0,"",[1]对账明细接口!$B$514),"")</f>
        <v/>
      </c>
      <c r="C514" s="59" t="str">
        <f aca="false">IFERROR(IF([1]对账明细接口!$C$514=0,"",[1]对账明细接口!$C$514),"")</f>
        <v/>
      </c>
      <c r="D514" s="59" t="str">
        <f aca="false">IFERROR(IF([1]对账明细接口!$D$514=0,"",[1]对账明细接口!$D$514),"")</f>
        <v/>
      </c>
      <c r="E514" s="59" t="str">
        <f aca="false">IFERROR(IF([1]对账明细接口!$E$514=0,"",[1]对账明细接口!$E$514),"")</f>
        <v/>
      </c>
      <c r="F514" s="59" t="str">
        <f aca="false">IFERROR(IF([1]对账明细接口!$F$514=0,"",[1]对账明细接口!$F$514),"")</f>
        <v/>
      </c>
      <c r="G514" s="59" t="str">
        <f aca="false">IFERROR(IF([1]对账明细接口!$G$514=0,"",[1]对账明细接口!$G$514),"")</f>
        <v/>
      </c>
      <c r="H514" s="60" t="str">
        <f aca="false">IFERROR(IF([1]对账明细接口!$H$514=0,"",[1]对账明细接口!$H$514),"")</f>
        <v/>
      </c>
      <c r="I514" s="59" t="str">
        <f aca="false">IFERROR(IF([1]对账明细接口!$I$514=0,"",[1]对账明细接口!$I$514),"")</f>
        <v/>
      </c>
      <c r="J514" s="61" t="str">
        <f aca="false">IFERROR(IF([1]对账明细接口!$J$514=0,"",[1]对账明细接口!$J$514),"")</f>
        <v/>
      </c>
      <c r="K514" s="61" t="str">
        <f aca="false">IFERROR(IF([1]对账明细接口!$K$514=0,"",[1]对账明细接口!$K$514),"")</f>
        <v/>
      </c>
      <c r="L514" s="59" t="str">
        <f aca="false">IFERROR(IF([1]对账明细接口!$L$514=0,"",[1]对账明细接口!$L$514),"")</f>
        <v/>
      </c>
      <c r="M514" s="59" t="str">
        <f aca="false">IFERROR(IF([1]对账明细接口!$M$514=0,"",[1]对账明细接口!$M$514),"")</f>
        <v/>
      </c>
      <c r="N514" s="111" t="n">
        <f aca="false">IF($C514="",0,1)</f>
        <v>0</v>
      </c>
      <c r="O514" s="111" t="n">
        <f aca="false">N(O513)+$N514</f>
        <v>110</v>
      </c>
      <c r="S514" s="10" t="str">
        <f aca="false">IFERROR(IF([1]对账明细接口!$N514=0,"",[1]对账明细接口!$N514),"")</f>
        <v/>
      </c>
      <c r="T514" s="112" t="str">
        <f aca="false">IFERROR(IF([1]对账明细接口!$O514=0,"",[1]对账明细接口!$O514),"")</f>
        <v/>
      </c>
      <c r="U514" s="112" t="str">
        <f aca="false">IFERROR(IF([1]对账明细接口!$P514=0,"",[1]对账明细接口!$P514),"")</f>
        <v/>
      </c>
      <c r="V514" s="112" t="str">
        <f aca="false">IFERROR(IF([1]对账明细接口!$Q514=0,"",[1]对账明细接口!$Q514),"")</f>
        <v/>
      </c>
      <c r="W514" s="10" t="str">
        <f aca="false">IFERROR(IF([1]对账明细接口!$R514=0,"",[1]对账明细接口!$R514),"")</f>
        <v/>
      </c>
      <c r="X514" s="10" t="str">
        <f aca="false">IFERROR(IF([1]对账明细接口!$S514=0,"",[1]对账明细接口!$S514),"")</f>
        <v/>
      </c>
      <c r="Y514" s="10" t="str">
        <f aca="false">""</f>
        <v/>
      </c>
      <c r="Z514" s="10" t="str">
        <f aca="false">""</f>
        <v/>
      </c>
      <c r="AA514" s="10" t="str">
        <f aca="false">""</f>
        <v/>
      </c>
      <c r="AB514" s="10" t="str">
        <f aca="false">""</f>
        <v/>
      </c>
    </row>
    <row r="515" customFormat="false" ht="13.5" hidden="false" customHeight="false" outlineLevel="0" collapsed="false">
      <c r="A515" s="109" t="n">
        <v>515</v>
      </c>
      <c r="B515" s="110" t="str">
        <f aca="false">IFERROR(IF([1]对账明细接口!$B$515=0,"",[1]对账明细接口!$B$515),"")</f>
        <v/>
      </c>
      <c r="C515" s="59" t="str">
        <f aca="false">IFERROR(IF([1]对账明细接口!$C$515=0,"",[1]对账明细接口!$C$515),"")</f>
        <v/>
      </c>
      <c r="D515" s="59" t="str">
        <f aca="false">IFERROR(IF([1]对账明细接口!$D$515=0,"",[1]对账明细接口!$D$515),"")</f>
        <v/>
      </c>
      <c r="E515" s="59" t="str">
        <f aca="false">IFERROR(IF([1]对账明细接口!$E$515=0,"",[1]对账明细接口!$E$515),"")</f>
        <v/>
      </c>
      <c r="F515" s="59" t="str">
        <f aca="false">IFERROR(IF([1]对账明细接口!$F$515=0,"",[1]对账明细接口!$F$515),"")</f>
        <v/>
      </c>
      <c r="G515" s="59" t="str">
        <f aca="false">IFERROR(IF([1]对账明细接口!$G$515=0,"",[1]对账明细接口!$G$515),"")</f>
        <v/>
      </c>
      <c r="H515" s="60" t="str">
        <f aca="false">IFERROR(IF([1]对账明细接口!$H$515=0,"",[1]对账明细接口!$H$515),"")</f>
        <v/>
      </c>
      <c r="I515" s="59" t="str">
        <f aca="false">IFERROR(IF([1]对账明细接口!$I$515=0,"",[1]对账明细接口!$I$515),"")</f>
        <v/>
      </c>
      <c r="J515" s="61" t="str">
        <f aca="false">IFERROR(IF([1]对账明细接口!$J$515=0,"",[1]对账明细接口!$J$515),"")</f>
        <v/>
      </c>
      <c r="K515" s="61" t="str">
        <f aca="false">IFERROR(IF([1]对账明细接口!$K$515=0,"",[1]对账明细接口!$K$515),"")</f>
        <v/>
      </c>
      <c r="L515" s="59" t="str">
        <f aca="false">IFERROR(IF([1]对账明细接口!$L$515=0,"",[1]对账明细接口!$L$515),"")</f>
        <v/>
      </c>
      <c r="M515" s="59" t="str">
        <f aca="false">IFERROR(IF([1]对账明细接口!$M$515=0,"",[1]对账明细接口!$M$515),"")</f>
        <v/>
      </c>
      <c r="N515" s="111" t="n">
        <f aca="false">IF($C515="",0,1)</f>
        <v>0</v>
      </c>
      <c r="O515" s="111" t="n">
        <f aca="false">N(O514)+$N515</f>
        <v>110</v>
      </c>
      <c r="S515" s="10" t="str">
        <f aca="false">IFERROR(IF([1]对账明细接口!$N515=0,"",[1]对账明细接口!$N515),"")</f>
        <v/>
      </c>
      <c r="T515" s="112" t="str">
        <f aca="false">IFERROR(IF([1]对账明细接口!$O515=0,"",[1]对账明细接口!$O515),"")</f>
        <v/>
      </c>
      <c r="U515" s="112" t="str">
        <f aca="false">IFERROR(IF([1]对账明细接口!$P515=0,"",[1]对账明细接口!$P515),"")</f>
        <v/>
      </c>
      <c r="V515" s="112" t="str">
        <f aca="false">IFERROR(IF([1]对账明细接口!$Q515=0,"",[1]对账明细接口!$Q515),"")</f>
        <v/>
      </c>
      <c r="W515" s="10" t="str">
        <f aca="false">IFERROR(IF([1]对账明细接口!$R515=0,"",[1]对账明细接口!$R515),"")</f>
        <v/>
      </c>
      <c r="X515" s="10" t="str">
        <f aca="false">IFERROR(IF([1]对账明细接口!$S515=0,"",[1]对账明细接口!$S515),"")</f>
        <v/>
      </c>
      <c r="Y515" s="10" t="str">
        <f aca="false">""</f>
        <v/>
      </c>
      <c r="Z515" s="10" t="str">
        <f aca="false">""</f>
        <v/>
      </c>
      <c r="AA515" s="10" t="str">
        <f aca="false">""</f>
        <v/>
      </c>
      <c r="AB515" s="10" t="str">
        <f aca="false">""</f>
        <v/>
      </c>
    </row>
    <row r="516" customFormat="false" ht="13.5" hidden="false" customHeight="false" outlineLevel="0" collapsed="false">
      <c r="A516" s="109" t="n">
        <v>516</v>
      </c>
      <c r="B516" s="110" t="str">
        <f aca="false">IFERROR(IF([1]对账明细接口!$B$516=0,"",[1]对账明细接口!$B$516),"")</f>
        <v/>
      </c>
      <c r="C516" s="59" t="str">
        <f aca="false">IFERROR(IF([1]对账明细接口!$C$516=0,"",[1]对账明细接口!$C$516),"")</f>
        <v/>
      </c>
      <c r="D516" s="59" t="str">
        <f aca="false">IFERROR(IF([1]对账明细接口!$D$516=0,"",[1]对账明细接口!$D$516),"")</f>
        <v/>
      </c>
      <c r="E516" s="59" t="str">
        <f aca="false">IFERROR(IF([1]对账明细接口!$E$516=0,"",[1]对账明细接口!$E$516),"")</f>
        <v/>
      </c>
      <c r="F516" s="59" t="str">
        <f aca="false">IFERROR(IF([1]对账明细接口!$F$516=0,"",[1]对账明细接口!$F$516),"")</f>
        <v/>
      </c>
      <c r="G516" s="59" t="str">
        <f aca="false">IFERROR(IF([1]对账明细接口!$G$516=0,"",[1]对账明细接口!$G$516),"")</f>
        <v/>
      </c>
      <c r="H516" s="60" t="str">
        <f aca="false">IFERROR(IF([1]对账明细接口!$H$516=0,"",[1]对账明细接口!$H$516),"")</f>
        <v/>
      </c>
      <c r="I516" s="59" t="str">
        <f aca="false">IFERROR(IF([1]对账明细接口!$I$516=0,"",[1]对账明细接口!$I$516),"")</f>
        <v/>
      </c>
      <c r="J516" s="61" t="str">
        <f aca="false">IFERROR(IF([1]对账明细接口!$J$516=0,"",[1]对账明细接口!$J$516),"")</f>
        <v/>
      </c>
      <c r="K516" s="61" t="str">
        <f aca="false">IFERROR(IF([1]对账明细接口!$K$516=0,"",[1]对账明细接口!$K$516),"")</f>
        <v/>
      </c>
      <c r="L516" s="59" t="str">
        <f aca="false">IFERROR(IF([1]对账明细接口!$L$516=0,"",[1]对账明细接口!$L$516),"")</f>
        <v/>
      </c>
      <c r="M516" s="59" t="str">
        <f aca="false">IFERROR(IF([1]对账明细接口!$M$516=0,"",[1]对账明细接口!$M$516),"")</f>
        <v/>
      </c>
      <c r="N516" s="111" t="n">
        <f aca="false">IF($C516="",0,1)</f>
        <v>0</v>
      </c>
      <c r="O516" s="111" t="n">
        <f aca="false">N(O515)+$N516</f>
        <v>110</v>
      </c>
      <c r="S516" s="10" t="str">
        <f aca="false">IFERROR(IF([1]对账明细接口!$N516=0,"",[1]对账明细接口!$N516),"")</f>
        <v/>
      </c>
      <c r="T516" s="112" t="str">
        <f aca="false">IFERROR(IF([1]对账明细接口!$O516=0,"",[1]对账明细接口!$O516),"")</f>
        <v/>
      </c>
      <c r="U516" s="112" t="str">
        <f aca="false">IFERROR(IF([1]对账明细接口!$P516=0,"",[1]对账明细接口!$P516),"")</f>
        <v/>
      </c>
      <c r="V516" s="112" t="str">
        <f aca="false">IFERROR(IF([1]对账明细接口!$Q516=0,"",[1]对账明细接口!$Q516),"")</f>
        <v/>
      </c>
      <c r="W516" s="10" t="str">
        <f aca="false">IFERROR(IF([1]对账明细接口!$R516=0,"",[1]对账明细接口!$R516),"")</f>
        <v/>
      </c>
      <c r="X516" s="10" t="str">
        <f aca="false">IFERROR(IF([1]对账明细接口!$S516=0,"",[1]对账明细接口!$S516),"")</f>
        <v/>
      </c>
      <c r="Y516" s="10" t="str">
        <f aca="false">""</f>
        <v/>
      </c>
      <c r="Z516" s="10" t="str">
        <f aca="false">""</f>
        <v/>
      </c>
      <c r="AA516" s="10" t="str">
        <f aca="false">""</f>
        <v/>
      </c>
      <c r="AB516" s="10" t="str">
        <f aca="false">""</f>
        <v/>
      </c>
    </row>
    <row r="517" customFormat="false" ht="13.5" hidden="false" customHeight="false" outlineLevel="0" collapsed="false">
      <c r="A517" s="109" t="n">
        <v>517</v>
      </c>
      <c r="B517" s="110" t="str">
        <f aca="false">IFERROR(IF([1]对账明细接口!$B$517=0,"",[1]对账明细接口!$B$517),"")</f>
        <v/>
      </c>
      <c r="C517" s="59" t="str">
        <f aca="false">IFERROR(IF([1]对账明细接口!$C$517=0,"",[1]对账明细接口!$C$517),"")</f>
        <v/>
      </c>
      <c r="D517" s="59" t="str">
        <f aca="false">IFERROR(IF([1]对账明细接口!$D$517=0,"",[1]对账明细接口!$D$517),"")</f>
        <v/>
      </c>
      <c r="E517" s="59" t="str">
        <f aca="false">IFERROR(IF([1]对账明细接口!$E$517=0,"",[1]对账明细接口!$E$517),"")</f>
        <v/>
      </c>
      <c r="F517" s="59" t="str">
        <f aca="false">IFERROR(IF([1]对账明细接口!$F$517=0,"",[1]对账明细接口!$F$517),"")</f>
        <v/>
      </c>
      <c r="G517" s="59" t="str">
        <f aca="false">IFERROR(IF([1]对账明细接口!$G$517=0,"",[1]对账明细接口!$G$517),"")</f>
        <v/>
      </c>
      <c r="H517" s="60" t="str">
        <f aca="false">IFERROR(IF([1]对账明细接口!$H$517=0,"",[1]对账明细接口!$H$517),"")</f>
        <v/>
      </c>
      <c r="I517" s="59" t="str">
        <f aca="false">IFERROR(IF([1]对账明细接口!$I$517=0,"",[1]对账明细接口!$I$517),"")</f>
        <v/>
      </c>
      <c r="J517" s="61" t="str">
        <f aca="false">IFERROR(IF([1]对账明细接口!$J$517=0,"",[1]对账明细接口!$J$517),"")</f>
        <v/>
      </c>
      <c r="K517" s="61" t="str">
        <f aca="false">IFERROR(IF([1]对账明细接口!$K$517=0,"",[1]对账明细接口!$K$517),"")</f>
        <v/>
      </c>
      <c r="L517" s="59" t="str">
        <f aca="false">IFERROR(IF([1]对账明细接口!$L$517=0,"",[1]对账明细接口!$L$517),"")</f>
        <v/>
      </c>
      <c r="M517" s="59" t="str">
        <f aca="false">IFERROR(IF([1]对账明细接口!$M$517=0,"",[1]对账明细接口!$M$517),"")</f>
        <v/>
      </c>
      <c r="N517" s="111" t="n">
        <f aca="false">IF($C517="",0,1)</f>
        <v>0</v>
      </c>
      <c r="O517" s="111" t="n">
        <f aca="false">N(O516)+$N517</f>
        <v>110</v>
      </c>
      <c r="S517" s="10" t="str">
        <f aca="false">IFERROR(IF([1]对账明细接口!$N517=0,"",[1]对账明细接口!$N517),"")</f>
        <v/>
      </c>
      <c r="T517" s="112" t="str">
        <f aca="false">IFERROR(IF([1]对账明细接口!$O517=0,"",[1]对账明细接口!$O517),"")</f>
        <v/>
      </c>
      <c r="U517" s="112" t="str">
        <f aca="false">IFERROR(IF([1]对账明细接口!$P517=0,"",[1]对账明细接口!$P517),"")</f>
        <v/>
      </c>
      <c r="V517" s="112" t="str">
        <f aca="false">IFERROR(IF([1]对账明细接口!$Q517=0,"",[1]对账明细接口!$Q517),"")</f>
        <v/>
      </c>
      <c r="W517" s="10" t="str">
        <f aca="false">IFERROR(IF([1]对账明细接口!$R517=0,"",[1]对账明细接口!$R517),"")</f>
        <v/>
      </c>
      <c r="X517" s="10" t="str">
        <f aca="false">IFERROR(IF([1]对账明细接口!$S517=0,"",[1]对账明细接口!$S517),"")</f>
        <v/>
      </c>
      <c r="Y517" s="10" t="str">
        <f aca="false">""</f>
        <v/>
      </c>
      <c r="Z517" s="10" t="str">
        <f aca="false">""</f>
        <v/>
      </c>
      <c r="AA517" s="10" t="str">
        <f aca="false">""</f>
        <v/>
      </c>
      <c r="AB517" s="10" t="str">
        <f aca="false">""</f>
        <v/>
      </c>
    </row>
    <row r="518" customFormat="false" ht="13.5" hidden="false" customHeight="false" outlineLevel="0" collapsed="false">
      <c r="A518" s="109" t="n">
        <v>518</v>
      </c>
      <c r="B518" s="110" t="str">
        <f aca="false">IFERROR(IF([1]对账明细接口!$B$518=0,"",[1]对账明细接口!$B$518),"")</f>
        <v/>
      </c>
      <c r="C518" s="59" t="str">
        <f aca="false">IFERROR(IF([1]对账明细接口!$C$518=0,"",[1]对账明细接口!$C$518),"")</f>
        <v/>
      </c>
      <c r="D518" s="59" t="str">
        <f aca="false">IFERROR(IF([1]对账明细接口!$D$518=0,"",[1]对账明细接口!$D$518),"")</f>
        <v/>
      </c>
      <c r="E518" s="59" t="str">
        <f aca="false">IFERROR(IF([1]对账明细接口!$E$518=0,"",[1]对账明细接口!$E$518),"")</f>
        <v/>
      </c>
      <c r="F518" s="59" t="str">
        <f aca="false">IFERROR(IF([1]对账明细接口!$F$518=0,"",[1]对账明细接口!$F$518),"")</f>
        <v/>
      </c>
      <c r="G518" s="59" t="str">
        <f aca="false">IFERROR(IF([1]对账明细接口!$G$518=0,"",[1]对账明细接口!$G$518),"")</f>
        <v/>
      </c>
      <c r="H518" s="60" t="str">
        <f aca="false">IFERROR(IF([1]对账明细接口!$H$518=0,"",[1]对账明细接口!$H$518),"")</f>
        <v/>
      </c>
      <c r="I518" s="59" t="str">
        <f aca="false">IFERROR(IF([1]对账明细接口!$I$518=0,"",[1]对账明细接口!$I$518),"")</f>
        <v/>
      </c>
      <c r="J518" s="61" t="str">
        <f aca="false">IFERROR(IF([1]对账明细接口!$J$518=0,"",[1]对账明细接口!$J$518),"")</f>
        <v/>
      </c>
      <c r="K518" s="61" t="str">
        <f aca="false">IFERROR(IF([1]对账明细接口!$K$518=0,"",[1]对账明细接口!$K$518),"")</f>
        <v/>
      </c>
      <c r="L518" s="59" t="str">
        <f aca="false">IFERROR(IF([1]对账明细接口!$L$518=0,"",[1]对账明细接口!$L$518),"")</f>
        <v/>
      </c>
      <c r="M518" s="59" t="str">
        <f aca="false">IFERROR(IF([1]对账明细接口!$M$518=0,"",[1]对账明细接口!$M$518),"")</f>
        <v/>
      </c>
      <c r="N518" s="111" t="n">
        <f aca="false">IF($C518="",0,1)</f>
        <v>0</v>
      </c>
      <c r="O518" s="111" t="n">
        <f aca="false">N(O517)+$N518</f>
        <v>110</v>
      </c>
      <c r="S518" s="10" t="str">
        <f aca="false">IFERROR(IF([1]对账明细接口!$N518=0,"",[1]对账明细接口!$N518),"")</f>
        <v/>
      </c>
      <c r="T518" s="112" t="str">
        <f aca="false">IFERROR(IF([1]对账明细接口!$O518=0,"",[1]对账明细接口!$O518),"")</f>
        <v/>
      </c>
      <c r="U518" s="112" t="str">
        <f aca="false">IFERROR(IF([1]对账明细接口!$P518=0,"",[1]对账明细接口!$P518),"")</f>
        <v/>
      </c>
      <c r="V518" s="112" t="str">
        <f aca="false">IFERROR(IF([1]对账明细接口!$Q518=0,"",[1]对账明细接口!$Q518),"")</f>
        <v/>
      </c>
      <c r="W518" s="10" t="str">
        <f aca="false">IFERROR(IF([1]对账明细接口!$R518=0,"",[1]对账明细接口!$R518),"")</f>
        <v/>
      </c>
      <c r="X518" s="10" t="str">
        <f aca="false">IFERROR(IF([1]对账明细接口!$S518=0,"",[1]对账明细接口!$S518),"")</f>
        <v/>
      </c>
      <c r="Y518" s="10" t="str">
        <f aca="false">""</f>
        <v/>
      </c>
      <c r="Z518" s="10" t="str">
        <f aca="false">""</f>
        <v/>
      </c>
      <c r="AA518" s="10" t="str">
        <f aca="false">""</f>
        <v/>
      </c>
      <c r="AB518" s="10" t="str">
        <f aca="false">""</f>
        <v/>
      </c>
    </row>
    <row r="519" customFormat="false" ht="13.5" hidden="false" customHeight="false" outlineLevel="0" collapsed="false">
      <c r="A519" s="109" t="n">
        <v>519</v>
      </c>
      <c r="B519" s="110" t="str">
        <f aca="false">IFERROR(IF([1]对账明细接口!$B$519=0,"",[1]对账明细接口!$B$519),"")</f>
        <v/>
      </c>
      <c r="C519" s="59" t="str">
        <f aca="false">IFERROR(IF([1]对账明细接口!$C$519=0,"",[1]对账明细接口!$C$519),"")</f>
        <v/>
      </c>
      <c r="D519" s="59" t="str">
        <f aca="false">IFERROR(IF([1]对账明细接口!$D$519=0,"",[1]对账明细接口!$D$519),"")</f>
        <v/>
      </c>
      <c r="E519" s="59" t="str">
        <f aca="false">IFERROR(IF([1]对账明细接口!$E$519=0,"",[1]对账明细接口!$E$519),"")</f>
        <v/>
      </c>
      <c r="F519" s="59" t="str">
        <f aca="false">IFERROR(IF([1]对账明细接口!$F$519=0,"",[1]对账明细接口!$F$519),"")</f>
        <v/>
      </c>
      <c r="G519" s="59" t="str">
        <f aca="false">IFERROR(IF([1]对账明细接口!$G$519=0,"",[1]对账明细接口!$G$519),"")</f>
        <v/>
      </c>
      <c r="H519" s="60" t="str">
        <f aca="false">IFERROR(IF([1]对账明细接口!$H$519=0,"",[1]对账明细接口!$H$519),"")</f>
        <v/>
      </c>
      <c r="I519" s="59" t="str">
        <f aca="false">IFERROR(IF([1]对账明细接口!$I$519=0,"",[1]对账明细接口!$I$519),"")</f>
        <v/>
      </c>
      <c r="J519" s="61" t="str">
        <f aca="false">IFERROR(IF([1]对账明细接口!$J$519=0,"",[1]对账明细接口!$J$519),"")</f>
        <v/>
      </c>
      <c r="K519" s="61" t="str">
        <f aca="false">IFERROR(IF([1]对账明细接口!$K$519=0,"",[1]对账明细接口!$K$519),"")</f>
        <v/>
      </c>
      <c r="L519" s="59" t="str">
        <f aca="false">IFERROR(IF([1]对账明细接口!$L$519=0,"",[1]对账明细接口!$L$519),"")</f>
        <v/>
      </c>
      <c r="M519" s="59" t="str">
        <f aca="false">IFERROR(IF([1]对账明细接口!$M$519=0,"",[1]对账明细接口!$M$519),"")</f>
        <v/>
      </c>
      <c r="N519" s="111" t="n">
        <f aca="false">IF($C519="",0,1)</f>
        <v>0</v>
      </c>
      <c r="O519" s="111" t="n">
        <f aca="false">N(O518)+$N519</f>
        <v>110</v>
      </c>
      <c r="S519" s="10" t="str">
        <f aca="false">IFERROR(IF([1]对账明细接口!$N519=0,"",[1]对账明细接口!$N519),"")</f>
        <v/>
      </c>
      <c r="T519" s="112" t="str">
        <f aca="false">IFERROR(IF([1]对账明细接口!$O519=0,"",[1]对账明细接口!$O519),"")</f>
        <v/>
      </c>
      <c r="U519" s="112" t="str">
        <f aca="false">IFERROR(IF([1]对账明细接口!$P519=0,"",[1]对账明细接口!$P519),"")</f>
        <v/>
      </c>
      <c r="V519" s="112" t="str">
        <f aca="false">IFERROR(IF([1]对账明细接口!$Q519=0,"",[1]对账明细接口!$Q519),"")</f>
        <v/>
      </c>
      <c r="W519" s="10" t="str">
        <f aca="false">IFERROR(IF([1]对账明细接口!$R519=0,"",[1]对账明细接口!$R519),"")</f>
        <v/>
      </c>
      <c r="X519" s="10" t="str">
        <f aca="false">IFERROR(IF([1]对账明细接口!$S519=0,"",[1]对账明细接口!$S519),"")</f>
        <v/>
      </c>
      <c r="Y519" s="10" t="str">
        <f aca="false">""</f>
        <v/>
      </c>
      <c r="Z519" s="10" t="str">
        <f aca="false">""</f>
        <v/>
      </c>
      <c r="AA519" s="10" t="str">
        <f aca="false">""</f>
        <v/>
      </c>
      <c r="AB519" s="10" t="str">
        <f aca="false">""</f>
        <v/>
      </c>
    </row>
    <row r="520" customFormat="false" ht="13.5" hidden="false" customHeight="false" outlineLevel="0" collapsed="false">
      <c r="A520" s="109" t="n">
        <v>520</v>
      </c>
      <c r="B520" s="110" t="str">
        <f aca="false">IFERROR(IF([1]对账明细接口!$B$520=0,"",[1]对账明细接口!$B$520),"")</f>
        <v/>
      </c>
      <c r="C520" s="59" t="str">
        <f aca="false">IFERROR(IF([1]对账明细接口!$C$520=0,"",[1]对账明细接口!$C$520),"")</f>
        <v/>
      </c>
      <c r="D520" s="59" t="str">
        <f aca="false">IFERROR(IF([1]对账明细接口!$D$520=0,"",[1]对账明细接口!$D$520),"")</f>
        <v/>
      </c>
      <c r="E520" s="59" t="str">
        <f aca="false">IFERROR(IF([1]对账明细接口!$E$520=0,"",[1]对账明细接口!$E$520),"")</f>
        <v/>
      </c>
      <c r="F520" s="59" t="str">
        <f aca="false">IFERROR(IF([1]对账明细接口!$F$520=0,"",[1]对账明细接口!$F$520),"")</f>
        <v/>
      </c>
      <c r="G520" s="59" t="str">
        <f aca="false">IFERROR(IF([1]对账明细接口!$G$520=0,"",[1]对账明细接口!$G$520),"")</f>
        <v/>
      </c>
      <c r="H520" s="60" t="str">
        <f aca="false">IFERROR(IF([1]对账明细接口!$H$520=0,"",[1]对账明细接口!$H$520),"")</f>
        <v/>
      </c>
      <c r="I520" s="59" t="str">
        <f aca="false">IFERROR(IF([1]对账明细接口!$I$520=0,"",[1]对账明细接口!$I$520),"")</f>
        <v/>
      </c>
      <c r="J520" s="61" t="str">
        <f aca="false">IFERROR(IF([1]对账明细接口!$J$520=0,"",[1]对账明细接口!$J$520),"")</f>
        <v/>
      </c>
      <c r="K520" s="61" t="str">
        <f aca="false">IFERROR(IF([1]对账明细接口!$K$520=0,"",[1]对账明细接口!$K$520),"")</f>
        <v/>
      </c>
      <c r="L520" s="59" t="str">
        <f aca="false">IFERROR(IF([1]对账明细接口!$L$520=0,"",[1]对账明细接口!$L$520),"")</f>
        <v/>
      </c>
      <c r="M520" s="59" t="str">
        <f aca="false">IFERROR(IF([1]对账明细接口!$M$520=0,"",[1]对账明细接口!$M$520),"")</f>
        <v/>
      </c>
      <c r="N520" s="111" t="n">
        <f aca="false">IF($C520="",0,1)</f>
        <v>0</v>
      </c>
      <c r="O520" s="111" t="n">
        <f aca="false">N(O519)+$N520</f>
        <v>110</v>
      </c>
      <c r="S520" s="10" t="str">
        <f aca="false">IFERROR(IF([1]对账明细接口!$N520=0,"",[1]对账明细接口!$N520),"")</f>
        <v/>
      </c>
      <c r="T520" s="112" t="str">
        <f aca="false">IFERROR(IF([1]对账明细接口!$O520=0,"",[1]对账明细接口!$O520),"")</f>
        <v/>
      </c>
      <c r="U520" s="112" t="str">
        <f aca="false">IFERROR(IF([1]对账明细接口!$P520=0,"",[1]对账明细接口!$P520),"")</f>
        <v/>
      </c>
      <c r="V520" s="112" t="str">
        <f aca="false">IFERROR(IF([1]对账明细接口!$Q520=0,"",[1]对账明细接口!$Q520),"")</f>
        <v/>
      </c>
      <c r="W520" s="10" t="str">
        <f aca="false">IFERROR(IF([1]对账明细接口!$R520=0,"",[1]对账明细接口!$R520),"")</f>
        <v/>
      </c>
      <c r="X520" s="10" t="str">
        <f aca="false">IFERROR(IF([1]对账明细接口!$S520=0,"",[1]对账明细接口!$S520),"")</f>
        <v/>
      </c>
      <c r="Y520" s="10" t="str">
        <f aca="false">""</f>
        <v/>
      </c>
      <c r="Z520" s="10" t="str">
        <f aca="false">""</f>
        <v/>
      </c>
      <c r="AA520" s="10" t="str">
        <f aca="false">""</f>
        <v/>
      </c>
      <c r="AB520" s="10" t="str">
        <f aca="false">""</f>
        <v/>
      </c>
    </row>
    <row r="521" customFormat="false" ht="13.5" hidden="false" customHeight="false" outlineLevel="0" collapsed="false">
      <c r="A521" s="109" t="n">
        <v>521</v>
      </c>
      <c r="B521" s="110" t="str">
        <f aca="false">IFERROR(IF([1]对账明细接口!$B$521=0,"",[1]对账明细接口!$B$521),"")</f>
        <v/>
      </c>
      <c r="C521" s="59" t="str">
        <f aca="false">IFERROR(IF([1]对账明细接口!$C$521=0,"",[1]对账明细接口!$C$521),"")</f>
        <v/>
      </c>
      <c r="D521" s="59" t="str">
        <f aca="false">IFERROR(IF([1]对账明细接口!$D$521=0,"",[1]对账明细接口!$D$521),"")</f>
        <v/>
      </c>
      <c r="E521" s="59" t="str">
        <f aca="false">IFERROR(IF([1]对账明细接口!$E$521=0,"",[1]对账明细接口!$E$521),"")</f>
        <v/>
      </c>
      <c r="F521" s="59" t="str">
        <f aca="false">IFERROR(IF([1]对账明细接口!$F$521=0,"",[1]对账明细接口!$F$521),"")</f>
        <v/>
      </c>
      <c r="G521" s="59" t="str">
        <f aca="false">IFERROR(IF([1]对账明细接口!$G$521=0,"",[1]对账明细接口!$G$521),"")</f>
        <v/>
      </c>
      <c r="H521" s="60" t="str">
        <f aca="false">IFERROR(IF([1]对账明细接口!$H$521=0,"",[1]对账明细接口!$H$521),"")</f>
        <v/>
      </c>
      <c r="I521" s="59" t="str">
        <f aca="false">IFERROR(IF([1]对账明细接口!$I$521=0,"",[1]对账明细接口!$I$521),"")</f>
        <v/>
      </c>
      <c r="J521" s="61" t="str">
        <f aca="false">IFERROR(IF([1]对账明细接口!$J$521=0,"",[1]对账明细接口!$J$521),"")</f>
        <v/>
      </c>
      <c r="K521" s="61" t="str">
        <f aca="false">IFERROR(IF([1]对账明细接口!$K$521=0,"",[1]对账明细接口!$K$521),"")</f>
        <v/>
      </c>
      <c r="L521" s="59" t="str">
        <f aca="false">IFERROR(IF([1]对账明细接口!$L$521=0,"",[1]对账明细接口!$L$521),"")</f>
        <v/>
      </c>
      <c r="M521" s="59" t="str">
        <f aca="false">IFERROR(IF([1]对账明细接口!$M$521=0,"",[1]对账明细接口!$M$521),"")</f>
        <v/>
      </c>
      <c r="N521" s="111" t="n">
        <f aca="false">IF($C521="",0,1)</f>
        <v>0</v>
      </c>
      <c r="O521" s="111" t="n">
        <f aca="false">N(O520)+$N521</f>
        <v>110</v>
      </c>
      <c r="S521" s="10" t="str">
        <f aca="false">IFERROR(IF([1]对账明细接口!$N521=0,"",[1]对账明细接口!$N521),"")</f>
        <v/>
      </c>
      <c r="T521" s="112" t="str">
        <f aca="false">IFERROR(IF([1]对账明细接口!$O521=0,"",[1]对账明细接口!$O521),"")</f>
        <v/>
      </c>
      <c r="U521" s="112" t="str">
        <f aca="false">IFERROR(IF([1]对账明细接口!$P521=0,"",[1]对账明细接口!$P521),"")</f>
        <v/>
      </c>
      <c r="V521" s="112" t="str">
        <f aca="false">IFERROR(IF([1]对账明细接口!$Q521=0,"",[1]对账明细接口!$Q521),"")</f>
        <v/>
      </c>
      <c r="W521" s="10" t="str">
        <f aca="false">IFERROR(IF([1]对账明细接口!$R521=0,"",[1]对账明细接口!$R521),"")</f>
        <v/>
      </c>
      <c r="X521" s="10" t="str">
        <f aca="false">IFERROR(IF([1]对账明细接口!$S521=0,"",[1]对账明细接口!$S521),"")</f>
        <v/>
      </c>
      <c r="Y521" s="10" t="str">
        <f aca="false">""</f>
        <v/>
      </c>
      <c r="Z521" s="10" t="str">
        <f aca="false">""</f>
        <v/>
      </c>
      <c r="AA521" s="10" t="str">
        <f aca="false">""</f>
        <v/>
      </c>
      <c r="AB521" s="10" t="str">
        <f aca="false">""</f>
        <v/>
      </c>
    </row>
    <row r="522" customFormat="false" ht="13.5" hidden="false" customHeight="false" outlineLevel="0" collapsed="false">
      <c r="A522" s="109" t="n">
        <v>522</v>
      </c>
      <c r="B522" s="110" t="str">
        <f aca="false">IFERROR(IF([1]对账明细接口!$B$522=0,"",[1]对账明细接口!$B$522),"")</f>
        <v/>
      </c>
      <c r="C522" s="59" t="str">
        <f aca="false">IFERROR(IF([1]对账明细接口!$C$522=0,"",[1]对账明细接口!$C$522),"")</f>
        <v/>
      </c>
      <c r="D522" s="59" t="str">
        <f aca="false">IFERROR(IF([1]对账明细接口!$D$522=0,"",[1]对账明细接口!$D$522),"")</f>
        <v/>
      </c>
      <c r="E522" s="59" t="str">
        <f aca="false">IFERROR(IF([1]对账明细接口!$E$522=0,"",[1]对账明细接口!$E$522),"")</f>
        <v/>
      </c>
      <c r="F522" s="59" t="str">
        <f aca="false">IFERROR(IF([1]对账明细接口!$F$522=0,"",[1]对账明细接口!$F$522),"")</f>
        <v/>
      </c>
      <c r="G522" s="59" t="str">
        <f aca="false">IFERROR(IF([1]对账明细接口!$G$522=0,"",[1]对账明细接口!$G$522),"")</f>
        <v/>
      </c>
      <c r="H522" s="60" t="str">
        <f aca="false">IFERROR(IF([1]对账明细接口!$H$522=0,"",[1]对账明细接口!$H$522),"")</f>
        <v/>
      </c>
      <c r="I522" s="59" t="str">
        <f aca="false">IFERROR(IF([1]对账明细接口!$I$522=0,"",[1]对账明细接口!$I$522),"")</f>
        <v/>
      </c>
      <c r="J522" s="61" t="str">
        <f aca="false">IFERROR(IF([1]对账明细接口!$J$522=0,"",[1]对账明细接口!$J$522),"")</f>
        <v/>
      </c>
      <c r="K522" s="61" t="str">
        <f aca="false">IFERROR(IF([1]对账明细接口!$K$522=0,"",[1]对账明细接口!$K$522),"")</f>
        <v/>
      </c>
      <c r="L522" s="59" t="str">
        <f aca="false">IFERROR(IF([1]对账明细接口!$L$522=0,"",[1]对账明细接口!$L$522),"")</f>
        <v/>
      </c>
      <c r="M522" s="59" t="str">
        <f aca="false">IFERROR(IF([1]对账明细接口!$M$522=0,"",[1]对账明细接口!$M$522),"")</f>
        <v/>
      </c>
      <c r="N522" s="111" t="n">
        <f aca="false">IF($C522="",0,1)</f>
        <v>0</v>
      </c>
      <c r="O522" s="111" t="n">
        <f aca="false">N(O521)+$N522</f>
        <v>110</v>
      </c>
      <c r="S522" s="10" t="str">
        <f aca="false">IFERROR(IF([1]对账明细接口!$N522=0,"",[1]对账明细接口!$N522),"")</f>
        <v/>
      </c>
      <c r="T522" s="112" t="str">
        <f aca="false">IFERROR(IF([1]对账明细接口!$O522=0,"",[1]对账明细接口!$O522),"")</f>
        <v/>
      </c>
      <c r="U522" s="112" t="str">
        <f aca="false">IFERROR(IF([1]对账明细接口!$P522=0,"",[1]对账明细接口!$P522),"")</f>
        <v/>
      </c>
      <c r="V522" s="112" t="str">
        <f aca="false">IFERROR(IF([1]对账明细接口!$Q522=0,"",[1]对账明细接口!$Q522),"")</f>
        <v/>
      </c>
      <c r="W522" s="10" t="str">
        <f aca="false">IFERROR(IF([1]对账明细接口!$R522=0,"",[1]对账明细接口!$R522),"")</f>
        <v/>
      </c>
      <c r="X522" s="10" t="str">
        <f aca="false">IFERROR(IF([1]对账明细接口!$S522=0,"",[1]对账明细接口!$S522),"")</f>
        <v/>
      </c>
      <c r="Y522" s="10" t="str">
        <f aca="false">""</f>
        <v/>
      </c>
      <c r="Z522" s="10" t="str">
        <f aca="false">""</f>
        <v/>
      </c>
      <c r="AA522" s="10" t="str">
        <f aca="false">""</f>
        <v/>
      </c>
      <c r="AB522" s="10" t="str">
        <f aca="false">""</f>
        <v/>
      </c>
    </row>
    <row r="523" customFormat="false" ht="13.5" hidden="false" customHeight="false" outlineLevel="0" collapsed="false">
      <c r="A523" s="109" t="n">
        <v>523</v>
      </c>
      <c r="B523" s="110" t="str">
        <f aca="false">IFERROR(IF([1]对账明细接口!$B$523=0,"",[1]对账明细接口!$B$523),"")</f>
        <v/>
      </c>
      <c r="C523" s="59" t="str">
        <f aca="false">IFERROR(IF([1]对账明细接口!$C$523=0,"",[1]对账明细接口!$C$523),"")</f>
        <v/>
      </c>
      <c r="D523" s="59" t="str">
        <f aca="false">IFERROR(IF([1]对账明细接口!$D$523=0,"",[1]对账明细接口!$D$523),"")</f>
        <v/>
      </c>
      <c r="E523" s="59" t="str">
        <f aca="false">IFERROR(IF([1]对账明细接口!$E$523=0,"",[1]对账明细接口!$E$523),"")</f>
        <v/>
      </c>
      <c r="F523" s="59" t="str">
        <f aca="false">IFERROR(IF([1]对账明细接口!$F$523=0,"",[1]对账明细接口!$F$523),"")</f>
        <v/>
      </c>
      <c r="G523" s="59" t="str">
        <f aca="false">IFERROR(IF([1]对账明细接口!$G$523=0,"",[1]对账明细接口!$G$523),"")</f>
        <v/>
      </c>
      <c r="H523" s="60" t="str">
        <f aca="false">IFERROR(IF([1]对账明细接口!$H$523=0,"",[1]对账明细接口!$H$523),"")</f>
        <v/>
      </c>
      <c r="I523" s="59" t="str">
        <f aca="false">IFERROR(IF([1]对账明细接口!$I$523=0,"",[1]对账明细接口!$I$523),"")</f>
        <v/>
      </c>
      <c r="J523" s="61" t="str">
        <f aca="false">IFERROR(IF([1]对账明细接口!$J$523=0,"",[1]对账明细接口!$J$523),"")</f>
        <v/>
      </c>
      <c r="K523" s="61" t="str">
        <f aca="false">IFERROR(IF([1]对账明细接口!$K$523=0,"",[1]对账明细接口!$K$523),"")</f>
        <v/>
      </c>
      <c r="L523" s="59" t="str">
        <f aca="false">IFERROR(IF([1]对账明细接口!$L$523=0,"",[1]对账明细接口!$L$523),"")</f>
        <v/>
      </c>
      <c r="M523" s="59" t="str">
        <f aca="false">IFERROR(IF([1]对账明细接口!$M$523=0,"",[1]对账明细接口!$M$523),"")</f>
        <v/>
      </c>
      <c r="N523" s="111" t="n">
        <f aca="false">IF($C523="",0,1)</f>
        <v>0</v>
      </c>
      <c r="O523" s="111" t="n">
        <f aca="false">N(O522)+$N523</f>
        <v>110</v>
      </c>
      <c r="S523" s="10" t="str">
        <f aca="false">IFERROR(IF([1]对账明细接口!$N523=0,"",[1]对账明细接口!$N523),"")</f>
        <v/>
      </c>
      <c r="T523" s="112" t="str">
        <f aca="false">IFERROR(IF([1]对账明细接口!$O523=0,"",[1]对账明细接口!$O523),"")</f>
        <v/>
      </c>
      <c r="U523" s="112" t="str">
        <f aca="false">IFERROR(IF([1]对账明细接口!$P523=0,"",[1]对账明细接口!$P523),"")</f>
        <v/>
      </c>
      <c r="V523" s="112" t="str">
        <f aca="false">IFERROR(IF([1]对账明细接口!$Q523=0,"",[1]对账明细接口!$Q523),"")</f>
        <v/>
      </c>
      <c r="W523" s="10" t="str">
        <f aca="false">IFERROR(IF([1]对账明细接口!$R523=0,"",[1]对账明细接口!$R523),"")</f>
        <v/>
      </c>
      <c r="X523" s="10" t="str">
        <f aca="false">IFERROR(IF([1]对账明细接口!$S523=0,"",[1]对账明细接口!$S523),"")</f>
        <v/>
      </c>
      <c r="Y523" s="10" t="str">
        <f aca="false">""</f>
        <v/>
      </c>
      <c r="Z523" s="10" t="str">
        <f aca="false">""</f>
        <v/>
      </c>
      <c r="AA523" s="10" t="str">
        <f aca="false">""</f>
        <v/>
      </c>
      <c r="AB523" s="10" t="str">
        <f aca="false">""</f>
        <v/>
      </c>
    </row>
    <row r="524" customFormat="false" ht="13.5" hidden="false" customHeight="false" outlineLevel="0" collapsed="false">
      <c r="A524" s="109" t="n">
        <v>524</v>
      </c>
      <c r="B524" s="110" t="str">
        <f aca="false">IFERROR(IF([1]对账明细接口!$B$524=0,"",[1]对账明细接口!$B$524),"")</f>
        <v/>
      </c>
      <c r="C524" s="59" t="str">
        <f aca="false">IFERROR(IF([1]对账明细接口!$C$524=0,"",[1]对账明细接口!$C$524),"")</f>
        <v/>
      </c>
      <c r="D524" s="59" t="str">
        <f aca="false">IFERROR(IF([1]对账明细接口!$D$524=0,"",[1]对账明细接口!$D$524),"")</f>
        <v/>
      </c>
      <c r="E524" s="59" t="str">
        <f aca="false">IFERROR(IF([1]对账明细接口!$E$524=0,"",[1]对账明细接口!$E$524),"")</f>
        <v/>
      </c>
      <c r="F524" s="59" t="str">
        <f aca="false">IFERROR(IF([1]对账明细接口!$F$524=0,"",[1]对账明细接口!$F$524),"")</f>
        <v/>
      </c>
      <c r="G524" s="59" t="str">
        <f aca="false">IFERROR(IF([1]对账明细接口!$G$524=0,"",[1]对账明细接口!$G$524),"")</f>
        <v/>
      </c>
      <c r="H524" s="60" t="str">
        <f aca="false">IFERROR(IF([1]对账明细接口!$H$524=0,"",[1]对账明细接口!$H$524),"")</f>
        <v/>
      </c>
      <c r="I524" s="59" t="str">
        <f aca="false">IFERROR(IF([1]对账明细接口!$I$524=0,"",[1]对账明细接口!$I$524),"")</f>
        <v/>
      </c>
      <c r="J524" s="61" t="str">
        <f aca="false">IFERROR(IF([1]对账明细接口!$J$524=0,"",[1]对账明细接口!$J$524),"")</f>
        <v/>
      </c>
      <c r="K524" s="61" t="str">
        <f aca="false">IFERROR(IF([1]对账明细接口!$K$524=0,"",[1]对账明细接口!$K$524),"")</f>
        <v/>
      </c>
      <c r="L524" s="59" t="str">
        <f aca="false">IFERROR(IF([1]对账明细接口!$L$524=0,"",[1]对账明细接口!$L$524),"")</f>
        <v/>
      </c>
      <c r="M524" s="59" t="str">
        <f aca="false">IFERROR(IF([1]对账明细接口!$M$524=0,"",[1]对账明细接口!$M$524),"")</f>
        <v/>
      </c>
      <c r="N524" s="111" t="n">
        <f aca="false">IF($C524="",0,1)</f>
        <v>0</v>
      </c>
      <c r="O524" s="111" t="n">
        <f aca="false">N(O523)+$N524</f>
        <v>110</v>
      </c>
      <c r="S524" s="10" t="str">
        <f aca="false">IFERROR(IF([1]对账明细接口!$N524=0,"",[1]对账明细接口!$N524),"")</f>
        <v/>
      </c>
      <c r="T524" s="112" t="str">
        <f aca="false">IFERROR(IF([1]对账明细接口!$O524=0,"",[1]对账明细接口!$O524),"")</f>
        <v/>
      </c>
      <c r="U524" s="112" t="str">
        <f aca="false">IFERROR(IF([1]对账明细接口!$P524=0,"",[1]对账明细接口!$P524),"")</f>
        <v/>
      </c>
      <c r="V524" s="112" t="str">
        <f aca="false">IFERROR(IF([1]对账明细接口!$Q524=0,"",[1]对账明细接口!$Q524),"")</f>
        <v/>
      </c>
      <c r="W524" s="10" t="str">
        <f aca="false">IFERROR(IF([1]对账明细接口!$R524=0,"",[1]对账明细接口!$R524),"")</f>
        <v/>
      </c>
      <c r="X524" s="10" t="str">
        <f aca="false">IFERROR(IF([1]对账明细接口!$S524=0,"",[1]对账明细接口!$S524),"")</f>
        <v/>
      </c>
      <c r="Y524" s="10" t="str">
        <f aca="false">""</f>
        <v/>
      </c>
      <c r="Z524" s="10" t="str">
        <f aca="false">""</f>
        <v/>
      </c>
      <c r="AA524" s="10" t="str">
        <f aca="false">""</f>
        <v/>
      </c>
      <c r="AB524" s="10" t="str">
        <f aca="false">""</f>
        <v/>
      </c>
    </row>
    <row r="525" customFormat="false" ht="13.5" hidden="false" customHeight="false" outlineLevel="0" collapsed="false">
      <c r="A525" s="109" t="n">
        <v>525</v>
      </c>
      <c r="B525" s="110" t="str">
        <f aca="false">IFERROR(IF([1]对账明细接口!$B$525=0,"",[1]对账明细接口!$B$525),"")</f>
        <v/>
      </c>
      <c r="C525" s="59" t="str">
        <f aca="false">IFERROR(IF([1]对账明细接口!$C$525=0,"",[1]对账明细接口!$C$525),"")</f>
        <v/>
      </c>
      <c r="D525" s="59" t="str">
        <f aca="false">IFERROR(IF([1]对账明细接口!$D$525=0,"",[1]对账明细接口!$D$525),"")</f>
        <v/>
      </c>
      <c r="E525" s="59" t="str">
        <f aca="false">IFERROR(IF([1]对账明细接口!$E$525=0,"",[1]对账明细接口!$E$525),"")</f>
        <v/>
      </c>
      <c r="F525" s="59" t="str">
        <f aca="false">IFERROR(IF([1]对账明细接口!$F$525=0,"",[1]对账明细接口!$F$525),"")</f>
        <v/>
      </c>
      <c r="G525" s="59" t="str">
        <f aca="false">IFERROR(IF([1]对账明细接口!$G$525=0,"",[1]对账明细接口!$G$525),"")</f>
        <v/>
      </c>
      <c r="H525" s="60" t="str">
        <f aca="false">IFERROR(IF([1]对账明细接口!$H$525=0,"",[1]对账明细接口!$H$525),"")</f>
        <v/>
      </c>
      <c r="I525" s="59" t="str">
        <f aca="false">IFERROR(IF([1]对账明细接口!$I$525=0,"",[1]对账明细接口!$I$525),"")</f>
        <v/>
      </c>
      <c r="J525" s="61" t="str">
        <f aca="false">IFERROR(IF([1]对账明细接口!$J$525=0,"",[1]对账明细接口!$J$525),"")</f>
        <v/>
      </c>
      <c r="K525" s="61" t="str">
        <f aca="false">IFERROR(IF([1]对账明细接口!$K$525=0,"",[1]对账明细接口!$K$525),"")</f>
        <v/>
      </c>
      <c r="L525" s="59" t="str">
        <f aca="false">IFERROR(IF([1]对账明细接口!$L$525=0,"",[1]对账明细接口!$L$525),"")</f>
        <v/>
      </c>
      <c r="M525" s="59" t="str">
        <f aca="false">IFERROR(IF([1]对账明细接口!$M$525=0,"",[1]对账明细接口!$M$525),"")</f>
        <v/>
      </c>
      <c r="N525" s="111" t="n">
        <f aca="false">IF($C525="",0,1)</f>
        <v>0</v>
      </c>
      <c r="O525" s="111" t="n">
        <f aca="false">N(O524)+$N525</f>
        <v>110</v>
      </c>
      <c r="S525" s="10" t="str">
        <f aca="false">IFERROR(IF([1]对账明细接口!$N525=0,"",[1]对账明细接口!$N525),"")</f>
        <v/>
      </c>
      <c r="T525" s="112" t="str">
        <f aca="false">IFERROR(IF([1]对账明细接口!$O525=0,"",[1]对账明细接口!$O525),"")</f>
        <v/>
      </c>
      <c r="U525" s="112" t="str">
        <f aca="false">IFERROR(IF([1]对账明细接口!$P525=0,"",[1]对账明细接口!$P525),"")</f>
        <v/>
      </c>
      <c r="V525" s="112" t="str">
        <f aca="false">IFERROR(IF([1]对账明细接口!$Q525=0,"",[1]对账明细接口!$Q525),"")</f>
        <v/>
      </c>
      <c r="W525" s="10" t="str">
        <f aca="false">IFERROR(IF([1]对账明细接口!$R525=0,"",[1]对账明细接口!$R525),"")</f>
        <v/>
      </c>
      <c r="X525" s="10" t="str">
        <f aca="false">IFERROR(IF([1]对账明细接口!$S525=0,"",[1]对账明细接口!$S525),"")</f>
        <v/>
      </c>
      <c r="Y525" s="10" t="str">
        <f aca="false">""</f>
        <v/>
      </c>
      <c r="Z525" s="10" t="str">
        <f aca="false">""</f>
        <v/>
      </c>
      <c r="AA525" s="10" t="str">
        <f aca="false">""</f>
        <v/>
      </c>
      <c r="AB525" s="10" t="str">
        <f aca="false">""</f>
        <v/>
      </c>
    </row>
    <row r="526" customFormat="false" ht="13.5" hidden="false" customHeight="false" outlineLevel="0" collapsed="false">
      <c r="A526" s="109" t="n">
        <v>526</v>
      </c>
      <c r="B526" s="110" t="str">
        <f aca="false">IFERROR(IF([1]对账明细接口!$B$526=0,"",[1]对账明细接口!$B$526),"")</f>
        <v/>
      </c>
      <c r="C526" s="59" t="str">
        <f aca="false">IFERROR(IF([1]对账明细接口!$C$526=0,"",[1]对账明细接口!$C$526),"")</f>
        <v/>
      </c>
      <c r="D526" s="59" t="str">
        <f aca="false">IFERROR(IF([1]对账明细接口!$D$526=0,"",[1]对账明细接口!$D$526),"")</f>
        <v/>
      </c>
      <c r="E526" s="59" t="str">
        <f aca="false">IFERROR(IF([1]对账明细接口!$E$526=0,"",[1]对账明细接口!$E$526),"")</f>
        <v/>
      </c>
      <c r="F526" s="59" t="str">
        <f aca="false">IFERROR(IF([1]对账明细接口!$F$526=0,"",[1]对账明细接口!$F$526),"")</f>
        <v/>
      </c>
      <c r="G526" s="59" t="str">
        <f aca="false">IFERROR(IF([1]对账明细接口!$G$526=0,"",[1]对账明细接口!$G$526),"")</f>
        <v/>
      </c>
      <c r="H526" s="60" t="str">
        <f aca="false">IFERROR(IF([1]对账明细接口!$H$526=0,"",[1]对账明细接口!$H$526),"")</f>
        <v/>
      </c>
      <c r="I526" s="59" t="str">
        <f aca="false">IFERROR(IF([1]对账明细接口!$I$526=0,"",[1]对账明细接口!$I$526),"")</f>
        <v/>
      </c>
      <c r="J526" s="61" t="str">
        <f aca="false">IFERROR(IF([1]对账明细接口!$J$526=0,"",[1]对账明细接口!$J$526),"")</f>
        <v/>
      </c>
      <c r="K526" s="61" t="str">
        <f aca="false">IFERROR(IF([1]对账明细接口!$K$526=0,"",[1]对账明细接口!$K$526),"")</f>
        <v/>
      </c>
      <c r="L526" s="59" t="str">
        <f aca="false">IFERROR(IF([1]对账明细接口!$L$526=0,"",[1]对账明细接口!$L$526),"")</f>
        <v/>
      </c>
      <c r="M526" s="59" t="str">
        <f aca="false">IFERROR(IF([1]对账明细接口!$M$526=0,"",[1]对账明细接口!$M$526),"")</f>
        <v/>
      </c>
      <c r="N526" s="111" t="n">
        <f aca="false">IF($C526="",0,1)</f>
        <v>0</v>
      </c>
      <c r="O526" s="111" t="n">
        <f aca="false">N(O525)+$N526</f>
        <v>110</v>
      </c>
      <c r="S526" s="10" t="str">
        <f aca="false">IFERROR(IF([1]对账明细接口!$N526=0,"",[1]对账明细接口!$N526),"")</f>
        <v/>
      </c>
      <c r="T526" s="112" t="str">
        <f aca="false">IFERROR(IF([1]对账明细接口!$O526=0,"",[1]对账明细接口!$O526),"")</f>
        <v/>
      </c>
      <c r="U526" s="112" t="str">
        <f aca="false">IFERROR(IF([1]对账明细接口!$P526=0,"",[1]对账明细接口!$P526),"")</f>
        <v/>
      </c>
      <c r="V526" s="112" t="str">
        <f aca="false">IFERROR(IF([1]对账明细接口!$Q526=0,"",[1]对账明细接口!$Q526),"")</f>
        <v/>
      </c>
      <c r="W526" s="10" t="str">
        <f aca="false">IFERROR(IF([1]对账明细接口!$R526=0,"",[1]对账明细接口!$R526),"")</f>
        <v/>
      </c>
      <c r="X526" s="10" t="str">
        <f aca="false">IFERROR(IF([1]对账明细接口!$S526=0,"",[1]对账明细接口!$S526),"")</f>
        <v/>
      </c>
      <c r="Y526" s="10" t="str">
        <f aca="false">""</f>
        <v/>
      </c>
      <c r="Z526" s="10" t="str">
        <f aca="false">""</f>
        <v/>
      </c>
      <c r="AA526" s="10" t="str">
        <f aca="false">""</f>
        <v/>
      </c>
      <c r="AB526" s="10" t="str">
        <f aca="false">""</f>
        <v/>
      </c>
    </row>
    <row r="527" customFormat="false" ht="13.5" hidden="false" customHeight="false" outlineLevel="0" collapsed="false">
      <c r="A527" s="109" t="n">
        <v>527</v>
      </c>
      <c r="B527" s="110" t="str">
        <f aca="false">IFERROR(IF([1]对账明细接口!$B$527=0,"",[1]对账明细接口!$B$527),"")</f>
        <v/>
      </c>
      <c r="C527" s="59" t="str">
        <f aca="false">IFERROR(IF([1]对账明细接口!$C$527=0,"",[1]对账明细接口!$C$527),"")</f>
        <v/>
      </c>
      <c r="D527" s="59" t="str">
        <f aca="false">IFERROR(IF([1]对账明细接口!$D$527=0,"",[1]对账明细接口!$D$527),"")</f>
        <v/>
      </c>
      <c r="E527" s="59" t="str">
        <f aca="false">IFERROR(IF([1]对账明细接口!$E$527=0,"",[1]对账明细接口!$E$527),"")</f>
        <v/>
      </c>
      <c r="F527" s="59" t="str">
        <f aca="false">IFERROR(IF([1]对账明细接口!$F$527=0,"",[1]对账明细接口!$F$527),"")</f>
        <v/>
      </c>
      <c r="G527" s="59" t="str">
        <f aca="false">IFERROR(IF([1]对账明细接口!$G$527=0,"",[1]对账明细接口!$G$527),"")</f>
        <v/>
      </c>
      <c r="H527" s="60" t="str">
        <f aca="false">IFERROR(IF([1]对账明细接口!$H$527=0,"",[1]对账明细接口!$H$527),"")</f>
        <v/>
      </c>
      <c r="I527" s="59" t="str">
        <f aca="false">IFERROR(IF([1]对账明细接口!$I$527=0,"",[1]对账明细接口!$I$527),"")</f>
        <v/>
      </c>
      <c r="J527" s="61" t="str">
        <f aca="false">IFERROR(IF([1]对账明细接口!$J$527=0,"",[1]对账明细接口!$J$527),"")</f>
        <v/>
      </c>
      <c r="K527" s="61" t="str">
        <f aca="false">IFERROR(IF([1]对账明细接口!$K$527=0,"",[1]对账明细接口!$K$527),"")</f>
        <v/>
      </c>
      <c r="L527" s="59" t="str">
        <f aca="false">IFERROR(IF([1]对账明细接口!$L$527=0,"",[1]对账明细接口!$L$527),"")</f>
        <v/>
      </c>
      <c r="M527" s="59" t="str">
        <f aca="false">IFERROR(IF([1]对账明细接口!$M$527=0,"",[1]对账明细接口!$M$527),"")</f>
        <v/>
      </c>
      <c r="N527" s="111" t="n">
        <f aca="false">IF($C527="",0,1)</f>
        <v>0</v>
      </c>
      <c r="O527" s="111" t="n">
        <f aca="false">N(O526)+$N527</f>
        <v>110</v>
      </c>
      <c r="S527" s="10" t="str">
        <f aca="false">IFERROR(IF([1]对账明细接口!$N527=0,"",[1]对账明细接口!$N527),"")</f>
        <v/>
      </c>
      <c r="T527" s="112" t="str">
        <f aca="false">IFERROR(IF([1]对账明细接口!$O527=0,"",[1]对账明细接口!$O527),"")</f>
        <v/>
      </c>
      <c r="U527" s="112" t="str">
        <f aca="false">IFERROR(IF([1]对账明细接口!$P527=0,"",[1]对账明细接口!$P527),"")</f>
        <v/>
      </c>
      <c r="V527" s="112" t="str">
        <f aca="false">IFERROR(IF([1]对账明细接口!$Q527=0,"",[1]对账明细接口!$Q527),"")</f>
        <v/>
      </c>
      <c r="W527" s="10" t="str">
        <f aca="false">IFERROR(IF([1]对账明细接口!$R527=0,"",[1]对账明细接口!$R527),"")</f>
        <v/>
      </c>
      <c r="X527" s="10" t="str">
        <f aca="false">IFERROR(IF([1]对账明细接口!$S527=0,"",[1]对账明细接口!$S527),"")</f>
        <v/>
      </c>
      <c r="Y527" s="10" t="str">
        <f aca="false">""</f>
        <v/>
      </c>
      <c r="Z527" s="10" t="str">
        <f aca="false">""</f>
        <v/>
      </c>
      <c r="AA527" s="10" t="str">
        <f aca="false">""</f>
        <v/>
      </c>
      <c r="AB527" s="10" t="str">
        <f aca="false">""</f>
        <v/>
      </c>
    </row>
    <row r="528" customFormat="false" ht="13.5" hidden="false" customHeight="false" outlineLevel="0" collapsed="false">
      <c r="A528" s="109" t="n">
        <v>528</v>
      </c>
      <c r="B528" s="110" t="str">
        <f aca="false">IFERROR(IF([1]对账明细接口!$B$528=0,"",[1]对账明细接口!$B$528),"")</f>
        <v/>
      </c>
      <c r="C528" s="59" t="str">
        <f aca="false">IFERROR(IF([1]对账明细接口!$C$528=0,"",[1]对账明细接口!$C$528),"")</f>
        <v/>
      </c>
      <c r="D528" s="59" t="str">
        <f aca="false">IFERROR(IF([1]对账明细接口!$D$528=0,"",[1]对账明细接口!$D$528),"")</f>
        <v/>
      </c>
      <c r="E528" s="59" t="str">
        <f aca="false">IFERROR(IF([1]对账明细接口!$E$528=0,"",[1]对账明细接口!$E$528),"")</f>
        <v/>
      </c>
      <c r="F528" s="59" t="str">
        <f aca="false">IFERROR(IF([1]对账明细接口!$F$528=0,"",[1]对账明细接口!$F$528),"")</f>
        <v/>
      </c>
      <c r="G528" s="59" t="str">
        <f aca="false">IFERROR(IF([1]对账明细接口!$G$528=0,"",[1]对账明细接口!$G$528),"")</f>
        <v/>
      </c>
      <c r="H528" s="60" t="str">
        <f aca="false">IFERROR(IF([1]对账明细接口!$H$528=0,"",[1]对账明细接口!$H$528),"")</f>
        <v/>
      </c>
      <c r="I528" s="59" t="str">
        <f aca="false">IFERROR(IF([1]对账明细接口!$I$528=0,"",[1]对账明细接口!$I$528),"")</f>
        <v/>
      </c>
      <c r="J528" s="61" t="str">
        <f aca="false">IFERROR(IF([1]对账明细接口!$J$528=0,"",[1]对账明细接口!$J$528),"")</f>
        <v/>
      </c>
      <c r="K528" s="61" t="str">
        <f aca="false">IFERROR(IF([1]对账明细接口!$K$528=0,"",[1]对账明细接口!$K$528),"")</f>
        <v/>
      </c>
      <c r="L528" s="59" t="str">
        <f aca="false">IFERROR(IF([1]对账明细接口!$L$528=0,"",[1]对账明细接口!$L$528),"")</f>
        <v/>
      </c>
      <c r="M528" s="59" t="str">
        <f aca="false">IFERROR(IF([1]对账明细接口!$M$528=0,"",[1]对账明细接口!$M$528),"")</f>
        <v/>
      </c>
      <c r="N528" s="111" t="n">
        <f aca="false">IF($C528="",0,1)</f>
        <v>0</v>
      </c>
      <c r="O528" s="111" t="n">
        <f aca="false">N(O527)+$N528</f>
        <v>110</v>
      </c>
      <c r="S528" s="10" t="str">
        <f aca="false">IFERROR(IF([1]对账明细接口!$N528=0,"",[1]对账明细接口!$N528),"")</f>
        <v/>
      </c>
      <c r="T528" s="112" t="str">
        <f aca="false">IFERROR(IF([1]对账明细接口!$O528=0,"",[1]对账明细接口!$O528),"")</f>
        <v/>
      </c>
      <c r="U528" s="112" t="str">
        <f aca="false">IFERROR(IF([1]对账明细接口!$P528=0,"",[1]对账明细接口!$P528),"")</f>
        <v/>
      </c>
      <c r="V528" s="112" t="str">
        <f aca="false">IFERROR(IF([1]对账明细接口!$Q528=0,"",[1]对账明细接口!$Q528),"")</f>
        <v/>
      </c>
      <c r="W528" s="10" t="str">
        <f aca="false">IFERROR(IF([1]对账明细接口!$R528=0,"",[1]对账明细接口!$R528),"")</f>
        <v/>
      </c>
      <c r="X528" s="10" t="str">
        <f aca="false">IFERROR(IF([1]对账明细接口!$S528=0,"",[1]对账明细接口!$S528),"")</f>
        <v/>
      </c>
      <c r="Y528" s="10" t="str">
        <f aca="false">""</f>
        <v/>
      </c>
      <c r="Z528" s="10" t="str">
        <f aca="false">""</f>
        <v/>
      </c>
      <c r="AA528" s="10" t="str">
        <f aca="false">""</f>
        <v/>
      </c>
      <c r="AB528" s="10" t="str">
        <f aca="false">""</f>
        <v/>
      </c>
    </row>
    <row r="529" customFormat="false" ht="13.5" hidden="false" customHeight="false" outlineLevel="0" collapsed="false">
      <c r="A529" s="109" t="n">
        <v>529</v>
      </c>
      <c r="B529" s="110" t="str">
        <f aca="false">IFERROR(IF([1]对账明细接口!$B$529=0,"",[1]对账明细接口!$B$529),"")</f>
        <v/>
      </c>
      <c r="C529" s="59" t="str">
        <f aca="false">IFERROR(IF([1]对账明细接口!$C$529=0,"",[1]对账明细接口!$C$529),"")</f>
        <v/>
      </c>
      <c r="D529" s="59" t="str">
        <f aca="false">IFERROR(IF([1]对账明细接口!$D$529=0,"",[1]对账明细接口!$D$529),"")</f>
        <v/>
      </c>
      <c r="E529" s="59" t="str">
        <f aca="false">IFERROR(IF([1]对账明细接口!$E$529=0,"",[1]对账明细接口!$E$529),"")</f>
        <v/>
      </c>
      <c r="F529" s="59" t="str">
        <f aca="false">IFERROR(IF([1]对账明细接口!$F$529=0,"",[1]对账明细接口!$F$529),"")</f>
        <v/>
      </c>
      <c r="G529" s="59" t="str">
        <f aca="false">IFERROR(IF([1]对账明细接口!$G$529=0,"",[1]对账明细接口!$G$529),"")</f>
        <v/>
      </c>
      <c r="H529" s="60" t="str">
        <f aca="false">IFERROR(IF([1]对账明细接口!$H$529=0,"",[1]对账明细接口!$H$529),"")</f>
        <v/>
      </c>
      <c r="I529" s="59" t="str">
        <f aca="false">IFERROR(IF([1]对账明细接口!$I$529=0,"",[1]对账明细接口!$I$529),"")</f>
        <v/>
      </c>
      <c r="J529" s="61" t="str">
        <f aca="false">IFERROR(IF([1]对账明细接口!$J$529=0,"",[1]对账明细接口!$J$529),"")</f>
        <v/>
      </c>
      <c r="K529" s="61" t="str">
        <f aca="false">IFERROR(IF([1]对账明细接口!$K$529=0,"",[1]对账明细接口!$K$529),"")</f>
        <v/>
      </c>
      <c r="L529" s="59" t="str">
        <f aca="false">IFERROR(IF([1]对账明细接口!$L$529=0,"",[1]对账明细接口!$L$529),"")</f>
        <v/>
      </c>
      <c r="M529" s="59" t="str">
        <f aca="false">IFERROR(IF([1]对账明细接口!$M$529=0,"",[1]对账明细接口!$M$529),"")</f>
        <v/>
      </c>
      <c r="N529" s="111" t="n">
        <f aca="false">IF($C529="",0,1)</f>
        <v>0</v>
      </c>
      <c r="O529" s="111" t="n">
        <f aca="false">N(O528)+$N529</f>
        <v>110</v>
      </c>
      <c r="S529" s="10" t="str">
        <f aca="false">IFERROR(IF([1]对账明细接口!$N529=0,"",[1]对账明细接口!$N529),"")</f>
        <v/>
      </c>
      <c r="T529" s="112" t="str">
        <f aca="false">IFERROR(IF([1]对账明细接口!$O529=0,"",[1]对账明细接口!$O529),"")</f>
        <v/>
      </c>
      <c r="U529" s="112" t="str">
        <f aca="false">IFERROR(IF([1]对账明细接口!$P529=0,"",[1]对账明细接口!$P529),"")</f>
        <v/>
      </c>
      <c r="V529" s="112" t="str">
        <f aca="false">IFERROR(IF([1]对账明细接口!$Q529=0,"",[1]对账明细接口!$Q529),"")</f>
        <v/>
      </c>
      <c r="W529" s="10" t="str">
        <f aca="false">IFERROR(IF([1]对账明细接口!$R529=0,"",[1]对账明细接口!$R529),"")</f>
        <v/>
      </c>
      <c r="X529" s="10" t="str">
        <f aca="false">IFERROR(IF([1]对账明细接口!$S529=0,"",[1]对账明细接口!$S529),"")</f>
        <v/>
      </c>
      <c r="Y529" s="10" t="str">
        <f aca="false">""</f>
        <v/>
      </c>
      <c r="Z529" s="10" t="str">
        <f aca="false">""</f>
        <v/>
      </c>
      <c r="AA529" s="10" t="str">
        <f aca="false">""</f>
        <v/>
      </c>
      <c r="AB529" s="10" t="str">
        <f aca="false">""</f>
        <v/>
      </c>
    </row>
    <row r="530" customFormat="false" ht="13.5" hidden="false" customHeight="false" outlineLevel="0" collapsed="false">
      <c r="A530" s="109" t="n">
        <v>530</v>
      </c>
      <c r="B530" s="110" t="str">
        <f aca="false">IFERROR(IF([1]对账明细接口!$B$530=0,"",[1]对账明细接口!$B$530),"")</f>
        <v/>
      </c>
      <c r="C530" s="59" t="str">
        <f aca="false">IFERROR(IF([1]对账明细接口!$C$530=0,"",[1]对账明细接口!$C$530),"")</f>
        <v/>
      </c>
      <c r="D530" s="59" t="str">
        <f aca="false">IFERROR(IF([1]对账明细接口!$D$530=0,"",[1]对账明细接口!$D$530),"")</f>
        <v/>
      </c>
      <c r="E530" s="59" t="str">
        <f aca="false">IFERROR(IF([1]对账明细接口!$E$530=0,"",[1]对账明细接口!$E$530),"")</f>
        <v/>
      </c>
      <c r="F530" s="59" t="str">
        <f aca="false">IFERROR(IF([1]对账明细接口!$F$530=0,"",[1]对账明细接口!$F$530),"")</f>
        <v/>
      </c>
      <c r="G530" s="59" t="str">
        <f aca="false">IFERROR(IF([1]对账明细接口!$G$530=0,"",[1]对账明细接口!$G$530),"")</f>
        <v/>
      </c>
      <c r="H530" s="60" t="str">
        <f aca="false">IFERROR(IF([1]对账明细接口!$H$530=0,"",[1]对账明细接口!$H$530),"")</f>
        <v/>
      </c>
      <c r="I530" s="59" t="str">
        <f aca="false">IFERROR(IF([1]对账明细接口!$I$530=0,"",[1]对账明细接口!$I$530),"")</f>
        <v/>
      </c>
      <c r="J530" s="61" t="str">
        <f aca="false">IFERROR(IF([1]对账明细接口!$J$530=0,"",[1]对账明细接口!$J$530),"")</f>
        <v/>
      </c>
      <c r="K530" s="61" t="str">
        <f aca="false">IFERROR(IF([1]对账明细接口!$K$530=0,"",[1]对账明细接口!$K$530),"")</f>
        <v/>
      </c>
      <c r="L530" s="59" t="str">
        <f aca="false">IFERROR(IF([1]对账明细接口!$L$530=0,"",[1]对账明细接口!$L$530),"")</f>
        <v/>
      </c>
      <c r="M530" s="59" t="str">
        <f aca="false">IFERROR(IF([1]对账明细接口!$M$530=0,"",[1]对账明细接口!$M$530),"")</f>
        <v/>
      </c>
      <c r="N530" s="111" t="n">
        <f aca="false">IF($C530="",0,1)</f>
        <v>0</v>
      </c>
      <c r="O530" s="111" t="n">
        <f aca="false">N(O529)+$N530</f>
        <v>110</v>
      </c>
      <c r="S530" s="10" t="str">
        <f aca="false">IFERROR(IF([1]对账明细接口!$N530=0,"",[1]对账明细接口!$N530),"")</f>
        <v/>
      </c>
      <c r="T530" s="112" t="str">
        <f aca="false">IFERROR(IF([1]对账明细接口!$O530=0,"",[1]对账明细接口!$O530),"")</f>
        <v/>
      </c>
      <c r="U530" s="112" t="str">
        <f aca="false">IFERROR(IF([1]对账明细接口!$P530=0,"",[1]对账明细接口!$P530),"")</f>
        <v/>
      </c>
      <c r="V530" s="112" t="str">
        <f aca="false">IFERROR(IF([1]对账明细接口!$Q530=0,"",[1]对账明细接口!$Q530),"")</f>
        <v/>
      </c>
      <c r="W530" s="10" t="str">
        <f aca="false">IFERROR(IF([1]对账明细接口!$R530=0,"",[1]对账明细接口!$R530),"")</f>
        <v/>
      </c>
      <c r="X530" s="10" t="str">
        <f aca="false">IFERROR(IF([1]对账明细接口!$S530=0,"",[1]对账明细接口!$S530),"")</f>
        <v/>
      </c>
      <c r="Y530" s="10" t="str">
        <f aca="false">""</f>
        <v/>
      </c>
      <c r="Z530" s="10" t="str">
        <f aca="false">""</f>
        <v/>
      </c>
      <c r="AA530" s="10" t="str">
        <f aca="false">""</f>
        <v/>
      </c>
      <c r="AB530" s="10" t="str">
        <f aca="false">""</f>
        <v/>
      </c>
    </row>
    <row r="531" customFormat="false" ht="13.5" hidden="false" customHeight="false" outlineLevel="0" collapsed="false">
      <c r="A531" s="109" t="n">
        <v>531</v>
      </c>
      <c r="B531" s="110" t="str">
        <f aca="false">IFERROR(IF([1]对账明细接口!$B$531=0,"",[1]对账明细接口!$B$531),"")</f>
        <v/>
      </c>
      <c r="C531" s="59" t="str">
        <f aca="false">IFERROR(IF([1]对账明细接口!$C$531=0,"",[1]对账明细接口!$C$531),"")</f>
        <v/>
      </c>
      <c r="D531" s="59" t="str">
        <f aca="false">IFERROR(IF([1]对账明细接口!$D$531=0,"",[1]对账明细接口!$D$531),"")</f>
        <v/>
      </c>
      <c r="E531" s="59" t="str">
        <f aca="false">IFERROR(IF([1]对账明细接口!$E$531=0,"",[1]对账明细接口!$E$531),"")</f>
        <v/>
      </c>
      <c r="F531" s="59" t="str">
        <f aca="false">IFERROR(IF([1]对账明细接口!$F$531=0,"",[1]对账明细接口!$F$531),"")</f>
        <v/>
      </c>
      <c r="G531" s="59" t="str">
        <f aca="false">IFERROR(IF([1]对账明细接口!$G$531=0,"",[1]对账明细接口!$G$531),"")</f>
        <v/>
      </c>
      <c r="H531" s="60" t="str">
        <f aca="false">IFERROR(IF([1]对账明细接口!$H$531=0,"",[1]对账明细接口!$H$531),"")</f>
        <v/>
      </c>
      <c r="I531" s="59" t="str">
        <f aca="false">IFERROR(IF([1]对账明细接口!$I$531=0,"",[1]对账明细接口!$I$531),"")</f>
        <v/>
      </c>
      <c r="J531" s="61" t="str">
        <f aca="false">IFERROR(IF([1]对账明细接口!$J$531=0,"",[1]对账明细接口!$J$531),"")</f>
        <v/>
      </c>
      <c r="K531" s="61" t="str">
        <f aca="false">IFERROR(IF([1]对账明细接口!$K$531=0,"",[1]对账明细接口!$K$531),"")</f>
        <v/>
      </c>
      <c r="L531" s="59" t="str">
        <f aca="false">IFERROR(IF([1]对账明细接口!$L$531=0,"",[1]对账明细接口!$L$531),"")</f>
        <v/>
      </c>
      <c r="M531" s="59" t="str">
        <f aca="false">IFERROR(IF([1]对账明细接口!$M$531=0,"",[1]对账明细接口!$M$531),"")</f>
        <v/>
      </c>
      <c r="N531" s="111" t="n">
        <f aca="false">IF($C531="",0,1)</f>
        <v>0</v>
      </c>
      <c r="O531" s="111" t="n">
        <f aca="false">N(O530)+$N531</f>
        <v>110</v>
      </c>
      <c r="S531" s="10" t="str">
        <f aca="false">IFERROR(IF([1]对账明细接口!$N531=0,"",[1]对账明细接口!$N531),"")</f>
        <v/>
      </c>
      <c r="T531" s="112" t="str">
        <f aca="false">IFERROR(IF([1]对账明细接口!$O531=0,"",[1]对账明细接口!$O531),"")</f>
        <v/>
      </c>
      <c r="U531" s="112" t="str">
        <f aca="false">IFERROR(IF([1]对账明细接口!$P531=0,"",[1]对账明细接口!$P531),"")</f>
        <v/>
      </c>
      <c r="V531" s="112" t="str">
        <f aca="false">IFERROR(IF([1]对账明细接口!$Q531=0,"",[1]对账明细接口!$Q531),"")</f>
        <v/>
      </c>
      <c r="W531" s="10" t="str">
        <f aca="false">IFERROR(IF([1]对账明细接口!$R531=0,"",[1]对账明细接口!$R531),"")</f>
        <v/>
      </c>
      <c r="X531" s="10" t="str">
        <f aca="false">IFERROR(IF([1]对账明细接口!$S531=0,"",[1]对账明细接口!$S531),"")</f>
        <v/>
      </c>
      <c r="Y531" s="10" t="str">
        <f aca="false">""</f>
        <v/>
      </c>
      <c r="Z531" s="10" t="str">
        <f aca="false">""</f>
        <v/>
      </c>
      <c r="AA531" s="10" t="str">
        <f aca="false">""</f>
        <v/>
      </c>
      <c r="AB531" s="10" t="str">
        <f aca="false">""</f>
        <v/>
      </c>
    </row>
    <row r="532" customFormat="false" ht="13.5" hidden="false" customHeight="false" outlineLevel="0" collapsed="false">
      <c r="A532" s="109" t="n">
        <v>532</v>
      </c>
      <c r="B532" s="110" t="str">
        <f aca="false">IFERROR(IF([1]对账明细接口!$B$532=0,"",[1]对账明细接口!$B$532),"")</f>
        <v/>
      </c>
      <c r="C532" s="59" t="str">
        <f aca="false">IFERROR(IF([1]对账明细接口!$C$532=0,"",[1]对账明细接口!$C$532),"")</f>
        <v/>
      </c>
      <c r="D532" s="59" t="str">
        <f aca="false">IFERROR(IF([1]对账明细接口!$D$532=0,"",[1]对账明细接口!$D$532),"")</f>
        <v/>
      </c>
      <c r="E532" s="59" t="str">
        <f aca="false">IFERROR(IF([1]对账明细接口!$E$532=0,"",[1]对账明细接口!$E$532),"")</f>
        <v/>
      </c>
      <c r="F532" s="59" t="str">
        <f aca="false">IFERROR(IF([1]对账明细接口!$F$532=0,"",[1]对账明细接口!$F$532),"")</f>
        <v/>
      </c>
      <c r="G532" s="59" t="str">
        <f aca="false">IFERROR(IF([1]对账明细接口!$G$532=0,"",[1]对账明细接口!$G$532),"")</f>
        <v/>
      </c>
      <c r="H532" s="60" t="str">
        <f aca="false">IFERROR(IF([1]对账明细接口!$H$532=0,"",[1]对账明细接口!$H$532),"")</f>
        <v/>
      </c>
      <c r="I532" s="59" t="str">
        <f aca="false">IFERROR(IF([1]对账明细接口!$I$532=0,"",[1]对账明细接口!$I$532),"")</f>
        <v/>
      </c>
      <c r="J532" s="61" t="str">
        <f aca="false">IFERROR(IF([1]对账明细接口!$J$532=0,"",[1]对账明细接口!$J$532),"")</f>
        <v/>
      </c>
      <c r="K532" s="61" t="str">
        <f aca="false">IFERROR(IF([1]对账明细接口!$K$532=0,"",[1]对账明细接口!$K$532),"")</f>
        <v/>
      </c>
      <c r="L532" s="59" t="str">
        <f aca="false">IFERROR(IF([1]对账明细接口!$L$532=0,"",[1]对账明细接口!$L$532),"")</f>
        <v/>
      </c>
      <c r="M532" s="59" t="str">
        <f aca="false">IFERROR(IF([1]对账明细接口!$M$532=0,"",[1]对账明细接口!$M$532),"")</f>
        <v/>
      </c>
      <c r="N532" s="111" t="n">
        <f aca="false">IF($C532="",0,1)</f>
        <v>0</v>
      </c>
      <c r="O532" s="111" t="n">
        <f aca="false">N(O531)+$N532</f>
        <v>110</v>
      </c>
      <c r="S532" s="10" t="str">
        <f aca="false">IFERROR(IF([1]对账明细接口!$N532=0,"",[1]对账明细接口!$N532),"")</f>
        <v/>
      </c>
      <c r="T532" s="112" t="str">
        <f aca="false">IFERROR(IF([1]对账明细接口!$O532=0,"",[1]对账明细接口!$O532),"")</f>
        <v/>
      </c>
      <c r="U532" s="112" t="str">
        <f aca="false">IFERROR(IF([1]对账明细接口!$P532=0,"",[1]对账明细接口!$P532),"")</f>
        <v/>
      </c>
      <c r="V532" s="112" t="str">
        <f aca="false">IFERROR(IF([1]对账明细接口!$Q532=0,"",[1]对账明细接口!$Q532),"")</f>
        <v/>
      </c>
      <c r="W532" s="10" t="str">
        <f aca="false">IFERROR(IF([1]对账明细接口!$R532=0,"",[1]对账明细接口!$R532),"")</f>
        <v/>
      </c>
      <c r="X532" s="10" t="str">
        <f aca="false">IFERROR(IF([1]对账明细接口!$S532=0,"",[1]对账明细接口!$S532),"")</f>
        <v/>
      </c>
      <c r="Y532" s="10" t="str">
        <f aca="false">""</f>
        <v/>
      </c>
      <c r="Z532" s="10" t="str">
        <f aca="false">""</f>
        <v/>
      </c>
      <c r="AA532" s="10" t="str">
        <f aca="false">""</f>
        <v/>
      </c>
      <c r="AB532" s="10" t="str">
        <f aca="false">""</f>
        <v/>
      </c>
    </row>
    <row r="533" customFormat="false" ht="13.5" hidden="false" customHeight="false" outlineLevel="0" collapsed="false">
      <c r="A533" s="109" t="n">
        <v>533</v>
      </c>
      <c r="B533" s="110" t="str">
        <f aca="false">IFERROR(IF([1]对账明细接口!$B$533=0,"",[1]对账明细接口!$B$533),"")</f>
        <v/>
      </c>
      <c r="C533" s="59" t="str">
        <f aca="false">IFERROR(IF([1]对账明细接口!$C$533=0,"",[1]对账明细接口!$C$533),"")</f>
        <v/>
      </c>
      <c r="D533" s="59" t="str">
        <f aca="false">IFERROR(IF([1]对账明细接口!$D$533=0,"",[1]对账明细接口!$D$533),"")</f>
        <v/>
      </c>
      <c r="E533" s="59" t="str">
        <f aca="false">IFERROR(IF([1]对账明细接口!$E$533=0,"",[1]对账明细接口!$E$533),"")</f>
        <v/>
      </c>
      <c r="F533" s="59" t="str">
        <f aca="false">IFERROR(IF([1]对账明细接口!$F$533=0,"",[1]对账明细接口!$F$533),"")</f>
        <v/>
      </c>
      <c r="G533" s="59" t="str">
        <f aca="false">IFERROR(IF([1]对账明细接口!$G$533=0,"",[1]对账明细接口!$G$533),"")</f>
        <v/>
      </c>
      <c r="H533" s="60" t="str">
        <f aca="false">IFERROR(IF([1]对账明细接口!$H$533=0,"",[1]对账明细接口!$H$533),"")</f>
        <v/>
      </c>
      <c r="I533" s="59" t="str">
        <f aca="false">IFERROR(IF([1]对账明细接口!$I$533=0,"",[1]对账明细接口!$I$533),"")</f>
        <v/>
      </c>
      <c r="J533" s="61" t="str">
        <f aca="false">IFERROR(IF([1]对账明细接口!$J$533=0,"",[1]对账明细接口!$J$533),"")</f>
        <v/>
      </c>
      <c r="K533" s="61" t="str">
        <f aca="false">IFERROR(IF([1]对账明细接口!$K$533=0,"",[1]对账明细接口!$K$533),"")</f>
        <v/>
      </c>
      <c r="L533" s="59" t="str">
        <f aca="false">IFERROR(IF([1]对账明细接口!$L$533=0,"",[1]对账明细接口!$L$533),"")</f>
        <v/>
      </c>
      <c r="M533" s="59" t="str">
        <f aca="false">IFERROR(IF([1]对账明细接口!$M$533=0,"",[1]对账明细接口!$M$533),"")</f>
        <v/>
      </c>
      <c r="N533" s="111" t="n">
        <f aca="false">IF($C533="",0,1)</f>
        <v>0</v>
      </c>
      <c r="O533" s="111" t="n">
        <f aca="false">N(O532)+$N533</f>
        <v>110</v>
      </c>
      <c r="S533" s="10" t="str">
        <f aca="false">IFERROR(IF([1]对账明细接口!$N533=0,"",[1]对账明细接口!$N533),"")</f>
        <v/>
      </c>
      <c r="T533" s="112" t="str">
        <f aca="false">IFERROR(IF([1]对账明细接口!$O533=0,"",[1]对账明细接口!$O533),"")</f>
        <v/>
      </c>
      <c r="U533" s="112" t="str">
        <f aca="false">IFERROR(IF([1]对账明细接口!$P533=0,"",[1]对账明细接口!$P533),"")</f>
        <v/>
      </c>
      <c r="V533" s="112" t="str">
        <f aca="false">IFERROR(IF([1]对账明细接口!$Q533=0,"",[1]对账明细接口!$Q533),"")</f>
        <v/>
      </c>
      <c r="W533" s="10" t="str">
        <f aca="false">IFERROR(IF([1]对账明细接口!$R533=0,"",[1]对账明细接口!$R533),"")</f>
        <v/>
      </c>
      <c r="X533" s="10" t="str">
        <f aca="false">IFERROR(IF([1]对账明细接口!$S533=0,"",[1]对账明细接口!$S533),"")</f>
        <v/>
      </c>
      <c r="Y533" s="10" t="str">
        <f aca="false">""</f>
        <v/>
      </c>
      <c r="Z533" s="10" t="str">
        <f aca="false">""</f>
        <v/>
      </c>
      <c r="AA533" s="10" t="str">
        <f aca="false">""</f>
        <v/>
      </c>
      <c r="AB533" s="10" t="str">
        <f aca="false">""</f>
        <v/>
      </c>
    </row>
    <row r="534" customFormat="false" ht="13.5" hidden="false" customHeight="false" outlineLevel="0" collapsed="false">
      <c r="A534" s="109" t="n">
        <v>534</v>
      </c>
      <c r="B534" s="110" t="str">
        <f aca="false">IFERROR(IF([1]对账明细接口!$B$534=0,"",[1]对账明细接口!$B$534),"")</f>
        <v/>
      </c>
      <c r="C534" s="59" t="str">
        <f aca="false">IFERROR(IF([1]对账明细接口!$C$534=0,"",[1]对账明细接口!$C$534),"")</f>
        <v/>
      </c>
      <c r="D534" s="59" t="str">
        <f aca="false">IFERROR(IF([1]对账明细接口!$D$534=0,"",[1]对账明细接口!$D$534),"")</f>
        <v/>
      </c>
      <c r="E534" s="59" t="str">
        <f aca="false">IFERROR(IF([1]对账明细接口!$E$534=0,"",[1]对账明细接口!$E$534),"")</f>
        <v/>
      </c>
      <c r="F534" s="59" t="str">
        <f aca="false">IFERROR(IF([1]对账明细接口!$F$534=0,"",[1]对账明细接口!$F$534),"")</f>
        <v/>
      </c>
      <c r="G534" s="59" t="str">
        <f aca="false">IFERROR(IF([1]对账明细接口!$G$534=0,"",[1]对账明细接口!$G$534),"")</f>
        <v/>
      </c>
      <c r="H534" s="60" t="str">
        <f aca="false">IFERROR(IF([1]对账明细接口!$H$534=0,"",[1]对账明细接口!$H$534),"")</f>
        <v/>
      </c>
      <c r="I534" s="59" t="str">
        <f aca="false">IFERROR(IF([1]对账明细接口!$I$534=0,"",[1]对账明细接口!$I$534),"")</f>
        <v/>
      </c>
      <c r="J534" s="61" t="str">
        <f aca="false">IFERROR(IF([1]对账明细接口!$J$534=0,"",[1]对账明细接口!$J$534),"")</f>
        <v/>
      </c>
      <c r="K534" s="61" t="str">
        <f aca="false">IFERROR(IF([1]对账明细接口!$K$534=0,"",[1]对账明细接口!$K$534),"")</f>
        <v/>
      </c>
      <c r="L534" s="59" t="str">
        <f aca="false">IFERROR(IF([1]对账明细接口!$L$534=0,"",[1]对账明细接口!$L$534),"")</f>
        <v/>
      </c>
      <c r="M534" s="59" t="str">
        <f aca="false">IFERROR(IF([1]对账明细接口!$M$534=0,"",[1]对账明细接口!$M$534),"")</f>
        <v/>
      </c>
      <c r="N534" s="111" t="n">
        <f aca="false">IF($C534="",0,1)</f>
        <v>0</v>
      </c>
      <c r="O534" s="111" t="n">
        <f aca="false">N(O533)+$N534</f>
        <v>110</v>
      </c>
      <c r="S534" s="10" t="str">
        <f aca="false">IFERROR(IF([1]对账明细接口!$N534=0,"",[1]对账明细接口!$N534),"")</f>
        <v/>
      </c>
      <c r="T534" s="112" t="str">
        <f aca="false">IFERROR(IF([1]对账明细接口!$O534=0,"",[1]对账明细接口!$O534),"")</f>
        <v/>
      </c>
      <c r="U534" s="112" t="str">
        <f aca="false">IFERROR(IF([1]对账明细接口!$P534=0,"",[1]对账明细接口!$P534),"")</f>
        <v/>
      </c>
      <c r="V534" s="112" t="str">
        <f aca="false">IFERROR(IF([1]对账明细接口!$Q534=0,"",[1]对账明细接口!$Q534),"")</f>
        <v/>
      </c>
      <c r="W534" s="10" t="str">
        <f aca="false">IFERROR(IF([1]对账明细接口!$R534=0,"",[1]对账明细接口!$R534),"")</f>
        <v/>
      </c>
      <c r="X534" s="10" t="str">
        <f aca="false">IFERROR(IF([1]对账明细接口!$S534=0,"",[1]对账明细接口!$S534),"")</f>
        <v/>
      </c>
      <c r="Y534" s="10" t="str">
        <f aca="false">""</f>
        <v/>
      </c>
      <c r="Z534" s="10" t="str">
        <f aca="false">""</f>
        <v/>
      </c>
      <c r="AA534" s="10" t="str">
        <f aca="false">""</f>
        <v/>
      </c>
      <c r="AB534" s="10" t="str">
        <f aca="false">""</f>
        <v/>
      </c>
    </row>
    <row r="535" customFormat="false" ht="13.5" hidden="false" customHeight="false" outlineLevel="0" collapsed="false">
      <c r="A535" s="109" t="n">
        <v>535</v>
      </c>
      <c r="B535" s="110" t="str">
        <f aca="false">IFERROR(IF([1]对账明细接口!$B$535=0,"",[1]对账明细接口!$B$535),"")</f>
        <v/>
      </c>
      <c r="C535" s="59" t="str">
        <f aca="false">IFERROR(IF([1]对账明细接口!$C$535=0,"",[1]对账明细接口!$C$535),"")</f>
        <v/>
      </c>
      <c r="D535" s="59" t="str">
        <f aca="false">IFERROR(IF([1]对账明细接口!$D$535=0,"",[1]对账明细接口!$D$535),"")</f>
        <v/>
      </c>
      <c r="E535" s="59" t="str">
        <f aca="false">IFERROR(IF([1]对账明细接口!$E$535=0,"",[1]对账明细接口!$E$535),"")</f>
        <v/>
      </c>
      <c r="F535" s="59" t="str">
        <f aca="false">IFERROR(IF([1]对账明细接口!$F$535=0,"",[1]对账明细接口!$F$535),"")</f>
        <v/>
      </c>
      <c r="G535" s="59" t="str">
        <f aca="false">IFERROR(IF([1]对账明细接口!$G$535=0,"",[1]对账明细接口!$G$535),"")</f>
        <v/>
      </c>
      <c r="H535" s="60" t="str">
        <f aca="false">IFERROR(IF([1]对账明细接口!$H$535=0,"",[1]对账明细接口!$H$535),"")</f>
        <v/>
      </c>
      <c r="I535" s="59" t="str">
        <f aca="false">IFERROR(IF([1]对账明细接口!$I$535=0,"",[1]对账明细接口!$I$535),"")</f>
        <v/>
      </c>
      <c r="J535" s="61" t="str">
        <f aca="false">IFERROR(IF([1]对账明细接口!$J$535=0,"",[1]对账明细接口!$J$535),"")</f>
        <v/>
      </c>
      <c r="K535" s="61" t="str">
        <f aca="false">IFERROR(IF([1]对账明细接口!$K$535=0,"",[1]对账明细接口!$K$535),"")</f>
        <v/>
      </c>
      <c r="L535" s="59" t="str">
        <f aca="false">IFERROR(IF([1]对账明细接口!$L$535=0,"",[1]对账明细接口!$L$535),"")</f>
        <v/>
      </c>
      <c r="M535" s="59" t="str">
        <f aca="false">IFERROR(IF([1]对账明细接口!$M$535=0,"",[1]对账明细接口!$M$535),"")</f>
        <v/>
      </c>
      <c r="N535" s="111" t="n">
        <f aca="false">IF($C535="",0,1)</f>
        <v>0</v>
      </c>
      <c r="O535" s="111" t="n">
        <f aca="false">N(O534)+$N535</f>
        <v>110</v>
      </c>
      <c r="S535" s="10" t="str">
        <f aca="false">IFERROR(IF([1]对账明细接口!$N535=0,"",[1]对账明细接口!$N535),"")</f>
        <v/>
      </c>
      <c r="T535" s="112" t="str">
        <f aca="false">IFERROR(IF([1]对账明细接口!$O535=0,"",[1]对账明细接口!$O535),"")</f>
        <v/>
      </c>
      <c r="U535" s="112" t="str">
        <f aca="false">IFERROR(IF([1]对账明细接口!$P535=0,"",[1]对账明细接口!$P535),"")</f>
        <v/>
      </c>
      <c r="V535" s="112" t="str">
        <f aca="false">IFERROR(IF([1]对账明细接口!$Q535=0,"",[1]对账明细接口!$Q535),"")</f>
        <v/>
      </c>
      <c r="W535" s="10" t="str">
        <f aca="false">IFERROR(IF([1]对账明细接口!$R535=0,"",[1]对账明细接口!$R535),"")</f>
        <v/>
      </c>
      <c r="X535" s="10" t="str">
        <f aca="false">IFERROR(IF([1]对账明细接口!$S535=0,"",[1]对账明细接口!$S535),"")</f>
        <v/>
      </c>
      <c r="Y535" s="10" t="str">
        <f aca="false">""</f>
        <v/>
      </c>
      <c r="Z535" s="10" t="str">
        <f aca="false">""</f>
        <v/>
      </c>
      <c r="AA535" s="10" t="str">
        <f aca="false">""</f>
        <v/>
      </c>
      <c r="AB535" s="10" t="str">
        <f aca="false">""</f>
        <v/>
      </c>
    </row>
    <row r="536" customFormat="false" ht="13.5" hidden="false" customHeight="false" outlineLevel="0" collapsed="false">
      <c r="A536" s="109" t="n">
        <v>536</v>
      </c>
      <c r="B536" s="110" t="str">
        <f aca="false">IFERROR(IF([1]对账明细接口!$B$536=0,"",[1]对账明细接口!$B$536),"")</f>
        <v/>
      </c>
      <c r="C536" s="59" t="str">
        <f aca="false">IFERROR(IF([1]对账明细接口!$C$536=0,"",[1]对账明细接口!$C$536),"")</f>
        <v/>
      </c>
      <c r="D536" s="59" t="str">
        <f aca="false">IFERROR(IF([1]对账明细接口!$D$536=0,"",[1]对账明细接口!$D$536),"")</f>
        <v/>
      </c>
      <c r="E536" s="59" t="str">
        <f aca="false">IFERROR(IF([1]对账明细接口!$E$536=0,"",[1]对账明细接口!$E$536),"")</f>
        <v/>
      </c>
      <c r="F536" s="59" t="str">
        <f aca="false">IFERROR(IF([1]对账明细接口!$F$536=0,"",[1]对账明细接口!$F$536),"")</f>
        <v/>
      </c>
      <c r="G536" s="59" t="str">
        <f aca="false">IFERROR(IF([1]对账明细接口!$G$536=0,"",[1]对账明细接口!$G$536),"")</f>
        <v/>
      </c>
      <c r="H536" s="60" t="str">
        <f aca="false">IFERROR(IF([1]对账明细接口!$H$536=0,"",[1]对账明细接口!$H$536),"")</f>
        <v/>
      </c>
      <c r="I536" s="59" t="str">
        <f aca="false">IFERROR(IF([1]对账明细接口!$I$536=0,"",[1]对账明细接口!$I$536),"")</f>
        <v/>
      </c>
      <c r="J536" s="61" t="str">
        <f aca="false">IFERROR(IF([1]对账明细接口!$J$536=0,"",[1]对账明细接口!$J$536),"")</f>
        <v/>
      </c>
      <c r="K536" s="61" t="str">
        <f aca="false">IFERROR(IF([1]对账明细接口!$K$536=0,"",[1]对账明细接口!$K$536),"")</f>
        <v/>
      </c>
      <c r="L536" s="59" t="str">
        <f aca="false">IFERROR(IF([1]对账明细接口!$L$536=0,"",[1]对账明细接口!$L$536),"")</f>
        <v/>
      </c>
      <c r="M536" s="59" t="str">
        <f aca="false">IFERROR(IF([1]对账明细接口!$M$536=0,"",[1]对账明细接口!$M$536),"")</f>
        <v/>
      </c>
      <c r="N536" s="111" t="n">
        <f aca="false">IF($C536="",0,1)</f>
        <v>0</v>
      </c>
      <c r="O536" s="111" t="n">
        <f aca="false">N(O535)+$N536</f>
        <v>110</v>
      </c>
      <c r="S536" s="10" t="str">
        <f aca="false">IFERROR(IF([1]对账明细接口!$N536=0,"",[1]对账明细接口!$N536),"")</f>
        <v/>
      </c>
      <c r="T536" s="112" t="str">
        <f aca="false">IFERROR(IF([1]对账明细接口!$O536=0,"",[1]对账明细接口!$O536),"")</f>
        <v/>
      </c>
      <c r="U536" s="112" t="str">
        <f aca="false">IFERROR(IF([1]对账明细接口!$P536=0,"",[1]对账明细接口!$P536),"")</f>
        <v/>
      </c>
      <c r="V536" s="112" t="str">
        <f aca="false">IFERROR(IF([1]对账明细接口!$Q536=0,"",[1]对账明细接口!$Q536),"")</f>
        <v/>
      </c>
      <c r="W536" s="10" t="str">
        <f aca="false">IFERROR(IF([1]对账明细接口!$R536=0,"",[1]对账明细接口!$R536),"")</f>
        <v/>
      </c>
      <c r="X536" s="10" t="str">
        <f aca="false">IFERROR(IF([1]对账明细接口!$S536=0,"",[1]对账明细接口!$S536),"")</f>
        <v/>
      </c>
      <c r="Y536" s="10" t="str">
        <f aca="false">""</f>
        <v/>
      </c>
      <c r="Z536" s="10" t="str">
        <f aca="false">""</f>
        <v/>
      </c>
      <c r="AA536" s="10" t="str">
        <f aca="false">""</f>
        <v/>
      </c>
      <c r="AB536" s="10" t="str">
        <f aca="false">""</f>
        <v/>
      </c>
    </row>
    <row r="537" customFormat="false" ht="13.5" hidden="false" customHeight="false" outlineLevel="0" collapsed="false">
      <c r="A537" s="109" t="n">
        <v>537</v>
      </c>
      <c r="B537" s="110" t="str">
        <f aca="false">IFERROR(IF([1]对账明细接口!$B$537=0,"",[1]对账明细接口!$B$537),"")</f>
        <v/>
      </c>
      <c r="C537" s="59" t="str">
        <f aca="false">IFERROR(IF([1]对账明细接口!$C$537=0,"",[1]对账明细接口!$C$537),"")</f>
        <v/>
      </c>
      <c r="D537" s="59" t="str">
        <f aca="false">IFERROR(IF([1]对账明细接口!$D$537=0,"",[1]对账明细接口!$D$537),"")</f>
        <v/>
      </c>
      <c r="E537" s="59" t="str">
        <f aca="false">IFERROR(IF([1]对账明细接口!$E$537=0,"",[1]对账明细接口!$E$537),"")</f>
        <v/>
      </c>
      <c r="F537" s="59" t="str">
        <f aca="false">IFERROR(IF([1]对账明细接口!$F$537=0,"",[1]对账明细接口!$F$537),"")</f>
        <v/>
      </c>
      <c r="G537" s="59" t="str">
        <f aca="false">IFERROR(IF([1]对账明细接口!$G$537=0,"",[1]对账明细接口!$G$537),"")</f>
        <v/>
      </c>
      <c r="H537" s="60" t="str">
        <f aca="false">IFERROR(IF([1]对账明细接口!$H$537=0,"",[1]对账明细接口!$H$537),"")</f>
        <v/>
      </c>
      <c r="I537" s="59" t="str">
        <f aca="false">IFERROR(IF([1]对账明细接口!$I$537=0,"",[1]对账明细接口!$I$537),"")</f>
        <v/>
      </c>
      <c r="J537" s="61" t="str">
        <f aca="false">IFERROR(IF([1]对账明细接口!$J$537=0,"",[1]对账明细接口!$J$537),"")</f>
        <v/>
      </c>
      <c r="K537" s="61" t="str">
        <f aca="false">IFERROR(IF([1]对账明细接口!$K$537=0,"",[1]对账明细接口!$K$537),"")</f>
        <v/>
      </c>
      <c r="L537" s="59" t="str">
        <f aca="false">IFERROR(IF([1]对账明细接口!$L$537=0,"",[1]对账明细接口!$L$537),"")</f>
        <v/>
      </c>
      <c r="M537" s="59" t="str">
        <f aca="false">IFERROR(IF([1]对账明细接口!$M$537=0,"",[1]对账明细接口!$M$537),"")</f>
        <v/>
      </c>
      <c r="N537" s="111" t="n">
        <f aca="false">IF($C537="",0,1)</f>
        <v>0</v>
      </c>
      <c r="O537" s="111" t="n">
        <f aca="false">N(O536)+$N537</f>
        <v>110</v>
      </c>
      <c r="S537" s="10" t="str">
        <f aca="false">IFERROR(IF([1]对账明细接口!$N537=0,"",[1]对账明细接口!$N537),"")</f>
        <v/>
      </c>
      <c r="T537" s="112" t="str">
        <f aca="false">IFERROR(IF([1]对账明细接口!$O537=0,"",[1]对账明细接口!$O537),"")</f>
        <v/>
      </c>
      <c r="U537" s="112" t="str">
        <f aca="false">IFERROR(IF([1]对账明细接口!$P537=0,"",[1]对账明细接口!$P537),"")</f>
        <v/>
      </c>
      <c r="V537" s="112" t="str">
        <f aca="false">IFERROR(IF([1]对账明细接口!$Q537=0,"",[1]对账明细接口!$Q537),"")</f>
        <v/>
      </c>
      <c r="W537" s="10" t="str">
        <f aca="false">IFERROR(IF([1]对账明细接口!$R537=0,"",[1]对账明细接口!$R537),"")</f>
        <v/>
      </c>
      <c r="X537" s="10" t="str">
        <f aca="false">IFERROR(IF([1]对账明细接口!$S537=0,"",[1]对账明细接口!$S537),"")</f>
        <v/>
      </c>
      <c r="Y537" s="10" t="str">
        <f aca="false">""</f>
        <v/>
      </c>
      <c r="Z537" s="10" t="str">
        <f aca="false">""</f>
        <v/>
      </c>
      <c r="AA537" s="10" t="str">
        <f aca="false">""</f>
        <v/>
      </c>
      <c r="AB537" s="10" t="str">
        <f aca="false">""</f>
        <v/>
      </c>
    </row>
    <row r="538" customFormat="false" ht="13.5" hidden="false" customHeight="false" outlineLevel="0" collapsed="false">
      <c r="A538" s="109" t="n">
        <v>538</v>
      </c>
      <c r="B538" s="110" t="str">
        <f aca="false">IFERROR(IF([1]对账明细接口!$B$538=0,"",[1]对账明细接口!$B$538),"")</f>
        <v/>
      </c>
      <c r="C538" s="59" t="str">
        <f aca="false">IFERROR(IF([1]对账明细接口!$C$538=0,"",[1]对账明细接口!$C$538),"")</f>
        <v/>
      </c>
      <c r="D538" s="59" t="str">
        <f aca="false">IFERROR(IF([1]对账明细接口!$D$538=0,"",[1]对账明细接口!$D$538),"")</f>
        <v/>
      </c>
      <c r="E538" s="59" t="str">
        <f aca="false">IFERROR(IF([1]对账明细接口!$E$538=0,"",[1]对账明细接口!$E$538),"")</f>
        <v/>
      </c>
      <c r="F538" s="59" t="str">
        <f aca="false">IFERROR(IF([1]对账明细接口!$F$538=0,"",[1]对账明细接口!$F$538),"")</f>
        <v/>
      </c>
      <c r="G538" s="59" t="str">
        <f aca="false">IFERROR(IF([1]对账明细接口!$G$538=0,"",[1]对账明细接口!$G$538),"")</f>
        <v/>
      </c>
      <c r="H538" s="60" t="str">
        <f aca="false">IFERROR(IF([1]对账明细接口!$H$538=0,"",[1]对账明细接口!$H$538),"")</f>
        <v/>
      </c>
      <c r="I538" s="59" t="str">
        <f aca="false">IFERROR(IF([1]对账明细接口!$I$538=0,"",[1]对账明细接口!$I$538),"")</f>
        <v/>
      </c>
      <c r="J538" s="61" t="str">
        <f aca="false">IFERROR(IF([1]对账明细接口!$J$538=0,"",[1]对账明细接口!$J$538),"")</f>
        <v/>
      </c>
      <c r="K538" s="61" t="str">
        <f aca="false">IFERROR(IF([1]对账明细接口!$K$538=0,"",[1]对账明细接口!$K$538),"")</f>
        <v/>
      </c>
      <c r="L538" s="59" t="str">
        <f aca="false">IFERROR(IF([1]对账明细接口!$L$538=0,"",[1]对账明细接口!$L$538),"")</f>
        <v/>
      </c>
      <c r="M538" s="59" t="str">
        <f aca="false">IFERROR(IF([1]对账明细接口!$M$538=0,"",[1]对账明细接口!$M$538),"")</f>
        <v/>
      </c>
      <c r="N538" s="111" t="n">
        <f aca="false">IF($C538="",0,1)</f>
        <v>0</v>
      </c>
      <c r="O538" s="111" t="n">
        <f aca="false">N(O537)+$N538</f>
        <v>110</v>
      </c>
      <c r="S538" s="10" t="str">
        <f aca="false">IFERROR(IF([1]对账明细接口!$N538=0,"",[1]对账明细接口!$N538),"")</f>
        <v/>
      </c>
      <c r="T538" s="112" t="str">
        <f aca="false">IFERROR(IF([1]对账明细接口!$O538=0,"",[1]对账明细接口!$O538),"")</f>
        <v/>
      </c>
      <c r="U538" s="112" t="str">
        <f aca="false">IFERROR(IF([1]对账明细接口!$P538=0,"",[1]对账明细接口!$P538),"")</f>
        <v/>
      </c>
      <c r="V538" s="112" t="str">
        <f aca="false">IFERROR(IF([1]对账明细接口!$Q538=0,"",[1]对账明细接口!$Q538),"")</f>
        <v/>
      </c>
      <c r="W538" s="10" t="str">
        <f aca="false">IFERROR(IF([1]对账明细接口!$R538=0,"",[1]对账明细接口!$R538),"")</f>
        <v/>
      </c>
      <c r="X538" s="10" t="str">
        <f aca="false">IFERROR(IF([1]对账明细接口!$S538=0,"",[1]对账明细接口!$S538),"")</f>
        <v/>
      </c>
      <c r="Y538" s="10" t="str">
        <f aca="false">""</f>
        <v/>
      </c>
      <c r="Z538" s="10" t="str">
        <f aca="false">""</f>
        <v/>
      </c>
      <c r="AA538" s="10" t="str">
        <f aca="false">""</f>
        <v/>
      </c>
      <c r="AB538" s="10" t="str">
        <f aca="false">""</f>
        <v/>
      </c>
    </row>
    <row r="539" customFormat="false" ht="13.5" hidden="false" customHeight="false" outlineLevel="0" collapsed="false">
      <c r="A539" s="109" t="n">
        <v>539</v>
      </c>
      <c r="B539" s="110" t="str">
        <f aca="false">IFERROR(IF([1]对账明细接口!$B$539=0,"",[1]对账明细接口!$B$539),"")</f>
        <v/>
      </c>
      <c r="C539" s="59" t="str">
        <f aca="false">IFERROR(IF([1]对账明细接口!$C$539=0,"",[1]对账明细接口!$C$539),"")</f>
        <v/>
      </c>
      <c r="D539" s="59" t="str">
        <f aca="false">IFERROR(IF([1]对账明细接口!$D$539=0,"",[1]对账明细接口!$D$539),"")</f>
        <v/>
      </c>
      <c r="E539" s="59" t="str">
        <f aca="false">IFERROR(IF([1]对账明细接口!$E$539=0,"",[1]对账明细接口!$E$539),"")</f>
        <v/>
      </c>
      <c r="F539" s="59" t="str">
        <f aca="false">IFERROR(IF([1]对账明细接口!$F$539=0,"",[1]对账明细接口!$F$539),"")</f>
        <v/>
      </c>
      <c r="G539" s="59" t="str">
        <f aca="false">IFERROR(IF([1]对账明细接口!$G$539=0,"",[1]对账明细接口!$G$539),"")</f>
        <v/>
      </c>
      <c r="H539" s="60" t="str">
        <f aca="false">IFERROR(IF([1]对账明细接口!$H$539=0,"",[1]对账明细接口!$H$539),"")</f>
        <v/>
      </c>
      <c r="I539" s="59" t="str">
        <f aca="false">IFERROR(IF([1]对账明细接口!$I$539=0,"",[1]对账明细接口!$I$539),"")</f>
        <v/>
      </c>
      <c r="J539" s="61" t="str">
        <f aca="false">IFERROR(IF([1]对账明细接口!$J$539=0,"",[1]对账明细接口!$J$539),"")</f>
        <v/>
      </c>
      <c r="K539" s="61" t="str">
        <f aca="false">IFERROR(IF([1]对账明细接口!$K$539=0,"",[1]对账明细接口!$K$539),"")</f>
        <v/>
      </c>
      <c r="L539" s="59" t="str">
        <f aca="false">IFERROR(IF([1]对账明细接口!$L$539=0,"",[1]对账明细接口!$L$539),"")</f>
        <v/>
      </c>
      <c r="M539" s="59" t="str">
        <f aca="false">IFERROR(IF([1]对账明细接口!$M$539=0,"",[1]对账明细接口!$M$539),"")</f>
        <v/>
      </c>
      <c r="N539" s="111" t="n">
        <f aca="false">IF($C539="",0,1)</f>
        <v>0</v>
      </c>
      <c r="O539" s="111" t="n">
        <f aca="false">N(O538)+$N539</f>
        <v>110</v>
      </c>
      <c r="S539" s="10" t="str">
        <f aca="false">IFERROR(IF([1]对账明细接口!$N539=0,"",[1]对账明细接口!$N539),"")</f>
        <v/>
      </c>
      <c r="T539" s="112" t="str">
        <f aca="false">IFERROR(IF([1]对账明细接口!$O539=0,"",[1]对账明细接口!$O539),"")</f>
        <v/>
      </c>
      <c r="U539" s="112" t="str">
        <f aca="false">IFERROR(IF([1]对账明细接口!$P539=0,"",[1]对账明细接口!$P539),"")</f>
        <v/>
      </c>
      <c r="V539" s="112" t="str">
        <f aca="false">IFERROR(IF([1]对账明细接口!$Q539=0,"",[1]对账明细接口!$Q539),"")</f>
        <v/>
      </c>
      <c r="W539" s="10" t="str">
        <f aca="false">IFERROR(IF([1]对账明细接口!$R539=0,"",[1]对账明细接口!$R539),"")</f>
        <v/>
      </c>
      <c r="X539" s="10" t="str">
        <f aca="false">IFERROR(IF([1]对账明细接口!$S539=0,"",[1]对账明细接口!$S539),"")</f>
        <v/>
      </c>
      <c r="Y539" s="10" t="str">
        <f aca="false">""</f>
        <v/>
      </c>
      <c r="Z539" s="10" t="str">
        <f aca="false">""</f>
        <v/>
      </c>
      <c r="AA539" s="10" t="str">
        <f aca="false">""</f>
        <v/>
      </c>
      <c r="AB539" s="10" t="str">
        <f aca="false">""</f>
        <v/>
      </c>
    </row>
    <row r="540" customFormat="false" ht="13.5" hidden="false" customHeight="false" outlineLevel="0" collapsed="false">
      <c r="A540" s="109" t="n">
        <v>540</v>
      </c>
      <c r="B540" s="110" t="str">
        <f aca="false">IFERROR(IF([1]对账明细接口!$B$540=0,"",[1]对账明细接口!$B$540),"")</f>
        <v/>
      </c>
      <c r="C540" s="59" t="str">
        <f aca="false">IFERROR(IF([1]对账明细接口!$C$540=0,"",[1]对账明细接口!$C$540),"")</f>
        <v/>
      </c>
      <c r="D540" s="59" t="str">
        <f aca="false">IFERROR(IF([1]对账明细接口!$D$540=0,"",[1]对账明细接口!$D$540),"")</f>
        <v/>
      </c>
      <c r="E540" s="59" t="str">
        <f aca="false">IFERROR(IF([1]对账明细接口!$E$540=0,"",[1]对账明细接口!$E$540),"")</f>
        <v/>
      </c>
      <c r="F540" s="59" t="str">
        <f aca="false">IFERROR(IF([1]对账明细接口!$F$540=0,"",[1]对账明细接口!$F$540),"")</f>
        <v/>
      </c>
      <c r="G540" s="59" t="str">
        <f aca="false">IFERROR(IF([1]对账明细接口!$G$540=0,"",[1]对账明细接口!$G$540),"")</f>
        <v/>
      </c>
      <c r="H540" s="60" t="str">
        <f aca="false">IFERROR(IF([1]对账明细接口!$H$540=0,"",[1]对账明细接口!$H$540),"")</f>
        <v/>
      </c>
      <c r="I540" s="59" t="str">
        <f aca="false">IFERROR(IF([1]对账明细接口!$I$540=0,"",[1]对账明细接口!$I$540),"")</f>
        <v/>
      </c>
      <c r="J540" s="61" t="str">
        <f aca="false">IFERROR(IF([1]对账明细接口!$J$540=0,"",[1]对账明细接口!$J$540),"")</f>
        <v/>
      </c>
      <c r="K540" s="61" t="str">
        <f aca="false">IFERROR(IF([1]对账明细接口!$K$540=0,"",[1]对账明细接口!$K$540),"")</f>
        <v/>
      </c>
      <c r="L540" s="59" t="str">
        <f aca="false">IFERROR(IF([1]对账明细接口!$L$540=0,"",[1]对账明细接口!$L$540),"")</f>
        <v/>
      </c>
      <c r="M540" s="59" t="str">
        <f aca="false">IFERROR(IF([1]对账明细接口!$M$540=0,"",[1]对账明细接口!$M$540),"")</f>
        <v/>
      </c>
      <c r="N540" s="111" t="n">
        <f aca="false">IF($C540="",0,1)</f>
        <v>0</v>
      </c>
      <c r="O540" s="111" t="n">
        <f aca="false">N(O539)+$N540</f>
        <v>110</v>
      </c>
      <c r="S540" s="10" t="str">
        <f aca="false">IFERROR(IF([1]对账明细接口!$N540=0,"",[1]对账明细接口!$N540),"")</f>
        <v/>
      </c>
      <c r="T540" s="112" t="str">
        <f aca="false">IFERROR(IF([1]对账明细接口!$O540=0,"",[1]对账明细接口!$O540),"")</f>
        <v/>
      </c>
      <c r="U540" s="112" t="str">
        <f aca="false">IFERROR(IF([1]对账明细接口!$P540=0,"",[1]对账明细接口!$P540),"")</f>
        <v/>
      </c>
      <c r="V540" s="112" t="str">
        <f aca="false">IFERROR(IF([1]对账明细接口!$Q540=0,"",[1]对账明细接口!$Q540),"")</f>
        <v/>
      </c>
      <c r="W540" s="10" t="str">
        <f aca="false">IFERROR(IF([1]对账明细接口!$R540=0,"",[1]对账明细接口!$R540),"")</f>
        <v/>
      </c>
      <c r="X540" s="10" t="str">
        <f aca="false">IFERROR(IF([1]对账明细接口!$S540=0,"",[1]对账明细接口!$S540),"")</f>
        <v/>
      </c>
      <c r="Y540" s="10" t="str">
        <f aca="false">""</f>
        <v/>
      </c>
      <c r="Z540" s="10" t="str">
        <f aca="false">""</f>
        <v/>
      </c>
      <c r="AA540" s="10" t="str">
        <f aca="false">""</f>
        <v/>
      </c>
      <c r="AB540" s="10" t="str">
        <f aca="false">""</f>
        <v/>
      </c>
    </row>
    <row r="541" customFormat="false" ht="13.5" hidden="false" customHeight="false" outlineLevel="0" collapsed="false">
      <c r="A541" s="109" t="n">
        <v>541</v>
      </c>
      <c r="B541" s="110" t="str">
        <f aca="false">IFERROR(IF([1]对账明细接口!$B$541=0,"",[1]对账明细接口!$B$541),"")</f>
        <v/>
      </c>
      <c r="C541" s="59" t="str">
        <f aca="false">IFERROR(IF([1]对账明细接口!$C$541=0,"",[1]对账明细接口!$C$541),"")</f>
        <v/>
      </c>
      <c r="D541" s="59" t="str">
        <f aca="false">IFERROR(IF([1]对账明细接口!$D$541=0,"",[1]对账明细接口!$D$541),"")</f>
        <v/>
      </c>
      <c r="E541" s="59" t="str">
        <f aca="false">IFERROR(IF([1]对账明细接口!$E$541=0,"",[1]对账明细接口!$E$541),"")</f>
        <v/>
      </c>
      <c r="F541" s="59" t="str">
        <f aca="false">IFERROR(IF([1]对账明细接口!$F$541=0,"",[1]对账明细接口!$F$541),"")</f>
        <v/>
      </c>
      <c r="G541" s="59" t="str">
        <f aca="false">IFERROR(IF([1]对账明细接口!$G$541=0,"",[1]对账明细接口!$G$541),"")</f>
        <v/>
      </c>
      <c r="H541" s="60" t="str">
        <f aca="false">IFERROR(IF([1]对账明细接口!$H$541=0,"",[1]对账明细接口!$H$541),"")</f>
        <v/>
      </c>
      <c r="I541" s="59" t="str">
        <f aca="false">IFERROR(IF([1]对账明细接口!$I$541=0,"",[1]对账明细接口!$I$541),"")</f>
        <v/>
      </c>
      <c r="J541" s="61" t="str">
        <f aca="false">IFERROR(IF([1]对账明细接口!$J$541=0,"",[1]对账明细接口!$J$541),"")</f>
        <v/>
      </c>
      <c r="K541" s="61" t="str">
        <f aca="false">IFERROR(IF([1]对账明细接口!$K$541=0,"",[1]对账明细接口!$K$541),"")</f>
        <v/>
      </c>
      <c r="L541" s="59" t="str">
        <f aca="false">IFERROR(IF([1]对账明细接口!$L$541=0,"",[1]对账明细接口!$L$541),"")</f>
        <v/>
      </c>
      <c r="M541" s="59" t="str">
        <f aca="false">IFERROR(IF([1]对账明细接口!$M$541=0,"",[1]对账明细接口!$M$541),"")</f>
        <v/>
      </c>
      <c r="N541" s="111" t="n">
        <f aca="false">IF($C541="",0,1)</f>
        <v>0</v>
      </c>
      <c r="O541" s="111" t="n">
        <f aca="false">N(O540)+$N541</f>
        <v>110</v>
      </c>
      <c r="S541" s="10" t="str">
        <f aca="false">IFERROR(IF([1]对账明细接口!$N541=0,"",[1]对账明细接口!$N541),"")</f>
        <v/>
      </c>
      <c r="T541" s="112" t="str">
        <f aca="false">IFERROR(IF([1]对账明细接口!$O541=0,"",[1]对账明细接口!$O541),"")</f>
        <v/>
      </c>
      <c r="U541" s="112" t="str">
        <f aca="false">IFERROR(IF([1]对账明细接口!$P541=0,"",[1]对账明细接口!$P541),"")</f>
        <v/>
      </c>
      <c r="V541" s="112" t="str">
        <f aca="false">IFERROR(IF([1]对账明细接口!$Q541=0,"",[1]对账明细接口!$Q541),"")</f>
        <v/>
      </c>
      <c r="W541" s="10" t="str">
        <f aca="false">IFERROR(IF([1]对账明细接口!$R541=0,"",[1]对账明细接口!$R541),"")</f>
        <v/>
      </c>
      <c r="X541" s="10" t="str">
        <f aca="false">IFERROR(IF([1]对账明细接口!$S541=0,"",[1]对账明细接口!$S541),"")</f>
        <v/>
      </c>
      <c r="Y541" s="10" t="str">
        <f aca="false">""</f>
        <v/>
      </c>
      <c r="Z541" s="10" t="str">
        <f aca="false">""</f>
        <v/>
      </c>
      <c r="AA541" s="10" t="str">
        <f aca="false">""</f>
        <v/>
      </c>
      <c r="AB541" s="10" t="str">
        <f aca="false">""</f>
        <v/>
      </c>
    </row>
    <row r="542" customFormat="false" ht="13.5" hidden="false" customHeight="false" outlineLevel="0" collapsed="false">
      <c r="A542" s="109" t="n">
        <v>542</v>
      </c>
      <c r="B542" s="110" t="str">
        <f aca="false">IFERROR(IF([1]对账明细接口!$B$542=0,"",[1]对账明细接口!$B$542),"")</f>
        <v/>
      </c>
      <c r="C542" s="59" t="str">
        <f aca="false">IFERROR(IF([1]对账明细接口!$C$542=0,"",[1]对账明细接口!$C$542),"")</f>
        <v/>
      </c>
      <c r="D542" s="59" t="str">
        <f aca="false">IFERROR(IF([1]对账明细接口!$D$542=0,"",[1]对账明细接口!$D$542),"")</f>
        <v/>
      </c>
      <c r="E542" s="59" t="str">
        <f aca="false">IFERROR(IF([1]对账明细接口!$E$542=0,"",[1]对账明细接口!$E$542),"")</f>
        <v/>
      </c>
      <c r="F542" s="59" t="str">
        <f aca="false">IFERROR(IF([1]对账明细接口!$F$542=0,"",[1]对账明细接口!$F$542),"")</f>
        <v/>
      </c>
      <c r="G542" s="59" t="str">
        <f aca="false">IFERROR(IF([1]对账明细接口!$G$542=0,"",[1]对账明细接口!$G$542),"")</f>
        <v/>
      </c>
      <c r="H542" s="60" t="str">
        <f aca="false">IFERROR(IF([1]对账明细接口!$H$542=0,"",[1]对账明细接口!$H$542),"")</f>
        <v/>
      </c>
      <c r="I542" s="59" t="str">
        <f aca="false">IFERROR(IF([1]对账明细接口!$I$542=0,"",[1]对账明细接口!$I$542),"")</f>
        <v/>
      </c>
      <c r="J542" s="61" t="str">
        <f aca="false">IFERROR(IF([1]对账明细接口!$J$542=0,"",[1]对账明细接口!$J$542),"")</f>
        <v/>
      </c>
      <c r="K542" s="61" t="str">
        <f aca="false">IFERROR(IF([1]对账明细接口!$K$542=0,"",[1]对账明细接口!$K$542),"")</f>
        <v/>
      </c>
      <c r="L542" s="59" t="str">
        <f aca="false">IFERROR(IF([1]对账明细接口!$L$542=0,"",[1]对账明细接口!$L$542),"")</f>
        <v/>
      </c>
      <c r="M542" s="59" t="str">
        <f aca="false">IFERROR(IF([1]对账明细接口!$M$542=0,"",[1]对账明细接口!$M$542),"")</f>
        <v/>
      </c>
      <c r="N542" s="111" t="n">
        <f aca="false">IF($C542="",0,1)</f>
        <v>0</v>
      </c>
      <c r="O542" s="111" t="n">
        <f aca="false">N(O541)+$N542</f>
        <v>110</v>
      </c>
      <c r="S542" s="10" t="str">
        <f aca="false">IFERROR(IF([1]对账明细接口!$N542=0,"",[1]对账明细接口!$N542),"")</f>
        <v/>
      </c>
      <c r="T542" s="112" t="str">
        <f aca="false">IFERROR(IF([1]对账明细接口!$O542=0,"",[1]对账明细接口!$O542),"")</f>
        <v/>
      </c>
      <c r="U542" s="112" t="str">
        <f aca="false">IFERROR(IF([1]对账明细接口!$P542=0,"",[1]对账明细接口!$P542),"")</f>
        <v/>
      </c>
      <c r="V542" s="112" t="str">
        <f aca="false">IFERROR(IF([1]对账明细接口!$Q542=0,"",[1]对账明细接口!$Q542),"")</f>
        <v/>
      </c>
      <c r="W542" s="10" t="str">
        <f aca="false">IFERROR(IF([1]对账明细接口!$R542=0,"",[1]对账明细接口!$R542),"")</f>
        <v/>
      </c>
      <c r="X542" s="10" t="str">
        <f aca="false">IFERROR(IF([1]对账明细接口!$S542=0,"",[1]对账明细接口!$S542),"")</f>
        <v/>
      </c>
      <c r="Y542" s="10" t="str">
        <f aca="false">""</f>
        <v/>
      </c>
      <c r="Z542" s="10" t="str">
        <f aca="false">""</f>
        <v/>
      </c>
      <c r="AA542" s="10" t="str">
        <f aca="false">""</f>
        <v/>
      </c>
      <c r="AB542" s="10" t="str">
        <f aca="false">""</f>
        <v/>
      </c>
    </row>
    <row r="543" customFormat="false" ht="13.5" hidden="false" customHeight="false" outlineLevel="0" collapsed="false">
      <c r="A543" s="109" t="n">
        <v>543</v>
      </c>
      <c r="B543" s="110" t="str">
        <f aca="false">IFERROR(IF([1]对账明细接口!$B$543=0,"",[1]对账明细接口!$B$543),"")</f>
        <v/>
      </c>
      <c r="C543" s="59" t="str">
        <f aca="false">IFERROR(IF([1]对账明细接口!$C$543=0,"",[1]对账明细接口!$C$543),"")</f>
        <v/>
      </c>
      <c r="D543" s="59" t="str">
        <f aca="false">IFERROR(IF([1]对账明细接口!$D$543=0,"",[1]对账明细接口!$D$543),"")</f>
        <v/>
      </c>
      <c r="E543" s="59" t="str">
        <f aca="false">IFERROR(IF([1]对账明细接口!$E$543=0,"",[1]对账明细接口!$E$543),"")</f>
        <v/>
      </c>
      <c r="F543" s="59" t="str">
        <f aca="false">IFERROR(IF([1]对账明细接口!$F$543=0,"",[1]对账明细接口!$F$543),"")</f>
        <v/>
      </c>
      <c r="G543" s="59" t="str">
        <f aca="false">IFERROR(IF([1]对账明细接口!$G$543=0,"",[1]对账明细接口!$G$543),"")</f>
        <v/>
      </c>
      <c r="H543" s="60" t="str">
        <f aca="false">IFERROR(IF([1]对账明细接口!$H$543=0,"",[1]对账明细接口!$H$543),"")</f>
        <v/>
      </c>
      <c r="I543" s="59" t="str">
        <f aca="false">IFERROR(IF([1]对账明细接口!$I$543=0,"",[1]对账明细接口!$I$543),"")</f>
        <v/>
      </c>
      <c r="J543" s="61" t="str">
        <f aca="false">IFERROR(IF([1]对账明细接口!$J$543=0,"",[1]对账明细接口!$J$543),"")</f>
        <v/>
      </c>
      <c r="K543" s="61" t="str">
        <f aca="false">IFERROR(IF([1]对账明细接口!$K$543=0,"",[1]对账明细接口!$K$543),"")</f>
        <v/>
      </c>
      <c r="L543" s="59" t="str">
        <f aca="false">IFERROR(IF([1]对账明细接口!$L$543=0,"",[1]对账明细接口!$L$543),"")</f>
        <v/>
      </c>
      <c r="M543" s="59" t="str">
        <f aca="false">IFERROR(IF([1]对账明细接口!$M$543=0,"",[1]对账明细接口!$M$543),"")</f>
        <v/>
      </c>
      <c r="N543" s="111" t="n">
        <f aca="false">IF($C543="",0,1)</f>
        <v>0</v>
      </c>
      <c r="O543" s="111" t="n">
        <f aca="false">N(O542)+$N543</f>
        <v>110</v>
      </c>
      <c r="S543" s="10" t="str">
        <f aca="false">IFERROR(IF([1]对账明细接口!$N543=0,"",[1]对账明细接口!$N543),"")</f>
        <v/>
      </c>
      <c r="T543" s="112" t="str">
        <f aca="false">IFERROR(IF([1]对账明细接口!$O543=0,"",[1]对账明细接口!$O543),"")</f>
        <v/>
      </c>
      <c r="U543" s="112" t="str">
        <f aca="false">IFERROR(IF([1]对账明细接口!$P543=0,"",[1]对账明细接口!$P543),"")</f>
        <v/>
      </c>
      <c r="V543" s="112" t="str">
        <f aca="false">IFERROR(IF([1]对账明细接口!$Q543=0,"",[1]对账明细接口!$Q543),"")</f>
        <v/>
      </c>
      <c r="W543" s="10" t="str">
        <f aca="false">IFERROR(IF([1]对账明细接口!$R543=0,"",[1]对账明细接口!$R543),"")</f>
        <v/>
      </c>
      <c r="X543" s="10" t="str">
        <f aca="false">IFERROR(IF([1]对账明细接口!$S543=0,"",[1]对账明细接口!$S543),"")</f>
        <v/>
      </c>
      <c r="Y543" s="10" t="str">
        <f aca="false">""</f>
        <v/>
      </c>
      <c r="Z543" s="10" t="str">
        <f aca="false">""</f>
        <v/>
      </c>
      <c r="AA543" s="10" t="str">
        <f aca="false">""</f>
        <v/>
      </c>
      <c r="AB543" s="10" t="str">
        <f aca="false">""</f>
        <v/>
      </c>
    </row>
    <row r="544" customFormat="false" ht="13.5" hidden="false" customHeight="false" outlineLevel="0" collapsed="false">
      <c r="A544" s="109" t="n">
        <v>544</v>
      </c>
      <c r="B544" s="110" t="str">
        <f aca="false">IFERROR(IF([1]对账明细接口!$B$544=0,"",[1]对账明细接口!$B$544),"")</f>
        <v/>
      </c>
      <c r="C544" s="59" t="str">
        <f aca="false">IFERROR(IF([1]对账明细接口!$C$544=0,"",[1]对账明细接口!$C$544),"")</f>
        <v/>
      </c>
      <c r="D544" s="59" t="str">
        <f aca="false">IFERROR(IF([1]对账明细接口!$D$544=0,"",[1]对账明细接口!$D$544),"")</f>
        <v/>
      </c>
      <c r="E544" s="59" t="str">
        <f aca="false">IFERROR(IF([1]对账明细接口!$E$544=0,"",[1]对账明细接口!$E$544),"")</f>
        <v/>
      </c>
      <c r="F544" s="59" t="str">
        <f aca="false">IFERROR(IF([1]对账明细接口!$F$544=0,"",[1]对账明细接口!$F$544),"")</f>
        <v/>
      </c>
      <c r="G544" s="59" t="str">
        <f aca="false">IFERROR(IF([1]对账明细接口!$G$544=0,"",[1]对账明细接口!$G$544),"")</f>
        <v/>
      </c>
      <c r="H544" s="60" t="str">
        <f aca="false">IFERROR(IF([1]对账明细接口!$H$544=0,"",[1]对账明细接口!$H$544),"")</f>
        <v/>
      </c>
      <c r="I544" s="59" t="str">
        <f aca="false">IFERROR(IF([1]对账明细接口!$I$544=0,"",[1]对账明细接口!$I$544),"")</f>
        <v/>
      </c>
      <c r="J544" s="61" t="str">
        <f aca="false">IFERROR(IF([1]对账明细接口!$J$544=0,"",[1]对账明细接口!$J$544),"")</f>
        <v/>
      </c>
      <c r="K544" s="61" t="str">
        <f aca="false">IFERROR(IF([1]对账明细接口!$K$544=0,"",[1]对账明细接口!$K$544),"")</f>
        <v/>
      </c>
      <c r="L544" s="59" t="str">
        <f aca="false">IFERROR(IF([1]对账明细接口!$L$544=0,"",[1]对账明细接口!$L$544),"")</f>
        <v/>
      </c>
      <c r="M544" s="59" t="str">
        <f aca="false">IFERROR(IF([1]对账明细接口!$M$544=0,"",[1]对账明细接口!$M$544),"")</f>
        <v/>
      </c>
      <c r="N544" s="111" t="n">
        <f aca="false">IF($C544="",0,1)</f>
        <v>0</v>
      </c>
      <c r="O544" s="111" t="n">
        <f aca="false">N(O543)+$N544</f>
        <v>110</v>
      </c>
      <c r="S544" s="10" t="str">
        <f aca="false">IFERROR(IF([1]对账明细接口!$N544=0,"",[1]对账明细接口!$N544),"")</f>
        <v/>
      </c>
      <c r="T544" s="112" t="str">
        <f aca="false">IFERROR(IF([1]对账明细接口!$O544=0,"",[1]对账明细接口!$O544),"")</f>
        <v/>
      </c>
      <c r="U544" s="112" t="str">
        <f aca="false">IFERROR(IF([1]对账明细接口!$P544=0,"",[1]对账明细接口!$P544),"")</f>
        <v/>
      </c>
      <c r="V544" s="112" t="str">
        <f aca="false">IFERROR(IF([1]对账明细接口!$Q544=0,"",[1]对账明细接口!$Q544),"")</f>
        <v/>
      </c>
      <c r="W544" s="10" t="str">
        <f aca="false">IFERROR(IF([1]对账明细接口!$R544=0,"",[1]对账明细接口!$R544),"")</f>
        <v/>
      </c>
      <c r="X544" s="10" t="str">
        <f aca="false">IFERROR(IF([1]对账明细接口!$S544=0,"",[1]对账明细接口!$S544),"")</f>
        <v/>
      </c>
      <c r="Y544" s="10" t="str">
        <f aca="false">""</f>
        <v/>
      </c>
      <c r="Z544" s="10" t="str">
        <f aca="false">""</f>
        <v/>
      </c>
      <c r="AA544" s="10" t="str">
        <f aca="false">""</f>
        <v/>
      </c>
      <c r="AB544" s="10" t="str">
        <f aca="false">""</f>
        <v/>
      </c>
    </row>
    <row r="545" customFormat="false" ht="13.5" hidden="false" customHeight="false" outlineLevel="0" collapsed="false">
      <c r="A545" s="109" t="n">
        <v>545</v>
      </c>
      <c r="B545" s="110" t="str">
        <f aca="false">IFERROR(IF([1]对账明细接口!$B$545=0,"",[1]对账明细接口!$B$545),"")</f>
        <v/>
      </c>
      <c r="C545" s="59" t="str">
        <f aca="false">IFERROR(IF([1]对账明细接口!$C$545=0,"",[1]对账明细接口!$C$545),"")</f>
        <v/>
      </c>
      <c r="D545" s="59" t="str">
        <f aca="false">IFERROR(IF([1]对账明细接口!$D$545=0,"",[1]对账明细接口!$D$545),"")</f>
        <v/>
      </c>
      <c r="E545" s="59" t="str">
        <f aca="false">IFERROR(IF([1]对账明细接口!$E$545=0,"",[1]对账明细接口!$E$545),"")</f>
        <v/>
      </c>
      <c r="F545" s="59" t="str">
        <f aca="false">IFERROR(IF([1]对账明细接口!$F$545=0,"",[1]对账明细接口!$F$545),"")</f>
        <v/>
      </c>
      <c r="G545" s="59" t="str">
        <f aca="false">IFERROR(IF([1]对账明细接口!$G$545=0,"",[1]对账明细接口!$G$545),"")</f>
        <v/>
      </c>
      <c r="H545" s="60" t="str">
        <f aca="false">IFERROR(IF([1]对账明细接口!$H$545=0,"",[1]对账明细接口!$H$545),"")</f>
        <v/>
      </c>
      <c r="I545" s="59" t="str">
        <f aca="false">IFERROR(IF([1]对账明细接口!$I$545=0,"",[1]对账明细接口!$I$545),"")</f>
        <v/>
      </c>
      <c r="J545" s="61" t="str">
        <f aca="false">IFERROR(IF([1]对账明细接口!$J$545=0,"",[1]对账明细接口!$J$545),"")</f>
        <v/>
      </c>
      <c r="K545" s="61" t="str">
        <f aca="false">IFERROR(IF([1]对账明细接口!$K$545=0,"",[1]对账明细接口!$K$545),"")</f>
        <v/>
      </c>
      <c r="L545" s="59" t="str">
        <f aca="false">IFERROR(IF([1]对账明细接口!$L$545=0,"",[1]对账明细接口!$L$545),"")</f>
        <v/>
      </c>
      <c r="M545" s="59" t="str">
        <f aca="false">IFERROR(IF([1]对账明细接口!$M$545=0,"",[1]对账明细接口!$M$545),"")</f>
        <v/>
      </c>
      <c r="N545" s="111" t="n">
        <f aca="false">IF($C545="",0,1)</f>
        <v>0</v>
      </c>
      <c r="O545" s="111" t="n">
        <f aca="false">N(O544)+$N545</f>
        <v>110</v>
      </c>
      <c r="S545" s="10" t="str">
        <f aca="false">IFERROR(IF([1]对账明细接口!$N545=0,"",[1]对账明细接口!$N545),"")</f>
        <v/>
      </c>
      <c r="T545" s="112" t="str">
        <f aca="false">IFERROR(IF([1]对账明细接口!$O545=0,"",[1]对账明细接口!$O545),"")</f>
        <v/>
      </c>
      <c r="U545" s="112" t="str">
        <f aca="false">IFERROR(IF([1]对账明细接口!$P545=0,"",[1]对账明细接口!$P545),"")</f>
        <v/>
      </c>
      <c r="V545" s="112" t="str">
        <f aca="false">IFERROR(IF([1]对账明细接口!$Q545=0,"",[1]对账明细接口!$Q545),"")</f>
        <v/>
      </c>
      <c r="W545" s="10" t="str">
        <f aca="false">IFERROR(IF([1]对账明细接口!$R545=0,"",[1]对账明细接口!$R545),"")</f>
        <v/>
      </c>
      <c r="X545" s="10" t="str">
        <f aca="false">IFERROR(IF([1]对账明细接口!$S545=0,"",[1]对账明细接口!$S545),"")</f>
        <v/>
      </c>
      <c r="Y545" s="10" t="str">
        <f aca="false">""</f>
        <v/>
      </c>
      <c r="Z545" s="10" t="str">
        <f aca="false">""</f>
        <v/>
      </c>
      <c r="AA545" s="10" t="str">
        <f aca="false">""</f>
        <v/>
      </c>
      <c r="AB545" s="10" t="str">
        <f aca="false">""</f>
        <v/>
      </c>
    </row>
    <row r="546" customFormat="false" ht="13.5" hidden="false" customHeight="false" outlineLevel="0" collapsed="false">
      <c r="A546" s="109" t="n">
        <v>546</v>
      </c>
      <c r="B546" s="110" t="str">
        <f aca="false">IFERROR(IF([1]对账明细接口!$B$546=0,"",[1]对账明细接口!$B$546),"")</f>
        <v/>
      </c>
      <c r="C546" s="59" t="str">
        <f aca="false">IFERROR(IF([1]对账明细接口!$C$546=0,"",[1]对账明细接口!$C$546),"")</f>
        <v/>
      </c>
      <c r="D546" s="59" t="str">
        <f aca="false">IFERROR(IF([1]对账明细接口!$D$546=0,"",[1]对账明细接口!$D$546),"")</f>
        <v/>
      </c>
      <c r="E546" s="59" t="str">
        <f aca="false">IFERROR(IF([1]对账明细接口!$E$546=0,"",[1]对账明细接口!$E$546),"")</f>
        <v/>
      </c>
      <c r="F546" s="59" t="str">
        <f aca="false">IFERROR(IF([1]对账明细接口!$F$546=0,"",[1]对账明细接口!$F$546),"")</f>
        <v/>
      </c>
      <c r="G546" s="59" t="str">
        <f aca="false">IFERROR(IF([1]对账明细接口!$G$546=0,"",[1]对账明细接口!$G$546),"")</f>
        <v/>
      </c>
      <c r="H546" s="60" t="str">
        <f aca="false">IFERROR(IF([1]对账明细接口!$H$546=0,"",[1]对账明细接口!$H$546),"")</f>
        <v/>
      </c>
      <c r="I546" s="59" t="str">
        <f aca="false">IFERROR(IF([1]对账明细接口!$I$546=0,"",[1]对账明细接口!$I$546),"")</f>
        <v/>
      </c>
      <c r="J546" s="61" t="str">
        <f aca="false">IFERROR(IF([1]对账明细接口!$J$546=0,"",[1]对账明细接口!$J$546),"")</f>
        <v/>
      </c>
      <c r="K546" s="61" t="str">
        <f aca="false">IFERROR(IF([1]对账明细接口!$K$546=0,"",[1]对账明细接口!$K$546),"")</f>
        <v/>
      </c>
      <c r="L546" s="59" t="str">
        <f aca="false">IFERROR(IF([1]对账明细接口!$L$546=0,"",[1]对账明细接口!$L$546),"")</f>
        <v/>
      </c>
      <c r="M546" s="59" t="str">
        <f aca="false">IFERROR(IF([1]对账明细接口!$M$546=0,"",[1]对账明细接口!$M$546),"")</f>
        <v/>
      </c>
      <c r="N546" s="111" t="n">
        <f aca="false">IF($C546="",0,1)</f>
        <v>0</v>
      </c>
      <c r="O546" s="111" t="n">
        <f aca="false">N(O545)+$N546</f>
        <v>110</v>
      </c>
      <c r="S546" s="10" t="str">
        <f aca="false">IFERROR(IF([1]对账明细接口!$N546=0,"",[1]对账明细接口!$N546),"")</f>
        <v/>
      </c>
      <c r="T546" s="112" t="str">
        <f aca="false">IFERROR(IF([1]对账明细接口!$O546=0,"",[1]对账明细接口!$O546),"")</f>
        <v/>
      </c>
      <c r="U546" s="112" t="str">
        <f aca="false">IFERROR(IF([1]对账明细接口!$P546=0,"",[1]对账明细接口!$P546),"")</f>
        <v/>
      </c>
      <c r="V546" s="112" t="str">
        <f aca="false">IFERROR(IF([1]对账明细接口!$Q546=0,"",[1]对账明细接口!$Q546),"")</f>
        <v/>
      </c>
      <c r="W546" s="10" t="str">
        <f aca="false">IFERROR(IF([1]对账明细接口!$R546=0,"",[1]对账明细接口!$R546),"")</f>
        <v/>
      </c>
      <c r="X546" s="10" t="str">
        <f aca="false">IFERROR(IF([1]对账明细接口!$S546=0,"",[1]对账明细接口!$S546),"")</f>
        <v/>
      </c>
      <c r="Y546" s="10" t="str">
        <f aca="false">""</f>
        <v/>
      </c>
      <c r="Z546" s="10" t="str">
        <f aca="false">""</f>
        <v/>
      </c>
      <c r="AA546" s="10" t="str">
        <f aca="false">""</f>
        <v/>
      </c>
      <c r="AB546" s="10" t="str">
        <f aca="false">""</f>
        <v/>
      </c>
    </row>
    <row r="547" customFormat="false" ht="13.5" hidden="false" customHeight="false" outlineLevel="0" collapsed="false">
      <c r="A547" s="109" t="n">
        <v>547</v>
      </c>
      <c r="B547" s="110" t="str">
        <f aca="false">IFERROR(IF([1]对账明细接口!$B$547=0,"",[1]对账明细接口!$B$547),"")</f>
        <v/>
      </c>
      <c r="C547" s="59" t="str">
        <f aca="false">IFERROR(IF([1]对账明细接口!$C$547=0,"",[1]对账明细接口!$C$547),"")</f>
        <v/>
      </c>
      <c r="D547" s="59" t="str">
        <f aca="false">IFERROR(IF([1]对账明细接口!$D$547=0,"",[1]对账明细接口!$D$547),"")</f>
        <v/>
      </c>
      <c r="E547" s="59" t="str">
        <f aca="false">IFERROR(IF([1]对账明细接口!$E$547=0,"",[1]对账明细接口!$E$547),"")</f>
        <v/>
      </c>
      <c r="F547" s="59" t="str">
        <f aca="false">IFERROR(IF([1]对账明细接口!$F$547=0,"",[1]对账明细接口!$F$547),"")</f>
        <v/>
      </c>
      <c r="G547" s="59" t="str">
        <f aca="false">IFERROR(IF([1]对账明细接口!$G$547=0,"",[1]对账明细接口!$G$547),"")</f>
        <v/>
      </c>
      <c r="H547" s="60" t="str">
        <f aca="false">IFERROR(IF([1]对账明细接口!$H$547=0,"",[1]对账明细接口!$H$547),"")</f>
        <v/>
      </c>
      <c r="I547" s="59" t="str">
        <f aca="false">IFERROR(IF([1]对账明细接口!$I$547=0,"",[1]对账明细接口!$I$547),"")</f>
        <v/>
      </c>
      <c r="J547" s="61" t="str">
        <f aca="false">IFERROR(IF([1]对账明细接口!$J$547=0,"",[1]对账明细接口!$J$547),"")</f>
        <v/>
      </c>
      <c r="K547" s="61" t="str">
        <f aca="false">IFERROR(IF([1]对账明细接口!$K$547=0,"",[1]对账明细接口!$K$547),"")</f>
        <v/>
      </c>
      <c r="L547" s="59" t="str">
        <f aca="false">IFERROR(IF([1]对账明细接口!$L$547=0,"",[1]对账明细接口!$L$547),"")</f>
        <v/>
      </c>
      <c r="M547" s="59" t="str">
        <f aca="false">IFERROR(IF([1]对账明细接口!$M$547=0,"",[1]对账明细接口!$M$547),"")</f>
        <v/>
      </c>
      <c r="N547" s="111" t="n">
        <f aca="false">IF($C547="",0,1)</f>
        <v>0</v>
      </c>
      <c r="O547" s="111" t="n">
        <f aca="false">N(O546)+$N547</f>
        <v>110</v>
      </c>
      <c r="S547" s="10" t="str">
        <f aca="false">IFERROR(IF([1]对账明细接口!$N547=0,"",[1]对账明细接口!$N547),"")</f>
        <v/>
      </c>
      <c r="T547" s="112" t="str">
        <f aca="false">IFERROR(IF([1]对账明细接口!$O547=0,"",[1]对账明细接口!$O547),"")</f>
        <v/>
      </c>
      <c r="U547" s="112" t="str">
        <f aca="false">IFERROR(IF([1]对账明细接口!$P547=0,"",[1]对账明细接口!$P547),"")</f>
        <v/>
      </c>
      <c r="V547" s="112" t="str">
        <f aca="false">IFERROR(IF([1]对账明细接口!$Q547=0,"",[1]对账明细接口!$Q547),"")</f>
        <v/>
      </c>
      <c r="W547" s="10" t="str">
        <f aca="false">IFERROR(IF([1]对账明细接口!$R547=0,"",[1]对账明细接口!$R547),"")</f>
        <v/>
      </c>
      <c r="X547" s="10" t="str">
        <f aca="false">IFERROR(IF([1]对账明细接口!$S547=0,"",[1]对账明细接口!$S547),"")</f>
        <v/>
      </c>
      <c r="Y547" s="10" t="str">
        <f aca="false">""</f>
        <v/>
      </c>
      <c r="Z547" s="10" t="str">
        <f aca="false">""</f>
        <v/>
      </c>
      <c r="AA547" s="10" t="str">
        <f aca="false">""</f>
        <v/>
      </c>
      <c r="AB547" s="10" t="str">
        <f aca="false">""</f>
        <v/>
      </c>
    </row>
    <row r="548" customFormat="false" ht="13.5" hidden="false" customHeight="false" outlineLevel="0" collapsed="false">
      <c r="A548" s="109" t="n">
        <v>548</v>
      </c>
      <c r="B548" s="110" t="str">
        <f aca="false">IFERROR(IF([1]对账明细接口!$B$548=0,"",[1]对账明细接口!$B$548),"")</f>
        <v/>
      </c>
      <c r="C548" s="59" t="str">
        <f aca="false">IFERROR(IF([1]对账明细接口!$C$548=0,"",[1]对账明细接口!$C$548),"")</f>
        <v/>
      </c>
      <c r="D548" s="59" t="str">
        <f aca="false">IFERROR(IF([1]对账明细接口!$D$548=0,"",[1]对账明细接口!$D$548),"")</f>
        <v/>
      </c>
      <c r="E548" s="59" t="str">
        <f aca="false">IFERROR(IF([1]对账明细接口!$E$548=0,"",[1]对账明细接口!$E$548),"")</f>
        <v/>
      </c>
      <c r="F548" s="59" t="str">
        <f aca="false">IFERROR(IF([1]对账明细接口!$F$548=0,"",[1]对账明细接口!$F$548),"")</f>
        <v/>
      </c>
      <c r="G548" s="59" t="str">
        <f aca="false">IFERROR(IF([1]对账明细接口!$G$548=0,"",[1]对账明细接口!$G$548),"")</f>
        <v/>
      </c>
      <c r="H548" s="60" t="str">
        <f aca="false">IFERROR(IF([1]对账明细接口!$H$548=0,"",[1]对账明细接口!$H$548),"")</f>
        <v/>
      </c>
      <c r="I548" s="59" t="str">
        <f aca="false">IFERROR(IF([1]对账明细接口!$I$548=0,"",[1]对账明细接口!$I$548),"")</f>
        <v/>
      </c>
      <c r="J548" s="61" t="str">
        <f aca="false">IFERROR(IF([1]对账明细接口!$J$548=0,"",[1]对账明细接口!$J$548),"")</f>
        <v/>
      </c>
      <c r="K548" s="61" t="str">
        <f aca="false">IFERROR(IF([1]对账明细接口!$K$548=0,"",[1]对账明细接口!$K$548),"")</f>
        <v/>
      </c>
      <c r="L548" s="59" t="str">
        <f aca="false">IFERROR(IF([1]对账明细接口!$L$548=0,"",[1]对账明细接口!$L$548),"")</f>
        <v/>
      </c>
      <c r="M548" s="59" t="str">
        <f aca="false">IFERROR(IF([1]对账明细接口!$M$548=0,"",[1]对账明细接口!$M$548),"")</f>
        <v/>
      </c>
      <c r="N548" s="111" t="n">
        <f aca="false">IF($C548="",0,1)</f>
        <v>0</v>
      </c>
      <c r="O548" s="111" t="n">
        <f aca="false">N(O547)+$N548</f>
        <v>110</v>
      </c>
      <c r="S548" s="10" t="str">
        <f aca="false">IFERROR(IF([1]对账明细接口!$N548=0,"",[1]对账明细接口!$N548),"")</f>
        <v/>
      </c>
      <c r="T548" s="112" t="str">
        <f aca="false">IFERROR(IF([1]对账明细接口!$O548=0,"",[1]对账明细接口!$O548),"")</f>
        <v/>
      </c>
      <c r="U548" s="112" t="str">
        <f aca="false">IFERROR(IF([1]对账明细接口!$P548=0,"",[1]对账明细接口!$P548),"")</f>
        <v/>
      </c>
      <c r="V548" s="112" t="str">
        <f aca="false">IFERROR(IF([1]对账明细接口!$Q548=0,"",[1]对账明细接口!$Q548),"")</f>
        <v/>
      </c>
      <c r="W548" s="10" t="str">
        <f aca="false">IFERROR(IF([1]对账明细接口!$R548=0,"",[1]对账明细接口!$R548),"")</f>
        <v/>
      </c>
      <c r="X548" s="10" t="str">
        <f aca="false">IFERROR(IF([1]对账明细接口!$S548=0,"",[1]对账明细接口!$S548),"")</f>
        <v/>
      </c>
      <c r="Y548" s="10" t="str">
        <f aca="false">""</f>
        <v/>
      </c>
      <c r="Z548" s="10" t="str">
        <f aca="false">""</f>
        <v/>
      </c>
      <c r="AA548" s="10" t="str">
        <f aca="false">""</f>
        <v/>
      </c>
      <c r="AB548" s="10" t="str">
        <f aca="false">""</f>
        <v/>
      </c>
    </row>
    <row r="549" customFormat="false" ht="13.5" hidden="false" customHeight="false" outlineLevel="0" collapsed="false">
      <c r="A549" s="109" t="n">
        <v>549</v>
      </c>
      <c r="B549" s="110" t="str">
        <f aca="false">IFERROR(IF([1]对账明细接口!$B$549=0,"",[1]对账明细接口!$B$549),"")</f>
        <v/>
      </c>
      <c r="C549" s="59" t="str">
        <f aca="false">IFERROR(IF([1]对账明细接口!$C$549=0,"",[1]对账明细接口!$C$549),"")</f>
        <v/>
      </c>
      <c r="D549" s="59" t="str">
        <f aca="false">IFERROR(IF([1]对账明细接口!$D$549=0,"",[1]对账明细接口!$D$549),"")</f>
        <v/>
      </c>
      <c r="E549" s="59" t="str">
        <f aca="false">IFERROR(IF([1]对账明细接口!$E$549=0,"",[1]对账明细接口!$E$549),"")</f>
        <v/>
      </c>
      <c r="F549" s="59" t="str">
        <f aca="false">IFERROR(IF([1]对账明细接口!$F$549=0,"",[1]对账明细接口!$F$549),"")</f>
        <v/>
      </c>
      <c r="G549" s="59" t="str">
        <f aca="false">IFERROR(IF([1]对账明细接口!$G$549=0,"",[1]对账明细接口!$G$549),"")</f>
        <v/>
      </c>
      <c r="H549" s="60" t="str">
        <f aca="false">IFERROR(IF([1]对账明细接口!$H$549=0,"",[1]对账明细接口!$H$549),"")</f>
        <v/>
      </c>
      <c r="I549" s="59" t="str">
        <f aca="false">IFERROR(IF([1]对账明细接口!$I$549=0,"",[1]对账明细接口!$I$549),"")</f>
        <v/>
      </c>
      <c r="J549" s="61" t="str">
        <f aca="false">IFERROR(IF([1]对账明细接口!$J$549=0,"",[1]对账明细接口!$J$549),"")</f>
        <v/>
      </c>
      <c r="K549" s="61" t="str">
        <f aca="false">IFERROR(IF([1]对账明细接口!$K$549=0,"",[1]对账明细接口!$K$549),"")</f>
        <v/>
      </c>
      <c r="L549" s="59" t="str">
        <f aca="false">IFERROR(IF([1]对账明细接口!$L$549=0,"",[1]对账明细接口!$L$549),"")</f>
        <v/>
      </c>
      <c r="M549" s="59" t="str">
        <f aca="false">IFERROR(IF([1]对账明细接口!$M$549=0,"",[1]对账明细接口!$M$549),"")</f>
        <v/>
      </c>
      <c r="N549" s="111" t="n">
        <f aca="false">IF($C549="",0,1)</f>
        <v>0</v>
      </c>
      <c r="O549" s="111" t="n">
        <f aca="false">N(O548)+$N549</f>
        <v>110</v>
      </c>
      <c r="S549" s="10" t="str">
        <f aca="false">IFERROR(IF([1]对账明细接口!$N549=0,"",[1]对账明细接口!$N549),"")</f>
        <v/>
      </c>
      <c r="T549" s="112" t="str">
        <f aca="false">IFERROR(IF([1]对账明细接口!$O549=0,"",[1]对账明细接口!$O549),"")</f>
        <v/>
      </c>
      <c r="U549" s="112" t="str">
        <f aca="false">IFERROR(IF([1]对账明细接口!$P549=0,"",[1]对账明细接口!$P549),"")</f>
        <v/>
      </c>
      <c r="V549" s="112" t="str">
        <f aca="false">IFERROR(IF([1]对账明细接口!$Q549=0,"",[1]对账明细接口!$Q549),"")</f>
        <v/>
      </c>
      <c r="W549" s="10" t="str">
        <f aca="false">IFERROR(IF([1]对账明细接口!$R549=0,"",[1]对账明细接口!$R549),"")</f>
        <v/>
      </c>
      <c r="X549" s="10" t="str">
        <f aca="false">IFERROR(IF([1]对账明细接口!$S549=0,"",[1]对账明细接口!$S549),"")</f>
        <v/>
      </c>
      <c r="Y549" s="10" t="str">
        <f aca="false">""</f>
        <v/>
      </c>
      <c r="Z549" s="10" t="str">
        <f aca="false">""</f>
        <v/>
      </c>
      <c r="AA549" s="10" t="str">
        <f aca="false">""</f>
        <v/>
      </c>
      <c r="AB549" s="10" t="str">
        <f aca="false">""</f>
        <v/>
      </c>
    </row>
    <row r="550" customFormat="false" ht="13.5" hidden="false" customHeight="false" outlineLevel="0" collapsed="false">
      <c r="A550" s="109" t="n">
        <v>550</v>
      </c>
      <c r="B550" s="110" t="str">
        <f aca="false">IFERROR(IF([1]对账明细接口!$B$550=0,"",[1]对账明细接口!$B$550),"")</f>
        <v/>
      </c>
      <c r="C550" s="59" t="str">
        <f aca="false">IFERROR(IF([1]对账明细接口!$C$550=0,"",[1]对账明细接口!$C$550),"")</f>
        <v/>
      </c>
      <c r="D550" s="59" t="str">
        <f aca="false">IFERROR(IF([1]对账明细接口!$D$550=0,"",[1]对账明细接口!$D$550),"")</f>
        <v/>
      </c>
      <c r="E550" s="59" t="str">
        <f aca="false">IFERROR(IF([1]对账明细接口!$E$550=0,"",[1]对账明细接口!$E$550),"")</f>
        <v/>
      </c>
      <c r="F550" s="59" t="str">
        <f aca="false">IFERROR(IF([1]对账明细接口!$F$550=0,"",[1]对账明细接口!$F$550),"")</f>
        <v/>
      </c>
      <c r="G550" s="59" t="str">
        <f aca="false">IFERROR(IF([1]对账明细接口!$G$550=0,"",[1]对账明细接口!$G$550),"")</f>
        <v/>
      </c>
      <c r="H550" s="60" t="str">
        <f aca="false">IFERROR(IF([1]对账明细接口!$H$550=0,"",[1]对账明细接口!$H$550),"")</f>
        <v/>
      </c>
      <c r="I550" s="59" t="str">
        <f aca="false">IFERROR(IF([1]对账明细接口!$I$550=0,"",[1]对账明细接口!$I$550),"")</f>
        <v/>
      </c>
      <c r="J550" s="61" t="str">
        <f aca="false">IFERROR(IF([1]对账明细接口!$J$550=0,"",[1]对账明细接口!$J$550),"")</f>
        <v/>
      </c>
      <c r="K550" s="61" t="str">
        <f aca="false">IFERROR(IF([1]对账明细接口!$K$550=0,"",[1]对账明细接口!$K$550),"")</f>
        <v/>
      </c>
      <c r="L550" s="59" t="str">
        <f aca="false">IFERROR(IF([1]对账明细接口!$L$550=0,"",[1]对账明细接口!$L$550),"")</f>
        <v/>
      </c>
      <c r="M550" s="59" t="str">
        <f aca="false">IFERROR(IF([1]对账明细接口!$M$550=0,"",[1]对账明细接口!$M$550),"")</f>
        <v/>
      </c>
      <c r="N550" s="111" t="n">
        <f aca="false">IF($C550="",0,1)</f>
        <v>0</v>
      </c>
      <c r="O550" s="111" t="n">
        <f aca="false">N(O549)+$N550</f>
        <v>110</v>
      </c>
      <c r="S550" s="10" t="str">
        <f aca="false">IFERROR(IF([1]对账明细接口!$N550=0,"",[1]对账明细接口!$N550),"")</f>
        <v/>
      </c>
      <c r="T550" s="112" t="str">
        <f aca="false">IFERROR(IF([1]对账明细接口!$O550=0,"",[1]对账明细接口!$O550),"")</f>
        <v/>
      </c>
      <c r="U550" s="112" t="str">
        <f aca="false">IFERROR(IF([1]对账明细接口!$P550=0,"",[1]对账明细接口!$P550),"")</f>
        <v/>
      </c>
      <c r="V550" s="112" t="str">
        <f aca="false">IFERROR(IF([1]对账明细接口!$Q550=0,"",[1]对账明细接口!$Q550),"")</f>
        <v/>
      </c>
      <c r="W550" s="10" t="str">
        <f aca="false">IFERROR(IF([1]对账明细接口!$R550=0,"",[1]对账明细接口!$R550),"")</f>
        <v/>
      </c>
      <c r="X550" s="10" t="str">
        <f aca="false">IFERROR(IF([1]对账明细接口!$S550=0,"",[1]对账明细接口!$S550),"")</f>
        <v/>
      </c>
      <c r="Y550" s="10" t="str">
        <f aca="false">""</f>
        <v/>
      </c>
      <c r="Z550" s="10" t="str">
        <f aca="false">""</f>
        <v/>
      </c>
      <c r="AA550" s="10" t="str">
        <f aca="false">""</f>
        <v/>
      </c>
      <c r="AB550" s="10" t="str">
        <f aca="false">""</f>
        <v/>
      </c>
    </row>
    <row r="551" customFormat="false" ht="13.5" hidden="false" customHeight="false" outlineLevel="0" collapsed="false">
      <c r="A551" s="109" t="n">
        <v>551</v>
      </c>
      <c r="B551" s="110" t="str">
        <f aca="false">IFERROR(IF([1]对账明细接口!$B$551=0,"",[1]对账明细接口!$B$551),"")</f>
        <v/>
      </c>
      <c r="C551" s="59" t="str">
        <f aca="false">IFERROR(IF([1]对账明细接口!$C$551=0,"",[1]对账明细接口!$C$551),"")</f>
        <v/>
      </c>
      <c r="D551" s="59" t="str">
        <f aca="false">IFERROR(IF([1]对账明细接口!$D$551=0,"",[1]对账明细接口!$D$551),"")</f>
        <v/>
      </c>
      <c r="E551" s="59" t="str">
        <f aca="false">IFERROR(IF([1]对账明细接口!$E$551=0,"",[1]对账明细接口!$E$551),"")</f>
        <v/>
      </c>
      <c r="F551" s="59" t="str">
        <f aca="false">IFERROR(IF([1]对账明细接口!$F$551=0,"",[1]对账明细接口!$F$551),"")</f>
        <v/>
      </c>
      <c r="G551" s="59" t="str">
        <f aca="false">IFERROR(IF([1]对账明细接口!$G$551=0,"",[1]对账明细接口!$G$551),"")</f>
        <v/>
      </c>
      <c r="H551" s="60" t="str">
        <f aca="false">IFERROR(IF([1]对账明细接口!$H$551=0,"",[1]对账明细接口!$H$551),"")</f>
        <v/>
      </c>
      <c r="I551" s="59" t="str">
        <f aca="false">IFERROR(IF([1]对账明细接口!$I$551=0,"",[1]对账明细接口!$I$551),"")</f>
        <v/>
      </c>
      <c r="J551" s="61" t="str">
        <f aca="false">IFERROR(IF([1]对账明细接口!$J$551=0,"",[1]对账明细接口!$J$551),"")</f>
        <v/>
      </c>
      <c r="K551" s="61" t="str">
        <f aca="false">IFERROR(IF([1]对账明细接口!$K$551=0,"",[1]对账明细接口!$K$551),"")</f>
        <v/>
      </c>
      <c r="L551" s="59" t="str">
        <f aca="false">IFERROR(IF([1]对账明细接口!$L$551=0,"",[1]对账明细接口!$L$551),"")</f>
        <v/>
      </c>
      <c r="M551" s="59" t="str">
        <f aca="false">IFERROR(IF([1]对账明细接口!$M$551=0,"",[1]对账明细接口!$M$551),"")</f>
        <v/>
      </c>
      <c r="N551" s="111" t="n">
        <f aca="false">IF($C551="",0,1)</f>
        <v>0</v>
      </c>
      <c r="O551" s="111" t="n">
        <f aca="false">N(O550)+$N551</f>
        <v>110</v>
      </c>
      <c r="S551" s="10" t="str">
        <f aca="false">IFERROR(IF([1]对账明细接口!$N551=0,"",[1]对账明细接口!$N551),"")</f>
        <v/>
      </c>
      <c r="T551" s="112" t="str">
        <f aca="false">IFERROR(IF([1]对账明细接口!$O551=0,"",[1]对账明细接口!$O551),"")</f>
        <v/>
      </c>
      <c r="U551" s="112" t="str">
        <f aca="false">IFERROR(IF([1]对账明细接口!$P551=0,"",[1]对账明细接口!$P551),"")</f>
        <v/>
      </c>
      <c r="V551" s="112" t="str">
        <f aca="false">IFERROR(IF([1]对账明细接口!$Q551=0,"",[1]对账明细接口!$Q551),"")</f>
        <v/>
      </c>
      <c r="W551" s="10" t="str">
        <f aca="false">IFERROR(IF([1]对账明细接口!$R551=0,"",[1]对账明细接口!$R551),"")</f>
        <v/>
      </c>
      <c r="X551" s="10" t="str">
        <f aca="false">IFERROR(IF([1]对账明细接口!$S551=0,"",[1]对账明细接口!$S551),"")</f>
        <v/>
      </c>
      <c r="Y551" s="10" t="str">
        <f aca="false">""</f>
        <v/>
      </c>
      <c r="Z551" s="10" t="str">
        <f aca="false">""</f>
        <v/>
      </c>
      <c r="AA551" s="10" t="str">
        <f aca="false">""</f>
        <v/>
      </c>
      <c r="AB551" s="10" t="str">
        <f aca="false">""</f>
        <v/>
      </c>
    </row>
    <row r="552" customFormat="false" ht="13.5" hidden="false" customHeight="false" outlineLevel="0" collapsed="false">
      <c r="A552" s="109" t="n">
        <v>552</v>
      </c>
      <c r="B552" s="110" t="str">
        <f aca="false">IFERROR(IF([1]对账明细接口!$B$552=0,"",[1]对账明细接口!$B$552),"")</f>
        <v/>
      </c>
      <c r="C552" s="59" t="str">
        <f aca="false">IFERROR(IF([1]对账明细接口!$C$552=0,"",[1]对账明细接口!$C$552),"")</f>
        <v/>
      </c>
      <c r="D552" s="59" t="str">
        <f aca="false">IFERROR(IF([1]对账明细接口!$D$552=0,"",[1]对账明细接口!$D$552),"")</f>
        <v/>
      </c>
      <c r="E552" s="59" t="str">
        <f aca="false">IFERROR(IF([1]对账明细接口!$E$552=0,"",[1]对账明细接口!$E$552),"")</f>
        <v/>
      </c>
      <c r="F552" s="59" t="str">
        <f aca="false">IFERROR(IF([1]对账明细接口!$F$552=0,"",[1]对账明细接口!$F$552),"")</f>
        <v/>
      </c>
      <c r="G552" s="59" t="str">
        <f aca="false">IFERROR(IF([1]对账明细接口!$G$552=0,"",[1]对账明细接口!$G$552),"")</f>
        <v/>
      </c>
      <c r="H552" s="60" t="str">
        <f aca="false">IFERROR(IF([1]对账明细接口!$H$552=0,"",[1]对账明细接口!$H$552),"")</f>
        <v/>
      </c>
      <c r="I552" s="59" t="str">
        <f aca="false">IFERROR(IF([1]对账明细接口!$I$552=0,"",[1]对账明细接口!$I$552),"")</f>
        <v/>
      </c>
      <c r="J552" s="61" t="str">
        <f aca="false">IFERROR(IF([1]对账明细接口!$J$552=0,"",[1]对账明细接口!$J$552),"")</f>
        <v/>
      </c>
      <c r="K552" s="61" t="str">
        <f aca="false">IFERROR(IF([1]对账明细接口!$K$552=0,"",[1]对账明细接口!$K$552),"")</f>
        <v/>
      </c>
      <c r="L552" s="59" t="str">
        <f aca="false">IFERROR(IF([1]对账明细接口!$L$552=0,"",[1]对账明细接口!$L$552),"")</f>
        <v/>
      </c>
      <c r="M552" s="59" t="str">
        <f aca="false">IFERROR(IF([1]对账明细接口!$M$552=0,"",[1]对账明细接口!$M$552),"")</f>
        <v/>
      </c>
      <c r="N552" s="111" t="n">
        <f aca="false">IF($C552="",0,1)</f>
        <v>0</v>
      </c>
      <c r="O552" s="111" t="n">
        <f aca="false">N(O551)+$N552</f>
        <v>110</v>
      </c>
      <c r="S552" s="10" t="str">
        <f aca="false">IFERROR(IF([1]对账明细接口!$N552=0,"",[1]对账明细接口!$N552),"")</f>
        <v/>
      </c>
      <c r="T552" s="112" t="str">
        <f aca="false">IFERROR(IF([1]对账明细接口!$O552=0,"",[1]对账明细接口!$O552),"")</f>
        <v/>
      </c>
      <c r="U552" s="112" t="str">
        <f aca="false">IFERROR(IF([1]对账明细接口!$P552=0,"",[1]对账明细接口!$P552),"")</f>
        <v/>
      </c>
      <c r="V552" s="112" t="str">
        <f aca="false">IFERROR(IF([1]对账明细接口!$Q552=0,"",[1]对账明细接口!$Q552),"")</f>
        <v/>
      </c>
      <c r="W552" s="10" t="str">
        <f aca="false">IFERROR(IF([1]对账明细接口!$R552=0,"",[1]对账明细接口!$R552),"")</f>
        <v/>
      </c>
      <c r="X552" s="10" t="str">
        <f aca="false">IFERROR(IF([1]对账明细接口!$S552=0,"",[1]对账明细接口!$S552),"")</f>
        <v/>
      </c>
      <c r="Y552" s="10" t="str">
        <f aca="false">""</f>
        <v/>
      </c>
      <c r="Z552" s="10" t="str">
        <f aca="false">""</f>
        <v/>
      </c>
      <c r="AA552" s="10" t="str">
        <f aca="false">""</f>
        <v/>
      </c>
      <c r="AB552" s="10" t="str">
        <f aca="false">""</f>
        <v/>
      </c>
    </row>
    <row r="553" customFormat="false" ht="13.5" hidden="false" customHeight="false" outlineLevel="0" collapsed="false">
      <c r="A553" s="109" t="n">
        <v>553</v>
      </c>
      <c r="B553" s="110" t="str">
        <f aca="false">IFERROR(IF([1]对账明细接口!$B$553=0,"",[1]对账明细接口!$B$553),"")</f>
        <v/>
      </c>
      <c r="C553" s="59" t="str">
        <f aca="false">IFERROR(IF([1]对账明细接口!$C$553=0,"",[1]对账明细接口!$C$553),"")</f>
        <v/>
      </c>
      <c r="D553" s="59" t="str">
        <f aca="false">IFERROR(IF([1]对账明细接口!$D$553=0,"",[1]对账明细接口!$D$553),"")</f>
        <v/>
      </c>
      <c r="E553" s="59" t="str">
        <f aca="false">IFERROR(IF([1]对账明细接口!$E$553=0,"",[1]对账明细接口!$E$553),"")</f>
        <v/>
      </c>
      <c r="F553" s="59" t="str">
        <f aca="false">IFERROR(IF([1]对账明细接口!$F$553=0,"",[1]对账明细接口!$F$553),"")</f>
        <v/>
      </c>
      <c r="G553" s="59" t="str">
        <f aca="false">IFERROR(IF([1]对账明细接口!$G$553=0,"",[1]对账明细接口!$G$553),"")</f>
        <v/>
      </c>
      <c r="H553" s="60" t="str">
        <f aca="false">IFERROR(IF([1]对账明细接口!$H$553=0,"",[1]对账明细接口!$H$553),"")</f>
        <v/>
      </c>
      <c r="I553" s="59" t="str">
        <f aca="false">IFERROR(IF([1]对账明细接口!$I$553=0,"",[1]对账明细接口!$I$553),"")</f>
        <v/>
      </c>
      <c r="J553" s="61" t="str">
        <f aca="false">IFERROR(IF([1]对账明细接口!$J$553=0,"",[1]对账明细接口!$J$553),"")</f>
        <v/>
      </c>
      <c r="K553" s="61" t="str">
        <f aca="false">IFERROR(IF([1]对账明细接口!$K$553=0,"",[1]对账明细接口!$K$553),"")</f>
        <v/>
      </c>
      <c r="L553" s="59" t="str">
        <f aca="false">IFERROR(IF([1]对账明细接口!$L$553=0,"",[1]对账明细接口!$L$553),"")</f>
        <v/>
      </c>
      <c r="M553" s="59" t="str">
        <f aca="false">IFERROR(IF([1]对账明细接口!$M$553=0,"",[1]对账明细接口!$M$553),"")</f>
        <v/>
      </c>
      <c r="N553" s="111" t="n">
        <f aca="false">IF($C553="",0,1)</f>
        <v>0</v>
      </c>
      <c r="O553" s="111" t="n">
        <f aca="false">N(O552)+$N553</f>
        <v>110</v>
      </c>
      <c r="S553" s="10" t="str">
        <f aca="false">IFERROR(IF([1]对账明细接口!$N553=0,"",[1]对账明细接口!$N553),"")</f>
        <v/>
      </c>
      <c r="T553" s="112" t="str">
        <f aca="false">IFERROR(IF([1]对账明细接口!$O553=0,"",[1]对账明细接口!$O553),"")</f>
        <v/>
      </c>
      <c r="U553" s="112" t="str">
        <f aca="false">IFERROR(IF([1]对账明细接口!$P553=0,"",[1]对账明细接口!$P553),"")</f>
        <v/>
      </c>
      <c r="V553" s="112" t="str">
        <f aca="false">IFERROR(IF([1]对账明细接口!$Q553=0,"",[1]对账明细接口!$Q553),"")</f>
        <v/>
      </c>
      <c r="W553" s="10" t="str">
        <f aca="false">IFERROR(IF([1]对账明细接口!$R553=0,"",[1]对账明细接口!$R553),"")</f>
        <v/>
      </c>
      <c r="X553" s="10" t="str">
        <f aca="false">IFERROR(IF([1]对账明细接口!$S553=0,"",[1]对账明细接口!$S553),"")</f>
        <v/>
      </c>
      <c r="Y553" s="10" t="str">
        <f aca="false">""</f>
        <v/>
      </c>
      <c r="Z553" s="10" t="str">
        <f aca="false">""</f>
        <v/>
      </c>
      <c r="AA553" s="10" t="str">
        <f aca="false">""</f>
        <v/>
      </c>
      <c r="AB553" s="10" t="str">
        <f aca="false">""</f>
        <v/>
      </c>
    </row>
    <row r="554" customFormat="false" ht="13.5" hidden="false" customHeight="false" outlineLevel="0" collapsed="false">
      <c r="A554" s="109" t="n">
        <v>554</v>
      </c>
      <c r="B554" s="110" t="str">
        <f aca="false">IFERROR(IF([1]对账明细接口!$B$554=0,"",[1]对账明细接口!$B$554),"")</f>
        <v/>
      </c>
      <c r="C554" s="59" t="str">
        <f aca="false">IFERROR(IF([1]对账明细接口!$C$554=0,"",[1]对账明细接口!$C$554),"")</f>
        <v/>
      </c>
      <c r="D554" s="59" t="str">
        <f aca="false">IFERROR(IF([1]对账明细接口!$D$554=0,"",[1]对账明细接口!$D$554),"")</f>
        <v/>
      </c>
      <c r="E554" s="59" t="str">
        <f aca="false">IFERROR(IF([1]对账明细接口!$E$554=0,"",[1]对账明细接口!$E$554),"")</f>
        <v/>
      </c>
      <c r="F554" s="59" t="str">
        <f aca="false">IFERROR(IF([1]对账明细接口!$F$554=0,"",[1]对账明细接口!$F$554),"")</f>
        <v/>
      </c>
      <c r="G554" s="59" t="str">
        <f aca="false">IFERROR(IF([1]对账明细接口!$G$554=0,"",[1]对账明细接口!$G$554),"")</f>
        <v/>
      </c>
      <c r="H554" s="60" t="str">
        <f aca="false">IFERROR(IF([1]对账明细接口!$H$554=0,"",[1]对账明细接口!$H$554),"")</f>
        <v/>
      </c>
      <c r="I554" s="59" t="str">
        <f aca="false">IFERROR(IF([1]对账明细接口!$I$554=0,"",[1]对账明细接口!$I$554),"")</f>
        <v/>
      </c>
      <c r="J554" s="61" t="str">
        <f aca="false">IFERROR(IF([1]对账明细接口!$J$554=0,"",[1]对账明细接口!$J$554),"")</f>
        <v/>
      </c>
      <c r="K554" s="61" t="str">
        <f aca="false">IFERROR(IF([1]对账明细接口!$K$554=0,"",[1]对账明细接口!$K$554),"")</f>
        <v/>
      </c>
      <c r="L554" s="59" t="str">
        <f aca="false">IFERROR(IF([1]对账明细接口!$L$554=0,"",[1]对账明细接口!$L$554),"")</f>
        <v/>
      </c>
      <c r="M554" s="59" t="str">
        <f aca="false">IFERROR(IF([1]对账明细接口!$M$554=0,"",[1]对账明细接口!$M$554),"")</f>
        <v/>
      </c>
      <c r="N554" s="111" t="n">
        <f aca="false">IF($C554="",0,1)</f>
        <v>0</v>
      </c>
      <c r="O554" s="111" t="n">
        <f aca="false">N(O553)+$N554</f>
        <v>110</v>
      </c>
      <c r="S554" s="10" t="str">
        <f aca="false">IFERROR(IF([1]对账明细接口!$N554=0,"",[1]对账明细接口!$N554),"")</f>
        <v/>
      </c>
      <c r="T554" s="112" t="str">
        <f aca="false">IFERROR(IF([1]对账明细接口!$O554=0,"",[1]对账明细接口!$O554),"")</f>
        <v/>
      </c>
      <c r="U554" s="112" t="str">
        <f aca="false">IFERROR(IF([1]对账明细接口!$P554=0,"",[1]对账明细接口!$P554),"")</f>
        <v/>
      </c>
      <c r="V554" s="112" t="str">
        <f aca="false">IFERROR(IF([1]对账明细接口!$Q554=0,"",[1]对账明细接口!$Q554),"")</f>
        <v/>
      </c>
      <c r="W554" s="10" t="str">
        <f aca="false">IFERROR(IF([1]对账明细接口!$R554=0,"",[1]对账明细接口!$R554),"")</f>
        <v/>
      </c>
      <c r="X554" s="10" t="str">
        <f aca="false">IFERROR(IF([1]对账明细接口!$S554=0,"",[1]对账明细接口!$S554),"")</f>
        <v/>
      </c>
      <c r="Y554" s="10" t="str">
        <f aca="false">""</f>
        <v/>
      </c>
      <c r="Z554" s="10" t="str">
        <f aca="false">""</f>
        <v/>
      </c>
      <c r="AA554" s="10" t="str">
        <f aca="false">""</f>
        <v/>
      </c>
      <c r="AB554" s="10" t="str">
        <f aca="false">""</f>
        <v/>
      </c>
    </row>
    <row r="555" customFormat="false" ht="13.5" hidden="false" customHeight="false" outlineLevel="0" collapsed="false">
      <c r="A555" s="109" t="n">
        <v>555</v>
      </c>
      <c r="B555" s="110" t="str">
        <f aca="false">IFERROR(IF([1]对账明细接口!$B$555=0,"",[1]对账明细接口!$B$555),"")</f>
        <v/>
      </c>
      <c r="C555" s="59" t="str">
        <f aca="false">IFERROR(IF([1]对账明细接口!$C$555=0,"",[1]对账明细接口!$C$555),"")</f>
        <v/>
      </c>
      <c r="D555" s="59" t="str">
        <f aca="false">IFERROR(IF([1]对账明细接口!$D$555=0,"",[1]对账明细接口!$D$555),"")</f>
        <v/>
      </c>
      <c r="E555" s="59" t="str">
        <f aca="false">IFERROR(IF([1]对账明细接口!$E$555=0,"",[1]对账明细接口!$E$555),"")</f>
        <v/>
      </c>
      <c r="F555" s="59" t="str">
        <f aca="false">IFERROR(IF([1]对账明细接口!$F$555=0,"",[1]对账明细接口!$F$555),"")</f>
        <v/>
      </c>
      <c r="G555" s="59" t="str">
        <f aca="false">IFERROR(IF([1]对账明细接口!$G$555=0,"",[1]对账明细接口!$G$555),"")</f>
        <v/>
      </c>
      <c r="H555" s="60" t="str">
        <f aca="false">IFERROR(IF([1]对账明细接口!$H$555=0,"",[1]对账明细接口!$H$555),"")</f>
        <v/>
      </c>
      <c r="I555" s="59" t="str">
        <f aca="false">IFERROR(IF([1]对账明细接口!$I$555=0,"",[1]对账明细接口!$I$555),"")</f>
        <v/>
      </c>
      <c r="J555" s="61" t="str">
        <f aca="false">IFERROR(IF([1]对账明细接口!$J$555=0,"",[1]对账明细接口!$J$555),"")</f>
        <v/>
      </c>
      <c r="K555" s="61" t="str">
        <f aca="false">IFERROR(IF([1]对账明细接口!$K$555=0,"",[1]对账明细接口!$K$555),"")</f>
        <v/>
      </c>
      <c r="L555" s="59" t="str">
        <f aca="false">IFERROR(IF([1]对账明细接口!$L$555=0,"",[1]对账明细接口!$L$555),"")</f>
        <v/>
      </c>
      <c r="M555" s="59" t="str">
        <f aca="false">IFERROR(IF([1]对账明细接口!$M$555=0,"",[1]对账明细接口!$M$555),"")</f>
        <v/>
      </c>
      <c r="N555" s="111" t="n">
        <f aca="false">IF($C555="",0,1)</f>
        <v>0</v>
      </c>
      <c r="O555" s="111" t="n">
        <f aca="false">N(O554)+$N555</f>
        <v>110</v>
      </c>
      <c r="S555" s="10" t="str">
        <f aca="false">IFERROR(IF([1]对账明细接口!$N555=0,"",[1]对账明细接口!$N555),"")</f>
        <v/>
      </c>
      <c r="T555" s="112" t="str">
        <f aca="false">IFERROR(IF([1]对账明细接口!$O555=0,"",[1]对账明细接口!$O555),"")</f>
        <v/>
      </c>
      <c r="U555" s="112" t="str">
        <f aca="false">IFERROR(IF([1]对账明细接口!$P555=0,"",[1]对账明细接口!$P555),"")</f>
        <v/>
      </c>
      <c r="V555" s="112" t="str">
        <f aca="false">IFERROR(IF([1]对账明细接口!$Q555=0,"",[1]对账明细接口!$Q555),"")</f>
        <v/>
      </c>
      <c r="W555" s="10" t="str">
        <f aca="false">IFERROR(IF([1]对账明细接口!$R555=0,"",[1]对账明细接口!$R555),"")</f>
        <v/>
      </c>
      <c r="X555" s="10" t="str">
        <f aca="false">IFERROR(IF([1]对账明细接口!$S555=0,"",[1]对账明细接口!$S555),"")</f>
        <v/>
      </c>
      <c r="Y555" s="10" t="str">
        <f aca="false">""</f>
        <v/>
      </c>
      <c r="Z555" s="10" t="str">
        <f aca="false">""</f>
        <v/>
      </c>
      <c r="AA555" s="10" t="str">
        <f aca="false">""</f>
        <v/>
      </c>
      <c r="AB555" s="10" t="str">
        <f aca="false">""</f>
        <v/>
      </c>
    </row>
    <row r="556" customFormat="false" ht="13.5" hidden="false" customHeight="false" outlineLevel="0" collapsed="false">
      <c r="A556" s="109" t="n">
        <v>556</v>
      </c>
      <c r="B556" s="110" t="str">
        <f aca="false">IFERROR(IF([1]对账明细接口!$B$556=0,"",[1]对账明细接口!$B$556),"")</f>
        <v/>
      </c>
      <c r="C556" s="59" t="str">
        <f aca="false">IFERROR(IF([1]对账明细接口!$C$556=0,"",[1]对账明细接口!$C$556),"")</f>
        <v/>
      </c>
      <c r="D556" s="59" t="str">
        <f aca="false">IFERROR(IF([1]对账明细接口!$D$556=0,"",[1]对账明细接口!$D$556),"")</f>
        <v/>
      </c>
      <c r="E556" s="59" t="str">
        <f aca="false">IFERROR(IF([1]对账明细接口!$E$556=0,"",[1]对账明细接口!$E$556),"")</f>
        <v/>
      </c>
      <c r="F556" s="59" t="str">
        <f aca="false">IFERROR(IF([1]对账明细接口!$F$556=0,"",[1]对账明细接口!$F$556),"")</f>
        <v/>
      </c>
      <c r="G556" s="59" t="str">
        <f aca="false">IFERROR(IF([1]对账明细接口!$G$556=0,"",[1]对账明细接口!$G$556),"")</f>
        <v/>
      </c>
      <c r="H556" s="60" t="str">
        <f aca="false">IFERROR(IF([1]对账明细接口!$H$556=0,"",[1]对账明细接口!$H$556),"")</f>
        <v/>
      </c>
      <c r="I556" s="59" t="str">
        <f aca="false">IFERROR(IF([1]对账明细接口!$I$556=0,"",[1]对账明细接口!$I$556),"")</f>
        <v/>
      </c>
      <c r="J556" s="61" t="str">
        <f aca="false">IFERROR(IF([1]对账明细接口!$J$556=0,"",[1]对账明细接口!$J$556),"")</f>
        <v/>
      </c>
      <c r="K556" s="61" t="str">
        <f aca="false">IFERROR(IF([1]对账明细接口!$K$556=0,"",[1]对账明细接口!$K$556),"")</f>
        <v/>
      </c>
      <c r="L556" s="59" t="str">
        <f aca="false">IFERROR(IF([1]对账明细接口!$L$556=0,"",[1]对账明细接口!$L$556),"")</f>
        <v/>
      </c>
      <c r="M556" s="59" t="str">
        <f aca="false">IFERROR(IF([1]对账明细接口!$M$556=0,"",[1]对账明细接口!$M$556),"")</f>
        <v/>
      </c>
      <c r="N556" s="111" t="n">
        <f aca="false">IF($C556="",0,1)</f>
        <v>0</v>
      </c>
      <c r="O556" s="111" t="n">
        <f aca="false">N(O555)+$N556</f>
        <v>110</v>
      </c>
      <c r="S556" s="10" t="str">
        <f aca="false">IFERROR(IF([1]对账明细接口!$N556=0,"",[1]对账明细接口!$N556),"")</f>
        <v/>
      </c>
      <c r="T556" s="112" t="str">
        <f aca="false">IFERROR(IF([1]对账明细接口!$O556=0,"",[1]对账明细接口!$O556),"")</f>
        <v/>
      </c>
      <c r="U556" s="112" t="str">
        <f aca="false">IFERROR(IF([1]对账明细接口!$P556=0,"",[1]对账明细接口!$P556),"")</f>
        <v/>
      </c>
      <c r="V556" s="112" t="str">
        <f aca="false">IFERROR(IF([1]对账明细接口!$Q556=0,"",[1]对账明细接口!$Q556),"")</f>
        <v/>
      </c>
      <c r="W556" s="10" t="str">
        <f aca="false">IFERROR(IF([1]对账明细接口!$R556=0,"",[1]对账明细接口!$R556),"")</f>
        <v/>
      </c>
      <c r="X556" s="10" t="str">
        <f aca="false">IFERROR(IF([1]对账明细接口!$S556=0,"",[1]对账明细接口!$S556),"")</f>
        <v/>
      </c>
      <c r="Y556" s="10" t="str">
        <f aca="false">""</f>
        <v/>
      </c>
      <c r="Z556" s="10" t="str">
        <f aca="false">""</f>
        <v/>
      </c>
      <c r="AA556" s="10" t="str">
        <f aca="false">""</f>
        <v/>
      </c>
      <c r="AB556" s="10" t="str">
        <f aca="false">""</f>
        <v/>
      </c>
    </row>
    <row r="557" customFormat="false" ht="13.5" hidden="false" customHeight="false" outlineLevel="0" collapsed="false">
      <c r="A557" s="109" t="n">
        <v>557</v>
      </c>
      <c r="B557" s="110" t="str">
        <f aca="false">IFERROR(IF([1]对账明细接口!$B$557=0,"",[1]对账明细接口!$B$557),"")</f>
        <v/>
      </c>
      <c r="C557" s="59" t="str">
        <f aca="false">IFERROR(IF([1]对账明细接口!$C$557=0,"",[1]对账明细接口!$C$557),"")</f>
        <v/>
      </c>
      <c r="D557" s="59" t="str">
        <f aca="false">IFERROR(IF([1]对账明细接口!$D$557=0,"",[1]对账明细接口!$D$557),"")</f>
        <v/>
      </c>
      <c r="E557" s="59" t="str">
        <f aca="false">IFERROR(IF([1]对账明细接口!$E$557=0,"",[1]对账明细接口!$E$557),"")</f>
        <v/>
      </c>
      <c r="F557" s="59" t="str">
        <f aca="false">IFERROR(IF([1]对账明细接口!$F$557=0,"",[1]对账明细接口!$F$557),"")</f>
        <v/>
      </c>
      <c r="G557" s="59" t="str">
        <f aca="false">IFERROR(IF([1]对账明细接口!$G$557=0,"",[1]对账明细接口!$G$557),"")</f>
        <v/>
      </c>
      <c r="H557" s="60" t="str">
        <f aca="false">IFERROR(IF([1]对账明细接口!$H$557=0,"",[1]对账明细接口!$H$557),"")</f>
        <v/>
      </c>
      <c r="I557" s="59" t="str">
        <f aca="false">IFERROR(IF([1]对账明细接口!$I$557=0,"",[1]对账明细接口!$I$557),"")</f>
        <v/>
      </c>
      <c r="J557" s="61" t="str">
        <f aca="false">IFERROR(IF([1]对账明细接口!$J$557=0,"",[1]对账明细接口!$J$557),"")</f>
        <v/>
      </c>
      <c r="K557" s="61" t="str">
        <f aca="false">IFERROR(IF([1]对账明细接口!$K$557=0,"",[1]对账明细接口!$K$557),"")</f>
        <v/>
      </c>
      <c r="L557" s="59" t="str">
        <f aca="false">IFERROR(IF([1]对账明细接口!$L$557=0,"",[1]对账明细接口!$L$557),"")</f>
        <v/>
      </c>
      <c r="M557" s="59" t="str">
        <f aca="false">IFERROR(IF([1]对账明细接口!$M$557=0,"",[1]对账明细接口!$M$557),"")</f>
        <v/>
      </c>
      <c r="N557" s="111" t="n">
        <f aca="false">IF($C557="",0,1)</f>
        <v>0</v>
      </c>
      <c r="O557" s="111" t="n">
        <f aca="false">N(O556)+$N557</f>
        <v>110</v>
      </c>
      <c r="S557" s="10" t="str">
        <f aca="false">IFERROR(IF([1]对账明细接口!$N557=0,"",[1]对账明细接口!$N557),"")</f>
        <v/>
      </c>
      <c r="T557" s="112" t="str">
        <f aca="false">IFERROR(IF([1]对账明细接口!$O557=0,"",[1]对账明细接口!$O557),"")</f>
        <v/>
      </c>
      <c r="U557" s="112" t="str">
        <f aca="false">IFERROR(IF([1]对账明细接口!$P557=0,"",[1]对账明细接口!$P557),"")</f>
        <v/>
      </c>
      <c r="V557" s="112" t="str">
        <f aca="false">IFERROR(IF([1]对账明细接口!$Q557=0,"",[1]对账明细接口!$Q557),"")</f>
        <v/>
      </c>
      <c r="W557" s="10" t="str">
        <f aca="false">IFERROR(IF([1]对账明细接口!$R557=0,"",[1]对账明细接口!$R557),"")</f>
        <v/>
      </c>
      <c r="X557" s="10" t="str">
        <f aca="false">IFERROR(IF([1]对账明细接口!$S557=0,"",[1]对账明细接口!$S557),"")</f>
        <v/>
      </c>
      <c r="Y557" s="10" t="str">
        <f aca="false">""</f>
        <v/>
      </c>
      <c r="Z557" s="10" t="str">
        <f aca="false">""</f>
        <v/>
      </c>
      <c r="AA557" s="10" t="str">
        <f aca="false">""</f>
        <v/>
      </c>
      <c r="AB557" s="10" t="str">
        <f aca="false">""</f>
        <v/>
      </c>
    </row>
    <row r="558" customFormat="false" ht="13.5" hidden="false" customHeight="false" outlineLevel="0" collapsed="false">
      <c r="A558" s="109" t="n">
        <v>558</v>
      </c>
      <c r="B558" s="110" t="str">
        <f aca="false">IFERROR(IF([1]对账明细接口!$B$558=0,"",[1]对账明细接口!$B$558),"")</f>
        <v/>
      </c>
      <c r="C558" s="59" t="str">
        <f aca="false">IFERROR(IF([1]对账明细接口!$C$558=0,"",[1]对账明细接口!$C$558),"")</f>
        <v/>
      </c>
      <c r="D558" s="59" t="str">
        <f aca="false">IFERROR(IF([1]对账明细接口!$D$558=0,"",[1]对账明细接口!$D$558),"")</f>
        <v/>
      </c>
      <c r="E558" s="59" t="str">
        <f aca="false">IFERROR(IF([1]对账明细接口!$E$558=0,"",[1]对账明细接口!$E$558),"")</f>
        <v/>
      </c>
      <c r="F558" s="59" t="str">
        <f aca="false">IFERROR(IF([1]对账明细接口!$F$558=0,"",[1]对账明细接口!$F$558),"")</f>
        <v/>
      </c>
      <c r="G558" s="59" t="str">
        <f aca="false">IFERROR(IF([1]对账明细接口!$G$558=0,"",[1]对账明细接口!$G$558),"")</f>
        <v/>
      </c>
      <c r="H558" s="60" t="str">
        <f aca="false">IFERROR(IF([1]对账明细接口!$H$558=0,"",[1]对账明细接口!$H$558),"")</f>
        <v/>
      </c>
      <c r="I558" s="59" t="str">
        <f aca="false">IFERROR(IF([1]对账明细接口!$I$558=0,"",[1]对账明细接口!$I$558),"")</f>
        <v/>
      </c>
      <c r="J558" s="61" t="str">
        <f aca="false">IFERROR(IF([1]对账明细接口!$J$558=0,"",[1]对账明细接口!$J$558),"")</f>
        <v/>
      </c>
      <c r="K558" s="61" t="str">
        <f aca="false">IFERROR(IF([1]对账明细接口!$K$558=0,"",[1]对账明细接口!$K$558),"")</f>
        <v/>
      </c>
      <c r="L558" s="59" t="str">
        <f aca="false">IFERROR(IF([1]对账明细接口!$L$558=0,"",[1]对账明细接口!$L$558),"")</f>
        <v/>
      </c>
      <c r="M558" s="59" t="str">
        <f aca="false">IFERROR(IF([1]对账明细接口!$M$558=0,"",[1]对账明细接口!$M$558),"")</f>
        <v/>
      </c>
      <c r="N558" s="111" t="n">
        <f aca="false">IF($C558="",0,1)</f>
        <v>0</v>
      </c>
      <c r="O558" s="111" t="n">
        <f aca="false">N(O557)+$N558</f>
        <v>110</v>
      </c>
      <c r="S558" s="10" t="str">
        <f aca="false">IFERROR(IF([1]对账明细接口!$N558=0,"",[1]对账明细接口!$N558),"")</f>
        <v/>
      </c>
      <c r="T558" s="112" t="str">
        <f aca="false">IFERROR(IF([1]对账明细接口!$O558=0,"",[1]对账明细接口!$O558),"")</f>
        <v/>
      </c>
      <c r="U558" s="112" t="str">
        <f aca="false">IFERROR(IF([1]对账明细接口!$P558=0,"",[1]对账明细接口!$P558),"")</f>
        <v/>
      </c>
      <c r="V558" s="112" t="str">
        <f aca="false">IFERROR(IF([1]对账明细接口!$Q558=0,"",[1]对账明细接口!$Q558),"")</f>
        <v/>
      </c>
      <c r="W558" s="10" t="str">
        <f aca="false">IFERROR(IF([1]对账明细接口!$R558=0,"",[1]对账明细接口!$R558),"")</f>
        <v/>
      </c>
      <c r="X558" s="10" t="str">
        <f aca="false">IFERROR(IF([1]对账明细接口!$S558=0,"",[1]对账明细接口!$S558),"")</f>
        <v/>
      </c>
      <c r="Y558" s="10" t="str">
        <f aca="false">""</f>
        <v/>
      </c>
      <c r="Z558" s="10" t="str">
        <f aca="false">""</f>
        <v/>
      </c>
      <c r="AA558" s="10" t="str">
        <f aca="false">""</f>
        <v/>
      </c>
      <c r="AB558" s="10" t="str">
        <f aca="false">""</f>
        <v/>
      </c>
    </row>
    <row r="559" customFormat="false" ht="13.5" hidden="false" customHeight="false" outlineLevel="0" collapsed="false">
      <c r="A559" s="109" t="n">
        <v>559</v>
      </c>
      <c r="B559" s="110" t="str">
        <f aca="false">IFERROR(IF([1]对账明细接口!$B$559=0,"",[1]对账明细接口!$B$559),"")</f>
        <v/>
      </c>
      <c r="C559" s="59" t="str">
        <f aca="false">IFERROR(IF([1]对账明细接口!$C$559=0,"",[1]对账明细接口!$C$559),"")</f>
        <v/>
      </c>
      <c r="D559" s="59" t="str">
        <f aca="false">IFERROR(IF([1]对账明细接口!$D$559=0,"",[1]对账明细接口!$D$559),"")</f>
        <v/>
      </c>
      <c r="E559" s="59" t="str">
        <f aca="false">IFERROR(IF([1]对账明细接口!$E$559=0,"",[1]对账明细接口!$E$559),"")</f>
        <v/>
      </c>
      <c r="F559" s="59" t="str">
        <f aca="false">IFERROR(IF([1]对账明细接口!$F$559=0,"",[1]对账明细接口!$F$559),"")</f>
        <v/>
      </c>
      <c r="G559" s="59" t="str">
        <f aca="false">IFERROR(IF([1]对账明细接口!$G$559=0,"",[1]对账明细接口!$G$559),"")</f>
        <v/>
      </c>
      <c r="H559" s="60" t="str">
        <f aca="false">IFERROR(IF([1]对账明细接口!$H$559=0,"",[1]对账明细接口!$H$559),"")</f>
        <v/>
      </c>
      <c r="I559" s="59" t="str">
        <f aca="false">IFERROR(IF([1]对账明细接口!$I$559=0,"",[1]对账明细接口!$I$559),"")</f>
        <v/>
      </c>
      <c r="J559" s="61" t="str">
        <f aca="false">IFERROR(IF([1]对账明细接口!$J$559=0,"",[1]对账明细接口!$J$559),"")</f>
        <v/>
      </c>
      <c r="K559" s="61" t="str">
        <f aca="false">IFERROR(IF([1]对账明细接口!$K$559=0,"",[1]对账明细接口!$K$559),"")</f>
        <v/>
      </c>
      <c r="L559" s="59" t="str">
        <f aca="false">IFERROR(IF([1]对账明细接口!$L$559=0,"",[1]对账明细接口!$L$559),"")</f>
        <v/>
      </c>
      <c r="M559" s="59" t="str">
        <f aca="false">IFERROR(IF([1]对账明细接口!$M$559=0,"",[1]对账明细接口!$M$559),"")</f>
        <v/>
      </c>
      <c r="N559" s="111" t="n">
        <f aca="false">IF($C559="",0,1)</f>
        <v>0</v>
      </c>
      <c r="O559" s="111" t="n">
        <f aca="false">N(O558)+$N559</f>
        <v>110</v>
      </c>
      <c r="S559" s="10" t="str">
        <f aca="false">IFERROR(IF([1]对账明细接口!$N559=0,"",[1]对账明细接口!$N559),"")</f>
        <v/>
      </c>
      <c r="T559" s="112" t="str">
        <f aca="false">IFERROR(IF([1]对账明细接口!$O559=0,"",[1]对账明细接口!$O559),"")</f>
        <v/>
      </c>
      <c r="U559" s="112" t="str">
        <f aca="false">IFERROR(IF([1]对账明细接口!$P559=0,"",[1]对账明细接口!$P559),"")</f>
        <v/>
      </c>
      <c r="V559" s="112" t="str">
        <f aca="false">IFERROR(IF([1]对账明细接口!$Q559=0,"",[1]对账明细接口!$Q559),"")</f>
        <v/>
      </c>
      <c r="W559" s="10" t="str">
        <f aca="false">IFERROR(IF([1]对账明细接口!$R559=0,"",[1]对账明细接口!$R559),"")</f>
        <v/>
      </c>
      <c r="X559" s="10" t="str">
        <f aca="false">IFERROR(IF([1]对账明细接口!$S559=0,"",[1]对账明细接口!$S559),"")</f>
        <v/>
      </c>
      <c r="Y559" s="10" t="str">
        <f aca="false">""</f>
        <v/>
      </c>
      <c r="Z559" s="10" t="str">
        <f aca="false">""</f>
        <v/>
      </c>
      <c r="AA559" s="10" t="str">
        <f aca="false">""</f>
        <v/>
      </c>
      <c r="AB559" s="10" t="str">
        <f aca="false">""</f>
        <v/>
      </c>
    </row>
    <row r="560" customFormat="false" ht="13.5" hidden="false" customHeight="false" outlineLevel="0" collapsed="false">
      <c r="A560" s="109" t="n">
        <v>560</v>
      </c>
      <c r="B560" s="110" t="str">
        <f aca="false">IFERROR(IF([1]对账明细接口!$B$560=0,"",[1]对账明细接口!$B$560),"")</f>
        <v/>
      </c>
      <c r="C560" s="59" t="str">
        <f aca="false">IFERROR(IF([1]对账明细接口!$C$560=0,"",[1]对账明细接口!$C$560),"")</f>
        <v/>
      </c>
      <c r="D560" s="59" t="str">
        <f aca="false">IFERROR(IF([1]对账明细接口!$D$560=0,"",[1]对账明细接口!$D$560),"")</f>
        <v/>
      </c>
      <c r="E560" s="59" t="str">
        <f aca="false">IFERROR(IF([1]对账明细接口!$E$560=0,"",[1]对账明细接口!$E$560),"")</f>
        <v/>
      </c>
      <c r="F560" s="59" t="str">
        <f aca="false">IFERROR(IF([1]对账明细接口!$F$560=0,"",[1]对账明细接口!$F$560),"")</f>
        <v/>
      </c>
      <c r="G560" s="59" t="str">
        <f aca="false">IFERROR(IF([1]对账明细接口!$G$560=0,"",[1]对账明细接口!$G$560),"")</f>
        <v/>
      </c>
      <c r="H560" s="60" t="str">
        <f aca="false">IFERROR(IF([1]对账明细接口!$H$560=0,"",[1]对账明细接口!$H$560),"")</f>
        <v/>
      </c>
      <c r="I560" s="59" t="str">
        <f aca="false">IFERROR(IF([1]对账明细接口!$I$560=0,"",[1]对账明细接口!$I$560),"")</f>
        <v/>
      </c>
      <c r="J560" s="61" t="str">
        <f aca="false">IFERROR(IF([1]对账明细接口!$J$560=0,"",[1]对账明细接口!$J$560),"")</f>
        <v/>
      </c>
      <c r="K560" s="61" t="str">
        <f aca="false">IFERROR(IF([1]对账明细接口!$K$560=0,"",[1]对账明细接口!$K$560),"")</f>
        <v/>
      </c>
      <c r="L560" s="59" t="str">
        <f aca="false">IFERROR(IF([1]对账明细接口!$L$560=0,"",[1]对账明细接口!$L$560),"")</f>
        <v/>
      </c>
      <c r="M560" s="59" t="str">
        <f aca="false">IFERROR(IF([1]对账明细接口!$M$560=0,"",[1]对账明细接口!$M$560),"")</f>
        <v/>
      </c>
      <c r="N560" s="111" t="n">
        <f aca="false">IF($C560="",0,1)</f>
        <v>0</v>
      </c>
      <c r="O560" s="111" t="n">
        <f aca="false">N(O559)+$N560</f>
        <v>110</v>
      </c>
      <c r="S560" s="10" t="str">
        <f aca="false">IFERROR(IF([1]对账明细接口!$N560=0,"",[1]对账明细接口!$N560),"")</f>
        <v/>
      </c>
      <c r="T560" s="112" t="str">
        <f aca="false">IFERROR(IF([1]对账明细接口!$O560=0,"",[1]对账明细接口!$O560),"")</f>
        <v/>
      </c>
      <c r="U560" s="112" t="str">
        <f aca="false">IFERROR(IF([1]对账明细接口!$P560=0,"",[1]对账明细接口!$P560),"")</f>
        <v/>
      </c>
      <c r="V560" s="112" t="str">
        <f aca="false">IFERROR(IF([1]对账明细接口!$Q560=0,"",[1]对账明细接口!$Q560),"")</f>
        <v/>
      </c>
      <c r="W560" s="10" t="str">
        <f aca="false">IFERROR(IF([1]对账明细接口!$R560=0,"",[1]对账明细接口!$R560),"")</f>
        <v/>
      </c>
      <c r="X560" s="10" t="str">
        <f aca="false">IFERROR(IF([1]对账明细接口!$S560=0,"",[1]对账明细接口!$S560),"")</f>
        <v/>
      </c>
      <c r="Y560" s="10" t="str">
        <f aca="false">""</f>
        <v/>
      </c>
      <c r="Z560" s="10" t="str">
        <f aca="false">""</f>
        <v/>
      </c>
      <c r="AA560" s="10" t="str">
        <f aca="false">""</f>
        <v/>
      </c>
      <c r="AB560" s="10" t="str">
        <f aca="false">""</f>
        <v/>
      </c>
    </row>
    <row r="561" customFormat="false" ht="13.5" hidden="false" customHeight="false" outlineLevel="0" collapsed="false">
      <c r="A561" s="109" t="n">
        <v>561</v>
      </c>
      <c r="B561" s="110" t="str">
        <f aca="false">IFERROR(IF([1]对账明细接口!$B$561=0,"",[1]对账明细接口!$B$561),"")</f>
        <v/>
      </c>
      <c r="C561" s="59" t="str">
        <f aca="false">IFERROR(IF([1]对账明细接口!$C$561=0,"",[1]对账明细接口!$C$561),"")</f>
        <v/>
      </c>
      <c r="D561" s="59" t="str">
        <f aca="false">IFERROR(IF([1]对账明细接口!$D$561=0,"",[1]对账明细接口!$D$561),"")</f>
        <v/>
      </c>
      <c r="E561" s="59" t="str">
        <f aca="false">IFERROR(IF([1]对账明细接口!$E$561=0,"",[1]对账明细接口!$E$561),"")</f>
        <v/>
      </c>
      <c r="F561" s="59" t="str">
        <f aca="false">IFERROR(IF([1]对账明细接口!$F$561=0,"",[1]对账明细接口!$F$561),"")</f>
        <v/>
      </c>
      <c r="G561" s="59" t="str">
        <f aca="false">IFERROR(IF([1]对账明细接口!$G$561=0,"",[1]对账明细接口!$G$561),"")</f>
        <v/>
      </c>
      <c r="H561" s="60" t="str">
        <f aca="false">IFERROR(IF([1]对账明细接口!$H$561=0,"",[1]对账明细接口!$H$561),"")</f>
        <v/>
      </c>
      <c r="I561" s="59" t="str">
        <f aca="false">IFERROR(IF([1]对账明细接口!$I$561=0,"",[1]对账明细接口!$I$561),"")</f>
        <v/>
      </c>
      <c r="J561" s="61" t="str">
        <f aca="false">IFERROR(IF([1]对账明细接口!$J$561=0,"",[1]对账明细接口!$J$561),"")</f>
        <v/>
      </c>
      <c r="K561" s="61" t="str">
        <f aca="false">IFERROR(IF([1]对账明细接口!$K$561=0,"",[1]对账明细接口!$K$561),"")</f>
        <v/>
      </c>
      <c r="L561" s="59" t="str">
        <f aca="false">IFERROR(IF([1]对账明细接口!$L$561=0,"",[1]对账明细接口!$L$561),"")</f>
        <v/>
      </c>
      <c r="M561" s="59" t="str">
        <f aca="false">IFERROR(IF([1]对账明细接口!$M$561=0,"",[1]对账明细接口!$M$561),"")</f>
        <v/>
      </c>
      <c r="N561" s="111" t="n">
        <f aca="false">IF($C561="",0,1)</f>
        <v>0</v>
      </c>
      <c r="O561" s="111" t="n">
        <f aca="false">N(O560)+$N561</f>
        <v>110</v>
      </c>
      <c r="S561" s="10" t="str">
        <f aca="false">IFERROR(IF([1]对账明细接口!$N561=0,"",[1]对账明细接口!$N561),"")</f>
        <v/>
      </c>
      <c r="T561" s="112" t="str">
        <f aca="false">IFERROR(IF([1]对账明细接口!$O561=0,"",[1]对账明细接口!$O561),"")</f>
        <v/>
      </c>
      <c r="U561" s="112" t="str">
        <f aca="false">IFERROR(IF([1]对账明细接口!$P561=0,"",[1]对账明细接口!$P561),"")</f>
        <v/>
      </c>
      <c r="V561" s="112" t="str">
        <f aca="false">IFERROR(IF([1]对账明细接口!$Q561=0,"",[1]对账明细接口!$Q561),"")</f>
        <v/>
      </c>
      <c r="W561" s="10" t="str">
        <f aca="false">IFERROR(IF([1]对账明细接口!$R561=0,"",[1]对账明细接口!$R561),"")</f>
        <v/>
      </c>
      <c r="X561" s="10" t="str">
        <f aca="false">IFERROR(IF([1]对账明细接口!$S561=0,"",[1]对账明细接口!$S561),"")</f>
        <v/>
      </c>
      <c r="Y561" s="10" t="str">
        <f aca="false">""</f>
        <v/>
      </c>
      <c r="Z561" s="10" t="str">
        <f aca="false">""</f>
        <v/>
      </c>
      <c r="AA561" s="10" t="str">
        <f aca="false">""</f>
        <v/>
      </c>
      <c r="AB561" s="10" t="str">
        <f aca="false">""</f>
        <v/>
      </c>
    </row>
    <row r="562" customFormat="false" ht="13.5" hidden="false" customHeight="false" outlineLevel="0" collapsed="false">
      <c r="A562" s="109" t="n">
        <v>562</v>
      </c>
      <c r="B562" s="110" t="str">
        <f aca="false">IFERROR(IF([1]对账明细接口!$B$562=0,"",[1]对账明细接口!$B$562),"")</f>
        <v/>
      </c>
      <c r="C562" s="59" t="str">
        <f aca="false">IFERROR(IF([1]对账明细接口!$C$562=0,"",[1]对账明细接口!$C$562),"")</f>
        <v/>
      </c>
      <c r="D562" s="59" t="str">
        <f aca="false">IFERROR(IF([1]对账明细接口!$D$562=0,"",[1]对账明细接口!$D$562),"")</f>
        <v/>
      </c>
      <c r="E562" s="59" t="str">
        <f aca="false">IFERROR(IF([1]对账明细接口!$E$562=0,"",[1]对账明细接口!$E$562),"")</f>
        <v/>
      </c>
      <c r="F562" s="59" t="str">
        <f aca="false">IFERROR(IF([1]对账明细接口!$F$562=0,"",[1]对账明细接口!$F$562),"")</f>
        <v/>
      </c>
      <c r="G562" s="59" t="str">
        <f aca="false">IFERROR(IF([1]对账明细接口!$G$562=0,"",[1]对账明细接口!$G$562),"")</f>
        <v/>
      </c>
      <c r="H562" s="60" t="str">
        <f aca="false">IFERROR(IF([1]对账明细接口!$H$562=0,"",[1]对账明细接口!$H$562),"")</f>
        <v/>
      </c>
      <c r="I562" s="59" t="str">
        <f aca="false">IFERROR(IF([1]对账明细接口!$I$562=0,"",[1]对账明细接口!$I$562),"")</f>
        <v/>
      </c>
      <c r="J562" s="61" t="str">
        <f aca="false">IFERROR(IF([1]对账明细接口!$J$562=0,"",[1]对账明细接口!$J$562),"")</f>
        <v/>
      </c>
      <c r="K562" s="61" t="str">
        <f aca="false">IFERROR(IF([1]对账明细接口!$K$562=0,"",[1]对账明细接口!$K$562),"")</f>
        <v/>
      </c>
      <c r="L562" s="59" t="str">
        <f aca="false">IFERROR(IF([1]对账明细接口!$L$562=0,"",[1]对账明细接口!$L$562),"")</f>
        <v/>
      </c>
      <c r="M562" s="59" t="str">
        <f aca="false">IFERROR(IF([1]对账明细接口!$M$562=0,"",[1]对账明细接口!$M$562),"")</f>
        <v/>
      </c>
      <c r="N562" s="111" t="n">
        <f aca="false">IF($C562="",0,1)</f>
        <v>0</v>
      </c>
      <c r="O562" s="111" t="n">
        <f aca="false">N(O561)+$N562</f>
        <v>110</v>
      </c>
      <c r="S562" s="10" t="str">
        <f aca="false">IFERROR(IF([1]对账明细接口!$N562=0,"",[1]对账明细接口!$N562),"")</f>
        <v/>
      </c>
      <c r="T562" s="112" t="str">
        <f aca="false">IFERROR(IF([1]对账明细接口!$O562=0,"",[1]对账明细接口!$O562),"")</f>
        <v/>
      </c>
      <c r="U562" s="112" t="str">
        <f aca="false">IFERROR(IF([1]对账明细接口!$P562=0,"",[1]对账明细接口!$P562),"")</f>
        <v/>
      </c>
      <c r="V562" s="112" t="str">
        <f aca="false">IFERROR(IF([1]对账明细接口!$Q562=0,"",[1]对账明细接口!$Q562),"")</f>
        <v/>
      </c>
      <c r="W562" s="10" t="str">
        <f aca="false">IFERROR(IF([1]对账明细接口!$R562=0,"",[1]对账明细接口!$R562),"")</f>
        <v/>
      </c>
      <c r="X562" s="10" t="str">
        <f aca="false">IFERROR(IF([1]对账明细接口!$S562=0,"",[1]对账明细接口!$S562),"")</f>
        <v/>
      </c>
      <c r="Y562" s="10" t="str">
        <f aca="false">""</f>
        <v/>
      </c>
      <c r="Z562" s="10" t="str">
        <f aca="false">""</f>
        <v/>
      </c>
      <c r="AA562" s="10" t="str">
        <f aca="false">""</f>
        <v/>
      </c>
      <c r="AB562" s="10" t="str">
        <f aca="false">""</f>
        <v/>
      </c>
    </row>
    <row r="563" customFormat="false" ht="13.5" hidden="false" customHeight="false" outlineLevel="0" collapsed="false">
      <c r="A563" s="109" t="n">
        <v>563</v>
      </c>
      <c r="B563" s="110" t="str">
        <f aca="false">IFERROR(IF([1]对账明细接口!$B$563=0,"",[1]对账明细接口!$B$563),"")</f>
        <v/>
      </c>
      <c r="C563" s="59" t="str">
        <f aca="false">IFERROR(IF([1]对账明细接口!$C$563=0,"",[1]对账明细接口!$C$563),"")</f>
        <v/>
      </c>
      <c r="D563" s="59" t="str">
        <f aca="false">IFERROR(IF([1]对账明细接口!$D$563=0,"",[1]对账明细接口!$D$563),"")</f>
        <v/>
      </c>
      <c r="E563" s="59" t="str">
        <f aca="false">IFERROR(IF([1]对账明细接口!$E$563=0,"",[1]对账明细接口!$E$563),"")</f>
        <v/>
      </c>
      <c r="F563" s="59" t="str">
        <f aca="false">IFERROR(IF([1]对账明细接口!$F$563=0,"",[1]对账明细接口!$F$563),"")</f>
        <v/>
      </c>
      <c r="G563" s="59" t="str">
        <f aca="false">IFERROR(IF([1]对账明细接口!$G$563=0,"",[1]对账明细接口!$G$563),"")</f>
        <v/>
      </c>
      <c r="H563" s="60" t="str">
        <f aca="false">IFERROR(IF([1]对账明细接口!$H$563=0,"",[1]对账明细接口!$H$563),"")</f>
        <v/>
      </c>
      <c r="I563" s="59" t="str">
        <f aca="false">IFERROR(IF([1]对账明细接口!$I$563=0,"",[1]对账明细接口!$I$563),"")</f>
        <v/>
      </c>
      <c r="J563" s="61" t="str">
        <f aca="false">IFERROR(IF([1]对账明细接口!$J$563=0,"",[1]对账明细接口!$J$563),"")</f>
        <v/>
      </c>
      <c r="K563" s="61" t="str">
        <f aca="false">IFERROR(IF([1]对账明细接口!$K$563=0,"",[1]对账明细接口!$K$563),"")</f>
        <v/>
      </c>
      <c r="L563" s="59" t="str">
        <f aca="false">IFERROR(IF([1]对账明细接口!$L$563=0,"",[1]对账明细接口!$L$563),"")</f>
        <v/>
      </c>
      <c r="M563" s="59" t="str">
        <f aca="false">IFERROR(IF([1]对账明细接口!$M$563=0,"",[1]对账明细接口!$M$563),"")</f>
        <v/>
      </c>
      <c r="N563" s="111" t="n">
        <f aca="false">IF($C563="",0,1)</f>
        <v>0</v>
      </c>
      <c r="O563" s="111" t="n">
        <f aca="false">N(O562)+$N563</f>
        <v>110</v>
      </c>
      <c r="S563" s="10" t="str">
        <f aca="false">IFERROR(IF([1]对账明细接口!$N563=0,"",[1]对账明细接口!$N563),"")</f>
        <v/>
      </c>
      <c r="T563" s="112" t="str">
        <f aca="false">IFERROR(IF([1]对账明细接口!$O563=0,"",[1]对账明细接口!$O563),"")</f>
        <v/>
      </c>
      <c r="U563" s="112" t="str">
        <f aca="false">IFERROR(IF([1]对账明细接口!$P563=0,"",[1]对账明细接口!$P563),"")</f>
        <v/>
      </c>
      <c r="V563" s="112" t="str">
        <f aca="false">IFERROR(IF([1]对账明细接口!$Q563=0,"",[1]对账明细接口!$Q563),"")</f>
        <v/>
      </c>
      <c r="W563" s="10" t="str">
        <f aca="false">IFERROR(IF([1]对账明细接口!$R563=0,"",[1]对账明细接口!$R563),"")</f>
        <v/>
      </c>
      <c r="X563" s="10" t="str">
        <f aca="false">IFERROR(IF([1]对账明细接口!$S563=0,"",[1]对账明细接口!$S563),"")</f>
        <v/>
      </c>
      <c r="Y563" s="10" t="str">
        <f aca="false">""</f>
        <v/>
      </c>
      <c r="Z563" s="10" t="str">
        <f aca="false">""</f>
        <v/>
      </c>
      <c r="AA563" s="10" t="str">
        <f aca="false">""</f>
        <v/>
      </c>
      <c r="AB563" s="10" t="str">
        <f aca="false">""</f>
        <v/>
      </c>
    </row>
    <row r="564" customFormat="false" ht="13.5" hidden="false" customHeight="false" outlineLevel="0" collapsed="false">
      <c r="A564" s="109" t="n">
        <v>564</v>
      </c>
      <c r="B564" s="110" t="str">
        <f aca="false">IFERROR(IF([1]对账明细接口!$B$564=0,"",[1]对账明细接口!$B$564),"")</f>
        <v/>
      </c>
      <c r="C564" s="59" t="str">
        <f aca="false">IFERROR(IF([1]对账明细接口!$C$564=0,"",[1]对账明细接口!$C$564),"")</f>
        <v/>
      </c>
      <c r="D564" s="59" t="str">
        <f aca="false">IFERROR(IF([1]对账明细接口!$D$564=0,"",[1]对账明细接口!$D$564),"")</f>
        <v/>
      </c>
      <c r="E564" s="59" t="str">
        <f aca="false">IFERROR(IF([1]对账明细接口!$E$564=0,"",[1]对账明细接口!$E$564),"")</f>
        <v/>
      </c>
      <c r="F564" s="59" t="str">
        <f aca="false">IFERROR(IF([1]对账明细接口!$F$564=0,"",[1]对账明细接口!$F$564),"")</f>
        <v/>
      </c>
      <c r="G564" s="59" t="str">
        <f aca="false">IFERROR(IF([1]对账明细接口!$G$564=0,"",[1]对账明细接口!$G$564),"")</f>
        <v/>
      </c>
      <c r="H564" s="60" t="str">
        <f aca="false">IFERROR(IF([1]对账明细接口!$H$564=0,"",[1]对账明细接口!$H$564),"")</f>
        <v/>
      </c>
      <c r="I564" s="59" t="str">
        <f aca="false">IFERROR(IF([1]对账明细接口!$I$564=0,"",[1]对账明细接口!$I$564),"")</f>
        <v/>
      </c>
      <c r="J564" s="61" t="str">
        <f aca="false">IFERROR(IF([1]对账明细接口!$J$564=0,"",[1]对账明细接口!$J$564),"")</f>
        <v/>
      </c>
      <c r="K564" s="61" t="str">
        <f aca="false">IFERROR(IF([1]对账明细接口!$K$564=0,"",[1]对账明细接口!$K$564),"")</f>
        <v/>
      </c>
      <c r="L564" s="59" t="str">
        <f aca="false">IFERROR(IF([1]对账明细接口!$L$564=0,"",[1]对账明细接口!$L$564),"")</f>
        <v/>
      </c>
      <c r="M564" s="59" t="str">
        <f aca="false">IFERROR(IF([1]对账明细接口!$M$564=0,"",[1]对账明细接口!$M$564),"")</f>
        <v/>
      </c>
      <c r="N564" s="111" t="n">
        <f aca="false">IF($C564="",0,1)</f>
        <v>0</v>
      </c>
      <c r="O564" s="111" t="n">
        <f aca="false">N(O563)+$N564</f>
        <v>110</v>
      </c>
      <c r="S564" s="10" t="str">
        <f aca="false">IFERROR(IF([1]对账明细接口!$N564=0,"",[1]对账明细接口!$N564),"")</f>
        <v/>
      </c>
      <c r="T564" s="112" t="str">
        <f aca="false">IFERROR(IF([1]对账明细接口!$O564=0,"",[1]对账明细接口!$O564),"")</f>
        <v/>
      </c>
      <c r="U564" s="112" t="str">
        <f aca="false">IFERROR(IF([1]对账明细接口!$P564=0,"",[1]对账明细接口!$P564),"")</f>
        <v/>
      </c>
      <c r="V564" s="112" t="str">
        <f aca="false">IFERROR(IF([1]对账明细接口!$Q564=0,"",[1]对账明细接口!$Q564),"")</f>
        <v/>
      </c>
      <c r="W564" s="10" t="str">
        <f aca="false">IFERROR(IF([1]对账明细接口!$R564=0,"",[1]对账明细接口!$R564),"")</f>
        <v/>
      </c>
      <c r="X564" s="10" t="str">
        <f aca="false">IFERROR(IF([1]对账明细接口!$S564=0,"",[1]对账明细接口!$S564),"")</f>
        <v/>
      </c>
      <c r="Y564" s="10" t="str">
        <f aca="false">""</f>
        <v/>
      </c>
      <c r="Z564" s="10" t="str">
        <f aca="false">""</f>
        <v/>
      </c>
      <c r="AA564" s="10" t="str">
        <f aca="false">""</f>
        <v/>
      </c>
      <c r="AB564" s="10" t="str">
        <f aca="false">""</f>
        <v/>
      </c>
    </row>
    <row r="565" customFormat="false" ht="13.5" hidden="false" customHeight="false" outlineLevel="0" collapsed="false">
      <c r="A565" s="109" t="n">
        <v>565</v>
      </c>
      <c r="B565" s="110" t="str">
        <f aca="false">IFERROR(IF([1]对账明细接口!$B$565=0,"",[1]对账明细接口!$B$565),"")</f>
        <v/>
      </c>
      <c r="C565" s="59" t="str">
        <f aca="false">IFERROR(IF([1]对账明细接口!$C$565=0,"",[1]对账明细接口!$C$565),"")</f>
        <v/>
      </c>
      <c r="D565" s="59" t="str">
        <f aca="false">IFERROR(IF([1]对账明细接口!$D$565=0,"",[1]对账明细接口!$D$565),"")</f>
        <v/>
      </c>
      <c r="E565" s="59" t="str">
        <f aca="false">IFERROR(IF([1]对账明细接口!$E$565=0,"",[1]对账明细接口!$E$565),"")</f>
        <v/>
      </c>
      <c r="F565" s="59" t="str">
        <f aca="false">IFERROR(IF([1]对账明细接口!$F$565=0,"",[1]对账明细接口!$F$565),"")</f>
        <v/>
      </c>
      <c r="G565" s="59" t="str">
        <f aca="false">IFERROR(IF([1]对账明细接口!$G$565=0,"",[1]对账明细接口!$G$565),"")</f>
        <v/>
      </c>
      <c r="H565" s="60" t="str">
        <f aca="false">IFERROR(IF([1]对账明细接口!$H$565=0,"",[1]对账明细接口!$H$565),"")</f>
        <v/>
      </c>
      <c r="I565" s="59" t="str">
        <f aca="false">IFERROR(IF([1]对账明细接口!$I$565=0,"",[1]对账明细接口!$I$565),"")</f>
        <v/>
      </c>
      <c r="J565" s="61" t="str">
        <f aca="false">IFERROR(IF([1]对账明细接口!$J$565=0,"",[1]对账明细接口!$J$565),"")</f>
        <v/>
      </c>
      <c r="K565" s="61" t="str">
        <f aca="false">IFERROR(IF([1]对账明细接口!$K$565=0,"",[1]对账明细接口!$K$565),"")</f>
        <v/>
      </c>
      <c r="L565" s="59" t="str">
        <f aca="false">IFERROR(IF([1]对账明细接口!$L$565=0,"",[1]对账明细接口!$L$565),"")</f>
        <v/>
      </c>
      <c r="M565" s="59" t="str">
        <f aca="false">IFERROR(IF([1]对账明细接口!$M$565=0,"",[1]对账明细接口!$M$565),"")</f>
        <v/>
      </c>
      <c r="N565" s="111" t="n">
        <f aca="false">IF($C565="",0,1)</f>
        <v>0</v>
      </c>
      <c r="O565" s="111" t="n">
        <f aca="false">N(O564)+$N565</f>
        <v>110</v>
      </c>
      <c r="S565" s="10" t="str">
        <f aca="false">IFERROR(IF([1]对账明细接口!$N565=0,"",[1]对账明细接口!$N565),"")</f>
        <v/>
      </c>
      <c r="T565" s="112" t="str">
        <f aca="false">IFERROR(IF([1]对账明细接口!$O565=0,"",[1]对账明细接口!$O565),"")</f>
        <v/>
      </c>
      <c r="U565" s="112" t="str">
        <f aca="false">IFERROR(IF([1]对账明细接口!$P565=0,"",[1]对账明细接口!$P565),"")</f>
        <v/>
      </c>
      <c r="V565" s="112" t="str">
        <f aca="false">IFERROR(IF([1]对账明细接口!$Q565=0,"",[1]对账明细接口!$Q565),"")</f>
        <v/>
      </c>
      <c r="W565" s="10" t="str">
        <f aca="false">IFERROR(IF([1]对账明细接口!$R565=0,"",[1]对账明细接口!$R565),"")</f>
        <v/>
      </c>
      <c r="X565" s="10" t="str">
        <f aca="false">IFERROR(IF([1]对账明细接口!$S565=0,"",[1]对账明细接口!$S565),"")</f>
        <v/>
      </c>
      <c r="Y565" s="10" t="str">
        <f aca="false">""</f>
        <v/>
      </c>
      <c r="Z565" s="10" t="str">
        <f aca="false">""</f>
        <v/>
      </c>
      <c r="AA565" s="10" t="str">
        <f aca="false">""</f>
        <v/>
      </c>
      <c r="AB565" s="10" t="str">
        <f aca="false">""</f>
        <v/>
      </c>
    </row>
    <row r="566" customFormat="false" ht="13.5" hidden="false" customHeight="false" outlineLevel="0" collapsed="false">
      <c r="A566" s="109" t="n">
        <v>566</v>
      </c>
      <c r="B566" s="110" t="str">
        <f aca="false">IFERROR(IF([1]对账明细接口!$B$566=0,"",[1]对账明细接口!$B$566),"")</f>
        <v/>
      </c>
      <c r="C566" s="59" t="str">
        <f aca="false">IFERROR(IF([1]对账明细接口!$C$566=0,"",[1]对账明细接口!$C$566),"")</f>
        <v/>
      </c>
      <c r="D566" s="59" t="str">
        <f aca="false">IFERROR(IF([1]对账明细接口!$D$566=0,"",[1]对账明细接口!$D$566),"")</f>
        <v/>
      </c>
      <c r="E566" s="59" t="str">
        <f aca="false">IFERROR(IF([1]对账明细接口!$E$566=0,"",[1]对账明细接口!$E$566),"")</f>
        <v/>
      </c>
      <c r="F566" s="59" t="str">
        <f aca="false">IFERROR(IF([1]对账明细接口!$F$566=0,"",[1]对账明细接口!$F$566),"")</f>
        <v/>
      </c>
      <c r="G566" s="59" t="str">
        <f aca="false">IFERROR(IF([1]对账明细接口!$G$566=0,"",[1]对账明细接口!$G$566),"")</f>
        <v/>
      </c>
      <c r="H566" s="60" t="str">
        <f aca="false">IFERROR(IF([1]对账明细接口!$H$566=0,"",[1]对账明细接口!$H$566),"")</f>
        <v/>
      </c>
      <c r="I566" s="59" t="str">
        <f aca="false">IFERROR(IF([1]对账明细接口!$I$566=0,"",[1]对账明细接口!$I$566),"")</f>
        <v/>
      </c>
      <c r="J566" s="61" t="str">
        <f aca="false">IFERROR(IF([1]对账明细接口!$J$566=0,"",[1]对账明细接口!$J$566),"")</f>
        <v/>
      </c>
      <c r="K566" s="61" t="str">
        <f aca="false">IFERROR(IF([1]对账明细接口!$K$566=0,"",[1]对账明细接口!$K$566),"")</f>
        <v/>
      </c>
      <c r="L566" s="59" t="str">
        <f aca="false">IFERROR(IF([1]对账明细接口!$L$566=0,"",[1]对账明细接口!$L$566),"")</f>
        <v/>
      </c>
      <c r="M566" s="59" t="str">
        <f aca="false">IFERROR(IF([1]对账明细接口!$M$566=0,"",[1]对账明细接口!$M$566),"")</f>
        <v/>
      </c>
      <c r="N566" s="111" t="n">
        <f aca="false">IF($C566="",0,1)</f>
        <v>0</v>
      </c>
      <c r="O566" s="111" t="n">
        <f aca="false">N(O565)+$N566</f>
        <v>110</v>
      </c>
      <c r="S566" s="10" t="str">
        <f aca="false">IFERROR(IF([1]对账明细接口!$N566=0,"",[1]对账明细接口!$N566),"")</f>
        <v/>
      </c>
      <c r="T566" s="112" t="str">
        <f aca="false">IFERROR(IF([1]对账明细接口!$O566=0,"",[1]对账明细接口!$O566),"")</f>
        <v/>
      </c>
      <c r="U566" s="112" t="str">
        <f aca="false">IFERROR(IF([1]对账明细接口!$P566=0,"",[1]对账明细接口!$P566),"")</f>
        <v/>
      </c>
      <c r="V566" s="112" t="str">
        <f aca="false">IFERROR(IF([1]对账明细接口!$Q566=0,"",[1]对账明细接口!$Q566),"")</f>
        <v/>
      </c>
      <c r="W566" s="10" t="str">
        <f aca="false">IFERROR(IF([1]对账明细接口!$R566=0,"",[1]对账明细接口!$R566),"")</f>
        <v/>
      </c>
      <c r="X566" s="10" t="str">
        <f aca="false">IFERROR(IF([1]对账明细接口!$S566=0,"",[1]对账明细接口!$S566),"")</f>
        <v/>
      </c>
      <c r="Y566" s="10" t="str">
        <f aca="false">""</f>
        <v/>
      </c>
      <c r="Z566" s="10" t="str">
        <f aca="false">""</f>
        <v/>
      </c>
      <c r="AA566" s="10" t="str">
        <f aca="false">""</f>
        <v/>
      </c>
      <c r="AB566" s="10" t="str">
        <f aca="false">""</f>
        <v/>
      </c>
    </row>
    <row r="567" customFormat="false" ht="13.5" hidden="false" customHeight="false" outlineLevel="0" collapsed="false">
      <c r="A567" s="109" t="n">
        <v>567</v>
      </c>
      <c r="B567" s="110" t="str">
        <f aca="false">IFERROR(IF([1]对账明细接口!$B$567=0,"",[1]对账明细接口!$B$567),"")</f>
        <v/>
      </c>
      <c r="C567" s="59" t="str">
        <f aca="false">IFERROR(IF([1]对账明细接口!$C$567=0,"",[1]对账明细接口!$C$567),"")</f>
        <v/>
      </c>
      <c r="D567" s="59" t="str">
        <f aca="false">IFERROR(IF([1]对账明细接口!$D$567=0,"",[1]对账明细接口!$D$567),"")</f>
        <v/>
      </c>
      <c r="E567" s="59" t="str">
        <f aca="false">IFERROR(IF([1]对账明细接口!$E$567=0,"",[1]对账明细接口!$E$567),"")</f>
        <v/>
      </c>
      <c r="F567" s="59" t="str">
        <f aca="false">IFERROR(IF([1]对账明细接口!$F$567=0,"",[1]对账明细接口!$F$567),"")</f>
        <v/>
      </c>
      <c r="G567" s="59" t="str">
        <f aca="false">IFERROR(IF([1]对账明细接口!$G$567=0,"",[1]对账明细接口!$G$567),"")</f>
        <v/>
      </c>
      <c r="H567" s="60" t="str">
        <f aca="false">IFERROR(IF([1]对账明细接口!$H$567=0,"",[1]对账明细接口!$H$567),"")</f>
        <v/>
      </c>
      <c r="I567" s="59" t="str">
        <f aca="false">IFERROR(IF([1]对账明细接口!$I$567=0,"",[1]对账明细接口!$I$567),"")</f>
        <v/>
      </c>
      <c r="J567" s="61" t="str">
        <f aca="false">IFERROR(IF([1]对账明细接口!$J$567=0,"",[1]对账明细接口!$J$567),"")</f>
        <v/>
      </c>
      <c r="K567" s="61" t="str">
        <f aca="false">IFERROR(IF([1]对账明细接口!$K$567=0,"",[1]对账明细接口!$K$567),"")</f>
        <v/>
      </c>
      <c r="L567" s="59" t="str">
        <f aca="false">IFERROR(IF([1]对账明细接口!$L$567=0,"",[1]对账明细接口!$L$567),"")</f>
        <v/>
      </c>
      <c r="M567" s="59" t="str">
        <f aca="false">IFERROR(IF([1]对账明细接口!$M$567=0,"",[1]对账明细接口!$M$567),"")</f>
        <v/>
      </c>
      <c r="N567" s="111" t="n">
        <f aca="false">IF($C567="",0,1)</f>
        <v>0</v>
      </c>
      <c r="O567" s="111" t="n">
        <f aca="false">N(O566)+$N567</f>
        <v>110</v>
      </c>
      <c r="S567" s="10" t="str">
        <f aca="false">IFERROR(IF([1]对账明细接口!$N567=0,"",[1]对账明细接口!$N567),"")</f>
        <v/>
      </c>
      <c r="T567" s="112" t="str">
        <f aca="false">IFERROR(IF([1]对账明细接口!$O567=0,"",[1]对账明细接口!$O567),"")</f>
        <v/>
      </c>
      <c r="U567" s="112" t="str">
        <f aca="false">IFERROR(IF([1]对账明细接口!$P567=0,"",[1]对账明细接口!$P567),"")</f>
        <v/>
      </c>
      <c r="V567" s="112" t="str">
        <f aca="false">IFERROR(IF([1]对账明细接口!$Q567=0,"",[1]对账明细接口!$Q567),"")</f>
        <v/>
      </c>
      <c r="W567" s="10" t="str">
        <f aca="false">IFERROR(IF([1]对账明细接口!$R567=0,"",[1]对账明细接口!$R567),"")</f>
        <v/>
      </c>
      <c r="X567" s="10" t="str">
        <f aca="false">IFERROR(IF([1]对账明细接口!$S567=0,"",[1]对账明细接口!$S567),"")</f>
        <v/>
      </c>
      <c r="Y567" s="10" t="str">
        <f aca="false">""</f>
        <v/>
      </c>
      <c r="Z567" s="10" t="str">
        <f aca="false">""</f>
        <v/>
      </c>
      <c r="AA567" s="10" t="str">
        <f aca="false">""</f>
        <v/>
      </c>
      <c r="AB567" s="10" t="str">
        <f aca="false">""</f>
        <v/>
      </c>
    </row>
    <row r="568" customFormat="false" ht="13.5" hidden="false" customHeight="false" outlineLevel="0" collapsed="false">
      <c r="A568" s="109" t="n">
        <v>568</v>
      </c>
      <c r="B568" s="110" t="str">
        <f aca="false">IFERROR(IF([1]对账明细接口!$B$568=0,"",[1]对账明细接口!$B$568),"")</f>
        <v/>
      </c>
      <c r="C568" s="59" t="str">
        <f aca="false">IFERROR(IF([1]对账明细接口!$C$568=0,"",[1]对账明细接口!$C$568),"")</f>
        <v/>
      </c>
      <c r="D568" s="59" t="str">
        <f aca="false">IFERROR(IF([1]对账明细接口!$D$568=0,"",[1]对账明细接口!$D$568),"")</f>
        <v/>
      </c>
      <c r="E568" s="59" t="str">
        <f aca="false">IFERROR(IF([1]对账明细接口!$E$568=0,"",[1]对账明细接口!$E$568),"")</f>
        <v/>
      </c>
      <c r="F568" s="59" t="str">
        <f aca="false">IFERROR(IF([1]对账明细接口!$F$568=0,"",[1]对账明细接口!$F$568),"")</f>
        <v/>
      </c>
      <c r="G568" s="59" t="str">
        <f aca="false">IFERROR(IF([1]对账明细接口!$G$568=0,"",[1]对账明细接口!$G$568),"")</f>
        <v/>
      </c>
      <c r="H568" s="60" t="str">
        <f aca="false">IFERROR(IF([1]对账明细接口!$H$568=0,"",[1]对账明细接口!$H$568),"")</f>
        <v/>
      </c>
      <c r="I568" s="59" t="str">
        <f aca="false">IFERROR(IF([1]对账明细接口!$I$568=0,"",[1]对账明细接口!$I$568),"")</f>
        <v/>
      </c>
      <c r="J568" s="61" t="str">
        <f aca="false">IFERROR(IF([1]对账明细接口!$J$568=0,"",[1]对账明细接口!$J$568),"")</f>
        <v/>
      </c>
      <c r="K568" s="61" t="str">
        <f aca="false">IFERROR(IF([1]对账明细接口!$K$568=0,"",[1]对账明细接口!$K$568),"")</f>
        <v/>
      </c>
      <c r="L568" s="59" t="str">
        <f aca="false">IFERROR(IF([1]对账明细接口!$L$568=0,"",[1]对账明细接口!$L$568),"")</f>
        <v/>
      </c>
      <c r="M568" s="59" t="str">
        <f aca="false">IFERROR(IF([1]对账明细接口!$M$568=0,"",[1]对账明细接口!$M$568),"")</f>
        <v/>
      </c>
      <c r="N568" s="111" t="n">
        <f aca="false">IF($C568="",0,1)</f>
        <v>0</v>
      </c>
      <c r="O568" s="111" t="n">
        <f aca="false">N(O567)+$N568</f>
        <v>110</v>
      </c>
      <c r="S568" s="10" t="str">
        <f aca="false">IFERROR(IF([1]对账明细接口!$N568=0,"",[1]对账明细接口!$N568),"")</f>
        <v/>
      </c>
      <c r="T568" s="112" t="str">
        <f aca="false">IFERROR(IF([1]对账明细接口!$O568=0,"",[1]对账明细接口!$O568),"")</f>
        <v/>
      </c>
      <c r="U568" s="112" t="str">
        <f aca="false">IFERROR(IF([1]对账明细接口!$P568=0,"",[1]对账明细接口!$P568),"")</f>
        <v/>
      </c>
      <c r="V568" s="112" t="str">
        <f aca="false">IFERROR(IF([1]对账明细接口!$Q568=0,"",[1]对账明细接口!$Q568),"")</f>
        <v/>
      </c>
      <c r="W568" s="10" t="str">
        <f aca="false">IFERROR(IF([1]对账明细接口!$R568=0,"",[1]对账明细接口!$R568),"")</f>
        <v/>
      </c>
      <c r="X568" s="10" t="str">
        <f aca="false">IFERROR(IF([1]对账明细接口!$S568=0,"",[1]对账明细接口!$S568),"")</f>
        <v/>
      </c>
      <c r="Y568" s="10" t="str">
        <f aca="false">""</f>
        <v/>
      </c>
      <c r="Z568" s="10" t="str">
        <f aca="false">""</f>
        <v/>
      </c>
      <c r="AA568" s="10" t="str">
        <f aca="false">""</f>
        <v/>
      </c>
      <c r="AB568" s="10" t="str">
        <f aca="false">""</f>
        <v/>
      </c>
    </row>
    <row r="569" customFormat="false" ht="13.5" hidden="false" customHeight="false" outlineLevel="0" collapsed="false">
      <c r="A569" s="109" t="n">
        <v>569</v>
      </c>
      <c r="B569" s="110" t="str">
        <f aca="false">IFERROR(IF([1]对账明细接口!$B$569=0,"",[1]对账明细接口!$B$569),"")</f>
        <v/>
      </c>
      <c r="C569" s="59" t="str">
        <f aca="false">IFERROR(IF([1]对账明细接口!$C$569=0,"",[1]对账明细接口!$C$569),"")</f>
        <v/>
      </c>
      <c r="D569" s="59" t="str">
        <f aca="false">IFERROR(IF([1]对账明细接口!$D$569=0,"",[1]对账明细接口!$D$569),"")</f>
        <v/>
      </c>
      <c r="E569" s="59" t="str">
        <f aca="false">IFERROR(IF([1]对账明细接口!$E$569=0,"",[1]对账明细接口!$E$569),"")</f>
        <v/>
      </c>
      <c r="F569" s="59" t="str">
        <f aca="false">IFERROR(IF([1]对账明细接口!$F$569=0,"",[1]对账明细接口!$F$569),"")</f>
        <v/>
      </c>
      <c r="G569" s="59" t="str">
        <f aca="false">IFERROR(IF([1]对账明细接口!$G$569=0,"",[1]对账明细接口!$G$569),"")</f>
        <v/>
      </c>
      <c r="H569" s="60" t="str">
        <f aca="false">IFERROR(IF([1]对账明细接口!$H$569=0,"",[1]对账明细接口!$H$569),"")</f>
        <v/>
      </c>
      <c r="I569" s="59" t="str">
        <f aca="false">IFERROR(IF([1]对账明细接口!$I$569=0,"",[1]对账明细接口!$I$569),"")</f>
        <v/>
      </c>
      <c r="J569" s="61" t="str">
        <f aca="false">IFERROR(IF([1]对账明细接口!$J$569=0,"",[1]对账明细接口!$J$569),"")</f>
        <v/>
      </c>
      <c r="K569" s="61" t="str">
        <f aca="false">IFERROR(IF([1]对账明细接口!$K$569=0,"",[1]对账明细接口!$K$569),"")</f>
        <v/>
      </c>
      <c r="L569" s="59" t="str">
        <f aca="false">IFERROR(IF([1]对账明细接口!$L$569=0,"",[1]对账明细接口!$L$569),"")</f>
        <v/>
      </c>
      <c r="M569" s="59" t="str">
        <f aca="false">IFERROR(IF([1]对账明细接口!$M$569=0,"",[1]对账明细接口!$M$569),"")</f>
        <v/>
      </c>
      <c r="N569" s="111" t="n">
        <f aca="false">IF($C569="",0,1)</f>
        <v>0</v>
      </c>
      <c r="O569" s="111" t="n">
        <f aca="false">N(O568)+$N569</f>
        <v>110</v>
      </c>
      <c r="S569" s="10" t="str">
        <f aca="false">IFERROR(IF([1]对账明细接口!$N569=0,"",[1]对账明细接口!$N569),"")</f>
        <v/>
      </c>
      <c r="T569" s="112" t="str">
        <f aca="false">IFERROR(IF([1]对账明细接口!$O569=0,"",[1]对账明细接口!$O569),"")</f>
        <v/>
      </c>
      <c r="U569" s="112" t="str">
        <f aca="false">IFERROR(IF([1]对账明细接口!$P569=0,"",[1]对账明细接口!$P569),"")</f>
        <v/>
      </c>
      <c r="V569" s="112" t="str">
        <f aca="false">IFERROR(IF([1]对账明细接口!$Q569=0,"",[1]对账明细接口!$Q569),"")</f>
        <v/>
      </c>
      <c r="W569" s="10" t="str">
        <f aca="false">IFERROR(IF([1]对账明细接口!$R569=0,"",[1]对账明细接口!$R569),"")</f>
        <v/>
      </c>
      <c r="X569" s="10" t="str">
        <f aca="false">IFERROR(IF([1]对账明细接口!$S569=0,"",[1]对账明细接口!$S569),"")</f>
        <v/>
      </c>
      <c r="Y569" s="10" t="str">
        <f aca="false">""</f>
        <v/>
      </c>
      <c r="Z569" s="10" t="str">
        <f aca="false">""</f>
        <v/>
      </c>
      <c r="AA569" s="10" t="str">
        <f aca="false">""</f>
        <v/>
      </c>
      <c r="AB569" s="10" t="str">
        <f aca="false">""</f>
        <v/>
      </c>
    </row>
    <row r="570" customFormat="false" ht="13.5" hidden="false" customHeight="false" outlineLevel="0" collapsed="false">
      <c r="A570" s="109" t="n">
        <v>570</v>
      </c>
      <c r="B570" s="110" t="str">
        <f aca="false">IFERROR(IF([1]对账明细接口!$B$570=0,"",[1]对账明细接口!$B$570),"")</f>
        <v/>
      </c>
      <c r="C570" s="59" t="str">
        <f aca="false">IFERROR(IF([1]对账明细接口!$C$570=0,"",[1]对账明细接口!$C$570),"")</f>
        <v/>
      </c>
      <c r="D570" s="59" t="str">
        <f aca="false">IFERROR(IF([1]对账明细接口!$D$570=0,"",[1]对账明细接口!$D$570),"")</f>
        <v/>
      </c>
      <c r="E570" s="59" t="str">
        <f aca="false">IFERROR(IF([1]对账明细接口!$E$570=0,"",[1]对账明细接口!$E$570),"")</f>
        <v/>
      </c>
      <c r="F570" s="59" t="str">
        <f aca="false">IFERROR(IF([1]对账明细接口!$F$570=0,"",[1]对账明细接口!$F$570),"")</f>
        <v/>
      </c>
      <c r="G570" s="59" t="str">
        <f aca="false">IFERROR(IF([1]对账明细接口!$G$570=0,"",[1]对账明细接口!$G$570),"")</f>
        <v/>
      </c>
      <c r="H570" s="60" t="str">
        <f aca="false">IFERROR(IF([1]对账明细接口!$H$570=0,"",[1]对账明细接口!$H$570),"")</f>
        <v/>
      </c>
      <c r="I570" s="59" t="str">
        <f aca="false">IFERROR(IF([1]对账明细接口!$I$570=0,"",[1]对账明细接口!$I$570),"")</f>
        <v/>
      </c>
      <c r="J570" s="61" t="str">
        <f aca="false">IFERROR(IF([1]对账明细接口!$J$570=0,"",[1]对账明细接口!$J$570),"")</f>
        <v/>
      </c>
      <c r="K570" s="61" t="str">
        <f aca="false">IFERROR(IF([1]对账明细接口!$K$570=0,"",[1]对账明细接口!$K$570),"")</f>
        <v/>
      </c>
      <c r="L570" s="59" t="str">
        <f aca="false">IFERROR(IF([1]对账明细接口!$L$570=0,"",[1]对账明细接口!$L$570),"")</f>
        <v/>
      </c>
      <c r="M570" s="59" t="str">
        <f aca="false">IFERROR(IF([1]对账明细接口!$M$570=0,"",[1]对账明细接口!$M$570),"")</f>
        <v/>
      </c>
      <c r="N570" s="111" t="n">
        <f aca="false">IF($C570="",0,1)</f>
        <v>0</v>
      </c>
      <c r="O570" s="111" t="n">
        <f aca="false">N(O569)+$N570</f>
        <v>110</v>
      </c>
      <c r="S570" s="10" t="str">
        <f aca="false">IFERROR(IF([1]对账明细接口!$N570=0,"",[1]对账明细接口!$N570),"")</f>
        <v/>
      </c>
      <c r="T570" s="112" t="str">
        <f aca="false">IFERROR(IF([1]对账明细接口!$O570=0,"",[1]对账明细接口!$O570),"")</f>
        <v/>
      </c>
      <c r="U570" s="112" t="str">
        <f aca="false">IFERROR(IF([1]对账明细接口!$P570=0,"",[1]对账明细接口!$P570),"")</f>
        <v/>
      </c>
      <c r="V570" s="112" t="str">
        <f aca="false">IFERROR(IF([1]对账明细接口!$Q570=0,"",[1]对账明细接口!$Q570),"")</f>
        <v/>
      </c>
      <c r="W570" s="10" t="str">
        <f aca="false">IFERROR(IF([1]对账明细接口!$R570=0,"",[1]对账明细接口!$R570),"")</f>
        <v/>
      </c>
      <c r="X570" s="10" t="str">
        <f aca="false">IFERROR(IF([1]对账明细接口!$S570=0,"",[1]对账明细接口!$S570),"")</f>
        <v/>
      </c>
      <c r="Y570" s="10" t="str">
        <f aca="false">""</f>
        <v/>
      </c>
      <c r="Z570" s="10" t="str">
        <f aca="false">""</f>
        <v/>
      </c>
      <c r="AA570" s="10" t="str">
        <f aca="false">""</f>
        <v/>
      </c>
      <c r="AB570" s="10" t="str">
        <f aca="false">""</f>
        <v/>
      </c>
    </row>
    <row r="571" customFormat="false" ht="13.5" hidden="false" customHeight="false" outlineLevel="0" collapsed="false">
      <c r="A571" s="109" t="n">
        <v>571</v>
      </c>
      <c r="B571" s="110" t="str">
        <f aca="false">IFERROR(IF([1]对账明细接口!$B$571=0,"",[1]对账明细接口!$B$571),"")</f>
        <v/>
      </c>
      <c r="C571" s="59" t="str">
        <f aca="false">IFERROR(IF([1]对账明细接口!$C$571=0,"",[1]对账明细接口!$C$571),"")</f>
        <v/>
      </c>
      <c r="D571" s="59" t="str">
        <f aca="false">IFERROR(IF([1]对账明细接口!$D$571=0,"",[1]对账明细接口!$D$571),"")</f>
        <v/>
      </c>
      <c r="E571" s="59" t="str">
        <f aca="false">IFERROR(IF([1]对账明细接口!$E$571=0,"",[1]对账明细接口!$E$571),"")</f>
        <v/>
      </c>
      <c r="F571" s="59" t="str">
        <f aca="false">IFERROR(IF([1]对账明细接口!$F$571=0,"",[1]对账明细接口!$F$571),"")</f>
        <v/>
      </c>
      <c r="G571" s="59" t="str">
        <f aca="false">IFERROR(IF([1]对账明细接口!$G$571=0,"",[1]对账明细接口!$G$571),"")</f>
        <v/>
      </c>
      <c r="H571" s="60" t="str">
        <f aca="false">IFERROR(IF([1]对账明细接口!$H$571=0,"",[1]对账明细接口!$H$571),"")</f>
        <v/>
      </c>
      <c r="I571" s="59" t="str">
        <f aca="false">IFERROR(IF([1]对账明细接口!$I$571=0,"",[1]对账明细接口!$I$571),"")</f>
        <v/>
      </c>
      <c r="J571" s="61" t="str">
        <f aca="false">IFERROR(IF([1]对账明细接口!$J$571=0,"",[1]对账明细接口!$J$571),"")</f>
        <v/>
      </c>
      <c r="K571" s="61" t="str">
        <f aca="false">IFERROR(IF([1]对账明细接口!$K$571=0,"",[1]对账明细接口!$K$571),"")</f>
        <v/>
      </c>
      <c r="L571" s="59" t="str">
        <f aca="false">IFERROR(IF([1]对账明细接口!$L$571=0,"",[1]对账明细接口!$L$571),"")</f>
        <v/>
      </c>
      <c r="M571" s="59" t="str">
        <f aca="false">IFERROR(IF([1]对账明细接口!$M$571=0,"",[1]对账明细接口!$M$571),"")</f>
        <v/>
      </c>
      <c r="N571" s="111" t="n">
        <f aca="false">IF($C571="",0,1)</f>
        <v>0</v>
      </c>
      <c r="O571" s="111" t="n">
        <f aca="false">N(O570)+$N571</f>
        <v>110</v>
      </c>
      <c r="S571" s="10" t="str">
        <f aca="false">IFERROR(IF([1]对账明细接口!$N571=0,"",[1]对账明细接口!$N571),"")</f>
        <v/>
      </c>
      <c r="T571" s="112" t="str">
        <f aca="false">IFERROR(IF([1]对账明细接口!$O571=0,"",[1]对账明细接口!$O571),"")</f>
        <v/>
      </c>
      <c r="U571" s="112" t="str">
        <f aca="false">IFERROR(IF([1]对账明细接口!$P571=0,"",[1]对账明细接口!$P571),"")</f>
        <v/>
      </c>
      <c r="V571" s="112" t="str">
        <f aca="false">IFERROR(IF([1]对账明细接口!$Q571=0,"",[1]对账明细接口!$Q571),"")</f>
        <v/>
      </c>
      <c r="W571" s="10" t="str">
        <f aca="false">IFERROR(IF([1]对账明细接口!$R571=0,"",[1]对账明细接口!$R571),"")</f>
        <v/>
      </c>
      <c r="X571" s="10" t="str">
        <f aca="false">IFERROR(IF([1]对账明细接口!$S571=0,"",[1]对账明细接口!$S571),"")</f>
        <v/>
      </c>
      <c r="Y571" s="10" t="str">
        <f aca="false">""</f>
        <v/>
      </c>
      <c r="Z571" s="10" t="str">
        <f aca="false">""</f>
        <v/>
      </c>
      <c r="AA571" s="10" t="str">
        <f aca="false">""</f>
        <v/>
      </c>
      <c r="AB571" s="10" t="str">
        <f aca="false">""</f>
        <v/>
      </c>
    </row>
    <row r="572" customFormat="false" ht="13.5" hidden="false" customHeight="false" outlineLevel="0" collapsed="false">
      <c r="A572" s="109" t="n">
        <v>572</v>
      </c>
      <c r="B572" s="110" t="str">
        <f aca="false">IFERROR(IF([1]对账明细接口!$B$572=0,"",[1]对账明细接口!$B$572),"")</f>
        <v/>
      </c>
      <c r="C572" s="59" t="str">
        <f aca="false">IFERROR(IF([1]对账明细接口!$C$572=0,"",[1]对账明细接口!$C$572),"")</f>
        <v/>
      </c>
      <c r="D572" s="59" t="str">
        <f aca="false">IFERROR(IF([1]对账明细接口!$D$572=0,"",[1]对账明细接口!$D$572),"")</f>
        <v/>
      </c>
      <c r="E572" s="59" t="str">
        <f aca="false">IFERROR(IF([1]对账明细接口!$E$572=0,"",[1]对账明细接口!$E$572),"")</f>
        <v/>
      </c>
      <c r="F572" s="59" t="str">
        <f aca="false">IFERROR(IF([1]对账明细接口!$F$572=0,"",[1]对账明细接口!$F$572),"")</f>
        <v/>
      </c>
      <c r="G572" s="59" t="str">
        <f aca="false">IFERROR(IF([1]对账明细接口!$G$572=0,"",[1]对账明细接口!$G$572),"")</f>
        <v/>
      </c>
      <c r="H572" s="60" t="str">
        <f aca="false">IFERROR(IF([1]对账明细接口!$H$572=0,"",[1]对账明细接口!$H$572),"")</f>
        <v/>
      </c>
      <c r="I572" s="59" t="str">
        <f aca="false">IFERROR(IF([1]对账明细接口!$I$572=0,"",[1]对账明细接口!$I$572),"")</f>
        <v/>
      </c>
      <c r="J572" s="61" t="str">
        <f aca="false">IFERROR(IF([1]对账明细接口!$J$572=0,"",[1]对账明细接口!$J$572),"")</f>
        <v/>
      </c>
      <c r="K572" s="61" t="str">
        <f aca="false">IFERROR(IF([1]对账明细接口!$K$572=0,"",[1]对账明细接口!$K$572),"")</f>
        <v/>
      </c>
      <c r="L572" s="59" t="str">
        <f aca="false">IFERROR(IF([1]对账明细接口!$L$572=0,"",[1]对账明细接口!$L$572),"")</f>
        <v/>
      </c>
      <c r="M572" s="59" t="str">
        <f aca="false">IFERROR(IF([1]对账明细接口!$M$572=0,"",[1]对账明细接口!$M$572),"")</f>
        <v/>
      </c>
      <c r="N572" s="111" t="n">
        <f aca="false">IF($C572="",0,1)</f>
        <v>0</v>
      </c>
      <c r="O572" s="111" t="n">
        <f aca="false">N(O571)+$N572</f>
        <v>110</v>
      </c>
      <c r="S572" s="10" t="str">
        <f aca="false">IFERROR(IF([1]对账明细接口!$N572=0,"",[1]对账明细接口!$N572),"")</f>
        <v/>
      </c>
      <c r="T572" s="112" t="str">
        <f aca="false">IFERROR(IF([1]对账明细接口!$O572=0,"",[1]对账明细接口!$O572),"")</f>
        <v/>
      </c>
      <c r="U572" s="112" t="str">
        <f aca="false">IFERROR(IF([1]对账明细接口!$P572=0,"",[1]对账明细接口!$P572),"")</f>
        <v/>
      </c>
      <c r="V572" s="112" t="str">
        <f aca="false">IFERROR(IF([1]对账明细接口!$Q572=0,"",[1]对账明细接口!$Q572),"")</f>
        <v/>
      </c>
      <c r="W572" s="10" t="str">
        <f aca="false">IFERROR(IF([1]对账明细接口!$R572=0,"",[1]对账明细接口!$R572),"")</f>
        <v/>
      </c>
      <c r="X572" s="10" t="str">
        <f aca="false">IFERROR(IF([1]对账明细接口!$S572=0,"",[1]对账明细接口!$S572),"")</f>
        <v/>
      </c>
      <c r="Y572" s="10" t="str">
        <f aca="false">""</f>
        <v/>
      </c>
      <c r="Z572" s="10" t="str">
        <f aca="false">""</f>
        <v/>
      </c>
      <c r="AA572" s="10" t="str">
        <f aca="false">""</f>
        <v/>
      </c>
      <c r="AB572" s="10" t="str">
        <f aca="false">""</f>
        <v/>
      </c>
    </row>
    <row r="573" customFormat="false" ht="13.5" hidden="false" customHeight="false" outlineLevel="0" collapsed="false">
      <c r="A573" s="109" t="n">
        <v>573</v>
      </c>
      <c r="B573" s="110" t="str">
        <f aca="false">IFERROR(IF([1]对账明细接口!$B$573=0,"",[1]对账明细接口!$B$573),"")</f>
        <v/>
      </c>
      <c r="C573" s="59" t="str">
        <f aca="false">IFERROR(IF([1]对账明细接口!$C$573=0,"",[1]对账明细接口!$C$573),"")</f>
        <v/>
      </c>
      <c r="D573" s="59" t="str">
        <f aca="false">IFERROR(IF([1]对账明细接口!$D$573=0,"",[1]对账明细接口!$D$573),"")</f>
        <v/>
      </c>
      <c r="E573" s="59" t="str">
        <f aca="false">IFERROR(IF([1]对账明细接口!$E$573=0,"",[1]对账明细接口!$E$573),"")</f>
        <v/>
      </c>
      <c r="F573" s="59" t="str">
        <f aca="false">IFERROR(IF([1]对账明细接口!$F$573=0,"",[1]对账明细接口!$F$573),"")</f>
        <v/>
      </c>
      <c r="G573" s="59" t="str">
        <f aca="false">IFERROR(IF([1]对账明细接口!$G$573=0,"",[1]对账明细接口!$G$573),"")</f>
        <v/>
      </c>
      <c r="H573" s="60" t="str">
        <f aca="false">IFERROR(IF([1]对账明细接口!$H$573=0,"",[1]对账明细接口!$H$573),"")</f>
        <v/>
      </c>
      <c r="I573" s="59" t="str">
        <f aca="false">IFERROR(IF([1]对账明细接口!$I$573=0,"",[1]对账明细接口!$I$573),"")</f>
        <v/>
      </c>
      <c r="J573" s="61" t="str">
        <f aca="false">IFERROR(IF([1]对账明细接口!$J$573=0,"",[1]对账明细接口!$J$573),"")</f>
        <v/>
      </c>
      <c r="K573" s="61" t="str">
        <f aca="false">IFERROR(IF([1]对账明细接口!$K$573=0,"",[1]对账明细接口!$K$573),"")</f>
        <v/>
      </c>
      <c r="L573" s="59" t="str">
        <f aca="false">IFERROR(IF([1]对账明细接口!$L$573=0,"",[1]对账明细接口!$L$573),"")</f>
        <v/>
      </c>
      <c r="M573" s="59" t="str">
        <f aca="false">IFERROR(IF([1]对账明细接口!$M$573=0,"",[1]对账明细接口!$M$573),"")</f>
        <v/>
      </c>
      <c r="N573" s="111" t="n">
        <f aca="false">IF($C573="",0,1)</f>
        <v>0</v>
      </c>
      <c r="O573" s="111" t="n">
        <f aca="false">N(O572)+$N573</f>
        <v>110</v>
      </c>
      <c r="S573" s="10" t="str">
        <f aca="false">IFERROR(IF([1]对账明细接口!$N573=0,"",[1]对账明细接口!$N573),"")</f>
        <v/>
      </c>
      <c r="T573" s="112" t="str">
        <f aca="false">IFERROR(IF([1]对账明细接口!$O573=0,"",[1]对账明细接口!$O573),"")</f>
        <v/>
      </c>
      <c r="U573" s="112" t="str">
        <f aca="false">IFERROR(IF([1]对账明细接口!$P573=0,"",[1]对账明细接口!$P573),"")</f>
        <v/>
      </c>
      <c r="V573" s="112" t="str">
        <f aca="false">IFERROR(IF([1]对账明细接口!$Q573=0,"",[1]对账明细接口!$Q573),"")</f>
        <v/>
      </c>
      <c r="W573" s="10" t="str">
        <f aca="false">IFERROR(IF([1]对账明细接口!$R573=0,"",[1]对账明细接口!$R573),"")</f>
        <v/>
      </c>
      <c r="X573" s="10" t="str">
        <f aca="false">IFERROR(IF([1]对账明细接口!$S573=0,"",[1]对账明细接口!$S573),"")</f>
        <v/>
      </c>
      <c r="Y573" s="10" t="str">
        <f aca="false">""</f>
        <v/>
      </c>
      <c r="Z573" s="10" t="str">
        <f aca="false">""</f>
        <v/>
      </c>
      <c r="AA573" s="10" t="str">
        <f aca="false">""</f>
        <v/>
      </c>
      <c r="AB573" s="10" t="str">
        <f aca="false">""</f>
        <v/>
      </c>
    </row>
    <row r="574" customFormat="false" ht="13.5" hidden="false" customHeight="false" outlineLevel="0" collapsed="false">
      <c r="A574" s="109" t="n">
        <v>574</v>
      </c>
      <c r="B574" s="110" t="str">
        <f aca="false">IFERROR(IF([1]对账明细接口!$B$574=0,"",[1]对账明细接口!$B$574),"")</f>
        <v/>
      </c>
      <c r="C574" s="59" t="str">
        <f aca="false">IFERROR(IF([1]对账明细接口!$C$574=0,"",[1]对账明细接口!$C$574),"")</f>
        <v/>
      </c>
      <c r="D574" s="59" t="str">
        <f aca="false">IFERROR(IF([1]对账明细接口!$D$574=0,"",[1]对账明细接口!$D$574),"")</f>
        <v/>
      </c>
      <c r="E574" s="59" t="str">
        <f aca="false">IFERROR(IF([1]对账明细接口!$E$574=0,"",[1]对账明细接口!$E$574),"")</f>
        <v/>
      </c>
      <c r="F574" s="59" t="str">
        <f aca="false">IFERROR(IF([1]对账明细接口!$F$574=0,"",[1]对账明细接口!$F$574),"")</f>
        <v/>
      </c>
      <c r="G574" s="59" t="str">
        <f aca="false">IFERROR(IF([1]对账明细接口!$G$574=0,"",[1]对账明细接口!$G$574),"")</f>
        <v/>
      </c>
      <c r="H574" s="60" t="str">
        <f aca="false">IFERROR(IF([1]对账明细接口!$H$574=0,"",[1]对账明细接口!$H$574),"")</f>
        <v/>
      </c>
      <c r="I574" s="59" t="str">
        <f aca="false">IFERROR(IF([1]对账明细接口!$I$574=0,"",[1]对账明细接口!$I$574),"")</f>
        <v/>
      </c>
      <c r="J574" s="61" t="str">
        <f aca="false">IFERROR(IF([1]对账明细接口!$J$574=0,"",[1]对账明细接口!$J$574),"")</f>
        <v/>
      </c>
      <c r="K574" s="61" t="str">
        <f aca="false">IFERROR(IF([1]对账明细接口!$K$574=0,"",[1]对账明细接口!$K$574),"")</f>
        <v/>
      </c>
      <c r="L574" s="59" t="str">
        <f aca="false">IFERROR(IF([1]对账明细接口!$L$574=0,"",[1]对账明细接口!$L$574),"")</f>
        <v/>
      </c>
      <c r="M574" s="59" t="str">
        <f aca="false">IFERROR(IF([1]对账明细接口!$M$574=0,"",[1]对账明细接口!$M$574),"")</f>
        <v/>
      </c>
      <c r="N574" s="111" t="n">
        <f aca="false">IF($C574="",0,1)</f>
        <v>0</v>
      </c>
      <c r="O574" s="111" t="n">
        <f aca="false">N(O573)+$N574</f>
        <v>110</v>
      </c>
      <c r="S574" s="10" t="str">
        <f aca="false">IFERROR(IF([1]对账明细接口!$N574=0,"",[1]对账明细接口!$N574),"")</f>
        <v/>
      </c>
      <c r="T574" s="112" t="str">
        <f aca="false">IFERROR(IF([1]对账明细接口!$O574=0,"",[1]对账明细接口!$O574),"")</f>
        <v/>
      </c>
      <c r="U574" s="112" t="str">
        <f aca="false">IFERROR(IF([1]对账明细接口!$P574=0,"",[1]对账明细接口!$P574),"")</f>
        <v/>
      </c>
      <c r="V574" s="112" t="str">
        <f aca="false">IFERROR(IF([1]对账明细接口!$Q574=0,"",[1]对账明细接口!$Q574),"")</f>
        <v/>
      </c>
      <c r="W574" s="10" t="str">
        <f aca="false">IFERROR(IF([1]对账明细接口!$R574=0,"",[1]对账明细接口!$R574),"")</f>
        <v/>
      </c>
      <c r="X574" s="10" t="str">
        <f aca="false">IFERROR(IF([1]对账明细接口!$S574=0,"",[1]对账明细接口!$S574),"")</f>
        <v/>
      </c>
      <c r="Y574" s="10" t="str">
        <f aca="false">""</f>
        <v/>
      </c>
      <c r="Z574" s="10" t="str">
        <f aca="false">""</f>
        <v/>
      </c>
      <c r="AA574" s="10" t="str">
        <f aca="false">""</f>
        <v/>
      </c>
      <c r="AB574" s="10" t="str">
        <f aca="false">""</f>
        <v/>
      </c>
    </row>
    <row r="575" customFormat="false" ht="13.5" hidden="false" customHeight="false" outlineLevel="0" collapsed="false">
      <c r="A575" s="109" t="n">
        <v>575</v>
      </c>
      <c r="B575" s="110" t="str">
        <f aca="false">IFERROR(IF([1]对账明细接口!$B$575=0,"",[1]对账明细接口!$B$575),"")</f>
        <v/>
      </c>
      <c r="C575" s="59" t="str">
        <f aca="false">IFERROR(IF([1]对账明细接口!$C$575=0,"",[1]对账明细接口!$C$575),"")</f>
        <v/>
      </c>
      <c r="D575" s="59" t="str">
        <f aca="false">IFERROR(IF([1]对账明细接口!$D$575=0,"",[1]对账明细接口!$D$575),"")</f>
        <v/>
      </c>
      <c r="E575" s="59" t="str">
        <f aca="false">IFERROR(IF([1]对账明细接口!$E$575=0,"",[1]对账明细接口!$E$575),"")</f>
        <v/>
      </c>
      <c r="F575" s="59" t="str">
        <f aca="false">IFERROR(IF([1]对账明细接口!$F$575=0,"",[1]对账明细接口!$F$575),"")</f>
        <v/>
      </c>
      <c r="G575" s="59" t="str">
        <f aca="false">IFERROR(IF([1]对账明细接口!$G$575=0,"",[1]对账明细接口!$G$575),"")</f>
        <v/>
      </c>
      <c r="H575" s="60" t="str">
        <f aca="false">IFERROR(IF([1]对账明细接口!$H$575=0,"",[1]对账明细接口!$H$575),"")</f>
        <v/>
      </c>
      <c r="I575" s="59" t="str">
        <f aca="false">IFERROR(IF([1]对账明细接口!$I$575=0,"",[1]对账明细接口!$I$575),"")</f>
        <v/>
      </c>
      <c r="J575" s="61" t="str">
        <f aca="false">IFERROR(IF([1]对账明细接口!$J$575=0,"",[1]对账明细接口!$J$575),"")</f>
        <v/>
      </c>
      <c r="K575" s="61" t="str">
        <f aca="false">IFERROR(IF([1]对账明细接口!$K$575=0,"",[1]对账明细接口!$K$575),"")</f>
        <v/>
      </c>
      <c r="L575" s="59" t="str">
        <f aca="false">IFERROR(IF([1]对账明细接口!$L$575=0,"",[1]对账明细接口!$L$575),"")</f>
        <v/>
      </c>
      <c r="M575" s="59" t="str">
        <f aca="false">IFERROR(IF([1]对账明细接口!$M$575=0,"",[1]对账明细接口!$M$575),"")</f>
        <v/>
      </c>
      <c r="N575" s="111" t="n">
        <f aca="false">IF($C575="",0,1)</f>
        <v>0</v>
      </c>
      <c r="O575" s="111" t="n">
        <f aca="false">N(O574)+$N575</f>
        <v>110</v>
      </c>
      <c r="S575" s="10" t="str">
        <f aca="false">IFERROR(IF([1]对账明细接口!$N575=0,"",[1]对账明细接口!$N575),"")</f>
        <v/>
      </c>
      <c r="T575" s="112" t="str">
        <f aca="false">IFERROR(IF([1]对账明细接口!$O575=0,"",[1]对账明细接口!$O575),"")</f>
        <v/>
      </c>
      <c r="U575" s="112" t="str">
        <f aca="false">IFERROR(IF([1]对账明细接口!$P575=0,"",[1]对账明细接口!$P575),"")</f>
        <v/>
      </c>
      <c r="V575" s="112" t="str">
        <f aca="false">IFERROR(IF([1]对账明细接口!$Q575=0,"",[1]对账明细接口!$Q575),"")</f>
        <v/>
      </c>
      <c r="W575" s="10" t="str">
        <f aca="false">IFERROR(IF([1]对账明细接口!$R575=0,"",[1]对账明细接口!$R575),"")</f>
        <v/>
      </c>
      <c r="X575" s="10" t="str">
        <f aca="false">IFERROR(IF([1]对账明细接口!$S575=0,"",[1]对账明细接口!$S575),"")</f>
        <v/>
      </c>
      <c r="Y575" s="10" t="str">
        <f aca="false">""</f>
        <v/>
      </c>
      <c r="Z575" s="10" t="str">
        <f aca="false">""</f>
        <v/>
      </c>
      <c r="AA575" s="10" t="str">
        <f aca="false">""</f>
        <v/>
      </c>
      <c r="AB575" s="10" t="str">
        <f aca="false">""</f>
        <v/>
      </c>
    </row>
    <row r="576" customFormat="false" ht="13.5" hidden="false" customHeight="false" outlineLevel="0" collapsed="false">
      <c r="A576" s="109" t="n">
        <v>576</v>
      </c>
      <c r="B576" s="110" t="str">
        <f aca="false">IFERROR(IF([1]对账明细接口!$B$576=0,"",[1]对账明细接口!$B$576),"")</f>
        <v/>
      </c>
      <c r="C576" s="59" t="str">
        <f aca="false">IFERROR(IF([1]对账明细接口!$C$576=0,"",[1]对账明细接口!$C$576),"")</f>
        <v/>
      </c>
      <c r="D576" s="59" t="str">
        <f aca="false">IFERROR(IF([1]对账明细接口!$D$576=0,"",[1]对账明细接口!$D$576),"")</f>
        <v/>
      </c>
      <c r="E576" s="59" t="str">
        <f aca="false">IFERROR(IF([1]对账明细接口!$E$576=0,"",[1]对账明细接口!$E$576),"")</f>
        <v/>
      </c>
      <c r="F576" s="59" t="str">
        <f aca="false">IFERROR(IF([1]对账明细接口!$F$576=0,"",[1]对账明细接口!$F$576),"")</f>
        <v/>
      </c>
      <c r="G576" s="59" t="str">
        <f aca="false">IFERROR(IF([1]对账明细接口!$G$576=0,"",[1]对账明细接口!$G$576),"")</f>
        <v/>
      </c>
      <c r="H576" s="60" t="str">
        <f aca="false">IFERROR(IF([1]对账明细接口!$H$576=0,"",[1]对账明细接口!$H$576),"")</f>
        <v/>
      </c>
      <c r="I576" s="59" t="str">
        <f aca="false">IFERROR(IF([1]对账明细接口!$I$576=0,"",[1]对账明细接口!$I$576),"")</f>
        <v/>
      </c>
      <c r="J576" s="61" t="str">
        <f aca="false">IFERROR(IF([1]对账明细接口!$J$576=0,"",[1]对账明细接口!$J$576),"")</f>
        <v/>
      </c>
      <c r="K576" s="61" t="str">
        <f aca="false">IFERROR(IF([1]对账明细接口!$K$576=0,"",[1]对账明细接口!$K$576),"")</f>
        <v/>
      </c>
      <c r="L576" s="59" t="str">
        <f aca="false">IFERROR(IF([1]对账明细接口!$L$576=0,"",[1]对账明细接口!$L$576),"")</f>
        <v/>
      </c>
      <c r="M576" s="59" t="str">
        <f aca="false">IFERROR(IF([1]对账明细接口!$M$576=0,"",[1]对账明细接口!$M$576),"")</f>
        <v/>
      </c>
      <c r="N576" s="111" t="n">
        <f aca="false">IF($C576="",0,1)</f>
        <v>0</v>
      </c>
      <c r="O576" s="111" t="n">
        <f aca="false">N(O575)+$N576</f>
        <v>110</v>
      </c>
      <c r="S576" s="10" t="str">
        <f aca="false">IFERROR(IF([1]对账明细接口!$N576=0,"",[1]对账明细接口!$N576),"")</f>
        <v/>
      </c>
      <c r="T576" s="112" t="str">
        <f aca="false">IFERROR(IF([1]对账明细接口!$O576=0,"",[1]对账明细接口!$O576),"")</f>
        <v/>
      </c>
      <c r="U576" s="112" t="str">
        <f aca="false">IFERROR(IF([1]对账明细接口!$P576=0,"",[1]对账明细接口!$P576),"")</f>
        <v/>
      </c>
      <c r="V576" s="112" t="str">
        <f aca="false">IFERROR(IF([1]对账明细接口!$Q576=0,"",[1]对账明细接口!$Q576),"")</f>
        <v/>
      </c>
      <c r="W576" s="10" t="str">
        <f aca="false">IFERROR(IF([1]对账明细接口!$R576=0,"",[1]对账明细接口!$R576),"")</f>
        <v/>
      </c>
      <c r="X576" s="10" t="str">
        <f aca="false">IFERROR(IF([1]对账明细接口!$S576=0,"",[1]对账明细接口!$S576),"")</f>
        <v/>
      </c>
      <c r="Y576" s="10" t="str">
        <f aca="false">""</f>
        <v/>
      </c>
      <c r="Z576" s="10" t="str">
        <f aca="false">""</f>
        <v/>
      </c>
      <c r="AA576" s="10" t="str">
        <f aca="false">""</f>
        <v/>
      </c>
      <c r="AB576" s="10" t="str">
        <f aca="false">""</f>
        <v/>
      </c>
    </row>
    <row r="577" customFormat="false" ht="13.5" hidden="false" customHeight="false" outlineLevel="0" collapsed="false">
      <c r="A577" s="109" t="n">
        <v>577</v>
      </c>
      <c r="B577" s="110" t="str">
        <f aca="false">IFERROR(IF([1]对账明细接口!$B$577=0,"",[1]对账明细接口!$B$577),"")</f>
        <v/>
      </c>
      <c r="C577" s="59" t="str">
        <f aca="false">IFERROR(IF([1]对账明细接口!$C$577=0,"",[1]对账明细接口!$C$577),"")</f>
        <v/>
      </c>
      <c r="D577" s="59" t="str">
        <f aca="false">IFERROR(IF([1]对账明细接口!$D$577=0,"",[1]对账明细接口!$D$577),"")</f>
        <v/>
      </c>
      <c r="E577" s="59" t="str">
        <f aca="false">IFERROR(IF([1]对账明细接口!$E$577=0,"",[1]对账明细接口!$E$577),"")</f>
        <v/>
      </c>
      <c r="F577" s="59" t="str">
        <f aca="false">IFERROR(IF([1]对账明细接口!$F$577=0,"",[1]对账明细接口!$F$577),"")</f>
        <v/>
      </c>
      <c r="G577" s="59" t="str">
        <f aca="false">IFERROR(IF([1]对账明细接口!$G$577=0,"",[1]对账明细接口!$G$577),"")</f>
        <v/>
      </c>
      <c r="H577" s="60" t="str">
        <f aca="false">IFERROR(IF([1]对账明细接口!$H$577=0,"",[1]对账明细接口!$H$577),"")</f>
        <v/>
      </c>
      <c r="I577" s="59" t="str">
        <f aca="false">IFERROR(IF([1]对账明细接口!$I$577=0,"",[1]对账明细接口!$I$577),"")</f>
        <v/>
      </c>
      <c r="J577" s="61" t="str">
        <f aca="false">IFERROR(IF([1]对账明细接口!$J$577=0,"",[1]对账明细接口!$J$577),"")</f>
        <v/>
      </c>
      <c r="K577" s="61" t="str">
        <f aca="false">IFERROR(IF([1]对账明细接口!$K$577=0,"",[1]对账明细接口!$K$577),"")</f>
        <v/>
      </c>
      <c r="L577" s="59" t="str">
        <f aca="false">IFERROR(IF([1]对账明细接口!$L$577=0,"",[1]对账明细接口!$L$577),"")</f>
        <v/>
      </c>
      <c r="M577" s="59" t="str">
        <f aca="false">IFERROR(IF([1]对账明细接口!$M$577=0,"",[1]对账明细接口!$M$577),"")</f>
        <v/>
      </c>
      <c r="N577" s="111" t="n">
        <f aca="false">IF($C577="",0,1)</f>
        <v>0</v>
      </c>
      <c r="O577" s="111" t="n">
        <f aca="false">N(O576)+$N577</f>
        <v>110</v>
      </c>
      <c r="S577" s="10" t="str">
        <f aca="false">IFERROR(IF([1]对账明细接口!$N577=0,"",[1]对账明细接口!$N577),"")</f>
        <v/>
      </c>
      <c r="T577" s="112" t="str">
        <f aca="false">IFERROR(IF([1]对账明细接口!$O577=0,"",[1]对账明细接口!$O577),"")</f>
        <v/>
      </c>
      <c r="U577" s="112" t="str">
        <f aca="false">IFERROR(IF([1]对账明细接口!$P577=0,"",[1]对账明细接口!$P577),"")</f>
        <v/>
      </c>
      <c r="V577" s="112" t="str">
        <f aca="false">IFERROR(IF([1]对账明细接口!$Q577=0,"",[1]对账明细接口!$Q577),"")</f>
        <v/>
      </c>
      <c r="W577" s="10" t="str">
        <f aca="false">IFERROR(IF([1]对账明细接口!$R577=0,"",[1]对账明细接口!$R577),"")</f>
        <v/>
      </c>
      <c r="X577" s="10" t="str">
        <f aca="false">IFERROR(IF([1]对账明细接口!$S577=0,"",[1]对账明细接口!$S577),"")</f>
        <v/>
      </c>
      <c r="Y577" s="10" t="str">
        <f aca="false">""</f>
        <v/>
      </c>
      <c r="Z577" s="10" t="str">
        <f aca="false">""</f>
        <v/>
      </c>
      <c r="AA577" s="10" t="str">
        <f aca="false">""</f>
        <v/>
      </c>
      <c r="AB577" s="10" t="str">
        <f aca="false">""</f>
        <v/>
      </c>
    </row>
    <row r="578" customFormat="false" ht="13.5" hidden="false" customHeight="false" outlineLevel="0" collapsed="false">
      <c r="A578" s="109" t="n">
        <v>578</v>
      </c>
      <c r="B578" s="110" t="str">
        <f aca="false">IFERROR(IF([1]对账明细接口!$B$578=0,"",[1]对账明细接口!$B$578),"")</f>
        <v/>
      </c>
      <c r="C578" s="59" t="str">
        <f aca="false">IFERROR(IF([1]对账明细接口!$C$578=0,"",[1]对账明细接口!$C$578),"")</f>
        <v/>
      </c>
      <c r="D578" s="59" t="str">
        <f aca="false">IFERROR(IF([1]对账明细接口!$D$578=0,"",[1]对账明细接口!$D$578),"")</f>
        <v/>
      </c>
      <c r="E578" s="59" t="str">
        <f aca="false">IFERROR(IF([1]对账明细接口!$E$578=0,"",[1]对账明细接口!$E$578),"")</f>
        <v/>
      </c>
      <c r="F578" s="59" t="str">
        <f aca="false">IFERROR(IF([1]对账明细接口!$F$578=0,"",[1]对账明细接口!$F$578),"")</f>
        <v/>
      </c>
      <c r="G578" s="59" t="str">
        <f aca="false">IFERROR(IF([1]对账明细接口!$G$578=0,"",[1]对账明细接口!$G$578),"")</f>
        <v/>
      </c>
      <c r="H578" s="60" t="str">
        <f aca="false">IFERROR(IF([1]对账明细接口!$H$578=0,"",[1]对账明细接口!$H$578),"")</f>
        <v/>
      </c>
      <c r="I578" s="59" t="str">
        <f aca="false">IFERROR(IF([1]对账明细接口!$I$578=0,"",[1]对账明细接口!$I$578),"")</f>
        <v/>
      </c>
      <c r="J578" s="61" t="str">
        <f aca="false">IFERROR(IF([1]对账明细接口!$J$578=0,"",[1]对账明细接口!$J$578),"")</f>
        <v/>
      </c>
      <c r="K578" s="61" t="str">
        <f aca="false">IFERROR(IF([1]对账明细接口!$K$578=0,"",[1]对账明细接口!$K$578),"")</f>
        <v/>
      </c>
      <c r="L578" s="59" t="str">
        <f aca="false">IFERROR(IF([1]对账明细接口!$L$578=0,"",[1]对账明细接口!$L$578),"")</f>
        <v/>
      </c>
      <c r="M578" s="59" t="str">
        <f aca="false">IFERROR(IF([1]对账明细接口!$M$578=0,"",[1]对账明细接口!$M$578),"")</f>
        <v/>
      </c>
      <c r="N578" s="111" t="n">
        <f aca="false">IF($C578="",0,1)</f>
        <v>0</v>
      </c>
      <c r="O578" s="111" t="n">
        <f aca="false">N(O577)+$N578</f>
        <v>110</v>
      </c>
      <c r="S578" s="10" t="str">
        <f aca="false">IFERROR(IF([1]对账明细接口!$N578=0,"",[1]对账明细接口!$N578),"")</f>
        <v/>
      </c>
      <c r="T578" s="112" t="str">
        <f aca="false">IFERROR(IF([1]对账明细接口!$O578=0,"",[1]对账明细接口!$O578),"")</f>
        <v/>
      </c>
      <c r="U578" s="112" t="str">
        <f aca="false">IFERROR(IF([1]对账明细接口!$P578=0,"",[1]对账明细接口!$P578),"")</f>
        <v/>
      </c>
      <c r="V578" s="112" t="str">
        <f aca="false">IFERROR(IF([1]对账明细接口!$Q578=0,"",[1]对账明细接口!$Q578),"")</f>
        <v/>
      </c>
      <c r="W578" s="10" t="str">
        <f aca="false">IFERROR(IF([1]对账明细接口!$R578=0,"",[1]对账明细接口!$R578),"")</f>
        <v/>
      </c>
      <c r="X578" s="10" t="str">
        <f aca="false">IFERROR(IF([1]对账明细接口!$S578=0,"",[1]对账明细接口!$S578),"")</f>
        <v/>
      </c>
      <c r="Y578" s="10" t="str">
        <f aca="false">""</f>
        <v/>
      </c>
      <c r="Z578" s="10" t="str">
        <f aca="false">""</f>
        <v/>
      </c>
      <c r="AA578" s="10" t="str">
        <f aca="false">""</f>
        <v/>
      </c>
      <c r="AB578" s="10" t="str">
        <f aca="false">""</f>
        <v/>
      </c>
    </row>
    <row r="579" customFormat="false" ht="13.5" hidden="false" customHeight="false" outlineLevel="0" collapsed="false">
      <c r="A579" s="109" t="n">
        <v>579</v>
      </c>
      <c r="B579" s="110" t="str">
        <f aca="false">IFERROR(IF([1]对账明细接口!$B$579=0,"",[1]对账明细接口!$B$579),"")</f>
        <v/>
      </c>
      <c r="C579" s="59" t="str">
        <f aca="false">IFERROR(IF([1]对账明细接口!$C$579=0,"",[1]对账明细接口!$C$579),"")</f>
        <v/>
      </c>
      <c r="D579" s="59" t="str">
        <f aca="false">IFERROR(IF([1]对账明细接口!$D$579=0,"",[1]对账明细接口!$D$579),"")</f>
        <v/>
      </c>
      <c r="E579" s="59" t="str">
        <f aca="false">IFERROR(IF([1]对账明细接口!$E$579=0,"",[1]对账明细接口!$E$579),"")</f>
        <v/>
      </c>
      <c r="F579" s="59" t="str">
        <f aca="false">IFERROR(IF([1]对账明细接口!$F$579=0,"",[1]对账明细接口!$F$579),"")</f>
        <v/>
      </c>
      <c r="G579" s="59" t="str">
        <f aca="false">IFERROR(IF([1]对账明细接口!$G$579=0,"",[1]对账明细接口!$G$579),"")</f>
        <v/>
      </c>
      <c r="H579" s="60" t="str">
        <f aca="false">IFERROR(IF([1]对账明细接口!$H$579=0,"",[1]对账明细接口!$H$579),"")</f>
        <v/>
      </c>
      <c r="I579" s="59" t="str">
        <f aca="false">IFERROR(IF([1]对账明细接口!$I$579=0,"",[1]对账明细接口!$I$579),"")</f>
        <v/>
      </c>
      <c r="J579" s="61" t="str">
        <f aca="false">IFERROR(IF([1]对账明细接口!$J$579=0,"",[1]对账明细接口!$J$579),"")</f>
        <v/>
      </c>
      <c r="K579" s="61" t="str">
        <f aca="false">IFERROR(IF([1]对账明细接口!$K$579=0,"",[1]对账明细接口!$K$579),"")</f>
        <v/>
      </c>
      <c r="L579" s="59" t="str">
        <f aca="false">IFERROR(IF([1]对账明细接口!$L$579=0,"",[1]对账明细接口!$L$579),"")</f>
        <v/>
      </c>
      <c r="M579" s="59" t="str">
        <f aca="false">IFERROR(IF([1]对账明细接口!$M$579=0,"",[1]对账明细接口!$M$579),"")</f>
        <v/>
      </c>
      <c r="N579" s="111" t="n">
        <f aca="false">IF($C579="",0,1)</f>
        <v>0</v>
      </c>
      <c r="O579" s="111" t="n">
        <f aca="false">N(O578)+$N579</f>
        <v>110</v>
      </c>
      <c r="S579" s="10" t="str">
        <f aca="false">IFERROR(IF([1]对账明细接口!$N579=0,"",[1]对账明细接口!$N579),"")</f>
        <v/>
      </c>
      <c r="T579" s="112" t="str">
        <f aca="false">IFERROR(IF([1]对账明细接口!$O579=0,"",[1]对账明细接口!$O579),"")</f>
        <v/>
      </c>
      <c r="U579" s="112" t="str">
        <f aca="false">IFERROR(IF([1]对账明细接口!$P579=0,"",[1]对账明细接口!$P579),"")</f>
        <v/>
      </c>
      <c r="V579" s="112" t="str">
        <f aca="false">IFERROR(IF([1]对账明细接口!$Q579=0,"",[1]对账明细接口!$Q579),"")</f>
        <v/>
      </c>
      <c r="W579" s="10" t="str">
        <f aca="false">IFERROR(IF([1]对账明细接口!$R579=0,"",[1]对账明细接口!$R579),"")</f>
        <v/>
      </c>
      <c r="X579" s="10" t="str">
        <f aca="false">IFERROR(IF([1]对账明细接口!$S579=0,"",[1]对账明细接口!$S579),"")</f>
        <v/>
      </c>
      <c r="Y579" s="10" t="str">
        <f aca="false">""</f>
        <v/>
      </c>
      <c r="Z579" s="10" t="str">
        <f aca="false">""</f>
        <v/>
      </c>
      <c r="AA579" s="10" t="str">
        <f aca="false">""</f>
        <v/>
      </c>
      <c r="AB579" s="10" t="str">
        <f aca="false">""</f>
        <v/>
      </c>
    </row>
    <row r="580" customFormat="false" ht="13.5" hidden="false" customHeight="false" outlineLevel="0" collapsed="false">
      <c r="A580" s="109" t="n">
        <v>580</v>
      </c>
      <c r="B580" s="110" t="str">
        <f aca="false">IFERROR(IF([1]对账明细接口!$B$580=0,"",[1]对账明细接口!$B$580),"")</f>
        <v/>
      </c>
      <c r="C580" s="59" t="str">
        <f aca="false">IFERROR(IF([1]对账明细接口!$C$580=0,"",[1]对账明细接口!$C$580),"")</f>
        <v/>
      </c>
      <c r="D580" s="59" t="str">
        <f aca="false">IFERROR(IF([1]对账明细接口!$D$580=0,"",[1]对账明细接口!$D$580),"")</f>
        <v/>
      </c>
      <c r="E580" s="59" t="str">
        <f aca="false">IFERROR(IF([1]对账明细接口!$E$580=0,"",[1]对账明细接口!$E$580),"")</f>
        <v/>
      </c>
      <c r="F580" s="59" t="str">
        <f aca="false">IFERROR(IF([1]对账明细接口!$F$580=0,"",[1]对账明细接口!$F$580),"")</f>
        <v/>
      </c>
      <c r="G580" s="59" t="str">
        <f aca="false">IFERROR(IF([1]对账明细接口!$G$580=0,"",[1]对账明细接口!$G$580),"")</f>
        <v/>
      </c>
      <c r="H580" s="60" t="str">
        <f aca="false">IFERROR(IF([1]对账明细接口!$H$580=0,"",[1]对账明细接口!$H$580),"")</f>
        <v/>
      </c>
      <c r="I580" s="59" t="str">
        <f aca="false">IFERROR(IF([1]对账明细接口!$I$580=0,"",[1]对账明细接口!$I$580),"")</f>
        <v/>
      </c>
      <c r="J580" s="61" t="str">
        <f aca="false">IFERROR(IF([1]对账明细接口!$J$580=0,"",[1]对账明细接口!$J$580),"")</f>
        <v/>
      </c>
      <c r="K580" s="61" t="str">
        <f aca="false">IFERROR(IF([1]对账明细接口!$K$580=0,"",[1]对账明细接口!$K$580),"")</f>
        <v/>
      </c>
      <c r="L580" s="59" t="str">
        <f aca="false">IFERROR(IF([1]对账明细接口!$L$580=0,"",[1]对账明细接口!$L$580),"")</f>
        <v/>
      </c>
      <c r="M580" s="59" t="str">
        <f aca="false">IFERROR(IF([1]对账明细接口!$M$580=0,"",[1]对账明细接口!$M$580),"")</f>
        <v/>
      </c>
      <c r="N580" s="111" t="n">
        <f aca="false">IF($C580="",0,1)</f>
        <v>0</v>
      </c>
      <c r="O580" s="111" t="n">
        <f aca="false">N(O579)+$N580</f>
        <v>110</v>
      </c>
      <c r="S580" s="10" t="str">
        <f aca="false">IFERROR(IF([1]对账明细接口!$N580=0,"",[1]对账明细接口!$N580),"")</f>
        <v/>
      </c>
      <c r="T580" s="112" t="str">
        <f aca="false">IFERROR(IF([1]对账明细接口!$O580=0,"",[1]对账明细接口!$O580),"")</f>
        <v/>
      </c>
      <c r="U580" s="112" t="str">
        <f aca="false">IFERROR(IF([1]对账明细接口!$P580=0,"",[1]对账明细接口!$P580),"")</f>
        <v/>
      </c>
      <c r="V580" s="112" t="str">
        <f aca="false">IFERROR(IF([1]对账明细接口!$Q580=0,"",[1]对账明细接口!$Q580),"")</f>
        <v/>
      </c>
      <c r="W580" s="10" t="str">
        <f aca="false">IFERROR(IF([1]对账明细接口!$R580=0,"",[1]对账明细接口!$R580),"")</f>
        <v/>
      </c>
      <c r="X580" s="10" t="str">
        <f aca="false">IFERROR(IF([1]对账明细接口!$S580=0,"",[1]对账明细接口!$S580),"")</f>
        <v/>
      </c>
      <c r="Y580" s="10" t="str">
        <f aca="false">""</f>
        <v/>
      </c>
      <c r="Z580" s="10" t="str">
        <f aca="false">""</f>
        <v/>
      </c>
      <c r="AA580" s="10" t="str">
        <f aca="false">""</f>
        <v/>
      </c>
      <c r="AB580" s="10" t="str">
        <f aca="false">""</f>
        <v/>
      </c>
    </row>
    <row r="581" customFormat="false" ht="13.5" hidden="false" customHeight="false" outlineLevel="0" collapsed="false">
      <c r="A581" s="109" t="n">
        <v>581</v>
      </c>
      <c r="B581" s="110" t="str">
        <f aca="false">IFERROR(IF([1]对账明细接口!$B$581=0,"",[1]对账明细接口!$B$581),"")</f>
        <v/>
      </c>
      <c r="C581" s="59" t="str">
        <f aca="false">IFERROR(IF([1]对账明细接口!$C$581=0,"",[1]对账明细接口!$C$581),"")</f>
        <v/>
      </c>
      <c r="D581" s="59" t="str">
        <f aca="false">IFERROR(IF([1]对账明细接口!$D$581=0,"",[1]对账明细接口!$D$581),"")</f>
        <v/>
      </c>
      <c r="E581" s="59" t="str">
        <f aca="false">IFERROR(IF([1]对账明细接口!$E$581=0,"",[1]对账明细接口!$E$581),"")</f>
        <v/>
      </c>
      <c r="F581" s="59" t="str">
        <f aca="false">IFERROR(IF([1]对账明细接口!$F$581=0,"",[1]对账明细接口!$F$581),"")</f>
        <v/>
      </c>
      <c r="G581" s="59" t="str">
        <f aca="false">IFERROR(IF([1]对账明细接口!$G$581=0,"",[1]对账明细接口!$G$581),"")</f>
        <v/>
      </c>
      <c r="H581" s="60" t="str">
        <f aca="false">IFERROR(IF([1]对账明细接口!$H$581=0,"",[1]对账明细接口!$H$581),"")</f>
        <v/>
      </c>
      <c r="I581" s="59" t="str">
        <f aca="false">IFERROR(IF([1]对账明细接口!$I$581=0,"",[1]对账明细接口!$I$581),"")</f>
        <v/>
      </c>
      <c r="J581" s="61" t="str">
        <f aca="false">IFERROR(IF([1]对账明细接口!$J$581=0,"",[1]对账明细接口!$J$581),"")</f>
        <v/>
      </c>
      <c r="K581" s="61" t="str">
        <f aca="false">IFERROR(IF([1]对账明细接口!$K$581=0,"",[1]对账明细接口!$K$581),"")</f>
        <v/>
      </c>
      <c r="L581" s="59" t="str">
        <f aca="false">IFERROR(IF([1]对账明细接口!$L$581=0,"",[1]对账明细接口!$L$581),"")</f>
        <v/>
      </c>
      <c r="M581" s="59" t="str">
        <f aca="false">IFERROR(IF([1]对账明细接口!$M$581=0,"",[1]对账明细接口!$M$581),"")</f>
        <v/>
      </c>
      <c r="N581" s="111" t="n">
        <f aca="false">IF($C581="",0,1)</f>
        <v>0</v>
      </c>
      <c r="O581" s="111" t="n">
        <f aca="false">N(O580)+$N581</f>
        <v>110</v>
      </c>
      <c r="S581" s="10" t="str">
        <f aca="false">IFERROR(IF([1]对账明细接口!$N581=0,"",[1]对账明细接口!$N581),"")</f>
        <v/>
      </c>
      <c r="T581" s="112" t="str">
        <f aca="false">IFERROR(IF([1]对账明细接口!$O581=0,"",[1]对账明细接口!$O581),"")</f>
        <v/>
      </c>
      <c r="U581" s="112" t="str">
        <f aca="false">IFERROR(IF([1]对账明细接口!$P581=0,"",[1]对账明细接口!$P581),"")</f>
        <v/>
      </c>
      <c r="V581" s="112" t="str">
        <f aca="false">IFERROR(IF([1]对账明细接口!$Q581=0,"",[1]对账明细接口!$Q581),"")</f>
        <v/>
      </c>
      <c r="W581" s="10" t="str">
        <f aca="false">IFERROR(IF([1]对账明细接口!$R581=0,"",[1]对账明细接口!$R581),"")</f>
        <v/>
      </c>
      <c r="X581" s="10" t="str">
        <f aca="false">IFERROR(IF([1]对账明细接口!$S581=0,"",[1]对账明细接口!$S581),"")</f>
        <v/>
      </c>
      <c r="Y581" s="10" t="str">
        <f aca="false">""</f>
        <v/>
      </c>
      <c r="Z581" s="10" t="str">
        <f aca="false">""</f>
        <v/>
      </c>
      <c r="AA581" s="10" t="str">
        <f aca="false">""</f>
        <v/>
      </c>
      <c r="AB581" s="10" t="str">
        <f aca="false">""</f>
        <v/>
      </c>
    </row>
    <row r="582" customFormat="false" ht="13.5" hidden="false" customHeight="false" outlineLevel="0" collapsed="false">
      <c r="A582" s="109" t="n">
        <v>582</v>
      </c>
      <c r="B582" s="110" t="str">
        <f aca="false">IFERROR(IF([1]对账明细接口!$B$582=0,"",[1]对账明细接口!$B$582),"")</f>
        <v/>
      </c>
      <c r="C582" s="59" t="str">
        <f aca="false">IFERROR(IF([1]对账明细接口!$C$582=0,"",[1]对账明细接口!$C$582),"")</f>
        <v/>
      </c>
      <c r="D582" s="59" t="str">
        <f aca="false">IFERROR(IF([1]对账明细接口!$D$582=0,"",[1]对账明细接口!$D$582),"")</f>
        <v/>
      </c>
      <c r="E582" s="59" t="str">
        <f aca="false">IFERROR(IF([1]对账明细接口!$E$582=0,"",[1]对账明细接口!$E$582),"")</f>
        <v/>
      </c>
      <c r="F582" s="59" t="str">
        <f aca="false">IFERROR(IF([1]对账明细接口!$F$582=0,"",[1]对账明细接口!$F$582),"")</f>
        <v/>
      </c>
      <c r="G582" s="59" t="str">
        <f aca="false">IFERROR(IF([1]对账明细接口!$G$582=0,"",[1]对账明细接口!$G$582),"")</f>
        <v/>
      </c>
      <c r="H582" s="60" t="str">
        <f aca="false">IFERROR(IF([1]对账明细接口!$H$582=0,"",[1]对账明细接口!$H$582),"")</f>
        <v/>
      </c>
      <c r="I582" s="59" t="str">
        <f aca="false">IFERROR(IF([1]对账明细接口!$I$582=0,"",[1]对账明细接口!$I$582),"")</f>
        <v/>
      </c>
      <c r="J582" s="61" t="str">
        <f aca="false">IFERROR(IF([1]对账明细接口!$J$582=0,"",[1]对账明细接口!$J$582),"")</f>
        <v/>
      </c>
      <c r="K582" s="61" t="str">
        <f aca="false">IFERROR(IF([1]对账明细接口!$K$582=0,"",[1]对账明细接口!$K$582),"")</f>
        <v/>
      </c>
      <c r="L582" s="59" t="str">
        <f aca="false">IFERROR(IF([1]对账明细接口!$L$582=0,"",[1]对账明细接口!$L$582),"")</f>
        <v/>
      </c>
      <c r="M582" s="59" t="str">
        <f aca="false">IFERROR(IF([1]对账明细接口!$M$582=0,"",[1]对账明细接口!$M$582),"")</f>
        <v/>
      </c>
      <c r="N582" s="111" t="n">
        <f aca="false">IF($C582="",0,1)</f>
        <v>0</v>
      </c>
      <c r="O582" s="111" t="n">
        <f aca="false">N(O581)+$N582</f>
        <v>110</v>
      </c>
      <c r="S582" s="10" t="str">
        <f aca="false">IFERROR(IF([1]对账明细接口!$N582=0,"",[1]对账明细接口!$N582),"")</f>
        <v/>
      </c>
      <c r="T582" s="112" t="str">
        <f aca="false">IFERROR(IF([1]对账明细接口!$O582=0,"",[1]对账明细接口!$O582),"")</f>
        <v/>
      </c>
      <c r="U582" s="112" t="str">
        <f aca="false">IFERROR(IF([1]对账明细接口!$P582=0,"",[1]对账明细接口!$P582),"")</f>
        <v/>
      </c>
      <c r="V582" s="112" t="str">
        <f aca="false">IFERROR(IF([1]对账明细接口!$Q582=0,"",[1]对账明细接口!$Q582),"")</f>
        <v/>
      </c>
      <c r="W582" s="10" t="str">
        <f aca="false">IFERROR(IF([1]对账明细接口!$R582=0,"",[1]对账明细接口!$R582),"")</f>
        <v/>
      </c>
      <c r="X582" s="10" t="str">
        <f aca="false">IFERROR(IF([1]对账明细接口!$S582=0,"",[1]对账明细接口!$S582),"")</f>
        <v/>
      </c>
      <c r="Y582" s="10" t="str">
        <f aca="false">""</f>
        <v/>
      </c>
      <c r="Z582" s="10" t="str">
        <f aca="false">""</f>
        <v/>
      </c>
      <c r="AA582" s="10" t="str">
        <f aca="false">""</f>
        <v/>
      </c>
      <c r="AB582" s="10" t="str">
        <f aca="false">""</f>
        <v/>
      </c>
    </row>
    <row r="583" customFormat="false" ht="13.5" hidden="false" customHeight="false" outlineLevel="0" collapsed="false">
      <c r="A583" s="109" t="n">
        <v>583</v>
      </c>
      <c r="B583" s="110" t="str">
        <f aca="false">IFERROR(IF([1]对账明细接口!$B$583=0,"",[1]对账明细接口!$B$583),"")</f>
        <v/>
      </c>
      <c r="C583" s="59" t="str">
        <f aca="false">IFERROR(IF([1]对账明细接口!$C$583=0,"",[1]对账明细接口!$C$583),"")</f>
        <v/>
      </c>
      <c r="D583" s="59" t="str">
        <f aca="false">IFERROR(IF([1]对账明细接口!$D$583=0,"",[1]对账明细接口!$D$583),"")</f>
        <v/>
      </c>
      <c r="E583" s="59" t="str">
        <f aca="false">IFERROR(IF([1]对账明细接口!$E$583=0,"",[1]对账明细接口!$E$583),"")</f>
        <v/>
      </c>
      <c r="F583" s="59" t="str">
        <f aca="false">IFERROR(IF([1]对账明细接口!$F$583=0,"",[1]对账明细接口!$F$583),"")</f>
        <v/>
      </c>
      <c r="G583" s="59" t="str">
        <f aca="false">IFERROR(IF([1]对账明细接口!$G$583=0,"",[1]对账明细接口!$G$583),"")</f>
        <v/>
      </c>
      <c r="H583" s="60" t="str">
        <f aca="false">IFERROR(IF([1]对账明细接口!$H$583=0,"",[1]对账明细接口!$H$583),"")</f>
        <v/>
      </c>
      <c r="I583" s="59" t="str">
        <f aca="false">IFERROR(IF([1]对账明细接口!$I$583=0,"",[1]对账明细接口!$I$583),"")</f>
        <v/>
      </c>
      <c r="J583" s="61" t="str">
        <f aca="false">IFERROR(IF([1]对账明细接口!$J$583=0,"",[1]对账明细接口!$J$583),"")</f>
        <v/>
      </c>
      <c r="K583" s="61" t="str">
        <f aca="false">IFERROR(IF([1]对账明细接口!$K$583=0,"",[1]对账明细接口!$K$583),"")</f>
        <v/>
      </c>
      <c r="L583" s="59" t="str">
        <f aca="false">IFERROR(IF([1]对账明细接口!$L$583=0,"",[1]对账明细接口!$L$583),"")</f>
        <v/>
      </c>
      <c r="M583" s="59" t="str">
        <f aca="false">IFERROR(IF([1]对账明细接口!$M$583=0,"",[1]对账明细接口!$M$583),"")</f>
        <v/>
      </c>
      <c r="N583" s="111" t="n">
        <f aca="false">IF($C583="",0,1)</f>
        <v>0</v>
      </c>
      <c r="O583" s="111" t="n">
        <f aca="false">N(O582)+$N583</f>
        <v>110</v>
      </c>
      <c r="S583" s="10" t="str">
        <f aca="false">IFERROR(IF([1]对账明细接口!$N583=0,"",[1]对账明细接口!$N583),"")</f>
        <v/>
      </c>
      <c r="T583" s="112" t="str">
        <f aca="false">IFERROR(IF([1]对账明细接口!$O583=0,"",[1]对账明细接口!$O583),"")</f>
        <v/>
      </c>
      <c r="U583" s="112" t="str">
        <f aca="false">IFERROR(IF([1]对账明细接口!$P583=0,"",[1]对账明细接口!$P583),"")</f>
        <v/>
      </c>
      <c r="V583" s="112" t="str">
        <f aca="false">IFERROR(IF([1]对账明细接口!$Q583=0,"",[1]对账明细接口!$Q583),"")</f>
        <v/>
      </c>
      <c r="W583" s="10" t="str">
        <f aca="false">IFERROR(IF([1]对账明细接口!$R583=0,"",[1]对账明细接口!$R583),"")</f>
        <v/>
      </c>
      <c r="X583" s="10" t="str">
        <f aca="false">IFERROR(IF([1]对账明细接口!$S583=0,"",[1]对账明细接口!$S583),"")</f>
        <v/>
      </c>
      <c r="Y583" s="10" t="str">
        <f aca="false">""</f>
        <v/>
      </c>
      <c r="Z583" s="10" t="str">
        <f aca="false">""</f>
        <v/>
      </c>
      <c r="AA583" s="10" t="str">
        <f aca="false">""</f>
        <v/>
      </c>
      <c r="AB583" s="10" t="str">
        <f aca="false">""</f>
        <v/>
      </c>
    </row>
    <row r="584" customFormat="false" ht="13.5" hidden="false" customHeight="false" outlineLevel="0" collapsed="false">
      <c r="A584" s="109" t="n">
        <v>584</v>
      </c>
      <c r="B584" s="110" t="str">
        <f aca="false">IFERROR(IF([1]对账明细接口!$B$584=0,"",[1]对账明细接口!$B$584),"")</f>
        <v/>
      </c>
      <c r="C584" s="59" t="str">
        <f aca="false">IFERROR(IF([1]对账明细接口!$C$584=0,"",[1]对账明细接口!$C$584),"")</f>
        <v/>
      </c>
      <c r="D584" s="59" t="str">
        <f aca="false">IFERROR(IF([1]对账明细接口!$D$584=0,"",[1]对账明细接口!$D$584),"")</f>
        <v/>
      </c>
      <c r="E584" s="59" t="str">
        <f aca="false">IFERROR(IF([1]对账明细接口!$E$584=0,"",[1]对账明细接口!$E$584),"")</f>
        <v/>
      </c>
      <c r="F584" s="59" t="str">
        <f aca="false">IFERROR(IF([1]对账明细接口!$F$584=0,"",[1]对账明细接口!$F$584),"")</f>
        <v/>
      </c>
      <c r="G584" s="59" t="str">
        <f aca="false">IFERROR(IF([1]对账明细接口!$G$584=0,"",[1]对账明细接口!$G$584),"")</f>
        <v/>
      </c>
      <c r="H584" s="60" t="str">
        <f aca="false">IFERROR(IF([1]对账明细接口!$H$584=0,"",[1]对账明细接口!$H$584),"")</f>
        <v/>
      </c>
      <c r="I584" s="59" t="str">
        <f aca="false">IFERROR(IF([1]对账明细接口!$I$584=0,"",[1]对账明细接口!$I$584),"")</f>
        <v/>
      </c>
      <c r="J584" s="61" t="str">
        <f aca="false">IFERROR(IF([1]对账明细接口!$J$584=0,"",[1]对账明细接口!$J$584),"")</f>
        <v/>
      </c>
      <c r="K584" s="61" t="str">
        <f aca="false">IFERROR(IF([1]对账明细接口!$K$584=0,"",[1]对账明细接口!$K$584),"")</f>
        <v/>
      </c>
      <c r="L584" s="59" t="str">
        <f aca="false">IFERROR(IF([1]对账明细接口!$L$584=0,"",[1]对账明细接口!$L$584),"")</f>
        <v/>
      </c>
      <c r="M584" s="59" t="str">
        <f aca="false">IFERROR(IF([1]对账明细接口!$M$584=0,"",[1]对账明细接口!$M$584),"")</f>
        <v/>
      </c>
      <c r="N584" s="111" t="n">
        <f aca="false">IF($C584="",0,1)</f>
        <v>0</v>
      </c>
      <c r="O584" s="111" t="n">
        <f aca="false">N(O583)+$N584</f>
        <v>110</v>
      </c>
      <c r="S584" s="10" t="str">
        <f aca="false">IFERROR(IF([1]对账明细接口!$N584=0,"",[1]对账明细接口!$N584),"")</f>
        <v/>
      </c>
      <c r="T584" s="112" t="str">
        <f aca="false">IFERROR(IF([1]对账明细接口!$O584=0,"",[1]对账明细接口!$O584),"")</f>
        <v/>
      </c>
      <c r="U584" s="112" t="str">
        <f aca="false">IFERROR(IF([1]对账明细接口!$P584=0,"",[1]对账明细接口!$P584),"")</f>
        <v/>
      </c>
      <c r="V584" s="112" t="str">
        <f aca="false">IFERROR(IF([1]对账明细接口!$Q584=0,"",[1]对账明细接口!$Q584),"")</f>
        <v/>
      </c>
      <c r="W584" s="10" t="str">
        <f aca="false">IFERROR(IF([1]对账明细接口!$R584=0,"",[1]对账明细接口!$R584),"")</f>
        <v/>
      </c>
      <c r="X584" s="10" t="str">
        <f aca="false">IFERROR(IF([1]对账明细接口!$S584=0,"",[1]对账明细接口!$S584),"")</f>
        <v/>
      </c>
      <c r="Y584" s="10" t="str">
        <f aca="false">""</f>
        <v/>
      </c>
      <c r="Z584" s="10" t="str">
        <f aca="false">""</f>
        <v/>
      </c>
      <c r="AA584" s="10" t="str">
        <f aca="false">""</f>
        <v/>
      </c>
      <c r="AB584" s="10" t="str">
        <f aca="false">""</f>
        <v/>
      </c>
    </row>
    <row r="585" customFormat="false" ht="13.5" hidden="false" customHeight="false" outlineLevel="0" collapsed="false">
      <c r="A585" s="109" t="n">
        <v>585</v>
      </c>
      <c r="B585" s="110" t="str">
        <f aca="false">IFERROR(IF([1]对账明细接口!$B$585=0,"",[1]对账明细接口!$B$585),"")</f>
        <v/>
      </c>
      <c r="C585" s="59" t="str">
        <f aca="false">IFERROR(IF([1]对账明细接口!$C$585=0,"",[1]对账明细接口!$C$585),"")</f>
        <v/>
      </c>
      <c r="D585" s="59" t="str">
        <f aca="false">IFERROR(IF([1]对账明细接口!$D$585=0,"",[1]对账明细接口!$D$585),"")</f>
        <v/>
      </c>
      <c r="E585" s="59" t="str">
        <f aca="false">IFERROR(IF([1]对账明细接口!$E$585=0,"",[1]对账明细接口!$E$585),"")</f>
        <v/>
      </c>
      <c r="F585" s="59" t="str">
        <f aca="false">IFERROR(IF([1]对账明细接口!$F$585=0,"",[1]对账明细接口!$F$585),"")</f>
        <v/>
      </c>
      <c r="G585" s="59" t="str">
        <f aca="false">IFERROR(IF([1]对账明细接口!$G$585=0,"",[1]对账明细接口!$G$585),"")</f>
        <v/>
      </c>
      <c r="H585" s="60" t="str">
        <f aca="false">IFERROR(IF([1]对账明细接口!$H$585=0,"",[1]对账明细接口!$H$585),"")</f>
        <v/>
      </c>
      <c r="I585" s="59" t="str">
        <f aca="false">IFERROR(IF([1]对账明细接口!$I$585=0,"",[1]对账明细接口!$I$585),"")</f>
        <v/>
      </c>
      <c r="J585" s="61" t="str">
        <f aca="false">IFERROR(IF([1]对账明细接口!$J$585=0,"",[1]对账明细接口!$J$585),"")</f>
        <v/>
      </c>
      <c r="K585" s="61" t="str">
        <f aca="false">IFERROR(IF([1]对账明细接口!$K$585=0,"",[1]对账明细接口!$K$585),"")</f>
        <v/>
      </c>
      <c r="L585" s="59" t="str">
        <f aca="false">IFERROR(IF([1]对账明细接口!$L$585=0,"",[1]对账明细接口!$L$585),"")</f>
        <v/>
      </c>
      <c r="M585" s="59" t="str">
        <f aca="false">IFERROR(IF([1]对账明细接口!$M$585=0,"",[1]对账明细接口!$M$585),"")</f>
        <v/>
      </c>
      <c r="N585" s="111" t="n">
        <f aca="false">IF($C585="",0,1)</f>
        <v>0</v>
      </c>
      <c r="O585" s="111" t="n">
        <f aca="false">N(O584)+$N585</f>
        <v>110</v>
      </c>
      <c r="S585" s="10" t="str">
        <f aca="false">IFERROR(IF([1]对账明细接口!$N585=0,"",[1]对账明细接口!$N585),"")</f>
        <v/>
      </c>
      <c r="T585" s="112" t="str">
        <f aca="false">IFERROR(IF([1]对账明细接口!$O585=0,"",[1]对账明细接口!$O585),"")</f>
        <v/>
      </c>
      <c r="U585" s="112" t="str">
        <f aca="false">IFERROR(IF([1]对账明细接口!$P585=0,"",[1]对账明细接口!$P585),"")</f>
        <v/>
      </c>
      <c r="V585" s="112" t="str">
        <f aca="false">IFERROR(IF([1]对账明细接口!$Q585=0,"",[1]对账明细接口!$Q585),"")</f>
        <v/>
      </c>
      <c r="W585" s="10" t="str">
        <f aca="false">IFERROR(IF([1]对账明细接口!$R585=0,"",[1]对账明细接口!$R585),"")</f>
        <v/>
      </c>
      <c r="X585" s="10" t="str">
        <f aca="false">IFERROR(IF([1]对账明细接口!$S585=0,"",[1]对账明细接口!$S585),"")</f>
        <v/>
      </c>
      <c r="Y585" s="10" t="str">
        <f aca="false">""</f>
        <v/>
      </c>
      <c r="Z585" s="10" t="str">
        <f aca="false">""</f>
        <v/>
      </c>
      <c r="AA585" s="10" t="str">
        <f aca="false">""</f>
        <v/>
      </c>
      <c r="AB585" s="10" t="str">
        <f aca="false">""</f>
        <v/>
      </c>
    </row>
    <row r="586" customFormat="false" ht="13.5" hidden="false" customHeight="false" outlineLevel="0" collapsed="false">
      <c r="A586" s="109" t="n">
        <v>586</v>
      </c>
      <c r="B586" s="110" t="str">
        <f aca="false">IFERROR(IF([1]对账明细接口!$B$586=0,"",[1]对账明细接口!$B$586),"")</f>
        <v/>
      </c>
      <c r="C586" s="59" t="str">
        <f aca="false">IFERROR(IF([1]对账明细接口!$C$586=0,"",[1]对账明细接口!$C$586),"")</f>
        <v/>
      </c>
      <c r="D586" s="59" t="str">
        <f aca="false">IFERROR(IF([1]对账明细接口!$D$586=0,"",[1]对账明细接口!$D$586),"")</f>
        <v/>
      </c>
      <c r="E586" s="59" t="str">
        <f aca="false">IFERROR(IF([1]对账明细接口!$E$586=0,"",[1]对账明细接口!$E$586),"")</f>
        <v/>
      </c>
      <c r="F586" s="59" t="str">
        <f aca="false">IFERROR(IF([1]对账明细接口!$F$586=0,"",[1]对账明细接口!$F$586),"")</f>
        <v/>
      </c>
      <c r="G586" s="59" t="str">
        <f aca="false">IFERROR(IF([1]对账明细接口!$G$586=0,"",[1]对账明细接口!$G$586),"")</f>
        <v/>
      </c>
      <c r="H586" s="60" t="str">
        <f aca="false">IFERROR(IF([1]对账明细接口!$H$586=0,"",[1]对账明细接口!$H$586),"")</f>
        <v/>
      </c>
      <c r="I586" s="59" t="str">
        <f aca="false">IFERROR(IF([1]对账明细接口!$I$586=0,"",[1]对账明细接口!$I$586),"")</f>
        <v/>
      </c>
      <c r="J586" s="61" t="str">
        <f aca="false">IFERROR(IF([1]对账明细接口!$J$586=0,"",[1]对账明细接口!$J$586),"")</f>
        <v/>
      </c>
      <c r="K586" s="61" t="str">
        <f aca="false">IFERROR(IF([1]对账明细接口!$K$586=0,"",[1]对账明细接口!$K$586),"")</f>
        <v/>
      </c>
      <c r="L586" s="59" t="str">
        <f aca="false">IFERROR(IF([1]对账明细接口!$L$586=0,"",[1]对账明细接口!$L$586),"")</f>
        <v/>
      </c>
      <c r="M586" s="59" t="str">
        <f aca="false">IFERROR(IF([1]对账明细接口!$M$586=0,"",[1]对账明细接口!$M$586),"")</f>
        <v/>
      </c>
      <c r="N586" s="111" t="n">
        <f aca="false">IF($C586="",0,1)</f>
        <v>0</v>
      </c>
      <c r="O586" s="111" t="n">
        <f aca="false">N(O585)+$N586</f>
        <v>110</v>
      </c>
      <c r="S586" s="10" t="str">
        <f aca="false">IFERROR(IF([1]对账明细接口!$N586=0,"",[1]对账明细接口!$N586),"")</f>
        <v/>
      </c>
      <c r="T586" s="112" t="str">
        <f aca="false">IFERROR(IF([1]对账明细接口!$O586=0,"",[1]对账明细接口!$O586),"")</f>
        <v/>
      </c>
      <c r="U586" s="112" t="str">
        <f aca="false">IFERROR(IF([1]对账明细接口!$P586=0,"",[1]对账明细接口!$P586),"")</f>
        <v/>
      </c>
      <c r="V586" s="112" t="str">
        <f aca="false">IFERROR(IF([1]对账明细接口!$Q586=0,"",[1]对账明细接口!$Q586),"")</f>
        <v/>
      </c>
      <c r="W586" s="10" t="str">
        <f aca="false">IFERROR(IF([1]对账明细接口!$R586=0,"",[1]对账明细接口!$R586),"")</f>
        <v/>
      </c>
      <c r="X586" s="10" t="str">
        <f aca="false">IFERROR(IF([1]对账明细接口!$S586=0,"",[1]对账明细接口!$S586),"")</f>
        <v/>
      </c>
      <c r="Y586" s="10" t="str">
        <f aca="false">""</f>
        <v/>
      </c>
      <c r="Z586" s="10" t="str">
        <f aca="false">""</f>
        <v/>
      </c>
      <c r="AA586" s="10" t="str">
        <f aca="false">""</f>
        <v/>
      </c>
      <c r="AB586" s="10" t="str">
        <f aca="false">""</f>
        <v/>
      </c>
    </row>
    <row r="587" customFormat="false" ht="13.5" hidden="false" customHeight="false" outlineLevel="0" collapsed="false">
      <c r="A587" s="109" t="n">
        <v>587</v>
      </c>
      <c r="B587" s="110" t="str">
        <f aca="false">IFERROR(IF([1]对账明细接口!$B$587=0,"",[1]对账明细接口!$B$587),"")</f>
        <v/>
      </c>
      <c r="C587" s="59" t="str">
        <f aca="false">IFERROR(IF([1]对账明细接口!$C$587=0,"",[1]对账明细接口!$C$587),"")</f>
        <v/>
      </c>
      <c r="D587" s="59" t="str">
        <f aca="false">IFERROR(IF([1]对账明细接口!$D$587=0,"",[1]对账明细接口!$D$587),"")</f>
        <v/>
      </c>
      <c r="E587" s="59" t="str">
        <f aca="false">IFERROR(IF([1]对账明细接口!$E$587=0,"",[1]对账明细接口!$E$587),"")</f>
        <v/>
      </c>
      <c r="F587" s="59" t="str">
        <f aca="false">IFERROR(IF([1]对账明细接口!$F$587=0,"",[1]对账明细接口!$F$587),"")</f>
        <v/>
      </c>
      <c r="G587" s="59" t="str">
        <f aca="false">IFERROR(IF([1]对账明细接口!$G$587=0,"",[1]对账明细接口!$G$587),"")</f>
        <v/>
      </c>
      <c r="H587" s="60" t="str">
        <f aca="false">IFERROR(IF([1]对账明细接口!$H$587=0,"",[1]对账明细接口!$H$587),"")</f>
        <v/>
      </c>
      <c r="I587" s="59" t="str">
        <f aca="false">IFERROR(IF([1]对账明细接口!$I$587=0,"",[1]对账明细接口!$I$587),"")</f>
        <v/>
      </c>
      <c r="J587" s="61" t="str">
        <f aca="false">IFERROR(IF([1]对账明细接口!$J$587=0,"",[1]对账明细接口!$J$587),"")</f>
        <v/>
      </c>
      <c r="K587" s="61" t="str">
        <f aca="false">IFERROR(IF([1]对账明细接口!$K$587=0,"",[1]对账明细接口!$K$587),"")</f>
        <v/>
      </c>
      <c r="L587" s="59" t="str">
        <f aca="false">IFERROR(IF([1]对账明细接口!$L$587=0,"",[1]对账明细接口!$L$587),"")</f>
        <v/>
      </c>
      <c r="M587" s="59" t="str">
        <f aca="false">IFERROR(IF([1]对账明细接口!$M$587=0,"",[1]对账明细接口!$M$587),"")</f>
        <v/>
      </c>
      <c r="N587" s="111" t="n">
        <f aca="false">IF($C587="",0,1)</f>
        <v>0</v>
      </c>
      <c r="O587" s="111" t="n">
        <f aca="false">N(O586)+$N587</f>
        <v>110</v>
      </c>
      <c r="S587" s="10" t="str">
        <f aca="false">IFERROR(IF([1]对账明细接口!$N587=0,"",[1]对账明细接口!$N587),"")</f>
        <v/>
      </c>
      <c r="T587" s="112" t="str">
        <f aca="false">IFERROR(IF([1]对账明细接口!$O587=0,"",[1]对账明细接口!$O587),"")</f>
        <v/>
      </c>
      <c r="U587" s="112" t="str">
        <f aca="false">IFERROR(IF([1]对账明细接口!$P587=0,"",[1]对账明细接口!$P587),"")</f>
        <v/>
      </c>
      <c r="V587" s="112" t="str">
        <f aca="false">IFERROR(IF([1]对账明细接口!$Q587=0,"",[1]对账明细接口!$Q587),"")</f>
        <v/>
      </c>
      <c r="W587" s="10" t="str">
        <f aca="false">IFERROR(IF([1]对账明细接口!$R587=0,"",[1]对账明细接口!$R587),"")</f>
        <v/>
      </c>
      <c r="X587" s="10" t="str">
        <f aca="false">IFERROR(IF([1]对账明细接口!$S587=0,"",[1]对账明细接口!$S587),"")</f>
        <v/>
      </c>
      <c r="Y587" s="10" t="str">
        <f aca="false">""</f>
        <v/>
      </c>
      <c r="Z587" s="10" t="str">
        <f aca="false">""</f>
        <v/>
      </c>
      <c r="AA587" s="10" t="str">
        <f aca="false">""</f>
        <v/>
      </c>
      <c r="AB587" s="10" t="str">
        <f aca="false">""</f>
        <v/>
      </c>
    </row>
    <row r="588" customFormat="false" ht="13.5" hidden="false" customHeight="false" outlineLevel="0" collapsed="false">
      <c r="A588" s="109" t="n">
        <v>588</v>
      </c>
      <c r="B588" s="110" t="str">
        <f aca="false">IFERROR(IF([1]对账明细接口!$B$588=0,"",[1]对账明细接口!$B$588),"")</f>
        <v/>
      </c>
      <c r="C588" s="59" t="str">
        <f aca="false">IFERROR(IF([1]对账明细接口!$C$588=0,"",[1]对账明细接口!$C$588),"")</f>
        <v/>
      </c>
      <c r="D588" s="59" t="str">
        <f aca="false">IFERROR(IF([1]对账明细接口!$D$588=0,"",[1]对账明细接口!$D$588),"")</f>
        <v/>
      </c>
      <c r="E588" s="59" t="str">
        <f aca="false">IFERROR(IF([1]对账明细接口!$E$588=0,"",[1]对账明细接口!$E$588),"")</f>
        <v/>
      </c>
      <c r="F588" s="59" t="str">
        <f aca="false">IFERROR(IF([1]对账明细接口!$F$588=0,"",[1]对账明细接口!$F$588),"")</f>
        <v/>
      </c>
      <c r="G588" s="59" t="str">
        <f aca="false">IFERROR(IF([1]对账明细接口!$G$588=0,"",[1]对账明细接口!$G$588),"")</f>
        <v/>
      </c>
      <c r="H588" s="60" t="str">
        <f aca="false">IFERROR(IF([1]对账明细接口!$H$588=0,"",[1]对账明细接口!$H$588),"")</f>
        <v/>
      </c>
      <c r="I588" s="59" t="str">
        <f aca="false">IFERROR(IF([1]对账明细接口!$I$588=0,"",[1]对账明细接口!$I$588),"")</f>
        <v/>
      </c>
      <c r="J588" s="61" t="str">
        <f aca="false">IFERROR(IF([1]对账明细接口!$J$588=0,"",[1]对账明细接口!$J$588),"")</f>
        <v/>
      </c>
      <c r="K588" s="61" t="str">
        <f aca="false">IFERROR(IF([1]对账明细接口!$K$588=0,"",[1]对账明细接口!$K$588),"")</f>
        <v/>
      </c>
      <c r="L588" s="59" t="str">
        <f aca="false">IFERROR(IF([1]对账明细接口!$L$588=0,"",[1]对账明细接口!$L$588),"")</f>
        <v/>
      </c>
      <c r="M588" s="59" t="str">
        <f aca="false">IFERROR(IF([1]对账明细接口!$M$588=0,"",[1]对账明细接口!$M$588),"")</f>
        <v/>
      </c>
      <c r="N588" s="111" t="n">
        <f aca="false">IF($C588="",0,1)</f>
        <v>0</v>
      </c>
      <c r="O588" s="111" t="n">
        <f aca="false">N(O587)+$N588</f>
        <v>110</v>
      </c>
      <c r="S588" s="10" t="str">
        <f aca="false">IFERROR(IF([1]对账明细接口!$N588=0,"",[1]对账明细接口!$N588),"")</f>
        <v/>
      </c>
      <c r="T588" s="112" t="str">
        <f aca="false">IFERROR(IF([1]对账明细接口!$O588=0,"",[1]对账明细接口!$O588),"")</f>
        <v/>
      </c>
      <c r="U588" s="112" t="str">
        <f aca="false">IFERROR(IF([1]对账明细接口!$P588=0,"",[1]对账明细接口!$P588),"")</f>
        <v/>
      </c>
      <c r="V588" s="112" t="str">
        <f aca="false">IFERROR(IF([1]对账明细接口!$Q588=0,"",[1]对账明细接口!$Q588),"")</f>
        <v/>
      </c>
      <c r="W588" s="10" t="str">
        <f aca="false">IFERROR(IF([1]对账明细接口!$R588=0,"",[1]对账明细接口!$R588),"")</f>
        <v/>
      </c>
      <c r="X588" s="10" t="str">
        <f aca="false">IFERROR(IF([1]对账明细接口!$S588=0,"",[1]对账明细接口!$S588),"")</f>
        <v/>
      </c>
      <c r="Y588" s="10" t="str">
        <f aca="false">""</f>
        <v/>
      </c>
      <c r="Z588" s="10" t="str">
        <f aca="false">""</f>
        <v/>
      </c>
      <c r="AA588" s="10" t="str">
        <f aca="false">""</f>
        <v/>
      </c>
      <c r="AB588" s="10" t="str">
        <f aca="false">""</f>
        <v/>
      </c>
    </row>
    <row r="589" customFormat="false" ht="13.5" hidden="false" customHeight="false" outlineLevel="0" collapsed="false">
      <c r="A589" s="109" t="n">
        <v>589</v>
      </c>
      <c r="B589" s="110" t="str">
        <f aca="false">IFERROR(IF([1]对账明细接口!$B$589=0,"",[1]对账明细接口!$B$589),"")</f>
        <v/>
      </c>
      <c r="C589" s="59" t="str">
        <f aca="false">IFERROR(IF([1]对账明细接口!$C$589=0,"",[1]对账明细接口!$C$589),"")</f>
        <v/>
      </c>
      <c r="D589" s="59" t="str">
        <f aca="false">IFERROR(IF([1]对账明细接口!$D$589=0,"",[1]对账明细接口!$D$589),"")</f>
        <v/>
      </c>
      <c r="E589" s="59" t="str">
        <f aca="false">IFERROR(IF([1]对账明细接口!$E$589=0,"",[1]对账明细接口!$E$589),"")</f>
        <v/>
      </c>
      <c r="F589" s="59" t="str">
        <f aca="false">IFERROR(IF([1]对账明细接口!$F$589=0,"",[1]对账明细接口!$F$589),"")</f>
        <v/>
      </c>
      <c r="G589" s="59" t="str">
        <f aca="false">IFERROR(IF([1]对账明细接口!$G$589=0,"",[1]对账明细接口!$G$589),"")</f>
        <v/>
      </c>
      <c r="H589" s="60" t="str">
        <f aca="false">IFERROR(IF([1]对账明细接口!$H$589=0,"",[1]对账明细接口!$H$589),"")</f>
        <v/>
      </c>
      <c r="I589" s="59" t="str">
        <f aca="false">IFERROR(IF([1]对账明细接口!$I$589=0,"",[1]对账明细接口!$I$589),"")</f>
        <v/>
      </c>
      <c r="J589" s="61" t="str">
        <f aca="false">IFERROR(IF([1]对账明细接口!$J$589=0,"",[1]对账明细接口!$J$589),"")</f>
        <v/>
      </c>
      <c r="K589" s="61" t="str">
        <f aca="false">IFERROR(IF([1]对账明细接口!$K$589=0,"",[1]对账明细接口!$K$589),"")</f>
        <v/>
      </c>
      <c r="L589" s="59" t="str">
        <f aca="false">IFERROR(IF([1]对账明细接口!$L$589=0,"",[1]对账明细接口!$L$589),"")</f>
        <v/>
      </c>
      <c r="M589" s="59" t="str">
        <f aca="false">IFERROR(IF([1]对账明细接口!$M$589=0,"",[1]对账明细接口!$M$589),"")</f>
        <v/>
      </c>
      <c r="N589" s="111" t="n">
        <f aca="false">IF($C589="",0,1)</f>
        <v>0</v>
      </c>
      <c r="O589" s="111" t="n">
        <f aca="false">N(O588)+$N589</f>
        <v>110</v>
      </c>
      <c r="S589" s="10" t="str">
        <f aca="false">IFERROR(IF([1]对账明细接口!$N589=0,"",[1]对账明细接口!$N589),"")</f>
        <v/>
      </c>
      <c r="T589" s="112" t="str">
        <f aca="false">IFERROR(IF([1]对账明细接口!$O589=0,"",[1]对账明细接口!$O589),"")</f>
        <v/>
      </c>
      <c r="U589" s="112" t="str">
        <f aca="false">IFERROR(IF([1]对账明细接口!$P589=0,"",[1]对账明细接口!$P589),"")</f>
        <v/>
      </c>
      <c r="V589" s="112" t="str">
        <f aca="false">IFERROR(IF([1]对账明细接口!$Q589=0,"",[1]对账明细接口!$Q589),"")</f>
        <v/>
      </c>
      <c r="W589" s="10" t="str">
        <f aca="false">IFERROR(IF([1]对账明细接口!$R589=0,"",[1]对账明细接口!$R589),"")</f>
        <v/>
      </c>
      <c r="X589" s="10" t="str">
        <f aca="false">IFERROR(IF([1]对账明细接口!$S589=0,"",[1]对账明细接口!$S589),"")</f>
        <v/>
      </c>
      <c r="Y589" s="10" t="str">
        <f aca="false">""</f>
        <v/>
      </c>
      <c r="Z589" s="10" t="str">
        <f aca="false">""</f>
        <v/>
      </c>
      <c r="AA589" s="10" t="str">
        <f aca="false">""</f>
        <v/>
      </c>
      <c r="AB589" s="10" t="str">
        <f aca="false">""</f>
        <v/>
      </c>
    </row>
    <row r="590" customFormat="false" ht="13.5" hidden="false" customHeight="false" outlineLevel="0" collapsed="false">
      <c r="A590" s="109" t="n">
        <v>590</v>
      </c>
      <c r="B590" s="110" t="str">
        <f aca="false">IFERROR(IF([1]对账明细接口!$B$590=0,"",[1]对账明细接口!$B$590),"")</f>
        <v/>
      </c>
      <c r="C590" s="59" t="str">
        <f aca="false">IFERROR(IF([1]对账明细接口!$C$590=0,"",[1]对账明细接口!$C$590),"")</f>
        <v/>
      </c>
      <c r="D590" s="59" t="str">
        <f aca="false">IFERROR(IF([1]对账明细接口!$D$590=0,"",[1]对账明细接口!$D$590),"")</f>
        <v/>
      </c>
      <c r="E590" s="59" t="str">
        <f aca="false">IFERROR(IF([1]对账明细接口!$E$590=0,"",[1]对账明细接口!$E$590),"")</f>
        <v/>
      </c>
      <c r="F590" s="59" t="str">
        <f aca="false">IFERROR(IF([1]对账明细接口!$F$590=0,"",[1]对账明细接口!$F$590),"")</f>
        <v/>
      </c>
      <c r="G590" s="59" t="str">
        <f aca="false">IFERROR(IF([1]对账明细接口!$G$590=0,"",[1]对账明细接口!$G$590),"")</f>
        <v/>
      </c>
      <c r="H590" s="60" t="str">
        <f aca="false">IFERROR(IF([1]对账明细接口!$H$590=0,"",[1]对账明细接口!$H$590),"")</f>
        <v/>
      </c>
      <c r="I590" s="59" t="str">
        <f aca="false">IFERROR(IF([1]对账明细接口!$I$590=0,"",[1]对账明细接口!$I$590),"")</f>
        <v/>
      </c>
      <c r="J590" s="61" t="str">
        <f aca="false">IFERROR(IF([1]对账明细接口!$J$590=0,"",[1]对账明细接口!$J$590),"")</f>
        <v/>
      </c>
      <c r="K590" s="61" t="str">
        <f aca="false">IFERROR(IF([1]对账明细接口!$K$590=0,"",[1]对账明细接口!$K$590),"")</f>
        <v/>
      </c>
      <c r="L590" s="59" t="str">
        <f aca="false">IFERROR(IF([1]对账明细接口!$L$590=0,"",[1]对账明细接口!$L$590),"")</f>
        <v/>
      </c>
      <c r="M590" s="59" t="str">
        <f aca="false">IFERROR(IF([1]对账明细接口!$M$590=0,"",[1]对账明细接口!$M$590),"")</f>
        <v/>
      </c>
      <c r="N590" s="111" t="n">
        <f aca="false">IF($C590="",0,1)</f>
        <v>0</v>
      </c>
      <c r="O590" s="111" t="n">
        <f aca="false">N(O589)+$N590</f>
        <v>110</v>
      </c>
      <c r="S590" s="10" t="str">
        <f aca="false">IFERROR(IF([1]对账明细接口!$N590=0,"",[1]对账明细接口!$N590),"")</f>
        <v/>
      </c>
      <c r="T590" s="112" t="str">
        <f aca="false">IFERROR(IF([1]对账明细接口!$O590=0,"",[1]对账明细接口!$O590),"")</f>
        <v/>
      </c>
      <c r="U590" s="112" t="str">
        <f aca="false">IFERROR(IF([1]对账明细接口!$P590=0,"",[1]对账明细接口!$P590),"")</f>
        <v/>
      </c>
      <c r="V590" s="112" t="str">
        <f aca="false">IFERROR(IF([1]对账明细接口!$Q590=0,"",[1]对账明细接口!$Q590),"")</f>
        <v/>
      </c>
      <c r="W590" s="10" t="str">
        <f aca="false">IFERROR(IF([1]对账明细接口!$R590=0,"",[1]对账明细接口!$R590),"")</f>
        <v/>
      </c>
      <c r="X590" s="10" t="str">
        <f aca="false">IFERROR(IF([1]对账明细接口!$S590=0,"",[1]对账明细接口!$S590),"")</f>
        <v/>
      </c>
      <c r="Y590" s="10" t="str">
        <f aca="false">""</f>
        <v/>
      </c>
      <c r="Z590" s="10" t="str">
        <f aca="false">""</f>
        <v/>
      </c>
      <c r="AA590" s="10" t="str">
        <f aca="false">""</f>
        <v/>
      </c>
      <c r="AB590" s="10" t="str">
        <f aca="false">""</f>
        <v/>
      </c>
    </row>
    <row r="591" customFormat="false" ht="13.5" hidden="false" customHeight="false" outlineLevel="0" collapsed="false">
      <c r="A591" s="109" t="n">
        <v>591</v>
      </c>
      <c r="B591" s="110" t="str">
        <f aca="false">IFERROR(IF([1]对账明细接口!$B$591=0,"",[1]对账明细接口!$B$591),"")</f>
        <v/>
      </c>
      <c r="C591" s="59" t="str">
        <f aca="false">IFERROR(IF([1]对账明细接口!$C$591=0,"",[1]对账明细接口!$C$591),"")</f>
        <v/>
      </c>
      <c r="D591" s="59" t="str">
        <f aca="false">IFERROR(IF([1]对账明细接口!$D$591=0,"",[1]对账明细接口!$D$591),"")</f>
        <v/>
      </c>
      <c r="E591" s="59" t="str">
        <f aca="false">IFERROR(IF([1]对账明细接口!$E$591=0,"",[1]对账明细接口!$E$591),"")</f>
        <v/>
      </c>
      <c r="F591" s="59" t="str">
        <f aca="false">IFERROR(IF([1]对账明细接口!$F$591=0,"",[1]对账明细接口!$F$591),"")</f>
        <v/>
      </c>
      <c r="G591" s="59" t="str">
        <f aca="false">IFERROR(IF([1]对账明细接口!$G$591=0,"",[1]对账明细接口!$G$591),"")</f>
        <v/>
      </c>
      <c r="H591" s="60" t="str">
        <f aca="false">IFERROR(IF([1]对账明细接口!$H$591=0,"",[1]对账明细接口!$H$591),"")</f>
        <v/>
      </c>
      <c r="I591" s="59" t="str">
        <f aca="false">IFERROR(IF([1]对账明细接口!$I$591=0,"",[1]对账明细接口!$I$591),"")</f>
        <v/>
      </c>
      <c r="J591" s="61" t="str">
        <f aca="false">IFERROR(IF([1]对账明细接口!$J$591=0,"",[1]对账明细接口!$J$591),"")</f>
        <v/>
      </c>
      <c r="K591" s="61" t="str">
        <f aca="false">IFERROR(IF([1]对账明细接口!$K$591=0,"",[1]对账明细接口!$K$591),"")</f>
        <v/>
      </c>
      <c r="L591" s="59" t="str">
        <f aca="false">IFERROR(IF([1]对账明细接口!$L$591=0,"",[1]对账明细接口!$L$591),"")</f>
        <v/>
      </c>
      <c r="M591" s="59" t="str">
        <f aca="false">IFERROR(IF([1]对账明细接口!$M$591=0,"",[1]对账明细接口!$M$591),"")</f>
        <v/>
      </c>
      <c r="N591" s="111" t="n">
        <f aca="false">IF($C591="",0,1)</f>
        <v>0</v>
      </c>
      <c r="O591" s="111" t="n">
        <f aca="false">N(O590)+$N591</f>
        <v>110</v>
      </c>
      <c r="S591" s="10" t="str">
        <f aca="false">IFERROR(IF([1]对账明细接口!$N591=0,"",[1]对账明细接口!$N591),"")</f>
        <v/>
      </c>
      <c r="T591" s="112" t="str">
        <f aca="false">IFERROR(IF([1]对账明细接口!$O591=0,"",[1]对账明细接口!$O591),"")</f>
        <v/>
      </c>
      <c r="U591" s="112" t="str">
        <f aca="false">IFERROR(IF([1]对账明细接口!$P591=0,"",[1]对账明细接口!$P591),"")</f>
        <v/>
      </c>
      <c r="V591" s="112" t="str">
        <f aca="false">IFERROR(IF([1]对账明细接口!$Q591=0,"",[1]对账明细接口!$Q591),"")</f>
        <v/>
      </c>
      <c r="W591" s="10" t="str">
        <f aca="false">IFERROR(IF([1]对账明细接口!$R591=0,"",[1]对账明细接口!$R591),"")</f>
        <v/>
      </c>
      <c r="X591" s="10" t="str">
        <f aca="false">IFERROR(IF([1]对账明细接口!$S591=0,"",[1]对账明细接口!$S591),"")</f>
        <v/>
      </c>
      <c r="Y591" s="10" t="str">
        <f aca="false">""</f>
        <v/>
      </c>
      <c r="Z591" s="10" t="str">
        <f aca="false">""</f>
        <v/>
      </c>
      <c r="AA591" s="10" t="str">
        <f aca="false">""</f>
        <v/>
      </c>
      <c r="AB591" s="10" t="str">
        <f aca="false">""</f>
        <v/>
      </c>
    </row>
    <row r="592" customFormat="false" ht="13.5" hidden="false" customHeight="false" outlineLevel="0" collapsed="false">
      <c r="A592" s="109" t="n">
        <v>592</v>
      </c>
      <c r="B592" s="110" t="str">
        <f aca="false">IFERROR(IF([1]对账明细接口!$B$592=0,"",[1]对账明细接口!$B$592),"")</f>
        <v/>
      </c>
      <c r="C592" s="59" t="str">
        <f aca="false">IFERROR(IF([1]对账明细接口!$C$592=0,"",[1]对账明细接口!$C$592),"")</f>
        <v/>
      </c>
      <c r="D592" s="59" t="str">
        <f aca="false">IFERROR(IF([1]对账明细接口!$D$592=0,"",[1]对账明细接口!$D$592),"")</f>
        <v/>
      </c>
      <c r="E592" s="59" t="str">
        <f aca="false">IFERROR(IF([1]对账明细接口!$E$592=0,"",[1]对账明细接口!$E$592),"")</f>
        <v/>
      </c>
      <c r="F592" s="59" t="str">
        <f aca="false">IFERROR(IF([1]对账明细接口!$F$592=0,"",[1]对账明细接口!$F$592),"")</f>
        <v/>
      </c>
      <c r="G592" s="59" t="str">
        <f aca="false">IFERROR(IF([1]对账明细接口!$G$592=0,"",[1]对账明细接口!$G$592),"")</f>
        <v/>
      </c>
      <c r="H592" s="60" t="str">
        <f aca="false">IFERROR(IF([1]对账明细接口!$H$592=0,"",[1]对账明细接口!$H$592),"")</f>
        <v/>
      </c>
      <c r="I592" s="59" t="str">
        <f aca="false">IFERROR(IF([1]对账明细接口!$I$592=0,"",[1]对账明细接口!$I$592),"")</f>
        <v/>
      </c>
      <c r="J592" s="61" t="str">
        <f aca="false">IFERROR(IF([1]对账明细接口!$J$592=0,"",[1]对账明细接口!$J$592),"")</f>
        <v/>
      </c>
      <c r="K592" s="61" t="str">
        <f aca="false">IFERROR(IF([1]对账明细接口!$K$592=0,"",[1]对账明细接口!$K$592),"")</f>
        <v/>
      </c>
      <c r="L592" s="59" t="str">
        <f aca="false">IFERROR(IF([1]对账明细接口!$L$592=0,"",[1]对账明细接口!$L$592),"")</f>
        <v/>
      </c>
      <c r="M592" s="59" t="str">
        <f aca="false">IFERROR(IF([1]对账明细接口!$M$592=0,"",[1]对账明细接口!$M$592),"")</f>
        <v/>
      </c>
      <c r="N592" s="111" t="n">
        <f aca="false">IF($C592="",0,1)</f>
        <v>0</v>
      </c>
      <c r="O592" s="111" t="n">
        <f aca="false">N(O591)+$N592</f>
        <v>110</v>
      </c>
      <c r="S592" s="10" t="str">
        <f aca="false">IFERROR(IF([1]对账明细接口!$N592=0,"",[1]对账明细接口!$N592),"")</f>
        <v/>
      </c>
      <c r="T592" s="112" t="str">
        <f aca="false">IFERROR(IF([1]对账明细接口!$O592=0,"",[1]对账明细接口!$O592),"")</f>
        <v/>
      </c>
      <c r="U592" s="112" t="str">
        <f aca="false">IFERROR(IF([1]对账明细接口!$P592=0,"",[1]对账明细接口!$P592),"")</f>
        <v/>
      </c>
      <c r="V592" s="112" t="str">
        <f aca="false">IFERROR(IF([1]对账明细接口!$Q592=0,"",[1]对账明细接口!$Q592),"")</f>
        <v/>
      </c>
      <c r="W592" s="10" t="str">
        <f aca="false">IFERROR(IF([1]对账明细接口!$R592=0,"",[1]对账明细接口!$R592),"")</f>
        <v/>
      </c>
      <c r="X592" s="10" t="str">
        <f aca="false">IFERROR(IF([1]对账明细接口!$S592=0,"",[1]对账明细接口!$S592),"")</f>
        <v/>
      </c>
      <c r="Y592" s="10" t="str">
        <f aca="false">""</f>
        <v/>
      </c>
      <c r="Z592" s="10" t="str">
        <f aca="false">""</f>
        <v/>
      </c>
      <c r="AA592" s="10" t="str">
        <f aca="false">""</f>
        <v/>
      </c>
      <c r="AB592" s="10" t="str">
        <f aca="false">""</f>
        <v/>
      </c>
    </row>
    <row r="593" customFormat="false" ht="13.5" hidden="false" customHeight="false" outlineLevel="0" collapsed="false">
      <c r="A593" s="109" t="n">
        <v>593</v>
      </c>
      <c r="B593" s="110" t="str">
        <f aca="false">IFERROR(IF([1]对账明细接口!$B$593=0,"",[1]对账明细接口!$B$593),"")</f>
        <v/>
      </c>
      <c r="C593" s="59" t="str">
        <f aca="false">IFERROR(IF([1]对账明细接口!$C$593=0,"",[1]对账明细接口!$C$593),"")</f>
        <v/>
      </c>
      <c r="D593" s="59" t="str">
        <f aca="false">IFERROR(IF([1]对账明细接口!$D$593=0,"",[1]对账明细接口!$D$593),"")</f>
        <v/>
      </c>
      <c r="E593" s="59" t="str">
        <f aca="false">IFERROR(IF([1]对账明细接口!$E$593=0,"",[1]对账明细接口!$E$593),"")</f>
        <v/>
      </c>
      <c r="F593" s="59" t="str">
        <f aca="false">IFERROR(IF([1]对账明细接口!$F$593=0,"",[1]对账明细接口!$F$593),"")</f>
        <v/>
      </c>
      <c r="G593" s="59" t="str">
        <f aca="false">IFERROR(IF([1]对账明细接口!$G$593=0,"",[1]对账明细接口!$G$593),"")</f>
        <v/>
      </c>
      <c r="H593" s="60" t="str">
        <f aca="false">IFERROR(IF([1]对账明细接口!$H$593=0,"",[1]对账明细接口!$H$593),"")</f>
        <v/>
      </c>
      <c r="I593" s="59" t="str">
        <f aca="false">IFERROR(IF([1]对账明细接口!$I$593=0,"",[1]对账明细接口!$I$593),"")</f>
        <v/>
      </c>
      <c r="J593" s="61" t="str">
        <f aca="false">IFERROR(IF([1]对账明细接口!$J$593=0,"",[1]对账明细接口!$J$593),"")</f>
        <v/>
      </c>
      <c r="K593" s="61" t="str">
        <f aca="false">IFERROR(IF([1]对账明细接口!$K$593=0,"",[1]对账明细接口!$K$593),"")</f>
        <v/>
      </c>
      <c r="L593" s="59" t="str">
        <f aca="false">IFERROR(IF([1]对账明细接口!$L$593=0,"",[1]对账明细接口!$L$593),"")</f>
        <v/>
      </c>
      <c r="M593" s="59" t="str">
        <f aca="false">IFERROR(IF([1]对账明细接口!$M$593=0,"",[1]对账明细接口!$M$593),"")</f>
        <v/>
      </c>
      <c r="N593" s="111" t="n">
        <f aca="false">IF($C593="",0,1)</f>
        <v>0</v>
      </c>
      <c r="O593" s="111" t="n">
        <f aca="false">N(O592)+$N593</f>
        <v>110</v>
      </c>
      <c r="S593" s="10" t="str">
        <f aca="false">IFERROR(IF([1]对账明细接口!$N593=0,"",[1]对账明细接口!$N593),"")</f>
        <v/>
      </c>
      <c r="T593" s="112" t="str">
        <f aca="false">IFERROR(IF([1]对账明细接口!$O593=0,"",[1]对账明细接口!$O593),"")</f>
        <v/>
      </c>
      <c r="U593" s="112" t="str">
        <f aca="false">IFERROR(IF([1]对账明细接口!$P593=0,"",[1]对账明细接口!$P593),"")</f>
        <v/>
      </c>
      <c r="V593" s="112" t="str">
        <f aca="false">IFERROR(IF([1]对账明细接口!$Q593=0,"",[1]对账明细接口!$Q593),"")</f>
        <v/>
      </c>
      <c r="W593" s="10" t="str">
        <f aca="false">IFERROR(IF([1]对账明细接口!$R593=0,"",[1]对账明细接口!$R593),"")</f>
        <v/>
      </c>
      <c r="X593" s="10" t="str">
        <f aca="false">IFERROR(IF([1]对账明细接口!$S593=0,"",[1]对账明细接口!$S593),"")</f>
        <v/>
      </c>
      <c r="Y593" s="10" t="str">
        <f aca="false">""</f>
        <v/>
      </c>
      <c r="Z593" s="10" t="str">
        <f aca="false">""</f>
        <v/>
      </c>
      <c r="AA593" s="10" t="str">
        <f aca="false">""</f>
        <v/>
      </c>
      <c r="AB593" s="10" t="str">
        <f aca="false">""</f>
        <v/>
      </c>
    </row>
    <row r="594" customFormat="false" ht="13.5" hidden="false" customHeight="false" outlineLevel="0" collapsed="false">
      <c r="A594" s="109" t="n">
        <v>594</v>
      </c>
      <c r="B594" s="110" t="str">
        <f aca="false">IFERROR(IF([1]对账明细接口!$B$594=0,"",[1]对账明细接口!$B$594),"")</f>
        <v/>
      </c>
      <c r="C594" s="59" t="str">
        <f aca="false">IFERROR(IF([1]对账明细接口!$C$594=0,"",[1]对账明细接口!$C$594),"")</f>
        <v/>
      </c>
      <c r="D594" s="59" t="str">
        <f aca="false">IFERROR(IF([1]对账明细接口!$D$594=0,"",[1]对账明细接口!$D$594),"")</f>
        <v/>
      </c>
      <c r="E594" s="59" t="str">
        <f aca="false">IFERROR(IF([1]对账明细接口!$E$594=0,"",[1]对账明细接口!$E$594),"")</f>
        <v/>
      </c>
      <c r="F594" s="59" t="str">
        <f aca="false">IFERROR(IF([1]对账明细接口!$F$594=0,"",[1]对账明细接口!$F$594),"")</f>
        <v/>
      </c>
      <c r="G594" s="59" t="str">
        <f aca="false">IFERROR(IF([1]对账明细接口!$G$594=0,"",[1]对账明细接口!$G$594),"")</f>
        <v/>
      </c>
      <c r="H594" s="60" t="str">
        <f aca="false">IFERROR(IF([1]对账明细接口!$H$594=0,"",[1]对账明细接口!$H$594),"")</f>
        <v/>
      </c>
      <c r="I594" s="59" t="str">
        <f aca="false">IFERROR(IF([1]对账明细接口!$I$594=0,"",[1]对账明细接口!$I$594),"")</f>
        <v/>
      </c>
      <c r="J594" s="61" t="str">
        <f aca="false">IFERROR(IF([1]对账明细接口!$J$594=0,"",[1]对账明细接口!$J$594),"")</f>
        <v/>
      </c>
      <c r="K594" s="61" t="str">
        <f aca="false">IFERROR(IF([1]对账明细接口!$K$594=0,"",[1]对账明细接口!$K$594),"")</f>
        <v/>
      </c>
      <c r="L594" s="59" t="str">
        <f aca="false">IFERROR(IF([1]对账明细接口!$L$594=0,"",[1]对账明细接口!$L$594),"")</f>
        <v/>
      </c>
      <c r="M594" s="59" t="str">
        <f aca="false">IFERROR(IF([1]对账明细接口!$M$594=0,"",[1]对账明细接口!$M$594),"")</f>
        <v/>
      </c>
      <c r="N594" s="111" t="n">
        <f aca="false">IF($C594="",0,1)</f>
        <v>0</v>
      </c>
      <c r="O594" s="111" t="n">
        <f aca="false">N(O593)+$N594</f>
        <v>110</v>
      </c>
      <c r="S594" s="10" t="str">
        <f aca="false">IFERROR(IF([1]对账明细接口!$N594=0,"",[1]对账明细接口!$N594),"")</f>
        <v/>
      </c>
      <c r="T594" s="112" t="str">
        <f aca="false">IFERROR(IF([1]对账明细接口!$O594=0,"",[1]对账明细接口!$O594),"")</f>
        <v/>
      </c>
      <c r="U594" s="112" t="str">
        <f aca="false">IFERROR(IF([1]对账明细接口!$P594=0,"",[1]对账明细接口!$P594),"")</f>
        <v/>
      </c>
      <c r="V594" s="112" t="str">
        <f aca="false">IFERROR(IF([1]对账明细接口!$Q594=0,"",[1]对账明细接口!$Q594),"")</f>
        <v/>
      </c>
      <c r="W594" s="10" t="str">
        <f aca="false">IFERROR(IF([1]对账明细接口!$R594=0,"",[1]对账明细接口!$R594),"")</f>
        <v/>
      </c>
      <c r="X594" s="10" t="str">
        <f aca="false">IFERROR(IF([1]对账明细接口!$S594=0,"",[1]对账明细接口!$S594),"")</f>
        <v/>
      </c>
      <c r="Y594" s="10" t="str">
        <f aca="false">""</f>
        <v/>
      </c>
      <c r="Z594" s="10" t="str">
        <f aca="false">""</f>
        <v/>
      </c>
      <c r="AA594" s="10" t="str">
        <f aca="false">""</f>
        <v/>
      </c>
      <c r="AB594" s="10" t="str">
        <f aca="false">""</f>
        <v/>
      </c>
    </row>
    <row r="595" customFormat="false" ht="13.5" hidden="false" customHeight="false" outlineLevel="0" collapsed="false">
      <c r="A595" s="109" t="n">
        <v>595</v>
      </c>
      <c r="B595" s="110" t="str">
        <f aca="false">IFERROR(IF([1]对账明细接口!$B$595=0,"",[1]对账明细接口!$B$595),"")</f>
        <v/>
      </c>
      <c r="C595" s="59" t="str">
        <f aca="false">IFERROR(IF([1]对账明细接口!$C$595=0,"",[1]对账明细接口!$C$595),"")</f>
        <v/>
      </c>
      <c r="D595" s="59" t="str">
        <f aca="false">IFERROR(IF([1]对账明细接口!$D$595=0,"",[1]对账明细接口!$D$595),"")</f>
        <v/>
      </c>
      <c r="E595" s="59" t="str">
        <f aca="false">IFERROR(IF([1]对账明细接口!$E$595=0,"",[1]对账明细接口!$E$595),"")</f>
        <v/>
      </c>
      <c r="F595" s="59" t="str">
        <f aca="false">IFERROR(IF([1]对账明细接口!$F$595=0,"",[1]对账明细接口!$F$595),"")</f>
        <v/>
      </c>
      <c r="G595" s="59" t="str">
        <f aca="false">IFERROR(IF([1]对账明细接口!$G$595=0,"",[1]对账明细接口!$G$595),"")</f>
        <v/>
      </c>
      <c r="H595" s="60" t="str">
        <f aca="false">IFERROR(IF([1]对账明细接口!$H$595=0,"",[1]对账明细接口!$H$595),"")</f>
        <v/>
      </c>
      <c r="I595" s="59" t="str">
        <f aca="false">IFERROR(IF([1]对账明细接口!$I$595=0,"",[1]对账明细接口!$I$595),"")</f>
        <v/>
      </c>
      <c r="J595" s="61" t="str">
        <f aca="false">IFERROR(IF([1]对账明细接口!$J$595=0,"",[1]对账明细接口!$J$595),"")</f>
        <v/>
      </c>
      <c r="K595" s="61" t="str">
        <f aca="false">IFERROR(IF([1]对账明细接口!$K$595=0,"",[1]对账明细接口!$K$595),"")</f>
        <v/>
      </c>
      <c r="L595" s="59" t="str">
        <f aca="false">IFERROR(IF([1]对账明细接口!$L$595=0,"",[1]对账明细接口!$L$595),"")</f>
        <v/>
      </c>
      <c r="M595" s="59" t="str">
        <f aca="false">IFERROR(IF([1]对账明细接口!$M$595=0,"",[1]对账明细接口!$M$595),"")</f>
        <v/>
      </c>
      <c r="N595" s="111" t="n">
        <f aca="false">IF($C595="",0,1)</f>
        <v>0</v>
      </c>
      <c r="O595" s="111" t="n">
        <f aca="false">N(O594)+$N595</f>
        <v>110</v>
      </c>
      <c r="S595" s="10" t="str">
        <f aca="false">IFERROR(IF([1]对账明细接口!$N595=0,"",[1]对账明细接口!$N595),"")</f>
        <v/>
      </c>
      <c r="T595" s="112" t="str">
        <f aca="false">IFERROR(IF([1]对账明细接口!$O595=0,"",[1]对账明细接口!$O595),"")</f>
        <v/>
      </c>
      <c r="U595" s="112" t="str">
        <f aca="false">IFERROR(IF([1]对账明细接口!$P595=0,"",[1]对账明细接口!$P595),"")</f>
        <v/>
      </c>
      <c r="V595" s="112" t="str">
        <f aca="false">IFERROR(IF([1]对账明细接口!$Q595=0,"",[1]对账明细接口!$Q595),"")</f>
        <v/>
      </c>
      <c r="W595" s="10" t="str">
        <f aca="false">IFERROR(IF([1]对账明细接口!$R595=0,"",[1]对账明细接口!$R595),"")</f>
        <v/>
      </c>
      <c r="X595" s="10" t="str">
        <f aca="false">IFERROR(IF([1]对账明细接口!$S595=0,"",[1]对账明细接口!$S595),"")</f>
        <v/>
      </c>
      <c r="Y595" s="10" t="str">
        <f aca="false">""</f>
        <v/>
      </c>
      <c r="Z595" s="10" t="str">
        <f aca="false">""</f>
        <v/>
      </c>
      <c r="AA595" s="10" t="str">
        <f aca="false">""</f>
        <v/>
      </c>
      <c r="AB595" s="10" t="str">
        <f aca="false">""</f>
        <v/>
      </c>
    </row>
    <row r="596" customFormat="false" ht="13.5" hidden="false" customHeight="false" outlineLevel="0" collapsed="false">
      <c r="A596" s="109" t="n">
        <v>596</v>
      </c>
      <c r="B596" s="110" t="str">
        <f aca="false">IFERROR(IF([1]对账明细接口!$B$596=0,"",[1]对账明细接口!$B$596),"")</f>
        <v/>
      </c>
      <c r="C596" s="59" t="str">
        <f aca="false">IFERROR(IF([1]对账明细接口!$C$596=0,"",[1]对账明细接口!$C$596),"")</f>
        <v/>
      </c>
      <c r="D596" s="59" t="str">
        <f aca="false">IFERROR(IF([1]对账明细接口!$D$596=0,"",[1]对账明细接口!$D$596),"")</f>
        <v/>
      </c>
      <c r="E596" s="59" t="str">
        <f aca="false">IFERROR(IF([1]对账明细接口!$E$596=0,"",[1]对账明细接口!$E$596),"")</f>
        <v/>
      </c>
      <c r="F596" s="59" t="str">
        <f aca="false">IFERROR(IF([1]对账明细接口!$F$596=0,"",[1]对账明细接口!$F$596),"")</f>
        <v/>
      </c>
      <c r="G596" s="59" t="str">
        <f aca="false">IFERROR(IF([1]对账明细接口!$G$596=0,"",[1]对账明细接口!$G$596),"")</f>
        <v/>
      </c>
      <c r="H596" s="60" t="str">
        <f aca="false">IFERROR(IF([1]对账明细接口!$H$596=0,"",[1]对账明细接口!$H$596),"")</f>
        <v/>
      </c>
      <c r="I596" s="59" t="str">
        <f aca="false">IFERROR(IF([1]对账明细接口!$I$596=0,"",[1]对账明细接口!$I$596),"")</f>
        <v/>
      </c>
      <c r="J596" s="61" t="str">
        <f aca="false">IFERROR(IF([1]对账明细接口!$J$596=0,"",[1]对账明细接口!$J$596),"")</f>
        <v/>
      </c>
      <c r="K596" s="61" t="str">
        <f aca="false">IFERROR(IF([1]对账明细接口!$K$596=0,"",[1]对账明细接口!$K$596),"")</f>
        <v/>
      </c>
      <c r="L596" s="59" t="str">
        <f aca="false">IFERROR(IF([1]对账明细接口!$L$596=0,"",[1]对账明细接口!$L$596),"")</f>
        <v/>
      </c>
      <c r="M596" s="59" t="str">
        <f aca="false">IFERROR(IF([1]对账明细接口!$M$596=0,"",[1]对账明细接口!$M$596),"")</f>
        <v/>
      </c>
      <c r="N596" s="111" t="n">
        <f aca="false">IF($C596="",0,1)</f>
        <v>0</v>
      </c>
      <c r="O596" s="111" t="n">
        <f aca="false">N(O595)+$N596</f>
        <v>110</v>
      </c>
      <c r="S596" s="10" t="str">
        <f aca="false">IFERROR(IF([1]对账明细接口!$N596=0,"",[1]对账明细接口!$N596),"")</f>
        <v/>
      </c>
      <c r="T596" s="112" t="str">
        <f aca="false">IFERROR(IF([1]对账明细接口!$O596=0,"",[1]对账明细接口!$O596),"")</f>
        <v/>
      </c>
      <c r="U596" s="112" t="str">
        <f aca="false">IFERROR(IF([1]对账明细接口!$P596=0,"",[1]对账明细接口!$P596),"")</f>
        <v/>
      </c>
      <c r="V596" s="112" t="str">
        <f aca="false">IFERROR(IF([1]对账明细接口!$Q596=0,"",[1]对账明细接口!$Q596),"")</f>
        <v/>
      </c>
      <c r="W596" s="10" t="str">
        <f aca="false">IFERROR(IF([1]对账明细接口!$R596=0,"",[1]对账明细接口!$R596),"")</f>
        <v/>
      </c>
      <c r="X596" s="10" t="str">
        <f aca="false">IFERROR(IF([1]对账明细接口!$S596=0,"",[1]对账明细接口!$S596),"")</f>
        <v/>
      </c>
      <c r="Y596" s="10" t="str">
        <f aca="false">""</f>
        <v/>
      </c>
      <c r="Z596" s="10" t="str">
        <f aca="false">""</f>
        <v/>
      </c>
      <c r="AA596" s="10" t="str">
        <f aca="false">""</f>
        <v/>
      </c>
      <c r="AB596" s="10" t="str">
        <f aca="false">""</f>
        <v/>
      </c>
    </row>
    <row r="597" customFormat="false" ht="13.5" hidden="false" customHeight="false" outlineLevel="0" collapsed="false">
      <c r="A597" s="109" t="n">
        <v>597</v>
      </c>
      <c r="B597" s="110" t="str">
        <f aca="false">IFERROR(IF([1]对账明细接口!$B$597=0,"",[1]对账明细接口!$B$597),"")</f>
        <v/>
      </c>
      <c r="C597" s="59" t="str">
        <f aca="false">IFERROR(IF([1]对账明细接口!$C$597=0,"",[1]对账明细接口!$C$597),"")</f>
        <v/>
      </c>
      <c r="D597" s="59" t="str">
        <f aca="false">IFERROR(IF([1]对账明细接口!$D$597=0,"",[1]对账明细接口!$D$597),"")</f>
        <v/>
      </c>
      <c r="E597" s="59" t="str">
        <f aca="false">IFERROR(IF([1]对账明细接口!$E$597=0,"",[1]对账明细接口!$E$597),"")</f>
        <v/>
      </c>
      <c r="F597" s="59" t="str">
        <f aca="false">IFERROR(IF([1]对账明细接口!$F$597=0,"",[1]对账明细接口!$F$597),"")</f>
        <v/>
      </c>
      <c r="G597" s="59" t="str">
        <f aca="false">IFERROR(IF([1]对账明细接口!$G$597=0,"",[1]对账明细接口!$G$597),"")</f>
        <v/>
      </c>
      <c r="H597" s="60" t="str">
        <f aca="false">IFERROR(IF([1]对账明细接口!$H$597=0,"",[1]对账明细接口!$H$597),"")</f>
        <v/>
      </c>
      <c r="I597" s="59" t="str">
        <f aca="false">IFERROR(IF([1]对账明细接口!$I$597=0,"",[1]对账明细接口!$I$597),"")</f>
        <v/>
      </c>
      <c r="J597" s="61" t="str">
        <f aca="false">IFERROR(IF([1]对账明细接口!$J$597=0,"",[1]对账明细接口!$J$597),"")</f>
        <v/>
      </c>
      <c r="K597" s="61" t="str">
        <f aca="false">IFERROR(IF([1]对账明细接口!$K$597=0,"",[1]对账明细接口!$K$597),"")</f>
        <v/>
      </c>
      <c r="L597" s="59" t="str">
        <f aca="false">IFERROR(IF([1]对账明细接口!$L$597=0,"",[1]对账明细接口!$L$597),"")</f>
        <v/>
      </c>
      <c r="M597" s="59" t="str">
        <f aca="false">IFERROR(IF([1]对账明细接口!$M$597=0,"",[1]对账明细接口!$M$597),"")</f>
        <v/>
      </c>
      <c r="N597" s="111" t="n">
        <f aca="false">IF($C597="",0,1)</f>
        <v>0</v>
      </c>
      <c r="O597" s="111" t="n">
        <f aca="false">N(O596)+$N597</f>
        <v>110</v>
      </c>
      <c r="S597" s="10" t="str">
        <f aca="false">IFERROR(IF([1]对账明细接口!$N597=0,"",[1]对账明细接口!$N597),"")</f>
        <v/>
      </c>
      <c r="T597" s="112" t="str">
        <f aca="false">IFERROR(IF([1]对账明细接口!$O597=0,"",[1]对账明细接口!$O597),"")</f>
        <v/>
      </c>
      <c r="U597" s="112" t="str">
        <f aca="false">IFERROR(IF([1]对账明细接口!$P597=0,"",[1]对账明细接口!$P597),"")</f>
        <v/>
      </c>
      <c r="V597" s="112" t="str">
        <f aca="false">IFERROR(IF([1]对账明细接口!$Q597=0,"",[1]对账明细接口!$Q597),"")</f>
        <v/>
      </c>
      <c r="W597" s="10" t="str">
        <f aca="false">IFERROR(IF([1]对账明细接口!$R597=0,"",[1]对账明细接口!$R597),"")</f>
        <v/>
      </c>
      <c r="X597" s="10" t="str">
        <f aca="false">IFERROR(IF([1]对账明细接口!$S597=0,"",[1]对账明细接口!$S597),"")</f>
        <v/>
      </c>
      <c r="Y597" s="10" t="str">
        <f aca="false">""</f>
        <v/>
      </c>
      <c r="Z597" s="10" t="str">
        <f aca="false">""</f>
        <v/>
      </c>
      <c r="AA597" s="10" t="str">
        <f aca="false">""</f>
        <v/>
      </c>
      <c r="AB597" s="10" t="str">
        <f aca="false">""</f>
        <v/>
      </c>
    </row>
    <row r="598" customFormat="false" ht="13.5" hidden="false" customHeight="false" outlineLevel="0" collapsed="false">
      <c r="A598" s="109" t="n">
        <v>598</v>
      </c>
      <c r="B598" s="110" t="str">
        <f aca="false">IFERROR(IF([1]对账明细接口!$B$598=0,"",[1]对账明细接口!$B$598),"")</f>
        <v/>
      </c>
      <c r="C598" s="59" t="str">
        <f aca="false">IFERROR(IF([1]对账明细接口!$C$598=0,"",[1]对账明细接口!$C$598),"")</f>
        <v/>
      </c>
      <c r="D598" s="59" t="str">
        <f aca="false">IFERROR(IF([1]对账明细接口!$D$598=0,"",[1]对账明细接口!$D$598),"")</f>
        <v/>
      </c>
      <c r="E598" s="59" t="str">
        <f aca="false">IFERROR(IF([1]对账明细接口!$E$598=0,"",[1]对账明细接口!$E$598),"")</f>
        <v/>
      </c>
      <c r="F598" s="59" t="str">
        <f aca="false">IFERROR(IF([1]对账明细接口!$F$598=0,"",[1]对账明细接口!$F$598),"")</f>
        <v/>
      </c>
      <c r="G598" s="59" t="str">
        <f aca="false">IFERROR(IF([1]对账明细接口!$G$598=0,"",[1]对账明细接口!$G$598),"")</f>
        <v/>
      </c>
      <c r="H598" s="60" t="str">
        <f aca="false">IFERROR(IF([1]对账明细接口!$H$598=0,"",[1]对账明细接口!$H$598),"")</f>
        <v/>
      </c>
      <c r="I598" s="59" t="str">
        <f aca="false">IFERROR(IF([1]对账明细接口!$I$598=0,"",[1]对账明细接口!$I$598),"")</f>
        <v/>
      </c>
      <c r="J598" s="61" t="str">
        <f aca="false">IFERROR(IF([1]对账明细接口!$J$598=0,"",[1]对账明细接口!$J$598),"")</f>
        <v/>
      </c>
      <c r="K598" s="61" t="str">
        <f aca="false">IFERROR(IF([1]对账明细接口!$K$598=0,"",[1]对账明细接口!$K$598),"")</f>
        <v/>
      </c>
      <c r="L598" s="59" t="str">
        <f aca="false">IFERROR(IF([1]对账明细接口!$L$598=0,"",[1]对账明细接口!$L$598),"")</f>
        <v/>
      </c>
      <c r="M598" s="59" t="str">
        <f aca="false">IFERROR(IF([1]对账明细接口!$M$598=0,"",[1]对账明细接口!$M$598),"")</f>
        <v/>
      </c>
      <c r="N598" s="111" t="n">
        <f aca="false">IF($C598="",0,1)</f>
        <v>0</v>
      </c>
      <c r="O598" s="111" t="n">
        <f aca="false">N(O597)+$N598</f>
        <v>110</v>
      </c>
      <c r="S598" s="10" t="str">
        <f aca="false">IFERROR(IF([1]对账明细接口!$N598=0,"",[1]对账明细接口!$N598),"")</f>
        <v/>
      </c>
      <c r="T598" s="112" t="str">
        <f aca="false">IFERROR(IF([1]对账明细接口!$O598=0,"",[1]对账明细接口!$O598),"")</f>
        <v/>
      </c>
      <c r="U598" s="112" t="str">
        <f aca="false">IFERROR(IF([1]对账明细接口!$P598=0,"",[1]对账明细接口!$P598),"")</f>
        <v/>
      </c>
      <c r="V598" s="112" t="str">
        <f aca="false">IFERROR(IF([1]对账明细接口!$Q598=0,"",[1]对账明细接口!$Q598),"")</f>
        <v/>
      </c>
      <c r="W598" s="10" t="str">
        <f aca="false">IFERROR(IF([1]对账明细接口!$R598=0,"",[1]对账明细接口!$R598),"")</f>
        <v/>
      </c>
      <c r="X598" s="10" t="str">
        <f aca="false">IFERROR(IF([1]对账明细接口!$S598=0,"",[1]对账明细接口!$S598),"")</f>
        <v/>
      </c>
      <c r="Y598" s="10" t="str">
        <f aca="false">""</f>
        <v/>
      </c>
      <c r="Z598" s="10" t="str">
        <f aca="false">""</f>
        <v/>
      </c>
      <c r="AA598" s="10" t="str">
        <f aca="false">""</f>
        <v/>
      </c>
      <c r="AB598" s="10" t="str">
        <f aca="false">""</f>
        <v/>
      </c>
    </row>
    <row r="599" customFormat="false" ht="13.5" hidden="false" customHeight="false" outlineLevel="0" collapsed="false">
      <c r="A599" s="109" t="n">
        <v>599</v>
      </c>
      <c r="B599" s="110" t="str">
        <f aca="false">IFERROR(IF([1]对账明细接口!$B$599=0,"",[1]对账明细接口!$B$599),"")</f>
        <v/>
      </c>
      <c r="C599" s="59" t="str">
        <f aca="false">IFERROR(IF([1]对账明细接口!$C$599=0,"",[1]对账明细接口!$C$599),"")</f>
        <v/>
      </c>
      <c r="D599" s="59" t="str">
        <f aca="false">IFERROR(IF([1]对账明细接口!$D$599=0,"",[1]对账明细接口!$D$599),"")</f>
        <v/>
      </c>
      <c r="E599" s="59" t="str">
        <f aca="false">IFERROR(IF([1]对账明细接口!$E$599=0,"",[1]对账明细接口!$E$599),"")</f>
        <v/>
      </c>
      <c r="F599" s="59" t="str">
        <f aca="false">IFERROR(IF([1]对账明细接口!$F$599=0,"",[1]对账明细接口!$F$599),"")</f>
        <v/>
      </c>
      <c r="G599" s="59" t="str">
        <f aca="false">IFERROR(IF([1]对账明细接口!$G$599=0,"",[1]对账明细接口!$G$599),"")</f>
        <v/>
      </c>
      <c r="H599" s="60" t="str">
        <f aca="false">IFERROR(IF([1]对账明细接口!$H$599=0,"",[1]对账明细接口!$H$599),"")</f>
        <v/>
      </c>
      <c r="I599" s="59" t="str">
        <f aca="false">IFERROR(IF([1]对账明细接口!$I$599=0,"",[1]对账明细接口!$I$599),"")</f>
        <v/>
      </c>
      <c r="J599" s="61" t="str">
        <f aca="false">IFERROR(IF([1]对账明细接口!$J$599=0,"",[1]对账明细接口!$J$599),"")</f>
        <v/>
      </c>
      <c r="K599" s="61" t="str">
        <f aca="false">IFERROR(IF([1]对账明细接口!$K$599=0,"",[1]对账明细接口!$K$599),"")</f>
        <v/>
      </c>
      <c r="L599" s="59" t="str">
        <f aca="false">IFERROR(IF([1]对账明细接口!$L$599=0,"",[1]对账明细接口!$L$599),"")</f>
        <v/>
      </c>
      <c r="M599" s="59" t="str">
        <f aca="false">IFERROR(IF([1]对账明细接口!$M$599=0,"",[1]对账明细接口!$M$599),"")</f>
        <v/>
      </c>
      <c r="N599" s="111" t="n">
        <f aca="false">IF($C599="",0,1)</f>
        <v>0</v>
      </c>
      <c r="O599" s="111" t="n">
        <f aca="false">N(O598)+$N599</f>
        <v>110</v>
      </c>
      <c r="S599" s="10" t="str">
        <f aca="false">IFERROR(IF([1]对账明细接口!$N599=0,"",[1]对账明细接口!$N599),"")</f>
        <v/>
      </c>
      <c r="T599" s="112" t="str">
        <f aca="false">IFERROR(IF([1]对账明细接口!$O599=0,"",[1]对账明细接口!$O599),"")</f>
        <v/>
      </c>
      <c r="U599" s="112" t="str">
        <f aca="false">IFERROR(IF([1]对账明细接口!$P599=0,"",[1]对账明细接口!$P599),"")</f>
        <v/>
      </c>
      <c r="V599" s="112" t="str">
        <f aca="false">IFERROR(IF([1]对账明细接口!$Q599=0,"",[1]对账明细接口!$Q599),"")</f>
        <v/>
      </c>
      <c r="W599" s="10" t="str">
        <f aca="false">IFERROR(IF([1]对账明细接口!$R599=0,"",[1]对账明细接口!$R599),"")</f>
        <v/>
      </c>
      <c r="X599" s="10" t="str">
        <f aca="false">IFERROR(IF([1]对账明细接口!$S599=0,"",[1]对账明细接口!$S599),"")</f>
        <v/>
      </c>
      <c r="Y599" s="10" t="str">
        <f aca="false">""</f>
        <v/>
      </c>
      <c r="Z599" s="10" t="str">
        <f aca="false">""</f>
        <v/>
      </c>
      <c r="AA599" s="10" t="str">
        <f aca="false">""</f>
        <v/>
      </c>
      <c r="AB599" s="10" t="str">
        <f aca="false">""</f>
        <v/>
      </c>
    </row>
    <row r="600" customFormat="false" ht="13.5" hidden="false" customHeight="false" outlineLevel="0" collapsed="false">
      <c r="A600" s="109" t="n">
        <v>600</v>
      </c>
      <c r="B600" s="110" t="str">
        <f aca="false">IFERROR(IF([1]对账明细接口!$B$600=0,"",[1]对账明细接口!$B$600),"")</f>
        <v/>
      </c>
      <c r="C600" s="59" t="str">
        <f aca="false">IFERROR(IF([1]对账明细接口!$C$600=0,"",[1]对账明细接口!$C$600),"")</f>
        <v/>
      </c>
      <c r="D600" s="59" t="str">
        <f aca="false">IFERROR(IF([1]对账明细接口!$D$600=0,"",[1]对账明细接口!$D$600),"")</f>
        <v/>
      </c>
      <c r="E600" s="59" t="str">
        <f aca="false">IFERROR(IF([1]对账明细接口!$E$600=0,"",[1]对账明细接口!$E$600),"")</f>
        <v/>
      </c>
      <c r="F600" s="59" t="str">
        <f aca="false">IFERROR(IF([1]对账明细接口!$F$600=0,"",[1]对账明细接口!$F$600),"")</f>
        <v/>
      </c>
      <c r="G600" s="59" t="str">
        <f aca="false">IFERROR(IF([1]对账明细接口!$G$600=0,"",[1]对账明细接口!$G$600),"")</f>
        <v/>
      </c>
      <c r="H600" s="60" t="str">
        <f aca="false">IFERROR(IF([1]对账明细接口!$H$600=0,"",[1]对账明细接口!$H$600),"")</f>
        <v/>
      </c>
      <c r="I600" s="59" t="str">
        <f aca="false">IFERROR(IF([1]对账明细接口!$I$600=0,"",[1]对账明细接口!$I$600),"")</f>
        <v/>
      </c>
      <c r="J600" s="61" t="str">
        <f aca="false">IFERROR(IF([1]对账明细接口!$J$600=0,"",[1]对账明细接口!$J$600),"")</f>
        <v/>
      </c>
      <c r="K600" s="61" t="str">
        <f aca="false">IFERROR(IF([1]对账明细接口!$K$600=0,"",[1]对账明细接口!$K$600),"")</f>
        <v/>
      </c>
      <c r="L600" s="59" t="str">
        <f aca="false">IFERROR(IF([1]对账明细接口!$L$600=0,"",[1]对账明细接口!$L$600),"")</f>
        <v/>
      </c>
      <c r="M600" s="59" t="str">
        <f aca="false">IFERROR(IF([1]对账明细接口!$M$600=0,"",[1]对账明细接口!$M$600),"")</f>
        <v/>
      </c>
      <c r="N600" s="111" t="n">
        <f aca="false">IF($C600="",0,1)</f>
        <v>0</v>
      </c>
      <c r="O600" s="111" t="n">
        <f aca="false">N(O599)+$N600</f>
        <v>110</v>
      </c>
      <c r="S600" s="10" t="str">
        <f aca="false">IFERROR(IF([1]对账明细接口!$N600=0,"",[1]对账明细接口!$N600),"")</f>
        <v/>
      </c>
      <c r="T600" s="112" t="str">
        <f aca="false">IFERROR(IF([1]对账明细接口!$O600=0,"",[1]对账明细接口!$O600),"")</f>
        <v/>
      </c>
      <c r="U600" s="112" t="str">
        <f aca="false">IFERROR(IF([1]对账明细接口!$P600=0,"",[1]对账明细接口!$P600),"")</f>
        <v/>
      </c>
      <c r="V600" s="112" t="str">
        <f aca="false">IFERROR(IF([1]对账明细接口!$Q600=0,"",[1]对账明细接口!$Q600),"")</f>
        <v/>
      </c>
      <c r="W600" s="10" t="str">
        <f aca="false">IFERROR(IF([1]对账明细接口!$R600=0,"",[1]对账明细接口!$R600),"")</f>
        <v/>
      </c>
      <c r="X600" s="10" t="str">
        <f aca="false">IFERROR(IF([1]对账明细接口!$S600=0,"",[1]对账明细接口!$S600),"")</f>
        <v/>
      </c>
      <c r="Y600" s="10" t="str">
        <f aca="false">""</f>
        <v/>
      </c>
      <c r="Z600" s="10" t="str">
        <f aca="false">""</f>
        <v/>
      </c>
      <c r="AA600" s="10" t="str">
        <f aca="false">""</f>
        <v/>
      </c>
      <c r="AB600" s="10" t="str">
        <f aca="false">""</f>
        <v/>
      </c>
    </row>
    <row r="601" customFormat="false" ht="13.5" hidden="false" customHeight="false" outlineLevel="0" collapsed="false">
      <c r="A601" s="109" t="n">
        <v>601</v>
      </c>
      <c r="B601" s="110" t="str">
        <f aca="false">IFERROR(IF([1]对账明细接口!$B$601=0,"",[1]对账明细接口!$B$601),"")</f>
        <v/>
      </c>
      <c r="C601" s="59" t="str">
        <f aca="false">IFERROR(IF([1]对账明细接口!$C$601=0,"",[1]对账明细接口!$C$601),"")</f>
        <v/>
      </c>
      <c r="D601" s="59" t="str">
        <f aca="false">IFERROR(IF([1]对账明细接口!$D$601=0,"",[1]对账明细接口!$D$601),"")</f>
        <v/>
      </c>
      <c r="E601" s="59" t="str">
        <f aca="false">IFERROR(IF([1]对账明细接口!$E$601=0,"",[1]对账明细接口!$E$601),"")</f>
        <v/>
      </c>
      <c r="F601" s="59" t="str">
        <f aca="false">IFERROR(IF([1]对账明细接口!$F$601=0,"",[1]对账明细接口!$F$601),"")</f>
        <v/>
      </c>
      <c r="G601" s="59" t="str">
        <f aca="false">IFERROR(IF([1]对账明细接口!$G$601=0,"",[1]对账明细接口!$G$601),"")</f>
        <v/>
      </c>
      <c r="H601" s="60" t="str">
        <f aca="false">IFERROR(IF([1]对账明细接口!$H$601=0,"",[1]对账明细接口!$H$601),"")</f>
        <v/>
      </c>
      <c r="I601" s="59" t="str">
        <f aca="false">IFERROR(IF([1]对账明细接口!$I$601=0,"",[1]对账明细接口!$I$601),"")</f>
        <v/>
      </c>
      <c r="J601" s="61" t="str">
        <f aca="false">IFERROR(IF([1]对账明细接口!$J$601=0,"",[1]对账明细接口!$J$601),"")</f>
        <v/>
      </c>
      <c r="K601" s="61" t="str">
        <f aca="false">IFERROR(IF([1]对账明细接口!$K$601=0,"",[1]对账明细接口!$K$601),"")</f>
        <v/>
      </c>
      <c r="L601" s="59" t="str">
        <f aca="false">IFERROR(IF([1]对账明细接口!$L$601=0,"",[1]对账明细接口!$L$601),"")</f>
        <v/>
      </c>
      <c r="M601" s="59" t="str">
        <f aca="false">IFERROR(IF([1]对账明细接口!$M$601=0,"",[1]对账明细接口!$M$601),"")</f>
        <v/>
      </c>
      <c r="N601" s="111" t="n">
        <f aca="false">IF($C601="",0,1)</f>
        <v>0</v>
      </c>
      <c r="O601" s="111" t="n">
        <f aca="false">N(O600)+$N601</f>
        <v>110</v>
      </c>
      <c r="S601" s="10" t="str">
        <f aca="false">IFERROR(IF([1]对账明细接口!$N601=0,"",[1]对账明细接口!$N601),"")</f>
        <v/>
      </c>
      <c r="T601" s="112" t="str">
        <f aca="false">IFERROR(IF([1]对账明细接口!$O601=0,"",[1]对账明细接口!$O601),"")</f>
        <v/>
      </c>
      <c r="U601" s="112" t="str">
        <f aca="false">IFERROR(IF([1]对账明细接口!$P601=0,"",[1]对账明细接口!$P601),"")</f>
        <v/>
      </c>
      <c r="V601" s="112" t="str">
        <f aca="false">IFERROR(IF([1]对账明细接口!$Q601=0,"",[1]对账明细接口!$Q601),"")</f>
        <v/>
      </c>
      <c r="W601" s="10" t="str">
        <f aca="false">IFERROR(IF([1]对账明细接口!$R601=0,"",[1]对账明细接口!$R601),"")</f>
        <v/>
      </c>
      <c r="X601" s="10" t="str">
        <f aca="false">IFERROR(IF([1]对账明细接口!$S601=0,"",[1]对账明细接口!$S601),"")</f>
        <v/>
      </c>
      <c r="Y601" s="10" t="str">
        <f aca="false">""</f>
        <v/>
      </c>
      <c r="Z601" s="10" t="str">
        <f aca="false">""</f>
        <v/>
      </c>
      <c r="AA601" s="10" t="str">
        <f aca="false">""</f>
        <v/>
      </c>
      <c r="AB601" s="10" t="str">
        <f aca="false">""</f>
        <v/>
      </c>
    </row>
    <row r="602" customFormat="false" ht="13.5" hidden="false" customHeight="false" outlineLevel="0" collapsed="false">
      <c r="A602" s="109" t="n">
        <v>602</v>
      </c>
      <c r="B602" s="110" t="str">
        <f aca="false">IFERROR(IF([1]对账明细接口!$B$602=0,"",[1]对账明细接口!$B$602),"")</f>
        <v/>
      </c>
      <c r="C602" s="59" t="str">
        <f aca="false">IFERROR(IF([1]对账明细接口!$C$602=0,"",[1]对账明细接口!$C$602),"")</f>
        <v/>
      </c>
      <c r="D602" s="59" t="str">
        <f aca="false">IFERROR(IF([1]对账明细接口!$D$602=0,"",[1]对账明细接口!$D$602),"")</f>
        <v/>
      </c>
      <c r="E602" s="59" t="str">
        <f aca="false">IFERROR(IF([1]对账明细接口!$E$602=0,"",[1]对账明细接口!$E$602),"")</f>
        <v/>
      </c>
      <c r="F602" s="59" t="str">
        <f aca="false">IFERROR(IF([1]对账明细接口!$F$602=0,"",[1]对账明细接口!$F$602),"")</f>
        <v/>
      </c>
      <c r="G602" s="59" t="str">
        <f aca="false">IFERROR(IF([1]对账明细接口!$G$602=0,"",[1]对账明细接口!$G$602),"")</f>
        <v/>
      </c>
      <c r="H602" s="60" t="str">
        <f aca="false">IFERROR(IF([1]对账明细接口!$H$602=0,"",[1]对账明细接口!$H$602),"")</f>
        <v/>
      </c>
      <c r="I602" s="59" t="str">
        <f aca="false">IFERROR(IF([1]对账明细接口!$I$602=0,"",[1]对账明细接口!$I$602),"")</f>
        <v/>
      </c>
      <c r="J602" s="61" t="str">
        <f aca="false">IFERROR(IF([1]对账明细接口!$J$602=0,"",[1]对账明细接口!$J$602),"")</f>
        <v/>
      </c>
      <c r="K602" s="61" t="str">
        <f aca="false">IFERROR(IF([1]对账明细接口!$K$602=0,"",[1]对账明细接口!$K$602),"")</f>
        <v/>
      </c>
      <c r="L602" s="59" t="str">
        <f aca="false">IFERROR(IF([1]对账明细接口!$L$602=0,"",[1]对账明细接口!$L$602),"")</f>
        <v/>
      </c>
      <c r="M602" s="59" t="str">
        <f aca="false">IFERROR(IF([1]对账明细接口!$M$602=0,"",[1]对账明细接口!$M$602),"")</f>
        <v/>
      </c>
      <c r="N602" s="111" t="n">
        <f aca="false">IF($C602="",0,1)</f>
        <v>0</v>
      </c>
      <c r="O602" s="111" t="n">
        <f aca="false">N(O601)+$N602</f>
        <v>110</v>
      </c>
      <c r="S602" s="10" t="str">
        <f aca="false">IFERROR(IF([1]对账明细接口!$N602=0,"",[1]对账明细接口!$N602),"")</f>
        <v/>
      </c>
      <c r="T602" s="112" t="str">
        <f aca="false">IFERROR(IF([1]对账明细接口!$O602=0,"",[1]对账明细接口!$O602),"")</f>
        <v/>
      </c>
      <c r="U602" s="112" t="str">
        <f aca="false">IFERROR(IF([1]对账明细接口!$P602=0,"",[1]对账明细接口!$P602),"")</f>
        <v/>
      </c>
      <c r="V602" s="112" t="str">
        <f aca="false">IFERROR(IF([1]对账明细接口!$Q602=0,"",[1]对账明细接口!$Q602),"")</f>
        <v/>
      </c>
      <c r="W602" s="10" t="str">
        <f aca="false">IFERROR(IF([1]对账明细接口!$R602=0,"",[1]对账明细接口!$R602),"")</f>
        <v/>
      </c>
      <c r="X602" s="10" t="str">
        <f aca="false">IFERROR(IF([1]对账明细接口!$S602=0,"",[1]对账明细接口!$S602),"")</f>
        <v/>
      </c>
      <c r="Y602" s="10" t="str">
        <f aca="false">""</f>
        <v/>
      </c>
      <c r="Z602" s="10" t="str">
        <f aca="false">""</f>
        <v/>
      </c>
      <c r="AA602" s="10" t="str">
        <f aca="false">""</f>
        <v/>
      </c>
      <c r="AB602" s="10" t="str">
        <f aca="false">""</f>
        <v/>
      </c>
    </row>
    <row r="603" customFormat="false" ht="13.5" hidden="false" customHeight="false" outlineLevel="0" collapsed="false">
      <c r="A603" s="109" t="n">
        <v>603</v>
      </c>
      <c r="B603" s="110" t="str">
        <f aca="false">IFERROR(IF([1]对账明细接口!$B$603=0,"",[1]对账明细接口!$B$603),"")</f>
        <v/>
      </c>
      <c r="C603" s="59" t="str">
        <f aca="false">IFERROR(IF([1]对账明细接口!$C$603=0,"",[1]对账明细接口!$C$603),"")</f>
        <v/>
      </c>
      <c r="D603" s="59" t="str">
        <f aca="false">IFERROR(IF([1]对账明细接口!$D$603=0,"",[1]对账明细接口!$D$603),"")</f>
        <v/>
      </c>
      <c r="E603" s="59" t="str">
        <f aca="false">IFERROR(IF([1]对账明细接口!$E$603=0,"",[1]对账明细接口!$E$603),"")</f>
        <v/>
      </c>
      <c r="F603" s="59" t="str">
        <f aca="false">IFERROR(IF([1]对账明细接口!$F$603=0,"",[1]对账明细接口!$F$603),"")</f>
        <v/>
      </c>
      <c r="G603" s="59" t="str">
        <f aca="false">IFERROR(IF([1]对账明细接口!$G$603=0,"",[1]对账明细接口!$G$603),"")</f>
        <v/>
      </c>
      <c r="H603" s="60" t="str">
        <f aca="false">IFERROR(IF([1]对账明细接口!$H$603=0,"",[1]对账明细接口!$H$603),"")</f>
        <v/>
      </c>
      <c r="I603" s="59" t="str">
        <f aca="false">IFERROR(IF([1]对账明细接口!$I$603=0,"",[1]对账明细接口!$I$603),"")</f>
        <v/>
      </c>
      <c r="J603" s="61" t="str">
        <f aca="false">IFERROR(IF([1]对账明细接口!$J$603=0,"",[1]对账明细接口!$J$603),"")</f>
        <v/>
      </c>
      <c r="K603" s="61" t="str">
        <f aca="false">IFERROR(IF([1]对账明细接口!$K$603=0,"",[1]对账明细接口!$K$603),"")</f>
        <v/>
      </c>
      <c r="L603" s="59" t="str">
        <f aca="false">IFERROR(IF([1]对账明细接口!$L$603=0,"",[1]对账明细接口!$L$603),"")</f>
        <v/>
      </c>
      <c r="M603" s="59" t="str">
        <f aca="false">IFERROR(IF([1]对账明细接口!$M$603=0,"",[1]对账明细接口!$M$603),"")</f>
        <v/>
      </c>
      <c r="N603" s="111" t="n">
        <f aca="false">IF($C603="",0,1)</f>
        <v>0</v>
      </c>
      <c r="O603" s="111" t="n">
        <f aca="false">N(O602)+$N603</f>
        <v>110</v>
      </c>
      <c r="S603" s="10" t="str">
        <f aca="false">IFERROR(IF([1]对账明细接口!$N603=0,"",[1]对账明细接口!$N603),"")</f>
        <v/>
      </c>
      <c r="T603" s="112" t="str">
        <f aca="false">IFERROR(IF([1]对账明细接口!$O603=0,"",[1]对账明细接口!$O603),"")</f>
        <v/>
      </c>
      <c r="U603" s="112" t="str">
        <f aca="false">IFERROR(IF([1]对账明细接口!$P603=0,"",[1]对账明细接口!$P603),"")</f>
        <v/>
      </c>
      <c r="V603" s="112" t="str">
        <f aca="false">IFERROR(IF([1]对账明细接口!$Q603=0,"",[1]对账明细接口!$Q603),"")</f>
        <v/>
      </c>
      <c r="W603" s="10" t="str">
        <f aca="false">IFERROR(IF([1]对账明细接口!$R603=0,"",[1]对账明细接口!$R603),"")</f>
        <v/>
      </c>
      <c r="X603" s="10" t="str">
        <f aca="false">IFERROR(IF([1]对账明细接口!$S603=0,"",[1]对账明细接口!$S603),"")</f>
        <v/>
      </c>
      <c r="Y603" s="10" t="str">
        <f aca="false">""</f>
        <v/>
      </c>
      <c r="Z603" s="10" t="str">
        <f aca="false">""</f>
        <v/>
      </c>
      <c r="AA603" s="10" t="str">
        <f aca="false">""</f>
        <v/>
      </c>
      <c r="AB603" s="10" t="str">
        <f aca="false">""</f>
        <v/>
      </c>
    </row>
    <row r="604" customFormat="false" ht="13.5" hidden="false" customHeight="false" outlineLevel="0" collapsed="false">
      <c r="A604" s="109" t="n">
        <v>604</v>
      </c>
      <c r="B604" s="110" t="str">
        <f aca="false">IFERROR(IF([1]对账明细接口!$B$604=0,"",[1]对账明细接口!$B$604),"")</f>
        <v/>
      </c>
      <c r="C604" s="59" t="str">
        <f aca="false">IFERROR(IF([1]对账明细接口!$C$604=0,"",[1]对账明细接口!$C$604),"")</f>
        <v/>
      </c>
      <c r="D604" s="59" t="str">
        <f aca="false">IFERROR(IF([1]对账明细接口!$D$604=0,"",[1]对账明细接口!$D$604),"")</f>
        <v/>
      </c>
      <c r="E604" s="59" t="str">
        <f aca="false">IFERROR(IF([1]对账明细接口!$E$604=0,"",[1]对账明细接口!$E$604),"")</f>
        <v/>
      </c>
      <c r="F604" s="59" t="str">
        <f aca="false">IFERROR(IF([1]对账明细接口!$F$604=0,"",[1]对账明细接口!$F$604),"")</f>
        <v/>
      </c>
      <c r="G604" s="59" t="str">
        <f aca="false">IFERROR(IF([1]对账明细接口!$G$604=0,"",[1]对账明细接口!$G$604),"")</f>
        <v/>
      </c>
      <c r="H604" s="60" t="str">
        <f aca="false">IFERROR(IF([1]对账明细接口!$H$604=0,"",[1]对账明细接口!$H$604),"")</f>
        <v/>
      </c>
      <c r="I604" s="59" t="str">
        <f aca="false">IFERROR(IF([1]对账明细接口!$I$604=0,"",[1]对账明细接口!$I$604),"")</f>
        <v/>
      </c>
      <c r="J604" s="61" t="str">
        <f aca="false">IFERROR(IF([1]对账明细接口!$J$604=0,"",[1]对账明细接口!$J$604),"")</f>
        <v/>
      </c>
      <c r="K604" s="61" t="str">
        <f aca="false">IFERROR(IF([1]对账明细接口!$K$604=0,"",[1]对账明细接口!$K$604),"")</f>
        <v/>
      </c>
      <c r="L604" s="59" t="str">
        <f aca="false">IFERROR(IF([1]对账明细接口!$L$604=0,"",[1]对账明细接口!$L$604),"")</f>
        <v/>
      </c>
      <c r="M604" s="59" t="str">
        <f aca="false">IFERROR(IF([1]对账明细接口!$M$604=0,"",[1]对账明细接口!$M$604),"")</f>
        <v/>
      </c>
      <c r="N604" s="111" t="n">
        <f aca="false">IF($C604="",0,1)</f>
        <v>0</v>
      </c>
      <c r="O604" s="111" t="n">
        <f aca="false">N(O603)+$N604</f>
        <v>110</v>
      </c>
      <c r="S604" s="10" t="str">
        <f aca="false">IFERROR(IF([1]对账明细接口!$N604=0,"",[1]对账明细接口!$N604),"")</f>
        <v/>
      </c>
      <c r="T604" s="112" t="str">
        <f aca="false">IFERROR(IF([1]对账明细接口!$O604=0,"",[1]对账明细接口!$O604),"")</f>
        <v/>
      </c>
      <c r="U604" s="112" t="str">
        <f aca="false">IFERROR(IF([1]对账明细接口!$P604=0,"",[1]对账明细接口!$P604),"")</f>
        <v/>
      </c>
      <c r="V604" s="112" t="str">
        <f aca="false">IFERROR(IF([1]对账明细接口!$Q604=0,"",[1]对账明细接口!$Q604),"")</f>
        <v/>
      </c>
      <c r="W604" s="10" t="str">
        <f aca="false">IFERROR(IF([1]对账明细接口!$R604=0,"",[1]对账明细接口!$R604),"")</f>
        <v/>
      </c>
      <c r="X604" s="10" t="str">
        <f aca="false">IFERROR(IF([1]对账明细接口!$S604=0,"",[1]对账明细接口!$S604),"")</f>
        <v/>
      </c>
      <c r="Y604" s="10" t="str">
        <f aca="false">""</f>
        <v/>
      </c>
      <c r="Z604" s="10" t="str">
        <f aca="false">""</f>
        <v/>
      </c>
      <c r="AA604" s="10" t="str">
        <f aca="false">""</f>
        <v/>
      </c>
      <c r="AB604" s="10" t="str">
        <f aca="false">""</f>
        <v/>
      </c>
    </row>
    <row r="605" customFormat="false" ht="13.5" hidden="false" customHeight="false" outlineLevel="0" collapsed="false">
      <c r="A605" s="109" t="n">
        <v>605</v>
      </c>
      <c r="B605" s="110" t="str">
        <f aca="false">IFERROR(IF([1]对账明细接口!$B$605=0,"",[1]对账明细接口!$B$605),"")</f>
        <v/>
      </c>
      <c r="C605" s="59" t="str">
        <f aca="false">IFERROR(IF([1]对账明细接口!$C$605=0,"",[1]对账明细接口!$C$605),"")</f>
        <v/>
      </c>
      <c r="D605" s="59" t="str">
        <f aca="false">IFERROR(IF([1]对账明细接口!$D$605=0,"",[1]对账明细接口!$D$605),"")</f>
        <v/>
      </c>
      <c r="E605" s="59" t="str">
        <f aca="false">IFERROR(IF([1]对账明细接口!$E$605=0,"",[1]对账明细接口!$E$605),"")</f>
        <v/>
      </c>
      <c r="F605" s="59" t="str">
        <f aca="false">IFERROR(IF([1]对账明细接口!$F$605=0,"",[1]对账明细接口!$F$605),"")</f>
        <v/>
      </c>
      <c r="G605" s="59" t="str">
        <f aca="false">IFERROR(IF([1]对账明细接口!$G$605=0,"",[1]对账明细接口!$G$605),"")</f>
        <v/>
      </c>
      <c r="H605" s="60" t="str">
        <f aca="false">IFERROR(IF([1]对账明细接口!$H$605=0,"",[1]对账明细接口!$H$605),"")</f>
        <v/>
      </c>
      <c r="I605" s="59" t="str">
        <f aca="false">IFERROR(IF([1]对账明细接口!$I$605=0,"",[1]对账明细接口!$I$605),"")</f>
        <v/>
      </c>
      <c r="J605" s="61" t="str">
        <f aca="false">IFERROR(IF([1]对账明细接口!$J$605=0,"",[1]对账明细接口!$J$605),"")</f>
        <v/>
      </c>
      <c r="K605" s="61" t="str">
        <f aca="false">IFERROR(IF([1]对账明细接口!$K$605=0,"",[1]对账明细接口!$K$605),"")</f>
        <v/>
      </c>
      <c r="L605" s="59" t="str">
        <f aca="false">IFERROR(IF([1]对账明细接口!$L$605=0,"",[1]对账明细接口!$L$605),"")</f>
        <v/>
      </c>
      <c r="M605" s="59" t="str">
        <f aca="false">IFERROR(IF([1]对账明细接口!$M$605=0,"",[1]对账明细接口!$M$605),"")</f>
        <v/>
      </c>
      <c r="N605" s="111" t="n">
        <f aca="false">IF($C605="",0,1)</f>
        <v>0</v>
      </c>
      <c r="O605" s="111" t="n">
        <f aca="false">N(O604)+$N605</f>
        <v>110</v>
      </c>
      <c r="S605" s="10" t="str">
        <f aca="false">IFERROR(IF([1]对账明细接口!$N605=0,"",[1]对账明细接口!$N605),"")</f>
        <v/>
      </c>
      <c r="T605" s="112" t="str">
        <f aca="false">IFERROR(IF([1]对账明细接口!$O605=0,"",[1]对账明细接口!$O605),"")</f>
        <v/>
      </c>
      <c r="U605" s="112" t="str">
        <f aca="false">IFERROR(IF([1]对账明细接口!$P605=0,"",[1]对账明细接口!$P605),"")</f>
        <v/>
      </c>
      <c r="V605" s="112" t="str">
        <f aca="false">IFERROR(IF([1]对账明细接口!$Q605=0,"",[1]对账明细接口!$Q605),"")</f>
        <v/>
      </c>
      <c r="W605" s="10" t="str">
        <f aca="false">IFERROR(IF([1]对账明细接口!$R605=0,"",[1]对账明细接口!$R605),"")</f>
        <v/>
      </c>
      <c r="X605" s="10" t="str">
        <f aca="false">IFERROR(IF([1]对账明细接口!$S605=0,"",[1]对账明细接口!$S605),"")</f>
        <v/>
      </c>
      <c r="Y605" s="10" t="str">
        <f aca="false">""</f>
        <v/>
      </c>
      <c r="Z605" s="10" t="str">
        <f aca="false">""</f>
        <v/>
      </c>
      <c r="AA605" s="10" t="str">
        <f aca="false">""</f>
        <v/>
      </c>
      <c r="AB605" s="10" t="str">
        <f aca="false">""</f>
        <v/>
      </c>
    </row>
    <row r="606" customFormat="false" ht="13.5" hidden="false" customHeight="false" outlineLevel="0" collapsed="false">
      <c r="A606" s="109" t="n">
        <v>606</v>
      </c>
      <c r="B606" s="110" t="str">
        <f aca="false">IFERROR(IF([1]对账明细接口!$B$606=0,"",[1]对账明细接口!$B$606),"")</f>
        <v/>
      </c>
      <c r="C606" s="59" t="str">
        <f aca="false">IFERROR(IF([1]对账明细接口!$C$606=0,"",[1]对账明细接口!$C$606),"")</f>
        <v/>
      </c>
      <c r="D606" s="59" t="str">
        <f aca="false">IFERROR(IF([1]对账明细接口!$D$606=0,"",[1]对账明细接口!$D$606),"")</f>
        <v/>
      </c>
      <c r="E606" s="59" t="str">
        <f aca="false">IFERROR(IF([1]对账明细接口!$E$606=0,"",[1]对账明细接口!$E$606),"")</f>
        <v/>
      </c>
      <c r="F606" s="59" t="str">
        <f aca="false">IFERROR(IF([1]对账明细接口!$F$606=0,"",[1]对账明细接口!$F$606),"")</f>
        <v/>
      </c>
      <c r="G606" s="59" t="str">
        <f aca="false">IFERROR(IF([1]对账明细接口!$G$606=0,"",[1]对账明细接口!$G$606),"")</f>
        <v/>
      </c>
      <c r="H606" s="60" t="str">
        <f aca="false">IFERROR(IF([1]对账明细接口!$H$606=0,"",[1]对账明细接口!$H$606),"")</f>
        <v/>
      </c>
      <c r="I606" s="59" t="str">
        <f aca="false">IFERROR(IF([1]对账明细接口!$I$606=0,"",[1]对账明细接口!$I$606),"")</f>
        <v/>
      </c>
      <c r="J606" s="61" t="str">
        <f aca="false">IFERROR(IF([1]对账明细接口!$J$606=0,"",[1]对账明细接口!$J$606),"")</f>
        <v/>
      </c>
      <c r="K606" s="61" t="str">
        <f aca="false">IFERROR(IF([1]对账明细接口!$K$606=0,"",[1]对账明细接口!$K$606),"")</f>
        <v/>
      </c>
      <c r="L606" s="59" t="str">
        <f aca="false">IFERROR(IF([1]对账明细接口!$L$606=0,"",[1]对账明细接口!$L$606),"")</f>
        <v/>
      </c>
      <c r="M606" s="59" t="str">
        <f aca="false">IFERROR(IF([1]对账明细接口!$M$606=0,"",[1]对账明细接口!$M$606),"")</f>
        <v/>
      </c>
      <c r="N606" s="111" t="n">
        <f aca="false">IF($C606="",0,1)</f>
        <v>0</v>
      </c>
      <c r="O606" s="111" t="n">
        <f aca="false">N(O605)+$N606</f>
        <v>110</v>
      </c>
      <c r="S606" s="10" t="str">
        <f aca="false">IFERROR(IF([1]对账明细接口!$N606=0,"",[1]对账明细接口!$N606),"")</f>
        <v/>
      </c>
      <c r="T606" s="112" t="str">
        <f aca="false">IFERROR(IF([1]对账明细接口!$O606=0,"",[1]对账明细接口!$O606),"")</f>
        <v/>
      </c>
      <c r="U606" s="112" t="str">
        <f aca="false">IFERROR(IF([1]对账明细接口!$P606=0,"",[1]对账明细接口!$P606),"")</f>
        <v/>
      </c>
      <c r="V606" s="112" t="str">
        <f aca="false">IFERROR(IF([1]对账明细接口!$Q606=0,"",[1]对账明细接口!$Q606),"")</f>
        <v/>
      </c>
      <c r="W606" s="10" t="str">
        <f aca="false">IFERROR(IF([1]对账明细接口!$R606=0,"",[1]对账明细接口!$R606),"")</f>
        <v/>
      </c>
      <c r="X606" s="10" t="str">
        <f aca="false">IFERROR(IF([1]对账明细接口!$S606=0,"",[1]对账明细接口!$S606),"")</f>
        <v/>
      </c>
      <c r="Y606" s="10" t="str">
        <f aca="false">""</f>
        <v/>
      </c>
      <c r="Z606" s="10" t="str">
        <f aca="false">""</f>
        <v/>
      </c>
      <c r="AA606" s="10" t="str">
        <f aca="false">""</f>
        <v/>
      </c>
      <c r="AB606" s="10" t="str">
        <f aca="false">""</f>
        <v/>
      </c>
    </row>
    <row r="607" customFormat="false" ht="13.5" hidden="false" customHeight="false" outlineLevel="0" collapsed="false">
      <c r="A607" s="109" t="n">
        <v>607</v>
      </c>
      <c r="B607" s="110" t="str">
        <f aca="false">IFERROR(IF([1]对账明细接口!$B$607=0,"",[1]对账明细接口!$B$607),"")</f>
        <v/>
      </c>
      <c r="C607" s="59" t="str">
        <f aca="false">IFERROR(IF([1]对账明细接口!$C$607=0,"",[1]对账明细接口!$C$607),"")</f>
        <v/>
      </c>
      <c r="D607" s="59" t="str">
        <f aca="false">IFERROR(IF([1]对账明细接口!$D$607=0,"",[1]对账明细接口!$D$607),"")</f>
        <v/>
      </c>
      <c r="E607" s="59" t="str">
        <f aca="false">IFERROR(IF([1]对账明细接口!$E$607=0,"",[1]对账明细接口!$E$607),"")</f>
        <v/>
      </c>
      <c r="F607" s="59" t="str">
        <f aca="false">IFERROR(IF([1]对账明细接口!$F$607=0,"",[1]对账明细接口!$F$607),"")</f>
        <v/>
      </c>
      <c r="G607" s="59" t="str">
        <f aca="false">IFERROR(IF([1]对账明细接口!$G$607=0,"",[1]对账明细接口!$G$607),"")</f>
        <v/>
      </c>
      <c r="H607" s="60" t="str">
        <f aca="false">IFERROR(IF([1]对账明细接口!$H$607=0,"",[1]对账明细接口!$H$607),"")</f>
        <v/>
      </c>
      <c r="I607" s="59" t="str">
        <f aca="false">IFERROR(IF([1]对账明细接口!$I$607=0,"",[1]对账明细接口!$I$607),"")</f>
        <v/>
      </c>
      <c r="J607" s="61" t="str">
        <f aca="false">IFERROR(IF([1]对账明细接口!$J$607=0,"",[1]对账明细接口!$J$607),"")</f>
        <v/>
      </c>
      <c r="K607" s="61" t="str">
        <f aca="false">IFERROR(IF([1]对账明细接口!$K$607=0,"",[1]对账明细接口!$K$607),"")</f>
        <v/>
      </c>
      <c r="L607" s="59" t="str">
        <f aca="false">IFERROR(IF([1]对账明细接口!$L$607=0,"",[1]对账明细接口!$L$607),"")</f>
        <v/>
      </c>
      <c r="M607" s="59" t="str">
        <f aca="false">IFERROR(IF([1]对账明细接口!$M$607=0,"",[1]对账明细接口!$M$607),"")</f>
        <v/>
      </c>
      <c r="N607" s="111" t="n">
        <f aca="false">IF($C607="",0,1)</f>
        <v>0</v>
      </c>
      <c r="O607" s="111" t="n">
        <f aca="false">N(O606)+$N607</f>
        <v>110</v>
      </c>
      <c r="S607" s="10" t="str">
        <f aca="false">IFERROR(IF([1]对账明细接口!$N607=0,"",[1]对账明细接口!$N607),"")</f>
        <v/>
      </c>
      <c r="T607" s="112" t="str">
        <f aca="false">IFERROR(IF([1]对账明细接口!$O607=0,"",[1]对账明细接口!$O607),"")</f>
        <v/>
      </c>
      <c r="U607" s="112" t="str">
        <f aca="false">IFERROR(IF([1]对账明细接口!$P607=0,"",[1]对账明细接口!$P607),"")</f>
        <v/>
      </c>
      <c r="V607" s="112" t="str">
        <f aca="false">IFERROR(IF([1]对账明细接口!$Q607=0,"",[1]对账明细接口!$Q607),"")</f>
        <v/>
      </c>
      <c r="W607" s="10" t="str">
        <f aca="false">IFERROR(IF([1]对账明细接口!$R607=0,"",[1]对账明细接口!$R607),"")</f>
        <v/>
      </c>
      <c r="X607" s="10" t="str">
        <f aca="false">IFERROR(IF([1]对账明细接口!$S607=0,"",[1]对账明细接口!$S607),"")</f>
        <v/>
      </c>
      <c r="Y607" s="10" t="str">
        <f aca="false">""</f>
        <v/>
      </c>
      <c r="Z607" s="10" t="str">
        <f aca="false">""</f>
        <v/>
      </c>
      <c r="AA607" s="10" t="str">
        <f aca="false">""</f>
        <v/>
      </c>
      <c r="AB607" s="10" t="str">
        <f aca="false">""</f>
        <v/>
      </c>
    </row>
    <row r="608" customFormat="false" ht="13.5" hidden="false" customHeight="false" outlineLevel="0" collapsed="false">
      <c r="A608" s="109" t="n">
        <v>608</v>
      </c>
      <c r="B608" s="110" t="str">
        <f aca="false">IFERROR(IF([1]对账明细接口!$B$608=0,"",[1]对账明细接口!$B$608),"")</f>
        <v/>
      </c>
      <c r="C608" s="59" t="str">
        <f aca="false">IFERROR(IF([1]对账明细接口!$C$608=0,"",[1]对账明细接口!$C$608),"")</f>
        <v/>
      </c>
      <c r="D608" s="59" t="str">
        <f aca="false">IFERROR(IF([1]对账明细接口!$D$608=0,"",[1]对账明细接口!$D$608),"")</f>
        <v/>
      </c>
      <c r="E608" s="59" t="str">
        <f aca="false">IFERROR(IF([1]对账明细接口!$E$608=0,"",[1]对账明细接口!$E$608),"")</f>
        <v/>
      </c>
      <c r="F608" s="59" t="str">
        <f aca="false">IFERROR(IF([1]对账明细接口!$F$608=0,"",[1]对账明细接口!$F$608),"")</f>
        <v/>
      </c>
      <c r="G608" s="59" t="str">
        <f aca="false">IFERROR(IF([1]对账明细接口!$G$608=0,"",[1]对账明细接口!$G$608),"")</f>
        <v/>
      </c>
      <c r="H608" s="60" t="str">
        <f aca="false">IFERROR(IF([1]对账明细接口!$H$608=0,"",[1]对账明细接口!$H$608),"")</f>
        <v/>
      </c>
      <c r="I608" s="59" t="str">
        <f aca="false">IFERROR(IF([1]对账明细接口!$I$608=0,"",[1]对账明细接口!$I$608),"")</f>
        <v/>
      </c>
      <c r="J608" s="61" t="str">
        <f aca="false">IFERROR(IF([1]对账明细接口!$J$608=0,"",[1]对账明细接口!$J$608),"")</f>
        <v/>
      </c>
      <c r="K608" s="61" t="str">
        <f aca="false">IFERROR(IF([1]对账明细接口!$K$608=0,"",[1]对账明细接口!$K$608),"")</f>
        <v/>
      </c>
      <c r="L608" s="59" t="str">
        <f aca="false">IFERROR(IF([1]对账明细接口!$L$608=0,"",[1]对账明细接口!$L$608),"")</f>
        <v/>
      </c>
      <c r="M608" s="59" t="str">
        <f aca="false">IFERROR(IF([1]对账明细接口!$M$608=0,"",[1]对账明细接口!$M$608),"")</f>
        <v/>
      </c>
      <c r="N608" s="111" t="n">
        <f aca="false">IF($C608="",0,1)</f>
        <v>0</v>
      </c>
      <c r="O608" s="111" t="n">
        <f aca="false">N(O607)+$N608</f>
        <v>110</v>
      </c>
      <c r="S608" s="10" t="str">
        <f aca="false">IFERROR(IF([1]对账明细接口!$N608=0,"",[1]对账明细接口!$N608),"")</f>
        <v/>
      </c>
      <c r="T608" s="112" t="str">
        <f aca="false">IFERROR(IF([1]对账明细接口!$O608=0,"",[1]对账明细接口!$O608),"")</f>
        <v/>
      </c>
      <c r="U608" s="112" t="str">
        <f aca="false">IFERROR(IF([1]对账明细接口!$P608=0,"",[1]对账明细接口!$P608),"")</f>
        <v/>
      </c>
      <c r="V608" s="112" t="str">
        <f aca="false">IFERROR(IF([1]对账明细接口!$Q608=0,"",[1]对账明细接口!$Q608),"")</f>
        <v/>
      </c>
      <c r="W608" s="10" t="str">
        <f aca="false">IFERROR(IF([1]对账明细接口!$R608=0,"",[1]对账明细接口!$R608),"")</f>
        <v/>
      </c>
      <c r="X608" s="10" t="str">
        <f aca="false">IFERROR(IF([1]对账明细接口!$S608=0,"",[1]对账明细接口!$S608),"")</f>
        <v/>
      </c>
      <c r="Y608" s="10" t="str">
        <f aca="false">""</f>
        <v/>
      </c>
      <c r="Z608" s="10" t="str">
        <f aca="false">""</f>
        <v/>
      </c>
      <c r="AA608" s="10" t="str">
        <f aca="false">""</f>
        <v/>
      </c>
      <c r="AB608" s="10" t="str">
        <f aca="false">""</f>
        <v/>
      </c>
    </row>
    <row r="609" customFormat="false" ht="13.5" hidden="false" customHeight="false" outlineLevel="0" collapsed="false">
      <c r="A609" s="109" t="n">
        <v>609</v>
      </c>
      <c r="B609" s="110" t="str">
        <f aca="false">IFERROR(IF([1]对账明细接口!$B$609=0,"",[1]对账明细接口!$B$609),"")</f>
        <v/>
      </c>
      <c r="C609" s="59" t="str">
        <f aca="false">IFERROR(IF([1]对账明细接口!$C$609=0,"",[1]对账明细接口!$C$609),"")</f>
        <v/>
      </c>
      <c r="D609" s="59" t="str">
        <f aca="false">IFERROR(IF([1]对账明细接口!$D$609=0,"",[1]对账明细接口!$D$609),"")</f>
        <v/>
      </c>
      <c r="E609" s="59" t="str">
        <f aca="false">IFERROR(IF([1]对账明细接口!$E$609=0,"",[1]对账明细接口!$E$609),"")</f>
        <v/>
      </c>
      <c r="F609" s="59" t="str">
        <f aca="false">IFERROR(IF([1]对账明细接口!$F$609=0,"",[1]对账明细接口!$F$609),"")</f>
        <v/>
      </c>
      <c r="G609" s="59" t="str">
        <f aca="false">IFERROR(IF([1]对账明细接口!$G$609=0,"",[1]对账明细接口!$G$609),"")</f>
        <v/>
      </c>
      <c r="H609" s="60" t="str">
        <f aca="false">IFERROR(IF([1]对账明细接口!$H$609=0,"",[1]对账明细接口!$H$609),"")</f>
        <v/>
      </c>
      <c r="I609" s="59" t="str">
        <f aca="false">IFERROR(IF([1]对账明细接口!$I$609=0,"",[1]对账明细接口!$I$609),"")</f>
        <v/>
      </c>
      <c r="J609" s="61" t="str">
        <f aca="false">IFERROR(IF([1]对账明细接口!$J$609=0,"",[1]对账明细接口!$J$609),"")</f>
        <v/>
      </c>
      <c r="K609" s="61" t="str">
        <f aca="false">IFERROR(IF([1]对账明细接口!$K$609=0,"",[1]对账明细接口!$K$609),"")</f>
        <v/>
      </c>
      <c r="L609" s="59" t="str">
        <f aca="false">IFERROR(IF([1]对账明细接口!$L$609=0,"",[1]对账明细接口!$L$609),"")</f>
        <v/>
      </c>
      <c r="M609" s="59" t="str">
        <f aca="false">IFERROR(IF([1]对账明细接口!$M$609=0,"",[1]对账明细接口!$M$609),"")</f>
        <v/>
      </c>
      <c r="N609" s="111" t="n">
        <f aca="false">IF($C609="",0,1)</f>
        <v>0</v>
      </c>
      <c r="O609" s="111" t="n">
        <f aca="false">N(O608)+$N609</f>
        <v>110</v>
      </c>
      <c r="S609" s="10" t="str">
        <f aca="false">IFERROR(IF([1]对账明细接口!$N609=0,"",[1]对账明细接口!$N609),"")</f>
        <v/>
      </c>
      <c r="T609" s="112" t="str">
        <f aca="false">IFERROR(IF([1]对账明细接口!$O609=0,"",[1]对账明细接口!$O609),"")</f>
        <v/>
      </c>
      <c r="U609" s="112" t="str">
        <f aca="false">IFERROR(IF([1]对账明细接口!$P609=0,"",[1]对账明细接口!$P609),"")</f>
        <v/>
      </c>
      <c r="V609" s="112" t="str">
        <f aca="false">IFERROR(IF([1]对账明细接口!$Q609=0,"",[1]对账明细接口!$Q609),"")</f>
        <v/>
      </c>
      <c r="W609" s="10" t="str">
        <f aca="false">IFERROR(IF([1]对账明细接口!$R609=0,"",[1]对账明细接口!$R609),"")</f>
        <v/>
      </c>
      <c r="X609" s="10" t="str">
        <f aca="false">IFERROR(IF([1]对账明细接口!$S609=0,"",[1]对账明细接口!$S609),"")</f>
        <v/>
      </c>
      <c r="Y609" s="10" t="str">
        <f aca="false">""</f>
        <v/>
      </c>
      <c r="Z609" s="10" t="str">
        <f aca="false">""</f>
        <v/>
      </c>
      <c r="AA609" s="10" t="str">
        <f aca="false">""</f>
        <v/>
      </c>
      <c r="AB609" s="10" t="str">
        <f aca="false">""</f>
        <v/>
      </c>
    </row>
    <row r="610" customFormat="false" ht="13.5" hidden="false" customHeight="false" outlineLevel="0" collapsed="false">
      <c r="A610" s="109" t="n">
        <v>610</v>
      </c>
      <c r="B610" s="110" t="str">
        <f aca="false">IFERROR(IF([1]对账明细接口!$B$610=0,"",[1]对账明细接口!$B$610),"")</f>
        <v/>
      </c>
      <c r="C610" s="59" t="str">
        <f aca="false">IFERROR(IF([1]对账明细接口!$C$610=0,"",[1]对账明细接口!$C$610),"")</f>
        <v/>
      </c>
      <c r="D610" s="59" t="str">
        <f aca="false">IFERROR(IF([1]对账明细接口!$D$610=0,"",[1]对账明细接口!$D$610),"")</f>
        <v/>
      </c>
      <c r="E610" s="59" t="str">
        <f aca="false">IFERROR(IF([1]对账明细接口!$E$610=0,"",[1]对账明细接口!$E$610),"")</f>
        <v/>
      </c>
      <c r="F610" s="59" t="str">
        <f aca="false">IFERROR(IF([1]对账明细接口!$F$610=0,"",[1]对账明细接口!$F$610),"")</f>
        <v/>
      </c>
      <c r="G610" s="59" t="str">
        <f aca="false">IFERROR(IF([1]对账明细接口!$G$610=0,"",[1]对账明细接口!$G$610),"")</f>
        <v/>
      </c>
      <c r="H610" s="60" t="str">
        <f aca="false">IFERROR(IF([1]对账明细接口!$H$610=0,"",[1]对账明细接口!$H$610),"")</f>
        <v/>
      </c>
      <c r="I610" s="59" t="str">
        <f aca="false">IFERROR(IF([1]对账明细接口!$I$610=0,"",[1]对账明细接口!$I$610),"")</f>
        <v/>
      </c>
      <c r="J610" s="61" t="str">
        <f aca="false">IFERROR(IF([1]对账明细接口!$J$610=0,"",[1]对账明细接口!$J$610),"")</f>
        <v/>
      </c>
      <c r="K610" s="61" t="str">
        <f aca="false">IFERROR(IF([1]对账明细接口!$K$610=0,"",[1]对账明细接口!$K$610),"")</f>
        <v/>
      </c>
      <c r="L610" s="59" t="str">
        <f aca="false">IFERROR(IF([1]对账明细接口!$L$610=0,"",[1]对账明细接口!$L$610),"")</f>
        <v/>
      </c>
      <c r="M610" s="59" t="str">
        <f aca="false">IFERROR(IF([1]对账明细接口!$M$610=0,"",[1]对账明细接口!$M$610),"")</f>
        <v/>
      </c>
      <c r="N610" s="111" t="n">
        <f aca="false">IF($C610="",0,1)</f>
        <v>0</v>
      </c>
      <c r="O610" s="111" t="n">
        <f aca="false">N(O609)+$N610</f>
        <v>110</v>
      </c>
      <c r="S610" s="10" t="str">
        <f aca="false">IFERROR(IF([1]对账明细接口!$N610=0,"",[1]对账明细接口!$N610),"")</f>
        <v/>
      </c>
      <c r="T610" s="112" t="str">
        <f aca="false">IFERROR(IF([1]对账明细接口!$O610=0,"",[1]对账明细接口!$O610),"")</f>
        <v/>
      </c>
      <c r="U610" s="112" t="str">
        <f aca="false">IFERROR(IF([1]对账明细接口!$P610=0,"",[1]对账明细接口!$P610),"")</f>
        <v/>
      </c>
      <c r="V610" s="112" t="str">
        <f aca="false">IFERROR(IF([1]对账明细接口!$Q610=0,"",[1]对账明细接口!$Q610),"")</f>
        <v/>
      </c>
      <c r="W610" s="10" t="str">
        <f aca="false">IFERROR(IF([1]对账明细接口!$R610=0,"",[1]对账明细接口!$R610),"")</f>
        <v/>
      </c>
      <c r="X610" s="10" t="str">
        <f aca="false">IFERROR(IF([1]对账明细接口!$S610=0,"",[1]对账明细接口!$S610),"")</f>
        <v/>
      </c>
      <c r="Y610" s="10" t="str">
        <f aca="false">""</f>
        <v/>
      </c>
      <c r="Z610" s="10" t="str">
        <f aca="false">""</f>
        <v/>
      </c>
      <c r="AA610" s="10" t="str">
        <f aca="false">""</f>
        <v/>
      </c>
      <c r="AB610" s="10" t="str">
        <f aca="false">""</f>
        <v/>
      </c>
    </row>
    <row r="611" customFormat="false" ht="13.5" hidden="false" customHeight="false" outlineLevel="0" collapsed="false">
      <c r="A611" s="109" t="n">
        <v>611</v>
      </c>
      <c r="B611" s="110" t="str">
        <f aca="false">IFERROR(IF([1]对账明细接口!$B$611=0,"",[1]对账明细接口!$B$611),"")</f>
        <v/>
      </c>
      <c r="C611" s="59" t="str">
        <f aca="false">IFERROR(IF([1]对账明细接口!$C$611=0,"",[1]对账明细接口!$C$611),"")</f>
        <v/>
      </c>
      <c r="D611" s="59" t="str">
        <f aca="false">IFERROR(IF([1]对账明细接口!$D$611=0,"",[1]对账明细接口!$D$611),"")</f>
        <v/>
      </c>
      <c r="E611" s="59" t="str">
        <f aca="false">IFERROR(IF([1]对账明细接口!$E$611=0,"",[1]对账明细接口!$E$611),"")</f>
        <v/>
      </c>
      <c r="F611" s="59" t="str">
        <f aca="false">IFERROR(IF([1]对账明细接口!$F$611=0,"",[1]对账明细接口!$F$611),"")</f>
        <v/>
      </c>
      <c r="G611" s="59" t="str">
        <f aca="false">IFERROR(IF([1]对账明细接口!$G$611=0,"",[1]对账明细接口!$G$611),"")</f>
        <v/>
      </c>
      <c r="H611" s="60" t="str">
        <f aca="false">IFERROR(IF([1]对账明细接口!$H$611=0,"",[1]对账明细接口!$H$611),"")</f>
        <v/>
      </c>
      <c r="I611" s="59" t="str">
        <f aca="false">IFERROR(IF([1]对账明细接口!$I$611=0,"",[1]对账明细接口!$I$611),"")</f>
        <v/>
      </c>
      <c r="J611" s="61" t="str">
        <f aca="false">IFERROR(IF([1]对账明细接口!$J$611=0,"",[1]对账明细接口!$J$611),"")</f>
        <v/>
      </c>
      <c r="K611" s="61" t="str">
        <f aca="false">IFERROR(IF([1]对账明细接口!$K$611=0,"",[1]对账明细接口!$K$611),"")</f>
        <v/>
      </c>
      <c r="L611" s="59" t="str">
        <f aca="false">IFERROR(IF([1]对账明细接口!$L$611=0,"",[1]对账明细接口!$L$611),"")</f>
        <v/>
      </c>
      <c r="M611" s="59" t="str">
        <f aca="false">IFERROR(IF([1]对账明细接口!$M$611=0,"",[1]对账明细接口!$M$611),"")</f>
        <v/>
      </c>
      <c r="N611" s="111" t="n">
        <f aca="false">IF($C611="",0,1)</f>
        <v>0</v>
      </c>
      <c r="O611" s="111" t="n">
        <f aca="false">N(O610)+$N611</f>
        <v>110</v>
      </c>
      <c r="S611" s="10" t="str">
        <f aca="false">IFERROR(IF([1]对账明细接口!$N611=0,"",[1]对账明细接口!$N611),"")</f>
        <v/>
      </c>
      <c r="T611" s="112" t="str">
        <f aca="false">IFERROR(IF([1]对账明细接口!$O611=0,"",[1]对账明细接口!$O611),"")</f>
        <v/>
      </c>
      <c r="U611" s="112" t="str">
        <f aca="false">IFERROR(IF([1]对账明细接口!$P611=0,"",[1]对账明细接口!$P611),"")</f>
        <v/>
      </c>
      <c r="V611" s="112" t="str">
        <f aca="false">IFERROR(IF([1]对账明细接口!$Q611=0,"",[1]对账明细接口!$Q611),"")</f>
        <v/>
      </c>
      <c r="W611" s="10" t="str">
        <f aca="false">IFERROR(IF([1]对账明细接口!$R611=0,"",[1]对账明细接口!$R611),"")</f>
        <v/>
      </c>
      <c r="X611" s="10" t="str">
        <f aca="false">IFERROR(IF([1]对账明细接口!$S611=0,"",[1]对账明细接口!$S611),"")</f>
        <v/>
      </c>
      <c r="Y611" s="10" t="str">
        <f aca="false">""</f>
        <v/>
      </c>
      <c r="Z611" s="10" t="str">
        <f aca="false">""</f>
        <v/>
      </c>
      <c r="AA611" s="10" t="str">
        <f aca="false">""</f>
        <v/>
      </c>
      <c r="AB611" s="10" t="str">
        <f aca="false">""</f>
        <v/>
      </c>
    </row>
    <row r="612" customFormat="false" ht="13.5" hidden="false" customHeight="false" outlineLevel="0" collapsed="false">
      <c r="A612" s="109" t="n">
        <v>612</v>
      </c>
      <c r="B612" s="110" t="str">
        <f aca="false">IFERROR(IF([1]对账明细接口!$B$612=0,"",[1]对账明细接口!$B$612),"")</f>
        <v/>
      </c>
      <c r="C612" s="59" t="str">
        <f aca="false">IFERROR(IF([1]对账明细接口!$C$612=0,"",[1]对账明细接口!$C$612),"")</f>
        <v/>
      </c>
      <c r="D612" s="59" t="str">
        <f aca="false">IFERROR(IF([1]对账明细接口!$D$612=0,"",[1]对账明细接口!$D$612),"")</f>
        <v/>
      </c>
      <c r="E612" s="59" t="str">
        <f aca="false">IFERROR(IF([1]对账明细接口!$E$612=0,"",[1]对账明细接口!$E$612),"")</f>
        <v/>
      </c>
      <c r="F612" s="59" t="str">
        <f aca="false">IFERROR(IF([1]对账明细接口!$F$612=0,"",[1]对账明细接口!$F$612),"")</f>
        <v/>
      </c>
      <c r="G612" s="59" t="str">
        <f aca="false">IFERROR(IF([1]对账明细接口!$G$612=0,"",[1]对账明细接口!$G$612),"")</f>
        <v/>
      </c>
      <c r="H612" s="60" t="str">
        <f aca="false">IFERROR(IF([1]对账明细接口!$H$612=0,"",[1]对账明细接口!$H$612),"")</f>
        <v/>
      </c>
      <c r="I612" s="59" t="str">
        <f aca="false">IFERROR(IF([1]对账明细接口!$I$612=0,"",[1]对账明细接口!$I$612),"")</f>
        <v/>
      </c>
      <c r="J612" s="61" t="str">
        <f aca="false">IFERROR(IF([1]对账明细接口!$J$612=0,"",[1]对账明细接口!$J$612),"")</f>
        <v/>
      </c>
      <c r="K612" s="61" t="str">
        <f aca="false">IFERROR(IF([1]对账明细接口!$K$612=0,"",[1]对账明细接口!$K$612),"")</f>
        <v/>
      </c>
      <c r="L612" s="59" t="str">
        <f aca="false">IFERROR(IF([1]对账明细接口!$L$612=0,"",[1]对账明细接口!$L$612),"")</f>
        <v/>
      </c>
      <c r="M612" s="59" t="str">
        <f aca="false">IFERROR(IF([1]对账明细接口!$M$612=0,"",[1]对账明细接口!$M$612),"")</f>
        <v/>
      </c>
      <c r="N612" s="111" t="n">
        <f aca="false">IF($C612="",0,1)</f>
        <v>0</v>
      </c>
      <c r="O612" s="111" t="n">
        <f aca="false">N(O611)+$N612</f>
        <v>110</v>
      </c>
      <c r="S612" s="10" t="str">
        <f aca="false">IFERROR(IF([1]对账明细接口!$N612=0,"",[1]对账明细接口!$N612),"")</f>
        <v/>
      </c>
      <c r="T612" s="112" t="str">
        <f aca="false">IFERROR(IF([1]对账明细接口!$O612=0,"",[1]对账明细接口!$O612),"")</f>
        <v/>
      </c>
      <c r="U612" s="112" t="str">
        <f aca="false">IFERROR(IF([1]对账明细接口!$P612=0,"",[1]对账明细接口!$P612),"")</f>
        <v/>
      </c>
      <c r="V612" s="112" t="str">
        <f aca="false">IFERROR(IF([1]对账明细接口!$Q612=0,"",[1]对账明细接口!$Q612),"")</f>
        <v/>
      </c>
      <c r="W612" s="10" t="str">
        <f aca="false">IFERROR(IF([1]对账明细接口!$R612=0,"",[1]对账明细接口!$R612),"")</f>
        <v/>
      </c>
      <c r="X612" s="10" t="str">
        <f aca="false">IFERROR(IF([1]对账明细接口!$S612=0,"",[1]对账明细接口!$S612),"")</f>
        <v/>
      </c>
      <c r="Y612" s="10" t="str">
        <f aca="false">""</f>
        <v/>
      </c>
      <c r="Z612" s="10" t="str">
        <f aca="false">""</f>
        <v/>
      </c>
      <c r="AA612" s="10" t="str">
        <f aca="false">""</f>
        <v/>
      </c>
      <c r="AB612" s="10" t="str">
        <f aca="false">""</f>
        <v/>
      </c>
    </row>
    <row r="613" customFormat="false" ht="13.5" hidden="false" customHeight="false" outlineLevel="0" collapsed="false">
      <c r="A613" s="109" t="n">
        <v>613</v>
      </c>
      <c r="B613" s="110" t="str">
        <f aca="false">IFERROR(IF([1]对账明细接口!$B$613=0,"",[1]对账明细接口!$B$613),"")</f>
        <v/>
      </c>
      <c r="C613" s="59" t="str">
        <f aca="false">IFERROR(IF([1]对账明细接口!$C$613=0,"",[1]对账明细接口!$C$613),"")</f>
        <v/>
      </c>
      <c r="D613" s="59" t="str">
        <f aca="false">IFERROR(IF([1]对账明细接口!$D$613=0,"",[1]对账明细接口!$D$613),"")</f>
        <v/>
      </c>
      <c r="E613" s="59" t="str">
        <f aca="false">IFERROR(IF([1]对账明细接口!$E$613=0,"",[1]对账明细接口!$E$613),"")</f>
        <v/>
      </c>
      <c r="F613" s="59" t="str">
        <f aca="false">IFERROR(IF([1]对账明细接口!$F$613=0,"",[1]对账明细接口!$F$613),"")</f>
        <v/>
      </c>
      <c r="G613" s="59" t="str">
        <f aca="false">IFERROR(IF([1]对账明细接口!$G$613=0,"",[1]对账明细接口!$G$613),"")</f>
        <v/>
      </c>
      <c r="H613" s="60" t="str">
        <f aca="false">IFERROR(IF([1]对账明细接口!$H$613=0,"",[1]对账明细接口!$H$613),"")</f>
        <v/>
      </c>
      <c r="I613" s="59" t="str">
        <f aca="false">IFERROR(IF([1]对账明细接口!$I$613=0,"",[1]对账明细接口!$I$613),"")</f>
        <v/>
      </c>
      <c r="J613" s="61" t="str">
        <f aca="false">IFERROR(IF([1]对账明细接口!$J$613=0,"",[1]对账明细接口!$J$613),"")</f>
        <v/>
      </c>
      <c r="K613" s="61" t="str">
        <f aca="false">IFERROR(IF([1]对账明细接口!$K$613=0,"",[1]对账明细接口!$K$613),"")</f>
        <v/>
      </c>
      <c r="L613" s="59" t="str">
        <f aca="false">IFERROR(IF([1]对账明细接口!$L$613=0,"",[1]对账明细接口!$L$613),"")</f>
        <v/>
      </c>
      <c r="M613" s="59" t="str">
        <f aca="false">IFERROR(IF([1]对账明细接口!$M$613=0,"",[1]对账明细接口!$M$613),"")</f>
        <v/>
      </c>
      <c r="N613" s="111" t="n">
        <f aca="false">IF($C613="",0,1)</f>
        <v>0</v>
      </c>
      <c r="O613" s="111" t="n">
        <f aca="false">N(O612)+$N613</f>
        <v>110</v>
      </c>
      <c r="S613" s="10" t="str">
        <f aca="false">IFERROR(IF([1]对账明细接口!$N613=0,"",[1]对账明细接口!$N613),"")</f>
        <v/>
      </c>
      <c r="T613" s="112" t="str">
        <f aca="false">IFERROR(IF([1]对账明细接口!$O613=0,"",[1]对账明细接口!$O613),"")</f>
        <v/>
      </c>
      <c r="U613" s="112" t="str">
        <f aca="false">IFERROR(IF([1]对账明细接口!$P613=0,"",[1]对账明细接口!$P613),"")</f>
        <v/>
      </c>
      <c r="V613" s="112" t="str">
        <f aca="false">IFERROR(IF([1]对账明细接口!$Q613=0,"",[1]对账明细接口!$Q613),"")</f>
        <v/>
      </c>
      <c r="W613" s="10" t="str">
        <f aca="false">IFERROR(IF([1]对账明细接口!$R613=0,"",[1]对账明细接口!$R613),"")</f>
        <v/>
      </c>
      <c r="X613" s="10" t="str">
        <f aca="false">IFERROR(IF([1]对账明细接口!$S613=0,"",[1]对账明细接口!$S613),"")</f>
        <v/>
      </c>
      <c r="Y613" s="10" t="str">
        <f aca="false">""</f>
        <v/>
      </c>
      <c r="Z613" s="10" t="str">
        <f aca="false">""</f>
        <v/>
      </c>
      <c r="AA613" s="10" t="str">
        <f aca="false">""</f>
        <v/>
      </c>
      <c r="AB613" s="10" t="str">
        <f aca="false">""</f>
        <v/>
      </c>
    </row>
    <row r="614" customFormat="false" ht="13.5" hidden="false" customHeight="false" outlineLevel="0" collapsed="false">
      <c r="A614" s="109" t="n">
        <v>614</v>
      </c>
      <c r="B614" s="110" t="str">
        <f aca="false">IFERROR(IF([1]对账明细接口!$B$614=0,"",[1]对账明细接口!$B$614),"")</f>
        <v/>
      </c>
      <c r="C614" s="59" t="str">
        <f aca="false">IFERROR(IF([1]对账明细接口!$C$614=0,"",[1]对账明细接口!$C$614),"")</f>
        <v/>
      </c>
      <c r="D614" s="59" t="str">
        <f aca="false">IFERROR(IF([1]对账明细接口!$D$614=0,"",[1]对账明细接口!$D$614),"")</f>
        <v/>
      </c>
      <c r="E614" s="59" t="str">
        <f aca="false">IFERROR(IF([1]对账明细接口!$E$614=0,"",[1]对账明细接口!$E$614),"")</f>
        <v/>
      </c>
      <c r="F614" s="59" t="str">
        <f aca="false">IFERROR(IF([1]对账明细接口!$F$614=0,"",[1]对账明细接口!$F$614),"")</f>
        <v/>
      </c>
      <c r="G614" s="59" t="str">
        <f aca="false">IFERROR(IF([1]对账明细接口!$G$614=0,"",[1]对账明细接口!$G$614),"")</f>
        <v/>
      </c>
      <c r="H614" s="60" t="str">
        <f aca="false">IFERROR(IF([1]对账明细接口!$H$614=0,"",[1]对账明细接口!$H$614),"")</f>
        <v/>
      </c>
      <c r="I614" s="59" t="str">
        <f aca="false">IFERROR(IF([1]对账明细接口!$I$614=0,"",[1]对账明细接口!$I$614),"")</f>
        <v/>
      </c>
      <c r="J614" s="61" t="str">
        <f aca="false">IFERROR(IF([1]对账明细接口!$J$614=0,"",[1]对账明细接口!$J$614),"")</f>
        <v/>
      </c>
      <c r="K614" s="61" t="str">
        <f aca="false">IFERROR(IF([1]对账明细接口!$K$614=0,"",[1]对账明细接口!$K$614),"")</f>
        <v/>
      </c>
      <c r="L614" s="59" t="str">
        <f aca="false">IFERROR(IF([1]对账明细接口!$L$614=0,"",[1]对账明细接口!$L$614),"")</f>
        <v/>
      </c>
      <c r="M614" s="59" t="str">
        <f aca="false">IFERROR(IF([1]对账明细接口!$M$614=0,"",[1]对账明细接口!$M$614),"")</f>
        <v/>
      </c>
      <c r="N614" s="111" t="n">
        <f aca="false">IF($C614="",0,1)</f>
        <v>0</v>
      </c>
      <c r="O614" s="111" t="n">
        <f aca="false">N(O613)+$N614</f>
        <v>110</v>
      </c>
      <c r="S614" s="10" t="str">
        <f aca="false">IFERROR(IF([1]对账明细接口!$N614=0,"",[1]对账明细接口!$N614),"")</f>
        <v/>
      </c>
      <c r="T614" s="112" t="str">
        <f aca="false">IFERROR(IF([1]对账明细接口!$O614=0,"",[1]对账明细接口!$O614),"")</f>
        <v/>
      </c>
      <c r="U614" s="112" t="str">
        <f aca="false">IFERROR(IF([1]对账明细接口!$P614=0,"",[1]对账明细接口!$P614),"")</f>
        <v/>
      </c>
      <c r="V614" s="112" t="str">
        <f aca="false">IFERROR(IF([1]对账明细接口!$Q614=0,"",[1]对账明细接口!$Q614),"")</f>
        <v/>
      </c>
      <c r="W614" s="10" t="str">
        <f aca="false">IFERROR(IF([1]对账明细接口!$R614=0,"",[1]对账明细接口!$R614),"")</f>
        <v/>
      </c>
      <c r="X614" s="10" t="str">
        <f aca="false">IFERROR(IF([1]对账明细接口!$S614=0,"",[1]对账明细接口!$S614),"")</f>
        <v/>
      </c>
      <c r="Y614" s="10" t="str">
        <f aca="false">""</f>
        <v/>
      </c>
      <c r="Z614" s="10" t="str">
        <f aca="false">""</f>
        <v/>
      </c>
      <c r="AA614" s="10" t="str">
        <f aca="false">""</f>
        <v/>
      </c>
      <c r="AB614" s="10" t="str">
        <f aca="false">""</f>
        <v/>
      </c>
    </row>
    <row r="615" customFormat="false" ht="13.5" hidden="false" customHeight="false" outlineLevel="0" collapsed="false">
      <c r="A615" s="109" t="n">
        <v>615</v>
      </c>
      <c r="B615" s="110" t="str">
        <f aca="false">IFERROR(IF([1]对账明细接口!$B$615=0,"",[1]对账明细接口!$B$615),"")</f>
        <v/>
      </c>
      <c r="C615" s="59" t="str">
        <f aca="false">IFERROR(IF([1]对账明细接口!$C$615=0,"",[1]对账明细接口!$C$615),"")</f>
        <v/>
      </c>
      <c r="D615" s="59" t="str">
        <f aca="false">IFERROR(IF([1]对账明细接口!$D$615=0,"",[1]对账明细接口!$D$615),"")</f>
        <v/>
      </c>
      <c r="E615" s="59" t="str">
        <f aca="false">IFERROR(IF([1]对账明细接口!$E$615=0,"",[1]对账明细接口!$E$615),"")</f>
        <v/>
      </c>
      <c r="F615" s="59" t="str">
        <f aca="false">IFERROR(IF([1]对账明细接口!$F$615=0,"",[1]对账明细接口!$F$615),"")</f>
        <v/>
      </c>
      <c r="G615" s="59" t="str">
        <f aca="false">IFERROR(IF([1]对账明细接口!$G$615=0,"",[1]对账明细接口!$G$615),"")</f>
        <v/>
      </c>
      <c r="H615" s="60" t="str">
        <f aca="false">IFERROR(IF([1]对账明细接口!$H$615=0,"",[1]对账明细接口!$H$615),"")</f>
        <v/>
      </c>
      <c r="I615" s="59" t="str">
        <f aca="false">IFERROR(IF([1]对账明细接口!$I$615=0,"",[1]对账明细接口!$I$615),"")</f>
        <v/>
      </c>
      <c r="J615" s="61" t="str">
        <f aca="false">IFERROR(IF([1]对账明细接口!$J$615=0,"",[1]对账明细接口!$J$615),"")</f>
        <v/>
      </c>
      <c r="K615" s="61" t="str">
        <f aca="false">IFERROR(IF([1]对账明细接口!$K$615=0,"",[1]对账明细接口!$K$615),"")</f>
        <v/>
      </c>
      <c r="L615" s="59" t="str">
        <f aca="false">IFERROR(IF([1]对账明细接口!$L$615=0,"",[1]对账明细接口!$L$615),"")</f>
        <v/>
      </c>
      <c r="M615" s="59" t="str">
        <f aca="false">IFERROR(IF([1]对账明细接口!$M$615=0,"",[1]对账明细接口!$M$615),"")</f>
        <v/>
      </c>
      <c r="N615" s="111" t="n">
        <f aca="false">IF($C615="",0,1)</f>
        <v>0</v>
      </c>
      <c r="O615" s="111" t="n">
        <f aca="false">N(O614)+$N615</f>
        <v>110</v>
      </c>
      <c r="S615" s="10" t="str">
        <f aca="false">IFERROR(IF([1]对账明细接口!$N615=0,"",[1]对账明细接口!$N615),"")</f>
        <v/>
      </c>
      <c r="T615" s="112" t="str">
        <f aca="false">IFERROR(IF([1]对账明细接口!$O615=0,"",[1]对账明细接口!$O615),"")</f>
        <v/>
      </c>
      <c r="U615" s="112" t="str">
        <f aca="false">IFERROR(IF([1]对账明细接口!$P615=0,"",[1]对账明细接口!$P615),"")</f>
        <v/>
      </c>
      <c r="V615" s="112" t="str">
        <f aca="false">IFERROR(IF([1]对账明细接口!$Q615=0,"",[1]对账明细接口!$Q615),"")</f>
        <v/>
      </c>
      <c r="W615" s="10" t="str">
        <f aca="false">IFERROR(IF([1]对账明细接口!$R615=0,"",[1]对账明细接口!$R615),"")</f>
        <v/>
      </c>
      <c r="X615" s="10" t="str">
        <f aca="false">IFERROR(IF([1]对账明细接口!$S615=0,"",[1]对账明细接口!$S615),"")</f>
        <v/>
      </c>
      <c r="Y615" s="10" t="str">
        <f aca="false">""</f>
        <v/>
      </c>
      <c r="Z615" s="10" t="str">
        <f aca="false">""</f>
        <v/>
      </c>
      <c r="AA615" s="10" t="str">
        <f aca="false">""</f>
        <v/>
      </c>
      <c r="AB615" s="10" t="str">
        <f aca="false">""</f>
        <v/>
      </c>
    </row>
    <row r="616" customFormat="false" ht="13.5" hidden="false" customHeight="false" outlineLevel="0" collapsed="false">
      <c r="A616" s="109" t="n">
        <v>616</v>
      </c>
      <c r="B616" s="110" t="str">
        <f aca="false">IFERROR(IF([1]对账明细接口!$B$616=0,"",[1]对账明细接口!$B$616),"")</f>
        <v/>
      </c>
      <c r="C616" s="59" t="str">
        <f aca="false">IFERROR(IF([1]对账明细接口!$C$616=0,"",[1]对账明细接口!$C$616),"")</f>
        <v/>
      </c>
      <c r="D616" s="59" t="str">
        <f aca="false">IFERROR(IF([1]对账明细接口!$D$616=0,"",[1]对账明细接口!$D$616),"")</f>
        <v/>
      </c>
      <c r="E616" s="59" t="str">
        <f aca="false">IFERROR(IF([1]对账明细接口!$E$616=0,"",[1]对账明细接口!$E$616),"")</f>
        <v/>
      </c>
      <c r="F616" s="59" t="str">
        <f aca="false">IFERROR(IF([1]对账明细接口!$F$616=0,"",[1]对账明细接口!$F$616),"")</f>
        <v/>
      </c>
      <c r="G616" s="59" t="str">
        <f aca="false">IFERROR(IF([1]对账明细接口!$G$616=0,"",[1]对账明细接口!$G$616),"")</f>
        <v/>
      </c>
      <c r="H616" s="60" t="str">
        <f aca="false">IFERROR(IF([1]对账明细接口!$H$616=0,"",[1]对账明细接口!$H$616),"")</f>
        <v/>
      </c>
      <c r="I616" s="59" t="str">
        <f aca="false">IFERROR(IF([1]对账明细接口!$I$616=0,"",[1]对账明细接口!$I$616),"")</f>
        <v/>
      </c>
      <c r="J616" s="61" t="str">
        <f aca="false">IFERROR(IF([1]对账明细接口!$J$616=0,"",[1]对账明细接口!$J$616),"")</f>
        <v/>
      </c>
      <c r="K616" s="61" t="str">
        <f aca="false">IFERROR(IF([1]对账明细接口!$K$616=0,"",[1]对账明细接口!$K$616),"")</f>
        <v/>
      </c>
      <c r="L616" s="59" t="str">
        <f aca="false">IFERROR(IF([1]对账明细接口!$L$616=0,"",[1]对账明细接口!$L$616),"")</f>
        <v/>
      </c>
      <c r="M616" s="59" t="str">
        <f aca="false">IFERROR(IF([1]对账明细接口!$M$616=0,"",[1]对账明细接口!$M$616),"")</f>
        <v/>
      </c>
      <c r="N616" s="111" t="n">
        <f aca="false">IF($C616="",0,1)</f>
        <v>0</v>
      </c>
      <c r="O616" s="111" t="n">
        <f aca="false">N(O615)+$N616</f>
        <v>110</v>
      </c>
      <c r="S616" s="10" t="str">
        <f aca="false">IFERROR(IF([1]对账明细接口!$N616=0,"",[1]对账明细接口!$N616),"")</f>
        <v/>
      </c>
      <c r="T616" s="112" t="str">
        <f aca="false">IFERROR(IF([1]对账明细接口!$O616=0,"",[1]对账明细接口!$O616),"")</f>
        <v/>
      </c>
      <c r="U616" s="112" t="str">
        <f aca="false">IFERROR(IF([1]对账明细接口!$P616=0,"",[1]对账明细接口!$P616),"")</f>
        <v/>
      </c>
      <c r="V616" s="112" t="str">
        <f aca="false">IFERROR(IF([1]对账明细接口!$Q616=0,"",[1]对账明细接口!$Q616),"")</f>
        <v/>
      </c>
      <c r="W616" s="10" t="str">
        <f aca="false">IFERROR(IF([1]对账明细接口!$R616=0,"",[1]对账明细接口!$R616),"")</f>
        <v/>
      </c>
      <c r="X616" s="10" t="str">
        <f aca="false">IFERROR(IF([1]对账明细接口!$S616=0,"",[1]对账明细接口!$S616),"")</f>
        <v/>
      </c>
      <c r="Y616" s="10" t="str">
        <f aca="false">""</f>
        <v/>
      </c>
      <c r="Z616" s="10" t="str">
        <f aca="false">""</f>
        <v/>
      </c>
      <c r="AA616" s="10" t="str">
        <f aca="false">""</f>
        <v/>
      </c>
      <c r="AB616" s="10" t="str">
        <f aca="false">""</f>
        <v/>
      </c>
    </row>
    <row r="617" customFormat="false" ht="13.5" hidden="false" customHeight="false" outlineLevel="0" collapsed="false">
      <c r="A617" s="109" t="n">
        <v>617</v>
      </c>
      <c r="B617" s="110" t="str">
        <f aca="false">IFERROR(IF([1]对账明细接口!$B$617=0,"",[1]对账明细接口!$B$617),"")</f>
        <v/>
      </c>
      <c r="C617" s="59" t="str">
        <f aca="false">IFERROR(IF([1]对账明细接口!$C$617=0,"",[1]对账明细接口!$C$617),"")</f>
        <v/>
      </c>
      <c r="D617" s="59" t="str">
        <f aca="false">IFERROR(IF([1]对账明细接口!$D$617=0,"",[1]对账明细接口!$D$617),"")</f>
        <v/>
      </c>
      <c r="E617" s="59" t="str">
        <f aca="false">IFERROR(IF([1]对账明细接口!$E$617=0,"",[1]对账明细接口!$E$617),"")</f>
        <v/>
      </c>
      <c r="F617" s="59" t="str">
        <f aca="false">IFERROR(IF([1]对账明细接口!$F$617=0,"",[1]对账明细接口!$F$617),"")</f>
        <v/>
      </c>
      <c r="G617" s="59" t="str">
        <f aca="false">IFERROR(IF([1]对账明细接口!$G$617=0,"",[1]对账明细接口!$G$617),"")</f>
        <v/>
      </c>
      <c r="H617" s="60" t="str">
        <f aca="false">IFERROR(IF([1]对账明细接口!$H$617=0,"",[1]对账明细接口!$H$617),"")</f>
        <v/>
      </c>
      <c r="I617" s="59" t="str">
        <f aca="false">IFERROR(IF([1]对账明细接口!$I$617=0,"",[1]对账明细接口!$I$617),"")</f>
        <v/>
      </c>
      <c r="J617" s="61" t="str">
        <f aca="false">IFERROR(IF([1]对账明细接口!$J$617=0,"",[1]对账明细接口!$J$617),"")</f>
        <v/>
      </c>
      <c r="K617" s="61" t="str">
        <f aca="false">IFERROR(IF([1]对账明细接口!$K$617=0,"",[1]对账明细接口!$K$617),"")</f>
        <v/>
      </c>
      <c r="L617" s="59" t="str">
        <f aca="false">IFERROR(IF([1]对账明细接口!$L$617=0,"",[1]对账明细接口!$L$617),"")</f>
        <v/>
      </c>
      <c r="M617" s="59" t="str">
        <f aca="false">IFERROR(IF([1]对账明细接口!$M$617=0,"",[1]对账明细接口!$M$617),"")</f>
        <v/>
      </c>
      <c r="N617" s="111" t="n">
        <f aca="false">IF($C617="",0,1)</f>
        <v>0</v>
      </c>
      <c r="O617" s="111" t="n">
        <f aca="false">N(O616)+$N617</f>
        <v>110</v>
      </c>
      <c r="S617" s="10" t="str">
        <f aca="false">IFERROR(IF([1]对账明细接口!$N617=0,"",[1]对账明细接口!$N617),"")</f>
        <v/>
      </c>
      <c r="T617" s="112" t="str">
        <f aca="false">IFERROR(IF([1]对账明细接口!$O617=0,"",[1]对账明细接口!$O617),"")</f>
        <v/>
      </c>
      <c r="U617" s="112" t="str">
        <f aca="false">IFERROR(IF([1]对账明细接口!$P617=0,"",[1]对账明细接口!$P617),"")</f>
        <v/>
      </c>
      <c r="V617" s="112" t="str">
        <f aca="false">IFERROR(IF([1]对账明细接口!$Q617=0,"",[1]对账明细接口!$Q617),"")</f>
        <v/>
      </c>
      <c r="W617" s="10" t="str">
        <f aca="false">IFERROR(IF([1]对账明细接口!$R617=0,"",[1]对账明细接口!$R617),"")</f>
        <v/>
      </c>
      <c r="X617" s="10" t="str">
        <f aca="false">IFERROR(IF([1]对账明细接口!$S617=0,"",[1]对账明细接口!$S617),"")</f>
        <v/>
      </c>
      <c r="Y617" s="10" t="str">
        <f aca="false">""</f>
        <v/>
      </c>
      <c r="Z617" s="10" t="str">
        <f aca="false">""</f>
        <v/>
      </c>
      <c r="AA617" s="10" t="str">
        <f aca="false">""</f>
        <v/>
      </c>
      <c r="AB617" s="10" t="str">
        <f aca="false">""</f>
        <v/>
      </c>
    </row>
    <row r="618" customFormat="false" ht="13.5" hidden="false" customHeight="false" outlineLevel="0" collapsed="false">
      <c r="A618" s="109" t="n">
        <v>618</v>
      </c>
      <c r="B618" s="110" t="str">
        <f aca="false">IFERROR(IF([1]对账明细接口!$B$618=0,"",[1]对账明细接口!$B$618),"")</f>
        <v/>
      </c>
      <c r="C618" s="59" t="str">
        <f aca="false">IFERROR(IF([1]对账明细接口!$C$618=0,"",[1]对账明细接口!$C$618),"")</f>
        <v/>
      </c>
      <c r="D618" s="59" t="str">
        <f aca="false">IFERROR(IF([1]对账明细接口!$D$618=0,"",[1]对账明细接口!$D$618),"")</f>
        <v/>
      </c>
      <c r="E618" s="59" t="str">
        <f aca="false">IFERROR(IF([1]对账明细接口!$E$618=0,"",[1]对账明细接口!$E$618),"")</f>
        <v/>
      </c>
      <c r="F618" s="59" t="str">
        <f aca="false">IFERROR(IF([1]对账明细接口!$F$618=0,"",[1]对账明细接口!$F$618),"")</f>
        <v/>
      </c>
      <c r="G618" s="59" t="str">
        <f aca="false">IFERROR(IF([1]对账明细接口!$G$618=0,"",[1]对账明细接口!$G$618),"")</f>
        <v/>
      </c>
      <c r="H618" s="60" t="str">
        <f aca="false">IFERROR(IF([1]对账明细接口!$H$618=0,"",[1]对账明细接口!$H$618),"")</f>
        <v/>
      </c>
      <c r="I618" s="59" t="str">
        <f aca="false">IFERROR(IF([1]对账明细接口!$I$618=0,"",[1]对账明细接口!$I$618),"")</f>
        <v/>
      </c>
      <c r="J618" s="61" t="str">
        <f aca="false">IFERROR(IF([1]对账明细接口!$J$618=0,"",[1]对账明细接口!$J$618),"")</f>
        <v/>
      </c>
      <c r="K618" s="61" t="str">
        <f aca="false">IFERROR(IF([1]对账明细接口!$K$618=0,"",[1]对账明细接口!$K$618),"")</f>
        <v/>
      </c>
      <c r="L618" s="59" t="str">
        <f aca="false">IFERROR(IF([1]对账明细接口!$L$618=0,"",[1]对账明细接口!$L$618),"")</f>
        <v/>
      </c>
      <c r="M618" s="59" t="str">
        <f aca="false">IFERROR(IF([1]对账明细接口!$M$618=0,"",[1]对账明细接口!$M$618),"")</f>
        <v/>
      </c>
      <c r="N618" s="111" t="n">
        <f aca="false">IF($C618="",0,1)</f>
        <v>0</v>
      </c>
      <c r="O618" s="111" t="n">
        <f aca="false">N(O617)+$N618</f>
        <v>110</v>
      </c>
      <c r="S618" s="10" t="str">
        <f aca="false">IFERROR(IF([1]对账明细接口!$N618=0,"",[1]对账明细接口!$N618),"")</f>
        <v/>
      </c>
      <c r="T618" s="112" t="str">
        <f aca="false">IFERROR(IF([1]对账明细接口!$O618=0,"",[1]对账明细接口!$O618),"")</f>
        <v/>
      </c>
      <c r="U618" s="112" t="str">
        <f aca="false">IFERROR(IF([1]对账明细接口!$P618=0,"",[1]对账明细接口!$P618),"")</f>
        <v/>
      </c>
      <c r="V618" s="112" t="str">
        <f aca="false">IFERROR(IF([1]对账明细接口!$Q618=0,"",[1]对账明细接口!$Q618),"")</f>
        <v/>
      </c>
      <c r="W618" s="10" t="str">
        <f aca="false">IFERROR(IF([1]对账明细接口!$R618=0,"",[1]对账明细接口!$R618),"")</f>
        <v/>
      </c>
      <c r="X618" s="10" t="str">
        <f aca="false">IFERROR(IF([1]对账明细接口!$S618=0,"",[1]对账明细接口!$S618),"")</f>
        <v/>
      </c>
      <c r="Y618" s="10" t="str">
        <f aca="false">""</f>
        <v/>
      </c>
      <c r="Z618" s="10" t="str">
        <f aca="false">""</f>
        <v/>
      </c>
      <c r="AA618" s="10" t="str">
        <f aca="false">""</f>
        <v/>
      </c>
      <c r="AB618" s="10" t="str">
        <f aca="false">""</f>
        <v/>
      </c>
    </row>
    <row r="619" customFormat="false" ht="13.5" hidden="false" customHeight="false" outlineLevel="0" collapsed="false">
      <c r="A619" s="109" t="n">
        <v>619</v>
      </c>
      <c r="B619" s="110" t="str">
        <f aca="false">IFERROR(IF([1]对账明细接口!$B$619=0,"",[1]对账明细接口!$B$619),"")</f>
        <v/>
      </c>
      <c r="C619" s="59" t="str">
        <f aca="false">IFERROR(IF([1]对账明细接口!$C$619=0,"",[1]对账明细接口!$C$619),"")</f>
        <v/>
      </c>
      <c r="D619" s="59" t="str">
        <f aca="false">IFERROR(IF([1]对账明细接口!$D$619=0,"",[1]对账明细接口!$D$619),"")</f>
        <v/>
      </c>
      <c r="E619" s="59" t="str">
        <f aca="false">IFERROR(IF([1]对账明细接口!$E$619=0,"",[1]对账明细接口!$E$619),"")</f>
        <v/>
      </c>
      <c r="F619" s="59" t="str">
        <f aca="false">IFERROR(IF([1]对账明细接口!$F$619=0,"",[1]对账明细接口!$F$619),"")</f>
        <v/>
      </c>
      <c r="G619" s="59" t="str">
        <f aca="false">IFERROR(IF([1]对账明细接口!$G$619=0,"",[1]对账明细接口!$G$619),"")</f>
        <v/>
      </c>
      <c r="H619" s="60" t="str">
        <f aca="false">IFERROR(IF([1]对账明细接口!$H$619=0,"",[1]对账明细接口!$H$619),"")</f>
        <v/>
      </c>
      <c r="I619" s="59" t="str">
        <f aca="false">IFERROR(IF([1]对账明细接口!$I$619=0,"",[1]对账明细接口!$I$619),"")</f>
        <v/>
      </c>
      <c r="J619" s="61" t="str">
        <f aca="false">IFERROR(IF([1]对账明细接口!$J$619=0,"",[1]对账明细接口!$J$619),"")</f>
        <v/>
      </c>
      <c r="K619" s="61" t="str">
        <f aca="false">IFERROR(IF([1]对账明细接口!$K$619=0,"",[1]对账明细接口!$K$619),"")</f>
        <v/>
      </c>
      <c r="L619" s="59" t="str">
        <f aca="false">IFERROR(IF([1]对账明细接口!$L$619=0,"",[1]对账明细接口!$L$619),"")</f>
        <v/>
      </c>
      <c r="M619" s="59" t="str">
        <f aca="false">IFERROR(IF([1]对账明细接口!$M$619=0,"",[1]对账明细接口!$M$619),"")</f>
        <v/>
      </c>
      <c r="N619" s="111" t="n">
        <f aca="false">IF($C619="",0,1)</f>
        <v>0</v>
      </c>
      <c r="O619" s="111" t="n">
        <f aca="false">N(O618)+$N619</f>
        <v>110</v>
      </c>
      <c r="S619" s="10" t="str">
        <f aca="false">IFERROR(IF([1]对账明细接口!$N619=0,"",[1]对账明细接口!$N619),"")</f>
        <v/>
      </c>
      <c r="T619" s="112" t="str">
        <f aca="false">IFERROR(IF([1]对账明细接口!$O619=0,"",[1]对账明细接口!$O619),"")</f>
        <v/>
      </c>
      <c r="U619" s="112" t="str">
        <f aca="false">IFERROR(IF([1]对账明细接口!$P619=0,"",[1]对账明细接口!$P619),"")</f>
        <v/>
      </c>
      <c r="V619" s="112" t="str">
        <f aca="false">IFERROR(IF([1]对账明细接口!$Q619=0,"",[1]对账明细接口!$Q619),"")</f>
        <v/>
      </c>
      <c r="W619" s="10" t="str">
        <f aca="false">IFERROR(IF([1]对账明细接口!$R619=0,"",[1]对账明细接口!$R619),"")</f>
        <v/>
      </c>
      <c r="X619" s="10" t="str">
        <f aca="false">IFERROR(IF([1]对账明细接口!$S619=0,"",[1]对账明细接口!$S619),"")</f>
        <v/>
      </c>
      <c r="Y619" s="10" t="str">
        <f aca="false">""</f>
        <v/>
      </c>
      <c r="Z619" s="10" t="str">
        <f aca="false">""</f>
        <v/>
      </c>
      <c r="AA619" s="10" t="str">
        <f aca="false">""</f>
        <v/>
      </c>
      <c r="AB619" s="10" t="str">
        <f aca="false">""</f>
        <v/>
      </c>
    </row>
    <row r="620" customFormat="false" ht="13.5" hidden="false" customHeight="false" outlineLevel="0" collapsed="false">
      <c r="A620" s="109" t="n">
        <v>620</v>
      </c>
      <c r="B620" s="110" t="str">
        <f aca="false">IFERROR(IF([1]对账明细接口!$B$620=0,"",[1]对账明细接口!$B$620),"")</f>
        <v/>
      </c>
      <c r="C620" s="59" t="str">
        <f aca="false">IFERROR(IF([1]对账明细接口!$C$620=0,"",[1]对账明细接口!$C$620),"")</f>
        <v/>
      </c>
      <c r="D620" s="59" t="str">
        <f aca="false">IFERROR(IF([1]对账明细接口!$D$620=0,"",[1]对账明细接口!$D$620),"")</f>
        <v/>
      </c>
      <c r="E620" s="59" t="str">
        <f aca="false">IFERROR(IF([1]对账明细接口!$E$620=0,"",[1]对账明细接口!$E$620),"")</f>
        <v/>
      </c>
      <c r="F620" s="59" t="str">
        <f aca="false">IFERROR(IF([1]对账明细接口!$F$620=0,"",[1]对账明细接口!$F$620),"")</f>
        <v/>
      </c>
      <c r="G620" s="59" t="str">
        <f aca="false">IFERROR(IF([1]对账明细接口!$G$620=0,"",[1]对账明细接口!$G$620),"")</f>
        <v/>
      </c>
      <c r="H620" s="60" t="str">
        <f aca="false">IFERROR(IF([1]对账明细接口!$H$620=0,"",[1]对账明细接口!$H$620),"")</f>
        <v/>
      </c>
      <c r="I620" s="59" t="str">
        <f aca="false">IFERROR(IF([1]对账明细接口!$I$620=0,"",[1]对账明细接口!$I$620),"")</f>
        <v/>
      </c>
      <c r="J620" s="61" t="str">
        <f aca="false">IFERROR(IF([1]对账明细接口!$J$620=0,"",[1]对账明细接口!$J$620),"")</f>
        <v/>
      </c>
      <c r="K620" s="61" t="str">
        <f aca="false">IFERROR(IF([1]对账明细接口!$K$620=0,"",[1]对账明细接口!$K$620),"")</f>
        <v/>
      </c>
      <c r="L620" s="59" t="str">
        <f aca="false">IFERROR(IF([1]对账明细接口!$L$620=0,"",[1]对账明细接口!$L$620),"")</f>
        <v/>
      </c>
      <c r="M620" s="59" t="str">
        <f aca="false">IFERROR(IF([1]对账明细接口!$M$620=0,"",[1]对账明细接口!$M$620),"")</f>
        <v/>
      </c>
      <c r="N620" s="111" t="n">
        <f aca="false">IF($C620="",0,1)</f>
        <v>0</v>
      </c>
      <c r="O620" s="111" t="n">
        <f aca="false">N(O619)+$N620</f>
        <v>110</v>
      </c>
      <c r="S620" s="10" t="str">
        <f aca="false">IFERROR(IF([1]对账明细接口!$N620=0,"",[1]对账明细接口!$N620),"")</f>
        <v/>
      </c>
      <c r="T620" s="112" t="str">
        <f aca="false">IFERROR(IF([1]对账明细接口!$O620=0,"",[1]对账明细接口!$O620),"")</f>
        <v/>
      </c>
      <c r="U620" s="112" t="str">
        <f aca="false">IFERROR(IF([1]对账明细接口!$P620=0,"",[1]对账明细接口!$P620),"")</f>
        <v/>
      </c>
      <c r="V620" s="112" t="str">
        <f aca="false">IFERROR(IF([1]对账明细接口!$Q620=0,"",[1]对账明细接口!$Q620),"")</f>
        <v/>
      </c>
      <c r="W620" s="10" t="str">
        <f aca="false">IFERROR(IF([1]对账明细接口!$R620=0,"",[1]对账明细接口!$R620),"")</f>
        <v/>
      </c>
      <c r="X620" s="10" t="str">
        <f aca="false">IFERROR(IF([1]对账明细接口!$S620=0,"",[1]对账明细接口!$S620),"")</f>
        <v/>
      </c>
      <c r="Y620" s="10" t="str">
        <f aca="false">""</f>
        <v/>
      </c>
      <c r="Z620" s="10" t="str">
        <f aca="false">""</f>
        <v/>
      </c>
      <c r="AA620" s="10" t="str">
        <f aca="false">""</f>
        <v/>
      </c>
      <c r="AB620" s="10" t="str">
        <f aca="false">""</f>
        <v/>
      </c>
    </row>
    <row r="621" customFormat="false" ht="13.5" hidden="false" customHeight="false" outlineLevel="0" collapsed="false">
      <c r="A621" s="109" t="n">
        <v>621</v>
      </c>
      <c r="B621" s="110" t="str">
        <f aca="false">IFERROR(IF([1]对账明细接口!$B$621=0,"",[1]对账明细接口!$B$621),"")</f>
        <v/>
      </c>
      <c r="C621" s="59" t="str">
        <f aca="false">IFERROR(IF([1]对账明细接口!$C$621=0,"",[1]对账明细接口!$C$621),"")</f>
        <v/>
      </c>
      <c r="D621" s="59" t="str">
        <f aca="false">IFERROR(IF([1]对账明细接口!$D$621=0,"",[1]对账明细接口!$D$621),"")</f>
        <v/>
      </c>
      <c r="E621" s="59" t="str">
        <f aca="false">IFERROR(IF([1]对账明细接口!$E$621=0,"",[1]对账明细接口!$E$621),"")</f>
        <v/>
      </c>
      <c r="F621" s="59" t="str">
        <f aca="false">IFERROR(IF([1]对账明细接口!$F$621=0,"",[1]对账明细接口!$F$621),"")</f>
        <v/>
      </c>
      <c r="G621" s="59" t="str">
        <f aca="false">IFERROR(IF([1]对账明细接口!$G$621=0,"",[1]对账明细接口!$G$621),"")</f>
        <v/>
      </c>
      <c r="H621" s="60" t="str">
        <f aca="false">IFERROR(IF([1]对账明细接口!$H$621=0,"",[1]对账明细接口!$H$621),"")</f>
        <v/>
      </c>
      <c r="I621" s="59" t="str">
        <f aca="false">IFERROR(IF([1]对账明细接口!$I$621=0,"",[1]对账明细接口!$I$621),"")</f>
        <v/>
      </c>
      <c r="J621" s="61" t="str">
        <f aca="false">IFERROR(IF([1]对账明细接口!$J$621=0,"",[1]对账明细接口!$J$621),"")</f>
        <v/>
      </c>
      <c r="K621" s="61" t="str">
        <f aca="false">IFERROR(IF([1]对账明细接口!$K$621=0,"",[1]对账明细接口!$K$621),"")</f>
        <v/>
      </c>
      <c r="L621" s="59" t="str">
        <f aca="false">IFERROR(IF([1]对账明细接口!$L$621=0,"",[1]对账明细接口!$L$621),"")</f>
        <v/>
      </c>
      <c r="M621" s="59" t="str">
        <f aca="false">IFERROR(IF([1]对账明细接口!$M$621=0,"",[1]对账明细接口!$M$621),"")</f>
        <v/>
      </c>
      <c r="N621" s="111" t="n">
        <f aca="false">IF($C621="",0,1)</f>
        <v>0</v>
      </c>
      <c r="O621" s="111" t="n">
        <f aca="false">N(O620)+$N621</f>
        <v>110</v>
      </c>
      <c r="S621" s="10" t="str">
        <f aca="false">IFERROR(IF([1]对账明细接口!$N621=0,"",[1]对账明细接口!$N621),"")</f>
        <v/>
      </c>
      <c r="T621" s="112" t="str">
        <f aca="false">IFERROR(IF([1]对账明细接口!$O621=0,"",[1]对账明细接口!$O621),"")</f>
        <v/>
      </c>
      <c r="U621" s="112" t="str">
        <f aca="false">IFERROR(IF([1]对账明细接口!$P621=0,"",[1]对账明细接口!$P621),"")</f>
        <v/>
      </c>
      <c r="V621" s="112" t="str">
        <f aca="false">IFERROR(IF([1]对账明细接口!$Q621=0,"",[1]对账明细接口!$Q621),"")</f>
        <v/>
      </c>
      <c r="W621" s="10" t="str">
        <f aca="false">IFERROR(IF([1]对账明细接口!$R621=0,"",[1]对账明细接口!$R621),"")</f>
        <v/>
      </c>
      <c r="X621" s="10" t="str">
        <f aca="false">IFERROR(IF([1]对账明细接口!$S621=0,"",[1]对账明细接口!$S621),"")</f>
        <v/>
      </c>
      <c r="Y621" s="10" t="str">
        <f aca="false">""</f>
        <v/>
      </c>
      <c r="Z621" s="10" t="str">
        <f aca="false">""</f>
        <v/>
      </c>
      <c r="AA621" s="10" t="str">
        <f aca="false">""</f>
        <v/>
      </c>
      <c r="AB621" s="10" t="str">
        <f aca="false">""</f>
        <v/>
      </c>
    </row>
    <row r="622" customFormat="false" ht="13.5" hidden="false" customHeight="false" outlineLevel="0" collapsed="false">
      <c r="A622" s="109" t="n">
        <v>622</v>
      </c>
      <c r="B622" s="110" t="str">
        <f aca="false">IFERROR(IF([1]对账明细接口!$B$622=0,"",[1]对账明细接口!$B$622),"")</f>
        <v/>
      </c>
      <c r="C622" s="59" t="str">
        <f aca="false">IFERROR(IF([1]对账明细接口!$C$622=0,"",[1]对账明细接口!$C$622),"")</f>
        <v/>
      </c>
      <c r="D622" s="59" t="str">
        <f aca="false">IFERROR(IF([1]对账明细接口!$D$622=0,"",[1]对账明细接口!$D$622),"")</f>
        <v/>
      </c>
      <c r="E622" s="59" t="str">
        <f aca="false">IFERROR(IF([1]对账明细接口!$E$622=0,"",[1]对账明细接口!$E$622),"")</f>
        <v/>
      </c>
      <c r="F622" s="59" t="str">
        <f aca="false">IFERROR(IF([1]对账明细接口!$F$622=0,"",[1]对账明细接口!$F$622),"")</f>
        <v/>
      </c>
      <c r="G622" s="59" t="str">
        <f aca="false">IFERROR(IF([1]对账明细接口!$G$622=0,"",[1]对账明细接口!$G$622),"")</f>
        <v/>
      </c>
      <c r="H622" s="60" t="str">
        <f aca="false">IFERROR(IF([1]对账明细接口!$H$622=0,"",[1]对账明细接口!$H$622),"")</f>
        <v/>
      </c>
      <c r="I622" s="59" t="str">
        <f aca="false">IFERROR(IF([1]对账明细接口!$I$622=0,"",[1]对账明细接口!$I$622),"")</f>
        <v/>
      </c>
      <c r="J622" s="61" t="str">
        <f aca="false">IFERROR(IF([1]对账明细接口!$J$622=0,"",[1]对账明细接口!$J$622),"")</f>
        <v/>
      </c>
      <c r="K622" s="61" t="str">
        <f aca="false">IFERROR(IF([1]对账明细接口!$K$622=0,"",[1]对账明细接口!$K$622),"")</f>
        <v/>
      </c>
      <c r="L622" s="59" t="str">
        <f aca="false">IFERROR(IF([1]对账明细接口!$L$622=0,"",[1]对账明细接口!$L$622),"")</f>
        <v/>
      </c>
      <c r="M622" s="59" t="str">
        <f aca="false">IFERROR(IF([1]对账明细接口!$M$622=0,"",[1]对账明细接口!$M$622),"")</f>
        <v/>
      </c>
      <c r="N622" s="111" t="n">
        <f aca="false">IF($C622="",0,1)</f>
        <v>0</v>
      </c>
      <c r="O622" s="111" t="n">
        <f aca="false">N(O621)+$N622</f>
        <v>110</v>
      </c>
      <c r="S622" s="10" t="str">
        <f aca="false">IFERROR(IF([1]对账明细接口!$N622=0,"",[1]对账明细接口!$N622),"")</f>
        <v/>
      </c>
      <c r="T622" s="112" t="str">
        <f aca="false">IFERROR(IF([1]对账明细接口!$O622=0,"",[1]对账明细接口!$O622),"")</f>
        <v/>
      </c>
      <c r="U622" s="112" t="str">
        <f aca="false">IFERROR(IF([1]对账明细接口!$P622=0,"",[1]对账明细接口!$P622),"")</f>
        <v/>
      </c>
      <c r="V622" s="112" t="str">
        <f aca="false">IFERROR(IF([1]对账明细接口!$Q622=0,"",[1]对账明细接口!$Q622),"")</f>
        <v/>
      </c>
      <c r="W622" s="10" t="str">
        <f aca="false">IFERROR(IF([1]对账明细接口!$R622=0,"",[1]对账明细接口!$R622),"")</f>
        <v/>
      </c>
      <c r="X622" s="10" t="str">
        <f aca="false">IFERROR(IF([1]对账明细接口!$S622=0,"",[1]对账明细接口!$S622),"")</f>
        <v/>
      </c>
      <c r="Y622" s="10" t="str">
        <f aca="false">""</f>
        <v/>
      </c>
      <c r="Z622" s="10" t="str">
        <f aca="false">""</f>
        <v/>
      </c>
      <c r="AA622" s="10" t="str">
        <f aca="false">""</f>
        <v/>
      </c>
      <c r="AB622" s="10" t="str">
        <f aca="false">""</f>
        <v/>
      </c>
    </row>
    <row r="623" customFormat="false" ht="13.5" hidden="false" customHeight="false" outlineLevel="0" collapsed="false">
      <c r="A623" s="109" t="n">
        <v>623</v>
      </c>
      <c r="B623" s="110" t="str">
        <f aca="false">IFERROR(IF([1]对账明细接口!$B$623=0,"",[1]对账明细接口!$B$623),"")</f>
        <v/>
      </c>
      <c r="C623" s="59" t="str">
        <f aca="false">IFERROR(IF([1]对账明细接口!$C$623=0,"",[1]对账明细接口!$C$623),"")</f>
        <v/>
      </c>
      <c r="D623" s="59" t="str">
        <f aca="false">IFERROR(IF([1]对账明细接口!$D$623=0,"",[1]对账明细接口!$D$623),"")</f>
        <v/>
      </c>
      <c r="E623" s="59" t="str">
        <f aca="false">IFERROR(IF([1]对账明细接口!$E$623=0,"",[1]对账明细接口!$E$623),"")</f>
        <v/>
      </c>
      <c r="F623" s="59" t="str">
        <f aca="false">IFERROR(IF([1]对账明细接口!$F$623=0,"",[1]对账明细接口!$F$623),"")</f>
        <v/>
      </c>
      <c r="G623" s="59" t="str">
        <f aca="false">IFERROR(IF([1]对账明细接口!$G$623=0,"",[1]对账明细接口!$G$623),"")</f>
        <v/>
      </c>
      <c r="H623" s="60" t="str">
        <f aca="false">IFERROR(IF([1]对账明细接口!$H$623=0,"",[1]对账明细接口!$H$623),"")</f>
        <v/>
      </c>
      <c r="I623" s="59" t="str">
        <f aca="false">IFERROR(IF([1]对账明细接口!$I$623=0,"",[1]对账明细接口!$I$623),"")</f>
        <v/>
      </c>
      <c r="J623" s="61" t="str">
        <f aca="false">IFERROR(IF([1]对账明细接口!$J$623=0,"",[1]对账明细接口!$J$623),"")</f>
        <v/>
      </c>
      <c r="K623" s="61" t="str">
        <f aca="false">IFERROR(IF([1]对账明细接口!$K$623=0,"",[1]对账明细接口!$K$623),"")</f>
        <v/>
      </c>
      <c r="L623" s="59" t="str">
        <f aca="false">IFERROR(IF([1]对账明细接口!$L$623=0,"",[1]对账明细接口!$L$623),"")</f>
        <v/>
      </c>
      <c r="M623" s="59" t="str">
        <f aca="false">IFERROR(IF([1]对账明细接口!$M$623=0,"",[1]对账明细接口!$M$623),"")</f>
        <v/>
      </c>
      <c r="N623" s="111" t="n">
        <f aca="false">IF($C623="",0,1)</f>
        <v>0</v>
      </c>
      <c r="O623" s="111" t="n">
        <f aca="false">N(O622)+$N623</f>
        <v>110</v>
      </c>
      <c r="S623" s="10" t="str">
        <f aca="false">IFERROR(IF([1]对账明细接口!$N623=0,"",[1]对账明细接口!$N623),"")</f>
        <v/>
      </c>
      <c r="T623" s="112" t="str">
        <f aca="false">IFERROR(IF([1]对账明细接口!$O623=0,"",[1]对账明细接口!$O623),"")</f>
        <v/>
      </c>
      <c r="U623" s="112" t="str">
        <f aca="false">IFERROR(IF([1]对账明细接口!$P623=0,"",[1]对账明细接口!$P623),"")</f>
        <v/>
      </c>
      <c r="V623" s="112" t="str">
        <f aca="false">IFERROR(IF([1]对账明细接口!$Q623=0,"",[1]对账明细接口!$Q623),"")</f>
        <v/>
      </c>
      <c r="W623" s="10" t="str">
        <f aca="false">IFERROR(IF([1]对账明细接口!$R623=0,"",[1]对账明细接口!$R623),"")</f>
        <v/>
      </c>
      <c r="X623" s="10" t="str">
        <f aca="false">IFERROR(IF([1]对账明细接口!$S623=0,"",[1]对账明细接口!$S623),"")</f>
        <v/>
      </c>
      <c r="Y623" s="10" t="str">
        <f aca="false">""</f>
        <v/>
      </c>
      <c r="Z623" s="10" t="str">
        <f aca="false">""</f>
        <v/>
      </c>
      <c r="AA623" s="10" t="str">
        <f aca="false">""</f>
        <v/>
      </c>
      <c r="AB623" s="10" t="str">
        <f aca="false">""</f>
        <v/>
      </c>
    </row>
    <row r="624" customFormat="false" ht="13.5" hidden="false" customHeight="false" outlineLevel="0" collapsed="false">
      <c r="A624" s="109" t="n">
        <v>624</v>
      </c>
      <c r="B624" s="110" t="str">
        <f aca="false">IFERROR(IF([1]对账明细接口!$B$624=0,"",[1]对账明细接口!$B$624),"")</f>
        <v/>
      </c>
      <c r="C624" s="59" t="str">
        <f aca="false">IFERROR(IF([1]对账明细接口!$C$624=0,"",[1]对账明细接口!$C$624),"")</f>
        <v/>
      </c>
      <c r="D624" s="59" t="str">
        <f aca="false">IFERROR(IF([1]对账明细接口!$D$624=0,"",[1]对账明细接口!$D$624),"")</f>
        <v/>
      </c>
      <c r="E624" s="59" t="str">
        <f aca="false">IFERROR(IF([1]对账明细接口!$E$624=0,"",[1]对账明细接口!$E$624),"")</f>
        <v/>
      </c>
      <c r="F624" s="59" t="str">
        <f aca="false">IFERROR(IF([1]对账明细接口!$F$624=0,"",[1]对账明细接口!$F$624),"")</f>
        <v/>
      </c>
      <c r="G624" s="59" t="str">
        <f aca="false">IFERROR(IF([1]对账明细接口!$G$624=0,"",[1]对账明细接口!$G$624),"")</f>
        <v/>
      </c>
      <c r="H624" s="60" t="str">
        <f aca="false">IFERROR(IF([1]对账明细接口!$H$624=0,"",[1]对账明细接口!$H$624),"")</f>
        <v/>
      </c>
      <c r="I624" s="59" t="str">
        <f aca="false">IFERROR(IF([1]对账明细接口!$I$624=0,"",[1]对账明细接口!$I$624),"")</f>
        <v/>
      </c>
      <c r="J624" s="61" t="str">
        <f aca="false">IFERROR(IF([1]对账明细接口!$J$624=0,"",[1]对账明细接口!$J$624),"")</f>
        <v/>
      </c>
      <c r="K624" s="61" t="str">
        <f aca="false">IFERROR(IF([1]对账明细接口!$K$624=0,"",[1]对账明细接口!$K$624),"")</f>
        <v/>
      </c>
      <c r="L624" s="59" t="str">
        <f aca="false">IFERROR(IF([1]对账明细接口!$L$624=0,"",[1]对账明细接口!$L$624),"")</f>
        <v/>
      </c>
      <c r="M624" s="59" t="str">
        <f aca="false">IFERROR(IF([1]对账明细接口!$M$624=0,"",[1]对账明细接口!$M$624),"")</f>
        <v/>
      </c>
      <c r="N624" s="111" t="n">
        <f aca="false">IF($C624="",0,1)</f>
        <v>0</v>
      </c>
      <c r="O624" s="111" t="n">
        <f aca="false">N(O623)+$N624</f>
        <v>110</v>
      </c>
      <c r="S624" s="10" t="str">
        <f aca="false">IFERROR(IF([1]对账明细接口!$N624=0,"",[1]对账明细接口!$N624),"")</f>
        <v/>
      </c>
      <c r="T624" s="112" t="str">
        <f aca="false">IFERROR(IF([1]对账明细接口!$O624=0,"",[1]对账明细接口!$O624),"")</f>
        <v/>
      </c>
      <c r="U624" s="112" t="str">
        <f aca="false">IFERROR(IF([1]对账明细接口!$P624=0,"",[1]对账明细接口!$P624),"")</f>
        <v/>
      </c>
      <c r="V624" s="112" t="str">
        <f aca="false">IFERROR(IF([1]对账明细接口!$Q624=0,"",[1]对账明细接口!$Q624),"")</f>
        <v/>
      </c>
      <c r="W624" s="10" t="str">
        <f aca="false">IFERROR(IF([1]对账明细接口!$R624=0,"",[1]对账明细接口!$R624),"")</f>
        <v/>
      </c>
      <c r="X624" s="10" t="str">
        <f aca="false">IFERROR(IF([1]对账明细接口!$S624=0,"",[1]对账明细接口!$S624),"")</f>
        <v/>
      </c>
      <c r="Y624" s="10" t="str">
        <f aca="false">""</f>
        <v/>
      </c>
      <c r="Z624" s="10" t="str">
        <f aca="false">""</f>
        <v/>
      </c>
      <c r="AA624" s="10" t="str">
        <f aca="false">""</f>
        <v/>
      </c>
      <c r="AB624" s="10" t="str">
        <f aca="false">""</f>
        <v/>
      </c>
    </row>
    <row r="625" customFormat="false" ht="13.5" hidden="false" customHeight="false" outlineLevel="0" collapsed="false">
      <c r="A625" s="109" t="n">
        <v>625</v>
      </c>
      <c r="B625" s="110" t="str">
        <f aca="false">IFERROR(IF([1]对账明细接口!$B$625=0,"",[1]对账明细接口!$B$625),"")</f>
        <v/>
      </c>
      <c r="C625" s="59" t="str">
        <f aca="false">IFERROR(IF([1]对账明细接口!$C$625=0,"",[1]对账明细接口!$C$625),"")</f>
        <v/>
      </c>
      <c r="D625" s="59" t="str">
        <f aca="false">IFERROR(IF([1]对账明细接口!$D$625=0,"",[1]对账明细接口!$D$625),"")</f>
        <v/>
      </c>
      <c r="E625" s="59" t="str">
        <f aca="false">IFERROR(IF([1]对账明细接口!$E$625=0,"",[1]对账明细接口!$E$625),"")</f>
        <v/>
      </c>
      <c r="F625" s="59" t="str">
        <f aca="false">IFERROR(IF([1]对账明细接口!$F$625=0,"",[1]对账明细接口!$F$625),"")</f>
        <v/>
      </c>
      <c r="G625" s="59" t="str">
        <f aca="false">IFERROR(IF([1]对账明细接口!$G$625=0,"",[1]对账明细接口!$G$625),"")</f>
        <v/>
      </c>
      <c r="H625" s="60" t="str">
        <f aca="false">IFERROR(IF([1]对账明细接口!$H$625=0,"",[1]对账明细接口!$H$625),"")</f>
        <v/>
      </c>
      <c r="I625" s="59" t="str">
        <f aca="false">IFERROR(IF([1]对账明细接口!$I$625=0,"",[1]对账明细接口!$I$625),"")</f>
        <v/>
      </c>
      <c r="J625" s="61" t="str">
        <f aca="false">IFERROR(IF([1]对账明细接口!$J$625=0,"",[1]对账明细接口!$J$625),"")</f>
        <v/>
      </c>
      <c r="K625" s="61" t="str">
        <f aca="false">IFERROR(IF([1]对账明细接口!$K$625=0,"",[1]对账明细接口!$K$625),"")</f>
        <v/>
      </c>
      <c r="L625" s="59" t="str">
        <f aca="false">IFERROR(IF([1]对账明细接口!$L$625=0,"",[1]对账明细接口!$L$625),"")</f>
        <v/>
      </c>
      <c r="M625" s="59" t="str">
        <f aca="false">IFERROR(IF([1]对账明细接口!$M$625=0,"",[1]对账明细接口!$M$625),"")</f>
        <v/>
      </c>
      <c r="N625" s="111" t="n">
        <f aca="false">IF($C625="",0,1)</f>
        <v>0</v>
      </c>
      <c r="O625" s="111" t="n">
        <f aca="false">N(O624)+$N625</f>
        <v>110</v>
      </c>
      <c r="S625" s="10" t="str">
        <f aca="false">IFERROR(IF([1]对账明细接口!$N625=0,"",[1]对账明细接口!$N625),"")</f>
        <v/>
      </c>
      <c r="T625" s="112" t="str">
        <f aca="false">IFERROR(IF([1]对账明细接口!$O625=0,"",[1]对账明细接口!$O625),"")</f>
        <v/>
      </c>
      <c r="U625" s="112" t="str">
        <f aca="false">IFERROR(IF([1]对账明细接口!$P625=0,"",[1]对账明细接口!$P625),"")</f>
        <v/>
      </c>
      <c r="V625" s="112" t="str">
        <f aca="false">IFERROR(IF([1]对账明细接口!$Q625=0,"",[1]对账明细接口!$Q625),"")</f>
        <v/>
      </c>
      <c r="W625" s="10" t="str">
        <f aca="false">IFERROR(IF([1]对账明细接口!$R625=0,"",[1]对账明细接口!$R625),"")</f>
        <v/>
      </c>
      <c r="X625" s="10" t="str">
        <f aca="false">IFERROR(IF([1]对账明细接口!$S625=0,"",[1]对账明细接口!$S625),"")</f>
        <v/>
      </c>
      <c r="Y625" s="10" t="str">
        <f aca="false">""</f>
        <v/>
      </c>
      <c r="Z625" s="10" t="str">
        <f aca="false">""</f>
        <v/>
      </c>
      <c r="AA625" s="10" t="str">
        <f aca="false">""</f>
        <v/>
      </c>
      <c r="AB625" s="10" t="str">
        <f aca="false">""</f>
        <v/>
      </c>
    </row>
    <row r="626" customFormat="false" ht="13.5" hidden="false" customHeight="false" outlineLevel="0" collapsed="false">
      <c r="A626" s="109" t="n">
        <v>626</v>
      </c>
      <c r="B626" s="110" t="str">
        <f aca="false">IFERROR(IF([1]对账明细接口!$B$626=0,"",[1]对账明细接口!$B$626),"")</f>
        <v/>
      </c>
      <c r="C626" s="59" t="str">
        <f aca="false">IFERROR(IF([1]对账明细接口!$C$626=0,"",[1]对账明细接口!$C$626),"")</f>
        <v/>
      </c>
      <c r="D626" s="59" t="str">
        <f aca="false">IFERROR(IF([1]对账明细接口!$D$626=0,"",[1]对账明细接口!$D$626),"")</f>
        <v/>
      </c>
      <c r="E626" s="59" t="str">
        <f aca="false">IFERROR(IF([1]对账明细接口!$E$626=0,"",[1]对账明细接口!$E$626),"")</f>
        <v/>
      </c>
      <c r="F626" s="59" t="str">
        <f aca="false">IFERROR(IF([1]对账明细接口!$F$626=0,"",[1]对账明细接口!$F$626),"")</f>
        <v/>
      </c>
      <c r="G626" s="59" t="str">
        <f aca="false">IFERROR(IF([1]对账明细接口!$G$626=0,"",[1]对账明细接口!$G$626),"")</f>
        <v/>
      </c>
      <c r="H626" s="60" t="str">
        <f aca="false">IFERROR(IF([1]对账明细接口!$H$626=0,"",[1]对账明细接口!$H$626),"")</f>
        <v/>
      </c>
      <c r="I626" s="59" t="str">
        <f aca="false">IFERROR(IF([1]对账明细接口!$I$626=0,"",[1]对账明细接口!$I$626),"")</f>
        <v/>
      </c>
      <c r="J626" s="61" t="str">
        <f aca="false">IFERROR(IF([1]对账明细接口!$J$626=0,"",[1]对账明细接口!$J$626),"")</f>
        <v/>
      </c>
      <c r="K626" s="61" t="str">
        <f aca="false">IFERROR(IF([1]对账明细接口!$K$626=0,"",[1]对账明细接口!$K$626),"")</f>
        <v/>
      </c>
      <c r="L626" s="59" t="str">
        <f aca="false">IFERROR(IF([1]对账明细接口!$L$626=0,"",[1]对账明细接口!$L$626),"")</f>
        <v/>
      </c>
      <c r="M626" s="59" t="str">
        <f aca="false">IFERROR(IF([1]对账明细接口!$M$626=0,"",[1]对账明细接口!$M$626),"")</f>
        <v/>
      </c>
      <c r="N626" s="111" t="n">
        <f aca="false">IF($C626="",0,1)</f>
        <v>0</v>
      </c>
      <c r="O626" s="111" t="n">
        <f aca="false">N(O625)+$N626</f>
        <v>110</v>
      </c>
      <c r="S626" s="10" t="str">
        <f aca="false">IFERROR(IF([1]对账明细接口!$N626=0,"",[1]对账明细接口!$N626),"")</f>
        <v/>
      </c>
      <c r="T626" s="112" t="str">
        <f aca="false">IFERROR(IF([1]对账明细接口!$O626=0,"",[1]对账明细接口!$O626),"")</f>
        <v/>
      </c>
      <c r="U626" s="112" t="str">
        <f aca="false">IFERROR(IF([1]对账明细接口!$P626=0,"",[1]对账明细接口!$P626),"")</f>
        <v/>
      </c>
      <c r="V626" s="112" t="str">
        <f aca="false">IFERROR(IF([1]对账明细接口!$Q626=0,"",[1]对账明细接口!$Q626),"")</f>
        <v/>
      </c>
      <c r="W626" s="10" t="str">
        <f aca="false">IFERROR(IF([1]对账明细接口!$R626=0,"",[1]对账明细接口!$R626),"")</f>
        <v/>
      </c>
      <c r="X626" s="10" t="str">
        <f aca="false">IFERROR(IF([1]对账明细接口!$S626=0,"",[1]对账明细接口!$S626),"")</f>
        <v/>
      </c>
      <c r="Y626" s="10" t="str">
        <f aca="false">""</f>
        <v/>
      </c>
      <c r="Z626" s="10" t="str">
        <f aca="false">""</f>
        <v/>
      </c>
      <c r="AA626" s="10" t="str">
        <f aca="false">""</f>
        <v/>
      </c>
      <c r="AB626" s="10" t="str">
        <f aca="false">""</f>
        <v/>
      </c>
    </row>
    <row r="627" customFormat="false" ht="13.5" hidden="false" customHeight="false" outlineLevel="0" collapsed="false">
      <c r="A627" s="109" t="n">
        <v>627</v>
      </c>
      <c r="B627" s="110" t="str">
        <f aca="false">IFERROR(IF([1]对账明细接口!$B$627=0,"",[1]对账明细接口!$B$627),"")</f>
        <v/>
      </c>
      <c r="C627" s="59" t="str">
        <f aca="false">IFERROR(IF([1]对账明细接口!$C$627=0,"",[1]对账明细接口!$C$627),"")</f>
        <v/>
      </c>
      <c r="D627" s="59" t="str">
        <f aca="false">IFERROR(IF([1]对账明细接口!$D$627=0,"",[1]对账明细接口!$D$627),"")</f>
        <v/>
      </c>
      <c r="E627" s="59" t="str">
        <f aca="false">IFERROR(IF([1]对账明细接口!$E$627=0,"",[1]对账明细接口!$E$627),"")</f>
        <v/>
      </c>
      <c r="F627" s="59" t="str">
        <f aca="false">IFERROR(IF([1]对账明细接口!$F$627=0,"",[1]对账明细接口!$F$627),"")</f>
        <v/>
      </c>
      <c r="G627" s="59" t="str">
        <f aca="false">IFERROR(IF([1]对账明细接口!$G$627=0,"",[1]对账明细接口!$G$627),"")</f>
        <v/>
      </c>
      <c r="H627" s="60" t="str">
        <f aca="false">IFERROR(IF([1]对账明细接口!$H$627=0,"",[1]对账明细接口!$H$627),"")</f>
        <v/>
      </c>
      <c r="I627" s="59" t="str">
        <f aca="false">IFERROR(IF([1]对账明细接口!$I$627=0,"",[1]对账明细接口!$I$627),"")</f>
        <v/>
      </c>
      <c r="J627" s="61" t="str">
        <f aca="false">IFERROR(IF([1]对账明细接口!$J$627=0,"",[1]对账明细接口!$J$627),"")</f>
        <v/>
      </c>
      <c r="K627" s="61" t="str">
        <f aca="false">IFERROR(IF([1]对账明细接口!$K$627=0,"",[1]对账明细接口!$K$627),"")</f>
        <v/>
      </c>
      <c r="L627" s="59" t="str">
        <f aca="false">IFERROR(IF([1]对账明细接口!$L$627=0,"",[1]对账明细接口!$L$627),"")</f>
        <v/>
      </c>
      <c r="M627" s="59" t="str">
        <f aca="false">IFERROR(IF([1]对账明细接口!$M$627=0,"",[1]对账明细接口!$M$627),"")</f>
        <v/>
      </c>
      <c r="N627" s="111" t="n">
        <f aca="false">IF($C627="",0,1)</f>
        <v>0</v>
      </c>
      <c r="O627" s="111" t="n">
        <f aca="false">N(O626)+$N627</f>
        <v>110</v>
      </c>
      <c r="S627" s="10" t="str">
        <f aca="false">IFERROR(IF([1]对账明细接口!$N627=0,"",[1]对账明细接口!$N627),"")</f>
        <v/>
      </c>
      <c r="T627" s="112" t="str">
        <f aca="false">IFERROR(IF([1]对账明细接口!$O627=0,"",[1]对账明细接口!$O627),"")</f>
        <v/>
      </c>
      <c r="U627" s="112" t="str">
        <f aca="false">IFERROR(IF([1]对账明细接口!$P627=0,"",[1]对账明细接口!$P627),"")</f>
        <v/>
      </c>
      <c r="V627" s="112" t="str">
        <f aca="false">IFERROR(IF([1]对账明细接口!$Q627=0,"",[1]对账明细接口!$Q627),"")</f>
        <v/>
      </c>
      <c r="W627" s="10" t="str">
        <f aca="false">IFERROR(IF([1]对账明细接口!$R627=0,"",[1]对账明细接口!$R627),"")</f>
        <v/>
      </c>
      <c r="X627" s="10" t="str">
        <f aca="false">IFERROR(IF([1]对账明细接口!$S627=0,"",[1]对账明细接口!$S627),"")</f>
        <v/>
      </c>
      <c r="Y627" s="10" t="str">
        <f aca="false">""</f>
        <v/>
      </c>
      <c r="Z627" s="10" t="str">
        <f aca="false">""</f>
        <v/>
      </c>
      <c r="AA627" s="10" t="str">
        <f aca="false">""</f>
        <v/>
      </c>
      <c r="AB627" s="10" t="str">
        <f aca="false">""</f>
        <v/>
      </c>
    </row>
    <row r="628" customFormat="false" ht="13.5" hidden="false" customHeight="false" outlineLevel="0" collapsed="false">
      <c r="A628" s="109" t="n">
        <v>628</v>
      </c>
      <c r="B628" s="110" t="str">
        <f aca="false">IFERROR(IF([1]对账明细接口!$B$628=0,"",[1]对账明细接口!$B$628),"")</f>
        <v/>
      </c>
      <c r="C628" s="59" t="str">
        <f aca="false">IFERROR(IF([1]对账明细接口!$C$628=0,"",[1]对账明细接口!$C$628),"")</f>
        <v/>
      </c>
      <c r="D628" s="59" t="str">
        <f aca="false">IFERROR(IF([1]对账明细接口!$D$628=0,"",[1]对账明细接口!$D$628),"")</f>
        <v/>
      </c>
      <c r="E628" s="59" t="str">
        <f aca="false">IFERROR(IF([1]对账明细接口!$E$628=0,"",[1]对账明细接口!$E$628),"")</f>
        <v/>
      </c>
      <c r="F628" s="59" t="str">
        <f aca="false">IFERROR(IF([1]对账明细接口!$F$628=0,"",[1]对账明细接口!$F$628),"")</f>
        <v/>
      </c>
      <c r="G628" s="59" t="str">
        <f aca="false">IFERROR(IF([1]对账明细接口!$G$628=0,"",[1]对账明细接口!$G$628),"")</f>
        <v/>
      </c>
      <c r="H628" s="60" t="str">
        <f aca="false">IFERROR(IF([1]对账明细接口!$H$628=0,"",[1]对账明细接口!$H$628),"")</f>
        <v/>
      </c>
      <c r="I628" s="59" t="str">
        <f aca="false">IFERROR(IF([1]对账明细接口!$I$628=0,"",[1]对账明细接口!$I$628),"")</f>
        <v/>
      </c>
      <c r="J628" s="61" t="str">
        <f aca="false">IFERROR(IF([1]对账明细接口!$J$628=0,"",[1]对账明细接口!$J$628),"")</f>
        <v/>
      </c>
      <c r="K628" s="61" t="str">
        <f aca="false">IFERROR(IF([1]对账明细接口!$K$628=0,"",[1]对账明细接口!$K$628),"")</f>
        <v/>
      </c>
      <c r="L628" s="59" t="str">
        <f aca="false">IFERROR(IF([1]对账明细接口!$L$628=0,"",[1]对账明细接口!$L$628),"")</f>
        <v/>
      </c>
      <c r="M628" s="59" t="str">
        <f aca="false">IFERROR(IF([1]对账明细接口!$M$628=0,"",[1]对账明细接口!$M$628),"")</f>
        <v/>
      </c>
      <c r="N628" s="111" t="n">
        <f aca="false">IF($C628="",0,1)</f>
        <v>0</v>
      </c>
      <c r="O628" s="111" t="n">
        <f aca="false">N(O627)+$N628</f>
        <v>110</v>
      </c>
      <c r="S628" s="10" t="str">
        <f aca="false">IFERROR(IF([1]对账明细接口!$N628=0,"",[1]对账明细接口!$N628),"")</f>
        <v/>
      </c>
      <c r="T628" s="112" t="str">
        <f aca="false">IFERROR(IF([1]对账明细接口!$O628=0,"",[1]对账明细接口!$O628),"")</f>
        <v/>
      </c>
      <c r="U628" s="112" t="str">
        <f aca="false">IFERROR(IF([1]对账明细接口!$P628=0,"",[1]对账明细接口!$P628),"")</f>
        <v/>
      </c>
      <c r="V628" s="112" t="str">
        <f aca="false">IFERROR(IF([1]对账明细接口!$Q628=0,"",[1]对账明细接口!$Q628),"")</f>
        <v/>
      </c>
      <c r="W628" s="10" t="str">
        <f aca="false">IFERROR(IF([1]对账明细接口!$R628=0,"",[1]对账明细接口!$R628),"")</f>
        <v/>
      </c>
      <c r="X628" s="10" t="str">
        <f aca="false">IFERROR(IF([1]对账明细接口!$S628=0,"",[1]对账明细接口!$S628),"")</f>
        <v/>
      </c>
      <c r="Y628" s="10" t="str">
        <f aca="false">""</f>
        <v/>
      </c>
      <c r="Z628" s="10" t="str">
        <f aca="false">""</f>
        <v/>
      </c>
      <c r="AA628" s="10" t="str">
        <f aca="false">""</f>
        <v/>
      </c>
      <c r="AB628" s="10" t="str">
        <f aca="false">""</f>
        <v/>
      </c>
    </row>
    <row r="629" customFormat="false" ht="13.5" hidden="false" customHeight="false" outlineLevel="0" collapsed="false">
      <c r="A629" s="109" t="n">
        <v>629</v>
      </c>
      <c r="B629" s="110" t="str">
        <f aca="false">IFERROR(IF([1]对账明细接口!$B$629=0,"",[1]对账明细接口!$B$629),"")</f>
        <v/>
      </c>
      <c r="C629" s="59" t="str">
        <f aca="false">IFERROR(IF([1]对账明细接口!$C$629=0,"",[1]对账明细接口!$C$629),"")</f>
        <v/>
      </c>
      <c r="D629" s="59" t="str">
        <f aca="false">IFERROR(IF([1]对账明细接口!$D$629=0,"",[1]对账明细接口!$D$629),"")</f>
        <v/>
      </c>
      <c r="E629" s="59" t="str">
        <f aca="false">IFERROR(IF([1]对账明细接口!$E$629=0,"",[1]对账明细接口!$E$629),"")</f>
        <v/>
      </c>
      <c r="F629" s="59" t="str">
        <f aca="false">IFERROR(IF([1]对账明细接口!$F$629=0,"",[1]对账明细接口!$F$629),"")</f>
        <v/>
      </c>
      <c r="G629" s="59" t="str">
        <f aca="false">IFERROR(IF([1]对账明细接口!$G$629=0,"",[1]对账明细接口!$G$629),"")</f>
        <v/>
      </c>
      <c r="H629" s="60" t="str">
        <f aca="false">IFERROR(IF([1]对账明细接口!$H$629=0,"",[1]对账明细接口!$H$629),"")</f>
        <v/>
      </c>
      <c r="I629" s="59" t="str">
        <f aca="false">IFERROR(IF([1]对账明细接口!$I$629=0,"",[1]对账明细接口!$I$629),"")</f>
        <v/>
      </c>
      <c r="J629" s="61" t="str">
        <f aca="false">IFERROR(IF([1]对账明细接口!$J$629=0,"",[1]对账明细接口!$J$629),"")</f>
        <v/>
      </c>
      <c r="K629" s="61" t="str">
        <f aca="false">IFERROR(IF([1]对账明细接口!$K$629=0,"",[1]对账明细接口!$K$629),"")</f>
        <v/>
      </c>
      <c r="L629" s="59" t="str">
        <f aca="false">IFERROR(IF([1]对账明细接口!$L$629=0,"",[1]对账明细接口!$L$629),"")</f>
        <v/>
      </c>
      <c r="M629" s="59" t="str">
        <f aca="false">IFERROR(IF([1]对账明细接口!$M$629=0,"",[1]对账明细接口!$M$629),"")</f>
        <v/>
      </c>
      <c r="N629" s="111" t="n">
        <f aca="false">IF($C629="",0,1)</f>
        <v>0</v>
      </c>
      <c r="O629" s="111" t="n">
        <f aca="false">N(O628)+$N629</f>
        <v>110</v>
      </c>
      <c r="S629" s="10" t="str">
        <f aca="false">IFERROR(IF([1]对账明细接口!$N629=0,"",[1]对账明细接口!$N629),"")</f>
        <v/>
      </c>
      <c r="T629" s="112" t="str">
        <f aca="false">IFERROR(IF([1]对账明细接口!$O629=0,"",[1]对账明细接口!$O629),"")</f>
        <v/>
      </c>
      <c r="U629" s="112" t="str">
        <f aca="false">IFERROR(IF([1]对账明细接口!$P629=0,"",[1]对账明细接口!$P629),"")</f>
        <v/>
      </c>
      <c r="V629" s="112" t="str">
        <f aca="false">IFERROR(IF([1]对账明细接口!$Q629=0,"",[1]对账明细接口!$Q629),"")</f>
        <v/>
      </c>
      <c r="W629" s="10" t="str">
        <f aca="false">IFERROR(IF([1]对账明细接口!$R629=0,"",[1]对账明细接口!$R629),"")</f>
        <v/>
      </c>
      <c r="X629" s="10" t="str">
        <f aca="false">IFERROR(IF([1]对账明细接口!$S629=0,"",[1]对账明细接口!$S629),"")</f>
        <v/>
      </c>
      <c r="Y629" s="10" t="str">
        <f aca="false">""</f>
        <v/>
      </c>
      <c r="Z629" s="10" t="str">
        <f aca="false">""</f>
        <v/>
      </c>
      <c r="AA629" s="10" t="str">
        <f aca="false">""</f>
        <v/>
      </c>
      <c r="AB629" s="10" t="str">
        <f aca="false">""</f>
        <v/>
      </c>
    </row>
    <row r="630" customFormat="false" ht="13.5" hidden="false" customHeight="false" outlineLevel="0" collapsed="false">
      <c r="A630" s="109" t="n">
        <v>630</v>
      </c>
      <c r="B630" s="110" t="str">
        <f aca="false">IFERROR(IF([1]对账明细接口!$B$630=0,"",[1]对账明细接口!$B$630),"")</f>
        <v/>
      </c>
      <c r="C630" s="59" t="str">
        <f aca="false">IFERROR(IF([1]对账明细接口!$C$630=0,"",[1]对账明细接口!$C$630),"")</f>
        <v/>
      </c>
      <c r="D630" s="59" t="str">
        <f aca="false">IFERROR(IF([1]对账明细接口!$D$630=0,"",[1]对账明细接口!$D$630),"")</f>
        <v/>
      </c>
      <c r="E630" s="59" t="str">
        <f aca="false">IFERROR(IF([1]对账明细接口!$E$630=0,"",[1]对账明细接口!$E$630),"")</f>
        <v/>
      </c>
      <c r="F630" s="59" t="str">
        <f aca="false">IFERROR(IF([1]对账明细接口!$F$630=0,"",[1]对账明细接口!$F$630),"")</f>
        <v/>
      </c>
      <c r="G630" s="59" t="str">
        <f aca="false">IFERROR(IF([1]对账明细接口!$G$630=0,"",[1]对账明细接口!$G$630),"")</f>
        <v/>
      </c>
      <c r="H630" s="60" t="str">
        <f aca="false">IFERROR(IF([1]对账明细接口!$H$630=0,"",[1]对账明细接口!$H$630),"")</f>
        <v/>
      </c>
      <c r="I630" s="59" t="str">
        <f aca="false">IFERROR(IF([1]对账明细接口!$I$630=0,"",[1]对账明细接口!$I$630),"")</f>
        <v/>
      </c>
      <c r="J630" s="61" t="str">
        <f aca="false">IFERROR(IF([1]对账明细接口!$J$630=0,"",[1]对账明细接口!$J$630),"")</f>
        <v/>
      </c>
      <c r="K630" s="61" t="str">
        <f aca="false">IFERROR(IF([1]对账明细接口!$K$630=0,"",[1]对账明细接口!$K$630),"")</f>
        <v/>
      </c>
      <c r="L630" s="59" t="str">
        <f aca="false">IFERROR(IF([1]对账明细接口!$L$630=0,"",[1]对账明细接口!$L$630),"")</f>
        <v/>
      </c>
      <c r="M630" s="59" t="str">
        <f aca="false">IFERROR(IF([1]对账明细接口!$M$630=0,"",[1]对账明细接口!$M$630),"")</f>
        <v/>
      </c>
      <c r="N630" s="111" t="n">
        <f aca="false">IF($C630="",0,1)</f>
        <v>0</v>
      </c>
      <c r="O630" s="111" t="n">
        <f aca="false">N(O629)+$N630</f>
        <v>110</v>
      </c>
      <c r="S630" s="10" t="str">
        <f aca="false">IFERROR(IF([1]对账明细接口!$N630=0,"",[1]对账明细接口!$N630),"")</f>
        <v/>
      </c>
      <c r="T630" s="112" t="str">
        <f aca="false">IFERROR(IF([1]对账明细接口!$O630=0,"",[1]对账明细接口!$O630),"")</f>
        <v/>
      </c>
      <c r="U630" s="112" t="str">
        <f aca="false">IFERROR(IF([1]对账明细接口!$P630=0,"",[1]对账明细接口!$P630),"")</f>
        <v/>
      </c>
      <c r="V630" s="112" t="str">
        <f aca="false">IFERROR(IF([1]对账明细接口!$Q630=0,"",[1]对账明细接口!$Q630),"")</f>
        <v/>
      </c>
      <c r="W630" s="10" t="str">
        <f aca="false">IFERROR(IF([1]对账明细接口!$R630=0,"",[1]对账明细接口!$R630),"")</f>
        <v/>
      </c>
      <c r="X630" s="10" t="str">
        <f aca="false">IFERROR(IF([1]对账明细接口!$S630=0,"",[1]对账明细接口!$S630),"")</f>
        <v/>
      </c>
      <c r="Y630" s="10" t="str">
        <f aca="false">""</f>
        <v/>
      </c>
      <c r="Z630" s="10" t="str">
        <f aca="false">""</f>
        <v/>
      </c>
      <c r="AA630" s="10" t="str">
        <f aca="false">""</f>
        <v/>
      </c>
      <c r="AB630" s="10" t="str">
        <f aca="false">""</f>
        <v/>
      </c>
    </row>
    <row r="631" customFormat="false" ht="13.5" hidden="false" customHeight="false" outlineLevel="0" collapsed="false">
      <c r="A631" s="109" t="n">
        <v>631</v>
      </c>
      <c r="B631" s="110" t="str">
        <f aca="false">IFERROR(IF([1]对账明细接口!$B$631=0,"",[1]对账明细接口!$B$631),"")</f>
        <v/>
      </c>
      <c r="C631" s="59" t="str">
        <f aca="false">IFERROR(IF([1]对账明细接口!$C$631=0,"",[1]对账明细接口!$C$631),"")</f>
        <v/>
      </c>
      <c r="D631" s="59" t="str">
        <f aca="false">IFERROR(IF([1]对账明细接口!$D$631=0,"",[1]对账明细接口!$D$631),"")</f>
        <v/>
      </c>
      <c r="E631" s="59" t="str">
        <f aca="false">IFERROR(IF([1]对账明细接口!$E$631=0,"",[1]对账明细接口!$E$631),"")</f>
        <v/>
      </c>
      <c r="F631" s="59" t="str">
        <f aca="false">IFERROR(IF([1]对账明细接口!$F$631=0,"",[1]对账明细接口!$F$631),"")</f>
        <v/>
      </c>
      <c r="G631" s="59" t="str">
        <f aca="false">IFERROR(IF([1]对账明细接口!$G$631=0,"",[1]对账明细接口!$G$631),"")</f>
        <v/>
      </c>
      <c r="H631" s="60" t="str">
        <f aca="false">IFERROR(IF([1]对账明细接口!$H$631=0,"",[1]对账明细接口!$H$631),"")</f>
        <v/>
      </c>
      <c r="I631" s="59" t="str">
        <f aca="false">IFERROR(IF([1]对账明细接口!$I$631=0,"",[1]对账明细接口!$I$631),"")</f>
        <v/>
      </c>
      <c r="J631" s="61" t="str">
        <f aca="false">IFERROR(IF([1]对账明细接口!$J$631=0,"",[1]对账明细接口!$J$631),"")</f>
        <v/>
      </c>
      <c r="K631" s="61" t="str">
        <f aca="false">IFERROR(IF([1]对账明细接口!$K$631=0,"",[1]对账明细接口!$K$631),"")</f>
        <v/>
      </c>
      <c r="L631" s="59" t="str">
        <f aca="false">IFERROR(IF([1]对账明细接口!$L$631=0,"",[1]对账明细接口!$L$631),"")</f>
        <v/>
      </c>
      <c r="M631" s="59" t="str">
        <f aca="false">IFERROR(IF([1]对账明细接口!$M$631=0,"",[1]对账明细接口!$M$631),"")</f>
        <v/>
      </c>
      <c r="N631" s="111" t="n">
        <f aca="false">IF($C631="",0,1)</f>
        <v>0</v>
      </c>
      <c r="O631" s="111" t="n">
        <f aca="false">N(O630)+$N631</f>
        <v>110</v>
      </c>
      <c r="S631" s="10" t="str">
        <f aca="false">IFERROR(IF([1]对账明细接口!$N631=0,"",[1]对账明细接口!$N631),"")</f>
        <v/>
      </c>
      <c r="T631" s="112" t="str">
        <f aca="false">IFERROR(IF([1]对账明细接口!$O631=0,"",[1]对账明细接口!$O631),"")</f>
        <v/>
      </c>
      <c r="U631" s="112" t="str">
        <f aca="false">IFERROR(IF([1]对账明细接口!$P631=0,"",[1]对账明细接口!$P631),"")</f>
        <v/>
      </c>
      <c r="V631" s="112" t="str">
        <f aca="false">IFERROR(IF([1]对账明细接口!$Q631=0,"",[1]对账明细接口!$Q631),"")</f>
        <v/>
      </c>
      <c r="W631" s="10" t="str">
        <f aca="false">IFERROR(IF([1]对账明细接口!$R631=0,"",[1]对账明细接口!$R631),"")</f>
        <v/>
      </c>
      <c r="X631" s="10" t="str">
        <f aca="false">IFERROR(IF([1]对账明细接口!$S631=0,"",[1]对账明细接口!$S631),"")</f>
        <v/>
      </c>
      <c r="Y631" s="10" t="str">
        <f aca="false">""</f>
        <v/>
      </c>
      <c r="Z631" s="10" t="str">
        <f aca="false">""</f>
        <v/>
      </c>
      <c r="AA631" s="10" t="str">
        <f aca="false">""</f>
        <v/>
      </c>
      <c r="AB631" s="10" t="str">
        <f aca="false">""</f>
        <v/>
      </c>
    </row>
    <row r="632" customFormat="false" ht="13.5" hidden="false" customHeight="false" outlineLevel="0" collapsed="false">
      <c r="A632" s="109" t="n">
        <v>632</v>
      </c>
      <c r="B632" s="110" t="str">
        <f aca="false">IFERROR(IF([1]对账明细接口!$B$632=0,"",[1]对账明细接口!$B$632),"")</f>
        <v/>
      </c>
      <c r="C632" s="59" t="str">
        <f aca="false">IFERROR(IF([1]对账明细接口!$C$632=0,"",[1]对账明细接口!$C$632),"")</f>
        <v/>
      </c>
      <c r="D632" s="59" t="str">
        <f aca="false">IFERROR(IF([1]对账明细接口!$D$632=0,"",[1]对账明细接口!$D$632),"")</f>
        <v/>
      </c>
      <c r="E632" s="59" t="str">
        <f aca="false">IFERROR(IF([1]对账明细接口!$E$632=0,"",[1]对账明细接口!$E$632),"")</f>
        <v/>
      </c>
      <c r="F632" s="59" t="str">
        <f aca="false">IFERROR(IF([1]对账明细接口!$F$632=0,"",[1]对账明细接口!$F$632),"")</f>
        <v/>
      </c>
      <c r="G632" s="59" t="str">
        <f aca="false">IFERROR(IF([1]对账明细接口!$G$632=0,"",[1]对账明细接口!$G$632),"")</f>
        <v/>
      </c>
      <c r="H632" s="60" t="str">
        <f aca="false">IFERROR(IF([1]对账明细接口!$H$632=0,"",[1]对账明细接口!$H$632),"")</f>
        <v/>
      </c>
      <c r="I632" s="59" t="str">
        <f aca="false">IFERROR(IF([1]对账明细接口!$I$632=0,"",[1]对账明细接口!$I$632),"")</f>
        <v/>
      </c>
      <c r="J632" s="61" t="str">
        <f aca="false">IFERROR(IF([1]对账明细接口!$J$632=0,"",[1]对账明细接口!$J$632),"")</f>
        <v/>
      </c>
      <c r="K632" s="61" t="str">
        <f aca="false">IFERROR(IF([1]对账明细接口!$K$632=0,"",[1]对账明细接口!$K$632),"")</f>
        <v/>
      </c>
      <c r="L632" s="59" t="str">
        <f aca="false">IFERROR(IF([1]对账明细接口!$L$632=0,"",[1]对账明细接口!$L$632),"")</f>
        <v/>
      </c>
      <c r="M632" s="59" t="str">
        <f aca="false">IFERROR(IF([1]对账明细接口!$M$632=0,"",[1]对账明细接口!$M$632),"")</f>
        <v/>
      </c>
      <c r="N632" s="111" t="n">
        <f aca="false">IF($C632="",0,1)</f>
        <v>0</v>
      </c>
      <c r="O632" s="111" t="n">
        <f aca="false">N(O631)+$N632</f>
        <v>110</v>
      </c>
      <c r="S632" s="10" t="str">
        <f aca="false">IFERROR(IF([1]对账明细接口!$N632=0,"",[1]对账明细接口!$N632),"")</f>
        <v/>
      </c>
      <c r="T632" s="112" t="str">
        <f aca="false">IFERROR(IF([1]对账明细接口!$O632=0,"",[1]对账明细接口!$O632),"")</f>
        <v/>
      </c>
      <c r="U632" s="112" t="str">
        <f aca="false">IFERROR(IF([1]对账明细接口!$P632=0,"",[1]对账明细接口!$P632),"")</f>
        <v/>
      </c>
      <c r="V632" s="112" t="str">
        <f aca="false">IFERROR(IF([1]对账明细接口!$Q632=0,"",[1]对账明细接口!$Q632),"")</f>
        <v/>
      </c>
      <c r="W632" s="10" t="str">
        <f aca="false">IFERROR(IF([1]对账明细接口!$R632=0,"",[1]对账明细接口!$R632),"")</f>
        <v/>
      </c>
      <c r="X632" s="10" t="str">
        <f aca="false">IFERROR(IF([1]对账明细接口!$S632=0,"",[1]对账明细接口!$S632),"")</f>
        <v/>
      </c>
      <c r="Y632" s="10" t="str">
        <f aca="false">""</f>
        <v/>
      </c>
      <c r="Z632" s="10" t="str">
        <f aca="false">""</f>
        <v/>
      </c>
      <c r="AA632" s="10" t="str">
        <f aca="false">""</f>
        <v/>
      </c>
      <c r="AB632" s="10" t="str">
        <f aca="false">""</f>
        <v/>
      </c>
    </row>
    <row r="633" customFormat="false" ht="13.5" hidden="false" customHeight="false" outlineLevel="0" collapsed="false">
      <c r="A633" s="109" t="n">
        <v>633</v>
      </c>
      <c r="B633" s="110" t="str">
        <f aca="false">IFERROR(IF([1]对账明细接口!$B$633=0,"",[1]对账明细接口!$B$633),"")</f>
        <v/>
      </c>
      <c r="C633" s="59" t="str">
        <f aca="false">IFERROR(IF([1]对账明细接口!$C$633=0,"",[1]对账明细接口!$C$633),"")</f>
        <v/>
      </c>
      <c r="D633" s="59" t="str">
        <f aca="false">IFERROR(IF([1]对账明细接口!$D$633=0,"",[1]对账明细接口!$D$633),"")</f>
        <v/>
      </c>
      <c r="E633" s="59" t="str">
        <f aca="false">IFERROR(IF([1]对账明细接口!$E$633=0,"",[1]对账明细接口!$E$633),"")</f>
        <v/>
      </c>
      <c r="F633" s="59" t="str">
        <f aca="false">IFERROR(IF([1]对账明细接口!$F$633=0,"",[1]对账明细接口!$F$633),"")</f>
        <v/>
      </c>
      <c r="G633" s="59" t="str">
        <f aca="false">IFERROR(IF([1]对账明细接口!$G$633=0,"",[1]对账明细接口!$G$633),"")</f>
        <v/>
      </c>
      <c r="H633" s="60" t="str">
        <f aca="false">IFERROR(IF([1]对账明细接口!$H$633=0,"",[1]对账明细接口!$H$633),"")</f>
        <v/>
      </c>
      <c r="I633" s="59" t="str">
        <f aca="false">IFERROR(IF([1]对账明细接口!$I$633=0,"",[1]对账明细接口!$I$633),"")</f>
        <v/>
      </c>
      <c r="J633" s="61" t="str">
        <f aca="false">IFERROR(IF([1]对账明细接口!$J$633=0,"",[1]对账明细接口!$J$633),"")</f>
        <v/>
      </c>
      <c r="K633" s="61" t="str">
        <f aca="false">IFERROR(IF([1]对账明细接口!$K$633=0,"",[1]对账明细接口!$K$633),"")</f>
        <v/>
      </c>
      <c r="L633" s="59" t="str">
        <f aca="false">IFERROR(IF([1]对账明细接口!$L$633=0,"",[1]对账明细接口!$L$633),"")</f>
        <v/>
      </c>
      <c r="M633" s="59" t="str">
        <f aca="false">IFERROR(IF([1]对账明细接口!$M$633=0,"",[1]对账明细接口!$M$633),"")</f>
        <v/>
      </c>
      <c r="N633" s="111" t="n">
        <f aca="false">IF($C633="",0,1)</f>
        <v>0</v>
      </c>
      <c r="O633" s="111" t="n">
        <f aca="false">N(O632)+$N633</f>
        <v>110</v>
      </c>
      <c r="S633" s="10" t="str">
        <f aca="false">IFERROR(IF([1]对账明细接口!$N633=0,"",[1]对账明细接口!$N633),"")</f>
        <v/>
      </c>
      <c r="T633" s="112" t="str">
        <f aca="false">IFERROR(IF([1]对账明细接口!$O633=0,"",[1]对账明细接口!$O633),"")</f>
        <v/>
      </c>
      <c r="U633" s="112" t="str">
        <f aca="false">IFERROR(IF([1]对账明细接口!$P633=0,"",[1]对账明细接口!$P633),"")</f>
        <v/>
      </c>
      <c r="V633" s="112" t="str">
        <f aca="false">IFERROR(IF([1]对账明细接口!$Q633=0,"",[1]对账明细接口!$Q633),"")</f>
        <v/>
      </c>
      <c r="W633" s="10" t="str">
        <f aca="false">IFERROR(IF([1]对账明细接口!$R633=0,"",[1]对账明细接口!$R633),"")</f>
        <v/>
      </c>
      <c r="X633" s="10" t="str">
        <f aca="false">IFERROR(IF([1]对账明细接口!$S633=0,"",[1]对账明细接口!$S633),"")</f>
        <v/>
      </c>
      <c r="Y633" s="10" t="str">
        <f aca="false">""</f>
        <v/>
      </c>
      <c r="Z633" s="10" t="str">
        <f aca="false">""</f>
        <v/>
      </c>
      <c r="AA633" s="10" t="str">
        <f aca="false">""</f>
        <v/>
      </c>
      <c r="AB633" s="10" t="str">
        <f aca="false">""</f>
        <v/>
      </c>
    </row>
    <row r="634" customFormat="false" ht="13.5" hidden="false" customHeight="false" outlineLevel="0" collapsed="false">
      <c r="A634" s="109" t="n">
        <v>634</v>
      </c>
      <c r="B634" s="110" t="str">
        <f aca="false">IFERROR(IF([1]对账明细接口!$B$634=0,"",[1]对账明细接口!$B$634),"")</f>
        <v/>
      </c>
      <c r="C634" s="59" t="str">
        <f aca="false">IFERROR(IF([1]对账明细接口!$C$634=0,"",[1]对账明细接口!$C$634),"")</f>
        <v/>
      </c>
      <c r="D634" s="59" t="str">
        <f aca="false">IFERROR(IF([1]对账明细接口!$D$634=0,"",[1]对账明细接口!$D$634),"")</f>
        <v/>
      </c>
      <c r="E634" s="59" t="str">
        <f aca="false">IFERROR(IF([1]对账明细接口!$E$634=0,"",[1]对账明细接口!$E$634),"")</f>
        <v/>
      </c>
      <c r="F634" s="59" t="str">
        <f aca="false">IFERROR(IF([1]对账明细接口!$F$634=0,"",[1]对账明细接口!$F$634),"")</f>
        <v/>
      </c>
      <c r="G634" s="59" t="str">
        <f aca="false">IFERROR(IF([1]对账明细接口!$G$634=0,"",[1]对账明细接口!$G$634),"")</f>
        <v/>
      </c>
      <c r="H634" s="60" t="str">
        <f aca="false">IFERROR(IF([1]对账明细接口!$H$634=0,"",[1]对账明细接口!$H$634),"")</f>
        <v/>
      </c>
      <c r="I634" s="59" t="str">
        <f aca="false">IFERROR(IF([1]对账明细接口!$I$634=0,"",[1]对账明细接口!$I$634),"")</f>
        <v/>
      </c>
      <c r="J634" s="61" t="str">
        <f aca="false">IFERROR(IF([1]对账明细接口!$J$634=0,"",[1]对账明细接口!$J$634),"")</f>
        <v/>
      </c>
      <c r="K634" s="61" t="str">
        <f aca="false">IFERROR(IF([1]对账明细接口!$K$634=0,"",[1]对账明细接口!$K$634),"")</f>
        <v/>
      </c>
      <c r="L634" s="59" t="str">
        <f aca="false">IFERROR(IF([1]对账明细接口!$L$634=0,"",[1]对账明细接口!$L$634),"")</f>
        <v/>
      </c>
      <c r="M634" s="59" t="str">
        <f aca="false">IFERROR(IF([1]对账明细接口!$M$634=0,"",[1]对账明细接口!$M$634),"")</f>
        <v/>
      </c>
      <c r="N634" s="111" t="n">
        <f aca="false">IF($C634="",0,1)</f>
        <v>0</v>
      </c>
      <c r="O634" s="111" t="n">
        <f aca="false">N(O633)+$N634</f>
        <v>110</v>
      </c>
      <c r="S634" s="10" t="str">
        <f aca="false">IFERROR(IF([1]对账明细接口!$N634=0,"",[1]对账明细接口!$N634),"")</f>
        <v/>
      </c>
      <c r="T634" s="112" t="str">
        <f aca="false">IFERROR(IF([1]对账明细接口!$O634=0,"",[1]对账明细接口!$O634),"")</f>
        <v/>
      </c>
      <c r="U634" s="112" t="str">
        <f aca="false">IFERROR(IF([1]对账明细接口!$P634=0,"",[1]对账明细接口!$P634),"")</f>
        <v/>
      </c>
      <c r="V634" s="112" t="str">
        <f aca="false">IFERROR(IF([1]对账明细接口!$Q634=0,"",[1]对账明细接口!$Q634),"")</f>
        <v/>
      </c>
      <c r="W634" s="10" t="str">
        <f aca="false">IFERROR(IF([1]对账明细接口!$R634=0,"",[1]对账明细接口!$R634),"")</f>
        <v/>
      </c>
      <c r="X634" s="10" t="str">
        <f aca="false">IFERROR(IF([1]对账明细接口!$S634=0,"",[1]对账明细接口!$S634),"")</f>
        <v/>
      </c>
      <c r="Y634" s="10" t="str">
        <f aca="false">""</f>
        <v/>
      </c>
      <c r="Z634" s="10" t="str">
        <f aca="false">""</f>
        <v/>
      </c>
      <c r="AA634" s="10" t="str">
        <f aca="false">""</f>
        <v/>
      </c>
      <c r="AB634" s="10" t="str">
        <f aca="false">""</f>
        <v/>
      </c>
    </row>
    <row r="635" customFormat="false" ht="13.5" hidden="false" customHeight="false" outlineLevel="0" collapsed="false">
      <c r="A635" s="109" t="n">
        <v>635</v>
      </c>
      <c r="B635" s="110" t="str">
        <f aca="false">IFERROR(IF([1]对账明细接口!$B$635=0,"",[1]对账明细接口!$B$635),"")</f>
        <v/>
      </c>
      <c r="C635" s="59" t="str">
        <f aca="false">IFERROR(IF([1]对账明细接口!$C$635=0,"",[1]对账明细接口!$C$635),"")</f>
        <v/>
      </c>
      <c r="D635" s="59" t="str">
        <f aca="false">IFERROR(IF([1]对账明细接口!$D$635=0,"",[1]对账明细接口!$D$635),"")</f>
        <v/>
      </c>
      <c r="E635" s="59" t="str">
        <f aca="false">IFERROR(IF([1]对账明细接口!$E$635=0,"",[1]对账明细接口!$E$635),"")</f>
        <v/>
      </c>
      <c r="F635" s="59" t="str">
        <f aca="false">IFERROR(IF([1]对账明细接口!$F$635=0,"",[1]对账明细接口!$F$635),"")</f>
        <v/>
      </c>
      <c r="G635" s="59" t="str">
        <f aca="false">IFERROR(IF([1]对账明细接口!$G$635=0,"",[1]对账明细接口!$G$635),"")</f>
        <v/>
      </c>
      <c r="H635" s="60" t="str">
        <f aca="false">IFERROR(IF([1]对账明细接口!$H$635=0,"",[1]对账明细接口!$H$635),"")</f>
        <v/>
      </c>
      <c r="I635" s="59" t="str">
        <f aca="false">IFERROR(IF([1]对账明细接口!$I$635=0,"",[1]对账明细接口!$I$635),"")</f>
        <v/>
      </c>
      <c r="J635" s="61" t="str">
        <f aca="false">IFERROR(IF([1]对账明细接口!$J$635=0,"",[1]对账明细接口!$J$635),"")</f>
        <v/>
      </c>
      <c r="K635" s="61" t="str">
        <f aca="false">IFERROR(IF([1]对账明细接口!$K$635=0,"",[1]对账明细接口!$K$635),"")</f>
        <v/>
      </c>
      <c r="L635" s="59" t="str">
        <f aca="false">IFERROR(IF([1]对账明细接口!$L$635=0,"",[1]对账明细接口!$L$635),"")</f>
        <v/>
      </c>
      <c r="M635" s="59" t="str">
        <f aca="false">IFERROR(IF([1]对账明细接口!$M$635=0,"",[1]对账明细接口!$M$635),"")</f>
        <v/>
      </c>
      <c r="N635" s="111" t="n">
        <f aca="false">IF($C635="",0,1)</f>
        <v>0</v>
      </c>
      <c r="O635" s="111" t="n">
        <f aca="false">N(O634)+$N635</f>
        <v>110</v>
      </c>
      <c r="S635" s="10" t="str">
        <f aca="false">IFERROR(IF([1]对账明细接口!$N635=0,"",[1]对账明细接口!$N635),"")</f>
        <v/>
      </c>
      <c r="T635" s="112" t="str">
        <f aca="false">IFERROR(IF([1]对账明细接口!$O635=0,"",[1]对账明细接口!$O635),"")</f>
        <v/>
      </c>
      <c r="U635" s="112" t="str">
        <f aca="false">IFERROR(IF([1]对账明细接口!$P635=0,"",[1]对账明细接口!$P635),"")</f>
        <v/>
      </c>
      <c r="V635" s="112" t="str">
        <f aca="false">IFERROR(IF([1]对账明细接口!$Q635=0,"",[1]对账明细接口!$Q635),"")</f>
        <v/>
      </c>
      <c r="W635" s="10" t="str">
        <f aca="false">IFERROR(IF([1]对账明细接口!$R635=0,"",[1]对账明细接口!$R635),"")</f>
        <v/>
      </c>
      <c r="X635" s="10" t="str">
        <f aca="false">IFERROR(IF([1]对账明细接口!$S635=0,"",[1]对账明细接口!$S635),"")</f>
        <v/>
      </c>
      <c r="Y635" s="10" t="str">
        <f aca="false">""</f>
        <v/>
      </c>
      <c r="Z635" s="10" t="str">
        <f aca="false">""</f>
        <v/>
      </c>
      <c r="AA635" s="10" t="str">
        <f aca="false">""</f>
        <v/>
      </c>
      <c r="AB635" s="10" t="str">
        <f aca="false">""</f>
        <v/>
      </c>
    </row>
    <row r="636" customFormat="false" ht="13.5" hidden="false" customHeight="false" outlineLevel="0" collapsed="false">
      <c r="A636" s="109" t="n">
        <v>636</v>
      </c>
      <c r="B636" s="110" t="str">
        <f aca="false">IFERROR(IF([1]对账明细接口!$B$636=0,"",[1]对账明细接口!$B$636),"")</f>
        <v/>
      </c>
      <c r="C636" s="59" t="str">
        <f aca="false">IFERROR(IF([1]对账明细接口!$C$636=0,"",[1]对账明细接口!$C$636),"")</f>
        <v/>
      </c>
      <c r="D636" s="59" t="str">
        <f aca="false">IFERROR(IF([1]对账明细接口!$D$636=0,"",[1]对账明细接口!$D$636),"")</f>
        <v/>
      </c>
      <c r="E636" s="59" t="str">
        <f aca="false">IFERROR(IF([1]对账明细接口!$E$636=0,"",[1]对账明细接口!$E$636),"")</f>
        <v/>
      </c>
      <c r="F636" s="59" t="str">
        <f aca="false">IFERROR(IF([1]对账明细接口!$F$636=0,"",[1]对账明细接口!$F$636),"")</f>
        <v/>
      </c>
      <c r="G636" s="59" t="str">
        <f aca="false">IFERROR(IF([1]对账明细接口!$G$636=0,"",[1]对账明细接口!$G$636),"")</f>
        <v/>
      </c>
      <c r="H636" s="60" t="str">
        <f aca="false">IFERROR(IF([1]对账明细接口!$H$636=0,"",[1]对账明细接口!$H$636),"")</f>
        <v/>
      </c>
      <c r="I636" s="59" t="str">
        <f aca="false">IFERROR(IF([1]对账明细接口!$I$636=0,"",[1]对账明细接口!$I$636),"")</f>
        <v/>
      </c>
      <c r="J636" s="61" t="str">
        <f aca="false">IFERROR(IF([1]对账明细接口!$J$636=0,"",[1]对账明细接口!$J$636),"")</f>
        <v/>
      </c>
      <c r="K636" s="61" t="str">
        <f aca="false">IFERROR(IF([1]对账明细接口!$K$636=0,"",[1]对账明细接口!$K$636),"")</f>
        <v/>
      </c>
      <c r="L636" s="59" t="str">
        <f aca="false">IFERROR(IF([1]对账明细接口!$L$636=0,"",[1]对账明细接口!$L$636),"")</f>
        <v/>
      </c>
      <c r="M636" s="59" t="str">
        <f aca="false">IFERROR(IF([1]对账明细接口!$M$636=0,"",[1]对账明细接口!$M$636),"")</f>
        <v/>
      </c>
      <c r="N636" s="111" t="n">
        <f aca="false">IF($C636="",0,1)</f>
        <v>0</v>
      </c>
      <c r="O636" s="111" t="n">
        <f aca="false">N(O635)+$N636</f>
        <v>110</v>
      </c>
      <c r="S636" s="10" t="str">
        <f aca="false">IFERROR(IF([1]对账明细接口!$N636=0,"",[1]对账明细接口!$N636),"")</f>
        <v/>
      </c>
      <c r="T636" s="112" t="str">
        <f aca="false">IFERROR(IF([1]对账明细接口!$O636=0,"",[1]对账明细接口!$O636),"")</f>
        <v/>
      </c>
      <c r="U636" s="112" t="str">
        <f aca="false">IFERROR(IF([1]对账明细接口!$P636=0,"",[1]对账明细接口!$P636),"")</f>
        <v/>
      </c>
      <c r="V636" s="112" t="str">
        <f aca="false">IFERROR(IF([1]对账明细接口!$Q636=0,"",[1]对账明细接口!$Q636),"")</f>
        <v/>
      </c>
      <c r="W636" s="10" t="str">
        <f aca="false">IFERROR(IF([1]对账明细接口!$R636=0,"",[1]对账明细接口!$R636),"")</f>
        <v/>
      </c>
      <c r="X636" s="10" t="str">
        <f aca="false">IFERROR(IF([1]对账明细接口!$S636=0,"",[1]对账明细接口!$S636),"")</f>
        <v/>
      </c>
      <c r="Y636" s="10" t="str">
        <f aca="false">""</f>
        <v/>
      </c>
      <c r="Z636" s="10" t="str">
        <f aca="false">""</f>
        <v/>
      </c>
      <c r="AA636" s="10" t="str">
        <f aca="false">""</f>
        <v/>
      </c>
      <c r="AB636" s="10" t="str">
        <f aca="false">""</f>
        <v/>
      </c>
    </row>
    <row r="637" customFormat="false" ht="13.5" hidden="false" customHeight="false" outlineLevel="0" collapsed="false">
      <c r="A637" s="109" t="n">
        <v>637</v>
      </c>
      <c r="B637" s="110" t="str">
        <f aca="false">IFERROR(IF([1]对账明细接口!$B$637=0,"",[1]对账明细接口!$B$637),"")</f>
        <v/>
      </c>
      <c r="C637" s="59" t="str">
        <f aca="false">IFERROR(IF([1]对账明细接口!$C$637=0,"",[1]对账明细接口!$C$637),"")</f>
        <v/>
      </c>
      <c r="D637" s="59" t="str">
        <f aca="false">IFERROR(IF([1]对账明细接口!$D$637=0,"",[1]对账明细接口!$D$637),"")</f>
        <v/>
      </c>
      <c r="E637" s="59" t="str">
        <f aca="false">IFERROR(IF([1]对账明细接口!$E$637=0,"",[1]对账明细接口!$E$637),"")</f>
        <v/>
      </c>
      <c r="F637" s="59" t="str">
        <f aca="false">IFERROR(IF([1]对账明细接口!$F$637=0,"",[1]对账明细接口!$F$637),"")</f>
        <v/>
      </c>
      <c r="G637" s="59" t="str">
        <f aca="false">IFERROR(IF([1]对账明细接口!$G$637=0,"",[1]对账明细接口!$G$637),"")</f>
        <v/>
      </c>
      <c r="H637" s="60" t="str">
        <f aca="false">IFERROR(IF([1]对账明细接口!$H$637=0,"",[1]对账明细接口!$H$637),"")</f>
        <v/>
      </c>
      <c r="I637" s="59" t="str">
        <f aca="false">IFERROR(IF([1]对账明细接口!$I$637=0,"",[1]对账明细接口!$I$637),"")</f>
        <v/>
      </c>
      <c r="J637" s="61" t="str">
        <f aca="false">IFERROR(IF([1]对账明细接口!$J$637=0,"",[1]对账明细接口!$J$637),"")</f>
        <v/>
      </c>
      <c r="K637" s="61" t="str">
        <f aca="false">IFERROR(IF([1]对账明细接口!$K$637=0,"",[1]对账明细接口!$K$637),"")</f>
        <v/>
      </c>
      <c r="L637" s="59" t="str">
        <f aca="false">IFERROR(IF([1]对账明细接口!$L$637=0,"",[1]对账明细接口!$L$637),"")</f>
        <v/>
      </c>
      <c r="M637" s="59" t="str">
        <f aca="false">IFERROR(IF([1]对账明细接口!$M$637=0,"",[1]对账明细接口!$M$637),"")</f>
        <v/>
      </c>
      <c r="N637" s="111" t="n">
        <f aca="false">IF($C637="",0,1)</f>
        <v>0</v>
      </c>
      <c r="O637" s="111" t="n">
        <f aca="false">N(O636)+$N637</f>
        <v>110</v>
      </c>
      <c r="S637" s="10" t="str">
        <f aca="false">IFERROR(IF([1]对账明细接口!$N637=0,"",[1]对账明细接口!$N637),"")</f>
        <v/>
      </c>
      <c r="T637" s="112" t="str">
        <f aca="false">IFERROR(IF([1]对账明细接口!$O637=0,"",[1]对账明细接口!$O637),"")</f>
        <v/>
      </c>
      <c r="U637" s="112" t="str">
        <f aca="false">IFERROR(IF([1]对账明细接口!$P637=0,"",[1]对账明细接口!$P637),"")</f>
        <v/>
      </c>
      <c r="V637" s="112" t="str">
        <f aca="false">IFERROR(IF([1]对账明细接口!$Q637=0,"",[1]对账明细接口!$Q637),"")</f>
        <v/>
      </c>
      <c r="W637" s="10" t="str">
        <f aca="false">IFERROR(IF([1]对账明细接口!$R637=0,"",[1]对账明细接口!$R637),"")</f>
        <v/>
      </c>
      <c r="X637" s="10" t="str">
        <f aca="false">IFERROR(IF([1]对账明细接口!$S637=0,"",[1]对账明细接口!$S637),"")</f>
        <v/>
      </c>
      <c r="Y637" s="10" t="str">
        <f aca="false">""</f>
        <v/>
      </c>
      <c r="Z637" s="10" t="str">
        <f aca="false">""</f>
        <v/>
      </c>
      <c r="AA637" s="10" t="str">
        <f aca="false">""</f>
        <v/>
      </c>
      <c r="AB637" s="10" t="str">
        <f aca="false">""</f>
        <v/>
      </c>
    </row>
    <row r="638" customFormat="false" ht="13.5" hidden="false" customHeight="false" outlineLevel="0" collapsed="false">
      <c r="A638" s="109" t="n">
        <v>638</v>
      </c>
      <c r="B638" s="110" t="str">
        <f aca="false">IFERROR(IF([1]对账明细接口!$B$638=0,"",[1]对账明细接口!$B$638),"")</f>
        <v/>
      </c>
      <c r="C638" s="59" t="str">
        <f aca="false">IFERROR(IF([1]对账明细接口!$C$638=0,"",[1]对账明细接口!$C$638),"")</f>
        <v/>
      </c>
      <c r="D638" s="59" t="str">
        <f aca="false">IFERROR(IF([1]对账明细接口!$D$638=0,"",[1]对账明细接口!$D$638),"")</f>
        <v/>
      </c>
      <c r="E638" s="59" t="str">
        <f aca="false">IFERROR(IF([1]对账明细接口!$E$638=0,"",[1]对账明细接口!$E$638),"")</f>
        <v/>
      </c>
      <c r="F638" s="59" t="str">
        <f aca="false">IFERROR(IF([1]对账明细接口!$F$638=0,"",[1]对账明细接口!$F$638),"")</f>
        <v/>
      </c>
      <c r="G638" s="59" t="str">
        <f aca="false">IFERROR(IF([1]对账明细接口!$G$638=0,"",[1]对账明细接口!$G$638),"")</f>
        <v/>
      </c>
      <c r="H638" s="60" t="str">
        <f aca="false">IFERROR(IF([1]对账明细接口!$H$638=0,"",[1]对账明细接口!$H$638),"")</f>
        <v/>
      </c>
      <c r="I638" s="59" t="str">
        <f aca="false">IFERROR(IF([1]对账明细接口!$I$638=0,"",[1]对账明细接口!$I$638),"")</f>
        <v/>
      </c>
      <c r="J638" s="61" t="str">
        <f aca="false">IFERROR(IF([1]对账明细接口!$J$638=0,"",[1]对账明细接口!$J$638),"")</f>
        <v/>
      </c>
      <c r="K638" s="61" t="str">
        <f aca="false">IFERROR(IF([1]对账明细接口!$K$638=0,"",[1]对账明细接口!$K$638),"")</f>
        <v/>
      </c>
      <c r="L638" s="59" t="str">
        <f aca="false">IFERROR(IF([1]对账明细接口!$L$638=0,"",[1]对账明细接口!$L$638),"")</f>
        <v/>
      </c>
      <c r="M638" s="59" t="str">
        <f aca="false">IFERROR(IF([1]对账明细接口!$M$638=0,"",[1]对账明细接口!$M$638),"")</f>
        <v/>
      </c>
      <c r="N638" s="111" t="n">
        <f aca="false">IF($C638="",0,1)</f>
        <v>0</v>
      </c>
      <c r="O638" s="111" t="n">
        <f aca="false">N(O637)+$N638</f>
        <v>110</v>
      </c>
      <c r="S638" s="10" t="str">
        <f aca="false">IFERROR(IF([1]对账明细接口!$N638=0,"",[1]对账明细接口!$N638),"")</f>
        <v/>
      </c>
      <c r="T638" s="112" t="str">
        <f aca="false">IFERROR(IF([1]对账明细接口!$O638=0,"",[1]对账明细接口!$O638),"")</f>
        <v/>
      </c>
      <c r="U638" s="112" t="str">
        <f aca="false">IFERROR(IF([1]对账明细接口!$P638=0,"",[1]对账明细接口!$P638),"")</f>
        <v/>
      </c>
      <c r="V638" s="112" t="str">
        <f aca="false">IFERROR(IF([1]对账明细接口!$Q638=0,"",[1]对账明细接口!$Q638),"")</f>
        <v/>
      </c>
      <c r="W638" s="10" t="str">
        <f aca="false">IFERROR(IF([1]对账明细接口!$R638=0,"",[1]对账明细接口!$R638),"")</f>
        <v/>
      </c>
      <c r="X638" s="10" t="str">
        <f aca="false">IFERROR(IF([1]对账明细接口!$S638=0,"",[1]对账明细接口!$S638),"")</f>
        <v/>
      </c>
      <c r="Y638" s="10" t="str">
        <f aca="false">""</f>
        <v/>
      </c>
      <c r="Z638" s="10" t="str">
        <f aca="false">""</f>
        <v/>
      </c>
      <c r="AA638" s="10" t="str">
        <f aca="false">""</f>
        <v/>
      </c>
      <c r="AB638" s="10" t="str">
        <f aca="false">""</f>
        <v/>
      </c>
    </row>
    <row r="639" customFormat="false" ht="13.5" hidden="false" customHeight="false" outlineLevel="0" collapsed="false">
      <c r="A639" s="109" t="n">
        <v>639</v>
      </c>
      <c r="B639" s="110" t="str">
        <f aca="false">IFERROR(IF([1]对账明细接口!$B$639=0,"",[1]对账明细接口!$B$639),"")</f>
        <v/>
      </c>
      <c r="C639" s="59" t="str">
        <f aca="false">IFERROR(IF([1]对账明细接口!$C$639=0,"",[1]对账明细接口!$C$639),"")</f>
        <v/>
      </c>
      <c r="D639" s="59" t="str">
        <f aca="false">IFERROR(IF([1]对账明细接口!$D$639=0,"",[1]对账明细接口!$D$639),"")</f>
        <v/>
      </c>
      <c r="E639" s="59" t="str">
        <f aca="false">IFERROR(IF([1]对账明细接口!$E$639=0,"",[1]对账明细接口!$E$639),"")</f>
        <v/>
      </c>
      <c r="F639" s="59" t="str">
        <f aca="false">IFERROR(IF([1]对账明细接口!$F$639=0,"",[1]对账明细接口!$F$639),"")</f>
        <v/>
      </c>
      <c r="G639" s="59" t="str">
        <f aca="false">IFERROR(IF([1]对账明细接口!$G$639=0,"",[1]对账明细接口!$G$639),"")</f>
        <v/>
      </c>
      <c r="H639" s="60" t="str">
        <f aca="false">IFERROR(IF([1]对账明细接口!$H$639=0,"",[1]对账明细接口!$H$639),"")</f>
        <v/>
      </c>
      <c r="I639" s="59" t="str">
        <f aca="false">IFERROR(IF([1]对账明细接口!$I$639=0,"",[1]对账明细接口!$I$639),"")</f>
        <v/>
      </c>
      <c r="J639" s="61" t="str">
        <f aca="false">IFERROR(IF([1]对账明细接口!$J$639=0,"",[1]对账明细接口!$J$639),"")</f>
        <v/>
      </c>
      <c r="K639" s="61" t="str">
        <f aca="false">IFERROR(IF([1]对账明细接口!$K$639=0,"",[1]对账明细接口!$K$639),"")</f>
        <v/>
      </c>
      <c r="L639" s="59" t="str">
        <f aca="false">IFERROR(IF([1]对账明细接口!$L$639=0,"",[1]对账明细接口!$L$639),"")</f>
        <v/>
      </c>
      <c r="M639" s="59" t="str">
        <f aca="false">IFERROR(IF([1]对账明细接口!$M$639=0,"",[1]对账明细接口!$M$639),"")</f>
        <v/>
      </c>
      <c r="N639" s="111" t="n">
        <f aca="false">IF($C639="",0,1)</f>
        <v>0</v>
      </c>
      <c r="O639" s="111" t="n">
        <f aca="false">N(O638)+$N639</f>
        <v>110</v>
      </c>
      <c r="S639" s="10" t="str">
        <f aca="false">IFERROR(IF([1]对账明细接口!$N639=0,"",[1]对账明细接口!$N639),"")</f>
        <v/>
      </c>
      <c r="T639" s="112" t="str">
        <f aca="false">IFERROR(IF([1]对账明细接口!$O639=0,"",[1]对账明细接口!$O639),"")</f>
        <v/>
      </c>
      <c r="U639" s="112" t="str">
        <f aca="false">IFERROR(IF([1]对账明细接口!$P639=0,"",[1]对账明细接口!$P639),"")</f>
        <v/>
      </c>
      <c r="V639" s="112" t="str">
        <f aca="false">IFERROR(IF([1]对账明细接口!$Q639=0,"",[1]对账明细接口!$Q639),"")</f>
        <v/>
      </c>
      <c r="W639" s="10" t="str">
        <f aca="false">IFERROR(IF([1]对账明细接口!$R639=0,"",[1]对账明细接口!$R639),"")</f>
        <v/>
      </c>
      <c r="X639" s="10" t="str">
        <f aca="false">IFERROR(IF([1]对账明细接口!$S639=0,"",[1]对账明细接口!$S639),"")</f>
        <v/>
      </c>
      <c r="Y639" s="10" t="str">
        <f aca="false">""</f>
        <v/>
      </c>
      <c r="Z639" s="10" t="str">
        <f aca="false">""</f>
        <v/>
      </c>
      <c r="AA639" s="10" t="str">
        <f aca="false">""</f>
        <v/>
      </c>
      <c r="AB639" s="10" t="str">
        <f aca="false">""</f>
        <v/>
      </c>
    </row>
    <row r="640" customFormat="false" ht="13.5" hidden="false" customHeight="false" outlineLevel="0" collapsed="false">
      <c r="A640" s="109" t="n">
        <v>640</v>
      </c>
      <c r="B640" s="110" t="str">
        <f aca="false">IFERROR(IF([1]对账明细接口!$B$640=0,"",[1]对账明细接口!$B$640),"")</f>
        <v/>
      </c>
      <c r="C640" s="59" t="str">
        <f aca="false">IFERROR(IF([1]对账明细接口!$C$640=0,"",[1]对账明细接口!$C$640),"")</f>
        <v/>
      </c>
      <c r="D640" s="59" t="str">
        <f aca="false">IFERROR(IF([1]对账明细接口!$D$640=0,"",[1]对账明细接口!$D$640),"")</f>
        <v/>
      </c>
      <c r="E640" s="59" t="str">
        <f aca="false">IFERROR(IF([1]对账明细接口!$E$640=0,"",[1]对账明细接口!$E$640),"")</f>
        <v/>
      </c>
      <c r="F640" s="59" t="str">
        <f aca="false">IFERROR(IF([1]对账明细接口!$F$640=0,"",[1]对账明细接口!$F$640),"")</f>
        <v/>
      </c>
      <c r="G640" s="59" t="str">
        <f aca="false">IFERROR(IF([1]对账明细接口!$G$640=0,"",[1]对账明细接口!$G$640),"")</f>
        <v/>
      </c>
      <c r="H640" s="60" t="str">
        <f aca="false">IFERROR(IF([1]对账明细接口!$H$640=0,"",[1]对账明细接口!$H$640),"")</f>
        <v/>
      </c>
      <c r="I640" s="59" t="str">
        <f aca="false">IFERROR(IF([1]对账明细接口!$I$640=0,"",[1]对账明细接口!$I$640),"")</f>
        <v/>
      </c>
      <c r="J640" s="61" t="str">
        <f aca="false">IFERROR(IF([1]对账明细接口!$J$640=0,"",[1]对账明细接口!$J$640),"")</f>
        <v/>
      </c>
      <c r="K640" s="61" t="str">
        <f aca="false">IFERROR(IF([1]对账明细接口!$K$640=0,"",[1]对账明细接口!$K$640),"")</f>
        <v/>
      </c>
      <c r="L640" s="59" t="str">
        <f aca="false">IFERROR(IF([1]对账明细接口!$L$640=0,"",[1]对账明细接口!$L$640),"")</f>
        <v/>
      </c>
      <c r="M640" s="59" t="str">
        <f aca="false">IFERROR(IF([1]对账明细接口!$M$640=0,"",[1]对账明细接口!$M$640),"")</f>
        <v/>
      </c>
      <c r="N640" s="111" t="n">
        <f aca="false">IF($C640="",0,1)</f>
        <v>0</v>
      </c>
      <c r="O640" s="111" t="n">
        <f aca="false">N(O639)+$N640</f>
        <v>110</v>
      </c>
      <c r="S640" s="10" t="str">
        <f aca="false">IFERROR(IF([1]对账明细接口!$N640=0,"",[1]对账明细接口!$N640),"")</f>
        <v/>
      </c>
      <c r="T640" s="112" t="str">
        <f aca="false">IFERROR(IF([1]对账明细接口!$O640=0,"",[1]对账明细接口!$O640),"")</f>
        <v/>
      </c>
      <c r="U640" s="112" t="str">
        <f aca="false">IFERROR(IF([1]对账明细接口!$P640=0,"",[1]对账明细接口!$P640),"")</f>
        <v/>
      </c>
      <c r="V640" s="112" t="str">
        <f aca="false">IFERROR(IF([1]对账明细接口!$Q640=0,"",[1]对账明细接口!$Q640),"")</f>
        <v/>
      </c>
      <c r="W640" s="10" t="str">
        <f aca="false">IFERROR(IF([1]对账明细接口!$R640=0,"",[1]对账明细接口!$R640),"")</f>
        <v/>
      </c>
      <c r="X640" s="10" t="str">
        <f aca="false">IFERROR(IF([1]对账明细接口!$S640=0,"",[1]对账明细接口!$S640),"")</f>
        <v/>
      </c>
      <c r="Y640" s="10" t="str">
        <f aca="false">""</f>
        <v/>
      </c>
      <c r="Z640" s="10" t="str">
        <f aca="false">""</f>
        <v/>
      </c>
      <c r="AA640" s="10" t="str">
        <f aca="false">""</f>
        <v/>
      </c>
      <c r="AB640" s="10" t="str">
        <f aca="false">""</f>
        <v/>
      </c>
    </row>
    <row r="641" customFormat="false" ht="13.5" hidden="false" customHeight="false" outlineLevel="0" collapsed="false">
      <c r="A641" s="109" t="n">
        <v>641</v>
      </c>
      <c r="B641" s="110" t="str">
        <f aca="false">IFERROR(IF([1]对账明细接口!$B$641=0,"",[1]对账明细接口!$B$641),"")</f>
        <v/>
      </c>
      <c r="C641" s="59" t="str">
        <f aca="false">IFERROR(IF([1]对账明细接口!$C$641=0,"",[1]对账明细接口!$C$641),"")</f>
        <v/>
      </c>
      <c r="D641" s="59" t="str">
        <f aca="false">IFERROR(IF([1]对账明细接口!$D$641=0,"",[1]对账明细接口!$D$641),"")</f>
        <v/>
      </c>
      <c r="E641" s="59" t="str">
        <f aca="false">IFERROR(IF([1]对账明细接口!$E$641=0,"",[1]对账明细接口!$E$641),"")</f>
        <v/>
      </c>
      <c r="F641" s="59" t="str">
        <f aca="false">IFERROR(IF([1]对账明细接口!$F$641=0,"",[1]对账明细接口!$F$641),"")</f>
        <v/>
      </c>
      <c r="G641" s="59" t="str">
        <f aca="false">IFERROR(IF([1]对账明细接口!$G$641=0,"",[1]对账明细接口!$G$641),"")</f>
        <v/>
      </c>
      <c r="H641" s="60" t="str">
        <f aca="false">IFERROR(IF([1]对账明细接口!$H$641=0,"",[1]对账明细接口!$H$641),"")</f>
        <v/>
      </c>
      <c r="I641" s="59" t="str">
        <f aca="false">IFERROR(IF([1]对账明细接口!$I$641=0,"",[1]对账明细接口!$I$641),"")</f>
        <v/>
      </c>
      <c r="J641" s="61" t="str">
        <f aca="false">IFERROR(IF([1]对账明细接口!$J$641=0,"",[1]对账明细接口!$J$641),"")</f>
        <v/>
      </c>
      <c r="K641" s="61" t="str">
        <f aca="false">IFERROR(IF([1]对账明细接口!$K$641=0,"",[1]对账明细接口!$K$641),"")</f>
        <v/>
      </c>
      <c r="L641" s="59" t="str">
        <f aca="false">IFERROR(IF([1]对账明细接口!$L$641=0,"",[1]对账明细接口!$L$641),"")</f>
        <v/>
      </c>
      <c r="M641" s="59" t="str">
        <f aca="false">IFERROR(IF([1]对账明细接口!$M$641=0,"",[1]对账明细接口!$M$641),"")</f>
        <v/>
      </c>
      <c r="N641" s="111" t="n">
        <f aca="false">IF($C641="",0,1)</f>
        <v>0</v>
      </c>
      <c r="O641" s="111" t="n">
        <f aca="false">N(O640)+$N641</f>
        <v>110</v>
      </c>
      <c r="S641" s="10" t="str">
        <f aca="false">IFERROR(IF([1]对账明细接口!$N641=0,"",[1]对账明细接口!$N641),"")</f>
        <v/>
      </c>
      <c r="T641" s="112" t="str">
        <f aca="false">IFERROR(IF([1]对账明细接口!$O641=0,"",[1]对账明细接口!$O641),"")</f>
        <v/>
      </c>
      <c r="U641" s="112" t="str">
        <f aca="false">IFERROR(IF([1]对账明细接口!$P641=0,"",[1]对账明细接口!$P641),"")</f>
        <v/>
      </c>
      <c r="V641" s="112" t="str">
        <f aca="false">IFERROR(IF([1]对账明细接口!$Q641=0,"",[1]对账明细接口!$Q641),"")</f>
        <v/>
      </c>
      <c r="W641" s="10" t="str">
        <f aca="false">IFERROR(IF([1]对账明细接口!$R641=0,"",[1]对账明细接口!$R641),"")</f>
        <v/>
      </c>
      <c r="X641" s="10" t="str">
        <f aca="false">IFERROR(IF([1]对账明细接口!$S641=0,"",[1]对账明细接口!$S641),"")</f>
        <v/>
      </c>
      <c r="Y641" s="10" t="str">
        <f aca="false">""</f>
        <v/>
      </c>
      <c r="Z641" s="10" t="str">
        <f aca="false">""</f>
        <v/>
      </c>
      <c r="AA641" s="10" t="str">
        <f aca="false">""</f>
        <v/>
      </c>
      <c r="AB641" s="10" t="str">
        <f aca="false">""</f>
        <v/>
      </c>
    </row>
    <row r="642" customFormat="false" ht="13.5" hidden="false" customHeight="false" outlineLevel="0" collapsed="false">
      <c r="A642" s="109" t="n">
        <v>642</v>
      </c>
      <c r="B642" s="110" t="str">
        <f aca="false">IFERROR(IF([1]对账明细接口!$B$642=0,"",[1]对账明细接口!$B$642),"")</f>
        <v/>
      </c>
      <c r="C642" s="59" t="str">
        <f aca="false">IFERROR(IF([1]对账明细接口!$C$642=0,"",[1]对账明细接口!$C$642),"")</f>
        <v/>
      </c>
      <c r="D642" s="59" t="str">
        <f aca="false">IFERROR(IF([1]对账明细接口!$D$642=0,"",[1]对账明细接口!$D$642),"")</f>
        <v/>
      </c>
      <c r="E642" s="59" t="str">
        <f aca="false">IFERROR(IF([1]对账明细接口!$E$642=0,"",[1]对账明细接口!$E$642),"")</f>
        <v/>
      </c>
      <c r="F642" s="59" t="str">
        <f aca="false">IFERROR(IF([1]对账明细接口!$F$642=0,"",[1]对账明细接口!$F$642),"")</f>
        <v/>
      </c>
      <c r="G642" s="59" t="str">
        <f aca="false">IFERROR(IF([1]对账明细接口!$G$642=0,"",[1]对账明细接口!$G$642),"")</f>
        <v/>
      </c>
      <c r="H642" s="60" t="str">
        <f aca="false">IFERROR(IF([1]对账明细接口!$H$642=0,"",[1]对账明细接口!$H$642),"")</f>
        <v/>
      </c>
      <c r="I642" s="59" t="str">
        <f aca="false">IFERROR(IF([1]对账明细接口!$I$642=0,"",[1]对账明细接口!$I$642),"")</f>
        <v/>
      </c>
      <c r="J642" s="61" t="str">
        <f aca="false">IFERROR(IF([1]对账明细接口!$J$642=0,"",[1]对账明细接口!$J$642),"")</f>
        <v/>
      </c>
      <c r="K642" s="61" t="str">
        <f aca="false">IFERROR(IF([1]对账明细接口!$K$642=0,"",[1]对账明细接口!$K$642),"")</f>
        <v/>
      </c>
      <c r="L642" s="59" t="str">
        <f aca="false">IFERROR(IF([1]对账明细接口!$L$642=0,"",[1]对账明细接口!$L$642),"")</f>
        <v/>
      </c>
      <c r="M642" s="59" t="str">
        <f aca="false">IFERROR(IF([1]对账明细接口!$M$642=0,"",[1]对账明细接口!$M$642),"")</f>
        <v/>
      </c>
      <c r="N642" s="111" t="n">
        <f aca="false">IF($C642="",0,1)</f>
        <v>0</v>
      </c>
      <c r="O642" s="111" t="n">
        <f aca="false">N(O641)+$N642</f>
        <v>110</v>
      </c>
      <c r="S642" s="10" t="str">
        <f aca="false">IFERROR(IF([1]对账明细接口!$N642=0,"",[1]对账明细接口!$N642),"")</f>
        <v/>
      </c>
      <c r="T642" s="112" t="str">
        <f aca="false">IFERROR(IF([1]对账明细接口!$O642=0,"",[1]对账明细接口!$O642),"")</f>
        <v/>
      </c>
      <c r="U642" s="112" t="str">
        <f aca="false">IFERROR(IF([1]对账明细接口!$P642=0,"",[1]对账明细接口!$P642),"")</f>
        <v/>
      </c>
      <c r="V642" s="112" t="str">
        <f aca="false">IFERROR(IF([1]对账明细接口!$Q642=0,"",[1]对账明细接口!$Q642),"")</f>
        <v/>
      </c>
      <c r="W642" s="10" t="str">
        <f aca="false">IFERROR(IF([1]对账明细接口!$R642=0,"",[1]对账明细接口!$R642),"")</f>
        <v/>
      </c>
      <c r="X642" s="10" t="str">
        <f aca="false">IFERROR(IF([1]对账明细接口!$S642=0,"",[1]对账明细接口!$S642),"")</f>
        <v/>
      </c>
      <c r="Y642" s="10" t="str">
        <f aca="false">""</f>
        <v/>
      </c>
      <c r="Z642" s="10" t="str">
        <f aca="false">""</f>
        <v/>
      </c>
      <c r="AA642" s="10" t="str">
        <f aca="false">""</f>
        <v/>
      </c>
      <c r="AB642" s="10" t="str">
        <f aca="false">""</f>
        <v/>
      </c>
    </row>
    <row r="643" customFormat="false" ht="13.5" hidden="false" customHeight="false" outlineLevel="0" collapsed="false">
      <c r="A643" s="109" t="n">
        <v>643</v>
      </c>
      <c r="B643" s="110" t="str">
        <f aca="false">IFERROR(IF([1]对账明细接口!$B$643=0,"",[1]对账明细接口!$B$643),"")</f>
        <v/>
      </c>
      <c r="C643" s="59" t="str">
        <f aca="false">IFERROR(IF([1]对账明细接口!$C$643=0,"",[1]对账明细接口!$C$643),"")</f>
        <v/>
      </c>
      <c r="D643" s="59" t="str">
        <f aca="false">IFERROR(IF([1]对账明细接口!$D$643=0,"",[1]对账明细接口!$D$643),"")</f>
        <v/>
      </c>
      <c r="E643" s="59" t="str">
        <f aca="false">IFERROR(IF([1]对账明细接口!$E$643=0,"",[1]对账明细接口!$E$643),"")</f>
        <v/>
      </c>
      <c r="F643" s="59" t="str">
        <f aca="false">IFERROR(IF([1]对账明细接口!$F$643=0,"",[1]对账明细接口!$F$643),"")</f>
        <v/>
      </c>
      <c r="G643" s="59" t="str">
        <f aca="false">IFERROR(IF([1]对账明细接口!$G$643=0,"",[1]对账明细接口!$G$643),"")</f>
        <v/>
      </c>
      <c r="H643" s="60" t="str">
        <f aca="false">IFERROR(IF([1]对账明细接口!$H$643=0,"",[1]对账明细接口!$H$643),"")</f>
        <v/>
      </c>
      <c r="I643" s="59" t="str">
        <f aca="false">IFERROR(IF([1]对账明细接口!$I$643=0,"",[1]对账明细接口!$I$643),"")</f>
        <v/>
      </c>
      <c r="J643" s="61" t="str">
        <f aca="false">IFERROR(IF([1]对账明细接口!$J$643=0,"",[1]对账明细接口!$J$643),"")</f>
        <v/>
      </c>
      <c r="K643" s="61" t="str">
        <f aca="false">IFERROR(IF([1]对账明细接口!$K$643=0,"",[1]对账明细接口!$K$643),"")</f>
        <v/>
      </c>
      <c r="L643" s="59" t="str">
        <f aca="false">IFERROR(IF([1]对账明细接口!$L$643=0,"",[1]对账明细接口!$L$643),"")</f>
        <v/>
      </c>
      <c r="M643" s="59" t="str">
        <f aca="false">IFERROR(IF([1]对账明细接口!$M$643=0,"",[1]对账明细接口!$M$643),"")</f>
        <v/>
      </c>
      <c r="N643" s="111" t="n">
        <f aca="false">IF($C643="",0,1)</f>
        <v>0</v>
      </c>
      <c r="O643" s="111" t="n">
        <f aca="false">N(O642)+$N643</f>
        <v>110</v>
      </c>
      <c r="S643" s="10" t="str">
        <f aca="false">IFERROR(IF([1]对账明细接口!$N643=0,"",[1]对账明细接口!$N643),"")</f>
        <v/>
      </c>
      <c r="T643" s="112" t="str">
        <f aca="false">IFERROR(IF([1]对账明细接口!$O643=0,"",[1]对账明细接口!$O643),"")</f>
        <v/>
      </c>
      <c r="U643" s="112" t="str">
        <f aca="false">IFERROR(IF([1]对账明细接口!$P643=0,"",[1]对账明细接口!$P643),"")</f>
        <v/>
      </c>
      <c r="V643" s="112" t="str">
        <f aca="false">IFERROR(IF([1]对账明细接口!$Q643=0,"",[1]对账明细接口!$Q643),"")</f>
        <v/>
      </c>
      <c r="W643" s="10" t="str">
        <f aca="false">IFERROR(IF([1]对账明细接口!$R643=0,"",[1]对账明细接口!$R643),"")</f>
        <v/>
      </c>
      <c r="X643" s="10" t="str">
        <f aca="false">IFERROR(IF([1]对账明细接口!$S643=0,"",[1]对账明细接口!$S643),"")</f>
        <v/>
      </c>
      <c r="Y643" s="10" t="str">
        <f aca="false">""</f>
        <v/>
      </c>
      <c r="Z643" s="10" t="str">
        <f aca="false">""</f>
        <v/>
      </c>
      <c r="AA643" s="10" t="str">
        <f aca="false">""</f>
        <v/>
      </c>
      <c r="AB643" s="10" t="str">
        <f aca="false">""</f>
        <v/>
      </c>
    </row>
    <row r="644" customFormat="false" ht="13.5" hidden="false" customHeight="false" outlineLevel="0" collapsed="false">
      <c r="A644" s="109" t="n">
        <v>644</v>
      </c>
      <c r="B644" s="110" t="str">
        <f aca="false">IFERROR(IF([1]对账明细接口!$B$644=0,"",[1]对账明细接口!$B$644),"")</f>
        <v/>
      </c>
      <c r="C644" s="59" t="str">
        <f aca="false">IFERROR(IF([1]对账明细接口!$C$644=0,"",[1]对账明细接口!$C$644),"")</f>
        <v/>
      </c>
      <c r="D644" s="59" t="str">
        <f aca="false">IFERROR(IF([1]对账明细接口!$D$644=0,"",[1]对账明细接口!$D$644),"")</f>
        <v/>
      </c>
      <c r="E644" s="59" t="str">
        <f aca="false">IFERROR(IF([1]对账明细接口!$E$644=0,"",[1]对账明细接口!$E$644),"")</f>
        <v/>
      </c>
      <c r="F644" s="59" t="str">
        <f aca="false">IFERROR(IF([1]对账明细接口!$F$644=0,"",[1]对账明细接口!$F$644),"")</f>
        <v/>
      </c>
      <c r="G644" s="59" t="str">
        <f aca="false">IFERROR(IF([1]对账明细接口!$G$644=0,"",[1]对账明细接口!$G$644),"")</f>
        <v/>
      </c>
      <c r="H644" s="60" t="str">
        <f aca="false">IFERROR(IF([1]对账明细接口!$H$644=0,"",[1]对账明细接口!$H$644),"")</f>
        <v/>
      </c>
      <c r="I644" s="59" t="str">
        <f aca="false">IFERROR(IF([1]对账明细接口!$I$644=0,"",[1]对账明细接口!$I$644),"")</f>
        <v/>
      </c>
      <c r="J644" s="61" t="str">
        <f aca="false">IFERROR(IF([1]对账明细接口!$J$644=0,"",[1]对账明细接口!$J$644),"")</f>
        <v/>
      </c>
      <c r="K644" s="61" t="str">
        <f aca="false">IFERROR(IF([1]对账明细接口!$K$644=0,"",[1]对账明细接口!$K$644),"")</f>
        <v/>
      </c>
      <c r="L644" s="59" t="str">
        <f aca="false">IFERROR(IF([1]对账明细接口!$L$644=0,"",[1]对账明细接口!$L$644),"")</f>
        <v/>
      </c>
      <c r="M644" s="59" t="str">
        <f aca="false">IFERROR(IF([1]对账明细接口!$M$644=0,"",[1]对账明细接口!$M$644),"")</f>
        <v/>
      </c>
      <c r="N644" s="111" t="n">
        <f aca="false">IF($C644="",0,1)</f>
        <v>0</v>
      </c>
      <c r="O644" s="111" t="n">
        <f aca="false">N(O643)+$N644</f>
        <v>110</v>
      </c>
      <c r="S644" s="10" t="str">
        <f aca="false">IFERROR(IF([1]对账明细接口!$N644=0,"",[1]对账明细接口!$N644),"")</f>
        <v/>
      </c>
      <c r="T644" s="112" t="str">
        <f aca="false">IFERROR(IF([1]对账明细接口!$O644=0,"",[1]对账明细接口!$O644),"")</f>
        <v/>
      </c>
      <c r="U644" s="112" t="str">
        <f aca="false">IFERROR(IF([1]对账明细接口!$P644=0,"",[1]对账明细接口!$P644),"")</f>
        <v/>
      </c>
      <c r="V644" s="112" t="str">
        <f aca="false">IFERROR(IF([1]对账明细接口!$Q644=0,"",[1]对账明细接口!$Q644),"")</f>
        <v/>
      </c>
      <c r="W644" s="10" t="str">
        <f aca="false">IFERROR(IF([1]对账明细接口!$R644=0,"",[1]对账明细接口!$R644),"")</f>
        <v/>
      </c>
      <c r="X644" s="10" t="str">
        <f aca="false">IFERROR(IF([1]对账明细接口!$S644=0,"",[1]对账明细接口!$S644),"")</f>
        <v/>
      </c>
      <c r="Y644" s="10" t="str">
        <f aca="false">""</f>
        <v/>
      </c>
      <c r="Z644" s="10" t="str">
        <f aca="false">""</f>
        <v/>
      </c>
      <c r="AA644" s="10" t="str">
        <f aca="false">""</f>
        <v/>
      </c>
      <c r="AB644" s="10" t="str">
        <f aca="false">""</f>
        <v/>
      </c>
    </row>
    <row r="645" customFormat="false" ht="13.5" hidden="false" customHeight="false" outlineLevel="0" collapsed="false">
      <c r="A645" s="109" t="n">
        <v>645</v>
      </c>
      <c r="B645" s="110" t="str">
        <f aca="false">IFERROR(IF([1]对账明细接口!$B$645=0,"",[1]对账明细接口!$B$645),"")</f>
        <v/>
      </c>
      <c r="C645" s="59" t="str">
        <f aca="false">IFERROR(IF([1]对账明细接口!$C$645=0,"",[1]对账明细接口!$C$645),"")</f>
        <v/>
      </c>
      <c r="D645" s="59" t="str">
        <f aca="false">IFERROR(IF([1]对账明细接口!$D$645=0,"",[1]对账明细接口!$D$645),"")</f>
        <v/>
      </c>
      <c r="E645" s="59" t="str">
        <f aca="false">IFERROR(IF([1]对账明细接口!$E$645=0,"",[1]对账明细接口!$E$645),"")</f>
        <v/>
      </c>
      <c r="F645" s="59" t="str">
        <f aca="false">IFERROR(IF([1]对账明细接口!$F$645=0,"",[1]对账明细接口!$F$645),"")</f>
        <v/>
      </c>
      <c r="G645" s="59" t="str">
        <f aca="false">IFERROR(IF([1]对账明细接口!$G$645=0,"",[1]对账明细接口!$G$645),"")</f>
        <v/>
      </c>
      <c r="H645" s="60" t="str">
        <f aca="false">IFERROR(IF([1]对账明细接口!$H$645=0,"",[1]对账明细接口!$H$645),"")</f>
        <v/>
      </c>
      <c r="I645" s="59" t="str">
        <f aca="false">IFERROR(IF([1]对账明细接口!$I$645=0,"",[1]对账明细接口!$I$645),"")</f>
        <v/>
      </c>
      <c r="J645" s="61" t="str">
        <f aca="false">IFERROR(IF([1]对账明细接口!$J$645=0,"",[1]对账明细接口!$J$645),"")</f>
        <v/>
      </c>
      <c r="K645" s="61" t="str">
        <f aca="false">IFERROR(IF([1]对账明细接口!$K$645=0,"",[1]对账明细接口!$K$645),"")</f>
        <v/>
      </c>
      <c r="L645" s="59" t="str">
        <f aca="false">IFERROR(IF([1]对账明细接口!$L$645=0,"",[1]对账明细接口!$L$645),"")</f>
        <v/>
      </c>
      <c r="M645" s="59" t="str">
        <f aca="false">IFERROR(IF([1]对账明细接口!$M$645=0,"",[1]对账明细接口!$M$645),"")</f>
        <v/>
      </c>
      <c r="N645" s="111" t="n">
        <f aca="false">IF($C645="",0,1)</f>
        <v>0</v>
      </c>
      <c r="O645" s="111" t="n">
        <f aca="false">N(O644)+$N645</f>
        <v>110</v>
      </c>
      <c r="S645" s="10" t="str">
        <f aca="false">IFERROR(IF([1]对账明细接口!$N645=0,"",[1]对账明细接口!$N645),"")</f>
        <v/>
      </c>
      <c r="T645" s="112" t="str">
        <f aca="false">IFERROR(IF([1]对账明细接口!$O645=0,"",[1]对账明细接口!$O645),"")</f>
        <v/>
      </c>
      <c r="U645" s="112" t="str">
        <f aca="false">IFERROR(IF([1]对账明细接口!$P645=0,"",[1]对账明细接口!$P645),"")</f>
        <v/>
      </c>
      <c r="V645" s="112" t="str">
        <f aca="false">IFERROR(IF([1]对账明细接口!$Q645=0,"",[1]对账明细接口!$Q645),"")</f>
        <v/>
      </c>
      <c r="W645" s="10" t="str">
        <f aca="false">IFERROR(IF([1]对账明细接口!$R645=0,"",[1]对账明细接口!$R645),"")</f>
        <v/>
      </c>
      <c r="X645" s="10" t="str">
        <f aca="false">IFERROR(IF([1]对账明细接口!$S645=0,"",[1]对账明细接口!$S645),"")</f>
        <v/>
      </c>
      <c r="Y645" s="10" t="str">
        <f aca="false">""</f>
        <v/>
      </c>
      <c r="Z645" s="10" t="str">
        <f aca="false">""</f>
        <v/>
      </c>
      <c r="AA645" s="10" t="str">
        <f aca="false">""</f>
        <v/>
      </c>
      <c r="AB645" s="10" t="str">
        <f aca="false">""</f>
        <v/>
      </c>
    </row>
    <row r="646" customFormat="false" ht="13.5" hidden="false" customHeight="false" outlineLevel="0" collapsed="false">
      <c r="A646" s="109" t="n">
        <v>646</v>
      </c>
      <c r="B646" s="110" t="str">
        <f aca="false">IFERROR(IF([1]对账明细接口!$B$646=0,"",[1]对账明细接口!$B$646),"")</f>
        <v/>
      </c>
      <c r="C646" s="59" t="str">
        <f aca="false">IFERROR(IF([1]对账明细接口!$C$646=0,"",[1]对账明细接口!$C$646),"")</f>
        <v/>
      </c>
      <c r="D646" s="59" t="str">
        <f aca="false">IFERROR(IF([1]对账明细接口!$D$646=0,"",[1]对账明细接口!$D$646),"")</f>
        <v/>
      </c>
      <c r="E646" s="59" t="str">
        <f aca="false">IFERROR(IF([1]对账明细接口!$E$646=0,"",[1]对账明细接口!$E$646),"")</f>
        <v/>
      </c>
      <c r="F646" s="59" t="str">
        <f aca="false">IFERROR(IF([1]对账明细接口!$F$646=0,"",[1]对账明细接口!$F$646),"")</f>
        <v/>
      </c>
      <c r="G646" s="59" t="str">
        <f aca="false">IFERROR(IF([1]对账明细接口!$G$646=0,"",[1]对账明细接口!$G$646),"")</f>
        <v/>
      </c>
      <c r="H646" s="60" t="str">
        <f aca="false">IFERROR(IF([1]对账明细接口!$H$646=0,"",[1]对账明细接口!$H$646),"")</f>
        <v/>
      </c>
      <c r="I646" s="59" t="str">
        <f aca="false">IFERROR(IF([1]对账明细接口!$I$646=0,"",[1]对账明细接口!$I$646),"")</f>
        <v/>
      </c>
      <c r="J646" s="61" t="str">
        <f aca="false">IFERROR(IF([1]对账明细接口!$J$646=0,"",[1]对账明细接口!$J$646),"")</f>
        <v/>
      </c>
      <c r="K646" s="61" t="str">
        <f aca="false">IFERROR(IF([1]对账明细接口!$K$646=0,"",[1]对账明细接口!$K$646),"")</f>
        <v/>
      </c>
      <c r="L646" s="59" t="str">
        <f aca="false">IFERROR(IF([1]对账明细接口!$L$646=0,"",[1]对账明细接口!$L$646),"")</f>
        <v/>
      </c>
      <c r="M646" s="59" t="str">
        <f aca="false">IFERROR(IF([1]对账明细接口!$M$646=0,"",[1]对账明细接口!$M$646),"")</f>
        <v/>
      </c>
      <c r="N646" s="111" t="n">
        <f aca="false">IF($C646="",0,1)</f>
        <v>0</v>
      </c>
      <c r="O646" s="111" t="n">
        <f aca="false">N(O645)+$N646</f>
        <v>110</v>
      </c>
      <c r="S646" s="10" t="str">
        <f aca="false">IFERROR(IF([1]对账明细接口!$N646=0,"",[1]对账明细接口!$N646),"")</f>
        <v/>
      </c>
      <c r="T646" s="112" t="str">
        <f aca="false">IFERROR(IF([1]对账明细接口!$O646=0,"",[1]对账明细接口!$O646),"")</f>
        <v/>
      </c>
      <c r="U646" s="112" t="str">
        <f aca="false">IFERROR(IF([1]对账明细接口!$P646=0,"",[1]对账明细接口!$P646),"")</f>
        <v/>
      </c>
      <c r="V646" s="112" t="str">
        <f aca="false">IFERROR(IF([1]对账明细接口!$Q646=0,"",[1]对账明细接口!$Q646),"")</f>
        <v/>
      </c>
      <c r="W646" s="10" t="str">
        <f aca="false">IFERROR(IF([1]对账明细接口!$R646=0,"",[1]对账明细接口!$R646),"")</f>
        <v/>
      </c>
      <c r="X646" s="10" t="str">
        <f aca="false">IFERROR(IF([1]对账明细接口!$S646=0,"",[1]对账明细接口!$S646),"")</f>
        <v/>
      </c>
      <c r="Y646" s="10" t="str">
        <f aca="false">""</f>
        <v/>
      </c>
      <c r="Z646" s="10" t="str">
        <f aca="false">""</f>
        <v/>
      </c>
      <c r="AA646" s="10" t="str">
        <f aca="false">""</f>
        <v/>
      </c>
      <c r="AB646" s="10" t="str">
        <f aca="false">""</f>
        <v/>
      </c>
    </row>
    <row r="647" customFormat="false" ht="13.5" hidden="false" customHeight="false" outlineLevel="0" collapsed="false">
      <c r="A647" s="109" t="n">
        <v>647</v>
      </c>
      <c r="B647" s="110" t="str">
        <f aca="false">IFERROR(IF([1]对账明细接口!$B$647=0,"",[1]对账明细接口!$B$647),"")</f>
        <v/>
      </c>
      <c r="C647" s="59" t="str">
        <f aca="false">IFERROR(IF([1]对账明细接口!$C$647=0,"",[1]对账明细接口!$C$647),"")</f>
        <v/>
      </c>
      <c r="D647" s="59" t="str">
        <f aca="false">IFERROR(IF([1]对账明细接口!$D$647=0,"",[1]对账明细接口!$D$647),"")</f>
        <v/>
      </c>
      <c r="E647" s="59" t="str">
        <f aca="false">IFERROR(IF([1]对账明细接口!$E$647=0,"",[1]对账明细接口!$E$647),"")</f>
        <v/>
      </c>
      <c r="F647" s="59" t="str">
        <f aca="false">IFERROR(IF([1]对账明细接口!$F$647=0,"",[1]对账明细接口!$F$647),"")</f>
        <v/>
      </c>
      <c r="G647" s="59" t="str">
        <f aca="false">IFERROR(IF([1]对账明细接口!$G$647=0,"",[1]对账明细接口!$G$647),"")</f>
        <v/>
      </c>
      <c r="H647" s="60" t="str">
        <f aca="false">IFERROR(IF([1]对账明细接口!$H$647=0,"",[1]对账明细接口!$H$647),"")</f>
        <v/>
      </c>
      <c r="I647" s="59" t="str">
        <f aca="false">IFERROR(IF([1]对账明细接口!$I$647=0,"",[1]对账明细接口!$I$647),"")</f>
        <v/>
      </c>
      <c r="J647" s="61" t="str">
        <f aca="false">IFERROR(IF([1]对账明细接口!$J$647=0,"",[1]对账明细接口!$J$647),"")</f>
        <v/>
      </c>
      <c r="K647" s="61" t="str">
        <f aca="false">IFERROR(IF([1]对账明细接口!$K$647=0,"",[1]对账明细接口!$K$647),"")</f>
        <v/>
      </c>
      <c r="L647" s="59" t="str">
        <f aca="false">IFERROR(IF([1]对账明细接口!$L$647=0,"",[1]对账明细接口!$L$647),"")</f>
        <v/>
      </c>
      <c r="M647" s="59" t="str">
        <f aca="false">IFERROR(IF([1]对账明细接口!$M$647=0,"",[1]对账明细接口!$M$647),"")</f>
        <v/>
      </c>
      <c r="N647" s="111" t="n">
        <f aca="false">IF($C647="",0,1)</f>
        <v>0</v>
      </c>
      <c r="O647" s="111" t="n">
        <f aca="false">N(O646)+$N647</f>
        <v>110</v>
      </c>
      <c r="S647" s="10" t="str">
        <f aca="false">IFERROR(IF([1]对账明细接口!$N647=0,"",[1]对账明细接口!$N647),"")</f>
        <v/>
      </c>
      <c r="T647" s="112" t="str">
        <f aca="false">IFERROR(IF([1]对账明细接口!$O647=0,"",[1]对账明细接口!$O647),"")</f>
        <v/>
      </c>
      <c r="U647" s="112" t="str">
        <f aca="false">IFERROR(IF([1]对账明细接口!$P647=0,"",[1]对账明细接口!$P647),"")</f>
        <v/>
      </c>
      <c r="V647" s="112" t="str">
        <f aca="false">IFERROR(IF([1]对账明细接口!$Q647=0,"",[1]对账明细接口!$Q647),"")</f>
        <v/>
      </c>
      <c r="W647" s="10" t="str">
        <f aca="false">IFERROR(IF([1]对账明细接口!$R647=0,"",[1]对账明细接口!$R647),"")</f>
        <v/>
      </c>
      <c r="X647" s="10" t="str">
        <f aca="false">IFERROR(IF([1]对账明细接口!$S647=0,"",[1]对账明细接口!$S647),"")</f>
        <v/>
      </c>
      <c r="Y647" s="10" t="str">
        <f aca="false">""</f>
        <v/>
      </c>
      <c r="Z647" s="10" t="str">
        <f aca="false">""</f>
        <v/>
      </c>
      <c r="AA647" s="10" t="str">
        <f aca="false">""</f>
        <v/>
      </c>
      <c r="AB647" s="10" t="str">
        <f aca="false">""</f>
        <v/>
      </c>
    </row>
    <row r="648" customFormat="false" ht="13.5" hidden="false" customHeight="false" outlineLevel="0" collapsed="false">
      <c r="A648" s="109" t="n">
        <v>648</v>
      </c>
      <c r="B648" s="110" t="str">
        <f aca="false">IFERROR(IF([1]对账明细接口!$B$648=0,"",[1]对账明细接口!$B$648),"")</f>
        <v/>
      </c>
      <c r="C648" s="59" t="str">
        <f aca="false">IFERROR(IF([1]对账明细接口!$C$648=0,"",[1]对账明细接口!$C$648),"")</f>
        <v/>
      </c>
      <c r="D648" s="59" t="str">
        <f aca="false">IFERROR(IF([1]对账明细接口!$D$648=0,"",[1]对账明细接口!$D$648),"")</f>
        <v/>
      </c>
      <c r="E648" s="59" t="str">
        <f aca="false">IFERROR(IF([1]对账明细接口!$E$648=0,"",[1]对账明细接口!$E$648),"")</f>
        <v/>
      </c>
      <c r="F648" s="59" t="str">
        <f aca="false">IFERROR(IF([1]对账明细接口!$F$648=0,"",[1]对账明细接口!$F$648),"")</f>
        <v/>
      </c>
      <c r="G648" s="59" t="str">
        <f aca="false">IFERROR(IF([1]对账明细接口!$G$648=0,"",[1]对账明细接口!$G$648),"")</f>
        <v/>
      </c>
      <c r="H648" s="60" t="str">
        <f aca="false">IFERROR(IF([1]对账明细接口!$H$648=0,"",[1]对账明细接口!$H$648),"")</f>
        <v/>
      </c>
      <c r="I648" s="59" t="str">
        <f aca="false">IFERROR(IF([1]对账明细接口!$I$648=0,"",[1]对账明细接口!$I$648),"")</f>
        <v/>
      </c>
      <c r="J648" s="61" t="str">
        <f aca="false">IFERROR(IF([1]对账明细接口!$J$648=0,"",[1]对账明细接口!$J$648),"")</f>
        <v/>
      </c>
      <c r="K648" s="61" t="str">
        <f aca="false">IFERROR(IF([1]对账明细接口!$K$648=0,"",[1]对账明细接口!$K$648),"")</f>
        <v/>
      </c>
      <c r="L648" s="59" t="str">
        <f aca="false">IFERROR(IF([1]对账明细接口!$L$648=0,"",[1]对账明细接口!$L$648),"")</f>
        <v/>
      </c>
      <c r="M648" s="59" t="str">
        <f aca="false">IFERROR(IF([1]对账明细接口!$M$648=0,"",[1]对账明细接口!$M$648),"")</f>
        <v/>
      </c>
      <c r="N648" s="111" t="n">
        <f aca="false">IF($C648="",0,1)</f>
        <v>0</v>
      </c>
      <c r="O648" s="111" t="n">
        <f aca="false">N(O647)+$N648</f>
        <v>110</v>
      </c>
      <c r="S648" s="10" t="str">
        <f aca="false">IFERROR(IF([1]对账明细接口!$N648=0,"",[1]对账明细接口!$N648),"")</f>
        <v/>
      </c>
      <c r="T648" s="112" t="str">
        <f aca="false">IFERROR(IF([1]对账明细接口!$O648=0,"",[1]对账明细接口!$O648),"")</f>
        <v/>
      </c>
      <c r="U648" s="112" t="str">
        <f aca="false">IFERROR(IF([1]对账明细接口!$P648=0,"",[1]对账明细接口!$P648),"")</f>
        <v/>
      </c>
      <c r="V648" s="112" t="str">
        <f aca="false">IFERROR(IF([1]对账明细接口!$Q648=0,"",[1]对账明细接口!$Q648),"")</f>
        <v/>
      </c>
      <c r="W648" s="10" t="str">
        <f aca="false">IFERROR(IF([1]对账明细接口!$R648=0,"",[1]对账明细接口!$R648),"")</f>
        <v/>
      </c>
      <c r="X648" s="10" t="str">
        <f aca="false">IFERROR(IF([1]对账明细接口!$S648=0,"",[1]对账明细接口!$S648),"")</f>
        <v/>
      </c>
      <c r="Y648" s="10" t="str">
        <f aca="false">""</f>
        <v/>
      </c>
      <c r="Z648" s="10" t="str">
        <f aca="false">""</f>
        <v/>
      </c>
      <c r="AA648" s="10" t="str">
        <f aca="false">""</f>
        <v/>
      </c>
      <c r="AB648" s="10" t="str">
        <f aca="false">""</f>
        <v/>
      </c>
    </row>
    <row r="649" customFormat="false" ht="13.5" hidden="false" customHeight="false" outlineLevel="0" collapsed="false">
      <c r="A649" s="109" t="n">
        <v>649</v>
      </c>
      <c r="B649" s="110" t="str">
        <f aca="false">IFERROR(IF([1]对账明细接口!$B$649=0,"",[1]对账明细接口!$B$649),"")</f>
        <v/>
      </c>
      <c r="C649" s="59" t="str">
        <f aca="false">IFERROR(IF([1]对账明细接口!$C$649=0,"",[1]对账明细接口!$C$649),"")</f>
        <v/>
      </c>
      <c r="D649" s="59" t="str">
        <f aca="false">IFERROR(IF([1]对账明细接口!$D$649=0,"",[1]对账明细接口!$D$649),"")</f>
        <v/>
      </c>
      <c r="E649" s="59" t="str">
        <f aca="false">IFERROR(IF([1]对账明细接口!$E$649=0,"",[1]对账明细接口!$E$649),"")</f>
        <v/>
      </c>
      <c r="F649" s="59" t="str">
        <f aca="false">IFERROR(IF([1]对账明细接口!$F$649=0,"",[1]对账明细接口!$F$649),"")</f>
        <v/>
      </c>
      <c r="G649" s="59" t="str">
        <f aca="false">IFERROR(IF([1]对账明细接口!$G$649=0,"",[1]对账明细接口!$G$649),"")</f>
        <v/>
      </c>
      <c r="H649" s="60" t="str">
        <f aca="false">IFERROR(IF([1]对账明细接口!$H$649=0,"",[1]对账明细接口!$H$649),"")</f>
        <v/>
      </c>
      <c r="I649" s="59" t="str">
        <f aca="false">IFERROR(IF([1]对账明细接口!$I$649=0,"",[1]对账明细接口!$I$649),"")</f>
        <v/>
      </c>
      <c r="J649" s="61" t="str">
        <f aca="false">IFERROR(IF([1]对账明细接口!$J$649=0,"",[1]对账明细接口!$J$649),"")</f>
        <v/>
      </c>
      <c r="K649" s="61" t="str">
        <f aca="false">IFERROR(IF([1]对账明细接口!$K$649=0,"",[1]对账明细接口!$K$649),"")</f>
        <v/>
      </c>
      <c r="L649" s="59" t="str">
        <f aca="false">IFERROR(IF([1]对账明细接口!$L$649=0,"",[1]对账明细接口!$L$649),"")</f>
        <v/>
      </c>
      <c r="M649" s="59" t="str">
        <f aca="false">IFERROR(IF([1]对账明细接口!$M$649=0,"",[1]对账明细接口!$M$649),"")</f>
        <v/>
      </c>
      <c r="N649" s="111" t="n">
        <f aca="false">IF($C649="",0,1)</f>
        <v>0</v>
      </c>
      <c r="O649" s="111" t="n">
        <f aca="false">N(O648)+$N649</f>
        <v>110</v>
      </c>
      <c r="S649" s="10" t="str">
        <f aca="false">IFERROR(IF([1]对账明细接口!$N649=0,"",[1]对账明细接口!$N649),"")</f>
        <v/>
      </c>
      <c r="T649" s="112" t="str">
        <f aca="false">IFERROR(IF([1]对账明细接口!$O649=0,"",[1]对账明细接口!$O649),"")</f>
        <v/>
      </c>
      <c r="U649" s="112" t="str">
        <f aca="false">IFERROR(IF([1]对账明细接口!$P649=0,"",[1]对账明细接口!$P649),"")</f>
        <v/>
      </c>
      <c r="V649" s="112" t="str">
        <f aca="false">IFERROR(IF([1]对账明细接口!$Q649=0,"",[1]对账明细接口!$Q649),"")</f>
        <v/>
      </c>
      <c r="W649" s="10" t="str">
        <f aca="false">IFERROR(IF([1]对账明细接口!$R649=0,"",[1]对账明细接口!$R649),"")</f>
        <v/>
      </c>
      <c r="X649" s="10" t="str">
        <f aca="false">IFERROR(IF([1]对账明细接口!$S649=0,"",[1]对账明细接口!$S649),"")</f>
        <v/>
      </c>
      <c r="Y649" s="10" t="str">
        <f aca="false">""</f>
        <v/>
      </c>
      <c r="Z649" s="10" t="str">
        <f aca="false">""</f>
        <v/>
      </c>
      <c r="AA649" s="10" t="str">
        <f aca="false">""</f>
        <v/>
      </c>
      <c r="AB649" s="10" t="str">
        <f aca="false">""</f>
        <v/>
      </c>
    </row>
    <row r="650" customFormat="false" ht="13.5" hidden="false" customHeight="false" outlineLevel="0" collapsed="false">
      <c r="A650" s="109" t="n">
        <v>650</v>
      </c>
      <c r="B650" s="110" t="str">
        <f aca="false">IFERROR(IF([1]对账明细接口!$B$650=0,"",[1]对账明细接口!$B$650),"")</f>
        <v/>
      </c>
      <c r="C650" s="59" t="str">
        <f aca="false">IFERROR(IF([1]对账明细接口!$C$650=0,"",[1]对账明细接口!$C$650),"")</f>
        <v/>
      </c>
      <c r="D650" s="59" t="str">
        <f aca="false">IFERROR(IF([1]对账明细接口!$D$650=0,"",[1]对账明细接口!$D$650),"")</f>
        <v/>
      </c>
      <c r="E650" s="59" t="str">
        <f aca="false">IFERROR(IF([1]对账明细接口!$E$650=0,"",[1]对账明细接口!$E$650),"")</f>
        <v/>
      </c>
      <c r="F650" s="59" t="str">
        <f aca="false">IFERROR(IF([1]对账明细接口!$F$650=0,"",[1]对账明细接口!$F$650),"")</f>
        <v/>
      </c>
      <c r="G650" s="59" t="str">
        <f aca="false">IFERROR(IF([1]对账明细接口!$G$650=0,"",[1]对账明细接口!$G$650),"")</f>
        <v/>
      </c>
      <c r="H650" s="60" t="str">
        <f aca="false">IFERROR(IF([1]对账明细接口!$H$650=0,"",[1]对账明细接口!$H$650),"")</f>
        <v/>
      </c>
      <c r="I650" s="59" t="str">
        <f aca="false">IFERROR(IF([1]对账明细接口!$I$650=0,"",[1]对账明细接口!$I$650),"")</f>
        <v/>
      </c>
      <c r="J650" s="61" t="str">
        <f aca="false">IFERROR(IF([1]对账明细接口!$J$650=0,"",[1]对账明细接口!$J$650),"")</f>
        <v/>
      </c>
      <c r="K650" s="61" t="str">
        <f aca="false">IFERROR(IF([1]对账明细接口!$K$650=0,"",[1]对账明细接口!$K$650),"")</f>
        <v/>
      </c>
      <c r="L650" s="59" t="str">
        <f aca="false">IFERROR(IF([1]对账明细接口!$L$650=0,"",[1]对账明细接口!$L$650),"")</f>
        <v/>
      </c>
      <c r="M650" s="59" t="str">
        <f aca="false">IFERROR(IF([1]对账明细接口!$M$650=0,"",[1]对账明细接口!$M$650),"")</f>
        <v/>
      </c>
      <c r="N650" s="111" t="n">
        <f aca="false">IF($C650="",0,1)</f>
        <v>0</v>
      </c>
      <c r="O650" s="111" t="n">
        <f aca="false">N(O649)+$N650</f>
        <v>110</v>
      </c>
      <c r="S650" s="10" t="str">
        <f aca="false">IFERROR(IF([1]对账明细接口!$N650=0,"",[1]对账明细接口!$N650),"")</f>
        <v/>
      </c>
      <c r="T650" s="112" t="str">
        <f aca="false">IFERROR(IF([1]对账明细接口!$O650=0,"",[1]对账明细接口!$O650),"")</f>
        <v/>
      </c>
      <c r="U650" s="112" t="str">
        <f aca="false">IFERROR(IF([1]对账明细接口!$P650=0,"",[1]对账明细接口!$P650),"")</f>
        <v/>
      </c>
      <c r="V650" s="112" t="str">
        <f aca="false">IFERROR(IF([1]对账明细接口!$Q650=0,"",[1]对账明细接口!$Q650),"")</f>
        <v/>
      </c>
      <c r="W650" s="10" t="str">
        <f aca="false">IFERROR(IF([1]对账明细接口!$R650=0,"",[1]对账明细接口!$R650),"")</f>
        <v/>
      </c>
      <c r="X650" s="10" t="str">
        <f aca="false">IFERROR(IF([1]对账明细接口!$S650=0,"",[1]对账明细接口!$S650),"")</f>
        <v/>
      </c>
      <c r="Y650" s="10" t="str">
        <f aca="false">""</f>
        <v/>
      </c>
      <c r="Z650" s="10" t="str">
        <f aca="false">""</f>
        <v/>
      </c>
      <c r="AA650" s="10" t="str">
        <f aca="false">""</f>
        <v/>
      </c>
      <c r="AB650" s="10" t="str">
        <f aca="false">""</f>
        <v/>
      </c>
    </row>
    <row r="651" customFormat="false" ht="13.5" hidden="false" customHeight="false" outlineLevel="0" collapsed="false">
      <c r="A651" s="109" t="n">
        <v>651</v>
      </c>
      <c r="B651" s="110" t="str">
        <f aca="false">IFERROR(IF([1]对账明细接口!$B$651=0,"",[1]对账明细接口!$B$651),"")</f>
        <v/>
      </c>
      <c r="C651" s="59" t="str">
        <f aca="false">IFERROR(IF([1]对账明细接口!$C$651=0,"",[1]对账明细接口!$C$651),"")</f>
        <v/>
      </c>
      <c r="D651" s="59" t="str">
        <f aca="false">IFERROR(IF([1]对账明细接口!$D$651=0,"",[1]对账明细接口!$D$651),"")</f>
        <v/>
      </c>
      <c r="E651" s="59" t="str">
        <f aca="false">IFERROR(IF([1]对账明细接口!$E$651=0,"",[1]对账明细接口!$E$651),"")</f>
        <v/>
      </c>
      <c r="F651" s="59" t="str">
        <f aca="false">IFERROR(IF([1]对账明细接口!$F$651=0,"",[1]对账明细接口!$F$651),"")</f>
        <v/>
      </c>
      <c r="G651" s="59" t="str">
        <f aca="false">IFERROR(IF([1]对账明细接口!$G$651=0,"",[1]对账明细接口!$G$651),"")</f>
        <v/>
      </c>
      <c r="H651" s="60" t="str">
        <f aca="false">IFERROR(IF([1]对账明细接口!$H$651=0,"",[1]对账明细接口!$H$651),"")</f>
        <v/>
      </c>
      <c r="I651" s="59" t="str">
        <f aca="false">IFERROR(IF([1]对账明细接口!$I$651=0,"",[1]对账明细接口!$I$651),"")</f>
        <v/>
      </c>
      <c r="J651" s="61" t="str">
        <f aca="false">IFERROR(IF([1]对账明细接口!$J$651=0,"",[1]对账明细接口!$J$651),"")</f>
        <v/>
      </c>
      <c r="K651" s="61" t="str">
        <f aca="false">IFERROR(IF([1]对账明细接口!$K$651=0,"",[1]对账明细接口!$K$651),"")</f>
        <v/>
      </c>
      <c r="L651" s="59" t="str">
        <f aca="false">IFERROR(IF([1]对账明细接口!$L$651=0,"",[1]对账明细接口!$L$651),"")</f>
        <v/>
      </c>
      <c r="M651" s="59" t="str">
        <f aca="false">IFERROR(IF([1]对账明细接口!$M$651=0,"",[1]对账明细接口!$M$651),"")</f>
        <v/>
      </c>
      <c r="N651" s="111" t="n">
        <f aca="false">IF($C651="",0,1)</f>
        <v>0</v>
      </c>
      <c r="O651" s="111" t="n">
        <f aca="false">N(O650)+$N651</f>
        <v>110</v>
      </c>
      <c r="S651" s="10" t="str">
        <f aca="false">IFERROR(IF([1]对账明细接口!$N651=0,"",[1]对账明细接口!$N651),"")</f>
        <v/>
      </c>
      <c r="T651" s="112" t="str">
        <f aca="false">IFERROR(IF([1]对账明细接口!$O651=0,"",[1]对账明细接口!$O651),"")</f>
        <v/>
      </c>
      <c r="U651" s="112" t="str">
        <f aca="false">IFERROR(IF([1]对账明细接口!$P651=0,"",[1]对账明细接口!$P651),"")</f>
        <v/>
      </c>
      <c r="V651" s="112" t="str">
        <f aca="false">IFERROR(IF([1]对账明细接口!$Q651=0,"",[1]对账明细接口!$Q651),"")</f>
        <v/>
      </c>
      <c r="W651" s="10" t="str">
        <f aca="false">IFERROR(IF([1]对账明细接口!$R651=0,"",[1]对账明细接口!$R651),"")</f>
        <v/>
      </c>
      <c r="X651" s="10" t="str">
        <f aca="false">IFERROR(IF([1]对账明细接口!$S651=0,"",[1]对账明细接口!$S651),"")</f>
        <v/>
      </c>
      <c r="Y651" s="10" t="str">
        <f aca="false">""</f>
        <v/>
      </c>
      <c r="Z651" s="10" t="str">
        <f aca="false">""</f>
        <v/>
      </c>
      <c r="AA651" s="10" t="str">
        <f aca="false">""</f>
        <v/>
      </c>
      <c r="AB651" s="10" t="str">
        <f aca="false">""</f>
        <v/>
      </c>
    </row>
    <row r="652" customFormat="false" ht="13.5" hidden="false" customHeight="false" outlineLevel="0" collapsed="false">
      <c r="A652" s="109" t="n">
        <v>652</v>
      </c>
      <c r="B652" s="110" t="str">
        <f aca="false">IFERROR(IF([1]对账明细接口!$B$652=0,"",[1]对账明细接口!$B$652),"")</f>
        <v/>
      </c>
      <c r="C652" s="59" t="str">
        <f aca="false">IFERROR(IF([1]对账明细接口!$C$652=0,"",[1]对账明细接口!$C$652),"")</f>
        <v/>
      </c>
      <c r="D652" s="59" t="str">
        <f aca="false">IFERROR(IF([1]对账明细接口!$D$652=0,"",[1]对账明细接口!$D$652),"")</f>
        <v/>
      </c>
      <c r="E652" s="59" t="str">
        <f aca="false">IFERROR(IF([1]对账明细接口!$E$652=0,"",[1]对账明细接口!$E$652),"")</f>
        <v/>
      </c>
      <c r="F652" s="59" t="str">
        <f aca="false">IFERROR(IF([1]对账明细接口!$F$652=0,"",[1]对账明细接口!$F$652),"")</f>
        <v/>
      </c>
      <c r="G652" s="59" t="str">
        <f aca="false">IFERROR(IF([1]对账明细接口!$G$652=0,"",[1]对账明细接口!$G$652),"")</f>
        <v/>
      </c>
      <c r="H652" s="60" t="str">
        <f aca="false">IFERROR(IF([1]对账明细接口!$H$652=0,"",[1]对账明细接口!$H$652),"")</f>
        <v/>
      </c>
      <c r="I652" s="59" t="str">
        <f aca="false">IFERROR(IF([1]对账明细接口!$I$652=0,"",[1]对账明细接口!$I$652),"")</f>
        <v/>
      </c>
      <c r="J652" s="61" t="str">
        <f aca="false">IFERROR(IF([1]对账明细接口!$J$652=0,"",[1]对账明细接口!$J$652),"")</f>
        <v/>
      </c>
      <c r="K652" s="61" t="str">
        <f aca="false">IFERROR(IF([1]对账明细接口!$K$652=0,"",[1]对账明细接口!$K$652),"")</f>
        <v/>
      </c>
      <c r="L652" s="59" t="str">
        <f aca="false">IFERROR(IF([1]对账明细接口!$L$652=0,"",[1]对账明细接口!$L$652),"")</f>
        <v/>
      </c>
      <c r="M652" s="59" t="str">
        <f aca="false">IFERROR(IF([1]对账明细接口!$M$652=0,"",[1]对账明细接口!$M$652),"")</f>
        <v/>
      </c>
      <c r="N652" s="111" t="n">
        <f aca="false">IF($C652="",0,1)</f>
        <v>0</v>
      </c>
      <c r="O652" s="111" t="n">
        <f aca="false">N(O651)+$N652</f>
        <v>110</v>
      </c>
      <c r="S652" s="10" t="str">
        <f aca="false">IFERROR(IF([1]对账明细接口!$N652=0,"",[1]对账明细接口!$N652),"")</f>
        <v/>
      </c>
      <c r="T652" s="112" t="str">
        <f aca="false">IFERROR(IF([1]对账明细接口!$O652=0,"",[1]对账明细接口!$O652),"")</f>
        <v/>
      </c>
      <c r="U652" s="112" t="str">
        <f aca="false">IFERROR(IF([1]对账明细接口!$P652=0,"",[1]对账明细接口!$P652),"")</f>
        <v/>
      </c>
      <c r="V652" s="112" t="str">
        <f aca="false">IFERROR(IF([1]对账明细接口!$Q652=0,"",[1]对账明细接口!$Q652),"")</f>
        <v/>
      </c>
      <c r="W652" s="10" t="str">
        <f aca="false">IFERROR(IF([1]对账明细接口!$R652=0,"",[1]对账明细接口!$R652),"")</f>
        <v/>
      </c>
      <c r="X652" s="10" t="str">
        <f aca="false">IFERROR(IF([1]对账明细接口!$S652=0,"",[1]对账明细接口!$S652),"")</f>
        <v/>
      </c>
      <c r="Y652" s="10" t="str">
        <f aca="false">""</f>
        <v/>
      </c>
      <c r="Z652" s="10" t="str">
        <f aca="false">""</f>
        <v/>
      </c>
      <c r="AA652" s="10" t="str">
        <f aca="false">""</f>
        <v/>
      </c>
      <c r="AB652" s="10" t="str">
        <f aca="false">""</f>
        <v/>
      </c>
    </row>
    <row r="653" customFormat="false" ht="13.5" hidden="false" customHeight="false" outlineLevel="0" collapsed="false">
      <c r="A653" s="109" t="n">
        <v>653</v>
      </c>
      <c r="B653" s="110" t="str">
        <f aca="false">IFERROR(IF([1]对账明细接口!$B$653=0,"",[1]对账明细接口!$B$653),"")</f>
        <v/>
      </c>
      <c r="C653" s="59" t="str">
        <f aca="false">IFERROR(IF([1]对账明细接口!$C$653=0,"",[1]对账明细接口!$C$653),"")</f>
        <v/>
      </c>
      <c r="D653" s="59" t="str">
        <f aca="false">IFERROR(IF([1]对账明细接口!$D$653=0,"",[1]对账明细接口!$D$653),"")</f>
        <v/>
      </c>
      <c r="E653" s="59" t="str">
        <f aca="false">IFERROR(IF([1]对账明细接口!$E$653=0,"",[1]对账明细接口!$E$653),"")</f>
        <v/>
      </c>
      <c r="F653" s="59" t="str">
        <f aca="false">IFERROR(IF([1]对账明细接口!$F$653=0,"",[1]对账明细接口!$F$653),"")</f>
        <v/>
      </c>
      <c r="G653" s="59" t="str">
        <f aca="false">IFERROR(IF([1]对账明细接口!$G$653=0,"",[1]对账明细接口!$G$653),"")</f>
        <v/>
      </c>
      <c r="H653" s="60" t="str">
        <f aca="false">IFERROR(IF([1]对账明细接口!$H$653=0,"",[1]对账明细接口!$H$653),"")</f>
        <v/>
      </c>
      <c r="I653" s="59" t="str">
        <f aca="false">IFERROR(IF([1]对账明细接口!$I$653=0,"",[1]对账明细接口!$I$653),"")</f>
        <v/>
      </c>
      <c r="J653" s="61" t="str">
        <f aca="false">IFERROR(IF([1]对账明细接口!$J$653=0,"",[1]对账明细接口!$J$653),"")</f>
        <v/>
      </c>
      <c r="K653" s="61" t="str">
        <f aca="false">IFERROR(IF([1]对账明细接口!$K$653=0,"",[1]对账明细接口!$K$653),"")</f>
        <v/>
      </c>
      <c r="L653" s="59" t="str">
        <f aca="false">IFERROR(IF([1]对账明细接口!$L$653=0,"",[1]对账明细接口!$L$653),"")</f>
        <v/>
      </c>
      <c r="M653" s="59" t="str">
        <f aca="false">IFERROR(IF([1]对账明细接口!$M$653=0,"",[1]对账明细接口!$M$653),"")</f>
        <v/>
      </c>
      <c r="N653" s="111" t="n">
        <f aca="false">IF($C653="",0,1)</f>
        <v>0</v>
      </c>
      <c r="O653" s="111" t="n">
        <f aca="false">N(O652)+$N653</f>
        <v>110</v>
      </c>
      <c r="S653" s="10" t="str">
        <f aca="false">IFERROR(IF([1]对账明细接口!$N653=0,"",[1]对账明细接口!$N653),"")</f>
        <v/>
      </c>
      <c r="T653" s="112" t="str">
        <f aca="false">IFERROR(IF([1]对账明细接口!$O653=0,"",[1]对账明细接口!$O653),"")</f>
        <v/>
      </c>
      <c r="U653" s="112" t="str">
        <f aca="false">IFERROR(IF([1]对账明细接口!$P653=0,"",[1]对账明细接口!$P653),"")</f>
        <v/>
      </c>
      <c r="V653" s="112" t="str">
        <f aca="false">IFERROR(IF([1]对账明细接口!$Q653=0,"",[1]对账明细接口!$Q653),"")</f>
        <v/>
      </c>
      <c r="W653" s="10" t="str">
        <f aca="false">IFERROR(IF([1]对账明细接口!$R653=0,"",[1]对账明细接口!$R653),"")</f>
        <v/>
      </c>
      <c r="X653" s="10" t="str">
        <f aca="false">IFERROR(IF([1]对账明细接口!$S653=0,"",[1]对账明细接口!$S653),"")</f>
        <v/>
      </c>
      <c r="Y653" s="10" t="str">
        <f aca="false">""</f>
        <v/>
      </c>
      <c r="Z653" s="10" t="str">
        <f aca="false">""</f>
        <v/>
      </c>
      <c r="AA653" s="10" t="str">
        <f aca="false">""</f>
        <v/>
      </c>
      <c r="AB653" s="10" t="str">
        <f aca="false">""</f>
        <v/>
      </c>
    </row>
    <row r="654" customFormat="false" ht="13.5" hidden="false" customHeight="false" outlineLevel="0" collapsed="false">
      <c r="A654" s="109" t="n">
        <v>654</v>
      </c>
      <c r="B654" s="110" t="str">
        <f aca="false">IFERROR(IF([1]对账明细接口!$B$654=0,"",[1]对账明细接口!$B$654),"")</f>
        <v/>
      </c>
      <c r="C654" s="59" t="str">
        <f aca="false">IFERROR(IF([1]对账明细接口!$C$654=0,"",[1]对账明细接口!$C$654),"")</f>
        <v/>
      </c>
      <c r="D654" s="59" t="str">
        <f aca="false">IFERROR(IF([1]对账明细接口!$D$654=0,"",[1]对账明细接口!$D$654),"")</f>
        <v/>
      </c>
      <c r="E654" s="59" t="str">
        <f aca="false">IFERROR(IF([1]对账明细接口!$E$654=0,"",[1]对账明细接口!$E$654),"")</f>
        <v/>
      </c>
      <c r="F654" s="59" t="str">
        <f aca="false">IFERROR(IF([1]对账明细接口!$F$654=0,"",[1]对账明细接口!$F$654),"")</f>
        <v/>
      </c>
      <c r="G654" s="59" t="str">
        <f aca="false">IFERROR(IF([1]对账明细接口!$G$654=0,"",[1]对账明细接口!$G$654),"")</f>
        <v/>
      </c>
      <c r="H654" s="60" t="str">
        <f aca="false">IFERROR(IF([1]对账明细接口!$H$654=0,"",[1]对账明细接口!$H$654),"")</f>
        <v/>
      </c>
      <c r="I654" s="59" t="str">
        <f aca="false">IFERROR(IF([1]对账明细接口!$I$654=0,"",[1]对账明细接口!$I$654),"")</f>
        <v/>
      </c>
      <c r="J654" s="61" t="str">
        <f aca="false">IFERROR(IF([1]对账明细接口!$J$654=0,"",[1]对账明细接口!$J$654),"")</f>
        <v/>
      </c>
      <c r="K654" s="61" t="str">
        <f aca="false">IFERROR(IF([1]对账明细接口!$K$654=0,"",[1]对账明细接口!$K$654),"")</f>
        <v/>
      </c>
      <c r="L654" s="59" t="str">
        <f aca="false">IFERROR(IF([1]对账明细接口!$L$654=0,"",[1]对账明细接口!$L$654),"")</f>
        <v/>
      </c>
      <c r="M654" s="59" t="str">
        <f aca="false">IFERROR(IF([1]对账明细接口!$M$654=0,"",[1]对账明细接口!$M$654),"")</f>
        <v/>
      </c>
      <c r="N654" s="111" t="n">
        <f aca="false">IF($C654="",0,1)</f>
        <v>0</v>
      </c>
      <c r="O654" s="111" t="n">
        <f aca="false">N(O653)+$N654</f>
        <v>110</v>
      </c>
      <c r="S654" s="10" t="str">
        <f aca="false">IFERROR(IF([1]对账明细接口!$N654=0,"",[1]对账明细接口!$N654),"")</f>
        <v/>
      </c>
      <c r="T654" s="112" t="str">
        <f aca="false">IFERROR(IF([1]对账明细接口!$O654=0,"",[1]对账明细接口!$O654),"")</f>
        <v/>
      </c>
      <c r="U654" s="112" t="str">
        <f aca="false">IFERROR(IF([1]对账明细接口!$P654=0,"",[1]对账明细接口!$P654),"")</f>
        <v/>
      </c>
      <c r="V654" s="112" t="str">
        <f aca="false">IFERROR(IF([1]对账明细接口!$Q654=0,"",[1]对账明细接口!$Q654),"")</f>
        <v/>
      </c>
      <c r="W654" s="10" t="str">
        <f aca="false">IFERROR(IF([1]对账明细接口!$R654=0,"",[1]对账明细接口!$R654),"")</f>
        <v/>
      </c>
      <c r="X654" s="10" t="str">
        <f aca="false">IFERROR(IF([1]对账明细接口!$S654=0,"",[1]对账明细接口!$S654),"")</f>
        <v/>
      </c>
      <c r="Y654" s="10" t="str">
        <f aca="false">""</f>
        <v/>
      </c>
      <c r="Z654" s="10" t="str">
        <f aca="false">""</f>
        <v/>
      </c>
      <c r="AA654" s="10" t="str">
        <f aca="false">""</f>
        <v/>
      </c>
      <c r="AB654" s="10" t="str">
        <f aca="false">""</f>
        <v/>
      </c>
    </row>
    <row r="655" customFormat="false" ht="13.5" hidden="false" customHeight="false" outlineLevel="0" collapsed="false">
      <c r="A655" s="109" t="n">
        <v>655</v>
      </c>
      <c r="B655" s="110" t="str">
        <f aca="false">IFERROR(IF([1]对账明细接口!$B$655=0,"",[1]对账明细接口!$B$655),"")</f>
        <v/>
      </c>
      <c r="C655" s="59" t="str">
        <f aca="false">IFERROR(IF([1]对账明细接口!$C$655=0,"",[1]对账明细接口!$C$655),"")</f>
        <v/>
      </c>
      <c r="D655" s="59" t="str">
        <f aca="false">IFERROR(IF([1]对账明细接口!$D$655=0,"",[1]对账明细接口!$D$655),"")</f>
        <v/>
      </c>
      <c r="E655" s="59" t="str">
        <f aca="false">IFERROR(IF([1]对账明细接口!$E$655=0,"",[1]对账明细接口!$E$655),"")</f>
        <v/>
      </c>
      <c r="F655" s="59" t="str">
        <f aca="false">IFERROR(IF([1]对账明细接口!$F$655=0,"",[1]对账明细接口!$F$655),"")</f>
        <v/>
      </c>
      <c r="G655" s="59" t="str">
        <f aca="false">IFERROR(IF([1]对账明细接口!$G$655=0,"",[1]对账明细接口!$G$655),"")</f>
        <v/>
      </c>
      <c r="H655" s="60" t="str">
        <f aca="false">IFERROR(IF([1]对账明细接口!$H$655=0,"",[1]对账明细接口!$H$655),"")</f>
        <v/>
      </c>
      <c r="I655" s="59" t="str">
        <f aca="false">IFERROR(IF([1]对账明细接口!$I$655=0,"",[1]对账明细接口!$I$655),"")</f>
        <v/>
      </c>
      <c r="J655" s="61" t="str">
        <f aca="false">IFERROR(IF([1]对账明细接口!$J$655=0,"",[1]对账明细接口!$J$655),"")</f>
        <v/>
      </c>
      <c r="K655" s="61" t="str">
        <f aca="false">IFERROR(IF([1]对账明细接口!$K$655=0,"",[1]对账明细接口!$K$655),"")</f>
        <v/>
      </c>
      <c r="L655" s="59" t="str">
        <f aca="false">IFERROR(IF([1]对账明细接口!$L$655=0,"",[1]对账明细接口!$L$655),"")</f>
        <v/>
      </c>
      <c r="M655" s="59" t="str">
        <f aca="false">IFERROR(IF([1]对账明细接口!$M$655=0,"",[1]对账明细接口!$M$655),"")</f>
        <v/>
      </c>
      <c r="N655" s="111" t="n">
        <f aca="false">IF($C655="",0,1)</f>
        <v>0</v>
      </c>
      <c r="O655" s="111" t="n">
        <f aca="false">N(O654)+$N655</f>
        <v>110</v>
      </c>
      <c r="S655" s="10" t="str">
        <f aca="false">IFERROR(IF([1]对账明细接口!$N655=0,"",[1]对账明细接口!$N655),"")</f>
        <v/>
      </c>
      <c r="T655" s="112" t="str">
        <f aca="false">IFERROR(IF([1]对账明细接口!$O655=0,"",[1]对账明细接口!$O655),"")</f>
        <v/>
      </c>
      <c r="U655" s="112" t="str">
        <f aca="false">IFERROR(IF([1]对账明细接口!$P655=0,"",[1]对账明细接口!$P655),"")</f>
        <v/>
      </c>
      <c r="V655" s="112" t="str">
        <f aca="false">IFERROR(IF([1]对账明细接口!$Q655=0,"",[1]对账明细接口!$Q655),"")</f>
        <v/>
      </c>
      <c r="W655" s="10" t="str">
        <f aca="false">IFERROR(IF([1]对账明细接口!$R655=0,"",[1]对账明细接口!$R655),"")</f>
        <v/>
      </c>
      <c r="X655" s="10" t="str">
        <f aca="false">IFERROR(IF([1]对账明细接口!$S655=0,"",[1]对账明细接口!$S655),"")</f>
        <v/>
      </c>
      <c r="Y655" s="10" t="str">
        <f aca="false">""</f>
        <v/>
      </c>
      <c r="Z655" s="10" t="str">
        <f aca="false">""</f>
        <v/>
      </c>
      <c r="AA655" s="10" t="str">
        <f aca="false">""</f>
        <v/>
      </c>
      <c r="AB655" s="10" t="str">
        <f aca="false">""</f>
        <v/>
      </c>
    </row>
    <row r="656" customFormat="false" ht="13.5" hidden="false" customHeight="false" outlineLevel="0" collapsed="false">
      <c r="A656" s="109" t="n">
        <v>656</v>
      </c>
      <c r="B656" s="110" t="str">
        <f aca="false">IFERROR(IF([1]对账明细接口!$B$656=0,"",[1]对账明细接口!$B$656),"")</f>
        <v/>
      </c>
      <c r="C656" s="59" t="str">
        <f aca="false">IFERROR(IF([1]对账明细接口!$C$656=0,"",[1]对账明细接口!$C$656),"")</f>
        <v/>
      </c>
      <c r="D656" s="59" t="str">
        <f aca="false">IFERROR(IF([1]对账明细接口!$D$656=0,"",[1]对账明细接口!$D$656),"")</f>
        <v/>
      </c>
      <c r="E656" s="59" t="str">
        <f aca="false">IFERROR(IF([1]对账明细接口!$E$656=0,"",[1]对账明细接口!$E$656),"")</f>
        <v/>
      </c>
      <c r="F656" s="59" t="str">
        <f aca="false">IFERROR(IF([1]对账明细接口!$F$656=0,"",[1]对账明细接口!$F$656),"")</f>
        <v/>
      </c>
      <c r="G656" s="59" t="str">
        <f aca="false">IFERROR(IF([1]对账明细接口!$G$656=0,"",[1]对账明细接口!$G$656),"")</f>
        <v/>
      </c>
      <c r="H656" s="60" t="str">
        <f aca="false">IFERROR(IF([1]对账明细接口!$H$656=0,"",[1]对账明细接口!$H$656),"")</f>
        <v/>
      </c>
      <c r="I656" s="59" t="str">
        <f aca="false">IFERROR(IF([1]对账明细接口!$I$656=0,"",[1]对账明细接口!$I$656),"")</f>
        <v/>
      </c>
      <c r="J656" s="61" t="str">
        <f aca="false">IFERROR(IF([1]对账明细接口!$J$656=0,"",[1]对账明细接口!$J$656),"")</f>
        <v/>
      </c>
      <c r="K656" s="61" t="str">
        <f aca="false">IFERROR(IF([1]对账明细接口!$K$656=0,"",[1]对账明细接口!$K$656),"")</f>
        <v/>
      </c>
      <c r="L656" s="59" t="str">
        <f aca="false">IFERROR(IF([1]对账明细接口!$L$656=0,"",[1]对账明细接口!$L$656),"")</f>
        <v/>
      </c>
      <c r="M656" s="59" t="str">
        <f aca="false">IFERROR(IF([1]对账明细接口!$M$656=0,"",[1]对账明细接口!$M$656),"")</f>
        <v/>
      </c>
      <c r="N656" s="111" t="n">
        <f aca="false">IF($C656="",0,1)</f>
        <v>0</v>
      </c>
      <c r="O656" s="111" t="n">
        <f aca="false">N(O655)+$N656</f>
        <v>110</v>
      </c>
      <c r="S656" s="10" t="str">
        <f aca="false">IFERROR(IF([1]对账明细接口!$N656=0,"",[1]对账明细接口!$N656),"")</f>
        <v/>
      </c>
      <c r="T656" s="112" t="str">
        <f aca="false">IFERROR(IF([1]对账明细接口!$O656=0,"",[1]对账明细接口!$O656),"")</f>
        <v/>
      </c>
      <c r="U656" s="112" t="str">
        <f aca="false">IFERROR(IF([1]对账明细接口!$P656=0,"",[1]对账明细接口!$P656),"")</f>
        <v/>
      </c>
      <c r="V656" s="112" t="str">
        <f aca="false">IFERROR(IF([1]对账明细接口!$Q656=0,"",[1]对账明细接口!$Q656),"")</f>
        <v/>
      </c>
      <c r="W656" s="10" t="str">
        <f aca="false">IFERROR(IF([1]对账明细接口!$R656=0,"",[1]对账明细接口!$R656),"")</f>
        <v/>
      </c>
      <c r="X656" s="10" t="str">
        <f aca="false">IFERROR(IF([1]对账明细接口!$S656=0,"",[1]对账明细接口!$S656),"")</f>
        <v/>
      </c>
      <c r="Y656" s="10" t="str">
        <f aca="false">""</f>
        <v/>
      </c>
      <c r="Z656" s="10" t="str">
        <f aca="false">""</f>
        <v/>
      </c>
      <c r="AA656" s="10" t="str">
        <f aca="false">""</f>
        <v/>
      </c>
      <c r="AB656" s="10" t="str">
        <f aca="false">""</f>
        <v/>
      </c>
    </row>
    <row r="657" customFormat="false" ht="13.5" hidden="false" customHeight="false" outlineLevel="0" collapsed="false">
      <c r="A657" s="109" t="n">
        <v>657</v>
      </c>
      <c r="B657" s="110" t="str">
        <f aca="false">IFERROR(IF([1]对账明细接口!$B$657=0,"",[1]对账明细接口!$B$657),"")</f>
        <v/>
      </c>
      <c r="C657" s="59" t="str">
        <f aca="false">IFERROR(IF([1]对账明细接口!$C$657=0,"",[1]对账明细接口!$C$657),"")</f>
        <v/>
      </c>
      <c r="D657" s="59" t="str">
        <f aca="false">IFERROR(IF([1]对账明细接口!$D$657=0,"",[1]对账明细接口!$D$657),"")</f>
        <v/>
      </c>
      <c r="E657" s="59" t="str">
        <f aca="false">IFERROR(IF([1]对账明细接口!$E$657=0,"",[1]对账明细接口!$E$657),"")</f>
        <v/>
      </c>
      <c r="F657" s="59" t="str">
        <f aca="false">IFERROR(IF([1]对账明细接口!$F$657=0,"",[1]对账明细接口!$F$657),"")</f>
        <v/>
      </c>
      <c r="G657" s="59" t="str">
        <f aca="false">IFERROR(IF([1]对账明细接口!$G$657=0,"",[1]对账明细接口!$G$657),"")</f>
        <v/>
      </c>
      <c r="H657" s="60" t="str">
        <f aca="false">IFERROR(IF([1]对账明细接口!$H$657=0,"",[1]对账明细接口!$H$657),"")</f>
        <v/>
      </c>
      <c r="I657" s="59" t="str">
        <f aca="false">IFERROR(IF([1]对账明细接口!$I$657=0,"",[1]对账明细接口!$I$657),"")</f>
        <v/>
      </c>
      <c r="J657" s="61" t="str">
        <f aca="false">IFERROR(IF([1]对账明细接口!$J$657=0,"",[1]对账明细接口!$J$657),"")</f>
        <v/>
      </c>
      <c r="K657" s="61" t="str">
        <f aca="false">IFERROR(IF([1]对账明细接口!$K$657=0,"",[1]对账明细接口!$K$657),"")</f>
        <v/>
      </c>
      <c r="L657" s="59" t="str">
        <f aca="false">IFERROR(IF([1]对账明细接口!$L$657=0,"",[1]对账明细接口!$L$657),"")</f>
        <v/>
      </c>
      <c r="M657" s="59" t="str">
        <f aca="false">IFERROR(IF([1]对账明细接口!$M$657=0,"",[1]对账明细接口!$M$657),"")</f>
        <v/>
      </c>
      <c r="N657" s="111" t="n">
        <f aca="false">IF($C657="",0,1)</f>
        <v>0</v>
      </c>
      <c r="O657" s="111" t="n">
        <f aca="false">N(O656)+$N657</f>
        <v>110</v>
      </c>
      <c r="S657" s="10" t="str">
        <f aca="false">IFERROR(IF([1]对账明细接口!$N657=0,"",[1]对账明细接口!$N657),"")</f>
        <v/>
      </c>
      <c r="T657" s="112" t="str">
        <f aca="false">IFERROR(IF([1]对账明细接口!$O657=0,"",[1]对账明细接口!$O657),"")</f>
        <v/>
      </c>
      <c r="U657" s="112" t="str">
        <f aca="false">IFERROR(IF([1]对账明细接口!$P657=0,"",[1]对账明细接口!$P657),"")</f>
        <v/>
      </c>
      <c r="V657" s="112" t="str">
        <f aca="false">IFERROR(IF([1]对账明细接口!$Q657=0,"",[1]对账明细接口!$Q657),"")</f>
        <v/>
      </c>
      <c r="W657" s="10" t="str">
        <f aca="false">IFERROR(IF([1]对账明细接口!$R657=0,"",[1]对账明细接口!$R657),"")</f>
        <v/>
      </c>
      <c r="X657" s="10" t="str">
        <f aca="false">IFERROR(IF([1]对账明细接口!$S657=0,"",[1]对账明细接口!$S657),"")</f>
        <v/>
      </c>
      <c r="Y657" s="10" t="str">
        <f aca="false">""</f>
        <v/>
      </c>
      <c r="Z657" s="10" t="str">
        <f aca="false">""</f>
        <v/>
      </c>
      <c r="AA657" s="10" t="str">
        <f aca="false">""</f>
        <v/>
      </c>
      <c r="AB657" s="10" t="str">
        <f aca="false">""</f>
        <v/>
      </c>
    </row>
    <row r="658" customFormat="false" ht="13.5" hidden="false" customHeight="false" outlineLevel="0" collapsed="false">
      <c r="A658" s="109" t="n">
        <v>658</v>
      </c>
      <c r="B658" s="110" t="str">
        <f aca="false">IFERROR(IF([1]对账明细接口!$B$658=0,"",[1]对账明细接口!$B$658),"")</f>
        <v/>
      </c>
      <c r="C658" s="59" t="str">
        <f aca="false">IFERROR(IF([1]对账明细接口!$C$658=0,"",[1]对账明细接口!$C$658),"")</f>
        <v/>
      </c>
      <c r="D658" s="59" t="str">
        <f aca="false">IFERROR(IF([1]对账明细接口!$D$658=0,"",[1]对账明细接口!$D$658),"")</f>
        <v/>
      </c>
      <c r="E658" s="59" t="str">
        <f aca="false">IFERROR(IF([1]对账明细接口!$E$658=0,"",[1]对账明细接口!$E$658),"")</f>
        <v/>
      </c>
      <c r="F658" s="59" t="str">
        <f aca="false">IFERROR(IF([1]对账明细接口!$F$658=0,"",[1]对账明细接口!$F$658),"")</f>
        <v/>
      </c>
      <c r="G658" s="59" t="str">
        <f aca="false">IFERROR(IF([1]对账明细接口!$G$658=0,"",[1]对账明细接口!$G$658),"")</f>
        <v/>
      </c>
      <c r="H658" s="60" t="str">
        <f aca="false">IFERROR(IF([1]对账明细接口!$H$658=0,"",[1]对账明细接口!$H$658),"")</f>
        <v/>
      </c>
      <c r="I658" s="59" t="str">
        <f aca="false">IFERROR(IF([1]对账明细接口!$I$658=0,"",[1]对账明细接口!$I$658),"")</f>
        <v/>
      </c>
      <c r="J658" s="61" t="str">
        <f aca="false">IFERROR(IF([1]对账明细接口!$J$658=0,"",[1]对账明细接口!$J$658),"")</f>
        <v/>
      </c>
      <c r="K658" s="61" t="str">
        <f aca="false">IFERROR(IF([1]对账明细接口!$K$658=0,"",[1]对账明细接口!$K$658),"")</f>
        <v/>
      </c>
      <c r="L658" s="59" t="str">
        <f aca="false">IFERROR(IF([1]对账明细接口!$L$658=0,"",[1]对账明细接口!$L$658),"")</f>
        <v/>
      </c>
      <c r="M658" s="59" t="str">
        <f aca="false">IFERROR(IF([1]对账明细接口!$M$658=0,"",[1]对账明细接口!$M$658),"")</f>
        <v/>
      </c>
      <c r="N658" s="111" t="n">
        <f aca="false">IF($C658="",0,1)</f>
        <v>0</v>
      </c>
      <c r="O658" s="111" t="n">
        <f aca="false">N(O657)+$N658</f>
        <v>110</v>
      </c>
      <c r="S658" s="10" t="str">
        <f aca="false">IFERROR(IF([1]对账明细接口!$N658=0,"",[1]对账明细接口!$N658),"")</f>
        <v/>
      </c>
      <c r="T658" s="112" t="str">
        <f aca="false">IFERROR(IF([1]对账明细接口!$O658=0,"",[1]对账明细接口!$O658),"")</f>
        <v/>
      </c>
      <c r="U658" s="112" t="str">
        <f aca="false">IFERROR(IF([1]对账明细接口!$P658=0,"",[1]对账明细接口!$P658),"")</f>
        <v/>
      </c>
      <c r="V658" s="112" t="str">
        <f aca="false">IFERROR(IF([1]对账明细接口!$Q658=0,"",[1]对账明细接口!$Q658),"")</f>
        <v/>
      </c>
      <c r="W658" s="10" t="str">
        <f aca="false">IFERROR(IF([1]对账明细接口!$R658=0,"",[1]对账明细接口!$R658),"")</f>
        <v/>
      </c>
      <c r="X658" s="10" t="str">
        <f aca="false">IFERROR(IF([1]对账明细接口!$S658=0,"",[1]对账明细接口!$S658),"")</f>
        <v/>
      </c>
      <c r="Y658" s="10" t="str">
        <f aca="false">""</f>
        <v/>
      </c>
      <c r="Z658" s="10" t="str">
        <f aca="false">""</f>
        <v/>
      </c>
      <c r="AA658" s="10" t="str">
        <f aca="false">""</f>
        <v/>
      </c>
      <c r="AB658" s="10" t="str">
        <f aca="false">""</f>
        <v/>
      </c>
    </row>
    <row r="659" customFormat="false" ht="13.5" hidden="false" customHeight="false" outlineLevel="0" collapsed="false">
      <c r="A659" s="109" t="n">
        <v>659</v>
      </c>
      <c r="B659" s="110" t="str">
        <f aca="false">IFERROR(IF([1]对账明细接口!$B$659=0,"",[1]对账明细接口!$B$659),"")</f>
        <v/>
      </c>
      <c r="C659" s="59" t="str">
        <f aca="false">IFERROR(IF([1]对账明细接口!$C$659=0,"",[1]对账明细接口!$C$659),"")</f>
        <v/>
      </c>
      <c r="D659" s="59" t="str">
        <f aca="false">IFERROR(IF([1]对账明细接口!$D$659=0,"",[1]对账明细接口!$D$659),"")</f>
        <v/>
      </c>
      <c r="E659" s="59" t="str">
        <f aca="false">IFERROR(IF([1]对账明细接口!$E$659=0,"",[1]对账明细接口!$E$659),"")</f>
        <v/>
      </c>
      <c r="F659" s="59" t="str">
        <f aca="false">IFERROR(IF([1]对账明细接口!$F$659=0,"",[1]对账明细接口!$F$659),"")</f>
        <v/>
      </c>
      <c r="G659" s="59" t="str">
        <f aca="false">IFERROR(IF([1]对账明细接口!$G$659=0,"",[1]对账明细接口!$G$659),"")</f>
        <v/>
      </c>
      <c r="H659" s="60" t="str">
        <f aca="false">IFERROR(IF([1]对账明细接口!$H$659=0,"",[1]对账明细接口!$H$659),"")</f>
        <v/>
      </c>
      <c r="I659" s="59" t="str">
        <f aca="false">IFERROR(IF([1]对账明细接口!$I$659=0,"",[1]对账明细接口!$I$659),"")</f>
        <v/>
      </c>
      <c r="J659" s="61" t="str">
        <f aca="false">IFERROR(IF([1]对账明细接口!$J$659=0,"",[1]对账明细接口!$J$659),"")</f>
        <v/>
      </c>
      <c r="K659" s="61" t="str">
        <f aca="false">IFERROR(IF([1]对账明细接口!$K$659=0,"",[1]对账明细接口!$K$659),"")</f>
        <v/>
      </c>
      <c r="L659" s="59" t="str">
        <f aca="false">IFERROR(IF([1]对账明细接口!$L$659=0,"",[1]对账明细接口!$L$659),"")</f>
        <v/>
      </c>
      <c r="M659" s="59" t="str">
        <f aca="false">IFERROR(IF([1]对账明细接口!$M$659=0,"",[1]对账明细接口!$M$659),"")</f>
        <v/>
      </c>
      <c r="N659" s="111" t="n">
        <f aca="false">IF($C659="",0,1)</f>
        <v>0</v>
      </c>
      <c r="O659" s="111" t="n">
        <f aca="false">N(O658)+$N659</f>
        <v>110</v>
      </c>
      <c r="S659" s="10" t="str">
        <f aca="false">IFERROR(IF([1]对账明细接口!$N659=0,"",[1]对账明细接口!$N659),"")</f>
        <v/>
      </c>
      <c r="T659" s="112" t="str">
        <f aca="false">IFERROR(IF([1]对账明细接口!$O659=0,"",[1]对账明细接口!$O659),"")</f>
        <v/>
      </c>
      <c r="U659" s="112" t="str">
        <f aca="false">IFERROR(IF([1]对账明细接口!$P659=0,"",[1]对账明细接口!$P659),"")</f>
        <v/>
      </c>
      <c r="V659" s="112" t="str">
        <f aca="false">IFERROR(IF([1]对账明细接口!$Q659=0,"",[1]对账明细接口!$Q659),"")</f>
        <v/>
      </c>
      <c r="W659" s="10" t="str">
        <f aca="false">IFERROR(IF([1]对账明细接口!$R659=0,"",[1]对账明细接口!$R659),"")</f>
        <v/>
      </c>
      <c r="X659" s="10" t="str">
        <f aca="false">IFERROR(IF([1]对账明细接口!$S659=0,"",[1]对账明细接口!$S659),"")</f>
        <v/>
      </c>
      <c r="Y659" s="10" t="str">
        <f aca="false">""</f>
        <v/>
      </c>
      <c r="Z659" s="10" t="str">
        <f aca="false">""</f>
        <v/>
      </c>
      <c r="AA659" s="10" t="str">
        <f aca="false">""</f>
        <v/>
      </c>
      <c r="AB659" s="10" t="str">
        <f aca="false">""</f>
        <v/>
      </c>
    </row>
    <row r="660" customFormat="false" ht="13.5" hidden="false" customHeight="false" outlineLevel="0" collapsed="false">
      <c r="A660" s="109" t="n">
        <v>660</v>
      </c>
      <c r="B660" s="110" t="str">
        <f aca="false">IFERROR(IF([1]对账明细接口!$B$660=0,"",[1]对账明细接口!$B$660),"")</f>
        <v/>
      </c>
      <c r="C660" s="59" t="str">
        <f aca="false">IFERROR(IF([1]对账明细接口!$C$660=0,"",[1]对账明细接口!$C$660),"")</f>
        <v/>
      </c>
      <c r="D660" s="59" t="str">
        <f aca="false">IFERROR(IF([1]对账明细接口!$D$660=0,"",[1]对账明细接口!$D$660),"")</f>
        <v/>
      </c>
      <c r="E660" s="59" t="str">
        <f aca="false">IFERROR(IF([1]对账明细接口!$E$660=0,"",[1]对账明细接口!$E$660),"")</f>
        <v/>
      </c>
      <c r="F660" s="59" t="str">
        <f aca="false">IFERROR(IF([1]对账明细接口!$F$660=0,"",[1]对账明细接口!$F$660),"")</f>
        <v/>
      </c>
      <c r="G660" s="59" t="str">
        <f aca="false">IFERROR(IF([1]对账明细接口!$G$660=0,"",[1]对账明细接口!$G$660),"")</f>
        <v/>
      </c>
      <c r="H660" s="60" t="str">
        <f aca="false">IFERROR(IF([1]对账明细接口!$H$660=0,"",[1]对账明细接口!$H$660),"")</f>
        <v/>
      </c>
      <c r="I660" s="59" t="str">
        <f aca="false">IFERROR(IF([1]对账明细接口!$I$660=0,"",[1]对账明细接口!$I$660),"")</f>
        <v/>
      </c>
      <c r="J660" s="61" t="str">
        <f aca="false">IFERROR(IF([1]对账明细接口!$J$660=0,"",[1]对账明细接口!$J$660),"")</f>
        <v/>
      </c>
      <c r="K660" s="61" t="str">
        <f aca="false">IFERROR(IF([1]对账明细接口!$K$660=0,"",[1]对账明细接口!$K$660),"")</f>
        <v/>
      </c>
      <c r="L660" s="59" t="str">
        <f aca="false">IFERROR(IF([1]对账明细接口!$L$660=0,"",[1]对账明细接口!$L$660),"")</f>
        <v/>
      </c>
      <c r="M660" s="59" t="str">
        <f aca="false">IFERROR(IF([1]对账明细接口!$M$660=0,"",[1]对账明细接口!$M$660),"")</f>
        <v/>
      </c>
      <c r="N660" s="111" t="n">
        <f aca="false">IF($C660="",0,1)</f>
        <v>0</v>
      </c>
      <c r="O660" s="111" t="n">
        <f aca="false">N(O659)+$N660</f>
        <v>110</v>
      </c>
      <c r="S660" s="10" t="str">
        <f aca="false">IFERROR(IF([1]对账明细接口!$N660=0,"",[1]对账明细接口!$N660),"")</f>
        <v/>
      </c>
      <c r="T660" s="112" t="str">
        <f aca="false">IFERROR(IF([1]对账明细接口!$O660=0,"",[1]对账明细接口!$O660),"")</f>
        <v/>
      </c>
      <c r="U660" s="112" t="str">
        <f aca="false">IFERROR(IF([1]对账明细接口!$P660=0,"",[1]对账明细接口!$P660),"")</f>
        <v/>
      </c>
      <c r="V660" s="112" t="str">
        <f aca="false">IFERROR(IF([1]对账明细接口!$Q660=0,"",[1]对账明细接口!$Q660),"")</f>
        <v/>
      </c>
      <c r="W660" s="10" t="str">
        <f aca="false">IFERROR(IF([1]对账明细接口!$R660=0,"",[1]对账明细接口!$R660),"")</f>
        <v/>
      </c>
      <c r="X660" s="10" t="str">
        <f aca="false">IFERROR(IF([1]对账明细接口!$S660=0,"",[1]对账明细接口!$S660),"")</f>
        <v/>
      </c>
      <c r="Y660" s="10" t="str">
        <f aca="false">""</f>
        <v/>
      </c>
      <c r="Z660" s="10" t="str">
        <f aca="false">""</f>
        <v/>
      </c>
      <c r="AA660" s="10" t="str">
        <f aca="false">""</f>
        <v/>
      </c>
      <c r="AB660" s="10" t="str">
        <f aca="false">""</f>
        <v/>
      </c>
    </row>
    <row r="661" customFormat="false" ht="13.5" hidden="false" customHeight="false" outlineLevel="0" collapsed="false">
      <c r="A661" s="109" t="n">
        <v>661</v>
      </c>
      <c r="B661" s="110" t="str">
        <f aca="false">IFERROR(IF([1]对账明细接口!$B$661=0,"",[1]对账明细接口!$B$661),"")</f>
        <v/>
      </c>
      <c r="C661" s="59" t="str">
        <f aca="false">IFERROR(IF([1]对账明细接口!$C$661=0,"",[1]对账明细接口!$C$661),"")</f>
        <v/>
      </c>
      <c r="D661" s="59" t="str">
        <f aca="false">IFERROR(IF([1]对账明细接口!$D$661=0,"",[1]对账明细接口!$D$661),"")</f>
        <v/>
      </c>
      <c r="E661" s="59" t="str">
        <f aca="false">IFERROR(IF([1]对账明细接口!$E$661=0,"",[1]对账明细接口!$E$661),"")</f>
        <v/>
      </c>
      <c r="F661" s="59" t="str">
        <f aca="false">IFERROR(IF([1]对账明细接口!$F$661=0,"",[1]对账明细接口!$F$661),"")</f>
        <v/>
      </c>
      <c r="G661" s="59" t="str">
        <f aca="false">IFERROR(IF([1]对账明细接口!$G$661=0,"",[1]对账明细接口!$G$661),"")</f>
        <v/>
      </c>
      <c r="H661" s="60" t="str">
        <f aca="false">IFERROR(IF([1]对账明细接口!$H$661=0,"",[1]对账明细接口!$H$661),"")</f>
        <v/>
      </c>
      <c r="I661" s="59" t="str">
        <f aca="false">IFERROR(IF([1]对账明细接口!$I$661=0,"",[1]对账明细接口!$I$661),"")</f>
        <v/>
      </c>
      <c r="J661" s="61" t="str">
        <f aca="false">IFERROR(IF([1]对账明细接口!$J$661=0,"",[1]对账明细接口!$J$661),"")</f>
        <v/>
      </c>
      <c r="K661" s="61" t="str">
        <f aca="false">IFERROR(IF([1]对账明细接口!$K$661=0,"",[1]对账明细接口!$K$661),"")</f>
        <v/>
      </c>
      <c r="L661" s="59" t="str">
        <f aca="false">IFERROR(IF([1]对账明细接口!$L$661=0,"",[1]对账明细接口!$L$661),"")</f>
        <v/>
      </c>
      <c r="M661" s="59" t="str">
        <f aca="false">IFERROR(IF([1]对账明细接口!$M$661=0,"",[1]对账明细接口!$M$661),"")</f>
        <v/>
      </c>
      <c r="N661" s="111" t="n">
        <f aca="false">IF($C661="",0,1)</f>
        <v>0</v>
      </c>
      <c r="O661" s="111" t="n">
        <f aca="false">N(O660)+$N661</f>
        <v>110</v>
      </c>
      <c r="S661" s="10" t="str">
        <f aca="false">IFERROR(IF([1]对账明细接口!$N661=0,"",[1]对账明细接口!$N661),"")</f>
        <v/>
      </c>
      <c r="T661" s="112" t="str">
        <f aca="false">IFERROR(IF([1]对账明细接口!$O661=0,"",[1]对账明细接口!$O661),"")</f>
        <v/>
      </c>
      <c r="U661" s="112" t="str">
        <f aca="false">IFERROR(IF([1]对账明细接口!$P661=0,"",[1]对账明细接口!$P661),"")</f>
        <v/>
      </c>
      <c r="V661" s="112" t="str">
        <f aca="false">IFERROR(IF([1]对账明细接口!$Q661=0,"",[1]对账明细接口!$Q661),"")</f>
        <v/>
      </c>
      <c r="W661" s="10" t="str">
        <f aca="false">IFERROR(IF([1]对账明细接口!$R661=0,"",[1]对账明细接口!$R661),"")</f>
        <v/>
      </c>
      <c r="X661" s="10" t="str">
        <f aca="false">IFERROR(IF([1]对账明细接口!$S661=0,"",[1]对账明细接口!$S661),"")</f>
        <v/>
      </c>
      <c r="Y661" s="10" t="str">
        <f aca="false">""</f>
        <v/>
      </c>
      <c r="Z661" s="10" t="str">
        <f aca="false">""</f>
        <v/>
      </c>
      <c r="AA661" s="10" t="str">
        <f aca="false">""</f>
        <v/>
      </c>
      <c r="AB661" s="10" t="str">
        <f aca="false">""</f>
        <v/>
      </c>
    </row>
    <row r="662" customFormat="false" ht="13.5" hidden="false" customHeight="false" outlineLevel="0" collapsed="false">
      <c r="A662" s="109" t="n">
        <v>662</v>
      </c>
      <c r="B662" s="110" t="str">
        <f aca="false">IFERROR(IF([1]对账明细接口!$B$662=0,"",[1]对账明细接口!$B$662),"")</f>
        <v/>
      </c>
      <c r="C662" s="59" t="str">
        <f aca="false">IFERROR(IF([1]对账明细接口!$C$662=0,"",[1]对账明细接口!$C$662),"")</f>
        <v/>
      </c>
      <c r="D662" s="59" t="str">
        <f aca="false">IFERROR(IF([1]对账明细接口!$D$662=0,"",[1]对账明细接口!$D$662),"")</f>
        <v/>
      </c>
      <c r="E662" s="59" t="str">
        <f aca="false">IFERROR(IF([1]对账明细接口!$E$662=0,"",[1]对账明细接口!$E$662),"")</f>
        <v/>
      </c>
      <c r="F662" s="59" t="str">
        <f aca="false">IFERROR(IF([1]对账明细接口!$F$662=0,"",[1]对账明细接口!$F$662),"")</f>
        <v/>
      </c>
      <c r="G662" s="59" t="str">
        <f aca="false">IFERROR(IF([1]对账明细接口!$G$662=0,"",[1]对账明细接口!$G$662),"")</f>
        <v/>
      </c>
      <c r="H662" s="60" t="str">
        <f aca="false">IFERROR(IF([1]对账明细接口!$H$662=0,"",[1]对账明细接口!$H$662),"")</f>
        <v/>
      </c>
      <c r="I662" s="59" t="str">
        <f aca="false">IFERROR(IF([1]对账明细接口!$I$662=0,"",[1]对账明细接口!$I$662),"")</f>
        <v/>
      </c>
      <c r="J662" s="61" t="str">
        <f aca="false">IFERROR(IF([1]对账明细接口!$J$662=0,"",[1]对账明细接口!$J$662),"")</f>
        <v/>
      </c>
      <c r="K662" s="61" t="str">
        <f aca="false">IFERROR(IF([1]对账明细接口!$K$662=0,"",[1]对账明细接口!$K$662),"")</f>
        <v/>
      </c>
      <c r="L662" s="59" t="str">
        <f aca="false">IFERROR(IF([1]对账明细接口!$L$662=0,"",[1]对账明细接口!$L$662),"")</f>
        <v/>
      </c>
      <c r="M662" s="59" t="str">
        <f aca="false">IFERROR(IF([1]对账明细接口!$M$662=0,"",[1]对账明细接口!$M$662),"")</f>
        <v/>
      </c>
      <c r="N662" s="111" t="n">
        <f aca="false">IF($C662="",0,1)</f>
        <v>0</v>
      </c>
      <c r="O662" s="111" t="n">
        <f aca="false">N(O661)+$N662</f>
        <v>110</v>
      </c>
      <c r="S662" s="10" t="str">
        <f aca="false">IFERROR(IF([1]对账明细接口!$N662=0,"",[1]对账明细接口!$N662),"")</f>
        <v/>
      </c>
      <c r="T662" s="112" t="str">
        <f aca="false">IFERROR(IF([1]对账明细接口!$O662=0,"",[1]对账明细接口!$O662),"")</f>
        <v/>
      </c>
      <c r="U662" s="112" t="str">
        <f aca="false">IFERROR(IF([1]对账明细接口!$P662=0,"",[1]对账明细接口!$P662),"")</f>
        <v/>
      </c>
      <c r="V662" s="112" t="str">
        <f aca="false">IFERROR(IF([1]对账明细接口!$Q662=0,"",[1]对账明细接口!$Q662),"")</f>
        <v/>
      </c>
      <c r="W662" s="10" t="str">
        <f aca="false">IFERROR(IF([1]对账明细接口!$R662=0,"",[1]对账明细接口!$R662),"")</f>
        <v/>
      </c>
      <c r="X662" s="10" t="str">
        <f aca="false">IFERROR(IF([1]对账明细接口!$S662=0,"",[1]对账明细接口!$S662),"")</f>
        <v/>
      </c>
      <c r="Y662" s="10" t="str">
        <f aca="false">""</f>
        <v/>
      </c>
      <c r="Z662" s="10" t="str">
        <f aca="false">""</f>
        <v/>
      </c>
      <c r="AA662" s="10" t="str">
        <f aca="false">""</f>
        <v/>
      </c>
      <c r="AB662" s="10" t="str">
        <f aca="false">""</f>
        <v/>
      </c>
    </row>
    <row r="663" customFormat="false" ht="13.5" hidden="false" customHeight="false" outlineLevel="0" collapsed="false">
      <c r="A663" s="109" t="n">
        <v>663</v>
      </c>
      <c r="B663" s="110" t="str">
        <f aca="false">IFERROR(IF([1]对账明细接口!$B$663=0,"",[1]对账明细接口!$B$663),"")</f>
        <v/>
      </c>
      <c r="C663" s="59" t="str">
        <f aca="false">IFERROR(IF([1]对账明细接口!$C$663=0,"",[1]对账明细接口!$C$663),"")</f>
        <v/>
      </c>
      <c r="D663" s="59" t="str">
        <f aca="false">IFERROR(IF([1]对账明细接口!$D$663=0,"",[1]对账明细接口!$D$663),"")</f>
        <v/>
      </c>
      <c r="E663" s="59" t="str">
        <f aca="false">IFERROR(IF([1]对账明细接口!$E$663=0,"",[1]对账明细接口!$E$663),"")</f>
        <v/>
      </c>
      <c r="F663" s="59" t="str">
        <f aca="false">IFERROR(IF([1]对账明细接口!$F$663=0,"",[1]对账明细接口!$F$663),"")</f>
        <v/>
      </c>
      <c r="G663" s="59" t="str">
        <f aca="false">IFERROR(IF([1]对账明细接口!$G$663=0,"",[1]对账明细接口!$G$663),"")</f>
        <v/>
      </c>
      <c r="H663" s="60" t="str">
        <f aca="false">IFERROR(IF([1]对账明细接口!$H$663=0,"",[1]对账明细接口!$H$663),"")</f>
        <v/>
      </c>
      <c r="I663" s="59" t="str">
        <f aca="false">IFERROR(IF([1]对账明细接口!$I$663=0,"",[1]对账明细接口!$I$663),"")</f>
        <v/>
      </c>
      <c r="J663" s="61" t="str">
        <f aca="false">IFERROR(IF([1]对账明细接口!$J$663=0,"",[1]对账明细接口!$J$663),"")</f>
        <v/>
      </c>
      <c r="K663" s="61" t="str">
        <f aca="false">IFERROR(IF([1]对账明细接口!$K$663=0,"",[1]对账明细接口!$K$663),"")</f>
        <v/>
      </c>
      <c r="L663" s="59" t="str">
        <f aca="false">IFERROR(IF([1]对账明细接口!$L$663=0,"",[1]对账明细接口!$L$663),"")</f>
        <v/>
      </c>
      <c r="M663" s="59" t="str">
        <f aca="false">IFERROR(IF([1]对账明细接口!$M$663=0,"",[1]对账明细接口!$M$663),"")</f>
        <v/>
      </c>
      <c r="N663" s="111" t="n">
        <f aca="false">IF($C663="",0,1)</f>
        <v>0</v>
      </c>
      <c r="O663" s="111" t="n">
        <f aca="false">N(O662)+$N663</f>
        <v>110</v>
      </c>
      <c r="S663" s="10" t="str">
        <f aca="false">IFERROR(IF([1]对账明细接口!$N663=0,"",[1]对账明细接口!$N663),"")</f>
        <v/>
      </c>
      <c r="T663" s="112" t="str">
        <f aca="false">IFERROR(IF([1]对账明细接口!$O663=0,"",[1]对账明细接口!$O663),"")</f>
        <v/>
      </c>
      <c r="U663" s="112" t="str">
        <f aca="false">IFERROR(IF([1]对账明细接口!$P663=0,"",[1]对账明细接口!$P663),"")</f>
        <v/>
      </c>
      <c r="V663" s="112" t="str">
        <f aca="false">IFERROR(IF([1]对账明细接口!$Q663=0,"",[1]对账明细接口!$Q663),"")</f>
        <v/>
      </c>
      <c r="W663" s="10" t="str">
        <f aca="false">IFERROR(IF([1]对账明细接口!$R663=0,"",[1]对账明细接口!$R663),"")</f>
        <v/>
      </c>
      <c r="X663" s="10" t="str">
        <f aca="false">IFERROR(IF([1]对账明细接口!$S663=0,"",[1]对账明细接口!$S663),"")</f>
        <v/>
      </c>
      <c r="Y663" s="10" t="str">
        <f aca="false">""</f>
        <v/>
      </c>
      <c r="Z663" s="10" t="str">
        <f aca="false">""</f>
        <v/>
      </c>
      <c r="AA663" s="10" t="str">
        <f aca="false">""</f>
        <v/>
      </c>
      <c r="AB663" s="10" t="str">
        <f aca="false">""</f>
        <v/>
      </c>
    </row>
    <row r="664" customFormat="false" ht="13.5" hidden="false" customHeight="false" outlineLevel="0" collapsed="false">
      <c r="A664" s="109" t="n">
        <v>664</v>
      </c>
      <c r="B664" s="110" t="str">
        <f aca="false">IFERROR(IF([1]对账明细接口!$B$664=0,"",[1]对账明细接口!$B$664),"")</f>
        <v/>
      </c>
      <c r="C664" s="59" t="str">
        <f aca="false">IFERROR(IF([1]对账明细接口!$C$664=0,"",[1]对账明细接口!$C$664),"")</f>
        <v/>
      </c>
      <c r="D664" s="59" t="str">
        <f aca="false">IFERROR(IF([1]对账明细接口!$D$664=0,"",[1]对账明细接口!$D$664),"")</f>
        <v/>
      </c>
      <c r="E664" s="59" t="str">
        <f aca="false">IFERROR(IF([1]对账明细接口!$E$664=0,"",[1]对账明细接口!$E$664),"")</f>
        <v/>
      </c>
      <c r="F664" s="59" t="str">
        <f aca="false">IFERROR(IF([1]对账明细接口!$F$664=0,"",[1]对账明细接口!$F$664),"")</f>
        <v/>
      </c>
      <c r="G664" s="59" t="str">
        <f aca="false">IFERROR(IF([1]对账明细接口!$G$664=0,"",[1]对账明细接口!$G$664),"")</f>
        <v/>
      </c>
      <c r="H664" s="60" t="str">
        <f aca="false">IFERROR(IF([1]对账明细接口!$H$664=0,"",[1]对账明细接口!$H$664),"")</f>
        <v/>
      </c>
      <c r="I664" s="59" t="str">
        <f aca="false">IFERROR(IF([1]对账明细接口!$I$664=0,"",[1]对账明细接口!$I$664),"")</f>
        <v/>
      </c>
      <c r="J664" s="61" t="str">
        <f aca="false">IFERROR(IF([1]对账明细接口!$J$664=0,"",[1]对账明细接口!$J$664),"")</f>
        <v/>
      </c>
      <c r="K664" s="61" t="str">
        <f aca="false">IFERROR(IF([1]对账明细接口!$K$664=0,"",[1]对账明细接口!$K$664),"")</f>
        <v/>
      </c>
      <c r="L664" s="59" t="str">
        <f aca="false">IFERROR(IF([1]对账明细接口!$L$664=0,"",[1]对账明细接口!$L$664),"")</f>
        <v/>
      </c>
      <c r="M664" s="59" t="str">
        <f aca="false">IFERROR(IF([1]对账明细接口!$M$664=0,"",[1]对账明细接口!$M$664),"")</f>
        <v/>
      </c>
      <c r="N664" s="111" t="n">
        <f aca="false">IF($C664="",0,1)</f>
        <v>0</v>
      </c>
      <c r="O664" s="111" t="n">
        <f aca="false">N(O663)+$N664</f>
        <v>110</v>
      </c>
      <c r="S664" s="10" t="str">
        <f aca="false">IFERROR(IF([1]对账明细接口!$N664=0,"",[1]对账明细接口!$N664),"")</f>
        <v/>
      </c>
      <c r="T664" s="112" t="str">
        <f aca="false">IFERROR(IF([1]对账明细接口!$O664=0,"",[1]对账明细接口!$O664),"")</f>
        <v/>
      </c>
      <c r="U664" s="112" t="str">
        <f aca="false">IFERROR(IF([1]对账明细接口!$P664=0,"",[1]对账明细接口!$P664),"")</f>
        <v/>
      </c>
      <c r="V664" s="112" t="str">
        <f aca="false">IFERROR(IF([1]对账明细接口!$Q664=0,"",[1]对账明细接口!$Q664),"")</f>
        <v/>
      </c>
      <c r="W664" s="10" t="str">
        <f aca="false">IFERROR(IF([1]对账明细接口!$R664=0,"",[1]对账明细接口!$R664),"")</f>
        <v/>
      </c>
      <c r="X664" s="10" t="str">
        <f aca="false">IFERROR(IF([1]对账明细接口!$S664=0,"",[1]对账明细接口!$S664),"")</f>
        <v/>
      </c>
      <c r="Y664" s="10" t="str">
        <f aca="false">""</f>
        <v/>
      </c>
      <c r="Z664" s="10" t="str">
        <f aca="false">""</f>
        <v/>
      </c>
      <c r="AA664" s="10" t="str">
        <f aca="false">""</f>
        <v/>
      </c>
      <c r="AB664" s="10" t="str">
        <f aca="false">""</f>
        <v/>
      </c>
    </row>
    <row r="665" customFormat="false" ht="13.5" hidden="false" customHeight="false" outlineLevel="0" collapsed="false">
      <c r="A665" s="109" t="n">
        <v>665</v>
      </c>
      <c r="B665" s="110" t="str">
        <f aca="false">IFERROR(IF([1]对账明细接口!$B$665=0,"",[1]对账明细接口!$B$665),"")</f>
        <v/>
      </c>
      <c r="C665" s="59" t="str">
        <f aca="false">IFERROR(IF([1]对账明细接口!$C$665=0,"",[1]对账明细接口!$C$665),"")</f>
        <v/>
      </c>
      <c r="D665" s="59" t="str">
        <f aca="false">IFERROR(IF([1]对账明细接口!$D$665=0,"",[1]对账明细接口!$D$665),"")</f>
        <v/>
      </c>
      <c r="E665" s="59" t="str">
        <f aca="false">IFERROR(IF([1]对账明细接口!$E$665=0,"",[1]对账明细接口!$E$665),"")</f>
        <v/>
      </c>
      <c r="F665" s="59" t="str">
        <f aca="false">IFERROR(IF([1]对账明细接口!$F$665=0,"",[1]对账明细接口!$F$665),"")</f>
        <v/>
      </c>
      <c r="G665" s="59" t="str">
        <f aca="false">IFERROR(IF([1]对账明细接口!$G$665=0,"",[1]对账明细接口!$G$665),"")</f>
        <v/>
      </c>
      <c r="H665" s="60" t="str">
        <f aca="false">IFERROR(IF([1]对账明细接口!$H$665=0,"",[1]对账明细接口!$H$665),"")</f>
        <v/>
      </c>
      <c r="I665" s="59" t="str">
        <f aca="false">IFERROR(IF([1]对账明细接口!$I$665=0,"",[1]对账明细接口!$I$665),"")</f>
        <v/>
      </c>
      <c r="J665" s="61" t="str">
        <f aca="false">IFERROR(IF([1]对账明细接口!$J$665=0,"",[1]对账明细接口!$J$665),"")</f>
        <v/>
      </c>
      <c r="K665" s="61" t="str">
        <f aca="false">IFERROR(IF([1]对账明细接口!$K$665=0,"",[1]对账明细接口!$K$665),"")</f>
        <v/>
      </c>
      <c r="L665" s="59" t="str">
        <f aca="false">IFERROR(IF([1]对账明细接口!$L$665=0,"",[1]对账明细接口!$L$665),"")</f>
        <v/>
      </c>
      <c r="M665" s="59" t="str">
        <f aca="false">IFERROR(IF([1]对账明细接口!$M$665=0,"",[1]对账明细接口!$M$665),"")</f>
        <v/>
      </c>
      <c r="N665" s="111" t="n">
        <f aca="false">IF($C665="",0,1)</f>
        <v>0</v>
      </c>
      <c r="O665" s="111" t="n">
        <f aca="false">N(O664)+$N665</f>
        <v>110</v>
      </c>
      <c r="S665" s="10" t="str">
        <f aca="false">IFERROR(IF([1]对账明细接口!$N665=0,"",[1]对账明细接口!$N665),"")</f>
        <v/>
      </c>
      <c r="T665" s="112" t="str">
        <f aca="false">IFERROR(IF([1]对账明细接口!$O665=0,"",[1]对账明细接口!$O665),"")</f>
        <v/>
      </c>
      <c r="U665" s="112" t="str">
        <f aca="false">IFERROR(IF([1]对账明细接口!$P665=0,"",[1]对账明细接口!$P665),"")</f>
        <v/>
      </c>
      <c r="V665" s="112" t="str">
        <f aca="false">IFERROR(IF([1]对账明细接口!$Q665=0,"",[1]对账明细接口!$Q665),"")</f>
        <v/>
      </c>
      <c r="W665" s="10" t="str">
        <f aca="false">IFERROR(IF([1]对账明细接口!$R665=0,"",[1]对账明细接口!$R665),"")</f>
        <v/>
      </c>
      <c r="X665" s="10" t="str">
        <f aca="false">IFERROR(IF([1]对账明细接口!$S665=0,"",[1]对账明细接口!$S665),"")</f>
        <v/>
      </c>
      <c r="Y665" s="10" t="str">
        <f aca="false">""</f>
        <v/>
      </c>
      <c r="Z665" s="10" t="str">
        <f aca="false">""</f>
        <v/>
      </c>
      <c r="AA665" s="10" t="str">
        <f aca="false">""</f>
        <v/>
      </c>
      <c r="AB665" s="10" t="str">
        <f aca="false">""</f>
        <v/>
      </c>
    </row>
    <row r="666" customFormat="false" ht="13.5" hidden="false" customHeight="false" outlineLevel="0" collapsed="false">
      <c r="A666" s="109" t="n">
        <v>666</v>
      </c>
      <c r="B666" s="110" t="str">
        <f aca="false">IFERROR(IF([1]对账明细接口!$B$666=0,"",[1]对账明细接口!$B$666),"")</f>
        <v/>
      </c>
      <c r="C666" s="59" t="str">
        <f aca="false">IFERROR(IF([1]对账明细接口!$C$666=0,"",[1]对账明细接口!$C$666),"")</f>
        <v/>
      </c>
      <c r="D666" s="59" t="str">
        <f aca="false">IFERROR(IF([1]对账明细接口!$D$666=0,"",[1]对账明细接口!$D$666),"")</f>
        <v/>
      </c>
      <c r="E666" s="59" t="str">
        <f aca="false">IFERROR(IF([1]对账明细接口!$E$666=0,"",[1]对账明细接口!$E$666),"")</f>
        <v/>
      </c>
      <c r="F666" s="59" t="str">
        <f aca="false">IFERROR(IF([1]对账明细接口!$F$666=0,"",[1]对账明细接口!$F$666),"")</f>
        <v/>
      </c>
      <c r="G666" s="59" t="str">
        <f aca="false">IFERROR(IF([1]对账明细接口!$G$666=0,"",[1]对账明细接口!$G$666),"")</f>
        <v/>
      </c>
      <c r="H666" s="60" t="str">
        <f aca="false">IFERROR(IF([1]对账明细接口!$H$666=0,"",[1]对账明细接口!$H$666),"")</f>
        <v/>
      </c>
      <c r="I666" s="59" t="str">
        <f aca="false">IFERROR(IF([1]对账明细接口!$I$666=0,"",[1]对账明细接口!$I$666),"")</f>
        <v/>
      </c>
      <c r="J666" s="61" t="str">
        <f aca="false">IFERROR(IF([1]对账明细接口!$J$666=0,"",[1]对账明细接口!$J$666),"")</f>
        <v/>
      </c>
      <c r="K666" s="61" t="str">
        <f aca="false">IFERROR(IF([1]对账明细接口!$K$666=0,"",[1]对账明细接口!$K$666),"")</f>
        <v/>
      </c>
      <c r="L666" s="59" t="str">
        <f aca="false">IFERROR(IF([1]对账明细接口!$L$666=0,"",[1]对账明细接口!$L$666),"")</f>
        <v/>
      </c>
      <c r="M666" s="59" t="str">
        <f aca="false">IFERROR(IF([1]对账明细接口!$M$666=0,"",[1]对账明细接口!$M$666),"")</f>
        <v/>
      </c>
      <c r="N666" s="111" t="n">
        <f aca="false">IF($C666="",0,1)</f>
        <v>0</v>
      </c>
      <c r="O666" s="111" t="n">
        <f aca="false">N(O665)+$N666</f>
        <v>110</v>
      </c>
      <c r="S666" s="10" t="str">
        <f aca="false">IFERROR(IF([1]对账明细接口!$N666=0,"",[1]对账明细接口!$N666),"")</f>
        <v/>
      </c>
      <c r="T666" s="112" t="str">
        <f aca="false">IFERROR(IF([1]对账明细接口!$O666=0,"",[1]对账明细接口!$O666),"")</f>
        <v/>
      </c>
      <c r="U666" s="112" t="str">
        <f aca="false">IFERROR(IF([1]对账明细接口!$P666=0,"",[1]对账明细接口!$P666),"")</f>
        <v/>
      </c>
      <c r="V666" s="112" t="str">
        <f aca="false">IFERROR(IF([1]对账明细接口!$Q666=0,"",[1]对账明细接口!$Q666),"")</f>
        <v/>
      </c>
      <c r="W666" s="10" t="str">
        <f aca="false">IFERROR(IF([1]对账明细接口!$R666=0,"",[1]对账明细接口!$R666),"")</f>
        <v/>
      </c>
      <c r="X666" s="10" t="str">
        <f aca="false">IFERROR(IF([1]对账明细接口!$S666=0,"",[1]对账明细接口!$S666),"")</f>
        <v/>
      </c>
      <c r="Y666" s="10" t="str">
        <f aca="false">""</f>
        <v/>
      </c>
      <c r="Z666" s="10" t="str">
        <f aca="false">""</f>
        <v/>
      </c>
      <c r="AA666" s="10" t="str">
        <f aca="false">""</f>
        <v/>
      </c>
      <c r="AB666" s="10" t="str">
        <f aca="false">""</f>
        <v/>
      </c>
    </row>
    <row r="667" customFormat="false" ht="13.5" hidden="false" customHeight="false" outlineLevel="0" collapsed="false">
      <c r="A667" s="109" t="n">
        <v>667</v>
      </c>
      <c r="B667" s="110" t="str">
        <f aca="false">IFERROR(IF([1]对账明细接口!$B$667=0,"",[1]对账明细接口!$B$667),"")</f>
        <v/>
      </c>
      <c r="C667" s="59" t="str">
        <f aca="false">IFERROR(IF([1]对账明细接口!$C$667=0,"",[1]对账明细接口!$C$667),"")</f>
        <v/>
      </c>
      <c r="D667" s="59" t="str">
        <f aca="false">IFERROR(IF([1]对账明细接口!$D$667=0,"",[1]对账明细接口!$D$667),"")</f>
        <v/>
      </c>
      <c r="E667" s="59" t="str">
        <f aca="false">IFERROR(IF([1]对账明细接口!$E$667=0,"",[1]对账明细接口!$E$667),"")</f>
        <v/>
      </c>
      <c r="F667" s="59" t="str">
        <f aca="false">IFERROR(IF([1]对账明细接口!$F$667=0,"",[1]对账明细接口!$F$667),"")</f>
        <v/>
      </c>
      <c r="G667" s="59" t="str">
        <f aca="false">IFERROR(IF([1]对账明细接口!$G$667=0,"",[1]对账明细接口!$G$667),"")</f>
        <v/>
      </c>
      <c r="H667" s="60" t="str">
        <f aca="false">IFERROR(IF([1]对账明细接口!$H$667=0,"",[1]对账明细接口!$H$667),"")</f>
        <v/>
      </c>
      <c r="I667" s="59" t="str">
        <f aca="false">IFERROR(IF([1]对账明细接口!$I$667=0,"",[1]对账明细接口!$I$667),"")</f>
        <v/>
      </c>
      <c r="J667" s="61" t="str">
        <f aca="false">IFERROR(IF([1]对账明细接口!$J$667=0,"",[1]对账明细接口!$J$667),"")</f>
        <v/>
      </c>
      <c r="K667" s="61" t="str">
        <f aca="false">IFERROR(IF([1]对账明细接口!$K$667=0,"",[1]对账明细接口!$K$667),"")</f>
        <v/>
      </c>
      <c r="L667" s="59" t="str">
        <f aca="false">IFERROR(IF([1]对账明细接口!$L$667=0,"",[1]对账明细接口!$L$667),"")</f>
        <v/>
      </c>
      <c r="M667" s="59" t="str">
        <f aca="false">IFERROR(IF([1]对账明细接口!$M$667=0,"",[1]对账明细接口!$M$667),"")</f>
        <v/>
      </c>
      <c r="N667" s="111" t="n">
        <f aca="false">IF($C667="",0,1)</f>
        <v>0</v>
      </c>
      <c r="O667" s="111" t="n">
        <f aca="false">N(O666)+$N667</f>
        <v>110</v>
      </c>
      <c r="S667" s="10" t="str">
        <f aca="false">IFERROR(IF([1]对账明细接口!$N667=0,"",[1]对账明细接口!$N667),"")</f>
        <v/>
      </c>
      <c r="T667" s="112" t="str">
        <f aca="false">IFERROR(IF([1]对账明细接口!$O667=0,"",[1]对账明细接口!$O667),"")</f>
        <v/>
      </c>
      <c r="U667" s="112" t="str">
        <f aca="false">IFERROR(IF([1]对账明细接口!$P667=0,"",[1]对账明细接口!$P667),"")</f>
        <v/>
      </c>
      <c r="V667" s="112" t="str">
        <f aca="false">IFERROR(IF([1]对账明细接口!$Q667=0,"",[1]对账明细接口!$Q667),"")</f>
        <v/>
      </c>
      <c r="W667" s="10" t="str">
        <f aca="false">IFERROR(IF([1]对账明细接口!$R667=0,"",[1]对账明细接口!$R667),"")</f>
        <v/>
      </c>
      <c r="X667" s="10" t="str">
        <f aca="false">IFERROR(IF([1]对账明细接口!$S667=0,"",[1]对账明细接口!$S667),"")</f>
        <v/>
      </c>
      <c r="Y667" s="10" t="str">
        <f aca="false">""</f>
        <v/>
      </c>
      <c r="Z667" s="10" t="str">
        <f aca="false">""</f>
        <v/>
      </c>
      <c r="AA667" s="10" t="str">
        <f aca="false">""</f>
        <v/>
      </c>
      <c r="AB667" s="10" t="str">
        <f aca="false">""</f>
        <v/>
      </c>
    </row>
    <row r="668" customFormat="false" ht="13.5" hidden="false" customHeight="false" outlineLevel="0" collapsed="false">
      <c r="A668" s="109" t="n">
        <v>668</v>
      </c>
      <c r="B668" s="110" t="str">
        <f aca="false">IFERROR(IF([1]对账明细接口!$B$668=0,"",[1]对账明细接口!$B$668),"")</f>
        <v/>
      </c>
      <c r="C668" s="59" t="str">
        <f aca="false">IFERROR(IF([1]对账明细接口!$C$668=0,"",[1]对账明细接口!$C$668),"")</f>
        <v/>
      </c>
      <c r="D668" s="59" t="str">
        <f aca="false">IFERROR(IF([1]对账明细接口!$D$668=0,"",[1]对账明细接口!$D$668),"")</f>
        <v/>
      </c>
      <c r="E668" s="59" t="str">
        <f aca="false">IFERROR(IF([1]对账明细接口!$E$668=0,"",[1]对账明细接口!$E$668),"")</f>
        <v/>
      </c>
      <c r="F668" s="59" t="str">
        <f aca="false">IFERROR(IF([1]对账明细接口!$F$668=0,"",[1]对账明细接口!$F$668),"")</f>
        <v/>
      </c>
      <c r="G668" s="59" t="str">
        <f aca="false">IFERROR(IF([1]对账明细接口!$G$668=0,"",[1]对账明细接口!$G$668),"")</f>
        <v/>
      </c>
      <c r="H668" s="60" t="str">
        <f aca="false">IFERROR(IF([1]对账明细接口!$H$668=0,"",[1]对账明细接口!$H$668),"")</f>
        <v/>
      </c>
      <c r="I668" s="59" t="str">
        <f aca="false">IFERROR(IF([1]对账明细接口!$I$668=0,"",[1]对账明细接口!$I$668),"")</f>
        <v/>
      </c>
      <c r="J668" s="61" t="str">
        <f aca="false">IFERROR(IF([1]对账明细接口!$J$668=0,"",[1]对账明细接口!$J$668),"")</f>
        <v/>
      </c>
      <c r="K668" s="61" t="str">
        <f aca="false">IFERROR(IF([1]对账明细接口!$K$668=0,"",[1]对账明细接口!$K$668),"")</f>
        <v/>
      </c>
      <c r="L668" s="59" t="str">
        <f aca="false">IFERROR(IF([1]对账明细接口!$L$668=0,"",[1]对账明细接口!$L$668),"")</f>
        <v/>
      </c>
      <c r="M668" s="59" t="str">
        <f aca="false">IFERROR(IF([1]对账明细接口!$M$668=0,"",[1]对账明细接口!$M$668),"")</f>
        <v/>
      </c>
      <c r="N668" s="111" t="n">
        <f aca="false">IF($C668="",0,1)</f>
        <v>0</v>
      </c>
      <c r="O668" s="111" t="n">
        <f aca="false">N(O667)+$N668</f>
        <v>110</v>
      </c>
      <c r="S668" s="10" t="str">
        <f aca="false">IFERROR(IF([1]对账明细接口!$N668=0,"",[1]对账明细接口!$N668),"")</f>
        <v/>
      </c>
      <c r="T668" s="112" t="str">
        <f aca="false">IFERROR(IF([1]对账明细接口!$O668=0,"",[1]对账明细接口!$O668),"")</f>
        <v/>
      </c>
      <c r="U668" s="112" t="str">
        <f aca="false">IFERROR(IF([1]对账明细接口!$P668=0,"",[1]对账明细接口!$P668),"")</f>
        <v/>
      </c>
      <c r="V668" s="112" t="str">
        <f aca="false">IFERROR(IF([1]对账明细接口!$Q668=0,"",[1]对账明细接口!$Q668),"")</f>
        <v/>
      </c>
      <c r="W668" s="10" t="str">
        <f aca="false">IFERROR(IF([1]对账明细接口!$R668=0,"",[1]对账明细接口!$R668),"")</f>
        <v/>
      </c>
      <c r="X668" s="10" t="str">
        <f aca="false">IFERROR(IF([1]对账明细接口!$S668=0,"",[1]对账明细接口!$S668),"")</f>
        <v/>
      </c>
      <c r="Y668" s="10" t="str">
        <f aca="false">""</f>
        <v/>
      </c>
      <c r="Z668" s="10" t="str">
        <f aca="false">""</f>
        <v/>
      </c>
      <c r="AA668" s="10" t="str">
        <f aca="false">""</f>
        <v/>
      </c>
      <c r="AB668" s="10" t="str">
        <f aca="false">""</f>
        <v/>
      </c>
    </row>
    <row r="669" customFormat="false" ht="13.5" hidden="false" customHeight="false" outlineLevel="0" collapsed="false">
      <c r="A669" s="109" t="n">
        <v>669</v>
      </c>
      <c r="B669" s="110" t="str">
        <f aca="false">IFERROR(IF([1]对账明细接口!$B$669=0,"",[1]对账明细接口!$B$669),"")</f>
        <v/>
      </c>
      <c r="C669" s="59" t="str">
        <f aca="false">IFERROR(IF([1]对账明细接口!$C$669=0,"",[1]对账明细接口!$C$669),"")</f>
        <v/>
      </c>
      <c r="D669" s="59" t="str">
        <f aca="false">IFERROR(IF([1]对账明细接口!$D$669=0,"",[1]对账明细接口!$D$669),"")</f>
        <v/>
      </c>
      <c r="E669" s="59" t="str">
        <f aca="false">IFERROR(IF([1]对账明细接口!$E$669=0,"",[1]对账明细接口!$E$669),"")</f>
        <v/>
      </c>
      <c r="F669" s="59" t="str">
        <f aca="false">IFERROR(IF([1]对账明细接口!$F$669=0,"",[1]对账明细接口!$F$669),"")</f>
        <v/>
      </c>
      <c r="G669" s="59" t="str">
        <f aca="false">IFERROR(IF([1]对账明细接口!$G$669=0,"",[1]对账明细接口!$G$669),"")</f>
        <v/>
      </c>
      <c r="H669" s="60" t="str">
        <f aca="false">IFERROR(IF([1]对账明细接口!$H$669=0,"",[1]对账明细接口!$H$669),"")</f>
        <v/>
      </c>
      <c r="I669" s="59" t="str">
        <f aca="false">IFERROR(IF([1]对账明细接口!$I$669=0,"",[1]对账明细接口!$I$669),"")</f>
        <v/>
      </c>
      <c r="J669" s="61" t="str">
        <f aca="false">IFERROR(IF([1]对账明细接口!$J$669=0,"",[1]对账明细接口!$J$669),"")</f>
        <v/>
      </c>
      <c r="K669" s="61" t="str">
        <f aca="false">IFERROR(IF([1]对账明细接口!$K$669=0,"",[1]对账明细接口!$K$669),"")</f>
        <v/>
      </c>
      <c r="L669" s="59" t="str">
        <f aca="false">IFERROR(IF([1]对账明细接口!$L$669=0,"",[1]对账明细接口!$L$669),"")</f>
        <v/>
      </c>
      <c r="M669" s="59" t="str">
        <f aca="false">IFERROR(IF([1]对账明细接口!$M$669=0,"",[1]对账明细接口!$M$669),"")</f>
        <v/>
      </c>
      <c r="N669" s="111" t="n">
        <f aca="false">IF($C669="",0,1)</f>
        <v>0</v>
      </c>
      <c r="O669" s="111" t="n">
        <f aca="false">N(O668)+$N669</f>
        <v>110</v>
      </c>
      <c r="S669" s="10" t="str">
        <f aca="false">IFERROR(IF([1]对账明细接口!$N669=0,"",[1]对账明细接口!$N669),"")</f>
        <v/>
      </c>
      <c r="T669" s="112" t="str">
        <f aca="false">IFERROR(IF([1]对账明细接口!$O669=0,"",[1]对账明细接口!$O669),"")</f>
        <v/>
      </c>
      <c r="U669" s="112" t="str">
        <f aca="false">IFERROR(IF([1]对账明细接口!$P669=0,"",[1]对账明细接口!$P669),"")</f>
        <v/>
      </c>
      <c r="V669" s="112" t="str">
        <f aca="false">IFERROR(IF([1]对账明细接口!$Q669=0,"",[1]对账明细接口!$Q669),"")</f>
        <v/>
      </c>
      <c r="W669" s="10" t="str">
        <f aca="false">IFERROR(IF([1]对账明细接口!$R669=0,"",[1]对账明细接口!$R669),"")</f>
        <v/>
      </c>
      <c r="X669" s="10" t="str">
        <f aca="false">IFERROR(IF([1]对账明细接口!$S669=0,"",[1]对账明细接口!$S669),"")</f>
        <v/>
      </c>
      <c r="Y669" s="10" t="str">
        <f aca="false">""</f>
        <v/>
      </c>
      <c r="Z669" s="10" t="str">
        <f aca="false">""</f>
        <v/>
      </c>
      <c r="AA669" s="10" t="str">
        <f aca="false">""</f>
        <v/>
      </c>
      <c r="AB669" s="10" t="str">
        <f aca="false">""</f>
        <v/>
      </c>
    </row>
    <row r="670" customFormat="false" ht="13.5" hidden="false" customHeight="false" outlineLevel="0" collapsed="false">
      <c r="A670" s="109" t="n">
        <v>670</v>
      </c>
      <c r="B670" s="110" t="str">
        <f aca="false">IFERROR(IF([1]对账明细接口!$B$670=0,"",[1]对账明细接口!$B$670),"")</f>
        <v/>
      </c>
      <c r="C670" s="59" t="str">
        <f aca="false">IFERROR(IF([1]对账明细接口!$C$670=0,"",[1]对账明细接口!$C$670),"")</f>
        <v/>
      </c>
      <c r="D670" s="59" t="str">
        <f aca="false">IFERROR(IF([1]对账明细接口!$D$670=0,"",[1]对账明细接口!$D$670),"")</f>
        <v/>
      </c>
      <c r="E670" s="59" t="str">
        <f aca="false">IFERROR(IF([1]对账明细接口!$E$670=0,"",[1]对账明细接口!$E$670),"")</f>
        <v/>
      </c>
      <c r="F670" s="59" t="str">
        <f aca="false">IFERROR(IF([1]对账明细接口!$F$670=0,"",[1]对账明细接口!$F$670),"")</f>
        <v/>
      </c>
      <c r="G670" s="59" t="str">
        <f aca="false">IFERROR(IF([1]对账明细接口!$G$670=0,"",[1]对账明细接口!$G$670),"")</f>
        <v/>
      </c>
      <c r="H670" s="60" t="str">
        <f aca="false">IFERROR(IF([1]对账明细接口!$H$670=0,"",[1]对账明细接口!$H$670),"")</f>
        <v/>
      </c>
      <c r="I670" s="59" t="str">
        <f aca="false">IFERROR(IF([1]对账明细接口!$I$670=0,"",[1]对账明细接口!$I$670),"")</f>
        <v/>
      </c>
      <c r="J670" s="61" t="str">
        <f aca="false">IFERROR(IF([1]对账明细接口!$J$670=0,"",[1]对账明细接口!$J$670),"")</f>
        <v/>
      </c>
      <c r="K670" s="61" t="str">
        <f aca="false">IFERROR(IF([1]对账明细接口!$K$670=0,"",[1]对账明细接口!$K$670),"")</f>
        <v/>
      </c>
      <c r="L670" s="59" t="str">
        <f aca="false">IFERROR(IF([1]对账明细接口!$L$670=0,"",[1]对账明细接口!$L$670),"")</f>
        <v/>
      </c>
      <c r="M670" s="59" t="str">
        <f aca="false">IFERROR(IF([1]对账明细接口!$M$670=0,"",[1]对账明细接口!$M$670),"")</f>
        <v/>
      </c>
      <c r="N670" s="111" t="n">
        <f aca="false">IF($C670="",0,1)</f>
        <v>0</v>
      </c>
      <c r="O670" s="111" t="n">
        <f aca="false">N(O669)+$N670</f>
        <v>110</v>
      </c>
      <c r="S670" s="10" t="str">
        <f aca="false">IFERROR(IF([1]对账明细接口!$N670=0,"",[1]对账明细接口!$N670),"")</f>
        <v/>
      </c>
      <c r="T670" s="112" t="str">
        <f aca="false">IFERROR(IF([1]对账明细接口!$O670=0,"",[1]对账明细接口!$O670),"")</f>
        <v/>
      </c>
      <c r="U670" s="112" t="str">
        <f aca="false">IFERROR(IF([1]对账明细接口!$P670=0,"",[1]对账明细接口!$P670),"")</f>
        <v/>
      </c>
      <c r="V670" s="112" t="str">
        <f aca="false">IFERROR(IF([1]对账明细接口!$Q670=0,"",[1]对账明细接口!$Q670),"")</f>
        <v/>
      </c>
      <c r="W670" s="10" t="str">
        <f aca="false">IFERROR(IF([1]对账明细接口!$R670=0,"",[1]对账明细接口!$R670),"")</f>
        <v/>
      </c>
      <c r="X670" s="10" t="str">
        <f aca="false">IFERROR(IF([1]对账明细接口!$S670=0,"",[1]对账明细接口!$S670),"")</f>
        <v/>
      </c>
      <c r="Y670" s="10" t="str">
        <f aca="false">""</f>
        <v/>
      </c>
      <c r="Z670" s="10" t="str">
        <f aca="false">""</f>
        <v/>
      </c>
      <c r="AA670" s="10" t="str">
        <f aca="false">""</f>
        <v/>
      </c>
      <c r="AB670" s="10" t="str">
        <f aca="false">""</f>
        <v/>
      </c>
    </row>
    <row r="671" customFormat="false" ht="13.5" hidden="false" customHeight="false" outlineLevel="0" collapsed="false">
      <c r="A671" s="109" t="n">
        <v>671</v>
      </c>
      <c r="B671" s="110" t="str">
        <f aca="false">IFERROR(IF([1]对账明细接口!$B$671=0,"",[1]对账明细接口!$B$671),"")</f>
        <v/>
      </c>
      <c r="C671" s="59" t="str">
        <f aca="false">IFERROR(IF([1]对账明细接口!$C$671=0,"",[1]对账明细接口!$C$671),"")</f>
        <v/>
      </c>
      <c r="D671" s="59" t="str">
        <f aca="false">IFERROR(IF([1]对账明细接口!$D$671=0,"",[1]对账明细接口!$D$671),"")</f>
        <v/>
      </c>
      <c r="E671" s="59" t="str">
        <f aca="false">IFERROR(IF([1]对账明细接口!$E$671=0,"",[1]对账明细接口!$E$671),"")</f>
        <v/>
      </c>
      <c r="F671" s="59" t="str">
        <f aca="false">IFERROR(IF([1]对账明细接口!$F$671=0,"",[1]对账明细接口!$F$671),"")</f>
        <v/>
      </c>
      <c r="G671" s="59" t="str">
        <f aca="false">IFERROR(IF([1]对账明细接口!$G$671=0,"",[1]对账明细接口!$G$671),"")</f>
        <v/>
      </c>
      <c r="H671" s="60" t="str">
        <f aca="false">IFERROR(IF([1]对账明细接口!$H$671=0,"",[1]对账明细接口!$H$671),"")</f>
        <v/>
      </c>
      <c r="I671" s="59" t="str">
        <f aca="false">IFERROR(IF([1]对账明细接口!$I$671=0,"",[1]对账明细接口!$I$671),"")</f>
        <v/>
      </c>
      <c r="J671" s="61" t="str">
        <f aca="false">IFERROR(IF([1]对账明细接口!$J$671=0,"",[1]对账明细接口!$J$671),"")</f>
        <v/>
      </c>
      <c r="K671" s="61" t="str">
        <f aca="false">IFERROR(IF([1]对账明细接口!$K$671=0,"",[1]对账明细接口!$K$671),"")</f>
        <v/>
      </c>
      <c r="L671" s="59" t="str">
        <f aca="false">IFERROR(IF([1]对账明细接口!$L$671=0,"",[1]对账明细接口!$L$671),"")</f>
        <v/>
      </c>
      <c r="M671" s="59" t="str">
        <f aca="false">IFERROR(IF([1]对账明细接口!$M$671=0,"",[1]对账明细接口!$M$671),"")</f>
        <v/>
      </c>
      <c r="N671" s="111" t="n">
        <f aca="false">IF($C671="",0,1)</f>
        <v>0</v>
      </c>
      <c r="O671" s="111" t="n">
        <f aca="false">N(O670)+$N671</f>
        <v>110</v>
      </c>
      <c r="S671" s="10" t="str">
        <f aca="false">IFERROR(IF([1]对账明细接口!$N671=0,"",[1]对账明细接口!$N671),"")</f>
        <v/>
      </c>
      <c r="T671" s="112" t="str">
        <f aca="false">IFERROR(IF([1]对账明细接口!$O671=0,"",[1]对账明细接口!$O671),"")</f>
        <v/>
      </c>
      <c r="U671" s="112" t="str">
        <f aca="false">IFERROR(IF([1]对账明细接口!$P671=0,"",[1]对账明细接口!$P671),"")</f>
        <v/>
      </c>
      <c r="V671" s="112" t="str">
        <f aca="false">IFERROR(IF([1]对账明细接口!$Q671=0,"",[1]对账明细接口!$Q671),"")</f>
        <v/>
      </c>
      <c r="W671" s="10" t="str">
        <f aca="false">IFERROR(IF([1]对账明细接口!$R671=0,"",[1]对账明细接口!$R671),"")</f>
        <v/>
      </c>
      <c r="X671" s="10" t="str">
        <f aca="false">IFERROR(IF([1]对账明细接口!$S671=0,"",[1]对账明细接口!$S671),"")</f>
        <v/>
      </c>
      <c r="Y671" s="10" t="str">
        <f aca="false">""</f>
        <v/>
      </c>
      <c r="Z671" s="10" t="str">
        <f aca="false">""</f>
        <v/>
      </c>
      <c r="AA671" s="10" t="str">
        <f aca="false">""</f>
        <v/>
      </c>
      <c r="AB671" s="10" t="str">
        <f aca="false">""</f>
        <v/>
      </c>
    </row>
    <row r="672" customFormat="false" ht="13.5" hidden="false" customHeight="false" outlineLevel="0" collapsed="false">
      <c r="A672" s="109" t="n">
        <v>672</v>
      </c>
      <c r="B672" s="110" t="str">
        <f aca="false">IFERROR(IF([1]对账明细接口!$B$672=0,"",[1]对账明细接口!$B$672),"")</f>
        <v/>
      </c>
      <c r="C672" s="59" t="str">
        <f aca="false">IFERROR(IF([1]对账明细接口!$C$672=0,"",[1]对账明细接口!$C$672),"")</f>
        <v/>
      </c>
      <c r="D672" s="59" t="str">
        <f aca="false">IFERROR(IF([1]对账明细接口!$D$672=0,"",[1]对账明细接口!$D$672),"")</f>
        <v/>
      </c>
      <c r="E672" s="59" t="str">
        <f aca="false">IFERROR(IF([1]对账明细接口!$E$672=0,"",[1]对账明细接口!$E$672),"")</f>
        <v/>
      </c>
      <c r="F672" s="59" t="str">
        <f aca="false">IFERROR(IF([1]对账明细接口!$F$672=0,"",[1]对账明细接口!$F$672),"")</f>
        <v/>
      </c>
      <c r="G672" s="59" t="str">
        <f aca="false">IFERROR(IF([1]对账明细接口!$G$672=0,"",[1]对账明细接口!$G$672),"")</f>
        <v/>
      </c>
      <c r="H672" s="60" t="str">
        <f aca="false">IFERROR(IF([1]对账明细接口!$H$672=0,"",[1]对账明细接口!$H$672),"")</f>
        <v/>
      </c>
      <c r="I672" s="59" t="str">
        <f aca="false">IFERROR(IF([1]对账明细接口!$I$672=0,"",[1]对账明细接口!$I$672),"")</f>
        <v/>
      </c>
      <c r="J672" s="61" t="str">
        <f aca="false">IFERROR(IF([1]对账明细接口!$J$672=0,"",[1]对账明细接口!$J$672),"")</f>
        <v/>
      </c>
      <c r="K672" s="61" t="str">
        <f aca="false">IFERROR(IF([1]对账明细接口!$K$672=0,"",[1]对账明细接口!$K$672),"")</f>
        <v/>
      </c>
      <c r="L672" s="59" t="str">
        <f aca="false">IFERROR(IF([1]对账明细接口!$L$672=0,"",[1]对账明细接口!$L$672),"")</f>
        <v/>
      </c>
      <c r="M672" s="59" t="str">
        <f aca="false">IFERROR(IF([1]对账明细接口!$M$672=0,"",[1]对账明细接口!$M$672),"")</f>
        <v/>
      </c>
      <c r="N672" s="111" t="n">
        <f aca="false">IF($C672="",0,1)</f>
        <v>0</v>
      </c>
      <c r="O672" s="111" t="n">
        <f aca="false">N(O671)+$N672</f>
        <v>110</v>
      </c>
      <c r="S672" s="10" t="str">
        <f aca="false">IFERROR(IF([1]对账明细接口!$N672=0,"",[1]对账明细接口!$N672),"")</f>
        <v/>
      </c>
      <c r="T672" s="112" t="str">
        <f aca="false">IFERROR(IF([1]对账明细接口!$O672=0,"",[1]对账明细接口!$O672),"")</f>
        <v/>
      </c>
      <c r="U672" s="112" t="str">
        <f aca="false">IFERROR(IF([1]对账明细接口!$P672=0,"",[1]对账明细接口!$P672),"")</f>
        <v/>
      </c>
      <c r="V672" s="112" t="str">
        <f aca="false">IFERROR(IF([1]对账明细接口!$Q672=0,"",[1]对账明细接口!$Q672),"")</f>
        <v/>
      </c>
      <c r="W672" s="10" t="str">
        <f aca="false">IFERROR(IF([1]对账明细接口!$R672=0,"",[1]对账明细接口!$R672),"")</f>
        <v/>
      </c>
      <c r="X672" s="10" t="str">
        <f aca="false">IFERROR(IF([1]对账明细接口!$S672=0,"",[1]对账明细接口!$S672),"")</f>
        <v/>
      </c>
      <c r="Y672" s="10" t="str">
        <f aca="false">""</f>
        <v/>
      </c>
      <c r="Z672" s="10" t="str">
        <f aca="false">""</f>
        <v/>
      </c>
      <c r="AA672" s="10" t="str">
        <f aca="false">""</f>
        <v/>
      </c>
      <c r="AB672" s="10" t="str">
        <f aca="false">""</f>
        <v/>
      </c>
    </row>
    <row r="673" customFormat="false" ht="13.5" hidden="false" customHeight="false" outlineLevel="0" collapsed="false">
      <c r="A673" s="109" t="n">
        <v>673</v>
      </c>
      <c r="B673" s="110" t="str">
        <f aca="false">IFERROR(IF([1]对账明细接口!$B$673=0,"",[1]对账明细接口!$B$673),"")</f>
        <v/>
      </c>
      <c r="C673" s="59" t="str">
        <f aca="false">IFERROR(IF([1]对账明细接口!$C$673=0,"",[1]对账明细接口!$C$673),"")</f>
        <v/>
      </c>
      <c r="D673" s="59" t="str">
        <f aca="false">IFERROR(IF([1]对账明细接口!$D$673=0,"",[1]对账明细接口!$D$673),"")</f>
        <v/>
      </c>
      <c r="E673" s="59" t="str">
        <f aca="false">IFERROR(IF([1]对账明细接口!$E$673=0,"",[1]对账明细接口!$E$673),"")</f>
        <v/>
      </c>
      <c r="F673" s="59" t="str">
        <f aca="false">IFERROR(IF([1]对账明细接口!$F$673=0,"",[1]对账明细接口!$F$673),"")</f>
        <v/>
      </c>
      <c r="G673" s="59" t="str">
        <f aca="false">IFERROR(IF([1]对账明细接口!$G$673=0,"",[1]对账明细接口!$G$673),"")</f>
        <v/>
      </c>
      <c r="H673" s="60" t="str">
        <f aca="false">IFERROR(IF([1]对账明细接口!$H$673=0,"",[1]对账明细接口!$H$673),"")</f>
        <v/>
      </c>
      <c r="I673" s="59" t="str">
        <f aca="false">IFERROR(IF([1]对账明细接口!$I$673=0,"",[1]对账明细接口!$I$673),"")</f>
        <v/>
      </c>
      <c r="J673" s="61" t="str">
        <f aca="false">IFERROR(IF([1]对账明细接口!$J$673=0,"",[1]对账明细接口!$J$673),"")</f>
        <v/>
      </c>
      <c r="K673" s="61" t="str">
        <f aca="false">IFERROR(IF([1]对账明细接口!$K$673=0,"",[1]对账明细接口!$K$673),"")</f>
        <v/>
      </c>
      <c r="L673" s="59" t="str">
        <f aca="false">IFERROR(IF([1]对账明细接口!$L$673=0,"",[1]对账明细接口!$L$673),"")</f>
        <v/>
      </c>
      <c r="M673" s="59" t="str">
        <f aca="false">IFERROR(IF([1]对账明细接口!$M$673=0,"",[1]对账明细接口!$M$673),"")</f>
        <v/>
      </c>
      <c r="N673" s="111" t="n">
        <f aca="false">IF($C673="",0,1)</f>
        <v>0</v>
      </c>
      <c r="O673" s="111" t="n">
        <f aca="false">N(O672)+$N673</f>
        <v>110</v>
      </c>
      <c r="S673" s="10" t="str">
        <f aca="false">IFERROR(IF([1]对账明细接口!$N673=0,"",[1]对账明细接口!$N673),"")</f>
        <v/>
      </c>
      <c r="T673" s="112" t="str">
        <f aca="false">IFERROR(IF([1]对账明细接口!$O673=0,"",[1]对账明细接口!$O673),"")</f>
        <v/>
      </c>
      <c r="U673" s="112" t="str">
        <f aca="false">IFERROR(IF([1]对账明细接口!$P673=0,"",[1]对账明细接口!$P673),"")</f>
        <v/>
      </c>
      <c r="V673" s="112" t="str">
        <f aca="false">IFERROR(IF([1]对账明细接口!$Q673=0,"",[1]对账明细接口!$Q673),"")</f>
        <v/>
      </c>
      <c r="W673" s="10" t="str">
        <f aca="false">IFERROR(IF([1]对账明细接口!$R673=0,"",[1]对账明细接口!$R673),"")</f>
        <v/>
      </c>
      <c r="X673" s="10" t="str">
        <f aca="false">IFERROR(IF([1]对账明细接口!$S673=0,"",[1]对账明细接口!$S673),"")</f>
        <v/>
      </c>
      <c r="Y673" s="10" t="str">
        <f aca="false">""</f>
        <v/>
      </c>
      <c r="Z673" s="10" t="str">
        <f aca="false">""</f>
        <v/>
      </c>
      <c r="AA673" s="10" t="str">
        <f aca="false">""</f>
        <v/>
      </c>
      <c r="AB673" s="10" t="str">
        <f aca="false">""</f>
        <v/>
      </c>
    </row>
    <row r="674" customFormat="false" ht="13.5" hidden="false" customHeight="false" outlineLevel="0" collapsed="false">
      <c r="A674" s="109" t="n">
        <v>674</v>
      </c>
      <c r="B674" s="110" t="str">
        <f aca="false">IFERROR(IF([1]对账明细接口!$B$674=0,"",[1]对账明细接口!$B$674),"")</f>
        <v/>
      </c>
      <c r="C674" s="59" t="str">
        <f aca="false">IFERROR(IF([1]对账明细接口!$C$674=0,"",[1]对账明细接口!$C$674),"")</f>
        <v/>
      </c>
      <c r="D674" s="59" t="str">
        <f aca="false">IFERROR(IF([1]对账明细接口!$D$674=0,"",[1]对账明细接口!$D$674),"")</f>
        <v/>
      </c>
      <c r="E674" s="59" t="str">
        <f aca="false">IFERROR(IF([1]对账明细接口!$E$674=0,"",[1]对账明细接口!$E$674),"")</f>
        <v/>
      </c>
      <c r="F674" s="59" t="str">
        <f aca="false">IFERROR(IF([1]对账明细接口!$F$674=0,"",[1]对账明细接口!$F$674),"")</f>
        <v/>
      </c>
      <c r="G674" s="59" t="str">
        <f aca="false">IFERROR(IF([1]对账明细接口!$G$674=0,"",[1]对账明细接口!$G$674),"")</f>
        <v/>
      </c>
      <c r="H674" s="60" t="str">
        <f aca="false">IFERROR(IF([1]对账明细接口!$H$674=0,"",[1]对账明细接口!$H$674),"")</f>
        <v/>
      </c>
      <c r="I674" s="59" t="str">
        <f aca="false">IFERROR(IF([1]对账明细接口!$I$674=0,"",[1]对账明细接口!$I$674),"")</f>
        <v/>
      </c>
      <c r="J674" s="61" t="str">
        <f aca="false">IFERROR(IF([1]对账明细接口!$J$674=0,"",[1]对账明细接口!$J$674),"")</f>
        <v/>
      </c>
      <c r="K674" s="61" t="str">
        <f aca="false">IFERROR(IF([1]对账明细接口!$K$674=0,"",[1]对账明细接口!$K$674),"")</f>
        <v/>
      </c>
      <c r="L674" s="59" t="str">
        <f aca="false">IFERROR(IF([1]对账明细接口!$L$674=0,"",[1]对账明细接口!$L$674),"")</f>
        <v/>
      </c>
      <c r="M674" s="59" t="str">
        <f aca="false">IFERROR(IF([1]对账明细接口!$M$674=0,"",[1]对账明细接口!$M$674),"")</f>
        <v/>
      </c>
      <c r="N674" s="111" t="n">
        <f aca="false">IF($C674="",0,1)</f>
        <v>0</v>
      </c>
      <c r="O674" s="111" t="n">
        <f aca="false">N(O673)+$N674</f>
        <v>110</v>
      </c>
      <c r="S674" s="10" t="str">
        <f aca="false">IFERROR(IF([1]对账明细接口!$N674=0,"",[1]对账明细接口!$N674),"")</f>
        <v/>
      </c>
      <c r="T674" s="112" t="str">
        <f aca="false">IFERROR(IF([1]对账明细接口!$O674=0,"",[1]对账明细接口!$O674),"")</f>
        <v/>
      </c>
      <c r="U674" s="112" t="str">
        <f aca="false">IFERROR(IF([1]对账明细接口!$P674=0,"",[1]对账明细接口!$P674),"")</f>
        <v/>
      </c>
      <c r="V674" s="112" t="str">
        <f aca="false">IFERROR(IF([1]对账明细接口!$Q674=0,"",[1]对账明细接口!$Q674),"")</f>
        <v/>
      </c>
      <c r="W674" s="10" t="str">
        <f aca="false">IFERROR(IF([1]对账明细接口!$R674=0,"",[1]对账明细接口!$R674),"")</f>
        <v/>
      </c>
      <c r="X674" s="10" t="str">
        <f aca="false">IFERROR(IF([1]对账明细接口!$S674=0,"",[1]对账明细接口!$S674),"")</f>
        <v/>
      </c>
      <c r="Y674" s="10" t="str">
        <f aca="false">""</f>
        <v/>
      </c>
      <c r="Z674" s="10" t="str">
        <f aca="false">""</f>
        <v/>
      </c>
      <c r="AA674" s="10" t="str">
        <f aca="false">""</f>
        <v/>
      </c>
      <c r="AB674" s="10" t="str">
        <f aca="false">""</f>
        <v/>
      </c>
    </row>
    <row r="675" customFormat="false" ht="13.5" hidden="false" customHeight="false" outlineLevel="0" collapsed="false">
      <c r="A675" s="109" t="n">
        <v>675</v>
      </c>
      <c r="B675" s="110" t="str">
        <f aca="false">IFERROR(IF([1]对账明细接口!$B$675=0,"",[1]对账明细接口!$B$675),"")</f>
        <v/>
      </c>
      <c r="C675" s="59" t="str">
        <f aca="false">IFERROR(IF([1]对账明细接口!$C$675=0,"",[1]对账明细接口!$C$675),"")</f>
        <v/>
      </c>
      <c r="D675" s="59" t="str">
        <f aca="false">IFERROR(IF([1]对账明细接口!$D$675=0,"",[1]对账明细接口!$D$675),"")</f>
        <v/>
      </c>
      <c r="E675" s="59" t="str">
        <f aca="false">IFERROR(IF([1]对账明细接口!$E$675=0,"",[1]对账明细接口!$E$675),"")</f>
        <v/>
      </c>
      <c r="F675" s="59" t="str">
        <f aca="false">IFERROR(IF([1]对账明细接口!$F$675=0,"",[1]对账明细接口!$F$675),"")</f>
        <v/>
      </c>
      <c r="G675" s="59" t="str">
        <f aca="false">IFERROR(IF([1]对账明细接口!$G$675=0,"",[1]对账明细接口!$G$675),"")</f>
        <v/>
      </c>
      <c r="H675" s="60" t="str">
        <f aca="false">IFERROR(IF([1]对账明细接口!$H$675=0,"",[1]对账明细接口!$H$675),"")</f>
        <v/>
      </c>
      <c r="I675" s="59" t="str">
        <f aca="false">IFERROR(IF([1]对账明细接口!$I$675=0,"",[1]对账明细接口!$I$675),"")</f>
        <v/>
      </c>
      <c r="J675" s="61" t="str">
        <f aca="false">IFERROR(IF([1]对账明细接口!$J$675=0,"",[1]对账明细接口!$J$675),"")</f>
        <v/>
      </c>
      <c r="K675" s="61" t="str">
        <f aca="false">IFERROR(IF([1]对账明细接口!$K$675=0,"",[1]对账明细接口!$K$675),"")</f>
        <v/>
      </c>
      <c r="L675" s="59" t="str">
        <f aca="false">IFERROR(IF([1]对账明细接口!$L$675=0,"",[1]对账明细接口!$L$675),"")</f>
        <v/>
      </c>
      <c r="M675" s="59" t="str">
        <f aca="false">IFERROR(IF([1]对账明细接口!$M$675=0,"",[1]对账明细接口!$M$675),"")</f>
        <v/>
      </c>
      <c r="N675" s="111" t="n">
        <f aca="false">IF($C675="",0,1)</f>
        <v>0</v>
      </c>
      <c r="O675" s="111" t="n">
        <f aca="false">N(O674)+$N675</f>
        <v>110</v>
      </c>
      <c r="S675" s="10" t="str">
        <f aca="false">IFERROR(IF([1]对账明细接口!$N675=0,"",[1]对账明细接口!$N675),"")</f>
        <v/>
      </c>
      <c r="T675" s="112" t="str">
        <f aca="false">IFERROR(IF([1]对账明细接口!$O675=0,"",[1]对账明细接口!$O675),"")</f>
        <v/>
      </c>
      <c r="U675" s="112" t="str">
        <f aca="false">IFERROR(IF([1]对账明细接口!$P675=0,"",[1]对账明细接口!$P675),"")</f>
        <v/>
      </c>
      <c r="V675" s="112" t="str">
        <f aca="false">IFERROR(IF([1]对账明细接口!$Q675=0,"",[1]对账明细接口!$Q675),"")</f>
        <v/>
      </c>
      <c r="W675" s="10" t="str">
        <f aca="false">IFERROR(IF([1]对账明细接口!$R675=0,"",[1]对账明细接口!$R675),"")</f>
        <v/>
      </c>
      <c r="X675" s="10" t="str">
        <f aca="false">IFERROR(IF([1]对账明细接口!$S675=0,"",[1]对账明细接口!$S675),"")</f>
        <v/>
      </c>
      <c r="Y675" s="10" t="str">
        <f aca="false">""</f>
        <v/>
      </c>
      <c r="Z675" s="10" t="str">
        <f aca="false">""</f>
        <v/>
      </c>
      <c r="AA675" s="10" t="str">
        <f aca="false">""</f>
        <v/>
      </c>
      <c r="AB675" s="10" t="str">
        <f aca="false">""</f>
        <v/>
      </c>
    </row>
    <row r="676" customFormat="false" ht="13.5" hidden="false" customHeight="false" outlineLevel="0" collapsed="false">
      <c r="A676" s="109" t="n">
        <v>676</v>
      </c>
      <c r="B676" s="110" t="str">
        <f aca="false">IFERROR(IF([1]对账明细接口!$B$676=0,"",[1]对账明细接口!$B$676),"")</f>
        <v/>
      </c>
      <c r="C676" s="59" t="str">
        <f aca="false">IFERROR(IF([1]对账明细接口!$C$676=0,"",[1]对账明细接口!$C$676),"")</f>
        <v/>
      </c>
      <c r="D676" s="59" t="str">
        <f aca="false">IFERROR(IF([1]对账明细接口!$D$676=0,"",[1]对账明细接口!$D$676),"")</f>
        <v/>
      </c>
      <c r="E676" s="59" t="str">
        <f aca="false">IFERROR(IF([1]对账明细接口!$E$676=0,"",[1]对账明细接口!$E$676),"")</f>
        <v/>
      </c>
      <c r="F676" s="59" t="str">
        <f aca="false">IFERROR(IF([1]对账明细接口!$F$676=0,"",[1]对账明细接口!$F$676),"")</f>
        <v/>
      </c>
      <c r="G676" s="59" t="str">
        <f aca="false">IFERROR(IF([1]对账明细接口!$G$676=0,"",[1]对账明细接口!$G$676),"")</f>
        <v/>
      </c>
      <c r="H676" s="60" t="str">
        <f aca="false">IFERROR(IF([1]对账明细接口!$H$676=0,"",[1]对账明细接口!$H$676),"")</f>
        <v/>
      </c>
      <c r="I676" s="59" t="str">
        <f aca="false">IFERROR(IF([1]对账明细接口!$I$676=0,"",[1]对账明细接口!$I$676),"")</f>
        <v/>
      </c>
      <c r="J676" s="61" t="str">
        <f aca="false">IFERROR(IF([1]对账明细接口!$J$676=0,"",[1]对账明细接口!$J$676),"")</f>
        <v/>
      </c>
      <c r="K676" s="61" t="str">
        <f aca="false">IFERROR(IF([1]对账明细接口!$K$676=0,"",[1]对账明细接口!$K$676),"")</f>
        <v/>
      </c>
      <c r="L676" s="59" t="str">
        <f aca="false">IFERROR(IF([1]对账明细接口!$L$676=0,"",[1]对账明细接口!$L$676),"")</f>
        <v/>
      </c>
      <c r="M676" s="59" t="str">
        <f aca="false">IFERROR(IF([1]对账明细接口!$M$676=0,"",[1]对账明细接口!$M$676),"")</f>
        <v/>
      </c>
      <c r="N676" s="111" t="n">
        <f aca="false">IF($C676="",0,1)</f>
        <v>0</v>
      </c>
      <c r="O676" s="111" t="n">
        <f aca="false">N(O675)+$N676</f>
        <v>110</v>
      </c>
      <c r="S676" s="10" t="str">
        <f aca="false">IFERROR(IF([1]对账明细接口!$N676=0,"",[1]对账明细接口!$N676),"")</f>
        <v/>
      </c>
      <c r="T676" s="112" t="str">
        <f aca="false">IFERROR(IF([1]对账明细接口!$O676=0,"",[1]对账明细接口!$O676),"")</f>
        <v/>
      </c>
      <c r="U676" s="112" t="str">
        <f aca="false">IFERROR(IF([1]对账明细接口!$P676=0,"",[1]对账明细接口!$P676),"")</f>
        <v/>
      </c>
      <c r="V676" s="112" t="str">
        <f aca="false">IFERROR(IF([1]对账明细接口!$Q676=0,"",[1]对账明细接口!$Q676),"")</f>
        <v/>
      </c>
      <c r="W676" s="10" t="str">
        <f aca="false">IFERROR(IF([1]对账明细接口!$R676=0,"",[1]对账明细接口!$R676),"")</f>
        <v/>
      </c>
      <c r="X676" s="10" t="str">
        <f aca="false">IFERROR(IF([1]对账明细接口!$S676=0,"",[1]对账明细接口!$S676),"")</f>
        <v/>
      </c>
      <c r="Y676" s="10" t="str">
        <f aca="false">""</f>
        <v/>
      </c>
      <c r="Z676" s="10" t="str">
        <f aca="false">""</f>
        <v/>
      </c>
      <c r="AA676" s="10" t="str">
        <f aca="false">""</f>
        <v/>
      </c>
      <c r="AB676" s="10" t="str">
        <f aca="false">""</f>
        <v/>
      </c>
    </row>
    <row r="677" customFormat="false" ht="13.5" hidden="false" customHeight="false" outlineLevel="0" collapsed="false">
      <c r="A677" s="109" t="n">
        <v>677</v>
      </c>
      <c r="B677" s="110" t="str">
        <f aca="false">IFERROR(IF([1]对账明细接口!$B$677=0,"",[1]对账明细接口!$B$677),"")</f>
        <v/>
      </c>
      <c r="C677" s="59" t="str">
        <f aca="false">IFERROR(IF([1]对账明细接口!$C$677=0,"",[1]对账明细接口!$C$677),"")</f>
        <v/>
      </c>
      <c r="D677" s="59" t="str">
        <f aca="false">IFERROR(IF([1]对账明细接口!$D$677=0,"",[1]对账明细接口!$D$677),"")</f>
        <v/>
      </c>
      <c r="E677" s="59" t="str">
        <f aca="false">IFERROR(IF([1]对账明细接口!$E$677=0,"",[1]对账明细接口!$E$677),"")</f>
        <v/>
      </c>
      <c r="F677" s="59" t="str">
        <f aca="false">IFERROR(IF([1]对账明细接口!$F$677=0,"",[1]对账明细接口!$F$677),"")</f>
        <v/>
      </c>
      <c r="G677" s="59" t="str">
        <f aca="false">IFERROR(IF([1]对账明细接口!$G$677=0,"",[1]对账明细接口!$G$677),"")</f>
        <v/>
      </c>
      <c r="H677" s="60" t="str">
        <f aca="false">IFERROR(IF([1]对账明细接口!$H$677=0,"",[1]对账明细接口!$H$677),"")</f>
        <v/>
      </c>
      <c r="I677" s="59" t="str">
        <f aca="false">IFERROR(IF([1]对账明细接口!$I$677=0,"",[1]对账明细接口!$I$677),"")</f>
        <v/>
      </c>
      <c r="J677" s="61" t="str">
        <f aca="false">IFERROR(IF([1]对账明细接口!$J$677=0,"",[1]对账明细接口!$J$677),"")</f>
        <v/>
      </c>
      <c r="K677" s="61" t="str">
        <f aca="false">IFERROR(IF([1]对账明细接口!$K$677=0,"",[1]对账明细接口!$K$677),"")</f>
        <v/>
      </c>
      <c r="L677" s="59" t="str">
        <f aca="false">IFERROR(IF([1]对账明细接口!$L$677=0,"",[1]对账明细接口!$L$677),"")</f>
        <v/>
      </c>
      <c r="M677" s="59" t="str">
        <f aca="false">IFERROR(IF([1]对账明细接口!$M$677=0,"",[1]对账明细接口!$M$677),"")</f>
        <v/>
      </c>
      <c r="N677" s="111" t="n">
        <f aca="false">IF($C677="",0,1)</f>
        <v>0</v>
      </c>
      <c r="O677" s="111" t="n">
        <f aca="false">N(O676)+$N677</f>
        <v>110</v>
      </c>
      <c r="S677" s="10" t="str">
        <f aca="false">IFERROR(IF([1]对账明细接口!$N677=0,"",[1]对账明细接口!$N677),"")</f>
        <v/>
      </c>
      <c r="T677" s="112" t="str">
        <f aca="false">IFERROR(IF([1]对账明细接口!$O677=0,"",[1]对账明细接口!$O677),"")</f>
        <v/>
      </c>
      <c r="U677" s="112" t="str">
        <f aca="false">IFERROR(IF([1]对账明细接口!$P677=0,"",[1]对账明细接口!$P677),"")</f>
        <v/>
      </c>
      <c r="V677" s="112" t="str">
        <f aca="false">IFERROR(IF([1]对账明细接口!$Q677=0,"",[1]对账明细接口!$Q677),"")</f>
        <v/>
      </c>
      <c r="W677" s="10" t="str">
        <f aca="false">IFERROR(IF([1]对账明细接口!$R677=0,"",[1]对账明细接口!$R677),"")</f>
        <v/>
      </c>
      <c r="X677" s="10" t="str">
        <f aca="false">IFERROR(IF([1]对账明细接口!$S677=0,"",[1]对账明细接口!$S677),"")</f>
        <v/>
      </c>
      <c r="Y677" s="10" t="str">
        <f aca="false">""</f>
        <v/>
      </c>
      <c r="Z677" s="10" t="str">
        <f aca="false">""</f>
        <v/>
      </c>
      <c r="AA677" s="10" t="str">
        <f aca="false">""</f>
        <v/>
      </c>
      <c r="AB677" s="10" t="str">
        <f aca="false">""</f>
        <v/>
      </c>
    </row>
    <row r="678" customFormat="false" ht="13.5" hidden="false" customHeight="false" outlineLevel="0" collapsed="false">
      <c r="A678" s="109" t="n">
        <v>678</v>
      </c>
      <c r="B678" s="110" t="str">
        <f aca="false">IFERROR(IF([1]对账明细接口!$B$678=0,"",[1]对账明细接口!$B$678),"")</f>
        <v/>
      </c>
      <c r="C678" s="59" t="str">
        <f aca="false">IFERROR(IF([1]对账明细接口!$C$678=0,"",[1]对账明细接口!$C$678),"")</f>
        <v/>
      </c>
      <c r="D678" s="59" t="str">
        <f aca="false">IFERROR(IF([1]对账明细接口!$D$678=0,"",[1]对账明细接口!$D$678),"")</f>
        <v/>
      </c>
      <c r="E678" s="59" t="str">
        <f aca="false">IFERROR(IF([1]对账明细接口!$E$678=0,"",[1]对账明细接口!$E$678),"")</f>
        <v/>
      </c>
      <c r="F678" s="59" t="str">
        <f aca="false">IFERROR(IF([1]对账明细接口!$F$678=0,"",[1]对账明细接口!$F$678),"")</f>
        <v/>
      </c>
      <c r="G678" s="59" t="str">
        <f aca="false">IFERROR(IF([1]对账明细接口!$G$678=0,"",[1]对账明细接口!$G$678),"")</f>
        <v/>
      </c>
      <c r="H678" s="60" t="str">
        <f aca="false">IFERROR(IF([1]对账明细接口!$H$678=0,"",[1]对账明细接口!$H$678),"")</f>
        <v/>
      </c>
      <c r="I678" s="59" t="str">
        <f aca="false">IFERROR(IF([1]对账明细接口!$I$678=0,"",[1]对账明细接口!$I$678),"")</f>
        <v/>
      </c>
      <c r="J678" s="61" t="str">
        <f aca="false">IFERROR(IF([1]对账明细接口!$J$678=0,"",[1]对账明细接口!$J$678),"")</f>
        <v/>
      </c>
      <c r="K678" s="61" t="str">
        <f aca="false">IFERROR(IF([1]对账明细接口!$K$678=0,"",[1]对账明细接口!$K$678),"")</f>
        <v/>
      </c>
      <c r="L678" s="59" t="str">
        <f aca="false">IFERROR(IF([1]对账明细接口!$L$678=0,"",[1]对账明细接口!$L$678),"")</f>
        <v/>
      </c>
      <c r="M678" s="59" t="str">
        <f aca="false">IFERROR(IF([1]对账明细接口!$M$678=0,"",[1]对账明细接口!$M$678),"")</f>
        <v/>
      </c>
      <c r="N678" s="111" t="n">
        <f aca="false">IF($C678="",0,1)</f>
        <v>0</v>
      </c>
      <c r="O678" s="111" t="n">
        <f aca="false">N(O677)+$N678</f>
        <v>110</v>
      </c>
      <c r="S678" s="10" t="str">
        <f aca="false">IFERROR(IF([1]对账明细接口!$N678=0,"",[1]对账明细接口!$N678),"")</f>
        <v/>
      </c>
      <c r="T678" s="112" t="str">
        <f aca="false">IFERROR(IF([1]对账明细接口!$O678=0,"",[1]对账明细接口!$O678),"")</f>
        <v/>
      </c>
      <c r="U678" s="112" t="str">
        <f aca="false">IFERROR(IF([1]对账明细接口!$P678=0,"",[1]对账明细接口!$P678),"")</f>
        <v/>
      </c>
      <c r="V678" s="112" t="str">
        <f aca="false">IFERROR(IF([1]对账明细接口!$Q678=0,"",[1]对账明细接口!$Q678),"")</f>
        <v/>
      </c>
      <c r="W678" s="10" t="str">
        <f aca="false">IFERROR(IF([1]对账明细接口!$R678=0,"",[1]对账明细接口!$R678),"")</f>
        <v/>
      </c>
      <c r="X678" s="10" t="str">
        <f aca="false">IFERROR(IF([1]对账明细接口!$S678=0,"",[1]对账明细接口!$S678),"")</f>
        <v/>
      </c>
      <c r="Y678" s="10" t="str">
        <f aca="false">""</f>
        <v/>
      </c>
      <c r="Z678" s="10" t="str">
        <f aca="false">""</f>
        <v/>
      </c>
      <c r="AA678" s="10" t="str">
        <f aca="false">""</f>
        <v/>
      </c>
      <c r="AB678" s="10" t="str">
        <f aca="false">""</f>
        <v/>
      </c>
    </row>
    <row r="679" customFormat="false" ht="13.5" hidden="false" customHeight="false" outlineLevel="0" collapsed="false">
      <c r="A679" s="109" t="n">
        <v>679</v>
      </c>
      <c r="B679" s="110" t="str">
        <f aca="false">IFERROR(IF([1]对账明细接口!$B$679=0,"",[1]对账明细接口!$B$679),"")</f>
        <v/>
      </c>
      <c r="C679" s="59" t="str">
        <f aca="false">IFERROR(IF([1]对账明细接口!$C$679=0,"",[1]对账明细接口!$C$679),"")</f>
        <v/>
      </c>
      <c r="D679" s="59" t="str">
        <f aca="false">IFERROR(IF([1]对账明细接口!$D$679=0,"",[1]对账明细接口!$D$679),"")</f>
        <v/>
      </c>
      <c r="E679" s="59" t="str">
        <f aca="false">IFERROR(IF([1]对账明细接口!$E$679=0,"",[1]对账明细接口!$E$679),"")</f>
        <v/>
      </c>
      <c r="F679" s="59" t="str">
        <f aca="false">IFERROR(IF([1]对账明细接口!$F$679=0,"",[1]对账明细接口!$F$679),"")</f>
        <v/>
      </c>
      <c r="G679" s="59" t="str">
        <f aca="false">IFERROR(IF([1]对账明细接口!$G$679=0,"",[1]对账明细接口!$G$679),"")</f>
        <v/>
      </c>
      <c r="H679" s="60" t="str">
        <f aca="false">IFERROR(IF([1]对账明细接口!$H$679=0,"",[1]对账明细接口!$H$679),"")</f>
        <v/>
      </c>
      <c r="I679" s="59" t="str">
        <f aca="false">IFERROR(IF([1]对账明细接口!$I$679=0,"",[1]对账明细接口!$I$679),"")</f>
        <v/>
      </c>
      <c r="J679" s="61" t="str">
        <f aca="false">IFERROR(IF([1]对账明细接口!$J$679=0,"",[1]对账明细接口!$J$679),"")</f>
        <v/>
      </c>
      <c r="K679" s="61" t="str">
        <f aca="false">IFERROR(IF([1]对账明细接口!$K$679=0,"",[1]对账明细接口!$K$679),"")</f>
        <v/>
      </c>
      <c r="L679" s="59" t="str">
        <f aca="false">IFERROR(IF([1]对账明细接口!$L$679=0,"",[1]对账明细接口!$L$679),"")</f>
        <v/>
      </c>
      <c r="M679" s="59" t="str">
        <f aca="false">IFERROR(IF([1]对账明细接口!$M$679=0,"",[1]对账明细接口!$M$679),"")</f>
        <v/>
      </c>
      <c r="N679" s="111" t="n">
        <f aca="false">IF($C679="",0,1)</f>
        <v>0</v>
      </c>
      <c r="O679" s="111" t="n">
        <f aca="false">N(O678)+$N679</f>
        <v>110</v>
      </c>
      <c r="S679" s="10" t="str">
        <f aca="false">IFERROR(IF([1]对账明细接口!$N679=0,"",[1]对账明细接口!$N679),"")</f>
        <v/>
      </c>
      <c r="T679" s="112" t="str">
        <f aca="false">IFERROR(IF([1]对账明细接口!$O679=0,"",[1]对账明细接口!$O679),"")</f>
        <v/>
      </c>
      <c r="U679" s="112" t="str">
        <f aca="false">IFERROR(IF([1]对账明细接口!$P679=0,"",[1]对账明细接口!$P679),"")</f>
        <v/>
      </c>
      <c r="V679" s="112" t="str">
        <f aca="false">IFERROR(IF([1]对账明细接口!$Q679=0,"",[1]对账明细接口!$Q679),"")</f>
        <v/>
      </c>
      <c r="W679" s="10" t="str">
        <f aca="false">IFERROR(IF([1]对账明细接口!$R679=0,"",[1]对账明细接口!$R679),"")</f>
        <v/>
      </c>
      <c r="X679" s="10" t="str">
        <f aca="false">IFERROR(IF([1]对账明细接口!$S679=0,"",[1]对账明细接口!$S679),"")</f>
        <v/>
      </c>
      <c r="Y679" s="10" t="str">
        <f aca="false">""</f>
        <v/>
      </c>
      <c r="Z679" s="10" t="str">
        <f aca="false">""</f>
        <v/>
      </c>
      <c r="AA679" s="10" t="str">
        <f aca="false">""</f>
        <v/>
      </c>
      <c r="AB679" s="10" t="str">
        <f aca="false">""</f>
        <v/>
      </c>
    </row>
    <row r="680" customFormat="false" ht="13.5" hidden="false" customHeight="false" outlineLevel="0" collapsed="false">
      <c r="A680" s="109" t="n">
        <v>680</v>
      </c>
      <c r="B680" s="110" t="str">
        <f aca="false">IFERROR(IF([1]对账明细接口!$B$680=0,"",[1]对账明细接口!$B$680),"")</f>
        <v/>
      </c>
      <c r="C680" s="59" t="str">
        <f aca="false">IFERROR(IF([1]对账明细接口!$C$680=0,"",[1]对账明细接口!$C$680),"")</f>
        <v/>
      </c>
      <c r="D680" s="59" t="str">
        <f aca="false">IFERROR(IF([1]对账明细接口!$D$680=0,"",[1]对账明细接口!$D$680),"")</f>
        <v/>
      </c>
      <c r="E680" s="59" t="str">
        <f aca="false">IFERROR(IF([1]对账明细接口!$E$680=0,"",[1]对账明细接口!$E$680),"")</f>
        <v/>
      </c>
      <c r="F680" s="59" t="str">
        <f aca="false">IFERROR(IF([1]对账明细接口!$F$680=0,"",[1]对账明细接口!$F$680),"")</f>
        <v/>
      </c>
      <c r="G680" s="59" t="str">
        <f aca="false">IFERROR(IF([1]对账明细接口!$G$680=0,"",[1]对账明细接口!$G$680),"")</f>
        <v/>
      </c>
      <c r="H680" s="60" t="str">
        <f aca="false">IFERROR(IF([1]对账明细接口!$H$680=0,"",[1]对账明细接口!$H$680),"")</f>
        <v/>
      </c>
      <c r="I680" s="59" t="str">
        <f aca="false">IFERROR(IF([1]对账明细接口!$I$680=0,"",[1]对账明细接口!$I$680),"")</f>
        <v/>
      </c>
      <c r="J680" s="61" t="str">
        <f aca="false">IFERROR(IF([1]对账明细接口!$J$680=0,"",[1]对账明细接口!$J$680),"")</f>
        <v/>
      </c>
      <c r="K680" s="61" t="str">
        <f aca="false">IFERROR(IF([1]对账明细接口!$K$680=0,"",[1]对账明细接口!$K$680),"")</f>
        <v/>
      </c>
      <c r="L680" s="59" t="str">
        <f aca="false">IFERROR(IF([1]对账明细接口!$L$680=0,"",[1]对账明细接口!$L$680),"")</f>
        <v/>
      </c>
      <c r="M680" s="59" t="str">
        <f aca="false">IFERROR(IF([1]对账明细接口!$M$680=0,"",[1]对账明细接口!$M$680),"")</f>
        <v/>
      </c>
      <c r="N680" s="111" t="n">
        <f aca="false">IF($C680="",0,1)</f>
        <v>0</v>
      </c>
      <c r="O680" s="111" t="n">
        <f aca="false">N(O679)+$N680</f>
        <v>110</v>
      </c>
      <c r="S680" s="10" t="str">
        <f aca="false">IFERROR(IF([1]对账明细接口!$N680=0,"",[1]对账明细接口!$N680),"")</f>
        <v/>
      </c>
      <c r="T680" s="112" t="str">
        <f aca="false">IFERROR(IF([1]对账明细接口!$O680=0,"",[1]对账明细接口!$O680),"")</f>
        <v/>
      </c>
      <c r="U680" s="112" t="str">
        <f aca="false">IFERROR(IF([1]对账明细接口!$P680=0,"",[1]对账明细接口!$P680),"")</f>
        <v/>
      </c>
      <c r="V680" s="112" t="str">
        <f aca="false">IFERROR(IF([1]对账明细接口!$Q680=0,"",[1]对账明细接口!$Q680),"")</f>
        <v/>
      </c>
      <c r="W680" s="10" t="str">
        <f aca="false">IFERROR(IF([1]对账明细接口!$R680=0,"",[1]对账明细接口!$R680),"")</f>
        <v/>
      </c>
      <c r="X680" s="10" t="str">
        <f aca="false">IFERROR(IF([1]对账明细接口!$S680=0,"",[1]对账明细接口!$S680),"")</f>
        <v/>
      </c>
      <c r="Y680" s="10" t="str">
        <f aca="false">""</f>
        <v/>
      </c>
      <c r="Z680" s="10" t="str">
        <f aca="false">""</f>
        <v/>
      </c>
      <c r="AA680" s="10" t="str">
        <f aca="false">""</f>
        <v/>
      </c>
      <c r="AB680" s="10" t="str">
        <f aca="false">""</f>
        <v/>
      </c>
    </row>
    <row r="681" customFormat="false" ht="13.5" hidden="false" customHeight="false" outlineLevel="0" collapsed="false">
      <c r="A681" s="109" t="n">
        <v>681</v>
      </c>
      <c r="B681" s="110" t="str">
        <f aca="false">IFERROR(IF([1]对账明细接口!$B$681=0,"",[1]对账明细接口!$B$681),"")</f>
        <v/>
      </c>
      <c r="C681" s="59" t="str">
        <f aca="false">IFERROR(IF([1]对账明细接口!$C$681=0,"",[1]对账明细接口!$C$681),"")</f>
        <v/>
      </c>
      <c r="D681" s="59" t="str">
        <f aca="false">IFERROR(IF([1]对账明细接口!$D$681=0,"",[1]对账明细接口!$D$681),"")</f>
        <v/>
      </c>
      <c r="E681" s="59" t="str">
        <f aca="false">IFERROR(IF([1]对账明细接口!$E$681=0,"",[1]对账明细接口!$E$681),"")</f>
        <v/>
      </c>
      <c r="F681" s="59" t="str">
        <f aca="false">IFERROR(IF([1]对账明细接口!$F$681=0,"",[1]对账明细接口!$F$681),"")</f>
        <v/>
      </c>
      <c r="G681" s="59" t="str">
        <f aca="false">IFERROR(IF([1]对账明细接口!$G$681=0,"",[1]对账明细接口!$G$681),"")</f>
        <v/>
      </c>
      <c r="H681" s="60" t="str">
        <f aca="false">IFERROR(IF([1]对账明细接口!$H$681=0,"",[1]对账明细接口!$H$681),"")</f>
        <v/>
      </c>
      <c r="I681" s="59" t="str">
        <f aca="false">IFERROR(IF([1]对账明细接口!$I$681=0,"",[1]对账明细接口!$I$681),"")</f>
        <v/>
      </c>
      <c r="J681" s="61" t="str">
        <f aca="false">IFERROR(IF([1]对账明细接口!$J$681=0,"",[1]对账明细接口!$J$681),"")</f>
        <v/>
      </c>
      <c r="K681" s="61" t="str">
        <f aca="false">IFERROR(IF([1]对账明细接口!$K$681=0,"",[1]对账明细接口!$K$681),"")</f>
        <v/>
      </c>
      <c r="L681" s="59" t="str">
        <f aca="false">IFERROR(IF([1]对账明细接口!$L$681=0,"",[1]对账明细接口!$L$681),"")</f>
        <v/>
      </c>
      <c r="M681" s="59" t="str">
        <f aca="false">IFERROR(IF([1]对账明细接口!$M$681=0,"",[1]对账明细接口!$M$681),"")</f>
        <v/>
      </c>
      <c r="N681" s="111" t="n">
        <f aca="false">IF($C681="",0,1)</f>
        <v>0</v>
      </c>
      <c r="O681" s="111" t="n">
        <f aca="false">N(O680)+$N681</f>
        <v>110</v>
      </c>
      <c r="S681" s="10" t="str">
        <f aca="false">IFERROR(IF([1]对账明细接口!$N681=0,"",[1]对账明细接口!$N681),"")</f>
        <v/>
      </c>
      <c r="T681" s="112" t="str">
        <f aca="false">IFERROR(IF([1]对账明细接口!$O681=0,"",[1]对账明细接口!$O681),"")</f>
        <v/>
      </c>
      <c r="U681" s="112" t="str">
        <f aca="false">IFERROR(IF([1]对账明细接口!$P681=0,"",[1]对账明细接口!$P681),"")</f>
        <v/>
      </c>
      <c r="V681" s="112" t="str">
        <f aca="false">IFERROR(IF([1]对账明细接口!$Q681=0,"",[1]对账明细接口!$Q681),"")</f>
        <v/>
      </c>
      <c r="W681" s="10" t="str">
        <f aca="false">IFERROR(IF([1]对账明细接口!$R681=0,"",[1]对账明细接口!$R681),"")</f>
        <v/>
      </c>
      <c r="X681" s="10" t="str">
        <f aca="false">IFERROR(IF([1]对账明细接口!$S681=0,"",[1]对账明细接口!$S681),"")</f>
        <v/>
      </c>
      <c r="Y681" s="10" t="str">
        <f aca="false">""</f>
        <v/>
      </c>
      <c r="Z681" s="10" t="str">
        <f aca="false">""</f>
        <v/>
      </c>
      <c r="AA681" s="10" t="str">
        <f aca="false">""</f>
        <v/>
      </c>
      <c r="AB681" s="10" t="str">
        <f aca="false">""</f>
        <v/>
      </c>
    </row>
    <row r="682" customFormat="false" ht="13.5" hidden="false" customHeight="false" outlineLevel="0" collapsed="false">
      <c r="A682" s="109" t="n">
        <v>682</v>
      </c>
      <c r="B682" s="110" t="str">
        <f aca="false">IFERROR(IF([1]对账明细接口!$B$682=0,"",[1]对账明细接口!$B$682),"")</f>
        <v/>
      </c>
      <c r="C682" s="59" t="str">
        <f aca="false">IFERROR(IF([1]对账明细接口!$C$682=0,"",[1]对账明细接口!$C$682),"")</f>
        <v/>
      </c>
      <c r="D682" s="59" t="str">
        <f aca="false">IFERROR(IF([1]对账明细接口!$D$682=0,"",[1]对账明细接口!$D$682),"")</f>
        <v/>
      </c>
      <c r="E682" s="59" t="str">
        <f aca="false">IFERROR(IF([1]对账明细接口!$E$682=0,"",[1]对账明细接口!$E$682),"")</f>
        <v/>
      </c>
      <c r="F682" s="59" t="str">
        <f aca="false">IFERROR(IF([1]对账明细接口!$F$682=0,"",[1]对账明细接口!$F$682),"")</f>
        <v/>
      </c>
      <c r="G682" s="59" t="str">
        <f aca="false">IFERROR(IF([1]对账明细接口!$G$682=0,"",[1]对账明细接口!$G$682),"")</f>
        <v/>
      </c>
      <c r="H682" s="60" t="str">
        <f aca="false">IFERROR(IF([1]对账明细接口!$H$682=0,"",[1]对账明细接口!$H$682),"")</f>
        <v/>
      </c>
      <c r="I682" s="59" t="str">
        <f aca="false">IFERROR(IF([1]对账明细接口!$I$682=0,"",[1]对账明细接口!$I$682),"")</f>
        <v/>
      </c>
      <c r="J682" s="61" t="str">
        <f aca="false">IFERROR(IF([1]对账明细接口!$J$682=0,"",[1]对账明细接口!$J$682),"")</f>
        <v/>
      </c>
      <c r="K682" s="61" t="str">
        <f aca="false">IFERROR(IF([1]对账明细接口!$K$682=0,"",[1]对账明细接口!$K$682),"")</f>
        <v/>
      </c>
      <c r="L682" s="59" t="str">
        <f aca="false">IFERROR(IF([1]对账明细接口!$L$682=0,"",[1]对账明细接口!$L$682),"")</f>
        <v/>
      </c>
      <c r="M682" s="59" t="str">
        <f aca="false">IFERROR(IF([1]对账明细接口!$M$682=0,"",[1]对账明细接口!$M$682),"")</f>
        <v/>
      </c>
      <c r="N682" s="111" t="n">
        <f aca="false">IF($C682="",0,1)</f>
        <v>0</v>
      </c>
      <c r="O682" s="111" t="n">
        <f aca="false">N(O681)+$N682</f>
        <v>110</v>
      </c>
      <c r="S682" s="10" t="str">
        <f aca="false">IFERROR(IF([1]对账明细接口!$N682=0,"",[1]对账明细接口!$N682),"")</f>
        <v/>
      </c>
      <c r="T682" s="112" t="str">
        <f aca="false">IFERROR(IF([1]对账明细接口!$O682=0,"",[1]对账明细接口!$O682),"")</f>
        <v/>
      </c>
      <c r="U682" s="112" t="str">
        <f aca="false">IFERROR(IF([1]对账明细接口!$P682=0,"",[1]对账明细接口!$P682),"")</f>
        <v/>
      </c>
      <c r="V682" s="112" t="str">
        <f aca="false">IFERROR(IF([1]对账明细接口!$Q682=0,"",[1]对账明细接口!$Q682),"")</f>
        <v/>
      </c>
      <c r="W682" s="10" t="str">
        <f aca="false">IFERROR(IF([1]对账明细接口!$R682=0,"",[1]对账明细接口!$R682),"")</f>
        <v/>
      </c>
      <c r="X682" s="10" t="str">
        <f aca="false">IFERROR(IF([1]对账明细接口!$S682=0,"",[1]对账明细接口!$S682),"")</f>
        <v/>
      </c>
      <c r="Y682" s="10" t="str">
        <f aca="false">""</f>
        <v/>
      </c>
      <c r="Z682" s="10" t="str">
        <f aca="false">""</f>
        <v/>
      </c>
      <c r="AA682" s="10" t="str">
        <f aca="false">""</f>
        <v/>
      </c>
      <c r="AB682" s="10" t="str">
        <f aca="false">""</f>
        <v/>
      </c>
    </row>
    <row r="683" customFormat="false" ht="13.5" hidden="false" customHeight="false" outlineLevel="0" collapsed="false">
      <c r="A683" s="109" t="n">
        <v>683</v>
      </c>
      <c r="B683" s="110" t="str">
        <f aca="false">IFERROR(IF([1]对账明细接口!$B$683=0,"",[1]对账明细接口!$B$683),"")</f>
        <v/>
      </c>
      <c r="C683" s="59" t="str">
        <f aca="false">IFERROR(IF([1]对账明细接口!$C$683=0,"",[1]对账明细接口!$C$683),"")</f>
        <v/>
      </c>
      <c r="D683" s="59" t="str">
        <f aca="false">IFERROR(IF([1]对账明细接口!$D$683=0,"",[1]对账明细接口!$D$683),"")</f>
        <v/>
      </c>
      <c r="E683" s="59" t="str">
        <f aca="false">IFERROR(IF([1]对账明细接口!$E$683=0,"",[1]对账明细接口!$E$683),"")</f>
        <v/>
      </c>
      <c r="F683" s="59" t="str">
        <f aca="false">IFERROR(IF([1]对账明细接口!$F$683=0,"",[1]对账明细接口!$F$683),"")</f>
        <v/>
      </c>
      <c r="G683" s="59" t="str">
        <f aca="false">IFERROR(IF([1]对账明细接口!$G$683=0,"",[1]对账明细接口!$G$683),"")</f>
        <v/>
      </c>
      <c r="H683" s="60" t="str">
        <f aca="false">IFERROR(IF([1]对账明细接口!$H$683=0,"",[1]对账明细接口!$H$683),"")</f>
        <v/>
      </c>
      <c r="I683" s="59" t="str">
        <f aca="false">IFERROR(IF([1]对账明细接口!$I$683=0,"",[1]对账明细接口!$I$683),"")</f>
        <v/>
      </c>
      <c r="J683" s="61" t="str">
        <f aca="false">IFERROR(IF([1]对账明细接口!$J$683=0,"",[1]对账明细接口!$J$683),"")</f>
        <v/>
      </c>
      <c r="K683" s="61" t="str">
        <f aca="false">IFERROR(IF([1]对账明细接口!$K$683=0,"",[1]对账明细接口!$K$683),"")</f>
        <v/>
      </c>
      <c r="L683" s="59" t="str">
        <f aca="false">IFERROR(IF([1]对账明细接口!$L$683=0,"",[1]对账明细接口!$L$683),"")</f>
        <v/>
      </c>
      <c r="M683" s="59" t="str">
        <f aca="false">IFERROR(IF([1]对账明细接口!$M$683=0,"",[1]对账明细接口!$M$683),"")</f>
        <v/>
      </c>
      <c r="N683" s="111" t="n">
        <f aca="false">IF($C683="",0,1)</f>
        <v>0</v>
      </c>
      <c r="O683" s="111" t="n">
        <f aca="false">N(O682)+$N683</f>
        <v>110</v>
      </c>
      <c r="S683" s="10" t="str">
        <f aca="false">IFERROR(IF([1]对账明细接口!$N683=0,"",[1]对账明细接口!$N683),"")</f>
        <v/>
      </c>
      <c r="T683" s="112" t="str">
        <f aca="false">IFERROR(IF([1]对账明细接口!$O683=0,"",[1]对账明细接口!$O683),"")</f>
        <v/>
      </c>
      <c r="U683" s="112" t="str">
        <f aca="false">IFERROR(IF([1]对账明细接口!$P683=0,"",[1]对账明细接口!$P683),"")</f>
        <v/>
      </c>
      <c r="V683" s="112" t="str">
        <f aca="false">IFERROR(IF([1]对账明细接口!$Q683=0,"",[1]对账明细接口!$Q683),"")</f>
        <v/>
      </c>
      <c r="W683" s="10" t="str">
        <f aca="false">IFERROR(IF([1]对账明细接口!$R683=0,"",[1]对账明细接口!$R683),"")</f>
        <v/>
      </c>
      <c r="X683" s="10" t="str">
        <f aca="false">IFERROR(IF([1]对账明细接口!$S683=0,"",[1]对账明细接口!$S683),"")</f>
        <v/>
      </c>
      <c r="Y683" s="10" t="str">
        <f aca="false">""</f>
        <v/>
      </c>
      <c r="Z683" s="10" t="str">
        <f aca="false">""</f>
        <v/>
      </c>
      <c r="AA683" s="10" t="str">
        <f aca="false">""</f>
        <v/>
      </c>
      <c r="AB683" s="10" t="str">
        <f aca="false">""</f>
        <v/>
      </c>
    </row>
    <row r="684" customFormat="false" ht="13.5" hidden="false" customHeight="false" outlineLevel="0" collapsed="false">
      <c r="A684" s="109" t="n">
        <v>684</v>
      </c>
      <c r="B684" s="110" t="str">
        <f aca="false">IFERROR(IF([1]对账明细接口!$B$684=0,"",[1]对账明细接口!$B$684),"")</f>
        <v/>
      </c>
      <c r="C684" s="59" t="str">
        <f aca="false">IFERROR(IF([1]对账明细接口!$C$684=0,"",[1]对账明细接口!$C$684),"")</f>
        <v/>
      </c>
      <c r="D684" s="59" t="str">
        <f aca="false">IFERROR(IF([1]对账明细接口!$D$684=0,"",[1]对账明细接口!$D$684),"")</f>
        <v/>
      </c>
      <c r="E684" s="59" t="str">
        <f aca="false">IFERROR(IF([1]对账明细接口!$E$684=0,"",[1]对账明细接口!$E$684),"")</f>
        <v/>
      </c>
      <c r="F684" s="59" t="str">
        <f aca="false">IFERROR(IF([1]对账明细接口!$F$684=0,"",[1]对账明细接口!$F$684),"")</f>
        <v/>
      </c>
      <c r="G684" s="59" t="str">
        <f aca="false">IFERROR(IF([1]对账明细接口!$G$684=0,"",[1]对账明细接口!$G$684),"")</f>
        <v/>
      </c>
      <c r="H684" s="60" t="str">
        <f aca="false">IFERROR(IF([1]对账明细接口!$H$684=0,"",[1]对账明细接口!$H$684),"")</f>
        <v/>
      </c>
      <c r="I684" s="59" t="str">
        <f aca="false">IFERROR(IF([1]对账明细接口!$I$684=0,"",[1]对账明细接口!$I$684),"")</f>
        <v/>
      </c>
      <c r="J684" s="61" t="str">
        <f aca="false">IFERROR(IF([1]对账明细接口!$J$684=0,"",[1]对账明细接口!$J$684),"")</f>
        <v/>
      </c>
      <c r="K684" s="61" t="str">
        <f aca="false">IFERROR(IF([1]对账明细接口!$K$684=0,"",[1]对账明细接口!$K$684),"")</f>
        <v/>
      </c>
      <c r="L684" s="59" t="str">
        <f aca="false">IFERROR(IF([1]对账明细接口!$L$684=0,"",[1]对账明细接口!$L$684),"")</f>
        <v/>
      </c>
      <c r="M684" s="59" t="str">
        <f aca="false">IFERROR(IF([1]对账明细接口!$M$684=0,"",[1]对账明细接口!$M$684),"")</f>
        <v/>
      </c>
      <c r="N684" s="111" t="n">
        <f aca="false">IF($C684="",0,1)</f>
        <v>0</v>
      </c>
      <c r="O684" s="111" t="n">
        <f aca="false">N(O683)+$N684</f>
        <v>110</v>
      </c>
      <c r="S684" s="10" t="str">
        <f aca="false">IFERROR(IF([1]对账明细接口!$N684=0,"",[1]对账明细接口!$N684),"")</f>
        <v/>
      </c>
      <c r="T684" s="112" t="str">
        <f aca="false">IFERROR(IF([1]对账明细接口!$O684=0,"",[1]对账明细接口!$O684),"")</f>
        <v/>
      </c>
      <c r="U684" s="112" t="str">
        <f aca="false">IFERROR(IF([1]对账明细接口!$P684=0,"",[1]对账明细接口!$P684),"")</f>
        <v/>
      </c>
      <c r="V684" s="112" t="str">
        <f aca="false">IFERROR(IF([1]对账明细接口!$Q684=0,"",[1]对账明细接口!$Q684),"")</f>
        <v/>
      </c>
      <c r="W684" s="10" t="str">
        <f aca="false">IFERROR(IF([1]对账明细接口!$R684=0,"",[1]对账明细接口!$R684),"")</f>
        <v/>
      </c>
      <c r="X684" s="10" t="str">
        <f aca="false">IFERROR(IF([1]对账明细接口!$S684=0,"",[1]对账明细接口!$S684),"")</f>
        <v/>
      </c>
      <c r="Y684" s="10" t="str">
        <f aca="false">""</f>
        <v/>
      </c>
      <c r="Z684" s="10" t="str">
        <f aca="false">""</f>
        <v/>
      </c>
      <c r="AA684" s="10" t="str">
        <f aca="false">""</f>
        <v/>
      </c>
      <c r="AB684" s="10" t="str">
        <f aca="false">""</f>
        <v/>
      </c>
    </row>
    <row r="685" customFormat="false" ht="13.5" hidden="false" customHeight="false" outlineLevel="0" collapsed="false">
      <c r="A685" s="109" t="n">
        <v>685</v>
      </c>
      <c r="B685" s="110" t="str">
        <f aca="false">IFERROR(IF([1]对账明细接口!$B$685=0,"",[1]对账明细接口!$B$685),"")</f>
        <v/>
      </c>
      <c r="C685" s="59" t="str">
        <f aca="false">IFERROR(IF([1]对账明细接口!$C$685=0,"",[1]对账明细接口!$C$685),"")</f>
        <v/>
      </c>
      <c r="D685" s="59" t="str">
        <f aca="false">IFERROR(IF([1]对账明细接口!$D$685=0,"",[1]对账明细接口!$D$685),"")</f>
        <v/>
      </c>
      <c r="E685" s="59" t="str">
        <f aca="false">IFERROR(IF([1]对账明细接口!$E$685=0,"",[1]对账明细接口!$E$685),"")</f>
        <v/>
      </c>
      <c r="F685" s="59" t="str">
        <f aca="false">IFERROR(IF([1]对账明细接口!$F$685=0,"",[1]对账明细接口!$F$685),"")</f>
        <v/>
      </c>
      <c r="G685" s="59" t="str">
        <f aca="false">IFERROR(IF([1]对账明细接口!$G$685=0,"",[1]对账明细接口!$G$685),"")</f>
        <v/>
      </c>
      <c r="H685" s="60" t="str">
        <f aca="false">IFERROR(IF([1]对账明细接口!$H$685=0,"",[1]对账明细接口!$H$685),"")</f>
        <v/>
      </c>
      <c r="I685" s="59" t="str">
        <f aca="false">IFERROR(IF([1]对账明细接口!$I$685=0,"",[1]对账明细接口!$I$685),"")</f>
        <v/>
      </c>
      <c r="J685" s="61" t="str">
        <f aca="false">IFERROR(IF([1]对账明细接口!$J$685=0,"",[1]对账明细接口!$J$685),"")</f>
        <v/>
      </c>
      <c r="K685" s="61" t="str">
        <f aca="false">IFERROR(IF([1]对账明细接口!$K$685=0,"",[1]对账明细接口!$K$685),"")</f>
        <v/>
      </c>
      <c r="L685" s="59" t="str">
        <f aca="false">IFERROR(IF([1]对账明细接口!$L$685=0,"",[1]对账明细接口!$L$685),"")</f>
        <v/>
      </c>
      <c r="M685" s="59" t="str">
        <f aca="false">IFERROR(IF([1]对账明细接口!$M$685=0,"",[1]对账明细接口!$M$685),"")</f>
        <v/>
      </c>
      <c r="N685" s="111" t="n">
        <f aca="false">IF($C685="",0,1)</f>
        <v>0</v>
      </c>
      <c r="O685" s="111" t="n">
        <f aca="false">N(O684)+$N685</f>
        <v>110</v>
      </c>
      <c r="S685" s="10" t="str">
        <f aca="false">IFERROR(IF([1]对账明细接口!$N685=0,"",[1]对账明细接口!$N685),"")</f>
        <v/>
      </c>
      <c r="T685" s="112" t="str">
        <f aca="false">IFERROR(IF([1]对账明细接口!$O685=0,"",[1]对账明细接口!$O685),"")</f>
        <v/>
      </c>
      <c r="U685" s="112" t="str">
        <f aca="false">IFERROR(IF([1]对账明细接口!$P685=0,"",[1]对账明细接口!$P685),"")</f>
        <v/>
      </c>
      <c r="V685" s="112" t="str">
        <f aca="false">IFERROR(IF([1]对账明细接口!$Q685=0,"",[1]对账明细接口!$Q685),"")</f>
        <v/>
      </c>
      <c r="W685" s="10" t="str">
        <f aca="false">IFERROR(IF([1]对账明细接口!$R685=0,"",[1]对账明细接口!$R685),"")</f>
        <v/>
      </c>
      <c r="X685" s="10" t="str">
        <f aca="false">IFERROR(IF([1]对账明细接口!$S685=0,"",[1]对账明细接口!$S685),"")</f>
        <v/>
      </c>
      <c r="Y685" s="10" t="str">
        <f aca="false">""</f>
        <v/>
      </c>
      <c r="Z685" s="10" t="str">
        <f aca="false">""</f>
        <v/>
      </c>
      <c r="AA685" s="10" t="str">
        <f aca="false">""</f>
        <v/>
      </c>
      <c r="AB685" s="10" t="str">
        <f aca="false">""</f>
        <v/>
      </c>
    </row>
    <row r="686" customFormat="false" ht="13.5" hidden="false" customHeight="false" outlineLevel="0" collapsed="false">
      <c r="A686" s="109" t="n">
        <v>686</v>
      </c>
      <c r="B686" s="110" t="str">
        <f aca="false">IFERROR(IF([1]对账明细接口!$B$686=0,"",[1]对账明细接口!$B$686),"")</f>
        <v/>
      </c>
      <c r="C686" s="59" t="str">
        <f aca="false">IFERROR(IF([1]对账明细接口!$C$686=0,"",[1]对账明细接口!$C$686),"")</f>
        <v/>
      </c>
      <c r="D686" s="59" t="str">
        <f aca="false">IFERROR(IF([1]对账明细接口!$D$686=0,"",[1]对账明细接口!$D$686),"")</f>
        <v/>
      </c>
      <c r="E686" s="59" t="str">
        <f aca="false">IFERROR(IF([1]对账明细接口!$E$686=0,"",[1]对账明细接口!$E$686),"")</f>
        <v/>
      </c>
      <c r="F686" s="59" t="str">
        <f aca="false">IFERROR(IF([1]对账明细接口!$F$686=0,"",[1]对账明细接口!$F$686),"")</f>
        <v/>
      </c>
      <c r="G686" s="59" t="str">
        <f aca="false">IFERROR(IF([1]对账明细接口!$G$686=0,"",[1]对账明细接口!$G$686),"")</f>
        <v/>
      </c>
      <c r="H686" s="60" t="str">
        <f aca="false">IFERROR(IF([1]对账明细接口!$H$686=0,"",[1]对账明细接口!$H$686),"")</f>
        <v/>
      </c>
      <c r="I686" s="59" t="str">
        <f aca="false">IFERROR(IF([1]对账明细接口!$I$686=0,"",[1]对账明细接口!$I$686),"")</f>
        <v/>
      </c>
      <c r="J686" s="61" t="str">
        <f aca="false">IFERROR(IF([1]对账明细接口!$J$686=0,"",[1]对账明细接口!$J$686),"")</f>
        <v/>
      </c>
      <c r="K686" s="61" t="str">
        <f aca="false">IFERROR(IF([1]对账明细接口!$K$686=0,"",[1]对账明细接口!$K$686),"")</f>
        <v/>
      </c>
      <c r="L686" s="59" t="str">
        <f aca="false">IFERROR(IF([1]对账明细接口!$L$686=0,"",[1]对账明细接口!$L$686),"")</f>
        <v/>
      </c>
      <c r="M686" s="59" t="str">
        <f aca="false">IFERROR(IF([1]对账明细接口!$M$686=0,"",[1]对账明细接口!$M$686),"")</f>
        <v/>
      </c>
      <c r="N686" s="111" t="n">
        <f aca="false">IF($C686="",0,1)</f>
        <v>0</v>
      </c>
      <c r="O686" s="111" t="n">
        <f aca="false">N(O685)+$N686</f>
        <v>110</v>
      </c>
      <c r="S686" s="10" t="str">
        <f aca="false">IFERROR(IF([1]对账明细接口!$N686=0,"",[1]对账明细接口!$N686),"")</f>
        <v/>
      </c>
      <c r="T686" s="112" t="str">
        <f aca="false">IFERROR(IF([1]对账明细接口!$O686=0,"",[1]对账明细接口!$O686),"")</f>
        <v/>
      </c>
      <c r="U686" s="112" t="str">
        <f aca="false">IFERROR(IF([1]对账明细接口!$P686=0,"",[1]对账明细接口!$P686),"")</f>
        <v/>
      </c>
      <c r="V686" s="112" t="str">
        <f aca="false">IFERROR(IF([1]对账明细接口!$Q686=0,"",[1]对账明细接口!$Q686),"")</f>
        <v/>
      </c>
      <c r="W686" s="10" t="str">
        <f aca="false">IFERROR(IF([1]对账明细接口!$R686=0,"",[1]对账明细接口!$R686),"")</f>
        <v/>
      </c>
      <c r="X686" s="10" t="str">
        <f aca="false">IFERROR(IF([1]对账明细接口!$S686=0,"",[1]对账明细接口!$S686),"")</f>
        <v/>
      </c>
      <c r="Y686" s="10" t="str">
        <f aca="false">""</f>
        <v/>
      </c>
      <c r="Z686" s="10" t="str">
        <f aca="false">""</f>
        <v/>
      </c>
      <c r="AA686" s="10" t="str">
        <f aca="false">""</f>
        <v/>
      </c>
      <c r="AB686" s="10" t="str">
        <f aca="false">""</f>
        <v/>
      </c>
    </row>
    <row r="687" customFormat="false" ht="13.5" hidden="false" customHeight="false" outlineLevel="0" collapsed="false">
      <c r="A687" s="109" t="n">
        <v>687</v>
      </c>
      <c r="B687" s="110" t="str">
        <f aca="false">IFERROR(IF([1]对账明细接口!$B$687=0,"",[1]对账明细接口!$B$687),"")</f>
        <v/>
      </c>
      <c r="C687" s="59" t="str">
        <f aca="false">IFERROR(IF([1]对账明细接口!$C$687=0,"",[1]对账明细接口!$C$687),"")</f>
        <v/>
      </c>
      <c r="D687" s="59" t="str">
        <f aca="false">IFERROR(IF([1]对账明细接口!$D$687=0,"",[1]对账明细接口!$D$687),"")</f>
        <v/>
      </c>
      <c r="E687" s="59" t="str">
        <f aca="false">IFERROR(IF([1]对账明细接口!$E$687=0,"",[1]对账明细接口!$E$687),"")</f>
        <v/>
      </c>
      <c r="F687" s="59" t="str">
        <f aca="false">IFERROR(IF([1]对账明细接口!$F$687=0,"",[1]对账明细接口!$F$687),"")</f>
        <v/>
      </c>
      <c r="G687" s="59" t="str">
        <f aca="false">IFERROR(IF([1]对账明细接口!$G$687=0,"",[1]对账明细接口!$G$687),"")</f>
        <v/>
      </c>
      <c r="H687" s="60" t="str">
        <f aca="false">IFERROR(IF([1]对账明细接口!$H$687=0,"",[1]对账明细接口!$H$687),"")</f>
        <v/>
      </c>
      <c r="I687" s="59" t="str">
        <f aca="false">IFERROR(IF([1]对账明细接口!$I$687=0,"",[1]对账明细接口!$I$687),"")</f>
        <v/>
      </c>
      <c r="J687" s="61" t="str">
        <f aca="false">IFERROR(IF([1]对账明细接口!$J$687=0,"",[1]对账明细接口!$J$687),"")</f>
        <v/>
      </c>
      <c r="K687" s="61" t="str">
        <f aca="false">IFERROR(IF([1]对账明细接口!$K$687=0,"",[1]对账明细接口!$K$687),"")</f>
        <v/>
      </c>
      <c r="L687" s="59" t="str">
        <f aca="false">IFERROR(IF([1]对账明细接口!$L$687=0,"",[1]对账明细接口!$L$687),"")</f>
        <v/>
      </c>
      <c r="M687" s="59" t="str">
        <f aca="false">IFERROR(IF([1]对账明细接口!$M$687=0,"",[1]对账明细接口!$M$687),"")</f>
        <v/>
      </c>
      <c r="N687" s="111" t="n">
        <f aca="false">IF($C687="",0,1)</f>
        <v>0</v>
      </c>
      <c r="O687" s="111" t="n">
        <f aca="false">N(O686)+$N687</f>
        <v>110</v>
      </c>
      <c r="S687" s="10" t="str">
        <f aca="false">IFERROR(IF([1]对账明细接口!$N687=0,"",[1]对账明细接口!$N687),"")</f>
        <v/>
      </c>
      <c r="T687" s="112" t="str">
        <f aca="false">IFERROR(IF([1]对账明细接口!$O687=0,"",[1]对账明细接口!$O687),"")</f>
        <v/>
      </c>
      <c r="U687" s="112" t="str">
        <f aca="false">IFERROR(IF([1]对账明细接口!$P687=0,"",[1]对账明细接口!$P687),"")</f>
        <v/>
      </c>
      <c r="V687" s="112" t="str">
        <f aca="false">IFERROR(IF([1]对账明细接口!$Q687=0,"",[1]对账明细接口!$Q687),"")</f>
        <v/>
      </c>
      <c r="W687" s="10" t="str">
        <f aca="false">IFERROR(IF([1]对账明细接口!$R687=0,"",[1]对账明细接口!$R687),"")</f>
        <v/>
      </c>
      <c r="X687" s="10" t="str">
        <f aca="false">IFERROR(IF([1]对账明细接口!$S687=0,"",[1]对账明细接口!$S687),"")</f>
        <v/>
      </c>
      <c r="Y687" s="10" t="str">
        <f aca="false">""</f>
        <v/>
      </c>
      <c r="Z687" s="10" t="str">
        <f aca="false">""</f>
        <v/>
      </c>
      <c r="AA687" s="10" t="str">
        <f aca="false">""</f>
        <v/>
      </c>
      <c r="AB687" s="10" t="str">
        <f aca="false">""</f>
        <v/>
      </c>
    </row>
    <row r="688" customFormat="false" ht="13.5" hidden="false" customHeight="false" outlineLevel="0" collapsed="false">
      <c r="A688" s="109" t="n">
        <v>688</v>
      </c>
      <c r="B688" s="110" t="str">
        <f aca="false">IFERROR(IF([1]对账明细接口!$B$688=0,"",[1]对账明细接口!$B$688),"")</f>
        <v/>
      </c>
      <c r="C688" s="59" t="str">
        <f aca="false">IFERROR(IF([1]对账明细接口!$C$688=0,"",[1]对账明细接口!$C$688),"")</f>
        <v/>
      </c>
      <c r="D688" s="59" t="str">
        <f aca="false">IFERROR(IF([1]对账明细接口!$D$688=0,"",[1]对账明细接口!$D$688),"")</f>
        <v/>
      </c>
      <c r="E688" s="59" t="str">
        <f aca="false">IFERROR(IF([1]对账明细接口!$E$688=0,"",[1]对账明细接口!$E$688),"")</f>
        <v/>
      </c>
      <c r="F688" s="59" t="str">
        <f aca="false">IFERROR(IF([1]对账明细接口!$F$688=0,"",[1]对账明细接口!$F$688),"")</f>
        <v/>
      </c>
      <c r="G688" s="59" t="str">
        <f aca="false">IFERROR(IF([1]对账明细接口!$G$688=0,"",[1]对账明细接口!$G$688),"")</f>
        <v/>
      </c>
      <c r="H688" s="60" t="str">
        <f aca="false">IFERROR(IF([1]对账明细接口!$H$688=0,"",[1]对账明细接口!$H$688),"")</f>
        <v/>
      </c>
      <c r="I688" s="59" t="str">
        <f aca="false">IFERROR(IF([1]对账明细接口!$I$688=0,"",[1]对账明细接口!$I$688),"")</f>
        <v/>
      </c>
      <c r="J688" s="61" t="str">
        <f aca="false">IFERROR(IF([1]对账明细接口!$J$688=0,"",[1]对账明细接口!$J$688),"")</f>
        <v/>
      </c>
      <c r="K688" s="61" t="str">
        <f aca="false">IFERROR(IF([1]对账明细接口!$K$688=0,"",[1]对账明细接口!$K$688),"")</f>
        <v/>
      </c>
      <c r="L688" s="59" t="str">
        <f aca="false">IFERROR(IF([1]对账明细接口!$L$688=0,"",[1]对账明细接口!$L$688),"")</f>
        <v/>
      </c>
      <c r="M688" s="59" t="str">
        <f aca="false">IFERROR(IF([1]对账明细接口!$M$688=0,"",[1]对账明细接口!$M$688),"")</f>
        <v/>
      </c>
      <c r="N688" s="111" t="n">
        <f aca="false">IF($C688="",0,1)</f>
        <v>0</v>
      </c>
      <c r="O688" s="111" t="n">
        <f aca="false">N(O687)+$N688</f>
        <v>110</v>
      </c>
      <c r="S688" s="10" t="str">
        <f aca="false">IFERROR(IF([1]对账明细接口!$N688=0,"",[1]对账明细接口!$N688),"")</f>
        <v/>
      </c>
      <c r="T688" s="112" t="str">
        <f aca="false">IFERROR(IF([1]对账明细接口!$O688=0,"",[1]对账明细接口!$O688),"")</f>
        <v/>
      </c>
      <c r="U688" s="112" t="str">
        <f aca="false">IFERROR(IF([1]对账明细接口!$P688=0,"",[1]对账明细接口!$P688),"")</f>
        <v/>
      </c>
      <c r="V688" s="112" t="str">
        <f aca="false">IFERROR(IF([1]对账明细接口!$Q688=0,"",[1]对账明细接口!$Q688),"")</f>
        <v/>
      </c>
      <c r="W688" s="10" t="str">
        <f aca="false">IFERROR(IF([1]对账明细接口!$R688=0,"",[1]对账明细接口!$R688),"")</f>
        <v/>
      </c>
      <c r="X688" s="10" t="str">
        <f aca="false">IFERROR(IF([1]对账明细接口!$S688=0,"",[1]对账明细接口!$S688),"")</f>
        <v/>
      </c>
      <c r="Y688" s="10" t="str">
        <f aca="false">""</f>
        <v/>
      </c>
      <c r="Z688" s="10" t="str">
        <f aca="false">""</f>
        <v/>
      </c>
      <c r="AA688" s="10" t="str">
        <f aca="false">""</f>
        <v/>
      </c>
      <c r="AB688" s="10" t="str">
        <f aca="false">""</f>
        <v/>
      </c>
    </row>
    <row r="689" customFormat="false" ht="13.5" hidden="false" customHeight="false" outlineLevel="0" collapsed="false">
      <c r="A689" s="109" t="n">
        <v>689</v>
      </c>
      <c r="B689" s="110" t="str">
        <f aca="false">IFERROR(IF([1]对账明细接口!$B$689=0,"",[1]对账明细接口!$B$689),"")</f>
        <v/>
      </c>
      <c r="C689" s="59" t="str">
        <f aca="false">IFERROR(IF([1]对账明细接口!$C$689=0,"",[1]对账明细接口!$C$689),"")</f>
        <v/>
      </c>
      <c r="D689" s="59" t="str">
        <f aca="false">IFERROR(IF([1]对账明细接口!$D$689=0,"",[1]对账明细接口!$D$689),"")</f>
        <v/>
      </c>
      <c r="E689" s="59" t="str">
        <f aca="false">IFERROR(IF([1]对账明细接口!$E$689=0,"",[1]对账明细接口!$E$689),"")</f>
        <v/>
      </c>
      <c r="F689" s="59" t="str">
        <f aca="false">IFERROR(IF([1]对账明细接口!$F$689=0,"",[1]对账明细接口!$F$689),"")</f>
        <v/>
      </c>
      <c r="G689" s="59" t="str">
        <f aca="false">IFERROR(IF([1]对账明细接口!$G$689=0,"",[1]对账明细接口!$G$689),"")</f>
        <v/>
      </c>
      <c r="H689" s="60" t="str">
        <f aca="false">IFERROR(IF([1]对账明细接口!$H$689=0,"",[1]对账明细接口!$H$689),"")</f>
        <v/>
      </c>
      <c r="I689" s="59" t="str">
        <f aca="false">IFERROR(IF([1]对账明细接口!$I$689=0,"",[1]对账明细接口!$I$689),"")</f>
        <v/>
      </c>
      <c r="J689" s="61" t="str">
        <f aca="false">IFERROR(IF([1]对账明细接口!$J$689=0,"",[1]对账明细接口!$J$689),"")</f>
        <v/>
      </c>
      <c r="K689" s="61" t="str">
        <f aca="false">IFERROR(IF([1]对账明细接口!$K$689=0,"",[1]对账明细接口!$K$689),"")</f>
        <v/>
      </c>
      <c r="L689" s="59" t="str">
        <f aca="false">IFERROR(IF([1]对账明细接口!$L$689=0,"",[1]对账明细接口!$L$689),"")</f>
        <v/>
      </c>
      <c r="M689" s="59" t="str">
        <f aca="false">IFERROR(IF([1]对账明细接口!$M$689=0,"",[1]对账明细接口!$M$689),"")</f>
        <v/>
      </c>
      <c r="N689" s="111" t="n">
        <f aca="false">IF($C689="",0,1)</f>
        <v>0</v>
      </c>
      <c r="O689" s="111" t="n">
        <f aca="false">N(O688)+$N689</f>
        <v>110</v>
      </c>
      <c r="S689" s="10" t="str">
        <f aca="false">IFERROR(IF([1]对账明细接口!$N689=0,"",[1]对账明细接口!$N689),"")</f>
        <v/>
      </c>
      <c r="T689" s="112" t="str">
        <f aca="false">IFERROR(IF([1]对账明细接口!$O689=0,"",[1]对账明细接口!$O689),"")</f>
        <v/>
      </c>
      <c r="U689" s="112" t="str">
        <f aca="false">IFERROR(IF([1]对账明细接口!$P689=0,"",[1]对账明细接口!$P689),"")</f>
        <v/>
      </c>
      <c r="V689" s="112" t="str">
        <f aca="false">IFERROR(IF([1]对账明细接口!$Q689=0,"",[1]对账明细接口!$Q689),"")</f>
        <v/>
      </c>
      <c r="W689" s="10" t="str">
        <f aca="false">IFERROR(IF([1]对账明细接口!$R689=0,"",[1]对账明细接口!$R689),"")</f>
        <v/>
      </c>
      <c r="X689" s="10" t="str">
        <f aca="false">IFERROR(IF([1]对账明细接口!$S689=0,"",[1]对账明细接口!$S689),"")</f>
        <v/>
      </c>
      <c r="Y689" s="10" t="str">
        <f aca="false">""</f>
        <v/>
      </c>
      <c r="Z689" s="10" t="str">
        <f aca="false">""</f>
        <v/>
      </c>
      <c r="AA689" s="10" t="str">
        <f aca="false">""</f>
        <v/>
      </c>
      <c r="AB689" s="10" t="str">
        <f aca="false">""</f>
        <v/>
      </c>
    </row>
    <row r="690" customFormat="false" ht="13.5" hidden="false" customHeight="false" outlineLevel="0" collapsed="false">
      <c r="A690" s="109" t="n">
        <v>690</v>
      </c>
      <c r="B690" s="110" t="str">
        <f aca="false">IFERROR(IF([1]对账明细接口!$B$690=0,"",[1]对账明细接口!$B$690),"")</f>
        <v/>
      </c>
      <c r="C690" s="59" t="str">
        <f aca="false">IFERROR(IF([1]对账明细接口!$C$690=0,"",[1]对账明细接口!$C$690),"")</f>
        <v/>
      </c>
      <c r="D690" s="59" t="str">
        <f aca="false">IFERROR(IF([1]对账明细接口!$D$690=0,"",[1]对账明细接口!$D$690),"")</f>
        <v/>
      </c>
      <c r="E690" s="59" t="str">
        <f aca="false">IFERROR(IF([1]对账明细接口!$E$690=0,"",[1]对账明细接口!$E$690),"")</f>
        <v/>
      </c>
      <c r="F690" s="59" t="str">
        <f aca="false">IFERROR(IF([1]对账明细接口!$F$690=0,"",[1]对账明细接口!$F$690),"")</f>
        <v/>
      </c>
      <c r="G690" s="59" t="str">
        <f aca="false">IFERROR(IF([1]对账明细接口!$G$690=0,"",[1]对账明细接口!$G$690),"")</f>
        <v/>
      </c>
      <c r="H690" s="60" t="str">
        <f aca="false">IFERROR(IF([1]对账明细接口!$H$690=0,"",[1]对账明细接口!$H$690),"")</f>
        <v/>
      </c>
      <c r="I690" s="59" t="str">
        <f aca="false">IFERROR(IF([1]对账明细接口!$I$690=0,"",[1]对账明细接口!$I$690),"")</f>
        <v/>
      </c>
      <c r="J690" s="61" t="str">
        <f aca="false">IFERROR(IF([1]对账明细接口!$J$690=0,"",[1]对账明细接口!$J$690),"")</f>
        <v/>
      </c>
      <c r="K690" s="61" t="str">
        <f aca="false">IFERROR(IF([1]对账明细接口!$K$690=0,"",[1]对账明细接口!$K$690),"")</f>
        <v/>
      </c>
      <c r="L690" s="59" t="str">
        <f aca="false">IFERROR(IF([1]对账明细接口!$L$690=0,"",[1]对账明细接口!$L$690),"")</f>
        <v/>
      </c>
      <c r="M690" s="59" t="str">
        <f aca="false">IFERROR(IF([1]对账明细接口!$M$690=0,"",[1]对账明细接口!$M$690),"")</f>
        <v/>
      </c>
      <c r="N690" s="111" t="n">
        <f aca="false">IF($C690="",0,1)</f>
        <v>0</v>
      </c>
      <c r="O690" s="111" t="n">
        <f aca="false">N(O689)+$N690</f>
        <v>110</v>
      </c>
      <c r="S690" s="10" t="str">
        <f aca="false">IFERROR(IF([1]对账明细接口!$N690=0,"",[1]对账明细接口!$N690),"")</f>
        <v/>
      </c>
      <c r="T690" s="112" t="str">
        <f aca="false">IFERROR(IF([1]对账明细接口!$O690=0,"",[1]对账明细接口!$O690),"")</f>
        <v/>
      </c>
      <c r="U690" s="112" t="str">
        <f aca="false">IFERROR(IF([1]对账明细接口!$P690=0,"",[1]对账明细接口!$P690),"")</f>
        <v/>
      </c>
      <c r="V690" s="112" t="str">
        <f aca="false">IFERROR(IF([1]对账明细接口!$Q690=0,"",[1]对账明细接口!$Q690),"")</f>
        <v/>
      </c>
      <c r="W690" s="10" t="str">
        <f aca="false">IFERROR(IF([1]对账明细接口!$R690=0,"",[1]对账明细接口!$R690),"")</f>
        <v/>
      </c>
      <c r="X690" s="10" t="str">
        <f aca="false">IFERROR(IF([1]对账明细接口!$S690=0,"",[1]对账明细接口!$S690),"")</f>
        <v/>
      </c>
      <c r="Y690" s="10" t="str">
        <f aca="false">""</f>
        <v/>
      </c>
      <c r="Z690" s="10" t="str">
        <f aca="false">""</f>
        <v/>
      </c>
      <c r="AA690" s="10" t="str">
        <f aca="false">""</f>
        <v/>
      </c>
      <c r="AB690" s="10" t="str">
        <f aca="false">""</f>
        <v/>
      </c>
    </row>
    <row r="691" customFormat="false" ht="13.5" hidden="false" customHeight="false" outlineLevel="0" collapsed="false">
      <c r="A691" s="109" t="n">
        <v>691</v>
      </c>
      <c r="B691" s="110" t="str">
        <f aca="false">IFERROR(IF([1]对账明细接口!$B$691=0,"",[1]对账明细接口!$B$691),"")</f>
        <v/>
      </c>
      <c r="C691" s="59" t="str">
        <f aca="false">IFERROR(IF([1]对账明细接口!$C$691=0,"",[1]对账明细接口!$C$691),"")</f>
        <v/>
      </c>
      <c r="D691" s="59" t="str">
        <f aca="false">IFERROR(IF([1]对账明细接口!$D$691=0,"",[1]对账明细接口!$D$691),"")</f>
        <v/>
      </c>
      <c r="E691" s="59" t="str">
        <f aca="false">IFERROR(IF([1]对账明细接口!$E$691=0,"",[1]对账明细接口!$E$691),"")</f>
        <v/>
      </c>
      <c r="F691" s="59" t="str">
        <f aca="false">IFERROR(IF([1]对账明细接口!$F$691=0,"",[1]对账明细接口!$F$691),"")</f>
        <v/>
      </c>
      <c r="G691" s="59" t="str">
        <f aca="false">IFERROR(IF([1]对账明细接口!$G$691=0,"",[1]对账明细接口!$G$691),"")</f>
        <v/>
      </c>
      <c r="H691" s="60" t="str">
        <f aca="false">IFERROR(IF([1]对账明细接口!$H$691=0,"",[1]对账明细接口!$H$691),"")</f>
        <v/>
      </c>
      <c r="I691" s="59" t="str">
        <f aca="false">IFERROR(IF([1]对账明细接口!$I$691=0,"",[1]对账明细接口!$I$691),"")</f>
        <v/>
      </c>
      <c r="J691" s="61" t="str">
        <f aca="false">IFERROR(IF([1]对账明细接口!$J$691=0,"",[1]对账明细接口!$J$691),"")</f>
        <v/>
      </c>
      <c r="K691" s="61" t="str">
        <f aca="false">IFERROR(IF([1]对账明细接口!$K$691=0,"",[1]对账明细接口!$K$691),"")</f>
        <v/>
      </c>
      <c r="L691" s="59" t="str">
        <f aca="false">IFERROR(IF([1]对账明细接口!$L$691=0,"",[1]对账明细接口!$L$691),"")</f>
        <v/>
      </c>
      <c r="M691" s="59" t="str">
        <f aca="false">IFERROR(IF([1]对账明细接口!$M$691=0,"",[1]对账明细接口!$M$691),"")</f>
        <v/>
      </c>
      <c r="N691" s="111" t="n">
        <f aca="false">IF($C691="",0,1)</f>
        <v>0</v>
      </c>
      <c r="O691" s="111" t="n">
        <f aca="false">N(O690)+$N691</f>
        <v>110</v>
      </c>
      <c r="S691" s="10" t="str">
        <f aca="false">IFERROR(IF([1]对账明细接口!$N691=0,"",[1]对账明细接口!$N691),"")</f>
        <v/>
      </c>
      <c r="T691" s="112" t="str">
        <f aca="false">IFERROR(IF([1]对账明细接口!$O691=0,"",[1]对账明细接口!$O691),"")</f>
        <v/>
      </c>
      <c r="U691" s="112" t="str">
        <f aca="false">IFERROR(IF([1]对账明细接口!$P691=0,"",[1]对账明细接口!$P691),"")</f>
        <v/>
      </c>
      <c r="V691" s="112" t="str">
        <f aca="false">IFERROR(IF([1]对账明细接口!$Q691=0,"",[1]对账明细接口!$Q691),"")</f>
        <v/>
      </c>
      <c r="W691" s="10" t="str">
        <f aca="false">IFERROR(IF([1]对账明细接口!$R691=0,"",[1]对账明细接口!$R691),"")</f>
        <v/>
      </c>
      <c r="X691" s="10" t="str">
        <f aca="false">IFERROR(IF([1]对账明细接口!$S691=0,"",[1]对账明细接口!$S691),"")</f>
        <v/>
      </c>
      <c r="Y691" s="10" t="str">
        <f aca="false">""</f>
        <v/>
      </c>
      <c r="Z691" s="10" t="str">
        <f aca="false">""</f>
        <v/>
      </c>
      <c r="AA691" s="10" t="str">
        <f aca="false">""</f>
        <v/>
      </c>
      <c r="AB691" s="10" t="str">
        <f aca="false">""</f>
        <v/>
      </c>
    </row>
    <row r="692" customFormat="false" ht="13.5" hidden="false" customHeight="false" outlineLevel="0" collapsed="false">
      <c r="A692" s="109" t="n">
        <v>692</v>
      </c>
      <c r="B692" s="110" t="str">
        <f aca="false">IFERROR(IF([1]对账明细接口!$B$692=0,"",[1]对账明细接口!$B$692),"")</f>
        <v/>
      </c>
      <c r="C692" s="59" t="str">
        <f aca="false">IFERROR(IF([1]对账明细接口!$C$692=0,"",[1]对账明细接口!$C$692),"")</f>
        <v/>
      </c>
      <c r="D692" s="59" t="str">
        <f aca="false">IFERROR(IF([1]对账明细接口!$D$692=0,"",[1]对账明细接口!$D$692),"")</f>
        <v/>
      </c>
      <c r="E692" s="59" t="str">
        <f aca="false">IFERROR(IF([1]对账明细接口!$E$692=0,"",[1]对账明细接口!$E$692),"")</f>
        <v/>
      </c>
      <c r="F692" s="59" t="str">
        <f aca="false">IFERROR(IF([1]对账明细接口!$F$692=0,"",[1]对账明细接口!$F$692),"")</f>
        <v/>
      </c>
      <c r="G692" s="59" t="str">
        <f aca="false">IFERROR(IF([1]对账明细接口!$G$692=0,"",[1]对账明细接口!$G$692),"")</f>
        <v/>
      </c>
      <c r="H692" s="60" t="str">
        <f aca="false">IFERROR(IF([1]对账明细接口!$H$692=0,"",[1]对账明细接口!$H$692),"")</f>
        <v/>
      </c>
      <c r="I692" s="59" t="str">
        <f aca="false">IFERROR(IF([1]对账明细接口!$I$692=0,"",[1]对账明细接口!$I$692),"")</f>
        <v/>
      </c>
      <c r="J692" s="61" t="str">
        <f aca="false">IFERROR(IF([1]对账明细接口!$J$692=0,"",[1]对账明细接口!$J$692),"")</f>
        <v/>
      </c>
      <c r="K692" s="61" t="str">
        <f aca="false">IFERROR(IF([1]对账明细接口!$K$692=0,"",[1]对账明细接口!$K$692),"")</f>
        <v/>
      </c>
      <c r="L692" s="59" t="str">
        <f aca="false">IFERROR(IF([1]对账明细接口!$L$692=0,"",[1]对账明细接口!$L$692),"")</f>
        <v/>
      </c>
      <c r="M692" s="59" t="str">
        <f aca="false">IFERROR(IF([1]对账明细接口!$M$692=0,"",[1]对账明细接口!$M$692),"")</f>
        <v/>
      </c>
      <c r="N692" s="111" t="n">
        <f aca="false">IF($C692="",0,1)</f>
        <v>0</v>
      </c>
      <c r="O692" s="111" t="n">
        <f aca="false">N(O691)+$N692</f>
        <v>110</v>
      </c>
      <c r="S692" s="10" t="str">
        <f aca="false">IFERROR(IF([1]对账明细接口!$N692=0,"",[1]对账明细接口!$N692),"")</f>
        <v/>
      </c>
      <c r="T692" s="112" t="str">
        <f aca="false">IFERROR(IF([1]对账明细接口!$O692=0,"",[1]对账明细接口!$O692),"")</f>
        <v/>
      </c>
      <c r="U692" s="112" t="str">
        <f aca="false">IFERROR(IF([1]对账明细接口!$P692=0,"",[1]对账明细接口!$P692),"")</f>
        <v/>
      </c>
      <c r="V692" s="112" t="str">
        <f aca="false">IFERROR(IF([1]对账明细接口!$Q692=0,"",[1]对账明细接口!$Q692),"")</f>
        <v/>
      </c>
      <c r="W692" s="10" t="str">
        <f aca="false">IFERROR(IF([1]对账明细接口!$R692=0,"",[1]对账明细接口!$R692),"")</f>
        <v/>
      </c>
      <c r="X692" s="10" t="str">
        <f aca="false">IFERROR(IF([1]对账明细接口!$S692=0,"",[1]对账明细接口!$S692),"")</f>
        <v/>
      </c>
      <c r="Y692" s="10" t="str">
        <f aca="false">""</f>
        <v/>
      </c>
      <c r="Z692" s="10" t="str">
        <f aca="false">""</f>
        <v/>
      </c>
      <c r="AA692" s="10" t="str">
        <f aca="false">""</f>
        <v/>
      </c>
      <c r="AB692" s="10" t="str">
        <f aca="false">""</f>
        <v/>
      </c>
    </row>
    <row r="693" customFormat="false" ht="13.5" hidden="false" customHeight="false" outlineLevel="0" collapsed="false">
      <c r="A693" s="109" t="n">
        <v>693</v>
      </c>
      <c r="B693" s="110" t="str">
        <f aca="false">IFERROR(IF([1]对账明细接口!$B$693=0,"",[1]对账明细接口!$B$693),"")</f>
        <v/>
      </c>
      <c r="C693" s="59" t="str">
        <f aca="false">IFERROR(IF([1]对账明细接口!$C$693=0,"",[1]对账明细接口!$C$693),"")</f>
        <v/>
      </c>
      <c r="D693" s="59" t="str">
        <f aca="false">IFERROR(IF([1]对账明细接口!$D$693=0,"",[1]对账明细接口!$D$693),"")</f>
        <v/>
      </c>
      <c r="E693" s="59" t="str">
        <f aca="false">IFERROR(IF([1]对账明细接口!$E$693=0,"",[1]对账明细接口!$E$693),"")</f>
        <v/>
      </c>
      <c r="F693" s="59" t="str">
        <f aca="false">IFERROR(IF([1]对账明细接口!$F$693=0,"",[1]对账明细接口!$F$693),"")</f>
        <v/>
      </c>
      <c r="G693" s="59" t="str">
        <f aca="false">IFERROR(IF([1]对账明细接口!$G$693=0,"",[1]对账明细接口!$G$693),"")</f>
        <v/>
      </c>
      <c r="H693" s="60" t="str">
        <f aca="false">IFERROR(IF([1]对账明细接口!$H$693=0,"",[1]对账明细接口!$H$693),"")</f>
        <v/>
      </c>
      <c r="I693" s="59" t="str">
        <f aca="false">IFERROR(IF([1]对账明细接口!$I$693=0,"",[1]对账明细接口!$I$693),"")</f>
        <v/>
      </c>
      <c r="J693" s="61" t="str">
        <f aca="false">IFERROR(IF([1]对账明细接口!$J$693=0,"",[1]对账明细接口!$J$693),"")</f>
        <v/>
      </c>
      <c r="K693" s="61" t="str">
        <f aca="false">IFERROR(IF([1]对账明细接口!$K$693=0,"",[1]对账明细接口!$K$693),"")</f>
        <v/>
      </c>
      <c r="L693" s="59" t="str">
        <f aca="false">IFERROR(IF([1]对账明细接口!$L$693=0,"",[1]对账明细接口!$L$693),"")</f>
        <v/>
      </c>
      <c r="M693" s="59" t="str">
        <f aca="false">IFERROR(IF([1]对账明细接口!$M$693=0,"",[1]对账明细接口!$M$693),"")</f>
        <v/>
      </c>
      <c r="N693" s="111" t="n">
        <f aca="false">IF($C693="",0,1)</f>
        <v>0</v>
      </c>
      <c r="O693" s="111" t="n">
        <f aca="false">N(O692)+$N693</f>
        <v>110</v>
      </c>
      <c r="S693" s="10" t="str">
        <f aca="false">IFERROR(IF([1]对账明细接口!$N693=0,"",[1]对账明细接口!$N693),"")</f>
        <v/>
      </c>
      <c r="T693" s="112" t="str">
        <f aca="false">IFERROR(IF([1]对账明细接口!$O693=0,"",[1]对账明细接口!$O693),"")</f>
        <v/>
      </c>
      <c r="U693" s="112" t="str">
        <f aca="false">IFERROR(IF([1]对账明细接口!$P693=0,"",[1]对账明细接口!$P693),"")</f>
        <v/>
      </c>
      <c r="V693" s="112" t="str">
        <f aca="false">IFERROR(IF([1]对账明细接口!$Q693=0,"",[1]对账明细接口!$Q693),"")</f>
        <v/>
      </c>
      <c r="W693" s="10" t="str">
        <f aca="false">IFERROR(IF([1]对账明细接口!$R693=0,"",[1]对账明细接口!$R693),"")</f>
        <v/>
      </c>
      <c r="X693" s="10" t="str">
        <f aca="false">IFERROR(IF([1]对账明细接口!$S693=0,"",[1]对账明细接口!$S693),"")</f>
        <v/>
      </c>
      <c r="Y693" s="10" t="str">
        <f aca="false">""</f>
        <v/>
      </c>
      <c r="Z693" s="10" t="str">
        <f aca="false">""</f>
        <v/>
      </c>
      <c r="AA693" s="10" t="str">
        <f aca="false">""</f>
        <v/>
      </c>
      <c r="AB693" s="10" t="str">
        <f aca="false">""</f>
        <v/>
      </c>
    </row>
    <row r="694" customFormat="false" ht="13.5" hidden="false" customHeight="false" outlineLevel="0" collapsed="false">
      <c r="A694" s="109" t="n">
        <v>694</v>
      </c>
      <c r="B694" s="110" t="str">
        <f aca="false">IFERROR(IF([1]对账明细接口!$B$694=0,"",[1]对账明细接口!$B$694),"")</f>
        <v/>
      </c>
      <c r="C694" s="59" t="str">
        <f aca="false">IFERROR(IF([1]对账明细接口!$C$694=0,"",[1]对账明细接口!$C$694),"")</f>
        <v/>
      </c>
      <c r="D694" s="59" t="str">
        <f aca="false">IFERROR(IF([1]对账明细接口!$D$694=0,"",[1]对账明细接口!$D$694),"")</f>
        <v/>
      </c>
      <c r="E694" s="59" t="str">
        <f aca="false">IFERROR(IF([1]对账明细接口!$E$694=0,"",[1]对账明细接口!$E$694),"")</f>
        <v/>
      </c>
      <c r="F694" s="59" t="str">
        <f aca="false">IFERROR(IF([1]对账明细接口!$F$694=0,"",[1]对账明细接口!$F$694),"")</f>
        <v/>
      </c>
      <c r="G694" s="59" t="str">
        <f aca="false">IFERROR(IF([1]对账明细接口!$G$694=0,"",[1]对账明细接口!$G$694),"")</f>
        <v/>
      </c>
      <c r="H694" s="60" t="str">
        <f aca="false">IFERROR(IF([1]对账明细接口!$H$694=0,"",[1]对账明细接口!$H$694),"")</f>
        <v/>
      </c>
      <c r="I694" s="59" t="str">
        <f aca="false">IFERROR(IF([1]对账明细接口!$I$694=0,"",[1]对账明细接口!$I$694),"")</f>
        <v/>
      </c>
      <c r="J694" s="61" t="str">
        <f aca="false">IFERROR(IF([1]对账明细接口!$J$694=0,"",[1]对账明细接口!$J$694),"")</f>
        <v/>
      </c>
      <c r="K694" s="61" t="str">
        <f aca="false">IFERROR(IF([1]对账明细接口!$K$694=0,"",[1]对账明细接口!$K$694),"")</f>
        <v/>
      </c>
      <c r="L694" s="59" t="str">
        <f aca="false">IFERROR(IF([1]对账明细接口!$L$694=0,"",[1]对账明细接口!$L$694),"")</f>
        <v/>
      </c>
      <c r="M694" s="59" t="str">
        <f aca="false">IFERROR(IF([1]对账明细接口!$M$694=0,"",[1]对账明细接口!$M$694),"")</f>
        <v/>
      </c>
      <c r="N694" s="111" t="n">
        <f aca="false">IF($C694="",0,1)</f>
        <v>0</v>
      </c>
      <c r="O694" s="111" t="n">
        <f aca="false">N(O693)+$N694</f>
        <v>110</v>
      </c>
      <c r="S694" s="10" t="str">
        <f aca="false">IFERROR(IF([1]对账明细接口!$N694=0,"",[1]对账明细接口!$N694),"")</f>
        <v/>
      </c>
      <c r="T694" s="112" t="str">
        <f aca="false">IFERROR(IF([1]对账明细接口!$O694=0,"",[1]对账明细接口!$O694),"")</f>
        <v/>
      </c>
      <c r="U694" s="112" t="str">
        <f aca="false">IFERROR(IF([1]对账明细接口!$P694=0,"",[1]对账明细接口!$P694),"")</f>
        <v/>
      </c>
      <c r="V694" s="112" t="str">
        <f aca="false">IFERROR(IF([1]对账明细接口!$Q694=0,"",[1]对账明细接口!$Q694),"")</f>
        <v/>
      </c>
      <c r="W694" s="10" t="str">
        <f aca="false">IFERROR(IF([1]对账明细接口!$R694=0,"",[1]对账明细接口!$R694),"")</f>
        <v/>
      </c>
      <c r="X694" s="10" t="str">
        <f aca="false">IFERROR(IF([1]对账明细接口!$S694=0,"",[1]对账明细接口!$S694),"")</f>
        <v/>
      </c>
      <c r="Y694" s="10" t="str">
        <f aca="false">""</f>
        <v/>
      </c>
      <c r="Z694" s="10" t="str">
        <f aca="false">""</f>
        <v/>
      </c>
      <c r="AA694" s="10" t="str">
        <f aca="false">""</f>
        <v/>
      </c>
      <c r="AB694" s="10" t="str">
        <f aca="false">""</f>
        <v/>
      </c>
    </row>
    <row r="695" customFormat="false" ht="13.5" hidden="false" customHeight="false" outlineLevel="0" collapsed="false">
      <c r="A695" s="109" t="n">
        <v>695</v>
      </c>
      <c r="B695" s="110" t="str">
        <f aca="false">IFERROR(IF([1]对账明细接口!$B$695=0,"",[1]对账明细接口!$B$695),"")</f>
        <v/>
      </c>
      <c r="C695" s="59" t="str">
        <f aca="false">IFERROR(IF([1]对账明细接口!$C$695=0,"",[1]对账明细接口!$C$695),"")</f>
        <v/>
      </c>
      <c r="D695" s="59" t="str">
        <f aca="false">IFERROR(IF([1]对账明细接口!$D$695=0,"",[1]对账明细接口!$D$695),"")</f>
        <v/>
      </c>
      <c r="E695" s="59" t="str">
        <f aca="false">IFERROR(IF([1]对账明细接口!$E$695=0,"",[1]对账明细接口!$E$695),"")</f>
        <v/>
      </c>
      <c r="F695" s="59" t="str">
        <f aca="false">IFERROR(IF([1]对账明细接口!$F$695=0,"",[1]对账明细接口!$F$695),"")</f>
        <v/>
      </c>
      <c r="G695" s="59" t="str">
        <f aca="false">IFERROR(IF([1]对账明细接口!$G$695=0,"",[1]对账明细接口!$G$695),"")</f>
        <v/>
      </c>
      <c r="H695" s="60" t="str">
        <f aca="false">IFERROR(IF([1]对账明细接口!$H$695=0,"",[1]对账明细接口!$H$695),"")</f>
        <v/>
      </c>
      <c r="I695" s="59" t="str">
        <f aca="false">IFERROR(IF([1]对账明细接口!$I$695=0,"",[1]对账明细接口!$I$695),"")</f>
        <v/>
      </c>
      <c r="J695" s="61" t="str">
        <f aca="false">IFERROR(IF([1]对账明细接口!$J$695=0,"",[1]对账明细接口!$J$695),"")</f>
        <v/>
      </c>
      <c r="K695" s="61" t="str">
        <f aca="false">IFERROR(IF([1]对账明细接口!$K$695=0,"",[1]对账明细接口!$K$695),"")</f>
        <v/>
      </c>
      <c r="L695" s="59" t="str">
        <f aca="false">IFERROR(IF([1]对账明细接口!$L$695=0,"",[1]对账明细接口!$L$695),"")</f>
        <v/>
      </c>
      <c r="M695" s="59" t="str">
        <f aca="false">IFERROR(IF([1]对账明细接口!$M$695=0,"",[1]对账明细接口!$M$695),"")</f>
        <v/>
      </c>
      <c r="N695" s="111" t="n">
        <f aca="false">IF($C695="",0,1)</f>
        <v>0</v>
      </c>
      <c r="O695" s="111" t="n">
        <f aca="false">N(O694)+$N695</f>
        <v>110</v>
      </c>
      <c r="S695" s="10" t="str">
        <f aca="false">IFERROR(IF([1]对账明细接口!$N695=0,"",[1]对账明细接口!$N695),"")</f>
        <v/>
      </c>
      <c r="T695" s="112" t="str">
        <f aca="false">IFERROR(IF([1]对账明细接口!$O695=0,"",[1]对账明细接口!$O695),"")</f>
        <v/>
      </c>
      <c r="U695" s="112" t="str">
        <f aca="false">IFERROR(IF([1]对账明细接口!$P695=0,"",[1]对账明细接口!$P695),"")</f>
        <v/>
      </c>
      <c r="V695" s="112" t="str">
        <f aca="false">IFERROR(IF([1]对账明细接口!$Q695=0,"",[1]对账明细接口!$Q695),"")</f>
        <v/>
      </c>
      <c r="W695" s="10" t="str">
        <f aca="false">IFERROR(IF([1]对账明细接口!$R695=0,"",[1]对账明细接口!$R695),"")</f>
        <v/>
      </c>
      <c r="X695" s="10" t="str">
        <f aca="false">IFERROR(IF([1]对账明细接口!$S695=0,"",[1]对账明细接口!$S695),"")</f>
        <v/>
      </c>
      <c r="Y695" s="10" t="str">
        <f aca="false">""</f>
        <v/>
      </c>
      <c r="Z695" s="10" t="str">
        <f aca="false">""</f>
        <v/>
      </c>
      <c r="AA695" s="10" t="str">
        <f aca="false">""</f>
        <v/>
      </c>
      <c r="AB695" s="10" t="str">
        <f aca="false">""</f>
        <v/>
      </c>
    </row>
    <row r="696" customFormat="false" ht="13.5" hidden="false" customHeight="false" outlineLevel="0" collapsed="false">
      <c r="A696" s="109" t="n">
        <v>696</v>
      </c>
      <c r="B696" s="110" t="str">
        <f aca="false">IFERROR(IF([1]对账明细接口!$B$696=0,"",[1]对账明细接口!$B$696),"")</f>
        <v/>
      </c>
      <c r="C696" s="59" t="str">
        <f aca="false">IFERROR(IF([1]对账明细接口!$C$696=0,"",[1]对账明细接口!$C$696),"")</f>
        <v/>
      </c>
      <c r="D696" s="59" t="str">
        <f aca="false">IFERROR(IF([1]对账明细接口!$D$696=0,"",[1]对账明细接口!$D$696),"")</f>
        <v/>
      </c>
      <c r="E696" s="59" t="str">
        <f aca="false">IFERROR(IF([1]对账明细接口!$E$696=0,"",[1]对账明细接口!$E$696),"")</f>
        <v/>
      </c>
      <c r="F696" s="59" t="str">
        <f aca="false">IFERROR(IF([1]对账明细接口!$F$696=0,"",[1]对账明细接口!$F$696),"")</f>
        <v/>
      </c>
      <c r="G696" s="59" t="str">
        <f aca="false">IFERROR(IF([1]对账明细接口!$G$696=0,"",[1]对账明细接口!$G$696),"")</f>
        <v/>
      </c>
      <c r="H696" s="60" t="str">
        <f aca="false">IFERROR(IF([1]对账明细接口!$H$696=0,"",[1]对账明细接口!$H$696),"")</f>
        <v/>
      </c>
      <c r="I696" s="59" t="str">
        <f aca="false">IFERROR(IF([1]对账明细接口!$I$696=0,"",[1]对账明细接口!$I$696),"")</f>
        <v/>
      </c>
      <c r="J696" s="61" t="str">
        <f aca="false">IFERROR(IF([1]对账明细接口!$J$696=0,"",[1]对账明细接口!$J$696),"")</f>
        <v/>
      </c>
      <c r="K696" s="61" t="str">
        <f aca="false">IFERROR(IF([1]对账明细接口!$K$696=0,"",[1]对账明细接口!$K$696),"")</f>
        <v/>
      </c>
      <c r="L696" s="59" t="str">
        <f aca="false">IFERROR(IF([1]对账明细接口!$L$696=0,"",[1]对账明细接口!$L$696),"")</f>
        <v/>
      </c>
      <c r="M696" s="59" t="str">
        <f aca="false">IFERROR(IF([1]对账明细接口!$M$696=0,"",[1]对账明细接口!$M$696),"")</f>
        <v/>
      </c>
      <c r="N696" s="111" t="n">
        <f aca="false">IF($C696="",0,1)</f>
        <v>0</v>
      </c>
      <c r="O696" s="111" t="n">
        <f aca="false">N(O695)+$N696</f>
        <v>110</v>
      </c>
      <c r="S696" s="10" t="str">
        <f aca="false">IFERROR(IF([1]对账明细接口!$N696=0,"",[1]对账明细接口!$N696),"")</f>
        <v/>
      </c>
      <c r="T696" s="112" t="str">
        <f aca="false">IFERROR(IF([1]对账明细接口!$O696=0,"",[1]对账明细接口!$O696),"")</f>
        <v/>
      </c>
      <c r="U696" s="112" t="str">
        <f aca="false">IFERROR(IF([1]对账明细接口!$P696=0,"",[1]对账明细接口!$P696),"")</f>
        <v/>
      </c>
      <c r="V696" s="112" t="str">
        <f aca="false">IFERROR(IF([1]对账明细接口!$Q696=0,"",[1]对账明细接口!$Q696),"")</f>
        <v/>
      </c>
      <c r="W696" s="10" t="str">
        <f aca="false">IFERROR(IF([1]对账明细接口!$R696=0,"",[1]对账明细接口!$R696),"")</f>
        <v/>
      </c>
      <c r="X696" s="10" t="str">
        <f aca="false">IFERROR(IF([1]对账明细接口!$S696=0,"",[1]对账明细接口!$S696),"")</f>
        <v/>
      </c>
      <c r="Y696" s="10" t="str">
        <f aca="false">""</f>
        <v/>
      </c>
      <c r="Z696" s="10" t="str">
        <f aca="false">""</f>
        <v/>
      </c>
      <c r="AA696" s="10" t="str">
        <f aca="false">""</f>
        <v/>
      </c>
      <c r="AB696" s="10" t="str">
        <f aca="false">""</f>
        <v/>
      </c>
    </row>
    <row r="697" customFormat="false" ht="13.5" hidden="false" customHeight="false" outlineLevel="0" collapsed="false">
      <c r="A697" s="109" t="n">
        <v>697</v>
      </c>
      <c r="B697" s="110" t="str">
        <f aca="false">IFERROR(IF([1]对账明细接口!$B$697=0,"",[1]对账明细接口!$B$697),"")</f>
        <v/>
      </c>
      <c r="C697" s="59" t="str">
        <f aca="false">IFERROR(IF([1]对账明细接口!$C$697=0,"",[1]对账明细接口!$C$697),"")</f>
        <v/>
      </c>
      <c r="D697" s="59" t="str">
        <f aca="false">IFERROR(IF([1]对账明细接口!$D$697=0,"",[1]对账明细接口!$D$697),"")</f>
        <v/>
      </c>
      <c r="E697" s="59" t="str">
        <f aca="false">IFERROR(IF([1]对账明细接口!$E$697=0,"",[1]对账明细接口!$E$697),"")</f>
        <v/>
      </c>
      <c r="F697" s="59" t="str">
        <f aca="false">IFERROR(IF([1]对账明细接口!$F$697=0,"",[1]对账明细接口!$F$697),"")</f>
        <v/>
      </c>
      <c r="G697" s="59" t="str">
        <f aca="false">IFERROR(IF([1]对账明细接口!$G$697=0,"",[1]对账明细接口!$G$697),"")</f>
        <v/>
      </c>
      <c r="H697" s="60" t="str">
        <f aca="false">IFERROR(IF([1]对账明细接口!$H$697=0,"",[1]对账明细接口!$H$697),"")</f>
        <v/>
      </c>
      <c r="I697" s="59" t="str">
        <f aca="false">IFERROR(IF([1]对账明细接口!$I$697=0,"",[1]对账明细接口!$I$697),"")</f>
        <v/>
      </c>
      <c r="J697" s="61" t="str">
        <f aca="false">IFERROR(IF([1]对账明细接口!$J$697=0,"",[1]对账明细接口!$J$697),"")</f>
        <v/>
      </c>
      <c r="K697" s="61" t="str">
        <f aca="false">IFERROR(IF([1]对账明细接口!$K$697=0,"",[1]对账明细接口!$K$697),"")</f>
        <v/>
      </c>
      <c r="L697" s="59" t="str">
        <f aca="false">IFERROR(IF([1]对账明细接口!$L$697=0,"",[1]对账明细接口!$L$697),"")</f>
        <v/>
      </c>
      <c r="M697" s="59" t="str">
        <f aca="false">IFERROR(IF([1]对账明细接口!$M$697=0,"",[1]对账明细接口!$M$697),"")</f>
        <v/>
      </c>
      <c r="N697" s="111" t="n">
        <f aca="false">IF($C697="",0,1)</f>
        <v>0</v>
      </c>
      <c r="O697" s="111" t="n">
        <f aca="false">N(O696)+$N697</f>
        <v>110</v>
      </c>
      <c r="S697" s="10" t="str">
        <f aca="false">IFERROR(IF([1]对账明细接口!$N697=0,"",[1]对账明细接口!$N697),"")</f>
        <v/>
      </c>
      <c r="T697" s="112" t="str">
        <f aca="false">IFERROR(IF([1]对账明细接口!$O697=0,"",[1]对账明细接口!$O697),"")</f>
        <v/>
      </c>
      <c r="U697" s="112" t="str">
        <f aca="false">IFERROR(IF([1]对账明细接口!$P697=0,"",[1]对账明细接口!$P697),"")</f>
        <v/>
      </c>
      <c r="V697" s="112" t="str">
        <f aca="false">IFERROR(IF([1]对账明细接口!$Q697=0,"",[1]对账明细接口!$Q697),"")</f>
        <v/>
      </c>
      <c r="W697" s="10" t="str">
        <f aca="false">IFERROR(IF([1]对账明细接口!$R697=0,"",[1]对账明细接口!$R697),"")</f>
        <v/>
      </c>
      <c r="X697" s="10" t="str">
        <f aca="false">IFERROR(IF([1]对账明细接口!$S697=0,"",[1]对账明细接口!$S697),"")</f>
        <v/>
      </c>
      <c r="Y697" s="10" t="str">
        <f aca="false">""</f>
        <v/>
      </c>
      <c r="Z697" s="10" t="str">
        <f aca="false">""</f>
        <v/>
      </c>
      <c r="AA697" s="10" t="str">
        <f aca="false">""</f>
        <v/>
      </c>
      <c r="AB697" s="10" t="str">
        <f aca="false">""</f>
        <v/>
      </c>
    </row>
    <row r="698" customFormat="false" ht="13.5" hidden="false" customHeight="false" outlineLevel="0" collapsed="false">
      <c r="A698" s="109" t="n">
        <v>698</v>
      </c>
      <c r="B698" s="110" t="str">
        <f aca="false">IFERROR(IF([1]对账明细接口!$B$698=0,"",[1]对账明细接口!$B$698),"")</f>
        <v/>
      </c>
      <c r="C698" s="59" t="str">
        <f aca="false">IFERROR(IF([1]对账明细接口!$C$698=0,"",[1]对账明细接口!$C$698),"")</f>
        <v/>
      </c>
      <c r="D698" s="59" t="str">
        <f aca="false">IFERROR(IF([1]对账明细接口!$D$698=0,"",[1]对账明细接口!$D$698),"")</f>
        <v/>
      </c>
      <c r="E698" s="59" t="str">
        <f aca="false">IFERROR(IF([1]对账明细接口!$E$698=0,"",[1]对账明细接口!$E$698),"")</f>
        <v/>
      </c>
      <c r="F698" s="59" t="str">
        <f aca="false">IFERROR(IF([1]对账明细接口!$F$698=0,"",[1]对账明细接口!$F$698),"")</f>
        <v/>
      </c>
      <c r="G698" s="59" t="str">
        <f aca="false">IFERROR(IF([1]对账明细接口!$G$698=0,"",[1]对账明细接口!$G$698),"")</f>
        <v/>
      </c>
      <c r="H698" s="60" t="str">
        <f aca="false">IFERROR(IF([1]对账明细接口!$H$698=0,"",[1]对账明细接口!$H$698),"")</f>
        <v/>
      </c>
      <c r="I698" s="59" t="str">
        <f aca="false">IFERROR(IF([1]对账明细接口!$I$698=0,"",[1]对账明细接口!$I$698),"")</f>
        <v/>
      </c>
      <c r="J698" s="61" t="str">
        <f aca="false">IFERROR(IF([1]对账明细接口!$J$698=0,"",[1]对账明细接口!$J$698),"")</f>
        <v/>
      </c>
      <c r="K698" s="61" t="str">
        <f aca="false">IFERROR(IF([1]对账明细接口!$K$698=0,"",[1]对账明细接口!$K$698),"")</f>
        <v/>
      </c>
      <c r="L698" s="59" t="str">
        <f aca="false">IFERROR(IF([1]对账明细接口!$L$698=0,"",[1]对账明细接口!$L$698),"")</f>
        <v/>
      </c>
      <c r="M698" s="59" t="str">
        <f aca="false">IFERROR(IF([1]对账明细接口!$M$698=0,"",[1]对账明细接口!$M$698),"")</f>
        <v/>
      </c>
      <c r="N698" s="111" t="n">
        <f aca="false">IF($C698="",0,1)</f>
        <v>0</v>
      </c>
      <c r="O698" s="111" t="n">
        <f aca="false">N(O697)+$N698</f>
        <v>110</v>
      </c>
      <c r="S698" s="10" t="str">
        <f aca="false">IFERROR(IF([1]对账明细接口!$N698=0,"",[1]对账明细接口!$N698),"")</f>
        <v/>
      </c>
      <c r="T698" s="112" t="str">
        <f aca="false">IFERROR(IF([1]对账明细接口!$O698=0,"",[1]对账明细接口!$O698),"")</f>
        <v/>
      </c>
      <c r="U698" s="112" t="str">
        <f aca="false">IFERROR(IF([1]对账明细接口!$P698=0,"",[1]对账明细接口!$P698),"")</f>
        <v/>
      </c>
      <c r="V698" s="112" t="str">
        <f aca="false">IFERROR(IF([1]对账明细接口!$Q698=0,"",[1]对账明细接口!$Q698),"")</f>
        <v/>
      </c>
      <c r="W698" s="10" t="str">
        <f aca="false">IFERROR(IF([1]对账明细接口!$R698=0,"",[1]对账明细接口!$R698),"")</f>
        <v/>
      </c>
      <c r="X698" s="10" t="str">
        <f aca="false">IFERROR(IF([1]对账明细接口!$S698=0,"",[1]对账明细接口!$S698),"")</f>
        <v/>
      </c>
      <c r="Y698" s="10" t="str">
        <f aca="false">""</f>
        <v/>
      </c>
      <c r="Z698" s="10" t="str">
        <f aca="false">""</f>
        <v/>
      </c>
      <c r="AA698" s="10" t="str">
        <f aca="false">""</f>
        <v/>
      </c>
      <c r="AB698" s="10" t="str">
        <f aca="false">""</f>
        <v/>
      </c>
    </row>
    <row r="699" customFormat="false" ht="13.5" hidden="false" customHeight="false" outlineLevel="0" collapsed="false">
      <c r="A699" s="109" t="n">
        <v>699</v>
      </c>
      <c r="B699" s="110" t="str">
        <f aca="false">IFERROR(IF([1]对账明细接口!$B$699=0,"",[1]对账明细接口!$B$699),"")</f>
        <v/>
      </c>
      <c r="C699" s="59" t="str">
        <f aca="false">IFERROR(IF([1]对账明细接口!$C$699=0,"",[1]对账明细接口!$C$699),"")</f>
        <v/>
      </c>
      <c r="D699" s="59" t="str">
        <f aca="false">IFERROR(IF([1]对账明细接口!$D$699=0,"",[1]对账明细接口!$D$699),"")</f>
        <v/>
      </c>
      <c r="E699" s="59" t="str">
        <f aca="false">IFERROR(IF([1]对账明细接口!$E$699=0,"",[1]对账明细接口!$E$699),"")</f>
        <v/>
      </c>
      <c r="F699" s="59" t="str">
        <f aca="false">IFERROR(IF([1]对账明细接口!$F$699=0,"",[1]对账明细接口!$F$699),"")</f>
        <v/>
      </c>
      <c r="G699" s="59" t="str">
        <f aca="false">IFERROR(IF([1]对账明细接口!$G$699=0,"",[1]对账明细接口!$G$699),"")</f>
        <v/>
      </c>
      <c r="H699" s="60" t="str">
        <f aca="false">IFERROR(IF([1]对账明细接口!$H$699=0,"",[1]对账明细接口!$H$699),"")</f>
        <v/>
      </c>
      <c r="I699" s="59" t="str">
        <f aca="false">IFERROR(IF([1]对账明细接口!$I$699=0,"",[1]对账明细接口!$I$699),"")</f>
        <v/>
      </c>
      <c r="J699" s="61" t="str">
        <f aca="false">IFERROR(IF([1]对账明细接口!$J$699=0,"",[1]对账明细接口!$J$699),"")</f>
        <v/>
      </c>
      <c r="K699" s="61" t="str">
        <f aca="false">IFERROR(IF([1]对账明细接口!$K$699=0,"",[1]对账明细接口!$K$699),"")</f>
        <v/>
      </c>
      <c r="L699" s="59" t="str">
        <f aca="false">IFERROR(IF([1]对账明细接口!$L$699=0,"",[1]对账明细接口!$L$699),"")</f>
        <v/>
      </c>
      <c r="M699" s="59" t="str">
        <f aca="false">IFERROR(IF([1]对账明细接口!$M$699=0,"",[1]对账明细接口!$M$699),"")</f>
        <v/>
      </c>
      <c r="N699" s="111" t="n">
        <f aca="false">IF($C699="",0,1)</f>
        <v>0</v>
      </c>
      <c r="O699" s="111" t="n">
        <f aca="false">N(O698)+$N699</f>
        <v>110</v>
      </c>
      <c r="S699" s="10" t="str">
        <f aca="false">IFERROR(IF([1]对账明细接口!$N699=0,"",[1]对账明细接口!$N699),"")</f>
        <v/>
      </c>
      <c r="T699" s="112" t="str">
        <f aca="false">IFERROR(IF([1]对账明细接口!$O699=0,"",[1]对账明细接口!$O699),"")</f>
        <v/>
      </c>
      <c r="U699" s="112" t="str">
        <f aca="false">IFERROR(IF([1]对账明细接口!$P699=0,"",[1]对账明细接口!$P699),"")</f>
        <v/>
      </c>
      <c r="V699" s="112" t="str">
        <f aca="false">IFERROR(IF([1]对账明细接口!$Q699=0,"",[1]对账明细接口!$Q699),"")</f>
        <v/>
      </c>
      <c r="W699" s="10" t="str">
        <f aca="false">IFERROR(IF([1]对账明细接口!$R699=0,"",[1]对账明细接口!$R699),"")</f>
        <v/>
      </c>
      <c r="X699" s="10" t="str">
        <f aca="false">IFERROR(IF([1]对账明细接口!$S699=0,"",[1]对账明细接口!$S699),"")</f>
        <v/>
      </c>
      <c r="Y699" s="10" t="str">
        <f aca="false">""</f>
        <v/>
      </c>
      <c r="Z699" s="10" t="str">
        <f aca="false">""</f>
        <v/>
      </c>
      <c r="AA699" s="10" t="str">
        <f aca="false">""</f>
        <v/>
      </c>
      <c r="AB699" s="10" t="str">
        <f aca="false">""</f>
        <v/>
      </c>
    </row>
    <row r="700" customFormat="false" ht="13.5" hidden="false" customHeight="false" outlineLevel="0" collapsed="false">
      <c r="A700" s="109" t="n">
        <v>700</v>
      </c>
      <c r="B700" s="110" t="str">
        <f aca="false">IFERROR(IF([1]对账明细接口!$B$700=0,"",[1]对账明细接口!$B$700),"")</f>
        <v/>
      </c>
      <c r="C700" s="59" t="str">
        <f aca="false">IFERROR(IF([1]对账明细接口!$C$700=0,"",[1]对账明细接口!$C$700),"")</f>
        <v/>
      </c>
      <c r="D700" s="59" t="str">
        <f aca="false">IFERROR(IF([1]对账明细接口!$D$700=0,"",[1]对账明细接口!$D$700),"")</f>
        <v/>
      </c>
      <c r="E700" s="59" t="str">
        <f aca="false">IFERROR(IF([1]对账明细接口!$E$700=0,"",[1]对账明细接口!$E$700),"")</f>
        <v/>
      </c>
      <c r="F700" s="59" t="str">
        <f aca="false">IFERROR(IF([1]对账明细接口!$F$700=0,"",[1]对账明细接口!$F$700),"")</f>
        <v/>
      </c>
      <c r="G700" s="59" t="str">
        <f aca="false">IFERROR(IF([1]对账明细接口!$G$700=0,"",[1]对账明细接口!$G$700),"")</f>
        <v/>
      </c>
      <c r="H700" s="60" t="str">
        <f aca="false">IFERROR(IF([1]对账明细接口!$H$700=0,"",[1]对账明细接口!$H$700),"")</f>
        <v/>
      </c>
      <c r="I700" s="59" t="str">
        <f aca="false">IFERROR(IF([1]对账明细接口!$I$700=0,"",[1]对账明细接口!$I$700),"")</f>
        <v/>
      </c>
      <c r="J700" s="61" t="str">
        <f aca="false">IFERROR(IF([1]对账明细接口!$J$700=0,"",[1]对账明细接口!$J$700),"")</f>
        <v/>
      </c>
      <c r="K700" s="61" t="str">
        <f aca="false">IFERROR(IF([1]对账明细接口!$K$700=0,"",[1]对账明细接口!$K$700),"")</f>
        <v/>
      </c>
      <c r="L700" s="59" t="str">
        <f aca="false">IFERROR(IF([1]对账明细接口!$L$700=0,"",[1]对账明细接口!$L$700),"")</f>
        <v/>
      </c>
      <c r="M700" s="59" t="str">
        <f aca="false">IFERROR(IF([1]对账明细接口!$M$700=0,"",[1]对账明细接口!$M$700),"")</f>
        <v/>
      </c>
      <c r="N700" s="111" t="n">
        <f aca="false">IF($C700="",0,1)</f>
        <v>0</v>
      </c>
      <c r="O700" s="111" t="n">
        <f aca="false">N(O699)+$N700</f>
        <v>110</v>
      </c>
      <c r="S700" s="10" t="str">
        <f aca="false">IFERROR(IF([1]对账明细接口!$N700=0,"",[1]对账明细接口!$N700),"")</f>
        <v/>
      </c>
      <c r="T700" s="112" t="str">
        <f aca="false">IFERROR(IF([1]对账明细接口!$O700=0,"",[1]对账明细接口!$O700),"")</f>
        <v/>
      </c>
      <c r="U700" s="112" t="str">
        <f aca="false">IFERROR(IF([1]对账明细接口!$P700=0,"",[1]对账明细接口!$P700),"")</f>
        <v/>
      </c>
      <c r="V700" s="112" t="str">
        <f aca="false">IFERROR(IF([1]对账明细接口!$Q700=0,"",[1]对账明细接口!$Q700),"")</f>
        <v/>
      </c>
      <c r="W700" s="10" t="str">
        <f aca="false">IFERROR(IF([1]对账明细接口!$R700=0,"",[1]对账明细接口!$R700),"")</f>
        <v/>
      </c>
      <c r="X700" s="10" t="str">
        <f aca="false">IFERROR(IF([1]对账明细接口!$S700=0,"",[1]对账明细接口!$S700),"")</f>
        <v/>
      </c>
      <c r="Y700" s="10" t="str">
        <f aca="false">""</f>
        <v/>
      </c>
      <c r="Z700" s="10" t="str">
        <f aca="false">""</f>
        <v/>
      </c>
      <c r="AA700" s="10" t="str">
        <f aca="false">""</f>
        <v/>
      </c>
      <c r="AB700" s="10" t="str">
        <f aca="false">""</f>
        <v/>
      </c>
    </row>
    <row r="701" customFormat="false" ht="13.5" hidden="false" customHeight="false" outlineLevel="0" collapsed="false">
      <c r="A701" s="109" t="n">
        <v>701</v>
      </c>
      <c r="B701" s="110" t="str">
        <f aca="false">IFERROR(IF([1]对账明细接口!$B$701=0,"",[1]对账明细接口!$B$701),"")</f>
        <v/>
      </c>
      <c r="C701" s="59" t="str">
        <f aca="false">IFERROR(IF([1]对账明细接口!$C$701=0,"",[1]对账明细接口!$C$701),"")</f>
        <v/>
      </c>
      <c r="D701" s="59" t="str">
        <f aca="false">IFERROR(IF([1]对账明细接口!$D$701=0,"",[1]对账明细接口!$D$701),"")</f>
        <v/>
      </c>
      <c r="E701" s="59" t="str">
        <f aca="false">IFERROR(IF([1]对账明细接口!$E$701=0,"",[1]对账明细接口!$E$701),"")</f>
        <v/>
      </c>
      <c r="F701" s="59" t="str">
        <f aca="false">IFERROR(IF([1]对账明细接口!$F$701=0,"",[1]对账明细接口!$F$701),"")</f>
        <v/>
      </c>
      <c r="G701" s="59" t="str">
        <f aca="false">IFERROR(IF([1]对账明细接口!$G$701=0,"",[1]对账明细接口!$G$701),"")</f>
        <v/>
      </c>
      <c r="H701" s="60" t="str">
        <f aca="false">IFERROR(IF([1]对账明细接口!$H$701=0,"",[1]对账明细接口!$H$701),"")</f>
        <v/>
      </c>
      <c r="I701" s="59" t="str">
        <f aca="false">IFERROR(IF([1]对账明细接口!$I$701=0,"",[1]对账明细接口!$I$701),"")</f>
        <v/>
      </c>
      <c r="J701" s="61" t="str">
        <f aca="false">IFERROR(IF([1]对账明细接口!$J$701=0,"",[1]对账明细接口!$J$701),"")</f>
        <v/>
      </c>
      <c r="K701" s="61" t="str">
        <f aca="false">IFERROR(IF([1]对账明细接口!$K$701=0,"",[1]对账明细接口!$K$701),"")</f>
        <v/>
      </c>
      <c r="L701" s="59" t="str">
        <f aca="false">IFERROR(IF([1]对账明细接口!$L$701=0,"",[1]对账明细接口!$L$701),"")</f>
        <v/>
      </c>
      <c r="M701" s="59" t="str">
        <f aca="false">IFERROR(IF([1]对账明细接口!$M$701=0,"",[1]对账明细接口!$M$701),"")</f>
        <v/>
      </c>
      <c r="N701" s="111" t="n">
        <f aca="false">IF($C701="",0,1)</f>
        <v>0</v>
      </c>
      <c r="O701" s="111" t="n">
        <f aca="false">N(O700)+$N701</f>
        <v>110</v>
      </c>
      <c r="S701" s="10" t="str">
        <f aca="false">IFERROR(IF([1]对账明细接口!$N701=0,"",[1]对账明细接口!$N701),"")</f>
        <v/>
      </c>
      <c r="T701" s="112" t="str">
        <f aca="false">IFERROR(IF([1]对账明细接口!$O701=0,"",[1]对账明细接口!$O701),"")</f>
        <v/>
      </c>
      <c r="U701" s="112" t="str">
        <f aca="false">IFERROR(IF([1]对账明细接口!$P701=0,"",[1]对账明细接口!$P701),"")</f>
        <v/>
      </c>
      <c r="V701" s="112" t="str">
        <f aca="false">IFERROR(IF([1]对账明细接口!$Q701=0,"",[1]对账明细接口!$Q701),"")</f>
        <v/>
      </c>
      <c r="W701" s="10" t="str">
        <f aca="false">IFERROR(IF([1]对账明细接口!$R701=0,"",[1]对账明细接口!$R701),"")</f>
        <v/>
      </c>
      <c r="X701" s="10" t="str">
        <f aca="false">IFERROR(IF([1]对账明细接口!$S701=0,"",[1]对账明细接口!$S701),"")</f>
        <v/>
      </c>
      <c r="Y701" s="10" t="str">
        <f aca="false">""</f>
        <v/>
      </c>
      <c r="Z701" s="10" t="str">
        <f aca="false">""</f>
        <v/>
      </c>
      <c r="AA701" s="10" t="str">
        <f aca="false">""</f>
        <v/>
      </c>
      <c r="AB701" s="10" t="str">
        <f aca="false">""</f>
        <v/>
      </c>
    </row>
    <row r="702" customFormat="false" ht="13.5" hidden="false" customHeight="false" outlineLevel="0" collapsed="false">
      <c r="A702" s="109" t="n">
        <v>702</v>
      </c>
      <c r="B702" s="110" t="str">
        <f aca="false">IFERROR(IF([1]对账明细接口!$B$702=0,"",[1]对账明细接口!$B$702),"")</f>
        <v/>
      </c>
      <c r="C702" s="59" t="str">
        <f aca="false">IFERROR(IF([1]对账明细接口!$C$702=0,"",[1]对账明细接口!$C$702),"")</f>
        <v/>
      </c>
      <c r="D702" s="59" t="str">
        <f aca="false">IFERROR(IF([1]对账明细接口!$D$702=0,"",[1]对账明细接口!$D$702),"")</f>
        <v/>
      </c>
      <c r="E702" s="59" t="str">
        <f aca="false">IFERROR(IF([1]对账明细接口!$E$702=0,"",[1]对账明细接口!$E$702),"")</f>
        <v/>
      </c>
      <c r="F702" s="59" t="str">
        <f aca="false">IFERROR(IF([1]对账明细接口!$F$702=0,"",[1]对账明细接口!$F$702),"")</f>
        <v/>
      </c>
      <c r="G702" s="59" t="str">
        <f aca="false">IFERROR(IF([1]对账明细接口!$G$702=0,"",[1]对账明细接口!$G$702),"")</f>
        <v/>
      </c>
      <c r="H702" s="60" t="str">
        <f aca="false">IFERROR(IF([1]对账明细接口!$H$702=0,"",[1]对账明细接口!$H$702),"")</f>
        <v/>
      </c>
      <c r="I702" s="59" t="str">
        <f aca="false">IFERROR(IF([1]对账明细接口!$I$702=0,"",[1]对账明细接口!$I$702),"")</f>
        <v/>
      </c>
      <c r="J702" s="61" t="str">
        <f aca="false">IFERROR(IF([1]对账明细接口!$J$702=0,"",[1]对账明细接口!$J$702),"")</f>
        <v/>
      </c>
      <c r="K702" s="61" t="str">
        <f aca="false">IFERROR(IF([1]对账明细接口!$K$702=0,"",[1]对账明细接口!$K$702),"")</f>
        <v/>
      </c>
      <c r="L702" s="59" t="str">
        <f aca="false">IFERROR(IF([1]对账明细接口!$L$702=0,"",[1]对账明细接口!$L$702),"")</f>
        <v/>
      </c>
      <c r="M702" s="59" t="str">
        <f aca="false">IFERROR(IF([1]对账明细接口!$M$702=0,"",[1]对账明细接口!$M$702),"")</f>
        <v/>
      </c>
      <c r="N702" s="111" t="n">
        <f aca="false">IF($C702="",0,1)</f>
        <v>0</v>
      </c>
      <c r="O702" s="111" t="n">
        <f aca="false">N(O701)+$N702</f>
        <v>110</v>
      </c>
      <c r="S702" s="10" t="str">
        <f aca="false">IFERROR(IF([1]对账明细接口!$N702=0,"",[1]对账明细接口!$N702),"")</f>
        <v/>
      </c>
      <c r="T702" s="112" t="str">
        <f aca="false">IFERROR(IF([1]对账明细接口!$O702=0,"",[1]对账明细接口!$O702),"")</f>
        <v/>
      </c>
      <c r="U702" s="112" t="str">
        <f aca="false">IFERROR(IF([1]对账明细接口!$P702=0,"",[1]对账明细接口!$P702),"")</f>
        <v/>
      </c>
      <c r="V702" s="112" t="str">
        <f aca="false">IFERROR(IF([1]对账明细接口!$Q702=0,"",[1]对账明细接口!$Q702),"")</f>
        <v/>
      </c>
      <c r="W702" s="10" t="str">
        <f aca="false">IFERROR(IF([1]对账明细接口!$R702=0,"",[1]对账明细接口!$R702),"")</f>
        <v/>
      </c>
      <c r="X702" s="10" t="str">
        <f aca="false">IFERROR(IF([1]对账明细接口!$S702=0,"",[1]对账明细接口!$S702),"")</f>
        <v/>
      </c>
      <c r="Y702" s="10" t="str">
        <f aca="false">""</f>
        <v/>
      </c>
      <c r="Z702" s="10" t="str">
        <f aca="false">""</f>
        <v/>
      </c>
      <c r="AA702" s="10" t="str">
        <f aca="false">""</f>
        <v/>
      </c>
      <c r="AB702" s="10" t="str">
        <f aca="false">""</f>
        <v/>
      </c>
    </row>
    <row r="703" customFormat="false" ht="13.5" hidden="false" customHeight="false" outlineLevel="0" collapsed="false">
      <c r="A703" s="109" t="n">
        <v>703</v>
      </c>
      <c r="B703" s="110" t="str">
        <f aca="false">IFERROR(IF([1]对账明细接口!$B$703=0,"",[1]对账明细接口!$B$703),"")</f>
        <v/>
      </c>
      <c r="C703" s="59" t="str">
        <f aca="false">IFERROR(IF([1]对账明细接口!$C$703=0,"",[1]对账明细接口!$C$703),"")</f>
        <v/>
      </c>
      <c r="D703" s="59" t="str">
        <f aca="false">IFERROR(IF([1]对账明细接口!$D$703=0,"",[1]对账明细接口!$D$703),"")</f>
        <v/>
      </c>
      <c r="E703" s="59" t="str">
        <f aca="false">IFERROR(IF([1]对账明细接口!$E$703=0,"",[1]对账明细接口!$E$703),"")</f>
        <v/>
      </c>
      <c r="F703" s="59" t="str">
        <f aca="false">IFERROR(IF([1]对账明细接口!$F$703=0,"",[1]对账明细接口!$F$703),"")</f>
        <v/>
      </c>
      <c r="G703" s="59" t="str">
        <f aca="false">IFERROR(IF([1]对账明细接口!$G$703=0,"",[1]对账明细接口!$G$703),"")</f>
        <v/>
      </c>
      <c r="H703" s="60" t="str">
        <f aca="false">IFERROR(IF([1]对账明细接口!$H$703=0,"",[1]对账明细接口!$H$703),"")</f>
        <v/>
      </c>
      <c r="I703" s="59" t="str">
        <f aca="false">IFERROR(IF([1]对账明细接口!$I$703=0,"",[1]对账明细接口!$I$703),"")</f>
        <v/>
      </c>
      <c r="J703" s="61" t="str">
        <f aca="false">IFERROR(IF([1]对账明细接口!$J$703=0,"",[1]对账明细接口!$J$703),"")</f>
        <v/>
      </c>
      <c r="K703" s="61" t="str">
        <f aca="false">IFERROR(IF([1]对账明细接口!$K$703=0,"",[1]对账明细接口!$K$703),"")</f>
        <v/>
      </c>
      <c r="L703" s="59" t="str">
        <f aca="false">IFERROR(IF([1]对账明细接口!$L$703=0,"",[1]对账明细接口!$L$703),"")</f>
        <v/>
      </c>
      <c r="M703" s="59" t="str">
        <f aca="false">IFERROR(IF([1]对账明细接口!$M$703=0,"",[1]对账明细接口!$M$703),"")</f>
        <v/>
      </c>
      <c r="N703" s="111" t="n">
        <f aca="false">IF($C703="",0,1)</f>
        <v>0</v>
      </c>
      <c r="O703" s="111" t="n">
        <f aca="false">N(O702)+$N703</f>
        <v>110</v>
      </c>
      <c r="S703" s="10" t="str">
        <f aca="false">IFERROR(IF([1]对账明细接口!$N703=0,"",[1]对账明细接口!$N703),"")</f>
        <v/>
      </c>
      <c r="T703" s="112" t="str">
        <f aca="false">IFERROR(IF([1]对账明细接口!$O703=0,"",[1]对账明细接口!$O703),"")</f>
        <v/>
      </c>
      <c r="U703" s="112" t="str">
        <f aca="false">IFERROR(IF([1]对账明细接口!$P703=0,"",[1]对账明细接口!$P703),"")</f>
        <v/>
      </c>
      <c r="V703" s="112" t="str">
        <f aca="false">IFERROR(IF([1]对账明细接口!$Q703=0,"",[1]对账明细接口!$Q703),"")</f>
        <v/>
      </c>
      <c r="W703" s="10" t="str">
        <f aca="false">IFERROR(IF([1]对账明细接口!$R703=0,"",[1]对账明细接口!$R703),"")</f>
        <v/>
      </c>
      <c r="X703" s="10" t="str">
        <f aca="false">IFERROR(IF([1]对账明细接口!$S703=0,"",[1]对账明细接口!$S703),"")</f>
        <v/>
      </c>
      <c r="Y703" s="10" t="str">
        <f aca="false">""</f>
        <v/>
      </c>
      <c r="Z703" s="10" t="str">
        <f aca="false">""</f>
        <v/>
      </c>
      <c r="AA703" s="10" t="str">
        <f aca="false">""</f>
        <v/>
      </c>
      <c r="AB703" s="10" t="str">
        <f aca="false">""</f>
        <v/>
      </c>
    </row>
    <row r="704" customFormat="false" ht="13.5" hidden="false" customHeight="false" outlineLevel="0" collapsed="false">
      <c r="A704" s="109" t="n">
        <v>704</v>
      </c>
      <c r="B704" s="110" t="str">
        <f aca="false">IFERROR(IF([1]对账明细接口!$B$704=0,"",[1]对账明细接口!$B$704),"")</f>
        <v/>
      </c>
      <c r="C704" s="59" t="str">
        <f aca="false">IFERROR(IF([1]对账明细接口!$C$704=0,"",[1]对账明细接口!$C$704),"")</f>
        <v/>
      </c>
      <c r="D704" s="59" t="str">
        <f aca="false">IFERROR(IF([1]对账明细接口!$D$704=0,"",[1]对账明细接口!$D$704),"")</f>
        <v/>
      </c>
      <c r="E704" s="59" t="str">
        <f aca="false">IFERROR(IF([1]对账明细接口!$E$704=0,"",[1]对账明细接口!$E$704),"")</f>
        <v/>
      </c>
      <c r="F704" s="59" t="str">
        <f aca="false">IFERROR(IF([1]对账明细接口!$F$704=0,"",[1]对账明细接口!$F$704),"")</f>
        <v/>
      </c>
      <c r="G704" s="59" t="str">
        <f aca="false">IFERROR(IF([1]对账明细接口!$G$704=0,"",[1]对账明细接口!$G$704),"")</f>
        <v/>
      </c>
      <c r="H704" s="60" t="str">
        <f aca="false">IFERROR(IF([1]对账明细接口!$H$704=0,"",[1]对账明细接口!$H$704),"")</f>
        <v/>
      </c>
      <c r="I704" s="59" t="str">
        <f aca="false">IFERROR(IF([1]对账明细接口!$I$704=0,"",[1]对账明细接口!$I$704),"")</f>
        <v/>
      </c>
      <c r="J704" s="61" t="str">
        <f aca="false">IFERROR(IF([1]对账明细接口!$J$704=0,"",[1]对账明细接口!$J$704),"")</f>
        <v/>
      </c>
      <c r="K704" s="61" t="str">
        <f aca="false">IFERROR(IF([1]对账明细接口!$K$704=0,"",[1]对账明细接口!$K$704),"")</f>
        <v/>
      </c>
      <c r="L704" s="59" t="str">
        <f aca="false">IFERROR(IF([1]对账明细接口!$L$704=0,"",[1]对账明细接口!$L$704),"")</f>
        <v/>
      </c>
      <c r="M704" s="59" t="str">
        <f aca="false">IFERROR(IF([1]对账明细接口!$M$704=0,"",[1]对账明细接口!$M$704),"")</f>
        <v/>
      </c>
      <c r="N704" s="111" t="n">
        <f aca="false">IF($C704="",0,1)</f>
        <v>0</v>
      </c>
      <c r="O704" s="111" t="n">
        <f aca="false">N(O703)+$N704</f>
        <v>110</v>
      </c>
      <c r="S704" s="10" t="str">
        <f aca="false">IFERROR(IF([1]对账明细接口!$N704=0,"",[1]对账明细接口!$N704),"")</f>
        <v/>
      </c>
      <c r="T704" s="112" t="str">
        <f aca="false">IFERROR(IF([1]对账明细接口!$O704=0,"",[1]对账明细接口!$O704),"")</f>
        <v/>
      </c>
      <c r="U704" s="112" t="str">
        <f aca="false">IFERROR(IF([1]对账明细接口!$P704=0,"",[1]对账明细接口!$P704),"")</f>
        <v/>
      </c>
      <c r="V704" s="112" t="str">
        <f aca="false">IFERROR(IF([1]对账明细接口!$Q704=0,"",[1]对账明细接口!$Q704),"")</f>
        <v/>
      </c>
      <c r="W704" s="10" t="str">
        <f aca="false">IFERROR(IF([1]对账明细接口!$R704=0,"",[1]对账明细接口!$R704),"")</f>
        <v/>
      </c>
      <c r="X704" s="10" t="str">
        <f aca="false">IFERROR(IF([1]对账明细接口!$S704=0,"",[1]对账明细接口!$S704),"")</f>
        <v/>
      </c>
      <c r="Y704" s="10" t="str">
        <f aca="false">""</f>
        <v/>
      </c>
      <c r="Z704" s="10" t="str">
        <f aca="false">""</f>
        <v/>
      </c>
      <c r="AA704" s="10" t="str">
        <f aca="false">""</f>
        <v/>
      </c>
      <c r="AB704" s="10" t="str">
        <f aca="false">""</f>
        <v/>
      </c>
    </row>
    <row r="705" customFormat="false" ht="13.5" hidden="false" customHeight="false" outlineLevel="0" collapsed="false">
      <c r="A705" s="109" t="n">
        <v>705</v>
      </c>
      <c r="B705" s="110" t="str">
        <f aca="false">IFERROR(IF([1]对账明细接口!$B$705=0,"",[1]对账明细接口!$B$705),"")</f>
        <v/>
      </c>
      <c r="C705" s="59" t="str">
        <f aca="false">IFERROR(IF([1]对账明细接口!$C$705=0,"",[1]对账明细接口!$C$705),"")</f>
        <v/>
      </c>
      <c r="D705" s="59" t="str">
        <f aca="false">IFERROR(IF([1]对账明细接口!$D$705=0,"",[1]对账明细接口!$D$705),"")</f>
        <v/>
      </c>
      <c r="E705" s="59" t="str">
        <f aca="false">IFERROR(IF([1]对账明细接口!$E$705=0,"",[1]对账明细接口!$E$705),"")</f>
        <v/>
      </c>
      <c r="F705" s="59" t="str">
        <f aca="false">IFERROR(IF([1]对账明细接口!$F$705=0,"",[1]对账明细接口!$F$705),"")</f>
        <v/>
      </c>
      <c r="G705" s="59" t="str">
        <f aca="false">IFERROR(IF([1]对账明细接口!$G$705=0,"",[1]对账明细接口!$G$705),"")</f>
        <v/>
      </c>
      <c r="H705" s="60" t="str">
        <f aca="false">IFERROR(IF([1]对账明细接口!$H$705=0,"",[1]对账明细接口!$H$705),"")</f>
        <v/>
      </c>
      <c r="I705" s="59" t="str">
        <f aca="false">IFERROR(IF([1]对账明细接口!$I$705=0,"",[1]对账明细接口!$I$705),"")</f>
        <v/>
      </c>
      <c r="J705" s="61" t="str">
        <f aca="false">IFERROR(IF([1]对账明细接口!$J$705=0,"",[1]对账明细接口!$J$705),"")</f>
        <v/>
      </c>
      <c r="K705" s="61" t="str">
        <f aca="false">IFERROR(IF([1]对账明细接口!$K$705=0,"",[1]对账明细接口!$K$705),"")</f>
        <v/>
      </c>
      <c r="L705" s="59" t="str">
        <f aca="false">IFERROR(IF([1]对账明细接口!$L$705=0,"",[1]对账明细接口!$L$705),"")</f>
        <v/>
      </c>
      <c r="M705" s="59" t="str">
        <f aca="false">IFERROR(IF([1]对账明细接口!$M$705=0,"",[1]对账明细接口!$M$705),"")</f>
        <v/>
      </c>
      <c r="N705" s="111" t="n">
        <f aca="false">IF($C705="",0,1)</f>
        <v>0</v>
      </c>
      <c r="O705" s="111" t="n">
        <f aca="false">N(O704)+$N705</f>
        <v>110</v>
      </c>
      <c r="S705" s="10" t="str">
        <f aca="false">IFERROR(IF([1]对账明细接口!$N705=0,"",[1]对账明细接口!$N705),"")</f>
        <v/>
      </c>
      <c r="T705" s="112" t="str">
        <f aca="false">IFERROR(IF([1]对账明细接口!$O705=0,"",[1]对账明细接口!$O705),"")</f>
        <v/>
      </c>
      <c r="U705" s="112" t="str">
        <f aca="false">IFERROR(IF([1]对账明细接口!$P705=0,"",[1]对账明细接口!$P705),"")</f>
        <v/>
      </c>
      <c r="V705" s="112" t="str">
        <f aca="false">IFERROR(IF([1]对账明细接口!$Q705=0,"",[1]对账明细接口!$Q705),"")</f>
        <v/>
      </c>
      <c r="W705" s="10" t="str">
        <f aca="false">IFERROR(IF([1]对账明细接口!$R705=0,"",[1]对账明细接口!$R705),"")</f>
        <v/>
      </c>
      <c r="X705" s="10" t="str">
        <f aca="false">IFERROR(IF([1]对账明细接口!$S705=0,"",[1]对账明细接口!$S705),"")</f>
        <v/>
      </c>
      <c r="Y705" s="10" t="str">
        <f aca="false">""</f>
        <v/>
      </c>
      <c r="Z705" s="10" t="str">
        <f aca="false">""</f>
        <v/>
      </c>
      <c r="AA705" s="10" t="str">
        <f aca="false">""</f>
        <v/>
      </c>
      <c r="AB705" s="10" t="str">
        <f aca="false">""</f>
        <v/>
      </c>
    </row>
    <row r="706" customFormat="false" ht="13.5" hidden="false" customHeight="false" outlineLevel="0" collapsed="false">
      <c r="A706" s="109" t="n">
        <v>706</v>
      </c>
      <c r="B706" s="110" t="str">
        <f aca="false">IFERROR(IF([1]对账明细接口!$B$706=0,"",[1]对账明细接口!$B$706),"")</f>
        <v/>
      </c>
      <c r="C706" s="59" t="str">
        <f aca="false">IFERROR(IF([1]对账明细接口!$C$706=0,"",[1]对账明细接口!$C$706),"")</f>
        <v/>
      </c>
      <c r="D706" s="59" t="str">
        <f aca="false">IFERROR(IF([1]对账明细接口!$D$706=0,"",[1]对账明细接口!$D$706),"")</f>
        <v/>
      </c>
      <c r="E706" s="59" t="str">
        <f aca="false">IFERROR(IF([1]对账明细接口!$E$706=0,"",[1]对账明细接口!$E$706),"")</f>
        <v/>
      </c>
      <c r="F706" s="59" t="str">
        <f aca="false">IFERROR(IF([1]对账明细接口!$F$706=0,"",[1]对账明细接口!$F$706),"")</f>
        <v/>
      </c>
      <c r="G706" s="59" t="str">
        <f aca="false">IFERROR(IF([1]对账明细接口!$G$706=0,"",[1]对账明细接口!$G$706),"")</f>
        <v/>
      </c>
      <c r="H706" s="60" t="str">
        <f aca="false">IFERROR(IF([1]对账明细接口!$H$706=0,"",[1]对账明细接口!$H$706),"")</f>
        <v/>
      </c>
      <c r="I706" s="59" t="str">
        <f aca="false">IFERROR(IF([1]对账明细接口!$I$706=0,"",[1]对账明细接口!$I$706),"")</f>
        <v/>
      </c>
      <c r="J706" s="61" t="str">
        <f aca="false">IFERROR(IF([1]对账明细接口!$J$706=0,"",[1]对账明细接口!$J$706),"")</f>
        <v/>
      </c>
      <c r="K706" s="61" t="str">
        <f aca="false">IFERROR(IF([1]对账明细接口!$K$706=0,"",[1]对账明细接口!$K$706),"")</f>
        <v/>
      </c>
      <c r="L706" s="59" t="str">
        <f aca="false">IFERROR(IF([1]对账明细接口!$L$706=0,"",[1]对账明细接口!$L$706),"")</f>
        <v/>
      </c>
      <c r="M706" s="59" t="str">
        <f aca="false">IFERROR(IF([1]对账明细接口!$M$706=0,"",[1]对账明细接口!$M$706),"")</f>
        <v/>
      </c>
      <c r="N706" s="111" t="n">
        <f aca="false">IF($C706="",0,1)</f>
        <v>0</v>
      </c>
      <c r="O706" s="111" t="n">
        <f aca="false">N(O705)+$N706</f>
        <v>110</v>
      </c>
      <c r="S706" s="10" t="str">
        <f aca="false">IFERROR(IF([1]对账明细接口!$N706=0,"",[1]对账明细接口!$N706),"")</f>
        <v/>
      </c>
      <c r="T706" s="112" t="str">
        <f aca="false">IFERROR(IF([1]对账明细接口!$O706=0,"",[1]对账明细接口!$O706),"")</f>
        <v/>
      </c>
      <c r="U706" s="112" t="str">
        <f aca="false">IFERROR(IF([1]对账明细接口!$P706=0,"",[1]对账明细接口!$P706),"")</f>
        <v/>
      </c>
      <c r="V706" s="112" t="str">
        <f aca="false">IFERROR(IF([1]对账明细接口!$Q706=0,"",[1]对账明细接口!$Q706),"")</f>
        <v/>
      </c>
      <c r="W706" s="10" t="str">
        <f aca="false">IFERROR(IF([1]对账明细接口!$R706=0,"",[1]对账明细接口!$R706),"")</f>
        <v/>
      </c>
      <c r="X706" s="10" t="str">
        <f aca="false">IFERROR(IF([1]对账明细接口!$S706=0,"",[1]对账明细接口!$S706),"")</f>
        <v/>
      </c>
      <c r="Y706" s="10" t="str">
        <f aca="false">""</f>
        <v/>
      </c>
      <c r="Z706" s="10" t="str">
        <f aca="false">""</f>
        <v/>
      </c>
      <c r="AA706" s="10" t="str">
        <f aca="false">""</f>
        <v/>
      </c>
      <c r="AB706" s="10" t="str">
        <f aca="false">""</f>
        <v/>
      </c>
    </row>
    <row r="707" customFormat="false" ht="13.5" hidden="false" customHeight="false" outlineLevel="0" collapsed="false">
      <c r="A707" s="109" t="n">
        <v>707</v>
      </c>
      <c r="B707" s="110" t="str">
        <f aca="false">IFERROR(IF([1]对账明细接口!$B$707=0,"",[1]对账明细接口!$B$707),"")</f>
        <v/>
      </c>
      <c r="C707" s="59" t="str">
        <f aca="false">IFERROR(IF([1]对账明细接口!$C$707=0,"",[1]对账明细接口!$C$707),"")</f>
        <v/>
      </c>
      <c r="D707" s="59" t="str">
        <f aca="false">IFERROR(IF([1]对账明细接口!$D$707=0,"",[1]对账明细接口!$D$707),"")</f>
        <v/>
      </c>
      <c r="E707" s="59" t="str">
        <f aca="false">IFERROR(IF([1]对账明细接口!$E$707=0,"",[1]对账明细接口!$E$707),"")</f>
        <v/>
      </c>
      <c r="F707" s="59" t="str">
        <f aca="false">IFERROR(IF([1]对账明细接口!$F$707=0,"",[1]对账明细接口!$F$707),"")</f>
        <v/>
      </c>
      <c r="G707" s="59" t="str">
        <f aca="false">IFERROR(IF([1]对账明细接口!$G$707=0,"",[1]对账明细接口!$G$707),"")</f>
        <v/>
      </c>
      <c r="H707" s="60" t="str">
        <f aca="false">IFERROR(IF([1]对账明细接口!$H$707=0,"",[1]对账明细接口!$H$707),"")</f>
        <v/>
      </c>
      <c r="I707" s="59" t="str">
        <f aca="false">IFERROR(IF([1]对账明细接口!$I$707=0,"",[1]对账明细接口!$I$707),"")</f>
        <v/>
      </c>
      <c r="J707" s="61" t="str">
        <f aca="false">IFERROR(IF([1]对账明细接口!$J$707=0,"",[1]对账明细接口!$J$707),"")</f>
        <v/>
      </c>
      <c r="K707" s="61" t="str">
        <f aca="false">IFERROR(IF([1]对账明细接口!$K$707=0,"",[1]对账明细接口!$K$707),"")</f>
        <v/>
      </c>
      <c r="L707" s="59" t="str">
        <f aca="false">IFERROR(IF([1]对账明细接口!$L$707=0,"",[1]对账明细接口!$L$707),"")</f>
        <v/>
      </c>
      <c r="M707" s="59" t="str">
        <f aca="false">IFERROR(IF([1]对账明细接口!$M$707=0,"",[1]对账明细接口!$M$707),"")</f>
        <v/>
      </c>
      <c r="N707" s="111" t="n">
        <f aca="false">IF($C707="",0,1)</f>
        <v>0</v>
      </c>
      <c r="O707" s="111" t="n">
        <f aca="false">N(O706)+$N707</f>
        <v>110</v>
      </c>
      <c r="S707" s="10" t="str">
        <f aca="false">IFERROR(IF([1]对账明细接口!$N707=0,"",[1]对账明细接口!$N707),"")</f>
        <v/>
      </c>
      <c r="T707" s="112" t="str">
        <f aca="false">IFERROR(IF([1]对账明细接口!$O707=0,"",[1]对账明细接口!$O707),"")</f>
        <v/>
      </c>
      <c r="U707" s="112" t="str">
        <f aca="false">IFERROR(IF([1]对账明细接口!$P707=0,"",[1]对账明细接口!$P707),"")</f>
        <v/>
      </c>
      <c r="V707" s="112" t="str">
        <f aca="false">IFERROR(IF([1]对账明细接口!$Q707=0,"",[1]对账明细接口!$Q707),"")</f>
        <v/>
      </c>
      <c r="W707" s="10" t="str">
        <f aca="false">IFERROR(IF([1]对账明细接口!$R707=0,"",[1]对账明细接口!$R707),"")</f>
        <v/>
      </c>
      <c r="X707" s="10" t="str">
        <f aca="false">IFERROR(IF([1]对账明细接口!$S707=0,"",[1]对账明细接口!$S707),"")</f>
        <v/>
      </c>
      <c r="Y707" s="10" t="str">
        <f aca="false">""</f>
        <v/>
      </c>
      <c r="Z707" s="10" t="str">
        <f aca="false">""</f>
        <v/>
      </c>
      <c r="AA707" s="10" t="str">
        <f aca="false">""</f>
        <v/>
      </c>
      <c r="AB707" s="10" t="str">
        <f aca="false">""</f>
        <v/>
      </c>
    </row>
    <row r="708" customFormat="false" ht="13.5" hidden="false" customHeight="false" outlineLevel="0" collapsed="false">
      <c r="A708" s="109" t="n">
        <v>708</v>
      </c>
      <c r="B708" s="110" t="str">
        <f aca="false">IFERROR(IF([1]对账明细接口!$B$708=0,"",[1]对账明细接口!$B$708),"")</f>
        <v/>
      </c>
      <c r="C708" s="59" t="str">
        <f aca="false">IFERROR(IF([1]对账明细接口!$C$708=0,"",[1]对账明细接口!$C$708),"")</f>
        <v/>
      </c>
      <c r="D708" s="59" t="str">
        <f aca="false">IFERROR(IF([1]对账明细接口!$D$708=0,"",[1]对账明细接口!$D$708),"")</f>
        <v/>
      </c>
      <c r="E708" s="59" t="str">
        <f aca="false">IFERROR(IF([1]对账明细接口!$E$708=0,"",[1]对账明细接口!$E$708),"")</f>
        <v/>
      </c>
      <c r="F708" s="59" t="str">
        <f aca="false">IFERROR(IF([1]对账明细接口!$F$708=0,"",[1]对账明细接口!$F$708),"")</f>
        <v/>
      </c>
      <c r="G708" s="59" t="str">
        <f aca="false">IFERROR(IF([1]对账明细接口!$G$708=0,"",[1]对账明细接口!$G$708),"")</f>
        <v/>
      </c>
      <c r="H708" s="60" t="str">
        <f aca="false">IFERROR(IF([1]对账明细接口!$H$708=0,"",[1]对账明细接口!$H$708),"")</f>
        <v/>
      </c>
      <c r="I708" s="59" t="str">
        <f aca="false">IFERROR(IF([1]对账明细接口!$I$708=0,"",[1]对账明细接口!$I$708),"")</f>
        <v/>
      </c>
      <c r="J708" s="61" t="str">
        <f aca="false">IFERROR(IF([1]对账明细接口!$J$708=0,"",[1]对账明细接口!$J$708),"")</f>
        <v/>
      </c>
      <c r="K708" s="61" t="str">
        <f aca="false">IFERROR(IF([1]对账明细接口!$K$708=0,"",[1]对账明细接口!$K$708),"")</f>
        <v/>
      </c>
      <c r="L708" s="59" t="str">
        <f aca="false">IFERROR(IF([1]对账明细接口!$L$708=0,"",[1]对账明细接口!$L$708),"")</f>
        <v/>
      </c>
      <c r="M708" s="59" t="str">
        <f aca="false">IFERROR(IF([1]对账明细接口!$M$708=0,"",[1]对账明细接口!$M$708),"")</f>
        <v/>
      </c>
      <c r="N708" s="111" t="n">
        <f aca="false">IF($C708="",0,1)</f>
        <v>0</v>
      </c>
      <c r="O708" s="111" t="n">
        <f aca="false">N(O707)+$N708</f>
        <v>110</v>
      </c>
      <c r="S708" s="10" t="str">
        <f aca="false">IFERROR(IF([1]对账明细接口!$N708=0,"",[1]对账明细接口!$N708),"")</f>
        <v/>
      </c>
      <c r="T708" s="112" t="str">
        <f aca="false">IFERROR(IF([1]对账明细接口!$O708=0,"",[1]对账明细接口!$O708),"")</f>
        <v/>
      </c>
      <c r="U708" s="112" t="str">
        <f aca="false">IFERROR(IF([1]对账明细接口!$P708=0,"",[1]对账明细接口!$P708),"")</f>
        <v/>
      </c>
      <c r="V708" s="112" t="str">
        <f aca="false">IFERROR(IF([1]对账明细接口!$Q708=0,"",[1]对账明细接口!$Q708),"")</f>
        <v/>
      </c>
      <c r="W708" s="10" t="str">
        <f aca="false">IFERROR(IF([1]对账明细接口!$R708=0,"",[1]对账明细接口!$R708),"")</f>
        <v/>
      </c>
      <c r="X708" s="10" t="str">
        <f aca="false">IFERROR(IF([1]对账明细接口!$S708=0,"",[1]对账明细接口!$S708),"")</f>
        <v/>
      </c>
      <c r="Y708" s="10" t="str">
        <f aca="false">""</f>
        <v/>
      </c>
      <c r="Z708" s="10" t="str">
        <f aca="false">""</f>
        <v/>
      </c>
      <c r="AA708" s="10" t="str">
        <f aca="false">""</f>
        <v/>
      </c>
      <c r="AB708" s="10" t="str">
        <f aca="false">""</f>
        <v/>
      </c>
    </row>
    <row r="709" customFormat="false" ht="13.5" hidden="false" customHeight="false" outlineLevel="0" collapsed="false">
      <c r="A709" s="109" t="n">
        <v>709</v>
      </c>
      <c r="B709" s="110" t="str">
        <f aca="false">IFERROR(IF([1]对账明细接口!$B$709=0,"",[1]对账明细接口!$B$709),"")</f>
        <v/>
      </c>
      <c r="C709" s="59" t="str">
        <f aca="false">IFERROR(IF([1]对账明细接口!$C$709=0,"",[1]对账明细接口!$C$709),"")</f>
        <v/>
      </c>
      <c r="D709" s="59" t="str">
        <f aca="false">IFERROR(IF([1]对账明细接口!$D$709=0,"",[1]对账明细接口!$D$709),"")</f>
        <v/>
      </c>
      <c r="E709" s="59" t="str">
        <f aca="false">IFERROR(IF([1]对账明细接口!$E$709=0,"",[1]对账明细接口!$E$709),"")</f>
        <v/>
      </c>
      <c r="F709" s="59" t="str">
        <f aca="false">IFERROR(IF([1]对账明细接口!$F$709=0,"",[1]对账明细接口!$F$709),"")</f>
        <v/>
      </c>
      <c r="G709" s="59" t="str">
        <f aca="false">IFERROR(IF([1]对账明细接口!$G$709=0,"",[1]对账明细接口!$G$709),"")</f>
        <v/>
      </c>
      <c r="H709" s="60" t="str">
        <f aca="false">IFERROR(IF([1]对账明细接口!$H$709=0,"",[1]对账明细接口!$H$709),"")</f>
        <v/>
      </c>
      <c r="I709" s="59" t="str">
        <f aca="false">IFERROR(IF([1]对账明细接口!$I$709=0,"",[1]对账明细接口!$I$709),"")</f>
        <v/>
      </c>
      <c r="J709" s="61" t="str">
        <f aca="false">IFERROR(IF([1]对账明细接口!$J$709=0,"",[1]对账明细接口!$J$709),"")</f>
        <v/>
      </c>
      <c r="K709" s="61" t="str">
        <f aca="false">IFERROR(IF([1]对账明细接口!$K$709=0,"",[1]对账明细接口!$K$709),"")</f>
        <v/>
      </c>
      <c r="L709" s="59" t="str">
        <f aca="false">IFERROR(IF([1]对账明细接口!$L$709=0,"",[1]对账明细接口!$L$709),"")</f>
        <v/>
      </c>
      <c r="M709" s="59" t="str">
        <f aca="false">IFERROR(IF([1]对账明细接口!$M$709=0,"",[1]对账明细接口!$M$709),"")</f>
        <v/>
      </c>
      <c r="N709" s="111" t="n">
        <f aca="false">IF($C709="",0,1)</f>
        <v>0</v>
      </c>
      <c r="O709" s="111" t="n">
        <f aca="false">N(O708)+$N709</f>
        <v>110</v>
      </c>
      <c r="S709" s="10" t="str">
        <f aca="false">IFERROR(IF([1]对账明细接口!$N709=0,"",[1]对账明细接口!$N709),"")</f>
        <v/>
      </c>
      <c r="T709" s="112" t="str">
        <f aca="false">IFERROR(IF([1]对账明细接口!$O709=0,"",[1]对账明细接口!$O709),"")</f>
        <v/>
      </c>
      <c r="U709" s="112" t="str">
        <f aca="false">IFERROR(IF([1]对账明细接口!$P709=0,"",[1]对账明细接口!$P709),"")</f>
        <v/>
      </c>
      <c r="V709" s="112" t="str">
        <f aca="false">IFERROR(IF([1]对账明细接口!$Q709=0,"",[1]对账明细接口!$Q709),"")</f>
        <v/>
      </c>
      <c r="W709" s="10" t="str">
        <f aca="false">IFERROR(IF([1]对账明细接口!$R709=0,"",[1]对账明细接口!$R709),"")</f>
        <v/>
      </c>
      <c r="X709" s="10" t="str">
        <f aca="false">IFERROR(IF([1]对账明细接口!$S709=0,"",[1]对账明细接口!$S709),"")</f>
        <v/>
      </c>
      <c r="Y709" s="10" t="str">
        <f aca="false">""</f>
        <v/>
      </c>
      <c r="Z709" s="10" t="str">
        <f aca="false">""</f>
        <v/>
      </c>
      <c r="AA709" s="10" t="str">
        <f aca="false">""</f>
        <v/>
      </c>
      <c r="AB709" s="10" t="str">
        <f aca="false">""</f>
        <v/>
      </c>
    </row>
    <row r="710" customFormat="false" ht="13.5" hidden="false" customHeight="false" outlineLevel="0" collapsed="false">
      <c r="A710" s="109" t="n">
        <v>710</v>
      </c>
      <c r="B710" s="110" t="str">
        <f aca="false">IFERROR(IF([1]对账明细接口!$B$710=0,"",[1]对账明细接口!$B$710),"")</f>
        <v/>
      </c>
      <c r="C710" s="59" t="str">
        <f aca="false">IFERROR(IF([1]对账明细接口!$C$710=0,"",[1]对账明细接口!$C$710),"")</f>
        <v/>
      </c>
      <c r="D710" s="59" t="str">
        <f aca="false">IFERROR(IF([1]对账明细接口!$D$710=0,"",[1]对账明细接口!$D$710),"")</f>
        <v/>
      </c>
      <c r="E710" s="59" t="str">
        <f aca="false">IFERROR(IF([1]对账明细接口!$E$710=0,"",[1]对账明细接口!$E$710),"")</f>
        <v/>
      </c>
      <c r="F710" s="59" t="str">
        <f aca="false">IFERROR(IF([1]对账明细接口!$F$710=0,"",[1]对账明细接口!$F$710),"")</f>
        <v/>
      </c>
      <c r="G710" s="59" t="str">
        <f aca="false">IFERROR(IF([1]对账明细接口!$G$710=0,"",[1]对账明细接口!$G$710),"")</f>
        <v/>
      </c>
      <c r="H710" s="60" t="str">
        <f aca="false">IFERROR(IF([1]对账明细接口!$H$710=0,"",[1]对账明细接口!$H$710),"")</f>
        <v/>
      </c>
      <c r="I710" s="59" t="str">
        <f aca="false">IFERROR(IF([1]对账明细接口!$I$710=0,"",[1]对账明细接口!$I$710),"")</f>
        <v/>
      </c>
      <c r="J710" s="61" t="str">
        <f aca="false">IFERROR(IF([1]对账明细接口!$J$710=0,"",[1]对账明细接口!$J$710),"")</f>
        <v/>
      </c>
      <c r="K710" s="61" t="str">
        <f aca="false">IFERROR(IF([1]对账明细接口!$K$710=0,"",[1]对账明细接口!$K$710),"")</f>
        <v/>
      </c>
      <c r="L710" s="59" t="str">
        <f aca="false">IFERROR(IF([1]对账明细接口!$L$710=0,"",[1]对账明细接口!$L$710),"")</f>
        <v/>
      </c>
      <c r="M710" s="59" t="str">
        <f aca="false">IFERROR(IF([1]对账明细接口!$M$710=0,"",[1]对账明细接口!$M$710),"")</f>
        <v/>
      </c>
      <c r="N710" s="111" t="n">
        <f aca="false">IF($C710="",0,1)</f>
        <v>0</v>
      </c>
      <c r="O710" s="111" t="n">
        <f aca="false">N(O709)+$N710</f>
        <v>110</v>
      </c>
      <c r="S710" s="10" t="str">
        <f aca="false">IFERROR(IF([1]对账明细接口!$N710=0,"",[1]对账明细接口!$N710),"")</f>
        <v/>
      </c>
      <c r="T710" s="112" t="str">
        <f aca="false">IFERROR(IF([1]对账明细接口!$O710=0,"",[1]对账明细接口!$O710),"")</f>
        <v/>
      </c>
      <c r="U710" s="112" t="str">
        <f aca="false">IFERROR(IF([1]对账明细接口!$P710=0,"",[1]对账明细接口!$P710),"")</f>
        <v/>
      </c>
      <c r="V710" s="112" t="str">
        <f aca="false">IFERROR(IF([1]对账明细接口!$Q710=0,"",[1]对账明细接口!$Q710),"")</f>
        <v/>
      </c>
      <c r="W710" s="10" t="str">
        <f aca="false">IFERROR(IF([1]对账明细接口!$R710=0,"",[1]对账明细接口!$R710),"")</f>
        <v/>
      </c>
      <c r="X710" s="10" t="str">
        <f aca="false">IFERROR(IF([1]对账明细接口!$S710=0,"",[1]对账明细接口!$S710),"")</f>
        <v/>
      </c>
      <c r="Y710" s="10" t="str">
        <f aca="false">""</f>
        <v/>
      </c>
      <c r="Z710" s="10" t="str">
        <f aca="false">""</f>
        <v/>
      </c>
      <c r="AA710" s="10" t="str">
        <f aca="false">""</f>
        <v/>
      </c>
      <c r="AB710" s="10" t="str">
        <f aca="false">""</f>
        <v/>
      </c>
    </row>
    <row r="711" customFormat="false" ht="13.5" hidden="false" customHeight="false" outlineLevel="0" collapsed="false">
      <c r="A711" s="109" t="n">
        <v>711</v>
      </c>
      <c r="B711" s="110" t="str">
        <f aca="false">IFERROR(IF([1]对账明细接口!$B$711=0,"",[1]对账明细接口!$B$711),"")</f>
        <v/>
      </c>
      <c r="C711" s="59" t="str">
        <f aca="false">IFERROR(IF([1]对账明细接口!$C$711=0,"",[1]对账明细接口!$C$711),"")</f>
        <v/>
      </c>
      <c r="D711" s="59" t="str">
        <f aca="false">IFERROR(IF([1]对账明细接口!$D$711=0,"",[1]对账明细接口!$D$711),"")</f>
        <v/>
      </c>
      <c r="E711" s="59" t="str">
        <f aca="false">IFERROR(IF([1]对账明细接口!$E$711=0,"",[1]对账明细接口!$E$711),"")</f>
        <v/>
      </c>
      <c r="F711" s="59" t="str">
        <f aca="false">IFERROR(IF([1]对账明细接口!$F$711=0,"",[1]对账明细接口!$F$711),"")</f>
        <v/>
      </c>
      <c r="G711" s="59" t="str">
        <f aca="false">IFERROR(IF([1]对账明细接口!$G$711=0,"",[1]对账明细接口!$G$711),"")</f>
        <v/>
      </c>
      <c r="H711" s="60" t="str">
        <f aca="false">IFERROR(IF([1]对账明细接口!$H$711=0,"",[1]对账明细接口!$H$711),"")</f>
        <v/>
      </c>
      <c r="I711" s="59" t="str">
        <f aca="false">IFERROR(IF([1]对账明细接口!$I$711=0,"",[1]对账明细接口!$I$711),"")</f>
        <v/>
      </c>
      <c r="J711" s="61" t="str">
        <f aca="false">IFERROR(IF([1]对账明细接口!$J$711=0,"",[1]对账明细接口!$J$711),"")</f>
        <v/>
      </c>
      <c r="K711" s="61" t="str">
        <f aca="false">IFERROR(IF([1]对账明细接口!$K$711=0,"",[1]对账明细接口!$K$711),"")</f>
        <v/>
      </c>
      <c r="L711" s="59" t="str">
        <f aca="false">IFERROR(IF([1]对账明细接口!$L$711=0,"",[1]对账明细接口!$L$711),"")</f>
        <v/>
      </c>
      <c r="M711" s="59" t="str">
        <f aca="false">IFERROR(IF([1]对账明细接口!$M$711=0,"",[1]对账明细接口!$M$711),"")</f>
        <v/>
      </c>
      <c r="N711" s="111" t="n">
        <f aca="false">IF($C711="",0,1)</f>
        <v>0</v>
      </c>
      <c r="O711" s="111" t="n">
        <f aca="false">N(O710)+$N711</f>
        <v>110</v>
      </c>
      <c r="S711" s="10" t="str">
        <f aca="false">IFERROR(IF([1]对账明细接口!$N711=0,"",[1]对账明细接口!$N711),"")</f>
        <v/>
      </c>
      <c r="T711" s="112" t="str">
        <f aca="false">IFERROR(IF([1]对账明细接口!$O711=0,"",[1]对账明细接口!$O711),"")</f>
        <v/>
      </c>
      <c r="U711" s="112" t="str">
        <f aca="false">IFERROR(IF([1]对账明细接口!$P711=0,"",[1]对账明细接口!$P711),"")</f>
        <v/>
      </c>
      <c r="V711" s="112" t="str">
        <f aca="false">IFERROR(IF([1]对账明细接口!$Q711=0,"",[1]对账明细接口!$Q711),"")</f>
        <v/>
      </c>
      <c r="W711" s="10" t="str">
        <f aca="false">IFERROR(IF([1]对账明细接口!$R711=0,"",[1]对账明细接口!$R711),"")</f>
        <v/>
      </c>
      <c r="X711" s="10" t="str">
        <f aca="false">IFERROR(IF([1]对账明细接口!$S711=0,"",[1]对账明细接口!$S711),"")</f>
        <v/>
      </c>
      <c r="Y711" s="10" t="str">
        <f aca="false">""</f>
        <v/>
      </c>
      <c r="Z711" s="10" t="str">
        <f aca="false">""</f>
        <v/>
      </c>
      <c r="AA711" s="10" t="str">
        <f aca="false">""</f>
        <v/>
      </c>
      <c r="AB711" s="10" t="str">
        <f aca="false">""</f>
        <v/>
      </c>
    </row>
    <row r="712" customFormat="false" ht="13.5" hidden="false" customHeight="false" outlineLevel="0" collapsed="false">
      <c r="A712" s="109" t="n">
        <v>712</v>
      </c>
      <c r="B712" s="110" t="str">
        <f aca="false">IFERROR(IF([1]对账明细接口!$B$712=0,"",[1]对账明细接口!$B$712),"")</f>
        <v/>
      </c>
      <c r="C712" s="59" t="str">
        <f aca="false">IFERROR(IF([1]对账明细接口!$C$712=0,"",[1]对账明细接口!$C$712),"")</f>
        <v/>
      </c>
      <c r="D712" s="59" t="str">
        <f aca="false">IFERROR(IF([1]对账明细接口!$D$712=0,"",[1]对账明细接口!$D$712),"")</f>
        <v/>
      </c>
      <c r="E712" s="59" t="str">
        <f aca="false">IFERROR(IF([1]对账明细接口!$E$712=0,"",[1]对账明细接口!$E$712),"")</f>
        <v/>
      </c>
      <c r="F712" s="59" t="str">
        <f aca="false">IFERROR(IF([1]对账明细接口!$F$712=0,"",[1]对账明细接口!$F$712),"")</f>
        <v/>
      </c>
      <c r="G712" s="59" t="str">
        <f aca="false">IFERROR(IF([1]对账明细接口!$G$712=0,"",[1]对账明细接口!$G$712),"")</f>
        <v/>
      </c>
      <c r="H712" s="60" t="str">
        <f aca="false">IFERROR(IF([1]对账明细接口!$H$712=0,"",[1]对账明细接口!$H$712),"")</f>
        <v/>
      </c>
      <c r="I712" s="59" t="str">
        <f aca="false">IFERROR(IF([1]对账明细接口!$I$712=0,"",[1]对账明细接口!$I$712),"")</f>
        <v/>
      </c>
      <c r="J712" s="61" t="str">
        <f aca="false">IFERROR(IF([1]对账明细接口!$J$712=0,"",[1]对账明细接口!$J$712),"")</f>
        <v/>
      </c>
      <c r="K712" s="61" t="str">
        <f aca="false">IFERROR(IF([1]对账明细接口!$K$712=0,"",[1]对账明细接口!$K$712),"")</f>
        <v/>
      </c>
      <c r="L712" s="59" t="str">
        <f aca="false">IFERROR(IF([1]对账明细接口!$L$712=0,"",[1]对账明细接口!$L$712),"")</f>
        <v/>
      </c>
      <c r="M712" s="59" t="str">
        <f aca="false">IFERROR(IF([1]对账明细接口!$M$712=0,"",[1]对账明细接口!$M$712),"")</f>
        <v/>
      </c>
      <c r="N712" s="111" t="n">
        <f aca="false">IF($C712="",0,1)</f>
        <v>0</v>
      </c>
      <c r="O712" s="111" t="n">
        <f aca="false">N(O711)+$N712</f>
        <v>110</v>
      </c>
      <c r="S712" s="10" t="str">
        <f aca="false">IFERROR(IF([1]对账明细接口!$N712=0,"",[1]对账明细接口!$N712),"")</f>
        <v/>
      </c>
      <c r="T712" s="112" t="str">
        <f aca="false">IFERROR(IF([1]对账明细接口!$O712=0,"",[1]对账明细接口!$O712),"")</f>
        <v/>
      </c>
      <c r="U712" s="112" t="str">
        <f aca="false">IFERROR(IF([1]对账明细接口!$P712=0,"",[1]对账明细接口!$P712),"")</f>
        <v/>
      </c>
      <c r="V712" s="112" t="str">
        <f aca="false">IFERROR(IF([1]对账明细接口!$Q712=0,"",[1]对账明细接口!$Q712),"")</f>
        <v/>
      </c>
      <c r="W712" s="10" t="str">
        <f aca="false">IFERROR(IF([1]对账明细接口!$R712=0,"",[1]对账明细接口!$R712),"")</f>
        <v/>
      </c>
      <c r="X712" s="10" t="str">
        <f aca="false">IFERROR(IF([1]对账明细接口!$S712=0,"",[1]对账明细接口!$S712),"")</f>
        <v/>
      </c>
      <c r="Y712" s="10" t="str">
        <f aca="false">""</f>
        <v/>
      </c>
      <c r="Z712" s="10" t="str">
        <f aca="false">""</f>
        <v/>
      </c>
      <c r="AA712" s="10" t="str">
        <f aca="false">""</f>
        <v/>
      </c>
      <c r="AB712" s="10" t="str">
        <f aca="false">""</f>
        <v/>
      </c>
    </row>
    <row r="713" customFormat="false" ht="13.5" hidden="false" customHeight="false" outlineLevel="0" collapsed="false">
      <c r="A713" s="109" t="n">
        <v>713</v>
      </c>
      <c r="B713" s="110" t="str">
        <f aca="false">IFERROR(IF([1]对账明细接口!$B$713=0,"",[1]对账明细接口!$B$713),"")</f>
        <v/>
      </c>
      <c r="C713" s="59" t="str">
        <f aca="false">IFERROR(IF([1]对账明细接口!$C$713=0,"",[1]对账明细接口!$C$713),"")</f>
        <v/>
      </c>
      <c r="D713" s="59" t="str">
        <f aca="false">IFERROR(IF([1]对账明细接口!$D$713=0,"",[1]对账明细接口!$D$713),"")</f>
        <v/>
      </c>
      <c r="E713" s="59" t="str">
        <f aca="false">IFERROR(IF([1]对账明细接口!$E$713=0,"",[1]对账明细接口!$E$713),"")</f>
        <v/>
      </c>
      <c r="F713" s="59" t="str">
        <f aca="false">IFERROR(IF([1]对账明细接口!$F$713=0,"",[1]对账明细接口!$F$713),"")</f>
        <v/>
      </c>
      <c r="G713" s="59" t="str">
        <f aca="false">IFERROR(IF([1]对账明细接口!$G$713=0,"",[1]对账明细接口!$G$713),"")</f>
        <v/>
      </c>
      <c r="H713" s="60" t="str">
        <f aca="false">IFERROR(IF([1]对账明细接口!$H$713=0,"",[1]对账明细接口!$H$713),"")</f>
        <v/>
      </c>
      <c r="I713" s="59" t="str">
        <f aca="false">IFERROR(IF([1]对账明细接口!$I$713=0,"",[1]对账明细接口!$I$713),"")</f>
        <v/>
      </c>
      <c r="J713" s="61" t="str">
        <f aca="false">IFERROR(IF([1]对账明细接口!$J$713=0,"",[1]对账明细接口!$J$713),"")</f>
        <v/>
      </c>
      <c r="K713" s="61" t="str">
        <f aca="false">IFERROR(IF([1]对账明细接口!$K$713=0,"",[1]对账明细接口!$K$713),"")</f>
        <v/>
      </c>
      <c r="L713" s="59" t="str">
        <f aca="false">IFERROR(IF([1]对账明细接口!$L$713=0,"",[1]对账明细接口!$L$713),"")</f>
        <v/>
      </c>
      <c r="M713" s="59" t="str">
        <f aca="false">IFERROR(IF([1]对账明细接口!$M$713=0,"",[1]对账明细接口!$M$713),"")</f>
        <v/>
      </c>
      <c r="N713" s="111" t="n">
        <f aca="false">IF($C713="",0,1)</f>
        <v>0</v>
      </c>
      <c r="O713" s="111" t="n">
        <f aca="false">N(O712)+$N713</f>
        <v>110</v>
      </c>
      <c r="S713" s="10" t="str">
        <f aca="false">IFERROR(IF([1]对账明细接口!$N713=0,"",[1]对账明细接口!$N713),"")</f>
        <v/>
      </c>
      <c r="T713" s="112" t="str">
        <f aca="false">IFERROR(IF([1]对账明细接口!$O713=0,"",[1]对账明细接口!$O713),"")</f>
        <v/>
      </c>
      <c r="U713" s="112" t="str">
        <f aca="false">IFERROR(IF([1]对账明细接口!$P713=0,"",[1]对账明细接口!$P713),"")</f>
        <v/>
      </c>
      <c r="V713" s="112" t="str">
        <f aca="false">IFERROR(IF([1]对账明细接口!$Q713=0,"",[1]对账明细接口!$Q713),"")</f>
        <v/>
      </c>
      <c r="W713" s="10" t="str">
        <f aca="false">IFERROR(IF([1]对账明细接口!$R713=0,"",[1]对账明细接口!$R713),"")</f>
        <v/>
      </c>
      <c r="X713" s="10" t="str">
        <f aca="false">IFERROR(IF([1]对账明细接口!$S713=0,"",[1]对账明细接口!$S713),"")</f>
        <v/>
      </c>
      <c r="Y713" s="10" t="str">
        <f aca="false">""</f>
        <v/>
      </c>
      <c r="Z713" s="10" t="str">
        <f aca="false">""</f>
        <v/>
      </c>
      <c r="AA713" s="10" t="str">
        <f aca="false">""</f>
        <v/>
      </c>
      <c r="AB713" s="10" t="str">
        <f aca="false">""</f>
        <v/>
      </c>
    </row>
    <row r="714" customFormat="false" ht="13.5" hidden="false" customHeight="false" outlineLevel="0" collapsed="false">
      <c r="A714" s="109" t="n">
        <v>714</v>
      </c>
      <c r="B714" s="110" t="str">
        <f aca="false">IFERROR(IF([1]对账明细接口!$B$714=0,"",[1]对账明细接口!$B$714),"")</f>
        <v/>
      </c>
      <c r="C714" s="59" t="str">
        <f aca="false">IFERROR(IF([1]对账明细接口!$C$714=0,"",[1]对账明细接口!$C$714),"")</f>
        <v/>
      </c>
      <c r="D714" s="59" t="str">
        <f aca="false">IFERROR(IF([1]对账明细接口!$D$714=0,"",[1]对账明细接口!$D$714),"")</f>
        <v/>
      </c>
      <c r="E714" s="59" t="str">
        <f aca="false">IFERROR(IF([1]对账明细接口!$E$714=0,"",[1]对账明细接口!$E$714),"")</f>
        <v/>
      </c>
      <c r="F714" s="59" t="str">
        <f aca="false">IFERROR(IF([1]对账明细接口!$F$714=0,"",[1]对账明细接口!$F$714),"")</f>
        <v/>
      </c>
      <c r="G714" s="59" t="str">
        <f aca="false">IFERROR(IF([1]对账明细接口!$G$714=0,"",[1]对账明细接口!$G$714),"")</f>
        <v/>
      </c>
      <c r="H714" s="60" t="str">
        <f aca="false">IFERROR(IF([1]对账明细接口!$H$714=0,"",[1]对账明细接口!$H$714),"")</f>
        <v/>
      </c>
      <c r="I714" s="59" t="str">
        <f aca="false">IFERROR(IF([1]对账明细接口!$I$714=0,"",[1]对账明细接口!$I$714),"")</f>
        <v/>
      </c>
      <c r="J714" s="61" t="str">
        <f aca="false">IFERROR(IF([1]对账明细接口!$J$714=0,"",[1]对账明细接口!$J$714),"")</f>
        <v/>
      </c>
      <c r="K714" s="61" t="str">
        <f aca="false">IFERROR(IF([1]对账明细接口!$K$714=0,"",[1]对账明细接口!$K$714),"")</f>
        <v/>
      </c>
      <c r="L714" s="59" t="str">
        <f aca="false">IFERROR(IF([1]对账明细接口!$L$714=0,"",[1]对账明细接口!$L$714),"")</f>
        <v/>
      </c>
      <c r="M714" s="59" t="str">
        <f aca="false">IFERROR(IF([1]对账明细接口!$M$714=0,"",[1]对账明细接口!$M$714),"")</f>
        <v/>
      </c>
      <c r="N714" s="111" t="n">
        <f aca="false">IF($C714="",0,1)</f>
        <v>0</v>
      </c>
      <c r="O714" s="111" t="n">
        <f aca="false">N(O713)+$N714</f>
        <v>110</v>
      </c>
      <c r="S714" s="10" t="str">
        <f aca="false">IFERROR(IF([1]对账明细接口!$N714=0,"",[1]对账明细接口!$N714),"")</f>
        <v/>
      </c>
      <c r="T714" s="112" t="str">
        <f aca="false">IFERROR(IF([1]对账明细接口!$O714=0,"",[1]对账明细接口!$O714),"")</f>
        <v/>
      </c>
      <c r="U714" s="112" t="str">
        <f aca="false">IFERROR(IF([1]对账明细接口!$P714=0,"",[1]对账明细接口!$P714),"")</f>
        <v/>
      </c>
      <c r="V714" s="112" t="str">
        <f aca="false">IFERROR(IF([1]对账明细接口!$Q714=0,"",[1]对账明细接口!$Q714),"")</f>
        <v/>
      </c>
      <c r="W714" s="10" t="str">
        <f aca="false">IFERROR(IF([1]对账明细接口!$R714=0,"",[1]对账明细接口!$R714),"")</f>
        <v/>
      </c>
      <c r="X714" s="10" t="str">
        <f aca="false">IFERROR(IF([1]对账明细接口!$S714=0,"",[1]对账明细接口!$S714),"")</f>
        <v/>
      </c>
      <c r="Y714" s="10" t="str">
        <f aca="false">""</f>
        <v/>
      </c>
      <c r="Z714" s="10" t="str">
        <f aca="false">""</f>
        <v/>
      </c>
      <c r="AA714" s="10" t="str">
        <f aca="false">""</f>
        <v/>
      </c>
      <c r="AB714" s="10" t="str">
        <f aca="false">""</f>
        <v/>
      </c>
    </row>
    <row r="715" customFormat="false" ht="13.5" hidden="false" customHeight="false" outlineLevel="0" collapsed="false">
      <c r="A715" s="109" t="n">
        <v>715</v>
      </c>
      <c r="B715" s="110" t="str">
        <f aca="false">IFERROR(IF([1]对账明细接口!$B$715=0,"",[1]对账明细接口!$B$715),"")</f>
        <v/>
      </c>
      <c r="C715" s="59" t="str">
        <f aca="false">IFERROR(IF([1]对账明细接口!$C$715=0,"",[1]对账明细接口!$C$715),"")</f>
        <v/>
      </c>
      <c r="D715" s="59" t="str">
        <f aca="false">IFERROR(IF([1]对账明细接口!$D$715=0,"",[1]对账明细接口!$D$715),"")</f>
        <v/>
      </c>
      <c r="E715" s="59" t="str">
        <f aca="false">IFERROR(IF([1]对账明细接口!$E$715=0,"",[1]对账明细接口!$E$715),"")</f>
        <v/>
      </c>
      <c r="F715" s="59" t="str">
        <f aca="false">IFERROR(IF([1]对账明细接口!$F$715=0,"",[1]对账明细接口!$F$715),"")</f>
        <v/>
      </c>
      <c r="G715" s="59" t="str">
        <f aca="false">IFERROR(IF([1]对账明细接口!$G$715=0,"",[1]对账明细接口!$G$715),"")</f>
        <v/>
      </c>
      <c r="H715" s="60" t="str">
        <f aca="false">IFERROR(IF([1]对账明细接口!$H$715=0,"",[1]对账明细接口!$H$715),"")</f>
        <v/>
      </c>
      <c r="I715" s="59" t="str">
        <f aca="false">IFERROR(IF([1]对账明细接口!$I$715=0,"",[1]对账明细接口!$I$715),"")</f>
        <v/>
      </c>
      <c r="J715" s="61" t="str">
        <f aca="false">IFERROR(IF([1]对账明细接口!$J$715=0,"",[1]对账明细接口!$J$715),"")</f>
        <v/>
      </c>
      <c r="K715" s="61" t="str">
        <f aca="false">IFERROR(IF([1]对账明细接口!$K$715=0,"",[1]对账明细接口!$K$715),"")</f>
        <v/>
      </c>
      <c r="L715" s="59" t="str">
        <f aca="false">IFERROR(IF([1]对账明细接口!$L$715=0,"",[1]对账明细接口!$L$715),"")</f>
        <v/>
      </c>
      <c r="M715" s="59" t="str">
        <f aca="false">IFERROR(IF([1]对账明细接口!$M$715=0,"",[1]对账明细接口!$M$715),"")</f>
        <v/>
      </c>
      <c r="N715" s="111" t="n">
        <f aca="false">IF($C715="",0,1)</f>
        <v>0</v>
      </c>
      <c r="O715" s="111" t="n">
        <f aca="false">N(O714)+$N715</f>
        <v>110</v>
      </c>
      <c r="S715" s="10" t="str">
        <f aca="false">IFERROR(IF([1]对账明细接口!$N715=0,"",[1]对账明细接口!$N715),"")</f>
        <v/>
      </c>
      <c r="T715" s="112" t="str">
        <f aca="false">IFERROR(IF([1]对账明细接口!$O715=0,"",[1]对账明细接口!$O715),"")</f>
        <v/>
      </c>
      <c r="U715" s="112" t="str">
        <f aca="false">IFERROR(IF([1]对账明细接口!$P715=0,"",[1]对账明细接口!$P715),"")</f>
        <v/>
      </c>
      <c r="V715" s="112" t="str">
        <f aca="false">IFERROR(IF([1]对账明细接口!$Q715=0,"",[1]对账明细接口!$Q715),"")</f>
        <v/>
      </c>
      <c r="W715" s="10" t="str">
        <f aca="false">IFERROR(IF([1]对账明细接口!$R715=0,"",[1]对账明细接口!$R715),"")</f>
        <v/>
      </c>
      <c r="X715" s="10" t="str">
        <f aca="false">IFERROR(IF([1]对账明细接口!$S715=0,"",[1]对账明细接口!$S715),"")</f>
        <v/>
      </c>
      <c r="Y715" s="10" t="str">
        <f aca="false">""</f>
        <v/>
      </c>
      <c r="Z715" s="10" t="str">
        <f aca="false">""</f>
        <v/>
      </c>
      <c r="AA715" s="10" t="str">
        <f aca="false">""</f>
        <v/>
      </c>
      <c r="AB715" s="10" t="str">
        <f aca="false">""</f>
        <v/>
      </c>
    </row>
    <row r="716" customFormat="false" ht="13.5" hidden="false" customHeight="false" outlineLevel="0" collapsed="false">
      <c r="A716" s="109" t="n">
        <v>716</v>
      </c>
      <c r="B716" s="110" t="str">
        <f aca="false">IFERROR(IF([1]对账明细接口!$B$716=0,"",[1]对账明细接口!$B$716),"")</f>
        <v/>
      </c>
      <c r="C716" s="59" t="str">
        <f aca="false">IFERROR(IF([1]对账明细接口!$C$716=0,"",[1]对账明细接口!$C$716),"")</f>
        <v/>
      </c>
      <c r="D716" s="59" t="str">
        <f aca="false">IFERROR(IF([1]对账明细接口!$D$716=0,"",[1]对账明细接口!$D$716),"")</f>
        <v/>
      </c>
      <c r="E716" s="59" t="str">
        <f aca="false">IFERROR(IF([1]对账明细接口!$E$716=0,"",[1]对账明细接口!$E$716),"")</f>
        <v/>
      </c>
      <c r="F716" s="59" t="str">
        <f aca="false">IFERROR(IF([1]对账明细接口!$F$716=0,"",[1]对账明细接口!$F$716),"")</f>
        <v/>
      </c>
      <c r="G716" s="59" t="str">
        <f aca="false">IFERROR(IF([1]对账明细接口!$G$716=0,"",[1]对账明细接口!$G$716),"")</f>
        <v/>
      </c>
      <c r="H716" s="60" t="str">
        <f aca="false">IFERROR(IF([1]对账明细接口!$H$716=0,"",[1]对账明细接口!$H$716),"")</f>
        <v/>
      </c>
      <c r="I716" s="59" t="str">
        <f aca="false">IFERROR(IF([1]对账明细接口!$I$716=0,"",[1]对账明细接口!$I$716),"")</f>
        <v/>
      </c>
      <c r="J716" s="61" t="str">
        <f aca="false">IFERROR(IF([1]对账明细接口!$J$716=0,"",[1]对账明细接口!$J$716),"")</f>
        <v/>
      </c>
      <c r="K716" s="61" t="str">
        <f aca="false">IFERROR(IF([1]对账明细接口!$K$716=0,"",[1]对账明细接口!$K$716),"")</f>
        <v/>
      </c>
      <c r="L716" s="59" t="str">
        <f aca="false">IFERROR(IF([1]对账明细接口!$L$716=0,"",[1]对账明细接口!$L$716),"")</f>
        <v/>
      </c>
      <c r="M716" s="59" t="str">
        <f aca="false">IFERROR(IF([1]对账明细接口!$M$716=0,"",[1]对账明细接口!$M$716),"")</f>
        <v/>
      </c>
      <c r="N716" s="111" t="n">
        <f aca="false">IF($C716="",0,1)</f>
        <v>0</v>
      </c>
      <c r="O716" s="111" t="n">
        <f aca="false">N(O715)+$N716</f>
        <v>110</v>
      </c>
      <c r="S716" s="10" t="str">
        <f aca="false">IFERROR(IF([1]对账明细接口!$N716=0,"",[1]对账明细接口!$N716),"")</f>
        <v/>
      </c>
      <c r="T716" s="112" t="str">
        <f aca="false">IFERROR(IF([1]对账明细接口!$O716=0,"",[1]对账明细接口!$O716),"")</f>
        <v/>
      </c>
      <c r="U716" s="112" t="str">
        <f aca="false">IFERROR(IF([1]对账明细接口!$P716=0,"",[1]对账明细接口!$P716),"")</f>
        <v/>
      </c>
      <c r="V716" s="112" t="str">
        <f aca="false">IFERROR(IF([1]对账明细接口!$Q716=0,"",[1]对账明细接口!$Q716),"")</f>
        <v/>
      </c>
      <c r="W716" s="10" t="str">
        <f aca="false">IFERROR(IF([1]对账明细接口!$R716=0,"",[1]对账明细接口!$R716),"")</f>
        <v/>
      </c>
      <c r="X716" s="10" t="str">
        <f aca="false">IFERROR(IF([1]对账明细接口!$S716=0,"",[1]对账明细接口!$S716),"")</f>
        <v/>
      </c>
      <c r="Y716" s="10" t="str">
        <f aca="false">""</f>
        <v/>
      </c>
      <c r="Z716" s="10" t="str">
        <f aca="false">""</f>
        <v/>
      </c>
      <c r="AA716" s="10" t="str">
        <f aca="false">""</f>
        <v/>
      </c>
      <c r="AB716" s="10" t="str">
        <f aca="false">""</f>
        <v/>
      </c>
    </row>
    <row r="717" customFormat="false" ht="13.5" hidden="false" customHeight="false" outlineLevel="0" collapsed="false">
      <c r="A717" s="109" t="n">
        <v>717</v>
      </c>
      <c r="B717" s="110" t="str">
        <f aca="false">IFERROR(IF([1]对账明细接口!$B$717=0,"",[1]对账明细接口!$B$717),"")</f>
        <v/>
      </c>
      <c r="C717" s="59" t="str">
        <f aca="false">IFERROR(IF([1]对账明细接口!$C$717=0,"",[1]对账明细接口!$C$717),"")</f>
        <v/>
      </c>
      <c r="D717" s="59" t="str">
        <f aca="false">IFERROR(IF([1]对账明细接口!$D$717=0,"",[1]对账明细接口!$D$717),"")</f>
        <v/>
      </c>
      <c r="E717" s="59" t="str">
        <f aca="false">IFERROR(IF([1]对账明细接口!$E$717=0,"",[1]对账明细接口!$E$717),"")</f>
        <v/>
      </c>
      <c r="F717" s="59" t="str">
        <f aca="false">IFERROR(IF([1]对账明细接口!$F$717=0,"",[1]对账明细接口!$F$717),"")</f>
        <v/>
      </c>
      <c r="G717" s="59" t="str">
        <f aca="false">IFERROR(IF([1]对账明细接口!$G$717=0,"",[1]对账明细接口!$G$717),"")</f>
        <v/>
      </c>
      <c r="H717" s="60" t="str">
        <f aca="false">IFERROR(IF([1]对账明细接口!$H$717=0,"",[1]对账明细接口!$H$717),"")</f>
        <v/>
      </c>
      <c r="I717" s="59" t="str">
        <f aca="false">IFERROR(IF([1]对账明细接口!$I$717=0,"",[1]对账明细接口!$I$717),"")</f>
        <v/>
      </c>
      <c r="J717" s="61" t="str">
        <f aca="false">IFERROR(IF([1]对账明细接口!$J$717=0,"",[1]对账明细接口!$J$717),"")</f>
        <v/>
      </c>
      <c r="K717" s="61" t="str">
        <f aca="false">IFERROR(IF([1]对账明细接口!$K$717=0,"",[1]对账明细接口!$K$717),"")</f>
        <v/>
      </c>
      <c r="L717" s="59" t="str">
        <f aca="false">IFERROR(IF([1]对账明细接口!$L$717=0,"",[1]对账明细接口!$L$717),"")</f>
        <v/>
      </c>
      <c r="M717" s="59" t="str">
        <f aca="false">IFERROR(IF([1]对账明细接口!$M$717=0,"",[1]对账明细接口!$M$717),"")</f>
        <v/>
      </c>
      <c r="N717" s="111" t="n">
        <f aca="false">IF($C717="",0,1)</f>
        <v>0</v>
      </c>
      <c r="O717" s="111" t="n">
        <f aca="false">N(O716)+$N717</f>
        <v>110</v>
      </c>
      <c r="S717" s="10" t="str">
        <f aca="false">IFERROR(IF([1]对账明细接口!$N717=0,"",[1]对账明细接口!$N717),"")</f>
        <v/>
      </c>
      <c r="T717" s="112" t="str">
        <f aca="false">IFERROR(IF([1]对账明细接口!$O717=0,"",[1]对账明细接口!$O717),"")</f>
        <v/>
      </c>
      <c r="U717" s="112" t="str">
        <f aca="false">IFERROR(IF([1]对账明细接口!$P717=0,"",[1]对账明细接口!$P717),"")</f>
        <v/>
      </c>
      <c r="V717" s="112" t="str">
        <f aca="false">IFERROR(IF([1]对账明细接口!$Q717=0,"",[1]对账明细接口!$Q717),"")</f>
        <v/>
      </c>
      <c r="W717" s="10" t="str">
        <f aca="false">IFERROR(IF([1]对账明细接口!$R717=0,"",[1]对账明细接口!$R717),"")</f>
        <v/>
      </c>
      <c r="X717" s="10" t="str">
        <f aca="false">IFERROR(IF([1]对账明细接口!$S717=0,"",[1]对账明细接口!$S717),"")</f>
        <v/>
      </c>
      <c r="Y717" s="10" t="str">
        <f aca="false">""</f>
        <v/>
      </c>
      <c r="Z717" s="10" t="str">
        <f aca="false">""</f>
        <v/>
      </c>
      <c r="AA717" s="10" t="str">
        <f aca="false">""</f>
        <v/>
      </c>
      <c r="AB717" s="10" t="str">
        <f aca="false">""</f>
        <v/>
      </c>
    </row>
    <row r="718" customFormat="false" ht="13.5" hidden="false" customHeight="false" outlineLevel="0" collapsed="false">
      <c r="A718" s="109" t="n">
        <v>718</v>
      </c>
      <c r="B718" s="110" t="str">
        <f aca="false">IFERROR(IF([1]对账明细接口!$B$718=0,"",[1]对账明细接口!$B$718),"")</f>
        <v/>
      </c>
      <c r="C718" s="59" t="str">
        <f aca="false">IFERROR(IF([1]对账明细接口!$C$718=0,"",[1]对账明细接口!$C$718),"")</f>
        <v/>
      </c>
      <c r="D718" s="59" t="str">
        <f aca="false">IFERROR(IF([1]对账明细接口!$D$718=0,"",[1]对账明细接口!$D$718),"")</f>
        <v/>
      </c>
      <c r="E718" s="59" t="str">
        <f aca="false">IFERROR(IF([1]对账明细接口!$E$718=0,"",[1]对账明细接口!$E$718),"")</f>
        <v/>
      </c>
      <c r="F718" s="59" t="str">
        <f aca="false">IFERROR(IF([1]对账明细接口!$F$718=0,"",[1]对账明细接口!$F$718),"")</f>
        <v/>
      </c>
      <c r="G718" s="59" t="str">
        <f aca="false">IFERROR(IF([1]对账明细接口!$G$718=0,"",[1]对账明细接口!$G$718),"")</f>
        <v/>
      </c>
      <c r="H718" s="60" t="str">
        <f aca="false">IFERROR(IF([1]对账明细接口!$H$718=0,"",[1]对账明细接口!$H$718),"")</f>
        <v/>
      </c>
      <c r="I718" s="59" t="str">
        <f aca="false">IFERROR(IF([1]对账明细接口!$I$718=0,"",[1]对账明细接口!$I$718),"")</f>
        <v/>
      </c>
      <c r="J718" s="61" t="str">
        <f aca="false">IFERROR(IF([1]对账明细接口!$J$718=0,"",[1]对账明细接口!$J$718),"")</f>
        <v/>
      </c>
      <c r="K718" s="61" t="str">
        <f aca="false">IFERROR(IF([1]对账明细接口!$K$718=0,"",[1]对账明细接口!$K$718),"")</f>
        <v/>
      </c>
      <c r="L718" s="59" t="str">
        <f aca="false">IFERROR(IF([1]对账明细接口!$L$718=0,"",[1]对账明细接口!$L$718),"")</f>
        <v/>
      </c>
      <c r="M718" s="59" t="str">
        <f aca="false">IFERROR(IF([1]对账明细接口!$M$718=0,"",[1]对账明细接口!$M$718),"")</f>
        <v/>
      </c>
      <c r="N718" s="111" t="n">
        <f aca="false">IF($C718="",0,1)</f>
        <v>0</v>
      </c>
      <c r="O718" s="111" t="n">
        <f aca="false">N(O717)+$N718</f>
        <v>110</v>
      </c>
      <c r="S718" s="10" t="str">
        <f aca="false">IFERROR(IF([1]对账明细接口!$N718=0,"",[1]对账明细接口!$N718),"")</f>
        <v/>
      </c>
      <c r="T718" s="112" t="str">
        <f aca="false">IFERROR(IF([1]对账明细接口!$O718=0,"",[1]对账明细接口!$O718),"")</f>
        <v/>
      </c>
      <c r="U718" s="112" t="str">
        <f aca="false">IFERROR(IF([1]对账明细接口!$P718=0,"",[1]对账明细接口!$P718),"")</f>
        <v/>
      </c>
      <c r="V718" s="112" t="str">
        <f aca="false">IFERROR(IF([1]对账明细接口!$Q718=0,"",[1]对账明细接口!$Q718),"")</f>
        <v/>
      </c>
      <c r="W718" s="10" t="str">
        <f aca="false">IFERROR(IF([1]对账明细接口!$R718=0,"",[1]对账明细接口!$R718),"")</f>
        <v/>
      </c>
      <c r="X718" s="10" t="str">
        <f aca="false">IFERROR(IF([1]对账明细接口!$S718=0,"",[1]对账明细接口!$S718),"")</f>
        <v/>
      </c>
      <c r="Y718" s="10" t="str">
        <f aca="false">""</f>
        <v/>
      </c>
      <c r="Z718" s="10" t="str">
        <f aca="false">""</f>
        <v/>
      </c>
      <c r="AA718" s="10" t="str">
        <f aca="false">""</f>
        <v/>
      </c>
      <c r="AB718" s="10" t="str">
        <f aca="false">""</f>
        <v/>
      </c>
    </row>
    <row r="719" customFormat="false" ht="13.5" hidden="false" customHeight="false" outlineLevel="0" collapsed="false">
      <c r="A719" s="109" t="n">
        <v>719</v>
      </c>
      <c r="B719" s="110" t="str">
        <f aca="false">IFERROR(IF([1]对账明细接口!$B$719=0,"",[1]对账明细接口!$B$719),"")</f>
        <v/>
      </c>
      <c r="C719" s="59" t="str">
        <f aca="false">IFERROR(IF([1]对账明细接口!$C$719=0,"",[1]对账明细接口!$C$719),"")</f>
        <v/>
      </c>
      <c r="D719" s="59" t="str">
        <f aca="false">IFERROR(IF([1]对账明细接口!$D$719=0,"",[1]对账明细接口!$D$719),"")</f>
        <v/>
      </c>
      <c r="E719" s="59" t="str">
        <f aca="false">IFERROR(IF([1]对账明细接口!$E$719=0,"",[1]对账明细接口!$E$719),"")</f>
        <v/>
      </c>
      <c r="F719" s="59" t="str">
        <f aca="false">IFERROR(IF([1]对账明细接口!$F$719=0,"",[1]对账明细接口!$F$719),"")</f>
        <v/>
      </c>
      <c r="G719" s="59" t="str">
        <f aca="false">IFERROR(IF([1]对账明细接口!$G$719=0,"",[1]对账明细接口!$G$719),"")</f>
        <v/>
      </c>
      <c r="H719" s="60" t="str">
        <f aca="false">IFERROR(IF([1]对账明细接口!$H$719=0,"",[1]对账明细接口!$H$719),"")</f>
        <v/>
      </c>
      <c r="I719" s="59" t="str">
        <f aca="false">IFERROR(IF([1]对账明细接口!$I$719=0,"",[1]对账明细接口!$I$719),"")</f>
        <v/>
      </c>
      <c r="J719" s="61" t="str">
        <f aca="false">IFERROR(IF([1]对账明细接口!$J$719=0,"",[1]对账明细接口!$J$719),"")</f>
        <v/>
      </c>
      <c r="K719" s="61" t="str">
        <f aca="false">IFERROR(IF([1]对账明细接口!$K$719=0,"",[1]对账明细接口!$K$719),"")</f>
        <v/>
      </c>
      <c r="L719" s="59" t="str">
        <f aca="false">IFERROR(IF([1]对账明细接口!$L$719=0,"",[1]对账明细接口!$L$719),"")</f>
        <v/>
      </c>
      <c r="M719" s="59" t="str">
        <f aca="false">IFERROR(IF([1]对账明细接口!$M$719=0,"",[1]对账明细接口!$M$719),"")</f>
        <v/>
      </c>
      <c r="N719" s="111" t="n">
        <f aca="false">IF($C719="",0,1)</f>
        <v>0</v>
      </c>
      <c r="O719" s="111" t="n">
        <f aca="false">N(O718)+$N719</f>
        <v>110</v>
      </c>
      <c r="S719" s="10" t="str">
        <f aca="false">IFERROR(IF([1]对账明细接口!$N719=0,"",[1]对账明细接口!$N719),"")</f>
        <v/>
      </c>
      <c r="T719" s="112" t="str">
        <f aca="false">IFERROR(IF([1]对账明细接口!$O719=0,"",[1]对账明细接口!$O719),"")</f>
        <v/>
      </c>
      <c r="U719" s="112" t="str">
        <f aca="false">IFERROR(IF([1]对账明细接口!$P719=0,"",[1]对账明细接口!$P719),"")</f>
        <v/>
      </c>
      <c r="V719" s="112" t="str">
        <f aca="false">IFERROR(IF([1]对账明细接口!$Q719=0,"",[1]对账明细接口!$Q719),"")</f>
        <v/>
      </c>
      <c r="W719" s="10" t="str">
        <f aca="false">IFERROR(IF([1]对账明细接口!$R719=0,"",[1]对账明细接口!$R719),"")</f>
        <v/>
      </c>
      <c r="X719" s="10" t="str">
        <f aca="false">IFERROR(IF([1]对账明细接口!$S719=0,"",[1]对账明细接口!$S719),"")</f>
        <v/>
      </c>
      <c r="Y719" s="10" t="str">
        <f aca="false">""</f>
        <v/>
      </c>
      <c r="Z719" s="10" t="str">
        <f aca="false">""</f>
        <v/>
      </c>
      <c r="AA719" s="10" t="str">
        <f aca="false">""</f>
        <v/>
      </c>
      <c r="AB719" s="10" t="str">
        <f aca="false">""</f>
        <v/>
      </c>
    </row>
    <row r="720" customFormat="false" ht="13.5" hidden="false" customHeight="false" outlineLevel="0" collapsed="false">
      <c r="A720" s="109" t="n">
        <v>720</v>
      </c>
      <c r="B720" s="110" t="str">
        <f aca="false">IFERROR(IF([1]对账明细接口!$B$720=0,"",[1]对账明细接口!$B$720),"")</f>
        <v/>
      </c>
      <c r="C720" s="59" t="str">
        <f aca="false">IFERROR(IF([1]对账明细接口!$C$720=0,"",[1]对账明细接口!$C$720),"")</f>
        <v/>
      </c>
      <c r="D720" s="59" t="str">
        <f aca="false">IFERROR(IF([1]对账明细接口!$D$720=0,"",[1]对账明细接口!$D$720),"")</f>
        <v/>
      </c>
      <c r="E720" s="59" t="str">
        <f aca="false">IFERROR(IF([1]对账明细接口!$E$720=0,"",[1]对账明细接口!$E$720),"")</f>
        <v/>
      </c>
      <c r="F720" s="59" t="str">
        <f aca="false">IFERROR(IF([1]对账明细接口!$F$720=0,"",[1]对账明细接口!$F$720),"")</f>
        <v/>
      </c>
      <c r="G720" s="59" t="str">
        <f aca="false">IFERROR(IF([1]对账明细接口!$G$720=0,"",[1]对账明细接口!$G$720),"")</f>
        <v/>
      </c>
      <c r="H720" s="60" t="str">
        <f aca="false">IFERROR(IF([1]对账明细接口!$H$720=0,"",[1]对账明细接口!$H$720),"")</f>
        <v/>
      </c>
      <c r="I720" s="59" t="str">
        <f aca="false">IFERROR(IF([1]对账明细接口!$I$720=0,"",[1]对账明细接口!$I$720),"")</f>
        <v/>
      </c>
      <c r="J720" s="61" t="str">
        <f aca="false">IFERROR(IF([1]对账明细接口!$J$720=0,"",[1]对账明细接口!$J$720),"")</f>
        <v/>
      </c>
      <c r="K720" s="61" t="str">
        <f aca="false">IFERROR(IF([1]对账明细接口!$K$720=0,"",[1]对账明细接口!$K$720),"")</f>
        <v/>
      </c>
      <c r="L720" s="59" t="str">
        <f aca="false">IFERROR(IF([1]对账明细接口!$L$720=0,"",[1]对账明细接口!$L$720),"")</f>
        <v/>
      </c>
      <c r="M720" s="59" t="str">
        <f aca="false">IFERROR(IF([1]对账明细接口!$M$720=0,"",[1]对账明细接口!$M$720),"")</f>
        <v/>
      </c>
      <c r="N720" s="111" t="n">
        <f aca="false">IF($C720="",0,1)</f>
        <v>0</v>
      </c>
      <c r="O720" s="111" t="n">
        <f aca="false">N(O719)+$N720</f>
        <v>110</v>
      </c>
      <c r="S720" s="10" t="str">
        <f aca="false">IFERROR(IF([1]对账明细接口!$N720=0,"",[1]对账明细接口!$N720),"")</f>
        <v/>
      </c>
      <c r="T720" s="112" t="str">
        <f aca="false">IFERROR(IF([1]对账明细接口!$O720=0,"",[1]对账明细接口!$O720),"")</f>
        <v/>
      </c>
      <c r="U720" s="112" t="str">
        <f aca="false">IFERROR(IF([1]对账明细接口!$P720=0,"",[1]对账明细接口!$P720),"")</f>
        <v/>
      </c>
      <c r="V720" s="112" t="str">
        <f aca="false">IFERROR(IF([1]对账明细接口!$Q720=0,"",[1]对账明细接口!$Q720),"")</f>
        <v/>
      </c>
      <c r="W720" s="10" t="str">
        <f aca="false">IFERROR(IF([1]对账明细接口!$R720=0,"",[1]对账明细接口!$R720),"")</f>
        <v/>
      </c>
      <c r="X720" s="10" t="str">
        <f aca="false">IFERROR(IF([1]对账明细接口!$S720=0,"",[1]对账明细接口!$S720),"")</f>
        <v/>
      </c>
      <c r="Y720" s="10" t="str">
        <f aca="false">""</f>
        <v/>
      </c>
      <c r="Z720" s="10" t="str">
        <f aca="false">""</f>
        <v/>
      </c>
      <c r="AA720" s="10" t="str">
        <f aca="false">""</f>
        <v/>
      </c>
      <c r="AB720" s="10" t="str">
        <f aca="false">""</f>
        <v/>
      </c>
    </row>
    <row r="721" customFormat="false" ht="13.5" hidden="false" customHeight="false" outlineLevel="0" collapsed="false">
      <c r="A721" s="109" t="n">
        <v>721</v>
      </c>
      <c r="B721" s="110" t="str">
        <f aca="false">IFERROR(IF([1]对账明细接口!$B$721=0,"",[1]对账明细接口!$B$721),"")</f>
        <v/>
      </c>
      <c r="C721" s="59" t="str">
        <f aca="false">IFERROR(IF([1]对账明细接口!$C$721=0,"",[1]对账明细接口!$C$721),"")</f>
        <v/>
      </c>
      <c r="D721" s="59" t="str">
        <f aca="false">IFERROR(IF([1]对账明细接口!$D$721=0,"",[1]对账明细接口!$D$721),"")</f>
        <v/>
      </c>
      <c r="E721" s="59" t="str">
        <f aca="false">IFERROR(IF([1]对账明细接口!$E$721=0,"",[1]对账明细接口!$E$721),"")</f>
        <v/>
      </c>
      <c r="F721" s="59" t="str">
        <f aca="false">IFERROR(IF([1]对账明细接口!$F$721=0,"",[1]对账明细接口!$F$721),"")</f>
        <v/>
      </c>
      <c r="G721" s="59" t="str">
        <f aca="false">IFERROR(IF([1]对账明细接口!$G$721=0,"",[1]对账明细接口!$G$721),"")</f>
        <v/>
      </c>
      <c r="H721" s="60" t="str">
        <f aca="false">IFERROR(IF([1]对账明细接口!$H$721=0,"",[1]对账明细接口!$H$721),"")</f>
        <v/>
      </c>
      <c r="I721" s="59" t="str">
        <f aca="false">IFERROR(IF([1]对账明细接口!$I$721=0,"",[1]对账明细接口!$I$721),"")</f>
        <v/>
      </c>
      <c r="J721" s="61" t="str">
        <f aca="false">IFERROR(IF([1]对账明细接口!$J$721=0,"",[1]对账明细接口!$J$721),"")</f>
        <v/>
      </c>
      <c r="K721" s="61" t="str">
        <f aca="false">IFERROR(IF([1]对账明细接口!$K$721=0,"",[1]对账明细接口!$K$721),"")</f>
        <v/>
      </c>
      <c r="L721" s="59" t="str">
        <f aca="false">IFERROR(IF([1]对账明细接口!$L$721=0,"",[1]对账明细接口!$L$721),"")</f>
        <v/>
      </c>
      <c r="M721" s="59" t="str">
        <f aca="false">IFERROR(IF([1]对账明细接口!$M$721=0,"",[1]对账明细接口!$M$721),"")</f>
        <v/>
      </c>
      <c r="N721" s="111" t="n">
        <f aca="false">IF($C721="",0,1)</f>
        <v>0</v>
      </c>
      <c r="O721" s="111" t="n">
        <f aca="false">N(O720)+$N721</f>
        <v>110</v>
      </c>
      <c r="S721" s="10" t="str">
        <f aca="false">IFERROR(IF([1]对账明细接口!$N721=0,"",[1]对账明细接口!$N721),"")</f>
        <v/>
      </c>
      <c r="T721" s="112" t="str">
        <f aca="false">IFERROR(IF([1]对账明细接口!$O721=0,"",[1]对账明细接口!$O721),"")</f>
        <v/>
      </c>
      <c r="U721" s="112" t="str">
        <f aca="false">IFERROR(IF([1]对账明细接口!$P721=0,"",[1]对账明细接口!$P721),"")</f>
        <v/>
      </c>
      <c r="V721" s="112" t="str">
        <f aca="false">IFERROR(IF([1]对账明细接口!$Q721=0,"",[1]对账明细接口!$Q721),"")</f>
        <v/>
      </c>
      <c r="W721" s="10" t="str">
        <f aca="false">IFERROR(IF([1]对账明细接口!$R721=0,"",[1]对账明细接口!$R721),"")</f>
        <v/>
      </c>
      <c r="X721" s="10" t="str">
        <f aca="false">IFERROR(IF([1]对账明细接口!$S721=0,"",[1]对账明细接口!$S721),"")</f>
        <v/>
      </c>
      <c r="Y721" s="10" t="str">
        <f aca="false">""</f>
        <v/>
      </c>
      <c r="Z721" s="10" t="str">
        <f aca="false">""</f>
        <v/>
      </c>
      <c r="AA721" s="10" t="str">
        <f aca="false">""</f>
        <v/>
      </c>
      <c r="AB721" s="10" t="str">
        <f aca="false">""</f>
        <v/>
      </c>
    </row>
    <row r="722" customFormat="false" ht="13.5" hidden="false" customHeight="false" outlineLevel="0" collapsed="false">
      <c r="A722" s="109" t="n">
        <v>722</v>
      </c>
      <c r="B722" s="110" t="str">
        <f aca="false">IFERROR(IF([1]对账明细接口!$B$722=0,"",[1]对账明细接口!$B$722),"")</f>
        <v/>
      </c>
      <c r="C722" s="59" t="str">
        <f aca="false">IFERROR(IF([1]对账明细接口!$C$722=0,"",[1]对账明细接口!$C$722),"")</f>
        <v/>
      </c>
      <c r="D722" s="59" t="str">
        <f aca="false">IFERROR(IF([1]对账明细接口!$D$722=0,"",[1]对账明细接口!$D$722),"")</f>
        <v/>
      </c>
      <c r="E722" s="59" t="str">
        <f aca="false">IFERROR(IF([1]对账明细接口!$E$722=0,"",[1]对账明细接口!$E$722),"")</f>
        <v/>
      </c>
      <c r="F722" s="59" t="str">
        <f aca="false">IFERROR(IF([1]对账明细接口!$F$722=0,"",[1]对账明细接口!$F$722),"")</f>
        <v/>
      </c>
      <c r="G722" s="59" t="str">
        <f aca="false">IFERROR(IF([1]对账明细接口!$G$722=0,"",[1]对账明细接口!$G$722),"")</f>
        <v/>
      </c>
      <c r="H722" s="60" t="str">
        <f aca="false">IFERROR(IF([1]对账明细接口!$H$722=0,"",[1]对账明细接口!$H$722),"")</f>
        <v/>
      </c>
      <c r="I722" s="59" t="str">
        <f aca="false">IFERROR(IF([1]对账明细接口!$I$722=0,"",[1]对账明细接口!$I$722),"")</f>
        <v/>
      </c>
      <c r="J722" s="61" t="str">
        <f aca="false">IFERROR(IF([1]对账明细接口!$J$722=0,"",[1]对账明细接口!$J$722),"")</f>
        <v/>
      </c>
      <c r="K722" s="61" t="str">
        <f aca="false">IFERROR(IF([1]对账明细接口!$K$722=0,"",[1]对账明细接口!$K$722),"")</f>
        <v/>
      </c>
      <c r="L722" s="59" t="str">
        <f aca="false">IFERROR(IF([1]对账明细接口!$L$722=0,"",[1]对账明细接口!$L$722),"")</f>
        <v/>
      </c>
      <c r="M722" s="59" t="str">
        <f aca="false">IFERROR(IF([1]对账明细接口!$M$722=0,"",[1]对账明细接口!$M$722),"")</f>
        <v/>
      </c>
      <c r="N722" s="111" t="n">
        <f aca="false">IF($C722="",0,1)</f>
        <v>0</v>
      </c>
      <c r="O722" s="111" t="n">
        <f aca="false">N(O721)+$N722</f>
        <v>110</v>
      </c>
      <c r="S722" s="10" t="str">
        <f aca="false">IFERROR(IF([1]对账明细接口!$N722=0,"",[1]对账明细接口!$N722),"")</f>
        <v/>
      </c>
      <c r="T722" s="112" t="str">
        <f aca="false">IFERROR(IF([1]对账明细接口!$O722=0,"",[1]对账明细接口!$O722),"")</f>
        <v/>
      </c>
      <c r="U722" s="112" t="str">
        <f aca="false">IFERROR(IF([1]对账明细接口!$P722=0,"",[1]对账明细接口!$P722),"")</f>
        <v/>
      </c>
      <c r="V722" s="112" t="str">
        <f aca="false">IFERROR(IF([1]对账明细接口!$Q722=0,"",[1]对账明细接口!$Q722),"")</f>
        <v/>
      </c>
      <c r="W722" s="10" t="str">
        <f aca="false">IFERROR(IF([1]对账明细接口!$R722=0,"",[1]对账明细接口!$R722),"")</f>
        <v/>
      </c>
      <c r="X722" s="10" t="str">
        <f aca="false">IFERROR(IF([1]对账明细接口!$S722=0,"",[1]对账明细接口!$S722),"")</f>
        <v/>
      </c>
      <c r="Y722" s="10" t="str">
        <f aca="false">""</f>
        <v/>
      </c>
      <c r="Z722" s="10" t="str">
        <f aca="false">""</f>
        <v/>
      </c>
      <c r="AA722" s="10" t="str">
        <f aca="false">""</f>
        <v/>
      </c>
      <c r="AB722" s="10" t="str">
        <f aca="false">""</f>
        <v/>
      </c>
    </row>
    <row r="723" customFormat="false" ht="13.5" hidden="false" customHeight="false" outlineLevel="0" collapsed="false">
      <c r="A723" s="109" t="n">
        <v>723</v>
      </c>
      <c r="B723" s="110" t="str">
        <f aca="false">IFERROR(IF([1]对账明细接口!$B$723=0,"",[1]对账明细接口!$B$723),"")</f>
        <v/>
      </c>
      <c r="C723" s="59" t="str">
        <f aca="false">IFERROR(IF([1]对账明细接口!$C$723=0,"",[1]对账明细接口!$C$723),"")</f>
        <v/>
      </c>
      <c r="D723" s="59" t="str">
        <f aca="false">IFERROR(IF([1]对账明细接口!$D$723=0,"",[1]对账明细接口!$D$723),"")</f>
        <v/>
      </c>
      <c r="E723" s="59" t="str">
        <f aca="false">IFERROR(IF([1]对账明细接口!$E$723=0,"",[1]对账明细接口!$E$723),"")</f>
        <v/>
      </c>
      <c r="F723" s="59" t="str">
        <f aca="false">IFERROR(IF([1]对账明细接口!$F$723=0,"",[1]对账明细接口!$F$723),"")</f>
        <v/>
      </c>
      <c r="G723" s="59" t="str">
        <f aca="false">IFERROR(IF([1]对账明细接口!$G$723=0,"",[1]对账明细接口!$G$723),"")</f>
        <v/>
      </c>
      <c r="H723" s="60" t="str">
        <f aca="false">IFERROR(IF([1]对账明细接口!$H$723=0,"",[1]对账明细接口!$H$723),"")</f>
        <v/>
      </c>
      <c r="I723" s="59" t="str">
        <f aca="false">IFERROR(IF([1]对账明细接口!$I$723=0,"",[1]对账明细接口!$I$723),"")</f>
        <v/>
      </c>
      <c r="J723" s="61" t="str">
        <f aca="false">IFERROR(IF([1]对账明细接口!$J$723=0,"",[1]对账明细接口!$J$723),"")</f>
        <v/>
      </c>
      <c r="K723" s="61" t="str">
        <f aca="false">IFERROR(IF([1]对账明细接口!$K$723=0,"",[1]对账明细接口!$K$723),"")</f>
        <v/>
      </c>
      <c r="L723" s="59" t="str">
        <f aca="false">IFERROR(IF([1]对账明细接口!$L$723=0,"",[1]对账明细接口!$L$723),"")</f>
        <v/>
      </c>
      <c r="M723" s="59" t="str">
        <f aca="false">IFERROR(IF([1]对账明细接口!$M$723=0,"",[1]对账明细接口!$M$723),"")</f>
        <v/>
      </c>
      <c r="N723" s="111" t="n">
        <f aca="false">IF($C723="",0,1)</f>
        <v>0</v>
      </c>
      <c r="O723" s="111" t="n">
        <f aca="false">N(O722)+$N723</f>
        <v>110</v>
      </c>
      <c r="S723" s="10" t="str">
        <f aca="false">IFERROR(IF([1]对账明细接口!$N723=0,"",[1]对账明细接口!$N723),"")</f>
        <v/>
      </c>
      <c r="T723" s="112" t="str">
        <f aca="false">IFERROR(IF([1]对账明细接口!$O723=0,"",[1]对账明细接口!$O723),"")</f>
        <v/>
      </c>
      <c r="U723" s="112" t="str">
        <f aca="false">IFERROR(IF([1]对账明细接口!$P723=0,"",[1]对账明细接口!$P723),"")</f>
        <v/>
      </c>
      <c r="V723" s="112" t="str">
        <f aca="false">IFERROR(IF([1]对账明细接口!$Q723=0,"",[1]对账明细接口!$Q723),"")</f>
        <v/>
      </c>
      <c r="W723" s="10" t="str">
        <f aca="false">IFERROR(IF([1]对账明细接口!$R723=0,"",[1]对账明细接口!$R723),"")</f>
        <v/>
      </c>
      <c r="X723" s="10" t="str">
        <f aca="false">IFERROR(IF([1]对账明细接口!$S723=0,"",[1]对账明细接口!$S723),"")</f>
        <v/>
      </c>
      <c r="Y723" s="10" t="str">
        <f aca="false">""</f>
        <v/>
      </c>
      <c r="Z723" s="10" t="str">
        <f aca="false">""</f>
        <v/>
      </c>
      <c r="AA723" s="10" t="str">
        <f aca="false">""</f>
        <v/>
      </c>
      <c r="AB723" s="10" t="str">
        <f aca="false">""</f>
        <v/>
      </c>
    </row>
    <row r="724" customFormat="false" ht="13.5" hidden="false" customHeight="false" outlineLevel="0" collapsed="false">
      <c r="A724" s="109" t="n">
        <v>724</v>
      </c>
      <c r="B724" s="110" t="str">
        <f aca="false">IFERROR(IF([1]对账明细接口!$B$724=0,"",[1]对账明细接口!$B$724),"")</f>
        <v/>
      </c>
      <c r="C724" s="59" t="str">
        <f aca="false">IFERROR(IF([1]对账明细接口!$C$724=0,"",[1]对账明细接口!$C$724),"")</f>
        <v/>
      </c>
      <c r="D724" s="59" t="str">
        <f aca="false">IFERROR(IF([1]对账明细接口!$D$724=0,"",[1]对账明细接口!$D$724),"")</f>
        <v/>
      </c>
      <c r="E724" s="59" t="str">
        <f aca="false">IFERROR(IF([1]对账明细接口!$E$724=0,"",[1]对账明细接口!$E$724),"")</f>
        <v/>
      </c>
      <c r="F724" s="59" t="str">
        <f aca="false">IFERROR(IF([1]对账明细接口!$F$724=0,"",[1]对账明细接口!$F$724),"")</f>
        <v/>
      </c>
      <c r="G724" s="59" t="str">
        <f aca="false">IFERROR(IF([1]对账明细接口!$G$724=0,"",[1]对账明细接口!$G$724),"")</f>
        <v/>
      </c>
      <c r="H724" s="60" t="str">
        <f aca="false">IFERROR(IF([1]对账明细接口!$H$724=0,"",[1]对账明细接口!$H$724),"")</f>
        <v/>
      </c>
      <c r="I724" s="59" t="str">
        <f aca="false">IFERROR(IF([1]对账明细接口!$I$724=0,"",[1]对账明细接口!$I$724),"")</f>
        <v/>
      </c>
      <c r="J724" s="61" t="str">
        <f aca="false">IFERROR(IF([1]对账明细接口!$J$724=0,"",[1]对账明细接口!$J$724),"")</f>
        <v/>
      </c>
      <c r="K724" s="61" t="str">
        <f aca="false">IFERROR(IF([1]对账明细接口!$K$724=0,"",[1]对账明细接口!$K$724),"")</f>
        <v/>
      </c>
      <c r="L724" s="59" t="str">
        <f aca="false">IFERROR(IF([1]对账明细接口!$L$724=0,"",[1]对账明细接口!$L$724),"")</f>
        <v/>
      </c>
      <c r="M724" s="59" t="str">
        <f aca="false">IFERROR(IF([1]对账明细接口!$M$724=0,"",[1]对账明细接口!$M$724),"")</f>
        <v/>
      </c>
      <c r="N724" s="111" t="n">
        <f aca="false">IF($C724="",0,1)</f>
        <v>0</v>
      </c>
      <c r="O724" s="111" t="n">
        <f aca="false">N(O723)+$N724</f>
        <v>110</v>
      </c>
      <c r="S724" s="10" t="str">
        <f aca="false">IFERROR(IF([1]对账明细接口!$N724=0,"",[1]对账明细接口!$N724),"")</f>
        <v/>
      </c>
      <c r="T724" s="112" t="str">
        <f aca="false">IFERROR(IF([1]对账明细接口!$O724=0,"",[1]对账明细接口!$O724),"")</f>
        <v/>
      </c>
      <c r="U724" s="112" t="str">
        <f aca="false">IFERROR(IF([1]对账明细接口!$P724=0,"",[1]对账明细接口!$P724),"")</f>
        <v/>
      </c>
      <c r="V724" s="112" t="str">
        <f aca="false">IFERROR(IF([1]对账明细接口!$Q724=0,"",[1]对账明细接口!$Q724),"")</f>
        <v/>
      </c>
      <c r="W724" s="10" t="str">
        <f aca="false">IFERROR(IF([1]对账明细接口!$R724=0,"",[1]对账明细接口!$R724),"")</f>
        <v/>
      </c>
      <c r="X724" s="10" t="str">
        <f aca="false">IFERROR(IF([1]对账明细接口!$S724=0,"",[1]对账明细接口!$S724),"")</f>
        <v/>
      </c>
      <c r="Y724" s="10" t="str">
        <f aca="false">""</f>
        <v/>
      </c>
      <c r="Z724" s="10" t="str">
        <f aca="false">""</f>
        <v/>
      </c>
      <c r="AA724" s="10" t="str">
        <f aca="false">""</f>
        <v/>
      </c>
      <c r="AB724" s="10" t="str">
        <f aca="false">""</f>
        <v/>
      </c>
    </row>
    <row r="725" customFormat="false" ht="13.5" hidden="false" customHeight="false" outlineLevel="0" collapsed="false">
      <c r="A725" s="109" t="n">
        <v>725</v>
      </c>
      <c r="B725" s="110" t="str">
        <f aca="false">IFERROR(IF([1]对账明细接口!$B$725=0,"",[1]对账明细接口!$B$725),"")</f>
        <v/>
      </c>
      <c r="C725" s="59" t="str">
        <f aca="false">IFERROR(IF([1]对账明细接口!$C$725=0,"",[1]对账明细接口!$C$725),"")</f>
        <v/>
      </c>
      <c r="D725" s="59" t="str">
        <f aca="false">IFERROR(IF([1]对账明细接口!$D$725=0,"",[1]对账明细接口!$D$725),"")</f>
        <v/>
      </c>
      <c r="E725" s="59" t="str">
        <f aca="false">IFERROR(IF([1]对账明细接口!$E$725=0,"",[1]对账明细接口!$E$725),"")</f>
        <v/>
      </c>
      <c r="F725" s="59" t="str">
        <f aca="false">IFERROR(IF([1]对账明细接口!$F$725=0,"",[1]对账明细接口!$F$725),"")</f>
        <v/>
      </c>
      <c r="G725" s="59" t="str">
        <f aca="false">IFERROR(IF([1]对账明细接口!$G$725=0,"",[1]对账明细接口!$G$725),"")</f>
        <v/>
      </c>
      <c r="H725" s="60" t="str">
        <f aca="false">IFERROR(IF([1]对账明细接口!$H$725=0,"",[1]对账明细接口!$H$725),"")</f>
        <v/>
      </c>
      <c r="I725" s="59" t="str">
        <f aca="false">IFERROR(IF([1]对账明细接口!$I$725=0,"",[1]对账明细接口!$I$725),"")</f>
        <v/>
      </c>
      <c r="J725" s="61" t="str">
        <f aca="false">IFERROR(IF([1]对账明细接口!$J$725=0,"",[1]对账明细接口!$J$725),"")</f>
        <v/>
      </c>
      <c r="K725" s="61" t="str">
        <f aca="false">IFERROR(IF([1]对账明细接口!$K$725=0,"",[1]对账明细接口!$K$725),"")</f>
        <v/>
      </c>
      <c r="L725" s="59" t="str">
        <f aca="false">IFERROR(IF([1]对账明细接口!$L$725=0,"",[1]对账明细接口!$L$725),"")</f>
        <v/>
      </c>
      <c r="M725" s="59" t="str">
        <f aca="false">IFERROR(IF([1]对账明细接口!$M$725=0,"",[1]对账明细接口!$M$725),"")</f>
        <v/>
      </c>
      <c r="N725" s="111" t="n">
        <f aca="false">IF($C725="",0,1)</f>
        <v>0</v>
      </c>
      <c r="O725" s="111" t="n">
        <f aca="false">N(O724)+$N725</f>
        <v>110</v>
      </c>
      <c r="S725" s="10" t="str">
        <f aca="false">IFERROR(IF([1]对账明细接口!$N725=0,"",[1]对账明细接口!$N725),"")</f>
        <v/>
      </c>
      <c r="T725" s="112" t="str">
        <f aca="false">IFERROR(IF([1]对账明细接口!$O725=0,"",[1]对账明细接口!$O725),"")</f>
        <v/>
      </c>
      <c r="U725" s="112" t="str">
        <f aca="false">IFERROR(IF([1]对账明细接口!$P725=0,"",[1]对账明细接口!$P725),"")</f>
        <v/>
      </c>
      <c r="V725" s="112" t="str">
        <f aca="false">IFERROR(IF([1]对账明细接口!$Q725=0,"",[1]对账明细接口!$Q725),"")</f>
        <v/>
      </c>
      <c r="W725" s="10" t="str">
        <f aca="false">IFERROR(IF([1]对账明细接口!$R725=0,"",[1]对账明细接口!$R725),"")</f>
        <v/>
      </c>
      <c r="X725" s="10" t="str">
        <f aca="false">IFERROR(IF([1]对账明细接口!$S725=0,"",[1]对账明细接口!$S725),"")</f>
        <v/>
      </c>
      <c r="Y725" s="10" t="str">
        <f aca="false">""</f>
        <v/>
      </c>
      <c r="Z725" s="10" t="str">
        <f aca="false">""</f>
        <v/>
      </c>
      <c r="AA725" s="10" t="str">
        <f aca="false">""</f>
        <v/>
      </c>
      <c r="AB725" s="10" t="str">
        <f aca="false">""</f>
        <v/>
      </c>
    </row>
    <row r="726" customFormat="false" ht="13.5" hidden="false" customHeight="false" outlineLevel="0" collapsed="false">
      <c r="A726" s="109" t="n">
        <v>726</v>
      </c>
      <c r="B726" s="110" t="str">
        <f aca="false">IFERROR(IF([1]对账明细接口!$B$726=0,"",[1]对账明细接口!$B$726),"")</f>
        <v/>
      </c>
      <c r="C726" s="59" t="str">
        <f aca="false">IFERROR(IF([1]对账明细接口!$C$726=0,"",[1]对账明细接口!$C$726),"")</f>
        <v/>
      </c>
      <c r="D726" s="59" t="str">
        <f aca="false">IFERROR(IF([1]对账明细接口!$D$726=0,"",[1]对账明细接口!$D$726),"")</f>
        <v/>
      </c>
      <c r="E726" s="59" t="str">
        <f aca="false">IFERROR(IF([1]对账明细接口!$E$726=0,"",[1]对账明细接口!$E$726),"")</f>
        <v/>
      </c>
      <c r="F726" s="59" t="str">
        <f aca="false">IFERROR(IF([1]对账明细接口!$F$726=0,"",[1]对账明细接口!$F$726),"")</f>
        <v/>
      </c>
      <c r="G726" s="59" t="str">
        <f aca="false">IFERROR(IF([1]对账明细接口!$G$726=0,"",[1]对账明细接口!$G$726),"")</f>
        <v/>
      </c>
      <c r="H726" s="60" t="str">
        <f aca="false">IFERROR(IF([1]对账明细接口!$H$726=0,"",[1]对账明细接口!$H$726),"")</f>
        <v/>
      </c>
      <c r="I726" s="59" t="str">
        <f aca="false">IFERROR(IF([1]对账明细接口!$I$726=0,"",[1]对账明细接口!$I$726),"")</f>
        <v/>
      </c>
      <c r="J726" s="61" t="str">
        <f aca="false">IFERROR(IF([1]对账明细接口!$J$726=0,"",[1]对账明细接口!$J$726),"")</f>
        <v/>
      </c>
      <c r="K726" s="61" t="str">
        <f aca="false">IFERROR(IF([1]对账明细接口!$K$726=0,"",[1]对账明细接口!$K$726),"")</f>
        <v/>
      </c>
      <c r="L726" s="59" t="str">
        <f aca="false">IFERROR(IF([1]对账明细接口!$L$726=0,"",[1]对账明细接口!$L$726),"")</f>
        <v/>
      </c>
      <c r="M726" s="59" t="str">
        <f aca="false">IFERROR(IF([1]对账明细接口!$M$726=0,"",[1]对账明细接口!$M$726),"")</f>
        <v/>
      </c>
      <c r="N726" s="111" t="n">
        <f aca="false">IF($C726="",0,1)</f>
        <v>0</v>
      </c>
      <c r="O726" s="111" t="n">
        <f aca="false">N(O725)+$N726</f>
        <v>110</v>
      </c>
      <c r="S726" s="10" t="str">
        <f aca="false">IFERROR(IF([1]对账明细接口!$N726=0,"",[1]对账明细接口!$N726),"")</f>
        <v/>
      </c>
      <c r="T726" s="112" t="str">
        <f aca="false">IFERROR(IF([1]对账明细接口!$O726=0,"",[1]对账明细接口!$O726),"")</f>
        <v/>
      </c>
      <c r="U726" s="112" t="str">
        <f aca="false">IFERROR(IF([1]对账明细接口!$P726=0,"",[1]对账明细接口!$P726),"")</f>
        <v/>
      </c>
      <c r="V726" s="112" t="str">
        <f aca="false">IFERROR(IF([1]对账明细接口!$Q726=0,"",[1]对账明细接口!$Q726),"")</f>
        <v/>
      </c>
      <c r="W726" s="10" t="str">
        <f aca="false">IFERROR(IF([1]对账明细接口!$R726=0,"",[1]对账明细接口!$R726),"")</f>
        <v/>
      </c>
      <c r="X726" s="10" t="str">
        <f aca="false">IFERROR(IF([1]对账明细接口!$S726=0,"",[1]对账明细接口!$S726),"")</f>
        <v/>
      </c>
      <c r="Y726" s="10" t="str">
        <f aca="false">""</f>
        <v/>
      </c>
      <c r="Z726" s="10" t="str">
        <f aca="false">""</f>
        <v/>
      </c>
      <c r="AA726" s="10" t="str">
        <f aca="false">""</f>
        <v/>
      </c>
      <c r="AB726" s="10" t="str">
        <f aca="false">""</f>
        <v/>
      </c>
    </row>
    <row r="727" customFormat="false" ht="13.5" hidden="false" customHeight="false" outlineLevel="0" collapsed="false">
      <c r="A727" s="109" t="n">
        <v>727</v>
      </c>
      <c r="B727" s="110" t="str">
        <f aca="false">IFERROR(IF([1]对账明细接口!$B$727=0,"",[1]对账明细接口!$B$727),"")</f>
        <v/>
      </c>
      <c r="C727" s="59" t="str">
        <f aca="false">IFERROR(IF([1]对账明细接口!$C$727=0,"",[1]对账明细接口!$C$727),"")</f>
        <v/>
      </c>
      <c r="D727" s="59" t="str">
        <f aca="false">IFERROR(IF([1]对账明细接口!$D$727=0,"",[1]对账明细接口!$D$727),"")</f>
        <v/>
      </c>
      <c r="E727" s="59" t="str">
        <f aca="false">IFERROR(IF([1]对账明细接口!$E$727=0,"",[1]对账明细接口!$E$727),"")</f>
        <v/>
      </c>
      <c r="F727" s="59" t="str">
        <f aca="false">IFERROR(IF([1]对账明细接口!$F$727=0,"",[1]对账明细接口!$F$727),"")</f>
        <v/>
      </c>
      <c r="G727" s="59" t="str">
        <f aca="false">IFERROR(IF([1]对账明细接口!$G$727=0,"",[1]对账明细接口!$G$727),"")</f>
        <v/>
      </c>
      <c r="H727" s="60" t="str">
        <f aca="false">IFERROR(IF([1]对账明细接口!$H$727=0,"",[1]对账明细接口!$H$727),"")</f>
        <v/>
      </c>
      <c r="I727" s="59" t="str">
        <f aca="false">IFERROR(IF([1]对账明细接口!$I$727=0,"",[1]对账明细接口!$I$727),"")</f>
        <v/>
      </c>
      <c r="J727" s="61" t="str">
        <f aca="false">IFERROR(IF([1]对账明细接口!$J$727=0,"",[1]对账明细接口!$J$727),"")</f>
        <v/>
      </c>
      <c r="K727" s="61" t="str">
        <f aca="false">IFERROR(IF([1]对账明细接口!$K$727=0,"",[1]对账明细接口!$K$727),"")</f>
        <v/>
      </c>
      <c r="L727" s="59" t="str">
        <f aca="false">IFERROR(IF([1]对账明细接口!$L$727=0,"",[1]对账明细接口!$L$727),"")</f>
        <v/>
      </c>
      <c r="M727" s="59" t="str">
        <f aca="false">IFERROR(IF([1]对账明细接口!$M$727=0,"",[1]对账明细接口!$M$727),"")</f>
        <v/>
      </c>
      <c r="N727" s="111" t="n">
        <f aca="false">IF($C727="",0,1)</f>
        <v>0</v>
      </c>
      <c r="O727" s="111" t="n">
        <f aca="false">N(O726)+$N727</f>
        <v>110</v>
      </c>
      <c r="S727" s="10" t="str">
        <f aca="false">IFERROR(IF([1]对账明细接口!$N727=0,"",[1]对账明细接口!$N727),"")</f>
        <v/>
      </c>
      <c r="T727" s="112" t="str">
        <f aca="false">IFERROR(IF([1]对账明细接口!$O727=0,"",[1]对账明细接口!$O727),"")</f>
        <v/>
      </c>
      <c r="U727" s="112" t="str">
        <f aca="false">IFERROR(IF([1]对账明细接口!$P727=0,"",[1]对账明细接口!$P727),"")</f>
        <v/>
      </c>
      <c r="V727" s="112" t="str">
        <f aca="false">IFERROR(IF([1]对账明细接口!$Q727=0,"",[1]对账明细接口!$Q727),"")</f>
        <v/>
      </c>
      <c r="W727" s="10" t="str">
        <f aca="false">IFERROR(IF([1]对账明细接口!$R727=0,"",[1]对账明细接口!$R727),"")</f>
        <v/>
      </c>
      <c r="X727" s="10" t="str">
        <f aca="false">IFERROR(IF([1]对账明细接口!$S727=0,"",[1]对账明细接口!$S727),"")</f>
        <v/>
      </c>
      <c r="Y727" s="10" t="str">
        <f aca="false">""</f>
        <v/>
      </c>
      <c r="Z727" s="10" t="str">
        <f aca="false">""</f>
        <v/>
      </c>
      <c r="AA727" s="10" t="str">
        <f aca="false">""</f>
        <v/>
      </c>
      <c r="AB727" s="10" t="str">
        <f aca="false">""</f>
        <v/>
      </c>
    </row>
    <row r="728" customFormat="false" ht="13.5" hidden="false" customHeight="false" outlineLevel="0" collapsed="false">
      <c r="A728" s="109" t="n">
        <v>728</v>
      </c>
      <c r="B728" s="110" t="str">
        <f aca="false">IFERROR(IF([1]对账明细接口!$B$728=0,"",[1]对账明细接口!$B$728),"")</f>
        <v/>
      </c>
      <c r="C728" s="59" t="str">
        <f aca="false">IFERROR(IF([1]对账明细接口!$C$728=0,"",[1]对账明细接口!$C$728),"")</f>
        <v/>
      </c>
      <c r="D728" s="59" t="str">
        <f aca="false">IFERROR(IF([1]对账明细接口!$D$728=0,"",[1]对账明细接口!$D$728),"")</f>
        <v/>
      </c>
      <c r="E728" s="59" t="str">
        <f aca="false">IFERROR(IF([1]对账明细接口!$E$728=0,"",[1]对账明细接口!$E$728),"")</f>
        <v/>
      </c>
      <c r="F728" s="59" t="str">
        <f aca="false">IFERROR(IF([1]对账明细接口!$F$728=0,"",[1]对账明细接口!$F$728),"")</f>
        <v/>
      </c>
      <c r="G728" s="59" t="str">
        <f aca="false">IFERROR(IF([1]对账明细接口!$G$728=0,"",[1]对账明细接口!$G$728),"")</f>
        <v/>
      </c>
      <c r="H728" s="60" t="str">
        <f aca="false">IFERROR(IF([1]对账明细接口!$H$728=0,"",[1]对账明细接口!$H$728),"")</f>
        <v/>
      </c>
      <c r="I728" s="59" t="str">
        <f aca="false">IFERROR(IF([1]对账明细接口!$I$728=0,"",[1]对账明细接口!$I$728),"")</f>
        <v/>
      </c>
      <c r="J728" s="61" t="str">
        <f aca="false">IFERROR(IF([1]对账明细接口!$J$728=0,"",[1]对账明细接口!$J$728),"")</f>
        <v/>
      </c>
      <c r="K728" s="61" t="str">
        <f aca="false">IFERROR(IF([1]对账明细接口!$K$728=0,"",[1]对账明细接口!$K$728),"")</f>
        <v/>
      </c>
      <c r="L728" s="59" t="str">
        <f aca="false">IFERROR(IF([1]对账明细接口!$L$728=0,"",[1]对账明细接口!$L$728),"")</f>
        <v/>
      </c>
      <c r="M728" s="59" t="str">
        <f aca="false">IFERROR(IF([1]对账明细接口!$M$728=0,"",[1]对账明细接口!$M$728),"")</f>
        <v/>
      </c>
      <c r="N728" s="111" t="n">
        <f aca="false">IF($C728="",0,1)</f>
        <v>0</v>
      </c>
      <c r="O728" s="111" t="n">
        <f aca="false">N(O727)+$N728</f>
        <v>110</v>
      </c>
      <c r="S728" s="10" t="str">
        <f aca="false">IFERROR(IF([1]对账明细接口!$N728=0,"",[1]对账明细接口!$N728),"")</f>
        <v/>
      </c>
      <c r="T728" s="112" t="str">
        <f aca="false">IFERROR(IF([1]对账明细接口!$O728=0,"",[1]对账明细接口!$O728),"")</f>
        <v/>
      </c>
      <c r="U728" s="112" t="str">
        <f aca="false">IFERROR(IF([1]对账明细接口!$P728=0,"",[1]对账明细接口!$P728),"")</f>
        <v/>
      </c>
      <c r="V728" s="112" t="str">
        <f aca="false">IFERROR(IF([1]对账明细接口!$Q728=0,"",[1]对账明细接口!$Q728),"")</f>
        <v/>
      </c>
      <c r="W728" s="10" t="str">
        <f aca="false">IFERROR(IF([1]对账明细接口!$R728=0,"",[1]对账明细接口!$R728),"")</f>
        <v/>
      </c>
      <c r="X728" s="10" t="str">
        <f aca="false">IFERROR(IF([1]对账明细接口!$S728=0,"",[1]对账明细接口!$S728),"")</f>
        <v/>
      </c>
      <c r="Y728" s="10" t="str">
        <f aca="false">""</f>
        <v/>
      </c>
      <c r="Z728" s="10" t="str">
        <f aca="false">""</f>
        <v/>
      </c>
      <c r="AA728" s="10" t="str">
        <f aca="false">""</f>
        <v/>
      </c>
      <c r="AB728" s="10" t="str">
        <f aca="false">""</f>
        <v/>
      </c>
    </row>
    <row r="729" customFormat="false" ht="13.5" hidden="false" customHeight="false" outlineLevel="0" collapsed="false">
      <c r="A729" s="109" t="n">
        <v>729</v>
      </c>
      <c r="B729" s="110" t="str">
        <f aca="false">IFERROR(IF([1]对账明细接口!$B$729=0,"",[1]对账明细接口!$B$729),"")</f>
        <v/>
      </c>
      <c r="C729" s="59" t="str">
        <f aca="false">IFERROR(IF([1]对账明细接口!$C$729=0,"",[1]对账明细接口!$C$729),"")</f>
        <v/>
      </c>
      <c r="D729" s="59" t="str">
        <f aca="false">IFERROR(IF([1]对账明细接口!$D$729=0,"",[1]对账明细接口!$D$729),"")</f>
        <v/>
      </c>
      <c r="E729" s="59" t="str">
        <f aca="false">IFERROR(IF([1]对账明细接口!$E$729=0,"",[1]对账明细接口!$E$729),"")</f>
        <v/>
      </c>
      <c r="F729" s="59" t="str">
        <f aca="false">IFERROR(IF([1]对账明细接口!$F$729=0,"",[1]对账明细接口!$F$729),"")</f>
        <v/>
      </c>
      <c r="G729" s="59" t="str">
        <f aca="false">IFERROR(IF([1]对账明细接口!$G$729=0,"",[1]对账明细接口!$G$729),"")</f>
        <v/>
      </c>
      <c r="H729" s="60" t="str">
        <f aca="false">IFERROR(IF([1]对账明细接口!$H$729=0,"",[1]对账明细接口!$H$729),"")</f>
        <v/>
      </c>
      <c r="I729" s="59" t="str">
        <f aca="false">IFERROR(IF([1]对账明细接口!$I$729=0,"",[1]对账明细接口!$I$729),"")</f>
        <v/>
      </c>
      <c r="J729" s="61" t="str">
        <f aca="false">IFERROR(IF([1]对账明细接口!$J$729=0,"",[1]对账明细接口!$J$729),"")</f>
        <v/>
      </c>
      <c r="K729" s="61" t="str">
        <f aca="false">IFERROR(IF([1]对账明细接口!$K$729=0,"",[1]对账明细接口!$K$729),"")</f>
        <v/>
      </c>
      <c r="L729" s="59" t="str">
        <f aca="false">IFERROR(IF([1]对账明细接口!$L$729=0,"",[1]对账明细接口!$L$729),"")</f>
        <v/>
      </c>
      <c r="M729" s="59" t="str">
        <f aca="false">IFERROR(IF([1]对账明细接口!$M$729=0,"",[1]对账明细接口!$M$729),"")</f>
        <v/>
      </c>
      <c r="N729" s="111" t="n">
        <f aca="false">IF($C729="",0,1)</f>
        <v>0</v>
      </c>
      <c r="O729" s="111" t="n">
        <f aca="false">N(O728)+$N729</f>
        <v>110</v>
      </c>
      <c r="S729" s="10" t="str">
        <f aca="false">IFERROR(IF([1]对账明细接口!$N729=0,"",[1]对账明细接口!$N729),"")</f>
        <v/>
      </c>
      <c r="T729" s="112" t="str">
        <f aca="false">IFERROR(IF([1]对账明细接口!$O729=0,"",[1]对账明细接口!$O729),"")</f>
        <v/>
      </c>
      <c r="U729" s="112" t="str">
        <f aca="false">IFERROR(IF([1]对账明细接口!$P729=0,"",[1]对账明细接口!$P729),"")</f>
        <v/>
      </c>
      <c r="V729" s="112" t="str">
        <f aca="false">IFERROR(IF([1]对账明细接口!$Q729=0,"",[1]对账明细接口!$Q729),"")</f>
        <v/>
      </c>
      <c r="W729" s="10" t="str">
        <f aca="false">IFERROR(IF([1]对账明细接口!$R729=0,"",[1]对账明细接口!$R729),"")</f>
        <v/>
      </c>
      <c r="X729" s="10" t="str">
        <f aca="false">IFERROR(IF([1]对账明细接口!$S729=0,"",[1]对账明细接口!$S729),"")</f>
        <v/>
      </c>
      <c r="Y729" s="10" t="str">
        <f aca="false">""</f>
        <v/>
      </c>
      <c r="Z729" s="10" t="str">
        <f aca="false">""</f>
        <v/>
      </c>
      <c r="AA729" s="10" t="str">
        <f aca="false">""</f>
        <v/>
      </c>
      <c r="AB729" s="10" t="str">
        <f aca="false">""</f>
        <v/>
      </c>
    </row>
    <row r="730" customFormat="false" ht="13.5" hidden="false" customHeight="false" outlineLevel="0" collapsed="false">
      <c r="A730" s="109" t="n">
        <v>730</v>
      </c>
      <c r="B730" s="110" t="str">
        <f aca="false">IFERROR(IF([1]对账明细接口!$B$730=0,"",[1]对账明细接口!$B$730),"")</f>
        <v/>
      </c>
      <c r="C730" s="59" t="str">
        <f aca="false">IFERROR(IF([1]对账明细接口!$C$730=0,"",[1]对账明细接口!$C$730),"")</f>
        <v/>
      </c>
      <c r="D730" s="59" t="str">
        <f aca="false">IFERROR(IF([1]对账明细接口!$D$730=0,"",[1]对账明细接口!$D$730),"")</f>
        <v/>
      </c>
      <c r="E730" s="59" t="str">
        <f aca="false">IFERROR(IF([1]对账明细接口!$E$730=0,"",[1]对账明细接口!$E$730),"")</f>
        <v/>
      </c>
      <c r="F730" s="59" t="str">
        <f aca="false">IFERROR(IF([1]对账明细接口!$F$730=0,"",[1]对账明细接口!$F$730),"")</f>
        <v/>
      </c>
      <c r="G730" s="59" t="str">
        <f aca="false">IFERROR(IF([1]对账明细接口!$G$730=0,"",[1]对账明细接口!$G$730),"")</f>
        <v/>
      </c>
      <c r="H730" s="60" t="str">
        <f aca="false">IFERROR(IF([1]对账明细接口!$H$730=0,"",[1]对账明细接口!$H$730),"")</f>
        <v/>
      </c>
      <c r="I730" s="59" t="str">
        <f aca="false">IFERROR(IF([1]对账明细接口!$I$730=0,"",[1]对账明细接口!$I$730),"")</f>
        <v/>
      </c>
      <c r="J730" s="61" t="str">
        <f aca="false">IFERROR(IF([1]对账明细接口!$J$730=0,"",[1]对账明细接口!$J$730),"")</f>
        <v/>
      </c>
      <c r="K730" s="61" t="str">
        <f aca="false">IFERROR(IF([1]对账明细接口!$K$730=0,"",[1]对账明细接口!$K$730),"")</f>
        <v/>
      </c>
      <c r="L730" s="59" t="str">
        <f aca="false">IFERROR(IF([1]对账明细接口!$L$730=0,"",[1]对账明细接口!$L$730),"")</f>
        <v/>
      </c>
      <c r="M730" s="59" t="str">
        <f aca="false">IFERROR(IF([1]对账明细接口!$M$730=0,"",[1]对账明细接口!$M$730),"")</f>
        <v/>
      </c>
      <c r="N730" s="111" t="n">
        <f aca="false">IF($C730="",0,1)</f>
        <v>0</v>
      </c>
      <c r="O730" s="111" t="n">
        <f aca="false">N(O729)+$N730</f>
        <v>110</v>
      </c>
      <c r="S730" s="10" t="str">
        <f aca="false">IFERROR(IF([1]对账明细接口!$N730=0,"",[1]对账明细接口!$N730),"")</f>
        <v/>
      </c>
      <c r="T730" s="112" t="str">
        <f aca="false">IFERROR(IF([1]对账明细接口!$O730=0,"",[1]对账明细接口!$O730),"")</f>
        <v/>
      </c>
      <c r="U730" s="112" t="str">
        <f aca="false">IFERROR(IF([1]对账明细接口!$P730=0,"",[1]对账明细接口!$P730),"")</f>
        <v/>
      </c>
      <c r="V730" s="112" t="str">
        <f aca="false">IFERROR(IF([1]对账明细接口!$Q730=0,"",[1]对账明细接口!$Q730),"")</f>
        <v/>
      </c>
      <c r="W730" s="10" t="str">
        <f aca="false">IFERROR(IF([1]对账明细接口!$R730=0,"",[1]对账明细接口!$R730),"")</f>
        <v/>
      </c>
      <c r="X730" s="10" t="str">
        <f aca="false">IFERROR(IF([1]对账明细接口!$S730=0,"",[1]对账明细接口!$S730),"")</f>
        <v/>
      </c>
      <c r="Y730" s="10" t="str">
        <f aca="false">""</f>
        <v/>
      </c>
      <c r="Z730" s="10" t="str">
        <f aca="false">""</f>
        <v/>
      </c>
      <c r="AA730" s="10" t="str">
        <f aca="false">""</f>
        <v/>
      </c>
      <c r="AB730" s="10" t="str">
        <f aca="false">""</f>
        <v/>
      </c>
    </row>
    <row r="731" customFormat="false" ht="13.5" hidden="false" customHeight="false" outlineLevel="0" collapsed="false">
      <c r="A731" s="109" t="n">
        <v>731</v>
      </c>
      <c r="B731" s="110" t="str">
        <f aca="false">IFERROR(IF([1]对账明细接口!$B$731=0,"",[1]对账明细接口!$B$731),"")</f>
        <v/>
      </c>
      <c r="C731" s="59" t="str">
        <f aca="false">IFERROR(IF([1]对账明细接口!$C$731=0,"",[1]对账明细接口!$C$731),"")</f>
        <v/>
      </c>
      <c r="D731" s="59" t="str">
        <f aca="false">IFERROR(IF([1]对账明细接口!$D$731=0,"",[1]对账明细接口!$D$731),"")</f>
        <v/>
      </c>
      <c r="E731" s="59" t="str">
        <f aca="false">IFERROR(IF([1]对账明细接口!$E$731=0,"",[1]对账明细接口!$E$731),"")</f>
        <v/>
      </c>
      <c r="F731" s="59" t="str">
        <f aca="false">IFERROR(IF([1]对账明细接口!$F$731=0,"",[1]对账明细接口!$F$731),"")</f>
        <v/>
      </c>
      <c r="G731" s="59" t="str">
        <f aca="false">IFERROR(IF([1]对账明细接口!$G$731=0,"",[1]对账明细接口!$G$731),"")</f>
        <v/>
      </c>
      <c r="H731" s="60" t="str">
        <f aca="false">IFERROR(IF([1]对账明细接口!$H$731=0,"",[1]对账明细接口!$H$731),"")</f>
        <v/>
      </c>
      <c r="I731" s="59" t="str">
        <f aca="false">IFERROR(IF([1]对账明细接口!$I$731=0,"",[1]对账明细接口!$I$731),"")</f>
        <v/>
      </c>
      <c r="J731" s="61" t="str">
        <f aca="false">IFERROR(IF([1]对账明细接口!$J$731=0,"",[1]对账明细接口!$J$731),"")</f>
        <v/>
      </c>
      <c r="K731" s="61" t="str">
        <f aca="false">IFERROR(IF([1]对账明细接口!$K$731=0,"",[1]对账明细接口!$K$731),"")</f>
        <v/>
      </c>
      <c r="L731" s="59" t="str">
        <f aca="false">IFERROR(IF([1]对账明细接口!$L$731=0,"",[1]对账明细接口!$L$731),"")</f>
        <v/>
      </c>
      <c r="M731" s="59" t="str">
        <f aca="false">IFERROR(IF([1]对账明细接口!$M$731=0,"",[1]对账明细接口!$M$731),"")</f>
        <v/>
      </c>
      <c r="N731" s="111" t="n">
        <f aca="false">IF($C731="",0,1)</f>
        <v>0</v>
      </c>
      <c r="O731" s="111" t="n">
        <f aca="false">N(O730)+$N731</f>
        <v>110</v>
      </c>
      <c r="S731" s="10" t="str">
        <f aca="false">IFERROR(IF([1]对账明细接口!$N731=0,"",[1]对账明细接口!$N731),"")</f>
        <v/>
      </c>
      <c r="T731" s="112" t="str">
        <f aca="false">IFERROR(IF([1]对账明细接口!$O731=0,"",[1]对账明细接口!$O731),"")</f>
        <v/>
      </c>
      <c r="U731" s="112" t="str">
        <f aca="false">IFERROR(IF([1]对账明细接口!$P731=0,"",[1]对账明细接口!$P731),"")</f>
        <v/>
      </c>
      <c r="V731" s="112" t="str">
        <f aca="false">IFERROR(IF([1]对账明细接口!$Q731=0,"",[1]对账明细接口!$Q731),"")</f>
        <v/>
      </c>
      <c r="W731" s="10" t="str">
        <f aca="false">IFERROR(IF([1]对账明细接口!$R731=0,"",[1]对账明细接口!$R731),"")</f>
        <v/>
      </c>
      <c r="X731" s="10" t="str">
        <f aca="false">IFERROR(IF([1]对账明细接口!$S731=0,"",[1]对账明细接口!$S731),"")</f>
        <v/>
      </c>
      <c r="Y731" s="10" t="str">
        <f aca="false">""</f>
        <v/>
      </c>
      <c r="Z731" s="10" t="str">
        <f aca="false">""</f>
        <v/>
      </c>
      <c r="AA731" s="10" t="str">
        <f aca="false">""</f>
        <v/>
      </c>
      <c r="AB731" s="10" t="str">
        <f aca="false">""</f>
        <v/>
      </c>
    </row>
    <row r="732" customFormat="false" ht="13.5" hidden="false" customHeight="false" outlineLevel="0" collapsed="false">
      <c r="A732" s="109" t="n">
        <v>732</v>
      </c>
      <c r="B732" s="110" t="str">
        <f aca="false">IFERROR(IF([1]对账明细接口!$B$732=0,"",[1]对账明细接口!$B$732),"")</f>
        <v/>
      </c>
      <c r="C732" s="59" t="str">
        <f aca="false">IFERROR(IF([1]对账明细接口!$C$732=0,"",[1]对账明细接口!$C$732),"")</f>
        <v/>
      </c>
      <c r="D732" s="59" t="str">
        <f aca="false">IFERROR(IF([1]对账明细接口!$D$732=0,"",[1]对账明细接口!$D$732),"")</f>
        <v/>
      </c>
      <c r="E732" s="59" t="str">
        <f aca="false">IFERROR(IF([1]对账明细接口!$E$732=0,"",[1]对账明细接口!$E$732),"")</f>
        <v/>
      </c>
      <c r="F732" s="59" t="str">
        <f aca="false">IFERROR(IF([1]对账明细接口!$F$732=0,"",[1]对账明细接口!$F$732),"")</f>
        <v/>
      </c>
      <c r="G732" s="59" t="str">
        <f aca="false">IFERROR(IF([1]对账明细接口!$G$732=0,"",[1]对账明细接口!$G$732),"")</f>
        <v/>
      </c>
      <c r="H732" s="60" t="str">
        <f aca="false">IFERROR(IF([1]对账明细接口!$H$732=0,"",[1]对账明细接口!$H$732),"")</f>
        <v/>
      </c>
      <c r="I732" s="59" t="str">
        <f aca="false">IFERROR(IF([1]对账明细接口!$I$732=0,"",[1]对账明细接口!$I$732),"")</f>
        <v/>
      </c>
      <c r="J732" s="61" t="str">
        <f aca="false">IFERROR(IF([1]对账明细接口!$J$732=0,"",[1]对账明细接口!$J$732),"")</f>
        <v/>
      </c>
      <c r="K732" s="61" t="str">
        <f aca="false">IFERROR(IF([1]对账明细接口!$K$732=0,"",[1]对账明细接口!$K$732),"")</f>
        <v/>
      </c>
      <c r="L732" s="59" t="str">
        <f aca="false">IFERROR(IF([1]对账明细接口!$L$732=0,"",[1]对账明细接口!$L$732),"")</f>
        <v/>
      </c>
      <c r="M732" s="59" t="str">
        <f aca="false">IFERROR(IF([1]对账明细接口!$M$732=0,"",[1]对账明细接口!$M$732),"")</f>
        <v/>
      </c>
      <c r="N732" s="111" t="n">
        <f aca="false">IF($C732="",0,1)</f>
        <v>0</v>
      </c>
      <c r="O732" s="111" t="n">
        <f aca="false">N(O731)+$N732</f>
        <v>110</v>
      </c>
      <c r="S732" s="10" t="str">
        <f aca="false">IFERROR(IF([1]对账明细接口!$N732=0,"",[1]对账明细接口!$N732),"")</f>
        <v/>
      </c>
      <c r="T732" s="112" t="str">
        <f aca="false">IFERROR(IF([1]对账明细接口!$O732=0,"",[1]对账明细接口!$O732),"")</f>
        <v/>
      </c>
      <c r="U732" s="112" t="str">
        <f aca="false">IFERROR(IF([1]对账明细接口!$P732=0,"",[1]对账明细接口!$P732),"")</f>
        <v/>
      </c>
      <c r="V732" s="112" t="str">
        <f aca="false">IFERROR(IF([1]对账明细接口!$Q732=0,"",[1]对账明细接口!$Q732),"")</f>
        <v/>
      </c>
      <c r="W732" s="10" t="str">
        <f aca="false">IFERROR(IF([1]对账明细接口!$R732=0,"",[1]对账明细接口!$R732),"")</f>
        <v/>
      </c>
      <c r="X732" s="10" t="str">
        <f aca="false">IFERROR(IF([1]对账明细接口!$S732=0,"",[1]对账明细接口!$S732),"")</f>
        <v/>
      </c>
      <c r="Y732" s="10" t="str">
        <f aca="false">""</f>
        <v/>
      </c>
      <c r="Z732" s="10" t="str">
        <f aca="false">""</f>
        <v/>
      </c>
      <c r="AA732" s="10" t="str">
        <f aca="false">""</f>
        <v/>
      </c>
      <c r="AB732" s="10" t="str">
        <f aca="false">""</f>
        <v/>
      </c>
    </row>
    <row r="733" customFormat="false" ht="13.5" hidden="false" customHeight="false" outlineLevel="0" collapsed="false">
      <c r="A733" s="109" t="n">
        <v>733</v>
      </c>
      <c r="B733" s="110" t="str">
        <f aca="false">IFERROR(IF([1]对账明细接口!$B$733=0,"",[1]对账明细接口!$B$733),"")</f>
        <v/>
      </c>
      <c r="C733" s="59" t="str">
        <f aca="false">IFERROR(IF([1]对账明细接口!$C$733=0,"",[1]对账明细接口!$C$733),"")</f>
        <v/>
      </c>
      <c r="D733" s="59" t="str">
        <f aca="false">IFERROR(IF([1]对账明细接口!$D$733=0,"",[1]对账明细接口!$D$733),"")</f>
        <v/>
      </c>
      <c r="E733" s="59" t="str">
        <f aca="false">IFERROR(IF([1]对账明细接口!$E$733=0,"",[1]对账明细接口!$E$733),"")</f>
        <v/>
      </c>
      <c r="F733" s="59" t="str">
        <f aca="false">IFERROR(IF([1]对账明细接口!$F$733=0,"",[1]对账明细接口!$F$733),"")</f>
        <v/>
      </c>
      <c r="G733" s="59" t="str">
        <f aca="false">IFERROR(IF([1]对账明细接口!$G$733=0,"",[1]对账明细接口!$G$733),"")</f>
        <v/>
      </c>
      <c r="H733" s="60" t="str">
        <f aca="false">IFERROR(IF([1]对账明细接口!$H$733=0,"",[1]对账明细接口!$H$733),"")</f>
        <v/>
      </c>
      <c r="I733" s="59" t="str">
        <f aca="false">IFERROR(IF([1]对账明细接口!$I$733=0,"",[1]对账明细接口!$I$733),"")</f>
        <v/>
      </c>
      <c r="J733" s="61" t="str">
        <f aca="false">IFERROR(IF([1]对账明细接口!$J$733=0,"",[1]对账明细接口!$J$733),"")</f>
        <v/>
      </c>
      <c r="K733" s="61" t="str">
        <f aca="false">IFERROR(IF([1]对账明细接口!$K$733=0,"",[1]对账明细接口!$K$733),"")</f>
        <v/>
      </c>
      <c r="L733" s="59" t="str">
        <f aca="false">IFERROR(IF([1]对账明细接口!$L$733=0,"",[1]对账明细接口!$L$733),"")</f>
        <v/>
      </c>
      <c r="M733" s="59" t="str">
        <f aca="false">IFERROR(IF([1]对账明细接口!$M$733=0,"",[1]对账明细接口!$M$733),"")</f>
        <v/>
      </c>
      <c r="N733" s="111" t="n">
        <f aca="false">IF($C733="",0,1)</f>
        <v>0</v>
      </c>
      <c r="O733" s="111" t="n">
        <f aca="false">N(O732)+$N733</f>
        <v>110</v>
      </c>
      <c r="S733" s="10" t="str">
        <f aca="false">IFERROR(IF([1]对账明细接口!$N733=0,"",[1]对账明细接口!$N733),"")</f>
        <v/>
      </c>
      <c r="T733" s="112" t="str">
        <f aca="false">IFERROR(IF([1]对账明细接口!$O733=0,"",[1]对账明细接口!$O733),"")</f>
        <v/>
      </c>
      <c r="U733" s="112" t="str">
        <f aca="false">IFERROR(IF([1]对账明细接口!$P733=0,"",[1]对账明细接口!$P733),"")</f>
        <v/>
      </c>
      <c r="V733" s="112" t="str">
        <f aca="false">IFERROR(IF([1]对账明细接口!$Q733=0,"",[1]对账明细接口!$Q733),"")</f>
        <v/>
      </c>
      <c r="W733" s="10" t="str">
        <f aca="false">IFERROR(IF([1]对账明细接口!$R733=0,"",[1]对账明细接口!$R733),"")</f>
        <v/>
      </c>
      <c r="X733" s="10" t="str">
        <f aca="false">IFERROR(IF([1]对账明细接口!$S733=0,"",[1]对账明细接口!$S733),"")</f>
        <v/>
      </c>
      <c r="Y733" s="10" t="str">
        <f aca="false">""</f>
        <v/>
      </c>
      <c r="Z733" s="10" t="str">
        <f aca="false">""</f>
        <v/>
      </c>
      <c r="AA733" s="10" t="str">
        <f aca="false">""</f>
        <v/>
      </c>
      <c r="AB733" s="10" t="str">
        <f aca="false">""</f>
        <v/>
      </c>
    </row>
    <row r="734" customFormat="false" ht="13.5" hidden="false" customHeight="false" outlineLevel="0" collapsed="false">
      <c r="A734" s="109" t="n">
        <v>734</v>
      </c>
      <c r="B734" s="110" t="str">
        <f aca="false">IFERROR(IF([1]对账明细接口!$B$734=0,"",[1]对账明细接口!$B$734),"")</f>
        <v/>
      </c>
      <c r="C734" s="59" t="str">
        <f aca="false">IFERROR(IF([1]对账明细接口!$C$734=0,"",[1]对账明细接口!$C$734),"")</f>
        <v/>
      </c>
      <c r="D734" s="59" t="str">
        <f aca="false">IFERROR(IF([1]对账明细接口!$D$734=0,"",[1]对账明细接口!$D$734),"")</f>
        <v/>
      </c>
      <c r="E734" s="59" t="str">
        <f aca="false">IFERROR(IF([1]对账明细接口!$E$734=0,"",[1]对账明细接口!$E$734),"")</f>
        <v/>
      </c>
      <c r="F734" s="59" t="str">
        <f aca="false">IFERROR(IF([1]对账明细接口!$F$734=0,"",[1]对账明细接口!$F$734),"")</f>
        <v/>
      </c>
      <c r="G734" s="59" t="str">
        <f aca="false">IFERROR(IF([1]对账明细接口!$G$734=0,"",[1]对账明细接口!$G$734),"")</f>
        <v/>
      </c>
      <c r="H734" s="60" t="str">
        <f aca="false">IFERROR(IF([1]对账明细接口!$H$734=0,"",[1]对账明细接口!$H$734),"")</f>
        <v/>
      </c>
      <c r="I734" s="59" t="str">
        <f aca="false">IFERROR(IF([1]对账明细接口!$I$734=0,"",[1]对账明细接口!$I$734),"")</f>
        <v/>
      </c>
      <c r="J734" s="61" t="str">
        <f aca="false">IFERROR(IF([1]对账明细接口!$J$734=0,"",[1]对账明细接口!$J$734),"")</f>
        <v/>
      </c>
      <c r="K734" s="61" t="str">
        <f aca="false">IFERROR(IF([1]对账明细接口!$K$734=0,"",[1]对账明细接口!$K$734),"")</f>
        <v/>
      </c>
      <c r="L734" s="59" t="str">
        <f aca="false">IFERROR(IF([1]对账明细接口!$L$734=0,"",[1]对账明细接口!$L$734),"")</f>
        <v/>
      </c>
      <c r="M734" s="59" t="str">
        <f aca="false">IFERROR(IF([1]对账明细接口!$M$734=0,"",[1]对账明细接口!$M$734),"")</f>
        <v/>
      </c>
      <c r="N734" s="111" t="n">
        <f aca="false">IF($C734="",0,1)</f>
        <v>0</v>
      </c>
      <c r="O734" s="111" t="n">
        <f aca="false">N(O733)+$N734</f>
        <v>110</v>
      </c>
      <c r="S734" s="10" t="str">
        <f aca="false">IFERROR(IF([1]对账明细接口!$N734=0,"",[1]对账明细接口!$N734),"")</f>
        <v/>
      </c>
      <c r="T734" s="112" t="str">
        <f aca="false">IFERROR(IF([1]对账明细接口!$O734=0,"",[1]对账明细接口!$O734),"")</f>
        <v/>
      </c>
      <c r="U734" s="112" t="str">
        <f aca="false">IFERROR(IF([1]对账明细接口!$P734=0,"",[1]对账明细接口!$P734),"")</f>
        <v/>
      </c>
      <c r="V734" s="112" t="str">
        <f aca="false">IFERROR(IF([1]对账明细接口!$Q734=0,"",[1]对账明细接口!$Q734),"")</f>
        <v/>
      </c>
      <c r="W734" s="10" t="str">
        <f aca="false">IFERROR(IF([1]对账明细接口!$R734=0,"",[1]对账明细接口!$R734),"")</f>
        <v/>
      </c>
      <c r="X734" s="10" t="str">
        <f aca="false">IFERROR(IF([1]对账明细接口!$S734=0,"",[1]对账明细接口!$S734),"")</f>
        <v/>
      </c>
      <c r="Y734" s="10" t="str">
        <f aca="false">""</f>
        <v/>
      </c>
      <c r="Z734" s="10" t="str">
        <f aca="false">""</f>
        <v/>
      </c>
      <c r="AA734" s="10" t="str">
        <f aca="false">""</f>
        <v/>
      </c>
      <c r="AB734" s="10" t="str">
        <f aca="false">""</f>
        <v/>
      </c>
    </row>
    <row r="735" customFormat="false" ht="13.5" hidden="false" customHeight="false" outlineLevel="0" collapsed="false">
      <c r="A735" s="109" t="n">
        <v>735</v>
      </c>
      <c r="B735" s="110" t="str">
        <f aca="false">IFERROR(IF([1]对账明细接口!$B$735=0,"",[1]对账明细接口!$B$735),"")</f>
        <v/>
      </c>
      <c r="C735" s="59" t="str">
        <f aca="false">IFERROR(IF([1]对账明细接口!$C$735=0,"",[1]对账明细接口!$C$735),"")</f>
        <v/>
      </c>
      <c r="D735" s="59" t="str">
        <f aca="false">IFERROR(IF([1]对账明细接口!$D$735=0,"",[1]对账明细接口!$D$735),"")</f>
        <v/>
      </c>
      <c r="E735" s="59" t="str">
        <f aca="false">IFERROR(IF([1]对账明细接口!$E$735=0,"",[1]对账明细接口!$E$735),"")</f>
        <v/>
      </c>
      <c r="F735" s="59" t="str">
        <f aca="false">IFERROR(IF([1]对账明细接口!$F$735=0,"",[1]对账明细接口!$F$735),"")</f>
        <v/>
      </c>
      <c r="G735" s="59" t="str">
        <f aca="false">IFERROR(IF([1]对账明细接口!$G$735=0,"",[1]对账明细接口!$G$735),"")</f>
        <v/>
      </c>
      <c r="H735" s="60" t="str">
        <f aca="false">IFERROR(IF([1]对账明细接口!$H$735=0,"",[1]对账明细接口!$H$735),"")</f>
        <v/>
      </c>
      <c r="I735" s="59" t="str">
        <f aca="false">IFERROR(IF([1]对账明细接口!$I$735=0,"",[1]对账明细接口!$I$735),"")</f>
        <v/>
      </c>
      <c r="J735" s="61" t="str">
        <f aca="false">IFERROR(IF([1]对账明细接口!$J$735=0,"",[1]对账明细接口!$J$735),"")</f>
        <v/>
      </c>
      <c r="K735" s="61" t="str">
        <f aca="false">IFERROR(IF([1]对账明细接口!$K$735=0,"",[1]对账明细接口!$K$735),"")</f>
        <v/>
      </c>
      <c r="L735" s="59" t="str">
        <f aca="false">IFERROR(IF([1]对账明细接口!$L$735=0,"",[1]对账明细接口!$L$735),"")</f>
        <v/>
      </c>
      <c r="M735" s="59" t="str">
        <f aca="false">IFERROR(IF([1]对账明细接口!$M$735=0,"",[1]对账明细接口!$M$735),"")</f>
        <v/>
      </c>
      <c r="N735" s="111" t="n">
        <f aca="false">IF($C735="",0,1)</f>
        <v>0</v>
      </c>
      <c r="O735" s="111" t="n">
        <f aca="false">N(O734)+$N735</f>
        <v>110</v>
      </c>
      <c r="S735" s="10" t="str">
        <f aca="false">IFERROR(IF([1]对账明细接口!$N735=0,"",[1]对账明细接口!$N735),"")</f>
        <v/>
      </c>
      <c r="T735" s="112" t="str">
        <f aca="false">IFERROR(IF([1]对账明细接口!$O735=0,"",[1]对账明细接口!$O735),"")</f>
        <v/>
      </c>
      <c r="U735" s="112" t="str">
        <f aca="false">IFERROR(IF([1]对账明细接口!$P735=0,"",[1]对账明细接口!$P735),"")</f>
        <v/>
      </c>
      <c r="V735" s="112" t="str">
        <f aca="false">IFERROR(IF([1]对账明细接口!$Q735=0,"",[1]对账明细接口!$Q735),"")</f>
        <v/>
      </c>
      <c r="W735" s="10" t="str">
        <f aca="false">IFERROR(IF([1]对账明细接口!$R735=0,"",[1]对账明细接口!$R735),"")</f>
        <v/>
      </c>
      <c r="X735" s="10" t="str">
        <f aca="false">IFERROR(IF([1]对账明细接口!$S735=0,"",[1]对账明细接口!$S735),"")</f>
        <v/>
      </c>
      <c r="Y735" s="10" t="str">
        <f aca="false">""</f>
        <v/>
      </c>
      <c r="Z735" s="10" t="str">
        <f aca="false">""</f>
        <v/>
      </c>
      <c r="AA735" s="10" t="str">
        <f aca="false">""</f>
        <v/>
      </c>
      <c r="AB735" s="10" t="str">
        <f aca="false">""</f>
        <v/>
      </c>
    </row>
    <row r="736" customFormat="false" ht="13.5" hidden="false" customHeight="false" outlineLevel="0" collapsed="false">
      <c r="A736" s="109" t="n">
        <v>736</v>
      </c>
      <c r="B736" s="110" t="str">
        <f aca="false">IFERROR(IF([1]对账明细接口!$B$736=0,"",[1]对账明细接口!$B$736),"")</f>
        <v/>
      </c>
      <c r="C736" s="59" t="str">
        <f aca="false">IFERROR(IF([1]对账明细接口!$C$736=0,"",[1]对账明细接口!$C$736),"")</f>
        <v/>
      </c>
      <c r="D736" s="59" t="str">
        <f aca="false">IFERROR(IF([1]对账明细接口!$D$736=0,"",[1]对账明细接口!$D$736),"")</f>
        <v/>
      </c>
      <c r="E736" s="59" t="str">
        <f aca="false">IFERROR(IF([1]对账明细接口!$E$736=0,"",[1]对账明细接口!$E$736),"")</f>
        <v/>
      </c>
      <c r="F736" s="59" t="str">
        <f aca="false">IFERROR(IF([1]对账明细接口!$F$736=0,"",[1]对账明细接口!$F$736),"")</f>
        <v/>
      </c>
      <c r="G736" s="59" t="str">
        <f aca="false">IFERROR(IF([1]对账明细接口!$G$736=0,"",[1]对账明细接口!$G$736),"")</f>
        <v/>
      </c>
      <c r="H736" s="60" t="str">
        <f aca="false">IFERROR(IF([1]对账明细接口!$H$736=0,"",[1]对账明细接口!$H$736),"")</f>
        <v/>
      </c>
      <c r="I736" s="59" t="str">
        <f aca="false">IFERROR(IF([1]对账明细接口!$I$736=0,"",[1]对账明细接口!$I$736),"")</f>
        <v/>
      </c>
      <c r="J736" s="61" t="str">
        <f aca="false">IFERROR(IF([1]对账明细接口!$J$736=0,"",[1]对账明细接口!$J$736),"")</f>
        <v/>
      </c>
      <c r="K736" s="61" t="str">
        <f aca="false">IFERROR(IF([1]对账明细接口!$K$736=0,"",[1]对账明细接口!$K$736),"")</f>
        <v/>
      </c>
      <c r="L736" s="59" t="str">
        <f aca="false">IFERROR(IF([1]对账明细接口!$L$736=0,"",[1]对账明细接口!$L$736),"")</f>
        <v/>
      </c>
      <c r="M736" s="59" t="str">
        <f aca="false">IFERROR(IF([1]对账明细接口!$M$736=0,"",[1]对账明细接口!$M$736),"")</f>
        <v/>
      </c>
      <c r="N736" s="111" t="n">
        <f aca="false">IF($C736="",0,1)</f>
        <v>0</v>
      </c>
      <c r="O736" s="111" t="n">
        <f aca="false">N(O735)+$N736</f>
        <v>110</v>
      </c>
      <c r="S736" s="10" t="str">
        <f aca="false">IFERROR(IF([1]对账明细接口!$N736=0,"",[1]对账明细接口!$N736),"")</f>
        <v/>
      </c>
      <c r="T736" s="112" t="str">
        <f aca="false">IFERROR(IF([1]对账明细接口!$O736=0,"",[1]对账明细接口!$O736),"")</f>
        <v/>
      </c>
      <c r="U736" s="112" t="str">
        <f aca="false">IFERROR(IF([1]对账明细接口!$P736=0,"",[1]对账明细接口!$P736),"")</f>
        <v/>
      </c>
      <c r="V736" s="112" t="str">
        <f aca="false">IFERROR(IF([1]对账明细接口!$Q736=0,"",[1]对账明细接口!$Q736),"")</f>
        <v/>
      </c>
      <c r="W736" s="10" t="str">
        <f aca="false">IFERROR(IF([1]对账明细接口!$R736=0,"",[1]对账明细接口!$R736),"")</f>
        <v/>
      </c>
      <c r="X736" s="10" t="str">
        <f aca="false">IFERROR(IF([1]对账明细接口!$S736=0,"",[1]对账明细接口!$S736),"")</f>
        <v/>
      </c>
      <c r="Y736" s="10" t="str">
        <f aca="false">""</f>
        <v/>
      </c>
      <c r="Z736" s="10" t="str">
        <f aca="false">""</f>
        <v/>
      </c>
      <c r="AA736" s="10" t="str">
        <f aca="false">""</f>
        <v/>
      </c>
      <c r="AB736" s="10" t="str">
        <f aca="false">""</f>
        <v/>
      </c>
    </row>
    <row r="737" customFormat="false" ht="13.5" hidden="false" customHeight="false" outlineLevel="0" collapsed="false">
      <c r="A737" s="109" t="n">
        <v>737</v>
      </c>
      <c r="B737" s="110" t="str">
        <f aca="false">IFERROR(IF([1]对账明细接口!$B$737=0,"",[1]对账明细接口!$B$737),"")</f>
        <v/>
      </c>
      <c r="C737" s="59" t="str">
        <f aca="false">IFERROR(IF([1]对账明细接口!$C$737=0,"",[1]对账明细接口!$C$737),"")</f>
        <v/>
      </c>
      <c r="D737" s="59" t="str">
        <f aca="false">IFERROR(IF([1]对账明细接口!$D$737=0,"",[1]对账明细接口!$D$737),"")</f>
        <v/>
      </c>
      <c r="E737" s="59" t="str">
        <f aca="false">IFERROR(IF([1]对账明细接口!$E$737=0,"",[1]对账明细接口!$E$737),"")</f>
        <v/>
      </c>
      <c r="F737" s="59" t="str">
        <f aca="false">IFERROR(IF([1]对账明细接口!$F$737=0,"",[1]对账明细接口!$F$737),"")</f>
        <v/>
      </c>
      <c r="G737" s="59" t="str">
        <f aca="false">IFERROR(IF([1]对账明细接口!$G$737=0,"",[1]对账明细接口!$G$737),"")</f>
        <v/>
      </c>
      <c r="H737" s="60" t="str">
        <f aca="false">IFERROR(IF([1]对账明细接口!$H$737=0,"",[1]对账明细接口!$H$737),"")</f>
        <v/>
      </c>
      <c r="I737" s="59" t="str">
        <f aca="false">IFERROR(IF([1]对账明细接口!$I$737=0,"",[1]对账明细接口!$I$737),"")</f>
        <v/>
      </c>
      <c r="J737" s="61" t="str">
        <f aca="false">IFERROR(IF([1]对账明细接口!$J$737=0,"",[1]对账明细接口!$J$737),"")</f>
        <v/>
      </c>
      <c r="K737" s="61" t="str">
        <f aca="false">IFERROR(IF([1]对账明细接口!$K$737=0,"",[1]对账明细接口!$K$737),"")</f>
        <v/>
      </c>
      <c r="L737" s="59" t="str">
        <f aca="false">IFERROR(IF([1]对账明细接口!$L$737=0,"",[1]对账明细接口!$L$737),"")</f>
        <v/>
      </c>
      <c r="M737" s="59" t="str">
        <f aca="false">IFERROR(IF([1]对账明细接口!$M$737=0,"",[1]对账明细接口!$M$737),"")</f>
        <v/>
      </c>
      <c r="N737" s="111" t="n">
        <f aca="false">IF($C737="",0,1)</f>
        <v>0</v>
      </c>
      <c r="O737" s="111" t="n">
        <f aca="false">N(O736)+$N737</f>
        <v>110</v>
      </c>
      <c r="S737" s="10" t="str">
        <f aca="false">IFERROR(IF([1]对账明细接口!$N737=0,"",[1]对账明细接口!$N737),"")</f>
        <v/>
      </c>
      <c r="T737" s="112" t="str">
        <f aca="false">IFERROR(IF([1]对账明细接口!$O737=0,"",[1]对账明细接口!$O737),"")</f>
        <v/>
      </c>
      <c r="U737" s="112" t="str">
        <f aca="false">IFERROR(IF([1]对账明细接口!$P737=0,"",[1]对账明细接口!$P737),"")</f>
        <v/>
      </c>
      <c r="V737" s="112" t="str">
        <f aca="false">IFERROR(IF([1]对账明细接口!$Q737=0,"",[1]对账明细接口!$Q737),"")</f>
        <v/>
      </c>
      <c r="W737" s="10" t="str">
        <f aca="false">IFERROR(IF([1]对账明细接口!$R737=0,"",[1]对账明细接口!$R737),"")</f>
        <v/>
      </c>
      <c r="X737" s="10" t="str">
        <f aca="false">IFERROR(IF([1]对账明细接口!$S737=0,"",[1]对账明细接口!$S737),"")</f>
        <v/>
      </c>
      <c r="Y737" s="10" t="str">
        <f aca="false">""</f>
        <v/>
      </c>
      <c r="Z737" s="10" t="str">
        <f aca="false">""</f>
        <v/>
      </c>
      <c r="AA737" s="10" t="str">
        <f aca="false">""</f>
        <v/>
      </c>
      <c r="AB737" s="10" t="str">
        <f aca="false">""</f>
        <v/>
      </c>
    </row>
    <row r="738" customFormat="false" ht="13.5" hidden="false" customHeight="false" outlineLevel="0" collapsed="false">
      <c r="A738" s="109" t="n">
        <v>738</v>
      </c>
      <c r="B738" s="110" t="str">
        <f aca="false">IFERROR(IF([1]对账明细接口!$B$738=0,"",[1]对账明细接口!$B$738),"")</f>
        <v/>
      </c>
      <c r="C738" s="59" t="str">
        <f aca="false">IFERROR(IF([1]对账明细接口!$C$738=0,"",[1]对账明细接口!$C$738),"")</f>
        <v/>
      </c>
      <c r="D738" s="59" t="str">
        <f aca="false">IFERROR(IF([1]对账明细接口!$D$738=0,"",[1]对账明细接口!$D$738),"")</f>
        <v/>
      </c>
      <c r="E738" s="59" t="str">
        <f aca="false">IFERROR(IF([1]对账明细接口!$E$738=0,"",[1]对账明细接口!$E$738),"")</f>
        <v/>
      </c>
      <c r="F738" s="59" t="str">
        <f aca="false">IFERROR(IF([1]对账明细接口!$F$738=0,"",[1]对账明细接口!$F$738),"")</f>
        <v/>
      </c>
      <c r="G738" s="59" t="str">
        <f aca="false">IFERROR(IF([1]对账明细接口!$G$738=0,"",[1]对账明细接口!$G$738),"")</f>
        <v/>
      </c>
      <c r="H738" s="60" t="str">
        <f aca="false">IFERROR(IF([1]对账明细接口!$H$738=0,"",[1]对账明细接口!$H$738),"")</f>
        <v/>
      </c>
      <c r="I738" s="59" t="str">
        <f aca="false">IFERROR(IF([1]对账明细接口!$I$738=0,"",[1]对账明细接口!$I$738),"")</f>
        <v/>
      </c>
      <c r="J738" s="61" t="str">
        <f aca="false">IFERROR(IF([1]对账明细接口!$J$738=0,"",[1]对账明细接口!$J$738),"")</f>
        <v/>
      </c>
      <c r="K738" s="61" t="str">
        <f aca="false">IFERROR(IF([1]对账明细接口!$K$738=0,"",[1]对账明细接口!$K$738),"")</f>
        <v/>
      </c>
      <c r="L738" s="59" t="str">
        <f aca="false">IFERROR(IF([1]对账明细接口!$L$738=0,"",[1]对账明细接口!$L$738),"")</f>
        <v/>
      </c>
      <c r="M738" s="59" t="str">
        <f aca="false">IFERROR(IF([1]对账明细接口!$M$738=0,"",[1]对账明细接口!$M$738),"")</f>
        <v/>
      </c>
      <c r="N738" s="111" t="n">
        <f aca="false">IF($C738="",0,1)</f>
        <v>0</v>
      </c>
      <c r="O738" s="111" t="n">
        <f aca="false">N(O737)+$N738</f>
        <v>110</v>
      </c>
      <c r="S738" s="10" t="str">
        <f aca="false">IFERROR(IF([1]对账明细接口!$N738=0,"",[1]对账明细接口!$N738),"")</f>
        <v/>
      </c>
      <c r="T738" s="112" t="str">
        <f aca="false">IFERROR(IF([1]对账明细接口!$O738=0,"",[1]对账明细接口!$O738),"")</f>
        <v/>
      </c>
      <c r="U738" s="112" t="str">
        <f aca="false">IFERROR(IF([1]对账明细接口!$P738=0,"",[1]对账明细接口!$P738),"")</f>
        <v/>
      </c>
      <c r="V738" s="112" t="str">
        <f aca="false">IFERROR(IF([1]对账明细接口!$Q738=0,"",[1]对账明细接口!$Q738),"")</f>
        <v/>
      </c>
      <c r="W738" s="10" t="str">
        <f aca="false">IFERROR(IF([1]对账明细接口!$R738=0,"",[1]对账明细接口!$R738),"")</f>
        <v/>
      </c>
      <c r="X738" s="10" t="str">
        <f aca="false">IFERROR(IF([1]对账明细接口!$S738=0,"",[1]对账明细接口!$S738),"")</f>
        <v/>
      </c>
      <c r="Y738" s="10" t="str">
        <f aca="false">""</f>
        <v/>
      </c>
      <c r="Z738" s="10" t="str">
        <f aca="false">""</f>
        <v/>
      </c>
      <c r="AA738" s="10" t="str">
        <f aca="false">""</f>
        <v/>
      </c>
      <c r="AB738" s="10" t="str">
        <f aca="false">""</f>
        <v/>
      </c>
    </row>
    <row r="739" customFormat="false" ht="13.5" hidden="false" customHeight="false" outlineLevel="0" collapsed="false">
      <c r="A739" s="109" t="n">
        <v>739</v>
      </c>
      <c r="B739" s="110" t="str">
        <f aca="false">IFERROR(IF([1]对账明细接口!$B$739=0,"",[1]对账明细接口!$B$739),"")</f>
        <v/>
      </c>
      <c r="C739" s="59" t="str">
        <f aca="false">IFERROR(IF([1]对账明细接口!$C$739=0,"",[1]对账明细接口!$C$739),"")</f>
        <v/>
      </c>
      <c r="D739" s="59" t="str">
        <f aca="false">IFERROR(IF([1]对账明细接口!$D$739=0,"",[1]对账明细接口!$D$739),"")</f>
        <v/>
      </c>
      <c r="E739" s="59" t="str">
        <f aca="false">IFERROR(IF([1]对账明细接口!$E$739=0,"",[1]对账明细接口!$E$739),"")</f>
        <v/>
      </c>
      <c r="F739" s="59" t="str">
        <f aca="false">IFERROR(IF([1]对账明细接口!$F$739=0,"",[1]对账明细接口!$F$739),"")</f>
        <v/>
      </c>
      <c r="G739" s="59" t="str">
        <f aca="false">IFERROR(IF([1]对账明细接口!$G$739=0,"",[1]对账明细接口!$G$739),"")</f>
        <v/>
      </c>
      <c r="H739" s="60" t="str">
        <f aca="false">IFERROR(IF([1]对账明细接口!$H$739=0,"",[1]对账明细接口!$H$739),"")</f>
        <v/>
      </c>
      <c r="I739" s="59" t="str">
        <f aca="false">IFERROR(IF([1]对账明细接口!$I$739=0,"",[1]对账明细接口!$I$739),"")</f>
        <v/>
      </c>
      <c r="J739" s="61" t="str">
        <f aca="false">IFERROR(IF([1]对账明细接口!$J$739=0,"",[1]对账明细接口!$J$739),"")</f>
        <v/>
      </c>
      <c r="K739" s="61" t="str">
        <f aca="false">IFERROR(IF([1]对账明细接口!$K$739=0,"",[1]对账明细接口!$K$739),"")</f>
        <v/>
      </c>
      <c r="L739" s="59" t="str">
        <f aca="false">IFERROR(IF([1]对账明细接口!$L$739=0,"",[1]对账明细接口!$L$739),"")</f>
        <v/>
      </c>
      <c r="M739" s="59" t="str">
        <f aca="false">IFERROR(IF([1]对账明细接口!$M$739=0,"",[1]对账明细接口!$M$739),"")</f>
        <v/>
      </c>
      <c r="N739" s="111" t="n">
        <f aca="false">IF($C739="",0,1)</f>
        <v>0</v>
      </c>
      <c r="O739" s="111" t="n">
        <f aca="false">N(O738)+$N739</f>
        <v>110</v>
      </c>
      <c r="S739" s="10" t="str">
        <f aca="false">IFERROR(IF([1]对账明细接口!$N739=0,"",[1]对账明细接口!$N739),"")</f>
        <v/>
      </c>
      <c r="T739" s="112" t="str">
        <f aca="false">IFERROR(IF([1]对账明细接口!$O739=0,"",[1]对账明细接口!$O739),"")</f>
        <v/>
      </c>
      <c r="U739" s="112" t="str">
        <f aca="false">IFERROR(IF([1]对账明细接口!$P739=0,"",[1]对账明细接口!$P739),"")</f>
        <v/>
      </c>
      <c r="V739" s="112" t="str">
        <f aca="false">IFERROR(IF([1]对账明细接口!$Q739=0,"",[1]对账明细接口!$Q739),"")</f>
        <v/>
      </c>
      <c r="W739" s="10" t="str">
        <f aca="false">IFERROR(IF([1]对账明细接口!$R739=0,"",[1]对账明细接口!$R739),"")</f>
        <v/>
      </c>
      <c r="X739" s="10" t="str">
        <f aca="false">IFERROR(IF([1]对账明细接口!$S739=0,"",[1]对账明细接口!$S739),"")</f>
        <v/>
      </c>
      <c r="Y739" s="10" t="str">
        <f aca="false">""</f>
        <v/>
      </c>
      <c r="Z739" s="10" t="str">
        <f aca="false">""</f>
        <v/>
      </c>
      <c r="AA739" s="10" t="str">
        <f aca="false">""</f>
        <v/>
      </c>
      <c r="AB739" s="10" t="str">
        <f aca="false">""</f>
        <v/>
      </c>
    </row>
    <row r="740" customFormat="false" ht="13.5" hidden="false" customHeight="false" outlineLevel="0" collapsed="false">
      <c r="A740" s="109" t="n">
        <v>740</v>
      </c>
      <c r="B740" s="110" t="str">
        <f aca="false">IFERROR(IF([1]对账明细接口!$B$740=0,"",[1]对账明细接口!$B$740),"")</f>
        <v/>
      </c>
      <c r="C740" s="59" t="str">
        <f aca="false">IFERROR(IF([1]对账明细接口!$C$740=0,"",[1]对账明细接口!$C$740),"")</f>
        <v/>
      </c>
      <c r="D740" s="59" t="str">
        <f aca="false">IFERROR(IF([1]对账明细接口!$D$740=0,"",[1]对账明细接口!$D$740),"")</f>
        <v/>
      </c>
      <c r="E740" s="59" t="str">
        <f aca="false">IFERROR(IF([1]对账明细接口!$E$740=0,"",[1]对账明细接口!$E$740),"")</f>
        <v/>
      </c>
      <c r="F740" s="59" t="str">
        <f aca="false">IFERROR(IF([1]对账明细接口!$F$740=0,"",[1]对账明细接口!$F$740),"")</f>
        <v/>
      </c>
      <c r="G740" s="59" t="str">
        <f aca="false">IFERROR(IF([1]对账明细接口!$G$740=0,"",[1]对账明细接口!$G$740),"")</f>
        <v/>
      </c>
      <c r="H740" s="60" t="str">
        <f aca="false">IFERROR(IF([1]对账明细接口!$H$740=0,"",[1]对账明细接口!$H$740),"")</f>
        <v/>
      </c>
      <c r="I740" s="59" t="str">
        <f aca="false">IFERROR(IF([1]对账明细接口!$I$740=0,"",[1]对账明细接口!$I$740),"")</f>
        <v/>
      </c>
      <c r="J740" s="61" t="str">
        <f aca="false">IFERROR(IF([1]对账明细接口!$J$740=0,"",[1]对账明细接口!$J$740),"")</f>
        <v/>
      </c>
      <c r="K740" s="61" t="str">
        <f aca="false">IFERROR(IF([1]对账明细接口!$K$740=0,"",[1]对账明细接口!$K$740),"")</f>
        <v/>
      </c>
      <c r="L740" s="59" t="str">
        <f aca="false">IFERROR(IF([1]对账明细接口!$L$740=0,"",[1]对账明细接口!$L$740),"")</f>
        <v/>
      </c>
      <c r="M740" s="59" t="str">
        <f aca="false">IFERROR(IF([1]对账明细接口!$M$740=0,"",[1]对账明细接口!$M$740),"")</f>
        <v/>
      </c>
      <c r="N740" s="111" t="n">
        <f aca="false">IF($C740="",0,1)</f>
        <v>0</v>
      </c>
      <c r="O740" s="111" t="n">
        <f aca="false">N(O739)+$N740</f>
        <v>110</v>
      </c>
      <c r="S740" s="10" t="str">
        <f aca="false">IFERROR(IF([1]对账明细接口!$N740=0,"",[1]对账明细接口!$N740),"")</f>
        <v/>
      </c>
      <c r="T740" s="112" t="str">
        <f aca="false">IFERROR(IF([1]对账明细接口!$O740=0,"",[1]对账明细接口!$O740),"")</f>
        <v/>
      </c>
      <c r="U740" s="112" t="str">
        <f aca="false">IFERROR(IF([1]对账明细接口!$P740=0,"",[1]对账明细接口!$P740),"")</f>
        <v/>
      </c>
      <c r="V740" s="112" t="str">
        <f aca="false">IFERROR(IF([1]对账明细接口!$Q740=0,"",[1]对账明细接口!$Q740),"")</f>
        <v/>
      </c>
      <c r="W740" s="10" t="str">
        <f aca="false">IFERROR(IF([1]对账明细接口!$R740=0,"",[1]对账明细接口!$R740),"")</f>
        <v/>
      </c>
      <c r="X740" s="10" t="str">
        <f aca="false">IFERROR(IF([1]对账明细接口!$S740=0,"",[1]对账明细接口!$S740),"")</f>
        <v/>
      </c>
      <c r="Y740" s="10" t="str">
        <f aca="false">""</f>
        <v/>
      </c>
      <c r="Z740" s="10" t="str">
        <f aca="false">""</f>
        <v/>
      </c>
      <c r="AA740" s="10" t="str">
        <f aca="false">""</f>
        <v/>
      </c>
      <c r="AB740" s="10" t="str">
        <f aca="false">""</f>
        <v/>
      </c>
    </row>
    <row r="741" customFormat="false" ht="13.5" hidden="false" customHeight="false" outlineLevel="0" collapsed="false">
      <c r="A741" s="109" t="n">
        <v>741</v>
      </c>
      <c r="B741" s="110" t="str">
        <f aca="false">IFERROR(IF([1]对账明细接口!$B$741=0,"",[1]对账明细接口!$B$741),"")</f>
        <v/>
      </c>
      <c r="C741" s="59" t="str">
        <f aca="false">IFERROR(IF([1]对账明细接口!$C$741=0,"",[1]对账明细接口!$C$741),"")</f>
        <v/>
      </c>
      <c r="D741" s="59" t="str">
        <f aca="false">IFERROR(IF([1]对账明细接口!$D$741=0,"",[1]对账明细接口!$D$741),"")</f>
        <v/>
      </c>
      <c r="E741" s="59" t="str">
        <f aca="false">IFERROR(IF([1]对账明细接口!$E$741=0,"",[1]对账明细接口!$E$741),"")</f>
        <v/>
      </c>
      <c r="F741" s="59" t="str">
        <f aca="false">IFERROR(IF([1]对账明细接口!$F$741=0,"",[1]对账明细接口!$F$741),"")</f>
        <v/>
      </c>
      <c r="G741" s="59" t="str">
        <f aca="false">IFERROR(IF([1]对账明细接口!$G$741=0,"",[1]对账明细接口!$G$741),"")</f>
        <v/>
      </c>
      <c r="H741" s="60" t="str">
        <f aca="false">IFERROR(IF([1]对账明细接口!$H$741=0,"",[1]对账明细接口!$H$741),"")</f>
        <v/>
      </c>
      <c r="I741" s="59" t="str">
        <f aca="false">IFERROR(IF([1]对账明细接口!$I$741=0,"",[1]对账明细接口!$I$741),"")</f>
        <v/>
      </c>
      <c r="J741" s="61" t="str">
        <f aca="false">IFERROR(IF([1]对账明细接口!$J$741=0,"",[1]对账明细接口!$J$741),"")</f>
        <v/>
      </c>
      <c r="K741" s="61" t="str">
        <f aca="false">IFERROR(IF([1]对账明细接口!$K$741=0,"",[1]对账明细接口!$K$741),"")</f>
        <v/>
      </c>
      <c r="L741" s="59" t="str">
        <f aca="false">IFERROR(IF([1]对账明细接口!$L$741=0,"",[1]对账明细接口!$L$741),"")</f>
        <v/>
      </c>
      <c r="M741" s="59" t="str">
        <f aca="false">IFERROR(IF([1]对账明细接口!$M$741=0,"",[1]对账明细接口!$M$741),"")</f>
        <v/>
      </c>
      <c r="N741" s="111" t="n">
        <f aca="false">IF($C741="",0,1)</f>
        <v>0</v>
      </c>
      <c r="O741" s="111" t="n">
        <f aca="false">N(O740)+$N741</f>
        <v>110</v>
      </c>
      <c r="S741" s="10" t="str">
        <f aca="false">IFERROR(IF([1]对账明细接口!$N741=0,"",[1]对账明细接口!$N741),"")</f>
        <v/>
      </c>
      <c r="T741" s="112" t="str">
        <f aca="false">IFERROR(IF([1]对账明细接口!$O741=0,"",[1]对账明细接口!$O741),"")</f>
        <v/>
      </c>
      <c r="U741" s="112" t="str">
        <f aca="false">IFERROR(IF([1]对账明细接口!$P741=0,"",[1]对账明细接口!$P741),"")</f>
        <v/>
      </c>
      <c r="V741" s="112" t="str">
        <f aca="false">IFERROR(IF([1]对账明细接口!$Q741=0,"",[1]对账明细接口!$Q741),"")</f>
        <v/>
      </c>
      <c r="W741" s="10" t="str">
        <f aca="false">IFERROR(IF([1]对账明细接口!$R741=0,"",[1]对账明细接口!$R741),"")</f>
        <v/>
      </c>
      <c r="X741" s="10" t="str">
        <f aca="false">IFERROR(IF([1]对账明细接口!$S741=0,"",[1]对账明细接口!$S741),"")</f>
        <v/>
      </c>
      <c r="Y741" s="10" t="str">
        <f aca="false">""</f>
        <v/>
      </c>
      <c r="Z741" s="10" t="str">
        <f aca="false">""</f>
        <v/>
      </c>
      <c r="AA741" s="10" t="str">
        <f aca="false">""</f>
        <v/>
      </c>
      <c r="AB741" s="10" t="str">
        <f aca="false">""</f>
        <v/>
      </c>
    </row>
    <row r="742" customFormat="false" ht="13.5" hidden="false" customHeight="false" outlineLevel="0" collapsed="false">
      <c r="A742" s="109" t="n">
        <v>742</v>
      </c>
      <c r="B742" s="110" t="str">
        <f aca="false">IFERROR(IF([1]对账明细接口!$B$742=0,"",[1]对账明细接口!$B$742),"")</f>
        <v/>
      </c>
      <c r="C742" s="59" t="str">
        <f aca="false">IFERROR(IF([1]对账明细接口!$C$742=0,"",[1]对账明细接口!$C$742),"")</f>
        <v/>
      </c>
      <c r="D742" s="59" t="str">
        <f aca="false">IFERROR(IF([1]对账明细接口!$D$742=0,"",[1]对账明细接口!$D$742),"")</f>
        <v/>
      </c>
      <c r="E742" s="59" t="str">
        <f aca="false">IFERROR(IF([1]对账明细接口!$E$742=0,"",[1]对账明细接口!$E$742),"")</f>
        <v/>
      </c>
      <c r="F742" s="59" t="str">
        <f aca="false">IFERROR(IF([1]对账明细接口!$F$742=0,"",[1]对账明细接口!$F$742),"")</f>
        <v/>
      </c>
      <c r="G742" s="59" t="str">
        <f aca="false">IFERROR(IF([1]对账明细接口!$G$742=0,"",[1]对账明细接口!$G$742),"")</f>
        <v/>
      </c>
      <c r="H742" s="60" t="str">
        <f aca="false">IFERROR(IF([1]对账明细接口!$H$742=0,"",[1]对账明细接口!$H$742),"")</f>
        <v/>
      </c>
      <c r="I742" s="59" t="str">
        <f aca="false">IFERROR(IF([1]对账明细接口!$I$742=0,"",[1]对账明细接口!$I$742),"")</f>
        <v/>
      </c>
      <c r="J742" s="61" t="str">
        <f aca="false">IFERROR(IF([1]对账明细接口!$J$742=0,"",[1]对账明细接口!$J$742),"")</f>
        <v/>
      </c>
      <c r="K742" s="61" t="str">
        <f aca="false">IFERROR(IF([1]对账明细接口!$K$742=0,"",[1]对账明细接口!$K$742),"")</f>
        <v/>
      </c>
      <c r="L742" s="59" t="str">
        <f aca="false">IFERROR(IF([1]对账明细接口!$L$742=0,"",[1]对账明细接口!$L$742),"")</f>
        <v/>
      </c>
      <c r="M742" s="59" t="str">
        <f aca="false">IFERROR(IF([1]对账明细接口!$M$742=0,"",[1]对账明细接口!$M$742),"")</f>
        <v/>
      </c>
      <c r="N742" s="111" t="n">
        <f aca="false">IF($C742="",0,1)</f>
        <v>0</v>
      </c>
      <c r="O742" s="111" t="n">
        <f aca="false">N(O741)+$N742</f>
        <v>110</v>
      </c>
      <c r="S742" s="10" t="str">
        <f aca="false">IFERROR(IF([1]对账明细接口!$N742=0,"",[1]对账明细接口!$N742),"")</f>
        <v/>
      </c>
      <c r="T742" s="112" t="str">
        <f aca="false">IFERROR(IF([1]对账明细接口!$O742=0,"",[1]对账明细接口!$O742),"")</f>
        <v/>
      </c>
      <c r="U742" s="112" t="str">
        <f aca="false">IFERROR(IF([1]对账明细接口!$P742=0,"",[1]对账明细接口!$P742),"")</f>
        <v/>
      </c>
      <c r="V742" s="112" t="str">
        <f aca="false">IFERROR(IF([1]对账明细接口!$Q742=0,"",[1]对账明细接口!$Q742),"")</f>
        <v/>
      </c>
      <c r="W742" s="10" t="str">
        <f aca="false">IFERROR(IF([1]对账明细接口!$R742=0,"",[1]对账明细接口!$R742),"")</f>
        <v/>
      </c>
      <c r="X742" s="10" t="str">
        <f aca="false">IFERROR(IF([1]对账明细接口!$S742=0,"",[1]对账明细接口!$S742),"")</f>
        <v/>
      </c>
      <c r="Y742" s="10" t="str">
        <f aca="false">""</f>
        <v/>
      </c>
      <c r="Z742" s="10" t="str">
        <f aca="false">""</f>
        <v/>
      </c>
      <c r="AA742" s="10" t="str">
        <f aca="false">""</f>
        <v/>
      </c>
      <c r="AB742" s="10" t="str">
        <f aca="false">""</f>
        <v/>
      </c>
    </row>
    <row r="743" customFormat="false" ht="13.5" hidden="false" customHeight="false" outlineLevel="0" collapsed="false">
      <c r="A743" s="109" t="n">
        <v>743</v>
      </c>
      <c r="B743" s="110" t="str">
        <f aca="false">IFERROR(IF([1]对账明细接口!$B$743=0,"",[1]对账明细接口!$B$743),"")</f>
        <v/>
      </c>
      <c r="C743" s="59" t="str">
        <f aca="false">IFERROR(IF([1]对账明细接口!$C$743=0,"",[1]对账明细接口!$C$743),"")</f>
        <v/>
      </c>
      <c r="D743" s="59" t="str">
        <f aca="false">IFERROR(IF([1]对账明细接口!$D$743=0,"",[1]对账明细接口!$D$743),"")</f>
        <v/>
      </c>
      <c r="E743" s="59" t="str">
        <f aca="false">IFERROR(IF([1]对账明细接口!$E$743=0,"",[1]对账明细接口!$E$743),"")</f>
        <v/>
      </c>
      <c r="F743" s="59" t="str">
        <f aca="false">IFERROR(IF([1]对账明细接口!$F$743=0,"",[1]对账明细接口!$F$743),"")</f>
        <v/>
      </c>
      <c r="G743" s="59" t="str">
        <f aca="false">IFERROR(IF([1]对账明细接口!$G$743=0,"",[1]对账明细接口!$G$743),"")</f>
        <v/>
      </c>
      <c r="H743" s="60" t="str">
        <f aca="false">IFERROR(IF([1]对账明细接口!$H$743=0,"",[1]对账明细接口!$H$743),"")</f>
        <v/>
      </c>
      <c r="I743" s="59" t="str">
        <f aca="false">IFERROR(IF([1]对账明细接口!$I$743=0,"",[1]对账明细接口!$I$743),"")</f>
        <v/>
      </c>
      <c r="J743" s="61" t="str">
        <f aca="false">IFERROR(IF([1]对账明细接口!$J$743=0,"",[1]对账明细接口!$J$743),"")</f>
        <v/>
      </c>
      <c r="K743" s="61" t="str">
        <f aca="false">IFERROR(IF([1]对账明细接口!$K$743=0,"",[1]对账明细接口!$K$743),"")</f>
        <v/>
      </c>
      <c r="L743" s="59" t="str">
        <f aca="false">IFERROR(IF([1]对账明细接口!$L$743=0,"",[1]对账明细接口!$L$743),"")</f>
        <v/>
      </c>
      <c r="M743" s="59" t="str">
        <f aca="false">IFERROR(IF([1]对账明细接口!$M$743=0,"",[1]对账明细接口!$M$743),"")</f>
        <v/>
      </c>
      <c r="N743" s="111" t="n">
        <f aca="false">IF($C743="",0,1)</f>
        <v>0</v>
      </c>
      <c r="O743" s="111" t="n">
        <f aca="false">N(O742)+$N743</f>
        <v>110</v>
      </c>
      <c r="S743" s="10" t="str">
        <f aca="false">IFERROR(IF([1]对账明细接口!$N743=0,"",[1]对账明细接口!$N743),"")</f>
        <v/>
      </c>
      <c r="T743" s="112" t="str">
        <f aca="false">IFERROR(IF([1]对账明细接口!$O743=0,"",[1]对账明细接口!$O743),"")</f>
        <v/>
      </c>
      <c r="U743" s="112" t="str">
        <f aca="false">IFERROR(IF([1]对账明细接口!$P743=0,"",[1]对账明细接口!$P743),"")</f>
        <v/>
      </c>
      <c r="V743" s="112" t="str">
        <f aca="false">IFERROR(IF([1]对账明细接口!$Q743=0,"",[1]对账明细接口!$Q743),"")</f>
        <v/>
      </c>
      <c r="W743" s="10" t="str">
        <f aca="false">IFERROR(IF([1]对账明细接口!$R743=0,"",[1]对账明细接口!$R743),"")</f>
        <v/>
      </c>
      <c r="X743" s="10" t="str">
        <f aca="false">IFERROR(IF([1]对账明细接口!$S743=0,"",[1]对账明细接口!$S743),"")</f>
        <v/>
      </c>
      <c r="Y743" s="10" t="str">
        <f aca="false">""</f>
        <v/>
      </c>
      <c r="Z743" s="10" t="str">
        <f aca="false">""</f>
        <v/>
      </c>
      <c r="AA743" s="10" t="str">
        <f aca="false">""</f>
        <v/>
      </c>
      <c r="AB743" s="10" t="str">
        <f aca="false">""</f>
        <v/>
      </c>
    </row>
    <row r="744" customFormat="false" ht="13.5" hidden="false" customHeight="false" outlineLevel="0" collapsed="false">
      <c r="A744" s="109" t="n">
        <v>744</v>
      </c>
      <c r="B744" s="110" t="str">
        <f aca="false">IFERROR(IF([1]对账明细接口!$B$744=0,"",[1]对账明细接口!$B$744),"")</f>
        <v/>
      </c>
      <c r="C744" s="59" t="str">
        <f aca="false">IFERROR(IF([1]对账明细接口!$C$744=0,"",[1]对账明细接口!$C$744),"")</f>
        <v/>
      </c>
      <c r="D744" s="59" t="str">
        <f aca="false">IFERROR(IF([1]对账明细接口!$D$744=0,"",[1]对账明细接口!$D$744),"")</f>
        <v/>
      </c>
      <c r="E744" s="59" t="str">
        <f aca="false">IFERROR(IF([1]对账明细接口!$E$744=0,"",[1]对账明细接口!$E$744),"")</f>
        <v/>
      </c>
      <c r="F744" s="59" t="str">
        <f aca="false">IFERROR(IF([1]对账明细接口!$F$744=0,"",[1]对账明细接口!$F$744),"")</f>
        <v/>
      </c>
      <c r="G744" s="59" t="str">
        <f aca="false">IFERROR(IF([1]对账明细接口!$G$744=0,"",[1]对账明细接口!$G$744),"")</f>
        <v/>
      </c>
      <c r="H744" s="60" t="str">
        <f aca="false">IFERROR(IF([1]对账明细接口!$H$744=0,"",[1]对账明细接口!$H$744),"")</f>
        <v/>
      </c>
      <c r="I744" s="59" t="str">
        <f aca="false">IFERROR(IF([1]对账明细接口!$I$744=0,"",[1]对账明细接口!$I$744),"")</f>
        <v/>
      </c>
      <c r="J744" s="61" t="str">
        <f aca="false">IFERROR(IF([1]对账明细接口!$J$744=0,"",[1]对账明细接口!$J$744),"")</f>
        <v/>
      </c>
      <c r="K744" s="61" t="str">
        <f aca="false">IFERROR(IF([1]对账明细接口!$K$744=0,"",[1]对账明细接口!$K$744),"")</f>
        <v/>
      </c>
      <c r="L744" s="59" t="str">
        <f aca="false">IFERROR(IF([1]对账明细接口!$L$744=0,"",[1]对账明细接口!$L$744),"")</f>
        <v/>
      </c>
      <c r="M744" s="59" t="str">
        <f aca="false">IFERROR(IF([1]对账明细接口!$M$744=0,"",[1]对账明细接口!$M$744),"")</f>
        <v/>
      </c>
      <c r="N744" s="111" t="n">
        <f aca="false">IF($C744="",0,1)</f>
        <v>0</v>
      </c>
      <c r="O744" s="111" t="n">
        <f aca="false">N(O743)+$N744</f>
        <v>110</v>
      </c>
      <c r="S744" s="10" t="str">
        <f aca="false">IFERROR(IF([1]对账明细接口!$N744=0,"",[1]对账明细接口!$N744),"")</f>
        <v/>
      </c>
      <c r="T744" s="112" t="str">
        <f aca="false">IFERROR(IF([1]对账明细接口!$O744=0,"",[1]对账明细接口!$O744),"")</f>
        <v/>
      </c>
      <c r="U744" s="112" t="str">
        <f aca="false">IFERROR(IF([1]对账明细接口!$P744=0,"",[1]对账明细接口!$P744),"")</f>
        <v/>
      </c>
      <c r="V744" s="112" t="str">
        <f aca="false">IFERROR(IF([1]对账明细接口!$Q744=0,"",[1]对账明细接口!$Q744),"")</f>
        <v/>
      </c>
      <c r="W744" s="10" t="str">
        <f aca="false">IFERROR(IF([1]对账明细接口!$R744=0,"",[1]对账明细接口!$R744),"")</f>
        <v/>
      </c>
      <c r="X744" s="10" t="str">
        <f aca="false">IFERROR(IF([1]对账明细接口!$S744=0,"",[1]对账明细接口!$S744),"")</f>
        <v/>
      </c>
      <c r="Y744" s="10" t="str">
        <f aca="false">""</f>
        <v/>
      </c>
      <c r="Z744" s="10" t="str">
        <f aca="false">""</f>
        <v/>
      </c>
      <c r="AA744" s="10" t="str">
        <f aca="false">""</f>
        <v/>
      </c>
      <c r="AB744" s="10" t="str">
        <f aca="false">""</f>
        <v/>
      </c>
    </row>
    <row r="745" customFormat="false" ht="13.5" hidden="false" customHeight="false" outlineLevel="0" collapsed="false">
      <c r="A745" s="109" t="n">
        <v>745</v>
      </c>
      <c r="B745" s="110" t="str">
        <f aca="false">IFERROR(IF([1]对账明细接口!$B$745=0,"",[1]对账明细接口!$B$745),"")</f>
        <v/>
      </c>
      <c r="C745" s="59" t="str">
        <f aca="false">IFERROR(IF([1]对账明细接口!$C$745=0,"",[1]对账明细接口!$C$745),"")</f>
        <v/>
      </c>
      <c r="D745" s="59" t="str">
        <f aca="false">IFERROR(IF([1]对账明细接口!$D$745=0,"",[1]对账明细接口!$D$745),"")</f>
        <v/>
      </c>
      <c r="E745" s="59" t="str">
        <f aca="false">IFERROR(IF([1]对账明细接口!$E$745=0,"",[1]对账明细接口!$E$745),"")</f>
        <v/>
      </c>
      <c r="F745" s="59" t="str">
        <f aca="false">IFERROR(IF([1]对账明细接口!$F$745=0,"",[1]对账明细接口!$F$745),"")</f>
        <v/>
      </c>
      <c r="G745" s="59" t="str">
        <f aca="false">IFERROR(IF([1]对账明细接口!$G$745=0,"",[1]对账明细接口!$G$745),"")</f>
        <v/>
      </c>
      <c r="H745" s="60" t="str">
        <f aca="false">IFERROR(IF([1]对账明细接口!$H$745=0,"",[1]对账明细接口!$H$745),"")</f>
        <v/>
      </c>
      <c r="I745" s="59" t="str">
        <f aca="false">IFERROR(IF([1]对账明细接口!$I$745=0,"",[1]对账明细接口!$I$745),"")</f>
        <v/>
      </c>
      <c r="J745" s="61" t="str">
        <f aca="false">IFERROR(IF([1]对账明细接口!$J$745=0,"",[1]对账明细接口!$J$745),"")</f>
        <v/>
      </c>
      <c r="K745" s="61" t="str">
        <f aca="false">IFERROR(IF([1]对账明细接口!$K$745=0,"",[1]对账明细接口!$K$745),"")</f>
        <v/>
      </c>
      <c r="L745" s="59" t="str">
        <f aca="false">IFERROR(IF([1]对账明细接口!$L$745=0,"",[1]对账明细接口!$L$745),"")</f>
        <v/>
      </c>
      <c r="M745" s="59" t="str">
        <f aca="false">IFERROR(IF([1]对账明细接口!$M$745=0,"",[1]对账明细接口!$M$745),"")</f>
        <v/>
      </c>
      <c r="N745" s="111" t="n">
        <f aca="false">IF($C745="",0,1)</f>
        <v>0</v>
      </c>
      <c r="O745" s="111" t="n">
        <f aca="false">N(O744)+$N745</f>
        <v>110</v>
      </c>
      <c r="S745" s="10" t="str">
        <f aca="false">IFERROR(IF([1]对账明细接口!$N745=0,"",[1]对账明细接口!$N745),"")</f>
        <v/>
      </c>
      <c r="T745" s="112" t="str">
        <f aca="false">IFERROR(IF([1]对账明细接口!$O745=0,"",[1]对账明细接口!$O745),"")</f>
        <v/>
      </c>
      <c r="U745" s="112" t="str">
        <f aca="false">IFERROR(IF([1]对账明细接口!$P745=0,"",[1]对账明细接口!$P745),"")</f>
        <v/>
      </c>
      <c r="V745" s="112" t="str">
        <f aca="false">IFERROR(IF([1]对账明细接口!$Q745=0,"",[1]对账明细接口!$Q745),"")</f>
        <v/>
      </c>
      <c r="W745" s="10" t="str">
        <f aca="false">IFERROR(IF([1]对账明细接口!$R745=0,"",[1]对账明细接口!$R745),"")</f>
        <v/>
      </c>
      <c r="X745" s="10" t="str">
        <f aca="false">IFERROR(IF([1]对账明细接口!$S745=0,"",[1]对账明细接口!$S745),"")</f>
        <v/>
      </c>
      <c r="Y745" s="10" t="str">
        <f aca="false">""</f>
        <v/>
      </c>
      <c r="Z745" s="10" t="str">
        <f aca="false">""</f>
        <v/>
      </c>
      <c r="AA745" s="10" t="str">
        <f aca="false">""</f>
        <v/>
      </c>
      <c r="AB745" s="10" t="str">
        <f aca="false">""</f>
        <v/>
      </c>
    </row>
    <row r="746" customFormat="false" ht="13.5" hidden="false" customHeight="false" outlineLevel="0" collapsed="false">
      <c r="A746" s="109" t="n">
        <v>746</v>
      </c>
      <c r="B746" s="110" t="str">
        <f aca="false">IFERROR(IF([1]对账明细接口!$B$746=0,"",[1]对账明细接口!$B$746),"")</f>
        <v/>
      </c>
      <c r="C746" s="59" t="str">
        <f aca="false">IFERROR(IF([1]对账明细接口!$C$746=0,"",[1]对账明细接口!$C$746),"")</f>
        <v/>
      </c>
      <c r="D746" s="59" t="str">
        <f aca="false">IFERROR(IF([1]对账明细接口!$D$746=0,"",[1]对账明细接口!$D$746),"")</f>
        <v/>
      </c>
      <c r="E746" s="59" t="str">
        <f aca="false">IFERROR(IF([1]对账明细接口!$E$746=0,"",[1]对账明细接口!$E$746),"")</f>
        <v/>
      </c>
      <c r="F746" s="59" t="str">
        <f aca="false">IFERROR(IF([1]对账明细接口!$F$746=0,"",[1]对账明细接口!$F$746),"")</f>
        <v/>
      </c>
      <c r="G746" s="59" t="str">
        <f aca="false">IFERROR(IF([1]对账明细接口!$G$746=0,"",[1]对账明细接口!$G$746),"")</f>
        <v/>
      </c>
      <c r="H746" s="60" t="str">
        <f aca="false">IFERROR(IF([1]对账明细接口!$H$746=0,"",[1]对账明细接口!$H$746),"")</f>
        <v/>
      </c>
      <c r="I746" s="59" t="str">
        <f aca="false">IFERROR(IF([1]对账明细接口!$I$746=0,"",[1]对账明细接口!$I$746),"")</f>
        <v/>
      </c>
      <c r="J746" s="61" t="str">
        <f aca="false">IFERROR(IF([1]对账明细接口!$J$746=0,"",[1]对账明细接口!$J$746),"")</f>
        <v/>
      </c>
      <c r="K746" s="61" t="str">
        <f aca="false">IFERROR(IF([1]对账明细接口!$K$746=0,"",[1]对账明细接口!$K$746),"")</f>
        <v/>
      </c>
      <c r="L746" s="59" t="str">
        <f aca="false">IFERROR(IF([1]对账明细接口!$L$746=0,"",[1]对账明细接口!$L$746),"")</f>
        <v/>
      </c>
      <c r="M746" s="59" t="str">
        <f aca="false">IFERROR(IF([1]对账明细接口!$M$746=0,"",[1]对账明细接口!$M$746),"")</f>
        <v/>
      </c>
      <c r="N746" s="111" t="n">
        <f aca="false">IF($C746="",0,1)</f>
        <v>0</v>
      </c>
      <c r="O746" s="111" t="n">
        <f aca="false">N(O745)+$N746</f>
        <v>110</v>
      </c>
      <c r="S746" s="10" t="str">
        <f aca="false">IFERROR(IF([1]对账明细接口!$N746=0,"",[1]对账明细接口!$N746),"")</f>
        <v/>
      </c>
      <c r="T746" s="112" t="str">
        <f aca="false">IFERROR(IF([1]对账明细接口!$O746=0,"",[1]对账明细接口!$O746),"")</f>
        <v/>
      </c>
      <c r="U746" s="112" t="str">
        <f aca="false">IFERROR(IF([1]对账明细接口!$P746=0,"",[1]对账明细接口!$P746),"")</f>
        <v/>
      </c>
      <c r="V746" s="112" t="str">
        <f aca="false">IFERROR(IF([1]对账明细接口!$Q746=0,"",[1]对账明细接口!$Q746),"")</f>
        <v/>
      </c>
      <c r="W746" s="10" t="str">
        <f aca="false">IFERROR(IF([1]对账明细接口!$R746=0,"",[1]对账明细接口!$R746),"")</f>
        <v/>
      </c>
      <c r="X746" s="10" t="str">
        <f aca="false">IFERROR(IF([1]对账明细接口!$S746=0,"",[1]对账明细接口!$S746),"")</f>
        <v/>
      </c>
      <c r="Y746" s="10" t="str">
        <f aca="false">""</f>
        <v/>
      </c>
      <c r="Z746" s="10" t="str">
        <f aca="false">""</f>
        <v/>
      </c>
      <c r="AA746" s="10" t="str">
        <f aca="false">""</f>
        <v/>
      </c>
      <c r="AB746" s="10" t="str">
        <f aca="false">""</f>
        <v/>
      </c>
    </row>
    <row r="747" customFormat="false" ht="13.5" hidden="false" customHeight="false" outlineLevel="0" collapsed="false">
      <c r="A747" s="109" t="n">
        <v>747</v>
      </c>
      <c r="B747" s="110" t="str">
        <f aca="false">IFERROR(IF([1]对账明细接口!$B$747=0,"",[1]对账明细接口!$B$747),"")</f>
        <v/>
      </c>
      <c r="C747" s="59" t="str">
        <f aca="false">IFERROR(IF([1]对账明细接口!$C$747=0,"",[1]对账明细接口!$C$747),"")</f>
        <v/>
      </c>
      <c r="D747" s="59" t="str">
        <f aca="false">IFERROR(IF([1]对账明细接口!$D$747=0,"",[1]对账明细接口!$D$747),"")</f>
        <v/>
      </c>
      <c r="E747" s="59" t="str">
        <f aca="false">IFERROR(IF([1]对账明细接口!$E$747=0,"",[1]对账明细接口!$E$747),"")</f>
        <v/>
      </c>
      <c r="F747" s="59" t="str">
        <f aca="false">IFERROR(IF([1]对账明细接口!$F$747=0,"",[1]对账明细接口!$F$747),"")</f>
        <v/>
      </c>
      <c r="G747" s="59" t="str">
        <f aca="false">IFERROR(IF([1]对账明细接口!$G$747=0,"",[1]对账明细接口!$G$747),"")</f>
        <v/>
      </c>
      <c r="H747" s="60" t="str">
        <f aca="false">IFERROR(IF([1]对账明细接口!$H$747=0,"",[1]对账明细接口!$H$747),"")</f>
        <v/>
      </c>
      <c r="I747" s="59" t="str">
        <f aca="false">IFERROR(IF([1]对账明细接口!$I$747=0,"",[1]对账明细接口!$I$747),"")</f>
        <v/>
      </c>
      <c r="J747" s="61" t="str">
        <f aca="false">IFERROR(IF([1]对账明细接口!$J$747=0,"",[1]对账明细接口!$J$747),"")</f>
        <v/>
      </c>
      <c r="K747" s="61" t="str">
        <f aca="false">IFERROR(IF([1]对账明细接口!$K$747=0,"",[1]对账明细接口!$K$747),"")</f>
        <v/>
      </c>
      <c r="L747" s="59" t="str">
        <f aca="false">IFERROR(IF([1]对账明细接口!$L$747=0,"",[1]对账明细接口!$L$747),"")</f>
        <v/>
      </c>
      <c r="M747" s="59" t="str">
        <f aca="false">IFERROR(IF([1]对账明细接口!$M$747=0,"",[1]对账明细接口!$M$747),"")</f>
        <v/>
      </c>
      <c r="N747" s="111" t="n">
        <f aca="false">IF($C747="",0,1)</f>
        <v>0</v>
      </c>
      <c r="O747" s="111" t="n">
        <f aca="false">N(O746)+$N747</f>
        <v>110</v>
      </c>
      <c r="S747" s="10" t="str">
        <f aca="false">IFERROR(IF([1]对账明细接口!$N747=0,"",[1]对账明细接口!$N747),"")</f>
        <v/>
      </c>
      <c r="T747" s="112" t="str">
        <f aca="false">IFERROR(IF([1]对账明细接口!$O747=0,"",[1]对账明细接口!$O747),"")</f>
        <v/>
      </c>
      <c r="U747" s="112" t="str">
        <f aca="false">IFERROR(IF([1]对账明细接口!$P747=0,"",[1]对账明细接口!$P747),"")</f>
        <v/>
      </c>
      <c r="V747" s="112" t="str">
        <f aca="false">IFERROR(IF([1]对账明细接口!$Q747=0,"",[1]对账明细接口!$Q747),"")</f>
        <v/>
      </c>
      <c r="W747" s="10" t="str">
        <f aca="false">IFERROR(IF([1]对账明细接口!$R747=0,"",[1]对账明细接口!$R747),"")</f>
        <v/>
      </c>
      <c r="X747" s="10" t="str">
        <f aca="false">IFERROR(IF([1]对账明细接口!$S747=0,"",[1]对账明细接口!$S747),"")</f>
        <v/>
      </c>
      <c r="Y747" s="10" t="str">
        <f aca="false">""</f>
        <v/>
      </c>
      <c r="Z747" s="10" t="str">
        <f aca="false">""</f>
        <v/>
      </c>
      <c r="AA747" s="10" t="str">
        <f aca="false">""</f>
        <v/>
      </c>
      <c r="AB747" s="10" t="str">
        <f aca="false">""</f>
        <v/>
      </c>
    </row>
    <row r="748" customFormat="false" ht="13.5" hidden="false" customHeight="false" outlineLevel="0" collapsed="false">
      <c r="A748" s="109" t="n">
        <v>748</v>
      </c>
      <c r="B748" s="110" t="str">
        <f aca="false">IFERROR(IF([1]对账明细接口!$B$748=0,"",[1]对账明细接口!$B$748),"")</f>
        <v/>
      </c>
      <c r="C748" s="59" t="str">
        <f aca="false">IFERROR(IF([1]对账明细接口!$C$748=0,"",[1]对账明细接口!$C$748),"")</f>
        <v/>
      </c>
      <c r="D748" s="59" t="str">
        <f aca="false">IFERROR(IF([1]对账明细接口!$D$748=0,"",[1]对账明细接口!$D$748),"")</f>
        <v/>
      </c>
      <c r="E748" s="59" t="str">
        <f aca="false">IFERROR(IF([1]对账明细接口!$E$748=0,"",[1]对账明细接口!$E$748),"")</f>
        <v/>
      </c>
      <c r="F748" s="59" t="str">
        <f aca="false">IFERROR(IF([1]对账明细接口!$F$748=0,"",[1]对账明细接口!$F$748),"")</f>
        <v/>
      </c>
      <c r="G748" s="59" t="str">
        <f aca="false">IFERROR(IF([1]对账明细接口!$G$748=0,"",[1]对账明细接口!$G$748),"")</f>
        <v/>
      </c>
      <c r="H748" s="60" t="str">
        <f aca="false">IFERROR(IF([1]对账明细接口!$H$748=0,"",[1]对账明细接口!$H$748),"")</f>
        <v/>
      </c>
      <c r="I748" s="59" t="str">
        <f aca="false">IFERROR(IF([1]对账明细接口!$I$748=0,"",[1]对账明细接口!$I$748),"")</f>
        <v/>
      </c>
      <c r="J748" s="61" t="str">
        <f aca="false">IFERROR(IF([1]对账明细接口!$J$748=0,"",[1]对账明细接口!$J$748),"")</f>
        <v/>
      </c>
      <c r="K748" s="61" t="str">
        <f aca="false">IFERROR(IF([1]对账明细接口!$K$748=0,"",[1]对账明细接口!$K$748),"")</f>
        <v/>
      </c>
      <c r="L748" s="59" t="str">
        <f aca="false">IFERROR(IF([1]对账明细接口!$L$748=0,"",[1]对账明细接口!$L$748),"")</f>
        <v/>
      </c>
      <c r="M748" s="59" t="str">
        <f aca="false">IFERROR(IF([1]对账明细接口!$M$748=0,"",[1]对账明细接口!$M$748),"")</f>
        <v/>
      </c>
      <c r="N748" s="111" t="n">
        <f aca="false">IF($C748="",0,1)</f>
        <v>0</v>
      </c>
      <c r="O748" s="111" t="n">
        <f aca="false">N(O747)+$N748</f>
        <v>110</v>
      </c>
      <c r="S748" s="10" t="str">
        <f aca="false">IFERROR(IF([1]对账明细接口!$N748=0,"",[1]对账明细接口!$N748),"")</f>
        <v/>
      </c>
      <c r="T748" s="112" t="str">
        <f aca="false">IFERROR(IF([1]对账明细接口!$O748=0,"",[1]对账明细接口!$O748),"")</f>
        <v/>
      </c>
      <c r="U748" s="112" t="str">
        <f aca="false">IFERROR(IF([1]对账明细接口!$P748=0,"",[1]对账明细接口!$P748),"")</f>
        <v/>
      </c>
      <c r="V748" s="112" t="str">
        <f aca="false">IFERROR(IF([1]对账明细接口!$Q748=0,"",[1]对账明细接口!$Q748),"")</f>
        <v/>
      </c>
      <c r="W748" s="10" t="str">
        <f aca="false">IFERROR(IF([1]对账明细接口!$R748=0,"",[1]对账明细接口!$R748),"")</f>
        <v/>
      </c>
      <c r="X748" s="10" t="str">
        <f aca="false">IFERROR(IF([1]对账明细接口!$S748=0,"",[1]对账明细接口!$S748),"")</f>
        <v/>
      </c>
      <c r="Y748" s="10" t="str">
        <f aca="false">""</f>
        <v/>
      </c>
      <c r="Z748" s="10" t="str">
        <f aca="false">""</f>
        <v/>
      </c>
      <c r="AA748" s="10" t="str">
        <f aca="false">""</f>
        <v/>
      </c>
      <c r="AB748" s="10" t="str">
        <f aca="false">""</f>
        <v/>
      </c>
    </row>
    <row r="749" customFormat="false" ht="13.5" hidden="false" customHeight="false" outlineLevel="0" collapsed="false">
      <c r="A749" s="109" t="n">
        <v>749</v>
      </c>
      <c r="B749" s="110" t="str">
        <f aca="false">IFERROR(IF([1]对账明细接口!$B$749=0,"",[1]对账明细接口!$B$749),"")</f>
        <v/>
      </c>
      <c r="C749" s="59" t="str">
        <f aca="false">IFERROR(IF([1]对账明细接口!$C$749=0,"",[1]对账明细接口!$C$749),"")</f>
        <v/>
      </c>
      <c r="D749" s="59" t="str">
        <f aca="false">IFERROR(IF([1]对账明细接口!$D$749=0,"",[1]对账明细接口!$D$749),"")</f>
        <v/>
      </c>
      <c r="E749" s="59" t="str">
        <f aca="false">IFERROR(IF([1]对账明细接口!$E$749=0,"",[1]对账明细接口!$E$749),"")</f>
        <v/>
      </c>
      <c r="F749" s="59" t="str">
        <f aca="false">IFERROR(IF([1]对账明细接口!$F$749=0,"",[1]对账明细接口!$F$749),"")</f>
        <v/>
      </c>
      <c r="G749" s="59" t="str">
        <f aca="false">IFERROR(IF([1]对账明细接口!$G$749=0,"",[1]对账明细接口!$G$749),"")</f>
        <v/>
      </c>
      <c r="H749" s="60" t="str">
        <f aca="false">IFERROR(IF([1]对账明细接口!$H$749=0,"",[1]对账明细接口!$H$749),"")</f>
        <v/>
      </c>
      <c r="I749" s="59" t="str">
        <f aca="false">IFERROR(IF([1]对账明细接口!$I$749=0,"",[1]对账明细接口!$I$749),"")</f>
        <v/>
      </c>
      <c r="J749" s="61" t="str">
        <f aca="false">IFERROR(IF([1]对账明细接口!$J$749=0,"",[1]对账明细接口!$J$749),"")</f>
        <v/>
      </c>
      <c r="K749" s="61" t="str">
        <f aca="false">IFERROR(IF([1]对账明细接口!$K$749=0,"",[1]对账明细接口!$K$749),"")</f>
        <v/>
      </c>
      <c r="L749" s="59" t="str">
        <f aca="false">IFERROR(IF([1]对账明细接口!$L$749=0,"",[1]对账明细接口!$L$749),"")</f>
        <v/>
      </c>
      <c r="M749" s="59" t="str">
        <f aca="false">IFERROR(IF([1]对账明细接口!$M$749=0,"",[1]对账明细接口!$M$749),"")</f>
        <v/>
      </c>
      <c r="N749" s="111" t="n">
        <f aca="false">IF($C749="",0,1)</f>
        <v>0</v>
      </c>
      <c r="O749" s="111" t="n">
        <f aca="false">N(O748)+$N749</f>
        <v>110</v>
      </c>
      <c r="S749" s="10" t="str">
        <f aca="false">IFERROR(IF([1]对账明细接口!$N749=0,"",[1]对账明细接口!$N749),"")</f>
        <v/>
      </c>
      <c r="T749" s="112" t="str">
        <f aca="false">IFERROR(IF([1]对账明细接口!$O749=0,"",[1]对账明细接口!$O749),"")</f>
        <v/>
      </c>
      <c r="U749" s="112" t="str">
        <f aca="false">IFERROR(IF([1]对账明细接口!$P749=0,"",[1]对账明细接口!$P749),"")</f>
        <v/>
      </c>
      <c r="V749" s="112" t="str">
        <f aca="false">IFERROR(IF([1]对账明细接口!$Q749=0,"",[1]对账明细接口!$Q749),"")</f>
        <v/>
      </c>
      <c r="W749" s="10" t="str">
        <f aca="false">IFERROR(IF([1]对账明细接口!$R749=0,"",[1]对账明细接口!$R749),"")</f>
        <v/>
      </c>
      <c r="X749" s="10" t="str">
        <f aca="false">IFERROR(IF([1]对账明细接口!$S749=0,"",[1]对账明细接口!$S749),"")</f>
        <v/>
      </c>
      <c r="Y749" s="10" t="str">
        <f aca="false">""</f>
        <v/>
      </c>
      <c r="Z749" s="10" t="str">
        <f aca="false">""</f>
        <v/>
      </c>
      <c r="AA749" s="10" t="str">
        <f aca="false">""</f>
        <v/>
      </c>
      <c r="AB749" s="10" t="str">
        <f aca="false">""</f>
        <v/>
      </c>
    </row>
    <row r="750" customFormat="false" ht="13.5" hidden="false" customHeight="false" outlineLevel="0" collapsed="false">
      <c r="A750" s="109" t="n">
        <v>750</v>
      </c>
      <c r="B750" s="110" t="str">
        <f aca="false">IFERROR(IF([1]对账明细接口!$B$750=0,"",[1]对账明细接口!$B$750),"")</f>
        <v/>
      </c>
      <c r="C750" s="59" t="str">
        <f aca="false">IFERROR(IF([1]对账明细接口!$C$750=0,"",[1]对账明细接口!$C$750),"")</f>
        <v/>
      </c>
      <c r="D750" s="59" t="str">
        <f aca="false">IFERROR(IF([1]对账明细接口!$D$750=0,"",[1]对账明细接口!$D$750),"")</f>
        <v/>
      </c>
      <c r="E750" s="59" t="str">
        <f aca="false">IFERROR(IF([1]对账明细接口!$E$750=0,"",[1]对账明细接口!$E$750),"")</f>
        <v/>
      </c>
      <c r="F750" s="59" t="str">
        <f aca="false">IFERROR(IF([1]对账明细接口!$F$750=0,"",[1]对账明细接口!$F$750),"")</f>
        <v/>
      </c>
      <c r="G750" s="59" t="str">
        <f aca="false">IFERROR(IF([1]对账明细接口!$G$750=0,"",[1]对账明细接口!$G$750),"")</f>
        <v/>
      </c>
      <c r="H750" s="60" t="str">
        <f aca="false">IFERROR(IF([1]对账明细接口!$H$750=0,"",[1]对账明细接口!$H$750),"")</f>
        <v/>
      </c>
      <c r="I750" s="59" t="str">
        <f aca="false">IFERROR(IF([1]对账明细接口!$I$750=0,"",[1]对账明细接口!$I$750),"")</f>
        <v/>
      </c>
      <c r="J750" s="61" t="str">
        <f aca="false">IFERROR(IF([1]对账明细接口!$J$750=0,"",[1]对账明细接口!$J$750),"")</f>
        <v/>
      </c>
      <c r="K750" s="61" t="str">
        <f aca="false">IFERROR(IF([1]对账明细接口!$K$750=0,"",[1]对账明细接口!$K$750),"")</f>
        <v/>
      </c>
      <c r="L750" s="59" t="str">
        <f aca="false">IFERROR(IF([1]对账明细接口!$L$750=0,"",[1]对账明细接口!$L$750),"")</f>
        <v/>
      </c>
      <c r="M750" s="59" t="str">
        <f aca="false">IFERROR(IF([1]对账明细接口!$M$750=0,"",[1]对账明细接口!$M$750),"")</f>
        <v/>
      </c>
      <c r="N750" s="111" t="n">
        <f aca="false">IF($C750="",0,1)</f>
        <v>0</v>
      </c>
      <c r="O750" s="111" t="n">
        <f aca="false">N(O749)+$N750</f>
        <v>110</v>
      </c>
      <c r="S750" s="10" t="str">
        <f aca="false">IFERROR(IF([1]对账明细接口!$N750=0,"",[1]对账明细接口!$N750),"")</f>
        <v/>
      </c>
      <c r="T750" s="112" t="str">
        <f aca="false">IFERROR(IF([1]对账明细接口!$O750=0,"",[1]对账明细接口!$O750),"")</f>
        <v/>
      </c>
      <c r="U750" s="112" t="str">
        <f aca="false">IFERROR(IF([1]对账明细接口!$P750=0,"",[1]对账明细接口!$P750),"")</f>
        <v/>
      </c>
      <c r="V750" s="112" t="str">
        <f aca="false">IFERROR(IF([1]对账明细接口!$Q750=0,"",[1]对账明细接口!$Q750),"")</f>
        <v/>
      </c>
      <c r="W750" s="10" t="str">
        <f aca="false">IFERROR(IF([1]对账明细接口!$R750=0,"",[1]对账明细接口!$R750),"")</f>
        <v/>
      </c>
      <c r="X750" s="10" t="str">
        <f aca="false">IFERROR(IF([1]对账明细接口!$S750=0,"",[1]对账明细接口!$S750),"")</f>
        <v/>
      </c>
      <c r="Y750" s="10" t="str">
        <f aca="false">""</f>
        <v/>
      </c>
      <c r="Z750" s="10" t="str">
        <f aca="false">""</f>
        <v/>
      </c>
      <c r="AA750" s="10" t="str">
        <f aca="false">""</f>
        <v/>
      </c>
      <c r="AB750" s="10" t="str">
        <f aca="false">""</f>
        <v/>
      </c>
    </row>
    <row r="751" customFormat="false" ht="13.5" hidden="false" customHeight="false" outlineLevel="0" collapsed="false">
      <c r="A751" s="109" t="n">
        <v>751</v>
      </c>
      <c r="B751" s="110" t="str">
        <f aca="false">IFERROR(IF([1]对账明细接口!$B$751=0,"",[1]对账明细接口!$B$751),"")</f>
        <v/>
      </c>
      <c r="C751" s="59" t="str">
        <f aca="false">IFERROR(IF([1]对账明细接口!$C$751=0,"",[1]对账明细接口!$C$751),"")</f>
        <v/>
      </c>
      <c r="D751" s="59" t="str">
        <f aca="false">IFERROR(IF([1]对账明细接口!$D$751=0,"",[1]对账明细接口!$D$751),"")</f>
        <v/>
      </c>
      <c r="E751" s="59" t="str">
        <f aca="false">IFERROR(IF([1]对账明细接口!$E$751=0,"",[1]对账明细接口!$E$751),"")</f>
        <v/>
      </c>
      <c r="F751" s="59" t="str">
        <f aca="false">IFERROR(IF([1]对账明细接口!$F$751=0,"",[1]对账明细接口!$F$751),"")</f>
        <v/>
      </c>
      <c r="G751" s="59" t="str">
        <f aca="false">IFERROR(IF([1]对账明细接口!$G$751=0,"",[1]对账明细接口!$G$751),"")</f>
        <v/>
      </c>
      <c r="H751" s="60" t="str">
        <f aca="false">IFERROR(IF([1]对账明细接口!$H$751=0,"",[1]对账明细接口!$H$751),"")</f>
        <v/>
      </c>
      <c r="I751" s="59" t="str">
        <f aca="false">IFERROR(IF([1]对账明细接口!$I$751=0,"",[1]对账明细接口!$I$751),"")</f>
        <v/>
      </c>
      <c r="J751" s="61" t="str">
        <f aca="false">IFERROR(IF([1]对账明细接口!$J$751=0,"",[1]对账明细接口!$J$751),"")</f>
        <v/>
      </c>
      <c r="K751" s="61" t="str">
        <f aca="false">IFERROR(IF([1]对账明细接口!$K$751=0,"",[1]对账明细接口!$K$751),"")</f>
        <v/>
      </c>
      <c r="L751" s="59" t="str">
        <f aca="false">IFERROR(IF([1]对账明细接口!$L$751=0,"",[1]对账明细接口!$L$751),"")</f>
        <v/>
      </c>
      <c r="M751" s="59" t="str">
        <f aca="false">IFERROR(IF([1]对账明细接口!$M$751=0,"",[1]对账明细接口!$M$751),"")</f>
        <v/>
      </c>
      <c r="N751" s="111" t="n">
        <f aca="false">IF($C751="",0,1)</f>
        <v>0</v>
      </c>
      <c r="O751" s="111" t="n">
        <f aca="false">N(O750)+$N751</f>
        <v>110</v>
      </c>
      <c r="S751" s="10" t="str">
        <f aca="false">IFERROR(IF([1]对账明细接口!$N751=0,"",[1]对账明细接口!$N751),"")</f>
        <v/>
      </c>
      <c r="T751" s="112" t="str">
        <f aca="false">IFERROR(IF([1]对账明细接口!$O751=0,"",[1]对账明细接口!$O751),"")</f>
        <v/>
      </c>
      <c r="U751" s="112" t="str">
        <f aca="false">IFERROR(IF([1]对账明细接口!$P751=0,"",[1]对账明细接口!$P751),"")</f>
        <v/>
      </c>
      <c r="V751" s="112" t="str">
        <f aca="false">IFERROR(IF([1]对账明细接口!$Q751=0,"",[1]对账明细接口!$Q751),"")</f>
        <v/>
      </c>
      <c r="W751" s="10" t="str">
        <f aca="false">IFERROR(IF([1]对账明细接口!$R751=0,"",[1]对账明细接口!$R751),"")</f>
        <v/>
      </c>
      <c r="X751" s="10" t="str">
        <f aca="false">IFERROR(IF([1]对账明细接口!$S751=0,"",[1]对账明细接口!$S751),"")</f>
        <v/>
      </c>
      <c r="Y751" s="10" t="str">
        <f aca="false">""</f>
        <v/>
      </c>
      <c r="Z751" s="10" t="str">
        <f aca="false">""</f>
        <v/>
      </c>
      <c r="AA751" s="10" t="str">
        <f aca="false">""</f>
        <v/>
      </c>
      <c r="AB751" s="10" t="str">
        <f aca="false">""</f>
        <v/>
      </c>
    </row>
    <row r="752" customFormat="false" ht="13.5" hidden="false" customHeight="false" outlineLevel="0" collapsed="false">
      <c r="A752" s="109" t="n">
        <v>752</v>
      </c>
      <c r="B752" s="110" t="str">
        <f aca="false">IFERROR(IF([1]对账明细接口!$B$752=0,"",[1]对账明细接口!$B$752),"")</f>
        <v/>
      </c>
      <c r="C752" s="59" t="str">
        <f aca="false">IFERROR(IF([1]对账明细接口!$C$752=0,"",[1]对账明细接口!$C$752),"")</f>
        <v/>
      </c>
      <c r="D752" s="59" t="str">
        <f aca="false">IFERROR(IF([1]对账明细接口!$D$752=0,"",[1]对账明细接口!$D$752),"")</f>
        <v/>
      </c>
      <c r="E752" s="59" t="str">
        <f aca="false">IFERROR(IF([1]对账明细接口!$E$752=0,"",[1]对账明细接口!$E$752),"")</f>
        <v/>
      </c>
      <c r="F752" s="59" t="str">
        <f aca="false">IFERROR(IF([1]对账明细接口!$F$752=0,"",[1]对账明细接口!$F$752),"")</f>
        <v/>
      </c>
      <c r="G752" s="59" t="str">
        <f aca="false">IFERROR(IF([1]对账明细接口!$G$752=0,"",[1]对账明细接口!$G$752),"")</f>
        <v/>
      </c>
      <c r="H752" s="60" t="str">
        <f aca="false">IFERROR(IF([1]对账明细接口!$H$752=0,"",[1]对账明细接口!$H$752),"")</f>
        <v/>
      </c>
      <c r="I752" s="59" t="str">
        <f aca="false">IFERROR(IF([1]对账明细接口!$I$752=0,"",[1]对账明细接口!$I$752),"")</f>
        <v/>
      </c>
      <c r="J752" s="61" t="str">
        <f aca="false">IFERROR(IF([1]对账明细接口!$J$752=0,"",[1]对账明细接口!$J$752),"")</f>
        <v/>
      </c>
      <c r="K752" s="61" t="str">
        <f aca="false">IFERROR(IF([1]对账明细接口!$K$752=0,"",[1]对账明细接口!$K$752),"")</f>
        <v/>
      </c>
      <c r="L752" s="59" t="str">
        <f aca="false">IFERROR(IF([1]对账明细接口!$L$752=0,"",[1]对账明细接口!$L$752),"")</f>
        <v/>
      </c>
      <c r="M752" s="59" t="str">
        <f aca="false">IFERROR(IF([1]对账明细接口!$M$752=0,"",[1]对账明细接口!$M$752),"")</f>
        <v/>
      </c>
      <c r="N752" s="111" t="n">
        <f aca="false">IF($C752="",0,1)</f>
        <v>0</v>
      </c>
      <c r="O752" s="111" t="n">
        <f aca="false">N(O751)+$N752</f>
        <v>110</v>
      </c>
      <c r="S752" s="10" t="str">
        <f aca="false">IFERROR(IF([1]对账明细接口!$N752=0,"",[1]对账明细接口!$N752),"")</f>
        <v/>
      </c>
      <c r="T752" s="112" t="str">
        <f aca="false">IFERROR(IF([1]对账明细接口!$O752=0,"",[1]对账明细接口!$O752),"")</f>
        <v/>
      </c>
      <c r="U752" s="112" t="str">
        <f aca="false">IFERROR(IF([1]对账明细接口!$P752=0,"",[1]对账明细接口!$P752),"")</f>
        <v/>
      </c>
      <c r="V752" s="112" t="str">
        <f aca="false">IFERROR(IF([1]对账明细接口!$Q752=0,"",[1]对账明细接口!$Q752),"")</f>
        <v/>
      </c>
      <c r="W752" s="10" t="str">
        <f aca="false">IFERROR(IF([1]对账明细接口!$R752=0,"",[1]对账明细接口!$R752),"")</f>
        <v/>
      </c>
      <c r="X752" s="10" t="str">
        <f aca="false">IFERROR(IF([1]对账明细接口!$S752=0,"",[1]对账明细接口!$S752),"")</f>
        <v/>
      </c>
      <c r="Y752" s="10" t="str">
        <f aca="false">""</f>
        <v/>
      </c>
      <c r="Z752" s="10" t="str">
        <f aca="false">""</f>
        <v/>
      </c>
      <c r="AA752" s="10" t="str">
        <f aca="false">""</f>
        <v/>
      </c>
      <c r="AB752" s="10" t="str">
        <f aca="false">""</f>
        <v/>
      </c>
    </row>
    <row r="753" customFormat="false" ht="13.5" hidden="false" customHeight="false" outlineLevel="0" collapsed="false">
      <c r="A753" s="109" t="n">
        <v>753</v>
      </c>
      <c r="B753" s="110" t="str">
        <f aca="false">IFERROR(IF([1]对账明细接口!$B$753=0,"",[1]对账明细接口!$B$753),"")</f>
        <v/>
      </c>
      <c r="C753" s="59" t="str">
        <f aca="false">IFERROR(IF([1]对账明细接口!$C$753=0,"",[1]对账明细接口!$C$753),"")</f>
        <v/>
      </c>
      <c r="D753" s="59" t="str">
        <f aca="false">IFERROR(IF([1]对账明细接口!$D$753=0,"",[1]对账明细接口!$D$753),"")</f>
        <v/>
      </c>
      <c r="E753" s="59" t="str">
        <f aca="false">IFERROR(IF([1]对账明细接口!$E$753=0,"",[1]对账明细接口!$E$753),"")</f>
        <v/>
      </c>
      <c r="F753" s="59" t="str">
        <f aca="false">IFERROR(IF([1]对账明细接口!$F$753=0,"",[1]对账明细接口!$F$753),"")</f>
        <v/>
      </c>
      <c r="G753" s="59" t="str">
        <f aca="false">IFERROR(IF([1]对账明细接口!$G$753=0,"",[1]对账明细接口!$G$753),"")</f>
        <v/>
      </c>
      <c r="H753" s="60" t="str">
        <f aca="false">IFERROR(IF([1]对账明细接口!$H$753=0,"",[1]对账明细接口!$H$753),"")</f>
        <v/>
      </c>
      <c r="I753" s="59" t="str">
        <f aca="false">IFERROR(IF([1]对账明细接口!$I$753=0,"",[1]对账明细接口!$I$753),"")</f>
        <v/>
      </c>
      <c r="J753" s="61" t="str">
        <f aca="false">IFERROR(IF([1]对账明细接口!$J$753=0,"",[1]对账明细接口!$J$753),"")</f>
        <v/>
      </c>
      <c r="K753" s="61" t="str">
        <f aca="false">IFERROR(IF([1]对账明细接口!$K$753=0,"",[1]对账明细接口!$K$753),"")</f>
        <v/>
      </c>
      <c r="L753" s="59" t="str">
        <f aca="false">IFERROR(IF([1]对账明细接口!$L$753=0,"",[1]对账明细接口!$L$753),"")</f>
        <v/>
      </c>
      <c r="M753" s="59" t="str">
        <f aca="false">IFERROR(IF([1]对账明细接口!$M$753=0,"",[1]对账明细接口!$M$753),"")</f>
        <v/>
      </c>
      <c r="N753" s="111" t="n">
        <f aca="false">IF($C753="",0,1)</f>
        <v>0</v>
      </c>
      <c r="O753" s="111" t="n">
        <f aca="false">N(O752)+$N753</f>
        <v>110</v>
      </c>
      <c r="S753" s="10" t="str">
        <f aca="false">IFERROR(IF([1]对账明细接口!$N753=0,"",[1]对账明细接口!$N753),"")</f>
        <v/>
      </c>
      <c r="T753" s="112" t="str">
        <f aca="false">IFERROR(IF([1]对账明细接口!$O753=0,"",[1]对账明细接口!$O753),"")</f>
        <v/>
      </c>
      <c r="U753" s="112" t="str">
        <f aca="false">IFERROR(IF([1]对账明细接口!$P753=0,"",[1]对账明细接口!$P753),"")</f>
        <v/>
      </c>
      <c r="V753" s="112" t="str">
        <f aca="false">IFERROR(IF([1]对账明细接口!$Q753=0,"",[1]对账明细接口!$Q753),"")</f>
        <v/>
      </c>
      <c r="W753" s="10" t="str">
        <f aca="false">IFERROR(IF([1]对账明细接口!$R753=0,"",[1]对账明细接口!$R753),"")</f>
        <v/>
      </c>
      <c r="X753" s="10" t="str">
        <f aca="false">IFERROR(IF([1]对账明细接口!$S753=0,"",[1]对账明细接口!$S753),"")</f>
        <v/>
      </c>
      <c r="Y753" s="10" t="str">
        <f aca="false">""</f>
        <v/>
      </c>
      <c r="Z753" s="10" t="str">
        <f aca="false">""</f>
        <v/>
      </c>
      <c r="AA753" s="10" t="str">
        <f aca="false">""</f>
        <v/>
      </c>
      <c r="AB753" s="10" t="str">
        <f aca="false">""</f>
        <v/>
      </c>
    </row>
    <row r="754" customFormat="false" ht="13.5" hidden="false" customHeight="false" outlineLevel="0" collapsed="false">
      <c r="A754" s="109" t="n">
        <v>754</v>
      </c>
      <c r="B754" s="110" t="str">
        <f aca="false">IFERROR(IF([1]对账明细接口!$B$754=0,"",[1]对账明细接口!$B$754),"")</f>
        <v/>
      </c>
      <c r="C754" s="59" t="str">
        <f aca="false">IFERROR(IF([1]对账明细接口!$C$754=0,"",[1]对账明细接口!$C$754),"")</f>
        <v/>
      </c>
      <c r="D754" s="59" t="str">
        <f aca="false">IFERROR(IF([1]对账明细接口!$D$754=0,"",[1]对账明细接口!$D$754),"")</f>
        <v/>
      </c>
      <c r="E754" s="59" t="str">
        <f aca="false">IFERROR(IF([1]对账明细接口!$E$754=0,"",[1]对账明细接口!$E$754),"")</f>
        <v/>
      </c>
      <c r="F754" s="59" t="str">
        <f aca="false">IFERROR(IF([1]对账明细接口!$F$754=0,"",[1]对账明细接口!$F$754),"")</f>
        <v/>
      </c>
      <c r="G754" s="59" t="str">
        <f aca="false">IFERROR(IF([1]对账明细接口!$G$754=0,"",[1]对账明细接口!$G$754),"")</f>
        <v/>
      </c>
      <c r="H754" s="60" t="str">
        <f aca="false">IFERROR(IF([1]对账明细接口!$H$754=0,"",[1]对账明细接口!$H$754),"")</f>
        <v/>
      </c>
      <c r="I754" s="59" t="str">
        <f aca="false">IFERROR(IF([1]对账明细接口!$I$754=0,"",[1]对账明细接口!$I$754),"")</f>
        <v/>
      </c>
      <c r="J754" s="61" t="str">
        <f aca="false">IFERROR(IF([1]对账明细接口!$J$754=0,"",[1]对账明细接口!$J$754),"")</f>
        <v/>
      </c>
      <c r="K754" s="61" t="str">
        <f aca="false">IFERROR(IF([1]对账明细接口!$K$754=0,"",[1]对账明细接口!$K$754),"")</f>
        <v/>
      </c>
      <c r="L754" s="59" t="str">
        <f aca="false">IFERROR(IF([1]对账明细接口!$L$754=0,"",[1]对账明细接口!$L$754),"")</f>
        <v/>
      </c>
      <c r="M754" s="59" t="str">
        <f aca="false">IFERROR(IF([1]对账明细接口!$M$754=0,"",[1]对账明细接口!$M$754),"")</f>
        <v/>
      </c>
      <c r="N754" s="111" t="n">
        <f aca="false">IF($C754="",0,1)</f>
        <v>0</v>
      </c>
      <c r="O754" s="111" t="n">
        <f aca="false">N(O753)+$N754</f>
        <v>110</v>
      </c>
      <c r="S754" s="10" t="str">
        <f aca="false">IFERROR(IF([1]对账明细接口!$N754=0,"",[1]对账明细接口!$N754),"")</f>
        <v/>
      </c>
      <c r="T754" s="112" t="str">
        <f aca="false">IFERROR(IF([1]对账明细接口!$O754=0,"",[1]对账明细接口!$O754),"")</f>
        <v/>
      </c>
      <c r="U754" s="112" t="str">
        <f aca="false">IFERROR(IF([1]对账明细接口!$P754=0,"",[1]对账明细接口!$P754),"")</f>
        <v/>
      </c>
      <c r="V754" s="112" t="str">
        <f aca="false">IFERROR(IF([1]对账明细接口!$Q754=0,"",[1]对账明细接口!$Q754),"")</f>
        <v/>
      </c>
      <c r="W754" s="10" t="str">
        <f aca="false">IFERROR(IF([1]对账明细接口!$R754=0,"",[1]对账明细接口!$R754),"")</f>
        <v/>
      </c>
      <c r="X754" s="10" t="str">
        <f aca="false">IFERROR(IF([1]对账明细接口!$S754=0,"",[1]对账明细接口!$S754),"")</f>
        <v/>
      </c>
      <c r="Y754" s="10" t="str">
        <f aca="false">""</f>
        <v/>
      </c>
      <c r="Z754" s="10" t="str">
        <f aca="false">""</f>
        <v/>
      </c>
      <c r="AA754" s="10" t="str">
        <f aca="false">""</f>
        <v/>
      </c>
      <c r="AB754" s="10" t="str">
        <f aca="false">""</f>
        <v/>
      </c>
    </row>
    <row r="755" customFormat="false" ht="13.5" hidden="false" customHeight="false" outlineLevel="0" collapsed="false">
      <c r="A755" s="109" t="n">
        <v>755</v>
      </c>
      <c r="B755" s="110" t="str">
        <f aca="false">IFERROR(IF([1]对账明细接口!$B$755=0,"",[1]对账明细接口!$B$755),"")</f>
        <v/>
      </c>
      <c r="C755" s="59" t="str">
        <f aca="false">IFERROR(IF([1]对账明细接口!$C$755=0,"",[1]对账明细接口!$C$755),"")</f>
        <v/>
      </c>
      <c r="D755" s="59" t="str">
        <f aca="false">IFERROR(IF([1]对账明细接口!$D$755=0,"",[1]对账明细接口!$D$755),"")</f>
        <v/>
      </c>
      <c r="E755" s="59" t="str">
        <f aca="false">IFERROR(IF([1]对账明细接口!$E$755=0,"",[1]对账明细接口!$E$755),"")</f>
        <v/>
      </c>
      <c r="F755" s="59" t="str">
        <f aca="false">IFERROR(IF([1]对账明细接口!$F$755=0,"",[1]对账明细接口!$F$755),"")</f>
        <v/>
      </c>
      <c r="G755" s="59" t="str">
        <f aca="false">IFERROR(IF([1]对账明细接口!$G$755=0,"",[1]对账明细接口!$G$755),"")</f>
        <v/>
      </c>
      <c r="H755" s="60" t="str">
        <f aca="false">IFERROR(IF([1]对账明细接口!$H$755=0,"",[1]对账明细接口!$H$755),"")</f>
        <v/>
      </c>
      <c r="I755" s="59" t="str">
        <f aca="false">IFERROR(IF([1]对账明细接口!$I$755=0,"",[1]对账明细接口!$I$755),"")</f>
        <v/>
      </c>
      <c r="J755" s="61" t="str">
        <f aca="false">IFERROR(IF([1]对账明细接口!$J$755=0,"",[1]对账明细接口!$J$755),"")</f>
        <v/>
      </c>
      <c r="K755" s="61" t="str">
        <f aca="false">IFERROR(IF([1]对账明细接口!$K$755=0,"",[1]对账明细接口!$K$755),"")</f>
        <v/>
      </c>
      <c r="L755" s="59" t="str">
        <f aca="false">IFERROR(IF([1]对账明细接口!$L$755=0,"",[1]对账明细接口!$L$755),"")</f>
        <v/>
      </c>
      <c r="M755" s="59" t="str">
        <f aca="false">IFERROR(IF([1]对账明细接口!$M$755=0,"",[1]对账明细接口!$M$755),"")</f>
        <v/>
      </c>
      <c r="N755" s="111" t="n">
        <f aca="false">IF($C755="",0,1)</f>
        <v>0</v>
      </c>
      <c r="O755" s="111" t="n">
        <f aca="false">N(O754)+$N755</f>
        <v>110</v>
      </c>
      <c r="S755" s="10" t="str">
        <f aca="false">IFERROR(IF([1]对账明细接口!$N755=0,"",[1]对账明细接口!$N755),"")</f>
        <v/>
      </c>
      <c r="T755" s="112" t="str">
        <f aca="false">IFERROR(IF([1]对账明细接口!$O755=0,"",[1]对账明细接口!$O755),"")</f>
        <v/>
      </c>
      <c r="U755" s="112" t="str">
        <f aca="false">IFERROR(IF([1]对账明细接口!$P755=0,"",[1]对账明细接口!$P755),"")</f>
        <v/>
      </c>
      <c r="V755" s="112" t="str">
        <f aca="false">IFERROR(IF([1]对账明细接口!$Q755=0,"",[1]对账明细接口!$Q755),"")</f>
        <v/>
      </c>
      <c r="W755" s="10" t="str">
        <f aca="false">IFERROR(IF([1]对账明细接口!$R755=0,"",[1]对账明细接口!$R755),"")</f>
        <v/>
      </c>
      <c r="X755" s="10" t="str">
        <f aca="false">IFERROR(IF([1]对账明细接口!$S755=0,"",[1]对账明细接口!$S755),"")</f>
        <v/>
      </c>
      <c r="Y755" s="10" t="str">
        <f aca="false">""</f>
        <v/>
      </c>
      <c r="Z755" s="10" t="str">
        <f aca="false">""</f>
        <v/>
      </c>
      <c r="AA755" s="10" t="str">
        <f aca="false">""</f>
        <v/>
      </c>
      <c r="AB755" s="10" t="str">
        <f aca="false">""</f>
        <v/>
      </c>
    </row>
    <row r="756" customFormat="false" ht="13.5" hidden="false" customHeight="false" outlineLevel="0" collapsed="false">
      <c r="A756" s="109" t="n">
        <v>756</v>
      </c>
      <c r="B756" s="110" t="str">
        <f aca="false">IFERROR(IF([1]对账明细接口!$B$756=0,"",[1]对账明细接口!$B$756),"")</f>
        <v/>
      </c>
      <c r="C756" s="59" t="str">
        <f aca="false">IFERROR(IF([1]对账明细接口!$C$756=0,"",[1]对账明细接口!$C$756),"")</f>
        <v/>
      </c>
      <c r="D756" s="59" t="str">
        <f aca="false">IFERROR(IF([1]对账明细接口!$D$756=0,"",[1]对账明细接口!$D$756),"")</f>
        <v/>
      </c>
      <c r="E756" s="59" t="str">
        <f aca="false">IFERROR(IF([1]对账明细接口!$E$756=0,"",[1]对账明细接口!$E$756),"")</f>
        <v/>
      </c>
      <c r="F756" s="59" t="str">
        <f aca="false">IFERROR(IF([1]对账明细接口!$F$756=0,"",[1]对账明细接口!$F$756),"")</f>
        <v/>
      </c>
      <c r="G756" s="59" t="str">
        <f aca="false">IFERROR(IF([1]对账明细接口!$G$756=0,"",[1]对账明细接口!$G$756),"")</f>
        <v/>
      </c>
      <c r="H756" s="60" t="str">
        <f aca="false">IFERROR(IF([1]对账明细接口!$H$756=0,"",[1]对账明细接口!$H$756),"")</f>
        <v/>
      </c>
      <c r="I756" s="59" t="str">
        <f aca="false">IFERROR(IF([1]对账明细接口!$I$756=0,"",[1]对账明细接口!$I$756),"")</f>
        <v/>
      </c>
      <c r="J756" s="61" t="str">
        <f aca="false">IFERROR(IF([1]对账明细接口!$J$756=0,"",[1]对账明细接口!$J$756),"")</f>
        <v/>
      </c>
      <c r="K756" s="61" t="str">
        <f aca="false">IFERROR(IF([1]对账明细接口!$K$756=0,"",[1]对账明细接口!$K$756),"")</f>
        <v/>
      </c>
      <c r="L756" s="59" t="str">
        <f aca="false">IFERROR(IF([1]对账明细接口!$L$756=0,"",[1]对账明细接口!$L$756),"")</f>
        <v/>
      </c>
      <c r="M756" s="59" t="str">
        <f aca="false">IFERROR(IF([1]对账明细接口!$M$756=0,"",[1]对账明细接口!$M$756),"")</f>
        <v/>
      </c>
      <c r="N756" s="111" t="n">
        <f aca="false">IF($C756="",0,1)</f>
        <v>0</v>
      </c>
      <c r="O756" s="111" t="n">
        <f aca="false">N(O755)+$N756</f>
        <v>110</v>
      </c>
      <c r="S756" s="10" t="str">
        <f aca="false">IFERROR(IF([1]对账明细接口!$N756=0,"",[1]对账明细接口!$N756),"")</f>
        <v/>
      </c>
      <c r="T756" s="112" t="str">
        <f aca="false">IFERROR(IF([1]对账明细接口!$O756=0,"",[1]对账明细接口!$O756),"")</f>
        <v/>
      </c>
      <c r="U756" s="112" t="str">
        <f aca="false">IFERROR(IF([1]对账明细接口!$P756=0,"",[1]对账明细接口!$P756),"")</f>
        <v/>
      </c>
      <c r="V756" s="112" t="str">
        <f aca="false">IFERROR(IF([1]对账明细接口!$Q756=0,"",[1]对账明细接口!$Q756),"")</f>
        <v/>
      </c>
      <c r="W756" s="10" t="str">
        <f aca="false">IFERROR(IF([1]对账明细接口!$R756=0,"",[1]对账明细接口!$R756),"")</f>
        <v/>
      </c>
      <c r="X756" s="10" t="str">
        <f aca="false">IFERROR(IF([1]对账明细接口!$S756=0,"",[1]对账明细接口!$S756),"")</f>
        <v/>
      </c>
      <c r="Y756" s="10" t="str">
        <f aca="false">""</f>
        <v/>
      </c>
      <c r="Z756" s="10" t="str">
        <f aca="false">""</f>
        <v/>
      </c>
      <c r="AA756" s="10" t="str">
        <f aca="false">""</f>
        <v/>
      </c>
      <c r="AB756" s="10" t="str">
        <f aca="false">""</f>
        <v/>
      </c>
    </row>
    <row r="757" customFormat="false" ht="13.5" hidden="false" customHeight="false" outlineLevel="0" collapsed="false">
      <c r="A757" s="109" t="n">
        <v>757</v>
      </c>
      <c r="B757" s="110" t="str">
        <f aca="false">IFERROR(IF([1]对账明细接口!$B$757=0,"",[1]对账明细接口!$B$757),"")</f>
        <v/>
      </c>
      <c r="C757" s="59" t="str">
        <f aca="false">IFERROR(IF([1]对账明细接口!$C$757=0,"",[1]对账明细接口!$C$757),"")</f>
        <v/>
      </c>
      <c r="D757" s="59" t="str">
        <f aca="false">IFERROR(IF([1]对账明细接口!$D$757=0,"",[1]对账明细接口!$D$757),"")</f>
        <v/>
      </c>
      <c r="E757" s="59" t="str">
        <f aca="false">IFERROR(IF([1]对账明细接口!$E$757=0,"",[1]对账明细接口!$E$757),"")</f>
        <v/>
      </c>
      <c r="F757" s="59" t="str">
        <f aca="false">IFERROR(IF([1]对账明细接口!$F$757=0,"",[1]对账明细接口!$F$757),"")</f>
        <v/>
      </c>
      <c r="G757" s="59" t="str">
        <f aca="false">IFERROR(IF([1]对账明细接口!$G$757=0,"",[1]对账明细接口!$G$757),"")</f>
        <v/>
      </c>
      <c r="H757" s="60" t="str">
        <f aca="false">IFERROR(IF([1]对账明细接口!$H$757=0,"",[1]对账明细接口!$H$757),"")</f>
        <v/>
      </c>
      <c r="I757" s="59" t="str">
        <f aca="false">IFERROR(IF([1]对账明细接口!$I$757=0,"",[1]对账明细接口!$I$757),"")</f>
        <v/>
      </c>
      <c r="J757" s="61" t="str">
        <f aca="false">IFERROR(IF([1]对账明细接口!$J$757=0,"",[1]对账明细接口!$J$757),"")</f>
        <v/>
      </c>
      <c r="K757" s="61" t="str">
        <f aca="false">IFERROR(IF([1]对账明细接口!$K$757=0,"",[1]对账明细接口!$K$757),"")</f>
        <v/>
      </c>
      <c r="L757" s="59" t="str">
        <f aca="false">IFERROR(IF([1]对账明细接口!$L$757=0,"",[1]对账明细接口!$L$757),"")</f>
        <v/>
      </c>
      <c r="M757" s="59" t="str">
        <f aca="false">IFERROR(IF([1]对账明细接口!$M$757=0,"",[1]对账明细接口!$M$757),"")</f>
        <v/>
      </c>
      <c r="N757" s="111" t="n">
        <f aca="false">IF($C757="",0,1)</f>
        <v>0</v>
      </c>
      <c r="O757" s="111" t="n">
        <f aca="false">N(O756)+$N757</f>
        <v>110</v>
      </c>
      <c r="S757" s="10" t="str">
        <f aca="false">IFERROR(IF([1]对账明细接口!$N757=0,"",[1]对账明细接口!$N757),"")</f>
        <v/>
      </c>
      <c r="T757" s="112" t="str">
        <f aca="false">IFERROR(IF([1]对账明细接口!$O757=0,"",[1]对账明细接口!$O757),"")</f>
        <v/>
      </c>
      <c r="U757" s="112" t="str">
        <f aca="false">IFERROR(IF([1]对账明细接口!$P757=0,"",[1]对账明细接口!$P757),"")</f>
        <v/>
      </c>
      <c r="V757" s="112" t="str">
        <f aca="false">IFERROR(IF([1]对账明细接口!$Q757=0,"",[1]对账明细接口!$Q757),"")</f>
        <v/>
      </c>
      <c r="W757" s="10" t="str">
        <f aca="false">IFERROR(IF([1]对账明细接口!$R757=0,"",[1]对账明细接口!$R757),"")</f>
        <v/>
      </c>
      <c r="X757" s="10" t="str">
        <f aca="false">IFERROR(IF([1]对账明细接口!$S757=0,"",[1]对账明细接口!$S757),"")</f>
        <v/>
      </c>
      <c r="Y757" s="10" t="str">
        <f aca="false">""</f>
        <v/>
      </c>
      <c r="Z757" s="10" t="str">
        <f aca="false">""</f>
        <v/>
      </c>
      <c r="AA757" s="10" t="str">
        <f aca="false">""</f>
        <v/>
      </c>
      <c r="AB757" s="10" t="str">
        <f aca="false">""</f>
        <v/>
      </c>
    </row>
    <row r="758" customFormat="false" ht="13.5" hidden="false" customHeight="false" outlineLevel="0" collapsed="false">
      <c r="A758" s="109" t="n">
        <v>758</v>
      </c>
      <c r="B758" s="110" t="str">
        <f aca="false">IFERROR(IF([1]对账明细接口!$B$758=0,"",[1]对账明细接口!$B$758),"")</f>
        <v/>
      </c>
      <c r="C758" s="59" t="str">
        <f aca="false">IFERROR(IF([1]对账明细接口!$C$758=0,"",[1]对账明细接口!$C$758),"")</f>
        <v/>
      </c>
      <c r="D758" s="59" t="str">
        <f aca="false">IFERROR(IF([1]对账明细接口!$D$758=0,"",[1]对账明细接口!$D$758),"")</f>
        <v/>
      </c>
      <c r="E758" s="59" t="str">
        <f aca="false">IFERROR(IF([1]对账明细接口!$E$758=0,"",[1]对账明细接口!$E$758),"")</f>
        <v/>
      </c>
      <c r="F758" s="59" t="str">
        <f aca="false">IFERROR(IF([1]对账明细接口!$F$758=0,"",[1]对账明细接口!$F$758),"")</f>
        <v/>
      </c>
      <c r="G758" s="59" t="str">
        <f aca="false">IFERROR(IF([1]对账明细接口!$G$758=0,"",[1]对账明细接口!$G$758),"")</f>
        <v/>
      </c>
      <c r="H758" s="60" t="str">
        <f aca="false">IFERROR(IF([1]对账明细接口!$H$758=0,"",[1]对账明细接口!$H$758),"")</f>
        <v/>
      </c>
      <c r="I758" s="59" t="str">
        <f aca="false">IFERROR(IF([1]对账明细接口!$I$758=0,"",[1]对账明细接口!$I$758),"")</f>
        <v/>
      </c>
      <c r="J758" s="61" t="str">
        <f aca="false">IFERROR(IF([1]对账明细接口!$J$758=0,"",[1]对账明细接口!$J$758),"")</f>
        <v/>
      </c>
      <c r="K758" s="61" t="str">
        <f aca="false">IFERROR(IF([1]对账明细接口!$K$758=0,"",[1]对账明细接口!$K$758),"")</f>
        <v/>
      </c>
      <c r="L758" s="59" t="str">
        <f aca="false">IFERROR(IF([1]对账明细接口!$L$758=0,"",[1]对账明细接口!$L$758),"")</f>
        <v/>
      </c>
      <c r="M758" s="59" t="str">
        <f aca="false">IFERROR(IF([1]对账明细接口!$M$758=0,"",[1]对账明细接口!$M$758),"")</f>
        <v/>
      </c>
      <c r="N758" s="111" t="n">
        <f aca="false">IF($C758="",0,1)</f>
        <v>0</v>
      </c>
      <c r="O758" s="111" t="n">
        <f aca="false">N(O757)+$N758</f>
        <v>110</v>
      </c>
      <c r="S758" s="10" t="str">
        <f aca="false">IFERROR(IF([1]对账明细接口!$N758=0,"",[1]对账明细接口!$N758),"")</f>
        <v/>
      </c>
      <c r="T758" s="112" t="str">
        <f aca="false">IFERROR(IF([1]对账明细接口!$O758=0,"",[1]对账明细接口!$O758),"")</f>
        <v/>
      </c>
      <c r="U758" s="112" t="str">
        <f aca="false">IFERROR(IF([1]对账明细接口!$P758=0,"",[1]对账明细接口!$P758),"")</f>
        <v/>
      </c>
      <c r="V758" s="112" t="str">
        <f aca="false">IFERROR(IF([1]对账明细接口!$Q758=0,"",[1]对账明细接口!$Q758),"")</f>
        <v/>
      </c>
      <c r="W758" s="10" t="str">
        <f aca="false">IFERROR(IF([1]对账明细接口!$R758=0,"",[1]对账明细接口!$R758),"")</f>
        <v/>
      </c>
      <c r="X758" s="10" t="str">
        <f aca="false">IFERROR(IF([1]对账明细接口!$S758=0,"",[1]对账明细接口!$S758),"")</f>
        <v/>
      </c>
      <c r="Y758" s="10" t="str">
        <f aca="false">""</f>
        <v/>
      </c>
      <c r="Z758" s="10" t="str">
        <f aca="false">""</f>
        <v/>
      </c>
      <c r="AA758" s="10" t="str">
        <f aca="false">""</f>
        <v/>
      </c>
      <c r="AB758" s="10" t="str">
        <f aca="false">""</f>
        <v/>
      </c>
    </row>
    <row r="759" customFormat="false" ht="13.5" hidden="false" customHeight="false" outlineLevel="0" collapsed="false">
      <c r="A759" s="109" t="n">
        <v>759</v>
      </c>
      <c r="B759" s="110" t="str">
        <f aca="false">IFERROR(IF([1]对账明细接口!$B$759=0,"",[1]对账明细接口!$B$759),"")</f>
        <v/>
      </c>
      <c r="C759" s="59" t="str">
        <f aca="false">IFERROR(IF([1]对账明细接口!$C$759=0,"",[1]对账明细接口!$C$759),"")</f>
        <v/>
      </c>
      <c r="D759" s="59" t="str">
        <f aca="false">IFERROR(IF([1]对账明细接口!$D$759=0,"",[1]对账明细接口!$D$759),"")</f>
        <v/>
      </c>
      <c r="E759" s="59" t="str">
        <f aca="false">IFERROR(IF([1]对账明细接口!$E$759=0,"",[1]对账明细接口!$E$759),"")</f>
        <v/>
      </c>
      <c r="F759" s="59" t="str">
        <f aca="false">IFERROR(IF([1]对账明细接口!$F$759=0,"",[1]对账明细接口!$F$759),"")</f>
        <v/>
      </c>
      <c r="G759" s="59" t="str">
        <f aca="false">IFERROR(IF([1]对账明细接口!$G$759=0,"",[1]对账明细接口!$G$759),"")</f>
        <v/>
      </c>
      <c r="H759" s="60" t="str">
        <f aca="false">IFERROR(IF([1]对账明细接口!$H$759=0,"",[1]对账明细接口!$H$759),"")</f>
        <v/>
      </c>
      <c r="I759" s="59" t="str">
        <f aca="false">IFERROR(IF([1]对账明细接口!$I$759=0,"",[1]对账明细接口!$I$759),"")</f>
        <v/>
      </c>
      <c r="J759" s="61" t="str">
        <f aca="false">IFERROR(IF([1]对账明细接口!$J$759=0,"",[1]对账明细接口!$J$759),"")</f>
        <v/>
      </c>
      <c r="K759" s="61" t="str">
        <f aca="false">IFERROR(IF([1]对账明细接口!$K$759=0,"",[1]对账明细接口!$K$759),"")</f>
        <v/>
      </c>
      <c r="L759" s="59" t="str">
        <f aca="false">IFERROR(IF([1]对账明细接口!$L$759=0,"",[1]对账明细接口!$L$759),"")</f>
        <v/>
      </c>
      <c r="M759" s="59" t="str">
        <f aca="false">IFERROR(IF([1]对账明细接口!$M$759=0,"",[1]对账明细接口!$M$759),"")</f>
        <v/>
      </c>
      <c r="N759" s="111" t="n">
        <f aca="false">IF($C759="",0,1)</f>
        <v>0</v>
      </c>
      <c r="O759" s="111" t="n">
        <f aca="false">N(O758)+$N759</f>
        <v>110</v>
      </c>
      <c r="S759" s="10" t="str">
        <f aca="false">IFERROR(IF([1]对账明细接口!$N759=0,"",[1]对账明细接口!$N759),"")</f>
        <v/>
      </c>
      <c r="T759" s="112" t="str">
        <f aca="false">IFERROR(IF([1]对账明细接口!$O759=0,"",[1]对账明细接口!$O759),"")</f>
        <v/>
      </c>
      <c r="U759" s="112" t="str">
        <f aca="false">IFERROR(IF([1]对账明细接口!$P759=0,"",[1]对账明细接口!$P759),"")</f>
        <v/>
      </c>
      <c r="V759" s="112" t="str">
        <f aca="false">IFERROR(IF([1]对账明细接口!$Q759=0,"",[1]对账明细接口!$Q759),"")</f>
        <v/>
      </c>
      <c r="W759" s="10" t="str">
        <f aca="false">IFERROR(IF([1]对账明细接口!$R759=0,"",[1]对账明细接口!$R759),"")</f>
        <v/>
      </c>
      <c r="X759" s="10" t="str">
        <f aca="false">IFERROR(IF([1]对账明细接口!$S759=0,"",[1]对账明细接口!$S759),"")</f>
        <v/>
      </c>
      <c r="Y759" s="10" t="str">
        <f aca="false">""</f>
        <v/>
      </c>
      <c r="Z759" s="10" t="str">
        <f aca="false">""</f>
        <v/>
      </c>
      <c r="AA759" s="10" t="str">
        <f aca="false">""</f>
        <v/>
      </c>
      <c r="AB759" s="10" t="str">
        <f aca="false">""</f>
        <v/>
      </c>
    </row>
    <row r="760" customFormat="false" ht="13.5" hidden="false" customHeight="false" outlineLevel="0" collapsed="false">
      <c r="A760" s="109" t="n">
        <v>760</v>
      </c>
      <c r="B760" s="110" t="str">
        <f aca="false">IFERROR(IF([1]对账明细接口!$B$760=0,"",[1]对账明细接口!$B$760),"")</f>
        <v/>
      </c>
      <c r="C760" s="59" t="str">
        <f aca="false">IFERROR(IF([1]对账明细接口!$C$760=0,"",[1]对账明细接口!$C$760),"")</f>
        <v/>
      </c>
      <c r="D760" s="59" t="str">
        <f aca="false">IFERROR(IF([1]对账明细接口!$D$760=0,"",[1]对账明细接口!$D$760),"")</f>
        <v/>
      </c>
      <c r="E760" s="59" t="str">
        <f aca="false">IFERROR(IF([1]对账明细接口!$E$760=0,"",[1]对账明细接口!$E$760),"")</f>
        <v/>
      </c>
      <c r="F760" s="59" t="str">
        <f aca="false">IFERROR(IF([1]对账明细接口!$F$760=0,"",[1]对账明细接口!$F$760),"")</f>
        <v/>
      </c>
      <c r="G760" s="59" t="str">
        <f aca="false">IFERROR(IF([1]对账明细接口!$G$760=0,"",[1]对账明细接口!$G$760),"")</f>
        <v/>
      </c>
      <c r="H760" s="60" t="str">
        <f aca="false">IFERROR(IF([1]对账明细接口!$H$760=0,"",[1]对账明细接口!$H$760),"")</f>
        <v/>
      </c>
      <c r="I760" s="59" t="str">
        <f aca="false">IFERROR(IF([1]对账明细接口!$I$760=0,"",[1]对账明细接口!$I$760),"")</f>
        <v/>
      </c>
      <c r="J760" s="61" t="str">
        <f aca="false">IFERROR(IF([1]对账明细接口!$J$760=0,"",[1]对账明细接口!$J$760),"")</f>
        <v/>
      </c>
      <c r="K760" s="61" t="str">
        <f aca="false">IFERROR(IF([1]对账明细接口!$K$760=0,"",[1]对账明细接口!$K$760),"")</f>
        <v/>
      </c>
      <c r="L760" s="59" t="str">
        <f aca="false">IFERROR(IF([1]对账明细接口!$L$760=0,"",[1]对账明细接口!$L$760),"")</f>
        <v/>
      </c>
      <c r="M760" s="59" t="str">
        <f aca="false">IFERROR(IF([1]对账明细接口!$M$760=0,"",[1]对账明细接口!$M$760),"")</f>
        <v/>
      </c>
      <c r="N760" s="111" t="n">
        <f aca="false">IF($C760="",0,1)</f>
        <v>0</v>
      </c>
      <c r="O760" s="111" t="n">
        <f aca="false">N(O759)+$N760</f>
        <v>110</v>
      </c>
      <c r="S760" s="10" t="str">
        <f aca="false">IFERROR(IF([1]对账明细接口!$N760=0,"",[1]对账明细接口!$N760),"")</f>
        <v/>
      </c>
      <c r="T760" s="112" t="str">
        <f aca="false">IFERROR(IF([1]对账明细接口!$O760=0,"",[1]对账明细接口!$O760),"")</f>
        <v/>
      </c>
      <c r="U760" s="112" t="str">
        <f aca="false">IFERROR(IF([1]对账明细接口!$P760=0,"",[1]对账明细接口!$P760),"")</f>
        <v/>
      </c>
      <c r="V760" s="112" t="str">
        <f aca="false">IFERROR(IF([1]对账明细接口!$Q760=0,"",[1]对账明细接口!$Q760),"")</f>
        <v/>
      </c>
      <c r="W760" s="10" t="str">
        <f aca="false">IFERROR(IF([1]对账明细接口!$R760=0,"",[1]对账明细接口!$R760),"")</f>
        <v/>
      </c>
      <c r="X760" s="10" t="str">
        <f aca="false">IFERROR(IF([1]对账明细接口!$S760=0,"",[1]对账明细接口!$S760),"")</f>
        <v/>
      </c>
      <c r="Y760" s="10" t="str">
        <f aca="false">""</f>
        <v/>
      </c>
      <c r="Z760" s="10" t="str">
        <f aca="false">""</f>
        <v/>
      </c>
      <c r="AA760" s="10" t="str">
        <f aca="false">""</f>
        <v/>
      </c>
      <c r="AB760" s="10" t="str">
        <f aca="false">""</f>
        <v/>
      </c>
    </row>
    <row r="761" customFormat="false" ht="13.5" hidden="false" customHeight="false" outlineLevel="0" collapsed="false">
      <c r="A761" s="109" t="n">
        <v>761</v>
      </c>
      <c r="B761" s="110" t="str">
        <f aca="false">IFERROR(IF([1]对账明细接口!$B$761=0,"",[1]对账明细接口!$B$761),"")</f>
        <v/>
      </c>
      <c r="C761" s="59" t="str">
        <f aca="false">IFERROR(IF([1]对账明细接口!$C$761=0,"",[1]对账明细接口!$C$761),"")</f>
        <v/>
      </c>
      <c r="D761" s="59" t="str">
        <f aca="false">IFERROR(IF([1]对账明细接口!$D$761=0,"",[1]对账明细接口!$D$761),"")</f>
        <v/>
      </c>
      <c r="E761" s="59" t="str">
        <f aca="false">IFERROR(IF([1]对账明细接口!$E$761=0,"",[1]对账明细接口!$E$761),"")</f>
        <v/>
      </c>
      <c r="F761" s="59" t="str">
        <f aca="false">IFERROR(IF([1]对账明细接口!$F$761=0,"",[1]对账明细接口!$F$761),"")</f>
        <v/>
      </c>
      <c r="G761" s="59" t="str">
        <f aca="false">IFERROR(IF([1]对账明细接口!$G$761=0,"",[1]对账明细接口!$G$761),"")</f>
        <v/>
      </c>
      <c r="H761" s="60" t="str">
        <f aca="false">IFERROR(IF([1]对账明细接口!$H$761=0,"",[1]对账明细接口!$H$761),"")</f>
        <v/>
      </c>
      <c r="I761" s="59" t="str">
        <f aca="false">IFERROR(IF([1]对账明细接口!$I$761=0,"",[1]对账明细接口!$I$761),"")</f>
        <v/>
      </c>
      <c r="J761" s="61" t="str">
        <f aca="false">IFERROR(IF([1]对账明细接口!$J$761=0,"",[1]对账明细接口!$J$761),"")</f>
        <v/>
      </c>
      <c r="K761" s="61" t="str">
        <f aca="false">IFERROR(IF([1]对账明细接口!$K$761=0,"",[1]对账明细接口!$K$761),"")</f>
        <v/>
      </c>
      <c r="L761" s="59" t="str">
        <f aca="false">IFERROR(IF([1]对账明细接口!$L$761=0,"",[1]对账明细接口!$L$761),"")</f>
        <v/>
      </c>
      <c r="M761" s="59" t="str">
        <f aca="false">IFERROR(IF([1]对账明细接口!$M$761=0,"",[1]对账明细接口!$M$761),"")</f>
        <v/>
      </c>
      <c r="N761" s="111" t="n">
        <f aca="false">IF($C761="",0,1)</f>
        <v>0</v>
      </c>
      <c r="O761" s="111" t="n">
        <f aca="false">N(O760)+$N761</f>
        <v>110</v>
      </c>
      <c r="S761" s="10" t="str">
        <f aca="false">IFERROR(IF([1]对账明细接口!$N761=0,"",[1]对账明细接口!$N761),"")</f>
        <v/>
      </c>
      <c r="T761" s="112" t="str">
        <f aca="false">IFERROR(IF([1]对账明细接口!$O761=0,"",[1]对账明细接口!$O761),"")</f>
        <v/>
      </c>
      <c r="U761" s="112" t="str">
        <f aca="false">IFERROR(IF([1]对账明细接口!$P761=0,"",[1]对账明细接口!$P761),"")</f>
        <v/>
      </c>
      <c r="V761" s="112" t="str">
        <f aca="false">IFERROR(IF([1]对账明细接口!$Q761=0,"",[1]对账明细接口!$Q761),"")</f>
        <v/>
      </c>
      <c r="W761" s="10" t="str">
        <f aca="false">IFERROR(IF([1]对账明细接口!$R761=0,"",[1]对账明细接口!$R761),"")</f>
        <v/>
      </c>
      <c r="X761" s="10" t="str">
        <f aca="false">IFERROR(IF([1]对账明细接口!$S761=0,"",[1]对账明细接口!$S761),"")</f>
        <v/>
      </c>
      <c r="Y761" s="10" t="str">
        <f aca="false">""</f>
        <v/>
      </c>
      <c r="Z761" s="10" t="str">
        <f aca="false">""</f>
        <v/>
      </c>
      <c r="AA761" s="10" t="str">
        <f aca="false">""</f>
        <v/>
      </c>
      <c r="AB761" s="10" t="str">
        <f aca="false">""</f>
        <v/>
      </c>
    </row>
    <row r="762" customFormat="false" ht="13.5" hidden="false" customHeight="false" outlineLevel="0" collapsed="false">
      <c r="A762" s="109" t="n">
        <v>762</v>
      </c>
      <c r="B762" s="110" t="str">
        <f aca="false">IFERROR(IF([1]对账明细接口!$B$762=0,"",[1]对账明细接口!$B$762),"")</f>
        <v/>
      </c>
      <c r="C762" s="59" t="str">
        <f aca="false">IFERROR(IF([1]对账明细接口!$C$762=0,"",[1]对账明细接口!$C$762),"")</f>
        <v/>
      </c>
      <c r="D762" s="59" t="str">
        <f aca="false">IFERROR(IF([1]对账明细接口!$D$762=0,"",[1]对账明细接口!$D$762),"")</f>
        <v/>
      </c>
      <c r="E762" s="59" t="str">
        <f aca="false">IFERROR(IF([1]对账明细接口!$E$762=0,"",[1]对账明细接口!$E$762),"")</f>
        <v/>
      </c>
      <c r="F762" s="59" t="str">
        <f aca="false">IFERROR(IF([1]对账明细接口!$F$762=0,"",[1]对账明细接口!$F$762),"")</f>
        <v/>
      </c>
      <c r="G762" s="59" t="str">
        <f aca="false">IFERROR(IF([1]对账明细接口!$G$762=0,"",[1]对账明细接口!$G$762),"")</f>
        <v/>
      </c>
      <c r="H762" s="60" t="str">
        <f aca="false">IFERROR(IF([1]对账明细接口!$H$762=0,"",[1]对账明细接口!$H$762),"")</f>
        <v/>
      </c>
      <c r="I762" s="59" t="str">
        <f aca="false">IFERROR(IF([1]对账明细接口!$I$762=0,"",[1]对账明细接口!$I$762),"")</f>
        <v/>
      </c>
      <c r="J762" s="61" t="str">
        <f aca="false">IFERROR(IF([1]对账明细接口!$J$762=0,"",[1]对账明细接口!$J$762),"")</f>
        <v/>
      </c>
      <c r="K762" s="61" t="str">
        <f aca="false">IFERROR(IF([1]对账明细接口!$K$762=0,"",[1]对账明细接口!$K$762),"")</f>
        <v/>
      </c>
      <c r="L762" s="59" t="str">
        <f aca="false">IFERROR(IF([1]对账明细接口!$L$762=0,"",[1]对账明细接口!$L$762),"")</f>
        <v/>
      </c>
      <c r="M762" s="59" t="str">
        <f aca="false">IFERROR(IF([1]对账明细接口!$M$762=0,"",[1]对账明细接口!$M$762),"")</f>
        <v/>
      </c>
      <c r="N762" s="111" t="n">
        <f aca="false">IF($C762="",0,1)</f>
        <v>0</v>
      </c>
      <c r="O762" s="111" t="n">
        <f aca="false">N(O761)+$N762</f>
        <v>110</v>
      </c>
      <c r="S762" s="10" t="str">
        <f aca="false">IFERROR(IF([1]对账明细接口!$N762=0,"",[1]对账明细接口!$N762),"")</f>
        <v/>
      </c>
      <c r="T762" s="112" t="str">
        <f aca="false">IFERROR(IF([1]对账明细接口!$O762=0,"",[1]对账明细接口!$O762),"")</f>
        <v/>
      </c>
      <c r="U762" s="112" t="str">
        <f aca="false">IFERROR(IF([1]对账明细接口!$P762=0,"",[1]对账明细接口!$P762),"")</f>
        <v/>
      </c>
      <c r="V762" s="112" t="str">
        <f aca="false">IFERROR(IF([1]对账明细接口!$Q762=0,"",[1]对账明细接口!$Q762),"")</f>
        <v/>
      </c>
      <c r="W762" s="10" t="str">
        <f aca="false">IFERROR(IF([1]对账明细接口!$R762=0,"",[1]对账明细接口!$R762),"")</f>
        <v/>
      </c>
      <c r="X762" s="10" t="str">
        <f aca="false">IFERROR(IF([1]对账明细接口!$S762=0,"",[1]对账明细接口!$S762),"")</f>
        <v/>
      </c>
      <c r="Y762" s="10" t="str">
        <f aca="false">""</f>
        <v/>
      </c>
      <c r="Z762" s="10" t="str">
        <f aca="false">""</f>
        <v/>
      </c>
      <c r="AA762" s="10" t="str">
        <f aca="false">""</f>
        <v/>
      </c>
      <c r="AB762" s="10" t="str">
        <f aca="false">""</f>
        <v/>
      </c>
    </row>
    <row r="763" customFormat="false" ht="13.5" hidden="false" customHeight="false" outlineLevel="0" collapsed="false">
      <c r="A763" s="109" t="n">
        <v>763</v>
      </c>
      <c r="B763" s="110" t="str">
        <f aca="false">IFERROR(IF([1]对账明细接口!$B$763=0,"",[1]对账明细接口!$B$763),"")</f>
        <v/>
      </c>
      <c r="C763" s="59" t="str">
        <f aca="false">IFERROR(IF([1]对账明细接口!$C$763=0,"",[1]对账明细接口!$C$763),"")</f>
        <v/>
      </c>
      <c r="D763" s="59" t="str">
        <f aca="false">IFERROR(IF([1]对账明细接口!$D$763=0,"",[1]对账明细接口!$D$763),"")</f>
        <v/>
      </c>
      <c r="E763" s="59" t="str">
        <f aca="false">IFERROR(IF([1]对账明细接口!$E$763=0,"",[1]对账明细接口!$E$763),"")</f>
        <v/>
      </c>
      <c r="F763" s="59" t="str">
        <f aca="false">IFERROR(IF([1]对账明细接口!$F$763=0,"",[1]对账明细接口!$F$763),"")</f>
        <v/>
      </c>
      <c r="G763" s="59" t="str">
        <f aca="false">IFERROR(IF([1]对账明细接口!$G$763=0,"",[1]对账明细接口!$G$763),"")</f>
        <v/>
      </c>
      <c r="H763" s="60" t="str">
        <f aca="false">IFERROR(IF([1]对账明细接口!$H$763=0,"",[1]对账明细接口!$H$763),"")</f>
        <v/>
      </c>
      <c r="I763" s="59" t="str">
        <f aca="false">IFERROR(IF([1]对账明细接口!$I$763=0,"",[1]对账明细接口!$I$763),"")</f>
        <v/>
      </c>
      <c r="J763" s="61" t="str">
        <f aca="false">IFERROR(IF([1]对账明细接口!$J$763=0,"",[1]对账明细接口!$J$763),"")</f>
        <v/>
      </c>
      <c r="K763" s="61" t="str">
        <f aca="false">IFERROR(IF([1]对账明细接口!$K$763=0,"",[1]对账明细接口!$K$763),"")</f>
        <v/>
      </c>
      <c r="L763" s="59" t="str">
        <f aca="false">IFERROR(IF([1]对账明细接口!$L$763=0,"",[1]对账明细接口!$L$763),"")</f>
        <v/>
      </c>
      <c r="M763" s="59" t="str">
        <f aca="false">IFERROR(IF([1]对账明细接口!$M$763=0,"",[1]对账明细接口!$M$763),"")</f>
        <v/>
      </c>
      <c r="N763" s="111" t="n">
        <f aca="false">IF($C763="",0,1)</f>
        <v>0</v>
      </c>
      <c r="O763" s="111" t="n">
        <f aca="false">N(O762)+$N763</f>
        <v>110</v>
      </c>
      <c r="S763" s="10" t="str">
        <f aca="false">IFERROR(IF([1]对账明细接口!$N763=0,"",[1]对账明细接口!$N763),"")</f>
        <v/>
      </c>
      <c r="T763" s="112" t="str">
        <f aca="false">IFERROR(IF([1]对账明细接口!$O763=0,"",[1]对账明细接口!$O763),"")</f>
        <v/>
      </c>
      <c r="U763" s="112" t="str">
        <f aca="false">IFERROR(IF([1]对账明细接口!$P763=0,"",[1]对账明细接口!$P763),"")</f>
        <v/>
      </c>
      <c r="V763" s="112" t="str">
        <f aca="false">IFERROR(IF([1]对账明细接口!$Q763=0,"",[1]对账明细接口!$Q763),"")</f>
        <v/>
      </c>
      <c r="W763" s="10" t="str">
        <f aca="false">IFERROR(IF([1]对账明细接口!$R763=0,"",[1]对账明细接口!$R763),"")</f>
        <v/>
      </c>
      <c r="X763" s="10" t="str">
        <f aca="false">IFERROR(IF([1]对账明细接口!$S763=0,"",[1]对账明细接口!$S763),"")</f>
        <v/>
      </c>
      <c r="Y763" s="10" t="str">
        <f aca="false">""</f>
        <v/>
      </c>
      <c r="Z763" s="10" t="str">
        <f aca="false">""</f>
        <v/>
      </c>
      <c r="AA763" s="10" t="str">
        <f aca="false">""</f>
        <v/>
      </c>
      <c r="AB763" s="10" t="str">
        <f aca="false">""</f>
        <v/>
      </c>
    </row>
    <row r="764" customFormat="false" ht="13.5" hidden="false" customHeight="false" outlineLevel="0" collapsed="false">
      <c r="A764" s="109" t="n">
        <v>764</v>
      </c>
      <c r="B764" s="110" t="str">
        <f aca="false">IFERROR(IF([1]对账明细接口!$B$764=0,"",[1]对账明细接口!$B$764),"")</f>
        <v/>
      </c>
      <c r="C764" s="59" t="str">
        <f aca="false">IFERROR(IF([1]对账明细接口!$C$764=0,"",[1]对账明细接口!$C$764),"")</f>
        <v/>
      </c>
      <c r="D764" s="59" t="str">
        <f aca="false">IFERROR(IF([1]对账明细接口!$D$764=0,"",[1]对账明细接口!$D$764),"")</f>
        <v/>
      </c>
      <c r="E764" s="59" t="str">
        <f aca="false">IFERROR(IF([1]对账明细接口!$E$764=0,"",[1]对账明细接口!$E$764),"")</f>
        <v/>
      </c>
      <c r="F764" s="59" t="str">
        <f aca="false">IFERROR(IF([1]对账明细接口!$F$764=0,"",[1]对账明细接口!$F$764),"")</f>
        <v/>
      </c>
      <c r="G764" s="59" t="str">
        <f aca="false">IFERROR(IF([1]对账明细接口!$G$764=0,"",[1]对账明细接口!$G$764),"")</f>
        <v/>
      </c>
      <c r="H764" s="60" t="str">
        <f aca="false">IFERROR(IF([1]对账明细接口!$H$764=0,"",[1]对账明细接口!$H$764),"")</f>
        <v/>
      </c>
      <c r="I764" s="59" t="str">
        <f aca="false">IFERROR(IF([1]对账明细接口!$I$764=0,"",[1]对账明细接口!$I$764),"")</f>
        <v/>
      </c>
      <c r="J764" s="61" t="str">
        <f aca="false">IFERROR(IF([1]对账明细接口!$J$764=0,"",[1]对账明细接口!$J$764),"")</f>
        <v/>
      </c>
      <c r="K764" s="61" t="str">
        <f aca="false">IFERROR(IF([1]对账明细接口!$K$764=0,"",[1]对账明细接口!$K$764),"")</f>
        <v/>
      </c>
      <c r="L764" s="59" t="str">
        <f aca="false">IFERROR(IF([1]对账明细接口!$L$764=0,"",[1]对账明细接口!$L$764),"")</f>
        <v/>
      </c>
      <c r="M764" s="59" t="str">
        <f aca="false">IFERROR(IF([1]对账明细接口!$M$764=0,"",[1]对账明细接口!$M$764),"")</f>
        <v/>
      </c>
      <c r="N764" s="111" t="n">
        <f aca="false">IF($C764="",0,1)</f>
        <v>0</v>
      </c>
      <c r="O764" s="111" t="n">
        <f aca="false">N(O763)+$N764</f>
        <v>110</v>
      </c>
      <c r="S764" s="10" t="str">
        <f aca="false">IFERROR(IF([1]对账明细接口!$N764=0,"",[1]对账明细接口!$N764),"")</f>
        <v/>
      </c>
      <c r="T764" s="112" t="str">
        <f aca="false">IFERROR(IF([1]对账明细接口!$O764=0,"",[1]对账明细接口!$O764),"")</f>
        <v/>
      </c>
      <c r="U764" s="112" t="str">
        <f aca="false">IFERROR(IF([1]对账明细接口!$P764=0,"",[1]对账明细接口!$P764),"")</f>
        <v/>
      </c>
      <c r="V764" s="112" t="str">
        <f aca="false">IFERROR(IF([1]对账明细接口!$Q764=0,"",[1]对账明细接口!$Q764),"")</f>
        <v/>
      </c>
      <c r="W764" s="10" t="str">
        <f aca="false">IFERROR(IF([1]对账明细接口!$R764=0,"",[1]对账明细接口!$R764),"")</f>
        <v/>
      </c>
      <c r="X764" s="10" t="str">
        <f aca="false">IFERROR(IF([1]对账明细接口!$S764=0,"",[1]对账明细接口!$S764),"")</f>
        <v/>
      </c>
      <c r="Y764" s="10" t="str">
        <f aca="false">""</f>
        <v/>
      </c>
      <c r="Z764" s="10" t="str">
        <f aca="false">""</f>
        <v/>
      </c>
      <c r="AA764" s="10" t="str">
        <f aca="false">""</f>
        <v/>
      </c>
      <c r="AB764" s="10" t="str">
        <f aca="false">""</f>
        <v/>
      </c>
    </row>
    <row r="765" customFormat="false" ht="13.5" hidden="false" customHeight="false" outlineLevel="0" collapsed="false">
      <c r="A765" s="109" t="n">
        <v>765</v>
      </c>
      <c r="B765" s="110" t="str">
        <f aca="false">IFERROR(IF([1]对账明细接口!$B$765=0,"",[1]对账明细接口!$B$765),"")</f>
        <v/>
      </c>
      <c r="C765" s="59" t="str">
        <f aca="false">IFERROR(IF([1]对账明细接口!$C$765=0,"",[1]对账明细接口!$C$765),"")</f>
        <v/>
      </c>
      <c r="D765" s="59" t="str">
        <f aca="false">IFERROR(IF([1]对账明细接口!$D$765=0,"",[1]对账明细接口!$D$765),"")</f>
        <v/>
      </c>
      <c r="E765" s="59" t="str">
        <f aca="false">IFERROR(IF([1]对账明细接口!$E$765=0,"",[1]对账明细接口!$E$765),"")</f>
        <v/>
      </c>
      <c r="F765" s="59" t="str">
        <f aca="false">IFERROR(IF([1]对账明细接口!$F$765=0,"",[1]对账明细接口!$F$765),"")</f>
        <v/>
      </c>
      <c r="G765" s="59" t="str">
        <f aca="false">IFERROR(IF([1]对账明细接口!$G$765=0,"",[1]对账明细接口!$G$765),"")</f>
        <v/>
      </c>
      <c r="H765" s="60" t="str">
        <f aca="false">IFERROR(IF([1]对账明细接口!$H$765=0,"",[1]对账明细接口!$H$765),"")</f>
        <v/>
      </c>
      <c r="I765" s="59" t="str">
        <f aca="false">IFERROR(IF([1]对账明细接口!$I$765=0,"",[1]对账明细接口!$I$765),"")</f>
        <v/>
      </c>
      <c r="J765" s="61" t="str">
        <f aca="false">IFERROR(IF([1]对账明细接口!$J$765=0,"",[1]对账明细接口!$J$765),"")</f>
        <v/>
      </c>
      <c r="K765" s="61" t="str">
        <f aca="false">IFERROR(IF([1]对账明细接口!$K$765=0,"",[1]对账明细接口!$K$765),"")</f>
        <v/>
      </c>
      <c r="L765" s="59" t="str">
        <f aca="false">IFERROR(IF([1]对账明细接口!$L$765=0,"",[1]对账明细接口!$L$765),"")</f>
        <v/>
      </c>
      <c r="M765" s="59" t="str">
        <f aca="false">IFERROR(IF([1]对账明细接口!$M$765=0,"",[1]对账明细接口!$M$765),"")</f>
        <v/>
      </c>
      <c r="N765" s="111" t="n">
        <f aca="false">IF($C765="",0,1)</f>
        <v>0</v>
      </c>
      <c r="O765" s="111" t="n">
        <f aca="false">N(O764)+$N765</f>
        <v>110</v>
      </c>
      <c r="S765" s="10" t="str">
        <f aca="false">IFERROR(IF([1]对账明细接口!$N765=0,"",[1]对账明细接口!$N765),"")</f>
        <v/>
      </c>
      <c r="T765" s="112" t="str">
        <f aca="false">IFERROR(IF([1]对账明细接口!$O765=0,"",[1]对账明细接口!$O765),"")</f>
        <v/>
      </c>
      <c r="U765" s="112" t="str">
        <f aca="false">IFERROR(IF([1]对账明细接口!$P765=0,"",[1]对账明细接口!$P765),"")</f>
        <v/>
      </c>
      <c r="V765" s="112" t="str">
        <f aca="false">IFERROR(IF([1]对账明细接口!$Q765=0,"",[1]对账明细接口!$Q765),"")</f>
        <v/>
      </c>
      <c r="W765" s="10" t="str">
        <f aca="false">IFERROR(IF([1]对账明细接口!$R765=0,"",[1]对账明细接口!$R765),"")</f>
        <v/>
      </c>
      <c r="X765" s="10" t="str">
        <f aca="false">IFERROR(IF([1]对账明细接口!$S765=0,"",[1]对账明细接口!$S765),"")</f>
        <v/>
      </c>
      <c r="Y765" s="10" t="str">
        <f aca="false">""</f>
        <v/>
      </c>
      <c r="Z765" s="10" t="str">
        <f aca="false">""</f>
        <v/>
      </c>
      <c r="AA765" s="10" t="str">
        <f aca="false">""</f>
        <v/>
      </c>
      <c r="AB765" s="10" t="str">
        <f aca="false">""</f>
        <v/>
      </c>
    </row>
    <row r="766" customFormat="false" ht="13.5" hidden="false" customHeight="false" outlineLevel="0" collapsed="false">
      <c r="A766" s="109" t="n">
        <v>766</v>
      </c>
      <c r="B766" s="110" t="str">
        <f aca="false">IFERROR(IF([1]对账明细接口!$B$766=0,"",[1]对账明细接口!$B$766),"")</f>
        <v/>
      </c>
      <c r="C766" s="59" t="str">
        <f aca="false">IFERROR(IF([1]对账明细接口!$C$766=0,"",[1]对账明细接口!$C$766),"")</f>
        <v/>
      </c>
      <c r="D766" s="59" t="str">
        <f aca="false">IFERROR(IF([1]对账明细接口!$D$766=0,"",[1]对账明细接口!$D$766),"")</f>
        <v/>
      </c>
      <c r="E766" s="59" t="str">
        <f aca="false">IFERROR(IF([1]对账明细接口!$E$766=0,"",[1]对账明细接口!$E$766),"")</f>
        <v/>
      </c>
      <c r="F766" s="59" t="str">
        <f aca="false">IFERROR(IF([1]对账明细接口!$F$766=0,"",[1]对账明细接口!$F$766),"")</f>
        <v/>
      </c>
      <c r="G766" s="59" t="str">
        <f aca="false">IFERROR(IF([1]对账明细接口!$G$766=0,"",[1]对账明细接口!$G$766),"")</f>
        <v/>
      </c>
      <c r="H766" s="60" t="str">
        <f aca="false">IFERROR(IF([1]对账明细接口!$H$766=0,"",[1]对账明细接口!$H$766),"")</f>
        <v/>
      </c>
      <c r="I766" s="59" t="str">
        <f aca="false">IFERROR(IF([1]对账明细接口!$I$766=0,"",[1]对账明细接口!$I$766),"")</f>
        <v/>
      </c>
      <c r="J766" s="61" t="str">
        <f aca="false">IFERROR(IF([1]对账明细接口!$J$766=0,"",[1]对账明细接口!$J$766),"")</f>
        <v/>
      </c>
      <c r="K766" s="61" t="str">
        <f aca="false">IFERROR(IF([1]对账明细接口!$K$766=0,"",[1]对账明细接口!$K$766),"")</f>
        <v/>
      </c>
      <c r="L766" s="59" t="str">
        <f aca="false">IFERROR(IF([1]对账明细接口!$L$766=0,"",[1]对账明细接口!$L$766),"")</f>
        <v/>
      </c>
      <c r="M766" s="59" t="str">
        <f aca="false">IFERROR(IF([1]对账明细接口!$M$766=0,"",[1]对账明细接口!$M$766),"")</f>
        <v/>
      </c>
      <c r="N766" s="111" t="n">
        <f aca="false">IF($C766="",0,1)</f>
        <v>0</v>
      </c>
      <c r="O766" s="111" t="n">
        <f aca="false">N(O765)+$N766</f>
        <v>110</v>
      </c>
      <c r="S766" s="10" t="str">
        <f aca="false">IFERROR(IF([1]对账明细接口!$N766=0,"",[1]对账明细接口!$N766),"")</f>
        <v/>
      </c>
      <c r="T766" s="112" t="str">
        <f aca="false">IFERROR(IF([1]对账明细接口!$O766=0,"",[1]对账明细接口!$O766),"")</f>
        <v/>
      </c>
      <c r="U766" s="112" t="str">
        <f aca="false">IFERROR(IF([1]对账明细接口!$P766=0,"",[1]对账明细接口!$P766),"")</f>
        <v/>
      </c>
      <c r="V766" s="112" t="str">
        <f aca="false">IFERROR(IF([1]对账明细接口!$Q766=0,"",[1]对账明细接口!$Q766),"")</f>
        <v/>
      </c>
      <c r="W766" s="10" t="str">
        <f aca="false">IFERROR(IF([1]对账明细接口!$R766=0,"",[1]对账明细接口!$R766),"")</f>
        <v/>
      </c>
      <c r="X766" s="10" t="str">
        <f aca="false">IFERROR(IF([1]对账明细接口!$S766=0,"",[1]对账明细接口!$S766),"")</f>
        <v/>
      </c>
      <c r="Y766" s="10" t="str">
        <f aca="false">""</f>
        <v/>
      </c>
      <c r="Z766" s="10" t="str">
        <f aca="false">""</f>
        <v/>
      </c>
      <c r="AA766" s="10" t="str">
        <f aca="false">""</f>
        <v/>
      </c>
      <c r="AB766" s="10" t="str">
        <f aca="false">""</f>
        <v/>
      </c>
    </row>
    <row r="767" customFormat="false" ht="13.5" hidden="false" customHeight="false" outlineLevel="0" collapsed="false">
      <c r="A767" s="109" t="n">
        <v>767</v>
      </c>
      <c r="B767" s="110" t="str">
        <f aca="false">IFERROR(IF([1]对账明细接口!$B$767=0,"",[1]对账明细接口!$B$767),"")</f>
        <v/>
      </c>
      <c r="C767" s="59" t="str">
        <f aca="false">IFERROR(IF([1]对账明细接口!$C$767=0,"",[1]对账明细接口!$C$767),"")</f>
        <v/>
      </c>
      <c r="D767" s="59" t="str">
        <f aca="false">IFERROR(IF([1]对账明细接口!$D$767=0,"",[1]对账明细接口!$D$767),"")</f>
        <v/>
      </c>
      <c r="E767" s="59" t="str">
        <f aca="false">IFERROR(IF([1]对账明细接口!$E$767=0,"",[1]对账明细接口!$E$767),"")</f>
        <v/>
      </c>
      <c r="F767" s="59" t="str">
        <f aca="false">IFERROR(IF([1]对账明细接口!$F$767=0,"",[1]对账明细接口!$F$767),"")</f>
        <v/>
      </c>
      <c r="G767" s="59" t="str">
        <f aca="false">IFERROR(IF([1]对账明细接口!$G$767=0,"",[1]对账明细接口!$G$767),"")</f>
        <v/>
      </c>
      <c r="H767" s="60" t="str">
        <f aca="false">IFERROR(IF([1]对账明细接口!$H$767=0,"",[1]对账明细接口!$H$767),"")</f>
        <v/>
      </c>
      <c r="I767" s="59" t="str">
        <f aca="false">IFERROR(IF([1]对账明细接口!$I$767=0,"",[1]对账明细接口!$I$767),"")</f>
        <v/>
      </c>
      <c r="J767" s="61" t="str">
        <f aca="false">IFERROR(IF([1]对账明细接口!$J$767=0,"",[1]对账明细接口!$J$767),"")</f>
        <v/>
      </c>
      <c r="K767" s="61" t="str">
        <f aca="false">IFERROR(IF([1]对账明细接口!$K$767=0,"",[1]对账明细接口!$K$767),"")</f>
        <v/>
      </c>
      <c r="L767" s="59" t="str">
        <f aca="false">IFERROR(IF([1]对账明细接口!$L$767=0,"",[1]对账明细接口!$L$767),"")</f>
        <v/>
      </c>
      <c r="M767" s="59" t="str">
        <f aca="false">IFERROR(IF([1]对账明细接口!$M$767=0,"",[1]对账明细接口!$M$767),"")</f>
        <v/>
      </c>
      <c r="N767" s="111" t="n">
        <f aca="false">IF($C767="",0,1)</f>
        <v>0</v>
      </c>
      <c r="O767" s="111" t="n">
        <f aca="false">N(O766)+$N767</f>
        <v>110</v>
      </c>
      <c r="S767" s="10" t="str">
        <f aca="false">IFERROR(IF([1]对账明细接口!$N767=0,"",[1]对账明细接口!$N767),"")</f>
        <v/>
      </c>
      <c r="T767" s="112" t="str">
        <f aca="false">IFERROR(IF([1]对账明细接口!$O767=0,"",[1]对账明细接口!$O767),"")</f>
        <v/>
      </c>
      <c r="U767" s="112" t="str">
        <f aca="false">IFERROR(IF([1]对账明细接口!$P767=0,"",[1]对账明细接口!$P767),"")</f>
        <v/>
      </c>
      <c r="V767" s="112" t="str">
        <f aca="false">IFERROR(IF([1]对账明细接口!$Q767=0,"",[1]对账明细接口!$Q767),"")</f>
        <v/>
      </c>
      <c r="W767" s="10" t="str">
        <f aca="false">IFERROR(IF([1]对账明细接口!$R767=0,"",[1]对账明细接口!$R767),"")</f>
        <v/>
      </c>
      <c r="X767" s="10" t="str">
        <f aca="false">IFERROR(IF([1]对账明细接口!$S767=0,"",[1]对账明细接口!$S767),"")</f>
        <v/>
      </c>
      <c r="Y767" s="10" t="str">
        <f aca="false">""</f>
        <v/>
      </c>
      <c r="Z767" s="10" t="str">
        <f aca="false">""</f>
        <v/>
      </c>
      <c r="AA767" s="10" t="str">
        <f aca="false">""</f>
        <v/>
      </c>
      <c r="AB767" s="10" t="str">
        <f aca="false">""</f>
        <v/>
      </c>
    </row>
    <row r="768" customFormat="false" ht="13.5" hidden="false" customHeight="false" outlineLevel="0" collapsed="false">
      <c r="A768" s="109" t="n">
        <v>768</v>
      </c>
      <c r="B768" s="110" t="str">
        <f aca="false">IFERROR(IF([1]对账明细接口!$B$768=0,"",[1]对账明细接口!$B$768),"")</f>
        <v/>
      </c>
      <c r="C768" s="59" t="str">
        <f aca="false">IFERROR(IF([1]对账明细接口!$C$768=0,"",[1]对账明细接口!$C$768),"")</f>
        <v/>
      </c>
      <c r="D768" s="59" t="str">
        <f aca="false">IFERROR(IF([1]对账明细接口!$D$768=0,"",[1]对账明细接口!$D$768),"")</f>
        <v/>
      </c>
      <c r="E768" s="59" t="str">
        <f aca="false">IFERROR(IF([1]对账明细接口!$E$768=0,"",[1]对账明细接口!$E$768),"")</f>
        <v/>
      </c>
      <c r="F768" s="59" t="str">
        <f aca="false">IFERROR(IF([1]对账明细接口!$F$768=0,"",[1]对账明细接口!$F$768),"")</f>
        <v/>
      </c>
      <c r="G768" s="59" t="str">
        <f aca="false">IFERROR(IF([1]对账明细接口!$G$768=0,"",[1]对账明细接口!$G$768),"")</f>
        <v/>
      </c>
      <c r="H768" s="60" t="str">
        <f aca="false">IFERROR(IF([1]对账明细接口!$H$768=0,"",[1]对账明细接口!$H$768),"")</f>
        <v/>
      </c>
      <c r="I768" s="59" t="str">
        <f aca="false">IFERROR(IF([1]对账明细接口!$I$768=0,"",[1]对账明细接口!$I$768),"")</f>
        <v/>
      </c>
      <c r="J768" s="61" t="str">
        <f aca="false">IFERROR(IF([1]对账明细接口!$J$768=0,"",[1]对账明细接口!$J$768),"")</f>
        <v/>
      </c>
      <c r="K768" s="61" t="str">
        <f aca="false">IFERROR(IF([1]对账明细接口!$K$768=0,"",[1]对账明细接口!$K$768),"")</f>
        <v/>
      </c>
      <c r="L768" s="59" t="str">
        <f aca="false">IFERROR(IF([1]对账明细接口!$L$768=0,"",[1]对账明细接口!$L$768),"")</f>
        <v/>
      </c>
      <c r="M768" s="59" t="str">
        <f aca="false">IFERROR(IF([1]对账明细接口!$M$768=0,"",[1]对账明细接口!$M$768),"")</f>
        <v/>
      </c>
      <c r="N768" s="111" t="n">
        <f aca="false">IF($C768="",0,1)</f>
        <v>0</v>
      </c>
      <c r="O768" s="111" t="n">
        <f aca="false">N(O767)+$N768</f>
        <v>110</v>
      </c>
      <c r="S768" s="10" t="str">
        <f aca="false">IFERROR(IF([1]对账明细接口!$N768=0,"",[1]对账明细接口!$N768),"")</f>
        <v/>
      </c>
      <c r="T768" s="112" t="str">
        <f aca="false">IFERROR(IF([1]对账明细接口!$O768=0,"",[1]对账明细接口!$O768),"")</f>
        <v/>
      </c>
      <c r="U768" s="112" t="str">
        <f aca="false">IFERROR(IF([1]对账明细接口!$P768=0,"",[1]对账明细接口!$P768),"")</f>
        <v/>
      </c>
      <c r="V768" s="112" t="str">
        <f aca="false">IFERROR(IF([1]对账明细接口!$Q768=0,"",[1]对账明细接口!$Q768),"")</f>
        <v/>
      </c>
      <c r="W768" s="10" t="str">
        <f aca="false">IFERROR(IF([1]对账明细接口!$R768=0,"",[1]对账明细接口!$R768),"")</f>
        <v/>
      </c>
      <c r="X768" s="10" t="str">
        <f aca="false">IFERROR(IF([1]对账明细接口!$S768=0,"",[1]对账明细接口!$S768),"")</f>
        <v/>
      </c>
      <c r="Y768" s="10" t="str">
        <f aca="false">""</f>
        <v/>
      </c>
      <c r="Z768" s="10" t="str">
        <f aca="false">""</f>
        <v/>
      </c>
      <c r="AA768" s="10" t="str">
        <f aca="false">""</f>
        <v/>
      </c>
      <c r="AB768" s="10" t="str">
        <f aca="false">""</f>
        <v/>
      </c>
    </row>
    <row r="769" customFormat="false" ht="13.5" hidden="false" customHeight="false" outlineLevel="0" collapsed="false">
      <c r="A769" s="109" t="n">
        <v>769</v>
      </c>
      <c r="B769" s="110" t="str">
        <f aca="false">IFERROR(IF([1]对账明细接口!$B$769=0,"",[1]对账明细接口!$B$769),"")</f>
        <v/>
      </c>
      <c r="C769" s="59" t="str">
        <f aca="false">IFERROR(IF([1]对账明细接口!$C$769=0,"",[1]对账明细接口!$C$769),"")</f>
        <v/>
      </c>
      <c r="D769" s="59" t="str">
        <f aca="false">IFERROR(IF([1]对账明细接口!$D$769=0,"",[1]对账明细接口!$D$769),"")</f>
        <v/>
      </c>
      <c r="E769" s="59" t="str">
        <f aca="false">IFERROR(IF([1]对账明细接口!$E$769=0,"",[1]对账明细接口!$E$769),"")</f>
        <v/>
      </c>
      <c r="F769" s="59" t="str">
        <f aca="false">IFERROR(IF([1]对账明细接口!$F$769=0,"",[1]对账明细接口!$F$769),"")</f>
        <v/>
      </c>
      <c r="G769" s="59" t="str">
        <f aca="false">IFERROR(IF([1]对账明细接口!$G$769=0,"",[1]对账明细接口!$G$769),"")</f>
        <v/>
      </c>
      <c r="H769" s="60" t="str">
        <f aca="false">IFERROR(IF([1]对账明细接口!$H$769=0,"",[1]对账明细接口!$H$769),"")</f>
        <v/>
      </c>
      <c r="I769" s="59" t="str">
        <f aca="false">IFERROR(IF([1]对账明细接口!$I$769=0,"",[1]对账明细接口!$I$769),"")</f>
        <v/>
      </c>
      <c r="J769" s="61" t="str">
        <f aca="false">IFERROR(IF([1]对账明细接口!$J$769=0,"",[1]对账明细接口!$J$769),"")</f>
        <v/>
      </c>
      <c r="K769" s="61" t="str">
        <f aca="false">IFERROR(IF([1]对账明细接口!$K$769=0,"",[1]对账明细接口!$K$769),"")</f>
        <v/>
      </c>
      <c r="L769" s="59" t="str">
        <f aca="false">IFERROR(IF([1]对账明细接口!$L$769=0,"",[1]对账明细接口!$L$769),"")</f>
        <v/>
      </c>
      <c r="M769" s="59" t="str">
        <f aca="false">IFERROR(IF([1]对账明细接口!$M$769=0,"",[1]对账明细接口!$M$769),"")</f>
        <v/>
      </c>
      <c r="N769" s="111" t="n">
        <f aca="false">IF($C769="",0,1)</f>
        <v>0</v>
      </c>
      <c r="O769" s="111" t="n">
        <f aca="false">N(O768)+$N769</f>
        <v>110</v>
      </c>
      <c r="S769" s="10" t="str">
        <f aca="false">IFERROR(IF([1]对账明细接口!$N769=0,"",[1]对账明细接口!$N769),"")</f>
        <v/>
      </c>
      <c r="T769" s="112" t="str">
        <f aca="false">IFERROR(IF([1]对账明细接口!$O769=0,"",[1]对账明细接口!$O769),"")</f>
        <v/>
      </c>
      <c r="U769" s="112" t="str">
        <f aca="false">IFERROR(IF([1]对账明细接口!$P769=0,"",[1]对账明细接口!$P769),"")</f>
        <v/>
      </c>
      <c r="V769" s="112" t="str">
        <f aca="false">IFERROR(IF([1]对账明细接口!$Q769=0,"",[1]对账明细接口!$Q769),"")</f>
        <v/>
      </c>
      <c r="W769" s="10" t="str">
        <f aca="false">IFERROR(IF([1]对账明细接口!$R769=0,"",[1]对账明细接口!$R769),"")</f>
        <v/>
      </c>
      <c r="X769" s="10" t="str">
        <f aca="false">IFERROR(IF([1]对账明细接口!$S769=0,"",[1]对账明细接口!$S769),"")</f>
        <v/>
      </c>
      <c r="Y769" s="10" t="str">
        <f aca="false">""</f>
        <v/>
      </c>
      <c r="Z769" s="10" t="str">
        <f aca="false">""</f>
        <v/>
      </c>
      <c r="AA769" s="10" t="str">
        <f aca="false">""</f>
        <v/>
      </c>
      <c r="AB769" s="10" t="str">
        <f aca="false">""</f>
        <v/>
      </c>
    </row>
    <row r="770" customFormat="false" ht="13.5" hidden="false" customHeight="false" outlineLevel="0" collapsed="false">
      <c r="A770" s="109" t="n">
        <v>770</v>
      </c>
      <c r="B770" s="110" t="str">
        <f aca="false">IFERROR(IF([1]对账明细接口!$B$770=0,"",[1]对账明细接口!$B$770),"")</f>
        <v/>
      </c>
      <c r="C770" s="59" t="str">
        <f aca="false">IFERROR(IF([1]对账明细接口!$C$770=0,"",[1]对账明细接口!$C$770),"")</f>
        <v/>
      </c>
      <c r="D770" s="59" t="str">
        <f aca="false">IFERROR(IF([1]对账明细接口!$D$770=0,"",[1]对账明细接口!$D$770),"")</f>
        <v/>
      </c>
      <c r="E770" s="59" t="str">
        <f aca="false">IFERROR(IF([1]对账明细接口!$E$770=0,"",[1]对账明细接口!$E$770),"")</f>
        <v/>
      </c>
      <c r="F770" s="59" t="str">
        <f aca="false">IFERROR(IF([1]对账明细接口!$F$770=0,"",[1]对账明细接口!$F$770),"")</f>
        <v/>
      </c>
      <c r="G770" s="59" t="str">
        <f aca="false">IFERROR(IF([1]对账明细接口!$G$770=0,"",[1]对账明细接口!$G$770),"")</f>
        <v/>
      </c>
      <c r="H770" s="60" t="str">
        <f aca="false">IFERROR(IF([1]对账明细接口!$H$770=0,"",[1]对账明细接口!$H$770),"")</f>
        <v/>
      </c>
      <c r="I770" s="59" t="str">
        <f aca="false">IFERROR(IF([1]对账明细接口!$I$770=0,"",[1]对账明细接口!$I$770),"")</f>
        <v/>
      </c>
      <c r="J770" s="61" t="str">
        <f aca="false">IFERROR(IF([1]对账明细接口!$J$770=0,"",[1]对账明细接口!$J$770),"")</f>
        <v/>
      </c>
      <c r="K770" s="61" t="str">
        <f aca="false">IFERROR(IF([1]对账明细接口!$K$770=0,"",[1]对账明细接口!$K$770),"")</f>
        <v/>
      </c>
      <c r="L770" s="59" t="str">
        <f aca="false">IFERROR(IF([1]对账明细接口!$L$770=0,"",[1]对账明细接口!$L$770),"")</f>
        <v/>
      </c>
      <c r="M770" s="59" t="str">
        <f aca="false">IFERROR(IF([1]对账明细接口!$M$770=0,"",[1]对账明细接口!$M$770),"")</f>
        <v/>
      </c>
      <c r="N770" s="111" t="n">
        <f aca="false">IF($C770="",0,1)</f>
        <v>0</v>
      </c>
      <c r="O770" s="111" t="n">
        <f aca="false">N(O769)+$N770</f>
        <v>110</v>
      </c>
      <c r="S770" s="10" t="str">
        <f aca="false">IFERROR(IF([1]对账明细接口!$N770=0,"",[1]对账明细接口!$N770),"")</f>
        <v/>
      </c>
      <c r="T770" s="112" t="str">
        <f aca="false">IFERROR(IF([1]对账明细接口!$O770=0,"",[1]对账明细接口!$O770),"")</f>
        <v/>
      </c>
      <c r="U770" s="112" t="str">
        <f aca="false">IFERROR(IF([1]对账明细接口!$P770=0,"",[1]对账明细接口!$P770),"")</f>
        <v/>
      </c>
      <c r="V770" s="112" t="str">
        <f aca="false">IFERROR(IF([1]对账明细接口!$Q770=0,"",[1]对账明细接口!$Q770),"")</f>
        <v/>
      </c>
      <c r="W770" s="10" t="str">
        <f aca="false">IFERROR(IF([1]对账明细接口!$R770=0,"",[1]对账明细接口!$R770),"")</f>
        <v/>
      </c>
      <c r="X770" s="10" t="str">
        <f aca="false">IFERROR(IF([1]对账明细接口!$S770=0,"",[1]对账明细接口!$S770),"")</f>
        <v/>
      </c>
      <c r="Y770" s="10" t="str">
        <f aca="false">""</f>
        <v/>
      </c>
      <c r="Z770" s="10" t="str">
        <f aca="false">""</f>
        <v/>
      </c>
      <c r="AA770" s="10" t="str">
        <f aca="false">""</f>
        <v/>
      </c>
      <c r="AB770" s="10" t="str">
        <f aca="false">""</f>
        <v/>
      </c>
    </row>
    <row r="771" customFormat="false" ht="13.5" hidden="false" customHeight="false" outlineLevel="0" collapsed="false">
      <c r="A771" s="109" t="n">
        <v>771</v>
      </c>
      <c r="B771" s="110" t="str">
        <f aca="false">IFERROR(IF([1]对账明细接口!$B$771=0,"",[1]对账明细接口!$B$771),"")</f>
        <v/>
      </c>
      <c r="C771" s="59" t="str">
        <f aca="false">IFERROR(IF([1]对账明细接口!$C$771=0,"",[1]对账明细接口!$C$771),"")</f>
        <v/>
      </c>
      <c r="D771" s="59" t="str">
        <f aca="false">IFERROR(IF([1]对账明细接口!$D$771=0,"",[1]对账明细接口!$D$771),"")</f>
        <v/>
      </c>
      <c r="E771" s="59" t="str">
        <f aca="false">IFERROR(IF([1]对账明细接口!$E$771=0,"",[1]对账明细接口!$E$771),"")</f>
        <v/>
      </c>
      <c r="F771" s="59" t="str">
        <f aca="false">IFERROR(IF([1]对账明细接口!$F$771=0,"",[1]对账明细接口!$F$771),"")</f>
        <v/>
      </c>
      <c r="G771" s="59" t="str">
        <f aca="false">IFERROR(IF([1]对账明细接口!$G$771=0,"",[1]对账明细接口!$G$771),"")</f>
        <v/>
      </c>
      <c r="H771" s="60" t="str">
        <f aca="false">IFERROR(IF([1]对账明细接口!$H$771=0,"",[1]对账明细接口!$H$771),"")</f>
        <v/>
      </c>
      <c r="I771" s="59" t="str">
        <f aca="false">IFERROR(IF([1]对账明细接口!$I$771=0,"",[1]对账明细接口!$I$771),"")</f>
        <v/>
      </c>
      <c r="J771" s="61" t="str">
        <f aca="false">IFERROR(IF([1]对账明细接口!$J$771=0,"",[1]对账明细接口!$J$771),"")</f>
        <v/>
      </c>
      <c r="K771" s="61" t="str">
        <f aca="false">IFERROR(IF([1]对账明细接口!$K$771=0,"",[1]对账明细接口!$K$771),"")</f>
        <v/>
      </c>
      <c r="L771" s="59" t="str">
        <f aca="false">IFERROR(IF([1]对账明细接口!$L$771=0,"",[1]对账明细接口!$L$771),"")</f>
        <v/>
      </c>
      <c r="M771" s="59" t="str">
        <f aca="false">IFERROR(IF([1]对账明细接口!$M$771=0,"",[1]对账明细接口!$M$771),"")</f>
        <v/>
      </c>
      <c r="N771" s="111" t="n">
        <f aca="false">IF($C771="",0,1)</f>
        <v>0</v>
      </c>
      <c r="O771" s="111" t="n">
        <f aca="false">N(O770)+$N771</f>
        <v>110</v>
      </c>
      <c r="S771" s="10" t="str">
        <f aca="false">IFERROR(IF([1]对账明细接口!$N771=0,"",[1]对账明细接口!$N771),"")</f>
        <v/>
      </c>
      <c r="T771" s="112" t="str">
        <f aca="false">IFERROR(IF([1]对账明细接口!$O771=0,"",[1]对账明细接口!$O771),"")</f>
        <v/>
      </c>
      <c r="U771" s="112" t="str">
        <f aca="false">IFERROR(IF([1]对账明细接口!$P771=0,"",[1]对账明细接口!$P771),"")</f>
        <v/>
      </c>
      <c r="V771" s="112" t="str">
        <f aca="false">IFERROR(IF([1]对账明细接口!$Q771=0,"",[1]对账明细接口!$Q771),"")</f>
        <v/>
      </c>
      <c r="W771" s="10" t="str">
        <f aca="false">IFERROR(IF([1]对账明细接口!$R771=0,"",[1]对账明细接口!$R771),"")</f>
        <v/>
      </c>
      <c r="X771" s="10" t="str">
        <f aca="false">IFERROR(IF([1]对账明细接口!$S771=0,"",[1]对账明细接口!$S771),"")</f>
        <v/>
      </c>
      <c r="Y771" s="10" t="str">
        <f aca="false">""</f>
        <v/>
      </c>
      <c r="Z771" s="10" t="str">
        <f aca="false">""</f>
        <v/>
      </c>
      <c r="AA771" s="10" t="str">
        <f aca="false">""</f>
        <v/>
      </c>
      <c r="AB771" s="10" t="str">
        <f aca="false">""</f>
        <v/>
      </c>
    </row>
    <row r="772" customFormat="false" ht="13.5" hidden="false" customHeight="false" outlineLevel="0" collapsed="false">
      <c r="A772" s="109" t="n">
        <v>772</v>
      </c>
      <c r="B772" s="110" t="str">
        <f aca="false">IFERROR(IF([1]对账明细接口!$B$772=0,"",[1]对账明细接口!$B$772),"")</f>
        <v/>
      </c>
      <c r="C772" s="59" t="str">
        <f aca="false">IFERROR(IF([1]对账明细接口!$C$772=0,"",[1]对账明细接口!$C$772),"")</f>
        <v/>
      </c>
      <c r="D772" s="59" t="str">
        <f aca="false">IFERROR(IF([1]对账明细接口!$D$772=0,"",[1]对账明细接口!$D$772),"")</f>
        <v/>
      </c>
      <c r="E772" s="59" t="str">
        <f aca="false">IFERROR(IF([1]对账明细接口!$E$772=0,"",[1]对账明细接口!$E$772),"")</f>
        <v/>
      </c>
      <c r="F772" s="59" t="str">
        <f aca="false">IFERROR(IF([1]对账明细接口!$F$772=0,"",[1]对账明细接口!$F$772),"")</f>
        <v/>
      </c>
      <c r="G772" s="59" t="str">
        <f aca="false">IFERROR(IF([1]对账明细接口!$G$772=0,"",[1]对账明细接口!$G$772),"")</f>
        <v/>
      </c>
      <c r="H772" s="60" t="str">
        <f aca="false">IFERROR(IF([1]对账明细接口!$H$772=0,"",[1]对账明细接口!$H$772),"")</f>
        <v/>
      </c>
      <c r="I772" s="59" t="str">
        <f aca="false">IFERROR(IF([1]对账明细接口!$I$772=0,"",[1]对账明细接口!$I$772),"")</f>
        <v/>
      </c>
      <c r="J772" s="61" t="str">
        <f aca="false">IFERROR(IF([1]对账明细接口!$J$772=0,"",[1]对账明细接口!$J$772),"")</f>
        <v/>
      </c>
      <c r="K772" s="61" t="str">
        <f aca="false">IFERROR(IF([1]对账明细接口!$K$772=0,"",[1]对账明细接口!$K$772),"")</f>
        <v/>
      </c>
      <c r="L772" s="59" t="str">
        <f aca="false">IFERROR(IF([1]对账明细接口!$L$772=0,"",[1]对账明细接口!$L$772),"")</f>
        <v/>
      </c>
      <c r="M772" s="59" t="str">
        <f aca="false">IFERROR(IF([1]对账明细接口!$M$772=0,"",[1]对账明细接口!$M$772),"")</f>
        <v/>
      </c>
      <c r="N772" s="111" t="n">
        <f aca="false">IF($C772="",0,1)</f>
        <v>0</v>
      </c>
      <c r="O772" s="111" t="n">
        <f aca="false">N(O771)+$N772</f>
        <v>110</v>
      </c>
      <c r="S772" s="10" t="str">
        <f aca="false">IFERROR(IF([1]对账明细接口!$N772=0,"",[1]对账明细接口!$N772),"")</f>
        <v/>
      </c>
      <c r="T772" s="112" t="str">
        <f aca="false">IFERROR(IF([1]对账明细接口!$O772=0,"",[1]对账明细接口!$O772),"")</f>
        <v/>
      </c>
      <c r="U772" s="112" t="str">
        <f aca="false">IFERROR(IF([1]对账明细接口!$P772=0,"",[1]对账明细接口!$P772),"")</f>
        <v/>
      </c>
      <c r="V772" s="112" t="str">
        <f aca="false">IFERROR(IF([1]对账明细接口!$Q772=0,"",[1]对账明细接口!$Q772),"")</f>
        <v/>
      </c>
      <c r="W772" s="10" t="str">
        <f aca="false">IFERROR(IF([1]对账明细接口!$R772=0,"",[1]对账明细接口!$R772),"")</f>
        <v/>
      </c>
      <c r="X772" s="10" t="str">
        <f aca="false">IFERROR(IF([1]对账明细接口!$S772=0,"",[1]对账明细接口!$S772),"")</f>
        <v/>
      </c>
      <c r="Y772" s="10" t="str">
        <f aca="false">""</f>
        <v/>
      </c>
      <c r="Z772" s="10" t="str">
        <f aca="false">""</f>
        <v/>
      </c>
      <c r="AA772" s="10" t="str">
        <f aca="false">""</f>
        <v/>
      </c>
      <c r="AB772" s="10" t="str">
        <f aca="false">""</f>
        <v/>
      </c>
    </row>
    <row r="773" customFormat="false" ht="13.5" hidden="false" customHeight="false" outlineLevel="0" collapsed="false">
      <c r="A773" s="109" t="n">
        <v>773</v>
      </c>
      <c r="B773" s="110" t="str">
        <f aca="false">IFERROR(IF([1]对账明细接口!$B$773=0,"",[1]对账明细接口!$B$773),"")</f>
        <v/>
      </c>
      <c r="C773" s="59" t="str">
        <f aca="false">IFERROR(IF([1]对账明细接口!$C$773=0,"",[1]对账明细接口!$C$773),"")</f>
        <v/>
      </c>
      <c r="D773" s="59" t="str">
        <f aca="false">IFERROR(IF([1]对账明细接口!$D$773=0,"",[1]对账明细接口!$D$773),"")</f>
        <v/>
      </c>
      <c r="E773" s="59" t="str">
        <f aca="false">IFERROR(IF([1]对账明细接口!$E$773=0,"",[1]对账明细接口!$E$773),"")</f>
        <v/>
      </c>
      <c r="F773" s="59" t="str">
        <f aca="false">IFERROR(IF([1]对账明细接口!$F$773=0,"",[1]对账明细接口!$F$773),"")</f>
        <v/>
      </c>
      <c r="G773" s="59" t="str">
        <f aca="false">IFERROR(IF([1]对账明细接口!$G$773=0,"",[1]对账明细接口!$G$773),"")</f>
        <v/>
      </c>
      <c r="H773" s="60" t="str">
        <f aca="false">IFERROR(IF([1]对账明细接口!$H$773=0,"",[1]对账明细接口!$H$773),"")</f>
        <v/>
      </c>
      <c r="I773" s="59" t="str">
        <f aca="false">IFERROR(IF([1]对账明细接口!$I$773=0,"",[1]对账明细接口!$I$773),"")</f>
        <v/>
      </c>
      <c r="J773" s="61" t="str">
        <f aca="false">IFERROR(IF([1]对账明细接口!$J$773=0,"",[1]对账明细接口!$J$773),"")</f>
        <v/>
      </c>
      <c r="K773" s="61" t="str">
        <f aca="false">IFERROR(IF([1]对账明细接口!$K$773=0,"",[1]对账明细接口!$K$773),"")</f>
        <v/>
      </c>
      <c r="L773" s="59" t="str">
        <f aca="false">IFERROR(IF([1]对账明细接口!$L$773=0,"",[1]对账明细接口!$L$773),"")</f>
        <v/>
      </c>
      <c r="M773" s="59" t="str">
        <f aca="false">IFERROR(IF([1]对账明细接口!$M$773=0,"",[1]对账明细接口!$M$773),"")</f>
        <v/>
      </c>
      <c r="N773" s="111" t="n">
        <f aca="false">IF($C773="",0,1)</f>
        <v>0</v>
      </c>
      <c r="O773" s="111" t="n">
        <f aca="false">N(O772)+$N773</f>
        <v>110</v>
      </c>
      <c r="S773" s="10" t="str">
        <f aca="false">IFERROR(IF([1]对账明细接口!$N773=0,"",[1]对账明细接口!$N773),"")</f>
        <v/>
      </c>
      <c r="T773" s="112" t="str">
        <f aca="false">IFERROR(IF([1]对账明细接口!$O773=0,"",[1]对账明细接口!$O773),"")</f>
        <v/>
      </c>
      <c r="U773" s="112" t="str">
        <f aca="false">IFERROR(IF([1]对账明细接口!$P773=0,"",[1]对账明细接口!$P773),"")</f>
        <v/>
      </c>
      <c r="V773" s="112" t="str">
        <f aca="false">IFERROR(IF([1]对账明细接口!$Q773=0,"",[1]对账明细接口!$Q773),"")</f>
        <v/>
      </c>
      <c r="W773" s="10" t="str">
        <f aca="false">IFERROR(IF([1]对账明细接口!$R773=0,"",[1]对账明细接口!$R773),"")</f>
        <v/>
      </c>
      <c r="X773" s="10" t="str">
        <f aca="false">IFERROR(IF([1]对账明细接口!$S773=0,"",[1]对账明细接口!$S773),"")</f>
        <v/>
      </c>
      <c r="Y773" s="10" t="str">
        <f aca="false">""</f>
        <v/>
      </c>
      <c r="Z773" s="10" t="str">
        <f aca="false">""</f>
        <v/>
      </c>
      <c r="AA773" s="10" t="str">
        <f aca="false">""</f>
        <v/>
      </c>
      <c r="AB773" s="10" t="str">
        <f aca="false">""</f>
        <v/>
      </c>
    </row>
    <row r="774" customFormat="false" ht="13.5" hidden="false" customHeight="false" outlineLevel="0" collapsed="false">
      <c r="A774" s="109" t="n">
        <v>774</v>
      </c>
      <c r="B774" s="110" t="str">
        <f aca="false">IFERROR(IF([1]对账明细接口!$B$774=0,"",[1]对账明细接口!$B$774),"")</f>
        <v/>
      </c>
      <c r="C774" s="59" t="str">
        <f aca="false">IFERROR(IF([1]对账明细接口!$C$774=0,"",[1]对账明细接口!$C$774),"")</f>
        <v/>
      </c>
      <c r="D774" s="59" t="str">
        <f aca="false">IFERROR(IF([1]对账明细接口!$D$774=0,"",[1]对账明细接口!$D$774),"")</f>
        <v/>
      </c>
      <c r="E774" s="59" t="str">
        <f aca="false">IFERROR(IF([1]对账明细接口!$E$774=0,"",[1]对账明细接口!$E$774),"")</f>
        <v/>
      </c>
      <c r="F774" s="59" t="str">
        <f aca="false">IFERROR(IF([1]对账明细接口!$F$774=0,"",[1]对账明细接口!$F$774),"")</f>
        <v/>
      </c>
      <c r="G774" s="59" t="str">
        <f aca="false">IFERROR(IF([1]对账明细接口!$G$774=0,"",[1]对账明细接口!$G$774),"")</f>
        <v/>
      </c>
      <c r="H774" s="60" t="str">
        <f aca="false">IFERROR(IF([1]对账明细接口!$H$774=0,"",[1]对账明细接口!$H$774),"")</f>
        <v/>
      </c>
      <c r="I774" s="59" t="str">
        <f aca="false">IFERROR(IF([1]对账明细接口!$I$774=0,"",[1]对账明细接口!$I$774),"")</f>
        <v/>
      </c>
      <c r="J774" s="61" t="str">
        <f aca="false">IFERROR(IF([1]对账明细接口!$J$774=0,"",[1]对账明细接口!$J$774),"")</f>
        <v/>
      </c>
      <c r="K774" s="61" t="str">
        <f aca="false">IFERROR(IF([1]对账明细接口!$K$774=0,"",[1]对账明细接口!$K$774),"")</f>
        <v/>
      </c>
      <c r="L774" s="59" t="str">
        <f aca="false">IFERROR(IF([1]对账明细接口!$L$774=0,"",[1]对账明细接口!$L$774),"")</f>
        <v/>
      </c>
      <c r="M774" s="59" t="str">
        <f aca="false">IFERROR(IF([1]对账明细接口!$M$774=0,"",[1]对账明细接口!$M$774),"")</f>
        <v/>
      </c>
      <c r="N774" s="111" t="n">
        <f aca="false">IF($C774="",0,1)</f>
        <v>0</v>
      </c>
      <c r="O774" s="111" t="n">
        <f aca="false">N(O773)+$N774</f>
        <v>110</v>
      </c>
      <c r="S774" s="10" t="str">
        <f aca="false">IFERROR(IF([1]对账明细接口!$N774=0,"",[1]对账明细接口!$N774),"")</f>
        <v/>
      </c>
      <c r="T774" s="112" t="str">
        <f aca="false">IFERROR(IF([1]对账明细接口!$O774=0,"",[1]对账明细接口!$O774),"")</f>
        <v/>
      </c>
      <c r="U774" s="112" t="str">
        <f aca="false">IFERROR(IF([1]对账明细接口!$P774=0,"",[1]对账明细接口!$P774),"")</f>
        <v/>
      </c>
      <c r="V774" s="112" t="str">
        <f aca="false">IFERROR(IF([1]对账明细接口!$Q774=0,"",[1]对账明细接口!$Q774),"")</f>
        <v/>
      </c>
      <c r="W774" s="10" t="str">
        <f aca="false">IFERROR(IF([1]对账明细接口!$R774=0,"",[1]对账明细接口!$R774),"")</f>
        <v/>
      </c>
      <c r="X774" s="10" t="str">
        <f aca="false">IFERROR(IF([1]对账明细接口!$S774=0,"",[1]对账明细接口!$S774),"")</f>
        <v/>
      </c>
      <c r="Y774" s="10" t="str">
        <f aca="false">""</f>
        <v/>
      </c>
      <c r="Z774" s="10" t="str">
        <f aca="false">""</f>
        <v/>
      </c>
      <c r="AA774" s="10" t="str">
        <f aca="false">""</f>
        <v/>
      </c>
      <c r="AB774" s="10" t="str">
        <f aca="false">""</f>
        <v/>
      </c>
    </row>
    <row r="775" customFormat="false" ht="13.5" hidden="false" customHeight="false" outlineLevel="0" collapsed="false">
      <c r="A775" s="109" t="n">
        <v>775</v>
      </c>
      <c r="B775" s="110" t="str">
        <f aca="false">IFERROR(IF([1]对账明细接口!$B$775=0,"",[1]对账明细接口!$B$775),"")</f>
        <v/>
      </c>
      <c r="C775" s="59" t="str">
        <f aca="false">IFERROR(IF([1]对账明细接口!$C$775=0,"",[1]对账明细接口!$C$775),"")</f>
        <v/>
      </c>
      <c r="D775" s="59" t="str">
        <f aca="false">IFERROR(IF([1]对账明细接口!$D$775=0,"",[1]对账明细接口!$D$775),"")</f>
        <v/>
      </c>
      <c r="E775" s="59" t="str">
        <f aca="false">IFERROR(IF([1]对账明细接口!$E$775=0,"",[1]对账明细接口!$E$775),"")</f>
        <v/>
      </c>
      <c r="F775" s="59" t="str">
        <f aca="false">IFERROR(IF([1]对账明细接口!$F$775=0,"",[1]对账明细接口!$F$775),"")</f>
        <v/>
      </c>
      <c r="G775" s="59" t="str">
        <f aca="false">IFERROR(IF([1]对账明细接口!$G$775=0,"",[1]对账明细接口!$G$775),"")</f>
        <v/>
      </c>
      <c r="H775" s="60" t="str">
        <f aca="false">IFERROR(IF([1]对账明细接口!$H$775=0,"",[1]对账明细接口!$H$775),"")</f>
        <v/>
      </c>
      <c r="I775" s="59" t="str">
        <f aca="false">IFERROR(IF([1]对账明细接口!$I$775=0,"",[1]对账明细接口!$I$775),"")</f>
        <v/>
      </c>
      <c r="J775" s="61" t="str">
        <f aca="false">IFERROR(IF([1]对账明细接口!$J$775=0,"",[1]对账明细接口!$J$775),"")</f>
        <v/>
      </c>
      <c r="K775" s="61" t="str">
        <f aca="false">IFERROR(IF([1]对账明细接口!$K$775=0,"",[1]对账明细接口!$K$775),"")</f>
        <v/>
      </c>
      <c r="L775" s="59" t="str">
        <f aca="false">IFERROR(IF([1]对账明细接口!$L$775=0,"",[1]对账明细接口!$L$775),"")</f>
        <v/>
      </c>
      <c r="M775" s="59" t="str">
        <f aca="false">IFERROR(IF([1]对账明细接口!$M$775=0,"",[1]对账明细接口!$M$775),"")</f>
        <v/>
      </c>
      <c r="N775" s="111" t="n">
        <f aca="false">IF($C775="",0,1)</f>
        <v>0</v>
      </c>
      <c r="O775" s="111" t="n">
        <f aca="false">N(O774)+$N775</f>
        <v>110</v>
      </c>
      <c r="S775" s="10" t="str">
        <f aca="false">IFERROR(IF([1]对账明细接口!$N775=0,"",[1]对账明细接口!$N775),"")</f>
        <v/>
      </c>
      <c r="T775" s="112" t="str">
        <f aca="false">IFERROR(IF([1]对账明细接口!$O775=0,"",[1]对账明细接口!$O775),"")</f>
        <v/>
      </c>
      <c r="U775" s="112" t="str">
        <f aca="false">IFERROR(IF([1]对账明细接口!$P775=0,"",[1]对账明细接口!$P775),"")</f>
        <v/>
      </c>
      <c r="V775" s="112" t="str">
        <f aca="false">IFERROR(IF([1]对账明细接口!$Q775=0,"",[1]对账明细接口!$Q775),"")</f>
        <v/>
      </c>
      <c r="W775" s="10" t="str">
        <f aca="false">IFERROR(IF([1]对账明细接口!$R775=0,"",[1]对账明细接口!$R775),"")</f>
        <v/>
      </c>
      <c r="X775" s="10" t="str">
        <f aca="false">IFERROR(IF([1]对账明细接口!$S775=0,"",[1]对账明细接口!$S775),"")</f>
        <v/>
      </c>
      <c r="Y775" s="10" t="str">
        <f aca="false">""</f>
        <v/>
      </c>
      <c r="Z775" s="10" t="str">
        <f aca="false">""</f>
        <v/>
      </c>
      <c r="AA775" s="10" t="str">
        <f aca="false">""</f>
        <v/>
      </c>
      <c r="AB775" s="10" t="str">
        <f aca="false">""</f>
        <v/>
      </c>
    </row>
    <row r="776" customFormat="false" ht="13.5" hidden="false" customHeight="false" outlineLevel="0" collapsed="false">
      <c r="A776" s="109" t="n">
        <v>776</v>
      </c>
      <c r="B776" s="110" t="str">
        <f aca="false">IFERROR(IF([1]对账明细接口!$B$776=0,"",[1]对账明细接口!$B$776),"")</f>
        <v/>
      </c>
      <c r="C776" s="59" t="str">
        <f aca="false">IFERROR(IF([1]对账明细接口!$C$776=0,"",[1]对账明细接口!$C$776),"")</f>
        <v/>
      </c>
      <c r="D776" s="59" t="str">
        <f aca="false">IFERROR(IF([1]对账明细接口!$D$776=0,"",[1]对账明细接口!$D$776),"")</f>
        <v/>
      </c>
      <c r="E776" s="59" t="str">
        <f aca="false">IFERROR(IF([1]对账明细接口!$E$776=0,"",[1]对账明细接口!$E$776),"")</f>
        <v/>
      </c>
      <c r="F776" s="59" t="str">
        <f aca="false">IFERROR(IF([1]对账明细接口!$F$776=0,"",[1]对账明细接口!$F$776),"")</f>
        <v/>
      </c>
      <c r="G776" s="59" t="str">
        <f aca="false">IFERROR(IF([1]对账明细接口!$G$776=0,"",[1]对账明细接口!$G$776),"")</f>
        <v/>
      </c>
      <c r="H776" s="60" t="str">
        <f aca="false">IFERROR(IF([1]对账明细接口!$H$776=0,"",[1]对账明细接口!$H$776),"")</f>
        <v/>
      </c>
      <c r="I776" s="59" t="str">
        <f aca="false">IFERROR(IF([1]对账明细接口!$I$776=0,"",[1]对账明细接口!$I$776),"")</f>
        <v/>
      </c>
      <c r="J776" s="61" t="str">
        <f aca="false">IFERROR(IF([1]对账明细接口!$J$776=0,"",[1]对账明细接口!$J$776),"")</f>
        <v/>
      </c>
      <c r="K776" s="61" t="str">
        <f aca="false">IFERROR(IF([1]对账明细接口!$K$776=0,"",[1]对账明细接口!$K$776),"")</f>
        <v/>
      </c>
      <c r="L776" s="59" t="str">
        <f aca="false">IFERROR(IF([1]对账明细接口!$L$776=0,"",[1]对账明细接口!$L$776),"")</f>
        <v/>
      </c>
      <c r="M776" s="59" t="str">
        <f aca="false">IFERROR(IF([1]对账明细接口!$M$776=0,"",[1]对账明细接口!$M$776),"")</f>
        <v/>
      </c>
      <c r="N776" s="111" t="n">
        <f aca="false">IF($C776="",0,1)</f>
        <v>0</v>
      </c>
      <c r="O776" s="111" t="n">
        <f aca="false">N(O775)+$N776</f>
        <v>110</v>
      </c>
      <c r="S776" s="10" t="str">
        <f aca="false">IFERROR(IF([1]对账明细接口!$N776=0,"",[1]对账明细接口!$N776),"")</f>
        <v/>
      </c>
      <c r="T776" s="112" t="str">
        <f aca="false">IFERROR(IF([1]对账明细接口!$O776=0,"",[1]对账明细接口!$O776),"")</f>
        <v/>
      </c>
      <c r="U776" s="112" t="str">
        <f aca="false">IFERROR(IF([1]对账明细接口!$P776=0,"",[1]对账明细接口!$P776),"")</f>
        <v/>
      </c>
      <c r="V776" s="112" t="str">
        <f aca="false">IFERROR(IF([1]对账明细接口!$Q776=0,"",[1]对账明细接口!$Q776),"")</f>
        <v/>
      </c>
      <c r="W776" s="10" t="str">
        <f aca="false">IFERROR(IF([1]对账明细接口!$R776=0,"",[1]对账明细接口!$R776),"")</f>
        <v/>
      </c>
      <c r="X776" s="10" t="str">
        <f aca="false">IFERROR(IF([1]对账明细接口!$S776=0,"",[1]对账明细接口!$S776),"")</f>
        <v/>
      </c>
      <c r="Y776" s="10" t="str">
        <f aca="false">""</f>
        <v/>
      </c>
      <c r="Z776" s="10" t="str">
        <f aca="false">""</f>
        <v/>
      </c>
      <c r="AA776" s="10" t="str">
        <f aca="false">""</f>
        <v/>
      </c>
      <c r="AB776" s="10" t="str">
        <f aca="false">""</f>
        <v/>
      </c>
    </row>
    <row r="777" customFormat="false" ht="13.5" hidden="false" customHeight="false" outlineLevel="0" collapsed="false">
      <c r="A777" s="109" t="n">
        <v>777</v>
      </c>
      <c r="B777" s="110" t="str">
        <f aca="false">IFERROR(IF([1]对账明细接口!$B$777=0,"",[1]对账明细接口!$B$777),"")</f>
        <v/>
      </c>
      <c r="C777" s="59" t="str">
        <f aca="false">IFERROR(IF([1]对账明细接口!$C$777=0,"",[1]对账明细接口!$C$777),"")</f>
        <v/>
      </c>
      <c r="D777" s="59" t="str">
        <f aca="false">IFERROR(IF([1]对账明细接口!$D$777=0,"",[1]对账明细接口!$D$777),"")</f>
        <v/>
      </c>
      <c r="E777" s="59" t="str">
        <f aca="false">IFERROR(IF([1]对账明细接口!$E$777=0,"",[1]对账明细接口!$E$777),"")</f>
        <v/>
      </c>
      <c r="F777" s="59" t="str">
        <f aca="false">IFERROR(IF([1]对账明细接口!$F$777=0,"",[1]对账明细接口!$F$777),"")</f>
        <v/>
      </c>
      <c r="G777" s="59" t="str">
        <f aca="false">IFERROR(IF([1]对账明细接口!$G$777=0,"",[1]对账明细接口!$G$777),"")</f>
        <v/>
      </c>
      <c r="H777" s="60" t="str">
        <f aca="false">IFERROR(IF([1]对账明细接口!$H$777=0,"",[1]对账明细接口!$H$777),"")</f>
        <v/>
      </c>
      <c r="I777" s="59" t="str">
        <f aca="false">IFERROR(IF([1]对账明细接口!$I$777=0,"",[1]对账明细接口!$I$777),"")</f>
        <v/>
      </c>
      <c r="J777" s="61" t="str">
        <f aca="false">IFERROR(IF([1]对账明细接口!$J$777=0,"",[1]对账明细接口!$J$777),"")</f>
        <v/>
      </c>
      <c r="K777" s="61" t="str">
        <f aca="false">IFERROR(IF([1]对账明细接口!$K$777=0,"",[1]对账明细接口!$K$777),"")</f>
        <v/>
      </c>
      <c r="L777" s="59" t="str">
        <f aca="false">IFERROR(IF([1]对账明细接口!$L$777=0,"",[1]对账明细接口!$L$777),"")</f>
        <v/>
      </c>
      <c r="M777" s="59" t="str">
        <f aca="false">IFERROR(IF([1]对账明细接口!$M$777=0,"",[1]对账明细接口!$M$777),"")</f>
        <v/>
      </c>
      <c r="N777" s="111" t="n">
        <f aca="false">IF($C777="",0,1)</f>
        <v>0</v>
      </c>
      <c r="O777" s="111" t="n">
        <f aca="false">N(O776)+$N777</f>
        <v>110</v>
      </c>
      <c r="S777" s="10" t="str">
        <f aca="false">IFERROR(IF([1]对账明细接口!$N777=0,"",[1]对账明细接口!$N777),"")</f>
        <v/>
      </c>
      <c r="T777" s="112" t="str">
        <f aca="false">IFERROR(IF([1]对账明细接口!$O777=0,"",[1]对账明细接口!$O777),"")</f>
        <v/>
      </c>
      <c r="U777" s="112" t="str">
        <f aca="false">IFERROR(IF([1]对账明细接口!$P777=0,"",[1]对账明细接口!$P777),"")</f>
        <v/>
      </c>
      <c r="V777" s="112" t="str">
        <f aca="false">IFERROR(IF([1]对账明细接口!$Q777=0,"",[1]对账明细接口!$Q777),"")</f>
        <v/>
      </c>
      <c r="W777" s="10" t="str">
        <f aca="false">IFERROR(IF([1]对账明细接口!$R777=0,"",[1]对账明细接口!$R777),"")</f>
        <v/>
      </c>
      <c r="X777" s="10" t="str">
        <f aca="false">IFERROR(IF([1]对账明细接口!$S777=0,"",[1]对账明细接口!$S777),"")</f>
        <v/>
      </c>
      <c r="Y777" s="10" t="str">
        <f aca="false">""</f>
        <v/>
      </c>
      <c r="Z777" s="10" t="str">
        <f aca="false">""</f>
        <v/>
      </c>
      <c r="AA777" s="10" t="str">
        <f aca="false">""</f>
        <v/>
      </c>
      <c r="AB777" s="10" t="str">
        <f aca="false">""</f>
        <v/>
      </c>
    </row>
    <row r="778" customFormat="false" ht="13.5" hidden="false" customHeight="false" outlineLevel="0" collapsed="false">
      <c r="A778" s="109" t="n">
        <v>778</v>
      </c>
      <c r="B778" s="110" t="str">
        <f aca="false">IFERROR(IF([1]对账明细接口!$B$778=0,"",[1]对账明细接口!$B$778),"")</f>
        <v/>
      </c>
      <c r="C778" s="59" t="str">
        <f aca="false">IFERROR(IF([1]对账明细接口!$C$778=0,"",[1]对账明细接口!$C$778),"")</f>
        <v/>
      </c>
      <c r="D778" s="59" t="str">
        <f aca="false">IFERROR(IF([1]对账明细接口!$D$778=0,"",[1]对账明细接口!$D$778),"")</f>
        <v/>
      </c>
      <c r="E778" s="59" t="str">
        <f aca="false">IFERROR(IF([1]对账明细接口!$E$778=0,"",[1]对账明细接口!$E$778),"")</f>
        <v/>
      </c>
      <c r="F778" s="59" t="str">
        <f aca="false">IFERROR(IF([1]对账明细接口!$F$778=0,"",[1]对账明细接口!$F$778),"")</f>
        <v/>
      </c>
      <c r="G778" s="59" t="str">
        <f aca="false">IFERROR(IF([1]对账明细接口!$G$778=0,"",[1]对账明细接口!$G$778),"")</f>
        <v/>
      </c>
      <c r="H778" s="60" t="str">
        <f aca="false">IFERROR(IF([1]对账明细接口!$H$778=0,"",[1]对账明细接口!$H$778),"")</f>
        <v/>
      </c>
      <c r="I778" s="59" t="str">
        <f aca="false">IFERROR(IF([1]对账明细接口!$I$778=0,"",[1]对账明细接口!$I$778),"")</f>
        <v/>
      </c>
      <c r="J778" s="61" t="str">
        <f aca="false">IFERROR(IF([1]对账明细接口!$J$778=0,"",[1]对账明细接口!$J$778),"")</f>
        <v/>
      </c>
      <c r="K778" s="61" t="str">
        <f aca="false">IFERROR(IF([1]对账明细接口!$K$778=0,"",[1]对账明细接口!$K$778),"")</f>
        <v/>
      </c>
      <c r="L778" s="59" t="str">
        <f aca="false">IFERROR(IF([1]对账明细接口!$L$778=0,"",[1]对账明细接口!$L$778),"")</f>
        <v/>
      </c>
      <c r="M778" s="59" t="str">
        <f aca="false">IFERROR(IF([1]对账明细接口!$M$778=0,"",[1]对账明细接口!$M$778),"")</f>
        <v/>
      </c>
      <c r="N778" s="111" t="n">
        <f aca="false">IF($C778="",0,1)</f>
        <v>0</v>
      </c>
      <c r="O778" s="111" t="n">
        <f aca="false">N(O777)+$N778</f>
        <v>110</v>
      </c>
      <c r="S778" s="10" t="str">
        <f aca="false">IFERROR(IF([1]对账明细接口!$N778=0,"",[1]对账明细接口!$N778),"")</f>
        <v/>
      </c>
      <c r="T778" s="112" t="str">
        <f aca="false">IFERROR(IF([1]对账明细接口!$O778=0,"",[1]对账明细接口!$O778),"")</f>
        <v/>
      </c>
      <c r="U778" s="112" t="str">
        <f aca="false">IFERROR(IF([1]对账明细接口!$P778=0,"",[1]对账明细接口!$P778),"")</f>
        <v/>
      </c>
      <c r="V778" s="112" t="str">
        <f aca="false">IFERROR(IF([1]对账明细接口!$Q778=0,"",[1]对账明细接口!$Q778),"")</f>
        <v/>
      </c>
      <c r="W778" s="10" t="str">
        <f aca="false">IFERROR(IF([1]对账明细接口!$R778=0,"",[1]对账明细接口!$R778),"")</f>
        <v/>
      </c>
      <c r="X778" s="10" t="str">
        <f aca="false">IFERROR(IF([1]对账明细接口!$S778=0,"",[1]对账明细接口!$S778),"")</f>
        <v/>
      </c>
      <c r="Y778" s="10" t="str">
        <f aca="false">""</f>
        <v/>
      </c>
      <c r="Z778" s="10" t="str">
        <f aca="false">""</f>
        <v/>
      </c>
      <c r="AA778" s="10" t="str">
        <f aca="false">""</f>
        <v/>
      </c>
      <c r="AB778" s="10" t="str">
        <f aca="false">""</f>
        <v/>
      </c>
    </row>
    <row r="779" customFormat="false" ht="13.5" hidden="false" customHeight="false" outlineLevel="0" collapsed="false">
      <c r="A779" s="109" t="n">
        <v>779</v>
      </c>
      <c r="B779" s="110" t="str">
        <f aca="false">IFERROR(IF([1]对账明细接口!$B$779=0,"",[1]对账明细接口!$B$779),"")</f>
        <v/>
      </c>
      <c r="C779" s="59" t="str">
        <f aca="false">IFERROR(IF([1]对账明细接口!$C$779=0,"",[1]对账明细接口!$C$779),"")</f>
        <v/>
      </c>
      <c r="D779" s="59" t="str">
        <f aca="false">IFERROR(IF([1]对账明细接口!$D$779=0,"",[1]对账明细接口!$D$779),"")</f>
        <v/>
      </c>
      <c r="E779" s="59" t="str">
        <f aca="false">IFERROR(IF([1]对账明细接口!$E$779=0,"",[1]对账明细接口!$E$779),"")</f>
        <v/>
      </c>
      <c r="F779" s="59" t="str">
        <f aca="false">IFERROR(IF([1]对账明细接口!$F$779=0,"",[1]对账明细接口!$F$779),"")</f>
        <v/>
      </c>
      <c r="G779" s="59" t="str">
        <f aca="false">IFERROR(IF([1]对账明细接口!$G$779=0,"",[1]对账明细接口!$G$779),"")</f>
        <v/>
      </c>
      <c r="H779" s="60" t="str">
        <f aca="false">IFERROR(IF([1]对账明细接口!$H$779=0,"",[1]对账明细接口!$H$779),"")</f>
        <v/>
      </c>
      <c r="I779" s="59" t="str">
        <f aca="false">IFERROR(IF([1]对账明细接口!$I$779=0,"",[1]对账明细接口!$I$779),"")</f>
        <v/>
      </c>
      <c r="J779" s="61" t="str">
        <f aca="false">IFERROR(IF([1]对账明细接口!$J$779=0,"",[1]对账明细接口!$J$779),"")</f>
        <v/>
      </c>
      <c r="K779" s="61" t="str">
        <f aca="false">IFERROR(IF([1]对账明细接口!$K$779=0,"",[1]对账明细接口!$K$779),"")</f>
        <v/>
      </c>
      <c r="L779" s="59" t="str">
        <f aca="false">IFERROR(IF([1]对账明细接口!$L$779=0,"",[1]对账明细接口!$L$779),"")</f>
        <v/>
      </c>
      <c r="M779" s="59" t="str">
        <f aca="false">IFERROR(IF([1]对账明细接口!$M$779=0,"",[1]对账明细接口!$M$779),"")</f>
        <v/>
      </c>
      <c r="N779" s="111" t="n">
        <f aca="false">IF($C779="",0,1)</f>
        <v>0</v>
      </c>
      <c r="O779" s="111" t="n">
        <f aca="false">N(O778)+$N779</f>
        <v>110</v>
      </c>
      <c r="S779" s="10" t="str">
        <f aca="false">IFERROR(IF([1]对账明细接口!$N779=0,"",[1]对账明细接口!$N779),"")</f>
        <v/>
      </c>
      <c r="T779" s="112" t="str">
        <f aca="false">IFERROR(IF([1]对账明细接口!$O779=0,"",[1]对账明细接口!$O779),"")</f>
        <v/>
      </c>
      <c r="U779" s="112" t="str">
        <f aca="false">IFERROR(IF([1]对账明细接口!$P779=0,"",[1]对账明细接口!$P779),"")</f>
        <v/>
      </c>
      <c r="V779" s="112" t="str">
        <f aca="false">IFERROR(IF([1]对账明细接口!$Q779=0,"",[1]对账明细接口!$Q779),"")</f>
        <v/>
      </c>
      <c r="W779" s="10" t="str">
        <f aca="false">IFERROR(IF([1]对账明细接口!$R779=0,"",[1]对账明细接口!$R779),"")</f>
        <v/>
      </c>
      <c r="X779" s="10" t="str">
        <f aca="false">IFERROR(IF([1]对账明细接口!$S779=0,"",[1]对账明细接口!$S779),"")</f>
        <v/>
      </c>
      <c r="Y779" s="10" t="str">
        <f aca="false">""</f>
        <v/>
      </c>
      <c r="Z779" s="10" t="str">
        <f aca="false">""</f>
        <v/>
      </c>
      <c r="AA779" s="10" t="str">
        <f aca="false">""</f>
        <v/>
      </c>
      <c r="AB779" s="10" t="str">
        <f aca="false">""</f>
        <v/>
      </c>
    </row>
    <row r="780" customFormat="false" ht="13.5" hidden="false" customHeight="false" outlineLevel="0" collapsed="false">
      <c r="A780" s="109" t="n">
        <v>780</v>
      </c>
      <c r="B780" s="110" t="str">
        <f aca="false">IFERROR(IF([1]对账明细接口!$B$780=0,"",[1]对账明细接口!$B$780),"")</f>
        <v/>
      </c>
      <c r="C780" s="59" t="str">
        <f aca="false">IFERROR(IF([1]对账明细接口!$C$780=0,"",[1]对账明细接口!$C$780),"")</f>
        <v/>
      </c>
      <c r="D780" s="59" t="str">
        <f aca="false">IFERROR(IF([1]对账明细接口!$D$780=0,"",[1]对账明细接口!$D$780),"")</f>
        <v/>
      </c>
      <c r="E780" s="59" t="str">
        <f aca="false">IFERROR(IF([1]对账明细接口!$E$780=0,"",[1]对账明细接口!$E$780),"")</f>
        <v/>
      </c>
      <c r="F780" s="59" t="str">
        <f aca="false">IFERROR(IF([1]对账明细接口!$F$780=0,"",[1]对账明细接口!$F$780),"")</f>
        <v/>
      </c>
      <c r="G780" s="59" t="str">
        <f aca="false">IFERROR(IF([1]对账明细接口!$G$780=0,"",[1]对账明细接口!$G$780),"")</f>
        <v/>
      </c>
      <c r="H780" s="60" t="str">
        <f aca="false">IFERROR(IF([1]对账明细接口!$H$780=0,"",[1]对账明细接口!$H$780),"")</f>
        <v/>
      </c>
      <c r="I780" s="59" t="str">
        <f aca="false">IFERROR(IF([1]对账明细接口!$I$780=0,"",[1]对账明细接口!$I$780),"")</f>
        <v/>
      </c>
      <c r="J780" s="61" t="str">
        <f aca="false">IFERROR(IF([1]对账明细接口!$J$780=0,"",[1]对账明细接口!$J$780),"")</f>
        <v/>
      </c>
      <c r="K780" s="61" t="str">
        <f aca="false">IFERROR(IF([1]对账明细接口!$K$780=0,"",[1]对账明细接口!$K$780),"")</f>
        <v/>
      </c>
      <c r="L780" s="59" t="str">
        <f aca="false">IFERROR(IF([1]对账明细接口!$L$780=0,"",[1]对账明细接口!$L$780),"")</f>
        <v/>
      </c>
      <c r="M780" s="59" t="str">
        <f aca="false">IFERROR(IF([1]对账明细接口!$M$780=0,"",[1]对账明细接口!$M$780),"")</f>
        <v/>
      </c>
      <c r="N780" s="111" t="n">
        <f aca="false">IF($C780="",0,1)</f>
        <v>0</v>
      </c>
      <c r="O780" s="111" t="n">
        <f aca="false">N(O779)+$N780</f>
        <v>110</v>
      </c>
      <c r="S780" s="10" t="str">
        <f aca="false">IFERROR(IF([1]对账明细接口!$N780=0,"",[1]对账明细接口!$N780),"")</f>
        <v/>
      </c>
      <c r="T780" s="112" t="str">
        <f aca="false">IFERROR(IF([1]对账明细接口!$O780=0,"",[1]对账明细接口!$O780),"")</f>
        <v/>
      </c>
      <c r="U780" s="112" t="str">
        <f aca="false">IFERROR(IF([1]对账明细接口!$P780=0,"",[1]对账明细接口!$P780),"")</f>
        <v/>
      </c>
      <c r="V780" s="112" t="str">
        <f aca="false">IFERROR(IF([1]对账明细接口!$Q780=0,"",[1]对账明细接口!$Q780),"")</f>
        <v/>
      </c>
      <c r="W780" s="10" t="str">
        <f aca="false">IFERROR(IF([1]对账明细接口!$R780=0,"",[1]对账明细接口!$R780),"")</f>
        <v/>
      </c>
      <c r="X780" s="10" t="str">
        <f aca="false">IFERROR(IF([1]对账明细接口!$S780=0,"",[1]对账明细接口!$S780),"")</f>
        <v/>
      </c>
      <c r="Y780" s="10" t="str">
        <f aca="false">""</f>
        <v/>
      </c>
      <c r="Z780" s="10" t="str">
        <f aca="false">""</f>
        <v/>
      </c>
      <c r="AA780" s="10" t="str">
        <f aca="false">""</f>
        <v/>
      </c>
      <c r="AB780" s="10" t="str">
        <f aca="false">""</f>
        <v/>
      </c>
    </row>
    <row r="781" customFormat="false" ht="13.5" hidden="false" customHeight="false" outlineLevel="0" collapsed="false">
      <c r="A781" s="109" t="n">
        <v>781</v>
      </c>
      <c r="B781" s="110" t="str">
        <f aca="false">IFERROR(IF([1]对账明细接口!$B$781=0,"",[1]对账明细接口!$B$781),"")</f>
        <v/>
      </c>
      <c r="C781" s="59" t="str">
        <f aca="false">IFERROR(IF([1]对账明细接口!$C$781=0,"",[1]对账明细接口!$C$781),"")</f>
        <v/>
      </c>
      <c r="D781" s="59" t="str">
        <f aca="false">IFERROR(IF([1]对账明细接口!$D$781=0,"",[1]对账明细接口!$D$781),"")</f>
        <v/>
      </c>
      <c r="E781" s="59" t="str">
        <f aca="false">IFERROR(IF([1]对账明细接口!$E$781=0,"",[1]对账明细接口!$E$781),"")</f>
        <v/>
      </c>
      <c r="F781" s="59" t="str">
        <f aca="false">IFERROR(IF([1]对账明细接口!$F$781=0,"",[1]对账明细接口!$F$781),"")</f>
        <v/>
      </c>
      <c r="G781" s="59" t="str">
        <f aca="false">IFERROR(IF([1]对账明细接口!$G$781=0,"",[1]对账明细接口!$G$781),"")</f>
        <v/>
      </c>
      <c r="H781" s="60" t="str">
        <f aca="false">IFERROR(IF([1]对账明细接口!$H$781=0,"",[1]对账明细接口!$H$781),"")</f>
        <v/>
      </c>
      <c r="I781" s="59" t="str">
        <f aca="false">IFERROR(IF([1]对账明细接口!$I$781=0,"",[1]对账明细接口!$I$781),"")</f>
        <v/>
      </c>
      <c r="J781" s="61" t="str">
        <f aca="false">IFERROR(IF([1]对账明细接口!$J$781=0,"",[1]对账明细接口!$J$781),"")</f>
        <v/>
      </c>
      <c r="K781" s="61" t="str">
        <f aca="false">IFERROR(IF([1]对账明细接口!$K$781=0,"",[1]对账明细接口!$K$781),"")</f>
        <v/>
      </c>
      <c r="L781" s="59" t="str">
        <f aca="false">IFERROR(IF([1]对账明细接口!$L$781=0,"",[1]对账明细接口!$L$781),"")</f>
        <v/>
      </c>
      <c r="M781" s="59" t="str">
        <f aca="false">IFERROR(IF([1]对账明细接口!$M$781=0,"",[1]对账明细接口!$M$781),"")</f>
        <v/>
      </c>
      <c r="N781" s="111" t="n">
        <f aca="false">IF($C781="",0,1)</f>
        <v>0</v>
      </c>
      <c r="O781" s="111" t="n">
        <f aca="false">N(O780)+$N781</f>
        <v>110</v>
      </c>
      <c r="S781" s="10" t="str">
        <f aca="false">IFERROR(IF([1]对账明细接口!$N781=0,"",[1]对账明细接口!$N781),"")</f>
        <v/>
      </c>
      <c r="T781" s="112" t="str">
        <f aca="false">IFERROR(IF([1]对账明细接口!$O781=0,"",[1]对账明细接口!$O781),"")</f>
        <v/>
      </c>
      <c r="U781" s="112" t="str">
        <f aca="false">IFERROR(IF([1]对账明细接口!$P781=0,"",[1]对账明细接口!$P781),"")</f>
        <v/>
      </c>
      <c r="V781" s="112" t="str">
        <f aca="false">IFERROR(IF([1]对账明细接口!$Q781=0,"",[1]对账明细接口!$Q781),"")</f>
        <v/>
      </c>
      <c r="W781" s="10" t="str">
        <f aca="false">IFERROR(IF([1]对账明细接口!$R781=0,"",[1]对账明细接口!$R781),"")</f>
        <v/>
      </c>
      <c r="X781" s="10" t="str">
        <f aca="false">IFERROR(IF([1]对账明细接口!$S781=0,"",[1]对账明细接口!$S781),"")</f>
        <v/>
      </c>
      <c r="Y781" s="10" t="str">
        <f aca="false">""</f>
        <v/>
      </c>
      <c r="Z781" s="10" t="str">
        <f aca="false">""</f>
        <v/>
      </c>
      <c r="AA781" s="10" t="str">
        <f aca="false">""</f>
        <v/>
      </c>
      <c r="AB781" s="10" t="str">
        <f aca="false">""</f>
        <v/>
      </c>
    </row>
    <row r="782" customFormat="false" ht="13.5" hidden="false" customHeight="false" outlineLevel="0" collapsed="false">
      <c r="A782" s="109" t="n">
        <v>782</v>
      </c>
      <c r="B782" s="110" t="str">
        <f aca="false">IFERROR(IF([1]对账明细接口!$B$782=0,"",[1]对账明细接口!$B$782),"")</f>
        <v/>
      </c>
      <c r="C782" s="59" t="str">
        <f aca="false">IFERROR(IF([1]对账明细接口!$C$782=0,"",[1]对账明细接口!$C$782),"")</f>
        <v/>
      </c>
      <c r="D782" s="59" t="str">
        <f aca="false">IFERROR(IF([1]对账明细接口!$D$782=0,"",[1]对账明细接口!$D$782),"")</f>
        <v/>
      </c>
      <c r="E782" s="59" t="str">
        <f aca="false">IFERROR(IF([1]对账明细接口!$E$782=0,"",[1]对账明细接口!$E$782),"")</f>
        <v/>
      </c>
      <c r="F782" s="59" t="str">
        <f aca="false">IFERROR(IF([1]对账明细接口!$F$782=0,"",[1]对账明细接口!$F$782),"")</f>
        <v/>
      </c>
      <c r="G782" s="59" t="str">
        <f aca="false">IFERROR(IF([1]对账明细接口!$G$782=0,"",[1]对账明细接口!$G$782),"")</f>
        <v/>
      </c>
      <c r="H782" s="60" t="str">
        <f aca="false">IFERROR(IF([1]对账明细接口!$H$782=0,"",[1]对账明细接口!$H$782),"")</f>
        <v/>
      </c>
      <c r="I782" s="59" t="str">
        <f aca="false">IFERROR(IF([1]对账明细接口!$I$782=0,"",[1]对账明细接口!$I$782),"")</f>
        <v/>
      </c>
      <c r="J782" s="61" t="str">
        <f aca="false">IFERROR(IF([1]对账明细接口!$J$782=0,"",[1]对账明细接口!$J$782),"")</f>
        <v/>
      </c>
      <c r="K782" s="61" t="str">
        <f aca="false">IFERROR(IF([1]对账明细接口!$K$782=0,"",[1]对账明细接口!$K$782),"")</f>
        <v/>
      </c>
      <c r="L782" s="59" t="str">
        <f aca="false">IFERROR(IF([1]对账明细接口!$L$782=0,"",[1]对账明细接口!$L$782),"")</f>
        <v/>
      </c>
      <c r="M782" s="59" t="str">
        <f aca="false">IFERROR(IF([1]对账明细接口!$M$782=0,"",[1]对账明细接口!$M$782),"")</f>
        <v/>
      </c>
      <c r="N782" s="111" t="n">
        <f aca="false">IF($C782="",0,1)</f>
        <v>0</v>
      </c>
      <c r="O782" s="111" t="n">
        <f aca="false">N(O781)+$N782</f>
        <v>110</v>
      </c>
      <c r="S782" s="10" t="str">
        <f aca="false">IFERROR(IF([1]对账明细接口!$N782=0,"",[1]对账明细接口!$N782),"")</f>
        <v/>
      </c>
      <c r="T782" s="112" t="str">
        <f aca="false">IFERROR(IF([1]对账明细接口!$O782=0,"",[1]对账明细接口!$O782),"")</f>
        <v/>
      </c>
      <c r="U782" s="112" t="str">
        <f aca="false">IFERROR(IF([1]对账明细接口!$P782=0,"",[1]对账明细接口!$P782),"")</f>
        <v/>
      </c>
      <c r="V782" s="112" t="str">
        <f aca="false">IFERROR(IF([1]对账明细接口!$Q782=0,"",[1]对账明细接口!$Q782),"")</f>
        <v/>
      </c>
      <c r="W782" s="10" t="str">
        <f aca="false">IFERROR(IF([1]对账明细接口!$R782=0,"",[1]对账明细接口!$R782),"")</f>
        <v/>
      </c>
      <c r="X782" s="10" t="str">
        <f aca="false">IFERROR(IF([1]对账明细接口!$S782=0,"",[1]对账明细接口!$S782),"")</f>
        <v/>
      </c>
      <c r="Y782" s="10" t="str">
        <f aca="false">""</f>
        <v/>
      </c>
      <c r="Z782" s="10" t="str">
        <f aca="false">""</f>
        <v/>
      </c>
      <c r="AA782" s="10" t="str">
        <f aca="false">""</f>
        <v/>
      </c>
      <c r="AB782" s="10" t="str">
        <f aca="false">""</f>
        <v/>
      </c>
    </row>
    <row r="783" customFormat="false" ht="13.5" hidden="false" customHeight="false" outlineLevel="0" collapsed="false">
      <c r="A783" s="109" t="n">
        <v>783</v>
      </c>
      <c r="B783" s="110" t="str">
        <f aca="false">IFERROR(IF([1]对账明细接口!$B$783=0,"",[1]对账明细接口!$B$783),"")</f>
        <v/>
      </c>
      <c r="C783" s="59" t="str">
        <f aca="false">IFERROR(IF([1]对账明细接口!$C$783=0,"",[1]对账明细接口!$C$783),"")</f>
        <v/>
      </c>
      <c r="D783" s="59" t="str">
        <f aca="false">IFERROR(IF([1]对账明细接口!$D$783=0,"",[1]对账明细接口!$D$783),"")</f>
        <v/>
      </c>
      <c r="E783" s="59" t="str">
        <f aca="false">IFERROR(IF([1]对账明细接口!$E$783=0,"",[1]对账明细接口!$E$783),"")</f>
        <v/>
      </c>
      <c r="F783" s="59" t="str">
        <f aca="false">IFERROR(IF([1]对账明细接口!$F$783=0,"",[1]对账明细接口!$F$783),"")</f>
        <v/>
      </c>
      <c r="G783" s="59" t="str">
        <f aca="false">IFERROR(IF([1]对账明细接口!$G$783=0,"",[1]对账明细接口!$G$783),"")</f>
        <v/>
      </c>
      <c r="H783" s="60" t="str">
        <f aca="false">IFERROR(IF([1]对账明细接口!$H$783=0,"",[1]对账明细接口!$H$783),"")</f>
        <v/>
      </c>
      <c r="I783" s="59" t="str">
        <f aca="false">IFERROR(IF([1]对账明细接口!$I$783=0,"",[1]对账明细接口!$I$783),"")</f>
        <v/>
      </c>
      <c r="J783" s="61" t="str">
        <f aca="false">IFERROR(IF([1]对账明细接口!$J$783=0,"",[1]对账明细接口!$J$783),"")</f>
        <v/>
      </c>
      <c r="K783" s="61" t="str">
        <f aca="false">IFERROR(IF([1]对账明细接口!$K$783=0,"",[1]对账明细接口!$K$783),"")</f>
        <v/>
      </c>
      <c r="L783" s="59" t="str">
        <f aca="false">IFERROR(IF([1]对账明细接口!$L$783=0,"",[1]对账明细接口!$L$783),"")</f>
        <v/>
      </c>
      <c r="M783" s="59" t="str">
        <f aca="false">IFERROR(IF([1]对账明细接口!$M$783=0,"",[1]对账明细接口!$M$783),"")</f>
        <v/>
      </c>
      <c r="N783" s="111" t="n">
        <f aca="false">IF($C783="",0,1)</f>
        <v>0</v>
      </c>
      <c r="O783" s="111" t="n">
        <f aca="false">N(O782)+$N783</f>
        <v>110</v>
      </c>
      <c r="S783" s="10" t="str">
        <f aca="false">IFERROR(IF([1]对账明细接口!$N783=0,"",[1]对账明细接口!$N783),"")</f>
        <v/>
      </c>
      <c r="T783" s="112" t="str">
        <f aca="false">IFERROR(IF([1]对账明细接口!$O783=0,"",[1]对账明细接口!$O783),"")</f>
        <v/>
      </c>
      <c r="U783" s="112" t="str">
        <f aca="false">IFERROR(IF([1]对账明细接口!$P783=0,"",[1]对账明细接口!$P783),"")</f>
        <v/>
      </c>
      <c r="V783" s="112" t="str">
        <f aca="false">IFERROR(IF([1]对账明细接口!$Q783=0,"",[1]对账明细接口!$Q783),"")</f>
        <v/>
      </c>
      <c r="W783" s="10" t="str">
        <f aca="false">IFERROR(IF([1]对账明细接口!$R783=0,"",[1]对账明细接口!$R783),"")</f>
        <v/>
      </c>
      <c r="X783" s="10" t="str">
        <f aca="false">IFERROR(IF([1]对账明细接口!$S783=0,"",[1]对账明细接口!$S783),"")</f>
        <v/>
      </c>
      <c r="Y783" s="10" t="str">
        <f aca="false">""</f>
        <v/>
      </c>
      <c r="Z783" s="10" t="str">
        <f aca="false">""</f>
        <v/>
      </c>
      <c r="AA783" s="10" t="str">
        <f aca="false">""</f>
        <v/>
      </c>
      <c r="AB783" s="10" t="str">
        <f aca="false">""</f>
        <v/>
      </c>
    </row>
    <row r="784" customFormat="false" ht="13.5" hidden="false" customHeight="false" outlineLevel="0" collapsed="false">
      <c r="A784" s="109" t="n">
        <v>784</v>
      </c>
      <c r="B784" s="110" t="str">
        <f aca="false">IFERROR(IF([1]对账明细接口!$B$784=0,"",[1]对账明细接口!$B$784),"")</f>
        <v/>
      </c>
      <c r="C784" s="59" t="str">
        <f aca="false">IFERROR(IF([1]对账明细接口!$C$784=0,"",[1]对账明细接口!$C$784),"")</f>
        <v/>
      </c>
      <c r="D784" s="59" t="str">
        <f aca="false">IFERROR(IF([1]对账明细接口!$D$784=0,"",[1]对账明细接口!$D$784),"")</f>
        <v/>
      </c>
      <c r="E784" s="59" t="str">
        <f aca="false">IFERROR(IF([1]对账明细接口!$E$784=0,"",[1]对账明细接口!$E$784),"")</f>
        <v/>
      </c>
      <c r="F784" s="59" t="str">
        <f aca="false">IFERROR(IF([1]对账明细接口!$F$784=0,"",[1]对账明细接口!$F$784),"")</f>
        <v/>
      </c>
      <c r="G784" s="59" t="str">
        <f aca="false">IFERROR(IF([1]对账明细接口!$G$784=0,"",[1]对账明细接口!$G$784),"")</f>
        <v/>
      </c>
      <c r="H784" s="60" t="str">
        <f aca="false">IFERROR(IF([1]对账明细接口!$H$784=0,"",[1]对账明细接口!$H$784),"")</f>
        <v/>
      </c>
      <c r="I784" s="59" t="str">
        <f aca="false">IFERROR(IF([1]对账明细接口!$I$784=0,"",[1]对账明细接口!$I$784),"")</f>
        <v/>
      </c>
      <c r="J784" s="61" t="str">
        <f aca="false">IFERROR(IF([1]对账明细接口!$J$784=0,"",[1]对账明细接口!$J$784),"")</f>
        <v/>
      </c>
      <c r="K784" s="61" t="str">
        <f aca="false">IFERROR(IF([1]对账明细接口!$K$784=0,"",[1]对账明细接口!$K$784),"")</f>
        <v/>
      </c>
      <c r="L784" s="59" t="str">
        <f aca="false">IFERROR(IF([1]对账明细接口!$L$784=0,"",[1]对账明细接口!$L$784),"")</f>
        <v/>
      </c>
      <c r="M784" s="59" t="str">
        <f aca="false">IFERROR(IF([1]对账明细接口!$M$784=0,"",[1]对账明细接口!$M$784),"")</f>
        <v/>
      </c>
      <c r="N784" s="111" t="n">
        <f aca="false">IF($C784="",0,1)</f>
        <v>0</v>
      </c>
      <c r="O784" s="111" t="n">
        <f aca="false">N(O783)+$N784</f>
        <v>110</v>
      </c>
      <c r="S784" s="10" t="str">
        <f aca="false">IFERROR(IF([1]对账明细接口!$N784=0,"",[1]对账明细接口!$N784),"")</f>
        <v/>
      </c>
      <c r="T784" s="112" t="str">
        <f aca="false">IFERROR(IF([1]对账明细接口!$O784=0,"",[1]对账明细接口!$O784),"")</f>
        <v/>
      </c>
      <c r="U784" s="112" t="str">
        <f aca="false">IFERROR(IF([1]对账明细接口!$P784=0,"",[1]对账明细接口!$P784),"")</f>
        <v/>
      </c>
      <c r="V784" s="112" t="str">
        <f aca="false">IFERROR(IF([1]对账明细接口!$Q784=0,"",[1]对账明细接口!$Q784),"")</f>
        <v/>
      </c>
      <c r="W784" s="10" t="str">
        <f aca="false">IFERROR(IF([1]对账明细接口!$R784=0,"",[1]对账明细接口!$R784),"")</f>
        <v/>
      </c>
      <c r="X784" s="10" t="str">
        <f aca="false">IFERROR(IF([1]对账明细接口!$S784=0,"",[1]对账明细接口!$S784),"")</f>
        <v/>
      </c>
      <c r="Y784" s="10" t="str">
        <f aca="false">""</f>
        <v/>
      </c>
      <c r="Z784" s="10" t="str">
        <f aca="false">""</f>
        <v/>
      </c>
      <c r="AA784" s="10" t="str">
        <f aca="false">""</f>
        <v/>
      </c>
      <c r="AB784" s="10" t="str">
        <f aca="false">""</f>
        <v/>
      </c>
    </row>
    <row r="785" customFormat="false" ht="13.5" hidden="false" customHeight="false" outlineLevel="0" collapsed="false">
      <c r="A785" s="109" t="n">
        <v>785</v>
      </c>
      <c r="B785" s="110" t="str">
        <f aca="false">IFERROR(IF([1]对账明细接口!$B$785=0,"",[1]对账明细接口!$B$785),"")</f>
        <v/>
      </c>
      <c r="C785" s="59" t="str">
        <f aca="false">IFERROR(IF([1]对账明细接口!$C$785=0,"",[1]对账明细接口!$C$785),"")</f>
        <v/>
      </c>
      <c r="D785" s="59" t="str">
        <f aca="false">IFERROR(IF([1]对账明细接口!$D$785=0,"",[1]对账明细接口!$D$785),"")</f>
        <v/>
      </c>
      <c r="E785" s="59" t="str">
        <f aca="false">IFERROR(IF([1]对账明细接口!$E$785=0,"",[1]对账明细接口!$E$785),"")</f>
        <v/>
      </c>
      <c r="F785" s="59" t="str">
        <f aca="false">IFERROR(IF([1]对账明细接口!$F$785=0,"",[1]对账明细接口!$F$785),"")</f>
        <v/>
      </c>
      <c r="G785" s="59" t="str">
        <f aca="false">IFERROR(IF([1]对账明细接口!$G$785=0,"",[1]对账明细接口!$G$785),"")</f>
        <v/>
      </c>
      <c r="H785" s="60" t="str">
        <f aca="false">IFERROR(IF([1]对账明细接口!$H$785=0,"",[1]对账明细接口!$H$785),"")</f>
        <v/>
      </c>
      <c r="I785" s="59" t="str">
        <f aca="false">IFERROR(IF([1]对账明细接口!$I$785=0,"",[1]对账明细接口!$I$785),"")</f>
        <v/>
      </c>
      <c r="J785" s="61" t="str">
        <f aca="false">IFERROR(IF([1]对账明细接口!$J$785=0,"",[1]对账明细接口!$J$785),"")</f>
        <v/>
      </c>
      <c r="K785" s="61" t="str">
        <f aca="false">IFERROR(IF([1]对账明细接口!$K$785=0,"",[1]对账明细接口!$K$785),"")</f>
        <v/>
      </c>
      <c r="L785" s="59" t="str">
        <f aca="false">IFERROR(IF([1]对账明细接口!$L$785=0,"",[1]对账明细接口!$L$785),"")</f>
        <v/>
      </c>
      <c r="M785" s="59" t="str">
        <f aca="false">IFERROR(IF([1]对账明细接口!$M$785=0,"",[1]对账明细接口!$M$785),"")</f>
        <v/>
      </c>
      <c r="N785" s="111" t="n">
        <f aca="false">IF($C785="",0,1)</f>
        <v>0</v>
      </c>
      <c r="O785" s="111" t="n">
        <f aca="false">N(O784)+$N785</f>
        <v>110</v>
      </c>
      <c r="S785" s="10" t="str">
        <f aca="false">IFERROR(IF([1]对账明细接口!$N785=0,"",[1]对账明细接口!$N785),"")</f>
        <v/>
      </c>
      <c r="T785" s="112" t="str">
        <f aca="false">IFERROR(IF([1]对账明细接口!$O785=0,"",[1]对账明细接口!$O785),"")</f>
        <v/>
      </c>
      <c r="U785" s="112" t="str">
        <f aca="false">IFERROR(IF([1]对账明细接口!$P785=0,"",[1]对账明细接口!$P785),"")</f>
        <v/>
      </c>
      <c r="V785" s="112" t="str">
        <f aca="false">IFERROR(IF([1]对账明细接口!$Q785=0,"",[1]对账明细接口!$Q785),"")</f>
        <v/>
      </c>
      <c r="W785" s="10" t="str">
        <f aca="false">IFERROR(IF([1]对账明细接口!$R785=0,"",[1]对账明细接口!$R785),"")</f>
        <v/>
      </c>
      <c r="X785" s="10" t="str">
        <f aca="false">IFERROR(IF([1]对账明细接口!$S785=0,"",[1]对账明细接口!$S785),"")</f>
        <v/>
      </c>
      <c r="Y785" s="10" t="str">
        <f aca="false">""</f>
        <v/>
      </c>
      <c r="Z785" s="10" t="str">
        <f aca="false">""</f>
        <v/>
      </c>
      <c r="AA785" s="10" t="str">
        <f aca="false">""</f>
        <v/>
      </c>
      <c r="AB785" s="10" t="str">
        <f aca="false">""</f>
        <v/>
      </c>
    </row>
    <row r="786" customFormat="false" ht="13.5" hidden="false" customHeight="false" outlineLevel="0" collapsed="false">
      <c r="A786" s="109" t="n">
        <v>786</v>
      </c>
      <c r="B786" s="110" t="str">
        <f aca="false">IFERROR(IF([1]对账明细接口!$B$786=0,"",[1]对账明细接口!$B$786),"")</f>
        <v/>
      </c>
      <c r="C786" s="59" t="str">
        <f aca="false">IFERROR(IF([1]对账明细接口!$C$786=0,"",[1]对账明细接口!$C$786),"")</f>
        <v/>
      </c>
      <c r="D786" s="59" t="str">
        <f aca="false">IFERROR(IF([1]对账明细接口!$D$786=0,"",[1]对账明细接口!$D$786),"")</f>
        <v/>
      </c>
      <c r="E786" s="59" t="str">
        <f aca="false">IFERROR(IF([1]对账明细接口!$E$786=0,"",[1]对账明细接口!$E$786),"")</f>
        <v/>
      </c>
      <c r="F786" s="59" t="str">
        <f aca="false">IFERROR(IF([1]对账明细接口!$F$786=0,"",[1]对账明细接口!$F$786),"")</f>
        <v/>
      </c>
      <c r="G786" s="59" t="str">
        <f aca="false">IFERROR(IF([1]对账明细接口!$G$786=0,"",[1]对账明细接口!$G$786),"")</f>
        <v/>
      </c>
      <c r="H786" s="60" t="str">
        <f aca="false">IFERROR(IF([1]对账明细接口!$H$786=0,"",[1]对账明细接口!$H$786),"")</f>
        <v/>
      </c>
      <c r="I786" s="59" t="str">
        <f aca="false">IFERROR(IF([1]对账明细接口!$I$786=0,"",[1]对账明细接口!$I$786),"")</f>
        <v/>
      </c>
      <c r="J786" s="61" t="str">
        <f aca="false">IFERROR(IF([1]对账明细接口!$J$786=0,"",[1]对账明细接口!$J$786),"")</f>
        <v/>
      </c>
      <c r="K786" s="61" t="str">
        <f aca="false">IFERROR(IF([1]对账明细接口!$K$786=0,"",[1]对账明细接口!$K$786),"")</f>
        <v/>
      </c>
      <c r="L786" s="59" t="str">
        <f aca="false">IFERROR(IF([1]对账明细接口!$L$786=0,"",[1]对账明细接口!$L$786),"")</f>
        <v/>
      </c>
      <c r="M786" s="59" t="str">
        <f aca="false">IFERROR(IF([1]对账明细接口!$M$786=0,"",[1]对账明细接口!$M$786),"")</f>
        <v/>
      </c>
      <c r="N786" s="111" t="n">
        <f aca="false">IF($C786="",0,1)</f>
        <v>0</v>
      </c>
      <c r="O786" s="111" t="n">
        <f aca="false">N(O785)+$N786</f>
        <v>110</v>
      </c>
      <c r="S786" s="10" t="str">
        <f aca="false">IFERROR(IF([1]对账明细接口!$N786=0,"",[1]对账明细接口!$N786),"")</f>
        <v/>
      </c>
      <c r="T786" s="112" t="str">
        <f aca="false">IFERROR(IF([1]对账明细接口!$O786=0,"",[1]对账明细接口!$O786),"")</f>
        <v/>
      </c>
      <c r="U786" s="112" t="str">
        <f aca="false">IFERROR(IF([1]对账明细接口!$P786=0,"",[1]对账明细接口!$P786),"")</f>
        <v/>
      </c>
      <c r="V786" s="112" t="str">
        <f aca="false">IFERROR(IF([1]对账明细接口!$Q786=0,"",[1]对账明细接口!$Q786),"")</f>
        <v/>
      </c>
      <c r="W786" s="10" t="str">
        <f aca="false">IFERROR(IF([1]对账明细接口!$R786=0,"",[1]对账明细接口!$R786),"")</f>
        <v/>
      </c>
      <c r="X786" s="10" t="str">
        <f aca="false">IFERROR(IF([1]对账明细接口!$S786=0,"",[1]对账明细接口!$S786),"")</f>
        <v/>
      </c>
      <c r="Y786" s="10" t="str">
        <f aca="false">""</f>
        <v/>
      </c>
      <c r="Z786" s="10" t="str">
        <f aca="false">""</f>
        <v/>
      </c>
      <c r="AA786" s="10" t="str">
        <f aca="false">""</f>
        <v/>
      </c>
      <c r="AB786" s="10" t="str">
        <f aca="false">""</f>
        <v/>
      </c>
    </row>
    <row r="787" customFormat="false" ht="13.5" hidden="false" customHeight="false" outlineLevel="0" collapsed="false">
      <c r="A787" s="109" t="n">
        <v>787</v>
      </c>
      <c r="B787" s="110" t="str">
        <f aca="false">IFERROR(IF([1]对账明细接口!$B$787=0,"",[1]对账明细接口!$B$787),"")</f>
        <v/>
      </c>
      <c r="C787" s="59" t="str">
        <f aca="false">IFERROR(IF([1]对账明细接口!$C$787=0,"",[1]对账明细接口!$C$787),"")</f>
        <v/>
      </c>
      <c r="D787" s="59" t="str">
        <f aca="false">IFERROR(IF([1]对账明细接口!$D$787=0,"",[1]对账明细接口!$D$787),"")</f>
        <v/>
      </c>
      <c r="E787" s="59" t="str">
        <f aca="false">IFERROR(IF([1]对账明细接口!$E$787=0,"",[1]对账明细接口!$E$787),"")</f>
        <v/>
      </c>
      <c r="F787" s="59" t="str">
        <f aca="false">IFERROR(IF([1]对账明细接口!$F$787=0,"",[1]对账明细接口!$F$787),"")</f>
        <v/>
      </c>
      <c r="G787" s="59" t="str">
        <f aca="false">IFERROR(IF([1]对账明细接口!$G$787=0,"",[1]对账明细接口!$G$787),"")</f>
        <v/>
      </c>
      <c r="H787" s="60" t="str">
        <f aca="false">IFERROR(IF([1]对账明细接口!$H$787=0,"",[1]对账明细接口!$H$787),"")</f>
        <v/>
      </c>
      <c r="I787" s="59" t="str">
        <f aca="false">IFERROR(IF([1]对账明细接口!$I$787=0,"",[1]对账明细接口!$I$787),"")</f>
        <v/>
      </c>
      <c r="J787" s="61" t="str">
        <f aca="false">IFERROR(IF([1]对账明细接口!$J$787=0,"",[1]对账明细接口!$J$787),"")</f>
        <v/>
      </c>
      <c r="K787" s="61" t="str">
        <f aca="false">IFERROR(IF([1]对账明细接口!$K$787=0,"",[1]对账明细接口!$K$787),"")</f>
        <v/>
      </c>
      <c r="L787" s="59" t="str">
        <f aca="false">IFERROR(IF([1]对账明细接口!$L$787=0,"",[1]对账明细接口!$L$787),"")</f>
        <v/>
      </c>
      <c r="M787" s="59" t="str">
        <f aca="false">IFERROR(IF([1]对账明细接口!$M$787=0,"",[1]对账明细接口!$M$787),"")</f>
        <v/>
      </c>
      <c r="N787" s="111" t="n">
        <f aca="false">IF($C787="",0,1)</f>
        <v>0</v>
      </c>
      <c r="O787" s="111" t="n">
        <f aca="false">N(O786)+$N787</f>
        <v>110</v>
      </c>
      <c r="S787" s="10" t="str">
        <f aca="false">IFERROR(IF([1]对账明细接口!$N787=0,"",[1]对账明细接口!$N787),"")</f>
        <v/>
      </c>
      <c r="T787" s="112" t="str">
        <f aca="false">IFERROR(IF([1]对账明细接口!$O787=0,"",[1]对账明细接口!$O787),"")</f>
        <v/>
      </c>
      <c r="U787" s="112" t="str">
        <f aca="false">IFERROR(IF([1]对账明细接口!$P787=0,"",[1]对账明细接口!$P787),"")</f>
        <v/>
      </c>
      <c r="V787" s="112" t="str">
        <f aca="false">IFERROR(IF([1]对账明细接口!$Q787=0,"",[1]对账明细接口!$Q787),"")</f>
        <v/>
      </c>
      <c r="W787" s="10" t="str">
        <f aca="false">IFERROR(IF([1]对账明细接口!$R787=0,"",[1]对账明细接口!$R787),"")</f>
        <v/>
      </c>
      <c r="X787" s="10" t="str">
        <f aca="false">IFERROR(IF([1]对账明细接口!$S787=0,"",[1]对账明细接口!$S787),"")</f>
        <v/>
      </c>
      <c r="Y787" s="10" t="str">
        <f aca="false">""</f>
        <v/>
      </c>
      <c r="Z787" s="10" t="str">
        <f aca="false">""</f>
        <v/>
      </c>
      <c r="AA787" s="10" t="str">
        <f aca="false">""</f>
        <v/>
      </c>
      <c r="AB787" s="10" t="str">
        <f aca="false">""</f>
        <v/>
      </c>
    </row>
    <row r="788" customFormat="false" ht="13.5" hidden="false" customHeight="false" outlineLevel="0" collapsed="false">
      <c r="A788" s="109" t="n">
        <v>788</v>
      </c>
      <c r="B788" s="110" t="str">
        <f aca="false">IFERROR(IF([1]对账明细接口!$B$788=0,"",[1]对账明细接口!$B$788),"")</f>
        <v/>
      </c>
      <c r="C788" s="59" t="str">
        <f aca="false">IFERROR(IF([1]对账明细接口!$C$788=0,"",[1]对账明细接口!$C$788),"")</f>
        <v/>
      </c>
      <c r="D788" s="59" t="str">
        <f aca="false">IFERROR(IF([1]对账明细接口!$D$788=0,"",[1]对账明细接口!$D$788),"")</f>
        <v/>
      </c>
      <c r="E788" s="59" t="str">
        <f aca="false">IFERROR(IF([1]对账明细接口!$E$788=0,"",[1]对账明细接口!$E$788),"")</f>
        <v/>
      </c>
      <c r="F788" s="59" t="str">
        <f aca="false">IFERROR(IF([1]对账明细接口!$F$788=0,"",[1]对账明细接口!$F$788),"")</f>
        <v/>
      </c>
      <c r="G788" s="59" t="str">
        <f aca="false">IFERROR(IF([1]对账明细接口!$G$788=0,"",[1]对账明细接口!$G$788),"")</f>
        <v/>
      </c>
      <c r="H788" s="60" t="str">
        <f aca="false">IFERROR(IF([1]对账明细接口!$H$788=0,"",[1]对账明细接口!$H$788),"")</f>
        <v/>
      </c>
      <c r="I788" s="59" t="str">
        <f aca="false">IFERROR(IF([1]对账明细接口!$I$788=0,"",[1]对账明细接口!$I$788),"")</f>
        <v/>
      </c>
      <c r="J788" s="61" t="str">
        <f aca="false">IFERROR(IF([1]对账明细接口!$J$788=0,"",[1]对账明细接口!$J$788),"")</f>
        <v/>
      </c>
      <c r="K788" s="61" t="str">
        <f aca="false">IFERROR(IF([1]对账明细接口!$K$788=0,"",[1]对账明细接口!$K$788),"")</f>
        <v/>
      </c>
      <c r="L788" s="59" t="str">
        <f aca="false">IFERROR(IF([1]对账明细接口!$L$788=0,"",[1]对账明细接口!$L$788),"")</f>
        <v/>
      </c>
      <c r="M788" s="59" t="str">
        <f aca="false">IFERROR(IF([1]对账明细接口!$M$788=0,"",[1]对账明细接口!$M$788),"")</f>
        <v/>
      </c>
      <c r="N788" s="111" t="n">
        <f aca="false">IF($C788="",0,1)</f>
        <v>0</v>
      </c>
      <c r="O788" s="111" t="n">
        <f aca="false">N(O787)+$N788</f>
        <v>110</v>
      </c>
      <c r="S788" s="10" t="str">
        <f aca="false">IFERROR(IF([1]对账明细接口!$N788=0,"",[1]对账明细接口!$N788),"")</f>
        <v/>
      </c>
      <c r="T788" s="112" t="str">
        <f aca="false">IFERROR(IF([1]对账明细接口!$O788=0,"",[1]对账明细接口!$O788),"")</f>
        <v/>
      </c>
      <c r="U788" s="112" t="str">
        <f aca="false">IFERROR(IF([1]对账明细接口!$P788=0,"",[1]对账明细接口!$P788),"")</f>
        <v/>
      </c>
      <c r="V788" s="112" t="str">
        <f aca="false">IFERROR(IF([1]对账明细接口!$Q788=0,"",[1]对账明细接口!$Q788),"")</f>
        <v/>
      </c>
      <c r="W788" s="10" t="str">
        <f aca="false">IFERROR(IF([1]对账明细接口!$R788=0,"",[1]对账明细接口!$R788),"")</f>
        <v/>
      </c>
      <c r="X788" s="10" t="str">
        <f aca="false">IFERROR(IF([1]对账明细接口!$S788=0,"",[1]对账明细接口!$S788),"")</f>
        <v/>
      </c>
      <c r="Y788" s="10" t="str">
        <f aca="false">""</f>
        <v/>
      </c>
      <c r="Z788" s="10" t="str">
        <f aca="false">""</f>
        <v/>
      </c>
      <c r="AA788" s="10" t="str">
        <f aca="false">""</f>
        <v/>
      </c>
      <c r="AB788" s="10" t="str">
        <f aca="false">""</f>
        <v/>
      </c>
    </row>
    <row r="789" customFormat="false" ht="13.5" hidden="false" customHeight="false" outlineLevel="0" collapsed="false">
      <c r="A789" s="109" t="n">
        <v>789</v>
      </c>
      <c r="B789" s="110" t="str">
        <f aca="false">IFERROR(IF([1]对账明细接口!$B$789=0,"",[1]对账明细接口!$B$789),"")</f>
        <v/>
      </c>
      <c r="C789" s="59" t="str">
        <f aca="false">IFERROR(IF([1]对账明细接口!$C$789=0,"",[1]对账明细接口!$C$789),"")</f>
        <v/>
      </c>
      <c r="D789" s="59" t="str">
        <f aca="false">IFERROR(IF([1]对账明细接口!$D$789=0,"",[1]对账明细接口!$D$789),"")</f>
        <v/>
      </c>
      <c r="E789" s="59" t="str">
        <f aca="false">IFERROR(IF([1]对账明细接口!$E$789=0,"",[1]对账明细接口!$E$789),"")</f>
        <v/>
      </c>
      <c r="F789" s="59" t="str">
        <f aca="false">IFERROR(IF([1]对账明细接口!$F$789=0,"",[1]对账明细接口!$F$789),"")</f>
        <v/>
      </c>
      <c r="G789" s="59" t="str">
        <f aca="false">IFERROR(IF([1]对账明细接口!$G$789=0,"",[1]对账明细接口!$G$789),"")</f>
        <v/>
      </c>
      <c r="H789" s="60" t="str">
        <f aca="false">IFERROR(IF([1]对账明细接口!$H$789=0,"",[1]对账明细接口!$H$789),"")</f>
        <v/>
      </c>
      <c r="I789" s="59" t="str">
        <f aca="false">IFERROR(IF([1]对账明细接口!$I$789=0,"",[1]对账明细接口!$I$789),"")</f>
        <v/>
      </c>
      <c r="J789" s="61" t="str">
        <f aca="false">IFERROR(IF([1]对账明细接口!$J$789=0,"",[1]对账明细接口!$J$789),"")</f>
        <v/>
      </c>
      <c r="K789" s="61" t="str">
        <f aca="false">IFERROR(IF([1]对账明细接口!$K$789=0,"",[1]对账明细接口!$K$789),"")</f>
        <v/>
      </c>
      <c r="L789" s="59" t="str">
        <f aca="false">IFERROR(IF([1]对账明细接口!$L$789=0,"",[1]对账明细接口!$L$789),"")</f>
        <v/>
      </c>
      <c r="M789" s="59" t="str">
        <f aca="false">IFERROR(IF([1]对账明细接口!$M$789=0,"",[1]对账明细接口!$M$789),"")</f>
        <v/>
      </c>
      <c r="N789" s="111" t="n">
        <f aca="false">IF($C789="",0,1)</f>
        <v>0</v>
      </c>
      <c r="O789" s="111" t="n">
        <f aca="false">N(O788)+$N789</f>
        <v>110</v>
      </c>
      <c r="S789" s="10" t="str">
        <f aca="false">IFERROR(IF([1]对账明细接口!$N789=0,"",[1]对账明细接口!$N789),"")</f>
        <v/>
      </c>
      <c r="T789" s="112" t="str">
        <f aca="false">IFERROR(IF([1]对账明细接口!$O789=0,"",[1]对账明细接口!$O789),"")</f>
        <v/>
      </c>
      <c r="U789" s="112" t="str">
        <f aca="false">IFERROR(IF([1]对账明细接口!$P789=0,"",[1]对账明细接口!$P789),"")</f>
        <v/>
      </c>
      <c r="V789" s="112" t="str">
        <f aca="false">IFERROR(IF([1]对账明细接口!$Q789=0,"",[1]对账明细接口!$Q789),"")</f>
        <v/>
      </c>
      <c r="W789" s="10" t="str">
        <f aca="false">IFERROR(IF([1]对账明细接口!$R789=0,"",[1]对账明细接口!$R789),"")</f>
        <v/>
      </c>
      <c r="X789" s="10" t="str">
        <f aca="false">IFERROR(IF([1]对账明细接口!$S789=0,"",[1]对账明细接口!$S789),"")</f>
        <v/>
      </c>
      <c r="Y789" s="10" t="str">
        <f aca="false">""</f>
        <v/>
      </c>
      <c r="Z789" s="10" t="str">
        <f aca="false">""</f>
        <v/>
      </c>
      <c r="AA789" s="10" t="str">
        <f aca="false">""</f>
        <v/>
      </c>
      <c r="AB789" s="10" t="str">
        <f aca="false">""</f>
        <v/>
      </c>
    </row>
    <row r="790" customFormat="false" ht="13.5" hidden="false" customHeight="false" outlineLevel="0" collapsed="false">
      <c r="A790" s="109" t="n">
        <v>790</v>
      </c>
      <c r="B790" s="110" t="str">
        <f aca="false">IFERROR(IF([1]对账明细接口!$B$790=0,"",[1]对账明细接口!$B$790),"")</f>
        <v/>
      </c>
      <c r="C790" s="59" t="str">
        <f aca="false">IFERROR(IF([1]对账明细接口!$C$790=0,"",[1]对账明细接口!$C$790),"")</f>
        <v/>
      </c>
      <c r="D790" s="59" t="str">
        <f aca="false">IFERROR(IF([1]对账明细接口!$D$790=0,"",[1]对账明细接口!$D$790),"")</f>
        <v/>
      </c>
      <c r="E790" s="59" t="str">
        <f aca="false">IFERROR(IF([1]对账明细接口!$E$790=0,"",[1]对账明细接口!$E$790),"")</f>
        <v/>
      </c>
      <c r="F790" s="59" t="str">
        <f aca="false">IFERROR(IF([1]对账明细接口!$F$790=0,"",[1]对账明细接口!$F$790),"")</f>
        <v/>
      </c>
      <c r="G790" s="59" t="str">
        <f aca="false">IFERROR(IF([1]对账明细接口!$G$790=0,"",[1]对账明细接口!$G$790),"")</f>
        <v/>
      </c>
      <c r="H790" s="60" t="str">
        <f aca="false">IFERROR(IF([1]对账明细接口!$H$790=0,"",[1]对账明细接口!$H$790),"")</f>
        <v/>
      </c>
      <c r="I790" s="59" t="str">
        <f aca="false">IFERROR(IF([1]对账明细接口!$I$790=0,"",[1]对账明细接口!$I$790),"")</f>
        <v/>
      </c>
      <c r="J790" s="61" t="str">
        <f aca="false">IFERROR(IF([1]对账明细接口!$J$790=0,"",[1]对账明细接口!$J$790),"")</f>
        <v/>
      </c>
      <c r="K790" s="61" t="str">
        <f aca="false">IFERROR(IF([1]对账明细接口!$K$790=0,"",[1]对账明细接口!$K$790),"")</f>
        <v/>
      </c>
      <c r="L790" s="59" t="str">
        <f aca="false">IFERROR(IF([1]对账明细接口!$L$790=0,"",[1]对账明细接口!$L$790),"")</f>
        <v/>
      </c>
      <c r="M790" s="59" t="str">
        <f aca="false">IFERROR(IF([1]对账明细接口!$M$790=0,"",[1]对账明细接口!$M$790),"")</f>
        <v/>
      </c>
      <c r="N790" s="111" t="n">
        <f aca="false">IF($C790="",0,1)</f>
        <v>0</v>
      </c>
      <c r="O790" s="111" t="n">
        <f aca="false">N(O789)+$N790</f>
        <v>110</v>
      </c>
      <c r="S790" s="10" t="str">
        <f aca="false">IFERROR(IF([1]对账明细接口!$N790=0,"",[1]对账明细接口!$N790),"")</f>
        <v/>
      </c>
      <c r="T790" s="112" t="str">
        <f aca="false">IFERROR(IF([1]对账明细接口!$O790=0,"",[1]对账明细接口!$O790),"")</f>
        <v/>
      </c>
      <c r="U790" s="112" t="str">
        <f aca="false">IFERROR(IF([1]对账明细接口!$P790=0,"",[1]对账明细接口!$P790),"")</f>
        <v/>
      </c>
      <c r="V790" s="112" t="str">
        <f aca="false">IFERROR(IF([1]对账明细接口!$Q790=0,"",[1]对账明细接口!$Q790),"")</f>
        <v/>
      </c>
      <c r="W790" s="10" t="str">
        <f aca="false">IFERROR(IF([1]对账明细接口!$R790=0,"",[1]对账明细接口!$R790),"")</f>
        <v/>
      </c>
      <c r="X790" s="10" t="str">
        <f aca="false">IFERROR(IF([1]对账明细接口!$S790=0,"",[1]对账明细接口!$S790),"")</f>
        <v/>
      </c>
      <c r="Y790" s="10" t="str">
        <f aca="false">""</f>
        <v/>
      </c>
      <c r="Z790" s="10" t="str">
        <f aca="false">""</f>
        <v/>
      </c>
      <c r="AA790" s="10" t="str">
        <f aca="false">""</f>
        <v/>
      </c>
      <c r="AB790" s="10" t="str">
        <f aca="false">""</f>
        <v/>
      </c>
    </row>
    <row r="791" customFormat="false" ht="13.5" hidden="false" customHeight="false" outlineLevel="0" collapsed="false">
      <c r="A791" s="109" t="n">
        <v>791</v>
      </c>
      <c r="B791" s="110" t="str">
        <f aca="false">IFERROR(IF([1]对账明细接口!$B$791=0,"",[1]对账明细接口!$B$791),"")</f>
        <v/>
      </c>
      <c r="C791" s="59" t="str">
        <f aca="false">IFERROR(IF([1]对账明细接口!$C$791=0,"",[1]对账明细接口!$C$791),"")</f>
        <v/>
      </c>
      <c r="D791" s="59" t="str">
        <f aca="false">IFERROR(IF([1]对账明细接口!$D$791=0,"",[1]对账明细接口!$D$791),"")</f>
        <v/>
      </c>
      <c r="E791" s="59" t="str">
        <f aca="false">IFERROR(IF([1]对账明细接口!$E$791=0,"",[1]对账明细接口!$E$791),"")</f>
        <v/>
      </c>
      <c r="F791" s="59" t="str">
        <f aca="false">IFERROR(IF([1]对账明细接口!$F$791=0,"",[1]对账明细接口!$F$791),"")</f>
        <v/>
      </c>
      <c r="G791" s="59" t="str">
        <f aca="false">IFERROR(IF([1]对账明细接口!$G$791=0,"",[1]对账明细接口!$G$791),"")</f>
        <v/>
      </c>
      <c r="H791" s="60" t="str">
        <f aca="false">IFERROR(IF([1]对账明细接口!$H$791=0,"",[1]对账明细接口!$H$791),"")</f>
        <v/>
      </c>
      <c r="I791" s="59" t="str">
        <f aca="false">IFERROR(IF([1]对账明细接口!$I$791=0,"",[1]对账明细接口!$I$791),"")</f>
        <v/>
      </c>
      <c r="J791" s="61" t="str">
        <f aca="false">IFERROR(IF([1]对账明细接口!$J$791=0,"",[1]对账明细接口!$J$791),"")</f>
        <v/>
      </c>
      <c r="K791" s="61" t="str">
        <f aca="false">IFERROR(IF([1]对账明细接口!$K$791=0,"",[1]对账明细接口!$K$791),"")</f>
        <v/>
      </c>
      <c r="L791" s="59" t="str">
        <f aca="false">IFERROR(IF([1]对账明细接口!$L$791=0,"",[1]对账明细接口!$L$791),"")</f>
        <v/>
      </c>
      <c r="M791" s="59" t="str">
        <f aca="false">IFERROR(IF([1]对账明细接口!$M$791=0,"",[1]对账明细接口!$M$791),"")</f>
        <v/>
      </c>
      <c r="N791" s="111" t="n">
        <f aca="false">IF($C791="",0,1)</f>
        <v>0</v>
      </c>
      <c r="O791" s="111" t="n">
        <f aca="false">N(O790)+$N791</f>
        <v>110</v>
      </c>
      <c r="S791" s="10" t="str">
        <f aca="false">IFERROR(IF([1]对账明细接口!$N791=0,"",[1]对账明细接口!$N791),"")</f>
        <v/>
      </c>
      <c r="T791" s="112" t="str">
        <f aca="false">IFERROR(IF([1]对账明细接口!$O791=0,"",[1]对账明细接口!$O791),"")</f>
        <v/>
      </c>
      <c r="U791" s="112" t="str">
        <f aca="false">IFERROR(IF([1]对账明细接口!$P791=0,"",[1]对账明细接口!$P791),"")</f>
        <v/>
      </c>
      <c r="V791" s="112" t="str">
        <f aca="false">IFERROR(IF([1]对账明细接口!$Q791=0,"",[1]对账明细接口!$Q791),"")</f>
        <v/>
      </c>
      <c r="W791" s="10" t="str">
        <f aca="false">IFERROR(IF([1]对账明细接口!$R791=0,"",[1]对账明细接口!$R791),"")</f>
        <v/>
      </c>
      <c r="X791" s="10" t="str">
        <f aca="false">IFERROR(IF([1]对账明细接口!$S791=0,"",[1]对账明细接口!$S791),"")</f>
        <v/>
      </c>
      <c r="Y791" s="10" t="str">
        <f aca="false">""</f>
        <v/>
      </c>
      <c r="Z791" s="10" t="str">
        <f aca="false">""</f>
        <v/>
      </c>
      <c r="AA791" s="10" t="str">
        <f aca="false">""</f>
        <v/>
      </c>
      <c r="AB791" s="10" t="str">
        <f aca="false">""</f>
        <v/>
      </c>
    </row>
    <row r="792" customFormat="false" ht="13.5" hidden="false" customHeight="false" outlineLevel="0" collapsed="false">
      <c r="A792" s="109" t="n">
        <v>792</v>
      </c>
      <c r="B792" s="110" t="str">
        <f aca="false">IFERROR(IF([1]对账明细接口!$B$792=0,"",[1]对账明细接口!$B$792),"")</f>
        <v/>
      </c>
      <c r="C792" s="59" t="str">
        <f aca="false">IFERROR(IF([1]对账明细接口!$C$792=0,"",[1]对账明细接口!$C$792),"")</f>
        <v/>
      </c>
      <c r="D792" s="59" t="str">
        <f aca="false">IFERROR(IF([1]对账明细接口!$D$792=0,"",[1]对账明细接口!$D$792),"")</f>
        <v/>
      </c>
      <c r="E792" s="59" t="str">
        <f aca="false">IFERROR(IF([1]对账明细接口!$E$792=0,"",[1]对账明细接口!$E$792),"")</f>
        <v/>
      </c>
      <c r="F792" s="59" t="str">
        <f aca="false">IFERROR(IF([1]对账明细接口!$F$792=0,"",[1]对账明细接口!$F$792),"")</f>
        <v/>
      </c>
      <c r="G792" s="59" t="str">
        <f aca="false">IFERROR(IF([1]对账明细接口!$G$792=0,"",[1]对账明细接口!$G$792),"")</f>
        <v/>
      </c>
      <c r="H792" s="60" t="str">
        <f aca="false">IFERROR(IF([1]对账明细接口!$H$792=0,"",[1]对账明细接口!$H$792),"")</f>
        <v/>
      </c>
      <c r="I792" s="59" t="str">
        <f aca="false">IFERROR(IF([1]对账明细接口!$I$792=0,"",[1]对账明细接口!$I$792),"")</f>
        <v/>
      </c>
      <c r="J792" s="61" t="str">
        <f aca="false">IFERROR(IF([1]对账明细接口!$J$792=0,"",[1]对账明细接口!$J$792),"")</f>
        <v/>
      </c>
      <c r="K792" s="61" t="str">
        <f aca="false">IFERROR(IF([1]对账明细接口!$K$792=0,"",[1]对账明细接口!$K$792),"")</f>
        <v/>
      </c>
      <c r="L792" s="59" t="str">
        <f aca="false">IFERROR(IF([1]对账明细接口!$L$792=0,"",[1]对账明细接口!$L$792),"")</f>
        <v/>
      </c>
      <c r="M792" s="59" t="str">
        <f aca="false">IFERROR(IF([1]对账明细接口!$M$792=0,"",[1]对账明细接口!$M$792),"")</f>
        <v/>
      </c>
      <c r="N792" s="111" t="n">
        <f aca="false">IF($C792="",0,1)</f>
        <v>0</v>
      </c>
      <c r="O792" s="111" t="n">
        <f aca="false">N(O791)+$N792</f>
        <v>110</v>
      </c>
      <c r="S792" s="10" t="str">
        <f aca="false">IFERROR(IF([1]对账明细接口!$N792=0,"",[1]对账明细接口!$N792),"")</f>
        <v/>
      </c>
      <c r="T792" s="112" t="str">
        <f aca="false">IFERROR(IF([1]对账明细接口!$O792=0,"",[1]对账明细接口!$O792),"")</f>
        <v/>
      </c>
      <c r="U792" s="112" t="str">
        <f aca="false">IFERROR(IF([1]对账明细接口!$P792=0,"",[1]对账明细接口!$P792),"")</f>
        <v/>
      </c>
      <c r="V792" s="112" t="str">
        <f aca="false">IFERROR(IF([1]对账明细接口!$Q792=0,"",[1]对账明细接口!$Q792),"")</f>
        <v/>
      </c>
      <c r="W792" s="10" t="str">
        <f aca="false">IFERROR(IF([1]对账明细接口!$R792=0,"",[1]对账明细接口!$R792),"")</f>
        <v/>
      </c>
      <c r="X792" s="10" t="str">
        <f aca="false">IFERROR(IF([1]对账明细接口!$S792=0,"",[1]对账明细接口!$S792),"")</f>
        <v/>
      </c>
      <c r="Y792" s="10" t="str">
        <f aca="false">""</f>
        <v/>
      </c>
      <c r="Z792" s="10" t="str">
        <f aca="false">""</f>
        <v/>
      </c>
      <c r="AA792" s="10" t="str">
        <f aca="false">""</f>
        <v/>
      </c>
      <c r="AB792" s="10" t="str">
        <f aca="false">""</f>
        <v/>
      </c>
    </row>
    <row r="793" customFormat="false" ht="13.5" hidden="false" customHeight="false" outlineLevel="0" collapsed="false">
      <c r="A793" s="109" t="n">
        <v>793</v>
      </c>
      <c r="B793" s="110" t="str">
        <f aca="false">IFERROR(IF([1]对账明细接口!$B$793=0,"",[1]对账明细接口!$B$793),"")</f>
        <v/>
      </c>
      <c r="C793" s="59" t="str">
        <f aca="false">IFERROR(IF([1]对账明细接口!$C$793=0,"",[1]对账明细接口!$C$793),"")</f>
        <v/>
      </c>
      <c r="D793" s="59" t="str">
        <f aca="false">IFERROR(IF([1]对账明细接口!$D$793=0,"",[1]对账明细接口!$D$793),"")</f>
        <v/>
      </c>
      <c r="E793" s="59" t="str">
        <f aca="false">IFERROR(IF([1]对账明细接口!$E$793=0,"",[1]对账明细接口!$E$793),"")</f>
        <v/>
      </c>
      <c r="F793" s="59" t="str">
        <f aca="false">IFERROR(IF([1]对账明细接口!$F$793=0,"",[1]对账明细接口!$F$793),"")</f>
        <v/>
      </c>
      <c r="G793" s="59" t="str">
        <f aca="false">IFERROR(IF([1]对账明细接口!$G$793=0,"",[1]对账明细接口!$G$793),"")</f>
        <v/>
      </c>
      <c r="H793" s="60" t="str">
        <f aca="false">IFERROR(IF([1]对账明细接口!$H$793=0,"",[1]对账明细接口!$H$793),"")</f>
        <v/>
      </c>
      <c r="I793" s="59" t="str">
        <f aca="false">IFERROR(IF([1]对账明细接口!$I$793=0,"",[1]对账明细接口!$I$793),"")</f>
        <v/>
      </c>
      <c r="J793" s="61" t="str">
        <f aca="false">IFERROR(IF([1]对账明细接口!$J$793=0,"",[1]对账明细接口!$J$793),"")</f>
        <v/>
      </c>
      <c r="K793" s="61" t="str">
        <f aca="false">IFERROR(IF([1]对账明细接口!$K$793=0,"",[1]对账明细接口!$K$793),"")</f>
        <v/>
      </c>
      <c r="L793" s="59" t="str">
        <f aca="false">IFERROR(IF([1]对账明细接口!$L$793=0,"",[1]对账明细接口!$L$793),"")</f>
        <v/>
      </c>
      <c r="M793" s="59" t="str">
        <f aca="false">IFERROR(IF([1]对账明细接口!$M$793=0,"",[1]对账明细接口!$M$793),"")</f>
        <v/>
      </c>
      <c r="N793" s="111" t="n">
        <f aca="false">IF($C793="",0,1)</f>
        <v>0</v>
      </c>
      <c r="O793" s="111" t="n">
        <f aca="false">N(O792)+$N793</f>
        <v>110</v>
      </c>
      <c r="S793" s="10" t="str">
        <f aca="false">IFERROR(IF([1]对账明细接口!$N793=0,"",[1]对账明细接口!$N793),"")</f>
        <v/>
      </c>
      <c r="T793" s="112" t="str">
        <f aca="false">IFERROR(IF([1]对账明细接口!$O793=0,"",[1]对账明细接口!$O793),"")</f>
        <v/>
      </c>
      <c r="U793" s="112" t="str">
        <f aca="false">IFERROR(IF([1]对账明细接口!$P793=0,"",[1]对账明细接口!$P793),"")</f>
        <v/>
      </c>
      <c r="V793" s="112" t="str">
        <f aca="false">IFERROR(IF([1]对账明细接口!$Q793=0,"",[1]对账明细接口!$Q793),"")</f>
        <v/>
      </c>
      <c r="W793" s="10" t="str">
        <f aca="false">IFERROR(IF([1]对账明细接口!$R793=0,"",[1]对账明细接口!$R793),"")</f>
        <v/>
      </c>
      <c r="X793" s="10" t="str">
        <f aca="false">IFERROR(IF([1]对账明细接口!$S793=0,"",[1]对账明细接口!$S793),"")</f>
        <v/>
      </c>
      <c r="Y793" s="10" t="str">
        <f aca="false">""</f>
        <v/>
      </c>
      <c r="Z793" s="10" t="str">
        <f aca="false">""</f>
        <v/>
      </c>
      <c r="AA793" s="10" t="str">
        <f aca="false">""</f>
        <v/>
      </c>
      <c r="AB793" s="10" t="str">
        <f aca="false">""</f>
        <v/>
      </c>
    </row>
    <row r="794" customFormat="false" ht="13.5" hidden="false" customHeight="false" outlineLevel="0" collapsed="false">
      <c r="A794" s="109" t="n">
        <v>794</v>
      </c>
      <c r="B794" s="110" t="str">
        <f aca="false">IFERROR(IF([1]对账明细接口!$B$794=0,"",[1]对账明细接口!$B$794),"")</f>
        <v/>
      </c>
      <c r="C794" s="59" t="str">
        <f aca="false">IFERROR(IF([1]对账明细接口!$C$794=0,"",[1]对账明细接口!$C$794),"")</f>
        <v/>
      </c>
      <c r="D794" s="59" t="str">
        <f aca="false">IFERROR(IF([1]对账明细接口!$D$794=0,"",[1]对账明细接口!$D$794),"")</f>
        <v/>
      </c>
      <c r="E794" s="59" t="str">
        <f aca="false">IFERROR(IF([1]对账明细接口!$E$794=0,"",[1]对账明细接口!$E$794),"")</f>
        <v/>
      </c>
      <c r="F794" s="59" t="str">
        <f aca="false">IFERROR(IF([1]对账明细接口!$F$794=0,"",[1]对账明细接口!$F$794),"")</f>
        <v/>
      </c>
      <c r="G794" s="59" t="str">
        <f aca="false">IFERROR(IF([1]对账明细接口!$G$794=0,"",[1]对账明细接口!$G$794),"")</f>
        <v/>
      </c>
      <c r="H794" s="60" t="str">
        <f aca="false">IFERROR(IF([1]对账明细接口!$H$794=0,"",[1]对账明细接口!$H$794),"")</f>
        <v/>
      </c>
      <c r="I794" s="59" t="str">
        <f aca="false">IFERROR(IF([1]对账明细接口!$I$794=0,"",[1]对账明细接口!$I$794),"")</f>
        <v/>
      </c>
      <c r="J794" s="61" t="str">
        <f aca="false">IFERROR(IF([1]对账明细接口!$J$794=0,"",[1]对账明细接口!$J$794),"")</f>
        <v/>
      </c>
      <c r="K794" s="61" t="str">
        <f aca="false">IFERROR(IF([1]对账明细接口!$K$794=0,"",[1]对账明细接口!$K$794),"")</f>
        <v/>
      </c>
      <c r="L794" s="59" t="str">
        <f aca="false">IFERROR(IF([1]对账明细接口!$L$794=0,"",[1]对账明细接口!$L$794),"")</f>
        <v/>
      </c>
      <c r="M794" s="59" t="str">
        <f aca="false">IFERROR(IF([1]对账明细接口!$M$794=0,"",[1]对账明细接口!$M$794),"")</f>
        <v/>
      </c>
      <c r="N794" s="111" t="n">
        <f aca="false">IF($C794="",0,1)</f>
        <v>0</v>
      </c>
      <c r="O794" s="111" t="n">
        <f aca="false">N(O793)+$N794</f>
        <v>110</v>
      </c>
      <c r="S794" s="10" t="str">
        <f aca="false">IFERROR(IF([1]对账明细接口!$N794=0,"",[1]对账明细接口!$N794),"")</f>
        <v/>
      </c>
      <c r="T794" s="112" t="str">
        <f aca="false">IFERROR(IF([1]对账明细接口!$O794=0,"",[1]对账明细接口!$O794),"")</f>
        <v/>
      </c>
      <c r="U794" s="112" t="str">
        <f aca="false">IFERROR(IF([1]对账明细接口!$P794=0,"",[1]对账明细接口!$P794),"")</f>
        <v/>
      </c>
      <c r="V794" s="112" t="str">
        <f aca="false">IFERROR(IF([1]对账明细接口!$Q794=0,"",[1]对账明细接口!$Q794),"")</f>
        <v/>
      </c>
      <c r="W794" s="10" t="str">
        <f aca="false">IFERROR(IF([1]对账明细接口!$R794=0,"",[1]对账明细接口!$R794),"")</f>
        <v/>
      </c>
      <c r="X794" s="10" t="str">
        <f aca="false">IFERROR(IF([1]对账明细接口!$S794=0,"",[1]对账明细接口!$S794),"")</f>
        <v/>
      </c>
      <c r="Y794" s="10" t="str">
        <f aca="false">""</f>
        <v/>
      </c>
      <c r="Z794" s="10" t="str">
        <f aca="false">""</f>
        <v/>
      </c>
      <c r="AA794" s="10" t="str">
        <f aca="false">""</f>
        <v/>
      </c>
      <c r="AB794" s="10" t="str">
        <f aca="false">""</f>
        <v/>
      </c>
    </row>
    <row r="795" customFormat="false" ht="13.5" hidden="false" customHeight="false" outlineLevel="0" collapsed="false">
      <c r="A795" s="109" t="n">
        <v>795</v>
      </c>
      <c r="B795" s="110" t="str">
        <f aca="false">IFERROR(IF([1]对账明细接口!$B$795=0,"",[1]对账明细接口!$B$795),"")</f>
        <v/>
      </c>
      <c r="C795" s="59" t="str">
        <f aca="false">IFERROR(IF([1]对账明细接口!$C$795=0,"",[1]对账明细接口!$C$795),"")</f>
        <v/>
      </c>
      <c r="D795" s="59" t="str">
        <f aca="false">IFERROR(IF([1]对账明细接口!$D$795=0,"",[1]对账明细接口!$D$795),"")</f>
        <v/>
      </c>
      <c r="E795" s="59" t="str">
        <f aca="false">IFERROR(IF([1]对账明细接口!$E$795=0,"",[1]对账明细接口!$E$795),"")</f>
        <v/>
      </c>
      <c r="F795" s="59" t="str">
        <f aca="false">IFERROR(IF([1]对账明细接口!$F$795=0,"",[1]对账明细接口!$F$795),"")</f>
        <v/>
      </c>
      <c r="G795" s="59" t="str">
        <f aca="false">IFERROR(IF([1]对账明细接口!$G$795=0,"",[1]对账明细接口!$G$795),"")</f>
        <v/>
      </c>
      <c r="H795" s="60" t="str">
        <f aca="false">IFERROR(IF([1]对账明细接口!$H$795=0,"",[1]对账明细接口!$H$795),"")</f>
        <v/>
      </c>
      <c r="I795" s="59" t="str">
        <f aca="false">IFERROR(IF([1]对账明细接口!$I$795=0,"",[1]对账明细接口!$I$795),"")</f>
        <v/>
      </c>
      <c r="J795" s="61" t="str">
        <f aca="false">IFERROR(IF([1]对账明细接口!$J$795=0,"",[1]对账明细接口!$J$795),"")</f>
        <v/>
      </c>
      <c r="K795" s="61" t="str">
        <f aca="false">IFERROR(IF([1]对账明细接口!$K$795=0,"",[1]对账明细接口!$K$795),"")</f>
        <v/>
      </c>
      <c r="L795" s="59" t="str">
        <f aca="false">IFERROR(IF([1]对账明细接口!$L$795=0,"",[1]对账明细接口!$L$795),"")</f>
        <v/>
      </c>
      <c r="M795" s="59" t="str">
        <f aca="false">IFERROR(IF([1]对账明细接口!$M$795=0,"",[1]对账明细接口!$M$795),"")</f>
        <v/>
      </c>
      <c r="N795" s="111" t="n">
        <f aca="false">IF($C795="",0,1)</f>
        <v>0</v>
      </c>
      <c r="O795" s="111" t="n">
        <f aca="false">N(O794)+$N795</f>
        <v>110</v>
      </c>
      <c r="S795" s="10" t="str">
        <f aca="false">IFERROR(IF([1]对账明细接口!$N795=0,"",[1]对账明细接口!$N795),"")</f>
        <v/>
      </c>
      <c r="T795" s="112" t="str">
        <f aca="false">IFERROR(IF([1]对账明细接口!$O795=0,"",[1]对账明细接口!$O795),"")</f>
        <v/>
      </c>
      <c r="U795" s="112" t="str">
        <f aca="false">IFERROR(IF([1]对账明细接口!$P795=0,"",[1]对账明细接口!$P795),"")</f>
        <v/>
      </c>
      <c r="V795" s="112" t="str">
        <f aca="false">IFERROR(IF([1]对账明细接口!$Q795=0,"",[1]对账明细接口!$Q795),"")</f>
        <v/>
      </c>
      <c r="W795" s="10" t="str">
        <f aca="false">IFERROR(IF([1]对账明细接口!$R795=0,"",[1]对账明细接口!$R795),"")</f>
        <v/>
      </c>
      <c r="X795" s="10" t="str">
        <f aca="false">IFERROR(IF([1]对账明细接口!$S795=0,"",[1]对账明细接口!$S795),"")</f>
        <v/>
      </c>
      <c r="Y795" s="10" t="str">
        <f aca="false">""</f>
        <v/>
      </c>
      <c r="Z795" s="10" t="str">
        <f aca="false">""</f>
        <v/>
      </c>
      <c r="AA795" s="10" t="str">
        <f aca="false">""</f>
        <v/>
      </c>
      <c r="AB795" s="10" t="str">
        <f aca="false">""</f>
        <v/>
      </c>
    </row>
    <row r="796" customFormat="false" ht="13.5" hidden="false" customHeight="false" outlineLevel="0" collapsed="false">
      <c r="A796" s="109" t="n">
        <v>796</v>
      </c>
      <c r="B796" s="110" t="str">
        <f aca="false">IFERROR(IF([1]对账明细接口!$B$796=0,"",[1]对账明细接口!$B$796),"")</f>
        <v/>
      </c>
      <c r="C796" s="59" t="str">
        <f aca="false">IFERROR(IF([1]对账明细接口!$C$796=0,"",[1]对账明细接口!$C$796),"")</f>
        <v/>
      </c>
      <c r="D796" s="59" t="str">
        <f aca="false">IFERROR(IF([1]对账明细接口!$D$796=0,"",[1]对账明细接口!$D$796),"")</f>
        <v/>
      </c>
      <c r="E796" s="59" t="str">
        <f aca="false">IFERROR(IF([1]对账明细接口!$E$796=0,"",[1]对账明细接口!$E$796),"")</f>
        <v/>
      </c>
      <c r="F796" s="59" t="str">
        <f aca="false">IFERROR(IF([1]对账明细接口!$F$796=0,"",[1]对账明细接口!$F$796),"")</f>
        <v/>
      </c>
      <c r="G796" s="59" t="str">
        <f aca="false">IFERROR(IF([1]对账明细接口!$G$796=0,"",[1]对账明细接口!$G$796),"")</f>
        <v/>
      </c>
      <c r="H796" s="60" t="str">
        <f aca="false">IFERROR(IF([1]对账明细接口!$H$796=0,"",[1]对账明细接口!$H$796),"")</f>
        <v/>
      </c>
      <c r="I796" s="59" t="str">
        <f aca="false">IFERROR(IF([1]对账明细接口!$I$796=0,"",[1]对账明细接口!$I$796),"")</f>
        <v/>
      </c>
      <c r="J796" s="61" t="str">
        <f aca="false">IFERROR(IF([1]对账明细接口!$J$796=0,"",[1]对账明细接口!$J$796),"")</f>
        <v/>
      </c>
      <c r="K796" s="61" t="str">
        <f aca="false">IFERROR(IF([1]对账明细接口!$K$796=0,"",[1]对账明细接口!$K$796),"")</f>
        <v/>
      </c>
      <c r="L796" s="59" t="str">
        <f aca="false">IFERROR(IF([1]对账明细接口!$L$796=0,"",[1]对账明细接口!$L$796),"")</f>
        <v/>
      </c>
      <c r="M796" s="59" t="str">
        <f aca="false">IFERROR(IF([1]对账明细接口!$M$796=0,"",[1]对账明细接口!$M$796),"")</f>
        <v/>
      </c>
      <c r="N796" s="111" t="n">
        <f aca="false">IF($C796="",0,1)</f>
        <v>0</v>
      </c>
      <c r="O796" s="111" t="n">
        <f aca="false">N(O795)+$N796</f>
        <v>110</v>
      </c>
      <c r="S796" s="10" t="str">
        <f aca="false">IFERROR(IF([1]对账明细接口!$N796=0,"",[1]对账明细接口!$N796),"")</f>
        <v/>
      </c>
      <c r="T796" s="112" t="str">
        <f aca="false">IFERROR(IF([1]对账明细接口!$O796=0,"",[1]对账明细接口!$O796),"")</f>
        <v/>
      </c>
      <c r="U796" s="112" t="str">
        <f aca="false">IFERROR(IF([1]对账明细接口!$P796=0,"",[1]对账明细接口!$P796),"")</f>
        <v/>
      </c>
      <c r="V796" s="112" t="str">
        <f aca="false">IFERROR(IF([1]对账明细接口!$Q796=0,"",[1]对账明细接口!$Q796),"")</f>
        <v/>
      </c>
      <c r="W796" s="10" t="str">
        <f aca="false">IFERROR(IF([1]对账明细接口!$R796=0,"",[1]对账明细接口!$R796),"")</f>
        <v/>
      </c>
      <c r="X796" s="10" t="str">
        <f aca="false">IFERROR(IF([1]对账明细接口!$S796=0,"",[1]对账明细接口!$S796),"")</f>
        <v/>
      </c>
      <c r="Y796" s="10" t="str">
        <f aca="false">""</f>
        <v/>
      </c>
      <c r="Z796" s="10" t="str">
        <f aca="false">""</f>
        <v/>
      </c>
      <c r="AA796" s="10" t="str">
        <f aca="false">""</f>
        <v/>
      </c>
      <c r="AB796" s="10" t="str">
        <f aca="false">""</f>
        <v/>
      </c>
    </row>
    <row r="797" customFormat="false" ht="13.5" hidden="false" customHeight="false" outlineLevel="0" collapsed="false">
      <c r="A797" s="109" t="n">
        <v>797</v>
      </c>
      <c r="B797" s="110" t="str">
        <f aca="false">IFERROR(IF([1]对账明细接口!$B$797=0,"",[1]对账明细接口!$B$797),"")</f>
        <v/>
      </c>
      <c r="C797" s="59" t="str">
        <f aca="false">IFERROR(IF([1]对账明细接口!$C$797=0,"",[1]对账明细接口!$C$797),"")</f>
        <v/>
      </c>
      <c r="D797" s="59" t="str">
        <f aca="false">IFERROR(IF([1]对账明细接口!$D$797=0,"",[1]对账明细接口!$D$797),"")</f>
        <v/>
      </c>
      <c r="E797" s="59" t="str">
        <f aca="false">IFERROR(IF([1]对账明细接口!$E$797=0,"",[1]对账明细接口!$E$797),"")</f>
        <v/>
      </c>
      <c r="F797" s="59" t="str">
        <f aca="false">IFERROR(IF([1]对账明细接口!$F$797=0,"",[1]对账明细接口!$F$797),"")</f>
        <v/>
      </c>
      <c r="G797" s="59" t="str">
        <f aca="false">IFERROR(IF([1]对账明细接口!$G$797=0,"",[1]对账明细接口!$G$797),"")</f>
        <v/>
      </c>
      <c r="H797" s="60" t="str">
        <f aca="false">IFERROR(IF([1]对账明细接口!$H$797=0,"",[1]对账明细接口!$H$797),"")</f>
        <v/>
      </c>
      <c r="I797" s="59" t="str">
        <f aca="false">IFERROR(IF([1]对账明细接口!$I$797=0,"",[1]对账明细接口!$I$797),"")</f>
        <v/>
      </c>
      <c r="J797" s="61" t="str">
        <f aca="false">IFERROR(IF([1]对账明细接口!$J$797=0,"",[1]对账明细接口!$J$797),"")</f>
        <v/>
      </c>
      <c r="K797" s="61" t="str">
        <f aca="false">IFERROR(IF([1]对账明细接口!$K$797=0,"",[1]对账明细接口!$K$797),"")</f>
        <v/>
      </c>
      <c r="L797" s="59" t="str">
        <f aca="false">IFERROR(IF([1]对账明细接口!$L$797=0,"",[1]对账明细接口!$L$797),"")</f>
        <v/>
      </c>
      <c r="M797" s="59" t="str">
        <f aca="false">IFERROR(IF([1]对账明细接口!$M$797=0,"",[1]对账明细接口!$M$797),"")</f>
        <v/>
      </c>
      <c r="N797" s="111" t="n">
        <f aca="false">IF($C797="",0,1)</f>
        <v>0</v>
      </c>
      <c r="O797" s="111" t="n">
        <f aca="false">N(O796)+$N797</f>
        <v>110</v>
      </c>
      <c r="S797" s="10" t="str">
        <f aca="false">IFERROR(IF([1]对账明细接口!$N797=0,"",[1]对账明细接口!$N797),"")</f>
        <v/>
      </c>
      <c r="T797" s="112" t="str">
        <f aca="false">IFERROR(IF([1]对账明细接口!$O797=0,"",[1]对账明细接口!$O797),"")</f>
        <v/>
      </c>
      <c r="U797" s="112" t="str">
        <f aca="false">IFERROR(IF([1]对账明细接口!$P797=0,"",[1]对账明细接口!$P797),"")</f>
        <v/>
      </c>
      <c r="V797" s="112" t="str">
        <f aca="false">IFERROR(IF([1]对账明细接口!$Q797=0,"",[1]对账明细接口!$Q797),"")</f>
        <v/>
      </c>
      <c r="W797" s="10" t="str">
        <f aca="false">IFERROR(IF([1]对账明细接口!$R797=0,"",[1]对账明细接口!$R797),"")</f>
        <v/>
      </c>
      <c r="X797" s="10" t="str">
        <f aca="false">IFERROR(IF([1]对账明细接口!$S797=0,"",[1]对账明细接口!$S797),"")</f>
        <v/>
      </c>
      <c r="Y797" s="10" t="str">
        <f aca="false">""</f>
        <v/>
      </c>
      <c r="Z797" s="10" t="str">
        <f aca="false">""</f>
        <v/>
      </c>
      <c r="AA797" s="10" t="str">
        <f aca="false">""</f>
        <v/>
      </c>
      <c r="AB797" s="10" t="str">
        <f aca="false">""</f>
        <v/>
      </c>
    </row>
    <row r="798" customFormat="false" ht="13.5" hidden="false" customHeight="false" outlineLevel="0" collapsed="false">
      <c r="A798" s="109" t="n">
        <v>798</v>
      </c>
      <c r="B798" s="110" t="str">
        <f aca="false">IFERROR(IF([1]对账明细接口!$B$798=0,"",[1]对账明细接口!$B$798),"")</f>
        <v/>
      </c>
      <c r="C798" s="59" t="str">
        <f aca="false">IFERROR(IF([1]对账明细接口!$C$798=0,"",[1]对账明细接口!$C$798),"")</f>
        <v/>
      </c>
      <c r="D798" s="59" t="str">
        <f aca="false">IFERROR(IF([1]对账明细接口!$D$798=0,"",[1]对账明细接口!$D$798),"")</f>
        <v/>
      </c>
      <c r="E798" s="59" t="str">
        <f aca="false">IFERROR(IF([1]对账明细接口!$E$798=0,"",[1]对账明细接口!$E$798),"")</f>
        <v/>
      </c>
      <c r="F798" s="59" t="str">
        <f aca="false">IFERROR(IF([1]对账明细接口!$F$798=0,"",[1]对账明细接口!$F$798),"")</f>
        <v/>
      </c>
      <c r="G798" s="59" t="str">
        <f aca="false">IFERROR(IF([1]对账明细接口!$G$798=0,"",[1]对账明细接口!$G$798),"")</f>
        <v/>
      </c>
      <c r="H798" s="60" t="str">
        <f aca="false">IFERROR(IF([1]对账明细接口!$H$798=0,"",[1]对账明细接口!$H$798),"")</f>
        <v/>
      </c>
      <c r="I798" s="59" t="str">
        <f aca="false">IFERROR(IF([1]对账明细接口!$I$798=0,"",[1]对账明细接口!$I$798),"")</f>
        <v/>
      </c>
      <c r="J798" s="61" t="str">
        <f aca="false">IFERROR(IF([1]对账明细接口!$J$798=0,"",[1]对账明细接口!$J$798),"")</f>
        <v/>
      </c>
      <c r="K798" s="61" t="str">
        <f aca="false">IFERROR(IF([1]对账明细接口!$K$798=0,"",[1]对账明细接口!$K$798),"")</f>
        <v/>
      </c>
      <c r="L798" s="59" t="str">
        <f aca="false">IFERROR(IF([1]对账明细接口!$L$798=0,"",[1]对账明细接口!$L$798),"")</f>
        <v/>
      </c>
      <c r="M798" s="59" t="str">
        <f aca="false">IFERROR(IF([1]对账明细接口!$M$798=0,"",[1]对账明细接口!$M$798),"")</f>
        <v/>
      </c>
      <c r="N798" s="111" t="n">
        <f aca="false">IF($C798="",0,1)</f>
        <v>0</v>
      </c>
      <c r="O798" s="111" t="n">
        <f aca="false">N(O797)+$N798</f>
        <v>110</v>
      </c>
      <c r="S798" s="10" t="str">
        <f aca="false">IFERROR(IF([1]对账明细接口!$N798=0,"",[1]对账明细接口!$N798),"")</f>
        <v/>
      </c>
      <c r="T798" s="112" t="str">
        <f aca="false">IFERROR(IF([1]对账明细接口!$O798=0,"",[1]对账明细接口!$O798),"")</f>
        <v/>
      </c>
      <c r="U798" s="112" t="str">
        <f aca="false">IFERROR(IF([1]对账明细接口!$P798=0,"",[1]对账明细接口!$P798),"")</f>
        <v/>
      </c>
      <c r="V798" s="112" t="str">
        <f aca="false">IFERROR(IF([1]对账明细接口!$Q798=0,"",[1]对账明细接口!$Q798),"")</f>
        <v/>
      </c>
      <c r="W798" s="10" t="str">
        <f aca="false">IFERROR(IF([1]对账明细接口!$R798=0,"",[1]对账明细接口!$R798),"")</f>
        <v/>
      </c>
      <c r="X798" s="10" t="str">
        <f aca="false">IFERROR(IF([1]对账明细接口!$S798=0,"",[1]对账明细接口!$S798),"")</f>
        <v/>
      </c>
      <c r="Y798" s="10" t="str">
        <f aca="false">""</f>
        <v/>
      </c>
      <c r="Z798" s="10" t="str">
        <f aca="false">""</f>
        <v/>
      </c>
      <c r="AA798" s="10" t="str">
        <f aca="false">""</f>
        <v/>
      </c>
      <c r="AB798" s="10" t="str">
        <f aca="false">""</f>
        <v/>
      </c>
    </row>
    <row r="799" customFormat="false" ht="13.5" hidden="false" customHeight="false" outlineLevel="0" collapsed="false">
      <c r="A799" s="109" t="n">
        <v>799</v>
      </c>
      <c r="B799" s="110" t="str">
        <f aca="false">IFERROR(IF([1]对账明细接口!$B$799=0,"",[1]对账明细接口!$B$799),"")</f>
        <v/>
      </c>
      <c r="C799" s="59" t="str">
        <f aca="false">IFERROR(IF([1]对账明细接口!$C$799=0,"",[1]对账明细接口!$C$799),"")</f>
        <v/>
      </c>
      <c r="D799" s="59" t="str">
        <f aca="false">IFERROR(IF([1]对账明细接口!$D$799=0,"",[1]对账明细接口!$D$799),"")</f>
        <v/>
      </c>
      <c r="E799" s="59" t="str">
        <f aca="false">IFERROR(IF([1]对账明细接口!$E$799=0,"",[1]对账明细接口!$E$799),"")</f>
        <v/>
      </c>
      <c r="F799" s="59" t="str">
        <f aca="false">IFERROR(IF([1]对账明细接口!$F$799=0,"",[1]对账明细接口!$F$799),"")</f>
        <v/>
      </c>
      <c r="G799" s="59" t="str">
        <f aca="false">IFERROR(IF([1]对账明细接口!$G$799=0,"",[1]对账明细接口!$G$799),"")</f>
        <v/>
      </c>
      <c r="H799" s="60" t="str">
        <f aca="false">IFERROR(IF([1]对账明细接口!$H$799=0,"",[1]对账明细接口!$H$799),"")</f>
        <v/>
      </c>
      <c r="I799" s="59" t="str">
        <f aca="false">IFERROR(IF([1]对账明细接口!$I$799=0,"",[1]对账明细接口!$I$799),"")</f>
        <v/>
      </c>
      <c r="J799" s="61" t="str">
        <f aca="false">IFERROR(IF([1]对账明细接口!$J$799=0,"",[1]对账明细接口!$J$799),"")</f>
        <v/>
      </c>
      <c r="K799" s="61" t="str">
        <f aca="false">IFERROR(IF([1]对账明细接口!$K$799=0,"",[1]对账明细接口!$K$799),"")</f>
        <v/>
      </c>
      <c r="L799" s="59" t="str">
        <f aca="false">IFERROR(IF([1]对账明细接口!$L$799=0,"",[1]对账明细接口!$L$799),"")</f>
        <v/>
      </c>
      <c r="M799" s="59" t="str">
        <f aca="false">IFERROR(IF([1]对账明细接口!$M$799=0,"",[1]对账明细接口!$M$799),"")</f>
        <v/>
      </c>
      <c r="N799" s="111" t="n">
        <f aca="false">IF($C799="",0,1)</f>
        <v>0</v>
      </c>
      <c r="O799" s="111" t="n">
        <f aca="false">N(O798)+$N799</f>
        <v>110</v>
      </c>
      <c r="S799" s="10" t="str">
        <f aca="false">IFERROR(IF([1]对账明细接口!$N799=0,"",[1]对账明细接口!$N799),"")</f>
        <v/>
      </c>
      <c r="T799" s="112" t="str">
        <f aca="false">IFERROR(IF([1]对账明细接口!$O799=0,"",[1]对账明细接口!$O799),"")</f>
        <v/>
      </c>
      <c r="U799" s="112" t="str">
        <f aca="false">IFERROR(IF([1]对账明细接口!$P799=0,"",[1]对账明细接口!$P799),"")</f>
        <v/>
      </c>
      <c r="V799" s="112" t="str">
        <f aca="false">IFERROR(IF([1]对账明细接口!$Q799=0,"",[1]对账明细接口!$Q799),"")</f>
        <v/>
      </c>
      <c r="W799" s="10" t="str">
        <f aca="false">IFERROR(IF([1]对账明细接口!$R799=0,"",[1]对账明细接口!$R799),"")</f>
        <v/>
      </c>
      <c r="X799" s="10" t="str">
        <f aca="false">IFERROR(IF([1]对账明细接口!$S799=0,"",[1]对账明细接口!$S799),"")</f>
        <v/>
      </c>
      <c r="Y799" s="10" t="str">
        <f aca="false">""</f>
        <v/>
      </c>
      <c r="Z799" s="10" t="str">
        <f aca="false">""</f>
        <v/>
      </c>
      <c r="AA799" s="10" t="str">
        <f aca="false">""</f>
        <v/>
      </c>
      <c r="AB799" s="10" t="str">
        <f aca="false">""</f>
        <v/>
      </c>
    </row>
    <row r="800" customFormat="false" ht="13.5" hidden="false" customHeight="false" outlineLevel="0" collapsed="false">
      <c r="A800" s="109" t="n">
        <v>800</v>
      </c>
      <c r="B800" s="110" t="str">
        <f aca="false">IFERROR(IF([1]对账明细接口!$B$800=0,"",[1]对账明细接口!$B$800),"")</f>
        <v/>
      </c>
      <c r="C800" s="59" t="str">
        <f aca="false">IFERROR(IF([1]对账明细接口!$C$800=0,"",[1]对账明细接口!$C$800),"")</f>
        <v/>
      </c>
      <c r="D800" s="59" t="str">
        <f aca="false">IFERROR(IF([1]对账明细接口!$D$800=0,"",[1]对账明细接口!$D$800),"")</f>
        <v/>
      </c>
      <c r="E800" s="59" t="str">
        <f aca="false">IFERROR(IF([1]对账明细接口!$E$800=0,"",[1]对账明细接口!$E$800),"")</f>
        <v/>
      </c>
      <c r="F800" s="59" t="str">
        <f aca="false">IFERROR(IF([1]对账明细接口!$F$800=0,"",[1]对账明细接口!$F$800),"")</f>
        <v/>
      </c>
      <c r="G800" s="59" t="str">
        <f aca="false">IFERROR(IF([1]对账明细接口!$G$800=0,"",[1]对账明细接口!$G$800),"")</f>
        <v/>
      </c>
      <c r="H800" s="60" t="str">
        <f aca="false">IFERROR(IF([1]对账明细接口!$H$800=0,"",[1]对账明细接口!$H$800),"")</f>
        <v/>
      </c>
      <c r="I800" s="59" t="str">
        <f aca="false">IFERROR(IF([1]对账明细接口!$I$800=0,"",[1]对账明细接口!$I$800),"")</f>
        <v/>
      </c>
      <c r="J800" s="61" t="str">
        <f aca="false">IFERROR(IF([1]对账明细接口!$J$800=0,"",[1]对账明细接口!$J$800),"")</f>
        <v/>
      </c>
      <c r="K800" s="61" t="str">
        <f aca="false">IFERROR(IF([1]对账明细接口!$K$800=0,"",[1]对账明细接口!$K$800),"")</f>
        <v/>
      </c>
      <c r="L800" s="59" t="str">
        <f aca="false">IFERROR(IF([1]对账明细接口!$L$800=0,"",[1]对账明细接口!$L$800),"")</f>
        <v/>
      </c>
      <c r="M800" s="59" t="str">
        <f aca="false">IFERROR(IF([1]对账明细接口!$M$800=0,"",[1]对账明细接口!$M$800),"")</f>
        <v/>
      </c>
      <c r="N800" s="111" t="n">
        <f aca="false">IF($C800="",0,1)</f>
        <v>0</v>
      </c>
      <c r="O800" s="111" t="n">
        <f aca="false">N(O799)+$N800</f>
        <v>110</v>
      </c>
      <c r="S800" s="10" t="str">
        <f aca="false">IFERROR(IF([1]对账明细接口!$N800=0,"",[1]对账明细接口!$N800),"")</f>
        <v/>
      </c>
      <c r="T800" s="112" t="str">
        <f aca="false">IFERROR(IF([1]对账明细接口!$O800=0,"",[1]对账明细接口!$O800),"")</f>
        <v/>
      </c>
      <c r="U800" s="112" t="str">
        <f aca="false">IFERROR(IF([1]对账明细接口!$P800=0,"",[1]对账明细接口!$P800),"")</f>
        <v/>
      </c>
      <c r="V800" s="112" t="str">
        <f aca="false">IFERROR(IF([1]对账明细接口!$Q800=0,"",[1]对账明细接口!$Q800),"")</f>
        <v/>
      </c>
      <c r="W800" s="10" t="str">
        <f aca="false">IFERROR(IF([1]对账明细接口!$R800=0,"",[1]对账明细接口!$R800),"")</f>
        <v/>
      </c>
      <c r="X800" s="10" t="str">
        <f aca="false">IFERROR(IF([1]对账明细接口!$S800=0,"",[1]对账明细接口!$S800),"")</f>
        <v/>
      </c>
      <c r="Y800" s="10" t="str">
        <f aca="false">""</f>
        <v/>
      </c>
      <c r="Z800" s="10" t="str">
        <f aca="false">""</f>
        <v/>
      </c>
      <c r="AA800" s="10" t="str">
        <f aca="false">""</f>
        <v/>
      </c>
      <c r="AB800" s="10" t="str">
        <f aca="false">""</f>
        <v/>
      </c>
    </row>
    <row r="801" customFormat="false" ht="13.5" hidden="false" customHeight="false" outlineLevel="0" collapsed="false">
      <c r="A801" s="109" t="n">
        <v>801</v>
      </c>
      <c r="B801" s="110" t="str">
        <f aca="false">IFERROR(IF([1]对账明细接口!$B$801=0,"",[1]对账明细接口!$B$801),"")</f>
        <v/>
      </c>
      <c r="C801" s="59" t="str">
        <f aca="false">IFERROR(IF([1]对账明细接口!$C$801=0,"",[1]对账明细接口!$C$801),"")</f>
        <v/>
      </c>
      <c r="D801" s="59" t="str">
        <f aca="false">IFERROR(IF([1]对账明细接口!$D$801=0,"",[1]对账明细接口!$D$801),"")</f>
        <v/>
      </c>
      <c r="E801" s="59" t="str">
        <f aca="false">IFERROR(IF([1]对账明细接口!$E$801=0,"",[1]对账明细接口!$E$801),"")</f>
        <v/>
      </c>
      <c r="F801" s="59" t="str">
        <f aca="false">IFERROR(IF([1]对账明细接口!$F$801=0,"",[1]对账明细接口!$F$801),"")</f>
        <v/>
      </c>
      <c r="G801" s="59" t="str">
        <f aca="false">IFERROR(IF([1]对账明细接口!$G$801=0,"",[1]对账明细接口!$G$801),"")</f>
        <v/>
      </c>
      <c r="H801" s="60" t="str">
        <f aca="false">IFERROR(IF([1]对账明细接口!$H$801=0,"",[1]对账明细接口!$H$801),"")</f>
        <v/>
      </c>
      <c r="I801" s="59" t="str">
        <f aca="false">IFERROR(IF([1]对账明细接口!$I$801=0,"",[1]对账明细接口!$I$801),"")</f>
        <v/>
      </c>
      <c r="J801" s="61" t="str">
        <f aca="false">IFERROR(IF([1]对账明细接口!$J$801=0,"",[1]对账明细接口!$J$801),"")</f>
        <v/>
      </c>
      <c r="K801" s="61" t="str">
        <f aca="false">IFERROR(IF([1]对账明细接口!$K$801=0,"",[1]对账明细接口!$K$801),"")</f>
        <v/>
      </c>
      <c r="L801" s="59" t="str">
        <f aca="false">IFERROR(IF([1]对账明细接口!$L$801=0,"",[1]对账明细接口!$L$801),"")</f>
        <v/>
      </c>
      <c r="M801" s="59" t="str">
        <f aca="false">IFERROR(IF([1]对账明细接口!$M$801=0,"",[1]对账明细接口!$M$801),"")</f>
        <v/>
      </c>
      <c r="N801" s="111" t="n">
        <f aca="false">IF($C801="",0,1)</f>
        <v>0</v>
      </c>
      <c r="O801" s="111" t="n">
        <f aca="false">N(O800)+$N801</f>
        <v>110</v>
      </c>
      <c r="S801" s="10" t="str">
        <f aca="false">IFERROR(IF([1]对账明细接口!$N801=0,"",[1]对账明细接口!$N801),"")</f>
        <v/>
      </c>
      <c r="T801" s="112" t="str">
        <f aca="false">IFERROR(IF([1]对账明细接口!$O801=0,"",[1]对账明细接口!$O801),"")</f>
        <v/>
      </c>
      <c r="U801" s="112" t="str">
        <f aca="false">IFERROR(IF([1]对账明细接口!$P801=0,"",[1]对账明细接口!$P801),"")</f>
        <v/>
      </c>
      <c r="V801" s="112" t="str">
        <f aca="false">IFERROR(IF([1]对账明细接口!$Q801=0,"",[1]对账明细接口!$Q801),"")</f>
        <v/>
      </c>
      <c r="W801" s="10" t="str">
        <f aca="false">IFERROR(IF([1]对账明细接口!$R801=0,"",[1]对账明细接口!$R801),"")</f>
        <v/>
      </c>
      <c r="X801" s="10" t="str">
        <f aca="false">IFERROR(IF([1]对账明细接口!$S801=0,"",[1]对账明细接口!$S801),"")</f>
        <v/>
      </c>
      <c r="Y801" s="10" t="str">
        <f aca="false">""</f>
        <v/>
      </c>
      <c r="Z801" s="10" t="str">
        <f aca="false">""</f>
        <v/>
      </c>
      <c r="AA801" s="10" t="str">
        <f aca="false">""</f>
        <v/>
      </c>
      <c r="AB801" s="10" t="str">
        <f aca="false">""</f>
        <v/>
      </c>
    </row>
    <row r="802" customFormat="false" ht="13.5" hidden="false" customHeight="false" outlineLevel="0" collapsed="false">
      <c r="A802" s="109" t="n">
        <v>802</v>
      </c>
      <c r="B802" s="110" t="str">
        <f aca="false">IFERROR(IF([1]对账明细接口!$B$802=0,"",[1]对账明细接口!$B$802),"")</f>
        <v/>
      </c>
      <c r="C802" s="59" t="str">
        <f aca="false">IFERROR(IF([1]对账明细接口!$C$802=0,"",[1]对账明细接口!$C$802),"")</f>
        <v/>
      </c>
      <c r="D802" s="59" t="str">
        <f aca="false">IFERROR(IF([1]对账明细接口!$D$802=0,"",[1]对账明细接口!$D$802),"")</f>
        <v/>
      </c>
      <c r="E802" s="59" t="str">
        <f aca="false">IFERROR(IF([1]对账明细接口!$E$802=0,"",[1]对账明细接口!$E$802),"")</f>
        <v/>
      </c>
      <c r="F802" s="59" t="str">
        <f aca="false">IFERROR(IF([1]对账明细接口!$F$802=0,"",[1]对账明细接口!$F$802),"")</f>
        <v/>
      </c>
      <c r="G802" s="59" t="str">
        <f aca="false">IFERROR(IF([1]对账明细接口!$G$802=0,"",[1]对账明细接口!$G$802),"")</f>
        <v/>
      </c>
      <c r="H802" s="60" t="str">
        <f aca="false">IFERROR(IF([1]对账明细接口!$H$802=0,"",[1]对账明细接口!$H$802),"")</f>
        <v/>
      </c>
      <c r="I802" s="59" t="str">
        <f aca="false">IFERROR(IF([1]对账明细接口!$I$802=0,"",[1]对账明细接口!$I$802),"")</f>
        <v/>
      </c>
      <c r="J802" s="61" t="str">
        <f aca="false">IFERROR(IF([1]对账明细接口!$J$802=0,"",[1]对账明细接口!$J$802),"")</f>
        <v/>
      </c>
      <c r="K802" s="61" t="str">
        <f aca="false">IFERROR(IF([1]对账明细接口!$K$802=0,"",[1]对账明细接口!$K$802),"")</f>
        <v/>
      </c>
      <c r="L802" s="59" t="str">
        <f aca="false">IFERROR(IF([1]对账明细接口!$L$802=0,"",[1]对账明细接口!$L$802),"")</f>
        <v/>
      </c>
      <c r="M802" s="59" t="str">
        <f aca="false">IFERROR(IF([1]对账明细接口!$M$802=0,"",[1]对账明细接口!$M$802),"")</f>
        <v/>
      </c>
      <c r="N802" s="111" t="n">
        <f aca="false">IF($C802="",0,1)</f>
        <v>0</v>
      </c>
      <c r="O802" s="111" t="n">
        <f aca="false">N(O801)+$N802</f>
        <v>110</v>
      </c>
      <c r="S802" s="10" t="str">
        <f aca="false">IFERROR(IF([1]对账明细接口!$N802=0,"",[1]对账明细接口!$N802),"")</f>
        <v/>
      </c>
      <c r="T802" s="112" t="str">
        <f aca="false">IFERROR(IF([1]对账明细接口!$O802=0,"",[1]对账明细接口!$O802),"")</f>
        <v/>
      </c>
      <c r="U802" s="112" t="str">
        <f aca="false">IFERROR(IF([1]对账明细接口!$P802=0,"",[1]对账明细接口!$P802),"")</f>
        <v/>
      </c>
      <c r="V802" s="112" t="str">
        <f aca="false">IFERROR(IF([1]对账明细接口!$Q802=0,"",[1]对账明细接口!$Q802),"")</f>
        <v/>
      </c>
      <c r="W802" s="10" t="str">
        <f aca="false">IFERROR(IF([1]对账明细接口!$R802=0,"",[1]对账明细接口!$R802),"")</f>
        <v/>
      </c>
      <c r="X802" s="10" t="str">
        <f aca="false">IFERROR(IF([1]对账明细接口!$S802=0,"",[1]对账明细接口!$S802),"")</f>
        <v/>
      </c>
      <c r="Y802" s="10" t="str">
        <f aca="false">""</f>
        <v/>
      </c>
      <c r="Z802" s="10" t="str">
        <f aca="false">""</f>
        <v/>
      </c>
      <c r="AA802" s="10" t="str">
        <f aca="false">""</f>
        <v/>
      </c>
      <c r="AB802" s="10" t="str">
        <f aca="false">""</f>
        <v/>
      </c>
    </row>
    <row r="803" customFormat="false" ht="13.5" hidden="false" customHeight="false" outlineLevel="0" collapsed="false">
      <c r="A803" s="109" t="n">
        <v>803</v>
      </c>
      <c r="B803" s="110" t="str">
        <f aca="false">IFERROR(IF([1]对账明细接口!$B$803=0,"",[1]对账明细接口!$B$803),"")</f>
        <v/>
      </c>
      <c r="C803" s="59" t="str">
        <f aca="false">IFERROR(IF([1]对账明细接口!$C$803=0,"",[1]对账明细接口!$C$803),"")</f>
        <v/>
      </c>
      <c r="D803" s="59" t="str">
        <f aca="false">IFERROR(IF([1]对账明细接口!$D$803=0,"",[1]对账明细接口!$D$803),"")</f>
        <v/>
      </c>
      <c r="E803" s="59" t="str">
        <f aca="false">IFERROR(IF([1]对账明细接口!$E$803=0,"",[1]对账明细接口!$E$803),"")</f>
        <v/>
      </c>
      <c r="F803" s="59" t="str">
        <f aca="false">IFERROR(IF([1]对账明细接口!$F$803=0,"",[1]对账明细接口!$F$803),"")</f>
        <v/>
      </c>
      <c r="G803" s="59" t="str">
        <f aca="false">IFERROR(IF([1]对账明细接口!$G$803=0,"",[1]对账明细接口!$G$803),"")</f>
        <v/>
      </c>
      <c r="H803" s="60" t="str">
        <f aca="false">IFERROR(IF([1]对账明细接口!$H$803=0,"",[1]对账明细接口!$H$803),"")</f>
        <v/>
      </c>
      <c r="I803" s="59" t="str">
        <f aca="false">IFERROR(IF([1]对账明细接口!$I$803=0,"",[1]对账明细接口!$I$803),"")</f>
        <v/>
      </c>
      <c r="J803" s="61" t="str">
        <f aca="false">IFERROR(IF([1]对账明细接口!$J$803=0,"",[1]对账明细接口!$J$803),"")</f>
        <v/>
      </c>
      <c r="K803" s="61" t="str">
        <f aca="false">IFERROR(IF([1]对账明细接口!$K$803=0,"",[1]对账明细接口!$K$803),"")</f>
        <v/>
      </c>
      <c r="L803" s="59" t="str">
        <f aca="false">IFERROR(IF([1]对账明细接口!$L$803=0,"",[1]对账明细接口!$L$803),"")</f>
        <v/>
      </c>
      <c r="M803" s="59" t="str">
        <f aca="false">IFERROR(IF([1]对账明细接口!$M$803=0,"",[1]对账明细接口!$M$803),"")</f>
        <v/>
      </c>
      <c r="N803" s="111" t="n">
        <f aca="false">IF($C803="",0,1)</f>
        <v>0</v>
      </c>
      <c r="O803" s="111" t="n">
        <f aca="false">N(O802)+$N803</f>
        <v>110</v>
      </c>
      <c r="S803" s="10" t="str">
        <f aca="false">IFERROR(IF([1]对账明细接口!$N803=0,"",[1]对账明细接口!$N803),"")</f>
        <v/>
      </c>
      <c r="T803" s="112" t="str">
        <f aca="false">IFERROR(IF([1]对账明细接口!$O803=0,"",[1]对账明细接口!$O803),"")</f>
        <v/>
      </c>
      <c r="U803" s="112" t="str">
        <f aca="false">IFERROR(IF([1]对账明细接口!$P803=0,"",[1]对账明细接口!$P803),"")</f>
        <v/>
      </c>
      <c r="V803" s="112" t="str">
        <f aca="false">IFERROR(IF([1]对账明细接口!$Q803=0,"",[1]对账明细接口!$Q803),"")</f>
        <v/>
      </c>
      <c r="W803" s="10" t="str">
        <f aca="false">IFERROR(IF([1]对账明细接口!$R803=0,"",[1]对账明细接口!$R803),"")</f>
        <v/>
      </c>
      <c r="X803" s="10" t="str">
        <f aca="false">IFERROR(IF([1]对账明细接口!$S803=0,"",[1]对账明细接口!$S803),"")</f>
        <v/>
      </c>
      <c r="Y803" s="10" t="str">
        <f aca="false">""</f>
        <v/>
      </c>
      <c r="Z803" s="10" t="str">
        <f aca="false">""</f>
        <v/>
      </c>
      <c r="AA803" s="10" t="str">
        <f aca="false">""</f>
        <v/>
      </c>
      <c r="AB803" s="10" t="str">
        <f aca="false">""</f>
        <v/>
      </c>
    </row>
    <row r="804" customFormat="false" ht="13.5" hidden="false" customHeight="false" outlineLevel="0" collapsed="false">
      <c r="A804" s="109" t="n">
        <v>804</v>
      </c>
      <c r="B804" s="110" t="str">
        <f aca="false">IFERROR(IF([1]对账明细接口!$B$804=0,"",[1]对账明细接口!$B$804),"")</f>
        <v/>
      </c>
      <c r="C804" s="59" t="str">
        <f aca="false">IFERROR(IF([1]对账明细接口!$C$804=0,"",[1]对账明细接口!$C$804),"")</f>
        <v/>
      </c>
      <c r="D804" s="59" t="str">
        <f aca="false">IFERROR(IF([1]对账明细接口!$D$804=0,"",[1]对账明细接口!$D$804),"")</f>
        <v/>
      </c>
      <c r="E804" s="59" t="str">
        <f aca="false">IFERROR(IF([1]对账明细接口!$E$804=0,"",[1]对账明细接口!$E$804),"")</f>
        <v/>
      </c>
      <c r="F804" s="59" t="str">
        <f aca="false">IFERROR(IF([1]对账明细接口!$F$804=0,"",[1]对账明细接口!$F$804),"")</f>
        <v/>
      </c>
      <c r="G804" s="59" t="str">
        <f aca="false">IFERROR(IF([1]对账明细接口!$G$804=0,"",[1]对账明细接口!$G$804),"")</f>
        <v/>
      </c>
      <c r="H804" s="60" t="str">
        <f aca="false">IFERROR(IF([1]对账明细接口!$H$804=0,"",[1]对账明细接口!$H$804),"")</f>
        <v/>
      </c>
      <c r="I804" s="59" t="str">
        <f aca="false">IFERROR(IF([1]对账明细接口!$I$804=0,"",[1]对账明细接口!$I$804),"")</f>
        <v/>
      </c>
      <c r="J804" s="61" t="str">
        <f aca="false">IFERROR(IF([1]对账明细接口!$J$804=0,"",[1]对账明细接口!$J$804),"")</f>
        <v/>
      </c>
      <c r="K804" s="61" t="str">
        <f aca="false">IFERROR(IF([1]对账明细接口!$K$804=0,"",[1]对账明细接口!$K$804),"")</f>
        <v/>
      </c>
      <c r="L804" s="59" t="str">
        <f aca="false">IFERROR(IF([1]对账明细接口!$L$804=0,"",[1]对账明细接口!$L$804),"")</f>
        <v/>
      </c>
      <c r="M804" s="59" t="str">
        <f aca="false">IFERROR(IF([1]对账明细接口!$M$804=0,"",[1]对账明细接口!$M$804),"")</f>
        <v/>
      </c>
      <c r="N804" s="111" t="n">
        <f aca="false">IF($C804="",0,1)</f>
        <v>0</v>
      </c>
      <c r="O804" s="111" t="n">
        <f aca="false">N(O803)+$N804</f>
        <v>110</v>
      </c>
      <c r="S804" s="10" t="str">
        <f aca="false">IFERROR(IF([1]对账明细接口!$N804=0,"",[1]对账明细接口!$N804),"")</f>
        <v/>
      </c>
      <c r="T804" s="112" t="str">
        <f aca="false">IFERROR(IF([1]对账明细接口!$O804=0,"",[1]对账明细接口!$O804),"")</f>
        <v/>
      </c>
      <c r="U804" s="112" t="str">
        <f aca="false">IFERROR(IF([1]对账明细接口!$P804=0,"",[1]对账明细接口!$P804),"")</f>
        <v/>
      </c>
      <c r="V804" s="112" t="str">
        <f aca="false">IFERROR(IF([1]对账明细接口!$Q804=0,"",[1]对账明细接口!$Q804),"")</f>
        <v/>
      </c>
      <c r="W804" s="10" t="str">
        <f aca="false">IFERROR(IF([1]对账明细接口!$R804=0,"",[1]对账明细接口!$R804),"")</f>
        <v/>
      </c>
      <c r="X804" s="10" t="str">
        <f aca="false">IFERROR(IF([1]对账明细接口!$S804=0,"",[1]对账明细接口!$S804),"")</f>
        <v/>
      </c>
      <c r="Y804" s="10" t="str">
        <f aca="false">""</f>
        <v/>
      </c>
      <c r="Z804" s="10" t="str">
        <f aca="false">""</f>
        <v/>
      </c>
      <c r="AA804" s="10" t="str">
        <f aca="false">""</f>
        <v/>
      </c>
      <c r="AB804" s="10" t="str">
        <f aca="false">""</f>
        <v/>
      </c>
    </row>
    <row r="805" customFormat="false" ht="13.5" hidden="false" customHeight="false" outlineLevel="0" collapsed="false">
      <c r="A805" s="109" t="n">
        <v>805</v>
      </c>
      <c r="B805" s="110" t="str">
        <f aca="false">IFERROR(IF([1]对账明细接口!$B$805=0,"",[1]对账明细接口!$B$805),"")</f>
        <v/>
      </c>
      <c r="C805" s="59" t="str">
        <f aca="false">IFERROR(IF([1]对账明细接口!$C$805=0,"",[1]对账明细接口!$C$805),"")</f>
        <v/>
      </c>
      <c r="D805" s="59" t="str">
        <f aca="false">IFERROR(IF([1]对账明细接口!$D$805=0,"",[1]对账明细接口!$D$805),"")</f>
        <v/>
      </c>
      <c r="E805" s="59" t="str">
        <f aca="false">IFERROR(IF([1]对账明细接口!$E$805=0,"",[1]对账明细接口!$E$805),"")</f>
        <v/>
      </c>
      <c r="F805" s="59" t="str">
        <f aca="false">IFERROR(IF([1]对账明细接口!$F$805=0,"",[1]对账明细接口!$F$805),"")</f>
        <v/>
      </c>
      <c r="G805" s="59" t="str">
        <f aca="false">IFERROR(IF([1]对账明细接口!$G$805=0,"",[1]对账明细接口!$G$805),"")</f>
        <v/>
      </c>
      <c r="H805" s="60" t="str">
        <f aca="false">IFERROR(IF([1]对账明细接口!$H$805=0,"",[1]对账明细接口!$H$805),"")</f>
        <v/>
      </c>
      <c r="I805" s="59" t="str">
        <f aca="false">IFERROR(IF([1]对账明细接口!$I$805=0,"",[1]对账明细接口!$I$805),"")</f>
        <v/>
      </c>
      <c r="J805" s="61" t="str">
        <f aca="false">IFERROR(IF([1]对账明细接口!$J$805=0,"",[1]对账明细接口!$J$805),"")</f>
        <v/>
      </c>
      <c r="K805" s="61" t="str">
        <f aca="false">IFERROR(IF([1]对账明细接口!$K$805=0,"",[1]对账明细接口!$K$805),"")</f>
        <v/>
      </c>
      <c r="L805" s="59" t="str">
        <f aca="false">IFERROR(IF([1]对账明细接口!$L$805=0,"",[1]对账明细接口!$L$805),"")</f>
        <v/>
      </c>
      <c r="M805" s="59" t="str">
        <f aca="false">IFERROR(IF([1]对账明细接口!$M$805=0,"",[1]对账明细接口!$M$805),"")</f>
        <v/>
      </c>
      <c r="N805" s="111" t="n">
        <f aca="false">IF($C805="",0,1)</f>
        <v>0</v>
      </c>
      <c r="O805" s="111" t="n">
        <f aca="false">N(O804)+$N805</f>
        <v>110</v>
      </c>
      <c r="S805" s="10" t="str">
        <f aca="false">IFERROR(IF([1]对账明细接口!$N805=0,"",[1]对账明细接口!$N805),"")</f>
        <v/>
      </c>
      <c r="T805" s="112" t="str">
        <f aca="false">IFERROR(IF([1]对账明细接口!$O805=0,"",[1]对账明细接口!$O805),"")</f>
        <v/>
      </c>
      <c r="U805" s="112" t="str">
        <f aca="false">IFERROR(IF([1]对账明细接口!$P805=0,"",[1]对账明细接口!$P805),"")</f>
        <v/>
      </c>
      <c r="V805" s="112" t="str">
        <f aca="false">IFERROR(IF([1]对账明细接口!$Q805=0,"",[1]对账明细接口!$Q805),"")</f>
        <v/>
      </c>
      <c r="W805" s="10" t="str">
        <f aca="false">IFERROR(IF([1]对账明细接口!$R805=0,"",[1]对账明细接口!$R805),"")</f>
        <v/>
      </c>
      <c r="X805" s="10" t="str">
        <f aca="false">IFERROR(IF([1]对账明细接口!$S805=0,"",[1]对账明细接口!$S805),"")</f>
        <v/>
      </c>
      <c r="Y805" s="10" t="str">
        <f aca="false">""</f>
        <v/>
      </c>
      <c r="Z805" s="10" t="str">
        <f aca="false">""</f>
        <v/>
      </c>
      <c r="AA805" s="10" t="str">
        <f aca="false">""</f>
        <v/>
      </c>
      <c r="AB805" s="10" t="str">
        <f aca="false">""</f>
        <v/>
      </c>
    </row>
    <row r="806" customFormat="false" ht="13.5" hidden="false" customHeight="false" outlineLevel="0" collapsed="false">
      <c r="A806" s="109" t="n">
        <v>806</v>
      </c>
      <c r="B806" s="110" t="str">
        <f aca="false">IFERROR(IF([1]对账明细接口!$B$806=0,"",[1]对账明细接口!$B$806),"")</f>
        <v/>
      </c>
      <c r="C806" s="59" t="str">
        <f aca="false">IFERROR(IF([1]对账明细接口!$C$806=0,"",[1]对账明细接口!$C$806),"")</f>
        <v/>
      </c>
      <c r="D806" s="59" t="str">
        <f aca="false">IFERROR(IF([1]对账明细接口!$D$806=0,"",[1]对账明细接口!$D$806),"")</f>
        <v/>
      </c>
      <c r="E806" s="59" t="str">
        <f aca="false">IFERROR(IF([1]对账明细接口!$E$806=0,"",[1]对账明细接口!$E$806),"")</f>
        <v/>
      </c>
      <c r="F806" s="59" t="str">
        <f aca="false">IFERROR(IF([1]对账明细接口!$F$806=0,"",[1]对账明细接口!$F$806),"")</f>
        <v/>
      </c>
      <c r="G806" s="59" t="str">
        <f aca="false">IFERROR(IF([1]对账明细接口!$G$806=0,"",[1]对账明细接口!$G$806),"")</f>
        <v/>
      </c>
      <c r="H806" s="60" t="str">
        <f aca="false">IFERROR(IF([1]对账明细接口!$H$806=0,"",[1]对账明细接口!$H$806),"")</f>
        <v/>
      </c>
      <c r="I806" s="59" t="str">
        <f aca="false">IFERROR(IF([1]对账明细接口!$I$806=0,"",[1]对账明细接口!$I$806),"")</f>
        <v/>
      </c>
      <c r="J806" s="61" t="str">
        <f aca="false">IFERROR(IF([1]对账明细接口!$J$806=0,"",[1]对账明细接口!$J$806),"")</f>
        <v/>
      </c>
      <c r="K806" s="61" t="str">
        <f aca="false">IFERROR(IF([1]对账明细接口!$K$806=0,"",[1]对账明细接口!$K$806),"")</f>
        <v/>
      </c>
      <c r="L806" s="59" t="str">
        <f aca="false">IFERROR(IF([1]对账明细接口!$L$806=0,"",[1]对账明细接口!$L$806),"")</f>
        <v/>
      </c>
      <c r="M806" s="59" t="str">
        <f aca="false">IFERROR(IF([1]对账明细接口!$M$806=0,"",[1]对账明细接口!$M$806),"")</f>
        <v/>
      </c>
      <c r="N806" s="111" t="n">
        <f aca="false">IF($C806="",0,1)</f>
        <v>0</v>
      </c>
      <c r="O806" s="111" t="n">
        <f aca="false">N(O805)+$N806</f>
        <v>110</v>
      </c>
      <c r="S806" s="10" t="str">
        <f aca="false">IFERROR(IF([1]对账明细接口!$N806=0,"",[1]对账明细接口!$N806),"")</f>
        <v/>
      </c>
      <c r="T806" s="112" t="str">
        <f aca="false">IFERROR(IF([1]对账明细接口!$O806=0,"",[1]对账明细接口!$O806),"")</f>
        <v/>
      </c>
      <c r="U806" s="112" t="str">
        <f aca="false">IFERROR(IF([1]对账明细接口!$P806=0,"",[1]对账明细接口!$P806),"")</f>
        <v/>
      </c>
      <c r="V806" s="112" t="str">
        <f aca="false">IFERROR(IF([1]对账明细接口!$Q806=0,"",[1]对账明细接口!$Q806),"")</f>
        <v/>
      </c>
      <c r="W806" s="10" t="str">
        <f aca="false">IFERROR(IF([1]对账明细接口!$R806=0,"",[1]对账明细接口!$R806),"")</f>
        <v/>
      </c>
      <c r="X806" s="10" t="str">
        <f aca="false">IFERROR(IF([1]对账明细接口!$S806=0,"",[1]对账明细接口!$S806),"")</f>
        <v/>
      </c>
      <c r="Y806" s="10" t="str">
        <f aca="false">""</f>
        <v/>
      </c>
      <c r="Z806" s="10" t="str">
        <f aca="false">""</f>
        <v/>
      </c>
      <c r="AA806" s="10" t="str">
        <f aca="false">""</f>
        <v/>
      </c>
      <c r="AB806" s="10" t="str">
        <f aca="false">""</f>
        <v/>
      </c>
    </row>
    <row r="807" customFormat="false" ht="13.5" hidden="false" customHeight="false" outlineLevel="0" collapsed="false">
      <c r="A807" s="109" t="n">
        <v>807</v>
      </c>
      <c r="B807" s="110" t="str">
        <f aca="false">IFERROR(IF([1]对账明细接口!$B$807=0,"",[1]对账明细接口!$B$807),"")</f>
        <v/>
      </c>
      <c r="C807" s="59" t="str">
        <f aca="false">IFERROR(IF([1]对账明细接口!$C$807=0,"",[1]对账明细接口!$C$807),"")</f>
        <v/>
      </c>
      <c r="D807" s="59" t="str">
        <f aca="false">IFERROR(IF([1]对账明细接口!$D$807=0,"",[1]对账明细接口!$D$807),"")</f>
        <v/>
      </c>
      <c r="E807" s="59" t="str">
        <f aca="false">IFERROR(IF([1]对账明细接口!$E$807=0,"",[1]对账明细接口!$E$807),"")</f>
        <v/>
      </c>
      <c r="F807" s="59" t="str">
        <f aca="false">IFERROR(IF([1]对账明细接口!$F$807=0,"",[1]对账明细接口!$F$807),"")</f>
        <v/>
      </c>
      <c r="G807" s="59" t="str">
        <f aca="false">IFERROR(IF([1]对账明细接口!$G$807=0,"",[1]对账明细接口!$G$807),"")</f>
        <v/>
      </c>
      <c r="H807" s="60" t="str">
        <f aca="false">IFERROR(IF([1]对账明细接口!$H$807=0,"",[1]对账明细接口!$H$807),"")</f>
        <v/>
      </c>
      <c r="I807" s="59" t="str">
        <f aca="false">IFERROR(IF([1]对账明细接口!$I$807=0,"",[1]对账明细接口!$I$807),"")</f>
        <v/>
      </c>
      <c r="J807" s="61" t="str">
        <f aca="false">IFERROR(IF([1]对账明细接口!$J$807=0,"",[1]对账明细接口!$J$807),"")</f>
        <v/>
      </c>
      <c r="K807" s="61" t="str">
        <f aca="false">IFERROR(IF([1]对账明细接口!$K$807=0,"",[1]对账明细接口!$K$807),"")</f>
        <v/>
      </c>
      <c r="L807" s="59" t="str">
        <f aca="false">IFERROR(IF([1]对账明细接口!$L$807=0,"",[1]对账明细接口!$L$807),"")</f>
        <v/>
      </c>
      <c r="M807" s="59" t="str">
        <f aca="false">IFERROR(IF([1]对账明细接口!$M$807=0,"",[1]对账明细接口!$M$807),"")</f>
        <v/>
      </c>
      <c r="N807" s="111" t="n">
        <f aca="false">IF($C807="",0,1)</f>
        <v>0</v>
      </c>
      <c r="O807" s="111" t="n">
        <f aca="false">N(O806)+$N807</f>
        <v>110</v>
      </c>
      <c r="S807" s="10" t="str">
        <f aca="false">IFERROR(IF([1]对账明细接口!$N807=0,"",[1]对账明细接口!$N807),"")</f>
        <v/>
      </c>
      <c r="T807" s="112" t="str">
        <f aca="false">IFERROR(IF([1]对账明细接口!$O807=0,"",[1]对账明细接口!$O807),"")</f>
        <v/>
      </c>
      <c r="U807" s="112" t="str">
        <f aca="false">IFERROR(IF([1]对账明细接口!$P807=0,"",[1]对账明细接口!$P807),"")</f>
        <v/>
      </c>
      <c r="V807" s="112" t="str">
        <f aca="false">IFERROR(IF([1]对账明细接口!$Q807=0,"",[1]对账明细接口!$Q807),"")</f>
        <v/>
      </c>
      <c r="W807" s="10" t="str">
        <f aca="false">IFERROR(IF([1]对账明细接口!$R807=0,"",[1]对账明细接口!$R807),"")</f>
        <v/>
      </c>
      <c r="X807" s="10" t="str">
        <f aca="false">IFERROR(IF([1]对账明细接口!$S807=0,"",[1]对账明细接口!$S807),"")</f>
        <v/>
      </c>
      <c r="Y807" s="10" t="str">
        <f aca="false">""</f>
        <v/>
      </c>
      <c r="Z807" s="10" t="str">
        <f aca="false">""</f>
        <v/>
      </c>
      <c r="AA807" s="10" t="str">
        <f aca="false">""</f>
        <v/>
      </c>
      <c r="AB807" s="10" t="str">
        <f aca="false">""</f>
        <v/>
      </c>
    </row>
    <row r="808" customFormat="false" ht="13.5" hidden="false" customHeight="false" outlineLevel="0" collapsed="false">
      <c r="A808" s="109" t="n">
        <v>808</v>
      </c>
      <c r="B808" s="110" t="str">
        <f aca="false">IFERROR(IF([1]对账明细接口!$B$808=0,"",[1]对账明细接口!$B$808),"")</f>
        <v/>
      </c>
      <c r="C808" s="59" t="str">
        <f aca="false">IFERROR(IF([1]对账明细接口!$C$808=0,"",[1]对账明细接口!$C$808),"")</f>
        <v/>
      </c>
      <c r="D808" s="59" t="str">
        <f aca="false">IFERROR(IF([1]对账明细接口!$D$808=0,"",[1]对账明细接口!$D$808),"")</f>
        <v/>
      </c>
      <c r="E808" s="59" t="str">
        <f aca="false">IFERROR(IF([1]对账明细接口!$E$808=0,"",[1]对账明细接口!$E$808),"")</f>
        <v/>
      </c>
      <c r="F808" s="59" t="str">
        <f aca="false">IFERROR(IF([1]对账明细接口!$F$808=0,"",[1]对账明细接口!$F$808),"")</f>
        <v/>
      </c>
      <c r="G808" s="59" t="str">
        <f aca="false">IFERROR(IF([1]对账明细接口!$G$808=0,"",[1]对账明细接口!$G$808),"")</f>
        <v/>
      </c>
      <c r="H808" s="60" t="str">
        <f aca="false">IFERROR(IF([1]对账明细接口!$H$808=0,"",[1]对账明细接口!$H$808),"")</f>
        <v/>
      </c>
      <c r="I808" s="59" t="str">
        <f aca="false">IFERROR(IF([1]对账明细接口!$I$808=0,"",[1]对账明细接口!$I$808),"")</f>
        <v/>
      </c>
      <c r="J808" s="61" t="str">
        <f aca="false">IFERROR(IF([1]对账明细接口!$J$808=0,"",[1]对账明细接口!$J$808),"")</f>
        <v/>
      </c>
      <c r="K808" s="61" t="str">
        <f aca="false">IFERROR(IF([1]对账明细接口!$K$808=0,"",[1]对账明细接口!$K$808),"")</f>
        <v/>
      </c>
      <c r="L808" s="59" t="str">
        <f aca="false">IFERROR(IF([1]对账明细接口!$L$808=0,"",[1]对账明细接口!$L$808),"")</f>
        <v/>
      </c>
      <c r="M808" s="59" t="str">
        <f aca="false">IFERROR(IF([1]对账明细接口!$M$808=0,"",[1]对账明细接口!$M$808),"")</f>
        <v/>
      </c>
      <c r="N808" s="111" t="n">
        <f aca="false">IF($C808="",0,1)</f>
        <v>0</v>
      </c>
      <c r="O808" s="111" t="n">
        <f aca="false">N(O807)+$N808</f>
        <v>110</v>
      </c>
      <c r="S808" s="10" t="str">
        <f aca="false">IFERROR(IF([1]对账明细接口!$N808=0,"",[1]对账明细接口!$N808),"")</f>
        <v/>
      </c>
      <c r="T808" s="112" t="str">
        <f aca="false">IFERROR(IF([1]对账明细接口!$O808=0,"",[1]对账明细接口!$O808),"")</f>
        <v/>
      </c>
      <c r="U808" s="112" t="str">
        <f aca="false">IFERROR(IF([1]对账明细接口!$P808=0,"",[1]对账明细接口!$P808),"")</f>
        <v/>
      </c>
      <c r="V808" s="112" t="str">
        <f aca="false">IFERROR(IF([1]对账明细接口!$Q808=0,"",[1]对账明细接口!$Q808),"")</f>
        <v/>
      </c>
      <c r="W808" s="10" t="str">
        <f aca="false">IFERROR(IF([1]对账明细接口!$R808=0,"",[1]对账明细接口!$R808),"")</f>
        <v/>
      </c>
      <c r="X808" s="10" t="str">
        <f aca="false">IFERROR(IF([1]对账明细接口!$S808=0,"",[1]对账明细接口!$S808),"")</f>
        <v/>
      </c>
      <c r="Y808" s="10" t="str">
        <f aca="false">""</f>
        <v/>
      </c>
      <c r="Z808" s="10" t="str">
        <f aca="false">""</f>
        <v/>
      </c>
      <c r="AA808" s="10" t="str">
        <f aca="false">""</f>
        <v/>
      </c>
      <c r="AB808" s="10" t="str">
        <f aca="false">""</f>
        <v/>
      </c>
    </row>
    <row r="809" customFormat="false" ht="13.5" hidden="false" customHeight="false" outlineLevel="0" collapsed="false">
      <c r="A809" s="109" t="n">
        <v>809</v>
      </c>
      <c r="B809" s="110" t="str">
        <f aca="false">IFERROR(IF([1]对账明细接口!$B$809=0,"",[1]对账明细接口!$B$809),"")</f>
        <v/>
      </c>
      <c r="C809" s="59" t="str">
        <f aca="false">IFERROR(IF([1]对账明细接口!$C$809=0,"",[1]对账明细接口!$C$809),"")</f>
        <v/>
      </c>
      <c r="D809" s="59" t="str">
        <f aca="false">IFERROR(IF([1]对账明细接口!$D$809=0,"",[1]对账明细接口!$D$809),"")</f>
        <v/>
      </c>
      <c r="E809" s="59" t="str">
        <f aca="false">IFERROR(IF([1]对账明细接口!$E$809=0,"",[1]对账明细接口!$E$809),"")</f>
        <v/>
      </c>
      <c r="F809" s="59" t="str">
        <f aca="false">IFERROR(IF([1]对账明细接口!$F$809=0,"",[1]对账明细接口!$F$809),"")</f>
        <v/>
      </c>
      <c r="G809" s="59" t="str">
        <f aca="false">IFERROR(IF([1]对账明细接口!$G$809=0,"",[1]对账明细接口!$G$809),"")</f>
        <v/>
      </c>
      <c r="H809" s="60" t="str">
        <f aca="false">IFERROR(IF([1]对账明细接口!$H$809=0,"",[1]对账明细接口!$H$809),"")</f>
        <v/>
      </c>
      <c r="I809" s="59" t="str">
        <f aca="false">IFERROR(IF([1]对账明细接口!$I$809=0,"",[1]对账明细接口!$I$809),"")</f>
        <v/>
      </c>
      <c r="J809" s="61" t="str">
        <f aca="false">IFERROR(IF([1]对账明细接口!$J$809=0,"",[1]对账明细接口!$J$809),"")</f>
        <v/>
      </c>
      <c r="K809" s="61" t="str">
        <f aca="false">IFERROR(IF([1]对账明细接口!$K$809=0,"",[1]对账明细接口!$K$809),"")</f>
        <v/>
      </c>
      <c r="L809" s="59" t="str">
        <f aca="false">IFERROR(IF([1]对账明细接口!$L$809=0,"",[1]对账明细接口!$L$809),"")</f>
        <v/>
      </c>
      <c r="M809" s="59" t="str">
        <f aca="false">IFERROR(IF([1]对账明细接口!$M$809=0,"",[1]对账明细接口!$M$809),"")</f>
        <v/>
      </c>
      <c r="N809" s="111" t="n">
        <f aca="false">IF($C809="",0,1)</f>
        <v>0</v>
      </c>
      <c r="O809" s="111" t="n">
        <f aca="false">N(O808)+$N809</f>
        <v>110</v>
      </c>
      <c r="S809" s="10" t="str">
        <f aca="false">IFERROR(IF([1]对账明细接口!$N809=0,"",[1]对账明细接口!$N809),"")</f>
        <v/>
      </c>
      <c r="T809" s="112" t="str">
        <f aca="false">IFERROR(IF([1]对账明细接口!$O809=0,"",[1]对账明细接口!$O809),"")</f>
        <v/>
      </c>
      <c r="U809" s="112" t="str">
        <f aca="false">IFERROR(IF([1]对账明细接口!$P809=0,"",[1]对账明细接口!$P809),"")</f>
        <v/>
      </c>
      <c r="V809" s="112" t="str">
        <f aca="false">IFERROR(IF([1]对账明细接口!$Q809=0,"",[1]对账明细接口!$Q809),"")</f>
        <v/>
      </c>
      <c r="W809" s="10" t="str">
        <f aca="false">IFERROR(IF([1]对账明细接口!$R809=0,"",[1]对账明细接口!$R809),"")</f>
        <v/>
      </c>
      <c r="X809" s="10" t="str">
        <f aca="false">IFERROR(IF([1]对账明细接口!$S809=0,"",[1]对账明细接口!$S809),"")</f>
        <v/>
      </c>
      <c r="Y809" s="10" t="str">
        <f aca="false">""</f>
        <v/>
      </c>
      <c r="Z809" s="10" t="str">
        <f aca="false">""</f>
        <v/>
      </c>
      <c r="AA809" s="10" t="str">
        <f aca="false">""</f>
        <v/>
      </c>
      <c r="AB809" s="10" t="str">
        <f aca="false">""</f>
        <v/>
      </c>
    </row>
    <row r="810" customFormat="false" ht="13.5" hidden="false" customHeight="false" outlineLevel="0" collapsed="false">
      <c r="A810" s="109" t="n">
        <v>810</v>
      </c>
      <c r="B810" s="110" t="str">
        <f aca="false">IFERROR(IF([1]对账明细接口!$B$810=0,"",[1]对账明细接口!$B$810),"")</f>
        <v/>
      </c>
      <c r="C810" s="59" t="str">
        <f aca="false">IFERROR(IF([1]对账明细接口!$C$810=0,"",[1]对账明细接口!$C$810),"")</f>
        <v/>
      </c>
      <c r="D810" s="59" t="str">
        <f aca="false">IFERROR(IF([1]对账明细接口!$D$810=0,"",[1]对账明细接口!$D$810),"")</f>
        <v/>
      </c>
      <c r="E810" s="59" t="str">
        <f aca="false">IFERROR(IF([1]对账明细接口!$E$810=0,"",[1]对账明细接口!$E$810),"")</f>
        <v/>
      </c>
      <c r="F810" s="59" t="str">
        <f aca="false">IFERROR(IF([1]对账明细接口!$F$810=0,"",[1]对账明细接口!$F$810),"")</f>
        <v/>
      </c>
      <c r="G810" s="59" t="str">
        <f aca="false">IFERROR(IF([1]对账明细接口!$G$810=0,"",[1]对账明细接口!$G$810),"")</f>
        <v/>
      </c>
      <c r="H810" s="60" t="str">
        <f aca="false">IFERROR(IF([1]对账明细接口!$H$810=0,"",[1]对账明细接口!$H$810),"")</f>
        <v/>
      </c>
      <c r="I810" s="59" t="str">
        <f aca="false">IFERROR(IF([1]对账明细接口!$I$810=0,"",[1]对账明细接口!$I$810),"")</f>
        <v/>
      </c>
      <c r="J810" s="61" t="str">
        <f aca="false">IFERROR(IF([1]对账明细接口!$J$810=0,"",[1]对账明细接口!$J$810),"")</f>
        <v/>
      </c>
      <c r="K810" s="61" t="str">
        <f aca="false">IFERROR(IF([1]对账明细接口!$K$810=0,"",[1]对账明细接口!$K$810),"")</f>
        <v/>
      </c>
      <c r="L810" s="59" t="str">
        <f aca="false">IFERROR(IF([1]对账明细接口!$L$810=0,"",[1]对账明细接口!$L$810),"")</f>
        <v/>
      </c>
      <c r="M810" s="59" t="str">
        <f aca="false">IFERROR(IF([1]对账明细接口!$M$810=0,"",[1]对账明细接口!$M$810),"")</f>
        <v/>
      </c>
      <c r="N810" s="111" t="n">
        <f aca="false">IF($C810="",0,1)</f>
        <v>0</v>
      </c>
      <c r="O810" s="111" t="n">
        <f aca="false">N(O809)+$N810</f>
        <v>110</v>
      </c>
      <c r="S810" s="10" t="str">
        <f aca="false">IFERROR(IF([1]对账明细接口!$N810=0,"",[1]对账明细接口!$N810),"")</f>
        <v/>
      </c>
      <c r="T810" s="112" t="str">
        <f aca="false">IFERROR(IF([1]对账明细接口!$O810=0,"",[1]对账明细接口!$O810),"")</f>
        <v/>
      </c>
      <c r="U810" s="112" t="str">
        <f aca="false">IFERROR(IF([1]对账明细接口!$P810=0,"",[1]对账明细接口!$P810),"")</f>
        <v/>
      </c>
      <c r="V810" s="112" t="str">
        <f aca="false">IFERROR(IF([1]对账明细接口!$Q810=0,"",[1]对账明细接口!$Q810),"")</f>
        <v/>
      </c>
      <c r="W810" s="10" t="str">
        <f aca="false">IFERROR(IF([1]对账明细接口!$R810=0,"",[1]对账明细接口!$R810),"")</f>
        <v/>
      </c>
      <c r="X810" s="10" t="str">
        <f aca="false">IFERROR(IF([1]对账明细接口!$S810=0,"",[1]对账明细接口!$S810),"")</f>
        <v/>
      </c>
      <c r="Y810" s="10" t="str">
        <f aca="false">""</f>
        <v/>
      </c>
      <c r="Z810" s="10" t="str">
        <f aca="false">""</f>
        <v/>
      </c>
      <c r="AA810" s="10" t="str">
        <f aca="false">""</f>
        <v/>
      </c>
      <c r="AB810" s="10" t="str">
        <f aca="false">""</f>
        <v/>
      </c>
    </row>
    <row r="811" customFormat="false" ht="13.5" hidden="false" customHeight="false" outlineLevel="0" collapsed="false">
      <c r="A811" s="109" t="n">
        <v>811</v>
      </c>
      <c r="B811" s="110" t="str">
        <f aca="false">IFERROR(IF([1]对账明细接口!$B$811=0,"",[1]对账明细接口!$B$811),"")</f>
        <v/>
      </c>
      <c r="C811" s="59" t="str">
        <f aca="false">IFERROR(IF([1]对账明细接口!$C$811=0,"",[1]对账明细接口!$C$811),"")</f>
        <v/>
      </c>
      <c r="D811" s="59" t="str">
        <f aca="false">IFERROR(IF([1]对账明细接口!$D$811=0,"",[1]对账明细接口!$D$811),"")</f>
        <v/>
      </c>
      <c r="E811" s="59" t="str">
        <f aca="false">IFERROR(IF([1]对账明细接口!$E$811=0,"",[1]对账明细接口!$E$811),"")</f>
        <v/>
      </c>
      <c r="F811" s="59" t="str">
        <f aca="false">IFERROR(IF([1]对账明细接口!$F$811=0,"",[1]对账明细接口!$F$811),"")</f>
        <v/>
      </c>
      <c r="G811" s="59" t="str">
        <f aca="false">IFERROR(IF([1]对账明细接口!$G$811=0,"",[1]对账明细接口!$G$811),"")</f>
        <v/>
      </c>
      <c r="H811" s="60" t="str">
        <f aca="false">IFERROR(IF([1]对账明细接口!$H$811=0,"",[1]对账明细接口!$H$811),"")</f>
        <v/>
      </c>
      <c r="I811" s="59" t="str">
        <f aca="false">IFERROR(IF([1]对账明细接口!$I$811=0,"",[1]对账明细接口!$I$811),"")</f>
        <v/>
      </c>
      <c r="J811" s="61" t="str">
        <f aca="false">IFERROR(IF([1]对账明细接口!$J$811=0,"",[1]对账明细接口!$J$811),"")</f>
        <v/>
      </c>
      <c r="K811" s="61" t="str">
        <f aca="false">IFERROR(IF([1]对账明细接口!$K$811=0,"",[1]对账明细接口!$K$811),"")</f>
        <v/>
      </c>
      <c r="L811" s="59" t="str">
        <f aca="false">IFERROR(IF([1]对账明细接口!$L$811=0,"",[1]对账明细接口!$L$811),"")</f>
        <v/>
      </c>
      <c r="M811" s="59" t="str">
        <f aca="false">IFERROR(IF([1]对账明细接口!$M$811=0,"",[1]对账明细接口!$M$811),"")</f>
        <v/>
      </c>
      <c r="N811" s="111" t="n">
        <f aca="false">IF($C811="",0,1)</f>
        <v>0</v>
      </c>
      <c r="O811" s="111" t="n">
        <f aca="false">N(O810)+$N811</f>
        <v>110</v>
      </c>
      <c r="S811" s="10" t="str">
        <f aca="false">IFERROR(IF([1]对账明细接口!$N811=0,"",[1]对账明细接口!$N811),"")</f>
        <v/>
      </c>
      <c r="T811" s="112" t="str">
        <f aca="false">IFERROR(IF([1]对账明细接口!$O811=0,"",[1]对账明细接口!$O811),"")</f>
        <v/>
      </c>
      <c r="U811" s="112" t="str">
        <f aca="false">IFERROR(IF([1]对账明细接口!$P811=0,"",[1]对账明细接口!$P811),"")</f>
        <v/>
      </c>
      <c r="V811" s="112" t="str">
        <f aca="false">IFERROR(IF([1]对账明细接口!$Q811=0,"",[1]对账明细接口!$Q811),"")</f>
        <v/>
      </c>
      <c r="W811" s="10" t="str">
        <f aca="false">IFERROR(IF([1]对账明细接口!$R811=0,"",[1]对账明细接口!$R811),"")</f>
        <v/>
      </c>
      <c r="X811" s="10" t="str">
        <f aca="false">IFERROR(IF([1]对账明细接口!$S811=0,"",[1]对账明细接口!$S811),"")</f>
        <v/>
      </c>
      <c r="Y811" s="10" t="str">
        <f aca="false">""</f>
        <v/>
      </c>
      <c r="Z811" s="10" t="str">
        <f aca="false">""</f>
        <v/>
      </c>
      <c r="AA811" s="10" t="str">
        <f aca="false">""</f>
        <v/>
      </c>
      <c r="AB811" s="10" t="str">
        <f aca="false">""</f>
        <v/>
      </c>
    </row>
    <row r="812" customFormat="false" ht="13.5" hidden="false" customHeight="false" outlineLevel="0" collapsed="false">
      <c r="A812" s="109" t="n">
        <v>812</v>
      </c>
      <c r="B812" s="110" t="str">
        <f aca="false">IFERROR(IF([1]对账明细接口!$B$812=0,"",[1]对账明细接口!$B$812),"")</f>
        <v/>
      </c>
      <c r="C812" s="59" t="str">
        <f aca="false">IFERROR(IF([1]对账明细接口!$C$812=0,"",[1]对账明细接口!$C$812),"")</f>
        <v/>
      </c>
      <c r="D812" s="59" t="str">
        <f aca="false">IFERROR(IF([1]对账明细接口!$D$812=0,"",[1]对账明细接口!$D$812),"")</f>
        <v/>
      </c>
      <c r="E812" s="59" t="str">
        <f aca="false">IFERROR(IF([1]对账明细接口!$E$812=0,"",[1]对账明细接口!$E$812),"")</f>
        <v/>
      </c>
      <c r="F812" s="59" t="str">
        <f aca="false">IFERROR(IF([1]对账明细接口!$F$812=0,"",[1]对账明细接口!$F$812),"")</f>
        <v/>
      </c>
      <c r="G812" s="59" t="str">
        <f aca="false">IFERROR(IF([1]对账明细接口!$G$812=0,"",[1]对账明细接口!$G$812),"")</f>
        <v/>
      </c>
      <c r="H812" s="60" t="str">
        <f aca="false">IFERROR(IF([1]对账明细接口!$H$812=0,"",[1]对账明细接口!$H$812),"")</f>
        <v/>
      </c>
      <c r="I812" s="59" t="str">
        <f aca="false">IFERROR(IF([1]对账明细接口!$I$812=0,"",[1]对账明细接口!$I$812),"")</f>
        <v/>
      </c>
      <c r="J812" s="61" t="str">
        <f aca="false">IFERROR(IF([1]对账明细接口!$J$812=0,"",[1]对账明细接口!$J$812),"")</f>
        <v/>
      </c>
      <c r="K812" s="61" t="str">
        <f aca="false">IFERROR(IF([1]对账明细接口!$K$812=0,"",[1]对账明细接口!$K$812),"")</f>
        <v/>
      </c>
      <c r="L812" s="59" t="str">
        <f aca="false">IFERROR(IF([1]对账明细接口!$L$812=0,"",[1]对账明细接口!$L$812),"")</f>
        <v/>
      </c>
      <c r="M812" s="59" t="str">
        <f aca="false">IFERROR(IF([1]对账明细接口!$M$812=0,"",[1]对账明细接口!$M$812),"")</f>
        <v/>
      </c>
      <c r="N812" s="111" t="n">
        <f aca="false">IF($C812="",0,1)</f>
        <v>0</v>
      </c>
      <c r="O812" s="111" t="n">
        <f aca="false">N(O811)+$N812</f>
        <v>110</v>
      </c>
      <c r="S812" s="10" t="str">
        <f aca="false">IFERROR(IF([1]对账明细接口!$N812=0,"",[1]对账明细接口!$N812),"")</f>
        <v/>
      </c>
      <c r="T812" s="112" t="str">
        <f aca="false">IFERROR(IF([1]对账明细接口!$O812=0,"",[1]对账明细接口!$O812),"")</f>
        <v/>
      </c>
      <c r="U812" s="112" t="str">
        <f aca="false">IFERROR(IF([1]对账明细接口!$P812=0,"",[1]对账明细接口!$P812),"")</f>
        <v/>
      </c>
      <c r="V812" s="112" t="str">
        <f aca="false">IFERROR(IF([1]对账明细接口!$Q812=0,"",[1]对账明细接口!$Q812),"")</f>
        <v/>
      </c>
      <c r="W812" s="10" t="str">
        <f aca="false">IFERROR(IF([1]对账明细接口!$R812=0,"",[1]对账明细接口!$R812),"")</f>
        <v/>
      </c>
      <c r="X812" s="10" t="str">
        <f aca="false">IFERROR(IF([1]对账明细接口!$S812=0,"",[1]对账明细接口!$S812),"")</f>
        <v/>
      </c>
      <c r="Y812" s="10" t="str">
        <f aca="false">""</f>
        <v/>
      </c>
      <c r="Z812" s="10" t="str">
        <f aca="false">""</f>
        <v/>
      </c>
      <c r="AA812" s="10" t="str">
        <f aca="false">""</f>
        <v/>
      </c>
      <c r="AB812" s="10" t="str">
        <f aca="false">""</f>
        <v/>
      </c>
    </row>
    <row r="813" customFormat="false" ht="13.5" hidden="false" customHeight="false" outlineLevel="0" collapsed="false">
      <c r="A813" s="109" t="n">
        <v>813</v>
      </c>
      <c r="B813" s="110" t="str">
        <f aca="false">IFERROR(IF([1]对账明细接口!$B$813=0,"",[1]对账明细接口!$B$813),"")</f>
        <v/>
      </c>
      <c r="C813" s="59" t="str">
        <f aca="false">IFERROR(IF([1]对账明细接口!$C$813=0,"",[1]对账明细接口!$C$813),"")</f>
        <v/>
      </c>
      <c r="D813" s="59" t="str">
        <f aca="false">IFERROR(IF([1]对账明细接口!$D$813=0,"",[1]对账明细接口!$D$813),"")</f>
        <v/>
      </c>
      <c r="E813" s="59" t="str">
        <f aca="false">IFERROR(IF([1]对账明细接口!$E$813=0,"",[1]对账明细接口!$E$813),"")</f>
        <v/>
      </c>
      <c r="F813" s="59" t="str">
        <f aca="false">IFERROR(IF([1]对账明细接口!$F$813=0,"",[1]对账明细接口!$F$813),"")</f>
        <v/>
      </c>
      <c r="G813" s="59" t="str">
        <f aca="false">IFERROR(IF([1]对账明细接口!$G$813=0,"",[1]对账明细接口!$G$813),"")</f>
        <v/>
      </c>
      <c r="H813" s="60" t="str">
        <f aca="false">IFERROR(IF([1]对账明细接口!$H$813=0,"",[1]对账明细接口!$H$813),"")</f>
        <v/>
      </c>
      <c r="I813" s="59" t="str">
        <f aca="false">IFERROR(IF([1]对账明细接口!$I$813=0,"",[1]对账明细接口!$I$813),"")</f>
        <v/>
      </c>
      <c r="J813" s="61" t="str">
        <f aca="false">IFERROR(IF([1]对账明细接口!$J$813=0,"",[1]对账明细接口!$J$813),"")</f>
        <v/>
      </c>
      <c r="K813" s="61" t="str">
        <f aca="false">IFERROR(IF([1]对账明细接口!$K$813=0,"",[1]对账明细接口!$K$813),"")</f>
        <v/>
      </c>
      <c r="L813" s="59" t="str">
        <f aca="false">IFERROR(IF([1]对账明细接口!$L$813=0,"",[1]对账明细接口!$L$813),"")</f>
        <v/>
      </c>
      <c r="M813" s="59" t="str">
        <f aca="false">IFERROR(IF([1]对账明细接口!$M$813=0,"",[1]对账明细接口!$M$813),"")</f>
        <v/>
      </c>
      <c r="N813" s="111" t="n">
        <f aca="false">IF($C813="",0,1)</f>
        <v>0</v>
      </c>
      <c r="O813" s="111" t="n">
        <f aca="false">N(O812)+$N813</f>
        <v>110</v>
      </c>
      <c r="S813" s="10" t="str">
        <f aca="false">IFERROR(IF([1]对账明细接口!$N813=0,"",[1]对账明细接口!$N813),"")</f>
        <v/>
      </c>
      <c r="T813" s="112" t="str">
        <f aca="false">IFERROR(IF([1]对账明细接口!$O813=0,"",[1]对账明细接口!$O813),"")</f>
        <v/>
      </c>
      <c r="U813" s="112" t="str">
        <f aca="false">IFERROR(IF([1]对账明细接口!$P813=0,"",[1]对账明细接口!$P813),"")</f>
        <v/>
      </c>
      <c r="V813" s="112" t="str">
        <f aca="false">IFERROR(IF([1]对账明细接口!$Q813=0,"",[1]对账明细接口!$Q813),"")</f>
        <v/>
      </c>
      <c r="W813" s="10" t="str">
        <f aca="false">IFERROR(IF([1]对账明细接口!$R813=0,"",[1]对账明细接口!$R813),"")</f>
        <v/>
      </c>
      <c r="X813" s="10" t="str">
        <f aca="false">IFERROR(IF([1]对账明细接口!$S813=0,"",[1]对账明细接口!$S813),"")</f>
        <v/>
      </c>
      <c r="Y813" s="10" t="str">
        <f aca="false">""</f>
        <v/>
      </c>
      <c r="Z813" s="10" t="str">
        <f aca="false">""</f>
        <v/>
      </c>
      <c r="AA813" s="10" t="str">
        <f aca="false">""</f>
        <v/>
      </c>
      <c r="AB813" s="10" t="str">
        <f aca="false">""</f>
        <v/>
      </c>
    </row>
    <row r="814" customFormat="false" ht="13.5" hidden="false" customHeight="false" outlineLevel="0" collapsed="false">
      <c r="A814" s="109" t="n">
        <v>814</v>
      </c>
      <c r="B814" s="110" t="str">
        <f aca="false">IFERROR(IF([1]对账明细接口!$B$814=0,"",[1]对账明细接口!$B$814),"")</f>
        <v/>
      </c>
      <c r="C814" s="59" t="str">
        <f aca="false">IFERROR(IF([1]对账明细接口!$C$814=0,"",[1]对账明细接口!$C$814),"")</f>
        <v/>
      </c>
      <c r="D814" s="59" t="str">
        <f aca="false">IFERROR(IF([1]对账明细接口!$D$814=0,"",[1]对账明细接口!$D$814),"")</f>
        <v/>
      </c>
      <c r="E814" s="59" t="str">
        <f aca="false">IFERROR(IF([1]对账明细接口!$E$814=0,"",[1]对账明细接口!$E$814),"")</f>
        <v/>
      </c>
      <c r="F814" s="59" t="str">
        <f aca="false">IFERROR(IF([1]对账明细接口!$F$814=0,"",[1]对账明细接口!$F$814),"")</f>
        <v/>
      </c>
      <c r="G814" s="59" t="str">
        <f aca="false">IFERROR(IF([1]对账明细接口!$G$814=0,"",[1]对账明细接口!$G$814),"")</f>
        <v/>
      </c>
      <c r="H814" s="60" t="str">
        <f aca="false">IFERROR(IF([1]对账明细接口!$H$814=0,"",[1]对账明细接口!$H$814),"")</f>
        <v/>
      </c>
      <c r="I814" s="59" t="str">
        <f aca="false">IFERROR(IF([1]对账明细接口!$I$814=0,"",[1]对账明细接口!$I$814),"")</f>
        <v/>
      </c>
      <c r="J814" s="61" t="str">
        <f aca="false">IFERROR(IF([1]对账明细接口!$J$814=0,"",[1]对账明细接口!$J$814),"")</f>
        <v/>
      </c>
      <c r="K814" s="61" t="str">
        <f aca="false">IFERROR(IF([1]对账明细接口!$K$814=0,"",[1]对账明细接口!$K$814),"")</f>
        <v/>
      </c>
      <c r="L814" s="59" t="str">
        <f aca="false">IFERROR(IF([1]对账明细接口!$L$814=0,"",[1]对账明细接口!$L$814),"")</f>
        <v/>
      </c>
      <c r="M814" s="59" t="str">
        <f aca="false">IFERROR(IF([1]对账明细接口!$M$814=0,"",[1]对账明细接口!$M$814),"")</f>
        <v/>
      </c>
      <c r="N814" s="111" t="n">
        <f aca="false">IF($C814="",0,1)</f>
        <v>0</v>
      </c>
      <c r="O814" s="111" t="n">
        <f aca="false">N(O813)+$N814</f>
        <v>110</v>
      </c>
      <c r="S814" s="10" t="str">
        <f aca="false">IFERROR(IF([1]对账明细接口!$N814=0,"",[1]对账明细接口!$N814),"")</f>
        <v/>
      </c>
      <c r="T814" s="112" t="str">
        <f aca="false">IFERROR(IF([1]对账明细接口!$O814=0,"",[1]对账明细接口!$O814),"")</f>
        <v/>
      </c>
      <c r="U814" s="112" t="str">
        <f aca="false">IFERROR(IF([1]对账明细接口!$P814=0,"",[1]对账明细接口!$P814),"")</f>
        <v/>
      </c>
      <c r="V814" s="112" t="str">
        <f aca="false">IFERROR(IF([1]对账明细接口!$Q814=0,"",[1]对账明细接口!$Q814),"")</f>
        <v/>
      </c>
      <c r="W814" s="10" t="str">
        <f aca="false">IFERROR(IF([1]对账明细接口!$R814=0,"",[1]对账明细接口!$R814),"")</f>
        <v/>
      </c>
      <c r="X814" s="10" t="str">
        <f aca="false">IFERROR(IF([1]对账明细接口!$S814=0,"",[1]对账明细接口!$S814),"")</f>
        <v/>
      </c>
      <c r="Y814" s="10" t="str">
        <f aca="false">""</f>
        <v/>
      </c>
      <c r="Z814" s="10" t="str">
        <f aca="false">""</f>
        <v/>
      </c>
      <c r="AA814" s="10" t="str">
        <f aca="false">""</f>
        <v/>
      </c>
      <c r="AB814" s="10" t="str">
        <f aca="false">""</f>
        <v/>
      </c>
    </row>
    <row r="815" customFormat="false" ht="13.5" hidden="false" customHeight="false" outlineLevel="0" collapsed="false">
      <c r="A815" s="109" t="n">
        <v>815</v>
      </c>
      <c r="B815" s="110" t="str">
        <f aca="false">IFERROR(IF([1]对账明细接口!$B$815=0,"",[1]对账明细接口!$B$815),"")</f>
        <v/>
      </c>
      <c r="C815" s="59" t="str">
        <f aca="false">IFERROR(IF([1]对账明细接口!$C$815=0,"",[1]对账明细接口!$C$815),"")</f>
        <v/>
      </c>
      <c r="D815" s="59" t="str">
        <f aca="false">IFERROR(IF([1]对账明细接口!$D$815=0,"",[1]对账明细接口!$D$815),"")</f>
        <v/>
      </c>
      <c r="E815" s="59" t="str">
        <f aca="false">IFERROR(IF([1]对账明细接口!$E$815=0,"",[1]对账明细接口!$E$815),"")</f>
        <v/>
      </c>
      <c r="F815" s="59" t="str">
        <f aca="false">IFERROR(IF([1]对账明细接口!$F$815=0,"",[1]对账明细接口!$F$815),"")</f>
        <v/>
      </c>
      <c r="G815" s="59" t="str">
        <f aca="false">IFERROR(IF([1]对账明细接口!$G$815=0,"",[1]对账明细接口!$G$815),"")</f>
        <v/>
      </c>
      <c r="H815" s="60" t="str">
        <f aca="false">IFERROR(IF([1]对账明细接口!$H$815=0,"",[1]对账明细接口!$H$815),"")</f>
        <v/>
      </c>
      <c r="I815" s="59" t="str">
        <f aca="false">IFERROR(IF([1]对账明细接口!$I$815=0,"",[1]对账明细接口!$I$815),"")</f>
        <v/>
      </c>
      <c r="J815" s="61" t="str">
        <f aca="false">IFERROR(IF([1]对账明细接口!$J$815=0,"",[1]对账明细接口!$J$815),"")</f>
        <v/>
      </c>
      <c r="K815" s="61" t="str">
        <f aca="false">IFERROR(IF([1]对账明细接口!$K$815=0,"",[1]对账明细接口!$K$815),"")</f>
        <v/>
      </c>
      <c r="L815" s="59" t="str">
        <f aca="false">IFERROR(IF([1]对账明细接口!$L$815=0,"",[1]对账明细接口!$L$815),"")</f>
        <v/>
      </c>
      <c r="M815" s="59" t="str">
        <f aca="false">IFERROR(IF([1]对账明细接口!$M$815=0,"",[1]对账明细接口!$M$815),"")</f>
        <v/>
      </c>
      <c r="N815" s="111" t="n">
        <f aca="false">IF($C815="",0,1)</f>
        <v>0</v>
      </c>
      <c r="O815" s="111" t="n">
        <f aca="false">N(O814)+$N815</f>
        <v>110</v>
      </c>
      <c r="S815" s="10" t="str">
        <f aca="false">IFERROR(IF([1]对账明细接口!$N815=0,"",[1]对账明细接口!$N815),"")</f>
        <v/>
      </c>
      <c r="T815" s="112" t="str">
        <f aca="false">IFERROR(IF([1]对账明细接口!$O815=0,"",[1]对账明细接口!$O815),"")</f>
        <v/>
      </c>
      <c r="U815" s="112" t="str">
        <f aca="false">IFERROR(IF([1]对账明细接口!$P815=0,"",[1]对账明细接口!$P815),"")</f>
        <v/>
      </c>
      <c r="V815" s="112" t="str">
        <f aca="false">IFERROR(IF([1]对账明细接口!$Q815=0,"",[1]对账明细接口!$Q815),"")</f>
        <v/>
      </c>
      <c r="W815" s="10" t="str">
        <f aca="false">IFERROR(IF([1]对账明细接口!$R815=0,"",[1]对账明细接口!$R815),"")</f>
        <v/>
      </c>
      <c r="X815" s="10" t="str">
        <f aca="false">IFERROR(IF([1]对账明细接口!$S815=0,"",[1]对账明细接口!$S815),"")</f>
        <v/>
      </c>
      <c r="Y815" s="10" t="str">
        <f aca="false">""</f>
        <v/>
      </c>
      <c r="Z815" s="10" t="str">
        <f aca="false">""</f>
        <v/>
      </c>
      <c r="AA815" s="10" t="str">
        <f aca="false">""</f>
        <v/>
      </c>
      <c r="AB815" s="10" t="str">
        <f aca="false">""</f>
        <v/>
      </c>
    </row>
    <row r="816" customFormat="false" ht="13.5" hidden="false" customHeight="false" outlineLevel="0" collapsed="false">
      <c r="A816" s="109" t="n">
        <v>816</v>
      </c>
      <c r="B816" s="110" t="str">
        <f aca="false">IFERROR(IF([1]对账明细接口!$B$816=0,"",[1]对账明细接口!$B$816),"")</f>
        <v/>
      </c>
      <c r="C816" s="59" t="str">
        <f aca="false">IFERROR(IF([1]对账明细接口!$C$816=0,"",[1]对账明细接口!$C$816),"")</f>
        <v/>
      </c>
      <c r="D816" s="59" t="str">
        <f aca="false">IFERROR(IF([1]对账明细接口!$D$816=0,"",[1]对账明细接口!$D$816),"")</f>
        <v/>
      </c>
      <c r="E816" s="59" t="str">
        <f aca="false">IFERROR(IF([1]对账明细接口!$E$816=0,"",[1]对账明细接口!$E$816),"")</f>
        <v/>
      </c>
      <c r="F816" s="59" t="str">
        <f aca="false">IFERROR(IF([1]对账明细接口!$F$816=0,"",[1]对账明细接口!$F$816),"")</f>
        <v/>
      </c>
      <c r="G816" s="59" t="str">
        <f aca="false">IFERROR(IF([1]对账明细接口!$G$816=0,"",[1]对账明细接口!$G$816),"")</f>
        <v/>
      </c>
      <c r="H816" s="60" t="str">
        <f aca="false">IFERROR(IF([1]对账明细接口!$H$816=0,"",[1]对账明细接口!$H$816),"")</f>
        <v/>
      </c>
      <c r="I816" s="59" t="str">
        <f aca="false">IFERROR(IF([1]对账明细接口!$I$816=0,"",[1]对账明细接口!$I$816),"")</f>
        <v/>
      </c>
      <c r="J816" s="61" t="str">
        <f aca="false">IFERROR(IF([1]对账明细接口!$J$816=0,"",[1]对账明细接口!$J$816),"")</f>
        <v/>
      </c>
      <c r="K816" s="61" t="str">
        <f aca="false">IFERROR(IF([1]对账明细接口!$K$816=0,"",[1]对账明细接口!$K$816),"")</f>
        <v/>
      </c>
      <c r="L816" s="59" t="str">
        <f aca="false">IFERROR(IF([1]对账明细接口!$L$816=0,"",[1]对账明细接口!$L$816),"")</f>
        <v/>
      </c>
      <c r="M816" s="59" t="str">
        <f aca="false">IFERROR(IF([1]对账明细接口!$M$816=0,"",[1]对账明细接口!$M$816),"")</f>
        <v/>
      </c>
      <c r="N816" s="111" t="n">
        <f aca="false">IF($C816="",0,1)</f>
        <v>0</v>
      </c>
      <c r="O816" s="111" t="n">
        <f aca="false">N(O815)+$N816</f>
        <v>110</v>
      </c>
      <c r="S816" s="10" t="str">
        <f aca="false">IFERROR(IF([1]对账明细接口!$N816=0,"",[1]对账明细接口!$N816),"")</f>
        <v/>
      </c>
      <c r="T816" s="112" t="str">
        <f aca="false">IFERROR(IF([1]对账明细接口!$O816=0,"",[1]对账明细接口!$O816),"")</f>
        <v/>
      </c>
      <c r="U816" s="112" t="str">
        <f aca="false">IFERROR(IF([1]对账明细接口!$P816=0,"",[1]对账明细接口!$P816),"")</f>
        <v/>
      </c>
      <c r="V816" s="112" t="str">
        <f aca="false">IFERROR(IF([1]对账明细接口!$Q816=0,"",[1]对账明细接口!$Q816),"")</f>
        <v/>
      </c>
      <c r="W816" s="10" t="str">
        <f aca="false">IFERROR(IF([1]对账明细接口!$R816=0,"",[1]对账明细接口!$R816),"")</f>
        <v/>
      </c>
      <c r="X816" s="10" t="str">
        <f aca="false">IFERROR(IF([1]对账明细接口!$S816=0,"",[1]对账明细接口!$S816),"")</f>
        <v/>
      </c>
      <c r="Y816" s="10" t="str">
        <f aca="false">""</f>
        <v/>
      </c>
      <c r="Z816" s="10" t="str">
        <f aca="false">""</f>
        <v/>
      </c>
      <c r="AA816" s="10" t="str">
        <f aca="false">""</f>
        <v/>
      </c>
      <c r="AB816" s="10" t="str">
        <f aca="false">""</f>
        <v/>
      </c>
    </row>
    <row r="817" customFormat="false" ht="13.5" hidden="false" customHeight="false" outlineLevel="0" collapsed="false">
      <c r="A817" s="109" t="n">
        <v>817</v>
      </c>
      <c r="B817" s="110" t="str">
        <f aca="false">IFERROR(IF([1]对账明细接口!$B$817=0,"",[1]对账明细接口!$B$817),"")</f>
        <v/>
      </c>
      <c r="C817" s="59" t="str">
        <f aca="false">IFERROR(IF([1]对账明细接口!$C$817=0,"",[1]对账明细接口!$C$817),"")</f>
        <v/>
      </c>
      <c r="D817" s="59" t="str">
        <f aca="false">IFERROR(IF([1]对账明细接口!$D$817=0,"",[1]对账明细接口!$D$817),"")</f>
        <v/>
      </c>
      <c r="E817" s="59" t="str">
        <f aca="false">IFERROR(IF([1]对账明细接口!$E$817=0,"",[1]对账明细接口!$E$817),"")</f>
        <v/>
      </c>
      <c r="F817" s="59" t="str">
        <f aca="false">IFERROR(IF([1]对账明细接口!$F$817=0,"",[1]对账明细接口!$F$817),"")</f>
        <v/>
      </c>
      <c r="G817" s="59" t="str">
        <f aca="false">IFERROR(IF([1]对账明细接口!$G$817=0,"",[1]对账明细接口!$G$817),"")</f>
        <v/>
      </c>
      <c r="H817" s="60" t="str">
        <f aca="false">IFERROR(IF([1]对账明细接口!$H$817=0,"",[1]对账明细接口!$H$817),"")</f>
        <v/>
      </c>
      <c r="I817" s="59" t="str">
        <f aca="false">IFERROR(IF([1]对账明细接口!$I$817=0,"",[1]对账明细接口!$I$817),"")</f>
        <v/>
      </c>
      <c r="J817" s="61" t="str">
        <f aca="false">IFERROR(IF([1]对账明细接口!$J$817=0,"",[1]对账明细接口!$J$817),"")</f>
        <v/>
      </c>
      <c r="K817" s="61" t="str">
        <f aca="false">IFERROR(IF([1]对账明细接口!$K$817=0,"",[1]对账明细接口!$K$817),"")</f>
        <v/>
      </c>
      <c r="L817" s="59" t="str">
        <f aca="false">IFERROR(IF([1]对账明细接口!$L$817=0,"",[1]对账明细接口!$L$817),"")</f>
        <v/>
      </c>
      <c r="M817" s="59" t="str">
        <f aca="false">IFERROR(IF([1]对账明细接口!$M$817=0,"",[1]对账明细接口!$M$817),"")</f>
        <v/>
      </c>
      <c r="N817" s="111" t="n">
        <f aca="false">IF($C817="",0,1)</f>
        <v>0</v>
      </c>
      <c r="O817" s="111" t="n">
        <f aca="false">N(O816)+$N817</f>
        <v>110</v>
      </c>
      <c r="S817" s="10" t="str">
        <f aca="false">IFERROR(IF([1]对账明细接口!$N817=0,"",[1]对账明细接口!$N817),"")</f>
        <v/>
      </c>
      <c r="T817" s="112" t="str">
        <f aca="false">IFERROR(IF([1]对账明细接口!$O817=0,"",[1]对账明细接口!$O817),"")</f>
        <v/>
      </c>
      <c r="U817" s="112" t="str">
        <f aca="false">IFERROR(IF([1]对账明细接口!$P817=0,"",[1]对账明细接口!$P817),"")</f>
        <v/>
      </c>
      <c r="V817" s="112" t="str">
        <f aca="false">IFERROR(IF([1]对账明细接口!$Q817=0,"",[1]对账明细接口!$Q817),"")</f>
        <v/>
      </c>
      <c r="W817" s="10" t="str">
        <f aca="false">IFERROR(IF([1]对账明细接口!$R817=0,"",[1]对账明细接口!$R817),"")</f>
        <v/>
      </c>
      <c r="X817" s="10" t="str">
        <f aca="false">IFERROR(IF([1]对账明细接口!$S817=0,"",[1]对账明细接口!$S817),"")</f>
        <v/>
      </c>
      <c r="Y817" s="10" t="str">
        <f aca="false">""</f>
        <v/>
      </c>
      <c r="Z817" s="10" t="str">
        <f aca="false">""</f>
        <v/>
      </c>
      <c r="AA817" s="10" t="str">
        <f aca="false">""</f>
        <v/>
      </c>
      <c r="AB817" s="10" t="str">
        <f aca="false">""</f>
        <v/>
      </c>
    </row>
    <row r="818" customFormat="false" ht="13.5" hidden="false" customHeight="false" outlineLevel="0" collapsed="false">
      <c r="A818" s="109" t="n">
        <v>818</v>
      </c>
      <c r="B818" s="110" t="str">
        <f aca="false">IFERROR(IF([1]对账明细接口!$B$818=0,"",[1]对账明细接口!$B$818),"")</f>
        <v/>
      </c>
      <c r="C818" s="59" t="str">
        <f aca="false">IFERROR(IF([1]对账明细接口!$C$818=0,"",[1]对账明细接口!$C$818),"")</f>
        <v/>
      </c>
      <c r="D818" s="59" t="str">
        <f aca="false">IFERROR(IF([1]对账明细接口!$D$818=0,"",[1]对账明细接口!$D$818),"")</f>
        <v/>
      </c>
      <c r="E818" s="59" t="str">
        <f aca="false">IFERROR(IF([1]对账明细接口!$E$818=0,"",[1]对账明细接口!$E$818),"")</f>
        <v/>
      </c>
      <c r="F818" s="59" t="str">
        <f aca="false">IFERROR(IF([1]对账明细接口!$F$818=0,"",[1]对账明细接口!$F$818),"")</f>
        <v/>
      </c>
      <c r="G818" s="59" t="str">
        <f aca="false">IFERROR(IF([1]对账明细接口!$G$818=0,"",[1]对账明细接口!$G$818),"")</f>
        <v/>
      </c>
      <c r="H818" s="60" t="str">
        <f aca="false">IFERROR(IF([1]对账明细接口!$H$818=0,"",[1]对账明细接口!$H$818),"")</f>
        <v/>
      </c>
      <c r="I818" s="59" t="str">
        <f aca="false">IFERROR(IF([1]对账明细接口!$I$818=0,"",[1]对账明细接口!$I$818),"")</f>
        <v/>
      </c>
      <c r="J818" s="61" t="str">
        <f aca="false">IFERROR(IF([1]对账明细接口!$J$818=0,"",[1]对账明细接口!$J$818),"")</f>
        <v/>
      </c>
      <c r="K818" s="61" t="str">
        <f aca="false">IFERROR(IF([1]对账明细接口!$K$818=0,"",[1]对账明细接口!$K$818),"")</f>
        <v/>
      </c>
      <c r="L818" s="59" t="str">
        <f aca="false">IFERROR(IF([1]对账明细接口!$L$818=0,"",[1]对账明细接口!$L$818),"")</f>
        <v/>
      </c>
      <c r="M818" s="59" t="str">
        <f aca="false">IFERROR(IF([1]对账明细接口!$M$818=0,"",[1]对账明细接口!$M$818),"")</f>
        <v/>
      </c>
      <c r="N818" s="111" t="n">
        <f aca="false">IF($C818="",0,1)</f>
        <v>0</v>
      </c>
      <c r="O818" s="111" t="n">
        <f aca="false">N(O817)+$N818</f>
        <v>110</v>
      </c>
      <c r="S818" s="10" t="str">
        <f aca="false">IFERROR(IF([1]对账明细接口!$N818=0,"",[1]对账明细接口!$N818),"")</f>
        <v/>
      </c>
      <c r="T818" s="112" t="str">
        <f aca="false">IFERROR(IF([1]对账明细接口!$O818=0,"",[1]对账明细接口!$O818),"")</f>
        <v/>
      </c>
      <c r="U818" s="112" t="str">
        <f aca="false">IFERROR(IF([1]对账明细接口!$P818=0,"",[1]对账明细接口!$P818),"")</f>
        <v/>
      </c>
      <c r="V818" s="112" t="str">
        <f aca="false">IFERROR(IF([1]对账明细接口!$Q818=0,"",[1]对账明细接口!$Q818),"")</f>
        <v/>
      </c>
      <c r="W818" s="10" t="str">
        <f aca="false">IFERROR(IF([1]对账明细接口!$R818=0,"",[1]对账明细接口!$R818),"")</f>
        <v/>
      </c>
      <c r="X818" s="10" t="str">
        <f aca="false">IFERROR(IF([1]对账明细接口!$S818=0,"",[1]对账明细接口!$S818),"")</f>
        <v/>
      </c>
      <c r="Y818" s="10" t="str">
        <f aca="false">""</f>
        <v/>
      </c>
      <c r="Z818" s="10" t="str">
        <f aca="false">""</f>
        <v/>
      </c>
      <c r="AA818" s="10" t="str">
        <f aca="false">""</f>
        <v/>
      </c>
      <c r="AB818" s="10" t="str">
        <f aca="false">""</f>
        <v/>
      </c>
    </row>
    <row r="819" customFormat="false" ht="13.5" hidden="false" customHeight="false" outlineLevel="0" collapsed="false">
      <c r="A819" s="109" t="n">
        <v>819</v>
      </c>
      <c r="B819" s="110" t="str">
        <f aca="false">IFERROR(IF([1]对账明细接口!$B$819=0,"",[1]对账明细接口!$B$819),"")</f>
        <v/>
      </c>
      <c r="C819" s="59" t="str">
        <f aca="false">IFERROR(IF([1]对账明细接口!$C$819=0,"",[1]对账明细接口!$C$819),"")</f>
        <v/>
      </c>
      <c r="D819" s="59" t="str">
        <f aca="false">IFERROR(IF([1]对账明细接口!$D$819=0,"",[1]对账明细接口!$D$819),"")</f>
        <v/>
      </c>
      <c r="E819" s="59" t="str">
        <f aca="false">IFERROR(IF([1]对账明细接口!$E$819=0,"",[1]对账明细接口!$E$819),"")</f>
        <v/>
      </c>
      <c r="F819" s="59" t="str">
        <f aca="false">IFERROR(IF([1]对账明细接口!$F$819=0,"",[1]对账明细接口!$F$819),"")</f>
        <v/>
      </c>
      <c r="G819" s="59" t="str">
        <f aca="false">IFERROR(IF([1]对账明细接口!$G$819=0,"",[1]对账明细接口!$G$819),"")</f>
        <v/>
      </c>
      <c r="H819" s="60" t="str">
        <f aca="false">IFERROR(IF([1]对账明细接口!$H$819=0,"",[1]对账明细接口!$H$819),"")</f>
        <v/>
      </c>
      <c r="I819" s="59" t="str">
        <f aca="false">IFERROR(IF([1]对账明细接口!$I$819=0,"",[1]对账明细接口!$I$819),"")</f>
        <v/>
      </c>
      <c r="J819" s="61" t="str">
        <f aca="false">IFERROR(IF([1]对账明细接口!$J$819=0,"",[1]对账明细接口!$J$819),"")</f>
        <v/>
      </c>
      <c r="K819" s="61" t="str">
        <f aca="false">IFERROR(IF([1]对账明细接口!$K$819=0,"",[1]对账明细接口!$K$819),"")</f>
        <v/>
      </c>
      <c r="L819" s="59" t="str">
        <f aca="false">IFERROR(IF([1]对账明细接口!$L$819=0,"",[1]对账明细接口!$L$819),"")</f>
        <v/>
      </c>
      <c r="M819" s="59" t="str">
        <f aca="false">IFERROR(IF([1]对账明细接口!$M$819=0,"",[1]对账明细接口!$M$819),"")</f>
        <v/>
      </c>
      <c r="N819" s="111" t="n">
        <f aca="false">IF($C819="",0,1)</f>
        <v>0</v>
      </c>
      <c r="O819" s="111" t="n">
        <f aca="false">N(O818)+$N819</f>
        <v>110</v>
      </c>
      <c r="S819" s="10" t="str">
        <f aca="false">IFERROR(IF([1]对账明细接口!$N819=0,"",[1]对账明细接口!$N819),"")</f>
        <v/>
      </c>
      <c r="T819" s="112" t="str">
        <f aca="false">IFERROR(IF([1]对账明细接口!$O819=0,"",[1]对账明细接口!$O819),"")</f>
        <v/>
      </c>
      <c r="U819" s="112" t="str">
        <f aca="false">IFERROR(IF([1]对账明细接口!$P819=0,"",[1]对账明细接口!$P819),"")</f>
        <v/>
      </c>
      <c r="V819" s="112" t="str">
        <f aca="false">IFERROR(IF([1]对账明细接口!$Q819=0,"",[1]对账明细接口!$Q819),"")</f>
        <v/>
      </c>
      <c r="W819" s="10" t="str">
        <f aca="false">IFERROR(IF([1]对账明细接口!$R819=0,"",[1]对账明细接口!$R819),"")</f>
        <v/>
      </c>
      <c r="X819" s="10" t="str">
        <f aca="false">IFERROR(IF([1]对账明细接口!$S819=0,"",[1]对账明细接口!$S819),"")</f>
        <v/>
      </c>
      <c r="Y819" s="10" t="str">
        <f aca="false">""</f>
        <v/>
      </c>
      <c r="Z819" s="10" t="str">
        <f aca="false">""</f>
        <v/>
      </c>
      <c r="AA819" s="10" t="str">
        <f aca="false">""</f>
        <v/>
      </c>
      <c r="AB819" s="10" t="str">
        <f aca="false">""</f>
        <v/>
      </c>
    </row>
    <row r="820" customFormat="false" ht="13.5" hidden="false" customHeight="false" outlineLevel="0" collapsed="false">
      <c r="A820" s="109" t="n">
        <v>820</v>
      </c>
      <c r="B820" s="110" t="str">
        <f aca="false">IFERROR(IF([1]对账明细接口!$B$820=0,"",[1]对账明细接口!$B$820),"")</f>
        <v/>
      </c>
      <c r="C820" s="59" t="str">
        <f aca="false">IFERROR(IF([1]对账明细接口!$C$820=0,"",[1]对账明细接口!$C$820),"")</f>
        <v/>
      </c>
      <c r="D820" s="59" t="str">
        <f aca="false">IFERROR(IF([1]对账明细接口!$D$820=0,"",[1]对账明细接口!$D$820),"")</f>
        <v/>
      </c>
      <c r="E820" s="59" t="str">
        <f aca="false">IFERROR(IF([1]对账明细接口!$E$820=0,"",[1]对账明细接口!$E$820),"")</f>
        <v/>
      </c>
      <c r="F820" s="59" t="str">
        <f aca="false">IFERROR(IF([1]对账明细接口!$F$820=0,"",[1]对账明细接口!$F$820),"")</f>
        <v/>
      </c>
      <c r="G820" s="59" t="str">
        <f aca="false">IFERROR(IF([1]对账明细接口!$G$820=0,"",[1]对账明细接口!$G$820),"")</f>
        <v/>
      </c>
      <c r="H820" s="60" t="str">
        <f aca="false">IFERROR(IF([1]对账明细接口!$H$820=0,"",[1]对账明细接口!$H$820),"")</f>
        <v/>
      </c>
      <c r="I820" s="59" t="str">
        <f aca="false">IFERROR(IF([1]对账明细接口!$I$820=0,"",[1]对账明细接口!$I$820),"")</f>
        <v/>
      </c>
      <c r="J820" s="61" t="str">
        <f aca="false">IFERROR(IF([1]对账明细接口!$J$820=0,"",[1]对账明细接口!$J$820),"")</f>
        <v/>
      </c>
      <c r="K820" s="61" t="str">
        <f aca="false">IFERROR(IF([1]对账明细接口!$K$820=0,"",[1]对账明细接口!$K$820),"")</f>
        <v/>
      </c>
      <c r="L820" s="59" t="str">
        <f aca="false">IFERROR(IF([1]对账明细接口!$L$820=0,"",[1]对账明细接口!$L$820),"")</f>
        <v/>
      </c>
      <c r="M820" s="59" t="str">
        <f aca="false">IFERROR(IF([1]对账明细接口!$M$820=0,"",[1]对账明细接口!$M$820),"")</f>
        <v/>
      </c>
      <c r="N820" s="111" t="n">
        <f aca="false">IF($C820="",0,1)</f>
        <v>0</v>
      </c>
      <c r="O820" s="111" t="n">
        <f aca="false">N(O819)+$N820</f>
        <v>110</v>
      </c>
      <c r="S820" s="10" t="str">
        <f aca="false">IFERROR(IF([1]对账明细接口!$N820=0,"",[1]对账明细接口!$N820),"")</f>
        <v/>
      </c>
      <c r="T820" s="112" t="str">
        <f aca="false">IFERROR(IF([1]对账明细接口!$O820=0,"",[1]对账明细接口!$O820),"")</f>
        <v/>
      </c>
      <c r="U820" s="112" t="str">
        <f aca="false">IFERROR(IF([1]对账明细接口!$P820=0,"",[1]对账明细接口!$P820),"")</f>
        <v/>
      </c>
      <c r="V820" s="112" t="str">
        <f aca="false">IFERROR(IF([1]对账明细接口!$Q820=0,"",[1]对账明细接口!$Q820),"")</f>
        <v/>
      </c>
      <c r="W820" s="10" t="str">
        <f aca="false">IFERROR(IF([1]对账明细接口!$R820=0,"",[1]对账明细接口!$R820),"")</f>
        <v/>
      </c>
      <c r="X820" s="10" t="str">
        <f aca="false">IFERROR(IF([1]对账明细接口!$S820=0,"",[1]对账明细接口!$S820),"")</f>
        <v/>
      </c>
      <c r="Y820" s="10" t="str">
        <f aca="false">""</f>
        <v/>
      </c>
      <c r="Z820" s="10" t="str">
        <f aca="false">""</f>
        <v/>
      </c>
      <c r="AA820" s="10" t="str">
        <f aca="false">""</f>
        <v/>
      </c>
      <c r="AB820" s="10" t="str">
        <f aca="false">""</f>
        <v/>
      </c>
    </row>
    <row r="821" customFormat="false" ht="13.5" hidden="false" customHeight="false" outlineLevel="0" collapsed="false">
      <c r="A821" s="109" t="n">
        <v>821</v>
      </c>
      <c r="B821" s="110" t="str">
        <f aca="false">IFERROR(IF([1]对账明细接口!$B$821=0,"",[1]对账明细接口!$B$821),"")</f>
        <v/>
      </c>
      <c r="C821" s="59" t="str">
        <f aca="false">IFERROR(IF([1]对账明细接口!$C$821=0,"",[1]对账明细接口!$C$821),"")</f>
        <v/>
      </c>
      <c r="D821" s="59" t="str">
        <f aca="false">IFERROR(IF([1]对账明细接口!$D$821=0,"",[1]对账明细接口!$D$821),"")</f>
        <v/>
      </c>
      <c r="E821" s="59" t="str">
        <f aca="false">IFERROR(IF([1]对账明细接口!$E$821=0,"",[1]对账明细接口!$E$821),"")</f>
        <v/>
      </c>
      <c r="F821" s="59" t="str">
        <f aca="false">IFERROR(IF([1]对账明细接口!$F$821=0,"",[1]对账明细接口!$F$821),"")</f>
        <v/>
      </c>
      <c r="G821" s="59" t="str">
        <f aca="false">IFERROR(IF([1]对账明细接口!$G$821=0,"",[1]对账明细接口!$G$821),"")</f>
        <v/>
      </c>
      <c r="H821" s="60" t="str">
        <f aca="false">IFERROR(IF([1]对账明细接口!$H$821=0,"",[1]对账明细接口!$H$821),"")</f>
        <v/>
      </c>
      <c r="I821" s="59" t="str">
        <f aca="false">IFERROR(IF([1]对账明细接口!$I$821=0,"",[1]对账明细接口!$I$821),"")</f>
        <v/>
      </c>
      <c r="J821" s="61" t="str">
        <f aca="false">IFERROR(IF([1]对账明细接口!$J$821=0,"",[1]对账明细接口!$J$821),"")</f>
        <v/>
      </c>
      <c r="K821" s="61" t="str">
        <f aca="false">IFERROR(IF([1]对账明细接口!$K$821=0,"",[1]对账明细接口!$K$821),"")</f>
        <v/>
      </c>
      <c r="L821" s="59" t="str">
        <f aca="false">IFERROR(IF([1]对账明细接口!$L$821=0,"",[1]对账明细接口!$L$821),"")</f>
        <v/>
      </c>
      <c r="M821" s="59" t="str">
        <f aca="false">IFERROR(IF([1]对账明细接口!$M$821=0,"",[1]对账明细接口!$M$821),"")</f>
        <v/>
      </c>
      <c r="N821" s="111" t="n">
        <f aca="false">IF($C821="",0,1)</f>
        <v>0</v>
      </c>
      <c r="O821" s="111" t="n">
        <f aca="false">N(O820)+$N821</f>
        <v>110</v>
      </c>
      <c r="S821" s="10" t="str">
        <f aca="false">IFERROR(IF([1]对账明细接口!$N821=0,"",[1]对账明细接口!$N821),"")</f>
        <v/>
      </c>
      <c r="T821" s="112" t="str">
        <f aca="false">IFERROR(IF([1]对账明细接口!$O821=0,"",[1]对账明细接口!$O821),"")</f>
        <v/>
      </c>
      <c r="U821" s="112" t="str">
        <f aca="false">IFERROR(IF([1]对账明细接口!$P821=0,"",[1]对账明细接口!$P821),"")</f>
        <v/>
      </c>
      <c r="V821" s="112" t="str">
        <f aca="false">IFERROR(IF([1]对账明细接口!$Q821=0,"",[1]对账明细接口!$Q821),"")</f>
        <v/>
      </c>
      <c r="W821" s="10" t="str">
        <f aca="false">IFERROR(IF([1]对账明细接口!$R821=0,"",[1]对账明细接口!$R821),"")</f>
        <v/>
      </c>
      <c r="X821" s="10" t="str">
        <f aca="false">IFERROR(IF([1]对账明细接口!$S821=0,"",[1]对账明细接口!$S821),"")</f>
        <v/>
      </c>
      <c r="Y821" s="10" t="str">
        <f aca="false">""</f>
        <v/>
      </c>
      <c r="Z821" s="10" t="str">
        <f aca="false">""</f>
        <v/>
      </c>
      <c r="AA821" s="10" t="str">
        <f aca="false">""</f>
        <v/>
      </c>
      <c r="AB821" s="10" t="str">
        <f aca="false">""</f>
        <v/>
      </c>
    </row>
    <row r="822" customFormat="false" ht="13.5" hidden="false" customHeight="false" outlineLevel="0" collapsed="false">
      <c r="A822" s="109" t="n">
        <v>822</v>
      </c>
      <c r="B822" s="110" t="str">
        <f aca="false">IFERROR(IF([1]对账明细接口!$B$822=0,"",[1]对账明细接口!$B$822),"")</f>
        <v/>
      </c>
      <c r="C822" s="59" t="str">
        <f aca="false">IFERROR(IF([1]对账明细接口!$C$822=0,"",[1]对账明细接口!$C$822),"")</f>
        <v/>
      </c>
      <c r="D822" s="59" t="str">
        <f aca="false">IFERROR(IF([1]对账明细接口!$D$822=0,"",[1]对账明细接口!$D$822),"")</f>
        <v/>
      </c>
      <c r="E822" s="59" t="str">
        <f aca="false">IFERROR(IF([1]对账明细接口!$E$822=0,"",[1]对账明细接口!$E$822),"")</f>
        <v/>
      </c>
      <c r="F822" s="59" t="str">
        <f aca="false">IFERROR(IF([1]对账明细接口!$F$822=0,"",[1]对账明细接口!$F$822),"")</f>
        <v/>
      </c>
      <c r="G822" s="59" t="str">
        <f aca="false">IFERROR(IF([1]对账明细接口!$G$822=0,"",[1]对账明细接口!$G$822),"")</f>
        <v/>
      </c>
      <c r="H822" s="60" t="str">
        <f aca="false">IFERROR(IF([1]对账明细接口!$H$822=0,"",[1]对账明细接口!$H$822),"")</f>
        <v/>
      </c>
      <c r="I822" s="59" t="str">
        <f aca="false">IFERROR(IF([1]对账明细接口!$I$822=0,"",[1]对账明细接口!$I$822),"")</f>
        <v/>
      </c>
      <c r="J822" s="61" t="str">
        <f aca="false">IFERROR(IF([1]对账明细接口!$J$822=0,"",[1]对账明细接口!$J$822),"")</f>
        <v/>
      </c>
      <c r="K822" s="61" t="str">
        <f aca="false">IFERROR(IF([1]对账明细接口!$K$822=0,"",[1]对账明细接口!$K$822),"")</f>
        <v/>
      </c>
      <c r="L822" s="59" t="str">
        <f aca="false">IFERROR(IF([1]对账明细接口!$L$822=0,"",[1]对账明细接口!$L$822),"")</f>
        <v/>
      </c>
      <c r="M822" s="59" t="str">
        <f aca="false">IFERROR(IF([1]对账明细接口!$M$822=0,"",[1]对账明细接口!$M$822),"")</f>
        <v/>
      </c>
      <c r="N822" s="111" t="n">
        <f aca="false">IF($C822="",0,1)</f>
        <v>0</v>
      </c>
      <c r="O822" s="111" t="n">
        <f aca="false">N(O821)+$N822</f>
        <v>110</v>
      </c>
      <c r="S822" s="10" t="str">
        <f aca="false">IFERROR(IF([1]对账明细接口!$N822=0,"",[1]对账明细接口!$N822),"")</f>
        <v/>
      </c>
      <c r="T822" s="112" t="str">
        <f aca="false">IFERROR(IF([1]对账明细接口!$O822=0,"",[1]对账明细接口!$O822),"")</f>
        <v/>
      </c>
      <c r="U822" s="112" t="str">
        <f aca="false">IFERROR(IF([1]对账明细接口!$P822=0,"",[1]对账明细接口!$P822),"")</f>
        <v/>
      </c>
      <c r="V822" s="112" t="str">
        <f aca="false">IFERROR(IF([1]对账明细接口!$Q822=0,"",[1]对账明细接口!$Q822),"")</f>
        <v/>
      </c>
      <c r="W822" s="10" t="str">
        <f aca="false">IFERROR(IF([1]对账明细接口!$R822=0,"",[1]对账明细接口!$R822),"")</f>
        <v/>
      </c>
      <c r="X822" s="10" t="str">
        <f aca="false">IFERROR(IF([1]对账明细接口!$S822=0,"",[1]对账明细接口!$S822),"")</f>
        <v/>
      </c>
      <c r="Y822" s="10" t="str">
        <f aca="false">""</f>
        <v/>
      </c>
      <c r="Z822" s="10" t="str">
        <f aca="false">""</f>
        <v/>
      </c>
      <c r="AA822" s="10" t="str">
        <f aca="false">""</f>
        <v/>
      </c>
      <c r="AB822" s="10" t="str">
        <f aca="false">""</f>
        <v/>
      </c>
    </row>
    <row r="823" customFormat="false" ht="13.5" hidden="false" customHeight="false" outlineLevel="0" collapsed="false">
      <c r="A823" s="109" t="n">
        <v>823</v>
      </c>
      <c r="B823" s="110" t="str">
        <f aca="false">IFERROR(IF([1]对账明细接口!$B$823=0,"",[1]对账明细接口!$B$823),"")</f>
        <v/>
      </c>
      <c r="C823" s="59" t="str">
        <f aca="false">IFERROR(IF([1]对账明细接口!$C$823=0,"",[1]对账明细接口!$C$823),"")</f>
        <v/>
      </c>
      <c r="D823" s="59" t="str">
        <f aca="false">IFERROR(IF([1]对账明细接口!$D$823=0,"",[1]对账明细接口!$D$823),"")</f>
        <v/>
      </c>
      <c r="E823" s="59" t="str">
        <f aca="false">IFERROR(IF([1]对账明细接口!$E$823=0,"",[1]对账明细接口!$E$823),"")</f>
        <v/>
      </c>
      <c r="F823" s="59" t="str">
        <f aca="false">IFERROR(IF([1]对账明细接口!$F$823=0,"",[1]对账明细接口!$F$823),"")</f>
        <v/>
      </c>
      <c r="G823" s="59" t="str">
        <f aca="false">IFERROR(IF([1]对账明细接口!$G$823=0,"",[1]对账明细接口!$G$823),"")</f>
        <v/>
      </c>
      <c r="H823" s="60" t="str">
        <f aca="false">IFERROR(IF([1]对账明细接口!$H$823=0,"",[1]对账明细接口!$H$823),"")</f>
        <v/>
      </c>
      <c r="I823" s="59" t="str">
        <f aca="false">IFERROR(IF([1]对账明细接口!$I$823=0,"",[1]对账明细接口!$I$823),"")</f>
        <v/>
      </c>
      <c r="J823" s="61" t="str">
        <f aca="false">IFERROR(IF([1]对账明细接口!$J$823=0,"",[1]对账明细接口!$J$823),"")</f>
        <v/>
      </c>
      <c r="K823" s="61" t="str">
        <f aca="false">IFERROR(IF([1]对账明细接口!$K$823=0,"",[1]对账明细接口!$K$823),"")</f>
        <v/>
      </c>
      <c r="L823" s="59" t="str">
        <f aca="false">IFERROR(IF([1]对账明细接口!$L$823=0,"",[1]对账明细接口!$L$823),"")</f>
        <v/>
      </c>
      <c r="M823" s="59" t="str">
        <f aca="false">IFERROR(IF([1]对账明细接口!$M$823=0,"",[1]对账明细接口!$M$823),"")</f>
        <v/>
      </c>
      <c r="N823" s="111" t="n">
        <f aca="false">IF($C823="",0,1)</f>
        <v>0</v>
      </c>
      <c r="O823" s="111" t="n">
        <f aca="false">N(O822)+$N823</f>
        <v>110</v>
      </c>
      <c r="S823" s="10" t="str">
        <f aca="false">IFERROR(IF([1]对账明细接口!$N823=0,"",[1]对账明细接口!$N823),"")</f>
        <v/>
      </c>
      <c r="T823" s="112" t="str">
        <f aca="false">IFERROR(IF([1]对账明细接口!$O823=0,"",[1]对账明细接口!$O823),"")</f>
        <v/>
      </c>
      <c r="U823" s="112" t="str">
        <f aca="false">IFERROR(IF([1]对账明细接口!$P823=0,"",[1]对账明细接口!$P823),"")</f>
        <v/>
      </c>
      <c r="V823" s="112" t="str">
        <f aca="false">IFERROR(IF([1]对账明细接口!$Q823=0,"",[1]对账明细接口!$Q823),"")</f>
        <v/>
      </c>
      <c r="W823" s="10" t="str">
        <f aca="false">IFERROR(IF([1]对账明细接口!$R823=0,"",[1]对账明细接口!$R823),"")</f>
        <v/>
      </c>
      <c r="X823" s="10" t="str">
        <f aca="false">IFERROR(IF([1]对账明细接口!$S823=0,"",[1]对账明细接口!$S823),"")</f>
        <v/>
      </c>
      <c r="Y823" s="10" t="str">
        <f aca="false">""</f>
        <v/>
      </c>
      <c r="Z823" s="10" t="str">
        <f aca="false">""</f>
        <v/>
      </c>
      <c r="AA823" s="10" t="str">
        <f aca="false">""</f>
        <v/>
      </c>
      <c r="AB823" s="10" t="str">
        <f aca="false">""</f>
        <v/>
      </c>
    </row>
    <row r="824" customFormat="false" ht="13.5" hidden="false" customHeight="false" outlineLevel="0" collapsed="false">
      <c r="A824" s="109" t="n">
        <v>824</v>
      </c>
      <c r="B824" s="110" t="str">
        <f aca="false">IFERROR(IF([1]对账明细接口!$B$824=0,"",[1]对账明细接口!$B$824),"")</f>
        <v/>
      </c>
      <c r="C824" s="59" t="str">
        <f aca="false">IFERROR(IF([1]对账明细接口!$C$824=0,"",[1]对账明细接口!$C$824),"")</f>
        <v/>
      </c>
      <c r="D824" s="59" t="str">
        <f aca="false">IFERROR(IF([1]对账明细接口!$D$824=0,"",[1]对账明细接口!$D$824),"")</f>
        <v/>
      </c>
      <c r="E824" s="59" t="str">
        <f aca="false">IFERROR(IF([1]对账明细接口!$E$824=0,"",[1]对账明细接口!$E$824),"")</f>
        <v/>
      </c>
      <c r="F824" s="59" t="str">
        <f aca="false">IFERROR(IF([1]对账明细接口!$F$824=0,"",[1]对账明细接口!$F$824),"")</f>
        <v/>
      </c>
      <c r="G824" s="59" t="str">
        <f aca="false">IFERROR(IF([1]对账明细接口!$G$824=0,"",[1]对账明细接口!$G$824),"")</f>
        <v/>
      </c>
      <c r="H824" s="60" t="str">
        <f aca="false">IFERROR(IF([1]对账明细接口!$H$824=0,"",[1]对账明细接口!$H$824),"")</f>
        <v/>
      </c>
      <c r="I824" s="59" t="str">
        <f aca="false">IFERROR(IF([1]对账明细接口!$I$824=0,"",[1]对账明细接口!$I$824),"")</f>
        <v/>
      </c>
      <c r="J824" s="61" t="str">
        <f aca="false">IFERROR(IF([1]对账明细接口!$J$824=0,"",[1]对账明细接口!$J$824),"")</f>
        <v/>
      </c>
      <c r="K824" s="61" t="str">
        <f aca="false">IFERROR(IF([1]对账明细接口!$K$824=0,"",[1]对账明细接口!$K$824),"")</f>
        <v/>
      </c>
      <c r="L824" s="59" t="str">
        <f aca="false">IFERROR(IF([1]对账明细接口!$L$824=0,"",[1]对账明细接口!$L$824),"")</f>
        <v/>
      </c>
      <c r="M824" s="59" t="str">
        <f aca="false">IFERROR(IF([1]对账明细接口!$M$824=0,"",[1]对账明细接口!$M$824),"")</f>
        <v/>
      </c>
      <c r="N824" s="111" t="n">
        <f aca="false">IF($C824="",0,1)</f>
        <v>0</v>
      </c>
      <c r="O824" s="111" t="n">
        <f aca="false">N(O823)+$N824</f>
        <v>110</v>
      </c>
      <c r="S824" s="10" t="str">
        <f aca="false">IFERROR(IF([1]对账明细接口!$N824=0,"",[1]对账明细接口!$N824),"")</f>
        <v/>
      </c>
      <c r="T824" s="112" t="str">
        <f aca="false">IFERROR(IF([1]对账明细接口!$O824=0,"",[1]对账明细接口!$O824),"")</f>
        <v/>
      </c>
      <c r="U824" s="112" t="str">
        <f aca="false">IFERROR(IF([1]对账明细接口!$P824=0,"",[1]对账明细接口!$P824),"")</f>
        <v/>
      </c>
      <c r="V824" s="112" t="str">
        <f aca="false">IFERROR(IF([1]对账明细接口!$Q824=0,"",[1]对账明细接口!$Q824),"")</f>
        <v/>
      </c>
      <c r="W824" s="10" t="str">
        <f aca="false">IFERROR(IF([1]对账明细接口!$R824=0,"",[1]对账明细接口!$R824),"")</f>
        <v/>
      </c>
      <c r="X824" s="10" t="str">
        <f aca="false">IFERROR(IF([1]对账明细接口!$S824=0,"",[1]对账明细接口!$S824),"")</f>
        <v/>
      </c>
      <c r="Y824" s="10" t="str">
        <f aca="false">""</f>
        <v/>
      </c>
      <c r="Z824" s="10" t="str">
        <f aca="false">""</f>
        <v/>
      </c>
      <c r="AA824" s="10" t="str">
        <f aca="false">""</f>
        <v/>
      </c>
      <c r="AB824" s="10" t="str">
        <f aca="false">""</f>
        <v/>
      </c>
    </row>
    <row r="825" customFormat="false" ht="13.5" hidden="false" customHeight="false" outlineLevel="0" collapsed="false">
      <c r="A825" s="109" t="n">
        <v>825</v>
      </c>
      <c r="B825" s="110" t="str">
        <f aca="false">IFERROR(IF([1]对账明细接口!$B$825=0,"",[1]对账明细接口!$B$825),"")</f>
        <v/>
      </c>
      <c r="C825" s="59" t="str">
        <f aca="false">IFERROR(IF([1]对账明细接口!$C$825=0,"",[1]对账明细接口!$C$825),"")</f>
        <v/>
      </c>
      <c r="D825" s="59" t="str">
        <f aca="false">IFERROR(IF([1]对账明细接口!$D$825=0,"",[1]对账明细接口!$D$825),"")</f>
        <v/>
      </c>
      <c r="E825" s="59" t="str">
        <f aca="false">IFERROR(IF([1]对账明细接口!$E$825=0,"",[1]对账明细接口!$E$825),"")</f>
        <v/>
      </c>
      <c r="F825" s="59" t="str">
        <f aca="false">IFERROR(IF([1]对账明细接口!$F$825=0,"",[1]对账明细接口!$F$825),"")</f>
        <v/>
      </c>
      <c r="G825" s="59" t="str">
        <f aca="false">IFERROR(IF([1]对账明细接口!$G$825=0,"",[1]对账明细接口!$G$825),"")</f>
        <v/>
      </c>
      <c r="H825" s="60" t="str">
        <f aca="false">IFERROR(IF([1]对账明细接口!$H$825=0,"",[1]对账明细接口!$H$825),"")</f>
        <v/>
      </c>
      <c r="I825" s="59" t="str">
        <f aca="false">IFERROR(IF([1]对账明细接口!$I$825=0,"",[1]对账明细接口!$I$825),"")</f>
        <v/>
      </c>
      <c r="J825" s="61" t="str">
        <f aca="false">IFERROR(IF([1]对账明细接口!$J$825=0,"",[1]对账明细接口!$J$825),"")</f>
        <v/>
      </c>
      <c r="K825" s="61" t="str">
        <f aca="false">IFERROR(IF([1]对账明细接口!$K$825=0,"",[1]对账明细接口!$K$825),"")</f>
        <v/>
      </c>
      <c r="L825" s="59" t="str">
        <f aca="false">IFERROR(IF([1]对账明细接口!$L$825=0,"",[1]对账明细接口!$L$825),"")</f>
        <v/>
      </c>
      <c r="M825" s="59" t="str">
        <f aca="false">IFERROR(IF([1]对账明细接口!$M$825=0,"",[1]对账明细接口!$M$825),"")</f>
        <v/>
      </c>
      <c r="N825" s="111" t="n">
        <f aca="false">IF($C825="",0,1)</f>
        <v>0</v>
      </c>
      <c r="O825" s="111" t="n">
        <f aca="false">N(O824)+$N825</f>
        <v>110</v>
      </c>
      <c r="S825" s="10" t="str">
        <f aca="false">IFERROR(IF([1]对账明细接口!$N825=0,"",[1]对账明细接口!$N825),"")</f>
        <v/>
      </c>
      <c r="T825" s="112" t="str">
        <f aca="false">IFERROR(IF([1]对账明细接口!$O825=0,"",[1]对账明细接口!$O825),"")</f>
        <v/>
      </c>
      <c r="U825" s="112" t="str">
        <f aca="false">IFERROR(IF([1]对账明细接口!$P825=0,"",[1]对账明细接口!$P825),"")</f>
        <v/>
      </c>
      <c r="V825" s="112" t="str">
        <f aca="false">IFERROR(IF([1]对账明细接口!$Q825=0,"",[1]对账明细接口!$Q825),"")</f>
        <v/>
      </c>
      <c r="W825" s="10" t="str">
        <f aca="false">IFERROR(IF([1]对账明细接口!$R825=0,"",[1]对账明细接口!$R825),"")</f>
        <v/>
      </c>
      <c r="X825" s="10" t="str">
        <f aca="false">IFERROR(IF([1]对账明细接口!$S825=0,"",[1]对账明细接口!$S825),"")</f>
        <v/>
      </c>
      <c r="Y825" s="10" t="str">
        <f aca="false">""</f>
        <v/>
      </c>
      <c r="Z825" s="10" t="str">
        <f aca="false">""</f>
        <v/>
      </c>
      <c r="AA825" s="10" t="str">
        <f aca="false">""</f>
        <v/>
      </c>
      <c r="AB825" s="10" t="str">
        <f aca="false">""</f>
        <v/>
      </c>
    </row>
    <row r="826" customFormat="false" ht="13.5" hidden="false" customHeight="false" outlineLevel="0" collapsed="false">
      <c r="A826" s="109" t="n">
        <v>826</v>
      </c>
      <c r="B826" s="110" t="str">
        <f aca="false">IFERROR(IF([1]对账明细接口!$B$826=0,"",[1]对账明细接口!$B$826),"")</f>
        <v/>
      </c>
      <c r="C826" s="59" t="str">
        <f aca="false">IFERROR(IF([1]对账明细接口!$C$826=0,"",[1]对账明细接口!$C$826),"")</f>
        <v/>
      </c>
      <c r="D826" s="59" t="str">
        <f aca="false">IFERROR(IF([1]对账明细接口!$D$826=0,"",[1]对账明细接口!$D$826),"")</f>
        <v/>
      </c>
      <c r="E826" s="59" t="str">
        <f aca="false">IFERROR(IF([1]对账明细接口!$E$826=0,"",[1]对账明细接口!$E$826),"")</f>
        <v/>
      </c>
      <c r="F826" s="59" t="str">
        <f aca="false">IFERROR(IF([1]对账明细接口!$F$826=0,"",[1]对账明细接口!$F$826),"")</f>
        <v/>
      </c>
      <c r="G826" s="59" t="str">
        <f aca="false">IFERROR(IF([1]对账明细接口!$G$826=0,"",[1]对账明细接口!$G$826),"")</f>
        <v/>
      </c>
      <c r="H826" s="60" t="str">
        <f aca="false">IFERROR(IF([1]对账明细接口!$H$826=0,"",[1]对账明细接口!$H$826),"")</f>
        <v/>
      </c>
      <c r="I826" s="59" t="str">
        <f aca="false">IFERROR(IF([1]对账明细接口!$I$826=0,"",[1]对账明细接口!$I$826),"")</f>
        <v/>
      </c>
      <c r="J826" s="61" t="str">
        <f aca="false">IFERROR(IF([1]对账明细接口!$J$826=0,"",[1]对账明细接口!$J$826),"")</f>
        <v/>
      </c>
      <c r="K826" s="61" t="str">
        <f aca="false">IFERROR(IF([1]对账明细接口!$K$826=0,"",[1]对账明细接口!$K$826),"")</f>
        <v/>
      </c>
      <c r="L826" s="59" t="str">
        <f aca="false">IFERROR(IF([1]对账明细接口!$L$826=0,"",[1]对账明细接口!$L$826),"")</f>
        <v/>
      </c>
      <c r="M826" s="59" t="str">
        <f aca="false">IFERROR(IF([1]对账明细接口!$M$826=0,"",[1]对账明细接口!$M$826),"")</f>
        <v/>
      </c>
      <c r="N826" s="111" t="n">
        <f aca="false">IF($C826="",0,1)</f>
        <v>0</v>
      </c>
      <c r="O826" s="111" t="n">
        <f aca="false">N(O825)+$N826</f>
        <v>110</v>
      </c>
      <c r="S826" s="10" t="str">
        <f aca="false">IFERROR(IF([1]对账明细接口!$N826=0,"",[1]对账明细接口!$N826),"")</f>
        <v/>
      </c>
      <c r="T826" s="112" t="str">
        <f aca="false">IFERROR(IF([1]对账明细接口!$O826=0,"",[1]对账明细接口!$O826),"")</f>
        <v/>
      </c>
      <c r="U826" s="112" t="str">
        <f aca="false">IFERROR(IF([1]对账明细接口!$P826=0,"",[1]对账明细接口!$P826),"")</f>
        <v/>
      </c>
      <c r="V826" s="112" t="str">
        <f aca="false">IFERROR(IF([1]对账明细接口!$Q826=0,"",[1]对账明细接口!$Q826),"")</f>
        <v/>
      </c>
      <c r="W826" s="10" t="str">
        <f aca="false">IFERROR(IF([1]对账明细接口!$R826=0,"",[1]对账明细接口!$R826),"")</f>
        <v/>
      </c>
      <c r="X826" s="10" t="str">
        <f aca="false">IFERROR(IF([1]对账明细接口!$S826=0,"",[1]对账明细接口!$S826),"")</f>
        <v/>
      </c>
      <c r="Y826" s="10" t="str">
        <f aca="false">""</f>
        <v/>
      </c>
      <c r="Z826" s="10" t="str">
        <f aca="false">""</f>
        <v/>
      </c>
      <c r="AA826" s="10" t="str">
        <f aca="false">""</f>
        <v/>
      </c>
      <c r="AB826" s="10" t="str">
        <f aca="false">""</f>
        <v/>
      </c>
    </row>
    <row r="827" customFormat="false" ht="13.5" hidden="false" customHeight="false" outlineLevel="0" collapsed="false">
      <c r="A827" s="109" t="n">
        <v>827</v>
      </c>
      <c r="B827" s="110" t="str">
        <f aca="false">IFERROR(IF([1]对账明细接口!$B$827=0,"",[1]对账明细接口!$B$827),"")</f>
        <v/>
      </c>
      <c r="C827" s="59" t="str">
        <f aca="false">IFERROR(IF([1]对账明细接口!$C$827=0,"",[1]对账明细接口!$C$827),"")</f>
        <v/>
      </c>
      <c r="D827" s="59" t="str">
        <f aca="false">IFERROR(IF([1]对账明细接口!$D$827=0,"",[1]对账明细接口!$D$827),"")</f>
        <v/>
      </c>
      <c r="E827" s="59" t="str">
        <f aca="false">IFERROR(IF([1]对账明细接口!$E$827=0,"",[1]对账明细接口!$E$827),"")</f>
        <v/>
      </c>
      <c r="F827" s="59" t="str">
        <f aca="false">IFERROR(IF([1]对账明细接口!$F$827=0,"",[1]对账明细接口!$F$827),"")</f>
        <v/>
      </c>
      <c r="G827" s="59" t="str">
        <f aca="false">IFERROR(IF([1]对账明细接口!$G$827=0,"",[1]对账明细接口!$G$827),"")</f>
        <v/>
      </c>
      <c r="H827" s="60" t="str">
        <f aca="false">IFERROR(IF([1]对账明细接口!$H$827=0,"",[1]对账明细接口!$H$827),"")</f>
        <v/>
      </c>
      <c r="I827" s="59" t="str">
        <f aca="false">IFERROR(IF([1]对账明细接口!$I$827=0,"",[1]对账明细接口!$I$827),"")</f>
        <v/>
      </c>
      <c r="J827" s="61" t="str">
        <f aca="false">IFERROR(IF([1]对账明细接口!$J$827=0,"",[1]对账明细接口!$J$827),"")</f>
        <v/>
      </c>
      <c r="K827" s="61" t="str">
        <f aca="false">IFERROR(IF([1]对账明细接口!$K$827=0,"",[1]对账明细接口!$K$827),"")</f>
        <v/>
      </c>
      <c r="L827" s="59" t="str">
        <f aca="false">IFERROR(IF([1]对账明细接口!$L$827=0,"",[1]对账明细接口!$L$827),"")</f>
        <v/>
      </c>
      <c r="M827" s="59" t="str">
        <f aca="false">IFERROR(IF([1]对账明细接口!$M$827=0,"",[1]对账明细接口!$M$827),"")</f>
        <v/>
      </c>
      <c r="N827" s="111" t="n">
        <f aca="false">IF($C827="",0,1)</f>
        <v>0</v>
      </c>
      <c r="O827" s="111" t="n">
        <f aca="false">N(O826)+$N827</f>
        <v>110</v>
      </c>
      <c r="S827" s="10" t="str">
        <f aca="false">IFERROR(IF([1]对账明细接口!$N827=0,"",[1]对账明细接口!$N827),"")</f>
        <v/>
      </c>
      <c r="T827" s="112" t="str">
        <f aca="false">IFERROR(IF([1]对账明细接口!$O827=0,"",[1]对账明细接口!$O827),"")</f>
        <v/>
      </c>
      <c r="U827" s="112" t="str">
        <f aca="false">IFERROR(IF([1]对账明细接口!$P827=0,"",[1]对账明细接口!$P827),"")</f>
        <v/>
      </c>
      <c r="V827" s="112" t="str">
        <f aca="false">IFERROR(IF([1]对账明细接口!$Q827=0,"",[1]对账明细接口!$Q827),"")</f>
        <v/>
      </c>
      <c r="W827" s="10" t="str">
        <f aca="false">IFERROR(IF([1]对账明细接口!$R827=0,"",[1]对账明细接口!$R827),"")</f>
        <v/>
      </c>
      <c r="X827" s="10" t="str">
        <f aca="false">IFERROR(IF([1]对账明细接口!$S827=0,"",[1]对账明细接口!$S827),"")</f>
        <v/>
      </c>
      <c r="Y827" s="10" t="str">
        <f aca="false">""</f>
        <v/>
      </c>
      <c r="Z827" s="10" t="str">
        <f aca="false">""</f>
        <v/>
      </c>
      <c r="AA827" s="10" t="str">
        <f aca="false">""</f>
        <v/>
      </c>
      <c r="AB827" s="10" t="str">
        <f aca="false">""</f>
        <v/>
      </c>
    </row>
    <row r="828" customFormat="false" ht="13.5" hidden="false" customHeight="false" outlineLevel="0" collapsed="false">
      <c r="A828" s="109" t="n">
        <v>828</v>
      </c>
      <c r="B828" s="110" t="str">
        <f aca="false">IFERROR(IF([1]对账明细接口!$B$828=0,"",[1]对账明细接口!$B$828),"")</f>
        <v/>
      </c>
      <c r="C828" s="59" t="str">
        <f aca="false">IFERROR(IF([1]对账明细接口!$C$828=0,"",[1]对账明细接口!$C$828),"")</f>
        <v/>
      </c>
      <c r="D828" s="59" t="str">
        <f aca="false">IFERROR(IF([1]对账明细接口!$D$828=0,"",[1]对账明细接口!$D$828),"")</f>
        <v/>
      </c>
      <c r="E828" s="59" t="str">
        <f aca="false">IFERROR(IF([1]对账明细接口!$E$828=0,"",[1]对账明细接口!$E$828),"")</f>
        <v/>
      </c>
      <c r="F828" s="59" t="str">
        <f aca="false">IFERROR(IF([1]对账明细接口!$F$828=0,"",[1]对账明细接口!$F$828),"")</f>
        <v/>
      </c>
      <c r="G828" s="59" t="str">
        <f aca="false">IFERROR(IF([1]对账明细接口!$G$828=0,"",[1]对账明细接口!$G$828),"")</f>
        <v/>
      </c>
      <c r="H828" s="60" t="str">
        <f aca="false">IFERROR(IF([1]对账明细接口!$H$828=0,"",[1]对账明细接口!$H$828),"")</f>
        <v/>
      </c>
      <c r="I828" s="59" t="str">
        <f aca="false">IFERROR(IF([1]对账明细接口!$I$828=0,"",[1]对账明细接口!$I$828),"")</f>
        <v/>
      </c>
      <c r="J828" s="61" t="str">
        <f aca="false">IFERROR(IF([1]对账明细接口!$J$828=0,"",[1]对账明细接口!$J$828),"")</f>
        <v/>
      </c>
      <c r="K828" s="61" t="str">
        <f aca="false">IFERROR(IF([1]对账明细接口!$K$828=0,"",[1]对账明细接口!$K$828),"")</f>
        <v/>
      </c>
      <c r="L828" s="59" t="str">
        <f aca="false">IFERROR(IF([1]对账明细接口!$L$828=0,"",[1]对账明细接口!$L$828),"")</f>
        <v/>
      </c>
      <c r="M828" s="59" t="str">
        <f aca="false">IFERROR(IF([1]对账明细接口!$M$828=0,"",[1]对账明细接口!$M$828),"")</f>
        <v/>
      </c>
      <c r="N828" s="111" t="n">
        <f aca="false">IF($C828="",0,1)</f>
        <v>0</v>
      </c>
      <c r="O828" s="111" t="n">
        <f aca="false">N(O827)+$N828</f>
        <v>110</v>
      </c>
      <c r="S828" s="10" t="str">
        <f aca="false">IFERROR(IF([1]对账明细接口!$N828=0,"",[1]对账明细接口!$N828),"")</f>
        <v/>
      </c>
      <c r="T828" s="112" t="str">
        <f aca="false">IFERROR(IF([1]对账明细接口!$O828=0,"",[1]对账明细接口!$O828),"")</f>
        <v/>
      </c>
      <c r="U828" s="112" t="str">
        <f aca="false">IFERROR(IF([1]对账明细接口!$P828=0,"",[1]对账明细接口!$P828),"")</f>
        <v/>
      </c>
      <c r="V828" s="112" t="str">
        <f aca="false">IFERROR(IF([1]对账明细接口!$Q828=0,"",[1]对账明细接口!$Q828),"")</f>
        <v/>
      </c>
      <c r="W828" s="10" t="str">
        <f aca="false">IFERROR(IF([1]对账明细接口!$R828=0,"",[1]对账明细接口!$R828),"")</f>
        <v/>
      </c>
      <c r="X828" s="10" t="str">
        <f aca="false">IFERROR(IF([1]对账明细接口!$S828=0,"",[1]对账明细接口!$S828),"")</f>
        <v/>
      </c>
      <c r="Y828" s="10" t="str">
        <f aca="false">""</f>
        <v/>
      </c>
      <c r="Z828" s="10" t="str">
        <f aca="false">""</f>
        <v/>
      </c>
      <c r="AA828" s="10" t="str">
        <f aca="false">""</f>
        <v/>
      </c>
      <c r="AB828" s="10" t="str">
        <f aca="false">""</f>
        <v/>
      </c>
    </row>
    <row r="829" customFormat="false" ht="13.5" hidden="false" customHeight="false" outlineLevel="0" collapsed="false">
      <c r="A829" s="109" t="n">
        <v>829</v>
      </c>
      <c r="B829" s="110" t="str">
        <f aca="false">IFERROR(IF([1]对账明细接口!$B$829=0,"",[1]对账明细接口!$B$829),"")</f>
        <v/>
      </c>
      <c r="C829" s="59" t="str">
        <f aca="false">IFERROR(IF([1]对账明细接口!$C$829=0,"",[1]对账明细接口!$C$829),"")</f>
        <v/>
      </c>
      <c r="D829" s="59" t="str">
        <f aca="false">IFERROR(IF([1]对账明细接口!$D$829=0,"",[1]对账明细接口!$D$829),"")</f>
        <v/>
      </c>
      <c r="E829" s="59" t="str">
        <f aca="false">IFERROR(IF([1]对账明细接口!$E$829=0,"",[1]对账明细接口!$E$829),"")</f>
        <v/>
      </c>
      <c r="F829" s="59" t="str">
        <f aca="false">IFERROR(IF([1]对账明细接口!$F$829=0,"",[1]对账明细接口!$F$829),"")</f>
        <v/>
      </c>
      <c r="G829" s="59" t="str">
        <f aca="false">IFERROR(IF([1]对账明细接口!$G$829=0,"",[1]对账明细接口!$G$829),"")</f>
        <v/>
      </c>
      <c r="H829" s="60" t="str">
        <f aca="false">IFERROR(IF([1]对账明细接口!$H$829=0,"",[1]对账明细接口!$H$829),"")</f>
        <v/>
      </c>
      <c r="I829" s="59" t="str">
        <f aca="false">IFERROR(IF([1]对账明细接口!$I$829=0,"",[1]对账明细接口!$I$829),"")</f>
        <v/>
      </c>
      <c r="J829" s="61" t="str">
        <f aca="false">IFERROR(IF([1]对账明细接口!$J$829=0,"",[1]对账明细接口!$J$829),"")</f>
        <v/>
      </c>
      <c r="K829" s="61" t="str">
        <f aca="false">IFERROR(IF([1]对账明细接口!$K$829=0,"",[1]对账明细接口!$K$829),"")</f>
        <v/>
      </c>
      <c r="L829" s="59" t="str">
        <f aca="false">IFERROR(IF([1]对账明细接口!$L$829=0,"",[1]对账明细接口!$L$829),"")</f>
        <v/>
      </c>
      <c r="M829" s="59" t="str">
        <f aca="false">IFERROR(IF([1]对账明细接口!$M$829=0,"",[1]对账明细接口!$M$829),"")</f>
        <v/>
      </c>
      <c r="N829" s="111" t="n">
        <f aca="false">IF($C829="",0,1)</f>
        <v>0</v>
      </c>
      <c r="O829" s="111" t="n">
        <f aca="false">N(O828)+$N829</f>
        <v>110</v>
      </c>
      <c r="S829" s="10" t="str">
        <f aca="false">IFERROR(IF([1]对账明细接口!$N829=0,"",[1]对账明细接口!$N829),"")</f>
        <v/>
      </c>
      <c r="T829" s="112" t="str">
        <f aca="false">IFERROR(IF([1]对账明细接口!$O829=0,"",[1]对账明细接口!$O829),"")</f>
        <v/>
      </c>
      <c r="U829" s="112" t="str">
        <f aca="false">IFERROR(IF([1]对账明细接口!$P829=0,"",[1]对账明细接口!$P829),"")</f>
        <v/>
      </c>
      <c r="V829" s="112" t="str">
        <f aca="false">IFERROR(IF([1]对账明细接口!$Q829=0,"",[1]对账明细接口!$Q829),"")</f>
        <v/>
      </c>
      <c r="W829" s="10" t="str">
        <f aca="false">IFERROR(IF([1]对账明细接口!$R829=0,"",[1]对账明细接口!$R829),"")</f>
        <v/>
      </c>
      <c r="X829" s="10" t="str">
        <f aca="false">IFERROR(IF([1]对账明细接口!$S829=0,"",[1]对账明细接口!$S829),"")</f>
        <v/>
      </c>
      <c r="Y829" s="10" t="str">
        <f aca="false">""</f>
        <v/>
      </c>
      <c r="Z829" s="10" t="str">
        <f aca="false">""</f>
        <v/>
      </c>
      <c r="AA829" s="10" t="str">
        <f aca="false">""</f>
        <v/>
      </c>
      <c r="AB829" s="10" t="str">
        <f aca="false">""</f>
        <v/>
      </c>
    </row>
    <row r="830" customFormat="false" ht="13.5" hidden="false" customHeight="false" outlineLevel="0" collapsed="false">
      <c r="A830" s="109" t="n">
        <v>830</v>
      </c>
      <c r="B830" s="110" t="str">
        <f aca="false">IFERROR(IF([1]对账明细接口!$B$830=0,"",[1]对账明细接口!$B$830),"")</f>
        <v/>
      </c>
      <c r="C830" s="59" t="str">
        <f aca="false">IFERROR(IF([1]对账明细接口!$C$830=0,"",[1]对账明细接口!$C$830),"")</f>
        <v/>
      </c>
      <c r="D830" s="59" t="str">
        <f aca="false">IFERROR(IF([1]对账明细接口!$D$830=0,"",[1]对账明细接口!$D$830),"")</f>
        <v/>
      </c>
      <c r="E830" s="59" t="str">
        <f aca="false">IFERROR(IF([1]对账明细接口!$E$830=0,"",[1]对账明细接口!$E$830),"")</f>
        <v/>
      </c>
      <c r="F830" s="59" t="str">
        <f aca="false">IFERROR(IF([1]对账明细接口!$F$830=0,"",[1]对账明细接口!$F$830),"")</f>
        <v/>
      </c>
      <c r="G830" s="59" t="str">
        <f aca="false">IFERROR(IF([1]对账明细接口!$G$830=0,"",[1]对账明细接口!$G$830),"")</f>
        <v/>
      </c>
      <c r="H830" s="60" t="str">
        <f aca="false">IFERROR(IF([1]对账明细接口!$H$830=0,"",[1]对账明细接口!$H$830),"")</f>
        <v/>
      </c>
      <c r="I830" s="59" t="str">
        <f aca="false">IFERROR(IF([1]对账明细接口!$I$830=0,"",[1]对账明细接口!$I$830),"")</f>
        <v/>
      </c>
      <c r="J830" s="61" t="str">
        <f aca="false">IFERROR(IF([1]对账明细接口!$J$830=0,"",[1]对账明细接口!$J$830),"")</f>
        <v/>
      </c>
      <c r="K830" s="61" t="str">
        <f aca="false">IFERROR(IF([1]对账明细接口!$K$830=0,"",[1]对账明细接口!$K$830),"")</f>
        <v/>
      </c>
      <c r="L830" s="59" t="str">
        <f aca="false">IFERROR(IF([1]对账明细接口!$L$830=0,"",[1]对账明细接口!$L$830),"")</f>
        <v/>
      </c>
      <c r="M830" s="59" t="str">
        <f aca="false">IFERROR(IF([1]对账明细接口!$M$830=0,"",[1]对账明细接口!$M$830),"")</f>
        <v/>
      </c>
      <c r="N830" s="111" t="n">
        <f aca="false">IF($C830="",0,1)</f>
        <v>0</v>
      </c>
      <c r="O830" s="111" t="n">
        <f aca="false">N(O829)+$N830</f>
        <v>110</v>
      </c>
      <c r="S830" s="10" t="str">
        <f aca="false">IFERROR(IF([1]对账明细接口!$N830=0,"",[1]对账明细接口!$N830),"")</f>
        <v/>
      </c>
      <c r="T830" s="112" t="str">
        <f aca="false">IFERROR(IF([1]对账明细接口!$O830=0,"",[1]对账明细接口!$O830),"")</f>
        <v/>
      </c>
      <c r="U830" s="112" t="str">
        <f aca="false">IFERROR(IF([1]对账明细接口!$P830=0,"",[1]对账明细接口!$P830),"")</f>
        <v/>
      </c>
      <c r="V830" s="112" t="str">
        <f aca="false">IFERROR(IF([1]对账明细接口!$Q830=0,"",[1]对账明细接口!$Q830),"")</f>
        <v/>
      </c>
      <c r="W830" s="10" t="str">
        <f aca="false">IFERROR(IF([1]对账明细接口!$R830=0,"",[1]对账明细接口!$R830),"")</f>
        <v/>
      </c>
      <c r="X830" s="10" t="str">
        <f aca="false">IFERROR(IF([1]对账明细接口!$S830=0,"",[1]对账明细接口!$S830),"")</f>
        <v/>
      </c>
      <c r="Y830" s="10" t="str">
        <f aca="false">""</f>
        <v/>
      </c>
      <c r="Z830" s="10" t="str">
        <f aca="false">""</f>
        <v/>
      </c>
      <c r="AA830" s="10" t="str">
        <f aca="false">""</f>
        <v/>
      </c>
      <c r="AB830" s="10" t="str">
        <f aca="false">""</f>
        <v/>
      </c>
    </row>
    <row r="831" customFormat="false" ht="13.5" hidden="false" customHeight="false" outlineLevel="0" collapsed="false">
      <c r="A831" s="109" t="n">
        <v>831</v>
      </c>
      <c r="B831" s="110" t="str">
        <f aca="false">IFERROR(IF([1]对账明细接口!$B$831=0,"",[1]对账明细接口!$B$831),"")</f>
        <v/>
      </c>
      <c r="C831" s="59" t="str">
        <f aca="false">IFERROR(IF([1]对账明细接口!$C$831=0,"",[1]对账明细接口!$C$831),"")</f>
        <v/>
      </c>
      <c r="D831" s="59" t="str">
        <f aca="false">IFERROR(IF([1]对账明细接口!$D$831=0,"",[1]对账明细接口!$D$831),"")</f>
        <v/>
      </c>
      <c r="E831" s="59" t="str">
        <f aca="false">IFERROR(IF([1]对账明细接口!$E$831=0,"",[1]对账明细接口!$E$831),"")</f>
        <v/>
      </c>
      <c r="F831" s="59" t="str">
        <f aca="false">IFERROR(IF([1]对账明细接口!$F$831=0,"",[1]对账明细接口!$F$831),"")</f>
        <v/>
      </c>
      <c r="G831" s="59" t="str">
        <f aca="false">IFERROR(IF([1]对账明细接口!$G$831=0,"",[1]对账明细接口!$G$831),"")</f>
        <v/>
      </c>
      <c r="H831" s="60" t="str">
        <f aca="false">IFERROR(IF([1]对账明细接口!$H$831=0,"",[1]对账明细接口!$H$831),"")</f>
        <v/>
      </c>
      <c r="I831" s="59" t="str">
        <f aca="false">IFERROR(IF([1]对账明细接口!$I$831=0,"",[1]对账明细接口!$I$831),"")</f>
        <v/>
      </c>
      <c r="J831" s="61" t="str">
        <f aca="false">IFERROR(IF([1]对账明细接口!$J$831=0,"",[1]对账明细接口!$J$831),"")</f>
        <v/>
      </c>
      <c r="K831" s="61" t="str">
        <f aca="false">IFERROR(IF([1]对账明细接口!$K$831=0,"",[1]对账明细接口!$K$831),"")</f>
        <v/>
      </c>
      <c r="L831" s="59" t="str">
        <f aca="false">IFERROR(IF([1]对账明细接口!$L$831=0,"",[1]对账明细接口!$L$831),"")</f>
        <v/>
      </c>
      <c r="M831" s="59" t="str">
        <f aca="false">IFERROR(IF([1]对账明细接口!$M$831=0,"",[1]对账明细接口!$M$831),"")</f>
        <v/>
      </c>
      <c r="N831" s="111" t="n">
        <f aca="false">IF($C831="",0,1)</f>
        <v>0</v>
      </c>
      <c r="O831" s="111" t="n">
        <f aca="false">N(O830)+$N831</f>
        <v>110</v>
      </c>
      <c r="S831" s="10" t="str">
        <f aca="false">IFERROR(IF([1]对账明细接口!$N831=0,"",[1]对账明细接口!$N831),"")</f>
        <v/>
      </c>
      <c r="T831" s="112" t="str">
        <f aca="false">IFERROR(IF([1]对账明细接口!$O831=0,"",[1]对账明细接口!$O831),"")</f>
        <v/>
      </c>
      <c r="U831" s="112" t="str">
        <f aca="false">IFERROR(IF([1]对账明细接口!$P831=0,"",[1]对账明细接口!$P831),"")</f>
        <v/>
      </c>
      <c r="V831" s="112" t="str">
        <f aca="false">IFERROR(IF([1]对账明细接口!$Q831=0,"",[1]对账明细接口!$Q831),"")</f>
        <v/>
      </c>
      <c r="W831" s="10" t="str">
        <f aca="false">IFERROR(IF([1]对账明细接口!$R831=0,"",[1]对账明细接口!$R831),"")</f>
        <v/>
      </c>
      <c r="X831" s="10" t="str">
        <f aca="false">IFERROR(IF([1]对账明细接口!$S831=0,"",[1]对账明细接口!$S831),"")</f>
        <v/>
      </c>
      <c r="Y831" s="10" t="str">
        <f aca="false">""</f>
        <v/>
      </c>
      <c r="Z831" s="10" t="str">
        <f aca="false">""</f>
        <v/>
      </c>
      <c r="AA831" s="10" t="str">
        <f aca="false">""</f>
        <v/>
      </c>
      <c r="AB831" s="10" t="str">
        <f aca="false">""</f>
        <v/>
      </c>
    </row>
    <row r="832" customFormat="false" ht="13.5" hidden="false" customHeight="false" outlineLevel="0" collapsed="false">
      <c r="A832" s="109" t="n">
        <v>832</v>
      </c>
      <c r="B832" s="110" t="str">
        <f aca="false">IFERROR(IF([1]对账明细接口!$B$832=0,"",[1]对账明细接口!$B$832),"")</f>
        <v/>
      </c>
      <c r="C832" s="59" t="str">
        <f aca="false">IFERROR(IF([1]对账明细接口!$C$832=0,"",[1]对账明细接口!$C$832),"")</f>
        <v/>
      </c>
      <c r="D832" s="59" t="str">
        <f aca="false">IFERROR(IF([1]对账明细接口!$D$832=0,"",[1]对账明细接口!$D$832),"")</f>
        <v/>
      </c>
      <c r="E832" s="59" t="str">
        <f aca="false">IFERROR(IF([1]对账明细接口!$E$832=0,"",[1]对账明细接口!$E$832),"")</f>
        <v/>
      </c>
      <c r="F832" s="59" t="str">
        <f aca="false">IFERROR(IF([1]对账明细接口!$F$832=0,"",[1]对账明细接口!$F$832),"")</f>
        <v/>
      </c>
      <c r="G832" s="59" t="str">
        <f aca="false">IFERROR(IF([1]对账明细接口!$G$832=0,"",[1]对账明细接口!$G$832),"")</f>
        <v/>
      </c>
      <c r="H832" s="60" t="str">
        <f aca="false">IFERROR(IF([1]对账明细接口!$H$832=0,"",[1]对账明细接口!$H$832),"")</f>
        <v/>
      </c>
      <c r="I832" s="59" t="str">
        <f aca="false">IFERROR(IF([1]对账明细接口!$I$832=0,"",[1]对账明细接口!$I$832),"")</f>
        <v/>
      </c>
      <c r="J832" s="61" t="str">
        <f aca="false">IFERROR(IF([1]对账明细接口!$J$832=0,"",[1]对账明细接口!$J$832),"")</f>
        <v/>
      </c>
      <c r="K832" s="61" t="str">
        <f aca="false">IFERROR(IF([1]对账明细接口!$K$832=0,"",[1]对账明细接口!$K$832),"")</f>
        <v/>
      </c>
      <c r="L832" s="59" t="str">
        <f aca="false">IFERROR(IF([1]对账明细接口!$L$832=0,"",[1]对账明细接口!$L$832),"")</f>
        <v/>
      </c>
      <c r="M832" s="59" t="str">
        <f aca="false">IFERROR(IF([1]对账明细接口!$M$832=0,"",[1]对账明细接口!$M$832),"")</f>
        <v/>
      </c>
      <c r="N832" s="111" t="n">
        <f aca="false">IF($C832="",0,1)</f>
        <v>0</v>
      </c>
      <c r="O832" s="111" t="n">
        <f aca="false">N(O831)+$N832</f>
        <v>110</v>
      </c>
      <c r="S832" s="10" t="str">
        <f aca="false">IFERROR(IF([1]对账明细接口!$N832=0,"",[1]对账明细接口!$N832),"")</f>
        <v/>
      </c>
      <c r="T832" s="112" t="str">
        <f aca="false">IFERROR(IF([1]对账明细接口!$O832=0,"",[1]对账明细接口!$O832),"")</f>
        <v/>
      </c>
      <c r="U832" s="112" t="str">
        <f aca="false">IFERROR(IF([1]对账明细接口!$P832=0,"",[1]对账明细接口!$P832),"")</f>
        <v/>
      </c>
      <c r="V832" s="112" t="str">
        <f aca="false">IFERROR(IF([1]对账明细接口!$Q832=0,"",[1]对账明细接口!$Q832),"")</f>
        <v/>
      </c>
      <c r="W832" s="10" t="str">
        <f aca="false">IFERROR(IF([1]对账明细接口!$R832=0,"",[1]对账明细接口!$R832),"")</f>
        <v/>
      </c>
      <c r="X832" s="10" t="str">
        <f aca="false">IFERROR(IF([1]对账明细接口!$S832=0,"",[1]对账明细接口!$S832),"")</f>
        <v/>
      </c>
      <c r="Y832" s="10" t="str">
        <f aca="false">""</f>
        <v/>
      </c>
      <c r="Z832" s="10" t="str">
        <f aca="false">""</f>
        <v/>
      </c>
      <c r="AA832" s="10" t="str">
        <f aca="false">""</f>
        <v/>
      </c>
      <c r="AB832" s="10" t="str">
        <f aca="false">""</f>
        <v/>
      </c>
    </row>
    <row r="833" customFormat="false" ht="13.5" hidden="false" customHeight="false" outlineLevel="0" collapsed="false">
      <c r="A833" s="109" t="n">
        <v>833</v>
      </c>
      <c r="B833" s="110" t="str">
        <f aca="false">IFERROR(IF([1]对账明细接口!$B$833=0,"",[1]对账明细接口!$B$833),"")</f>
        <v/>
      </c>
      <c r="C833" s="59" t="str">
        <f aca="false">IFERROR(IF([1]对账明细接口!$C$833=0,"",[1]对账明细接口!$C$833),"")</f>
        <v/>
      </c>
      <c r="D833" s="59" t="str">
        <f aca="false">IFERROR(IF([1]对账明细接口!$D$833=0,"",[1]对账明细接口!$D$833),"")</f>
        <v/>
      </c>
      <c r="E833" s="59" t="str">
        <f aca="false">IFERROR(IF([1]对账明细接口!$E$833=0,"",[1]对账明细接口!$E$833),"")</f>
        <v/>
      </c>
      <c r="F833" s="59" t="str">
        <f aca="false">IFERROR(IF([1]对账明细接口!$F$833=0,"",[1]对账明细接口!$F$833),"")</f>
        <v/>
      </c>
      <c r="G833" s="59" t="str">
        <f aca="false">IFERROR(IF([1]对账明细接口!$G$833=0,"",[1]对账明细接口!$G$833),"")</f>
        <v/>
      </c>
      <c r="H833" s="60" t="str">
        <f aca="false">IFERROR(IF([1]对账明细接口!$H$833=0,"",[1]对账明细接口!$H$833),"")</f>
        <v/>
      </c>
      <c r="I833" s="59" t="str">
        <f aca="false">IFERROR(IF([1]对账明细接口!$I$833=0,"",[1]对账明细接口!$I$833),"")</f>
        <v/>
      </c>
      <c r="J833" s="61" t="str">
        <f aca="false">IFERROR(IF([1]对账明细接口!$J$833=0,"",[1]对账明细接口!$J$833),"")</f>
        <v/>
      </c>
      <c r="K833" s="61" t="str">
        <f aca="false">IFERROR(IF([1]对账明细接口!$K$833=0,"",[1]对账明细接口!$K$833),"")</f>
        <v/>
      </c>
      <c r="L833" s="59" t="str">
        <f aca="false">IFERROR(IF([1]对账明细接口!$L$833=0,"",[1]对账明细接口!$L$833),"")</f>
        <v/>
      </c>
      <c r="M833" s="59" t="str">
        <f aca="false">IFERROR(IF([1]对账明细接口!$M$833=0,"",[1]对账明细接口!$M$833),"")</f>
        <v/>
      </c>
      <c r="N833" s="111" t="n">
        <f aca="false">IF($C833="",0,1)</f>
        <v>0</v>
      </c>
      <c r="O833" s="111" t="n">
        <f aca="false">N(O832)+$N833</f>
        <v>110</v>
      </c>
      <c r="S833" s="10" t="str">
        <f aca="false">IFERROR(IF([1]对账明细接口!$N833=0,"",[1]对账明细接口!$N833),"")</f>
        <v/>
      </c>
      <c r="T833" s="112" t="str">
        <f aca="false">IFERROR(IF([1]对账明细接口!$O833=0,"",[1]对账明细接口!$O833),"")</f>
        <v/>
      </c>
      <c r="U833" s="112" t="str">
        <f aca="false">IFERROR(IF([1]对账明细接口!$P833=0,"",[1]对账明细接口!$P833),"")</f>
        <v/>
      </c>
      <c r="V833" s="112" t="str">
        <f aca="false">IFERROR(IF([1]对账明细接口!$Q833=0,"",[1]对账明细接口!$Q833),"")</f>
        <v/>
      </c>
      <c r="W833" s="10" t="str">
        <f aca="false">IFERROR(IF([1]对账明细接口!$R833=0,"",[1]对账明细接口!$R833),"")</f>
        <v/>
      </c>
      <c r="X833" s="10" t="str">
        <f aca="false">IFERROR(IF([1]对账明细接口!$S833=0,"",[1]对账明细接口!$S833),"")</f>
        <v/>
      </c>
      <c r="Y833" s="10" t="str">
        <f aca="false">""</f>
        <v/>
      </c>
      <c r="Z833" s="10" t="str">
        <f aca="false">""</f>
        <v/>
      </c>
      <c r="AA833" s="10" t="str">
        <f aca="false">""</f>
        <v/>
      </c>
      <c r="AB833" s="10" t="str">
        <f aca="false">""</f>
        <v/>
      </c>
    </row>
    <row r="834" customFormat="false" ht="13.5" hidden="false" customHeight="false" outlineLevel="0" collapsed="false">
      <c r="A834" s="109" t="n">
        <v>834</v>
      </c>
      <c r="B834" s="110" t="str">
        <f aca="false">IFERROR(IF([1]对账明细接口!$B$834=0,"",[1]对账明细接口!$B$834),"")</f>
        <v/>
      </c>
      <c r="C834" s="59" t="str">
        <f aca="false">IFERROR(IF([1]对账明细接口!$C$834=0,"",[1]对账明细接口!$C$834),"")</f>
        <v/>
      </c>
      <c r="D834" s="59" t="str">
        <f aca="false">IFERROR(IF([1]对账明细接口!$D$834=0,"",[1]对账明细接口!$D$834),"")</f>
        <v/>
      </c>
      <c r="E834" s="59" t="str">
        <f aca="false">IFERROR(IF([1]对账明细接口!$E$834=0,"",[1]对账明细接口!$E$834),"")</f>
        <v/>
      </c>
      <c r="F834" s="59" t="str">
        <f aca="false">IFERROR(IF([1]对账明细接口!$F$834=0,"",[1]对账明细接口!$F$834),"")</f>
        <v/>
      </c>
      <c r="G834" s="59" t="str">
        <f aca="false">IFERROR(IF([1]对账明细接口!$G$834=0,"",[1]对账明细接口!$G$834),"")</f>
        <v/>
      </c>
      <c r="H834" s="60" t="str">
        <f aca="false">IFERROR(IF([1]对账明细接口!$H$834=0,"",[1]对账明细接口!$H$834),"")</f>
        <v/>
      </c>
      <c r="I834" s="59" t="str">
        <f aca="false">IFERROR(IF([1]对账明细接口!$I$834=0,"",[1]对账明细接口!$I$834),"")</f>
        <v/>
      </c>
      <c r="J834" s="61" t="str">
        <f aca="false">IFERROR(IF([1]对账明细接口!$J$834=0,"",[1]对账明细接口!$J$834),"")</f>
        <v/>
      </c>
      <c r="K834" s="61" t="str">
        <f aca="false">IFERROR(IF([1]对账明细接口!$K$834=0,"",[1]对账明细接口!$K$834),"")</f>
        <v/>
      </c>
      <c r="L834" s="59" t="str">
        <f aca="false">IFERROR(IF([1]对账明细接口!$L$834=0,"",[1]对账明细接口!$L$834),"")</f>
        <v/>
      </c>
      <c r="M834" s="59" t="str">
        <f aca="false">IFERROR(IF([1]对账明细接口!$M$834=0,"",[1]对账明细接口!$M$834),"")</f>
        <v/>
      </c>
      <c r="N834" s="111" t="n">
        <f aca="false">IF($C834="",0,1)</f>
        <v>0</v>
      </c>
      <c r="O834" s="111" t="n">
        <f aca="false">N(O833)+$N834</f>
        <v>110</v>
      </c>
      <c r="S834" s="10" t="str">
        <f aca="false">IFERROR(IF([1]对账明细接口!$N834=0,"",[1]对账明细接口!$N834),"")</f>
        <v/>
      </c>
      <c r="T834" s="112" t="str">
        <f aca="false">IFERROR(IF([1]对账明细接口!$O834=0,"",[1]对账明细接口!$O834),"")</f>
        <v/>
      </c>
      <c r="U834" s="112" t="str">
        <f aca="false">IFERROR(IF([1]对账明细接口!$P834=0,"",[1]对账明细接口!$P834),"")</f>
        <v/>
      </c>
      <c r="V834" s="112" t="str">
        <f aca="false">IFERROR(IF([1]对账明细接口!$Q834=0,"",[1]对账明细接口!$Q834),"")</f>
        <v/>
      </c>
      <c r="W834" s="10" t="str">
        <f aca="false">IFERROR(IF([1]对账明细接口!$R834=0,"",[1]对账明细接口!$R834),"")</f>
        <v/>
      </c>
      <c r="X834" s="10" t="str">
        <f aca="false">IFERROR(IF([1]对账明细接口!$S834=0,"",[1]对账明细接口!$S834),"")</f>
        <v/>
      </c>
      <c r="Y834" s="10" t="str">
        <f aca="false">""</f>
        <v/>
      </c>
      <c r="Z834" s="10" t="str">
        <f aca="false">""</f>
        <v/>
      </c>
      <c r="AA834" s="10" t="str">
        <f aca="false">""</f>
        <v/>
      </c>
      <c r="AB834" s="10" t="str">
        <f aca="false">""</f>
        <v/>
      </c>
    </row>
    <row r="835" customFormat="false" ht="13.5" hidden="false" customHeight="false" outlineLevel="0" collapsed="false">
      <c r="A835" s="109" t="n">
        <v>835</v>
      </c>
      <c r="B835" s="110" t="str">
        <f aca="false">IFERROR(IF([1]对账明细接口!$B$835=0,"",[1]对账明细接口!$B$835),"")</f>
        <v/>
      </c>
      <c r="C835" s="59" t="str">
        <f aca="false">IFERROR(IF([1]对账明细接口!$C$835=0,"",[1]对账明细接口!$C$835),"")</f>
        <v/>
      </c>
      <c r="D835" s="59" t="str">
        <f aca="false">IFERROR(IF([1]对账明细接口!$D$835=0,"",[1]对账明细接口!$D$835),"")</f>
        <v/>
      </c>
      <c r="E835" s="59" t="str">
        <f aca="false">IFERROR(IF([1]对账明细接口!$E$835=0,"",[1]对账明细接口!$E$835),"")</f>
        <v/>
      </c>
      <c r="F835" s="59" t="str">
        <f aca="false">IFERROR(IF([1]对账明细接口!$F$835=0,"",[1]对账明细接口!$F$835),"")</f>
        <v/>
      </c>
      <c r="G835" s="59" t="str">
        <f aca="false">IFERROR(IF([1]对账明细接口!$G$835=0,"",[1]对账明细接口!$G$835),"")</f>
        <v/>
      </c>
      <c r="H835" s="60" t="str">
        <f aca="false">IFERROR(IF([1]对账明细接口!$H$835=0,"",[1]对账明细接口!$H$835),"")</f>
        <v/>
      </c>
      <c r="I835" s="59" t="str">
        <f aca="false">IFERROR(IF([1]对账明细接口!$I$835=0,"",[1]对账明细接口!$I$835),"")</f>
        <v/>
      </c>
      <c r="J835" s="61" t="str">
        <f aca="false">IFERROR(IF([1]对账明细接口!$J$835=0,"",[1]对账明细接口!$J$835),"")</f>
        <v/>
      </c>
      <c r="K835" s="61" t="str">
        <f aca="false">IFERROR(IF([1]对账明细接口!$K$835=0,"",[1]对账明细接口!$K$835),"")</f>
        <v/>
      </c>
      <c r="L835" s="59" t="str">
        <f aca="false">IFERROR(IF([1]对账明细接口!$L$835=0,"",[1]对账明细接口!$L$835),"")</f>
        <v/>
      </c>
      <c r="M835" s="59" t="str">
        <f aca="false">IFERROR(IF([1]对账明细接口!$M$835=0,"",[1]对账明细接口!$M$835),"")</f>
        <v/>
      </c>
      <c r="N835" s="111" t="n">
        <f aca="false">IF($C835="",0,1)</f>
        <v>0</v>
      </c>
      <c r="O835" s="111" t="n">
        <f aca="false">N(O834)+$N835</f>
        <v>110</v>
      </c>
      <c r="S835" s="10" t="str">
        <f aca="false">IFERROR(IF([1]对账明细接口!$N835=0,"",[1]对账明细接口!$N835),"")</f>
        <v/>
      </c>
      <c r="T835" s="112" t="str">
        <f aca="false">IFERROR(IF([1]对账明细接口!$O835=0,"",[1]对账明细接口!$O835),"")</f>
        <v/>
      </c>
      <c r="U835" s="112" t="str">
        <f aca="false">IFERROR(IF([1]对账明细接口!$P835=0,"",[1]对账明细接口!$P835),"")</f>
        <v/>
      </c>
      <c r="V835" s="112" t="str">
        <f aca="false">IFERROR(IF([1]对账明细接口!$Q835=0,"",[1]对账明细接口!$Q835),"")</f>
        <v/>
      </c>
      <c r="W835" s="10" t="str">
        <f aca="false">IFERROR(IF([1]对账明细接口!$R835=0,"",[1]对账明细接口!$R835),"")</f>
        <v/>
      </c>
      <c r="X835" s="10" t="str">
        <f aca="false">IFERROR(IF([1]对账明细接口!$S835=0,"",[1]对账明细接口!$S835),"")</f>
        <v/>
      </c>
      <c r="Y835" s="10" t="str">
        <f aca="false">""</f>
        <v/>
      </c>
      <c r="Z835" s="10" t="str">
        <f aca="false">""</f>
        <v/>
      </c>
      <c r="AA835" s="10" t="str">
        <f aca="false">""</f>
        <v/>
      </c>
      <c r="AB835" s="10" t="str">
        <f aca="false">""</f>
        <v/>
      </c>
    </row>
    <row r="836" customFormat="false" ht="13.5" hidden="false" customHeight="false" outlineLevel="0" collapsed="false">
      <c r="A836" s="109" t="n">
        <v>836</v>
      </c>
      <c r="B836" s="110" t="str">
        <f aca="false">IFERROR(IF([1]对账明细接口!$B$836=0,"",[1]对账明细接口!$B$836),"")</f>
        <v/>
      </c>
      <c r="C836" s="59" t="str">
        <f aca="false">IFERROR(IF([1]对账明细接口!$C$836=0,"",[1]对账明细接口!$C$836),"")</f>
        <v/>
      </c>
      <c r="D836" s="59" t="str">
        <f aca="false">IFERROR(IF([1]对账明细接口!$D$836=0,"",[1]对账明细接口!$D$836),"")</f>
        <v/>
      </c>
      <c r="E836" s="59" t="str">
        <f aca="false">IFERROR(IF([1]对账明细接口!$E$836=0,"",[1]对账明细接口!$E$836),"")</f>
        <v/>
      </c>
      <c r="F836" s="59" t="str">
        <f aca="false">IFERROR(IF([1]对账明细接口!$F$836=0,"",[1]对账明细接口!$F$836),"")</f>
        <v/>
      </c>
      <c r="G836" s="59" t="str">
        <f aca="false">IFERROR(IF([1]对账明细接口!$G$836=0,"",[1]对账明细接口!$G$836),"")</f>
        <v/>
      </c>
      <c r="H836" s="60" t="str">
        <f aca="false">IFERROR(IF([1]对账明细接口!$H$836=0,"",[1]对账明细接口!$H$836),"")</f>
        <v/>
      </c>
      <c r="I836" s="59" t="str">
        <f aca="false">IFERROR(IF([1]对账明细接口!$I$836=0,"",[1]对账明细接口!$I$836),"")</f>
        <v/>
      </c>
      <c r="J836" s="61" t="str">
        <f aca="false">IFERROR(IF([1]对账明细接口!$J$836=0,"",[1]对账明细接口!$J$836),"")</f>
        <v/>
      </c>
      <c r="K836" s="61" t="str">
        <f aca="false">IFERROR(IF([1]对账明细接口!$K$836=0,"",[1]对账明细接口!$K$836),"")</f>
        <v/>
      </c>
      <c r="L836" s="59" t="str">
        <f aca="false">IFERROR(IF([1]对账明细接口!$L$836=0,"",[1]对账明细接口!$L$836),"")</f>
        <v/>
      </c>
      <c r="M836" s="59" t="str">
        <f aca="false">IFERROR(IF([1]对账明细接口!$M$836=0,"",[1]对账明细接口!$M$836),"")</f>
        <v/>
      </c>
      <c r="N836" s="111" t="n">
        <f aca="false">IF($C836="",0,1)</f>
        <v>0</v>
      </c>
      <c r="O836" s="111" t="n">
        <f aca="false">N(O835)+$N836</f>
        <v>110</v>
      </c>
      <c r="S836" s="10" t="str">
        <f aca="false">IFERROR(IF([1]对账明细接口!$N836=0,"",[1]对账明细接口!$N836),"")</f>
        <v/>
      </c>
      <c r="T836" s="112" t="str">
        <f aca="false">IFERROR(IF([1]对账明细接口!$O836=0,"",[1]对账明细接口!$O836),"")</f>
        <v/>
      </c>
      <c r="U836" s="112" t="str">
        <f aca="false">IFERROR(IF([1]对账明细接口!$P836=0,"",[1]对账明细接口!$P836),"")</f>
        <v/>
      </c>
      <c r="V836" s="112" t="str">
        <f aca="false">IFERROR(IF([1]对账明细接口!$Q836=0,"",[1]对账明细接口!$Q836),"")</f>
        <v/>
      </c>
      <c r="W836" s="10" t="str">
        <f aca="false">IFERROR(IF([1]对账明细接口!$R836=0,"",[1]对账明细接口!$R836),"")</f>
        <v/>
      </c>
      <c r="X836" s="10" t="str">
        <f aca="false">IFERROR(IF([1]对账明细接口!$S836=0,"",[1]对账明细接口!$S836),"")</f>
        <v/>
      </c>
      <c r="Y836" s="10" t="str">
        <f aca="false">""</f>
        <v/>
      </c>
      <c r="Z836" s="10" t="str">
        <f aca="false">""</f>
        <v/>
      </c>
      <c r="AA836" s="10" t="str">
        <f aca="false">""</f>
        <v/>
      </c>
      <c r="AB836" s="10" t="str">
        <f aca="false">""</f>
        <v/>
      </c>
    </row>
    <row r="837" customFormat="false" ht="13.5" hidden="false" customHeight="false" outlineLevel="0" collapsed="false">
      <c r="A837" s="109" t="n">
        <v>837</v>
      </c>
      <c r="B837" s="110" t="str">
        <f aca="false">IFERROR(IF([1]对账明细接口!$B$837=0,"",[1]对账明细接口!$B$837),"")</f>
        <v/>
      </c>
      <c r="C837" s="59" t="str">
        <f aca="false">IFERROR(IF([1]对账明细接口!$C$837=0,"",[1]对账明细接口!$C$837),"")</f>
        <v/>
      </c>
      <c r="D837" s="59" t="str">
        <f aca="false">IFERROR(IF([1]对账明细接口!$D$837=0,"",[1]对账明细接口!$D$837),"")</f>
        <v/>
      </c>
      <c r="E837" s="59" t="str">
        <f aca="false">IFERROR(IF([1]对账明细接口!$E$837=0,"",[1]对账明细接口!$E$837),"")</f>
        <v/>
      </c>
      <c r="F837" s="59" t="str">
        <f aca="false">IFERROR(IF([1]对账明细接口!$F$837=0,"",[1]对账明细接口!$F$837),"")</f>
        <v/>
      </c>
      <c r="G837" s="59" t="str">
        <f aca="false">IFERROR(IF([1]对账明细接口!$G$837=0,"",[1]对账明细接口!$G$837),"")</f>
        <v/>
      </c>
      <c r="H837" s="60" t="str">
        <f aca="false">IFERROR(IF([1]对账明细接口!$H$837=0,"",[1]对账明细接口!$H$837),"")</f>
        <v/>
      </c>
      <c r="I837" s="59" t="str">
        <f aca="false">IFERROR(IF([1]对账明细接口!$I$837=0,"",[1]对账明细接口!$I$837),"")</f>
        <v/>
      </c>
      <c r="J837" s="61" t="str">
        <f aca="false">IFERROR(IF([1]对账明细接口!$J$837=0,"",[1]对账明细接口!$J$837),"")</f>
        <v/>
      </c>
      <c r="K837" s="61" t="str">
        <f aca="false">IFERROR(IF([1]对账明细接口!$K$837=0,"",[1]对账明细接口!$K$837),"")</f>
        <v/>
      </c>
      <c r="L837" s="59" t="str">
        <f aca="false">IFERROR(IF([1]对账明细接口!$L$837=0,"",[1]对账明细接口!$L$837),"")</f>
        <v/>
      </c>
      <c r="M837" s="59" t="str">
        <f aca="false">IFERROR(IF([1]对账明细接口!$M$837=0,"",[1]对账明细接口!$M$837),"")</f>
        <v/>
      </c>
      <c r="N837" s="111" t="n">
        <f aca="false">IF($C837="",0,1)</f>
        <v>0</v>
      </c>
      <c r="O837" s="111" t="n">
        <f aca="false">N(O836)+$N837</f>
        <v>110</v>
      </c>
      <c r="S837" s="10" t="str">
        <f aca="false">IFERROR(IF([1]对账明细接口!$N837=0,"",[1]对账明细接口!$N837),"")</f>
        <v/>
      </c>
      <c r="T837" s="112" t="str">
        <f aca="false">IFERROR(IF([1]对账明细接口!$O837=0,"",[1]对账明细接口!$O837),"")</f>
        <v/>
      </c>
      <c r="U837" s="112" t="str">
        <f aca="false">IFERROR(IF([1]对账明细接口!$P837=0,"",[1]对账明细接口!$P837),"")</f>
        <v/>
      </c>
      <c r="V837" s="112" t="str">
        <f aca="false">IFERROR(IF([1]对账明细接口!$Q837=0,"",[1]对账明细接口!$Q837),"")</f>
        <v/>
      </c>
      <c r="W837" s="10" t="str">
        <f aca="false">IFERROR(IF([1]对账明细接口!$R837=0,"",[1]对账明细接口!$R837),"")</f>
        <v/>
      </c>
      <c r="X837" s="10" t="str">
        <f aca="false">IFERROR(IF([1]对账明细接口!$S837=0,"",[1]对账明细接口!$S837),"")</f>
        <v/>
      </c>
      <c r="Y837" s="10" t="str">
        <f aca="false">""</f>
        <v/>
      </c>
      <c r="Z837" s="10" t="str">
        <f aca="false">""</f>
        <v/>
      </c>
      <c r="AA837" s="10" t="str">
        <f aca="false">""</f>
        <v/>
      </c>
      <c r="AB837" s="10" t="str">
        <f aca="false">""</f>
        <v/>
      </c>
    </row>
    <row r="838" customFormat="false" ht="13.5" hidden="false" customHeight="false" outlineLevel="0" collapsed="false">
      <c r="A838" s="109" t="n">
        <v>838</v>
      </c>
      <c r="B838" s="110" t="str">
        <f aca="false">IFERROR(IF([1]对账明细接口!$B$838=0,"",[1]对账明细接口!$B$838),"")</f>
        <v/>
      </c>
      <c r="C838" s="59" t="str">
        <f aca="false">IFERROR(IF([1]对账明细接口!$C$838=0,"",[1]对账明细接口!$C$838),"")</f>
        <v/>
      </c>
      <c r="D838" s="59" t="str">
        <f aca="false">IFERROR(IF([1]对账明细接口!$D$838=0,"",[1]对账明细接口!$D$838),"")</f>
        <v/>
      </c>
      <c r="E838" s="59" t="str">
        <f aca="false">IFERROR(IF([1]对账明细接口!$E$838=0,"",[1]对账明细接口!$E$838),"")</f>
        <v/>
      </c>
      <c r="F838" s="59" t="str">
        <f aca="false">IFERROR(IF([1]对账明细接口!$F$838=0,"",[1]对账明细接口!$F$838),"")</f>
        <v/>
      </c>
      <c r="G838" s="59" t="str">
        <f aca="false">IFERROR(IF([1]对账明细接口!$G$838=0,"",[1]对账明细接口!$G$838),"")</f>
        <v/>
      </c>
      <c r="H838" s="60" t="str">
        <f aca="false">IFERROR(IF([1]对账明细接口!$H$838=0,"",[1]对账明细接口!$H$838),"")</f>
        <v/>
      </c>
      <c r="I838" s="59" t="str">
        <f aca="false">IFERROR(IF([1]对账明细接口!$I$838=0,"",[1]对账明细接口!$I$838),"")</f>
        <v/>
      </c>
      <c r="J838" s="61" t="str">
        <f aca="false">IFERROR(IF([1]对账明细接口!$J$838=0,"",[1]对账明细接口!$J$838),"")</f>
        <v/>
      </c>
      <c r="K838" s="61" t="str">
        <f aca="false">IFERROR(IF([1]对账明细接口!$K$838=0,"",[1]对账明细接口!$K$838),"")</f>
        <v/>
      </c>
      <c r="L838" s="59" t="str">
        <f aca="false">IFERROR(IF([1]对账明细接口!$L$838=0,"",[1]对账明细接口!$L$838),"")</f>
        <v/>
      </c>
      <c r="M838" s="59" t="str">
        <f aca="false">IFERROR(IF([1]对账明细接口!$M$838=0,"",[1]对账明细接口!$M$838),"")</f>
        <v/>
      </c>
      <c r="N838" s="111" t="n">
        <f aca="false">IF($C838="",0,1)</f>
        <v>0</v>
      </c>
      <c r="O838" s="111" t="n">
        <f aca="false">N(O837)+$N838</f>
        <v>110</v>
      </c>
      <c r="S838" s="10" t="str">
        <f aca="false">IFERROR(IF([1]对账明细接口!$N838=0,"",[1]对账明细接口!$N838),"")</f>
        <v/>
      </c>
      <c r="T838" s="112" t="str">
        <f aca="false">IFERROR(IF([1]对账明细接口!$O838=0,"",[1]对账明细接口!$O838),"")</f>
        <v/>
      </c>
      <c r="U838" s="112" t="str">
        <f aca="false">IFERROR(IF([1]对账明细接口!$P838=0,"",[1]对账明细接口!$P838),"")</f>
        <v/>
      </c>
      <c r="V838" s="112" t="str">
        <f aca="false">IFERROR(IF([1]对账明细接口!$Q838=0,"",[1]对账明细接口!$Q838),"")</f>
        <v/>
      </c>
      <c r="W838" s="10" t="str">
        <f aca="false">IFERROR(IF([1]对账明细接口!$R838=0,"",[1]对账明细接口!$R838),"")</f>
        <v/>
      </c>
      <c r="X838" s="10" t="str">
        <f aca="false">IFERROR(IF([1]对账明细接口!$S838=0,"",[1]对账明细接口!$S838),"")</f>
        <v/>
      </c>
      <c r="Y838" s="10" t="str">
        <f aca="false">""</f>
        <v/>
      </c>
      <c r="Z838" s="10" t="str">
        <f aca="false">""</f>
        <v/>
      </c>
      <c r="AA838" s="10" t="str">
        <f aca="false">""</f>
        <v/>
      </c>
      <c r="AB838" s="10" t="str">
        <f aca="false">""</f>
        <v/>
      </c>
    </row>
    <row r="839" customFormat="false" ht="13.5" hidden="false" customHeight="false" outlineLevel="0" collapsed="false">
      <c r="A839" s="109" t="n">
        <v>839</v>
      </c>
      <c r="B839" s="110" t="str">
        <f aca="false">IFERROR(IF([1]对账明细接口!$B$839=0,"",[1]对账明细接口!$B$839),"")</f>
        <v/>
      </c>
      <c r="C839" s="59" t="str">
        <f aca="false">IFERROR(IF([1]对账明细接口!$C$839=0,"",[1]对账明细接口!$C$839),"")</f>
        <v/>
      </c>
      <c r="D839" s="59" t="str">
        <f aca="false">IFERROR(IF([1]对账明细接口!$D$839=0,"",[1]对账明细接口!$D$839),"")</f>
        <v/>
      </c>
      <c r="E839" s="59" t="str">
        <f aca="false">IFERROR(IF([1]对账明细接口!$E$839=0,"",[1]对账明细接口!$E$839),"")</f>
        <v/>
      </c>
      <c r="F839" s="59" t="str">
        <f aca="false">IFERROR(IF([1]对账明细接口!$F$839=0,"",[1]对账明细接口!$F$839),"")</f>
        <v/>
      </c>
      <c r="G839" s="59" t="str">
        <f aca="false">IFERROR(IF([1]对账明细接口!$G$839=0,"",[1]对账明细接口!$G$839),"")</f>
        <v/>
      </c>
      <c r="H839" s="60" t="str">
        <f aca="false">IFERROR(IF([1]对账明细接口!$H$839=0,"",[1]对账明细接口!$H$839),"")</f>
        <v/>
      </c>
      <c r="I839" s="59" t="str">
        <f aca="false">IFERROR(IF([1]对账明细接口!$I$839=0,"",[1]对账明细接口!$I$839),"")</f>
        <v/>
      </c>
      <c r="J839" s="61" t="str">
        <f aca="false">IFERROR(IF([1]对账明细接口!$J$839=0,"",[1]对账明细接口!$J$839),"")</f>
        <v/>
      </c>
      <c r="K839" s="61" t="str">
        <f aca="false">IFERROR(IF([1]对账明细接口!$K$839=0,"",[1]对账明细接口!$K$839),"")</f>
        <v/>
      </c>
      <c r="L839" s="59" t="str">
        <f aca="false">IFERROR(IF([1]对账明细接口!$L$839=0,"",[1]对账明细接口!$L$839),"")</f>
        <v/>
      </c>
      <c r="M839" s="59" t="str">
        <f aca="false">IFERROR(IF([1]对账明细接口!$M$839=0,"",[1]对账明细接口!$M$839),"")</f>
        <v/>
      </c>
      <c r="N839" s="111" t="n">
        <f aca="false">IF($C839="",0,1)</f>
        <v>0</v>
      </c>
      <c r="O839" s="111" t="n">
        <f aca="false">N(O838)+$N839</f>
        <v>110</v>
      </c>
      <c r="S839" s="10" t="str">
        <f aca="false">IFERROR(IF([1]对账明细接口!$N839=0,"",[1]对账明细接口!$N839),"")</f>
        <v/>
      </c>
      <c r="T839" s="112" t="str">
        <f aca="false">IFERROR(IF([1]对账明细接口!$O839=0,"",[1]对账明细接口!$O839),"")</f>
        <v/>
      </c>
      <c r="U839" s="112" t="str">
        <f aca="false">IFERROR(IF([1]对账明细接口!$P839=0,"",[1]对账明细接口!$P839),"")</f>
        <v/>
      </c>
      <c r="V839" s="112" t="str">
        <f aca="false">IFERROR(IF([1]对账明细接口!$Q839=0,"",[1]对账明细接口!$Q839),"")</f>
        <v/>
      </c>
      <c r="W839" s="10" t="str">
        <f aca="false">IFERROR(IF([1]对账明细接口!$R839=0,"",[1]对账明细接口!$R839),"")</f>
        <v/>
      </c>
      <c r="X839" s="10" t="str">
        <f aca="false">IFERROR(IF([1]对账明细接口!$S839=0,"",[1]对账明细接口!$S839),"")</f>
        <v/>
      </c>
      <c r="Y839" s="10" t="str">
        <f aca="false">""</f>
        <v/>
      </c>
      <c r="Z839" s="10" t="str">
        <f aca="false">""</f>
        <v/>
      </c>
      <c r="AA839" s="10" t="str">
        <f aca="false">""</f>
        <v/>
      </c>
      <c r="AB839" s="10" t="str">
        <f aca="false">""</f>
        <v/>
      </c>
    </row>
    <row r="840" customFormat="false" ht="13.5" hidden="false" customHeight="false" outlineLevel="0" collapsed="false">
      <c r="A840" s="109" t="n">
        <v>840</v>
      </c>
      <c r="B840" s="110" t="str">
        <f aca="false">IFERROR(IF([1]对账明细接口!$B$840=0,"",[1]对账明细接口!$B$840),"")</f>
        <v/>
      </c>
      <c r="C840" s="59" t="str">
        <f aca="false">IFERROR(IF([1]对账明细接口!$C$840=0,"",[1]对账明细接口!$C$840),"")</f>
        <v/>
      </c>
      <c r="D840" s="59" t="str">
        <f aca="false">IFERROR(IF([1]对账明细接口!$D$840=0,"",[1]对账明细接口!$D$840),"")</f>
        <v/>
      </c>
      <c r="E840" s="59" t="str">
        <f aca="false">IFERROR(IF([1]对账明细接口!$E$840=0,"",[1]对账明细接口!$E$840),"")</f>
        <v/>
      </c>
      <c r="F840" s="59" t="str">
        <f aca="false">IFERROR(IF([1]对账明细接口!$F$840=0,"",[1]对账明细接口!$F$840),"")</f>
        <v/>
      </c>
      <c r="G840" s="59" t="str">
        <f aca="false">IFERROR(IF([1]对账明细接口!$G$840=0,"",[1]对账明细接口!$G$840),"")</f>
        <v/>
      </c>
      <c r="H840" s="60" t="str">
        <f aca="false">IFERROR(IF([1]对账明细接口!$H$840=0,"",[1]对账明细接口!$H$840),"")</f>
        <v/>
      </c>
      <c r="I840" s="59" t="str">
        <f aca="false">IFERROR(IF([1]对账明细接口!$I$840=0,"",[1]对账明细接口!$I$840),"")</f>
        <v/>
      </c>
      <c r="J840" s="61" t="str">
        <f aca="false">IFERROR(IF([1]对账明细接口!$J$840=0,"",[1]对账明细接口!$J$840),"")</f>
        <v/>
      </c>
      <c r="K840" s="61" t="str">
        <f aca="false">IFERROR(IF([1]对账明细接口!$K$840=0,"",[1]对账明细接口!$K$840),"")</f>
        <v/>
      </c>
      <c r="L840" s="59" t="str">
        <f aca="false">IFERROR(IF([1]对账明细接口!$L$840=0,"",[1]对账明细接口!$L$840),"")</f>
        <v/>
      </c>
      <c r="M840" s="59" t="str">
        <f aca="false">IFERROR(IF([1]对账明细接口!$M$840=0,"",[1]对账明细接口!$M$840),"")</f>
        <v/>
      </c>
      <c r="N840" s="111" t="n">
        <f aca="false">IF($C840="",0,1)</f>
        <v>0</v>
      </c>
      <c r="O840" s="111" t="n">
        <f aca="false">N(O839)+$N840</f>
        <v>110</v>
      </c>
      <c r="S840" s="10" t="str">
        <f aca="false">IFERROR(IF([1]对账明细接口!$N840=0,"",[1]对账明细接口!$N840),"")</f>
        <v/>
      </c>
      <c r="T840" s="112" t="str">
        <f aca="false">IFERROR(IF([1]对账明细接口!$O840=0,"",[1]对账明细接口!$O840),"")</f>
        <v/>
      </c>
      <c r="U840" s="112" t="str">
        <f aca="false">IFERROR(IF([1]对账明细接口!$P840=0,"",[1]对账明细接口!$P840),"")</f>
        <v/>
      </c>
      <c r="V840" s="112" t="str">
        <f aca="false">IFERROR(IF([1]对账明细接口!$Q840=0,"",[1]对账明细接口!$Q840),"")</f>
        <v/>
      </c>
      <c r="W840" s="10" t="str">
        <f aca="false">IFERROR(IF([1]对账明细接口!$R840=0,"",[1]对账明细接口!$R840),"")</f>
        <v/>
      </c>
      <c r="X840" s="10" t="str">
        <f aca="false">IFERROR(IF([1]对账明细接口!$S840=0,"",[1]对账明细接口!$S840),"")</f>
        <v/>
      </c>
      <c r="Y840" s="10" t="str">
        <f aca="false">""</f>
        <v/>
      </c>
      <c r="Z840" s="10" t="str">
        <f aca="false">""</f>
        <v/>
      </c>
      <c r="AA840" s="10" t="str">
        <f aca="false">""</f>
        <v/>
      </c>
      <c r="AB840" s="10" t="str">
        <f aca="false">""</f>
        <v/>
      </c>
    </row>
    <row r="841" customFormat="false" ht="13.5" hidden="false" customHeight="false" outlineLevel="0" collapsed="false">
      <c r="A841" s="109" t="n">
        <v>841</v>
      </c>
      <c r="B841" s="110" t="str">
        <f aca="false">IFERROR(IF([1]对账明细接口!$B$841=0,"",[1]对账明细接口!$B$841),"")</f>
        <v/>
      </c>
      <c r="C841" s="59" t="str">
        <f aca="false">IFERROR(IF([1]对账明细接口!$C$841=0,"",[1]对账明细接口!$C$841),"")</f>
        <v/>
      </c>
      <c r="D841" s="59" t="str">
        <f aca="false">IFERROR(IF([1]对账明细接口!$D$841=0,"",[1]对账明细接口!$D$841),"")</f>
        <v/>
      </c>
      <c r="E841" s="59" t="str">
        <f aca="false">IFERROR(IF([1]对账明细接口!$E$841=0,"",[1]对账明细接口!$E$841),"")</f>
        <v/>
      </c>
      <c r="F841" s="59" t="str">
        <f aca="false">IFERROR(IF([1]对账明细接口!$F$841=0,"",[1]对账明细接口!$F$841),"")</f>
        <v/>
      </c>
      <c r="G841" s="59" t="str">
        <f aca="false">IFERROR(IF([1]对账明细接口!$G$841=0,"",[1]对账明细接口!$G$841),"")</f>
        <v/>
      </c>
      <c r="H841" s="60" t="str">
        <f aca="false">IFERROR(IF([1]对账明细接口!$H$841=0,"",[1]对账明细接口!$H$841),"")</f>
        <v/>
      </c>
      <c r="I841" s="59" t="str">
        <f aca="false">IFERROR(IF([1]对账明细接口!$I$841=0,"",[1]对账明细接口!$I$841),"")</f>
        <v/>
      </c>
      <c r="J841" s="61" t="str">
        <f aca="false">IFERROR(IF([1]对账明细接口!$J$841=0,"",[1]对账明细接口!$J$841),"")</f>
        <v/>
      </c>
      <c r="K841" s="61" t="str">
        <f aca="false">IFERROR(IF([1]对账明细接口!$K$841=0,"",[1]对账明细接口!$K$841),"")</f>
        <v/>
      </c>
      <c r="L841" s="59" t="str">
        <f aca="false">IFERROR(IF([1]对账明细接口!$L$841=0,"",[1]对账明细接口!$L$841),"")</f>
        <v/>
      </c>
      <c r="M841" s="59" t="str">
        <f aca="false">IFERROR(IF([1]对账明细接口!$M$841=0,"",[1]对账明细接口!$M$841),"")</f>
        <v/>
      </c>
      <c r="N841" s="111" t="n">
        <f aca="false">IF($C841="",0,1)</f>
        <v>0</v>
      </c>
      <c r="O841" s="111" t="n">
        <f aca="false">N(O840)+$N841</f>
        <v>110</v>
      </c>
      <c r="S841" s="10" t="str">
        <f aca="false">IFERROR(IF([1]对账明细接口!$N841=0,"",[1]对账明细接口!$N841),"")</f>
        <v/>
      </c>
      <c r="T841" s="112" t="str">
        <f aca="false">IFERROR(IF([1]对账明细接口!$O841=0,"",[1]对账明细接口!$O841),"")</f>
        <v/>
      </c>
      <c r="U841" s="112" t="str">
        <f aca="false">IFERROR(IF([1]对账明细接口!$P841=0,"",[1]对账明细接口!$P841),"")</f>
        <v/>
      </c>
      <c r="V841" s="112" t="str">
        <f aca="false">IFERROR(IF([1]对账明细接口!$Q841=0,"",[1]对账明细接口!$Q841),"")</f>
        <v/>
      </c>
      <c r="W841" s="10" t="str">
        <f aca="false">IFERROR(IF([1]对账明细接口!$R841=0,"",[1]对账明细接口!$R841),"")</f>
        <v/>
      </c>
      <c r="X841" s="10" t="str">
        <f aca="false">IFERROR(IF([1]对账明细接口!$S841=0,"",[1]对账明细接口!$S841),"")</f>
        <v/>
      </c>
      <c r="Y841" s="10" t="str">
        <f aca="false">""</f>
        <v/>
      </c>
      <c r="Z841" s="10" t="str">
        <f aca="false">""</f>
        <v/>
      </c>
      <c r="AA841" s="10" t="str">
        <f aca="false">""</f>
        <v/>
      </c>
      <c r="AB841" s="10" t="str">
        <f aca="false">""</f>
        <v/>
      </c>
    </row>
    <row r="842" customFormat="false" ht="13.5" hidden="false" customHeight="false" outlineLevel="0" collapsed="false">
      <c r="A842" s="109" t="n">
        <v>842</v>
      </c>
      <c r="B842" s="110" t="str">
        <f aca="false">IFERROR(IF([1]对账明细接口!$B$842=0,"",[1]对账明细接口!$B$842),"")</f>
        <v/>
      </c>
      <c r="C842" s="59" t="str">
        <f aca="false">IFERROR(IF([1]对账明细接口!$C$842=0,"",[1]对账明细接口!$C$842),"")</f>
        <v/>
      </c>
      <c r="D842" s="59" t="str">
        <f aca="false">IFERROR(IF([1]对账明细接口!$D$842=0,"",[1]对账明细接口!$D$842),"")</f>
        <v/>
      </c>
      <c r="E842" s="59" t="str">
        <f aca="false">IFERROR(IF([1]对账明细接口!$E$842=0,"",[1]对账明细接口!$E$842),"")</f>
        <v/>
      </c>
      <c r="F842" s="59" t="str">
        <f aca="false">IFERROR(IF([1]对账明细接口!$F$842=0,"",[1]对账明细接口!$F$842),"")</f>
        <v/>
      </c>
      <c r="G842" s="59" t="str">
        <f aca="false">IFERROR(IF([1]对账明细接口!$G$842=0,"",[1]对账明细接口!$G$842),"")</f>
        <v/>
      </c>
      <c r="H842" s="60" t="str">
        <f aca="false">IFERROR(IF([1]对账明细接口!$H$842=0,"",[1]对账明细接口!$H$842),"")</f>
        <v/>
      </c>
      <c r="I842" s="59" t="str">
        <f aca="false">IFERROR(IF([1]对账明细接口!$I$842=0,"",[1]对账明细接口!$I$842),"")</f>
        <v/>
      </c>
      <c r="J842" s="61" t="str">
        <f aca="false">IFERROR(IF([1]对账明细接口!$J$842=0,"",[1]对账明细接口!$J$842),"")</f>
        <v/>
      </c>
      <c r="K842" s="61" t="str">
        <f aca="false">IFERROR(IF([1]对账明细接口!$K$842=0,"",[1]对账明细接口!$K$842),"")</f>
        <v/>
      </c>
      <c r="L842" s="59" t="str">
        <f aca="false">IFERROR(IF([1]对账明细接口!$L$842=0,"",[1]对账明细接口!$L$842),"")</f>
        <v/>
      </c>
      <c r="M842" s="59" t="str">
        <f aca="false">IFERROR(IF([1]对账明细接口!$M$842=0,"",[1]对账明细接口!$M$842),"")</f>
        <v/>
      </c>
      <c r="N842" s="111" t="n">
        <f aca="false">IF($C842="",0,1)</f>
        <v>0</v>
      </c>
      <c r="O842" s="111" t="n">
        <f aca="false">N(O841)+$N842</f>
        <v>110</v>
      </c>
      <c r="S842" s="10" t="str">
        <f aca="false">IFERROR(IF([1]对账明细接口!$N842=0,"",[1]对账明细接口!$N842),"")</f>
        <v/>
      </c>
      <c r="T842" s="112" t="str">
        <f aca="false">IFERROR(IF([1]对账明细接口!$O842=0,"",[1]对账明细接口!$O842),"")</f>
        <v/>
      </c>
      <c r="U842" s="112" t="str">
        <f aca="false">IFERROR(IF([1]对账明细接口!$P842=0,"",[1]对账明细接口!$P842),"")</f>
        <v/>
      </c>
      <c r="V842" s="112" t="str">
        <f aca="false">IFERROR(IF([1]对账明细接口!$Q842=0,"",[1]对账明细接口!$Q842),"")</f>
        <v/>
      </c>
      <c r="W842" s="10" t="str">
        <f aca="false">IFERROR(IF([1]对账明细接口!$R842=0,"",[1]对账明细接口!$R842),"")</f>
        <v/>
      </c>
      <c r="X842" s="10" t="str">
        <f aca="false">IFERROR(IF([1]对账明细接口!$S842=0,"",[1]对账明细接口!$S842),"")</f>
        <v/>
      </c>
      <c r="Y842" s="10" t="str">
        <f aca="false">""</f>
        <v/>
      </c>
      <c r="Z842" s="10" t="str">
        <f aca="false">""</f>
        <v/>
      </c>
      <c r="AA842" s="10" t="str">
        <f aca="false">""</f>
        <v/>
      </c>
      <c r="AB842" s="10" t="str">
        <f aca="false">""</f>
        <v/>
      </c>
    </row>
    <row r="843" customFormat="false" ht="13.5" hidden="false" customHeight="false" outlineLevel="0" collapsed="false">
      <c r="A843" s="109" t="n">
        <v>843</v>
      </c>
      <c r="B843" s="110" t="str">
        <f aca="false">IFERROR(IF([1]对账明细接口!$B$843=0,"",[1]对账明细接口!$B$843),"")</f>
        <v/>
      </c>
      <c r="C843" s="59" t="str">
        <f aca="false">IFERROR(IF([1]对账明细接口!$C$843=0,"",[1]对账明细接口!$C$843),"")</f>
        <v/>
      </c>
      <c r="D843" s="59" t="str">
        <f aca="false">IFERROR(IF([1]对账明细接口!$D$843=0,"",[1]对账明细接口!$D$843),"")</f>
        <v/>
      </c>
      <c r="E843" s="59" t="str">
        <f aca="false">IFERROR(IF([1]对账明细接口!$E$843=0,"",[1]对账明细接口!$E$843),"")</f>
        <v/>
      </c>
      <c r="F843" s="59" t="str">
        <f aca="false">IFERROR(IF([1]对账明细接口!$F$843=0,"",[1]对账明细接口!$F$843),"")</f>
        <v/>
      </c>
      <c r="G843" s="59" t="str">
        <f aca="false">IFERROR(IF([1]对账明细接口!$G$843=0,"",[1]对账明细接口!$G$843),"")</f>
        <v/>
      </c>
      <c r="H843" s="60" t="str">
        <f aca="false">IFERROR(IF([1]对账明细接口!$H$843=0,"",[1]对账明细接口!$H$843),"")</f>
        <v/>
      </c>
      <c r="I843" s="59" t="str">
        <f aca="false">IFERROR(IF([1]对账明细接口!$I$843=0,"",[1]对账明细接口!$I$843),"")</f>
        <v/>
      </c>
      <c r="J843" s="61" t="str">
        <f aca="false">IFERROR(IF([1]对账明细接口!$J$843=0,"",[1]对账明细接口!$J$843),"")</f>
        <v/>
      </c>
      <c r="K843" s="61" t="str">
        <f aca="false">IFERROR(IF([1]对账明细接口!$K$843=0,"",[1]对账明细接口!$K$843),"")</f>
        <v/>
      </c>
      <c r="L843" s="59" t="str">
        <f aca="false">IFERROR(IF([1]对账明细接口!$L$843=0,"",[1]对账明细接口!$L$843),"")</f>
        <v/>
      </c>
      <c r="M843" s="59" t="str">
        <f aca="false">IFERROR(IF([1]对账明细接口!$M$843=0,"",[1]对账明细接口!$M$843),"")</f>
        <v/>
      </c>
      <c r="N843" s="111" t="n">
        <f aca="false">IF($C843="",0,1)</f>
        <v>0</v>
      </c>
      <c r="O843" s="111" t="n">
        <f aca="false">N(O842)+$N843</f>
        <v>110</v>
      </c>
      <c r="S843" s="10" t="str">
        <f aca="false">IFERROR(IF([1]对账明细接口!$N843=0,"",[1]对账明细接口!$N843),"")</f>
        <v/>
      </c>
      <c r="T843" s="112" t="str">
        <f aca="false">IFERROR(IF([1]对账明细接口!$O843=0,"",[1]对账明细接口!$O843),"")</f>
        <v/>
      </c>
      <c r="U843" s="112" t="str">
        <f aca="false">IFERROR(IF([1]对账明细接口!$P843=0,"",[1]对账明细接口!$P843),"")</f>
        <v/>
      </c>
      <c r="V843" s="112" t="str">
        <f aca="false">IFERROR(IF([1]对账明细接口!$Q843=0,"",[1]对账明细接口!$Q843),"")</f>
        <v/>
      </c>
      <c r="W843" s="10" t="str">
        <f aca="false">IFERROR(IF([1]对账明细接口!$R843=0,"",[1]对账明细接口!$R843),"")</f>
        <v/>
      </c>
      <c r="X843" s="10" t="str">
        <f aca="false">IFERROR(IF([1]对账明细接口!$S843=0,"",[1]对账明细接口!$S843),"")</f>
        <v/>
      </c>
      <c r="Y843" s="10" t="str">
        <f aca="false">""</f>
        <v/>
      </c>
      <c r="Z843" s="10" t="str">
        <f aca="false">""</f>
        <v/>
      </c>
      <c r="AA843" s="10" t="str">
        <f aca="false">""</f>
        <v/>
      </c>
      <c r="AB843" s="10" t="str">
        <f aca="false">""</f>
        <v/>
      </c>
    </row>
    <row r="844" customFormat="false" ht="13.5" hidden="false" customHeight="false" outlineLevel="0" collapsed="false">
      <c r="A844" s="109" t="n">
        <v>844</v>
      </c>
      <c r="B844" s="110" t="str">
        <f aca="false">IFERROR(IF([1]对账明细接口!$B$844=0,"",[1]对账明细接口!$B$844),"")</f>
        <v/>
      </c>
      <c r="C844" s="59" t="str">
        <f aca="false">IFERROR(IF([1]对账明细接口!$C$844=0,"",[1]对账明细接口!$C$844),"")</f>
        <v/>
      </c>
      <c r="D844" s="59" t="str">
        <f aca="false">IFERROR(IF([1]对账明细接口!$D$844=0,"",[1]对账明细接口!$D$844),"")</f>
        <v/>
      </c>
      <c r="E844" s="59" t="str">
        <f aca="false">IFERROR(IF([1]对账明细接口!$E$844=0,"",[1]对账明细接口!$E$844),"")</f>
        <v/>
      </c>
      <c r="F844" s="59" t="str">
        <f aca="false">IFERROR(IF([1]对账明细接口!$F$844=0,"",[1]对账明细接口!$F$844),"")</f>
        <v/>
      </c>
      <c r="G844" s="59" t="str">
        <f aca="false">IFERROR(IF([1]对账明细接口!$G$844=0,"",[1]对账明细接口!$G$844),"")</f>
        <v/>
      </c>
      <c r="H844" s="60" t="str">
        <f aca="false">IFERROR(IF([1]对账明细接口!$H$844=0,"",[1]对账明细接口!$H$844),"")</f>
        <v/>
      </c>
      <c r="I844" s="59" t="str">
        <f aca="false">IFERROR(IF([1]对账明细接口!$I$844=0,"",[1]对账明细接口!$I$844),"")</f>
        <v/>
      </c>
      <c r="J844" s="61" t="str">
        <f aca="false">IFERROR(IF([1]对账明细接口!$J$844=0,"",[1]对账明细接口!$J$844),"")</f>
        <v/>
      </c>
      <c r="K844" s="61" t="str">
        <f aca="false">IFERROR(IF([1]对账明细接口!$K$844=0,"",[1]对账明细接口!$K$844),"")</f>
        <v/>
      </c>
      <c r="L844" s="59" t="str">
        <f aca="false">IFERROR(IF([1]对账明细接口!$L$844=0,"",[1]对账明细接口!$L$844),"")</f>
        <v/>
      </c>
      <c r="M844" s="59" t="str">
        <f aca="false">IFERROR(IF([1]对账明细接口!$M$844=0,"",[1]对账明细接口!$M$844),"")</f>
        <v/>
      </c>
      <c r="N844" s="111" t="n">
        <f aca="false">IF($C844="",0,1)</f>
        <v>0</v>
      </c>
      <c r="O844" s="111" t="n">
        <f aca="false">N(O843)+$N844</f>
        <v>110</v>
      </c>
      <c r="S844" s="10" t="str">
        <f aca="false">IFERROR(IF([1]对账明细接口!$N844=0,"",[1]对账明细接口!$N844),"")</f>
        <v/>
      </c>
      <c r="T844" s="112" t="str">
        <f aca="false">IFERROR(IF([1]对账明细接口!$O844=0,"",[1]对账明细接口!$O844),"")</f>
        <v/>
      </c>
      <c r="U844" s="112" t="str">
        <f aca="false">IFERROR(IF([1]对账明细接口!$P844=0,"",[1]对账明细接口!$P844),"")</f>
        <v/>
      </c>
      <c r="V844" s="112" t="str">
        <f aca="false">IFERROR(IF([1]对账明细接口!$Q844=0,"",[1]对账明细接口!$Q844),"")</f>
        <v/>
      </c>
      <c r="W844" s="10" t="str">
        <f aca="false">IFERROR(IF([1]对账明细接口!$R844=0,"",[1]对账明细接口!$R844),"")</f>
        <v/>
      </c>
      <c r="X844" s="10" t="str">
        <f aca="false">IFERROR(IF([1]对账明细接口!$S844=0,"",[1]对账明细接口!$S844),"")</f>
        <v/>
      </c>
      <c r="Y844" s="10" t="str">
        <f aca="false">""</f>
        <v/>
      </c>
      <c r="Z844" s="10" t="str">
        <f aca="false">""</f>
        <v/>
      </c>
      <c r="AA844" s="10" t="str">
        <f aca="false">""</f>
        <v/>
      </c>
      <c r="AB844" s="10" t="str">
        <f aca="false">""</f>
        <v/>
      </c>
    </row>
    <row r="845" customFormat="false" ht="13.5" hidden="false" customHeight="false" outlineLevel="0" collapsed="false">
      <c r="A845" s="109" t="n">
        <v>845</v>
      </c>
      <c r="B845" s="110" t="str">
        <f aca="false">IFERROR(IF([1]对账明细接口!$B$845=0,"",[1]对账明细接口!$B$845),"")</f>
        <v/>
      </c>
      <c r="C845" s="59" t="str">
        <f aca="false">IFERROR(IF([1]对账明细接口!$C$845=0,"",[1]对账明细接口!$C$845),"")</f>
        <v/>
      </c>
      <c r="D845" s="59" t="str">
        <f aca="false">IFERROR(IF([1]对账明细接口!$D$845=0,"",[1]对账明细接口!$D$845),"")</f>
        <v/>
      </c>
      <c r="E845" s="59" t="str">
        <f aca="false">IFERROR(IF([1]对账明细接口!$E$845=0,"",[1]对账明细接口!$E$845),"")</f>
        <v/>
      </c>
      <c r="F845" s="59" t="str">
        <f aca="false">IFERROR(IF([1]对账明细接口!$F$845=0,"",[1]对账明细接口!$F$845),"")</f>
        <v/>
      </c>
      <c r="G845" s="59" t="str">
        <f aca="false">IFERROR(IF([1]对账明细接口!$G$845=0,"",[1]对账明细接口!$G$845),"")</f>
        <v/>
      </c>
      <c r="H845" s="60" t="str">
        <f aca="false">IFERROR(IF([1]对账明细接口!$H$845=0,"",[1]对账明细接口!$H$845),"")</f>
        <v/>
      </c>
      <c r="I845" s="59" t="str">
        <f aca="false">IFERROR(IF([1]对账明细接口!$I$845=0,"",[1]对账明细接口!$I$845),"")</f>
        <v/>
      </c>
      <c r="J845" s="61" t="str">
        <f aca="false">IFERROR(IF([1]对账明细接口!$J$845=0,"",[1]对账明细接口!$J$845),"")</f>
        <v/>
      </c>
      <c r="K845" s="61" t="str">
        <f aca="false">IFERROR(IF([1]对账明细接口!$K$845=0,"",[1]对账明细接口!$K$845),"")</f>
        <v/>
      </c>
      <c r="L845" s="59" t="str">
        <f aca="false">IFERROR(IF([1]对账明细接口!$L$845=0,"",[1]对账明细接口!$L$845),"")</f>
        <v/>
      </c>
      <c r="M845" s="59" t="str">
        <f aca="false">IFERROR(IF([1]对账明细接口!$M$845=0,"",[1]对账明细接口!$M$845),"")</f>
        <v/>
      </c>
      <c r="N845" s="111" t="n">
        <f aca="false">IF($C845="",0,1)</f>
        <v>0</v>
      </c>
      <c r="O845" s="111" t="n">
        <f aca="false">N(O844)+$N845</f>
        <v>110</v>
      </c>
      <c r="S845" s="10" t="str">
        <f aca="false">IFERROR(IF([1]对账明细接口!$N845=0,"",[1]对账明细接口!$N845),"")</f>
        <v/>
      </c>
      <c r="T845" s="112" t="str">
        <f aca="false">IFERROR(IF([1]对账明细接口!$O845=0,"",[1]对账明细接口!$O845),"")</f>
        <v/>
      </c>
      <c r="U845" s="112" t="str">
        <f aca="false">IFERROR(IF([1]对账明细接口!$P845=0,"",[1]对账明细接口!$P845),"")</f>
        <v/>
      </c>
      <c r="V845" s="112" t="str">
        <f aca="false">IFERROR(IF([1]对账明细接口!$Q845=0,"",[1]对账明细接口!$Q845),"")</f>
        <v/>
      </c>
      <c r="W845" s="10" t="str">
        <f aca="false">IFERROR(IF([1]对账明细接口!$R845=0,"",[1]对账明细接口!$R845),"")</f>
        <v/>
      </c>
      <c r="X845" s="10" t="str">
        <f aca="false">IFERROR(IF([1]对账明细接口!$S845=0,"",[1]对账明细接口!$S845),"")</f>
        <v/>
      </c>
      <c r="Y845" s="10" t="str">
        <f aca="false">""</f>
        <v/>
      </c>
      <c r="Z845" s="10" t="str">
        <f aca="false">""</f>
        <v/>
      </c>
      <c r="AA845" s="10" t="str">
        <f aca="false">""</f>
        <v/>
      </c>
      <c r="AB845" s="10" t="str">
        <f aca="false">""</f>
        <v/>
      </c>
    </row>
    <row r="846" customFormat="false" ht="13.5" hidden="false" customHeight="false" outlineLevel="0" collapsed="false">
      <c r="A846" s="109" t="n">
        <v>846</v>
      </c>
      <c r="B846" s="110" t="str">
        <f aca="false">IFERROR(IF([1]对账明细接口!$B$846=0,"",[1]对账明细接口!$B$846),"")</f>
        <v/>
      </c>
      <c r="C846" s="59" t="str">
        <f aca="false">IFERROR(IF([1]对账明细接口!$C$846=0,"",[1]对账明细接口!$C$846),"")</f>
        <v/>
      </c>
      <c r="D846" s="59" t="str">
        <f aca="false">IFERROR(IF([1]对账明细接口!$D$846=0,"",[1]对账明细接口!$D$846),"")</f>
        <v/>
      </c>
      <c r="E846" s="59" t="str">
        <f aca="false">IFERROR(IF([1]对账明细接口!$E$846=0,"",[1]对账明细接口!$E$846),"")</f>
        <v/>
      </c>
      <c r="F846" s="59" t="str">
        <f aca="false">IFERROR(IF([1]对账明细接口!$F$846=0,"",[1]对账明细接口!$F$846),"")</f>
        <v/>
      </c>
      <c r="G846" s="59" t="str">
        <f aca="false">IFERROR(IF([1]对账明细接口!$G$846=0,"",[1]对账明细接口!$G$846),"")</f>
        <v/>
      </c>
      <c r="H846" s="60" t="str">
        <f aca="false">IFERROR(IF([1]对账明细接口!$H$846=0,"",[1]对账明细接口!$H$846),"")</f>
        <v/>
      </c>
      <c r="I846" s="59" t="str">
        <f aca="false">IFERROR(IF([1]对账明细接口!$I$846=0,"",[1]对账明细接口!$I$846),"")</f>
        <v/>
      </c>
      <c r="J846" s="61" t="str">
        <f aca="false">IFERROR(IF([1]对账明细接口!$J$846=0,"",[1]对账明细接口!$J$846),"")</f>
        <v/>
      </c>
      <c r="K846" s="61" t="str">
        <f aca="false">IFERROR(IF([1]对账明细接口!$K$846=0,"",[1]对账明细接口!$K$846),"")</f>
        <v/>
      </c>
      <c r="L846" s="59" t="str">
        <f aca="false">IFERROR(IF([1]对账明细接口!$L$846=0,"",[1]对账明细接口!$L$846),"")</f>
        <v/>
      </c>
      <c r="M846" s="59" t="str">
        <f aca="false">IFERROR(IF([1]对账明细接口!$M$846=0,"",[1]对账明细接口!$M$846),"")</f>
        <v/>
      </c>
      <c r="N846" s="111" t="n">
        <f aca="false">IF($C846="",0,1)</f>
        <v>0</v>
      </c>
      <c r="O846" s="111" t="n">
        <f aca="false">N(O845)+$N846</f>
        <v>110</v>
      </c>
      <c r="S846" s="10" t="str">
        <f aca="false">IFERROR(IF([1]对账明细接口!$N846=0,"",[1]对账明细接口!$N846),"")</f>
        <v/>
      </c>
      <c r="T846" s="112" t="str">
        <f aca="false">IFERROR(IF([1]对账明细接口!$O846=0,"",[1]对账明细接口!$O846),"")</f>
        <v/>
      </c>
      <c r="U846" s="112" t="str">
        <f aca="false">IFERROR(IF([1]对账明细接口!$P846=0,"",[1]对账明细接口!$P846),"")</f>
        <v/>
      </c>
      <c r="V846" s="112" t="str">
        <f aca="false">IFERROR(IF([1]对账明细接口!$Q846=0,"",[1]对账明细接口!$Q846),"")</f>
        <v/>
      </c>
      <c r="W846" s="10" t="str">
        <f aca="false">IFERROR(IF([1]对账明细接口!$R846=0,"",[1]对账明细接口!$R846),"")</f>
        <v/>
      </c>
      <c r="X846" s="10" t="str">
        <f aca="false">IFERROR(IF([1]对账明细接口!$S846=0,"",[1]对账明细接口!$S846),"")</f>
        <v/>
      </c>
      <c r="Y846" s="10" t="str">
        <f aca="false">""</f>
        <v/>
      </c>
      <c r="Z846" s="10" t="str">
        <f aca="false">""</f>
        <v/>
      </c>
      <c r="AA846" s="10" t="str">
        <f aca="false">""</f>
        <v/>
      </c>
      <c r="AB846" s="10" t="str">
        <f aca="false">""</f>
        <v/>
      </c>
    </row>
    <row r="847" customFormat="false" ht="13.5" hidden="false" customHeight="false" outlineLevel="0" collapsed="false">
      <c r="A847" s="109" t="n">
        <v>847</v>
      </c>
      <c r="B847" s="110" t="str">
        <f aca="false">IFERROR(IF([1]对账明细接口!$B$847=0,"",[1]对账明细接口!$B$847),"")</f>
        <v/>
      </c>
      <c r="C847" s="59" t="str">
        <f aca="false">IFERROR(IF([1]对账明细接口!$C$847=0,"",[1]对账明细接口!$C$847),"")</f>
        <v/>
      </c>
      <c r="D847" s="59" t="str">
        <f aca="false">IFERROR(IF([1]对账明细接口!$D$847=0,"",[1]对账明细接口!$D$847),"")</f>
        <v/>
      </c>
      <c r="E847" s="59" t="str">
        <f aca="false">IFERROR(IF([1]对账明细接口!$E$847=0,"",[1]对账明细接口!$E$847),"")</f>
        <v/>
      </c>
      <c r="F847" s="59" t="str">
        <f aca="false">IFERROR(IF([1]对账明细接口!$F$847=0,"",[1]对账明细接口!$F$847),"")</f>
        <v/>
      </c>
      <c r="G847" s="59" t="str">
        <f aca="false">IFERROR(IF([1]对账明细接口!$G$847=0,"",[1]对账明细接口!$G$847),"")</f>
        <v/>
      </c>
      <c r="H847" s="60" t="str">
        <f aca="false">IFERROR(IF([1]对账明细接口!$H$847=0,"",[1]对账明细接口!$H$847),"")</f>
        <v/>
      </c>
      <c r="I847" s="59" t="str">
        <f aca="false">IFERROR(IF([1]对账明细接口!$I$847=0,"",[1]对账明细接口!$I$847),"")</f>
        <v/>
      </c>
      <c r="J847" s="61" t="str">
        <f aca="false">IFERROR(IF([1]对账明细接口!$J$847=0,"",[1]对账明细接口!$J$847),"")</f>
        <v/>
      </c>
      <c r="K847" s="61" t="str">
        <f aca="false">IFERROR(IF([1]对账明细接口!$K$847=0,"",[1]对账明细接口!$K$847),"")</f>
        <v/>
      </c>
      <c r="L847" s="59" t="str">
        <f aca="false">IFERROR(IF([1]对账明细接口!$L$847=0,"",[1]对账明细接口!$L$847),"")</f>
        <v/>
      </c>
      <c r="M847" s="59" t="str">
        <f aca="false">IFERROR(IF([1]对账明细接口!$M$847=0,"",[1]对账明细接口!$M$847),"")</f>
        <v/>
      </c>
      <c r="N847" s="111" t="n">
        <f aca="false">IF($C847="",0,1)</f>
        <v>0</v>
      </c>
      <c r="O847" s="111" t="n">
        <f aca="false">N(O846)+$N847</f>
        <v>110</v>
      </c>
      <c r="S847" s="10" t="str">
        <f aca="false">IFERROR(IF([1]对账明细接口!$N847=0,"",[1]对账明细接口!$N847),"")</f>
        <v/>
      </c>
      <c r="T847" s="112" t="str">
        <f aca="false">IFERROR(IF([1]对账明细接口!$O847=0,"",[1]对账明细接口!$O847),"")</f>
        <v/>
      </c>
      <c r="U847" s="112" t="str">
        <f aca="false">IFERROR(IF([1]对账明细接口!$P847=0,"",[1]对账明细接口!$P847),"")</f>
        <v/>
      </c>
      <c r="V847" s="112" t="str">
        <f aca="false">IFERROR(IF([1]对账明细接口!$Q847=0,"",[1]对账明细接口!$Q847),"")</f>
        <v/>
      </c>
      <c r="W847" s="10" t="str">
        <f aca="false">IFERROR(IF([1]对账明细接口!$R847=0,"",[1]对账明细接口!$R847),"")</f>
        <v/>
      </c>
      <c r="X847" s="10" t="str">
        <f aca="false">IFERROR(IF([1]对账明细接口!$S847=0,"",[1]对账明细接口!$S847),"")</f>
        <v/>
      </c>
      <c r="Y847" s="10" t="str">
        <f aca="false">""</f>
        <v/>
      </c>
      <c r="Z847" s="10" t="str">
        <f aca="false">""</f>
        <v/>
      </c>
      <c r="AA847" s="10" t="str">
        <f aca="false">""</f>
        <v/>
      </c>
      <c r="AB847" s="10" t="str">
        <f aca="false">""</f>
        <v/>
      </c>
    </row>
    <row r="848" customFormat="false" ht="13.5" hidden="false" customHeight="false" outlineLevel="0" collapsed="false">
      <c r="A848" s="109" t="n">
        <v>848</v>
      </c>
      <c r="B848" s="110" t="str">
        <f aca="false">IFERROR(IF([1]对账明细接口!$B$848=0,"",[1]对账明细接口!$B$848),"")</f>
        <v/>
      </c>
      <c r="C848" s="59" t="str">
        <f aca="false">IFERROR(IF([1]对账明细接口!$C$848=0,"",[1]对账明细接口!$C$848),"")</f>
        <v/>
      </c>
      <c r="D848" s="59" t="str">
        <f aca="false">IFERROR(IF([1]对账明细接口!$D$848=0,"",[1]对账明细接口!$D$848),"")</f>
        <v/>
      </c>
      <c r="E848" s="59" t="str">
        <f aca="false">IFERROR(IF([1]对账明细接口!$E$848=0,"",[1]对账明细接口!$E$848),"")</f>
        <v/>
      </c>
      <c r="F848" s="59" t="str">
        <f aca="false">IFERROR(IF([1]对账明细接口!$F$848=0,"",[1]对账明细接口!$F$848),"")</f>
        <v/>
      </c>
      <c r="G848" s="59" t="str">
        <f aca="false">IFERROR(IF([1]对账明细接口!$G$848=0,"",[1]对账明细接口!$G$848),"")</f>
        <v/>
      </c>
      <c r="H848" s="60" t="str">
        <f aca="false">IFERROR(IF([1]对账明细接口!$H$848=0,"",[1]对账明细接口!$H$848),"")</f>
        <v/>
      </c>
      <c r="I848" s="59" t="str">
        <f aca="false">IFERROR(IF([1]对账明细接口!$I$848=0,"",[1]对账明细接口!$I$848),"")</f>
        <v/>
      </c>
      <c r="J848" s="61" t="str">
        <f aca="false">IFERROR(IF([1]对账明细接口!$J$848=0,"",[1]对账明细接口!$J$848),"")</f>
        <v/>
      </c>
      <c r="K848" s="61" t="str">
        <f aca="false">IFERROR(IF([1]对账明细接口!$K$848=0,"",[1]对账明细接口!$K$848),"")</f>
        <v/>
      </c>
      <c r="L848" s="59" t="str">
        <f aca="false">IFERROR(IF([1]对账明细接口!$L$848=0,"",[1]对账明细接口!$L$848),"")</f>
        <v/>
      </c>
      <c r="M848" s="59" t="str">
        <f aca="false">IFERROR(IF([1]对账明细接口!$M$848=0,"",[1]对账明细接口!$M$848),"")</f>
        <v/>
      </c>
      <c r="N848" s="111" t="n">
        <f aca="false">IF($C848="",0,1)</f>
        <v>0</v>
      </c>
      <c r="O848" s="111" t="n">
        <f aca="false">N(O847)+$N848</f>
        <v>110</v>
      </c>
      <c r="S848" s="10" t="str">
        <f aca="false">IFERROR(IF([1]对账明细接口!$N848=0,"",[1]对账明细接口!$N848),"")</f>
        <v/>
      </c>
      <c r="T848" s="112" t="str">
        <f aca="false">IFERROR(IF([1]对账明细接口!$O848=0,"",[1]对账明细接口!$O848),"")</f>
        <v/>
      </c>
      <c r="U848" s="112" t="str">
        <f aca="false">IFERROR(IF([1]对账明细接口!$P848=0,"",[1]对账明细接口!$P848),"")</f>
        <v/>
      </c>
      <c r="V848" s="112" t="str">
        <f aca="false">IFERROR(IF([1]对账明细接口!$Q848=0,"",[1]对账明细接口!$Q848),"")</f>
        <v/>
      </c>
      <c r="W848" s="10" t="str">
        <f aca="false">IFERROR(IF([1]对账明细接口!$R848=0,"",[1]对账明细接口!$R848),"")</f>
        <v/>
      </c>
      <c r="X848" s="10" t="str">
        <f aca="false">IFERROR(IF([1]对账明细接口!$S848=0,"",[1]对账明细接口!$S848),"")</f>
        <v/>
      </c>
      <c r="Y848" s="10" t="str">
        <f aca="false">""</f>
        <v/>
      </c>
      <c r="Z848" s="10" t="str">
        <f aca="false">""</f>
        <v/>
      </c>
      <c r="AA848" s="10" t="str">
        <f aca="false">""</f>
        <v/>
      </c>
      <c r="AB848" s="10" t="str">
        <f aca="false">""</f>
        <v/>
      </c>
    </row>
    <row r="849" customFormat="false" ht="13.5" hidden="false" customHeight="false" outlineLevel="0" collapsed="false">
      <c r="A849" s="109" t="n">
        <v>849</v>
      </c>
      <c r="B849" s="110" t="str">
        <f aca="false">IFERROR(IF([1]对账明细接口!$B$849=0,"",[1]对账明细接口!$B$849),"")</f>
        <v/>
      </c>
      <c r="C849" s="59" t="str">
        <f aca="false">IFERROR(IF([1]对账明细接口!$C$849=0,"",[1]对账明细接口!$C$849),"")</f>
        <v/>
      </c>
      <c r="D849" s="59" t="str">
        <f aca="false">IFERROR(IF([1]对账明细接口!$D$849=0,"",[1]对账明细接口!$D$849),"")</f>
        <v/>
      </c>
      <c r="E849" s="59" t="str">
        <f aca="false">IFERROR(IF([1]对账明细接口!$E$849=0,"",[1]对账明细接口!$E$849),"")</f>
        <v/>
      </c>
      <c r="F849" s="59" t="str">
        <f aca="false">IFERROR(IF([1]对账明细接口!$F$849=0,"",[1]对账明细接口!$F$849),"")</f>
        <v/>
      </c>
      <c r="G849" s="59" t="str">
        <f aca="false">IFERROR(IF([1]对账明细接口!$G$849=0,"",[1]对账明细接口!$G$849),"")</f>
        <v/>
      </c>
      <c r="H849" s="60" t="str">
        <f aca="false">IFERROR(IF([1]对账明细接口!$H$849=0,"",[1]对账明细接口!$H$849),"")</f>
        <v/>
      </c>
      <c r="I849" s="59" t="str">
        <f aca="false">IFERROR(IF([1]对账明细接口!$I$849=0,"",[1]对账明细接口!$I$849),"")</f>
        <v/>
      </c>
      <c r="J849" s="61" t="str">
        <f aca="false">IFERROR(IF([1]对账明细接口!$J$849=0,"",[1]对账明细接口!$J$849),"")</f>
        <v/>
      </c>
      <c r="K849" s="61" t="str">
        <f aca="false">IFERROR(IF([1]对账明细接口!$K$849=0,"",[1]对账明细接口!$K$849),"")</f>
        <v/>
      </c>
      <c r="L849" s="59" t="str">
        <f aca="false">IFERROR(IF([1]对账明细接口!$L$849=0,"",[1]对账明细接口!$L$849),"")</f>
        <v/>
      </c>
      <c r="M849" s="59" t="str">
        <f aca="false">IFERROR(IF([1]对账明细接口!$M$849=0,"",[1]对账明细接口!$M$849),"")</f>
        <v/>
      </c>
      <c r="N849" s="111" t="n">
        <f aca="false">IF($C849="",0,1)</f>
        <v>0</v>
      </c>
      <c r="O849" s="111" t="n">
        <f aca="false">N(O848)+$N849</f>
        <v>110</v>
      </c>
      <c r="S849" s="10" t="str">
        <f aca="false">IFERROR(IF([1]对账明细接口!$N849=0,"",[1]对账明细接口!$N849),"")</f>
        <v/>
      </c>
      <c r="T849" s="112" t="str">
        <f aca="false">IFERROR(IF([1]对账明细接口!$O849=0,"",[1]对账明细接口!$O849),"")</f>
        <v/>
      </c>
      <c r="U849" s="112" t="str">
        <f aca="false">IFERROR(IF([1]对账明细接口!$P849=0,"",[1]对账明细接口!$P849),"")</f>
        <v/>
      </c>
      <c r="V849" s="112" t="str">
        <f aca="false">IFERROR(IF([1]对账明细接口!$Q849=0,"",[1]对账明细接口!$Q849),"")</f>
        <v/>
      </c>
      <c r="W849" s="10" t="str">
        <f aca="false">IFERROR(IF([1]对账明细接口!$R849=0,"",[1]对账明细接口!$R849),"")</f>
        <v/>
      </c>
      <c r="X849" s="10" t="str">
        <f aca="false">IFERROR(IF([1]对账明细接口!$S849=0,"",[1]对账明细接口!$S849),"")</f>
        <v/>
      </c>
      <c r="Y849" s="10" t="str">
        <f aca="false">""</f>
        <v/>
      </c>
      <c r="Z849" s="10" t="str">
        <f aca="false">""</f>
        <v/>
      </c>
      <c r="AA849" s="10" t="str">
        <f aca="false">""</f>
        <v/>
      </c>
      <c r="AB849" s="10" t="str">
        <f aca="false">""</f>
        <v/>
      </c>
    </row>
    <row r="850" customFormat="false" ht="13.5" hidden="false" customHeight="false" outlineLevel="0" collapsed="false">
      <c r="A850" s="109" t="n">
        <v>850</v>
      </c>
      <c r="B850" s="110" t="str">
        <f aca="false">IFERROR(IF([1]对账明细接口!$B$850=0,"",[1]对账明细接口!$B$850),"")</f>
        <v/>
      </c>
      <c r="C850" s="59" t="str">
        <f aca="false">IFERROR(IF([1]对账明细接口!$C$850=0,"",[1]对账明细接口!$C$850),"")</f>
        <v/>
      </c>
      <c r="D850" s="59" t="str">
        <f aca="false">IFERROR(IF([1]对账明细接口!$D$850=0,"",[1]对账明细接口!$D$850),"")</f>
        <v/>
      </c>
      <c r="E850" s="59" t="str">
        <f aca="false">IFERROR(IF([1]对账明细接口!$E$850=0,"",[1]对账明细接口!$E$850),"")</f>
        <v/>
      </c>
      <c r="F850" s="59" t="str">
        <f aca="false">IFERROR(IF([1]对账明细接口!$F$850=0,"",[1]对账明细接口!$F$850),"")</f>
        <v/>
      </c>
      <c r="G850" s="59" t="str">
        <f aca="false">IFERROR(IF([1]对账明细接口!$G$850=0,"",[1]对账明细接口!$G$850),"")</f>
        <v/>
      </c>
      <c r="H850" s="60" t="str">
        <f aca="false">IFERROR(IF([1]对账明细接口!$H$850=0,"",[1]对账明细接口!$H$850),"")</f>
        <v/>
      </c>
      <c r="I850" s="59" t="str">
        <f aca="false">IFERROR(IF([1]对账明细接口!$I$850=0,"",[1]对账明细接口!$I$850),"")</f>
        <v/>
      </c>
      <c r="J850" s="61" t="str">
        <f aca="false">IFERROR(IF([1]对账明细接口!$J$850=0,"",[1]对账明细接口!$J$850),"")</f>
        <v/>
      </c>
      <c r="K850" s="61" t="str">
        <f aca="false">IFERROR(IF([1]对账明细接口!$K$850=0,"",[1]对账明细接口!$K$850),"")</f>
        <v/>
      </c>
      <c r="L850" s="59" t="str">
        <f aca="false">IFERROR(IF([1]对账明细接口!$L$850=0,"",[1]对账明细接口!$L$850),"")</f>
        <v/>
      </c>
      <c r="M850" s="59" t="str">
        <f aca="false">IFERROR(IF([1]对账明细接口!$M$850=0,"",[1]对账明细接口!$M$850),"")</f>
        <v/>
      </c>
      <c r="N850" s="111" t="n">
        <f aca="false">IF($C850="",0,1)</f>
        <v>0</v>
      </c>
      <c r="O850" s="111" t="n">
        <f aca="false">N(O849)+$N850</f>
        <v>110</v>
      </c>
      <c r="S850" s="10" t="str">
        <f aca="false">IFERROR(IF([1]对账明细接口!$N850=0,"",[1]对账明细接口!$N850),"")</f>
        <v/>
      </c>
      <c r="T850" s="112" t="str">
        <f aca="false">IFERROR(IF([1]对账明细接口!$O850=0,"",[1]对账明细接口!$O850),"")</f>
        <v/>
      </c>
      <c r="U850" s="112" t="str">
        <f aca="false">IFERROR(IF([1]对账明细接口!$P850=0,"",[1]对账明细接口!$P850),"")</f>
        <v/>
      </c>
      <c r="V850" s="112" t="str">
        <f aca="false">IFERROR(IF([1]对账明细接口!$Q850=0,"",[1]对账明细接口!$Q850),"")</f>
        <v/>
      </c>
      <c r="W850" s="10" t="str">
        <f aca="false">IFERROR(IF([1]对账明细接口!$R850=0,"",[1]对账明细接口!$R850),"")</f>
        <v/>
      </c>
      <c r="X850" s="10" t="str">
        <f aca="false">IFERROR(IF([1]对账明细接口!$S850=0,"",[1]对账明细接口!$S850),"")</f>
        <v/>
      </c>
      <c r="Y850" s="10" t="str">
        <f aca="false">""</f>
        <v/>
      </c>
      <c r="Z850" s="10" t="str">
        <f aca="false">""</f>
        <v/>
      </c>
      <c r="AA850" s="10" t="str">
        <f aca="false">""</f>
        <v/>
      </c>
      <c r="AB850" s="10" t="str">
        <f aca="false">""</f>
        <v/>
      </c>
    </row>
    <row r="851" customFormat="false" ht="13.5" hidden="false" customHeight="false" outlineLevel="0" collapsed="false">
      <c r="A851" s="109" t="n">
        <v>851</v>
      </c>
      <c r="B851" s="110" t="str">
        <f aca="false">IFERROR(IF([1]对账明细接口!$B$851=0,"",[1]对账明细接口!$B$851),"")</f>
        <v/>
      </c>
      <c r="C851" s="59" t="str">
        <f aca="false">IFERROR(IF([1]对账明细接口!$C$851=0,"",[1]对账明细接口!$C$851),"")</f>
        <v/>
      </c>
      <c r="D851" s="59" t="str">
        <f aca="false">IFERROR(IF([1]对账明细接口!$D$851=0,"",[1]对账明细接口!$D$851),"")</f>
        <v/>
      </c>
      <c r="E851" s="59" t="str">
        <f aca="false">IFERROR(IF([1]对账明细接口!$E$851=0,"",[1]对账明细接口!$E$851),"")</f>
        <v/>
      </c>
      <c r="F851" s="59" t="str">
        <f aca="false">IFERROR(IF([1]对账明细接口!$F$851=0,"",[1]对账明细接口!$F$851),"")</f>
        <v/>
      </c>
      <c r="G851" s="59" t="str">
        <f aca="false">IFERROR(IF([1]对账明细接口!$G$851=0,"",[1]对账明细接口!$G$851),"")</f>
        <v/>
      </c>
      <c r="H851" s="60" t="str">
        <f aca="false">IFERROR(IF([1]对账明细接口!$H$851=0,"",[1]对账明细接口!$H$851),"")</f>
        <v/>
      </c>
      <c r="I851" s="59" t="str">
        <f aca="false">IFERROR(IF([1]对账明细接口!$I$851=0,"",[1]对账明细接口!$I$851),"")</f>
        <v/>
      </c>
      <c r="J851" s="61" t="str">
        <f aca="false">IFERROR(IF([1]对账明细接口!$J$851=0,"",[1]对账明细接口!$J$851),"")</f>
        <v/>
      </c>
      <c r="K851" s="61" t="str">
        <f aca="false">IFERROR(IF([1]对账明细接口!$K$851=0,"",[1]对账明细接口!$K$851),"")</f>
        <v/>
      </c>
      <c r="L851" s="59" t="str">
        <f aca="false">IFERROR(IF([1]对账明细接口!$L$851=0,"",[1]对账明细接口!$L$851),"")</f>
        <v/>
      </c>
      <c r="M851" s="59" t="str">
        <f aca="false">IFERROR(IF([1]对账明细接口!$M$851=0,"",[1]对账明细接口!$M$851),"")</f>
        <v/>
      </c>
      <c r="N851" s="111" t="n">
        <f aca="false">IF($C851="",0,1)</f>
        <v>0</v>
      </c>
      <c r="O851" s="111" t="n">
        <f aca="false">N(O850)+$N851</f>
        <v>110</v>
      </c>
      <c r="S851" s="10" t="str">
        <f aca="false">IFERROR(IF([1]对账明细接口!$N851=0,"",[1]对账明细接口!$N851),"")</f>
        <v/>
      </c>
      <c r="T851" s="112" t="str">
        <f aca="false">IFERROR(IF([1]对账明细接口!$O851=0,"",[1]对账明细接口!$O851),"")</f>
        <v/>
      </c>
      <c r="U851" s="112" t="str">
        <f aca="false">IFERROR(IF([1]对账明细接口!$P851=0,"",[1]对账明细接口!$P851),"")</f>
        <v/>
      </c>
      <c r="V851" s="112" t="str">
        <f aca="false">IFERROR(IF([1]对账明细接口!$Q851=0,"",[1]对账明细接口!$Q851),"")</f>
        <v/>
      </c>
      <c r="W851" s="10" t="str">
        <f aca="false">IFERROR(IF([1]对账明细接口!$R851=0,"",[1]对账明细接口!$R851),"")</f>
        <v/>
      </c>
      <c r="X851" s="10" t="str">
        <f aca="false">IFERROR(IF([1]对账明细接口!$S851=0,"",[1]对账明细接口!$S851),"")</f>
        <v/>
      </c>
      <c r="Y851" s="10" t="str">
        <f aca="false">""</f>
        <v/>
      </c>
      <c r="Z851" s="10" t="str">
        <f aca="false">""</f>
        <v/>
      </c>
      <c r="AA851" s="10" t="str">
        <f aca="false">""</f>
        <v/>
      </c>
      <c r="AB851" s="10" t="str">
        <f aca="false">""</f>
        <v/>
      </c>
    </row>
    <row r="852" customFormat="false" ht="13.5" hidden="false" customHeight="false" outlineLevel="0" collapsed="false">
      <c r="A852" s="109" t="n">
        <v>852</v>
      </c>
      <c r="B852" s="110" t="str">
        <f aca="false">IFERROR(IF([1]对账明细接口!$B$852=0,"",[1]对账明细接口!$B$852),"")</f>
        <v/>
      </c>
      <c r="C852" s="59" t="str">
        <f aca="false">IFERROR(IF([1]对账明细接口!$C$852=0,"",[1]对账明细接口!$C$852),"")</f>
        <v/>
      </c>
      <c r="D852" s="59" t="str">
        <f aca="false">IFERROR(IF([1]对账明细接口!$D$852=0,"",[1]对账明细接口!$D$852),"")</f>
        <v/>
      </c>
      <c r="E852" s="59" t="str">
        <f aca="false">IFERROR(IF([1]对账明细接口!$E$852=0,"",[1]对账明细接口!$E$852),"")</f>
        <v/>
      </c>
      <c r="F852" s="59" t="str">
        <f aca="false">IFERROR(IF([1]对账明细接口!$F$852=0,"",[1]对账明细接口!$F$852),"")</f>
        <v/>
      </c>
      <c r="G852" s="59" t="str">
        <f aca="false">IFERROR(IF([1]对账明细接口!$G$852=0,"",[1]对账明细接口!$G$852),"")</f>
        <v/>
      </c>
      <c r="H852" s="60" t="str">
        <f aca="false">IFERROR(IF([1]对账明细接口!$H$852=0,"",[1]对账明细接口!$H$852),"")</f>
        <v/>
      </c>
      <c r="I852" s="59" t="str">
        <f aca="false">IFERROR(IF([1]对账明细接口!$I$852=0,"",[1]对账明细接口!$I$852),"")</f>
        <v/>
      </c>
      <c r="J852" s="61" t="str">
        <f aca="false">IFERROR(IF([1]对账明细接口!$J$852=0,"",[1]对账明细接口!$J$852),"")</f>
        <v/>
      </c>
      <c r="K852" s="61" t="str">
        <f aca="false">IFERROR(IF([1]对账明细接口!$K$852=0,"",[1]对账明细接口!$K$852),"")</f>
        <v/>
      </c>
      <c r="L852" s="59" t="str">
        <f aca="false">IFERROR(IF([1]对账明细接口!$L$852=0,"",[1]对账明细接口!$L$852),"")</f>
        <v/>
      </c>
      <c r="M852" s="59" t="str">
        <f aca="false">IFERROR(IF([1]对账明细接口!$M$852=0,"",[1]对账明细接口!$M$852),"")</f>
        <v/>
      </c>
      <c r="N852" s="111" t="n">
        <f aca="false">IF($C852="",0,1)</f>
        <v>0</v>
      </c>
      <c r="O852" s="111" t="n">
        <f aca="false">N(O851)+$N852</f>
        <v>110</v>
      </c>
      <c r="S852" s="10" t="str">
        <f aca="false">IFERROR(IF([1]对账明细接口!$N852=0,"",[1]对账明细接口!$N852),"")</f>
        <v/>
      </c>
      <c r="T852" s="112" t="str">
        <f aca="false">IFERROR(IF([1]对账明细接口!$O852=0,"",[1]对账明细接口!$O852),"")</f>
        <v/>
      </c>
      <c r="U852" s="112" t="str">
        <f aca="false">IFERROR(IF([1]对账明细接口!$P852=0,"",[1]对账明细接口!$P852),"")</f>
        <v/>
      </c>
      <c r="V852" s="112" t="str">
        <f aca="false">IFERROR(IF([1]对账明细接口!$Q852=0,"",[1]对账明细接口!$Q852),"")</f>
        <v/>
      </c>
      <c r="W852" s="10" t="str">
        <f aca="false">IFERROR(IF([1]对账明细接口!$R852=0,"",[1]对账明细接口!$R852),"")</f>
        <v/>
      </c>
      <c r="X852" s="10" t="str">
        <f aca="false">IFERROR(IF([1]对账明细接口!$S852=0,"",[1]对账明细接口!$S852),"")</f>
        <v/>
      </c>
      <c r="Y852" s="10" t="str">
        <f aca="false">""</f>
        <v/>
      </c>
      <c r="Z852" s="10" t="str">
        <f aca="false">""</f>
        <v/>
      </c>
      <c r="AA852" s="10" t="str">
        <f aca="false">""</f>
        <v/>
      </c>
      <c r="AB852" s="10" t="str">
        <f aca="false">""</f>
        <v/>
      </c>
    </row>
    <row r="853" customFormat="false" ht="13.5" hidden="false" customHeight="false" outlineLevel="0" collapsed="false">
      <c r="A853" s="109" t="n">
        <v>853</v>
      </c>
      <c r="B853" s="110" t="str">
        <f aca="false">IFERROR(IF([1]对账明细接口!$B$853=0,"",[1]对账明细接口!$B$853),"")</f>
        <v/>
      </c>
      <c r="C853" s="59" t="str">
        <f aca="false">IFERROR(IF([1]对账明细接口!$C$853=0,"",[1]对账明细接口!$C$853),"")</f>
        <v/>
      </c>
      <c r="D853" s="59" t="str">
        <f aca="false">IFERROR(IF([1]对账明细接口!$D$853=0,"",[1]对账明细接口!$D$853),"")</f>
        <v/>
      </c>
      <c r="E853" s="59" t="str">
        <f aca="false">IFERROR(IF([1]对账明细接口!$E$853=0,"",[1]对账明细接口!$E$853),"")</f>
        <v/>
      </c>
      <c r="F853" s="59" t="str">
        <f aca="false">IFERROR(IF([1]对账明细接口!$F$853=0,"",[1]对账明细接口!$F$853),"")</f>
        <v/>
      </c>
      <c r="G853" s="59" t="str">
        <f aca="false">IFERROR(IF([1]对账明细接口!$G$853=0,"",[1]对账明细接口!$G$853),"")</f>
        <v/>
      </c>
      <c r="H853" s="60" t="str">
        <f aca="false">IFERROR(IF([1]对账明细接口!$H$853=0,"",[1]对账明细接口!$H$853),"")</f>
        <v/>
      </c>
      <c r="I853" s="59" t="str">
        <f aca="false">IFERROR(IF([1]对账明细接口!$I$853=0,"",[1]对账明细接口!$I$853),"")</f>
        <v/>
      </c>
      <c r="J853" s="61" t="str">
        <f aca="false">IFERROR(IF([1]对账明细接口!$J$853=0,"",[1]对账明细接口!$J$853),"")</f>
        <v/>
      </c>
      <c r="K853" s="61" t="str">
        <f aca="false">IFERROR(IF([1]对账明细接口!$K$853=0,"",[1]对账明细接口!$K$853),"")</f>
        <v/>
      </c>
      <c r="L853" s="59" t="str">
        <f aca="false">IFERROR(IF([1]对账明细接口!$L$853=0,"",[1]对账明细接口!$L$853),"")</f>
        <v/>
      </c>
      <c r="M853" s="59" t="str">
        <f aca="false">IFERROR(IF([1]对账明细接口!$M$853=0,"",[1]对账明细接口!$M$853),"")</f>
        <v/>
      </c>
      <c r="N853" s="111" t="n">
        <f aca="false">IF($C853="",0,1)</f>
        <v>0</v>
      </c>
      <c r="O853" s="111" t="n">
        <f aca="false">N(O852)+$N853</f>
        <v>110</v>
      </c>
      <c r="S853" s="10" t="str">
        <f aca="false">IFERROR(IF([1]对账明细接口!$N853=0,"",[1]对账明细接口!$N853),"")</f>
        <v/>
      </c>
      <c r="T853" s="112" t="str">
        <f aca="false">IFERROR(IF([1]对账明细接口!$O853=0,"",[1]对账明细接口!$O853),"")</f>
        <v/>
      </c>
      <c r="U853" s="112" t="str">
        <f aca="false">IFERROR(IF([1]对账明细接口!$P853=0,"",[1]对账明细接口!$P853),"")</f>
        <v/>
      </c>
      <c r="V853" s="112" t="str">
        <f aca="false">IFERROR(IF([1]对账明细接口!$Q853=0,"",[1]对账明细接口!$Q853),"")</f>
        <v/>
      </c>
      <c r="W853" s="10" t="str">
        <f aca="false">IFERROR(IF([1]对账明细接口!$R853=0,"",[1]对账明细接口!$R853),"")</f>
        <v/>
      </c>
      <c r="X853" s="10" t="str">
        <f aca="false">IFERROR(IF([1]对账明细接口!$S853=0,"",[1]对账明细接口!$S853),"")</f>
        <v/>
      </c>
      <c r="Y853" s="10" t="str">
        <f aca="false">""</f>
        <v/>
      </c>
      <c r="Z853" s="10" t="str">
        <f aca="false">""</f>
        <v/>
      </c>
      <c r="AA853" s="10" t="str">
        <f aca="false">""</f>
        <v/>
      </c>
      <c r="AB853" s="10" t="str">
        <f aca="false">""</f>
        <v/>
      </c>
    </row>
    <row r="854" customFormat="false" ht="13.5" hidden="false" customHeight="false" outlineLevel="0" collapsed="false">
      <c r="A854" s="109" t="n">
        <v>854</v>
      </c>
      <c r="B854" s="110" t="str">
        <f aca="false">IFERROR(IF([1]对账明细接口!$B$854=0,"",[1]对账明细接口!$B$854),"")</f>
        <v/>
      </c>
      <c r="C854" s="59" t="str">
        <f aca="false">IFERROR(IF([1]对账明细接口!$C$854=0,"",[1]对账明细接口!$C$854),"")</f>
        <v/>
      </c>
      <c r="D854" s="59" t="str">
        <f aca="false">IFERROR(IF([1]对账明细接口!$D$854=0,"",[1]对账明细接口!$D$854),"")</f>
        <v/>
      </c>
      <c r="E854" s="59" t="str">
        <f aca="false">IFERROR(IF([1]对账明细接口!$E$854=0,"",[1]对账明细接口!$E$854),"")</f>
        <v/>
      </c>
      <c r="F854" s="59" t="str">
        <f aca="false">IFERROR(IF([1]对账明细接口!$F$854=0,"",[1]对账明细接口!$F$854),"")</f>
        <v/>
      </c>
      <c r="G854" s="59" t="str">
        <f aca="false">IFERROR(IF([1]对账明细接口!$G$854=0,"",[1]对账明细接口!$G$854),"")</f>
        <v/>
      </c>
      <c r="H854" s="60" t="str">
        <f aca="false">IFERROR(IF([1]对账明细接口!$H$854=0,"",[1]对账明细接口!$H$854),"")</f>
        <v/>
      </c>
      <c r="I854" s="59" t="str">
        <f aca="false">IFERROR(IF([1]对账明细接口!$I$854=0,"",[1]对账明细接口!$I$854),"")</f>
        <v/>
      </c>
      <c r="J854" s="61" t="str">
        <f aca="false">IFERROR(IF([1]对账明细接口!$J$854=0,"",[1]对账明细接口!$J$854),"")</f>
        <v/>
      </c>
      <c r="K854" s="61" t="str">
        <f aca="false">IFERROR(IF([1]对账明细接口!$K$854=0,"",[1]对账明细接口!$K$854),"")</f>
        <v/>
      </c>
      <c r="L854" s="59" t="str">
        <f aca="false">IFERROR(IF([1]对账明细接口!$L$854=0,"",[1]对账明细接口!$L$854),"")</f>
        <v/>
      </c>
      <c r="M854" s="59" t="str">
        <f aca="false">IFERROR(IF([1]对账明细接口!$M$854=0,"",[1]对账明细接口!$M$854),"")</f>
        <v/>
      </c>
      <c r="N854" s="111" t="n">
        <f aca="false">IF($C854="",0,1)</f>
        <v>0</v>
      </c>
      <c r="O854" s="111" t="n">
        <f aca="false">N(O853)+$N854</f>
        <v>110</v>
      </c>
      <c r="S854" s="10" t="str">
        <f aca="false">IFERROR(IF([1]对账明细接口!$N854=0,"",[1]对账明细接口!$N854),"")</f>
        <v/>
      </c>
      <c r="T854" s="112" t="str">
        <f aca="false">IFERROR(IF([1]对账明细接口!$O854=0,"",[1]对账明细接口!$O854),"")</f>
        <v/>
      </c>
      <c r="U854" s="112" t="str">
        <f aca="false">IFERROR(IF([1]对账明细接口!$P854=0,"",[1]对账明细接口!$P854),"")</f>
        <v/>
      </c>
      <c r="V854" s="112" t="str">
        <f aca="false">IFERROR(IF([1]对账明细接口!$Q854=0,"",[1]对账明细接口!$Q854),"")</f>
        <v/>
      </c>
      <c r="W854" s="10" t="str">
        <f aca="false">IFERROR(IF([1]对账明细接口!$R854=0,"",[1]对账明细接口!$R854),"")</f>
        <v/>
      </c>
      <c r="X854" s="10" t="str">
        <f aca="false">IFERROR(IF([1]对账明细接口!$S854=0,"",[1]对账明细接口!$S854),"")</f>
        <v/>
      </c>
      <c r="Y854" s="10" t="str">
        <f aca="false">""</f>
        <v/>
      </c>
      <c r="Z854" s="10" t="str">
        <f aca="false">""</f>
        <v/>
      </c>
      <c r="AA854" s="10" t="str">
        <f aca="false">""</f>
        <v/>
      </c>
      <c r="AB854" s="10" t="str">
        <f aca="false">""</f>
        <v/>
      </c>
    </row>
    <row r="855" customFormat="false" ht="13.5" hidden="false" customHeight="false" outlineLevel="0" collapsed="false">
      <c r="A855" s="109" t="n">
        <v>855</v>
      </c>
      <c r="B855" s="110" t="str">
        <f aca="false">IFERROR(IF([1]对账明细接口!$B$855=0,"",[1]对账明细接口!$B$855),"")</f>
        <v/>
      </c>
      <c r="C855" s="59" t="str">
        <f aca="false">IFERROR(IF([1]对账明细接口!$C$855=0,"",[1]对账明细接口!$C$855),"")</f>
        <v/>
      </c>
      <c r="D855" s="59" t="str">
        <f aca="false">IFERROR(IF([1]对账明细接口!$D$855=0,"",[1]对账明细接口!$D$855),"")</f>
        <v/>
      </c>
      <c r="E855" s="59" t="str">
        <f aca="false">IFERROR(IF([1]对账明细接口!$E$855=0,"",[1]对账明细接口!$E$855),"")</f>
        <v/>
      </c>
      <c r="F855" s="59" t="str">
        <f aca="false">IFERROR(IF([1]对账明细接口!$F$855=0,"",[1]对账明细接口!$F$855),"")</f>
        <v/>
      </c>
      <c r="G855" s="59" t="str">
        <f aca="false">IFERROR(IF([1]对账明细接口!$G$855=0,"",[1]对账明细接口!$G$855),"")</f>
        <v/>
      </c>
      <c r="H855" s="60" t="str">
        <f aca="false">IFERROR(IF([1]对账明细接口!$H$855=0,"",[1]对账明细接口!$H$855),"")</f>
        <v/>
      </c>
      <c r="I855" s="59" t="str">
        <f aca="false">IFERROR(IF([1]对账明细接口!$I$855=0,"",[1]对账明细接口!$I$855),"")</f>
        <v/>
      </c>
      <c r="J855" s="61" t="str">
        <f aca="false">IFERROR(IF([1]对账明细接口!$J$855=0,"",[1]对账明细接口!$J$855),"")</f>
        <v/>
      </c>
      <c r="K855" s="61" t="str">
        <f aca="false">IFERROR(IF([1]对账明细接口!$K$855=0,"",[1]对账明细接口!$K$855),"")</f>
        <v/>
      </c>
      <c r="L855" s="59" t="str">
        <f aca="false">IFERROR(IF([1]对账明细接口!$L$855=0,"",[1]对账明细接口!$L$855),"")</f>
        <v/>
      </c>
      <c r="M855" s="59" t="str">
        <f aca="false">IFERROR(IF([1]对账明细接口!$M$855=0,"",[1]对账明细接口!$M$855),"")</f>
        <v/>
      </c>
      <c r="N855" s="111" t="n">
        <f aca="false">IF($C855="",0,1)</f>
        <v>0</v>
      </c>
      <c r="O855" s="111" t="n">
        <f aca="false">N(O854)+$N855</f>
        <v>110</v>
      </c>
      <c r="S855" s="10" t="str">
        <f aca="false">IFERROR(IF([1]对账明细接口!$N855=0,"",[1]对账明细接口!$N855),"")</f>
        <v/>
      </c>
      <c r="T855" s="112" t="str">
        <f aca="false">IFERROR(IF([1]对账明细接口!$O855=0,"",[1]对账明细接口!$O855),"")</f>
        <v/>
      </c>
      <c r="U855" s="112" t="str">
        <f aca="false">IFERROR(IF([1]对账明细接口!$P855=0,"",[1]对账明细接口!$P855),"")</f>
        <v/>
      </c>
      <c r="V855" s="112" t="str">
        <f aca="false">IFERROR(IF([1]对账明细接口!$Q855=0,"",[1]对账明细接口!$Q855),"")</f>
        <v/>
      </c>
      <c r="W855" s="10" t="str">
        <f aca="false">IFERROR(IF([1]对账明细接口!$R855=0,"",[1]对账明细接口!$R855),"")</f>
        <v/>
      </c>
      <c r="X855" s="10" t="str">
        <f aca="false">IFERROR(IF([1]对账明细接口!$S855=0,"",[1]对账明细接口!$S855),"")</f>
        <v/>
      </c>
      <c r="Y855" s="10" t="str">
        <f aca="false">""</f>
        <v/>
      </c>
      <c r="Z855" s="10" t="str">
        <f aca="false">""</f>
        <v/>
      </c>
      <c r="AA855" s="10" t="str">
        <f aca="false">""</f>
        <v/>
      </c>
      <c r="AB855" s="10" t="str">
        <f aca="false">""</f>
        <v/>
      </c>
    </row>
    <row r="856" customFormat="false" ht="13.5" hidden="false" customHeight="false" outlineLevel="0" collapsed="false">
      <c r="A856" s="109" t="n">
        <v>856</v>
      </c>
      <c r="B856" s="110" t="str">
        <f aca="false">IFERROR(IF([1]对账明细接口!$B$856=0,"",[1]对账明细接口!$B$856),"")</f>
        <v/>
      </c>
      <c r="C856" s="59" t="str">
        <f aca="false">IFERROR(IF([1]对账明细接口!$C$856=0,"",[1]对账明细接口!$C$856),"")</f>
        <v/>
      </c>
      <c r="D856" s="59" t="str">
        <f aca="false">IFERROR(IF([1]对账明细接口!$D$856=0,"",[1]对账明细接口!$D$856),"")</f>
        <v/>
      </c>
      <c r="E856" s="59" t="str">
        <f aca="false">IFERROR(IF([1]对账明细接口!$E$856=0,"",[1]对账明细接口!$E$856),"")</f>
        <v/>
      </c>
      <c r="F856" s="59" t="str">
        <f aca="false">IFERROR(IF([1]对账明细接口!$F$856=0,"",[1]对账明细接口!$F$856),"")</f>
        <v/>
      </c>
      <c r="G856" s="59" t="str">
        <f aca="false">IFERROR(IF([1]对账明细接口!$G$856=0,"",[1]对账明细接口!$G$856),"")</f>
        <v/>
      </c>
      <c r="H856" s="60" t="str">
        <f aca="false">IFERROR(IF([1]对账明细接口!$H$856=0,"",[1]对账明细接口!$H$856),"")</f>
        <v/>
      </c>
      <c r="I856" s="59" t="str">
        <f aca="false">IFERROR(IF([1]对账明细接口!$I$856=0,"",[1]对账明细接口!$I$856),"")</f>
        <v/>
      </c>
      <c r="J856" s="61" t="str">
        <f aca="false">IFERROR(IF([1]对账明细接口!$J$856=0,"",[1]对账明细接口!$J$856),"")</f>
        <v/>
      </c>
      <c r="K856" s="61" t="str">
        <f aca="false">IFERROR(IF([1]对账明细接口!$K$856=0,"",[1]对账明细接口!$K$856),"")</f>
        <v/>
      </c>
      <c r="L856" s="59" t="str">
        <f aca="false">IFERROR(IF([1]对账明细接口!$L$856=0,"",[1]对账明细接口!$L$856),"")</f>
        <v/>
      </c>
      <c r="M856" s="59" t="str">
        <f aca="false">IFERROR(IF([1]对账明细接口!$M$856=0,"",[1]对账明细接口!$M$856),"")</f>
        <v/>
      </c>
      <c r="N856" s="111" t="n">
        <f aca="false">IF($C856="",0,1)</f>
        <v>0</v>
      </c>
      <c r="O856" s="111" t="n">
        <f aca="false">N(O855)+$N856</f>
        <v>110</v>
      </c>
      <c r="S856" s="10" t="str">
        <f aca="false">IFERROR(IF([1]对账明细接口!$N856=0,"",[1]对账明细接口!$N856),"")</f>
        <v/>
      </c>
      <c r="T856" s="112" t="str">
        <f aca="false">IFERROR(IF([1]对账明细接口!$O856=0,"",[1]对账明细接口!$O856),"")</f>
        <v/>
      </c>
      <c r="U856" s="112" t="str">
        <f aca="false">IFERROR(IF([1]对账明细接口!$P856=0,"",[1]对账明细接口!$P856),"")</f>
        <v/>
      </c>
      <c r="V856" s="112" t="str">
        <f aca="false">IFERROR(IF([1]对账明细接口!$Q856=0,"",[1]对账明细接口!$Q856),"")</f>
        <v/>
      </c>
      <c r="W856" s="10" t="str">
        <f aca="false">IFERROR(IF([1]对账明细接口!$R856=0,"",[1]对账明细接口!$R856),"")</f>
        <v/>
      </c>
      <c r="X856" s="10" t="str">
        <f aca="false">IFERROR(IF([1]对账明细接口!$S856=0,"",[1]对账明细接口!$S856),"")</f>
        <v/>
      </c>
      <c r="Y856" s="10" t="str">
        <f aca="false">""</f>
        <v/>
      </c>
      <c r="Z856" s="10" t="str">
        <f aca="false">""</f>
        <v/>
      </c>
      <c r="AA856" s="10" t="str">
        <f aca="false">""</f>
        <v/>
      </c>
      <c r="AB856" s="10" t="str">
        <f aca="false">""</f>
        <v/>
      </c>
    </row>
    <row r="857" customFormat="false" ht="13.5" hidden="false" customHeight="false" outlineLevel="0" collapsed="false">
      <c r="A857" s="109" t="n">
        <v>857</v>
      </c>
      <c r="B857" s="110" t="str">
        <f aca="false">IFERROR(IF([1]对账明细接口!$B$857=0,"",[1]对账明细接口!$B$857),"")</f>
        <v/>
      </c>
      <c r="C857" s="59" t="str">
        <f aca="false">IFERROR(IF([1]对账明细接口!$C$857=0,"",[1]对账明细接口!$C$857),"")</f>
        <v/>
      </c>
      <c r="D857" s="59" t="str">
        <f aca="false">IFERROR(IF([1]对账明细接口!$D$857=0,"",[1]对账明细接口!$D$857),"")</f>
        <v/>
      </c>
      <c r="E857" s="59" t="str">
        <f aca="false">IFERROR(IF([1]对账明细接口!$E$857=0,"",[1]对账明细接口!$E$857),"")</f>
        <v/>
      </c>
      <c r="F857" s="59" t="str">
        <f aca="false">IFERROR(IF([1]对账明细接口!$F$857=0,"",[1]对账明细接口!$F$857),"")</f>
        <v/>
      </c>
      <c r="G857" s="59" t="str">
        <f aca="false">IFERROR(IF([1]对账明细接口!$G$857=0,"",[1]对账明细接口!$G$857),"")</f>
        <v/>
      </c>
      <c r="H857" s="60" t="str">
        <f aca="false">IFERROR(IF([1]对账明细接口!$H$857=0,"",[1]对账明细接口!$H$857),"")</f>
        <v/>
      </c>
      <c r="I857" s="59" t="str">
        <f aca="false">IFERROR(IF([1]对账明细接口!$I$857=0,"",[1]对账明细接口!$I$857),"")</f>
        <v/>
      </c>
      <c r="J857" s="61" t="str">
        <f aca="false">IFERROR(IF([1]对账明细接口!$J$857=0,"",[1]对账明细接口!$J$857),"")</f>
        <v/>
      </c>
      <c r="K857" s="61" t="str">
        <f aca="false">IFERROR(IF([1]对账明细接口!$K$857=0,"",[1]对账明细接口!$K$857),"")</f>
        <v/>
      </c>
      <c r="L857" s="59" t="str">
        <f aca="false">IFERROR(IF([1]对账明细接口!$L$857=0,"",[1]对账明细接口!$L$857),"")</f>
        <v/>
      </c>
      <c r="M857" s="59" t="str">
        <f aca="false">IFERROR(IF([1]对账明细接口!$M$857=0,"",[1]对账明细接口!$M$857),"")</f>
        <v/>
      </c>
      <c r="N857" s="111" t="n">
        <f aca="false">IF($C857="",0,1)</f>
        <v>0</v>
      </c>
      <c r="O857" s="111" t="n">
        <f aca="false">N(O856)+$N857</f>
        <v>110</v>
      </c>
      <c r="S857" s="10" t="str">
        <f aca="false">IFERROR(IF([1]对账明细接口!$N857=0,"",[1]对账明细接口!$N857),"")</f>
        <v/>
      </c>
      <c r="T857" s="112" t="str">
        <f aca="false">IFERROR(IF([1]对账明细接口!$O857=0,"",[1]对账明细接口!$O857),"")</f>
        <v/>
      </c>
      <c r="U857" s="112" t="str">
        <f aca="false">IFERROR(IF([1]对账明细接口!$P857=0,"",[1]对账明细接口!$P857),"")</f>
        <v/>
      </c>
      <c r="V857" s="112" t="str">
        <f aca="false">IFERROR(IF([1]对账明细接口!$Q857=0,"",[1]对账明细接口!$Q857),"")</f>
        <v/>
      </c>
      <c r="W857" s="10" t="str">
        <f aca="false">IFERROR(IF([1]对账明细接口!$R857=0,"",[1]对账明细接口!$R857),"")</f>
        <v/>
      </c>
      <c r="X857" s="10" t="str">
        <f aca="false">IFERROR(IF([1]对账明细接口!$S857=0,"",[1]对账明细接口!$S857),"")</f>
        <v/>
      </c>
      <c r="Y857" s="10" t="str">
        <f aca="false">""</f>
        <v/>
      </c>
      <c r="Z857" s="10" t="str">
        <f aca="false">""</f>
        <v/>
      </c>
      <c r="AA857" s="10" t="str">
        <f aca="false">""</f>
        <v/>
      </c>
      <c r="AB857" s="10" t="str">
        <f aca="false">""</f>
        <v/>
      </c>
    </row>
    <row r="858" customFormat="false" ht="13.5" hidden="false" customHeight="false" outlineLevel="0" collapsed="false">
      <c r="A858" s="109" t="n">
        <v>858</v>
      </c>
      <c r="B858" s="110" t="str">
        <f aca="false">IFERROR(IF([1]对账明细接口!$B$858=0,"",[1]对账明细接口!$B$858),"")</f>
        <v/>
      </c>
      <c r="C858" s="59" t="str">
        <f aca="false">IFERROR(IF([1]对账明细接口!$C$858=0,"",[1]对账明细接口!$C$858),"")</f>
        <v/>
      </c>
      <c r="D858" s="59" t="str">
        <f aca="false">IFERROR(IF([1]对账明细接口!$D$858=0,"",[1]对账明细接口!$D$858),"")</f>
        <v/>
      </c>
      <c r="E858" s="59" t="str">
        <f aca="false">IFERROR(IF([1]对账明细接口!$E$858=0,"",[1]对账明细接口!$E$858),"")</f>
        <v/>
      </c>
      <c r="F858" s="59" t="str">
        <f aca="false">IFERROR(IF([1]对账明细接口!$F$858=0,"",[1]对账明细接口!$F$858),"")</f>
        <v/>
      </c>
      <c r="G858" s="59" t="str">
        <f aca="false">IFERROR(IF([1]对账明细接口!$G$858=0,"",[1]对账明细接口!$G$858),"")</f>
        <v/>
      </c>
      <c r="H858" s="60" t="str">
        <f aca="false">IFERROR(IF([1]对账明细接口!$H$858=0,"",[1]对账明细接口!$H$858),"")</f>
        <v/>
      </c>
      <c r="I858" s="59" t="str">
        <f aca="false">IFERROR(IF([1]对账明细接口!$I$858=0,"",[1]对账明细接口!$I$858),"")</f>
        <v/>
      </c>
      <c r="J858" s="61" t="str">
        <f aca="false">IFERROR(IF([1]对账明细接口!$J$858=0,"",[1]对账明细接口!$J$858),"")</f>
        <v/>
      </c>
      <c r="K858" s="61" t="str">
        <f aca="false">IFERROR(IF([1]对账明细接口!$K$858=0,"",[1]对账明细接口!$K$858),"")</f>
        <v/>
      </c>
      <c r="L858" s="59" t="str">
        <f aca="false">IFERROR(IF([1]对账明细接口!$L$858=0,"",[1]对账明细接口!$L$858),"")</f>
        <v/>
      </c>
      <c r="M858" s="59" t="str">
        <f aca="false">IFERROR(IF([1]对账明细接口!$M$858=0,"",[1]对账明细接口!$M$858),"")</f>
        <v/>
      </c>
      <c r="N858" s="111" t="n">
        <f aca="false">IF($C858="",0,1)</f>
        <v>0</v>
      </c>
      <c r="O858" s="111" t="n">
        <f aca="false">N(O857)+$N858</f>
        <v>110</v>
      </c>
      <c r="S858" s="10" t="str">
        <f aca="false">IFERROR(IF([1]对账明细接口!$N858=0,"",[1]对账明细接口!$N858),"")</f>
        <v/>
      </c>
      <c r="T858" s="112" t="str">
        <f aca="false">IFERROR(IF([1]对账明细接口!$O858=0,"",[1]对账明细接口!$O858),"")</f>
        <v/>
      </c>
      <c r="U858" s="112" t="str">
        <f aca="false">IFERROR(IF([1]对账明细接口!$P858=0,"",[1]对账明细接口!$P858),"")</f>
        <v/>
      </c>
      <c r="V858" s="112" t="str">
        <f aca="false">IFERROR(IF([1]对账明细接口!$Q858=0,"",[1]对账明细接口!$Q858),"")</f>
        <v/>
      </c>
      <c r="W858" s="10" t="str">
        <f aca="false">IFERROR(IF([1]对账明细接口!$R858=0,"",[1]对账明细接口!$R858),"")</f>
        <v/>
      </c>
      <c r="X858" s="10" t="str">
        <f aca="false">IFERROR(IF([1]对账明细接口!$S858=0,"",[1]对账明细接口!$S858),"")</f>
        <v/>
      </c>
      <c r="Y858" s="10" t="str">
        <f aca="false">""</f>
        <v/>
      </c>
      <c r="Z858" s="10" t="str">
        <f aca="false">""</f>
        <v/>
      </c>
      <c r="AA858" s="10" t="str">
        <f aca="false">""</f>
        <v/>
      </c>
      <c r="AB858" s="10" t="str">
        <f aca="false">""</f>
        <v/>
      </c>
    </row>
    <row r="859" customFormat="false" ht="13.5" hidden="false" customHeight="false" outlineLevel="0" collapsed="false">
      <c r="A859" s="109" t="n">
        <v>859</v>
      </c>
      <c r="B859" s="110" t="str">
        <f aca="false">IFERROR(IF([1]对账明细接口!$B$859=0,"",[1]对账明细接口!$B$859),"")</f>
        <v/>
      </c>
      <c r="C859" s="59" t="str">
        <f aca="false">IFERROR(IF([1]对账明细接口!$C$859=0,"",[1]对账明细接口!$C$859),"")</f>
        <v/>
      </c>
      <c r="D859" s="59" t="str">
        <f aca="false">IFERROR(IF([1]对账明细接口!$D$859=0,"",[1]对账明细接口!$D$859),"")</f>
        <v/>
      </c>
      <c r="E859" s="59" t="str">
        <f aca="false">IFERROR(IF([1]对账明细接口!$E$859=0,"",[1]对账明细接口!$E$859),"")</f>
        <v/>
      </c>
      <c r="F859" s="59" t="str">
        <f aca="false">IFERROR(IF([1]对账明细接口!$F$859=0,"",[1]对账明细接口!$F$859),"")</f>
        <v/>
      </c>
      <c r="G859" s="59" t="str">
        <f aca="false">IFERROR(IF([1]对账明细接口!$G$859=0,"",[1]对账明细接口!$G$859),"")</f>
        <v/>
      </c>
      <c r="H859" s="60" t="str">
        <f aca="false">IFERROR(IF([1]对账明细接口!$H$859=0,"",[1]对账明细接口!$H$859),"")</f>
        <v/>
      </c>
      <c r="I859" s="59" t="str">
        <f aca="false">IFERROR(IF([1]对账明细接口!$I$859=0,"",[1]对账明细接口!$I$859),"")</f>
        <v/>
      </c>
      <c r="J859" s="61" t="str">
        <f aca="false">IFERROR(IF([1]对账明细接口!$J$859=0,"",[1]对账明细接口!$J$859),"")</f>
        <v/>
      </c>
      <c r="K859" s="61" t="str">
        <f aca="false">IFERROR(IF([1]对账明细接口!$K$859=0,"",[1]对账明细接口!$K$859),"")</f>
        <v/>
      </c>
      <c r="L859" s="59" t="str">
        <f aca="false">IFERROR(IF([1]对账明细接口!$L$859=0,"",[1]对账明细接口!$L$859),"")</f>
        <v/>
      </c>
      <c r="M859" s="59" t="str">
        <f aca="false">IFERROR(IF([1]对账明细接口!$M$859=0,"",[1]对账明细接口!$M$859),"")</f>
        <v/>
      </c>
      <c r="N859" s="111" t="n">
        <f aca="false">IF($C859="",0,1)</f>
        <v>0</v>
      </c>
      <c r="O859" s="111" t="n">
        <f aca="false">N(O858)+$N859</f>
        <v>110</v>
      </c>
      <c r="S859" s="10" t="str">
        <f aca="false">IFERROR(IF([1]对账明细接口!$N859=0,"",[1]对账明细接口!$N859),"")</f>
        <v/>
      </c>
      <c r="T859" s="112" t="str">
        <f aca="false">IFERROR(IF([1]对账明细接口!$O859=0,"",[1]对账明细接口!$O859),"")</f>
        <v/>
      </c>
      <c r="U859" s="112" t="str">
        <f aca="false">IFERROR(IF([1]对账明细接口!$P859=0,"",[1]对账明细接口!$P859),"")</f>
        <v/>
      </c>
      <c r="V859" s="112" t="str">
        <f aca="false">IFERROR(IF([1]对账明细接口!$Q859=0,"",[1]对账明细接口!$Q859),"")</f>
        <v/>
      </c>
      <c r="W859" s="10" t="str">
        <f aca="false">IFERROR(IF([1]对账明细接口!$R859=0,"",[1]对账明细接口!$R859),"")</f>
        <v/>
      </c>
      <c r="X859" s="10" t="str">
        <f aca="false">IFERROR(IF([1]对账明细接口!$S859=0,"",[1]对账明细接口!$S859),"")</f>
        <v/>
      </c>
      <c r="Y859" s="10" t="str">
        <f aca="false">""</f>
        <v/>
      </c>
      <c r="Z859" s="10" t="str">
        <f aca="false">""</f>
        <v/>
      </c>
      <c r="AA859" s="10" t="str">
        <f aca="false">""</f>
        <v/>
      </c>
      <c r="AB859" s="10" t="str">
        <f aca="false">""</f>
        <v/>
      </c>
    </row>
    <row r="860" customFormat="false" ht="13.5" hidden="false" customHeight="false" outlineLevel="0" collapsed="false">
      <c r="A860" s="109" t="n">
        <v>860</v>
      </c>
      <c r="B860" s="110" t="str">
        <f aca="false">IFERROR(IF([1]对账明细接口!$B$860=0,"",[1]对账明细接口!$B$860),"")</f>
        <v/>
      </c>
      <c r="C860" s="59" t="str">
        <f aca="false">IFERROR(IF([1]对账明细接口!$C$860=0,"",[1]对账明细接口!$C$860),"")</f>
        <v/>
      </c>
      <c r="D860" s="59" t="str">
        <f aca="false">IFERROR(IF([1]对账明细接口!$D$860=0,"",[1]对账明细接口!$D$860),"")</f>
        <v/>
      </c>
      <c r="E860" s="59" t="str">
        <f aca="false">IFERROR(IF([1]对账明细接口!$E$860=0,"",[1]对账明细接口!$E$860),"")</f>
        <v/>
      </c>
      <c r="F860" s="59" t="str">
        <f aca="false">IFERROR(IF([1]对账明细接口!$F$860=0,"",[1]对账明细接口!$F$860),"")</f>
        <v/>
      </c>
      <c r="G860" s="59" t="str">
        <f aca="false">IFERROR(IF([1]对账明细接口!$G$860=0,"",[1]对账明细接口!$G$860),"")</f>
        <v/>
      </c>
      <c r="H860" s="60" t="str">
        <f aca="false">IFERROR(IF([1]对账明细接口!$H$860=0,"",[1]对账明细接口!$H$860),"")</f>
        <v/>
      </c>
      <c r="I860" s="59" t="str">
        <f aca="false">IFERROR(IF([1]对账明细接口!$I$860=0,"",[1]对账明细接口!$I$860),"")</f>
        <v/>
      </c>
      <c r="J860" s="61" t="str">
        <f aca="false">IFERROR(IF([1]对账明细接口!$J$860=0,"",[1]对账明细接口!$J$860),"")</f>
        <v/>
      </c>
      <c r="K860" s="61" t="str">
        <f aca="false">IFERROR(IF([1]对账明细接口!$K$860=0,"",[1]对账明细接口!$K$860),"")</f>
        <v/>
      </c>
      <c r="L860" s="59" t="str">
        <f aca="false">IFERROR(IF([1]对账明细接口!$L$860=0,"",[1]对账明细接口!$L$860),"")</f>
        <v/>
      </c>
      <c r="M860" s="59" t="str">
        <f aca="false">IFERROR(IF([1]对账明细接口!$M$860=0,"",[1]对账明细接口!$M$860),"")</f>
        <v/>
      </c>
      <c r="N860" s="111" t="n">
        <f aca="false">IF($C860="",0,1)</f>
        <v>0</v>
      </c>
      <c r="O860" s="111" t="n">
        <f aca="false">N(O859)+$N860</f>
        <v>110</v>
      </c>
      <c r="S860" s="10" t="str">
        <f aca="false">IFERROR(IF([1]对账明细接口!$N860=0,"",[1]对账明细接口!$N860),"")</f>
        <v/>
      </c>
      <c r="T860" s="112" t="str">
        <f aca="false">IFERROR(IF([1]对账明细接口!$O860=0,"",[1]对账明细接口!$O860),"")</f>
        <v/>
      </c>
      <c r="U860" s="112" t="str">
        <f aca="false">IFERROR(IF([1]对账明细接口!$P860=0,"",[1]对账明细接口!$P860),"")</f>
        <v/>
      </c>
      <c r="V860" s="112" t="str">
        <f aca="false">IFERROR(IF([1]对账明细接口!$Q860=0,"",[1]对账明细接口!$Q860),"")</f>
        <v/>
      </c>
      <c r="W860" s="10" t="str">
        <f aca="false">IFERROR(IF([1]对账明细接口!$R860=0,"",[1]对账明细接口!$R860),"")</f>
        <v/>
      </c>
      <c r="X860" s="10" t="str">
        <f aca="false">IFERROR(IF([1]对账明细接口!$S860=0,"",[1]对账明细接口!$S860),"")</f>
        <v/>
      </c>
      <c r="Y860" s="10" t="str">
        <f aca="false">""</f>
        <v/>
      </c>
      <c r="Z860" s="10" t="str">
        <f aca="false">""</f>
        <v/>
      </c>
      <c r="AA860" s="10" t="str">
        <f aca="false">""</f>
        <v/>
      </c>
      <c r="AB860" s="10" t="str">
        <f aca="false">""</f>
        <v/>
      </c>
    </row>
    <row r="861" customFormat="false" ht="13.5" hidden="false" customHeight="false" outlineLevel="0" collapsed="false">
      <c r="A861" s="109" t="n">
        <v>861</v>
      </c>
      <c r="B861" s="110" t="str">
        <f aca="false">IFERROR(IF([1]对账明细接口!$B$861=0,"",[1]对账明细接口!$B$861),"")</f>
        <v/>
      </c>
      <c r="C861" s="59" t="str">
        <f aca="false">IFERROR(IF([1]对账明细接口!$C$861=0,"",[1]对账明细接口!$C$861),"")</f>
        <v/>
      </c>
      <c r="D861" s="59" t="str">
        <f aca="false">IFERROR(IF([1]对账明细接口!$D$861=0,"",[1]对账明细接口!$D$861),"")</f>
        <v/>
      </c>
      <c r="E861" s="59" t="str">
        <f aca="false">IFERROR(IF([1]对账明细接口!$E$861=0,"",[1]对账明细接口!$E$861),"")</f>
        <v/>
      </c>
      <c r="F861" s="59" t="str">
        <f aca="false">IFERROR(IF([1]对账明细接口!$F$861=0,"",[1]对账明细接口!$F$861),"")</f>
        <v/>
      </c>
      <c r="G861" s="59" t="str">
        <f aca="false">IFERROR(IF([1]对账明细接口!$G$861=0,"",[1]对账明细接口!$G$861),"")</f>
        <v/>
      </c>
      <c r="H861" s="60" t="str">
        <f aca="false">IFERROR(IF([1]对账明细接口!$H$861=0,"",[1]对账明细接口!$H$861),"")</f>
        <v/>
      </c>
      <c r="I861" s="59" t="str">
        <f aca="false">IFERROR(IF([1]对账明细接口!$I$861=0,"",[1]对账明细接口!$I$861),"")</f>
        <v/>
      </c>
      <c r="J861" s="61" t="str">
        <f aca="false">IFERROR(IF([1]对账明细接口!$J$861=0,"",[1]对账明细接口!$J$861),"")</f>
        <v/>
      </c>
      <c r="K861" s="61" t="str">
        <f aca="false">IFERROR(IF([1]对账明细接口!$K$861=0,"",[1]对账明细接口!$K$861),"")</f>
        <v/>
      </c>
      <c r="L861" s="59" t="str">
        <f aca="false">IFERROR(IF([1]对账明细接口!$L$861=0,"",[1]对账明细接口!$L$861),"")</f>
        <v/>
      </c>
      <c r="M861" s="59" t="str">
        <f aca="false">IFERROR(IF([1]对账明细接口!$M$861=0,"",[1]对账明细接口!$M$861),"")</f>
        <v/>
      </c>
      <c r="N861" s="111" t="n">
        <f aca="false">IF($C861="",0,1)</f>
        <v>0</v>
      </c>
      <c r="O861" s="111" t="n">
        <f aca="false">N(O860)+$N861</f>
        <v>110</v>
      </c>
      <c r="S861" s="10" t="str">
        <f aca="false">IFERROR(IF([1]对账明细接口!$N861=0,"",[1]对账明细接口!$N861),"")</f>
        <v/>
      </c>
      <c r="T861" s="112" t="str">
        <f aca="false">IFERROR(IF([1]对账明细接口!$O861=0,"",[1]对账明细接口!$O861),"")</f>
        <v/>
      </c>
      <c r="U861" s="112" t="str">
        <f aca="false">IFERROR(IF([1]对账明细接口!$P861=0,"",[1]对账明细接口!$P861),"")</f>
        <v/>
      </c>
      <c r="V861" s="112" t="str">
        <f aca="false">IFERROR(IF([1]对账明细接口!$Q861=0,"",[1]对账明细接口!$Q861),"")</f>
        <v/>
      </c>
      <c r="W861" s="10" t="str">
        <f aca="false">IFERROR(IF([1]对账明细接口!$R861=0,"",[1]对账明细接口!$R861),"")</f>
        <v/>
      </c>
      <c r="X861" s="10" t="str">
        <f aca="false">IFERROR(IF([1]对账明细接口!$S861=0,"",[1]对账明细接口!$S861),"")</f>
        <v/>
      </c>
      <c r="Y861" s="10" t="str">
        <f aca="false">""</f>
        <v/>
      </c>
      <c r="Z861" s="10" t="str">
        <f aca="false">""</f>
        <v/>
      </c>
      <c r="AA861" s="10" t="str">
        <f aca="false">""</f>
        <v/>
      </c>
      <c r="AB861" s="10" t="str">
        <f aca="false">""</f>
        <v/>
      </c>
    </row>
    <row r="862" customFormat="false" ht="13.5" hidden="false" customHeight="false" outlineLevel="0" collapsed="false">
      <c r="A862" s="109" t="n">
        <v>862</v>
      </c>
      <c r="B862" s="110" t="str">
        <f aca="false">IFERROR(IF([1]对账明细接口!$B$862=0,"",[1]对账明细接口!$B$862),"")</f>
        <v/>
      </c>
      <c r="C862" s="59" t="str">
        <f aca="false">IFERROR(IF([1]对账明细接口!$C$862=0,"",[1]对账明细接口!$C$862),"")</f>
        <v/>
      </c>
      <c r="D862" s="59" t="str">
        <f aca="false">IFERROR(IF([1]对账明细接口!$D$862=0,"",[1]对账明细接口!$D$862),"")</f>
        <v/>
      </c>
      <c r="E862" s="59" t="str">
        <f aca="false">IFERROR(IF([1]对账明细接口!$E$862=0,"",[1]对账明细接口!$E$862),"")</f>
        <v/>
      </c>
      <c r="F862" s="59" t="str">
        <f aca="false">IFERROR(IF([1]对账明细接口!$F$862=0,"",[1]对账明细接口!$F$862),"")</f>
        <v/>
      </c>
      <c r="G862" s="59" t="str">
        <f aca="false">IFERROR(IF([1]对账明细接口!$G$862=0,"",[1]对账明细接口!$G$862),"")</f>
        <v/>
      </c>
      <c r="H862" s="60" t="str">
        <f aca="false">IFERROR(IF([1]对账明细接口!$H$862=0,"",[1]对账明细接口!$H$862),"")</f>
        <v/>
      </c>
      <c r="I862" s="59" t="str">
        <f aca="false">IFERROR(IF([1]对账明细接口!$I$862=0,"",[1]对账明细接口!$I$862),"")</f>
        <v/>
      </c>
      <c r="J862" s="61" t="str">
        <f aca="false">IFERROR(IF([1]对账明细接口!$J$862=0,"",[1]对账明细接口!$J$862),"")</f>
        <v/>
      </c>
      <c r="K862" s="61" t="str">
        <f aca="false">IFERROR(IF([1]对账明细接口!$K$862=0,"",[1]对账明细接口!$K$862),"")</f>
        <v/>
      </c>
      <c r="L862" s="59" t="str">
        <f aca="false">IFERROR(IF([1]对账明细接口!$L$862=0,"",[1]对账明细接口!$L$862),"")</f>
        <v/>
      </c>
      <c r="M862" s="59" t="str">
        <f aca="false">IFERROR(IF([1]对账明细接口!$M$862=0,"",[1]对账明细接口!$M$862),"")</f>
        <v/>
      </c>
      <c r="N862" s="111" t="n">
        <f aca="false">IF($C862="",0,1)</f>
        <v>0</v>
      </c>
      <c r="O862" s="111" t="n">
        <f aca="false">N(O861)+$N862</f>
        <v>110</v>
      </c>
      <c r="S862" s="10" t="str">
        <f aca="false">IFERROR(IF([1]对账明细接口!$N862=0,"",[1]对账明细接口!$N862),"")</f>
        <v/>
      </c>
      <c r="T862" s="112" t="str">
        <f aca="false">IFERROR(IF([1]对账明细接口!$O862=0,"",[1]对账明细接口!$O862),"")</f>
        <v/>
      </c>
      <c r="U862" s="112" t="str">
        <f aca="false">IFERROR(IF([1]对账明细接口!$P862=0,"",[1]对账明细接口!$P862),"")</f>
        <v/>
      </c>
      <c r="V862" s="112" t="str">
        <f aca="false">IFERROR(IF([1]对账明细接口!$Q862=0,"",[1]对账明细接口!$Q862),"")</f>
        <v/>
      </c>
      <c r="W862" s="10" t="str">
        <f aca="false">IFERROR(IF([1]对账明细接口!$R862=0,"",[1]对账明细接口!$R862),"")</f>
        <v/>
      </c>
      <c r="X862" s="10" t="str">
        <f aca="false">IFERROR(IF([1]对账明细接口!$S862=0,"",[1]对账明细接口!$S862),"")</f>
        <v/>
      </c>
      <c r="Y862" s="10" t="str">
        <f aca="false">""</f>
        <v/>
      </c>
      <c r="Z862" s="10" t="str">
        <f aca="false">""</f>
        <v/>
      </c>
      <c r="AA862" s="10" t="str">
        <f aca="false">""</f>
        <v/>
      </c>
      <c r="AB862" s="10" t="str">
        <f aca="false">""</f>
        <v/>
      </c>
    </row>
    <row r="863" customFormat="false" ht="13.5" hidden="false" customHeight="false" outlineLevel="0" collapsed="false">
      <c r="A863" s="109" t="n">
        <v>863</v>
      </c>
      <c r="B863" s="110" t="str">
        <f aca="false">IFERROR(IF([1]对账明细接口!$B$863=0,"",[1]对账明细接口!$B$863),"")</f>
        <v/>
      </c>
      <c r="C863" s="59" t="str">
        <f aca="false">IFERROR(IF([1]对账明细接口!$C$863=0,"",[1]对账明细接口!$C$863),"")</f>
        <v/>
      </c>
      <c r="D863" s="59" t="str">
        <f aca="false">IFERROR(IF([1]对账明细接口!$D$863=0,"",[1]对账明细接口!$D$863),"")</f>
        <v/>
      </c>
      <c r="E863" s="59" t="str">
        <f aca="false">IFERROR(IF([1]对账明细接口!$E$863=0,"",[1]对账明细接口!$E$863),"")</f>
        <v/>
      </c>
      <c r="F863" s="59" t="str">
        <f aca="false">IFERROR(IF([1]对账明细接口!$F$863=0,"",[1]对账明细接口!$F$863),"")</f>
        <v/>
      </c>
      <c r="G863" s="59" t="str">
        <f aca="false">IFERROR(IF([1]对账明细接口!$G$863=0,"",[1]对账明细接口!$G$863),"")</f>
        <v/>
      </c>
      <c r="H863" s="60" t="str">
        <f aca="false">IFERROR(IF([1]对账明细接口!$H$863=0,"",[1]对账明细接口!$H$863),"")</f>
        <v/>
      </c>
      <c r="I863" s="59" t="str">
        <f aca="false">IFERROR(IF([1]对账明细接口!$I$863=0,"",[1]对账明细接口!$I$863),"")</f>
        <v/>
      </c>
      <c r="J863" s="61" t="str">
        <f aca="false">IFERROR(IF([1]对账明细接口!$J$863=0,"",[1]对账明细接口!$J$863),"")</f>
        <v/>
      </c>
      <c r="K863" s="61" t="str">
        <f aca="false">IFERROR(IF([1]对账明细接口!$K$863=0,"",[1]对账明细接口!$K$863),"")</f>
        <v/>
      </c>
      <c r="L863" s="59" t="str">
        <f aca="false">IFERROR(IF([1]对账明细接口!$L$863=0,"",[1]对账明细接口!$L$863),"")</f>
        <v/>
      </c>
      <c r="M863" s="59" t="str">
        <f aca="false">IFERROR(IF([1]对账明细接口!$M$863=0,"",[1]对账明细接口!$M$863),"")</f>
        <v/>
      </c>
      <c r="N863" s="111" t="n">
        <f aca="false">IF($C863="",0,1)</f>
        <v>0</v>
      </c>
      <c r="O863" s="111" t="n">
        <f aca="false">N(O862)+$N863</f>
        <v>110</v>
      </c>
      <c r="S863" s="10" t="str">
        <f aca="false">IFERROR(IF([1]对账明细接口!$N863=0,"",[1]对账明细接口!$N863),"")</f>
        <v/>
      </c>
      <c r="T863" s="112" t="str">
        <f aca="false">IFERROR(IF([1]对账明细接口!$O863=0,"",[1]对账明细接口!$O863),"")</f>
        <v/>
      </c>
      <c r="U863" s="112" t="str">
        <f aca="false">IFERROR(IF([1]对账明细接口!$P863=0,"",[1]对账明细接口!$P863),"")</f>
        <v/>
      </c>
      <c r="V863" s="112" t="str">
        <f aca="false">IFERROR(IF([1]对账明细接口!$Q863=0,"",[1]对账明细接口!$Q863),"")</f>
        <v/>
      </c>
      <c r="W863" s="10" t="str">
        <f aca="false">IFERROR(IF([1]对账明细接口!$R863=0,"",[1]对账明细接口!$R863),"")</f>
        <v/>
      </c>
      <c r="X863" s="10" t="str">
        <f aca="false">IFERROR(IF([1]对账明细接口!$S863=0,"",[1]对账明细接口!$S863),"")</f>
        <v/>
      </c>
      <c r="Y863" s="10" t="str">
        <f aca="false">""</f>
        <v/>
      </c>
      <c r="Z863" s="10" t="str">
        <f aca="false">""</f>
        <v/>
      </c>
      <c r="AA863" s="10" t="str">
        <f aca="false">""</f>
        <v/>
      </c>
      <c r="AB863" s="10" t="str">
        <f aca="false">""</f>
        <v/>
      </c>
    </row>
    <row r="864" customFormat="false" ht="13.5" hidden="false" customHeight="false" outlineLevel="0" collapsed="false">
      <c r="A864" s="109" t="n">
        <v>864</v>
      </c>
      <c r="B864" s="110" t="str">
        <f aca="false">IFERROR(IF([1]对账明细接口!$B$864=0,"",[1]对账明细接口!$B$864),"")</f>
        <v/>
      </c>
      <c r="C864" s="59" t="str">
        <f aca="false">IFERROR(IF([1]对账明细接口!$C$864=0,"",[1]对账明细接口!$C$864),"")</f>
        <v/>
      </c>
      <c r="D864" s="59" t="str">
        <f aca="false">IFERROR(IF([1]对账明细接口!$D$864=0,"",[1]对账明细接口!$D$864),"")</f>
        <v/>
      </c>
      <c r="E864" s="59" t="str">
        <f aca="false">IFERROR(IF([1]对账明细接口!$E$864=0,"",[1]对账明细接口!$E$864),"")</f>
        <v/>
      </c>
      <c r="F864" s="59" t="str">
        <f aca="false">IFERROR(IF([1]对账明细接口!$F$864=0,"",[1]对账明细接口!$F$864),"")</f>
        <v/>
      </c>
      <c r="G864" s="59" t="str">
        <f aca="false">IFERROR(IF([1]对账明细接口!$G$864=0,"",[1]对账明细接口!$G$864),"")</f>
        <v/>
      </c>
      <c r="H864" s="60" t="str">
        <f aca="false">IFERROR(IF([1]对账明细接口!$H$864=0,"",[1]对账明细接口!$H$864),"")</f>
        <v/>
      </c>
      <c r="I864" s="59" t="str">
        <f aca="false">IFERROR(IF([1]对账明细接口!$I$864=0,"",[1]对账明细接口!$I$864),"")</f>
        <v/>
      </c>
      <c r="J864" s="61" t="str">
        <f aca="false">IFERROR(IF([1]对账明细接口!$J$864=0,"",[1]对账明细接口!$J$864),"")</f>
        <v/>
      </c>
      <c r="K864" s="61" t="str">
        <f aca="false">IFERROR(IF([1]对账明细接口!$K$864=0,"",[1]对账明细接口!$K$864),"")</f>
        <v/>
      </c>
      <c r="L864" s="59" t="str">
        <f aca="false">IFERROR(IF([1]对账明细接口!$L$864=0,"",[1]对账明细接口!$L$864),"")</f>
        <v/>
      </c>
      <c r="M864" s="59" t="str">
        <f aca="false">IFERROR(IF([1]对账明细接口!$M$864=0,"",[1]对账明细接口!$M$864),"")</f>
        <v/>
      </c>
      <c r="N864" s="111" t="n">
        <f aca="false">IF($C864="",0,1)</f>
        <v>0</v>
      </c>
      <c r="O864" s="111" t="n">
        <f aca="false">N(O863)+$N864</f>
        <v>110</v>
      </c>
      <c r="S864" s="10" t="str">
        <f aca="false">IFERROR(IF([1]对账明细接口!$N864=0,"",[1]对账明细接口!$N864),"")</f>
        <v/>
      </c>
      <c r="T864" s="112" t="str">
        <f aca="false">IFERROR(IF([1]对账明细接口!$O864=0,"",[1]对账明细接口!$O864),"")</f>
        <v/>
      </c>
      <c r="U864" s="112" t="str">
        <f aca="false">IFERROR(IF([1]对账明细接口!$P864=0,"",[1]对账明细接口!$P864),"")</f>
        <v/>
      </c>
      <c r="V864" s="112" t="str">
        <f aca="false">IFERROR(IF([1]对账明细接口!$Q864=0,"",[1]对账明细接口!$Q864),"")</f>
        <v/>
      </c>
      <c r="W864" s="10" t="str">
        <f aca="false">IFERROR(IF([1]对账明细接口!$R864=0,"",[1]对账明细接口!$R864),"")</f>
        <v/>
      </c>
      <c r="X864" s="10" t="str">
        <f aca="false">IFERROR(IF([1]对账明细接口!$S864=0,"",[1]对账明细接口!$S864),"")</f>
        <v/>
      </c>
      <c r="Y864" s="10" t="str">
        <f aca="false">""</f>
        <v/>
      </c>
      <c r="Z864" s="10" t="str">
        <f aca="false">""</f>
        <v/>
      </c>
      <c r="AA864" s="10" t="str">
        <f aca="false">""</f>
        <v/>
      </c>
      <c r="AB864" s="10" t="str">
        <f aca="false">""</f>
        <v/>
      </c>
    </row>
    <row r="865" customFormat="false" ht="13.5" hidden="false" customHeight="false" outlineLevel="0" collapsed="false">
      <c r="A865" s="109" t="n">
        <v>865</v>
      </c>
      <c r="B865" s="110" t="str">
        <f aca="false">IFERROR(IF([1]对账明细接口!$B$865=0,"",[1]对账明细接口!$B$865),"")</f>
        <v/>
      </c>
      <c r="C865" s="59" t="str">
        <f aca="false">IFERROR(IF([1]对账明细接口!$C$865=0,"",[1]对账明细接口!$C$865),"")</f>
        <v/>
      </c>
      <c r="D865" s="59" t="str">
        <f aca="false">IFERROR(IF([1]对账明细接口!$D$865=0,"",[1]对账明细接口!$D$865),"")</f>
        <v/>
      </c>
      <c r="E865" s="59" t="str">
        <f aca="false">IFERROR(IF([1]对账明细接口!$E$865=0,"",[1]对账明细接口!$E$865),"")</f>
        <v/>
      </c>
      <c r="F865" s="59" t="str">
        <f aca="false">IFERROR(IF([1]对账明细接口!$F$865=0,"",[1]对账明细接口!$F$865),"")</f>
        <v/>
      </c>
      <c r="G865" s="59" t="str">
        <f aca="false">IFERROR(IF([1]对账明细接口!$G$865=0,"",[1]对账明细接口!$G$865),"")</f>
        <v/>
      </c>
      <c r="H865" s="60" t="str">
        <f aca="false">IFERROR(IF([1]对账明细接口!$H$865=0,"",[1]对账明细接口!$H$865),"")</f>
        <v/>
      </c>
      <c r="I865" s="59" t="str">
        <f aca="false">IFERROR(IF([1]对账明细接口!$I$865=0,"",[1]对账明细接口!$I$865),"")</f>
        <v/>
      </c>
      <c r="J865" s="61" t="str">
        <f aca="false">IFERROR(IF([1]对账明细接口!$J$865=0,"",[1]对账明细接口!$J$865),"")</f>
        <v/>
      </c>
      <c r="K865" s="61" t="str">
        <f aca="false">IFERROR(IF([1]对账明细接口!$K$865=0,"",[1]对账明细接口!$K$865),"")</f>
        <v/>
      </c>
      <c r="L865" s="59" t="str">
        <f aca="false">IFERROR(IF([1]对账明细接口!$L$865=0,"",[1]对账明细接口!$L$865),"")</f>
        <v/>
      </c>
      <c r="M865" s="59" t="str">
        <f aca="false">IFERROR(IF([1]对账明细接口!$M$865=0,"",[1]对账明细接口!$M$865),"")</f>
        <v/>
      </c>
      <c r="N865" s="111" t="n">
        <f aca="false">IF($C865="",0,1)</f>
        <v>0</v>
      </c>
      <c r="O865" s="111" t="n">
        <f aca="false">N(O864)+$N865</f>
        <v>110</v>
      </c>
      <c r="S865" s="10" t="str">
        <f aca="false">IFERROR(IF([1]对账明细接口!$N865=0,"",[1]对账明细接口!$N865),"")</f>
        <v/>
      </c>
      <c r="T865" s="112" t="str">
        <f aca="false">IFERROR(IF([1]对账明细接口!$O865=0,"",[1]对账明细接口!$O865),"")</f>
        <v/>
      </c>
      <c r="U865" s="112" t="str">
        <f aca="false">IFERROR(IF([1]对账明细接口!$P865=0,"",[1]对账明细接口!$P865),"")</f>
        <v/>
      </c>
      <c r="V865" s="112" t="str">
        <f aca="false">IFERROR(IF([1]对账明细接口!$Q865=0,"",[1]对账明细接口!$Q865),"")</f>
        <v/>
      </c>
      <c r="W865" s="10" t="str">
        <f aca="false">IFERROR(IF([1]对账明细接口!$R865=0,"",[1]对账明细接口!$R865),"")</f>
        <v/>
      </c>
      <c r="X865" s="10" t="str">
        <f aca="false">IFERROR(IF([1]对账明细接口!$S865=0,"",[1]对账明细接口!$S865),"")</f>
        <v/>
      </c>
      <c r="Y865" s="10" t="str">
        <f aca="false">""</f>
        <v/>
      </c>
      <c r="Z865" s="10" t="str">
        <f aca="false">""</f>
        <v/>
      </c>
      <c r="AA865" s="10" t="str">
        <f aca="false">""</f>
        <v/>
      </c>
      <c r="AB865" s="10" t="str">
        <f aca="false">""</f>
        <v/>
      </c>
    </row>
    <row r="866" customFormat="false" ht="13.5" hidden="false" customHeight="false" outlineLevel="0" collapsed="false">
      <c r="A866" s="109" t="n">
        <v>866</v>
      </c>
      <c r="B866" s="110" t="str">
        <f aca="false">IFERROR(IF([1]对账明细接口!$B$866=0,"",[1]对账明细接口!$B$866),"")</f>
        <v/>
      </c>
      <c r="C866" s="59" t="str">
        <f aca="false">IFERROR(IF([1]对账明细接口!$C$866=0,"",[1]对账明细接口!$C$866),"")</f>
        <v/>
      </c>
      <c r="D866" s="59" t="str">
        <f aca="false">IFERROR(IF([1]对账明细接口!$D$866=0,"",[1]对账明细接口!$D$866),"")</f>
        <v/>
      </c>
      <c r="E866" s="59" t="str">
        <f aca="false">IFERROR(IF([1]对账明细接口!$E$866=0,"",[1]对账明细接口!$E$866),"")</f>
        <v/>
      </c>
      <c r="F866" s="59" t="str">
        <f aca="false">IFERROR(IF([1]对账明细接口!$F$866=0,"",[1]对账明细接口!$F$866),"")</f>
        <v/>
      </c>
      <c r="G866" s="59" t="str">
        <f aca="false">IFERROR(IF([1]对账明细接口!$G$866=0,"",[1]对账明细接口!$G$866),"")</f>
        <v/>
      </c>
      <c r="H866" s="60" t="str">
        <f aca="false">IFERROR(IF([1]对账明细接口!$H$866=0,"",[1]对账明细接口!$H$866),"")</f>
        <v/>
      </c>
      <c r="I866" s="59" t="str">
        <f aca="false">IFERROR(IF([1]对账明细接口!$I$866=0,"",[1]对账明细接口!$I$866),"")</f>
        <v/>
      </c>
      <c r="J866" s="61" t="str">
        <f aca="false">IFERROR(IF([1]对账明细接口!$J$866=0,"",[1]对账明细接口!$J$866),"")</f>
        <v/>
      </c>
      <c r="K866" s="61" t="str">
        <f aca="false">IFERROR(IF([1]对账明细接口!$K$866=0,"",[1]对账明细接口!$K$866),"")</f>
        <v/>
      </c>
      <c r="L866" s="59" t="str">
        <f aca="false">IFERROR(IF([1]对账明细接口!$L$866=0,"",[1]对账明细接口!$L$866),"")</f>
        <v/>
      </c>
      <c r="M866" s="59" t="str">
        <f aca="false">IFERROR(IF([1]对账明细接口!$M$866=0,"",[1]对账明细接口!$M$866),"")</f>
        <v/>
      </c>
      <c r="N866" s="111" t="n">
        <f aca="false">IF($C866="",0,1)</f>
        <v>0</v>
      </c>
      <c r="O866" s="111" t="n">
        <f aca="false">N(O865)+$N866</f>
        <v>110</v>
      </c>
      <c r="S866" s="10" t="str">
        <f aca="false">IFERROR(IF([1]对账明细接口!$N866=0,"",[1]对账明细接口!$N866),"")</f>
        <v/>
      </c>
      <c r="T866" s="112" t="str">
        <f aca="false">IFERROR(IF([1]对账明细接口!$O866=0,"",[1]对账明细接口!$O866),"")</f>
        <v/>
      </c>
      <c r="U866" s="112" t="str">
        <f aca="false">IFERROR(IF([1]对账明细接口!$P866=0,"",[1]对账明细接口!$P866),"")</f>
        <v/>
      </c>
      <c r="V866" s="112" t="str">
        <f aca="false">IFERROR(IF([1]对账明细接口!$Q866=0,"",[1]对账明细接口!$Q866),"")</f>
        <v/>
      </c>
      <c r="W866" s="10" t="str">
        <f aca="false">IFERROR(IF([1]对账明细接口!$R866=0,"",[1]对账明细接口!$R866),"")</f>
        <v/>
      </c>
      <c r="X866" s="10" t="str">
        <f aca="false">IFERROR(IF([1]对账明细接口!$S866=0,"",[1]对账明细接口!$S866),"")</f>
        <v/>
      </c>
      <c r="Y866" s="10" t="str">
        <f aca="false">""</f>
        <v/>
      </c>
      <c r="Z866" s="10" t="str">
        <f aca="false">""</f>
        <v/>
      </c>
      <c r="AA866" s="10" t="str">
        <f aca="false">""</f>
        <v/>
      </c>
      <c r="AB866" s="10" t="str">
        <f aca="false">""</f>
        <v/>
      </c>
    </row>
    <row r="867" customFormat="false" ht="13.5" hidden="false" customHeight="false" outlineLevel="0" collapsed="false">
      <c r="A867" s="109" t="n">
        <v>867</v>
      </c>
      <c r="B867" s="110" t="str">
        <f aca="false">IFERROR(IF([1]对账明细接口!$B$867=0,"",[1]对账明细接口!$B$867),"")</f>
        <v/>
      </c>
      <c r="C867" s="59" t="str">
        <f aca="false">IFERROR(IF([1]对账明细接口!$C$867=0,"",[1]对账明细接口!$C$867),"")</f>
        <v/>
      </c>
      <c r="D867" s="59" t="str">
        <f aca="false">IFERROR(IF([1]对账明细接口!$D$867=0,"",[1]对账明细接口!$D$867),"")</f>
        <v/>
      </c>
      <c r="E867" s="59" t="str">
        <f aca="false">IFERROR(IF([1]对账明细接口!$E$867=0,"",[1]对账明细接口!$E$867),"")</f>
        <v/>
      </c>
      <c r="F867" s="59" t="str">
        <f aca="false">IFERROR(IF([1]对账明细接口!$F$867=0,"",[1]对账明细接口!$F$867),"")</f>
        <v/>
      </c>
      <c r="G867" s="59" t="str">
        <f aca="false">IFERROR(IF([1]对账明细接口!$G$867=0,"",[1]对账明细接口!$G$867),"")</f>
        <v/>
      </c>
      <c r="H867" s="60" t="str">
        <f aca="false">IFERROR(IF([1]对账明细接口!$H$867=0,"",[1]对账明细接口!$H$867),"")</f>
        <v/>
      </c>
      <c r="I867" s="59" t="str">
        <f aca="false">IFERROR(IF([1]对账明细接口!$I$867=0,"",[1]对账明细接口!$I$867),"")</f>
        <v/>
      </c>
      <c r="J867" s="61" t="str">
        <f aca="false">IFERROR(IF([1]对账明细接口!$J$867=0,"",[1]对账明细接口!$J$867),"")</f>
        <v/>
      </c>
      <c r="K867" s="61" t="str">
        <f aca="false">IFERROR(IF([1]对账明细接口!$K$867=0,"",[1]对账明细接口!$K$867),"")</f>
        <v/>
      </c>
      <c r="L867" s="59" t="str">
        <f aca="false">IFERROR(IF([1]对账明细接口!$L$867=0,"",[1]对账明细接口!$L$867),"")</f>
        <v/>
      </c>
      <c r="M867" s="59" t="str">
        <f aca="false">IFERROR(IF([1]对账明细接口!$M$867=0,"",[1]对账明细接口!$M$867),"")</f>
        <v/>
      </c>
      <c r="N867" s="111" t="n">
        <f aca="false">IF($C867="",0,1)</f>
        <v>0</v>
      </c>
      <c r="O867" s="111" t="n">
        <f aca="false">N(O866)+$N867</f>
        <v>110</v>
      </c>
      <c r="S867" s="10" t="str">
        <f aca="false">IFERROR(IF([1]对账明细接口!$N867=0,"",[1]对账明细接口!$N867),"")</f>
        <v/>
      </c>
      <c r="T867" s="112" t="str">
        <f aca="false">IFERROR(IF([1]对账明细接口!$O867=0,"",[1]对账明细接口!$O867),"")</f>
        <v/>
      </c>
      <c r="U867" s="112" t="str">
        <f aca="false">IFERROR(IF([1]对账明细接口!$P867=0,"",[1]对账明细接口!$P867),"")</f>
        <v/>
      </c>
      <c r="V867" s="112" t="str">
        <f aca="false">IFERROR(IF([1]对账明细接口!$Q867=0,"",[1]对账明细接口!$Q867),"")</f>
        <v/>
      </c>
      <c r="W867" s="10" t="str">
        <f aca="false">IFERROR(IF([1]对账明细接口!$R867=0,"",[1]对账明细接口!$R867),"")</f>
        <v/>
      </c>
      <c r="X867" s="10" t="str">
        <f aca="false">IFERROR(IF([1]对账明细接口!$S867=0,"",[1]对账明细接口!$S867),"")</f>
        <v/>
      </c>
      <c r="Y867" s="10" t="str">
        <f aca="false">""</f>
        <v/>
      </c>
      <c r="Z867" s="10" t="str">
        <f aca="false">""</f>
        <v/>
      </c>
      <c r="AA867" s="10" t="str">
        <f aca="false">""</f>
        <v/>
      </c>
      <c r="AB867" s="10" t="str">
        <f aca="false">""</f>
        <v/>
      </c>
    </row>
    <row r="868" customFormat="false" ht="13.5" hidden="false" customHeight="false" outlineLevel="0" collapsed="false">
      <c r="A868" s="109" t="n">
        <v>868</v>
      </c>
      <c r="B868" s="110" t="str">
        <f aca="false">IFERROR(IF([1]对账明细接口!$B$868=0,"",[1]对账明细接口!$B$868),"")</f>
        <v/>
      </c>
      <c r="C868" s="59" t="str">
        <f aca="false">IFERROR(IF([1]对账明细接口!$C$868=0,"",[1]对账明细接口!$C$868),"")</f>
        <v/>
      </c>
      <c r="D868" s="59" t="str">
        <f aca="false">IFERROR(IF([1]对账明细接口!$D$868=0,"",[1]对账明细接口!$D$868),"")</f>
        <v/>
      </c>
      <c r="E868" s="59" t="str">
        <f aca="false">IFERROR(IF([1]对账明细接口!$E$868=0,"",[1]对账明细接口!$E$868),"")</f>
        <v/>
      </c>
      <c r="F868" s="59" t="str">
        <f aca="false">IFERROR(IF([1]对账明细接口!$F$868=0,"",[1]对账明细接口!$F$868),"")</f>
        <v/>
      </c>
      <c r="G868" s="59" t="str">
        <f aca="false">IFERROR(IF([1]对账明细接口!$G$868=0,"",[1]对账明细接口!$G$868),"")</f>
        <v/>
      </c>
      <c r="H868" s="60" t="str">
        <f aca="false">IFERROR(IF([1]对账明细接口!$H$868=0,"",[1]对账明细接口!$H$868),"")</f>
        <v/>
      </c>
      <c r="I868" s="59" t="str">
        <f aca="false">IFERROR(IF([1]对账明细接口!$I$868=0,"",[1]对账明细接口!$I$868),"")</f>
        <v/>
      </c>
      <c r="J868" s="61" t="str">
        <f aca="false">IFERROR(IF([1]对账明细接口!$J$868=0,"",[1]对账明细接口!$J$868),"")</f>
        <v/>
      </c>
      <c r="K868" s="61" t="str">
        <f aca="false">IFERROR(IF([1]对账明细接口!$K$868=0,"",[1]对账明细接口!$K$868),"")</f>
        <v/>
      </c>
      <c r="L868" s="59" t="str">
        <f aca="false">IFERROR(IF([1]对账明细接口!$L$868=0,"",[1]对账明细接口!$L$868),"")</f>
        <v/>
      </c>
      <c r="M868" s="59" t="str">
        <f aca="false">IFERROR(IF([1]对账明细接口!$M$868=0,"",[1]对账明细接口!$M$868),"")</f>
        <v/>
      </c>
      <c r="N868" s="111" t="n">
        <f aca="false">IF($C868="",0,1)</f>
        <v>0</v>
      </c>
      <c r="O868" s="111" t="n">
        <f aca="false">N(O867)+$N868</f>
        <v>110</v>
      </c>
      <c r="S868" s="10" t="str">
        <f aca="false">IFERROR(IF([1]对账明细接口!$N868=0,"",[1]对账明细接口!$N868),"")</f>
        <v/>
      </c>
      <c r="T868" s="112" t="str">
        <f aca="false">IFERROR(IF([1]对账明细接口!$O868=0,"",[1]对账明细接口!$O868),"")</f>
        <v/>
      </c>
      <c r="U868" s="112" t="str">
        <f aca="false">IFERROR(IF([1]对账明细接口!$P868=0,"",[1]对账明细接口!$P868),"")</f>
        <v/>
      </c>
      <c r="V868" s="112" t="str">
        <f aca="false">IFERROR(IF([1]对账明细接口!$Q868=0,"",[1]对账明细接口!$Q868),"")</f>
        <v/>
      </c>
      <c r="W868" s="10" t="str">
        <f aca="false">IFERROR(IF([1]对账明细接口!$R868=0,"",[1]对账明细接口!$R868),"")</f>
        <v/>
      </c>
      <c r="X868" s="10" t="str">
        <f aca="false">IFERROR(IF([1]对账明细接口!$S868=0,"",[1]对账明细接口!$S868),"")</f>
        <v/>
      </c>
      <c r="Y868" s="10" t="str">
        <f aca="false">""</f>
        <v/>
      </c>
      <c r="Z868" s="10" t="str">
        <f aca="false">""</f>
        <v/>
      </c>
      <c r="AA868" s="10" t="str">
        <f aca="false">""</f>
        <v/>
      </c>
      <c r="AB868" s="10" t="str">
        <f aca="false">""</f>
        <v/>
      </c>
    </row>
    <row r="869" customFormat="false" ht="13.5" hidden="false" customHeight="false" outlineLevel="0" collapsed="false">
      <c r="A869" s="109" t="n">
        <v>869</v>
      </c>
      <c r="B869" s="110" t="str">
        <f aca="false">IFERROR(IF([1]对账明细接口!$B$869=0,"",[1]对账明细接口!$B$869),"")</f>
        <v/>
      </c>
      <c r="C869" s="59" t="str">
        <f aca="false">IFERROR(IF([1]对账明细接口!$C$869=0,"",[1]对账明细接口!$C$869),"")</f>
        <v/>
      </c>
      <c r="D869" s="59" t="str">
        <f aca="false">IFERROR(IF([1]对账明细接口!$D$869=0,"",[1]对账明细接口!$D$869),"")</f>
        <v/>
      </c>
      <c r="E869" s="59" t="str">
        <f aca="false">IFERROR(IF([1]对账明细接口!$E$869=0,"",[1]对账明细接口!$E$869),"")</f>
        <v/>
      </c>
      <c r="F869" s="59" t="str">
        <f aca="false">IFERROR(IF([1]对账明细接口!$F$869=0,"",[1]对账明细接口!$F$869),"")</f>
        <v/>
      </c>
      <c r="G869" s="59" t="str">
        <f aca="false">IFERROR(IF([1]对账明细接口!$G$869=0,"",[1]对账明细接口!$G$869),"")</f>
        <v/>
      </c>
      <c r="H869" s="60" t="str">
        <f aca="false">IFERROR(IF([1]对账明细接口!$H$869=0,"",[1]对账明细接口!$H$869),"")</f>
        <v/>
      </c>
      <c r="I869" s="59" t="str">
        <f aca="false">IFERROR(IF([1]对账明细接口!$I$869=0,"",[1]对账明细接口!$I$869),"")</f>
        <v/>
      </c>
      <c r="J869" s="61" t="str">
        <f aca="false">IFERROR(IF([1]对账明细接口!$J$869=0,"",[1]对账明细接口!$J$869),"")</f>
        <v/>
      </c>
      <c r="K869" s="61" t="str">
        <f aca="false">IFERROR(IF([1]对账明细接口!$K$869=0,"",[1]对账明细接口!$K$869),"")</f>
        <v/>
      </c>
      <c r="L869" s="59" t="str">
        <f aca="false">IFERROR(IF([1]对账明细接口!$L$869=0,"",[1]对账明细接口!$L$869),"")</f>
        <v/>
      </c>
      <c r="M869" s="59" t="str">
        <f aca="false">IFERROR(IF([1]对账明细接口!$M$869=0,"",[1]对账明细接口!$M$869),"")</f>
        <v/>
      </c>
      <c r="N869" s="111" t="n">
        <f aca="false">IF($C869="",0,1)</f>
        <v>0</v>
      </c>
      <c r="O869" s="111" t="n">
        <f aca="false">N(O868)+$N869</f>
        <v>110</v>
      </c>
      <c r="S869" s="10" t="str">
        <f aca="false">IFERROR(IF([1]对账明细接口!$N869=0,"",[1]对账明细接口!$N869),"")</f>
        <v/>
      </c>
      <c r="T869" s="112" t="str">
        <f aca="false">IFERROR(IF([1]对账明细接口!$O869=0,"",[1]对账明细接口!$O869),"")</f>
        <v/>
      </c>
      <c r="U869" s="112" t="str">
        <f aca="false">IFERROR(IF([1]对账明细接口!$P869=0,"",[1]对账明细接口!$P869),"")</f>
        <v/>
      </c>
      <c r="V869" s="112" t="str">
        <f aca="false">IFERROR(IF([1]对账明细接口!$Q869=0,"",[1]对账明细接口!$Q869),"")</f>
        <v/>
      </c>
      <c r="W869" s="10" t="str">
        <f aca="false">IFERROR(IF([1]对账明细接口!$R869=0,"",[1]对账明细接口!$R869),"")</f>
        <v/>
      </c>
      <c r="X869" s="10" t="str">
        <f aca="false">IFERROR(IF([1]对账明细接口!$S869=0,"",[1]对账明细接口!$S869),"")</f>
        <v/>
      </c>
      <c r="Y869" s="10" t="str">
        <f aca="false">""</f>
        <v/>
      </c>
      <c r="Z869" s="10" t="str">
        <f aca="false">""</f>
        <v/>
      </c>
      <c r="AA869" s="10" t="str">
        <f aca="false">""</f>
        <v/>
      </c>
      <c r="AB869" s="10" t="str">
        <f aca="false">""</f>
        <v/>
      </c>
    </row>
    <row r="870" customFormat="false" ht="13.5" hidden="false" customHeight="false" outlineLevel="0" collapsed="false">
      <c r="A870" s="109" t="n">
        <v>870</v>
      </c>
      <c r="B870" s="110" t="str">
        <f aca="false">IFERROR(IF([1]对账明细接口!$B$870=0,"",[1]对账明细接口!$B$870),"")</f>
        <v/>
      </c>
      <c r="C870" s="59" t="str">
        <f aca="false">IFERROR(IF([1]对账明细接口!$C$870=0,"",[1]对账明细接口!$C$870),"")</f>
        <v/>
      </c>
      <c r="D870" s="59" t="str">
        <f aca="false">IFERROR(IF([1]对账明细接口!$D$870=0,"",[1]对账明细接口!$D$870),"")</f>
        <v/>
      </c>
      <c r="E870" s="59" t="str">
        <f aca="false">IFERROR(IF([1]对账明细接口!$E$870=0,"",[1]对账明细接口!$E$870),"")</f>
        <v/>
      </c>
      <c r="F870" s="59" t="str">
        <f aca="false">IFERROR(IF([1]对账明细接口!$F$870=0,"",[1]对账明细接口!$F$870),"")</f>
        <v/>
      </c>
      <c r="G870" s="59" t="str">
        <f aca="false">IFERROR(IF([1]对账明细接口!$G$870=0,"",[1]对账明细接口!$G$870),"")</f>
        <v/>
      </c>
      <c r="H870" s="60" t="str">
        <f aca="false">IFERROR(IF([1]对账明细接口!$H$870=0,"",[1]对账明细接口!$H$870),"")</f>
        <v/>
      </c>
      <c r="I870" s="59" t="str">
        <f aca="false">IFERROR(IF([1]对账明细接口!$I$870=0,"",[1]对账明细接口!$I$870),"")</f>
        <v/>
      </c>
      <c r="J870" s="61" t="str">
        <f aca="false">IFERROR(IF([1]对账明细接口!$J$870=0,"",[1]对账明细接口!$J$870),"")</f>
        <v/>
      </c>
      <c r="K870" s="61" t="str">
        <f aca="false">IFERROR(IF([1]对账明细接口!$K$870=0,"",[1]对账明细接口!$K$870),"")</f>
        <v/>
      </c>
      <c r="L870" s="59" t="str">
        <f aca="false">IFERROR(IF([1]对账明细接口!$L$870=0,"",[1]对账明细接口!$L$870),"")</f>
        <v/>
      </c>
      <c r="M870" s="59" t="str">
        <f aca="false">IFERROR(IF([1]对账明细接口!$M$870=0,"",[1]对账明细接口!$M$870),"")</f>
        <v/>
      </c>
      <c r="N870" s="111" t="n">
        <f aca="false">IF($C870="",0,1)</f>
        <v>0</v>
      </c>
      <c r="O870" s="111" t="n">
        <f aca="false">N(O869)+$N870</f>
        <v>110</v>
      </c>
      <c r="S870" s="10" t="str">
        <f aca="false">IFERROR(IF([1]对账明细接口!$N870=0,"",[1]对账明细接口!$N870),"")</f>
        <v/>
      </c>
      <c r="T870" s="112" t="str">
        <f aca="false">IFERROR(IF([1]对账明细接口!$O870=0,"",[1]对账明细接口!$O870),"")</f>
        <v/>
      </c>
      <c r="U870" s="112" t="str">
        <f aca="false">IFERROR(IF([1]对账明细接口!$P870=0,"",[1]对账明细接口!$P870),"")</f>
        <v/>
      </c>
      <c r="V870" s="112" t="str">
        <f aca="false">IFERROR(IF([1]对账明细接口!$Q870=0,"",[1]对账明细接口!$Q870),"")</f>
        <v/>
      </c>
      <c r="W870" s="10" t="str">
        <f aca="false">IFERROR(IF([1]对账明细接口!$R870=0,"",[1]对账明细接口!$R870),"")</f>
        <v/>
      </c>
      <c r="X870" s="10" t="str">
        <f aca="false">IFERROR(IF([1]对账明细接口!$S870=0,"",[1]对账明细接口!$S870),"")</f>
        <v/>
      </c>
      <c r="Y870" s="10" t="str">
        <f aca="false">""</f>
        <v/>
      </c>
      <c r="Z870" s="10" t="str">
        <f aca="false">""</f>
        <v/>
      </c>
      <c r="AA870" s="10" t="str">
        <f aca="false">""</f>
        <v/>
      </c>
      <c r="AB870" s="10" t="str">
        <f aca="false">""</f>
        <v/>
      </c>
    </row>
    <row r="871" customFormat="false" ht="13.5" hidden="false" customHeight="false" outlineLevel="0" collapsed="false">
      <c r="A871" s="109" t="n">
        <v>871</v>
      </c>
      <c r="B871" s="110" t="str">
        <f aca="false">IFERROR(IF([1]对账明细接口!$B$871=0,"",[1]对账明细接口!$B$871),"")</f>
        <v/>
      </c>
      <c r="C871" s="59" t="str">
        <f aca="false">IFERROR(IF([1]对账明细接口!$C$871=0,"",[1]对账明细接口!$C$871),"")</f>
        <v/>
      </c>
      <c r="D871" s="59" t="str">
        <f aca="false">IFERROR(IF([1]对账明细接口!$D$871=0,"",[1]对账明细接口!$D$871),"")</f>
        <v/>
      </c>
      <c r="E871" s="59" t="str">
        <f aca="false">IFERROR(IF([1]对账明细接口!$E$871=0,"",[1]对账明细接口!$E$871),"")</f>
        <v/>
      </c>
      <c r="F871" s="59" t="str">
        <f aca="false">IFERROR(IF([1]对账明细接口!$F$871=0,"",[1]对账明细接口!$F$871),"")</f>
        <v/>
      </c>
      <c r="G871" s="59" t="str">
        <f aca="false">IFERROR(IF([1]对账明细接口!$G$871=0,"",[1]对账明细接口!$G$871),"")</f>
        <v/>
      </c>
      <c r="H871" s="60" t="str">
        <f aca="false">IFERROR(IF([1]对账明细接口!$H$871=0,"",[1]对账明细接口!$H$871),"")</f>
        <v/>
      </c>
      <c r="I871" s="59" t="str">
        <f aca="false">IFERROR(IF([1]对账明细接口!$I$871=0,"",[1]对账明细接口!$I$871),"")</f>
        <v/>
      </c>
      <c r="J871" s="61" t="str">
        <f aca="false">IFERROR(IF([1]对账明细接口!$J$871=0,"",[1]对账明细接口!$J$871),"")</f>
        <v/>
      </c>
      <c r="K871" s="61" t="str">
        <f aca="false">IFERROR(IF([1]对账明细接口!$K$871=0,"",[1]对账明细接口!$K$871),"")</f>
        <v/>
      </c>
      <c r="L871" s="59" t="str">
        <f aca="false">IFERROR(IF([1]对账明细接口!$L$871=0,"",[1]对账明细接口!$L$871),"")</f>
        <v/>
      </c>
      <c r="M871" s="59" t="str">
        <f aca="false">IFERROR(IF([1]对账明细接口!$M$871=0,"",[1]对账明细接口!$M$871),"")</f>
        <v/>
      </c>
      <c r="N871" s="111" t="n">
        <f aca="false">IF($C871="",0,1)</f>
        <v>0</v>
      </c>
      <c r="O871" s="111" t="n">
        <f aca="false">N(O870)+$N871</f>
        <v>110</v>
      </c>
      <c r="S871" s="10" t="str">
        <f aca="false">IFERROR(IF([1]对账明细接口!$N871=0,"",[1]对账明细接口!$N871),"")</f>
        <v/>
      </c>
      <c r="T871" s="112" t="str">
        <f aca="false">IFERROR(IF([1]对账明细接口!$O871=0,"",[1]对账明细接口!$O871),"")</f>
        <v/>
      </c>
      <c r="U871" s="112" t="str">
        <f aca="false">IFERROR(IF([1]对账明细接口!$P871=0,"",[1]对账明细接口!$P871),"")</f>
        <v/>
      </c>
      <c r="V871" s="112" t="str">
        <f aca="false">IFERROR(IF([1]对账明细接口!$Q871=0,"",[1]对账明细接口!$Q871),"")</f>
        <v/>
      </c>
      <c r="W871" s="10" t="str">
        <f aca="false">IFERROR(IF([1]对账明细接口!$R871=0,"",[1]对账明细接口!$R871),"")</f>
        <v/>
      </c>
      <c r="X871" s="10" t="str">
        <f aca="false">IFERROR(IF([1]对账明细接口!$S871=0,"",[1]对账明细接口!$S871),"")</f>
        <v/>
      </c>
      <c r="Y871" s="10" t="str">
        <f aca="false">""</f>
        <v/>
      </c>
      <c r="Z871" s="10" t="str">
        <f aca="false">""</f>
        <v/>
      </c>
      <c r="AA871" s="10" t="str">
        <f aca="false">""</f>
        <v/>
      </c>
      <c r="AB871" s="10" t="str">
        <f aca="false">""</f>
        <v/>
      </c>
    </row>
    <row r="872" customFormat="false" ht="13.5" hidden="false" customHeight="false" outlineLevel="0" collapsed="false">
      <c r="A872" s="109" t="n">
        <v>872</v>
      </c>
      <c r="B872" s="110" t="str">
        <f aca="false">IFERROR(IF([1]对账明细接口!$B$872=0,"",[1]对账明细接口!$B$872),"")</f>
        <v/>
      </c>
      <c r="C872" s="59" t="str">
        <f aca="false">IFERROR(IF([1]对账明细接口!$C$872=0,"",[1]对账明细接口!$C$872),"")</f>
        <v/>
      </c>
      <c r="D872" s="59" t="str">
        <f aca="false">IFERROR(IF([1]对账明细接口!$D$872=0,"",[1]对账明细接口!$D$872),"")</f>
        <v/>
      </c>
      <c r="E872" s="59" t="str">
        <f aca="false">IFERROR(IF([1]对账明细接口!$E$872=0,"",[1]对账明细接口!$E$872),"")</f>
        <v/>
      </c>
      <c r="F872" s="59" t="str">
        <f aca="false">IFERROR(IF([1]对账明细接口!$F$872=0,"",[1]对账明细接口!$F$872),"")</f>
        <v/>
      </c>
      <c r="G872" s="59" t="str">
        <f aca="false">IFERROR(IF([1]对账明细接口!$G$872=0,"",[1]对账明细接口!$G$872),"")</f>
        <v/>
      </c>
      <c r="H872" s="60" t="str">
        <f aca="false">IFERROR(IF([1]对账明细接口!$H$872=0,"",[1]对账明细接口!$H$872),"")</f>
        <v/>
      </c>
      <c r="I872" s="59" t="str">
        <f aca="false">IFERROR(IF([1]对账明细接口!$I$872=0,"",[1]对账明细接口!$I$872),"")</f>
        <v/>
      </c>
      <c r="J872" s="61" t="str">
        <f aca="false">IFERROR(IF([1]对账明细接口!$J$872=0,"",[1]对账明细接口!$J$872),"")</f>
        <v/>
      </c>
      <c r="K872" s="61" t="str">
        <f aca="false">IFERROR(IF([1]对账明细接口!$K$872=0,"",[1]对账明细接口!$K$872),"")</f>
        <v/>
      </c>
      <c r="L872" s="59" t="str">
        <f aca="false">IFERROR(IF([1]对账明细接口!$L$872=0,"",[1]对账明细接口!$L$872),"")</f>
        <v/>
      </c>
      <c r="M872" s="59" t="str">
        <f aca="false">IFERROR(IF([1]对账明细接口!$M$872=0,"",[1]对账明细接口!$M$872),"")</f>
        <v/>
      </c>
      <c r="N872" s="111" t="n">
        <f aca="false">IF($C872="",0,1)</f>
        <v>0</v>
      </c>
      <c r="O872" s="111" t="n">
        <f aca="false">N(O871)+$N872</f>
        <v>110</v>
      </c>
      <c r="S872" s="10" t="str">
        <f aca="false">IFERROR(IF([1]对账明细接口!$N872=0,"",[1]对账明细接口!$N872),"")</f>
        <v/>
      </c>
      <c r="T872" s="112" t="str">
        <f aca="false">IFERROR(IF([1]对账明细接口!$O872=0,"",[1]对账明细接口!$O872),"")</f>
        <v/>
      </c>
      <c r="U872" s="112" t="str">
        <f aca="false">IFERROR(IF([1]对账明细接口!$P872=0,"",[1]对账明细接口!$P872),"")</f>
        <v/>
      </c>
      <c r="V872" s="112" t="str">
        <f aca="false">IFERROR(IF([1]对账明细接口!$Q872=0,"",[1]对账明细接口!$Q872),"")</f>
        <v/>
      </c>
      <c r="W872" s="10" t="str">
        <f aca="false">IFERROR(IF([1]对账明细接口!$R872=0,"",[1]对账明细接口!$R872),"")</f>
        <v/>
      </c>
      <c r="X872" s="10" t="str">
        <f aca="false">IFERROR(IF([1]对账明细接口!$S872=0,"",[1]对账明细接口!$S872),"")</f>
        <v/>
      </c>
      <c r="Y872" s="10" t="str">
        <f aca="false">""</f>
        <v/>
      </c>
      <c r="Z872" s="10" t="str">
        <f aca="false">""</f>
        <v/>
      </c>
      <c r="AA872" s="10" t="str">
        <f aca="false">""</f>
        <v/>
      </c>
      <c r="AB872" s="10" t="str">
        <f aca="false">""</f>
        <v/>
      </c>
    </row>
    <row r="873" customFormat="false" ht="13.5" hidden="false" customHeight="false" outlineLevel="0" collapsed="false">
      <c r="A873" s="109" t="n">
        <v>873</v>
      </c>
      <c r="B873" s="110" t="str">
        <f aca="false">IFERROR(IF([1]对账明细接口!$B$873=0,"",[1]对账明细接口!$B$873),"")</f>
        <v/>
      </c>
      <c r="C873" s="59" t="str">
        <f aca="false">IFERROR(IF([1]对账明细接口!$C$873=0,"",[1]对账明细接口!$C$873),"")</f>
        <v/>
      </c>
      <c r="D873" s="59" t="str">
        <f aca="false">IFERROR(IF([1]对账明细接口!$D$873=0,"",[1]对账明细接口!$D$873),"")</f>
        <v/>
      </c>
      <c r="E873" s="59" t="str">
        <f aca="false">IFERROR(IF([1]对账明细接口!$E$873=0,"",[1]对账明细接口!$E$873),"")</f>
        <v/>
      </c>
      <c r="F873" s="59" t="str">
        <f aca="false">IFERROR(IF([1]对账明细接口!$F$873=0,"",[1]对账明细接口!$F$873),"")</f>
        <v/>
      </c>
      <c r="G873" s="59" t="str">
        <f aca="false">IFERROR(IF([1]对账明细接口!$G$873=0,"",[1]对账明细接口!$G$873),"")</f>
        <v/>
      </c>
      <c r="H873" s="60" t="str">
        <f aca="false">IFERROR(IF([1]对账明细接口!$H$873=0,"",[1]对账明细接口!$H$873),"")</f>
        <v/>
      </c>
      <c r="I873" s="59" t="str">
        <f aca="false">IFERROR(IF([1]对账明细接口!$I$873=0,"",[1]对账明细接口!$I$873),"")</f>
        <v/>
      </c>
      <c r="J873" s="61" t="str">
        <f aca="false">IFERROR(IF([1]对账明细接口!$J$873=0,"",[1]对账明细接口!$J$873),"")</f>
        <v/>
      </c>
      <c r="K873" s="61" t="str">
        <f aca="false">IFERROR(IF([1]对账明细接口!$K$873=0,"",[1]对账明细接口!$K$873),"")</f>
        <v/>
      </c>
      <c r="L873" s="59" t="str">
        <f aca="false">IFERROR(IF([1]对账明细接口!$L$873=0,"",[1]对账明细接口!$L$873),"")</f>
        <v/>
      </c>
      <c r="M873" s="59" t="str">
        <f aca="false">IFERROR(IF([1]对账明细接口!$M$873=0,"",[1]对账明细接口!$M$873),"")</f>
        <v/>
      </c>
      <c r="N873" s="111" t="n">
        <f aca="false">IF($C873="",0,1)</f>
        <v>0</v>
      </c>
      <c r="O873" s="111" t="n">
        <f aca="false">N(O872)+$N873</f>
        <v>110</v>
      </c>
      <c r="S873" s="10" t="str">
        <f aca="false">IFERROR(IF([1]对账明细接口!$N873=0,"",[1]对账明细接口!$N873),"")</f>
        <v/>
      </c>
      <c r="T873" s="112" t="str">
        <f aca="false">IFERROR(IF([1]对账明细接口!$O873=0,"",[1]对账明细接口!$O873),"")</f>
        <v/>
      </c>
      <c r="U873" s="112" t="str">
        <f aca="false">IFERROR(IF([1]对账明细接口!$P873=0,"",[1]对账明细接口!$P873),"")</f>
        <v/>
      </c>
      <c r="V873" s="112" t="str">
        <f aca="false">IFERROR(IF([1]对账明细接口!$Q873=0,"",[1]对账明细接口!$Q873),"")</f>
        <v/>
      </c>
      <c r="W873" s="10" t="str">
        <f aca="false">IFERROR(IF([1]对账明细接口!$R873=0,"",[1]对账明细接口!$R873),"")</f>
        <v/>
      </c>
      <c r="X873" s="10" t="str">
        <f aca="false">IFERROR(IF([1]对账明细接口!$S873=0,"",[1]对账明细接口!$S873),"")</f>
        <v/>
      </c>
      <c r="Y873" s="10" t="str">
        <f aca="false">""</f>
        <v/>
      </c>
      <c r="Z873" s="10" t="str">
        <f aca="false">""</f>
        <v/>
      </c>
      <c r="AA873" s="10" t="str">
        <f aca="false">""</f>
        <v/>
      </c>
      <c r="AB873" s="10" t="str">
        <f aca="false">""</f>
        <v/>
      </c>
    </row>
    <row r="874" customFormat="false" ht="13.5" hidden="false" customHeight="false" outlineLevel="0" collapsed="false">
      <c r="A874" s="109" t="n">
        <v>874</v>
      </c>
      <c r="B874" s="110" t="str">
        <f aca="false">IFERROR(IF([1]对账明细接口!$B$874=0,"",[1]对账明细接口!$B$874),"")</f>
        <v/>
      </c>
      <c r="C874" s="59" t="str">
        <f aca="false">IFERROR(IF([1]对账明细接口!$C$874=0,"",[1]对账明细接口!$C$874),"")</f>
        <v/>
      </c>
      <c r="D874" s="59" t="str">
        <f aca="false">IFERROR(IF([1]对账明细接口!$D$874=0,"",[1]对账明细接口!$D$874),"")</f>
        <v/>
      </c>
      <c r="E874" s="59" t="str">
        <f aca="false">IFERROR(IF([1]对账明细接口!$E$874=0,"",[1]对账明细接口!$E$874),"")</f>
        <v/>
      </c>
      <c r="F874" s="59" t="str">
        <f aca="false">IFERROR(IF([1]对账明细接口!$F$874=0,"",[1]对账明细接口!$F$874),"")</f>
        <v/>
      </c>
      <c r="G874" s="59" t="str">
        <f aca="false">IFERROR(IF([1]对账明细接口!$G$874=0,"",[1]对账明细接口!$G$874),"")</f>
        <v/>
      </c>
      <c r="H874" s="60" t="str">
        <f aca="false">IFERROR(IF([1]对账明细接口!$H$874=0,"",[1]对账明细接口!$H$874),"")</f>
        <v/>
      </c>
      <c r="I874" s="59" t="str">
        <f aca="false">IFERROR(IF([1]对账明细接口!$I$874=0,"",[1]对账明细接口!$I$874),"")</f>
        <v/>
      </c>
      <c r="J874" s="61" t="str">
        <f aca="false">IFERROR(IF([1]对账明细接口!$J$874=0,"",[1]对账明细接口!$J$874),"")</f>
        <v/>
      </c>
      <c r="K874" s="61" t="str">
        <f aca="false">IFERROR(IF([1]对账明细接口!$K$874=0,"",[1]对账明细接口!$K$874),"")</f>
        <v/>
      </c>
      <c r="L874" s="59" t="str">
        <f aca="false">IFERROR(IF([1]对账明细接口!$L$874=0,"",[1]对账明细接口!$L$874),"")</f>
        <v/>
      </c>
      <c r="M874" s="59" t="str">
        <f aca="false">IFERROR(IF([1]对账明细接口!$M$874=0,"",[1]对账明细接口!$M$874),"")</f>
        <v/>
      </c>
      <c r="N874" s="111" t="n">
        <f aca="false">IF($C874="",0,1)</f>
        <v>0</v>
      </c>
      <c r="O874" s="111" t="n">
        <f aca="false">N(O873)+$N874</f>
        <v>110</v>
      </c>
      <c r="S874" s="10" t="str">
        <f aca="false">IFERROR(IF([1]对账明细接口!$N874=0,"",[1]对账明细接口!$N874),"")</f>
        <v/>
      </c>
      <c r="T874" s="112" t="str">
        <f aca="false">IFERROR(IF([1]对账明细接口!$O874=0,"",[1]对账明细接口!$O874),"")</f>
        <v/>
      </c>
      <c r="U874" s="112" t="str">
        <f aca="false">IFERROR(IF([1]对账明细接口!$P874=0,"",[1]对账明细接口!$P874),"")</f>
        <v/>
      </c>
      <c r="V874" s="112" t="str">
        <f aca="false">IFERROR(IF([1]对账明细接口!$Q874=0,"",[1]对账明细接口!$Q874),"")</f>
        <v/>
      </c>
      <c r="W874" s="10" t="str">
        <f aca="false">IFERROR(IF([1]对账明细接口!$R874=0,"",[1]对账明细接口!$R874),"")</f>
        <v/>
      </c>
      <c r="X874" s="10" t="str">
        <f aca="false">IFERROR(IF([1]对账明细接口!$S874=0,"",[1]对账明细接口!$S874),"")</f>
        <v/>
      </c>
      <c r="Y874" s="10" t="str">
        <f aca="false">""</f>
        <v/>
      </c>
      <c r="Z874" s="10" t="str">
        <f aca="false">""</f>
        <v/>
      </c>
      <c r="AA874" s="10" t="str">
        <f aca="false">""</f>
        <v/>
      </c>
      <c r="AB874" s="10" t="str">
        <f aca="false">""</f>
        <v/>
      </c>
    </row>
    <row r="875" customFormat="false" ht="13.5" hidden="false" customHeight="false" outlineLevel="0" collapsed="false">
      <c r="A875" s="109" t="n">
        <v>875</v>
      </c>
      <c r="B875" s="110" t="str">
        <f aca="false">IFERROR(IF([1]对账明细接口!$B$875=0,"",[1]对账明细接口!$B$875),"")</f>
        <v/>
      </c>
      <c r="C875" s="59" t="str">
        <f aca="false">IFERROR(IF([1]对账明细接口!$C$875=0,"",[1]对账明细接口!$C$875),"")</f>
        <v/>
      </c>
      <c r="D875" s="59" t="str">
        <f aca="false">IFERROR(IF([1]对账明细接口!$D$875=0,"",[1]对账明细接口!$D$875),"")</f>
        <v/>
      </c>
      <c r="E875" s="59" t="str">
        <f aca="false">IFERROR(IF([1]对账明细接口!$E$875=0,"",[1]对账明细接口!$E$875),"")</f>
        <v/>
      </c>
      <c r="F875" s="59" t="str">
        <f aca="false">IFERROR(IF([1]对账明细接口!$F$875=0,"",[1]对账明细接口!$F$875),"")</f>
        <v/>
      </c>
      <c r="G875" s="59" t="str">
        <f aca="false">IFERROR(IF([1]对账明细接口!$G$875=0,"",[1]对账明细接口!$G$875),"")</f>
        <v/>
      </c>
      <c r="H875" s="60" t="str">
        <f aca="false">IFERROR(IF([1]对账明细接口!$H$875=0,"",[1]对账明细接口!$H$875),"")</f>
        <v/>
      </c>
      <c r="I875" s="59" t="str">
        <f aca="false">IFERROR(IF([1]对账明细接口!$I$875=0,"",[1]对账明细接口!$I$875),"")</f>
        <v/>
      </c>
      <c r="J875" s="61" t="str">
        <f aca="false">IFERROR(IF([1]对账明细接口!$J$875=0,"",[1]对账明细接口!$J$875),"")</f>
        <v/>
      </c>
      <c r="K875" s="61" t="str">
        <f aca="false">IFERROR(IF([1]对账明细接口!$K$875=0,"",[1]对账明细接口!$K$875),"")</f>
        <v/>
      </c>
      <c r="L875" s="59" t="str">
        <f aca="false">IFERROR(IF([1]对账明细接口!$L$875=0,"",[1]对账明细接口!$L$875),"")</f>
        <v/>
      </c>
      <c r="M875" s="59" t="str">
        <f aca="false">IFERROR(IF([1]对账明细接口!$M$875=0,"",[1]对账明细接口!$M$875),"")</f>
        <v/>
      </c>
      <c r="N875" s="111" t="n">
        <f aca="false">IF($C875="",0,1)</f>
        <v>0</v>
      </c>
      <c r="O875" s="111" t="n">
        <f aca="false">N(O874)+$N875</f>
        <v>110</v>
      </c>
      <c r="S875" s="10" t="str">
        <f aca="false">IFERROR(IF([1]对账明细接口!$N875=0,"",[1]对账明细接口!$N875),"")</f>
        <v/>
      </c>
      <c r="T875" s="112" t="str">
        <f aca="false">IFERROR(IF([1]对账明细接口!$O875=0,"",[1]对账明细接口!$O875),"")</f>
        <v/>
      </c>
      <c r="U875" s="112" t="str">
        <f aca="false">IFERROR(IF([1]对账明细接口!$P875=0,"",[1]对账明细接口!$P875),"")</f>
        <v/>
      </c>
      <c r="V875" s="112" t="str">
        <f aca="false">IFERROR(IF([1]对账明细接口!$Q875=0,"",[1]对账明细接口!$Q875),"")</f>
        <v/>
      </c>
      <c r="W875" s="10" t="str">
        <f aca="false">IFERROR(IF([1]对账明细接口!$R875=0,"",[1]对账明细接口!$R875),"")</f>
        <v/>
      </c>
      <c r="X875" s="10" t="str">
        <f aca="false">IFERROR(IF([1]对账明细接口!$S875=0,"",[1]对账明细接口!$S875),"")</f>
        <v/>
      </c>
      <c r="Y875" s="10" t="str">
        <f aca="false">""</f>
        <v/>
      </c>
      <c r="Z875" s="10" t="str">
        <f aca="false">""</f>
        <v/>
      </c>
      <c r="AA875" s="10" t="str">
        <f aca="false">""</f>
        <v/>
      </c>
      <c r="AB875" s="10" t="str">
        <f aca="false">""</f>
        <v/>
      </c>
    </row>
    <row r="876" customFormat="false" ht="13.5" hidden="false" customHeight="false" outlineLevel="0" collapsed="false">
      <c r="A876" s="109" t="n">
        <v>876</v>
      </c>
      <c r="B876" s="110" t="str">
        <f aca="false">IFERROR(IF([1]对账明细接口!$B$876=0,"",[1]对账明细接口!$B$876),"")</f>
        <v/>
      </c>
      <c r="C876" s="59" t="str">
        <f aca="false">IFERROR(IF([1]对账明细接口!$C$876=0,"",[1]对账明细接口!$C$876),"")</f>
        <v/>
      </c>
      <c r="D876" s="59" t="str">
        <f aca="false">IFERROR(IF([1]对账明细接口!$D$876=0,"",[1]对账明细接口!$D$876),"")</f>
        <v/>
      </c>
      <c r="E876" s="59" t="str">
        <f aca="false">IFERROR(IF([1]对账明细接口!$E$876=0,"",[1]对账明细接口!$E$876),"")</f>
        <v/>
      </c>
      <c r="F876" s="59" t="str">
        <f aca="false">IFERROR(IF([1]对账明细接口!$F$876=0,"",[1]对账明细接口!$F$876),"")</f>
        <v/>
      </c>
      <c r="G876" s="59" t="str">
        <f aca="false">IFERROR(IF([1]对账明细接口!$G$876=0,"",[1]对账明细接口!$G$876),"")</f>
        <v/>
      </c>
      <c r="H876" s="60" t="str">
        <f aca="false">IFERROR(IF([1]对账明细接口!$H$876=0,"",[1]对账明细接口!$H$876),"")</f>
        <v/>
      </c>
      <c r="I876" s="59" t="str">
        <f aca="false">IFERROR(IF([1]对账明细接口!$I$876=0,"",[1]对账明细接口!$I$876),"")</f>
        <v/>
      </c>
      <c r="J876" s="61" t="str">
        <f aca="false">IFERROR(IF([1]对账明细接口!$J$876=0,"",[1]对账明细接口!$J$876),"")</f>
        <v/>
      </c>
      <c r="K876" s="61" t="str">
        <f aca="false">IFERROR(IF([1]对账明细接口!$K$876=0,"",[1]对账明细接口!$K$876),"")</f>
        <v/>
      </c>
      <c r="L876" s="59" t="str">
        <f aca="false">IFERROR(IF([1]对账明细接口!$L$876=0,"",[1]对账明细接口!$L$876),"")</f>
        <v/>
      </c>
      <c r="M876" s="59" t="str">
        <f aca="false">IFERROR(IF([1]对账明细接口!$M$876=0,"",[1]对账明细接口!$M$876),"")</f>
        <v/>
      </c>
      <c r="N876" s="111" t="n">
        <f aca="false">IF($C876="",0,1)</f>
        <v>0</v>
      </c>
      <c r="O876" s="111" t="n">
        <f aca="false">N(O875)+$N876</f>
        <v>110</v>
      </c>
      <c r="S876" s="10" t="str">
        <f aca="false">IFERROR(IF([1]对账明细接口!$N876=0,"",[1]对账明细接口!$N876),"")</f>
        <v/>
      </c>
      <c r="T876" s="112" t="str">
        <f aca="false">IFERROR(IF([1]对账明细接口!$O876=0,"",[1]对账明细接口!$O876),"")</f>
        <v/>
      </c>
      <c r="U876" s="112" t="str">
        <f aca="false">IFERROR(IF([1]对账明细接口!$P876=0,"",[1]对账明细接口!$P876),"")</f>
        <v/>
      </c>
      <c r="V876" s="112" t="str">
        <f aca="false">IFERROR(IF([1]对账明细接口!$Q876=0,"",[1]对账明细接口!$Q876),"")</f>
        <v/>
      </c>
      <c r="W876" s="10" t="str">
        <f aca="false">IFERROR(IF([1]对账明细接口!$R876=0,"",[1]对账明细接口!$R876),"")</f>
        <v/>
      </c>
      <c r="X876" s="10" t="str">
        <f aca="false">IFERROR(IF([1]对账明细接口!$S876=0,"",[1]对账明细接口!$S876),"")</f>
        <v/>
      </c>
      <c r="Y876" s="10" t="str">
        <f aca="false">""</f>
        <v/>
      </c>
      <c r="Z876" s="10" t="str">
        <f aca="false">""</f>
        <v/>
      </c>
      <c r="AA876" s="10" t="str">
        <f aca="false">""</f>
        <v/>
      </c>
      <c r="AB876" s="10" t="str">
        <f aca="false">""</f>
        <v/>
      </c>
    </row>
    <row r="877" customFormat="false" ht="13.5" hidden="false" customHeight="false" outlineLevel="0" collapsed="false">
      <c r="A877" s="109" t="n">
        <v>877</v>
      </c>
      <c r="B877" s="110" t="str">
        <f aca="false">IFERROR(IF([1]对账明细接口!$B$877=0,"",[1]对账明细接口!$B$877),"")</f>
        <v/>
      </c>
      <c r="C877" s="59" t="str">
        <f aca="false">IFERROR(IF([1]对账明细接口!$C$877=0,"",[1]对账明细接口!$C$877),"")</f>
        <v/>
      </c>
      <c r="D877" s="59" t="str">
        <f aca="false">IFERROR(IF([1]对账明细接口!$D$877=0,"",[1]对账明细接口!$D$877),"")</f>
        <v/>
      </c>
      <c r="E877" s="59" t="str">
        <f aca="false">IFERROR(IF([1]对账明细接口!$E$877=0,"",[1]对账明细接口!$E$877),"")</f>
        <v/>
      </c>
      <c r="F877" s="59" t="str">
        <f aca="false">IFERROR(IF([1]对账明细接口!$F$877=0,"",[1]对账明细接口!$F$877),"")</f>
        <v/>
      </c>
      <c r="G877" s="59" t="str">
        <f aca="false">IFERROR(IF([1]对账明细接口!$G$877=0,"",[1]对账明细接口!$G$877),"")</f>
        <v/>
      </c>
      <c r="H877" s="60" t="str">
        <f aca="false">IFERROR(IF([1]对账明细接口!$H$877=0,"",[1]对账明细接口!$H$877),"")</f>
        <v/>
      </c>
      <c r="I877" s="59" t="str">
        <f aca="false">IFERROR(IF([1]对账明细接口!$I$877=0,"",[1]对账明细接口!$I$877),"")</f>
        <v/>
      </c>
      <c r="J877" s="61" t="str">
        <f aca="false">IFERROR(IF([1]对账明细接口!$J$877=0,"",[1]对账明细接口!$J$877),"")</f>
        <v/>
      </c>
      <c r="K877" s="61" t="str">
        <f aca="false">IFERROR(IF([1]对账明细接口!$K$877=0,"",[1]对账明细接口!$K$877),"")</f>
        <v/>
      </c>
      <c r="L877" s="59" t="str">
        <f aca="false">IFERROR(IF([1]对账明细接口!$L$877=0,"",[1]对账明细接口!$L$877),"")</f>
        <v/>
      </c>
      <c r="M877" s="59" t="str">
        <f aca="false">IFERROR(IF([1]对账明细接口!$M$877=0,"",[1]对账明细接口!$M$877),"")</f>
        <v/>
      </c>
      <c r="N877" s="111" t="n">
        <f aca="false">IF($C877="",0,1)</f>
        <v>0</v>
      </c>
      <c r="O877" s="111" t="n">
        <f aca="false">N(O876)+$N877</f>
        <v>110</v>
      </c>
      <c r="S877" s="10" t="str">
        <f aca="false">IFERROR(IF([1]对账明细接口!$N877=0,"",[1]对账明细接口!$N877),"")</f>
        <v/>
      </c>
      <c r="T877" s="112" t="str">
        <f aca="false">IFERROR(IF([1]对账明细接口!$O877=0,"",[1]对账明细接口!$O877),"")</f>
        <v/>
      </c>
      <c r="U877" s="112" t="str">
        <f aca="false">IFERROR(IF([1]对账明细接口!$P877=0,"",[1]对账明细接口!$P877),"")</f>
        <v/>
      </c>
      <c r="V877" s="112" t="str">
        <f aca="false">IFERROR(IF([1]对账明细接口!$Q877=0,"",[1]对账明细接口!$Q877),"")</f>
        <v/>
      </c>
      <c r="W877" s="10" t="str">
        <f aca="false">IFERROR(IF([1]对账明细接口!$R877=0,"",[1]对账明细接口!$R877),"")</f>
        <v/>
      </c>
      <c r="X877" s="10" t="str">
        <f aca="false">IFERROR(IF([1]对账明细接口!$S877=0,"",[1]对账明细接口!$S877),"")</f>
        <v/>
      </c>
      <c r="Y877" s="10" t="str">
        <f aca="false">""</f>
        <v/>
      </c>
      <c r="Z877" s="10" t="str">
        <f aca="false">""</f>
        <v/>
      </c>
      <c r="AA877" s="10" t="str">
        <f aca="false">""</f>
        <v/>
      </c>
      <c r="AB877" s="10" t="str">
        <f aca="false">""</f>
        <v/>
      </c>
    </row>
    <row r="878" customFormat="false" ht="13.5" hidden="false" customHeight="false" outlineLevel="0" collapsed="false">
      <c r="A878" s="109" t="n">
        <v>878</v>
      </c>
      <c r="B878" s="110" t="str">
        <f aca="false">IFERROR(IF([1]对账明细接口!$B$878=0,"",[1]对账明细接口!$B$878),"")</f>
        <v/>
      </c>
      <c r="C878" s="59" t="str">
        <f aca="false">IFERROR(IF([1]对账明细接口!$C$878=0,"",[1]对账明细接口!$C$878),"")</f>
        <v/>
      </c>
      <c r="D878" s="59" t="str">
        <f aca="false">IFERROR(IF([1]对账明细接口!$D$878=0,"",[1]对账明细接口!$D$878),"")</f>
        <v/>
      </c>
      <c r="E878" s="59" t="str">
        <f aca="false">IFERROR(IF([1]对账明细接口!$E$878=0,"",[1]对账明细接口!$E$878),"")</f>
        <v/>
      </c>
      <c r="F878" s="59" t="str">
        <f aca="false">IFERROR(IF([1]对账明细接口!$F$878=0,"",[1]对账明细接口!$F$878),"")</f>
        <v/>
      </c>
      <c r="G878" s="59" t="str">
        <f aca="false">IFERROR(IF([1]对账明细接口!$G$878=0,"",[1]对账明细接口!$G$878),"")</f>
        <v/>
      </c>
      <c r="H878" s="60" t="str">
        <f aca="false">IFERROR(IF([1]对账明细接口!$H$878=0,"",[1]对账明细接口!$H$878),"")</f>
        <v/>
      </c>
      <c r="I878" s="59" t="str">
        <f aca="false">IFERROR(IF([1]对账明细接口!$I$878=0,"",[1]对账明细接口!$I$878),"")</f>
        <v/>
      </c>
      <c r="J878" s="61" t="str">
        <f aca="false">IFERROR(IF([1]对账明细接口!$J$878=0,"",[1]对账明细接口!$J$878),"")</f>
        <v/>
      </c>
      <c r="K878" s="61" t="str">
        <f aca="false">IFERROR(IF([1]对账明细接口!$K$878=0,"",[1]对账明细接口!$K$878),"")</f>
        <v/>
      </c>
      <c r="L878" s="59" t="str">
        <f aca="false">IFERROR(IF([1]对账明细接口!$L$878=0,"",[1]对账明细接口!$L$878),"")</f>
        <v/>
      </c>
      <c r="M878" s="59" t="str">
        <f aca="false">IFERROR(IF([1]对账明细接口!$M$878=0,"",[1]对账明细接口!$M$878),"")</f>
        <v/>
      </c>
      <c r="N878" s="111" t="n">
        <f aca="false">IF($C878="",0,1)</f>
        <v>0</v>
      </c>
      <c r="O878" s="111" t="n">
        <f aca="false">N(O877)+$N878</f>
        <v>110</v>
      </c>
      <c r="S878" s="10" t="str">
        <f aca="false">IFERROR(IF([1]对账明细接口!$N878=0,"",[1]对账明细接口!$N878),"")</f>
        <v/>
      </c>
      <c r="T878" s="112" t="str">
        <f aca="false">IFERROR(IF([1]对账明细接口!$O878=0,"",[1]对账明细接口!$O878),"")</f>
        <v/>
      </c>
      <c r="U878" s="112" t="str">
        <f aca="false">IFERROR(IF([1]对账明细接口!$P878=0,"",[1]对账明细接口!$P878),"")</f>
        <v/>
      </c>
      <c r="V878" s="112" t="str">
        <f aca="false">IFERROR(IF([1]对账明细接口!$Q878=0,"",[1]对账明细接口!$Q878),"")</f>
        <v/>
      </c>
      <c r="W878" s="10" t="str">
        <f aca="false">IFERROR(IF([1]对账明细接口!$R878=0,"",[1]对账明细接口!$R878),"")</f>
        <v/>
      </c>
      <c r="X878" s="10" t="str">
        <f aca="false">IFERROR(IF([1]对账明细接口!$S878=0,"",[1]对账明细接口!$S878),"")</f>
        <v/>
      </c>
      <c r="Y878" s="10" t="str">
        <f aca="false">""</f>
        <v/>
      </c>
      <c r="Z878" s="10" t="str">
        <f aca="false">""</f>
        <v/>
      </c>
      <c r="AA878" s="10" t="str">
        <f aca="false">""</f>
        <v/>
      </c>
      <c r="AB878" s="10" t="str">
        <f aca="false">""</f>
        <v/>
      </c>
    </row>
    <row r="879" customFormat="false" ht="13.5" hidden="false" customHeight="false" outlineLevel="0" collapsed="false">
      <c r="A879" s="109" t="n">
        <v>879</v>
      </c>
      <c r="B879" s="110" t="str">
        <f aca="false">IFERROR(IF([1]对账明细接口!$B$879=0,"",[1]对账明细接口!$B$879),"")</f>
        <v/>
      </c>
      <c r="C879" s="59" t="str">
        <f aca="false">IFERROR(IF([1]对账明细接口!$C$879=0,"",[1]对账明细接口!$C$879),"")</f>
        <v/>
      </c>
      <c r="D879" s="59" t="str">
        <f aca="false">IFERROR(IF([1]对账明细接口!$D$879=0,"",[1]对账明细接口!$D$879),"")</f>
        <v/>
      </c>
      <c r="E879" s="59" t="str">
        <f aca="false">IFERROR(IF([1]对账明细接口!$E$879=0,"",[1]对账明细接口!$E$879),"")</f>
        <v/>
      </c>
      <c r="F879" s="59" t="str">
        <f aca="false">IFERROR(IF([1]对账明细接口!$F$879=0,"",[1]对账明细接口!$F$879),"")</f>
        <v/>
      </c>
      <c r="G879" s="59" t="str">
        <f aca="false">IFERROR(IF([1]对账明细接口!$G$879=0,"",[1]对账明细接口!$G$879),"")</f>
        <v/>
      </c>
      <c r="H879" s="60" t="str">
        <f aca="false">IFERROR(IF([1]对账明细接口!$H$879=0,"",[1]对账明细接口!$H$879),"")</f>
        <v/>
      </c>
      <c r="I879" s="59" t="str">
        <f aca="false">IFERROR(IF([1]对账明细接口!$I$879=0,"",[1]对账明细接口!$I$879),"")</f>
        <v/>
      </c>
      <c r="J879" s="61" t="str">
        <f aca="false">IFERROR(IF([1]对账明细接口!$J$879=0,"",[1]对账明细接口!$J$879),"")</f>
        <v/>
      </c>
      <c r="K879" s="61" t="str">
        <f aca="false">IFERROR(IF([1]对账明细接口!$K$879=0,"",[1]对账明细接口!$K$879),"")</f>
        <v/>
      </c>
      <c r="L879" s="59" t="str">
        <f aca="false">IFERROR(IF([1]对账明细接口!$L$879=0,"",[1]对账明细接口!$L$879),"")</f>
        <v/>
      </c>
      <c r="M879" s="59" t="str">
        <f aca="false">IFERROR(IF([1]对账明细接口!$M$879=0,"",[1]对账明细接口!$M$879),"")</f>
        <v/>
      </c>
      <c r="N879" s="111" t="n">
        <f aca="false">IF($C879="",0,1)</f>
        <v>0</v>
      </c>
      <c r="O879" s="111" t="n">
        <f aca="false">N(O878)+$N879</f>
        <v>110</v>
      </c>
      <c r="S879" s="10" t="str">
        <f aca="false">IFERROR(IF([1]对账明细接口!$N879=0,"",[1]对账明细接口!$N879),"")</f>
        <v/>
      </c>
      <c r="T879" s="112" t="str">
        <f aca="false">IFERROR(IF([1]对账明细接口!$O879=0,"",[1]对账明细接口!$O879),"")</f>
        <v/>
      </c>
      <c r="U879" s="112" t="str">
        <f aca="false">IFERROR(IF([1]对账明细接口!$P879=0,"",[1]对账明细接口!$P879),"")</f>
        <v/>
      </c>
      <c r="V879" s="112" t="str">
        <f aca="false">IFERROR(IF([1]对账明细接口!$Q879=0,"",[1]对账明细接口!$Q879),"")</f>
        <v/>
      </c>
      <c r="W879" s="10" t="str">
        <f aca="false">IFERROR(IF([1]对账明细接口!$R879=0,"",[1]对账明细接口!$R879),"")</f>
        <v/>
      </c>
      <c r="X879" s="10" t="str">
        <f aca="false">IFERROR(IF([1]对账明细接口!$S879=0,"",[1]对账明细接口!$S879),"")</f>
        <v/>
      </c>
      <c r="Y879" s="10" t="str">
        <f aca="false">""</f>
        <v/>
      </c>
      <c r="Z879" s="10" t="str">
        <f aca="false">""</f>
        <v/>
      </c>
      <c r="AA879" s="10" t="str">
        <f aca="false">""</f>
        <v/>
      </c>
      <c r="AB879" s="10" t="str">
        <f aca="false">""</f>
        <v/>
      </c>
    </row>
    <row r="880" customFormat="false" ht="13.5" hidden="false" customHeight="false" outlineLevel="0" collapsed="false">
      <c r="A880" s="109" t="n">
        <v>880</v>
      </c>
      <c r="B880" s="110" t="str">
        <f aca="false">IFERROR(IF([1]对账明细接口!$B$880=0,"",[1]对账明细接口!$B$880),"")</f>
        <v/>
      </c>
      <c r="C880" s="59" t="str">
        <f aca="false">IFERROR(IF([1]对账明细接口!$C$880=0,"",[1]对账明细接口!$C$880),"")</f>
        <v/>
      </c>
      <c r="D880" s="59" t="str">
        <f aca="false">IFERROR(IF([1]对账明细接口!$D$880=0,"",[1]对账明细接口!$D$880),"")</f>
        <v/>
      </c>
      <c r="E880" s="59" t="str">
        <f aca="false">IFERROR(IF([1]对账明细接口!$E$880=0,"",[1]对账明细接口!$E$880),"")</f>
        <v/>
      </c>
      <c r="F880" s="59" t="str">
        <f aca="false">IFERROR(IF([1]对账明细接口!$F$880=0,"",[1]对账明细接口!$F$880),"")</f>
        <v/>
      </c>
      <c r="G880" s="59" t="str">
        <f aca="false">IFERROR(IF([1]对账明细接口!$G$880=0,"",[1]对账明细接口!$G$880),"")</f>
        <v/>
      </c>
      <c r="H880" s="60" t="str">
        <f aca="false">IFERROR(IF([1]对账明细接口!$H$880=0,"",[1]对账明细接口!$H$880),"")</f>
        <v/>
      </c>
      <c r="I880" s="59" t="str">
        <f aca="false">IFERROR(IF([1]对账明细接口!$I$880=0,"",[1]对账明细接口!$I$880),"")</f>
        <v/>
      </c>
      <c r="J880" s="61" t="str">
        <f aca="false">IFERROR(IF([1]对账明细接口!$J$880=0,"",[1]对账明细接口!$J$880),"")</f>
        <v/>
      </c>
      <c r="K880" s="61" t="str">
        <f aca="false">IFERROR(IF([1]对账明细接口!$K$880=0,"",[1]对账明细接口!$K$880),"")</f>
        <v/>
      </c>
      <c r="L880" s="59" t="str">
        <f aca="false">IFERROR(IF([1]对账明细接口!$L$880=0,"",[1]对账明细接口!$L$880),"")</f>
        <v/>
      </c>
      <c r="M880" s="59" t="str">
        <f aca="false">IFERROR(IF([1]对账明细接口!$M$880=0,"",[1]对账明细接口!$M$880),"")</f>
        <v/>
      </c>
      <c r="N880" s="111" t="n">
        <f aca="false">IF($C880="",0,1)</f>
        <v>0</v>
      </c>
      <c r="O880" s="111" t="n">
        <f aca="false">N(O879)+$N880</f>
        <v>110</v>
      </c>
      <c r="S880" s="10" t="str">
        <f aca="false">IFERROR(IF([1]对账明细接口!$N880=0,"",[1]对账明细接口!$N880),"")</f>
        <v/>
      </c>
      <c r="T880" s="112" t="str">
        <f aca="false">IFERROR(IF([1]对账明细接口!$O880=0,"",[1]对账明细接口!$O880),"")</f>
        <v/>
      </c>
      <c r="U880" s="112" t="str">
        <f aca="false">IFERROR(IF([1]对账明细接口!$P880=0,"",[1]对账明细接口!$P880),"")</f>
        <v/>
      </c>
      <c r="V880" s="112" t="str">
        <f aca="false">IFERROR(IF([1]对账明细接口!$Q880=0,"",[1]对账明细接口!$Q880),"")</f>
        <v/>
      </c>
      <c r="W880" s="10" t="str">
        <f aca="false">IFERROR(IF([1]对账明细接口!$R880=0,"",[1]对账明细接口!$R880),"")</f>
        <v/>
      </c>
      <c r="X880" s="10" t="str">
        <f aca="false">IFERROR(IF([1]对账明细接口!$S880=0,"",[1]对账明细接口!$S880),"")</f>
        <v/>
      </c>
      <c r="Y880" s="10" t="str">
        <f aca="false">""</f>
        <v/>
      </c>
      <c r="Z880" s="10" t="str">
        <f aca="false">""</f>
        <v/>
      </c>
      <c r="AA880" s="10" t="str">
        <f aca="false">""</f>
        <v/>
      </c>
      <c r="AB880" s="10" t="str">
        <f aca="false">""</f>
        <v/>
      </c>
    </row>
    <row r="881" customFormat="false" ht="13.5" hidden="false" customHeight="false" outlineLevel="0" collapsed="false">
      <c r="A881" s="109" t="n">
        <v>881</v>
      </c>
      <c r="B881" s="110" t="str">
        <f aca="false">IFERROR(IF([1]对账明细接口!$B$881=0,"",[1]对账明细接口!$B$881),"")</f>
        <v/>
      </c>
      <c r="C881" s="59" t="str">
        <f aca="false">IFERROR(IF([1]对账明细接口!$C$881=0,"",[1]对账明细接口!$C$881),"")</f>
        <v/>
      </c>
      <c r="D881" s="59" t="str">
        <f aca="false">IFERROR(IF([1]对账明细接口!$D$881=0,"",[1]对账明细接口!$D$881),"")</f>
        <v/>
      </c>
      <c r="E881" s="59" t="str">
        <f aca="false">IFERROR(IF([1]对账明细接口!$E$881=0,"",[1]对账明细接口!$E$881),"")</f>
        <v/>
      </c>
      <c r="F881" s="59" t="str">
        <f aca="false">IFERROR(IF([1]对账明细接口!$F$881=0,"",[1]对账明细接口!$F$881),"")</f>
        <v/>
      </c>
      <c r="G881" s="59" t="str">
        <f aca="false">IFERROR(IF([1]对账明细接口!$G$881=0,"",[1]对账明细接口!$G$881),"")</f>
        <v/>
      </c>
      <c r="H881" s="60" t="str">
        <f aca="false">IFERROR(IF([1]对账明细接口!$H$881=0,"",[1]对账明细接口!$H$881),"")</f>
        <v/>
      </c>
      <c r="I881" s="59" t="str">
        <f aca="false">IFERROR(IF([1]对账明细接口!$I$881=0,"",[1]对账明细接口!$I$881),"")</f>
        <v/>
      </c>
      <c r="J881" s="61" t="str">
        <f aca="false">IFERROR(IF([1]对账明细接口!$J$881=0,"",[1]对账明细接口!$J$881),"")</f>
        <v/>
      </c>
      <c r="K881" s="61" t="str">
        <f aca="false">IFERROR(IF([1]对账明细接口!$K$881=0,"",[1]对账明细接口!$K$881),"")</f>
        <v/>
      </c>
      <c r="L881" s="59" t="str">
        <f aca="false">IFERROR(IF([1]对账明细接口!$L$881=0,"",[1]对账明细接口!$L$881),"")</f>
        <v/>
      </c>
      <c r="M881" s="59" t="str">
        <f aca="false">IFERROR(IF([1]对账明细接口!$M$881=0,"",[1]对账明细接口!$M$881),"")</f>
        <v/>
      </c>
      <c r="N881" s="111" t="n">
        <f aca="false">IF($C881="",0,1)</f>
        <v>0</v>
      </c>
      <c r="O881" s="111" t="n">
        <f aca="false">N(O880)+$N881</f>
        <v>110</v>
      </c>
      <c r="S881" s="10" t="str">
        <f aca="false">IFERROR(IF([1]对账明细接口!$N881=0,"",[1]对账明细接口!$N881),"")</f>
        <v/>
      </c>
      <c r="T881" s="112" t="str">
        <f aca="false">IFERROR(IF([1]对账明细接口!$O881=0,"",[1]对账明细接口!$O881),"")</f>
        <v/>
      </c>
      <c r="U881" s="112" t="str">
        <f aca="false">IFERROR(IF([1]对账明细接口!$P881=0,"",[1]对账明细接口!$P881),"")</f>
        <v/>
      </c>
      <c r="V881" s="112" t="str">
        <f aca="false">IFERROR(IF([1]对账明细接口!$Q881=0,"",[1]对账明细接口!$Q881),"")</f>
        <v/>
      </c>
      <c r="W881" s="10" t="str">
        <f aca="false">IFERROR(IF([1]对账明细接口!$R881=0,"",[1]对账明细接口!$R881),"")</f>
        <v/>
      </c>
      <c r="X881" s="10" t="str">
        <f aca="false">IFERROR(IF([1]对账明细接口!$S881=0,"",[1]对账明细接口!$S881),"")</f>
        <v/>
      </c>
      <c r="Y881" s="10" t="str">
        <f aca="false">""</f>
        <v/>
      </c>
      <c r="Z881" s="10" t="str">
        <f aca="false">""</f>
        <v/>
      </c>
      <c r="AA881" s="10" t="str">
        <f aca="false">""</f>
        <v/>
      </c>
      <c r="AB881" s="10" t="str">
        <f aca="false">""</f>
        <v/>
      </c>
    </row>
    <row r="882" customFormat="false" ht="13.5" hidden="false" customHeight="false" outlineLevel="0" collapsed="false">
      <c r="A882" s="109" t="n">
        <v>882</v>
      </c>
      <c r="B882" s="110" t="str">
        <f aca="false">IFERROR(IF([1]对账明细接口!$B$882=0,"",[1]对账明细接口!$B$882),"")</f>
        <v/>
      </c>
      <c r="C882" s="59" t="str">
        <f aca="false">IFERROR(IF([1]对账明细接口!$C$882=0,"",[1]对账明细接口!$C$882),"")</f>
        <v/>
      </c>
      <c r="D882" s="59" t="str">
        <f aca="false">IFERROR(IF([1]对账明细接口!$D$882=0,"",[1]对账明细接口!$D$882),"")</f>
        <v/>
      </c>
      <c r="E882" s="59" t="str">
        <f aca="false">IFERROR(IF([1]对账明细接口!$E$882=0,"",[1]对账明细接口!$E$882),"")</f>
        <v/>
      </c>
      <c r="F882" s="59" t="str">
        <f aca="false">IFERROR(IF([1]对账明细接口!$F$882=0,"",[1]对账明细接口!$F$882),"")</f>
        <v/>
      </c>
      <c r="G882" s="59" t="str">
        <f aca="false">IFERROR(IF([1]对账明细接口!$G$882=0,"",[1]对账明细接口!$G$882),"")</f>
        <v/>
      </c>
      <c r="H882" s="60" t="str">
        <f aca="false">IFERROR(IF([1]对账明细接口!$H$882=0,"",[1]对账明细接口!$H$882),"")</f>
        <v/>
      </c>
      <c r="I882" s="59" t="str">
        <f aca="false">IFERROR(IF([1]对账明细接口!$I$882=0,"",[1]对账明细接口!$I$882),"")</f>
        <v/>
      </c>
      <c r="J882" s="61" t="str">
        <f aca="false">IFERROR(IF([1]对账明细接口!$J$882=0,"",[1]对账明细接口!$J$882),"")</f>
        <v/>
      </c>
      <c r="K882" s="61" t="str">
        <f aca="false">IFERROR(IF([1]对账明细接口!$K$882=0,"",[1]对账明细接口!$K$882),"")</f>
        <v/>
      </c>
      <c r="L882" s="59" t="str">
        <f aca="false">IFERROR(IF([1]对账明细接口!$L$882=0,"",[1]对账明细接口!$L$882),"")</f>
        <v/>
      </c>
      <c r="M882" s="59" t="str">
        <f aca="false">IFERROR(IF([1]对账明细接口!$M$882=0,"",[1]对账明细接口!$M$882),"")</f>
        <v/>
      </c>
      <c r="N882" s="111" t="n">
        <f aca="false">IF($C882="",0,1)</f>
        <v>0</v>
      </c>
      <c r="O882" s="111" t="n">
        <f aca="false">N(O881)+$N882</f>
        <v>110</v>
      </c>
      <c r="S882" s="10" t="str">
        <f aca="false">IFERROR(IF([1]对账明细接口!$N882=0,"",[1]对账明细接口!$N882),"")</f>
        <v/>
      </c>
      <c r="T882" s="112" t="str">
        <f aca="false">IFERROR(IF([1]对账明细接口!$O882=0,"",[1]对账明细接口!$O882),"")</f>
        <v/>
      </c>
      <c r="U882" s="112" t="str">
        <f aca="false">IFERROR(IF([1]对账明细接口!$P882=0,"",[1]对账明细接口!$P882),"")</f>
        <v/>
      </c>
      <c r="V882" s="112" t="str">
        <f aca="false">IFERROR(IF([1]对账明细接口!$Q882=0,"",[1]对账明细接口!$Q882),"")</f>
        <v/>
      </c>
      <c r="W882" s="10" t="str">
        <f aca="false">IFERROR(IF([1]对账明细接口!$R882=0,"",[1]对账明细接口!$R882),"")</f>
        <v/>
      </c>
      <c r="X882" s="10" t="str">
        <f aca="false">IFERROR(IF([1]对账明细接口!$S882=0,"",[1]对账明细接口!$S882),"")</f>
        <v/>
      </c>
      <c r="Y882" s="10" t="str">
        <f aca="false">""</f>
        <v/>
      </c>
      <c r="Z882" s="10" t="str">
        <f aca="false">""</f>
        <v/>
      </c>
      <c r="AA882" s="10" t="str">
        <f aca="false">""</f>
        <v/>
      </c>
      <c r="AB882" s="10" t="str">
        <f aca="false">""</f>
        <v/>
      </c>
    </row>
    <row r="883" customFormat="false" ht="13.5" hidden="false" customHeight="false" outlineLevel="0" collapsed="false">
      <c r="A883" s="109" t="n">
        <v>883</v>
      </c>
      <c r="B883" s="110" t="str">
        <f aca="false">IFERROR(IF([1]对账明细接口!$B$883=0,"",[1]对账明细接口!$B$883),"")</f>
        <v/>
      </c>
      <c r="C883" s="59" t="str">
        <f aca="false">IFERROR(IF([1]对账明细接口!$C$883=0,"",[1]对账明细接口!$C$883),"")</f>
        <v/>
      </c>
      <c r="D883" s="59" t="str">
        <f aca="false">IFERROR(IF([1]对账明细接口!$D$883=0,"",[1]对账明细接口!$D$883),"")</f>
        <v/>
      </c>
      <c r="E883" s="59" t="str">
        <f aca="false">IFERROR(IF([1]对账明细接口!$E$883=0,"",[1]对账明细接口!$E$883),"")</f>
        <v/>
      </c>
      <c r="F883" s="59" t="str">
        <f aca="false">IFERROR(IF([1]对账明细接口!$F$883=0,"",[1]对账明细接口!$F$883),"")</f>
        <v/>
      </c>
      <c r="G883" s="59" t="str">
        <f aca="false">IFERROR(IF([1]对账明细接口!$G$883=0,"",[1]对账明细接口!$G$883),"")</f>
        <v/>
      </c>
      <c r="H883" s="60" t="str">
        <f aca="false">IFERROR(IF([1]对账明细接口!$H$883=0,"",[1]对账明细接口!$H$883),"")</f>
        <v/>
      </c>
      <c r="I883" s="59" t="str">
        <f aca="false">IFERROR(IF([1]对账明细接口!$I$883=0,"",[1]对账明细接口!$I$883),"")</f>
        <v/>
      </c>
      <c r="J883" s="61" t="str">
        <f aca="false">IFERROR(IF([1]对账明细接口!$J$883=0,"",[1]对账明细接口!$J$883),"")</f>
        <v/>
      </c>
      <c r="K883" s="61" t="str">
        <f aca="false">IFERROR(IF([1]对账明细接口!$K$883=0,"",[1]对账明细接口!$K$883),"")</f>
        <v/>
      </c>
      <c r="L883" s="59" t="str">
        <f aca="false">IFERROR(IF([1]对账明细接口!$L$883=0,"",[1]对账明细接口!$L$883),"")</f>
        <v/>
      </c>
      <c r="M883" s="59" t="str">
        <f aca="false">IFERROR(IF([1]对账明细接口!$M$883=0,"",[1]对账明细接口!$M$883),"")</f>
        <v/>
      </c>
      <c r="N883" s="111" t="n">
        <f aca="false">IF($C883="",0,1)</f>
        <v>0</v>
      </c>
      <c r="O883" s="111" t="n">
        <f aca="false">N(O882)+$N883</f>
        <v>110</v>
      </c>
      <c r="S883" s="10" t="str">
        <f aca="false">IFERROR(IF([1]对账明细接口!$N883=0,"",[1]对账明细接口!$N883),"")</f>
        <v/>
      </c>
      <c r="T883" s="112" t="str">
        <f aca="false">IFERROR(IF([1]对账明细接口!$O883=0,"",[1]对账明细接口!$O883),"")</f>
        <v/>
      </c>
      <c r="U883" s="112" t="str">
        <f aca="false">IFERROR(IF([1]对账明细接口!$P883=0,"",[1]对账明细接口!$P883),"")</f>
        <v/>
      </c>
      <c r="V883" s="112" t="str">
        <f aca="false">IFERROR(IF([1]对账明细接口!$Q883=0,"",[1]对账明细接口!$Q883),"")</f>
        <v/>
      </c>
      <c r="W883" s="10" t="str">
        <f aca="false">IFERROR(IF([1]对账明细接口!$R883=0,"",[1]对账明细接口!$R883),"")</f>
        <v/>
      </c>
      <c r="X883" s="10" t="str">
        <f aca="false">IFERROR(IF([1]对账明细接口!$S883=0,"",[1]对账明细接口!$S883),"")</f>
        <v/>
      </c>
      <c r="Y883" s="10" t="str">
        <f aca="false">""</f>
        <v/>
      </c>
      <c r="Z883" s="10" t="str">
        <f aca="false">""</f>
        <v/>
      </c>
      <c r="AA883" s="10" t="str">
        <f aca="false">""</f>
        <v/>
      </c>
      <c r="AB883" s="10" t="str">
        <f aca="false">""</f>
        <v/>
      </c>
    </row>
    <row r="884" customFormat="false" ht="13.5" hidden="false" customHeight="false" outlineLevel="0" collapsed="false">
      <c r="A884" s="109" t="n">
        <v>884</v>
      </c>
      <c r="B884" s="110" t="str">
        <f aca="false">IFERROR(IF([1]对账明细接口!$B$884=0,"",[1]对账明细接口!$B$884),"")</f>
        <v/>
      </c>
      <c r="C884" s="59" t="str">
        <f aca="false">IFERROR(IF([1]对账明细接口!$C$884=0,"",[1]对账明细接口!$C$884),"")</f>
        <v/>
      </c>
      <c r="D884" s="59" t="str">
        <f aca="false">IFERROR(IF([1]对账明细接口!$D$884=0,"",[1]对账明细接口!$D$884),"")</f>
        <v/>
      </c>
      <c r="E884" s="59" t="str">
        <f aca="false">IFERROR(IF([1]对账明细接口!$E$884=0,"",[1]对账明细接口!$E$884),"")</f>
        <v/>
      </c>
      <c r="F884" s="59" t="str">
        <f aca="false">IFERROR(IF([1]对账明细接口!$F$884=0,"",[1]对账明细接口!$F$884),"")</f>
        <v/>
      </c>
      <c r="G884" s="59" t="str">
        <f aca="false">IFERROR(IF([1]对账明细接口!$G$884=0,"",[1]对账明细接口!$G$884),"")</f>
        <v/>
      </c>
      <c r="H884" s="60" t="str">
        <f aca="false">IFERROR(IF([1]对账明细接口!$H$884=0,"",[1]对账明细接口!$H$884),"")</f>
        <v/>
      </c>
      <c r="I884" s="59" t="str">
        <f aca="false">IFERROR(IF([1]对账明细接口!$I$884=0,"",[1]对账明细接口!$I$884),"")</f>
        <v/>
      </c>
      <c r="J884" s="61" t="str">
        <f aca="false">IFERROR(IF([1]对账明细接口!$J$884=0,"",[1]对账明细接口!$J$884),"")</f>
        <v/>
      </c>
      <c r="K884" s="61" t="str">
        <f aca="false">IFERROR(IF([1]对账明细接口!$K$884=0,"",[1]对账明细接口!$K$884),"")</f>
        <v/>
      </c>
      <c r="L884" s="59" t="str">
        <f aca="false">IFERROR(IF([1]对账明细接口!$L$884=0,"",[1]对账明细接口!$L$884),"")</f>
        <v/>
      </c>
      <c r="M884" s="59" t="str">
        <f aca="false">IFERROR(IF([1]对账明细接口!$M$884=0,"",[1]对账明细接口!$M$884),"")</f>
        <v/>
      </c>
      <c r="N884" s="111" t="n">
        <f aca="false">IF($C884="",0,1)</f>
        <v>0</v>
      </c>
      <c r="O884" s="111" t="n">
        <f aca="false">N(O883)+$N884</f>
        <v>110</v>
      </c>
      <c r="S884" s="10" t="str">
        <f aca="false">IFERROR(IF([1]对账明细接口!$N884=0,"",[1]对账明细接口!$N884),"")</f>
        <v/>
      </c>
      <c r="T884" s="112" t="str">
        <f aca="false">IFERROR(IF([1]对账明细接口!$O884=0,"",[1]对账明细接口!$O884),"")</f>
        <v/>
      </c>
      <c r="U884" s="112" t="str">
        <f aca="false">IFERROR(IF([1]对账明细接口!$P884=0,"",[1]对账明细接口!$P884),"")</f>
        <v/>
      </c>
      <c r="V884" s="112" t="str">
        <f aca="false">IFERROR(IF([1]对账明细接口!$Q884=0,"",[1]对账明细接口!$Q884),"")</f>
        <v/>
      </c>
      <c r="W884" s="10" t="str">
        <f aca="false">IFERROR(IF([1]对账明细接口!$R884=0,"",[1]对账明细接口!$R884),"")</f>
        <v/>
      </c>
      <c r="X884" s="10" t="str">
        <f aca="false">IFERROR(IF([1]对账明细接口!$S884=0,"",[1]对账明细接口!$S884),"")</f>
        <v/>
      </c>
      <c r="Y884" s="10" t="str">
        <f aca="false">""</f>
        <v/>
      </c>
      <c r="Z884" s="10" t="str">
        <f aca="false">""</f>
        <v/>
      </c>
      <c r="AA884" s="10" t="str">
        <f aca="false">""</f>
        <v/>
      </c>
      <c r="AB884" s="10" t="str">
        <f aca="false">""</f>
        <v/>
      </c>
    </row>
    <row r="885" customFormat="false" ht="13.5" hidden="false" customHeight="false" outlineLevel="0" collapsed="false">
      <c r="A885" s="109" t="n">
        <v>885</v>
      </c>
      <c r="B885" s="110" t="str">
        <f aca="false">IFERROR(IF([1]对账明细接口!$B$885=0,"",[1]对账明细接口!$B$885),"")</f>
        <v/>
      </c>
      <c r="C885" s="59" t="str">
        <f aca="false">IFERROR(IF([1]对账明细接口!$C$885=0,"",[1]对账明细接口!$C$885),"")</f>
        <v/>
      </c>
      <c r="D885" s="59" t="str">
        <f aca="false">IFERROR(IF([1]对账明细接口!$D$885=0,"",[1]对账明细接口!$D$885),"")</f>
        <v/>
      </c>
      <c r="E885" s="59" t="str">
        <f aca="false">IFERROR(IF([1]对账明细接口!$E$885=0,"",[1]对账明细接口!$E$885),"")</f>
        <v/>
      </c>
      <c r="F885" s="59" t="str">
        <f aca="false">IFERROR(IF([1]对账明细接口!$F$885=0,"",[1]对账明细接口!$F$885),"")</f>
        <v/>
      </c>
      <c r="G885" s="59" t="str">
        <f aca="false">IFERROR(IF([1]对账明细接口!$G$885=0,"",[1]对账明细接口!$G$885),"")</f>
        <v/>
      </c>
      <c r="H885" s="60" t="str">
        <f aca="false">IFERROR(IF([1]对账明细接口!$H$885=0,"",[1]对账明细接口!$H$885),"")</f>
        <v/>
      </c>
      <c r="I885" s="59" t="str">
        <f aca="false">IFERROR(IF([1]对账明细接口!$I$885=0,"",[1]对账明细接口!$I$885),"")</f>
        <v/>
      </c>
      <c r="J885" s="61" t="str">
        <f aca="false">IFERROR(IF([1]对账明细接口!$J$885=0,"",[1]对账明细接口!$J$885),"")</f>
        <v/>
      </c>
      <c r="K885" s="61" t="str">
        <f aca="false">IFERROR(IF([1]对账明细接口!$K$885=0,"",[1]对账明细接口!$K$885),"")</f>
        <v/>
      </c>
      <c r="L885" s="59" t="str">
        <f aca="false">IFERROR(IF([1]对账明细接口!$L$885=0,"",[1]对账明细接口!$L$885),"")</f>
        <v/>
      </c>
      <c r="M885" s="59" t="str">
        <f aca="false">IFERROR(IF([1]对账明细接口!$M$885=0,"",[1]对账明细接口!$M$885),"")</f>
        <v/>
      </c>
      <c r="N885" s="111" t="n">
        <f aca="false">IF($C885="",0,1)</f>
        <v>0</v>
      </c>
      <c r="O885" s="111" t="n">
        <f aca="false">N(O884)+$N885</f>
        <v>110</v>
      </c>
      <c r="S885" s="10" t="str">
        <f aca="false">IFERROR(IF([1]对账明细接口!$N885=0,"",[1]对账明细接口!$N885),"")</f>
        <v/>
      </c>
      <c r="T885" s="112" t="str">
        <f aca="false">IFERROR(IF([1]对账明细接口!$O885=0,"",[1]对账明细接口!$O885),"")</f>
        <v/>
      </c>
      <c r="U885" s="112" t="str">
        <f aca="false">IFERROR(IF([1]对账明细接口!$P885=0,"",[1]对账明细接口!$P885),"")</f>
        <v/>
      </c>
      <c r="V885" s="112" t="str">
        <f aca="false">IFERROR(IF([1]对账明细接口!$Q885=0,"",[1]对账明细接口!$Q885),"")</f>
        <v/>
      </c>
      <c r="W885" s="10" t="str">
        <f aca="false">IFERROR(IF([1]对账明细接口!$R885=0,"",[1]对账明细接口!$R885),"")</f>
        <v/>
      </c>
      <c r="X885" s="10" t="str">
        <f aca="false">IFERROR(IF([1]对账明细接口!$S885=0,"",[1]对账明细接口!$S885),"")</f>
        <v/>
      </c>
      <c r="Y885" s="10" t="str">
        <f aca="false">""</f>
        <v/>
      </c>
      <c r="Z885" s="10" t="str">
        <f aca="false">""</f>
        <v/>
      </c>
      <c r="AA885" s="10" t="str">
        <f aca="false">""</f>
        <v/>
      </c>
      <c r="AB885" s="10" t="str">
        <f aca="false">""</f>
        <v/>
      </c>
    </row>
    <row r="886" customFormat="false" ht="13.5" hidden="false" customHeight="false" outlineLevel="0" collapsed="false">
      <c r="A886" s="109" t="n">
        <v>886</v>
      </c>
      <c r="B886" s="110" t="str">
        <f aca="false">IFERROR(IF([1]对账明细接口!$B$886=0,"",[1]对账明细接口!$B$886),"")</f>
        <v/>
      </c>
      <c r="C886" s="59" t="str">
        <f aca="false">IFERROR(IF([1]对账明细接口!$C$886=0,"",[1]对账明细接口!$C$886),"")</f>
        <v/>
      </c>
      <c r="D886" s="59" t="str">
        <f aca="false">IFERROR(IF([1]对账明细接口!$D$886=0,"",[1]对账明细接口!$D$886),"")</f>
        <v/>
      </c>
      <c r="E886" s="59" t="str">
        <f aca="false">IFERROR(IF([1]对账明细接口!$E$886=0,"",[1]对账明细接口!$E$886),"")</f>
        <v/>
      </c>
      <c r="F886" s="59" t="str">
        <f aca="false">IFERROR(IF([1]对账明细接口!$F$886=0,"",[1]对账明细接口!$F$886),"")</f>
        <v/>
      </c>
      <c r="G886" s="59" t="str">
        <f aca="false">IFERROR(IF([1]对账明细接口!$G$886=0,"",[1]对账明细接口!$G$886),"")</f>
        <v/>
      </c>
      <c r="H886" s="60" t="str">
        <f aca="false">IFERROR(IF([1]对账明细接口!$H$886=0,"",[1]对账明细接口!$H$886),"")</f>
        <v/>
      </c>
      <c r="I886" s="59" t="str">
        <f aca="false">IFERROR(IF([1]对账明细接口!$I$886=0,"",[1]对账明细接口!$I$886),"")</f>
        <v/>
      </c>
      <c r="J886" s="61" t="str">
        <f aca="false">IFERROR(IF([1]对账明细接口!$J$886=0,"",[1]对账明细接口!$J$886),"")</f>
        <v/>
      </c>
      <c r="K886" s="61" t="str">
        <f aca="false">IFERROR(IF([1]对账明细接口!$K$886=0,"",[1]对账明细接口!$K$886),"")</f>
        <v/>
      </c>
      <c r="L886" s="59" t="str">
        <f aca="false">IFERROR(IF([1]对账明细接口!$L$886=0,"",[1]对账明细接口!$L$886),"")</f>
        <v/>
      </c>
      <c r="M886" s="59" t="str">
        <f aca="false">IFERROR(IF([1]对账明细接口!$M$886=0,"",[1]对账明细接口!$M$886),"")</f>
        <v/>
      </c>
      <c r="N886" s="111" t="n">
        <f aca="false">IF($C886="",0,1)</f>
        <v>0</v>
      </c>
      <c r="O886" s="111" t="n">
        <f aca="false">N(O885)+$N886</f>
        <v>110</v>
      </c>
      <c r="S886" s="10" t="str">
        <f aca="false">IFERROR(IF([1]对账明细接口!$N886=0,"",[1]对账明细接口!$N886),"")</f>
        <v/>
      </c>
      <c r="T886" s="112" t="str">
        <f aca="false">IFERROR(IF([1]对账明细接口!$O886=0,"",[1]对账明细接口!$O886),"")</f>
        <v/>
      </c>
      <c r="U886" s="112" t="str">
        <f aca="false">IFERROR(IF([1]对账明细接口!$P886=0,"",[1]对账明细接口!$P886),"")</f>
        <v/>
      </c>
      <c r="V886" s="112" t="str">
        <f aca="false">IFERROR(IF([1]对账明细接口!$Q886=0,"",[1]对账明细接口!$Q886),"")</f>
        <v/>
      </c>
      <c r="W886" s="10" t="str">
        <f aca="false">IFERROR(IF([1]对账明细接口!$R886=0,"",[1]对账明细接口!$R886),"")</f>
        <v/>
      </c>
      <c r="X886" s="10" t="str">
        <f aca="false">IFERROR(IF([1]对账明细接口!$S886=0,"",[1]对账明细接口!$S886),"")</f>
        <v/>
      </c>
      <c r="Y886" s="10" t="str">
        <f aca="false">""</f>
        <v/>
      </c>
      <c r="Z886" s="10" t="str">
        <f aca="false">""</f>
        <v/>
      </c>
      <c r="AA886" s="10" t="str">
        <f aca="false">""</f>
        <v/>
      </c>
      <c r="AB886" s="10" t="str">
        <f aca="false">""</f>
        <v/>
      </c>
    </row>
    <row r="887" customFormat="false" ht="13.5" hidden="false" customHeight="false" outlineLevel="0" collapsed="false">
      <c r="A887" s="109" t="n">
        <v>887</v>
      </c>
      <c r="B887" s="110" t="str">
        <f aca="false">IFERROR(IF([1]对账明细接口!$B$887=0,"",[1]对账明细接口!$B$887),"")</f>
        <v/>
      </c>
      <c r="C887" s="59" t="str">
        <f aca="false">IFERROR(IF([1]对账明细接口!$C$887=0,"",[1]对账明细接口!$C$887),"")</f>
        <v/>
      </c>
      <c r="D887" s="59" t="str">
        <f aca="false">IFERROR(IF([1]对账明细接口!$D$887=0,"",[1]对账明细接口!$D$887),"")</f>
        <v/>
      </c>
      <c r="E887" s="59" t="str">
        <f aca="false">IFERROR(IF([1]对账明细接口!$E$887=0,"",[1]对账明细接口!$E$887),"")</f>
        <v/>
      </c>
      <c r="F887" s="59" t="str">
        <f aca="false">IFERROR(IF([1]对账明细接口!$F$887=0,"",[1]对账明细接口!$F$887),"")</f>
        <v/>
      </c>
      <c r="G887" s="59" t="str">
        <f aca="false">IFERROR(IF([1]对账明细接口!$G$887=0,"",[1]对账明细接口!$G$887),"")</f>
        <v/>
      </c>
      <c r="H887" s="60" t="str">
        <f aca="false">IFERROR(IF([1]对账明细接口!$H$887=0,"",[1]对账明细接口!$H$887),"")</f>
        <v/>
      </c>
      <c r="I887" s="59" t="str">
        <f aca="false">IFERROR(IF([1]对账明细接口!$I$887=0,"",[1]对账明细接口!$I$887),"")</f>
        <v/>
      </c>
      <c r="J887" s="61" t="str">
        <f aca="false">IFERROR(IF([1]对账明细接口!$J$887=0,"",[1]对账明细接口!$J$887),"")</f>
        <v/>
      </c>
      <c r="K887" s="61" t="str">
        <f aca="false">IFERROR(IF([1]对账明细接口!$K$887=0,"",[1]对账明细接口!$K$887),"")</f>
        <v/>
      </c>
      <c r="L887" s="59" t="str">
        <f aca="false">IFERROR(IF([1]对账明细接口!$L$887=0,"",[1]对账明细接口!$L$887),"")</f>
        <v/>
      </c>
      <c r="M887" s="59" t="str">
        <f aca="false">IFERROR(IF([1]对账明细接口!$M$887=0,"",[1]对账明细接口!$M$887),"")</f>
        <v/>
      </c>
      <c r="N887" s="111" t="n">
        <f aca="false">IF($C887="",0,1)</f>
        <v>0</v>
      </c>
      <c r="O887" s="111" t="n">
        <f aca="false">N(O886)+$N887</f>
        <v>110</v>
      </c>
      <c r="S887" s="10" t="str">
        <f aca="false">IFERROR(IF([1]对账明细接口!$N887=0,"",[1]对账明细接口!$N887),"")</f>
        <v/>
      </c>
      <c r="T887" s="112" t="str">
        <f aca="false">IFERROR(IF([1]对账明细接口!$O887=0,"",[1]对账明细接口!$O887),"")</f>
        <v/>
      </c>
      <c r="U887" s="112" t="str">
        <f aca="false">IFERROR(IF([1]对账明细接口!$P887=0,"",[1]对账明细接口!$P887),"")</f>
        <v/>
      </c>
      <c r="V887" s="112" t="str">
        <f aca="false">IFERROR(IF([1]对账明细接口!$Q887=0,"",[1]对账明细接口!$Q887),"")</f>
        <v/>
      </c>
      <c r="W887" s="10" t="str">
        <f aca="false">IFERROR(IF([1]对账明细接口!$R887=0,"",[1]对账明细接口!$R887),"")</f>
        <v/>
      </c>
      <c r="X887" s="10" t="str">
        <f aca="false">IFERROR(IF([1]对账明细接口!$S887=0,"",[1]对账明细接口!$S887),"")</f>
        <v/>
      </c>
      <c r="Y887" s="10" t="str">
        <f aca="false">""</f>
        <v/>
      </c>
      <c r="Z887" s="10" t="str">
        <f aca="false">""</f>
        <v/>
      </c>
      <c r="AA887" s="10" t="str">
        <f aca="false">""</f>
        <v/>
      </c>
      <c r="AB887" s="10" t="str">
        <f aca="false">""</f>
        <v/>
      </c>
    </row>
    <row r="888" customFormat="false" ht="13.5" hidden="false" customHeight="false" outlineLevel="0" collapsed="false">
      <c r="A888" s="109" t="n">
        <v>888</v>
      </c>
      <c r="B888" s="110" t="str">
        <f aca="false">IFERROR(IF([1]对账明细接口!$B$888=0,"",[1]对账明细接口!$B$888),"")</f>
        <v/>
      </c>
      <c r="C888" s="59" t="str">
        <f aca="false">IFERROR(IF([1]对账明细接口!$C$888=0,"",[1]对账明细接口!$C$888),"")</f>
        <v/>
      </c>
      <c r="D888" s="59" t="str">
        <f aca="false">IFERROR(IF([1]对账明细接口!$D$888=0,"",[1]对账明细接口!$D$888),"")</f>
        <v/>
      </c>
      <c r="E888" s="59" t="str">
        <f aca="false">IFERROR(IF([1]对账明细接口!$E$888=0,"",[1]对账明细接口!$E$888),"")</f>
        <v/>
      </c>
      <c r="F888" s="59" t="str">
        <f aca="false">IFERROR(IF([1]对账明细接口!$F$888=0,"",[1]对账明细接口!$F$888),"")</f>
        <v/>
      </c>
      <c r="G888" s="59" t="str">
        <f aca="false">IFERROR(IF([1]对账明细接口!$G$888=0,"",[1]对账明细接口!$G$888),"")</f>
        <v/>
      </c>
      <c r="H888" s="60" t="str">
        <f aca="false">IFERROR(IF([1]对账明细接口!$H$888=0,"",[1]对账明细接口!$H$888),"")</f>
        <v/>
      </c>
      <c r="I888" s="59" t="str">
        <f aca="false">IFERROR(IF([1]对账明细接口!$I$888=0,"",[1]对账明细接口!$I$888),"")</f>
        <v/>
      </c>
      <c r="J888" s="61" t="str">
        <f aca="false">IFERROR(IF([1]对账明细接口!$J$888=0,"",[1]对账明细接口!$J$888),"")</f>
        <v/>
      </c>
      <c r="K888" s="61" t="str">
        <f aca="false">IFERROR(IF([1]对账明细接口!$K$888=0,"",[1]对账明细接口!$K$888),"")</f>
        <v/>
      </c>
      <c r="L888" s="59" t="str">
        <f aca="false">IFERROR(IF([1]对账明细接口!$L$888=0,"",[1]对账明细接口!$L$888),"")</f>
        <v/>
      </c>
      <c r="M888" s="59" t="str">
        <f aca="false">IFERROR(IF([1]对账明细接口!$M$888=0,"",[1]对账明细接口!$M$888),"")</f>
        <v/>
      </c>
      <c r="N888" s="111" t="n">
        <f aca="false">IF($C888="",0,1)</f>
        <v>0</v>
      </c>
      <c r="O888" s="111" t="n">
        <f aca="false">N(O887)+$N888</f>
        <v>110</v>
      </c>
      <c r="S888" s="10" t="str">
        <f aca="false">IFERROR(IF([1]对账明细接口!$N888=0,"",[1]对账明细接口!$N888),"")</f>
        <v/>
      </c>
      <c r="T888" s="112" t="str">
        <f aca="false">IFERROR(IF([1]对账明细接口!$O888=0,"",[1]对账明细接口!$O888),"")</f>
        <v/>
      </c>
      <c r="U888" s="112" t="str">
        <f aca="false">IFERROR(IF([1]对账明细接口!$P888=0,"",[1]对账明细接口!$P888),"")</f>
        <v/>
      </c>
      <c r="V888" s="112" t="str">
        <f aca="false">IFERROR(IF([1]对账明细接口!$Q888=0,"",[1]对账明细接口!$Q888),"")</f>
        <v/>
      </c>
      <c r="W888" s="10" t="str">
        <f aca="false">IFERROR(IF([1]对账明细接口!$R888=0,"",[1]对账明细接口!$R888),"")</f>
        <v/>
      </c>
      <c r="X888" s="10" t="str">
        <f aca="false">IFERROR(IF([1]对账明细接口!$S888=0,"",[1]对账明细接口!$S888),"")</f>
        <v/>
      </c>
      <c r="Y888" s="10" t="str">
        <f aca="false">""</f>
        <v/>
      </c>
      <c r="Z888" s="10" t="str">
        <f aca="false">""</f>
        <v/>
      </c>
      <c r="AA888" s="10" t="str">
        <f aca="false">""</f>
        <v/>
      </c>
      <c r="AB888" s="10" t="str">
        <f aca="false">""</f>
        <v/>
      </c>
    </row>
    <row r="889" customFormat="false" ht="13.5" hidden="false" customHeight="false" outlineLevel="0" collapsed="false">
      <c r="A889" s="109" t="n">
        <v>889</v>
      </c>
      <c r="B889" s="110" t="str">
        <f aca="false">IFERROR(IF([1]对账明细接口!$B$889=0,"",[1]对账明细接口!$B$889),"")</f>
        <v/>
      </c>
      <c r="C889" s="59" t="str">
        <f aca="false">IFERROR(IF([1]对账明细接口!$C$889=0,"",[1]对账明细接口!$C$889),"")</f>
        <v/>
      </c>
      <c r="D889" s="59" t="str">
        <f aca="false">IFERROR(IF([1]对账明细接口!$D$889=0,"",[1]对账明细接口!$D$889),"")</f>
        <v/>
      </c>
      <c r="E889" s="59" t="str">
        <f aca="false">IFERROR(IF([1]对账明细接口!$E$889=0,"",[1]对账明细接口!$E$889),"")</f>
        <v/>
      </c>
      <c r="F889" s="59" t="str">
        <f aca="false">IFERROR(IF([1]对账明细接口!$F$889=0,"",[1]对账明细接口!$F$889),"")</f>
        <v/>
      </c>
      <c r="G889" s="59" t="str">
        <f aca="false">IFERROR(IF([1]对账明细接口!$G$889=0,"",[1]对账明细接口!$G$889),"")</f>
        <v/>
      </c>
      <c r="H889" s="60" t="str">
        <f aca="false">IFERROR(IF([1]对账明细接口!$H$889=0,"",[1]对账明细接口!$H$889),"")</f>
        <v/>
      </c>
      <c r="I889" s="59" t="str">
        <f aca="false">IFERROR(IF([1]对账明细接口!$I$889=0,"",[1]对账明细接口!$I$889),"")</f>
        <v/>
      </c>
      <c r="J889" s="61" t="str">
        <f aca="false">IFERROR(IF([1]对账明细接口!$J$889=0,"",[1]对账明细接口!$J$889),"")</f>
        <v/>
      </c>
      <c r="K889" s="61" t="str">
        <f aca="false">IFERROR(IF([1]对账明细接口!$K$889=0,"",[1]对账明细接口!$K$889),"")</f>
        <v/>
      </c>
      <c r="L889" s="59" t="str">
        <f aca="false">IFERROR(IF([1]对账明细接口!$L$889=0,"",[1]对账明细接口!$L$889),"")</f>
        <v/>
      </c>
      <c r="M889" s="59" t="str">
        <f aca="false">IFERROR(IF([1]对账明细接口!$M$889=0,"",[1]对账明细接口!$M$889),"")</f>
        <v/>
      </c>
      <c r="N889" s="111" t="n">
        <f aca="false">IF($C889="",0,1)</f>
        <v>0</v>
      </c>
      <c r="O889" s="111" t="n">
        <f aca="false">N(O888)+$N889</f>
        <v>110</v>
      </c>
      <c r="S889" s="10" t="str">
        <f aca="false">IFERROR(IF([1]对账明细接口!$N889=0,"",[1]对账明细接口!$N889),"")</f>
        <v/>
      </c>
      <c r="T889" s="112" t="str">
        <f aca="false">IFERROR(IF([1]对账明细接口!$O889=0,"",[1]对账明细接口!$O889),"")</f>
        <v/>
      </c>
      <c r="U889" s="112" t="str">
        <f aca="false">IFERROR(IF([1]对账明细接口!$P889=0,"",[1]对账明细接口!$P889),"")</f>
        <v/>
      </c>
      <c r="V889" s="112" t="str">
        <f aca="false">IFERROR(IF([1]对账明细接口!$Q889=0,"",[1]对账明细接口!$Q889),"")</f>
        <v/>
      </c>
      <c r="W889" s="10" t="str">
        <f aca="false">IFERROR(IF([1]对账明细接口!$R889=0,"",[1]对账明细接口!$R889),"")</f>
        <v/>
      </c>
      <c r="X889" s="10" t="str">
        <f aca="false">IFERROR(IF([1]对账明细接口!$S889=0,"",[1]对账明细接口!$S889),"")</f>
        <v/>
      </c>
      <c r="Y889" s="10" t="str">
        <f aca="false">""</f>
        <v/>
      </c>
      <c r="Z889" s="10" t="str">
        <f aca="false">""</f>
        <v/>
      </c>
      <c r="AA889" s="10" t="str">
        <f aca="false">""</f>
        <v/>
      </c>
      <c r="AB889" s="10" t="str">
        <f aca="false">""</f>
        <v/>
      </c>
    </row>
    <row r="890" customFormat="false" ht="13.5" hidden="false" customHeight="false" outlineLevel="0" collapsed="false">
      <c r="A890" s="109" t="n">
        <v>890</v>
      </c>
      <c r="B890" s="110" t="str">
        <f aca="false">IFERROR(IF([1]对账明细接口!$B$890=0,"",[1]对账明细接口!$B$890),"")</f>
        <v/>
      </c>
      <c r="C890" s="59" t="str">
        <f aca="false">IFERROR(IF([1]对账明细接口!$C$890=0,"",[1]对账明细接口!$C$890),"")</f>
        <v/>
      </c>
      <c r="D890" s="59" t="str">
        <f aca="false">IFERROR(IF([1]对账明细接口!$D$890=0,"",[1]对账明细接口!$D$890),"")</f>
        <v/>
      </c>
      <c r="E890" s="59" t="str">
        <f aca="false">IFERROR(IF([1]对账明细接口!$E$890=0,"",[1]对账明细接口!$E$890),"")</f>
        <v/>
      </c>
      <c r="F890" s="59" t="str">
        <f aca="false">IFERROR(IF([1]对账明细接口!$F$890=0,"",[1]对账明细接口!$F$890),"")</f>
        <v/>
      </c>
      <c r="G890" s="59" t="str">
        <f aca="false">IFERROR(IF([1]对账明细接口!$G$890=0,"",[1]对账明细接口!$G$890),"")</f>
        <v/>
      </c>
      <c r="H890" s="60" t="str">
        <f aca="false">IFERROR(IF([1]对账明细接口!$H$890=0,"",[1]对账明细接口!$H$890),"")</f>
        <v/>
      </c>
      <c r="I890" s="59" t="str">
        <f aca="false">IFERROR(IF([1]对账明细接口!$I$890=0,"",[1]对账明细接口!$I$890),"")</f>
        <v/>
      </c>
      <c r="J890" s="61" t="str">
        <f aca="false">IFERROR(IF([1]对账明细接口!$J$890=0,"",[1]对账明细接口!$J$890),"")</f>
        <v/>
      </c>
      <c r="K890" s="61" t="str">
        <f aca="false">IFERROR(IF([1]对账明细接口!$K$890=0,"",[1]对账明细接口!$K$890),"")</f>
        <v/>
      </c>
      <c r="L890" s="59" t="str">
        <f aca="false">IFERROR(IF([1]对账明细接口!$L$890=0,"",[1]对账明细接口!$L$890),"")</f>
        <v/>
      </c>
      <c r="M890" s="59" t="str">
        <f aca="false">IFERROR(IF([1]对账明细接口!$M$890=0,"",[1]对账明细接口!$M$890),"")</f>
        <v/>
      </c>
      <c r="N890" s="111" t="n">
        <f aca="false">IF($C890="",0,1)</f>
        <v>0</v>
      </c>
      <c r="O890" s="111" t="n">
        <f aca="false">N(O889)+$N890</f>
        <v>110</v>
      </c>
      <c r="S890" s="10" t="str">
        <f aca="false">IFERROR(IF([1]对账明细接口!$N890=0,"",[1]对账明细接口!$N890),"")</f>
        <v/>
      </c>
      <c r="T890" s="112" t="str">
        <f aca="false">IFERROR(IF([1]对账明细接口!$O890=0,"",[1]对账明细接口!$O890),"")</f>
        <v/>
      </c>
      <c r="U890" s="112" t="str">
        <f aca="false">IFERROR(IF([1]对账明细接口!$P890=0,"",[1]对账明细接口!$P890),"")</f>
        <v/>
      </c>
      <c r="V890" s="112" t="str">
        <f aca="false">IFERROR(IF([1]对账明细接口!$Q890=0,"",[1]对账明细接口!$Q890),"")</f>
        <v/>
      </c>
      <c r="W890" s="10" t="str">
        <f aca="false">IFERROR(IF([1]对账明细接口!$R890=0,"",[1]对账明细接口!$R890),"")</f>
        <v/>
      </c>
      <c r="X890" s="10" t="str">
        <f aca="false">IFERROR(IF([1]对账明细接口!$S890=0,"",[1]对账明细接口!$S890),"")</f>
        <v/>
      </c>
      <c r="Y890" s="10" t="str">
        <f aca="false">""</f>
        <v/>
      </c>
      <c r="Z890" s="10" t="str">
        <f aca="false">""</f>
        <v/>
      </c>
      <c r="AA890" s="10" t="str">
        <f aca="false">""</f>
        <v/>
      </c>
      <c r="AB890" s="10" t="str">
        <f aca="false">""</f>
        <v/>
      </c>
    </row>
    <row r="891" customFormat="false" ht="13.5" hidden="false" customHeight="false" outlineLevel="0" collapsed="false">
      <c r="A891" s="109" t="n">
        <v>891</v>
      </c>
      <c r="B891" s="110" t="str">
        <f aca="false">IFERROR(IF([1]对账明细接口!$B$891=0,"",[1]对账明细接口!$B$891),"")</f>
        <v/>
      </c>
      <c r="C891" s="59" t="str">
        <f aca="false">IFERROR(IF([1]对账明细接口!$C$891=0,"",[1]对账明细接口!$C$891),"")</f>
        <v/>
      </c>
      <c r="D891" s="59" t="str">
        <f aca="false">IFERROR(IF([1]对账明细接口!$D$891=0,"",[1]对账明细接口!$D$891),"")</f>
        <v/>
      </c>
      <c r="E891" s="59" t="str">
        <f aca="false">IFERROR(IF([1]对账明细接口!$E$891=0,"",[1]对账明细接口!$E$891),"")</f>
        <v/>
      </c>
      <c r="F891" s="59" t="str">
        <f aca="false">IFERROR(IF([1]对账明细接口!$F$891=0,"",[1]对账明细接口!$F$891),"")</f>
        <v/>
      </c>
      <c r="G891" s="59" t="str">
        <f aca="false">IFERROR(IF([1]对账明细接口!$G$891=0,"",[1]对账明细接口!$G$891),"")</f>
        <v/>
      </c>
      <c r="H891" s="60" t="str">
        <f aca="false">IFERROR(IF([1]对账明细接口!$H$891=0,"",[1]对账明细接口!$H$891),"")</f>
        <v/>
      </c>
      <c r="I891" s="59" t="str">
        <f aca="false">IFERROR(IF([1]对账明细接口!$I$891=0,"",[1]对账明细接口!$I$891),"")</f>
        <v/>
      </c>
      <c r="J891" s="61" t="str">
        <f aca="false">IFERROR(IF([1]对账明细接口!$J$891=0,"",[1]对账明细接口!$J$891),"")</f>
        <v/>
      </c>
      <c r="K891" s="61" t="str">
        <f aca="false">IFERROR(IF([1]对账明细接口!$K$891=0,"",[1]对账明细接口!$K$891),"")</f>
        <v/>
      </c>
      <c r="L891" s="59" t="str">
        <f aca="false">IFERROR(IF([1]对账明细接口!$L$891=0,"",[1]对账明细接口!$L$891),"")</f>
        <v/>
      </c>
      <c r="M891" s="59" t="str">
        <f aca="false">IFERROR(IF([1]对账明细接口!$M$891=0,"",[1]对账明细接口!$M$891),"")</f>
        <v/>
      </c>
      <c r="N891" s="111" t="n">
        <f aca="false">IF($C891="",0,1)</f>
        <v>0</v>
      </c>
      <c r="O891" s="111" t="n">
        <f aca="false">N(O890)+$N891</f>
        <v>110</v>
      </c>
      <c r="S891" s="10" t="str">
        <f aca="false">IFERROR(IF([1]对账明细接口!$N891=0,"",[1]对账明细接口!$N891),"")</f>
        <v/>
      </c>
      <c r="T891" s="112" t="str">
        <f aca="false">IFERROR(IF([1]对账明细接口!$O891=0,"",[1]对账明细接口!$O891),"")</f>
        <v/>
      </c>
      <c r="U891" s="112" t="str">
        <f aca="false">IFERROR(IF([1]对账明细接口!$P891=0,"",[1]对账明细接口!$P891),"")</f>
        <v/>
      </c>
      <c r="V891" s="112" t="str">
        <f aca="false">IFERROR(IF([1]对账明细接口!$Q891=0,"",[1]对账明细接口!$Q891),"")</f>
        <v/>
      </c>
      <c r="W891" s="10" t="str">
        <f aca="false">IFERROR(IF([1]对账明细接口!$R891=0,"",[1]对账明细接口!$R891),"")</f>
        <v/>
      </c>
      <c r="X891" s="10" t="str">
        <f aca="false">IFERROR(IF([1]对账明细接口!$S891=0,"",[1]对账明细接口!$S891),"")</f>
        <v/>
      </c>
      <c r="Y891" s="10" t="str">
        <f aca="false">""</f>
        <v/>
      </c>
      <c r="Z891" s="10" t="str">
        <f aca="false">""</f>
        <v/>
      </c>
      <c r="AA891" s="10" t="str">
        <f aca="false">""</f>
        <v/>
      </c>
      <c r="AB891" s="10" t="str">
        <f aca="false">""</f>
        <v/>
      </c>
    </row>
    <row r="892" customFormat="false" ht="13.5" hidden="false" customHeight="false" outlineLevel="0" collapsed="false">
      <c r="A892" s="109" t="n">
        <v>892</v>
      </c>
      <c r="B892" s="110" t="str">
        <f aca="false">IFERROR(IF([1]对账明细接口!$B$892=0,"",[1]对账明细接口!$B$892),"")</f>
        <v/>
      </c>
      <c r="C892" s="59" t="str">
        <f aca="false">IFERROR(IF([1]对账明细接口!$C$892=0,"",[1]对账明细接口!$C$892),"")</f>
        <v/>
      </c>
      <c r="D892" s="59" t="str">
        <f aca="false">IFERROR(IF([1]对账明细接口!$D$892=0,"",[1]对账明细接口!$D$892),"")</f>
        <v/>
      </c>
      <c r="E892" s="59" t="str">
        <f aca="false">IFERROR(IF([1]对账明细接口!$E$892=0,"",[1]对账明细接口!$E$892),"")</f>
        <v/>
      </c>
      <c r="F892" s="59" t="str">
        <f aca="false">IFERROR(IF([1]对账明细接口!$F$892=0,"",[1]对账明细接口!$F$892),"")</f>
        <v/>
      </c>
      <c r="G892" s="59" t="str">
        <f aca="false">IFERROR(IF([1]对账明细接口!$G$892=0,"",[1]对账明细接口!$G$892),"")</f>
        <v/>
      </c>
      <c r="H892" s="60" t="str">
        <f aca="false">IFERROR(IF([1]对账明细接口!$H$892=0,"",[1]对账明细接口!$H$892),"")</f>
        <v/>
      </c>
      <c r="I892" s="59" t="str">
        <f aca="false">IFERROR(IF([1]对账明细接口!$I$892=0,"",[1]对账明细接口!$I$892),"")</f>
        <v/>
      </c>
      <c r="J892" s="61" t="str">
        <f aca="false">IFERROR(IF([1]对账明细接口!$J$892=0,"",[1]对账明细接口!$J$892),"")</f>
        <v/>
      </c>
      <c r="K892" s="61" t="str">
        <f aca="false">IFERROR(IF([1]对账明细接口!$K$892=0,"",[1]对账明细接口!$K$892),"")</f>
        <v/>
      </c>
      <c r="L892" s="59" t="str">
        <f aca="false">IFERROR(IF([1]对账明细接口!$L$892=0,"",[1]对账明细接口!$L$892),"")</f>
        <v/>
      </c>
      <c r="M892" s="59" t="str">
        <f aca="false">IFERROR(IF([1]对账明细接口!$M$892=0,"",[1]对账明细接口!$M$892),"")</f>
        <v/>
      </c>
      <c r="N892" s="111" t="n">
        <f aca="false">IF($C892="",0,1)</f>
        <v>0</v>
      </c>
      <c r="O892" s="111" t="n">
        <f aca="false">N(O891)+$N892</f>
        <v>110</v>
      </c>
      <c r="S892" s="10" t="str">
        <f aca="false">IFERROR(IF([1]对账明细接口!$N892=0,"",[1]对账明细接口!$N892),"")</f>
        <v/>
      </c>
      <c r="T892" s="112" t="str">
        <f aca="false">IFERROR(IF([1]对账明细接口!$O892=0,"",[1]对账明细接口!$O892),"")</f>
        <v/>
      </c>
      <c r="U892" s="112" t="str">
        <f aca="false">IFERROR(IF([1]对账明细接口!$P892=0,"",[1]对账明细接口!$P892),"")</f>
        <v/>
      </c>
      <c r="V892" s="112" t="str">
        <f aca="false">IFERROR(IF([1]对账明细接口!$Q892=0,"",[1]对账明细接口!$Q892),"")</f>
        <v/>
      </c>
      <c r="W892" s="10" t="str">
        <f aca="false">IFERROR(IF([1]对账明细接口!$R892=0,"",[1]对账明细接口!$R892),"")</f>
        <v/>
      </c>
      <c r="X892" s="10" t="str">
        <f aca="false">IFERROR(IF([1]对账明细接口!$S892=0,"",[1]对账明细接口!$S892),"")</f>
        <v/>
      </c>
      <c r="Y892" s="10" t="str">
        <f aca="false">""</f>
        <v/>
      </c>
      <c r="Z892" s="10" t="str">
        <f aca="false">""</f>
        <v/>
      </c>
      <c r="AA892" s="10" t="str">
        <f aca="false">""</f>
        <v/>
      </c>
      <c r="AB892" s="10" t="str">
        <f aca="false">""</f>
        <v/>
      </c>
    </row>
    <row r="893" customFormat="false" ht="13.5" hidden="false" customHeight="false" outlineLevel="0" collapsed="false">
      <c r="A893" s="109" t="n">
        <v>893</v>
      </c>
      <c r="B893" s="110" t="str">
        <f aca="false">IFERROR(IF([1]对账明细接口!$B$893=0,"",[1]对账明细接口!$B$893),"")</f>
        <v/>
      </c>
      <c r="C893" s="59" t="str">
        <f aca="false">IFERROR(IF([1]对账明细接口!$C$893=0,"",[1]对账明细接口!$C$893),"")</f>
        <v/>
      </c>
      <c r="D893" s="59" t="str">
        <f aca="false">IFERROR(IF([1]对账明细接口!$D$893=0,"",[1]对账明细接口!$D$893),"")</f>
        <v/>
      </c>
      <c r="E893" s="59" t="str">
        <f aca="false">IFERROR(IF([1]对账明细接口!$E$893=0,"",[1]对账明细接口!$E$893),"")</f>
        <v/>
      </c>
      <c r="F893" s="59" t="str">
        <f aca="false">IFERROR(IF([1]对账明细接口!$F$893=0,"",[1]对账明细接口!$F$893),"")</f>
        <v/>
      </c>
      <c r="G893" s="59" t="str">
        <f aca="false">IFERROR(IF([1]对账明细接口!$G$893=0,"",[1]对账明细接口!$G$893),"")</f>
        <v/>
      </c>
      <c r="H893" s="60" t="str">
        <f aca="false">IFERROR(IF([1]对账明细接口!$H$893=0,"",[1]对账明细接口!$H$893),"")</f>
        <v/>
      </c>
      <c r="I893" s="59" t="str">
        <f aca="false">IFERROR(IF([1]对账明细接口!$I$893=0,"",[1]对账明细接口!$I$893),"")</f>
        <v/>
      </c>
      <c r="J893" s="61" t="str">
        <f aca="false">IFERROR(IF([1]对账明细接口!$J$893=0,"",[1]对账明细接口!$J$893),"")</f>
        <v/>
      </c>
      <c r="K893" s="61" t="str">
        <f aca="false">IFERROR(IF([1]对账明细接口!$K$893=0,"",[1]对账明细接口!$K$893),"")</f>
        <v/>
      </c>
      <c r="L893" s="59" t="str">
        <f aca="false">IFERROR(IF([1]对账明细接口!$L$893=0,"",[1]对账明细接口!$L$893),"")</f>
        <v/>
      </c>
      <c r="M893" s="59" t="str">
        <f aca="false">IFERROR(IF([1]对账明细接口!$M$893=0,"",[1]对账明细接口!$M$893),"")</f>
        <v/>
      </c>
      <c r="N893" s="111" t="n">
        <f aca="false">IF($C893="",0,1)</f>
        <v>0</v>
      </c>
      <c r="O893" s="111" t="n">
        <f aca="false">N(O892)+$N893</f>
        <v>110</v>
      </c>
      <c r="S893" s="10" t="str">
        <f aca="false">IFERROR(IF([1]对账明细接口!$N893=0,"",[1]对账明细接口!$N893),"")</f>
        <v/>
      </c>
      <c r="T893" s="112" t="str">
        <f aca="false">IFERROR(IF([1]对账明细接口!$O893=0,"",[1]对账明细接口!$O893),"")</f>
        <v/>
      </c>
      <c r="U893" s="112" t="str">
        <f aca="false">IFERROR(IF([1]对账明细接口!$P893=0,"",[1]对账明细接口!$P893),"")</f>
        <v/>
      </c>
      <c r="V893" s="112" t="str">
        <f aca="false">IFERROR(IF([1]对账明细接口!$Q893=0,"",[1]对账明细接口!$Q893),"")</f>
        <v/>
      </c>
      <c r="W893" s="10" t="str">
        <f aca="false">IFERROR(IF([1]对账明细接口!$R893=0,"",[1]对账明细接口!$R893),"")</f>
        <v/>
      </c>
      <c r="X893" s="10" t="str">
        <f aca="false">IFERROR(IF([1]对账明细接口!$S893=0,"",[1]对账明细接口!$S893),"")</f>
        <v/>
      </c>
      <c r="Y893" s="10" t="str">
        <f aca="false">""</f>
        <v/>
      </c>
      <c r="Z893" s="10" t="str">
        <f aca="false">""</f>
        <v/>
      </c>
      <c r="AA893" s="10" t="str">
        <f aca="false">""</f>
        <v/>
      </c>
      <c r="AB893" s="10" t="str">
        <f aca="false">""</f>
        <v/>
      </c>
    </row>
    <row r="894" customFormat="false" ht="13.5" hidden="false" customHeight="false" outlineLevel="0" collapsed="false">
      <c r="A894" s="109" t="n">
        <v>894</v>
      </c>
      <c r="B894" s="110" t="str">
        <f aca="false">IFERROR(IF([1]对账明细接口!$B$894=0,"",[1]对账明细接口!$B$894),"")</f>
        <v/>
      </c>
      <c r="C894" s="59" t="str">
        <f aca="false">IFERROR(IF([1]对账明细接口!$C$894=0,"",[1]对账明细接口!$C$894),"")</f>
        <v/>
      </c>
      <c r="D894" s="59" t="str">
        <f aca="false">IFERROR(IF([1]对账明细接口!$D$894=0,"",[1]对账明细接口!$D$894),"")</f>
        <v/>
      </c>
      <c r="E894" s="59" t="str">
        <f aca="false">IFERROR(IF([1]对账明细接口!$E$894=0,"",[1]对账明细接口!$E$894),"")</f>
        <v/>
      </c>
      <c r="F894" s="59" t="str">
        <f aca="false">IFERROR(IF([1]对账明细接口!$F$894=0,"",[1]对账明细接口!$F$894),"")</f>
        <v/>
      </c>
      <c r="G894" s="59" t="str">
        <f aca="false">IFERROR(IF([1]对账明细接口!$G$894=0,"",[1]对账明细接口!$G$894),"")</f>
        <v/>
      </c>
      <c r="H894" s="60" t="str">
        <f aca="false">IFERROR(IF([1]对账明细接口!$H$894=0,"",[1]对账明细接口!$H$894),"")</f>
        <v/>
      </c>
      <c r="I894" s="59" t="str">
        <f aca="false">IFERROR(IF([1]对账明细接口!$I$894=0,"",[1]对账明细接口!$I$894),"")</f>
        <v/>
      </c>
      <c r="J894" s="61" t="str">
        <f aca="false">IFERROR(IF([1]对账明细接口!$J$894=0,"",[1]对账明细接口!$J$894),"")</f>
        <v/>
      </c>
      <c r="K894" s="61" t="str">
        <f aca="false">IFERROR(IF([1]对账明细接口!$K$894=0,"",[1]对账明细接口!$K$894),"")</f>
        <v/>
      </c>
      <c r="L894" s="59" t="str">
        <f aca="false">IFERROR(IF([1]对账明细接口!$L$894=0,"",[1]对账明细接口!$L$894),"")</f>
        <v/>
      </c>
      <c r="M894" s="59" t="str">
        <f aca="false">IFERROR(IF([1]对账明细接口!$M$894=0,"",[1]对账明细接口!$M$894),"")</f>
        <v/>
      </c>
      <c r="N894" s="111" t="n">
        <f aca="false">IF($C894="",0,1)</f>
        <v>0</v>
      </c>
      <c r="O894" s="111" t="n">
        <f aca="false">N(O893)+$N894</f>
        <v>110</v>
      </c>
      <c r="S894" s="10" t="str">
        <f aca="false">IFERROR(IF([1]对账明细接口!$N894=0,"",[1]对账明细接口!$N894),"")</f>
        <v/>
      </c>
      <c r="T894" s="112" t="str">
        <f aca="false">IFERROR(IF([1]对账明细接口!$O894=0,"",[1]对账明细接口!$O894),"")</f>
        <v/>
      </c>
      <c r="U894" s="112" t="str">
        <f aca="false">IFERROR(IF([1]对账明细接口!$P894=0,"",[1]对账明细接口!$P894),"")</f>
        <v/>
      </c>
      <c r="V894" s="112" t="str">
        <f aca="false">IFERROR(IF([1]对账明细接口!$Q894=0,"",[1]对账明细接口!$Q894),"")</f>
        <v/>
      </c>
      <c r="W894" s="10" t="str">
        <f aca="false">IFERROR(IF([1]对账明细接口!$R894=0,"",[1]对账明细接口!$R894),"")</f>
        <v/>
      </c>
      <c r="X894" s="10" t="str">
        <f aca="false">IFERROR(IF([1]对账明细接口!$S894=0,"",[1]对账明细接口!$S894),"")</f>
        <v/>
      </c>
      <c r="Y894" s="10" t="str">
        <f aca="false">""</f>
        <v/>
      </c>
      <c r="Z894" s="10" t="str">
        <f aca="false">""</f>
        <v/>
      </c>
      <c r="AA894" s="10" t="str">
        <f aca="false">""</f>
        <v/>
      </c>
      <c r="AB894" s="10" t="str">
        <f aca="false">""</f>
        <v/>
      </c>
    </row>
    <row r="895" customFormat="false" ht="13.5" hidden="false" customHeight="false" outlineLevel="0" collapsed="false">
      <c r="A895" s="109" t="n">
        <v>895</v>
      </c>
      <c r="B895" s="110" t="str">
        <f aca="false">IFERROR(IF([1]对账明细接口!$B$895=0,"",[1]对账明细接口!$B$895),"")</f>
        <v/>
      </c>
      <c r="C895" s="59" t="str">
        <f aca="false">IFERROR(IF([1]对账明细接口!$C$895=0,"",[1]对账明细接口!$C$895),"")</f>
        <v/>
      </c>
      <c r="D895" s="59" t="str">
        <f aca="false">IFERROR(IF([1]对账明细接口!$D$895=0,"",[1]对账明细接口!$D$895),"")</f>
        <v/>
      </c>
      <c r="E895" s="59" t="str">
        <f aca="false">IFERROR(IF([1]对账明细接口!$E$895=0,"",[1]对账明细接口!$E$895),"")</f>
        <v/>
      </c>
      <c r="F895" s="59" t="str">
        <f aca="false">IFERROR(IF([1]对账明细接口!$F$895=0,"",[1]对账明细接口!$F$895),"")</f>
        <v/>
      </c>
      <c r="G895" s="59" t="str">
        <f aca="false">IFERROR(IF([1]对账明细接口!$G$895=0,"",[1]对账明细接口!$G$895),"")</f>
        <v/>
      </c>
      <c r="H895" s="60" t="str">
        <f aca="false">IFERROR(IF([1]对账明细接口!$H$895=0,"",[1]对账明细接口!$H$895),"")</f>
        <v/>
      </c>
      <c r="I895" s="59" t="str">
        <f aca="false">IFERROR(IF([1]对账明细接口!$I$895=0,"",[1]对账明细接口!$I$895),"")</f>
        <v/>
      </c>
      <c r="J895" s="61" t="str">
        <f aca="false">IFERROR(IF([1]对账明细接口!$J$895=0,"",[1]对账明细接口!$J$895),"")</f>
        <v/>
      </c>
      <c r="K895" s="61" t="str">
        <f aca="false">IFERROR(IF([1]对账明细接口!$K$895=0,"",[1]对账明细接口!$K$895),"")</f>
        <v/>
      </c>
      <c r="L895" s="59" t="str">
        <f aca="false">IFERROR(IF([1]对账明细接口!$L$895=0,"",[1]对账明细接口!$L$895),"")</f>
        <v/>
      </c>
      <c r="M895" s="59" t="str">
        <f aca="false">IFERROR(IF([1]对账明细接口!$M$895=0,"",[1]对账明细接口!$M$895),"")</f>
        <v/>
      </c>
      <c r="N895" s="111" t="n">
        <f aca="false">IF($C895="",0,1)</f>
        <v>0</v>
      </c>
      <c r="O895" s="111" t="n">
        <f aca="false">N(O894)+$N895</f>
        <v>110</v>
      </c>
      <c r="S895" s="10" t="str">
        <f aca="false">IFERROR(IF([1]对账明细接口!$N895=0,"",[1]对账明细接口!$N895),"")</f>
        <v/>
      </c>
      <c r="T895" s="112" t="str">
        <f aca="false">IFERROR(IF([1]对账明细接口!$O895=0,"",[1]对账明细接口!$O895),"")</f>
        <v/>
      </c>
      <c r="U895" s="112" t="str">
        <f aca="false">IFERROR(IF([1]对账明细接口!$P895=0,"",[1]对账明细接口!$P895),"")</f>
        <v/>
      </c>
      <c r="V895" s="112" t="str">
        <f aca="false">IFERROR(IF([1]对账明细接口!$Q895=0,"",[1]对账明细接口!$Q895),"")</f>
        <v/>
      </c>
      <c r="W895" s="10" t="str">
        <f aca="false">IFERROR(IF([1]对账明细接口!$R895=0,"",[1]对账明细接口!$R895),"")</f>
        <v/>
      </c>
      <c r="X895" s="10" t="str">
        <f aca="false">IFERROR(IF([1]对账明细接口!$S895=0,"",[1]对账明细接口!$S895),"")</f>
        <v/>
      </c>
      <c r="Y895" s="10" t="str">
        <f aca="false">""</f>
        <v/>
      </c>
      <c r="Z895" s="10" t="str">
        <f aca="false">""</f>
        <v/>
      </c>
      <c r="AA895" s="10" t="str">
        <f aca="false">""</f>
        <v/>
      </c>
      <c r="AB895" s="10" t="str">
        <f aca="false">""</f>
        <v/>
      </c>
    </row>
    <row r="896" customFormat="false" ht="13.5" hidden="false" customHeight="false" outlineLevel="0" collapsed="false">
      <c r="A896" s="109" t="n">
        <v>896</v>
      </c>
      <c r="B896" s="110" t="str">
        <f aca="false">IFERROR(IF([1]对账明细接口!$B$896=0,"",[1]对账明细接口!$B$896),"")</f>
        <v/>
      </c>
      <c r="C896" s="59" t="str">
        <f aca="false">IFERROR(IF([1]对账明细接口!$C$896=0,"",[1]对账明细接口!$C$896),"")</f>
        <v/>
      </c>
      <c r="D896" s="59" t="str">
        <f aca="false">IFERROR(IF([1]对账明细接口!$D$896=0,"",[1]对账明细接口!$D$896),"")</f>
        <v/>
      </c>
      <c r="E896" s="59" t="str">
        <f aca="false">IFERROR(IF([1]对账明细接口!$E$896=0,"",[1]对账明细接口!$E$896),"")</f>
        <v/>
      </c>
      <c r="F896" s="59" t="str">
        <f aca="false">IFERROR(IF([1]对账明细接口!$F$896=0,"",[1]对账明细接口!$F$896),"")</f>
        <v/>
      </c>
      <c r="G896" s="59" t="str">
        <f aca="false">IFERROR(IF([1]对账明细接口!$G$896=0,"",[1]对账明细接口!$G$896),"")</f>
        <v/>
      </c>
      <c r="H896" s="60" t="str">
        <f aca="false">IFERROR(IF([1]对账明细接口!$H$896=0,"",[1]对账明细接口!$H$896),"")</f>
        <v/>
      </c>
      <c r="I896" s="59" t="str">
        <f aca="false">IFERROR(IF([1]对账明细接口!$I$896=0,"",[1]对账明细接口!$I$896),"")</f>
        <v/>
      </c>
      <c r="J896" s="61" t="str">
        <f aca="false">IFERROR(IF([1]对账明细接口!$J$896=0,"",[1]对账明细接口!$J$896),"")</f>
        <v/>
      </c>
      <c r="K896" s="61" t="str">
        <f aca="false">IFERROR(IF([1]对账明细接口!$K$896=0,"",[1]对账明细接口!$K$896),"")</f>
        <v/>
      </c>
      <c r="L896" s="59" t="str">
        <f aca="false">IFERROR(IF([1]对账明细接口!$L$896=0,"",[1]对账明细接口!$L$896),"")</f>
        <v/>
      </c>
      <c r="M896" s="59" t="str">
        <f aca="false">IFERROR(IF([1]对账明细接口!$M$896=0,"",[1]对账明细接口!$M$896),"")</f>
        <v/>
      </c>
      <c r="N896" s="111" t="n">
        <f aca="false">IF($C896="",0,1)</f>
        <v>0</v>
      </c>
      <c r="O896" s="111" t="n">
        <f aca="false">N(O895)+$N896</f>
        <v>110</v>
      </c>
      <c r="S896" s="10" t="str">
        <f aca="false">IFERROR(IF([1]对账明细接口!$N896=0,"",[1]对账明细接口!$N896),"")</f>
        <v/>
      </c>
      <c r="T896" s="112" t="str">
        <f aca="false">IFERROR(IF([1]对账明细接口!$O896=0,"",[1]对账明细接口!$O896),"")</f>
        <v/>
      </c>
      <c r="U896" s="112" t="str">
        <f aca="false">IFERROR(IF([1]对账明细接口!$P896=0,"",[1]对账明细接口!$P896),"")</f>
        <v/>
      </c>
      <c r="V896" s="112" t="str">
        <f aca="false">IFERROR(IF([1]对账明细接口!$Q896=0,"",[1]对账明细接口!$Q896),"")</f>
        <v/>
      </c>
      <c r="W896" s="10" t="str">
        <f aca="false">IFERROR(IF([1]对账明细接口!$R896=0,"",[1]对账明细接口!$R896),"")</f>
        <v/>
      </c>
      <c r="X896" s="10" t="str">
        <f aca="false">IFERROR(IF([1]对账明细接口!$S896=0,"",[1]对账明细接口!$S896),"")</f>
        <v/>
      </c>
      <c r="Y896" s="10" t="str">
        <f aca="false">""</f>
        <v/>
      </c>
      <c r="Z896" s="10" t="str">
        <f aca="false">""</f>
        <v/>
      </c>
      <c r="AA896" s="10" t="str">
        <f aca="false">""</f>
        <v/>
      </c>
      <c r="AB896" s="10" t="str">
        <f aca="false">""</f>
        <v/>
      </c>
    </row>
    <row r="897" customFormat="false" ht="13.5" hidden="false" customHeight="false" outlineLevel="0" collapsed="false">
      <c r="A897" s="109" t="n">
        <v>897</v>
      </c>
      <c r="B897" s="110" t="str">
        <f aca="false">IFERROR(IF([1]对账明细接口!$B$897=0,"",[1]对账明细接口!$B$897),"")</f>
        <v/>
      </c>
      <c r="C897" s="59" t="str">
        <f aca="false">IFERROR(IF([1]对账明细接口!$C$897=0,"",[1]对账明细接口!$C$897),"")</f>
        <v/>
      </c>
      <c r="D897" s="59" t="str">
        <f aca="false">IFERROR(IF([1]对账明细接口!$D$897=0,"",[1]对账明细接口!$D$897),"")</f>
        <v/>
      </c>
      <c r="E897" s="59" t="str">
        <f aca="false">IFERROR(IF([1]对账明细接口!$E$897=0,"",[1]对账明细接口!$E$897),"")</f>
        <v/>
      </c>
      <c r="F897" s="59" t="str">
        <f aca="false">IFERROR(IF([1]对账明细接口!$F$897=0,"",[1]对账明细接口!$F$897),"")</f>
        <v/>
      </c>
      <c r="G897" s="59" t="str">
        <f aca="false">IFERROR(IF([1]对账明细接口!$G$897=0,"",[1]对账明细接口!$G$897),"")</f>
        <v/>
      </c>
      <c r="H897" s="60" t="str">
        <f aca="false">IFERROR(IF([1]对账明细接口!$H$897=0,"",[1]对账明细接口!$H$897),"")</f>
        <v/>
      </c>
      <c r="I897" s="59" t="str">
        <f aca="false">IFERROR(IF([1]对账明细接口!$I$897=0,"",[1]对账明细接口!$I$897),"")</f>
        <v/>
      </c>
      <c r="J897" s="61" t="str">
        <f aca="false">IFERROR(IF([1]对账明细接口!$J$897=0,"",[1]对账明细接口!$J$897),"")</f>
        <v/>
      </c>
      <c r="K897" s="61" t="str">
        <f aca="false">IFERROR(IF([1]对账明细接口!$K$897=0,"",[1]对账明细接口!$K$897),"")</f>
        <v/>
      </c>
      <c r="L897" s="59" t="str">
        <f aca="false">IFERROR(IF([1]对账明细接口!$L$897=0,"",[1]对账明细接口!$L$897),"")</f>
        <v/>
      </c>
      <c r="M897" s="59" t="str">
        <f aca="false">IFERROR(IF([1]对账明细接口!$M$897=0,"",[1]对账明细接口!$M$897),"")</f>
        <v/>
      </c>
      <c r="N897" s="111" t="n">
        <f aca="false">IF($C897="",0,1)</f>
        <v>0</v>
      </c>
      <c r="O897" s="111" t="n">
        <f aca="false">N(O896)+$N897</f>
        <v>110</v>
      </c>
      <c r="S897" s="10" t="str">
        <f aca="false">IFERROR(IF([1]对账明细接口!$N897=0,"",[1]对账明细接口!$N897),"")</f>
        <v/>
      </c>
      <c r="T897" s="112" t="str">
        <f aca="false">IFERROR(IF([1]对账明细接口!$O897=0,"",[1]对账明细接口!$O897),"")</f>
        <v/>
      </c>
      <c r="U897" s="112" t="str">
        <f aca="false">IFERROR(IF([1]对账明细接口!$P897=0,"",[1]对账明细接口!$P897),"")</f>
        <v/>
      </c>
      <c r="V897" s="112" t="str">
        <f aca="false">IFERROR(IF([1]对账明细接口!$Q897=0,"",[1]对账明细接口!$Q897),"")</f>
        <v/>
      </c>
      <c r="W897" s="10" t="str">
        <f aca="false">IFERROR(IF([1]对账明细接口!$R897=0,"",[1]对账明细接口!$R897),"")</f>
        <v/>
      </c>
      <c r="X897" s="10" t="str">
        <f aca="false">IFERROR(IF([1]对账明细接口!$S897=0,"",[1]对账明细接口!$S897),"")</f>
        <v/>
      </c>
      <c r="Y897" s="10" t="str">
        <f aca="false">""</f>
        <v/>
      </c>
      <c r="Z897" s="10" t="str">
        <f aca="false">""</f>
        <v/>
      </c>
      <c r="AA897" s="10" t="str">
        <f aca="false">""</f>
        <v/>
      </c>
      <c r="AB897" s="10" t="str">
        <f aca="false">""</f>
        <v/>
      </c>
    </row>
    <row r="898" customFormat="false" ht="13.5" hidden="false" customHeight="false" outlineLevel="0" collapsed="false">
      <c r="A898" s="109" t="n">
        <v>898</v>
      </c>
      <c r="B898" s="110" t="str">
        <f aca="false">IFERROR(IF([1]对账明细接口!$B$898=0,"",[1]对账明细接口!$B$898),"")</f>
        <v/>
      </c>
      <c r="C898" s="59" t="str">
        <f aca="false">IFERROR(IF([1]对账明细接口!$C$898=0,"",[1]对账明细接口!$C$898),"")</f>
        <v/>
      </c>
      <c r="D898" s="59" t="str">
        <f aca="false">IFERROR(IF([1]对账明细接口!$D$898=0,"",[1]对账明细接口!$D$898),"")</f>
        <v/>
      </c>
      <c r="E898" s="59" t="str">
        <f aca="false">IFERROR(IF([1]对账明细接口!$E$898=0,"",[1]对账明细接口!$E$898),"")</f>
        <v/>
      </c>
      <c r="F898" s="59" t="str">
        <f aca="false">IFERROR(IF([1]对账明细接口!$F$898=0,"",[1]对账明细接口!$F$898),"")</f>
        <v/>
      </c>
      <c r="G898" s="59" t="str">
        <f aca="false">IFERROR(IF([1]对账明细接口!$G$898=0,"",[1]对账明细接口!$G$898),"")</f>
        <v/>
      </c>
      <c r="H898" s="60" t="str">
        <f aca="false">IFERROR(IF([1]对账明细接口!$H$898=0,"",[1]对账明细接口!$H$898),"")</f>
        <v/>
      </c>
      <c r="I898" s="59" t="str">
        <f aca="false">IFERROR(IF([1]对账明细接口!$I$898=0,"",[1]对账明细接口!$I$898),"")</f>
        <v/>
      </c>
      <c r="J898" s="61" t="str">
        <f aca="false">IFERROR(IF([1]对账明细接口!$J$898=0,"",[1]对账明细接口!$J$898),"")</f>
        <v/>
      </c>
      <c r="K898" s="61" t="str">
        <f aca="false">IFERROR(IF([1]对账明细接口!$K$898=0,"",[1]对账明细接口!$K$898),"")</f>
        <v/>
      </c>
      <c r="L898" s="59" t="str">
        <f aca="false">IFERROR(IF([1]对账明细接口!$L$898=0,"",[1]对账明细接口!$L$898),"")</f>
        <v/>
      </c>
      <c r="M898" s="59" t="str">
        <f aca="false">IFERROR(IF([1]对账明细接口!$M$898=0,"",[1]对账明细接口!$M$898),"")</f>
        <v/>
      </c>
      <c r="N898" s="111" t="n">
        <f aca="false">IF($C898="",0,1)</f>
        <v>0</v>
      </c>
      <c r="O898" s="111" t="n">
        <f aca="false">N(O897)+$N898</f>
        <v>110</v>
      </c>
      <c r="S898" s="10" t="str">
        <f aca="false">IFERROR(IF([1]对账明细接口!$N898=0,"",[1]对账明细接口!$N898),"")</f>
        <v/>
      </c>
      <c r="T898" s="112" t="str">
        <f aca="false">IFERROR(IF([1]对账明细接口!$O898=0,"",[1]对账明细接口!$O898),"")</f>
        <v/>
      </c>
      <c r="U898" s="112" t="str">
        <f aca="false">IFERROR(IF([1]对账明细接口!$P898=0,"",[1]对账明细接口!$P898),"")</f>
        <v/>
      </c>
      <c r="V898" s="112" t="str">
        <f aca="false">IFERROR(IF([1]对账明细接口!$Q898=0,"",[1]对账明细接口!$Q898),"")</f>
        <v/>
      </c>
      <c r="W898" s="10" t="str">
        <f aca="false">IFERROR(IF([1]对账明细接口!$R898=0,"",[1]对账明细接口!$R898),"")</f>
        <v/>
      </c>
      <c r="X898" s="10" t="str">
        <f aca="false">IFERROR(IF([1]对账明细接口!$S898=0,"",[1]对账明细接口!$S898),"")</f>
        <v/>
      </c>
      <c r="Y898" s="10" t="str">
        <f aca="false">""</f>
        <v/>
      </c>
      <c r="Z898" s="10" t="str">
        <f aca="false">""</f>
        <v/>
      </c>
      <c r="AA898" s="10" t="str">
        <f aca="false">""</f>
        <v/>
      </c>
      <c r="AB898" s="10" t="str">
        <f aca="false">""</f>
        <v/>
      </c>
    </row>
    <row r="899" customFormat="false" ht="13.5" hidden="false" customHeight="false" outlineLevel="0" collapsed="false">
      <c r="A899" s="109" t="n">
        <v>899</v>
      </c>
      <c r="B899" s="110" t="str">
        <f aca="false">IFERROR(IF([1]对账明细接口!$B$899=0,"",[1]对账明细接口!$B$899),"")</f>
        <v/>
      </c>
      <c r="C899" s="59" t="str">
        <f aca="false">IFERROR(IF([1]对账明细接口!$C$899=0,"",[1]对账明细接口!$C$899),"")</f>
        <v/>
      </c>
      <c r="D899" s="59" t="str">
        <f aca="false">IFERROR(IF([1]对账明细接口!$D$899=0,"",[1]对账明细接口!$D$899),"")</f>
        <v/>
      </c>
      <c r="E899" s="59" t="str">
        <f aca="false">IFERROR(IF([1]对账明细接口!$E$899=0,"",[1]对账明细接口!$E$899),"")</f>
        <v/>
      </c>
      <c r="F899" s="59" t="str">
        <f aca="false">IFERROR(IF([1]对账明细接口!$F$899=0,"",[1]对账明细接口!$F$899),"")</f>
        <v/>
      </c>
      <c r="G899" s="59" t="str">
        <f aca="false">IFERROR(IF([1]对账明细接口!$G$899=0,"",[1]对账明细接口!$G$899),"")</f>
        <v/>
      </c>
      <c r="H899" s="60" t="str">
        <f aca="false">IFERROR(IF([1]对账明细接口!$H$899=0,"",[1]对账明细接口!$H$899),"")</f>
        <v/>
      </c>
      <c r="I899" s="59" t="str">
        <f aca="false">IFERROR(IF([1]对账明细接口!$I$899=0,"",[1]对账明细接口!$I$899),"")</f>
        <v/>
      </c>
      <c r="J899" s="61" t="str">
        <f aca="false">IFERROR(IF([1]对账明细接口!$J$899=0,"",[1]对账明细接口!$J$899),"")</f>
        <v/>
      </c>
      <c r="K899" s="61" t="str">
        <f aca="false">IFERROR(IF([1]对账明细接口!$K$899=0,"",[1]对账明细接口!$K$899),"")</f>
        <v/>
      </c>
      <c r="L899" s="59" t="str">
        <f aca="false">IFERROR(IF([1]对账明细接口!$L$899=0,"",[1]对账明细接口!$L$899),"")</f>
        <v/>
      </c>
      <c r="M899" s="59" t="str">
        <f aca="false">IFERROR(IF([1]对账明细接口!$M$899=0,"",[1]对账明细接口!$M$899),"")</f>
        <v/>
      </c>
      <c r="N899" s="111" t="n">
        <f aca="false">IF($C899="",0,1)</f>
        <v>0</v>
      </c>
      <c r="O899" s="111" t="n">
        <f aca="false">N(O898)+$N899</f>
        <v>110</v>
      </c>
      <c r="S899" s="10" t="str">
        <f aca="false">IFERROR(IF([1]对账明细接口!$N899=0,"",[1]对账明细接口!$N899),"")</f>
        <v/>
      </c>
      <c r="T899" s="112" t="str">
        <f aca="false">IFERROR(IF([1]对账明细接口!$O899=0,"",[1]对账明细接口!$O899),"")</f>
        <v/>
      </c>
      <c r="U899" s="112" t="str">
        <f aca="false">IFERROR(IF([1]对账明细接口!$P899=0,"",[1]对账明细接口!$P899),"")</f>
        <v/>
      </c>
      <c r="V899" s="112" t="str">
        <f aca="false">IFERROR(IF([1]对账明细接口!$Q899=0,"",[1]对账明细接口!$Q899),"")</f>
        <v/>
      </c>
      <c r="W899" s="10" t="str">
        <f aca="false">IFERROR(IF([1]对账明细接口!$R899=0,"",[1]对账明细接口!$R899),"")</f>
        <v/>
      </c>
      <c r="X899" s="10" t="str">
        <f aca="false">IFERROR(IF([1]对账明细接口!$S899=0,"",[1]对账明细接口!$S899),"")</f>
        <v/>
      </c>
      <c r="Y899" s="10" t="str">
        <f aca="false">""</f>
        <v/>
      </c>
      <c r="Z899" s="10" t="str">
        <f aca="false">""</f>
        <v/>
      </c>
      <c r="AA899" s="10" t="str">
        <f aca="false">""</f>
        <v/>
      </c>
      <c r="AB899" s="10" t="str">
        <f aca="false">""</f>
        <v/>
      </c>
    </row>
    <row r="900" customFormat="false" ht="13.5" hidden="false" customHeight="false" outlineLevel="0" collapsed="false">
      <c r="A900" s="109" t="n">
        <v>900</v>
      </c>
      <c r="B900" s="110" t="str">
        <f aca="false">IFERROR(IF([1]对账明细接口!$B$900=0,"",[1]对账明细接口!$B$900),"")</f>
        <v/>
      </c>
      <c r="C900" s="59" t="str">
        <f aca="false">IFERROR(IF([1]对账明细接口!$C$900=0,"",[1]对账明细接口!$C$900),"")</f>
        <v/>
      </c>
      <c r="D900" s="59" t="str">
        <f aca="false">IFERROR(IF([1]对账明细接口!$D$900=0,"",[1]对账明细接口!$D$900),"")</f>
        <v/>
      </c>
      <c r="E900" s="59" t="str">
        <f aca="false">IFERROR(IF([1]对账明细接口!$E$900=0,"",[1]对账明细接口!$E$900),"")</f>
        <v/>
      </c>
      <c r="F900" s="59" t="str">
        <f aca="false">IFERROR(IF([1]对账明细接口!$F$900=0,"",[1]对账明细接口!$F$900),"")</f>
        <v/>
      </c>
      <c r="G900" s="59" t="str">
        <f aca="false">IFERROR(IF([1]对账明细接口!$G$900=0,"",[1]对账明细接口!$G$900),"")</f>
        <v/>
      </c>
      <c r="H900" s="60" t="str">
        <f aca="false">IFERROR(IF([1]对账明细接口!$H$900=0,"",[1]对账明细接口!$H$900),"")</f>
        <v/>
      </c>
      <c r="I900" s="59" t="str">
        <f aca="false">IFERROR(IF([1]对账明细接口!$I$900=0,"",[1]对账明细接口!$I$900),"")</f>
        <v/>
      </c>
      <c r="J900" s="61" t="str">
        <f aca="false">IFERROR(IF([1]对账明细接口!$J$900=0,"",[1]对账明细接口!$J$900),"")</f>
        <v/>
      </c>
      <c r="K900" s="61" t="str">
        <f aca="false">IFERROR(IF([1]对账明细接口!$K$900=0,"",[1]对账明细接口!$K$900),"")</f>
        <v/>
      </c>
      <c r="L900" s="59" t="str">
        <f aca="false">IFERROR(IF([1]对账明细接口!$L$900=0,"",[1]对账明细接口!$L$900),"")</f>
        <v/>
      </c>
      <c r="M900" s="59" t="str">
        <f aca="false">IFERROR(IF([1]对账明细接口!$M$900=0,"",[1]对账明细接口!$M$900),"")</f>
        <v/>
      </c>
      <c r="N900" s="111" t="n">
        <f aca="false">IF($C900="",0,1)</f>
        <v>0</v>
      </c>
      <c r="O900" s="111" t="n">
        <f aca="false">N(O899)+$N900</f>
        <v>110</v>
      </c>
      <c r="S900" s="10" t="str">
        <f aca="false">IFERROR(IF([1]对账明细接口!$N900=0,"",[1]对账明细接口!$N900),"")</f>
        <v/>
      </c>
      <c r="T900" s="112" t="str">
        <f aca="false">IFERROR(IF([1]对账明细接口!$O900=0,"",[1]对账明细接口!$O900),"")</f>
        <v/>
      </c>
      <c r="U900" s="112" t="str">
        <f aca="false">IFERROR(IF([1]对账明细接口!$P900=0,"",[1]对账明细接口!$P900),"")</f>
        <v/>
      </c>
      <c r="V900" s="112" t="str">
        <f aca="false">IFERROR(IF([1]对账明细接口!$Q900=0,"",[1]对账明细接口!$Q900),"")</f>
        <v/>
      </c>
      <c r="W900" s="10" t="str">
        <f aca="false">IFERROR(IF([1]对账明细接口!$R900=0,"",[1]对账明细接口!$R900),"")</f>
        <v/>
      </c>
      <c r="X900" s="10" t="str">
        <f aca="false">IFERROR(IF([1]对账明细接口!$S900=0,"",[1]对账明细接口!$S900),"")</f>
        <v/>
      </c>
      <c r="Y900" s="10" t="str">
        <f aca="false">""</f>
        <v/>
      </c>
      <c r="Z900" s="10" t="str">
        <f aca="false">""</f>
        <v/>
      </c>
      <c r="AA900" s="10" t="str">
        <f aca="false">""</f>
        <v/>
      </c>
      <c r="AB900" s="10" t="str">
        <f aca="false">""</f>
        <v/>
      </c>
    </row>
    <row r="901" customFormat="false" ht="13.5" hidden="false" customHeight="false" outlineLevel="0" collapsed="false">
      <c r="A901" s="109" t="n">
        <v>901</v>
      </c>
      <c r="B901" s="110" t="str">
        <f aca="false">IFERROR(IF([1]对账明细接口!$B$901=0,"",[1]对账明细接口!$B$901),"")</f>
        <v/>
      </c>
      <c r="C901" s="59" t="str">
        <f aca="false">IFERROR(IF([1]对账明细接口!$C$901=0,"",[1]对账明细接口!$C$901),"")</f>
        <v/>
      </c>
      <c r="D901" s="59" t="str">
        <f aca="false">IFERROR(IF([1]对账明细接口!$D$901=0,"",[1]对账明细接口!$D$901),"")</f>
        <v/>
      </c>
      <c r="E901" s="59" t="str">
        <f aca="false">IFERROR(IF([1]对账明细接口!$E$901=0,"",[1]对账明细接口!$E$901),"")</f>
        <v/>
      </c>
      <c r="F901" s="59" t="str">
        <f aca="false">IFERROR(IF([1]对账明细接口!$F$901=0,"",[1]对账明细接口!$F$901),"")</f>
        <v/>
      </c>
      <c r="G901" s="59" t="str">
        <f aca="false">IFERROR(IF([1]对账明细接口!$G$901=0,"",[1]对账明细接口!$G$901),"")</f>
        <v/>
      </c>
      <c r="H901" s="60" t="str">
        <f aca="false">IFERROR(IF([1]对账明细接口!$H$901=0,"",[1]对账明细接口!$H$901),"")</f>
        <v/>
      </c>
      <c r="I901" s="59" t="str">
        <f aca="false">IFERROR(IF([1]对账明细接口!$I$901=0,"",[1]对账明细接口!$I$901),"")</f>
        <v/>
      </c>
      <c r="J901" s="61" t="str">
        <f aca="false">IFERROR(IF([1]对账明细接口!$J$901=0,"",[1]对账明细接口!$J$901),"")</f>
        <v/>
      </c>
      <c r="K901" s="61" t="str">
        <f aca="false">IFERROR(IF([1]对账明细接口!$K$901=0,"",[1]对账明细接口!$K$901),"")</f>
        <v/>
      </c>
      <c r="L901" s="59" t="str">
        <f aca="false">IFERROR(IF([1]对账明细接口!$L$901=0,"",[1]对账明细接口!$L$901),"")</f>
        <v/>
      </c>
      <c r="M901" s="59" t="str">
        <f aca="false">IFERROR(IF([1]对账明细接口!$M$901=0,"",[1]对账明细接口!$M$901),"")</f>
        <v/>
      </c>
      <c r="N901" s="111" t="n">
        <f aca="false">IF($C901="",0,1)</f>
        <v>0</v>
      </c>
      <c r="O901" s="111" t="n">
        <f aca="false">N(O900)+$N901</f>
        <v>110</v>
      </c>
      <c r="S901" s="10" t="str">
        <f aca="false">IFERROR(IF([1]对账明细接口!$N901=0,"",[1]对账明细接口!$N901),"")</f>
        <v/>
      </c>
      <c r="T901" s="112" t="str">
        <f aca="false">IFERROR(IF([1]对账明细接口!$O901=0,"",[1]对账明细接口!$O901),"")</f>
        <v/>
      </c>
      <c r="U901" s="112" t="str">
        <f aca="false">IFERROR(IF([1]对账明细接口!$P901=0,"",[1]对账明细接口!$P901),"")</f>
        <v/>
      </c>
      <c r="V901" s="112" t="str">
        <f aca="false">IFERROR(IF([1]对账明细接口!$Q901=0,"",[1]对账明细接口!$Q901),"")</f>
        <v/>
      </c>
      <c r="W901" s="10" t="str">
        <f aca="false">IFERROR(IF([1]对账明细接口!$R901=0,"",[1]对账明细接口!$R901),"")</f>
        <v/>
      </c>
      <c r="X901" s="10" t="str">
        <f aca="false">IFERROR(IF([1]对账明细接口!$S901=0,"",[1]对账明细接口!$S901),"")</f>
        <v/>
      </c>
      <c r="Y901" s="10" t="str">
        <f aca="false">""</f>
        <v/>
      </c>
      <c r="Z901" s="10" t="str">
        <f aca="false">""</f>
        <v/>
      </c>
      <c r="AA901" s="10" t="str">
        <f aca="false">""</f>
        <v/>
      </c>
      <c r="AB901" s="10" t="str">
        <f aca="false">""</f>
        <v/>
      </c>
    </row>
    <row r="902" customFormat="false" ht="13.5" hidden="false" customHeight="false" outlineLevel="0" collapsed="false">
      <c r="A902" s="109" t="n">
        <v>902</v>
      </c>
      <c r="B902" s="110" t="str">
        <f aca="false">IFERROR(IF([1]对账明细接口!$B$902=0,"",[1]对账明细接口!$B$902),"")</f>
        <v/>
      </c>
      <c r="C902" s="59" t="str">
        <f aca="false">IFERROR(IF([1]对账明细接口!$C$902=0,"",[1]对账明细接口!$C$902),"")</f>
        <v/>
      </c>
      <c r="D902" s="59" t="str">
        <f aca="false">IFERROR(IF([1]对账明细接口!$D$902=0,"",[1]对账明细接口!$D$902),"")</f>
        <v/>
      </c>
      <c r="E902" s="59" t="str">
        <f aca="false">IFERROR(IF([1]对账明细接口!$E$902=0,"",[1]对账明细接口!$E$902),"")</f>
        <v/>
      </c>
      <c r="F902" s="59" t="str">
        <f aca="false">IFERROR(IF([1]对账明细接口!$F$902=0,"",[1]对账明细接口!$F$902),"")</f>
        <v/>
      </c>
      <c r="G902" s="59" t="str">
        <f aca="false">IFERROR(IF([1]对账明细接口!$G$902=0,"",[1]对账明细接口!$G$902),"")</f>
        <v/>
      </c>
      <c r="H902" s="60" t="str">
        <f aca="false">IFERROR(IF([1]对账明细接口!$H$902=0,"",[1]对账明细接口!$H$902),"")</f>
        <v/>
      </c>
      <c r="I902" s="59" t="str">
        <f aca="false">IFERROR(IF([1]对账明细接口!$I$902=0,"",[1]对账明细接口!$I$902),"")</f>
        <v/>
      </c>
      <c r="J902" s="61" t="str">
        <f aca="false">IFERROR(IF([1]对账明细接口!$J$902=0,"",[1]对账明细接口!$J$902),"")</f>
        <v/>
      </c>
      <c r="K902" s="61" t="str">
        <f aca="false">IFERROR(IF([1]对账明细接口!$K$902=0,"",[1]对账明细接口!$K$902),"")</f>
        <v/>
      </c>
      <c r="L902" s="59" t="str">
        <f aca="false">IFERROR(IF([1]对账明细接口!$L$902=0,"",[1]对账明细接口!$L$902),"")</f>
        <v/>
      </c>
      <c r="M902" s="59" t="str">
        <f aca="false">IFERROR(IF([1]对账明细接口!$M$902=0,"",[1]对账明细接口!$M$902),"")</f>
        <v/>
      </c>
      <c r="N902" s="111" t="n">
        <f aca="false">IF($C902="",0,1)</f>
        <v>0</v>
      </c>
      <c r="O902" s="111" t="n">
        <f aca="false">N(O901)+$N902</f>
        <v>110</v>
      </c>
      <c r="S902" s="10" t="str">
        <f aca="false">IFERROR(IF([1]对账明细接口!$N902=0,"",[1]对账明细接口!$N902),"")</f>
        <v/>
      </c>
      <c r="T902" s="112" t="str">
        <f aca="false">IFERROR(IF([1]对账明细接口!$O902=0,"",[1]对账明细接口!$O902),"")</f>
        <v/>
      </c>
      <c r="U902" s="112" t="str">
        <f aca="false">IFERROR(IF([1]对账明细接口!$P902=0,"",[1]对账明细接口!$P902),"")</f>
        <v/>
      </c>
      <c r="V902" s="112" t="str">
        <f aca="false">IFERROR(IF([1]对账明细接口!$Q902=0,"",[1]对账明细接口!$Q902),"")</f>
        <v/>
      </c>
      <c r="W902" s="10" t="str">
        <f aca="false">IFERROR(IF([1]对账明细接口!$R902=0,"",[1]对账明细接口!$R902),"")</f>
        <v/>
      </c>
      <c r="X902" s="10" t="str">
        <f aca="false">IFERROR(IF([1]对账明细接口!$S902=0,"",[1]对账明细接口!$S902),"")</f>
        <v/>
      </c>
      <c r="Y902" s="10" t="str">
        <f aca="false">""</f>
        <v/>
      </c>
      <c r="Z902" s="10" t="str">
        <f aca="false">""</f>
        <v/>
      </c>
      <c r="AA902" s="10" t="str">
        <f aca="false">""</f>
        <v/>
      </c>
      <c r="AB902" s="10" t="str">
        <f aca="false">""</f>
        <v/>
      </c>
    </row>
    <row r="903" customFormat="false" ht="13.5" hidden="false" customHeight="false" outlineLevel="0" collapsed="false">
      <c r="A903" s="109" t="n">
        <v>903</v>
      </c>
      <c r="B903" s="110" t="str">
        <f aca="false">IFERROR(IF([1]对账明细接口!$B$903=0,"",[1]对账明细接口!$B$903),"")</f>
        <v/>
      </c>
      <c r="C903" s="59" t="str">
        <f aca="false">IFERROR(IF([1]对账明细接口!$C$903=0,"",[1]对账明细接口!$C$903),"")</f>
        <v/>
      </c>
      <c r="D903" s="59" t="str">
        <f aca="false">IFERROR(IF([1]对账明细接口!$D$903=0,"",[1]对账明细接口!$D$903),"")</f>
        <v/>
      </c>
      <c r="E903" s="59" t="str">
        <f aca="false">IFERROR(IF([1]对账明细接口!$E$903=0,"",[1]对账明细接口!$E$903),"")</f>
        <v/>
      </c>
      <c r="F903" s="59" t="str">
        <f aca="false">IFERROR(IF([1]对账明细接口!$F$903=0,"",[1]对账明细接口!$F$903),"")</f>
        <v/>
      </c>
      <c r="G903" s="59" t="str">
        <f aca="false">IFERROR(IF([1]对账明细接口!$G$903=0,"",[1]对账明细接口!$G$903),"")</f>
        <v/>
      </c>
      <c r="H903" s="60" t="str">
        <f aca="false">IFERROR(IF([1]对账明细接口!$H$903=0,"",[1]对账明细接口!$H$903),"")</f>
        <v/>
      </c>
      <c r="I903" s="59" t="str">
        <f aca="false">IFERROR(IF([1]对账明细接口!$I$903=0,"",[1]对账明细接口!$I$903),"")</f>
        <v/>
      </c>
      <c r="J903" s="61" t="str">
        <f aca="false">IFERROR(IF([1]对账明细接口!$J$903=0,"",[1]对账明细接口!$J$903),"")</f>
        <v/>
      </c>
      <c r="K903" s="61" t="str">
        <f aca="false">IFERROR(IF([1]对账明细接口!$K$903=0,"",[1]对账明细接口!$K$903),"")</f>
        <v/>
      </c>
      <c r="L903" s="59" t="str">
        <f aca="false">IFERROR(IF([1]对账明细接口!$L$903=0,"",[1]对账明细接口!$L$903),"")</f>
        <v/>
      </c>
      <c r="M903" s="59" t="str">
        <f aca="false">IFERROR(IF([1]对账明细接口!$M$903=0,"",[1]对账明细接口!$M$903),"")</f>
        <v/>
      </c>
      <c r="N903" s="111" t="n">
        <f aca="false">IF($C903="",0,1)</f>
        <v>0</v>
      </c>
      <c r="O903" s="111" t="n">
        <f aca="false">N(O902)+$N903</f>
        <v>110</v>
      </c>
      <c r="S903" s="10" t="str">
        <f aca="false">IFERROR(IF([1]对账明细接口!$N903=0,"",[1]对账明细接口!$N903),"")</f>
        <v/>
      </c>
      <c r="T903" s="112" t="str">
        <f aca="false">IFERROR(IF([1]对账明细接口!$O903=0,"",[1]对账明细接口!$O903),"")</f>
        <v/>
      </c>
      <c r="U903" s="112" t="str">
        <f aca="false">IFERROR(IF([1]对账明细接口!$P903=0,"",[1]对账明细接口!$P903),"")</f>
        <v/>
      </c>
      <c r="V903" s="112" t="str">
        <f aca="false">IFERROR(IF([1]对账明细接口!$Q903=0,"",[1]对账明细接口!$Q903),"")</f>
        <v/>
      </c>
      <c r="W903" s="10" t="str">
        <f aca="false">IFERROR(IF([1]对账明细接口!$R903=0,"",[1]对账明细接口!$R903),"")</f>
        <v/>
      </c>
      <c r="X903" s="10" t="str">
        <f aca="false">IFERROR(IF([1]对账明细接口!$S903=0,"",[1]对账明细接口!$S903),"")</f>
        <v/>
      </c>
      <c r="Y903" s="10" t="str">
        <f aca="false">""</f>
        <v/>
      </c>
      <c r="Z903" s="10" t="str">
        <f aca="false">""</f>
        <v/>
      </c>
      <c r="AA903" s="10" t="str">
        <f aca="false">""</f>
        <v/>
      </c>
      <c r="AB903" s="10" t="str">
        <f aca="false">""</f>
        <v/>
      </c>
    </row>
    <row r="904" customFormat="false" ht="13.5" hidden="false" customHeight="false" outlineLevel="0" collapsed="false">
      <c r="A904" s="109" t="n">
        <v>904</v>
      </c>
      <c r="B904" s="110" t="str">
        <f aca="false">IFERROR(IF([1]对账明细接口!$B$904=0,"",[1]对账明细接口!$B$904),"")</f>
        <v/>
      </c>
      <c r="C904" s="59" t="str">
        <f aca="false">IFERROR(IF([1]对账明细接口!$C$904=0,"",[1]对账明细接口!$C$904),"")</f>
        <v/>
      </c>
      <c r="D904" s="59" t="str">
        <f aca="false">IFERROR(IF([1]对账明细接口!$D$904=0,"",[1]对账明细接口!$D$904),"")</f>
        <v/>
      </c>
      <c r="E904" s="59" t="str">
        <f aca="false">IFERROR(IF([1]对账明细接口!$E$904=0,"",[1]对账明细接口!$E$904),"")</f>
        <v/>
      </c>
      <c r="F904" s="59" t="str">
        <f aca="false">IFERROR(IF([1]对账明细接口!$F$904=0,"",[1]对账明细接口!$F$904),"")</f>
        <v/>
      </c>
      <c r="G904" s="59" t="str">
        <f aca="false">IFERROR(IF([1]对账明细接口!$G$904=0,"",[1]对账明细接口!$G$904),"")</f>
        <v/>
      </c>
      <c r="H904" s="60" t="str">
        <f aca="false">IFERROR(IF([1]对账明细接口!$H$904=0,"",[1]对账明细接口!$H$904),"")</f>
        <v/>
      </c>
      <c r="I904" s="59" t="str">
        <f aca="false">IFERROR(IF([1]对账明细接口!$I$904=0,"",[1]对账明细接口!$I$904),"")</f>
        <v/>
      </c>
      <c r="J904" s="61" t="str">
        <f aca="false">IFERROR(IF([1]对账明细接口!$J$904=0,"",[1]对账明细接口!$J$904),"")</f>
        <v/>
      </c>
      <c r="K904" s="61" t="str">
        <f aca="false">IFERROR(IF([1]对账明细接口!$K$904=0,"",[1]对账明细接口!$K$904),"")</f>
        <v/>
      </c>
      <c r="L904" s="59" t="str">
        <f aca="false">IFERROR(IF([1]对账明细接口!$L$904=0,"",[1]对账明细接口!$L$904),"")</f>
        <v/>
      </c>
      <c r="M904" s="59" t="str">
        <f aca="false">IFERROR(IF([1]对账明细接口!$M$904=0,"",[1]对账明细接口!$M$904),"")</f>
        <v/>
      </c>
      <c r="N904" s="111" t="n">
        <f aca="false">IF($C904="",0,1)</f>
        <v>0</v>
      </c>
      <c r="O904" s="111" t="n">
        <f aca="false">N(O903)+$N904</f>
        <v>110</v>
      </c>
      <c r="S904" s="10" t="str">
        <f aca="false">IFERROR(IF([1]对账明细接口!$N904=0,"",[1]对账明细接口!$N904),"")</f>
        <v/>
      </c>
      <c r="T904" s="112" t="str">
        <f aca="false">IFERROR(IF([1]对账明细接口!$O904=0,"",[1]对账明细接口!$O904),"")</f>
        <v/>
      </c>
      <c r="U904" s="112" t="str">
        <f aca="false">IFERROR(IF([1]对账明细接口!$P904=0,"",[1]对账明细接口!$P904),"")</f>
        <v/>
      </c>
      <c r="V904" s="112" t="str">
        <f aca="false">IFERROR(IF([1]对账明细接口!$Q904=0,"",[1]对账明细接口!$Q904),"")</f>
        <v/>
      </c>
      <c r="W904" s="10" t="str">
        <f aca="false">IFERROR(IF([1]对账明细接口!$R904=0,"",[1]对账明细接口!$R904),"")</f>
        <v/>
      </c>
      <c r="X904" s="10" t="str">
        <f aca="false">IFERROR(IF([1]对账明细接口!$S904=0,"",[1]对账明细接口!$S904),"")</f>
        <v/>
      </c>
      <c r="Y904" s="10" t="str">
        <f aca="false">""</f>
        <v/>
      </c>
      <c r="Z904" s="10" t="str">
        <f aca="false">""</f>
        <v/>
      </c>
      <c r="AA904" s="10" t="str">
        <f aca="false">""</f>
        <v/>
      </c>
      <c r="AB904" s="10" t="str">
        <f aca="false">""</f>
        <v/>
      </c>
    </row>
    <row r="905" customFormat="false" ht="13.5" hidden="false" customHeight="false" outlineLevel="0" collapsed="false">
      <c r="A905" s="109" t="n">
        <v>905</v>
      </c>
      <c r="B905" s="110" t="str">
        <f aca="false">IFERROR(IF([1]对账明细接口!$B$905=0,"",[1]对账明细接口!$B$905),"")</f>
        <v/>
      </c>
      <c r="C905" s="59" t="str">
        <f aca="false">IFERROR(IF([1]对账明细接口!$C$905=0,"",[1]对账明细接口!$C$905),"")</f>
        <v/>
      </c>
      <c r="D905" s="59" t="str">
        <f aca="false">IFERROR(IF([1]对账明细接口!$D$905=0,"",[1]对账明细接口!$D$905),"")</f>
        <v/>
      </c>
      <c r="E905" s="59" t="str">
        <f aca="false">IFERROR(IF([1]对账明细接口!$E$905=0,"",[1]对账明细接口!$E$905),"")</f>
        <v/>
      </c>
      <c r="F905" s="59" t="str">
        <f aca="false">IFERROR(IF([1]对账明细接口!$F$905=0,"",[1]对账明细接口!$F$905),"")</f>
        <v/>
      </c>
      <c r="G905" s="59" t="str">
        <f aca="false">IFERROR(IF([1]对账明细接口!$G$905=0,"",[1]对账明细接口!$G$905),"")</f>
        <v/>
      </c>
      <c r="H905" s="60" t="str">
        <f aca="false">IFERROR(IF([1]对账明细接口!$H$905=0,"",[1]对账明细接口!$H$905),"")</f>
        <v/>
      </c>
      <c r="I905" s="59" t="str">
        <f aca="false">IFERROR(IF([1]对账明细接口!$I$905=0,"",[1]对账明细接口!$I$905),"")</f>
        <v/>
      </c>
      <c r="J905" s="61" t="str">
        <f aca="false">IFERROR(IF([1]对账明细接口!$J$905=0,"",[1]对账明细接口!$J$905),"")</f>
        <v/>
      </c>
      <c r="K905" s="61" t="str">
        <f aca="false">IFERROR(IF([1]对账明细接口!$K$905=0,"",[1]对账明细接口!$K$905),"")</f>
        <v/>
      </c>
      <c r="L905" s="59" t="str">
        <f aca="false">IFERROR(IF([1]对账明细接口!$L$905=0,"",[1]对账明细接口!$L$905),"")</f>
        <v/>
      </c>
      <c r="M905" s="59" t="str">
        <f aca="false">IFERROR(IF([1]对账明细接口!$M$905=0,"",[1]对账明细接口!$M$905),"")</f>
        <v/>
      </c>
      <c r="N905" s="111" t="n">
        <f aca="false">IF($C905="",0,1)</f>
        <v>0</v>
      </c>
      <c r="O905" s="111" t="n">
        <f aca="false">N(O904)+$N905</f>
        <v>110</v>
      </c>
      <c r="S905" s="10" t="str">
        <f aca="false">IFERROR(IF([1]对账明细接口!$N905=0,"",[1]对账明细接口!$N905),"")</f>
        <v/>
      </c>
      <c r="T905" s="112" t="str">
        <f aca="false">IFERROR(IF([1]对账明细接口!$O905=0,"",[1]对账明细接口!$O905),"")</f>
        <v/>
      </c>
      <c r="U905" s="112" t="str">
        <f aca="false">IFERROR(IF([1]对账明细接口!$P905=0,"",[1]对账明细接口!$P905),"")</f>
        <v/>
      </c>
      <c r="V905" s="112" t="str">
        <f aca="false">IFERROR(IF([1]对账明细接口!$Q905=0,"",[1]对账明细接口!$Q905),"")</f>
        <v/>
      </c>
      <c r="W905" s="10" t="str">
        <f aca="false">IFERROR(IF([1]对账明细接口!$R905=0,"",[1]对账明细接口!$R905),"")</f>
        <v/>
      </c>
      <c r="X905" s="10" t="str">
        <f aca="false">IFERROR(IF([1]对账明细接口!$S905=0,"",[1]对账明细接口!$S905),"")</f>
        <v/>
      </c>
      <c r="Y905" s="10" t="str">
        <f aca="false">""</f>
        <v/>
      </c>
      <c r="Z905" s="10" t="str">
        <f aca="false">""</f>
        <v/>
      </c>
      <c r="AA905" s="10" t="str">
        <f aca="false">""</f>
        <v/>
      </c>
      <c r="AB905" s="10" t="str">
        <f aca="false">""</f>
        <v/>
      </c>
    </row>
    <row r="906" customFormat="false" ht="13.5" hidden="false" customHeight="false" outlineLevel="0" collapsed="false">
      <c r="A906" s="109" t="n">
        <v>906</v>
      </c>
      <c r="B906" s="110" t="str">
        <f aca="false">IFERROR(IF([1]对账明细接口!$B$906=0,"",[1]对账明细接口!$B$906),"")</f>
        <v/>
      </c>
      <c r="C906" s="59" t="str">
        <f aca="false">IFERROR(IF([1]对账明细接口!$C$906=0,"",[1]对账明细接口!$C$906),"")</f>
        <v/>
      </c>
      <c r="D906" s="59" t="str">
        <f aca="false">IFERROR(IF([1]对账明细接口!$D$906=0,"",[1]对账明细接口!$D$906),"")</f>
        <v/>
      </c>
      <c r="E906" s="59" t="str">
        <f aca="false">IFERROR(IF([1]对账明细接口!$E$906=0,"",[1]对账明细接口!$E$906),"")</f>
        <v/>
      </c>
      <c r="F906" s="59" t="str">
        <f aca="false">IFERROR(IF([1]对账明细接口!$F$906=0,"",[1]对账明细接口!$F$906),"")</f>
        <v/>
      </c>
      <c r="G906" s="59" t="str">
        <f aca="false">IFERROR(IF([1]对账明细接口!$G$906=0,"",[1]对账明细接口!$G$906),"")</f>
        <v/>
      </c>
      <c r="H906" s="60" t="str">
        <f aca="false">IFERROR(IF([1]对账明细接口!$H$906=0,"",[1]对账明细接口!$H$906),"")</f>
        <v/>
      </c>
      <c r="I906" s="59" t="str">
        <f aca="false">IFERROR(IF([1]对账明细接口!$I$906=0,"",[1]对账明细接口!$I$906),"")</f>
        <v/>
      </c>
      <c r="J906" s="61" t="str">
        <f aca="false">IFERROR(IF([1]对账明细接口!$J$906=0,"",[1]对账明细接口!$J$906),"")</f>
        <v/>
      </c>
      <c r="K906" s="61" t="str">
        <f aca="false">IFERROR(IF([1]对账明细接口!$K$906=0,"",[1]对账明细接口!$K$906),"")</f>
        <v/>
      </c>
      <c r="L906" s="59" t="str">
        <f aca="false">IFERROR(IF([1]对账明细接口!$L$906=0,"",[1]对账明细接口!$L$906),"")</f>
        <v/>
      </c>
      <c r="M906" s="59" t="str">
        <f aca="false">IFERROR(IF([1]对账明细接口!$M$906=0,"",[1]对账明细接口!$M$906),"")</f>
        <v/>
      </c>
      <c r="N906" s="111" t="n">
        <f aca="false">IF($C906="",0,1)</f>
        <v>0</v>
      </c>
      <c r="O906" s="111" t="n">
        <f aca="false">N(O905)+$N906</f>
        <v>110</v>
      </c>
      <c r="S906" s="10" t="str">
        <f aca="false">IFERROR(IF([1]对账明细接口!$N906=0,"",[1]对账明细接口!$N906),"")</f>
        <v/>
      </c>
      <c r="T906" s="112" t="str">
        <f aca="false">IFERROR(IF([1]对账明细接口!$O906=0,"",[1]对账明细接口!$O906),"")</f>
        <v/>
      </c>
      <c r="U906" s="112" t="str">
        <f aca="false">IFERROR(IF([1]对账明细接口!$P906=0,"",[1]对账明细接口!$P906),"")</f>
        <v/>
      </c>
      <c r="V906" s="112" t="str">
        <f aca="false">IFERROR(IF([1]对账明细接口!$Q906=0,"",[1]对账明细接口!$Q906),"")</f>
        <v/>
      </c>
      <c r="W906" s="10" t="str">
        <f aca="false">IFERROR(IF([1]对账明细接口!$R906=0,"",[1]对账明细接口!$R906),"")</f>
        <v/>
      </c>
      <c r="X906" s="10" t="str">
        <f aca="false">IFERROR(IF([1]对账明细接口!$S906=0,"",[1]对账明细接口!$S906),"")</f>
        <v/>
      </c>
      <c r="Y906" s="10" t="str">
        <f aca="false">""</f>
        <v/>
      </c>
      <c r="Z906" s="10" t="str">
        <f aca="false">""</f>
        <v/>
      </c>
      <c r="AA906" s="10" t="str">
        <f aca="false">""</f>
        <v/>
      </c>
      <c r="AB906" s="10" t="str">
        <f aca="false">""</f>
        <v/>
      </c>
    </row>
    <row r="907" customFormat="false" ht="13.5" hidden="false" customHeight="false" outlineLevel="0" collapsed="false">
      <c r="A907" s="109" t="n">
        <v>907</v>
      </c>
      <c r="B907" s="110" t="str">
        <f aca="false">IFERROR(IF([1]对账明细接口!$B$907=0,"",[1]对账明细接口!$B$907),"")</f>
        <v/>
      </c>
      <c r="C907" s="59" t="str">
        <f aca="false">IFERROR(IF([1]对账明细接口!$C$907=0,"",[1]对账明细接口!$C$907),"")</f>
        <v/>
      </c>
      <c r="D907" s="59" t="str">
        <f aca="false">IFERROR(IF([1]对账明细接口!$D$907=0,"",[1]对账明细接口!$D$907),"")</f>
        <v/>
      </c>
      <c r="E907" s="59" t="str">
        <f aca="false">IFERROR(IF([1]对账明细接口!$E$907=0,"",[1]对账明细接口!$E$907),"")</f>
        <v/>
      </c>
      <c r="F907" s="59" t="str">
        <f aca="false">IFERROR(IF([1]对账明细接口!$F$907=0,"",[1]对账明细接口!$F$907),"")</f>
        <v/>
      </c>
      <c r="G907" s="59" t="str">
        <f aca="false">IFERROR(IF([1]对账明细接口!$G$907=0,"",[1]对账明细接口!$G$907),"")</f>
        <v/>
      </c>
      <c r="H907" s="60" t="str">
        <f aca="false">IFERROR(IF([1]对账明细接口!$H$907=0,"",[1]对账明细接口!$H$907),"")</f>
        <v/>
      </c>
      <c r="I907" s="59" t="str">
        <f aca="false">IFERROR(IF([1]对账明细接口!$I$907=0,"",[1]对账明细接口!$I$907),"")</f>
        <v/>
      </c>
      <c r="J907" s="61" t="str">
        <f aca="false">IFERROR(IF([1]对账明细接口!$J$907=0,"",[1]对账明细接口!$J$907),"")</f>
        <v/>
      </c>
      <c r="K907" s="61" t="str">
        <f aca="false">IFERROR(IF([1]对账明细接口!$K$907=0,"",[1]对账明细接口!$K$907),"")</f>
        <v/>
      </c>
      <c r="L907" s="59" t="str">
        <f aca="false">IFERROR(IF([1]对账明细接口!$L$907=0,"",[1]对账明细接口!$L$907),"")</f>
        <v/>
      </c>
      <c r="M907" s="59" t="str">
        <f aca="false">IFERROR(IF([1]对账明细接口!$M$907=0,"",[1]对账明细接口!$M$907),"")</f>
        <v/>
      </c>
      <c r="N907" s="111" t="n">
        <f aca="false">IF($C907="",0,1)</f>
        <v>0</v>
      </c>
      <c r="O907" s="111" t="n">
        <f aca="false">N(O906)+$N907</f>
        <v>110</v>
      </c>
      <c r="S907" s="10" t="str">
        <f aca="false">IFERROR(IF([1]对账明细接口!$N907=0,"",[1]对账明细接口!$N907),"")</f>
        <v/>
      </c>
      <c r="T907" s="112" t="str">
        <f aca="false">IFERROR(IF([1]对账明细接口!$O907=0,"",[1]对账明细接口!$O907),"")</f>
        <v/>
      </c>
      <c r="U907" s="112" t="str">
        <f aca="false">IFERROR(IF([1]对账明细接口!$P907=0,"",[1]对账明细接口!$P907),"")</f>
        <v/>
      </c>
      <c r="V907" s="112" t="str">
        <f aca="false">IFERROR(IF([1]对账明细接口!$Q907=0,"",[1]对账明细接口!$Q907),"")</f>
        <v/>
      </c>
      <c r="W907" s="10" t="str">
        <f aca="false">IFERROR(IF([1]对账明细接口!$R907=0,"",[1]对账明细接口!$R907),"")</f>
        <v/>
      </c>
      <c r="X907" s="10" t="str">
        <f aca="false">IFERROR(IF([1]对账明细接口!$S907=0,"",[1]对账明细接口!$S907),"")</f>
        <v/>
      </c>
      <c r="Y907" s="10" t="str">
        <f aca="false">""</f>
        <v/>
      </c>
      <c r="Z907" s="10" t="str">
        <f aca="false">""</f>
        <v/>
      </c>
      <c r="AA907" s="10" t="str">
        <f aca="false">""</f>
        <v/>
      </c>
      <c r="AB907" s="10" t="str">
        <f aca="false">""</f>
        <v/>
      </c>
    </row>
    <row r="908" customFormat="false" ht="13.5" hidden="false" customHeight="false" outlineLevel="0" collapsed="false">
      <c r="A908" s="109" t="n">
        <v>908</v>
      </c>
      <c r="B908" s="110" t="str">
        <f aca="false">IFERROR(IF([1]对账明细接口!$B$908=0,"",[1]对账明细接口!$B$908),"")</f>
        <v/>
      </c>
      <c r="C908" s="59" t="str">
        <f aca="false">IFERROR(IF([1]对账明细接口!$C$908=0,"",[1]对账明细接口!$C$908),"")</f>
        <v/>
      </c>
      <c r="D908" s="59" t="str">
        <f aca="false">IFERROR(IF([1]对账明细接口!$D$908=0,"",[1]对账明细接口!$D$908),"")</f>
        <v/>
      </c>
      <c r="E908" s="59" t="str">
        <f aca="false">IFERROR(IF([1]对账明细接口!$E$908=0,"",[1]对账明细接口!$E$908),"")</f>
        <v/>
      </c>
      <c r="F908" s="59" t="str">
        <f aca="false">IFERROR(IF([1]对账明细接口!$F$908=0,"",[1]对账明细接口!$F$908),"")</f>
        <v/>
      </c>
      <c r="G908" s="59" t="str">
        <f aca="false">IFERROR(IF([1]对账明细接口!$G$908=0,"",[1]对账明细接口!$G$908),"")</f>
        <v/>
      </c>
      <c r="H908" s="60" t="str">
        <f aca="false">IFERROR(IF([1]对账明细接口!$H$908=0,"",[1]对账明细接口!$H$908),"")</f>
        <v/>
      </c>
      <c r="I908" s="59" t="str">
        <f aca="false">IFERROR(IF([1]对账明细接口!$I$908=0,"",[1]对账明细接口!$I$908),"")</f>
        <v/>
      </c>
      <c r="J908" s="61" t="str">
        <f aca="false">IFERROR(IF([1]对账明细接口!$J$908=0,"",[1]对账明细接口!$J$908),"")</f>
        <v/>
      </c>
      <c r="K908" s="61" t="str">
        <f aca="false">IFERROR(IF([1]对账明细接口!$K$908=0,"",[1]对账明细接口!$K$908),"")</f>
        <v/>
      </c>
      <c r="L908" s="59" t="str">
        <f aca="false">IFERROR(IF([1]对账明细接口!$L$908=0,"",[1]对账明细接口!$L$908),"")</f>
        <v/>
      </c>
      <c r="M908" s="59" t="str">
        <f aca="false">IFERROR(IF([1]对账明细接口!$M$908=0,"",[1]对账明细接口!$M$908),"")</f>
        <v/>
      </c>
      <c r="N908" s="111" t="n">
        <f aca="false">IF($C908="",0,1)</f>
        <v>0</v>
      </c>
      <c r="O908" s="111" t="n">
        <f aca="false">N(O907)+$N908</f>
        <v>110</v>
      </c>
      <c r="S908" s="10" t="str">
        <f aca="false">IFERROR(IF([1]对账明细接口!$N908=0,"",[1]对账明细接口!$N908),"")</f>
        <v/>
      </c>
      <c r="T908" s="112" t="str">
        <f aca="false">IFERROR(IF([1]对账明细接口!$O908=0,"",[1]对账明细接口!$O908),"")</f>
        <v/>
      </c>
      <c r="U908" s="112" t="str">
        <f aca="false">IFERROR(IF([1]对账明细接口!$P908=0,"",[1]对账明细接口!$P908),"")</f>
        <v/>
      </c>
      <c r="V908" s="112" t="str">
        <f aca="false">IFERROR(IF([1]对账明细接口!$Q908=0,"",[1]对账明细接口!$Q908),"")</f>
        <v/>
      </c>
      <c r="W908" s="10" t="str">
        <f aca="false">IFERROR(IF([1]对账明细接口!$R908=0,"",[1]对账明细接口!$R908),"")</f>
        <v/>
      </c>
      <c r="X908" s="10" t="str">
        <f aca="false">IFERROR(IF([1]对账明细接口!$S908=0,"",[1]对账明细接口!$S908),"")</f>
        <v/>
      </c>
      <c r="Y908" s="10" t="str">
        <f aca="false">""</f>
        <v/>
      </c>
      <c r="Z908" s="10" t="str">
        <f aca="false">""</f>
        <v/>
      </c>
      <c r="AA908" s="10" t="str">
        <f aca="false">""</f>
        <v/>
      </c>
      <c r="AB908" s="10" t="str">
        <f aca="false">""</f>
        <v/>
      </c>
    </row>
    <row r="909" customFormat="false" ht="13.5" hidden="false" customHeight="false" outlineLevel="0" collapsed="false">
      <c r="A909" s="109" t="n">
        <v>909</v>
      </c>
      <c r="B909" s="110" t="str">
        <f aca="false">IFERROR(IF([1]对账明细接口!$B$909=0,"",[1]对账明细接口!$B$909),"")</f>
        <v/>
      </c>
      <c r="C909" s="59" t="str">
        <f aca="false">IFERROR(IF([1]对账明细接口!$C$909=0,"",[1]对账明细接口!$C$909),"")</f>
        <v/>
      </c>
      <c r="D909" s="59" t="str">
        <f aca="false">IFERROR(IF([1]对账明细接口!$D$909=0,"",[1]对账明细接口!$D$909),"")</f>
        <v/>
      </c>
      <c r="E909" s="59" t="str">
        <f aca="false">IFERROR(IF([1]对账明细接口!$E$909=0,"",[1]对账明细接口!$E$909),"")</f>
        <v/>
      </c>
      <c r="F909" s="59" t="str">
        <f aca="false">IFERROR(IF([1]对账明细接口!$F$909=0,"",[1]对账明细接口!$F$909),"")</f>
        <v/>
      </c>
      <c r="G909" s="59" t="str">
        <f aca="false">IFERROR(IF([1]对账明细接口!$G$909=0,"",[1]对账明细接口!$G$909),"")</f>
        <v/>
      </c>
      <c r="H909" s="60" t="str">
        <f aca="false">IFERROR(IF([1]对账明细接口!$H$909=0,"",[1]对账明细接口!$H$909),"")</f>
        <v/>
      </c>
      <c r="I909" s="59" t="str">
        <f aca="false">IFERROR(IF([1]对账明细接口!$I$909=0,"",[1]对账明细接口!$I$909),"")</f>
        <v/>
      </c>
      <c r="J909" s="61" t="str">
        <f aca="false">IFERROR(IF([1]对账明细接口!$J$909=0,"",[1]对账明细接口!$J$909),"")</f>
        <v/>
      </c>
      <c r="K909" s="61" t="str">
        <f aca="false">IFERROR(IF([1]对账明细接口!$K$909=0,"",[1]对账明细接口!$K$909),"")</f>
        <v/>
      </c>
      <c r="L909" s="59" t="str">
        <f aca="false">IFERROR(IF([1]对账明细接口!$L$909=0,"",[1]对账明细接口!$L$909),"")</f>
        <v/>
      </c>
      <c r="M909" s="59" t="str">
        <f aca="false">IFERROR(IF([1]对账明细接口!$M$909=0,"",[1]对账明细接口!$M$909),"")</f>
        <v/>
      </c>
      <c r="N909" s="111" t="n">
        <f aca="false">IF($C909="",0,1)</f>
        <v>0</v>
      </c>
      <c r="O909" s="111" t="n">
        <f aca="false">N(O908)+$N909</f>
        <v>110</v>
      </c>
      <c r="S909" s="10" t="str">
        <f aca="false">IFERROR(IF([1]对账明细接口!$N909=0,"",[1]对账明细接口!$N909),"")</f>
        <v/>
      </c>
      <c r="T909" s="112" t="str">
        <f aca="false">IFERROR(IF([1]对账明细接口!$O909=0,"",[1]对账明细接口!$O909),"")</f>
        <v/>
      </c>
      <c r="U909" s="112" t="str">
        <f aca="false">IFERROR(IF([1]对账明细接口!$P909=0,"",[1]对账明细接口!$P909),"")</f>
        <v/>
      </c>
      <c r="V909" s="112" t="str">
        <f aca="false">IFERROR(IF([1]对账明细接口!$Q909=0,"",[1]对账明细接口!$Q909),"")</f>
        <v/>
      </c>
      <c r="W909" s="10" t="str">
        <f aca="false">IFERROR(IF([1]对账明细接口!$R909=0,"",[1]对账明细接口!$R909),"")</f>
        <v/>
      </c>
      <c r="X909" s="10" t="str">
        <f aca="false">IFERROR(IF([1]对账明细接口!$S909=0,"",[1]对账明细接口!$S909),"")</f>
        <v/>
      </c>
      <c r="Y909" s="10" t="str">
        <f aca="false">""</f>
        <v/>
      </c>
      <c r="Z909" s="10" t="str">
        <f aca="false">""</f>
        <v/>
      </c>
      <c r="AA909" s="10" t="str">
        <f aca="false">""</f>
        <v/>
      </c>
      <c r="AB909" s="10" t="str">
        <f aca="false">""</f>
        <v/>
      </c>
    </row>
    <row r="910" customFormat="false" ht="13.5" hidden="false" customHeight="false" outlineLevel="0" collapsed="false">
      <c r="A910" s="109" t="n">
        <v>910</v>
      </c>
      <c r="B910" s="110" t="str">
        <f aca="false">IFERROR(IF([1]对账明细接口!$B$910=0,"",[1]对账明细接口!$B$910),"")</f>
        <v/>
      </c>
      <c r="C910" s="59" t="str">
        <f aca="false">IFERROR(IF([1]对账明细接口!$C$910=0,"",[1]对账明细接口!$C$910),"")</f>
        <v/>
      </c>
      <c r="D910" s="59" t="str">
        <f aca="false">IFERROR(IF([1]对账明细接口!$D$910=0,"",[1]对账明细接口!$D$910),"")</f>
        <v/>
      </c>
      <c r="E910" s="59" t="str">
        <f aca="false">IFERROR(IF([1]对账明细接口!$E$910=0,"",[1]对账明细接口!$E$910),"")</f>
        <v/>
      </c>
      <c r="F910" s="59" t="str">
        <f aca="false">IFERROR(IF([1]对账明细接口!$F$910=0,"",[1]对账明细接口!$F$910),"")</f>
        <v/>
      </c>
      <c r="G910" s="59" t="str">
        <f aca="false">IFERROR(IF([1]对账明细接口!$G$910=0,"",[1]对账明细接口!$G$910),"")</f>
        <v/>
      </c>
      <c r="H910" s="60" t="str">
        <f aca="false">IFERROR(IF([1]对账明细接口!$H$910=0,"",[1]对账明细接口!$H$910),"")</f>
        <v/>
      </c>
      <c r="I910" s="59" t="str">
        <f aca="false">IFERROR(IF([1]对账明细接口!$I$910=0,"",[1]对账明细接口!$I$910),"")</f>
        <v/>
      </c>
      <c r="J910" s="61" t="str">
        <f aca="false">IFERROR(IF([1]对账明细接口!$J$910=0,"",[1]对账明细接口!$J$910),"")</f>
        <v/>
      </c>
      <c r="K910" s="61" t="str">
        <f aca="false">IFERROR(IF([1]对账明细接口!$K$910=0,"",[1]对账明细接口!$K$910),"")</f>
        <v/>
      </c>
      <c r="L910" s="59" t="str">
        <f aca="false">IFERROR(IF([1]对账明细接口!$L$910=0,"",[1]对账明细接口!$L$910),"")</f>
        <v/>
      </c>
      <c r="M910" s="59" t="str">
        <f aca="false">IFERROR(IF([1]对账明细接口!$M$910=0,"",[1]对账明细接口!$M$910),"")</f>
        <v/>
      </c>
      <c r="N910" s="111" t="n">
        <f aca="false">IF($C910="",0,1)</f>
        <v>0</v>
      </c>
      <c r="O910" s="111" t="n">
        <f aca="false">N(O909)+$N910</f>
        <v>110</v>
      </c>
      <c r="S910" s="10" t="str">
        <f aca="false">IFERROR(IF([1]对账明细接口!$N910=0,"",[1]对账明细接口!$N910),"")</f>
        <v/>
      </c>
      <c r="T910" s="112" t="str">
        <f aca="false">IFERROR(IF([1]对账明细接口!$O910=0,"",[1]对账明细接口!$O910),"")</f>
        <v/>
      </c>
      <c r="U910" s="112" t="str">
        <f aca="false">IFERROR(IF([1]对账明细接口!$P910=0,"",[1]对账明细接口!$P910),"")</f>
        <v/>
      </c>
      <c r="V910" s="112" t="str">
        <f aca="false">IFERROR(IF([1]对账明细接口!$Q910=0,"",[1]对账明细接口!$Q910),"")</f>
        <v/>
      </c>
      <c r="W910" s="10" t="str">
        <f aca="false">IFERROR(IF([1]对账明细接口!$R910=0,"",[1]对账明细接口!$R910),"")</f>
        <v/>
      </c>
      <c r="X910" s="10" t="str">
        <f aca="false">IFERROR(IF([1]对账明细接口!$S910=0,"",[1]对账明细接口!$S910),"")</f>
        <v/>
      </c>
      <c r="Y910" s="10" t="str">
        <f aca="false">""</f>
        <v/>
      </c>
      <c r="Z910" s="10" t="str">
        <f aca="false">""</f>
        <v/>
      </c>
      <c r="AA910" s="10" t="str">
        <f aca="false">""</f>
        <v/>
      </c>
      <c r="AB910" s="10" t="str">
        <f aca="false">""</f>
        <v/>
      </c>
    </row>
    <row r="911" customFormat="false" ht="13.5" hidden="false" customHeight="false" outlineLevel="0" collapsed="false">
      <c r="A911" s="109" t="n">
        <v>911</v>
      </c>
      <c r="B911" s="110" t="str">
        <f aca="false">IFERROR(IF([1]对账明细接口!$B$911=0,"",[1]对账明细接口!$B$911),"")</f>
        <v/>
      </c>
      <c r="C911" s="59" t="str">
        <f aca="false">IFERROR(IF([1]对账明细接口!$C$911=0,"",[1]对账明细接口!$C$911),"")</f>
        <v/>
      </c>
      <c r="D911" s="59" t="str">
        <f aca="false">IFERROR(IF([1]对账明细接口!$D$911=0,"",[1]对账明细接口!$D$911),"")</f>
        <v/>
      </c>
      <c r="E911" s="59" t="str">
        <f aca="false">IFERROR(IF([1]对账明细接口!$E$911=0,"",[1]对账明细接口!$E$911),"")</f>
        <v/>
      </c>
      <c r="F911" s="59" t="str">
        <f aca="false">IFERROR(IF([1]对账明细接口!$F$911=0,"",[1]对账明细接口!$F$911),"")</f>
        <v/>
      </c>
      <c r="G911" s="59" t="str">
        <f aca="false">IFERROR(IF([1]对账明细接口!$G$911=0,"",[1]对账明细接口!$G$911),"")</f>
        <v/>
      </c>
      <c r="H911" s="60" t="str">
        <f aca="false">IFERROR(IF([1]对账明细接口!$H$911=0,"",[1]对账明细接口!$H$911),"")</f>
        <v/>
      </c>
      <c r="I911" s="59" t="str">
        <f aca="false">IFERROR(IF([1]对账明细接口!$I$911=0,"",[1]对账明细接口!$I$911),"")</f>
        <v/>
      </c>
      <c r="J911" s="61" t="str">
        <f aca="false">IFERROR(IF([1]对账明细接口!$J$911=0,"",[1]对账明细接口!$J$911),"")</f>
        <v/>
      </c>
      <c r="K911" s="61" t="str">
        <f aca="false">IFERROR(IF([1]对账明细接口!$K$911=0,"",[1]对账明细接口!$K$911),"")</f>
        <v/>
      </c>
      <c r="L911" s="59" t="str">
        <f aca="false">IFERROR(IF([1]对账明细接口!$L$911=0,"",[1]对账明细接口!$L$911),"")</f>
        <v/>
      </c>
      <c r="M911" s="59" t="str">
        <f aca="false">IFERROR(IF([1]对账明细接口!$M$911=0,"",[1]对账明细接口!$M$911),"")</f>
        <v/>
      </c>
      <c r="N911" s="111" t="n">
        <f aca="false">IF($C911="",0,1)</f>
        <v>0</v>
      </c>
      <c r="O911" s="111" t="n">
        <f aca="false">N(O910)+$N911</f>
        <v>110</v>
      </c>
      <c r="S911" s="10" t="str">
        <f aca="false">IFERROR(IF([1]对账明细接口!$N911=0,"",[1]对账明细接口!$N911),"")</f>
        <v/>
      </c>
      <c r="T911" s="112" t="str">
        <f aca="false">IFERROR(IF([1]对账明细接口!$O911=0,"",[1]对账明细接口!$O911),"")</f>
        <v/>
      </c>
      <c r="U911" s="112" t="str">
        <f aca="false">IFERROR(IF([1]对账明细接口!$P911=0,"",[1]对账明细接口!$P911),"")</f>
        <v/>
      </c>
      <c r="V911" s="112" t="str">
        <f aca="false">IFERROR(IF([1]对账明细接口!$Q911=0,"",[1]对账明细接口!$Q911),"")</f>
        <v/>
      </c>
      <c r="W911" s="10" t="str">
        <f aca="false">IFERROR(IF([1]对账明细接口!$R911=0,"",[1]对账明细接口!$R911),"")</f>
        <v/>
      </c>
      <c r="X911" s="10" t="str">
        <f aca="false">IFERROR(IF([1]对账明细接口!$S911=0,"",[1]对账明细接口!$S911),"")</f>
        <v/>
      </c>
      <c r="Y911" s="10" t="str">
        <f aca="false">""</f>
        <v/>
      </c>
      <c r="Z911" s="10" t="str">
        <f aca="false">""</f>
        <v/>
      </c>
      <c r="AA911" s="10" t="str">
        <f aca="false">""</f>
        <v/>
      </c>
      <c r="AB911" s="10" t="str">
        <f aca="false">""</f>
        <v/>
      </c>
    </row>
    <row r="912" customFormat="false" ht="13.5" hidden="false" customHeight="false" outlineLevel="0" collapsed="false">
      <c r="A912" s="109" t="n">
        <v>912</v>
      </c>
      <c r="B912" s="110" t="str">
        <f aca="false">IFERROR(IF([1]对账明细接口!$B$912=0,"",[1]对账明细接口!$B$912),"")</f>
        <v/>
      </c>
      <c r="C912" s="59" t="str">
        <f aca="false">IFERROR(IF([1]对账明细接口!$C$912=0,"",[1]对账明细接口!$C$912),"")</f>
        <v/>
      </c>
      <c r="D912" s="59" t="str">
        <f aca="false">IFERROR(IF([1]对账明细接口!$D$912=0,"",[1]对账明细接口!$D$912),"")</f>
        <v/>
      </c>
      <c r="E912" s="59" t="str">
        <f aca="false">IFERROR(IF([1]对账明细接口!$E$912=0,"",[1]对账明细接口!$E$912),"")</f>
        <v/>
      </c>
      <c r="F912" s="59" t="str">
        <f aca="false">IFERROR(IF([1]对账明细接口!$F$912=0,"",[1]对账明细接口!$F$912),"")</f>
        <v/>
      </c>
      <c r="G912" s="59" t="str">
        <f aca="false">IFERROR(IF([1]对账明细接口!$G$912=0,"",[1]对账明细接口!$G$912),"")</f>
        <v/>
      </c>
      <c r="H912" s="60" t="str">
        <f aca="false">IFERROR(IF([1]对账明细接口!$H$912=0,"",[1]对账明细接口!$H$912),"")</f>
        <v/>
      </c>
      <c r="I912" s="59" t="str">
        <f aca="false">IFERROR(IF([1]对账明细接口!$I$912=0,"",[1]对账明细接口!$I$912),"")</f>
        <v/>
      </c>
      <c r="J912" s="61" t="str">
        <f aca="false">IFERROR(IF([1]对账明细接口!$J$912=0,"",[1]对账明细接口!$J$912),"")</f>
        <v/>
      </c>
      <c r="K912" s="61" t="str">
        <f aca="false">IFERROR(IF([1]对账明细接口!$K$912=0,"",[1]对账明细接口!$K$912),"")</f>
        <v/>
      </c>
      <c r="L912" s="59" t="str">
        <f aca="false">IFERROR(IF([1]对账明细接口!$L$912=0,"",[1]对账明细接口!$L$912),"")</f>
        <v/>
      </c>
      <c r="M912" s="59" t="str">
        <f aca="false">IFERROR(IF([1]对账明细接口!$M$912=0,"",[1]对账明细接口!$M$912),"")</f>
        <v/>
      </c>
      <c r="N912" s="111" t="n">
        <f aca="false">IF($C912="",0,1)</f>
        <v>0</v>
      </c>
      <c r="O912" s="111" t="n">
        <f aca="false">N(O911)+$N912</f>
        <v>110</v>
      </c>
      <c r="S912" s="10" t="str">
        <f aca="false">IFERROR(IF([1]对账明细接口!$N912=0,"",[1]对账明细接口!$N912),"")</f>
        <v/>
      </c>
      <c r="T912" s="112" t="str">
        <f aca="false">IFERROR(IF([1]对账明细接口!$O912=0,"",[1]对账明细接口!$O912),"")</f>
        <v/>
      </c>
      <c r="U912" s="112" t="str">
        <f aca="false">IFERROR(IF([1]对账明细接口!$P912=0,"",[1]对账明细接口!$P912),"")</f>
        <v/>
      </c>
      <c r="V912" s="112" t="str">
        <f aca="false">IFERROR(IF([1]对账明细接口!$Q912=0,"",[1]对账明细接口!$Q912),"")</f>
        <v/>
      </c>
      <c r="W912" s="10" t="str">
        <f aca="false">IFERROR(IF([1]对账明细接口!$R912=0,"",[1]对账明细接口!$R912),"")</f>
        <v/>
      </c>
      <c r="X912" s="10" t="str">
        <f aca="false">IFERROR(IF([1]对账明细接口!$S912=0,"",[1]对账明细接口!$S912),"")</f>
        <v/>
      </c>
      <c r="Y912" s="10" t="str">
        <f aca="false">""</f>
        <v/>
      </c>
      <c r="Z912" s="10" t="str">
        <f aca="false">""</f>
        <v/>
      </c>
      <c r="AA912" s="10" t="str">
        <f aca="false">""</f>
        <v/>
      </c>
      <c r="AB912" s="10" t="str">
        <f aca="false">""</f>
        <v/>
      </c>
    </row>
    <row r="913" customFormat="false" ht="13.5" hidden="false" customHeight="false" outlineLevel="0" collapsed="false">
      <c r="A913" s="109" t="n">
        <v>913</v>
      </c>
      <c r="B913" s="110" t="str">
        <f aca="false">IFERROR(IF([1]对账明细接口!$B$913=0,"",[1]对账明细接口!$B$913),"")</f>
        <v/>
      </c>
      <c r="C913" s="59" t="str">
        <f aca="false">IFERROR(IF([1]对账明细接口!$C$913=0,"",[1]对账明细接口!$C$913),"")</f>
        <v/>
      </c>
      <c r="D913" s="59" t="str">
        <f aca="false">IFERROR(IF([1]对账明细接口!$D$913=0,"",[1]对账明细接口!$D$913),"")</f>
        <v/>
      </c>
      <c r="E913" s="59" t="str">
        <f aca="false">IFERROR(IF([1]对账明细接口!$E$913=0,"",[1]对账明细接口!$E$913),"")</f>
        <v/>
      </c>
      <c r="F913" s="59" t="str">
        <f aca="false">IFERROR(IF([1]对账明细接口!$F$913=0,"",[1]对账明细接口!$F$913),"")</f>
        <v/>
      </c>
      <c r="G913" s="59" t="str">
        <f aca="false">IFERROR(IF([1]对账明细接口!$G$913=0,"",[1]对账明细接口!$G$913),"")</f>
        <v/>
      </c>
      <c r="H913" s="60" t="str">
        <f aca="false">IFERROR(IF([1]对账明细接口!$H$913=0,"",[1]对账明细接口!$H$913),"")</f>
        <v/>
      </c>
      <c r="I913" s="59" t="str">
        <f aca="false">IFERROR(IF([1]对账明细接口!$I$913=0,"",[1]对账明细接口!$I$913),"")</f>
        <v/>
      </c>
      <c r="J913" s="61" t="str">
        <f aca="false">IFERROR(IF([1]对账明细接口!$J$913=0,"",[1]对账明细接口!$J$913),"")</f>
        <v/>
      </c>
      <c r="K913" s="61" t="str">
        <f aca="false">IFERROR(IF([1]对账明细接口!$K$913=0,"",[1]对账明细接口!$K$913),"")</f>
        <v/>
      </c>
      <c r="L913" s="59" t="str">
        <f aca="false">IFERROR(IF([1]对账明细接口!$L$913=0,"",[1]对账明细接口!$L$913),"")</f>
        <v/>
      </c>
      <c r="M913" s="59" t="str">
        <f aca="false">IFERROR(IF([1]对账明细接口!$M$913=0,"",[1]对账明细接口!$M$913),"")</f>
        <v/>
      </c>
      <c r="N913" s="111" t="n">
        <f aca="false">IF($C913="",0,1)</f>
        <v>0</v>
      </c>
      <c r="O913" s="111" t="n">
        <f aca="false">N(O912)+$N913</f>
        <v>110</v>
      </c>
      <c r="S913" s="10" t="str">
        <f aca="false">IFERROR(IF([1]对账明细接口!$N913=0,"",[1]对账明细接口!$N913),"")</f>
        <v/>
      </c>
      <c r="T913" s="112" t="str">
        <f aca="false">IFERROR(IF([1]对账明细接口!$O913=0,"",[1]对账明细接口!$O913),"")</f>
        <v/>
      </c>
      <c r="U913" s="112" t="str">
        <f aca="false">IFERROR(IF([1]对账明细接口!$P913=0,"",[1]对账明细接口!$P913),"")</f>
        <v/>
      </c>
      <c r="V913" s="112" t="str">
        <f aca="false">IFERROR(IF([1]对账明细接口!$Q913=0,"",[1]对账明细接口!$Q913),"")</f>
        <v/>
      </c>
      <c r="W913" s="10" t="str">
        <f aca="false">IFERROR(IF([1]对账明细接口!$R913=0,"",[1]对账明细接口!$R913),"")</f>
        <v/>
      </c>
      <c r="X913" s="10" t="str">
        <f aca="false">IFERROR(IF([1]对账明细接口!$S913=0,"",[1]对账明细接口!$S913),"")</f>
        <v/>
      </c>
      <c r="Y913" s="10" t="str">
        <f aca="false">""</f>
        <v/>
      </c>
      <c r="Z913" s="10" t="str">
        <f aca="false">""</f>
        <v/>
      </c>
      <c r="AA913" s="10" t="str">
        <f aca="false">""</f>
        <v/>
      </c>
      <c r="AB913" s="10" t="str">
        <f aca="false">""</f>
        <v/>
      </c>
    </row>
    <row r="914" customFormat="false" ht="13.5" hidden="false" customHeight="false" outlineLevel="0" collapsed="false">
      <c r="A914" s="109" t="n">
        <v>914</v>
      </c>
      <c r="B914" s="110" t="str">
        <f aca="false">IFERROR(IF([1]对账明细接口!$B$914=0,"",[1]对账明细接口!$B$914),"")</f>
        <v/>
      </c>
      <c r="C914" s="59" t="str">
        <f aca="false">IFERROR(IF([1]对账明细接口!$C$914=0,"",[1]对账明细接口!$C$914),"")</f>
        <v/>
      </c>
      <c r="D914" s="59" t="str">
        <f aca="false">IFERROR(IF([1]对账明细接口!$D$914=0,"",[1]对账明细接口!$D$914),"")</f>
        <v/>
      </c>
      <c r="E914" s="59" t="str">
        <f aca="false">IFERROR(IF([1]对账明细接口!$E$914=0,"",[1]对账明细接口!$E$914),"")</f>
        <v/>
      </c>
      <c r="F914" s="59" t="str">
        <f aca="false">IFERROR(IF([1]对账明细接口!$F$914=0,"",[1]对账明细接口!$F$914),"")</f>
        <v/>
      </c>
      <c r="G914" s="59" t="str">
        <f aca="false">IFERROR(IF([1]对账明细接口!$G$914=0,"",[1]对账明细接口!$G$914),"")</f>
        <v/>
      </c>
      <c r="H914" s="60" t="str">
        <f aca="false">IFERROR(IF([1]对账明细接口!$H$914=0,"",[1]对账明细接口!$H$914),"")</f>
        <v/>
      </c>
      <c r="I914" s="59" t="str">
        <f aca="false">IFERROR(IF([1]对账明细接口!$I$914=0,"",[1]对账明细接口!$I$914),"")</f>
        <v/>
      </c>
      <c r="J914" s="61" t="str">
        <f aca="false">IFERROR(IF([1]对账明细接口!$J$914=0,"",[1]对账明细接口!$J$914),"")</f>
        <v/>
      </c>
      <c r="K914" s="61" t="str">
        <f aca="false">IFERROR(IF([1]对账明细接口!$K$914=0,"",[1]对账明细接口!$K$914),"")</f>
        <v/>
      </c>
      <c r="L914" s="59" t="str">
        <f aca="false">IFERROR(IF([1]对账明细接口!$L$914=0,"",[1]对账明细接口!$L$914),"")</f>
        <v/>
      </c>
      <c r="M914" s="59" t="str">
        <f aca="false">IFERROR(IF([1]对账明细接口!$M$914=0,"",[1]对账明细接口!$M$914),"")</f>
        <v/>
      </c>
      <c r="N914" s="111" t="n">
        <f aca="false">IF($C914="",0,1)</f>
        <v>0</v>
      </c>
      <c r="O914" s="111" t="n">
        <f aca="false">N(O913)+$N914</f>
        <v>110</v>
      </c>
      <c r="S914" s="10" t="str">
        <f aca="false">IFERROR(IF([1]对账明细接口!$N914=0,"",[1]对账明细接口!$N914),"")</f>
        <v/>
      </c>
      <c r="T914" s="112" t="str">
        <f aca="false">IFERROR(IF([1]对账明细接口!$O914=0,"",[1]对账明细接口!$O914),"")</f>
        <v/>
      </c>
      <c r="U914" s="112" t="str">
        <f aca="false">IFERROR(IF([1]对账明细接口!$P914=0,"",[1]对账明细接口!$P914),"")</f>
        <v/>
      </c>
      <c r="V914" s="112" t="str">
        <f aca="false">IFERROR(IF([1]对账明细接口!$Q914=0,"",[1]对账明细接口!$Q914),"")</f>
        <v/>
      </c>
      <c r="W914" s="10" t="str">
        <f aca="false">IFERROR(IF([1]对账明细接口!$R914=0,"",[1]对账明细接口!$R914),"")</f>
        <v/>
      </c>
      <c r="X914" s="10" t="str">
        <f aca="false">IFERROR(IF([1]对账明细接口!$S914=0,"",[1]对账明细接口!$S914),"")</f>
        <v/>
      </c>
      <c r="Y914" s="10" t="str">
        <f aca="false">""</f>
        <v/>
      </c>
      <c r="Z914" s="10" t="str">
        <f aca="false">""</f>
        <v/>
      </c>
      <c r="AA914" s="10" t="str">
        <f aca="false">""</f>
        <v/>
      </c>
      <c r="AB914" s="10" t="str">
        <f aca="false">""</f>
        <v/>
      </c>
    </row>
    <row r="915" customFormat="false" ht="13.5" hidden="false" customHeight="false" outlineLevel="0" collapsed="false">
      <c r="A915" s="109" t="n">
        <v>915</v>
      </c>
      <c r="B915" s="110" t="str">
        <f aca="false">IFERROR(IF([1]对账明细接口!$B$915=0,"",[1]对账明细接口!$B$915),"")</f>
        <v/>
      </c>
      <c r="C915" s="59" t="str">
        <f aca="false">IFERROR(IF([1]对账明细接口!$C$915=0,"",[1]对账明细接口!$C$915),"")</f>
        <v/>
      </c>
      <c r="D915" s="59" t="str">
        <f aca="false">IFERROR(IF([1]对账明细接口!$D$915=0,"",[1]对账明细接口!$D$915),"")</f>
        <v/>
      </c>
      <c r="E915" s="59" t="str">
        <f aca="false">IFERROR(IF([1]对账明细接口!$E$915=0,"",[1]对账明细接口!$E$915),"")</f>
        <v/>
      </c>
      <c r="F915" s="59" t="str">
        <f aca="false">IFERROR(IF([1]对账明细接口!$F$915=0,"",[1]对账明细接口!$F$915),"")</f>
        <v/>
      </c>
      <c r="G915" s="59" t="str">
        <f aca="false">IFERROR(IF([1]对账明细接口!$G$915=0,"",[1]对账明细接口!$G$915),"")</f>
        <v/>
      </c>
      <c r="H915" s="60" t="str">
        <f aca="false">IFERROR(IF([1]对账明细接口!$H$915=0,"",[1]对账明细接口!$H$915),"")</f>
        <v/>
      </c>
      <c r="I915" s="59" t="str">
        <f aca="false">IFERROR(IF([1]对账明细接口!$I$915=0,"",[1]对账明细接口!$I$915),"")</f>
        <v/>
      </c>
      <c r="J915" s="61" t="str">
        <f aca="false">IFERROR(IF([1]对账明细接口!$J$915=0,"",[1]对账明细接口!$J$915),"")</f>
        <v/>
      </c>
      <c r="K915" s="61" t="str">
        <f aca="false">IFERROR(IF([1]对账明细接口!$K$915=0,"",[1]对账明细接口!$K$915),"")</f>
        <v/>
      </c>
      <c r="L915" s="59" t="str">
        <f aca="false">IFERROR(IF([1]对账明细接口!$L$915=0,"",[1]对账明细接口!$L$915),"")</f>
        <v/>
      </c>
      <c r="M915" s="59" t="str">
        <f aca="false">IFERROR(IF([1]对账明细接口!$M$915=0,"",[1]对账明细接口!$M$915),"")</f>
        <v/>
      </c>
      <c r="N915" s="111" t="n">
        <f aca="false">IF($C915="",0,1)</f>
        <v>0</v>
      </c>
      <c r="O915" s="111" t="n">
        <f aca="false">N(O914)+$N915</f>
        <v>110</v>
      </c>
      <c r="S915" s="10" t="str">
        <f aca="false">IFERROR(IF([1]对账明细接口!$N915=0,"",[1]对账明细接口!$N915),"")</f>
        <v/>
      </c>
      <c r="T915" s="112" t="str">
        <f aca="false">IFERROR(IF([1]对账明细接口!$O915=0,"",[1]对账明细接口!$O915),"")</f>
        <v/>
      </c>
      <c r="U915" s="112" t="str">
        <f aca="false">IFERROR(IF([1]对账明细接口!$P915=0,"",[1]对账明细接口!$P915),"")</f>
        <v/>
      </c>
      <c r="V915" s="112" t="str">
        <f aca="false">IFERROR(IF([1]对账明细接口!$Q915=0,"",[1]对账明细接口!$Q915),"")</f>
        <v/>
      </c>
      <c r="W915" s="10" t="str">
        <f aca="false">IFERROR(IF([1]对账明细接口!$R915=0,"",[1]对账明细接口!$R915),"")</f>
        <v/>
      </c>
      <c r="X915" s="10" t="str">
        <f aca="false">IFERROR(IF([1]对账明细接口!$S915=0,"",[1]对账明细接口!$S915),"")</f>
        <v/>
      </c>
      <c r="Y915" s="10" t="str">
        <f aca="false">""</f>
        <v/>
      </c>
      <c r="Z915" s="10" t="str">
        <f aca="false">""</f>
        <v/>
      </c>
      <c r="AA915" s="10" t="str">
        <f aca="false">""</f>
        <v/>
      </c>
      <c r="AB915" s="10" t="str">
        <f aca="false">""</f>
        <v/>
      </c>
    </row>
    <row r="916" customFormat="false" ht="13.5" hidden="false" customHeight="false" outlineLevel="0" collapsed="false">
      <c r="A916" s="109" t="n">
        <v>916</v>
      </c>
      <c r="B916" s="110" t="str">
        <f aca="false">IFERROR(IF([1]对账明细接口!$B$916=0,"",[1]对账明细接口!$B$916),"")</f>
        <v/>
      </c>
      <c r="C916" s="59" t="str">
        <f aca="false">IFERROR(IF([1]对账明细接口!$C$916=0,"",[1]对账明细接口!$C$916),"")</f>
        <v/>
      </c>
      <c r="D916" s="59" t="str">
        <f aca="false">IFERROR(IF([1]对账明细接口!$D$916=0,"",[1]对账明细接口!$D$916),"")</f>
        <v/>
      </c>
      <c r="E916" s="59" t="str">
        <f aca="false">IFERROR(IF([1]对账明细接口!$E$916=0,"",[1]对账明细接口!$E$916),"")</f>
        <v/>
      </c>
      <c r="F916" s="59" t="str">
        <f aca="false">IFERROR(IF([1]对账明细接口!$F$916=0,"",[1]对账明细接口!$F$916),"")</f>
        <v/>
      </c>
      <c r="G916" s="59" t="str">
        <f aca="false">IFERROR(IF([1]对账明细接口!$G$916=0,"",[1]对账明细接口!$G$916),"")</f>
        <v/>
      </c>
      <c r="H916" s="60" t="str">
        <f aca="false">IFERROR(IF([1]对账明细接口!$H$916=0,"",[1]对账明细接口!$H$916),"")</f>
        <v/>
      </c>
      <c r="I916" s="59" t="str">
        <f aca="false">IFERROR(IF([1]对账明细接口!$I$916=0,"",[1]对账明细接口!$I$916),"")</f>
        <v/>
      </c>
      <c r="J916" s="61" t="str">
        <f aca="false">IFERROR(IF([1]对账明细接口!$J$916=0,"",[1]对账明细接口!$J$916),"")</f>
        <v/>
      </c>
      <c r="K916" s="61" t="str">
        <f aca="false">IFERROR(IF([1]对账明细接口!$K$916=0,"",[1]对账明细接口!$K$916),"")</f>
        <v/>
      </c>
      <c r="L916" s="59" t="str">
        <f aca="false">IFERROR(IF([1]对账明细接口!$L$916=0,"",[1]对账明细接口!$L$916),"")</f>
        <v/>
      </c>
      <c r="M916" s="59" t="str">
        <f aca="false">IFERROR(IF([1]对账明细接口!$M$916=0,"",[1]对账明细接口!$M$916),"")</f>
        <v/>
      </c>
      <c r="N916" s="111" t="n">
        <f aca="false">IF($C916="",0,1)</f>
        <v>0</v>
      </c>
      <c r="O916" s="111" t="n">
        <f aca="false">N(O915)+$N916</f>
        <v>110</v>
      </c>
      <c r="S916" s="10" t="str">
        <f aca="false">IFERROR(IF([1]对账明细接口!$N916=0,"",[1]对账明细接口!$N916),"")</f>
        <v/>
      </c>
      <c r="T916" s="112" t="str">
        <f aca="false">IFERROR(IF([1]对账明细接口!$O916=0,"",[1]对账明细接口!$O916),"")</f>
        <v/>
      </c>
      <c r="U916" s="112" t="str">
        <f aca="false">IFERROR(IF([1]对账明细接口!$P916=0,"",[1]对账明细接口!$P916),"")</f>
        <v/>
      </c>
      <c r="V916" s="112" t="str">
        <f aca="false">IFERROR(IF([1]对账明细接口!$Q916=0,"",[1]对账明细接口!$Q916),"")</f>
        <v/>
      </c>
      <c r="W916" s="10" t="str">
        <f aca="false">IFERROR(IF([1]对账明细接口!$R916=0,"",[1]对账明细接口!$R916),"")</f>
        <v/>
      </c>
      <c r="X916" s="10" t="str">
        <f aca="false">IFERROR(IF([1]对账明细接口!$S916=0,"",[1]对账明细接口!$S916),"")</f>
        <v/>
      </c>
      <c r="Y916" s="10" t="str">
        <f aca="false">""</f>
        <v/>
      </c>
      <c r="Z916" s="10" t="str">
        <f aca="false">""</f>
        <v/>
      </c>
      <c r="AA916" s="10" t="str">
        <f aca="false">""</f>
        <v/>
      </c>
      <c r="AB916" s="10" t="str">
        <f aca="false">""</f>
        <v/>
      </c>
    </row>
    <row r="917" customFormat="false" ht="13.5" hidden="false" customHeight="false" outlineLevel="0" collapsed="false">
      <c r="A917" s="109" t="n">
        <v>917</v>
      </c>
      <c r="B917" s="110" t="str">
        <f aca="false">IFERROR(IF([1]对账明细接口!$B$917=0,"",[1]对账明细接口!$B$917),"")</f>
        <v/>
      </c>
      <c r="C917" s="59" t="str">
        <f aca="false">IFERROR(IF([1]对账明细接口!$C$917=0,"",[1]对账明细接口!$C$917),"")</f>
        <v/>
      </c>
      <c r="D917" s="59" t="str">
        <f aca="false">IFERROR(IF([1]对账明细接口!$D$917=0,"",[1]对账明细接口!$D$917),"")</f>
        <v/>
      </c>
      <c r="E917" s="59" t="str">
        <f aca="false">IFERROR(IF([1]对账明细接口!$E$917=0,"",[1]对账明细接口!$E$917),"")</f>
        <v/>
      </c>
      <c r="F917" s="59" t="str">
        <f aca="false">IFERROR(IF([1]对账明细接口!$F$917=0,"",[1]对账明细接口!$F$917),"")</f>
        <v/>
      </c>
      <c r="G917" s="59" t="str">
        <f aca="false">IFERROR(IF([1]对账明细接口!$G$917=0,"",[1]对账明细接口!$G$917),"")</f>
        <v/>
      </c>
      <c r="H917" s="60" t="str">
        <f aca="false">IFERROR(IF([1]对账明细接口!$H$917=0,"",[1]对账明细接口!$H$917),"")</f>
        <v/>
      </c>
      <c r="I917" s="59" t="str">
        <f aca="false">IFERROR(IF([1]对账明细接口!$I$917=0,"",[1]对账明细接口!$I$917),"")</f>
        <v/>
      </c>
      <c r="J917" s="61" t="str">
        <f aca="false">IFERROR(IF([1]对账明细接口!$J$917=0,"",[1]对账明细接口!$J$917),"")</f>
        <v/>
      </c>
      <c r="K917" s="61" t="str">
        <f aca="false">IFERROR(IF([1]对账明细接口!$K$917=0,"",[1]对账明细接口!$K$917),"")</f>
        <v/>
      </c>
      <c r="L917" s="59" t="str">
        <f aca="false">IFERROR(IF([1]对账明细接口!$L$917=0,"",[1]对账明细接口!$L$917),"")</f>
        <v/>
      </c>
      <c r="M917" s="59" t="str">
        <f aca="false">IFERROR(IF([1]对账明细接口!$M$917=0,"",[1]对账明细接口!$M$917),"")</f>
        <v/>
      </c>
      <c r="N917" s="111" t="n">
        <f aca="false">IF($C917="",0,1)</f>
        <v>0</v>
      </c>
      <c r="O917" s="111" t="n">
        <f aca="false">N(O916)+$N917</f>
        <v>110</v>
      </c>
      <c r="S917" s="10" t="str">
        <f aca="false">IFERROR(IF([1]对账明细接口!$N917=0,"",[1]对账明细接口!$N917),"")</f>
        <v/>
      </c>
      <c r="T917" s="112" t="str">
        <f aca="false">IFERROR(IF([1]对账明细接口!$O917=0,"",[1]对账明细接口!$O917),"")</f>
        <v/>
      </c>
      <c r="U917" s="112" t="str">
        <f aca="false">IFERROR(IF([1]对账明细接口!$P917=0,"",[1]对账明细接口!$P917),"")</f>
        <v/>
      </c>
      <c r="V917" s="112" t="str">
        <f aca="false">IFERROR(IF([1]对账明细接口!$Q917=0,"",[1]对账明细接口!$Q917),"")</f>
        <v/>
      </c>
      <c r="W917" s="10" t="str">
        <f aca="false">IFERROR(IF([1]对账明细接口!$R917=0,"",[1]对账明细接口!$R917),"")</f>
        <v/>
      </c>
      <c r="X917" s="10" t="str">
        <f aca="false">IFERROR(IF([1]对账明细接口!$S917=0,"",[1]对账明细接口!$S917),"")</f>
        <v/>
      </c>
      <c r="Y917" s="10" t="str">
        <f aca="false">""</f>
        <v/>
      </c>
      <c r="Z917" s="10" t="str">
        <f aca="false">""</f>
        <v/>
      </c>
      <c r="AA917" s="10" t="str">
        <f aca="false">""</f>
        <v/>
      </c>
      <c r="AB917" s="10" t="str">
        <f aca="false">""</f>
        <v/>
      </c>
    </row>
    <row r="918" customFormat="false" ht="13.5" hidden="false" customHeight="false" outlineLevel="0" collapsed="false">
      <c r="A918" s="109" t="n">
        <v>918</v>
      </c>
      <c r="B918" s="110" t="str">
        <f aca="false">IFERROR(IF([1]对账明细接口!$B$918=0,"",[1]对账明细接口!$B$918),"")</f>
        <v/>
      </c>
      <c r="C918" s="59" t="str">
        <f aca="false">IFERROR(IF([1]对账明细接口!$C$918=0,"",[1]对账明细接口!$C$918),"")</f>
        <v/>
      </c>
      <c r="D918" s="59" t="str">
        <f aca="false">IFERROR(IF([1]对账明细接口!$D$918=0,"",[1]对账明细接口!$D$918),"")</f>
        <v/>
      </c>
      <c r="E918" s="59" t="str">
        <f aca="false">IFERROR(IF([1]对账明细接口!$E$918=0,"",[1]对账明细接口!$E$918),"")</f>
        <v/>
      </c>
      <c r="F918" s="59" t="str">
        <f aca="false">IFERROR(IF([1]对账明细接口!$F$918=0,"",[1]对账明细接口!$F$918),"")</f>
        <v/>
      </c>
      <c r="G918" s="59" t="str">
        <f aca="false">IFERROR(IF([1]对账明细接口!$G$918=0,"",[1]对账明细接口!$G$918),"")</f>
        <v/>
      </c>
      <c r="H918" s="60" t="str">
        <f aca="false">IFERROR(IF([1]对账明细接口!$H$918=0,"",[1]对账明细接口!$H$918),"")</f>
        <v/>
      </c>
      <c r="I918" s="59" t="str">
        <f aca="false">IFERROR(IF([1]对账明细接口!$I$918=0,"",[1]对账明细接口!$I$918),"")</f>
        <v/>
      </c>
      <c r="J918" s="61" t="str">
        <f aca="false">IFERROR(IF([1]对账明细接口!$J$918=0,"",[1]对账明细接口!$J$918),"")</f>
        <v/>
      </c>
      <c r="K918" s="61" t="str">
        <f aca="false">IFERROR(IF([1]对账明细接口!$K$918=0,"",[1]对账明细接口!$K$918),"")</f>
        <v/>
      </c>
      <c r="L918" s="59" t="str">
        <f aca="false">IFERROR(IF([1]对账明细接口!$L$918=0,"",[1]对账明细接口!$L$918),"")</f>
        <v/>
      </c>
      <c r="M918" s="59" t="str">
        <f aca="false">IFERROR(IF([1]对账明细接口!$M$918=0,"",[1]对账明细接口!$M$918),"")</f>
        <v/>
      </c>
      <c r="N918" s="111" t="n">
        <f aca="false">IF($C918="",0,1)</f>
        <v>0</v>
      </c>
      <c r="O918" s="111" t="n">
        <f aca="false">N(O917)+$N918</f>
        <v>110</v>
      </c>
      <c r="S918" s="10" t="str">
        <f aca="false">IFERROR(IF([1]对账明细接口!$N918=0,"",[1]对账明细接口!$N918),"")</f>
        <v/>
      </c>
      <c r="T918" s="112" t="str">
        <f aca="false">IFERROR(IF([1]对账明细接口!$O918=0,"",[1]对账明细接口!$O918),"")</f>
        <v/>
      </c>
      <c r="U918" s="112" t="str">
        <f aca="false">IFERROR(IF([1]对账明细接口!$P918=0,"",[1]对账明细接口!$P918),"")</f>
        <v/>
      </c>
      <c r="V918" s="112" t="str">
        <f aca="false">IFERROR(IF([1]对账明细接口!$Q918=0,"",[1]对账明细接口!$Q918),"")</f>
        <v/>
      </c>
      <c r="W918" s="10" t="str">
        <f aca="false">IFERROR(IF([1]对账明细接口!$R918=0,"",[1]对账明细接口!$R918),"")</f>
        <v/>
      </c>
      <c r="X918" s="10" t="str">
        <f aca="false">IFERROR(IF([1]对账明细接口!$S918=0,"",[1]对账明细接口!$S918),"")</f>
        <v/>
      </c>
      <c r="Y918" s="10" t="str">
        <f aca="false">""</f>
        <v/>
      </c>
      <c r="Z918" s="10" t="str">
        <f aca="false">""</f>
        <v/>
      </c>
      <c r="AA918" s="10" t="str">
        <f aca="false">""</f>
        <v/>
      </c>
      <c r="AB918" s="10" t="str">
        <f aca="false">""</f>
        <v/>
      </c>
    </row>
    <row r="919" customFormat="false" ht="13.5" hidden="false" customHeight="false" outlineLevel="0" collapsed="false">
      <c r="A919" s="109" t="n">
        <v>919</v>
      </c>
      <c r="B919" s="110" t="str">
        <f aca="false">IFERROR(IF([1]对账明细接口!$B$919=0,"",[1]对账明细接口!$B$919),"")</f>
        <v/>
      </c>
      <c r="C919" s="59" t="str">
        <f aca="false">IFERROR(IF([1]对账明细接口!$C$919=0,"",[1]对账明细接口!$C$919),"")</f>
        <v/>
      </c>
      <c r="D919" s="59" t="str">
        <f aca="false">IFERROR(IF([1]对账明细接口!$D$919=0,"",[1]对账明细接口!$D$919),"")</f>
        <v/>
      </c>
      <c r="E919" s="59" t="str">
        <f aca="false">IFERROR(IF([1]对账明细接口!$E$919=0,"",[1]对账明细接口!$E$919),"")</f>
        <v/>
      </c>
      <c r="F919" s="59" t="str">
        <f aca="false">IFERROR(IF([1]对账明细接口!$F$919=0,"",[1]对账明细接口!$F$919),"")</f>
        <v/>
      </c>
      <c r="G919" s="59" t="str">
        <f aca="false">IFERROR(IF([1]对账明细接口!$G$919=0,"",[1]对账明细接口!$G$919),"")</f>
        <v/>
      </c>
      <c r="H919" s="60" t="str">
        <f aca="false">IFERROR(IF([1]对账明细接口!$H$919=0,"",[1]对账明细接口!$H$919),"")</f>
        <v/>
      </c>
      <c r="I919" s="59" t="str">
        <f aca="false">IFERROR(IF([1]对账明细接口!$I$919=0,"",[1]对账明细接口!$I$919),"")</f>
        <v/>
      </c>
      <c r="J919" s="61" t="str">
        <f aca="false">IFERROR(IF([1]对账明细接口!$J$919=0,"",[1]对账明细接口!$J$919),"")</f>
        <v/>
      </c>
      <c r="K919" s="61" t="str">
        <f aca="false">IFERROR(IF([1]对账明细接口!$K$919=0,"",[1]对账明细接口!$K$919),"")</f>
        <v/>
      </c>
      <c r="L919" s="59" t="str">
        <f aca="false">IFERROR(IF([1]对账明细接口!$L$919=0,"",[1]对账明细接口!$L$919),"")</f>
        <v/>
      </c>
      <c r="M919" s="59" t="str">
        <f aca="false">IFERROR(IF([1]对账明细接口!$M$919=0,"",[1]对账明细接口!$M$919),"")</f>
        <v/>
      </c>
      <c r="N919" s="111" t="n">
        <f aca="false">IF($C919="",0,1)</f>
        <v>0</v>
      </c>
      <c r="O919" s="111" t="n">
        <f aca="false">N(O918)+$N919</f>
        <v>110</v>
      </c>
      <c r="S919" s="10" t="str">
        <f aca="false">IFERROR(IF([1]对账明细接口!$N919=0,"",[1]对账明细接口!$N919),"")</f>
        <v/>
      </c>
      <c r="T919" s="112" t="str">
        <f aca="false">IFERROR(IF([1]对账明细接口!$O919=0,"",[1]对账明细接口!$O919),"")</f>
        <v/>
      </c>
      <c r="U919" s="112" t="str">
        <f aca="false">IFERROR(IF([1]对账明细接口!$P919=0,"",[1]对账明细接口!$P919),"")</f>
        <v/>
      </c>
      <c r="V919" s="112" t="str">
        <f aca="false">IFERROR(IF([1]对账明细接口!$Q919=0,"",[1]对账明细接口!$Q919),"")</f>
        <v/>
      </c>
      <c r="W919" s="10" t="str">
        <f aca="false">IFERROR(IF([1]对账明细接口!$R919=0,"",[1]对账明细接口!$R919),"")</f>
        <v/>
      </c>
      <c r="X919" s="10" t="str">
        <f aca="false">IFERROR(IF([1]对账明细接口!$S919=0,"",[1]对账明细接口!$S919),"")</f>
        <v/>
      </c>
      <c r="Y919" s="10" t="str">
        <f aca="false">""</f>
        <v/>
      </c>
      <c r="Z919" s="10" t="str">
        <f aca="false">""</f>
        <v/>
      </c>
      <c r="AA919" s="10" t="str">
        <f aca="false">""</f>
        <v/>
      </c>
      <c r="AB919" s="10" t="str">
        <f aca="false">""</f>
        <v/>
      </c>
    </row>
    <row r="920" customFormat="false" ht="13.5" hidden="false" customHeight="false" outlineLevel="0" collapsed="false">
      <c r="A920" s="109" t="n">
        <v>920</v>
      </c>
      <c r="B920" s="110" t="str">
        <f aca="false">IFERROR(IF([1]对账明细接口!$B$920=0,"",[1]对账明细接口!$B$920),"")</f>
        <v/>
      </c>
      <c r="C920" s="59" t="str">
        <f aca="false">IFERROR(IF([1]对账明细接口!$C$920=0,"",[1]对账明细接口!$C$920),"")</f>
        <v/>
      </c>
      <c r="D920" s="59" t="str">
        <f aca="false">IFERROR(IF([1]对账明细接口!$D$920=0,"",[1]对账明细接口!$D$920),"")</f>
        <v/>
      </c>
      <c r="E920" s="59" t="str">
        <f aca="false">IFERROR(IF([1]对账明细接口!$E$920=0,"",[1]对账明细接口!$E$920),"")</f>
        <v/>
      </c>
      <c r="F920" s="59" t="str">
        <f aca="false">IFERROR(IF([1]对账明细接口!$F$920=0,"",[1]对账明细接口!$F$920),"")</f>
        <v/>
      </c>
      <c r="G920" s="59" t="str">
        <f aca="false">IFERROR(IF([1]对账明细接口!$G$920=0,"",[1]对账明细接口!$G$920),"")</f>
        <v/>
      </c>
      <c r="H920" s="60" t="str">
        <f aca="false">IFERROR(IF([1]对账明细接口!$H$920=0,"",[1]对账明细接口!$H$920),"")</f>
        <v/>
      </c>
      <c r="I920" s="59" t="str">
        <f aca="false">IFERROR(IF([1]对账明细接口!$I$920=0,"",[1]对账明细接口!$I$920),"")</f>
        <v/>
      </c>
      <c r="J920" s="61" t="str">
        <f aca="false">IFERROR(IF([1]对账明细接口!$J$920=0,"",[1]对账明细接口!$J$920),"")</f>
        <v/>
      </c>
      <c r="K920" s="61" t="str">
        <f aca="false">IFERROR(IF([1]对账明细接口!$K$920=0,"",[1]对账明细接口!$K$920),"")</f>
        <v/>
      </c>
      <c r="L920" s="59" t="str">
        <f aca="false">IFERROR(IF([1]对账明细接口!$L$920=0,"",[1]对账明细接口!$L$920),"")</f>
        <v/>
      </c>
      <c r="M920" s="59" t="str">
        <f aca="false">IFERROR(IF([1]对账明细接口!$M$920=0,"",[1]对账明细接口!$M$920),"")</f>
        <v/>
      </c>
      <c r="N920" s="111" t="n">
        <f aca="false">IF($C920="",0,1)</f>
        <v>0</v>
      </c>
      <c r="O920" s="111" t="n">
        <f aca="false">N(O919)+$N920</f>
        <v>110</v>
      </c>
      <c r="S920" s="10" t="str">
        <f aca="false">IFERROR(IF([1]对账明细接口!$N920=0,"",[1]对账明细接口!$N920),"")</f>
        <v/>
      </c>
      <c r="T920" s="112" t="str">
        <f aca="false">IFERROR(IF([1]对账明细接口!$O920=0,"",[1]对账明细接口!$O920),"")</f>
        <v/>
      </c>
      <c r="U920" s="112" t="str">
        <f aca="false">IFERROR(IF([1]对账明细接口!$P920=0,"",[1]对账明细接口!$P920),"")</f>
        <v/>
      </c>
      <c r="V920" s="112" t="str">
        <f aca="false">IFERROR(IF([1]对账明细接口!$Q920=0,"",[1]对账明细接口!$Q920),"")</f>
        <v/>
      </c>
      <c r="W920" s="10" t="str">
        <f aca="false">IFERROR(IF([1]对账明细接口!$R920=0,"",[1]对账明细接口!$R920),"")</f>
        <v/>
      </c>
      <c r="X920" s="10" t="str">
        <f aca="false">IFERROR(IF([1]对账明细接口!$S920=0,"",[1]对账明细接口!$S920),"")</f>
        <v/>
      </c>
      <c r="Y920" s="10" t="str">
        <f aca="false">""</f>
        <v/>
      </c>
      <c r="Z920" s="10" t="str">
        <f aca="false">""</f>
        <v/>
      </c>
      <c r="AA920" s="10" t="str">
        <f aca="false">""</f>
        <v/>
      </c>
      <c r="AB920" s="10" t="str">
        <f aca="false">""</f>
        <v/>
      </c>
    </row>
    <row r="921" customFormat="false" ht="13.5" hidden="false" customHeight="false" outlineLevel="0" collapsed="false">
      <c r="A921" s="109" t="n">
        <v>921</v>
      </c>
      <c r="B921" s="110" t="str">
        <f aca="false">IFERROR(IF([1]对账明细接口!$B$921=0,"",[1]对账明细接口!$B$921),"")</f>
        <v/>
      </c>
      <c r="C921" s="59" t="str">
        <f aca="false">IFERROR(IF([1]对账明细接口!$C$921=0,"",[1]对账明细接口!$C$921),"")</f>
        <v/>
      </c>
      <c r="D921" s="59" t="str">
        <f aca="false">IFERROR(IF([1]对账明细接口!$D$921=0,"",[1]对账明细接口!$D$921),"")</f>
        <v/>
      </c>
      <c r="E921" s="59" t="str">
        <f aca="false">IFERROR(IF([1]对账明细接口!$E$921=0,"",[1]对账明细接口!$E$921),"")</f>
        <v/>
      </c>
      <c r="F921" s="59" t="str">
        <f aca="false">IFERROR(IF([1]对账明细接口!$F$921=0,"",[1]对账明细接口!$F$921),"")</f>
        <v/>
      </c>
      <c r="G921" s="59" t="str">
        <f aca="false">IFERROR(IF([1]对账明细接口!$G$921=0,"",[1]对账明细接口!$G$921),"")</f>
        <v/>
      </c>
      <c r="H921" s="60" t="str">
        <f aca="false">IFERROR(IF([1]对账明细接口!$H$921=0,"",[1]对账明细接口!$H$921),"")</f>
        <v/>
      </c>
      <c r="I921" s="59" t="str">
        <f aca="false">IFERROR(IF([1]对账明细接口!$I$921=0,"",[1]对账明细接口!$I$921),"")</f>
        <v/>
      </c>
      <c r="J921" s="61" t="str">
        <f aca="false">IFERROR(IF([1]对账明细接口!$J$921=0,"",[1]对账明细接口!$J$921),"")</f>
        <v/>
      </c>
      <c r="K921" s="61" t="str">
        <f aca="false">IFERROR(IF([1]对账明细接口!$K$921=0,"",[1]对账明细接口!$K$921),"")</f>
        <v/>
      </c>
      <c r="L921" s="59" t="str">
        <f aca="false">IFERROR(IF([1]对账明细接口!$L$921=0,"",[1]对账明细接口!$L$921),"")</f>
        <v/>
      </c>
      <c r="M921" s="59" t="str">
        <f aca="false">IFERROR(IF([1]对账明细接口!$M$921=0,"",[1]对账明细接口!$M$921),"")</f>
        <v/>
      </c>
      <c r="N921" s="111" t="n">
        <f aca="false">IF($C921="",0,1)</f>
        <v>0</v>
      </c>
      <c r="O921" s="111" t="n">
        <f aca="false">N(O920)+$N921</f>
        <v>110</v>
      </c>
      <c r="S921" s="10" t="str">
        <f aca="false">IFERROR(IF([1]对账明细接口!$N921=0,"",[1]对账明细接口!$N921),"")</f>
        <v/>
      </c>
      <c r="T921" s="112" t="str">
        <f aca="false">IFERROR(IF([1]对账明细接口!$O921=0,"",[1]对账明细接口!$O921),"")</f>
        <v/>
      </c>
      <c r="U921" s="112" t="str">
        <f aca="false">IFERROR(IF([1]对账明细接口!$P921=0,"",[1]对账明细接口!$P921),"")</f>
        <v/>
      </c>
      <c r="V921" s="112" t="str">
        <f aca="false">IFERROR(IF([1]对账明细接口!$Q921=0,"",[1]对账明细接口!$Q921),"")</f>
        <v/>
      </c>
      <c r="W921" s="10" t="str">
        <f aca="false">IFERROR(IF([1]对账明细接口!$R921=0,"",[1]对账明细接口!$R921),"")</f>
        <v/>
      </c>
      <c r="X921" s="10" t="str">
        <f aca="false">IFERROR(IF([1]对账明细接口!$S921=0,"",[1]对账明细接口!$S921),"")</f>
        <v/>
      </c>
      <c r="Y921" s="10" t="str">
        <f aca="false">""</f>
        <v/>
      </c>
      <c r="Z921" s="10" t="str">
        <f aca="false">""</f>
        <v/>
      </c>
      <c r="AA921" s="10" t="str">
        <f aca="false">""</f>
        <v/>
      </c>
      <c r="AB921" s="10" t="str">
        <f aca="false">""</f>
        <v/>
      </c>
    </row>
    <row r="922" customFormat="false" ht="13.5" hidden="false" customHeight="false" outlineLevel="0" collapsed="false">
      <c r="A922" s="109" t="n">
        <v>922</v>
      </c>
      <c r="B922" s="110" t="str">
        <f aca="false">IFERROR(IF([1]对账明细接口!$B$922=0,"",[1]对账明细接口!$B$922),"")</f>
        <v/>
      </c>
      <c r="C922" s="59" t="str">
        <f aca="false">IFERROR(IF([1]对账明细接口!$C$922=0,"",[1]对账明细接口!$C$922),"")</f>
        <v/>
      </c>
      <c r="D922" s="59" t="str">
        <f aca="false">IFERROR(IF([1]对账明细接口!$D$922=0,"",[1]对账明细接口!$D$922),"")</f>
        <v/>
      </c>
      <c r="E922" s="59" t="str">
        <f aca="false">IFERROR(IF([1]对账明细接口!$E$922=0,"",[1]对账明细接口!$E$922),"")</f>
        <v/>
      </c>
      <c r="F922" s="59" t="str">
        <f aca="false">IFERROR(IF([1]对账明细接口!$F$922=0,"",[1]对账明细接口!$F$922),"")</f>
        <v/>
      </c>
      <c r="G922" s="59" t="str">
        <f aca="false">IFERROR(IF([1]对账明细接口!$G$922=0,"",[1]对账明细接口!$G$922),"")</f>
        <v/>
      </c>
      <c r="H922" s="60" t="str">
        <f aca="false">IFERROR(IF([1]对账明细接口!$H$922=0,"",[1]对账明细接口!$H$922),"")</f>
        <v/>
      </c>
      <c r="I922" s="59" t="str">
        <f aca="false">IFERROR(IF([1]对账明细接口!$I$922=0,"",[1]对账明细接口!$I$922),"")</f>
        <v/>
      </c>
      <c r="J922" s="61" t="str">
        <f aca="false">IFERROR(IF([1]对账明细接口!$J$922=0,"",[1]对账明细接口!$J$922),"")</f>
        <v/>
      </c>
      <c r="K922" s="61" t="str">
        <f aca="false">IFERROR(IF([1]对账明细接口!$K$922=0,"",[1]对账明细接口!$K$922),"")</f>
        <v/>
      </c>
      <c r="L922" s="59" t="str">
        <f aca="false">IFERROR(IF([1]对账明细接口!$L$922=0,"",[1]对账明细接口!$L$922),"")</f>
        <v/>
      </c>
      <c r="M922" s="59" t="str">
        <f aca="false">IFERROR(IF([1]对账明细接口!$M$922=0,"",[1]对账明细接口!$M$922),"")</f>
        <v/>
      </c>
      <c r="N922" s="111" t="n">
        <f aca="false">IF($C922="",0,1)</f>
        <v>0</v>
      </c>
      <c r="O922" s="111" t="n">
        <f aca="false">N(O921)+$N922</f>
        <v>110</v>
      </c>
      <c r="S922" s="10" t="str">
        <f aca="false">IFERROR(IF([1]对账明细接口!$N922=0,"",[1]对账明细接口!$N922),"")</f>
        <v/>
      </c>
      <c r="T922" s="112" t="str">
        <f aca="false">IFERROR(IF([1]对账明细接口!$O922=0,"",[1]对账明细接口!$O922),"")</f>
        <v/>
      </c>
      <c r="U922" s="112" t="str">
        <f aca="false">IFERROR(IF([1]对账明细接口!$P922=0,"",[1]对账明细接口!$P922),"")</f>
        <v/>
      </c>
      <c r="V922" s="112" t="str">
        <f aca="false">IFERROR(IF([1]对账明细接口!$Q922=0,"",[1]对账明细接口!$Q922),"")</f>
        <v/>
      </c>
      <c r="W922" s="10" t="str">
        <f aca="false">IFERROR(IF([1]对账明细接口!$R922=0,"",[1]对账明细接口!$R922),"")</f>
        <v/>
      </c>
      <c r="X922" s="10" t="str">
        <f aca="false">IFERROR(IF([1]对账明细接口!$S922=0,"",[1]对账明细接口!$S922),"")</f>
        <v/>
      </c>
      <c r="Y922" s="10" t="str">
        <f aca="false">""</f>
        <v/>
      </c>
      <c r="Z922" s="10" t="str">
        <f aca="false">""</f>
        <v/>
      </c>
      <c r="AA922" s="10" t="str">
        <f aca="false">""</f>
        <v/>
      </c>
      <c r="AB922" s="10" t="str">
        <f aca="false">""</f>
        <v/>
      </c>
    </row>
    <row r="923" customFormat="false" ht="13.5" hidden="false" customHeight="false" outlineLevel="0" collapsed="false">
      <c r="A923" s="109" t="n">
        <v>923</v>
      </c>
      <c r="B923" s="110" t="str">
        <f aca="false">IFERROR(IF([1]对账明细接口!$B$923=0,"",[1]对账明细接口!$B$923),"")</f>
        <v/>
      </c>
      <c r="C923" s="59" t="str">
        <f aca="false">IFERROR(IF([1]对账明细接口!$C$923=0,"",[1]对账明细接口!$C$923),"")</f>
        <v/>
      </c>
      <c r="D923" s="59" t="str">
        <f aca="false">IFERROR(IF([1]对账明细接口!$D$923=0,"",[1]对账明细接口!$D$923),"")</f>
        <v/>
      </c>
      <c r="E923" s="59" t="str">
        <f aca="false">IFERROR(IF([1]对账明细接口!$E$923=0,"",[1]对账明细接口!$E$923),"")</f>
        <v/>
      </c>
      <c r="F923" s="59" t="str">
        <f aca="false">IFERROR(IF([1]对账明细接口!$F$923=0,"",[1]对账明细接口!$F$923),"")</f>
        <v/>
      </c>
      <c r="G923" s="59" t="str">
        <f aca="false">IFERROR(IF([1]对账明细接口!$G$923=0,"",[1]对账明细接口!$G$923),"")</f>
        <v/>
      </c>
      <c r="H923" s="60" t="str">
        <f aca="false">IFERROR(IF([1]对账明细接口!$H$923=0,"",[1]对账明细接口!$H$923),"")</f>
        <v/>
      </c>
      <c r="I923" s="59" t="str">
        <f aca="false">IFERROR(IF([1]对账明细接口!$I$923=0,"",[1]对账明细接口!$I$923),"")</f>
        <v/>
      </c>
      <c r="J923" s="61" t="str">
        <f aca="false">IFERROR(IF([1]对账明细接口!$J$923=0,"",[1]对账明细接口!$J$923),"")</f>
        <v/>
      </c>
      <c r="K923" s="61" t="str">
        <f aca="false">IFERROR(IF([1]对账明细接口!$K$923=0,"",[1]对账明细接口!$K$923),"")</f>
        <v/>
      </c>
      <c r="L923" s="59" t="str">
        <f aca="false">IFERROR(IF([1]对账明细接口!$L$923=0,"",[1]对账明细接口!$L$923),"")</f>
        <v/>
      </c>
      <c r="M923" s="59" t="str">
        <f aca="false">IFERROR(IF([1]对账明细接口!$M$923=0,"",[1]对账明细接口!$M$923),"")</f>
        <v/>
      </c>
      <c r="N923" s="111" t="n">
        <f aca="false">IF($C923="",0,1)</f>
        <v>0</v>
      </c>
      <c r="O923" s="111" t="n">
        <f aca="false">N(O922)+$N923</f>
        <v>110</v>
      </c>
      <c r="S923" s="10" t="str">
        <f aca="false">IFERROR(IF([1]对账明细接口!$N923=0,"",[1]对账明细接口!$N923),"")</f>
        <v/>
      </c>
      <c r="T923" s="112" t="str">
        <f aca="false">IFERROR(IF([1]对账明细接口!$O923=0,"",[1]对账明细接口!$O923),"")</f>
        <v/>
      </c>
      <c r="U923" s="112" t="str">
        <f aca="false">IFERROR(IF([1]对账明细接口!$P923=0,"",[1]对账明细接口!$P923),"")</f>
        <v/>
      </c>
      <c r="V923" s="112" t="str">
        <f aca="false">IFERROR(IF([1]对账明细接口!$Q923=0,"",[1]对账明细接口!$Q923),"")</f>
        <v/>
      </c>
      <c r="W923" s="10" t="str">
        <f aca="false">IFERROR(IF([1]对账明细接口!$R923=0,"",[1]对账明细接口!$R923),"")</f>
        <v/>
      </c>
      <c r="X923" s="10" t="str">
        <f aca="false">IFERROR(IF([1]对账明细接口!$S923=0,"",[1]对账明细接口!$S923),"")</f>
        <v/>
      </c>
      <c r="Y923" s="10" t="str">
        <f aca="false">""</f>
        <v/>
      </c>
      <c r="Z923" s="10" t="str">
        <f aca="false">""</f>
        <v/>
      </c>
      <c r="AA923" s="10" t="str">
        <f aca="false">""</f>
        <v/>
      </c>
      <c r="AB923" s="10" t="str">
        <f aca="false">""</f>
        <v/>
      </c>
    </row>
    <row r="924" customFormat="false" ht="13.5" hidden="false" customHeight="false" outlineLevel="0" collapsed="false">
      <c r="A924" s="109" t="n">
        <v>924</v>
      </c>
      <c r="B924" s="110" t="str">
        <f aca="false">IFERROR(IF([1]对账明细接口!$B$924=0,"",[1]对账明细接口!$B$924),"")</f>
        <v/>
      </c>
      <c r="C924" s="59" t="str">
        <f aca="false">IFERROR(IF([1]对账明细接口!$C$924=0,"",[1]对账明细接口!$C$924),"")</f>
        <v/>
      </c>
      <c r="D924" s="59" t="str">
        <f aca="false">IFERROR(IF([1]对账明细接口!$D$924=0,"",[1]对账明细接口!$D$924),"")</f>
        <v/>
      </c>
      <c r="E924" s="59" t="str">
        <f aca="false">IFERROR(IF([1]对账明细接口!$E$924=0,"",[1]对账明细接口!$E$924),"")</f>
        <v/>
      </c>
      <c r="F924" s="59" t="str">
        <f aca="false">IFERROR(IF([1]对账明细接口!$F$924=0,"",[1]对账明细接口!$F$924),"")</f>
        <v/>
      </c>
      <c r="G924" s="59" t="str">
        <f aca="false">IFERROR(IF([1]对账明细接口!$G$924=0,"",[1]对账明细接口!$G$924),"")</f>
        <v/>
      </c>
      <c r="H924" s="60" t="str">
        <f aca="false">IFERROR(IF([1]对账明细接口!$H$924=0,"",[1]对账明细接口!$H$924),"")</f>
        <v/>
      </c>
      <c r="I924" s="59" t="str">
        <f aca="false">IFERROR(IF([1]对账明细接口!$I$924=0,"",[1]对账明细接口!$I$924),"")</f>
        <v/>
      </c>
      <c r="J924" s="61" t="str">
        <f aca="false">IFERROR(IF([1]对账明细接口!$J$924=0,"",[1]对账明细接口!$J$924),"")</f>
        <v/>
      </c>
      <c r="K924" s="61" t="str">
        <f aca="false">IFERROR(IF([1]对账明细接口!$K$924=0,"",[1]对账明细接口!$K$924),"")</f>
        <v/>
      </c>
      <c r="L924" s="59" t="str">
        <f aca="false">IFERROR(IF([1]对账明细接口!$L$924=0,"",[1]对账明细接口!$L$924),"")</f>
        <v/>
      </c>
      <c r="M924" s="59" t="str">
        <f aca="false">IFERROR(IF([1]对账明细接口!$M$924=0,"",[1]对账明细接口!$M$924),"")</f>
        <v/>
      </c>
      <c r="N924" s="111" t="n">
        <f aca="false">IF($C924="",0,1)</f>
        <v>0</v>
      </c>
      <c r="O924" s="111" t="n">
        <f aca="false">N(O923)+$N924</f>
        <v>110</v>
      </c>
      <c r="S924" s="10" t="str">
        <f aca="false">IFERROR(IF([1]对账明细接口!$N924=0,"",[1]对账明细接口!$N924),"")</f>
        <v/>
      </c>
      <c r="T924" s="112" t="str">
        <f aca="false">IFERROR(IF([1]对账明细接口!$O924=0,"",[1]对账明细接口!$O924),"")</f>
        <v/>
      </c>
      <c r="U924" s="112" t="str">
        <f aca="false">IFERROR(IF([1]对账明细接口!$P924=0,"",[1]对账明细接口!$P924),"")</f>
        <v/>
      </c>
      <c r="V924" s="112" t="str">
        <f aca="false">IFERROR(IF([1]对账明细接口!$Q924=0,"",[1]对账明细接口!$Q924),"")</f>
        <v/>
      </c>
      <c r="W924" s="10" t="str">
        <f aca="false">IFERROR(IF([1]对账明细接口!$R924=0,"",[1]对账明细接口!$R924),"")</f>
        <v/>
      </c>
      <c r="X924" s="10" t="str">
        <f aca="false">IFERROR(IF([1]对账明细接口!$S924=0,"",[1]对账明细接口!$S924),"")</f>
        <v/>
      </c>
      <c r="Y924" s="10" t="str">
        <f aca="false">""</f>
        <v/>
      </c>
      <c r="Z924" s="10" t="str">
        <f aca="false">""</f>
        <v/>
      </c>
      <c r="AA924" s="10" t="str">
        <f aca="false">""</f>
        <v/>
      </c>
      <c r="AB924" s="10" t="str">
        <f aca="false">""</f>
        <v/>
      </c>
    </row>
    <row r="925" customFormat="false" ht="13.5" hidden="false" customHeight="false" outlineLevel="0" collapsed="false">
      <c r="A925" s="109" t="n">
        <v>925</v>
      </c>
      <c r="B925" s="110" t="str">
        <f aca="false">IFERROR(IF([1]对账明细接口!$B$925=0,"",[1]对账明细接口!$B$925),"")</f>
        <v/>
      </c>
      <c r="C925" s="59" t="str">
        <f aca="false">IFERROR(IF([1]对账明细接口!$C$925=0,"",[1]对账明细接口!$C$925),"")</f>
        <v/>
      </c>
      <c r="D925" s="59" t="str">
        <f aca="false">IFERROR(IF([1]对账明细接口!$D$925=0,"",[1]对账明细接口!$D$925),"")</f>
        <v/>
      </c>
      <c r="E925" s="59" t="str">
        <f aca="false">IFERROR(IF([1]对账明细接口!$E$925=0,"",[1]对账明细接口!$E$925),"")</f>
        <v/>
      </c>
      <c r="F925" s="59" t="str">
        <f aca="false">IFERROR(IF([1]对账明细接口!$F$925=0,"",[1]对账明细接口!$F$925),"")</f>
        <v/>
      </c>
      <c r="G925" s="59" t="str">
        <f aca="false">IFERROR(IF([1]对账明细接口!$G$925=0,"",[1]对账明细接口!$G$925),"")</f>
        <v/>
      </c>
      <c r="H925" s="60" t="str">
        <f aca="false">IFERROR(IF([1]对账明细接口!$H$925=0,"",[1]对账明细接口!$H$925),"")</f>
        <v/>
      </c>
      <c r="I925" s="59" t="str">
        <f aca="false">IFERROR(IF([1]对账明细接口!$I$925=0,"",[1]对账明细接口!$I$925),"")</f>
        <v/>
      </c>
      <c r="J925" s="61" t="str">
        <f aca="false">IFERROR(IF([1]对账明细接口!$J$925=0,"",[1]对账明细接口!$J$925),"")</f>
        <v/>
      </c>
      <c r="K925" s="61" t="str">
        <f aca="false">IFERROR(IF([1]对账明细接口!$K$925=0,"",[1]对账明细接口!$K$925),"")</f>
        <v/>
      </c>
      <c r="L925" s="59" t="str">
        <f aca="false">IFERROR(IF([1]对账明细接口!$L$925=0,"",[1]对账明细接口!$L$925),"")</f>
        <v/>
      </c>
      <c r="M925" s="59" t="str">
        <f aca="false">IFERROR(IF([1]对账明细接口!$M$925=0,"",[1]对账明细接口!$M$925),"")</f>
        <v/>
      </c>
      <c r="N925" s="111" t="n">
        <f aca="false">IF($C925="",0,1)</f>
        <v>0</v>
      </c>
      <c r="O925" s="111" t="n">
        <f aca="false">N(O924)+$N925</f>
        <v>110</v>
      </c>
      <c r="S925" s="10" t="str">
        <f aca="false">IFERROR(IF([1]对账明细接口!$N925=0,"",[1]对账明细接口!$N925),"")</f>
        <v/>
      </c>
      <c r="T925" s="112" t="str">
        <f aca="false">IFERROR(IF([1]对账明细接口!$O925=0,"",[1]对账明细接口!$O925),"")</f>
        <v/>
      </c>
      <c r="U925" s="112" t="str">
        <f aca="false">IFERROR(IF([1]对账明细接口!$P925=0,"",[1]对账明细接口!$P925),"")</f>
        <v/>
      </c>
      <c r="V925" s="112" t="str">
        <f aca="false">IFERROR(IF([1]对账明细接口!$Q925=0,"",[1]对账明细接口!$Q925),"")</f>
        <v/>
      </c>
      <c r="W925" s="10" t="str">
        <f aca="false">IFERROR(IF([1]对账明细接口!$R925=0,"",[1]对账明细接口!$R925),"")</f>
        <v/>
      </c>
      <c r="X925" s="10" t="str">
        <f aca="false">IFERROR(IF([1]对账明细接口!$S925=0,"",[1]对账明细接口!$S925),"")</f>
        <v/>
      </c>
      <c r="Y925" s="10" t="str">
        <f aca="false">""</f>
        <v/>
      </c>
      <c r="Z925" s="10" t="str">
        <f aca="false">""</f>
        <v/>
      </c>
      <c r="AA925" s="10" t="str">
        <f aca="false">""</f>
        <v/>
      </c>
      <c r="AB925" s="10" t="str">
        <f aca="false">""</f>
        <v/>
      </c>
    </row>
    <row r="926" customFormat="false" ht="13.5" hidden="false" customHeight="false" outlineLevel="0" collapsed="false">
      <c r="A926" s="109" t="n">
        <v>926</v>
      </c>
      <c r="B926" s="110" t="str">
        <f aca="false">IFERROR(IF([1]对账明细接口!$B$926=0,"",[1]对账明细接口!$B$926),"")</f>
        <v/>
      </c>
      <c r="C926" s="59" t="str">
        <f aca="false">IFERROR(IF([1]对账明细接口!$C$926=0,"",[1]对账明细接口!$C$926),"")</f>
        <v/>
      </c>
      <c r="D926" s="59" t="str">
        <f aca="false">IFERROR(IF([1]对账明细接口!$D$926=0,"",[1]对账明细接口!$D$926),"")</f>
        <v/>
      </c>
      <c r="E926" s="59" t="str">
        <f aca="false">IFERROR(IF([1]对账明细接口!$E$926=0,"",[1]对账明细接口!$E$926),"")</f>
        <v/>
      </c>
      <c r="F926" s="59" t="str">
        <f aca="false">IFERROR(IF([1]对账明细接口!$F$926=0,"",[1]对账明细接口!$F$926),"")</f>
        <v/>
      </c>
      <c r="G926" s="59" t="str">
        <f aca="false">IFERROR(IF([1]对账明细接口!$G$926=0,"",[1]对账明细接口!$G$926),"")</f>
        <v/>
      </c>
      <c r="H926" s="60" t="str">
        <f aca="false">IFERROR(IF([1]对账明细接口!$H$926=0,"",[1]对账明细接口!$H$926),"")</f>
        <v/>
      </c>
      <c r="I926" s="59" t="str">
        <f aca="false">IFERROR(IF([1]对账明细接口!$I$926=0,"",[1]对账明细接口!$I$926),"")</f>
        <v/>
      </c>
      <c r="J926" s="61" t="str">
        <f aca="false">IFERROR(IF([1]对账明细接口!$J$926=0,"",[1]对账明细接口!$J$926),"")</f>
        <v/>
      </c>
      <c r="K926" s="61" t="str">
        <f aca="false">IFERROR(IF([1]对账明细接口!$K$926=0,"",[1]对账明细接口!$K$926),"")</f>
        <v/>
      </c>
      <c r="L926" s="59" t="str">
        <f aca="false">IFERROR(IF([1]对账明细接口!$L$926=0,"",[1]对账明细接口!$L$926),"")</f>
        <v/>
      </c>
      <c r="M926" s="59" t="str">
        <f aca="false">IFERROR(IF([1]对账明细接口!$M$926=0,"",[1]对账明细接口!$M$926),"")</f>
        <v/>
      </c>
      <c r="N926" s="111" t="n">
        <f aca="false">IF($C926="",0,1)</f>
        <v>0</v>
      </c>
      <c r="O926" s="111" t="n">
        <f aca="false">N(O925)+$N926</f>
        <v>110</v>
      </c>
      <c r="S926" s="10" t="str">
        <f aca="false">IFERROR(IF([1]对账明细接口!$N926=0,"",[1]对账明细接口!$N926),"")</f>
        <v/>
      </c>
      <c r="T926" s="112" t="str">
        <f aca="false">IFERROR(IF([1]对账明细接口!$O926=0,"",[1]对账明细接口!$O926),"")</f>
        <v/>
      </c>
      <c r="U926" s="112" t="str">
        <f aca="false">IFERROR(IF([1]对账明细接口!$P926=0,"",[1]对账明细接口!$P926),"")</f>
        <v/>
      </c>
      <c r="V926" s="112" t="str">
        <f aca="false">IFERROR(IF([1]对账明细接口!$Q926=0,"",[1]对账明细接口!$Q926),"")</f>
        <v/>
      </c>
      <c r="W926" s="10" t="str">
        <f aca="false">IFERROR(IF([1]对账明细接口!$R926=0,"",[1]对账明细接口!$R926),"")</f>
        <v/>
      </c>
      <c r="X926" s="10" t="str">
        <f aca="false">IFERROR(IF([1]对账明细接口!$S926=0,"",[1]对账明细接口!$S926),"")</f>
        <v/>
      </c>
      <c r="Y926" s="10" t="str">
        <f aca="false">""</f>
        <v/>
      </c>
      <c r="Z926" s="10" t="str">
        <f aca="false">""</f>
        <v/>
      </c>
      <c r="AA926" s="10" t="str">
        <f aca="false">""</f>
        <v/>
      </c>
      <c r="AB926" s="10" t="str">
        <f aca="false">""</f>
        <v/>
      </c>
    </row>
    <row r="927" customFormat="false" ht="13.5" hidden="false" customHeight="false" outlineLevel="0" collapsed="false">
      <c r="A927" s="109" t="n">
        <v>927</v>
      </c>
      <c r="B927" s="110" t="str">
        <f aca="false">IFERROR(IF([1]对账明细接口!$B$927=0,"",[1]对账明细接口!$B$927),"")</f>
        <v/>
      </c>
      <c r="C927" s="59" t="str">
        <f aca="false">IFERROR(IF([1]对账明细接口!$C$927=0,"",[1]对账明细接口!$C$927),"")</f>
        <v/>
      </c>
      <c r="D927" s="59" t="str">
        <f aca="false">IFERROR(IF([1]对账明细接口!$D$927=0,"",[1]对账明细接口!$D$927),"")</f>
        <v/>
      </c>
      <c r="E927" s="59" t="str">
        <f aca="false">IFERROR(IF([1]对账明细接口!$E$927=0,"",[1]对账明细接口!$E$927),"")</f>
        <v/>
      </c>
      <c r="F927" s="59" t="str">
        <f aca="false">IFERROR(IF([1]对账明细接口!$F$927=0,"",[1]对账明细接口!$F$927),"")</f>
        <v/>
      </c>
      <c r="G927" s="59" t="str">
        <f aca="false">IFERROR(IF([1]对账明细接口!$G$927=0,"",[1]对账明细接口!$G$927),"")</f>
        <v/>
      </c>
      <c r="H927" s="60" t="str">
        <f aca="false">IFERROR(IF([1]对账明细接口!$H$927=0,"",[1]对账明细接口!$H$927),"")</f>
        <v/>
      </c>
      <c r="I927" s="59" t="str">
        <f aca="false">IFERROR(IF([1]对账明细接口!$I$927=0,"",[1]对账明细接口!$I$927),"")</f>
        <v/>
      </c>
      <c r="J927" s="61" t="str">
        <f aca="false">IFERROR(IF([1]对账明细接口!$J$927=0,"",[1]对账明细接口!$J$927),"")</f>
        <v/>
      </c>
      <c r="K927" s="61" t="str">
        <f aca="false">IFERROR(IF([1]对账明细接口!$K$927=0,"",[1]对账明细接口!$K$927),"")</f>
        <v/>
      </c>
      <c r="L927" s="59" t="str">
        <f aca="false">IFERROR(IF([1]对账明细接口!$L$927=0,"",[1]对账明细接口!$L$927),"")</f>
        <v/>
      </c>
      <c r="M927" s="59" t="str">
        <f aca="false">IFERROR(IF([1]对账明细接口!$M$927=0,"",[1]对账明细接口!$M$927),"")</f>
        <v/>
      </c>
      <c r="N927" s="111" t="n">
        <f aca="false">IF($C927="",0,1)</f>
        <v>0</v>
      </c>
      <c r="O927" s="111" t="n">
        <f aca="false">N(O926)+$N927</f>
        <v>110</v>
      </c>
      <c r="S927" s="10" t="str">
        <f aca="false">IFERROR(IF([1]对账明细接口!$N927=0,"",[1]对账明细接口!$N927),"")</f>
        <v/>
      </c>
      <c r="T927" s="112" t="str">
        <f aca="false">IFERROR(IF([1]对账明细接口!$O927=0,"",[1]对账明细接口!$O927),"")</f>
        <v/>
      </c>
      <c r="U927" s="112" t="str">
        <f aca="false">IFERROR(IF([1]对账明细接口!$P927=0,"",[1]对账明细接口!$P927),"")</f>
        <v/>
      </c>
      <c r="V927" s="112" t="str">
        <f aca="false">IFERROR(IF([1]对账明细接口!$Q927=0,"",[1]对账明细接口!$Q927),"")</f>
        <v/>
      </c>
      <c r="W927" s="10" t="str">
        <f aca="false">IFERROR(IF([1]对账明细接口!$R927=0,"",[1]对账明细接口!$R927),"")</f>
        <v/>
      </c>
      <c r="X927" s="10" t="str">
        <f aca="false">IFERROR(IF([1]对账明细接口!$S927=0,"",[1]对账明细接口!$S927),"")</f>
        <v/>
      </c>
      <c r="Y927" s="10" t="str">
        <f aca="false">""</f>
        <v/>
      </c>
      <c r="Z927" s="10" t="str">
        <f aca="false">""</f>
        <v/>
      </c>
      <c r="AA927" s="10" t="str">
        <f aca="false">""</f>
        <v/>
      </c>
      <c r="AB927" s="10" t="str">
        <f aca="false">""</f>
        <v/>
      </c>
    </row>
    <row r="928" customFormat="false" ht="13.5" hidden="false" customHeight="false" outlineLevel="0" collapsed="false">
      <c r="A928" s="109" t="n">
        <v>928</v>
      </c>
      <c r="B928" s="110" t="str">
        <f aca="false">IFERROR(IF([1]对账明细接口!$B$928=0,"",[1]对账明细接口!$B$928),"")</f>
        <v/>
      </c>
      <c r="C928" s="59" t="str">
        <f aca="false">IFERROR(IF([1]对账明细接口!$C$928=0,"",[1]对账明细接口!$C$928),"")</f>
        <v/>
      </c>
      <c r="D928" s="59" t="str">
        <f aca="false">IFERROR(IF([1]对账明细接口!$D$928=0,"",[1]对账明细接口!$D$928),"")</f>
        <v/>
      </c>
      <c r="E928" s="59" t="str">
        <f aca="false">IFERROR(IF([1]对账明细接口!$E$928=0,"",[1]对账明细接口!$E$928),"")</f>
        <v/>
      </c>
      <c r="F928" s="59" t="str">
        <f aca="false">IFERROR(IF([1]对账明细接口!$F$928=0,"",[1]对账明细接口!$F$928),"")</f>
        <v/>
      </c>
      <c r="G928" s="59" t="str">
        <f aca="false">IFERROR(IF([1]对账明细接口!$G$928=0,"",[1]对账明细接口!$G$928),"")</f>
        <v/>
      </c>
      <c r="H928" s="60" t="str">
        <f aca="false">IFERROR(IF([1]对账明细接口!$H$928=0,"",[1]对账明细接口!$H$928),"")</f>
        <v/>
      </c>
      <c r="I928" s="59" t="str">
        <f aca="false">IFERROR(IF([1]对账明细接口!$I$928=0,"",[1]对账明细接口!$I$928),"")</f>
        <v/>
      </c>
      <c r="J928" s="61" t="str">
        <f aca="false">IFERROR(IF([1]对账明细接口!$J$928=0,"",[1]对账明细接口!$J$928),"")</f>
        <v/>
      </c>
      <c r="K928" s="61" t="str">
        <f aca="false">IFERROR(IF([1]对账明细接口!$K$928=0,"",[1]对账明细接口!$K$928),"")</f>
        <v/>
      </c>
      <c r="L928" s="59" t="str">
        <f aca="false">IFERROR(IF([1]对账明细接口!$L$928=0,"",[1]对账明细接口!$L$928),"")</f>
        <v/>
      </c>
      <c r="M928" s="59" t="str">
        <f aca="false">IFERROR(IF([1]对账明细接口!$M$928=0,"",[1]对账明细接口!$M$928),"")</f>
        <v/>
      </c>
      <c r="N928" s="111" t="n">
        <f aca="false">IF($C928="",0,1)</f>
        <v>0</v>
      </c>
      <c r="O928" s="111" t="n">
        <f aca="false">N(O927)+$N928</f>
        <v>110</v>
      </c>
      <c r="S928" s="10" t="str">
        <f aca="false">IFERROR(IF([1]对账明细接口!$N928=0,"",[1]对账明细接口!$N928),"")</f>
        <v/>
      </c>
      <c r="T928" s="112" t="str">
        <f aca="false">IFERROR(IF([1]对账明细接口!$O928=0,"",[1]对账明细接口!$O928),"")</f>
        <v/>
      </c>
      <c r="U928" s="112" t="str">
        <f aca="false">IFERROR(IF([1]对账明细接口!$P928=0,"",[1]对账明细接口!$P928),"")</f>
        <v/>
      </c>
      <c r="V928" s="112" t="str">
        <f aca="false">IFERROR(IF([1]对账明细接口!$Q928=0,"",[1]对账明细接口!$Q928),"")</f>
        <v/>
      </c>
      <c r="W928" s="10" t="str">
        <f aca="false">IFERROR(IF([1]对账明细接口!$R928=0,"",[1]对账明细接口!$R928),"")</f>
        <v/>
      </c>
      <c r="X928" s="10" t="str">
        <f aca="false">IFERROR(IF([1]对账明细接口!$S928=0,"",[1]对账明细接口!$S928),"")</f>
        <v/>
      </c>
      <c r="Y928" s="10" t="str">
        <f aca="false">""</f>
        <v/>
      </c>
      <c r="Z928" s="10" t="str">
        <f aca="false">""</f>
        <v/>
      </c>
      <c r="AA928" s="10" t="str">
        <f aca="false">""</f>
        <v/>
      </c>
      <c r="AB928" s="10" t="str">
        <f aca="false">""</f>
        <v/>
      </c>
    </row>
    <row r="929" customFormat="false" ht="13.5" hidden="false" customHeight="false" outlineLevel="0" collapsed="false">
      <c r="A929" s="109" t="n">
        <v>929</v>
      </c>
      <c r="B929" s="110" t="str">
        <f aca="false">IFERROR(IF([1]对账明细接口!$B$929=0,"",[1]对账明细接口!$B$929),"")</f>
        <v/>
      </c>
      <c r="C929" s="59" t="str">
        <f aca="false">IFERROR(IF([1]对账明细接口!$C$929=0,"",[1]对账明细接口!$C$929),"")</f>
        <v/>
      </c>
      <c r="D929" s="59" t="str">
        <f aca="false">IFERROR(IF([1]对账明细接口!$D$929=0,"",[1]对账明细接口!$D$929),"")</f>
        <v/>
      </c>
      <c r="E929" s="59" t="str">
        <f aca="false">IFERROR(IF([1]对账明细接口!$E$929=0,"",[1]对账明细接口!$E$929),"")</f>
        <v/>
      </c>
      <c r="F929" s="59" t="str">
        <f aca="false">IFERROR(IF([1]对账明细接口!$F$929=0,"",[1]对账明细接口!$F$929),"")</f>
        <v/>
      </c>
      <c r="G929" s="59" t="str">
        <f aca="false">IFERROR(IF([1]对账明细接口!$G$929=0,"",[1]对账明细接口!$G$929),"")</f>
        <v/>
      </c>
      <c r="H929" s="60" t="str">
        <f aca="false">IFERROR(IF([1]对账明细接口!$H$929=0,"",[1]对账明细接口!$H$929),"")</f>
        <v/>
      </c>
      <c r="I929" s="59" t="str">
        <f aca="false">IFERROR(IF([1]对账明细接口!$I$929=0,"",[1]对账明细接口!$I$929),"")</f>
        <v/>
      </c>
      <c r="J929" s="61" t="str">
        <f aca="false">IFERROR(IF([1]对账明细接口!$J$929=0,"",[1]对账明细接口!$J$929),"")</f>
        <v/>
      </c>
      <c r="K929" s="61" t="str">
        <f aca="false">IFERROR(IF([1]对账明细接口!$K$929=0,"",[1]对账明细接口!$K$929),"")</f>
        <v/>
      </c>
      <c r="L929" s="59" t="str">
        <f aca="false">IFERROR(IF([1]对账明细接口!$L$929=0,"",[1]对账明细接口!$L$929),"")</f>
        <v/>
      </c>
      <c r="M929" s="59" t="str">
        <f aca="false">IFERROR(IF([1]对账明细接口!$M$929=0,"",[1]对账明细接口!$M$929),"")</f>
        <v/>
      </c>
      <c r="N929" s="111" t="n">
        <f aca="false">IF($C929="",0,1)</f>
        <v>0</v>
      </c>
      <c r="O929" s="111" t="n">
        <f aca="false">N(O928)+$N929</f>
        <v>110</v>
      </c>
      <c r="S929" s="10" t="str">
        <f aca="false">IFERROR(IF([1]对账明细接口!$N929=0,"",[1]对账明细接口!$N929),"")</f>
        <v/>
      </c>
      <c r="T929" s="112" t="str">
        <f aca="false">IFERROR(IF([1]对账明细接口!$O929=0,"",[1]对账明细接口!$O929),"")</f>
        <v/>
      </c>
      <c r="U929" s="112" t="str">
        <f aca="false">IFERROR(IF([1]对账明细接口!$P929=0,"",[1]对账明细接口!$P929),"")</f>
        <v/>
      </c>
      <c r="V929" s="112" t="str">
        <f aca="false">IFERROR(IF([1]对账明细接口!$Q929=0,"",[1]对账明细接口!$Q929),"")</f>
        <v/>
      </c>
      <c r="W929" s="10" t="str">
        <f aca="false">IFERROR(IF([1]对账明细接口!$R929=0,"",[1]对账明细接口!$R929),"")</f>
        <v/>
      </c>
      <c r="X929" s="10" t="str">
        <f aca="false">IFERROR(IF([1]对账明细接口!$S929=0,"",[1]对账明细接口!$S929),"")</f>
        <v/>
      </c>
      <c r="Y929" s="10" t="str">
        <f aca="false">""</f>
        <v/>
      </c>
      <c r="Z929" s="10" t="str">
        <f aca="false">""</f>
        <v/>
      </c>
      <c r="AA929" s="10" t="str">
        <f aca="false">""</f>
        <v/>
      </c>
      <c r="AB929" s="10" t="str">
        <f aca="false">""</f>
        <v/>
      </c>
    </row>
    <row r="930" customFormat="false" ht="13.5" hidden="false" customHeight="false" outlineLevel="0" collapsed="false">
      <c r="A930" s="109" t="n">
        <v>930</v>
      </c>
      <c r="B930" s="110" t="str">
        <f aca="false">IFERROR(IF([1]对账明细接口!$B$930=0,"",[1]对账明细接口!$B$930),"")</f>
        <v/>
      </c>
      <c r="C930" s="59" t="str">
        <f aca="false">IFERROR(IF([1]对账明细接口!$C$930=0,"",[1]对账明细接口!$C$930),"")</f>
        <v/>
      </c>
      <c r="D930" s="59" t="str">
        <f aca="false">IFERROR(IF([1]对账明细接口!$D$930=0,"",[1]对账明细接口!$D$930),"")</f>
        <v/>
      </c>
      <c r="E930" s="59" t="str">
        <f aca="false">IFERROR(IF([1]对账明细接口!$E$930=0,"",[1]对账明细接口!$E$930),"")</f>
        <v/>
      </c>
      <c r="F930" s="59" t="str">
        <f aca="false">IFERROR(IF([1]对账明细接口!$F$930=0,"",[1]对账明细接口!$F$930),"")</f>
        <v/>
      </c>
      <c r="G930" s="59" t="str">
        <f aca="false">IFERROR(IF([1]对账明细接口!$G$930=0,"",[1]对账明细接口!$G$930),"")</f>
        <v/>
      </c>
      <c r="H930" s="60" t="str">
        <f aca="false">IFERROR(IF([1]对账明细接口!$H$930=0,"",[1]对账明细接口!$H$930),"")</f>
        <v/>
      </c>
      <c r="I930" s="59" t="str">
        <f aca="false">IFERROR(IF([1]对账明细接口!$I$930=0,"",[1]对账明细接口!$I$930),"")</f>
        <v/>
      </c>
      <c r="J930" s="61" t="str">
        <f aca="false">IFERROR(IF([1]对账明细接口!$J$930=0,"",[1]对账明细接口!$J$930),"")</f>
        <v/>
      </c>
      <c r="K930" s="61" t="str">
        <f aca="false">IFERROR(IF([1]对账明细接口!$K$930=0,"",[1]对账明细接口!$K$930),"")</f>
        <v/>
      </c>
      <c r="L930" s="59" t="str">
        <f aca="false">IFERROR(IF([1]对账明细接口!$L$930=0,"",[1]对账明细接口!$L$930),"")</f>
        <v/>
      </c>
      <c r="M930" s="59" t="str">
        <f aca="false">IFERROR(IF([1]对账明细接口!$M$930=0,"",[1]对账明细接口!$M$930),"")</f>
        <v/>
      </c>
      <c r="N930" s="111" t="n">
        <f aca="false">IF($C930="",0,1)</f>
        <v>0</v>
      </c>
      <c r="O930" s="111" t="n">
        <f aca="false">N(O929)+$N930</f>
        <v>110</v>
      </c>
      <c r="S930" s="10" t="str">
        <f aca="false">IFERROR(IF([1]对账明细接口!$N930=0,"",[1]对账明细接口!$N930),"")</f>
        <v/>
      </c>
      <c r="T930" s="112" t="str">
        <f aca="false">IFERROR(IF([1]对账明细接口!$O930=0,"",[1]对账明细接口!$O930),"")</f>
        <v/>
      </c>
      <c r="U930" s="112" t="str">
        <f aca="false">IFERROR(IF([1]对账明细接口!$P930=0,"",[1]对账明细接口!$P930),"")</f>
        <v/>
      </c>
      <c r="V930" s="112" t="str">
        <f aca="false">IFERROR(IF([1]对账明细接口!$Q930=0,"",[1]对账明细接口!$Q930),"")</f>
        <v/>
      </c>
      <c r="W930" s="10" t="str">
        <f aca="false">IFERROR(IF([1]对账明细接口!$R930=0,"",[1]对账明细接口!$R930),"")</f>
        <v/>
      </c>
      <c r="X930" s="10" t="str">
        <f aca="false">IFERROR(IF([1]对账明细接口!$S930=0,"",[1]对账明细接口!$S930),"")</f>
        <v/>
      </c>
      <c r="Y930" s="10" t="str">
        <f aca="false">""</f>
        <v/>
      </c>
      <c r="Z930" s="10" t="str">
        <f aca="false">""</f>
        <v/>
      </c>
      <c r="AA930" s="10" t="str">
        <f aca="false">""</f>
        <v/>
      </c>
      <c r="AB930" s="10" t="str">
        <f aca="false">""</f>
        <v/>
      </c>
    </row>
    <row r="931" customFormat="false" ht="13.5" hidden="false" customHeight="false" outlineLevel="0" collapsed="false">
      <c r="A931" s="109" t="n">
        <v>931</v>
      </c>
      <c r="B931" s="110" t="str">
        <f aca="false">IFERROR(IF([1]对账明细接口!$B$931=0,"",[1]对账明细接口!$B$931),"")</f>
        <v/>
      </c>
      <c r="C931" s="59" t="str">
        <f aca="false">IFERROR(IF([1]对账明细接口!$C$931=0,"",[1]对账明细接口!$C$931),"")</f>
        <v/>
      </c>
      <c r="D931" s="59" t="str">
        <f aca="false">IFERROR(IF([1]对账明细接口!$D$931=0,"",[1]对账明细接口!$D$931),"")</f>
        <v/>
      </c>
      <c r="E931" s="59" t="str">
        <f aca="false">IFERROR(IF([1]对账明细接口!$E$931=0,"",[1]对账明细接口!$E$931),"")</f>
        <v/>
      </c>
      <c r="F931" s="59" t="str">
        <f aca="false">IFERROR(IF([1]对账明细接口!$F$931=0,"",[1]对账明细接口!$F$931),"")</f>
        <v/>
      </c>
      <c r="G931" s="59" t="str">
        <f aca="false">IFERROR(IF([1]对账明细接口!$G$931=0,"",[1]对账明细接口!$G$931),"")</f>
        <v/>
      </c>
      <c r="H931" s="60" t="str">
        <f aca="false">IFERROR(IF([1]对账明细接口!$H$931=0,"",[1]对账明细接口!$H$931),"")</f>
        <v/>
      </c>
      <c r="I931" s="59" t="str">
        <f aca="false">IFERROR(IF([1]对账明细接口!$I$931=0,"",[1]对账明细接口!$I$931),"")</f>
        <v/>
      </c>
      <c r="J931" s="61" t="str">
        <f aca="false">IFERROR(IF([1]对账明细接口!$J$931=0,"",[1]对账明细接口!$J$931),"")</f>
        <v/>
      </c>
      <c r="K931" s="61" t="str">
        <f aca="false">IFERROR(IF([1]对账明细接口!$K$931=0,"",[1]对账明细接口!$K$931),"")</f>
        <v/>
      </c>
      <c r="L931" s="59" t="str">
        <f aca="false">IFERROR(IF([1]对账明细接口!$L$931=0,"",[1]对账明细接口!$L$931),"")</f>
        <v/>
      </c>
      <c r="M931" s="59" t="str">
        <f aca="false">IFERROR(IF([1]对账明细接口!$M$931=0,"",[1]对账明细接口!$M$931),"")</f>
        <v/>
      </c>
      <c r="N931" s="111" t="n">
        <f aca="false">IF($C931="",0,1)</f>
        <v>0</v>
      </c>
      <c r="O931" s="111" t="n">
        <f aca="false">N(O930)+$N931</f>
        <v>110</v>
      </c>
      <c r="S931" s="10" t="str">
        <f aca="false">IFERROR(IF([1]对账明细接口!$N931=0,"",[1]对账明细接口!$N931),"")</f>
        <v/>
      </c>
      <c r="T931" s="112" t="str">
        <f aca="false">IFERROR(IF([1]对账明细接口!$O931=0,"",[1]对账明细接口!$O931),"")</f>
        <v/>
      </c>
      <c r="U931" s="112" t="str">
        <f aca="false">IFERROR(IF([1]对账明细接口!$P931=0,"",[1]对账明细接口!$P931),"")</f>
        <v/>
      </c>
      <c r="V931" s="112" t="str">
        <f aca="false">IFERROR(IF([1]对账明细接口!$Q931=0,"",[1]对账明细接口!$Q931),"")</f>
        <v/>
      </c>
      <c r="W931" s="10" t="str">
        <f aca="false">IFERROR(IF([1]对账明细接口!$R931=0,"",[1]对账明细接口!$R931),"")</f>
        <v/>
      </c>
      <c r="X931" s="10" t="str">
        <f aca="false">IFERROR(IF([1]对账明细接口!$S931=0,"",[1]对账明细接口!$S931),"")</f>
        <v/>
      </c>
      <c r="Y931" s="10" t="str">
        <f aca="false">""</f>
        <v/>
      </c>
      <c r="Z931" s="10" t="str">
        <f aca="false">""</f>
        <v/>
      </c>
      <c r="AA931" s="10" t="str">
        <f aca="false">""</f>
        <v/>
      </c>
      <c r="AB931" s="10" t="str">
        <f aca="false">""</f>
        <v/>
      </c>
    </row>
    <row r="932" customFormat="false" ht="13.5" hidden="false" customHeight="false" outlineLevel="0" collapsed="false">
      <c r="A932" s="109" t="n">
        <v>932</v>
      </c>
      <c r="B932" s="110" t="str">
        <f aca="false">IFERROR(IF([1]对账明细接口!$B$932=0,"",[1]对账明细接口!$B$932),"")</f>
        <v/>
      </c>
      <c r="C932" s="59" t="str">
        <f aca="false">IFERROR(IF([1]对账明细接口!$C$932=0,"",[1]对账明细接口!$C$932),"")</f>
        <v/>
      </c>
      <c r="D932" s="59" t="str">
        <f aca="false">IFERROR(IF([1]对账明细接口!$D$932=0,"",[1]对账明细接口!$D$932),"")</f>
        <v/>
      </c>
      <c r="E932" s="59" t="str">
        <f aca="false">IFERROR(IF([1]对账明细接口!$E$932=0,"",[1]对账明细接口!$E$932),"")</f>
        <v/>
      </c>
      <c r="F932" s="59" t="str">
        <f aca="false">IFERROR(IF([1]对账明细接口!$F$932=0,"",[1]对账明细接口!$F$932),"")</f>
        <v/>
      </c>
      <c r="G932" s="59" t="str">
        <f aca="false">IFERROR(IF([1]对账明细接口!$G$932=0,"",[1]对账明细接口!$G$932),"")</f>
        <v/>
      </c>
      <c r="H932" s="60" t="str">
        <f aca="false">IFERROR(IF([1]对账明细接口!$H$932=0,"",[1]对账明细接口!$H$932),"")</f>
        <v/>
      </c>
      <c r="I932" s="59" t="str">
        <f aca="false">IFERROR(IF([1]对账明细接口!$I$932=0,"",[1]对账明细接口!$I$932),"")</f>
        <v/>
      </c>
      <c r="J932" s="61" t="str">
        <f aca="false">IFERROR(IF([1]对账明细接口!$J$932=0,"",[1]对账明细接口!$J$932),"")</f>
        <v/>
      </c>
      <c r="K932" s="61" t="str">
        <f aca="false">IFERROR(IF([1]对账明细接口!$K$932=0,"",[1]对账明细接口!$K$932),"")</f>
        <v/>
      </c>
      <c r="L932" s="59" t="str">
        <f aca="false">IFERROR(IF([1]对账明细接口!$L$932=0,"",[1]对账明细接口!$L$932),"")</f>
        <v/>
      </c>
      <c r="M932" s="59" t="str">
        <f aca="false">IFERROR(IF([1]对账明细接口!$M$932=0,"",[1]对账明细接口!$M$932),"")</f>
        <v/>
      </c>
      <c r="N932" s="111" t="n">
        <f aca="false">IF($C932="",0,1)</f>
        <v>0</v>
      </c>
      <c r="O932" s="111" t="n">
        <f aca="false">N(O931)+$N932</f>
        <v>110</v>
      </c>
      <c r="S932" s="10" t="str">
        <f aca="false">IFERROR(IF([1]对账明细接口!$N932=0,"",[1]对账明细接口!$N932),"")</f>
        <v/>
      </c>
      <c r="T932" s="112" t="str">
        <f aca="false">IFERROR(IF([1]对账明细接口!$O932=0,"",[1]对账明细接口!$O932),"")</f>
        <v/>
      </c>
      <c r="U932" s="112" t="str">
        <f aca="false">IFERROR(IF([1]对账明细接口!$P932=0,"",[1]对账明细接口!$P932),"")</f>
        <v/>
      </c>
      <c r="V932" s="112" t="str">
        <f aca="false">IFERROR(IF([1]对账明细接口!$Q932=0,"",[1]对账明细接口!$Q932),"")</f>
        <v/>
      </c>
      <c r="W932" s="10" t="str">
        <f aca="false">IFERROR(IF([1]对账明细接口!$R932=0,"",[1]对账明细接口!$R932),"")</f>
        <v/>
      </c>
      <c r="X932" s="10" t="str">
        <f aca="false">IFERROR(IF([1]对账明细接口!$S932=0,"",[1]对账明细接口!$S932),"")</f>
        <v/>
      </c>
      <c r="Y932" s="10" t="str">
        <f aca="false">""</f>
        <v/>
      </c>
      <c r="Z932" s="10" t="str">
        <f aca="false">""</f>
        <v/>
      </c>
      <c r="AA932" s="10" t="str">
        <f aca="false">""</f>
        <v/>
      </c>
      <c r="AB932" s="10" t="str">
        <f aca="false">""</f>
        <v/>
      </c>
    </row>
    <row r="933" customFormat="false" ht="13.5" hidden="false" customHeight="false" outlineLevel="0" collapsed="false">
      <c r="A933" s="109" t="n">
        <v>933</v>
      </c>
      <c r="B933" s="110" t="str">
        <f aca="false">IFERROR(IF([1]对账明细接口!$B$933=0,"",[1]对账明细接口!$B$933),"")</f>
        <v/>
      </c>
      <c r="C933" s="59" t="str">
        <f aca="false">IFERROR(IF([1]对账明细接口!$C$933=0,"",[1]对账明细接口!$C$933),"")</f>
        <v/>
      </c>
      <c r="D933" s="59" t="str">
        <f aca="false">IFERROR(IF([1]对账明细接口!$D$933=0,"",[1]对账明细接口!$D$933),"")</f>
        <v/>
      </c>
      <c r="E933" s="59" t="str">
        <f aca="false">IFERROR(IF([1]对账明细接口!$E$933=0,"",[1]对账明细接口!$E$933),"")</f>
        <v/>
      </c>
      <c r="F933" s="59" t="str">
        <f aca="false">IFERROR(IF([1]对账明细接口!$F$933=0,"",[1]对账明细接口!$F$933),"")</f>
        <v/>
      </c>
      <c r="G933" s="59" t="str">
        <f aca="false">IFERROR(IF([1]对账明细接口!$G$933=0,"",[1]对账明细接口!$G$933),"")</f>
        <v/>
      </c>
      <c r="H933" s="60" t="str">
        <f aca="false">IFERROR(IF([1]对账明细接口!$H$933=0,"",[1]对账明细接口!$H$933),"")</f>
        <v/>
      </c>
      <c r="I933" s="59" t="str">
        <f aca="false">IFERROR(IF([1]对账明细接口!$I$933=0,"",[1]对账明细接口!$I$933),"")</f>
        <v/>
      </c>
      <c r="J933" s="61" t="str">
        <f aca="false">IFERROR(IF([1]对账明细接口!$J$933=0,"",[1]对账明细接口!$J$933),"")</f>
        <v/>
      </c>
      <c r="K933" s="61" t="str">
        <f aca="false">IFERROR(IF([1]对账明细接口!$K$933=0,"",[1]对账明细接口!$K$933),"")</f>
        <v/>
      </c>
      <c r="L933" s="59" t="str">
        <f aca="false">IFERROR(IF([1]对账明细接口!$L$933=0,"",[1]对账明细接口!$L$933),"")</f>
        <v/>
      </c>
      <c r="M933" s="59" t="str">
        <f aca="false">IFERROR(IF([1]对账明细接口!$M$933=0,"",[1]对账明细接口!$M$933),"")</f>
        <v/>
      </c>
      <c r="N933" s="111" t="n">
        <f aca="false">IF($C933="",0,1)</f>
        <v>0</v>
      </c>
      <c r="O933" s="111" t="n">
        <f aca="false">N(O932)+$N933</f>
        <v>110</v>
      </c>
      <c r="S933" s="10" t="str">
        <f aca="false">IFERROR(IF([1]对账明细接口!$N933=0,"",[1]对账明细接口!$N933),"")</f>
        <v/>
      </c>
      <c r="T933" s="112" t="str">
        <f aca="false">IFERROR(IF([1]对账明细接口!$O933=0,"",[1]对账明细接口!$O933),"")</f>
        <v/>
      </c>
      <c r="U933" s="112" t="str">
        <f aca="false">IFERROR(IF([1]对账明细接口!$P933=0,"",[1]对账明细接口!$P933),"")</f>
        <v/>
      </c>
      <c r="V933" s="112" t="str">
        <f aca="false">IFERROR(IF([1]对账明细接口!$Q933=0,"",[1]对账明细接口!$Q933),"")</f>
        <v/>
      </c>
      <c r="W933" s="10" t="str">
        <f aca="false">IFERROR(IF([1]对账明细接口!$R933=0,"",[1]对账明细接口!$R933),"")</f>
        <v/>
      </c>
      <c r="X933" s="10" t="str">
        <f aca="false">IFERROR(IF([1]对账明细接口!$S933=0,"",[1]对账明细接口!$S933),"")</f>
        <v/>
      </c>
      <c r="Y933" s="10" t="str">
        <f aca="false">""</f>
        <v/>
      </c>
      <c r="Z933" s="10" t="str">
        <f aca="false">""</f>
        <v/>
      </c>
      <c r="AA933" s="10" t="str">
        <f aca="false">""</f>
        <v/>
      </c>
      <c r="AB933" s="10" t="str">
        <f aca="false">""</f>
        <v/>
      </c>
    </row>
    <row r="934" customFormat="false" ht="13.5" hidden="false" customHeight="false" outlineLevel="0" collapsed="false">
      <c r="A934" s="109" t="n">
        <v>934</v>
      </c>
      <c r="B934" s="110" t="str">
        <f aca="false">IFERROR(IF([1]对账明细接口!$B$934=0,"",[1]对账明细接口!$B$934),"")</f>
        <v/>
      </c>
      <c r="C934" s="59" t="str">
        <f aca="false">IFERROR(IF([1]对账明细接口!$C$934=0,"",[1]对账明细接口!$C$934),"")</f>
        <v/>
      </c>
      <c r="D934" s="59" t="str">
        <f aca="false">IFERROR(IF([1]对账明细接口!$D$934=0,"",[1]对账明细接口!$D$934),"")</f>
        <v/>
      </c>
      <c r="E934" s="59" t="str">
        <f aca="false">IFERROR(IF([1]对账明细接口!$E$934=0,"",[1]对账明细接口!$E$934),"")</f>
        <v/>
      </c>
      <c r="F934" s="59" t="str">
        <f aca="false">IFERROR(IF([1]对账明细接口!$F$934=0,"",[1]对账明细接口!$F$934),"")</f>
        <v/>
      </c>
      <c r="G934" s="59" t="str">
        <f aca="false">IFERROR(IF([1]对账明细接口!$G$934=0,"",[1]对账明细接口!$G$934),"")</f>
        <v/>
      </c>
      <c r="H934" s="60" t="str">
        <f aca="false">IFERROR(IF([1]对账明细接口!$H$934=0,"",[1]对账明细接口!$H$934),"")</f>
        <v/>
      </c>
      <c r="I934" s="59" t="str">
        <f aca="false">IFERROR(IF([1]对账明细接口!$I$934=0,"",[1]对账明细接口!$I$934),"")</f>
        <v/>
      </c>
      <c r="J934" s="61" t="str">
        <f aca="false">IFERROR(IF([1]对账明细接口!$J$934=0,"",[1]对账明细接口!$J$934),"")</f>
        <v/>
      </c>
      <c r="K934" s="61" t="str">
        <f aca="false">IFERROR(IF([1]对账明细接口!$K$934=0,"",[1]对账明细接口!$K$934),"")</f>
        <v/>
      </c>
      <c r="L934" s="59" t="str">
        <f aca="false">IFERROR(IF([1]对账明细接口!$L$934=0,"",[1]对账明细接口!$L$934),"")</f>
        <v/>
      </c>
      <c r="M934" s="59" t="str">
        <f aca="false">IFERROR(IF([1]对账明细接口!$M$934=0,"",[1]对账明细接口!$M$934),"")</f>
        <v/>
      </c>
      <c r="N934" s="111" t="n">
        <f aca="false">IF($C934="",0,1)</f>
        <v>0</v>
      </c>
      <c r="O934" s="111" t="n">
        <f aca="false">N(O933)+$N934</f>
        <v>110</v>
      </c>
      <c r="S934" s="10" t="str">
        <f aca="false">IFERROR(IF([1]对账明细接口!$N934=0,"",[1]对账明细接口!$N934),"")</f>
        <v/>
      </c>
      <c r="T934" s="112" t="str">
        <f aca="false">IFERROR(IF([1]对账明细接口!$O934=0,"",[1]对账明细接口!$O934),"")</f>
        <v/>
      </c>
      <c r="U934" s="112" t="str">
        <f aca="false">IFERROR(IF([1]对账明细接口!$P934=0,"",[1]对账明细接口!$P934),"")</f>
        <v/>
      </c>
      <c r="V934" s="112" t="str">
        <f aca="false">IFERROR(IF([1]对账明细接口!$Q934=0,"",[1]对账明细接口!$Q934),"")</f>
        <v/>
      </c>
      <c r="W934" s="10" t="str">
        <f aca="false">IFERROR(IF([1]对账明细接口!$R934=0,"",[1]对账明细接口!$R934),"")</f>
        <v/>
      </c>
      <c r="X934" s="10" t="str">
        <f aca="false">IFERROR(IF([1]对账明细接口!$S934=0,"",[1]对账明细接口!$S934),"")</f>
        <v/>
      </c>
      <c r="Y934" s="10" t="str">
        <f aca="false">""</f>
        <v/>
      </c>
      <c r="Z934" s="10" t="str">
        <f aca="false">""</f>
        <v/>
      </c>
      <c r="AA934" s="10" t="str">
        <f aca="false">""</f>
        <v/>
      </c>
      <c r="AB934" s="10" t="str">
        <f aca="false">""</f>
        <v/>
      </c>
    </row>
    <row r="935" customFormat="false" ht="13.5" hidden="false" customHeight="false" outlineLevel="0" collapsed="false">
      <c r="A935" s="109" t="n">
        <v>935</v>
      </c>
      <c r="B935" s="110" t="str">
        <f aca="false">IFERROR(IF([1]对账明细接口!$B$935=0,"",[1]对账明细接口!$B$935),"")</f>
        <v/>
      </c>
      <c r="C935" s="59" t="str">
        <f aca="false">IFERROR(IF([1]对账明细接口!$C$935=0,"",[1]对账明细接口!$C$935),"")</f>
        <v/>
      </c>
      <c r="D935" s="59" t="str">
        <f aca="false">IFERROR(IF([1]对账明细接口!$D$935=0,"",[1]对账明细接口!$D$935),"")</f>
        <v/>
      </c>
      <c r="E935" s="59" t="str">
        <f aca="false">IFERROR(IF([1]对账明细接口!$E$935=0,"",[1]对账明细接口!$E$935),"")</f>
        <v/>
      </c>
      <c r="F935" s="59" t="str">
        <f aca="false">IFERROR(IF([1]对账明细接口!$F$935=0,"",[1]对账明细接口!$F$935),"")</f>
        <v/>
      </c>
      <c r="G935" s="59" t="str">
        <f aca="false">IFERROR(IF([1]对账明细接口!$G$935=0,"",[1]对账明细接口!$G$935),"")</f>
        <v/>
      </c>
      <c r="H935" s="60" t="str">
        <f aca="false">IFERROR(IF([1]对账明细接口!$H$935=0,"",[1]对账明细接口!$H$935),"")</f>
        <v/>
      </c>
      <c r="I935" s="59" t="str">
        <f aca="false">IFERROR(IF([1]对账明细接口!$I$935=0,"",[1]对账明细接口!$I$935),"")</f>
        <v/>
      </c>
      <c r="J935" s="61" t="str">
        <f aca="false">IFERROR(IF([1]对账明细接口!$J$935=0,"",[1]对账明细接口!$J$935),"")</f>
        <v/>
      </c>
      <c r="K935" s="61" t="str">
        <f aca="false">IFERROR(IF([1]对账明细接口!$K$935=0,"",[1]对账明细接口!$K$935),"")</f>
        <v/>
      </c>
      <c r="L935" s="59" t="str">
        <f aca="false">IFERROR(IF([1]对账明细接口!$L$935=0,"",[1]对账明细接口!$L$935),"")</f>
        <v/>
      </c>
      <c r="M935" s="59" t="str">
        <f aca="false">IFERROR(IF([1]对账明细接口!$M$935=0,"",[1]对账明细接口!$M$935),"")</f>
        <v/>
      </c>
      <c r="N935" s="111" t="n">
        <f aca="false">IF($C935="",0,1)</f>
        <v>0</v>
      </c>
      <c r="O935" s="111" t="n">
        <f aca="false">N(O934)+$N935</f>
        <v>110</v>
      </c>
      <c r="S935" s="10" t="str">
        <f aca="false">IFERROR(IF([1]对账明细接口!$N935=0,"",[1]对账明细接口!$N935),"")</f>
        <v/>
      </c>
      <c r="T935" s="112" t="str">
        <f aca="false">IFERROR(IF([1]对账明细接口!$O935=0,"",[1]对账明细接口!$O935),"")</f>
        <v/>
      </c>
      <c r="U935" s="112" t="str">
        <f aca="false">IFERROR(IF([1]对账明细接口!$P935=0,"",[1]对账明细接口!$P935),"")</f>
        <v/>
      </c>
      <c r="V935" s="112" t="str">
        <f aca="false">IFERROR(IF([1]对账明细接口!$Q935=0,"",[1]对账明细接口!$Q935),"")</f>
        <v/>
      </c>
      <c r="W935" s="10" t="str">
        <f aca="false">IFERROR(IF([1]对账明细接口!$R935=0,"",[1]对账明细接口!$R935),"")</f>
        <v/>
      </c>
      <c r="X935" s="10" t="str">
        <f aca="false">IFERROR(IF([1]对账明细接口!$S935=0,"",[1]对账明细接口!$S935),"")</f>
        <v/>
      </c>
      <c r="Y935" s="10" t="str">
        <f aca="false">""</f>
        <v/>
      </c>
      <c r="Z935" s="10" t="str">
        <f aca="false">""</f>
        <v/>
      </c>
      <c r="AA935" s="10" t="str">
        <f aca="false">""</f>
        <v/>
      </c>
      <c r="AB935" s="10" t="str">
        <f aca="false">""</f>
        <v/>
      </c>
    </row>
    <row r="936" customFormat="false" ht="13.5" hidden="false" customHeight="false" outlineLevel="0" collapsed="false">
      <c r="A936" s="109" t="n">
        <v>936</v>
      </c>
      <c r="B936" s="110" t="str">
        <f aca="false">IFERROR(IF([1]对账明细接口!$B$936=0,"",[1]对账明细接口!$B$936),"")</f>
        <v/>
      </c>
      <c r="C936" s="59" t="str">
        <f aca="false">IFERROR(IF([1]对账明细接口!$C$936=0,"",[1]对账明细接口!$C$936),"")</f>
        <v/>
      </c>
      <c r="D936" s="59" t="str">
        <f aca="false">IFERROR(IF([1]对账明细接口!$D$936=0,"",[1]对账明细接口!$D$936),"")</f>
        <v/>
      </c>
      <c r="E936" s="59" t="str">
        <f aca="false">IFERROR(IF([1]对账明细接口!$E$936=0,"",[1]对账明细接口!$E$936),"")</f>
        <v/>
      </c>
      <c r="F936" s="59" t="str">
        <f aca="false">IFERROR(IF([1]对账明细接口!$F$936=0,"",[1]对账明细接口!$F$936),"")</f>
        <v/>
      </c>
      <c r="G936" s="59" t="str">
        <f aca="false">IFERROR(IF([1]对账明细接口!$G$936=0,"",[1]对账明细接口!$G$936),"")</f>
        <v/>
      </c>
      <c r="H936" s="60" t="str">
        <f aca="false">IFERROR(IF([1]对账明细接口!$H$936=0,"",[1]对账明细接口!$H$936),"")</f>
        <v/>
      </c>
      <c r="I936" s="59" t="str">
        <f aca="false">IFERROR(IF([1]对账明细接口!$I$936=0,"",[1]对账明细接口!$I$936),"")</f>
        <v/>
      </c>
      <c r="J936" s="61" t="str">
        <f aca="false">IFERROR(IF([1]对账明细接口!$J$936=0,"",[1]对账明细接口!$J$936),"")</f>
        <v/>
      </c>
      <c r="K936" s="61" t="str">
        <f aca="false">IFERROR(IF([1]对账明细接口!$K$936=0,"",[1]对账明细接口!$K$936),"")</f>
        <v/>
      </c>
      <c r="L936" s="59" t="str">
        <f aca="false">IFERROR(IF([1]对账明细接口!$L$936=0,"",[1]对账明细接口!$L$936),"")</f>
        <v/>
      </c>
      <c r="M936" s="59" t="str">
        <f aca="false">IFERROR(IF([1]对账明细接口!$M$936=0,"",[1]对账明细接口!$M$936),"")</f>
        <v/>
      </c>
      <c r="N936" s="111" t="n">
        <f aca="false">IF($C936="",0,1)</f>
        <v>0</v>
      </c>
      <c r="O936" s="111" t="n">
        <f aca="false">N(O935)+$N936</f>
        <v>110</v>
      </c>
      <c r="S936" s="10" t="str">
        <f aca="false">IFERROR(IF([1]对账明细接口!$N936=0,"",[1]对账明细接口!$N936),"")</f>
        <v/>
      </c>
      <c r="T936" s="112" t="str">
        <f aca="false">IFERROR(IF([1]对账明细接口!$O936=0,"",[1]对账明细接口!$O936),"")</f>
        <v/>
      </c>
      <c r="U936" s="112" t="str">
        <f aca="false">IFERROR(IF([1]对账明细接口!$P936=0,"",[1]对账明细接口!$P936),"")</f>
        <v/>
      </c>
      <c r="V936" s="112" t="str">
        <f aca="false">IFERROR(IF([1]对账明细接口!$Q936=0,"",[1]对账明细接口!$Q936),"")</f>
        <v/>
      </c>
      <c r="W936" s="10" t="str">
        <f aca="false">IFERROR(IF([1]对账明细接口!$R936=0,"",[1]对账明细接口!$R936),"")</f>
        <v/>
      </c>
      <c r="X936" s="10" t="str">
        <f aca="false">IFERROR(IF([1]对账明细接口!$S936=0,"",[1]对账明细接口!$S936),"")</f>
        <v/>
      </c>
      <c r="Y936" s="10" t="str">
        <f aca="false">""</f>
        <v/>
      </c>
      <c r="Z936" s="10" t="str">
        <f aca="false">""</f>
        <v/>
      </c>
      <c r="AA936" s="10" t="str">
        <f aca="false">""</f>
        <v/>
      </c>
      <c r="AB936" s="10" t="str">
        <f aca="false">""</f>
        <v/>
      </c>
    </row>
    <row r="937" customFormat="false" ht="13.5" hidden="false" customHeight="false" outlineLevel="0" collapsed="false">
      <c r="A937" s="109" t="n">
        <v>937</v>
      </c>
      <c r="B937" s="110" t="str">
        <f aca="false">IFERROR(IF([1]对账明细接口!$B$937=0,"",[1]对账明细接口!$B$937),"")</f>
        <v/>
      </c>
      <c r="C937" s="59" t="str">
        <f aca="false">IFERROR(IF([1]对账明细接口!$C$937=0,"",[1]对账明细接口!$C$937),"")</f>
        <v/>
      </c>
      <c r="D937" s="59" t="str">
        <f aca="false">IFERROR(IF([1]对账明细接口!$D$937=0,"",[1]对账明细接口!$D$937),"")</f>
        <v/>
      </c>
      <c r="E937" s="59" t="str">
        <f aca="false">IFERROR(IF([1]对账明细接口!$E$937=0,"",[1]对账明细接口!$E$937),"")</f>
        <v/>
      </c>
      <c r="F937" s="59" t="str">
        <f aca="false">IFERROR(IF([1]对账明细接口!$F$937=0,"",[1]对账明细接口!$F$937),"")</f>
        <v/>
      </c>
      <c r="G937" s="59" t="str">
        <f aca="false">IFERROR(IF([1]对账明细接口!$G$937=0,"",[1]对账明细接口!$G$937),"")</f>
        <v/>
      </c>
      <c r="H937" s="60" t="str">
        <f aca="false">IFERROR(IF([1]对账明细接口!$H$937=0,"",[1]对账明细接口!$H$937),"")</f>
        <v/>
      </c>
      <c r="I937" s="59" t="str">
        <f aca="false">IFERROR(IF([1]对账明细接口!$I$937=0,"",[1]对账明细接口!$I$937),"")</f>
        <v/>
      </c>
      <c r="J937" s="61" t="str">
        <f aca="false">IFERROR(IF([1]对账明细接口!$J$937=0,"",[1]对账明细接口!$J$937),"")</f>
        <v/>
      </c>
      <c r="K937" s="61" t="str">
        <f aca="false">IFERROR(IF([1]对账明细接口!$K$937=0,"",[1]对账明细接口!$K$937),"")</f>
        <v/>
      </c>
      <c r="L937" s="59" t="str">
        <f aca="false">IFERROR(IF([1]对账明细接口!$L$937=0,"",[1]对账明细接口!$L$937),"")</f>
        <v/>
      </c>
      <c r="M937" s="59" t="str">
        <f aca="false">IFERROR(IF([1]对账明细接口!$M$937=0,"",[1]对账明细接口!$M$937),"")</f>
        <v/>
      </c>
      <c r="N937" s="111" t="n">
        <f aca="false">IF($C937="",0,1)</f>
        <v>0</v>
      </c>
      <c r="O937" s="111" t="n">
        <f aca="false">N(O936)+$N937</f>
        <v>110</v>
      </c>
      <c r="S937" s="10" t="str">
        <f aca="false">IFERROR(IF([1]对账明细接口!$N937=0,"",[1]对账明细接口!$N937),"")</f>
        <v/>
      </c>
      <c r="T937" s="112" t="str">
        <f aca="false">IFERROR(IF([1]对账明细接口!$O937=0,"",[1]对账明细接口!$O937),"")</f>
        <v/>
      </c>
      <c r="U937" s="112" t="str">
        <f aca="false">IFERROR(IF([1]对账明细接口!$P937=0,"",[1]对账明细接口!$P937),"")</f>
        <v/>
      </c>
      <c r="V937" s="112" t="str">
        <f aca="false">IFERROR(IF([1]对账明细接口!$Q937=0,"",[1]对账明细接口!$Q937),"")</f>
        <v/>
      </c>
      <c r="W937" s="10" t="str">
        <f aca="false">IFERROR(IF([1]对账明细接口!$R937=0,"",[1]对账明细接口!$R937),"")</f>
        <v/>
      </c>
      <c r="X937" s="10" t="str">
        <f aca="false">IFERROR(IF([1]对账明细接口!$S937=0,"",[1]对账明细接口!$S937),"")</f>
        <v/>
      </c>
      <c r="Y937" s="10" t="str">
        <f aca="false">""</f>
        <v/>
      </c>
      <c r="Z937" s="10" t="str">
        <f aca="false">""</f>
        <v/>
      </c>
      <c r="AA937" s="10" t="str">
        <f aca="false">""</f>
        <v/>
      </c>
      <c r="AB937" s="10" t="str">
        <f aca="false">""</f>
        <v/>
      </c>
    </row>
    <row r="938" customFormat="false" ht="13.5" hidden="false" customHeight="false" outlineLevel="0" collapsed="false">
      <c r="A938" s="109" t="n">
        <v>938</v>
      </c>
      <c r="B938" s="110" t="str">
        <f aca="false">IFERROR(IF([1]对账明细接口!$B$938=0,"",[1]对账明细接口!$B$938),"")</f>
        <v/>
      </c>
      <c r="C938" s="59" t="str">
        <f aca="false">IFERROR(IF([1]对账明细接口!$C$938=0,"",[1]对账明细接口!$C$938),"")</f>
        <v/>
      </c>
      <c r="D938" s="59" t="str">
        <f aca="false">IFERROR(IF([1]对账明细接口!$D$938=0,"",[1]对账明细接口!$D$938),"")</f>
        <v/>
      </c>
      <c r="E938" s="59" t="str">
        <f aca="false">IFERROR(IF([1]对账明细接口!$E$938=0,"",[1]对账明细接口!$E$938),"")</f>
        <v/>
      </c>
      <c r="F938" s="59" t="str">
        <f aca="false">IFERROR(IF([1]对账明细接口!$F$938=0,"",[1]对账明细接口!$F$938),"")</f>
        <v/>
      </c>
      <c r="G938" s="59" t="str">
        <f aca="false">IFERROR(IF([1]对账明细接口!$G$938=0,"",[1]对账明细接口!$G$938),"")</f>
        <v/>
      </c>
      <c r="H938" s="60" t="str">
        <f aca="false">IFERROR(IF([1]对账明细接口!$H$938=0,"",[1]对账明细接口!$H$938),"")</f>
        <v/>
      </c>
      <c r="I938" s="59" t="str">
        <f aca="false">IFERROR(IF([1]对账明细接口!$I$938=0,"",[1]对账明细接口!$I$938),"")</f>
        <v/>
      </c>
      <c r="J938" s="61" t="str">
        <f aca="false">IFERROR(IF([1]对账明细接口!$J$938=0,"",[1]对账明细接口!$J$938),"")</f>
        <v/>
      </c>
      <c r="K938" s="61" t="str">
        <f aca="false">IFERROR(IF([1]对账明细接口!$K$938=0,"",[1]对账明细接口!$K$938),"")</f>
        <v/>
      </c>
      <c r="L938" s="59" t="str">
        <f aca="false">IFERROR(IF([1]对账明细接口!$L$938=0,"",[1]对账明细接口!$L$938),"")</f>
        <v/>
      </c>
      <c r="M938" s="59" t="str">
        <f aca="false">IFERROR(IF([1]对账明细接口!$M$938=0,"",[1]对账明细接口!$M$938),"")</f>
        <v/>
      </c>
      <c r="N938" s="111" t="n">
        <f aca="false">IF($C938="",0,1)</f>
        <v>0</v>
      </c>
      <c r="O938" s="111" t="n">
        <f aca="false">N(O937)+$N938</f>
        <v>110</v>
      </c>
      <c r="S938" s="10" t="str">
        <f aca="false">IFERROR(IF([1]对账明细接口!$N938=0,"",[1]对账明细接口!$N938),"")</f>
        <v/>
      </c>
      <c r="T938" s="112" t="str">
        <f aca="false">IFERROR(IF([1]对账明细接口!$O938=0,"",[1]对账明细接口!$O938),"")</f>
        <v/>
      </c>
      <c r="U938" s="112" t="str">
        <f aca="false">IFERROR(IF([1]对账明细接口!$P938=0,"",[1]对账明细接口!$P938),"")</f>
        <v/>
      </c>
      <c r="V938" s="112" t="str">
        <f aca="false">IFERROR(IF([1]对账明细接口!$Q938=0,"",[1]对账明细接口!$Q938),"")</f>
        <v/>
      </c>
      <c r="W938" s="10" t="str">
        <f aca="false">IFERROR(IF([1]对账明细接口!$R938=0,"",[1]对账明细接口!$R938),"")</f>
        <v/>
      </c>
      <c r="X938" s="10" t="str">
        <f aca="false">IFERROR(IF([1]对账明细接口!$S938=0,"",[1]对账明细接口!$S938),"")</f>
        <v/>
      </c>
      <c r="Y938" s="10" t="str">
        <f aca="false">""</f>
        <v/>
      </c>
      <c r="Z938" s="10" t="str">
        <f aca="false">""</f>
        <v/>
      </c>
      <c r="AA938" s="10" t="str">
        <f aca="false">""</f>
        <v/>
      </c>
      <c r="AB938" s="10" t="str">
        <f aca="false">""</f>
        <v/>
      </c>
    </row>
    <row r="939" customFormat="false" ht="13.5" hidden="false" customHeight="false" outlineLevel="0" collapsed="false">
      <c r="A939" s="109" t="n">
        <v>939</v>
      </c>
      <c r="B939" s="110" t="str">
        <f aca="false">IFERROR(IF([1]对账明细接口!$B$939=0,"",[1]对账明细接口!$B$939),"")</f>
        <v/>
      </c>
      <c r="C939" s="59" t="str">
        <f aca="false">IFERROR(IF([1]对账明细接口!$C$939=0,"",[1]对账明细接口!$C$939),"")</f>
        <v/>
      </c>
      <c r="D939" s="59" t="str">
        <f aca="false">IFERROR(IF([1]对账明细接口!$D$939=0,"",[1]对账明细接口!$D$939),"")</f>
        <v/>
      </c>
      <c r="E939" s="59" t="str">
        <f aca="false">IFERROR(IF([1]对账明细接口!$E$939=0,"",[1]对账明细接口!$E$939),"")</f>
        <v/>
      </c>
      <c r="F939" s="59" t="str">
        <f aca="false">IFERROR(IF([1]对账明细接口!$F$939=0,"",[1]对账明细接口!$F$939),"")</f>
        <v/>
      </c>
      <c r="G939" s="59" t="str">
        <f aca="false">IFERROR(IF([1]对账明细接口!$G$939=0,"",[1]对账明细接口!$G$939),"")</f>
        <v/>
      </c>
      <c r="H939" s="60" t="str">
        <f aca="false">IFERROR(IF([1]对账明细接口!$H$939=0,"",[1]对账明细接口!$H$939),"")</f>
        <v/>
      </c>
      <c r="I939" s="59" t="str">
        <f aca="false">IFERROR(IF([1]对账明细接口!$I$939=0,"",[1]对账明细接口!$I$939),"")</f>
        <v/>
      </c>
      <c r="J939" s="61" t="str">
        <f aca="false">IFERROR(IF([1]对账明细接口!$J$939=0,"",[1]对账明细接口!$J$939),"")</f>
        <v/>
      </c>
      <c r="K939" s="61" t="str">
        <f aca="false">IFERROR(IF([1]对账明细接口!$K$939=0,"",[1]对账明细接口!$K$939),"")</f>
        <v/>
      </c>
      <c r="L939" s="59" t="str">
        <f aca="false">IFERROR(IF([1]对账明细接口!$L$939=0,"",[1]对账明细接口!$L$939),"")</f>
        <v/>
      </c>
      <c r="M939" s="59" t="str">
        <f aca="false">IFERROR(IF([1]对账明细接口!$M$939=0,"",[1]对账明细接口!$M$939),"")</f>
        <v/>
      </c>
      <c r="N939" s="111" t="n">
        <f aca="false">IF($C939="",0,1)</f>
        <v>0</v>
      </c>
      <c r="O939" s="111" t="n">
        <f aca="false">N(O938)+$N939</f>
        <v>110</v>
      </c>
      <c r="S939" s="10" t="str">
        <f aca="false">IFERROR(IF([1]对账明细接口!$N939=0,"",[1]对账明细接口!$N939),"")</f>
        <v/>
      </c>
      <c r="T939" s="112" t="str">
        <f aca="false">IFERROR(IF([1]对账明细接口!$O939=0,"",[1]对账明细接口!$O939),"")</f>
        <v/>
      </c>
      <c r="U939" s="112" t="str">
        <f aca="false">IFERROR(IF([1]对账明细接口!$P939=0,"",[1]对账明细接口!$P939),"")</f>
        <v/>
      </c>
      <c r="V939" s="112" t="str">
        <f aca="false">IFERROR(IF([1]对账明细接口!$Q939=0,"",[1]对账明细接口!$Q939),"")</f>
        <v/>
      </c>
      <c r="W939" s="10" t="str">
        <f aca="false">IFERROR(IF([1]对账明细接口!$R939=0,"",[1]对账明细接口!$R939),"")</f>
        <v/>
      </c>
      <c r="X939" s="10" t="str">
        <f aca="false">IFERROR(IF([1]对账明细接口!$S939=0,"",[1]对账明细接口!$S939),"")</f>
        <v/>
      </c>
      <c r="Y939" s="10" t="str">
        <f aca="false">""</f>
        <v/>
      </c>
      <c r="Z939" s="10" t="str">
        <f aca="false">""</f>
        <v/>
      </c>
      <c r="AA939" s="10" t="str">
        <f aca="false">""</f>
        <v/>
      </c>
      <c r="AB939" s="10" t="str">
        <f aca="false">""</f>
        <v/>
      </c>
    </row>
    <row r="940" customFormat="false" ht="13.5" hidden="false" customHeight="false" outlineLevel="0" collapsed="false">
      <c r="A940" s="109" t="n">
        <v>940</v>
      </c>
      <c r="B940" s="110" t="str">
        <f aca="false">IFERROR(IF([1]对账明细接口!$B$940=0,"",[1]对账明细接口!$B$940),"")</f>
        <v/>
      </c>
      <c r="C940" s="59" t="str">
        <f aca="false">IFERROR(IF([1]对账明细接口!$C$940=0,"",[1]对账明细接口!$C$940),"")</f>
        <v/>
      </c>
      <c r="D940" s="59" t="str">
        <f aca="false">IFERROR(IF([1]对账明细接口!$D$940=0,"",[1]对账明细接口!$D$940),"")</f>
        <v/>
      </c>
      <c r="E940" s="59" t="str">
        <f aca="false">IFERROR(IF([1]对账明细接口!$E$940=0,"",[1]对账明细接口!$E$940),"")</f>
        <v/>
      </c>
      <c r="F940" s="59" t="str">
        <f aca="false">IFERROR(IF([1]对账明细接口!$F$940=0,"",[1]对账明细接口!$F$940),"")</f>
        <v/>
      </c>
      <c r="G940" s="59" t="str">
        <f aca="false">IFERROR(IF([1]对账明细接口!$G$940=0,"",[1]对账明细接口!$G$940),"")</f>
        <v/>
      </c>
      <c r="H940" s="60" t="str">
        <f aca="false">IFERROR(IF([1]对账明细接口!$H$940=0,"",[1]对账明细接口!$H$940),"")</f>
        <v/>
      </c>
      <c r="I940" s="59" t="str">
        <f aca="false">IFERROR(IF([1]对账明细接口!$I$940=0,"",[1]对账明细接口!$I$940),"")</f>
        <v/>
      </c>
      <c r="J940" s="61" t="str">
        <f aca="false">IFERROR(IF([1]对账明细接口!$J$940=0,"",[1]对账明细接口!$J$940),"")</f>
        <v/>
      </c>
      <c r="K940" s="61" t="str">
        <f aca="false">IFERROR(IF([1]对账明细接口!$K$940=0,"",[1]对账明细接口!$K$940),"")</f>
        <v/>
      </c>
      <c r="L940" s="59" t="str">
        <f aca="false">IFERROR(IF([1]对账明细接口!$L$940=0,"",[1]对账明细接口!$L$940),"")</f>
        <v/>
      </c>
      <c r="M940" s="59" t="str">
        <f aca="false">IFERROR(IF([1]对账明细接口!$M$940=0,"",[1]对账明细接口!$M$940),"")</f>
        <v/>
      </c>
      <c r="N940" s="111" t="n">
        <f aca="false">IF($C940="",0,1)</f>
        <v>0</v>
      </c>
      <c r="O940" s="111" t="n">
        <f aca="false">N(O939)+$N940</f>
        <v>110</v>
      </c>
      <c r="S940" s="10" t="str">
        <f aca="false">IFERROR(IF([1]对账明细接口!$N940=0,"",[1]对账明细接口!$N940),"")</f>
        <v/>
      </c>
      <c r="T940" s="112" t="str">
        <f aca="false">IFERROR(IF([1]对账明细接口!$O940=0,"",[1]对账明细接口!$O940),"")</f>
        <v/>
      </c>
      <c r="U940" s="112" t="str">
        <f aca="false">IFERROR(IF([1]对账明细接口!$P940=0,"",[1]对账明细接口!$P940),"")</f>
        <v/>
      </c>
      <c r="V940" s="112" t="str">
        <f aca="false">IFERROR(IF([1]对账明细接口!$Q940=0,"",[1]对账明细接口!$Q940),"")</f>
        <v/>
      </c>
      <c r="W940" s="10" t="str">
        <f aca="false">IFERROR(IF([1]对账明细接口!$R940=0,"",[1]对账明细接口!$R940),"")</f>
        <v/>
      </c>
      <c r="X940" s="10" t="str">
        <f aca="false">IFERROR(IF([1]对账明细接口!$S940=0,"",[1]对账明细接口!$S940),"")</f>
        <v/>
      </c>
      <c r="Y940" s="10" t="str">
        <f aca="false">""</f>
        <v/>
      </c>
      <c r="Z940" s="10" t="str">
        <f aca="false">""</f>
        <v/>
      </c>
      <c r="AA940" s="10" t="str">
        <f aca="false">""</f>
        <v/>
      </c>
      <c r="AB940" s="10" t="str">
        <f aca="false">""</f>
        <v/>
      </c>
    </row>
    <row r="941" customFormat="false" ht="13.5" hidden="false" customHeight="false" outlineLevel="0" collapsed="false">
      <c r="A941" s="109" t="n">
        <v>941</v>
      </c>
      <c r="B941" s="110" t="str">
        <f aca="false">IFERROR(IF([1]对账明细接口!$B$941=0,"",[1]对账明细接口!$B$941),"")</f>
        <v/>
      </c>
      <c r="C941" s="59" t="str">
        <f aca="false">IFERROR(IF([1]对账明细接口!$C$941=0,"",[1]对账明细接口!$C$941),"")</f>
        <v/>
      </c>
      <c r="D941" s="59" t="str">
        <f aca="false">IFERROR(IF([1]对账明细接口!$D$941=0,"",[1]对账明细接口!$D$941),"")</f>
        <v/>
      </c>
      <c r="E941" s="59" t="str">
        <f aca="false">IFERROR(IF([1]对账明细接口!$E$941=0,"",[1]对账明细接口!$E$941),"")</f>
        <v/>
      </c>
      <c r="F941" s="59" t="str">
        <f aca="false">IFERROR(IF([1]对账明细接口!$F$941=0,"",[1]对账明细接口!$F$941),"")</f>
        <v/>
      </c>
      <c r="G941" s="59" t="str">
        <f aca="false">IFERROR(IF([1]对账明细接口!$G$941=0,"",[1]对账明细接口!$G$941),"")</f>
        <v/>
      </c>
      <c r="H941" s="60" t="str">
        <f aca="false">IFERROR(IF([1]对账明细接口!$H$941=0,"",[1]对账明细接口!$H$941),"")</f>
        <v/>
      </c>
      <c r="I941" s="59" t="str">
        <f aca="false">IFERROR(IF([1]对账明细接口!$I$941=0,"",[1]对账明细接口!$I$941),"")</f>
        <v/>
      </c>
      <c r="J941" s="61" t="str">
        <f aca="false">IFERROR(IF([1]对账明细接口!$J$941=0,"",[1]对账明细接口!$J$941),"")</f>
        <v/>
      </c>
      <c r="K941" s="61" t="str">
        <f aca="false">IFERROR(IF([1]对账明细接口!$K$941=0,"",[1]对账明细接口!$K$941),"")</f>
        <v/>
      </c>
      <c r="L941" s="59" t="str">
        <f aca="false">IFERROR(IF([1]对账明细接口!$L$941=0,"",[1]对账明细接口!$L$941),"")</f>
        <v/>
      </c>
      <c r="M941" s="59" t="str">
        <f aca="false">IFERROR(IF([1]对账明细接口!$M$941=0,"",[1]对账明细接口!$M$941),"")</f>
        <v/>
      </c>
      <c r="N941" s="111" t="n">
        <f aca="false">IF($C941="",0,1)</f>
        <v>0</v>
      </c>
      <c r="O941" s="111" t="n">
        <f aca="false">N(O940)+$N941</f>
        <v>110</v>
      </c>
      <c r="S941" s="10" t="str">
        <f aca="false">IFERROR(IF([1]对账明细接口!$N941=0,"",[1]对账明细接口!$N941),"")</f>
        <v/>
      </c>
      <c r="T941" s="112" t="str">
        <f aca="false">IFERROR(IF([1]对账明细接口!$O941=0,"",[1]对账明细接口!$O941),"")</f>
        <v/>
      </c>
      <c r="U941" s="112" t="str">
        <f aca="false">IFERROR(IF([1]对账明细接口!$P941=0,"",[1]对账明细接口!$P941),"")</f>
        <v/>
      </c>
      <c r="V941" s="112" t="str">
        <f aca="false">IFERROR(IF([1]对账明细接口!$Q941=0,"",[1]对账明细接口!$Q941),"")</f>
        <v/>
      </c>
      <c r="W941" s="10" t="str">
        <f aca="false">IFERROR(IF([1]对账明细接口!$R941=0,"",[1]对账明细接口!$R941),"")</f>
        <v/>
      </c>
      <c r="X941" s="10" t="str">
        <f aca="false">IFERROR(IF([1]对账明细接口!$S941=0,"",[1]对账明细接口!$S941),"")</f>
        <v/>
      </c>
      <c r="Y941" s="10" t="str">
        <f aca="false">""</f>
        <v/>
      </c>
      <c r="Z941" s="10" t="str">
        <f aca="false">""</f>
        <v/>
      </c>
      <c r="AA941" s="10" t="str">
        <f aca="false">""</f>
        <v/>
      </c>
      <c r="AB941" s="10" t="str">
        <f aca="false">""</f>
        <v/>
      </c>
    </row>
    <row r="942" customFormat="false" ht="13.5" hidden="false" customHeight="false" outlineLevel="0" collapsed="false">
      <c r="A942" s="109" t="n">
        <v>942</v>
      </c>
      <c r="B942" s="110" t="str">
        <f aca="false">IFERROR(IF([1]对账明细接口!$B$942=0,"",[1]对账明细接口!$B$942),"")</f>
        <v/>
      </c>
      <c r="C942" s="59" t="str">
        <f aca="false">IFERROR(IF([1]对账明细接口!$C$942=0,"",[1]对账明细接口!$C$942),"")</f>
        <v/>
      </c>
      <c r="D942" s="59" t="str">
        <f aca="false">IFERROR(IF([1]对账明细接口!$D$942=0,"",[1]对账明细接口!$D$942),"")</f>
        <v/>
      </c>
      <c r="E942" s="59" t="str">
        <f aca="false">IFERROR(IF([1]对账明细接口!$E$942=0,"",[1]对账明细接口!$E$942),"")</f>
        <v/>
      </c>
      <c r="F942" s="59" t="str">
        <f aca="false">IFERROR(IF([1]对账明细接口!$F$942=0,"",[1]对账明细接口!$F$942),"")</f>
        <v/>
      </c>
      <c r="G942" s="59" t="str">
        <f aca="false">IFERROR(IF([1]对账明细接口!$G$942=0,"",[1]对账明细接口!$G$942),"")</f>
        <v/>
      </c>
      <c r="H942" s="60" t="str">
        <f aca="false">IFERROR(IF([1]对账明细接口!$H$942=0,"",[1]对账明细接口!$H$942),"")</f>
        <v/>
      </c>
      <c r="I942" s="59" t="str">
        <f aca="false">IFERROR(IF([1]对账明细接口!$I$942=0,"",[1]对账明细接口!$I$942),"")</f>
        <v/>
      </c>
      <c r="J942" s="61" t="str">
        <f aca="false">IFERROR(IF([1]对账明细接口!$J$942=0,"",[1]对账明细接口!$J$942),"")</f>
        <v/>
      </c>
      <c r="K942" s="61" t="str">
        <f aca="false">IFERROR(IF([1]对账明细接口!$K$942=0,"",[1]对账明细接口!$K$942),"")</f>
        <v/>
      </c>
      <c r="L942" s="59" t="str">
        <f aca="false">IFERROR(IF([1]对账明细接口!$L$942=0,"",[1]对账明细接口!$L$942),"")</f>
        <v/>
      </c>
      <c r="M942" s="59" t="str">
        <f aca="false">IFERROR(IF([1]对账明细接口!$M$942=0,"",[1]对账明细接口!$M$942),"")</f>
        <v/>
      </c>
      <c r="N942" s="111" t="n">
        <f aca="false">IF($C942="",0,1)</f>
        <v>0</v>
      </c>
      <c r="O942" s="111" t="n">
        <f aca="false">N(O941)+$N942</f>
        <v>110</v>
      </c>
      <c r="S942" s="10" t="str">
        <f aca="false">IFERROR(IF([1]对账明细接口!$N942=0,"",[1]对账明细接口!$N942),"")</f>
        <v/>
      </c>
      <c r="T942" s="112" t="str">
        <f aca="false">IFERROR(IF([1]对账明细接口!$O942=0,"",[1]对账明细接口!$O942),"")</f>
        <v/>
      </c>
      <c r="U942" s="112" t="str">
        <f aca="false">IFERROR(IF([1]对账明细接口!$P942=0,"",[1]对账明细接口!$P942),"")</f>
        <v/>
      </c>
      <c r="V942" s="112" t="str">
        <f aca="false">IFERROR(IF([1]对账明细接口!$Q942=0,"",[1]对账明细接口!$Q942),"")</f>
        <v/>
      </c>
      <c r="W942" s="10" t="str">
        <f aca="false">IFERROR(IF([1]对账明细接口!$R942=0,"",[1]对账明细接口!$R942),"")</f>
        <v/>
      </c>
      <c r="X942" s="10" t="str">
        <f aca="false">IFERROR(IF([1]对账明细接口!$S942=0,"",[1]对账明细接口!$S942),"")</f>
        <v/>
      </c>
      <c r="Y942" s="10" t="str">
        <f aca="false">""</f>
        <v/>
      </c>
      <c r="Z942" s="10" t="str">
        <f aca="false">""</f>
        <v/>
      </c>
      <c r="AA942" s="10" t="str">
        <f aca="false">""</f>
        <v/>
      </c>
      <c r="AB942" s="10" t="str">
        <f aca="false">""</f>
        <v/>
      </c>
    </row>
    <row r="943" customFormat="false" ht="13.5" hidden="false" customHeight="false" outlineLevel="0" collapsed="false">
      <c r="A943" s="109" t="n">
        <v>943</v>
      </c>
      <c r="B943" s="110" t="str">
        <f aca="false">IFERROR(IF([1]对账明细接口!$B$943=0,"",[1]对账明细接口!$B$943),"")</f>
        <v/>
      </c>
      <c r="C943" s="59" t="str">
        <f aca="false">IFERROR(IF([1]对账明细接口!$C$943=0,"",[1]对账明细接口!$C$943),"")</f>
        <v/>
      </c>
      <c r="D943" s="59" t="str">
        <f aca="false">IFERROR(IF([1]对账明细接口!$D$943=0,"",[1]对账明细接口!$D$943),"")</f>
        <v/>
      </c>
      <c r="E943" s="59" t="str">
        <f aca="false">IFERROR(IF([1]对账明细接口!$E$943=0,"",[1]对账明细接口!$E$943),"")</f>
        <v/>
      </c>
      <c r="F943" s="59" t="str">
        <f aca="false">IFERROR(IF([1]对账明细接口!$F$943=0,"",[1]对账明细接口!$F$943),"")</f>
        <v/>
      </c>
      <c r="G943" s="59" t="str">
        <f aca="false">IFERROR(IF([1]对账明细接口!$G$943=0,"",[1]对账明细接口!$G$943),"")</f>
        <v/>
      </c>
      <c r="H943" s="60" t="str">
        <f aca="false">IFERROR(IF([1]对账明细接口!$H$943=0,"",[1]对账明细接口!$H$943),"")</f>
        <v/>
      </c>
      <c r="I943" s="59" t="str">
        <f aca="false">IFERROR(IF([1]对账明细接口!$I$943=0,"",[1]对账明细接口!$I$943),"")</f>
        <v/>
      </c>
      <c r="J943" s="61" t="str">
        <f aca="false">IFERROR(IF([1]对账明细接口!$J$943=0,"",[1]对账明细接口!$J$943),"")</f>
        <v/>
      </c>
      <c r="K943" s="61" t="str">
        <f aca="false">IFERROR(IF([1]对账明细接口!$K$943=0,"",[1]对账明细接口!$K$943),"")</f>
        <v/>
      </c>
      <c r="L943" s="59" t="str">
        <f aca="false">IFERROR(IF([1]对账明细接口!$L$943=0,"",[1]对账明细接口!$L$943),"")</f>
        <v/>
      </c>
      <c r="M943" s="59" t="str">
        <f aca="false">IFERROR(IF([1]对账明细接口!$M$943=0,"",[1]对账明细接口!$M$943),"")</f>
        <v/>
      </c>
      <c r="N943" s="111" t="n">
        <f aca="false">IF($C943="",0,1)</f>
        <v>0</v>
      </c>
      <c r="O943" s="111" t="n">
        <f aca="false">N(O942)+$N943</f>
        <v>110</v>
      </c>
      <c r="S943" s="10" t="str">
        <f aca="false">IFERROR(IF([1]对账明细接口!$N943=0,"",[1]对账明细接口!$N943),"")</f>
        <v/>
      </c>
      <c r="T943" s="112" t="str">
        <f aca="false">IFERROR(IF([1]对账明细接口!$O943=0,"",[1]对账明细接口!$O943),"")</f>
        <v/>
      </c>
      <c r="U943" s="112" t="str">
        <f aca="false">IFERROR(IF([1]对账明细接口!$P943=0,"",[1]对账明细接口!$P943),"")</f>
        <v/>
      </c>
      <c r="V943" s="112" t="str">
        <f aca="false">IFERROR(IF([1]对账明细接口!$Q943=0,"",[1]对账明细接口!$Q943),"")</f>
        <v/>
      </c>
      <c r="W943" s="10" t="str">
        <f aca="false">IFERROR(IF([1]对账明细接口!$R943=0,"",[1]对账明细接口!$R943),"")</f>
        <v/>
      </c>
      <c r="X943" s="10" t="str">
        <f aca="false">IFERROR(IF([1]对账明细接口!$S943=0,"",[1]对账明细接口!$S943),"")</f>
        <v/>
      </c>
      <c r="Y943" s="10" t="str">
        <f aca="false">""</f>
        <v/>
      </c>
      <c r="Z943" s="10" t="str">
        <f aca="false">""</f>
        <v/>
      </c>
      <c r="AA943" s="10" t="str">
        <f aca="false">""</f>
        <v/>
      </c>
      <c r="AB943" s="10" t="str">
        <f aca="false">""</f>
        <v/>
      </c>
    </row>
    <row r="944" customFormat="false" ht="13.5" hidden="false" customHeight="false" outlineLevel="0" collapsed="false">
      <c r="A944" s="109" t="n">
        <v>944</v>
      </c>
      <c r="B944" s="110" t="str">
        <f aca="false">IFERROR(IF([1]对账明细接口!$B$944=0,"",[1]对账明细接口!$B$944),"")</f>
        <v/>
      </c>
      <c r="C944" s="59" t="str">
        <f aca="false">IFERROR(IF([1]对账明细接口!$C$944=0,"",[1]对账明细接口!$C$944),"")</f>
        <v/>
      </c>
      <c r="D944" s="59" t="str">
        <f aca="false">IFERROR(IF([1]对账明细接口!$D$944=0,"",[1]对账明细接口!$D$944),"")</f>
        <v/>
      </c>
      <c r="E944" s="59" t="str">
        <f aca="false">IFERROR(IF([1]对账明细接口!$E$944=0,"",[1]对账明细接口!$E$944),"")</f>
        <v/>
      </c>
      <c r="F944" s="59" t="str">
        <f aca="false">IFERROR(IF([1]对账明细接口!$F$944=0,"",[1]对账明细接口!$F$944),"")</f>
        <v/>
      </c>
      <c r="G944" s="59" t="str">
        <f aca="false">IFERROR(IF([1]对账明细接口!$G$944=0,"",[1]对账明细接口!$G$944),"")</f>
        <v/>
      </c>
      <c r="H944" s="60" t="str">
        <f aca="false">IFERROR(IF([1]对账明细接口!$H$944=0,"",[1]对账明细接口!$H$944),"")</f>
        <v/>
      </c>
      <c r="I944" s="59" t="str">
        <f aca="false">IFERROR(IF([1]对账明细接口!$I$944=0,"",[1]对账明细接口!$I$944),"")</f>
        <v/>
      </c>
      <c r="J944" s="61" t="str">
        <f aca="false">IFERROR(IF([1]对账明细接口!$J$944=0,"",[1]对账明细接口!$J$944),"")</f>
        <v/>
      </c>
      <c r="K944" s="61" t="str">
        <f aca="false">IFERROR(IF([1]对账明细接口!$K$944=0,"",[1]对账明细接口!$K$944),"")</f>
        <v/>
      </c>
      <c r="L944" s="59" t="str">
        <f aca="false">IFERROR(IF([1]对账明细接口!$L$944=0,"",[1]对账明细接口!$L$944),"")</f>
        <v/>
      </c>
      <c r="M944" s="59" t="str">
        <f aca="false">IFERROR(IF([1]对账明细接口!$M$944=0,"",[1]对账明细接口!$M$944),"")</f>
        <v/>
      </c>
      <c r="N944" s="111" t="n">
        <f aca="false">IF($C944="",0,1)</f>
        <v>0</v>
      </c>
      <c r="O944" s="111" t="n">
        <f aca="false">N(O943)+$N944</f>
        <v>110</v>
      </c>
      <c r="S944" s="10" t="str">
        <f aca="false">IFERROR(IF([1]对账明细接口!$N944=0,"",[1]对账明细接口!$N944),"")</f>
        <v/>
      </c>
      <c r="T944" s="112" t="str">
        <f aca="false">IFERROR(IF([1]对账明细接口!$O944=0,"",[1]对账明细接口!$O944),"")</f>
        <v/>
      </c>
      <c r="U944" s="112" t="str">
        <f aca="false">IFERROR(IF([1]对账明细接口!$P944=0,"",[1]对账明细接口!$P944),"")</f>
        <v/>
      </c>
      <c r="V944" s="112" t="str">
        <f aca="false">IFERROR(IF([1]对账明细接口!$Q944=0,"",[1]对账明细接口!$Q944),"")</f>
        <v/>
      </c>
      <c r="W944" s="10" t="str">
        <f aca="false">IFERROR(IF([1]对账明细接口!$R944=0,"",[1]对账明细接口!$R944),"")</f>
        <v/>
      </c>
      <c r="X944" s="10" t="str">
        <f aca="false">IFERROR(IF([1]对账明细接口!$S944=0,"",[1]对账明细接口!$S944),"")</f>
        <v/>
      </c>
      <c r="Y944" s="10" t="str">
        <f aca="false">""</f>
        <v/>
      </c>
      <c r="Z944" s="10" t="str">
        <f aca="false">""</f>
        <v/>
      </c>
      <c r="AA944" s="10" t="str">
        <f aca="false">""</f>
        <v/>
      </c>
      <c r="AB944" s="10" t="str">
        <f aca="false">""</f>
        <v/>
      </c>
    </row>
    <row r="945" customFormat="false" ht="13.5" hidden="false" customHeight="false" outlineLevel="0" collapsed="false">
      <c r="A945" s="109" t="n">
        <v>945</v>
      </c>
      <c r="B945" s="110" t="str">
        <f aca="false">IFERROR(IF([1]对账明细接口!$B$945=0,"",[1]对账明细接口!$B$945),"")</f>
        <v/>
      </c>
      <c r="C945" s="59" t="str">
        <f aca="false">IFERROR(IF([1]对账明细接口!$C$945=0,"",[1]对账明细接口!$C$945),"")</f>
        <v/>
      </c>
      <c r="D945" s="59" t="str">
        <f aca="false">IFERROR(IF([1]对账明细接口!$D$945=0,"",[1]对账明细接口!$D$945),"")</f>
        <v/>
      </c>
      <c r="E945" s="59" t="str">
        <f aca="false">IFERROR(IF([1]对账明细接口!$E$945=0,"",[1]对账明细接口!$E$945),"")</f>
        <v/>
      </c>
      <c r="F945" s="59" t="str">
        <f aca="false">IFERROR(IF([1]对账明细接口!$F$945=0,"",[1]对账明细接口!$F$945),"")</f>
        <v/>
      </c>
      <c r="G945" s="59" t="str">
        <f aca="false">IFERROR(IF([1]对账明细接口!$G$945=0,"",[1]对账明细接口!$G$945),"")</f>
        <v/>
      </c>
      <c r="H945" s="60" t="str">
        <f aca="false">IFERROR(IF([1]对账明细接口!$H$945=0,"",[1]对账明细接口!$H$945),"")</f>
        <v/>
      </c>
      <c r="I945" s="59" t="str">
        <f aca="false">IFERROR(IF([1]对账明细接口!$I$945=0,"",[1]对账明细接口!$I$945),"")</f>
        <v/>
      </c>
      <c r="J945" s="61" t="str">
        <f aca="false">IFERROR(IF([1]对账明细接口!$J$945=0,"",[1]对账明细接口!$J$945),"")</f>
        <v/>
      </c>
      <c r="K945" s="61" t="str">
        <f aca="false">IFERROR(IF([1]对账明细接口!$K$945=0,"",[1]对账明细接口!$K$945),"")</f>
        <v/>
      </c>
      <c r="L945" s="59" t="str">
        <f aca="false">IFERROR(IF([1]对账明细接口!$L$945=0,"",[1]对账明细接口!$L$945),"")</f>
        <v/>
      </c>
      <c r="M945" s="59" t="str">
        <f aca="false">IFERROR(IF([1]对账明细接口!$M$945=0,"",[1]对账明细接口!$M$945),"")</f>
        <v/>
      </c>
      <c r="N945" s="111" t="n">
        <f aca="false">IF($C945="",0,1)</f>
        <v>0</v>
      </c>
      <c r="O945" s="111" t="n">
        <f aca="false">N(O944)+$N945</f>
        <v>110</v>
      </c>
      <c r="S945" s="10" t="str">
        <f aca="false">IFERROR(IF([1]对账明细接口!$N945=0,"",[1]对账明细接口!$N945),"")</f>
        <v/>
      </c>
      <c r="T945" s="112" t="str">
        <f aca="false">IFERROR(IF([1]对账明细接口!$O945=0,"",[1]对账明细接口!$O945),"")</f>
        <v/>
      </c>
      <c r="U945" s="112" t="str">
        <f aca="false">IFERROR(IF([1]对账明细接口!$P945=0,"",[1]对账明细接口!$P945),"")</f>
        <v/>
      </c>
      <c r="V945" s="112" t="str">
        <f aca="false">IFERROR(IF([1]对账明细接口!$Q945=0,"",[1]对账明细接口!$Q945),"")</f>
        <v/>
      </c>
      <c r="W945" s="10" t="str">
        <f aca="false">IFERROR(IF([1]对账明细接口!$R945=0,"",[1]对账明细接口!$R945),"")</f>
        <v/>
      </c>
      <c r="X945" s="10" t="str">
        <f aca="false">IFERROR(IF([1]对账明细接口!$S945=0,"",[1]对账明细接口!$S945),"")</f>
        <v/>
      </c>
      <c r="Y945" s="10" t="str">
        <f aca="false">""</f>
        <v/>
      </c>
      <c r="Z945" s="10" t="str">
        <f aca="false">""</f>
        <v/>
      </c>
      <c r="AA945" s="10" t="str">
        <f aca="false">""</f>
        <v/>
      </c>
      <c r="AB945" s="10" t="str">
        <f aca="false">""</f>
        <v/>
      </c>
    </row>
    <row r="946" customFormat="false" ht="13.5" hidden="false" customHeight="false" outlineLevel="0" collapsed="false">
      <c r="A946" s="109" t="n">
        <v>946</v>
      </c>
      <c r="B946" s="110" t="str">
        <f aca="false">IFERROR(IF([1]对账明细接口!$B$946=0,"",[1]对账明细接口!$B$946),"")</f>
        <v/>
      </c>
      <c r="C946" s="59" t="str">
        <f aca="false">IFERROR(IF([1]对账明细接口!$C$946=0,"",[1]对账明细接口!$C$946),"")</f>
        <v/>
      </c>
      <c r="D946" s="59" t="str">
        <f aca="false">IFERROR(IF([1]对账明细接口!$D$946=0,"",[1]对账明细接口!$D$946),"")</f>
        <v/>
      </c>
      <c r="E946" s="59" t="str">
        <f aca="false">IFERROR(IF([1]对账明细接口!$E$946=0,"",[1]对账明细接口!$E$946),"")</f>
        <v/>
      </c>
      <c r="F946" s="59" t="str">
        <f aca="false">IFERROR(IF([1]对账明细接口!$F$946=0,"",[1]对账明细接口!$F$946),"")</f>
        <v/>
      </c>
      <c r="G946" s="59" t="str">
        <f aca="false">IFERROR(IF([1]对账明细接口!$G$946=0,"",[1]对账明细接口!$G$946),"")</f>
        <v/>
      </c>
      <c r="H946" s="60" t="str">
        <f aca="false">IFERROR(IF([1]对账明细接口!$H$946=0,"",[1]对账明细接口!$H$946),"")</f>
        <v/>
      </c>
      <c r="I946" s="59" t="str">
        <f aca="false">IFERROR(IF([1]对账明细接口!$I$946=0,"",[1]对账明细接口!$I$946),"")</f>
        <v/>
      </c>
      <c r="J946" s="61" t="str">
        <f aca="false">IFERROR(IF([1]对账明细接口!$J$946=0,"",[1]对账明细接口!$J$946),"")</f>
        <v/>
      </c>
      <c r="K946" s="61" t="str">
        <f aca="false">IFERROR(IF([1]对账明细接口!$K$946=0,"",[1]对账明细接口!$K$946),"")</f>
        <v/>
      </c>
      <c r="L946" s="59" t="str">
        <f aca="false">IFERROR(IF([1]对账明细接口!$L$946=0,"",[1]对账明细接口!$L$946),"")</f>
        <v/>
      </c>
      <c r="M946" s="59" t="str">
        <f aca="false">IFERROR(IF([1]对账明细接口!$M$946=0,"",[1]对账明细接口!$M$946),"")</f>
        <v/>
      </c>
      <c r="N946" s="111" t="n">
        <f aca="false">IF($C946="",0,1)</f>
        <v>0</v>
      </c>
      <c r="O946" s="111" t="n">
        <f aca="false">N(O945)+$N946</f>
        <v>110</v>
      </c>
      <c r="S946" s="10" t="str">
        <f aca="false">IFERROR(IF([1]对账明细接口!$N946=0,"",[1]对账明细接口!$N946),"")</f>
        <v/>
      </c>
      <c r="T946" s="112" t="str">
        <f aca="false">IFERROR(IF([1]对账明细接口!$O946=0,"",[1]对账明细接口!$O946),"")</f>
        <v/>
      </c>
      <c r="U946" s="112" t="str">
        <f aca="false">IFERROR(IF([1]对账明细接口!$P946=0,"",[1]对账明细接口!$P946),"")</f>
        <v/>
      </c>
      <c r="V946" s="112" t="str">
        <f aca="false">IFERROR(IF([1]对账明细接口!$Q946=0,"",[1]对账明细接口!$Q946),"")</f>
        <v/>
      </c>
      <c r="W946" s="10" t="str">
        <f aca="false">IFERROR(IF([1]对账明细接口!$R946=0,"",[1]对账明细接口!$R946),"")</f>
        <v/>
      </c>
      <c r="X946" s="10" t="str">
        <f aca="false">IFERROR(IF([1]对账明细接口!$S946=0,"",[1]对账明细接口!$S946),"")</f>
        <v/>
      </c>
      <c r="Y946" s="10" t="str">
        <f aca="false">""</f>
        <v/>
      </c>
      <c r="Z946" s="10" t="str">
        <f aca="false">""</f>
        <v/>
      </c>
      <c r="AA946" s="10" t="str">
        <f aca="false">""</f>
        <v/>
      </c>
      <c r="AB946" s="10" t="str">
        <f aca="false">""</f>
        <v/>
      </c>
    </row>
    <row r="947" customFormat="false" ht="13.5" hidden="false" customHeight="false" outlineLevel="0" collapsed="false">
      <c r="A947" s="109" t="n">
        <v>947</v>
      </c>
      <c r="B947" s="110" t="str">
        <f aca="false">IFERROR(IF([1]对账明细接口!$B$947=0,"",[1]对账明细接口!$B$947),"")</f>
        <v/>
      </c>
      <c r="C947" s="59" t="str">
        <f aca="false">IFERROR(IF([1]对账明细接口!$C$947=0,"",[1]对账明细接口!$C$947),"")</f>
        <v/>
      </c>
      <c r="D947" s="59" t="str">
        <f aca="false">IFERROR(IF([1]对账明细接口!$D$947=0,"",[1]对账明细接口!$D$947),"")</f>
        <v/>
      </c>
      <c r="E947" s="59" t="str">
        <f aca="false">IFERROR(IF([1]对账明细接口!$E$947=0,"",[1]对账明细接口!$E$947),"")</f>
        <v/>
      </c>
      <c r="F947" s="59" t="str">
        <f aca="false">IFERROR(IF([1]对账明细接口!$F$947=0,"",[1]对账明细接口!$F$947),"")</f>
        <v/>
      </c>
      <c r="G947" s="59" t="str">
        <f aca="false">IFERROR(IF([1]对账明细接口!$G$947=0,"",[1]对账明细接口!$G$947),"")</f>
        <v/>
      </c>
      <c r="H947" s="60" t="str">
        <f aca="false">IFERROR(IF([1]对账明细接口!$H$947=0,"",[1]对账明细接口!$H$947),"")</f>
        <v/>
      </c>
      <c r="I947" s="59" t="str">
        <f aca="false">IFERROR(IF([1]对账明细接口!$I$947=0,"",[1]对账明细接口!$I$947),"")</f>
        <v/>
      </c>
      <c r="J947" s="61" t="str">
        <f aca="false">IFERROR(IF([1]对账明细接口!$J$947=0,"",[1]对账明细接口!$J$947),"")</f>
        <v/>
      </c>
      <c r="K947" s="61" t="str">
        <f aca="false">IFERROR(IF([1]对账明细接口!$K$947=0,"",[1]对账明细接口!$K$947),"")</f>
        <v/>
      </c>
      <c r="L947" s="59" t="str">
        <f aca="false">IFERROR(IF([1]对账明细接口!$L$947=0,"",[1]对账明细接口!$L$947),"")</f>
        <v/>
      </c>
      <c r="M947" s="59" t="str">
        <f aca="false">IFERROR(IF([1]对账明细接口!$M$947=0,"",[1]对账明细接口!$M$947),"")</f>
        <v/>
      </c>
      <c r="N947" s="111" t="n">
        <f aca="false">IF($C947="",0,1)</f>
        <v>0</v>
      </c>
      <c r="O947" s="111" t="n">
        <f aca="false">N(O946)+$N947</f>
        <v>110</v>
      </c>
      <c r="S947" s="10" t="str">
        <f aca="false">IFERROR(IF([1]对账明细接口!$N947=0,"",[1]对账明细接口!$N947),"")</f>
        <v/>
      </c>
      <c r="T947" s="112" t="str">
        <f aca="false">IFERROR(IF([1]对账明细接口!$O947=0,"",[1]对账明细接口!$O947),"")</f>
        <v/>
      </c>
      <c r="U947" s="112" t="str">
        <f aca="false">IFERROR(IF([1]对账明细接口!$P947=0,"",[1]对账明细接口!$P947),"")</f>
        <v/>
      </c>
      <c r="V947" s="112" t="str">
        <f aca="false">IFERROR(IF([1]对账明细接口!$Q947=0,"",[1]对账明细接口!$Q947),"")</f>
        <v/>
      </c>
      <c r="W947" s="10" t="str">
        <f aca="false">IFERROR(IF([1]对账明细接口!$R947=0,"",[1]对账明细接口!$R947),"")</f>
        <v/>
      </c>
      <c r="X947" s="10" t="str">
        <f aca="false">IFERROR(IF([1]对账明细接口!$S947=0,"",[1]对账明细接口!$S947),"")</f>
        <v/>
      </c>
      <c r="Y947" s="10" t="str">
        <f aca="false">""</f>
        <v/>
      </c>
      <c r="Z947" s="10" t="str">
        <f aca="false">""</f>
        <v/>
      </c>
      <c r="AA947" s="10" t="str">
        <f aca="false">""</f>
        <v/>
      </c>
      <c r="AB947" s="10" t="str">
        <f aca="false">""</f>
        <v/>
      </c>
    </row>
    <row r="948" customFormat="false" ht="13.5" hidden="false" customHeight="false" outlineLevel="0" collapsed="false">
      <c r="A948" s="109" t="n">
        <v>948</v>
      </c>
      <c r="B948" s="110" t="str">
        <f aca="false">IFERROR(IF([1]对账明细接口!$B$948=0,"",[1]对账明细接口!$B$948),"")</f>
        <v/>
      </c>
      <c r="C948" s="59" t="str">
        <f aca="false">IFERROR(IF([1]对账明细接口!$C$948=0,"",[1]对账明细接口!$C$948),"")</f>
        <v/>
      </c>
      <c r="D948" s="59" t="str">
        <f aca="false">IFERROR(IF([1]对账明细接口!$D$948=0,"",[1]对账明细接口!$D$948),"")</f>
        <v/>
      </c>
      <c r="E948" s="59" t="str">
        <f aca="false">IFERROR(IF([1]对账明细接口!$E$948=0,"",[1]对账明细接口!$E$948),"")</f>
        <v/>
      </c>
      <c r="F948" s="59" t="str">
        <f aca="false">IFERROR(IF([1]对账明细接口!$F$948=0,"",[1]对账明细接口!$F$948),"")</f>
        <v/>
      </c>
      <c r="G948" s="59" t="str">
        <f aca="false">IFERROR(IF([1]对账明细接口!$G$948=0,"",[1]对账明细接口!$G$948),"")</f>
        <v/>
      </c>
      <c r="H948" s="60" t="str">
        <f aca="false">IFERROR(IF([1]对账明细接口!$H$948=0,"",[1]对账明细接口!$H$948),"")</f>
        <v/>
      </c>
      <c r="I948" s="59" t="str">
        <f aca="false">IFERROR(IF([1]对账明细接口!$I$948=0,"",[1]对账明细接口!$I$948),"")</f>
        <v/>
      </c>
      <c r="J948" s="61" t="str">
        <f aca="false">IFERROR(IF([1]对账明细接口!$J$948=0,"",[1]对账明细接口!$J$948),"")</f>
        <v/>
      </c>
      <c r="K948" s="61" t="str">
        <f aca="false">IFERROR(IF([1]对账明细接口!$K$948=0,"",[1]对账明细接口!$K$948),"")</f>
        <v/>
      </c>
      <c r="L948" s="59" t="str">
        <f aca="false">IFERROR(IF([1]对账明细接口!$L$948=0,"",[1]对账明细接口!$L$948),"")</f>
        <v/>
      </c>
      <c r="M948" s="59" t="str">
        <f aca="false">IFERROR(IF([1]对账明细接口!$M$948=0,"",[1]对账明细接口!$M$948),"")</f>
        <v/>
      </c>
      <c r="N948" s="111" t="n">
        <f aca="false">IF($C948="",0,1)</f>
        <v>0</v>
      </c>
      <c r="O948" s="111" t="n">
        <f aca="false">N(O947)+$N948</f>
        <v>110</v>
      </c>
      <c r="S948" s="10" t="str">
        <f aca="false">IFERROR(IF([1]对账明细接口!$N948=0,"",[1]对账明细接口!$N948),"")</f>
        <v/>
      </c>
      <c r="T948" s="112" t="str">
        <f aca="false">IFERROR(IF([1]对账明细接口!$O948=0,"",[1]对账明细接口!$O948),"")</f>
        <v/>
      </c>
      <c r="U948" s="112" t="str">
        <f aca="false">IFERROR(IF([1]对账明细接口!$P948=0,"",[1]对账明细接口!$P948),"")</f>
        <v/>
      </c>
      <c r="V948" s="112" t="str">
        <f aca="false">IFERROR(IF([1]对账明细接口!$Q948=0,"",[1]对账明细接口!$Q948),"")</f>
        <v/>
      </c>
      <c r="W948" s="10" t="str">
        <f aca="false">IFERROR(IF([1]对账明细接口!$R948=0,"",[1]对账明细接口!$R948),"")</f>
        <v/>
      </c>
      <c r="X948" s="10" t="str">
        <f aca="false">IFERROR(IF([1]对账明细接口!$S948=0,"",[1]对账明细接口!$S948),"")</f>
        <v/>
      </c>
      <c r="Y948" s="10" t="str">
        <f aca="false">""</f>
        <v/>
      </c>
      <c r="Z948" s="10" t="str">
        <f aca="false">""</f>
        <v/>
      </c>
      <c r="AA948" s="10" t="str">
        <f aca="false">""</f>
        <v/>
      </c>
      <c r="AB948" s="10" t="str">
        <f aca="false">""</f>
        <v/>
      </c>
    </row>
    <row r="949" customFormat="false" ht="13.5" hidden="false" customHeight="false" outlineLevel="0" collapsed="false">
      <c r="A949" s="109" t="n">
        <v>949</v>
      </c>
      <c r="B949" s="110" t="str">
        <f aca="false">IFERROR(IF([1]对账明细接口!$B$949=0,"",[1]对账明细接口!$B$949),"")</f>
        <v/>
      </c>
      <c r="C949" s="59" t="str">
        <f aca="false">IFERROR(IF([1]对账明细接口!$C$949=0,"",[1]对账明细接口!$C$949),"")</f>
        <v/>
      </c>
      <c r="D949" s="59" t="str">
        <f aca="false">IFERROR(IF([1]对账明细接口!$D$949=0,"",[1]对账明细接口!$D$949),"")</f>
        <v/>
      </c>
      <c r="E949" s="59" t="str">
        <f aca="false">IFERROR(IF([1]对账明细接口!$E$949=0,"",[1]对账明细接口!$E$949),"")</f>
        <v/>
      </c>
      <c r="F949" s="59" t="str">
        <f aca="false">IFERROR(IF([1]对账明细接口!$F$949=0,"",[1]对账明细接口!$F$949),"")</f>
        <v/>
      </c>
      <c r="G949" s="59" t="str">
        <f aca="false">IFERROR(IF([1]对账明细接口!$G$949=0,"",[1]对账明细接口!$G$949),"")</f>
        <v/>
      </c>
      <c r="H949" s="60" t="str">
        <f aca="false">IFERROR(IF([1]对账明细接口!$H$949=0,"",[1]对账明细接口!$H$949),"")</f>
        <v/>
      </c>
      <c r="I949" s="59" t="str">
        <f aca="false">IFERROR(IF([1]对账明细接口!$I$949=0,"",[1]对账明细接口!$I$949),"")</f>
        <v/>
      </c>
      <c r="J949" s="61" t="str">
        <f aca="false">IFERROR(IF([1]对账明细接口!$J$949=0,"",[1]对账明细接口!$J$949),"")</f>
        <v/>
      </c>
      <c r="K949" s="61" t="str">
        <f aca="false">IFERROR(IF([1]对账明细接口!$K$949=0,"",[1]对账明细接口!$K$949),"")</f>
        <v/>
      </c>
      <c r="L949" s="59" t="str">
        <f aca="false">IFERROR(IF([1]对账明细接口!$L$949=0,"",[1]对账明细接口!$L$949),"")</f>
        <v/>
      </c>
      <c r="M949" s="59" t="str">
        <f aca="false">IFERROR(IF([1]对账明细接口!$M$949=0,"",[1]对账明细接口!$M$949),"")</f>
        <v/>
      </c>
      <c r="N949" s="111" t="n">
        <f aca="false">IF($C949="",0,1)</f>
        <v>0</v>
      </c>
      <c r="O949" s="111" t="n">
        <f aca="false">N(O948)+$N949</f>
        <v>110</v>
      </c>
      <c r="S949" s="10" t="str">
        <f aca="false">IFERROR(IF([1]对账明细接口!$N949=0,"",[1]对账明细接口!$N949),"")</f>
        <v/>
      </c>
      <c r="T949" s="112" t="str">
        <f aca="false">IFERROR(IF([1]对账明细接口!$O949=0,"",[1]对账明细接口!$O949),"")</f>
        <v/>
      </c>
      <c r="U949" s="112" t="str">
        <f aca="false">IFERROR(IF([1]对账明细接口!$P949=0,"",[1]对账明细接口!$P949),"")</f>
        <v/>
      </c>
      <c r="V949" s="112" t="str">
        <f aca="false">IFERROR(IF([1]对账明细接口!$Q949=0,"",[1]对账明细接口!$Q949),"")</f>
        <v/>
      </c>
      <c r="W949" s="10" t="str">
        <f aca="false">IFERROR(IF([1]对账明细接口!$R949=0,"",[1]对账明细接口!$R949),"")</f>
        <v/>
      </c>
      <c r="X949" s="10" t="str">
        <f aca="false">IFERROR(IF([1]对账明细接口!$S949=0,"",[1]对账明细接口!$S949),"")</f>
        <v/>
      </c>
      <c r="Y949" s="10" t="str">
        <f aca="false">""</f>
        <v/>
      </c>
      <c r="Z949" s="10" t="str">
        <f aca="false">""</f>
        <v/>
      </c>
      <c r="AA949" s="10" t="str">
        <f aca="false">""</f>
        <v/>
      </c>
      <c r="AB949" s="10" t="str">
        <f aca="false">""</f>
        <v/>
      </c>
    </row>
    <row r="950" customFormat="false" ht="13.5" hidden="false" customHeight="false" outlineLevel="0" collapsed="false">
      <c r="A950" s="109" t="n">
        <v>950</v>
      </c>
      <c r="B950" s="110" t="str">
        <f aca="false">IFERROR(IF([1]对账明细接口!$B$950=0,"",[1]对账明细接口!$B$950),"")</f>
        <v/>
      </c>
      <c r="C950" s="59" t="str">
        <f aca="false">IFERROR(IF([1]对账明细接口!$C$950=0,"",[1]对账明细接口!$C$950),"")</f>
        <v/>
      </c>
      <c r="D950" s="59" t="str">
        <f aca="false">IFERROR(IF([1]对账明细接口!$D$950=0,"",[1]对账明细接口!$D$950),"")</f>
        <v/>
      </c>
      <c r="E950" s="59" t="str">
        <f aca="false">IFERROR(IF([1]对账明细接口!$E$950=0,"",[1]对账明细接口!$E$950),"")</f>
        <v/>
      </c>
      <c r="F950" s="59" t="str">
        <f aca="false">IFERROR(IF([1]对账明细接口!$F$950=0,"",[1]对账明细接口!$F$950),"")</f>
        <v/>
      </c>
      <c r="G950" s="59" t="str">
        <f aca="false">IFERROR(IF([1]对账明细接口!$G$950=0,"",[1]对账明细接口!$G$950),"")</f>
        <v/>
      </c>
      <c r="H950" s="60" t="str">
        <f aca="false">IFERROR(IF([1]对账明细接口!$H$950=0,"",[1]对账明细接口!$H$950),"")</f>
        <v/>
      </c>
      <c r="I950" s="59" t="str">
        <f aca="false">IFERROR(IF([1]对账明细接口!$I$950=0,"",[1]对账明细接口!$I$950),"")</f>
        <v/>
      </c>
      <c r="J950" s="61" t="str">
        <f aca="false">IFERROR(IF([1]对账明细接口!$J$950=0,"",[1]对账明细接口!$J$950),"")</f>
        <v/>
      </c>
      <c r="K950" s="61" t="str">
        <f aca="false">IFERROR(IF([1]对账明细接口!$K$950=0,"",[1]对账明细接口!$K$950),"")</f>
        <v/>
      </c>
      <c r="L950" s="59" t="str">
        <f aca="false">IFERROR(IF([1]对账明细接口!$L$950=0,"",[1]对账明细接口!$L$950),"")</f>
        <v/>
      </c>
      <c r="M950" s="59" t="str">
        <f aca="false">IFERROR(IF([1]对账明细接口!$M$950=0,"",[1]对账明细接口!$M$950),"")</f>
        <v/>
      </c>
      <c r="N950" s="111" t="n">
        <f aca="false">IF($C950="",0,1)</f>
        <v>0</v>
      </c>
      <c r="O950" s="111" t="n">
        <f aca="false">N(O949)+$N950</f>
        <v>110</v>
      </c>
      <c r="S950" s="10" t="str">
        <f aca="false">IFERROR(IF([1]对账明细接口!$N950=0,"",[1]对账明细接口!$N950),"")</f>
        <v/>
      </c>
      <c r="T950" s="112" t="str">
        <f aca="false">IFERROR(IF([1]对账明细接口!$O950=0,"",[1]对账明细接口!$O950),"")</f>
        <v/>
      </c>
      <c r="U950" s="112" t="str">
        <f aca="false">IFERROR(IF([1]对账明细接口!$P950=0,"",[1]对账明细接口!$P950),"")</f>
        <v/>
      </c>
      <c r="V950" s="112" t="str">
        <f aca="false">IFERROR(IF([1]对账明细接口!$Q950=0,"",[1]对账明细接口!$Q950),"")</f>
        <v/>
      </c>
      <c r="W950" s="10" t="str">
        <f aca="false">IFERROR(IF([1]对账明细接口!$R950=0,"",[1]对账明细接口!$R950),"")</f>
        <v/>
      </c>
      <c r="X950" s="10" t="str">
        <f aca="false">IFERROR(IF([1]对账明细接口!$S950=0,"",[1]对账明细接口!$S950),"")</f>
        <v/>
      </c>
      <c r="Y950" s="10" t="str">
        <f aca="false">""</f>
        <v/>
      </c>
      <c r="Z950" s="10" t="str">
        <f aca="false">""</f>
        <v/>
      </c>
      <c r="AA950" s="10" t="str">
        <f aca="false">""</f>
        <v/>
      </c>
      <c r="AB950" s="10" t="str">
        <f aca="false">""</f>
        <v/>
      </c>
    </row>
    <row r="951" customFormat="false" ht="13.5" hidden="false" customHeight="false" outlineLevel="0" collapsed="false">
      <c r="A951" s="109" t="n">
        <v>951</v>
      </c>
      <c r="B951" s="110" t="str">
        <f aca="false">IFERROR(IF([1]对账明细接口!$B$951=0,"",[1]对账明细接口!$B$951),"")</f>
        <v/>
      </c>
      <c r="C951" s="59" t="str">
        <f aca="false">IFERROR(IF([1]对账明细接口!$C$951=0,"",[1]对账明细接口!$C$951),"")</f>
        <v/>
      </c>
      <c r="D951" s="59" t="str">
        <f aca="false">IFERROR(IF([1]对账明细接口!$D$951=0,"",[1]对账明细接口!$D$951),"")</f>
        <v/>
      </c>
      <c r="E951" s="59" t="str">
        <f aca="false">IFERROR(IF([1]对账明细接口!$E$951=0,"",[1]对账明细接口!$E$951),"")</f>
        <v/>
      </c>
      <c r="F951" s="59" t="str">
        <f aca="false">IFERROR(IF([1]对账明细接口!$F$951=0,"",[1]对账明细接口!$F$951),"")</f>
        <v/>
      </c>
      <c r="G951" s="59" t="str">
        <f aca="false">IFERROR(IF([1]对账明细接口!$G$951=0,"",[1]对账明细接口!$G$951),"")</f>
        <v/>
      </c>
      <c r="H951" s="60" t="str">
        <f aca="false">IFERROR(IF([1]对账明细接口!$H$951=0,"",[1]对账明细接口!$H$951),"")</f>
        <v/>
      </c>
      <c r="I951" s="59" t="str">
        <f aca="false">IFERROR(IF([1]对账明细接口!$I$951=0,"",[1]对账明细接口!$I$951),"")</f>
        <v/>
      </c>
      <c r="J951" s="61" t="str">
        <f aca="false">IFERROR(IF([1]对账明细接口!$J$951=0,"",[1]对账明细接口!$J$951),"")</f>
        <v/>
      </c>
      <c r="K951" s="61" t="str">
        <f aca="false">IFERROR(IF([1]对账明细接口!$K$951=0,"",[1]对账明细接口!$K$951),"")</f>
        <v/>
      </c>
      <c r="L951" s="59" t="str">
        <f aca="false">IFERROR(IF([1]对账明细接口!$L$951=0,"",[1]对账明细接口!$L$951),"")</f>
        <v/>
      </c>
      <c r="M951" s="59" t="str">
        <f aca="false">IFERROR(IF([1]对账明细接口!$M$951=0,"",[1]对账明细接口!$M$951),"")</f>
        <v/>
      </c>
      <c r="N951" s="111" t="n">
        <f aca="false">IF($C951="",0,1)</f>
        <v>0</v>
      </c>
      <c r="O951" s="111" t="n">
        <f aca="false">N(O950)+$N951</f>
        <v>110</v>
      </c>
      <c r="S951" s="10" t="str">
        <f aca="false">IFERROR(IF([1]对账明细接口!$N951=0,"",[1]对账明细接口!$N951),"")</f>
        <v/>
      </c>
      <c r="T951" s="112" t="str">
        <f aca="false">IFERROR(IF([1]对账明细接口!$O951=0,"",[1]对账明细接口!$O951),"")</f>
        <v/>
      </c>
      <c r="U951" s="112" t="str">
        <f aca="false">IFERROR(IF([1]对账明细接口!$P951=0,"",[1]对账明细接口!$P951),"")</f>
        <v/>
      </c>
      <c r="V951" s="112" t="str">
        <f aca="false">IFERROR(IF([1]对账明细接口!$Q951=0,"",[1]对账明细接口!$Q951),"")</f>
        <v/>
      </c>
      <c r="W951" s="10" t="str">
        <f aca="false">IFERROR(IF([1]对账明细接口!$R951=0,"",[1]对账明细接口!$R951),"")</f>
        <v/>
      </c>
      <c r="X951" s="10" t="str">
        <f aca="false">IFERROR(IF([1]对账明细接口!$S951=0,"",[1]对账明细接口!$S951),"")</f>
        <v/>
      </c>
      <c r="Y951" s="10" t="str">
        <f aca="false">""</f>
        <v/>
      </c>
      <c r="Z951" s="10" t="str">
        <f aca="false">""</f>
        <v/>
      </c>
      <c r="AA951" s="10" t="str">
        <f aca="false">""</f>
        <v/>
      </c>
      <c r="AB951" s="10" t="str">
        <f aca="false">""</f>
        <v/>
      </c>
    </row>
    <row r="952" customFormat="false" ht="13.5" hidden="false" customHeight="false" outlineLevel="0" collapsed="false">
      <c r="A952" s="109" t="n">
        <v>952</v>
      </c>
      <c r="B952" s="110" t="str">
        <f aca="false">IFERROR(IF([1]对账明细接口!$B$952=0,"",[1]对账明细接口!$B$952),"")</f>
        <v/>
      </c>
      <c r="C952" s="59" t="str">
        <f aca="false">IFERROR(IF([1]对账明细接口!$C$952=0,"",[1]对账明细接口!$C$952),"")</f>
        <v/>
      </c>
      <c r="D952" s="59" t="str">
        <f aca="false">IFERROR(IF([1]对账明细接口!$D$952=0,"",[1]对账明细接口!$D$952),"")</f>
        <v/>
      </c>
      <c r="E952" s="59" t="str">
        <f aca="false">IFERROR(IF([1]对账明细接口!$E$952=0,"",[1]对账明细接口!$E$952),"")</f>
        <v/>
      </c>
      <c r="F952" s="59" t="str">
        <f aca="false">IFERROR(IF([1]对账明细接口!$F$952=0,"",[1]对账明细接口!$F$952),"")</f>
        <v/>
      </c>
      <c r="G952" s="59" t="str">
        <f aca="false">IFERROR(IF([1]对账明细接口!$G$952=0,"",[1]对账明细接口!$G$952),"")</f>
        <v/>
      </c>
      <c r="H952" s="60" t="str">
        <f aca="false">IFERROR(IF([1]对账明细接口!$H$952=0,"",[1]对账明细接口!$H$952),"")</f>
        <v/>
      </c>
      <c r="I952" s="59" t="str">
        <f aca="false">IFERROR(IF([1]对账明细接口!$I$952=0,"",[1]对账明细接口!$I$952),"")</f>
        <v/>
      </c>
      <c r="J952" s="61" t="str">
        <f aca="false">IFERROR(IF([1]对账明细接口!$J$952=0,"",[1]对账明细接口!$J$952),"")</f>
        <v/>
      </c>
      <c r="K952" s="61" t="str">
        <f aca="false">IFERROR(IF([1]对账明细接口!$K$952=0,"",[1]对账明细接口!$K$952),"")</f>
        <v/>
      </c>
      <c r="L952" s="59" t="str">
        <f aca="false">IFERROR(IF([1]对账明细接口!$L$952=0,"",[1]对账明细接口!$L$952),"")</f>
        <v/>
      </c>
      <c r="M952" s="59" t="str">
        <f aca="false">IFERROR(IF([1]对账明细接口!$M$952=0,"",[1]对账明细接口!$M$952),"")</f>
        <v/>
      </c>
      <c r="N952" s="111" t="n">
        <f aca="false">IF($C952="",0,1)</f>
        <v>0</v>
      </c>
      <c r="O952" s="111" t="n">
        <f aca="false">N(O951)+$N952</f>
        <v>110</v>
      </c>
      <c r="S952" s="10" t="str">
        <f aca="false">IFERROR(IF([1]对账明细接口!$N952=0,"",[1]对账明细接口!$N952),"")</f>
        <v/>
      </c>
      <c r="T952" s="112" t="str">
        <f aca="false">IFERROR(IF([1]对账明细接口!$O952=0,"",[1]对账明细接口!$O952),"")</f>
        <v/>
      </c>
      <c r="U952" s="112" t="str">
        <f aca="false">IFERROR(IF([1]对账明细接口!$P952=0,"",[1]对账明细接口!$P952),"")</f>
        <v/>
      </c>
      <c r="V952" s="112" t="str">
        <f aca="false">IFERROR(IF([1]对账明细接口!$Q952=0,"",[1]对账明细接口!$Q952),"")</f>
        <v/>
      </c>
      <c r="W952" s="10" t="str">
        <f aca="false">IFERROR(IF([1]对账明细接口!$R952=0,"",[1]对账明细接口!$R952),"")</f>
        <v/>
      </c>
      <c r="X952" s="10" t="str">
        <f aca="false">IFERROR(IF([1]对账明细接口!$S952=0,"",[1]对账明细接口!$S952),"")</f>
        <v/>
      </c>
      <c r="Y952" s="10" t="str">
        <f aca="false">""</f>
        <v/>
      </c>
      <c r="Z952" s="10" t="str">
        <f aca="false">""</f>
        <v/>
      </c>
      <c r="AA952" s="10" t="str">
        <f aca="false">""</f>
        <v/>
      </c>
      <c r="AB952" s="10" t="str">
        <f aca="false">""</f>
        <v/>
      </c>
    </row>
    <row r="953" customFormat="false" ht="13.5" hidden="false" customHeight="false" outlineLevel="0" collapsed="false">
      <c r="A953" s="109" t="n">
        <v>953</v>
      </c>
      <c r="B953" s="110" t="str">
        <f aca="false">IFERROR(IF([1]对账明细接口!$B$953=0,"",[1]对账明细接口!$B$953),"")</f>
        <v/>
      </c>
      <c r="C953" s="59" t="str">
        <f aca="false">IFERROR(IF([1]对账明细接口!$C$953=0,"",[1]对账明细接口!$C$953),"")</f>
        <v/>
      </c>
      <c r="D953" s="59" t="str">
        <f aca="false">IFERROR(IF([1]对账明细接口!$D$953=0,"",[1]对账明细接口!$D$953),"")</f>
        <v/>
      </c>
      <c r="E953" s="59" t="str">
        <f aca="false">IFERROR(IF([1]对账明细接口!$E$953=0,"",[1]对账明细接口!$E$953),"")</f>
        <v/>
      </c>
      <c r="F953" s="59" t="str">
        <f aca="false">IFERROR(IF([1]对账明细接口!$F$953=0,"",[1]对账明细接口!$F$953),"")</f>
        <v/>
      </c>
      <c r="G953" s="59" t="str">
        <f aca="false">IFERROR(IF([1]对账明细接口!$G$953=0,"",[1]对账明细接口!$G$953),"")</f>
        <v/>
      </c>
      <c r="H953" s="60" t="str">
        <f aca="false">IFERROR(IF([1]对账明细接口!$H$953=0,"",[1]对账明细接口!$H$953),"")</f>
        <v/>
      </c>
      <c r="I953" s="59" t="str">
        <f aca="false">IFERROR(IF([1]对账明细接口!$I$953=0,"",[1]对账明细接口!$I$953),"")</f>
        <v/>
      </c>
      <c r="J953" s="61" t="str">
        <f aca="false">IFERROR(IF([1]对账明细接口!$J$953=0,"",[1]对账明细接口!$J$953),"")</f>
        <v/>
      </c>
      <c r="K953" s="61" t="str">
        <f aca="false">IFERROR(IF([1]对账明细接口!$K$953=0,"",[1]对账明细接口!$K$953),"")</f>
        <v/>
      </c>
      <c r="L953" s="59" t="str">
        <f aca="false">IFERROR(IF([1]对账明细接口!$L$953=0,"",[1]对账明细接口!$L$953),"")</f>
        <v/>
      </c>
      <c r="M953" s="59" t="str">
        <f aca="false">IFERROR(IF([1]对账明细接口!$M$953=0,"",[1]对账明细接口!$M$953),"")</f>
        <v/>
      </c>
      <c r="N953" s="111" t="n">
        <f aca="false">IF($C953="",0,1)</f>
        <v>0</v>
      </c>
      <c r="O953" s="111" t="n">
        <f aca="false">N(O952)+$N953</f>
        <v>110</v>
      </c>
      <c r="S953" s="10" t="str">
        <f aca="false">IFERROR(IF([1]对账明细接口!$N953=0,"",[1]对账明细接口!$N953),"")</f>
        <v/>
      </c>
      <c r="T953" s="112" t="str">
        <f aca="false">IFERROR(IF([1]对账明细接口!$O953=0,"",[1]对账明细接口!$O953),"")</f>
        <v/>
      </c>
      <c r="U953" s="112" t="str">
        <f aca="false">IFERROR(IF([1]对账明细接口!$P953=0,"",[1]对账明细接口!$P953),"")</f>
        <v/>
      </c>
      <c r="V953" s="112" t="str">
        <f aca="false">IFERROR(IF([1]对账明细接口!$Q953=0,"",[1]对账明细接口!$Q953),"")</f>
        <v/>
      </c>
      <c r="W953" s="10" t="str">
        <f aca="false">IFERROR(IF([1]对账明细接口!$R953=0,"",[1]对账明细接口!$R953),"")</f>
        <v/>
      </c>
      <c r="X953" s="10" t="str">
        <f aca="false">IFERROR(IF([1]对账明细接口!$S953=0,"",[1]对账明细接口!$S953),"")</f>
        <v/>
      </c>
      <c r="Y953" s="10" t="str">
        <f aca="false">""</f>
        <v/>
      </c>
      <c r="Z953" s="10" t="str">
        <f aca="false">""</f>
        <v/>
      </c>
      <c r="AA953" s="10" t="str">
        <f aca="false">""</f>
        <v/>
      </c>
      <c r="AB953" s="10" t="str">
        <f aca="false">""</f>
        <v/>
      </c>
    </row>
    <row r="954" customFormat="false" ht="13.5" hidden="false" customHeight="false" outlineLevel="0" collapsed="false">
      <c r="A954" s="109" t="n">
        <v>954</v>
      </c>
      <c r="B954" s="110" t="str">
        <f aca="false">IFERROR(IF([1]对账明细接口!$B$954=0,"",[1]对账明细接口!$B$954),"")</f>
        <v/>
      </c>
      <c r="C954" s="59" t="str">
        <f aca="false">IFERROR(IF([1]对账明细接口!$C$954=0,"",[1]对账明细接口!$C$954),"")</f>
        <v/>
      </c>
      <c r="D954" s="59" t="str">
        <f aca="false">IFERROR(IF([1]对账明细接口!$D$954=0,"",[1]对账明细接口!$D$954),"")</f>
        <v/>
      </c>
      <c r="E954" s="59" t="str">
        <f aca="false">IFERROR(IF([1]对账明细接口!$E$954=0,"",[1]对账明细接口!$E$954),"")</f>
        <v/>
      </c>
      <c r="F954" s="59" t="str">
        <f aca="false">IFERROR(IF([1]对账明细接口!$F$954=0,"",[1]对账明细接口!$F$954),"")</f>
        <v/>
      </c>
      <c r="G954" s="59" t="str">
        <f aca="false">IFERROR(IF([1]对账明细接口!$G$954=0,"",[1]对账明细接口!$G$954),"")</f>
        <v/>
      </c>
      <c r="H954" s="60" t="str">
        <f aca="false">IFERROR(IF([1]对账明细接口!$H$954=0,"",[1]对账明细接口!$H$954),"")</f>
        <v/>
      </c>
      <c r="I954" s="59" t="str">
        <f aca="false">IFERROR(IF([1]对账明细接口!$I$954=0,"",[1]对账明细接口!$I$954),"")</f>
        <v/>
      </c>
      <c r="J954" s="61" t="str">
        <f aca="false">IFERROR(IF([1]对账明细接口!$J$954=0,"",[1]对账明细接口!$J$954),"")</f>
        <v/>
      </c>
      <c r="K954" s="61" t="str">
        <f aca="false">IFERROR(IF([1]对账明细接口!$K$954=0,"",[1]对账明细接口!$K$954),"")</f>
        <v/>
      </c>
      <c r="L954" s="59" t="str">
        <f aca="false">IFERROR(IF([1]对账明细接口!$L$954=0,"",[1]对账明细接口!$L$954),"")</f>
        <v/>
      </c>
      <c r="M954" s="59" t="str">
        <f aca="false">IFERROR(IF([1]对账明细接口!$M$954=0,"",[1]对账明细接口!$M$954),"")</f>
        <v/>
      </c>
      <c r="N954" s="111" t="n">
        <f aca="false">IF($C954="",0,1)</f>
        <v>0</v>
      </c>
      <c r="O954" s="111" t="n">
        <f aca="false">N(O953)+$N954</f>
        <v>110</v>
      </c>
      <c r="S954" s="10" t="str">
        <f aca="false">IFERROR(IF([1]对账明细接口!$N954=0,"",[1]对账明细接口!$N954),"")</f>
        <v/>
      </c>
      <c r="T954" s="112" t="str">
        <f aca="false">IFERROR(IF([1]对账明细接口!$O954=0,"",[1]对账明细接口!$O954),"")</f>
        <v/>
      </c>
      <c r="U954" s="112" t="str">
        <f aca="false">IFERROR(IF([1]对账明细接口!$P954=0,"",[1]对账明细接口!$P954),"")</f>
        <v/>
      </c>
      <c r="V954" s="112" t="str">
        <f aca="false">IFERROR(IF([1]对账明细接口!$Q954=0,"",[1]对账明细接口!$Q954),"")</f>
        <v/>
      </c>
      <c r="W954" s="10" t="str">
        <f aca="false">IFERROR(IF([1]对账明细接口!$R954=0,"",[1]对账明细接口!$R954),"")</f>
        <v/>
      </c>
      <c r="X954" s="10" t="str">
        <f aca="false">IFERROR(IF([1]对账明细接口!$S954=0,"",[1]对账明细接口!$S954),"")</f>
        <v/>
      </c>
      <c r="Y954" s="10" t="str">
        <f aca="false">""</f>
        <v/>
      </c>
      <c r="Z954" s="10" t="str">
        <f aca="false">""</f>
        <v/>
      </c>
      <c r="AA954" s="10" t="str">
        <f aca="false">""</f>
        <v/>
      </c>
      <c r="AB954" s="10" t="str">
        <f aca="false">""</f>
        <v/>
      </c>
    </row>
    <row r="955" customFormat="false" ht="13.5" hidden="false" customHeight="false" outlineLevel="0" collapsed="false">
      <c r="A955" s="109" t="n">
        <v>955</v>
      </c>
      <c r="B955" s="110" t="str">
        <f aca="false">IFERROR(IF([1]对账明细接口!$B$955=0,"",[1]对账明细接口!$B$955),"")</f>
        <v/>
      </c>
      <c r="C955" s="59" t="str">
        <f aca="false">IFERROR(IF([1]对账明细接口!$C$955=0,"",[1]对账明细接口!$C$955),"")</f>
        <v/>
      </c>
      <c r="D955" s="59" t="str">
        <f aca="false">IFERROR(IF([1]对账明细接口!$D$955=0,"",[1]对账明细接口!$D$955),"")</f>
        <v/>
      </c>
      <c r="E955" s="59" t="str">
        <f aca="false">IFERROR(IF([1]对账明细接口!$E$955=0,"",[1]对账明细接口!$E$955),"")</f>
        <v/>
      </c>
      <c r="F955" s="59" t="str">
        <f aca="false">IFERROR(IF([1]对账明细接口!$F$955=0,"",[1]对账明细接口!$F$955),"")</f>
        <v/>
      </c>
      <c r="G955" s="59" t="str">
        <f aca="false">IFERROR(IF([1]对账明细接口!$G$955=0,"",[1]对账明细接口!$G$955),"")</f>
        <v/>
      </c>
      <c r="H955" s="60" t="str">
        <f aca="false">IFERROR(IF([1]对账明细接口!$H$955=0,"",[1]对账明细接口!$H$955),"")</f>
        <v/>
      </c>
      <c r="I955" s="59" t="str">
        <f aca="false">IFERROR(IF([1]对账明细接口!$I$955=0,"",[1]对账明细接口!$I$955),"")</f>
        <v/>
      </c>
      <c r="J955" s="61" t="str">
        <f aca="false">IFERROR(IF([1]对账明细接口!$J$955=0,"",[1]对账明细接口!$J$955),"")</f>
        <v/>
      </c>
      <c r="K955" s="61" t="str">
        <f aca="false">IFERROR(IF([1]对账明细接口!$K$955=0,"",[1]对账明细接口!$K$955),"")</f>
        <v/>
      </c>
      <c r="L955" s="59" t="str">
        <f aca="false">IFERROR(IF([1]对账明细接口!$L$955=0,"",[1]对账明细接口!$L$955),"")</f>
        <v/>
      </c>
      <c r="M955" s="59" t="str">
        <f aca="false">IFERROR(IF([1]对账明细接口!$M$955=0,"",[1]对账明细接口!$M$955),"")</f>
        <v/>
      </c>
      <c r="N955" s="111" t="n">
        <f aca="false">IF($C955="",0,1)</f>
        <v>0</v>
      </c>
      <c r="O955" s="111" t="n">
        <f aca="false">N(O954)+$N955</f>
        <v>110</v>
      </c>
      <c r="S955" s="10" t="str">
        <f aca="false">IFERROR(IF([1]对账明细接口!$N955=0,"",[1]对账明细接口!$N955),"")</f>
        <v/>
      </c>
      <c r="T955" s="112" t="str">
        <f aca="false">IFERROR(IF([1]对账明细接口!$O955=0,"",[1]对账明细接口!$O955),"")</f>
        <v/>
      </c>
      <c r="U955" s="112" t="str">
        <f aca="false">IFERROR(IF([1]对账明细接口!$P955=0,"",[1]对账明细接口!$P955),"")</f>
        <v/>
      </c>
      <c r="V955" s="112" t="str">
        <f aca="false">IFERROR(IF([1]对账明细接口!$Q955=0,"",[1]对账明细接口!$Q955),"")</f>
        <v/>
      </c>
      <c r="W955" s="10" t="str">
        <f aca="false">IFERROR(IF([1]对账明细接口!$R955=0,"",[1]对账明细接口!$R955),"")</f>
        <v/>
      </c>
      <c r="X955" s="10" t="str">
        <f aca="false">IFERROR(IF([1]对账明细接口!$S955=0,"",[1]对账明细接口!$S955),"")</f>
        <v/>
      </c>
      <c r="Y955" s="10" t="str">
        <f aca="false">""</f>
        <v/>
      </c>
      <c r="Z955" s="10" t="str">
        <f aca="false">""</f>
        <v/>
      </c>
      <c r="AA955" s="10" t="str">
        <f aca="false">""</f>
        <v/>
      </c>
      <c r="AB955" s="10" t="str">
        <f aca="false">""</f>
        <v/>
      </c>
    </row>
    <row r="956" customFormat="false" ht="13.5" hidden="false" customHeight="false" outlineLevel="0" collapsed="false">
      <c r="A956" s="109" t="n">
        <v>956</v>
      </c>
      <c r="B956" s="110" t="str">
        <f aca="false">IFERROR(IF([1]对账明细接口!$B$956=0,"",[1]对账明细接口!$B$956),"")</f>
        <v/>
      </c>
      <c r="C956" s="59" t="str">
        <f aca="false">IFERROR(IF([1]对账明细接口!$C$956=0,"",[1]对账明细接口!$C$956),"")</f>
        <v/>
      </c>
      <c r="D956" s="59" t="str">
        <f aca="false">IFERROR(IF([1]对账明细接口!$D$956=0,"",[1]对账明细接口!$D$956),"")</f>
        <v/>
      </c>
      <c r="E956" s="59" t="str">
        <f aca="false">IFERROR(IF([1]对账明细接口!$E$956=0,"",[1]对账明细接口!$E$956),"")</f>
        <v/>
      </c>
      <c r="F956" s="59" t="str">
        <f aca="false">IFERROR(IF([1]对账明细接口!$F$956=0,"",[1]对账明细接口!$F$956),"")</f>
        <v/>
      </c>
      <c r="G956" s="59" t="str">
        <f aca="false">IFERROR(IF([1]对账明细接口!$G$956=0,"",[1]对账明细接口!$G$956),"")</f>
        <v/>
      </c>
      <c r="H956" s="60" t="str">
        <f aca="false">IFERROR(IF([1]对账明细接口!$H$956=0,"",[1]对账明细接口!$H$956),"")</f>
        <v/>
      </c>
      <c r="I956" s="59" t="str">
        <f aca="false">IFERROR(IF([1]对账明细接口!$I$956=0,"",[1]对账明细接口!$I$956),"")</f>
        <v/>
      </c>
      <c r="J956" s="61" t="str">
        <f aca="false">IFERROR(IF([1]对账明细接口!$J$956=0,"",[1]对账明细接口!$J$956),"")</f>
        <v/>
      </c>
      <c r="K956" s="61" t="str">
        <f aca="false">IFERROR(IF([1]对账明细接口!$K$956=0,"",[1]对账明细接口!$K$956),"")</f>
        <v/>
      </c>
      <c r="L956" s="59" t="str">
        <f aca="false">IFERROR(IF([1]对账明细接口!$L$956=0,"",[1]对账明细接口!$L$956),"")</f>
        <v/>
      </c>
      <c r="M956" s="59" t="str">
        <f aca="false">IFERROR(IF([1]对账明细接口!$M$956=0,"",[1]对账明细接口!$M$956),"")</f>
        <v/>
      </c>
      <c r="N956" s="111" t="n">
        <f aca="false">IF($C956="",0,1)</f>
        <v>0</v>
      </c>
      <c r="O956" s="111" t="n">
        <f aca="false">N(O955)+$N956</f>
        <v>110</v>
      </c>
      <c r="S956" s="10" t="str">
        <f aca="false">IFERROR(IF([1]对账明细接口!$N956=0,"",[1]对账明细接口!$N956),"")</f>
        <v/>
      </c>
      <c r="T956" s="112" t="str">
        <f aca="false">IFERROR(IF([1]对账明细接口!$O956=0,"",[1]对账明细接口!$O956),"")</f>
        <v/>
      </c>
      <c r="U956" s="112" t="str">
        <f aca="false">IFERROR(IF([1]对账明细接口!$P956=0,"",[1]对账明细接口!$P956),"")</f>
        <v/>
      </c>
      <c r="V956" s="112" t="str">
        <f aca="false">IFERROR(IF([1]对账明细接口!$Q956=0,"",[1]对账明细接口!$Q956),"")</f>
        <v/>
      </c>
      <c r="W956" s="10" t="str">
        <f aca="false">IFERROR(IF([1]对账明细接口!$R956=0,"",[1]对账明细接口!$R956),"")</f>
        <v/>
      </c>
      <c r="X956" s="10" t="str">
        <f aca="false">IFERROR(IF([1]对账明细接口!$S956=0,"",[1]对账明细接口!$S956),"")</f>
        <v/>
      </c>
      <c r="Y956" s="10" t="str">
        <f aca="false">""</f>
        <v/>
      </c>
      <c r="Z956" s="10" t="str">
        <f aca="false">""</f>
        <v/>
      </c>
      <c r="AA956" s="10" t="str">
        <f aca="false">""</f>
        <v/>
      </c>
      <c r="AB956" s="10" t="str">
        <f aca="false">""</f>
        <v/>
      </c>
    </row>
    <row r="957" customFormat="false" ht="13.5" hidden="false" customHeight="false" outlineLevel="0" collapsed="false">
      <c r="A957" s="109" t="n">
        <v>957</v>
      </c>
      <c r="B957" s="110" t="str">
        <f aca="false">IFERROR(IF([1]对账明细接口!$B$957=0,"",[1]对账明细接口!$B$957),"")</f>
        <v/>
      </c>
      <c r="C957" s="59" t="str">
        <f aca="false">IFERROR(IF([1]对账明细接口!$C$957=0,"",[1]对账明细接口!$C$957),"")</f>
        <v/>
      </c>
      <c r="D957" s="59" t="str">
        <f aca="false">IFERROR(IF([1]对账明细接口!$D$957=0,"",[1]对账明细接口!$D$957),"")</f>
        <v/>
      </c>
      <c r="E957" s="59" t="str">
        <f aca="false">IFERROR(IF([1]对账明细接口!$E$957=0,"",[1]对账明细接口!$E$957),"")</f>
        <v/>
      </c>
      <c r="F957" s="59" t="str">
        <f aca="false">IFERROR(IF([1]对账明细接口!$F$957=0,"",[1]对账明细接口!$F$957),"")</f>
        <v/>
      </c>
      <c r="G957" s="59" t="str">
        <f aca="false">IFERROR(IF([1]对账明细接口!$G$957=0,"",[1]对账明细接口!$G$957),"")</f>
        <v/>
      </c>
      <c r="H957" s="60" t="str">
        <f aca="false">IFERROR(IF([1]对账明细接口!$H$957=0,"",[1]对账明细接口!$H$957),"")</f>
        <v/>
      </c>
      <c r="I957" s="59" t="str">
        <f aca="false">IFERROR(IF([1]对账明细接口!$I$957=0,"",[1]对账明细接口!$I$957),"")</f>
        <v/>
      </c>
      <c r="J957" s="61" t="str">
        <f aca="false">IFERROR(IF([1]对账明细接口!$J$957=0,"",[1]对账明细接口!$J$957),"")</f>
        <v/>
      </c>
      <c r="K957" s="61" t="str">
        <f aca="false">IFERROR(IF([1]对账明细接口!$K$957=0,"",[1]对账明细接口!$K$957),"")</f>
        <v/>
      </c>
      <c r="L957" s="59" t="str">
        <f aca="false">IFERROR(IF([1]对账明细接口!$L$957=0,"",[1]对账明细接口!$L$957),"")</f>
        <v/>
      </c>
      <c r="M957" s="59" t="str">
        <f aca="false">IFERROR(IF([1]对账明细接口!$M$957=0,"",[1]对账明细接口!$M$957),"")</f>
        <v/>
      </c>
      <c r="N957" s="111" t="n">
        <f aca="false">IF($C957="",0,1)</f>
        <v>0</v>
      </c>
      <c r="O957" s="111" t="n">
        <f aca="false">N(O956)+$N957</f>
        <v>110</v>
      </c>
      <c r="S957" s="10" t="str">
        <f aca="false">IFERROR(IF([1]对账明细接口!$N957=0,"",[1]对账明细接口!$N957),"")</f>
        <v/>
      </c>
      <c r="T957" s="112" t="str">
        <f aca="false">IFERROR(IF([1]对账明细接口!$O957=0,"",[1]对账明细接口!$O957),"")</f>
        <v/>
      </c>
      <c r="U957" s="112" t="str">
        <f aca="false">IFERROR(IF([1]对账明细接口!$P957=0,"",[1]对账明细接口!$P957),"")</f>
        <v/>
      </c>
      <c r="V957" s="112" t="str">
        <f aca="false">IFERROR(IF([1]对账明细接口!$Q957=0,"",[1]对账明细接口!$Q957),"")</f>
        <v/>
      </c>
      <c r="W957" s="10" t="str">
        <f aca="false">IFERROR(IF([1]对账明细接口!$R957=0,"",[1]对账明细接口!$R957),"")</f>
        <v/>
      </c>
      <c r="X957" s="10" t="str">
        <f aca="false">IFERROR(IF([1]对账明细接口!$S957=0,"",[1]对账明细接口!$S957),"")</f>
        <v/>
      </c>
      <c r="Y957" s="10" t="str">
        <f aca="false">""</f>
        <v/>
      </c>
      <c r="Z957" s="10" t="str">
        <f aca="false">""</f>
        <v/>
      </c>
      <c r="AA957" s="10" t="str">
        <f aca="false">""</f>
        <v/>
      </c>
      <c r="AB957" s="10" t="str">
        <f aca="false">""</f>
        <v/>
      </c>
    </row>
    <row r="958" customFormat="false" ht="13.5" hidden="false" customHeight="false" outlineLevel="0" collapsed="false">
      <c r="A958" s="109" t="n">
        <v>958</v>
      </c>
      <c r="B958" s="110" t="str">
        <f aca="false">IFERROR(IF([1]对账明细接口!$B$958=0,"",[1]对账明细接口!$B$958),"")</f>
        <v/>
      </c>
      <c r="C958" s="59" t="str">
        <f aca="false">IFERROR(IF([1]对账明细接口!$C$958=0,"",[1]对账明细接口!$C$958),"")</f>
        <v/>
      </c>
      <c r="D958" s="59" t="str">
        <f aca="false">IFERROR(IF([1]对账明细接口!$D$958=0,"",[1]对账明细接口!$D$958),"")</f>
        <v/>
      </c>
      <c r="E958" s="59" t="str">
        <f aca="false">IFERROR(IF([1]对账明细接口!$E$958=0,"",[1]对账明细接口!$E$958),"")</f>
        <v/>
      </c>
      <c r="F958" s="59" t="str">
        <f aca="false">IFERROR(IF([1]对账明细接口!$F$958=0,"",[1]对账明细接口!$F$958),"")</f>
        <v/>
      </c>
      <c r="G958" s="59" t="str">
        <f aca="false">IFERROR(IF([1]对账明细接口!$G$958=0,"",[1]对账明细接口!$G$958),"")</f>
        <v/>
      </c>
      <c r="H958" s="60" t="str">
        <f aca="false">IFERROR(IF([1]对账明细接口!$H$958=0,"",[1]对账明细接口!$H$958),"")</f>
        <v/>
      </c>
      <c r="I958" s="59" t="str">
        <f aca="false">IFERROR(IF([1]对账明细接口!$I$958=0,"",[1]对账明细接口!$I$958),"")</f>
        <v/>
      </c>
      <c r="J958" s="61" t="str">
        <f aca="false">IFERROR(IF([1]对账明细接口!$J$958=0,"",[1]对账明细接口!$J$958),"")</f>
        <v/>
      </c>
      <c r="K958" s="61" t="str">
        <f aca="false">IFERROR(IF([1]对账明细接口!$K$958=0,"",[1]对账明细接口!$K$958),"")</f>
        <v/>
      </c>
      <c r="L958" s="59" t="str">
        <f aca="false">IFERROR(IF([1]对账明细接口!$L$958=0,"",[1]对账明细接口!$L$958),"")</f>
        <v/>
      </c>
      <c r="M958" s="59" t="str">
        <f aca="false">IFERROR(IF([1]对账明细接口!$M$958=0,"",[1]对账明细接口!$M$958),"")</f>
        <v/>
      </c>
      <c r="N958" s="111" t="n">
        <f aca="false">IF($C958="",0,1)</f>
        <v>0</v>
      </c>
      <c r="O958" s="111" t="n">
        <f aca="false">N(O957)+$N958</f>
        <v>110</v>
      </c>
      <c r="S958" s="10" t="str">
        <f aca="false">IFERROR(IF([1]对账明细接口!$N958=0,"",[1]对账明细接口!$N958),"")</f>
        <v/>
      </c>
      <c r="T958" s="112" t="str">
        <f aca="false">IFERROR(IF([1]对账明细接口!$O958=0,"",[1]对账明细接口!$O958),"")</f>
        <v/>
      </c>
      <c r="U958" s="112" t="str">
        <f aca="false">IFERROR(IF([1]对账明细接口!$P958=0,"",[1]对账明细接口!$P958),"")</f>
        <v/>
      </c>
      <c r="V958" s="112" t="str">
        <f aca="false">IFERROR(IF([1]对账明细接口!$Q958=0,"",[1]对账明细接口!$Q958),"")</f>
        <v/>
      </c>
      <c r="W958" s="10" t="str">
        <f aca="false">IFERROR(IF([1]对账明细接口!$R958=0,"",[1]对账明细接口!$R958),"")</f>
        <v/>
      </c>
      <c r="X958" s="10" t="str">
        <f aca="false">IFERROR(IF([1]对账明细接口!$S958=0,"",[1]对账明细接口!$S958),"")</f>
        <v/>
      </c>
      <c r="Y958" s="10" t="str">
        <f aca="false">""</f>
        <v/>
      </c>
      <c r="Z958" s="10" t="str">
        <f aca="false">""</f>
        <v/>
      </c>
      <c r="AA958" s="10" t="str">
        <f aca="false">""</f>
        <v/>
      </c>
      <c r="AB958" s="10" t="str">
        <f aca="false">""</f>
        <v/>
      </c>
    </row>
    <row r="959" customFormat="false" ht="13.5" hidden="false" customHeight="false" outlineLevel="0" collapsed="false">
      <c r="A959" s="109" t="n">
        <v>959</v>
      </c>
      <c r="B959" s="110" t="str">
        <f aca="false">IFERROR(IF([1]对账明细接口!$B$959=0,"",[1]对账明细接口!$B$959),"")</f>
        <v/>
      </c>
      <c r="C959" s="59" t="str">
        <f aca="false">IFERROR(IF([1]对账明细接口!$C$959=0,"",[1]对账明细接口!$C$959),"")</f>
        <v/>
      </c>
      <c r="D959" s="59" t="str">
        <f aca="false">IFERROR(IF([1]对账明细接口!$D$959=0,"",[1]对账明细接口!$D$959),"")</f>
        <v/>
      </c>
      <c r="E959" s="59" t="str">
        <f aca="false">IFERROR(IF([1]对账明细接口!$E$959=0,"",[1]对账明细接口!$E$959),"")</f>
        <v/>
      </c>
      <c r="F959" s="59" t="str">
        <f aca="false">IFERROR(IF([1]对账明细接口!$F$959=0,"",[1]对账明细接口!$F$959),"")</f>
        <v/>
      </c>
      <c r="G959" s="59" t="str">
        <f aca="false">IFERROR(IF([1]对账明细接口!$G$959=0,"",[1]对账明细接口!$G$959),"")</f>
        <v/>
      </c>
      <c r="H959" s="60" t="str">
        <f aca="false">IFERROR(IF([1]对账明细接口!$H$959=0,"",[1]对账明细接口!$H$959),"")</f>
        <v/>
      </c>
      <c r="I959" s="59" t="str">
        <f aca="false">IFERROR(IF([1]对账明细接口!$I$959=0,"",[1]对账明细接口!$I$959),"")</f>
        <v/>
      </c>
      <c r="J959" s="61" t="str">
        <f aca="false">IFERROR(IF([1]对账明细接口!$J$959=0,"",[1]对账明细接口!$J$959),"")</f>
        <v/>
      </c>
      <c r="K959" s="61" t="str">
        <f aca="false">IFERROR(IF([1]对账明细接口!$K$959=0,"",[1]对账明细接口!$K$959),"")</f>
        <v/>
      </c>
      <c r="L959" s="59" t="str">
        <f aca="false">IFERROR(IF([1]对账明细接口!$L$959=0,"",[1]对账明细接口!$L$959),"")</f>
        <v/>
      </c>
      <c r="M959" s="59" t="str">
        <f aca="false">IFERROR(IF([1]对账明细接口!$M$959=0,"",[1]对账明细接口!$M$959),"")</f>
        <v/>
      </c>
      <c r="N959" s="111" t="n">
        <f aca="false">IF($C959="",0,1)</f>
        <v>0</v>
      </c>
      <c r="O959" s="111" t="n">
        <f aca="false">N(O958)+$N959</f>
        <v>110</v>
      </c>
      <c r="S959" s="10" t="str">
        <f aca="false">IFERROR(IF([1]对账明细接口!$N959=0,"",[1]对账明细接口!$N959),"")</f>
        <v/>
      </c>
      <c r="T959" s="112" t="str">
        <f aca="false">IFERROR(IF([1]对账明细接口!$O959=0,"",[1]对账明细接口!$O959),"")</f>
        <v/>
      </c>
      <c r="U959" s="112" t="str">
        <f aca="false">IFERROR(IF([1]对账明细接口!$P959=0,"",[1]对账明细接口!$P959),"")</f>
        <v/>
      </c>
      <c r="V959" s="112" t="str">
        <f aca="false">IFERROR(IF([1]对账明细接口!$Q959=0,"",[1]对账明细接口!$Q959),"")</f>
        <v/>
      </c>
      <c r="W959" s="10" t="str">
        <f aca="false">IFERROR(IF([1]对账明细接口!$R959=0,"",[1]对账明细接口!$R959),"")</f>
        <v/>
      </c>
      <c r="X959" s="10" t="str">
        <f aca="false">IFERROR(IF([1]对账明细接口!$S959=0,"",[1]对账明细接口!$S959),"")</f>
        <v/>
      </c>
      <c r="Y959" s="10" t="str">
        <f aca="false">""</f>
        <v/>
      </c>
      <c r="Z959" s="10" t="str">
        <f aca="false">""</f>
        <v/>
      </c>
      <c r="AA959" s="10" t="str">
        <f aca="false">""</f>
        <v/>
      </c>
      <c r="AB959" s="10" t="str">
        <f aca="false">""</f>
        <v/>
      </c>
    </row>
    <row r="960" customFormat="false" ht="13.5" hidden="false" customHeight="false" outlineLevel="0" collapsed="false">
      <c r="A960" s="109" t="n">
        <v>960</v>
      </c>
      <c r="B960" s="110" t="str">
        <f aca="false">IFERROR(IF([1]对账明细接口!$B$960=0,"",[1]对账明细接口!$B$960),"")</f>
        <v/>
      </c>
      <c r="C960" s="59" t="str">
        <f aca="false">IFERROR(IF([1]对账明细接口!$C$960=0,"",[1]对账明细接口!$C$960),"")</f>
        <v/>
      </c>
      <c r="D960" s="59" t="str">
        <f aca="false">IFERROR(IF([1]对账明细接口!$D$960=0,"",[1]对账明细接口!$D$960),"")</f>
        <v/>
      </c>
      <c r="E960" s="59" t="str">
        <f aca="false">IFERROR(IF([1]对账明细接口!$E$960=0,"",[1]对账明细接口!$E$960),"")</f>
        <v/>
      </c>
      <c r="F960" s="59" t="str">
        <f aca="false">IFERROR(IF([1]对账明细接口!$F$960=0,"",[1]对账明细接口!$F$960),"")</f>
        <v/>
      </c>
      <c r="G960" s="59" t="str">
        <f aca="false">IFERROR(IF([1]对账明细接口!$G$960=0,"",[1]对账明细接口!$G$960),"")</f>
        <v/>
      </c>
      <c r="H960" s="60" t="str">
        <f aca="false">IFERROR(IF([1]对账明细接口!$H$960=0,"",[1]对账明细接口!$H$960),"")</f>
        <v/>
      </c>
      <c r="I960" s="59" t="str">
        <f aca="false">IFERROR(IF([1]对账明细接口!$I$960=0,"",[1]对账明细接口!$I$960),"")</f>
        <v/>
      </c>
      <c r="J960" s="61" t="str">
        <f aca="false">IFERROR(IF([1]对账明细接口!$J$960=0,"",[1]对账明细接口!$J$960),"")</f>
        <v/>
      </c>
      <c r="K960" s="61" t="str">
        <f aca="false">IFERROR(IF([1]对账明细接口!$K$960=0,"",[1]对账明细接口!$K$960),"")</f>
        <v/>
      </c>
      <c r="L960" s="59" t="str">
        <f aca="false">IFERROR(IF([1]对账明细接口!$L$960=0,"",[1]对账明细接口!$L$960),"")</f>
        <v/>
      </c>
      <c r="M960" s="59" t="str">
        <f aca="false">IFERROR(IF([1]对账明细接口!$M$960=0,"",[1]对账明细接口!$M$960),"")</f>
        <v/>
      </c>
      <c r="N960" s="111" t="n">
        <f aca="false">IF($C960="",0,1)</f>
        <v>0</v>
      </c>
      <c r="O960" s="111" t="n">
        <f aca="false">N(O959)+$N960</f>
        <v>110</v>
      </c>
      <c r="S960" s="10" t="str">
        <f aca="false">IFERROR(IF([1]对账明细接口!$N960=0,"",[1]对账明细接口!$N960),"")</f>
        <v/>
      </c>
      <c r="T960" s="112" t="str">
        <f aca="false">IFERROR(IF([1]对账明细接口!$O960=0,"",[1]对账明细接口!$O960),"")</f>
        <v/>
      </c>
      <c r="U960" s="112" t="str">
        <f aca="false">IFERROR(IF([1]对账明细接口!$P960=0,"",[1]对账明细接口!$P960),"")</f>
        <v/>
      </c>
      <c r="V960" s="112" t="str">
        <f aca="false">IFERROR(IF([1]对账明细接口!$Q960=0,"",[1]对账明细接口!$Q960),"")</f>
        <v/>
      </c>
      <c r="W960" s="10" t="str">
        <f aca="false">IFERROR(IF([1]对账明细接口!$R960=0,"",[1]对账明细接口!$R960),"")</f>
        <v/>
      </c>
      <c r="X960" s="10" t="str">
        <f aca="false">IFERROR(IF([1]对账明细接口!$S960=0,"",[1]对账明细接口!$S960),"")</f>
        <v/>
      </c>
      <c r="Y960" s="10" t="str">
        <f aca="false">""</f>
        <v/>
      </c>
      <c r="Z960" s="10" t="str">
        <f aca="false">""</f>
        <v/>
      </c>
      <c r="AA960" s="10" t="str">
        <f aca="false">""</f>
        <v/>
      </c>
      <c r="AB960" s="10" t="str">
        <f aca="false">""</f>
        <v/>
      </c>
    </row>
    <row r="961" customFormat="false" ht="13.5" hidden="false" customHeight="false" outlineLevel="0" collapsed="false">
      <c r="A961" s="109" t="n">
        <v>961</v>
      </c>
      <c r="B961" s="110" t="str">
        <f aca="false">IFERROR(IF([1]对账明细接口!$B$961=0,"",[1]对账明细接口!$B$961),"")</f>
        <v/>
      </c>
      <c r="C961" s="59" t="str">
        <f aca="false">IFERROR(IF([1]对账明细接口!$C$961=0,"",[1]对账明细接口!$C$961),"")</f>
        <v/>
      </c>
      <c r="D961" s="59" t="str">
        <f aca="false">IFERROR(IF([1]对账明细接口!$D$961=0,"",[1]对账明细接口!$D$961),"")</f>
        <v/>
      </c>
      <c r="E961" s="59" t="str">
        <f aca="false">IFERROR(IF([1]对账明细接口!$E$961=0,"",[1]对账明细接口!$E$961),"")</f>
        <v/>
      </c>
      <c r="F961" s="59" t="str">
        <f aca="false">IFERROR(IF([1]对账明细接口!$F$961=0,"",[1]对账明细接口!$F$961),"")</f>
        <v/>
      </c>
      <c r="G961" s="59" t="str">
        <f aca="false">IFERROR(IF([1]对账明细接口!$G$961=0,"",[1]对账明细接口!$G$961),"")</f>
        <v/>
      </c>
      <c r="H961" s="60" t="str">
        <f aca="false">IFERROR(IF([1]对账明细接口!$H$961=0,"",[1]对账明细接口!$H$961),"")</f>
        <v/>
      </c>
      <c r="I961" s="59" t="str">
        <f aca="false">IFERROR(IF([1]对账明细接口!$I$961=0,"",[1]对账明细接口!$I$961),"")</f>
        <v/>
      </c>
      <c r="J961" s="61" t="str">
        <f aca="false">IFERROR(IF([1]对账明细接口!$J$961=0,"",[1]对账明细接口!$J$961),"")</f>
        <v/>
      </c>
      <c r="K961" s="61" t="str">
        <f aca="false">IFERROR(IF([1]对账明细接口!$K$961=0,"",[1]对账明细接口!$K$961),"")</f>
        <v/>
      </c>
      <c r="L961" s="59" t="str">
        <f aca="false">IFERROR(IF([1]对账明细接口!$L$961=0,"",[1]对账明细接口!$L$961),"")</f>
        <v/>
      </c>
      <c r="M961" s="59" t="str">
        <f aca="false">IFERROR(IF([1]对账明细接口!$M$961=0,"",[1]对账明细接口!$M$961),"")</f>
        <v/>
      </c>
      <c r="N961" s="111" t="n">
        <f aca="false">IF($C961="",0,1)</f>
        <v>0</v>
      </c>
      <c r="O961" s="111" t="n">
        <f aca="false">N(O960)+$N961</f>
        <v>110</v>
      </c>
      <c r="S961" s="10" t="str">
        <f aca="false">IFERROR(IF([1]对账明细接口!$N961=0,"",[1]对账明细接口!$N961),"")</f>
        <v/>
      </c>
      <c r="T961" s="112" t="str">
        <f aca="false">IFERROR(IF([1]对账明细接口!$O961=0,"",[1]对账明细接口!$O961),"")</f>
        <v/>
      </c>
      <c r="U961" s="112" t="str">
        <f aca="false">IFERROR(IF([1]对账明细接口!$P961=0,"",[1]对账明细接口!$P961),"")</f>
        <v/>
      </c>
      <c r="V961" s="112" t="str">
        <f aca="false">IFERROR(IF([1]对账明细接口!$Q961=0,"",[1]对账明细接口!$Q961),"")</f>
        <v/>
      </c>
      <c r="W961" s="10" t="str">
        <f aca="false">IFERROR(IF([1]对账明细接口!$R961=0,"",[1]对账明细接口!$R961),"")</f>
        <v/>
      </c>
      <c r="X961" s="10" t="str">
        <f aca="false">IFERROR(IF([1]对账明细接口!$S961=0,"",[1]对账明细接口!$S961),"")</f>
        <v/>
      </c>
      <c r="Y961" s="10" t="str">
        <f aca="false">""</f>
        <v/>
      </c>
      <c r="Z961" s="10" t="str">
        <f aca="false">""</f>
        <v/>
      </c>
      <c r="AA961" s="10" t="str">
        <f aca="false">""</f>
        <v/>
      </c>
      <c r="AB961" s="10" t="str">
        <f aca="false">""</f>
        <v/>
      </c>
    </row>
    <row r="962" customFormat="false" ht="13.5" hidden="false" customHeight="false" outlineLevel="0" collapsed="false">
      <c r="A962" s="109" t="n">
        <v>962</v>
      </c>
      <c r="B962" s="110" t="str">
        <f aca="false">IFERROR(IF([1]对账明细接口!$B$962=0,"",[1]对账明细接口!$B$962),"")</f>
        <v/>
      </c>
      <c r="C962" s="59" t="str">
        <f aca="false">IFERROR(IF([1]对账明细接口!$C$962=0,"",[1]对账明细接口!$C$962),"")</f>
        <v/>
      </c>
      <c r="D962" s="59" t="str">
        <f aca="false">IFERROR(IF([1]对账明细接口!$D$962=0,"",[1]对账明细接口!$D$962),"")</f>
        <v/>
      </c>
      <c r="E962" s="59" t="str">
        <f aca="false">IFERROR(IF([1]对账明细接口!$E$962=0,"",[1]对账明细接口!$E$962),"")</f>
        <v/>
      </c>
      <c r="F962" s="59" t="str">
        <f aca="false">IFERROR(IF([1]对账明细接口!$F$962=0,"",[1]对账明细接口!$F$962),"")</f>
        <v/>
      </c>
      <c r="G962" s="59" t="str">
        <f aca="false">IFERROR(IF([1]对账明细接口!$G$962=0,"",[1]对账明细接口!$G$962),"")</f>
        <v/>
      </c>
      <c r="H962" s="60" t="str">
        <f aca="false">IFERROR(IF([1]对账明细接口!$H$962=0,"",[1]对账明细接口!$H$962),"")</f>
        <v/>
      </c>
      <c r="I962" s="59" t="str">
        <f aca="false">IFERROR(IF([1]对账明细接口!$I$962=0,"",[1]对账明细接口!$I$962),"")</f>
        <v/>
      </c>
      <c r="J962" s="61" t="str">
        <f aca="false">IFERROR(IF([1]对账明细接口!$J$962=0,"",[1]对账明细接口!$J$962),"")</f>
        <v/>
      </c>
      <c r="K962" s="61" t="str">
        <f aca="false">IFERROR(IF([1]对账明细接口!$K$962=0,"",[1]对账明细接口!$K$962),"")</f>
        <v/>
      </c>
      <c r="L962" s="59" t="str">
        <f aca="false">IFERROR(IF([1]对账明细接口!$L$962=0,"",[1]对账明细接口!$L$962),"")</f>
        <v/>
      </c>
      <c r="M962" s="59" t="str">
        <f aca="false">IFERROR(IF([1]对账明细接口!$M$962=0,"",[1]对账明细接口!$M$962),"")</f>
        <v/>
      </c>
      <c r="N962" s="111" t="n">
        <f aca="false">IF($C962="",0,1)</f>
        <v>0</v>
      </c>
      <c r="O962" s="111" t="n">
        <f aca="false">N(O961)+$N962</f>
        <v>110</v>
      </c>
      <c r="S962" s="10" t="str">
        <f aca="false">IFERROR(IF([1]对账明细接口!$N962=0,"",[1]对账明细接口!$N962),"")</f>
        <v/>
      </c>
      <c r="T962" s="112" t="str">
        <f aca="false">IFERROR(IF([1]对账明细接口!$O962=0,"",[1]对账明细接口!$O962),"")</f>
        <v/>
      </c>
      <c r="U962" s="112" t="str">
        <f aca="false">IFERROR(IF([1]对账明细接口!$P962=0,"",[1]对账明细接口!$P962),"")</f>
        <v/>
      </c>
      <c r="V962" s="112" t="str">
        <f aca="false">IFERROR(IF([1]对账明细接口!$Q962=0,"",[1]对账明细接口!$Q962),"")</f>
        <v/>
      </c>
      <c r="W962" s="10" t="str">
        <f aca="false">IFERROR(IF([1]对账明细接口!$R962=0,"",[1]对账明细接口!$R962),"")</f>
        <v/>
      </c>
      <c r="X962" s="10" t="str">
        <f aca="false">IFERROR(IF([1]对账明细接口!$S962=0,"",[1]对账明细接口!$S962),"")</f>
        <v/>
      </c>
      <c r="Y962" s="10" t="str">
        <f aca="false">""</f>
        <v/>
      </c>
      <c r="Z962" s="10" t="str">
        <f aca="false">""</f>
        <v/>
      </c>
      <c r="AA962" s="10" t="str">
        <f aca="false">""</f>
        <v/>
      </c>
      <c r="AB962" s="10" t="str">
        <f aca="false">""</f>
        <v/>
      </c>
    </row>
    <row r="963" customFormat="false" ht="13.5" hidden="false" customHeight="false" outlineLevel="0" collapsed="false">
      <c r="A963" s="109" t="n">
        <v>963</v>
      </c>
      <c r="B963" s="110" t="str">
        <f aca="false">IFERROR(IF([1]对账明细接口!$B$963=0,"",[1]对账明细接口!$B$963),"")</f>
        <v/>
      </c>
      <c r="C963" s="59" t="str">
        <f aca="false">IFERROR(IF([1]对账明细接口!$C$963=0,"",[1]对账明细接口!$C$963),"")</f>
        <v/>
      </c>
      <c r="D963" s="59" t="str">
        <f aca="false">IFERROR(IF([1]对账明细接口!$D$963=0,"",[1]对账明细接口!$D$963),"")</f>
        <v/>
      </c>
      <c r="E963" s="59" t="str">
        <f aca="false">IFERROR(IF([1]对账明细接口!$E$963=0,"",[1]对账明细接口!$E$963),"")</f>
        <v/>
      </c>
      <c r="F963" s="59" t="str">
        <f aca="false">IFERROR(IF([1]对账明细接口!$F$963=0,"",[1]对账明细接口!$F$963),"")</f>
        <v/>
      </c>
      <c r="G963" s="59" t="str">
        <f aca="false">IFERROR(IF([1]对账明细接口!$G$963=0,"",[1]对账明细接口!$G$963),"")</f>
        <v/>
      </c>
      <c r="H963" s="60" t="str">
        <f aca="false">IFERROR(IF([1]对账明细接口!$H$963=0,"",[1]对账明细接口!$H$963),"")</f>
        <v/>
      </c>
      <c r="I963" s="59" t="str">
        <f aca="false">IFERROR(IF([1]对账明细接口!$I$963=0,"",[1]对账明细接口!$I$963),"")</f>
        <v/>
      </c>
      <c r="J963" s="61" t="str">
        <f aca="false">IFERROR(IF([1]对账明细接口!$J$963=0,"",[1]对账明细接口!$J$963),"")</f>
        <v/>
      </c>
      <c r="K963" s="61" t="str">
        <f aca="false">IFERROR(IF([1]对账明细接口!$K$963=0,"",[1]对账明细接口!$K$963),"")</f>
        <v/>
      </c>
      <c r="L963" s="59" t="str">
        <f aca="false">IFERROR(IF([1]对账明细接口!$L$963=0,"",[1]对账明细接口!$L$963),"")</f>
        <v/>
      </c>
      <c r="M963" s="59" t="str">
        <f aca="false">IFERROR(IF([1]对账明细接口!$M$963=0,"",[1]对账明细接口!$M$963),"")</f>
        <v/>
      </c>
      <c r="N963" s="111" t="n">
        <f aca="false">IF($C963="",0,1)</f>
        <v>0</v>
      </c>
      <c r="O963" s="111" t="n">
        <f aca="false">N(O962)+$N963</f>
        <v>110</v>
      </c>
      <c r="S963" s="10" t="str">
        <f aca="false">IFERROR(IF([1]对账明细接口!$N963=0,"",[1]对账明细接口!$N963),"")</f>
        <v/>
      </c>
      <c r="T963" s="112" t="str">
        <f aca="false">IFERROR(IF([1]对账明细接口!$O963=0,"",[1]对账明细接口!$O963),"")</f>
        <v/>
      </c>
      <c r="U963" s="112" t="str">
        <f aca="false">IFERROR(IF([1]对账明细接口!$P963=0,"",[1]对账明细接口!$P963),"")</f>
        <v/>
      </c>
      <c r="V963" s="112" t="str">
        <f aca="false">IFERROR(IF([1]对账明细接口!$Q963=0,"",[1]对账明细接口!$Q963),"")</f>
        <v/>
      </c>
      <c r="W963" s="10" t="str">
        <f aca="false">IFERROR(IF([1]对账明细接口!$R963=0,"",[1]对账明细接口!$R963),"")</f>
        <v/>
      </c>
      <c r="X963" s="10" t="str">
        <f aca="false">IFERROR(IF([1]对账明细接口!$S963=0,"",[1]对账明细接口!$S963),"")</f>
        <v/>
      </c>
      <c r="Y963" s="10" t="str">
        <f aca="false">""</f>
        <v/>
      </c>
      <c r="Z963" s="10" t="str">
        <f aca="false">""</f>
        <v/>
      </c>
      <c r="AA963" s="10" t="str">
        <f aca="false">""</f>
        <v/>
      </c>
      <c r="AB963" s="10" t="str">
        <f aca="false">""</f>
        <v/>
      </c>
    </row>
    <row r="964" customFormat="false" ht="13.5" hidden="false" customHeight="false" outlineLevel="0" collapsed="false">
      <c r="A964" s="109" t="n">
        <v>964</v>
      </c>
      <c r="B964" s="110" t="str">
        <f aca="false">IFERROR(IF([1]对账明细接口!$B$964=0,"",[1]对账明细接口!$B$964),"")</f>
        <v/>
      </c>
      <c r="C964" s="59" t="str">
        <f aca="false">IFERROR(IF([1]对账明细接口!$C$964=0,"",[1]对账明细接口!$C$964),"")</f>
        <v/>
      </c>
      <c r="D964" s="59" t="str">
        <f aca="false">IFERROR(IF([1]对账明细接口!$D$964=0,"",[1]对账明细接口!$D$964),"")</f>
        <v/>
      </c>
      <c r="E964" s="59" t="str">
        <f aca="false">IFERROR(IF([1]对账明细接口!$E$964=0,"",[1]对账明细接口!$E$964),"")</f>
        <v/>
      </c>
      <c r="F964" s="59" t="str">
        <f aca="false">IFERROR(IF([1]对账明细接口!$F$964=0,"",[1]对账明细接口!$F$964),"")</f>
        <v/>
      </c>
      <c r="G964" s="59" t="str">
        <f aca="false">IFERROR(IF([1]对账明细接口!$G$964=0,"",[1]对账明细接口!$G$964),"")</f>
        <v/>
      </c>
      <c r="H964" s="60" t="str">
        <f aca="false">IFERROR(IF([1]对账明细接口!$H$964=0,"",[1]对账明细接口!$H$964),"")</f>
        <v/>
      </c>
      <c r="I964" s="59" t="str">
        <f aca="false">IFERROR(IF([1]对账明细接口!$I$964=0,"",[1]对账明细接口!$I$964),"")</f>
        <v/>
      </c>
      <c r="J964" s="61" t="str">
        <f aca="false">IFERROR(IF([1]对账明细接口!$J$964=0,"",[1]对账明细接口!$J$964),"")</f>
        <v/>
      </c>
      <c r="K964" s="61" t="str">
        <f aca="false">IFERROR(IF([1]对账明细接口!$K$964=0,"",[1]对账明细接口!$K$964),"")</f>
        <v/>
      </c>
      <c r="L964" s="59" t="str">
        <f aca="false">IFERROR(IF([1]对账明细接口!$L$964=0,"",[1]对账明细接口!$L$964),"")</f>
        <v/>
      </c>
      <c r="M964" s="59" t="str">
        <f aca="false">IFERROR(IF([1]对账明细接口!$M$964=0,"",[1]对账明细接口!$M$964),"")</f>
        <v/>
      </c>
      <c r="N964" s="111" t="n">
        <f aca="false">IF($C964="",0,1)</f>
        <v>0</v>
      </c>
      <c r="O964" s="111" t="n">
        <f aca="false">N(O963)+$N964</f>
        <v>110</v>
      </c>
      <c r="S964" s="10" t="str">
        <f aca="false">IFERROR(IF([1]对账明细接口!$N964=0,"",[1]对账明细接口!$N964),"")</f>
        <v/>
      </c>
      <c r="T964" s="112" t="str">
        <f aca="false">IFERROR(IF([1]对账明细接口!$O964=0,"",[1]对账明细接口!$O964),"")</f>
        <v/>
      </c>
      <c r="U964" s="112" t="str">
        <f aca="false">IFERROR(IF([1]对账明细接口!$P964=0,"",[1]对账明细接口!$P964),"")</f>
        <v/>
      </c>
      <c r="V964" s="112" t="str">
        <f aca="false">IFERROR(IF([1]对账明细接口!$Q964=0,"",[1]对账明细接口!$Q964),"")</f>
        <v/>
      </c>
      <c r="W964" s="10" t="str">
        <f aca="false">IFERROR(IF([1]对账明细接口!$R964=0,"",[1]对账明细接口!$R964),"")</f>
        <v/>
      </c>
      <c r="X964" s="10" t="str">
        <f aca="false">IFERROR(IF([1]对账明细接口!$S964=0,"",[1]对账明细接口!$S964),"")</f>
        <v/>
      </c>
      <c r="Y964" s="10" t="str">
        <f aca="false">""</f>
        <v/>
      </c>
      <c r="Z964" s="10" t="str">
        <f aca="false">""</f>
        <v/>
      </c>
      <c r="AA964" s="10" t="str">
        <f aca="false">""</f>
        <v/>
      </c>
      <c r="AB964" s="10" t="str">
        <f aca="false">""</f>
        <v/>
      </c>
    </row>
    <row r="965" customFormat="false" ht="13.5" hidden="false" customHeight="false" outlineLevel="0" collapsed="false">
      <c r="A965" s="109" t="n">
        <v>965</v>
      </c>
      <c r="B965" s="110" t="str">
        <f aca="false">IFERROR(IF([1]对账明细接口!$B$965=0,"",[1]对账明细接口!$B$965),"")</f>
        <v/>
      </c>
      <c r="C965" s="59" t="str">
        <f aca="false">IFERROR(IF([1]对账明细接口!$C$965=0,"",[1]对账明细接口!$C$965),"")</f>
        <v/>
      </c>
      <c r="D965" s="59" t="str">
        <f aca="false">IFERROR(IF([1]对账明细接口!$D$965=0,"",[1]对账明细接口!$D$965),"")</f>
        <v/>
      </c>
      <c r="E965" s="59" t="str">
        <f aca="false">IFERROR(IF([1]对账明细接口!$E$965=0,"",[1]对账明细接口!$E$965),"")</f>
        <v/>
      </c>
      <c r="F965" s="59" t="str">
        <f aca="false">IFERROR(IF([1]对账明细接口!$F$965=0,"",[1]对账明细接口!$F$965),"")</f>
        <v/>
      </c>
      <c r="G965" s="59" t="str">
        <f aca="false">IFERROR(IF([1]对账明细接口!$G$965=0,"",[1]对账明细接口!$G$965),"")</f>
        <v/>
      </c>
      <c r="H965" s="60" t="str">
        <f aca="false">IFERROR(IF([1]对账明细接口!$H$965=0,"",[1]对账明细接口!$H$965),"")</f>
        <v/>
      </c>
      <c r="I965" s="59" t="str">
        <f aca="false">IFERROR(IF([1]对账明细接口!$I$965=0,"",[1]对账明细接口!$I$965),"")</f>
        <v/>
      </c>
      <c r="J965" s="61" t="str">
        <f aca="false">IFERROR(IF([1]对账明细接口!$J$965=0,"",[1]对账明细接口!$J$965),"")</f>
        <v/>
      </c>
      <c r="K965" s="61" t="str">
        <f aca="false">IFERROR(IF([1]对账明细接口!$K$965=0,"",[1]对账明细接口!$K$965),"")</f>
        <v/>
      </c>
      <c r="L965" s="59" t="str">
        <f aca="false">IFERROR(IF([1]对账明细接口!$L$965=0,"",[1]对账明细接口!$L$965),"")</f>
        <v/>
      </c>
      <c r="M965" s="59" t="str">
        <f aca="false">IFERROR(IF([1]对账明细接口!$M$965=0,"",[1]对账明细接口!$M$965),"")</f>
        <v/>
      </c>
      <c r="N965" s="111" t="n">
        <f aca="false">IF($C965="",0,1)</f>
        <v>0</v>
      </c>
      <c r="O965" s="111" t="n">
        <f aca="false">N(O964)+$N965</f>
        <v>110</v>
      </c>
      <c r="S965" s="10" t="str">
        <f aca="false">IFERROR(IF([1]对账明细接口!$N965=0,"",[1]对账明细接口!$N965),"")</f>
        <v/>
      </c>
      <c r="T965" s="112" t="str">
        <f aca="false">IFERROR(IF([1]对账明细接口!$O965=0,"",[1]对账明细接口!$O965),"")</f>
        <v/>
      </c>
      <c r="U965" s="112" t="str">
        <f aca="false">IFERROR(IF([1]对账明细接口!$P965=0,"",[1]对账明细接口!$P965),"")</f>
        <v/>
      </c>
      <c r="V965" s="112" t="str">
        <f aca="false">IFERROR(IF([1]对账明细接口!$Q965=0,"",[1]对账明细接口!$Q965),"")</f>
        <v/>
      </c>
      <c r="W965" s="10" t="str">
        <f aca="false">IFERROR(IF([1]对账明细接口!$R965=0,"",[1]对账明细接口!$R965),"")</f>
        <v/>
      </c>
      <c r="X965" s="10" t="str">
        <f aca="false">IFERROR(IF([1]对账明细接口!$S965=0,"",[1]对账明细接口!$S965),"")</f>
        <v/>
      </c>
      <c r="Y965" s="10" t="str">
        <f aca="false">""</f>
        <v/>
      </c>
      <c r="Z965" s="10" t="str">
        <f aca="false">""</f>
        <v/>
      </c>
      <c r="AA965" s="10" t="str">
        <f aca="false">""</f>
        <v/>
      </c>
      <c r="AB965" s="10" t="str">
        <f aca="false">""</f>
        <v/>
      </c>
    </row>
    <row r="966" customFormat="false" ht="13.5" hidden="false" customHeight="false" outlineLevel="0" collapsed="false">
      <c r="A966" s="109" t="n">
        <v>966</v>
      </c>
      <c r="B966" s="110" t="str">
        <f aca="false">IFERROR(IF([1]对账明细接口!$B$966=0,"",[1]对账明细接口!$B$966),"")</f>
        <v/>
      </c>
      <c r="C966" s="59" t="str">
        <f aca="false">IFERROR(IF([1]对账明细接口!$C$966=0,"",[1]对账明细接口!$C$966),"")</f>
        <v/>
      </c>
      <c r="D966" s="59" t="str">
        <f aca="false">IFERROR(IF([1]对账明细接口!$D$966=0,"",[1]对账明细接口!$D$966),"")</f>
        <v/>
      </c>
      <c r="E966" s="59" t="str">
        <f aca="false">IFERROR(IF([1]对账明细接口!$E$966=0,"",[1]对账明细接口!$E$966),"")</f>
        <v/>
      </c>
      <c r="F966" s="59" t="str">
        <f aca="false">IFERROR(IF([1]对账明细接口!$F$966=0,"",[1]对账明细接口!$F$966),"")</f>
        <v/>
      </c>
      <c r="G966" s="59" t="str">
        <f aca="false">IFERROR(IF([1]对账明细接口!$G$966=0,"",[1]对账明细接口!$G$966),"")</f>
        <v/>
      </c>
      <c r="H966" s="60" t="str">
        <f aca="false">IFERROR(IF([1]对账明细接口!$H$966=0,"",[1]对账明细接口!$H$966),"")</f>
        <v/>
      </c>
      <c r="I966" s="59" t="str">
        <f aca="false">IFERROR(IF([1]对账明细接口!$I$966=0,"",[1]对账明细接口!$I$966),"")</f>
        <v/>
      </c>
      <c r="J966" s="61" t="str">
        <f aca="false">IFERROR(IF([1]对账明细接口!$J$966=0,"",[1]对账明细接口!$J$966),"")</f>
        <v/>
      </c>
      <c r="K966" s="61" t="str">
        <f aca="false">IFERROR(IF([1]对账明细接口!$K$966=0,"",[1]对账明细接口!$K$966),"")</f>
        <v/>
      </c>
      <c r="L966" s="59" t="str">
        <f aca="false">IFERROR(IF([1]对账明细接口!$L$966=0,"",[1]对账明细接口!$L$966),"")</f>
        <v/>
      </c>
      <c r="M966" s="59" t="str">
        <f aca="false">IFERROR(IF([1]对账明细接口!$M$966=0,"",[1]对账明细接口!$M$966),"")</f>
        <v/>
      </c>
      <c r="N966" s="111" t="n">
        <f aca="false">IF($C966="",0,1)</f>
        <v>0</v>
      </c>
      <c r="O966" s="111" t="n">
        <f aca="false">N(O965)+$N966</f>
        <v>110</v>
      </c>
      <c r="S966" s="10" t="str">
        <f aca="false">IFERROR(IF([1]对账明细接口!$N966=0,"",[1]对账明细接口!$N966),"")</f>
        <v/>
      </c>
      <c r="T966" s="112" t="str">
        <f aca="false">IFERROR(IF([1]对账明细接口!$O966=0,"",[1]对账明细接口!$O966),"")</f>
        <v/>
      </c>
      <c r="U966" s="112" t="str">
        <f aca="false">IFERROR(IF([1]对账明细接口!$P966=0,"",[1]对账明细接口!$P966),"")</f>
        <v/>
      </c>
      <c r="V966" s="112" t="str">
        <f aca="false">IFERROR(IF([1]对账明细接口!$Q966=0,"",[1]对账明细接口!$Q966),"")</f>
        <v/>
      </c>
      <c r="W966" s="10" t="str">
        <f aca="false">IFERROR(IF([1]对账明细接口!$R966=0,"",[1]对账明细接口!$R966),"")</f>
        <v/>
      </c>
      <c r="X966" s="10" t="str">
        <f aca="false">IFERROR(IF([1]对账明细接口!$S966=0,"",[1]对账明细接口!$S966),"")</f>
        <v/>
      </c>
      <c r="Y966" s="10" t="str">
        <f aca="false">""</f>
        <v/>
      </c>
      <c r="Z966" s="10" t="str">
        <f aca="false">""</f>
        <v/>
      </c>
      <c r="AA966" s="10" t="str">
        <f aca="false">""</f>
        <v/>
      </c>
      <c r="AB966" s="10" t="str">
        <f aca="false">""</f>
        <v/>
      </c>
    </row>
    <row r="967" customFormat="false" ht="13.5" hidden="false" customHeight="false" outlineLevel="0" collapsed="false">
      <c r="A967" s="109" t="n">
        <v>967</v>
      </c>
      <c r="B967" s="110" t="str">
        <f aca="false">IFERROR(IF([1]对账明细接口!$B$967=0,"",[1]对账明细接口!$B$967),"")</f>
        <v/>
      </c>
      <c r="C967" s="59" t="str">
        <f aca="false">IFERROR(IF([1]对账明细接口!$C$967=0,"",[1]对账明细接口!$C$967),"")</f>
        <v/>
      </c>
      <c r="D967" s="59" t="str">
        <f aca="false">IFERROR(IF([1]对账明细接口!$D$967=0,"",[1]对账明细接口!$D$967),"")</f>
        <v/>
      </c>
      <c r="E967" s="59" t="str">
        <f aca="false">IFERROR(IF([1]对账明细接口!$E$967=0,"",[1]对账明细接口!$E$967),"")</f>
        <v/>
      </c>
      <c r="F967" s="59" t="str">
        <f aca="false">IFERROR(IF([1]对账明细接口!$F$967=0,"",[1]对账明细接口!$F$967),"")</f>
        <v/>
      </c>
      <c r="G967" s="59" t="str">
        <f aca="false">IFERROR(IF([1]对账明细接口!$G$967=0,"",[1]对账明细接口!$G$967),"")</f>
        <v/>
      </c>
      <c r="H967" s="60" t="str">
        <f aca="false">IFERROR(IF([1]对账明细接口!$H$967=0,"",[1]对账明细接口!$H$967),"")</f>
        <v/>
      </c>
      <c r="I967" s="59" t="str">
        <f aca="false">IFERROR(IF([1]对账明细接口!$I$967=0,"",[1]对账明细接口!$I$967),"")</f>
        <v/>
      </c>
      <c r="J967" s="61" t="str">
        <f aca="false">IFERROR(IF([1]对账明细接口!$J$967=0,"",[1]对账明细接口!$J$967),"")</f>
        <v/>
      </c>
      <c r="K967" s="61" t="str">
        <f aca="false">IFERROR(IF([1]对账明细接口!$K$967=0,"",[1]对账明细接口!$K$967),"")</f>
        <v/>
      </c>
      <c r="L967" s="59" t="str">
        <f aca="false">IFERROR(IF([1]对账明细接口!$L$967=0,"",[1]对账明细接口!$L$967),"")</f>
        <v/>
      </c>
      <c r="M967" s="59" t="str">
        <f aca="false">IFERROR(IF([1]对账明细接口!$M$967=0,"",[1]对账明细接口!$M$967),"")</f>
        <v/>
      </c>
      <c r="N967" s="111" t="n">
        <f aca="false">IF($C967="",0,1)</f>
        <v>0</v>
      </c>
      <c r="O967" s="111" t="n">
        <f aca="false">N(O966)+$N967</f>
        <v>110</v>
      </c>
      <c r="S967" s="10" t="str">
        <f aca="false">IFERROR(IF([1]对账明细接口!$N967=0,"",[1]对账明细接口!$N967),"")</f>
        <v/>
      </c>
      <c r="T967" s="112" t="str">
        <f aca="false">IFERROR(IF([1]对账明细接口!$O967=0,"",[1]对账明细接口!$O967),"")</f>
        <v/>
      </c>
      <c r="U967" s="112" t="str">
        <f aca="false">IFERROR(IF([1]对账明细接口!$P967=0,"",[1]对账明细接口!$P967),"")</f>
        <v/>
      </c>
      <c r="V967" s="112" t="str">
        <f aca="false">IFERROR(IF([1]对账明细接口!$Q967=0,"",[1]对账明细接口!$Q967),"")</f>
        <v/>
      </c>
      <c r="W967" s="10" t="str">
        <f aca="false">IFERROR(IF([1]对账明细接口!$R967=0,"",[1]对账明细接口!$R967),"")</f>
        <v/>
      </c>
      <c r="X967" s="10" t="str">
        <f aca="false">IFERROR(IF([1]对账明细接口!$S967=0,"",[1]对账明细接口!$S967),"")</f>
        <v/>
      </c>
      <c r="Y967" s="10" t="str">
        <f aca="false">""</f>
        <v/>
      </c>
      <c r="Z967" s="10" t="str">
        <f aca="false">""</f>
        <v/>
      </c>
      <c r="AA967" s="10" t="str">
        <f aca="false">""</f>
        <v/>
      </c>
      <c r="AB967" s="10" t="str">
        <f aca="false">""</f>
        <v/>
      </c>
    </row>
    <row r="968" customFormat="false" ht="13.5" hidden="false" customHeight="false" outlineLevel="0" collapsed="false">
      <c r="A968" s="109" t="n">
        <v>968</v>
      </c>
      <c r="B968" s="110" t="str">
        <f aca="false">IFERROR(IF([1]对账明细接口!$B$968=0,"",[1]对账明细接口!$B$968),"")</f>
        <v/>
      </c>
      <c r="C968" s="59" t="str">
        <f aca="false">IFERROR(IF([1]对账明细接口!$C$968=0,"",[1]对账明细接口!$C$968),"")</f>
        <v/>
      </c>
      <c r="D968" s="59" t="str">
        <f aca="false">IFERROR(IF([1]对账明细接口!$D$968=0,"",[1]对账明细接口!$D$968),"")</f>
        <v/>
      </c>
      <c r="E968" s="59" t="str">
        <f aca="false">IFERROR(IF([1]对账明细接口!$E$968=0,"",[1]对账明细接口!$E$968),"")</f>
        <v/>
      </c>
      <c r="F968" s="59" t="str">
        <f aca="false">IFERROR(IF([1]对账明细接口!$F$968=0,"",[1]对账明细接口!$F$968),"")</f>
        <v/>
      </c>
      <c r="G968" s="59" t="str">
        <f aca="false">IFERROR(IF([1]对账明细接口!$G$968=0,"",[1]对账明细接口!$G$968),"")</f>
        <v/>
      </c>
      <c r="H968" s="60" t="str">
        <f aca="false">IFERROR(IF([1]对账明细接口!$H$968=0,"",[1]对账明细接口!$H$968),"")</f>
        <v/>
      </c>
      <c r="I968" s="59" t="str">
        <f aca="false">IFERROR(IF([1]对账明细接口!$I$968=0,"",[1]对账明细接口!$I$968),"")</f>
        <v/>
      </c>
      <c r="J968" s="61" t="str">
        <f aca="false">IFERROR(IF([1]对账明细接口!$J$968=0,"",[1]对账明细接口!$J$968),"")</f>
        <v/>
      </c>
      <c r="K968" s="61" t="str">
        <f aca="false">IFERROR(IF([1]对账明细接口!$K$968=0,"",[1]对账明细接口!$K$968),"")</f>
        <v/>
      </c>
      <c r="L968" s="59" t="str">
        <f aca="false">IFERROR(IF([1]对账明细接口!$L$968=0,"",[1]对账明细接口!$L$968),"")</f>
        <v/>
      </c>
      <c r="M968" s="59" t="str">
        <f aca="false">IFERROR(IF([1]对账明细接口!$M$968=0,"",[1]对账明细接口!$M$968),"")</f>
        <v/>
      </c>
      <c r="N968" s="111" t="n">
        <f aca="false">IF($C968="",0,1)</f>
        <v>0</v>
      </c>
      <c r="O968" s="111" t="n">
        <f aca="false">N(O967)+$N968</f>
        <v>110</v>
      </c>
      <c r="S968" s="10" t="str">
        <f aca="false">IFERROR(IF([1]对账明细接口!$N968=0,"",[1]对账明细接口!$N968),"")</f>
        <v/>
      </c>
      <c r="T968" s="112" t="str">
        <f aca="false">IFERROR(IF([1]对账明细接口!$O968=0,"",[1]对账明细接口!$O968),"")</f>
        <v/>
      </c>
      <c r="U968" s="112" t="str">
        <f aca="false">IFERROR(IF([1]对账明细接口!$P968=0,"",[1]对账明细接口!$P968),"")</f>
        <v/>
      </c>
      <c r="V968" s="112" t="str">
        <f aca="false">IFERROR(IF([1]对账明细接口!$Q968=0,"",[1]对账明细接口!$Q968),"")</f>
        <v/>
      </c>
      <c r="W968" s="10" t="str">
        <f aca="false">IFERROR(IF([1]对账明细接口!$R968=0,"",[1]对账明细接口!$R968),"")</f>
        <v/>
      </c>
      <c r="X968" s="10" t="str">
        <f aca="false">IFERROR(IF([1]对账明细接口!$S968=0,"",[1]对账明细接口!$S968),"")</f>
        <v/>
      </c>
      <c r="Y968" s="10" t="str">
        <f aca="false">""</f>
        <v/>
      </c>
      <c r="Z968" s="10" t="str">
        <f aca="false">""</f>
        <v/>
      </c>
      <c r="AA968" s="10" t="str">
        <f aca="false">""</f>
        <v/>
      </c>
      <c r="AB968" s="10" t="str">
        <f aca="false">""</f>
        <v/>
      </c>
    </row>
    <row r="969" customFormat="false" ht="13.5" hidden="false" customHeight="false" outlineLevel="0" collapsed="false">
      <c r="A969" s="109" t="n">
        <v>969</v>
      </c>
      <c r="B969" s="110" t="str">
        <f aca="false">IFERROR(IF([1]对账明细接口!$B$969=0,"",[1]对账明细接口!$B$969),"")</f>
        <v/>
      </c>
      <c r="C969" s="59" t="str">
        <f aca="false">IFERROR(IF([1]对账明细接口!$C$969=0,"",[1]对账明细接口!$C$969),"")</f>
        <v/>
      </c>
      <c r="D969" s="59" t="str">
        <f aca="false">IFERROR(IF([1]对账明细接口!$D$969=0,"",[1]对账明细接口!$D$969),"")</f>
        <v/>
      </c>
      <c r="E969" s="59" t="str">
        <f aca="false">IFERROR(IF([1]对账明细接口!$E$969=0,"",[1]对账明细接口!$E$969),"")</f>
        <v/>
      </c>
      <c r="F969" s="59" t="str">
        <f aca="false">IFERROR(IF([1]对账明细接口!$F$969=0,"",[1]对账明细接口!$F$969),"")</f>
        <v/>
      </c>
      <c r="G969" s="59" t="str">
        <f aca="false">IFERROR(IF([1]对账明细接口!$G$969=0,"",[1]对账明细接口!$G$969),"")</f>
        <v/>
      </c>
      <c r="H969" s="60" t="str">
        <f aca="false">IFERROR(IF([1]对账明细接口!$H$969=0,"",[1]对账明细接口!$H$969),"")</f>
        <v/>
      </c>
      <c r="I969" s="59" t="str">
        <f aca="false">IFERROR(IF([1]对账明细接口!$I$969=0,"",[1]对账明细接口!$I$969),"")</f>
        <v/>
      </c>
      <c r="J969" s="61" t="str">
        <f aca="false">IFERROR(IF([1]对账明细接口!$J$969=0,"",[1]对账明细接口!$J$969),"")</f>
        <v/>
      </c>
      <c r="K969" s="61" t="str">
        <f aca="false">IFERROR(IF([1]对账明细接口!$K$969=0,"",[1]对账明细接口!$K$969),"")</f>
        <v/>
      </c>
      <c r="L969" s="59" t="str">
        <f aca="false">IFERROR(IF([1]对账明细接口!$L$969=0,"",[1]对账明细接口!$L$969),"")</f>
        <v/>
      </c>
      <c r="M969" s="59" t="str">
        <f aca="false">IFERROR(IF([1]对账明细接口!$M$969=0,"",[1]对账明细接口!$M$969),"")</f>
        <v/>
      </c>
      <c r="N969" s="111" t="n">
        <f aca="false">IF($C969="",0,1)</f>
        <v>0</v>
      </c>
      <c r="O969" s="111" t="n">
        <f aca="false">N(O968)+$N969</f>
        <v>110</v>
      </c>
      <c r="S969" s="10" t="str">
        <f aca="false">IFERROR(IF([1]对账明细接口!$N969=0,"",[1]对账明细接口!$N969),"")</f>
        <v/>
      </c>
      <c r="T969" s="112" t="str">
        <f aca="false">IFERROR(IF([1]对账明细接口!$O969=0,"",[1]对账明细接口!$O969),"")</f>
        <v/>
      </c>
      <c r="U969" s="112" t="str">
        <f aca="false">IFERROR(IF([1]对账明细接口!$P969=0,"",[1]对账明细接口!$P969),"")</f>
        <v/>
      </c>
      <c r="V969" s="112" t="str">
        <f aca="false">IFERROR(IF([1]对账明细接口!$Q969=0,"",[1]对账明细接口!$Q969),"")</f>
        <v/>
      </c>
      <c r="W969" s="10" t="str">
        <f aca="false">IFERROR(IF([1]对账明细接口!$R969=0,"",[1]对账明细接口!$R969),"")</f>
        <v/>
      </c>
      <c r="X969" s="10" t="str">
        <f aca="false">IFERROR(IF([1]对账明细接口!$S969=0,"",[1]对账明细接口!$S969),"")</f>
        <v/>
      </c>
      <c r="Y969" s="10" t="str">
        <f aca="false">""</f>
        <v/>
      </c>
      <c r="Z969" s="10" t="str">
        <f aca="false">""</f>
        <v/>
      </c>
      <c r="AA969" s="10" t="str">
        <f aca="false">""</f>
        <v/>
      </c>
      <c r="AB969" s="10" t="str">
        <f aca="false">""</f>
        <v/>
      </c>
    </row>
    <row r="970" customFormat="false" ht="13.5" hidden="false" customHeight="false" outlineLevel="0" collapsed="false">
      <c r="A970" s="109" t="n">
        <v>970</v>
      </c>
      <c r="B970" s="110" t="str">
        <f aca="false">IFERROR(IF([1]对账明细接口!$B$970=0,"",[1]对账明细接口!$B$970),"")</f>
        <v/>
      </c>
      <c r="C970" s="59" t="str">
        <f aca="false">IFERROR(IF([1]对账明细接口!$C$970=0,"",[1]对账明细接口!$C$970),"")</f>
        <v/>
      </c>
      <c r="D970" s="59" t="str">
        <f aca="false">IFERROR(IF([1]对账明细接口!$D$970=0,"",[1]对账明细接口!$D$970),"")</f>
        <v/>
      </c>
      <c r="E970" s="59" t="str">
        <f aca="false">IFERROR(IF([1]对账明细接口!$E$970=0,"",[1]对账明细接口!$E$970),"")</f>
        <v/>
      </c>
      <c r="F970" s="59" t="str">
        <f aca="false">IFERROR(IF([1]对账明细接口!$F$970=0,"",[1]对账明细接口!$F$970),"")</f>
        <v/>
      </c>
      <c r="G970" s="59" t="str">
        <f aca="false">IFERROR(IF([1]对账明细接口!$G$970=0,"",[1]对账明细接口!$G$970),"")</f>
        <v/>
      </c>
      <c r="H970" s="60" t="str">
        <f aca="false">IFERROR(IF([1]对账明细接口!$H$970=0,"",[1]对账明细接口!$H$970),"")</f>
        <v/>
      </c>
      <c r="I970" s="59" t="str">
        <f aca="false">IFERROR(IF([1]对账明细接口!$I$970=0,"",[1]对账明细接口!$I$970),"")</f>
        <v/>
      </c>
      <c r="J970" s="61" t="str">
        <f aca="false">IFERROR(IF([1]对账明细接口!$J$970=0,"",[1]对账明细接口!$J$970),"")</f>
        <v/>
      </c>
      <c r="K970" s="61" t="str">
        <f aca="false">IFERROR(IF([1]对账明细接口!$K$970=0,"",[1]对账明细接口!$K$970),"")</f>
        <v/>
      </c>
      <c r="L970" s="59" t="str">
        <f aca="false">IFERROR(IF([1]对账明细接口!$L$970=0,"",[1]对账明细接口!$L$970),"")</f>
        <v/>
      </c>
      <c r="M970" s="59" t="str">
        <f aca="false">IFERROR(IF([1]对账明细接口!$M$970=0,"",[1]对账明细接口!$M$970),"")</f>
        <v/>
      </c>
      <c r="N970" s="111" t="n">
        <f aca="false">IF($C970="",0,1)</f>
        <v>0</v>
      </c>
      <c r="O970" s="111" t="n">
        <f aca="false">N(O969)+$N970</f>
        <v>110</v>
      </c>
      <c r="S970" s="10" t="str">
        <f aca="false">IFERROR(IF([1]对账明细接口!$N970=0,"",[1]对账明细接口!$N970),"")</f>
        <v/>
      </c>
      <c r="T970" s="112" t="str">
        <f aca="false">IFERROR(IF([1]对账明细接口!$O970=0,"",[1]对账明细接口!$O970),"")</f>
        <v/>
      </c>
      <c r="U970" s="112" t="str">
        <f aca="false">IFERROR(IF([1]对账明细接口!$P970=0,"",[1]对账明细接口!$P970),"")</f>
        <v/>
      </c>
      <c r="V970" s="112" t="str">
        <f aca="false">IFERROR(IF([1]对账明细接口!$Q970=0,"",[1]对账明细接口!$Q970),"")</f>
        <v/>
      </c>
      <c r="W970" s="10" t="str">
        <f aca="false">IFERROR(IF([1]对账明细接口!$R970=0,"",[1]对账明细接口!$R970),"")</f>
        <v/>
      </c>
      <c r="X970" s="10" t="str">
        <f aca="false">IFERROR(IF([1]对账明细接口!$S970=0,"",[1]对账明细接口!$S970),"")</f>
        <v/>
      </c>
      <c r="Y970" s="10" t="str">
        <f aca="false">""</f>
        <v/>
      </c>
      <c r="Z970" s="10" t="str">
        <f aca="false">""</f>
        <v/>
      </c>
      <c r="AA970" s="10" t="str">
        <f aca="false">""</f>
        <v/>
      </c>
      <c r="AB970" s="10" t="str">
        <f aca="false">""</f>
        <v/>
      </c>
    </row>
    <row r="971" customFormat="false" ht="13.5" hidden="false" customHeight="false" outlineLevel="0" collapsed="false">
      <c r="A971" s="109" t="n">
        <v>971</v>
      </c>
      <c r="B971" s="110" t="str">
        <f aca="false">IFERROR(IF([1]对账明细接口!$B$971=0,"",[1]对账明细接口!$B$971),"")</f>
        <v/>
      </c>
      <c r="C971" s="59" t="str">
        <f aca="false">IFERROR(IF([1]对账明细接口!$C$971=0,"",[1]对账明细接口!$C$971),"")</f>
        <v/>
      </c>
      <c r="D971" s="59" t="str">
        <f aca="false">IFERROR(IF([1]对账明细接口!$D$971=0,"",[1]对账明细接口!$D$971),"")</f>
        <v/>
      </c>
      <c r="E971" s="59" t="str">
        <f aca="false">IFERROR(IF([1]对账明细接口!$E$971=0,"",[1]对账明细接口!$E$971),"")</f>
        <v/>
      </c>
      <c r="F971" s="59" t="str">
        <f aca="false">IFERROR(IF([1]对账明细接口!$F$971=0,"",[1]对账明细接口!$F$971),"")</f>
        <v/>
      </c>
      <c r="G971" s="59" t="str">
        <f aca="false">IFERROR(IF([1]对账明细接口!$G$971=0,"",[1]对账明细接口!$G$971),"")</f>
        <v/>
      </c>
      <c r="H971" s="60" t="str">
        <f aca="false">IFERROR(IF([1]对账明细接口!$H$971=0,"",[1]对账明细接口!$H$971),"")</f>
        <v/>
      </c>
      <c r="I971" s="59" t="str">
        <f aca="false">IFERROR(IF([1]对账明细接口!$I$971=0,"",[1]对账明细接口!$I$971),"")</f>
        <v/>
      </c>
      <c r="J971" s="61" t="str">
        <f aca="false">IFERROR(IF([1]对账明细接口!$J$971=0,"",[1]对账明细接口!$J$971),"")</f>
        <v/>
      </c>
      <c r="K971" s="61" t="str">
        <f aca="false">IFERROR(IF([1]对账明细接口!$K$971=0,"",[1]对账明细接口!$K$971),"")</f>
        <v/>
      </c>
      <c r="L971" s="59" t="str">
        <f aca="false">IFERROR(IF([1]对账明细接口!$L$971=0,"",[1]对账明细接口!$L$971),"")</f>
        <v/>
      </c>
      <c r="M971" s="59" t="str">
        <f aca="false">IFERROR(IF([1]对账明细接口!$M$971=0,"",[1]对账明细接口!$M$971),"")</f>
        <v/>
      </c>
      <c r="N971" s="111" t="n">
        <f aca="false">IF($C971="",0,1)</f>
        <v>0</v>
      </c>
      <c r="O971" s="111" t="n">
        <f aca="false">N(O970)+$N971</f>
        <v>110</v>
      </c>
      <c r="S971" s="10" t="str">
        <f aca="false">IFERROR(IF([1]对账明细接口!$N971=0,"",[1]对账明细接口!$N971),"")</f>
        <v/>
      </c>
      <c r="T971" s="112" t="str">
        <f aca="false">IFERROR(IF([1]对账明细接口!$O971=0,"",[1]对账明细接口!$O971),"")</f>
        <v/>
      </c>
      <c r="U971" s="112" t="str">
        <f aca="false">IFERROR(IF([1]对账明细接口!$P971=0,"",[1]对账明细接口!$P971),"")</f>
        <v/>
      </c>
      <c r="V971" s="112" t="str">
        <f aca="false">IFERROR(IF([1]对账明细接口!$Q971=0,"",[1]对账明细接口!$Q971),"")</f>
        <v/>
      </c>
      <c r="W971" s="10" t="str">
        <f aca="false">IFERROR(IF([1]对账明细接口!$R971=0,"",[1]对账明细接口!$R971),"")</f>
        <v/>
      </c>
      <c r="X971" s="10" t="str">
        <f aca="false">IFERROR(IF([1]对账明细接口!$S971=0,"",[1]对账明细接口!$S971),"")</f>
        <v/>
      </c>
      <c r="Y971" s="10" t="str">
        <f aca="false">""</f>
        <v/>
      </c>
      <c r="Z971" s="10" t="str">
        <f aca="false">""</f>
        <v/>
      </c>
      <c r="AA971" s="10" t="str">
        <f aca="false">""</f>
        <v/>
      </c>
      <c r="AB971" s="10" t="str">
        <f aca="false">""</f>
        <v/>
      </c>
    </row>
    <row r="972" customFormat="false" ht="13.5" hidden="false" customHeight="false" outlineLevel="0" collapsed="false">
      <c r="A972" s="109" t="n">
        <v>972</v>
      </c>
      <c r="B972" s="110" t="str">
        <f aca="false">IFERROR(IF([1]对账明细接口!$B$972=0,"",[1]对账明细接口!$B$972),"")</f>
        <v/>
      </c>
      <c r="C972" s="59" t="str">
        <f aca="false">IFERROR(IF([1]对账明细接口!$C$972=0,"",[1]对账明细接口!$C$972),"")</f>
        <v/>
      </c>
      <c r="D972" s="59" t="str">
        <f aca="false">IFERROR(IF([1]对账明细接口!$D$972=0,"",[1]对账明细接口!$D$972),"")</f>
        <v/>
      </c>
      <c r="E972" s="59" t="str">
        <f aca="false">IFERROR(IF([1]对账明细接口!$E$972=0,"",[1]对账明细接口!$E$972),"")</f>
        <v/>
      </c>
      <c r="F972" s="59" t="str">
        <f aca="false">IFERROR(IF([1]对账明细接口!$F$972=0,"",[1]对账明细接口!$F$972),"")</f>
        <v/>
      </c>
      <c r="G972" s="59" t="str">
        <f aca="false">IFERROR(IF([1]对账明细接口!$G$972=0,"",[1]对账明细接口!$G$972),"")</f>
        <v/>
      </c>
      <c r="H972" s="60" t="str">
        <f aca="false">IFERROR(IF([1]对账明细接口!$H$972=0,"",[1]对账明细接口!$H$972),"")</f>
        <v/>
      </c>
      <c r="I972" s="59" t="str">
        <f aca="false">IFERROR(IF([1]对账明细接口!$I$972=0,"",[1]对账明细接口!$I$972),"")</f>
        <v/>
      </c>
      <c r="J972" s="61" t="str">
        <f aca="false">IFERROR(IF([1]对账明细接口!$J$972=0,"",[1]对账明细接口!$J$972),"")</f>
        <v/>
      </c>
      <c r="K972" s="61" t="str">
        <f aca="false">IFERROR(IF([1]对账明细接口!$K$972=0,"",[1]对账明细接口!$K$972),"")</f>
        <v/>
      </c>
      <c r="L972" s="59" t="str">
        <f aca="false">IFERROR(IF([1]对账明细接口!$L$972=0,"",[1]对账明细接口!$L$972),"")</f>
        <v/>
      </c>
      <c r="M972" s="59" t="str">
        <f aca="false">IFERROR(IF([1]对账明细接口!$M$972=0,"",[1]对账明细接口!$M$972),"")</f>
        <v/>
      </c>
      <c r="N972" s="111" t="n">
        <f aca="false">IF($C972="",0,1)</f>
        <v>0</v>
      </c>
      <c r="O972" s="111" t="n">
        <f aca="false">N(O971)+$N972</f>
        <v>110</v>
      </c>
      <c r="S972" s="10" t="str">
        <f aca="false">IFERROR(IF([1]对账明细接口!$N972=0,"",[1]对账明细接口!$N972),"")</f>
        <v/>
      </c>
      <c r="T972" s="112" t="str">
        <f aca="false">IFERROR(IF([1]对账明细接口!$O972=0,"",[1]对账明细接口!$O972),"")</f>
        <v/>
      </c>
      <c r="U972" s="112" t="str">
        <f aca="false">IFERROR(IF([1]对账明细接口!$P972=0,"",[1]对账明细接口!$P972),"")</f>
        <v/>
      </c>
      <c r="V972" s="112" t="str">
        <f aca="false">IFERROR(IF([1]对账明细接口!$Q972=0,"",[1]对账明细接口!$Q972),"")</f>
        <v/>
      </c>
      <c r="W972" s="10" t="str">
        <f aca="false">IFERROR(IF([1]对账明细接口!$R972=0,"",[1]对账明细接口!$R972),"")</f>
        <v/>
      </c>
      <c r="X972" s="10" t="str">
        <f aca="false">IFERROR(IF([1]对账明细接口!$S972=0,"",[1]对账明细接口!$S972),"")</f>
        <v/>
      </c>
      <c r="Y972" s="10" t="str">
        <f aca="false">""</f>
        <v/>
      </c>
      <c r="Z972" s="10" t="str">
        <f aca="false">""</f>
        <v/>
      </c>
      <c r="AA972" s="10" t="str">
        <f aca="false">""</f>
        <v/>
      </c>
      <c r="AB972" s="10" t="str">
        <f aca="false">""</f>
        <v/>
      </c>
    </row>
    <row r="973" customFormat="false" ht="13.5" hidden="false" customHeight="false" outlineLevel="0" collapsed="false">
      <c r="A973" s="109" t="n">
        <v>973</v>
      </c>
      <c r="B973" s="110" t="str">
        <f aca="false">IFERROR(IF([1]对账明细接口!$B$973=0,"",[1]对账明细接口!$B$973),"")</f>
        <v/>
      </c>
      <c r="C973" s="59" t="str">
        <f aca="false">IFERROR(IF([1]对账明细接口!$C$973=0,"",[1]对账明细接口!$C$973),"")</f>
        <v/>
      </c>
      <c r="D973" s="59" t="str">
        <f aca="false">IFERROR(IF([1]对账明细接口!$D$973=0,"",[1]对账明细接口!$D$973),"")</f>
        <v/>
      </c>
      <c r="E973" s="59" t="str">
        <f aca="false">IFERROR(IF([1]对账明细接口!$E$973=0,"",[1]对账明细接口!$E$973),"")</f>
        <v/>
      </c>
      <c r="F973" s="59" t="str">
        <f aca="false">IFERROR(IF([1]对账明细接口!$F$973=0,"",[1]对账明细接口!$F$973),"")</f>
        <v/>
      </c>
      <c r="G973" s="59" t="str">
        <f aca="false">IFERROR(IF([1]对账明细接口!$G$973=0,"",[1]对账明细接口!$G$973),"")</f>
        <v/>
      </c>
      <c r="H973" s="60" t="str">
        <f aca="false">IFERROR(IF([1]对账明细接口!$H$973=0,"",[1]对账明细接口!$H$973),"")</f>
        <v/>
      </c>
      <c r="I973" s="59" t="str">
        <f aca="false">IFERROR(IF([1]对账明细接口!$I$973=0,"",[1]对账明细接口!$I$973),"")</f>
        <v/>
      </c>
      <c r="J973" s="61" t="str">
        <f aca="false">IFERROR(IF([1]对账明细接口!$J$973=0,"",[1]对账明细接口!$J$973),"")</f>
        <v/>
      </c>
      <c r="K973" s="61" t="str">
        <f aca="false">IFERROR(IF([1]对账明细接口!$K$973=0,"",[1]对账明细接口!$K$973),"")</f>
        <v/>
      </c>
      <c r="L973" s="59" t="str">
        <f aca="false">IFERROR(IF([1]对账明细接口!$L$973=0,"",[1]对账明细接口!$L$973),"")</f>
        <v/>
      </c>
      <c r="M973" s="59" t="str">
        <f aca="false">IFERROR(IF([1]对账明细接口!$M$973=0,"",[1]对账明细接口!$M$973),"")</f>
        <v/>
      </c>
      <c r="N973" s="111" t="n">
        <f aca="false">IF($C973="",0,1)</f>
        <v>0</v>
      </c>
      <c r="O973" s="111" t="n">
        <f aca="false">N(O972)+$N973</f>
        <v>110</v>
      </c>
      <c r="S973" s="10" t="str">
        <f aca="false">IFERROR(IF([1]对账明细接口!$N973=0,"",[1]对账明细接口!$N973),"")</f>
        <v/>
      </c>
      <c r="T973" s="112" t="str">
        <f aca="false">IFERROR(IF([1]对账明细接口!$O973=0,"",[1]对账明细接口!$O973),"")</f>
        <v/>
      </c>
      <c r="U973" s="112" t="str">
        <f aca="false">IFERROR(IF([1]对账明细接口!$P973=0,"",[1]对账明细接口!$P973),"")</f>
        <v/>
      </c>
      <c r="V973" s="112" t="str">
        <f aca="false">IFERROR(IF([1]对账明细接口!$Q973=0,"",[1]对账明细接口!$Q973),"")</f>
        <v/>
      </c>
      <c r="W973" s="10" t="str">
        <f aca="false">IFERROR(IF([1]对账明细接口!$R973=0,"",[1]对账明细接口!$R973),"")</f>
        <v/>
      </c>
      <c r="X973" s="10" t="str">
        <f aca="false">IFERROR(IF([1]对账明细接口!$S973=0,"",[1]对账明细接口!$S973),"")</f>
        <v/>
      </c>
      <c r="Y973" s="10" t="str">
        <f aca="false">""</f>
        <v/>
      </c>
      <c r="Z973" s="10" t="str">
        <f aca="false">""</f>
        <v/>
      </c>
      <c r="AA973" s="10" t="str">
        <f aca="false">""</f>
        <v/>
      </c>
      <c r="AB973" s="10" t="str">
        <f aca="false">""</f>
        <v/>
      </c>
    </row>
    <row r="974" customFormat="false" ht="13.5" hidden="false" customHeight="false" outlineLevel="0" collapsed="false">
      <c r="A974" s="109" t="n">
        <v>974</v>
      </c>
      <c r="B974" s="110" t="str">
        <f aca="false">IFERROR(IF([1]对账明细接口!$B$974=0,"",[1]对账明细接口!$B$974),"")</f>
        <v/>
      </c>
      <c r="C974" s="59" t="str">
        <f aca="false">IFERROR(IF([1]对账明细接口!$C$974=0,"",[1]对账明细接口!$C$974),"")</f>
        <v/>
      </c>
      <c r="D974" s="59" t="str">
        <f aca="false">IFERROR(IF([1]对账明细接口!$D$974=0,"",[1]对账明细接口!$D$974),"")</f>
        <v/>
      </c>
      <c r="E974" s="59" t="str">
        <f aca="false">IFERROR(IF([1]对账明细接口!$E$974=0,"",[1]对账明细接口!$E$974),"")</f>
        <v/>
      </c>
      <c r="F974" s="59" t="str">
        <f aca="false">IFERROR(IF([1]对账明细接口!$F$974=0,"",[1]对账明细接口!$F$974),"")</f>
        <v/>
      </c>
      <c r="G974" s="59" t="str">
        <f aca="false">IFERROR(IF([1]对账明细接口!$G$974=0,"",[1]对账明细接口!$G$974),"")</f>
        <v/>
      </c>
      <c r="H974" s="60" t="str">
        <f aca="false">IFERROR(IF([1]对账明细接口!$H$974=0,"",[1]对账明细接口!$H$974),"")</f>
        <v/>
      </c>
      <c r="I974" s="59" t="str">
        <f aca="false">IFERROR(IF([1]对账明细接口!$I$974=0,"",[1]对账明细接口!$I$974),"")</f>
        <v/>
      </c>
      <c r="J974" s="61" t="str">
        <f aca="false">IFERROR(IF([1]对账明细接口!$J$974=0,"",[1]对账明细接口!$J$974),"")</f>
        <v/>
      </c>
      <c r="K974" s="61" t="str">
        <f aca="false">IFERROR(IF([1]对账明细接口!$K$974=0,"",[1]对账明细接口!$K$974),"")</f>
        <v/>
      </c>
      <c r="L974" s="59" t="str">
        <f aca="false">IFERROR(IF([1]对账明细接口!$L$974=0,"",[1]对账明细接口!$L$974),"")</f>
        <v/>
      </c>
      <c r="M974" s="59" t="str">
        <f aca="false">IFERROR(IF([1]对账明细接口!$M$974=0,"",[1]对账明细接口!$M$974),"")</f>
        <v/>
      </c>
      <c r="N974" s="111" t="n">
        <f aca="false">IF($C974="",0,1)</f>
        <v>0</v>
      </c>
      <c r="O974" s="111" t="n">
        <f aca="false">N(O973)+$N974</f>
        <v>110</v>
      </c>
      <c r="S974" s="10" t="str">
        <f aca="false">IFERROR(IF([1]对账明细接口!$N974=0,"",[1]对账明细接口!$N974),"")</f>
        <v/>
      </c>
      <c r="T974" s="112" t="str">
        <f aca="false">IFERROR(IF([1]对账明细接口!$O974=0,"",[1]对账明细接口!$O974),"")</f>
        <v/>
      </c>
      <c r="U974" s="112" t="str">
        <f aca="false">IFERROR(IF([1]对账明细接口!$P974=0,"",[1]对账明细接口!$P974),"")</f>
        <v/>
      </c>
      <c r="V974" s="112" t="str">
        <f aca="false">IFERROR(IF([1]对账明细接口!$Q974=0,"",[1]对账明细接口!$Q974),"")</f>
        <v/>
      </c>
      <c r="W974" s="10" t="str">
        <f aca="false">IFERROR(IF([1]对账明细接口!$R974=0,"",[1]对账明细接口!$R974),"")</f>
        <v/>
      </c>
      <c r="X974" s="10" t="str">
        <f aca="false">IFERROR(IF([1]对账明细接口!$S974=0,"",[1]对账明细接口!$S974),"")</f>
        <v/>
      </c>
      <c r="Y974" s="10" t="str">
        <f aca="false">""</f>
        <v/>
      </c>
      <c r="Z974" s="10" t="str">
        <f aca="false">""</f>
        <v/>
      </c>
      <c r="AA974" s="10" t="str">
        <f aca="false">""</f>
        <v/>
      </c>
      <c r="AB974" s="10" t="str">
        <f aca="false">""</f>
        <v/>
      </c>
    </row>
    <row r="975" customFormat="false" ht="13.5" hidden="false" customHeight="false" outlineLevel="0" collapsed="false">
      <c r="A975" s="109" t="n">
        <v>975</v>
      </c>
      <c r="B975" s="110" t="str">
        <f aca="false">IFERROR(IF([1]对账明细接口!$B$975=0,"",[1]对账明细接口!$B$975),"")</f>
        <v/>
      </c>
      <c r="C975" s="59" t="str">
        <f aca="false">IFERROR(IF([1]对账明细接口!$C$975=0,"",[1]对账明细接口!$C$975),"")</f>
        <v/>
      </c>
      <c r="D975" s="59" t="str">
        <f aca="false">IFERROR(IF([1]对账明细接口!$D$975=0,"",[1]对账明细接口!$D$975),"")</f>
        <v/>
      </c>
      <c r="E975" s="59" t="str">
        <f aca="false">IFERROR(IF([1]对账明细接口!$E$975=0,"",[1]对账明细接口!$E$975),"")</f>
        <v/>
      </c>
      <c r="F975" s="59" t="str">
        <f aca="false">IFERROR(IF([1]对账明细接口!$F$975=0,"",[1]对账明细接口!$F$975),"")</f>
        <v/>
      </c>
      <c r="G975" s="59" t="str">
        <f aca="false">IFERROR(IF([1]对账明细接口!$G$975=0,"",[1]对账明细接口!$G$975),"")</f>
        <v/>
      </c>
      <c r="H975" s="60" t="str">
        <f aca="false">IFERROR(IF([1]对账明细接口!$H$975=0,"",[1]对账明细接口!$H$975),"")</f>
        <v/>
      </c>
      <c r="I975" s="59" t="str">
        <f aca="false">IFERROR(IF([1]对账明细接口!$I$975=0,"",[1]对账明细接口!$I$975),"")</f>
        <v/>
      </c>
      <c r="J975" s="61" t="str">
        <f aca="false">IFERROR(IF([1]对账明细接口!$J$975=0,"",[1]对账明细接口!$J$975),"")</f>
        <v/>
      </c>
      <c r="K975" s="61" t="str">
        <f aca="false">IFERROR(IF([1]对账明细接口!$K$975=0,"",[1]对账明细接口!$K$975),"")</f>
        <v/>
      </c>
      <c r="L975" s="59" t="str">
        <f aca="false">IFERROR(IF([1]对账明细接口!$L$975=0,"",[1]对账明细接口!$L$975),"")</f>
        <v/>
      </c>
      <c r="M975" s="59" t="str">
        <f aca="false">IFERROR(IF([1]对账明细接口!$M$975=0,"",[1]对账明细接口!$M$975),"")</f>
        <v/>
      </c>
      <c r="N975" s="111" t="n">
        <f aca="false">IF($C975="",0,1)</f>
        <v>0</v>
      </c>
      <c r="O975" s="111" t="n">
        <f aca="false">N(O974)+$N975</f>
        <v>110</v>
      </c>
      <c r="S975" s="10" t="str">
        <f aca="false">IFERROR(IF([1]对账明细接口!$N975=0,"",[1]对账明细接口!$N975),"")</f>
        <v/>
      </c>
      <c r="T975" s="112" t="str">
        <f aca="false">IFERROR(IF([1]对账明细接口!$O975=0,"",[1]对账明细接口!$O975),"")</f>
        <v/>
      </c>
      <c r="U975" s="112" t="str">
        <f aca="false">IFERROR(IF([1]对账明细接口!$P975=0,"",[1]对账明细接口!$P975),"")</f>
        <v/>
      </c>
      <c r="V975" s="112" t="str">
        <f aca="false">IFERROR(IF([1]对账明细接口!$Q975=0,"",[1]对账明细接口!$Q975),"")</f>
        <v/>
      </c>
      <c r="W975" s="10" t="str">
        <f aca="false">IFERROR(IF([1]对账明细接口!$R975=0,"",[1]对账明细接口!$R975),"")</f>
        <v/>
      </c>
      <c r="X975" s="10" t="str">
        <f aca="false">IFERROR(IF([1]对账明细接口!$S975=0,"",[1]对账明细接口!$S975),"")</f>
        <v/>
      </c>
      <c r="Y975" s="10" t="str">
        <f aca="false">""</f>
        <v/>
      </c>
      <c r="Z975" s="10" t="str">
        <f aca="false">""</f>
        <v/>
      </c>
      <c r="AA975" s="10" t="str">
        <f aca="false">""</f>
        <v/>
      </c>
      <c r="AB975" s="10" t="str">
        <f aca="false">""</f>
        <v/>
      </c>
    </row>
    <row r="976" customFormat="false" ht="13.5" hidden="false" customHeight="false" outlineLevel="0" collapsed="false">
      <c r="A976" s="109" t="n">
        <v>976</v>
      </c>
      <c r="B976" s="110" t="str">
        <f aca="false">IFERROR(IF([1]对账明细接口!$B$976=0,"",[1]对账明细接口!$B$976),"")</f>
        <v/>
      </c>
      <c r="C976" s="59" t="str">
        <f aca="false">IFERROR(IF([1]对账明细接口!$C$976=0,"",[1]对账明细接口!$C$976),"")</f>
        <v/>
      </c>
      <c r="D976" s="59" t="str">
        <f aca="false">IFERROR(IF([1]对账明细接口!$D$976=0,"",[1]对账明细接口!$D$976),"")</f>
        <v/>
      </c>
      <c r="E976" s="59" t="str">
        <f aca="false">IFERROR(IF([1]对账明细接口!$E$976=0,"",[1]对账明细接口!$E$976),"")</f>
        <v/>
      </c>
      <c r="F976" s="59" t="str">
        <f aca="false">IFERROR(IF([1]对账明细接口!$F$976=0,"",[1]对账明细接口!$F$976),"")</f>
        <v/>
      </c>
      <c r="G976" s="59" t="str">
        <f aca="false">IFERROR(IF([1]对账明细接口!$G$976=0,"",[1]对账明细接口!$G$976),"")</f>
        <v/>
      </c>
      <c r="H976" s="60" t="str">
        <f aca="false">IFERROR(IF([1]对账明细接口!$H$976=0,"",[1]对账明细接口!$H$976),"")</f>
        <v/>
      </c>
      <c r="I976" s="59" t="str">
        <f aca="false">IFERROR(IF([1]对账明细接口!$I$976=0,"",[1]对账明细接口!$I$976),"")</f>
        <v/>
      </c>
      <c r="J976" s="61" t="str">
        <f aca="false">IFERROR(IF([1]对账明细接口!$J$976=0,"",[1]对账明细接口!$J$976),"")</f>
        <v/>
      </c>
      <c r="K976" s="61" t="str">
        <f aca="false">IFERROR(IF([1]对账明细接口!$K$976=0,"",[1]对账明细接口!$K$976),"")</f>
        <v/>
      </c>
      <c r="L976" s="59" t="str">
        <f aca="false">IFERROR(IF([1]对账明细接口!$L$976=0,"",[1]对账明细接口!$L$976),"")</f>
        <v/>
      </c>
      <c r="M976" s="59" t="str">
        <f aca="false">IFERROR(IF([1]对账明细接口!$M$976=0,"",[1]对账明细接口!$M$976),"")</f>
        <v/>
      </c>
      <c r="N976" s="111" t="n">
        <f aca="false">IF($C976="",0,1)</f>
        <v>0</v>
      </c>
      <c r="O976" s="111" t="n">
        <f aca="false">N(O975)+$N976</f>
        <v>110</v>
      </c>
      <c r="S976" s="10" t="str">
        <f aca="false">IFERROR(IF([1]对账明细接口!$N976=0,"",[1]对账明细接口!$N976),"")</f>
        <v/>
      </c>
      <c r="T976" s="112" t="str">
        <f aca="false">IFERROR(IF([1]对账明细接口!$O976=0,"",[1]对账明细接口!$O976),"")</f>
        <v/>
      </c>
      <c r="U976" s="112" t="str">
        <f aca="false">IFERROR(IF([1]对账明细接口!$P976=0,"",[1]对账明细接口!$P976),"")</f>
        <v/>
      </c>
      <c r="V976" s="112" t="str">
        <f aca="false">IFERROR(IF([1]对账明细接口!$Q976=0,"",[1]对账明细接口!$Q976),"")</f>
        <v/>
      </c>
      <c r="W976" s="10" t="str">
        <f aca="false">IFERROR(IF([1]对账明细接口!$R976=0,"",[1]对账明细接口!$R976),"")</f>
        <v/>
      </c>
      <c r="X976" s="10" t="str">
        <f aca="false">IFERROR(IF([1]对账明细接口!$S976=0,"",[1]对账明细接口!$S976),"")</f>
        <v/>
      </c>
      <c r="Y976" s="10" t="str">
        <f aca="false">""</f>
        <v/>
      </c>
      <c r="Z976" s="10" t="str">
        <f aca="false">""</f>
        <v/>
      </c>
      <c r="AA976" s="10" t="str">
        <f aca="false">""</f>
        <v/>
      </c>
      <c r="AB976" s="10" t="str">
        <f aca="false">""</f>
        <v/>
      </c>
    </row>
    <row r="977" customFormat="false" ht="13.5" hidden="false" customHeight="false" outlineLevel="0" collapsed="false">
      <c r="A977" s="109" t="n">
        <v>977</v>
      </c>
      <c r="B977" s="110" t="str">
        <f aca="false">IFERROR(IF([1]对账明细接口!$B$977=0,"",[1]对账明细接口!$B$977),"")</f>
        <v/>
      </c>
      <c r="C977" s="59" t="str">
        <f aca="false">IFERROR(IF([1]对账明细接口!$C$977=0,"",[1]对账明细接口!$C$977),"")</f>
        <v/>
      </c>
      <c r="D977" s="59" t="str">
        <f aca="false">IFERROR(IF([1]对账明细接口!$D$977=0,"",[1]对账明细接口!$D$977),"")</f>
        <v/>
      </c>
      <c r="E977" s="59" t="str">
        <f aca="false">IFERROR(IF([1]对账明细接口!$E$977=0,"",[1]对账明细接口!$E$977),"")</f>
        <v/>
      </c>
      <c r="F977" s="59" t="str">
        <f aca="false">IFERROR(IF([1]对账明细接口!$F$977=0,"",[1]对账明细接口!$F$977),"")</f>
        <v/>
      </c>
      <c r="G977" s="59" t="str">
        <f aca="false">IFERROR(IF([1]对账明细接口!$G$977=0,"",[1]对账明细接口!$G$977),"")</f>
        <v/>
      </c>
      <c r="H977" s="60" t="str">
        <f aca="false">IFERROR(IF([1]对账明细接口!$H$977=0,"",[1]对账明细接口!$H$977),"")</f>
        <v/>
      </c>
      <c r="I977" s="59" t="str">
        <f aca="false">IFERROR(IF([1]对账明细接口!$I$977=0,"",[1]对账明细接口!$I$977),"")</f>
        <v/>
      </c>
      <c r="J977" s="61" t="str">
        <f aca="false">IFERROR(IF([1]对账明细接口!$J$977=0,"",[1]对账明细接口!$J$977),"")</f>
        <v/>
      </c>
      <c r="K977" s="61" t="str">
        <f aca="false">IFERROR(IF([1]对账明细接口!$K$977=0,"",[1]对账明细接口!$K$977),"")</f>
        <v/>
      </c>
      <c r="L977" s="59" t="str">
        <f aca="false">IFERROR(IF([1]对账明细接口!$L$977=0,"",[1]对账明细接口!$L$977),"")</f>
        <v/>
      </c>
      <c r="M977" s="59" t="str">
        <f aca="false">IFERROR(IF([1]对账明细接口!$M$977=0,"",[1]对账明细接口!$M$977),"")</f>
        <v/>
      </c>
      <c r="N977" s="111" t="n">
        <f aca="false">IF($C977="",0,1)</f>
        <v>0</v>
      </c>
      <c r="O977" s="111" t="n">
        <f aca="false">N(O976)+$N977</f>
        <v>110</v>
      </c>
      <c r="S977" s="10" t="str">
        <f aca="false">IFERROR(IF([1]对账明细接口!$N977=0,"",[1]对账明细接口!$N977),"")</f>
        <v/>
      </c>
      <c r="T977" s="112" t="str">
        <f aca="false">IFERROR(IF([1]对账明细接口!$O977=0,"",[1]对账明细接口!$O977),"")</f>
        <v/>
      </c>
      <c r="U977" s="112" t="str">
        <f aca="false">IFERROR(IF([1]对账明细接口!$P977=0,"",[1]对账明细接口!$P977),"")</f>
        <v/>
      </c>
      <c r="V977" s="112" t="str">
        <f aca="false">IFERROR(IF([1]对账明细接口!$Q977=0,"",[1]对账明细接口!$Q977),"")</f>
        <v/>
      </c>
      <c r="W977" s="10" t="str">
        <f aca="false">IFERROR(IF([1]对账明细接口!$R977=0,"",[1]对账明细接口!$R977),"")</f>
        <v/>
      </c>
      <c r="X977" s="10" t="str">
        <f aca="false">IFERROR(IF([1]对账明细接口!$S977=0,"",[1]对账明细接口!$S977),"")</f>
        <v/>
      </c>
      <c r="Y977" s="10" t="str">
        <f aca="false">""</f>
        <v/>
      </c>
      <c r="Z977" s="10" t="str">
        <f aca="false">""</f>
        <v/>
      </c>
      <c r="AA977" s="10" t="str">
        <f aca="false">""</f>
        <v/>
      </c>
      <c r="AB977" s="10" t="str">
        <f aca="false">""</f>
        <v/>
      </c>
    </row>
    <row r="978" customFormat="false" ht="13.5" hidden="false" customHeight="false" outlineLevel="0" collapsed="false">
      <c r="A978" s="109" t="n">
        <v>978</v>
      </c>
      <c r="B978" s="110" t="str">
        <f aca="false">IFERROR(IF([1]对账明细接口!$B$978=0,"",[1]对账明细接口!$B$978),"")</f>
        <v/>
      </c>
      <c r="C978" s="59" t="str">
        <f aca="false">IFERROR(IF([1]对账明细接口!$C$978=0,"",[1]对账明细接口!$C$978),"")</f>
        <v/>
      </c>
      <c r="D978" s="59" t="str">
        <f aca="false">IFERROR(IF([1]对账明细接口!$D$978=0,"",[1]对账明细接口!$D$978),"")</f>
        <v/>
      </c>
      <c r="E978" s="59" t="str">
        <f aca="false">IFERROR(IF([1]对账明细接口!$E$978=0,"",[1]对账明细接口!$E$978),"")</f>
        <v/>
      </c>
      <c r="F978" s="59" t="str">
        <f aca="false">IFERROR(IF([1]对账明细接口!$F$978=0,"",[1]对账明细接口!$F$978),"")</f>
        <v/>
      </c>
      <c r="G978" s="59" t="str">
        <f aca="false">IFERROR(IF([1]对账明细接口!$G$978=0,"",[1]对账明细接口!$G$978),"")</f>
        <v/>
      </c>
      <c r="H978" s="60" t="str">
        <f aca="false">IFERROR(IF([1]对账明细接口!$H$978=0,"",[1]对账明细接口!$H$978),"")</f>
        <v/>
      </c>
      <c r="I978" s="59" t="str">
        <f aca="false">IFERROR(IF([1]对账明细接口!$I$978=0,"",[1]对账明细接口!$I$978),"")</f>
        <v/>
      </c>
      <c r="J978" s="61" t="str">
        <f aca="false">IFERROR(IF([1]对账明细接口!$J$978=0,"",[1]对账明细接口!$J$978),"")</f>
        <v/>
      </c>
      <c r="K978" s="61" t="str">
        <f aca="false">IFERROR(IF([1]对账明细接口!$K$978=0,"",[1]对账明细接口!$K$978),"")</f>
        <v/>
      </c>
      <c r="L978" s="59" t="str">
        <f aca="false">IFERROR(IF([1]对账明细接口!$L$978=0,"",[1]对账明细接口!$L$978),"")</f>
        <v/>
      </c>
      <c r="M978" s="59" t="str">
        <f aca="false">IFERROR(IF([1]对账明细接口!$M$978=0,"",[1]对账明细接口!$M$978),"")</f>
        <v/>
      </c>
      <c r="N978" s="111" t="n">
        <f aca="false">IF($C978="",0,1)</f>
        <v>0</v>
      </c>
      <c r="O978" s="111" t="n">
        <f aca="false">N(O977)+$N978</f>
        <v>110</v>
      </c>
      <c r="S978" s="10" t="str">
        <f aca="false">IFERROR(IF([1]对账明细接口!$N978=0,"",[1]对账明细接口!$N978),"")</f>
        <v/>
      </c>
      <c r="T978" s="112" t="str">
        <f aca="false">IFERROR(IF([1]对账明细接口!$O978=0,"",[1]对账明细接口!$O978),"")</f>
        <v/>
      </c>
      <c r="U978" s="112" t="str">
        <f aca="false">IFERROR(IF([1]对账明细接口!$P978=0,"",[1]对账明细接口!$P978),"")</f>
        <v/>
      </c>
      <c r="V978" s="112" t="str">
        <f aca="false">IFERROR(IF([1]对账明细接口!$Q978=0,"",[1]对账明细接口!$Q978),"")</f>
        <v/>
      </c>
      <c r="W978" s="10" t="str">
        <f aca="false">IFERROR(IF([1]对账明细接口!$R978=0,"",[1]对账明细接口!$R978),"")</f>
        <v/>
      </c>
      <c r="X978" s="10" t="str">
        <f aca="false">IFERROR(IF([1]对账明细接口!$S978=0,"",[1]对账明细接口!$S978),"")</f>
        <v/>
      </c>
      <c r="Y978" s="10" t="str">
        <f aca="false">""</f>
        <v/>
      </c>
      <c r="Z978" s="10" t="str">
        <f aca="false">""</f>
        <v/>
      </c>
      <c r="AA978" s="10" t="str">
        <f aca="false">""</f>
        <v/>
      </c>
      <c r="AB978" s="10" t="str">
        <f aca="false">""</f>
        <v/>
      </c>
    </row>
    <row r="979" customFormat="false" ht="13.5" hidden="false" customHeight="false" outlineLevel="0" collapsed="false">
      <c r="A979" s="109" t="n">
        <v>979</v>
      </c>
      <c r="B979" s="110" t="str">
        <f aca="false">IFERROR(IF([1]对账明细接口!$B$979=0,"",[1]对账明细接口!$B$979),"")</f>
        <v/>
      </c>
      <c r="C979" s="59" t="str">
        <f aca="false">IFERROR(IF([1]对账明细接口!$C$979=0,"",[1]对账明细接口!$C$979),"")</f>
        <v/>
      </c>
      <c r="D979" s="59" t="str">
        <f aca="false">IFERROR(IF([1]对账明细接口!$D$979=0,"",[1]对账明细接口!$D$979),"")</f>
        <v/>
      </c>
      <c r="E979" s="59" t="str">
        <f aca="false">IFERROR(IF([1]对账明细接口!$E$979=0,"",[1]对账明细接口!$E$979),"")</f>
        <v/>
      </c>
      <c r="F979" s="59" t="str">
        <f aca="false">IFERROR(IF([1]对账明细接口!$F$979=0,"",[1]对账明细接口!$F$979),"")</f>
        <v/>
      </c>
      <c r="G979" s="59" t="str">
        <f aca="false">IFERROR(IF([1]对账明细接口!$G$979=0,"",[1]对账明细接口!$G$979),"")</f>
        <v/>
      </c>
      <c r="H979" s="60" t="str">
        <f aca="false">IFERROR(IF([1]对账明细接口!$H$979=0,"",[1]对账明细接口!$H$979),"")</f>
        <v/>
      </c>
      <c r="I979" s="59" t="str">
        <f aca="false">IFERROR(IF([1]对账明细接口!$I$979=0,"",[1]对账明细接口!$I$979),"")</f>
        <v/>
      </c>
      <c r="J979" s="61" t="str">
        <f aca="false">IFERROR(IF([1]对账明细接口!$J$979=0,"",[1]对账明细接口!$J$979),"")</f>
        <v/>
      </c>
      <c r="K979" s="61" t="str">
        <f aca="false">IFERROR(IF([1]对账明细接口!$K$979=0,"",[1]对账明细接口!$K$979),"")</f>
        <v/>
      </c>
      <c r="L979" s="59" t="str">
        <f aca="false">IFERROR(IF([1]对账明细接口!$L$979=0,"",[1]对账明细接口!$L$979),"")</f>
        <v/>
      </c>
      <c r="M979" s="59" t="str">
        <f aca="false">IFERROR(IF([1]对账明细接口!$M$979=0,"",[1]对账明细接口!$M$979),"")</f>
        <v/>
      </c>
      <c r="N979" s="111" t="n">
        <f aca="false">IF($C979="",0,1)</f>
        <v>0</v>
      </c>
      <c r="O979" s="111" t="n">
        <f aca="false">N(O978)+$N979</f>
        <v>110</v>
      </c>
      <c r="S979" s="10" t="str">
        <f aca="false">IFERROR(IF([1]对账明细接口!$N979=0,"",[1]对账明细接口!$N979),"")</f>
        <v/>
      </c>
      <c r="T979" s="112" t="str">
        <f aca="false">IFERROR(IF([1]对账明细接口!$O979=0,"",[1]对账明细接口!$O979),"")</f>
        <v/>
      </c>
      <c r="U979" s="112" t="str">
        <f aca="false">IFERROR(IF([1]对账明细接口!$P979=0,"",[1]对账明细接口!$P979),"")</f>
        <v/>
      </c>
      <c r="V979" s="112" t="str">
        <f aca="false">IFERROR(IF([1]对账明细接口!$Q979=0,"",[1]对账明细接口!$Q979),"")</f>
        <v/>
      </c>
      <c r="W979" s="10" t="str">
        <f aca="false">IFERROR(IF([1]对账明细接口!$R979=0,"",[1]对账明细接口!$R979),"")</f>
        <v/>
      </c>
      <c r="X979" s="10" t="str">
        <f aca="false">IFERROR(IF([1]对账明细接口!$S979=0,"",[1]对账明细接口!$S979),"")</f>
        <v/>
      </c>
      <c r="Y979" s="10" t="str">
        <f aca="false">""</f>
        <v/>
      </c>
      <c r="Z979" s="10" t="str">
        <f aca="false">""</f>
        <v/>
      </c>
      <c r="AA979" s="10" t="str">
        <f aca="false">""</f>
        <v/>
      </c>
      <c r="AB979" s="10" t="str">
        <f aca="false">""</f>
        <v/>
      </c>
    </row>
    <row r="980" customFormat="false" ht="13.5" hidden="false" customHeight="false" outlineLevel="0" collapsed="false">
      <c r="A980" s="109" t="n">
        <v>980</v>
      </c>
      <c r="B980" s="110" t="str">
        <f aca="false">IFERROR(IF([1]对账明细接口!$B$980=0,"",[1]对账明细接口!$B$980),"")</f>
        <v/>
      </c>
      <c r="C980" s="59" t="str">
        <f aca="false">IFERROR(IF([1]对账明细接口!$C$980=0,"",[1]对账明细接口!$C$980),"")</f>
        <v/>
      </c>
      <c r="D980" s="59" t="str">
        <f aca="false">IFERROR(IF([1]对账明细接口!$D$980=0,"",[1]对账明细接口!$D$980),"")</f>
        <v/>
      </c>
      <c r="E980" s="59" t="str">
        <f aca="false">IFERROR(IF([1]对账明细接口!$E$980=0,"",[1]对账明细接口!$E$980),"")</f>
        <v/>
      </c>
      <c r="F980" s="59" t="str">
        <f aca="false">IFERROR(IF([1]对账明细接口!$F$980=0,"",[1]对账明细接口!$F$980),"")</f>
        <v/>
      </c>
      <c r="G980" s="59" t="str">
        <f aca="false">IFERROR(IF([1]对账明细接口!$G$980=0,"",[1]对账明细接口!$G$980),"")</f>
        <v/>
      </c>
      <c r="H980" s="60" t="str">
        <f aca="false">IFERROR(IF([1]对账明细接口!$H$980=0,"",[1]对账明细接口!$H$980),"")</f>
        <v/>
      </c>
      <c r="I980" s="59" t="str">
        <f aca="false">IFERROR(IF([1]对账明细接口!$I$980=0,"",[1]对账明细接口!$I$980),"")</f>
        <v/>
      </c>
      <c r="J980" s="61" t="str">
        <f aca="false">IFERROR(IF([1]对账明细接口!$J$980=0,"",[1]对账明细接口!$J$980),"")</f>
        <v/>
      </c>
      <c r="K980" s="61" t="str">
        <f aca="false">IFERROR(IF([1]对账明细接口!$K$980=0,"",[1]对账明细接口!$K$980),"")</f>
        <v/>
      </c>
      <c r="L980" s="59" t="str">
        <f aca="false">IFERROR(IF([1]对账明细接口!$L$980=0,"",[1]对账明细接口!$L$980),"")</f>
        <v/>
      </c>
      <c r="M980" s="59" t="str">
        <f aca="false">IFERROR(IF([1]对账明细接口!$M$980=0,"",[1]对账明细接口!$M$980),"")</f>
        <v/>
      </c>
      <c r="N980" s="111" t="n">
        <f aca="false">IF($C980="",0,1)</f>
        <v>0</v>
      </c>
      <c r="O980" s="111" t="n">
        <f aca="false">N(O979)+$N980</f>
        <v>110</v>
      </c>
      <c r="S980" s="10" t="str">
        <f aca="false">IFERROR(IF([1]对账明细接口!$N980=0,"",[1]对账明细接口!$N980),"")</f>
        <v/>
      </c>
      <c r="T980" s="112" t="str">
        <f aca="false">IFERROR(IF([1]对账明细接口!$O980=0,"",[1]对账明细接口!$O980),"")</f>
        <v/>
      </c>
      <c r="U980" s="112" t="str">
        <f aca="false">IFERROR(IF([1]对账明细接口!$P980=0,"",[1]对账明细接口!$P980),"")</f>
        <v/>
      </c>
      <c r="V980" s="112" t="str">
        <f aca="false">IFERROR(IF([1]对账明细接口!$Q980=0,"",[1]对账明细接口!$Q980),"")</f>
        <v/>
      </c>
      <c r="W980" s="10" t="str">
        <f aca="false">IFERROR(IF([1]对账明细接口!$R980=0,"",[1]对账明细接口!$R980),"")</f>
        <v/>
      </c>
      <c r="X980" s="10" t="str">
        <f aca="false">IFERROR(IF([1]对账明细接口!$S980=0,"",[1]对账明细接口!$S980),"")</f>
        <v/>
      </c>
      <c r="Y980" s="10" t="str">
        <f aca="false">""</f>
        <v/>
      </c>
      <c r="Z980" s="10" t="str">
        <f aca="false">""</f>
        <v/>
      </c>
      <c r="AA980" s="10" t="str">
        <f aca="false">""</f>
        <v/>
      </c>
      <c r="AB980" s="10" t="str">
        <f aca="false">""</f>
        <v/>
      </c>
    </row>
    <row r="981" customFormat="false" ht="13.5" hidden="false" customHeight="false" outlineLevel="0" collapsed="false">
      <c r="A981" s="109" t="n">
        <v>981</v>
      </c>
      <c r="B981" s="110" t="str">
        <f aca="false">IFERROR(IF([1]对账明细接口!$B$981=0,"",[1]对账明细接口!$B$981),"")</f>
        <v/>
      </c>
      <c r="C981" s="59" t="str">
        <f aca="false">IFERROR(IF([1]对账明细接口!$C$981=0,"",[1]对账明细接口!$C$981),"")</f>
        <v/>
      </c>
      <c r="D981" s="59" t="str">
        <f aca="false">IFERROR(IF([1]对账明细接口!$D$981=0,"",[1]对账明细接口!$D$981),"")</f>
        <v/>
      </c>
      <c r="E981" s="59" t="str">
        <f aca="false">IFERROR(IF([1]对账明细接口!$E$981=0,"",[1]对账明细接口!$E$981),"")</f>
        <v/>
      </c>
      <c r="F981" s="59" t="str">
        <f aca="false">IFERROR(IF([1]对账明细接口!$F$981=0,"",[1]对账明细接口!$F$981),"")</f>
        <v/>
      </c>
      <c r="G981" s="59" t="str">
        <f aca="false">IFERROR(IF([1]对账明细接口!$G$981=0,"",[1]对账明细接口!$G$981),"")</f>
        <v/>
      </c>
      <c r="H981" s="60" t="str">
        <f aca="false">IFERROR(IF([1]对账明细接口!$H$981=0,"",[1]对账明细接口!$H$981),"")</f>
        <v/>
      </c>
      <c r="I981" s="59" t="str">
        <f aca="false">IFERROR(IF([1]对账明细接口!$I$981=0,"",[1]对账明细接口!$I$981),"")</f>
        <v/>
      </c>
      <c r="J981" s="61" t="str">
        <f aca="false">IFERROR(IF([1]对账明细接口!$J$981=0,"",[1]对账明细接口!$J$981),"")</f>
        <v/>
      </c>
      <c r="K981" s="61" t="str">
        <f aca="false">IFERROR(IF([1]对账明细接口!$K$981=0,"",[1]对账明细接口!$K$981),"")</f>
        <v/>
      </c>
      <c r="L981" s="59" t="str">
        <f aca="false">IFERROR(IF([1]对账明细接口!$L$981=0,"",[1]对账明细接口!$L$981),"")</f>
        <v/>
      </c>
      <c r="M981" s="59" t="str">
        <f aca="false">IFERROR(IF([1]对账明细接口!$M$981=0,"",[1]对账明细接口!$M$981),"")</f>
        <v/>
      </c>
      <c r="N981" s="111" t="n">
        <f aca="false">IF($C981="",0,1)</f>
        <v>0</v>
      </c>
      <c r="O981" s="111" t="n">
        <f aca="false">N(O980)+$N981</f>
        <v>110</v>
      </c>
      <c r="S981" s="10" t="str">
        <f aca="false">IFERROR(IF([1]对账明细接口!$N981=0,"",[1]对账明细接口!$N981),"")</f>
        <v/>
      </c>
      <c r="T981" s="112" t="str">
        <f aca="false">IFERROR(IF([1]对账明细接口!$O981=0,"",[1]对账明细接口!$O981),"")</f>
        <v/>
      </c>
      <c r="U981" s="112" t="str">
        <f aca="false">IFERROR(IF([1]对账明细接口!$P981=0,"",[1]对账明细接口!$P981),"")</f>
        <v/>
      </c>
      <c r="V981" s="112" t="str">
        <f aca="false">IFERROR(IF([1]对账明细接口!$Q981=0,"",[1]对账明细接口!$Q981),"")</f>
        <v/>
      </c>
      <c r="W981" s="10" t="str">
        <f aca="false">IFERROR(IF([1]对账明细接口!$R981=0,"",[1]对账明细接口!$R981),"")</f>
        <v/>
      </c>
      <c r="X981" s="10" t="str">
        <f aca="false">IFERROR(IF([1]对账明细接口!$S981=0,"",[1]对账明细接口!$S981),"")</f>
        <v/>
      </c>
      <c r="Y981" s="10" t="str">
        <f aca="false">""</f>
        <v/>
      </c>
      <c r="Z981" s="10" t="str">
        <f aca="false">""</f>
        <v/>
      </c>
      <c r="AA981" s="10" t="str">
        <f aca="false">""</f>
        <v/>
      </c>
      <c r="AB981" s="10" t="str">
        <f aca="false">""</f>
        <v/>
      </c>
    </row>
    <row r="982" customFormat="false" ht="13.5" hidden="false" customHeight="false" outlineLevel="0" collapsed="false">
      <c r="A982" s="109" t="n">
        <v>982</v>
      </c>
      <c r="B982" s="110" t="str">
        <f aca="false">IFERROR(IF([1]对账明细接口!$B$982=0,"",[1]对账明细接口!$B$982),"")</f>
        <v/>
      </c>
      <c r="C982" s="59" t="str">
        <f aca="false">IFERROR(IF([1]对账明细接口!$C$982=0,"",[1]对账明细接口!$C$982),"")</f>
        <v/>
      </c>
      <c r="D982" s="59" t="str">
        <f aca="false">IFERROR(IF([1]对账明细接口!$D$982=0,"",[1]对账明细接口!$D$982),"")</f>
        <v/>
      </c>
      <c r="E982" s="59" t="str">
        <f aca="false">IFERROR(IF([1]对账明细接口!$E$982=0,"",[1]对账明细接口!$E$982),"")</f>
        <v/>
      </c>
      <c r="F982" s="59" t="str">
        <f aca="false">IFERROR(IF([1]对账明细接口!$F$982=0,"",[1]对账明细接口!$F$982),"")</f>
        <v/>
      </c>
      <c r="G982" s="59" t="str">
        <f aca="false">IFERROR(IF([1]对账明细接口!$G$982=0,"",[1]对账明细接口!$G$982),"")</f>
        <v/>
      </c>
      <c r="H982" s="60" t="str">
        <f aca="false">IFERROR(IF([1]对账明细接口!$H$982=0,"",[1]对账明细接口!$H$982),"")</f>
        <v/>
      </c>
      <c r="I982" s="59" t="str">
        <f aca="false">IFERROR(IF([1]对账明细接口!$I$982=0,"",[1]对账明细接口!$I$982),"")</f>
        <v/>
      </c>
      <c r="J982" s="61" t="str">
        <f aca="false">IFERROR(IF([1]对账明细接口!$J$982=0,"",[1]对账明细接口!$J$982),"")</f>
        <v/>
      </c>
      <c r="K982" s="61" t="str">
        <f aca="false">IFERROR(IF([1]对账明细接口!$K$982=0,"",[1]对账明细接口!$K$982),"")</f>
        <v/>
      </c>
      <c r="L982" s="59" t="str">
        <f aca="false">IFERROR(IF([1]对账明细接口!$L$982=0,"",[1]对账明细接口!$L$982),"")</f>
        <v/>
      </c>
      <c r="M982" s="59" t="str">
        <f aca="false">IFERROR(IF([1]对账明细接口!$M$982=0,"",[1]对账明细接口!$M$982),"")</f>
        <v/>
      </c>
      <c r="N982" s="111" t="n">
        <f aca="false">IF($C982="",0,1)</f>
        <v>0</v>
      </c>
      <c r="O982" s="111" t="n">
        <f aca="false">N(O981)+$N982</f>
        <v>110</v>
      </c>
      <c r="S982" s="10" t="str">
        <f aca="false">IFERROR(IF([1]对账明细接口!$N982=0,"",[1]对账明细接口!$N982),"")</f>
        <v/>
      </c>
      <c r="T982" s="112" t="str">
        <f aca="false">IFERROR(IF([1]对账明细接口!$O982=0,"",[1]对账明细接口!$O982),"")</f>
        <v/>
      </c>
      <c r="U982" s="112" t="str">
        <f aca="false">IFERROR(IF([1]对账明细接口!$P982=0,"",[1]对账明细接口!$P982),"")</f>
        <v/>
      </c>
      <c r="V982" s="112" t="str">
        <f aca="false">IFERROR(IF([1]对账明细接口!$Q982=0,"",[1]对账明细接口!$Q982),"")</f>
        <v/>
      </c>
      <c r="W982" s="10" t="str">
        <f aca="false">IFERROR(IF([1]对账明细接口!$R982=0,"",[1]对账明细接口!$R982),"")</f>
        <v/>
      </c>
      <c r="X982" s="10" t="str">
        <f aca="false">IFERROR(IF([1]对账明细接口!$S982=0,"",[1]对账明细接口!$S982),"")</f>
        <v/>
      </c>
      <c r="Y982" s="10" t="str">
        <f aca="false">""</f>
        <v/>
      </c>
      <c r="Z982" s="10" t="str">
        <f aca="false">""</f>
        <v/>
      </c>
      <c r="AA982" s="10" t="str">
        <f aca="false">""</f>
        <v/>
      </c>
      <c r="AB982" s="10" t="str">
        <f aca="false">""</f>
        <v/>
      </c>
    </row>
    <row r="983" customFormat="false" ht="13.5" hidden="false" customHeight="false" outlineLevel="0" collapsed="false">
      <c r="A983" s="109" t="n">
        <v>983</v>
      </c>
      <c r="B983" s="110" t="str">
        <f aca="false">IFERROR(IF([1]对账明细接口!$B$983=0,"",[1]对账明细接口!$B$983),"")</f>
        <v/>
      </c>
      <c r="C983" s="59" t="str">
        <f aca="false">IFERROR(IF([1]对账明细接口!$C$983=0,"",[1]对账明细接口!$C$983),"")</f>
        <v/>
      </c>
      <c r="D983" s="59" t="str">
        <f aca="false">IFERROR(IF([1]对账明细接口!$D$983=0,"",[1]对账明细接口!$D$983),"")</f>
        <v/>
      </c>
      <c r="E983" s="59" t="str">
        <f aca="false">IFERROR(IF([1]对账明细接口!$E$983=0,"",[1]对账明细接口!$E$983),"")</f>
        <v/>
      </c>
      <c r="F983" s="59" t="str">
        <f aca="false">IFERROR(IF([1]对账明细接口!$F$983=0,"",[1]对账明细接口!$F$983),"")</f>
        <v/>
      </c>
      <c r="G983" s="59" t="str">
        <f aca="false">IFERROR(IF([1]对账明细接口!$G$983=0,"",[1]对账明细接口!$G$983),"")</f>
        <v/>
      </c>
      <c r="H983" s="60" t="str">
        <f aca="false">IFERROR(IF([1]对账明细接口!$H$983=0,"",[1]对账明细接口!$H$983),"")</f>
        <v/>
      </c>
      <c r="I983" s="59" t="str">
        <f aca="false">IFERROR(IF([1]对账明细接口!$I$983=0,"",[1]对账明细接口!$I$983),"")</f>
        <v/>
      </c>
      <c r="J983" s="61" t="str">
        <f aca="false">IFERROR(IF([1]对账明细接口!$J$983=0,"",[1]对账明细接口!$J$983),"")</f>
        <v/>
      </c>
      <c r="K983" s="61" t="str">
        <f aca="false">IFERROR(IF([1]对账明细接口!$K$983=0,"",[1]对账明细接口!$K$983),"")</f>
        <v/>
      </c>
      <c r="L983" s="59" t="str">
        <f aca="false">IFERROR(IF([1]对账明细接口!$L$983=0,"",[1]对账明细接口!$L$983),"")</f>
        <v/>
      </c>
      <c r="M983" s="59" t="str">
        <f aca="false">IFERROR(IF([1]对账明细接口!$M$983=0,"",[1]对账明细接口!$M$983),"")</f>
        <v/>
      </c>
      <c r="N983" s="111" t="n">
        <f aca="false">IF($C983="",0,1)</f>
        <v>0</v>
      </c>
      <c r="O983" s="111" t="n">
        <f aca="false">N(O982)+$N983</f>
        <v>110</v>
      </c>
      <c r="S983" s="10" t="str">
        <f aca="false">IFERROR(IF([1]对账明细接口!$N983=0,"",[1]对账明细接口!$N983),"")</f>
        <v/>
      </c>
      <c r="T983" s="112" t="str">
        <f aca="false">IFERROR(IF([1]对账明细接口!$O983=0,"",[1]对账明细接口!$O983),"")</f>
        <v/>
      </c>
      <c r="U983" s="112" t="str">
        <f aca="false">IFERROR(IF([1]对账明细接口!$P983=0,"",[1]对账明细接口!$P983),"")</f>
        <v/>
      </c>
      <c r="V983" s="112" t="str">
        <f aca="false">IFERROR(IF([1]对账明细接口!$Q983=0,"",[1]对账明细接口!$Q983),"")</f>
        <v/>
      </c>
      <c r="W983" s="10" t="str">
        <f aca="false">IFERROR(IF([1]对账明细接口!$R983=0,"",[1]对账明细接口!$R983),"")</f>
        <v/>
      </c>
      <c r="X983" s="10" t="str">
        <f aca="false">IFERROR(IF([1]对账明细接口!$S983=0,"",[1]对账明细接口!$S983),"")</f>
        <v/>
      </c>
      <c r="Y983" s="10" t="str">
        <f aca="false">""</f>
        <v/>
      </c>
      <c r="Z983" s="10" t="str">
        <f aca="false">""</f>
        <v/>
      </c>
      <c r="AA983" s="10" t="str">
        <f aca="false">""</f>
        <v/>
      </c>
      <c r="AB983" s="10" t="str">
        <f aca="false">""</f>
        <v/>
      </c>
    </row>
    <row r="984" customFormat="false" ht="13.5" hidden="false" customHeight="false" outlineLevel="0" collapsed="false">
      <c r="A984" s="109" t="n">
        <v>984</v>
      </c>
      <c r="B984" s="110" t="str">
        <f aca="false">IFERROR(IF([1]对账明细接口!$B$984=0,"",[1]对账明细接口!$B$984),"")</f>
        <v/>
      </c>
      <c r="C984" s="59" t="str">
        <f aca="false">IFERROR(IF([1]对账明细接口!$C$984=0,"",[1]对账明细接口!$C$984),"")</f>
        <v/>
      </c>
      <c r="D984" s="59" t="str">
        <f aca="false">IFERROR(IF([1]对账明细接口!$D$984=0,"",[1]对账明细接口!$D$984),"")</f>
        <v/>
      </c>
      <c r="E984" s="59" t="str">
        <f aca="false">IFERROR(IF([1]对账明细接口!$E$984=0,"",[1]对账明细接口!$E$984),"")</f>
        <v/>
      </c>
      <c r="F984" s="59" t="str">
        <f aca="false">IFERROR(IF([1]对账明细接口!$F$984=0,"",[1]对账明细接口!$F$984),"")</f>
        <v/>
      </c>
      <c r="G984" s="59" t="str">
        <f aca="false">IFERROR(IF([1]对账明细接口!$G$984=0,"",[1]对账明细接口!$G$984),"")</f>
        <v/>
      </c>
      <c r="H984" s="60" t="str">
        <f aca="false">IFERROR(IF([1]对账明细接口!$H$984=0,"",[1]对账明细接口!$H$984),"")</f>
        <v/>
      </c>
      <c r="I984" s="59" t="str">
        <f aca="false">IFERROR(IF([1]对账明细接口!$I$984=0,"",[1]对账明细接口!$I$984),"")</f>
        <v/>
      </c>
      <c r="J984" s="61" t="str">
        <f aca="false">IFERROR(IF([1]对账明细接口!$J$984=0,"",[1]对账明细接口!$J$984),"")</f>
        <v/>
      </c>
      <c r="K984" s="61" t="str">
        <f aca="false">IFERROR(IF([1]对账明细接口!$K$984=0,"",[1]对账明细接口!$K$984),"")</f>
        <v/>
      </c>
      <c r="L984" s="59" t="str">
        <f aca="false">IFERROR(IF([1]对账明细接口!$L$984=0,"",[1]对账明细接口!$L$984),"")</f>
        <v/>
      </c>
      <c r="M984" s="59" t="str">
        <f aca="false">IFERROR(IF([1]对账明细接口!$M$984=0,"",[1]对账明细接口!$M$984),"")</f>
        <v/>
      </c>
      <c r="N984" s="111" t="n">
        <f aca="false">IF($C984="",0,1)</f>
        <v>0</v>
      </c>
      <c r="O984" s="111" t="n">
        <f aca="false">N(O983)+$N984</f>
        <v>110</v>
      </c>
      <c r="S984" s="10" t="str">
        <f aca="false">IFERROR(IF([1]对账明细接口!$N984=0,"",[1]对账明细接口!$N984),"")</f>
        <v/>
      </c>
      <c r="T984" s="112" t="str">
        <f aca="false">IFERROR(IF([1]对账明细接口!$O984=0,"",[1]对账明细接口!$O984),"")</f>
        <v/>
      </c>
      <c r="U984" s="112" t="str">
        <f aca="false">IFERROR(IF([1]对账明细接口!$P984=0,"",[1]对账明细接口!$P984),"")</f>
        <v/>
      </c>
      <c r="V984" s="112" t="str">
        <f aca="false">IFERROR(IF([1]对账明细接口!$Q984=0,"",[1]对账明细接口!$Q984),"")</f>
        <v/>
      </c>
      <c r="W984" s="10" t="str">
        <f aca="false">IFERROR(IF([1]对账明细接口!$R984=0,"",[1]对账明细接口!$R984),"")</f>
        <v/>
      </c>
      <c r="X984" s="10" t="str">
        <f aca="false">IFERROR(IF([1]对账明细接口!$S984=0,"",[1]对账明细接口!$S984),"")</f>
        <v/>
      </c>
      <c r="Y984" s="10" t="str">
        <f aca="false">""</f>
        <v/>
      </c>
      <c r="Z984" s="10" t="str">
        <f aca="false">""</f>
        <v/>
      </c>
      <c r="AA984" s="10" t="str">
        <f aca="false">""</f>
        <v/>
      </c>
      <c r="AB984" s="10" t="str">
        <f aca="false">""</f>
        <v/>
      </c>
    </row>
    <row r="985" customFormat="false" ht="13.5" hidden="false" customHeight="false" outlineLevel="0" collapsed="false">
      <c r="A985" s="109" t="n">
        <v>985</v>
      </c>
      <c r="B985" s="110" t="str">
        <f aca="false">IFERROR(IF([1]对账明细接口!$B$985=0,"",[1]对账明细接口!$B$985),"")</f>
        <v/>
      </c>
      <c r="C985" s="59" t="str">
        <f aca="false">IFERROR(IF([1]对账明细接口!$C$985=0,"",[1]对账明细接口!$C$985),"")</f>
        <v/>
      </c>
      <c r="D985" s="59" t="str">
        <f aca="false">IFERROR(IF([1]对账明细接口!$D$985=0,"",[1]对账明细接口!$D$985),"")</f>
        <v/>
      </c>
      <c r="E985" s="59" t="str">
        <f aca="false">IFERROR(IF([1]对账明细接口!$E$985=0,"",[1]对账明细接口!$E$985),"")</f>
        <v/>
      </c>
      <c r="F985" s="59" t="str">
        <f aca="false">IFERROR(IF([1]对账明细接口!$F$985=0,"",[1]对账明细接口!$F$985),"")</f>
        <v/>
      </c>
      <c r="G985" s="59" t="str">
        <f aca="false">IFERROR(IF([1]对账明细接口!$G$985=0,"",[1]对账明细接口!$G$985),"")</f>
        <v/>
      </c>
      <c r="H985" s="60" t="str">
        <f aca="false">IFERROR(IF([1]对账明细接口!$H$985=0,"",[1]对账明细接口!$H$985),"")</f>
        <v/>
      </c>
      <c r="I985" s="59" t="str">
        <f aca="false">IFERROR(IF([1]对账明细接口!$I$985=0,"",[1]对账明细接口!$I$985),"")</f>
        <v/>
      </c>
      <c r="J985" s="61" t="str">
        <f aca="false">IFERROR(IF([1]对账明细接口!$J$985=0,"",[1]对账明细接口!$J$985),"")</f>
        <v/>
      </c>
      <c r="K985" s="61" t="str">
        <f aca="false">IFERROR(IF([1]对账明细接口!$K$985=0,"",[1]对账明细接口!$K$985),"")</f>
        <v/>
      </c>
      <c r="L985" s="59" t="str">
        <f aca="false">IFERROR(IF([1]对账明细接口!$L$985=0,"",[1]对账明细接口!$L$985),"")</f>
        <v/>
      </c>
      <c r="M985" s="59" t="str">
        <f aca="false">IFERROR(IF([1]对账明细接口!$M$985=0,"",[1]对账明细接口!$M$985),"")</f>
        <v/>
      </c>
      <c r="N985" s="111" t="n">
        <f aca="false">IF($C985="",0,1)</f>
        <v>0</v>
      </c>
      <c r="O985" s="111" t="n">
        <f aca="false">N(O984)+$N985</f>
        <v>110</v>
      </c>
      <c r="S985" s="10" t="str">
        <f aca="false">IFERROR(IF([1]对账明细接口!$N985=0,"",[1]对账明细接口!$N985),"")</f>
        <v/>
      </c>
      <c r="T985" s="112" t="str">
        <f aca="false">IFERROR(IF([1]对账明细接口!$O985=0,"",[1]对账明细接口!$O985),"")</f>
        <v/>
      </c>
      <c r="U985" s="112" t="str">
        <f aca="false">IFERROR(IF([1]对账明细接口!$P985=0,"",[1]对账明细接口!$P985),"")</f>
        <v/>
      </c>
      <c r="V985" s="112" t="str">
        <f aca="false">IFERROR(IF([1]对账明细接口!$Q985=0,"",[1]对账明细接口!$Q985),"")</f>
        <v/>
      </c>
      <c r="W985" s="10" t="str">
        <f aca="false">IFERROR(IF([1]对账明细接口!$R985=0,"",[1]对账明细接口!$R985),"")</f>
        <v/>
      </c>
      <c r="X985" s="10" t="str">
        <f aca="false">IFERROR(IF([1]对账明细接口!$S985=0,"",[1]对账明细接口!$S985),"")</f>
        <v/>
      </c>
      <c r="Y985" s="10" t="str">
        <f aca="false">""</f>
        <v/>
      </c>
      <c r="Z985" s="10" t="str">
        <f aca="false">""</f>
        <v/>
      </c>
      <c r="AA985" s="10" t="str">
        <f aca="false">""</f>
        <v/>
      </c>
      <c r="AB985" s="10" t="str">
        <f aca="false">""</f>
        <v/>
      </c>
    </row>
    <row r="986" customFormat="false" ht="13.5" hidden="false" customHeight="false" outlineLevel="0" collapsed="false">
      <c r="A986" s="109" t="n">
        <v>986</v>
      </c>
      <c r="B986" s="110" t="str">
        <f aca="false">IFERROR(IF([1]对账明细接口!$B$986=0,"",[1]对账明细接口!$B$986),"")</f>
        <v/>
      </c>
      <c r="C986" s="59" t="str">
        <f aca="false">IFERROR(IF([1]对账明细接口!$C$986=0,"",[1]对账明细接口!$C$986),"")</f>
        <v/>
      </c>
      <c r="D986" s="59" t="str">
        <f aca="false">IFERROR(IF([1]对账明细接口!$D$986=0,"",[1]对账明细接口!$D$986),"")</f>
        <v/>
      </c>
      <c r="E986" s="59" t="str">
        <f aca="false">IFERROR(IF([1]对账明细接口!$E$986=0,"",[1]对账明细接口!$E$986),"")</f>
        <v/>
      </c>
      <c r="F986" s="59" t="str">
        <f aca="false">IFERROR(IF([1]对账明细接口!$F$986=0,"",[1]对账明细接口!$F$986),"")</f>
        <v/>
      </c>
      <c r="G986" s="59" t="str">
        <f aca="false">IFERROR(IF([1]对账明细接口!$G$986=0,"",[1]对账明细接口!$G$986),"")</f>
        <v/>
      </c>
      <c r="H986" s="60" t="str">
        <f aca="false">IFERROR(IF([1]对账明细接口!$H$986=0,"",[1]对账明细接口!$H$986),"")</f>
        <v/>
      </c>
      <c r="I986" s="59" t="str">
        <f aca="false">IFERROR(IF([1]对账明细接口!$I$986=0,"",[1]对账明细接口!$I$986),"")</f>
        <v/>
      </c>
      <c r="J986" s="61" t="str">
        <f aca="false">IFERROR(IF([1]对账明细接口!$J$986=0,"",[1]对账明细接口!$J$986),"")</f>
        <v/>
      </c>
      <c r="K986" s="61" t="str">
        <f aca="false">IFERROR(IF([1]对账明细接口!$K$986=0,"",[1]对账明细接口!$K$986),"")</f>
        <v/>
      </c>
      <c r="L986" s="59" t="str">
        <f aca="false">IFERROR(IF([1]对账明细接口!$L$986=0,"",[1]对账明细接口!$L$986),"")</f>
        <v/>
      </c>
      <c r="M986" s="59" t="str">
        <f aca="false">IFERROR(IF([1]对账明细接口!$M$986=0,"",[1]对账明细接口!$M$986),"")</f>
        <v/>
      </c>
      <c r="N986" s="111" t="n">
        <f aca="false">IF($C986="",0,1)</f>
        <v>0</v>
      </c>
      <c r="O986" s="111" t="n">
        <f aca="false">N(O985)+$N986</f>
        <v>110</v>
      </c>
      <c r="S986" s="10" t="str">
        <f aca="false">IFERROR(IF([1]对账明细接口!$N986=0,"",[1]对账明细接口!$N986),"")</f>
        <v/>
      </c>
      <c r="T986" s="112" t="str">
        <f aca="false">IFERROR(IF([1]对账明细接口!$O986=0,"",[1]对账明细接口!$O986),"")</f>
        <v/>
      </c>
      <c r="U986" s="112" t="str">
        <f aca="false">IFERROR(IF([1]对账明细接口!$P986=0,"",[1]对账明细接口!$P986),"")</f>
        <v/>
      </c>
      <c r="V986" s="112" t="str">
        <f aca="false">IFERROR(IF([1]对账明细接口!$Q986=0,"",[1]对账明细接口!$Q986),"")</f>
        <v/>
      </c>
      <c r="W986" s="10" t="str">
        <f aca="false">IFERROR(IF([1]对账明细接口!$R986=0,"",[1]对账明细接口!$R986),"")</f>
        <v/>
      </c>
      <c r="X986" s="10" t="str">
        <f aca="false">IFERROR(IF([1]对账明细接口!$S986=0,"",[1]对账明细接口!$S986),"")</f>
        <v/>
      </c>
      <c r="Y986" s="10" t="str">
        <f aca="false">""</f>
        <v/>
      </c>
      <c r="Z986" s="10" t="str">
        <f aca="false">""</f>
        <v/>
      </c>
      <c r="AA986" s="10" t="str">
        <f aca="false">""</f>
        <v/>
      </c>
      <c r="AB986" s="10" t="str">
        <f aca="false">""</f>
        <v/>
      </c>
    </row>
    <row r="987" customFormat="false" ht="13.5" hidden="false" customHeight="false" outlineLevel="0" collapsed="false">
      <c r="A987" s="109" t="n">
        <v>987</v>
      </c>
      <c r="B987" s="110" t="str">
        <f aca="false">IFERROR(IF([1]对账明细接口!$B$987=0,"",[1]对账明细接口!$B$987),"")</f>
        <v/>
      </c>
      <c r="C987" s="59" t="str">
        <f aca="false">IFERROR(IF([1]对账明细接口!$C$987=0,"",[1]对账明细接口!$C$987),"")</f>
        <v/>
      </c>
      <c r="D987" s="59" t="str">
        <f aca="false">IFERROR(IF([1]对账明细接口!$D$987=0,"",[1]对账明细接口!$D$987),"")</f>
        <v/>
      </c>
      <c r="E987" s="59" t="str">
        <f aca="false">IFERROR(IF([1]对账明细接口!$E$987=0,"",[1]对账明细接口!$E$987),"")</f>
        <v/>
      </c>
      <c r="F987" s="59" t="str">
        <f aca="false">IFERROR(IF([1]对账明细接口!$F$987=0,"",[1]对账明细接口!$F$987),"")</f>
        <v/>
      </c>
      <c r="G987" s="59" t="str">
        <f aca="false">IFERROR(IF([1]对账明细接口!$G$987=0,"",[1]对账明细接口!$G$987),"")</f>
        <v/>
      </c>
      <c r="H987" s="60" t="str">
        <f aca="false">IFERROR(IF([1]对账明细接口!$H$987=0,"",[1]对账明细接口!$H$987),"")</f>
        <v/>
      </c>
      <c r="I987" s="59" t="str">
        <f aca="false">IFERROR(IF([1]对账明细接口!$I$987=0,"",[1]对账明细接口!$I$987),"")</f>
        <v/>
      </c>
      <c r="J987" s="61" t="str">
        <f aca="false">IFERROR(IF([1]对账明细接口!$J$987=0,"",[1]对账明细接口!$J$987),"")</f>
        <v/>
      </c>
      <c r="K987" s="61" t="str">
        <f aca="false">IFERROR(IF([1]对账明细接口!$K$987=0,"",[1]对账明细接口!$K$987),"")</f>
        <v/>
      </c>
      <c r="L987" s="59" t="str">
        <f aca="false">IFERROR(IF([1]对账明细接口!$L$987=0,"",[1]对账明细接口!$L$987),"")</f>
        <v/>
      </c>
      <c r="M987" s="59" t="str">
        <f aca="false">IFERROR(IF([1]对账明细接口!$M$987=0,"",[1]对账明细接口!$M$987),"")</f>
        <v/>
      </c>
      <c r="N987" s="111" t="n">
        <f aca="false">IF($C987="",0,1)</f>
        <v>0</v>
      </c>
      <c r="O987" s="111" t="n">
        <f aca="false">N(O986)+$N987</f>
        <v>110</v>
      </c>
      <c r="S987" s="10" t="str">
        <f aca="false">IFERROR(IF([1]对账明细接口!$N987=0,"",[1]对账明细接口!$N987),"")</f>
        <v/>
      </c>
      <c r="T987" s="112" t="str">
        <f aca="false">IFERROR(IF([1]对账明细接口!$O987=0,"",[1]对账明细接口!$O987),"")</f>
        <v/>
      </c>
      <c r="U987" s="112" t="str">
        <f aca="false">IFERROR(IF([1]对账明细接口!$P987=0,"",[1]对账明细接口!$P987),"")</f>
        <v/>
      </c>
      <c r="V987" s="112" t="str">
        <f aca="false">IFERROR(IF([1]对账明细接口!$Q987=0,"",[1]对账明细接口!$Q987),"")</f>
        <v/>
      </c>
      <c r="W987" s="10" t="str">
        <f aca="false">IFERROR(IF([1]对账明细接口!$R987=0,"",[1]对账明细接口!$R987),"")</f>
        <v/>
      </c>
      <c r="X987" s="10" t="str">
        <f aca="false">IFERROR(IF([1]对账明细接口!$S987=0,"",[1]对账明细接口!$S987),"")</f>
        <v/>
      </c>
      <c r="Y987" s="10" t="str">
        <f aca="false">""</f>
        <v/>
      </c>
      <c r="Z987" s="10" t="str">
        <f aca="false">""</f>
        <v/>
      </c>
      <c r="AA987" s="10" t="str">
        <f aca="false">""</f>
        <v/>
      </c>
      <c r="AB987" s="10" t="str">
        <f aca="false">""</f>
        <v/>
      </c>
    </row>
    <row r="988" customFormat="false" ht="13.5" hidden="false" customHeight="false" outlineLevel="0" collapsed="false">
      <c r="A988" s="109" t="n">
        <v>988</v>
      </c>
      <c r="B988" s="110" t="str">
        <f aca="false">IFERROR(IF([1]对账明细接口!$B$988=0,"",[1]对账明细接口!$B$988),"")</f>
        <v/>
      </c>
      <c r="C988" s="59" t="str">
        <f aca="false">IFERROR(IF([1]对账明细接口!$C$988=0,"",[1]对账明细接口!$C$988),"")</f>
        <v/>
      </c>
      <c r="D988" s="59" t="str">
        <f aca="false">IFERROR(IF([1]对账明细接口!$D$988=0,"",[1]对账明细接口!$D$988),"")</f>
        <v/>
      </c>
      <c r="E988" s="59" t="str">
        <f aca="false">IFERROR(IF([1]对账明细接口!$E$988=0,"",[1]对账明细接口!$E$988),"")</f>
        <v/>
      </c>
      <c r="F988" s="59" t="str">
        <f aca="false">IFERROR(IF([1]对账明细接口!$F$988=0,"",[1]对账明细接口!$F$988),"")</f>
        <v/>
      </c>
      <c r="G988" s="59" t="str">
        <f aca="false">IFERROR(IF([1]对账明细接口!$G$988=0,"",[1]对账明细接口!$G$988),"")</f>
        <v/>
      </c>
      <c r="H988" s="60" t="str">
        <f aca="false">IFERROR(IF([1]对账明细接口!$H$988=0,"",[1]对账明细接口!$H$988),"")</f>
        <v/>
      </c>
      <c r="I988" s="59" t="str">
        <f aca="false">IFERROR(IF([1]对账明细接口!$I$988=0,"",[1]对账明细接口!$I$988),"")</f>
        <v/>
      </c>
      <c r="J988" s="61" t="str">
        <f aca="false">IFERROR(IF([1]对账明细接口!$J$988=0,"",[1]对账明细接口!$J$988),"")</f>
        <v/>
      </c>
      <c r="K988" s="61" t="str">
        <f aca="false">IFERROR(IF([1]对账明细接口!$K$988=0,"",[1]对账明细接口!$K$988),"")</f>
        <v/>
      </c>
      <c r="L988" s="59" t="str">
        <f aca="false">IFERROR(IF([1]对账明细接口!$L$988=0,"",[1]对账明细接口!$L$988),"")</f>
        <v/>
      </c>
      <c r="M988" s="59" t="str">
        <f aca="false">IFERROR(IF([1]对账明细接口!$M$988=0,"",[1]对账明细接口!$M$988),"")</f>
        <v/>
      </c>
      <c r="N988" s="111" t="n">
        <f aca="false">IF($C988="",0,1)</f>
        <v>0</v>
      </c>
      <c r="O988" s="111" t="n">
        <f aca="false">N(O987)+$N988</f>
        <v>110</v>
      </c>
      <c r="S988" s="10" t="str">
        <f aca="false">IFERROR(IF([1]对账明细接口!$N988=0,"",[1]对账明细接口!$N988),"")</f>
        <v/>
      </c>
      <c r="T988" s="112" t="str">
        <f aca="false">IFERROR(IF([1]对账明细接口!$O988=0,"",[1]对账明细接口!$O988),"")</f>
        <v/>
      </c>
      <c r="U988" s="112" t="str">
        <f aca="false">IFERROR(IF([1]对账明细接口!$P988=0,"",[1]对账明细接口!$P988),"")</f>
        <v/>
      </c>
      <c r="V988" s="112" t="str">
        <f aca="false">IFERROR(IF([1]对账明细接口!$Q988=0,"",[1]对账明细接口!$Q988),"")</f>
        <v/>
      </c>
      <c r="W988" s="10" t="str">
        <f aca="false">IFERROR(IF([1]对账明细接口!$R988=0,"",[1]对账明细接口!$R988),"")</f>
        <v/>
      </c>
      <c r="X988" s="10" t="str">
        <f aca="false">IFERROR(IF([1]对账明细接口!$S988=0,"",[1]对账明细接口!$S988),"")</f>
        <v/>
      </c>
      <c r="Y988" s="10" t="str">
        <f aca="false">""</f>
        <v/>
      </c>
      <c r="Z988" s="10" t="str">
        <f aca="false">""</f>
        <v/>
      </c>
      <c r="AA988" s="10" t="str">
        <f aca="false">""</f>
        <v/>
      </c>
      <c r="AB988" s="10" t="str">
        <f aca="false">""</f>
        <v/>
      </c>
    </row>
    <row r="989" customFormat="false" ht="13.5" hidden="false" customHeight="false" outlineLevel="0" collapsed="false">
      <c r="A989" s="109" t="n">
        <v>989</v>
      </c>
      <c r="B989" s="110" t="str">
        <f aca="false">IFERROR(IF([1]对账明细接口!$B$989=0,"",[1]对账明细接口!$B$989),"")</f>
        <v/>
      </c>
      <c r="C989" s="59" t="str">
        <f aca="false">IFERROR(IF([1]对账明细接口!$C$989=0,"",[1]对账明细接口!$C$989),"")</f>
        <v/>
      </c>
      <c r="D989" s="59" t="str">
        <f aca="false">IFERROR(IF([1]对账明细接口!$D$989=0,"",[1]对账明细接口!$D$989),"")</f>
        <v/>
      </c>
      <c r="E989" s="59" t="str">
        <f aca="false">IFERROR(IF([1]对账明细接口!$E$989=0,"",[1]对账明细接口!$E$989),"")</f>
        <v/>
      </c>
      <c r="F989" s="59" t="str">
        <f aca="false">IFERROR(IF([1]对账明细接口!$F$989=0,"",[1]对账明细接口!$F$989),"")</f>
        <v/>
      </c>
      <c r="G989" s="59" t="str">
        <f aca="false">IFERROR(IF([1]对账明细接口!$G$989=0,"",[1]对账明细接口!$G$989),"")</f>
        <v/>
      </c>
      <c r="H989" s="60" t="str">
        <f aca="false">IFERROR(IF([1]对账明细接口!$H$989=0,"",[1]对账明细接口!$H$989),"")</f>
        <v/>
      </c>
      <c r="I989" s="59" t="str">
        <f aca="false">IFERROR(IF([1]对账明细接口!$I$989=0,"",[1]对账明细接口!$I$989),"")</f>
        <v/>
      </c>
      <c r="J989" s="61" t="str">
        <f aca="false">IFERROR(IF([1]对账明细接口!$J$989=0,"",[1]对账明细接口!$J$989),"")</f>
        <v/>
      </c>
      <c r="K989" s="61" t="str">
        <f aca="false">IFERROR(IF([1]对账明细接口!$K$989=0,"",[1]对账明细接口!$K$989),"")</f>
        <v/>
      </c>
      <c r="L989" s="59" t="str">
        <f aca="false">IFERROR(IF([1]对账明细接口!$L$989=0,"",[1]对账明细接口!$L$989),"")</f>
        <v/>
      </c>
      <c r="M989" s="59" t="str">
        <f aca="false">IFERROR(IF([1]对账明细接口!$M$989=0,"",[1]对账明细接口!$M$989),"")</f>
        <v/>
      </c>
      <c r="N989" s="111" t="n">
        <f aca="false">IF($C989="",0,1)</f>
        <v>0</v>
      </c>
      <c r="O989" s="111" t="n">
        <f aca="false">N(O988)+$N989</f>
        <v>110</v>
      </c>
      <c r="S989" s="10" t="str">
        <f aca="false">IFERROR(IF([1]对账明细接口!$N989=0,"",[1]对账明细接口!$N989),"")</f>
        <v/>
      </c>
      <c r="T989" s="112" t="str">
        <f aca="false">IFERROR(IF([1]对账明细接口!$O989=0,"",[1]对账明细接口!$O989),"")</f>
        <v/>
      </c>
      <c r="U989" s="112" t="str">
        <f aca="false">IFERROR(IF([1]对账明细接口!$P989=0,"",[1]对账明细接口!$P989),"")</f>
        <v/>
      </c>
      <c r="V989" s="112" t="str">
        <f aca="false">IFERROR(IF([1]对账明细接口!$Q989=0,"",[1]对账明细接口!$Q989),"")</f>
        <v/>
      </c>
      <c r="W989" s="10" t="str">
        <f aca="false">IFERROR(IF([1]对账明细接口!$R989=0,"",[1]对账明细接口!$R989),"")</f>
        <v/>
      </c>
      <c r="X989" s="10" t="str">
        <f aca="false">IFERROR(IF([1]对账明细接口!$S989=0,"",[1]对账明细接口!$S989),"")</f>
        <v/>
      </c>
      <c r="Y989" s="10" t="str">
        <f aca="false">""</f>
        <v/>
      </c>
      <c r="Z989" s="10" t="str">
        <f aca="false">""</f>
        <v/>
      </c>
      <c r="AA989" s="10" t="str">
        <f aca="false">""</f>
        <v/>
      </c>
      <c r="AB989" s="10" t="str">
        <f aca="false">""</f>
        <v/>
      </c>
    </row>
    <row r="990" customFormat="false" ht="13.5" hidden="false" customHeight="false" outlineLevel="0" collapsed="false">
      <c r="A990" s="109" t="n">
        <v>990</v>
      </c>
      <c r="B990" s="110" t="str">
        <f aca="false">IFERROR(IF([1]对账明细接口!$B$990=0,"",[1]对账明细接口!$B$990),"")</f>
        <v/>
      </c>
      <c r="C990" s="59" t="str">
        <f aca="false">IFERROR(IF([1]对账明细接口!$C$990=0,"",[1]对账明细接口!$C$990),"")</f>
        <v/>
      </c>
      <c r="D990" s="59" t="str">
        <f aca="false">IFERROR(IF([1]对账明细接口!$D$990=0,"",[1]对账明细接口!$D$990),"")</f>
        <v/>
      </c>
      <c r="E990" s="59" t="str">
        <f aca="false">IFERROR(IF([1]对账明细接口!$E$990=0,"",[1]对账明细接口!$E$990),"")</f>
        <v/>
      </c>
      <c r="F990" s="59" t="str">
        <f aca="false">IFERROR(IF([1]对账明细接口!$F$990=0,"",[1]对账明细接口!$F$990),"")</f>
        <v/>
      </c>
      <c r="G990" s="59" t="str">
        <f aca="false">IFERROR(IF([1]对账明细接口!$G$990=0,"",[1]对账明细接口!$G$990),"")</f>
        <v/>
      </c>
      <c r="H990" s="60" t="str">
        <f aca="false">IFERROR(IF([1]对账明细接口!$H$990=0,"",[1]对账明细接口!$H$990),"")</f>
        <v/>
      </c>
      <c r="I990" s="59" t="str">
        <f aca="false">IFERROR(IF([1]对账明细接口!$I$990=0,"",[1]对账明细接口!$I$990),"")</f>
        <v/>
      </c>
      <c r="J990" s="61" t="str">
        <f aca="false">IFERROR(IF([1]对账明细接口!$J$990=0,"",[1]对账明细接口!$J$990),"")</f>
        <v/>
      </c>
      <c r="K990" s="61" t="str">
        <f aca="false">IFERROR(IF([1]对账明细接口!$K$990=0,"",[1]对账明细接口!$K$990),"")</f>
        <v/>
      </c>
      <c r="L990" s="59" t="str">
        <f aca="false">IFERROR(IF([1]对账明细接口!$L$990=0,"",[1]对账明细接口!$L$990),"")</f>
        <v/>
      </c>
      <c r="M990" s="59" t="str">
        <f aca="false">IFERROR(IF([1]对账明细接口!$M$990=0,"",[1]对账明细接口!$M$990),"")</f>
        <v/>
      </c>
      <c r="N990" s="111" t="n">
        <f aca="false">IF($C990="",0,1)</f>
        <v>0</v>
      </c>
      <c r="O990" s="111" t="n">
        <f aca="false">N(O989)+$N990</f>
        <v>110</v>
      </c>
      <c r="S990" s="10" t="str">
        <f aca="false">IFERROR(IF([1]对账明细接口!$N990=0,"",[1]对账明细接口!$N990),"")</f>
        <v/>
      </c>
      <c r="T990" s="112" t="str">
        <f aca="false">IFERROR(IF([1]对账明细接口!$O990=0,"",[1]对账明细接口!$O990),"")</f>
        <v/>
      </c>
      <c r="U990" s="112" t="str">
        <f aca="false">IFERROR(IF([1]对账明细接口!$P990=0,"",[1]对账明细接口!$P990),"")</f>
        <v/>
      </c>
      <c r="V990" s="112" t="str">
        <f aca="false">IFERROR(IF([1]对账明细接口!$Q990=0,"",[1]对账明细接口!$Q990),"")</f>
        <v/>
      </c>
      <c r="W990" s="10" t="str">
        <f aca="false">IFERROR(IF([1]对账明细接口!$R990=0,"",[1]对账明细接口!$R990),"")</f>
        <v/>
      </c>
      <c r="X990" s="10" t="str">
        <f aca="false">IFERROR(IF([1]对账明细接口!$S990=0,"",[1]对账明细接口!$S990),"")</f>
        <v/>
      </c>
      <c r="Y990" s="10" t="str">
        <f aca="false">""</f>
        <v/>
      </c>
      <c r="Z990" s="10" t="str">
        <f aca="false">""</f>
        <v/>
      </c>
      <c r="AA990" s="10" t="str">
        <f aca="false">""</f>
        <v/>
      </c>
      <c r="AB990" s="10" t="str">
        <f aca="false">""</f>
        <v/>
      </c>
    </row>
    <row r="991" customFormat="false" ht="13.5" hidden="false" customHeight="false" outlineLevel="0" collapsed="false">
      <c r="A991" s="109" t="n">
        <v>991</v>
      </c>
      <c r="B991" s="110" t="str">
        <f aca="false">IFERROR(IF([1]对账明细接口!$B$991=0,"",[1]对账明细接口!$B$991),"")</f>
        <v/>
      </c>
      <c r="C991" s="59" t="str">
        <f aca="false">IFERROR(IF([1]对账明细接口!$C$991=0,"",[1]对账明细接口!$C$991),"")</f>
        <v/>
      </c>
      <c r="D991" s="59" t="str">
        <f aca="false">IFERROR(IF([1]对账明细接口!$D$991=0,"",[1]对账明细接口!$D$991),"")</f>
        <v/>
      </c>
      <c r="E991" s="59" t="str">
        <f aca="false">IFERROR(IF([1]对账明细接口!$E$991=0,"",[1]对账明细接口!$E$991),"")</f>
        <v/>
      </c>
      <c r="F991" s="59" t="str">
        <f aca="false">IFERROR(IF([1]对账明细接口!$F$991=0,"",[1]对账明细接口!$F$991),"")</f>
        <v/>
      </c>
      <c r="G991" s="59" t="str">
        <f aca="false">IFERROR(IF([1]对账明细接口!$G$991=0,"",[1]对账明细接口!$G$991),"")</f>
        <v/>
      </c>
      <c r="H991" s="60" t="str">
        <f aca="false">IFERROR(IF([1]对账明细接口!$H$991=0,"",[1]对账明细接口!$H$991),"")</f>
        <v/>
      </c>
      <c r="I991" s="59" t="str">
        <f aca="false">IFERROR(IF([1]对账明细接口!$I$991=0,"",[1]对账明细接口!$I$991),"")</f>
        <v/>
      </c>
      <c r="J991" s="61" t="str">
        <f aca="false">IFERROR(IF([1]对账明细接口!$J$991=0,"",[1]对账明细接口!$J$991),"")</f>
        <v/>
      </c>
      <c r="K991" s="61" t="str">
        <f aca="false">IFERROR(IF([1]对账明细接口!$K$991=0,"",[1]对账明细接口!$K$991),"")</f>
        <v/>
      </c>
      <c r="L991" s="59" t="str">
        <f aca="false">IFERROR(IF([1]对账明细接口!$L$991=0,"",[1]对账明细接口!$L$991),"")</f>
        <v/>
      </c>
      <c r="M991" s="59" t="str">
        <f aca="false">IFERROR(IF([1]对账明细接口!$M$991=0,"",[1]对账明细接口!$M$991),"")</f>
        <v/>
      </c>
      <c r="N991" s="111" t="n">
        <f aca="false">IF($C991="",0,1)</f>
        <v>0</v>
      </c>
      <c r="O991" s="111" t="n">
        <f aca="false">N(O990)+$N991</f>
        <v>110</v>
      </c>
      <c r="S991" s="10" t="str">
        <f aca="false">IFERROR(IF([1]对账明细接口!$N991=0,"",[1]对账明细接口!$N991),"")</f>
        <v/>
      </c>
      <c r="T991" s="112" t="str">
        <f aca="false">IFERROR(IF([1]对账明细接口!$O991=0,"",[1]对账明细接口!$O991),"")</f>
        <v/>
      </c>
      <c r="U991" s="112" t="str">
        <f aca="false">IFERROR(IF([1]对账明细接口!$P991=0,"",[1]对账明细接口!$P991),"")</f>
        <v/>
      </c>
      <c r="V991" s="112" t="str">
        <f aca="false">IFERROR(IF([1]对账明细接口!$Q991=0,"",[1]对账明细接口!$Q991),"")</f>
        <v/>
      </c>
      <c r="W991" s="10" t="str">
        <f aca="false">IFERROR(IF([1]对账明细接口!$R991=0,"",[1]对账明细接口!$R991),"")</f>
        <v/>
      </c>
      <c r="X991" s="10" t="str">
        <f aca="false">IFERROR(IF([1]对账明细接口!$S991=0,"",[1]对账明细接口!$S991),"")</f>
        <v/>
      </c>
      <c r="Y991" s="10" t="str">
        <f aca="false">""</f>
        <v/>
      </c>
      <c r="Z991" s="10" t="str">
        <f aca="false">""</f>
        <v/>
      </c>
      <c r="AA991" s="10" t="str">
        <f aca="false">""</f>
        <v/>
      </c>
      <c r="AB991" s="10" t="str">
        <f aca="false">""</f>
        <v/>
      </c>
    </row>
    <row r="992" customFormat="false" ht="13.5" hidden="false" customHeight="false" outlineLevel="0" collapsed="false">
      <c r="A992" s="109" t="n">
        <v>992</v>
      </c>
      <c r="B992" s="110" t="str">
        <f aca="false">IFERROR(IF([1]对账明细接口!$B$992=0,"",[1]对账明细接口!$B$992),"")</f>
        <v/>
      </c>
      <c r="C992" s="59" t="str">
        <f aca="false">IFERROR(IF([1]对账明细接口!$C$992=0,"",[1]对账明细接口!$C$992),"")</f>
        <v/>
      </c>
      <c r="D992" s="59" t="str">
        <f aca="false">IFERROR(IF([1]对账明细接口!$D$992=0,"",[1]对账明细接口!$D$992),"")</f>
        <v/>
      </c>
      <c r="E992" s="59" t="str">
        <f aca="false">IFERROR(IF([1]对账明细接口!$E$992=0,"",[1]对账明细接口!$E$992),"")</f>
        <v/>
      </c>
      <c r="F992" s="59" t="str">
        <f aca="false">IFERROR(IF([1]对账明细接口!$F$992=0,"",[1]对账明细接口!$F$992),"")</f>
        <v/>
      </c>
      <c r="G992" s="59" t="str">
        <f aca="false">IFERROR(IF([1]对账明细接口!$G$992=0,"",[1]对账明细接口!$G$992),"")</f>
        <v/>
      </c>
      <c r="H992" s="60" t="str">
        <f aca="false">IFERROR(IF([1]对账明细接口!$H$992=0,"",[1]对账明细接口!$H$992),"")</f>
        <v/>
      </c>
      <c r="I992" s="59" t="str">
        <f aca="false">IFERROR(IF([1]对账明细接口!$I$992=0,"",[1]对账明细接口!$I$992),"")</f>
        <v/>
      </c>
      <c r="J992" s="61" t="str">
        <f aca="false">IFERROR(IF([1]对账明细接口!$J$992=0,"",[1]对账明细接口!$J$992),"")</f>
        <v/>
      </c>
      <c r="K992" s="61" t="str">
        <f aca="false">IFERROR(IF([1]对账明细接口!$K$992=0,"",[1]对账明细接口!$K$992),"")</f>
        <v/>
      </c>
      <c r="L992" s="59" t="str">
        <f aca="false">IFERROR(IF([1]对账明细接口!$L$992=0,"",[1]对账明细接口!$L$992),"")</f>
        <v/>
      </c>
      <c r="M992" s="59" t="str">
        <f aca="false">IFERROR(IF([1]对账明细接口!$M$992=0,"",[1]对账明细接口!$M$992),"")</f>
        <v/>
      </c>
      <c r="N992" s="111" t="n">
        <f aca="false">IF($C992="",0,1)</f>
        <v>0</v>
      </c>
      <c r="O992" s="111" t="n">
        <f aca="false">N(O991)+$N992</f>
        <v>110</v>
      </c>
      <c r="S992" s="10" t="str">
        <f aca="false">IFERROR(IF([1]对账明细接口!$N992=0,"",[1]对账明细接口!$N992),"")</f>
        <v/>
      </c>
      <c r="T992" s="112" t="str">
        <f aca="false">IFERROR(IF([1]对账明细接口!$O992=0,"",[1]对账明细接口!$O992),"")</f>
        <v/>
      </c>
      <c r="U992" s="112" t="str">
        <f aca="false">IFERROR(IF([1]对账明细接口!$P992=0,"",[1]对账明细接口!$P992),"")</f>
        <v/>
      </c>
      <c r="V992" s="112" t="str">
        <f aca="false">IFERROR(IF([1]对账明细接口!$Q992=0,"",[1]对账明细接口!$Q992),"")</f>
        <v/>
      </c>
      <c r="W992" s="10" t="str">
        <f aca="false">IFERROR(IF([1]对账明细接口!$R992=0,"",[1]对账明细接口!$R992),"")</f>
        <v/>
      </c>
      <c r="X992" s="10" t="str">
        <f aca="false">IFERROR(IF([1]对账明细接口!$S992=0,"",[1]对账明细接口!$S992),"")</f>
        <v/>
      </c>
      <c r="Y992" s="10" t="str">
        <f aca="false">""</f>
        <v/>
      </c>
      <c r="Z992" s="10" t="str">
        <f aca="false">""</f>
        <v/>
      </c>
      <c r="AA992" s="10" t="str">
        <f aca="false">""</f>
        <v/>
      </c>
      <c r="AB992" s="10" t="str">
        <f aca="false">""</f>
        <v/>
      </c>
    </row>
    <row r="993" customFormat="false" ht="13.5" hidden="false" customHeight="false" outlineLevel="0" collapsed="false">
      <c r="A993" s="109" t="n">
        <v>993</v>
      </c>
      <c r="B993" s="110" t="str">
        <f aca="false">IFERROR(IF([1]对账明细接口!$B$993=0,"",[1]对账明细接口!$B$993),"")</f>
        <v/>
      </c>
      <c r="C993" s="59" t="str">
        <f aca="false">IFERROR(IF([1]对账明细接口!$C$993=0,"",[1]对账明细接口!$C$993),"")</f>
        <v/>
      </c>
      <c r="D993" s="59" t="str">
        <f aca="false">IFERROR(IF([1]对账明细接口!$D$993=0,"",[1]对账明细接口!$D$993),"")</f>
        <v/>
      </c>
      <c r="E993" s="59" t="str">
        <f aca="false">IFERROR(IF([1]对账明细接口!$E$993=0,"",[1]对账明细接口!$E$993),"")</f>
        <v/>
      </c>
      <c r="F993" s="59" t="str">
        <f aca="false">IFERROR(IF([1]对账明细接口!$F$993=0,"",[1]对账明细接口!$F$993),"")</f>
        <v/>
      </c>
      <c r="G993" s="59" t="str">
        <f aca="false">IFERROR(IF([1]对账明细接口!$G$993=0,"",[1]对账明细接口!$G$993),"")</f>
        <v/>
      </c>
      <c r="H993" s="60" t="str">
        <f aca="false">IFERROR(IF([1]对账明细接口!$H$993=0,"",[1]对账明细接口!$H$993),"")</f>
        <v/>
      </c>
      <c r="I993" s="59" t="str">
        <f aca="false">IFERROR(IF([1]对账明细接口!$I$993=0,"",[1]对账明细接口!$I$993),"")</f>
        <v/>
      </c>
      <c r="J993" s="61" t="str">
        <f aca="false">IFERROR(IF([1]对账明细接口!$J$993=0,"",[1]对账明细接口!$J$993),"")</f>
        <v/>
      </c>
      <c r="K993" s="61" t="str">
        <f aca="false">IFERROR(IF([1]对账明细接口!$K$993=0,"",[1]对账明细接口!$K$993),"")</f>
        <v/>
      </c>
      <c r="L993" s="59" t="str">
        <f aca="false">IFERROR(IF([1]对账明细接口!$L$993=0,"",[1]对账明细接口!$L$993),"")</f>
        <v/>
      </c>
      <c r="M993" s="59" t="str">
        <f aca="false">IFERROR(IF([1]对账明细接口!$M$993=0,"",[1]对账明细接口!$M$993),"")</f>
        <v/>
      </c>
      <c r="N993" s="111" t="n">
        <f aca="false">IF($C993="",0,1)</f>
        <v>0</v>
      </c>
      <c r="O993" s="111" t="n">
        <f aca="false">N(O992)+$N993</f>
        <v>110</v>
      </c>
      <c r="S993" s="10" t="str">
        <f aca="false">IFERROR(IF([1]对账明细接口!$N993=0,"",[1]对账明细接口!$N993),"")</f>
        <v/>
      </c>
      <c r="T993" s="112" t="str">
        <f aca="false">IFERROR(IF([1]对账明细接口!$O993=0,"",[1]对账明细接口!$O993),"")</f>
        <v/>
      </c>
      <c r="U993" s="112" t="str">
        <f aca="false">IFERROR(IF([1]对账明细接口!$P993=0,"",[1]对账明细接口!$P993),"")</f>
        <v/>
      </c>
      <c r="V993" s="112" t="str">
        <f aca="false">IFERROR(IF([1]对账明细接口!$Q993=0,"",[1]对账明细接口!$Q993),"")</f>
        <v/>
      </c>
      <c r="W993" s="10" t="str">
        <f aca="false">IFERROR(IF([1]对账明细接口!$R993=0,"",[1]对账明细接口!$R993),"")</f>
        <v/>
      </c>
      <c r="X993" s="10" t="str">
        <f aca="false">IFERROR(IF([1]对账明细接口!$S993=0,"",[1]对账明细接口!$S993),"")</f>
        <v/>
      </c>
      <c r="Y993" s="10" t="str">
        <f aca="false">""</f>
        <v/>
      </c>
      <c r="Z993" s="10" t="str">
        <f aca="false">""</f>
        <v/>
      </c>
      <c r="AA993" s="10" t="str">
        <f aca="false">""</f>
        <v/>
      </c>
      <c r="AB993" s="10" t="str">
        <f aca="false">""</f>
        <v/>
      </c>
    </row>
    <row r="994" customFormat="false" ht="13.5" hidden="false" customHeight="false" outlineLevel="0" collapsed="false">
      <c r="A994" s="109" t="n">
        <v>994</v>
      </c>
      <c r="B994" s="110" t="str">
        <f aca="false">IFERROR(IF([1]对账明细接口!$B$994=0,"",[1]对账明细接口!$B$994),"")</f>
        <v/>
      </c>
      <c r="C994" s="59" t="str">
        <f aca="false">IFERROR(IF([1]对账明细接口!$C$994=0,"",[1]对账明细接口!$C$994),"")</f>
        <v/>
      </c>
      <c r="D994" s="59" t="str">
        <f aca="false">IFERROR(IF([1]对账明细接口!$D$994=0,"",[1]对账明细接口!$D$994),"")</f>
        <v/>
      </c>
      <c r="E994" s="59" t="str">
        <f aca="false">IFERROR(IF([1]对账明细接口!$E$994=0,"",[1]对账明细接口!$E$994),"")</f>
        <v/>
      </c>
      <c r="F994" s="59" t="str">
        <f aca="false">IFERROR(IF([1]对账明细接口!$F$994=0,"",[1]对账明细接口!$F$994),"")</f>
        <v/>
      </c>
      <c r="G994" s="59" t="str">
        <f aca="false">IFERROR(IF([1]对账明细接口!$G$994=0,"",[1]对账明细接口!$G$994),"")</f>
        <v/>
      </c>
      <c r="H994" s="60" t="str">
        <f aca="false">IFERROR(IF([1]对账明细接口!$H$994=0,"",[1]对账明细接口!$H$994),"")</f>
        <v/>
      </c>
      <c r="I994" s="59" t="str">
        <f aca="false">IFERROR(IF([1]对账明细接口!$I$994=0,"",[1]对账明细接口!$I$994),"")</f>
        <v/>
      </c>
      <c r="J994" s="61" t="str">
        <f aca="false">IFERROR(IF([1]对账明细接口!$J$994=0,"",[1]对账明细接口!$J$994),"")</f>
        <v/>
      </c>
      <c r="K994" s="61" t="str">
        <f aca="false">IFERROR(IF([1]对账明细接口!$K$994=0,"",[1]对账明细接口!$K$994),"")</f>
        <v/>
      </c>
      <c r="L994" s="59" t="str">
        <f aca="false">IFERROR(IF([1]对账明细接口!$L$994=0,"",[1]对账明细接口!$L$994),"")</f>
        <v/>
      </c>
      <c r="M994" s="59" t="str">
        <f aca="false">IFERROR(IF([1]对账明细接口!$M$994=0,"",[1]对账明细接口!$M$994),"")</f>
        <v/>
      </c>
      <c r="N994" s="111" t="n">
        <f aca="false">IF($C994="",0,1)</f>
        <v>0</v>
      </c>
      <c r="O994" s="111" t="n">
        <f aca="false">N(O993)+$N994</f>
        <v>110</v>
      </c>
      <c r="S994" s="10" t="str">
        <f aca="false">IFERROR(IF([1]对账明细接口!$N994=0,"",[1]对账明细接口!$N994),"")</f>
        <v/>
      </c>
      <c r="T994" s="112" t="str">
        <f aca="false">IFERROR(IF([1]对账明细接口!$O994=0,"",[1]对账明细接口!$O994),"")</f>
        <v/>
      </c>
      <c r="U994" s="112" t="str">
        <f aca="false">IFERROR(IF([1]对账明细接口!$P994=0,"",[1]对账明细接口!$P994),"")</f>
        <v/>
      </c>
      <c r="V994" s="112" t="str">
        <f aca="false">IFERROR(IF([1]对账明细接口!$Q994=0,"",[1]对账明细接口!$Q994),"")</f>
        <v/>
      </c>
      <c r="W994" s="10" t="str">
        <f aca="false">IFERROR(IF([1]对账明细接口!$R994=0,"",[1]对账明细接口!$R994),"")</f>
        <v/>
      </c>
      <c r="X994" s="10" t="str">
        <f aca="false">IFERROR(IF([1]对账明细接口!$S994=0,"",[1]对账明细接口!$S994),"")</f>
        <v/>
      </c>
      <c r="Y994" s="10" t="str">
        <f aca="false">""</f>
        <v/>
      </c>
      <c r="Z994" s="10" t="str">
        <f aca="false">""</f>
        <v/>
      </c>
      <c r="AA994" s="10" t="str">
        <f aca="false">""</f>
        <v/>
      </c>
      <c r="AB994" s="10" t="str">
        <f aca="false">""</f>
        <v/>
      </c>
    </row>
    <row r="995" customFormat="false" ht="13.5" hidden="false" customHeight="false" outlineLevel="0" collapsed="false">
      <c r="A995" s="109" t="n">
        <v>995</v>
      </c>
      <c r="B995" s="110" t="str">
        <f aca="false">IFERROR(IF([1]对账明细接口!$B$995=0,"",[1]对账明细接口!$B$995),"")</f>
        <v/>
      </c>
      <c r="C995" s="59" t="str">
        <f aca="false">IFERROR(IF([1]对账明细接口!$C$995=0,"",[1]对账明细接口!$C$995),"")</f>
        <v/>
      </c>
      <c r="D995" s="59" t="str">
        <f aca="false">IFERROR(IF([1]对账明细接口!$D$995=0,"",[1]对账明细接口!$D$995),"")</f>
        <v/>
      </c>
      <c r="E995" s="59" t="str">
        <f aca="false">IFERROR(IF([1]对账明细接口!$E$995=0,"",[1]对账明细接口!$E$995),"")</f>
        <v/>
      </c>
      <c r="F995" s="59" t="str">
        <f aca="false">IFERROR(IF([1]对账明细接口!$F$995=0,"",[1]对账明细接口!$F$995),"")</f>
        <v/>
      </c>
      <c r="G995" s="59" t="str">
        <f aca="false">IFERROR(IF([1]对账明细接口!$G$995=0,"",[1]对账明细接口!$G$995),"")</f>
        <v/>
      </c>
      <c r="H995" s="60" t="str">
        <f aca="false">IFERROR(IF([1]对账明细接口!$H$995=0,"",[1]对账明细接口!$H$995),"")</f>
        <v/>
      </c>
      <c r="I995" s="59" t="str">
        <f aca="false">IFERROR(IF([1]对账明细接口!$I$995=0,"",[1]对账明细接口!$I$995),"")</f>
        <v/>
      </c>
      <c r="J995" s="61" t="str">
        <f aca="false">IFERROR(IF([1]对账明细接口!$J$995=0,"",[1]对账明细接口!$J$995),"")</f>
        <v/>
      </c>
      <c r="K995" s="61" t="str">
        <f aca="false">IFERROR(IF([1]对账明细接口!$K$995=0,"",[1]对账明细接口!$K$995),"")</f>
        <v/>
      </c>
      <c r="L995" s="59" t="str">
        <f aca="false">IFERROR(IF([1]对账明细接口!$L$995=0,"",[1]对账明细接口!$L$995),"")</f>
        <v/>
      </c>
      <c r="M995" s="59" t="str">
        <f aca="false">IFERROR(IF([1]对账明细接口!$M$995=0,"",[1]对账明细接口!$M$995),"")</f>
        <v/>
      </c>
      <c r="N995" s="111" t="n">
        <f aca="false">IF($C995="",0,1)</f>
        <v>0</v>
      </c>
      <c r="O995" s="111" t="n">
        <f aca="false">N(O994)+$N995</f>
        <v>110</v>
      </c>
      <c r="S995" s="10" t="str">
        <f aca="false">IFERROR(IF([1]对账明细接口!$N995=0,"",[1]对账明细接口!$N995),"")</f>
        <v/>
      </c>
      <c r="T995" s="112" t="str">
        <f aca="false">IFERROR(IF([1]对账明细接口!$O995=0,"",[1]对账明细接口!$O995),"")</f>
        <v/>
      </c>
      <c r="U995" s="112" t="str">
        <f aca="false">IFERROR(IF([1]对账明细接口!$P995=0,"",[1]对账明细接口!$P995),"")</f>
        <v/>
      </c>
      <c r="V995" s="112" t="str">
        <f aca="false">IFERROR(IF([1]对账明细接口!$Q995=0,"",[1]对账明细接口!$Q995),"")</f>
        <v/>
      </c>
      <c r="W995" s="10" t="str">
        <f aca="false">IFERROR(IF([1]对账明细接口!$R995=0,"",[1]对账明细接口!$R995),"")</f>
        <v/>
      </c>
      <c r="X995" s="10" t="str">
        <f aca="false">IFERROR(IF([1]对账明细接口!$S995=0,"",[1]对账明细接口!$S995),"")</f>
        <v/>
      </c>
      <c r="Y995" s="10" t="str">
        <f aca="false">""</f>
        <v/>
      </c>
      <c r="Z995" s="10" t="str">
        <f aca="false">""</f>
        <v/>
      </c>
      <c r="AA995" s="10" t="str">
        <f aca="false">""</f>
        <v/>
      </c>
      <c r="AB995" s="10" t="str">
        <f aca="false">""</f>
        <v/>
      </c>
    </row>
    <row r="996" customFormat="false" ht="13.5" hidden="false" customHeight="false" outlineLevel="0" collapsed="false">
      <c r="A996" s="109" t="n">
        <v>996</v>
      </c>
      <c r="B996" s="110" t="str">
        <f aca="false">IFERROR(IF([1]对账明细接口!$B$996=0,"",[1]对账明细接口!$B$996),"")</f>
        <v/>
      </c>
      <c r="C996" s="59" t="str">
        <f aca="false">IFERROR(IF([1]对账明细接口!$C$996=0,"",[1]对账明细接口!$C$996),"")</f>
        <v/>
      </c>
      <c r="D996" s="59" t="str">
        <f aca="false">IFERROR(IF([1]对账明细接口!$D$996=0,"",[1]对账明细接口!$D$996),"")</f>
        <v/>
      </c>
      <c r="E996" s="59" t="str">
        <f aca="false">IFERROR(IF([1]对账明细接口!$E$996=0,"",[1]对账明细接口!$E$996),"")</f>
        <v/>
      </c>
      <c r="F996" s="59" t="str">
        <f aca="false">IFERROR(IF([1]对账明细接口!$F$996=0,"",[1]对账明细接口!$F$996),"")</f>
        <v/>
      </c>
      <c r="G996" s="59" t="str">
        <f aca="false">IFERROR(IF([1]对账明细接口!$G$996=0,"",[1]对账明细接口!$G$996),"")</f>
        <v/>
      </c>
      <c r="H996" s="60" t="str">
        <f aca="false">IFERROR(IF([1]对账明细接口!$H$996=0,"",[1]对账明细接口!$H$996),"")</f>
        <v/>
      </c>
      <c r="I996" s="59" t="str">
        <f aca="false">IFERROR(IF([1]对账明细接口!$I$996=0,"",[1]对账明细接口!$I$996),"")</f>
        <v/>
      </c>
      <c r="J996" s="61" t="str">
        <f aca="false">IFERROR(IF([1]对账明细接口!$J$996=0,"",[1]对账明细接口!$J$996),"")</f>
        <v/>
      </c>
      <c r="K996" s="61" t="str">
        <f aca="false">IFERROR(IF([1]对账明细接口!$K$996=0,"",[1]对账明细接口!$K$996),"")</f>
        <v/>
      </c>
      <c r="L996" s="59" t="str">
        <f aca="false">IFERROR(IF([1]对账明细接口!$L$996=0,"",[1]对账明细接口!$L$996),"")</f>
        <v/>
      </c>
      <c r="M996" s="59" t="str">
        <f aca="false">IFERROR(IF([1]对账明细接口!$M$996=0,"",[1]对账明细接口!$M$996),"")</f>
        <v/>
      </c>
      <c r="N996" s="111" t="n">
        <f aca="false">IF($C996="",0,1)</f>
        <v>0</v>
      </c>
      <c r="O996" s="111" t="n">
        <f aca="false">N(O995)+$N996</f>
        <v>110</v>
      </c>
      <c r="S996" s="10" t="str">
        <f aca="false">IFERROR(IF([1]对账明细接口!$N996=0,"",[1]对账明细接口!$N996),"")</f>
        <v/>
      </c>
      <c r="T996" s="112" t="str">
        <f aca="false">IFERROR(IF([1]对账明细接口!$O996=0,"",[1]对账明细接口!$O996),"")</f>
        <v/>
      </c>
      <c r="U996" s="112" t="str">
        <f aca="false">IFERROR(IF([1]对账明细接口!$P996=0,"",[1]对账明细接口!$P996),"")</f>
        <v/>
      </c>
      <c r="V996" s="112" t="str">
        <f aca="false">IFERROR(IF([1]对账明细接口!$Q996=0,"",[1]对账明细接口!$Q996),"")</f>
        <v/>
      </c>
      <c r="W996" s="10" t="str">
        <f aca="false">IFERROR(IF([1]对账明细接口!$R996=0,"",[1]对账明细接口!$R996),"")</f>
        <v/>
      </c>
      <c r="X996" s="10" t="str">
        <f aca="false">IFERROR(IF([1]对账明细接口!$S996=0,"",[1]对账明细接口!$S996),"")</f>
        <v/>
      </c>
      <c r="Y996" s="10" t="str">
        <f aca="false">""</f>
        <v/>
      </c>
      <c r="Z996" s="10" t="str">
        <f aca="false">""</f>
        <v/>
      </c>
      <c r="AA996" s="10" t="str">
        <f aca="false">""</f>
        <v/>
      </c>
      <c r="AB996" s="10" t="str">
        <f aca="false">""</f>
        <v/>
      </c>
    </row>
    <row r="997" customFormat="false" ht="13.5" hidden="false" customHeight="false" outlineLevel="0" collapsed="false">
      <c r="A997" s="109" t="n">
        <v>997</v>
      </c>
      <c r="B997" s="110" t="str">
        <f aca="false">IFERROR(IF([1]对账明细接口!$B$997=0,"",[1]对账明细接口!$B$997),"")</f>
        <v/>
      </c>
      <c r="C997" s="59" t="str">
        <f aca="false">IFERROR(IF([1]对账明细接口!$C$997=0,"",[1]对账明细接口!$C$997),"")</f>
        <v/>
      </c>
      <c r="D997" s="59" t="str">
        <f aca="false">IFERROR(IF([1]对账明细接口!$D$997=0,"",[1]对账明细接口!$D$997),"")</f>
        <v/>
      </c>
      <c r="E997" s="59" t="str">
        <f aca="false">IFERROR(IF([1]对账明细接口!$E$997=0,"",[1]对账明细接口!$E$997),"")</f>
        <v/>
      </c>
      <c r="F997" s="59" t="str">
        <f aca="false">IFERROR(IF([1]对账明细接口!$F$997=0,"",[1]对账明细接口!$F$997),"")</f>
        <v/>
      </c>
      <c r="G997" s="59" t="str">
        <f aca="false">IFERROR(IF([1]对账明细接口!$G$997=0,"",[1]对账明细接口!$G$997),"")</f>
        <v/>
      </c>
      <c r="H997" s="60" t="str">
        <f aca="false">IFERROR(IF([1]对账明细接口!$H$997=0,"",[1]对账明细接口!$H$997),"")</f>
        <v/>
      </c>
      <c r="I997" s="59" t="str">
        <f aca="false">IFERROR(IF([1]对账明细接口!$I$997=0,"",[1]对账明细接口!$I$997),"")</f>
        <v/>
      </c>
      <c r="J997" s="61" t="str">
        <f aca="false">IFERROR(IF([1]对账明细接口!$J$997=0,"",[1]对账明细接口!$J$997),"")</f>
        <v/>
      </c>
      <c r="K997" s="61" t="str">
        <f aca="false">IFERROR(IF([1]对账明细接口!$K$997=0,"",[1]对账明细接口!$K$997),"")</f>
        <v/>
      </c>
      <c r="L997" s="59" t="str">
        <f aca="false">IFERROR(IF([1]对账明细接口!$L$997=0,"",[1]对账明细接口!$L$997),"")</f>
        <v/>
      </c>
      <c r="M997" s="59" t="str">
        <f aca="false">IFERROR(IF([1]对账明细接口!$M$997=0,"",[1]对账明细接口!$M$997),"")</f>
        <v/>
      </c>
      <c r="N997" s="111" t="n">
        <f aca="false">IF($C997="",0,1)</f>
        <v>0</v>
      </c>
      <c r="O997" s="111" t="n">
        <f aca="false">N(O996)+$N997</f>
        <v>110</v>
      </c>
      <c r="S997" s="10" t="str">
        <f aca="false">IFERROR(IF([1]对账明细接口!$N997=0,"",[1]对账明细接口!$N997),"")</f>
        <v/>
      </c>
      <c r="T997" s="112" t="str">
        <f aca="false">IFERROR(IF([1]对账明细接口!$O997=0,"",[1]对账明细接口!$O997),"")</f>
        <v/>
      </c>
      <c r="U997" s="112" t="str">
        <f aca="false">IFERROR(IF([1]对账明细接口!$P997=0,"",[1]对账明细接口!$P997),"")</f>
        <v/>
      </c>
      <c r="V997" s="112" t="str">
        <f aca="false">IFERROR(IF([1]对账明细接口!$Q997=0,"",[1]对账明细接口!$Q997),"")</f>
        <v/>
      </c>
      <c r="W997" s="10" t="str">
        <f aca="false">IFERROR(IF([1]对账明细接口!$R997=0,"",[1]对账明细接口!$R997),"")</f>
        <v/>
      </c>
      <c r="X997" s="10" t="str">
        <f aca="false">IFERROR(IF([1]对账明细接口!$S997=0,"",[1]对账明细接口!$S997),"")</f>
        <v/>
      </c>
      <c r="Y997" s="10" t="str">
        <f aca="false">""</f>
        <v/>
      </c>
      <c r="Z997" s="10" t="str">
        <f aca="false">""</f>
        <v/>
      </c>
      <c r="AA997" s="10" t="str">
        <f aca="false">""</f>
        <v/>
      </c>
      <c r="AB997" s="10" t="str">
        <f aca="false">""</f>
        <v/>
      </c>
    </row>
    <row r="998" customFormat="false" ht="13.5" hidden="false" customHeight="false" outlineLevel="0" collapsed="false">
      <c r="A998" s="109" t="n">
        <v>998</v>
      </c>
      <c r="B998" s="110" t="str">
        <f aca="false">IFERROR(IF([1]对账明细接口!$B$998=0,"",[1]对账明细接口!$B$998),"")</f>
        <v/>
      </c>
      <c r="C998" s="59" t="str">
        <f aca="false">IFERROR(IF([1]对账明细接口!$C$998=0,"",[1]对账明细接口!$C$998),"")</f>
        <v/>
      </c>
      <c r="D998" s="59" t="str">
        <f aca="false">IFERROR(IF([1]对账明细接口!$D$998=0,"",[1]对账明细接口!$D$998),"")</f>
        <v/>
      </c>
      <c r="E998" s="59" t="str">
        <f aca="false">IFERROR(IF([1]对账明细接口!$E$998=0,"",[1]对账明细接口!$E$998),"")</f>
        <v/>
      </c>
      <c r="F998" s="59" t="str">
        <f aca="false">IFERROR(IF([1]对账明细接口!$F$998=0,"",[1]对账明细接口!$F$998),"")</f>
        <v/>
      </c>
      <c r="G998" s="59" t="str">
        <f aca="false">IFERROR(IF([1]对账明细接口!$G$998=0,"",[1]对账明细接口!$G$998),"")</f>
        <v/>
      </c>
      <c r="H998" s="60" t="str">
        <f aca="false">IFERROR(IF([1]对账明细接口!$H$998=0,"",[1]对账明细接口!$H$998),"")</f>
        <v/>
      </c>
      <c r="I998" s="59" t="str">
        <f aca="false">IFERROR(IF([1]对账明细接口!$I$998=0,"",[1]对账明细接口!$I$998),"")</f>
        <v/>
      </c>
      <c r="J998" s="61" t="str">
        <f aca="false">IFERROR(IF([1]对账明细接口!$J$998=0,"",[1]对账明细接口!$J$998),"")</f>
        <v/>
      </c>
      <c r="K998" s="61" t="str">
        <f aca="false">IFERROR(IF([1]对账明细接口!$K$998=0,"",[1]对账明细接口!$K$998),"")</f>
        <v/>
      </c>
      <c r="L998" s="59" t="str">
        <f aca="false">IFERROR(IF([1]对账明细接口!$L$998=0,"",[1]对账明细接口!$L$998),"")</f>
        <v/>
      </c>
      <c r="M998" s="59" t="str">
        <f aca="false">IFERROR(IF([1]对账明细接口!$M$998=0,"",[1]对账明细接口!$M$998),"")</f>
        <v/>
      </c>
      <c r="N998" s="111" t="n">
        <f aca="false">IF($C998="",0,1)</f>
        <v>0</v>
      </c>
      <c r="O998" s="111" t="n">
        <f aca="false">N(O997)+$N998</f>
        <v>110</v>
      </c>
      <c r="S998" s="10" t="str">
        <f aca="false">IFERROR(IF([1]对账明细接口!$N998=0,"",[1]对账明细接口!$N998),"")</f>
        <v/>
      </c>
      <c r="T998" s="112" t="str">
        <f aca="false">IFERROR(IF([1]对账明细接口!$O998=0,"",[1]对账明细接口!$O998),"")</f>
        <v/>
      </c>
      <c r="U998" s="112" t="str">
        <f aca="false">IFERROR(IF([1]对账明细接口!$P998=0,"",[1]对账明细接口!$P998),"")</f>
        <v/>
      </c>
      <c r="V998" s="112" t="str">
        <f aca="false">IFERROR(IF([1]对账明细接口!$Q998=0,"",[1]对账明细接口!$Q998),"")</f>
        <v/>
      </c>
      <c r="W998" s="10" t="str">
        <f aca="false">IFERROR(IF([1]对账明细接口!$R998=0,"",[1]对账明细接口!$R998),"")</f>
        <v/>
      </c>
      <c r="X998" s="10" t="str">
        <f aca="false">IFERROR(IF([1]对账明细接口!$S998=0,"",[1]对账明细接口!$S998),"")</f>
        <v/>
      </c>
      <c r="Y998" s="10" t="str">
        <f aca="false">""</f>
        <v/>
      </c>
      <c r="Z998" s="10" t="str">
        <f aca="false">""</f>
        <v/>
      </c>
      <c r="AA998" s="10" t="str">
        <f aca="false">""</f>
        <v/>
      </c>
      <c r="AB998" s="10" t="str">
        <f aca="false">""</f>
        <v/>
      </c>
    </row>
    <row r="999" customFormat="false" ht="13.5" hidden="false" customHeight="false" outlineLevel="0" collapsed="false">
      <c r="A999" s="109" t="n">
        <v>999</v>
      </c>
      <c r="B999" s="110" t="str">
        <f aca="false">IFERROR(IF([1]对账明细接口!$B$999=0,"",[1]对账明细接口!$B$999),"")</f>
        <v/>
      </c>
      <c r="C999" s="59" t="str">
        <f aca="false">IFERROR(IF([1]对账明细接口!$C$999=0,"",[1]对账明细接口!$C$999),"")</f>
        <v/>
      </c>
      <c r="D999" s="59" t="str">
        <f aca="false">IFERROR(IF([1]对账明细接口!$D$999=0,"",[1]对账明细接口!$D$999),"")</f>
        <v/>
      </c>
      <c r="E999" s="59" t="str">
        <f aca="false">IFERROR(IF([1]对账明细接口!$E$999=0,"",[1]对账明细接口!$E$999),"")</f>
        <v/>
      </c>
      <c r="F999" s="59" t="str">
        <f aca="false">IFERROR(IF([1]对账明细接口!$F$999=0,"",[1]对账明细接口!$F$999),"")</f>
        <v/>
      </c>
      <c r="G999" s="59" t="str">
        <f aca="false">IFERROR(IF([1]对账明细接口!$G$999=0,"",[1]对账明细接口!$G$999),"")</f>
        <v/>
      </c>
      <c r="H999" s="60" t="str">
        <f aca="false">IFERROR(IF([1]对账明细接口!$H$999=0,"",[1]对账明细接口!$H$999),"")</f>
        <v/>
      </c>
      <c r="I999" s="59" t="str">
        <f aca="false">IFERROR(IF([1]对账明细接口!$I$999=0,"",[1]对账明细接口!$I$999),"")</f>
        <v/>
      </c>
      <c r="J999" s="61" t="str">
        <f aca="false">IFERROR(IF([1]对账明细接口!$J$999=0,"",[1]对账明细接口!$J$999),"")</f>
        <v/>
      </c>
      <c r="K999" s="61" t="str">
        <f aca="false">IFERROR(IF([1]对账明细接口!$K$999=0,"",[1]对账明细接口!$K$999),"")</f>
        <v/>
      </c>
      <c r="L999" s="59" t="str">
        <f aca="false">IFERROR(IF([1]对账明细接口!$L$999=0,"",[1]对账明细接口!$L$999),"")</f>
        <v/>
      </c>
      <c r="M999" s="59" t="str">
        <f aca="false">IFERROR(IF([1]对账明细接口!$M$999=0,"",[1]对账明细接口!$M$999),"")</f>
        <v/>
      </c>
      <c r="N999" s="111" t="n">
        <f aca="false">IF($C999="",0,1)</f>
        <v>0</v>
      </c>
      <c r="O999" s="111" t="n">
        <f aca="false">N(O998)+$N999</f>
        <v>110</v>
      </c>
      <c r="S999" s="10" t="str">
        <f aca="false">IFERROR(IF([1]对账明细接口!$N999=0,"",[1]对账明细接口!$N999),"")</f>
        <v/>
      </c>
      <c r="T999" s="112" t="str">
        <f aca="false">IFERROR(IF([1]对账明细接口!$O999=0,"",[1]对账明细接口!$O999),"")</f>
        <v/>
      </c>
      <c r="U999" s="112" t="str">
        <f aca="false">IFERROR(IF([1]对账明细接口!$P999=0,"",[1]对账明细接口!$P999),"")</f>
        <v/>
      </c>
      <c r="V999" s="112" t="str">
        <f aca="false">IFERROR(IF([1]对账明细接口!$Q999=0,"",[1]对账明细接口!$Q999),"")</f>
        <v/>
      </c>
      <c r="W999" s="10" t="str">
        <f aca="false">IFERROR(IF([1]对账明细接口!$R999=0,"",[1]对账明细接口!$R999),"")</f>
        <v/>
      </c>
      <c r="X999" s="10" t="str">
        <f aca="false">IFERROR(IF([1]对账明细接口!$S999=0,"",[1]对账明细接口!$S999),"")</f>
        <v/>
      </c>
      <c r="Y999" s="10" t="str">
        <f aca="false">""</f>
        <v/>
      </c>
      <c r="Z999" s="10" t="str">
        <f aca="false">""</f>
        <v/>
      </c>
      <c r="AA999" s="10" t="str">
        <f aca="false">""</f>
        <v/>
      </c>
      <c r="AB999" s="10" t="str">
        <f aca="false">""</f>
        <v/>
      </c>
    </row>
    <row r="1000" customFormat="false" ht="13.5" hidden="false" customHeight="false" outlineLevel="0" collapsed="false">
      <c r="A1000" s="109" t="n">
        <v>1000</v>
      </c>
      <c r="B1000" s="110" t="str">
        <f aca="false">IFERROR(IF([1]对账明细接口!$B$1000=0,"",[1]对账明细接口!$B$1000),"")</f>
        <v/>
      </c>
      <c r="C1000" s="59" t="str">
        <f aca="false">IFERROR(IF([1]对账明细接口!$C$1000=0,"",[1]对账明细接口!$C$1000),"")</f>
        <v/>
      </c>
      <c r="D1000" s="59" t="str">
        <f aca="false">IFERROR(IF([1]对账明细接口!$D$1000=0,"",[1]对账明细接口!$D$1000),"")</f>
        <v/>
      </c>
      <c r="E1000" s="59" t="str">
        <f aca="false">IFERROR(IF([1]对账明细接口!$E$1000=0,"",[1]对账明细接口!$E$1000),"")</f>
        <v/>
      </c>
      <c r="F1000" s="59" t="str">
        <f aca="false">IFERROR(IF([1]对账明细接口!$F$1000=0,"",[1]对账明细接口!$F$1000),"")</f>
        <v/>
      </c>
      <c r="G1000" s="59" t="str">
        <f aca="false">IFERROR(IF([1]对账明细接口!$G$1000=0,"",[1]对账明细接口!$G$1000),"")</f>
        <v/>
      </c>
      <c r="H1000" s="60" t="str">
        <f aca="false">IFERROR(IF([1]对账明细接口!$H$1000=0,"",[1]对账明细接口!$H$1000),"")</f>
        <v/>
      </c>
      <c r="I1000" s="59" t="str">
        <f aca="false">IFERROR(IF([1]对账明细接口!$I$1000=0,"",[1]对账明细接口!$I$1000),"")</f>
        <v/>
      </c>
      <c r="J1000" s="61" t="str">
        <f aca="false">IFERROR(IF([1]对账明细接口!$J$1000=0,"",[1]对账明细接口!$J$1000),"")</f>
        <v/>
      </c>
      <c r="K1000" s="61" t="str">
        <f aca="false">IFERROR(IF([1]对账明细接口!$K$1000=0,"",[1]对账明细接口!$K$1000),"")</f>
        <v/>
      </c>
      <c r="L1000" s="59" t="str">
        <f aca="false">IFERROR(IF([1]对账明细接口!$L$1000=0,"",[1]对账明细接口!$L$1000),"")</f>
        <v/>
      </c>
      <c r="M1000" s="59" t="str">
        <f aca="false">IFERROR(IF([1]对账明细接口!$M$1000=0,"",[1]对账明细接口!$M$1000),"")</f>
        <v/>
      </c>
      <c r="N1000" s="111" t="n">
        <f aca="false">IF($C1000="",0,1)</f>
        <v>0</v>
      </c>
      <c r="O1000" s="111" t="n">
        <f aca="false">N(O999)+$N1000</f>
        <v>110</v>
      </c>
      <c r="S1000" s="10" t="str">
        <f aca="false">IFERROR(IF([1]对账明细接口!$N1000=0,"",[1]对账明细接口!$N1000),"")</f>
        <v/>
      </c>
      <c r="T1000" s="112" t="str">
        <f aca="false">IFERROR(IF([1]对账明细接口!$O1000=0,"",[1]对账明细接口!$O1000),"")</f>
        <v/>
      </c>
      <c r="U1000" s="112" t="str">
        <f aca="false">IFERROR(IF([1]对账明细接口!$P1000=0,"",[1]对账明细接口!$P1000),"")</f>
        <v/>
      </c>
      <c r="V1000" s="112" t="str">
        <f aca="false">IFERROR(IF([1]对账明细接口!$Q1000=0,"",[1]对账明细接口!$Q1000),"")</f>
        <v/>
      </c>
      <c r="W1000" s="10" t="str">
        <f aca="false">IFERROR(IF([1]对账明细接口!$R1000=0,"",[1]对账明细接口!$R1000),"")</f>
        <v/>
      </c>
      <c r="X1000" s="10" t="str">
        <f aca="false">IFERROR(IF([1]对账明细接口!$S1000=0,"",[1]对账明细接口!$S1000),"")</f>
        <v/>
      </c>
      <c r="Y1000" s="10" t="str">
        <f aca="false">""</f>
        <v/>
      </c>
      <c r="Z1000" s="10" t="str">
        <f aca="false">""</f>
        <v/>
      </c>
      <c r="AA1000" s="10" t="str">
        <f aca="false">""</f>
        <v/>
      </c>
      <c r="AB1000" s="10" t="str">
        <f aca="false">""</f>
        <v/>
      </c>
    </row>
    <row r="1001" customFormat="false" ht="13.5" hidden="false" customHeight="false" outlineLevel="0" collapsed="false">
      <c r="A1001" s="109" t="n">
        <v>1001</v>
      </c>
      <c r="B1001" s="110" t="str">
        <f aca="false">IFERROR(IF([1]对账明细接口!$B$1001=0,"",[1]对账明细接口!$B$1001),"")</f>
        <v/>
      </c>
      <c r="C1001" s="59" t="str">
        <f aca="false">IFERROR(IF([1]对账明细接口!$C$1001=0,"",[1]对账明细接口!$C$1001),"")</f>
        <v/>
      </c>
      <c r="D1001" s="59" t="str">
        <f aca="false">IFERROR(IF([1]对账明细接口!$D$1001=0,"",[1]对账明细接口!$D$1001),"")</f>
        <v/>
      </c>
      <c r="E1001" s="59" t="str">
        <f aca="false">IFERROR(IF([1]对账明细接口!$E$1001=0,"",[1]对账明细接口!$E$1001),"")</f>
        <v/>
      </c>
      <c r="F1001" s="59" t="str">
        <f aca="false">IFERROR(IF([1]对账明细接口!$F$1001=0,"",[1]对账明细接口!$F$1001),"")</f>
        <v/>
      </c>
      <c r="G1001" s="59" t="str">
        <f aca="false">IFERROR(IF([1]对账明细接口!$G$1001=0,"",[1]对账明细接口!$G$1001),"")</f>
        <v/>
      </c>
      <c r="H1001" s="60" t="str">
        <f aca="false">IFERROR(IF([1]对账明细接口!$H$1001=0,"",[1]对账明细接口!$H$1001),"")</f>
        <v/>
      </c>
      <c r="I1001" s="59" t="str">
        <f aca="false">IFERROR(IF([1]对账明细接口!$I$1001=0,"",[1]对账明细接口!$I$1001),"")</f>
        <v/>
      </c>
      <c r="J1001" s="61" t="str">
        <f aca="false">IFERROR(IF([1]对账明细接口!$J$1001=0,"",[1]对账明细接口!$J$1001),"")</f>
        <v/>
      </c>
      <c r="K1001" s="61" t="str">
        <f aca="false">IFERROR(IF([1]对账明细接口!$K$1001=0,"",[1]对账明细接口!$K$1001),"")</f>
        <v/>
      </c>
      <c r="L1001" s="59" t="str">
        <f aca="false">IFERROR(IF([1]对账明细接口!$L$1001=0,"",[1]对账明细接口!$L$1001),"")</f>
        <v/>
      </c>
      <c r="M1001" s="59" t="str">
        <f aca="false">IFERROR(IF([1]对账明细接口!$M$1001=0,"",[1]对账明细接口!$M$1001),"")</f>
        <v/>
      </c>
      <c r="N1001" s="111" t="n">
        <f aca="false">IF($C1001="",0,1)</f>
        <v>0</v>
      </c>
      <c r="O1001" s="111" t="n">
        <f aca="false">N(O1000)+$N1001</f>
        <v>110</v>
      </c>
      <c r="S1001" s="10" t="str">
        <f aca="false">IFERROR(IF([1]对账明细接口!$N1001=0,"",[1]对账明细接口!$N1001),"")</f>
        <v/>
      </c>
      <c r="T1001" s="112" t="str">
        <f aca="false">IFERROR(IF([1]对账明细接口!$O1001=0,"",[1]对账明细接口!$O1001),"")</f>
        <v/>
      </c>
      <c r="U1001" s="112" t="str">
        <f aca="false">IFERROR(IF([1]对账明细接口!$P1001=0,"",[1]对账明细接口!$P1001),"")</f>
        <v/>
      </c>
      <c r="V1001" s="112" t="str">
        <f aca="false">IFERROR(IF([1]对账明细接口!$Q1001=0,"",[1]对账明细接口!$Q1001),"")</f>
        <v/>
      </c>
      <c r="W1001" s="10" t="str">
        <f aca="false">IFERROR(IF([1]对账明细接口!$R1001=0,"",[1]对账明细接口!$R1001),"")</f>
        <v/>
      </c>
      <c r="X1001" s="10" t="str">
        <f aca="false">IFERROR(IF([1]对账明细接口!$S1001=0,"",[1]对账明细接口!$S1001),"")</f>
        <v/>
      </c>
      <c r="Y1001" s="10" t="str">
        <f aca="false">""</f>
        <v/>
      </c>
      <c r="Z1001" s="10" t="str">
        <f aca="false">""</f>
        <v/>
      </c>
      <c r="AA1001" s="10" t="str">
        <f aca="false">""</f>
        <v/>
      </c>
      <c r="AB1001" s="10" t="str">
        <f aca="false">""</f>
        <v/>
      </c>
    </row>
    <row r="1002" customFormat="false" ht="13.5" hidden="false" customHeight="false" outlineLevel="0" collapsed="false">
      <c r="A1002" s="109" t="n">
        <v>1002</v>
      </c>
      <c r="B1002" s="110" t="str">
        <f aca="false">IFERROR(IF([1]对账明细接口!$B$1002=0,"",[1]对账明细接口!$B$1002),"")</f>
        <v/>
      </c>
      <c r="C1002" s="59" t="str">
        <f aca="false">IFERROR(IF([1]对账明细接口!$C$1002=0,"",[1]对账明细接口!$C$1002),"")</f>
        <v/>
      </c>
      <c r="D1002" s="59" t="str">
        <f aca="false">IFERROR(IF([1]对账明细接口!$D$1002=0,"",[1]对账明细接口!$D$1002),"")</f>
        <v/>
      </c>
      <c r="E1002" s="59" t="str">
        <f aca="false">IFERROR(IF([1]对账明细接口!$E$1002=0,"",[1]对账明细接口!$E$1002),"")</f>
        <v/>
      </c>
      <c r="F1002" s="59" t="str">
        <f aca="false">IFERROR(IF([1]对账明细接口!$F$1002=0,"",[1]对账明细接口!$F$1002),"")</f>
        <v/>
      </c>
      <c r="G1002" s="59" t="str">
        <f aca="false">IFERROR(IF([1]对账明细接口!$G$1002=0,"",[1]对账明细接口!$G$1002),"")</f>
        <v/>
      </c>
      <c r="H1002" s="60" t="str">
        <f aca="false">IFERROR(IF([1]对账明细接口!$H$1002=0,"",[1]对账明细接口!$H$1002),"")</f>
        <v/>
      </c>
      <c r="I1002" s="59" t="str">
        <f aca="false">IFERROR(IF([1]对账明细接口!$I$1002=0,"",[1]对账明细接口!$I$1002),"")</f>
        <v/>
      </c>
      <c r="J1002" s="61" t="str">
        <f aca="false">IFERROR(IF([1]对账明细接口!$J$1002=0,"",[1]对账明细接口!$J$1002),"")</f>
        <v/>
      </c>
      <c r="K1002" s="61" t="str">
        <f aca="false">IFERROR(IF([1]对账明细接口!$K$1002=0,"",[1]对账明细接口!$K$1002),"")</f>
        <v/>
      </c>
      <c r="L1002" s="59" t="str">
        <f aca="false">IFERROR(IF([1]对账明细接口!$L$1002=0,"",[1]对账明细接口!$L$1002),"")</f>
        <v/>
      </c>
      <c r="M1002" s="59" t="str">
        <f aca="false">IFERROR(IF([1]对账明细接口!$M$1002=0,"",[1]对账明细接口!$M$1002),"")</f>
        <v/>
      </c>
      <c r="N1002" s="111" t="n">
        <f aca="false">IF($C1002="",0,1)</f>
        <v>0</v>
      </c>
      <c r="O1002" s="111" t="n">
        <f aca="false">N(O1001)+$N1002</f>
        <v>110</v>
      </c>
      <c r="S1002" s="10" t="str">
        <f aca="false">IFERROR(IF([1]对账明细接口!$N1002=0,"",[1]对账明细接口!$N1002),"")</f>
        <v/>
      </c>
      <c r="T1002" s="112" t="str">
        <f aca="false">IFERROR(IF([1]对账明细接口!$O1002=0,"",[1]对账明细接口!$O1002),"")</f>
        <v/>
      </c>
      <c r="U1002" s="112" t="str">
        <f aca="false">IFERROR(IF([1]对账明细接口!$P1002=0,"",[1]对账明细接口!$P1002),"")</f>
        <v/>
      </c>
      <c r="V1002" s="112" t="str">
        <f aca="false">IFERROR(IF([1]对账明细接口!$Q1002=0,"",[1]对账明细接口!$Q1002),"")</f>
        <v/>
      </c>
      <c r="W1002" s="10" t="str">
        <f aca="false">IFERROR(IF([1]对账明细接口!$R1002=0,"",[1]对账明细接口!$R1002),"")</f>
        <v/>
      </c>
      <c r="X1002" s="10" t="str">
        <f aca="false">IFERROR(IF([1]对账明细接口!$S1002=0,"",[1]对账明细接口!$S1002),"")</f>
        <v/>
      </c>
      <c r="Y1002" s="10" t="str">
        <f aca="false">""</f>
        <v/>
      </c>
      <c r="Z1002" s="10" t="str">
        <f aca="false">""</f>
        <v/>
      </c>
      <c r="AA1002" s="10" t="str">
        <f aca="false">""</f>
        <v/>
      </c>
      <c r="AB1002" s="10" t="str">
        <f aca="false">""</f>
        <v/>
      </c>
    </row>
    <row r="1003" customFormat="false" ht="13.5" hidden="false" customHeight="false" outlineLevel="0" collapsed="false">
      <c r="A1003" s="109" t="n">
        <v>1003</v>
      </c>
      <c r="B1003" s="110" t="str">
        <f aca="false">IFERROR(IF([1]对账明细接口!$B$1003=0,"",[1]对账明细接口!$B$1003),"")</f>
        <v/>
      </c>
      <c r="C1003" s="59" t="str">
        <f aca="false">IFERROR(IF([1]对账明细接口!$C$1003=0,"",[1]对账明细接口!$C$1003),"")</f>
        <v/>
      </c>
      <c r="D1003" s="59" t="str">
        <f aca="false">IFERROR(IF([1]对账明细接口!$D$1003=0,"",[1]对账明细接口!$D$1003),"")</f>
        <v/>
      </c>
      <c r="E1003" s="59" t="str">
        <f aca="false">IFERROR(IF([1]对账明细接口!$E$1003=0,"",[1]对账明细接口!$E$1003),"")</f>
        <v/>
      </c>
      <c r="F1003" s="59" t="str">
        <f aca="false">IFERROR(IF([1]对账明细接口!$F$1003=0,"",[1]对账明细接口!$F$1003),"")</f>
        <v/>
      </c>
      <c r="G1003" s="59" t="str">
        <f aca="false">IFERROR(IF([1]对账明细接口!$G$1003=0,"",[1]对账明细接口!$G$1003),"")</f>
        <v/>
      </c>
      <c r="H1003" s="60" t="str">
        <f aca="false">IFERROR(IF([1]对账明细接口!$H$1003=0,"",[1]对账明细接口!$H$1003),"")</f>
        <v/>
      </c>
      <c r="I1003" s="59" t="str">
        <f aca="false">IFERROR(IF([1]对账明细接口!$I$1003=0,"",[1]对账明细接口!$I$1003),"")</f>
        <v/>
      </c>
      <c r="J1003" s="61" t="str">
        <f aca="false">IFERROR(IF([1]对账明细接口!$J$1003=0,"",[1]对账明细接口!$J$1003),"")</f>
        <v/>
      </c>
      <c r="K1003" s="61" t="str">
        <f aca="false">IFERROR(IF([1]对账明细接口!$K$1003=0,"",[1]对账明细接口!$K$1003),"")</f>
        <v/>
      </c>
      <c r="L1003" s="59" t="str">
        <f aca="false">IFERROR(IF([1]对账明细接口!$L$1003=0,"",[1]对账明细接口!$L$1003),"")</f>
        <v/>
      </c>
      <c r="M1003" s="59" t="str">
        <f aca="false">IFERROR(IF([1]对账明细接口!$M$1003=0,"",[1]对账明细接口!$M$1003),"")</f>
        <v/>
      </c>
      <c r="N1003" s="111" t="n">
        <f aca="false">IF($C1003="",0,1)</f>
        <v>0</v>
      </c>
      <c r="O1003" s="111" t="n">
        <f aca="false">N(O1002)+$N1003</f>
        <v>110</v>
      </c>
      <c r="S1003" s="10" t="str">
        <f aca="false">IFERROR(IF([1]对账明细接口!$N1003=0,"",[1]对账明细接口!$N1003),"")</f>
        <v/>
      </c>
      <c r="T1003" s="112" t="str">
        <f aca="false">IFERROR(IF([1]对账明细接口!$O1003=0,"",[1]对账明细接口!$O1003),"")</f>
        <v/>
      </c>
      <c r="U1003" s="112" t="str">
        <f aca="false">IFERROR(IF([1]对账明细接口!$P1003=0,"",[1]对账明细接口!$P1003),"")</f>
        <v/>
      </c>
      <c r="V1003" s="112" t="str">
        <f aca="false">IFERROR(IF([1]对账明细接口!$Q1003=0,"",[1]对账明细接口!$Q1003),"")</f>
        <v/>
      </c>
      <c r="W1003" s="10" t="str">
        <f aca="false">IFERROR(IF([1]对账明细接口!$R1003=0,"",[1]对账明细接口!$R1003),"")</f>
        <v/>
      </c>
      <c r="X1003" s="10" t="str">
        <f aca="false">IFERROR(IF([1]对账明细接口!$S1003=0,"",[1]对账明细接口!$S1003),"")</f>
        <v/>
      </c>
      <c r="Y1003" s="10" t="str">
        <f aca="false">""</f>
        <v/>
      </c>
      <c r="Z1003" s="10" t="str">
        <f aca="false">""</f>
        <v/>
      </c>
      <c r="AA1003" s="10" t="str">
        <f aca="false">""</f>
        <v/>
      </c>
      <c r="AB1003" s="10" t="str">
        <f aca="false">""</f>
        <v/>
      </c>
    </row>
    <row r="1004" customFormat="false" ht="13.5" hidden="false" customHeight="false" outlineLevel="0" collapsed="false">
      <c r="A1004" s="109" t="n">
        <v>1004</v>
      </c>
      <c r="B1004" s="110" t="str">
        <f aca="false">IFERROR(IF([1]对账明细接口!$B$1004=0,"",[1]对账明细接口!$B$1004),"")</f>
        <v/>
      </c>
      <c r="C1004" s="59" t="str">
        <f aca="false">IFERROR(IF([1]对账明细接口!$C$1004=0,"",[1]对账明细接口!$C$1004),"")</f>
        <v/>
      </c>
      <c r="D1004" s="59" t="str">
        <f aca="false">IFERROR(IF([1]对账明细接口!$D$1004=0,"",[1]对账明细接口!$D$1004),"")</f>
        <v/>
      </c>
      <c r="E1004" s="59" t="str">
        <f aca="false">IFERROR(IF([1]对账明细接口!$E$1004=0,"",[1]对账明细接口!$E$1004),"")</f>
        <v/>
      </c>
      <c r="F1004" s="59" t="str">
        <f aca="false">IFERROR(IF([1]对账明细接口!$F$1004=0,"",[1]对账明细接口!$F$1004),"")</f>
        <v/>
      </c>
      <c r="G1004" s="59" t="str">
        <f aca="false">IFERROR(IF([1]对账明细接口!$G$1004=0,"",[1]对账明细接口!$G$1004),"")</f>
        <v/>
      </c>
      <c r="H1004" s="60" t="str">
        <f aca="false">IFERROR(IF([1]对账明细接口!$H$1004=0,"",[1]对账明细接口!$H$1004),"")</f>
        <v/>
      </c>
      <c r="I1004" s="59" t="str">
        <f aca="false">IFERROR(IF([1]对账明细接口!$I$1004=0,"",[1]对账明细接口!$I$1004),"")</f>
        <v/>
      </c>
      <c r="J1004" s="61" t="str">
        <f aca="false">IFERROR(IF([1]对账明细接口!$J$1004=0,"",[1]对账明细接口!$J$1004),"")</f>
        <v/>
      </c>
      <c r="K1004" s="61" t="str">
        <f aca="false">IFERROR(IF([1]对账明细接口!$K$1004=0,"",[1]对账明细接口!$K$1004),"")</f>
        <v/>
      </c>
      <c r="L1004" s="59" t="str">
        <f aca="false">IFERROR(IF([1]对账明细接口!$L$1004=0,"",[1]对账明细接口!$L$1004),"")</f>
        <v/>
      </c>
      <c r="M1004" s="59" t="str">
        <f aca="false">IFERROR(IF([1]对账明细接口!$M$1004=0,"",[1]对账明细接口!$M$1004),"")</f>
        <v/>
      </c>
      <c r="N1004" s="111" t="n">
        <f aca="false">IF($C1004="",0,1)</f>
        <v>0</v>
      </c>
      <c r="O1004" s="111" t="n">
        <f aca="false">N(O1003)+$N1004</f>
        <v>110</v>
      </c>
      <c r="S1004" s="10" t="str">
        <f aca="false">IFERROR(IF([1]对账明细接口!$N1004=0,"",[1]对账明细接口!$N1004),"")</f>
        <v/>
      </c>
      <c r="T1004" s="112" t="str">
        <f aca="false">IFERROR(IF([1]对账明细接口!$O1004=0,"",[1]对账明细接口!$O1004),"")</f>
        <v/>
      </c>
      <c r="U1004" s="112" t="str">
        <f aca="false">IFERROR(IF([1]对账明细接口!$P1004=0,"",[1]对账明细接口!$P1004),"")</f>
        <v/>
      </c>
      <c r="V1004" s="112" t="str">
        <f aca="false">IFERROR(IF([1]对账明细接口!$Q1004=0,"",[1]对账明细接口!$Q1004),"")</f>
        <v/>
      </c>
      <c r="W1004" s="10" t="str">
        <f aca="false">IFERROR(IF([1]对账明细接口!$R1004=0,"",[1]对账明细接口!$R1004),"")</f>
        <v/>
      </c>
      <c r="X1004" s="10" t="str">
        <f aca="false">IFERROR(IF([1]对账明细接口!$S1004=0,"",[1]对账明细接口!$S1004),"")</f>
        <v/>
      </c>
      <c r="Y1004" s="10" t="str">
        <f aca="false">""</f>
        <v/>
      </c>
      <c r="Z1004" s="10" t="str">
        <f aca="false">""</f>
        <v/>
      </c>
      <c r="AA1004" s="10" t="str">
        <f aca="false">""</f>
        <v/>
      </c>
      <c r="AB1004" s="10" t="str">
        <f aca="false">""</f>
        <v/>
      </c>
    </row>
    <row r="1005" customFormat="false" ht="13.5" hidden="false" customHeight="false" outlineLevel="0" collapsed="false">
      <c r="A1005" s="109" t="n">
        <v>1005</v>
      </c>
      <c r="B1005" s="110" t="str">
        <f aca="false">IFERROR(IF([1]对账明细接口!$B$1005=0,"",[1]对账明细接口!$B$1005),"")</f>
        <v/>
      </c>
      <c r="C1005" s="59" t="str">
        <f aca="false">IFERROR(IF([1]对账明细接口!$C$1005=0,"",[1]对账明细接口!$C$1005),"")</f>
        <v/>
      </c>
      <c r="D1005" s="59" t="str">
        <f aca="false">IFERROR(IF([1]对账明细接口!$D$1005=0,"",[1]对账明细接口!$D$1005),"")</f>
        <v/>
      </c>
      <c r="E1005" s="59" t="str">
        <f aca="false">IFERROR(IF([1]对账明细接口!$E$1005=0,"",[1]对账明细接口!$E$1005),"")</f>
        <v/>
      </c>
      <c r="F1005" s="59" t="str">
        <f aca="false">IFERROR(IF([1]对账明细接口!$F$1005=0,"",[1]对账明细接口!$F$1005),"")</f>
        <v/>
      </c>
      <c r="G1005" s="59" t="str">
        <f aca="false">IFERROR(IF([1]对账明细接口!$G$1005=0,"",[1]对账明细接口!$G$1005),"")</f>
        <v/>
      </c>
      <c r="H1005" s="60" t="str">
        <f aca="false">IFERROR(IF([1]对账明细接口!$H$1005=0,"",[1]对账明细接口!$H$1005),"")</f>
        <v/>
      </c>
      <c r="I1005" s="59" t="str">
        <f aca="false">IFERROR(IF([1]对账明细接口!$I$1005=0,"",[1]对账明细接口!$I$1005),"")</f>
        <v/>
      </c>
      <c r="J1005" s="61" t="str">
        <f aca="false">IFERROR(IF([1]对账明细接口!$J$1005=0,"",[1]对账明细接口!$J$1005),"")</f>
        <v/>
      </c>
      <c r="K1005" s="61" t="str">
        <f aca="false">IFERROR(IF([1]对账明细接口!$K$1005=0,"",[1]对账明细接口!$K$1005),"")</f>
        <v/>
      </c>
      <c r="L1005" s="59" t="str">
        <f aca="false">IFERROR(IF([1]对账明细接口!$L$1005=0,"",[1]对账明细接口!$L$1005),"")</f>
        <v/>
      </c>
      <c r="M1005" s="59" t="str">
        <f aca="false">IFERROR(IF([1]对账明细接口!$M$1005=0,"",[1]对账明细接口!$M$1005),"")</f>
        <v/>
      </c>
      <c r="N1005" s="111" t="n">
        <f aca="false">IF($C1005="",0,1)</f>
        <v>0</v>
      </c>
      <c r="O1005" s="111" t="n">
        <f aca="false">N(O1004)+$N1005</f>
        <v>110</v>
      </c>
      <c r="S1005" s="10" t="str">
        <f aca="false">IFERROR(IF([1]对账明细接口!$N1005=0,"",[1]对账明细接口!$N1005),"")</f>
        <v/>
      </c>
      <c r="T1005" s="112" t="str">
        <f aca="false">IFERROR(IF([1]对账明细接口!$O1005=0,"",[1]对账明细接口!$O1005),"")</f>
        <v/>
      </c>
      <c r="U1005" s="112" t="str">
        <f aca="false">IFERROR(IF([1]对账明细接口!$P1005=0,"",[1]对账明细接口!$P1005),"")</f>
        <v/>
      </c>
      <c r="V1005" s="112" t="str">
        <f aca="false">IFERROR(IF([1]对账明细接口!$Q1005=0,"",[1]对账明细接口!$Q1005),"")</f>
        <v/>
      </c>
      <c r="W1005" s="10" t="str">
        <f aca="false">IFERROR(IF([1]对账明细接口!$R1005=0,"",[1]对账明细接口!$R1005),"")</f>
        <v/>
      </c>
      <c r="X1005" s="10" t="str">
        <f aca="false">IFERROR(IF([1]对账明细接口!$S1005=0,"",[1]对账明细接口!$S1005),"")</f>
        <v/>
      </c>
      <c r="Y1005" s="10" t="str">
        <f aca="false">""</f>
        <v/>
      </c>
      <c r="Z1005" s="10" t="str">
        <f aca="false">""</f>
        <v/>
      </c>
      <c r="AA1005" s="10" t="str">
        <f aca="false">""</f>
        <v/>
      </c>
      <c r="AB1005" s="10" t="str">
        <f aca="false">""</f>
        <v/>
      </c>
    </row>
    <row r="1006" customFormat="false" ht="13.5" hidden="false" customHeight="false" outlineLevel="0" collapsed="false">
      <c r="A1006" s="109" t="n">
        <v>1006</v>
      </c>
      <c r="B1006" s="110" t="str">
        <f aca="false">IFERROR(IF([1]对账明细接口!$B$1006=0,"",[1]对账明细接口!$B$1006),"")</f>
        <v/>
      </c>
      <c r="C1006" s="59" t="str">
        <f aca="false">IFERROR(IF([1]对账明细接口!$C$1006=0,"",[1]对账明细接口!$C$1006),"")</f>
        <v/>
      </c>
      <c r="D1006" s="59" t="str">
        <f aca="false">IFERROR(IF([1]对账明细接口!$D$1006=0,"",[1]对账明细接口!$D$1006),"")</f>
        <v/>
      </c>
      <c r="E1006" s="59" t="str">
        <f aca="false">IFERROR(IF([1]对账明细接口!$E$1006=0,"",[1]对账明细接口!$E$1006),"")</f>
        <v/>
      </c>
      <c r="F1006" s="59" t="str">
        <f aca="false">IFERROR(IF([1]对账明细接口!$F$1006=0,"",[1]对账明细接口!$F$1006),"")</f>
        <v/>
      </c>
      <c r="G1006" s="59" t="str">
        <f aca="false">IFERROR(IF([1]对账明细接口!$G$1006=0,"",[1]对账明细接口!$G$1006),"")</f>
        <v/>
      </c>
      <c r="H1006" s="60" t="str">
        <f aca="false">IFERROR(IF([1]对账明细接口!$H$1006=0,"",[1]对账明细接口!$H$1006),"")</f>
        <v/>
      </c>
      <c r="I1006" s="59" t="str">
        <f aca="false">IFERROR(IF([1]对账明细接口!$I$1006=0,"",[1]对账明细接口!$I$1006),"")</f>
        <v/>
      </c>
      <c r="J1006" s="61" t="str">
        <f aca="false">IFERROR(IF([1]对账明细接口!$J$1006=0,"",[1]对账明细接口!$J$1006),"")</f>
        <v/>
      </c>
      <c r="K1006" s="61" t="str">
        <f aca="false">IFERROR(IF([1]对账明细接口!$K$1006=0,"",[1]对账明细接口!$K$1006),"")</f>
        <v/>
      </c>
      <c r="L1006" s="59" t="str">
        <f aca="false">IFERROR(IF([1]对账明细接口!$L$1006=0,"",[1]对账明细接口!$L$1006),"")</f>
        <v/>
      </c>
      <c r="M1006" s="59" t="str">
        <f aca="false">IFERROR(IF([1]对账明细接口!$M$1006=0,"",[1]对账明细接口!$M$1006),"")</f>
        <v/>
      </c>
      <c r="N1006" s="111" t="n">
        <f aca="false">IF($C1006="",0,1)</f>
        <v>0</v>
      </c>
      <c r="O1006" s="111" t="n">
        <f aca="false">N(O1005)+$N1006</f>
        <v>110</v>
      </c>
      <c r="S1006" s="10" t="str">
        <f aca="false">IFERROR(IF([1]对账明细接口!$N1006=0,"",[1]对账明细接口!$N1006),"")</f>
        <v/>
      </c>
      <c r="T1006" s="112" t="str">
        <f aca="false">IFERROR(IF([1]对账明细接口!$O1006=0,"",[1]对账明细接口!$O1006),"")</f>
        <v/>
      </c>
      <c r="U1006" s="112" t="str">
        <f aca="false">IFERROR(IF([1]对账明细接口!$P1006=0,"",[1]对账明细接口!$P1006),"")</f>
        <v/>
      </c>
      <c r="V1006" s="112" t="str">
        <f aca="false">IFERROR(IF([1]对账明细接口!$Q1006=0,"",[1]对账明细接口!$Q1006),"")</f>
        <v/>
      </c>
      <c r="W1006" s="10" t="str">
        <f aca="false">IFERROR(IF([1]对账明细接口!$R1006=0,"",[1]对账明细接口!$R1006),"")</f>
        <v/>
      </c>
      <c r="X1006" s="10" t="str">
        <f aca="false">IFERROR(IF([1]对账明细接口!$S1006=0,"",[1]对账明细接口!$S1006),"")</f>
        <v/>
      </c>
      <c r="Y1006" s="10" t="str">
        <f aca="false">""</f>
        <v/>
      </c>
      <c r="Z1006" s="10" t="str">
        <f aca="false">""</f>
        <v/>
      </c>
      <c r="AA1006" s="10" t="str">
        <f aca="false">""</f>
        <v/>
      </c>
      <c r="AB1006" s="10" t="str">
        <f aca="false">""</f>
        <v/>
      </c>
    </row>
    <row r="1007" customFormat="false" ht="13.5" hidden="false" customHeight="false" outlineLevel="0" collapsed="false">
      <c r="A1007" s="109" t="n">
        <v>1007</v>
      </c>
      <c r="B1007" s="110" t="str">
        <f aca="false">IFERROR(IF([1]对账明细接口!$B$1007=0,"",[1]对账明细接口!$B$1007),"")</f>
        <v/>
      </c>
      <c r="C1007" s="59" t="str">
        <f aca="false">IFERROR(IF([1]对账明细接口!$C$1007=0,"",[1]对账明细接口!$C$1007),"")</f>
        <v/>
      </c>
      <c r="D1007" s="59" t="str">
        <f aca="false">IFERROR(IF([1]对账明细接口!$D$1007=0,"",[1]对账明细接口!$D$1007),"")</f>
        <v/>
      </c>
      <c r="E1007" s="59" t="str">
        <f aca="false">IFERROR(IF([1]对账明细接口!$E$1007=0,"",[1]对账明细接口!$E$1007),"")</f>
        <v/>
      </c>
      <c r="F1007" s="59" t="str">
        <f aca="false">IFERROR(IF([1]对账明细接口!$F$1007=0,"",[1]对账明细接口!$F$1007),"")</f>
        <v/>
      </c>
      <c r="G1007" s="59" t="str">
        <f aca="false">IFERROR(IF([1]对账明细接口!$G$1007=0,"",[1]对账明细接口!$G$1007),"")</f>
        <v/>
      </c>
      <c r="H1007" s="60" t="str">
        <f aca="false">IFERROR(IF([1]对账明细接口!$H$1007=0,"",[1]对账明细接口!$H$1007),"")</f>
        <v/>
      </c>
      <c r="I1007" s="59" t="str">
        <f aca="false">IFERROR(IF([1]对账明细接口!$I$1007=0,"",[1]对账明细接口!$I$1007),"")</f>
        <v/>
      </c>
      <c r="J1007" s="61" t="str">
        <f aca="false">IFERROR(IF([1]对账明细接口!$J$1007=0,"",[1]对账明细接口!$J$1007),"")</f>
        <v/>
      </c>
      <c r="K1007" s="61" t="str">
        <f aca="false">IFERROR(IF([1]对账明细接口!$K$1007=0,"",[1]对账明细接口!$K$1007),"")</f>
        <v/>
      </c>
      <c r="L1007" s="59" t="str">
        <f aca="false">IFERROR(IF([1]对账明细接口!$L$1007=0,"",[1]对账明细接口!$L$1007),"")</f>
        <v/>
      </c>
      <c r="M1007" s="59" t="str">
        <f aca="false">IFERROR(IF([1]对账明细接口!$M$1007=0,"",[1]对账明细接口!$M$1007),"")</f>
        <v/>
      </c>
      <c r="N1007" s="111" t="n">
        <f aca="false">IF($C1007="",0,1)</f>
        <v>0</v>
      </c>
      <c r="O1007" s="111" t="n">
        <f aca="false">N(O1006)+$N1007</f>
        <v>110</v>
      </c>
      <c r="S1007" s="10" t="str">
        <f aca="false">IFERROR(IF([1]对账明细接口!$N1007=0,"",[1]对账明细接口!$N1007),"")</f>
        <v/>
      </c>
      <c r="T1007" s="112" t="str">
        <f aca="false">IFERROR(IF([1]对账明细接口!$O1007=0,"",[1]对账明细接口!$O1007),"")</f>
        <v/>
      </c>
      <c r="U1007" s="112" t="str">
        <f aca="false">IFERROR(IF([1]对账明细接口!$P1007=0,"",[1]对账明细接口!$P1007),"")</f>
        <v/>
      </c>
      <c r="V1007" s="112" t="str">
        <f aca="false">IFERROR(IF([1]对账明细接口!$Q1007=0,"",[1]对账明细接口!$Q1007),"")</f>
        <v/>
      </c>
      <c r="W1007" s="10" t="str">
        <f aca="false">IFERROR(IF([1]对账明细接口!$R1007=0,"",[1]对账明细接口!$R1007),"")</f>
        <v/>
      </c>
      <c r="X1007" s="10" t="str">
        <f aca="false">IFERROR(IF([1]对账明细接口!$S1007=0,"",[1]对账明细接口!$S1007),"")</f>
        <v/>
      </c>
      <c r="Y1007" s="10" t="str">
        <f aca="false">""</f>
        <v/>
      </c>
      <c r="Z1007" s="10" t="str">
        <f aca="false">""</f>
        <v/>
      </c>
      <c r="AA1007" s="10" t="str">
        <f aca="false">""</f>
        <v/>
      </c>
      <c r="AB1007" s="10" t="str">
        <f aca="false">""</f>
        <v/>
      </c>
    </row>
    <row r="1008" customFormat="false" ht="13.5" hidden="false" customHeight="false" outlineLevel="0" collapsed="false">
      <c r="A1008" s="109" t="n">
        <v>1008</v>
      </c>
      <c r="B1008" s="110" t="str">
        <f aca="false">IFERROR(IF([1]对账明细接口!$B$1008=0,"",[1]对账明细接口!$B$1008),"")</f>
        <v/>
      </c>
      <c r="C1008" s="59" t="str">
        <f aca="false">IFERROR(IF([1]对账明细接口!$C$1008=0,"",[1]对账明细接口!$C$1008),"")</f>
        <v/>
      </c>
      <c r="D1008" s="59" t="str">
        <f aca="false">IFERROR(IF([1]对账明细接口!$D$1008=0,"",[1]对账明细接口!$D$1008),"")</f>
        <v/>
      </c>
      <c r="E1008" s="59" t="str">
        <f aca="false">IFERROR(IF([1]对账明细接口!$E$1008=0,"",[1]对账明细接口!$E$1008),"")</f>
        <v/>
      </c>
      <c r="F1008" s="59" t="str">
        <f aca="false">IFERROR(IF([1]对账明细接口!$F$1008=0,"",[1]对账明细接口!$F$1008),"")</f>
        <v/>
      </c>
      <c r="G1008" s="59" t="str">
        <f aca="false">IFERROR(IF([1]对账明细接口!$G$1008=0,"",[1]对账明细接口!$G$1008),"")</f>
        <v/>
      </c>
      <c r="H1008" s="60" t="str">
        <f aca="false">IFERROR(IF([1]对账明细接口!$H$1008=0,"",[1]对账明细接口!$H$1008),"")</f>
        <v/>
      </c>
      <c r="I1008" s="59" t="str">
        <f aca="false">IFERROR(IF([1]对账明细接口!$I$1008=0,"",[1]对账明细接口!$I$1008),"")</f>
        <v/>
      </c>
      <c r="J1008" s="61" t="str">
        <f aca="false">IFERROR(IF([1]对账明细接口!$J$1008=0,"",[1]对账明细接口!$J$1008),"")</f>
        <v/>
      </c>
      <c r="K1008" s="61" t="str">
        <f aca="false">IFERROR(IF([1]对账明细接口!$K$1008=0,"",[1]对账明细接口!$K$1008),"")</f>
        <v/>
      </c>
      <c r="L1008" s="59" t="str">
        <f aca="false">IFERROR(IF([1]对账明细接口!$L$1008=0,"",[1]对账明细接口!$L$1008),"")</f>
        <v/>
      </c>
      <c r="M1008" s="59" t="str">
        <f aca="false">IFERROR(IF([1]对账明细接口!$M$1008=0,"",[1]对账明细接口!$M$1008),"")</f>
        <v/>
      </c>
      <c r="N1008" s="111" t="n">
        <f aca="false">IF($C1008="",0,1)</f>
        <v>0</v>
      </c>
      <c r="O1008" s="111" t="n">
        <f aca="false">N(O1007)+$N1008</f>
        <v>110</v>
      </c>
      <c r="S1008" s="10" t="str">
        <f aca="false">IFERROR(IF([1]对账明细接口!$N1008=0,"",[1]对账明细接口!$N1008),"")</f>
        <v/>
      </c>
      <c r="T1008" s="112" t="str">
        <f aca="false">IFERROR(IF([1]对账明细接口!$O1008=0,"",[1]对账明细接口!$O1008),"")</f>
        <v/>
      </c>
      <c r="U1008" s="112" t="str">
        <f aca="false">IFERROR(IF([1]对账明细接口!$P1008=0,"",[1]对账明细接口!$P1008),"")</f>
        <v/>
      </c>
      <c r="V1008" s="112" t="str">
        <f aca="false">IFERROR(IF([1]对账明细接口!$Q1008=0,"",[1]对账明细接口!$Q1008),"")</f>
        <v/>
      </c>
      <c r="W1008" s="10" t="str">
        <f aca="false">IFERROR(IF([1]对账明细接口!$R1008=0,"",[1]对账明细接口!$R1008),"")</f>
        <v/>
      </c>
      <c r="X1008" s="10" t="str">
        <f aca="false">IFERROR(IF([1]对账明细接口!$S1008=0,"",[1]对账明细接口!$S1008),"")</f>
        <v/>
      </c>
      <c r="Y1008" s="10" t="str">
        <f aca="false">""</f>
        <v/>
      </c>
      <c r="Z1008" s="10" t="str">
        <f aca="false">""</f>
        <v/>
      </c>
      <c r="AA1008" s="10" t="str">
        <f aca="false">""</f>
        <v/>
      </c>
      <c r="AB1008" s="10" t="str">
        <f aca="false">""</f>
        <v/>
      </c>
    </row>
    <row r="1009" customFormat="false" ht="13.5" hidden="false" customHeight="false" outlineLevel="0" collapsed="false">
      <c r="A1009" s="109" t="n">
        <v>1009</v>
      </c>
      <c r="B1009" s="110" t="str">
        <f aca="false">IFERROR(IF([1]对账明细接口!$B$1009=0,"",[1]对账明细接口!$B$1009),"")</f>
        <v/>
      </c>
      <c r="C1009" s="59" t="str">
        <f aca="false">IFERROR(IF([1]对账明细接口!$C$1009=0,"",[1]对账明细接口!$C$1009),"")</f>
        <v/>
      </c>
      <c r="D1009" s="59" t="str">
        <f aca="false">IFERROR(IF([1]对账明细接口!$D$1009=0,"",[1]对账明细接口!$D$1009),"")</f>
        <v/>
      </c>
      <c r="E1009" s="59" t="str">
        <f aca="false">IFERROR(IF([1]对账明细接口!$E$1009=0,"",[1]对账明细接口!$E$1009),"")</f>
        <v/>
      </c>
      <c r="F1009" s="59" t="str">
        <f aca="false">IFERROR(IF([1]对账明细接口!$F$1009=0,"",[1]对账明细接口!$F$1009),"")</f>
        <v/>
      </c>
      <c r="G1009" s="59" t="str">
        <f aca="false">IFERROR(IF([1]对账明细接口!$G$1009=0,"",[1]对账明细接口!$G$1009),"")</f>
        <v/>
      </c>
      <c r="H1009" s="60" t="str">
        <f aca="false">IFERROR(IF([1]对账明细接口!$H$1009=0,"",[1]对账明细接口!$H$1009),"")</f>
        <v/>
      </c>
      <c r="I1009" s="59" t="str">
        <f aca="false">IFERROR(IF([1]对账明细接口!$I$1009=0,"",[1]对账明细接口!$I$1009),"")</f>
        <v/>
      </c>
      <c r="J1009" s="61" t="str">
        <f aca="false">IFERROR(IF([1]对账明细接口!$J$1009=0,"",[1]对账明细接口!$J$1009),"")</f>
        <v/>
      </c>
      <c r="K1009" s="61" t="str">
        <f aca="false">IFERROR(IF([1]对账明细接口!$K$1009=0,"",[1]对账明细接口!$K$1009),"")</f>
        <v/>
      </c>
      <c r="L1009" s="59" t="str">
        <f aca="false">IFERROR(IF([1]对账明细接口!$L$1009=0,"",[1]对账明细接口!$L$1009),"")</f>
        <v/>
      </c>
      <c r="M1009" s="59" t="str">
        <f aca="false">IFERROR(IF([1]对账明细接口!$M$1009=0,"",[1]对账明细接口!$M$1009),"")</f>
        <v/>
      </c>
      <c r="N1009" s="111" t="n">
        <f aca="false">IF($C1009="",0,1)</f>
        <v>0</v>
      </c>
      <c r="O1009" s="111" t="n">
        <f aca="false">N(O1008)+$N1009</f>
        <v>110</v>
      </c>
      <c r="S1009" s="10" t="str">
        <f aca="false">IFERROR(IF([1]对账明细接口!$N1009=0,"",[1]对账明细接口!$N1009),"")</f>
        <v/>
      </c>
      <c r="T1009" s="112" t="str">
        <f aca="false">IFERROR(IF([1]对账明细接口!$O1009=0,"",[1]对账明细接口!$O1009),"")</f>
        <v/>
      </c>
      <c r="U1009" s="112" t="str">
        <f aca="false">IFERROR(IF([1]对账明细接口!$P1009=0,"",[1]对账明细接口!$P1009),"")</f>
        <v/>
      </c>
      <c r="V1009" s="112" t="str">
        <f aca="false">IFERROR(IF([1]对账明细接口!$Q1009=0,"",[1]对账明细接口!$Q1009),"")</f>
        <v/>
      </c>
      <c r="W1009" s="10" t="str">
        <f aca="false">IFERROR(IF([1]对账明细接口!$R1009=0,"",[1]对账明细接口!$R1009),"")</f>
        <v/>
      </c>
      <c r="X1009" s="10" t="str">
        <f aca="false">IFERROR(IF([1]对账明细接口!$S1009=0,"",[1]对账明细接口!$S1009),"")</f>
        <v/>
      </c>
      <c r="Y1009" s="10" t="str">
        <f aca="false">""</f>
        <v/>
      </c>
      <c r="Z1009" s="10" t="str">
        <f aca="false">""</f>
        <v/>
      </c>
      <c r="AA1009" s="10" t="str">
        <f aca="false">""</f>
        <v/>
      </c>
      <c r="AB1009" s="10" t="str">
        <f aca="false">""</f>
        <v/>
      </c>
    </row>
    <row r="1010" customFormat="false" ht="13.5" hidden="false" customHeight="false" outlineLevel="0" collapsed="false">
      <c r="A1010" s="109" t="n">
        <v>1010</v>
      </c>
      <c r="B1010" s="110" t="str">
        <f aca="false">IFERROR(IF([1]对账明细接口!$B$1010=0,"",[1]对账明细接口!$B$1010),"")</f>
        <v/>
      </c>
      <c r="C1010" s="59" t="str">
        <f aca="false">IFERROR(IF([1]对账明细接口!$C$1010=0,"",[1]对账明细接口!$C$1010),"")</f>
        <v/>
      </c>
      <c r="D1010" s="59" t="str">
        <f aca="false">IFERROR(IF([1]对账明细接口!$D$1010=0,"",[1]对账明细接口!$D$1010),"")</f>
        <v/>
      </c>
      <c r="E1010" s="59" t="str">
        <f aca="false">IFERROR(IF([1]对账明细接口!$E$1010=0,"",[1]对账明细接口!$E$1010),"")</f>
        <v/>
      </c>
      <c r="F1010" s="59" t="str">
        <f aca="false">IFERROR(IF([1]对账明细接口!$F$1010=0,"",[1]对账明细接口!$F$1010),"")</f>
        <v/>
      </c>
      <c r="G1010" s="59" t="str">
        <f aca="false">IFERROR(IF([1]对账明细接口!$G$1010=0,"",[1]对账明细接口!$G$1010),"")</f>
        <v/>
      </c>
      <c r="H1010" s="60" t="str">
        <f aca="false">IFERROR(IF([1]对账明细接口!$H$1010=0,"",[1]对账明细接口!$H$1010),"")</f>
        <v/>
      </c>
      <c r="I1010" s="59" t="str">
        <f aca="false">IFERROR(IF([1]对账明细接口!$I$1010=0,"",[1]对账明细接口!$I$1010),"")</f>
        <v/>
      </c>
      <c r="J1010" s="61" t="str">
        <f aca="false">IFERROR(IF([1]对账明细接口!$J$1010=0,"",[1]对账明细接口!$J$1010),"")</f>
        <v/>
      </c>
      <c r="K1010" s="61" t="str">
        <f aca="false">IFERROR(IF([1]对账明细接口!$K$1010=0,"",[1]对账明细接口!$K$1010),"")</f>
        <v/>
      </c>
      <c r="L1010" s="59" t="str">
        <f aca="false">IFERROR(IF([1]对账明细接口!$L$1010=0,"",[1]对账明细接口!$L$1010),"")</f>
        <v/>
      </c>
      <c r="M1010" s="59" t="str">
        <f aca="false">IFERROR(IF([1]对账明细接口!$M$1010=0,"",[1]对账明细接口!$M$1010),"")</f>
        <v/>
      </c>
      <c r="N1010" s="111" t="n">
        <f aca="false">IF($C1010="",0,1)</f>
        <v>0</v>
      </c>
      <c r="O1010" s="111" t="n">
        <f aca="false">N(O1009)+$N1010</f>
        <v>110</v>
      </c>
      <c r="S1010" s="10" t="str">
        <f aca="false">IFERROR(IF([1]对账明细接口!$N1010=0,"",[1]对账明细接口!$N1010),"")</f>
        <v/>
      </c>
      <c r="T1010" s="112" t="str">
        <f aca="false">IFERROR(IF([1]对账明细接口!$O1010=0,"",[1]对账明细接口!$O1010),"")</f>
        <v/>
      </c>
      <c r="U1010" s="112" t="str">
        <f aca="false">IFERROR(IF([1]对账明细接口!$P1010=0,"",[1]对账明细接口!$P1010),"")</f>
        <v/>
      </c>
      <c r="V1010" s="112" t="str">
        <f aca="false">IFERROR(IF([1]对账明细接口!$Q1010=0,"",[1]对账明细接口!$Q1010),"")</f>
        <v/>
      </c>
      <c r="W1010" s="10" t="str">
        <f aca="false">IFERROR(IF([1]对账明细接口!$R1010=0,"",[1]对账明细接口!$R1010),"")</f>
        <v/>
      </c>
      <c r="X1010" s="10" t="str">
        <f aca="false">IFERROR(IF([1]对账明细接口!$S1010=0,"",[1]对账明细接口!$S1010),"")</f>
        <v/>
      </c>
      <c r="Y1010" s="10" t="str">
        <f aca="false">""</f>
        <v/>
      </c>
      <c r="Z1010" s="10" t="str">
        <f aca="false">""</f>
        <v/>
      </c>
      <c r="AA1010" s="10" t="str">
        <f aca="false">""</f>
        <v/>
      </c>
      <c r="AB1010" s="10" t="str">
        <f aca="false">""</f>
        <v/>
      </c>
    </row>
    <row r="1011" customFormat="false" ht="13.5" hidden="false" customHeight="false" outlineLevel="0" collapsed="false">
      <c r="A1011" s="109" t="n">
        <v>1011</v>
      </c>
      <c r="B1011" s="110" t="str">
        <f aca="false">IFERROR(IF([1]对账明细接口!$B$1011=0,"",[1]对账明细接口!$B$1011),"")</f>
        <v/>
      </c>
      <c r="C1011" s="59" t="str">
        <f aca="false">IFERROR(IF([1]对账明细接口!$C$1011=0,"",[1]对账明细接口!$C$1011),"")</f>
        <v/>
      </c>
      <c r="D1011" s="59" t="str">
        <f aca="false">IFERROR(IF([1]对账明细接口!$D$1011=0,"",[1]对账明细接口!$D$1011),"")</f>
        <v/>
      </c>
      <c r="E1011" s="59" t="str">
        <f aca="false">IFERROR(IF([1]对账明细接口!$E$1011=0,"",[1]对账明细接口!$E$1011),"")</f>
        <v/>
      </c>
      <c r="F1011" s="59" t="str">
        <f aca="false">IFERROR(IF([1]对账明细接口!$F$1011=0,"",[1]对账明细接口!$F$1011),"")</f>
        <v/>
      </c>
      <c r="G1011" s="59" t="str">
        <f aca="false">IFERROR(IF([1]对账明细接口!$G$1011=0,"",[1]对账明细接口!$G$1011),"")</f>
        <v/>
      </c>
      <c r="H1011" s="60" t="str">
        <f aca="false">IFERROR(IF([1]对账明细接口!$H$1011=0,"",[1]对账明细接口!$H$1011),"")</f>
        <v/>
      </c>
      <c r="I1011" s="59" t="str">
        <f aca="false">IFERROR(IF([1]对账明细接口!$I$1011=0,"",[1]对账明细接口!$I$1011),"")</f>
        <v/>
      </c>
      <c r="J1011" s="61" t="str">
        <f aca="false">IFERROR(IF([1]对账明细接口!$J$1011=0,"",[1]对账明细接口!$J$1011),"")</f>
        <v/>
      </c>
      <c r="K1011" s="61" t="str">
        <f aca="false">IFERROR(IF([1]对账明细接口!$K$1011=0,"",[1]对账明细接口!$K$1011),"")</f>
        <v/>
      </c>
      <c r="L1011" s="59" t="str">
        <f aca="false">IFERROR(IF([1]对账明细接口!$L$1011=0,"",[1]对账明细接口!$L$1011),"")</f>
        <v/>
      </c>
      <c r="M1011" s="59" t="str">
        <f aca="false">IFERROR(IF([1]对账明细接口!$M$1011=0,"",[1]对账明细接口!$M$1011),"")</f>
        <v/>
      </c>
      <c r="N1011" s="111" t="n">
        <f aca="false">IF($C1011="",0,1)</f>
        <v>0</v>
      </c>
      <c r="O1011" s="111" t="n">
        <f aca="false">N(O1010)+$N1011</f>
        <v>110</v>
      </c>
      <c r="S1011" s="10" t="str">
        <f aca="false">IFERROR(IF([1]对账明细接口!$N1011=0,"",[1]对账明细接口!$N1011),"")</f>
        <v/>
      </c>
      <c r="T1011" s="112" t="str">
        <f aca="false">IFERROR(IF([1]对账明细接口!$O1011=0,"",[1]对账明细接口!$O1011),"")</f>
        <v/>
      </c>
      <c r="U1011" s="112" t="str">
        <f aca="false">IFERROR(IF([1]对账明细接口!$P1011=0,"",[1]对账明细接口!$P1011),"")</f>
        <v/>
      </c>
      <c r="V1011" s="112" t="str">
        <f aca="false">IFERROR(IF([1]对账明细接口!$Q1011=0,"",[1]对账明细接口!$Q1011),"")</f>
        <v/>
      </c>
      <c r="W1011" s="10" t="str">
        <f aca="false">IFERROR(IF([1]对账明细接口!$R1011=0,"",[1]对账明细接口!$R1011),"")</f>
        <v/>
      </c>
      <c r="X1011" s="10" t="str">
        <f aca="false">IFERROR(IF([1]对账明细接口!$S1011=0,"",[1]对账明细接口!$S1011),"")</f>
        <v/>
      </c>
      <c r="Y1011" s="10" t="str">
        <f aca="false">""</f>
        <v/>
      </c>
      <c r="Z1011" s="10" t="str">
        <f aca="false">""</f>
        <v/>
      </c>
      <c r="AA1011" s="10" t="str">
        <f aca="false">""</f>
        <v/>
      </c>
      <c r="AB1011" s="10" t="str">
        <f aca="false">""</f>
        <v/>
      </c>
    </row>
    <row r="1012" customFormat="false" ht="13.5" hidden="false" customHeight="false" outlineLevel="0" collapsed="false">
      <c r="A1012" s="109" t="n">
        <v>1012</v>
      </c>
      <c r="B1012" s="110" t="str">
        <f aca="false">IFERROR(IF([1]对账明细接口!$B$1012=0,"",[1]对账明细接口!$B$1012),"")</f>
        <v/>
      </c>
      <c r="C1012" s="59" t="str">
        <f aca="false">IFERROR(IF([1]对账明细接口!$C$1012=0,"",[1]对账明细接口!$C$1012),"")</f>
        <v/>
      </c>
      <c r="D1012" s="59" t="str">
        <f aca="false">IFERROR(IF([1]对账明细接口!$D$1012=0,"",[1]对账明细接口!$D$1012),"")</f>
        <v/>
      </c>
      <c r="E1012" s="59" t="str">
        <f aca="false">IFERROR(IF([1]对账明细接口!$E$1012=0,"",[1]对账明细接口!$E$1012),"")</f>
        <v/>
      </c>
      <c r="F1012" s="59" t="str">
        <f aca="false">IFERROR(IF([1]对账明细接口!$F$1012=0,"",[1]对账明细接口!$F$1012),"")</f>
        <v/>
      </c>
      <c r="G1012" s="59" t="str">
        <f aca="false">IFERROR(IF([1]对账明细接口!$G$1012=0,"",[1]对账明细接口!$G$1012),"")</f>
        <v/>
      </c>
      <c r="H1012" s="60" t="str">
        <f aca="false">IFERROR(IF([1]对账明细接口!$H$1012=0,"",[1]对账明细接口!$H$1012),"")</f>
        <v/>
      </c>
      <c r="I1012" s="59" t="str">
        <f aca="false">IFERROR(IF([1]对账明细接口!$I$1012=0,"",[1]对账明细接口!$I$1012),"")</f>
        <v/>
      </c>
      <c r="J1012" s="61" t="str">
        <f aca="false">IFERROR(IF([1]对账明细接口!$J$1012=0,"",[1]对账明细接口!$J$1012),"")</f>
        <v/>
      </c>
      <c r="K1012" s="61" t="str">
        <f aca="false">IFERROR(IF([1]对账明细接口!$K$1012=0,"",[1]对账明细接口!$K$1012),"")</f>
        <v/>
      </c>
      <c r="L1012" s="59" t="str">
        <f aca="false">IFERROR(IF([1]对账明细接口!$L$1012=0,"",[1]对账明细接口!$L$1012),"")</f>
        <v/>
      </c>
      <c r="M1012" s="59" t="str">
        <f aca="false">IFERROR(IF([1]对账明细接口!$M$1012=0,"",[1]对账明细接口!$M$1012),"")</f>
        <v/>
      </c>
      <c r="N1012" s="111" t="n">
        <f aca="false">IF($C1012="",0,1)</f>
        <v>0</v>
      </c>
      <c r="O1012" s="111" t="n">
        <f aca="false">N(O1011)+$N1012</f>
        <v>110</v>
      </c>
      <c r="S1012" s="10" t="str">
        <f aca="false">IFERROR(IF([1]对账明细接口!$N1012=0,"",[1]对账明细接口!$N1012),"")</f>
        <v/>
      </c>
      <c r="T1012" s="112" t="str">
        <f aca="false">IFERROR(IF([1]对账明细接口!$O1012=0,"",[1]对账明细接口!$O1012),"")</f>
        <v/>
      </c>
      <c r="U1012" s="112" t="str">
        <f aca="false">IFERROR(IF([1]对账明细接口!$P1012=0,"",[1]对账明细接口!$P1012),"")</f>
        <v/>
      </c>
      <c r="V1012" s="112" t="str">
        <f aca="false">IFERROR(IF([1]对账明细接口!$Q1012=0,"",[1]对账明细接口!$Q1012),"")</f>
        <v/>
      </c>
      <c r="W1012" s="10" t="str">
        <f aca="false">IFERROR(IF([1]对账明细接口!$R1012=0,"",[1]对账明细接口!$R1012),"")</f>
        <v/>
      </c>
      <c r="X1012" s="10" t="str">
        <f aca="false">IFERROR(IF([1]对账明细接口!$S1012=0,"",[1]对账明细接口!$S1012),"")</f>
        <v/>
      </c>
      <c r="Y1012" s="10" t="str">
        <f aca="false">""</f>
        <v/>
      </c>
      <c r="Z1012" s="10" t="str">
        <f aca="false">""</f>
        <v/>
      </c>
      <c r="AA1012" s="10" t="str">
        <f aca="false">""</f>
        <v/>
      </c>
      <c r="AB1012" s="10" t="str">
        <f aca="false">""</f>
        <v/>
      </c>
    </row>
    <row r="1013" customFormat="false" ht="13.5" hidden="false" customHeight="false" outlineLevel="0" collapsed="false">
      <c r="A1013" s="109" t="n">
        <v>1013</v>
      </c>
      <c r="B1013" s="110" t="str">
        <f aca="false">IFERROR(IF([1]对账明细接口!$B$1013=0,"",[1]对账明细接口!$B$1013),"")</f>
        <v/>
      </c>
      <c r="C1013" s="59" t="str">
        <f aca="false">IFERROR(IF([1]对账明细接口!$C$1013=0,"",[1]对账明细接口!$C$1013),"")</f>
        <v/>
      </c>
      <c r="D1013" s="59" t="str">
        <f aca="false">IFERROR(IF([1]对账明细接口!$D$1013=0,"",[1]对账明细接口!$D$1013),"")</f>
        <v/>
      </c>
      <c r="E1013" s="59" t="str">
        <f aca="false">IFERROR(IF([1]对账明细接口!$E$1013=0,"",[1]对账明细接口!$E$1013),"")</f>
        <v/>
      </c>
      <c r="F1013" s="59" t="str">
        <f aca="false">IFERROR(IF([1]对账明细接口!$F$1013=0,"",[1]对账明细接口!$F$1013),"")</f>
        <v/>
      </c>
      <c r="G1013" s="59" t="str">
        <f aca="false">IFERROR(IF([1]对账明细接口!$G$1013=0,"",[1]对账明细接口!$G$1013),"")</f>
        <v/>
      </c>
      <c r="H1013" s="60" t="str">
        <f aca="false">IFERROR(IF([1]对账明细接口!$H$1013=0,"",[1]对账明细接口!$H$1013),"")</f>
        <v/>
      </c>
      <c r="I1013" s="59" t="str">
        <f aca="false">IFERROR(IF([1]对账明细接口!$I$1013=0,"",[1]对账明细接口!$I$1013),"")</f>
        <v/>
      </c>
      <c r="J1013" s="61" t="str">
        <f aca="false">IFERROR(IF([1]对账明细接口!$J$1013=0,"",[1]对账明细接口!$J$1013),"")</f>
        <v/>
      </c>
      <c r="K1013" s="61" t="str">
        <f aca="false">IFERROR(IF([1]对账明细接口!$K$1013=0,"",[1]对账明细接口!$K$1013),"")</f>
        <v/>
      </c>
      <c r="L1013" s="59" t="str">
        <f aca="false">IFERROR(IF([1]对账明细接口!$L$1013=0,"",[1]对账明细接口!$L$1013),"")</f>
        <v/>
      </c>
      <c r="M1013" s="59" t="str">
        <f aca="false">IFERROR(IF([1]对账明细接口!$M$1013=0,"",[1]对账明细接口!$M$1013),"")</f>
        <v/>
      </c>
      <c r="N1013" s="111" t="n">
        <f aca="false">IF($C1013="",0,1)</f>
        <v>0</v>
      </c>
      <c r="O1013" s="111" t="n">
        <f aca="false">N(O1012)+$N1013</f>
        <v>110</v>
      </c>
      <c r="S1013" s="10" t="str">
        <f aca="false">IFERROR(IF([1]对账明细接口!$N1013=0,"",[1]对账明细接口!$N1013),"")</f>
        <v/>
      </c>
      <c r="T1013" s="112" t="str">
        <f aca="false">IFERROR(IF([1]对账明细接口!$O1013=0,"",[1]对账明细接口!$O1013),"")</f>
        <v/>
      </c>
      <c r="U1013" s="112" t="str">
        <f aca="false">IFERROR(IF([1]对账明细接口!$P1013=0,"",[1]对账明细接口!$P1013),"")</f>
        <v/>
      </c>
      <c r="V1013" s="112" t="str">
        <f aca="false">IFERROR(IF([1]对账明细接口!$Q1013=0,"",[1]对账明细接口!$Q1013),"")</f>
        <v/>
      </c>
      <c r="W1013" s="10" t="str">
        <f aca="false">IFERROR(IF([1]对账明细接口!$R1013=0,"",[1]对账明细接口!$R1013),"")</f>
        <v/>
      </c>
      <c r="X1013" s="10" t="str">
        <f aca="false">IFERROR(IF([1]对账明细接口!$S1013=0,"",[1]对账明细接口!$S1013),"")</f>
        <v/>
      </c>
      <c r="Y1013" s="10" t="str">
        <f aca="false">""</f>
        <v/>
      </c>
      <c r="Z1013" s="10" t="str">
        <f aca="false">""</f>
        <v/>
      </c>
      <c r="AA1013" s="10" t="str">
        <f aca="false">""</f>
        <v/>
      </c>
      <c r="AB1013" s="10" t="str">
        <f aca="false">""</f>
        <v/>
      </c>
    </row>
    <row r="1014" customFormat="false" ht="13.5" hidden="false" customHeight="false" outlineLevel="0" collapsed="false">
      <c r="A1014" s="109" t="n">
        <v>1014</v>
      </c>
      <c r="B1014" s="110" t="str">
        <f aca="false">IFERROR(IF([1]对账明细接口!$B$1014=0,"",[1]对账明细接口!$B$1014),"")</f>
        <v/>
      </c>
      <c r="C1014" s="59" t="str">
        <f aca="false">IFERROR(IF([1]对账明细接口!$C$1014=0,"",[1]对账明细接口!$C$1014),"")</f>
        <v/>
      </c>
      <c r="D1014" s="59" t="str">
        <f aca="false">IFERROR(IF([1]对账明细接口!$D$1014=0,"",[1]对账明细接口!$D$1014),"")</f>
        <v/>
      </c>
      <c r="E1014" s="59" t="str">
        <f aca="false">IFERROR(IF([1]对账明细接口!$E$1014=0,"",[1]对账明细接口!$E$1014),"")</f>
        <v/>
      </c>
      <c r="F1014" s="59" t="str">
        <f aca="false">IFERROR(IF([1]对账明细接口!$F$1014=0,"",[1]对账明细接口!$F$1014),"")</f>
        <v/>
      </c>
      <c r="G1014" s="59" t="str">
        <f aca="false">IFERROR(IF([1]对账明细接口!$G$1014=0,"",[1]对账明细接口!$G$1014),"")</f>
        <v/>
      </c>
      <c r="H1014" s="60" t="str">
        <f aca="false">IFERROR(IF([1]对账明细接口!$H$1014=0,"",[1]对账明细接口!$H$1014),"")</f>
        <v/>
      </c>
      <c r="I1014" s="59" t="str">
        <f aca="false">IFERROR(IF([1]对账明细接口!$I$1014=0,"",[1]对账明细接口!$I$1014),"")</f>
        <v/>
      </c>
      <c r="J1014" s="61" t="str">
        <f aca="false">IFERROR(IF([1]对账明细接口!$J$1014=0,"",[1]对账明细接口!$J$1014),"")</f>
        <v/>
      </c>
      <c r="K1014" s="61" t="str">
        <f aca="false">IFERROR(IF([1]对账明细接口!$K$1014=0,"",[1]对账明细接口!$K$1014),"")</f>
        <v/>
      </c>
      <c r="L1014" s="59" t="str">
        <f aca="false">IFERROR(IF([1]对账明细接口!$L$1014=0,"",[1]对账明细接口!$L$1014),"")</f>
        <v/>
      </c>
      <c r="M1014" s="59" t="str">
        <f aca="false">IFERROR(IF([1]对账明细接口!$M$1014=0,"",[1]对账明细接口!$M$1014),"")</f>
        <v/>
      </c>
      <c r="N1014" s="111" t="n">
        <f aca="false">IF($C1014="",0,1)</f>
        <v>0</v>
      </c>
      <c r="O1014" s="111" t="n">
        <f aca="false">N(O1013)+$N1014</f>
        <v>110</v>
      </c>
      <c r="S1014" s="10" t="str">
        <f aca="false">IFERROR(IF([1]对账明细接口!$N1014=0,"",[1]对账明细接口!$N1014),"")</f>
        <v/>
      </c>
      <c r="T1014" s="112" t="str">
        <f aca="false">IFERROR(IF([1]对账明细接口!$O1014=0,"",[1]对账明细接口!$O1014),"")</f>
        <v/>
      </c>
      <c r="U1014" s="112" t="str">
        <f aca="false">IFERROR(IF([1]对账明细接口!$P1014=0,"",[1]对账明细接口!$P1014),"")</f>
        <v/>
      </c>
      <c r="V1014" s="112" t="str">
        <f aca="false">IFERROR(IF([1]对账明细接口!$Q1014=0,"",[1]对账明细接口!$Q1014),"")</f>
        <v/>
      </c>
      <c r="W1014" s="10" t="str">
        <f aca="false">IFERROR(IF([1]对账明细接口!$R1014=0,"",[1]对账明细接口!$R1014),"")</f>
        <v/>
      </c>
      <c r="X1014" s="10" t="str">
        <f aca="false">IFERROR(IF([1]对账明细接口!$S1014=0,"",[1]对账明细接口!$S1014),"")</f>
        <v/>
      </c>
      <c r="Y1014" s="10" t="str">
        <f aca="false">""</f>
        <v/>
      </c>
      <c r="Z1014" s="10" t="str">
        <f aca="false">""</f>
        <v/>
      </c>
      <c r="AA1014" s="10" t="str">
        <f aca="false">""</f>
        <v/>
      </c>
      <c r="AB1014" s="10" t="str">
        <f aca="false">""</f>
        <v/>
      </c>
    </row>
    <row r="1015" customFormat="false" ht="13.5" hidden="false" customHeight="false" outlineLevel="0" collapsed="false">
      <c r="A1015" s="109" t="n">
        <v>1015</v>
      </c>
      <c r="B1015" s="110" t="str">
        <f aca="false">IFERROR(IF([1]对账明细接口!$B$1015=0,"",[1]对账明细接口!$B$1015),"")</f>
        <v/>
      </c>
      <c r="C1015" s="59" t="str">
        <f aca="false">IFERROR(IF([1]对账明细接口!$C$1015=0,"",[1]对账明细接口!$C$1015),"")</f>
        <v/>
      </c>
      <c r="D1015" s="59" t="str">
        <f aca="false">IFERROR(IF([1]对账明细接口!$D$1015=0,"",[1]对账明细接口!$D$1015),"")</f>
        <v/>
      </c>
      <c r="E1015" s="59" t="str">
        <f aca="false">IFERROR(IF([1]对账明细接口!$E$1015=0,"",[1]对账明细接口!$E$1015),"")</f>
        <v/>
      </c>
      <c r="F1015" s="59" t="str">
        <f aca="false">IFERROR(IF([1]对账明细接口!$F$1015=0,"",[1]对账明细接口!$F$1015),"")</f>
        <v/>
      </c>
      <c r="G1015" s="59" t="str">
        <f aca="false">IFERROR(IF([1]对账明细接口!$G$1015=0,"",[1]对账明细接口!$G$1015),"")</f>
        <v/>
      </c>
      <c r="H1015" s="60" t="str">
        <f aca="false">IFERROR(IF([1]对账明细接口!$H$1015=0,"",[1]对账明细接口!$H$1015),"")</f>
        <v/>
      </c>
      <c r="I1015" s="59" t="str">
        <f aca="false">IFERROR(IF([1]对账明细接口!$I$1015=0,"",[1]对账明细接口!$I$1015),"")</f>
        <v/>
      </c>
      <c r="J1015" s="61" t="str">
        <f aca="false">IFERROR(IF([1]对账明细接口!$J$1015=0,"",[1]对账明细接口!$J$1015),"")</f>
        <v/>
      </c>
      <c r="K1015" s="61" t="str">
        <f aca="false">IFERROR(IF([1]对账明细接口!$K$1015=0,"",[1]对账明细接口!$K$1015),"")</f>
        <v/>
      </c>
      <c r="L1015" s="59" t="str">
        <f aca="false">IFERROR(IF([1]对账明细接口!$L$1015=0,"",[1]对账明细接口!$L$1015),"")</f>
        <v/>
      </c>
      <c r="M1015" s="59" t="str">
        <f aca="false">IFERROR(IF([1]对账明细接口!$M$1015=0,"",[1]对账明细接口!$M$1015),"")</f>
        <v/>
      </c>
      <c r="N1015" s="111" t="n">
        <f aca="false">IF($C1015="",0,1)</f>
        <v>0</v>
      </c>
      <c r="O1015" s="111" t="n">
        <f aca="false">N(O1014)+$N1015</f>
        <v>110</v>
      </c>
      <c r="S1015" s="10" t="str">
        <f aca="false">IFERROR(IF([1]对账明细接口!$N1015=0,"",[1]对账明细接口!$N1015),"")</f>
        <v/>
      </c>
      <c r="T1015" s="112" t="str">
        <f aca="false">IFERROR(IF([1]对账明细接口!$O1015=0,"",[1]对账明细接口!$O1015),"")</f>
        <v/>
      </c>
      <c r="U1015" s="112" t="str">
        <f aca="false">IFERROR(IF([1]对账明细接口!$P1015=0,"",[1]对账明细接口!$P1015),"")</f>
        <v/>
      </c>
      <c r="V1015" s="112" t="str">
        <f aca="false">IFERROR(IF([1]对账明细接口!$Q1015=0,"",[1]对账明细接口!$Q1015),"")</f>
        <v/>
      </c>
      <c r="W1015" s="10" t="str">
        <f aca="false">IFERROR(IF([1]对账明细接口!$R1015=0,"",[1]对账明细接口!$R1015),"")</f>
        <v/>
      </c>
      <c r="X1015" s="10" t="str">
        <f aca="false">IFERROR(IF([1]对账明细接口!$S1015=0,"",[1]对账明细接口!$S1015),"")</f>
        <v/>
      </c>
      <c r="Y1015" s="10" t="str">
        <f aca="false">""</f>
        <v/>
      </c>
      <c r="Z1015" s="10" t="str">
        <f aca="false">""</f>
        <v/>
      </c>
      <c r="AA1015" s="10" t="str">
        <f aca="false">""</f>
        <v/>
      </c>
      <c r="AB1015" s="10" t="str">
        <f aca="false">""</f>
        <v/>
      </c>
    </row>
    <row r="1016" customFormat="false" ht="13.5" hidden="false" customHeight="false" outlineLevel="0" collapsed="false">
      <c r="A1016" s="109" t="n">
        <v>1016</v>
      </c>
      <c r="B1016" s="110" t="str">
        <f aca="false">IFERROR(IF([1]对账明细接口!$B$1016=0,"",[1]对账明细接口!$B$1016),"")</f>
        <v/>
      </c>
      <c r="C1016" s="59" t="str">
        <f aca="false">IFERROR(IF([1]对账明细接口!$C$1016=0,"",[1]对账明细接口!$C$1016),"")</f>
        <v/>
      </c>
      <c r="D1016" s="59" t="str">
        <f aca="false">IFERROR(IF([1]对账明细接口!$D$1016=0,"",[1]对账明细接口!$D$1016),"")</f>
        <v/>
      </c>
      <c r="E1016" s="59" t="str">
        <f aca="false">IFERROR(IF([1]对账明细接口!$E$1016=0,"",[1]对账明细接口!$E$1016),"")</f>
        <v/>
      </c>
      <c r="F1016" s="59" t="str">
        <f aca="false">IFERROR(IF([1]对账明细接口!$F$1016=0,"",[1]对账明细接口!$F$1016),"")</f>
        <v/>
      </c>
      <c r="G1016" s="59" t="str">
        <f aca="false">IFERROR(IF([1]对账明细接口!$G$1016=0,"",[1]对账明细接口!$G$1016),"")</f>
        <v/>
      </c>
      <c r="H1016" s="60" t="str">
        <f aca="false">IFERROR(IF([1]对账明细接口!$H$1016=0,"",[1]对账明细接口!$H$1016),"")</f>
        <v/>
      </c>
      <c r="I1016" s="59" t="str">
        <f aca="false">IFERROR(IF([1]对账明细接口!$I$1016=0,"",[1]对账明细接口!$I$1016),"")</f>
        <v/>
      </c>
      <c r="J1016" s="61" t="str">
        <f aca="false">IFERROR(IF([1]对账明细接口!$J$1016=0,"",[1]对账明细接口!$J$1016),"")</f>
        <v/>
      </c>
      <c r="K1016" s="61" t="str">
        <f aca="false">IFERROR(IF([1]对账明细接口!$K$1016=0,"",[1]对账明细接口!$K$1016),"")</f>
        <v/>
      </c>
      <c r="L1016" s="59" t="str">
        <f aca="false">IFERROR(IF([1]对账明细接口!$L$1016=0,"",[1]对账明细接口!$L$1016),"")</f>
        <v/>
      </c>
      <c r="M1016" s="59" t="str">
        <f aca="false">IFERROR(IF([1]对账明细接口!$M$1016=0,"",[1]对账明细接口!$M$1016),"")</f>
        <v/>
      </c>
      <c r="N1016" s="111" t="n">
        <f aca="false">IF($C1016="",0,1)</f>
        <v>0</v>
      </c>
      <c r="O1016" s="111" t="n">
        <f aca="false">N(O1015)+$N1016</f>
        <v>110</v>
      </c>
      <c r="S1016" s="10" t="str">
        <f aca="false">IFERROR(IF([1]对账明细接口!$N1016=0,"",[1]对账明细接口!$N1016),"")</f>
        <v/>
      </c>
      <c r="T1016" s="112" t="str">
        <f aca="false">IFERROR(IF([1]对账明细接口!$O1016=0,"",[1]对账明细接口!$O1016),"")</f>
        <v/>
      </c>
      <c r="U1016" s="112" t="str">
        <f aca="false">IFERROR(IF([1]对账明细接口!$P1016=0,"",[1]对账明细接口!$P1016),"")</f>
        <v/>
      </c>
      <c r="V1016" s="112" t="str">
        <f aca="false">IFERROR(IF([1]对账明细接口!$Q1016=0,"",[1]对账明细接口!$Q1016),"")</f>
        <v/>
      </c>
      <c r="W1016" s="10" t="str">
        <f aca="false">IFERROR(IF([1]对账明细接口!$R1016=0,"",[1]对账明细接口!$R1016),"")</f>
        <v/>
      </c>
      <c r="X1016" s="10" t="str">
        <f aca="false">IFERROR(IF([1]对账明细接口!$S1016=0,"",[1]对账明细接口!$S1016),"")</f>
        <v/>
      </c>
      <c r="Y1016" s="10" t="str">
        <f aca="false">""</f>
        <v/>
      </c>
      <c r="Z1016" s="10" t="str">
        <f aca="false">""</f>
        <v/>
      </c>
      <c r="AA1016" s="10" t="str">
        <f aca="false">""</f>
        <v/>
      </c>
      <c r="AB1016" s="10" t="str">
        <f aca="false">""</f>
        <v/>
      </c>
    </row>
    <row r="1017" customFormat="false" ht="13.5" hidden="false" customHeight="false" outlineLevel="0" collapsed="false">
      <c r="A1017" s="109" t="n">
        <v>1017</v>
      </c>
      <c r="B1017" s="110" t="str">
        <f aca="false">IFERROR(IF([1]对账明细接口!$B$1017=0,"",[1]对账明细接口!$B$1017),"")</f>
        <v/>
      </c>
      <c r="C1017" s="59" t="str">
        <f aca="false">IFERROR(IF([1]对账明细接口!$C$1017=0,"",[1]对账明细接口!$C$1017),"")</f>
        <v/>
      </c>
      <c r="D1017" s="59" t="str">
        <f aca="false">IFERROR(IF([1]对账明细接口!$D$1017=0,"",[1]对账明细接口!$D$1017),"")</f>
        <v/>
      </c>
      <c r="E1017" s="59" t="str">
        <f aca="false">IFERROR(IF([1]对账明细接口!$E$1017=0,"",[1]对账明细接口!$E$1017),"")</f>
        <v/>
      </c>
      <c r="F1017" s="59" t="str">
        <f aca="false">IFERROR(IF([1]对账明细接口!$F$1017=0,"",[1]对账明细接口!$F$1017),"")</f>
        <v/>
      </c>
      <c r="G1017" s="59" t="str">
        <f aca="false">IFERROR(IF([1]对账明细接口!$G$1017=0,"",[1]对账明细接口!$G$1017),"")</f>
        <v/>
      </c>
      <c r="H1017" s="60" t="str">
        <f aca="false">IFERROR(IF([1]对账明细接口!$H$1017=0,"",[1]对账明细接口!$H$1017),"")</f>
        <v/>
      </c>
      <c r="I1017" s="59" t="str">
        <f aca="false">IFERROR(IF([1]对账明细接口!$I$1017=0,"",[1]对账明细接口!$I$1017),"")</f>
        <v/>
      </c>
      <c r="J1017" s="61" t="str">
        <f aca="false">IFERROR(IF([1]对账明细接口!$J$1017=0,"",[1]对账明细接口!$J$1017),"")</f>
        <v/>
      </c>
      <c r="K1017" s="61" t="str">
        <f aca="false">IFERROR(IF([1]对账明细接口!$K$1017=0,"",[1]对账明细接口!$K$1017),"")</f>
        <v/>
      </c>
      <c r="L1017" s="59" t="str">
        <f aca="false">IFERROR(IF([1]对账明细接口!$L$1017=0,"",[1]对账明细接口!$L$1017),"")</f>
        <v/>
      </c>
      <c r="M1017" s="59" t="str">
        <f aca="false">IFERROR(IF([1]对账明细接口!$M$1017=0,"",[1]对账明细接口!$M$1017),"")</f>
        <v/>
      </c>
      <c r="N1017" s="111" t="n">
        <f aca="false">IF($C1017="",0,1)</f>
        <v>0</v>
      </c>
      <c r="O1017" s="111" t="n">
        <f aca="false">N(O1016)+$N1017</f>
        <v>110</v>
      </c>
      <c r="S1017" s="10" t="str">
        <f aca="false">IFERROR(IF([1]对账明细接口!$N1017=0,"",[1]对账明细接口!$N1017),"")</f>
        <v/>
      </c>
      <c r="T1017" s="112" t="str">
        <f aca="false">IFERROR(IF([1]对账明细接口!$O1017=0,"",[1]对账明细接口!$O1017),"")</f>
        <v/>
      </c>
      <c r="U1017" s="112" t="str">
        <f aca="false">IFERROR(IF([1]对账明细接口!$P1017=0,"",[1]对账明细接口!$P1017),"")</f>
        <v/>
      </c>
      <c r="V1017" s="112" t="str">
        <f aca="false">IFERROR(IF([1]对账明细接口!$Q1017=0,"",[1]对账明细接口!$Q1017),"")</f>
        <v/>
      </c>
      <c r="W1017" s="10" t="str">
        <f aca="false">IFERROR(IF([1]对账明细接口!$R1017=0,"",[1]对账明细接口!$R1017),"")</f>
        <v/>
      </c>
      <c r="X1017" s="10" t="str">
        <f aca="false">IFERROR(IF([1]对账明细接口!$S1017=0,"",[1]对账明细接口!$S1017),"")</f>
        <v/>
      </c>
      <c r="Y1017" s="10" t="str">
        <f aca="false">""</f>
        <v/>
      </c>
      <c r="Z1017" s="10" t="str">
        <f aca="false">""</f>
        <v/>
      </c>
      <c r="AA1017" s="10" t="str">
        <f aca="false">""</f>
        <v/>
      </c>
      <c r="AB1017" s="10" t="str">
        <f aca="false">""</f>
        <v/>
      </c>
    </row>
    <row r="1018" customFormat="false" ht="13.5" hidden="false" customHeight="false" outlineLevel="0" collapsed="false">
      <c r="A1018" s="109" t="n">
        <v>1018</v>
      </c>
      <c r="B1018" s="110" t="str">
        <f aca="false">IFERROR(IF([1]对账明细接口!$B$1018=0,"",[1]对账明细接口!$B$1018),"")</f>
        <v/>
      </c>
      <c r="C1018" s="59" t="str">
        <f aca="false">IFERROR(IF([1]对账明细接口!$C$1018=0,"",[1]对账明细接口!$C$1018),"")</f>
        <v/>
      </c>
      <c r="D1018" s="59" t="str">
        <f aca="false">IFERROR(IF([1]对账明细接口!$D$1018=0,"",[1]对账明细接口!$D$1018),"")</f>
        <v/>
      </c>
      <c r="E1018" s="59" t="str">
        <f aca="false">IFERROR(IF([1]对账明细接口!$E$1018=0,"",[1]对账明细接口!$E$1018),"")</f>
        <v/>
      </c>
      <c r="F1018" s="59" t="str">
        <f aca="false">IFERROR(IF([1]对账明细接口!$F$1018=0,"",[1]对账明细接口!$F$1018),"")</f>
        <v/>
      </c>
      <c r="G1018" s="59" t="str">
        <f aca="false">IFERROR(IF([1]对账明细接口!$G$1018=0,"",[1]对账明细接口!$G$1018),"")</f>
        <v/>
      </c>
      <c r="H1018" s="60" t="str">
        <f aca="false">IFERROR(IF([1]对账明细接口!$H$1018=0,"",[1]对账明细接口!$H$1018),"")</f>
        <v/>
      </c>
      <c r="I1018" s="59" t="str">
        <f aca="false">IFERROR(IF([1]对账明细接口!$I$1018=0,"",[1]对账明细接口!$I$1018),"")</f>
        <v/>
      </c>
      <c r="J1018" s="61" t="str">
        <f aca="false">IFERROR(IF([1]对账明细接口!$J$1018=0,"",[1]对账明细接口!$J$1018),"")</f>
        <v/>
      </c>
      <c r="K1018" s="61" t="str">
        <f aca="false">IFERROR(IF([1]对账明细接口!$K$1018=0,"",[1]对账明细接口!$K$1018),"")</f>
        <v/>
      </c>
      <c r="L1018" s="59" t="str">
        <f aca="false">IFERROR(IF([1]对账明细接口!$L$1018=0,"",[1]对账明细接口!$L$1018),"")</f>
        <v/>
      </c>
      <c r="M1018" s="59" t="str">
        <f aca="false">IFERROR(IF([1]对账明细接口!$M$1018=0,"",[1]对账明细接口!$M$1018),"")</f>
        <v/>
      </c>
      <c r="N1018" s="111" t="n">
        <f aca="false">IF($C1018="",0,1)</f>
        <v>0</v>
      </c>
      <c r="O1018" s="111" t="n">
        <f aca="false">N(O1017)+$N1018</f>
        <v>110</v>
      </c>
      <c r="S1018" s="10" t="str">
        <f aca="false">IFERROR(IF([1]对账明细接口!$N1018=0,"",[1]对账明细接口!$N1018),"")</f>
        <v/>
      </c>
      <c r="T1018" s="112" t="str">
        <f aca="false">IFERROR(IF([1]对账明细接口!$O1018=0,"",[1]对账明细接口!$O1018),"")</f>
        <v/>
      </c>
      <c r="U1018" s="112" t="str">
        <f aca="false">IFERROR(IF([1]对账明细接口!$P1018=0,"",[1]对账明细接口!$P1018),"")</f>
        <v/>
      </c>
      <c r="V1018" s="112" t="str">
        <f aca="false">IFERROR(IF([1]对账明细接口!$Q1018=0,"",[1]对账明细接口!$Q1018),"")</f>
        <v/>
      </c>
      <c r="W1018" s="10" t="str">
        <f aca="false">IFERROR(IF([1]对账明细接口!$R1018=0,"",[1]对账明细接口!$R1018),"")</f>
        <v/>
      </c>
      <c r="X1018" s="10" t="str">
        <f aca="false">IFERROR(IF([1]对账明细接口!$S1018=0,"",[1]对账明细接口!$S1018),"")</f>
        <v/>
      </c>
      <c r="Y1018" s="10" t="str">
        <f aca="false">""</f>
        <v/>
      </c>
      <c r="Z1018" s="10" t="str">
        <f aca="false">""</f>
        <v/>
      </c>
      <c r="AA1018" s="10" t="str">
        <f aca="false">""</f>
        <v/>
      </c>
      <c r="AB1018" s="10" t="str">
        <f aca="false">""</f>
        <v/>
      </c>
    </row>
    <row r="1019" customFormat="false" ht="13.5" hidden="false" customHeight="false" outlineLevel="0" collapsed="false">
      <c r="A1019" s="109" t="n">
        <v>1019</v>
      </c>
      <c r="B1019" s="110" t="str">
        <f aca="false">IFERROR(IF([1]对账明细接口!$B$1019=0,"",[1]对账明细接口!$B$1019),"")</f>
        <v/>
      </c>
      <c r="C1019" s="59" t="str">
        <f aca="false">IFERROR(IF([1]对账明细接口!$C$1019=0,"",[1]对账明细接口!$C$1019),"")</f>
        <v/>
      </c>
      <c r="D1019" s="59" t="str">
        <f aca="false">IFERROR(IF([1]对账明细接口!$D$1019=0,"",[1]对账明细接口!$D$1019),"")</f>
        <v/>
      </c>
      <c r="E1019" s="59" t="str">
        <f aca="false">IFERROR(IF([1]对账明细接口!$E$1019=0,"",[1]对账明细接口!$E$1019),"")</f>
        <v/>
      </c>
      <c r="F1019" s="59" t="str">
        <f aca="false">IFERROR(IF([1]对账明细接口!$F$1019=0,"",[1]对账明细接口!$F$1019),"")</f>
        <v/>
      </c>
      <c r="G1019" s="59" t="str">
        <f aca="false">IFERROR(IF([1]对账明细接口!$G$1019=0,"",[1]对账明细接口!$G$1019),"")</f>
        <v/>
      </c>
      <c r="H1019" s="60" t="str">
        <f aca="false">IFERROR(IF([1]对账明细接口!$H$1019=0,"",[1]对账明细接口!$H$1019),"")</f>
        <v/>
      </c>
      <c r="I1019" s="59" t="str">
        <f aca="false">IFERROR(IF([1]对账明细接口!$I$1019=0,"",[1]对账明细接口!$I$1019),"")</f>
        <v/>
      </c>
      <c r="J1019" s="61" t="str">
        <f aca="false">IFERROR(IF([1]对账明细接口!$J$1019=0,"",[1]对账明细接口!$J$1019),"")</f>
        <v/>
      </c>
      <c r="K1019" s="61" t="str">
        <f aca="false">IFERROR(IF([1]对账明细接口!$K$1019=0,"",[1]对账明细接口!$K$1019),"")</f>
        <v/>
      </c>
      <c r="L1019" s="59" t="str">
        <f aca="false">IFERROR(IF([1]对账明细接口!$L$1019=0,"",[1]对账明细接口!$L$1019),"")</f>
        <v/>
      </c>
      <c r="M1019" s="59" t="str">
        <f aca="false">IFERROR(IF([1]对账明细接口!$M$1019=0,"",[1]对账明细接口!$M$1019),"")</f>
        <v/>
      </c>
      <c r="N1019" s="111" t="n">
        <f aca="false">IF($C1019="",0,1)</f>
        <v>0</v>
      </c>
      <c r="O1019" s="111" t="n">
        <f aca="false">N(O1018)+$N1019</f>
        <v>110</v>
      </c>
      <c r="S1019" s="10" t="str">
        <f aca="false">IFERROR(IF([1]对账明细接口!$N1019=0,"",[1]对账明细接口!$N1019),"")</f>
        <v/>
      </c>
      <c r="T1019" s="112" t="str">
        <f aca="false">IFERROR(IF([1]对账明细接口!$O1019=0,"",[1]对账明细接口!$O1019),"")</f>
        <v/>
      </c>
      <c r="U1019" s="112" t="str">
        <f aca="false">IFERROR(IF([1]对账明细接口!$P1019=0,"",[1]对账明细接口!$P1019),"")</f>
        <v/>
      </c>
      <c r="V1019" s="112" t="str">
        <f aca="false">IFERROR(IF([1]对账明细接口!$Q1019=0,"",[1]对账明细接口!$Q1019),"")</f>
        <v/>
      </c>
      <c r="W1019" s="10" t="str">
        <f aca="false">IFERROR(IF([1]对账明细接口!$R1019=0,"",[1]对账明细接口!$R1019),"")</f>
        <v/>
      </c>
      <c r="X1019" s="10" t="str">
        <f aca="false">IFERROR(IF([1]对账明细接口!$S1019=0,"",[1]对账明细接口!$S1019),"")</f>
        <v/>
      </c>
      <c r="Y1019" s="10" t="str">
        <f aca="false">""</f>
        <v/>
      </c>
      <c r="Z1019" s="10" t="str">
        <f aca="false">""</f>
        <v/>
      </c>
      <c r="AA1019" s="10" t="str">
        <f aca="false">""</f>
        <v/>
      </c>
      <c r="AB1019" s="10" t="str">
        <f aca="false">""</f>
        <v/>
      </c>
    </row>
    <row r="1020" customFormat="false" ht="13.5" hidden="false" customHeight="false" outlineLevel="0" collapsed="false">
      <c r="A1020" s="109" t="n">
        <v>1020</v>
      </c>
      <c r="B1020" s="110" t="str">
        <f aca="false">IFERROR(IF([1]对账明细接口!$B$1020=0,"",[1]对账明细接口!$B$1020),"")</f>
        <v/>
      </c>
      <c r="C1020" s="59" t="str">
        <f aca="false">IFERROR(IF([1]对账明细接口!$C$1020=0,"",[1]对账明细接口!$C$1020),"")</f>
        <v/>
      </c>
      <c r="D1020" s="59" t="str">
        <f aca="false">IFERROR(IF([1]对账明细接口!$D$1020=0,"",[1]对账明细接口!$D$1020),"")</f>
        <v/>
      </c>
      <c r="E1020" s="59" t="str">
        <f aca="false">IFERROR(IF([1]对账明细接口!$E$1020=0,"",[1]对账明细接口!$E$1020),"")</f>
        <v/>
      </c>
      <c r="F1020" s="59" t="str">
        <f aca="false">IFERROR(IF([1]对账明细接口!$F$1020=0,"",[1]对账明细接口!$F$1020),"")</f>
        <v/>
      </c>
      <c r="G1020" s="59" t="str">
        <f aca="false">IFERROR(IF([1]对账明细接口!$G$1020=0,"",[1]对账明细接口!$G$1020),"")</f>
        <v/>
      </c>
      <c r="H1020" s="60" t="str">
        <f aca="false">IFERROR(IF([1]对账明细接口!$H$1020=0,"",[1]对账明细接口!$H$1020),"")</f>
        <v/>
      </c>
      <c r="I1020" s="59" t="str">
        <f aca="false">IFERROR(IF([1]对账明细接口!$I$1020=0,"",[1]对账明细接口!$I$1020),"")</f>
        <v/>
      </c>
      <c r="J1020" s="61" t="str">
        <f aca="false">IFERROR(IF([1]对账明细接口!$J$1020=0,"",[1]对账明细接口!$J$1020),"")</f>
        <v/>
      </c>
      <c r="K1020" s="61" t="str">
        <f aca="false">IFERROR(IF([1]对账明细接口!$K$1020=0,"",[1]对账明细接口!$K$1020),"")</f>
        <v/>
      </c>
      <c r="L1020" s="59" t="str">
        <f aca="false">IFERROR(IF([1]对账明细接口!$L$1020=0,"",[1]对账明细接口!$L$1020),"")</f>
        <v/>
      </c>
      <c r="M1020" s="59" t="str">
        <f aca="false">IFERROR(IF([1]对账明细接口!$M$1020=0,"",[1]对账明细接口!$M$1020),"")</f>
        <v/>
      </c>
      <c r="N1020" s="111" t="n">
        <f aca="false">IF($C1020="",0,1)</f>
        <v>0</v>
      </c>
      <c r="O1020" s="111" t="n">
        <f aca="false">N(O1019)+$N1020</f>
        <v>110</v>
      </c>
      <c r="S1020" s="10" t="str">
        <f aca="false">IFERROR(IF([1]对账明细接口!$N1020=0,"",[1]对账明细接口!$N1020),"")</f>
        <v/>
      </c>
      <c r="T1020" s="112" t="str">
        <f aca="false">IFERROR(IF([1]对账明细接口!$O1020=0,"",[1]对账明细接口!$O1020),"")</f>
        <v/>
      </c>
      <c r="U1020" s="112" t="str">
        <f aca="false">IFERROR(IF([1]对账明细接口!$P1020=0,"",[1]对账明细接口!$P1020),"")</f>
        <v/>
      </c>
      <c r="V1020" s="112" t="str">
        <f aca="false">IFERROR(IF([1]对账明细接口!$Q1020=0,"",[1]对账明细接口!$Q1020),"")</f>
        <v/>
      </c>
      <c r="W1020" s="10" t="str">
        <f aca="false">IFERROR(IF([1]对账明细接口!$R1020=0,"",[1]对账明细接口!$R1020),"")</f>
        <v/>
      </c>
      <c r="X1020" s="10" t="str">
        <f aca="false">IFERROR(IF([1]对账明细接口!$S1020=0,"",[1]对账明细接口!$S1020),"")</f>
        <v/>
      </c>
      <c r="Y1020" s="10" t="str">
        <f aca="false">""</f>
        <v/>
      </c>
      <c r="Z1020" s="10" t="str">
        <f aca="false">""</f>
        <v/>
      </c>
      <c r="AA1020" s="10" t="str">
        <f aca="false">""</f>
        <v/>
      </c>
      <c r="AB1020" s="10" t="str">
        <f aca="false">""</f>
        <v/>
      </c>
    </row>
    <row r="1021" customFormat="false" ht="13.5" hidden="false" customHeight="false" outlineLevel="0" collapsed="false">
      <c r="A1021" s="109" t="n">
        <v>1021</v>
      </c>
      <c r="B1021" s="110" t="str">
        <f aca="false">IFERROR(IF([1]对账明细接口!$B$1021=0,"",[1]对账明细接口!$B$1021),"")</f>
        <v/>
      </c>
      <c r="C1021" s="59" t="str">
        <f aca="false">IFERROR(IF([1]对账明细接口!$C$1021=0,"",[1]对账明细接口!$C$1021),"")</f>
        <v/>
      </c>
      <c r="D1021" s="59" t="str">
        <f aca="false">IFERROR(IF([1]对账明细接口!$D$1021=0,"",[1]对账明细接口!$D$1021),"")</f>
        <v/>
      </c>
      <c r="E1021" s="59" t="str">
        <f aca="false">IFERROR(IF([1]对账明细接口!$E$1021=0,"",[1]对账明细接口!$E$1021),"")</f>
        <v/>
      </c>
      <c r="F1021" s="59" t="str">
        <f aca="false">IFERROR(IF([1]对账明细接口!$F$1021=0,"",[1]对账明细接口!$F$1021),"")</f>
        <v/>
      </c>
      <c r="G1021" s="59" t="str">
        <f aca="false">IFERROR(IF([1]对账明细接口!$G$1021=0,"",[1]对账明细接口!$G$1021),"")</f>
        <v/>
      </c>
      <c r="H1021" s="60" t="str">
        <f aca="false">IFERROR(IF([1]对账明细接口!$H$1021=0,"",[1]对账明细接口!$H$1021),"")</f>
        <v/>
      </c>
      <c r="I1021" s="59" t="str">
        <f aca="false">IFERROR(IF([1]对账明细接口!$I$1021=0,"",[1]对账明细接口!$I$1021),"")</f>
        <v/>
      </c>
      <c r="J1021" s="61" t="str">
        <f aca="false">IFERROR(IF([1]对账明细接口!$J$1021=0,"",[1]对账明细接口!$J$1021),"")</f>
        <v/>
      </c>
      <c r="K1021" s="61" t="str">
        <f aca="false">IFERROR(IF([1]对账明细接口!$K$1021=0,"",[1]对账明细接口!$K$1021),"")</f>
        <v/>
      </c>
      <c r="L1021" s="59" t="str">
        <f aca="false">IFERROR(IF([1]对账明细接口!$L$1021=0,"",[1]对账明细接口!$L$1021),"")</f>
        <v/>
      </c>
      <c r="M1021" s="59" t="str">
        <f aca="false">IFERROR(IF([1]对账明细接口!$M$1021=0,"",[1]对账明细接口!$M$1021),"")</f>
        <v/>
      </c>
      <c r="N1021" s="111" t="n">
        <f aca="false">IF($C1021="",0,1)</f>
        <v>0</v>
      </c>
      <c r="O1021" s="111" t="n">
        <f aca="false">N(O1020)+$N1021</f>
        <v>110</v>
      </c>
      <c r="S1021" s="10" t="str">
        <f aca="false">IFERROR(IF([1]对账明细接口!$N1021=0,"",[1]对账明细接口!$N1021),"")</f>
        <v/>
      </c>
      <c r="T1021" s="112" t="str">
        <f aca="false">IFERROR(IF([1]对账明细接口!$O1021=0,"",[1]对账明细接口!$O1021),"")</f>
        <v/>
      </c>
      <c r="U1021" s="112" t="str">
        <f aca="false">IFERROR(IF([1]对账明细接口!$P1021=0,"",[1]对账明细接口!$P1021),"")</f>
        <v/>
      </c>
      <c r="V1021" s="112" t="str">
        <f aca="false">IFERROR(IF([1]对账明细接口!$Q1021=0,"",[1]对账明细接口!$Q1021),"")</f>
        <v/>
      </c>
      <c r="W1021" s="10" t="str">
        <f aca="false">IFERROR(IF([1]对账明细接口!$R1021=0,"",[1]对账明细接口!$R1021),"")</f>
        <v/>
      </c>
      <c r="X1021" s="10" t="str">
        <f aca="false">IFERROR(IF([1]对账明细接口!$S1021=0,"",[1]对账明细接口!$S1021),"")</f>
        <v/>
      </c>
      <c r="Y1021" s="10" t="str">
        <f aca="false">""</f>
        <v/>
      </c>
      <c r="Z1021" s="10" t="str">
        <f aca="false">""</f>
        <v/>
      </c>
      <c r="AA1021" s="10" t="str">
        <f aca="false">""</f>
        <v/>
      </c>
      <c r="AB1021" s="10" t="str">
        <f aca="false">""</f>
        <v/>
      </c>
    </row>
    <row r="1022" customFormat="false" ht="13.5" hidden="false" customHeight="false" outlineLevel="0" collapsed="false">
      <c r="A1022" s="109" t="n">
        <v>1022</v>
      </c>
      <c r="B1022" s="110" t="str">
        <f aca="false">IFERROR(IF([1]对账明细接口!$B$1022=0,"",[1]对账明细接口!$B$1022),"")</f>
        <v/>
      </c>
      <c r="C1022" s="59" t="str">
        <f aca="false">IFERROR(IF([1]对账明细接口!$C$1022=0,"",[1]对账明细接口!$C$1022),"")</f>
        <v/>
      </c>
      <c r="D1022" s="59" t="str">
        <f aca="false">IFERROR(IF([1]对账明细接口!$D$1022=0,"",[1]对账明细接口!$D$1022),"")</f>
        <v/>
      </c>
      <c r="E1022" s="59" t="str">
        <f aca="false">IFERROR(IF([1]对账明细接口!$E$1022=0,"",[1]对账明细接口!$E$1022),"")</f>
        <v/>
      </c>
      <c r="F1022" s="59" t="str">
        <f aca="false">IFERROR(IF([1]对账明细接口!$F$1022=0,"",[1]对账明细接口!$F$1022),"")</f>
        <v/>
      </c>
      <c r="G1022" s="59" t="str">
        <f aca="false">IFERROR(IF([1]对账明细接口!$G$1022=0,"",[1]对账明细接口!$G$1022),"")</f>
        <v/>
      </c>
      <c r="H1022" s="60" t="str">
        <f aca="false">IFERROR(IF([1]对账明细接口!$H$1022=0,"",[1]对账明细接口!$H$1022),"")</f>
        <v/>
      </c>
      <c r="I1022" s="59" t="str">
        <f aca="false">IFERROR(IF([1]对账明细接口!$I$1022=0,"",[1]对账明细接口!$I$1022),"")</f>
        <v/>
      </c>
      <c r="J1022" s="61" t="str">
        <f aca="false">IFERROR(IF([1]对账明细接口!$J$1022=0,"",[1]对账明细接口!$J$1022),"")</f>
        <v/>
      </c>
      <c r="K1022" s="61" t="str">
        <f aca="false">IFERROR(IF([1]对账明细接口!$K$1022=0,"",[1]对账明细接口!$K$1022),"")</f>
        <v/>
      </c>
      <c r="L1022" s="59" t="str">
        <f aca="false">IFERROR(IF([1]对账明细接口!$L$1022=0,"",[1]对账明细接口!$L$1022),"")</f>
        <v/>
      </c>
      <c r="M1022" s="59" t="str">
        <f aca="false">IFERROR(IF([1]对账明细接口!$M$1022=0,"",[1]对账明细接口!$M$1022),"")</f>
        <v/>
      </c>
      <c r="N1022" s="111" t="n">
        <f aca="false">IF($C1022="",0,1)</f>
        <v>0</v>
      </c>
      <c r="O1022" s="111" t="n">
        <f aca="false">N(O1021)+$N1022</f>
        <v>110</v>
      </c>
      <c r="S1022" s="10" t="str">
        <f aca="false">IFERROR(IF([1]对账明细接口!$N1022=0,"",[1]对账明细接口!$N1022),"")</f>
        <v/>
      </c>
      <c r="T1022" s="112" t="str">
        <f aca="false">IFERROR(IF([1]对账明细接口!$O1022=0,"",[1]对账明细接口!$O1022),"")</f>
        <v/>
      </c>
      <c r="U1022" s="112" t="str">
        <f aca="false">IFERROR(IF([1]对账明细接口!$P1022=0,"",[1]对账明细接口!$P1022),"")</f>
        <v/>
      </c>
      <c r="V1022" s="112" t="str">
        <f aca="false">IFERROR(IF([1]对账明细接口!$Q1022=0,"",[1]对账明细接口!$Q1022),"")</f>
        <v/>
      </c>
      <c r="W1022" s="10" t="str">
        <f aca="false">IFERROR(IF([1]对账明细接口!$R1022=0,"",[1]对账明细接口!$R1022),"")</f>
        <v/>
      </c>
      <c r="X1022" s="10" t="str">
        <f aca="false">IFERROR(IF([1]对账明细接口!$S1022=0,"",[1]对账明细接口!$S1022),"")</f>
        <v/>
      </c>
      <c r="Y1022" s="10" t="str">
        <f aca="false">""</f>
        <v/>
      </c>
      <c r="Z1022" s="10" t="str">
        <f aca="false">""</f>
        <v/>
      </c>
      <c r="AA1022" s="10" t="str">
        <f aca="false">""</f>
        <v/>
      </c>
      <c r="AB1022" s="10" t="str">
        <f aca="false">""</f>
        <v/>
      </c>
    </row>
    <row r="1023" customFormat="false" ht="13.5" hidden="false" customHeight="false" outlineLevel="0" collapsed="false">
      <c r="A1023" s="109" t="n">
        <v>1023</v>
      </c>
      <c r="B1023" s="110" t="str">
        <f aca="false">IFERROR(IF([1]对账明细接口!$B$1023=0,"",[1]对账明细接口!$B$1023),"")</f>
        <v/>
      </c>
      <c r="C1023" s="59" t="str">
        <f aca="false">IFERROR(IF([1]对账明细接口!$C$1023=0,"",[1]对账明细接口!$C$1023),"")</f>
        <v/>
      </c>
      <c r="D1023" s="59" t="str">
        <f aca="false">IFERROR(IF([1]对账明细接口!$D$1023=0,"",[1]对账明细接口!$D$1023),"")</f>
        <v/>
      </c>
      <c r="E1023" s="59" t="str">
        <f aca="false">IFERROR(IF([1]对账明细接口!$E$1023=0,"",[1]对账明细接口!$E$1023),"")</f>
        <v/>
      </c>
      <c r="F1023" s="59" t="str">
        <f aca="false">IFERROR(IF([1]对账明细接口!$F$1023=0,"",[1]对账明细接口!$F$1023),"")</f>
        <v/>
      </c>
      <c r="G1023" s="59" t="str">
        <f aca="false">IFERROR(IF([1]对账明细接口!$G$1023=0,"",[1]对账明细接口!$G$1023),"")</f>
        <v/>
      </c>
      <c r="H1023" s="60" t="str">
        <f aca="false">IFERROR(IF([1]对账明细接口!$H$1023=0,"",[1]对账明细接口!$H$1023),"")</f>
        <v/>
      </c>
      <c r="I1023" s="59" t="str">
        <f aca="false">IFERROR(IF([1]对账明细接口!$I$1023=0,"",[1]对账明细接口!$I$1023),"")</f>
        <v/>
      </c>
      <c r="J1023" s="61" t="str">
        <f aca="false">IFERROR(IF([1]对账明细接口!$J$1023=0,"",[1]对账明细接口!$J$1023),"")</f>
        <v/>
      </c>
      <c r="K1023" s="61" t="str">
        <f aca="false">IFERROR(IF([1]对账明细接口!$K$1023=0,"",[1]对账明细接口!$K$1023),"")</f>
        <v/>
      </c>
      <c r="L1023" s="59" t="str">
        <f aca="false">IFERROR(IF([1]对账明细接口!$L$1023=0,"",[1]对账明细接口!$L$1023),"")</f>
        <v/>
      </c>
      <c r="M1023" s="59" t="str">
        <f aca="false">IFERROR(IF([1]对账明细接口!$M$1023=0,"",[1]对账明细接口!$M$1023),"")</f>
        <v/>
      </c>
      <c r="N1023" s="111" t="n">
        <f aca="false">IF($C1023="",0,1)</f>
        <v>0</v>
      </c>
      <c r="O1023" s="111" t="n">
        <f aca="false">N(O1022)+$N1023</f>
        <v>110</v>
      </c>
      <c r="S1023" s="10" t="str">
        <f aca="false">IFERROR(IF([1]对账明细接口!$N1023=0,"",[1]对账明细接口!$N1023),"")</f>
        <v/>
      </c>
      <c r="T1023" s="112" t="str">
        <f aca="false">IFERROR(IF([1]对账明细接口!$O1023=0,"",[1]对账明细接口!$O1023),"")</f>
        <v/>
      </c>
      <c r="U1023" s="112" t="str">
        <f aca="false">IFERROR(IF([1]对账明细接口!$P1023=0,"",[1]对账明细接口!$P1023),"")</f>
        <v/>
      </c>
      <c r="V1023" s="112" t="str">
        <f aca="false">IFERROR(IF([1]对账明细接口!$Q1023=0,"",[1]对账明细接口!$Q1023),"")</f>
        <v/>
      </c>
      <c r="W1023" s="10" t="str">
        <f aca="false">IFERROR(IF([1]对账明细接口!$R1023=0,"",[1]对账明细接口!$R1023),"")</f>
        <v/>
      </c>
      <c r="X1023" s="10" t="str">
        <f aca="false">IFERROR(IF([1]对账明细接口!$S1023=0,"",[1]对账明细接口!$S1023),"")</f>
        <v/>
      </c>
      <c r="Y1023" s="10" t="str">
        <f aca="false">""</f>
        <v/>
      </c>
      <c r="Z1023" s="10" t="str">
        <f aca="false">""</f>
        <v/>
      </c>
      <c r="AA1023" s="10" t="str">
        <f aca="false">""</f>
        <v/>
      </c>
      <c r="AB1023" s="10" t="str">
        <f aca="false">""</f>
        <v/>
      </c>
    </row>
    <row r="1024" customFormat="false" ht="13.5" hidden="false" customHeight="false" outlineLevel="0" collapsed="false">
      <c r="A1024" s="109" t="n">
        <v>1024</v>
      </c>
      <c r="B1024" s="110" t="str">
        <f aca="false">IFERROR(IF([1]对账明细接口!$B$1024=0,"",[1]对账明细接口!$B$1024),"")</f>
        <v/>
      </c>
      <c r="C1024" s="59" t="str">
        <f aca="false">IFERROR(IF([1]对账明细接口!$C$1024=0,"",[1]对账明细接口!$C$1024),"")</f>
        <v/>
      </c>
      <c r="D1024" s="59" t="str">
        <f aca="false">IFERROR(IF([1]对账明细接口!$D$1024=0,"",[1]对账明细接口!$D$1024),"")</f>
        <v/>
      </c>
      <c r="E1024" s="59" t="str">
        <f aca="false">IFERROR(IF([1]对账明细接口!$E$1024=0,"",[1]对账明细接口!$E$1024),"")</f>
        <v/>
      </c>
      <c r="F1024" s="59" t="str">
        <f aca="false">IFERROR(IF([1]对账明细接口!$F$1024=0,"",[1]对账明细接口!$F$1024),"")</f>
        <v/>
      </c>
      <c r="G1024" s="59" t="str">
        <f aca="false">IFERROR(IF([1]对账明细接口!$G$1024=0,"",[1]对账明细接口!$G$1024),"")</f>
        <v/>
      </c>
      <c r="H1024" s="60" t="str">
        <f aca="false">IFERROR(IF([1]对账明细接口!$H$1024=0,"",[1]对账明细接口!$H$1024),"")</f>
        <v/>
      </c>
      <c r="I1024" s="59" t="str">
        <f aca="false">IFERROR(IF([1]对账明细接口!$I$1024=0,"",[1]对账明细接口!$I$1024),"")</f>
        <v/>
      </c>
      <c r="J1024" s="61" t="str">
        <f aca="false">IFERROR(IF([1]对账明细接口!$J$1024=0,"",[1]对账明细接口!$J$1024),"")</f>
        <v/>
      </c>
      <c r="K1024" s="61" t="str">
        <f aca="false">IFERROR(IF([1]对账明细接口!$K$1024=0,"",[1]对账明细接口!$K$1024),"")</f>
        <v/>
      </c>
      <c r="L1024" s="59" t="str">
        <f aca="false">IFERROR(IF([1]对账明细接口!$L$1024=0,"",[1]对账明细接口!$L$1024),"")</f>
        <v/>
      </c>
      <c r="M1024" s="59" t="str">
        <f aca="false">IFERROR(IF([1]对账明细接口!$M$1024=0,"",[1]对账明细接口!$M$1024),"")</f>
        <v/>
      </c>
      <c r="N1024" s="111" t="n">
        <f aca="false">IF($C1024="",0,1)</f>
        <v>0</v>
      </c>
      <c r="O1024" s="111" t="n">
        <f aca="false">N(O1023)+$N1024</f>
        <v>110</v>
      </c>
      <c r="S1024" s="10" t="str">
        <f aca="false">IFERROR(IF([1]对账明细接口!$N1024=0,"",[1]对账明细接口!$N1024),"")</f>
        <v/>
      </c>
      <c r="T1024" s="112" t="str">
        <f aca="false">IFERROR(IF([1]对账明细接口!$O1024=0,"",[1]对账明细接口!$O1024),"")</f>
        <v/>
      </c>
      <c r="U1024" s="112" t="str">
        <f aca="false">IFERROR(IF([1]对账明细接口!$P1024=0,"",[1]对账明细接口!$P1024),"")</f>
        <v/>
      </c>
      <c r="V1024" s="112" t="str">
        <f aca="false">IFERROR(IF([1]对账明细接口!$Q1024=0,"",[1]对账明细接口!$Q1024),"")</f>
        <v/>
      </c>
      <c r="W1024" s="10" t="str">
        <f aca="false">IFERROR(IF([1]对账明细接口!$R1024=0,"",[1]对账明细接口!$R1024),"")</f>
        <v/>
      </c>
      <c r="X1024" s="10" t="str">
        <f aca="false">IFERROR(IF([1]对账明细接口!$S1024=0,"",[1]对账明细接口!$S1024),"")</f>
        <v/>
      </c>
      <c r="Y1024" s="10" t="str">
        <f aca="false">""</f>
        <v/>
      </c>
      <c r="Z1024" s="10" t="str">
        <f aca="false">""</f>
        <v/>
      </c>
      <c r="AA1024" s="10" t="str">
        <f aca="false">""</f>
        <v/>
      </c>
      <c r="AB1024" s="10" t="str">
        <f aca="false">""</f>
        <v/>
      </c>
    </row>
    <row r="1025" customFormat="false" ht="13.5" hidden="false" customHeight="false" outlineLevel="0" collapsed="false">
      <c r="A1025" s="109" t="n">
        <v>1025</v>
      </c>
      <c r="B1025" s="110" t="str">
        <f aca="false">IFERROR(IF([1]对账明细接口!$B$1025=0,"",[1]对账明细接口!$B$1025),"")</f>
        <v/>
      </c>
      <c r="C1025" s="59" t="str">
        <f aca="false">IFERROR(IF([1]对账明细接口!$C$1025=0,"",[1]对账明细接口!$C$1025),"")</f>
        <v/>
      </c>
      <c r="D1025" s="59" t="str">
        <f aca="false">IFERROR(IF([1]对账明细接口!$D$1025=0,"",[1]对账明细接口!$D$1025),"")</f>
        <v/>
      </c>
      <c r="E1025" s="59" t="str">
        <f aca="false">IFERROR(IF([1]对账明细接口!$E$1025=0,"",[1]对账明细接口!$E$1025),"")</f>
        <v/>
      </c>
      <c r="F1025" s="59" t="str">
        <f aca="false">IFERROR(IF([1]对账明细接口!$F$1025=0,"",[1]对账明细接口!$F$1025),"")</f>
        <v/>
      </c>
      <c r="G1025" s="59" t="str">
        <f aca="false">IFERROR(IF([1]对账明细接口!$G$1025=0,"",[1]对账明细接口!$G$1025),"")</f>
        <v/>
      </c>
      <c r="H1025" s="60" t="str">
        <f aca="false">IFERROR(IF([1]对账明细接口!$H$1025=0,"",[1]对账明细接口!$H$1025),"")</f>
        <v/>
      </c>
      <c r="I1025" s="59" t="str">
        <f aca="false">IFERROR(IF([1]对账明细接口!$I$1025=0,"",[1]对账明细接口!$I$1025),"")</f>
        <v/>
      </c>
      <c r="J1025" s="61" t="str">
        <f aca="false">IFERROR(IF([1]对账明细接口!$J$1025=0,"",[1]对账明细接口!$J$1025),"")</f>
        <v/>
      </c>
      <c r="K1025" s="61" t="str">
        <f aca="false">IFERROR(IF([1]对账明细接口!$K$1025=0,"",[1]对账明细接口!$K$1025),"")</f>
        <v/>
      </c>
      <c r="L1025" s="59" t="str">
        <f aca="false">IFERROR(IF([1]对账明细接口!$L$1025=0,"",[1]对账明细接口!$L$1025),"")</f>
        <v/>
      </c>
      <c r="M1025" s="59" t="str">
        <f aca="false">IFERROR(IF([1]对账明细接口!$M$1025=0,"",[1]对账明细接口!$M$1025),"")</f>
        <v/>
      </c>
      <c r="N1025" s="111" t="n">
        <f aca="false">IF($C1025="",0,1)</f>
        <v>0</v>
      </c>
      <c r="O1025" s="111" t="n">
        <f aca="false">N(O1024)+$N1025</f>
        <v>110</v>
      </c>
      <c r="S1025" s="10" t="str">
        <f aca="false">IFERROR(IF([1]对账明细接口!$N1025=0,"",[1]对账明细接口!$N1025),"")</f>
        <v/>
      </c>
      <c r="T1025" s="112" t="str">
        <f aca="false">IFERROR(IF([1]对账明细接口!$O1025=0,"",[1]对账明细接口!$O1025),"")</f>
        <v/>
      </c>
      <c r="U1025" s="112" t="str">
        <f aca="false">IFERROR(IF([1]对账明细接口!$P1025=0,"",[1]对账明细接口!$P1025),"")</f>
        <v/>
      </c>
      <c r="V1025" s="112" t="str">
        <f aca="false">IFERROR(IF([1]对账明细接口!$Q1025=0,"",[1]对账明细接口!$Q1025),"")</f>
        <v/>
      </c>
      <c r="W1025" s="10" t="str">
        <f aca="false">IFERROR(IF([1]对账明细接口!$R1025=0,"",[1]对账明细接口!$R1025),"")</f>
        <v/>
      </c>
      <c r="X1025" s="10" t="str">
        <f aca="false">IFERROR(IF([1]对账明细接口!$S1025=0,"",[1]对账明细接口!$S1025),"")</f>
        <v/>
      </c>
      <c r="Y1025" s="10" t="str">
        <f aca="false">""</f>
        <v/>
      </c>
      <c r="Z1025" s="10" t="str">
        <f aca="false">""</f>
        <v/>
      </c>
      <c r="AA1025" s="10" t="str">
        <f aca="false">""</f>
        <v/>
      </c>
      <c r="AB1025" s="10" t="str">
        <f aca="false">""</f>
        <v/>
      </c>
    </row>
    <row r="1026" customFormat="false" ht="13.5" hidden="false" customHeight="false" outlineLevel="0" collapsed="false">
      <c r="A1026" s="109" t="n">
        <v>1026</v>
      </c>
      <c r="B1026" s="110" t="str">
        <f aca="false">IFERROR(IF([1]对账明细接口!$B$1026=0,"",[1]对账明细接口!$B$1026),"")</f>
        <v/>
      </c>
      <c r="C1026" s="59" t="str">
        <f aca="false">IFERROR(IF([1]对账明细接口!$C$1026=0,"",[1]对账明细接口!$C$1026),"")</f>
        <v/>
      </c>
      <c r="D1026" s="59" t="str">
        <f aca="false">IFERROR(IF([1]对账明细接口!$D$1026=0,"",[1]对账明细接口!$D$1026),"")</f>
        <v/>
      </c>
      <c r="E1026" s="59" t="str">
        <f aca="false">IFERROR(IF([1]对账明细接口!$E$1026=0,"",[1]对账明细接口!$E$1026),"")</f>
        <v/>
      </c>
      <c r="F1026" s="59" t="str">
        <f aca="false">IFERROR(IF([1]对账明细接口!$F$1026=0,"",[1]对账明细接口!$F$1026),"")</f>
        <v/>
      </c>
      <c r="G1026" s="59" t="str">
        <f aca="false">IFERROR(IF([1]对账明细接口!$G$1026=0,"",[1]对账明细接口!$G$1026),"")</f>
        <v/>
      </c>
      <c r="H1026" s="60" t="str">
        <f aca="false">IFERROR(IF([1]对账明细接口!$H$1026=0,"",[1]对账明细接口!$H$1026),"")</f>
        <v/>
      </c>
      <c r="I1026" s="59" t="str">
        <f aca="false">IFERROR(IF([1]对账明细接口!$I$1026=0,"",[1]对账明细接口!$I$1026),"")</f>
        <v/>
      </c>
      <c r="J1026" s="61" t="str">
        <f aca="false">IFERROR(IF([1]对账明细接口!$J$1026=0,"",[1]对账明细接口!$J$1026),"")</f>
        <v/>
      </c>
      <c r="K1026" s="61" t="str">
        <f aca="false">IFERROR(IF([1]对账明细接口!$K$1026=0,"",[1]对账明细接口!$K$1026),"")</f>
        <v/>
      </c>
      <c r="L1026" s="59" t="str">
        <f aca="false">IFERROR(IF([1]对账明细接口!$L$1026=0,"",[1]对账明细接口!$L$1026),"")</f>
        <v/>
      </c>
      <c r="M1026" s="59" t="str">
        <f aca="false">IFERROR(IF([1]对账明细接口!$M$1026=0,"",[1]对账明细接口!$M$1026),"")</f>
        <v/>
      </c>
      <c r="N1026" s="111" t="n">
        <f aca="false">IF($C1026="",0,1)</f>
        <v>0</v>
      </c>
      <c r="O1026" s="111" t="n">
        <f aca="false">N(O1025)+$N1026</f>
        <v>110</v>
      </c>
      <c r="S1026" s="10" t="str">
        <f aca="false">IFERROR(IF([1]对账明细接口!$N1026=0,"",[1]对账明细接口!$N1026),"")</f>
        <v/>
      </c>
      <c r="T1026" s="112" t="str">
        <f aca="false">IFERROR(IF([1]对账明细接口!$O1026=0,"",[1]对账明细接口!$O1026),"")</f>
        <v/>
      </c>
      <c r="U1026" s="112" t="str">
        <f aca="false">IFERROR(IF([1]对账明细接口!$P1026=0,"",[1]对账明细接口!$P1026),"")</f>
        <v/>
      </c>
      <c r="V1026" s="112" t="str">
        <f aca="false">IFERROR(IF([1]对账明细接口!$Q1026=0,"",[1]对账明细接口!$Q1026),"")</f>
        <v/>
      </c>
      <c r="W1026" s="10" t="str">
        <f aca="false">IFERROR(IF([1]对账明细接口!$R1026=0,"",[1]对账明细接口!$R1026),"")</f>
        <v/>
      </c>
      <c r="X1026" s="10" t="str">
        <f aca="false">IFERROR(IF([1]对账明细接口!$S1026=0,"",[1]对账明细接口!$S1026),"")</f>
        <v/>
      </c>
      <c r="Y1026" s="10" t="str">
        <f aca="false">""</f>
        <v/>
      </c>
      <c r="Z1026" s="10" t="str">
        <f aca="false">""</f>
        <v/>
      </c>
      <c r="AA1026" s="10" t="str">
        <f aca="false">""</f>
        <v/>
      </c>
      <c r="AB1026" s="10" t="str">
        <f aca="false">""</f>
        <v/>
      </c>
    </row>
    <row r="1027" customFormat="false" ht="13.5" hidden="false" customHeight="false" outlineLevel="0" collapsed="false">
      <c r="A1027" s="109" t="n">
        <v>1027</v>
      </c>
      <c r="B1027" s="110" t="str">
        <f aca="false">IFERROR(IF([1]对账明细接口!$B$1027=0,"",[1]对账明细接口!$B$1027),"")</f>
        <v/>
      </c>
      <c r="C1027" s="59" t="str">
        <f aca="false">IFERROR(IF([1]对账明细接口!$C$1027=0,"",[1]对账明细接口!$C$1027),"")</f>
        <v/>
      </c>
      <c r="D1027" s="59" t="str">
        <f aca="false">IFERROR(IF([1]对账明细接口!$D$1027=0,"",[1]对账明细接口!$D$1027),"")</f>
        <v/>
      </c>
      <c r="E1027" s="59" t="str">
        <f aca="false">IFERROR(IF([1]对账明细接口!$E$1027=0,"",[1]对账明细接口!$E$1027),"")</f>
        <v/>
      </c>
      <c r="F1027" s="59" t="str">
        <f aca="false">IFERROR(IF([1]对账明细接口!$F$1027=0,"",[1]对账明细接口!$F$1027),"")</f>
        <v/>
      </c>
      <c r="G1027" s="59" t="str">
        <f aca="false">IFERROR(IF([1]对账明细接口!$G$1027=0,"",[1]对账明细接口!$G$1027),"")</f>
        <v/>
      </c>
      <c r="H1027" s="60" t="str">
        <f aca="false">IFERROR(IF([1]对账明细接口!$H$1027=0,"",[1]对账明细接口!$H$1027),"")</f>
        <v/>
      </c>
      <c r="I1027" s="59" t="str">
        <f aca="false">IFERROR(IF([1]对账明细接口!$I$1027=0,"",[1]对账明细接口!$I$1027),"")</f>
        <v/>
      </c>
      <c r="J1027" s="61" t="str">
        <f aca="false">IFERROR(IF([1]对账明细接口!$J$1027=0,"",[1]对账明细接口!$J$1027),"")</f>
        <v/>
      </c>
      <c r="K1027" s="61" t="str">
        <f aca="false">IFERROR(IF([1]对账明细接口!$K$1027=0,"",[1]对账明细接口!$K$1027),"")</f>
        <v/>
      </c>
      <c r="L1027" s="59" t="str">
        <f aca="false">IFERROR(IF([1]对账明细接口!$L$1027=0,"",[1]对账明细接口!$L$1027),"")</f>
        <v/>
      </c>
      <c r="M1027" s="59" t="str">
        <f aca="false">IFERROR(IF([1]对账明细接口!$M$1027=0,"",[1]对账明细接口!$M$1027),"")</f>
        <v/>
      </c>
      <c r="N1027" s="111" t="n">
        <f aca="false">IF($C1027="",0,1)</f>
        <v>0</v>
      </c>
      <c r="O1027" s="111" t="n">
        <f aca="false">N(O1026)+$N1027</f>
        <v>110</v>
      </c>
      <c r="S1027" s="10" t="str">
        <f aca="false">IFERROR(IF([1]对账明细接口!$N1027=0,"",[1]对账明细接口!$N1027),"")</f>
        <v/>
      </c>
      <c r="T1027" s="112" t="str">
        <f aca="false">IFERROR(IF([1]对账明细接口!$O1027=0,"",[1]对账明细接口!$O1027),"")</f>
        <v/>
      </c>
      <c r="U1027" s="112" t="str">
        <f aca="false">IFERROR(IF([1]对账明细接口!$P1027=0,"",[1]对账明细接口!$P1027),"")</f>
        <v/>
      </c>
      <c r="V1027" s="112" t="str">
        <f aca="false">IFERROR(IF([1]对账明细接口!$Q1027=0,"",[1]对账明细接口!$Q1027),"")</f>
        <v/>
      </c>
      <c r="W1027" s="10" t="str">
        <f aca="false">IFERROR(IF([1]对账明细接口!$R1027=0,"",[1]对账明细接口!$R1027),"")</f>
        <v/>
      </c>
      <c r="X1027" s="10" t="str">
        <f aca="false">IFERROR(IF([1]对账明细接口!$S1027=0,"",[1]对账明细接口!$S1027),"")</f>
        <v/>
      </c>
      <c r="Y1027" s="10" t="str">
        <f aca="false">""</f>
        <v/>
      </c>
      <c r="Z1027" s="10" t="str">
        <f aca="false">""</f>
        <v/>
      </c>
      <c r="AA1027" s="10" t="str">
        <f aca="false">""</f>
        <v/>
      </c>
      <c r="AB1027" s="10" t="str">
        <f aca="false">""</f>
        <v/>
      </c>
    </row>
    <row r="1028" customFormat="false" ht="13.5" hidden="false" customHeight="false" outlineLevel="0" collapsed="false">
      <c r="A1028" s="109" t="n">
        <v>1028</v>
      </c>
      <c r="B1028" s="110" t="str">
        <f aca="false">IFERROR(IF([1]对账明细接口!$B$1028=0,"",[1]对账明细接口!$B$1028),"")</f>
        <v/>
      </c>
      <c r="C1028" s="59" t="str">
        <f aca="false">IFERROR(IF([1]对账明细接口!$C$1028=0,"",[1]对账明细接口!$C$1028),"")</f>
        <v/>
      </c>
      <c r="D1028" s="59" t="str">
        <f aca="false">IFERROR(IF([1]对账明细接口!$D$1028=0,"",[1]对账明细接口!$D$1028),"")</f>
        <v/>
      </c>
      <c r="E1028" s="59" t="str">
        <f aca="false">IFERROR(IF([1]对账明细接口!$E$1028=0,"",[1]对账明细接口!$E$1028),"")</f>
        <v/>
      </c>
      <c r="F1028" s="59" t="str">
        <f aca="false">IFERROR(IF([1]对账明细接口!$F$1028=0,"",[1]对账明细接口!$F$1028),"")</f>
        <v/>
      </c>
      <c r="G1028" s="59" t="str">
        <f aca="false">IFERROR(IF([1]对账明细接口!$G$1028=0,"",[1]对账明细接口!$G$1028),"")</f>
        <v/>
      </c>
      <c r="H1028" s="60" t="str">
        <f aca="false">IFERROR(IF([1]对账明细接口!$H$1028=0,"",[1]对账明细接口!$H$1028),"")</f>
        <v/>
      </c>
      <c r="I1028" s="59" t="str">
        <f aca="false">IFERROR(IF([1]对账明细接口!$I$1028=0,"",[1]对账明细接口!$I$1028),"")</f>
        <v/>
      </c>
      <c r="J1028" s="61" t="str">
        <f aca="false">IFERROR(IF([1]对账明细接口!$J$1028=0,"",[1]对账明细接口!$J$1028),"")</f>
        <v/>
      </c>
      <c r="K1028" s="61" t="str">
        <f aca="false">IFERROR(IF([1]对账明细接口!$K$1028=0,"",[1]对账明细接口!$K$1028),"")</f>
        <v/>
      </c>
      <c r="L1028" s="59" t="str">
        <f aca="false">IFERROR(IF([1]对账明细接口!$L$1028=0,"",[1]对账明细接口!$L$1028),"")</f>
        <v/>
      </c>
      <c r="M1028" s="59" t="str">
        <f aca="false">IFERROR(IF([1]对账明细接口!$M$1028=0,"",[1]对账明细接口!$M$1028),"")</f>
        <v/>
      </c>
      <c r="N1028" s="111" t="n">
        <f aca="false">IF($C1028="",0,1)</f>
        <v>0</v>
      </c>
      <c r="O1028" s="111" t="n">
        <f aca="false">N(O1027)+$N1028</f>
        <v>110</v>
      </c>
      <c r="S1028" s="10" t="str">
        <f aca="false">IFERROR(IF([1]对账明细接口!$N1028=0,"",[1]对账明细接口!$N1028),"")</f>
        <v/>
      </c>
      <c r="T1028" s="112" t="str">
        <f aca="false">IFERROR(IF([1]对账明细接口!$O1028=0,"",[1]对账明细接口!$O1028),"")</f>
        <v/>
      </c>
      <c r="U1028" s="112" t="str">
        <f aca="false">IFERROR(IF([1]对账明细接口!$P1028=0,"",[1]对账明细接口!$P1028),"")</f>
        <v/>
      </c>
      <c r="V1028" s="112" t="str">
        <f aca="false">IFERROR(IF([1]对账明细接口!$Q1028=0,"",[1]对账明细接口!$Q1028),"")</f>
        <v/>
      </c>
      <c r="W1028" s="10" t="str">
        <f aca="false">IFERROR(IF([1]对账明细接口!$R1028=0,"",[1]对账明细接口!$R1028),"")</f>
        <v/>
      </c>
      <c r="X1028" s="10" t="str">
        <f aca="false">IFERROR(IF([1]对账明细接口!$S1028=0,"",[1]对账明细接口!$S1028),"")</f>
        <v/>
      </c>
      <c r="Y1028" s="10" t="str">
        <f aca="false">""</f>
        <v/>
      </c>
      <c r="Z1028" s="10" t="str">
        <f aca="false">""</f>
        <v/>
      </c>
      <c r="AA1028" s="10" t="str">
        <f aca="false">""</f>
        <v/>
      </c>
      <c r="AB1028" s="10" t="str">
        <f aca="false">""</f>
        <v/>
      </c>
    </row>
    <row r="1029" customFormat="false" ht="13.5" hidden="false" customHeight="false" outlineLevel="0" collapsed="false">
      <c r="A1029" s="109" t="n">
        <v>1029</v>
      </c>
      <c r="B1029" s="110" t="str">
        <f aca="false">IFERROR(IF([1]对账明细接口!$B$1029=0,"",[1]对账明细接口!$B$1029),"")</f>
        <v/>
      </c>
      <c r="C1029" s="59" t="str">
        <f aca="false">IFERROR(IF([1]对账明细接口!$C$1029=0,"",[1]对账明细接口!$C$1029),"")</f>
        <v/>
      </c>
      <c r="D1029" s="59" t="str">
        <f aca="false">IFERROR(IF([1]对账明细接口!$D$1029=0,"",[1]对账明细接口!$D$1029),"")</f>
        <v/>
      </c>
      <c r="E1029" s="59" t="str">
        <f aca="false">IFERROR(IF([1]对账明细接口!$E$1029=0,"",[1]对账明细接口!$E$1029),"")</f>
        <v/>
      </c>
      <c r="F1029" s="59" t="str">
        <f aca="false">IFERROR(IF([1]对账明细接口!$F$1029=0,"",[1]对账明细接口!$F$1029),"")</f>
        <v/>
      </c>
      <c r="G1029" s="59" t="str">
        <f aca="false">IFERROR(IF([1]对账明细接口!$G$1029=0,"",[1]对账明细接口!$G$1029),"")</f>
        <v/>
      </c>
      <c r="H1029" s="60" t="str">
        <f aca="false">IFERROR(IF([1]对账明细接口!$H$1029=0,"",[1]对账明细接口!$H$1029),"")</f>
        <v/>
      </c>
      <c r="I1029" s="59" t="str">
        <f aca="false">IFERROR(IF([1]对账明细接口!$I$1029=0,"",[1]对账明细接口!$I$1029),"")</f>
        <v/>
      </c>
      <c r="J1029" s="61" t="str">
        <f aca="false">IFERROR(IF([1]对账明细接口!$J$1029=0,"",[1]对账明细接口!$J$1029),"")</f>
        <v/>
      </c>
      <c r="K1029" s="61" t="str">
        <f aca="false">IFERROR(IF([1]对账明细接口!$K$1029=0,"",[1]对账明细接口!$K$1029),"")</f>
        <v/>
      </c>
      <c r="L1029" s="59" t="str">
        <f aca="false">IFERROR(IF([1]对账明细接口!$L$1029=0,"",[1]对账明细接口!$L$1029),"")</f>
        <v/>
      </c>
      <c r="M1029" s="59" t="str">
        <f aca="false">IFERROR(IF([1]对账明细接口!$M$1029=0,"",[1]对账明细接口!$M$1029),"")</f>
        <v/>
      </c>
      <c r="N1029" s="111" t="n">
        <f aca="false">IF($C1029="",0,1)</f>
        <v>0</v>
      </c>
      <c r="O1029" s="111" t="n">
        <f aca="false">N(O1028)+$N1029</f>
        <v>110</v>
      </c>
      <c r="S1029" s="10" t="str">
        <f aca="false">IFERROR(IF([1]对账明细接口!$N1029=0,"",[1]对账明细接口!$N1029),"")</f>
        <v/>
      </c>
      <c r="T1029" s="112" t="str">
        <f aca="false">IFERROR(IF([1]对账明细接口!$O1029=0,"",[1]对账明细接口!$O1029),"")</f>
        <v/>
      </c>
      <c r="U1029" s="112" t="str">
        <f aca="false">IFERROR(IF([1]对账明细接口!$P1029=0,"",[1]对账明细接口!$P1029),"")</f>
        <v/>
      </c>
      <c r="V1029" s="112" t="str">
        <f aca="false">IFERROR(IF([1]对账明细接口!$Q1029=0,"",[1]对账明细接口!$Q1029),"")</f>
        <v/>
      </c>
      <c r="W1029" s="10" t="str">
        <f aca="false">IFERROR(IF([1]对账明细接口!$R1029=0,"",[1]对账明细接口!$R1029),"")</f>
        <v/>
      </c>
      <c r="X1029" s="10" t="str">
        <f aca="false">IFERROR(IF([1]对账明细接口!$S1029=0,"",[1]对账明细接口!$S1029),"")</f>
        <v/>
      </c>
      <c r="Y1029" s="10" t="str">
        <f aca="false">""</f>
        <v/>
      </c>
      <c r="Z1029" s="10" t="str">
        <f aca="false">""</f>
        <v/>
      </c>
      <c r="AA1029" s="10" t="str">
        <f aca="false">""</f>
        <v/>
      </c>
      <c r="AB1029" s="10" t="str">
        <f aca="false">""</f>
        <v/>
      </c>
    </row>
    <row r="1030" customFormat="false" ht="13.5" hidden="false" customHeight="false" outlineLevel="0" collapsed="false">
      <c r="A1030" s="109" t="n">
        <v>1030</v>
      </c>
      <c r="B1030" s="110" t="str">
        <f aca="false">IFERROR(IF([1]对账明细接口!$B$1030=0,"",[1]对账明细接口!$B$1030),"")</f>
        <v/>
      </c>
      <c r="C1030" s="59" t="str">
        <f aca="false">IFERROR(IF([1]对账明细接口!$C$1030=0,"",[1]对账明细接口!$C$1030),"")</f>
        <v/>
      </c>
      <c r="D1030" s="59" t="str">
        <f aca="false">IFERROR(IF([1]对账明细接口!$D$1030=0,"",[1]对账明细接口!$D$1030),"")</f>
        <v/>
      </c>
      <c r="E1030" s="59" t="str">
        <f aca="false">IFERROR(IF([1]对账明细接口!$E$1030=0,"",[1]对账明细接口!$E$1030),"")</f>
        <v/>
      </c>
      <c r="F1030" s="59" t="str">
        <f aca="false">IFERROR(IF([1]对账明细接口!$F$1030=0,"",[1]对账明细接口!$F$1030),"")</f>
        <v/>
      </c>
      <c r="G1030" s="59" t="str">
        <f aca="false">IFERROR(IF([1]对账明细接口!$G$1030=0,"",[1]对账明细接口!$G$1030),"")</f>
        <v/>
      </c>
      <c r="H1030" s="60" t="str">
        <f aca="false">IFERROR(IF([1]对账明细接口!$H$1030=0,"",[1]对账明细接口!$H$1030),"")</f>
        <v/>
      </c>
      <c r="I1030" s="59" t="str">
        <f aca="false">IFERROR(IF([1]对账明细接口!$I$1030=0,"",[1]对账明细接口!$I$1030),"")</f>
        <v/>
      </c>
      <c r="J1030" s="61" t="str">
        <f aca="false">IFERROR(IF([1]对账明细接口!$J$1030=0,"",[1]对账明细接口!$J$1030),"")</f>
        <v/>
      </c>
      <c r="K1030" s="61" t="str">
        <f aca="false">IFERROR(IF([1]对账明细接口!$K$1030=0,"",[1]对账明细接口!$K$1030),"")</f>
        <v/>
      </c>
      <c r="L1030" s="59" t="str">
        <f aca="false">IFERROR(IF([1]对账明细接口!$L$1030=0,"",[1]对账明细接口!$L$1030),"")</f>
        <v/>
      </c>
      <c r="M1030" s="59" t="str">
        <f aca="false">IFERROR(IF([1]对账明细接口!$M$1030=0,"",[1]对账明细接口!$M$1030),"")</f>
        <v/>
      </c>
      <c r="N1030" s="111" t="n">
        <f aca="false">IF($C1030="",0,1)</f>
        <v>0</v>
      </c>
      <c r="O1030" s="111" t="n">
        <f aca="false">N(O1029)+$N1030</f>
        <v>110</v>
      </c>
      <c r="S1030" s="10" t="str">
        <f aca="false">IFERROR(IF([1]对账明细接口!$N1030=0,"",[1]对账明细接口!$N1030),"")</f>
        <v/>
      </c>
      <c r="T1030" s="112" t="str">
        <f aca="false">IFERROR(IF([1]对账明细接口!$O1030=0,"",[1]对账明细接口!$O1030),"")</f>
        <v/>
      </c>
      <c r="U1030" s="112" t="str">
        <f aca="false">IFERROR(IF([1]对账明细接口!$P1030=0,"",[1]对账明细接口!$P1030),"")</f>
        <v/>
      </c>
      <c r="V1030" s="112" t="str">
        <f aca="false">IFERROR(IF([1]对账明细接口!$Q1030=0,"",[1]对账明细接口!$Q1030),"")</f>
        <v/>
      </c>
      <c r="W1030" s="10" t="str">
        <f aca="false">IFERROR(IF([1]对账明细接口!$R1030=0,"",[1]对账明细接口!$R1030),"")</f>
        <v/>
      </c>
      <c r="X1030" s="10" t="str">
        <f aca="false">IFERROR(IF([1]对账明细接口!$S1030=0,"",[1]对账明细接口!$S1030),"")</f>
        <v/>
      </c>
      <c r="Y1030" s="10" t="str">
        <f aca="false">""</f>
        <v/>
      </c>
      <c r="Z1030" s="10" t="str">
        <f aca="false">""</f>
        <v/>
      </c>
      <c r="AA1030" s="10" t="str">
        <f aca="false">""</f>
        <v/>
      </c>
      <c r="AB1030" s="10" t="str">
        <f aca="false">""</f>
        <v/>
      </c>
    </row>
    <row r="1031" customFormat="false" ht="13.5" hidden="false" customHeight="false" outlineLevel="0" collapsed="false">
      <c r="A1031" s="109" t="n">
        <v>1031</v>
      </c>
      <c r="B1031" s="110" t="str">
        <f aca="false">IFERROR(IF([1]对账明细接口!$B$1031=0,"",[1]对账明细接口!$B$1031),"")</f>
        <v/>
      </c>
      <c r="C1031" s="59" t="str">
        <f aca="false">IFERROR(IF([1]对账明细接口!$C$1031=0,"",[1]对账明细接口!$C$1031),"")</f>
        <v/>
      </c>
      <c r="D1031" s="59" t="str">
        <f aca="false">IFERROR(IF([1]对账明细接口!$D$1031=0,"",[1]对账明细接口!$D$1031),"")</f>
        <v/>
      </c>
      <c r="E1031" s="59" t="str">
        <f aca="false">IFERROR(IF([1]对账明细接口!$E$1031=0,"",[1]对账明细接口!$E$1031),"")</f>
        <v/>
      </c>
      <c r="F1031" s="59" t="str">
        <f aca="false">IFERROR(IF([1]对账明细接口!$F$1031=0,"",[1]对账明细接口!$F$1031),"")</f>
        <v/>
      </c>
      <c r="G1031" s="59" t="str">
        <f aca="false">IFERROR(IF([1]对账明细接口!$G$1031=0,"",[1]对账明细接口!$G$1031),"")</f>
        <v/>
      </c>
      <c r="H1031" s="60" t="str">
        <f aca="false">IFERROR(IF([1]对账明细接口!$H$1031=0,"",[1]对账明细接口!$H$1031),"")</f>
        <v/>
      </c>
      <c r="I1031" s="59" t="str">
        <f aca="false">IFERROR(IF([1]对账明细接口!$I$1031=0,"",[1]对账明细接口!$I$1031),"")</f>
        <v/>
      </c>
      <c r="J1031" s="61" t="str">
        <f aca="false">IFERROR(IF([1]对账明细接口!$J$1031=0,"",[1]对账明细接口!$J$1031),"")</f>
        <v/>
      </c>
      <c r="K1031" s="61" t="str">
        <f aca="false">IFERROR(IF([1]对账明细接口!$K$1031=0,"",[1]对账明细接口!$K$1031),"")</f>
        <v/>
      </c>
      <c r="L1031" s="59" t="str">
        <f aca="false">IFERROR(IF([1]对账明细接口!$L$1031=0,"",[1]对账明细接口!$L$1031),"")</f>
        <v/>
      </c>
      <c r="M1031" s="59" t="str">
        <f aca="false">IFERROR(IF([1]对账明细接口!$M$1031=0,"",[1]对账明细接口!$M$1031),"")</f>
        <v/>
      </c>
      <c r="N1031" s="111" t="n">
        <f aca="false">IF($C1031="",0,1)</f>
        <v>0</v>
      </c>
      <c r="O1031" s="111" t="n">
        <f aca="false">N(O1030)+$N1031</f>
        <v>110</v>
      </c>
      <c r="S1031" s="10" t="str">
        <f aca="false">IFERROR(IF([1]对账明细接口!$N1031=0,"",[1]对账明细接口!$N1031),"")</f>
        <v/>
      </c>
      <c r="T1031" s="112" t="str">
        <f aca="false">IFERROR(IF([1]对账明细接口!$O1031=0,"",[1]对账明细接口!$O1031),"")</f>
        <v/>
      </c>
      <c r="U1031" s="112" t="str">
        <f aca="false">IFERROR(IF([1]对账明细接口!$P1031=0,"",[1]对账明细接口!$P1031),"")</f>
        <v/>
      </c>
      <c r="V1031" s="112" t="str">
        <f aca="false">IFERROR(IF([1]对账明细接口!$Q1031=0,"",[1]对账明细接口!$Q1031),"")</f>
        <v/>
      </c>
      <c r="W1031" s="10" t="str">
        <f aca="false">IFERROR(IF([1]对账明细接口!$R1031=0,"",[1]对账明细接口!$R1031),"")</f>
        <v/>
      </c>
      <c r="X1031" s="10" t="str">
        <f aca="false">IFERROR(IF([1]对账明细接口!$S1031=0,"",[1]对账明细接口!$S1031),"")</f>
        <v/>
      </c>
      <c r="Y1031" s="10" t="str">
        <f aca="false">""</f>
        <v/>
      </c>
      <c r="Z1031" s="10" t="str">
        <f aca="false">""</f>
        <v/>
      </c>
      <c r="AA1031" s="10" t="str">
        <f aca="false">""</f>
        <v/>
      </c>
      <c r="AB1031" s="10" t="str">
        <f aca="false">""</f>
        <v/>
      </c>
    </row>
    <row r="1032" customFormat="false" ht="13.5" hidden="false" customHeight="false" outlineLevel="0" collapsed="false">
      <c r="A1032" s="109" t="n">
        <v>1032</v>
      </c>
      <c r="B1032" s="110" t="str">
        <f aca="false">IFERROR(IF([1]对账明细接口!$B$1032=0,"",[1]对账明细接口!$B$1032),"")</f>
        <v/>
      </c>
      <c r="C1032" s="59" t="str">
        <f aca="false">IFERROR(IF([1]对账明细接口!$C$1032=0,"",[1]对账明细接口!$C$1032),"")</f>
        <v/>
      </c>
      <c r="D1032" s="59" t="str">
        <f aca="false">IFERROR(IF([1]对账明细接口!$D$1032=0,"",[1]对账明细接口!$D$1032),"")</f>
        <v/>
      </c>
      <c r="E1032" s="59" t="str">
        <f aca="false">IFERROR(IF([1]对账明细接口!$E$1032=0,"",[1]对账明细接口!$E$1032),"")</f>
        <v/>
      </c>
      <c r="F1032" s="59" t="str">
        <f aca="false">IFERROR(IF([1]对账明细接口!$F$1032=0,"",[1]对账明细接口!$F$1032),"")</f>
        <v/>
      </c>
      <c r="G1032" s="59" t="str">
        <f aca="false">IFERROR(IF([1]对账明细接口!$G$1032=0,"",[1]对账明细接口!$G$1032),"")</f>
        <v/>
      </c>
      <c r="H1032" s="60" t="str">
        <f aca="false">IFERROR(IF([1]对账明细接口!$H$1032=0,"",[1]对账明细接口!$H$1032),"")</f>
        <v/>
      </c>
      <c r="I1032" s="59" t="str">
        <f aca="false">IFERROR(IF([1]对账明细接口!$I$1032=0,"",[1]对账明细接口!$I$1032),"")</f>
        <v/>
      </c>
      <c r="J1032" s="61" t="str">
        <f aca="false">IFERROR(IF([1]对账明细接口!$J$1032=0,"",[1]对账明细接口!$J$1032),"")</f>
        <v/>
      </c>
      <c r="K1032" s="61" t="str">
        <f aca="false">IFERROR(IF([1]对账明细接口!$K$1032=0,"",[1]对账明细接口!$K$1032),"")</f>
        <v/>
      </c>
      <c r="L1032" s="59" t="str">
        <f aca="false">IFERROR(IF([1]对账明细接口!$L$1032=0,"",[1]对账明细接口!$L$1032),"")</f>
        <v/>
      </c>
      <c r="M1032" s="59" t="str">
        <f aca="false">IFERROR(IF([1]对账明细接口!$M$1032=0,"",[1]对账明细接口!$M$1032),"")</f>
        <v/>
      </c>
      <c r="N1032" s="111" t="n">
        <f aca="false">IF($C1032="",0,1)</f>
        <v>0</v>
      </c>
      <c r="O1032" s="111" t="n">
        <f aca="false">N(O1031)+$N1032</f>
        <v>110</v>
      </c>
      <c r="S1032" s="10" t="str">
        <f aca="false">IFERROR(IF([1]对账明细接口!$N1032=0,"",[1]对账明细接口!$N1032),"")</f>
        <v/>
      </c>
      <c r="T1032" s="112" t="str">
        <f aca="false">IFERROR(IF([1]对账明细接口!$O1032=0,"",[1]对账明细接口!$O1032),"")</f>
        <v/>
      </c>
      <c r="U1032" s="112" t="str">
        <f aca="false">IFERROR(IF([1]对账明细接口!$P1032=0,"",[1]对账明细接口!$P1032),"")</f>
        <v/>
      </c>
      <c r="V1032" s="112" t="str">
        <f aca="false">IFERROR(IF([1]对账明细接口!$Q1032=0,"",[1]对账明细接口!$Q1032),"")</f>
        <v/>
      </c>
      <c r="W1032" s="10" t="str">
        <f aca="false">IFERROR(IF([1]对账明细接口!$R1032=0,"",[1]对账明细接口!$R1032),"")</f>
        <v/>
      </c>
      <c r="X1032" s="10" t="str">
        <f aca="false">IFERROR(IF([1]对账明细接口!$S1032=0,"",[1]对账明细接口!$S1032),"")</f>
        <v/>
      </c>
      <c r="Y1032" s="10" t="str">
        <f aca="false">""</f>
        <v/>
      </c>
      <c r="Z1032" s="10" t="str">
        <f aca="false">""</f>
        <v/>
      </c>
      <c r="AA1032" s="10" t="str">
        <f aca="false">""</f>
        <v/>
      </c>
      <c r="AB1032" s="10" t="str">
        <f aca="false">""</f>
        <v/>
      </c>
    </row>
    <row r="1033" customFormat="false" ht="13.5" hidden="false" customHeight="false" outlineLevel="0" collapsed="false">
      <c r="A1033" s="109" t="n">
        <v>1033</v>
      </c>
      <c r="B1033" s="110" t="str">
        <f aca="false">IFERROR(IF([1]对账明细接口!$B$1033=0,"",[1]对账明细接口!$B$1033),"")</f>
        <v/>
      </c>
      <c r="C1033" s="59" t="str">
        <f aca="false">IFERROR(IF([1]对账明细接口!$C$1033=0,"",[1]对账明细接口!$C$1033),"")</f>
        <v/>
      </c>
      <c r="D1033" s="59" t="str">
        <f aca="false">IFERROR(IF([1]对账明细接口!$D$1033=0,"",[1]对账明细接口!$D$1033),"")</f>
        <v/>
      </c>
      <c r="E1033" s="59" t="str">
        <f aca="false">IFERROR(IF([1]对账明细接口!$E$1033=0,"",[1]对账明细接口!$E$1033),"")</f>
        <v/>
      </c>
      <c r="F1033" s="59" t="str">
        <f aca="false">IFERROR(IF([1]对账明细接口!$F$1033=0,"",[1]对账明细接口!$F$1033),"")</f>
        <v/>
      </c>
      <c r="G1033" s="59" t="str">
        <f aca="false">IFERROR(IF([1]对账明细接口!$G$1033=0,"",[1]对账明细接口!$G$1033),"")</f>
        <v/>
      </c>
      <c r="H1033" s="60" t="str">
        <f aca="false">IFERROR(IF([1]对账明细接口!$H$1033=0,"",[1]对账明细接口!$H$1033),"")</f>
        <v/>
      </c>
      <c r="I1033" s="59" t="str">
        <f aca="false">IFERROR(IF([1]对账明细接口!$I$1033=0,"",[1]对账明细接口!$I$1033),"")</f>
        <v/>
      </c>
      <c r="J1033" s="61" t="str">
        <f aca="false">IFERROR(IF([1]对账明细接口!$J$1033=0,"",[1]对账明细接口!$J$1033),"")</f>
        <v/>
      </c>
      <c r="K1033" s="61" t="str">
        <f aca="false">IFERROR(IF([1]对账明细接口!$K$1033=0,"",[1]对账明细接口!$K$1033),"")</f>
        <v/>
      </c>
      <c r="L1033" s="59" t="str">
        <f aca="false">IFERROR(IF([1]对账明细接口!$L$1033=0,"",[1]对账明细接口!$L$1033),"")</f>
        <v/>
      </c>
      <c r="M1033" s="59" t="str">
        <f aca="false">IFERROR(IF([1]对账明细接口!$M$1033=0,"",[1]对账明细接口!$M$1033),"")</f>
        <v/>
      </c>
      <c r="N1033" s="111" t="n">
        <f aca="false">IF($C1033="",0,1)</f>
        <v>0</v>
      </c>
      <c r="O1033" s="111" t="n">
        <f aca="false">N(O1032)+$N1033</f>
        <v>110</v>
      </c>
      <c r="S1033" s="10" t="str">
        <f aca="false">IFERROR(IF([1]对账明细接口!$N1033=0,"",[1]对账明细接口!$N1033),"")</f>
        <v/>
      </c>
      <c r="T1033" s="112" t="str">
        <f aca="false">IFERROR(IF([1]对账明细接口!$O1033=0,"",[1]对账明细接口!$O1033),"")</f>
        <v/>
      </c>
      <c r="U1033" s="112" t="str">
        <f aca="false">IFERROR(IF([1]对账明细接口!$P1033=0,"",[1]对账明细接口!$P1033),"")</f>
        <v/>
      </c>
      <c r="V1033" s="112" t="str">
        <f aca="false">IFERROR(IF([1]对账明细接口!$Q1033=0,"",[1]对账明细接口!$Q1033),"")</f>
        <v/>
      </c>
      <c r="W1033" s="10" t="str">
        <f aca="false">IFERROR(IF([1]对账明细接口!$R1033=0,"",[1]对账明细接口!$R1033),"")</f>
        <v/>
      </c>
      <c r="X1033" s="10" t="str">
        <f aca="false">IFERROR(IF([1]对账明细接口!$S1033=0,"",[1]对账明细接口!$S1033),"")</f>
        <v/>
      </c>
      <c r="Y1033" s="10" t="str">
        <f aca="false">""</f>
        <v/>
      </c>
      <c r="Z1033" s="10" t="str">
        <f aca="false">""</f>
        <v/>
      </c>
      <c r="AA1033" s="10" t="str">
        <f aca="false">""</f>
        <v/>
      </c>
      <c r="AB1033" s="10" t="str">
        <f aca="false">""</f>
        <v/>
      </c>
    </row>
    <row r="1034" customFormat="false" ht="13.5" hidden="false" customHeight="false" outlineLevel="0" collapsed="false">
      <c r="A1034" s="109" t="n">
        <v>1034</v>
      </c>
      <c r="B1034" s="110" t="str">
        <f aca="false">IFERROR(IF([1]对账明细接口!$B$1034=0,"",[1]对账明细接口!$B$1034),"")</f>
        <v/>
      </c>
      <c r="C1034" s="59" t="str">
        <f aca="false">IFERROR(IF([1]对账明细接口!$C$1034=0,"",[1]对账明细接口!$C$1034),"")</f>
        <v/>
      </c>
      <c r="D1034" s="59" t="str">
        <f aca="false">IFERROR(IF([1]对账明细接口!$D$1034=0,"",[1]对账明细接口!$D$1034),"")</f>
        <v/>
      </c>
      <c r="E1034" s="59" t="str">
        <f aca="false">IFERROR(IF([1]对账明细接口!$E$1034=0,"",[1]对账明细接口!$E$1034),"")</f>
        <v/>
      </c>
      <c r="F1034" s="59" t="str">
        <f aca="false">IFERROR(IF([1]对账明细接口!$F$1034=0,"",[1]对账明细接口!$F$1034),"")</f>
        <v/>
      </c>
      <c r="G1034" s="59" t="str">
        <f aca="false">IFERROR(IF([1]对账明细接口!$G$1034=0,"",[1]对账明细接口!$G$1034),"")</f>
        <v/>
      </c>
      <c r="H1034" s="60" t="str">
        <f aca="false">IFERROR(IF([1]对账明细接口!$H$1034=0,"",[1]对账明细接口!$H$1034),"")</f>
        <v/>
      </c>
      <c r="I1034" s="59" t="str">
        <f aca="false">IFERROR(IF([1]对账明细接口!$I$1034=0,"",[1]对账明细接口!$I$1034),"")</f>
        <v/>
      </c>
      <c r="J1034" s="61" t="str">
        <f aca="false">IFERROR(IF([1]对账明细接口!$J$1034=0,"",[1]对账明细接口!$J$1034),"")</f>
        <v/>
      </c>
      <c r="K1034" s="61" t="str">
        <f aca="false">IFERROR(IF([1]对账明细接口!$K$1034=0,"",[1]对账明细接口!$K$1034),"")</f>
        <v/>
      </c>
      <c r="L1034" s="59" t="str">
        <f aca="false">IFERROR(IF([1]对账明细接口!$L$1034=0,"",[1]对账明细接口!$L$1034),"")</f>
        <v/>
      </c>
      <c r="M1034" s="59" t="str">
        <f aca="false">IFERROR(IF([1]对账明细接口!$M$1034=0,"",[1]对账明细接口!$M$1034),"")</f>
        <v/>
      </c>
      <c r="N1034" s="111" t="n">
        <f aca="false">IF($C1034="",0,1)</f>
        <v>0</v>
      </c>
      <c r="O1034" s="111" t="n">
        <f aca="false">N(O1033)+$N1034</f>
        <v>110</v>
      </c>
      <c r="S1034" s="10" t="str">
        <f aca="false">IFERROR(IF([1]对账明细接口!$N1034=0,"",[1]对账明细接口!$N1034),"")</f>
        <v/>
      </c>
      <c r="T1034" s="112" t="str">
        <f aca="false">IFERROR(IF([1]对账明细接口!$O1034=0,"",[1]对账明细接口!$O1034),"")</f>
        <v/>
      </c>
      <c r="U1034" s="112" t="str">
        <f aca="false">IFERROR(IF([1]对账明细接口!$P1034=0,"",[1]对账明细接口!$P1034),"")</f>
        <v/>
      </c>
      <c r="V1034" s="112" t="str">
        <f aca="false">IFERROR(IF([1]对账明细接口!$Q1034=0,"",[1]对账明细接口!$Q1034),"")</f>
        <v/>
      </c>
      <c r="W1034" s="10" t="str">
        <f aca="false">IFERROR(IF([1]对账明细接口!$R1034=0,"",[1]对账明细接口!$R1034),"")</f>
        <v/>
      </c>
      <c r="X1034" s="10" t="str">
        <f aca="false">IFERROR(IF([1]对账明细接口!$S1034=0,"",[1]对账明细接口!$S1034),"")</f>
        <v/>
      </c>
      <c r="Y1034" s="10" t="str">
        <f aca="false">""</f>
        <v/>
      </c>
      <c r="Z1034" s="10" t="str">
        <f aca="false">""</f>
        <v/>
      </c>
      <c r="AA1034" s="10" t="str">
        <f aca="false">""</f>
        <v/>
      </c>
      <c r="AB1034" s="10" t="str">
        <f aca="false">""</f>
        <v/>
      </c>
    </row>
    <row r="1035" customFormat="false" ht="13.5" hidden="false" customHeight="false" outlineLevel="0" collapsed="false">
      <c r="A1035" s="109" t="n">
        <v>1035</v>
      </c>
      <c r="B1035" s="110" t="str">
        <f aca="false">IFERROR(IF([1]对账明细接口!$B$1035=0,"",[1]对账明细接口!$B$1035),"")</f>
        <v/>
      </c>
      <c r="C1035" s="59" t="str">
        <f aca="false">IFERROR(IF([1]对账明细接口!$C$1035=0,"",[1]对账明细接口!$C$1035),"")</f>
        <v/>
      </c>
      <c r="D1035" s="59" t="str">
        <f aca="false">IFERROR(IF([1]对账明细接口!$D$1035=0,"",[1]对账明细接口!$D$1035),"")</f>
        <v/>
      </c>
      <c r="E1035" s="59" t="str">
        <f aca="false">IFERROR(IF([1]对账明细接口!$E$1035=0,"",[1]对账明细接口!$E$1035),"")</f>
        <v/>
      </c>
      <c r="F1035" s="59" t="str">
        <f aca="false">IFERROR(IF([1]对账明细接口!$F$1035=0,"",[1]对账明细接口!$F$1035),"")</f>
        <v/>
      </c>
      <c r="G1035" s="59" t="str">
        <f aca="false">IFERROR(IF([1]对账明细接口!$G$1035=0,"",[1]对账明细接口!$G$1035),"")</f>
        <v/>
      </c>
      <c r="H1035" s="60" t="str">
        <f aca="false">IFERROR(IF([1]对账明细接口!$H$1035=0,"",[1]对账明细接口!$H$1035),"")</f>
        <v/>
      </c>
      <c r="I1035" s="59" t="str">
        <f aca="false">IFERROR(IF([1]对账明细接口!$I$1035=0,"",[1]对账明细接口!$I$1035),"")</f>
        <v/>
      </c>
      <c r="J1035" s="61" t="str">
        <f aca="false">IFERROR(IF([1]对账明细接口!$J$1035=0,"",[1]对账明细接口!$J$1035),"")</f>
        <v/>
      </c>
      <c r="K1035" s="61" t="str">
        <f aca="false">IFERROR(IF([1]对账明细接口!$K$1035=0,"",[1]对账明细接口!$K$1035),"")</f>
        <v/>
      </c>
      <c r="L1035" s="59" t="str">
        <f aca="false">IFERROR(IF([1]对账明细接口!$L$1035=0,"",[1]对账明细接口!$L$1035),"")</f>
        <v/>
      </c>
      <c r="M1035" s="59" t="str">
        <f aca="false">IFERROR(IF([1]对账明细接口!$M$1035=0,"",[1]对账明细接口!$M$1035),"")</f>
        <v/>
      </c>
      <c r="N1035" s="111" t="n">
        <f aca="false">IF($C1035="",0,1)</f>
        <v>0</v>
      </c>
      <c r="O1035" s="111" t="n">
        <f aca="false">N(O1034)+$N1035</f>
        <v>110</v>
      </c>
      <c r="S1035" s="10" t="str">
        <f aca="false">IFERROR(IF([1]对账明细接口!$N1035=0,"",[1]对账明细接口!$N1035),"")</f>
        <v/>
      </c>
      <c r="T1035" s="112" t="str">
        <f aca="false">IFERROR(IF([1]对账明细接口!$O1035=0,"",[1]对账明细接口!$O1035),"")</f>
        <v/>
      </c>
      <c r="U1035" s="112" t="str">
        <f aca="false">IFERROR(IF([1]对账明细接口!$P1035=0,"",[1]对账明细接口!$P1035),"")</f>
        <v/>
      </c>
      <c r="V1035" s="112" t="str">
        <f aca="false">IFERROR(IF([1]对账明细接口!$Q1035=0,"",[1]对账明细接口!$Q1035),"")</f>
        <v/>
      </c>
      <c r="W1035" s="10" t="str">
        <f aca="false">IFERROR(IF([1]对账明细接口!$R1035=0,"",[1]对账明细接口!$R1035),"")</f>
        <v/>
      </c>
      <c r="X1035" s="10" t="str">
        <f aca="false">IFERROR(IF([1]对账明细接口!$S1035=0,"",[1]对账明细接口!$S1035),"")</f>
        <v/>
      </c>
      <c r="Y1035" s="10" t="str">
        <f aca="false">""</f>
        <v/>
      </c>
      <c r="Z1035" s="10" t="str">
        <f aca="false">""</f>
        <v/>
      </c>
      <c r="AA1035" s="10" t="str">
        <f aca="false">""</f>
        <v/>
      </c>
      <c r="AB1035" s="10" t="str">
        <f aca="false">""</f>
        <v/>
      </c>
    </row>
    <row r="1036" customFormat="false" ht="13.5" hidden="false" customHeight="false" outlineLevel="0" collapsed="false">
      <c r="A1036" s="109" t="n">
        <v>1036</v>
      </c>
      <c r="B1036" s="110" t="str">
        <f aca="false">IFERROR(IF([1]对账明细接口!$B$1036=0,"",[1]对账明细接口!$B$1036),"")</f>
        <v/>
      </c>
      <c r="C1036" s="59" t="str">
        <f aca="false">IFERROR(IF([1]对账明细接口!$C$1036=0,"",[1]对账明细接口!$C$1036),"")</f>
        <v/>
      </c>
      <c r="D1036" s="59" t="str">
        <f aca="false">IFERROR(IF([1]对账明细接口!$D$1036=0,"",[1]对账明细接口!$D$1036),"")</f>
        <v/>
      </c>
      <c r="E1036" s="59" t="str">
        <f aca="false">IFERROR(IF([1]对账明细接口!$E$1036=0,"",[1]对账明细接口!$E$1036),"")</f>
        <v/>
      </c>
      <c r="F1036" s="59" t="str">
        <f aca="false">IFERROR(IF([1]对账明细接口!$F$1036=0,"",[1]对账明细接口!$F$1036),"")</f>
        <v/>
      </c>
      <c r="G1036" s="59" t="str">
        <f aca="false">IFERROR(IF([1]对账明细接口!$G$1036=0,"",[1]对账明细接口!$G$1036),"")</f>
        <v/>
      </c>
      <c r="H1036" s="60" t="str">
        <f aca="false">IFERROR(IF([1]对账明细接口!$H$1036=0,"",[1]对账明细接口!$H$1036),"")</f>
        <v/>
      </c>
      <c r="I1036" s="59" t="str">
        <f aca="false">IFERROR(IF([1]对账明细接口!$I$1036=0,"",[1]对账明细接口!$I$1036),"")</f>
        <v/>
      </c>
      <c r="J1036" s="61" t="str">
        <f aca="false">IFERROR(IF([1]对账明细接口!$J$1036=0,"",[1]对账明细接口!$J$1036),"")</f>
        <v/>
      </c>
      <c r="K1036" s="61" t="str">
        <f aca="false">IFERROR(IF([1]对账明细接口!$K$1036=0,"",[1]对账明细接口!$K$1036),"")</f>
        <v/>
      </c>
      <c r="L1036" s="59" t="str">
        <f aca="false">IFERROR(IF([1]对账明细接口!$L$1036=0,"",[1]对账明细接口!$L$1036),"")</f>
        <v/>
      </c>
      <c r="M1036" s="59" t="str">
        <f aca="false">IFERROR(IF([1]对账明细接口!$M$1036=0,"",[1]对账明细接口!$M$1036),"")</f>
        <v/>
      </c>
      <c r="N1036" s="111" t="n">
        <f aca="false">IF($C1036="",0,1)</f>
        <v>0</v>
      </c>
      <c r="O1036" s="111" t="n">
        <f aca="false">N(O1035)+$N1036</f>
        <v>110</v>
      </c>
      <c r="S1036" s="10" t="str">
        <f aca="false">IFERROR(IF([1]对账明细接口!$N1036=0,"",[1]对账明细接口!$N1036),"")</f>
        <v/>
      </c>
      <c r="T1036" s="112" t="str">
        <f aca="false">IFERROR(IF([1]对账明细接口!$O1036=0,"",[1]对账明细接口!$O1036),"")</f>
        <v/>
      </c>
      <c r="U1036" s="112" t="str">
        <f aca="false">IFERROR(IF([1]对账明细接口!$P1036=0,"",[1]对账明细接口!$P1036),"")</f>
        <v/>
      </c>
      <c r="V1036" s="112" t="str">
        <f aca="false">IFERROR(IF([1]对账明细接口!$Q1036=0,"",[1]对账明细接口!$Q1036),"")</f>
        <v/>
      </c>
      <c r="W1036" s="10" t="str">
        <f aca="false">IFERROR(IF([1]对账明细接口!$R1036=0,"",[1]对账明细接口!$R1036),"")</f>
        <v/>
      </c>
      <c r="X1036" s="10" t="str">
        <f aca="false">IFERROR(IF([1]对账明细接口!$S1036=0,"",[1]对账明细接口!$S1036),"")</f>
        <v/>
      </c>
      <c r="Y1036" s="10" t="str">
        <f aca="false">""</f>
        <v/>
      </c>
      <c r="Z1036" s="10" t="str">
        <f aca="false">""</f>
        <v/>
      </c>
      <c r="AA1036" s="10" t="str">
        <f aca="false">""</f>
        <v/>
      </c>
      <c r="AB1036" s="10" t="str">
        <f aca="false">""</f>
        <v/>
      </c>
    </row>
    <row r="1037" customFormat="false" ht="13.5" hidden="false" customHeight="false" outlineLevel="0" collapsed="false">
      <c r="A1037" s="109" t="n">
        <v>1037</v>
      </c>
      <c r="B1037" s="110" t="str">
        <f aca="false">IFERROR(IF([1]对账明细接口!$B$1037=0,"",[1]对账明细接口!$B$1037),"")</f>
        <v/>
      </c>
      <c r="C1037" s="59" t="str">
        <f aca="false">IFERROR(IF([1]对账明细接口!$C$1037=0,"",[1]对账明细接口!$C$1037),"")</f>
        <v/>
      </c>
      <c r="D1037" s="59" t="str">
        <f aca="false">IFERROR(IF([1]对账明细接口!$D$1037=0,"",[1]对账明细接口!$D$1037),"")</f>
        <v/>
      </c>
      <c r="E1037" s="59" t="str">
        <f aca="false">IFERROR(IF([1]对账明细接口!$E$1037=0,"",[1]对账明细接口!$E$1037),"")</f>
        <v/>
      </c>
      <c r="F1037" s="59" t="str">
        <f aca="false">IFERROR(IF([1]对账明细接口!$F$1037=0,"",[1]对账明细接口!$F$1037),"")</f>
        <v/>
      </c>
      <c r="G1037" s="59" t="str">
        <f aca="false">IFERROR(IF([1]对账明细接口!$G$1037=0,"",[1]对账明细接口!$G$1037),"")</f>
        <v/>
      </c>
      <c r="H1037" s="60" t="str">
        <f aca="false">IFERROR(IF([1]对账明细接口!$H$1037=0,"",[1]对账明细接口!$H$1037),"")</f>
        <v/>
      </c>
      <c r="I1037" s="59" t="str">
        <f aca="false">IFERROR(IF([1]对账明细接口!$I$1037=0,"",[1]对账明细接口!$I$1037),"")</f>
        <v/>
      </c>
      <c r="J1037" s="61" t="str">
        <f aca="false">IFERROR(IF([1]对账明细接口!$J$1037=0,"",[1]对账明细接口!$J$1037),"")</f>
        <v/>
      </c>
      <c r="K1037" s="61" t="str">
        <f aca="false">IFERROR(IF([1]对账明细接口!$K$1037=0,"",[1]对账明细接口!$K$1037),"")</f>
        <v/>
      </c>
      <c r="L1037" s="59" t="str">
        <f aca="false">IFERROR(IF([1]对账明细接口!$L$1037=0,"",[1]对账明细接口!$L$1037),"")</f>
        <v/>
      </c>
      <c r="M1037" s="59" t="str">
        <f aca="false">IFERROR(IF([1]对账明细接口!$M$1037=0,"",[1]对账明细接口!$M$1037),"")</f>
        <v/>
      </c>
      <c r="N1037" s="111" t="n">
        <f aca="false">IF($C1037="",0,1)</f>
        <v>0</v>
      </c>
      <c r="O1037" s="111" t="n">
        <f aca="false">N(O1036)+$N1037</f>
        <v>110</v>
      </c>
      <c r="S1037" s="10" t="str">
        <f aca="false">IFERROR(IF([1]对账明细接口!$N1037=0,"",[1]对账明细接口!$N1037),"")</f>
        <v/>
      </c>
      <c r="T1037" s="112" t="str">
        <f aca="false">IFERROR(IF([1]对账明细接口!$O1037=0,"",[1]对账明细接口!$O1037),"")</f>
        <v/>
      </c>
      <c r="U1037" s="112" t="str">
        <f aca="false">IFERROR(IF([1]对账明细接口!$P1037=0,"",[1]对账明细接口!$P1037),"")</f>
        <v/>
      </c>
      <c r="V1037" s="112" t="str">
        <f aca="false">IFERROR(IF([1]对账明细接口!$Q1037=0,"",[1]对账明细接口!$Q1037),"")</f>
        <v/>
      </c>
      <c r="W1037" s="10" t="str">
        <f aca="false">IFERROR(IF([1]对账明细接口!$R1037=0,"",[1]对账明细接口!$R1037),"")</f>
        <v/>
      </c>
      <c r="X1037" s="10" t="str">
        <f aca="false">IFERROR(IF([1]对账明细接口!$S1037=0,"",[1]对账明细接口!$S1037),"")</f>
        <v/>
      </c>
      <c r="Y1037" s="10" t="str">
        <f aca="false">""</f>
        <v/>
      </c>
      <c r="Z1037" s="10" t="str">
        <f aca="false">""</f>
        <v/>
      </c>
      <c r="AA1037" s="10" t="str">
        <f aca="false">""</f>
        <v/>
      </c>
      <c r="AB1037" s="10" t="str">
        <f aca="false">""</f>
        <v/>
      </c>
    </row>
    <row r="1038" customFormat="false" ht="13.5" hidden="false" customHeight="false" outlineLevel="0" collapsed="false">
      <c r="A1038" s="109" t="n">
        <v>1038</v>
      </c>
      <c r="B1038" s="110" t="str">
        <f aca="false">IFERROR(IF([1]对账明细接口!$B$1038=0,"",[1]对账明细接口!$B$1038),"")</f>
        <v/>
      </c>
      <c r="C1038" s="59" t="str">
        <f aca="false">IFERROR(IF([1]对账明细接口!$C$1038=0,"",[1]对账明细接口!$C$1038),"")</f>
        <v/>
      </c>
      <c r="D1038" s="59" t="str">
        <f aca="false">IFERROR(IF([1]对账明细接口!$D$1038=0,"",[1]对账明细接口!$D$1038),"")</f>
        <v/>
      </c>
      <c r="E1038" s="59" t="str">
        <f aca="false">IFERROR(IF([1]对账明细接口!$E$1038=0,"",[1]对账明细接口!$E$1038),"")</f>
        <v/>
      </c>
      <c r="F1038" s="59" t="str">
        <f aca="false">IFERROR(IF([1]对账明细接口!$F$1038=0,"",[1]对账明细接口!$F$1038),"")</f>
        <v/>
      </c>
      <c r="G1038" s="59" t="str">
        <f aca="false">IFERROR(IF([1]对账明细接口!$G$1038=0,"",[1]对账明细接口!$G$1038),"")</f>
        <v/>
      </c>
      <c r="H1038" s="60" t="str">
        <f aca="false">IFERROR(IF([1]对账明细接口!$H$1038=0,"",[1]对账明细接口!$H$1038),"")</f>
        <v/>
      </c>
      <c r="I1038" s="59" t="str">
        <f aca="false">IFERROR(IF([1]对账明细接口!$I$1038=0,"",[1]对账明细接口!$I$1038),"")</f>
        <v/>
      </c>
      <c r="J1038" s="61" t="str">
        <f aca="false">IFERROR(IF([1]对账明细接口!$J$1038=0,"",[1]对账明细接口!$J$1038),"")</f>
        <v/>
      </c>
      <c r="K1038" s="61" t="str">
        <f aca="false">IFERROR(IF([1]对账明细接口!$K$1038=0,"",[1]对账明细接口!$K$1038),"")</f>
        <v/>
      </c>
      <c r="L1038" s="59" t="str">
        <f aca="false">IFERROR(IF([1]对账明细接口!$L$1038=0,"",[1]对账明细接口!$L$1038),"")</f>
        <v/>
      </c>
      <c r="M1038" s="59" t="str">
        <f aca="false">IFERROR(IF([1]对账明细接口!$M$1038=0,"",[1]对账明细接口!$M$1038),"")</f>
        <v/>
      </c>
      <c r="N1038" s="111" t="n">
        <f aca="false">IF($C1038="",0,1)</f>
        <v>0</v>
      </c>
      <c r="O1038" s="111" t="n">
        <f aca="false">N(O1037)+$N1038</f>
        <v>110</v>
      </c>
      <c r="S1038" s="10" t="str">
        <f aca="false">IFERROR(IF([1]对账明细接口!$N1038=0,"",[1]对账明细接口!$N1038),"")</f>
        <v/>
      </c>
      <c r="T1038" s="112" t="str">
        <f aca="false">IFERROR(IF([1]对账明细接口!$O1038=0,"",[1]对账明细接口!$O1038),"")</f>
        <v/>
      </c>
      <c r="U1038" s="112" t="str">
        <f aca="false">IFERROR(IF([1]对账明细接口!$P1038=0,"",[1]对账明细接口!$P1038),"")</f>
        <v/>
      </c>
      <c r="V1038" s="112" t="str">
        <f aca="false">IFERROR(IF([1]对账明细接口!$Q1038=0,"",[1]对账明细接口!$Q1038),"")</f>
        <v/>
      </c>
      <c r="W1038" s="10" t="str">
        <f aca="false">IFERROR(IF([1]对账明细接口!$R1038=0,"",[1]对账明细接口!$R1038),"")</f>
        <v/>
      </c>
      <c r="X1038" s="10" t="str">
        <f aca="false">IFERROR(IF([1]对账明细接口!$S1038=0,"",[1]对账明细接口!$S1038),"")</f>
        <v/>
      </c>
      <c r="Y1038" s="10" t="str">
        <f aca="false">""</f>
        <v/>
      </c>
      <c r="Z1038" s="10" t="str">
        <f aca="false">""</f>
        <v/>
      </c>
      <c r="AA1038" s="10" t="str">
        <f aca="false">""</f>
        <v/>
      </c>
      <c r="AB1038" s="10" t="str">
        <f aca="false">""</f>
        <v/>
      </c>
    </row>
    <row r="1039" customFormat="false" ht="13.5" hidden="false" customHeight="false" outlineLevel="0" collapsed="false">
      <c r="A1039" s="109" t="n">
        <v>1039</v>
      </c>
      <c r="B1039" s="110" t="str">
        <f aca="false">IFERROR(IF([1]对账明细接口!$B$1039=0,"",[1]对账明细接口!$B$1039),"")</f>
        <v/>
      </c>
      <c r="C1039" s="59" t="str">
        <f aca="false">IFERROR(IF([1]对账明细接口!$C$1039=0,"",[1]对账明细接口!$C$1039),"")</f>
        <v/>
      </c>
      <c r="D1039" s="59" t="str">
        <f aca="false">IFERROR(IF([1]对账明细接口!$D$1039=0,"",[1]对账明细接口!$D$1039),"")</f>
        <v/>
      </c>
      <c r="E1039" s="59" t="str">
        <f aca="false">IFERROR(IF([1]对账明细接口!$E$1039=0,"",[1]对账明细接口!$E$1039),"")</f>
        <v/>
      </c>
      <c r="F1039" s="59" t="str">
        <f aca="false">IFERROR(IF([1]对账明细接口!$F$1039=0,"",[1]对账明细接口!$F$1039),"")</f>
        <v/>
      </c>
      <c r="G1039" s="59" t="str">
        <f aca="false">IFERROR(IF([1]对账明细接口!$G$1039=0,"",[1]对账明细接口!$G$1039),"")</f>
        <v/>
      </c>
      <c r="H1039" s="60" t="str">
        <f aca="false">IFERROR(IF([1]对账明细接口!$H$1039=0,"",[1]对账明细接口!$H$1039),"")</f>
        <v/>
      </c>
      <c r="I1039" s="59" t="str">
        <f aca="false">IFERROR(IF([1]对账明细接口!$I$1039=0,"",[1]对账明细接口!$I$1039),"")</f>
        <v/>
      </c>
      <c r="J1039" s="61" t="str">
        <f aca="false">IFERROR(IF([1]对账明细接口!$J$1039=0,"",[1]对账明细接口!$J$1039),"")</f>
        <v/>
      </c>
      <c r="K1039" s="61" t="str">
        <f aca="false">IFERROR(IF([1]对账明细接口!$K$1039=0,"",[1]对账明细接口!$K$1039),"")</f>
        <v/>
      </c>
      <c r="L1039" s="59" t="str">
        <f aca="false">IFERROR(IF([1]对账明细接口!$L$1039=0,"",[1]对账明细接口!$L$1039),"")</f>
        <v/>
      </c>
      <c r="M1039" s="59" t="str">
        <f aca="false">IFERROR(IF([1]对账明细接口!$M$1039=0,"",[1]对账明细接口!$M$1039),"")</f>
        <v/>
      </c>
      <c r="N1039" s="111" t="n">
        <f aca="false">IF($C1039="",0,1)</f>
        <v>0</v>
      </c>
      <c r="O1039" s="111" t="n">
        <f aca="false">N(O1038)+$N1039</f>
        <v>110</v>
      </c>
      <c r="S1039" s="10" t="str">
        <f aca="false">IFERROR(IF([1]对账明细接口!$N1039=0,"",[1]对账明细接口!$N1039),"")</f>
        <v/>
      </c>
      <c r="T1039" s="112" t="str">
        <f aca="false">IFERROR(IF([1]对账明细接口!$O1039=0,"",[1]对账明细接口!$O1039),"")</f>
        <v/>
      </c>
      <c r="U1039" s="112" t="str">
        <f aca="false">IFERROR(IF([1]对账明细接口!$P1039=0,"",[1]对账明细接口!$P1039),"")</f>
        <v/>
      </c>
      <c r="V1039" s="112" t="str">
        <f aca="false">IFERROR(IF([1]对账明细接口!$Q1039=0,"",[1]对账明细接口!$Q1039),"")</f>
        <v/>
      </c>
      <c r="W1039" s="10" t="str">
        <f aca="false">IFERROR(IF([1]对账明细接口!$R1039=0,"",[1]对账明细接口!$R1039),"")</f>
        <v/>
      </c>
      <c r="X1039" s="10" t="str">
        <f aca="false">IFERROR(IF([1]对账明细接口!$S1039=0,"",[1]对账明细接口!$S1039),"")</f>
        <v/>
      </c>
      <c r="Y1039" s="10" t="str">
        <f aca="false">""</f>
        <v/>
      </c>
      <c r="Z1039" s="10" t="str">
        <f aca="false">""</f>
        <v/>
      </c>
      <c r="AA1039" s="10" t="str">
        <f aca="false">""</f>
        <v/>
      </c>
      <c r="AB1039" s="10" t="str">
        <f aca="false">""</f>
        <v/>
      </c>
    </row>
    <row r="1040" customFormat="false" ht="13.5" hidden="false" customHeight="false" outlineLevel="0" collapsed="false">
      <c r="A1040" s="109" t="n">
        <v>1040</v>
      </c>
      <c r="B1040" s="110" t="str">
        <f aca="false">IFERROR(IF([1]对账明细接口!$B$1040=0,"",[1]对账明细接口!$B$1040),"")</f>
        <v/>
      </c>
      <c r="C1040" s="59" t="str">
        <f aca="false">IFERROR(IF([1]对账明细接口!$C$1040=0,"",[1]对账明细接口!$C$1040),"")</f>
        <v/>
      </c>
      <c r="D1040" s="59" t="str">
        <f aca="false">IFERROR(IF([1]对账明细接口!$D$1040=0,"",[1]对账明细接口!$D$1040),"")</f>
        <v/>
      </c>
      <c r="E1040" s="59" t="str">
        <f aca="false">IFERROR(IF([1]对账明细接口!$E$1040=0,"",[1]对账明细接口!$E$1040),"")</f>
        <v/>
      </c>
      <c r="F1040" s="59" t="str">
        <f aca="false">IFERROR(IF([1]对账明细接口!$F$1040=0,"",[1]对账明细接口!$F$1040),"")</f>
        <v/>
      </c>
      <c r="G1040" s="59" t="str">
        <f aca="false">IFERROR(IF([1]对账明细接口!$G$1040=0,"",[1]对账明细接口!$G$1040),"")</f>
        <v/>
      </c>
      <c r="H1040" s="60" t="str">
        <f aca="false">IFERROR(IF([1]对账明细接口!$H$1040=0,"",[1]对账明细接口!$H$1040),"")</f>
        <v/>
      </c>
      <c r="I1040" s="59" t="str">
        <f aca="false">IFERROR(IF([1]对账明细接口!$I$1040=0,"",[1]对账明细接口!$I$1040),"")</f>
        <v/>
      </c>
      <c r="J1040" s="61" t="str">
        <f aca="false">IFERROR(IF([1]对账明细接口!$J$1040=0,"",[1]对账明细接口!$J$1040),"")</f>
        <v/>
      </c>
      <c r="K1040" s="61" t="str">
        <f aca="false">IFERROR(IF([1]对账明细接口!$K$1040=0,"",[1]对账明细接口!$K$1040),"")</f>
        <v/>
      </c>
      <c r="L1040" s="59" t="str">
        <f aca="false">IFERROR(IF([1]对账明细接口!$L$1040=0,"",[1]对账明细接口!$L$1040),"")</f>
        <v/>
      </c>
      <c r="M1040" s="59" t="str">
        <f aca="false">IFERROR(IF([1]对账明细接口!$M$1040=0,"",[1]对账明细接口!$M$1040),"")</f>
        <v/>
      </c>
      <c r="N1040" s="111" t="n">
        <f aca="false">IF($C1040="",0,1)</f>
        <v>0</v>
      </c>
      <c r="O1040" s="111" t="n">
        <f aca="false">N(O1039)+$N1040</f>
        <v>110</v>
      </c>
      <c r="S1040" s="10" t="str">
        <f aca="false">IFERROR(IF([1]对账明细接口!$N1040=0,"",[1]对账明细接口!$N1040),"")</f>
        <v/>
      </c>
      <c r="T1040" s="112" t="str">
        <f aca="false">IFERROR(IF([1]对账明细接口!$O1040=0,"",[1]对账明细接口!$O1040),"")</f>
        <v/>
      </c>
      <c r="U1040" s="112" t="str">
        <f aca="false">IFERROR(IF([1]对账明细接口!$P1040=0,"",[1]对账明细接口!$P1040),"")</f>
        <v/>
      </c>
      <c r="V1040" s="112" t="str">
        <f aca="false">IFERROR(IF([1]对账明细接口!$Q1040=0,"",[1]对账明细接口!$Q1040),"")</f>
        <v/>
      </c>
      <c r="W1040" s="10" t="str">
        <f aca="false">IFERROR(IF([1]对账明细接口!$R1040=0,"",[1]对账明细接口!$R1040),"")</f>
        <v/>
      </c>
      <c r="X1040" s="10" t="str">
        <f aca="false">IFERROR(IF([1]对账明细接口!$S1040=0,"",[1]对账明细接口!$S1040),"")</f>
        <v/>
      </c>
      <c r="Y1040" s="10" t="str">
        <f aca="false">""</f>
        <v/>
      </c>
      <c r="Z1040" s="10" t="str">
        <f aca="false">""</f>
        <v/>
      </c>
      <c r="AA1040" s="10" t="str">
        <f aca="false">""</f>
        <v/>
      </c>
      <c r="AB1040" s="10" t="str">
        <f aca="false">""</f>
        <v/>
      </c>
    </row>
    <row r="1041" customFormat="false" ht="13.5" hidden="false" customHeight="false" outlineLevel="0" collapsed="false">
      <c r="A1041" s="109" t="n">
        <v>1041</v>
      </c>
      <c r="B1041" s="110" t="str">
        <f aca="false">IFERROR(IF([1]对账明细接口!$B$1041=0,"",[1]对账明细接口!$B$1041),"")</f>
        <v/>
      </c>
      <c r="C1041" s="59" t="str">
        <f aca="false">IFERROR(IF([1]对账明细接口!$C$1041=0,"",[1]对账明细接口!$C$1041),"")</f>
        <v/>
      </c>
      <c r="D1041" s="59" t="str">
        <f aca="false">IFERROR(IF([1]对账明细接口!$D$1041=0,"",[1]对账明细接口!$D$1041),"")</f>
        <v/>
      </c>
      <c r="E1041" s="59" t="str">
        <f aca="false">IFERROR(IF([1]对账明细接口!$E$1041=0,"",[1]对账明细接口!$E$1041),"")</f>
        <v/>
      </c>
      <c r="F1041" s="59" t="str">
        <f aca="false">IFERROR(IF([1]对账明细接口!$F$1041=0,"",[1]对账明细接口!$F$1041),"")</f>
        <v/>
      </c>
      <c r="G1041" s="59" t="str">
        <f aca="false">IFERROR(IF([1]对账明细接口!$G$1041=0,"",[1]对账明细接口!$G$1041),"")</f>
        <v/>
      </c>
      <c r="H1041" s="60" t="str">
        <f aca="false">IFERROR(IF([1]对账明细接口!$H$1041=0,"",[1]对账明细接口!$H$1041),"")</f>
        <v/>
      </c>
      <c r="I1041" s="59" t="str">
        <f aca="false">IFERROR(IF([1]对账明细接口!$I$1041=0,"",[1]对账明细接口!$I$1041),"")</f>
        <v/>
      </c>
      <c r="J1041" s="61" t="str">
        <f aca="false">IFERROR(IF([1]对账明细接口!$J$1041=0,"",[1]对账明细接口!$J$1041),"")</f>
        <v/>
      </c>
      <c r="K1041" s="61" t="str">
        <f aca="false">IFERROR(IF([1]对账明细接口!$K$1041=0,"",[1]对账明细接口!$K$1041),"")</f>
        <v/>
      </c>
      <c r="L1041" s="59" t="str">
        <f aca="false">IFERROR(IF([1]对账明细接口!$L$1041=0,"",[1]对账明细接口!$L$1041),"")</f>
        <v/>
      </c>
      <c r="M1041" s="59" t="str">
        <f aca="false">IFERROR(IF([1]对账明细接口!$M$1041=0,"",[1]对账明细接口!$M$1041),"")</f>
        <v/>
      </c>
      <c r="N1041" s="111" t="n">
        <f aca="false">IF($C1041="",0,1)</f>
        <v>0</v>
      </c>
      <c r="O1041" s="111" t="n">
        <f aca="false">N(O1040)+$N1041</f>
        <v>110</v>
      </c>
      <c r="S1041" s="10" t="str">
        <f aca="false">IFERROR(IF([1]对账明细接口!$N1041=0,"",[1]对账明细接口!$N1041),"")</f>
        <v/>
      </c>
      <c r="T1041" s="112" t="str">
        <f aca="false">IFERROR(IF([1]对账明细接口!$O1041=0,"",[1]对账明细接口!$O1041),"")</f>
        <v/>
      </c>
      <c r="U1041" s="112" t="str">
        <f aca="false">IFERROR(IF([1]对账明细接口!$P1041=0,"",[1]对账明细接口!$P1041),"")</f>
        <v/>
      </c>
      <c r="V1041" s="112" t="str">
        <f aca="false">IFERROR(IF([1]对账明细接口!$Q1041=0,"",[1]对账明细接口!$Q1041),"")</f>
        <v/>
      </c>
      <c r="W1041" s="10" t="str">
        <f aca="false">IFERROR(IF([1]对账明细接口!$R1041=0,"",[1]对账明细接口!$R1041),"")</f>
        <v/>
      </c>
      <c r="X1041" s="10" t="str">
        <f aca="false">IFERROR(IF([1]对账明细接口!$S1041=0,"",[1]对账明细接口!$S1041),"")</f>
        <v/>
      </c>
      <c r="Y1041" s="10" t="str">
        <f aca="false">""</f>
        <v/>
      </c>
      <c r="Z1041" s="10" t="str">
        <f aca="false">""</f>
        <v/>
      </c>
      <c r="AA1041" s="10" t="str">
        <f aca="false">""</f>
        <v/>
      </c>
      <c r="AB1041" s="10" t="str">
        <f aca="false">""</f>
        <v/>
      </c>
    </row>
    <row r="1042" customFormat="false" ht="13.5" hidden="false" customHeight="false" outlineLevel="0" collapsed="false">
      <c r="A1042" s="109" t="n">
        <v>1042</v>
      </c>
      <c r="B1042" s="110" t="str">
        <f aca="false">IFERROR(IF([1]对账明细接口!$B$1042=0,"",[1]对账明细接口!$B$1042),"")</f>
        <v/>
      </c>
      <c r="C1042" s="59" t="str">
        <f aca="false">IFERROR(IF([1]对账明细接口!$C$1042=0,"",[1]对账明细接口!$C$1042),"")</f>
        <v/>
      </c>
      <c r="D1042" s="59" t="str">
        <f aca="false">IFERROR(IF([1]对账明细接口!$D$1042=0,"",[1]对账明细接口!$D$1042),"")</f>
        <v/>
      </c>
      <c r="E1042" s="59" t="str">
        <f aca="false">IFERROR(IF([1]对账明细接口!$E$1042=0,"",[1]对账明细接口!$E$1042),"")</f>
        <v/>
      </c>
      <c r="F1042" s="59" t="str">
        <f aca="false">IFERROR(IF([1]对账明细接口!$F$1042=0,"",[1]对账明细接口!$F$1042),"")</f>
        <v/>
      </c>
      <c r="G1042" s="59" t="str">
        <f aca="false">IFERROR(IF([1]对账明细接口!$G$1042=0,"",[1]对账明细接口!$G$1042),"")</f>
        <v/>
      </c>
      <c r="H1042" s="60" t="str">
        <f aca="false">IFERROR(IF([1]对账明细接口!$H$1042=0,"",[1]对账明细接口!$H$1042),"")</f>
        <v/>
      </c>
      <c r="I1042" s="59" t="str">
        <f aca="false">IFERROR(IF([1]对账明细接口!$I$1042=0,"",[1]对账明细接口!$I$1042),"")</f>
        <v/>
      </c>
      <c r="J1042" s="61" t="str">
        <f aca="false">IFERROR(IF([1]对账明细接口!$J$1042=0,"",[1]对账明细接口!$J$1042),"")</f>
        <v/>
      </c>
      <c r="K1042" s="61" t="str">
        <f aca="false">IFERROR(IF([1]对账明细接口!$K$1042=0,"",[1]对账明细接口!$K$1042),"")</f>
        <v/>
      </c>
      <c r="L1042" s="59" t="str">
        <f aca="false">IFERROR(IF([1]对账明细接口!$L$1042=0,"",[1]对账明细接口!$L$1042),"")</f>
        <v/>
      </c>
      <c r="M1042" s="59" t="str">
        <f aca="false">IFERROR(IF([1]对账明细接口!$M$1042=0,"",[1]对账明细接口!$M$1042),"")</f>
        <v/>
      </c>
      <c r="N1042" s="111" t="n">
        <f aca="false">IF($C1042="",0,1)</f>
        <v>0</v>
      </c>
      <c r="O1042" s="111" t="n">
        <f aca="false">N(O1041)+$N1042</f>
        <v>110</v>
      </c>
      <c r="S1042" s="10" t="str">
        <f aca="false">IFERROR(IF([1]对账明细接口!$N1042=0,"",[1]对账明细接口!$N1042),"")</f>
        <v/>
      </c>
      <c r="T1042" s="112" t="str">
        <f aca="false">IFERROR(IF([1]对账明细接口!$O1042=0,"",[1]对账明细接口!$O1042),"")</f>
        <v/>
      </c>
      <c r="U1042" s="112" t="str">
        <f aca="false">IFERROR(IF([1]对账明细接口!$P1042=0,"",[1]对账明细接口!$P1042),"")</f>
        <v/>
      </c>
      <c r="V1042" s="112" t="str">
        <f aca="false">IFERROR(IF([1]对账明细接口!$Q1042=0,"",[1]对账明细接口!$Q1042),"")</f>
        <v/>
      </c>
      <c r="W1042" s="10" t="str">
        <f aca="false">IFERROR(IF([1]对账明细接口!$R1042=0,"",[1]对账明细接口!$R1042),"")</f>
        <v/>
      </c>
      <c r="X1042" s="10" t="str">
        <f aca="false">IFERROR(IF([1]对账明细接口!$S1042=0,"",[1]对账明细接口!$S1042),"")</f>
        <v/>
      </c>
      <c r="Y1042" s="10" t="str">
        <f aca="false">""</f>
        <v/>
      </c>
      <c r="Z1042" s="10" t="str">
        <f aca="false">""</f>
        <v/>
      </c>
      <c r="AA1042" s="10" t="str">
        <f aca="false">""</f>
        <v/>
      </c>
      <c r="AB1042" s="10" t="str">
        <f aca="false">""</f>
        <v/>
      </c>
    </row>
    <row r="1043" customFormat="false" ht="13.5" hidden="false" customHeight="false" outlineLevel="0" collapsed="false">
      <c r="A1043" s="109" t="n">
        <v>1043</v>
      </c>
      <c r="B1043" s="110" t="str">
        <f aca="false">IFERROR(IF([1]对账明细接口!$B$1043=0,"",[1]对账明细接口!$B$1043),"")</f>
        <v/>
      </c>
      <c r="C1043" s="59" t="str">
        <f aca="false">IFERROR(IF([1]对账明细接口!$C$1043=0,"",[1]对账明细接口!$C$1043),"")</f>
        <v/>
      </c>
      <c r="D1043" s="59" t="str">
        <f aca="false">IFERROR(IF([1]对账明细接口!$D$1043=0,"",[1]对账明细接口!$D$1043),"")</f>
        <v/>
      </c>
      <c r="E1043" s="59" t="str">
        <f aca="false">IFERROR(IF([1]对账明细接口!$E$1043=0,"",[1]对账明细接口!$E$1043),"")</f>
        <v/>
      </c>
      <c r="F1043" s="59" t="str">
        <f aca="false">IFERROR(IF([1]对账明细接口!$F$1043=0,"",[1]对账明细接口!$F$1043),"")</f>
        <v/>
      </c>
      <c r="G1043" s="59" t="str">
        <f aca="false">IFERROR(IF([1]对账明细接口!$G$1043=0,"",[1]对账明细接口!$G$1043),"")</f>
        <v/>
      </c>
      <c r="H1043" s="60" t="str">
        <f aca="false">IFERROR(IF([1]对账明细接口!$H$1043=0,"",[1]对账明细接口!$H$1043),"")</f>
        <v/>
      </c>
      <c r="I1043" s="59" t="str">
        <f aca="false">IFERROR(IF([1]对账明细接口!$I$1043=0,"",[1]对账明细接口!$I$1043),"")</f>
        <v/>
      </c>
      <c r="J1043" s="61" t="str">
        <f aca="false">IFERROR(IF([1]对账明细接口!$J$1043=0,"",[1]对账明细接口!$J$1043),"")</f>
        <v/>
      </c>
      <c r="K1043" s="61" t="str">
        <f aca="false">IFERROR(IF([1]对账明细接口!$K$1043=0,"",[1]对账明细接口!$K$1043),"")</f>
        <v/>
      </c>
      <c r="L1043" s="59" t="str">
        <f aca="false">IFERROR(IF([1]对账明细接口!$L$1043=0,"",[1]对账明细接口!$L$1043),"")</f>
        <v/>
      </c>
      <c r="M1043" s="59" t="str">
        <f aca="false">IFERROR(IF([1]对账明细接口!$M$1043=0,"",[1]对账明细接口!$M$1043),"")</f>
        <v/>
      </c>
      <c r="N1043" s="111" t="n">
        <f aca="false">IF($C1043="",0,1)</f>
        <v>0</v>
      </c>
      <c r="O1043" s="111" t="n">
        <f aca="false">N(O1042)+$N1043</f>
        <v>110</v>
      </c>
      <c r="S1043" s="10" t="str">
        <f aca="false">IFERROR(IF([1]对账明细接口!$N1043=0,"",[1]对账明细接口!$N1043),"")</f>
        <v/>
      </c>
      <c r="T1043" s="112" t="str">
        <f aca="false">IFERROR(IF([1]对账明细接口!$O1043=0,"",[1]对账明细接口!$O1043),"")</f>
        <v/>
      </c>
      <c r="U1043" s="112" t="str">
        <f aca="false">IFERROR(IF([1]对账明细接口!$P1043=0,"",[1]对账明细接口!$P1043),"")</f>
        <v/>
      </c>
      <c r="V1043" s="112" t="str">
        <f aca="false">IFERROR(IF([1]对账明细接口!$Q1043=0,"",[1]对账明细接口!$Q1043),"")</f>
        <v/>
      </c>
      <c r="W1043" s="10" t="str">
        <f aca="false">IFERROR(IF([1]对账明细接口!$R1043=0,"",[1]对账明细接口!$R1043),"")</f>
        <v/>
      </c>
      <c r="X1043" s="10" t="str">
        <f aca="false">IFERROR(IF([1]对账明细接口!$S1043=0,"",[1]对账明细接口!$S1043),"")</f>
        <v/>
      </c>
      <c r="Y1043" s="10" t="str">
        <f aca="false">""</f>
        <v/>
      </c>
      <c r="Z1043" s="10" t="str">
        <f aca="false">""</f>
        <v/>
      </c>
      <c r="AA1043" s="10" t="str">
        <f aca="false">""</f>
        <v/>
      </c>
      <c r="AB1043" s="10" t="str">
        <f aca="false">""</f>
        <v/>
      </c>
    </row>
    <row r="1044" customFormat="false" ht="13.5" hidden="false" customHeight="false" outlineLevel="0" collapsed="false">
      <c r="A1044" s="109" t="n">
        <v>1044</v>
      </c>
      <c r="B1044" s="110" t="str">
        <f aca="false">IFERROR(IF([1]对账明细接口!$B$1044=0,"",[1]对账明细接口!$B$1044),"")</f>
        <v/>
      </c>
      <c r="C1044" s="59" t="str">
        <f aca="false">IFERROR(IF([1]对账明细接口!$C$1044=0,"",[1]对账明细接口!$C$1044),"")</f>
        <v/>
      </c>
      <c r="D1044" s="59" t="str">
        <f aca="false">IFERROR(IF([1]对账明细接口!$D$1044=0,"",[1]对账明细接口!$D$1044),"")</f>
        <v/>
      </c>
      <c r="E1044" s="59" t="str">
        <f aca="false">IFERROR(IF([1]对账明细接口!$E$1044=0,"",[1]对账明细接口!$E$1044),"")</f>
        <v/>
      </c>
      <c r="F1044" s="59" t="str">
        <f aca="false">IFERROR(IF([1]对账明细接口!$F$1044=0,"",[1]对账明细接口!$F$1044),"")</f>
        <v/>
      </c>
      <c r="G1044" s="59" t="str">
        <f aca="false">IFERROR(IF([1]对账明细接口!$G$1044=0,"",[1]对账明细接口!$G$1044),"")</f>
        <v/>
      </c>
      <c r="H1044" s="60" t="str">
        <f aca="false">IFERROR(IF([1]对账明细接口!$H$1044=0,"",[1]对账明细接口!$H$1044),"")</f>
        <v/>
      </c>
      <c r="I1044" s="59" t="str">
        <f aca="false">IFERROR(IF([1]对账明细接口!$I$1044=0,"",[1]对账明细接口!$I$1044),"")</f>
        <v/>
      </c>
      <c r="J1044" s="61" t="str">
        <f aca="false">IFERROR(IF([1]对账明细接口!$J$1044=0,"",[1]对账明细接口!$J$1044),"")</f>
        <v/>
      </c>
      <c r="K1044" s="61" t="str">
        <f aca="false">IFERROR(IF([1]对账明细接口!$K$1044=0,"",[1]对账明细接口!$K$1044),"")</f>
        <v/>
      </c>
      <c r="L1044" s="59" t="str">
        <f aca="false">IFERROR(IF([1]对账明细接口!$L$1044=0,"",[1]对账明细接口!$L$1044),"")</f>
        <v/>
      </c>
      <c r="M1044" s="59" t="str">
        <f aca="false">IFERROR(IF([1]对账明细接口!$M$1044=0,"",[1]对账明细接口!$M$1044),"")</f>
        <v/>
      </c>
      <c r="N1044" s="111" t="n">
        <f aca="false">IF($C1044="",0,1)</f>
        <v>0</v>
      </c>
      <c r="O1044" s="111" t="n">
        <f aca="false">N(O1043)+$N1044</f>
        <v>110</v>
      </c>
      <c r="S1044" s="10" t="str">
        <f aca="false">IFERROR(IF([1]对账明细接口!$N1044=0,"",[1]对账明细接口!$N1044),"")</f>
        <v/>
      </c>
      <c r="T1044" s="112" t="str">
        <f aca="false">IFERROR(IF([1]对账明细接口!$O1044=0,"",[1]对账明细接口!$O1044),"")</f>
        <v/>
      </c>
      <c r="U1044" s="112" t="str">
        <f aca="false">IFERROR(IF([1]对账明细接口!$P1044=0,"",[1]对账明细接口!$P1044),"")</f>
        <v/>
      </c>
      <c r="V1044" s="112" t="str">
        <f aca="false">IFERROR(IF([1]对账明细接口!$Q1044=0,"",[1]对账明细接口!$Q1044),"")</f>
        <v/>
      </c>
      <c r="W1044" s="10" t="str">
        <f aca="false">IFERROR(IF([1]对账明细接口!$R1044=0,"",[1]对账明细接口!$R1044),"")</f>
        <v/>
      </c>
      <c r="X1044" s="10" t="str">
        <f aca="false">IFERROR(IF([1]对账明细接口!$S1044=0,"",[1]对账明细接口!$S1044),"")</f>
        <v/>
      </c>
      <c r="Y1044" s="10" t="str">
        <f aca="false">""</f>
        <v/>
      </c>
      <c r="Z1044" s="10" t="str">
        <f aca="false">""</f>
        <v/>
      </c>
      <c r="AA1044" s="10" t="str">
        <f aca="false">""</f>
        <v/>
      </c>
      <c r="AB1044" s="10" t="str">
        <f aca="false">""</f>
        <v/>
      </c>
    </row>
    <row r="1045" customFormat="false" ht="13.5" hidden="false" customHeight="false" outlineLevel="0" collapsed="false">
      <c r="A1045" s="109" t="n">
        <v>1045</v>
      </c>
      <c r="B1045" s="110" t="str">
        <f aca="false">IFERROR(IF([1]对账明细接口!$B$1045=0,"",[1]对账明细接口!$B$1045),"")</f>
        <v/>
      </c>
      <c r="C1045" s="59" t="str">
        <f aca="false">IFERROR(IF([1]对账明细接口!$C$1045=0,"",[1]对账明细接口!$C$1045),"")</f>
        <v/>
      </c>
      <c r="D1045" s="59" t="str">
        <f aca="false">IFERROR(IF([1]对账明细接口!$D$1045=0,"",[1]对账明细接口!$D$1045),"")</f>
        <v/>
      </c>
      <c r="E1045" s="59" t="str">
        <f aca="false">IFERROR(IF([1]对账明细接口!$E$1045=0,"",[1]对账明细接口!$E$1045),"")</f>
        <v/>
      </c>
      <c r="F1045" s="59" t="str">
        <f aca="false">IFERROR(IF([1]对账明细接口!$F$1045=0,"",[1]对账明细接口!$F$1045),"")</f>
        <v/>
      </c>
      <c r="G1045" s="59" t="str">
        <f aca="false">IFERROR(IF([1]对账明细接口!$G$1045=0,"",[1]对账明细接口!$G$1045),"")</f>
        <v/>
      </c>
      <c r="H1045" s="60" t="str">
        <f aca="false">IFERROR(IF([1]对账明细接口!$H$1045=0,"",[1]对账明细接口!$H$1045),"")</f>
        <v/>
      </c>
      <c r="I1045" s="59" t="str">
        <f aca="false">IFERROR(IF([1]对账明细接口!$I$1045=0,"",[1]对账明细接口!$I$1045),"")</f>
        <v/>
      </c>
      <c r="J1045" s="61" t="str">
        <f aca="false">IFERROR(IF([1]对账明细接口!$J$1045=0,"",[1]对账明细接口!$J$1045),"")</f>
        <v/>
      </c>
      <c r="K1045" s="61" t="str">
        <f aca="false">IFERROR(IF([1]对账明细接口!$K$1045=0,"",[1]对账明细接口!$K$1045),"")</f>
        <v/>
      </c>
      <c r="L1045" s="59" t="str">
        <f aca="false">IFERROR(IF([1]对账明细接口!$L$1045=0,"",[1]对账明细接口!$L$1045),"")</f>
        <v/>
      </c>
      <c r="M1045" s="59" t="str">
        <f aca="false">IFERROR(IF([1]对账明细接口!$M$1045=0,"",[1]对账明细接口!$M$1045),"")</f>
        <v/>
      </c>
      <c r="N1045" s="111" t="n">
        <f aca="false">IF($C1045="",0,1)</f>
        <v>0</v>
      </c>
      <c r="O1045" s="111" t="n">
        <f aca="false">N(O1044)+$N1045</f>
        <v>110</v>
      </c>
      <c r="S1045" s="10" t="str">
        <f aca="false">IFERROR(IF([1]对账明细接口!$N1045=0,"",[1]对账明细接口!$N1045),"")</f>
        <v/>
      </c>
      <c r="T1045" s="112" t="str">
        <f aca="false">IFERROR(IF([1]对账明细接口!$O1045=0,"",[1]对账明细接口!$O1045),"")</f>
        <v/>
      </c>
      <c r="U1045" s="112" t="str">
        <f aca="false">IFERROR(IF([1]对账明细接口!$P1045=0,"",[1]对账明细接口!$P1045),"")</f>
        <v/>
      </c>
      <c r="V1045" s="112" t="str">
        <f aca="false">IFERROR(IF([1]对账明细接口!$Q1045=0,"",[1]对账明细接口!$Q1045),"")</f>
        <v/>
      </c>
      <c r="W1045" s="10" t="str">
        <f aca="false">IFERROR(IF([1]对账明细接口!$R1045=0,"",[1]对账明细接口!$R1045),"")</f>
        <v/>
      </c>
      <c r="X1045" s="10" t="str">
        <f aca="false">IFERROR(IF([1]对账明细接口!$S1045=0,"",[1]对账明细接口!$S1045),"")</f>
        <v/>
      </c>
      <c r="Y1045" s="10" t="str">
        <f aca="false">""</f>
        <v/>
      </c>
      <c r="Z1045" s="10" t="str">
        <f aca="false">""</f>
        <v/>
      </c>
      <c r="AA1045" s="10" t="str">
        <f aca="false">""</f>
        <v/>
      </c>
      <c r="AB1045" s="10" t="str">
        <f aca="false">""</f>
        <v/>
      </c>
    </row>
    <row r="1046" customFormat="false" ht="13.5" hidden="false" customHeight="false" outlineLevel="0" collapsed="false">
      <c r="A1046" s="109" t="n">
        <v>1046</v>
      </c>
      <c r="B1046" s="110" t="str">
        <f aca="false">IFERROR(IF([1]对账明细接口!$B$1046=0,"",[1]对账明细接口!$B$1046),"")</f>
        <v/>
      </c>
      <c r="C1046" s="59" t="str">
        <f aca="false">IFERROR(IF([1]对账明细接口!$C$1046=0,"",[1]对账明细接口!$C$1046),"")</f>
        <v/>
      </c>
      <c r="D1046" s="59" t="str">
        <f aca="false">IFERROR(IF([1]对账明细接口!$D$1046=0,"",[1]对账明细接口!$D$1046),"")</f>
        <v/>
      </c>
      <c r="E1046" s="59" t="str">
        <f aca="false">IFERROR(IF([1]对账明细接口!$E$1046=0,"",[1]对账明细接口!$E$1046),"")</f>
        <v/>
      </c>
      <c r="F1046" s="59" t="str">
        <f aca="false">IFERROR(IF([1]对账明细接口!$F$1046=0,"",[1]对账明细接口!$F$1046),"")</f>
        <v/>
      </c>
      <c r="G1046" s="59" t="str">
        <f aca="false">IFERROR(IF([1]对账明细接口!$G$1046=0,"",[1]对账明细接口!$G$1046),"")</f>
        <v/>
      </c>
      <c r="H1046" s="60" t="str">
        <f aca="false">IFERROR(IF([1]对账明细接口!$H$1046=0,"",[1]对账明细接口!$H$1046),"")</f>
        <v/>
      </c>
      <c r="I1046" s="59" t="str">
        <f aca="false">IFERROR(IF([1]对账明细接口!$I$1046=0,"",[1]对账明细接口!$I$1046),"")</f>
        <v/>
      </c>
      <c r="J1046" s="61" t="str">
        <f aca="false">IFERROR(IF([1]对账明细接口!$J$1046=0,"",[1]对账明细接口!$J$1046),"")</f>
        <v/>
      </c>
      <c r="K1046" s="61" t="str">
        <f aca="false">IFERROR(IF([1]对账明细接口!$K$1046=0,"",[1]对账明细接口!$K$1046),"")</f>
        <v/>
      </c>
      <c r="L1046" s="59" t="str">
        <f aca="false">IFERROR(IF([1]对账明细接口!$L$1046=0,"",[1]对账明细接口!$L$1046),"")</f>
        <v/>
      </c>
      <c r="M1046" s="59" t="str">
        <f aca="false">IFERROR(IF([1]对账明细接口!$M$1046=0,"",[1]对账明细接口!$M$1046),"")</f>
        <v/>
      </c>
      <c r="N1046" s="111" t="n">
        <f aca="false">IF($C1046="",0,1)</f>
        <v>0</v>
      </c>
      <c r="O1046" s="111" t="n">
        <f aca="false">N(O1045)+$N1046</f>
        <v>110</v>
      </c>
      <c r="S1046" s="10" t="str">
        <f aca="false">IFERROR(IF([1]对账明细接口!$N1046=0,"",[1]对账明细接口!$N1046),"")</f>
        <v/>
      </c>
      <c r="T1046" s="112" t="str">
        <f aca="false">IFERROR(IF([1]对账明细接口!$O1046=0,"",[1]对账明细接口!$O1046),"")</f>
        <v/>
      </c>
      <c r="U1046" s="112" t="str">
        <f aca="false">IFERROR(IF([1]对账明细接口!$P1046=0,"",[1]对账明细接口!$P1046),"")</f>
        <v/>
      </c>
      <c r="V1046" s="112" t="str">
        <f aca="false">IFERROR(IF([1]对账明细接口!$Q1046=0,"",[1]对账明细接口!$Q1046),"")</f>
        <v/>
      </c>
      <c r="W1046" s="10" t="str">
        <f aca="false">IFERROR(IF([1]对账明细接口!$R1046=0,"",[1]对账明细接口!$R1046),"")</f>
        <v/>
      </c>
      <c r="X1046" s="10" t="str">
        <f aca="false">IFERROR(IF([1]对账明细接口!$S1046=0,"",[1]对账明细接口!$S1046),"")</f>
        <v/>
      </c>
      <c r="Y1046" s="10" t="str">
        <f aca="false">""</f>
        <v/>
      </c>
      <c r="Z1046" s="10" t="str">
        <f aca="false">""</f>
        <v/>
      </c>
      <c r="AA1046" s="10" t="str">
        <f aca="false">""</f>
        <v/>
      </c>
      <c r="AB1046" s="10" t="str">
        <f aca="false">""</f>
        <v/>
      </c>
    </row>
    <row r="1047" customFormat="false" ht="13.5" hidden="false" customHeight="false" outlineLevel="0" collapsed="false">
      <c r="A1047" s="109" t="n">
        <v>1047</v>
      </c>
      <c r="B1047" s="110" t="str">
        <f aca="false">IFERROR(IF([1]对账明细接口!$B$1047=0,"",[1]对账明细接口!$B$1047),"")</f>
        <v/>
      </c>
      <c r="C1047" s="59" t="str">
        <f aca="false">IFERROR(IF([1]对账明细接口!$C$1047=0,"",[1]对账明细接口!$C$1047),"")</f>
        <v/>
      </c>
      <c r="D1047" s="59" t="str">
        <f aca="false">IFERROR(IF([1]对账明细接口!$D$1047=0,"",[1]对账明细接口!$D$1047),"")</f>
        <v/>
      </c>
      <c r="E1047" s="59" t="str">
        <f aca="false">IFERROR(IF([1]对账明细接口!$E$1047=0,"",[1]对账明细接口!$E$1047),"")</f>
        <v/>
      </c>
      <c r="F1047" s="59" t="str">
        <f aca="false">IFERROR(IF([1]对账明细接口!$F$1047=0,"",[1]对账明细接口!$F$1047),"")</f>
        <v/>
      </c>
      <c r="G1047" s="59" t="str">
        <f aca="false">IFERROR(IF([1]对账明细接口!$G$1047=0,"",[1]对账明细接口!$G$1047),"")</f>
        <v/>
      </c>
      <c r="H1047" s="60" t="str">
        <f aca="false">IFERROR(IF([1]对账明细接口!$H$1047=0,"",[1]对账明细接口!$H$1047),"")</f>
        <v/>
      </c>
      <c r="I1047" s="59" t="str">
        <f aca="false">IFERROR(IF([1]对账明细接口!$I$1047=0,"",[1]对账明细接口!$I$1047),"")</f>
        <v/>
      </c>
      <c r="J1047" s="61" t="str">
        <f aca="false">IFERROR(IF([1]对账明细接口!$J$1047=0,"",[1]对账明细接口!$J$1047),"")</f>
        <v/>
      </c>
      <c r="K1047" s="61" t="str">
        <f aca="false">IFERROR(IF([1]对账明细接口!$K$1047=0,"",[1]对账明细接口!$K$1047),"")</f>
        <v/>
      </c>
      <c r="L1047" s="59" t="str">
        <f aca="false">IFERROR(IF([1]对账明细接口!$L$1047=0,"",[1]对账明细接口!$L$1047),"")</f>
        <v/>
      </c>
      <c r="M1047" s="59" t="str">
        <f aca="false">IFERROR(IF([1]对账明细接口!$M$1047=0,"",[1]对账明细接口!$M$1047),"")</f>
        <v/>
      </c>
      <c r="N1047" s="111" t="n">
        <f aca="false">IF($C1047="",0,1)</f>
        <v>0</v>
      </c>
      <c r="O1047" s="111" t="n">
        <f aca="false">N(O1046)+$N1047</f>
        <v>110</v>
      </c>
      <c r="S1047" s="10" t="str">
        <f aca="false">IFERROR(IF([1]对账明细接口!$N1047=0,"",[1]对账明细接口!$N1047),"")</f>
        <v/>
      </c>
      <c r="T1047" s="112" t="str">
        <f aca="false">IFERROR(IF([1]对账明细接口!$O1047=0,"",[1]对账明细接口!$O1047),"")</f>
        <v/>
      </c>
      <c r="U1047" s="112" t="str">
        <f aca="false">IFERROR(IF([1]对账明细接口!$P1047=0,"",[1]对账明细接口!$P1047),"")</f>
        <v/>
      </c>
      <c r="V1047" s="112" t="str">
        <f aca="false">IFERROR(IF([1]对账明细接口!$Q1047=0,"",[1]对账明细接口!$Q1047),"")</f>
        <v/>
      </c>
      <c r="W1047" s="10" t="str">
        <f aca="false">IFERROR(IF([1]对账明细接口!$R1047=0,"",[1]对账明细接口!$R1047),"")</f>
        <v/>
      </c>
      <c r="X1047" s="10" t="str">
        <f aca="false">IFERROR(IF([1]对账明细接口!$S1047=0,"",[1]对账明细接口!$S1047),"")</f>
        <v/>
      </c>
      <c r="Y1047" s="10" t="str">
        <f aca="false">""</f>
        <v/>
      </c>
      <c r="Z1047" s="10" t="str">
        <f aca="false">""</f>
        <v/>
      </c>
      <c r="AA1047" s="10" t="str">
        <f aca="false">""</f>
        <v/>
      </c>
      <c r="AB1047" s="10" t="str">
        <f aca="false">""</f>
        <v/>
      </c>
    </row>
    <row r="1048" customFormat="false" ht="13.5" hidden="false" customHeight="false" outlineLevel="0" collapsed="false">
      <c r="A1048" s="109" t="n">
        <v>1048</v>
      </c>
      <c r="B1048" s="110" t="str">
        <f aca="false">IFERROR(IF([1]对账明细接口!$B$1048=0,"",[1]对账明细接口!$B$1048),"")</f>
        <v/>
      </c>
      <c r="C1048" s="59" t="str">
        <f aca="false">IFERROR(IF([1]对账明细接口!$C$1048=0,"",[1]对账明细接口!$C$1048),"")</f>
        <v/>
      </c>
      <c r="D1048" s="59" t="str">
        <f aca="false">IFERROR(IF([1]对账明细接口!$D$1048=0,"",[1]对账明细接口!$D$1048),"")</f>
        <v/>
      </c>
      <c r="E1048" s="59" t="str">
        <f aca="false">IFERROR(IF([1]对账明细接口!$E$1048=0,"",[1]对账明细接口!$E$1048),"")</f>
        <v/>
      </c>
      <c r="F1048" s="59" t="str">
        <f aca="false">IFERROR(IF([1]对账明细接口!$F$1048=0,"",[1]对账明细接口!$F$1048),"")</f>
        <v/>
      </c>
      <c r="G1048" s="59" t="str">
        <f aca="false">IFERROR(IF([1]对账明细接口!$G$1048=0,"",[1]对账明细接口!$G$1048),"")</f>
        <v/>
      </c>
      <c r="H1048" s="60" t="str">
        <f aca="false">IFERROR(IF([1]对账明细接口!$H$1048=0,"",[1]对账明细接口!$H$1048),"")</f>
        <v/>
      </c>
      <c r="I1048" s="59" t="str">
        <f aca="false">IFERROR(IF([1]对账明细接口!$I$1048=0,"",[1]对账明细接口!$I$1048),"")</f>
        <v/>
      </c>
      <c r="J1048" s="61" t="str">
        <f aca="false">IFERROR(IF([1]对账明细接口!$J$1048=0,"",[1]对账明细接口!$J$1048),"")</f>
        <v/>
      </c>
      <c r="K1048" s="61" t="str">
        <f aca="false">IFERROR(IF([1]对账明细接口!$K$1048=0,"",[1]对账明细接口!$K$1048),"")</f>
        <v/>
      </c>
      <c r="L1048" s="59" t="str">
        <f aca="false">IFERROR(IF([1]对账明细接口!$L$1048=0,"",[1]对账明细接口!$L$1048),"")</f>
        <v/>
      </c>
      <c r="M1048" s="59" t="str">
        <f aca="false">IFERROR(IF([1]对账明细接口!$M$1048=0,"",[1]对账明细接口!$M$1048),"")</f>
        <v/>
      </c>
      <c r="N1048" s="111" t="n">
        <f aca="false">IF($C1048="",0,1)</f>
        <v>0</v>
      </c>
      <c r="O1048" s="111" t="n">
        <f aca="false">N(O1047)+$N1048</f>
        <v>110</v>
      </c>
      <c r="S1048" s="10" t="str">
        <f aca="false">IFERROR(IF([1]对账明细接口!$N1048=0,"",[1]对账明细接口!$N1048),"")</f>
        <v/>
      </c>
      <c r="T1048" s="112" t="str">
        <f aca="false">IFERROR(IF([1]对账明细接口!$O1048=0,"",[1]对账明细接口!$O1048),"")</f>
        <v/>
      </c>
      <c r="U1048" s="112" t="str">
        <f aca="false">IFERROR(IF([1]对账明细接口!$P1048=0,"",[1]对账明细接口!$P1048),"")</f>
        <v/>
      </c>
      <c r="V1048" s="112" t="str">
        <f aca="false">IFERROR(IF([1]对账明细接口!$Q1048=0,"",[1]对账明细接口!$Q1048),"")</f>
        <v/>
      </c>
      <c r="W1048" s="10" t="str">
        <f aca="false">IFERROR(IF([1]对账明细接口!$R1048=0,"",[1]对账明细接口!$R1048),"")</f>
        <v/>
      </c>
      <c r="X1048" s="10" t="str">
        <f aca="false">IFERROR(IF([1]对账明细接口!$S1048=0,"",[1]对账明细接口!$S1048),"")</f>
        <v/>
      </c>
      <c r="Y1048" s="10" t="str">
        <f aca="false">""</f>
        <v/>
      </c>
      <c r="Z1048" s="10" t="str">
        <f aca="false">""</f>
        <v/>
      </c>
      <c r="AA1048" s="10" t="str">
        <f aca="false">""</f>
        <v/>
      </c>
      <c r="AB1048" s="10" t="str">
        <f aca="false">""</f>
        <v/>
      </c>
    </row>
    <row r="1049" customFormat="false" ht="13.5" hidden="false" customHeight="false" outlineLevel="0" collapsed="false">
      <c r="A1049" s="109" t="n">
        <v>1049</v>
      </c>
      <c r="B1049" s="110" t="str">
        <f aca="false">IFERROR(IF([1]对账明细接口!$B$1049=0,"",[1]对账明细接口!$B$1049),"")</f>
        <v/>
      </c>
      <c r="C1049" s="59" t="str">
        <f aca="false">IFERROR(IF([1]对账明细接口!$C$1049=0,"",[1]对账明细接口!$C$1049),"")</f>
        <v/>
      </c>
      <c r="D1049" s="59" t="str">
        <f aca="false">IFERROR(IF([1]对账明细接口!$D$1049=0,"",[1]对账明细接口!$D$1049),"")</f>
        <v/>
      </c>
      <c r="E1049" s="59" t="str">
        <f aca="false">IFERROR(IF([1]对账明细接口!$E$1049=0,"",[1]对账明细接口!$E$1049),"")</f>
        <v/>
      </c>
      <c r="F1049" s="59" t="str">
        <f aca="false">IFERROR(IF([1]对账明细接口!$F$1049=0,"",[1]对账明细接口!$F$1049),"")</f>
        <v/>
      </c>
      <c r="G1049" s="59" t="str">
        <f aca="false">IFERROR(IF([1]对账明细接口!$G$1049=0,"",[1]对账明细接口!$G$1049),"")</f>
        <v/>
      </c>
      <c r="H1049" s="60" t="str">
        <f aca="false">IFERROR(IF([1]对账明细接口!$H$1049=0,"",[1]对账明细接口!$H$1049),"")</f>
        <v/>
      </c>
      <c r="I1049" s="59" t="str">
        <f aca="false">IFERROR(IF([1]对账明细接口!$I$1049=0,"",[1]对账明细接口!$I$1049),"")</f>
        <v/>
      </c>
      <c r="J1049" s="61" t="str">
        <f aca="false">IFERROR(IF([1]对账明细接口!$J$1049=0,"",[1]对账明细接口!$J$1049),"")</f>
        <v/>
      </c>
      <c r="K1049" s="61" t="str">
        <f aca="false">IFERROR(IF([1]对账明细接口!$K$1049=0,"",[1]对账明细接口!$K$1049),"")</f>
        <v/>
      </c>
      <c r="L1049" s="59" t="str">
        <f aca="false">IFERROR(IF([1]对账明细接口!$L$1049=0,"",[1]对账明细接口!$L$1049),"")</f>
        <v/>
      </c>
      <c r="M1049" s="59" t="str">
        <f aca="false">IFERROR(IF([1]对账明细接口!$M$1049=0,"",[1]对账明细接口!$M$1049),"")</f>
        <v/>
      </c>
      <c r="N1049" s="111" t="n">
        <f aca="false">IF($C1049="",0,1)</f>
        <v>0</v>
      </c>
      <c r="O1049" s="111" t="n">
        <f aca="false">N(O1048)+$N1049</f>
        <v>110</v>
      </c>
      <c r="S1049" s="10" t="str">
        <f aca="false">IFERROR(IF([1]对账明细接口!$N1049=0,"",[1]对账明细接口!$N1049),"")</f>
        <v/>
      </c>
      <c r="T1049" s="112" t="str">
        <f aca="false">IFERROR(IF([1]对账明细接口!$O1049=0,"",[1]对账明细接口!$O1049),"")</f>
        <v/>
      </c>
      <c r="U1049" s="112" t="str">
        <f aca="false">IFERROR(IF([1]对账明细接口!$P1049=0,"",[1]对账明细接口!$P1049),"")</f>
        <v/>
      </c>
      <c r="V1049" s="112" t="str">
        <f aca="false">IFERROR(IF([1]对账明细接口!$Q1049=0,"",[1]对账明细接口!$Q1049),"")</f>
        <v/>
      </c>
      <c r="W1049" s="10" t="str">
        <f aca="false">IFERROR(IF([1]对账明细接口!$R1049=0,"",[1]对账明细接口!$R1049),"")</f>
        <v/>
      </c>
      <c r="X1049" s="10" t="str">
        <f aca="false">IFERROR(IF([1]对账明细接口!$S1049=0,"",[1]对账明细接口!$S1049),"")</f>
        <v/>
      </c>
      <c r="Y1049" s="10" t="str">
        <f aca="false">""</f>
        <v/>
      </c>
      <c r="Z1049" s="10" t="str">
        <f aca="false">""</f>
        <v/>
      </c>
      <c r="AA1049" s="10" t="str">
        <f aca="false">""</f>
        <v/>
      </c>
      <c r="AB1049" s="10" t="str">
        <f aca="false">""</f>
        <v/>
      </c>
    </row>
    <row r="1050" customFormat="false" ht="13.5" hidden="false" customHeight="false" outlineLevel="0" collapsed="false">
      <c r="A1050" s="109" t="n">
        <v>1050</v>
      </c>
      <c r="B1050" s="110" t="str">
        <f aca="false">IFERROR(IF([1]对账明细接口!$B$1050=0,"",[1]对账明细接口!$B$1050),"")</f>
        <v/>
      </c>
      <c r="C1050" s="59" t="str">
        <f aca="false">IFERROR(IF([1]对账明细接口!$C$1050=0,"",[1]对账明细接口!$C$1050),"")</f>
        <v/>
      </c>
      <c r="D1050" s="59" t="str">
        <f aca="false">IFERROR(IF([1]对账明细接口!$D$1050=0,"",[1]对账明细接口!$D$1050),"")</f>
        <v/>
      </c>
      <c r="E1050" s="59" t="str">
        <f aca="false">IFERROR(IF([1]对账明细接口!$E$1050=0,"",[1]对账明细接口!$E$1050),"")</f>
        <v/>
      </c>
      <c r="F1050" s="59" t="str">
        <f aca="false">IFERROR(IF([1]对账明细接口!$F$1050=0,"",[1]对账明细接口!$F$1050),"")</f>
        <v/>
      </c>
      <c r="G1050" s="59" t="str">
        <f aca="false">IFERROR(IF([1]对账明细接口!$G$1050=0,"",[1]对账明细接口!$G$1050),"")</f>
        <v/>
      </c>
      <c r="H1050" s="60" t="str">
        <f aca="false">IFERROR(IF([1]对账明细接口!$H$1050=0,"",[1]对账明细接口!$H$1050),"")</f>
        <v/>
      </c>
      <c r="I1050" s="59" t="str">
        <f aca="false">IFERROR(IF([1]对账明细接口!$I$1050=0,"",[1]对账明细接口!$I$1050),"")</f>
        <v/>
      </c>
      <c r="J1050" s="61" t="str">
        <f aca="false">IFERROR(IF([1]对账明细接口!$J$1050=0,"",[1]对账明细接口!$J$1050),"")</f>
        <v/>
      </c>
      <c r="K1050" s="61" t="str">
        <f aca="false">IFERROR(IF([1]对账明细接口!$K$1050=0,"",[1]对账明细接口!$K$1050),"")</f>
        <v/>
      </c>
      <c r="L1050" s="59" t="str">
        <f aca="false">IFERROR(IF([1]对账明细接口!$L$1050=0,"",[1]对账明细接口!$L$1050),"")</f>
        <v/>
      </c>
      <c r="M1050" s="59" t="str">
        <f aca="false">IFERROR(IF([1]对账明细接口!$M$1050=0,"",[1]对账明细接口!$M$1050),"")</f>
        <v/>
      </c>
      <c r="N1050" s="111" t="n">
        <f aca="false">IF($C1050="",0,1)</f>
        <v>0</v>
      </c>
      <c r="O1050" s="111" t="n">
        <f aca="false">N(O1049)+$N1050</f>
        <v>110</v>
      </c>
      <c r="S1050" s="10" t="str">
        <f aca="false">IFERROR(IF([1]对账明细接口!$N1050=0,"",[1]对账明细接口!$N1050),"")</f>
        <v/>
      </c>
      <c r="T1050" s="112" t="str">
        <f aca="false">IFERROR(IF([1]对账明细接口!$O1050=0,"",[1]对账明细接口!$O1050),"")</f>
        <v/>
      </c>
      <c r="U1050" s="112" t="str">
        <f aca="false">IFERROR(IF([1]对账明细接口!$P1050=0,"",[1]对账明细接口!$P1050),"")</f>
        <v/>
      </c>
      <c r="V1050" s="112" t="str">
        <f aca="false">IFERROR(IF([1]对账明细接口!$Q1050=0,"",[1]对账明细接口!$Q1050),"")</f>
        <v/>
      </c>
      <c r="W1050" s="10" t="str">
        <f aca="false">IFERROR(IF([1]对账明细接口!$R1050=0,"",[1]对账明细接口!$R1050),"")</f>
        <v/>
      </c>
      <c r="X1050" s="10" t="str">
        <f aca="false">IFERROR(IF([1]对账明细接口!$S1050=0,"",[1]对账明细接口!$S1050),"")</f>
        <v/>
      </c>
      <c r="Y1050" s="10" t="str">
        <f aca="false">""</f>
        <v/>
      </c>
      <c r="Z1050" s="10" t="str">
        <f aca="false">""</f>
        <v/>
      </c>
      <c r="AA1050" s="10" t="str">
        <f aca="false">""</f>
        <v/>
      </c>
      <c r="AB1050" s="10" t="str">
        <f aca="false">""</f>
        <v/>
      </c>
    </row>
    <row r="1051" customFormat="false" ht="13.5" hidden="false" customHeight="false" outlineLevel="0" collapsed="false">
      <c r="A1051" s="109" t="n">
        <v>1051</v>
      </c>
      <c r="B1051" s="110" t="str">
        <f aca="false">IFERROR(IF([1]对账明细接口!$B$1051=0,"",[1]对账明细接口!$B$1051),"")</f>
        <v/>
      </c>
      <c r="C1051" s="59" t="str">
        <f aca="false">IFERROR(IF([1]对账明细接口!$C$1051=0,"",[1]对账明细接口!$C$1051),"")</f>
        <v/>
      </c>
      <c r="D1051" s="59" t="str">
        <f aca="false">IFERROR(IF([1]对账明细接口!$D$1051=0,"",[1]对账明细接口!$D$1051),"")</f>
        <v/>
      </c>
      <c r="E1051" s="59" t="str">
        <f aca="false">IFERROR(IF([1]对账明细接口!$E$1051=0,"",[1]对账明细接口!$E$1051),"")</f>
        <v/>
      </c>
      <c r="F1051" s="59" t="str">
        <f aca="false">IFERROR(IF([1]对账明细接口!$F$1051=0,"",[1]对账明细接口!$F$1051),"")</f>
        <v/>
      </c>
      <c r="G1051" s="59" t="str">
        <f aca="false">IFERROR(IF([1]对账明细接口!$G$1051=0,"",[1]对账明细接口!$G$1051),"")</f>
        <v/>
      </c>
      <c r="H1051" s="60" t="str">
        <f aca="false">IFERROR(IF([1]对账明细接口!$H$1051=0,"",[1]对账明细接口!$H$1051),"")</f>
        <v/>
      </c>
      <c r="I1051" s="59" t="str">
        <f aca="false">IFERROR(IF([1]对账明细接口!$I$1051=0,"",[1]对账明细接口!$I$1051),"")</f>
        <v/>
      </c>
      <c r="J1051" s="61" t="str">
        <f aca="false">IFERROR(IF([1]对账明细接口!$J$1051=0,"",[1]对账明细接口!$J$1051),"")</f>
        <v/>
      </c>
      <c r="K1051" s="61" t="str">
        <f aca="false">IFERROR(IF([1]对账明细接口!$K$1051=0,"",[1]对账明细接口!$K$1051),"")</f>
        <v/>
      </c>
      <c r="L1051" s="59" t="str">
        <f aca="false">IFERROR(IF([1]对账明细接口!$L$1051=0,"",[1]对账明细接口!$L$1051),"")</f>
        <v/>
      </c>
      <c r="M1051" s="59" t="str">
        <f aca="false">IFERROR(IF([1]对账明细接口!$M$1051=0,"",[1]对账明细接口!$M$1051),"")</f>
        <v/>
      </c>
      <c r="N1051" s="111" t="n">
        <f aca="false">IF($C1051="",0,1)</f>
        <v>0</v>
      </c>
      <c r="O1051" s="111" t="n">
        <f aca="false">N(O1050)+$N1051</f>
        <v>110</v>
      </c>
      <c r="S1051" s="10" t="str">
        <f aca="false">IFERROR(IF([1]对账明细接口!$N1051=0,"",[1]对账明细接口!$N1051),"")</f>
        <v/>
      </c>
      <c r="T1051" s="112" t="str">
        <f aca="false">IFERROR(IF([1]对账明细接口!$O1051=0,"",[1]对账明细接口!$O1051),"")</f>
        <v/>
      </c>
      <c r="U1051" s="112" t="str">
        <f aca="false">IFERROR(IF([1]对账明细接口!$P1051=0,"",[1]对账明细接口!$P1051),"")</f>
        <v/>
      </c>
      <c r="V1051" s="112" t="str">
        <f aca="false">IFERROR(IF([1]对账明细接口!$Q1051=0,"",[1]对账明细接口!$Q1051),"")</f>
        <v/>
      </c>
      <c r="W1051" s="10" t="str">
        <f aca="false">IFERROR(IF([1]对账明细接口!$R1051=0,"",[1]对账明细接口!$R1051),"")</f>
        <v/>
      </c>
      <c r="X1051" s="10" t="str">
        <f aca="false">IFERROR(IF([1]对账明细接口!$S1051=0,"",[1]对账明细接口!$S1051),"")</f>
        <v/>
      </c>
      <c r="Y1051" s="10" t="str">
        <f aca="false">""</f>
        <v/>
      </c>
      <c r="Z1051" s="10" t="str">
        <f aca="false">""</f>
        <v/>
      </c>
      <c r="AA1051" s="10" t="str">
        <f aca="false">""</f>
        <v/>
      </c>
      <c r="AB1051" s="10" t="str">
        <f aca="false">""</f>
        <v/>
      </c>
    </row>
    <row r="1052" customFormat="false" ht="13.5" hidden="false" customHeight="false" outlineLevel="0" collapsed="false">
      <c r="A1052" s="109" t="n">
        <v>1052</v>
      </c>
      <c r="B1052" s="110" t="str">
        <f aca="false">IFERROR(IF([1]对账明细接口!$B$1052=0,"",[1]对账明细接口!$B$1052),"")</f>
        <v/>
      </c>
      <c r="C1052" s="59" t="str">
        <f aca="false">IFERROR(IF([1]对账明细接口!$C$1052=0,"",[1]对账明细接口!$C$1052),"")</f>
        <v/>
      </c>
      <c r="D1052" s="59" t="str">
        <f aca="false">IFERROR(IF([1]对账明细接口!$D$1052=0,"",[1]对账明细接口!$D$1052),"")</f>
        <v/>
      </c>
      <c r="E1052" s="59" t="str">
        <f aca="false">IFERROR(IF([1]对账明细接口!$E$1052=0,"",[1]对账明细接口!$E$1052),"")</f>
        <v/>
      </c>
      <c r="F1052" s="59" t="str">
        <f aca="false">IFERROR(IF([1]对账明细接口!$F$1052=0,"",[1]对账明细接口!$F$1052),"")</f>
        <v/>
      </c>
      <c r="G1052" s="59" t="str">
        <f aca="false">IFERROR(IF([1]对账明细接口!$G$1052=0,"",[1]对账明细接口!$G$1052),"")</f>
        <v/>
      </c>
      <c r="H1052" s="60" t="str">
        <f aca="false">IFERROR(IF([1]对账明细接口!$H$1052=0,"",[1]对账明细接口!$H$1052),"")</f>
        <v/>
      </c>
      <c r="I1052" s="59" t="str">
        <f aca="false">IFERROR(IF([1]对账明细接口!$I$1052=0,"",[1]对账明细接口!$I$1052),"")</f>
        <v/>
      </c>
      <c r="J1052" s="61" t="str">
        <f aca="false">IFERROR(IF([1]对账明细接口!$J$1052=0,"",[1]对账明细接口!$J$1052),"")</f>
        <v/>
      </c>
      <c r="K1052" s="61" t="str">
        <f aca="false">IFERROR(IF([1]对账明细接口!$K$1052=0,"",[1]对账明细接口!$K$1052),"")</f>
        <v/>
      </c>
      <c r="L1052" s="59" t="str">
        <f aca="false">IFERROR(IF([1]对账明细接口!$L$1052=0,"",[1]对账明细接口!$L$1052),"")</f>
        <v/>
      </c>
      <c r="M1052" s="59" t="str">
        <f aca="false">IFERROR(IF([1]对账明细接口!$M$1052=0,"",[1]对账明细接口!$M$1052),"")</f>
        <v/>
      </c>
      <c r="N1052" s="111" t="n">
        <f aca="false">IF($C1052="",0,1)</f>
        <v>0</v>
      </c>
      <c r="O1052" s="111" t="n">
        <f aca="false">N(O1051)+$N1052</f>
        <v>110</v>
      </c>
      <c r="S1052" s="10" t="str">
        <f aca="false">IFERROR(IF([1]对账明细接口!$N1052=0,"",[1]对账明细接口!$N1052),"")</f>
        <v/>
      </c>
      <c r="T1052" s="112" t="str">
        <f aca="false">IFERROR(IF([1]对账明细接口!$O1052=0,"",[1]对账明细接口!$O1052),"")</f>
        <v/>
      </c>
      <c r="U1052" s="112" t="str">
        <f aca="false">IFERROR(IF([1]对账明细接口!$P1052=0,"",[1]对账明细接口!$P1052),"")</f>
        <v/>
      </c>
      <c r="V1052" s="112" t="str">
        <f aca="false">IFERROR(IF([1]对账明细接口!$Q1052=0,"",[1]对账明细接口!$Q1052),"")</f>
        <v/>
      </c>
      <c r="W1052" s="10" t="str">
        <f aca="false">IFERROR(IF([1]对账明细接口!$R1052=0,"",[1]对账明细接口!$R1052),"")</f>
        <v/>
      </c>
      <c r="X1052" s="10" t="str">
        <f aca="false">IFERROR(IF([1]对账明细接口!$S1052=0,"",[1]对账明细接口!$S1052),"")</f>
        <v/>
      </c>
      <c r="Y1052" s="10" t="str">
        <f aca="false">""</f>
        <v/>
      </c>
      <c r="Z1052" s="10" t="str">
        <f aca="false">""</f>
        <v/>
      </c>
      <c r="AA1052" s="10" t="str">
        <f aca="false">""</f>
        <v/>
      </c>
      <c r="AB1052" s="10" t="str">
        <f aca="false">""</f>
        <v/>
      </c>
    </row>
    <row r="1053" customFormat="false" ht="13.5" hidden="false" customHeight="false" outlineLevel="0" collapsed="false">
      <c r="A1053" s="109" t="n">
        <v>1053</v>
      </c>
      <c r="B1053" s="110" t="str">
        <f aca="false">IFERROR(IF([1]对账明细接口!$B$1053=0,"",[1]对账明细接口!$B$1053),"")</f>
        <v/>
      </c>
      <c r="C1053" s="59" t="str">
        <f aca="false">IFERROR(IF([1]对账明细接口!$C$1053=0,"",[1]对账明细接口!$C$1053),"")</f>
        <v/>
      </c>
      <c r="D1053" s="59" t="str">
        <f aca="false">IFERROR(IF([1]对账明细接口!$D$1053=0,"",[1]对账明细接口!$D$1053),"")</f>
        <v/>
      </c>
      <c r="E1053" s="59" t="str">
        <f aca="false">IFERROR(IF([1]对账明细接口!$E$1053=0,"",[1]对账明细接口!$E$1053),"")</f>
        <v/>
      </c>
      <c r="F1053" s="59" t="str">
        <f aca="false">IFERROR(IF([1]对账明细接口!$F$1053=0,"",[1]对账明细接口!$F$1053),"")</f>
        <v/>
      </c>
      <c r="G1053" s="59" t="str">
        <f aca="false">IFERROR(IF([1]对账明细接口!$G$1053=0,"",[1]对账明细接口!$G$1053),"")</f>
        <v/>
      </c>
      <c r="H1053" s="60" t="str">
        <f aca="false">IFERROR(IF([1]对账明细接口!$H$1053=0,"",[1]对账明细接口!$H$1053),"")</f>
        <v/>
      </c>
      <c r="I1053" s="59" t="str">
        <f aca="false">IFERROR(IF([1]对账明细接口!$I$1053=0,"",[1]对账明细接口!$I$1053),"")</f>
        <v/>
      </c>
      <c r="J1053" s="61" t="str">
        <f aca="false">IFERROR(IF([1]对账明细接口!$J$1053=0,"",[1]对账明细接口!$J$1053),"")</f>
        <v/>
      </c>
      <c r="K1053" s="61" t="str">
        <f aca="false">IFERROR(IF([1]对账明细接口!$K$1053=0,"",[1]对账明细接口!$K$1053),"")</f>
        <v/>
      </c>
      <c r="L1053" s="59" t="str">
        <f aca="false">IFERROR(IF([1]对账明细接口!$L$1053=0,"",[1]对账明细接口!$L$1053),"")</f>
        <v/>
      </c>
      <c r="M1053" s="59" t="str">
        <f aca="false">IFERROR(IF([1]对账明细接口!$M$1053=0,"",[1]对账明细接口!$M$1053),"")</f>
        <v/>
      </c>
      <c r="N1053" s="111" t="n">
        <f aca="false">IF($C1053="",0,1)</f>
        <v>0</v>
      </c>
      <c r="O1053" s="111" t="n">
        <f aca="false">N(O1052)+$N1053</f>
        <v>110</v>
      </c>
      <c r="S1053" s="10" t="str">
        <f aca="false">IFERROR(IF([1]对账明细接口!$N1053=0,"",[1]对账明细接口!$N1053),"")</f>
        <v/>
      </c>
      <c r="T1053" s="112" t="str">
        <f aca="false">IFERROR(IF([1]对账明细接口!$O1053=0,"",[1]对账明细接口!$O1053),"")</f>
        <v/>
      </c>
      <c r="U1053" s="112" t="str">
        <f aca="false">IFERROR(IF([1]对账明细接口!$P1053=0,"",[1]对账明细接口!$P1053),"")</f>
        <v/>
      </c>
      <c r="V1053" s="112" t="str">
        <f aca="false">IFERROR(IF([1]对账明细接口!$Q1053=0,"",[1]对账明细接口!$Q1053),"")</f>
        <v/>
      </c>
      <c r="W1053" s="10" t="str">
        <f aca="false">IFERROR(IF([1]对账明细接口!$R1053=0,"",[1]对账明细接口!$R1053),"")</f>
        <v/>
      </c>
      <c r="X1053" s="10" t="str">
        <f aca="false">IFERROR(IF([1]对账明细接口!$S1053=0,"",[1]对账明细接口!$S1053),"")</f>
        <v/>
      </c>
      <c r="Y1053" s="10" t="str">
        <f aca="false">""</f>
        <v/>
      </c>
      <c r="Z1053" s="10" t="str">
        <f aca="false">""</f>
        <v/>
      </c>
      <c r="AA1053" s="10" t="str">
        <f aca="false">""</f>
        <v/>
      </c>
      <c r="AB1053" s="10" t="str">
        <f aca="false">""</f>
        <v/>
      </c>
    </row>
    <row r="1054" customFormat="false" ht="13.5" hidden="false" customHeight="false" outlineLevel="0" collapsed="false">
      <c r="A1054" s="109" t="n">
        <v>1054</v>
      </c>
      <c r="B1054" s="110" t="str">
        <f aca="false">IFERROR(IF([1]对账明细接口!$B$1054=0,"",[1]对账明细接口!$B$1054),"")</f>
        <v/>
      </c>
      <c r="C1054" s="59" t="str">
        <f aca="false">IFERROR(IF([1]对账明细接口!$C$1054=0,"",[1]对账明细接口!$C$1054),"")</f>
        <v/>
      </c>
      <c r="D1054" s="59" t="str">
        <f aca="false">IFERROR(IF([1]对账明细接口!$D$1054=0,"",[1]对账明细接口!$D$1054),"")</f>
        <v/>
      </c>
      <c r="E1054" s="59" t="str">
        <f aca="false">IFERROR(IF([1]对账明细接口!$E$1054=0,"",[1]对账明细接口!$E$1054),"")</f>
        <v/>
      </c>
      <c r="F1054" s="59" t="str">
        <f aca="false">IFERROR(IF([1]对账明细接口!$F$1054=0,"",[1]对账明细接口!$F$1054),"")</f>
        <v/>
      </c>
      <c r="G1054" s="59" t="str">
        <f aca="false">IFERROR(IF([1]对账明细接口!$G$1054=0,"",[1]对账明细接口!$G$1054),"")</f>
        <v/>
      </c>
      <c r="H1054" s="60" t="str">
        <f aca="false">IFERROR(IF([1]对账明细接口!$H$1054=0,"",[1]对账明细接口!$H$1054),"")</f>
        <v/>
      </c>
      <c r="I1054" s="59" t="str">
        <f aca="false">IFERROR(IF([1]对账明细接口!$I$1054=0,"",[1]对账明细接口!$I$1054),"")</f>
        <v/>
      </c>
      <c r="J1054" s="61" t="str">
        <f aca="false">IFERROR(IF([1]对账明细接口!$J$1054=0,"",[1]对账明细接口!$J$1054),"")</f>
        <v/>
      </c>
      <c r="K1054" s="61" t="str">
        <f aca="false">IFERROR(IF([1]对账明细接口!$K$1054=0,"",[1]对账明细接口!$K$1054),"")</f>
        <v/>
      </c>
      <c r="L1054" s="59" t="str">
        <f aca="false">IFERROR(IF([1]对账明细接口!$L$1054=0,"",[1]对账明细接口!$L$1054),"")</f>
        <v/>
      </c>
      <c r="M1054" s="59" t="str">
        <f aca="false">IFERROR(IF([1]对账明细接口!$M$1054=0,"",[1]对账明细接口!$M$1054),"")</f>
        <v/>
      </c>
      <c r="N1054" s="111" t="n">
        <f aca="false">IF($C1054="",0,1)</f>
        <v>0</v>
      </c>
      <c r="O1054" s="111" t="n">
        <f aca="false">N(O1053)+$N1054</f>
        <v>110</v>
      </c>
      <c r="S1054" s="10" t="str">
        <f aca="false">IFERROR(IF([1]对账明细接口!$N1054=0,"",[1]对账明细接口!$N1054),"")</f>
        <v/>
      </c>
      <c r="T1054" s="112" t="str">
        <f aca="false">IFERROR(IF([1]对账明细接口!$O1054=0,"",[1]对账明细接口!$O1054),"")</f>
        <v/>
      </c>
      <c r="U1054" s="112" t="str">
        <f aca="false">IFERROR(IF([1]对账明细接口!$P1054=0,"",[1]对账明细接口!$P1054),"")</f>
        <v/>
      </c>
      <c r="V1054" s="112" t="str">
        <f aca="false">IFERROR(IF([1]对账明细接口!$Q1054=0,"",[1]对账明细接口!$Q1054),"")</f>
        <v/>
      </c>
      <c r="W1054" s="10" t="str">
        <f aca="false">IFERROR(IF([1]对账明细接口!$R1054=0,"",[1]对账明细接口!$R1054),"")</f>
        <v/>
      </c>
      <c r="X1054" s="10" t="str">
        <f aca="false">IFERROR(IF([1]对账明细接口!$S1054=0,"",[1]对账明细接口!$S1054),"")</f>
        <v/>
      </c>
      <c r="Y1054" s="10" t="str">
        <f aca="false">""</f>
        <v/>
      </c>
      <c r="Z1054" s="10" t="str">
        <f aca="false">""</f>
        <v/>
      </c>
      <c r="AA1054" s="10" t="str">
        <f aca="false">""</f>
        <v/>
      </c>
      <c r="AB1054" s="10" t="str">
        <f aca="false">""</f>
        <v/>
      </c>
    </row>
    <row r="1055" customFormat="false" ht="13.5" hidden="false" customHeight="false" outlineLevel="0" collapsed="false">
      <c r="A1055" s="109" t="n">
        <v>1055</v>
      </c>
      <c r="B1055" s="110" t="str">
        <f aca="false">IFERROR(IF([1]对账明细接口!$B$1055=0,"",[1]对账明细接口!$B$1055),"")</f>
        <v/>
      </c>
      <c r="C1055" s="59" t="str">
        <f aca="false">IFERROR(IF([1]对账明细接口!$C$1055=0,"",[1]对账明细接口!$C$1055),"")</f>
        <v/>
      </c>
      <c r="D1055" s="59" t="str">
        <f aca="false">IFERROR(IF([1]对账明细接口!$D$1055=0,"",[1]对账明细接口!$D$1055),"")</f>
        <v/>
      </c>
      <c r="E1055" s="59" t="str">
        <f aca="false">IFERROR(IF([1]对账明细接口!$E$1055=0,"",[1]对账明细接口!$E$1055),"")</f>
        <v/>
      </c>
      <c r="F1055" s="59" t="str">
        <f aca="false">IFERROR(IF([1]对账明细接口!$F$1055=0,"",[1]对账明细接口!$F$1055),"")</f>
        <v/>
      </c>
      <c r="G1055" s="59" t="str">
        <f aca="false">IFERROR(IF([1]对账明细接口!$G$1055=0,"",[1]对账明细接口!$G$1055),"")</f>
        <v/>
      </c>
      <c r="H1055" s="60" t="str">
        <f aca="false">IFERROR(IF([1]对账明细接口!$H$1055=0,"",[1]对账明细接口!$H$1055),"")</f>
        <v/>
      </c>
      <c r="I1055" s="59" t="str">
        <f aca="false">IFERROR(IF([1]对账明细接口!$I$1055=0,"",[1]对账明细接口!$I$1055),"")</f>
        <v/>
      </c>
      <c r="J1055" s="61" t="str">
        <f aca="false">IFERROR(IF([1]对账明细接口!$J$1055=0,"",[1]对账明细接口!$J$1055),"")</f>
        <v/>
      </c>
      <c r="K1055" s="61" t="str">
        <f aca="false">IFERROR(IF([1]对账明细接口!$K$1055=0,"",[1]对账明细接口!$K$1055),"")</f>
        <v/>
      </c>
      <c r="L1055" s="59" t="str">
        <f aca="false">IFERROR(IF([1]对账明细接口!$L$1055=0,"",[1]对账明细接口!$L$1055),"")</f>
        <v/>
      </c>
      <c r="M1055" s="59" t="str">
        <f aca="false">IFERROR(IF([1]对账明细接口!$M$1055=0,"",[1]对账明细接口!$M$1055),"")</f>
        <v/>
      </c>
      <c r="N1055" s="111" t="n">
        <f aca="false">IF($C1055="",0,1)</f>
        <v>0</v>
      </c>
      <c r="O1055" s="111" t="n">
        <f aca="false">N(O1054)+$N1055</f>
        <v>110</v>
      </c>
      <c r="S1055" s="10" t="str">
        <f aca="false">IFERROR(IF([1]对账明细接口!$N1055=0,"",[1]对账明细接口!$N1055),"")</f>
        <v/>
      </c>
      <c r="T1055" s="112" t="str">
        <f aca="false">IFERROR(IF([1]对账明细接口!$O1055=0,"",[1]对账明细接口!$O1055),"")</f>
        <v/>
      </c>
      <c r="U1055" s="112" t="str">
        <f aca="false">IFERROR(IF([1]对账明细接口!$P1055=0,"",[1]对账明细接口!$P1055),"")</f>
        <v/>
      </c>
      <c r="V1055" s="112" t="str">
        <f aca="false">IFERROR(IF([1]对账明细接口!$Q1055=0,"",[1]对账明细接口!$Q1055),"")</f>
        <v/>
      </c>
      <c r="W1055" s="10" t="str">
        <f aca="false">IFERROR(IF([1]对账明细接口!$R1055=0,"",[1]对账明细接口!$R1055),"")</f>
        <v/>
      </c>
      <c r="X1055" s="10" t="str">
        <f aca="false">IFERROR(IF([1]对账明细接口!$S1055=0,"",[1]对账明细接口!$S1055),"")</f>
        <v/>
      </c>
      <c r="Y1055" s="10" t="str">
        <f aca="false">""</f>
        <v/>
      </c>
      <c r="Z1055" s="10" t="str">
        <f aca="false">""</f>
        <v/>
      </c>
      <c r="AA1055" s="10" t="str">
        <f aca="false">""</f>
        <v/>
      </c>
      <c r="AB1055" s="10" t="str">
        <f aca="false">""</f>
        <v/>
      </c>
    </row>
    <row r="1056" customFormat="false" ht="13.5" hidden="false" customHeight="false" outlineLevel="0" collapsed="false">
      <c r="A1056" s="109" t="n">
        <v>1056</v>
      </c>
      <c r="B1056" s="110" t="str">
        <f aca="false">IFERROR(IF([1]对账明细接口!$B$1056=0,"",[1]对账明细接口!$B$1056),"")</f>
        <v/>
      </c>
      <c r="C1056" s="59" t="str">
        <f aca="false">IFERROR(IF([1]对账明细接口!$C$1056=0,"",[1]对账明细接口!$C$1056),"")</f>
        <v/>
      </c>
      <c r="D1056" s="59" t="str">
        <f aca="false">IFERROR(IF([1]对账明细接口!$D$1056=0,"",[1]对账明细接口!$D$1056),"")</f>
        <v/>
      </c>
      <c r="E1056" s="59" t="str">
        <f aca="false">IFERROR(IF([1]对账明细接口!$E$1056=0,"",[1]对账明细接口!$E$1056),"")</f>
        <v/>
      </c>
      <c r="F1056" s="59" t="str">
        <f aca="false">IFERROR(IF([1]对账明细接口!$F$1056=0,"",[1]对账明细接口!$F$1056),"")</f>
        <v/>
      </c>
      <c r="G1056" s="59" t="str">
        <f aca="false">IFERROR(IF([1]对账明细接口!$G$1056=0,"",[1]对账明细接口!$G$1056),"")</f>
        <v/>
      </c>
      <c r="H1056" s="60" t="str">
        <f aca="false">IFERROR(IF([1]对账明细接口!$H$1056=0,"",[1]对账明细接口!$H$1056),"")</f>
        <v/>
      </c>
      <c r="I1056" s="59" t="str">
        <f aca="false">IFERROR(IF([1]对账明细接口!$I$1056=0,"",[1]对账明细接口!$I$1056),"")</f>
        <v/>
      </c>
      <c r="J1056" s="61" t="str">
        <f aca="false">IFERROR(IF([1]对账明细接口!$J$1056=0,"",[1]对账明细接口!$J$1056),"")</f>
        <v/>
      </c>
      <c r="K1056" s="61" t="str">
        <f aca="false">IFERROR(IF([1]对账明细接口!$K$1056=0,"",[1]对账明细接口!$K$1056),"")</f>
        <v/>
      </c>
      <c r="L1056" s="59" t="str">
        <f aca="false">IFERROR(IF([1]对账明细接口!$L$1056=0,"",[1]对账明细接口!$L$1056),"")</f>
        <v/>
      </c>
      <c r="M1056" s="59" t="str">
        <f aca="false">IFERROR(IF([1]对账明细接口!$M$1056=0,"",[1]对账明细接口!$M$1056),"")</f>
        <v/>
      </c>
      <c r="N1056" s="111" t="n">
        <f aca="false">IF($C1056="",0,1)</f>
        <v>0</v>
      </c>
      <c r="O1056" s="111" t="n">
        <f aca="false">N(O1055)+$N1056</f>
        <v>110</v>
      </c>
      <c r="S1056" s="10" t="str">
        <f aca="false">IFERROR(IF([1]对账明细接口!$N1056=0,"",[1]对账明细接口!$N1056),"")</f>
        <v/>
      </c>
      <c r="T1056" s="112" t="str">
        <f aca="false">IFERROR(IF([1]对账明细接口!$O1056=0,"",[1]对账明细接口!$O1056),"")</f>
        <v/>
      </c>
      <c r="U1056" s="112" t="str">
        <f aca="false">IFERROR(IF([1]对账明细接口!$P1056=0,"",[1]对账明细接口!$P1056),"")</f>
        <v/>
      </c>
      <c r="V1056" s="112" t="str">
        <f aca="false">IFERROR(IF([1]对账明细接口!$Q1056=0,"",[1]对账明细接口!$Q1056),"")</f>
        <v/>
      </c>
      <c r="W1056" s="10" t="str">
        <f aca="false">IFERROR(IF([1]对账明细接口!$R1056=0,"",[1]对账明细接口!$R1056),"")</f>
        <v/>
      </c>
      <c r="X1056" s="10" t="str">
        <f aca="false">IFERROR(IF([1]对账明细接口!$S1056=0,"",[1]对账明细接口!$S1056),"")</f>
        <v/>
      </c>
      <c r="Y1056" s="10" t="str">
        <f aca="false">""</f>
        <v/>
      </c>
      <c r="Z1056" s="10" t="str">
        <f aca="false">""</f>
        <v/>
      </c>
      <c r="AA1056" s="10" t="str">
        <f aca="false">""</f>
        <v/>
      </c>
      <c r="AB1056" s="10" t="str">
        <f aca="false">""</f>
        <v/>
      </c>
    </row>
    <row r="1057" customFormat="false" ht="13.5" hidden="false" customHeight="false" outlineLevel="0" collapsed="false">
      <c r="A1057" s="109" t="n">
        <v>1057</v>
      </c>
      <c r="B1057" s="110" t="str">
        <f aca="false">IFERROR(IF([1]对账明细接口!$B$1057=0,"",[1]对账明细接口!$B$1057),"")</f>
        <v/>
      </c>
      <c r="C1057" s="59" t="str">
        <f aca="false">IFERROR(IF([1]对账明细接口!$C$1057=0,"",[1]对账明细接口!$C$1057),"")</f>
        <v/>
      </c>
      <c r="D1057" s="59" t="str">
        <f aca="false">IFERROR(IF([1]对账明细接口!$D$1057=0,"",[1]对账明细接口!$D$1057),"")</f>
        <v/>
      </c>
      <c r="E1057" s="59" t="str">
        <f aca="false">IFERROR(IF([1]对账明细接口!$E$1057=0,"",[1]对账明细接口!$E$1057),"")</f>
        <v/>
      </c>
      <c r="F1057" s="59" t="str">
        <f aca="false">IFERROR(IF([1]对账明细接口!$F$1057=0,"",[1]对账明细接口!$F$1057),"")</f>
        <v/>
      </c>
      <c r="G1057" s="59" t="str">
        <f aca="false">IFERROR(IF([1]对账明细接口!$G$1057=0,"",[1]对账明细接口!$G$1057),"")</f>
        <v/>
      </c>
      <c r="H1057" s="60" t="str">
        <f aca="false">IFERROR(IF([1]对账明细接口!$H$1057=0,"",[1]对账明细接口!$H$1057),"")</f>
        <v/>
      </c>
      <c r="I1057" s="59" t="str">
        <f aca="false">IFERROR(IF([1]对账明细接口!$I$1057=0,"",[1]对账明细接口!$I$1057),"")</f>
        <v/>
      </c>
      <c r="J1057" s="61" t="str">
        <f aca="false">IFERROR(IF([1]对账明细接口!$J$1057=0,"",[1]对账明细接口!$J$1057),"")</f>
        <v/>
      </c>
      <c r="K1057" s="61" t="str">
        <f aca="false">IFERROR(IF([1]对账明细接口!$K$1057=0,"",[1]对账明细接口!$K$1057),"")</f>
        <v/>
      </c>
      <c r="L1057" s="59" t="str">
        <f aca="false">IFERROR(IF([1]对账明细接口!$L$1057=0,"",[1]对账明细接口!$L$1057),"")</f>
        <v/>
      </c>
      <c r="M1057" s="59" t="str">
        <f aca="false">IFERROR(IF([1]对账明细接口!$M$1057=0,"",[1]对账明细接口!$M$1057),"")</f>
        <v/>
      </c>
      <c r="N1057" s="111" t="n">
        <f aca="false">IF($C1057="",0,1)</f>
        <v>0</v>
      </c>
      <c r="O1057" s="111" t="n">
        <f aca="false">N(O1056)+$N1057</f>
        <v>110</v>
      </c>
      <c r="S1057" s="10" t="str">
        <f aca="false">IFERROR(IF([1]对账明细接口!$N1057=0,"",[1]对账明细接口!$N1057),"")</f>
        <v/>
      </c>
      <c r="T1057" s="112" t="str">
        <f aca="false">IFERROR(IF([1]对账明细接口!$O1057=0,"",[1]对账明细接口!$O1057),"")</f>
        <v/>
      </c>
      <c r="U1057" s="112" t="str">
        <f aca="false">IFERROR(IF([1]对账明细接口!$P1057=0,"",[1]对账明细接口!$P1057),"")</f>
        <v/>
      </c>
      <c r="V1057" s="112" t="str">
        <f aca="false">IFERROR(IF([1]对账明细接口!$Q1057=0,"",[1]对账明细接口!$Q1057),"")</f>
        <v/>
      </c>
      <c r="W1057" s="10" t="str">
        <f aca="false">IFERROR(IF([1]对账明细接口!$R1057=0,"",[1]对账明细接口!$R1057),"")</f>
        <v/>
      </c>
      <c r="X1057" s="10" t="str">
        <f aca="false">IFERROR(IF([1]对账明细接口!$S1057=0,"",[1]对账明细接口!$S1057),"")</f>
        <v/>
      </c>
      <c r="Y1057" s="10" t="str">
        <f aca="false">""</f>
        <v/>
      </c>
      <c r="Z1057" s="10" t="str">
        <f aca="false">""</f>
        <v/>
      </c>
      <c r="AA1057" s="10" t="str">
        <f aca="false">""</f>
        <v/>
      </c>
      <c r="AB1057" s="10" t="str">
        <f aca="false">""</f>
        <v/>
      </c>
    </row>
    <row r="1058" customFormat="false" ht="13.5" hidden="false" customHeight="false" outlineLevel="0" collapsed="false">
      <c r="A1058" s="109" t="n">
        <v>1058</v>
      </c>
      <c r="B1058" s="110" t="str">
        <f aca="false">IFERROR(IF([1]对账明细接口!$B$1058=0,"",[1]对账明细接口!$B$1058),"")</f>
        <v/>
      </c>
      <c r="C1058" s="59" t="str">
        <f aca="false">IFERROR(IF([1]对账明细接口!$C$1058=0,"",[1]对账明细接口!$C$1058),"")</f>
        <v/>
      </c>
      <c r="D1058" s="59" t="str">
        <f aca="false">IFERROR(IF([1]对账明细接口!$D$1058=0,"",[1]对账明细接口!$D$1058),"")</f>
        <v/>
      </c>
      <c r="E1058" s="59" t="str">
        <f aca="false">IFERROR(IF([1]对账明细接口!$E$1058=0,"",[1]对账明细接口!$E$1058),"")</f>
        <v/>
      </c>
      <c r="F1058" s="59" t="str">
        <f aca="false">IFERROR(IF([1]对账明细接口!$F$1058=0,"",[1]对账明细接口!$F$1058),"")</f>
        <v/>
      </c>
      <c r="G1058" s="59" t="str">
        <f aca="false">IFERROR(IF([1]对账明细接口!$G$1058=0,"",[1]对账明细接口!$G$1058),"")</f>
        <v/>
      </c>
      <c r="H1058" s="60" t="str">
        <f aca="false">IFERROR(IF([1]对账明细接口!$H$1058=0,"",[1]对账明细接口!$H$1058),"")</f>
        <v/>
      </c>
      <c r="I1058" s="59" t="str">
        <f aca="false">IFERROR(IF([1]对账明细接口!$I$1058=0,"",[1]对账明细接口!$I$1058),"")</f>
        <v/>
      </c>
      <c r="J1058" s="61" t="str">
        <f aca="false">IFERROR(IF([1]对账明细接口!$J$1058=0,"",[1]对账明细接口!$J$1058),"")</f>
        <v/>
      </c>
      <c r="K1058" s="61" t="str">
        <f aca="false">IFERROR(IF([1]对账明细接口!$K$1058=0,"",[1]对账明细接口!$K$1058),"")</f>
        <v/>
      </c>
      <c r="L1058" s="59" t="str">
        <f aca="false">IFERROR(IF([1]对账明细接口!$L$1058=0,"",[1]对账明细接口!$L$1058),"")</f>
        <v/>
      </c>
      <c r="M1058" s="59" t="str">
        <f aca="false">IFERROR(IF([1]对账明细接口!$M$1058=0,"",[1]对账明细接口!$M$1058),"")</f>
        <v/>
      </c>
      <c r="N1058" s="111" t="n">
        <f aca="false">IF($C1058="",0,1)</f>
        <v>0</v>
      </c>
      <c r="O1058" s="111" t="n">
        <f aca="false">N(O1057)+$N1058</f>
        <v>110</v>
      </c>
      <c r="S1058" s="10" t="str">
        <f aca="false">IFERROR(IF([1]对账明细接口!$N1058=0,"",[1]对账明细接口!$N1058),"")</f>
        <v/>
      </c>
      <c r="T1058" s="112" t="str">
        <f aca="false">IFERROR(IF([1]对账明细接口!$O1058=0,"",[1]对账明细接口!$O1058),"")</f>
        <v/>
      </c>
      <c r="U1058" s="112" t="str">
        <f aca="false">IFERROR(IF([1]对账明细接口!$P1058=0,"",[1]对账明细接口!$P1058),"")</f>
        <v/>
      </c>
      <c r="V1058" s="112" t="str">
        <f aca="false">IFERROR(IF([1]对账明细接口!$Q1058=0,"",[1]对账明细接口!$Q1058),"")</f>
        <v/>
      </c>
      <c r="W1058" s="10" t="str">
        <f aca="false">IFERROR(IF([1]对账明细接口!$R1058=0,"",[1]对账明细接口!$R1058),"")</f>
        <v/>
      </c>
      <c r="X1058" s="10" t="str">
        <f aca="false">IFERROR(IF([1]对账明细接口!$S1058=0,"",[1]对账明细接口!$S1058),"")</f>
        <v/>
      </c>
      <c r="Y1058" s="10" t="str">
        <f aca="false">""</f>
        <v/>
      </c>
      <c r="Z1058" s="10" t="str">
        <f aca="false">""</f>
        <v/>
      </c>
      <c r="AA1058" s="10" t="str">
        <f aca="false">""</f>
        <v/>
      </c>
      <c r="AB1058" s="10" t="str">
        <f aca="false">""</f>
        <v/>
      </c>
    </row>
    <row r="1059" customFormat="false" ht="13.5" hidden="false" customHeight="false" outlineLevel="0" collapsed="false">
      <c r="A1059" s="109" t="n">
        <v>1059</v>
      </c>
      <c r="B1059" s="110" t="str">
        <f aca="false">IFERROR(IF([1]对账明细接口!$B$1059=0,"",[1]对账明细接口!$B$1059),"")</f>
        <v/>
      </c>
      <c r="C1059" s="59" t="str">
        <f aca="false">IFERROR(IF([1]对账明细接口!$C$1059=0,"",[1]对账明细接口!$C$1059),"")</f>
        <v/>
      </c>
      <c r="D1059" s="59" t="str">
        <f aca="false">IFERROR(IF([1]对账明细接口!$D$1059=0,"",[1]对账明细接口!$D$1059),"")</f>
        <v/>
      </c>
      <c r="E1059" s="59" t="str">
        <f aca="false">IFERROR(IF([1]对账明细接口!$E$1059=0,"",[1]对账明细接口!$E$1059),"")</f>
        <v/>
      </c>
      <c r="F1059" s="59" t="str">
        <f aca="false">IFERROR(IF([1]对账明细接口!$F$1059=0,"",[1]对账明细接口!$F$1059),"")</f>
        <v/>
      </c>
      <c r="G1059" s="59" t="str">
        <f aca="false">IFERROR(IF([1]对账明细接口!$G$1059=0,"",[1]对账明细接口!$G$1059),"")</f>
        <v/>
      </c>
      <c r="H1059" s="60" t="str">
        <f aca="false">IFERROR(IF([1]对账明细接口!$H$1059=0,"",[1]对账明细接口!$H$1059),"")</f>
        <v/>
      </c>
      <c r="I1059" s="59" t="str">
        <f aca="false">IFERROR(IF([1]对账明细接口!$I$1059=0,"",[1]对账明细接口!$I$1059),"")</f>
        <v/>
      </c>
      <c r="J1059" s="61" t="str">
        <f aca="false">IFERROR(IF([1]对账明细接口!$J$1059=0,"",[1]对账明细接口!$J$1059),"")</f>
        <v/>
      </c>
      <c r="K1059" s="61" t="str">
        <f aca="false">IFERROR(IF([1]对账明细接口!$K$1059=0,"",[1]对账明细接口!$K$1059),"")</f>
        <v/>
      </c>
      <c r="L1059" s="59" t="str">
        <f aca="false">IFERROR(IF([1]对账明细接口!$L$1059=0,"",[1]对账明细接口!$L$1059),"")</f>
        <v/>
      </c>
      <c r="M1059" s="59" t="str">
        <f aca="false">IFERROR(IF([1]对账明细接口!$M$1059=0,"",[1]对账明细接口!$M$1059),"")</f>
        <v/>
      </c>
      <c r="N1059" s="111" t="n">
        <f aca="false">IF($C1059="",0,1)</f>
        <v>0</v>
      </c>
      <c r="O1059" s="111" t="n">
        <f aca="false">N(O1058)+$N1059</f>
        <v>110</v>
      </c>
      <c r="S1059" s="10" t="str">
        <f aca="false">IFERROR(IF([1]对账明细接口!$N1059=0,"",[1]对账明细接口!$N1059),"")</f>
        <v/>
      </c>
      <c r="T1059" s="112" t="str">
        <f aca="false">IFERROR(IF([1]对账明细接口!$O1059=0,"",[1]对账明细接口!$O1059),"")</f>
        <v/>
      </c>
      <c r="U1059" s="112" t="str">
        <f aca="false">IFERROR(IF([1]对账明细接口!$P1059=0,"",[1]对账明细接口!$P1059),"")</f>
        <v/>
      </c>
      <c r="V1059" s="112" t="str">
        <f aca="false">IFERROR(IF([1]对账明细接口!$Q1059=0,"",[1]对账明细接口!$Q1059),"")</f>
        <v/>
      </c>
      <c r="W1059" s="10" t="str">
        <f aca="false">IFERROR(IF([1]对账明细接口!$R1059=0,"",[1]对账明细接口!$R1059),"")</f>
        <v/>
      </c>
      <c r="X1059" s="10" t="str">
        <f aca="false">IFERROR(IF([1]对账明细接口!$S1059=0,"",[1]对账明细接口!$S1059),"")</f>
        <v/>
      </c>
      <c r="Y1059" s="10" t="str">
        <f aca="false">""</f>
        <v/>
      </c>
      <c r="Z1059" s="10" t="str">
        <f aca="false">""</f>
        <v/>
      </c>
      <c r="AA1059" s="10" t="str">
        <f aca="false">""</f>
        <v/>
      </c>
      <c r="AB1059" s="10" t="str">
        <f aca="false">""</f>
        <v/>
      </c>
    </row>
    <row r="1060" customFormat="false" ht="13.5" hidden="false" customHeight="false" outlineLevel="0" collapsed="false">
      <c r="A1060" s="109" t="n">
        <v>1060</v>
      </c>
      <c r="B1060" s="110" t="str">
        <f aca="false">IFERROR(IF([1]对账明细接口!$B$1060=0,"",[1]对账明细接口!$B$1060),"")</f>
        <v/>
      </c>
      <c r="C1060" s="59" t="str">
        <f aca="false">IFERROR(IF([1]对账明细接口!$C$1060=0,"",[1]对账明细接口!$C$1060),"")</f>
        <v/>
      </c>
      <c r="D1060" s="59" t="str">
        <f aca="false">IFERROR(IF([1]对账明细接口!$D$1060=0,"",[1]对账明细接口!$D$1060),"")</f>
        <v/>
      </c>
      <c r="E1060" s="59" t="str">
        <f aca="false">IFERROR(IF([1]对账明细接口!$E$1060=0,"",[1]对账明细接口!$E$1060),"")</f>
        <v/>
      </c>
      <c r="F1060" s="59" t="str">
        <f aca="false">IFERROR(IF([1]对账明细接口!$F$1060=0,"",[1]对账明细接口!$F$1060),"")</f>
        <v/>
      </c>
      <c r="G1060" s="59" t="str">
        <f aca="false">IFERROR(IF([1]对账明细接口!$G$1060=0,"",[1]对账明细接口!$G$1060),"")</f>
        <v/>
      </c>
      <c r="H1060" s="60" t="str">
        <f aca="false">IFERROR(IF([1]对账明细接口!$H$1060=0,"",[1]对账明细接口!$H$1060),"")</f>
        <v/>
      </c>
      <c r="I1060" s="59" t="str">
        <f aca="false">IFERROR(IF([1]对账明细接口!$I$1060=0,"",[1]对账明细接口!$I$1060),"")</f>
        <v/>
      </c>
      <c r="J1060" s="61" t="str">
        <f aca="false">IFERROR(IF([1]对账明细接口!$J$1060=0,"",[1]对账明细接口!$J$1060),"")</f>
        <v/>
      </c>
      <c r="K1060" s="61" t="str">
        <f aca="false">IFERROR(IF([1]对账明细接口!$K$1060=0,"",[1]对账明细接口!$K$1060),"")</f>
        <v/>
      </c>
      <c r="L1060" s="59" t="str">
        <f aca="false">IFERROR(IF([1]对账明细接口!$L$1060=0,"",[1]对账明细接口!$L$1060),"")</f>
        <v/>
      </c>
      <c r="M1060" s="59" t="str">
        <f aca="false">IFERROR(IF([1]对账明细接口!$M$1060=0,"",[1]对账明细接口!$M$1060),"")</f>
        <v/>
      </c>
      <c r="N1060" s="111" t="n">
        <f aca="false">IF($C1060="",0,1)</f>
        <v>0</v>
      </c>
      <c r="O1060" s="111" t="n">
        <f aca="false">N(O1059)+$N1060</f>
        <v>110</v>
      </c>
      <c r="S1060" s="10" t="str">
        <f aca="false">IFERROR(IF([1]对账明细接口!$N1060=0,"",[1]对账明细接口!$N1060),"")</f>
        <v/>
      </c>
      <c r="T1060" s="112" t="str">
        <f aca="false">IFERROR(IF([1]对账明细接口!$O1060=0,"",[1]对账明细接口!$O1060),"")</f>
        <v/>
      </c>
      <c r="U1060" s="112" t="str">
        <f aca="false">IFERROR(IF([1]对账明细接口!$P1060=0,"",[1]对账明细接口!$P1060),"")</f>
        <v/>
      </c>
      <c r="V1060" s="112" t="str">
        <f aca="false">IFERROR(IF([1]对账明细接口!$Q1060=0,"",[1]对账明细接口!$Q1060),"")</f>
        <v/>
      </c>
      <c r="W1060" s="10" t="str">
        <f aca="false">IFERROR(IF([1]对账明细接口!$R1060=0,"",[1]对账明细接口!$R1060),"")</f>
        <v/>
      </c>
      <c r="X1060" s="10" t="str">
        <f aca="false">IFERROR(IF([1]对账明细接口!$S1060=0,"",[1]对账明细接口!$S1060),"")</f>
        <v/>
      </c>
      <c r="Y1060" s="10" t="str">
        <f aca="false">""</f>
        <v/>
      </c>
      <c r="Z1060" s="10" t="str">
        <f aca="false">""</f>
        <v/>
      </c>
      <c r="AA1060" s="10" t="str">
        <f aca="false">""</f>
        <v/>
      </c>
      <c r="AB1060" s="10" t="str">
        <f aca="false">""</f>
        <v/>
      </c>
    </row>
    <row r="1061" customFormat="false" ht="13.5" hidden="false" customHeight="false" outlineLevel="0" collapsed="false">
      <c r="A1061" s="109" t="n">
        <v>1061</v>
      </c>
      <c r="B1061" s="110" t="str">
        <f aca="false">IFERROR(IF([1]对账明细接口!$B$1061=0,"",[1]对账明细接口!$B$1061),"")</f>
        <v/>
      </c>
      <c r="C1061" s="59" t="str">
        <f aca="false">IFERROR(IF([1]对账明细接口!$C$1061=0,"",[1]对账明细接口!$C$1061),"")</f>
        <v/>
      </c>
      <c r="D1061" s="59" t="str">
        <f aca="false">IFERROR(IF([1]对账明细接口!$D$1061=0,"",[1]对账明细接口!$D$1061),"")</f>
        <v/>
      </c>
      <c r="E1061" s="59" t="str">
        <f aca="false">IFERROR(IF([1]对账明细接口!$E$1061=0,"",[1]对账明细接口!$E$1061),"")</f>
        <v/>
      </c>
      <c r="F1061" s="59" t="str">
        <f aca="false">IFERROR(IF([1]对账明细接口!$F$1061=0,"",[1]对账明细接口!$F$1061),"")</f>
        <v/>
      </c>
      <c r="G1061" s="59" t="str">
        <f aca="false">IFERROR(IF([1]对账明细接口!$G$1061=0,"",[1]对账明细接口!$G$1061),"")</f>
        <v/>
      </c>
      <c r="H1061" s="60" t="str">
        <f aca="false">IFERROR(IF([1]对账明细接口!$H$1061=0,"",[1]对账明细接口!$H$1061),"")</f>
        <v/>
      </c>
      <c r="I1061" s="59" t="str">
        <f aca="false">IFERROR(IF([1]对账明细接口!$I$1061=0,"",[1]对账明细接口!$I$1061),"")</f>
        <v/>
      </c>
      <c r="J1061" s="61" t="str">
        <f aca="false">IFERROR(IF([1]对账明细接口!$J$1061=0,"",[1]对账明细接口!$J$1061),"")</f>
        <v/>
      </c>
      <c r="K1061" s="61" t="str">
        <f aca="false">IFERROR(IF([1]对账明细接口!$K$1061=0,"",[1]对账明细接口!$K$1061),"")</f>
        <v/>
      </c>
      <c r="L1061" s="59" t="str">
        <f aca="false">IFERROR(IF([1]对账明细接口!$L$1061=0,"",[1]对账明细接口!$L$1061),"")</f>
        <v/>
      </c>
      <c r="M1061" s="59" t="str">
        <f aca="false">IFERROR(IF([1]对账明细接口!$M$1061=0,"",[1]对账明细接口!$M$1061),"")</f>
        <v/>
      </c>
      <c r="N1061" s="111" t="n">
        <f aca="false">IF($C1061="",0,1)</f>
        <v>0</v>
      </c>
      <c r="O1061" s="111" t="n">
        <f aca="false">N(O1060)+$N1061</f>
        <v>110</v>
      </c>
      <c r="S1061" s="10" t="str">
        <f aca="false">IFERROR(IF([1]对账明细接口!$N1061=0,"",[1]对账明细接口!$N1061),"")</f>
        <v/>
      </c>
      <c r="T1061" s="112" t="str">
        <f aca="false">IFERROR(IF([1]对账明细接口!$O1061=0,"",[1]对账明细接口!$O1061),"")</f>
        <v/>
      </c>
      <c r="U1061" s="112" t="str">
        <f aca="false">IFERROR(IF([1]对账明细接口!$P1061=0,"",[1]对账明细接口!$P1061),"")</f>
        <v/>
      </c>
      <c r="V1061" s="112" t="str">
        <f aca="false">IFERROR(IF([1]对账明细接口!$Q1061=0,"",[1]对账明细接口!$Q1061),"")</f>
        <v/>
      </c>
      <c r="W1061" s="10" t="str">
        <f aca="false">IFERROR(IF([1]对账明细接口!$R1061=0,"",[1]对账明细接口!$R1061),"")</f>
        <v/>
      </c>
      <c r="X1061" s="10" t="str">
        <f aca="false">IFERROR(IF([1]对账明细接口!$S1061=0,"",[1]对账明细接口!$S1061),"")</f>
        <v/>
      </c>
      <c r="Y1061" s="10" t="str">
        <f aca="false">""</f>
        <v/>
      </c>
      <c r="Z1061" s="10" t="str">
        <f aca="false">""</f>
        <v/>
      </c>
      <c r="AA1061" s="10" t="str">
        <f aca="false">""</f>
        <v/>
      </c>
      <c r="AB1061" s="10" t="str">
        <f aca="false">""</f>
        <v/>
      </c>
    </row>
    <row r="1062" customFormat="false" ht="13.5" hidden="false" customHeight="false" outlineLevel="0" collapsed="false">
      <c r="A1062" s="109" t="n">
        <v>1062</v>
      </c>
      <c r="B1062" s="110" t="str">
        <f aca="false">IFERROR(IF([1]对账明细接口!$B$1062=0,"",[1]对账明细接口!$B$1062),"")</f>
        <v/>
      </c>
      <c r="C1062" s="59" t="str">
        <f aca="false">IFERROR(IF([1]对账明细接口!$C$1062=0,"",[1]对账明细接口!$C$1062),"")</f>
        <v/>
      </c>
      <c r="D1062" s="59" t="str">
        <f aca="false">IFERROR(IF([1]对账明细接口!$D$1062=0,"",[1]对账明细接口!$D$1062),"")</f>
        <v/>
      </c>
      <c r="E1062" s="59" t="str">
        <f aca="false">IFERROR(IF([1]对账明细接口!$E$1062=0,"",[1]对账明细接口!$E$1062),"")</f>
        <v/>
      </c>
      <c r="F1062" s="59" t="str">
        <f aca="false">IFERROR(IF([1]对账明细接口!$F$1062=0,"",[1]对账明细接口!$F$1062),"")</f>
        <v/>
      </c>
      <c r="G1062" s="59" t="str">
        <f aca="false">IFERROR(IF([1]对账明细接口!$G$1062=0,"",[1]对账明细接口!$G$1062),"")</f>
        <v/>
      </c>
      <c r="H1062" s="60" t="str">
        <f aca="false">IFERROR(IF([1]对账明细接口!$H$1062=0,"",[1]对账明细接口!$H$1062),"")</f>
        <v/>
      </c>
      <c r="I1062" s="59" t="str">
        <f aca="false">IFERROR(IF([1]对账明细接口!$I$1062=0,"",[1]对账明细接口!$I$1062),"")</f>
        <v/>
      </c>
      <c r="J1062" s="61" t="str">
        <f aca="false">IFERROR(IF([1]对账明细接口!$J$1062=0,"",[1]对账明细接口!$J$1062),"")</f>
        <v/>
      </c>
      <c r="K1062" s="61" t="str">
        <f aca="false">IFERROR(IF([1]对账明细接口!$K$1062=0,"",[1]对账明细接口!$K$1062),"")</f>
        <v/>
      </c>
      <c r="L1062" s="59" t="str">
        <f aca="false">IFERROR(IF([1]对账明细接口!$L$1062=0,"",[1]对账明细接口!$L$1062),"")</f>
        <v/>
      </c>
      <c r="M1062" s="59" t="str">
        <f aca="false">IFERROR(IF([1]对账明细接口!$M$1062=0,"",[1]对账明细接口!$M$1062),"")</f>
        <v/>
      </c>
      <c r="N1062" s="111" t="n">
        <f aca="false">IF($C1062="",0,1)</f>
        <v>0</v>
      </c>
      <c r="O1062" s="111" t="n">
        <f aca="false">N(O1061)+$N1062</f>
        <v>110</v>
      </c>
      <c r="S1062" s="10" t="str">
        <f aca="false">IFERROR(IF([1]对账明细接口!$N1062=0,"",[1]对账明细接口!$N1062),"")</f>
        <v/>
      </c>
      <c r="T1062" s="112" t="str">
        <f aca="false">IFERROR(IF([1]对账明细接口!$O1062=0,"",[1]对账明细接口!$O1062),"")</f>
        <v/>
      </c>
      <c r="U1062" s="112" t="str">
        <f aca="false">IFERROR(IF([1]对账明细接口!$P1062=0,"",[1]对账明细接口!$P1062),"")</f>
        <v/>
      </c>
      <c r="V1062" s="112" t="str">
        <f aca="false">IFERROR(IF([1]对账明细接口!$Q1062=0,"",[1]对账明细接口!$Q1062),"")</f>
        <v/>
      </c>
      <c r="W1062" s="10" t="str">
        <f aca="false">IFERROR(IF([1]对账明细接口!$R1062=0,"",[1]对账明细接口!$R1062),"")</f>
        <v/>
      </c>
      <c r="X1062" s="10" t="str">
        <f aca="false">IFERROR(IF([1]对账明细接口!$S1062=0,"",[1]对账明细接口!$S1062),"")</f>
        <v/>
      </c>
      <c r="Y1062" s="10" t="str">
        <f aca="false">""</f>
        <v/>
      </c>
      <c r="Z1062" s="10" t="str">
        <f aca="false">""</f>
        <v/>
      </c>
      <c r="AA1062" s="10" t="str">
        <f aca="false">""</f>
        <v/>
      </c>
      <c r="AB1062" s="10" t="str">
        <f aca="false">""</f>
        <v/>
      </c>
    </row>
    <row r="1063" customFormat="false" ht="13.5" hidden="false" customHeight="false" outlineLevel="0" collapsed="false">
      <c r="A1063" s="109" t="n">
        <v>1063</v>
      </c>
      <c r="B1063" s="110" t="str">
        <f aca="false">IFERROR(IF([1]对账明细接口!$B$1063=0,"",[1]对账明细接口!$B$1063),"")</f>
        <v/>
      </c>
      <c r="C1063" s="59" t="str">
        <f aca="false">IFERROR(IF([1]对账明细接口!$C$1063=0,"",[1]对账明细接口!$C$1063),"")</f>
        <v/>
      </c>
      <c r="D1063" s="59" t="str">
        <f aca="false">IFERROR(IF([1]对账明细接口!$D$1063=0,"",[1]对账明细接口!$D$1063),"")</f>
        <v/>
      </c>
      <c r="E1063" s="59" t="str">
        <f aca="false">IFERROR(IF([1]对账明细接口!$E$1063=0,"",[1]对账明细接口!$E$1063),"")</f>
        <v/>
      </c>
      <c r="F1063" s="59" t="str">
        <f aca="false">IFERROR(IF([1]对账明细接口!$F$1063=0,"",[1]对账明细接口!$F$1063),"")</f>
        <v/>
      </c>
      <c r="G1063" s="59" t="str">
        <f aca="false">IFERROR(IF([1]对账明细接口!$G$1063=0,"",[1]对账明细接口!$G$1063),"")</f>
        <v/>
      </c>
      <c r="H1063" s="60" t="str">
        <f aca="false">IFERROR(IF([1]对账明细接口!$H$1063=0,"",[1]对账明细接口!$H$1063),"")</f>
        <v/>
      </c>
      <c r="I1063" s="59" t="str">
        <f aca="false">IFERROR(IF([1]对账明细接口!$I$1063=0,"",[1]对账明细接口!$I$1063),"")</f>
        <v/>
      </c>
      <c r="J1063" s="61" t="str">
        <f aca="false">IFERROR(IF([1]对账明细接口!$J$1063=0,"",[1]对账明细接口!$J$1063),"")</f>
        <v/>
      </c>
      <c r="K1063" s="61" t="str">
        <f aca="false">IFERROR(IF([1]对账明细接口!$K$1063=0,"",[1]对账明细接口!$K$1063),"")</f>
        <v/>
      </c>
      <c r="L1063" s="59" t="str">
        <f aca="false">IFERROR(IF([1]对账明细接口!$L$1063=0,"",[1]对账明细接口!$L$1063),"")</f>
        <v/>
      </c>
      <c r="M1063" s="59" t="str">
        <f aca="false">IFERROR(IF([1]对账明细接口!$M$1063=0,"",[1]对账明细接口!$M$1063),"")</f>
        <v/>
      </c>
      <c r="N1063" s="111" t="n">
        <f aca="false">IF($C1063="",0,1)</f>
        <v>0</v>
      </c>
      <c r="O1063" s="111" t="n">
        <f aca="false">N(O1062)+$N1063</f>
        <v>110</v>
      </c>
      <c r="S1063" s="10" t="str">
        <f aca="false">IFERROR(IF([1]对账明细接口!$N1063=0,"",[1]对账明细接口!$N1063),"")</f>
        <v/>
      </c>
      <c r="T1063" s="112" t="str">
        <f aca="false">IFERROR(IF([1]对账明细接口!$O1063=0,"",[1]对账明细接口!$O1063),"")</f>
        <v/>
      </c>
      <c r="U1063" s="112" t="str">
        <f aca="false">IFERROR(IF([1]对账明细接口!$P1063=0,"",[1]对账明细接口!$P1063),"")</f>
        <v/>
      </c>
      <c r="V1063" s="112" t="str">
        <f aca="false">IFERROR(IF([1]对账明细接口!$Q1063=0,"",[1]对账明细接口!$Q1063),"")</f>
        <v/>
      </c>
      <c r="W1063" s="10" t="str">
        <f aca="false">IFERROR(IF([1]对账明细接口!$R1063=0,"",[1]对账明细接口!$R1063),"")</f>
        <v/>
      </c>
      <c r="X1063" s="10" t="str">
        <f aca="false">IFERROR(IF([1]对账明细接口!$S1063=0,"",[1]对账明细接口!$S1063),"")</f>
        <v/>
      </c>
      <c r="Y1063" s="10" t="str">
        <f aca="false">""</f>
        <v/>
      </c>
      <c r="Z1063" s="10" t="str">
        <f aca="false">""</f>
        <v/>
      </c>
      <c r="AA1063" s="10" t="str">
        <f aca="false">""</f>
        <v/>
      </c>
      <c r="AB1063" s="10" t="str">
        <f aca="false">""</f>
        <v/>
      </c>
    </row>
    <row r="1064" customFormat="false" ht="13.5" hidden="false" customHeight="false" outlineLevel="0" collapsed="false">
      <c r="A1064" s="109" t="n">
        <v>1064</v>
      </c>
      <c r="B1064" s="110" t="str">
        <f aca="false">IFERROR(IF([1]对账明细接口!$B$1064=0,"",[1]对账明细接口!$B$1064),"")</f>
        <v/>
      </c>
      <c r="C1064" s="59" t="str">
        <f aca="false">IFERROR(IF([1]对账明细接口!$C$1064=0,"",[1]对账明细接口!$C$1064),"")</f>
        <v/>
      </c>
      <c r="D1064" s="59" t="str">
        <f aca="false">IFERROR(IF([1]对账明细接口!$D$1064=0,"",[1]对账明细接口!$D$1064),"")</f>
        <v/>
      </c>
      <c r="E1064" s="59" t="str">
        <f aca="false">IFERROR(IF([1]对账明细接口!$E$1064=0,"",[1]对账明细接口!$E$1064),"")</f>
        <v/>
      </c>
      <c r="F1064" s="59" t="str">
        <f aca="false">IFERROR(IF([1]对账明细接口!$F$1064=0,"",[1]对账明细接口!$F$1064),"")</f>
        <v/>
      </c>
      <c r="G1064" s="59" t="str">
        <f aca="false">IFERROR(IF([1]对账明细接口!$G$1064=0,"",[1]对账明细接口!$G$1064),"")</f>
        <v/>
      </c>
      <c r="H1064" s="60" t="str">
        <f aca="false">IFERROR(IF([1]对账明细接口!$H$1064=0,"",[1]对账明细接口!$H$1064),"")</f>
        <v/>
      </c>
      <c r="I1064" s="59" t="str">
        <f aca="false">IFERROR(IF([1]对账明细接口!$I$1064=0,"",[1]对账明细接口!$I$1064),"")</f>
        <v/>
      </c>
      <c r="J1064" s="61" t="str">
        <f aca="false">IFERROR(IF([1]对账明细接口!$J$1064=0,"",[1]对账明细接口!$J$1064),"")</f>
        <v/>
      </c>
      <c r="K1064" s="61" t="str">
        <f aca="false">IFERROR(IF([1]对账明细接口!$K$1064=0,"",[1]对账明细接口!$K$1064),"")</f>
        <v/>
      </c>
      <c r="L1064" s="59" t="str">
        <f aca="false">IFERROR(IF([1]对账明细接口!$L$1064=0,"",[1]对账明细接口!$L$1064),"")</f>
        <v/>
      </c>
      <c r="M1064" s="59" t="str">
        <f aca="false">IFERROR(IF([1]对账明细接口!$M$1064=0,"",[1]对账明细接口!$M$1064),"")</f>
        <v/>
      </c>
      <c r="N1064" s="111" t="n">
        <f aca="false">IF($C1064="",0,1)</f>
        <v>0</v>
      </c>
      <c r="O1064" s="111" t="n">
        <f aca="false">N(O1063)+$N1064</f>
        <v>110</v>
      </c>
      <c r="S1064" s="10" t="str">
        <f aca="false">IFERROR(IF([1]对账明细接口!$N1064=0,"",[1]对账明细接口!$N1064),"")</f>
        <v/>
      </c>
      <c r="T1064" s="112" t="str">
        <f aca="false">IFERROR(IF([1]对账明细接口!$O1064=0,"",[1]对账明细接口!$O1064),"")</f>
        <v/>
      </c>
      <c r="U1064" s="112" t="str">
        <f aca="false">IFERROR(IF([1]对账明细接口!$P1064=0,"",[1]对账明细接口!$P1064),"")</f>
        <v/>
      </c>
      <c r="V1064" s="112" t="str">
        <f aca="false">IFERROR(IF([1]对账明细接口!$Q1064=0,"",[1]对账明细接口!$Q1064),"")</f>
        <v/>
      </c>
      <c r="W1064" s="10" t="str">
        <f aca="false">IFERROR(IF([1]对账明细接口!$R1064=0,"",[1]对账明细接口!$R1064),"")</f>
        <v/>
      </c>
      <c r="X1064" s="10" t="str">
        <f aca="false">IFERROR(IF([1]对账明细接口!$S1064=0,"",[1]对账明细接口!$S1064),"")</f>
        <v/>
      </c>
      <c r="Y1064" s="10" t="str">
        <f aca="false">""</f>
        <v/>
      </c>
      <c r="Z1064" s="10" t="str">
        <f aca="false">""</f>
        <v/>
      </c>
      <c r="AA1064" s="10" t="str">
        <f aca="false">""</f>
        <v/>
      </c>
      <c r="AB1064" s="10" t="str">
        <f aca="false">""</f>
        <v/>
      </c>
    </row>
    <row r="1065" customFormat="false" ht="13.5" hidden="false" customHeight="false" outlineLevel="0" collapsed="false">
      <c r="A1065" s="109" t="n">
        <v>1065</v>
      </c>
      <c r="B1065" s="110" t="str">
        <f aca="false">IFERROR(IF([1]对账明细接口!$B$1065=0,"",[1]对账明细接口!$B$1065),"")</f>
        <v/>
      </c>
      <c r="C1065" s="59" t="str">
        <f aca="false">IFERROR(IF([1]对账明细接口!$C$1065=0,"",[1]对账明细接口!$C$1065),"")</f>
        <v/>
      </c>
      <c r="D1065" s="59" t="str">
        <f aca="false">IFERROR(IF([1]对账明细接口!$D$1065=0,"",[1]对账明细接口!$D$1065),"")</f>
        <v/>
      </c>
      <c r="E1065" s="59" t="str">
        <f aca="false">IFERROR(IF([1]对账明细接口!$E$1065=0,"",[1]对账明细接口!$E$1065),"")</f>
        <v/>
      </c>
      <c r="F1065" s="59" t="str">
        <f aca="false">IFERROR(IF([1]对账明细接口!$F$1065=0,"",[1]对账明细接口!$F$1065),"")</f>
        <v/>
      </c>
      <c r="G1065" s="59" t="str">
        <f aca="false">IFERROR(IF([1]对账明细接口!$G$1065=0,"",[1]对账明细接口!$G$1065),"")</f>
        <v/>
      </c>
      <c r="H1065" s="60" t="str">
        <f aca="false">IFERROR(IF([1]对账明细接口!$H$1065=0,"",[1]对账明细接口!$H$1065),"")</f>
        <v/>
      </c>
      <c r="I1065" s="59" t="str">
        <f aca="false">IFERROR(IF([1]对账明细接口!$I$1065=0,"",[1]对账明细接口!$I$1065),"")</f>
        <v/>
      </c>
      <c r="J1065" s="61" t="str">
        <f aca="false">IFERROR(IF([1]对账明细接口!$J$1065=0,"",[1]对账明细接口!$J$1065),"")</f>
        <v/>
      </c>
      <c r="K1065" s="61" t="str">
        <f aca="false">IFERROR(IF([1]对账明细接口!$K$1065=0,"",[1]对账明细接口!$K$1065),"")</f>
        <v/>
      </c>
      <c r="L1065" s="59" t="str">
        <f aca="false">IFERROR(IF([1]对账明细接口!$L$1065=0,"",[1]对账明细接口!$L$1065),"")</f>
        <v/>
      </c>
      <c r="M1065" s="59" t="str">
        <f aca="false">IFERROR(IF([1]对账明细接口!$M$1065=0,"",[1]对账明细接口!$M$1065),"")</f>
        <v/>
      </c>
      <c r="N1065" s="111" t="n">
        <f aca="false">IF($C1065="",0,1)</f>
        <v>0</v>
      </c>
      <c r="O1065" s="111" t="n">
        <f aca="false">N(O1064)+$N1065</f>
        <v>110</v>
      </c>
      <c r="S1065" s="10" t="str">
        <f aca="false">IFERROR(IF([1]对账明细接口!$N1065=0,"",[1]对账明细接口!$N1065),"")</f>
        <v/>
      </c>
      <c r="T1065" s="112" t="str">
        <f aca="false">IFERROR(IF([1]对账明细接口!$O1065=0,"",[1]对账明细接口!$O1065),"")</f>
        <v/>
      </c>
      <c r="U1065" s="112" t="str">
        <f aca="false">IFERROR(IF([1]对账明细接口!$P1065=0,"",[1]对账明细接口!$P1065),"")</f>
        <v/>
      </c>
      <c r="V1065" s="112" t="str">
        <f aca="false">IFERROR(IF([1]对账明细接口!$Q1065=0,"",[1]对账明细接口!$Q1065),"")</f>
        <v/>
      </c>
      <c r="W1065" s="10" t="str">
        <f aca="false">IFERROR(IF([1]对账明细接口!$R1065=0,"",[1]对账明细接口!$R1065),"")</f>
        <v/>
      </c>
      <c r="X1065" s="10" t="str">
        <f aca="false">IFERROR(IF([1]对账明细接口!$S1065=0,"",[1]对账明细接口!$S1065),"")</f>
        <v/>
      </c>
      <c r="Y1065" s="10" t="str">
        <f aca="false">""</f>
        <v/>
      </c>
      <c r="Z1065" s="10" t="str">
        <f aca="false">""</f>
        <v/>
      </c>
      <c r="AA1065" s="10" t="str">
        <f aca="false">""</f>
        <v/>
      </c>
      <c r="AB1065" s="10" t="str">
        <f aca="false">""</f>
        <v/>
      </c>
    </row>
    <row r="1066" customFormat="false" ht="13.5" hidden="false" customHeight="false" outlineLevel="0" collapsed="false">
      <c r="A1066" s="109" t="n">
        <v>1066</v>
      </c>
      <c r="B1066" s="110" t="str">
        <f aca="false">IFERROR(IF([1]对账明细接口!$B$1066=0,"",[1]对账明细接口!$B$1066),"")</f>
        <v/>
      </c>
      <c r="C1066" s="59" t="str">
        <f aca="false">IFERROR(IF([1]对账明细接口!$C$1066=0,"",[1]对账明细接口!$C$1066),"")</f>
        <v/>
      </c>
      <c r="D1066" s="59" t="str">
        <f aca="false">IFERROR(IF([1]对账明细接口!$D$1066=0,"",[1]对账明细接口!$D$1066),"")</f>
        <v/>
      </c>
      <c r="E1066" s="59" t="str">
        <f aca="false">IFERROR(IF([1]对账明细接口!$E$1066=0,"",[1]对账明细接口!$E$1066),"")</f>
        <v/>
      </c>
      <c r="F1066" s="59" t="str">
        <f aca="false">IFERROR(IF([1]对账明细接口!$F$1066=0,"",[1]对账明细接口!$F$1066),"")</f>
        <v/>
      </c>
      <c r="G1066" s="59" t="str">
        <f aca="false">IFERROR(IF([1]对账明细接口!$G$1066=0,"",[1]对账明细接口!$G$1066),"")</f>
        <v/>
      </c>
      <c r="H1066" s="60" t="str">
        <f aca="false">IFERROR(IF([1]对账明细接口!$H$1066=0,"",[1]对账明细接口!$H$1066),"")</f>
        <v/>
      </c>
      <c r="I1066" s="59" t="str">
        <f aca="false">IFERROR(IF([1]对账明细接口!$I$1066=0,"",[1]对账明细接口!$I$1066),"")</f>
        <v/>
      </c>
      <c r="J1066" s="61" t="str">
        <f aca="false">IFERROR(IF([1]对账明细接口!$J$1066=0,"",[1]对账明细接口!$J$1066),"")</f>
        <v/>
      </c>
      <c r="K1066" s="61" t="str">
        <f aca="false">IFERROR(IF([1]对账明细接口!$K$1066=0,"",[1]对账明细接口!$K$1066),"")</f>
        <v/>
      </c>
      <c r="L1066" s="59" t="str">
        <f aca="false">IFERROR(IF([1]对账明细接口!$L$1066=0,"",[1]对账明细接口!$L$1066),"")</f>
        <v/>
      </c>
      <c r="M1066" s="59" t="str">
        <f aca="false">IFERROR(IF([1]对账明细接口!$M$1066=0,"",[1]对账明细接口!$M$1066),"")</f>
        <v/>
      </c>
      <c r="N1066" s="111" t="n">
        <f aca="false">IF($C1066="",0,1)</f>
        <v>0</v>
      </c>
      <c r="O1066" s="111" t="n">
        <f aca="false">N(O1065)+$N1066</f>
        <v>110</v>
      </c>
      <c r="S1066" s="10" t="str">
        <f aca="false">IFERROR(IF([1]对账明细接口!$N1066=0,"",[1]对账明细接口!$N1066),"")</f>
        <v/>
      </c>
      <c r="T1066" s="112" t="str">
        <f aca="false">IFERROR(IF([1]对账明细接口!$O1066=0,"",[1]对账明细接口!$O1066),"")</f>
        <v/>
      </c>
      <c r="U1066" s="112" t="str">
        <f aca="false">IFERROR(IF([1]对账明细接口!$P1066=0,"",[1]对账明细接口!$P1066),"")</f>
        <v/>
      </c>
      <c r="V1066" s="112" t="str">
        <f aca="false">IFERROR(IF([1]对账明细接口!$Q1066=0,"",[1]对账明细接口!$Q1066),"")</f>
        <v/>
      </c>
      <c r="W1066" s="10" t="str">
        <f aca="false">IFERROR(IF([1]对账明细接口!$R1066=0,"",[1]对账明细接口!$R1066),"")</f>
        <v/>
      </c>
      <c r="X1066" s="10" t="str">
        <f aca="false">IFERROR(IF([1]对账明细接口!$S1066=0,"",[1]对账明细接口!$S1066),"")</f>
        <v/>
      </c>
      <c r="Y1066" s="10" t="str">
        <f aca="false">""</f>
        <v/>
      </c>
      <c r="Z1066" s="10" t="str">
        <f aca="false">""</f>
        <v/>
      </c>
      <c r="AA1066" s="10" t="str">
        <f aca="false">""</f>
        <v/>
      </c>
      <c r="AB1066" s="10" t="str">
        <f aca="false">""</f>
        <v/>
      </c>
    </row>
    <row r="1067" customFormat="false" ht="13.5" hidden="false" customHeight="false" outlineLevel="0" collapsed="false">
      <c r="A1067" s="109" t="n">
        <v>1067</v>
      </c>
      <c r="B1067" s="110" t="str">
        <f aca="false">IFERROR(IF([1]对账明细接口!$B$1067=0,"",[1]对账明细接口!$B$1067),"")</f>
        <v/>
      </c>
      <c r="C1067" s="59" t="str">
        <f aca="false">IFERROR(IF([1]对账明细接口!$C$1067=0,"",[1]对账明细接口!$C$1067),"")</f>
        <v/>
      </c>
      <c r="D1067" s="59" t="str">
        <f aca="false">IFERROR(IF([1]对账明细接口!$D$1067=0,"",[1]对账明细接口!$D$1067),"")</f>
        <v/>
      </c>
      <c r="E1067" s="59" t="str">
        <f aca="false">IFERROR(IF([1]对账明细接口!$E$1067=0,"",[1]对账明细接口!$E$1067),"")</f>
        <v/>
      </c>
      <c r="F1067" s="59" t="str">
        <f aca="false">IFERROR(IF([1]对账明细接口!$F$1067=0,"",[1]对账明细接口!$F$1067),"")</f>
        <v/>
      </c>
      <c r="G1067" s="59" t="str">
        <f aca="false">IFERROR(IF([1]对账明细接口!$G$1067=0,"",[1]对账明细接口!$G$1067),"")</f>
        <v/>
      </c>
      <c r="H1067" s="60" t="str">
        <f aca="false">IFERROR(IF([1]对账明细接口!$H$1067=0,"",[1]对账明细接口!$H$1067),"")</f>
        <v/>
      </c>
      <c r="I1067" s="59" t="str">
        <f aca="false">IFERROR(IF([1]对账明细接口!$I$1067=0,"",[1]对账明细接口!$I$1067),"")</f>
        <v/>
      </c>
      <c r="J1067" s="61" t="str">
        <f aca="false">IFERROR(IF([1]对账明细接口!$J$1067=0,"",[1]对账明细接口!$J$1067),"")</f>
        <v/>
      </c>
      <c r="K1067" s="61" t="str">
        <f aca="false">IFERROR(IF([1]对账明细接口!$K$1067=0,"",[1]对账明细接口!$K$1067),"")</f>
        <v/>
      </c>
      <c r="L1067" s="59" t="str">
        <f aca="false">IFERROR(IF([1]对账明细接口!$L$1067=0,"",[1]对账明细接口!$L$1067),"")</f>
        <v/>
      </c>
      <c r="M1067" s="59" t="str">
        <f aca="false">IFERROR(IF([1]对账明细接口!$M$1067=0,"",[1]对账明细接口!$M$1067),"")</f>
        <v/>
      </c>
      <c r="N1067" s="111" t="n">
        <f aca="false">IF($C1067="",0,1)</f>
        <v>0</v>
      </c>
      <c r="O1067" s="111" t="n">
        <f aca="false">N(O1066)+$N1067</f>
        <v>110</v>
      </c>
      <c r="S1067" s="10" t="str">
        <f aca="false">IFERROR(IF([1]对账明细接口!$N1067=0,"",[1]对账明细接口!$N1067),"")</f>
        <v/>
      </c>
      <c r="T1067" s="112" t="str">
        <f aca="false">IFERROR(IF([1]对账明细接口!$O1067=0,"",[1]对账明细接口!$O1067),"")</f>
        <v/>
      </c>
      <c r="U1067" s="112" t="str">
        <f aca="false">IFERROR(IF([1]对账明细接口!$P1067=0,"",[1]对账明细接口!$P1067),"")</f>
        <v/>
      </c>
      <c r="V1067" s="112" t="str">
        <f aca="false">IFERROR(IF([1]对账明细接口!$Q1067=0,"",[1]对账明细接口!$Q1067),"")</f>
        <v/>
      </c>
      <c r="W1067" s="10" t="str">
        <f aca="false">IFERROR(IF([1]对账明细接口!$R1067=0,"",[1]对账明细接口!$R1067),"")</f>
        <v/>
      </c>
      <c r="X1067" s="10" t="str">
        <f aca="false">IFERROR(IF([1]对账明细接口!$S1067=0,"",[1]对账明细接口!$S1067),"")</f>
        <v/>
      </c>
      <c r="Y1067" s="10" t="str">
        <f aca="false">""</f>
        <v/>
      </c>
      <c r="Z1067" s="10" t="str">
        <f aca="false">""</f>
        <v/>
      </c>
      <c r="AA1067" s="10" t="str">
        <f aca="false">""</f>
        <v/>
      </c>
      <c r="AB1067" s="10" t="str">
        <f aca="false">""</f>
        <v/>
      </c>
    </row>
    <row r="1068" customFormat="false" ht="13.5" hidden="false" customHeight="false" outlineLevel="0" collapsed="false">
      <c r="A1068" s="109" t="n">
        <v>1068</v>
      </c>
      <c r="B1068" s="110" t="str">
        <f aca="false">IFERROR(IF([1]对账明细接口!$B$1068=0,"",[1]对账明细接口!$B$1068),"")</f>
        <v/>
      </c>
      <c r="C1068" s="59" t="str">
        <f aca="false">IFERROR(IF([1]对账明细接口!$C$1068=0,"",[1]对账明细接口!$C$1068),"")</f>
        <v/>
      </c>
      <c r="D1068" s="59" t="str">
        <f aca="false">IFERROR(IF([1]对账明细接口!$D$1068=0,"",[1]对账明细接口!$D$1068),"")</f>
        <v/>
      </c>
      <c r="E1068" s="59" t="str">
        <f aca="false">IFERROR(IF([1]对账明细接口!$E$1068=0,"",[1]对账明细接口!$E$1068),"")</f>
        <v/>
      </c>
      <c r="F1068" s="59" t="str">
        <f aca="false">IFERROR(IF([1]对账明细接口!$F$1068=0,"",[1]对账明细接口!$F$1068),"")</f>
        <v/>
      </c>
      <c r="G1068" s="59" t="str">
        <f aca="false">IFERROR(IF([1]对账明细接口!$G$1068=0,"",[1]对账明细接口!$G$1068),"")</f>
        <v/>
      </c>
      <c r="H1068" s="60" t="str">
        <f aca="false">IFERROR(IF([1]对账明细接口!$H$1068=0,"",[1]对账明细接口!$H$1068),"")</f>
        <v/>
      </c>
      <c r="I1068" s="59" t="str">
        <f aca="false">IFERROR(IF([1]对账明细接口!$I$1068=0,"",[1]对账明细接口!$I$1068),"")</f>
        <v/>
      </c>
      <c r="J1068" s="61" t="str">
        <f aca="false">IFERROR(IF([1]对账明细接口!$J$1068=0,"",[1]对账明细接口!$J$1068),"")</f>
        <v/>
      </c>
      <c r="K1068" s="61" t="str">
        <f aca="false">IFERROR(IF([1]对账明细接口!$K$1068=0,"",[1]对账明细接口!$K$1068),"")</f>
        <v/>
      </c>
      <c r="L1068" s="59" t="str">
        <f aca="false">IFERROR(IF([1]对账明细接口!$L$1068=0,"",[1]对账明细接口!$L$1068),"")</f>
        <v/>
      </c>
      <c r="M1068" s="59" t="str">
        <f aca="false">IFERROR(IF([1]对账明细接口!$M$1068=0,"",[1]对账明细接口!$M$1068),"")</f>
        <v/>
      </c>
      <c r="N1068" s="111" t="n">
        <f aca="false">IF($C1068="",0,1)</f>
        <v>0</v>
      </c>
      <c r="O1068" s="111" t="n">
        <f aca="false">N(O1067)+$N1068</f>
        <v>110</v>
      </c>
      <c r="S1068" s="10" t="str">
        <f aca="false">IFERROR(IF([1]对账明细接口!$N1068=0,"",[1]对账明细接口!$N1068),"")</f>
        <v/>
      </c>
      <c r="T1068" s="112" t="str">
        <f aca="false">IFERROR(IF([1]对账明细接口!$O1068=0,"",[1]对账明细接口!$O1068),"")</f>
        <v/>
      </c>
      <c r="U1068" s="112" t="str">
        <f aca="false">IFERROR(IF([1]对账明细接口!$P1068=0,"",[1]对账明细接口!$P1068),"")</f>
        <v/>
      </c>
      <c r="V1068" s="112" t="str">
        <f aca="false">IFERROR(IF([1]对账明细接口!$Q1068=0,"",[1]对账明细接口!$Q1068),"")</f>
        <v/>
      </c>
      <c r="W1068" s="10" t="str">
        <f aca="false">IFERROR(IF([1]对账明细接口!$R1068=0,"",[1]对账明细接口!$R1068),"")</f>
        <v/>
      </c>
      <c r="X1068" s="10" t="str">
        <f aca="false">IFERROR(IF([1]对账明细接口!$S1068=0,"",[1]对账明细接口!$S1068),"")</f>
        <v/>
      </c>
      <c r="Y1068" s="10" t="str">
        <f aca="false">""</f>
        <v/>
      </c>
      <c r="Z1068" s="10" t="str">
        <f aca="false">""</f>
        <v/>
      </c>
      <c r="AA1068" s="10" t="str">
        <f aca="false">""</f>
        <v/>
      </c>
      <c r="AB1068" s="10" t="str">
        <f aca="false">""</f>
        <v/>
      </c>
    </row>
    <row r="1069" customFormat="false" ht="13.5" hidden="false" customHeight="false" outlineLevel="0" collapsed="false">
      <c r="A1069" s="109" t="n">
        <v>1069</v>
      </c>
      <c r="B1069" s="110" t="str">
        <f aca="false">IFERROR(IF([1]对账明细接口!$B$1069=0,"",[1]对账明细接口!$B$1069),"")</f>
        <v/>
      </c>
      <c r="C1069" s="59" t="str">
        <f aca="false">IFERROR(IF([1]对账明细接口!$C$1069=0,"",[1]对账明细接口!$C$1069),"")</f>
        <v/>
      </c>
      <c r="D1069" s="59" t="str">
        <f aca="false">IFERROR(IF([1]对账明细接口!$D$1069=0,"",[1]对账明细接口!$D$1069),"")</f>
        <v/>
      </c>
      <c r="E1069" s="59" t="str">
        <f aca="false">IFERROR(IF([1]对账明细接口!$E$1069=0,"",[1]对账明细接口!$E$1069),"")</f>
        <v/>
      </c>
      <c r="F1069" s="59" t="str">
        <f aca="false">IFERROR(IF([1]对账明细接口!$F$1069=0,"",[1]对账明细接口!$F$1069),"")</f>
        <v/>
      </c>
      <c r="G1069" s="59" t="str">
        <f aca="false">IFERROR(IF([1]对账明细接口!$G$1069=0,"",[1]对账明细接口!$G$1069),"")</f>
        <v/>
      </c>
      <c r="H1069" s="60" t="str">
        <f aca="false">IFERROR(IF([1]对账明细接口!$H$1069=0,"",[1]对账明细接口!$H$1069),"")</f>
        <v/>
      </c>
      <c r="I1069" s="59" t="str">
        <f aca="false">IFERROR(IF([1]对账明细接口!$I$1069=0,"",[1]对账明细接口!$I$1069),"")</f>
        <v/>
      </c>
      <c r="J1069" s="61" t="str">
        <f aca="false">IFERROR(IF([1]对账明细接口!$J$1069=0,"",[1]对账明细接口!$J$1069),"")</f>
        <v/>
      </c>
      <c r="K1069" s="61" t="str">
        <f aca="false">IFERROR(IF([1]对账明细接口!$K$1069=0,"",[1]对账明细接口!$K$1069),"")</f>
        <v/>
      </c>
      <c r="L1069" s="59" t="str">
        <f aca="false">IFERROR(IF([1]对账明细接口!$L$1069=0,"",[1]对账明细接口!$L$1069),"")</f>
        <v/>
      </c>
      <c r="M1069" s="59" t="str">
        <f aca="false">IFERROR(IF([1]对账明细接口!$M$1069=0,"",[1]对账明细接口!$M$1069),"")</f>
        <v/>
      </c>
      <c r="N1069" s="111" t="n">
        <f aca="false">IF($C1069="",0,1)</f>
        <v>0</v>
      </c>
      <c r="O1069" s="111" t="n">
        <f aca="false">N(O1068)+$N1069</f>
        <v>110</v>
      </c>
      <c r="S1069" s="10" t="str">
        <f aca="false">IFERROR(IF([1]对账明细接口!$N1069=0,"",[1]对账明细接口!$N1069),"")</f>
        <v/>
      </c>
      <c r="T1069" s="112" t="str">
        <f aca="false">IFERROR(IF([1]对账明细接口!$O1069=0,"",[1]对账明细接口!$O1069),"")</f>
        <v/>
      </c>
      <c r="U1069" s="112" t="str">
        <f aca="false">IFERROR(IF([1]对账明细接口!$P1069=0,"",[1]对账明细接口!$P1069),"")</f>
        <v/>
      </c>
      <c r="V1069" s="112" t="str">
        <f aca="false">IFERROR(IF([1]对账明细接口!$Q1069=0,"",[1]对账明细接口!$Q1069),"")</f>
        <v/>
      </c>
      <c r="W1069" s="10" t="str">
        <f aca="false">IFERROR(IF([1]对账明细接口!$R1069=0,"",[1]对账明细接口!$R1069),"")</f>
        <v/>
      </c>
      <c r="X1069" s="10" t="str">
        <f aca="false">IFERROR(IF([1]对账明细接口!$S1069=0,"",[1]对账明细接口!$S1069),"")</f>
        <v/>
      </c>
      <c r="Y1069" s="10" t="str">
        <f aca="false">""</f>
        <v/>
      </c>
      <c r="Z1069" s="10" t="str">
        <f aca="false">""</f>
        <v/>
      </c>
      <c r="AA1069" s="10" t="str">
        <f aca="false">""</f>
        <v/>
      </c>
      <c r="AB1069" s="10" t="str">
        <f aca="false">""</f>
        <v/>
      </c>
    </row>
    <row r="1070" customFormat="false" ht="13.5" hidden="false" customHeight="false" outlineLevel="0" collapsed="false">
      <c r="A1070" s="109" t="n">
        <v>1070</v>
      </c>
      <c r="B1070" s="110" t="str">
        <f aca="false">IFERROR(IF([1]对账明细接口!$B$1070=0,"",[1]对账明细接口!$B$1070),"")</f>
        <v/>
      </c>
      <c r="C1070" s="59" t="str">
        <f aca="false">IFERROR(IF([1]对账明细接口!$C$1070=0,"",[1]对账明细接口!$C$1070),"")</f>
        <v/>
      </c>
      <c r="D1070" s="59" t="str">
        <f aca="false">IFERROR(IF([1]对账明细接口!$D$1070=0,"",[1]对账明细接口!$D$1070),"")</f>
        <v/>
      </c>
      <c r="E1070" s="59" t="str">
        <f aca="false">IFERROR(IF([1]对账明细接口!$E$1070=0,"",[1]对账明细接口!$E$1070),"")</f>
        <v/>
      </c>
      <c r="F1070" s="59" t="str">
        <f aca="false">IFERROR(IF([1]对账明细接口!$F$1070=0,"",[1]对账明细接口!$F$1070),"")</f>
        <v/>
      </c>
      <c r="G1070" s="59" t="str">
        <f aca="false">IFERROR(IF([1]对账明细接口!$G$1070=0,"",[1]对账明细接口!$G$1070),"")</f>
        <v/>
      </c>
      <c r="H1070" s="60" t="str">
        <f aca="false">IFERROR(IF([1]对账明细接口!$H$1070=0,"",[1]对账明细接口!$H$1070),"")</f>
        <v/>
      </c>
      <c r="I1070" s="59" t="str">
        <f aca="false">IFERROR(IF([1]对账明细接口!$I$1070=0,"",[1]对账明细接口!$I$1070),"")</f>
        <v/>
      </c>
      <c r="J1070" s="61" t="str">
        <f aca="false">IFERROR(IF([1]对账明细接口!$J$1070=0,"",[1]对账明细接口!$J$1070),"")</f>
        <v/>
      </c>
      <c r="K1070" s="61" t="str">
        <f aca="false">IFERROR(IF([1]对账明细接口!$K$1070=0,"",[1]对账明细接口!$K$1070),"")</f>
        <v/>
      </c>
      <c r="L1070" s="59" t="str">
        <f aca="false">IFERROR(IF([1]对账明细接口!$L$1070=0,"",[1]对账明细接口!$L$1070),"")</f>
        <v/>
      </c>
      <c r="M1070" s="59" t="str">
        <f aca="false">IFERROR(IF([1]对账明细接口!$M$1070=0,"",[1]对账明细接口!$M$1070),"")</f>
        <v/>
      </c>
      <c r="N1070" s="111" t="n">
        <f aca="false">IF($C1070="",0,1)</f>
        <v>0</v>
      </c>
      <c r="O1070" s="111" t="n">
        <f aca="false">N(O1069)+$N1070</f>
        <v>110</v>
      </c>
      <c r="S1070" s="10" t="str">
        <f aca="false">IFERROR(IF([1]对账明细接口!$N1070=0,"",[1]对账明细接口!$N1070),"")</f>
        <v/>
      </c>
      <c r="T1070" s="112" t="str">
        <f aca="false">IFERROR(IF([1]对账明细接口!$O1070=0,"",[1]对账明细接口!$O1070),"")</f>
        <v/>
      </c>
      <c r="U1070" s="112" t="str">
        <f aca="false">IFERROR(IF([1]对账明细接口!$P1070=0,"",[1]对账明细接口!$P1070),"")</f>
        <v/>
      </c>
      <c r="V1070" s="112" t="str">
        <f aca="false">IFERROR(IF([1]对账明细接口!$Q1070=0,"",[1]对账明细接口!$Q1070),"")</f>
        <v/>
      </c>
      <c r="W1070" s="10" t="str">
        <f aca="false">IFERROR(IF([1]对账明细接口!$R1070=0,"",[1]对账明细接口!$R1070),"")</f>
        <v/>
      </c>
      <c r="X1070" s="10" t="str">
        <f aca="false">IFERROR(IF([1]对账明细接口!$S1070=0,"",[1]对账明细接口!$S1070),"")</f>
        <v/>
      </c>
      <c r="Y1070" s="10" t="str">
        <f aca="false">""</f>
        <v/>
      </c>
      <c r="Z1070" s="10" t="str">
        <f aca="false">""</f>
        <v/>
      </c>
      <c r="AA1070" s="10" t="str">
        <f aca="false">""</f>
        <v/>
      </c>
      <c r="AB1070" s="10" t="str">
        <f aca="false">""</f>
        <v/>
      </c>
    </row>
    <row r="1071" customFormat="false" ht="13.5" hidden="false" customHeight="false" outlineLevel="0" collapsed="false">
      <c r="A1071" s="109" t="n">
        <v>1071</v>
      </c>
      <c r="B1071" s="110" t="str">
        <f aca="false">IFERROR(IF([1]对账明细接口!$B$1071=0,"",[1]对账明细接口!$B$1071),"")</f>
        <v/>
      </c>
      <c r="C1071" s="59" t="str">
        <f aca="false">IFERROR(IF([1]对账明细接口!$C$1071=0,"",[1]对账明细接口!$C$1071),"")</f>
        <v/>
      </c>
      <c r="D1071" s="59" t="str">
        <f aca="false">IFERROR(IF([1]对账明细接口!$D$1071=0,"",[1]对账明细接口!$D$1071),"")</f>
        <v/>
      </c>
      <c r="E1071" s="59" t="str">
        <f aca="false">IFERROR(IF([1]对账明细接口!$E$1071=0,"",[1]对账明细接口!$E$1071),"")</f>
        <v/>
      </c>
      <c r="F1071" s="59" t="str">
        <f aca="false">IFERROR(IF([1]对账明细接口!$F$1071=0,"",[1]对账明细接口!$F$1071),"")</f>
        <v/>
      </c>
      <c r="G1071" s="59" t="str">
        <f aca="false">IFERROR(IF([1]对账明细接口!$G$1071=0,"",[1]对账明细接口!$G$1071),"")</f>
        <v/>
      </c>
      <c r="H1071" s="60" t="str">
        <f aca="false">IFERROR(IF([1]对账明细接口!$H$1071=0,"",[1]对账明细接口!$H$1071),"")</f>
        <v/>
      </c>
      <c r="I1071" s="59" t="str">
        <f aca="false">IFERROR(IF([1]对账明细接口!$I$1071=0,"",[1]对账明细接口!$I$1071),"")</f>
        <v/>
      </c>
      <c r="J1071" s="61" t="str">
        <f aca="false">IFERROR(IF([1]对账明细接口!$J$1071=0,"",[1]对账明细接口!$J$1071),"")</f>
        <v/>
      </c>
      <c r="K1071" s="61" t="str">
        <f aca="false">IFERROR(IF([1]对账明细接口!$K$1071=0,"",[1]对账明细接口!$K$1071),"")</f>
        <v/>
      </c>
      <c r="L1071" s="59" t="str">
        <f aca="false">IFERROR(IF([1]对账明细接口!$L$1071=0,"",[1]对账明细接口!$L$1071),"")</f>
        <v/>
      </c>
      <c r="M1071" s="59" t="str">
        <f aca="false">IFERROR(IF([1]对账明细接口!$M$1071=0,"",[1]对账明细接口!$M$1071),"")</f>
        <v/>
      </c>
      <c r="N1071" s="111" t="n">
        <f aca="false">IF($C1071="",0,1)</f>
        <v>0</v>
      </c>
      <c r="O1071" s="111" t="n">
        <f aca="false">N(O1070)+$N1071</f>
        <v>110</v>
      </c>
      <c r="S1071" s="10" t="str">
        <f aca="false">IFERROR(IF([1]对账明细接口!$N1071=0,"",[1]对账明细接口!$N1071),"")</f>
        <v/>
      </c>
      <c r="T1071" s="112" t="str">
        <f aca="false">IFERROR(IF([1]对账明细接口!$O1071=0,"",[1]对账明细接口!$O1071),"")</f>
        <v/>
      </c>
      <c r="U1071" s="112" t="str">
        <f aca="false">IFERROR(IF([1]对账明细接口!$P1071=0,"",[1]对账明细接口!$P1071),"")</f>
        <v/>
      </c>
      <c r="V1071" s="112" t="str">
        <f aca="false">IFERROR(IF([1]对账明细接口!$Q1071=0,"",[1]对账明细接口!$Q1071),"")</f>
        <v/>
      </c>
      <c r="W1071" s="10" t="str">
        <f aca="false">IFERROR(IF([1]对账明细接口!$R1071=0,"",[1]对账明细接口!$R1071),"")</f>
        <v/>
      </c>
      <c r="X1071" s="10" t="str">
        <f aca="false">IFERROR(IF([1]对账明细接口!$S1071=0,"",[1]对账明细接口!$S1071),"")</f>
        <v/>
      </c>
      <c r="Y1071" s="10" t="str">
        <f aca="false">""</f>
        <v/>
      </c>
      <c r="Z1071" s="10" t="str">
        <f aca="false">""</f>
        <v/>
      </c>
      <c r="AA1071" s="10" t="str">
        <f aca="false">""</f>
        <v/>
      </c>
      <c r="AB1071" s="10" t="str">
        <f aca="false">""</f>
        <v/>
      </c>
    </row>
    <row r="1072" customFormat="false" ht="13.5" hidden="false" customHeight="false" outlineLevel="0" collapsed="false">
      <c r="A1072" s="109" t="n">
        <v>1072</v>
      </c>
      <c r="B1072" s="110" t="str">
        <f aca="false">IFERROR(IF([1]对账明细接口!$B$1072=0,"",[1]对账明细接口!$B$1072),"")</f>
        <v/>
      </c>
      <c r="C1072" s="59" t="str">
        <f aca="false">IFERROR(IF([1]对账明细接口!$C$1072=0,"",[1]对账明细接口!$C$1072),"")</f>
        <v/>
      </c>
      <c r="D1072" s="59" t="str">
        <f aca="false">IFERROR(IF([1]对账明细接口!$D$1072=0,"",[1]对账明细接口!$D$1072),"")</f>
        <v/>
      </c>
      <c r="E1072" s="59" t="str">
        <f aca="false">IFERROR(IF([1]对账明细接口!$E$1072=0,"",[1]对账明细接口!$E$1072),"")</f>
        <v/>
      </c>
      <c r="F1072" s="59" t="str">
        <f aca="false">IFERROR(IF([1]对账明细接口!$F$1072=0,"",[1]对账明细接口!$F$1072),"")</f>
        <v/>
      </c>
      <c r="G1072" s="59" t="str">
        <f aca="false">IFERROR(IF([1]对账明细接口!$G$1072=0,"",[1]对账明细接口!$G$1072),"")</f>
        <v/>
      </c>
      <c r="H1072" s="60" t="str">
        <f aca="false">IFERROR(IF([1]对账明细接口!$H$1072=0,"",[1]对账明细接口!$H$1072),"")</f>
        <v/>
      </c>
      <c r="I1072" s="59" t="str">
        <f aca="false">IFERROR(IF([1]对账明细接口!$I$1072=0,"",[1]对账明细接口!$I$1072),"")</f>
        <v/>
      </c>
      <c r="J1072" s="61" t="str">
        <f aca="false">IFERROR(IF([1]对账明细接口!$J$1072=0,"",[1]对账明细接口!$J$1072),"")</f>
        <v/>
      </c>
      <c r="K1072" s="61" t="str">
        <f aca="false">IFERROR(IF([1]对账明细接口!$K$1072=0,"",[1]对账明细接口!$K$1072),"")</f>
        <v/>
      </c>
      <c r="L1072" s="59" t="str">
        <f aca="false">IFERROR(IF([1]对账明细接口!$L$1072=0,"",[1]对账明细接口!$L$1072),"")</f>
        <v/>
      </c>
      <c r="M1072" s="59" t="str">
        <f aca="false">IFERROR(IF([1]对账明细接口!$M$1072=0,"",[1]对账明细接口!$M$1072),"")</f>
        <v/>
      </c>
      <c r="N1072" s="111" t="n">
        <f aca="false">IF($C1072="",0,1)</f>
        <v>0</v>
      </c>
      <c r="O1072" s="111" t="n">
        <f aca="false">N(O1071)+$N1072</f>
        <v>110</v>
      </c>
      <c r="S1072" s="10" t="str">
        <f aca="false">IFERROR(IF([1]对账明细接口!$N1072=0,"",[1]对账明细接口!$N1072),"")</f>
        <v/>
      </c>
      <c r="T1072" s="112" t="str">
        <f aca="false">IFERROR(IF([1]对账明细接口!$O1072=0,"",[1]对账明细接口!$O1072),"")</f>
        <v/>
      </c>
      <c r="U1072" s="112" t="str">
        <f aca="false">IFERROR(IF([1]对账明细接口!$P1072=0,"",[1]对账明细接口!$P1072),"")</f>
        <v/>
      </c>
      <c r="V1072" s="112" t="str">
        <f aca="false">IFERROR(IF([1]对账明细接口!$Q1072=0,"",[1]对账明细接口!$Q1072),"")</f>
        <v/>
      </c>
      <c r="W1072" s="10" t="str">
        <f aca="false">IFERROR(IF([1]对账明细接口!$R1072=0,"",[1]对账明细接口!$R1072),"")</f>
        <v/>
      </c>
      <c r="X1072" s="10" t="str">
        <f aca="false">IFERROR(IF([1]对账明细接口!$S1072=0,"",[1]对账明细接口!$S1072),"")</f>
        <v/>
      </c>
      <c r="Y1072" s="10" t="str">
        <f aca="false">""</f>
        <v/>
      </c>
      <c r="Z1072" s="10" t="str">
        <f aca="false">""</f>
        <v/>
      </c>
      <c r="AA1072" s="10" t="str">
        <f aca="false">""</f>
        <v/>
      </c>
      <c r="AB1072" s="10" t="str">
        <f aca="false">""</f>
        <v/>
      </c>
    </row>
    <row r="1073" customFormat="false" ht="13.5" hidden="false" customHeight="false" outlineLevel="0" collapsed="false">
      <c r="A1073" s="109" t="n">
        <v>1073</v>
      </c>
      <c r="B1073" s="110" t="str">
        <f aca="false">IFERROR(IF([1]对账明细接口!$B$1073=0,"",[1]对账明细接口!$B$1073),"")</f>
        <v/>
      </c>
      <c r="C1073" s="59" t="str">
        <f aca="false">IFERROR(IF([1]对账明细接口!$C$1073=0,"",[1]对账明细接口!$C$1073),"")</f>
        <v/>
      </c>
      <c r="D1073" s="59" t="str">
        <f aca="false">IFERROR(IF([1]对账明细接口!$D$1073=0,"",[1]对账明细接口!$D$1073),"")</f>
        <v/>
      </c>
      <c r="E1073" s="59" t="str">
        <f aca="false">IFERROR(IF([1]对账明细接口!$E$1073=0,"",[1]对账明细接口!$E$1073),"")</f>
        <v/>
      </c>
      <c r="F1073" s="59" t="str">
        <f aca="false">IFERROR(IF([1]对账明细接口!$F$1073=0,"",[1]对账明细接口!$F$1073),"")</f>
        <v/>
      </c>
      <c r="G1073" s="59" t="str">
        <f aca="false">IFERROR(IF([1]对账明细接口!$G$1073=0,"",[1]对账明细接口!$G$1073),"")</f>
        <v/>
      </c>
      <c r="H1073" s="60" t="str">
        <f aca="false">IFERROR(IF([1]对账明细接口!$H$1073=0,"",[1]对账明细接口!$H$1073),"")</f>
        <v/>
      </c>
      <c r="I1073" s="59" t="str">
        <f aca="false">IFERROR(IF([1]对账明细接口!$I$1073=0,"",[1]对账明细接口!$I$1073),"")</f>
        <v/>
      </c>
      <c r="J1073" s="61" t="str">
        <f aca="false">IFERROR(IF([1]对账明细接口!$J$1073=0,"",[1]对账明细接口!$J$1073),"")</f>
        <v/>
      </c>
      <c r="K1073" s="61" t="str">
        <f aca="false">IFERROR(IF([1]对账明细接口!$K$1073=0,"",[1]对账明细接口!$K$1073),"")</f>
        <v/>
      </c>
      <c r="L1073" s="59" t="str">
        <f aca="false">IFERROR(IF([1]对账明细接口!$L$1073=0,"",[1]对账明细接口!$L$1073),"")</f>
        <v/>
      </c>
      <c r="M1073" s="59" t="str">
        <f aca="false">IFERROR(IF([1]对账明细接口!$M$1073=0,"",[1]对账明细接口!$M$1073),"")</f>
        <v/>
      </c>
      <c r="N1073" s="111" t="n">
        <f aca="false">IF($C1073="",0,1)</f>
        <v>0</v>
      </c>
      <c r="O1073" s="111" t="n">
        <f aca="false">N(O1072)+$N1073</f>
        <v>110</v>
      </c>
      <c r="S1073" s="10" t="str">
        <f aca="false">IFERROR(IF([1]对账明细接口!$N1073=0,"",[1]对账明细接口!$N1073),"")</f>
        <v/>
      </c>
      <c r="T1073" s="112" t="str">
        <f aca="false">IFERROR(IF([1]对账明细接口!$O1073=0,"",[1]对账明细接口!$O1073),"")</f>
        <v/>
      </c>
      <c r="U1073" s="112" t="str">
        <f aca="false">IFERROR(IF([1]对账明细接口!$P1073=0,"",[1]对账明细接口!$P1073),"")</f>
        <v/>
      </c>
      <c r="V1073" s="112" t="str">
        <f aca="false">IFERROR(IF([1]对账明细接口!$Q1073=0,"",[1]对账明细接口!$Q1073),"")</f>
        <v/>
      </c>
      <c r="W1073" s="10" t="str">
        <f aca="false">IFERROR(IF([1]对账明细接口!$R1073=0,"",[1]对账明细接口!$R1073),"")</f>
        <v/>
      </c>
      <c r="X1073" s="10" t="str">
        <f aca="false">IFERROR(IF([1]对账明细接口!$S1073=0,"",[1]对账明细接口!$S1073),"")</f>
        <v/>
      </c>
      <c r="Y1073" s="10" t="str">
        <f aca="false">""</f>
        <v/>
      </c>
      <c r="Z1073" s="10" t="str">
        <f aca="false">""</f>
        <v/>
      </c>
      <c r="AA1073" s="10" t="str">
        <f aca="false">""</f>
        <v/>
      </c>
      <c r="AB1073" s="10" t="str">
        <f aca="false">""</f>
        <v/>
      </c>
    </row>
    <row r="1074" customFormat="false" ht="13.5" hidden="false" customHeight="false" outlineLevel="0" collapsed="false">
      <c r="A1074" s="109" t="n">
        <v>1074</v>
      </c>
      <c r="B1074" s="110" t="str">
        <f aca="false">IFERROR(IF([1]对账明细接口!$B$1074=0,"",[1]对账明细接口!$B$1074),"")</f>
        <v/>
      </c>
      <c r="C1074" s="59" t="str">
        <f aca="false">IFERROR(IF([1]对账明细接口!$C$1074=0,"",[1]对账明细接口!$C$1074),"")</f>
        <v/>
      </c>
      <c r="D1074" s="59" t="str">
        <f aca="false">IFERROR(IF([1]对账明细接口!$D$1074=0,"",[1]对账明细接口!$D$1074),"")</f>
        <v/>
      </c>
      <c r="E1074" s="59" t="str">
        <f aca="false">IFERROR(IF([1]对账明细接口!$E$1074=0,"",[1]对账明细接口!$E$1074),"")</f>
        <v/>
      </c>
      <c r="F1074" s="59" t="str">
        <f aca="false">IFERROR(IF([1]对账明细接口!$F$1074=0,"",[1]对账明细接口!$F$1074),"")</f>
        <v/>
      </c>
      <c r="G1074" s="59" t="str">
        <f aca="false">IFERROR(IF([1]对账明细接口!$G$1074=0,"",[1]对账明细接口!$G$1074),"")</f>
        <v/>
      </c>
      <c r="H1074" s="60" t="str">
        <f aca="false">IFERROR(IF([1]对账明细接口!$H$1074=0,"",[1]对账明细接口!$H$1074),"")</f>
        <v/>
      </c>
      <c r="I1074" s="59" t="str">
        <f aca="false">IFERROR(IF([1]对账明细接口!$I$1074=0,"",[1]对账明细接口!$I$1074),"")</f>
        <v/>
      </c>
      <c r="J1074" s="61" t="str">
        <f aca="false">IFERROR(IF([1]对账明细接口!$J$1074=0,"",[1]对账明细接口!$J$1074),"")</f>
        <v/>
      </c>
      <c r="K1074" s="61" t="str">
        <f aca="false">IFERROR(IF([1]对账明细接口!$K$1074=0,"",[1]对账明细接口!$K$1074),"")</f>
        <v/>
      </c>
      <c r="L1074" s="59" t="str">
        <f aca="false">IFERROR(IF([1]对账明细接口!$L$1074=0,"",[1]对账明细接口!$L$1074),"")</f>
        <v/>
      </c>
      <c r="M1074" s="59" t="str">
        <f aca="false">IFERROR(IF([1]对账明细接口!$M$1074=0,"",[1]对账明细接口!$M$1074),"")</f>
        <v/>
      </c>
      <c r="N1074" s="111" t="n">
        <f aca="false">IF($C1074="",0,1)</f>
        <v>0</v>
      </c>
      <c r="O1074" s="111" t="n">
        <f aca="false">N(O1073)+$N1074</f>
        <v>110</v>
      </c>
      <c r="S1074" s="10" t="str">
        <f aca="false">IFERROR(IF([1]对账明细接口!$N1074=0,"",[1]对账明细接口!$N1074),"")</f>
        <v/>
      </c>
      <c r="T1074" s="112" t="str">
        <f aca="false">IFERROR(IF([1]对账明细接口!$O1074=0,"",[1]对账明细接口!$O1074),"")</f>
        <v/>
      </c>
      <c r="U1074" s="112" t="str">
        <f aca="false">IFERROR(IF([1]对账明细接口!$P1074=0,"",[1]对账明细接口!$P1074),"")</f>
        <v/>
      </c>
      <c r="V1074" s="112" t="str">
        <f aca="false">IFERROR(IF([1]对账明细接口!$Q1074=0,"",[1]对账明细接口!$Q1074),"")</f>
        <v/>
      </c>
      <c r="W1074" s="10" t="str">
        <f aca="false">IFERROR(IF([1]对账明细接口!$R1074=0,"",[1]对账明细接口!$R1074),"")</f>
        <v/>
      </c>
      <c r="X1074" s="10" t="str">
        <f aca="false">IFERROR(IF([1]对账明细接口!$S1074=0,"",[1]对账明细接口!$S1074),"")</f>
        <v/>
      </c>
      <c r="Y1074" s="10" t="str">
        <f aca="false">""</f>
        <v/>
      </c>
      <c r="Z1074" s="10" t="str">
        <f aca="false">""</f>
        <v/>
      </c>
      <c r="AA1074" s="10" t="str">
        <f aca="false">""</f>
        <v/>
      </c>
      <c r="AB1074" s="10" t="str">
        <f aca="false">""</f>
        <v/>
      </c>
    </row>
    <row r="1075" customFormat="false" ht="13.5" hidden="false" customHeight="false" outlineLevel="0" collapsed="false">
      <c r="A1075" s="109" t="n">
        <v>1075</v>
      </c>
      <c r="B1075" s="110" t="str">
        <f aca="false">IFERROR(IF([1]对账明细接口!$B$1075=0,"",[1]对账明细接口!$B$1075),"")</f>
        <v/>
      </c>
      <c r="C1075" s="59" t="str">
        <f aca="false">IFERROR(IF([1]对账明细接口!$C$1075=0,"",[1]对账明细接口!$C$1075),"")</f>
        <v/>
      </c>
      <c r="D1075" s="59" t="str">
        <f aca="false">IFERROR(IF([1]对账明细接口!$D$1075=0,"",[1]对账明细接口!$D$1075),"")</f>
        <v/>
      </c>
      <c r="E1075" s="59" t="str">
        <f aca="false">IFERROR(IF([1]对账明细接口!$E$1075=0,"",[1]对账明细接口!$E$1075),"")</f>
        <v/>
      </c>
      <c r="F1075" s="59" t="str">
        <f aca="false">IFERROR(IF([1]对账明细接口!$F$1075=0,"",[1]对账明细接口!$F$1075),"")</f>
        <v/>
      </c>
      <c r="G1075" s="59" t="str">
        <f aca="false">IFERROR(IF([1]对账明细接口!$G$1075=0,"",[1]对账明细接口!$G$1075),"")</f>
        <v/>
      </c>
      <c r="H1075" s="60" t="str">
        <f aca="false">IFERROR(IF([1]对账明细接口!$H$1075=0,"",[1]对账明细接口!$H$1075),"")</f>
        <v/>
      </c>
      <c r="I1075" s="59" t="str">
        <f aca="false">IFERROR(IF([1]对账明细接口!$I$1075=0,"",[1]对账明细接口!$I$1075),"")</f>
        <v/>
      </c>
      <c r="J1075" s="61" t="str">
        <f aca="false">IFERROR(IF([1]对账明细接口!$J$1075=0,"",[1]对账明细接口!$J$1075),"")</f>
        <v/>
      </c>
      <c r="K1075" s="61" t="str">
        <f aca="false">IFERROR(IF([1]对账明细接口!$K$1075=0,"",[1]对账明细接口!$K$1075),"")</f>
        <v/>
      </c>
      <c r="L1075" s="59" t="str">
        <f aca="false">IFERROR(IF([1]对账明细接口!$L$1075=0,"",[1]对账明细接口!$L$1075),"")</f>
        <v/>
      </c>
      <c r="M1075" s="59" t="str">
        <f aca="false">IFERROR(IF([1]对账明细接口!$M$1075=0,"",[1]对账明细接口!$M$1075),"")</f>
        <v/>
      </c>
      <c r="N1075" s="111" t="n">
        <f aca="false">IF($C1075="",0,1)</f>
        <v>0</v>
      </c>
      <c r="O1075" s="111" t="n">
        <f aca="false">N(O1074)+$N1075</f>
        <v>110</v>
      </c>
      <c r="S1075" s="10" t="str">
        <f aca="false">IFERROR(IF([1]对账明细接口!$N1075=0,"",[1]对账明细接口!$N1075),"")</f>
        <v/>
      </c>
      <c r="T1075" s="112" t="str">
        <f aca="false">IFERROR(IF([1]对账明细接口!$O1075=0,"",[1]对账明细接口!$O1075),"")</f>
        <v/>
      </c>
      <c r="U1075" s="112" t="str">
        <f aca="false">IFERROR(IF([1]对账明细接口!$P1075=0,"",[1]对账明细接口!$P1075),"")</f>
        <v/>
      </c>
      <c r="V1075" s="112" t="str">
        <f aca="false">IFERROR(IF([1]对账明细接口!$Q1075=0,"",[1]对账明细接口!$Q1075),"")</f>
        <v/>
      </c>
      <c r="W1075" s="10" t="str">
        <f aca="false">IFERROR(IF([1]对账明细接口!$R1075=0,"",[1]对账明细接口!$R1075),"")</f>
        <v/>
      </c>
      <c r="X1075" s="10" t="str">
        <f aca="false">IFERROR(IF([1]对账明细接口!$S1075=0,"",[1]对账明细接口!$S1075),"")</f>
        <v/>
      </c>
      <c r="Y1075" s="10" t="str">
        <f aca="false">""</f>
        <v/>
      </c>
      <c r="Z1075" s="10" t="str">
        <f aca="false">""</f>
        <v/>
      </c>
      <c r="AA1075" s="10" t="str">
        <f aca="false">""</f>
        <v/>
      </c>
      <c r="AB1075" s="10" t="str">
        <f aca="false">""</f>
        <v/>
      </c>
    </row>
    <row r="1076" customFormat="false" ht="13.5" hidden="false" customHeight="false" outlineLevel="0" collapsed="false">
      <c r="A1076" s="109" t="n">
        <v>1076</v>
      </c>
      <c r="B1076" s="110" t="str">
        <f aca="false">IFERROR(IF([1]对账明细接口!$B$1076=0,"",[1]对账明细接口!$B$1076),"")</f>
        <v/>
      </c>
      <c r="C1076" s="59" t="str">
        <f aca="false">IFERROR(IF([1]对账明细接口!$C$1076=0,"",[1]对账明细接口!$C$1076),"")</f>
        <v/>
      </c>
      <c r="D1076" s="59" t="str">
        <f aca="false">IFERROR(IF([1]对账明细接口!$D$1076=0,"",[1]对账明细接口!$D$1076),"")</f>
        <v/>
      </c>
      <c r="E1076" s="59" t="str">
        <f aca="false">IFERROR(IF([1]对账明细接口!$E$1076=0,"",[1]对账明细接口!$E$1076),"")</f>
        <v/>
      </c>
      <c r="F1076" s="59" t="str">
        <f aca="false">IFERROR(IF([1]对账明细接口!$F$1076=0,"",[1]对账明细接口!$F$1076),"")</f>
        <v/>
      </c>
      <c r="G1076" s="59" t="str">
        <f aca="false">IFERROR(IF([1]对账明细接口!$G$1076=0,"",[1]对账明细接口!$G$1076),"")</f>
        <v/>
      </c>
      <c r="H1076" s="60" t="str">
        <f aca="false">IFERROR(IF([1]对账明细接口!$H$1076=0,"",[1]对账明细接口!$H$1076),"")</f>
        <v/>
      </c>
      <c r="I1076" s="59" t="str">
        <f aca="false">IFERROR(IF([1]对账明细接口!$I$1076=0,"",[1]对账明细接口!$I$1076),"")</f>
        <v/>
      </c>
      <c r="J1076" s="61" t="str">
        <f aca="false">IFERROR(IF([1]对账明细接口!$J$1076=0,"",[1]对账明细接口!$J$1076),"")</f>
        <v/>
      </c>
      <c r="K1076" s="61" t="str">
        <f aca="false">IFERROR(IF([1]对账明细接口!$K$1076=0,"",[1]对账明细接口!$K$1076),"")</f>
        <v/>
      </c>
      <c r="L1076" s="59" t="str">
        <f aca="false">IFERROR(IF([1]对账明细接口!$L$1076=0,"",[1]对账明细接口!$L$1076),"")</f>
        <v/>
      </c>
      <c r="M1076" s="59" t="str">
        <f aca="false">IFERROR(IF([1]对账明细接口!$M$1076=0,"",[1]对账明细接口!$M$1076),"")</f>
        <v/>
      </c>
      <c r="N1076" s="111" t="n">
        <f aca="false">IF($C1076="",0,1)</f>
        <v>0</v>
      </c>
      <c r="O1076" s="111" t="n">
        <f aca="false">N(O1075)+$N1076</f>
        <v>110</v>
      </c>
      <c r="S1076" s="10" t="str">
        <f aca="false">IFERROR(IF([1]对账明细接口!$N1076=0,"",[1]对账明细接口!$N1076),"")</f>
        <v/>
      </c>
      <c r="T1076" s="112" t="str">
        <f aca="false">IFERROR(IF([1]对账明细接口!$O1076=0,"",[1]对账明细接口!$O1076),"")</f>
        <v/>
      </c>
      <c r="U1076" s="112" t="str">
        <f aca="false">IFERROR(IF([1]对账明细接口!$P1076=0,"",[1]对账明细接口!$P1076),"")</f>
        <v/>
      </c>
      <c r="V1076" s="112" t="str">
        <f aca="false">IFERROR(IF([1]对账明细接口!$Q1076=0,"",[1]对账明细接口!$Q1076),"")</f>
        <v/>
      </c>
      <c r="W1076" s="10" t="str">
        <f aca="false">IFERROR(IF([1]对账明细接口!$R1076=0,"",[1]对账明细接口!$R1076),"")</f>
        <v/>
      </c>
      <c r="X1076" s="10" t="str">
        <f aca="false">IFERROR(IF([1]对账明细接口!$S1076=0,"",[1]对账明细接口!$S1076),"")</f>
        <v/>
      </c>
      <c r="Y1076" s="10" t="str">
        <f aca="false">""</f>
        <v/>
      </c>
      <c r="Z1076" s="10" t="str">
        <f aca="false">""</f>
        <v/>
      </c>
      <c r="AA1076" s="10" t="str">
        <f aca="false">""</f>
        <v/>
      </c>
      <c r="AB1076" s="10" t="str">
        <f aca="false">""</f>
        <v/>
      </c>
    </row>
    <row r="1077" customFormat="false" ht="13.5" hidden="false" customHeight="false" outlineLevel="0" collapsed="false">
      <c r="A1077" s="109" t="n">
        <v>1077</v>
      </c>
      <c r="B1077" s="110" t="str">
        <f aca="false">IFERROR(IF([1]对账明细接口!$B$1077=0,"",[1]对账明细接口!$B$1077),"")</f>
        <v/>
      </c>
      <c r="C1077" s="59" t="str">
        <f aca="false">IFERROR(IF([1]对账明细接口!$C$1077=0,"",[1]对账明细接口!$C$1077),"")</f>
        <v/>
      </c>
      <c r="D1077" s="59" t="str">
        <f aca="false">IFERROR(IF([1]对账明细接口!$D$1077=0,"",[1]对账明细接口!$D$1077),"")</f>
        <v/>
      </c>
      <c r="E1077" s="59" t="str">
        <f aca="false">IFERROR(IF([1]对账明细接口!$E$1077=0,"",[1]对账明细接口!$E$1077),"")</f>
        <v/>
      </c>
      <c r="F1077" s="59" t="str">
        <f aca="false">IFERROR(IF([1]对账明细接口!$F$1077=0,"",[1]对账明细接口!$F$1077),"")</f>
        <v/>
      </c>
      <c r="G1077" s="59" t="str">
        <f aca="false">IFERROR(IF([1]对账明细接口!$G$1077=0,"",[1]对账明细接口!$G$1077),"")</f>
        <v/>
      </c>
      <c r="H1077" s="60" t="str">
        <f aca="false">IFERROR(IF([1]对账明细接口!$H$1077=0,"",[1]对账明细接口!$H$1077),"")</f>
        <v/>
      </c>
      <c r="I1077" s="59" t="str">
        <f aca="false">IFERROR(IF([1]对账明细接口!$I$1077=0,"",[1]对账明细接口!$I$1077),"")</f>
        <v/>
      </c>
      <c r="J1077" s="61" t="str">
        <f aca="false">IFERROR(IF([1]对账明细接口!$J$1077=0,"",[1]对账明细接口!$J$1077),"")</f>
        <v/>
      </c>
      <c r="K1077" s="61" t="str">
        <f aca="false">IFERROR(IF([1]对账明细接口!$K$1077=0,"",[1]对账明细接口!$K$1077),"")</f>
        <v/>
      </c>
      <c r="L1077" s="59" t="str">
        <f aca="false">IFERROR(IF([1]对账明细接口!$L$1077=0,"",[1]对账明细接口!$L$1077),"")</f>
        <v/>
      </c>
      <c r="M1077" s="59" t="str">
        <f aca="false">IFERROR(IF([1]对账明细接口!$M$1077=0,"",[1]对账明细接口!$M$1077),"")</f>
        <v/>
      </c>
      <c r="N1077" s="111" t="n">
        <f aca="false">IF($C1077="",0,1)</f>
        <v>0</v>
      </c>
      <c r="O1077" s="111" t="n">
        <f aca="false">N(O1076)+$N1077</f>
        <v>110</v>
      </c>
      <c r="S1077" s="10" t="str">
        <f aca="false">IFERROR(IF([1]对账明细接口!$N1077=0,"",[1]对账明细接口!$N1077),"")</f>
        <v/>
      </c>
      <c r="T1077" s="112" t="str">
        <f aca="false">IFERROR(IF([1]对账明细接口!$O1077=0,"",[1]对账明细接口!$O1077),"")</f>
        <v/>
      </c>
      <c r="U1077" s="112" t="str">
        <f aca="false">IFERROR(IF([1]对账明细接口!$P1077=0,"",[1]对账明细接口!$P1077),"")</f>
        <v/>
      </c>
      <c r="V1077" s="112" t="str">
        <f aca="false">IFERROR(IF([1]对账明细接口!$Q1077=0,"",[1]对账明细接口!$Q1077),"")</f>
        <v/>
      </c>
      <c r="W1077" s="10" t="str">
        <f aca="false">IFERROR(IF([1]对账明细接口!$R1077=0,"",[1]对账明细接口!$R1077),"")</f>
        <v/>
      </c>
      <c r="X1077" s="10" t="str">
        <f aca="false">IFERROR(IF([1]对账明细接口!$S1077=0,"",[1]对账明细接口!$S1077),"")</f>
        <v/>
      </c>
      <c r="Y1077" s="10" t="str">
        <f aca="false">""</f>
        <v/>
      </c>
      <c r="Z1077" s="10" t="str">
        <f aca="false">""</f>
        <v/>
      </c>
      <c r="AA1077" s="10" t="str">
        <f aca="false">""</f>
        <v/>
      </c>
      <c r="AB1077" s="10" t="str">
        <f aca="false">""</f>
        <v/>
      </c>
    </row>
    <row r="1078" customFormat="false" ht="13.5" hidden="false" customHeight="false" outlineLevel="0" collapsed="false">
      <c r="A1078" s="109" t="n">
        <v>1078</v>
      </c>
      <c r="B1078" s="110" t="str">
        <f aca="false">IFERROR(IF([1]对账明细接口!$B$1078=0,"",[1]对账明细接口!$B$1078),"")</f>
        <v/>
      </c>
      <c r="C1078" s="59" t="str">
        <f aca="false">IFERROR(IF([1]对账明细接口!$C$1078=0,"",[1]对账明细接口!$C$1078),"")</f>
        <v/>
      </c>
      <c r="D1078" s="59" t="str">
        <f aca="false">IFERROR(IF([1]对账明细接口!$D$1078=0,"",[1]对账明细接口!$D$1078),"")</f>
        <v/>
      </c>
      <c r="E1078" s="59" t="str">
        <f aca="false">IFERROR(IF([1]对账明细接口!$E$1078=0,"",[1]对账明细接口!$E$1078),"")</f>
        <v/>
      </c>
      <c r="F1078" s="59" t="str">
        <f aca="false">IFERROR(IF([1]对账明细接口!$F$1078=0,"",[1]对账明细接口!$F$1078),"")</f>
        <v/>
      </c>
      <c r="G1078" s="59" t="str">
        <f aca="false">IFERROR(IF([1]对账明细接口!$G$1078=0,"",[1]对账明细接口!$G$1078),"")</f>
        <v/>
      </c>
      <c r="H1078" s="60" t="str">
        <f aca="false">IFERROR(IF([1]对账明细接口!$H$1078=0,"",[1]对账明细接口!$H$1078),"")</f>
        <v/>
      </c>
      <c r="I1078" s="59" t="str">
        <f aca="false">IFERROR(IF([1]对账明细接口!$I$1078=0,"",[1]对账明细接口!$I$1078),"")</f>
        <v/>
      </c>
      <c r="J1078" s="61" t="str">
        <f aca="false">IFERROR(IF([1]对账明细接口!$J$1078=0,"",[1]对账明细接口!$J$1078),"")</f>
        <v/>
      </c>
      <c r="K1078" s="61" t="str">
        <f aca="false">IFERROR(IF([1]对账明细接口!$K$1078=0,"",[1]对账明细接口!$K$1078),"")</f>
        <v/>
      </c>
      <c r="L1078" s="59" t="str">
        <f aca="false">IFERROR(IF([1]对账明细接口!$L$1078=0,"",[1]对账明细接口!$L$1078),"")</f>
        <v/>
      </c>
      <c r="M1078" s="59" t="str">
        <f aca="false">IFERROR(IF([1]对账明细接口!$M$1078=0,"",[1]对账明细接口!$M$1078),"")</f>
        <v/>
      </c>
      <c r="N1078" s="111" t="n">
        <f aca="false">IF($C1078="",0,1)</f>
        <v>0</v>
      </c>
      <c r="O1078" s="111" t="n">
        <f aca="false">N(O1077)+$N1078</f>
        <v>110</v>
      </c>
      <c r="S1078" s="10" t="str">
        <f aca="false">IFERROR(IF([1]对账明细接口!$N1078=0,"",[1]对账明细接口!$N1078),"")</f>
        <v/>
      </c>
      <c r="T1078" s="112" t="str">
        <f aca="false">IFERROR(IF([1]对账明细接口!$O1078=0,"",[1]对账明细接口!$O1078),"")</f>
        <v/>
      </c>
      <c r="U1078" s="112" t="str">
        <f aca="false">IFERROR(IF([1]对账明细接口!$P1078=0,"",[1]对账明细接口!$P1078),"")</f>
        <v/>
      </c>
      <c r="V1078" s="112" t="str">
        <f aca="false">IFERROR(IF([1]对账明细接口!$Q1078=0,"",[1]对账明细接口!$Q1078),"")</f>
        <v/>
      </c>
      <c r="W1078" s="10" t="str">
        <f aca="false">IFERROR(IF([1]对账明细接口!$R1078=0,"",[1]对账明细接口!$R1078),"")</f>
        <v/>
      </c>
      <c r="X1078" s="10" t="str">
        <f aca="false">IFERROR(IF([1]对账明细接口!$S1078=0,"",[1]对账明细接口!$S1078),"")</f>
        <v/>
      </c>
      <c r="Y1078" s="10" t="str">
        <f aca="false">""</f>
        <v/>
      </c>
      <c r="Z1078" s="10" t="str">
        <f aca="false">""</f>
        <v/>
      </c>
      <c r="AA1078" s="10" t="str">
        <f aca="false">""</f>
        <v/>
      </c>
      <c r="AB1078" s="10" t="str">
        <f aca="false">""</f>
        <v/>
      </c>
    </row>
    <row r="1079" customFormat="false" ht="13.5" hidden="false" customHeight="false" outlineLevel="0" collapsed="false">
      <c r="A1079" s="109" t="n">
        <v>1079</v>
      </c>
      <c r="B1079" s="110" t="str">
        <f aca="false">IFERROR(IF([1]对账明细接口!$B$1079=0,"",[1]对账明细接口!$B$1079),"")</f>
        <v/>
      </c>
      <c r="C1079" s="59" t="str">
        <f aca="false">IFERROR(IF([1]对账明细接口!$C$1079=0,"",[1]对账明细接口!$C$1079),"")</f>
        <v/>
      </c>
      <c r="D1079" s="59" t="str">
        <f aca="false">IFERROR(IF([1]对账明细接口!$D$1079=0,"",[1]对账明细接口!$D$1079),"")</f>
        <v/>
      </c>
      <c r="E1079" s="59" t="str">
        <f aca="false">IFERROR(IF([1]对账明细接口!$E$1079=0,"",[1]对账明细接口!$E$1079),"")</f>
        <v/>
      </c>
      <c r="F1079" s="59" t="str">
        <f aca="false">IFERROR(IF([1]对账明细接口!$F$1079=0,"",[1]对账明细接口!$F$1079),"")</f>
        <v/>
      </c>
      <c r="G1079" s="59" t="str">
        <f aca="false">IFERROR(IF([1]对账明细接口!$G$1079=0,"",[1]对账明细接口!$G$1079),"")</f>
        <v/>
      </c>
      <c r="H1079" s="60" t="str">
        <f aca="false">IFERROR(IF([1]对账明细接口!$H$1079=0,"",[1]对账明细接口!$H$1079),"")</f>
        <v/>
      </c>
      <c r="I1079" s="59" t="str">
        <f aca="false">IFERROR(IF([1]对账明细接口!$I$1079=0,"",[1]对账明细接口!$I$1079),"")</f>
        <v/>
      </c>
      <c r="J1079" s="61" t="str">
        <f aca="false">IFERROR(IF([1]对账明细接口!$J$1079=0,"",[1]对账明细接口!$J$1079),"")</f>
        <v/>
      </c>
      <c r="K1079" s="61" t="str">
        <f aca="false">IFERROR(IF([1]对账明细接口!$K$1079=0,"",[1]对账明细接口!$K$1079),"")</f>
        <v/>
      </c>
      <c r="L1079" s="59" t="str">
        <f aca="false">IFERROR(IF([1]对账明细接口!$L$1079=0,"",[1]对账明细接口!$L$1079),"")</f>
        <v/>
      </c>
      <c r="M1079" s="59" t="str">
        <f aca="false">IFERROR(IF([1]对账明细接口!$M$1079=0,"",[1]对账明细接口!$M$1079),"")</f>
        <v/>
      </c>
      <c r="N1079" s="111" t="n">
        <f aca="false">IF($C1079="",0,1)</f>
        <v>0</v>
      </c>
      <c r="O1079" s="111" t="n">
        <f aca="false">N(O1078)+$N1079</f>
        <v>110</v>
      </c>
      <c r="S1079" s="10" t="str">
        <f aca="false">IFERROR(IF([1]对账明细接口!$N1079=0,"",[1]对账明细接口!$N1079),"")</f>
        <v/>
      </c>
      <c r="T1079" s="112" t="str">
        <f aca="false">IFERROR(IF([1]对账明细接口!$O1079=0,"",[1]对账明细接口!$O1079),"")</f>
        <v/>
      </c>
      <c r="U1079" s="112" t="str">
        <f aca="false">IFERROR(IF([1]对账明细接口!$P1079=0,"",[1]对账明细接口!$P1079),"")</f>
        <v/>
      </c>
      <c r="V1079" s="112" t="str">
        <f aca="false">IFERROR(IF([1]对账明细接口!$Q1079=0,"",[1]对账明细接口!$Q1079),"")</f>
        <v/>
      </c>
      <c r="W1079" s="10" t="str">
        <f aca="false">IFERROR(IF([1]对账明细接口!$R1079=0,"",[1]对账明细接口!$R1079),"")</f>
        <v/>
      </c>
      <c r="X1079" s="10" t="str">
        <f aca="false">IFERROR(IF([1]对账明细接口!$S1079=0,"",[1]对账明细接口!$S1079),"")</f>
        <v/>
      </c>
      <c r="Y1079" s="10" t="str">
        <f aca="false">""</f>
        <v/>
      </c>
      <c r="Z1079" s="10" t="str">
        <f aca="false">""</f>
        <v/>
      </c>
      <c r="AA1079" s="10" t="str">
        <f aca="false">""</f>
        <v/>
      </c>
      <c r="AB1079" s="10" t="str">
        <f aca="false">""</f>
        <v/>
      </c>
    </row>
    <row r="1080" customFormat="false" ht="13.5" hidden="false" customHeight="false" outlineLevel="0" collapsed="false">
      <c r="A1080" s="109" t="n">
        <v>1080</v>
      </c>
      <c r="B1080" s="110" t="str">
        <f aca="false">IFERROR(IF([1]对账明细接口!$B$1080=0,"",[1]对账明细接口!$B$1080),"")</f>
        <v/>
      </c>
      <c r="C1080" s="59" t="str">
        <f aca="false">IFERROR(IF([1]对账明细接口!$C$1080=0,"",[1]对账明细接口!$C$1080),"")</f>
        <v/>
      </c>
      <c r="D1080" s="59" t="str">
        <f aca="false">IFERROR(IF([1]对账明细接口!$D$1080=0,"",[1]对账明细接口!$D$1080),"")</f>
        <v/>
      </c>
      <c r="E1080" s="59" t="str">
        <f aca="false">IFERROR(IF([1]对账明细接口!$E$1080=0,"",[1]对账明细接口!$E$1080),"")</f>
        <v/>
      </c>
      <c r="F1080" s="59" t="str">
        <f aca="false">IFERROR(IF([1]对账明细接口!$F$1080=0,"",[1]对账明细接口!$F$1080),"")</f>
        <v/>
      </c>
      <c r="G1080" s="59" t="str">
        <f aca="false">IFERROR(IF([1]对账明细接口!$G$1080=0,"",[1]对账明细接口!$G$1080),"")</f>
        <v/>
      </c>
      <c r="H1080" s="60" t="str">
        <f aca="false">IFERROR(IF([1]对账明细接口!$H$1080=0,"",[1]对账明细接口!$H$1080),"")</f>
        <v/>
      </c>
      <c r="I1080" s="59" t="str">
        <f aca="false">IFERROR(IF([1]对账明细接口!$I$1080=0,"",[1]对账明细接口!$I$1080),"")</f>
        <v/>
      </c>
      <c r="J1080" s="61" t="str">
        <f aca="false">IFERROR(IF([1]对账明细接口!$J$1080=0,"",[1]对账明细接口!$J$1080),"")</f>
        <v/>
      </c>
      <c r="K1080" s="61" t="str">
        <f aca="false">IFERROR(IF([1]对账明细接口!$K$1080=0,"",[1]对账明细接口!$K$1080),"")</f>
        <v/>
      </c>
      <c r="L1080" s="59" t="str">
        <f aca="false">IFERROR(IF([1]对账明细接口!$L$1080=0,"",[1]对账明细接口!$L$1080),"")</f>
        <v/>
      </c>
      <c r="M1080" s="59" t="str">
        <f aca="false">IFERROR(IF([1]对账明细接口!$M$1080=0,"",[1]对账明细接口!$M$1080),"")</f>
        <v/>
      </c>
      <c r="N1080" s="111" t="n">
        <f aca="false">IF($C1080="",0,1)</f>
        <v>0</v>
      </c>
      <c r="O1080" s="111" t="n">
        <f aca="false">N(O1079)+$N1080</f>
        <v>110</v>
      </c>
      <c r="S1080" s="10" t="str">
        <f aca="false">IFERROR(IF([1]对账明细接口!$N1080=0,"",[1]对账明细接口!$N1080),"")</f>
        <v/>
      </c>
      <c r="T1080" s="112" t="str">
        <f aca="false">IFERROR(IF([1]对账明细接口!$O1080=0,"",[1]对账明细接口!$O1080),"")</f>
        <v/>
      </c>
      <c r="U1080" s="112" t="str">
        <f aca="false">IFERROR(IF([1]对账明细接口!$P1080=0,"",[1]对账明细接口!$P1080),"")</f>
        <v/>
      </c>
      <c r="V1080" s="112" t="str">
        <f aca="false">IFERROR(IF([1]对账明细接口!$Q1080=0,"",[1]对账明细接口!$Q1080),"")</f>
        <v/>
      </c>
      <c r="W1080" s="10" t="str">
        <f aca="false">IFERROR(IF([1]对账明细接口!$R1080=0,"",[1]对账明细接口!$R1080),"")</f>
        <v/>
      </c>
      <c r="X1080" s="10" t="str">
        <f aca="false">IFERROR(IF([1]对账明细接口!$S1080=0,"",[1]对账明细接口!$S1080),"")</f>
        <v/>
      </c>
      <c r="Y1080" s="10" t="str">
        <f aca="false">""</f>
        <v/>
      </c>
      <c r="Z1080" s="10" t="str">
        <f aca="false">""</f>
        <v/>
      </c>
      <c r="AA1080" s="10" t="str">
        <f aca="false">""</f>
        <v/>
      </c>
      <c r="AB1080" s="10" t="str">
        <f aca="false">""</f>
        <v/>
      </c>
    </row>
    <row r="1081" customFormat="false" ht="13.5" hidden="false" customHeight="false" outlineLevel="0" collapsed="false">
      <c r="A1081" s="109" t="n">
        <v>1081</v>
      </c>
      <c r="B1081" s="110" t="str">
        <f aca="false">IFERROR(IF([1]对账明细接口!$B$1081=0,"",[1]对账明细接口!$B$1081),"")</f>
        <v/>
      </c>
      <c r="C1081" s="59" t="str">
        <f aca="false">IFERROR(IF([1]对账明细接口!$C$1081=0,"",[1]对账明细接口!$C$1081),"")</f>
        <v/>
      </c>
      <c r="D1081" s="59" t="str">
        <f aca="false">IFERROR(IF([1]对账明细接口!$D$1081=0,"",[1]对账明细接口!$D$1081),"")</f>
        <v/>
      </c>
      <c r="E1081" s="59" t="str">
        <f aca="false">IFERROR(IF([1]对账明细接口!$E$1081=0,"",[1]对账明细接口!$E$1081),"")</f>
        <v/>
      </c>
      <c r="F1081" s="59" t="str">
        <f aca="false">IFERROR(IF([1]对账明细接口!$F$1081=0,"",[1]对账明细接口!$F$1081),"")</f>
        <v/>
      </c>
      <c r="G1081" s="59" t="str">
        <f aca="false">IFERROR(IF([1]对账明细接口!$G$1081=0,"",[1]对账明细接口!$G$1081),"")</f>
        <v/>
      </c>
      <c r="H1081" s="60" t="str">
        <f aca="false">IFERROR(IF([1]对账明细接口!$H$1081=0,"",[1]对账明细接口!$H$1081),"")</f>
        <v/>
      </c>
      <c r="I1081" s="59" t="str">
        <f aca="false">IFERROR(IF([1]对账明细接口!$I$1081=0,"",[1]对账明细接口!$I$1081),"")</f>
        <v/>
      </c>
      <c r="J1081" s="61" t="str">
        <f aca="false">IFERROR(IF([1]对账明细接口!$J$1081=0,"",[1]对账明细接口!$J$1081),"")</f>
        <v/>
      </c>
      <c r="K1081" s="61" t="str">
        <f aca="false">IFERROR(IF([1]对账明细接口!$K$1081=0,"",[1]对账明细接口!$K$1081),"")</f>
        <v/>
      </c>
      <c r="L1081" s="59" t="str">
        <f aca="false">IFERROR(IF([1]对账明细接口!$L$1081=0,"",[1]对账明细接口!$L$1081),"")</f>
        <v/>
      </c>
      <c r="M1081" s="59" t="str">
        <f aca="false">IFERROR(IF([1]对账明细接口!$M$1081=0,"",[1]对账明细接口!$M$1081),"")</f>
        <v/>
      </c>
      <c r="N1081" s="111" t="n">
        <f aca="false">IF($C1081="",0,1)</f>
        <v>0</v>
      </c>
      <c r="O1081" s="111" t="n">
        <f aca="false">N(O1080)+$N1081</f>
        <v>110</v>
      </c>
      <c r="S1081" s="10" t="str">
        <f aca="false">IFERROR(IF([1]对账明细接口!$N1081=0,"",[1]对账明细接口!$N1081),"")</f>
        <v/>
      </c>
      <c r="T1081" s="112" t="str">
        <f aca="false">IFERROR(IF([1]对账明细接口!$O1081=0,"",[1]对账明细接口!$O1081),"")</f>
        <v/>
      </c>
      <c r="U1081" s="112" t="str">
        <f aca="false">IFERROR(IF([1]对账明细接口!$P1081=0,"",[1]对账明细接口!$P1081),"")</f>
        <v/>
      </c>
      <c r="V1081" s="112" t="str">
        <f aca="false">IFERROR(IF([1]对账明细接口!$Q1081=0,"",[1]对账明细接口!$Q1081),"")</f>
        <v/>
      </c>
      <c r="W1081" s="10" t="str">
        <f aca="false">IFERROR(IF([1]对账明细接口!$R1081=0,"",[1]对账明细接口!$R1081),"")</f>
        <v/>
      </c>
      <c r="X1081" s="10" t="str">
        <f aca="false">IFERROR(IF([1]对账明细接口!$S1081=0,"",[1]对账明细接口!$S1081),"")</f>
        <v/>
      </c>
      <c r="Y1081" s="10" t="str">
        <f aca="false">""</f>
        <v/>
      </c>
      <c r="Z1081" s="10" t="str">
        <f aca="false">""</f>
        <v/>
      </c>
      <c r="AA1081" s="10" t="str">
        <f aca="false">""</f>
        <v/>
      </c>
      <c r="AB1081" s="10" t="str">
        <f aca="false">""</f>
        <v/>
      </c>
    </row>
    <row r="1082" customFormat="false" ht="13.5" hidden="false" customHeight="false" outlineLevel="0" collapsed="false">
      <c r="A1082" s="109" t="n">
        <v>1082</v>
      </c>
      <c r="B1082" s="110" t="str">
        <f aca="false">IFERROR(IF([1]对账明细接口!$B$1082=0,"",[1]对账明细接口!$B$1082),"")</f>
        <v/>
      </c>
      <c r="C1082" s="59" t="str">
        <f aca="false">IFERROR(IF([1]对账明细接口!$C$1082=0,"",[1]对账明细接口!$C$1082),"")</f>
        <v/>
      </c>
      <c r="D1082" s="59" t="str">
        <f aca="false">IFERROR(IF([1]对账明细接口!$D$1082=0,"",[1]对账明细接口!$D$1082),"")</f>
        <v/>
      </c>
      <c r="E1082" s="59" t="str">
        <f aca="false">IFERROR(IF([1]对账明细接口!$E$1082=0,"",[1]对账明细接口!$E$1082),"")</f>
        <v/>
      </c>
      <c r="F1082" s="59" t="str">
        <f aca="false">IFERROR(IF([1]对账明细接口!$F$1082=0,"",[1]对账明细接口!$F$1082),"")</f>
        <v/>
      </c>
      <c r="G1082" s="59" t="str">
        <f aca="false">IFERROR(IF([1]对账明细接口!$G$1082=0,"",[1]对账明细接口!$G$1082),"")</f>
        <v/>
      </c>
      <c r="H1082" s="60" t="str">
        <f aca="false">IFERROR(IF([1]对账明细接口!$H$1082=0,"",[1]对账明细接口!$H$1082),"")</f>
        <v/>
      </c>
      <c r="I1082" s="59" t="str">
        <f aca="false">IFERROR(IF([1]对账明细接口!$I$1082=0,"",[1]对账明细接口!$I$1082),"")</f>
        <v/>
      </c>
      <c r="J1082" s="61" t="str">
        <f aca="false">IFERROR(IF([1]对账明细接口!$J$1082=0,"",[1]对账明细接口!$J$1082),"")</f>
        <v/>
      </c>
      <c r="K1082" s="61" t="str">
        <f aca="false">IFERROR(IF([1]对账明细接口!$K$1082=0,"",[1]对账明细接口!$K$1082),"")</f>
        <v/>
      </c>
      <c r="L1082" s="59" t="str">
        <f aca="false">IFERROR(IF([1]对账明细接口!$L$1082=0,"",[1]对账明细接口!$L$1082),"")</f>
        <v/>
      </c>
      <c r="M1082" s="59" t="str">
        <f aca="false">IFERROR(IF([1]对账明细接口!$M$1082=0,"",[1]对账明细接口!$M$1082),"")</f>
        <v/>
      </c>
      <c r="N1082" s="111" t="n">
        <f aca="false">IF($C1082="",0,1)</f>
        <v>0</v>
      </c>
      <c r="O1082" s="111" t="n">
        <f aca="false">N(O1081)+$N1082</f>
        <v>110</v>
      </c>
      <c r="S1082" s="10" t="str">
        <f aca="false">IFERROR(IF([1]对账明细接口!$N1082=0,"",[1]对账明细接口!$N1082),"")</f>
        <v/>
      </c>
      <c r="T1082" s="112" t="str">
        <f aca="false">IFERROR(IF([1]对账明细接口!$O1082=0,"",[1]对账明细接口!$O1082),"")</f>
        <v/>
      </c>
      <c r="U1082" s="112" t="str">
        <f aca="false">IFERROR(IF([1]对账明细接口!$P1082=0,"",[1]对账明细接口!$P1082),"")</f>
        <v/>
      </c>
      <c r="V1082" s="112" t="str">
        <f aca="false">IFERROR(IF([1]对账明细接口!$Q1082=0,"",[1]对账明细接口!$Q1082),"")</f>
        <v/>
      </c>
      <c r="W1082" s="10" t="str">
        <f aca="false">IFERROR(IF([1]对账明细接口!$R1082=0,"",[1]对账明细接口!$R1082),"")</f>
        <v/>
      </c>
      <c r="X1082" s="10" t="str">
        <f aca="false">IFERROR(IF([1]对账明细接口!$S1082=0,"",[1]对账明细接口!$S1082),"")</f>
        <v/>
      </c>
      <c r="Y1082" s="10" t="str">
        <f aca="false">""</f>
        <v/>
      </c>
      <c r="Z1082" s="10" t="str">
        <f aca="false">""</f>
        <v/>
      </c>
      <c r="AA1082" s="10" t="str">
        <f aca="false">""</f>
        <v/>
      </c>
      <c r="AB1082" s="10" t="str">
        <f aca="false">""</f>
        <v/>
      </c>
    </row>
    <row r="1083" customFormat="false" ht="13.5" hidden="false" customHeight="false" outlineLevel="0" collapsed="false">
      <c r="A1083" s="109" t="n">
        <v>1083</v>
      </c>
      <c r="B1083" s="110" t="str">
        <f aca="false">IFERROR(IF([1]对账明细接口!$B$1083=0,"",[1]对账明细接口!$B$1083),"")</f>
        <v/>
      </c>
      <c r="C1083" s="59" t="str">
        <f aca="false">IFERROR(IF([1]对账明细接口!$C$1083=0,"",[1]对账明细接口!$C$1083),"")</f>
        <v/>
      </c>
      <c r="D1083" s="59" t="str">
        <f aca="false">IFERROR(IF([1]对账明细接口!$D$1083=0,"",[1]对账明细接口!$D$1083),"")</f>
        <v/>
      </c>
      <c r="E1083" s="59" t="str">
        <f aca="false">IFERROR(IF([1]对账明细接口!$E$1083=0,"",[1]对账明细接口!$E$1083),"")</f>
        <v/>
      </c>
      <c r="F1083" s="59" t="str">
        <f aca="false">IFERROR(IF([1]对账明细接口!$F$1083=0,"",[1]对账明细接口!$F$1083),"")</f>
        <v/>
      </c>
      <c r="G1083" s="59" t="str">
        <f aca="false">IFERROR(IF([1]对账明细接口!$G$1083=0,"",[1]对账明细接口!$G$1083),"")</f>
        <v/>
      </c>
      <c r="H1083" s="60" t="str">
        <f aca="false">IFERROR(IF([1]对账明细接口!$H$1083=0,"",[1]对账明细接口!$H$1083),"")</f>
        <v/>
      </c>
      <c r="I1083" s="59" t="str">
        <f aca="false">IFERROR(IF([1]对账明细接口!$I$1083=0,"",[1]对账明细接口!$I$1083),"")</f>
        <v/>
      </c>
      <c r="J1083" s="61" t="str">
        <f aca="false">IFERROR(IF([1]对账明细接口!$J$1083=0,"",[1]对账明细接口!$J$1083),"")</f>
        <v/>
      </c>
      <c r="K1083" s="61" t="str">
        <f aca="false">IFERROR(IF([1]对账明细接口!$K$1083=0,"",[1]对账明细接口!$K$1083),"")</f>
        <v/>
      </c>
      <c r="L1083" s="59" t="str">
        <f aca="false">IFERROR(IF([1]对账明细接口!$L$1083=0,"",[1]对账明细接口!$L$1083),"")</f>
        <v/>
      </c>
      <c r="M1083" s="59" t="str">
        <f aca="false">IFERROR(IF([1]对账明细接口!$M$1083=0,"",[1]对账明细接口!$M$1083),"")</f>
        <v/>
      </c>
      <c r="N1083" s="111" t="n">
        <f aca="false">IF($C1083="",0,1)</f>
        <v>0</v>
      </c>
      <c r="O1083" s="111" t="n">
        <f aca="false">N(O1082)+$N1083</f>
        <v>110</v>
      </c>
      <c r="S1083" s="10" t="str">
        <f aca="false">IFERROR(IF([1]对账明细接口!$N1083=0,"",[1]对账明细接口!$N1083),"")</f>
        <v/>
      </c>
      <c r="T1083" s="112" t="str">
        <f aca="false">IFERROR(IF([1]对账明细接口!$O1083=0,"",[1]对账明细接口!$O1083),"")</f>
        <v/>
      </c>
      <c r="U1083" s="112" t="str">
        <f aca="false">IFERROR(IF([1]对账明细接口!$P1083=0,"",[1]对账明细接口!$P1083),"")</f>
        <v/>
      </c>
      <c r="V1083" s="112" t="str">
        <f aca="false">IFERROR(IF([1]对账明细接口!$Q1083=0,"",[1]对账明细接口!$Q1083),"")</f>
        <v/>
      </c>
      <c r="W1083" s="10" t="str">
        <f aca="false">IFERROR(IF([1]对账明细接口!$R1083=0,"",[1]对账明细接口!$R1083),"")</f>
        <v/>
      </c>
      <c r="X1083" s="10" t="str">
        <f aca="false">IFERROR(IF([1]对账明细接口!$S1083=0,"",[1]对账明细接口!$S1083),"")</f>
        <v/>
      </c>
      <c r="Y1083" s="10" t="str">
        <f aca="false">""</f>
        <v/>
      </c>
      <c r="Z1083" s="10" t="str">
        <f aca="false">""</f>
        <v/>
      </c>
      <c r="AA1083" s="10" t="str">
        <f aca="false">""</f>
        <v/>
      </c>
      <c r="AB1083" s="10" t="str">
        <f aca="false">""</f>
        <v/>
      </c>
    </row>
    <row r="1084" customFormat="false" ht="13.5" hidden="false" customHeight="false" outlineLevel="0" collapsed="false">
      <c r="A1084" s="109" t="n">
        <v>1084</v>
      </c>
      <c r="B1084" s="110" t="str">
        <f aca="false">IFERROR(IF([1]对账明细接口!$B$1084=0,"",[1]对账明细接口!$B$1084),"")</f>
        <v/>
      </c>
      <c r="C1084" s="59" t="str">
        <f aca="false">IFERROR(IF([1]对账明细接口!$C$1084=0,"",[1]对账明细接口!$C$1084),"")</f>
        <v/>
      </c>
      <c r="D1084" s="59" t="str">
        <f aca="false">IFERROR(IF([1]对账明细接口!$D$1084=0,"",[1]对账明细接口!$D$1084),"")</f>
        <v/>
      </c>
      <c r="E1084" s="59" t="str">
        <f aca="false">IFERROR(IF([1]对账明细接口!$E$1084=0,"",[1]对账明细接口!$E$1084),"")</f>
        <v/>
      </c>
      <c r="F1084" s="59" t="str">
        <f aca="false">IFERROR(IF([1]对账明细接口!$F$1084=0,"",[1]对账明细接口!$F$1084),"")</f>
        <v/>
      </c>
      <c r="G1084" s="59" t="str">
        <f aca="false">IFERROR(IF([1]对账明细接口!$G$1084=0,"",[1]对账明细接口!$G$1084),"")</f>
        <v/>
      </c>
      <c r="H1084" s="60" t="str">
        <f aca="false">IFERROR(IF([1]对账明细接口!$H$1084=0,"",[1]对账明细接口!$H$1084),"")</f>
        <v/>
      </c>
      <c r="I1084" s="59" t="str">
        <f aca="false">IFERROR(IF([1]对账明细接口!$I$1084=0,"",[1]对账明细接口!$I$1084),"")</f>
        <v/>
      </c>
      <c r="J1084" s="61" t="str">
        <f aca="false">IFERROR(IF([1]对账明细接口!$J$1084=0,"",[1]对账明细接口!$J$1084),"")</f>
        <v/>
      </c>
      <c r="K1084" s="61" t="str">
        <f aca="false">IFERROR(IF([1]对账明细接口!$K$1084=0,"",[1]对账明细接口!$K$1084),"")</f>
        <v/>
      </c>
      <c r="L1084" s="59" t="str">
        <f aca="false">IFERROR(IF([1]对账明细接口!$L$1084=0,"",[1]对账明细接口!$L$1084),"")</f>
        <v/>
      </c>
      <c r="M1084" s="59" t="str">
        <f aca="false">IFERROR(IF([1]对账明细接口!$M$1084=0,"",[1]对账明细接口!$M$1084),"")</f>
        <v/>
      </c>
      <c r="N1084" s="111" t="n">
        <f aca="false">IF($C1084="",0,1)</f>
        <v>0</v>
      </c>
      <c r="O1084" s="111" t="n">
        <f aca="false">N(O1083)+$N1084</f>
        <v>110</v>
      </c>
      <c r="S1084" s="10" t="str">
        <f aca="false">IFERROR(IF([1]对账明细接口!$N1084=0,"",[1]对账明细接口!$N1084),"")</f>
        <v/>
      </c>
      <c r="T1084" s="112" t="str">
        <f aca="false">IFERROR(IF([1]对账明细接口!$O1084=0,"",[1]对账明细接口!$O1084),"")</f>
        <v/>
      </c>
      <c r="U1084" s="112" t="str">
        <f aca="false">IFERROR(IF([1]对账明细接口!$P1084=0,"",[1]对账明细接口!$P1084),"")</f>
        <v/>
      </c>
      <c r="V1084" s="112" t="str">
        <f aca="false">IFERROR(IF([1]对账明细接口!$Q1084=0,"",[1]对账明细接口!$Q1084),"")</f>
        <v/>
      </c>
      <c r="W1084" s="10" t="str">
        <f aca="false">IFERROR(IF([1]对账明细接口!$R1084=0,"",[1]对账明细接口!$R1084),"")</f>
        <v/>
      </c>
      <c r="X1084" s="10" t="str">
        <f aca="false">IFERROR(IF([1]对账明细接口!$S1084=0,"",[1]对账明细接口!$S1084),"")</f>
        <v/>
      </c>
      <c r="Y1084" s="10" t="str">
        <f aca="false">""</f>
        <v/>
      </c>
      <c r="Z1084" s="10" t="str">
        <f aca="false">""</f>
        <v/>
      </c>
      <c r="AA1084" s="10" t="str">
        <f aca="false">""</f>
        <v/>
      </c>
      <c r="AB1084" s="10" t="str">
        <f aca="false">""</f>
        <v/>
      </c>
    </row>
    <row r="1085" customFormat="false" ht="13.5" hidden="false" customHeight="false" outlineLevel="0" collapsed="false">
      <c r="A1085" s="109" t="n">
        <v>1085</v>
      </c>
      <c r="B1085" s="110" t="str">
        <f aca="false">IFERROR(IF([1]对账明细接口!$B$1085=0,"",[1]对账明细接口!$B$1085),"")</f>
        <v/>
      </c>
      <c r="C1085" s="59" t="str">
        <f aca="false">IFERROR(IF([1]对账明细接口!$C$1085=0,"",[1]对账明细接口!$C$1085),"")</f>
        <v/>
      </c>
      <c r="D1085" s="59" t="str">
        <f aca="false">IFERROR(IF([1]对账明细接口!$D$1085=0,"",[1]对账明细接口!$D$1085),"")</f>
        <v/>
      </c>
      <c r="E1085" s="59" t="str">
        <f aca="false">IFERROR(IF([1]对账明细接口!$E$1085=0,"",[1]对账明细接口!$E$1085),"")</f>
        <v/>
      </c>
      <c r="F1085" s="59" t="str">
        <f aca="false">IFERROR(IF([1]对账明细接口!$F$1085=0,"",[1]对账明细接口!$F$1085),"")</f>
        <v/>
      </c>
      <c r="G1085" s="59" t="str">
        <f aca="false">IFERROR(IF([1]对账明细接口!$G$1085=0,"",[1]对账明细接口!$G$1085),"")</f>
        <v/>
      </c>
      <c r="H1085" s="60" t="str">
        <f aca="false">IFERROR(IF([1]对账明细接口!$H$1085=0,"",[1]对账明细接口!$H$1085),"")</f>
        <v/>
      </c>
      <c r="I1085" s="59" t="str">
        <f aca="false">IFERROR(IF([1]对账明细接口!$I$1085=0,"",[1]对账明细接口!$I$1085),"")</f>
        <v/>
      </c>
      <c r="J1085" s="61" t="str">
        <f aca="false">IFERROR(IF([1]对账明细接口!$J$1085=0,"",[1]对账明细接口!$J$1085),"")</f>
        <v/>
      </c>
      <c r="K1085" s="61" t="str">
        <f aca="false">IFERROR(IF([1]对账明细接口!$K$1085=0,"",[1]对账明细接口!$K$1085),"")</f>
        <v/>
      </c>
      <c r="L1085" s="59" t="str">
        <f aca="false">IFERROR(IF([1]对账明细接口!$L$1085=0,"",[1]对账明细接口!$L$1085),"")</f>
        <v/>
      </c>
      <c r="M1085" s="59" t="str">
        <f aca="false">IFERROR(IF([1]对账明细接口!$M$1085=0,"",[1]对账明细接口!$M$1085),"")</f>
        <v/>
      </c>
      <c r="N1085" s="111" t="n">
        <f aca="false">IF($C1085="",0,1)</f>
        <v>0</v>
      </c>
      <c r="O1085" s="111" t="n">
        <f aca="false">N(O1084)+$N1085</f>
        <v>110</v>
      </c>
      <c r="S1085" s="10" t="str">
        <f aca="false">IFERROR(IF([1]对账明细接口!$N1085=0,"",[1]对账明细接口!$N1085),"")</f>
        <v/>
      </c>
      <c r="T1085" s="112" t="str">
        <f aca="false">IFERROR(IF([1]对账明细接口!$O1085=0,"",[1]对账明细接口!$O1085),"")</f>
        <v/>
      </c>
      <c r="U1085" s="112" t="str">
        <f aca="false">IFERROR(IF([1]对账明细接口!$P1085=0,"",[1]对账明细接口!$P1085),"")</f>
        <v/>
      </c>
      <c r="V1085" s="112" t="str">
        <f aca="false">IFERROR(IF([1]对账明细接口!$Q1085=0,"",[1]对账明细接口!$Q1085),"")</f>
        <v/>
      </c>
      <c r="W1085" s="10" t="str">
        <f aca="false">IFERROR(IF([1]对账明细接口!$R1085=0,"",[1]对账明细接口!$R1085),"")</f>
        <v/>
      </c>
      <c r="X1085" s="10" t="str">
        <f aca="false">IFERROR(IF([1]对账明细接口!$S1085=0,"",[1]对账明细接口!$S1085),"")</f>
        <v/>
      </c>
      <c r="Y1085" s="10" t="str">
        <f aca="false">""</f>
        <v/>
      </c>
      <c r="Z1085" s="10" t="str">
        <f aca="false">""</f>
        <v/>
      </c>
      <c r="AA1085" s="10" t="str">
        <f aca="false">""</f>
        <v/>
      </c>
      <c r="AB1085" s="10" t="str">
        <f aca="false">""</f>
        <v/>
      </c>
    </row>
    <row r="1086" customFormat="false" ht="13.5" hidden="false" customHeight="false" outlineLevel="0" collapsed="false">
      <c r="A1086" s="109" t="n">
        <v>1086</v>
      </c>
      <c r="B1086" s="110" t="str">
        <f aca="false">IFERROR(IF([1]对账明细接口!$B$1086=0,"",[1]对账明细接口!$B$1086),"")</f>
        <v/>
      </c>
      <c r="C1086" s="59" t="str">
        <f aca="false">IFERROR(IF([1]对账明细接口!$C$1086=0,"",[1]对账明细接口!$C$1086),"")</f>
        <v/>
      </c>
      <c r="D1086" s="59" t="str">
        <f aca="false">IFERROR(IF([1]对账明细接口!$D$1086=0,"",[1]对账明细接口!$D$1086),"")</f>
        <v/>
      </c>
      <c r="E1086" s="59" t="str">
        <f aca="false">IFERROR(IF([1]对账明细接口!$E$1086=0,"",[1]对账明细接口!$E$1086),"")</f>
        <v/>
      </c>
      <c r="F1086" s="59" t="str">
        <f aca="false">IFERROR(IF([1]对账明细接口!$F$1086=0,"",[1]对账明细接口!$F$1086),"")</f>
        <v/>
      </c>
      <c r="G1086" s="59" t="str">
        <f aca="false">IFERROR(IF([1]对账明细接口!$G$1086=0,"",[1]对账明细接口!$G$1086),"")</f>
        <v/>
      </c>
      <c r="H1086" s="60" t="str">
        <f aca="false">IFERROR(IF([1]对账明细接口!$H$1086=0,"",[1]对账明细接口!$H$1086),"")</f>
        <v/>
      </c>
      <c r="I1086" s="59" t="str">
        <f aca="false">IFERROR(IF([1]对账明细接口!$I$1086=0,"",[1]对账明细接口!$I$1086),"")</f>
        <v/>
      </c>
      <c r="J1086" s="61" t="str">
        <f aca="false">IFERROR(IF([1]对账明细接口!$J$1086=0,"",[1]对账明细接口!$J$1086),"")</f>
        <v/>
      </c>
      <c r="K1086" s="61" t="str">
        <f aca="false">IFERROR(IF([1]对账明细接口!$K$1086=0,"",[1]对账明细接口!$K$1086),"")</f>
        <v/>
      </c>
      <c r="L1086" s="59" t="str">
        <f aca="false">IFERROR(IF([1]对账明细接口!$L$1086=0,"",[1]对账明细接口!$L$1086),"")</f>
        <v/>
      </c>
      <c r="M1086" s="59" t="str">
        <f aca="false">IFERROR(IF([1]对账明细接口!$M$1086=0,"",[1]对账明细接口!$M$1086),"")</f>
        <v/>
      </c>
      <c r="N1086" s="111" t="n">
        <f aca="false">IF($C1086="",0,1)</f>
        <v>0</v>
      </c>
      <c r="O1086" s="111" t="n">
        <f aca="false">N(O1085)+$N1086</f>
        <v>110</v>
      </c>
      <c r="S1086" s="10" t="str">
        <f aca="false">IFERROR(IF([1]对账明细接口!$N1086=0,"",[1]对账明细接口!$N1086),"")</f>
        <v/>
      </c>
      <c r="T1086" s="112" t="str">
        <f aca="false">IFERROR(IF([1]对账明细接口!$O1086=0,"",[1]对账明细接口!$O1086),"")</f>
        <v/>
      </c>
      <c r="U1086" s="112" t="str">
        <f aca="false">IFERROR(IF([1]对账明细接口!$P1086=0,"",[1]对账明细接口!$P1086),"")</f>
        <v/>
      </c>
      <c r="V1086" s="112" t="str">
        <f aca="false">IFERROR(IF([1]对账明细接口!$Q1086=0,"",[1]对账明细接口!$Q1086),"")</f>
        <v/>
      </c>
      <c r="W1086" s="10" t="str">
        <f aca="false">IFERROR(IF([1]对账明细接口!$R1086=0,"",[1]对账明细接口!$R1086),"")</f>
        <v/>
      </c>
      <c r="X1086" s="10" t="str">
        <f aca="false">IFERROR(IF([1]对账明细接口!$S1086=0,"",[1]对账明细接口!$S1086),"")</f>
        <v/>
      </c>
      <c r="Y1086" s="10" t="str">
        <f aca="false">""</f>
        <v/>
      </c>
      <c r="Z1086" s="10" t="str">
        <f aca="false">""</f>
        <v/>
      </c>
      <c r="AA1086" s="10" t="str">
        <f aca="false">""</f>
        <v/>
      </c>
      <c r="AB1086" s="10" t="str">
        <f aca="false">""</f>
        <v/>
      </c>
    </row>
    <row r="1087" customFormat="false" ht="13.5" hidden="false" customHeight="false" outlineLevel="0" collapsed="false">
      <c r="A1087" s="109" t="n">
        <v>1087</v>
      </c>
      <c r="B1087" s="110" t="str">
        <f aca="false">IFERROR(IF([1]对账明细接口!$B$1087=0,"",[1]对账明细接口!$B$1087),"")</f>
        <v/>
      </c>
      <c r="C1087" s="59" t="str">
        <f aca="false">IFERROR(IF([1]对账明细接口!$C$1087=0,"",[1]对账明细接口!$C$1087),"")</f>
        <v/>
      </c>
      <c r="D1087" s="59" t="str">
        <f aca="false">IFERROR(IF([1]对账明细接口!$D$1087=0,"",[1]对账明细接口!$D$1087),"")</f>
        <v/>
      </c>
      <c r="E1087" s="59" t="str">
        <f aca="false">IFERROR(IF([1]对账明细接口!$E$1087=0,"",[1]对账明细接口!$E$1087),"")</f>
        <v/>
      </c>
      <c r="F1087" s="59" t="str">
        <f aca="false">IFERROR(IF([1]对账明细接口!$F$1087=0,"",[1]对账明细接口!$F$1087),"")</f>
        <v/>
      </c>
      <c r="G1087" s="59" t="str">
        <f aca="false">IFERROR(IF([1]对账明细接口!$G$1087=0,"",[1]对账明细接口!$G$1087),"")</f>
        <v/>
      </c>
      <c r="H1087" s="60" t="str">
        <f aca="false">IFERROR(IF([1]对账明细接口!$H$1087=0,"",[1]对账明细接口!$H$1087),"")</f>
        <v/>
      </c>
      <c r="I1087" s="59" t="str">
        <f aca="false">IFERROR(IF([1]对账明细接口!$I$1087=0,"",[1]对账明细接口!$I$1087),"")</f>
        <v/>
      </c>
      <c r="J1087" s="61" t="str">
        <f aca="false">IFERROR(IF([1]对账明细接口!$J$1087=0,"",[1]对账明细接口!$J$1087),"")</f>
        <v/>
      </c>
      <c r="K1087" s="61" t="str">
        <f aca="false">IFERROR(IF([1]对账明细接口!$K$1087=0,"",[1]对账明细接口!$K$1087),"")</f>
        <v/>
      </c>
      <c r="L1087" s="59" t="str">
        <f aca="false">IFERROR(IF([1]对账明细接口!$L$1087=0,"",[1]对账明细接口!$L$1087),"")</f>
        <v/>
      </c>
      <c r="M1087" s="59" t="str">
        <f aca="false">IFERROR(IF([1]对账明细接口!$M$1087=0,"",[1]对账明细接口!$M$1087),"")</f>
        <v/>
      </c>
      <c r="N1087" s="111" t="n">
        <f aca="false">IF($C1087="",0,1)</f>
        <v>0</v>
      </c>
      <c r="O1087" s="111" t="n">
        <f aca="false">N(O1086)+$N1087</f>
        <v>110</v>
      </c>
      <c r="S1087" s="10" t="str">
        <f aca="false">IFERROR(IF([1]对账明细接口!$N1087=0,"",[1]对账明细接口!$N1087),"")</f>
        <v/>
      </c>
      <c r="T1087" s="112" t="str">
        <f aca="false">IFERROR(IF([1]对账明细接口!$O1087=0,"",[1]对账明细接口!$O1087),"")</f>
        <v/>
      </c>
      <c r="U1087" s="112" t="str">
        <f aca="false">IFERROR(IF([1]对账明细接口!$P1087=0,"",[1]对账明细接口!$P1087),"")</f>
        <v/>
      </c>
      <c r="V1087" s="112" t="str">
        <f aca="false">IFERROR(IF([1]对账明细接口!$Q1087=0,"",[1]对账明细接口!$Q1087),"")</f>
        <v/>
      </c>
      <c r="W1087" s="10" t="str">
        <f aca="false">IFERROR(IF([1]对账明细接口!$R1087=0,"",[1]对账明细接口!$R1087),"")</f>
        <v/>
      </c>
      <c r="X1087" s="10" t="str">
        <f aca="false">IFERROR(IF([1]对账明细接口!$S1087=0,"",[1]对账明细接口!$S1087),"")</f>
        <v/>
      </c>
      <c r="Y1087" s="10" t="str">
        <f aca="false">""</f>
        <v/>
      </c>
      <c r="Z1087" s="10" t="str">
        <f aca="false">""</f>
        <v/>
      </c>
      <c r="AA1087" s="10" t="str">
        <f aca="false">""</f>
        <v/>
      </c>
      <c r="AB1087" s="10" t="str">
        <f aca="false">""</f>
        <v/>
      </c>
    </row>
    <row r="1088" customFormat="false" ht="13.5" hidden="false" customHeight="false" outlineLevel="0" collapsed="false">
      <c r="A1088" s="109" t="n">
        <v>1088</v>
      </c>
      <c r="B1088" s="110" t="str">
        <f aca="false">IFERROR(IF([1]对账明细接口!$B$1088=0,"",[1]对账明细接口!$B$1088),"")</f>
        <v/>
      </c>
      <c r="C1088" s="59" t="str">
        <f aca="false">IFERROR(IF([1]对账明细接口!$C$1088=0,"",[1]对账明细接口!$C$1088),"")</f>
        <v/>
      </c>
      <c r="D1088" s="59" t="str">
        <f aca="false">IFERROR(IF([1]对账明细接口!$D$1088=0,"",[1]对账明细接口!$D$1088),"")</f>
        <v/>
      </c>
      <c r="E1088" s="59" t="str">
        <f aca="false">IFERROR(IF([1]对账明细接口!$E$1088=0,"",[1]对账明细接口!$E$1088),"")</f>
        <v/>
      </c>
      <c r="F1088" s="59" t="str">
        <f aca="false">IFERROR(IF([1]对账明细接口!$F$1088=0,"",[1]对账明细接口!$F$1088),"")</f>
        <v/>
      </c>
      <c r="G1088" s="59" t="str">
        <f aca="false">IFERROR(IF([1]对账明细接口!$G$1088=0,"",[1]对账明细接口!$G$1088),"")</f>
        <v/>
      </c>
      <c r="H1088" s="60" t="str">
        <f aca="false">IFERROR(IF([1]对账明细接口!$H$1088=0,"",[1]对账明细接口!$H$1088),"")</f>
        <v/>
      </c>
      <c r="I1088" s="59" t="str">
        <f aca="false">IFERROR(IF([1]对账明细接口!$I$1088=0,"",[1]对账明细接口!$I$1088),"")</f>
        <v/>
      </c>
      <c r="J1088" s="61" t="str">
        <f aca="false">IFERROR(IF([1]对账明细接口!$J$1088=0,"",[1]对账明细接口!$J$1088),"")</f>
        <v/>
      </c>
      <c r="K1088" s="61" t="str">
        <f aca="false">IFERROR(IF([1]对账明细接口!$K$1088=0,"",[1]对账明细接口!$K$1088),"")</f>
        <v/>
      </c>
      <c r="L1088" s="59" t="str">
        <f aca="false">IFERROR(IF([1]对账明细接口!$L$1088=0,"",[1]对账明细接口!$L$1088),"")</f>
        <v/>
      </c>
      <c r="M1088" s="59" t="str">
        <f aca="false">IFERROR(IF([1]对账明细接口!$M$1088=0,"",[1]对账明细接口!$M$1088),"")</f>
        <v/>
      </c>
      <c r="N1088" s="111" t="n">
        <f aca="false">IF($C1088="",0,1)</f>
        <v>0</v>
      </c>
      <c r="O1088" s="111" t="n">
        <f aca="false">N(O1087)+$N1088</f>
        <v>110</v>
      </c>
      <c r="S1088" s="10" t="str">
        <f aca="false">IFERROR(IF([1]对账明细接口!$N1088=0,"",[1]对账明细接口!$N1088),"")</f>
        <v/>
      </c>
      <c r="T1088" s="112" t="str">
        <f aca="false">IFERROR(IF([1]对账明细接口!$O1088=0,"",[1]对账明细接口!$O1088),"")</f>
        <v/>
      </c>
      <c r="U1088" s="112" t="str">
        <f aca="false">IFERROR(IF([1]对账明细接口!$P1088=0,"",[1]对账明细接口!$P1088),"")</f>
        <v/>
      </c>
      <c r="V1088" s="112" t="str">
        <f aca="false">IFERROR(IF([1]对账明细接口!$Q1088=0,"",[1]对账明细接口!$Q1088),"")</f>
        <v/>
      </c>
      <c r="W1088" s="10" t="str">
        <f aca="false">IFERROR(IF([1]对账明细接口!$R1088=0,"",[1]对账明细接口!$R1088),"")</f>
        <v/>
      </c>
      <c r="X1088" s="10" t="str">
        <f aca="false">IFERROR(IF([1]对账明细接口!$S1088=0,"",[1]对账明细接口!$S1088),"")</f>
        <v/>
      </c>
      <c r="Y1088" s="10" t="str">
        <f aca="false">""</f>
        <v/>
      </c>
      <c r="Z1088" s="10" t="str">
        <f aca="false">""</f>
        <v/>
      </c>
      <c r="AA1088" s="10" t="str">
        <f aca="false">""</f>
        <v/>
      </c>
      <c r="AB1088" s="10" t="str">
        <f aca="false">""</f>
        <v/>
      </c>
    </row>
    <row r="1089" customFormat="false" ht="13.5" hidden="false" customHeight="false" outlineLevel="0" collapsed="false">
      <c r="A1089" s="109" t="n">
        <v>1089</v>
      </c>
      <c r="B1089" s="110" t="str">
        <f aca="false">IFERROR(IF([1]对账明细接口!$B$1089=0,"",[1]对账明细接口!$B$1089),"")</f>
        <v/>
      </c>
      <c r="C1089" s="59" t="str">
        <f aca="false">IFERROR(IF([1]对账明细接口!$C$1089=0,"",[1]对账明细接口!$C$1089),"")</f>
        <v/>
      </c>
      <c r="D1089" s="59" t="str">
        <f aca="false">IFERROR(IF([1]对账明细接口!$D$1089=0,"",[1]对账明细接口!$D$1089),"")</f>
        <v/>
      </c>
      <c r="E1089" s="59" t="str">
        <f aca="false">IFERROR(IF([1]对账明细接口!$E$1089=0,"",[1]对账明细接口!$E$1089),"")</f>
        <v/>
      </c>
      <c r="F1089" s="59" t="str">
        <f aca="false">IFERROR(IF([1]对账明细接口!$F$1089=0,"",[1]对账明细接口!$F$1089),"")</f>
        <v/>
      </c>
      <c r="G1089" s="59" t="str">
        <f aca="false">IFERROR(IF([1]对账明细接口!$G$1089=0,"",[1]对账明细接口!$G$1089),"")</f>
        <v/>
      </c>
      <c r="H1089" s="60" t="str">
        <f aca="false">IFERROR(IF([1]对账明细接口!$H$1089=0,"",[1]对账明细接口!$H$1089),"")</f>
        <v/>
      </c>
      <c r="I1089" s="59" t="str">
        <f aca="false">IFERROR(IF([1]对账明细接口!$I$1089=0,"",[1]对账明细接口!$I$1089),"")</f>
        <v/>
      </c>
      <c r="J1089" s="61" t="str">
        <f aca="false">IFERROR(IF([1]对账明细接口!$J$1089=0,"",[1]对账明细接口!$J$1089),"")</f>
        <v/>
      </c>
      <c r="K1089" s="61" t="str">
        <f aca="false">IFERROR(IF([1]对账明细接口!$K$1089=0,"",[1]对账明细接口!$K$1089),"")</f>
        <v/>
      </c>
      <c r="L1089" s="59" t="str">
        <f aca="false">IFERROR(IF([1]对账明细接口!$L$1089=0,"",[1]对账明细接口!$L$1089),"")</f>
        <v/>
      </c>
      <c r="M1089" s="59" t="str">
        <f aca="false">IFERROR(IF([1]对账明细接口!$M$1089=0,"",[1]对账明细接口!$M$1089),"")</f>
        <v/>
      </c>
      <c r="N1089" s="111" t="n">
        <f aca="false">IF($C1089="",0,1)</f>
        <v>0</v>
      </c>
      <c r="O1089" s="111" t="n">
        <f aca="false">N(O1088)+$N1089</f>
        <v>110</v>
      </c>
      <c r="S1089" s="10" t="str">
        <f aca="false">IFERROR(IF([1]对账明细接口!$N1089=0,"",[1]对账明细接口!$N1089),"")</f>
        <v/>
      </c>
      <c r="T1089" s="112" t="str">
        <f aca="false">IFERROR(IF([1]对账明细接口!$O1089=0,"",[1]对账明细接口!$O1089),"")</f>
        <v/>
      </c>
      <c r="U1089" s="112" t="str">
        <f aca="false">IFERROR(IF([1]对账明细接口!$P1089=0,"",[1]对账明细接口!$P1089),"")</f>
        <v/>
      </c>
      <c r="V1089" s="112" t="str">
        <f aca="false">IFERROR(IF([1]对账明细接口!$Q1089=0,"",[1]对账明细接口!$Q1089),"")</f>
        <v/>
      </c>
      <c r="W1089" s="10" t="str">
        <f aca="false">IFERROR(IF([1]对账明细接口!$R1089=0,"",[1]对账明细接口!$R1089),"")</f>
        <v/>
      </c>
      <c r="X1089" s="10" t="str">
        <f aca="false">IFERROR(IF([1]对账明细接口!$S1089=0,"",[1]对账明细接口!$S1089),"")</f>
        <v/>
      </c>
      <c r="Y1089" s="10" t="str">
        <f aca="false">""</f>
        <v/>
      </c>
      <c r="Z1089" s="10" t="str">
        <f aca="false">""</f>
        <v/>
      </c>
      <c r="AA1089" s="10" t="str">
        <f aca="false">""</f>
        <v/>
      </c>
      <c r="AB1089" s="10" t="str">
        <f aca="false">""</f>
        <v/>
      </c>
    </row>
    <row r="1090" customFormat="false" ht="13.5" hidden="false" customHeight="false" outlineLevel="0" collapsed="false">
      <c r="A1090" s="109" t="n">
        <v>1090</v>
      </c>
      <c r="B1090" s="110" t="str">
        <f aca="false">IFERROR(IF([1]对账明细接口!$B$1090=0,"",[1]对账明细接口!$B$1090),"")</f>
        <v/>
      </c>
      <c r="C1090" s="59" t="str">
        <f aca="false">IFERROR(IF([1]对账明细接口!$C$1090=0,"",[1]对账明细接口!$C$1090),"")</f>
        <v/>
      </c>
      <c r="D1090" s="59" t="str">
        <f aca="false">IFERROR(IF([1]对账明细接口!$D$1090=0,"",[1]对账明细接口!$D$1090),"")</f>
        <v/>
      </c>
      <c r="E1090" s="59" t="str">
        <f aca="false">IFERROR(IF([1]对账明细接口!$E$1090=0,"",[1]对账明细接口!$E$1090),"")</f>
        <v/>
      </c>
      <c r="F1090" s="59" t="str">
        <f aca="false">IFERROR(IF([1]对账明细接口!$F$1090=0,"",[1]对账明细接口!$F$1090),"")</f>
        <v/>
      </c>
      <c r="G1090" s="59" t="str">
        <f aca="false">IFERROR(IF([1]对账明细接口!$G$1090=0,"",[1]对账明细接口!$G$1090),"")</f>
        <v/>
      </c>
      <c r="H1090" s="60" t="str">
        <f aca="false">IFERROR(IF([1]对账明细接口!$H$1090=0,"",[1]对账明细接口!$H$1090),"")</f>
        <v/>
      </c>
      <c r="I1090" s="59" t="str">
        <f aca="false">IFERROR(IF([1]对账明细接口!$I$1090=0,"",[1]对账明细接口!$I$1090),"")</f>
        <v/>
      </c>
      <c r="J1090" s="61" t="str">
        <f aca="false">IFERROR(IF([1]对账明细接口!$J$1090=0,"",[1]对账明细接口!$J$1090),"")</f>
        <v/>
      </c>
      <c r="K1090" s="61" t="str">
        <f aca="false">IFERROR(IF([1]对账明细接口!$K$1090=0,"",[1]对账明细接口!$K$1090),"")</f>
        <v/>
      </c>
      <c r="L1090" s="59" t="str">
        <f aca="false">IFERROR(IF([1]对账明细接口!$L$1090=0,"",[1]对账明细接口!$L$1090),"")</f>
        <v/>
      </c>
      <c r="M1090" s="59" t="str">
        <f aca="false">IFERROR(IF([1]对账明细接口!$M$1090=0,"",[1]对账明细接口!$M$1090),"")</f>
        <v/>
      </c>
      <c r="N1090" s="111" t="n">
        <f aca="false">IF($C1090="",0,1)</f>
        <v>0</v>
      </c>
      <c r="O1090" s="111" t="n">
        <f aca="false">N(O1089)+$N1090</f>
        <v>110</v>
      </c>
      <c r="S1090" s="10" t="str">
        <f aca="false">IFERROR(IF([1]对账明细接口!$N1090=0,"",[1]对账明细接口!$N1090),"")</f>
        <v/>
      </c>
      <c r="T1090" s="112" t="str">
        <f aca="false">IFERROR(IF([1]对账明细接口!$O1090=0,"",[1]对账明细接口!$O1090),"")</f>
        <v/>
      </c>
      <c r="U1090" s="112" t="str">
        <f aca="false">IFERROR(IF([1]对账明细接口!$P1090=0,"",[1]对账明细接口!$P1090),"")</f>
        <v/>
      </c>
      <c r="V1090" s="112" t="str">
        <f aca="false">IFERROR(IF([1]对账明细接口!$Q1090=0,"",[1]对账明细接口!$Q1090),"")</f>
        <v/>
      </c>
      <c r="W1090" s="10" t="str">
        <f aca="false">IFERROR(IF([1]对账明细接口!$R1090=0,"",[1]对账明细接口!$R1090),"")</f>
        <v/>
      </c>
      <c r="X1090" s="10" t="str">
        <f aca="false">IFERROR(IF([1]对账明细接口!$S1090=0,"",[1]对账明细接口!$S1090),"")</f>
        <v/>
      </c>
      <c r="Y1090" s="10" t="str">
        <f aca="false">""</f>
        <v/>
      </c>
      <c r="Z1090" s="10" t="str">
        <f aca="false">""</f>
        <v/>
      </c>
      <c r="AA1090" s="10" t="str">
        <f aca="false">""</f>
        <v/>
      </c>
      <c r="AB1090" s="10" t="str">
        <f aca="false">""</f>
        <v/>
      </c>
    </row>
    <row r="1091" customFormat="false" ht="13.5" hidden="false" customHeight="false" outlineLevel="0" collapsed="false">
      <c r="A1091" s="109" t="n">
        <v>1091</v>
      </c>
      <c r="B1091" s="110" t="str">
        <f aca="false">IFERROR(IF([1]对账明细接口!$B$1091=0,"",[1]对账明细接口!$B$1091),"")</f>
        <v/>
      </c>
      <c r="C1091" s="59" t="str">
        <f aca="false">IFERROR(IF([1]对账明细接口!$C$1091=0,"",[1]对账明细接口!$C$1091),"")</f>
        <v/>
      </c>
      <c r="D1091" s="59" t="str">
        <f aca="false">IFERROR(IF([1]对账明细接口!$D$1091=0,"",[1]对账明细接口!$D$1091),"")</f>
        <v/>
      </c>
      <c r="E1091" s="59" t="str">
        <f aca="false">IFERROR(IF([1]对账明细接口!$E$1091=0,"",[1]对账明细接口!$E$1091),"")</f>
        <v/>
      </c>
      <c r="F1091" s="59" t="str">
        <f aca="false">IFERROR(IF([1]对账明细接口!$F$1091=0,"",[1]对账明细接口!$F$1091),"")</f>
        <v/>
      </c>
      <c r="G1091" s="59" t="str">
        <f aca="false">IFERROR(IF([1]对账明细接口!$G$1091=0,"",[1]对账明细接口!$G$1091),"")</f>
        <v/>
      </c>
      <c r="H1091" s="60" t="str">
        <f aca="false">IFERROR(IF([1]对账明细接口!$H$1091=0,"",[1]对账明细接口!$H$1091),"")</f>
        <v/>
      </c>
      <c r="I1091" s="59" t="str">
        <f aca="false">IFERROR(IF([1]对账明细接口!$I$1091=0,"",[1]对账明细接口!$I$1091),"")</f>
        <v/>
      </c>
      <c r="J1091" s="61" t="str">
        <f aca="false">IFERROR(IF([1]对账明细接口!$J$1091=0,"",[1]对账明细接口!$J$1091),"")</f>
        <v/>
      </c>
      <c r="K1091" s="61" t="str">
        <f aca="false">IFERROR(IF([1]对账明细接口!$K$1091=0,"",[1]对账明细接口!$K$1091),"")</f>
        <v/>
      </c>
      <c r="L1091" s="59" t="str">
        <f aca="false">IFERROR(IF([1]对账明细接口!$L$1091=0,"",[1]对账明细接口!$L$1091),"")</f>
        <v/>
      </c>
      <c r="M1091" s="59" t="str">
        <f aca="false">IFERROR(IF([1]对账明细接口!$M$1091=0,"",[1]对账明细接口!$M$1091),"")</f>
        <v/>
      </c>
      <c r="N1091" s="111" t="n">
        <f aca="false">IF($C1091="",0,1)</f>
        <v>0</v>
      </c>
      <c r="O1091" s="111" t="n">
        <f aca="false">N(O1090)+$N1091</f>
        <v>110</v>
      </c>
      <c r="S1091" s="10" t="str">
        <f aca="false">IFERROR(IF([1]对账明细接口!$N1091=0,"",[1]对账明细接口!$N1091),"")</f>
        <v/>
      </c>
      <c r="T1091" s="112" t="str">
        <f aca="false">IFERROR(IF([1]对账明细接口!$O1091=0,"",[1]对账明细接口!$O1091),"")</f>
        <v/>
      </c>
      <c r="U1091" s="112" t="str">
        <f aca="false">IFERROR(IF([1]对账明细接口!$P1091=0,"",[1]对账明细接口!$P1091),"")</f>
        <v/>
      </c>
      <c r="V1091" s="112" t="str">
        <f aca="false">IFERROR(IF([1]对账明细接口!$Q1091=0,"",[1]对账明细接口!$Q1091),"")</f>
        <v/>
      </c>
      <c r="W1091" s="10" t="str">
        <f aca="false">IFERROR(IF([1]对账明细接口!$R1091=0,"",[1]对账明细接口!$R1091),"")</f>
        <v/>
      </c>
      <c r="X1091" s="10" t="str">
        <f aca="false">IFERROR(IF([1]对账明细接口!$S1091=0,"",[1]对账明细接口!$S1091),"")</f>
        <v/>
      </c>
      <c r="Y1091" s="10" t="str">
        <f aca="false">""</f>
        <v/>
      </c>
      <c r="Z1091" s="10" t="str">
        <f aca="false">""</f>
        <v/>
      </c>
      <c r="AA1091" s="10" t="str">
        <f aca="false">""</f>
        <v/>
      </c>
      <c r="AB1091" s="10" t="str">
        <f aca="false">""</f>
        <v/>
      </c>
    </row>
    <row r="1092" customFormat="false" ht="13.5" hidden="false" customHeight="false" outlineLevel="0" collapsed="false">
      <c r="A1092" s="109" t="n">
        <v>1092</v>
      </c>
      <c r="B1092" s="110" t="str">
        <f aca="false">IFERROR(IF([1]对账明细接口!$B$1092=0,"",[1]对账明细接口!$B$1092),"")</f>
        <v/>
      </c>
      <c r="C1092" s="59" t="str">
        <f aca="false">IFERROR(IF([1]对账明细接口!$C$1092=0,"",[1]对账明细接口!$C$1092),"")</f>
        <v/>
      </c>
      <c r="D1092" s="59" t="str">
        <f aca="false">IFERROR(IF([1]对账明细接口!$D$1092=0,"",[1]对账明细接口!$D$1092),"")</f>
        <v/>
      </c>
      <c r="E1092" s="59" t="str">
        <f aca="false">IFERROR(IF([1]对账明细接口!$E$1092=0,"",[1]对账明细接口!$E$1092),"")</f>
        <v/>
      </c>
      <c r="F1092" s="59" t="str">
        <f aca="false">IFERROR(IF([1]对账明细接口!$F$1092=0,"",[1]对账明细接口!$F$1092),"")</f>
        <v/>
      </c>
      <c r="G1092" s="59" t="str">
        <f aca="false">IFERROR(IF([1]对账明细接口!$G$1092=0,"",[1]对账明细接口!$G$1092),"")</f>
        <v/>
      </c>
      <c r="H1092" s="60" t="str">
        <f aca="false">IFERROR(IF([1]对账明细接口!$H$1092=0,"",[1]对账明细接口!$H$1092),"")</f>
        <v/>
      </c>
      <c r="I1092" s="59" t="str">
        <f aca="false">IFERROR(IF([1]对账明细接口!$I$1092=0,"",[1]对账明细接口!$I$1092),"")</f>
        <v/>
      </c>
      <c r="J1092" s="61" t="str">
        <f aca="false">IFERROR(IF([1]对账明细接口!$J$1092=0,"",[1]对账明细接口!$J$1092),"")</f>
        <v/>
      </c>
      <c r="K1092" s="61" t="str">
        <f aca="false">IFERROR(IF([1]对账明细接口!$K$1092=0,"",[1]对账明细接口!$K$1092),"")</f>
        <v/>
      </c>
      <c r="L1092" s="59" t="str">
        <f aca="false">IFERROR(IF([1]对账明细接口!$L$1092=0,"",[1]对账明细接口!$L$1092),"")</f>
        <v/>
      </c>
      <c r="M1092" s="59" t="str">
        <f aca="false">IFERROR(IF([1]对账明细接口!$M$1092=0,"",[1]对账明细接口!$M$1092),"")</f>
        <v/>
      </c>
      <c r="N1092" s="111" t="n">
        <f aca="false">IF($C1092="",0,1)</f>
        <v>0</v>
      </c>
      <c r="O1092" s="111" t="n">
        <f aca="false">N(O1091)+$N1092</f>
        <v>110</v>
      </c>
      <c r="S1092" s="10" t="str">
        <f aca="false">IFERROR(IF([1]对账明细接口!$N1092=0,"",[1]对账明细接口!$N1092),"")</f>
        <v/>
      </c>
      <c r="T1092" s="112" t="str">
        <f aca="false">IFERROR(IF([1]对账明细接口!$O1092=0,"",[1]对账明细接口!$O1092),"")</f>
        <v/>
      </c>
      <c r="U1092" s="112" t="str">
        <f aca="false">IFERROR(IF([1]对账明细接口!$P1092=0,"",[1]对账明细接口!$P1092),"")</f>
        <v/>
      </c>
      <c r="V1092" s="112" t="str">
        <f aca="false">IFERROR(IF([1]对账明细接口!$Q1092=0,"",[1]对账明细接口!$Q1092),"")</f>
        <v/>
      </c>
      <c r="W1092" s="10" t="str">
        <f aca="false">IFERROR(IF([1]对账明细接口!$R1092=0,"",[1]对账明细接口!$R1092),"")</f>
        <v/>
      </c>
      <c r="X1092" s="10" t="str">
        <f aca="false">IFERROR(IF([1]对账明细接口!$S1092=0,"",[1]对账明细接口!$S1092),"")</f>
        <v/>
      </c>
      <c r="Y1092" s="10" t="str">
        <f aca="false">""</f>
        <v/>
      </c>
      <c r="Z1092" s="10" t="str">
        <f aca="false">""</f>
        <v/>
      </c>
      <c r="AA1092" s="10" t="str">
        <f aca="false">""</f>
        <v/>
      </c>
      <c r="AB1092" s="10" t="str">
        <f aca="false">""</f>
        <v/>
      </c>
    </row>
    <row r="1093" customFormat="false" ht="13.5" hidden="false" customHeight="false" outlineLevel="0" collapsed="false">
      <c r="A1093" s="109" t="n">
        <v>1093</v>
      </c>
      <c r="B1093" s="110" t="str">
        <f aca="false">IFERROR(IF([1]对账明细接口!$B$1093=0,"",[1]对账明细接口!$B$1093),"")</f>
        <v/>
      </c>
      <c r="C1093" s="59" t="str">
        <f aca="false">IFERROR(IF([1]对账明细接口!$C$1093=0,"",[1]对账明细接口!$C$1093),"")</f>
        <v/>
      </c>
      <c r="D1093" s="59" t="str">
        <f aca="false">IFERROR(IF([1]对账明细接口!$D$1093=0,"",[1]对账明细接口!$D$1093),"")</f>
        <v/>
      </c>
      <c r="E1093" s="59" t="str">
        <f aca="false">IFERROR(IF([1]对账明细接口!$E$1093=0,"",[1]对账明细接口!$E$1093),"")</f>
        <v/>
      </c>
      <c r="F1093" s="59" t="str">
        <f aca="false">IFERROR(IF([1]对账明细接口!$F$1093=0,"",[1]对账明细接口!$F$1093),"")</f>
        <v/>
      </c>
      <c r="G1093" s="59" t="str">
        <f aca="false">IFERROR(IF([1]对账明细接口!$G$1093=0,"",[1]对账明细接口!$G$1093),"")</f>
        <v/>
      </c>
      <c r="H1093" s="60" t="str">
        <f aca="false">IFERROR(IF([1]对账明细接口!$H$1093=0,"",[1]对账明细接口!$H$1093),"")</f>
        <v/>
      </c>
      <c r="I1093" s="59" t="str">
        <f aca="false">IFERROR(IF([1]对账明细接口!$I$1093=0,"",[1]对账明细接口!$I$1093),"")</f>
        <v/>
      </c>
      <c r="J1093" s="61" t="str">
        <f aca="false">IFERROR(IF([1]对账明细接口!$J$1093=0,"",[1]对账明细接口!$J$1093),"")</f>
        <v/>
      </c>
      <c r="K1093" s="61" t="str">
        <f aca="false">IFERROR(IF([1]对账明细接口!$K$1093=0,"",[1]对账明细接口!$K$1093),"")</f>
        <v/>
      </c>
      <c r="L1093" s="59" t="str">
        <f aca="false">IFERROR(IF([1]对账明细接口!$L$1093=0,"",[1]对账明细接口!$L$1093),"")</f>
        <v/>
      </c>
      <c r="M1093" s="59" t="str">
        <f aca="false">IFERROR(IF([1]对账明细接口!$M$1093=0,"",[1]对账明细接口!$M$1093),"")</f>
        <v/>
      </c>
      <c r="N1093" s="111" t="n">
        <f aca="false">IF($C1093="",0,1)</f>
        <v>0</v>
      </c>
      <c r="O1093" s="111" t="n">
        <f aca="false">N(O1092)+$N1093</f>
        <v>110</v>
      </c>
      <c r="S1093" s="10" t="str">
        <f aca="false">IFERROR(IF([1]对账明细接口!$N1093=0,"",[1]对账明细接口!$N1093),"")</f>
        <v/>
      </c>
      <c r="T1093" s="112" t="str">
        <f aca="false">IFERROR(IF([1]对账明细接口!$O1093=0,"",[1]对账明细接口!$O1093),"")</f>
        <v/>
      </c>
      <c r="U1093" s="112" t="str">
        <f aca="false">IFERROR(IF([1]对账明细接口!$P1093=0,"",[1]对账明细接口!$P1093),"")</f>
        <v/>
      </c>
      <c r="V1093" s="112" t="str">
        <f aca="false">IFERROR(IF([1]对账明细接口!$Q1093=0,"",[1]对账明细接口!$Q1093),"")</f>
        <v/>
      </c>
      <c r="W1093" s="10" t="str">
        <f aca="false">IFERROR(IF([1]对账明细接口!$R1093=0,"",[1]对账明细接口!$R1093),"")</f>
        <v/>
      </c>
      <c r="X1093" s="10" t="str">
        <f aca="false">IFERROR(IF([1]对账明细接口!$S1093=0,"",[1]对账明细接口!$S1093),"")</f>
        <v/>
      </c>
      <c r="Y1093" s="10" t="str">
        <f aca="false">""</f>
        <v/>
      </c>
      <c r="Z1093" s="10" t="str">
        <f aca="false">""</f>
        <v/>
      </c>
      <c r="AA1093" s="10" t="str">
        <f aca="false">""</f>
        <v/>
      </c>
      <c r="AB1093" s="10" t="str">
        <f aca="false">""</f>
        <v/>
      </c>
    </row>
    <row r="1094" customFormat="false" ht="13.5" hidden="false" customHeight="false" outlineLevel="0" collapsed="false">
      <c r="A1094" s="109" t="n">
        <v>1094</v>
      </c>
      <c r="B1094" s="110" t="str">
        <f aca="false">IFERROR(IF([1]对账明细接口!$B$1094=0,"",[1]对账明细接口!$B$1094),"")</f>
        <v/>
      </c>
      <c r="C1094" s="59" t="str">
        <f aca="false">IFERROR(IF([1]对账明细接口!$C$1094=0,"",[1]对账明细接口!$C$1094),"")</f>
        <v/>
      </c>
      <c r="D1094" s="59" t="str">
        <f aca="false">IFERROR(IF([1]对账明细接口!$D$1094=0,"",[1]对账明细接口!$D$1094),"")</f>
        <v/>
      </c>
      <c r="E1094" s="59" t="str">
        <f aca="false">IFERROR(IF([1]对账明细接口!$E$1094=0,"",[1]对账明细接口!$E$1094),"")</f>
        <v/>
      </c>
      <c r="F1094" s="59" t="str">
        <f aca="false">IFERROR(IF([1]对账明细接口!$F$1094=0,"",[1]对账明细接口!$F$1094),"")</f>
        <v/>
      </c>
      <c r="G1094" s="59" t="str">
        <f aca="false">IFERROR(IF([1]对账明细接口!$G$1094=0,"",[1]对账明细接口!$G$1094),"")</f>
        <v/>
      </c>
      <c r="H1094" s="60" t="str">
        <f aca="false">IFERROR(IF([1]对账明细接口!$H$1094=0,"",[1]对账明细接口!$H$1094),"")</f>
        <v/>
      </c>
      <c r="I1094" s="59" t="str">
        <f aca="false">IFERROR(IF([1]对账明细接口!$I$1094=0,"",[1]对账明细接口!$I$1094),"")</f>
        <v/>
      </c>
      <c r="J1094" s="61" t="str">
        <f aca="false">IFERROR(IF([1]对账明细接口!$J$1094=0,"",[1]对账明细接口!$J$1094),"")</f>
        <v/>
      </c>
      <c r="K1094" s="61" t="str">
        <f aca="false">IFERROR(IF([1]对账明细接口!$K$1094=0,"",[1]对账明细接口!$K$1094),"")</f>
        <v/>
      </c>
      <c r="L1094" s="59" t="str">
        <f aca="false">IFERROR(IF([1]对账明细接口!$L$1094=0,"",[1]对账明细接口!$L$1094),"")</f>
        <v/>
      </c>
      <c r="M1094" s="59" t="str">
        <f aca="false">IFERROR(IF([1]对账明细接口!$M$1094=0,"",[1]对账明细接口!$M$1094),"")</f>
        <v/>
      </c>
      <c r="N1094" s="111" t="n">
        <f aca="false">IF($C1094="",0,1)</f>
        <v>0</v>
      </c>
      <c r="O1094" s="111" t="n">
        <f aca="false">N(O1093)+$N1094</f>
        <v>110</v>
      </c>
      <c r="S1094" s="10" t="str">
        <f aca="false">IFERROR(IF([1]对账明细接口!$N1094=0,"",[1]对账明细接口!$N1094),"")</f>
        <v/>
      </c>
      <c r="T1094" s="112" t="str">
        <f aca="false">IFERROR(IF([1]对账明细接口!$O1094=0,"",[1]对账明细接口!$O1094),"")</f>
        <v/>
      </c>
      <c r="U1094" s="112" t="str">
        <f aca="false">IFERROR(IF([1]对账明细接口!$P1094=0,"",[1]对账明细接口!$P1094),"")</f>
        <v/>
      </c>
      <c r="V1094" s="112" t="str">
        <f aca="false">IFERROR(IF([1]对账明细接口!$Q1094=0,"",[1]对账明细接口!$Q1094),"")</f>
        <v/>
      </c>
      <c r="W1094" s="10" t="str">
        <f aca="false">IFERROR(IF([1]对账明细接口!$R1094=0,"",[1]对账明细接口!$R1094),"")</f>
        <v/>
      </c>
      <c r="X1094" s="10" t="str">
        <f aca="false">IFERROR(IF([1]对账明细接口!$S1094=0,"",[1]对账明细接口!$S1094),"")</f>
        <v/>
      </c>
      <c r="Y1094" s="10" t="str">
        <f aca="false">""</f>
        <v/>
      </c>
      <c r="Z1094" s="10" t="str">
        <f aca="false">""</f>
        <v/>
      </c>
      <c r="AA1094" s="10" t="str">
        <f aca="false">""</f>
        <v/>
      </c>
      <c r="AB1094" s="10" t="str">
        <f aca="false">""</f>
        <v/>
      </c>
    </row>
    <row r="1095" customFormat="false" ht="13.5" hidden="false" customHeight="false" outlineLevel="0" collapsed="false">
      <c r="A1095" s="109" t="n">
        <v>1095</v>
      </c>
      <c r="B1095" s="110" t="str">
        <f aca="false">IFERROR(IF([1]对账明细接口!$B$1095=0,"",[1]对账明细接口!$B$1095),"")</f>
        <v/>
      </c>
      <c r="C1095" s="59" t="str">
        <f aca="false">IFERROR(IF([1]对账明细接口!$C$1095=0,"",[1]对账明细接口!$C$1095),"")</f>
        <v/>
      </c>
      <c r="D1095" s="59" t="str">
        <f aca="false">IFERROR(IF([1]对账明细接口!$D$1095=0,"",[1]对账明细接口!$D$1095),"")</f>
        <v/>
      </c>
      <c r="E1095" s="59" t="str">
        <f aca="false">IFERROR(IF([1]对账明细接口!$E$1095=0,"",[1]对账明细接口!$E$1095),"")</f>
        <v/>
      </c>
      <c r="F1095" s="59" t="str">
        <f aca="false">IFERROR(IF([1]对账明细接口!$F$1095=0,"",[1]对账明细接口!$F$1095),"")</f>
        <v/>
      </c>
      <c r="G1095" s="59" t="str">
        <f aca="false">IFERROR(IF([1]对账明细接口!$G$1095=0,"",[1]对账明细接口!$G$1095),"")</f>
        <v/>
      </c>
      <c r="H1095" s="60" t="str">
        <f aca="false">IFERROR(IF([1]对账明细接口!$H$1095=0,"",[1]对账明细接口!$H$1095),"")</f>
        <v/>
      </c>
      <c r="I1095" s="59" t="str">
        <f aca="false">IFERROR(IF([1]对账明细接口!$I$1095=0,"",[1]对账明细接口!$I$1095),"")</f>
        <v/>
      </c>
      <c r="J1095" s="61" t="str">
        <f aca="false">IFERROR(IF([1]对账明细接口!$J$1095=0,"",[1]对账明细接口!$J$1095),"")</f>
        <v/>
      </c>
      <c r="K1095" s="61" t="str">
        <f aca="false">IFERROR(IF([1]对账明细接口!$K$1095=0,"",[1]对账明细接口!$K$1095),"")</f>
        <v/>
      </c>
      <c r="L1095" s="59" t="str">
        <f aca="false">IFERROR(IF([1]对账明细接口!$L$1095=0,"",[1]对账明细接口!$L$1095),"")</f>
        <v/>
      </c>
      <c r="M1095" s="59" t="str">
        <f aca="false">IFERROR(IF([1]对账明细接口!$M$1095=0,"",[1]对账明细接口!$M$1095),"")</f>
        <v/>
      </c>
      <c r="N1095" s="111" t="n">
        <f aca="false">IF($C1095="",0,1)</f>
        <v>0</v>
      </c>
      <c r="O1095" s="111" t="n">
        <f aca="false">N(O1094)+$N1095</f>
        <v>110</v>
      </c>
      <c r="S1095" s="10" t="str">
        <f aca="false">IFERROR(IF([1]对账明细接口!$N1095=0,"",[1]对账明细接口!$N1095),"")</f>
        <v/>
      </c>
      <c r="T1095" s="112" t="str">
        <f aca="false">IFERROR(IF([1]对账明细接口!$O1095=0,"",[1]对账明细接口!$O1095),"")</f>
        <v/>
      </c>
      <c r="U1095" s="112" t="str">
        <f aca="false">IFERROR(IF([1]对账明细接口!$P1095=0,"",[1]对账明细接口!$P1095),"")</f>
        <v/>
      </c>
      <c r="V1095" s="112" t="str">
        <f aca="false">IFERROR(IF([1]对账明细接口!$Q1095=0,"",[1]对账明细接口!$Q1095),"")</f>
        <v/>
      </c>
      <c r="W1095" s="10" t="str">
        <f aca="false">IFERROR(IF([1]对账明细接口!$R1095=0,"",[1]对账明细接口!$R1095),"")</f>
        <v/>
      </c>
      <c r="X1095" s="10" t="str">
        <f aca="false">IFERROR(IF([1]对账明细接口!$S1095=0,"",[1]对账明细接口!$S1095),"")</f>
        <v/>
      </c>
      <c r="Y1095" s="10" t="str">
        <f aca="false">""</f>
        <v/>
      </c>
      <c r="Z1095" s="10" t="str">
        <f aca="false">""</f>
        <v/>
      </c>
      <c r="AA1095" s="10" t="str">
        <f aca="false">""</f>
        <v/>
      </c>
      <c r="AB1095" s="10" t="str">
        <f aca="false">""</f>
        <v/>
      </c>
    </row>
    <row r="1096" customFormat="false" ht="13.5" hidden="false" customHeight="false" outlineLevel="0" collapsed="false">
      <c r="A1096" s="109" t="n">
        <v>1096</v>
      </c>
      <c r="B1096" s="110" t="str">
        <f aca="false">IFERROR(IF([1]对账明细接口!$B$1096=0,"",[1]对账明细接口!$B$1096),"")</f>
        <v/>
      </c>
      <c r="C1096" s="59" t="str">
        <f aca="false">IFERROR(IF([1]对账明细接口!$C$1096=0,"",[1]对账明细接口!$C$1096),"")</f>
        <v/>
      </c>
      <c r="D1096" s="59" t="str">
        <f aca="false">IFERROR(IF([1]对账明细接口!$D$1096=0,"",[1]对账明细接口!$D$1096),"")</f>
        <v/>
      </c>
      <c r="E1096" s="59" t="str">
        <f aca="false">IFERROR(IF([1]对账明细接口!$E$1096=0,"",[1]对账明细接口!$E$1096),"")</f>
        <v/>
      </c>
      <c r="F1096" s="59" t="str">
        <f aca="false">IFERROR(IF([1]对账明细接口!$F$1096=0,"",[1]对账明细接口!$F$1096),"")</f>
        <v/>
      </c>
      <c r="G1096" s="59" t="str">
        <f aca="false">IFERROR(IF([1]对账明细接口!$G$1096=0,"",[1]对账明细接口!$G$1096),"")</f>
        <v/>
      </c>
      <c r="H1096" s="60" t="str">
        <f aca="false">IFERROR(IF([1]对账明细接口!$H$1096=0,"",[1]对账明细接口!$H$1096),"")</f>
        <v/>
      </c>
      <c r="I1096" s="59" t="str">
        <f aca="false">IFERROR(IF([1]对账明细接口!$I$1096=0,"",[1]对账明细接口!$I$1096),"")</f>
        <v/>
      </c>
      <c r="J1096" s="61" t="str">
        <f aca="false">IFERROR(IF([1]对账明细接口!$J$1096=0,"",[1]对账明细接口!$J$1096),"")</f>
        <v/>
      </c>
      <c r="K1096" s="61" t="str">
        <f aca="false">IFERROR(IF([1]对账明细接口!$K$1096=0,"",[1]对账明细接口!$K$1096),"")</f>
        <v/>
      </c>
      <c r="L1096" s="59" t="str">
        <f aca="false">IFERROR(IF([1]对账明细接口!$L$1096=0,"",[1]对账明细接口!$L$1096),"")</f>
        <v/>
      </c>
      <c r="M1096" s="59" t="str">
        <f aca="false">IFERROR(IF([1]对账明细接口!$M$1096=0,"",[1]对账明细接口!$M$1096),"")</f>
        <v/>
      </c>
      <c r="N1096" s="111" t="n">
        <f aca="false">IF($C1096="",0,1)</f>
        <v>0</v>
      </c>
      <c r="O1096" s="111" t="n">
        <f aca="false">N(O1095)+$N1096</f>
        <v>110</v>
      </c>
      <c r="S1096" s="10" t="str">
        <f aca="false">IFERROR(IF([1]对账明细接口!$N1096=0,"",[1]对账明细接口!$N1096),"")</f>
        <v/>
      </c>
      <c r="T1096" s="112" t="str">
        <f aca="false">IFERROR(IF([1]对账明细接口!$O1096=0,"",[1]对账明细接口!$O1096),"")</f>
        <v/>
      </c>
      <c r="U1096" s="112" t="str">
        <f aca="false">IFERROR(IF([1]对账明细接口!$P1096=0,"",[1]对账明细接口!$P1096),"")</f>
        <v/>
      </c>
      <c r="V1096" s="112" t="str">
        <f aca="false">IFERROR(IF([1]对账明细接口!$Q1096=0,"",[1]对账明细接口!$Q1096),"")</f>
        <v/>
      </c>
      <c r="W1096" s="10" t="str">
        <f aca="false">IFERROR(IF([1]对账明细接口!$R1096=0,"",[1]对账明细接口!$R1096),"")</f>
        <v/>
      </c>
      <c r="X1096" s="10" t="str">
        <f aca="false">IFERROR(IF([1]对账明细接口!$S1096=0,"",[1]对账明细接口!$S1096),"")</f>
        <v/>
      </c>
      <c r="Y1096" s="10" t="str">
        <f aca="false">""</f>
        <v/>
      </c>
      <c r="Z1096" s="10" t="str">
        <f aca="false">""</f>
        <v/>
      </c>
      <c r="AA1096" s="10" t="str">
        <f aca="false">""</f>
        <v/>
      </c>
      <c r="AB1096" s="10" t="str">
        <f aca="false">""</f>
        <v/>
      </c>
    </row>
    <row r="1097" customFormat="false" ht="13.5" hidden="false" customHeight="false" outlineLevel="0" collapsed="false">
      <c r="A1097" s="109" t="n">
        <v>1097</v>
      </c>
      <c r="B1097" s="110" t="str">
        <f aca="false">IFERROR(IF([1]对账明细接口!$B$1097=0,"",[1]对账明细接口!$B$1097),"")</f>
        <v/>
      </c>
      <c r="C1097" s="59" t="str">
        <f aca="false">IFERROR(IF([1]对账明细接口!$C$1097=0,"",[1]对账明细接口!$C$1097),"")</f>
        <v/>
      </c>
      <c r="D1097" s="59" t="str">
        <f aca="false">IFERROR(IF([1]对账明细接口!$D$1097=0,"",[1]对账明细接口!$D$1097),"")</f>
        <v/>
      </c>
      <c r="E1097" s="59" t="str">
        <f aca="false">IFERROR(IF([1]对账明细接口!$E$1097=0,"",[1]对账明细接口!$E$1097),"")</f>
        <v/>
      </c>
      <c r="F1097" s="59" t="str">
        <f aca="false">IFERROR(IF([1]对账明细接口!$F$1097=0,"",[1]对账明细接口!$F$1097),"")</f>
        <v/>
      </c>
      <c r="G1097" s="59" t="str">
        <f aca="false">IFERROR(IF([1]对账明细接口!$G$1097=0,"",[1]对账明细接口!$G$1097),"")</f>
        <v/>
      </c>
      <c r="H1097" s="60" t="str">
        <f aca="false">IFERROR(IF([1]对账明细接口!$H$1097=0,"",[1]对账明细接口!$H$1097),"")</f>
        <v/>
      </c>
      <c r="I1097" s="59" t="str">
        <f aca="false">IFERROR(IF([1]对账明细接口!$I$1097=0,"",[1]对账明细接口!$I$1097),"")</f>
        <v/>
      </c>
      <c r="J1097" s="61" t="str">
        <f aca="false">IFERROR(IF([1]对账明细接口!$J$1097=0,"",[1]对账明细接口!$J$1097),"")</f>
        <v/>
      </c>
      <c r="K1097" s="61" t="str">
        <f aca="false">IFERROR(IF([1]对账明细接口!$K$1097=0,"",[1]对账明细接口!$K$1097),"")</f>
        <v/>
      </c>
      <c r="L1097" s="59" t="str">
        <f aca="false">IFERROR(IF([1]对账明细接口!$L$1097=0,"",[1]对账明细接口!$L$1097),"")</f>
        <v/>
      </c>
      <c r="M1097" s="59" t="str">
        <f aca="false">IFERROR(IF([1]对账明细接口!$M$1097=0,"",[1]对账明细接口!$M$1097),"")</f>
        <v/>
      </c>
      <c r="N1097" s="111" t="n">
        <f aca="false">IF($C1097="",0,1)</f>
        <v>0</v>
      </c>
      <c r="O1097" s="111" t="n">
        <f aca="false">N(O1096)+$N1097</f>
        <v>110</v>
      </c>
      <c r="S1097" s="10" t="str">
        <f aca="false">IFERROR(IF([1]对账明细接口!$N1097=0,"",[1]对账明细接口!$N1097),"")</f>
        <v/>
      </c>
      <c r="T1097" s="112" t="str">
        <f aca="false">IFERROR(IF([1]对账明细接口!$O1097=0,"",[1]对账明细接口!$O1097),"")</f>
        <v/>
      </c>
      <c r="U1097" s="112" t="str">
        <f aca="false">IFERROR(IF([1]对账明细接口!$P1097=0,"",[1]对账明细接口!$P1097),"")</f>
        <v/>
      </c>
      <c r="V1097" s="112" t="str">
        <f aca="false">IFERROR(IF([1]对账明细接口!$Q1097=0,"",[1]对账明细接口!$Q1097),"")</f>
        <v/>
      </c>
      <c r="W1097" s="10" t="str">
        <f aca="false">IFERROR(IF([1]对账明细接口!$R1097=0,"",[1]对账明细接口!$R1097),"")</f>
        <v/>
      </c>
      <c r="X1097" s="10" t="str">
        <f aca="false">IFERROR(IF([1]对账明细接口!$S1097=0,"",[1]对账明细接口!$S1097),"")</f>
        <v/>
      </c>
      <c r="Y1097" s="10" t="str">
        <f aca="false">""</f>
        <v/>
      </c>
      <c r="Z1097" s="10" t="str">
        <f aca="false">""</f>
        <v/>
      </c>
      <c r="AA1097" s="10" t="str">
        <f aca="false">""</f>
        <v/>
      </c>
      <c r="AB1097" s="10" t="str">
        <f aca="false">""</f>
        <v/>
      </c>
    </row>
    <row r="1098" customFormat="false" ht="13.5" hidden="false" customHeight="false" outlineLevel="0" collapsed="false">
      <c r="A1098" s="109" t="n">
        <v>1098</v>
      </c>
      <c r="B1098" s="110" t="str">
        <f aca="false">IFERROR(IF([1]对账明细接口!$B$1098=0,"",[1]对账明细接口!$B$1098),"")</f>
        <v/>
      </c>
      <c r="C1098" s="59" t="str">
        <f aca="false">IFERROR(IF([1]对账明细接口!$C$1098=0,"",[1]对账明细接口!$C$1098),"")</f>
        <v/>
      </c>
      <c r="D1098" s="59" t="str">
        <f aca="false">IFERROR(IF([1]对账明细接口!$D$1098=0,"",[1]对账明细接口!$D$1098),"")</f>
        <v/>
      </c>
      <c r="E1098" s="59" t="str">
        <f aca="false">IFERROR(IF([1]对账明细接口!$E$1098=0,"",[1]对账明细接口!$E$1098),"")</f>
        <v/>
      </c>
      <c r="F1098" s="59" t="str">
        <f aca="false">IFERROR(IF([1]对账明细接口!$F$1098=0,"",[1]对账明细接口!$F$1098),"")</f>
        <v/>
      </c>
      <c r="G1098" s="59" t="str">
        <f aca="false">IFERROR(IF([1]对账明细接口!$G$1098=0,"",[1]对账明细接口!$G$1098),"")</f>
        <v/>
      </c>
      <c r="H1098" s="60" t="str">
        <f aca="false">IFERROR(IF([1]对账明细接口!$H$1098=0,"",[1]对账明细接口!$H$1098),"")</f>
        <v/>
      </c>
      <c r="I1098" s="59" t="str">
        <f aca="false">IFERROR(IF([1]对账明细接口!$I$1098=0,"",[1]对账明细接口!$I$1098),"")</f>
        <v/>
      </c>
      <c r="J1098" s="61" t="str">
        <f aca="false">IFERROR(IF([1]对账明细接口!$J$1098=0,"",[1]对账明细接口!$J$1098),"")</f>
        <v/>
      </c>
      <c r="K1098" s="61" t="str">
        <f aca="false">IFERROR(IF([1]对账明细接口!$K$1098=0,"",[1]对账明细接口!$K$1098),"")</f>
        <v/>
      </c>
      <c r="L1098" s="59" t="str">
        <f aca="false">IFERROR(IF([1]对账明细接口!$L$1098=0,"",[1]对账明细接口!$L$1098),"")</f>
        <v/>
      </c>
      <c r="M1098" s="59" t="str">
        <f aca="false">IFERROR(IF([1]对账明细接口!$M$1098=0,"",[1]对账明细接口!$M$1098),"")</f>
        <v/>
      </c>
      <c r="N1098" s="111" t="n">
        <f aca="false">IF($C1098="",0,1)</f>
        <v>0</v>
      </c>
      <c r="O1098" s="111" t="n">
        <f aca="false">N(O1097)+$N1098</f>
        <v>110</v>
      </c>
      <c r="S1098" s="10" t="str">
        <f aca="false">IFERROR(IF([1]对账明细接口!$N1098=0,"",[1]对账明细接口!$N1098),"")</f>
        <v/>
      </c>
      <c r="T1098" s="112" t="str">
        <f aca="false">IFERROR(IF([1]对账明细接口!$O1098=0,"",[1]对账明细接口!$O1098),"")</f>
        <v/>
      </c>
      <c r="U1098" s="112" t="str">
        <f aca="false">IFERROR(IF([1]对账明细接口!$P1098=0,"",[1]对账明细接口!$P1098),"")</f>
        <v/>
      </c>
      <c r="V1098" s="112" t="str">
        <f aca="false">IFERROR(IF([1]对账明细接口!$Q1098=0,"",[1]对账明细接口!$Q1098),"")</f>
        <v/>
      </c>
      <c r="W1098" s="10" t="str">
        <f aca="false">IFERROR(IF([1]对账明细接口!$R1098=0,"",[1]对账明细接口!$R1098),"")</f>
        <v/>
      </c>
      <c r="X1098" s="10" t="str">
        <f aca="false">IFERROR(IF([1]对账明细接口!$S1098=0,"",[1]对账明细接口!$S1098),"")</f>
        <v/>
      </c>
      <c r="Y1098" s="10" t="str">
        <f aca="false">""</f>
        <v/>
      </c>
      <c r="Z1098" s="10" t="str">
        <f aca="false">""</f>
        <v/>
      </c>
      <c r="AA1098" s="10" t="str">
        <f aca="false">""</f>
        <v/>
      </c>
      <c r="AB1098" s="10" t="str">
        <f aca="false">""</f>
        <v/>
      </c>
    </row>
    <row r="1099" customFormat="false" ht="13.5" hidden="false" customHeight="false" outlineLevel="0" collapsed="false">
      <c r="A1099" s="109" t="n">
        <v>1099</v>
      </c>
      <c r="B1099" s="110" t="str">
        <f aca="false">IFERROR(IF([1]对账明细接口!$B$1099=0,"",[1]对账明细接口!$B$1099),"")</f>
        <v/>
      </c>
      <c r="C1099" s="59" t="str">
        <f aca="false">IFERROR(IF([1]对账明细接口!$C$1099=0,"",[1]对账明细接口!$C$1099),"")</f>
        <v/>
      </c>
      <c r="D1099" s="59" t="str">
        <f aca="false">IFERROR(IF([1]对账明细接口!$D$1099=0,"",[1]对账明细接口!$D$1099),"")</f>
        <v/>
      </c>
      <c r="E1099" s="59" t="str">
        <f aca="false">IFERROR(IF([1]对账明细接口!$E$1099=0,"",[1]对账明细接口!$E$1099),"")</f>
        <v/>
      </c>
      <c r="F1099" s="59" t="str">
        <f aca="false">IFERROR(IF([1]对账明细接口!$F$1099=0,"",[1]对账明细接口!$F$1099),"")</f>
        <v/>
      </c>
      <c r="G1099" s="59" t="str">
        <f aca="false">IFERROR(IF([1]对账明细接口!$G$1099=0,"",[1]对账明细接口!$G$1099),"")</f>
        <v/>
      </c>
      <c r="H1099" s="60" t="str">
        <f aca="false">IFERROR(IF([1]对账明细接口!$H$1099=0,"",[1]对账明细接口!$H$1099),"")</f>
        <v/>
      </c>
      <c r="I1099" s="59" t="str">
        <f aca="false">IFERROR(IF([1]对账明细接口!$I$1099=0,"",[1]对账明细接口!$I$1099),"")</f>
        <v/>
      </c>
      <c r="J1099" s="61" t="str">
        <f aca="false">IFERROR(IF([1]对账明细接口!$J$1099=0,"",[1]对账明细接口!$J$1099),"")</f>
        <v/>
      </c>
      <c r="K1099" s="61" t="str">
        <f aca="false">IFERROR(IF([1]对账明细接口!$K$1099=0,"",[1]对账明细接口!$K$1099),"")</f>
        <v/>
      </c>
      <c r="L1099" s="59" t="str">
        <f aca="false">IFERROR(IF([1]对账明细接口!$L$1099=0,"",[1]对账明细接口!$L$1099),"")</f>
        <v/>
      </c>
      <c r="M1099" s="59" t="str">
        <f aca="false">IFERROR(IF([1]对账明细接口!$M$1099=0,"",[1]对账明细接口!$M$1099),"")</f>
        <v/>
      </c>
      <c r="N1099" s="111" t="n">
        <f aca="false">IF($C1099="",0,1)</f>
        <v>0</v>
      </c>
      <c r="O1099" s="111" t="n">
        <f aca="false">N(O1098)+$N1099</f>
        <v>110</v>
      </c>
      <c r="S1099" s="10" t="str">
        <f aca="false">IFERROR(IF([1]对账明细接口!$N1099=0,"",[1]对账明细接口!$N1099),"")</f>
        <v/>
      </c>
      <c r="T1099" s="112" t="str">
        <f aca="false">IFERROR(IF([1]对账明细接口!$O1099=0,"",[1]对账明细接口!$O1099),"")</f>
        <v/>
      </c>
      <c r="U1099" s="112" t="str">
        <f aca="false">IFERROR(IF([1]对账明细接口!$P1099=0,"",[1]对账明细接口!$P1099),"")</f>
        <v/>
      </c>
      <c r="V1099" s="112" t="str">
        <f aca="false">IFERROR(IF([1]对账明细接口!$Q1099=0,"",[1]对账明细接口!$Q1099),"")</f>
        <v/>
      </c>
      <c r="W1099" s="10" t="str">
        <f aca="false">IFERROR(IF([1]对账明细接口!$R1099=0,"",[1]对账明细接口!$R1099),"")</f>
        <v/>
      </c>
      <c r="X1099" s="10" t="str">
        <f aca="false">IFERROR(IF([1]对账明细接口!$S1099=0,"",[1]对账明细接口!$S1099),"")</f>
        <v/>
      </c>
      <c r="Y1099" s="10" t="str">
        <f aca="false">""</f>
        <v/>
      </c>
      <c r="Z1099" s="10" t="str">
        <f aca="false">""</f>
        <v/>
      </c>
      <c r="AA1099" s="10" t="str">
        <f aca="false">""</f>
        <v/>
      </c>
      <c r="AB1099" s="10" t="str">
        <f aca="false">""</f>
        <v/>
      </c>
    </row>
    <row r="1100" customFormat="false" ht="13.5" hidden="false" customHeight="false" outlineLevel="0" collapsed="false">
      <c r="A1100" s="109" t="n">
        <v>1100</v>
      </c>
      <c r="B1100" s="110" t="str">
        <f aca="false">IFERROR(IF([1]对账明细接口!$B$1100=0,"",[1]对账明细接口!$B$1100),"")</f>
        <v/>
      </c>
      <c r="C1100" s="59" t="str">
        <f aca="false">IFERROR(IF([1]对账明细接口!$C$1100=0,"",[1]对账明细接口!$C$1100),"")</f>
        <v/>
      </c>
      <c r="D1100" s="59" t="str">
        <f aca="false">IFERROR(IF([1]对账明细接口!$D$1100=0,"",[1]对账明细接口!$D$1100),"")</f>
        <v/>
      </c>
      <c r="E1100" s="59" t="str">
        <f aca="false">IFERROR(IF([1]对账明细接口!$E$1100=0,"",[1]对账明细接口!$E$1100),"")</f>
        <v/>
      </c>
      <c r="F1100" s="59" t="str">
        <f aca="false">IFERROR(IF([1]对账明细接口!$F$1100=0,"",[1]对账明细接口!$F$1100),"")</f>
        <v/>
      </c>
      <c r="G1100" s="59" t="str">
        <f aca="false">IFERROR(IF([1]对账明细接口!$G$1100=0,"",[1]对账明细接口!$G$1100),"")</f>
        <v/>
      </c>
      <c r="H1100" s="60" t="str">
        <f aca="false">IFERROR(IF([1]对账明细接口!$H$1100=0,"",[1]对账明细接口!$H$1100),"")</f>
        <v/>
      </c>
      <c r="I1100" s="59" t="str">
        <f aca="false">IFERROR(IF([1]对账明细接口!$I$1100=0,"",[1]对账明细接口!$I$1100),"")</f>
        <v/>
      </c>
      <c r="J1100" s="61" t="str">
        <f aca="false">IFERROR(IF([1]对账明细接口!$J$1100=0,"",[1]对账明细接口!$J$1100),"")</f>
        <v/>
      </c>
      <c r="K1100" s="61" t="str">
        <f aca="false">IFERROR(IF([1]对账明细接口!$K$1100=0,"",[1]对账明细接口!$K$1100),"")</f>
        <v/>
      </c>
      <c r="L1100" s="59" t="str">
        <f aca="false">IFERROR(IF([1]对账明细接口!$L$1100=0,"",[1]对账明细接口!$L$1100),"")</f>
        <v/>
      </c>
      <c r="M1100" s="59" t="str">
        <f aca="false">IFERROR(IF([1]对账明细接口!$M$1100=0,"",[1]对账明细接口!$M$1100),"")</f>
        <v/>
      </c>
      <c r="N1100" s="111" t="n">
        <f aca="false">IF($C1100="",0,1)</f>
        <v>0</v>
      </c>
      <c r="O1100" s="111" t="n">
        <f aca="false">N(O1099)+$N1100</f>
        <v>110</v>
      </c>
      <c r="S1100" s="10" t="str">
        <f aca="false">IFERROR(IF([1]对账明细接口!$N1100=0,"",[1]对账明细接口!$N1100),"")</f>
        <v/>
      </c>
      <c r="T1100" s="112" t="str">
        <f aca="false">IFERROR(IF([1]对账明细接口!$O1100=0,"",[1]对账明细接口!$O1100),"")</f>
        <v/>
      </c>
      <c r="U1100" s="112" t="str">
        <f aca="false">IFERROR(IF([1]对账明细接口!$P1100=0,"",[1]对账明细接口!$P1100),"")</f>
        <v/>
      </c>
      <c r="V1100" s="112" t="str">
        <f aca="false">IFERROR(IF([1]对账明细接口!$Q1100=0,"",[1]对账明细接口!$Q1100),"")</f>
        <v/>
      </c>
      <c r="W1100" s="10" t="str">
        <f aca="false">IFERROR(IF([1]对账明细接口!$R1100=0,"",[1]对账明细接口!$R1100),"")</f>
        <v/>
      </c>
      <c r="X1100" s="10" t="str">
        <f aca="false">IFERROR(IF([1]对账明细接口!$S1100=0,"",[1]对账明细接口!$S1100),"")</f>
        <v/>
      </c>
      <c r="Y1100" s="10" t="str">
        <f aca="false">""</f>
        <v/>
      </c>
      <c r="Z1100" s="10" t="str">
        <f aca="false">""</f>
        <v/>
      </c>
      <c r="AA1100" s="10" t="str">
        <f aca="false">""</f>
        <v/>
      </c>
      <c r="AB1100" s="10" t="str">
        <f aca="false">""</f>
        <v/>
      </c>
    </row>
    <row r="1101" customFormat="false" ht="13.5" hidden="false" customHeight="false" outlineLevel="0" collapsed="false">
      <c r="A1101" s="109" t="n">
        <v>1101</v>
      </c>
      <c r="B1101" s="110" t="str">
        <f aca="false">IFERROR(IF([1]对账明细接口!$B$1101=0,"",[1]对账明细接口!$B$1101),"")</f>
        <v/>
      </c>
      <c r="C1101" s="59" t="str">
        <f aca="false">IFERROR(IF([1]对账明细接口!$C$1101=0,"",[1]对账明细接口!$C$1101),"")</f>
        <v/>
      </c>
      <c r="D1101" s="59" t="str">
        <f aca="false">IFERROR(IF([1]对账明细接口!$D$1101=0,"",[1]对账明细接口!$D$1101),"")</f>
        <v/>
      </c>
      <c r="E1101" s="59" t="str">
        <f aca="false">IFERROR(IF([1]对账明细接口!$E$1101=0,"",[1]对账明细接口!$E$1101),"")</f>
        <v/>
      </c>
      <c r="F1101" s="59" t="str">
        <f aca="false">IFERROR(IF([1]对账明细接口!$F$1101=0,"",[1]对账明细接口!$F$1101),"")</f>
        <v/>
      </c>
      <c r="G1101" s="59" t="str">
        <f aca="false">IFERROR(IF([1]对账明细接口!$G$1101=0,"",[1]对账明细接口!$G$1101),"")</f>
        <v/>
      </c>
      <c r="H1101" s="60" t="str">
        <f aca="false">IFERROR(IF([1]对账明细接口!$H$1101=0,"",[1]对账明细接口!$H$1101),"")</f>
        <v/>
      </c>
      <c r="I1101" s="59" t="str">
        <f aca="false">IFERROR(IF([1]对账明细接口!$I$1101=0,"",[1]对账明细接口!$I$1101),"")</f>
        <v/>
      </c>
      <c r="J1101" s="61" t="str">
        <f aca="false">IFERROR(IF([1]对账明细接口!$J$1101=0,"",[1]对账明细接口!$J$1101),"")</f>
        <v/>
      </c>
      <c r="K1101" s="61" t="str">
        <f aca="false">IFERROR(IF([1]对账明细接口!$K$1101=0,"",[1]对账明细接口!$K$1101),"")</f>
        <v/>
      </c>
      <c r="L1101" s="59" t="str">
        <f aca="false">IFERROR(IF([1]对账明细接口!$L$1101=0,"",[1]对账明细接口!$L$1101),"")</f>
        <v/>
      </c>
      <c r="M1101" s="59" t="str">
        <f aca="false">IFERROR(IF([1]对账明细接口!$M$1101=0,"",[1]对账明细接口!$M$1101),"")</f>
        <v/>
      </c>
      <c r="N1101" s="111" t="n">
        <f aca="false">IF($C1101="",0,1)</f>
        <v>0</v>
      </c>
      <c r="O1101" s="111" t="n">
        <f aca="false">N(O1100)+$N1101</f>
        <v>110</v>
      </c>
      <c r="S1101" s="10" t="str">
        <f aca="false">IFERROR(IF([1]对账明细接口!$N1101=0,"",[1]对账明细接口!$N1101),"")</f>
        <v/>
      </c>
      <c r="T1101" s="112" t="str">
        <f aca="false">IFERROR(IF([1]对账明细接口!$O1101=0,"",[1]对账明细接口!$O1101),"")</f>
        <v/>
      </c>
      <c r="U1101" s="112" t="str">
        <f aca="false">IFERROR(IF([1]对账明细接口!$P1101=0,"",[1]对账明细接口!$P1101),"")</f>
        <v/>
      </c>
      <c r="V1101" s="112" t="str">
        <f aca="false">IFERROR(IF([1]对账明细接口!$Q1101=0,"",[1]对账明细接口!$Q1101),"")</f>
        <v/>
      </c>
      <c r="W1101" s="10" t="str">
        <f aca="false">IFERROR(IF([1]对账明细接口!$R1101=0,"",[1]对账明细接口!$R1101),"")</f>
        <v/>
      </c>
      <c r="X1101" s="10" t="str">
        <f aca="false">IFERROR(IF([1]对账明细接口!$S1101=0,"",[1]对账明细接口!$S1101),"")</f>
        <v/>
      </c>
      <c r="Y1101" s="10" t="str">
        <f aca="false">""</f>
        <v/>
      </c>
      <c r="Z1101" s="10" t="str">
        <f aca="false">""</f>
        <v/>
      </c>
      <c r="AA1101" s="10" t="str">
        <f aca="false">""</f>
        <v/>
      </c>
      <c r="AB1101" s="10" t="str">
        <f aca="false">""</f>
        <v/>
      </c>
    </row>
    <row r="1102" customFormat="false" ht="13.5" hidden="false" customHeight="false" outlineLevel="0" collapsed="false">
      <c r="A1102" s="109" t="n">
        <v>1102</v>
      </c>
      <c r="B1102" s="110" t="str">
        <f aca="false">IFERROR(IF([1]对账明细接口!$B$1102=0,"",[1]对账明细接口!$B$1102),"")</f>
        <v/>
      </c>
      <c r="C1102" s="59" t="str">
        <f aca="false">IFERROR(IF([1]对账明细接口!$C$1102=0,"",[1]对账明细接口!$C$1102),"")</f>
        <v/>
      </c>
      <c r="D1102" s="59" t="str">
        <f aca="false">IFERROR(IF([1]对账明细接口!$D$1102=0,"",[1]对账明细接口!$D$1102),"")</f>
        <v/>
      </c>
      <c r="E1102" s="59" t="str">
        <f aca="false">IFERROR(IF([1]对账明细接口!$E$1102=0,"",[1]对账明细接口!$E$1102),"")</f>
        <v/>
      </c>
      <c r="F1102" s="59" t="str">
        <f aca="false">IFERROR(IF([1]对账明细接口!$F$1102=0,"",[1]对账明细接口!$F$1102),"")</f>
        <v/>
      </c>
      <c r="G1102" s="59" t="str">
        <f aca="false">IFERROR(IF([1]对账明细接口!$G$1102=0,"",[1]对账明细接口!$G$1102),"")</f>
        <v/>
      </c>
      <c r="H1102" s="60" t="str">
        <f aca="false">IFERROR(IF([1]对账明细接口!$H$1102=0,"",[1]对账明细接口!$H$1102),"")</f>
        <v/>
      </c>
      <c r="I1102" s="59" t="str">
        <f aca="false">IFERROR(IF([1]对账明细接口!$I$1102=0,"",[1]对账明细接口!$I$1102),"")</f>
        <v/>
      </c>
      <c r="J1102" s="61" t="str">
        <f aca="false">IFERROR(IF([1]对账明细接口!$J$1102=0,"",[1]对账明细接口!$J$1102),"")</f>
        <v/>
      </c>
      <c r="K1102" s="61" t="str">
        <f aca="false">IFERROR(IF([1]对账明细接口!$K$1102=0,"",[1]对账明细接口!$K$1102),"")</f>
        <v/>
      </c>
      <c r="L1102" s="59" t="str">
        <f aca="false">IFERROR(IF([1]对账明细接口!$L$1102=0,"",[1]对账明细接口!$L$1102),"")</f>
        <v/>
      </c>
      <c r="M1102" s="59" t="str">
        <f aca="false">IFERROR(IF([1]对账明细接口!$M$1102=0,"",[1]对账明细接口!$M$1102),"")</f>
        <v/>
      </c>
      <c r="N1102" s="111" t="n">
        <f aca="false">IF($C1102="",0,1)</f>
        <v>0</v>
      </c>
      <c r="O1102" s="111" t="n">
        <f aca="false">N(O1101)+$N1102</f>
        <v>110</v>
      </c>
      <c r="S1102" s="10" t="str">
        <f aca="false">IFERROR(IF([1]对账明细接口!$N1102=0,"",[1]对账明细接口!$N1102),"")</f>
        <v/>
      </c>
      <c r="T1102" s="112" t="str">
        <f aca="false">IFERROR(IF([1]对账明细接口!$O1102=0,"",[1]对账明细接口!$O1102),"")</f>
        <v/>
      </c>
      <c r="U1102" s="112" t="str">
        <f aca="false">IFERROR(IF([1]对账明细接口!$P1102=0,"",[1]对账明细接口!$P1102),"")</f>
        <v/>
      </c>
      <c r="V1102" s="112" t="str">
        <f aca="false">IFERROR(IF([1]对账明细接口!$Q1102=0,"",[1]对账明细接口!$Q1102),"")</f>
        <v/>
      </c>
      <c r="W1102" s="10" t="str">
        <f aca="false">IFERROR(IF([1]对账明细接口!$R1102=0,"",[1]对账明细接口!$R1102),"")</f>
        <v/>
      </c>
      <c r="X1102" s="10" t="str">
        <f aca="false">IFERROR(IF([1]对账明细接口!$S1102=0,"",[1]对账明细接口!$S1102),"")</f>
        <v/>
      </c>
      <c r="Y1102" s="10" t="str">
        <f aca="false">""</f>
        <v/>
      </c>
      <c r="Z1102" s="10" t="str">
        <f aca="false">""</f>
        <v/>
      </c>
      <c r="AA1102" s="10" t="str">
        <f aca="false">""</f>
        <v/>
      </c>
      <c r="AB1102" s="10" t="str">
        <f aca="false">""</f>
        <v/>
      </c>
    </row>
    <row r="1103" customFormat="false" ht="13.5" hidden="false" customHeight="false" outlineLevel="0" collapsed="false">
      <c r="A1103" s="109" t="n">
        <v>1103</v>
      </c>
      <c r="B1103" s="110" t="str">
        <f aca="false">IFERROR(IF([1]对账明细接口!$B$1103=0,"",[1]对账明细接口!$B$1103),"")</f>
        <v/>
      </c>
      <c r="C1103" s="59" t="str">
        <f aca="false">IFERROR(IF([1]对账明细接口!$C$1103=0,"",[1]对账明细接口!$C$1103),"")</f>
        <v/>
      </c>
      <c r="D1103" s="59" t="str">
        <f aca="false">IFERROR(IF([1]对账明细接口!$D$1103=0,"",[1]对账明细接口!$D$1103),"")</f>
        <v/>
      </c>
      <c r="E1103" s="59" t="str">
        <f aca="false">IFERROR(IF([1]对账明细接口!$E$1103=0,"",[1]对账明细接口!$E$1103),"")</f>
        <v/>
      </c>
      <c r="F1103" s="59" t="str">
        <f aca="false">IFERROR(IF([1]对账明细接口!$F$1103=0,"",[1]对账明细接口!$F$1103),"")</f>
        <v/>
      </c>
      <c r="G1103" s="59" t="str">
        <f aca="false">IFERROR(IF([1]对账明细接口!$G$1103=0,"",[1]对账明细接口!$G$1103),"")</f>
        <v/>
      </c>
      <c r="H1103" s="60" t="str">
        <f aca="false">IFERROR(IF([1]对账明细接口!$H$1103=0,"",[1]对账明细接口!$H$1103),"")</f>
        <v/>
      </c>
      <c r="I1103" s="59" t="str">
        <f aca="false">IFERROR(IF([1]对账明细接口!$I$1103=0,"",[1]对账明细接口!$I$1103),"")</f>
        <v/>
      </c>
      <c r="J1103" s="61" t="str">
        <f aca="false">IFERROR(IF([1]对账明细接口!$J$1103=0,"",[1]对账明细接口!$J$1103),"")</f>
        <v/>
      </c>
      <c r="K1103" s="61" t="str">
        <f aca="false">IFERROR(IF([1]对账明细接口!$K$1103=0,"",[1]对账明细接口!$K$1103),"")</f>
        <v/>
      </c>
      <c r="L1103" s="59" t="str">
        <f aca="false">IFERROR(IF([1]对账明细接口!$L$1103=0,"",[1]对账明细接口!$L$1103),"")</f>
        <v/>
      </c>
      <c r="M1103" s="59" t="str">
        <f aca="false">IFERROR(IF([1]对账明细接口!$M$1103=0,"",[1]对账明细接口!$M$1103),"")</f>
        <v/>
      </c>
      <c r="N1103" s="111" t="n">
        <f aca="false">IF($C1103="",0,1)</f>
        <v>0</v>
      </c>
      <c r="O1103" s="111" t="n">
        <f aca="false">N(O1102)+$N1103</f>
        <v>110</v>
      </c>
      <c r="S1103" s="10" t="str">
        <f aca="false">IFERROR(IF([1]对账明细接口!$N1103=0,"",[1]对账明细接口!$N1103),"")</f>
        <v/>
      </c>
      <c r="T1103" s="112" t="str">
        <f aca="false">IFERROR(IF([1]对账明细接口!$O1103=0,"",[1]对账明细接口!$O1103),"")</f>
        <v/>
      </c>
      <c r="U1103" s="112" t="str">
        <f aca="false">IFERROR(IF([1]对账明细接口!$P1103=0,"",[1]对账明细接口!$P1103),"")</f>
        <v/>
      </c>
      <c r="V1103" s="112" t="str">
        <f aca="false">IFERROR(IF([1]对账明细接口!$Q1103=0,"",[1]对账明细接口!$Q1103),"")</f>
        <v/>
      </c>
      <c r="W1103" s="10" t="str">
        <f aca="false">IFERROR(IF([1]对账明细接口!$R1103=0,"",[1]对账明细接口!$R1103),"")</f>
        <v/>
      </c>
      <c r="X1103" s="10" t="str">
        <f aca="false">IFERROR(IF([1]对账明细接口!$S1103=0,"",[1]对账明细接口!$S1103),"")</f>
        <v/>
      </c>
      <c r="Y1103" s="10" t="str">
        <f aca="false">""</f>
        <v/>
      </c>
      <c r="Z1103" s="10" t="str">
        <f aca="false">""</f>
        <v/>
      </c>
      <c r="AA1103" s="10" t="str">
        <f aca="false">""</f>
        <v/>
      </c>
      <c r="AB1103" s="10" t="str">
        <f aca="false">""</f>
        <v/>
      </c>
    </row>
    <row r="1104" customFormat="false" ht="13.5" hidden="false" customHeight="false" outlineLevel="0" collapsed="false">
      <c r="A1104" s="109" t="n">
        <v>1104</v>
      </c>
      <c r="B1104" s="110" t="str">
        <f aca="false">IFERROR(IF([1]对账明细接口!$B$1104=0,"",[1]对账明细接口!$B$1104),"")</f>
        <v/>
      </c>
      <c r="C1104" s="59" t="str">
        <f aca="false">IFERROR(IF([1]对账明细接口!$C$1104=0,"",[1]对账明细接口!$C$1104),"")</f>
        <v/>
      </c>
      <c r="D1104" s="59" t="str">
        <f aca="false">IFERROR(IF([1]对账明细接口!$D$1104=0,"",[1]对账明细接口!$D$1104),"")</f>
        <v/>
      </c>
      <c r="E1104" s="59" t="str">
        <f aca="false">IFERROR(IF([1]对账明细接口!$E$1104=0,"",[1]对账明细接口!$E$1104),"")</f>
        <v/>
      </c>
      <c r="F1104" s="59" t="str">
        <f aca="false">IFERROR(IF([1]对账明细接口!$F$1104=0,"",[1]对账明细接口!$F$1104),"")</f>
        <v/>
      </c>
      <c r="G1104" s="59" t="str">
        <f aca="false">IFERROR(IF([1]对账明细接口!$G$1104=0,"",[1]对账明细接口!$G$1104),"")</f>
        <v/>
      </c>
      <c r="H1104" s="60" t="str">
        <f aca="false">IFERROR(IF([1]对账明细接口!$H$1104=0,"",[1]对账明细接口!$H$1104),"")</f>
        <v/>
      </c>
      <c r="I1104" s="59" t="str">
        <f aca="false">IFERROR(IF([1]对账明细接口!$I$1104=0,"",[1]对账明细接口!$I$1104),"")</f>
        <v/>
      </c>
      <c r="J1104" s="61" t="str">
        <f aca="false">IFERROR(IF([1]对账明细接口!$J$1104=0,"",[1]对账明细接口!$J$1104),"")</f>
        <v/>
      </c>
      <c r="K1104" s="61" t="str">
        <f aca="false">IFERROR(IF([1]对账明细接口!$K$1104=0,"",[1]对账明细接口!$K$1104),"")</f>
        <v/>
      </c>
      <c r="L1104" s="59" t="str">
        <f aca="false">IFERROR(IF([1]对账明细接口!$L$1104=0,"",[1]对账明细接口!$L$1104),"")</f>
        <v/>
      </c>
      <c r="M1104" s="59" t="str">
        <f aca="false">IFERROR(IF([1]对账明细接口!$M$1104=0,"",[1]对账明细接口!$M$1104),"")</f>
        <v/>
      </c>
      <c r="N1104" s="111" t="n">
        <f aca="false">IF($C1104="",0,1)</f>
        <v>0</v>
      </c>
      <c r="O1104" s="111" t="n">
        <f aca="false">N(O1103)+$N1104</f>
        <v>110</v>
      </c>
      <c r="S1104" s="10" t="str">
        <f aca="false">IFERROR(IF([1]对账明细接口!$N1104=0,"",[1]对账明细接口!$N1104),"")</f>
        <v/>
      </c>
      <c r="T1104" s="112" t="str">
        <f aca="false">IFERROR(IF([1]对账明细接口!$O1104=0,"",[1]对账明细接口!$O1104),"")</f>
        <v/>
      </c>
      <c r="U1104" s="112" t="str">
        <f aca="false">IFERROR(IF([1]对账明细接口!$P1104=0,"",[1]对账明细接口!$P1104),"")</f>
        <v/>
      </c>
      <c r="V1104" s="112" t="str">
        <f aca="false">IFERROR(IF([1]对账明细接口!$Q1104=0,"",[1]对账明细接口!$Q1104),"")</f>
        <v/>
      </c>
      <c r="W1104" s="10" t="str">
        <f aca="false">IFERROR(IF([1]对账明细接口!$R1104=0,"",[1]对账明细接口!$R1104),"")</f>
        <v/>
      </c>
      <c r="X1104" s="10" t="str">
        <f aca="false">IFERROR(IF([1]对账明细接口!$S1104=0,"",[1]对账明细接口!$S1104),"")</f>
        <v/>
      </c>
      <c r="Y1104" s="10" t="str">
        <f aca="false">""</f>
        <v/>
      </c>
      <c r="Z1104" s="10" t="str">
        <f aca="false">""</f>
        <v/>
      </c>
      <c r="AA1104" s="10" t="str">
        <f aca="false">""</f>
        <v/>
      </c>
      <c r="AB1104" s="10" t="str">
        <f aca="false">""</f>
        <v/>
      </c>
    </row>
    <row r="1105" customFormat="false" ht="13.5" hidden="false" customHeight="false" outlineLevel="0" collapsed="false">
      <c r="A1105" s="109" t="n">
        <v>1105</v>
      </c>
      <c r="B1105" s="110" t="str">
        <f aca="false">IFERROR(IF([1]对账明细接口!$B$1105=0,"",[1]对账明细接口!$B$1105),"")</f>
        <v/>
      </c>
      <c r="C1105" s="59" t="str">
        <f aca="false">IFERROR(IF([1]对账明细接口!$C$1105=0,"",[1]对账明细接口!$C$1105),"")</f>
        <v/>
      </c>
      <c r="D1105" s="59" t="str">
        <f aca="false">IFERROR(IF([1]对账明细接口!$D$1105=0,"",[1]对账明细接口!$D$1105),"")</f>
        <v/>
      </c>
      <c r="E1105" s="59" t="str">
        <f aca="false">IFERROR(IF([1]对账明细接口!$E$1105=0,"",[1]对账明细接口!$E$1105),"")</f>
        <v/>
      </c>
      <c r="F1105" s="59" t="str">
        <f aca="false">IFERROR(IF([1]对账明细接口!$F$1105=0,"",[1]对账明细接口!$F$1105),"")</f>
        <v/>
      </c>
      <c r="G1105" s="59" t="str">
        <f aca="false">IFERROR(IF([1]对账明细接口!$G$1105=0,"",[1]对账明细接口!$G$1105),"")</f>
        <v/>
      </c>
      <c r="H1105" s="60" t="str">
        <f aca="false">IFERROR(IF([1]对账明细接口!$H$1105=0,"",[1]对账明细接口!$H$1105),"")</f>
        <v/>
      </c>
      <c r="I1105" s="59" t="str">
        <f aca="false">IFERROR(IF([1]对账明细接口!$I$1105=0,"",[1]对账明细接口!$I$1105),"")</f>
        <v/>
      </c>
      <c r="J1105" s="61" t="str">
        <f aca="false">IFERROR(IF([1]对账明细接口!$J$1105=0,"",[1]对账明细接口!$J$1105),"")</f>
        <v/>
      </c>
      <c r="K1105" s="61" t="str">
        <f aca="false">IFERROR(IF([1]对账明细接口!$K$1105=0,"",[1]对账明细接口!$K$1105),"")</f>
        <v/>
      </c>
      <c r="L1105" s="59" t="str">
        <f aca="false">IFERROR(IF([1]对账明细接口!$L$1105=0,"",[1]对账明细接口!$L$1105),"")</f>
        <v/>
      </c>
      <c r="M1105" s="59" t="str">
        <f aca="false">IFERROR(IF([1]对账明细接口!$M$1105=0,"",[1]对账明细接口!$M$1105),"")</f>
        <v/>
      </c>
      <c r="N1105" s="111" t="n">
        <f aca="false">IF($C1105="",0,1)</f>
        <v>0</v>
      </c>
      <c r="O1105" s="111" t="n">
        <f aca="false">N(O1104)+$N1105</f>
        <v>110</v>
      </c>
      <c r="S1105" s="10" t="str">
        <f aca="false">IFERROR(IF([1]对账明细接口!$N1105=0,"",[1]对账明细接口!$N1105),"")</f>
        <v/>
      </c>
      <c r="T1105" s="112" t="str">
        <f aca="false">IFERROR(IF([1]对账明细接口!$O1105=0,"",[1]对账明细接口!$O1105),"")</f>
        <v/>
      </c>
      <c r="U1105" s="112" t="str">
        <f aca="false">IFERROR(IF([1]对账明细接口!$P1105=0,"",[1]对账明细接口!$P1105),"")</f>
        <v/>
      </c>
      <c r="V1105" s="112" t="str">
        <f aca="false">IFERROR(IF([1]对账明细接口!$Q1105=0,"",[1]对账明细接口!$Q1105),"")</f>
        <v/>
      </c>
      <c r="W1105" s="10" t="str">
        <f aca="false">IFERROR(IF([1]对账明细接口!$R1105=0,"",[1]对账明细接口!$R1105),"")</f>
        <v/>
      </c>
      <c r="X1105" s="10" t="str">
        <f aca="false">IFERROR(IF([1]对账明细接口!$S1105=0,"",[1]对账明细接口!$S1105),"")</f>
        <v/>
      </c>
      <c r="Y1105" s="10" t="str">
        <f aca="false">""</f>
        <v/>
      </c>
      <c r="Z1105" s="10" t="str">
        <f aca="false">""</f>
        <v/>
      </c>
      <c r="AA1105" s="10" t="str">
        <f aca="false">""</f>
        <v/>
      </c>
      <c r="AB1105" s="10" t="str">
        <f aca="false">""</f>
        <v/>
      </c>
    </row>
    <row r="1106" customFormat="false" ht="13.5" hidden="false" customHeight="false" outlineLevel="0" collapsed="false">
      <c r="A1106" s="109" t="n">
        <v>1106</v>
      </c>
      <c r="B1106" s="110" t="str">
        <f aca="false">IFERROR(IF([1]对账明细接口!$B$1106=0,"",[1]对账明细接口!$B$1106),"")</f>
        <v/>
      </c>
      <c r="C1106" s="59" t="str">
        <f aca="false">IFERROR(IF([1]对账明细接口!$C$1106=0,"",[1]对账明细接口!$C$1106),"")</f>
        <v/>
      </c>
      <c r="D1106" s="59" t="str">
        <f aca="false">IFERROR(IF([1]对账明细接口!$D$1106=0,"",[1]对账明细接口!$D$1106),"")</f>
        <v/>
      </c>
      <c r="E1106" s="59" t="str">
        <f aca="false">IFERROR(IF([1]对账明细接口!$E$1106=0,"",[1]对账明细接口!$E$1106),"")</f>
        <v/>
      </c>
      <c r="F1106" s="59" t="str">
        <f aca="false">IFERROR(IF([1]对账明细接口!$F$1106=0,"",[1]对账明细接口!$F$1106),"")</f>
        <v/>
      </c>
      <c r="G1106" s="59" t="str">
        <f aca="false">IFERROR(IF([1]对账明细接口!$G$1106=0,"",[1]对账明细接口!$G$1106),"")</f>
        <v/>
      </c>
      <c r="H1106" s="60" t="str">
        <f aca="false">IFERROR(IF([1]对账明细接口!$H$1106=0,"",[1]对账明细接口!$H$1106),"")</f>
        <v/>
      </c>
      <c r="I1106" s="59" t="str">
        <f aca="false">IFERROR(IF([1]对账明细接口!$I$1106=0,"",[1]对账明细接口!$I$1106),"")</f>
        <v/>
      </c>
      <c r="J1106" s="61" t="str">
        <f aca="false">IFERROR(IF([1]对账明细接口!$J$1106=0,"",[1]对账明细接口!$J$1106),"")</f>
        <v/>
      </c>
      <c r="K1106" s="61" t="str">
        <f aca="false">IFERROR(IF([1]对账明细接口!$K$1106=0,"",[1]对账明细接口!$K$1106),"")</f>
        <v/>
      </c>
      <c r="L1106" s="59" t="str">
        <f aca="false">IFERROR(IF([1]对账明细接口!$L$1106=0,"",[1]对账明细接口!$L$1106),"")</f>
        <v/>
      </c>
      <c r="M1106" s="59" t="str">
        <f aca="false">IFERROR(IF([1]对账明细接口!$M$1106=0,"",[1]对账明细接口!$M$1106),"")</f>
        <v/>
      </c>
      <c r="N1106" s="111" t="n">
        <f aca="false">IF($C1106="",0,1)</f>
        <v>0</v>
      </c>
      <c r="O1106" s="111" t="n">
        <f aca="false">N(O1105)+$N1106</f>
        <v>110</v>
      </c>
      <c r="S1106" s="10" t="str">
        <f aca="false">IFERROR(IF([1]对账明细接口!$N1106=0,"",[1]对账明细接口!$N1106),"")</f>
        <v/>
      </c>
      <c r="T1106" s="112" t="str">
        <f aca="false">IFERROR(IF([1]对账明细接口!$O1106=0,"",[1]对账明细接口!$O1106),"")</f>
        <v/>
      </c>
      <c r="U1106" s="112" t="str">
        <f aca="false">IFERROR(IF([1]对账明细接口!$P1106=0,"",[1]对账明细接口!$P1106),"")</f>
        <v/>
      </c>
      <c r="V1106" s="112" t="str">
        <f aca="false">IFERROR(IF([1]对账明细接口!$Q1106=0,"",[1]对账明细接口!$Q1106),"")</f>
        <v/>
      </c>
      <c r="W1106" s="10" t="str">
        <f aca="false">IFERROR(IF([1]对账明细接口!$R1106=0,"",[1]对账明细接口!$R1106),"")</f>
        <v/>
      </c>
      <c r="X1106" s="10" t="str">
        <f aca="false">IFERROR(IF([1]对账明细接口!$S1106=0,"",[1]对账明细接口!$S1106),"")</f>
        <v/>
      </c>
      <c r="Y1106" s="10" t="str">
        <f aca="false">""</f>
        <v/>
      </c>
      <c r="Z1106" s="10" t="str">
        <f aca="false">""</f>
        <v/>
      </c>
      <c r="AA1106" s="10" t="str">
        <f aca="false">""</f>
        <v/>
      </c>
      <c r="AB1106" s="10" t="str">
        <f aca="false">""</f>
        <v/>
      </c>
    </row>
    <row r="1107" customFormat="false" ht="13.5" hidden="false" customHeight="false" outlineLevel="0" collapsed="false">
      <c r="A1107" s="109" t="n">
        <v>1107</v>
      </c>
      <c r="B1107" s="110" t="str">
        <f aca="false">IFERROR(IF([1]对账明细接口!$B$1107=0,"",[1]对账明细接口!$B$1107),"")</f>
        <v/>
      </c>
      <c r="C1107" s="59" t="str">
        <f aca="false">IFERROR(IF([1]对账明细接口!$C$1107=0,"",[1]对账明细接口!$C$1107),"")</f>
        <v/>
      </c>
      <c r="D1107" s="59" t="str">
        <f aca="false">IFERROR(IF([1]对账明细接口!$D$1107=0,"",[1]对账明细接口!$D$1107),"")</f>
        <v/>
      </c>
      <c r="E1107" s="59" t="str">
        <f aca="false">IFERROR(IF([1]对账明细接口!$E$1107=0,"",[1]对账明细接口!$E$1107),"")</f>
        <v/>
      </c>
      <c r="F1107" s="59" t="str">
        <f aca="false">IFERROR(IF([1]对账明细接口!$F$1107=0,"",[1]对账明细接口!$F$1107),"")</f>
        <v/>
      </c>
      <c r="G1107" s="59" t="str">
        <f aca="false">IFERROR(IF([1]对账明细接口!$G$1107=0,"",[1]对账明细接口!$G$1107),"")</f>
        <v/>
      </c>
      <c r="H1107" s="60" t="str">
        <f aca="false">IFERROR(IF([1]对账明细接口!$H$1107=0,"",[1]对账明细接口!$H$1107),"")</f>
        <v/>
      </c>
      <c r="I1107" s="59" t="str">
        <f aca="false">IFERROR(IF([1]对账明细接口!$I$1107=0,"",[1]对账明细接口!$I$1107),"")</f>
        <v/>
      </c>
      <c r="J1107" s="61" t="str">
        <f aca="false">IFERROR(IF([1]对账明细接口!$J$1107=0,"",[1]对账明细接口!$J$1107),"")</f>
        <v/>
      </c>
      <c r="K1107" s="61" t="str">
        <f aca="false">IFERROR(IF([1]对账明细接口!$K$1107=0,"",[1]对账明细接口!$K$1107),"")</f>
        <v/>
      </c>
      <c r="L1107" s="59" t="str">
        <f aca="false">IFERROR(IF([1]对账明细接口!$L$1107=0,"",[1]对账明细接口!$L$1107),"")</f>
        <v/>
      </c>
      <c r="M1107" s="59" t="str">
        <f aca="false">IFERROR(IF([1]对账明细接口!$M$1107=0,"",[1]对账明细接口!$M$1107),"")</f>
        <v/>
      </c>
      <c r="N1107" s="111" t="n">
        <f aca="false">IF($C1107="",0,1)</f>
        <v>0</v>
      </c>
      <c r="O1107" s="111" t="n">
        <f aca="false">N(O1106)+$N1107</f>
        <v>110</v>
      </c>
      <c r="S1107" s="10" t="str">
        <f aca="false">IFERROR(IF([1]对账明细接口!$N1107=0,"",[1]对账明细接口!$N1107),"")</f>
        <v/>
      </c>
      <c r="T1107" s="112" t="str">
        <f aca="false">IFERROR(IF([1]对账明细接口!$O1107=0,"",[1]对账明细接口!$O1107),"")</f>
        <v/>
      </c>
      <c r="U1107" s="112" t="str">
        <f aca="false">IFERROR(IF([1]对账明细接口!$P1107=0,"",[1]对账明细接口!$P1107),"")</f>
        <v/>
      </c>
      <c r="V1107" s="112" t="str">
        <f aca="false">IFERROR(IF([1]对账明细接口!$Q1107=0,"",[1]对账明细接口!$Q1107),"")</f>
        <v/>
      </c>
      <c r="W1107" s="10" t="str">
        <f aca="false">IFERROR(IF([1]对账明细接口!$R1107=0,"",[1]对账明细接口!$R1107),"")</f>
        <v/>
      </c>
      <c r="X1107" s="10" t="str">
        <f aca="false">IFERROR(IF([1]对账明细接口!$S1107=0,"",[1]对账明细接口!$S1107),"")</f>
        <v/>
      </c>
      <c r="Y1107" s="10" t="str">
        <f aca="false">""</f>
        <v/>
      </c>
      <c r="Z1107" s="10" t="str">
        <f aca="false">""</f>
        <v/>
      </c>
      <c r="AA1107" s="10" t="str">
        <f aca="false">""</f>
        <v/>
      </c>
      <c r="AB1107" s="10" t="str">
        <f aca="false">""</f>
        <v/>
      </c>
    </row>
    <row r="1108" customFormat="false" ht="13.5" hidden="false" customHeight="false" outlineLevel="0" collapsed="false">
      <c r="A1108" s="109" t="n">
        <v>1108</v>
      </c>
      <c r="B1108" s="110" t="str">
        <f aca="false">IFERROR(IF([1]对账明细接口!$B$1108=0,"",[1]对账明细接口!$B$1108),"")</f>
        <v/>
      </c>
      <c r="C1108" s="59" t="str">
        <f aca="false">IFERROR(IF([1]对账明细接口!$C$1108=0,"",[1]对账明细接口!$C$1108),"")</f>
        <v/>
      </c>
      <c r="D1108" s="59" t="str">
        <f aca="false">IFERROR(IF([1]对账明细接口!$D$1108=0,"",[1]对账明细接口!$D$1108),"")</f>
        <v/>
      </c>
      <c r="E1108" s="59" t="str">
        <f aca="false">IFERROR(IF([1]对账明细接口!$E$1108=0,"",[1]对账明细接口!$E$1108),"")</f>
        <v/>
      </c>
      <c r="F1108" s="59" t="str">
        <f aca="false">IFERROR(IF([1]对账明细接口!$F$1108=0,"",[1]对账明细接口!$F$1108),"")</f>
        <v/>
      </c>
      <c r="G1108" s="59" t="str">
        <f aca="false">IFERROR(IF([1]对账明细接口!$G$1108=0,"",[1]对账明细接口!$G$1108),"")</f>
        <v/>
      </c>
      <c r="H1108" s="60" t="str">
        <f aca="false">IFERROR(IF([1]对账明细接口!$H$1108=0,"",[1]对账明细接口!$H$1108),"")</f>
        <v/>
      </c>
      <c r="I1108" s="59" t="str">
        <f aca="false">IFERROR(IF([1]对账明细接口!$I$1108=0,"",[1]对账明细接口!$I$1108),"")</f>
        <v/>
      </c>
      <c r="J1108" s="61" t="str">
        <f aca="false">IFERROR(IF([1]对账明细接口!$J$1108=0,"",[1]对账明细接口!$J$1108),"")</f>
        <v/>
      </c>
      <c r="K1108" s="61" t="str">
        <f aca="false">IFERROR(IF([1]对账明细接口!$K$1108=0,"",[1]对账明细接口!$K$1108),"")</f>
        <v/>
      </c>
      <c r="L1108" s="59" t="str">
        <f aca="false">IFERROR(IF([1]对账明细接口!$L$1108=0,"",[1]对账明细接口!$L$1108),"")</f>
        <v/>
      </c>
      <c r="M1108" s="59" t="str">
        <f aca="false">IFERROR(IF([1]对账明细接口!$M$1108=0,"",[1]对账明细接口!$M$1108),"")</f>
        <v/>
      </c>
      <c r="N1108" s="111" t="n">
        <f aca="false">IF($C1108="",0,1)</f>
        <v>0</v>
      </c>
      <c r="O1108" s="111" t="n">
        <f aca="false">N(O1107)+$N1108</f>
        <v>110</v>
      </c>
      <c r="S1108" s="10" t="str">
        <f aca="false">IFERROR(IF([1]对账明细接口!$N1108=0,"",[1]对账明细接口!$N1108),"")</f>
        <v/>
      </c>
      <c r="T1108" s="112" t="str">
        <f aca="false">IFERROR(IF([1]对账明细接口!$O1108=0,"",[1]对账明细接口!$O1108),"")</f>
        <v/>
      </c>
      <c r="U1108" s="112" t="str">
        <f aca="false">IFERROR(IF([1]对账明细接口!$P1108=0,"",[1]对账明细接口!$P1108),"")</f>
        <v/>
      </c>
      <c r="V1108" s="112" t="str">
        <f aca="false">IFERROR(IF([1]对账明细接口!$Q1108=0,"",[1]对账明细接口!$Q1108),"")</f>
        <v/>
      </c>
      <c r="W1108" s="10" t="str">
        <f aca="false">IFERROR(IF([1]对账明细接口!$R1108=0,"",[1]对账明细接口!$R1108),"")</f>
        <v/>
      </c>
      <c r="X1108" s="10" t="str">
        <f aca="false">IFERROR(IF([1]对账明细接口!$S1108=0,"",[1]对账明细接口!$S1108),"")</f>
        <v/>
      </c>
      <c r="Y1108" s="10" t="str">
        <f aca="false">""</f>
        <v/>
      </c>
      <c r="Z1108" s="10" t="str">
        <f aca="false">""</f>
        <v/>
      </c>
      <c r="AA1108" s="10" t="str">
        <f aca="false">""</f>
        <v/>
      </c>
      <c r="AB1108" s="10" t="str">
        <f aca="false">""</f>
        <v/>
      </c>
    </row>
    <row r="1109" customFormat="false" ht="13.5" hidden="false" customHeight="false" outlineLevel="0" collapsed="false">
      <c r="A1109" s="109" t="n">
        <v>1109</v>
      </c>
      <c r="B1109" s="110" t="str">
        <f aca="false">IFERROR(IF([1]对账明细接口!$B$1109=0,"",[1]对账明细接口!$B$1109),"")</f>
        <v/>
      </c>
      <c r="C1109" s="59" t="str">
        <f aca="false">IFERROR(IF([1]对账明细接口!$C$1109=0,"",[1]对账明细接口!$C$1109),"")</f>
        <v/>
      </c>
      <c r="D1109" s="59" t="str">
        <f aca="false">IFERROR(IF([1]对账明细接口!$D$1109=0,"",[1]对账明细接口!$D$1109),"")</f>
        <v/>
      </c>
      <c r="E1109" s="59" t="str">
        <f aca="false">IFERROR(IF([1]对账明细接口!$E$1109=0,"",[1]对账明细接口!$E$1109),"")</f>
        <v/>
      </c>
      <c r="F1109" s="59" t="str">
        <f aca="false">IFERROR(IF([1]对账明细接口!$F$1109=0,"",[1]对账明细接口!$F$1109),"")</f>
        <v/>
      </c>
      <c r="G1109" s="59" t="str">
        <f aca="false">IFERROR(IF([1]对账明细接口!$G$1109=0,"",[1]对账明细接口!$G$1109),"")</f>
        <v/>
      </c>
      <c r="H1109" s="60" t="str">
        <f aca="false">IFERROR(IF([1]对账明细接口!$H$1109=0,"",[1]对账明细接口!$H$1109),"")</f>
        <v/>
      </c>
      <c r="I1109" s="59" t="str">
        <f aca="false">IFERROR(IF([1]对账明细接口!$I$1109=0,"",[1]对账明细接口!$I$1109),"")</f>
        <v/>
      </c>
      <c r="J1109" s="61" t="str">
        <f aca="false">IFERROR(IF([1]对账明细接口!$J$1109=0,"",[1]对账明细接口!$J$1109),"")</f>
        <v/>
      </c>
      <c r="K1109" s="61" t="str">
        <f aca="false">IFERROR(IF([1]对账明细接口!$K$1109=0,"",[1]对账明细接口!$K$1109),"")</f>
        <v/>
      </c>
      <c r="L1109" s="59" t="str">
        <f aca="false">IFERROR(IF([1]对账明细接口!$L$1109=0,"",[1]对账明细接口!$L$1109),"")</f>
        <v/>
      </c>
      <c r="M1109" s="59" t="str">
        <f aca="false">IFERROR(IF([1]对账明细接口!$M$1109=0,"",[1]对账明细接口!$M$1109),"")</f>
        <v/>
      </c>
      <c r="N1109" s="111" t="n">
        <f aca="false">IF($C1109="",0,1)</f>
        <v>0</v>
      </c>
      <c r="O1109" s="111" t="n">
        <f aca="false">N(O1108)+$N1109</f>
        <v>110</v>
      </c>
      <c r="S1109" s="10" t="str">
        <f aca="false">IFERROR(IF([1]对账明细接口!$N1109=0,"",[1]对账明细接口!$N1109),"")</f>
        <v/>
      </c>
      <c r="T1109" s="112" t="str">
        <f aca="false">IFERROR(IF([1]对账明细接口!$O1109=0,"",[1]对账明细接口!$O1109),"")</f>
        <v/>
      </c>
      <c r="U1109" s="112" t="str">
        <f aca="false">IFERROR(IF([1]对账明细接口!$P1109=0,"",[1]对账明细接口!$P1109),"")</f>
        <v/>
      </c>
      <c r="V1109" s="112" t="str">
        <f aca="false">IFERROR(IF([1]对账明细接口!$Q1109=0,"",[1]对账明细接口!$Q1109),"")</f>
        <v/>
      </c>
      <c r="W1109" s="10" t="str">
        <f aca="false">IFERROR(IF([1]对账明细接口!$R1109=0,"",[1]对账明细接口!$R1109),"")</f>
        <v/>
      </c>
      <c r="X1109" s="10" t="str">
        <f aca="false">IFERROR(IF([1]对账明细接口!$S1109=0,"",[1]对账明细接口!$S1109),"")</f>
        <v/>
      </c>
      <c r="Y1109" s="10" t="str">
        <f aca="false">""</f>
        <v/>
      </c>
      <c r="Z1109" s="10" t="str">
        <f aca="false">""</f>
        <v/>
      </c>
      <c r="AA1109" s="10" t="str">
        <f aca="false">""</f>
        <v/>
      </c>
      <c r="AB1109" s="10" t="str">
        <f aca="false">""</f>
        <v/>
      </c>
    </row>
    <row r="1110" customFormat="false" ht="13.5" hidden="false" customHeight="false" outlineLevel="0" collapsed="false">
      <c r="A1110" s="109" t="n">
        <v>1110</v>
      </c>
      <c r="B1110" s="110" t="str">
        <f aca="false">IFERROR(IF([1]对账明细接口!$B$1110=0,"",[1]对账明细接口!$B$1110),"")</f>
        <v/>
      </c>
      <c r="C1110" s="59" t="str">
        <f aca="false">IFERROR(IF([1]对账明细接口!$C$1110=0,"",[1]对账明细接口!$C$1110),"")</f>
        <v/>
      </c>
      <c r="D1110" s="59" t="str">
        <f aca="false">IFERROR(IF([1]对账明细接口!$D$1110=0,"",[1]对账明细接口!$D$1110),"")</f>
        <v/>
      </c>
      <c r="E1110" s="59" t="str">
        <f aca="false">IFERROR(IF([1]对账明细接口!$E$1110=0,"",[1]对账明细接口!$E$1110),"")</f>
        <v/>
      </c>
      <c r="F1110" s="59" t="str">
        <f aca="false">IFERROR(IF([1]对账明细接口!$F$1110=0,"",[1]对账明细接口!$F$1110),"")</f>
        <v/>
      </c>
      <c r="G1110" s="59" t="str">
        <f aca="false">IFERROR(IF([1]对账明细接口!$G$1110=0,"",[1]对账明细接口!$G$1110),"")</f>
        <v/>
      </c>
      <c r="H1110" s="60" t="str">
        <f aca="false">IFERROR(IF([1]对账明细接口!$H$1110=0,"",[1]对账明细接口!$H$1110),"")</f>
        <v/>
      </c>
      <c r="I1110" s="59" t="str">
        <f aca="false">IFERROR(IF([1]对账明细接口!$I$1110=0,"",[1]对账明细接口!$I$1110),"")</f>
        <v/>
      </c>
      <c r="J1110" s="61" t="str">
        <f aca="false">IFERROR(IF([1]对账明细接口!$J$1110=0,"",[1]对账明细接口!$J$1110),"")</f>
        <v/>
      </c>
      <c r="K1110" s="61" t="str">
        <f aca="false">IFERROR(IF([1]对账明细接口!$K$1110=0,"",[1]对账明细接口!$K$1110),"")</f>
        <v/>
      </c>
      <c r="L1110" s="59" t="str">
        <f aca="false">IFERROR(IF([1]对账明细接口!$L$1110=0,"",[1]对账明细接口!$L$1110),"")</f>
        <v/>
      </c>
      <c r="M1110" s="59" t="str">
        <f aca="false">IFERROR(IF([1]对账明细接口!$M$1110=0,"",[1]对账明细接口!$M$1110),"")</f>
        <v/>
      </c>
      <c r="N1110" s="111" t="n">
        <f aca="false">IF($C1110="",0,1)</f>
        <v>0</v>
      </c>
      <c r="O1110" s="111" t="n">
        <f aca="false">N(O1109)+$N1110</f>
        <v>110</v>
      </c>
      <c r="S1110" s="10" t="str">
        <f aca="false">IFERROR(IF([1]对账明细接口!$N1110=0,"",[1]对账明细接口!$N1110),"")</f>
        <v/>
      </c>
      <c r="T1110" s="112" t="str">
        <f aca="false">IFERROR(IF([1]对账明细接口!$O1110=0,"",[1]对账明细接口!$O1110),"")</f>
        <v/>
      </c>
      <c r="U1110" s="112" t="str">
        <f aca="false">IFERROR(IF([1]对账明细接口!$P1110=0,"",[1]对账明细接口!$P1110),"")</f>
        <v/>
      </c>
      <c r="V1110" s="112" t="str">
        <f aca="false">IFERROR(IF([1]对账明细接口!$Q1110=0,"",[1]对账明细接口!$Q1110),"")</f>
        <v/>
      </c>
      <c r="W1110" s="10" t="str">
        <f aca="false">IFERROR(IF([1]对账明细接口!$R1110=0,"",[1]对账明细接口!$R1110),"")</f>
        <v/>
      </c>
      <c r="X1110" s="10" t="str">
        <f aca="false">IFERROR(IF([1]对账明细接口!$S1110=0,"",[1]对账明细接口!$S1110),"")</f>
        <v/>
      </c>
      <c r="Y1110" s="10" t="str">
        <f aca="false">""</f>
        <v/>
      </c>
      <c r="Z1110" s="10" t="str">
        <f aca="false">""</f>
        <v/>
      </c>
      <c r="AA1110" s="10" t="str">
        <f aca="false">""</f>
        <v/>
      </c>
      <c r="AB1110" s="10" t="str">
        <f aca="false">""</f>
        <v/>
      </c>
    </row>
    <row r="1111" customFormat="false" ht="13.5" hidden="false" customHeight="false" outlineLevel="0" collapsed="false">
      <c r="A1111" s="109" t="n">
        <v>1111</v>
      </c>
      <c r="B1111" s="110" t="str">
        <f aca="false">IFERROR(IF([1]对账明细接口!$B$1111=0,"",[1]对账明细接口!$B$1111),"")</f>
        <v/>
      </c>
      <c r="C1111" s="59" t="str">
        <f aca="false">IFERROR(IF([1]对账明细接口!$C$1111=0,"",[1]对账明细接口!$C$1111),"")</f>
        <v/>
      </c>
      <c r="D1111" s="59" t="str">
        <f aca="false">IFERROR(IF([1]对账明细接口!$D$1111=0,"",[1]对账明细接口!$D$1111),"")</f>
        <v/>
      </c>
      <c r="E1111" s="59" t="str">
        <f aca="false">IFERROR(IF([1]对账明细接口!$E$1111=0,"",[1]对账明细接口!$E$1111),"")</f>
        <v/>
      </c>
      <c r="F1111" s="59" t="str">
        <f aca="false">IFERROR(IF([1]对账明细接口!$F$1111=0,"",[1]对账明细接口!$F$1111),"")</f>
        <v/>
      </c>
      <c r="G1111" s="59" t="str">
        <f aca="false">IFERROR(IF([1]对账明细接口!$G$1111=0,"",[1]对账明细接口!$G$1111),"")</f>
        <v/>
      </c>
      <c r="H1111" s="60" t="str">
        <f aca="false">IFERROR(IF([1]对账明细接口!$H$1111=0,"",[1]对账明细接口!$H$1111),"")</f>
        <v/>
      </c>
      <c r="I1111" s="59" t="str">
        <f aca="false">IFERROR(IF([1]对账明细接口!$I$1111=0,"",[1]对账明细接口!$I$1111),"")</f>
        <v/>
      </c>
      <c r="J1111" s="61" t="str">
        <f aca="false">IFERROR(IF([1]对账明细接口!$J$1111=0,"",[1]对账明细接口!$J$1111),"")</f>
        <v/>
      </c>
      <c r="K1111" s="61" t="str">
        <f aca="false">IFERROR(IF([1]对账明细接口!$K$1111=0,"",[1]对账明细接口!$K$1111),"")</f>
        <v/>
      </c>
      <c r="L1111" s="59" t="str">
        <f aca="false">IFERROR(IF([1]对账明细接口!$L$1111=0,"",[1]对账明细接口!$L$1111),"")</f>
        <v/>
      </c>
      <c r="M1111" s="59" t="str">
        <f aca="false">IFERROR(IF([1]对账明细接口!$M$1111=0,"",[1]对账明细接口!$M$1111),"")</f>
        <v/>
      </c>
      <c r="N1111" s="111" t="n">
        <f aca="false">IF($C1111="",0,1)</f>
        <v>0</v>
      </c>
      <c r="O1111" s="111" t="n">
        <f aca="false">N(O1110)+$N1111</f>
        <v>110</v>
      </c>
      <c r="S1111" s="10" t="str">
        <f aca="false">IFERROR(IF([1]对账明细接口!$N1111=0,"",[1]对账明细接口!$N1111),"")</f>
        <v/>
      </c>
      <c r="T1111" s="112" t="str">
        <f aca="false">IFERROR(IF([1]对账明细接口!$O1111=0,"",[1]对账明细接口!$O1111),"")</f>
        <v/>
      </c>
      <c r="U1111" s="112" t="str">
        <f aca="false">IFERROR(IF([1]对账明细接口!$P1111=0,"",[1]对账明细接口!$P1111),"")</f>
        <v/>
      </c>
      <c r="V1111" s="112" t="str">
        <f aca="false">IFERROR(IF([1]对账明细接口!$Q1111=0,"",[1]对账明细接口!$Q1111),"")</f>
        <v/>
      </c>
      <c r="W1111" s="10" t="str">
        <f aca="false">IFERROR(IF([1]对账明细接口!$R1111=0,"",[1]对账明细接口!$R1111),"")</f>
        <v/>
      </c>
      <c r="X1111" s="10" t="str">
        <f aca="false">IFERROR(IF([1]对账明细接口!$S1111=0,"",[1]对账明细接口!$S1111),"")</f>
        <v/>
      </c>
      <c r="Y1111" s="10" t="str">
        <f aca="false">""</f>
        <v/>
      </c>
      <c r="Z1111" s="10" t="str">
        <f aca="false">""</f>
        <v/>
      </c>
      <c r="AA1111" s="10" t="str">
        <f aca="false">""</f>
        <v/>
      </c>
      <c r="AB1111" s="10" t="str">
        <f aca="false">""</f>
        <v/>
      </c>
    </row>
    <row r="1112" customFormat="false" ht="13.5" hidden="false" customHeight="false" outlineLevel="0" collapsed="false">
      <c r="A1112" s="109" t="n">
        <v>1112</v>
      </c>
      <c r="B1112" s="110" t="str">
        <f aca="false">IFERROR(IF([1]对账明细接口!$B$1112=0,"",[1]对账明细接口!$B$1112),"")</f>
        <v/>
      </c>
      <c r="C1112" s="59" t="str">
        <f aca="false">IFERROR(IF([1]对账明细接口!$C$1112=0,"",[1]对账明细接口!$C$1112),"")</f>
        <v/>
      </c>
      <c r="D1112" s="59" t="str">
        <f aca="false">IFERROR(IF([1]对账明细接口!$D$1112=0,"",[1]对账明细接口!$D$1112),"")</f>
        <v/>
      </c>
      <c r="E1112" s="59" t="str">
        <f aca="false">IFERROR(IF([1]对账明细接口!$E$1112=0,"",[1]对账明细接口!$E$1112),"")</f>
        <v/>
      </c>
      <c r="F1112" s="59" t="str">
        <f aca="false">IFERROR(IF([1]对账明细接口!$F$1112=0,"",[1]对账明细接口!$F$1112),"")</f>
        <v/>
      </c>
      <c r="G1112" s="59" t="str">
        <f aca="false">IFERROR(IF([1]对账明细接口!$G$1112=0,"",[1]对账明细接口!$G$1112),"")</f>
        <v/>
      </c>
      <c r="H1112" s="60" t="str">
        <f aca="false">IFERROR(IF([1]对账明细接口!$H$1112=0,"",[1]对账明细接口!$H$1112),"")</f>
        <v/>
      </c>
      <c r="I1112" s="59" t="str">
        <f aca="false">IFERROR(IF([1]对账明细接口!$I$1112=0,"",[1]对账明细接口!$I$1112),"")</f>
        <v/>
      </c>
      <c r="J1112" s="61" t="str">
        <f aca="false">IFERROR(IF([1]对账明细接口!$J$1112=0,"",[1]对账明细接口!$J$1112),"")</f>
        <v/>
      </c>
      <c r="K1112" s="61" t="str">
        <f aca="false">IFERROR(IF([1]对账明细接口!$K$1112=0,"",[1]对账明细接口!$K$1112),"")</f>
        <v/>
      </c>
      <c r="L1112" s="59" t="str">
        <f aca="false">IFERROR(IF([1]对账明细接口!$L$1112=0,"",[1]对账明细接口!$L$1112),"")</f>
        <v/>
      </c>
      <c r="M1112" s="59" t="str">
        <f aca="false">IFERROR(IF([1]对账明细接口!$M$1112=0,"",[1]对账明细接口!$M$1112),"")</f>
        <v/>
      </c>
      <c r="N1112" s="111" t="n">
        <f aca="false">IF($C1112="",0,1)</f>
        <v>0</v>
      </c>
      <c r="O1112" s="111" t="n">
        <f aca="false">N(O1111)+$N1112</f>
        <v>110</v>
      </c>
      <c r="S1112" s="10" t="str">
        <f aca="false">IFERROR(IF([1]对账明细接口!$N1112=0,"",[1]对账明细接口!$N1112),"")</f>
        <v/>
      </c>
      <c r="T1112" s="112" t="str">
        <f aca="false">IFERROR(IF([1]对账明细接口!$O1112=0,"",[1]对账明细接口!$O1112),"")</f>
        <v/>
      </c>
      <c r="U1112" s="112" t="str">
        <f aca="false">IFERROR(IF([1]对账明细接口!$P1112=0,"",[1]对账明细接口!$P1112),"")</f>
        <v/>
      </c>
      <c r="V1112" s="112" t="str">
        <f aca="false">IFERROR(IF([1]对账明细接口!$Q1112=0,"",[1]对账明细接口!$Q1112),"")</f>
        <v/>
      </c>
      <c r="W1112" s="10" t="str">
        <f aca="false">IFERROR(IF([1]对账明细接口!$R1112=0,"",[1]对账明细接口!$R1112),"")</f>
        <v/>
      </c>
      <c r="X1112" s="10" t="str">
        <f aca="false">IFERROR(IF([1]对账明细接口!$S1112=0,"",[1]对账明细接口!$S1112),"")</f>
        <v/>
      </c>
      <c r="Y1112" s="10" t="str">
        <f aca="false">""</f>
        <v/>
      </c>
      <c r="Z1112" s="10" t="str">
        <f aca="false">""</f>
        <v/>
      </c>
      <c r="AA1112" s="10" t="str">
        <f aca="false">""</f>
        <v/>
      </c>
      <c r="AB1112" s="10" t="str">
        <f aca="false">""</f>
        <v/>
      </c>
    </row>
    <row r="1113" customFormat="false" ht="13.5" hidden="false" customHeight="false" outlineLevel="0" collapsed="false">
      <c r="A1113" s="109" t="n">
        <v>1113</v>
      </c>
      <c r="B1113" s="110" t="str">
        <f aca="false">IFERROR(IF([1]对账明细接口!$B$1113=0,"",[1]对账明细接口!$B$1113),"")</f>
        <v/>
      </c>
      <c r="C1113" s="59" t="str">
        <f aca="false">IFERROR(IF([1]对账明细接口!$C$1113=0,"",[1]对账明细接口!$C$1113),"")</f>
        <v/>
      </c>
      <c r="D1113" s="59" t="str">
        <f aca="false">IFERROR(IF([1]对账明细接口!$D$1113=0,"",[1]对账明细接口!$D$1113),"")</f>
        <v/>
      </c>
      <c r="E1113" s="59" t="str">
        <f aca="false">IFERROR(IF([1]对账明细接口!$E$1113=0,"",[1]对账明细接口!$E$1113),"")</f>
        <v/>
      </c>
      <c r="F1113" s="59" t="str">
        <f aca="false">IFERROR(IF([1]对账明细接口!$F$1113=0,"",[1]对账明细接口!$F$1113),"")</f>
        <v/>
      </c>
      <c r="G1113" s="59" t="str">
        <f aca="false">IFERROR(IF([1]对账明细接口!$G$1113=0,"",[1]对账明细接口!$G$1113),"")</f>
        <v/>
      </c>
      <c r="H1113" s="60" t="str">
        <f aca="false">IFERROR(IF([1]对账明细接口!$H$1113=0,"",[1]对账明细接口!$H$1113),"")</f>
        <v/>
      </c>
      <c r="I1113" s="59" t="str">
        <f aca="false">IFERROR(IF([1]对账明细接口!$I$1113=0,"",[1]对账明细接口!$I$1113),"")</f>
        <v/>
      </c>
      <c r="J1113" s="61" t="str">
        <f aca="false">IFERROR(IF([1]对账明细接口!$J$1113=0,"",[1]对账明细接口!$J$1113),"")</f>
        <v/>
      </c>
      <c r="K1113" s="61" t="str">
        <f aca="false">IFERROR(IF([1]对账明细接口!$K$1113=0,"",[1]对账明细接口!$K$1113),"")</f>
        <v/>
      </c>
      <c r="L1113" s="59" t="str">
        <f aca="false">IFERROR(IF([1]对账明细接口!$L$1113=0,"",[1]对账明细接口!$L$1113),"")</f>
        <v/>
      </c>
      <c r="M1113" s="59" t="str">
        <f aca="false">IFERROR(IF([1]对账明细接口!$M$1113=0,"",[1]对账明细接口!$M$1113),"")</f>
        <v/>
      </c>
      <c r="N1113" s="111" t="n">
        <f aca="false">IF($C1113="",0,1)</f>
        <v>0</v>
      </c>
      <c r="O1113" s="111" t="n">
        <f aca="false">N(O1112)+$N1113</f>
        <v>110</v>
      </c>
      <c r="S1113" s="10" t="str">
        <f aca="false">IFERROR(IF([1]对账明细接口!$N1113=0,"",[1]对账明细接口!$N1113),"")</f>
        <v/>
      </c>
      <c r="T1113" s="112" t="str">
        <f aca="false">IFERROR(IF([1]对账明细接口!$O1113=0,"",[1]对账明细接口!$O1113),"")</f>
        <v/>
      </c>
      <c r="U1113" s="112" t="str">
        <f aca="false">IFERROR(IF([1]对账明细接口!$P1113=0,"",[1]对账明细接口!$P1113),"")</f>
        <v/>
      </c>
      <c r="V1113" s="112" t="str">
        <f aca="false">IFERROR(IF([1]对账明细接口!$Q1113=0,"",[1]对账明细接口!$Q1113),"")</f>
        <v/>
      </c>
      <c r="W1113" s="10" t="str">
        <f aca="false">IFERROR(IF([1]对账明细接口!$R1113=0,"",[1]对账明细接口!$R1113),"")</f>
        <v/>
      </c>
      <c r="X1113" s="10" t="str">
        <f aca="false">IFERROR(IF([1]对账明细接口!$S1113=0,"",[1]对账明细接口!$S1113),"")</f>
        <v/>
      </c>
      <c r="Y1113" s="10" t="str">
        <f aca="false">""</f>
        <v/>
      </c>
      <c r="Z1113" s="10" t="str">
        <f aca="false">""</f>
        <v/>
      </c>
      <c r="AA1113" s="10" t="str">
        <f aca="false">""</f>
        <v/>
      </c>
      <c r="AB1113" s="10" t="str">
        <f aca="false">""</f>
        <v/>
      </c>
    </row>
    <row r="1114" customFormat="false" ht="13.5" hidden="false" customHeight="false" outlineLevel="0" collapsed="false">
      <c r="A1114" s="109" t="n">
        <v>1114</v>
      </c>
      <c r="B1114" s="110" t="str">
        <f aca="false">IFERROR(IF([1]对账明细接口!$B$1114=0,"",[1]对账明细接口!$B$1114),"")</f>
        <v/>
      </c>
      <c r="C1114" s="59" t="str">
        <f aca="false">IFERROR(IF([1]对账明细接口!$C$1114=0,"",[1]对账明细接口!$C$1114),"")</f>
        <v/>
      </c>
      <c r="D1114" s="59" t="str">
        <f aca="false">IFERROR(IF([1]对账明细接口!$D$1114=0,"",[1]对账明细接口!$D$1114),"")</f>
        <v/>
      </c>
      <c r="E1114" s="59" t="str">
        <f aca="false">IFERROR(IF([1]对账明细接口!$E$1114=0,"",[1]对账明细接口!$E$1114),"")</f>
        <v/>
      </c>
      <c r="F1114" s="59" t="str">
        <f aca="false">IFERROR(IF([1]对账明细接口!$F$1114=0,"",[1]对账明细接口!$F$1114),"")</f>
        <v/>
      </c>
      <c r="G1114" s="59" t="str">
        <f aca="false">IFERROR(IF([1]对账明细接口!$G$1114=0,"",[1]对账明细接口!$G$1114),"")</f>
        <v/>
      </c>
      <c r="H1114" s="60" t="str">
        <f aca="false">IFERROR(IF([1]对账明细接口!$H$1114=0,"",[1]对账明细接口!$H$1114),"")</f>
        <v/>
      </c>
      <c r="I1114" s="59" t="str">
        <f aca="false">IFERROR(IF([1]对账明细接口!$I$1114=0,"",[1]对账明细接口!$I$1114),"")</f>
        <v/>
      </c>
      <c r="J1114" s="61" t="str">
        <f aca="false">IFERROR(IF([1]对账明细接口!$J$1114=0,"",[1]对账明细接口!$J$1114),"")</f>
        <v/>
      </c>
      <c r="K1114" s="61" t="str">
        <f aca="false">IFERROR(IF([1]对账明细接口!$K$1114=0,"",[1]对账明细接口!$K$1114),"")</f>
        <v/>
      </c>
      <c r="L1114" s="59" t="str">
        <f aca="false">IFERROR(IF([1]对账明细接口!$L$1114=0,"",[1]对账明细接口!$L$1114),"")</f>
        <v/>
      </c>
      <c r="M1114" s="59" t="str">
        <f aca="false">IFERROR(IF([1]对账明细接口!$M$1114=0,"",[1]对账明细接口!$M$1114),"")</f>
        <v/>
      </c>
      <c r="N1114" s="111" t="n">
        <f aca="false">IF($C1114="",0,1)</f>
        <v>0</v>
      </c>
      <c r="O1114" s="111" t="n">
        <f aca="false">N(O1113)+$N1114</f>
        <v>110</v>
      </c>
      <c r="S1114" s="10" t="str">
        <f aca="false">IFERROR(IF([1]对账明细接口!$N1114=0,"",[1]对账明细接口!$N1114),"")</f>
        <v/>
      </c>
      <c r="T1114" s="112" t="str">
        <f aca="false">IFERROR(IF([1]对账明细接口!$O1114=0,"",[1]对账明细接口!$O1114),"")</f>
        <v/>
      </c>
      <c r="U1114" s="112" t="str">
        <f aca="false">IFERROR(IF([1]对账明细接口!$P1114=0,"",[1]对账明细接口!$P1114),"")</f>
        <v/>
      </c>
      <c r="V1114" s="112" t="str">
        <f aca="false">IFERROR(IF([1]对账明细接口!$Q1114=0,"",[1]对账明细接口!$Q1114),"")</f>
        <v/>
      </c>
      <c r="W1114" s="10" t="str">
        <f aca="false">IFERROR(IF([1]对账明细接口!$R1114=0,"",[1]对账明细接口!$R1114),"")</f>
        <v/>
      </c>
      <c r="X1114" s="10" t="str">
        <f aca="false">IFERROR(IF([1]对账明细接口!$S1114=0,"",[1]对账明细接口!$S1114),"")</f>
        <v/>
      </c>
      <c r="Y1114" s="10" t="str">
        <f aca="false">""</f>
        <v/>
      </c>
      <c r="Z1114" s="10" t="str">
        <f aca="false">""</f>
        <v/>
      </c>
      <c r="AA1114" s="10" t="str">
        <f aca="false">""</f>
        <v/>
      </c>
      <c r="AB1114" s="10" t="str">
        <f aca="false">""</f>
        <v/>
      </c>
    </row>
    <row r="1115" customFormat="false" ht="13.5" hidden="false" customHeight="false" outlineLevel="0" collapsed="false">
      <c r="A1115" s="109" t="n">
        <v>1115</v>
      </c>
      <c r="B1115" s="110" t="str">
        <f aca="false">IFERROR(IF([1]对账明细接口!$B$1115=0,"",[1]对账明细接口!$B$1115),"")</f>
        <v/>
      </c>
      <c r="C1115" s="59" t="str">
        <f aca="false">IFERROR(IF([1]对账明细接口!$C$1115=0,"",[1]对账明细接口!$C$1115),"")</f>
        <v/>
      </c>
      <c r="D1115" s="59" t="str">
        <f aca="false">IFERROR(IF([1]对账明细接口!$D$1115=0,"",[1]对账明细接口!$D$1115),"")</f>
        <v/>
      </c>
      <c r="E1115" s="59" t="str">
        <f aca="false">IFERROR(IF([1]对账明细接口!$E$1115=0,"",[1]对账明细接口!$E$1115),"")</f>
        <v/>
      </c>
      <c r="F1115" s="59" t="str">
        <f aca="false">IFERROR(IF([1]对账明细接口!$F$1115=0,"",[1]对账明细接口!$F$1115),"")</f>
        <v/>
      </c>
      <c r="G1115" s="59" t="str">
        <f aca="false">IFERROR(IF([1]对账明细接口!$G$1115=0,"",[1]对账明细接口!$G$1115),"")</f>
        <v/>
      </c>
      <c r="H1115" s="60" t="str">
        <f aca="false">IFERROR(IF([1]对账明细接口!$H$1115=0,"",[1]对账明细接口!$H$1115),"")</f>
        <v/>
      </c>
      <c r="I1115" s="59" t="str">
        <f aca="false">IFERROR(IF([1]对账明细接口!$I$1115=0,"",[1]对账明细接口!$I$1115),"")</f>
        <v/>
      </c>
      <c r="J1115" s="61" t="str">
        <f aca="false">IFERROR(IF([1]对账明细接口!$J$1115=0,"",[1]对账明细接口!$J$1115),"")</f>
        <v/>
      </c>
      <c r="K1115" s="61" t="str">
        <f aca="false">IFERROR(IF([1]对账明细接口!$K$1115=0,"",[1]对账明细接口!$K$1115),"")</f>
        <v/>
      </c>
      <c r="L1115" s="59" t="str">
        <f aca="false">IFERROR(IF([1]对账明细接口!$L$1115=0,"",[1]对账明细接口!$L$1115),"")</f>
        <v/>
      </c>
      <c r="M1115" s="59" t="str">
        <f aca="false">IFERROR(IF([1]对账明细接口!$M$1115=0,"",[1]对账明细接口!$M$1115),"")</f>
        <v/>
      </c>
      <c r="N1115" s="111" t="n">
        <f aca="false">IF($C1115="",0,1)</f>
        <v>0</v>
      </c>
      <c r="O1115" s="111" t="n">
        <f aca="false">N(O1114)+$N1115</f>
        <v>110</v>
      </c>
      <c r="S1115" s="10" t="str">
        <f aca="false">IFERROR(IF([1]对账明细接口!$N1115=0,"",[1]对账明细接口!$N1115),"")</f>
        <v/>
      </c>
      <c r="T1115" s="112" t="str">
        <f aca="false">IFERROR(IF([1]对账明细接口!$O1115=0,"",[1]对账明细接口!$O1115),"")</f>
        <v/>
      </c>
      <c r="U1115" s="112" t="str">
        <f aca="false">IFERROR(IF([1]对账明细接口!$P1115=0,"",[1]对账明细接口!$P1115),"")</f>
        <v/>
      </c>
      <c r="V1115" s="112" t="str">
        <f aca="false">IFERROR(IF([1]对账明细接口!$Q1115=0,"",[1]对账明细接口!$Q1115),"")</f>
        <v/>
      </c>
      <c r="W1115" s="10" t="str">
        <f aca="false">IFERROR(IF([1]对账明细接口!$R1115=0,"",[1]对账明细接口!$R1115),"")</f>
        <v/>
      </c>
      <c r="X1115" s="10" t="str">
        <f aca="false">IFERROR(IF([1]对账明细接口!$S1115=0,"",[1]对账明细接口!$S1115),"")</f>
        <v/>
      </c>
      <c r="Y1115" s="10" t="str">
        <f aca="false">""</f>
        <v/>
      </c>
      <c r="Z1115" s="10" t="str">
        <f aca="false">""</f>
        <v/>
      </c>
      <c r="AA1115" s="10" t="str">
        <f aca="false">""</f>
        <v/>
      </c>
      <c r="AB1115" s="10" t="str">
        <f aca="false">""</f>
        <v/>
      </c>
    </row>
    <row r="1116" customFormat="false" ht="13.5" hidden="false" customHeight="false" outlineLevel="0" collapsed="false">
      <c r="A1116" s="109" t="n">
        <v>1116</v>
      </c>
      <c r="B1116" s="110" t="str">
        <f aca="false">IFERROR(IF([1]对账明细接口!$B$1116=0,"",[1]对账明细接口!$B$1116),"")</f>
        <v/>
      </c>
      <c r="C1116" s="59" t="str">
        <f aca="false">IFERROR(IF([1]对账明细接口!$C$1116=0,"",[1]对账明细接口!$C$1116),"")</f>
        <v/>
      </c>
      <c r="D1116" s="59" t="str">
        <f aca="false">IFERROR(IF([1]对账明细接口!$D$1116=0,"",[1]对账明细接口!$D$1116),"")</f>
        <v/>
      </c>
      <c r="E1116" s="59" t="str">
        <f aca="false">IFERROR(IF([1]对账明细接口!$E$1116=0,"",[1]对账明细接口!$E$1116),"")</f>
        <v/>
      </c>
      <c r="F1116" s="59" t="str">
        <f aca="false">IFERROR(IF([1]对账明细接口!$F$1116=0,"",[1]对账明细接口!$F$1116),"")</f>
        <v/>
      </c>
      <c r="G1116" s="59" t="str">
        <f aca="false">IFERROR(IF([1]对账明细接口!$G$1116=0,"",[1]对账明细接口!$G$1116),"")</f>
        <v/>
      </c>
      <c r="H1116" s="60" t="str">
        <f aca="false">IFERROR(IF([1]对账明细接口!$H$1116=0,"",[1]对账明细接口!$H$1116),"")</f>
        <v/>
      </c>
      <c r="I1116" s="59" t="str">
        <f aca="false">IFERROR(IF([1]对账明细接口!$I$1116=0,"",[1]对账明细接口!$I$1116),"")</f>
        <v/>
      </c>
      <c r="J1116" s="61" t="str">
        <f aca="false">IFERROR(IF([1]对账明细接口!$J$1116=0,"",[1]对账明细接口!$J$1116),"")</f>
        <v/>
      </c>
      <c r="K1116" s="61" t="str">
        <f aca="false">IFERROR(IF([1]对账明细接口!$K$1116=0,"",[1]对账明细接口!$K$1116),"")</f>
        <v/>
      </c>
      <c r="L1116" s="59" t="str">
        <f aca="false">IFERROR(IF([1]对账明细接口!$L$1116=0,"",[1]对账明细接口!$L$1116),"")</f>
        <v/>
      </c>
      <c r="M1116" s="59" t="str">
        <f aca="false">IFERROR(IF([1]对账明细接口!$M$1116=0,"",[1]对账明细接口!$M$1116),"")</f>
        <v/>
      </c>
      <c r="N1116" s="111" t="n">
        <f aca="false">IF($C1116="",0,1)</f>
        <v>0</v>
      </c>
      <c r="O1116" s="111" t="n">
        <f aca="false">N(O1115)+$N1116</f>
        <v>110</v>
      </c>
      <c r="S1116" s="10" t="str">
        <f aca="false">IFERROR(IF([1]对账明细接口!$N1116=0,"",[1]对账明细接口!$N1116),"")</f>
        <v/>
      </c>
      <c r="T1116" s="112" t="str">
        <f aca="false">IFERROR(IF([1]对账明细接口!$O1116=0,"",[1]对账明细接口!$O1116),"")</f>
        <v/>
      </c>
      <c r="U1116" s="112" t="str">
        <f aca="false">IFERROR(IF([1]对账明细接口!$P1116=0,"",[1]对账明细接口!$P1116),"")</f>
        <v/>
      </c>
      <c r="V1116" s="112" t="str">
        <f aca="false">IFERROR(IF([1]对账明细接口!$Q1116=0,"",[1]对账明细接口!$Q1116),"")</f>
        <v/>
      </c>
      <c r="W1116" s="10" t="str">
        <f aca="false">IFERROR(IF([1]对账明细接口!$R1116=0,"",[1]对账明细接口!$R1116),"")</f>
        <v/>
      </c>
      <c r="X1116" s="10" t="str">
        <f aca="false">IFERROR(IF([1]对账明细接口!$S1116=0,"",[1]对账明细接口!$S1116),"")</f>
        <v/>
      </c>
      <c r="Y1116" s="10" t="str">
        <f aca="false">""</f>
        <v/>
      </c>
      <c r="Z1116" s="10" t="str">
        <f aca="false">""</f>
        <v/>
      </c>
      <c r="AA1116" s="10" t="str">
        <f aca="false">""</f>
        <v/>
      </c>
      <c r="AB1116" s="10" t="str">
        <f aca="false">""</f>
        <v/>
      </c>
    </row>
    <row r="1117" customFormat="false" ht="13.5" hidden="false" customHeight="false" outlineLevel="0" collapsed="false">
      <c r="A1117" s="109" t="n">
        <v>1117</v>
      </c>
      <c r="B1117" s="110" t="str">
        <f aca="false">IFERROR(IF([1]对账明细接口!$B$1117=0,"",[1]对账明细接口!$B$1117),"")</f>
        <v/>
      </c>
      <c r="C1117" s="59" t="str">
        <f aca="false">IFERROR(IF([1]对账明细接口!$C$1117=0,"",[1]对账明细接口!$C$1117),"")</f>
        <v/>
      </c>
      <c r="D1117" s="59" t="str">
        <f aca="false">IFERROR(IF([1]对账明细接口!$D$1117=0,"",[1]对账明细接口!$D$1117),"")</f>
        <v/>
      </c>
      <c r="E1117" s="59" t="str">
        <f aca="false">IFERROR(IF([1]对账明细接口!$E$1117=0,"",[1]对账明细接口!$E$1117),"")</f>
        <v/>
      </c>
      <c r="F1117" s="59" t="str">
        <f aca="false">IFERROR(IF([1]对账明细接口!$F$1117=0,"",[1]对账明细接口!$F$1117),"")</f>
        <v/>
      </c>
      <c r="G1117" s="59" t="str">
        <f aca="false">IFERROR(IF([1]对账明细接口!$G$1117=0,"",[1]对账明细接口!$G$1117),"")</f>
        <v/>
      </c>
      <c r="H1117" s="60" t="str">
        <f aca="false">IFERROR(IF([1]对账明细接口!$H$1117=0,"",[1]对账明细接口!$H$1117),"")</f>
        <v/>
      </c>
      <c r="I1117" s="59" t="str">
        <f aca="false">IFERROR(IF([1]对账明细接口!$I$1117=0,"",[1]对账明细接口!$I$1117),"")</f>
        <v/>
      </c>
      <c r="J1117" s="61" t="str">
        <f aca="false">IFERROR(IF([1]对账明细接口!$J$1117=0,"",[1]对账明细接口!$J$1117),"")</f>
        <v/>
      </c>
      <c r="K1117" s="61" t="str">
        <f aca="false">IFERROR(IF([1]对账明细接口!$K$1117=0,"",[1]对账明细接口!$K$1117),"")</f>
        <v/>
      </c>
      <c r="L1117" s="59" t="str">
        <f aca="false">IFERROR(IF([1]对账明细接口!$L$1117=0,"",[1]对账明细接口!$L$1117),"")</f>
        <v/>
      </c>
      <c r="M1117" s="59" t="str">
        <f aca="false">IFERROR(IF([1]对账明细接口!$M$1117=0,"",[1]对账明细接口!$M$1117),"")</f>
        <v/>
      </c>
      <c r="N1117" s="111" t="n">
        <f aca="false">IF($C1117="",0,1)</f>
        <v>0</v>
      </c>
      <c r="O1117" s="111" t="n">
        <f aca="false">N(O1116)+$N1117</f>
        <v>110</v>
      </c>
      <c r="S1117" s="10" t="str">
        <f aca="false">IFERROR(IF([1]对账明细接口!$N1117=0,"",[1]对账明细接口!$N1117),"")</f>
        <v/>
      </c>
      <c r="T1117" s="112" t="str">
        <f aca="false">IFERROR(IF([1]对账明细接口!$O1117=0,"",[1]对账明细接口!$O1117),"")</f>
        <v/>
      </c>
      <c r="U1117" s="112" t="str">
        <f aca="false">IFERROR(IF([1]对账明细接口!$P1117=0,"",[1]对账明细接口!$P1117),"")</f>
        <v/>
      </c>
      <c r="V1117" s="112" t="str">
        <f aca="false">IFERROR(IF([1]对账明细接口!$Q1117=0,"",[1]对账明细接口!$Q1117),"")</f>
        <v/>
      </c>
      <c r="W1117" s="10" t="str">
        <f aca="false">IFERROR(IF([1]对账明细接口!$R1117=0,"",[1]对账明细接口!$R1117),"")</f>
        <v/>
      </c>
      <c r="X1117" s="10" t="str">
        <f aca="false">IFERROR(IF([1]对账明细接口!$S1117=0,"",[1]对账明细接口!$S1117),"")</f>
        <v/>
      </c>
      <c r="Y1117" s="10" t="str">
        <f aca="false">""</f>
        <v/>
      </c>
      <c r="Z1117" s="10" t="str">
        <f aca="false">""</f>
        <v/>
      </c>
      <c r="AA1117" s="10" t="str">
        <f aca="false">""</f>
        <v/>
      </c>
      <c r="AB1117" s="10" t="str">
        <f aca="false">""</f>
        <v/>
      </c>
    </row>
    <row r="1118" customFormat="false" ht="13.5" hidden="false" customHeight="false" outlineLevel="0" collapsed="false">
      <c r="A1118" s="109" t="n">
        <v>1118</v>
      </c>
      <c r="B1118" s="110" t="str">
        <f aca="false">IFERROR(IF([1]对账明细接口!$B$1118=0,"",[1]对账明细接口!$B$1118),"")</f>
        <v/>
      </c>
      <c r="C1118" s="59" t="str">
        <f aca="false">IFERROR(IF([1]对账明细接口!$C$1118=0,"",[1]对账明细接口!$C$1118),"")</f>
        <v/>
      </c>
      <c r="D1118" s="59" t="str">
        <f aca="false">IFERROR(IF([1]对账明细接口!$D$1118=0,"",[1]对账明细接口!$D$1118),"")</f>
        <v/>
      </c>
      <c r="E1118" s="59" t="str">
        <f aca="false">IFERROR(IF([1]对账明细接口!$E$1118=0,"",[1]对账明细接口!$E$1118),"")</f>
        <v/>
      </c>
      <c r="F1118" s="59" t="str">
        <f aca="false">IFERROR(IF([1]对账明细接口!$F$1118=0,"",[1]对账明细接口!$F$1118),"")</f>
        <v/>
      </c>
      <c r="G1118" s="59" t="str">
        <f aca="false">IFERROR(IF([1]对账明细接口!$G$1118=0,"",[1]对账明细接口!$G$1118),"")</f>
        <v/>
      </c>
      <c r="H1118" s="60" t="str">
        <f aca="false">IFERROR(IF([1]对账明细接口!$H$1118=0,"",[1]对账明细接口!$H$1118),"")</f>
        <v/>
      </c>
      <c r="I1118" s="59" t="str">
        <f aca="false">IFERROR(IF([1]对账明细接口!$I$1118=0,"",[1]对账明细接口!$I$1118),"")</f>
        <v/>
      </c>
      <c r="J1118" s="61" t="str">
        <f aca="false">IFERROR(IF([1]对账明细接口!$J$1118=0,"",[1]对账明细接口!$J$1118),"")</f>
        <v/>
      </c>
      <c r="K1118" s="61" t="str">
        <f aca="false">IFERROR(IF([1]对账明细接口!$K$1118=0,"",[1]对账明细接口!$K$1118),"")</f>
        <v/>
      </c>
      <c r="L1118" s="59" t="str">
        <f aca="false">IFERROR(IF([1]对账明细接口!$L$1118=0,"",[1]对账明细接口!$L$1118),"")</f>
        <v/>
      </c>
      <c r="M1118" s="59" t="str">
        <f aca="false">IFERROR(IF([1]对账明细接口!$M$1118=0,"",[1]对账明细接口!$M$1118),"")</f>
        <v/>
      </c>
      <c r="N1118" s="111" t="n">
        <f aca="false">IF($C1118="",0,1)</f>
        <v>0</v>
      </c>
      <c r="O1118" s="111" t="n">
        <f aca="false">N(O1117)+$N1118</f>
        <v>110</v>
      </c>
      <c r="S1118" s="10" t="str">
        <f aca="false">IFERROR(IF([1]对账明细接口!$N1118=0,"",[1]对账明细接口!$N1118),"")</f>
        <v/>
      </c>
      <c r="T1118" s="112" t="str">
        <f aca="false">IFERROR(IF([1]对账明细接口!$O1118=0,"",[1]对账明细接口!$O1118),"")</f>
        <v/>
      </c>
      <c r="U1118" s="112" t="str">
        <f aca="false">IFERROR(IF([1]对账明细接口!$P1118=0,"",[1]对账明细接口!$P1118),"")</f>
        <v/>
      </c>
      <c r="V1118" s="112" t="str">
        <f aca="false">IFERROR(IF([1]对账明细接口!$Q1118=0,"",[1]对账明细接口!$Q1118),"")</f>
        <v/>
      </c>
      <c r="W1118" s="10" t="str">
        <f aca="false">IFERROR(IF([1]对账明细接口!$R1118=0,"",[1]对账明细接口!$R1118),"")</f>
        <v/>
      </c>
      <c r="X1118" s="10" t="str">
        <f aca="false">IFERROR(IF([1]对账明细接口!$S1118=0,"",[1]对账明细接口!$S1118),"")</f>
        <v/>
      </c>
      <c r="Y1118" s="10" t="str">
        <f aca="false">""</f>
        <v/>
      </c>
      <c r="Z1118" s="10" t="str">
        <f aca="false">""</f>
        <v/>
      </c>
      <c r="AA1118" s="10" t="str">
        <f aca="false">""</f>
        <v/>
      </c>
      <c r="AB1118" s="10" t="str">
        <f aca="false">""</f>
        <v/>
      </c>
    </row>
    <row r="1119" customFormat="false" ht="13.5" hidden="false" customHeight="false" outlineLevel="0" collapsed="false">
      <c r="A1119" s="109" t="n">
        <v>1119</v>
      </c>
      <c r="B1119" s="110" t="str">
        <f aca="false">IFERROR(IF([1]对账明细接口!$B$1119=0,"",[1]对账明细接口!$B$1119),"")</f>
        <v/>
      </c>
      <c r="C1119" s="59" t="str">
        <f aca="false">IFERROR(IF([1]对账明细接口!$C$1119=0,"",[1]对账明细接口!$C$1119),"")</f>
        <v/>
      </c>
      <c r="D1119" s="59" t="str">
        <f aca="false">IFERROR(IF([1]对账明细接口!$D$1119=0,"",[1]对账明细接口!$D$1119),"")</f>
        <v/>
      </c>
      <c r="E1119" s="59" t="str">
        <f aca="false">IFERROR(IF([1]对账明细接口!$E$1119=0,"",[1]对账明细接口!$E$1119),"")</f>
        <v/>
      </c>
      <c r="F1119" s="59" t="str">
        <f aca="false">IFERROR(IF([1]对账明细接口!$F$1119=0,"",[1]对账明细接口!$F$1119),"")</f>
        <v/>
      </c>
      <c r="G1119" s="59" t="str">
        <f aca="false">IFERROR(IF([1]对账明细接口!$G$1119=0,"",[1]对账明细接口!$G$1119),"")</f>
        <v/>
      </c>
      <c r="H1119" s="60" t="str">
        <f aca="false">IFERROR(IF([1]对账明细接口!$H$1119=0,"",[1]对账明细接口!$H$1119),"")</f>
        <v/>
      </c>
      <c r="I1119" s="59" t="str">
        <f aca="false">IFERROR(IF([1]对账明细接口!$I$1119=0,"",[1]对账明细接口!$I$1119),"")</f>
        <v/>
      </c>
      <c r="J1119" s="61" t="str">
        <f aca="false">IFERROR(IF([1]对账明细接口!$J$1119=0,"",[1]对账明细接口!$J$1119),"")</f>
        <v/>
      </c>
      <c r="K1119" s="61" t="str">
        <f aca="false">IFERROR(IF([1]对账明细接口!$K$1119=0,"",[1]对账明细接口!$K$1119),"")</f>
        <v/>
      </c>
      <c r="L1119" s="59" t="str">
        <f aca="false">IFERROR(IF([1]对账明细接口!$L$1119=0,"",[1]对账明细接口!$L$1119),"")</f>
        <v/>
      </c>
      <c r="M1119" s="59" t="str">
        <f aca="false">IFERROR(IF([1]对账明细接口!$M$1119=0,"",[1]对账明细接口!$M$1119),"")</f>
        <v/>
      </c>
      <c r="N1119" s="111" t="n">
        <f aca="false">IF($C1119="",0,1)</f>
        <v>0</v>
      </c>
      <c r="O1119" s="111" t="n">
        <f aca="false">N(O1118)+$N1119</f>
        <v>110</v>
      </c>
      <c r="S1119" s="10" t="str">
        <f aca="false">IFERROR(IF([1]对账明细接口!$N1119=0,"",[1]对账明细接口!$N1119),"")</f>
        <v/>
      </c>
      <c r="T1119" s="112" t="str">
        <f aca="false">IFERROR(IF([1]对账明细接口!$O1119=0,"",[1]对账明细接口!$O1119),"")</f>
        <v/>
      </c>
      <c r="U1119" s="112" t="str">
        <f aca="false">IFERROR(IF([1]对账明细接口!$P1119=0,"",[1]对账明细接口!$P1119),"")</f>
        <v/>
      </c>
      <c r="V1119" s="112" t="str">
        <f aca="false">IFERROR(IF([1]对账明细接口!$Q1119=0,"",[1]对账明细接口!$Q1119),"")</f>
        <v/>
      </c>
      <c r="W1119" s="10" t="str">
        <f aca="false">IFERROR(IF([1]对账明细接口!$R1119=0,"",[1]对账明细接口!$R1119),"")</f>
        <v/>
      </c>
      <c r="X1119" s="10" t="str">
        <f aca="false">IFERROR(IF([1]对账明细接口!$S1119=0,"",[1]对账明细接口!$S1119),"")</f>
        <v/>
      </c>
      <c r="Y1119" s="10" t="str">
        <f aca="false">""</f>
        <v/>
      </c>
      <c r="Z1119" s="10" t="str">
        <f aca="false">""</f>
        <v/>
      </c>
      <c r="AA1119" s="10" t="str">
        <f aca="false">""</f>
        <v/>
      </c>
      <c r="AB1119" s="10" t="str">
        <f aca="false">""</f>
        <v/>
      </c>
    </row>
    <row r="1120" customFormat="false" ht="13.5" hidden="false" customHeight="false" outlineLevel="0" collapsed="false">
      <c r="A1120" s="109" t="n">
        <v>1120</v>
      </c>
      <c r="B1120" s="110" t="str">
        <f aca="false">IFERROR(IF([1]对账明细接口!$B$1120=0,"",[1]对账明细接口!$B$1120),"")</f>
        <v/>
      </c>
      <c r="C1120" s="59" t="str">
        <f aca="false">IFERROR(IF([1]对账明细接口!$C$1120=0,"",[1]对账明细接口!$C$1120),"")</f>
        <v/>
      </c>
      <c r="D1120" s="59" t="str">
        <f aca="false">IFERROR(IF([1]对账明细接口!$D$1120=0,"",[1]对账明细接口!$D$1120),"")</f>
        <v/>
      </c>
      <c r="E1120" s="59" t="str">
        <f aca="false">IFERROR(IF([1]对账明细接口!$E$1120=0,"",[1]对账明细接口!$E$1120),"")</f>
        <v/>
      </c>
      <c r="F1120" s="59" t="str">
        <f aca="false">IFERROR(IF([1]对账明细接口!$F$1120=0,"",[1]对账明细接口!$F$1120),"")</f>
        <v/>
      </c>
      <c r="G1120" s="59" t="str">
        <f aca="false">IFERROR(IF([1]对账明细接口!$G$1120=0,"",[1]对账明细接口!$G$1120),"")</f>
        <v/>
      </c>
      <c r="H1120" s="60" t="str">
        <f aca="false">IFERROR(IF([1]对账明细接口!$H$1120=0,"",[1]对账明细接口!$H$1120),"")</f>
        <v/>
      </c>
      <c r="I1120" s="59" t="str">
        <f aca="false">IFERROR(IF([1]对账明细接口!$I$1120=0,"",[1]对账明细接口!$I$1120),"")</f>
        <v/>
      </c>
      <c r="J1120" s="61" t="str">
        <f aca="false">IFERROR(IF([1]对账明细接口!$J$1120=0,"",[1]对账明细接口!$J$1120),"")</f>
        <v/>
      </c>
      <c r="K1120" s="61" t="str">
        <f aca="false">IFERROR(IF([1]对账明细接口!$K$1120=0,"",[1]对账明细接口!$K$1120),"")</f>
        <v/>
      </c>
      <c r="L1120" s="59" t="str">
        <f aca="false">IFERROR(IF([1]对账明细接口!$L$1120=0,"",[1]对账明细接口!$L$1120),"")</f>
        <v/>
      </c>
      <c r="M1120" s="59" t="str">
        <f aca="false">IFERROR(IF([1]对账明细接口!$M$1120=0,"",[1]对账明细接口!$M$1120),"")</f>
        <v/>
      </c>
      <c r="N1120" s="111" t="n">
        <f aca="false">IF($C1120="",0,1)</f>
        <v>0</v>
      </c>
      <c r="O1120" s="111" t="n">
        <f aca="false">N(O1119)+$N1120</f>
        <v>110</v>
      </c>
      <c r="S1120" s="10" t="str">
        <f aca="false">IFERROR(IF([1]对账明细接口!$N1120=0,"",[1]对账明细接口!$N1120),"")</f>
        <v/>
      </c>
      <c r="T1120" s="112" t="str">
        <f aca="false">IFERROR(IF([1]对账明细接口!$O1120=0,"",[1]对账明细接口!$O1120),"")</f>
        <v/>
      </c>
      <c r="U1120" s="112" t="str">
        <f aca="false">IFERROR(IF([1]对账明细接口!$P1120=0,"",[1]对账明细接口!$P1120),"")</f>
        <v/>
      </c>
      <c r="V1120" s="112" t="str">
        <f aca="false">IFERROR(IF([1]对账明细接口!$Q1120=0,"",[1]对账明细接口!$Q1120),"")</f>
        <v/>
      </c>
      <c r="W1120" s="10" t="str">
        <f aca="false">IFERROR(IF([1]对账明细接口!$R1120=0,"",[1]对账明细接口!$R1120),"")</f>
        <v/>
      </c>
      <c r="X1120" s="10" t="str">
        <f aca="false">IFERROR(IF([1]对账明细接口!$S1120=0,"",[1]对账明细接口!$S1120),"")</f>
        <v/>
      </c>
      <c r="Y1120" s="10" t="str">
        <f aca="false">""</f>
        <v/>
      </c>
      <c r="Z1120" s="10" t="str">
        <f aca="false">""</f>
        <v/>
      </c>
      <c r="AA1120" s="10" t="str">
        <f aca="false">""</f>
        <v/>
      </c>
      <c r="AB1120" s="10" t="str">
        <f aca="false">""</f>
        <v/>
      </c>
    </row>
    <row r="1121" customFormat="false" ht="13.5" hidden="false" customHeight="false" outlineLevel="0" collapsed="false">
      <c r="A1121" s="109" t="n">
        <v>1121</v>
      </c>
      <c r="B1121" s="110" t="str">
        <f aca="false">IFERROR(IF([1]对账明细接口!$B$1121=0,"",[1]对账明细接口!$B$1121),"")</f>
        <v/>
      </c>
      <c r="C1121" s="59" t="str">
        <f aca="false">IFERROR(IF([1]对账明细接口!$C$1121=0,"",[1]对账明细接口!$C$1121),"")</f>
        <v/>
      </c>
      <c r="D1121" s="59" t="str">
        <f aca="false">IFERROR(IF([1]对账明细接口!$D$1121=0,"",[1]对账明细接口!$D$1121),"")</f>
        <v/>
      </c>
      <c r="E1121" s="59" t="str">
        <f aca="false">IFERROR(IF([1]对账明细接口!$E$1121=0,"",[1]对账明细接口!$E$1121),"")</f>
        <v/>
      </c>
      <c r="F1121" s="59" t="str">
        <f aca="false">IFERROR(IF([1]对账明细接口!$F$1121=0,"",[1]对账明细接口!$F$1121),"")</f>
        <v/>
      </c>
      <c r="G1121" s="59" t="str">
        <f aca="false">IFERROR(IF([1]对账明细接口!$G$1121=0,"",[1]对账明细接口!$G$1121),"")</f>
        <v/>
      </c>
      <c r="H1121" s="60" t="str">
        <f aca="false">IFERROR(IF([1]对账明细接口!$H$1121=0,"",[1]对账明细接口!$H$1121),"")</f>
        <v/>
      </c>
      <c r="I1121" s="59" t="str">
        <f aca="false">IFERROR(IF([1]对账明细接口!$I$1121=0,"",[1]对账明细接口!$I$1121),"")</f>
        <v/>
      </c>
      <c r="J1121" s="61" t="str">
        <f aca="false">IFERROR(IF([1]对账明细接口!$J$1121=0,"",[1]对账明细接口!$J$1121),"")</f>
        <v/>
      </c>
      <c r="K1121" s="61" t="str">
        <f aca="false">IFERROR(IF([1]对账明细接口!$K$1121=0,"",[1]对账明细接口!$K$1121),"")</f>
        <v/>
      </c>
      <c r="L1121" s="59" t="str">
        <f aca="false">IFERROR(IF([1]对账明细接口!$L$1121=0,"",[1]对账明细接口!$L$1121),"")</f>
        <v/>
      </c>
      <c r="M1121" s="59" t="str">
        <f aca="false">IFERROR(IF([1]对账明细接口!$M$1121=0,"",[1]对账明细接口!$M$1121),"")</f>
        <v/>
      </c>
      <c r="N1121" s="111" t="n">
        <f aca="false">IF($C1121="",0,1)</f>
        <v>0</v>
      </c>
      <c r="O1121" s="111" t="n">
        <f aca="false">N(O1120)+$N1121</f>
        <v>110</v>
      </c>
      <c r="S1121" s="10" t="str">
        <f aca="false">IFERROR(IF([1]对账明细接口!$N1121=0,"",[1]对账明细接口!$N1121),"")</f>
        <v/>
      </c>
      <c r="T1121" s="112" t="str">
        <f aca="false">IFERROR(IF([1]对账明细接口!$O1121=0,"",[1]对账明细接口!$O1121),"")</f>
        <v/>
      </c>
      <c r="U1121" s="112" t="str">
        <f aca="false">IFERROR(IF([1]对账明细接口!$P1121=0,"",[1]对账明细接口!$P1121),"")</f>
        <v/>
      </c>
      <c r="V1121" s="112" t="str">
        <f aca="false">IFERROR(IF([1]对账明细接口!$Q1121=0,"",[1]对账明细接口!$Q1121),"")</f>
        <v/>
      </c>
      <c r="W1121" s="10" t="str">
        <f aca="false">IFERROR(IF([1]对账明细接口!$R1121=0,"",[1]对账明细接口!$R1121),"")</f>
        <v/>
      </c>
      <c r="X1121" s="10" t="str">
        <f aca="false">IFERROR(IF([1]对账明细接口!$S1121=0,"",[1]对账明细接口!$S1121),"")</f>
        <v/>
      </c>
      <c r="Y1121" s="10" t="str">
        <f aca="false">""</f>
        <v/>
      </c>
      <c r="Z1121" s="10" t="str">
        <f aca="false">""</f>
        <v/>
      </c>
      <c r="AA1121" s="10" t="str">
        <f aca="false">""</f>
        <v/>
      </c>
      <c r="AB1121" s="10" t="str">
        <f aca="false">""</f>
        <v/>
      </c>
    </row>
    <row r="1122" customFormat="false" ht="13.5" hidden="false" customHeight="false" outlineLevel="0" collapsed="false">
      <c r="A1122" s="109" t="n">
        <v>1122</v>
      </c>
      <c r="B1122" s="110" t="str">
        <f aca="false">IFERROR(IF([1]对账明细接口!$B$1122=0,"",[1]对账明细接口!$B$1122),"")</f>
        <v/>
      </c>
      <c r="C1122" s="59" t="str">
        <f aca="false">IFERROR(IF([1]对账明细接口!$C$1122=0,"",[1]对账明细接口!$C$1122),"")</f>
        <v/>
      </c>
      <c r="D1122" s="59" t="str">
        <f aca="false">IFERROR(IF([1]对账明细接口!$D$1122=0,"",[1]对账明细接口!$D$1122),"")</f>
        <v/>
      </c>
      <c r="E1122" s="59" t="str">
        <f aca="false">IFERROR(IF([1]对账明细接口!$E$1122=0,"",[1]对账明细接口!$E$1122),"")</f>
        <v/>
      </c>
      <c r="F1122" s="59" t="str">
        <f aca="false">IFERROR(IF([1]对账明细接口!$F$1122=0,"",[1]对账明细接口!$F$1122),"")</f>
        <v/>
      </c>
      <c r="G1122" s="59" t="str">
        <f aca="false">IFERROR(IF([1]对账明细接口!$G$1122=0,"",[1]对账明细接口!$G$1122),"")</f>
        <v/>
      </c>
      <c r="H1122" s="60" t="str">
        <f aca="false">IFERROR(IF([1]对账明细接口!$H$1122=0,"",[1]对账明细接口!$H$1122),"")</f>
        <v/>
      </c>
      <c r="I1122" s="59" t="str">
        <f aca="false">IFERROR(IF([1]对账明细接口!$I$1122=0,"",[1]对账明细接口!$I$1122),"")</f>
        <v/>
      </c>
      <c r="J1122" s="61" t="str">
        <f aca="false">IFERROR(IF([1]对账明细接口!$J$1122=0,"",[1]对账明细接口!$J$1122),"")</f>
        <v/>
      </c>
      <c r="K1122" s="61" t="str">
        <f aca="false">IFERROR(IF([1]对账明细接口!$K$1122=0,"",[1]对账明细接口!$K$1122),"")</f>
        <v/>
      </c>
      <c r="L1122" s="59" t="str">
        <f aca="false">IFERROR(IF([1]对账明细接口!$L$1122=0,"",[1]对账明细接口!$L$1122),"")</f>
        <v/>
      </c>
      <c r="M1122" s="59" t="str">
        <f aca="false">IFERROR(IF([1]对账明细接口!$M$1122=0,"",[1]对账明细接口!$M$1122),"")</f>
        <v/>
      </c>
      <c r="N1122" s="111" t="n">
        <f aca="false">IF($C1122="",0,1)</f>
        <v>0</v>
      </c>
      <c r="O1122" s="111" t="n">
        <f aca="false">N(O1121)+$N1122</f>
        <v>110</v>
      </c>
      <c r="S1122" s="10" t="str">
        <f aca="false">IFERROR(IF([1]对账明细接口!$N1122=0,"",[1]对账明细接口!$N1122),"")</f>
        <v/>
      </c>
      <c r="T1122" s="112" t="str">
        <f aca="false">IFERROR(IF([1]对账明细接口!$O1122=0,"",[1]对账明细接口!$O1122),"")</f>
        <v/>
      </c>
      <c r="U1122" s="112" t="str">
        <f aca="false">IFERROR(IF([1]对账明细接口!$P1122=0,"",[1]对账明细接口!$P1122),"")</f>
        <v/>
      </c>
      <c r="V1122" s="112" t="str">
        <f aca="false">IFERROR(IF([1]对账明细接口!$Q1122=0,"",[1]对账明细接口!$Q1122),"")</f>
        <v/>
      </c>
      <c r="W1122" s="10" t="str">
        <f aca="false">IFERROR(IF([1]对账明细接口!$R1122=0,"",[1]对账明细接口!$R1122),"")</f>
        <v/>
      </c>
      <c r="X1122" s="10" t="str">
        <f aca="false">IFERROR(IF([1]对账明细接口!$S1122=0,"",[1]对账明细接口!$S1122),"")</f>
        <v/>
      </c>
      <c r="Y1122" s="10" t="str">
        <f aca="false">""</f>
        <v/>
      </c>
      <c r="Z1122" s="10" t="str">
        <f aca="false">""</f>
        <v/>
      </c>
      <c r="AA1122" s="10" t="str">
        <f aca="false">""</f>
        <v/>
      </c>
      <c r="AB1122" s="10" t="str">
        <f aca="false">""</f>
        <v/>
      </c>
    </row>
    <row r="1123" customFormat="false" ht="13.5" hidden="false" customHeight="false" outlineLevel="0" collapsed="false">
      <c r="A1123" s="109" t="n">
        <v>1123</v>
      </c>
      <c r="B1123" s="110" t="str">
        <f aca="false">IFERROR(IF([1]对账明细接口!$B$1123=0,"",[1]对账明细接口!$B$1123),"")</f>
        <v/>
      </c>
      <c r="C1123" s="59" t="str">
        <f aca="false">IFERROR(IF([1]对账明细接口!$C$1123=0,"",[1]对账明细接口!$C$1123),"")</f>
        <v/>
      </c>
      <c r="D1123" s="59" t="str">
        <f aca="false">IFERROR(IF([1]对账明细接口!$D$1123=0,"",[1]对账明细接口!$D$1123),"")</f>
        <v/>
      </c>
      <c r="E1123" s="59" t="str">
        <f aca="false">IFERROR(IF([1]对账明细接口!$E$1123=0,"",[1]对账明细接口!$E$1123),"")</f>
        <v/>
      </c>
      <c r="F1123" s="59" t="str">
        <f aca="false">IFERROR(IF([1]对账明细接口!$F$1123=0,"",[1]对账明细接口!$F$1123),"")</f>
        <v/>
      </c>
      <c r="G1123" s="59" t="str">
        <f aca="false">IFERROR(IF([1]对账明细接口!$G$1123=0,"",[1]对账明细接口!$G$1123),"")</f>
        <v/>
      </c>
      <c r="H1123" s="60" t="str">
        <f aca="false">IFERROR(IF([1]对账明细接口!$H$1123=0,"",[1]对账明细接口!$H$1123),"")</f>
        <v/>
      </c>
      <c r="I1123" s="59" t="str">
        <f aca="false">IFERROR(IF([1]对账明细接口!$I$1123=0,"",[1]对账明细接口!$I$1123),"")</f>
        <v/>
      </c>
      <c r="J1123" s="61" t="str">
        <f aca="false">IFERROR(IF([1]对账明细接口!$J$1123=0,"",[1]对账明细接口!$J$1123),"")</f>
        <v/>
      </c>
      <c r="K1123" s="61" t="str">
        <f aca="false">IFERROR(IF([1]对账明细接口!$K$1123=0,"",[1]对账明细接口!$K$1123),"")</f>
        <v/>
      </c>
      <c r="L1123" s="59" t="str">
        <f aca="false">IFERROR(IF([1]对账明细接口!$L$1123=0,"",[1]对账明细接口!$L$1123),"")</f>
        <v/>
      </c>
      <c r="M1123" s="59" t="str">
        <f aca="false">IFERROR(IF([1]对账明细接口!$M$1123=0,"",[1]对账明细接口!$M$1123),"")</f>
        <v/>
      </c>
      <c r="N1123" s="111" t="n">
        <f aca="false">IF($C1123="",0,1)</f>
        <v>0</v>
      </c>
      <c r="O1123" s="111" t="n">
        <f aca="false">N(O1122)+$N1123</f>
        <v>110</v>
      </c>
      <c r="S1123" s="10" t="str">
        <f aca="false">IFERROR(IF([1]对账明细接口!$N1123=0,"",[1]对账明细接口!$N1123),"")</f>
        <v/>
      </c>
      <c r="T1123" s="112" t="str">
        <f aca="false">IFERROR(IF([1]对账明细接口!$O1123=0,"",[1]对账明细接口!$O1123),"")</f>
        <v/>
      </c>
      <c r="U1123" s="112" t="str">
        <f aca="false">IFERROR(IF([1]对账明细接口!$P1123=0,"",[1]对账明细接口!$P1123),"")</f>
        <v/>
      </c>
      <c r="V1123" s="112" t="str">
        <f aca="false">IFERROR(IF([1]对账明细接口!$Q1123=0,"",[1]对账明细接口!$Q1123),"")</f>
        <v/>
      </c>
      <c r="W1123" s="10" t="str">
        <f aca="false">IFERROR(IF([1]对账明细接口!$R1123=0,"",[1]对账明细接口!$R1123),"")</f>
        <v/>
      </c>
      <c r="X1123" s="10" t="str">
        <f aca="false">IFERROR(IF([1]对账明细接口!$S1123=0,"",[1]对账明细接口!$S1123),"")</f>
        <v/>
      </c>
      <c r="Y1123" s="10" t="str">
        <f aca="false">""</f>
        <v/>
      </c>
      <c r="Z1123" s="10" t="str">
        <f aca="false">""</f>
        <v/>
      </c>
      <c r="AA1123" s="10" t="str">
        <f aca="false">""</f>
        <v/>
      </c>
      <c r="AB1123" s="10" t="str">
        <f aca="false">""</f>
        <v/>
      </c>
    </row>
    <row r="1124" customFormat="false" ht="13.5" hidden="false" customHeight="false" outlineLevel="0" collapsed="false">
      <c r="A1124" s="109" t="n">
        <v>1124</v>
      </c>
      <c r="B1124" s="110" t="str">
        <f aca="false">IFERROR(IF([1]对账明细接口!$B$1124=0,"",[1]对账明细接口!$B$1124),"")</f>
        <v/>
      </c>
      <c r="C1124" s="59" t="str">
        <f aca="false">IFERROR(IF([1]对账明细接口!$C$1124=0,"",[1]对账明细接口!$C$1124),"")</f>
        <v/>
      </c>
      <c r="D1124" s="59" t="str">
        <f aca="false">IFERROR(IF([1]对账明细接口!$D$1124=0,"",[1]对账明细接口!$D$1124),"")</f>
        <v/>
      </c>
      <c r="E1124" s="59" t="str">
        <f aca="false">IFERROR(IF([1]对账明细接口!$E$1124=0,"",[1]对账明细接口!$E$1124),"")</f>
        <v/>
      </c>
      <c r="F1124" s="59" t="str">
        <f aca="false">IFERROR(IF([1]对账明细接口!$F$1124=0,"",[1]对账明细接口!$F$1124),"")</f>
        <v/>
      </c>
      <c r="G1124" s="59" t="str">
        <f aca="false">IFERROR(IF([1]对账明细接口!$G$1124=0,"",[1]对账明细接口!$G$1124),"")</f>
        <v/>
      </c>
      <c r="H1124" s="60" t="str">
        <f aca="false">IFERROR(IF([1]对账明细接口!$H$1124=0,"",[1]对账明细接口!$H$1124),"")</f>
        <v/>
      </c>
      <c r="I1124" s="59" t="str">
        <f aca="false">IFERROR(IF([1]对账明细接口!$I$1124=0,"",[1]对账明细接口!$I$1124),"")</f>
        <v/>
      </c>
      <c r="J1124" s="61" t="str">
        <f aca="false">IFERROR(IF([1]对账明细接口!$J$1124=0,"",[1]对账明细接口!$J$1124),"")</f>
        <v/>
      </c>
      <c r="K1124" s="61" t="str">
        <f aca="false">IFERROR(IF([1]对账明细接口!$K$1124=0,"",[1]对账明细接口!$K$1124),"")</f>
        <v/>
      </c>
      <c r="L1124" s="59" t="str">
        <f aca="false">IFERROR(IF([1]对账明细接口!$L$1124=0,"",[1]对账明细接口!$L$1124),"")</f>
        <v/>
      </c>
      <c r="M1124" s="59" t="str">
        <f aca="false">IFERROR(IF([1]对账明细接口!$M$1124=0,"",[1]对账明细接口!$M$1124),"")</f>
        <v/>
      </c>
      <c r="N1124" s="111" t="n">
        <f aca="false">IF($C1124="",0,1)</f>
        <v>0</v>
      </c>
      <c r="O1124" s="111" t="n">
        <f aca="false">N(O1123)+$N1124</f>
        <v>110</v>
      </c>
      <c r="S1124" s="10" t="str">
        <f aca="false">IFERROR(IF([1]对账明细接口!$N1124=0,"",[1]对账明细接口!$N1124),"")</f>
        <v/>
      </c>
      <c r="T1124" s="112" t="str">
        <f aca="false">IFERROR(IF([1]对账明细接口!$O1124=0,"",[1]对账明细接口!$O1124),"")</f>
        <v/>
      </c>
      <c r="U1124" s="112" t="str">
        <f aca="false">IFERROR(IF([1]对账明细接口!$P1124=0,"",[1]对账明细接口!$P1124),"")</f>
        <v/>
      </c>
      <c r="V1124" s="112" t="str">
        <f aca="false">IFERROR(IF([1]对账明细接口!$Q1124=0,"",[1]对账明细接口!$Q1124),"")</f>
        <v/>
      </c>
      <c r="W1124" s="10" t="str">
        <f aca="false">IFERROR(IF([1]对账明细接口!$R1124=0,"",[1]对账明细接口!$R1124),"")</f>
        <v/>
      </c>
      <c r="X1124" s="10" t="str">
        <f aca="false">IFERROR(IF([1]对账明细接口!$S1124=0,"",[1]对账明细接口!$S1124),"")</f>
        <v/>
      </c>
      <c r="Y1124" s="10" t="str">
        <f aca="false">""</f>
        <v/>
      </c>
      <c r="Z1124" s="10" t="str">
        <f aca="false">""</f>
        <v/>
      </c>
      <c r="AA1124" s="10" t="str">
        <f aca="false">""</f>
        <v/>
      </c>
      <c r="AB1124" s="10" t="str">
        <f aca="false">""</f>
        <v/>
      </c>
    </row>
    <row r="1125" customFormat="false" ht="13.5" hidden="false" customHeight="false" outlineLevel="0" collapsed="false">
      <c r="A1125" s="109" t="n">
        <v>1125</v>
      </c>
      <c r="B1125" s="110" t="str">
        <f aca="false">IFERROR(IF([1]对账明细接口!$B$1125=0,"",[1]对账明细接口!$B$1125),"")</f>
        <v/>
      </c>
      <c r="C1125" s="59" t="str">
        <f aca="false">IFERROR(IF([1]对账明细接口!$C$1125=0,"",[1]对账明细接口!$C$1125),"")</f>
        <v/>
      </c>
      <c r="D1125" s="59" t="str">
        <f aca="false">IFERROR(IF([1]对账明细接口!$D$1125=0,"",[1]对账明细接口!$D$1125),"")</f>
        <v/>
      </c>
      <c r="E1125" s="59" t="str">
        <f aca="false">IFERROR(IF([1]对账明细接口!$E$1125=0,"",[1]对账明细接口!$E$1125),"")</f>
        <v/>
      </c>
      <c r="F1125" s="59" t="str">
        <f aca="false">IFERROR(IF([1]对账明细接口!$F$1125=0,"",[1]对账明细接口!$F$1125),"")</f>
        <v/>
      </c>
      <c r="G1125" s="59" t="str">
        <f aca="false">IFERROR(IF([1]对账明细接口!$G$1125=0,"",[1]对账明细接口!$G$1125),"")</f>
        <v/>
      </c>
      <c r="H1125" s="60" t="str">
        <f aca="false">IFERROR(IF([1]对账明细接口!$H$1125=0,"",[1]对账明细接口!$H$1125),"")</f>
        <v/>
      </c>
      <c r="I1125" s="59" t="str">
        <f aca="false">IFERROR(IF([1]对账明细接口!$I$1125=0,"",[1]对账明细接口!$I$1125),"")</f>
        <v/>
      </c>
      <c r="J1125" s="61" t="str">
        <f aca="false">IFERROR(IF([1]对账明细接口!$J$1125=0,"",[1]对账明细接口!$J$1125),"")</f>
        <v/>
      </c>
      <c r="K1125" s="61" t="str">
        <f aca="false">IFERROR(IF([1]对账明细接口!$K$1125=0,"",[1]对账明细接口!$K$1125),"")</f>
        <v/>
      </c>
      <c r="L1125" s="59" t="str">
        <f aca="false">IFERROR(IF([1]对账明细接口!$L$1125=0,"",[1]对账明细接口!$L$1125),"")</f>
        <v/>
      </c>
      <c r="M1125" s="59" t="str">
        <f aca="false">IFERROR(IF([1]对账明细接口!$M$1125=0,"",[1]对账明细接口!$M$1125),"")</f>
        <v/>
      </c>
      <c r="N1125" s="111" t="n">
        <f aca="false">IF($C1125="",0,1)</f>
        <v>0</v>
      </c>
      <c r="O1125" s="111" t="n">
        <f aca="false">N(O1124)+$N1125</f>
        <v>110</v>
      </c>
      <c r="S1125" s="10" t="str">
        <f aca="false">IFERROR(IF([1]对账明细接口!$N1125=0,"",[1]对账明细接口!$N1125),"")</f>
        <v/>
      </c>
      <c r="T1125" s="112" t="str">
        <f aca="false">IFERROR(IF([1]对账明细接口!$O1125=0,"",[1]对账明细接口!$O1125),"")</f>
        <v/>
      </c>
      <c r="U1125" s="112" t="str">
        <f aca="false">IFERROR(IF([1]对账明细接口!$P1125=0,"",[1]对账明细接口!$P1125),"")</f>
        <v/>
      </c>
      <c r="V1125" s="112" t="str">
        <f aca="false">IFERROR(IF([1]对账明细接口!$Q1125=0,"",[1]对账明细接口!$Q1125),"")</f>
        <v/>
      </c>
      <c r="W1125" s="10" t="str">
        <f aca="false">IFERROR(IF([1]对账明细接口!$R1125=0,"",[1]对账明细接口!$R1125),"")</f>
        <v/>
      </c>
      <c r="X1125" s="10" t="str">
        <f aca="false">IFERROR(IF([1]对账明细接口!$S1125=0,"",[1]对账明细接口!$S1125),"")</f>
        <v/>
      </c>
      <c r="Y1125" s="10" t="str">
        <f aca="false">""</f>
        <v/>
      </c>
      <c r="Z1125" s="10" t="str">
        <f aca="false">""</f>
        <v/>
      </c>
      <c r="AA1125" s="10" t="str">
        <f aca="false">""</f>
        <v/>
      </c>
      <c r="AB1125" s="10" t="str">
        <f aca="false">""</f>
        <v/>
      </c>
    </row>
    <row r="1126" customFormat="false" ht="13.5" hidden="false" customHeight="false" outlineLevel="0" collapsed="false">
      <c r="A1126" s="109" t="n">
        <v>1126</v>
      </c>
      <c r="B1126" s="110" t="str">
        <f aca="false">IFERROR(IF([1]对账明细接口!$B$1126=0,"",[1]对账明细接口!$B$1126),"")</f>
        <v/>
      </c>
      <c r="C1126" s="59" t="str">
        <f aca="false">IFERROR(IF([1]对账明细接口!$C$1126=0,"",[1]对账明细接口!$C$1126),"")</f>
        <v/>
      </c>
      <c r="D1126" s="59" t="str">
        <f aca="false">IFERROR(IF([1]对账明细接口!$D$1126=0,"",[1]对账明细接口!$D$1126),"")</f>
        <v/>
      </c>
      <c r="E1126" s="59" t="str">
        <f aca="false">IFERROR(IF([1]对账明细接口!$E$1126=0,"",[1]对账明细接口!$E$1126),"")</f>
        <v/>
      </c>
      <c r="F1126" s="59" t="str">
        <f aca="false">IFERROR(IF([1]对账明细接口!$F$1126=0,"",[1]对账明细接口!$F$1126),"")</f>
        <v/>
      </c>
      <c r="G1126" s="59" t="str">
        <f aca="false">IFERROR(IF([1]对账明细接口!$G$1126=0,"",[1]对账明细接口!$G$1126),"")</f>
        <v/>
      </c>
      <c r="H1126" s="60" t="str">
        <f aca="false">IFERROR(IF([1]对账明细接口!$H$1126=0,"",[1]对账明细接口!$H$1126),"")</f>
        <v/>
      </c>
      <c r="I1126" s="59" t="str">
        <f aca="false">IFERROR(IF([1]对账明细接口!$I$1126=0,"",[1]对账明细接口!$I$1126),"")</f>
        <v/>
      </c>
      <c r="J1126" s="61" t="str">
        <f aca="false">IFERROR(IF([1]对账明细接口!$J$1126=0,"",[1]对账明细接口!$J$1126),"")</f>
        <v/>
      </c>
      <c r="K1126" s="61" t="str">
        <f aca="false">IFERROR(IF([1]对账明细接口!$K$1126=0,"",[1]对账明细接口!$K$1126),"")</f>
        <v/>
      </c>
      <c r="L1126" s="59" t="str">
        <f aca="false">IFERROR(IF([1]对账明细接口!$L$1126=0,"",[1]对账明细接口!$L$1126),"")</f>
        <v/>
      </c>
      <c r="M1126" s="59" t="str">
        <f aca="false">IFERROR(IF([1]对账明细接口!$M$1126=0,"",[1]对账明细接口!$M$1126),"")</f>
        <v/>
      </c>
      <c r="N1126" s="111" t="n">
        <f aca="false">IF($C1126="",0,1)</f>
        <v>0</v>
      </c>
      <c r="O1126" s="111" t="n">
        <f aca="false">N(O1125)+$N1126</f>
        <v>110</v>
      </c>
      <c r="S1126" s="10" t="str">
        <f aca="false">IFERROR(IF([1]对账明细接口!$N1126=0,"",[1]对账明细接口!$N1126),"")</f>
        <v/>
      </c>
      <c r="T1126" s="112" t="str">
        <f aca="false">IFERROR(IF([1]对账明细接口!$O1126=0,"",[1]对账明细接口!$O1126),"")</f>
        <v/>
      </c>
      <c r="U1126" s="112" t="str">
        <f aca="false">IFERROR(IF([1]对账明细接口!$P1126=0,"",[1]对账明细接口!$P1126),"")</f>
        <v/>
      </c>
      <c r="V1126" s="112" t="str">
        <f aca="false">IFERROR(IF([1]对账明细接口!$Q1126=0,"",[1]对账明细接口!$Q1126),"")</f>
        <v/>
      </c>
      <c r="W1126" s="10" t="str">
        <f aca="false">IFERROR(IF([1]对账明细接口!$R1126=0,"",[1]对账明细接口!$R1126),"")</f>
        <v/>
      </c>
      <c r="X1126" s="10" t="str">
        <f aca="false">IFERROR(IF([1]对账明细接口!$S1126=0,"",[1]对账明细接口!$S1126),"")</f>
        <v/>
      </c>
      <c r="Y1126" s="10" t="str">
        <f aca="false">""</f>
        <v/>
      </c>
      <c r="Z1126" s="10" t="str">
        <f aca="false">""</f>
        <v/>
      </c>
      <c r="AA1126" s="10" t="str">
        <f aca="false">""</f>
        <v/>
      </c>
      <c r="AB1126" s="10" t="str">
        <f aca="false">""</f>
        <v/>
      </c>
    </row>
    <row r="1127" customFormat="false" ht="13.5" hidden="false" customHeight="false" outlineLevel="0" collapsed="false">
      <c r="A1127" s="109" t="n">
        <v>1127</v>
      </c>
      <c r="B1127" s="110" t="str">
        <f aca="false">IFERROR(IF([1]对账明细接口!$B$1127=0,"",[1]对账明细接口!$B$1127),"")</f>
        <v/>
      </c>
      <c r="C1127" s="59" t="str">
        <f aca="false">IFERROR(IF([1]对账明细接口!$C$1127=0,"",[1]对账明细接口!$C$1127),"")</f>
        <v/>
      </c>
      <c r="D1127" s="59" t="str">
        <f aca="false">IFERROR(IF([1]对账明细接口!$D$1127=0,"",[1]对账明细接口!$D$1127),"")</f>
        <v/>
      </c>
      <c r="E1127" s="59" t="str">
        <f aca="false">IFERROR(IF([1]对账明细接口!$E$1127=0,"",[1]对账明细接口!$E$1127),"")</f>
        <v/>
      </c>
      <c r="F1127" s="59" t="str">
        <f aca="false">IFERROR(IF([1]对账明细接口!$F$1127=0,"",[1]对账明细接口!$F$1127),"")</f>
        <v/>
      </c>
      <c r="G1127" s="59" t="str">
        <f aca="false">IFERROR(IF([1]对账明细接口!$G$1127=0,"",[1]对账明细接口!$G$1127),"")</f>
        <v/>
      </c>
      <c r="H1127" s="60" t="str">
        <f aca="false">IFERROR(IF([1]对账明细接口!$H$1127=0,"",[1]对账明细接口!$H$1127),"")</f>
        <v/>
      </c>
      <c r="I1127" s="59" t="str">
        <f aca="false">IFERROR(IF([1]对账明细接口!$I$1127=0,"",[1]对账明细接口!$I$1127),"")</f>
        <v/>
      </c>
      <c r="J1127" s="61" t="str">
        <f aca="false">IFERROR(IF([1]对账明细接口!$J$1127=0,"",[1]对账明细接口!$J$1127),"")</f>
        <v/>
      </c>
      <c r="K1127" s="61" t="str">
        <f aca="false">IFERROR(IF([1]对账明细接口!$K$1127=0,"",[1]对账明细接口!$K$1127),"")</f>
        <v/>
      </c>
      <c r="L1127" s="59" t="str">
        <f aca="false">IFERROR(IF([1]对账明细接口!$L$1127=0,"",[1]对账明细接口!$L$1127),"")</f>
        <v/>
      </c>
      <c r="M1127" s="59" t="str">
        <f aca="false">IFERROR(IF([1]对账明细接口!$M$1127=0,"",[1]对账明细接口!$M$1127),"")</f>
        <v/>
      </c>
      <c r="N1127" s="111" t="n">
        <f aca="false">IF($C1127="",0,1)</f>
        <v>0</v>
      </c>
      <c r="O1127" s="111" t="n">
        <f aca="false">N(O1126)+$N1127</f>
        <v>110</v>
      </c>
      <c r="S1127" s="10" t="str">
        <f aca="false">IFERROR(IF([1]对账明细接口!$N1127=0,"",[1]对账明细接口!$N1127),"")</f>
        <v/>
      </c>
      <c r="T1127" s="112" t="str">
        <f aca="false">IFERROR(IF([1]对账明细接口!$O1127=0,"",[1]对账明细接口!$O1127),"")</f>
        <v/>
      </c>
      <c r="U1127" s="112" t="str">
        <f aca="false">IFERROR(IF([1]对账明细接口!$P1127=0,"",[1]对账明细接口!$P1127),"")</f>
        <v/>
      </c>
      <c r="V1127" s="112" t="str">
        <f aca="false">IFERROR(IF([1]对账明细接口!$Q1127=0,"",[1]对账明细接口!$Q1127),"")</f>
        <v/>
      </c>
      <c r="W1127" s="10" t="str">
        <f aca="false">IFERROR(IF([1]对账明细接口!$R1127=0,"",[1]对账明细接口!$R1127),"")</f>
        <v/>
      </c>
      <c r="X1127" s="10" t="str">
        <f aca="false">IFERROR(IF([1]对账明细接口!$S1127=0,"",[1]对账明细接口!$S1127),"")</f>
        <v/>
      </c>
      <c r="Y1127" s="10" t="str">
        <f aca="false">""</f>
        <v/>
      </c>
      <c r="Z1127" s="10" t="str">
        <f aca="false">""</f>
        <v/>
      </c>
      <c r="AA1127" s="10" t="str">
        <f aca="false">""</f>
        <v/>
      </c>
      <c r="AB1127" s="10" t="str">
        <f aca="false">""</f>
        <v/>
      </c>
    </row>
    <row r="1128" customFormat="false" ht="13.5" hidden="false" customHeight="false" outlineLevel="0" collapsed="false">
      <c r="A1128" s="109" t="n">
        <v>1128</v>
      </c>
      <c r="B1128" s="110" t="str">
        <f aca="false">IFERROR(IF([1]对账明细接口!$B$1128=0,"",[1]对账明细接口!$B$1128),"")</f>
        <v/>
      </c>
      <c r="C1128" s="59" t="str">
        <f aca="false">IFERROR(IF([1]对账明细接口!$C$1128=0,"",[1]对账明细接口!$C$1128),"")</f>
        <v/>
      </c>
      <c r="D1128" s="59" t="str">
        <f aca="false">IFERROR(IF([1]对账明细接口!$D$1128=0,"",[1]对账明细接口!$D$1128),"")</f>
        <v/>
      </c>
      <c r="E1128" s="59" t="str">
        <f aca="false">IFERROR(IF([1]对账明细接口!$E$1128=0,"",[1]对账明细接口!$E$1128),"")</f>
        <v/>
      </c>
      <c r="F1128" s="59" t="str">
        <f aca="false">IFERROR(IF([1]对账明细接口!$F$1128=0,"",[1]对账明细接口!$F$1128),"")</f>
        <v/>
      </c>
      <c r="G1128" s="59" t="str">
        <f aca="false">IFERROR(IF([1]对账明细接口!$G$1128=0,"",[1]对账明细接口!$G$1128),"")</f>
        <v/>
      </c>
      <c r="H1128" s="60" t="str">
        <f aca="false">IFERROR(IF([1]对账明细接口!$H$1128=0,"",[1]对账明细接口!$H$1128),"")</f>
        <v/>
      </c>
      <c r="I1128" s="59" t="str">
        <f aca="false">IFERROR(IF([1]对账明细接口!$I$1128=0,"",[1]对账明细接口!$I$1128),"")</f>
        <v/>
      </c>
      <c r="J1128" s="61" t="str">
        <f aca="false">IFERROR(IF([1]对账明细接口!$J$1128=0,"",[1]对账明细接口!$J$1128),"")</f>
        <v/>
      </c>
      <c r="K1128" s="61" t="str">
        <f aca="false">IFERROR(IF([1]对账明细接口!$K$1128=0,"",[1]对账明细接口!$K$1128),"")</f>
        <v/>
      </c>
      <c r="L1128" s="59" t="str">
        <f aca="false">IFERROR(IF([1]对账明细接口!$L$1128=0,"",[1]对账明细接口!$L$1128),"")</f>
        <v/>
      </c>
      <c r="M1128" s="59" t="str">
        <f aca="false">IFERROR(IF([1]对账明细接口!$M$1128=0,"",[1]对账明细接口!$M$1128),"")</f>
        <v/>
      </c>
      <c r="N1128" s="111" t="n">
        <f aca="false">IF($C1128="",0,1)</f>
        <v>0</v>
      </c>
      <c r="O1128" s="111" t="n">
        <f aca="false">N(O1127)+$N1128</f>
        <v>110</v>
      </c>
      <c r="S1128" s="10" t="str">
        <f aca="false">IFERROR(IF([1]对账明细接口!$N1128=0,"",[1]对账明细接口!$N1128),"")</f>
        <v/>
      </c>
      <c r="T1128" s="112" t="str">
        <f aca="false">IFERROR(IF([1]对账明细接口!$O1128=0,"",[1]对账明细接口!$O1128),"")</f>
        <v/>
      </c>
      <c r="U1128" s="112" t="str">
        <f aca="false">IFERROR(IF([1]对账明细接口!$P1128=0,"",[1]对账明细接口!$P1128),"")</f>
        <v/>
      </c>
      <c r="V1128" s="112" t="str">
        <f aca="false">IFERROR(IF([1]对账明细接口!$Q1128=0,"",[1]对账明细接口!$Q1128),"")</f>
        <v/>
      </c>
      <c r="W1128" s="10" t="str">
        <f aca="false">IFERROR(IF([1]对账明细接口!$R1128=0,"",[1]对账明细接口!$R1128),"")</f>
        <v/>
      </c>
      <c r="X1128" s="10" t="str">
        <f aca="false">IFERROR(IF([1]对账明细接口!$S1128=0,"",[1]对账明细接口!$S1128),"")</f>
        <v/>
      </c>
      <c r="Y1128" s="10" t="str">
        <f aca="false">""</f>
        <v/>
      </c>
      <c r="Z1128" s="10" t="str">
        <f aca="false">""</f>
        <v/>
      </c>
      <c r="AA1128" s="10" t="str">
        <f aca="false">""</f>
        <v/>
      </c>
      <c r="AB1128" s="10" t="str">
        <f aca="false">""</f>
        <v/>
      </c>
    </row>
    <row r="1129" customFormat="false" ht="13.5" hidden="false" customHeight="false" outlineLevel="0" collapsed="false">
      <c r="A1129" s="109" t="n">
        <v>1129</v>
      </c>
      <c r="B1129" s="110" t="str">
        <f aca="false">IFERROR(IF([1]对账明细接口!$B$1129=0,"",[1]对账明细接口!$B$1129),"")</f>
        <v/>
      </c>
      <c r="C1129" s="59" t="str">
        <f aca="false">IFERROR(IF([1]对账明细接口!$C$1129=0,"",[1]对账明细接口!$C$1129),"")</f>
        <v/>
      </c>
      <c r="D1129" s="59" t="str">
        <f aca="false">IFERROR(IF([1]对账明细接口!$D$1129=0,"",[1]对账明细接口!$D$1129),"")</f>
        <v/>
      </c>
      <c r="E1129" s="59" t="str">
        <f aca="false">IFERROR(IF([1]对账明细接口!$E$1129=0,"",[1]对账明细接口!$E$1129),"")</f>
        <v/>
      </c>
      <c r="F1129" s="59" t="str">
        <f aca="false">IFERROR(IF([1]对账明细接口!$F$1129=0,"",[1]对账明细接口!$F$1129),"")</f>
        <v/>
      </c>
      <c r="G1129" s="59" t="str">
        <f aca="false">IFERROR(IF([1]对账明细接口!$G$1129=0,"",[1]对账明细接口!$G$1129),"")</f>
        <v/>
      </c>
      <c r="H1129" s="60" t="str">
        <f aca="false">IFERROR(IF([1]对账明细接口!$H$1129=0,"",[1]对账明细接口!$H$1129),"")</f>
        <v/>
      </c>
      <c r="I1129" s="59" t="str">
        <f aca="false">IFERROR(IF([1]对账明细接口!$I$1129=0,"",[1]对账明细接口!$I$1129),"")</f>
        <v/>
      </c>
      <c r="J1129" s="61" t="str">
        <f aca="false">IFERROR(IF([1]对账明细接口!$J$1129=0,"",[1]对账明细接口!$J$1129),"")</f>
        <v/>
      </c>
      <c r="K1129" s="61" t="str">
        <f aca="false">IFERROR(IF([1]对账明细接口!$K$1129=0,"",[1]对账明细接口!$K$1129),"")</f>
        <v/>
      </c>
      <c r="L1129" s="59" t="str">
        <f aca="false">IFERROR(IF([1]对账明细接口!$L$1129=0,"",[1]对账明细接口!$L$1129),"")</f>
        <v/>
      </c>
      <c r="M1129" s="59" t="str">
        <f aca="false">IFERROR(IF([1]对账明细接口!$M$1129=0,"",[1]对账明细接口!$M$1129),"")</f>
        <v/>
      </c>
      <c r="N1129" s="111" t="n">
        <f aca="false">IF($C1129="",0,1)</f>
        <v>0</v>
      </c>
      <c r="O1129" s="111" t="n">
        <f aca="false">N(O1128)+$N1129</f>
        <v>110</v>
      </c>
      <c r="S1129" s="10" t="str">
        <f aca="false">IFERROR(IF([1]对账明细接口!$N1129=0,"",[1]对账明细接口!$N1129),"")</f>
        <v/>
      </c>
      <c r="T1129" s="112" t="str">
        <f aca="false">IFERROR(IF([1]对账明细接口!$O1129=0,"",[1]对账明细接口!$O1129),"")</f>
        <v/>
      </c>
      <c r="U1129" s="112" t="str">
        <f aca="false">IFERROR(IF([1]对账明细接口!$P1129=0,"",[1]对账明细接口!$P1129),"")</f>
        <v/>
      </c>
      <c r="V1129" s="112" t="str">
        <f aca="false">IFERROR(IF([1]对账明细接口!$Q1129=0,"",[1]对账明细接口!$Q1129),"")</f>
        <v/>
      </c>
      <c r="W1129" s="10" t="str">
        <f aca="false">IFERROR(IF([1]对账明细接口!$R1129=0,"",[1]对账明细接口!$R1129),"")</f>
        <v/>
      </c>
      <c r="X1129" s="10" t="str">
        <f aca="false">IFERROR(IF([1]对账明细接口!$S1129=0,"",[1]对账明细接口!$S1129),"")</f>
        <v/>
      </c>
      <c r="Y1129" s="10" t="str">
        <f aca="false">""</f>
        <v/>
      </c>
      <c r="Z1129" s="10" t="str">
        <f aca="false">""</f>
        <v/>
      </c>
      <c r="AA1129" s="10" t="str">
        <f aca="false">""</f>
        <v/>
      </c>
      <c r="AB1129" s="10" t="str">
        <f aca="false">""</f>
        <v/>
      </c>
    </row>
    <row r="1130" customFormat="false" ht="13.5" hidden="false" customHeight="false" outlineLevel="0" collapsed="false">
      <c r="A1130" s="109" t="n">
        <v>1130</v>
      </c>
      <c r="B1130" s="110" t="str">
        <f aca="false">IFERROR(IF([1]对账明细接口!$B$1130=0,"",[1]对账明细接口!$B$1130),"")</f>
        <v/>
      </c>
      <c r="C1130" s="59" t="str">
        <f aca="false">IFERROR(IF([1]对账明细接口!$C$1130=0,"",[1]对账明细接口!$C$1130),"")</f>
        <v/>
      </c>
      <c r="D1130" s="59" t="str">
        <f aca="false">IFERROR(IF([1]对账明细接口!$D$1130=0,"",[1]对账明细接口!$D$1130),"")</f>
        <v/>
      </c>
      <c r="E1130" s="59" t="str">
        <f aca="false">IFERROR(IF([1]对账明细接口!$E$1130=0,"",[1]对账明细接口!$E$1130),"")</f>
        <v/>
      </c>
      <c r="F1130" s="59" t="str">
        <f aca="false">IFERROR(IF([1]对账明细接口!$F$1130=0,"",[1]对账明细接口!$F$1130),"")</f>
        <v/>
      </c>
      <c r="G1130" s="59" t="str">
        <f aca="false">IFERROR(IF([1]对账明细接口!$G$1130=0,"",[1]对账明细接口!$G$1130),"")</f>
        <v/>
      </c>
      <c r="H1130" s="60" t="str">
        <f aca="false">IFERROR(IF([1]对账明细接口!$H$1130=0,"",[1]对账明细接口!$H$1130),"")</f>
        <v/>
      </c>
      <c r="I1130" s="59" t="str">
        <f aca="false">IFERROR(IF([1]对账明细接口!$I$1130=0,"",[1]对账明细接口!$I$1130),"")</f>
        <v/>
      </c>
      <c r="J1130" s="61" t="str">
        <f aca="false">IFERROR(IF([1]对账明细接口!$J$1130=0,"",[1]对账明细接口!$J$1130),"")</f>
        <v/>
      </c>
      <c r="K1130" s="61" t="str">
        <f aca="false">IFERROR(IF([1]对账明细接口!$K$1130=0,"",[1]对账明细接口!$K$1130),"")</f>
        <v/>
      </c>
      <c r="L1130" s="59" t="str">
        <f aca="false">IFERROR(IF([1]对账明细接口!$L$1130=0,"",[1]对账明细接口!$L$1130),"")</f>
        <v/>
      </c>
      <c r="M1130" s="59" t="str">
        <f aca="false">IFERROR(IF([1]对账明细接口!$M$1130=0,"",[1]对账明细接口!$M$1130),"")</f>
        <v/>
      </c>
      <c r="N1130" s="111" t="n">
        <f aca="false">IF($C1130="",0,1)</f>
        <v>0</v>
      </c>
      <c r="O1130" s="111" t="n">
        <f aca="false">N(O1129)+$N1130</f>
        <v>110</v>
      </c>
      <c r="S1130" s="10" t="str">
        <f aca="false">IFERROR(IF([1]对账明细接口!$N1130=0,"",[1]对账明细接口!$N1130),"")</f>
        <v/>
      </c>
      <c r="T1130" s="112" t="str">
        <f aca="false">IFERROR(IF([1]对账明细接口!$O1130=0,"",[1]对账明细接口!$O1130),"")</f>
        <v/>
      </c>
      <c r="U1130" s="112" t="str">
        <f aca="false">IFERROR(IF([1]对账明细接口!$P1130=0,"",[1]对账明细接口!$P1130),"")</f>
        <v/>
      </c>
      <c r="V1130" s="112" t="str">
        <f aca="false">IFERROR(IF([1]对账明细接口!$Q1130=0,"",[1]对账明细接口!$Q1130),"")</f>
        <v/>
      </c>
      <c r="W1130" s="10" t="str">
        <f aca="false">IFERROR(IF([1]对账明细接口!$R1130=0,"",[1]对账明细接口!$R1130),"")</f>
        <v/>
      </c>
      <c r="X1130" s="10" t="str">
        <f aca="false">IFERROR(IF([1]对账明细接口!$S1130=0,"",[1]对账明细接口!$S1130),"")</f>
        <v/>
      </c>
      <c r="Y1130" s="10" t="str">
        <f aca="false">""</f>
        <v/>
      </c>
      <c r="Z1130" s="10" t="str">
        <f aca="false">""</f>
        <v/>
      </c>
      <c r="AA1130" s="10" t="str">
        <f aca="false">""</f>
        <v/>
      </c>
      <c r="AB1130" s="10" t="str">
        <f aca="false">""</f>
        <v/>
      </c>
    </row>
    <row r="1131" customFormat="false" ht="13.5" hidden="false" customHeight="false" outlineLevel="0" collapsed="false">
      <c r="A1131" s="109" t="n">
        <v>1131</v>
      </c>
      <c r="B1131" s="110" t="str">
        <f aca="false">IFERROR(IF([1]对账明细接口!$B$1131=0,"",[1]对账明细接口!$B$1131),"")</f>
        <v/>
      </c>
      <c r="C1131" s="59" t="str">
        <f aca="false">IFERROR(IF([1]对账明细接口!$C$1131=0,"",[1]对账明细接口!$C$1131),"")</f>
        <v/>
      </c>
      <c r="D1131" s="59" t="str">
        <f aca="false">IFERROR(IF([1]对账明细接口!$D$1131=0,"",[1]对账明细接口!$D$1131),"")</f>
        <v/>
      </c>
      <c r="E1131" s="59" t="str">
        <f aca="false">IFERROR(IF([1]对账明细接口!$E$1131=0,"",[1]对账明细接口!$E$1131),"")</f>
        <v/>
      </c>
      <c r="F1131" s="59" t="str">
        <f aca="false">IFERROR(IF([1]对账明细接口!$F$1131=0,"",[1]对账明细接口!$F$1131),"")</f>
        <v/>
      </c>
      <c r="G1131" s="59" t="str">
        <f aca="false">IFERROR(IF([1]对账明细接口!$G$1131=0,"",[1]对账明细接口!$G$1131),"")</f>
        <v/>
      </c>
      <c r="H1131" s="60" t="str">
        <f aca="false">IFERROR(IF([1]对账明细接口!$H$1131=0,"",[1]对账明细接口!$H$1131),"")</f>
        <v/>
      </c>
      <c r="I1131" s="59" t="str">
        <f aca="false">IFERROR(IF([1]对账明细接口!$I$1131=0,"",[1]对账明细接口!$I$1131),"")</f>
        <v/>
      </c>
      <c r="J1131" s="61" t="str">
        <f aca="false">IFERROR(IF([1]对账明细接口!$J$1131=0,"",[1]对账明细接口!$J$1131),"")</f>
        <v/>
      </c>
      <c r="K1131" s="61" t="str">
        <f aca="false">IFERROR(IF([1]对账明细接口!$K$1131=0,"",[1]对账明细接口!$K$1131),"")</f>
        <v/>
      </c>
      <c r="L1131" s="59" t="str">
        <f aca="false">IFERROR(IF([1]对账明细接口!$L$1131=0,"",[1]对账明细接口!$L$1131),"")</f>
        <v/>
      </c>
      <c r="M1131" s="59" t="str">
        <f aca="false">IFERROR(IF([1]对账明细接口!$M$1131=0,"",[1]对账明细接口!$M$1131),"")</f>
        <v/>
      </c>
      <c r="N1131" s="111" t="n">
        <f aca="false">IF($C1131="",0,1)</f>
        <v>0</v>
      </c>
      <c r="O1131" s="111" t="n">
        <f aca="false">N(O1130)+$N1131</f>
        <v>110</v>
      </c>
      <c r="S1131" s="10" t="str">
        <f aca="false">IFERROR(IF([1]对账明细接口!$N1131=0,"",[1]对账明细接口!$N1131),"")</f>
        <v/>
      </c>
      <c r="T1131" s="112" t="str">
        <f aca="false">IFERROR(IF([1]对账明细接口!$O1131=0,"",[1]对账明细接口!$O1131),"")</f>
        <v/>
      </c>
      <c r="U1131" s="112" t="str">
        <f aca="false">IFERROR(IF([1]对账明细接口!$P1131=0,"",[1]对账明细接口!$P1131),"")</f>
        <v/>
      </c>
      <c r="V1131" s="112" t="str">
        <f aca="false">IFERROR(IF([1]对账明细接口!$Q1131=0,"",[1]对账明细接口!$Q1131),"")</f>
        <v/>
      </c>
      <c r="W1131" s="10" t="str">
        <f aca="false">IFERROR(IF([1]对账明细接口!$R1131=0,"",[1]对账明细接口!$R1131),"")</f>
        <v/>
      </c>
      <c r="X1131" s="10" t="str">
        <f aca="false">IFERROR(IF([1]对账明细接口!$S1131=0,"",[1]对账明细接口!$S1131),"")</f>
        <v/>
      </c>
      <c r="Y1131" s="10" t="str">
        <f aca="false">""</f>
        <v/>
      </c>
      <c r="Z1131" s="10" t="str">
        <f aca="false">""</f>
        <v/>
      </c>
      <c r="AA1131" s="10" t="str">
        <f aca="false">""</f>
        <v/>
      </c>
      <c r="AB1131" s="10" t="str">
        <f aca="false">""</f>
        <v/>
      </c>
    </row>
    <row r="1132" customFormat="false" ht="13.5" hidden="false" customHeight="false" outlineLevel="0" collapsed="false">
      <c r="A1132" s="109" t="n">
        <v>1132</v>
      </c>
      <c r="B1132" s="110" t="str">
        <f aca="false">IFERROR(IF([1]对账明细接口!$B$1132=0,"",[1]对账明细接口!$B$1132),"")</f>
        <v/>
      </c>
      <c r="C1132" s="59" t="str">
        <f aca="false">IFERROR(IF([1]对账明细接口!$C$1132=0,"",[1]对账明细接口!$C$1132),"")</f>
        <v/>
      </c>
      <c r="D1132" s="59" t="str">
        <f aca="false">IFERROR(IF([1]对账明细接口!$D$1132=0,"",[1]对账明细接口!$D$1132),"")</f>
        <v/>
      </c>
      <c r="E1132" s="59" t="str">
        <f aca="false">IFERROR(IF([1]对账明细接口!$E$1132=0,"",[1]对账明细接口!$E$1132),"")</f>
        <v/>
      </c>
      <c r="F1132" s="59" t="str">
        <f aca="false">IFERROR(IF([1]对账明细接口!$F$1132=0,"",[1]对账明细接口!$F$1132),"")</f>
        <v/>
      </c>
      <c r="G1132" s="59" t="str">
        <f aca="false">IFERROR(IF([1]对账明细接口!$G$1132=0,"",[1]对账明细接口!$G$1132),"")</f>
        <v/>
      </c>
      <c r="H1132" s="60" t="str">
        <f aca="false">IFERROR(IF([1]对账明细接口!$H$1132=0,"",[1]对账明细接口!$H$1132),"")</f>
        <v/>
      </c>
      <c r="I1132" s="59" t="str">
        <f aca="false">IFERROR(IF([1]对账明细接口!$I$1132=0,"",[1]对账明细接口!$I$1132),"")</f>
        <v/>
      </c>
      <c r="J1132" s="61" t="str">
        <f aca="false">IFERROR(IF([1]对账明细接口!$J$1132=0,"",[1]对账明细接口!$J$1132),"")</f>
        <v/>
      </c>
      <c r="K1132" s="61" t="str">
        <f aca="false">IFERROR(IF([1]对账明细接口!$K$1132=0,"",[1]对账明细接口!$K$1132),"")</f>
        <v/>
      </c>
      <c r="L1132" s="59" t="str">
        <f aca="false">IFERROR(IF([1]对账明细接口!$L$1132=0,"",[1]对账明细接口!$L$1132),"")</f>
        <v/>
      </c>
      <c r="M1132" s="59" t="str">
        <f aca="false">IFERROR(IF([1]对账明细接口!$M$1132=0,"",[1]对账明细接口!$M$1132),"")</f>
        <v/>
      </c>
      <c r="N1132" s="111" t="n">
        <f aca="false">IF($C1132="",0,1)</f>
        <v>0</v>
      </c>
      <c r="O1132" s="111" t="n">
        <f aca="false">N(O1131)+$N1132</f>
        <v>110</v>
      </c>
      <c r="S1132" s="10" t="str">
        <f aca="false">IFERROR(IF([1]对账明细接口!$N1132=0,"",[1]对账明细接口!$N1132),"")</f>
        <v/>
      </c>
      <c r="T1132" s="112" t="str">
        <f aca="false">IFERROR(IF([1]对账明细接口!$O1132=0,"",[1]对账明细接口!$O1132),"")</f>
        <v/>
      </c>
      <c r="U1132" s="112" t="str">
        <f aca="false">IFERROR(IF([1]对账明细接口!$P1132=0,"",[1]对账明细接口!$P1132),"")</f>
        <v/>
      </c>
      <c r="V1132" s="112" t="str">
        <f aca="false">IFERROR(IF([1]对账明细接口!$Q1132=0,"",[1]对账明细接口!$Q1132),"")</f>
        <v/>
      </c>
      <c r="W1132" s="10" t="str">
        <f aca="false">IFERROR(IF([1]对账明细接口!$R1132=0,"",[1]对账明细接口!$R1132),"")</f>
        <v/>
      </c>
      <c r="X1132" s="10" t="str">
        <f aca="false">IFERROR(IF([1]对账明细接口!$S1132=0,"",[1]对账明细接口!$S1132),"")</f>
        <v/>
      </c>
      <c r="Y1132" s="10" t="str">
        <f aca="false">""</f>
        <v/>
      </c>
      <c r="Z1132" s="10" t="str">
        <f aca="false">""</f>
        <v/>
      </c>
      <c r="AA1132" s="10" t="str">
        <f aca="false">""</f>
        <v/>
      </c>
      <c r="AB1132" s="10" t="str">
        <f aca="false">""</f>
        <v/>
      </c>
    </row>
    <row r="1133" customFormat="false" ht="13.5" hidden="false" customHeight="false" outlineLevel="0" collapsed="false">
      <c r="A1133" s="109" t="n">
        <v>1133</v>
      </c>
      <c r="B1133" s="110" t="str">
        <f aca="false">IFERROR(IF([1]对账明细接口!$B$1133=0,"",[1]对账明细接口!$B$1133),"")</f>
        <v/>
      </c>
      <c r="C1133" s="59" t="str">
        <f aca="false">IFERROR(IF([1]对账明细接口!$C$1133=0,"",[1]对账明细接口!$C$1133),"")</f>
        <v/>
      </c>
      <c r="D1133" s="59" t="str">
        <f aca="false">IFERROR(IF([1]对账明细接口!$D$1133=0,"",[1]对账明细接口!$D$1133),"")</f>
        <v/>
      </c>
      <c r="E1133" s="59" t="str">
        <f aca="false">IFERROR(IF([1]对账明细接口!$E$1133=0,"",[1]对账明细接口!$E$1133),"")</f>
        <v/>
      </c>
      <c r="F1133" s="59" t="str">
        <f aca="false">IFERROR(IF([1]对账明细接口!$F$1133=0,"",[1]对账明细接口!$F$1133),"")</f>
        <v/>
      </c>
      <c r="G1133" s="59" t="str">
        <f aca="false">IFERROR(IF([1]对账明细接口!$G$1133=0,"",[1]对账明细接口!$G$1133),"")</f>
        <v/>
      </c>
      <c r="H1133" s="60" t="str">
        <f aca="false">IFERROR(IF([1]对账明细接口!$H$1133=0,"",[1]对账明细接口!$H$1133),"")</f>
        <v/>
      </c>
      <c r="I1133" s="59" t="str">
        <f aca="false">IFERROR(IF([1]对账明细接口!$I$1133=0,"",[1]对账明细接口!$I$1133),"")</f>
        <v/>
      </c>
      <c r="J1133" s="61" t="str">
        <f aca="false">IFERROR(IF([1]对账明细接口!$J$1133=0,"",[1]对账明细接口!$J$1133),"")</f>
        <v/>
      </c>
      <c r="K1133" s="61" t="str">
        <f aca="false">IFERROR(IF([1]对账明细接口!$K$1133=0,"",[1]对账明细接口!$K$1133),"")</f>
        <v/>
      </c>
      <c r="L1133" s="59" t="str">
        <f aca="false">IFERROR(IF([1]对账明细接口!$L$1133=0,"",[1]对账明细接口!$L$1133),"")</f>
        <v/>
      </c>
      <c r="M1133" s="59" t="str">
        <f aca="false">IFERROR(IF([1]对账明细接口!$M$1133=0,"",[1]对账明细接口!$M$1133),"")</f>
        <v/>
      </c>
      <c r="N1133" s="111" t="n">
        <f aca="false">IF($C1133="",0,1)</f>
        <v>0</v>
      </c>
      <c r="O1133" s="111" t="n">
        <f aca="false">N(O1132)+$N1133</f>
        <v>110</v>
      </c>
      <c r="S1133" s="10" t="str">
        <f aca="false">IFERROR(IF([1]对账明细接口!$N1133=0,"",[1]对账明细接口!$N1133),"")</f>
        <v/>
      </c>
      <c r="T1133" s="112" t="str">
        <f aca="false">IFERROR(IF([1]对账明细接口!$O1133=0,"",[1]对账明细接口!$O1133),"")</f>
        <v/>
      </c>
      <c r="U1133" s="112" t="str">
        <f aca="false">IFERROR(IF([1]对账明细接口!$P1133=0,"",[1]对账明细接口!$P1133),"")</f>
        <v/>
      </c>
      <c r="V1133" s="112" t="str">
        <f aca="false">IFERROR(IF([1]对账明细接口!$Q1133=0,"",[1]对账明细接口!$Q1133),"")</f>
        <v/>
      </c>
      <c r="W1133" s="10" t="str">
        <f aca="false">IFERROR(IF([1]对账明细接口!$R1133=0,"",[1]对账明细接口!$R1133),"")</f>
        <v/>
      </c>
      <c r="X1133" s="10" t="str">
        <f aca="false">IFERROR(IF([1]对账明细接口!$S1133=0,"",[1]对账明细接口!$S1133),"")</f>
        <v/>
      </c>
      <c r="Y1133" s="10" t="str">
        <f aca="false">""</f>
        <v/>
      </c>
      <c r="Z1133" s="10" t="str">
        <f aca="false">""</f>
        <v/>
      </c>
      <c r="AA1133" s="10" t="str">
        <f aca="false">""</f>
        <v/>
      </c>
      <c r="AB1133" s="10" t="str">
        <f aca="false">""</f>
        <v/>
      </c>
    </row>
    <row r="1134" customFormat="false" ht="13.5" hidden="false" customHeight="false" outlineLevel="0" collapsed="false">
      <c r="A1134" s="109" t="n">
        <v>1134</v>
      </c>
      <c r="B1134" s="110" t="str">
        <f aca="false">IFERROR(IF([1]对账明细接口!$B$1134=0,"",[1]对账明细接口!$B$1134),"")</f>
        <v/>
      </c>
      <c r="C1134" s="59" t="str">
        <f aca="false">IFERROR(IF([1]对账明细接口!$C$1134=0,"",[1]对账明细接口!$C$1134),"")</f>
        <v/>
      </c>
      <c r="D1134" s="59" t="str">
        <f aca="false">IFERROR(IF([1]对账明细接口!$D$1134=0,"",[1]对账明细接口!$D$1134),"")</f>
        <v/>
      </c>
      <c r="E1134" s="59" t="str">
        <f aca="false">IFERROR(IF([1]对账明细接口!$E$1134=0,"",[1]对账明细接口!$E$1134),"")</f>
        <v/>
      </c>
      <c r="F1134" s="59" t="str">
        <f aca="false">IFERROR(IF([1]对账明细接口!$F$1134=0,"",[1]对账明细接口!$F$1134),"")</f>
        <v/>
      </c>
      <c r="G1134" s="59" t="str">
        <f aca="false">IFERROR(IF([1]对账明细接口!$G$1134=0,"",[1]对账明细接口!$G$1134),"")</f>
        <v/>
      </c>
      <c r="H1134" s="60" t="str">
        <f aca="false">IFERROR(IF([1]对账明细接口!$H$1134=0,"",[1]对账明细接口!$H$1134),"")</f>
        <v/>
      </c>
      <c r="I1134" s="59" t="str">
        <f aca="false">IFERROR(IF([1]对账明细接口!$I$1134=0,"",[1]对账明细接口!$I$1134),"")</f>
        <v/>
      </c>
      <c r="J1134" s="61" t="str">
        <f aca="false">IFERROR(IF([1]对账明细接口!$J$1134=0,"",[1]对账明细接口!$J$1134),"")</f>
        <v/>
      </c>
      <c r="K1134" s="61" t="str">
        <f aca="false">IFERROR(IF([1]对账明细接口!$K$1134=0,"",[1]对账明细接口!$K$1134),"")</f>
        <v/>
      </c>
      <c r="L1134" s="59" t="str">
        <f aca="false">IFERROR(IF([1]对账明细接口!$L$1134=0,"",[1]对账明细接口!$L$1134),"")</f>
        <v/>
      </c>
      <c r="M1134" s="59" t="str">
        <f aca="false">IFERROR(IF([1]对账明细接口!$M$1134=0,"",[1]对账明细接口!$M$1134),"")</f>
        <v/>
      </c>
      <c r="N1134" s="111" t="n">
        <f aca="false">IF($C1134="",0,1)</f>
        <v>0</v>
      </c>
      <c r="O1134" s="111" t="n">
        <f aca="false">N(O1133)+$N1134</f>
        <v>110</v>
      </c>
      <c r="S1134" s="10" t="str">
        <f aca="false">IFERROR(IF([1]对账明细接口!$N1134=0,"",[1]对账明细接口!$N1134),"")</f>
        <v/>
      </c>
      <c r="T1134" s="112" t="str">
        <f aca="false">IFERROR(IF([1]对账明细接口!$O1134=0,"",[1]对账明细接口!$O1134),"")</f>
        <v/>
      </c>
      <c r="U1134" s="112" t="str">
        <f aca="false">IFERROR(IF([1]对账明细接口!$P1134=0,"",[1]对账明细接口!$P1134),"")</f>
        <v/>
      </c>
      <c r="V1134" s="112" t="str">
        <f aca="false">IFERROR(IF([1]对账明细接口!$Q1134=0,"",[1]对账明细接口!$Q1134),"")</f>
        <v/>
      </c>
      <c r="W1134" s="10" t="str">
        <f aca="false">IFERROR(IF([1]对账明细接口!$R1134=0,"",[1]对账明细接口!$R1134),"")</f>
        <v/>
      </c>
      <c r="X1134" s="10" t="str">
        <f aca="false">IFERROR(IF([1]对账明细接口!$S1134=0,"",[1]对账明细接口!$S1134),"")</f>
        <v/>
      </c>
      <c r="Y1134" s="10" t="str">
        <f aca="false">""</f>
        <v/>
      </c>
      <c r="Z1134" s="10" t="str">
        <f aca="false">""</f>
        <v/>
      </c>
      <c r="AA1134" s="10" t="str">
        <f aca="false">""</f>
        <v/>
      </c>
      <c r="AB1134" s="10" t="str">
        <f aca="false">""</f>
        <v/>
      </c>
    </row>
    <row r="1135" customFormat="false" ht="13.5" hidden="false" customHeight="false" outlineLevel="0" collapsed="false">
      <c r="A1135" s="109" t="n">
        <v>1135</v>
      </c>
      <c r="B1135" s="110" t="str">
        <f aca="false">IFERROR(IF([1]对账明细接口!$B$1135=0,"",[1]对账明细接口!$B$1135),"")</f>
        <v/>
      </c>
      <c r="C1135" s="59" t="str">
        <f aca="false">IFERROR(IF([1]对账明细接口!$C$1135=0,"",[1]对账明细接口!$C$1135),"")</f>
        <v/>
      </c>
      <c r="D1135" s="59" t="str">
        <f aca="false">IFERROR(IF([1]对账明细接口!$D$1135=0,"",[1]对账明细接口!$D$1135),"")</f>
        <v/>
      </c>
      <c r="E1135" s="59" t="str">
        <f aca="false">IFERROR(IF([1]对账明细接口!$E$1135=0,"",[1]对账明细接口!$E$1135),"")</f>
        <v/>
      </c>
      <c r="F1135" s="59" t="str">
        <f aca="false">IFERROR(IF([1]对账明细接口!$F$1135=0,"",[1]对账明细接口!$F$1135),"")</f>
        <v/>
      </c>
      <c r="G1135" s="59" t="str">
        <f aca="false">IFERROR(IF([1]对账明细接口!$G$1135=0,"",[1]对账明细接口!$G$1135),"")</f>
        <v/>
      </c>
      <c r="H1135" s="60" t="str">
        <f aca="false">IFERROR(IF([1]对账明细接口!$H$1135=0,"",[1]对账明细接口!$H$1135),"")</f>
        <v/>
      </c>
      <c r="I1135" s="59" t="str">
        <f aca="false">IFERROR(IF([1]对账明细接口!$I$1135=0,"",[1]对账明细接口!$I$1135),"")</f>
        <v/>
      </c>
      <c r="J1135" s="61" t="str">
        <f aca="false">IFERROR(IF([1]对账明细接口!$J$1135=0,"",[1]对账明细接口!$J$1135),"")</f>
        <v/>
      </c>
      <c r="K1135" s="61" t="str">
        <f aca="false">IFERROR(IF([1]对账明细接口!$K$1135=0,"",[1]对账明细接口!$K$1135),"")</f>
        <v/>
      </c>
      <c r="L1135" s="59" t="str">
        <f aca="false">IFERROR(IF([1]对账明细接口!$L$1135=0,"",[1]对账明细接口!$L$1135),"")</f>
        <v/>
      </c>
      <c r="M1135" s="59" t="str">
        <f aca="false">IFERROR(IF([1]对账明细接口!$M$1135=0,"",[1]对账明细接口!$M$1135),"")</f>
        <v/>
      </c>
      <c r="N1135" s="111" t="n">
        <f aca="false">IF($C1135="",0,1)</f>
        <v>0</v>
      </c>
      <c r="O1135" s="111" t="n">
        <f aca="false">N(O1134)+$N1135</f>
        <v>110</v>
      </c>
      <c r="S1135" s="10" t="str">
        <f aca="false">IFERROR(IF([1]对账明细接口!$N1135=0,"",[1]对账明细接口!$N1135),"")</f>
        <v/>
      </c>
      <c r="T1135" s="112" t="str">
        <f aca="false">IFERROR(IF([1]对账明细接口!$O1135=0,"",[1]对账明细接口!$O1135),"")</f>
        <v/>
      </c>
      <c r="U1135" s="112" t="str">
        <f aca="false">IFERROR(IF([1]对账明细接口!$P1135=0,"",[1]对账明细接口!$P1135),"")</f>
        <v/>
      </c>
      <c r="V1135" s="112" t="str">
        <f aca="false">IFERROR(IF([1]对账明细接口!$Q1135=0,"",[1]对账明细接口!$Q1135),"")</f>
        <v/>
      </c>
      <c r="W1135" s="10" t="str">
        <f aca="false">IFERROR(IF([1]对账明细接口!$R1135=0,"",[1]对账明细接口!$R1135),"")</f>
        <v/>
      </c>
      <c r="X1135" s="10" t="str">
        <f aca="false">IFERROR(IF([1]对账明细接口!$S1135=0,"",[1]对账明细接口!$S1135),"")</f>
        <v/>
      </c>
      <c r="Y1135" s="10" t="str">
        <f aca="false">""</f>
        <v/>
      </c>
      <c r="Z1135" s="10" t="str">
        <f aca="false">""</f>
        <v/>
      </c>
      <c r="AA1135" s="10" t="str">
        <f aca="false">""</f>
        <v/>
      </c>
      <c r="AB1135" s="10" t="str">
        <f aca="false">""</f>
        <v/>
      </c>
    </row>
    <row r="1136" customFormat="false" ht="13.5" hidden="false" customHeight="false" outlineLevel="0" collapsed="false">
      <c r="A1136" s="109" t="n">
        <v>1136</v>
      </c>
      <c r="B1136" s="110" t="str">
        <f aca="false">IFERROR(IF([1]对账明细接口!$B$1136=0,"",[1]对账明细接口!$B$1136),"")</f>
        <v/>
      </c>
      <c r="C1136" s="59" t="str">
        <f aca="false">IFERROR(IF([1]对账明细接口!$C$1136=0,"",[1]对账明细接口!$C$1136),"")</f>
        <v/>
      </c>
      <c r="D1136" s="59" t="str">
        <f aca="false">IFERROR(IF([1]对账明细接口!$D$1136=0,"",[1]对账明细接口!$D$1136),"")</f>
        <v/>
      </c>
      <c r="E1136" s="59" t="str">
        <f aca="false">IFERROR(IF([1]对账明细接口!$E$1136=0,"",[1]对账明细接口!$E$1136),"")</f>
        <v/>
      </c>
      <c r="F1136" s="59" t="str">
        <f aca="false">IFERROR(IF([1]对账明细接口!$F$1136=0,"",[1]对账明细接口!$F$1136),"")</f>
        <v/>
      </c>
      <c r="G1136" s="59" t="str">
        <f aca="false">IFERROR(IF([1]对账明细接口!$G$1136=0,"",[1]对账明细接口!$G$1136),"")</f>
        <v/>
      </c>
      <c r="H1136" s="60" t="str">
        <f aca="false">IFERROR(IF([1]对账明细接口!$H$1136=0,"",[1]对账明细接口!$H$1136),"")</f>
        <v/>
      </c>
      <c r="I1136" s="59" t="str">
        <f aca="false">IFERROR(IF([1]对账明细接口!$I$1136=0,"",[1]对账明细接口!$I$1136),"")</f>
        <v/>
      </c>
      <c r="J1136" s="61" t="str">
        <f aca="false">IFERROR(IF([1]对账明细接口!$J$1136=0,"",[1]对账明细接口!$J$1136),"")</f>
        <v/>
      </c>
      <c r="K1136" s="61" t="str">
        <f aca="false">IFERROR(IF([1]对账明细接口!$K$1136=0,"",[1]对账明细接口!$K$1136),"")</f>
        <v/>
      </c>
      <c r="L1136" s="59" t="str">
        <f aca="false">IFERROR(IF([1]对账明细接口!$L$1136=0,"",[1]对账明细接口!$L$1136),"")</f>
        <v/>
      </c>
      <c r="M1136" s="59" t="str">
        <f aca="false">IFERROR(IF([1]对账明细接口!$M$1136=0,"",[1]对账明细接口!$M$1136),"")</f>
        <v/>
      </c>
      <c r="N1136" s="111" t="n">
        <f aca="false">IF($C1136="",0,1)</f>
        <v>0</v>
      </c>
      <c r="O1136" s="111" t="n">
        <f aca="false">N(O1135)+$N1136</f>
        <v>110</v>
      </c>
      <c r="S1136" s="10" t="str">
        <f aca="false">IFERROR(IF([1]对账明细接口!$N1136=0,"",[1]对账明细接口!$N1136),"")</f>
        <v/>
      </c>
      <c r="T1136" s="112" t="str">
        <f aca="false">IFERROR(IF([1]对账明细接口!$O1136=0,"",[1]对账明细接口!$O1136),"")</f>
        <v/>
      </c>
      <c r="U1136" s="112" t="str">
        <f aca="false">IFERROR(IF([1]对账明细接口!$P1136=0,"",[1]对账明细接口!$P1136),"")</f>
        <v/>
      </c>
      <c r="V1136" s="112" t="str">
        <f aca="false">IFERROR(IF([1]对账明细接口!$Q1136=0,"",[1]对账明细接口!$Q1136),"")</f>
        <v/>
      </c>
      <c r="W1136" s="10" t="str">
        <f aca="false">IFERROR(IF([1]对账明细接口!$R1136=0,"",[1]对账明细接口!$R1136),"")</f>
        <v/>
      </c>
      <c r="X1136" s="10" t="str">
        <f aca="false">IFERROR(IF([1]对账明细接口!$S1136=0,"",[1]对账明细接口!$S1136),"")</f>
        <v/>
      </c>
      <c r="Y1136" s="10" t="str">
        <f aca="false">""</f>
        <v/>
      </c>
      <c r="Z1136" s="10" t="str">
        <f aca="false">""</f>
        <v/>
      </c>
      <c r="AA1136" s="10" t="str">
        <f aca="false">""</f>
        <v/>
      </c>
      <c r="AB1136" s="10" t="str">
        <f aca="false">""</f>
        <v/>
      </c>
    </row>
    <row r="1137" customFormat="false" ht="13.5" hidden="false" customHeight="false" outlineLevel="0" collapsed="false">
      <c r="A1137" s="109" t="n">
        <v>1137</v>
      </c>
      <c r="B1137" s="110" t="str">
        <f aca="false">IFERROR(IF([1]对账明细接口!$B$1137=0,"",[1]对账明细接口!$B$1137),"")</f>
        <v/>
      </c>
      <c r="C1137" s="59" t="str">
        <f aca="false">IFERROR(IF([1]对账明细接口!$C$1137=0,"",[1]对账明细接口!$C$1137),"")</f>
        <v/>
      </c>
      <c r="D1137" s="59" t="str">
        <f aca="false">IFERROR(IF([1]对账明细接口!$D$1137=0,"",[1]对账明细接口!$D$1137),"")</f>
        <v/>
      </c>
      <c r="E1137" s="59" t="str">
        <f aca="false">IFERROR(IF([1]对账明细接口!$E$1137=0,"",[1]对账明细接口!$E$1137),"")</f>
        <v/>
      </c>
      <c r="F1137" s="59" t="str">
        <f aca="false">IFERROR(IF([1]对账明细接口!$F$1137=0,"",[1]对账明细接口!$F$1137),"")</f>
        <v/>
      </c>
      <c r="G1137" s="59" t="str">
        <f aca="false">IFERROR(IF([1]对账明细接口!$G$1137=0,"",[1]对账明细接口!$G$1137),"")</f>
        <v/>
      </c>
      <c r="H1137" s="60" t="str">
        <f aca="false">IFERROR(IF([1]对账明细接口!$H$1137=0,"",[1]对账明细接口!$H$1137),"")</f>
        <v/>
      </c>
      <c r="I1137" s="59" t="str">
        <f aca="false">IFERROR(IF([1]对账明细接口!$I$1137=0,"",[1]对账明细接口!$I$1137),"")</f>
        <v/>
      </c>
      <c r="J1137" s="61" t="str">
        <f aca="false">IFERROR(IF([1]对账明细接口!$J$1137=0,"",[1]对账明细接口!$J$1137),"")</f>
        <v/>
      </c>
      <c r="K1137" s="61" t="str">
        <f aca="false">IFERROR(IF([1]对账明细接口!$K$1137=0,"",[1]对账明细接口!$K$1137),"")</f>
        <v/>
      </c>
      <c r="L1137" s="59" t="str">
        <f aca="false">IFERROR(IF([1]对账明细接口!$L$1137=0,"",[1]对账明细接口!$L$1137),"")</f>
        <v/>
      </c>
      <c r="M1137" s="59" t="str">
        <f aca="false">IFERROR(IF([1]对账明细接口!$M$1137=0,"",[1]对账明细接口!$M$1137),"")</f>
        <v/>
      </c>
      <c r="N1137" s="111" t="n">
        <f aca="false">IF($C1137="",0,1)</f>
        <v>0</v>
      </c>
      <c r="O1137" s="111" t="n">
        <f aca="false">N(O1136)+$N1137</f>
        <v>110</v>
      </c>
      <c r="S1137" s="10" t="str">
        <f aca="false">IFERROR(IF([1]对账明细接口!$N1137=0,"",[1]对账明细接口!$N1137),"")</f>
        <v/>
      </c>
      <c r="T1137" s="112" t="str">
        <f aca="false">IFERROR(IF([1]对账明细接口!$O1137=0,"",[1]对账明细接口!$O1137),"")</f>
        <v/>
      </c>
      <c r="U1137" s="112" t="str">
        <f aca="false">IFERROR(IF([1]对账明细接口!$P1137=0,"",[1]对账明细接口!$P1137),"")</f>
        <v/>
      </c>
      <c r="V1137" s="112" t="str">
        <f aca="false">IFERROR(IF([1]对账明细接口!$Q1137=0,"",[1]对账明细接口!$Q1137),"")</f>
        <v/>
      </c>
      <c r="W1137" s="10" t="str">
        <f aca="false">IFERROR(IF([1]对账明细接口!$R1137=0,"",[1]对账明细接口!$R1137),"")</f>
        <v/>
      </c>
      <c r="X1137" s="10" t="str">
        <f aca="false">IFERROR(IF([1]对账明细接口!$S1137=0,"",[1]对账明细接口!$S1137),"")</f>
        <v/>
      </c>
      <c r="Y1137" s="10" t="str">
        <f aca="false">""</f>
        <v/>
      </c>
      <c r="Z1137" s="10" t="str">
        <f aca="false">""</f>
        <v/>
      </c>
      <c r="AA1137" s="10" t="str">
        <f aca="false">""</f>
        <v/>
      </c>
      <c r="AB1137" s="10" t="str">
        <f aca="false">""</f>
        <v/>
      </c>
    </row>
    <row r="1138" customFormat="false" ht="13.5" hidden="false" customHeight="false" outlineLevel="0" collapsed="false">
      <c r="A1138" s="109" t="n">
        <v>1138</v>
      </c>
      <c r="B1138" s="110" t="str">
        <f aca="false">IFERROR(IF([1]对账明细接口!$B$1138=0,"",[1]对账明细接口!$B$1138),"")</f>
        <v/>
      </c>
      <c r="C1138" s="59" t="str">
        <f aca="false">IFERROR(IF([1]对账明细接口!$C$1138=0,"",[1]对账明细接口!$C$1138),"")</f>
        <v/>
      </c>
      <c r="D1138" s="59" t="str">
        <f aca="false">IFERROR(IF([1]对账明细接口!$D$1138=0,"",[1]对账明细接口!$D$1138),"")</f>
        <v/>
      </c>
      <c r="E1138" s="59" t="str">
        <f aca="false">IFERROR(IF([1]对账明细接口!$E$1138=0,"",[1]对账明细接口!$E$1138),"")</f>
        <v/>
      </c>
      <c r="F1138" s="59" t="str">
        <f aca="false">IFERROR(IF([1]对账明细接口!$F$1138=0,"",[1]对账明细接口!$F$1138),"")</f>
        <v/>
      </c>
      <c r="G1138" s="59" t="str">
        <f aca="false">IFERROR(IF([1]对账明细接口!$G$1138=0,"",[1]对账明细接口!$G$1138),"")</f>
        <v/>
      </c>
      <c r="H1138" s="60" t="str">
        <f aca="false">IFERROR(IF([1]对账明细接口!$H$1138=0,"",[1]对账明细接口!$H$1138),"")</f>
        <v/>
      </c>
      <c r="I1138" s="59" t="str">
        <f aca="false">IFERROR(IF([1]对账明细接口!$I$1138=0,"",[1]对账明细接口!$I$1138),"")</f>
        <v/>
      </c>
      <c r="J1138" s="61" t="str">
        <f aca="false">IFERROR(IF([1]对账明细接口!$J$1138=0,"",[1]对账明细接口!$J$1138),"")</f>
        <v/>
      </c>
      <c r="K1138" s="61" t="str">
        <f aca="false">IFERROR(IF([1]对账明细接口!$K$1138=0,"",[1]对账明细接口!$K$1138),"")</f>
        <v/>
      </c>
      <c r="L1138" s="59" t="str">
        <f aca="false">IFERROR(IF([1]对账明细接口!$L$1138=0,"",[1]对账明细接口!$L$1138),"")</f>
        <v/>
      </c>
      <c r="M1138" s="59" t="str">
        <f aca="false">IFERROR(IF([1]对账明细接口!$M$1138=0,"",[1]对账明细接口!$M$1138),"")</f>
        <v/>
      </c>
      <c r="N1138" s="111" t="n">
        <f aca="false">IF($C1138="",0,1)</f>
        <v>0</v>
      </c>
      <c r="O1138" s="111" t="n">
        <f aca="false">N(O1137)+$N1138</f>
        <v>110</v>
      </c>
      <c r="S1138" s="10" t="str">
        <f aca="false">IFERROR(IF([1]对账明细接口!$N1138=0,"",[1]对账明细接口!$N1138),"")</f>
        <v/>
      </c>
      <c r="T1138" s="112" t="str">
        <f aca="false">IFERROR(IF([1]对账明细接口!$O1138=0,"",[1]对账明细接口!$O1138),"")</f>
        <v/>
      </c>
      <c r="U1138" s="112" t="str">
        <f aca="false">IFERROR(IF([1]对账明细接口!$P1138=0,"",[1]对账明细接口!$P1138),"")</f>
        <v/>
      </c>
      <c r="V1138" s="112" t="str">
        <f aca="false">IFERROR(IF([1]对账明细接口!$Q1138=0,"",[1]对账明细接口!$Q1138),"")</f>
        <v/>
      </c>
      <c r="W1138" s="10" t="str">
        <f aca="false">IFERROR(IF([1]对账明细接口!$R1138=0,"",[1]对账明细接口!$R1138),"")</f>
        <v/>
      </c>
      <c r="X1138" s="10" t="str">
        <f aca="false">IFERROR(IF([1]对账明细接口!$S1138=0,"",[1]对账明细接口!$S1138),"")</f>
        <v/>
      </c>
      <c r="Y1138" s="10" t="str">
        <f aca="false">""</f>
        <v/>
      </c>
      <c r="Z1138" s="10" t="str">
        <f aca="false">""</f>
        <v/>
      </c>
      <c r="AA1138" s="10" t="str">
        <f aca="false">""</f>
        <v/>
      </c>
      <c r="AB1138" s="10" t="str">
        <f aca="false">""</f>
        <v/>
      </c>
    </row>
    <row r="1139" customFormat="false" ht="13.5" hidden="false" customHeight="false" outlineLevel="0" collapsed="false">
      <c r="A1139" s="109" t="n">
        <v>1139</v>
      </c>
      <c r="B1139" s="110" t="str">
        <f aca="false">IFERROR(IF([1]对账明细接口!$B$1139=0,"",[1]对账明细接口!$B$1139),"")</f>
        <v/>
      </c>
      <c r="C1139" s="59" t="str">
        <f aca="false">IFERROR(IF([1]对账明细接口!$C$1139=0,"",[1]对账明细接口!$C$1139),"")</f>
        <v/>
      </c>
      <c r="D1139" s="59" t="str">
        <f aca="false">IFERROR(IF([1]对账明细接口!$D$1139=0,"",[1]对账明细接口!$D$1139),"")</f>
        <v/>
      </c>
      <c r="E1139" s="59" t="str">
        <f aca="false">IFERROR(IF([1]对账明细接口!$E$1139=0,"",[1]对账明细接口!$E$1139),"")</f>
        <v/>
      </c>
      <c r="F1139" s="59" t="str">
        <f aca="false">IFERROR(IF([1]对账明细接口!$F$1139=0,"",[1]对账明细接口!$F$1139),"")</f>
        <v/>
      </c>
      <c r="G1139" s="59" t="str">
        <f aca="false">IFERROR(IF([1]对账明细接口!$G$1139=0,"",[1]对账明细接口!$G$1139),"")</f>
        <v/>
      </c>
      <c r="H1139" s="60" t="str">
        <f aca="false">IFERROR(IF([1]对账明细接口!$H$1139=0,"",[1]对账明细接口!$H$1139),"")</f>
        <v/>
      </c>
      <c r="I1139" s="59" t="str">
        <f aca="false">IFERROR(IF([1]对账明细接口!$I$1139=0,"",[1]对账明细接口!$I$1139),"")</f>
        <v/>
      </c>
      <c r="J1139" s="61" t="str">
        <f aca="false">IFERROR(IF([1]对账明细接口!$J$1139=0,"",[1]对账明细接口!$J$1139),"")</f>
        <v/>
      </c>
      <c r="K1139" s="61" t="str">
        <f aca="false">IFERROR(IF([1]对账明细接口!$K$1139=0,"",[1]对账明细接口!$K$1139),"")</f>
        <v/>
      </c>
      <c r="L1139" s="59" t="str">
        <f aca="false">IFERROR(IF([1]对账明细接口!$L$1139=0,"",[1]对账明细接口!$L$1139),"")</f>
        <v/>
      </c>
      <c r="M1139" s="59" t="str">
        <f aca="false">IFERROR(IF([1]对账明细接口!$M$1139=0,"",[1]对账明细接口!$M$1139),"")</f>
        <v/>
      </c>
      <c r="N1139" s="111" t="n">
        <f aca="false">IF($C1139="",0,1)</f>
        <v>0</v>
      </c>
      <c r="O1139" s="111" t="n">
        <f aca="false">N(O1138)+$N1139</f>
        <v>110</v>
      </c>
      <c r="S1139" s="10" t="str">
        <f aca="false">IFERROR(IF([1]对账明细接口!$N1139=0,"",[1]对账明细接口!$N1139),"")</f>
        <v/>
      </c>
      <c r="T1139" s="112" t="str">
        <f aca="false">IFERROR(IF([1]对账明细接口!$O1139=0,"",[1]对账明细接口!$O1139),"")</f>
        <v/>
      </c>
      <c r="U1139" s="112" t="str">
        <f aca="false">IFERROR(IF([1]对账明细接口!$P1139=0,"",[1]对账明细接口!$P1139),"")</f>
        <v/>
      </c>
      <c r="V1139" s="112" t="str">
        <f aca="false">IFERROR(IF([1]对账明细接口!$Q1139=0,"",[1]对账明细接口!$Q1139),"")</f>
        <v/>
      </c>
      <c r="W1139" s="10" t="str">
        <f aca="false">IFERROR(IF([1]对账明细接口!$R1139=0,"",[1]对账明细接口!$R1139),"")</f>
        <v/>
      </c>
      <c r="X1139" s="10" t="str">
        <f aca="false">IFERROR(IF([1]对账明细接口!$S1139=0,"",[1]对账明细接口!$S1139),"")</f>
        <v/>
      </c>
      <c r="Y1139" s="10" t="str">
        <f aca="false">""</f>
        <v/>
      </c>
      <c r="Z1139" s="10" t="str">
        <f aca="false">""</f>
        <v/>
      </c>
      <c r="AA1139" s="10" t="str">
        <f aca="false">""</f>
        <v/>
      </c>
      <c r="AB1139" s="10" t="str">
        <f aca="false">""</f>
        <v/>
      </c>
    </row>
    <row r="1140" customFormat="false" ht="13.5" hidden="false" customHeight="false" outlineLevel="0" collapsed="false">
      <c r="A1140" s="109" t="n">
        <v>1140</v>
      </c>
      <c r="B1140" s="110" t="str">
        <f aca="false">IFERROR(IF([1]对账明细接口!$B$1140=0,"",[1]对账明细接口!$B$1140),"")</f>
        <v/>
      </c>
      <c r="C1140" s="59" t="str">
        <f aca="false">IFERROR(IF([1]对账明细接口!$C$1140=0,"",[1]对账明细接口!$C$1140),"")</f>
        <v/>
      </c>
      <c r="D1140" s="59" t="str">
        <f aca="false">IFERROR(IF([1]对账明细接口!$D$1140=0,"",[1]对账明细接口!$D$1140),"")</f>
        <v/>
      </c>
      <c r="E1140" s="59" t="str">
        <f aca="false">IFERROR(IF([1]对账明细接口!$E$1140=0,"",[1]对账明细接口!$E$1140),"")</f>
        <v/>
      </c>
      <c r="F1140" s="59" t="str">
        <f aca="false">IFERROR(IF([1]对账明细接口!$F$1140=0,"",[1]对账明细接口!$F$1140),"")</f>
        <v/>
      </c>
      <c r="G1140" s="59" t="str">
        <f aca="false">IFERROR(IF([1]对账明细接口!$G$1140=0,"",[1]对账明细接口!$G$1140),"")</f>
        <v/>
      </c>
      <c r="H1140" s="60" t="str">
        <f aca="false">IFERROR(IF([1]对账明细接口!$H$1140=0,"",[1]对账明细接口!$H$1140),"")</f>
        <v/>
      </c>
      <c r="I1140" s="59" t="str">
        <f aca="false">IFERROR(IF([1]对账明细接口!$I$1140=0,"",[1]对账明细接口!$I$1140),"")</f>
        <v/>
      </c>
      <c r="J1140" s="61" t="str">
        <f aca="false">IFERROR(IF([1]对账明细接口!$J$1140=0,"",[1]对账明细接口!$J$1140),"")</f>
        <v/>
      </c>
      <c r="K1140" s="61" t="str">
        <f aca="false">IFERROR(IF([1]对账明细接口!$K$1140=0,"",[1]对账明细接口!$K$1140),"")</f>
        <v/>
      </c>
      <c r="L1140" s="59" t="str">
        <f aca="false">IFERROR(IF([1]对账明细接口!$L$1140=0,"",[1]对账明细接口!$L$1140),"")</f>
        <v/>
      </c>
      <c r="M1140" s="59" t="str">
        <f aca="false">IFERROR(IF([1]对账明细接口!$M$1140=0,"",[1]对账明细接口!$M$1140),"")</f>
        <v/>
      </c>
      <c r="N1140" s="111" t="n">
        <f aca="false">IF($C1140="",0,1)</f>
        <v>0</v>
      </c>
      <c r="O1140" s="111" t="n">
        <f aca="false">N(O1139)+$N1140</f>
        <v>110</v>
      </c>
      <c r="S1140" s="10" t="str">
        <f aca="false">IFERROR(IF([1]对账明细接口!$N1140=0,"",[1]对账明细接口!$N1140),"")</f>
        <v/>
      </c>
      <c r="T1140" s="112" t="str">
        <f aca="false">IFERROR(IF([1]对账明细接口!$O1140=0,"",[1]对账明细接口!$O1140),"")</f>
        <v/>
      </c>
      <c r="U1140" s="112" t="str">
        <f aca="false">IFERROR(IF([1]对账明细接口!$P1140=0,"",[1]对账明细接口!$P1140),"")</f>
        <v/>
      </c>
      <c r="V1140" s="112" t="str">
        <f aca="false">IFERROR(IF([1]对账明细接口!$Q1140=0,"",[1]对账明细接口!$Q1140),"")</f>
        <v/>
      </c>
      <c r="W1140" s="10" t="str">
        <f aca="false">IFERROR(IF([1]对账明细接口!$R1140=0,"",[1]对账明细接口!$R1140),"")</f>
        <v/>
      </c>
      <c r="X1140" s="10" t="str">
        <f aca="false">IFERROR(IF([1]对账明细接口!$S1140=0,"",[1]对账明细接口!$S1140),"")</f>
        <v/>
      </c>
      <c r="Y1140" s="10" t="str">
        <f aca="false">""</f>
        <v/>
      </c>
      <c r="Z1140" s="10" t="str">
        <f aca="false">""</f>
        <v/>
      </c>
      <c r="AA1140" s="10" t="str">
        <f aca="false">""</f>
        <v/>
      </c>
      <c r="AB1140" s="10" t="str">
        <f aca="false">""</f>
        <v/>
      </c>
    </row>
    <row r="1141" customFormat="false" ht="13.5" hidden="false" customHeight="false" outlineLevel="0" collapsed="false">
      <c r="A1141" s="109" t="n">
        <v>1141</v>
      </c>
      <c r="B1141" s="110" t="str">
        <f aca="false">IFERROR(IF([1]对账明细接口!$B$1141=0,"",[1]对账明细接口!$B$1141),"")</f>
        <v/>
      </c>
      <c r="C1141" s="59" t="str">
        <f aca="false">IFERROR(IF([1]对账明细接口!$C$1141=0,"",[1]对账明细接口!$C$1141),"")</f>
        <v/>
      </c>
      <c r="D1141" s="59" t="str">
        <f aca="false">IFERROR(IF([1]对账明细接口!$D$1141=0,"",[1]对账明细接口!$D$1141),"")</f>
        <v/>
      </c>
      <c r="E1141" s="59" t="str">
        <f aca="false">IFERROR(IF([1]对账明细接口!$E$1141=0,"",[1]对账明细接口!$E$1141),"")</f>
        <v/>
      </c>
      <c r="F1141" s="59" t="str">
        <f aca="false">IFERROR(IF([1]对账明细接口!$F$1141=0,"",[1]对账明细接口!$F$1141),"")</f>
        <v/>
      </c>
      <c r="G1141" s="59" t="str">
        <f aca="false">IFERROR(IF([1]对账明细接口!$G$1141=0,"",[1]对账明细接口!$G$1141),"")</f>
        <v/>
      </c>
      <c r="H1141" s="60" t="str">
        <f aca="false">IFERROR(IF([1]对账明细接口!$H$1141=0,"",[1]对账明细接口!$H$1141),"")</f>
        <v/>
      </c>
      <c r="I1141" s="59" t="str">
        <f aca="false">IFERROR(IF([1]对账明细接口!$I$1141=0,"",[1]对账明细接口!$I$1141),"")</f>
        <v/>
      </c>
      <c r="J1141" s="61" t="str">
        <f aca="false">IFERROR(IF([1]对账明细接口!$J$1141=0,"",[1]对账明细接口!$J$1141),"")</f>
        <v/>
      </c>
      <c r="K1141" s="61" t="str">
        <f aca="false">IFERROR(IF([1]对账明细接口!$K$1141=0,"",[1]对账明细接口!$K$1141),"")</f>
        <v/>
      </c>
      <c r="L1141" s="59" t="str">
        <f aca="false">IFERROR(IF([1]对账明细接口!$L$1141=0,"",[1]对账明细接口!$L$1141),"")</f>
        <v/>
      </c>
      <c r="M1141" s="59" t="str">
        <f aca="false">IFERROR(IF([1]对账明细接口!$M$1141=0,"",[1]对账明细接口!$M$1141),"")</f>
        <v/>
      </c>
      <c r="N1141" s="111" t="n">
        <f aca="false">IF($C1141="",0,1)</f>
        <v>0</v>
      </c>
      <c r="O1141" s="111" t="n">
        <f aca="false">N(O1140)+$N1141</f>
        <v>110</v>
      </c>
      <c r="S1141" s="10" t="str">
        <f aca="false">IFERROR(IF([1]对账明细接口!$N1141=0,"",[1]对账明细接口!$N1141),"")</f>
        <v/>
      </c>
      <c r="T1141" s="112" t="str">
        <f aca="false">IFERROR(IF([1]对账明细接口!$O1141=0,"",[1]对账明细接口!$O1141),"")</f>
        <v/>
      </c>
      <c r="U1141" s="112" t="str">
        <f aca="false">IFERROR(IF([1]对账明细接口!$P1141=0,"",[1]对账明细接口!$P1141),"")</f>
        <v/>
      </c>
      <c r="V1141" s="112" t="str">
        <f aca="false">IFERROR(IF([1]对账明细接口!$Q1141=0,"",[1]对账明细接口!$Q1141),"")</f>
        <v/>
      </c>
      <c r="W1141" s="10" t="str">
        <f aca="false">IFERROR(IF([1]对账明细接口!$R1141=0,"",[1]对账明细接口!$R1141),"")</f>
        <v/>
      </c>
      <c r="X1141" s="10" t="str">
        <f aca="false">IFERROR(IF([1]对账明细接口!$S1141=0,"",[1]对账明细接口!$S1141),"")</f>
        <v/>
      </c>
      <c r="Y1141" s="10" t="str">
        <f aca="false">""</f>
        <v/>
      </c>
      <c r="Z1141" s="10" t="str">
        <f aca="false">""</f>
        <v/>
      </c>
      <c r="AA1141" s="10" t="str">
        <f aca="false">""</f>
        <v/>
      </c>
      <c r="AB1141" s="10" t="str">
        <f aca="false">""</f>
        <v/>
      </c>
    </row>
    <row r="1142" customFormat="false" ht="13.5" hidden="false" customHeight="false" outlineLevel="0" collapsed="false">
      <c r="A1142" s="109" t="n">
        <v>1142</v>
      </c>
      <c r="B1142" s="110" t="str">
        <f aca="false">IFERROR(IF([1]对账明细接口!$B$1142=0,"",[1]对账明细接口!$B$1142),"")</f>
        <v/>
      </c>
      <c r="C1142" s="59" t="str">
        <f aca="false">IFERROR(IF([1]对账明细接口!$C$1142=0,"",[1]对账明细接口!$C$1142),"")</f>
        <v/>
      </c>
      <c r="D1142" s="59" t="str">
        <f aca="false">IFERROR(IF([1]对账明细接口!$D$1142=0,"",[1]对账明细接口!$D$1142),"")</f>
        <v/>
      </c>
      <c r="E1142" s="59" t="str">
        <f aca="false">IFERROR(IF([1]对账明细接口!$E$1142=0,"",[1]对账明细接口!$E$1142),"")</f>
        <v/>
      </c>
      <c r="F1142" s="59" t="str">
        <f aca="false">IFERROR(IF([1]对账明细接口!$F$1142=0,"",[1]对账明细接口!$F$1142),"")</f>
        <v/>
      </c>
      <c r="G1142" s="59" t="str">
        <f aca="false">IFERROR(IF([1]对账明细接口!$G$1142=0,"",[1]对账明细接口!$G$1142),"")</f>
        <v/>
      </c>
      <c r="H1142" s="60" t="str">
        <f aca="false">IFERROR(IF([1]对账明细接口!$H$1142=0,"",[1]对账明细接口!$H$1142),"")</f>
        <v/>
      </c>
      <c r="I1142" s="59" t="str">
        <f aca="false">IFERROR(IF([1]对账明细接口!$I$1142=0,"",[1]对账明细接口!$I$1142),"")</f>
        <v/>
      </c>
      <c r="J1142" s="61" t="str">
        <f aca="false">IFERROR(IF([1]对账明细接口!$J$1142=0,"",[1]对账明细接口!$J$1142),"")</f>
        <v/>
      </c>
      <c r="K1142" s="61" t="str">
        <f aca="false">IFERROR(IF([1]对账明细接口!$K$1142=0,"",[1]对账明细接口!$K$1142),"")</f>
        <v/>
      </c>
      <c r="L1142" s="59" t="str">
        <f aca="false">IFERROR(IF([1]对账明细接口!$L$1142=0,"",[1]对账明细接口!$L$1142),"")</f>
        <v/>
      </c>
      <c r="M1142" s="59" t="str">
        <f aca="false">IFERROR(IF([1]对账明细接口!$M$1142=0,"",[1]对账明细接口!$M$1142),"")</f>
        <v/>
      </c>
      <c r="N1142" s="111" t="n">
        <f aca="false">IF($C1142="",0,1)</f>
        <v>0</v>
      </c>
      <c r="O1142" s="111" t="n">
        <f aca="false">N(O1141)+$N1142</f>
        <v>110</v>
      </c>
      <c r="S1142" s="10" t="str">
        <f aca="false">IFERROR(IF([1]对账明细接口!$N1142=0,"",[1]对账明细接口!$N1142),"")</f>
        <v/>
      </c>
      <c r="T1142" s="112" t="str">
        <f aca="false">IFERROR(IF([1]对账明细接口!$O1142=0,"",[1]对账明细接口!$O1142),"")</f>
        <v/>
      </c>
      <c r="U1142" s="112" t="str">
        <f aca="false">IFERROR(IF([1]对账明细接口!$P1142=0,"",[1]对账明细接口!$P1142),"")</f>
        <v/>
      </c>
      <c r="V1142" s="112" t="str">
        <f aca="false">IFERROR(IF([1]对账明细接口!$Q1142=0,"",[1]对账明细接口!$Q1142),"")</f>
        <v/>
      </c>
      <c r="W1142" s="10" t="str">
        <f aca="false">IFERROR(IF([1]对账明细接口!$R1142=0,"",[1]对账明细接口!$R1142),"")</f>
        <v/>
      </c>
      <c r="X1142" s="10" t="str">
        <f aca="false">IFERROR(IF([1]对账明细接口!$S1142=0,"",[1]对账明细接口!$S1142),"")</f>
        <v/>
      </c>
      <c r="Y1142" s="10" t="str">
        <f aca="false">""</f>
        <v/>
      </c>
      <c r="Z1142" s="10" t="str">
        <f aca="false">""</f>
        <v/>
      </c>
      <c r="AA1142" s="10" t="str">
        <f aca="false">""</f>
        <v/>
      </c>
      <c r="AB1142" s="10" t="str">
        <f aca="false">""</f>
        <v/>
      </c>
    </row>
    <row r="1143" customFormat="false" ht="13.5" hidden="false" customHeight="false" outlineLevel="0" collapsed="false">
      <c r="A1143" s="109" t="n">
        <v>1143</v>
      </c>
      <c r="B1143" s="110" t="str">
        <f aca="false">IFERROR(IF([1]对账明细接口!$B$1143=0,"",[1]对账明细接口!$B$1143),"")</f>
        <v/>
      </c>
      <c r="C1143" s="59" t="str">
        <f aca="false">IFERROR(IF([1]对账明细接口!$C$1143=0,"",[1]对账明细接口!$C$1143),"")</f>
        <v/>
      </c>
      <c r="D1143" s="59" t="str">
        <f aca="false">IFERROR(IF([1]对账明细接口!$D$1143=0,"",[1]对账明细接口!$D$1143),"")</f>
        <v/>
      </c>
      <c r="E1143" s="59" t="str">
        <f aca="false">IFERROR(IF([1]对账明细接口!$E$1143=0,"",[1]对账明细接口!$E$1143),"")</f>
        <v/>
      </c>
      <c r="F1143" s="59" t="str">
        <f aca="false">IFERROR(IF([1]对账明细接口!$F$1143=0,"",[1]对账明细接口!$F$1143),"")</f>
        <v/>
      </c>
      <c r="G1143" s="59" t="str">
        <f aca="false">IFERROR(IF([1]对账明细接口!$G$1143=0,"",[1]对账明细接口!$G$1143),"")</f>
        <v/>
      </c>
      <c r="H1143" s="60" t="str">
        <f aca="false">IFERROR(IF([1]对账明细接口!$H$1143=0,"",[1]对账明细接口!$H$1143),"")</f>
        <v/>
      </c>
      <c r="I1143" s="59" t="str">
        <f aca="false">IFERROR(IF([1]对账明细接口!$I$1143=0,"",[1]对账明细接口!$I$1143),"")</f>
        <v/>
      </c>
      <c r="J1143" s="61" t="str">
        <f aca="false">IFERROR(IF([1]对账明细接口!$J$1143=0,"",[1]对账明细接口!$J$1143),"")</f>
        <v/>
      </c>
      <c r="K1143" s="61" t="str">
        <f aca="false">IFERROR(IF([1]对账明细接口!$K$1143=0,"",[1]对账明细接口!$K$1143),"")</f>
        <v/>
      </c>
      <c r="L1143" s="59" t="str">
        <f aca="false">IFERROR(IF([1]对账明细接口!$L$1143=0,"",[1]对账明细接口!$L$1143),"")</f>
        <v/>
      </c>
      <c r="M1143" s="59" t="str">
        <f aca="false">IFERROR(IF([1]对账明细接口!$M$1143=0,"",[1]对账明细接口!$M$1143),"")</f>
        <v/>
      </c>
      <c r="N1143" s="111" t="n">
        <f aca="false">IF($C1143="",0,1)</f>
        <v>0</v>
      </c>
      <c r="O1143" s="111" t="n">
        <f aca="false">N(O1142)+$N1143</f>
        <v>110</v>
      </c>
      <c r="S1143" s="10" t="str">
        <f aca="false">IFERROR(IF([1]对账明细接口!$N1143=0,"",[1]对账明细接口!$N1143),"")</f>
        <v/>
      </c>
      <c r="T1143" s="112" t="str">
        <f aca="false">IFERROR(IF([1]对账明细接口!$O1143=0,"",[1]对账明细接口!$O1143),"")</f>
        <v/>
      </c>
      <c r="U1143" s="112" t="str">
        <f aca="false">IFERROR(IF([1]对账明细接口!$P1143=0,"",[1]对账明细接口!$P1143),"")</f>
        <v/>
      </c>
      <c r="V1143" s="112" t="str">
        <f aca="false">IFERROR(IF([1]对账明细接口!$Q1143=0,"",[1]对账明细接口!$Q1143),"")</f>
        <v/>
      </c>
      <c r="W1143" s="10" t="str">
        <f aca="false">IFERROR(IF([1]对账明细接口!$R1143=0,"",[1]对账明细接口!$R1143),"")</f>
        <v/>
      </c>
      <c r="X1143" s="10" t="str">
        <f aca="false">IFERROR(IF([1]对账明细接口!$S1143=0,"",[1]对账明细接口!$S1143),"")</f>
        <v/>
      </c>
      <c r="Y1143" s="10" t="str">
        <f aca="false">""</f>
        <v/>
      </c>
      <c r="Z1143" s="10" t="str">
        <f aca="false">""</f>
        <v/>
      </c>
      <c r="AA1143" s="10" t="str">
        <f aca="false">""</f>
        <v/>
      </c>
      <c r="AB1143" s="10" t="str">
        <f aca="false">""</f>
        <v/>
      </c>
    </row>
    <row r="1144" customFormat="false" ht="13.5" hidden="false" customHeight="false" outlineLevel="0" collapsed="false">
      <c r="A1144" s="109" t="n">
        <v>1144</v>
      </c>
      <c r="B1144" s="110" t="str">
        <f aca="false">IFERROR(IF([1]对账明细接口!$B$1144=0,"",[1]对账明细接口!$B$1144),"")</f>
        <v/>
      </c>
      <c r="C1144" s="59" t="str">
        <f aca="false">IFERROR(IF([1]对账明细接口!$C$1144=0,"",[1]对账明细接口!$C$1144),"")</f>
        <v/>
      </c>
      <c r="D1144" s="59" t="str">
        <f aca="false">IFERROR(IF([1]对账明细接口!$D$1144=0,"",[1]对账明细接口!$D$1144),"")</f>
        <v/>
      </c>
      <c r="E1144" s="59" t="str">
        <f aca="false">IFERROR(IF([1]对账明细接口!$E$1144=0,"",[1]对账明细接口!$E$1144),"")</f>
        <v/>
      </c>
      <c r="F1144" s="59" t="str">
        <f aca="false">IFERROR(IF([1]对账明细接口!$F$1144=0,"",[1]对账明细接口!$F$1144),"")</f>
        <v/>
      </c>
      <c r="G1144" s="59" t="str">
        <f aca="false">IFERROR(IF([1]对账明细接口!$G$1144=0,"",[1]对账明细接口!$G$1144),"")</f>
        <v/>
      </c>
      <c r="H1144" s="60" t="str">
        <f aca="false">IFERROR(IF([1]对账明细接口!$H$1144=0,"",[1]对账明细接口!$H$1144),"")</f>
        <v/>
      </c>
      <c r="I1144" s="59" t="str">
        <f aca="false">IFERROR(IF([1]对账明细接口!$I$1144=0,"",[1]对账明细接口!$I$1144),"")</f>
        <v/>
      </c>
      <c r="J1144" s="61" t="str">
        <f aca="false">IFERROR(IF([1]对账明细接口!$J$1144=0,"",[1]对账明细接口!$J$1144),"")</f>
        <v/>
      </c>
      <c r="K1144" s="61" t="str">
        <f aca="false">IFERROR(IF([1]对账明细接口!$K$1144=0,"",[1]对账明细接口!$K$1144),"")</f>
        <v/>
      </c>
      <c r="L1144" s="59" t="str">
        <f aca="false">IFERROR(IF([1]对账明细接口!$L$1144=0,"",[1]对账明细接口!$L$1144),"")</f>
        <v/>
      </c>
      <c r="M1144" s="59" t="str">
        <f aca="false">IFERROR(IF([1]对账明细接口!$M$1144=0,"",[1]对账明细接口!$M$1144),"")</f>
        <v/>
      </c>
      <c r="N1144" s="111" t="n">
        <f aca="false">IF($C1144="",0,1)</f>
        <v>0</v>
      </c>
      <c r="O1144" s="111" t="n">
        <f aca="false">N(O1143)+$N1144</f>
        <v>110</v>
      </c>
      <c r="S1144" s="10" t="str">
        <f aca="false">IFERROR(IF([1]对账明细接口!$N1144=0,"",[1]对账明细接口!$N1144),"")</f>
        <v/>
      </c>
      <c r="T1144" s="112" t="str">
        <f aca="false">IFERROR(IF([1]对账明细接口!$O1144=0,"",[1]对账明细接口!$O1144),"")</f>
        <v/>
      </c>
      <c r="U1144" s="112" t="str">
        <f aca="false">IFERROR(IF([1]对账明细接口!$P1144=0,"",[1]对账明细接口!$P1144),"")</f>
        <v/>
      </c>
      <c r="V1144" s="112" t="str">
        <f aca="false">IFERROR(IF([1]对账明细接口!$Q1144=0,"",[1]对账明细接口!$Q1144),"")</f>
        <v/>
      </c>
      <c r="W1144" s="10" t="str">
        <f aca="false">IFERROR(IF([1]对账明细接口!$R1144=0,"",[1]对账明细接口!$R1144),"")</f>
        <v/>
      </c>
      <c r="X1144" s="10" t="str">
        <f aca="false">IFERROR(IF([1]对账明细接口!$S1144=0,"",[1]对账明细接口!$S1144),"")</f>
        <v/>
      </c>
      <c r="Y1144" s="10" t="str">
        <f aca="false">""</f>
        <v/>
      </c>
      <c r="Z1144" s="10" t="str">
        <f aca="false">""</f>
        <v/>
      </c>
      <c r="AA1144" s="10" t="str">
        <f aca="false">""</f>
        <v/>
      </c>
      <c r="AB1144" s="10" t="str">
        <f aca="false">""</f>
        <v/>
      </c>
    </row>
    <row r="1145" customFormat="false" ht="13.5" hidden="false" customHeight="false" outlineLevel="0" collapsed="false">
      <c r="A1145" s="109" t="n">
        <v>1145</v>
      </c>
      <c r="B1145" s="110" t="str">
        <f aca="false">IFERROR(IF([1]对账明细接口!$B$1145=0,"",[1]对账明细接口!$B$1145),"")</f>
        <v/>
      </c>
      <c r="C1145" s="59" t="str">
        <f aca="false">IFERROR(IF([1]对账明细接口!$C$1145=0,"",[1]对账明细接口!$C$1145),"")</f>
        <v/>
      </c>
      <c r="D1145" s="59" t="str">
        <f aca="false">IFERROR(IF([1]对账明细接口!$D$1145=0,"",[1]对账明细接口!$D$1145),"")</f>
        <v/>
      </c>
      <c r="E1145" s="59" t="str">
        <f aca="false">IFERROR(IF([1]对账明细接口!$E$1145=0,"",[1]对账明细接口!$E$1145),"")</f>
        <v/>
      </c>
      <c r="F1145" s="59" t="str">
        <f aca="false">IFERROR(IF([1]对账明细接口!$F$1145=0,"",[1]对账明细接口!$F$1145),"")</f>
        <v/>
      </c>
      <c r="G1145" s="59" t="str">
        <f aca="false">IFERROR(IF([1]对账明细接口!$G$1145=0,"",[1]对账明细接口!$G$1145),"")</f>
        <v/>
      </c>
      <c r="H1145" s="60" t="str">
        <f aca="false">IFERROR(IF([1]对账明细接口!$H$1145=0,"",[1]对账明细接口!$H$1145),"")</f>
        <v/>
      </c>
      <c r="I1145" s="59" t="str">
        <f aca="false">IFERROR(IF([1]对账明细接口!$I$1145=0,"",[1]对账明细接口!$I$1145),"")</f>
        <v/>
      </c>
      <c r="J1145" s="61" t="str">
        <f aca="false">IFERROR(IF([1]对账明细接口!$J$1145=0,"",[1]对账明细接口!$J$1145),"")</f>
        <v/>
      </c>
      <c r="K1145" s="61" t="str">
        <f aca="false">IFERROR(IF([1]对账明细接口!$K$1145=0,"",[1]对账明细接口!$K$1145),"")</f>
        <v/>
      </c>
      <c r="L1145" s="59" t="str">
        <f aca="false">IFERROR(IF([1]对账明细接口!$L$1145=0,"",[1]对账明细接口!$L$1145),"")</f>
        <v/>
      </c>
      <c r="M1145" s="59" t="str">
        <f aca="false">IFERROR(IF([1]对账明细接口!$M$1145=0,"",[1]对账明细接口!$M$1145),"")</f>
        <v/>
      </c>
      <c r="N1145" s="111" t="n">
        <f aca="false">IF($C1145="",0,1)</f>
        <v>0</v>
      </c>
      <c r="O1145" s="111" t="n">
        <f aca="false">N(O1144)+$N1145</f>
        <v>110</v>
      </c>
      <c r="S1145" s="10" t="str">
        <f aca="false">IFERROR(IF([1]对账明细接口!$N1145=0,"",[1]对账明细接口!$N1145),"")</f>
        <v/>
      </c>
      <c r="T1145" s="112" t="str">
        <f aca="false">IFERROR(IF([1]对账明细接口!$O1145=0,"",[1]对账明细接口!$O1145),"")</f>
        <v/>
      </c>
      <c r="U1145" s="112" t="str">
        <f aca="false">IFERROR(IF([1]对账明细接口!$P1145=0,"",[1]对账明细接口!$P1145),"")</f>
        <v/>
      </c>
      <c r="V1145" s="112" t="str">
        <f aca="false">IFERROR(IF([1]对账明细接口!$Q1145=0,"",[1]对账明细接口!$Q1145),"")</f>
        <v/>
      </c>
      <c r="W1145" s="10" t="str">
        <f aca="false">IFERROR(IF([1]对账明细接口!$R1145=0,"",[1]对账明细接口!$R1145),"")</f>
        <v/>
      </c>
      <c r="X1145" s="10" t="str">
        <f aca="false">IFERROR(IF([1]对账明细接口!$S1145=0,"",[1]对账明细接口!$S1145),"")</f>
        <v/>
      </c>
      <c r="Y1145" s="10" t="str">
        <f aca="false">""</f>
        <v/>
      </c>
      <c r="Z1145" s="10" t="str">
        <f aca="false">""</f>
        <v/>
      </c>
      <c r="AA1145" s="10" t="str">
        <f aca="false">""</f>
        <v/>
      </c>
      <c r="AB1145" s="10" t="str">
        <f aca="false">""</f>
        <v/>
      </c>
    </row>
    <row r="1146" customFormat="false" ht="13.5" hidden="false" customHeight="false" outlineLevel="0" collapsed="false">
      <c r="A1146" s="109" t="n">
        <v>1146</v>
      </c>
      <c r="B1146" s="110" t="str">
        <f aca="false">IFERROR(IF([1]对账明细接口!$B$1146=0,"",[1]对账明细接口!$B$1146),"")</f>
        <v/>
      </c>
      <c r="C1146" s="59" t="str">
        <f aca="false">IFERROR(IF([1]对账明细接口!$C$1146=0,"",[1]对账明细接口!$C$1146),"")</f>
        <v/>
      </c>
      <c r="D1146" s="59" t="str">
        <f aca="false">IFERROR(IF([1]对账明细接口!$D$1146=0,"",[1]对账明细接口!$D$1146),"")</f>
        <v/>
      </c>
      <c r="E1146" s="59" t="str">
        <f aca="false">IFERROR(IF([1]对账明细接口!$E$1146=0,"",[1]对账明细接口!$E$1146),"")</f>
        <v/>
      </c>
      <c r="F1146" s="59" t="str">
        <f aca="false">IFERROR(IF([1]对账明细接口!$F$1146=0,"",[1]对账明细接口!$F$1146),"")</f>
        <v/>
      </c>
      <c r="G1146" s="59" t="str">
        <f aca="false">IFERROR(IF([1]对账明细接口!$G$1146=0,"",[1]对账明细接口!$G$1146),"")</f>
        <v/>
      </c>
      <c r="H1146" s="60" t="str">
        <f aca="false">IFERROR(IF([1]对账明细接口!$H$1146=0,"",[1]对账明细接口!$H$1146),"")</f>
        <v/>
      </c>
      <c r="I1146" s="59" t="str">
        <f aca="false">IFERROR(IF([1]对账明细接口!$I$1146=0,"",[1]对账明细接口!$I$1146),"")</f>
        <v/>
      </c>
      <c r="J1146" s="61" t="str">
        <f aca="false">IFERROR(IF([1]对账明细接口!$J$1146=0,"",[1]对账明细接口!$J$1146),"")</f>
        <v/>
      </c>
      <c r="K1146" s="61" t="str">
        <f aca="false">IFERROR(IF([1]对账明细接口!$K$1146=0,"",[1]对账明细接口!$K$1146),"")</f>
        <v/>
      </c>
      <c r="L1146" s="59" t="str">
        <f aca="false">IFERROR(IF([1]对账明细接口!$L$1146=0,"",[1]对账明细接口!$L$1146),"")</f>
        <v/>
      </c>
      <c r="M1146" s="59" t="str">
        <f aca="false">IFERROR(IF([1]对账明细接口!$M$1146=0,"",[1]对账明细接口!$M$1146),"")</f>
        <v/>
      </c>
      <c r="N1146" s="111" t="n">
        <f aca="false">IF($C1146="",0,1)</f>
        <v>0</v>
      </c>
      <c r="O1146" s="111" t="n">
        <f aca="false">N(O1145)+$N1146</f>
        <v>110</v>
      </c>
      <c r="S1146" s="10" t="str">
        <f aca="false">IFERROR(IF([1]对账明细接口!$N1146=0,"",[1]对账明细接口!$N1146),"")</f>
        <v/>
      </c>
      <c r="T1146" s="112" t="str">
        <f aca="false">IFERROR(IF([1]对账明细接口!$O1146=0,"",[1]对账明细接口!$O1146),"")</f>
        <v/>
      </c>
      <c r="U1146" s="112" t="str">
        <f aca="false">IFERROR(IF([1]对账明细接口!$P1146=0,"",[1]对账明细接口!$P1146),"")</f>
        <v/>
      </c>
      <c r="V1146" s="112" t="str">
        <f aca="false">IFERROR(IF([1]对账明细接口!$Q1146=0,"",[1]对账明细接口!$Q1146),"")</f>
        <v/>
      </c>
      <c r="W1146" s="10" t="str">
        <f aca="false">IFERROR(IF([1]对账明细接口!$R1146=0,"",[1]对账明细接口!$R1146),"")</f>
        <v/>
      </c>
      <c r="X1146" s="10" t="str">
        <f aca="false">IFERROR(IF([1]对账明细接口!$S1146=0,"",[1]对账明细接口!$S1146),"")</f>
        <v/>
      </c>
      <c r="Y1146" s="10" t="str">
        <f aca="false">""</f>
        <v/>
      </c>
      <c r="Z1146" s="10" t="str">
        <f aca="false">""</f>
        <v/>
      </c>
      <c r="AA1146" s="10" t="str">
        <f aca="false">""</f>
        <v/>
      </c>
      <c r="AB1146" s="10" t="str">
        <f aca="false">""</f>
        <v/>
      </c>
    </row>
    <row r="1147" customFormat="false" ht="13.5" hidden="false" customHeight="false" outlineLevel="0" collapsed="false">
      <c r="A1147" s="109" t="n">
        <v>1147</v>
      </c>
      <c r="B1147" s="110" t="str">
        <f aca="false">IFERROR(IF([1]对账明细接口!$B$1147=0,"",[1]对账明细接口!$B$1147),"")</f>
        <v/>
      </c>
      <c r="C1147" s="59" t="str">
        <f aca="false">IFERROR(IF([1]对账明细接口!$C$1147=0,"",[1]对账明细接口!$C$1147),"")</f>
        <v/>
      </c>
      <c r="D1147" s="59" t="str">
        <f aca="false">IFERROR(IF([1]对账明细接口!$D$1147=0,"",[1]对账明细接口!$D$1147),"")</f>
        <v/>
      </c>
      <c r="E1147" s="59" t="str">
        <f aca="false">IFERROR(IF([1]对账明细接口!$E$1147=0,"",[1]对账明细接口!$E$1147),"")</f>
        <v/>
      </c>
      <c r="F1147" s="59" t="str">
        <f aca="false">IFERROR(IF([1]对账明细接口!$F$1147=0,"",[1]对账明细接口!$F$1147),"")</f>
        <v/>
      </c>
      <c r="G1147" s="59" t="str">
        <f aca="false">IFERROR(IF([1]对账明细接口!$G$1147=0,"",[1]对账明细接口!$G$1147),"")</f>
        <v/>
      </c>
      <c r="H1147" s="60" t="str">
        <f aca="false">IFERROR(IF([1]对账明细接口!$H$1147=0,"",[1]对账明细接口!$H$1147),"")</f>
        <v/>
      </c>
      <c r="I1147" s="59" t="str">
        <f aca="false">IFERROR(IF([1]对账明细接口!$I$1147=0,"",[1]对账明细接口!$I$1147),"")</f>
        <v/>
      </c>
      <c r="J1147" s="61" t="str">
        <f aca="false">IFERROR(IF([1]对账明细接口!$J$1147=0,"",[1]对账明细接口!$J$1147),"")</f>
        <v/>
      </c>
      <c r="K1147" s="61" t="str">
        <f aca="false">IFERROR(IF([1]对账明细接口!$K$1147=0,"",[1]对账明细接口!$K$1147),"")</f>
        <v/>
      </c>
      <c r="L1147" s="59" t="str">
        <f aca="false">IFERROR(IF([1]对账明细接口!$L$1147=0,"",[1]对账明细接口!$L$1147),"")</f>
        <v/>
      </c>
      <c r="M1147" s="59" t="str">
        <f aca="false">IFERROR(IF([1]对账明细接口!$M$1147=0,"",[1]对账明细接口!$M$1147),"")</f>
        <v/>
      </c>
      <c r="N1147" s="111" t="n">
        <f aca="false">IF($C1147="",0,1)</f>
        <v>0</v>
      </c>
      <c r="O1147" s="111" t="n">
        <f aca="false">N(O1146)+$N1147</f>
        <v>110</v>
      </c>
      <c r="S1147" s="10" t="str">
        <f aca="false">IFERROR(IF([1]对账明细接口!$N1147=0,"",[1]对账明细接口!$N1147),"")</f>
        <v/>
      </c>
      <c r="T1147" s="112" t="str">
        <f aca="false">IFERROR(IF([1]对账明细接口!$O1147=0,"",[1]对账明细接口!$O1147),"")</f>
        <v/>
      </c>
      <c r="U1147" s="112" t="str">
        <f aca="false">IFERROR(IF([1]对账明细接口!$P1147=0,"",[1]对账明细接口!$P1147),"")</f>
        <v/>
      </c>
      <c r="V1147" s="112" t="str">
        <f aca="false">IFERROR(IF([1]对账明细接口!$Q1147=0,"",[1]对账明细接口!$Q1147),"")</f>
        <v/>
      </c>
      <c r="W1147" s="10" t="str">
        <f aca="false">IFERROR(IF([1]对账明细接口!$R1147=0,"",[1]对账明细接口!$R1147),"")</f>
        <v/>
      </c>
      <c r="X1147" s="10" t="str">
        <f aca="false">IFERROR(IF([1]对账明细接口!$S1147=0,"",[1]对账明细接口!$S1147),"")</f>
        <v/>
      </c>
      <c r="Y1147" s="10" t="str">
        <f aca="false">""</f>
        <v/>
      </c>
      <c r="Z1147" s="10" t="str">
        <f aca="false">""</f>
        <v/>
      </c>
      <c r="AA1147" s="10" t="str">
        <f aca="false">""</f>
        <v/>
      </c>
      <c r="AB1147" s="10" t="str">
        <f aca="false">""</f>
        <v/>
      </c>
    </row>
    <row r="1148" customFormat="false" ht="13.5" hidden="false" customHeight="false" outlineLevel="0" collapsed="false">
      <c r="A1148" s="109" t="n">
        <v>1148</v>
      </c>
      <c r="B1148" s="110" t="str">
        <f aca="false">IFERROR(IF([1]对账明细接口!$B$1148=0,"",[1]对账明细接口!$B$1148),"")</f>
        <v/>
      </c>
      <c r="C1148" s="59" t="str">
        <f aca="false">IFERROR(IF([1]对账明细接口!$C$1148=0,"",[1]对账明细接口!$C$1148),"")</f>
        <v/>
      </c>
      <c r="D1148" s="59" t="str">
        <f aca="false">IFERROR(IF([1]对账明细接口!$D$1148=0,"",[1]对账明细接口!$D$1148),"")</f>
        <v/>
      </c>
      <c r="E1148" s="59" t="str">
        <f aca="false">IFERROR(IF([1]对账明细接口!$E$1148=0,"",[1]对账明细接口!$E$1148),"")</f>
        <v/>
      </c>
      <c r="F1148" s="59" t="str">
        <f aca="false">IFERROR(IF([1]对账明细接口!$F$1148=0,"",[1]对账明细接口!$F$1148),"")</f>
        <v/>
      </c>
      <c r="G1148" s="59" t="str">
        <f aca="false">IFERROR(IF([1]对账明细接口!$G$1148=0,"",[1]对账明细接口!$G$1148),"")</f>
        <v/>
      </c>
      <c r="H1148" s="60" t="str">
        <f aca="false">IFERROR(IF([1]对账明细接口!$H$1148=0,"",[1]对账明细接口!$H$1148),"")</f>
        <v/>
      </c>
      <c r="I1148" s="59" t="str">
        <f aca="false">IFERROR(IF([1]对账明细接口!$I$1148=0,"",[1]对账明细接口!$I$1148),"")</f>
        <v/>
      </c>
      <c r="J1148" s="61" t="str">
        <f aca="false">IFERROR(IF([1]对账明细接口!$J$1148=0,"",[1]对账明细接口!$J$1148),"")</f>
        <v/>
      </c>
      <c r="K1148" s="61" t="str">
        <f aca="false">IFERROR(IF([1]对账明细接口!$K$1148=0,"",[1]对账明细接口!$K$1148),"")</f>
        <v/>
      </c>
      <c r="L1148" s="59" t="str">
        <f aca="false">IFERROR(IF([1]对账明细接口!$L$1148=0,"",[1]对账明细接口!$L$1148),"")</f>
        <v/>
      </c>
      <c r="M1148" s="59" t="str">
        <f aca="false">IFERROR(IF([1]对账明细接口!$M$1148=0,"",[1]对账明细接口!$M$1148),"")</f>
        <v/>
      </c>
      <c r="N1148" s="111" t="n">
        <f aca="false">IF($C1148="",0,1)</f>
        <v>0</v>
      </c>
      <c r="O1148" s="111" t="n">
        <f aca="false">N(O1147)+$N1148</f>
        <v>110</v>
      </c>
      <c r="S1148" s="10" t="str">
        <f aca="false">IFERROR(IF([1]对账明细接口!$N1148=0,"",[1]对账明细接口!$N1148),"")</f>
        <v/>
      </c>
      <c r="T1148" s="112" t="str">
        <f aca="false">IFERROR(IF([1]对账明细接口!$O1148=0,"",[1]对账明细接口!$O1148),"")</f>
        <v/>
      </c>
      <c r="U1148" s="112" t="str">
        <f aca="false">IFERROR(IF([1]对账明细接口!$P1148=0,"",[1]对账明细接口!$P1148),"")</f>
        <v/>
      </c>
      <c r="V1148" s="112" t="str">
        <f aca="false">IFERROR(IF([1]对账明细接口!$Q1148=0,"",[1]对账明细接口!$Q1148),"")</f>
        <v/>
      </c>
      <c r="W1148" s="10" t="str">
        <f aca="false">IFERROR(IF([1]对账明细接口!$R1148=0,"",[1]对账明细接口!$R1148),"")</f>
        <v/>
      </c>
      <c r="X1148" s="10" t="str">
        <f aca="false">IFERROR(IF([1]对账明细接口!$S1148=0,"",[1]对账明细接口!$S1148),"")</f>
        <v/>
      </c>
      <c r="Y1148" s="10" t="str">
        <f aca="false">""</f>
        <v/>
      </c>
      <c r="Z1148" s="10" t="str">
        <f aca="false">""</f>
        <v/>
      </c>
      <c r="AA1148" s="10" t="str">
        <f aca="false">""</f>
        <v/>
      </c>
      <c r="AB1148" s="10" t="str">
        <f aca="false">""</f>
        <v/>
      </c>
    </row>
    <row r="1149" customFormat="false" ht="13.5" hidden="false" customHeight="false" outlineLevel="0" collapsed="false">
      <c r="A1149" s="109" t="n">
        <v>1149</v>
      </c>
      <c r="B1149" s="110" t="str">
        <f aca="false">IFERROR(IF([1]对账明细接口!$B$1149=0,"",[1]对账明细接口!$B$1149),"")</f>
        <v/>
      </c>
      <c r="C1149" s="59" t="str">
        <f aca="false">IFERROR(IF([1]对账明细接口!$C$1149=0,"",[1]对账明细接口!$C$1149),"")</f>
        <v/>
      </c>
      <c r="D1149" s="59" t="str">
        <f aca="false">IFERROR(IF([1]对账明细接口!$D$1149=0,"",[1]对账明细接口!$D$1149),"")</f>
        <v/>
      </c>
      <c r="E1149" s="59" t="str">
        <f aca="false">IFERROR(IF([1]对账明细接口!$E$1149=0,"",[1]对账明细接口!$E$1149),"")</f>
        <v/>
      </c>
      <c r="F1149" s="59" t="str">
        <f aca="false">IFERROR(IF([1]对账明细接口!$F$1149=0,"",[1]对账明细接口!$F$1149),"")</f>
        <v/>
      </c>
      <c r="G1149" s="59" t="str">
        <f aca="false">IFERROR(IF([1]对账明细接口!$G$1149=0,"",[1]对账明细接口!$G$1149),"")</f>
        <v/>
      </c>
      <c r="H1149" s="60" t="str">
        <f aca="false">IFERROR(IF([1]对账明细接口!$H$1149=0,"",[1]对账明细接口!$H$1149),"")</f>
        <v/>
      </c>
      <c r="I1149" s="59" t="str">
        <f aca="false">IFERROR(IF([1]对账明细接口!$I$1149=0,"",[1]对账明细接口!$I$1149),"")</f>
        <v/>
      </c>
      <c r="J1149" s="61" t="str">
        <f aca="false">IFERROR(IF([1]对账明细接口!$J$1149=0,"",[1]对账明细接口!$J$1149),"")</f>
        <v/>
      </c>
      <c r="K1149" s="61" t="str">
        <f aca="false">IFERROR(IF([1]对账明细接口!$K$1149=0,"",[1]对账明细接口!$K$1149),"")</f>
        <v/>
      </c>
      <c r="L1149" s="59" t="str">
        <f aca="false">IFERROR(IF([1]对账明细接口!$L$1149=0,"",[1]对账明细接口!$L$1149),"")</f>
        <v/>
      </c>
      <c r="M1149" s="59" t="str">
        <f aca="false">IFERROR(IF([1]对账明细接口!$M$1149=0,"",[1]对账明细接口!$M$1149),"")</f>
        <v/>
      </c>
      <c r="N1149" s="111" t="n">
        <f aca="false">IF($C1149="",0,1)</f>
        <v>0</v>
      </c>
      <c r="O1149" s="111" t="n">
        <f aca="false">N(O1148)+$N1149</f>
        <v>110</v>
      </c>
      <c r="S1149" s="10" t="str">
        <f aca="false">IFERROR(IF([1]对账明细接口!$N1149=0,"",[1]对账明细接口!$N1149),"")</f>
        <v/>
      </c>
      <c r="T1149" s="112" t="str">
        <f aca="false">IFERROR(IF([1]对账明细接口!$O1149=0,"",[1]对账明细接口!$O1149),"")</f>
        <v/>
      </c>
      <c r="U1149" s="112" t="str">
        <f aca="false">IFERROR(IF([1]对账明细接口!$P1149=0,"",[1]对账明细接口!$P1149),"")</f>
        <v/>
      </c>
      <c r="V1149" s="112" t="str">
        <f aca="false">IFERROR(IF([1]对账明细接口!$Q1149=0,"",[1]对账明细接口!$Q1149),"")</f>
        <v/>
      </c>
      <c r="W1149" s="10" t="str">
        <f aca="false">IFERROR(IF([1]对账明细接口!$R1149=0,"",[1]对账明细接口!$R1149),"")</f>
        <v/>
      </c>
      <c r="X1149" s="10" t="str">
        <f aca="false">IFERROR(IF([1]对账明细接口!$S1149=0,"",[1]对账明细接口!$S1149),"")</f>
        <v/>
      </c>
      <c r="Y1149" s="10" t="str">
        <f aca="false">""</f>
        <v/>
      </c>
      <c r="Z1149" s="10" t="str">
        <f aca="false">""</f>
        <v/>
      </c>
      <c r="AA1149" s="10" t="str">
        <f aca="false">""</f>
        <v/>
      </c>
      <c r="AB1149" s="10" t="str">
        <f aca="false">""</f>
        <v/>
      </c>
    </row>
    <row r="1150" customFormat="false" ht="13.5" hidden="false" customHeight="false" outlineLevel="0" collapsed="false">
      <c r="A1150" s="109" t="n">
        <v>1150</v>
      </c>
      <c r="B1150" s="110" t="str">
        <f aca="false">IFERROR(IF([1]对账明细接口!$B$1150=0,"",[1]对账明细接口!$B$1150),"")</f>
        <v/>
      </c>
      <c r="C1150" s="59" t="str">
        <f aca="false">IFERROR(IF([1]对账明细接口!$C$1150=0,"",[1]对账明细接口!$C$1150),"")</f>
        <v/>
      </c>
      <c r="D1150" s="59" t="str">
        <f aca="false">IFERROR(IF([1]对账明细接口!$D$1150=0,"",[1]对账明细接口!$D$1150),"")</f>
        <v/>
      </c>
      <c r="E1150" s="59" t="str">
        <f aca="false">IFERROR(IF([1]对账明细接口!$E$1150=0,"",[1]对账明细接口!$E$1150),"")</f>
        <v/>
      </c>
      <c r="F1150" s="59" t="str">
        <f aca="false">IFERROR(IF([1]对账明细接口!$F$1150=0,"",[1]对账明细接口!$F$1150),"")</f>
        <v/>
      </c>
      <c r="G1150" s="59" t="str">
        <f aca="false">IFERROR(IF([1]对账明细接口!$G$1150=0,"",[1]对账明细接口!$G$1150),"")</f>
        <v/>
      </c>
      <c r="H1150" s="60" t="str">
        <f aca="false">IFERROR(IF([1]对账明细接口!$H$1150=0,"",[1]对账明细接口!$H$1150),"")</f>
        <v/>
      </c>
      <c r="I1150" s="59" t="str">
        <f aca="false">IFERROR(IF([1]对账明细接口!$I$1150=0,"",[1]对账明细接口!$I$1150),"")</f>
        <v/>
      </c>
      <c r="J1150" s="61" t="str">
        <f aca="false">IFERROR(IF([1]对账明细接口!$J$1150=0,"",[1]对账明细接口!$J$1150),"")</f>
        <v/>
      </c>
      <c r="K1150" s="61" t="str">
        <f aca="false">IFERROR(IF([1]对账明细接口!$K$1150=0,"",[1]对账明细接口!$K$1150),"")</f>
        <v/>
      </c>
      <c r="L1150" s="59" t="str">
        <f aca="false">IFERROR(IF([1]对账明细接口!$L$1150=0,"",[1]对账明细接口!$L$1150),"")</f>
        <v/>
      </c>
      <c r="M1150" s="59" t="str">
        <f aca="false">IFERROR(IF([1]对账明细接口!$M$1150=0,"",[1]对账明细接口!$M$1150),"")</f>
        <v/>
      </c>
      <c r="N1150" s="111" t="n">
        <f aca="false">IF($C1150="",0,1)</f>
        <v>0</v>
      </c>
      <c r="O1150" s="111" t="n">
        <f aca="false">N(O1149)+$N1150</f>
        <v>110</v>
      </c>
      <c r="S1150" s="10" t="str">
        <f aca="false">IFERROR(IF([1]对账明细接口!$N1150=0,"",[1]对账明细接口!$N1150),"")</f>
        <v/>
      </c>
      <c r="T1150" s="112" t="str">
        <f aca="false">IFERROR(IF([1]对账明细接口!$O1150=0,"",[1]对账明细接口!$O1150),"")</f>
        <v/>
      </c>
      <c r="U1150" s="112" t="str">
        <f aca="false">IFERROR(IF([1]对账明细接口!$P1150=0,"",[1]对账明细接口!$P1150),"")</f>
        <v/>
      </c>
      <c r="V1150" s="112" t="str">
        <f aca="false">IFERROR(IF([1]对账明细接口!$Q1150=0,"",[1]对账明细接口!$Q1150),"")</f>
        <v/>
      </c>
      <c r="W1150" s="10" t="str">
        <f aca="false">IFERROR(IF([1]对账明细接口!$R1150=0,"",[1]对账明细接口!$R1150),"")</f>
        <v/>
      </c>
      <c r="X1150" s="10" t="str">
        <f aca="false">IFERROR(IF([1]对账明细接口!$S1150=0,"",[1]对账明细接口!$S1150),"")</f>
        <v/>
      </c>
      <c r="Y1150" s="10" t="str">
        <f aca="false">""</f>
        <v/>
      </c>
      <c r="Z1150" s="10" t="str">
        <f aca="false">""</f>
        <v/>
      </c>
      <c r="AA1150" s="10" t="str">
        <f aca="false">""</f>
        <v/>
      </c>
      <c r="AB1150" s="10" t="str">
        <f aca="false">""</f>
        <v/>
      </c>
    </row>
    <row r="1151" customFormat="false" ht="13.5" hidden="false" customHeight="false" outlineLevel="0" collapsed="false">
      <c r="A1151" s="109" t="n">
        <v>1151</v>
      </c>
      <c r="B1151" s="110" t="str">
        <f aca="false">IFERROR(IF([1]对账明细接口!$B$1151=0,"",[1]对账明细接口!$B$1151),"")</f>
        <v/>
      </c>
      <c r="C1151" s="59" t="str">
        <f aca="false">IFERROR(IF([1]对账明细接口!$C$1151=0,"",[1]对账明细接口!$C$1151),"")</f>
        <v/>
      </c>
      <c r="D1151" s="59" t="str">
        <f aca="false">IFERROR(IF([1]对账明细接口!$D$1151=0,"",[1]对账明细接口!$D$1151),"")</f>
        <v/>
      </c>
      <c r="E1151" s="59" t="str">
        <f aca="false">IFERROR(IF([1]对账明细接口!$E$1151=0,"",[1]对账明细接口!$E$1151),"")</f>
        <v/>
      </c>
      <c r="F1151" s="59" t="str">
        <f aca="false">IFERROR(IF([1]对账明细接口!$F$1151=0,"",[1]对账明细接口!$F$1151),"")</f>
        <v/>
      </c>
      <c r="G1151" s="59" t="str">
        <f aca="false">IFERROR(IF([1]对账明细接口!$G$1151=0,"",[1]对账明细接口!$G$1151),"")</f>
        <v/>
      </c>
      <c r="H1151" s="60" t="str">
        <f aca="false">IFERROR(IF([1]对账明细接口!$H$1151=0,"",[1]对账明细接口!$H$1151),"")</f>
        <v/>
      </c>
      <c r="I1151" s="59" t="str">
        <f aca="false">IFERROR(IF([1]对账明细接口!$I$1151=0,"",[1]对账明细接口!$I$1151),"")</f>
        <v/>
      </c>
      <c r="J1151" s="61" t="str">
        <f aca="false">IFERROR(IF([1]对账明细接口!$J$1151=0,"",[1]对账明细接口!$J$1151),"")</f>
        <v/>
      </c>
      <c r="K1151" s="61" t="str">
        <f aca="false">IFERROR(IF([1]对账明细接口!$K$1151=0,"",[1]对账明细接口!$K$1151),"")</f>
        <v/>
      </c>
      <c r="L1151" s="59" t="str">
        <f aca="false">IFERROR(IF([1]对账明细接口!$L$1151=0,"",[1]对账明细接口!$L$1151),"")</f>
        <v/>
      </c>
      <c r="M1151" s="59" t="str">
        <f aca="false">IFERROR(IF([1]对账明细接口!$M$1151=0,"",[1]对账明细接口!$M$1151),"")</f>
        <v/>
      </c>
      <c r="N1151" s="111" t="n">
        <f aca="false">IF($C1151="",0,1)</f>
        <v>0</v>
      </c>
      <c r="O1151" s="111" t="n">
        <f aca="false">N(O1150)+$N1151</f>
        <v>110</v>
      </c>
      <c r="S1151" s="10" t="str">
        <f aca="false">IFERROR(IF([1]对账明细接口!$N1151=0,"",[1]对账明细接口!$N1151),"")</f>
        <v/>
      </c>
      <c r="T1151" s="112" t="str">
        <f aca="false">IFERROR(IF([1]对账明细接口!$O1151=0,"",[1]对账明细接口!$O1151),"")</f>
        <v/>
      </c>
      <c r="U1151" s="112" t="str">
        <f aca="false">IFERROR(IF([1]对账明细接口!$P1151=0,"",[1]对账明细接口!$P1151),"")</f>
        <v/>
      </c>
      <c r="V1151" s="112" t="str">
        <f aca="false">IFERROR(IF([1]对账明细接口!$Q1151=0,"",[1]对账明细接口!$Q1151),"")</f>
        <v/>
      </c>
      <c r="W1151" s="10" t="str">
        <f aca="false">IFERROR(IF([1]对账明细接口!$R1151=0,"",[1]对账明细接口!$R1151),"")</f>
        <v/>
      </c>
      <c r="X1151" s="10" t="str">
        <f aca="false">IFERROR(IF([1]对账明细接口!$S1151=0,"",[1]对账明细接口!$S1151),"")</f>
        <v/>
      </c>
      <c r="Y1151" s="10" t="str">
        <f aca="false">""</f>
        <v/>
      </c>
      <c r="Z1151" s="10" t="str">
        <f aca="false">""</f>
        <v/>
      </c>
      <c r="AA1151" s="10" t="str">
        <f aca="false">""</f>
        <v/>
      </c>
      <c r="AB1151" s="10" t="str">
        <f aca="false">""</f>
        <v/>
      </c>
    </row>
    <row r="1152" customFormat="false" ht="13.5" hidden="false" customHeight="false" outlineLevel="0" collapsed="false">
      <c r="A1152" s="109" t="n">
        <v>1152</v>
      </c>
      <c r="B1152" s="110" t="str">
        <f aca="false">IFERROR(IF([1]对账明细接口!$B$1152=0,"",[1]对账明细接口!$B$1152),"")</f>
        <v/>
      </c>
      <c r="C1152" s="59" t="str">
        <f aca="false">IFERROR(IF([1]对账明细接口!$C$1152=0,"",[1]对账明细接口!$C$1152),"")</f>
        <v/>
      </c>
      <c r="D1152" s="59" t="str">
        <f aca="false">IFERROR(IF([1]对账明细接口!$D$1152=0,"",[1]对账明细接口!$D$1152),"")</f>
        <v/>
      </c>
      <c r="E1152" s="59" t="str">
        <f aca="false">IFERROR(IF([1]对账明细接口!$E$1152=0,"",[1]对账明细接口!$E$1152),"")</f>
        <v/>
      </c>
      <c r="F1152" s="59" t="str">
        <f aca="false">IFERROR(IF([1]对账明细接口!$F$1152=0,"",[1]对账明细接口!$F$1152),"")</f>
        <v/>
      </c>
      <c r="G1152" s="59" t="str">
        <f aca="false">IFERROR(IF([1]对账明细接口!$G$1152=0,"",[1]对账明细接口!$G$1152),"")</f>
        <v/>
      </c>
      <c r="H1152" s="60" t="str">
        <f aca="false">IFERROR(IF([1]对账明细接口!$H$1152=0,"",[1]对账明细接口!$H$1152),"")</f>
        <v/>
      </c>
      <c r="I1152" s="59" t="str">
        <f aca="false">IFERROR(IF([1]对账明细接口!$I$1152=0,"",[1]对账明细接口!$I$1152),"")</f>
        <v/>
      </c>
      <c r="J1152" s="61" t="str">
        <f aca="false">IFERROR(IF([1]对账明细接口!$J$1152=0,"",[1]对账明细接口!$J$1152),"")</f>
        <v/>
      </c>
      <c r="K1152" s="61" t="str">
        <f aca="false">IFERROR(IF([1]对账明细接口!$K$1152=0,"",[1]对账明细接口!$K$1152),"")</f>
        <v/>
      </c>
      <c r="L1152" s="59" t="str">
        <f aca="false">IFERROR(IF([1]对账明细接口!$L$1152=0,"",[1]对账明细接口!$L$1152),"")</f>
        <v/>
      </c>
      <c r="M1152" s="59" t="str">
        <f aca="false">IFERROR(IF([1]对账明细接口!$M$1152=0,"",[1]对账明细接口!$M$1152),"")</f>
        <v/>
      </c>
      <c r="N1152" s="111" t="n">
        <f aca="false">IF($C1152="",0,1)</f>
        <v>0</v>
      </c>
      <c r="O1152" s="111" t="n">
        <f aca="false">N(O1151)+$N1152</f>
        <v>110</v>
      </c>
      <c r="S1152" s="10" t="str">
        <f aca="false">IFERROR(IF([1]对账明细接口!$N1152=0,"",[1]对账明细接口!$N1152),"")</f>
        <v/>
      </c>
      <c r="T1152" s="112" t="str">
        <f aca="false">IFERROR(IF([1]对账明细接口!$O1152=0,"",[1]对账明细接口!$O1152),"")</f>
        <v/>
      </c>
      <c r="U1152" s="112" t="str">
        <f aca="false">IFERROR(IF([1]对账明细接口!$P1152=0,"",[1]对账明细接口!$P1152),"")</f>
        <v/>
      </c>
      <c r="V1152" s="112" t="str">
        <f aca="false">IFERROR(IF([1]对账明细接口!$Q1152=0,"",[1]对账明细接口!$Q1152),"")</f>
        <v/>
      </c>
      <c r="W1152" s="10" t="str">
        <f aca="false">IFERROR(IF([1]对账明细接口!$R1152=0,"",[1]对账明细接口!$R1152),"")</f>
        <v/>
      </c>
      <c r="X1152" s="10" t="str">
        <f aca="false">IFERROR(IF([1]对账明细接口!$S1152=0,"",[1]对账明细接口!$S1152),"")</f>
        <v/>
      </c>
      <c r="Y1152" s="10" t="str">
        <f aca="false">""</f>
        <v/>
      </c>
      <c r="Z1152" s="10" t="str">
        <f aca="false">""</f>
        <v/>
      </c>
      <c r="AA1152" s="10" t="str">
        <f aca="false">""</f>
        <v/>
      </c>
      <c r="AB1152" s="10" t="str">
        <f aca="false">""</f>
        <v/>
      </c>
    </row>
    <row r="1153" customFormat="false" ht="13.5" hidden="false" customHeight="false" outlineLevel="0" collapsed="false">
      <c r="A1153" s="109" t="n">
        <v>1153</v>
      </c>
      <c r="B1153" s="110" t="str">
        <f aca="false">IFERROR(IF([1]对账明细接口!$B$1153=0,"",[1]对账明细接口!$B$1153),"")</f>
        <v/>
      </c>
      <c r="C1153" s="59" t="str">
        <f aca="false">IFERROR(IF([1]对账明细接口!$C$1153=0,"",[1]对账明细接口!$C$1153),"")</f>
        <v/>
      </c>
      <c r="D1153" s="59" t="str">
        <f aca="false">IFERROR(IF([1]对账明细接口!$D$1153=0,"",[1]对账明细接口!$D$1153),"")</f>
        <v/>
      </c>
      <c r="E1153" s="59" t="str">
        <f aca="false">IFERROR(IF([1]对账明细接口!$E$1153=0,"",[1]对账明细接口!$E$1153),"")</f>
        <v/>
      </c>
      <c r="F1153" s="59" t="str">
        <f aca="false">IFERROR(IF([1]对账明细接口!$F$1153=0,"",[1]对账明细接口!$F$1153),"")</f>
        <v/>
      </c>
      <c r="G1153" s="59" t="str">
        <f aca="false">IFERROR(IF([1]对账明细接口!$G$1153=0,"",[1]对账明细接口!$G$1153),"")</f>
        <v/>
      </c>
      <c r="H1153" s="60" t="str">
        <f aca="false">IFERROR(IF([1]对账明细接口!$H$1153=0,"",[1]对账明细接口!$H$1153),"")</f>
        <v/>
      </c>
      <c r="I1153" s="59" t="str">
        <f aca="false">IFERROR(IF([1]对账明细接口!$I$1153=0,"",[1]对账明细接口!$I$1153),"")</f>
        <v/>
      </c>
      <c r="J1153" s="61" t="str">
        <f aca="false">IFERROR(IF([1]对账明细接口!$J$1153=0,"",[1]对账明细接口!$J$1153),"")</f>
        <v/>
      </c>
      <c r="K1153" s="61" t="str">
        <f aca="false">IFERROR(IF([1]对账明细接口!$K$1153=0,"",[1]对账明细接口!$K$1153),"")</f>
        <v/>
      </c>
      <c r="L1153" s="59" t="str">
        <f aca="false">IFERROR(IF([1]对账明细接口!$L$1153=0,"",[1]对账明细接口!$L$1153),"")</f>
        <v/>
      </c>
      <c r="M1153" s="59" t="str">
        <f aca="false">IFERROR(IF([1]对账明细接口!$M$1153=0,"",[1]对账明细接口!$M$1153),"")</f>
        <v/>
      </c>
      <c r="N1153" s="111" t="n">
        <f aca="false">IF($C1153="",0,1)</f>
        <v>0</v>
      </c>
      <c r="O1153" s="111" t="n">
        <f aca="false">N(O1152)+$N1153</f>
        <v>110</v>
      </c>
      <c r="S1153" s="10" t="str">
        <f aca="false">IFERROR(IF([1]对账明细接口!$N1153=0,"",[1]对账明细接口!$N1153),"")</f>
        <v/>
      </c>
      <c r="T1153" s="112" t="str">
        <f aca="false">IFERROR(IF([1]对账明细接口!$O1153=0,"",[1]对账明细接口!$O1153),"")</f>
        <v/>
      </c>
      <c r="U1153" s="112" t="str">
        <f aca="false">IFERROR(IF([1]对账明细接口!$P1153=0,"",[1]对账明细接口!$P1153),"")</f>
        <v/>
      </c>
      <c r="V1153" s="112" t="str">
        <f aca="false">IFERROR(IF([1]对账明细接口!$Q1153=0,"",[1]对账明细接口!$Q1153),"")</f>
        <v/>
      </c>
      <c r="W1153" s="10" t="str">
        <f aca="false">IFERROR(IF([1]对账明细接口!$R1153=0,"",[1]对账明细接口!$R1153),"")</f>
        <v/>
      </c>
      <c r="X1153" s="10" t="str">
        <f aca="false">IFERROR(IF([1]对账明细接口!$S1153=0,"",[1]对账明细接口!$S1153),"")</f>
        <v/>
      </c>
      <c r="Y1153" s="10" t="str">
        <f aca="false">""</f>
        <v/>
      </c>
      <c r="Z1153" s="10" t="str">
        <f aca="false">""</f>
        <v/>
      </c>
      <c r="AA1153" s="10" t="str">
        <f aca="false">""</f>
        <v/>
      </c>
      <c r="AB1153" s="10" t="str">
        <f aca="false">""</f>
        <v/>
      </c>
    </row>
    <row r="1154" customFormat="false" ht="13.5" hidden="false" customHeight="false" outlineLevel="0" collapsed="false">
      <c r="A1154" s="109" t="n">
        <v>1154</v>
      </c>
      <c r="B1154" s="110" t="str">
        <f aca="false">IFERROR(IF([1]对账明细接口!$B$1154=0,"",[1]对账明细接口!$B$1154),"")</f>
        <v/>
      </c>
      <c r="C1154" s="59" t="str">
        <f aca="false">IFERROR(IF([1]对账明细接口!$C$1154=0,"",[1]对账明细接口!$C$1154),"")</f>
        <v/>
      </c>
      <c r="D1154" s="59" t="str">
        <f aca="false">IFERROR(IF([1]对账明细接口!$D$1154=0,"",[1]对账明细接口!$D$1154),"")</f>
        <v/>
      </c>
      <c r="E1154" s="59" t="str">
        <f aca="false">IFERROR(IF([1]对账明细接口!$E$1154=0,"",[1]对账明细接口!$E$1154),"")</f>
        <v/>
      </c>
      <c r="F1154" s="59" t="str">
        <f aca="false">IFERROR(IF([1]对账明细接口!$F$1154=0,"",[1]对账明细接口!$F$1154),"")</f>
        <v/>
      </c>
      <c r="G1154" s="59" t="str">
        <f aca="false">IFERROR(IF([1]对账明细接口!$G$1154=0,"",[1]对账明细接口!$G$1154),"")</f>
        <v/>
      </c>
      <c r="H1154" s="60" t="str">
        <f aca="false">IFERROR(IF([1]对账明细接口!$H$1154=0,"",[1]对账明细接口!$H$1154),"")</f>
        <v/>
      </c>
      <c r="I1154" s="59" t="str">
        <f aca="false">IFERROR(IF([1]对账明细接口!$I$1154=0,"",[1]对账明细接口!$I$1154),"")</f>
        <v/>
      </c>
      <c r="J1154" s="61" t="str">
        <f aca="false">IFERROR(IF([1]对账明细接口!$J$1154=0,"",[1]对账明细接口!$J$1154),"")</f>
        <v/>
      </c>
      <c r="K1154" s="61" t="str">
        <f aca="false">IFERROR(IF([1]对账明细接口!$K$1154=0,"",[1]对账明细接口!$K$1154),"")</f>
        <v/>
      </c>
      <c r="L1154" s="59" t="str">
        <f aca="false">IFERROR(IF([1]对账明细接口!$L$1154=0,"",[1]对账明细接口!$L$1154),"")</f>
        <v/>
      </c>
      <c r="M1154" s="59" t="str">
        <f aca="false">IFERROR(IF([1]对账明细接口!$M$1154=0,"",[1]对账明细接口!$M$1154),"")</f>
        <v/>
      </c>
      <c r="N1154" s="111" t="n">
        <f aca="false">IF($C1154="",0,1)</f>
        <v>0</v>
      </c>
      <c r="O1154" s="111" t="n">
        <f aca="false">N(O1153)+$N1154</f>
        <v>110</v>
      </c>
      <c r="S1154" s="10" t="str">
        <f aca="false">IFERROR(IF([1]对账明细接口!$N1154=0,"",[1]对账明细接口!$N1154),"")</f>
        <v/>
      </c>
      <c r="T1154" s="112" t="str">
        <f aca="false">IFERROR(IF([1]对账明细接口!$O1154=0,"",[1]对账明细接口!$O1154),"")</f>
        <v/>
      </c>
      <c r="U1154" s="112" t="str">
        <f aca="false">IFERROR(IF([1]对账明细接口!$P1154=0,"",[1]对账明细接口!$P1154),"")</f>
        <v/>
      </c>
      <c r="V1154" s="112" t="str">
        <f aca="false">IFERROR(IF([1]对账明细接口!$Q1154=0,"",[1]对账明细接口!$Q1154),"")</f>
        <v/>
      </c>
      <c r="W1154" s="10" t="str">
        <f aca="false">IFERROR(IF([1]对账明细接口!$R1154=0,"",[1]对账明细接口!$R1154),"")</f>
        <v/>
      </c>
      <c r="X1154" s="10" t="str">
        <f aca="false">IFERROR(IF([1]对账明细接口!$S1154=0,"",[1]对账明细接口!$S1154),"")</f>
        <v/>
      </c>
      <c r="Y1154" s="10" t="str">
        <f aca="false">""</f>
        <v/>
      </c>
      <c r="Z1154" s="10" t="str">
        <f aca="false">""</f>
        <v/>
      </c>
      <c r="AA1154" s="10" t="str">
        <f aca="false">""</f>
        <v/>
      </c>
      <c r="AB1154" s="10" t="str">
        <f aca="false">""</f>
        <v/>
      </c>
    </row>
    <row r="1155" customFormat="false" ht="13.5" hidden="false" customHeight="false" outlineLevel="0" collapsed="false">
      <c r="A1155" s="109" t="n">
        <v>1155</v>
      </c>
      <c r="B1155" s="110" t="str">
        <f aca="false">IFERROR(IF([1]对账明细接口!$B$1155=0,"",[1]对账明细接口!$B$1155),"")</f>
        <v/>
      </c>
      <c r="C1155" s="59" t="str">
        <f aca="false">IFERROR(IF([1]对账明细接口!$C$1155=0,"",[1]对账明细接口!$C$1155),"")</f>
        <v/>
      </c>
      <c r="D1155" s="59" t="str">
        <f aca="false">IFERROR(IF([1]对账明细接口!$D$1155=0,"",[1]对账明细接口!$D$1155),"")</f>
        <v/>
      </c>
      <c r="E1155" s="59" t="str">
        <f aca="false">IFERROR(IF([1]对账明细接口!$E$1155=0,"",[1]对账明细接口!$E$1155),"")</f>
        <v/>
      </c>
      <c r="F1155" s="59" t="str">
        <f aca="false">IFERROR(IF([1]对账明细接口!$F$1155=0,"",[1]对账明细接口!$F$1155),"")</f>
        <v/>
      </c>
      <c r="G1155" s="59" t="str">
        <f aca="false">IFERROR(IF([1]对账明细接口!$G$1155=0,"",[1]对账明细接口!$G$1155),"")</f>
        <v/>
      </c>
      <c r="H1155" s="60" t="str">
        <f aca="false">IFERROR(IF([1]对账明细接口!$H$1155=0,"",[1]对账明细接口!$H$1155),"")</f>
        <v/>
      </c>
      <c r="I1155" s="59" t="str">
        <f aca="false">IFERROR(IF([1]对账明细接口!$I$1155=0,"",[1]对账明细接口!$I$1155),"")</f>
        <v/>
      </c>
      <c r="J1155" s="61" t="str">
        <f aca="false">IFERROR(IF([1]对账明细接口!$J$1155=0,"",[1]对账明细接口!$J$1155),"")</f>
        <v/>
      </c>
      <c r="K1155" s="61" t="str">
        <f aca="false">IFERROR(IF([1]对账明细接口!$K$1155=0,"",[1]对账明细接口!$K$1155),"")</f>
        <v/>
      </c>
      <c r="L1155" s="59" t="str">
        <f aca="false">IFERROR(IF([1]对账明细接口!$L$1155=0,"",[1]对账明细接口!$L$1155),"")</f>
        <v/>
      </c>
      <c r="M1155" s="59" t="str">
        <f aca="false">IFERROR(IF([1]对账明细接口!$M$1155=0,"",[1]对账明细接口!$M$1155),"")</f>
        <v/>
      </c>
      <c r="N1155" s="111" t="n">
        <f aca="false">IF($C1155="",0,1)</f>
        <v>0</v>
      </c>
      <c r="O1155" s="111" t="n">
        <f aca="false">N(O1154)+$N1155</f>
        <v>110</v>
      </c>
      <c r="S1155" s="10" t="str">
        <f aca="false">IFERROR(IF([1]对账明细接口!$N1155=0,"",[1]对账明细接口!$N1155),"")</f>
        <v/>
      </c>
      <c r="T1155" s="112" t="str">
        <f aca="false">IFERROR(IF([1]对账明细接口!$O1155=0,"",[1]对账明细接口!$O1155),"")</f>
        <v/>
      </c>
      <c r="U1155" s="112" t="str">
        <f aca="false">IFERROR(IF([1]对账明细接口!$P1155=0,"",[1]对账明细接口!$P1155),"")</f>
        <v/>
      </c>
      <c r="V1155" s="112" t="str">
        <f aca="false">IFERROR(IF([1]对账明细接口!$Q1155=0,"",[1]对账明细接口!$Q1155),"")</f>
        <v/>
      </c>
      <c r="W1155" s="10" t="str">
        <f aca="false">IFERROR(IF([1]对账明细接口!$R1155=0,"",[1]对账明细接口!$R1155),"")</f>
        <v/>
      </c>
      <c r="X1155" s="10" t="str">
        <f aca="false">IFERROR(IF([1]对账明细接口!$S1155=0,"",[1]对账明细接口!$S1155),"")</f>
        <v/>
      </c>
      <c r="Y1155" s="10" t="str">
        <f aca="false">""</f>
        <v/>
      </c>
      <c r="Z1155" s="10" t="str">
        <f aca="false">""</f>
        <v/>
      </c>
      <c r="AA1155" s="10" t="str">
        <f aca="false">""</f>
        <v/>
      </c>
      <c r="AB1155" s="10" t="str">
        <f aca="false">""</f>
        <v/>
      </c>
    </row>
    <row r="1156" customFormat="false" ht="13.5" hidden="false" customHeight="false" outlineLevel="0" collapsed="false">
      <c r="A1156" s="109" t="n">
        <v>1156</v>
      </c>
      <c r="B1156" s="110" t="str">
        <f aca="false">IFERROR(IF([1]对账明细接口!$B$1156=0,"",[1]对账明细接口!$B$1156),"")</f>
        <v/>
      </c>
      <c r="C1156" s="59" t="str">
        <f aca="false">IFERROR(IF([1]对账明细接口!$C$1156=0,"",[1]对账明细接口!$C$1156),"")</f>
        <v/>
      </c>
      <c r="D1156" s="59" t="str">
        <f aca="false">IFERROR(IF([1]对账明细接口!$D$1156=0,"",[1]对账明细接口!$D$1156),"")</f>
        <v/>
      </c>
      <c r="E1156" s="59" t="str">
        <f aca="false">IFERROR(IF([1]对账明细接口!$E$1156=0,"",[1]对账明细接口!$E$1156),"")</f>
        <v/>
      </c>
      <c r="F1156" s="59" t="str">
        <f aca="false">IFERROR(IF([1]对账明细接口!$F$1156=0,"",[1]对账明细接口!$F$1156),"")</f>
        <v/>
      </c>
      <c r="G1156" s="59" t="str">
        <f aca="false">IFERROR(IF([1]对账明细接口!$G$1156=0,"",[1]对账明细接口!$G$1156),"")</f>
        <v/>
      </c>
      <c r="H1156" s="60" t="str">
        <f aca="false">IFERROR(IF([1]对账明细接口!$H$1156=0,"",[1]对账明细接口!$H$1156),"")</f>
        <v/>
      </c>
      <c r="I1156" s="59" t="str">
        <f aca="false">IFERROR(IF([1]对账明细接口!$I$1156=0,"",[1]对账明细接口!$I$1156),"")</f>
        <v/>
      </c>
      <c r="J1156" s="61" t="str">
        <f aca="false">IFERROR(IF([1]对账明细接口!$J$1156=0,"",[1]对账明细接口!$J$1156),"")</f>
        <v/>
      </c>
      <c r="K1156" s="61" t="str">
        <f aca="false">IFERROR(IF([1]对账明细接口!$K$1156=0,"",[1]对账明细接口!$K$1156),"")</f>
        <v/>
      </c>
      <c r="L1156" s="59" t="str">
        <f aca="false">IFERROR(IF([1]对账明细接口!$L$1156=0,"",[1]对账明细接口!$L$1156),"")</f>
        <v/>
      </c>
      <c r="M1156" s="59" t="str">
        <f aca="false">IFERROR(IF([1]对账明细接口!$M$1156=0,"",[1]对账明细接口!$M$1156),"")</f>
        <v/>
      </c>
      <c r="N1156" s="111" t="n">
        <f aca="false">IF($C1156="",0,1)</f>
        <v>0</v>
      </c>
      <c r="O1156" s="111" t="n">
        <f aca="false">N(O1155)+$N1156</f>
        <v>110</v>
      </c>
      <c r="S1156" s="10" t="str">
        <f aca="false">IFERROR(IF([1]对账明细接口!$N1156=0,"",[1]对账明细接口!$N1156),"")</f>
        <v/>
      </c>
      <c r="T1156" s="112" t="str">
        <f aca="false">IFERROR(IF([1]对账明细接口!$O1156=0,"",[1]对账明细接口!$O1156),"")</f>
        <v/>
      </c>
      <c r="U1156" s="112" t="str">
        <f aca="false">IFERROR(IF([1]对账明细接口!$P1156=0,"",[1]对账明细接口!$P1156),"")</f>
        <v/>
      </c>
      <c r="V1156" s="112" t="str">
        <f aca="false">IFERROR(IF([1]对账明细接口!$Q1156=0,"",[1]对账明细接口!$Q1156),"")</f>
        <v/>
      </c>
      <c r="W1156" s="10" t="str">
        <f aca="false">IFERROR(IF([1]对账明细接口!$R1156=0,"",[1]对账明细接口!$R1156),"")</f>
        <v/>
      </c>
      <c r="X1156" s="10" t="str">
        <f aca="false">IFERROR(IF([1]对账明细接口!$S1156=0,"",[1]对账明细接口!$S1156),"")</f>
        <v/>
      </c>
      <c r="Y1156" s="10" t="str">
        <f aca="false">""</f>
        <v/>
      </c>
      <c r="Z1156" s="10" t="str">
        <f aca="false">""</f>
        <v/>
      </c>
      <c r="AA1156" s="10" t="str">
        <f aca="false">""</f>
        <v/>
      </c>
      <c r="AB1156" s="10" t="str">
        <f aca="false">""</f>
        <v/>
      </c>
    </row>
    <row r="1157" customFormat="false" ht="13.5" hidden="false" customHeight="false" outlineLevel="0" collapsed="false">
      <c r="A1157" s="109" t="n">
        <v>1157</v>
      </c>
      <c r="B1157" s="110" t="str">
        <f aca="false">IFERROR(IF([1]对账明细接口!$B$1157=0,"",[1]对账明细接口!$B$1157),"")</f>
        <v/>
      </c>
      <c r="C1157" s="59" t="str">
        <f aca="false">IFERROR(IF([1]对账明细接口!$C$1157=0,"",[1]对账明细接口!$C$1157),"")</f>
        <v/>
      </c>
      <c r="D1157" s="59" t="str">
        <f aca="false">IFERROR(IF([1]对账明细接口!$D$1157=0,"",[1]对账明细接口!$D$1157),"")</f>
        <v/>
      </c>
      <c r="E1157" s="59" t="str">
        <f aca="false">IFERROR(IF([1]对账明细接口!$E$1157=0,"",[1]对账明细接口!$E$1157),"")</f>
        <v/>
      </c>
      <c r="F1157" s="59" t="str">
        <f aca="false">IFERROR(IF([1]对账明细接口!$F$1157=0,"",[1]对账明细接口!$F$1157),"")</f>
        <v/>
      </c>
      <c r="G1157" s="59" t="str">
        <f aca="false">IFERROR(IF([1]对账明细接口!$G$1157=0,"",[1]对账明细接口!$G$1157),"")</f>
        <v/>
      </c>
      <c r="H1157" s="60" t="str">
        <f aca="false">IFERROR(IF([1]对账明细接口!$H$1157=0,"",[1]对账明细接口!$H$1157),"")</f>
        <v/>
      </c>
      <c r="I1157" s="59" t="str">
        <f aca="false">IFERROR(IF([1]对账明细接口!$I$1157=0,"",[1]对账明细接口!$I$1157),"")</f>
        <v/>
      </c>
      <c r="J1157" s="61" t="str">
        <f aca="false">IFERROR(IF([1]对账明细接口!$J$1157=0,"",[1]对账明细接口!$J$1157),"")</f>
        <v/>
      </c>
      <c r="K1157" s="61" t="str">
        <f aca="false">IFERROR(IF([1]对账明细接口!$K$1157=0,"",[1]对账明细接口!$K$1157),"")</f>
        <v/>
      </c>
      <c r="L1157" s="59" t="str">
        <f aca="false">IFERROR(IF([1]对账明细接口!$L$1157=0,"",[1]对账明细接口!$L$1157),"")</f>
        <v/>
      </c>
      <c r="M1157" s="59" t="str">
        <f aca="false">IFERROR(IF([1]对账明细接口!$M$1157=0,"",[1]对账明细接口!$M$1157),"")</f>
        <v/>
      </c>
      <c r="N1157" s="111" t="n">
        <f aca="false">IF($C1157="",0,1)</f>
        <v>0</v>
      </c>
      <c r="O1157" s="111" t="n">
        <f aca="false">N(O1156)+$N1157</f>
        <v>110</v>
      </c>
      <c r="S1157" s="10" t="str">
        <f aca="false">IFERROR(IF([1]对账明细接口!$N1157=0,"",[1]对账明细接口!$N1157),"")</f>
        <v/>
      </c>
      <c r="T1157" s="112" t="str">
        <f aca="false">IFERROR(IF([1]对账明细接口!$O1157=0,"",[1]对账明细接口!$O1157),"")</f>
        <v/>
      </c>
      <c r="U1157" s="112" t="str">
        <f aca="false">IFERROR(IF([1]对账明细接口!$P1157=0,"",[1]对账明细接口!$P1157),"")</f>
        <v/>
      </c>
      <c r="V1157" s="112" t="str">
        <f aca="false">IFERROR(IF([1]对账明细接口!$Q1157=0,"",[1]对账明细接口!$Q1157),"")</f>
        <v/>
      </c>
      <c r="W1157" s="10" t="str">
        <f aca="false">IFERROR(IF([1]对账明细接口!$R1157=0,"",[1]对账明细接口!$R1157),"")</f>
        <v/>
      </c>
      <c r="X1157" s="10" t="str">
        <f aca="false">IFERROR(IF([1]对账明细接口!$S1157=0,"",[1]对账明细接口!$S1157),"")</f>
        <v/>
      </c>
      <c r="Y1157" s="10" t="str">
        <f aca="false">""</f>
        <v/>
      </c>
      <c r="Z1157" s="10" t="str">
        <f aca="false">""</f>
        <v/>
      </c>
      <c r="AA1157" s="10" t="str">
        <f aca="false">""</f>
        <v/>
      </c>
      <c r="AB1157" s="10" t="str">
        <f aca="false">""</f>
        <v/>
      </c>
    </row>
    <row r="1158" customFormat="false" ht="13.5" hidden="false" customHeight="false" outlineLevel="0" collapsed="false">
      <c r="A1158" s="109" t="n">
        <v>1158</v>
      </c>
      <c r="B1158" s="110" t="str">
        <f aca="false">IFERROR(IF([1]对账明细接口!$B$1158=0,"",[1]对账明细接口!$B$1158),"")</f>
        <v/>
      </c>
      <c r="C1158" s="59" t="str">
        <f aca="false">IFERROR(IF([1]对账明细接口!$C$1158=0,"",[1]对账明细接口!$C$1158),"")</f>
        <v/>
      </c>
      <c r="D1158" s="59" t="str">
        <f aca="false">IFERROR(IF([1]对账明细接口!$D$1158=0,"",[1]对账明细接口!$D$1158),"")</f>
        <v/>
      </c>
      <c r="E1158" s="59" t="str">
        <f aca="false">IFERROR(IF([1]对账明细接口!$E$1158=0,"",[1]对账明细接口!$E$1158),"")</f>
        <v/>
      </c>
      <c r="F1158" s="59" t="str">
        <f aca="false">IFERROR(IF([1]对账明细接口!$F$1158=0,"",[1]对账明细接口!$F$1158),"")</f>
        <v/>
      </c>
      <c r="G1158" s="59" t="str">
        <f aca="false">IFERROR(IF([1]对账明细接口!$G$1158=0,"",[1]对账明细接口!$G$1158),"")</f>
        <v/>
      </c>
      <c r="H1158" s="60" t="str">
        <f aca="false">IFERROR(IF([1]对账明细接口!$H$1158=0,"",[1]对账明细接口!$H$1158),"")</f>
        <v/>
      </c>
      <c r="I1158" s="59" t="str">
        <f aca="false">IFERROR(IF([1]对账明细接口!$I$1158=0,"",[1]对账明细接口!$I$1158),"")</f>
        <v/>
      </c>
      <c r="J1158" s="61" t="str">
        <f aca="false">IFERROR(IF([1]对账明细接口!$J$1158=0,"",[1]对账明细接口!$J$1158),"")</f>
        <v/>
      </c>
      <c r="K1158" s="61" t="str">
        <f aca="false">IFERROR(IF([1]对账明细接口!$K$1158=0,"",[1]对账明细接口!$K$1158),"")</f>
        <v/>
      </c>
      <c r="L1158" s="59" t="str">
        <f aca="false">IFERROR(IF([1]对账明细接口!$L$1158=0,"",[1]对账明细接口!$L$1158),"")</f>
        <v/>
      </c>
      <c r="M1158" s="59" t="str">
        <f aca="false">IFERROR(IF([1]对账明细接口!$M$1158=0,"",[1]对账明细接口!$M$1158),"")</f>
        <v/>
      </c>
      <c r="N1158" s="111" t="n">
        <f aca="false">IF($C1158="",0,1)</f>
        <v>0</v>
      </c>
      <c r="O1158" s="111" t="n">
        <f aca="false">N(O1157)+$N1158</f>
        <v>110</v>
      </c>
      <c r="S1158" s="10" t="str">
        <f aca="false">IFERROR(IF([1]对账明细接口!$N1158=0,"",[1]对账明细接口!$N1158),"")</f>
        <v/>
      </c>
      <c r="T1158" s="112" t="str">
        <f aca="false">IFERROR(IF([1]对账明细接口!$O1158=0,"",[1]对账明细接口!$O1158),"")</f>
        <v/>
      </c>
      <c r="U1158" s="112" t="str">
        <f aca="false">IFERROR(IF([1]对账明细接口!$P1158=0,"",[1]对账明细接口!$P1158),"")</f>
        <v/>
      </c>
      <c r="V1158" s="112" t="str">
        <f aca="false">IFERROR(IF([1]对账明细接口!$Q1158=0,"",[1]对账明细接口!$Q1158),"")</f>
        <v/>
      </c>
      <c r="W1158" s="10" t="str">
        <f aca="false">IFERROR(IF([1]对账明细接口!$R1158=0,"",[1]对账明细接口!$R1158),"")</f>
        <v/>
      </c>
      <c r="X1158" s="10" t="str">
        <f aca="false">IFERROR(IF([1]对账明细接口!$S1158=0,"",[1]对账明细接口!$S1158),"")</f>
        <v/>
      </c>
      <c r="Y1158" s="10" t="str">
        <f aca="false">""</f>
        <v/>
      </c>
      <c r="Z1158" s="10" t="str">
        <f aca="false">""</f>
        <v/>
      </c>
      <c r="AA1158" s="10" t="str">
        <f aca="false">""</f>
        <v/>
      </c>
      <c r="AB1158" s="10" t="str">
        <f aca="false">""</f>
        <v/>
      </c>
    </row>
    <row r="1159" customFormat="false" ht="13.5" hidden="false" customHeight="false" outlineLevel="0" collapsed="false">
      <c r="A1159" s="109" t="n">
        <v>1159</v>
      </c>
      <c r="B1159" s="110" t="str">
        <f aca="false">IFERROR(IF([1]对账明细接口!$B$1159=0,"",[1]对账明细接口!$B$1159),"")</f>
        <v/>
      </c>
      <c r="C1159" s="59" t="str">
        <f aca="false">IFERROR(IF([1]对账明细接口!$C$1159=0,"",[1]对账明细接口!$C$1159),"")</f>
        <v/>
      </c>
      <c r="D1159" s="59" t="str">
        <f aca="false">IFERROR(IF([1]对账明细接口!$D$1159=0,"",[1]对账明细接口!$D$1159),"")</f>
        <v/>
      </c>
      <c r="E1159" s="59" t="str">
        <f aca="false">IFERROR(IF([1]对账明细接口!$E$1159=0,"",[1]对账明细接口!$E$1159),"")</f>
        <v/>
      </c>
      <c r="F1159" s="59" t="str">
        <f aca="false">IFERROR(IF([1]对账明细接口!$F$1159=0,"",[1]对账明细接口!$F$1159),"")</f>
        <v/>
      </c>
      <c r="G1159" s="59" t="str">
        <f aca="false">IFERROR(IF([1]对账明细接口!$G$1159=0,"",[1]对账明细接口!$G$1159),"")</f>
        <v/>
      </c>
      <c r="H1159" s="60" t="str">
        <f aca="false">IFERROR(IF([1]对账明细接口!$H$1159=0,"",[1]对账明细接口!$H$1159),"")</f>
        <v/>
      </c>
      <c r="I1159" s="59" t="str">
        <f aca="false">IFERROR(IF([1]对账明细接口!$I$1159=0,"",[1]对账明细接口!$I$1159),"")</f>
        <v/>
      </c>
      <c r="J1159" s="61" t="str">
        <f aca="false">IFERROR(IF([1]对账明细接口!$J$1159=0,"",[1]对账明细接口!$J$1159),"")</f>
        <v/>
      </c>
      <c r="K1159" s="61" t="str">
        <f aca="false">IFERROR(IF([1]对账明细接口!$K$1159=0,"",[1]对账明细接口!$K$1159),"")</f>
        <v/>
      </c>
      <c r="L1159" s="59" t="str">
        <f aca="false">IFERROR(IF([1]对账明细接口!$L$1159=0,"",[1]对账明细接口!$L$1159),"")</f>
        <v/>
      </c>
      <c r="M1159" s="59" t="str">
        <f aca="false">IFERROR(IF([1]对账明细接口!$M$1159=0,"",[1]对账明细接口!$M$1159),"")</f>
        <v/>
      </c>
      <c r="N1159" s="111" t="n">
        <f aca="false">IF($C1159="",0,1)</f>
        <v>0</v>
      </c>
      <c r="O1159" s="111" t="n">
        <f aca="false">N(O1158)+$N1159</f>
        <v>110</v>
      </c>
      <c r="S1159" s="10" t="str">
        <f aca="false">IFERROR(IF([1]对账明细接口!$N1159=0,"",[1]对账明细接口!$N1159),"")</f>
        <v/>
      </c>
      <c r="T1159" s="112" t="str">
        <f aca="false">IFERROR(IF([1]对账明细接口!$O1159=0,"",[1]对账明细接口!$O1159),"")</f>
        <v/>
      </c>
      <c r="U1159" s="112" t="str">
        <f aca="false">IFERROR(IF([1]对账明细接口!$P1159=0,"",[1]对账明细接口!$P1159),"")</f>
        <v/>
      </c>
      <c r="V1159" s="112" t="str">
        <f aca="false">IFERROR(IF([1]对账明细接口!$Q1159=0,"",[1]对账明细接口!$Q1159),"")</f>
        <v/>
      </c>
      <c r="W1159" s="10" t="str">
        <f aca="false">IFERROR(IF([1]对账明细接口!$R1159=0,"",[1]对账明细接口!$R1159),"")</f>
        <v/>
      </c>
      <c r="X1159" s="10" t="str">
        <f aca="false">IFERROR(IF([1]对账明细接口!$S1159=0,"",[1]对账明细接口!$S1159),"")</f>
        <v/>
      </c>
      <c r="Y1159" s="10" t="str">
        <f aca="false">""</f>
        <v/>
      </c>
      <c r="Z1159" s="10" t="str">
        <f aca="false">""</f>
        <v/>
      </c>
      <c r="AA1159" s="10" t="str">
        <f aca="false">""</f>
        <v/>
      </c>
      <c r="AB1159" s="10" t="str">
        <f aca="false">""</f>
        <v/>
      </c>
    </row>
    <row r="1160" customFormat="false" ht="13.5" hidden="false" customHeight="false" outlineLevel="0" collapsed="false">
      <c r="A1160" s="109" t="n">
        <v>1160</v>
      </c>
      <c r="B1160" s="110" t="str">
        <f aca="false">IFERROR(IF([1]对账明细接口!$B$1160=0,"",[1]对账明细接口!$B$1160),"")</f>
        <v/>
      </c>
      <c r="C1160" s="59" t="str">
        <f aca="false">IFERROR(IF([1]对账明细接口!$C$1160=0,"",[1]对账明细接口!$C$1160),"")</f>
        <v/>
      </c>
      <c r="D1160" s="59" t="str">
        <f aca="false">IFERROR(IF([1]对账明细接口!$D$1160=0,"",[1]对账明细接口!$D$1160),"")</f>
        <v/>
      </c>
      <c r="E1160" s="59" t="str">
        <f aca="false">IFERROR(IF([1]对账明细接口!$E$1160=0,"",[1]对账明细接口!$E$1160),"")</f>
        <v/>
      </c>
      <c r="F1160" s="59" t="str">
        <f aca="false">IFERROR(IF([1]对账明细接口!$F$1160=0,"",[1]对账明细接口!$F$1160),"")</f>
        <v/>
      </c>
      <c r="G1160" s="59" t="str">
        <f aca="false">IFERROR(IF([1]对账明细接口!$G$1160=0,"",[1]对账明细接口!$G$1160),"")</f>
        <v/>
      </c>
      <c r="H1160" s="60" t="str">
        <f aca="false">IFERROR(IF([1]对账明细接口!$H$1160=0,"",[1]对账明细接口!$H$1160),"")</f>
        <v/>
      </c>
      <c r="I1160" s="59" t="str">
        <f aca="false">IFERROR(IF([1]对账明细接口!$I$1160=0,"",[1]对账明细接口!$I$1160),"")</f>
        <v/>
      </c>
      <c r="J1160" s="61" t="str">
        <f aca="false">IFERROR(IF([1]对账明细接口!$J$1160=0,"",[1]对账明细接口!$J$1160),"")</f>
        <v/>
      </c>
      <c r="K1160" s="61" t="str">
        <f aca="false">IFERROR(IF([1]对账明细接口!$K$1160=0,"",[1]对账明细接口!$K$1160),"")</f>
        <v/>
      </c>
      <c r="L1160" s="59" t="str">
        <f aca="false">IFERROR(IF([1]对账明细接口!$L$1160=0,"",[1]对账明细接口!$L$1160),"")</f>
        <v/>
      </c>
      <c r="M1160" s="59" t="str">
        <f aca="false">IFERROR(IF([1]对账明细接口!$M$1160=0,"",[1]对账明细接口!$M$1160),"")</f>
        <v/>
      </c>
      <c r="N1160" s="111" t="n">
        <f aca="false">IF($C1160="",0,1)</f>
        <v>0</v>
      </c>
      <c r="O1160" s="111" t="n">
        <f aca="false">N(O1159)+$N1160</f>
        <v>110</v>
      </c>
      <c r="S1160" s="10" t="str">
        <f aca="false">IFERROR(IF([1]对账明细接口!$N1160=0,"",[1]对账明细接口!$N1160),"")</f>
        <v/>
      </c>
      <c r="T1160" s="112" t="str">
        <f aca="false">IFERROR(IF([1]对账明细接口!$O1160=0,"",[1]对账明细接口!$O1160),"")</f>
        <v/>
      </c>
      <c r="U1160" s="112" t="str">
        <f aca="false">IFERROR(IF([1]对账明细接口!$P1160=0,"",[1]对账明细接口!$P1160),"")</f>
        <v/>
      </c>
      <c r="V1160" s="112" t="str">
        <f aca="false">IFERROR(IF([1]对账明细接口!$Q1160=0,"",[1]对账明细接口!$Q1160),"")</f>
        <v/>
      </c>
      <c r="W1160" s="10" t="str">
        <f aca="false">IFERROR(IF([1]对账明细接口!$R1160=0,"",[1]对账明细接口!$R1160),"")</f>
        <v/>
      </c>
      <c r="X1160" s="10" t="str">
        <f aca="false">IFERROR(IF([1]对账明细接口!$S1160=0,"",[1]对账明细接口!$S1160),"")</f>
        <v/>
      </c>
      <c r="Y1160" s="10" t="str">
        <f aca="false">""</f>
        <v/>
      </c>
      <c r="Z1160" s="10" t="str">
        <f aca="false">""</f>
        <v/>
      </c>
      <c r="AA1160" s="10" t="str">
        <f aca="false">""</f>
        <v/>
      </c>
      <c r="AB1160" s="10" t="str">
        <f aca="false">""</f>
        <v/>
      </c>
    </row>
    <row r="1161" customFormat="false" ht="13.5" hidden="false" customHeight="false" outlineLevel="0" collapsed="false">
      <c r="A1161" s="109" t="n">
        <v>1161</v>
      </c>
      <c r="B1161" s="110" t="str">
        <f aca="false">IFERROR(IF([1]对账明细接口!$B$1161=0,"",[1]对账明细接口!$B$1161),"")</f>
        <v/>
      </c>
      <c r="C1161" s="59" t="str">
        <f aca="false">IFERROR(IF([1]对账明细接口!$C$1161=0,"",[1]对账明细接口!$C$1161),"")</f>
        <v/>
      </c>
      <c r="D1161" s="59" t="str">
        <f aca="false">IFERROR(IF([1]对账明细接口!$D$1161=0,"",[1]对账明细接口!$D$1161),"")</f>
        <v/>
      </c>
      <c r="E1161" s="59" t="str">
        <f aca="false">IFERROR(IF([1]对账明细接口!$E$1161=0,"",[1]对账明细接口!$E$1161),"")</f>
        <v/>
      </c>
      <c r="F1161" s="59" t="str">
        <f aca="false">IFERROR(IF([1]对账明细接口!$F$1161=0,"",[1]对账明细接口!$F$1161),"")</f>
        <v/>
      </c>
      <c r="G1161" s="59" t="str">
        <f aca="false">IFERROR(IF([1]对账明细接口!$G$1161=0,"",[1]对账明细接口!$G$1161),"")</f>
        <v/>
      </c>
      <c r="H1161" s="60" t="str">
        <f aca="false">IFERROR(IF([1]对账明细接口!$H$1161=0,"",[1]对账明细接口!$H$1161),"")</f>
        <v/>
      </c>
      <c r="I1161" s="59" t="str">
        <f aca="false">IFERROR(IF([1]对账明细接口!$I$1161=0,"",[1]对账明细接口!$I$1161),"")</f>
        <v/>
      </c>
      <c r="J1161" s="61" t="str">
        <f aca="false">IFERROR(IF([1]对账明细接口!$J$1161=0,"",[1]对账明细接口!$J$1161),"")</f>
        <v/>
      </c>
      <c r="K1161" s="61" t="str">
        <f aca="false">IFERROR(IF([1]对账明细接口!$K$1161=0,"",[1]对账明细接口!$K$1161),"")</f>
        <v/>
      </c>
      <c r="L1161" s="59" t="str">
        <f aca="false">IFERROR(IF([1]对账明细接口!$L$1161=0,"",[1]对账明细接口!$L$1161),"")</f>
        <v/>
      </c>
      <c r="M1161" s="59" t="str">
        <f aca="false">IFERROR(IF([1]对账明细接口!$M$1161=0,"",[1]对账明细接口!$M$1161),"")</f>
        <v/>
      </c>
      <c r="N1161" s="111" t="n">
        <f aca="false">IF($C1161="",0,1)</f>
        <v>0</v>
      </c>
      <c r="O1161" s="111" t="n">
        <f aca="false">N(O1160)+$N1161</f>
        <v>110</v>
      </c>
      <c r="S1161" s="10" t="str">
        <f aca="false">IFERROR(IF([1]对账明细接口!$N1161=0,"",[1]对账明细接口!$N1161),"")</f>
        <v/>
      </c>
      <c r="T1161" s="112" t="str">
        <f aca="false">IFERROR(IF([1]对账明细接口!$O1161=0,"",[1]对账明细接口!$O1161),"")</f>
        <v/>
      </c>
      <c r="U1161" s="112" t="str">
        <f aca="false">IFERROR(IF([1]对账明细接口!$P1161=0,"",[1]对账明细接口!$P1161),"")</f>
        <v/>
      </c>
      <c r="V1161" s="112" t="str">
        <f aca="false">IFERROR(IF([1]对账明细接口!$Q1161=0,"",[1]对账明细接口!$Q1161),"")</f>
        <v/>
      </c>
      <c r="W1161" s="10" t="str">
        <f aca="false">IFERROR(IF([1]对账明细接口!$R1161=0,"",[1]对账明细接口!$R1161),"")</f>
        <v/>
      </c>
      <c r="X1161" s="10" t="str">
        <f aca="false">IFERROR(IF([1]对账明细接口!$S1161=0,"",[1]对账明细接口!$S1161),"")</f>
        <v/>
      </c>
      <c r="Y1161" s="10" t="str">
        <f aca="false">""</f>
        <v/>
      </c>
      <c r="Z1161" s="10" t="str">
        <f aca="false">""</f>
        <v/>
      </c>
      <c r="AA1161" s="10" t="str">
        <f aca="false">""</f>
        <v/>
      </c>
      <c r="AB1161" s="10" t="str">
        <f aca="false">""</f>
        <v/>
      </c>
    </row>
    <row r="1162" customFormat="false" ht="13.5" hidden="false" customHeight="false" outlineLevel="0" collapsed="false">
      <c r="A1162" s="109" t="n">
        <v>1162</v>
      </c>
      <c r="B1162" s="110" t="str">
        <f aca="false">IFERROR(IF([1]对账明细接口!$B$1162=0,"",[1]对账明细接口!$B$1162),"")</f>
        <v/>
      </c>
      <c r="C1162" s="59" t="str">
        <f aca="false">IFERROR(IF([1]对账明细接口!$C$1162=0,"",[1]对账明细接口!$C$1162),"")</f>
        <v/>
      </c>
      <c r="D1162" s="59" t="str">
        <f aca="false">IFERROR(IF([1]对账明细接口!$D$1162=0,"",[1]对账明细接口!$D$1162),"")</f>
        <v/>
      </c>
      <c r="E1162" s="59" t="str">
        <f aca="false">IFERROR(IF([1]对账明细接口!$E$1162=0,"",[1]对账明细接口!$E$1162),"")</f>
        <v/>
      </c>
      <c r="F1162" s="59" t="str">
        <f aca="false">IFERROR(IF([1]对账明细接口!$F$1162=0,"",[1]对账明细接口!$F$1162),"")</f>
        <v/>
      </c>
      <c r="G1162" s="59" t="str">
        <f aca="false">IFERROR(IF([1]对账明细接口!$G$1162=0,"",[1]对账明细接口!$G$1162),"")</f>
        <v/>
      </c>
      <c r="H1162" s="60" t="str">
        <f aca="false">IFERROR(IF([1]对账明细接口!$H$1162=0,"",[1]对账明细接口!$H$1162),"")</f>
        <v/>
      </c>
      <c r="I1162" s="59" t="str">
        <f aca="false">IFERROR(IF([1]对账明细接口!$I$1162=0,"",[1]对账明细接口!$I$1162),"")</f>
        <v/>
      </c>
      <c r="J1162" s="61" t="str">
        <f aca="false">IFERROR(IF([1]对账明细接口!$J$1162=0,"",[1]对账明细接口!$J$1162),"")</f>
        <v/>
      </c>
      <c r="K1162" s="61" t="str">
        <f aca="false">IFERROR(IF([1]对账明细接口!$K$1162=0,"",[1]对账明细接口!$K$1162),"")</f>
        <v/>
      </c>
      <c r="L1162" s="59" t="str">
        <f aca="false">IFERROR(IF([1]对账明细接口!$L$1162=0,"",[1]对账明细接口!$L$1162),"")</f>
        <v/>
      </c>
      <c r="M1162" s="59" t="str">
        <f aca="false">IFERROR(IF([1]对账明细接口!$M$1162=0,"",[1]对账明细接口!$M$1162),"")</f>
        <v/>
      </c>
      <c r="N1162" s="111" t="n">
        <f aca="false">IF($C1162="",0,1)</f>
        <v>0</v>
      </c>
      <c r="O1162" s="111" t="n">
        <f aca="false">N(O1161)+$N1162</f>
        <v>110</v>
      </c>
      <c r="S1162" s="10" t="str">
        <f aca="false">IFERROR(IF([1]对账明细接口!$N1162=0,"",[1]对账明细接口!$N1162),"")</f>
        <v/>
      </c>
      <c r="T1162" s="112" t="str">
        <f aca="false">IFERROR(IF([1]对账明细接口!$O1162=0,"",[1]对账明细接口!$O1162),"")</f>
        <v/>
      </c>
      <c r="U1162" s="112" t="str">
        <f aca="false">IFERROR(IF([1]对账明细接口!$P1162=0,"",[1]对账明细接口!$P1162),"")</f>
        <v/>
      </c>
      <c r="V1162" s="112" t="str">
        <f aca="false">IFERROR(IF([1]对账明细接口!$Q1162=0,"",[1]对账明细接口!$Q1162),"")</f>
        <v/>
      </c>
      <c r="W1162" s="10" t="str">
        <f aca="false">IFERROR(IF([1]对账明细接口!$R1162=0,"",[1]对账明细接口!$R1162),"")</f>
        <v/>
      </c>
      <c r="X1162" s="10" t="str">
        <f aca="false">IFERROR(IF([1]对账明细接口!$S1162=0,"",[1]对账明细接口!$S1162),"")</f>
        <v/>
      </c>
      <c r="Y1162" s="10" t="str">
        <f aca="false">""</f>
        <v/>
      </c>
      <c r="Z1162" s="10" t="str">
        <f aca="false">""</f>
        <v/>
      </c>
      <c r="AA1162" s="10" t="str">
        <f aca="false">""</f>
        <v/>
      </c>
      <c r="AB1162" s="10" t="str">
        <f aca="false">""</f>
        <v/>
      </c>
    </row>
    <row r="1163" customFormat="false" ht="13.5" hidden="false" customHeight="false" outlineLevel="0" collapsed="false">
      <c r="A1163" s="109" t="n">
        <v>1163</v>
      </c>
      <c r="B1163" s="110" t="str">
        <f aca="false">IFERROR(IF([1]对账明细接口!$B$1163=0,"",[1]对账明细接口!$B$1163),"")</f>
        <v/>
      </c>
      <c r="C1163" s="59" t="str">
        <f aca="false">IFERROR(IF([1]对账明细接口!$C$1163=0,"",[1]对账明细接口!$C$1163),"")</f>
        <v/>
      </c>
      <c r="D1163" s="59" t="str">
        <f aca="false">IFERROR(IF([1]对账明细接口!$D$1163=0,"",[1]对账明细接口!$D$1163),"")</f>
        <v/>
      </c>
      <c r="E1163" s="59" t="str">
        <f aca="false">IFERROR(IF([1]对账明细接口!$E$1163=0,"",[1]对账明细接口!$E$1163),"")</f>
        <v/>
      </c>
      <c r="F1163" s="59" t="str">
        <f aca="false">IFERROR(IF([1]对账明细接口!$F$1163=0,"",[1]对账明细接口!$F$1163),"")</f>
        <v/>
      </c>
      <c r="G1163" s="59" t="str">
        <f aca="false">IFERROR(IF([1]对账明细接口!$G$1163=0,"",[1]对账明细接口!$G$1163),"")</f>
        <v/>
      </c>
      <c r="H1163" s="60" t="str">
        <f aca="false">IFERROR(IF([1]对账明细接口!$H$1163=0,"",[1]对账明细接口!$H$1163),"")</f>
        <v/>
      </c>
      <c r="I1163" s="59" t="str">
        <f aca="false">IFERROR(IF([1]对账明细接口!$I$1163=0,"",[1]对账明细接口!$I$1163),"")</f>
        <v/>
      </c>
      <c r="J1163" s="61" t="str">
        <f aca="false">IFERROR(IF([1]对账明细接口!$J$1163=0,"",[1]对账明细接口!$J$1163),"")</f>
        <v/>
      </c>
      <c r="K1163" s="61" t="str">
        <f aca="false">IFERROR(IF([1]对账明细接口!$K$1163=0,"",[1]对账明细接口!$K$1163),"")</f>
        <v/>
      </c>
      <c r="L1163" s="59" t="str">
        <f aca="false">IFERROR(IF([1]对账明细接口!$L$1163=0,"",[1]对账明细接口!$L$1163),"")</f>
        <v/>
      </c>
      <c r="M1163" s="59" t="str">
        <f aca="false">IFERROR(IF([1]对账明细接口!$M$1163=0,"",[1]对账明细接口!$M$1163),"")</f>
        <v/>
      </c>
      <c r="N1163" s="111" t="n">
        <f aca="false">IF($C1163="",0,1)</f>
        <v>0</v>
      </c>
      <c r="O1163" s="111" t="n">
        <f aca="false">N(O1162)+$N1163</f>
        <v>110</v>
      </c>
      <c r="S1163" s="10" t="str">
        <f aca="false">IFERROR(IF([1]对账明细接口!$N1163=0,"",[1]对账明细接口!$N1163),"")</f>
        <v/>
      </c>
      <c r="T1163" s="112" t="str">
        <f aca="false">IFERROR(IF([1]对账明细接口!$O1163=0,"",[1]对账明细接口!$O1163),"")</f>
        <v/>
      </c>
      <c r="U1163" s="112" t="str">
        <f aca="false">IFERROR(IF([1]对账明细接口!$P1163=0,"",[1]对账明细接口!$P1163),"")</f>
        <v/>
      </c>
      <c r="V1163" s="112" t="str">
        <f aca="false">IFERROR(IF([1]对账明细接口!$Q1163=0,"",[1]对账明细接口!$Q1163),"")</f>
        <v/>
      </c>
      <c r="W1163" s="10" t="str">
        <f aca="false">IFERROR(IF([1]对账明细接口!$R1163=0,"",[1]对账明细接口!$R1163),"")</f>
        <v/>
      </c>
      <c r="X1163" s="10" t="str">
        <f aca="false">IFERROR(IF([1]对账明细接口!$S1163=0,"",[1]对账明细接口!$S1163),"")</f>
        <v/>
      </c>
      <c r="Y1163" s="10" t="str">
        <f aca="false">""</f>
        <v/>
      </c>
      <c r="Z1163" s="10" t="str">
        <f aca="false">""</f>
        <v/>
      </c>
      <c r="AA1163" s="10" t="str">
        <f aca="false">""</f>
        <v/>
      </c>
      <c r="AB1163" s="10" t="str">
        <f aca="false">""</f>
        <v/>
      </c>
    </row>
    <row r="1164" customFormat="false" ht="13.5" hidden="false" customHeight="false" outlineLevel="0" collapsed="false">
      <c r="A1164" s="109" t="n">
        <v>1164</v>
      </c>
      <c r="B1164" s="110" t="str">
        <f aca="false">IFERROR(IF([1]对账明细接口!$B$1164=0,"",[1]对账明细接口!$B$1164),"")</f>
        <v/>
      </c>
      <c r="C1164" s="59" t="str">
        <f aca="false">IFERROR(IF([1]对账明细接口!$C$1164=0,"",[1]对账明细接口!$C$1164),"")</f>
        <v/>
      </c>
      <c r="D1164" s="59" t="str">
        <f aca="false">IFERROR(IF([1]对账明细接口!$D$1164=0,"",[1]对账明细接口!$D$1164),"")</f>
        <v/>
      </c>
      <c r="E1164" s="59" t="str">
        <f aca="false">IFERROR(IF([1]对账明细接口!$E$1164=0,"",[1]对账明细接口!$E$1164),"")</f>
        <v/>
      </c>
      <c r="F1164" s="59" t="str">
        <f aca="false">IFERROR(IF([1]对账明细接口!$F$1164=0,"",[1]对账明细接口!$F$1164),"")</f>
        <v/>
      </c>
      <c r="G1164" s="59" t="str">
        <f aca="false">IFERROR(IF([1]对账明细接口!$G$1164=0,"",[1]对账明细接口!$G$1164),"")</f>
        <v/>
      </c>
      <c r="H1164" s="60" t="str">
        <f aca="false">IFERROR(IF([1]对账明细接口!$H$1164=0,"",[1]对账明细接口!$H$1164),"")</f>
        <v/>
      </c>
      <c r="I1164" s="59" t="str">
        <f aca="false">IFERROR(IF([1]对账明细接口!$I$1164=0,"",[1]对账明细接口!$I$1164),"")</f>
        <v/>
      </c>
      <c r="J1164" s="61" t="str">
        <f aca="false">IFERROR(IF([1]对账明细接口!$J$1164=0,"",[1]对账明细接口!$J$1164),"")</f>
        <v/>
      </c>
      <c r="K1164" s="61" t="str">
        <f aca="false">IFERROR(IF([1]对账明细接口!$K$1164=0,"",[1]对账明细接口!$K$1164),"")</f>
        <v/>
      </c>
      <c r="L1164" s="59" t="str">
        <f aca="false">IFERROR(IF([1]对账明细接口!$L$1164=0,"",[1]对账明细接口!$L$1164),"")</f>
        <v/>
      </c>
      <c r="M1164" s="59" t="str">
        <f aca="false">IFERROR(IF([1]对账明细接口!$M$1164=0,"",[1]对账明细接口!$M$1164),"")</f>
        <v/>
      </c>
      <c r="N1164" s="111" t="n">
        <f aca="false">IF($C1164="",0,1)</f>
        <v>0</v>
      </c>
      <c r="O1164" s="111" t="n">
        <f aca="false">N(O1163)+$N1164</f>
        <v>110</v>
      </c>
      <c r="S1164" s="10" t="str">
        <f aca="false">IFERROR(IF([1]对账明细接口!$N1164=0,"",[1]对账明细接口!$N1164),"")</f>
        <v/>
      </c>
      <c r="T1164" s="112" t="str">
        <f aca="false">IFERROR(IF([1]对账明细接口!$O1164=0,"",[1]对账明细接口!$O1164),"")</f>
        <v/>
      </c>
      <c r="U1164" s="112" t="str">
        <f aca="false">IFERROR(IF([1]对账明细接口!$P1164=0,"",[1]对账明细接口!$P1164),"")</f>
        <v/>
      </c>
      <c r="V1164" s="112" t="str">
        <f aca="false">IFERROR(IF([1]对账明细接口!$Q1164=0,"",[1]对账明细接口!$Q1164),"")</f>
        <v/>
      </c>
      <c r="W1164" s="10" t="str">
        <f aca="false">IFERROR(IF([1]对账明细接口!$R1164=0,"",[1]对账明细接口!$R1164),"")</f>
        <v/>
      </c>
      <c r="X1164" s="10" t="str">
        <f aca="false">IFERROR(IF([1]对账明细接口!$S1164=0,"",[1]对账明细接口!$S1164),"")</f>
        <v/>
      </c>
      <c r="Y1164" s="10" t="str">
        <f aca="false">""</f>
        <v/>
      </c>
      <c r="Z1164" s="10" t="str">
        <f aca="false">""</f>
        <v/>
      </c>
      <c r="AA1164" s="10" t="str">
        <f aca="false">""</f>
        <v/>
      </c>
      <c r="AB1164" s="10" t="str">
        <f aca="false">""</f>
        <v/>
      </c>
    </row>
    <row r="1165" customFormat="false" ht="13.5" hidden="false" customHeight="false" outlineLevel="0" collapsed="false">
      <c r="A1165" s="109" t="n">
        <v>1165</v>
      </c>
      <c r="B1165" s="110" t="str">
        <f aca="false">IFERROR(IF([1]对账明细接口!$B$1165=0,"",[1]对账明细接口!$B$1165),"")</f>
        <v/>
      </c>
      <c r="C1165" s="59" t="str">
        <f aca="false">IFERROR(IF([1]对账明细接口!$C$1165=0,"",[1]对账明细接口!$C$1165),"")</f>
        <v/>
      </c>
      <c r="D1165" s="59" t="str">
        <f aca="false">IFERROR(IF([1]对账明细接口!$D$1165=0,"",[1]对账明细接口!$D$1165),"")</f>
        <v/>
      </c>
      <c r="E1165" s="59" t="str">
        <f aca="false">IFERROR(IF([1]对账明细接口!$E$1165=0,"",[1]对账明细接口!$E$1165),"")</f>
        <v/>
      </c>
      <c r="F1165" s="59" t="str">
        <f aca="false">IFERROR(IF([1]对账明细接口!$F$1165=0,"",[1]对账明细接口!$F$1165),"")</f>
        <v/>
      </c>
      <c r="G1165" s="59" t="str">
        <f aca="false">IFERROR(IF([1]对账明细接口!$G$1165=0,"",[1]对账明细接口!$G$1165),"")</f>
        <v/>
      </c>
      <c r="H1165" s="60" t="str">
        <f aca="false">IFERROR(IF([1]对账明细接口!$H$1165=0,"",[1]对账明细接口!$H$1165),"")</f>
        <v/>
      </c>
      <c r="I1165" s="59" t="str">
        <f aca="false">IFERROR(IF([1]对账明细接口!$I$1165=0,"",[1]对账明细接口!$I$1165),"")</f>
        <v/>
      </c>
      <c r="J1165" s="61" t="str">
        <f aca="false">IFERROR(IF([1]对账明细接口!$J$1165=0,"",[1]对账明细接口!$J$1165),"")</f>
        <v/>
      </c>
      <c r="K1165" s="61" t="str">
        <f aca="false">IFERROR(IF([1]对账明细接口!$K$1165=0,"",[1]对账明细接口!$K$1165),"")</f>
        <v/>
      </c>
      <c r="L1165" s="59" t="str">
        <f aca="false">IFERROR(IF([1]对账明细接口!$L$1165=0,"",[1]对账明细接口!$L$1165),"")</f>
        <v/>
      </c>
      <c r="M1165" s="59" t="str">
        <f aca="false">IFERROR(IF([1]对账明细接口!$M$1165=0,"",[1]对账明细接口!$M$1165),"")</f>
        <v/>
      </c>
      <c r="N1165" s="111" t="n">
        <f aca="false">IF($C1165="",0,1)</f>
        <v>0</v>
      </c>
      <c r="O1165" s="111" t="n">
        <f aca="false">N(O1164)+$N1165</f>
        <v>110</v>
      </c>
      <c r="S1165" s="10" t="str">
        <f aca="false">IFERROR(IF([1]对账明细接口!$N1165=0,"",[1]对账明细接口!$N1165),"")</f>
        <v/>
      </c>
      <c r="T1165" s="112" t="str">
        <f aca="false">IFERROR(IF([1]对账明细接口!$O1165=0,"",[1]对账明细接口!$O1165),"")</f>
        <v/>
      </c>
      <c r="U1165" s="112" t="str">
        <f aca="false">IFERROR(IF([1]对账明细接口!$P1165=0,"",[1]对账明细接口!$P1165),"")</f>
        <v/>
      </c>
      <c r="V1165" s="112" t="str">
        <f aca="false">IFERROR(IF([1]对账明细接口!$Q1165=0,"",[1]对账明细接口!$Q1165),"")</f>
        <v/>
      </c>
      <c r="W1165" s="10" t="str">
        <f aca="false">IFERROR(IF([1]对账明细接口!$R1165=0,"",[1]对账明细接口!$R1165),"")</f>
        <v/>
      </c>
      <c r="X1165" s="10" t="str">
        <f aca="false">IFERROR(IF([1]对账明细接口!$S1165=0,"",[1]对账明细接口!$S1165),"")</f>
        <v/>
      </c>
      <c r="Y1165" s="10" t="str">
        <f aca="false">""</f>
        <v/>
      </c>
      <c r="Z1165" s="10" t="str">
        <f aca="false">""</f>
        <v/>
      </c>
      <c r="AA1165" s="10" t="str">
        <f aca="false">""</f>
        <v/>
      </c>
      <c r="AB1165" s="10" t="str">
        <f aca="false">""</f>
        <v/>
      </c>
    </row>
    <row r="1166" customFormat="false" ht="13.5" hidden="false" customHeight="false" outlineLevel="0" collapsed="false">
      <c r="A1166" s="109" t="n">
        <v>1166</v>
      </c>
      <c r="B1166" s="110" t="str">
        <f aca="false">IFERROR(IF([1]对账明细接口!$B$1166=0,"",[1]对账明细接口!$B$1166),"")</f>
        <v/>
      </c>
      <c r="C1166" s="59" t="str">
        <f aca="false">IFERROR(IF([1]对账明细接口!$C$1166=0,"",[1]对账明细接口!$C$1166),"")</f>
        <v/>
      </c>
      <c r="D1166" s="59" t="str">
        <f aca="false">IFERROR(IF([1]对账明细接口!$D$1166=0,"",[1]对账明细接口!$D$1166),"")</f>
        <v/>
      </c>
      <c r="E1166" s="59" t="str">
        <f aca="false">IFERROR(IF([1]对账明细接口!$E$1166=0,"",[1]对账明细接口!$E$1166),"")</f>
        <v/>
      </c>
      <c r="F1166" s="59" t="str">
        <f aca="false">IFERROR(IF([1]对账明细接口!$F$1166=0,"",[1]对账明细接口!$F$1166),"")</f>
        <v/>
      </c>
      <c r="G1166" s="59" t="str">
        <f aca="false">IFERROR(IF([1]对账明细接口!$G$1166=0,"",[1]对账明细接口!$G$1166),"")</f>
        <v/>
      </c>
      <c r="H1166" s="60" t="str">
        <f aca="false">IFERROR(IF([1]对账明细接口!$H$1166=0,"",[1]对账明细接口!$H$1166),"")</f>
        <v/>
      </c>
      <c r="I1166" s="59" t="str">
        <f aca="false">IFERROR(IF([1]对账明细接口!$I$1166=0,"",[1]对账明细接口!$I$1166),"")</f>
        <v/>
      </c>
      <c r="J1166" s="61" t="str">
        <f aca="false">IFERROR(IF([1]对账明细接口!$J$1166=0,"",[1]对账明细接口!$J$1166),"")</f>
        <v/>
      </c>
      <c r="K1166" s="61" t="str">
        <f aca="false">IFERROR(IF([1]对账明细接口!$K$1166=0,"",[1]对账明细接口!$K$1166),"")</f>
        <v/>
      </c>
      <c r="L1166" s="59" t="str">
        <f aca="false">IFERROR(IF([1]对账明细接口!$L$1166=0,"",[1]对账明细接口!$L$1166),"")</f>
        <v/>
      </c>
      <c r="M1166" s="59" t="str">
        <f aca="false">IFERROR(IF([1]对账明细接口!$M$1166=0,"",[1]对账明细接口!$M$1166),"")</f>
        <v/>
      </c>
      <c r="N1166" s="111" t="n">
        <f aca="false">IF($C1166="",0,1)</f>
        <v>0</v>
      </c>
      <c r="O1166" s="111" t="n">
        <f aca="false">N(O1165)+$N1166</f>
        <v>110</v>
      </c>
      <c r="S1166" s="10" t="str">
        <f aca="false">IFERROR(IF([1]对账明细接口!$N1166=0,"",[1]对账明细接口!$N1166),"")</f>
        <v/>
      </c>
      <c r="T1166" s="112" t="str">
        <f aca="false">IFERROR(IF([1]对账明细接口!$O1166=0,"",[1]对账明细接口!$O1166),"")</f>
        <v/>
      </c>
      <c r="U1166" s="112" t="str">
        <f aca="false">IFERROR(IF([1]对账明细接口!$P1166=0,"",[1]对账明细接口!$P1166),"")</f>
        <v/>
      </c>
      <c r="V1166" s="112" t="str">
        <f aca="false">IFERROR(IF([1]对账明细接口!$Q1166=0,"",[1]对账明细接口!$Q1166),"")</f>
        <v/>
      </c>
      <c r="W1166" s="10" t="str">
        <f aca="false">IFERROR(IF([1]对账明细接口!$R1166=0,"",[1]对账明细接口!$R1166),"")</f>
        <v/>
      </c>
      <c r="X1166" s="10" t="str">
        <f aca="false">IFERROR(IF([1]对账明细接口!$S1166=0,"",[1]对账明细接口!$S1166),"")</f>
        <v/>
      </c>
      <c r="Y1166" s="10" t="str">
        <f aca="false">""</f>
        <v/>
      </c>
      <c r="Z1166" s="10" t="str">
        <f aca="false">""</f>
        <v/>
      </c>
      <c r="AA1166" s="10" t="str">
        <f aca="false">""</f>
        <v/>
      </c>
      <c r="AB1166" s="10" t="str">
        <f aca="false">""</f>
        <v/>
      </c>
    </row>
    <row r="1167" customFormat="false" ht="13.5" hidden="false" customHeight="false" outlineLevel="0" collapsed="false">
      <c r="A1167" s="109" t="n">
        <v>1167</v>
      </c>
      <c r="B1167" s="110" t="str">
        <f aca="false">IFERROR(IF([1]对账明细接口!$B$1167=0,"",[1]对账明细接口!$B$1167),"")</f>
        <v/>
      </c>
      <c r="C1167" s="59" t="str">
        <f aca="false">IFERROR(IF([1]对账明细接口!$C$1167=0,"",[1]对账明细接口!$C$1167),"")</f>
        <v/>
      </c>
      <c r="D1167" s="59" t="str">
        <f aca="false">IFERROR(IF([1]对账明细接口!$D$1167=0,"",[1]对账明细接口!$D$1167),"")</f>
        <v/>
      </c>
      <c r="E1167" s="59" t="str">
        <f aca="false">IFERROR(IF([1]对账明细接口!$E$1167=0,"",[1]对账明细接口!$E$1167),"")</f>
        <v/>
      </c>
      <c r="F1167" s="59" t="str">
        <f aca="false">IFERROR(IF([1]对账明细接口!$F$1167=0,"",[1]对账明细接口!$F$1167),"")</f>
        <v/>
      </c>
      <c r="G1167" s="59" t="str">
        <f aca="false">IFERROR(IF([1]对账明细接口!$G$1167=0,"",[1]对账明细接口!$G$1167),"")</f>
        <v/>
      </c>
      <c r="H1167" s="60" t="str">
        <f aca="false">IFERROR(IF([1]对账明细接口!$H$1167=0,"",[1]对账明细接口!$H$1167),"")</f>
        <v/>
      </c>
      <c r="I1167" s="59" t="str">
        <f aca="false">IFERROR(IF([1]对账明细接口!$I$1167=0,"",[1]对账明细接口!$I$1167),"")</f>
        <v/>
      </c>
      <c r="J1167" s="61" t="str">
        <f aca="false">IFERROR(IF([1]对账明细接口!$J$1167=0,"",[1]对账明细接口!$J$1167),"")</f>
        <v/>
      </c>
      <c r="K1167" s="61" t="str">
        <f aca="false">IFERROR(IF([1]对账明细接口!$K$1167=0,"",[1]对账明细接口!$K$1167),"")</f>
        <v/>
      </c>
      <c r="L1167" s="59" t="str">
        <f aca="false">IFERROR(IF([1]对账明细接口!$L$1167=0,"",[1]对账明细接口!$L$1167),"")</f>
        <v/>
      </c>
      <c r="M1167" s="59" t="str">
        <f aca="false">IFERROR(IF([1]对账明细接口!$M$1167=0,"",[1]对账明细接口!$M$1167),"")</f>
        <v/>
      </c>
      <c r="N1167" s="111" t="n">
        <f aca="false">IF($C1167="",0,1)</f>
        <v>0</v>
      </c>
      <c r="O1167" s="111" t="n">
        <f aca="false">N(O1166)+$N1167</f>
        <v>110</v>
      </c>
      <c r="S1167" s="10" t="str">
        <f aca="false">IFERROR(IF([1]对账明细接口!$N1167=0,"",[1]对账明细接口!$N1167),"")</f>
        <v/>
      </c>
      <c r="T1167" s="112" t="str">
        <f aca="false">IFERROR(IF([1]对账明细接口!$O1167=0,"",[1]对账明细接口!$O1167),"")</f>
        <v/>
      </c>
      <c r="U1167" s="112" t="str">
        <f aca="false">IFERROR(IF([1]对账明细接口!$P1167=0,"",[1]对账明细接口!$P1167),"")</f>
        <v/>
      </c>
      <c r="V1167" s="112" t="str">
        <f aca="false">IFERROR(IF([1]对账明细接口!$Q1167=0,"",[1]对账明细接口!$Q1167),"")</f>
        <v/>
      </c>
      <c r="W1167" s="10" t="str">
        <f aca="false">IFERROR(IF([1]对账明细接口!$R1167=0,"",[1]对账明细接口!$R1167),"")</f>
        <v/>
      </c>
      <c r="X1167" s="10" t="str">
        <f aca="false">IFERROR(IF([1]对账明细接口!$S1167=0,"",[1]对账明细接口!$S1167),"")</f>
        <v/>
      </c>
      <c r="Y1167" s="10" t="str">
        <f aca="false">""</f>
        <v/>
      </c>
      <c r="Z1167" s="10" t="str">
        <f aca="false">""</f>
        <v/>
      </c>
      <c r="AA1167" s="10" t="str">
        <f aca="false">""</f>
        <v/>
      </c>
      <c r="AB1167" s="10" t="str">
        <f aca="false">""</f>
        <v/>
      </c>
    </row>
    <row r="1168" customFormat="false" ht="13.5" hidden="false" customHeight="false" outlineLevel="0" collapsed="false">
      <c r="A1168" s="109" t="n">
        <v>1168</v>
      </c>
      <c r="B1168" s="110" t="str">
        <f aca="false">IFERROR(IF([1]对账明细接口!$B$1168=0,"",[1]对账明细接口!$B$1168),"")</f>
        <v/>
      </c>
      <c r="C1168" s="59" t="str">
        <f aca="false">IFERROR(IF([1]对账明细接口!$C$1168=0,"",[1]对账明细接口!$C$1168),"")</f>
        <v/>
      </c>
      <c r="D1168" s="59" t="str">
        <f aca="false">IFERROR(IF([1]对账明细接口!$D$1168=0,"",[1]对账明细接口!$D$1168),"")</f>
        <v/>
      </c>
      <c r="E1168" s="59" t="str">
        <f aca="false">IFERROR(IF([1]对账明细接口!$E$1168=0,"",[1]对账明细接口!$E$1168),"")</f>
        <v/>
      </c>
      <c r="F1168" s="59" t="str">
        <f aca="false">IFERROR(IF([1]对账明细接口!$F$1168=0,"",[1]对账明细接口!$F$1168),"")</f>
        <v/>
      </c>
      <c r="G1168" s="59" t="str">
        <f aca="false">IFERROR(IF([1]对账明细接口!$G$1168=0,"",[1]对账明细接口!$G$1168),"")</f>
        <v/>
      </c>
      <c r="H1168" s="60" t="str">
        <f aca="false">IFERROR(IF([1]对账明细接口!$H$1168=0,"",[1]对账明细接口!$H$1168),"")</f>
        <v/>
      </c>
      <c r="I1168" s="59" t="str">
        <f aca="false">IFERROR(IF([1]对账明细接口!$I$1168=0,"",[1]对账明细接口!$I$1168),"")</f>
        <v/>
      </c>
      <c r="J1168" s="61" t="str">
        <f aca="false">IFERROR(IF([1]对账明细接口!$J$1168=0,"",[1]对账明细接口!$J$1168),"")</f>
        <v/>
      </c>
      <c r="K1168" s="61" t="str">
        <f aca="false">IFERROR(IF([1]对账明细接口!$K$1168=0,"",[1]对账明细接口!$K$1168),"")</f>
        <v/>
      </c>
      <c r="L1168" s="59" t="str">
        <f aca="false">IFERROR(IF([1]对账明细接口!$L$1168=0,"",[1]对账明细接口!$L$1168),"")</f>
        <v/>
      </c>
      <c r="M1168" s="59" t="str">
        <f aca="false">IFERROR(IF([1]对账明细接口!$M$1168=0,"",[1]对账明细接口!$M$1168),"")</f>
        <v/>
      </c>
      <c r="N1168" s="111" t="n">
        <f aca="false">IF($C1168="",0,1)</f>
        <v>0</v>
      </c>
      <c r="O1168" s="111" t="n">
        <f aca="false">N(O1167)+$N1168</f>
        <v>110</v>
      </c>
      <c r="S1168" s="10" t="str">
        <f aca="false">IFERROR(IF([1]对账明细接口!$N1168=0,"",[1]对账明细接口!$N1168),"")</f>
        <v/>
      </c>
      <c r="T1168" s="112" t="str">
        <f aca="false">IFERROR(IF([1]对账明细接口!$O1168=0,"",[1]对账明细接口!$O1168),"")</f>
        <v/>
      </c>
      <c r="U1168" s="112" t="str">
        <f aca="false">IFERROR(IF([1]对账明细接口!$P1168=0,"",[1]对账明细接口!$P1168),"")</f>
        <v/>
      </c>
      <c r="V1168" s="112" t="str">
        <f aca="false">IFERROR(IF([1]对账明细接口!$Q1168=0,"",[1]对账明细接口!$Q1168),"")</f>
        <v/>
      </c>
      <c r="W1168" s="10" t="str">
        <f aca="false">IFERROR(IF([1]对账明细接口!$R1168=0,"",[1]对账明细接口!$R1168),"")</f>
        <v/>
      </c>
      <c r="X1168" s="10" t="str">
        <f aca="false">IFERROR(IF([1]对账明细接口!$S1168=0,"",[1]对账明细接口!$S1168),"")</f>
        <v/>
      </c>
      <c r="Y1168" s="10" t="str">
        <f aca="false">""</f>
        <v/>
      </c>
      <c r="Z1168" s="10" t="str">
        <f aca="false">""</f>
        <v/>
      </c>
      <c r="AA1168" s="10" t="str">
        <f aca="false">""</f>
        <v/>
      </c>
      <c r="AB1168" s="10" t="str">
        <f aca="false">""</f>
        <v/>
      </c>
    </row>
    <row r="1169" customFormat="false" ht="13.5" hidden="false" customHeight="false" outlineLevel="0" collapsed="false">
      <c r="A1169" s="109" t="n">
        <v>1169</v>
      </c>
      <c r="B1169" s="110" t="str">
        <f aca="false">IFERROR(IF([1]对账明细接口!$B$1169=0,"",[1]对账明细接口!$B$1169),"")</f>
        <v/>
      </c>
      <c r="C1169" s="59" t="str">
        <f aca="false">IFERROR(IF([1]对账明细接口!$C$1169=0,"",[1]对账明细接口!$C$1169),"")</f>
        <v/>
      </c>
      <c r="D1169" s="59" t="str">
        <f aca="false">IFERROR(IF([1]对账明细接口!$D$1169=0,"",[1]对账明细接口!$D$1169),"")</f>
        <v/>
      </c>
      <c r="E1169" s="59" t="str">
        <f aca="false">IFERROR(IF([1]对账明细接口!$E$1169=0,"",[1]对账明细接口!$E$1169),"")</f>
        <v/>
      </c>
      <c r="F1169" s="59" t="str">
        <f aca="false">IFERROR(IF([1]对账明细接口!$F$1169=0,"",[1]对账明细接口!$F$1169),"")</f>
        <v/>
      </c>
      <c r="G1169" s="59" t="str">
        <f aca="false">IFERROR(IF([1]对账明细接口!$G$1169=0,"",[1]对账明细接口!$G$1169),"")</f>
        <v/>
      </c>
      <c r="H1169" s="60" t="str">
        <f aca="false">IFERROR(IF([1]对账明细接口!$H$1169=0,"",[1]对账明细接口!$H$1169),"")</f>
        <v/>
      </c>
      <c r="I1169" s="59" t="str">
        <f aca="false">IFERROR(IF([1]对账明细接口!$I$1169=0,"",[1]对账明细接口!$I$1169),"")</f>
        <v/>
      </c>
      <c r="J1169" s="61" t="str">
        <f aca="false">IFERROR(IF([1]对账明细接口!$J$1169=0,"",[1]对账明细接口!$J$1169),"")</f>
        <v/>
      </c>
      <c r="K1169" s="61" t="str">
        <f aca="false">IFERROR(IF([1]对账明细接口!$K$1169=0,"",[1]对账明细接口!$K$1169),"")</f>
        <v/>
      </c>
      <c r="L1169" s="59" t="str">
        <f aca="false">IFERROR(IF([1]对账明细接口!$L$1169=0,"",[1]对账明细接口!$L$1169),"")</f>
        <v/>
      </c>
      <c r="M1169" s="59" t="str">
        <f aca="false">IFERROR(IF([1]对账明细接口!$M$1169=0,"",[1]对账明细接口!$M$1169),"")</f>
        <v/>
      </c>
      <c r="N1169" s="111" t="n">
        <f aca="false">IF($C1169="",0,1)</f>
        <v>0</v>
      </c>
      <c r="O1169" s="111" t="n">
        <f aca="false">N(O1168)+$N1169</f>
        <v>110</v>
      </c>
      <c r="S1169" s="10" t="str">
        <f aca="false">IFERROR(IF([1]对账明细接口!$N1169=0,"",[1]对账明细接口!$N1169),"")</f>
        <v/>
      </c>
      <c r="T1169" s="112" t="str">
        <f aca="false">IFERROR(IF([1]对账明细接口!$O1169=0,"",[1]对账明细接口!$O1169),"")</f>
        <v/>
      </c>
      <c r="U1169" s="112" t="str">
        <f aca="false">IFERROR(IF([1]对账明细接口!$P1169=0,"",[1]对账明细接口!$P1169),"")</f>
        <v/>
      </c>
      <c r="V1169" s="112" t="str">
        <f aca="false">IFERROR(IF([1]对账明细接口!$Q1169=0,"",[1]对账明细接口!$Q1169),"")</f>
        <v/>
      </c>
      <c r="W1169" s="10" t="str">
        <f aca="false">IFERROR(IF([1]对账明细接口!$R1169=0,"",[1]对账明细接口!$R1169),"")</f>
        <v/>
      </c>
      <c r="X1169" s="10" t="str">
        <f aca="false">IFERROR(IF([1]对账明细接口!$S1169=0,"",[1]对账明细接口!$S1169),"")</f>
        <v/>
      </c>
      <c r="Y1169" s="10" t="str">
        <f aca="false">""</f>
        <v/>
      </c>
      <c r="Z1169" s="10" t="str">
        <f aca="false">""</f>
        <v/>
      </c>
      <c r="AA1169" s="10" t="str">
        <f aca="false">""</f>
        <v/>
      </c>
      <c r="AB1169" s="10" t="str">
        <f aca="false">""</f>
        <v/>
      </c>
    </row>
    <row r="1170" customFormat="false" ht="13.5" hidden="false" customHeight="false" outlineLevel="0" collapsed="false">
      <c r="A1170" s="109" t="n">
        <v>1170</v>
      </c>
      <c r="B1170" s="110" t="str">
        <f aca="false">IFERROR(IF([1]对账明细接口!$B$1170=0,"",[1]对账明细接口!$B$1170),"")</f>
        <v/>
      </c>
      <c r="C1170" s="59" t="str">
        <f aca="false">IFERROR(IF([1]对账明细接口!$C$1170=0,"",[1]对账明细接口!$C$1170),"")</f>
        <v/>
      </c>
      <c r="D1170" s="59" t="str">
        <f aca="false">IFERROR(IF([1]对账明细接口!$D$1170=0,"",[1]对账明细接口!$D$1170),"")</f>
        <v/>
      </c>
      <c r="E1170" s="59" t="str">
        <f aca="false">IFERROR(IF([1]对账明细接口!$E$1170=0,"",[1]对账明细接口!$E$1170),"")</f>
        <v/>
      </c>
      <c r="F1170" s="59" t="str">
        <f aca="false">IFERROR(IF([1]对账明细接口!$F$1170=0,"",[1]对账明细接口!$F$1170),"")</f>
        <v/>
      </c>
      <c r="G1170" s="59" t="str">
        <f aca="false">IFERROR(IF([1]对账明细接口!$G$1170=0,"",[1]对账明细接口!$G$1170),"")</f>
        <v/>
      </c>
      <c r="H1170" s="60" t="str">
        <f aca="false">IFERROR(IF([1]对账明细接口!$H$1170=0,"",[1]对账明细接口!$H$1170),"")</f>
        <v/>
      </c>
      <c r="I1170" s="59" t="str">
        <f aca="false">IFERROR(IF([1]对账明细接口!$I$1170=0,"",[1]对账明细接口!$I$1170),"")</f>
        <v/>
      </c>
      <c r="J1170" s="61" t="str">
        <f aca="false">IFERROR(IF([1]对账明细接口!$J$1170=0,"",[1]对账明细接口!$J$1170),"")</f>
        <v/>
      </c>
      <c r="K1170" s="61" t="str">
        <f aca="false">IFERROR(IF([1]对账明细接口!$K$1170=0,"",[1]对账明细接口!$K$1170),"")</f>
        <v/>
      </c>
      <c r="L1170" s="59" t="str">
        <f aca="false">IFERROR(IF([1]对账明细接口!$L$1170=0,"",[1]对账明细接口!$L$1170),"")</f>
        <v/>
      </c>
      <c r="M1170" s="59" t="str">
        <f aca="false">IFERROR(IF([1]对账明细接口!$M$1170=0,"",[1]对账明细接口!$M$1170),"")</f>
        <v/>
      </c>
      <c r="N1170" s="111" t="n">
        <f aca="false">IF($C1170="",0,1)</f>
        <v>0</v>
      </c>
      <c r="O1170" s="111" t="n">
        <f aca="false">N(O1169)+$N1170</f>
        <v>110</v>
      </c>
      <c r="S1170" s="10" t="str">
        <f aca="false">IFERROR(IF([1]对账明细接口!$N1170=0,"",[1]对账明细接口!$N1170),"")</f>
        <v/>
      </c>
      <c r="T1170" s="112" t="str">
        <f aca="false">IFERROR(IF([1]对账明细接口!$O1170=0,"",[1]对账明细接口!$O1170),"")</f>
        <v/>
      </c>
      <c r="U1170" s="112" t="str">
        <f aca="false">IFERROR(IF([1]对账明细接口!$P1170=0,"",[1]对账明细接口!$P1170),"")</f>
        <v/>
      </c>
      <c r="V1170" s="112" t="str">
        <f aca="false">IFERROR(IF([1]对账明细接口!$Q1170=0,"",[1]对账明细接口!$Q1170),"")</f>
        <v/>
      </c>
      <c r="W1170" s="10" t="str">
        <f aca="false">IFERROR(IF([1]对账明细接口!$R1170=0,"",[1]对账明细接口!$R1170),"")</f>
        <v/>
      </c>
      <c r="X1170" s="10" t="str">
        <f aca="false">IFERROR(IF([1]对账明细接口!$S1170=0,"",[1]对账明细接口!$S1170),"")</f>
        <v/>
      </c>
      <c r="Y1170" s="10" t="str">
        <f aca="false">""</f>
        <v/>
      </c>
      <c r="Z1170" s="10" t="str">
        <f aca="false">""</f>
        <v/>
      </c>
      <c r="AA1170" s="10" t="str">
        <f aca="false">""</f>
        <v/>
      </c>
      <c r="AB1170" s="10" t="str">
        <f aca="false">""</f>
        <v/>
      </c>
    </row>
    <row r="1171" customFormat="false" ht="13.5" hidden="false" customHeight="false" outlineLevel="0" collapsed="false">
      <c r="A1171" s="109" t="n">
        <v>1171</v>
      </c>
      <c r="B1171" s="110" t="str">
        <f aca="false">IFERROR(IF([1]对账明细接口!$B$1171=0,"",[1]对账明细接口!$B$1171),"")</f>
        <v/>
      </c>
      <c r="C1171" s="59" t="str">
        <f aca="false">IFERROR(IF([1]对账明细接口!$C$1171=0,"",[1]对账明细接口!$C$1171),"")</f>
        <v/>
      </c>
      <c r="D1171" s="59" t="str">
        <f aca="false">IFERROR(IF([1]对账明细接口!$D$1171=0,"",[1]对账明细接口!$D$1171),"")</f>
        <v/>
      </c>
      <c r="E1171" s="59" t="str">
        <f aca="false">IFERROR(IF([1]对账明细接口!$E$1171=0,"",[1]对账明细接口!$E$1171),"")</f>
        <v/>
      </c>
      <c r="F1171" s="59" t="str">
        <f aca="false">IFERROR(IF([1]对账明细接口!$F$1171=0,"",[1]对账明细接口!$F$1171),"")</f>
        <v/>
      </c>
      <c r="G1171" s="59" t="str">
        <f aca="false">IFERROR(IF([1]对账明细接口!$G$1171=0,"",[1]对账明细接口!$G$1171),"")</f>
        <v/>
      </c>
      <c r="H1171" s="60" t="str">
        <f aca="false">IFERROR(IF([1]对账明细接口!$H$1171=0,"",[1]对账明细接口!$H$1171),"")</f>
        <v/>
      </c>
      <c r="I1171" s="59" t="str">
        <f aca="false">IFERROR(IF([1]对账明细接口!$I$1171=0,"",[1]对账明细接口!$I$1171),"")</f>
        <v/>
      </c>
      <c r="J1171" s="61" t="str">
        <f aca="false">IFERROR(IF([1]对账明细接口!$J$1171=0,"",[1]对账明细接口!$J$1171),"")</f>
        <v/>
      </c>
      <c r="K1171" s="61" t="str">
        <f aca="false">IFERROR(IF([1]对账明细接口!$K$1171=0,"",[1]对账明细接口!$K$1171),"")</f>
        <v/>
      </c>
      <c r="L1171" s="59" t="str">
        <f aca="false">IFERROR(IF([1]对账明细接口!$L$1171=0,"",[1]对账明细接口!$L$1171),"")</f>
        <v/>
      </c>
      <c r="M1171" s="59" t="str">
        <f aca="false">IFERROR(IF([1]对账明细接口!$M$1171=0,"",[1]对账明细接口!$M$1171),"")</f>
        <v/>
      </c>
      <c r="N1171" s="111" t="n">
        <f aca="false">IF($C1171="",0,1)</f>
        <v>0</v>
      </c>
      <c r="O1171" s="111" t="n">
        <f aca="false">N(O1170)+$N1171</f>
        <v>110</v>
      </c>
      <c r="S1171" s="10" t="str">
        <f aca="false">IFERROR(IF([1]对账明细接口!$N1171=0,"",[1]对账明细接口!$N1171),"")</f>
        <v/>
      </c>
      <c r="T1171" s="112" t="str">
        <f aca="false">IFERROR(IF([1]对账明细接口!$O1171=0,"",[1]对账明细接口!$O1171),"")</f>
        <v/>
      </c>
      <c r="U1171" s="112" t="str">
        <f aca="false">IFERROR(IF([1]对账明细接口!$P1171=0,"",[1]对账明细接口!$P1171),"")</f>
        <v/>
      </c>
      <c r="V1171" s="112" t="str">
        <f aca="false">IFERROR(IF([1]对账明细接口!$Q1171=0,"",[1]对账明细接口!$Q1171),"")</f>
        <v/>
      </c>
      <c r="W1171" s="10" t="str">
        <f aca="false">IFERROR(IF([1]对账明细接口!$R1171=0,"",[1]对账明细接口!$R1171),"")</f>
        <v/>
      </c>
      <c r="X1171" s="10" t="str">
        <f aca="false">IFERROR(IF([1]对账明细接口!$S1171=0,"",[1]对账明细接口!$S1171),"")</f>
        <v/>
      </c>
      <c r="Y1171" s="10" t="str">
        <f aca="false">""</f>
        <v/>
      </c>
      <c r="Z1171" s="10" t="str">
        <f aca="false">""</f>
        <v/>
      </c>
      <c r="AA1171" s="10" t="str">
        <f aca="false">""</f>
        <v/>
      </c>
      <c r="AB1171" s="10" t="str">
        <f aca="false">""</f>
        <v/>
      </c>
    </row>
    <row r="1172" customFormat="false" ht="13.5" hidden="false" customHeight="false" outlineLevel="0" collapsed="false">
      <c r="A1172" s="109" t="n">
        <v>1172</v>
      </c>
      <c r="B1172" s="110" t="str">
        <f aca="false">IFERROR(IF([1]对账明细接口!$B$1172=0,"",[1]对账明细接口!$B$1172),"")</f>
        <v/>
      </c>
      <c r="C1172" s="59" t="str">
        <f aca="false">IFERROR(IF([1]对账明细接口!$C$1172=0,"",[1]对账明细接口!$C$1172),"")</f>
        <v/>
      </c>
      <c r="D1172" s="59" t="str">
        <f aca="false">IFERROR(IF([1]对账明细接口!$D$1172=0,"",[1]对账明细接口!$D$1172),"")</f>
        <v/>
      </c>
      <c r="E1172" s="59" t="str">
        <f aca="false">IFERROR(IF([1]对账明细接口!$E$1172=0,"",[1]对账明细接口!$E$1172),"")</f>
        <v/>
      </c>
      <c r="F1172" s="59" t="str">
        <f aca="false">IFERROR(IF([1]对账明细接口!$F$1172=0,"",[1]对账明细接口!$F$1172),"")</f>
        <v/>
      </c>
      <c r="G1172" s="59" t="str">
        <f aca="false">IFERROR(IF([1]对账明细接口!$G$1172=0,"",[1]对账明细接口!$G$1172),"")</f>
        <v/>
      </c>
      <c r="H1172" s="60" t="str">
        <f aca="false">IFERROR(IF([1]对账明细接口!$H$1172=0,"",[1]对账明细接口!$H$1172),"")</f>
        <v/>
      </c>
      <c r="I1172" s="59" t="str">
        <f aca="false">IFERROR(IF([1]对账明细接口!$I$1172=0,"",[1]对账明细接口!$I$1172),"")</f>
        <v/>
      </c>
      <c r="J1172" s="61" t="str">
        <f aca="false">IFERROR(IF([1]对账明细接口!$J$1172=0,"",[1]对账明细接口!$J$1172),"")</f>
        <v/>
      </c>
      <c r="K1172" s="61" t="str">
        <f aca="false">IFERROR(IF([1]对账明细接口!$K$1172=0,"",[1]对账明细接口!$K$1172),"")</f>
        <v/>
      </c>
      <c r="L1172" s="59" t="str">
        <f aca="false">IFERROR(IF([1]对账明细接口!$L$1172=0,"",[1]对账明细接口!$L$1172),"")</f>
        <v/>
      </c>
      <c r="M1172" s="59" t="str">
        <f aca="false">IFERROR(IF([1]对账明细接口!$M$1172=0,"",[1]对账明细接口!$M$1172),"")</f>
        <v/>
      </c>
      <c r="N1172" s="111" t="n">
        <f aca="false">IF($C1172="",0,1)</f>
        <v>0</v>
      </c>
      <c r="O1172" s="111" t="n">
        <f aca="false">N(O1171)+$N1172</f>
        <v>110</v>
      </c>
      <c r="S1172" s="10" t="str">
        <f aca="false">IFERROR(IF([1]对账明细接口!$N1172=0,"",[1]对账明细接口!$N1172),"")</f>
        <v/>
      </c>
      <c r="T1172" s="112" t="str">
        <f aca="false">IFERROR(IF([1]对账明细接口!$O1172=0,"",[1]对账明细接口!$O1172),"")</f>
        <v/>
      </c>
      <c r="U1172" s="112" t="str">
        <f aca="false">IFERROR(IF([1]对账明细接口!$P1172=0,"",[1]对账明细接口!$P1172),"")</f>
        <v/>
      </c>
      <c r="V1172" s="112" t="str">
        <f aca="false">IFERROR(IF([1]对账明细接口!$Q1172=0,"",[1]对账明细接口!$Q1172),"")</f>
        <v/>
      </c>
      <c r="W1172" s="10" t="str">
        <f aca="false">IFERROR(IF([1]对账明细接口!$R1172=0,"",[1]对账明细接口!$R1172),"")</f>
        <v/>
      </c>
      <c r="X1172" s="10" t="str">
        <f aca="false">IFERROR(IF([1]对账明细接口!$S1172=0,"",[1]对账明细接口!$S1172),"")</f>
        <v/>
      </c>
      <c r="Y1172" s="10" t="str">
        <f aca="false">""</f>
        <v/>
      </c>
      <c r="Z1172" s="10" t="str">
        <f aca="false">""</f>
        <v/>
      </c>
      <c r="AA1172" s="10" t="str">
        <f aca="false">""</f>
        <v/>
      </c>
      <c r="AB1172" s="10" t="str">
        <f aca="false">""</f>
        <v/>
      </c>
    </row>
    <row r="1173" customFormat="false" ht="13.5" hidden="false" customHeight="false" outlineLevel="0" collapsed="false">
      <c r="A1173" s="109" t="n">
        <v>1173</v>
      </c>
      <c r="B1173" s="110" t="str">
        <f aca="false">IFERROR(IF([1]对账明细接口!$B$1173=0,"",[1]对账明细接口!$B$1173),"")</f>
        <v/>
      </c>
      <c r="C1173" s="59" t="str">
        <f aca="false">IFERROR(IF([1]对账明细接口!$C$1173=0,"",[1]对账明细接口!$C$1173),"")</f>
        <v/>
      </c>
      <c r="D1173" s="59" t="str">
        <f aca="false">IFERROR(IF([1]对账明细接口!$D$1173=0,"",[1]对账明细接口!$D$1173),"")</f>
        <v/>
      </c>
      <c r="E1173" s="59" t="str">
        <f aca="false">IFERROR(IF([1]对账明细接口!$E$1173=0,"",[1]对账明细接口!$E$1173),"")</f>
        <v/>
      </c>
      <c r="F1173" s="59" t="str">
        <f aca="false">IFERROR(IF([1]对账明细接口!$F$1173=0,"",[1]对账明细接口!$F$1173),"")</f>
        <v/>
      </c>
      <c r="G1173" s="59" t="str">
        <f aca="false">IFERROR(IF([1]对账明细接口!$G$1173=0,"",[1]对账明细接口!$G$1173),"")</f>
        <v/>
      </c>
      <c r="H1173" s="60" t="str">
        <f aca="false">IFERROR(IF([1]对账明细接口!$H$1173=0,"",[1]对账明细接口!$H$1173),"")</f>
        <v/>
      </c>
      <c r="I1173" s="59" t="str">
        <f aca="false">IFERROR(IF([1]对账明细接口!$I$1173=0,"",[1]对账明细接口!$I$1173),"")</f>
        <v/>
      </c>
      <c r="J1173" s="61" t="str">
        <f aca="false">IFERROR(IF([1]对账明细接口!$J$1173=0,"",[1]对账明细接口!$J$1173),"")</f>
        <v/>
      </c>
      <c r="K1173" s="61" t="str">
        <f aca="false">IFERROR(IF([1]对账明细接口!$K$1173=0,"",[1]对账明细接口!$K$1173),"")</f>
        <v/>
      </c>
      <c r="L1173" s="59" t="str">
        <f aca="false">IFERROR(IF([1]对账明细接口!$L$1173=0,"",[1]对账明细接口!$L$1173),"")</f>
        <v/>
      </c>
      <c r="M1173" s="59" t="str">
        <f aca="false">IFERROR(IF([1]对账明细接口!$M$1173=0,"",[1]对账明细接口!$M$1173),"")</f>
        <v/>
      </c>
      <c r="N1173" s="111" t="n">
        <f aca="false">IF($C1173="",0,1)</f>
        <v>0</v>
      </c>
      <c r="O1173" s="111" t="n">
        <f aca="false">N(O1172)+$N1173</f>
        <v>110</v>
      </c>
      <c r="S1173" s="10" t="str">
        <f aca="false">IFERROR(IF([1]对账明细接口!$N1173=0,"",[1]对账明细接口!$N1173),"")</f>
        <v/>
      </c>
      <c r="T1173" s="112" t="str">
        <f aca="false">IFERROR(IF([1]对账明细接口!$O1173=0,"",[1]对账明细接口!$O1173),"")</f>
        <v/>
      </c>
      <c r="U1173" s="112" t="str">
        <f aca="false">IFERROR(IF([1]对账明细接口!$P1173=0,"",[1]对账明细接口!$P1173),"")</f>
        <v/>
      </c>
      <c r="V1173" s="112" t="str">
        <f aca="false">IFERROR(IF([1]对账明细接口!$Q1173=0,"",[1]对账明细接口!$Q1173),"")</f>
        <v/>
      </c>
      <c r="W1173" s="10" t="str">
        <f aca="false">IFERROR(IF([1]对账明细接口!$R1173=0,"",[1]对账明细接口!$R1173),"")</f>
        <v/>
      </c>
      <c r="X1173" s="10" t="str">
        <f aca="false">IFERROR(IF([1]对账明细接口!$S1173=0,"",[1]对账明细接口!$S1173),"")</f>
        <v/>
      </c>
      <c r="Y1173" s="10" t="str">
        <f aca="false">""</f>
        <v/>
      </c>
      <c r="Z1173" s="10" t="str">
        <f aca="false">""</f>
        <v/>
      </c>
      <c r="AA1173" s="10" t="str">
        <f aca="false">""</f>
        <v/>
      </c>
      <c r="AB1173" s="10" t="str">
        <f aca="false">""</f>
        <v/>
      </c>
    </row>
    <row r="1174" customFormat="false" ht="13.5" hidden="false" customHeight="false" outlineLevel="0" collapsed="false">
      <c r="A1174" s="109" t="n">
        <v>1174</v>
      </c>
      <c r="B1174" s="110" t="str">
        <f aca="false">IFERROR(IF([1]对账明细接口!$B$1174=0,"",[1]对账明细接口!$B$1174),"")</f>
        <v/>
      </c>
      <c r="C1174" s="59" t="str">
        <f aca="false">IFERROR(IF([1]对账明细接口!$C$1174=0,"",[1]对账明细接口!$C$1174),"")</f>
        <v/>
      </c>
      <c r="D1174" s="59" t="str">
        <f aca="false">IFERROR(IF([1]对账明细接口!$D$1174=0,"",[1]对账明细接口!$D$1174),"")</f>
        <v/>
      </c>
      <c r="E1174" s="59" t="str">
        <f aca="false">IFERROR(IF([1]对账明细接口!$E$1174=0,"",[1]对账明细接口!$E$1174),"")</f>
        <v/>
      </c>
      <c r="F1174" s="59" t="str">
        <f aca="false">IFERROR(IF([1]对账明细接口!$F$1174=0,"",[1]对账明细接口!$F$1174),"")</f>
        <v/>
      </c>
      <c r="G1174" s="59" t="str">
        <f aca="false">IFERROR(IF([1]对账明细接口!$G$1174=0,"",[1]对账明细接口!$G$1174),"")</f>
        <v/>
      </c>
      <c r="H1174" s="60" t="str">
        <f aca="false">IFERROR(IF([1]对账明细接口!$H$1174=0,"",[1]对账明细接口!$H$1174),"")</f>
        <v/>
      </c>
      <c r="I1174" s="59" t="str">
        <f aca="false">IFERROR(IF([1]对账明细接口!$I$1174=0,"",[1]对账明细接口!$I$1174),"")</f>
        <v/>
      </c>
      <c r="J1174" s="61" t="str">
        <f aca="false">IFERROR(IF([1]对账明细接口!$J$1174=0,"",[1]对账明细接口!$J$1174),"")</f>
        <v/>
      </c>
      <c r="K1174" s="61" t="str">
        <f aca="false">IFERROR(IF([1]对账明细接口!$K$1174=0,"",[1]对账明细接口!$K$1174),"")</f>
        <v/>
      </c>
      <c r="L1174" s="59" t="str">
        <f aca="false">IFERROR(IF([1]对账明细接口!$L$1174=0,"",[1]对账明细接口!$L$1174),"")</f>
        <v/>
      </c>
      <c r="M1174" s="59" t="str">
        <f aca="false">IFERROR(IF([1]对账明细接口!$M$1174=0,"",[1]对账明细接口!$M$1174),"")</f>
        <v/>
      </c>
      <c r="N1174" s="111" t="n">
        <f aca="false">IF($C1174="",0,1)</f>
        <v>0</v>
      </c>
      <c r="O1174" s="111" t="n">
        <f aca="false">N(O1173)+$N1174</f>
        <v>110</v>
      </c>
      <c r="S1174" s="10" t="str">
        <f aca="false">IFERROR(IF([1]对账明细接口!$N1174=0,"",[1]对账明细接口!$N1174),"")</f>
        <v/>
      </c>
      <c r="T1174" s="112" t="str">
        <f aca="false">IFERROR(IF([1]对账明细接口!$O1174=0,"",[1]对账明细接口!$O1174),"")</f>
        <v/>
      </c>
      <c r="U1174" s="112" t="str">
        <f aca="false">IFERROR(IF([1]对账明细接口!$P1174=0,"",[1]对账明细接口!$P1174),"")</f>
        <v/>
      </c>
      <c r="V1174" s="112" t="str">
        <f aca="false">IFERROR(IF([1]对账明细接口!$Q1174=0,"",[1]对账明细接口!$Q1174),"")</f>
        <v/>
      </c>
      <c r="W1174" s="10" t="str">
        <f aca="false">IFERROR(IF([1]对账明细接口!$R1174=0,"",[1]对账明细接口!$R1174),"")</f>
        <v/>
      </c>
      <c r="X1174" s="10" t="str">
        <f aca="false">IFERROR(IF([1]对账明细接口!$S1174=0,"",[1]对账明细接口!$S1174),"")</f>
        <v/>
      </c>
      <c r="Y1174" s="10" t="str">
        <f aca="false">""</f>
        <v/>
      </c>
      <c r="Z1174" s="10" t="str">
        <f aca="false">""</f>
        <v/>
      </c>
      <c r="AA1174" s="10" t="str">
        <f aca="false">""</f>
        <v/>
      </c>
      <c r="AB1174" s="10" t="str">
        <f aca="false">""</f>
        <v/>
      </c>
    </row>
    <row r="1175" customFormat="false" ht="13.5" hidden="false" customHeight="false" outlineLevel="0" collapsed="false">
      <c r="A1175" s="109" t="n">
        <v>1175</v>
      </c>
      <c r="B1175" s="110" t="str">
        <f aca="false">IFERROR(IF([1]对账明细接口!$B$1175=0,"",[1]对账明细接口!$B$1175),"")</f>
        <v/>
      </c>
      <c r="C1175" s="59" t="str">
        <f aca="false">IFERROR(IF([1]对账明细接口!$C$1175=0,"",[1]对账明细接口!$C$1175),"")</f>
        <v/>
      </c>
      <c r="D1175" s="59" t="str">
        <f aca="false">IFERROR(IF([1]对账明细接口!$D$1175=0,"",[1]对账明细接口!$D$1175),"")</f>
        <v/>
      </c>
      <c r="E1175" s="59" t="str">
        <f aca="false">IFERROR(IF([1]对账明细接口!$E$1175=0,"",[1]对账明细接口!$E$1175),"")</f>
        <v/>
      </c>
      <c r="F1175" s="59" t="str">
        <f aca="false">IFERROR(IF([1]对账明细接口!$F$1175=0,"",[1]对账明细接口!$F$1175),"")</f>
        <v/>
      </c>
      <c r="G1175" s="59" t="str">
        <f aca="false">IFERROR(IF([1]对账明细接口!$G$1175=0,"",[1]对账明细接口!$G$1175),"")</f>
        <v/>
      </c>
      <c r="H1175" s="60" t="str">
        <f aca="false">IFERROR(IF([1]对账明细接口!$H$1175=0,"",[1]对账明细接口!$H$1175),"")</f>
        <v/>
      </c>
      <c r="I1175" s="59" t="str">
        <f aca="false">IFERROR(IF([1]对账明细接口!$I$1175=0,"",[1]对账明细接口!$I$1175),"")</f>
        <v/>
      </c>
      <c r="J1175" s="61" t="str">
        <f aca="false">IFERROR(IF([1]对账明细接口!$J$1175=0,"",[1]对账明细接口!$J$1175),"")</f>
        <v/>
      </c>
      <c r="K1175" s="61" t="str">
        <f aca="false">IFERROR(IF([1]对账明细接口!$K$1175=0,"",[1]对账明细接口!$K$1175),"")</f>
        <v/>
      </c>
      <c r="L1175" s="59" t="str">
        <f aca="false">IFERROR(IF([1]对账明细接口!$L$1175=0,"",[1]对账明细接口!$L$1175),"")</f>
        <v/>
      </c>
      <c r="M1175" s="59" t="str">
        <f aca="false">IFERROR(IF([1]对账明细接口!$M$1175=0,"",[1]对账明细接口!$M$1175),"")</f>
        <v/>
      </c>
      <c r="N1175" s="111" t="n">
        <f aca="false">IF($C1175="",0,1)</f>
        <v>0</v>
      </c>
      <c r="O1175" s="111" t="n">
        <f aca="false">N(O1174)+$N1175</f>
        <v>110</v>
      </c>
      <c r="S1175" s="10" t="str">
        <f aca="false">IFERROR(IF([1]对账明细接口!$N1175=0,"",[1]对账明细接口!$N1175),"")</f>
        <v/>
      </c>
      <c r="T1175" s="112" t="str">
        <f aca="false">IFERROR(IF([1]对账明细接口!$O1175=0,"",[1]对账明细接口!$O1175),"")</f>
        <v/>
      </c>
      <c r="U1175" s="112" t="str">
        <f aca="false">IFERROR(IF([1]对账明细接口!$P1175=0,"",[1]对账明细接口!$P1175),"")</f>
        <v/>
      </c>
      <c r="V1175" s="112" t="str">
        <f aca="false">IFERROR(IF([1]对账明细接口!$Q1175=0,"",[1]对账明细接口!$Q1175),"")</f>
        <v/>
      </c>
      <c r="W1175" s="10" t="str">
        <f aca="false">IFERROR(IF([1]对账明细接口!$R1175=0,"",[1]对账明细接口!$R1175),"")</f>
        <v/>
      </c>
      <c r="X1175" s="10" t="str">
        <f aca="false">IFERROR(IF([1]对账明细接口!$S1175=0,"",[1]对账明细接口!$S1175),"")</f>
        <v/>
      </c>
      <c r="Y1175" s="10" t="str">
        <f aca="false">""</f>
        <v/>
      </c>
      <c r="Z1175" s="10" t="str">
        <f aca="false">""</f>
        <v/>
      </c>
      <c r="AA1175" s="10" t="str">
        <f aca="false">""</f>
        <v/>
      </c>
      <c r="AB1175" s="10" t="str">
        <f aca="false">""</f>
        <v/>
      </c>
    </row>
    <row r="1176" customFormat="false" ht="13.5" hidden="false" customHeight="false" outlineLevel="0" collapsed="false">
      <c r="A1176" s="109" t="n">
        <v>1176</v>
      </c>
      <c r="B1176" s="110" t="str">
        <f aca="false">IFERROR(IF([1]对账明细接口!$B$1176=0,"",[1]对账明细接口!$B$1176),"")</f>
        <v/>
      </c>
      <c r="C1176" s="59" t="str">
        <f aca="false">IFERROR(IF([1]对账明细接口!$C$1176=0,"",[1]对账明细接口!$C$1176),"")</f>
        <v/>
      </c>
      <c r="D1176" s="59" t="str">
        <f aca="false">IFERROR(IF([1]对账明细接口!$D$1176=0,"",[1]对账明细接口!$D$1176),"")</f>
        <v/>
      </c>
      <c r="E1176" s="59" t="str">
        <f aca="false">IFERROR(IF([1]对账明细接口!$E$1176=0,"",[1]对账明细接口!$E$1176),"")</f>
        <v/>
      </c>
      <c r="F1176" s="59" t="str">
        <f aca="false">IFERROR(IF([1]对账明细接口!$F$1176=0,"",[1]对账明细接口!$F$1176),"")</f>
        <v/>
      </c>
      <c r="G1176" s="59" t="str">
        <f aca="false">IFERROR(IF([1]对账明细接口!$G$1176=0,"",[1]对账明细接口!$G$1176),"")</f>
        <v/>
      </c>
      <c r="H1176" s="60" t="str">
        <f aca="false">IFERROR(IF([1]对账明细接口!$H$1176=0,"",[1]对账明细接口!$H$1176),"")</f>
        <v/>
      </c>
      <c r="I1176" s="59" t="str">
        <f aca="false">IFERROR(IF([1]对账明细接口!$I$1176=0,"",[1]对账明细接口!$I$1176),"")</f>
        <v/>
      </c>
      <c r="J1176" s="61" t="str">
        <f aca="false">IFERROR(IF([1]对账明细接口!$J$1176=0,"",[1]对账明细接口!$J$1176),"")</f>
        <v/>
      </c>
      <c r="K1176" s="61" t="str">
        <f aca="false">IFERROR(IF([1]对账明细接口!$K$1176=0,"",[1]对账明细接口!$K$1176),"")</f>
        <v/>
      </c>
      <c r="L1176" s="59" t="str">
        <f aca="false">IFERROR(IF([1]对账明细接口!$L$1176=0,"",[1]对账明细接口!$L$1176),"")</f>
        <v/>
      </c>
      <c r="M1176" s="59" t="str">
        <f aca="false">IFERROR(IF([1]对账明细接口!$M$1176=0,"",[1]对账明细接口!$M$1176),"")</f>
        <v/>
      </c>
      <c r="N1176" s="111" t="n">
        <f aca="false">IF($C1176="",0,1)</f>
        <v>0</v>
      </c>
      <c r="O1176" s="111" t="n">
        <f aca="false">N(O1175)+$N1176</f>
        <v>110</v>
      </c>
      <c r="S1176" s="10" t="str">
        <f aca="false">IFERROR(IF([1]对账明细接口!$N1176=0,"",[1]对账明细接口!$N1176),"")</f>
        <v/>
      </c>
      <c r="T1176" s="112" t="str">
        <f aca="false">IFERROR(IF([1]对账明细接口!$O1176=0,"",[1]对账明细接口!$O1176),"")</f>
        <v/>
      </c>
      <c r="U1176" s="112" t="str">
        <f aca="false">IFERROR(IF([1]对账明细接口!$P1176=0,"",[1]对账明细接口!$P1176),"")</f>
        <v/>
      </c>
      <c r="V1176" s="112" t="str">
        <f aca="false">IFERROR(IF([1]对账明细接口!$Q1176=0,"",[1]对账明细接口!$Q1176),"")</f>
        <v/>
      </c>
      <c r="W1176" s="10" t="str">
        <f aca="false">IFERROR(IF([1]对账明细接口!$R1176=0,"",[1]对账明细接口!$R1176),"")</f>
        <v/>
      </c>
      <c r="X1176" s="10" t="str">
        <f aca="false">IFERROR(IF([1]对账明细接口!$S1176=0,"",[1]对账明细接口!$S1176),"")</f>
        <v/>
      </c>
      <c r="Y1176" s="10" t="str">
        <f aca="false">""</f>
        <v/>
      </c>
      <c r="Z1176" s="10" t="str">
        <f aca="false">""</f>
        <v/>
      </c>
      <c r="AA1176" s="10" t="str">
        <f aca="false">""</f>
        <v/>
      </c>
      <c r="AB1176" s="10" t="str">
        <f aca="false">""</f>
        <v/>
      </c>
    </row>
    <row r="1177" customFormat="false" ht="13.5" hidden="false" customHeight="false" outlineLevel="0" collapsed="false">
      <c r="A1177" s="109" t="n">
        <v>1177</v>
      </c>
      <c r="B1177" s="110" t="str">
        <f aca="false">IFERROR(IF([1]对账明细接口!$B$1177=0,"",[1]对账明细接口!$B$1177),"")</f>
        <v/>
      </c>
      <c r="C1177" s="59" t="str">
        <f aca="false">IFERROR(IF([1]对账明细接口!$C$1177=0,"",[1]对账明细接口!$C$1177),"")</f>
        <v/>
      </c>
      <c r="D1177" s="59" t="str">
        <f aca="false">IFERROR(IF([1]对账明细接口!$D$1177=0,"",[1]对账明细接口!$D$1177),"")</f>
        <v/>
      </c>
      <c r="E1177" s="59" t="str">
        <f aca="false">IFERROR(IF([1]对账明细接口!$E$1177=0,"",[1]对账明细接口!$E$1177),"")</f>
        <v/>
      </c>
      <c r="F1177" s="59" t="str">
        <f aca="false">IFERROR(IF([1]对账明细接口!$F$1177=0,"",[1]对账明细接口!$F$1177),"")</f>
        <v/>
      </c>
      <c r="G1177" s="59" t="str">
        <f aca="false">IFERROR(IF([1]对账明细接口!$G$1177=0,"",[1]对账明细接口!$G$1177),"")</f>
        <v/>
      </c>
      <c r="H1177" s="60" t="str">
        <f aca="false">IFERROR(IF([1]对账明细接口!$H$1177=0,"",[1]对账明细接口!$H$1177),"")</f>
        <v/>
      </c>
      <c r="I1177" s="59" t="str">
        <f aca="false">IFERROR(IF([1]对账明细接口!$I$1177=0,"",[1]对账明细接口!$I$1177),"")</f>
        <v/>
      </c>
      <c r="J1177" s="61" t="str">
        <f aca="false">IFERROR(IF([1]对账明细接口!$J$1177=0,"",[1]对账明细接口!$J$1177),"")</f>
        <v/>
      </c>
      <c r="K1177" s="61" t="str">
        <f aca="false">IFERROR(IF([1]对账明细接口!$K$1177=0,"",[1]对账明细接口!$K$1177),"")</f>
        <v/>
      </c>
      <c r="L1177" s="59" t="str">
        <f aca="false">IFERROR(IF([1]对账明细接口!$L$1177=0,"",[1]对账明细接口!$L$1177),"")</f>
        <v/>
      </c>
      <c r="M1177" s="59" t="str">
        <f aca="false">IFERROR(IF([1]对账明细接口!$M$1177=0,"",[1]对账明细接口!$M$1177),"")</f>
        <v/>
      </c>
      <c r="N1177" s="111" t="n">
        <f aca="false">IF($C1177="",0,1)</f>
        <v>0</v>
      </c>
      <c r="O1177" s="111" t="n">
        <f aca="false">N(O1176)+$N1177</f>
        <v>110</v>
      </c>
      <c r="S1177" s="10" t="str">
        <f aca="false">IFERROR(IF([1]对账明细接口!$N1177=0,"",[1]对账明细接口!$N1177),"")</f>
        <v/>
      </c>
      <c r="T1177" s="112" t="str">
        <f aca="false">IFERROR(IF([1]对账明细接口!$O1177=0,"",[1]对账明细接口!$O1177),"")</f>
        <v/>
      </c>
      <c r="U1177" s="112" t="str">
        <f aca="false">IFERROR(IF([1]对账明细接口!$P1177=0,"",[1]对账明细接口!$P1177),"")</f>
        <v/>
      </c>
      <c r="V1177" s="112" t="str">
        <f aca="false">IFERROR(IF([1]对账明细接口!$Q1177=0,"",[1]对账明细接口!$Q1177),"")</f>
        <v/>
      </c>
      <c r="W1177" s="10" t="str">
        <f aca="false">IFERROR(IF([1]对账明细接口!$R1177=0,"",[1]对账明细接口!$R1177),"")</f>
        <v/>
      </c>
      <c r="X1177" s="10" t="str">
        <f aca="false">IFERROR(IF([1]对账明细接口!$S1177=0,"",[1]对账明细接口!$S1177),"")</f>
        <v/>
      </c>
      <c r="Y1177" s="10" t="str">
        <f aca="false">""</f>
        <v/>
      </c>
      <c r="Z1177" s="10" t="str">
        <f aca="false">""</f>
        <v/>
      </c>
      <c r="AA1177" s="10" t="str">
        <f aca="false">""</f>
        <v/>
      </c>
      <c r="AB1177" s="10" t="str">
        <f aca="false">""</f>
        <v/>
      </c>
    </row>
    <row r="1178" customFormat="false" ht="13.5" hidden="false" customHeight="false" outlineLevel="0" collapsed="false">
      <c r="A1178" s="109" t="n">
        <v>1178</v>
      </c>
      <c r="B1178" s="110" t="str">
        <f aca="false">IFERROR(IF([1]对账明细接口!$B$1178=0,"",[1]对账明细接口!$B$1178),"")</f>
        <v/>
      </c>
      <c r="C1178" s="59" t="str">
        <f aca="false">IFERROR(IF([1]对账明细接口!$C$1178=0,"",[1]对账明细接口!$C$1178),"")</f>
        <v/>
      </c>
      <c r="D1178" s="59" t="str">
        <f aca="false">IFERROR(IF([1]对账明细接口!$D$1178=0,"",[1]对账明细接口!$D$1178),"")</f>
        <v/>
      </c>
      <c r="E1178" s="59" t="str">
        <f aca="false">IFERROR(IF([1]对账明细接口!$E$1178=0,"",[1]对账明细接口!$E$1178),"")</f>
        <v/>
      </c>
      <c r="F1178" s="59" t="str">
        <f aca="false">IFERROR(IF([1]对账明细接口!$F$1178=0,"",[1]对账明细接口!$F$1178),"")</f>
        <v/>
      </c>
      <c r="G1178" s="59" t="str">
        <f aca="false">IFERROR(IF([1]对账明细接口!$G$1178=0,"",[1]对账明细接口!$G$1178),"")</f>
        <v/>
      </c>
      <c r="H1178" s="60" t="str">
        <f aca="false">IFERROR(IF([1]对账明细接口!$H$1178=0,"",[1]对账明细接口!$H$1178),"")</f>
        <v/>
      </c>
      <c r="I1178" s="59" t="str">
        <f aca="false">IFERROR(IF([1]对账明细接口!$I$1178=0,"",[1]对账明细接口!$I$1178),"")</f>
        <v/>
      </c>
      <c r="J1178" s="61" t="str">
        <f aca="false">IFERROR(IF([1]对账明细接口!$J$1178=0,"",[1]对账明细接口!$J$1178),"")</f>
        <v/>
      </c>
      <c r="K1178" s="61" t="str">
        <f aca="false">IFERROR(IF([1]对账明细接口!$K$1178=0,"",[1]对账明细接口!$K$1178),"")</f>
        <v/>
      </c>
      <c r="L1178" s="59" t="str">
        <f aca="false">IFERROR(IF([1]对账明细接口!$L$1178=0,"",[1]对账明细接口!$L$1178),"")</f>
        <v/>
      </c>
      <c r="M1178" s="59" t="str">
        <f aca="false">IFERROR(IF([1]对账明细接口!$M$1178=0,"",[1]对账明细接口!$M$1178),"")</f>
        <v/>
      </c>
      <c r="N1178" s="111" t="n">
        <f aca="false">IF($C1178="",0,1)</f>
        <v>0</v>
      </c>
      <c r="O1178" s="111" t="n">
        <f aca="false">N(O1177)+$N1178</f>
        <v>110</v>
      </c>
      <c r="S1178" s="10" t="str">
        <f aca="false">IFERROR(IF([1]对账明细接口!$N1178=0,"",[1]对账明细接口!$N1178),"")</f>
        <v/>
      </c>
      <c r="T1178" s="112" t="str">
        <f aca="false">IFERROR(IF([1]对账明细接口!$O1178=0,"",[1]对账明细接口!$O1178),"")</f>
        <v/>
      </c>
      <c r="U1178" s="112" t="str">
        <f aca="false">IFERROR(IF([1]对账明细接口!$P1178=0,"",[1]对账明细接口!$P1178),"")</f>
        <v/>
      </c>
      <c r="V1178" s="112" t="str">
        <f aca="false">IFERROR(IF([1]对账明细接口!$Q1178=0,"",[1]对账明细接口!$Q1178),"")</f>
        <v/>
      </c>
      <c r="W1178" s="10" t="str">
        <f aca="false">IFERROR(IF([1]对账明细接口!$R1178=0,"",[1]对账明细接口!$R1178),"")</f>
        <v/>
      </c>
      <c r="X1178" s="10" t="str">
        <f aca="false">IFERROR(IF([1]对账明细接口!$S1178=0,"",[1]对账明细接口!$S1178),"")</f>
        <v/>
      </c>
      <c r="Y1178" s="10" t="str">
        <f aca="false">""</f>
        <v/>
      </c>
      <c r="Z1178" s="10" t="str">
        <f aca="false">""</f>
        <v/>
      </c>
      <c r="AA1178" s="10" t="str">
        <f aca="false">""</f>
        <v/>
      </c>
      <c r="AB1178" s="10" t="str">
        <f aca="false">""</f>
        <v/>
      </c>
    </row>
    <row r="1179" customFormat="false" ht="13.5" hidden="false" customHeight="false" outlineLevel="0" collapsed="false">
      <c r="A1179" s="109" t="n">
        <v>1179</v>
      </c>
      <c r="B1179" s="110" t="str">
        <f aca="false">IFERROR(IF([1]对账明细接口!$B$1179=0,"",[1]对账明细接口!$B$1179),"")</f>
        <v/>
      </c>
      <c r="C1179" s="59" t="str">
        <f aca="false">IFERROR(IF([1]对账明细接口!$C$1179=0,"",[1]对账明细接口!$C$1179),"")</f>
        <v/>
      </c>
      <c r="D1179" s="59" t="str">
        <f aca="false">IFERROR(IF([1]对账明细接口!$D$1179=0,"",[1]对账明细接口!$D$1179),"")</f>
        <v/>
      </c>
      <c r="E1179" s="59" t="str">
        <f aca="false">IFERROR(IF([1]对账明细接口!$E$1179=0,"",[1]对账明细接口!$E$1179),"")</f>
        <v/>
      </c>
      <c r="F1179" s="59" t="str">
        <f aca="false">IFERROR(IF([1]对账明细接口!$F$1179=0,"",[1]对账明细接口!$F$1179),"")</f>
        <v/>
      </c>
      <c r="G1179" s="59" t="str">
        <f aca="false">IFERROR(IF([1]对账明细接口!$G$1179=0,"",[1]对账明细接口!$G$1179),"")</f>
        <v/>
      </c>
      <c r="H1179" s="60" t="str">
        <f aca="false">IFERROR(IF([1]对账明细接口!$H$1179=0,"",[1]对账明细接口!$H$1179),"")</f>
        <v/>
      </c>
      <c r="I1179" s="59" t="str">
        <f aca="false">IFERROR(IF([1]对账明细接口!$I$1179=0,"",[1]对账明细接口!$I$1179),"")</f>
        <v/>
      </c>
      <c r="J1179" s="61" t="str">
        <f aca="false">IFERROR(IF([1]对账明细接口!$J$1179=0,"",[1]对账明细接口!$J$1179),"")</f>
        <v/>
      </c>
      <c r="K1179" s="61" t="str">
        <f aca="false">IFERROR(IF([1]对账明细接口!$K$1179=0,"",[1]对账明细接口!$K$1179),"")</f>
        <v/>
      </c>
      <c r="L1179" s="59" t="str">
        <f aca="false">IFERROR(IF([1]对账明细接口!$L$1179=0,"",[1]对账明细接口!$L$1179),"")</f>
        <v/>
      </c>
      <c r="M1179" s="59" t="str">
        <f aca="false">IFERROR(IF([1]对账明细接口!$M$1179=0,"",[1]对账明细接口!$M$1179),"")</f>
        <v/>
      </c>
      <c r="N1179" s="111" t="n">
        <f aca="false">IF($C1179="",0,1)</f>
        <v>0</v>
      </c>
      <c r="O1179" s="111" t="n">
        <f aca="false">N(O1178)+$N1179</f>
        <v>110</v>
      </c>
      <c r="S1179" s="10" t="str">
        <f aca="false">IFERROR(IF([1]对账明细接口!$N1179=0,"",[1]对账明细接口!$N1179),"")</f>
        <v/>
      </c>
      <c r="T1179" s="112" t="str">
        <f aca="false">IFERROR(IF([1]对账明细接口!$O1179=0,"",[1]对账明细接口!$O1179),"")</f>
        <v/>
      </c>
      <c r="U1179" s="112" t="str">
        <f aca="false">IFERROR(IF([1]对账明细接口!$P1179=0,"",[1]对账明细接口!$P1179),"")</f>
        <v/>
      </c>
      <c r="V1179" s="112" t="str">
        <f aca="false">IFERROR(IF([1]对账明细接口!$Q1179=0,"",[1]对账明细接口!$Q1179),"")</f>
        <v/>
      </c>
      <c r="W1179" s="10" t="str">
        <f aca="false">IFERROR(IF([1]对账明细接口!$R1179=0,"",[1]对账明细接口!$R1179),"")</f>
        <v/>
      </c>
      <c r="X1179" s="10" t="str">
        <f aca="false">IFERROR(IF([1]对账明细接口!$S1179=0,"",[1]对账明细接口!$S1179),"")</f>
        <v/>
      </c>
      <c r="Y1179" s="10" t="str">
        <f aca="false">""</f>
        <v/>
      </c>
      <c r="Z1179" s="10" t="str">
        <f aca="false">""</f>
        <v/>
      </c>
      <c r="AA1179" s="10" t="str">
        <f aca="false">""</f>
        <v/>
      </c>
      <c r="AB1179" s="10" t="str">
        <f aca="false">""</f>
        <v/>
      </c>
    </row>
    <row r="1180" customFormat="false" ht="13.5" hidden="false" customHeight="false" outlineLevel="0" collapsed="false">
      <c r="A1180" s="109" t="n">
        <v>1180</v>
      </c>
      <c r="B1180" s="110" t="str">
        <f aca="false">IFERROR(IF([1]对账明细接口!$B$1180=0,"",[1]对账明细接口!$B$1180),"")</f>
        <v/>
      </c>
      <c r="C1180" s="59" t="str">
        <f aca="false">IFERROR(IF([1]对账明细接口!$C$1180=0,"",[1]对账明细接口!$C$1180),"")</f>
        <v/>
      </c>
      <c r="D1180" s="59" t="str">
        <f aca="false">IFERROR(IF([1]对账明细接口!$D$1180=0,"",[1]对账明细接口!$D$1180),"")</f>
        <v/>
      </c>
      <c r="E1180" s="59" t="str">
        <f aca="false">IFERROR(IF([1]对账明细接口!$E$1180=0,"",[1]对账明细接口!$E$1180),"")</f>
        <v/>
      </c>
      <c r="F1180" s="59" t="str">
        <f aca="false">IFERROR(IF([1]对账明细接口!$F$1180=0,"",[1]对账明细接口!$F$1180),"")</f>
        <v/>
      </c>
      <c r="G1180" s="59" t="str">
        <f aca="false">IFERROR(IF([1]对账明细接口!$G$1180=0,"",[1]对账明细接口!$G$1180),"")</f>
        <v/>
      </c>
      <c r="H1180" s="60" t="str">
        <f aca="false">IFERROR(IF([1]对账明细接口!$H$1180=0,"",[1]对账明细接口!$H$1180),"")</f>
        <v/>
      </c>
      <c r="I1180" s="59" t="str">
        <f aca="false">IFERROR(IF([1]对账明细接口!$I$1180=0,"",[1]对账明细接口!$I$1180),"")</f>
        <v/>
      </c>
      <c r="J1180" s="61" t="str">
        <f aca="false">IFERROR(IF([1]对账明细接口!$J$1180=0,"",[1]对账明细接口!$J$1180),"")</f>
        <v/>
      </c>
      <c r="K1180" s="61" t="str">
        <f aca="false">IFERROR(IF([1]对账明细接口!$K$1180=0,"",[1]对账明细接口!$K$1180),"")</f>
        <v/>
      </c>
      <c r="L1180" s="59" t="str">
        <f aca="false">IFERROR(IF([1]对账明细接口!$L$1180=0,"",[1]对账明细接口!$L$1180),"")</f>
        <v/>
      </c>
      <c r="M1180" s="59" t="str">
        <f aca="false">IFERROR(IF([1]对账明细接口!$M$1180=0,"",[1]对账明细接口!$M$1180),"")</f>
        <v/>
      </c>
      <c r="N1180" s="111" t="n">
        <f aca="false">IF($C1180="",0,1)</f>
        <v>0</v>
      </c>
      <c r="O1180" s="111" t="n">
        <f aca="false">N(O1179)+$N1180</f>
        <v>110</v>
      </c>
      <c r="S1180" s="10" t="str">
        <f aca="false">IFERROR(IF([1]对账明细接口!$N1180=0,"",[1]对账明细接口!$N1180),"")</f>
        <v/>
      </c>
      <c r="T1180" s="112" t="str">
        <f aca="false">IFERROR(IF([1]对账明细接口!$O1180=0,"",[1]对账明细接口!$O1180),"")</f>
        <v/>
      </c>
      <c r="U1180" s="112" t="str">
        <f aca="false">IFERROR(IF([1]对账明细接口!$P1180=0,"",[1]对账明细接口!$P1180),"")</f>
        <v/>
      </c>
      <c r="V1180" s="112" t="str">
        <f aca="false">IFERROR(IF([1]对账明细接口!$Q1180=0,"",[1]对账明细接口!$Q1180),"")</f>
        <v/>
      </c>
      <c r="W1180" s="10" t="str">
        <f aca="false">IFERROR(IF([1]对账明细接口!$R1180=0,"",[1]对账明细接口!$R1180),"")</f>
        <v/>
      </c>
      <c r="X1180" s="10" t="str">
        <f aca="false">IFERROR(IF([1]对账明细接口!$S1180=0,"",[1]对账明细接口!$S1180),"")</f>
        <v/>
      </c>
      <c r="Y1180" s="10" t="str">
        <f aca="false">""</f>
        <v/>
      </c>
      <c r="Z1180" s="10" t="str">
        <f aca="false">""</f>
        <v/>
      </c>
      <c r="AA1180" s="10" t="str">
        <f aca="false">""</f>
        <v/>
      </c>
      <c r="AB1180" s="10" t="str">
        <f aca="false">""</f>
        <v/>
      </c>
    </row>
    <row r="1181" customFormat="false" ht="13.5" hidden="false" customHeight="false" outlineLevel="0" collapsed="false">
      <c r="A1181" s="109" t="n">
        <v>1181</v>
      </c>
      <c r="B1181" s="110" t="str">
        <f aca="false">IFERROR(IF([1]对账明细接口!$B$1181=0,"",[1]对账明细接口!$B$1181),"")</f>
        <v/>
      </c>
      <c r="C1181" s="59" t="str">
        <f aca="false">IFERROR(IF([1]对账明细接口!$C$1181=0,"",[1]对账明细接口!$C$1181),"")</f>
        <v/>
      </c>
      <c r="D1181" s="59" t="str">
        <f aca="false">IFERROR(IF([1]对账明细接口!$D$1181=0,"",[1]对账明细接口!$D$1181),"")</f>
        <v/>
      </c>
      <c r="E1181" s="59" t="str">
        <f aca="false">IFERROR(IF([1]对账明细接口!$E$1181=0,"",[1]对账明细接口!$E$1181),"")</f>
        <v/>
      </c>
      <c r="F1181" s="59" t="str">
        <f aca="false">IFERROR(IF([1]对账明细接口!$F$1181=0,"",[1]对账明细接口!$F$1181),"")</f>
        <v/>
      </c>
      <c r="G1181" s="59" t="str">
        <f aca="false">IFERROR(IF([1]对账明细接口!$G$1181=0,"",[1]对账明细接口!$G$1181),"")</f>
        <v/>
      </c>
      <c r="H1181" s="60" t="str">
        <f aca="false">IFERROR(IF([1]对账明细接口!$H$1181=0,"",[1]对账明细接口!$H$1181),"")</f>
        <v/>
      </c>
      <c r="I1181" s="59" t="str">
        <f aca="false">IFERROR(IF([1]对账明细接口!$I$1181=0,"",[1]对账明细接口!$I$1181),"")</f>
        <v/>
      </c>
      <c r="J1181" s="61" t="str">
        <f aca="false">IFERROR(IF([1]对账明细接口!$J$1181=0,"",[1]对账明细接口!$J$1181),"")</f>
        <v/>
      </c>
      <c r="K1181" s="61" t="str">
        <f aca="false">IFERROR(IF([1]对账明细接口!$K$1181=0,"",[1]对账明细接口!$K$1181),"")</f>
        <v/>
      </c>
      <c r="L1181" s="59" t="str">
        <f aca="false">IFERROR(IF([1]对账明细接口!$L$1181=0,"",[1]对账明细接口!$L$1181),"")</f>
        <v/>
      </c>
      <c r="M1181" s="59" t="str">
        <f aca="false">IFERROR(IF([1]对账明细接口!$M$1181=0,"",[1]对账明细接口!$M$1181),"")</f>
        <v/>
      </c>
      <c r="N1181" s="111" t="n">
        <f aca="false">IF($C1181="",0,1)</f>
        <v>0</v>
      </c>
      <c r="O1181" s="111" t="n">
        <f aca="false">N(O1180)+$N1181</f>
        <v>110</v>
      </c>
      <c r="S1181" s="10" t="str">
        <f aca="false">IFERROR(IF([1]对账明细接口!$N1181=0,"",[1]对账明细接口!$N1181),"")</f>
        <v/>
      </c>
      <c r="T1181" s="112" t="str">
        <f aca="false">IFERROR(IF([1]对账明细接口!$O1181=0,"",[1]对账明细接口!$O1181),"")</f>
        <v/>
      </c>
      <c r="U1181" s="112" t="str">
        <f aca="false">IFERROR(IF([1]对账明细接口!$P1181=0,"",[1]对账明细接口!$P1181),"")</f>
        <v/>
      </c>
      <c r="V1181" s="112" t="str">
        <f aca="false">IFERROR(IF([1]对账明细接口!$Q1181=0,"",[1]对账明细接口!$Q1181),"")</f>
        <v/>
      </c>
      <c r="W1181" s="10" t="str">
        <f aca="false">IFERROR(IF([1]对账明细接口!$R1181=0,"",[1]对账明细接口!$R1181),"")</f>
        <v/>
      </c>
      <c r="X1181" s="10" t="str">
        <f aca="false">IFERROR(IF([1]对账明细接口!$S1181=0,"",[1]对账明细接口!$S1181),"")</f>
        <v/>
      </c>
      <c r="Y1181" s="10" t="str">
        <f aca="false">""</f>
        <v/>
      </c>
      <c r="Z1181" s="10" t="str">
        <f aca="false">""</f>
        <v/>
      </c>
      <c r="AA1181" s="10" t="str">
        <f aca="false">""</f>
        <v/>
      </c>
      <c r="AB1181" s="10" t="str">
        <f aca="false">""</f>
        <v/>
      </c>
    </row>
    <row r="1182" customFormat="false" ht="13.5" hidden="false" customHeight="false" outlineLevel="0" collapsed="false">
      <c r="A1182" s="109" t="n">
        <v>1182</v>
      </c>
      <c r="B1182" s="110" t="str">
        <f aca="false">IFERROR(IF([1]对账明细接口!$B$1182=0,"",[1]对账明细接口!$B$1182),"")</f>
        <v/>
      </c>
      <c r="C1182" s="59" t="str">
        <f aca="false">IFERROR(IF([1]对账明细接口!$C$1182=0,"",[1]对账明细接口!$C$1182),"")</f>
        <v/>
      </c>
      <c r="D1182" s="59" t="str">
        <f aca="false">IFERROR(IF([1]对账明细接口!$D$1182=0,"",[1]对账明细接口!$D$1182),"")</f>
        <v/>
      </c>
      <c r="E1182" s="59" t="str">
        <f aca="false">IFERROR(IF([1]对账明细接口!$E$1182=0,"",[1]对账明细接口!$E$1182),"")</f>
        <v/>
      </c>
      <c r="F1182" s="59" t="str">
        <f aca="false">IFERROR(IF([1]对账明细接口!$F$1182=0,"",[1]对账明细接口!$F$1182),"")</f>
        <v/>
      </c>
      <c r="G1182" s="59" t="str">
        <f aca="false">IFERROR(IF([1]对账明细接口!$G$1182=0,"",[1]对账明细接口!$G$1182),"")</f>
        <v/>
      </c>
      <c r="H1182" s="60" t="str">
        <f aca="false">IFERROR(IF([1]对账明细接口!$H$1182=0,"",[1]对账明细接口!$H$1182),"")</f>
        <v/>
      </c>
      <c r="I1182" s="59" t="str">
        <f aca="false">IFERROR(IF([1]对账明细接口!$I$1182=0,"",[1]对账明细接口!$I$1182),"")</f>
        <v/>
      </c>
      <c r="J1182" s="61" t="str">
        <f aca="false">IFERROR(IF([1]对账明细接口!$J$1182=0,"",[1]对账明细接口!$J$1182),"")</f>
        <v/>
      </c>
      <c r="K1182" s="61" t="str">
        <f aca="false">IFERROR(IF([1]对账明细接口!$K$1182=0,"",[1]对账明细接口!$K$1182),"")</f>
        <v/>
      </c>
      <c r="L1182" s="59" t="str">
        <f aca="false">IFERROR(IF([1]对账明细接口!$L$1182=0,"",[1]对账明细接口!$L$1182),"")</f>
        <v/>
      </c>
      <c r="M1182" s="59" t="str">
        <f aca="false">IFERROR(IF([1]对账明细接口!$M$1182=0,"",[1]对账明细接口!$M$1182),"")</f>
        <v/>
      </c>
      <c r="N1182" s="111" t="n">
        <f aca="false">IF($C1182="",0,1)</f>
        <v>0</v>
      </c>
      <c r="O1182" s="111" t="n">
        <f aca="false">N(O1181)+$N1182</f>
        <v>110</v>
      </c>
      <c r="S1182" s="10" t="str">
        <f aca="false">IFERROR(IF([1]对账明细接口!$N1182=0,"",[1]对账明细接口!$N1182),"")</f>
        <v/>
      </c>
      <c r="T1182" s="112" t="str">
        <f aca="false">IFERROR(IF([1]对账明细接口!$O1182=0,"",[1]对账明细接口!$O1182),"")</f>
        <v/>
      </c>
      <c r="U1182" s="112" t="str">
        <f aca="false">IFERROR(IF([1]对账明细接口!$P1182=0,"",[1]对账明细接口!$P1182),"")</f>
        <v/>
      </c>
      <c r="V1182" s="112" t="str">
        <f aca="false">IFERROR(IF([1]对账明细接口!$Q1182=0,"",[1]对账明细接口!$Q1182),"")</f>
        <v/>
      </c>
      <c r="W1182" s="10" t="str">
        <f aca="false">IFERROR(IF([1]对账明细接口!$R1182=0,"",[1]对账明细接口!$R1182),"")</f>
        <v/>
      </c>
      <c r="X1182" s="10" t="str">
        <f aca="false">IFERROR(IF([1]对账明细接口!$S1182=0,"",[1]对账明细接口!$S1182),"")</f>
        <v/>
      </c>
      <c r="Y1182" s="10" t="str">
        <f aca="false">""</f>
        <v/>
      </c>
      <c r="Z1182" s="10" t="str">
        <f aca="false">""</f>
        <v/>
      </c>
      <c r="AA1182" s="10" t="str">
        <f aca="false">""</f>
        <v/>
      </c>
      <c r="AB1182" s="10" t="str">
        <f aca="false">""</f>
        <v/>
      </c>
    </row>
    <row r="1183" customFormat="false" ht="13.5" hidden="false" customHeight="false" outlineLevel="0" collapsed="false">
      <c r="A1183" s="109" t="n">
        <v>1183</v>
      </c>
      <c r="B1183" s="110" t="str">
        <f aca="false">IFERROR(IF([1]对账明细接口!$B$1183=0,"",[1]对账明细接口!$B$1183),"")</f>
        <v/>
      </c>
      <c r="C1183" s="59" t="str">
        <f aca="false">IFERROR(IF([1]对账明细接口!$C$1183=0,"",[1]对账明细接口!$C$1183),"")</f>
        <v/>
      </c>
      <c r="D1183" s="59" t="str">
        <f aca="false">IFERROR(IF([1]对账明细接口!$D$1183=0,"",[1]对账明细接口!$D$1183),"")</f>
        <v/>
      </c>
      <c r="E1183" s="59" t="str">
        <f aca="false">IFERROR(IF([1]对账明细接口!$E$1183=0,"",[1]对账明细接口!$E$1183),"")</f>
        <v/>
      </c>
      <c r="F1183" s="59" t="str">
        <f aca="false">IFERROR(IF([1]对账明细接口!$F$1183=0,"",[1]对账明细接口!$F$1183),"")</f>
        <v/>
      </c>
      <c r="G1183" s="59" t="str">
        <f aca="false">IFERROR(IF([1]对账明细接口!$G$1183=0,"",[1]对账明细接口!$G$1183),"")</f>
        <v/>
      </c>
      <c r="H1183" s="60" t="str">
        <f aca="false">IFERROR(IF([1]对账明细接口!$H$1183=0,"",[1]对账明细接口!$H$1183),"")</f>
        <v/>
      </c>
      <c r="I1183" s="59" t="str">
        <f aca="false">IFERROR(IF([1]对账明细接口!$I$1183=0,"",[1]对账明细接口!$I$1183),"")</f>
        <v/>
      </c>
      <c r="J1183" s="61" t="str">
        <f aca="false">IFERROR(IF([1]对账明细接口!$J$1183=0,"",[1]对账明细接口!$J$1183),"")</f>
        <v/>
      </c>
      <c r="K1183" s="61" t="str">
        <f aca="false">IFERROR(IF([1]对账明细接口!$K$1183=0,"",[1]对账明细接口!$K$1183),"")</f>
        <v/>
      </c>
      <c r="L1183" s="59" t="str">
        <f aca="false">IFERROR(IF([1]对账明细接口!$L$1183=0,"",[1]对账明细接口!$L$1183),"")</f>
        <v/>
      </c>
      <c r="M1183" s="59" t="str">
        <f aca="false">IFERROR(IF([1]对账明细接口!$M$1183=0,"",[1]对账明细接口!$M$1183),"")</f>
        <v/>
      </c>
      <c r="N1183" s="111" t="n">
        <f aca="false">IF($C1183="",0,1)</f>
        <v>0</v>
      </c>
      <c r="O1183" s="111" t="n">
        <f aca="false">N(O1182)+$N1183</f>
        <v>110</v>
      </c>
      <c r="S1183" s="10" t="str">
        <f aca="false">IFERROR(IF([1]对账明细接口!$N1183=0,"",[1]对账明细接口!$N1183),"")</f>
        <v/>
      </c>
      <c r="T1183" s="112" t="str">
        <f aca="false">IFERROR(IF([1]对账明细接口!$O1183=0,"",[1]对账明细接口!$O1183),"")</f>
        <v/>
      </c>
      <c r="U1183" s="112" t="str">
        <f aca="false">IFERROR(IF([1]对账明细接口!$P1183=0,"",[1]对账明细接口!$P1183),"")</f>
        <v/>
      </c>
      <c r="V1183" s="112" t="str">
        <f aca="false">IFERROR(IF([1]对账明细接口!$Q1183=0,"",[1]对账明细接口!$Q1183),"")</f>
        <v/>
      </c>
      <c r="W1183" s="10" t="str">
        <f aca="false">IFERROR(IF([1]对账明细接口!$R1183=0,"",[1]对账明细接口!$R1183),"")</f>
        <v/>
      </c>
      <c r="X1183" s="10" t="str">
        <f aca="false">IFERROR(IF([1]对账明细接口!$S1183=0,"",[1]对账明细接口!$S1183),"")</f>
        <v/>
      </c>
      <c r="Y1183" s="10" t="str">
        <f aca="false">""</f>
        <v/>
      </c>
      <c r="Z1183" s="10" t="str">
        <f aca="false">""</f>
        <v/>
      </c>
      <c r="AA1183" s="10" t="str">
        <f aca="false">""</f>
        <v/>
      </c>
      <c r="AB1183" s="10" t="str">
        <f aca="false">""</f>
        <v/>
      </c>
    </row>
    <row r="1184" customFormat="false" ht="13.5" hidden="false" customHeight="false" outlineLevel="0" collapsed="false">
      <c r="A1184" s="109" t="n">
        <v>1184</v>
      </c>
      <c r="B1184" s="110" t="str">
        <f aca="false">IFERROR(IF([1]对账明细接口!$B$1184=0,"",[1]对账明细接口!$B$1184),"")</f>
        <v/>
      </c>
      <c r="C1184" s="59" t="str">
        <f aca="false">IFERROR(IF([1]对账明细接口!$C$1184=0,"",[1]对账明细接口!$C$1184),"")</f>
        <v/>
      </c>
      <c r="D1184" s="59" t="str">
        <f aca="false">IFERROR(IF([1]对账明细接口!$D$1184=0,"",[1]对账明细接口!$D$1184),"")</f>
        <v/>
      </c>
      <c r="E1184" s="59" t="str">
        <f aca="false">IFERROR(IF([1]对账明细接口!$E$1184=0,"",[1]对账明细接口!$E$1184),"")</f>
        <v/>
      </c>
      <c r="F1184" s="59" t="str">
        <f aca="false">IFERROR(IF([1]对账明细接口!$F$1184=0,"",[1]对账明细接口!$F$1184),"")</f>
        <v/>
      </c>
      <c r="G1184" s="59" t="str">
        <f aca="false">IFERROR(IF([1]对账明细接口!$G$1184=0,"",[1]对账明细接口!$G$1184),"")</f>
        <v/>
      </c>
      <c r="H1184" s="60" t="str">
        <f aca="false">IFERROR(IF([1]对账明细接口!$H$1184=0,"",[1]对账明细接口!$H$1184),"")</f>
        <v/>
      </c>
      <c r="I1184" s="59" t="str">
        <f aca="false">IFERROR(IF([1]对账明细接口!$I$1184=0,"",[1]对账明细接口!$I$1184),"")</f>
        <v/>
      </c>
      <c r="J1184" s="61" t="str">
        <f aca="false">IFERROR(IF([1]对账明细接口!$J$1184=0,"",[1]对账明细接口!$J$1184),"")</f>
        <v/>
      </c>
      <c r="K1184" s="61" t="str">
        <f aca="false">IFERROR(IF([1]对账明细接口!$K$1184=0,"",[1]对账明细接口!$K$1184),"")</f>
        <v/>
      </c>
      <c r="L1184" s="59" t="str">
        <f aca="false">IFERROR(IF([1]对账明细接口!$L$1184=0,"",[1]对账明细接口!$L$1184),"")</f>
        <v/>
      </c>
      <c r="M1184" s="59" t="str">
        <f aca="false">IFERROR(IF([1]对账明细接口!$M$1184=0,"",[1]对账明细接口!$M$1184),"")</f>
        <v/>
      </c>
      <c r="N1184" s="111" t="n">
        <f aca="false">IF($C1184="",0,1)</f>
        <v>0</v>
      </c>
      <c r="O1184" s="111" t="n">
        <f aca="false">N(O1183)+$N1184</f>
        <v>110</v>
      </c>
      <c r="S1184" s="10" t="str">
        <f aca="false">IFERROR(IF([1]对账明细接口!$N1184=0,"",[1]对账明细接口!$N1184),"")</f>
        <v/>
      </c>
      <c r="T1184" s="112" t="str">
        <f aca="false">IFERROR(IF([1]对账明细接口!$O1184=0,"",[1]对账明细接口!$O1184),"")</f>
        <v/>
      </c>
      <c r="U1184" s="112" t="str">
        <f aca="false">IFERROR(IF([1]对账明细接口!$P1184=0,"",[1]对账明细接口!$P1184),"")</f>
        <v/>
      </c>
      <c r="V1184" s="112" t="str">
        <f aca="false">IFERROR(IF([1]对账明细接口!$Q1184=0,"",[1]对账明细接口!$Q1184),"")</f>
        <v/>
      </c>
      <c r="W1184" s="10" t="str">
        <f aca="false">IFERROR(IF([1]对账明细接口!$R1184=0,"",[1]对账明细接口!$R1184),"")</f>
        <v/>
      </c>
      <c r="X1184" s="10" t="str">
        <f aca="false">IFERROR(IF([1]对账明细接口!$S1184=0,"",[1]对账明细接口!$S1184),"")</f>
        <v/>
      </c>
      <c r="Y1184" s="10" t="str">
        <f aca="false">""</f>
        <v/>
      </c>
      <c r="Z1184" s="10" t="str">
        <f aca="false">""</f>
        <v/>
      </c>
      <c r="AA1184" s="10" t="str">
        <f aca="false">""</f>
        <v/>
      </c>
      <c r="AB1184" s="10" t="str">
        <f aca="false">""</f>
        <v/>
      </c>
    </row>
    <row r="1185" customFormat="false" ht="13.5" hidden="false" customHeight="false" outlineLevel="0" collapsed="false">
      <c r="A1185" s="109" t="n">
        <v>1185</v>
      </c>
      <c r="B1185" s="110" t="str">
        <f aca="false">IFERROR(IF([1]对账明细接口!$B$1185=0,"",[1]对账明细接口!$B$1185),"")</f>
        <v/>
      </c>
      <c r="C1185" s="59" t="str">
        <f aca="false">IFERROR(IF([1]对账明细接口!$C$1185=0,"",[1]对账明细接口!$C$1185),"")</f>
        <v/>
      </c>
      <c r="D1185" s="59" t="str">
        <f aca="false">IFERROR(IF([1]对账明细接口!$D$1185=0,"",[1]对账明细接口!$D$1185),"")</f>
        <v/>
      </c>
      <c r="E1185" s="59" t="str">
        <f aca="false">IFERROR(IF([1]对账明细接口!$E$1185=0,"",[1]对账明细接口!$E$1185),"")</f>
        <v/>
      </c>
      <c r="F1185" s="59" t="str">
        <f aca="false">IFERROR(IF([1]对账明细接口!$F$1185=0,"",[1]对账明细接口!$F$1185),"")</f>
        <v/>
      </c>
      <c r="G1185" s="59" t="str">
        <f aca="false">IFERROR(IF([1]对账明细接口!$G$1185=0,"",[1]对账明细接口!$G$1185),"")</f>
        <v/>
      </c>
      <c r="H1185" s="60" t="str">
        <f aca="false">IFERROR(IF([1]对账明细接口!$H$1185=0,"",[1]对账明细接口!$H$1185),"")</f>
        <v/>
      </c>
      <c r="I1185" s="59" t="str">
        <f aca="false">IFERROR(IF([1]对账明细接口!$I$1185=0,"",[1]对账明细接口!$I$1185),"")</f>
        <v/>
      </c>
      <c r="J1185" s="61" t="str">
        <f aca="false">IFERROR(IF([1]对账明细接口!$J$1185=0,"",[1]对账明细接口!$J$1185),"")</f>
        <v/>
      </c>
      <c r="K1185" s="61" t="str">
        <f aca="false">IFERROR(IF([1]对账明细接口!$K$1185=0,"",[1]对账明细接口!$K$1185),"")</f>
        <v/>
      </c>
      <c r="L1185" s="59" t="str">
        <f aca="false">IFERROR(IF([1]对账明细接口!$L$1185=0,"",[1]对账明细接口!$L$1185),"")</f>
        <v/>
      </c>
      <c r="M1185" s="59" t="str">
        <f aca="false">IFERROR(IF([1]对账明细接口!$M$1185=0,"",[1]对账明细接口!$M$1185),"")</f>
        <v/>
      </c>
      <c r="N1185" s="111" t="n">
        <f aca="false">IF($C1185="",0,1)</f>
        <v>0</v>
      </c>
      <c r="O1185" s="111" t="n">
        <f aca="false">N(O1184)+$N1185</f>
        <v>110</v>
      </c>
      <c r="S1185" s="10" t="str">
        <f aca="false">IFERROR(IF([1]对账明细接口!$N1185=0,"",[1]对账明细接口!$N1185),"")</f>
        <v/>
      </c>
      <c r="T1185" s="112" t="str">
        <f aca="false">IFERROR(IF([1]对账明细接口!$O1185=0,"",[1]对账明细接口!$O1185),"")</f>
        <v/>
      </c>
      <c r="U1185" s="112" t="str">
        <f aca="false">IFERROR(IF([1]对账明细接口!$P1185=0,"",[1]对账明细接口!$P1185),"")</f>
        <v/>
      </c>
      <c r="V1185" s="112" t="str">
        <f aca="false">IFERROR(IF([1]对账明细接口!$Q1185=0,"",[1]对账明细接口!$Q1185),"")</f>
        <v/>
      </c>
      <c r="W1185" s="10" t="str">
        <f aca="false">IFERROR(IF([1]对账明细接口!$R1185=0,"",[1]对账明细接口!$R1185),"")</f>
        <v/>
      </c>
      <c r="X1185" s="10" t="str">
        <f aca="false">IFERROR(IF([1]对账明细接口!$S1185=0,"",[1]对账明细接口!$S1185),"")</f>
        <v/>
      </c>
      <c r="Y1185" s="10" t="str">
        <f aca="false">""</f>
        <v/>
      </c>
      <c r="Z1185" s="10" t="str">
        <f aca="false">""</f>
        <v/>
      </c>
      <c r="AA1185" s="10" t="str">
        <f aca="false">""</f>
        <v/>
      </c>
      <c r="AB1185" s="10" t="str">
        <f aca="false">""</f>
        <v/>
      </c>
    </row>
    <row r="1186" customFormat="false" ht="13.5" hidden="false" customHeight="false" outlineLevel="0" collapsed="false">
      <c r="A1186" s="109" t="n">
        <v>1186</v>
      </c>
      <c r="B1186" s="110" t="str">
        <f aca="false">IFERROR(IF([1]对账明细接口!$B$1186=0,"",[1]对账明细接口!$B$1186),"")</f>
        <v/>
      </c>
      <c r="C1186" s="59" t="str">
        <f aca="false">IFERROR(IF([1]对账明细接口!$C$1186=0,"",[1]对账明细接口!$C$1186),"")</f>
        <v/>
      </c>
      <c r="D1186" s="59" t="str">
        <f aca="false">IFERROR(IF([1]对账明细接口!$D$1186=0,"",[1]对账明细接口!$D$1186),"")</f>
        <v/>
      </c>
      <c r="E1186" s="59" t="str">
        <f aca="false">IFERROR(IF([1]对账明细接口!$E$1186=0,"",[1]对账明细接口!$E$1186),"")</f>
        <v/>
      </c>
      <c r="F1186" s="59" t="str">
        <f aca="false">IFERROR(IF([1]对账明细接口!$F$1186=0,"",[1]对账明细接口!$F$1186),"")</f>
        <v/>
      </c>
      <c r="G1186" s="59" t="str">
        <f aca="false">IFERROR(IF([1]对账明细接口!$G$1186=0,"",[1]对账明细接口!$G$1186),"")</f>
        <v/>
      </c>
      <c r="H1186" s="60" t="str">
        <f aca="false">IFERROR(IF([1]对账明细接口!$H$1186=0,"",[1]对账明细接口!$H$1186),"")</f>
        <v/>
      </c>
      <c r="I1186" s="59" t="str">
        <f aca="false">IFERROR(IF([1]对账明细接口!$I$1186=0,"",[1]对账明细接口!$I$1186),"")</f>
        <v/>
      </c>
      <c r="J1186" s="61" t="str">
        <f aca="false">IFERROR(IF([1]对账明细接口!$J$1186=0,"",[1]对账明细接口!$J$1186),"")</f>
        <v/>
      </c>
      <c r="K1186" s="61" t="str">
        <f aca="false">IFERROR(IF([1]对账明细接口!$K$1186=0,"",[1]对账明细接口!$K$1186),"")</f>
        <v/>
      </c>
      <c r="L1186" s="59" t="str">
        <f aca="false">IFERROR(IF([1]对账明细接口!$L$1186=0,"",[1]对账明细接口!$L$1186),"")</f>
        <v/>
      </c>
      <c r="M1186" s="59" t="str">
        <f aca="false">IFERROR(IF([1]对账明细接口!$M$1186=0,"",[1]对账明细接口!$M$1186),"")</f>
        <v/>
      </c>
      <c r="N1186" s="111" t="n">
        <f aca="false">IF($C1186="",0,1)</f>
        <v>0</v>
      </c>
      <c r="O1186" s="111" t="n">
        <f aca="false">N(O1185)+$N1186</f>
        <v>110</v>
      </c>
      <c r="S1186" s="10" t="str">
        <f aca="false">IFERROR(IF([1]对账明细接口!$N1186=0,"",[1]对账明细接口!$N1186),"")</f>
        <v/>
      </c>
      <c r="T1186" s="112" t="str">
        <f aca="false">IFERROR(IF([1]对账明细接口!$O1186=0,"",[1]对账明细接口!$O1186),"")</f>
        <v/>
      </c>
      <c r="U1186" s="112" t="str">
        <f aca="false">IFERROR(IF([1]对账明细接口!$P1186=0,"",[1]对账明细接口!$P1186),"")</f>
        <v/>
      </c>
      <c r="V1186" s="112" t="str">
        <f aca="false">IFERROR(IF([1]对账明细接口!$Q1186=0,"",[1]对账明细接口!$Q1186),"")</f>
        <v/>
      </c>
      <c r="W1186" s="10" t="str">
        <f aca="false">IFERROR(IF([1]对账明细接口!$R1186=0,"",[1]对账明细接口!$R1186),"")</f>
        <v/>
      </c>
      <c r="X1186" s="10" t="str">
        <f aca="false">IFERROR(IF([1]对账明细接口!$S1186=0,"",[1]对账明细接口!$S1186),"")</f>
        <v/>
      </c>
      <c r="Y1186" s="10" t="str">
        <f aca="false">""</f>
        <v/>
      </c>
      <c r="Z1186" s="10" t="str">
        <f aca="false">""</f>
        <v/>
      </c>
      <c r="AA1186" s="10" t="str">
        <f aca="false">""</f>
        <v/>
      </c>
      <c r="AB1186" s="10" t="str">
        <f aca="false">""</f>
        <v/>
      </c>
    </row>
    <row r="1187" customFormat="false" ht="13.5" hidden="false" customHeight="false" outlineLevel="0" collapsed="false">
      <c r="A1187" s="109" t="n">
        <v>1187</v>
      </c>
      <c r="B1187" s="110" t="str">
        <f aca="false">IFERROR(IF([1]对账明细接口!$B$1187=0,"",[1]对账明细接口!$B$1187),"")</f>
        <v/>
      </c>
      <c r="C1187" s="59" t="str">
        <f aca="false">IFERROR(IF([1]对账明细接口!$C$1187=0,"",[1]对账明细接口!$C$1187),"")</f>
        <v/>
      </c>
      <c r="D1187" s="59" t="str">
        <f aca="false">IFERROR(IF([1]对账明细接口!$D$1187=0,"",[1]对账明细接口!$D$1187),"")</f>
        <v/>
      </c>
      <c r="E1187" s="59" t="str">
        <f aca="false">IFERROR(IF([1]对账明细接口!$E$1187=0,"",[1]对账明细接口!$E$1187),"")</f>
        <v/>
      </c>
      <c r="F1187" s="59" t="str">
        <f aca="false">IFERROR(IF([1]对账明细接口!$F$1187=0,"",[1]对账明细接口!$F$1187),"")</f>
        <v/>
      </c>
      <c r="G1187" s="59" t="str">
        <f aca="false">IFERROR(IF([1]对账明细接口!$G$1187=0,"",[1]对账明细接口!$G$1187),"")</f>
        <v/>
      </c>
      <c r="H1187" s="60" t="str">
        <f aca="false">IFERROR(IF([1]对账明细接口!$H$1187=0,"",[1]对账明细接口!$H$1187),"")</f>
        <v/>
      </c>
      <c r="I1187" s="59" t="str">
        <f aca="false">IFERROR(IF([1]对账明细接口!$I$1187=0,"",[1]对账明细接口!$I$1187),"")</f>
        <v/>
      </c>
      <c r="J1187" s="61" t="str">
        <f aca="false">IFERROR(IF([1]对账明细接口!$J$1187=0,"",[1]对账明细接口!$J$1187),"")</f>
        <v/>
      </c>
      <c r="K1187" s="61" t="str">
        <f aca="false">IFERROR(IF([1]对账明细接口!$K$1187=0,"",[1]对账明细接口!$K$1187),"")</f>
        <v/>
      </c>
      <c r="L1187" s="59" t="str">
        <f aca="false">IFERROR(IF([1]对账明细接口!$L$1187=0,"",[1]对账明细接口!$L$1187),"")</f>
        <v/>
      </c>
      <c r="M1187" s="59" t="str">
        <f aca="false">IFERROR(IF([1]对账明细接口!$M$1187=0,"",[1]对账明细接口!$M$1187),"")</f>
        <v/>
      </c>
      <c r="N1187" s="111" t="n">
        <f aca="false">IF($C1187="",0,1)</f>
        <v>0</v>
      </c>
      <c r="O1187" s="111" t="n">
        <f aca="false">N(O1186)+$N1187</f>
        <v>110</v>
      </c>
      <c r="S1187" s="10" t="str">
        <f aca="false">IFERROR(IF([1]对账明细接口!$N1187=0,"",[1]对账明细接口!$N1187),"")</f>
        <v/>
      </c>
      <c r="T1187" s="112" t="str">
        <f aca="false">IFERROR(IF([1]对账明细接口!$O1187=0,"",[1]对账明细接口!$O1187),"")</f>
        <v/>
      </c>
      <c r="U1187" s="112" t="str">
        <f aca="false">IFERROR(IF([1]对账明细接口!$P1187=0,"",[1]对账明细接口!$P1187),"")</f>
        <v/>
      </c>
      <c r="V1187" s="112" t="str">
        <f aca="false">IFERROR(IF([1]对账明细接口!$Q1187=0,"",[1]对账明细接口!$Q1187),"")</f>
        <v/>
      </c>
      <c r="W1187" s="10" t="str">
        <f aca="false">IFERROR(IF([1]对账明细接口!$R1187=0,"",[1]对账明细接口!$R1187),"")</f>
        <v/>
      </c>
      <c r="X1187" s="10" t="str">
        <f aca="false">IFERROR(IF([1]对账明细接口!$S1187=0,"",[1]对账明细接口!$S1187),"")</f>
        <v/>
      </c>
      <c r="Y1187" s="10" t="str">
        <f aca="false">""</f>
        <v/>
      </c>
      <c r="Z1187" s="10" t="str">
        <f aca="false">""</f>
        <v/>
      </c>
      <c r="AA1187" s="10" t="str">
        <f aca="false">""</f>
        <v/>
      </c>
      <c r="AB1187" s="10" t="str">
        <f aca="false">""</f>
        <v/>
      </c>
    </row>
    <row r="1188" customFormat="false" ht="13.5" hidden="false" customHeight="false" outlineLevel="0" collapsed="false">
      <c r="A1188" s="109" t="n">
        <v>1188</v>
      </c>
      <c r="B1188" s="110" t="str">
        <f aca="false">IFERROR(IF([1]对账明细接口!$B$1188=0,"",[1]对账明细接口!$B$1188),"")</f>
        <v/>
      </c>
      <c r="C1188" s="59" t="str">
        <f aca="false">IFERROR(IF([1]对账明细接口!$C$1188=0,"",[1]对账明细接口!$C$1188),"")</f>
        <v/>
      </c>
      <c r="D1188" s="59" t="str">
        <f aca="false">IFERROR(IF([1]对账明细接口!$D$1188=0,"",[1]对账明细接口!$D$1188),"")</f>
        <v/>
      </c>
      <c r="E1188" s="59" t="str">
        <f aca="false">IFERROR(IF([1]对账明细接口!$E$1188=0,"",[1]对账明细接口!$E$1188),"")</f>
        <v/>
      </c>
      <c r="F1188" s="59" t="str">
        <f aca="false">IFERROR(IF([1]对账明细接口!$F$1188=0,"",[1]对账明细接口!$F$1188),"")</f>
        <v/>
      </c>
      <c r="G1188" s="59" t="str">
        <f aca="false">IFERROR(IF([1]对账明细接口!$G$1188=0,"",[1]对账明细接口!$G$1188),"")</f>
        <v/>
      </c>
      <c r="H1188" s="60" t="str">
        <f aca="false">IFERROR(IF([1]对账明细接口!$H$1188=0,"",[1]对账明细接口!$H$1188),"")</f>
        <v/>
      </c>
      <c r="I1188" s="59" t="str">
        <f aca="false">IFERROR(IF([1]对账明细接口!$I$1188=0,"",[1]对账明细接口!$I$1188),"")</f>
        <v/>
      </c>
      <c r="J1188" s="61" t="str">
        <f aca="false">IFERROR(IF([1]对账明细接口!$J$1188=0,"",[1]对账明细接口!$J$1188),"")</f>
        <v/>
      </c>
      <c r="K1188" s="61" t="str">
        <f aca="false">IFERROR(IF([1]对账明细接口!$K$1188=0,"",[1]对账明细接口!$K$1188),"")</f>
        <v/>
      </c>
      <c r="L1188" s="59" t="str">
        <f aca="false">IFERROR(IF([1]对账明细接口!$L$1188=0,"",[1]对账明细接口!$L$1188),"")</f>
        <v/>
      </c>
      <c r="M1188" s="59" t="str">
        <f aca="false">IFERROR(IF([1]对账明细接口!$M$1188=0,"",[1]对账明细接口!$M$1188),"")</f>
        <v/>
      </c>
      <c r="N1188" s="111" t="n">
        <f aca="false">IF($C1188="",0,1)</f>
        <v>0</v>
      </c>
      <c r="O1188" s="111" t="n">
        <f aca="false">N(O1187)+$N1188</f>
        <v>110</v>
      </c>
      <c r="S1188" s="10" t="str">
        <f aca="false">IFERROR(IF([1]对账明细接口!$N1188=0,"",[1]对账明细接口!$N1188),"")</f>
        <v/>
      </c>
      <c r="T1188" s="112" t="str">
        <f aca="false">IFERROR(IF([1]对账明细接口!$O1188=0,"",[1]对账明细接口!$O1188),"")</f>
        <v/>
      </c>
      <c r="U1188" s="112" t="str">
        <f aca="false">IFERROR(IF([1]对账明细接口!$P1188=0,"",[1]对账明细接口!$P1188),"")</f>
        <v/>
      </c>
      <c r="V1188" s="112" t="str">
        <f aca="false">IFERROR(IF([1]对账明细接口!$Q1188=0,"",[1]对账明细接口!$Q1188),"")</f>
        <v/>
      </c>
      <c r="W1188" s="10" t="str">
        <f aca="false">IFERROR(IF([1]对账明细接口!$R1188=0,"",[1]对账明细接口!$R1188),"")</f>
        <v/>
      </c>
      <c r="X1188" s="10" t="str">
        <f aca="false">IFERROR(IF([1]对账明细接口!$S1188=0,"",[1]对账明细接口!$S1188),"")</f>
        <v/>
      </c>
      <c r="Y1188" s="10" t="str">
        <f aca="false">""</f>
        <v/>
      </c>
      <c r="Z1188" s="10" t="str">
        <f aca="false">""</f>
        <v/>
      </c>
      <c r="AA1188" s="10" t="str">
        <f aca="false">""</f>
        <v/>
      </c>
      <c r="AB1188" s="10" t="str">
        <f aca="false">""</f>
        <v/>
      </c>
    </row>
    <row r="1189" customFormat="false" ht="13.5" hidden="false" customHeight="false" outlineLevel="0" collapsed="false">
      <c r="A1189" s="109" t="n">
        <v>1189</v>
      </c>
      <c r="B1189" s="110" t="str">
        <f aca="false">IFERROR(IF([1]对账明细接口!$B$1189=0,"",[1]对账明细接口!$B$1189),"")</f>
        <v/>
      </c>
      <c r="C1189" s="59" t="str">
        <f aca="false">IFERROR(IF([1]对账明细接口!$C$1189=0,"",[1]对账明细接口!$C$1189),"")</f>
        <v/>
      </c>
      <c r="D1189" s="59" t="str">
        <f aca="false">IFERROR(IF([1]对账明细接口!$D$1189=0,"",[1]对账明细接口!$D$1189),"")</f>
        <v/>
      </c>
      <c r="E1189" s="59" t="str">
        <f aca="false">IFERROR(IF([1]对账明细接口!$E$1189=0,"",[1]对账明细接口!$E$1189),"")</f>
        <v/>
      </c>
      <c r="F1189" s="59" t="str">
        <f aca="false">IFERROR(IF([1]对账明细接口!$F$1189=0,"",[1]对账明细接口!$F$1189),"")</f>
        <v/>
      </c>
      <c r="G1189" s="59" t="str">
        <f aca="false">IFERROR(IF([1]对账明细接口!$G$1189=0,"",[1]对账明细接口!$G$1189),"")</f>
        <v/>
      </c>
      <c r="H1189" s="60" t="str">
        <f aca="false">IFERROR(IF([1]对账明细接口!$H$1189=0,"",[1]对账明细接口!$H$1189),"")</f>
        <v/>
      </c>
      <c r="I1189" s="59" t="str">
        <f aca="false">IFERROR(IF([1]对账明细接口!$I$1189=0,"",[1]对账明细接口!$I$1189),"")</f>
        <v/>
      </c>
      <c r="J1189" s="61" t="str">
        <f aca="false">IFERROR(IF([1]对账明细接口!$J$1189=0,"",[1]对账明细接口!$J$1189),"")</f>
        <v/>
      </c>
      <c r="K1189" s="61" t="str">
        <f aca="false">IFERROR(IF([1]对账明细接口!$K$1189=0,"",[1]对账明细接口!$K$1189),"")</f>
        <v/>
      </c>
      <c r="L1189" s="59" t="str">
        <f aca="false">IFERROR(IF([1]对账明细接口!$L$1189=0,"",[1]对账明细接口!$L$1189),"")</f>
        <v/>
      </c>
      <c r="M1189" s="59" t="str">
        <f aca="false">IFERROR(IF([1]对账明细接口!$M$1189=0,"",[1]对账明细接口!$M$1189),"")</f>
        <v/>
      </c>
      <c r="N1189" s="111" t="n">
        <f aca="false">IF($C1189="",0,1)</f>
        <v>0</v>
      </c>
      <c r="O1189" s="111" t="n">
        <f aca="false">N(O1188)+$N1189</f>
        <v>110</v>
      </c>
      <c r="S1189" s="10" t="str">
        <f aca="false">IFERROR(IF([1]对账明细接口!$N1189=0,"",[1]对账明细接口!$N1189),"")</f>
        <v/>
      </c>
      <c r="T1189" s="112" t="str">
        <f aca="false">IFERROR(IF([1]对账明细接口!$O1189=0,"",[1]对账明细接口!$O1189),"")</f>
        <v/>
      </c>
      <c r="U1189" s="112" t="str">
        <f aca="false">IFERROR(IF([1]对账明细接口!$P1189=0,"",[1]对账明细接口!$P1189),"")</f>
        <v/>
      </c>
      <c r="V1189" s="112" t="str">
        <f aca="false">IFERROR(IF([1]对账明细接口!$Q1189=0,"",[1]对账明细接口!$Q1189),"")</f>
        <v/>
      </c>
      <c r="W1189" s="10" t="str">
        <f aca="false">IFERROR(IF([1]对账明细接口!$R1189=0,"",[1]对账明细接口!$R1189),"")</f>
        <v/>
      </c>
      <c r="X1189" s="10" t="str">
        <f aca="false">IFERROR(IF([1]对账明细接口!$S1189=0,"",[1]对账明细接口!$S1189),"")</f>
        <v/>
      </c>
      <c r="Y1189" s="10" t="str">
        <f aca="false">""</f>
        <v/>
      </c>
      <c r="Z1189" s="10" t="str">
        <f aca="false">""</f>
        <v/>
      </c>
      <c r="AA1189" s="10" t="str">
        <f aca="false">""</f>
        <v/>
      </c>
      <c r="AB1189" s="10" t="str">
        <f aca="false">""</f>
        <v/>
      </c>
    </row>
    <row r="1190" customFormat="false" ht="13.5" hidden="false" customHeight="false" outlineLevel="0" collapsed="false">
      <c r="A1190" s="109" t="n">
        <v>1190</v>
      </c>
      <c r="B1190" s="110" t="str">
        <f aca="false">IFERROR(IF([1]对账明细接口!$B$1190=0,"",[1]对账明细接口!$B$1190),"")</f>
        <v/>
      </c>
      <c r="C1190" s="59" t="str">
        <f aca="false">IFERROR(IF([1]对账明细接口!$C$1190=0,"",[1]对账明细接口!$C$1190),"")</f>
        <v/>
      </c>
      <c r="D1190" s="59" t="str">
        <f aca="false">IFERROR(IF([1]对账明细接口!$D$1190=0,"",[1]对账明细接口!$D$1190),"")</f>
        <v/>
      </c>
      <c r="E1190" s="59" t="str">
        <f aca="false">IFERROR(IF([1]对账明细接口!$E$1190=0,"",[1]对账明细接口!$E$1190),"")</f>
        <v/>
      </c>
      <c r="F1190" s="59" t="str">
        <f aca="false">IFERROR(IF([1]对账明细接口!$F$1190=0,"",[1]对账明细接口!$F$1190),"")</f>
        <v/>
      </c>
      <c r="G1190" s="59" t="str">
        <f aca="false">IFERROR(IF([1]对账明细接口!$G$1190=0,"",[1]对账明细接口!$G$1190),"")</f>
        <v/>
      </c>
      <c r="H1190" s="60" t="str">
        <f aca="false">IFERROR(IF([1]对账明细接口!$H$1190=0,"",[1]对账明细接口!$H$1190),"")</f>
        <v/>
      </c>
      <c r="I1190" s="59" t="str">
        <f aca="false">IFERROR(IF([1]对账明细接口!$I$1190=0,"",[1]对账明细接口!$I$1190),"")</f>
        <v/>
      </c>
      <c r="J1190" s="61" t="str">
        <f aca="false">IFERROR(IF([1]对账明细接口!$J$1190=0,"",[1]对账明细接口!$J$1190),"")</f>
        <v/>
      </c>
      <c r="K1190" s="61" t="str">
        <f aca="false">IFERROR(IF([1]对账明细接口!$K$1190=0,"",[1]对账明细接口!$K$1190),"")</f>
        <v/>
      </c>
      <c r="L1190" s="59" t="str">
        <f aca="false">IFERROR(IF([1]对账明细接口!$L$1190=0,"",[1]对账明细接口!$L$1190),"")</f>
        <v/>
      </c>
      <c r="M1190" s="59" t="str">
        <f aca="false">IFERROR(IF([1]对账明细接口!$M$1190=0,"",[1]对账明细接口!$M$1190),"")</f>
        <v/>
      </c>
      <c r="N1190" s="111" t="n">
        <f aca="false">IF($C1190="",0,1)</f>
        <v>0</v>
      </c>
      <c r="O1190" s="111" t="n">
        <f aca="false">N(O1189)+$N1190</f>
        <v>110</v>
      </c>
      <c r="S1190" s="10" t="str">
        <f aca="false">IFERROR(IF([1]对账明细接口!$N1190=0,"",[1]对账明细接口!$N1190),"")</f>
        <v/>
      </c>
      <c r="T1190" s="112" t="str">
        <f aca="false">IFERROR(IF([1]对账明细接口!$O1190=0,"",[1]对账明细接口!$O1190),"")</f>
        <v/>
      </c>
      <c r="U1190" s="112" t="str">
        <f aca="false">IFERROR(IF([1]对账明细接口!$P1190=0,"",[1]对账明细接口!$P1190),"")</f>
        <v/>
      </c>
      <c r="V1190" s="112" t="str">
        <f aca="false">IFERROR(IF([1]对账明细接口!$Q1190=0,"",[1]对账明细接口!$Q1190),"")</f>
        <v/>
      </c>
      <c r="W1190" s="10" t="str">
        <f aca="false">IFERROR(IF([1]对账明细接口!$R1190=0,"",[1]对账明细接口!$R1190),"")</f>
        <v/>
      </c>
      <c r="X1190" s="10" t="str">
        <f aca="false">IFERROR(IF([1]对账明细接口!$S1190=0,"",[1]对账明细接口!$S1190),"")</f>
        <v/>
      </c>
      <c r="Y1190" s="10" t="str">
        <f aca="false">""</f>
        <v/>
      </c>
      <c r="Z1190" s="10" t="str">
        <f aca="false">""</f>
        <v/>
      </c>
      <c r="AA1190" s="10" t="str">
        <f aca="false">""</f>
        <v/>
      </c>
      <c r="AB1190" s="10" t="str">
        <f aca="false">""</f>
        <v/>
      </c>
    </row>
    <row r="1191" customFormat="false" ht="13.5" hidden="false" customHeight="false" outlineLevel="0" collapsed="false">
      <c r="A1191" s="109" t="n">
        <v>1191</v>
      </c>
      <c r="B1191" s="110" t="str">
        <f aca="false">IFERROR(IF([1]对账明细接口!$B$1191=0,"",[1]对账明细接口!$B$1191),"")</f>
        <v/>
      </c>
      <c r="C1191" s="59" t="str">
        <f aca="false">IFERROR(IF([1]对账明细接口!$C$1191=0,"",[1]对账明细接口!$C$1191),"")</f>
        <v/>
      </c>
      <c r="D1191" s="59" t="str">
        <f aca="false">IFERROR(IF([1]对账明细接口!$D$1191=0,"",[1]对账明细接口!$D$1191),"")</f>
        <v/>
      </c>
      <c r="E1191" s="59" t="str">
        <f aca="false">IFERROR(IF([1]对账明细接口!$E$1191=0,"",[1]对账明细接口!$E$1191),"")</f>
        <v/>
      </c>
      <c r="F1191" s="59" t="str">
        <f aca="false">IFERROR(IF([1]对账明细接口!$F$1191=0,"",[1]对账明细接口!$F$1191),"")</f>
        <v/>
      </c>
      <c r="G1191" s="59" t="str">
        <f aca="false">IFERROR(IF([1]对账明细接口!$G$1191=0,"",[1]对账明细接口!$G$1191),"")</f>
        <v/>
      </c>
      <c r="H1191" s="60" t="str">
        <f aca="false">IFERROR(IF([1]对账明细接口!$H$1191=0,"",[1]对账明细接口!$H$1191),"")</f>
        <v/>
      </c>
      <c r="I1191" s="59" t="str">
        <f aca="false">IFERROR(IF([1]对账明细接口!$I$1191=0,"",[1]对账明细接口!$I$1191),"")</f>
        <v/>
      </c>
      <c r="J1191" s="61" t="str">
        <f aca="false">IFERROR(IF([1]对账明细接口!$J$1191=0,"",[1]对账明细接口!$J$1191),"")</f>
        <v/>
      </c>
      <c r="K1191" s="61" t="str">
        <f aca="false">IFERROR(IF([1]对账明细接口!$K$1191=0,"",[1]对账明细接口!$K$1191),"")</f>
        <v/>
      </c>
      <c r="L1191" s="59" t="str">
        <f aca="false">IFERROR(IF([1]对账明细接口!$L$1191=0,"",[1]对账明细接口!$L$1191),"")</f>
        <v/>
      </c>
      <c r="M1191" s="59" t="str">
        <f aca="false">IFERROR(IF([1]对账明细接口!$M$1191=0,"",[1]对账明细接口!$M$1191),"")</f>
        <v/>
      </c>
      <c r="N1191" s="111" t="n">
        <f aca="false">IF($C1191="",0,1)</f>
        <v>0</v>
      </c>
      <c r="O1191" s="111" t="n">
        <f aca="false">N(O1190)+$N1191</f>
        <v>110</v>
      </c>
      <c r="S1191" s="10" t="str">
        <f aca="false">IFERROR(IF([1]对账明细接口!$N1191=0,"",[1]对账明细接口!$N1191),"")</f>
        <v/>
      </c>
      <c r="T1191" s="112" t="str">
        <f aca="false">IFERROR(IF([1]对账明细接口!$O1191=0,"",[1]对账明细接口!$O1191),"")</f>
        <v/>
      </c>
      <c r="U1191" s="112" t="str">
        <f aca="false">IFERROR(IF([1]对账明细接口!$P1191=0,"",[1]对账明细接口!$P1191),"")</f>
        <v/>
      </c>
      <c r="V1191" s="112" t="str">
        <f aca="false">IFERROR(IF([1]对账明细接口!$Q1191=0,"",[1]对账明细接口!$Q1191),"")</f>
        <v/>
      </c>
      <c r="W1191" s="10" t="str">
        <f aca="false">IFERROR(IF([1]对账明细接口!$R1191=0,"",[1]对账明细接口!$R1191),"")</f>
        <v/>
      </c>
      <c r="X1191" s="10" t="str">
        <f aca="false">IFERROR(IF([1]对账明细接口!$S1191=0,"",[1]对账明细接口!$S1191),"")</f>
        <v/>
      </c>
      <c r="Y1191" s="10" t="str">
        <f aca="false">""</f>
        <v/>
      </c>
      <c r="Z1191" s="10" t="str">
        <f aca="false">""</f>
        <v/>
      </c>
      <c r="AA1191" s="10" t="str">
        <f aca="false">""</f>
        <v/>
      </c>
      <c r="AB1191" s="10" t="str">
        <f aca="false">""</f>
        <v/>
      </c>
    </row>
    <row r="1192" customFormat="false" ht="13.5" hidden="false" customHeight="false" outlineLevel="0" collapsed="false">
      <c r="A1192" s="109" t="n">
        <v>1192</v>
      </c>
      <c r="B1192" s="110" t="str">
        <f aca="false">IFERROR(IF([1]对账明细接口!$B$1192=0,"",[1]对账明细接口!$B$1192),"")</f>
        <v/>
      </c>
      <c r="C1192" s="59" t="str">
        <f aca="false">IFERROR(IF([1]对账明细接口!$C$1192=0,"",[1]对账明细接口!$C$1192),"")</f>
        <v/>
      </c>
      <c r="D1192" s="59" t="str">
        <f aca="false">IFERROR(IF([1]对账明细接口!$D$1192=0,"",[1]对账明细接口!$D$1192),"")</f>
        <v/>
      </c>
      <c r="E1192" s="59" t="str">
        <f aca="false">IFERROR(IF([1]对账明细接口!$E$1192=0,"",[1]对账明细接口!$E$1192),"")</f>
        <v/>
      </c>
      <c r="F1192" s="59" t="str">
        <f aca="false">IFERROR(IF([1]对账明细接口!$F$1192=0,"",[1]对账明细接口!$F$1192),"")</f>
        <v/>
      </c>
      <c r="G1192" s="59" t="str">
        <f aca="false">IFERROR(IF([1]对账明细接口!$G$1192=0,"",[1]对账明细接口!$G$1192),"")</f>
        <v/>
      </c>
      <c r="H1192" s="60" t="str">
        <f aca="false">IFERROR(IF([1]对账明细接口!$H$1192=0,"",[1]对账明细接口!$H$1192),"")</f>
        <v/>
      </c>
      <c r="I1192" s="59" t="str">
        <f aca="false">IFERROR(IF([1]对账明细接口!$I$1192=0,"",[1]对账明细接口!$I$1192),"")</f>
        <v/>
      </c>
      <c r="J1192" s="61" t="str">
        <f aca="false">IFERROR(IF([1]对账明细接口!$J$1192=0,"",[1]对账明细接口!$J$1192),"")</f>
        <v/>
      </c>
      <c r="K1192" s="61" t="str">
        <f aca="false">IFERROR(IF([1]对账明细接口!$K$1192=0,"",[1]对账明细接口!$K$1192),"")</f>
        <v/>
      </c>
      <c r="L1192" s="59" t="str">
        <f aca="false">IFERROR(IF([1]对账明细接口!$L$1192=0,"",[1]对账明细接口!$L$1192),"")</f>
        <v/>
      </c>
      <c r="M1192" s="59" t="str">
        <f aca="false">IFERROR(IF([1]对账明细接口!$M$1192=0,"",[1]对账明细接口!$M$1192),"")</f>
        <v/>
      </c>
      <c r="N1192" s="111" t="n">
        <f aca="false">IF($C1192="",0,1)</f>
        <v>0</v>
      </c>
      <c r="O1192" s="111" t="n">
        <f aca="false">N(O1191)+$N1192</f>
        <v>110</v>
      </c>
      <c r="S1192" s="10" t="str">
        <f aca="false">IFERROR(IF([1]对账明细接口!$N1192=0,"",[1]对账明细接口!$N1192),"")</f>
        <v/>
      </c>
      <c r="T1192" s="112" t="str">
        <f aca="false">IFERROR(IF([1]对账明细接口!$O1192=0,"",[1]对账明细接口!$O1192),"")</f>
        <v/>
      </c>
      <c r="U1192" s="112" t="str">
        <f aca="false">IFERROR(IF([1]对账明细接口!$P1192=0,"",[1]对账明细接口!$P1192),"")</f>
        <v/>
      </c>
      <c r="V1192" s="112" t="str">
        <f aca="false">IFERROR(IF([1]对账明细接口!$Q1192=0,"",[1]对账明细接口!$Q1192),"")</f>
        <v/>
      </c>
      <c r="W1192" s="10" t="str">
        <f aca="false">IFERROR(IF([1]对账明细接口!$R1192=0,"",[1]对账明细接口!$R1192),"")</f>
        <v/>
      </c>
      <c r="X1192" s="10" t="str">
        <f aca="false">IFERROR(IF([1]对账明细接口!$S1192=0,"",[1]对账明细接口!$S1192),"")</f>
        <v/>
      </c>
      <c r="Y1192" s="10" t="str">
        <f aca="false">""</f>
        <v/>
      </c>
      <c r="Z1192" s="10" t="str">
        <f aca="false">""</f>
        <v/>
      </c>
      <c r="AA1192" s="10" t="str">
        <f aca="false">""</f>
        <v/>
      </c>
      <c r="AB1192" s="10" t="str">
        <f aca="false">""</f>
        <v/>
      </c>
    </row>
    <row r="1193" customFormat="false" ht="13.5" hidden="false" customHeight="false" outlineLevel="0" collapsed="false">
      <c r="A1193" s="109" t="n">
        <v>1193</v>
      </c>
      <c r="B1193" s="110" t="str">
        <f aca="false">IFERROR(IF([1]对账明细接口!$B$1193=0,"",[1]对账明细接口!$B$1193),"")</f>
        <v/>
      </c>
      <c r="C1193" s="59" t="str">
        <f aca="false">IFERROR(IF([1]对账明细接口!$C$1193=0,"",[1]对账明细接口!$C$1193),"")</f>
        <v/>
      </c>
      <c r="D1193" s="59" t="str">
        <f aca="false">IFERROR(IF([1]对账明细接口!$D$1193=0,"",[1]对账明细接口!$D$1193),"")</f>
        <v/>
      </c>
      <c r="E1193" s="59" t="str">
        <f aca="false">IFERROR(IF([1]对账明细接口!$E$1193=0,"",[1]对账明细接口!$E$1193),"")</f>
        <v/>
      </c>
      <c r="F1193" s="59" t="str">
        <f aca="false">IFERROR(IF([1]对账明细接口!$F$1193=0,"",[1]对账明细接口!$F$1193),"")</f>
        <v/>
      </c>
      <c r="G1193" s="59" t="str">
        <f aca="false">IFERROR(IF([1]对账明细接口!$G$1193=0,"",[1]对账明细接口!$G$1193),"")</f>
        <v/>
      </c>
      <c r="H1193" s="60" t="str">
        <f aca="false">IFERROR(IF([1]对账明细接口!$H$1193=0,"",[1]对账明细接口!$H$1193),"")</f>
        <v/>
      </c>
      <c r="I1193" s="59" t="str">
        <f aca="false">IFERROR(IF([1]对账明细接口!$I$1193=0,"",[1]对账明细接口!$I$1193),"")</f>
        <v/>
      </c>
      <c r="J1193" s="61" t="str">
        <f aca="false">IFERROR(IF([1]对账明细接口!$J$1193=0,"",[1]对账明细接口!$J$1193),"")</f>
        <v/>
      </c>
      <c r="K1193" s="61" t="str">
        <f aca="false">IFERROR(IF([1]对账明细接口!$K$1193=0,"",[1]对账明细接口!$K$1193),"")</f>
        <v/>
      </c>
      <c r="L1193" s="59" t="str">
        <f aca="false">IFERROR(IF([1]对账明细接口!$L$1193=0,"",[1]对账明细接口!$L$1193),"")</f>
        <v/>
      </c>
      <c r="M1193" s="59" t="str">
        <f aca="false">IFERROR(IF([1]对账明细接口!$M$1193=0,"",[1]对账明细接口!$M$1193),"")</f>
        <v/>
      </c>
      <c r="N1193" s="111" t="n">
        <f aca="false">IF($C1193="",0,1)</f>
        <v>0</v>
      </c>
      <c r="O1193" s="111" t="n">
        <f aca="false">N(O1192)+$N1193</f>
        <v>110</v>
      </c>
      <c r="S1193" s="10" t="str">
        <f aca="false">IFERROR(IF([1]对账明细接口!$N1193=0,"",[1]对账明细接口!$N1193),"")</f>
        <v/>
      </c>
      <c r="T1193" s="112" t="str">
        <f aca="false">IFERROR(IF([1]对账明细接口!$O1193=0,"",[1]对账明细接口!$O1193),"")</f>
        <v/>
      </c>
      <c r="U1193" s="112" t="str">
        <f aca="false">IFERROR(IF([1]对账明细接口!$P1193=0,"",[1]对账明细接口!$P1193),"")</f>
        <v/>
      </c>
      <c r="V1193" s="112" t="str">
        <f aca="false">IFERROR(IF([1]对账明细接口!$Q1193=0,"",[1]对账明细接口!$Q1193),"")</f>
        <v/>
      </c>
      <c r="W1193" s="10" t="str">
        <f aca="false">IFERROR(IF([1]对账明细接口!$R1193=0,"",[1]对账明细接口!$R1193),"")</f>
        <v/>
      </c>
      <c r="X1193" s="10" t="str">
        <f aca="false">IFERROR(IF([1]对账明细接口!$S1193=0,"",[1]对账明细接口!$S1193),"")</f>
        <v/>
      </c>
      <c r="Y1193" s="10" t="str">
        <f aca="false">""</f>
        <v/>
      </c>
      <c r="Z1193" s="10" t="str">
        <f aca="false">""</f>
        <v/>
      </c>
      <c r="AA1193" s="10" t="str">
        <f aca="false">""</f>
        <v/>
      </c>
      <c r="AB1193" s="10" t="str">
        <f aca="false">""</f>
        <v/>
      </c>
    </row>
    <row r="1194" customFormat="false" ht="13.5" hidden="false" customHeight="false" outlineLevel="0" collapsed="false">
      <c r="A1194" s="109" t="n">
        <v>1194</v>
      </c>
      <c r="B1194" s="110" t="str">
        <f aca="false">IFERROR(IF([1]对账明细接口!$B$1194=0,"",[1]对账明细接口!$B$1194),"")</f>
        <v/>
      </c>
      <c r="C1194" s="59" t="str">
        <f aca="false">IFERROR(IF([1]对账明细接口!$C$1194=0,"",[1]对账明细接口!$C$1194),"")</f>
        <v/>
      </c>
      <c r="D1194" s="59" t="str">
        <f aca="false">IFERROR(IF([1]对账明细接口!$D$1194=0,"",[1]对账明细接口!$D$1194),"")</f>
        <v/>
      </c>
      <c r="E1194" s="59" t="str">
        <f aca="false">IFERROR(IF([1]对账明细接口!$E$1194=0,"",[1]对账明细接口!$E$1194),"")</f>
        <v/>
      </c>
      <c r="F1194" s="59" t="str">
        <f aca="false">IFERROR(IF([1]对账明细接口!$F$1194=0,"",[1]对账明细接口!$F$1194),"")</f>
        <v/>
      </c>
      <c r="G1194" s="59" t="str">
        <f aca="false">IFERROR(IF([1]对账明细接口!$G$1194=0,"",[1]对账明细接口!$G$1194),"")</f>
        <v/>
      </c>
      <c r="H1194" s="60" t="str">
        <f aca="false">IFERROR(IF([1]对账明细接口!$H$1194=0,"",[1]对账明细接口!$H$1194),"")</f>
        <v/>
      </c>
      <c r="I1194" s="59" t="str">
        <f aca="false">IFERROR(IF([1]对账明细接口!$I$1194=0,"",[1]对账明细接口!$I$1194),"")</f>
        <v/>
      </c>
      <c r="J1194" s="61" t="str">
        <f aca="false">IFERROR(IF([1]对账明细接口!$J$1194=0,"",[1]对账明细接口!$J$1194),"")</f>
        <v/>
      </c>
      <c r="K1194" s="61" t="str">
        <f aca="false">IFERROR(IF([1]对账明细接口!$K$1194=0,"",[1]对账明细接口!$K$1194),"")</f>
        <v/>
      </c>
      <c r="L1194" s="59" t="str">
        <f aca="false">IFERROR(IF([1]对账明细接口!$L$1194=0,"",[1]对账明细接口!$L$1194),"")</f>
        <v/>
      </c>
      <c r="M1194" s="59" t="str">
        <f aca="false">IFERROR(IF([1]对账明细接口!$M$1194=0,"",[1]对账明细接口!$M$1194),"")</f>
        <v/>
      </c>
      <c r="N1194" s="111" t="n">
        <f aca="false">IF($C1194="",0,1)</f>
        <v>0</v>
      </c>
      <c r="O1194" s="111" t="n">
        <f aca="false">N(O1193)+$N1194</f>
        <v>110</v>
      </c>
      <c r="S1194" s="10" t="str">
        <f aca="false">IFERROR(IF([1]对账明细接口!$N1194=0,"",[1]对账明细接口!$N1194),"")</f>
        <v/>
      </c>
      <c r="T1194" s="112" t="str">
        <f aca="false">IFERROR(IF([1]对账明细接口!$O1194=0,"",[1]对账明细接口!$O1194),"")</f>
        <v/>
      </c>
      <c r="U1194" s="112" t="str">
        <f aca="false">IFERROR(IF([1]对账明细接口!$P1194=0,"",[1]对账明细接口!$P1194),"")</f>
        <v/>
      </c>
      <c r="V1194" s="112" t="str">
        <f aca="false">IFERROR(IF([1]对账明细接口!$Q1194=0,"",[1]对账明细接口!$Q1194),"")</f>
        <v/>
      </c>
      <c r="W1194" s="10" t="str">
        <f aca="false">IFERROR(IF([1]对账明细接口!$R1194=0,"",[1]对账明细接口!$R1194),"")</f>
        <v/>
      </c>
      <c r="X1194" s="10" t="str">
        <f aca="false">IFERROR(IF([1]对账明细接口!$S1194=0,"",[1]对账明细接口!$S1194),"")</f>
        <v/>
      </c>
      <c r="Y1194" s="10" t="str">
        <f aca="false">""</f>
        <v/>
      </c>
      <c r="Z1194" s="10" t="str">
        <f aca="false">""</f>
        <v/>
      </c>
      <c r="AA1194" s="10" t="str">
        <f aca="false">""</f>
        <v/>
      </c>
      <c r="AB1194" s="10" t="str">
        <f aca="false">""</f>
        <v/>
      </c>
    </row>
    <row r="1195" customFormat="false" ht="13.5" hidden="false" customHeight="false" outlineLevel="0" collapsed="false">
      <c r="A1195" s="109" t="n">
        <v>1195</v>
      </c>
      <c r="B1195" s="110" t="str">
        <f aca="false">IFERROR(IF([1]对账明细接口!$B$1195=0,"",[1]对账明细接口!$B$1195),"")</f>
        <v/>
      </c>
      <c r="C1195" s="59" t="str">
        <f aca="false">IFERROR(IF([1]对账明细接口!$C$1195=0,"",[1]对账明细接口!$C$1195),"")</f>
        <v/>
      </c>
      <c r="D1195" s="59" t="str">
        <f aca="false">IFERROR(IF([1]对账明细接口!$D$1195=0,"",[1]对账明细接口!$D$1195),"")</f>
        <v/>
      </c>
      <c r="E1195" s="59" t="str">
        <f aca="false">IFERROR(IF([1]对账明细接口!$E$1195=0,"",[1]对账明细接口!$E$1195),"")</f>
        <v/>
      </c>
      <c r="F1195" s="59" t="str">
        <f aca="false">IFERROR(IF([1]对账明细接口!$F$1195=0,"",[1]对账明细接口!$F$1195),"")</f>
        <v/>
      </c>
      <c r="G1195" s="59" t="str">
        <f aca="false">IFERROR(IF([1]对账明细接口!$G$1195=0,"",[1]对账明细接口!$G$1195),"")</f>
        <v/>
      </c>
      <c r="H1195" s="60" t="str">
        <f aca="false">IFERROR(IF([1]对账明细接口!$H$1195=0,"",[1]对账明细接口!$H$1195),"")</f>
        <v/>
      </c>
      <c r="I1195" s="59" t="str">
        <f aca="false">IFERROR(IF([1]对账明细接口!$I$1195=0,"",[1]对账明细接口!$I$1195),"")</f>
        <v/>
      </c>
      <c r="J1195" s="61" t="str">
        <f aca="false">IFERROR(IF([1]对账明细接口!$J$1195=0,"",[1]对账明细接口!$J$1195),"")</f>
        <v/>
      </c>
      <c r="K1195" s="61" t="str">
        <f aca="false">IFERROR(IF([1]对账明细接口!$K$1195=0,"",[1]对账明细接口!$K$1195),"")</f>
        <v/>
      </c>
      <c r="L1195" s="59" t="str">
        <f aca="false">IFERROR(IF([1]对账明细接口!$L$1195=0,"",[1]对账明细接口!$L$1195),"")</f>
        <v/>
      </c>
      <c r="M1195" s="59" t="str">
        <f aca="false">IFERROR(IF([1]对账明细接口!$M$1195=0,"",[1]对账明细接口!$M$1195),"")</f>
        <v/>
      </c>
      <c r="N1195" s="111" t="n">
        <f aca="false">IF($C1195="",0,1)</f>
        <v>0</v>
      </c>
      <c r="O1195" s="111" t="n">
        <f aca="false">N(O1194)+$N1195</f>
        <v>110</v>
      </c>
      <c r="S1195" s="10" t="str">
        <f aca="false">IFERROR(IF([1]对账明细接口!$N1195=0,"",[1]对账明细接口!$N1195),"")</f>
        <v/>
      </c>
      <c r="T1195" s="112" t="str">
        <f aca="false">IFERROR(IF([1]对账明细接口!$O1195=0,"",[1]对账明细接口!$O1195),"")</f>
        <v/>
      </c>
      <c r="U1195" s="112" t="str">
        <f aca="false">IFERROR(IF([1]对账明细接口!$P1195=0,"",[1]对账明细接口!$P1195),"")</f>
        <v/>
      </c>
      <c r="V1195" s="112" t="str">
        <f aca="false">IFERROR(IF([1]对账明细接口!$Q1195=0,"",[1]对账明细接口!$Q1195),"")</f>
        <v/>
      </c>
      <c r="W1195" s="10" t="str">
        <f aca="false">IFERROR(IF([1]对账明细接口!$R1195=0,"",[1]对账明细接口!$R1195),"")</f>
        <v/>
      </c>
      <c r="X1195" s="10" t="str">
        <f aca="false">IFERROR(IF([1]对账明细接口!$S1195=0,"",[1]对账明细接口!$S1195),"")</f>
        <v/>
      </c>
      <c r="Y1195" s="10" t="str">
        <f aca="false">""</f>
        <v/>
      </c>
      <c r="Z1195" s="10" t="str">
        <f aca="false">""</f>
        <v/>
      </c>
      <c r="AA1195" s="10" t="str">
        <f aca="false">""</f>
        <v/>
      </c>
      <c r="AB1195" s="10" t="str">
        <f aca="false">""</f>
        <v/>
      </c>
    </row>
    <row r="1196" customFormat="false" ht="13.5" hidden="false" customHeight="false" outlineLevel="0" collapsed="false">
      <c r="A1196" s="109" t="n">
        <v>1196</v>
      </c>
      <c r="B1196" s="110" t="str">
        <f aca="false">IFERROR(IF([1]对账明细接口!$B$1196=0,"",[1]对账明细接口!$B$1196),"")</f>
        <v/>
      </c>
      <c r="C1196" s="59" t="str">
        <f aca="false">IFERROR(IF([1]对账明细接口!$C$1196=0,"",[1]对账明细接口!$C$1196),"")</f>
        <v/>
      </c>
      <c r="D1196" s="59" t="str">
        <f aca="false">IFERROR(IF([1]对账明细接口!$D$1196=0,"",[1]对账明细接口!$D$1196),"")</f>
        <v/>
      </c>
      <c r="E1196" s="59" t="str">
        <f aca="false">IFERROR(IF([1]对账明细接口!$E$1196=0,"",[1]对账明细接口!$E$1196),"")</f>
        <v/>
      </c>
      <c r="F1196" s="59" t="str">
        <f aca="false">IFERROR(IF([1]对账明细接口!$F$1196=0,"",[1]对账明细接口!$F$1196),"")</f>
        <v/>
      </c>
      <c r="G1196" s="59" t="str">
        <f aca="false">IFERROR(IF([1]对账明细接口!$G$1196=0,"",[1]对账明细接口!$G$1196),"")</f>
        <v/>
      </c>
      <c r="H1196" s="60" t="str">
        <f aca="false">IFERROR(IF([1]对账明细接口!$H$1196=0,"",[1]对账明细接口!$H$1196),"")</f>
        <v/>
      </c>
      <c r="I1196" s="59" t="str">
        <f aca="false">IFERROR(IF([1]对账明细接口!$I$1196=0,"",[1]对账明细接口!$I$1196),"")</f>
        <v/>
      </c>
      <c r="J1196" s="61" t="str">
        <f aca="false">IFERROR(IF([1]对账明细接口!$J$1196=0,"",[1]对账明细接口!$J$1196),"")</f>
        <v/>
      </c>
      <c r="K1196" s="61" t="str">
        <f aca="false">IFERROR(IF([1]对账明细接口!$K$1196=0,"",[1]对账明细接口!$K$1196),"")</f>
        <v/>
      </c>
      <c r="L1196" s="59" t="str">
        <f aca="false">IFERROR(IF([1]对账明细接口!$L$1196=0,"",[1]对账明细接口!$L$1196),"")</f>
        <v/>
      </c>
      <c r="M1196" s="59" t="str">
        <f aca="false">IFERROR(IF([1]对账明细接口!$M$1196=0,"",[1]对账明细接口!$M$1196),"")</f>
        <v/>
      </c>
      <c r="N1196" s="111" t="n">
        <f aca="false">IF($C1196="",0,1)</f>
        <v>0</v>
      </c>
      <c r="O1196" s="111" t="n">
        <f aca="false">N(O1195)+$N1196</f>
        <v>110</v>
      </c>
      <c r="S1196" s="10" t="str">
        <f aca="false">IFERROR(IF([1]对账明细接口!$N1196=0,"",[1]对账明细接口!$N1196),"")</f>
        <v/>
      </c>
      <c r="T1196" s="112" t="str">
        <f aca="false">IFERROR(IF([1]对账明细接口!$O1196=0,"",[1]对账明细接口!$O1196),"")</f>
        <v/>
      </c>
      <c r="U1196" s="112" t="str">
        <f aca="false">IFERROR(IF([1]对账明细接口!$P1196=0,"",[1]对账明细接口!$P1196),"")</f>
        <v/>
      </c>
      <c r="V1196" s="112" t="str">
        <f aca="false">IFERROR(IF([1]对账明细接口!$Q1196=0,"",[1]对账明细接口!$Q1196),"")</f>
        <v/>
      </c>
      <c r="W1196" s="10" t="str">
        <f aca="false">IFERROR(IF([1]对账明细接口!$R1196=0,"",[1]对账明细接口!$R1196),"")</f>
        <v/>
      </c>
      <c r="X1196" s="10" t="str">
        <f aca="false">IFERROR(IF([1]对账明细接口!$S1196=0,"",[1]对账明细接口!$S1196),"")</f>
        <v/>
      </c>
      <c r="Y1196" s="10" t="str">
        <f aca="false">""</f>
        <v/>
      </c>
      <c r="Z1196" s="10" t="str">
        <f aca="false">""</f>
        <v/>
      </c>
      <c r="AA1196" s="10" t="str">
        <f aca="false">""</f>
        <v/>
      </c>
      <c r="AB1196" s="10" t="str">
        <f aca="false">""</f>
        <v/>
      </c>
    </row>
    <row r="1197" customFormat="false" ht="13.5" hidden="false" customHeight="false" outlineLevel="0" collapsed="false">
      <c r="A1197" s="109" t="n">
        <v>1197</v>
      </c>
      <c r="B1197" s="110" t="str">
        <f aca="false">IFERROR(IF([1]对账明细接口!$B$1197=0,"",[1]对账明细接口!$B$1197),"")</f>
        <v/>
      </c>
      <c r="C1197" s="59" t="str">
        <f aca="false">IFERROR(IF([1]对账明细接口!$C$1197=0,"",[1]对账明细接口!$C$1197),"")</f>
        <v/>
      </c>
      <c r="D1197" s="59" t="str">
        <f aca="false">IFERROR(IF([1]对账明细接口!$D$1197=0,"",[1]对账明细接口!$D$1197),"")</f>
        <v/>
      </c>
      <c r="E1197" s="59" t="str">
        <f aca="false">IFERROR(IF([1]对账明细接口!$E$1197=0,"",[1]对账明细接口!$E$1197),"")</f>
        <v/>
      </c>
      <c r="F1197" s="59" t="str">
        <f aca="false">IFERROR(IF([1]对账明细接口!$F$1197=0,"",[1]对账明细接口!$F$1197),"")</f>
        <v/>
      </c>
      <c r="G1197" s="59" t="str">
        <f aca="false">IFERROR(IF([1]对账明细接口!$G$1197=0,"",[1]对账明细接口!$G$1197),"")</f>
        <v/>
      </c>
      <c r="H1197" s="60" t="str">
        <f aca="false">IFERROR(IF([1]对账明细接口!$H$1197=0,"",[1]对账明细接口!$H$1197),"")</f>
        <v/>
      </c>
      <c r="I1197" s="59" t="str">
        <f aca="false">IFERROR(IF([1]对账明细接口!$I$1197=0,"",[1]对账明细接口!$I$1197),"")</f>
        <v/>
      </c>
      <c r="J1197" s="61" t="str">
        <f aca="false">IFERROR(IF([1]对账明细接口!$J$1197=0,"",[1]对账明细接口!$J$1197),"")</f>
        <v/>
      </c>
      <c r="K1197" s="61" t="str">
        <f aca="false">IFERROR(IF([1]对账明细接口!$K$1197=0,"",[1]对账明细接口!$K$1197),"")</f>
        <v/>
      </c>
      <c r="L1197" s="59" t="str">
        <f aca="false">IFERROR(IF([1]对账明细接口!$L$1197=0,"",[1]对账明细接口!$L$1197),"")</f>
        <v/>
      </c>
      <c r="M1197" s="59" t="str">
        <f aca="false">IFERROR(IF([1]对账明细接口!$M$1197=0,"",[1]对账明细接口!$M$1197),"")</f>
        <v/>
      </c>
      <c r="N1197" s="111" t="n">
        <f aca="false">IF($C1197="",0,1)</f>
        <v>0</v>
      </c>
      <c r="O1197" s="111" t="n">
        <f aca="false">N(O1196)+$N1197</f>
        <v>110</v>
      </c>
      <c r="S1197" s="10" t="str">
        <f aca="false">IFERROR(IF([1]对账明细接口!$N1197=0,"",[1]对账明细接口!$N1197),"")</f>
        <v/>
      </c>
      <c r="T1197" s="112" t="str">
        <f aca="false">IFERROR(IF([1]对账明细接口!$O1197=0,"",[1]对账明细接口!$O1197),"")</f>
        <v/>
      </c>
      <c r="U1197" s="112" t="str">
        <f aca="false">IFERROR(IF([1]对账明细接口!$P1197=0,"",[1]对账明细接口!$P1197),"")</f>
        <v/>
      </c>
      <c r="V1197" s="112" t="str">
        <f aca="false">IFERROR(IF([1]对账明细接口!$Q1197=0,"",[1]对账明细接口!$Q1197),"")</f>
        <v/>
      </c>
      <c r="W1197" s="10" t="str">
        <f aca="false">IFERROR(IF([1]对账明细接口!$R1197=0,"",[1]对账明细接口!$R1197),"")</f>
        <v/>
      </c>
      <c r="X1197" s="10" t="str">
        <f aca="false">IFERROR(IF([1]对账明细接口!$S1197=0,"",[1]对账明细接口!$S1197),"")</f>
        <v/>
      </c>
      <c r="Y1197" s="10" t="str">
        <f aca="false">""</f>
        <v/>
      </c>
      <c r="Z1197" s="10" t="str">
        <f aca="false">""</f>
        <v/>
      </c>
      <c r="AA1197" s="10" t="str">
        <f aca="false">""</f>
        <v/>
      </c>
      <c r="AB1197" s="10" t="str">
        <f aca="false">""</f>
        <v/>
      </c>
    </row>
    <row r="1198" customFormat="false" ht="13.5" hidden="false" customHeight="false" outlineLevel="0" collapsed="false">
      <c r="A1198" s="109" t="n">
        <v>1198</v>
      </c>
      <c r="B1198" s="110" t="str">
        <f aca="false">IFERROR(IF([1]对账明细接口!$B$1198=0,"",[1]对账明细接口!$B$1198),"")</f>
        <v/>
      </c>
      <c r="C1198" s="59" t="str">
        <f aca="false">IFERROR(IF([1]对账明细接口!$C$1198=0,"",[1]对账明细接口!$C$1198),"")</f>
        <v/>
      </c>
      <c r="D1198" s="59" t="str">
        <f aca="false">IFERROR(IF([1]对账明细接口!$D$1198=0,"",[1]对账明细接口!$D$1198),"")</f>
        <v/>
      </c>
      <c r="E1198" s="59" t="str">
        <f aca="false">IFERROR(IF([1]对账明细接口!$E$1198=0,"",[1]对账明细接口!$E$1198),"")</f>
        <v/>
      </c>
      <c r="F1198" s="59" t="str">
        <f aca="false">IFERROR(IF([1]对账明细接口!$F$1198=0,"",[1]对账明细接口!$F$1198),"")</f>
        <v/>
      </c>
      <c r="G1198" s="59" t="str">
        <f aca="false">IFERROR(IF([1]对账明细接口!$G$1198=0,"",[1]对账明细接口!$G$1198),"")</f>
        <v/>
      </c>
      <c r="H1198" s="60" t="str">
        <f aca="false">IFERROR(IF([1]对账明细接口!$H$1198=0,"",[1]对账明细接口!$H$1198),"")</f>
        <v/>
      </c>
      <c r="I1198" s="59" t="str">
        <f aca="false">IFERROR(IF([1]对账明细接口!$I$1198=0,"",[1]对账明细接口!$I$1198),"")</f>
        <v/>
      </c>
      <c r="J1198" s="61" t="str">
        <f aca="false">IFERROR(IF([1]对账明细接口!$J$1198=0,"",[1]对账明细接口!$J$1198),"")</f>
        <v/>
      </c>
      <c r="K1198" s="61" t="str">
        <f aca="false">IFERROR(IF([1]对账明细接口!$K$1198=0,"",[1]对账明细接口!$K$1198),"")</f>
        <v/>
      </c>
      <c r="L1198" s="59" t="str">
        <f aca="false">IFERROR(IF([1]对账明细接口!$L$1198=0,"",[1]对账明细接口!$L$1198),"")</f>
        <v/>
      </c>
      <c r="M1198" s="59" t="str">
        <f aca="false">IFERROR(IF([1]对账明细接口!$M$1198=0,"",[1]对账明细接口!$M$1198),"")</f>
        <v/>
      </c>
      <c r="N1198" s="111" t="n">
        <f aca="false">IF($C1198="",0,1)</f>
        <v>0</v>
      </c>
      <c r="O1198" s="111" t="n">
        <f aca="false">N(O1197)+$N1198</f>
        <v>110</v>
      </c>
      <c r="S1198" s="10" t="str">
        <f aca="false">IFERROR(IF([1]对账明细接口!$N1198=0,"",[1]对账明细接口!$N1198),"")</f>
        <v/>
      </c>
      <c r="T1198" s="112" t="str">
        <f aca="false">IFERROR(IF([1]对账明细接口!$O1198=0,"",[1]对账明细接口!$O1198),"")</f>
        <v/>
      </c>
      <c r="U1198" s="112" t="str">
        <f aca="false">IFERROR(IF([1]对账明细接口!$P1198=0,"",[1]对账明细接口!$P1198),"")</f>
        <v/>
      </c>
      <c r="V1198" s="112" t="str">
        <f aca="false">IFERROR(IF([1]对账明细接口!$Q1198=0,"",[1]对账明细接口!$Q1198),"")</f>
        <v/>
      </c>
      <c r="W1198" s="10" t="str">
        <f aca="false">IFERROR(IF([1]对账明细接口!$R1198=0,"",[1]对账明细接口!$R1198),"")</f>
        <v/>
      </c>
      <c r="X1198" s="10" t="str">
        <f aca="false">IFERROR(IF([1]对账明细接口!$S1198=0,"",[1]对账明细接口!$S1198),"")</f>
        <v/>
      </c>
      <c r="Y1198" s="10" t="str">
        <f aca="false">""</f>
        <v/>
      </c>
      <c r="Z1198" s="10" t="str">
        <f aca="false">""</f>
        <v/>
      </c>
      <c r="AA1198" s="10" t="str">
        <f aca="false">""</f>
        <v/>
      </c>
      <c r="AB1198" s="10" t="str">
        <f aca="false">""</f>
        <v/>
      </c>
    </row>
    <row r="1199" customFormat="false" ht="13.5" hidden="false" customHeight="false" outlineLevel="0" collapsed="false">
      <c r="A1199" s="109" t="n">
        <v>1199</v>
      </c>
      <c r="B1199" s="110" t="str">
        <f aca="false">IFERROR(IF([1]对账明细接口!$B$1199=0,"",[1]对账明细接口!$B$1199),"")</f>
        <v/>
      </c>
      <c r="C1199" s="59" t="str">
        <f aca="false">IFERROR(IF([1]对账明细接口!$C$1199=0,"",[1]对账明细接口!$C$1199),"")</f>
        <v/>
      </c>
      <c r="D1199" s="59" t="str">
        <f aca="false">IFERROR(IF([1]对账明细接口!$D$1199=0,"",[1]对账明细接口!$D$1199),"")</f>
        <v/>
      </c>
      <c r="E1199" s="59" t="str">
        <f aca="false">IFERROR(IF([1]对账明细接口!$E$1199=0,"",[1]对账明细接口!$E$1199),"")</f>
        <v/>
      </c>
      <c r="F1199" s="59" t="str">
        <f aca="false">IFERROR(IF([1]对账明细接口!$F$1199=0,"",[1]对账明细接口!$F$1199),"")</f>
        <v/>
      </c>
      <c r="G1199" s="59" t="str">
        <f aca="false">IFERROR(IF([1]对账明细接口!$G$1199=0,"",[1]对账明细接口!$G$1199),"")</f>
        <v/>
      </c>
      <c r="H1199" s="60" t="str">
        <f aca="false">IFERROR(IF([1]对账明细接口!$H$1199=0,"",[1]对账明细接口!$H$1199),"")</f>
        <v/>
      </c>
      <c r="I1199" s="59" t="str">
        <f aca="false">IFERROR(IF([1]对账明细接口!$I$1199=0,"",[1]对账明细接口!$I$1199),"")</f>
        <v/>
      </c>
      <c r="J1199" s="61" t="str">
        <f aca="false">IFERROR(IF([1]对账明细接口!$J$1199=0,"",[1]对账明细接口!$J$1199),"")</f>
        <v/>
      </c>
      <c r="K1199" s="61" t="str">
        <f aca="false">IFERROR(IF([1]对账明细接口!$K$1199=0,"",[1]对账明细接口!$K$1199),"")</f>
        <v/>
      </c>
      <c r="L1199" s="59" t="str">
        <f aca="false">IFERROR(IF([1]对账明细接口!$L$1199=0,"",[1]对账明细接口!$L$1199),"")</f>
        <v/>
      </c>
      <c r="M1199" s="59" t="str">
        <f aca="false">IFERROR(IF([1]对账明细接口!$M$1199=0,"",[1]对账明细接口!$M$1199),"")</f>
        <v/>
      </c>
      <c r="N1199" s="111" t="n">
        <f aca="false">IF($C1199="",0,1)</f>
        <v>0</v>
      </c>
      <c r="O1199" s="111" t="n">
        <f aca="false">N(O1198)+$N1199</f>
        <v>110</v>
      </c>
      <c r="S1199" s="10" t="str">
        <f aca="false">IFERROR(IF([1]对账明细接口!$N1199=0,"",[1]对账明细接口!$N1199),"")</f>
        <v/>
      </c>
      <c r="T1199" s="112" t="str">
        <f aca="false">IFERROR(IF([1]对账明细接口!$O1199=0,"",[1]对账明细接口!$O1199),"")</f>
        <v/>
      </c>
      <c r="U1199" s="112" t="str">
        <f aca="false">IFERROR(IF([1]对账明细接口!$P1199=0,"",[1]对账明细接口!$P1199),"")</f>
        <v/>
      </c>
      <c r="V1199" s="112" t="str">
        <f aca="false">IFERROR(IF([1]对账明细接口!$Q1199=0,"",[1]对账明细接口!$Q1199),"")</f>
        <v/>
      </c>
      <c r="W1199" s="10" t="str">
        <f aca="false">IFERROR(IF([1]对账明细接口!$R1199=0,"",[1]对账明细接口!$R1199),"")</f>
        <v/>
      </c>
      <c r="X1199" s="10" t="str">
        <f aca="false">IFERROR(IF([1]对账明细接口!$S1199=0,"",[1]对账明细接口!$S1199),"")</f>
        <v/>
      </c>
      <c r="Y1199" s="10" t="str">
        <f aca="false">""</f>
        <v/>
      </c>
      <c r="Z1199" s="10" t="str">
        <f aca="false">""</f>
        <v/>
      </c>
      <c r="AA1199" s="10" t="str">
        <f aca="false">""</f>
        <v/>
      </c>
      <c r="AB1199" s="10" t="str">
        <f aca="false">""</f>
        <v/>
      </c>
    </row>
    <row r="1200" customFormat="false" ht="13.5" hidden="false" customHeight="false" outlineLevel="0" collapsed="false">
      <c r="A1200" s="109" t="n">
        <v>1200</v>
      </c>
      <c r="B1200" s="110" t="str">
        <f aca="false">IFERROR(IF([1]对账明细接口!$B$1200=0,"",[1]对账明细接口!$B$1200),"")</f>
        <v/>
      </c>
      <c r="C1200" s="59" t="str">
        <f aca="false">IFERROR(IF([1]对账明细接口!$C$1200=0,"",[1]对账明细接口!$C$1200),"")</f>
        <v/>
      </c>
      <c r="D1200" s="59" t="str">
        <f aca="false">IFERROR(IF([1]对账明细接口!$D$1200=0,"",[1]对账明细接口!$D$1200),"")</f>
        <v/>
      </c>
      <c r="E1200" s="59" t="str">
        <f aca="false">IFERROR(IF([1]对账明细接口!$E$1200=0,"",[1]对账明细接口!$E$1200),"")</f>
        <v/>
      </c>
      <c r="F1200" s="59" t="str">
        <f aca="false">IFERROR(IF([1]对账明细接口!$F$1200=0,"",[1]对账明细接口!$F$1200),"")</f>
        <v/>
      </c>
      <c r="G1200" s="59" t="str">
        <f aca="false">IFERROR(IF([1]对账明细接口!$G$1200=0,"",[1]对账明细接口!$G$1200),"")</f>
        <v/>
      </c>
      <c r="H1200" s="60" t="str">
        <f aca="false">IFERROR(IF([1]对账明细接口!$H$1200=0,"",[1]对账明细接口!$H$1200),"")</f>
        <v/>
      </c>
      <c r="I1200" s="59" t="str">
        <f aca="false">IFERROR(IF([1]对账明细接口!$I$1200=0,"",[1]对账明细接口!$I$1200),"")</f>
        <v/>
      </c>
      <c r="J1200" s="61" t="str">
        <f aca="false">IFERROR(IF([1]对账明细接口!$J$1200=0,"",[1]对账明细接口!$J$1200),"")</f>
        <v/>
      </c>
      <c r="K1200" s="61" t="str">
        <f aca="false">IFERROR(IF([1]对账明细接口!$K$1200=0,"",[1]对账明细接口!$K$1200),"")</f>
        <v/>
      </c>
      <c r="L1200" s="59" t="str">
        <f aca="false">IFERROR(IF([1]对账明细接口!$L$1200=0,"",[1]对账明细接口!$L$1200),"")</f>
        <v/>
      </c>
      <c r="M1200" s="59" t="str">
        <f aca="false">IFERROR(IF([1]对账明细接口!$M$1200=0,"",[1]对账明细接口!$M$1200),"")</f>
        <v/>
      </c>
      <c r="N1200" s="111" t="n">
        <f aca="false">IF($C1200="",0,1)</f>
        <v>0</v>
      </c>
      <c r="O1200" s="111" t="n">
        <f aca="false">N(O1199)+$N1200</f>
        <v>110</v>
      </c>
      <c r="S1200" s="10" t="str">
        <f aca="false">IFERROR(IF([1]对账明细接口!$N1200=0,"",[1]对账明细接口!$N1200),"")</f>
        <v/>
      </c>
      <c r="T1200" s="112" t="str">
        <f aca="false">IFERROR(IF([1]对账明细接口!$O1200=0,"",[1]对账明细接口!$O1200),"")</f>
        <v/>
      </c>
      <c r="U1200" s="112" t="str">
        <f aca="false">IFERROR(IF([1]对账明细接口!$P1200=0,"",[1]对账明细接口!$P1200),"")</f>
        <v/>
      </c>
      <c r="V1200" s="112" t="str">
        <f aca="false">IFERROR(IF([1]对账明细接口!$Q1200=0,"",[1]对账明细接口!$Q1200),"")</f>
        <v/>
      </c>
      <c r="W1200" s="10" t="str">
        <f aca="false">IFERROR(IF([1]对账明细接口!$R1200=0,"",[1]对账明细接口!$R1200),"")</f>
        <v/>
      </c>
      <c r="X1200" s="10" t="str">
        <f aca="false">IFERROR(IF([1]对账明细接口!$S1200=0,"",[1]对账明细接口!$S1200),"")</f>
        <v/>
      </c>
      <c r="Y1200" s="10" t="str">
        <f aca="false">""</f>
        <v/>
      </c>
      <c r="Z1200" s="10" t="str">
        <f aca="false">""</f>
        <v/>
      </c>
      <c r="AA1200" s="10" t="str">
        <f aca="false">""</f>
        <v/>
      </c>
      <c r="AB1200" s="10" t="str">
        <f aca="false">""</f>
        <v/>
      </c>
    </row>
    <row r="1201" customFormat="false" ht="13.5" hidden="false" customHeight="false" outlineLevel="0" collapsed="false">
      <c r="A1201" s="109" t="n">
        <v>1201</v>
      </c>
      <c r="B1201" s="110" t="str">
        <f aca="false">IFERROR(IF([1]对账明细接口!$B$1201=0,"",[1]对账明细接口!$B$1201),"")</f>
        <v/>
      </c>
      <c r="C1201" s="59" t="str">
        <f aca="false">IFERROR(IF([1]对账明细接口!$C$1201=0,"",[1]对账明细接口!$C$1201),"")</f>
        <v/>
      </c>
      <c r="D1201" s="59" t="str">
        <f aca="false">IFERROR(IF([1]对账明细接口!$D$1201=0,"",[1]对账明细接口!$D$1201),"")</f>
        <v/>
      </c>
      <c r="E1201" s="59" t="str">
        <f aca="false">IFERROR(IF([1]对账明细接口!$E$1201=0,"",[1]对账明细接口!$E$1201),"")</f>
        <v/>
      </c>
      <c r="F1201" s="59" t="str">
        <f aca="false">IFERROR(IF([1]对账明细接口!$F$1201=0,"",[1]对账明细接口!$F$1201),"")</f>
        <v/>
      </c>
      <c r="G1201" s="59" t="str">
        <f aca="false">IFERROR(IF([1]对账明细接口!$G$1201=0,"",[1]对账明细接口!$G$1201),"")</f>
        <v/>
      </c>
      <c r="H1201" s="60" t="str">
        <f aca="false">IFERROR(IF([1]对账明细接口!$H$1201=0,"",[1]对账明细接口!$H$1201),"")</f>
        <v/>
      </c>
      <c r="I1201" s="59" t="str">
        <f aca="false">IFERROR(IF([1]对账明细接口!$I$1201=0,"",[1]对账明细接口!$I$1201),"")</f>
        <v/>
      </c>
      <c r="J1201" s="61" t="str">
        <f aca="false">IFERROR(IF([1]对账明细接口!$J$1201=0,"",[1]对账明细接口!$J$1201),"")</f>
        <v/>
      </c>
      <c r="K1201" s="61" t="str">
        <f aca="false">IFERROR(IF([1]对账明细接口!$K$1201=0,"",[1]对账明细接口!$K$1201),"")</f>
        <v/>
      </c>
      <c r="L1201" s="59" t="str">
        <f aca="false">IFERROR(IF([1]对账明细接口!$L$1201=0,"",[1]对账明细接口!$L$1201),"")</f>
        <v/>
      </c>
      <c r="M1201" s="59" t="str">
        <f aca="false">IFERROR(IF([1]对账明细接口!$M$1201=0,"",[1]对账明细接口!$M$1201),"")</f>
        <v/>
      </c>
      <c r="N1201" s="111" t="n">
        <f aca="false">IF($C1201="",0,1)</f>
        <v>0</v>
      </c>
      <c r="O1201" s="111" t="n">
        <f aca="false">N(O1200)+$N1201</f>
        <v>110</v>
      </c>
      <c r="S1201" s="10" t="str">
        <f aca="false">IFERROR(IF([1]对账明细接口!$N1201=0,"",[1]对账明细接口!$N1201),"")</f>
        <v/>
      </c>
      <c r="T1201" s="112" t="str">
        <f aca="false">IFERROR(IF([1]对账明细接口!$O1201=0,"",[1]对账明细接口!$O1201),"")</f>
        <v/>
      </c>
      <c r="U1201" s="112" t="str">
        <f aca="false">IFERROR(IF([1]对账明细接口!$P1201=0,"",[1]对账明细接口!$P1201),"")</f>
        <v/>
      </c>
      <c r="V1201" s="112" t="str">
        <f aca="false">IFERROR(IF([1]对账明细接口!$Q1201=0,"",[1]对账明细接口!$Q1201),"")</f>
        <v/>
      </c>
      <c r="W1201" s="10" t="str">
        <f aca="false">IFERROR(IF([1]对账明细接口!$R1201=0,"",[1]对账明细接口!$R1201),"")</f>
        <v/>
      </c>
      <c r="X1201" s="10" t="str">
        <f aca="false">IFERROR(IF([1]对账明细接口!$S1201=0,"",[1]对账明细接口!$S1201),"")</f>
        <v/>
      </c>
      <c r="Y1201" s="10" t="str">
        <f aca="false">""</f>
        <v/>
      </c>
      <c r="Z1201" s="10" t="str">
        <f aca="false">""</f>
        <v/>
      </c>
      <c r="AA1201" s="10" t="str">
        <f aca="false">""</f>
        <v/>
      </c>
      <c r="AB1201" s="10" t="str">
        <f aca="false">""</f>
        <v/>
      </c>
    </row>
    <row r="1202" customFormat="false" ht="13.5" hidden="false" customHeight="false" outlineLevel="0" collapsed="false">
      <c r="A1202" s="109" t="n">
        <v>1202</v>
      </c>
      <c r="B1202" s="110" t="str">
        <f aca="false">IFERROR(IF([1]对账明细接口!$B$1202=0,"",[1]对账明细接口!$B$1202),"")</f>
        <v/>
      </c>
      <c r="C1202" s="59" t="str">
        <f aca="false">IFERROR(IF([1]对账明细接口!$C$1202=0,"",[1]对账明细接口!$C$1202),"")</f>
        <v/>
      </c>
      <c r="D1202" s="59" t="str">
        <f aca="false">IFERROR(IF([1]对账明细接口!$D$1202=0,"",[1]对账明细接口!$D$1202),"")</f>
        <v/>
      </c>
      <c r="E1202" s="59" t="str">
        <f aca="false">IFERROR(IF([1]对账明细接口!$E$1202=0,"",[1]对账明细接口!$E$1202),"")</f>
        <v/>
      </c>
      <c r="F1202" s="59" t="str">
        <f aca="false">IFERROR(IF([1]对账明细接口!$F$1202=0,"",[1]对账明细接口!$F$1202),"")</f>
        <v/>
      </c>
      <c r="G1202" s="59" t="str">
        <f aca="false">IFERROR(IF([1]对账明细接口!$G$1202=0,"",[1]对账明细接口!$G$1202),"")</f>
        <v/>
      </c>
      <c r="H1202" s="60" t="str">
        <f aca="false">IFERROR(IF([1]对账明细接口!$H$1202=0,"",[1]对账明细接口!$H$1202),"")</f>
        <v/>
      </c>
      <c r="I1202" s="59" t="str">
        <f aca="false">IFERROR(IF([1]对账明细接口!$I$1202=0,"",[1]对账明细接口!$I$1202),"")</f>
        <v/>
      </c>
      <c r="J1202" s="61" t="str">
        <f aca="false">IFERROR(IF([1]对账明细接口!$J$1202=0,"",[1]对账明细接口!$J$1202),"")</f>
        <v/>
      </c>
      <c r="K1202" s="61" t="str">
        <f aca="false">IFERROR(IF([1]对账明细接口!$K$1202=0,"",[1]对账明细接口!$K$1202),"")</f>
        <v/>
      </c>
      <c r="L1202" s="59" t="str">
        <f aca="false">IFERROR(IF([1]对账明细接口!$L$1202=0,"",[1]对账明细接口!$L$1202),"")</f>
        <v/>
      </c>
      <c r="M1202" s="59" t="str">
        <f aca="false">IFERROR(IF([1]对账明细接口!$M$1202=0,"",[1]对账明细接口!$M$1202),"")</f>
        <v/>
      </c>
      <c r="N1202" s="111" t="n">
        <f aca="false">IF($C1202="",0,1)</f>
        <v>0</v>
      </c>
      <c r="O1202" s="111" t="n">
        <f aca="false">N(O1201)+$N1202</f>
        <v>110</v>
      </c>
      <c r="S1202" s="10" t="str">
        <f aca="false">IFERROR(IF([1]对账明细接口!$N1202=0,"",[1]对账明细接口!$N1202),"")</f>
        <v/>
      </c>
      <c r="T1202" s="112" t="str">
        <f aca="false">IFERROR(IF([1]对账明细接口!$O1202=0,"",[1]对账明细接口!$O1202),"")</f>
        <v/>
      </c>
      <c r="U1202" s="112" t="str">
        <f aca="false">IFERROR(IF([1]对账明细接口!$P1202=0,"",[1]对账明细接口!$P1202),"")</f>
        <v/>
      </c>
      <c r="V1202" s="112" t="str">
        <f aca="false">IFERROR(IF([1]对账明细接口!$Q1202=0,"",[1]对账明细接口!$Q1202),"")</f>
        <v/>
      </c>
      <c r="W1202" s="10" t="str">
        <f aca="false">IFERROR(IF([1]对账明细接口!$R1202=0,"",[1]对账明细接口!$R1202),"")</f>
        <v/>
      </c>
      <c r="X1202" s="10" t="str">
        <f aca="false">IFERROR(IF([1]对账明细接口!$S1202=0,"",[1]对账明细接口!$S1202),"")</f>
        <v/>
      </c>
      <c r="Y1202" s="10" t="str">
        <f aca="false">""</f>
        <v/>
      </c>
      <c r="Z1202" s="10" t="str">
        <f aca="false">""</f>
        <v/>
      </c>
      <c r="AA1202" s="10" t="str">
        <f aca="false">""</f>
        <v/>
      </c>
      <c r="AB1202" s="10" t="str">
        <f aca="false">""</f>
        <v/>
      </c>
    </row>
    <row r="1203" customFormat="false" ht="13.5" hidden="false" customHeight="false" outlineLevel="0" collapsed="false">
      <c r="A1203" s="109" t="n">
        <v>1203</v>
      </c>
      <c r="B1203" s="110" t="str">
        <f aca="false">IFERROR(IF([1]对账明细接口!$B$1203=0,"",[1]对账明细接口!$B$1203),"")</f>
        <v/>
      </c>
      <c r="C1203" s="59" t="str">
        <f aca="false">IFERROR(IF([1]对账明细接口!$C$1203=0,"",[1]对账明细接口!$C$1203),"")</f>
        <v/>
      </c>
      <c r="D1203" s="59" t="str">
        <f aca="false">IFERROR(IF([1]对账明细接口!$D$1203=0,"",[1]对账明细接口!$D$1203),"")</f>
        <v/>
      </c>
      <c r="E1203" s="59" t="str">
        <f aca="false">IFERROR(IF([1]对账明细接口!$E$1203=0,"",[1]对账明细接口!$E$1203),"")</f>
        <v/>
      </c>
      <c r="F1203" s="59" t="str">
        <f aca="false">IFERROR(IF([1]对账明细接口!$F$1203=0,"",[1]对账明细接口!$F$1203),"")</f>
        <v/>
      </c>
      <c r="G1203" s="59" t="str">
        <f aca="false">IFERROR(IF([1]对账明细接口!$G$1203=0,"",[1]对账明细接口!$G$1203),"")</f>
        <v/>
      </c>
      <c r="H1203" s="60" t="str">
        <f aca="false">IFERROR(IF([1]对账明细接口!$H$1203=0,"",[1]对账明细接口!$H$1203),"")</f>
        <v/>
      </c>
      <c r="I1203" s="59" t="str">
        <f aca="false">IFERROR(IF([1]对账明细接口!$I$1203=0,"",[1]对账明细接口!$I$1203),"")</f>
        <v/>
      </c>
      <c r="J1203" s="61" t="str">
        <f aca="false">IFERROR(IF([1]对账明细接口!$J$1203=0,"",[1]对账明细接口!$J$1203),"")</f>
        <v/>
      </c>
      <c r="K1203" s="61" t="str">
        <f aca="false">IFERROR(IF([1]对账明细接口!$K$1203=0,"",[1]对账明细接口!$K$1203),"")</f>
        <v/>
      </c>
      <c r="L1203" s="59" t="str">
        <f aca="false">IFERROR(IF([1]对账明细接口!$L$1203=0,"",[1]对账明细接口!$L$1203),"")</f>
        <v/>
      </c>
      <c r="M1203" s="59" t="str">
        <f aca="false">IFERROR(IF([1]对账明细接口!$M$1203=0,"",[1]对账明细接口!$M$1203),"")</f>
        <v/>
      </c>
      <c r="N1203" s="111" t="n">
        <f aca="false">IF($C1203="",0,1)</f>
        <v>0</v>
      </c>
      <c r="O1203" s="111" t="n">
        <f aca="false">N(O1202)+$N1203</f>
        <v>110</v>
      </c>
      <c r="S1203" s="10" t="str">
        <f aca="false">IFERROR(IF([1]对账明细接口!$N1203=0,"",[1]对账明细接口!$N1203),"")</f>
        <v/>
      </c>
      <c r="T1203" s="112" t="str">
        <f aca="false">IFERROR(IF([1]对账明细接口!$O1203=0,"",[1]对账明细接口!$O1203),"")</f>
        <v/>
      </c>
      <c r="U1203" s="112" t="str">
        <f aca="false">IFERROR(IF([1]对账明细接口!$P1203=0,"",[1]对账明细接口!$P1203),"")</f>
        <v/>
      </c>
      <c r="V1203" s="112" t="str">
        <f aca="false">IFERROR(IF([1]对账明细接口!$Q1203=0,"",[1]对账明细接口!$Q1203),"")</f>
        <v/>
      </c>
      <c r="W1203" s="10" t="str">
        <f aca="false">IFERROR(IF([1]对账明细接口!$R1203=0,"",[1]对账明细接口!$R1203),"")</f>
        <v/>
      </c>
      <c r="X1203" s="10" t="str">
        <f aca="false">IFERROR(IF([1]对账明细接口!$S1203=0,"",[1]对账明细接口!$S1203),"")</f>
        <v/>
      </c>
      <c r="Y1203" s="10" t="str">
        <f aca="false">""</f>
        <v/>
      </c>
      <c r="Z1203" s="10" t="str">
        <f aca="false">""</f>
        <v/>
      </c>
      <c r="AA1203" s="10" t="str">
        <f aca="false">""</f>
        <v/>
      </c>
      <c r="AB1203" s="10" t="str">
        <f aca="false">""</f>
        <v/>
      </c>
    </row>
  </sheetData>
  <mergeCells count="3">
    <mergeCell ref="A1:O1"/>
    <mergeCell ref="A2:O2"/>
    <mergeCell ref="Q6:R9"/>
  </mergeCells>
  <conditionalFormatting sqref="A2">
    <cfRule type="expression" priority="2" aboveAverage="0" equalAverage="0" bottom="0" percent="0" rank="0" text="" dxfId="0">
      <formula>$R$4=0</formula>
    </cfRule>
  </conditionalFormatting>
  <conditionalFormatting sqref="Q6">
    <cfRule type="expression" priority="3" aboveAverage="0" equalAverage="0" bottom="0" percent="0" rank="0" text="" dxfId="0">
      <formula>$R$4=0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3.5" hidden="false" customHeight="false" outlineLevel="0" collapsed="false">
      <c r="A1" s="115" t="s">
        <v>221</v>
      </c>
      <c r="K1" s="44" t="str">
        <f aca="false">筐子对账单!$B$2</f>
        <v>王照雪</v>
      </c>
      <c r="L1" s="44" t="str">
        <f aca="false">自备筐对账单!$B$2</f>
        <v>贾建国</v>
      </c>
      <c r="M1" s="44" t="str">
        <f aca="false">水果对账单!$B$2</f>
        <v>王照雪</v>
      </c>
      <c r="N1" s="44" t="str">
        <f aca="false">物料与筐子销售对账单!$B$2</f>
        <v>麦麦提</v>
      </c>
      <c r="P1" s="1" t="n">
        <f aca="false">MAX(Q$4:Q$2403)</f>
        <v>13</v>
      </c>
      <c r="R1" s="1" t="n">
        <f aca="false">MAX(S$4:S$2403)</f>
        <v>5</v>
      </c>
      <c r="T1" s="1" t="n">
        <f aca="false">MAX(U$4:U$2403)</f>
        <v>28</v>
      </c>
      <c r="V1" s="1" t="n">
        <f aca="false">MAX(W$4:W$2403)</f>
        <v>7</v>
      </c>
      <c r="X1" s="1" t="n">
        <f aca="false">MAX(Y$4:Y$2403)</f>
        <v>0</v>
      </c>
      <c r="Z1" s="1" t="n">
        <f aca="false">MAX(AA$4:AA$2403)</f>
        <v>30</v>
      </c>
      <c r="AB1" s="1" t="n">
        <f aca="false">MAX(AC$4:AC$2403)</f>
        <v>19</v>
      </c>
      <c r="AD1" s="1" t="n">
        <f aca="false">MAX(AE$4:AE$2403)</f>
        <v>38</v>
      </c>
      <c r="AF1" s="1" t="n">
        <f aca="false">MAX(AG$4:AG$2403)</f>
        <v>6</v>
      </c>
      <c r="AH1" s="1" t="n">
        <f aca="false">MAX(AI$4:AI$2403)</f>
        <v>1</v>
      </c>
      <c r="AJ1" s="44" t="str">
        <f aca="false">公司购买果品对账单!$B$2</f>
        <v>果然鲜</v>
      </c>
      <c r="AK1" s="1" t="n">
        <f aca="false">MAX($AK$4:$AK$2403)</f>
        <v>3672</v>
      </c>
    </row>
    <row r="2" customFormat="false" ht="13.5" hidden="false" customHeight="false" outlineLevel="0" collapsed="false">
      <c r="A2" s="116" t="s">
        <v>222</v>
      </c>
      <c r="K2" s="44" t="n">
        <f aca="false">IF(筐子对账单!$F$2="",0,N(筐子对账单!$F$2))</f>
        <v>0</v>
      </c>
      <c r="L2" s="44" t="n">
        <f aca="false">IF(自备筐对账单!$F$2="",0,N(自备筐对账单!$F$2))</f>
        <v>0</v>
      </c>
      <c r="M2" s="44" t="n">
        <f aca="false">IF(水果对账单!$F$2="",0,N(水果对账单!$F$2))</f>
        <v>0</v>
      </c>
      <c r="N2" s="44" t="n">
        <f aca="false">IF(物料与筐子销售对账单!$F$2="",0,N(物料与筐子销售对账单!$F$2))</f>
        <v>0</v>
      </c>
      <c r="AJ2" s="44" t="n">
        <f aca="false">IF(公司购买果品对账单!$F$2="",0,N(公司购买果品对账单!$F$2))</f>
        <v>0</v>
      </c>
    </row>
    <row r="3" customFormat="false" ht="13.5" hidden="false" customHeight="false" outlineLevel="0" collapsed="false">
      <c r="A3" s="117" t="s">
        <v>189</v>
      </c>
      <c r="B3" s="117" t="s">
        <v>223</v>
      </c>
      <c r="C3" s="117" t="s">
        <v>209</v>
      </c>
      <c r="E3" s="117" t="s">
        <v>224</v>
      </c>
      <c r="G3" s="117"/>
      <c r="K3" s="44" t="n">
        <f aca="false">IF(筐子对账单!$H$2="",99999999,N(筐子对账单!$H$2))</f>
        <v>99999999</v>
      </c>
      <c r="L3" s="44" t="n">
        <f aca="false">IF(自备筐对账单!$H$2="",99999999,N(自备筐对账单!$H$2))</f>
        <v>99999999</v>
      </c>
      <c r="M3" s="44" t="n">
        <f aca="false">IF(水果对账单!$H$2="",99999999,N(水果对账单!$H$2))</f>
        <v>99999999</v>
      </c>
      <c r="N3" s="44" t="n">
        <f aca="false">IF(物料与筐子销售对账单!$H$2="",99999999,N(物料与筐子销售对账单!$H$2))</f>
        <v>99999999</v>
      </c>
      <c r="P3" s="117" t="s">
        <v>225</v>
      </c>
      <c r="Q3" s="117" t="s">
        <v>209</v>
      </c>
      <c r="R3" s="117" t="s">
        <v>226</v>
      </c>
      <c r="S3" s="117" t="s">
        <v>209</v>
      </c>
      <c r="T3" s="117" t="s">
        <v>227</v>
      </c>
      <c r="U3" s="117" t="s">
        <v>209</v>
      </c>
      <c r="V3" s="117" t="s">
        <v>228</v>
      </c>
      <c r="W3" s="117" t="s">
        <v>209</v>
      </c>
      <c r="X3" s="117" t="s">
        <v>229</v>
      </c>
      <c r="Y3" s="117" t="s">
        <v>209</v>
      </c>
      <c r="Z3" s="117" t="s">
        <v>230</v>
      </c>
      <c r="AA3" s="117" t="s">
        <v>209</v>
      </c>
      <c r="AB3" s="117" t="s">
        <v>231</v>
      </c>
      <c r="AC3" s="117" t="s">
        <v>209</v>
      </c>
      <c r="AD3" s="117" t="s">
        <v>232</v>
      </c>
      <c r="AE3" s="117" t="s">
        <v>209</v>
      </c>
      <c r="AF3" s="117" t="s">
        <v>233</v>
      </c>
      <c r="AG3" s="78" t="s">
        <v>216</v>
      </c>
      <c r="AH3" s="78" t="s">
        <v>234</v>
      </c>
      <c r="AI3" s="78" t="s">
        <v>223</v>
      </c>
      <c r="AJ3" s="78" t="s">
        <v>209</v>
      </c>
    </row>
    <row r="4" customFormat="false" ht="13.5" hidden="false" customHeight="false" outlineLevel="0" collapsed="false">
      <c r="A4" s="1" t="str">
        <f aca="false">IF(对接源_01水果!$C4="","",对接源_01水果!$C4)</f>
        <v>聂新平</v>
      </c>
      <c r="B4" s="1" t="n">
        <f aca="false">IF(A4="",0,IF(MATCH(A4,$A$4:$A$2403,0)=ROW()-3,1,0))</f>
        <v>1</v>
      </c>
      <c r="C4" s="1" t="n">
        <f aca="false">N(C3)+B4</f>
        <v>1</v>
      </c>
      <c r="E4" s="1" t="str">
        <f aca="false">IFERROR(INDEX($A$4:$A$2403,MATCH(ROW()-3,$C$4:$C$2403,0)),"")</f>
        <v>聂新平</v>
      </c>
      <c r="K4" s="1" t="n">
        <f aca="false">IF(OR($K$1="",对接源_01水果!$C4="",对接源_01水果!$C4&lt;&gt;$K$1,对接源_01水果!$B4=""),0,IF(OR(N(对接源_01水果!$B4)&lt;$K$2,N(对接源_01水果!$B4)&gt;$K$3),0,1))</f>
        <v>0</v>
      </c>
      <c r="L4" s="1" t="n">
        <f aca="false">IF(OR($L$1="",对接源_01水果!$C4="",对接源_01水果!$C4&lt;&gt;$L$1,对接源_01水果!$B4=""),0,IF(OR(N(对接源_01水果!$B4)&lt;$L$2,N(对接源_01水果!$B4)&gt;$L$3),0,1))</f>
        <v>0</v>
      </c>
      <c r="M4" s="1" t="n">
        <f aca="false">IF(OR($M$1="",对接源_01水果!$C4="",对接源_01水果!$C4&lt;&gt;$M$1,对接源_01水果!$B4=""),0,IF(OR(N(对接源_01水果!$B4)&lt;$M$2,N(对接源_01水果!$B4)&gt;$M$3),0,1))</f>
        <v>0</v>
      </c>
      <c r="N4" s="1" t="n">
        <f aca="false">IF(OR($N$1="",对接源_01水果!$C4="",对接源_01水果!$C4&lt;&gt;$N$1,对接源_01水果!$B4=""),0,IF(OR(N(对接源_01水果!$B4)&lt;$N$2,N(对接源_01水果!$B4)&gt;$N$3),0,1))</f>
        <v>0</v>
      </c>
      <c r="P4" s="1" t="n">
        <f aca="false">IF(AND($K4=1,AND(对接源_01水果!$X4="公司筐",N(对接源_01水果!$T4)&lt;&gt;0)),1,0)</f>
        <v>0</v>
      </c>
      <c r="Q4" s="1" t="n">
        <f aca="false">N(Q3)+$P4</f>
        <v>0</v>
      </c>
      <c r="R4" s="1" t="n">
        <f aca="false">IF(AND($K4=1,AND(对接源_01水果!$X4="公司筐",N(对接源_01水果!$U4)&lt;&gt;0)),1,0)</f>
        <v>0</v>
      </c>
      <c r="S4" s="1" t="n">
        <f aca="false">N(S3)+$R4</f>
        <v>0</v>
      </c>
      <c r="T4" s="1" t="n">
        <f aca="false">IF(AND($K4=1,AND(对接源_01水果!$X4="公司筐",N(对接源_01水果!$V4)&lt;&gt;0)),1,0)</f>
        <v>0</v>
      </c>
      <c r="U4" s="1" t="n">
        <f aca="false">N(U3)+$T4</f>
        <v>0</v>
      </c>
      <c r="V4" s="1" t="n">
        <f aca="false">IF(AND($L4=1,AND(对接源_01水果!$X4="自备筐",N(对接源_01水果!$V4)&lt;&gt;0)),1,0)</f>
        <v>0</v>
      </c>
      <c r="W4" s="1" t="n">
        <f aca="false">N(W3)+$V4</f>
        <v>0</v>
      </c>
      <c r="X4" s="1" t="n">
        <f aca="false">IF(AND($L4=1,AND(对接源_01水果!$X4="自备筐",N(对接源_01水果!$T4)&lt;&gt;0)),1,0)</f>
        <v>0</v>
      </c>
      <c r="Y4" s="1" t="n">
        <f aca="false">N(Y3)+$X4</f>
        <v>0</v>
      </c>
      <c r="Z4" s="1" t="n">
        <f aca="false">IF(AND($M4=1,对接源_01水果!$D4="原料入库"),1,0)</f>
        <v>0</v>
      </c>
      <c r="AA4" s="1" t="n">
        <f aca="false">N(AA3)+$Z4</f>
        <v>0</v>
      </c>
      <c r="AB4" s="1" t="n">
        <f aca="false">IF(AND($M4=1,LEFT(对接源_01水果!$D4,4)="原料出库"),1,0)</f>
        <v>0</v>
      </c>
      <c r="AC4" s="1" t="n">
        <f aca="false">N(AC3)+$AB4</f>
        <v>0</v>
      </c>
      <c r="AD4" s="1" t="n">
        <f aca="false">IF(AND($M4=1,LEFT(对接源_01水果!$D4,4)="成品出库"),1,0)</f>
        <v>0</v>
      </c>
      <c r="AE4" s="1" t="n">
        <f aca="false">N(AE3)+$AD4</f>
        <v>0</v>
      </c>
      <c r="AF4" s="1" t="n">
        <f aca="false">IF(AND($N4=1,AND(LEFT(对接源_01水果!$D4,4)="包装物料",N(对接源_01水果!$K4)&lt;&gt;0)),1,0)</f>
        <v>0</v>
      </c>
      <c r="AG4" s="90" t="str">
        <f aca="false">IF(对接源_01水果!$AC4="","",对接源_01水果!$AC4)</f>
        <v/>
      </c>
      <c r="AH4" s="90" t="str">
        <f aca="false">IFERROR(INDEX($AG$4:$AG$1203,MATCH(ROW()-3,$AJ$4:$AJ$1203,0)),"")</f>
        <v>电商/主播</v>
      </c>
      <c r="AI4" s="90" t="n">
        <f aca="false">IF(AG4="",0,IF(MATCH(AG4,$AG$4:$AG$1203,0)=ROW()-3,1,0))</f>
        <v>0</v>
      </c>
      <c r="AJ4" s="90" t="n">
        <f aca="false">N(AJ3)+AI4</f>
        <v>0</v>
      </c>
      <c r="AK4" s="1" t="n">
        <f aca="false">N(AK3)+$AJ4</f>
        <v>0</v>
      </c>
    </row>
    <row r="5" customFormat="false" ht="13.5" hidden="false" customHeight="false" outlineLevel="0" collapsed="false">
      <c r="A5" s="1" t="str">
        <f aca="false">IF(对接源_01水果!$C5="","",对接源_01水果!$C5)</f>
        <v>聂新平</v>
      </c>
      <c r="B5" s="1" t="n">
        <f aca="false">IF(A5="",0,IF(MATCH(A5,$A$4:$A$2403,0)=ROW()-3,1,0))</f>
        <v>0</v>
      </c>
      <c r="C5" s="1" t="n">
        <f aca="false">N(C4)+B5</f>
        <v>1</v>
      </c>
      <c r="E5" s="1" t="str">
        <f aca="false">IFERROR(INDEX($A$4:$A$2403,MATCH(ROW()-3,$C$4:$C$2403,0)),"")</f>
        <v>王照雪</v>
      </c>
      <c r="K5" s="1" t="n">
        <f aca="false">IF(OR($K$1="",对接源_01水果!$C5="",对接源_01水果!$C5&lt;&gt;$K$1,对接源_01水果!$B5=""),0,IF(OR(N(对接源_01水果!$B5)&lt;$K$2,N(对接源_01水果!$B5)&gt;$K$3),0,1))</f>
        <v>0</v>
      </c>
      <c r="L5" s="1" t="n">
        <f aca="false">IF(OR($L$1="",对接源_01水果!$C5="",对接源_01水果!$C5&lt;&gt;$L$1,对接源_01水果!$B5=""),0,IF(OR(N(对接源_01水果!$B5)&lt;$L$2,N(对接源_01水果!$B5)&gt;$L$3),0,1))</f>
        <v>0</v>
      </c>
      <c r="M5" s="1" t="n">
        <f aca="false">IF(OR($M$1="",对接源_01水果!$C5="",对接源_01水果!$C5&lt;&gt;$M$1,对接源_01水果!$B5=""),0,IF(OR(N(对接源_01水果!$B5)&lt;$M$2,N(对接源_01水果!$B5)&gt;$M$3),0,1))</f>
        <v>0</v>
      </c>
      <c r="N5" s="1" t="n">
        <f aca="false">IF(OR($N$1="",对接源_01水果!$C5="",对接源_01水果!$C5&lt;&gt;$N$1,对接源_01水果!$B5=""),0,IF(OR(N(对接源_01水果!$B5)&lt;$N$2,N(对接源_01水果!$B5)&gt;$N$3),0,1))</f>
        <v>0</v>
      </c>
      <c r="P5" s="1" t="n">
        <f aca="false">IF(AND($K5=1,AND(对接源_01水果!$X5="公司筐",N(对接源_01水果!$T5)&lt;&gt;0)),1,0)</f>
        <v>0</v>
      </c>
      <c r="Q5" s="1" t="n">
        <f aca="false">N(Q4)+$P5</f>
        <v>0</v>
      </c>
      <c r="R5" s="1" t="n">
        <f aca="false">IF(AND($K5=1,AND(对接源_01水果!$X5="公司筐",N(对接源_01水果!$U5)&lt;&gt;0)),1,0)</f>
        <v>0</v>
      </c>
      <c r="S5" s="1" t="n">
        <f aca="false">N(S4)+$R5</f>
        <v>0</v>
      </c>
      <c r="T5" s="1" t="n">
        <f aca="false">IF(AND($K5=1,AND(对接源_01水果!$X5="公司筐",N(对接源_01水果!$V5)&lt;&gt;0)),1,0)</f>
        <v>0</v>
      </c>
      <c r="U5" s="1" t="n">
        <f aca="false">N(U4)+$T5</f>
        <v>0</v>
      </c>
      <c r="V5" s="1" t="n">
        <f aca="false">IF(AND($L5=1,AND(对接源_01水果!$X5="自备筐",N(对接源_01水果!$V5)&lt;&gt;0)),1,0)</f>
        <v>0</v>
      </c>
      <c r="W5" s="1" t="n">
        <f aca="false">N(W4)+$V5</f>
        <v>0</v>
      </c>
      <c r="X5" s="1" t="n">
        <f aca="false">IF(AND($L5=1,AND(对接源_01水果!$X5="自备筐",N(对接源_01水果!$T5)&lt;&gt;0)),1,0)</f>
        <v>0</v>
      </c>
      <c r="Y5" s="1" t="n">
        <f aca="false">N(Y4)+$X5</f>
        <v>0</v>
      </c>
      <c r="Z5" s="1" t="n">
        <f aca="false">IF(AND($M5=1,对接源_01水果!$D5="原料入库"),1,0)</f>
        <v>0</v>
      </c>
      <c r="AA5" s="1" t="n">
        <f aca="false">N(AA4)+$Z5</f>
        <v>0</v>
      </c>
      <c r="AB5" s="1" t="n">
        <f aca="false">IF(AND($M5=1,LEFT(对接源_01水果!$D5,4)="原料出库"),1,0)</f>
        <v>0</v>
      </c>
      <c r="AC5" s="1" t="n">
        <f aca="false">N(AC4)+$AB5</f>
        <v>0</v>
      </c>
      <c r="AD5" s="1" t="n">
        <f aca="false">IF(AND($M5=1,LEFT(对接源_01水果!$D5,4)="成品出库"),1,0)</f>
        <v>0</v>
      </c>
      <c r="AE5" s="1" t="n">
        <f aca="false">N(AE4)+$AD5</f>
        <v>0</v>
      </c>
      <c r="AF5" s="1" t="n">
        <f aca="false">IF(AND($N5=1,AND(LEFT(对接源_01水果!$D5,4)="包装物料",N(对接源_01水果!$K5)&lt;&gt;0)),1,0)</f>
        <v>0</v>
      </c>
      <c r="AG5" s="90" t="str">
        <f aca="false">IF(对接源_01水果!$AC5="","",对接源_01水果!$AC5)</f>
        <v/>
      </c>
      <c r="AH5" s="90" t="str">
        <f aca="false">IFERROR(INDEX($AG$4:$AG$1203,MATCH(ROW()-3,$AJ$4:$AJ$1203,0)),"")</f>
        <v>王照雪</v>
      </c>
      <c r="AI5" s="90" t="n">
        <f aca="false">IF(AG5="",0,IF(MATCH(AG5,$AG$4:$AG$1203,0)=ROW()-3,1,0))</f>
        <v>0</v>
      </c>
      <c r="AJ5" s="90" t="n">
        <f aca="false">N(AJ4)+AI5</f>
        <v>0</v>
      </c>
      <c r="AK5" s="1" t="n">
        <f aca="false">N(AK4)+$AJ5</f>
        <v>0</v>
      </c>
    </row>
    <row r="6" customFormat="false" ht="13.5" hidden="false" customHeight="false" outlineLevel="0" collapsed="false">
      <c r="A6" s="1" t="str">
        <f aca="false">IF(对接源_01水果!$C6="","",对接源_01水果!$C6)</f>
        <v>聂新平</v>
      </c>
      <c r="B6" s="1" t="n">
        <f aca="false">IF(A6="",0,IF(MATCH(A6,$A$4:$A$2403,0)=ROW()-3,1,0))</f>
        <v>0</v>
      </c>
      <c r="C6" s="1" t="n">
        <f aca="false">N(C5)+B6</f>
        <v>1</v>
      </c>
      <c r="E6" s="1" t="str">
        <f aca="false">IFERROR(INDEX($A$4:$A$2403,MATCH(ROW()-3,$C$4:$C$2403,0)),"")</f>
        <v>伍元虎</v>
      </c>
      <c r="K6" s="1" t="n">
        <f aca="false">IF(OR($K$1="",对接源_01水果!$C6="",对接源_01水果!$C6&lt;&gt;$K$1,对接源_01水果!$B6=""),0,IF(OR(N(对接源_01水果!$B6)&lt;$K$2,N(对接源_01水果!$B6)&gt;$K$3),0,1))</f>
        <v>0</v>
      </c>
      <c r="L6" s="1" t="n">
        <f aca="false">IF(OR($L$1="",对接源_01水果!$C6="",对接源_01水果!$C6&lt;&gt;$L$1,对接源_01水果!$B6=""),0,IF(OR(N(对接源_01水果!$B6)&lt;$L$2,N(对接源_01水果!$B6)&gt;$L$3),0,1))</f>
        <v>0</v>
      </c>
      <c r="M6" s="1" t="n">
        <f aca="false">IF(OR($M$1="",对接源_01水果!$C6="",对接源_01水果!$C6&lt;&gt;$M$1,对接源_01水果!$B6=""),0,IF(OR(N(对接源_01水果!$B6)&lt;$M$2,N(对接源_01水果!$B6)&gt;$M$3),0,1))</f>
        <v>0</v>
      </c>
      <c r="N6" s="1" t="n">
        <f aca="false">IF(OR($N$1="",对接源_01水果!$C6="",对接源_01水果!$C6&lt;&gt;$N$1,对接源_01水果!$B6=""),0,IF(OR(N(对接源_01水果!$B6)&lt;$N$2,N(对接源_01水果!$B6)&gt;$N$3),0,1))</f>
        <v>0</v>
      </c>
      <c r="P6" s="1" t="n">
        <f aca="false">IF(AND($K6=1,AND(对接源_01水果!$X6="公司筐",N(对接源_01水果!$T6)&lt;&gt;0)),1,0)</f>
        <v>0</v>
      </c>
      <c r="Q6" s="1" t="n">
        <f aca="false">N(Q5)+$P6</f>
        <v>0</v>
      </c>
      <c r="R6" s="1" t="n">
        <f aca="false">IF(AND($K6=1,AND(对接源_01水果!$X6="公司筐",N(对接源_01水果!$U6)&lt;&gt;0)),1,0)</f>
        <v>0</v>
      </c>
      <c r="S6" s="1" t="n">
        <f aca="false">N(S5)+$R6</f>
        <v>0</v>
      </c>
      <c r="T6" s="1" t="n">
        <f aca="false">IF(AND($K6=1,AND(对接源_01水果!$X6="公司筐",N(对接源_01水果!$V6)&lt;&gt;0)),1,0)</f>
        <v>0</v>
      </c>
      <c r="U6" s="1" t="n">
        <f aca="false">N(U5)+$T6</f>
        <v>0</v>
      </c>
      <c r="V6" s="1" t="n">
        <f aca="false">IF(AND($L6=1,AND(对接源_01水果!$X6="自备筐",N(对接源_01水果!$V6)&lt;&gt;0)),1,0)</f>
        <v>0</v>
      </c>
      <c r="W6" s="1" t="n">
        <f aca="false">N(W5)+$V6</f>
        <v>0</v>
      </c>
      <c r="X6" s="1" t="n">
        <f aca="false">IF(AND($L6=1,AND(对接源_01水果!$X6="自备筐",N(对接源_01水果!$T6)&lt;&gt;0)),1,0)</f>
        <v>0</v>
      </c>
      <c r="Y6" s="1" t="n">
        <f aca="false">N(Y5)+$X6</f>
        <v>0</v>
      </c>
      <c r="Z6" s="1" t="n">
        <f aca="false">IF(AND($M6=1,对接源_01水果!$D6="原料入库"),1,0)</f>
        <v>0</v>
      </c>
      <c r="AA6" s="1" t="n">
        <f aca="false">N(AA5)+$Z6</f>
        <v>0</v>
      </c>
      <c r="AB6" s="1" t="n">
        <f aca="false">IF(AND($M6=1,LEFT(对接源_01水果!$D6,4)="原料出库"),1,0)</f>
        <v>0</v>
      </c>
      <c r="AC6" s="1" t="n">
        <f aca="false">N(AC5)+$AB6</f>
        <v>0</v>
      </c>
      <c r="AD6" s="1" t="n">
        <f aca="false">IF(AND($M6=1,LEFT(对接源_01水果!$D6,4)="成品出库"),1,0)</f>
        <v>0</v>
      </c>
      <c r="AE6" s="1" t="n">
        <f aca="false">N(AE5)+$AD6</f>
        <v>0</v>
      </c>
      <c r="AF6" s="1" t="n">
        <f aca="false">IF(AND($N6=1,AND(LEFT(对接源_01水果!$D6,4)="包装物料",N(对接源_01水果!$K6)&lt;&gt;0)),1,0)</f>
        <v>0</v>
      </c>
      <c r="AG6" s="90" t="str">
        <f aca="false">IF(对接源_01水果!$AC6="","",对接源_01水果!$AC6)</f>
        <v/>
      </c>
      <c r="AH6" s="90" t="str">
        <f aca="false">IFERROR(INDEX($AG$4:$AG$1203,MATCH(ROW()-3,$AJ$4:$AJ$1203,0)),"")</f>
        <v>伍元虎</v>
      </c>
      <c r="AI6" s="90" t="n">
        <f aca="false">IF(AG6="",0,IF(MATCH(AG6,$AG$4:$AG$1203,0)=ROW()-3,1,0))</f>
        <v>0</v>
      </c>
      <c r="AJ6" s="90" t="n">
        <f aca="false">N(AJ5)+AI6</f>
        <v>0</v>
      </c>
      <c r="AK6" s="1" t="n">
        <f aca="false">N(AK5)+$AJ6</f>
        <v>0</v>
      </c>
    </row>
    <row r="7" customFormat="false" ht="13.5" hidden="false" customHeight="false" outlineLevel="0" collapsed="false">
      <c r="A7" s="1" t="str">
        <f aca="false">IF(对接源_01水果!$C7="","",对接源_01水果!$C7)</f>
        <v>聂新平</v>
      </c>
      <c r="B7" s="1" t="n">
        <f aca="false">IF(A7="",0,IF(MATCH(A7,$A$4:$A$2403,0)=ROW()-3,1,0))</f>
        <v>0</v>
      </c>
      <c r="C7" s="1" t="n">
        <f aca="false">N(C6)+B7</f>
        <v>1</v>
      </c>
      <c r="E7" s="1" t="str">
        <f aca="false">IFERROR(INDEX($A$4:$A$2403,MATCH(ROW()-3,$C$4:$C$2403,0)),"")</f>
        <v>马锦祥</v>
      </c>
      <c r="K7" s="1" t="n">
        <f aca="false">IF(OR($K$1="",对接源_01水果!$C7="",对接源_01水果!$C7&lt;&gt;$K$1,对接源_01水果!$B7=""),0,IF(OR(N(对接源_01水果!$B7)&lt;$K$2,N(对接源_01水果!$B7)&gt;$K$3),0,1))</f>
        <v>0</v>
      </c>
      <c r="L7" s="1" t="n">
        <f aca="false">IF(OR($L$1="",对接源_01水果!$C7="",对接源_01水果!$C7&lt;&gt;$L$1,对接源_01水果!$B7=""),0,IF(OR(N(对接源_01水果!$B7)&lt;$L$2,N(对接源_01水果!$B7)&gt;$L$3),0,1))</f>
        <v>0</v>
      </c>
      <c r="M7" s="1" t="n">
        <f aca="false">IF(OR($M$1="",对接源_01水果!$C7="",对接源_01水果!$C7&lt;&gt;$M$1,对接源_01水果!$B7=""),0,IF(OR(N(对接源_01水果!$B7)&lt;$M$2,N(对接源_01水果!$B7)&gt;$M$3),0,1))</f>
        <v>0</v>
      </c>
      <c r="N7" s="1" t="n">
        <f aca="false">IF(OR($N$1="",对接源_01水果!$C7="",对接源_01水果!$C7&lt;&gt;$N$1,对接源_01水果!$B7=""),0,IF(OR(N(对接源_01水果!$B7)&lt;$N$2,N(对接源_01水果!$B7)&gt;$N$3),0,1))</f>
        <v>0</v>
      </c>
      <c r="P7" s="1" t="n">
        <f aca="false">IF(AND($K7=1,AND(对接源_01水果!$X7="公司筐",N(对接源_01水果!$T7)&lt;&gt;0)),1,0)</f>
        <v>0</v>
      </c>
      <c r="Q7" s="1" t="n">
        <f aca="false">N(Q6)+$P7</f>
        <v>0</v>
      </c>
      <c r="R7" s="1" t="n">
        <f aca="false">IF(AND($K7=1,AND(对接源_01水果!$X7="公司筐",N(对接源_01水果!$U7)&lt;&gt;0)),1,0)</f>
        <v>0</v>
      </c>
      <c r="S7" s="1" t="n">
        <f aca="false">N(S6)+$R7</f>
        <v>0</v>
      </c>
      <c r="T7" s="1" t="n">
        <f aca="false">IF(AND($K7=1,AND(对接源_01水果!$X7="公司筐",N(对接源_01水果!$V7)&lt;&gt;0)),1,0)</f>
        <v>0</v>
      </c>
      <c r="U7" s="1" t="n">
        <f aca="false">N(U6)+$T7</f>
        <v>0</v>
      </c>
      <c r="V7" s="1" t="n">
        <f aca="false">IF(AND($L7=1,AND(对接源_01水果!$X7="自备筐",N(对接源_01水果!$V7)&lt;&gt;0)),1,0)</f>
        <v>0</v>
      </c>
      <c r="W7" s="1" t="n">
        <f aca="false">N(W6)+$V7</f>
        <v>0</v>
      </c>
      <c r="X7" s="1" t="n">
        <f aca="false">IF(AND($L7=1,AND(对接源_01水果!$X7="自备筐",N(对接源_01水果!$T7)&lt;&gt;0)),1,0)</f>
        <v>0</v>
      </c>
      <c r="Y7" s="1" t="n">
        <f aca="false">N(Y6)+$X7</f>
        <v>0</v>
      </c>
      <c r="Z7" s="1" t="n">
        <f aca="false">IF(AND($M7=1,对接源_01水果!$D7="原料入库"),1,0)</f>
        <v>0</v>
      </c>
      <c r="AA7" s="1" t="n">
        <f aca="false">N(AA6)+$Z7</f>
        <v>0</v>
      </c>
      <c r="AB7" s="1" t="n">
        <f aca="false">IF(AND($M7=1,LEFT(对接源_01水果!$D7,4)="原料出库"),1,0)</f>
        <v>0</v>
      </c>
      <c r="AC7" s="1" t="n">
        <f aca="false">N(AC6)+$AB7</f>
        <v>0</v>
      </c>
      <c r="AD7" s="1" t="n">
        <f aca="false">IF(AND($M7=1,LEFT(对接源_01水果!$D7,4)="成品出库"),1,0)</f>
        <v>0</v>
      </c>
      <c r="AE7" s="1" t="n">
        <f aca="false">N(AE6)+$AD7</f>
        <v>0</v>
      </c>
      <c r="AF7" s="1" t="n">
        <f aca="false">IF(AND($N7=1,AND(LEFT(对接源_01水果!$D7,4)="包装物料",N(对接源_01水果!$K7)&lt;&gt;0)),1,0)</f>
        <v>0</v>
      </c>
      <c r="AG7" s="90" t="str">
        <f aca="false">IF(对接源_01水果!$AC7="","",对接源_01水果!$AC7)</f>
        <v/>
      </c>
      <c r="AH7" s="90" t="str">
        <f aca="false">IFERROR(INDEX($AG$4:$AG$1203,MATCH(ROW()-3,$AJ$4:$AJ$1203,0)),"")</f>
        <v>聂新平</v>
      </c>
      <c r="AI7" s="90" t="n">
        <f aca="false">IF(AG7="",0,IF(MATCH(AG7,$AG$4:$AG$1203,0)=ROW()-3,1,0))</f>
        <v>0</v>
      </c>
      <c r="AJ7" s="90" t="n">
        <f aca="false">N(AJ6)+AI7</f>
        <v>0</v>
      </c>
      <c r="AK7" s="1" t="n">
        <f aca="false">N(AK6)+$AJ7</f>
        <v>0</v>
      </c>
    </row>
    <row r="8" customFormat="false" ht="13.5" hidden="false" customHeight="false" outlineLevel="0" collapsed="false">
      <c r="A8" s="1" t="str">
        <f aca="false">IF(对接源_01水果!$C8="","",对接源_01水果!$C8)</f>
        <v>聂新平</v>
      </c>
      <c r="B8" s="1" t="n">
        <f aca="false">IF(A8="",0,IF(MATCH(A8,$A$4:$A$2403,0)=ROW()-3,1,0))</f>
        <v>0</v>
      </c>
      <c r="C8" s="1" t="n">
        <f aca="false">N(C7)+B8</f>
        <v>1</v>
      </c>
      <c r="E8" s="1" t="str">
        <f aca="false">IFERROR(INDEX($A$4:$A$2403,MATCH(ROW()-3,$C$4:$C$2403,0)),"")</f>
        <v>麦麦提</v>
      </c>
      <c r="K8" s="1" t="n">
        <f aca="false">IF(OR($K$1="",对接源_01水果!$C8="",对接源_01水果!$C8&lt;&gt;$K$1,对接源_01水果!$B8=""),0,IF(OR(N(对接源_01水果!$B8)&lt;$K$2,N(对接源_01水果!$B8)&gt;$K$3),0,1))</f>
        <v>0</v>
      </c>
      <c r="L8" s="1" t="n">
        <f aca="false">IF(OR($L$1="",对接源_01水果!$C8="",对接源_01水果!$C8&lt;&gt;$L$1,对接源_01水果!$B8=""),0,IF(OR(N(对接源_01水果!$B8)&lt;$L$2,N(对接源_01水果!$B8)&gt;$L$3),0,1))</f>
        <v>0</v>
      </c>
      <c r="M8" s="1" t="n">
        <f aca="false">IF(OR($M$1="",对接源_01水果!$C8="",对接源_01水果!$C8&lt;&gt;$M$1,对接源_01水果!$B8=""),0,IF(OR(N(对接源_01水果!$B8)&lt;$M$2,N(对接源_01水果!$B8)&gt;$M$3),0,1))</f>
        <v>0</v>
      </c>
      <c r="N8" s="1" t="n">
        <f aca="false">IF(OR($N$1="",对接源_01水果!$C8="",对接源_01水果!$C8&lt;&gt;$N$1,对接源_01水果!$B8=""),0,IF(OR(N(对接源_01水果!$B8)&lt;$N$2,N(对接源_01水果!$B8)&gt;$N$3),0,1))</f>
        <v>0</v>
      </c>
      <c r="P8" s="1" t="n">
        <f aca="false">IF(AND($K8=1,AND(对接源_01水果!$X8="公司筐",N(对接源_01水果!$T8)&lt;&gt;0)),1,0)</f>
        <v>0</v>
      </c>
      <c r="Q8" s="1" t="n">
        <f aca="false">N(Q7)+$P8</f>
        <v>0</v>
      </c>
      <c r="R8" s="1" t="n">
        <f aca="false">IF(AND($K8=1,AND(对接源_01水果!$X8="公司筐",N(对接源_01水果!$U8)&lt;&gt;0)),1,0)</f>
        <v>0</v>
      </c>
      <c r="S8" s="1" t="n">
        <f aca="false">N(S7)+$R8</f>
        <v>0</v>
      </c>
      <c r="T8" s="1" t="n">
        <f aca="false">IF(AND($K8=1,AND(对接源_01水果!$X8="公司筐",N(对接源_01水果!$V8)&lt;&gt;0)),1,0)</f>
        <v>0</v>
      </c>
      <c r="U8" s="1" t="n">
        <f aca="false">N(U7)+$T8</f>
        <v>0</v>
      </c>
      <c r="V8" s="1" t="n">
        <f aca="false">IF(AND($L8=1,AND(对接源_01水果!$X8="自备筐",N(对接源_01水果!$V8)&lt;&gt;0)),1,0)</f>
        <v>0</v>
      </c>
      <c r="W8" s="1" t="n">
        <f aca="false">N(W7)+$V8</f>
        <v>0</v>
      </c>
      <c r="X8" s="1" t="n">
        <f aca="false">IF(AND($L8=1,AND(对接源_01水果!$X8="自备筐",N(对接源_01水果!$T8)&lt;&gt;0)),1,0)</f>
        <v>0</v>
      </c>
      <c r="Y8" s="1" t="n">
        <f aca="false">N(Y7)+$X8</f>
        <v>0</v>
      </c>
      <c r="Z8" s="1" t="n">
        <f aca="false">IF(AND($M8=1,对接源_01水果!$D8="原料入库"),1,0)</f>
        <v>0</v>
      </c>
      <c r="AA8" s="1" t="n">
        <f aca="false">N(AA7)+$Z8</f>
        <v>0</v>
      </c>
      <c r="AB8" s="1" t="n">
        <f aca="false">IF(AND($M8=1,LEFT(对接源_01水果!$D8,4)="原料出库"),1,0)</f>
        <v>0</v>
      </c>
      <c r="AC8" s="1" t="n">
        <f aca="false">N(AC7)+$AB8</f>
        <v>0</v>
      </c>
      <c r="AD8" s="1" t="n">
        <f aca="false">IF(AND($M8=1,LEFT(对接源_01水果!$D8,4)="成品出库"),1,0)</f>
        <v>0</v>
      </c>
      <c r="AE8" s="1" t="n">
        <f aca="false">N(AE7)+$AD8</f>
        <v>0</v>
      </c>
      <c r="AF8" s="1" t="n">
        <f aca="false">IF(AND($N8=1,AND(LEFT(对接源_01水果!$D8,4)="包装物料",N(对接源_01水果!$K8)&lt;&gt;0)),1,0)</f>
        <v>0</v>
      </c>
      <c r="AG8" s="90" t="str">
        <f aca="false">IF(对接源_01水果!$AC8="","",对接源_01水果!$AC8)</f>
        <v/>
      </c>
      <c r="AH8" s="90" t="str">
        <f aca="false">IFERROR(INDEX($AG$4:$AG$1203,MATCH(ROW()-3,$AJ$4:$AJ$1203,0)),"")</f>
        <v/>
      </c>
      <c r="AI8" s="90" t="n">
        <f aca="false">IF(AG8="",0,IF(MATCH(AG8,$AG$4:$AG$1203,0)=ROW()-3,1,0))</f>
        <v>0</v>
      </c>
      <c r="AJ8" s="90" t="n">
        <f aca="false">N(AJ7)+AI8</f>
        <v>0</v>
      </c>
      <c r="AK8" s="1" t="n">
        <f aca="false">N(AK7)+$AJ8</f>
        <v>0</v>
      </c>
    </row>
    <row r="9" customFormat="false" ht="13.5" hidden="false" customHeight="false" outlineLevel="0" collapsed="false">
      <c r="A9" s="1" t="str">
        <f aca="false">IF(对接源_01水果!$C9="","",对接源_01水果!$C9)</f>
        <v>聂新平</v>
      </c>
      <c r="B9" s="1" t="n">
        <f aca="false">IF(A9="",0,IF(MATCH(A9,$A$4:$A$2403,0)=ROW()-3,1,0))</f>
        <v>0</v>
      </c>
      <c r="C9" s="1" t="n">
        <f aca="false">N(C8)+B9</f>
        <v>1</v>
      </c>
      <c r="E9" s="1" t="str">
        <f aca="false">IFERROR(INDEX($A$4:$A$2403,MATCH(ROW()-3,$C$4:$C$2403,0)),"")</f>
        <v>吐尔洪</v>
      </c>
      <c r="K9" s="1" t="n">
        <f aca="false">IF(OR($K$1="",对接源_01水果!$C9="",对接源_01水果!$C9&lt;&gt;$K$1,对接源_01水果!$B9=""),0,IF(OR(N(对接源_01水果!$B9)&lt;$K$2,N(对接源_01水果!$B9)&gt;$K$3),0,1))</f>
        <v>0</v>
      </c>
      <c r="L9" s="1" t="n">
        <f aca="false">IF(OR($L$1="",对接源_01水果!$C9="",对接源_01水果!$C9&lt;&gt;$L$1,对接源_01水果!$B9=""),0,IF(OR(N(对接源_01水果!$B9)&lt;$L$2,N(对接源_01水果!$B9)&gt;$L$3),0,1))</f>
        <v>0</v>
      </c>
      <c r="M9" s="1" t="n">
        <f aca="false">IF(OR($M$1="",对接源_01水果!$C9="",对接源_01水果!$C9&lt;&gt;$M$1,对接源_01水果!$B9=""),0,IF(OR(N(对接源_01水果!$B9)&lt;$M$2,N(对接源_01水果!$B9)&gt;$M$3),0,1))</f>
        <v>0</v>
      </c>
      <c r="N9" s="1" t="n">
        <f aca="false">IF(OR($N$1="",对接源_01水果!$C9="",对接源_01水果!$C9&lt;&gt;$N$1,对接源_01水果!$B9=""),0,IF(OR(N(对接源_01水果!$B9)&lt;$N$2,N(对接源_01水果!$B9)&gt;$N$3),0,1))</f>
        <v>0</v>
      </c>
      <c r="P9" s="1" t="n">
        <f aca="false">IF(AND($K9=1,AND(对接源_01水果!$X9="公司筐",N(对接源_01水果!$T9)&lt;&gt;0)),1,0)</f>
        <v>0</v>
      </c>
      <c r="Q9" s="1" t="n">
        <f aca="false">N(Q8)+$P9</f>
        <v>0</v>
      </c>
      <c r="R9" s="1" t="n">
        <f aca="false">IF(AND($K9=1,AND(对接源_01水果!$X9="公司筐",N(对接源_01水果!$U9)&lt;&gt;0)),1,0)</f>
        <v>0</v>
      </c>
      <c r="S9" s="1" t="n">
        <f aca="false">N(S8)+$R9</f>
        <v>0</v>
      </c>
      <c r="T9" s="1" t="n">
        <f aca="false">IF(AND($K9=1,AND(对接源_01水果!$X9="公司筐",N(对接源_01水果!$V9)&lt;&gt;0)),1,0)</f>
        <v>0</v>
      </c>
      <c r="U9" s="1" t="n">
        <f aca="false">N(U8)+$T9</f>
        <v>0</v>
      </c>
      <c r="V9" s="1" t="n">
        <f aca="false">IF(AND($L9=1,AND(对接源_01水果!$X9="自备筐",N(对接源_01水果!$V9)&lt;&gt;0)),1,0)</f>
        <v>0</v>
      </c>
      <c r="W9" s="1" t="n">
        <f aca="false">N(W8)+$V9</f>
        <v>0</v>
      </c>
      <c r="X9" s="1" t="n">
        <f aca="false">IF(AND($L9=1,AND(对接源_01水果!$X9="自备筐",N(对接源_01水果!$T9)&lt;&gt;0)),1,0)</f>
        <v>0</v>
      </c>
      <c r="Y9" s="1" t="n">
        <f aca="false">N(Y8)+$X9</f>
        <v>0</v>
      </c>
      <c r="Z9" s="1" t="n">
        <f aca="false">IF(AND($M9=1,对接源_01水果!$D9="原料入库"),1,0)</f>
        <v>0</v>
      </c>
      <c r="AA9" s="1" t="n">
        <f aca="false">N(AA8)+$Z9</f>
        <v>0</v>
      </c>
      <c r="AB9" s="1" t="n">
        <f aca="false">IF(AND($M9=1,LEFT(对接源_01水果!$D9,4)="原料出库"),1,0)</f>
        <v>0</v>
      </c>
      <c r="AC9" s="1" t="n">
        <f aca="false">N(AC8)+$AB9</f>
        <v>0</v>
      </c>
      <c r="AD9" s="1" t="n">
        <f aca="false">IF(AND($M9=1,LEFT(对接源_01水果!$D9,4)="成品出库"),1,0)</f>
        <v>0</v>
      </c>
      <c r="AE9" s="1" t="n">
        <f aca="false">N(AE8)+$AD9</f>
        <v>0</v>
      </c>
      <c r="AF9" s="1" t="n">
        <f aca="false">IF(AND($N9=1,AND(LEFT(对接源_01水果!$D9,4)="包装物料",N(对接源_01水果!$K9)&lt;&gt;0)),1,0)</f>
        <v>0</v>
      </c>
      <c r="AG9" s="90" t="str">
        <f aca="false">IF(对接源_01水果!$AC9="","",对接源_01水果!$AC9)</f>
        <v/>
      </c>
      <c r="AH9" s="90" t="str">
        <f aca="false">IFERROR(INDEX($AG$4:$AG$1203,MATCH(ROW()-3,$AJ$4:$AJ$1203,0)),"")</f>
        <v/>
      </c>
      <c r="AI9" s="90" t="n">
        <f aca="false">IF(AG9="",0,IF(MATCH(AG9,$AG$4:$AG$1203,0)=ROW()-3,1,0))</f>
        <v>0</v>
      </c>
      <c r="AJ9" s="90" t="n">
        <f aca="false">N(AJ8)+AI9</f>
        <v>0</v>
      </c>
      <c r="AK9" s="1" t="n">
        <f aca="false">N(AK8)+$AJ9</f>
        <v>0</v>
      </c>
    </row>
    <row r="10" customFormat="false" ht="13.5" hidden="false" customHeight="false" outlineLevel="0" collapsed="false">
      <c r="A10" s="1" t="str">
        <f aca="false">IF(对接源_01水果!$C10="","",对接源_01水果!$C10)</f>
        <v>聂新平</v>
      </c>
      <c r="B10" s="1" t="n">
        <f aca="false">IF(A10="",0,IF(MATCH(A10,$A$4:$A$2403,0)=ROW()-3,1,0))</f>
        <v>0</v>
      </c>
      <c r="C10" s="1" t="n">
        <f aca="false">N(C9)+B10</f>
        <v>1</v>
      </c>
      <c r="E10" s="1" t="str">
        <f aca="false">IFERROR(INDEX($A$4:$A$2403,MATCH(ROW()-3,$C$4:$C$2403,0)),"")</f>
        <v>热合曼</v>
      </c>
      <c r="K10" s="1" t="n">
        <f aca="false">IF(OR($K$1="",对接源_01水果!$C10="",对接源_01水果!$C10&lt;&gt;$K$1,对接源_01水果!$B10=""),0,IF(OR(N(对接源_01水果!$B10)&lt;$K$2,N(对接源_01水果!$B10)&gt;$K$3),0,1))</f>
        <v>0</v>
      </c>
      <c r="L10" s="1" t="n">
        <f aca="false">IF(OR($L$1="",对接源_01水果!$C10="",对接源_01水果!$C10&lt;&gt;$L$1,对接源_01水果!$B10=""),0,IF(OR(N(对接源_01水果!$B10)&lt;$L$2,N(对接源_01水果!$B10)&gt;$L$3),0,1))</f>
        <v>0</v>
      </c>
      <c r="M10" s="1" t="n">
        <f aca="false">IF(OR($M$1="",对接源_01水果!$C10="",对接源_01水果!$C10&lt;&gt;$M$1,对接源_01水果!$B10=""),0,IF(OR(N(对接源_01水果!$B10)&lt;$M$2,N(对接源_01水果!$B10)&gt;$M$3),0,1))</f>
        <v>0</v>
      </c>
      <c r="N10" s="1" t="n">
        <f aca="false">IF(OR($N$1="",对接源_01水果!$C10="",对接源_01水果!$C10&lt;&gt;$N$1,对接源_01水果!$B10=""),0,IF(OR(N(对接源_01水果!$B10)&lt;$N$2,N(对接源_01水果!$B10)&gt;$N$3),0,1))</f>
        <v>0</v>
      </c>
      <c r="P10" s="1" t="n">
        <f aca="false">IF(AND($K10=1,AND(对接源_01水果!$X10="公司筐",N(对接源_01水果!$T10)&lt;&gt;0)),1,0)</f>
        <v>0</v>
      </c>
      <c r="Q10" s="1" t="n">
        <f aca="false">N(Q9)+$P10</f>
        <v>0</v>
      </c>
      <c r="R10" s="1" t="n">
        <f aca="false">IF(AND($K10=1,AND(对接源_01水果!$X10="公司筐",N(对接源_01水果!$U10)&lt;&gt;0)),1,0)</f>
        <v>0</v>
      </c>
      <c r="S10" s="1" t="n">
        <f aca="false">N(S9)+$R10</f>
        <v>0</v>
      </c>
      <c r="T10" s="1" t="n">
        <f aca="false">IF(AND($K10=1,AND(对接源_01水果!$X10="公司筐",N(对接源_01水果!$V10)&lt;&gt;0)),1,0)</f>
        <v>0</v>
      </c>
      <c r="U10" s="1" t="n">
        <f aca="false">N(U9)+$T10</f>
        <v>0</v>
      </c>
      <c r="V10" s="1" t="n">
        <f aca="false">IF(AND($L10=1,AND(对接源_01水果!$X10="自备筐",N(对接源_01水果!$V10)&lt;&gt;0)),1,0)</f>
        <v>0</v>
      </c>
      <c r="W10" s="1" t="n">
        <f aca="false">N(W9)+$V10</f>
        <v>0</v>
      </c>
      <c r="X10" s="1" t="n">
        <f aca="false">IF(AND($L10=1,AND(对接源_01水果!$X10="自备筐",N(对接源_01水果!$T10)&lt;&gt;0)),1,0)</f>
        <v>0</v>
      </c>
      <c r="Y10" s="1" t="n">
        <f aca="false">N(Y9)+$X10</f>
        <v>0</v>
      </c>
      <c r="Z10" s="1" t="n">
        <f aca="false">IF(AND($M10=1,对接源_01水果!$D10="原料入库"),1,0)</f>
        <v>0</v>
      </c>
      <c r="AA10" s="1" t="n">
        <f aca="false">N(AA9)+$Z10</f>
        <v>0</v>
      </c>
      <c r="AB10" s="1" t="n">
        <f aca="false">IF(AND($M10=1,LEFT(对接源_01水果!$D10,4)="原料出库"),1,0)</f>
        <v>0</v>
      </c>
      <c r="AC10" s="1" t="n">
        <f aca="false">N(AC9)+$AB10</f>
        <v>0</v>
      </c>
      <c r="AD10" s="1" t="n">
        <f aca="false">IF(AND($M10=1,LEFT(对接源_01水果!$D10,4)="成品出库"),1,0)</f>
        <v>0</v>
      </c>
      <c r="AE10" s="1" t="n">
        <f aca="false">N(AE9)+$AD10</f>
        <v>0</v>
      </c>
      <c r="AF10" s="1" t="n">
        <f aca="false">IF(AND($N10=1,AND(LEFT(对接源_01水果!$D10,4)="包装物料",N(对接源_01水果!$K10)&lt;&gt;0)),1,0)</f>
        <v>0</v>
      </c>
      <c r="AG10" s="90" t="str">
        <f aca="false">IF(对接源_01水果!$AC10="","",对接源_01水果!$AC10)</f>
        <v/>
      </c>
      <c r="AH10" s="90" t="str">
        <f aca="false">IFERROR(INDEX($AG$4:$AG$1203,MATCH(ROW()-3,$AJ$4:$AJ$1203,0)),"")</f>
        <v/>
      </c>
      <c r="AI10" s="90" t="n">
        <f aca="false">IF(AG10="",0,IF(MATCH(AG10,$AG$4:$AG$1203,0)=ROW()-3,1,0))</f>
        <v>0</v>
      </c>
      <c r="AJ10" s="90" t="n">
        <f aca="false">N(AJ9)+AI10</f>
        <v>0</v>
      </c>
      <c r="AK10" s="1" t="n">
        <f aca="false">N(AK9)+$AJ10</f>
        <v>0</v>
      </c>
    </row>
    <row r="11" customFormat="false" ht="13.5" hidden="false" customHeight="false" outlineLevel="0" collapsed="false">
      <c r="A11" s="1" t="str">
        <f aca="false">IF(对接源_01水果!$C11="","",对接源_01水果!$C11)</f>
        <v>聂新平</v>
      </c>
      <c r="B11" s="1" t="n">
        <f aca="false">IF(A11="",0,IF(MATCH(A11,$A$4:$A$2403,0)=ROW()-3,1,0))</f>
        <v>0</v>
      </c>
      <c r="C11" s="1" t="n">
        <f aca="false">N(C10)+B11</f>
        <v>1</v>
      </c>
      <c r="E11" s="1" t="str">
        <f aca="false">IFERROR(INDEX($A$4:$A$2403,MATCH(ROW()-3,$C$4:$C$2403,0)),"")</f>
        <v>贾建国</v>
      </c>
      <c r="K11" s="1" t="n">
        <f aca="false">IF(OR($K$1="",对接源_01水果!$C11="",对接源_01水果!$C11&lt;&gt;$K$1,对接源_01水果!$B11=""),0,IF(OR(N(对接源_01水果!$B11)&lt;$K$2,N(对接源_01水果!$B11)&gt;$K$3),0,1))</f>
        <v>0</v>
      </c>
      <c r="L11" s="1" t="n">
        <f aca="false">IF(OR($L$1="",对接源_01水果!$C11="",对接源_01水果!$C11&lt;&gt;$L$1,对接源_01水果!$B11=""),0,IF(OR(N(对接源_01水果!$B11)&lt;$L$2,N(对接源_01水果!$B11)&gt;$L$3),0,1))</f>
        <v>0</v>
      </c>
      <c r="M11" s="1" t="n">
        <f aca="false">IF(OR($M$1="",对接源_01水果!$C11="",对接源_01水果!$C11&lt;&gt;$M$1,对接源_01水果!$B11=""),0,IF(OR(N(对接源_01水果!$B11)&lt;$M$2,N(对接源_01水果!$B11)&gt;$M$3),0,1))</f>
        <v>0</v>
      </c>
      <c r="N11" s="1" t="n">
        <f aca="false">IF(OR($N$1="",对接源_01水果!$C11="",对接源_01水果!$C11&lt;&gt;$N$1,对接源_01水果!$B11=""),0,IF(OR(N(对接源_01水果!$B11)&lt;$N$2,N(对接源_01水果!$B11)&gt;$N$3),0,1))</f>
        <v>0</v>
      </c>
      <c r="P11" s="1" t="n">
        <f aca="false">IF(AND($K11=1,AND(对接源_01水果!$X11="公司筐",N(对接源_01水果!$T11)&lt;&gt;0)),1,0)</f>
        <v>0</v>
      </c>
      <c r="Q11" s="1" t="n">
        <f aca="false">N(Q10)+$P11</f>
        <v>0</v>
      </c>
      <c r="R11" s="1" t="n">
        <f aca="false">IF(AND($K11=1,AND(对接源_01水果!$X11="公司筐",N(对接源_01水果!$U11)&lt;&gt;0)),1,0)</f>
        <v>0</v>
      </c>
      <c r="S11" s="1" t="n">
        <f aca="false">N(S10)+$R11</f>
        <v>0</v>
      </c>
      <c r="T11" s="1" t="n">
        <f aca="false">IF(AND($K11=1,AND(对接源_01水果!$X11="公司筐",N(对接源_01水果!$V11)&lt;&gt;0)),1,0)</f>
        <v>0</v>
      </c>
      <c r="U11" s="1" t="n">
        <f aca="false">N(U10)+$T11</f>
        <v>0</v>
      </c>
      <c r="V11" s="1" t="n">
        <f aca="false">IF(AND($L11=1,AND(对接源_01水果!$X11="自备筐",N(对接源_01水果!$V11)&lt;&gt;0)),1,0)</f>
        <v>0</v>
      </c>
      <c r="W11" s="1" t="n">
        <f aca="false">N(W10)+$V11</f>
        <v>0</v>
      </c>
      <c r="X11" s="1" t="n">
        <f aca="false">IF(AND($L11=1,AND(对接源_01水果!$X11="自备筐",N(对接源_01水果!$T11)&lt;&gt;0)),1,0)</f>
        <v>0</v>
      </c>
      <c r="Y11" s="1" t="n">
        <f aca="false">N(Y10)+$X11</f>
        <v>0</v>
      </c>
      <c r="Z11" s="1" t="n">
        <f aca="false">IF(AND($M11=1,对接源_01水果!$D11="原料入库"),1,0)</f>
        <v>0</v>
      </c>
      <c r="AA11" s="1" t="n">
        <f aca="false">N(AA10)+$Z11</f>
        <v>0</v>
      </c>
      <c r="AB11" s="1" t="n">
        <f aca="false">IF(AND($M11=1,LEFT(对接源_01水果!$D11,4)="原料出库"),1,0)</f>
        <v>0</v>
      </c>
      <c r="AC11" s="1" t="n">
        <f aca="false">N(AC10)+$AB11</f>
        <v>0</v>
      </c>
      <c r="AD11" s="1" t="n">
        <f aca="false">IF(AND($M11=1,LEFT(对接源_01水果!$D11,4)="成品出库"),1,0)</f>
        <v>0</v>
      </c>
      <c r="AE11" s="1" t="n">
        <f aca="false">N(AE10)+$AD11</f>
        <v>0</v>
      </c>
      <c r="AF11" s="1" t="n">
        <f aca="false">IF(AND($N11=1,AND(LEFT(对接源_01水果!$D11,4)="包装物料",N(对接源_01水果!$K11)&lt;&gt;0)),1,0)</f>
        <v>0</v>
      </c>
      <c r="AG11" s="90" t="str">
        <f aca="false">IF(对接源_01水果!$AC11="","",对接源_01水果!$AC11)</f>
        <v/>
      </c>
      <c r="AH11" s="90" t="str">
        <f aca="false">IFERROR(INDEX($AG$4:$AG$1203,MATCH(ROW()-3,$AJ$4:$AJ$1203,0)),"")</f>
        <v/>
      </c>
      <c r="AI11" s="90" t="n">
        <f aca="false">IF(AG11="",0,IF(MATCH(AG11,$AG$4:$AG$1203,0)=ROW()-3,1,0))</f>
        <v>0</v>
      </c>
      <c r="AJ11" s="90" t="n">
        <f aca="false">N(AJ10)+AI11</f>
        <v>0</v>
      </c>
      <c r="AK11" s="1" t="n">
        <f aca="false">N(AK10)+$AJ11</f>
        <v>0</v>
      </c>
    </row>
    <row r="12" customFormat="false" ht="13.5" hidden="false" customHeight="false" outlineLevel="0" collapsed="false">
      <c r="A12" s="1" t="str">
        <f aca="false">IF(对接源_01水果!$C12="","",对接源_01水果!$C12)</f>
        <v>聂新平</v>
      </c>
      <c r="B12" s="1" t="n">
        <f aca="false">IF(A12="",0,IF(MATCH(A12,$A$4:$A$2403,0)=ROW()-3,1,0))</f>
        <v>0</v>
      </c>
      <c r="C12" s="1" t="n">
        <f aca="false">N(C11)+B12</f>
        <v>1</v>
      </c>
      <c r="E12" s="1" t="str">
        <f aca="false">IFERROR(INDEX($A$4:$A$2403,MATCH(ROW()-3,$C$4:$C$2403,0)),"")</f>
        <v>王灵云</v>
      </c>
      <c r="K12" s="1" t="n">
        <f aca="false">IF(OR($K$1="",对接源_01水果!$C12="",对接源_01水果!$C12&lt;&gt;$K$1,对接源_01水果!$B12=""),0,IF(OR(N(对接源_01水果!$B12)&lt;$K$2,N(对接源_01水果!$B12)&gt;$K$3),0,1))</f>
        <v>0</v>
      </c>
      <c r="L12" s="1" t="n">
        <f aca="false">IF(OR($L$1="",对接源_01水果!$C12="",对接源_01水果!$C12&lt;&gt;$L$1,对接源_01水果!$B12=""),0,IF(OR(N(对接源_01水果!$B12)&lt;$L$2,N(对接源_01水果!$B12)&gt;$L$3),0,1))</f>
        <v>0</v>
      </c>
      <c r="M12" s="1" t="n">
        <f aca="false">IF(OR($M$1="",对接源_01水果!$C12="",对接源_01水果!$C12&lt;&gt;$M$1,对接源_01水果!$B12=""),0,IF(OR(N(对接源_01水果!$B12)&lt;$M$2,N(对接源_01水果!$B12)&gt;$M$3),0,1))</f>
        <v>0</v>
      </c>
      <c r="N12" s="1" t="n">
        <f aca="false">IF(OR($N$1="",对接源_01水果!$C12="",对接源_01水果!$C12&lt;&gt;$N$1,对接源_01水果!$B12=""),0,IF(OR(N(对接源_01水果!$B12)&lt;$N$2,N(对接源_01水果!$B12)&gt;$N$3),0,1))</f>
        <v>0</v>
      </c>
      <c r="P12" s="1" t="n">
        <f aca="false">IF(AND($K12=1,AND(对接源_01水果!$X12="公司筐",N(对接源_01水果!$T12)&lt;&gt;0)),1,0)</f>
        <v>0</v>
      </c>
      <c r="Q12" s="1" t="n">
        <f aca="false">N(Q11)+$P12</f>
        <v>0</v>
      </c>
      <c r="R12" s="1" t="n">
        <f aca="false">IF(AND($K12=1,AND(对接源_01水果!$X12="公司筐",N(对接源_01水果!$U12)&lt;&gt;0)),1,0)</f>
        <v>0</v>
      </c>
      <c r="S12" s="1" t="n">
        <f aca="false">N(S11)+$R12</f>
        <v>0</v>
      </c>
      <c r="T12" s="1" t="n">
        <f aca="false">IF(AND($K12=1,AND(对接源_01水果!$X12="公司筐",N(对接源_01水果!$V12)&lt;&gt;0)),1,0)</f>
        <v>0</v>
      </c>
      <c r="U12" s="1" t="n">
        <f aca="false">N(U11)+$T12</f>
        <v>0</v>
      </c>
      <c r="V12" s="1" t="n">
        <f aca="false">IF(AND($L12=1,AND(对接源_01水果!$X12="自备筐",N(对接源_01水果!$V12)&lt;&gt;0)),1,0)</f>
        <v>0</v>
      </c>
      <c r="W12" s="1" t="n">
        <f aca="false">N(W11)+$V12</f>
        <v>0</v>
      </c>
      <c r="X12" s="1" t="n">
        <f aca="false">IF(AND($L12=1,AND(对接源_01水果!$X12="自备筐",N(对接源_01水果!$T12)&lt;&gt;0)),1,0)</f>
        <v>0</v>
      </c>
      <c r="Y12" s="1" t="n">
        <f aca="false">N(Y11)+$X12</f>
        <v>0</v>
      </c>
      <c r="Z12" s="1" t="n">
        <f aca="false">IF(AND($M12=1,对接源_01水果!$D12="原料入库"),1,0)</f>
        <v>0</v>
      </c>
      <c r="AA12" s="1" t="n">
        <f aca="false">N(AA11)+$Z12</f>
        <v>0</v>
      </c>
      <c r="AB12" s="1" t="n">
        <f aca="false">IF(AND($M12=1,LEFT(对接源_01水果!$D12,4)="原料出库"),1,0)</f>
        <v>0</v>
      </c>
      <c r="AC12" s="1" t="n">
        <f aca="false">N(AC11)+$AB12</f>
        <v>0</v>
      </c>
      <c r="AD12" s="1" t="n">
        <f aca="false">IF(AND($M12=1,LEFT(对接源_01水果!$D12,4)="成品出库"),1,0)</f>
        <v>0</v>
      </c>
      <c r="AE12" s="1" t="n">
        <f aca="false">N(AE11)+$AD12</f>
        <v>0</v>
      </c>
      <c r="AF12" s="1" t="n">
        <f aca="false">IF(AND($N12=1,AND(LEFT(对接源_01水果!$D12,4)="包装物料",N(对接源_01水果!$K12)&lt;&gt;0)),1,0)</f>
        <v>0</v>
      </c>
      <c r="AG12" s="90" t="str">
        <f aca="false">IF(对接源_01水果!$AC12="","",对接源_01水果!$AC12)</f>
        <v/>
      </c>
      <c r="AH12" s="90" t="str">
        <f aca="false">IFERROR(INDEX($AG$4:$AG$1203,MATCH(ROW()-3,$AJ$4:$AJ$1203,0)),"")</f>
        <v/>
      </c>
      <c r="AI12" s="90" t="n">
        <f aca="false">IF(AG12="",0,IF(MATCH(AG12,$AG$4:$AG$1203,0)=ROW()-3,1,0))</f>
        <v>0</v>
      </c>
      <c r="AJ12" s="90" t="n">
        <f aca="false">N(AJ11)+AI12</f>
        <v>0</v>
      </c>
      <c r="AK12" s="1" t="n">
        <f aca="false">N(AK11)+$AJ12</f>
        <v>0</v>
      </c>
    </row>
    <row r="13" customFormat="false" ht="13.5" hidden="false" customHeight="false" outlineLevel="0" collapsed="false">
      <c r="A13" s="1" t="str">
        <f aca="false">IF(对接源_01水果!$C13="","",对接源_01水果!$C13)</f>
        <v>聂新平</v>
      </c>
      <c r="B13" s="1" t="n">
        <f aca="false">IF(A13="",0,IF(MATCH(A13,$A$4:$A$2403,0)=ROW()-3,1,0))</f>
        <v>0</v>
      </c>
      <c r="C13" s="1" t="n">
        <f aca="false">N(C12)+B13</f>
        <v>1</v>
      </c>
      <c r="E13" s="1" t="str">
        <f aca="false">IFERROR(INDEX($A$4:$A$2403,MATCH(ROW()-3,$C$4:$C$2403,0)),"")</f>
        <v>杨艳玲</v>
      </c>
      <c r="K13" s="1" t="n">
        <f aca="false">IF(OR($K$1="",对接源_01水果!$C13="",对接源_01水果!$C13&lt;&gt;$K$1,对接源_01水果!$B13=""),0,IF(OR(N(对接源_01水果!$B13)&lt;$K$2,N(对接源_01水果!$B13)&gt;$K$3),0,1))</f>
        <v>0</v>
      </c>
      <c r="L13" s="1" t="n">
        <f aca="false">IF(OR($L$1="",对接源_01水果!$C13="",对接源_01水果!$C13&lt;&gt;$L$1,对接源_01水果!$B13=""),0,IF(OR(N(对接源_01水果!$B13)&lt;$L$2,N(对接源_01水果!$B13)&gt;$L$3),0,1))</f>
        <v>0</v>
      </c>
      <c r="M13" s="1" t="n">
        <f aca="false">IF(OR($M$1="",对接源_01水果!$C13="",对接源_01水果!$C13&lt;&gt;$M$1,对接源_01水果!$B13=""),0,IF(OR(N(对接源_01水果!$B13)&lt;$M$2,N(对接源_01水果!$B13)&gt;$M$3),0,1))</f>
        <v>0</v>
      </c>
      <c r="N13" s="1" t="n">
        <f aca="false">IF(OR($N$1="",对接源_01水果!$C13="",对接源_01水果!$C13&lt;&gt;$N$1,对接源_01水果!$B13=""),0,IF(OR(N(对接源_01水果!$B13)&lt;$N$2,N(对接源_01水果!$B13)&gt;$N$3),0,1))</f>
        <v>0</v>
      </c>
      <c r="P13" s="1" t="n">
        <f aca="false">IF(AND($K13=1,AND(对接源_01水果!$X13="公司筐",N(对接源_01水果!$T13)&lt;&gt;0)),1,0)</f>
        <v>0</v>
      </c>
      <c r="Q13" s="1" t="n">
        <f aca="false">N(Q12)+$P13</f>
        <v>0</v>
      </c>
      <c r="R13" s="1" t="n">
        <f aca="false">IF(AND($K13=1,AND(对接源_01水果!$X13="公司筐",N(对接源_01水果!$U13)&lt;&gt;0)),1,0)</f>
        <v>0</v>
      </c>
      <c r="S13" s="1" t="n">
        <f aca="false">N(S12)+$R13</f>
        <v>0</v>
      </c>
      <c r="T13" s="1" t="n">
        <f aca="false">IF(AND($K13=1,AND(对接源_01水果!$X13="公司筐",N(对接源_01水果!$V13)&lt;&gt;0)),1,0)</f>
        <v>0</v>
      </c>
      <c r="U13" s="1" t="n">
        <f aca="false">N(U12)+$T13</f>
        <v>0</v>
      </c>
      <c r="V13" s="1" t="n">
        <f aca="false">IF(AND($L13=1,AND(对接源_01水果!$X13="自备筐",N(对接源_01水果!$V13)&lt;&gt;0)),1,0)</f>
        <v>0</v>
      </c>
      <c r="W13" s="1" t="n">
        <f aca="false">N(W12)+$V13</f>
        <v>0</v>
      </c>
      <c r="X13" s="1" t="n">
        <f aca="false">IF(AND($L13=1,AND(对接源_01水果!$X13="自备筐",N(对接源_01水果!$T13)&lt;&gt;0)),1,0)</f>
        <v>0</v>
      </c>
      <c r="Y13" s="1" t="n">
        <f aca="false">N(Y12)+$X13</f>
        <v>0</v>
      </c>
      <c r="Z13" s="1" t="n">
        <f aca="false">IF(AND($M13=1,对接源_01水果!$D13="原料入库"),1,0)</f>
        <v>0</v>
      </c>
      <c r="AA13" s="1" t="n">
        <f aca="false">N(AA12)+$Z13</f>
        <v>0</v>
      </c>
      <c r="AB13" s="1" t="n">
        <f aca="false">IF(AND($M13=1,LEFT(对接源_01水果!$D13,4)="原料出库"),1,0)</f>
        <v>0</v>
      </c>
      <c r="AC13" s="1" t="n">
        <f aca="false">N(AC12)+$AB13</f>
        <v>0</v>
      </c>
      <c r="AD13" s="1" t="n">
        <f aca="false">IF(AND($M13=1,LEFT(对接源_01水果!$D13,4)="成品出库"),1,0)</f>
        <v>0</v>
      </c>
      <c r="AE13" s="1" t="n">
        <f aca="false">N(AE12)+$AD13</f>
        <v>0</v>
      </c>
      <c r="AF13" s="1" t="n">
        <f aca="false">IF(AND($N13=1,AND(LEFT(对接源_01水果!$D13,4)="包装物料",N(对接源_01水果!$K13)&lt;&gt;0)),1,0)</f>
        <v>0</v>
      </c>
      <c r="AG13" s="90" t="str">
        <f aca="false">IF(对接源_01水果!$AC13="","",对接源_01水果!$AC13)</f>
        <v/>
      </c>
      <c r="AH13" s="90" t="str">
        <f aca="false">IFERROR(INDEX($AG$4:$AG$1203,MATCH(ROW()-3,$AJ$4:$AJ$1203,0)),"")</f>
        <v/>
      </c>
      <c r="AI13" s="90" t="n">
        <f aca="false">IF(AG13="",0,IF(MATCH(AG13,$AG$4:$AG$1203,0)=ROW()-3,1,0))</f>
        <v>0</v>
      </c>
      <c r="AJ13" s="90" t="n">
        <f aca="false">N(AJ12)+AI13</f>
        <v>0</v>
      </c>
      <c r="AK13" s="1" t="n">
        <f aca="false">N(AK12)+$AJ13</f>
        <v>0</v>
      </c>
    </row>
    <row r="14" customFormat="false" ht="13.5" hidden="false" customHeight="false" outlineLevel="0" collapsed="false">
      <c r="A14" s="1" t="str">
        <f aca="false">IF(对接源_01水果!$C14="","",对接源_01水果!$C14)</f>
        <v>聂新平</v>
      </c>
      <c r="B14" s="1" t="n">
        <f aca="false">IF(A14="",0,IF(MATCH(A14,$A$4:$A$2403,0)=ROW()-3,1,0))</f>
        <v>0</v>
      </c>
      <c r="C14" s="1" t="n">
        <f aca="false">N(C13)+B14</f>
        <v>1</v>
      </c>
      <c r="E14" s="1" t="str">
        <f aca="false">IFERROR(INDEX($A$4:$A$2403,MATCH(ROW()-3,$C$4:$C$2403,0)),"")</f>
        <v>荆建君</v>
      </c>
      <c r="K14" s="1" t="n">
        <f aca="false">IF(OR($K$1="",对接源_01水果!$C14="",对接源_01水果!$C14&lt;&gt;$K$1,对接源_01水果!$B14=""),0,IF(OR(N(对接源_01水果!$B14)&lt;$K$2,N(对接源_01水果!$B14)&gt;$K$3),0,1))</f>
        <v>0</v>
      </c>
      <c r="L14" s="1" t="n">
        <f aca="false">IF(OR($L$1="",对接源_01水果!$C14="",对接源_01水果!$C14&lt;&gt;$L$1,对接源_01水果!$B14=""),0,IF(OR(N(对接源_01水果!$B14)&lt;$L$2,N(对接源_01水果!$B14)&gt;$L$3),0,1))</f>
        <v>0</v>
      </c>
      <c r="M14" s="1" t="n">
        <f aca="false">IF(OR($M$1="",对接源_01水果!$C14="",对接源_01水果!$C14&lt;&gt;$M$1,对接源_01水果!$B14=""),0,IF(OR(N(对接源_01水果!$B14)&lt;$M$2,N(对接源_01水果!$B14)&gt;$M$3),0,1))</f>
        <v>0</v>
      </c>
      <c r="N14" s="1" t="n">
        <f aca="false">IF(OR($N$1="",对接源_01水果!$C14="",对接源_01水果!$C14&lt;&gt;$N$1,对接源_01水果!$B14=""),0,IF(OR(N(对接源_01水果!$B14)&lt;$N$2,N(对接源_01水果!$B14)&gt;$N$3),0,1))</f>
        <v>0</v>
      </c>
      <c r="P14" s="1" t="n">
        <f aca="false">IF(AND($K14=1,AND(对接源_01水果!$X14="公司筐",N(对接源_01水果!$T14)&lt;&gt;0)),1,0)</f>
        <v>0</v>
      </c>
      <c r="Q14" s="1" t="n">
        <f aca="false">N(Q13)+$P14</f>
        <v>0</v>
      </c>
      <c r="R14" s="1" t="n">
        <f aca="false">IF(AND($K14=1,AND(对接源_01水果!$X14="公司筐",N(对接源_01水果!$U14)&lt;&gt;0)),1,0)</f>
        <v>0</v>
      </c>
      <c r="S14" s="1" t="n">
        <f aca="false">N(S13)+$R14</f>
        <v>0</v>
      </c>
      <c r="T14" s="1" t="n">
        <f aca="false">IF(AND($K14=1,AND(对接源_01水果!$X14="公司筐",N(对接源_01水果!$V14)&lt;&gt;0)),1,0)</f>
        <v>0</v>
      </c>
      <c r="U14" s="1" t="n">
        <f aca="false">N(U13)+$T14</f>
        <v>0</v>
      </c>
      <c r="V14" s="1" t="n">
        <f aca="false">IF(AND($L14=1,AND(对接源_01水果!$X14="自备筐",N(对接源_01水果!$V14)&lt;&gt;0)),1,0)</f>
        <v>0</v>
      </c>
      <c r="W14" s="1" t="n">
        <f aca="false">N(W13)+$V14</f>
        <v>0</v>
      </c>
      <c r="X14" s="1" t="n">
        <f aca="false">IF(AND($L14=1,AND(对接源_01水果!$X14="自备筐",N(对接源_01水果!$T14)&lt;&gt;0)),1,0)</f>
        <v>0</v>
      </c>
      <c r="Y14" s="1" t="n">
        <f aca="false">N(Y13)+$X14</f>
        <v>0</v>
      </c>
      <c r="Z14" s="1" t="n">
        <f aca="false">IF(AND($M14=1,对接源_01水果!$D14="原料入库"),1,0)</f>
        <v>0</v>
      </c>
      <c r="AA14" s="1" t="n">
        <f aca="false">N(AA13)+$Z14</f>
        <v>0</v>
      </c>
      <c r="AB14" s="1" t="n">
        <f aca="false">IF(AND($M14=1,LEFT(对接源_01水果!$D14,4)="原料出库"),1,0)</f>
        <v>0</v>
      </c>
      <c r="AC14" s="1" t="n">
        <f aca="false">N(AC13)+$AB14</f>
        <v>0</v>
      </c>
      <c r="AD14" s="1" t="n">
        <f aca="false">IF(AND($M14=1,LEFT(对接源_01水果!$D14,4)="成品出库"),1,0)</f>
        <v>0</v>
      </c>
      <c r="AE14" s="1" t="n">
        <f aca="false">N(AE13)+$AD14</f>
        <v>0</v>
      </c>
      <c r="AF14" s="1" t="n">
        <f aca="false">IF(AND($N14=1,AND(LEFT(对接源_01水果!$D14,4)="包装物料",N(对接源_01水果!$K14)&lt;&gt;0)),1,0)</f>
        <v>0</v>
      </c>
      <c r="AG14" s="90" t="str">
        <f aca="false">IF(对接源_01水果!$AC14="","",对接源_01水果!$AC14)</f>
        <v/>
      </c>
      <c r="AH14" s="90" t="str">
        <f aca="false">IFERROR(INDEX($AG$4:$AG$1203,MATCH(ROW()-3,$AJ$4:$AJ$1203,0)),"")</f>
        <v/>
      </c>
      <c r="AI14" s="90" t="n">
        <f aca="false">IF(AG14="",0,IF(MATCH(AG14,$AG$4:$AG$1203,0)=ROW()-3,1,0))</f>
        <v>0</v>
      </c>
      <c r="AJ14" s="90" t="n">
        <f aca="false">N(AJ13)+AI14</f>
        <v>0</v>
      </c>
      <c r="AK14" s="1" t="n">
        <f aca="false">N(AK13)+$AJ14</f>
        <v>0</v>
      </c>
    </row>
    <row r="15" customFormat="false" ht="13.5" hidden="false" customHeight="false" outlineLevel="0" collapsed="false">
      <c r="A15" s="1" t="str">
        <f aca="false">IF(对接源_01水果!$C15="","",对接源_01水果!$C15)</f>
        <v>聂新平</v>
      </c>
      <c r="B15" s="1" t="n">
        <f aca="false">IF(A15="",0,IF(MATCH(A15,$A$4:$A$2403,0)=ROW()-3,1,0))</f>
        <v>0</v>
      </c>
      <c r="C15" s="1" t="n">
        <f aca="false">N(C14)+B15</f>
        <v>1</v>
      </c>
      <c r="E15" s="1" t="str">
        <f aca="false">IFERROR(INDEX($A$4:$A$2403,MATCH(ROW()-3,$C$4:$C$2403,0)),"")</f>
        <v>努尔敦</v>
      </c>
      <c r="K15" s="1" t="n">
        <f aca="false">IF(OR($K$1="",对接源_01水果!$C15="",对接源_01水果!$C15&lt;&gt;$K$1,对接源_01水果!$B15=""),0,IF(OR(N(对接源_01水果!$B15)&lt;$K$2,N(对接源_01水果!$B15)&gt;$K$3),0,1))</f>
        <v>0</v>
      </c>
      <c r="L15" s="1" t="n">
        <f aca="false">IF(OR($L$1="",对接源_01水果!$C15="",对接源_01水果!$C15&lt;&gt;$L$1,对接源_01水果!$B15=""),0,IF(OR(N(对接源_01水果!$B15)&lt;$L$2,N(对接源_01水果!$B15)&gt;$L$3),0,1))</f>
        <v>0</v>
      </c>
      <c r="M15" s="1" t="n">
        <f aca="false">IF(OR($M$1="",对接源_01水果!$C15="",对接源_01水果!$C15&lt;&gt;$M$1,对接源_01水果!$B15=""),0,IF(OR(N(对接源_01水果!$B15)&lt;$M$2,N(对接源_01水果!$B15)&gt;$M$3),0,1))</f>
        <v>0</v>
      </c>
      <c r="N15" s="1" t="n">
        <f aca="false">IF(OR($N$1="",对接源_01水果!$C15="",对接源_01水果!$C15&lt;&gt;$N$1,对接源_01水果!$B15=""),0,IF(OR(N(对接源_01水果!$B15)&lt;$N$2,N(对接源_01水果!$B15)&gt;$N$3),0,1))</f>
        <v>0</v>
      </c>
      <c r="P15" s="1" t="n">
        <f aca="false">IF(AND($K15=1,AND(对接源_01水果!$X15="公司筐",N(对接源_01水果!$T15)&lt;&gt;0)),1,0)</f>
        <v>0</v>
      </c>
      <c r="Q15" s="1" t="n">
        <f aca="false">N(Q14)+$P15</f>
        <v>0</v>
      </c>
      <c r="R15" s="1" t="n">
        <f aca="false">IF(AND($K15=1,AND(对接源_01水果!$X15="公司筐",N(对接源_01水果!$U15)&lt;&gt;0)),1,0)</f>
        <v>0</v>
      </c>
      <c r="S15" s="1" t="n">
        <f aca="false">N(S14)+$R15</f>
        <v>0</v>
      </c>
      <c r="T15" s="1" t="n">
        <f aca="false">IF(AND($K15=1,AND(对接源_01水果!$X15="公司筐",N(对接源_01水果!$V15)&lt;&gt;0)),1,0)</f>
        <v>0</v>
      </c>
      <c r="U15" s="1" t="n">
        <f aca="false">N(U14)+$T15</f>
        <v>0</v>
      </c>
      <c r="V15" s="1" t="n">
        <f aca="false">IF(AND($L15=1,AND(对接源_01水果!$X15="自备筐",N(对接源_01水果!$V15)&lt;&gt;0)),1,0)</f>
        <v>0</v>
      </c>
      <c r="W15" s="1" t="n">
        <f aca="false">N(W14)+$V15</f>
        <v>0</v>
      </c>
      <c r="X15" s="1" t="n">
        <f aca="false">IF(AND($L15=1,AND(对接源_01水果!$X15="自备筐",N(对接源_01水果!$T15)&lt;&gt;0)),1,0)</f>
        <v>0</v>
      </c>
      <c r="Y15" s="1" t="n">
        <f aca="false">N(Y14)+$X15</f>
        <v>0</v>
      </c>
      <c r="Z15" s="1" t="n">
        <f aca="false">IF(AND($M15=1,对接源_01水果!$D15="原料入库"),1,0)</f>
        <v>0</v>
      </c>
      <c r="AA15" s="1" t="n">
        <f aca="false">N(AA14)+$Z15</f>
        <v>0</v>
      </c>
      <c r="AB15" s="1" t="n">
        <f aca="false">IF(AND($M15=1,LEFT(对接源_01水果!$D15,4)="原料出库"),1,0)</f>
        <v>0</v>
      </c>
      <c r="AC15" s="1" t="n">
        <f aca="false">N(AC14)+$AB15</f>
        <v>0</v>
      </c>
      <c r="AD15" s="1" t="n">
        <f aca="false">IF(AND($M15=1,LEFT(对接源_01水果!$D15,4)="成品出库"),1,0)</f>
        <v>0</v>
      </c>
      <c r="AE15" s="1" t="n">
        <f aca="false">N(AE14)+$AD15</f>
        <v>0</v>
      </c>
      <c r="AF15" s="1" t="n">
        <f aca="false">IF(AND($N15=1,AND(LEFT(对接源_01水果!$D15,4)="包装物料",N(对接源_01水果!$K15)&lt;&gt;0)),1,0)</f>
        <v>0</v>
      </c>
      <c r="AG15" s="90" t="str">
        <f aca="false">IF(对接源_01水果!$AC15="","",对接源_01水果!$AC15)</f>
        <v/>
      </c>
      <c r="AH15" s="90" t="str">
        <f aca="false">IFERROR(INDEX($AG$4:$AG$1203,MATCH(ROW()-3,$AJ$4:$AJ$1203,0)),"")</f>
        <v/>
      </c>
      <c r="AI15" s="90" t="n">
        <f aca="false">IF(AG15="",0,IF(MATCH(AG15,$AG$4:$AG$1203,0)=ROW()-3,1,0))</f>
        <v>0</v>
      </c>
      <c r="AJ15" s="90" t="n">
        <f aca="false">N(AJ14)+AI15</f>
        <v>0</v>
      </c>
      <c r="AK15" s="1" t="n">
        <f aca="false">N(AK14)+$AJ15</f>
        <v>0</v>
      </c>
    </row>
    <row r="16" customFormat="false" ht="13.5" hidden="false" customHeight="false" outlineLevel="0" collapsed="false">
      <c r="A16" s="1" t="str">
        <f aca="false">IF(对接源_01水果!$C16="","",对接源_01水果!$C16)</f>
        <v>聂新平</v>
      </c>
      <c r="B16" s="1" t="n">
        <f aca="false">IF(A16="",0,IF(MATCH(A16,$A$4:$A$2403,0)=ROW()-3,1,0))</f>
        <v>0</v>
      </c>
      <c r="C16" s="1" t="n">
        <f aca="false">N(C15)+B16</f>
        <v>1</v>
      </c>
      <c r="E16" s="1" t="str">
        <f aca="false">IFERROR(INDEX($A$4:$A$2403,MATCH(ROW()-3,$C$4:$C$2403,0)),"")</f>
        <v>王浩</v>
      </c>
      <c r="K16" s="1" t="n">
        <f aca="false">IF(OR($K$1="",对接源_01水果!$C16="",对接源_01水果!$C16&lt;&gt;$K$1,对接源_01水果!$B16=""),0,IF(OR(N(对接源_01水果!$B16)&lt;$K$2,N(对接源_01水果!$B16)&gt;$K$3),0,1))</f>
        <v>0</v>
      </c>
      <c r="L16" s="1" t="n">
        <f aca="false">IF(OR($L$1="",对接源_01水果!$C16="",对接源_01水果!$C16&lt;&gt;$L$1,对接源_01水果!$B16=""),0,IF(OR(N(对接源_01水果!$B16)&lt;$L$2,N(对接源_01水果!$B16)&gt;$L$3),0,1))</f>
        <v>0</v>
      </c>
      <c r="M16" s="1" t="n">
        <f aca="false">IF(OR($M$1="",对接源_01水果!$C16="",对接源_01水果!$C16&lt;&gt;$M$1,对接源_01水果!$B16=""),0,IF(OR(N(对接源_01水果!$B16)&lt;$M$2,N(对接源_01水果!$B16)&gt;$M$3),0,1))</f>
        <v>0</v>
      </c>
      <c r="N16" s="1" t="n">
        <f aca="false">IF(OR($N$1="",对接源_01水果!$C16="",对接源_01水果!$C16&lt;&gt;$N$1,对接源_01水果!$B16=""),0,IF(OR(N(对接源_01水果!$B16)&lt;$N$2,N(对接源_01水果!$B16)&gt;$N$3),0,1))</f>
        <v>0</v>
      </c>
      <c r="P16" s="1" t="n">
        <f aca="false">IF(AND($K16=1,AND(对接源_01水果!$X16="公司筐",N(对接源_01水果!$T16)&lt;&gt;0)),1,0)</f>
        <v>0</v>
      </c>
      <c r="Q16" s="1" t="n">
        <f aca="false">N(Q15)+$P16</f>
        <v>0</v>
      </c>
      <c r="R16" s="1" t="n">
        <f aca="false">IF(AND($K16=1,AND(对接源_01水果!$X16="公司筐",N(对接源_01水果!$U16)&lt;&gt;0)),1,0)</f>
        <v>0</v>
      </c>
      <c r="S16" s="1" t="n">
        <f aca="false">N(S15)+$R16</f>
        <v>0</v>
      </c>
      <c r="T16" s="1" t="n">
        <f aca="false">IF(AND($K16=1,AND(对接源_01水果!$X16="公司筐",N(对接源_01水果!$V16)&lt;&gt;0)),1,0)</f>
        <v>0</v>
      </c>
      <c r="U16" s="1" t="n">
        <f aca="false">N(U15)+$T16</f>
        <v>0</v>
      </c>
      <c r="V16" s="1" t="n">
        <f aca="false">IF(AND($L16=1,AND(对接源_01水果!$X16="自备筐",N(对接源_01水果!$V16)&lt;&gt;0)),1,0)</f>
        <v>0</v>
      </c>
      <c r="W16" s="1" t="n">
        <f aca="false">N(W15)+$V16</f>
        <v>0</v>
      </c>
      <c r="X16" s="1" t="n">
        <f aca="false">IF(AND($L16=1,AND(对接源_01水果!$X16="自备筐",N(对接源_01水果!$T16)&lt;&gt;0)),1,0)</f>
        <v>0</v>
      </c>
      <c r="Y16" s="1" t="n">
        <f aca="false">N(Y15)+$X16</f>
        <v>0</v>
      </c>
      <c r="Z16" s="1" t="n">
        <f aca="false">IF(AND($M16=1,对接源_01水果!$D16="原料入库"),1,0)</f>
        <v>0</v>
      </c>
      <c r="AA16" s="1" t="n">
        <f aca="false">N(AA15)+$Z16</f>
        <v>0</v>
      </c>
      <c r="AB16" s="1" t="n">
        <f aca="false">IF(AND($M16=1,LEFT(对接源_01水果!$D16,4)="原料出库"),1,0)</f>
        <v>0</v>
      </c>
      <c r="AC16" s="1" t="n">
        <f aca="false">N(AC15)+$AB16</f>
        <v>0</v>
      </c>
      <c r="AD16" s="1" t="n">
        <f aca="false">IF(AND($M16=1,LEFT(对接源_01水果!$D16,4)="成品出库"),1,0)</f>
        <v>0</v>
      </c>
      <c r="AE16" s="1" t="n">
        <f aca="false">N(AE15)+$AD16</f>
        <v>0</v>
      </c>
      <c r="AF16" s="1" t="n">
        <f aca="false">IF(AND($N16=1,AND(LEFT(对接源_01水果!$D16,4)="包装物料",N(对接源_01水果!$K16)&lt;&gt;0)),1,0)</f>
        <v>0</v>
      </c>
      <c r="AG16" s="90" t="str">
        <f aca="false">IF(对接源_01水果!$AC16="","",对接源_01水果!$AC16)</f>
        <v/>
      </c>
      <c r="AH16" s="90" t="str">
        <f aca="false">IFERROR(INDEX($AG$4:$AG$1203,MATCH(ROW()-3,$AJ$4:$AJ$1203,0)),"")</f>
        <v/>
      </c>
      <c r="AI16" s="90" t="n">
        <f aca="false">IF(AG16="",0,IF(MATCH(AG16,$AG$4:$AG$1203,0)=ROW()-3,1,0))</f>
        <v>0</v>
      </c>
      <c r="AJ16" s="90" t="n">
        <f aca="false">N(AJ15)+AI16</f>
        <v>0</v>
      </c>
      <c r="AK16" s="1" t="n">
        <f aca="false">N(AK15)+$AJ16</f>
        <v>0</v>
      </c>
    </row>
    <row r="17" customFormat="false" ht="13.5" hidden="false" customHeight="false" outlineLevel="0" collapsed="false">
      <c r="A17" s="1" t="str">
        <f aca="false">IF(对接源_01水果!$C17="","",对接源_01水果!$C17)</f>
        <v>聂新平</v>
      </c>
      <c r="B17" s="1" t="n">
        <f aca="false">IF(A17="",0,IF(MATCH(A17,$A$4:$A$2403,0)=ROW()-3,1,0))</f>
        <v>0</v>
      </c>
      <c r="C17" s="1" t="n">
        <f aca="false">N(C16)+B17</f>
        <v>1</v>
      </c>
      <c r="E17" s="1" t="str">
        <f aca="false">IFERROR(INDEX($A$4:$A$2403,MATCH(ROW()-3,$C$4:$C$2403,0)),"")</f>
        <v>果然鲜</v>
      </c>
      <c r="K17" s="1" t="n">
        <f aca="false">IF(OR($K$1="",对接源_01水果!$C17="",对接源_01水果!$C17&lt;&gt;$K$1,对接源_01水果!$B17=""),0,IF(OR(N(对接源_01水果!$B17)&lt;$K$2,N(对接源_01水果!$B17)&gt;$K$3),0,1))</f>
        <v>0</v>
      </c>
      <c r="L17" s="1" t="n">
        <f aca="false">IF(OR($L$1="",对接源_01水果!$C17="",对接源_01水果!$C17&lt;&gt;$L$1,对接源_01水果!$B17=""),0,IF(OR(N(对接源_01水果!$B17)&lt;$L$2,N(对接源_01水果!$B17)&gt;$L$3),0,1))</f>
        <v>0</v>
      </c>
      <c r="M17" s="1" t="n">
        <f aca="false">IF(OR($M$1="",对接源_01水果!$C17="",对接源_01水果!$C17&lt;&gt;$M$1,对接源_01水果!$B17=""),0,IF(OR(N(对接源_01水果!$B17)&lt;$M$2,N(对接源_01水果!$B17)&gt;$M$3),0,1))</f>
        <v>0</v>
      </c>
      <c r="N17" s="1" t="n">
        <f aca="false">IF(OR($N$1="",对接源_01水果!$C17="",对接源_01水果!$C17&lt;&gt;$N$1,对接源_01水果!$B17=""),0,IF(OR(N(对接源_01水果!$B17)&lt;$N$2,N(对接源_01水果!$B17)&gt;$N$3),0,1))</f>
        <v>0</v>
      </c>
      <c r="P17" s="1" t="n">
        <f aca="false">IF(AND($K17=1,AND(对接源_01水果!$X17="公司筐",N(对接源_01水果!$T17)&lt;&gt;0)),1,0)</f>
        <v>0</v>
      </c>
      <c r="Q17" s="1" t="n">
        <f aca="false">N(Q16)+$P17</f>
        <v>0</v>
      </c>
      <c r="R17" s="1" t="n">
        <f aca="false">IF(AND($K17=1,AND(对接源_01水果!$X17="公司筐",N(对接源_01水果!$U17)&lt;&gt;0)),1,0)</f>
        <v>0</v>
      </c>
      <c r="S17" s="1" t="n">
        <f aca="false">N(S16)+$R17</f>
        <v>0</v>
      </c>
      <c r="T17" s="1" t="n">
        <f aca="false">IF(AND($K17=1,AND(对接源_01水果!$X17="公司筐",N(对接源_01水果!$V17)&lt;&gt;0)),1,0)</f>
        <v>0</v>
      </c>
      <c r="U17" s="1" t="n">
        <f aca="false">N(U16)+$T17</f>
        <v>0</v>
      </c>
      <c r="V17" s="1" t="n">
        <f aca="false">IF(AND($L17=1,AND(对接源_01水果!$X17="自备筐",N(对接源_01水果!$V17)&lt;&gt;0)),1,0)</f>
        <v>0</v>
      </c>
      <c r="W17" s="1" t="n">
        <f aca="false">N(W16)+$V17</f>
        <v>0</v>
      </c>
      <c r="X17" s="1" t="n">
        <f aca="false">IF(AND($L17=1,AND(对接源_01水果!$X17="自备筐",N(对接源_01水果!$T17)&lt;&gt;0)),1,0)</f>
        <v>0</v>
      </c>
      <c r="Y17" s="1" t="n">
        <f aca="false">N(Y16)+$X17</f>
        <v>0</v>
      </c>
      <c r="Z17" s="1" t="n">
        <f aca="false">IF(AND($M17=1,对接源_01水果!$D17="原料入库"),1,0)</f>
        <v>0</v>
      </c>
      <c r="AA17" s="1" t="n">
        <f aca="false">N(AA16)+$Z17</f>
        <v>0</v>
      </c>
      <c r="AB17" s="1" t="n">
        <f aca="false">IF(AND($M17=1,LEFT(对接源_01水果!$D17,4)="原料出库"),1,0)</f>
        <v>0</v>
      </c>
      <c r="AC17" s="1" t="n">
        <f aca="false">N(AC16)+$AB17</f>
        <v>0</v>
      </c>
      <c r="AD17" s="1" t="n">
        <f aca="false">IF(AND($M17=1,LEFT(对接源_01水果!$D17,4)="成品出库"),1,0)</f>
        <v>0</v>
      </c>
      <c r="AE17" s="1" t="n">
        <f aca="false">N(AE16)+$AD17</f>
        <v>0</v>
      </c>
      <c r="AF17" s="1" t="n">
        <f aca="false">IF(AND($N17=1,AND(LEFT(对接源_01水果!$D17,4)="包装物料",N(对接源_01水果!$K17)&lt;&gt;0)),1,0)</f>
        <v>0</v>
      </c>
      <c r="AG17" s="90" t="str">
        <f aca="false">IF(对接源_01水果!$AC17="","",对接源_01水果!$AC17)</f>
        <v/>
      </c>
      <c r="AH17" s="90" t="str">
        <f aca="false">IFERROR(INDEX($AG$4:$AG$1203,MATCH(ROW()-3,$AJ$4:$AJ$1203,0)),"")</f>
        <v/>
      </c>
      <c r="AI17" s="90" t="n">
        <f aca="false">IF(AG17="",0,IF(MATCH(AG17,$AG$4:$AG$1203,0)=ROW()-3,1,0))</f>
        <v>0</v>
      </c>
      <c r="AJ17" s="90" t="n">
        <f aca="false">N(AJ16)+AI17</f>
        <v>0</v>
      </c>
      <c r="AK17" s="1" t="n">
        <f aca="false">N(AK16)+$AJ17</f>
        <v>0</v>
      </c>
    </row>
    <row r="18" customFormat="false" ht="13.5" hidden="false" customHeight="false" outlineLevel="0" collapsed="false">
      <c r="A18" s="1" t="str">
        <f aca="false">IF(对接源_01水果!$C18="","",对接源_01水果!$C18)</f>
        <v>王照雪</v>
      </c>
      <c r="B18" s="1" t="n">
        <f aca="false">IF(A18="",0,IF(MATCH(A18,$A$4:$A$2403,0)=ROW()-3,1,0))</f>
        <v>1</v>
      </c>
      <c r="C18" s="1" t="n">
        <f aca="false">N(C17)+B18</f>
        <v>2</v>
      </c>
      <c r="E18" s="1" t="str">
        <f aca="false">IFERROR(INDEX($A$4:$A$2403,MATCH(ROW()-3,$C$4:$C$2403,0)),"")</f>
        <v>新顺发泡网</v>
      </c>
      <c r="K18" s="1" t="n">
        <f aca="false">IF(OR($K$1="",对接源_01水果!$C18="",对接源_01水果!$C18&lt;&gt;$K$1,对接源_01水果!$B18=""),0,IF(OR(N(对接源_01水果!$B18)&lt;$K$2,N(对接源_01水果!$B18)&gt;$K$3),0,1))</f>
        <v>1</v>
      </c>
      <c r="L18" s="1" t="n">
        <f aca="false">IF(OR($L$1="",对接源_01水果!$C18="",对接源_01水果!$C18&lt;&gt;$L$1,对接源_01水果!$B18=""),0,IF(OR(N(对接源_01水果!$B18)&lt;$L$2,N(对接源_01水果!$B18)&gt;$L$3),0,1))</f>
        <v>0</v>
      </c>
      <c r="M18" s="1" t="n">
        <f aca="false">IF(OR($M$1="",对接源_01水果!$C18="",对接源_01水果!$C18&lt;&gt;$M$1,对接源_01水果!$B18=""),0,IF(OR(N(对接源_01水果!$B18)&lt;$M$2,N(对接源_01水果!$B18)&gt;$M$3),0,1))</f>
        <v>1</v>
      </c>
      <c r="N18" s="1" t="n">
        <f aca="false">IF(OR($N$1="",对接源_01水果!$C18="",对接源_01水果!$C18&lt;&gt;$N$1,对接源_01水果!$B18=""),0,IF(OR(N(对接源_01水果!$B18)&lt;$N$2,N(对接源_01水果!$B18)&gt;$N$3),0,1))</f>
        <v>0</v>
      </c>
      <c r="P18" s="1" t="n">
        <f aca="false">IF(AND($K18=1,AND(对接源_01水果!$X18="公司筐",N(对接源_01水果!$T18)&lt;&gt;0)),1,0)</f>
        <v>0</v>
      </c>
      <c r="Q18" s="1" t="n">
        <f aca="false">N(Q17)+$P18</f>
        <v>0</v>
      </c>
      <c r="R18" s="1" t="n">
        <f aca="false">IF(AND($K18=1,AND(对接源_01水果!$X18="公司筐",N(对接源_01水果!$U18)&lt;&gt;0)),1,0)</f>
        <v>0</v>
      </c>
      <c r="S18" s="1" t="n">
        <f aca="false">N(S17)+$R18</f>
        <v>0</v>
      </c>
      <c r="T18" s="1" t="n">
        <f aca="false">IF(AND($K18=1,AND(对接源_01水果!$X18="公司筐",N(对接源_01水果!$V18)&lt;&gt;0)),1,0)</f>
        <v>1</v>
      </c>
      <c r="U18" s="1" t="n">
        <f aca="false">N(U17)+$T18</f>
        <v>1</v>
      </c>
      <c r="V18" s="1" t="n">
        <f aca="false">IF(AND($L18=1,AND(对接源_01水果!$X18="自备筐",N(对接源_01水果!$V18)&lt;&gt;0)),1,0)</f>
        <v>0</v>
      </c>
      <c r="W18" s="1" t="n">
        <f aca="false">N(W17)+$V18</f>
        <v>0</v>
      </c>
      <c r="X18" s="1" t="n">
        <f aca="false">IF(AND($L18=1,AND(对接源_01水果!$X18="自备筐",N(对接源_01水果!$T18)&lt;&gt;0)),1,0)</f>
        <v>0</v>
      </c>
      <c r="Y18" s="1" t="n">
        <f aca="false">N(Y17)+$X18</f>
        <v>0</v>
      </c>
      <c r="Z18" s="1" t="n">
        <f aca="false">IF(AND($M18=1,对接源_01水果!$D18="原料入库"),1,0)</f>
        <v>1</v>
      </c>
      <c r="AA18" s="1" t="n">
        <f aca="false">N(AA17)+$Z18</f>
        <v>1</v>
      </c>
      <c r="AB18" s="1" t="n">
        <f aca="false">IF(AND($M18=1,LEFT(对接源_01水果!$D18,4)="原料出库"),1,0)</f>
        <v>0</v>
      </c>
      <c r="AC18" s="1" t="n">
        <f aca="false">N(AC17)+$AB18</f>
        <v>0</v>
      </c>
      <c r="AD18" s="1" t="n">
        <f aca="false">IF(AND($M18=1,LEFT(对接源_01水果!$D18,4)="成品出库"),1,0)</f>
        <v>0</v>
      </c>
      <c r="AE18" s="1" t="n">
        <f aca="false">N(AE17)+$AD18</f>
        <v>0</v>
      </c>
      <c r="AF18" s="1" t="n">
        <f aca="false">IF(AND($N18=1,AND(LEFT(对接源_01水果!$D18,4)="包装物料",N(对接源_01水果!$K18)&lt;&gt;0)),1,0)</f>
        <v>0</v>
      </c>
      <c r="AG18" s="90" t="str">
        <f aca="false">IF(对接源_01水果!$AC18="","",对接源_01水果!$AC18)</f>
        <v/>
      </c>
      <c r="AH18" s="90" t="str">
        <f aca="false">IFERROR(INDEX($AG$4:$AG$1203,MATCH(ROW()-3,$AJ$4:$AJ$1203,0)),"")</f>
        <v/>
      </c>
      <c r="AI18" s="90" t="n">
        <f aca="false">IF(AG18="",0,IF(MATCH(AG18,$AG$4:$AG$1203,0)=ROW()-3,1,0))</f>
        <v>0</v>
      </c>
      <c r="AJ18" s="90" t="n">
        <f aca="false">N(AJ17)+AI18</f>
        <v>0</v>
      </c>
      <c r="AK18" s="1" t="n">
        <f aca="false">N(AK17)+$AJ18</f>
        <v>0</v>
      </c>
    </row>
    <row r="19" customFormat="false" ht="13.5" hidden="false" customHeight="false" outlineLevel="0" collapsed="false">
      <c r="A19" s="1" t="str">
        <f aca="false">IF(对接源_01水果!$C19="","",对接源_01水果!$C19)</f>
        <v>王照雪</v>
      </c>
      <c r="B19" s="1" t="n">
        <f aca="false">IF(A19="",0,IF(MATCH(A19,$A$4:$A$2403,0)=ROW()-3,1,0))</f>
        <v>0</v>
      </c>
      <c r="C19" s="1" t="n">
        <f aca="false">N(C18)+B19</f>
        <v>2</v>
      </c>
      <c r="E19" s="1" t="str">
        <f aca="false">IFERROR(INDEX($A$4:$A$2403,MATCH(ROW()-3,$C$4:$C$2403,0)),"")</f>
        <v>吐尔逊</v>
      </c>
      <c r="K19" s="1" t="n">
        <f aca="false">IF(OR($K$1="",对接源_01水果!$C19="",对接源_01水果!$C19&lt;&gt;$K$1,对接源_01水果!$B19=""),0,IF(OR(N(对接源_01水果!$B19)&lt;$K$2,N(对接源_01水果!$B19)&gt;$K$3),0,1))</f>
        <v>1</v>
      </c>
      <c r="L19" s="1" t="n">
        <f aca="false">IF(OR($L$1="",对接源_01水果!$C19="",对接源_01水果!$C19&lt;&gt;$L$1,对接源_01水果!$B19=""),0,IF(OR(N(对接源_01水果!$B19)&lt;$L$2,N(对接源_01水果!$B19)&gt;$L$3),0,1))</f>
        <v>0</v>
      </c>
      <c r="M19" s="1" t="n">
        <f aca="false">IF(OR($M$1="",对接源_01水果!$C19="",对接源_01水果!$C19&lt;&gt;$M$1,对接源_01水果!$B19=""),0,IF(OR(N(对接源_01水果!$B19)&lt;$M$2,N(对接源_01水果!$B19)&gt;$M$3),0,1))</f>
        <v>1</v>
      </c>
      <c r="N19" s="1" t="n">
        <f aca="false">IF(OR($N$1="",对接源_01水果!$C19="",对接源_01水果!$C19&lt;&gt;$N$1,对接源_01水果!$B19=""),0,IF(OR(N(对接源_01水果!$B19)&lt;$N$2,N(对接源_01水果!$B19)&gt;$N$3),0,1))</f>
        <v>0</v>
      </c>
      <c r="P19" s="1" t="n">
        <f aca="false">IF(AND($K19=1,AND(对接源_01水果!$X19="公司筐",N(对接源_01水果!$T19)&lt;&gt;0)),1,0)</f>
        <v>0</v>
      </c>
      <c r="Q19" s="1" t="n">
        <f aca="false">N(Q18)+$P19</f>
        <v>0</v>
      </c>
      <c r="R19" s="1" t="n">
        <f aca="false">IF(AND($K19=1,AND(对接源_01水果!$X19="公司筐",N(对接源_01水果!$U19)&lt;&gt;0)),1,0)</f>
        <v>0</v>
      </c>
      <c r="S19" s="1" t="n">
        <f aca="false">N(S18)+$R19</f>
        <v>0</v>
      </c>
      <c r="T19" s="1" t="n">
        <f aca="false">IF(AND($K19=1,AND(对接源_01水果!$X19="公司筐",N(对接源_01水果!$V19)&lt;&gt;0)),1,0)</f>
        <v>1</v>
      </c>
      <c r="U19" s="1" t="n">
        <f aca="false">N(U18)+$T19</f>
        <v>2</v>
      </c>
      <c r="V19" s="1" t="n">
        <f aca="false">IF(AND($L19=1,AND(对接源_01水果!$X19="自备筐",N(对接源_01水果!$V19)&lt;&gt;0)),1,0)</f>
        <v>0</v>
      </c>
      <c r="W19" s="1" t="n">
        <f aca="false">N(W18)+$V19</f>
        <v>0</v>
      </c>
      <c r="X19" s="1" t="n">
        <f aca="false">IF(AND($L19=1,AND(对接源_01水果!$X19="自备筐",N(对接源_01水果!$T19)&lt;&gt;0)),1,0)</f>
        <v>0</v>
      </c>
      <c r="Y19" s="1" t="n">
        <f aca="false">N(Y18)+$X19</f>
        <v>0</v>
      </c>
      <c r="Z19" s="1" t="n">
        <f aca="false">IF(AND($M19=1,对接源_01水果!$D19="原料入库"),1,0)</f>
        <v>1</v>
      </c>
      <c r="AA19" s="1" t="n">
        <f aca="false">N(AA18)+$Z19</f>
        <v>2</v>
      </c>
      <c r="AB19" s="1" t="n">
        <f aca="false">IF(AND($M19=1,LEFT(对接源_01水果!$D19,4)="原料出库"),1,0)</f>
        <v>0</v>
      </c>
      <c r="AC19" s="1" t="n">
        <f aca="false">N(AC18)+$AB19</f>
        <v>0</v>
      </c>
      <c r="AD19" s="1" t="n">
        <f aca="false">IF(AND($M19=1,LEFT(对接源_01水果!$D19,4)="成品出库"),1,0)</f>
        <v>0</v>
      </c>
      <c r="AE19" s="1" t="n">
        <f aca="false">N(AE18)+$AD19</f>
        <v>0</v>
      </c>
      <c r="AF19" s="1" t="n">
        <f aca="false">IF(AND($N19=1,AND(LEFT(对接源_01水果!$D19,4)="包装物料",N(对接源_01水果!$K19)&lt;&gt;0)),1,0)</f>
        <v>0</v>
      </c>
      <c r="AG19" s="90" t="str">
        <f aca="false">IF(对接源_01水果!$AC19="","",对接源_01水果!$AC19)</f>
        <v/>
      </c>
      <c r="AH19" s="90" t="str">
        <f aca="false">IFERROR(INDEX($AG$4:$AG$1203,MATCH(ROW()-3,$AJ$4:$AJ$1203,0)),"")</f>
        <v/>
      </c>
      <c r="AI19" s="90" t="n">
        <f aca="false">IF(AG19="",0,IF(MATCH(AG19,$AG$4:$AG$1203,0)=ROW()-3,1,0))</f>
        <v>0</v>
      </c>
      <c r="AJ19" s="90" t="n">
        <f aca="false">N(AJ18)+AI19</f>
        <v>0</v>
      </c>
      <c r="AK19" s="1" t="n">
        <f aca="false">N(AK18)+$AJ19</f>
        <v>0</v>
      </c>
    </row>
    <row r="20" customFormat="false" ht="13.5" hidden="false" customHeight="false" outlineLevel="0" collapsed="false">
      <c r="A20" s="1" t="str">
        <f aca="false">IF(对接源_01水果!$C20="","",对接源_01水果!$C20)</f>
        <v>王照雪</v>
      </c>
      <c r="B20" s="1" t="n">
        <f aca="false">IF(A20="",0,IF(MATCH(A20,$A$4:$A$2403,0)=ROW()-3,1,0))</f>
        <v>0</v>
      </c>
      <c r="C20" s="1" t="n">
        <f aca="false">N(C19)+B20</f>
        <v>2</v>
      </c>
      <c r="E20" s="1" t="str">
        <f aca="false">IFERROR(INDEX($A$4:$A$2403,MATCH(ROW()-3,$C$4:$C$2403,0)),"")</f>
        <v>全修塑业</v>
      </c>
      <c r="K20" s="1" t="n">
        <f aca="false">IF(OR($K$1="",对接源_01水果!$C20="",对接源_01水果!$C20&lt;&gt;$K$1,对接源_01水果!$B20=""),0,IF(OR(N(对接源_01水果!$B20)&lt;$K$2,N(对接源_01水果!$B20)&gt;$K$3),0,1))</f>
        <v>1</v>
      </c>
      <c r="L20" s="1" t="n">
        <f aca="false">IF(OR($L$1="",对接源_01水果!$C20="",对接源_01水果!$C20&lt;&gt;$L$1,对接源_01水果!$B20=""),0,IF(OR(N(对接源_01水果!$B20)&lt;$L$2,N(对接源_01水果!$B20)&gt;$L$3),0,1))</f>
        <v>0</v>
      </c>
      <c r="M20" s="1" t="n">
        <f aca="false">IF(OR($M$1="",对接源_01水果!$C20="",对接源_01水果!$C20&lt;&gt;$M$1,对接源_01水果!$B20=""),0,IF(OR(N(对接源_01水果!$B20)&lt;$M$2,N(对接源_01水果!$B20)&gt;$M$3),0,1))</f>
        <v>1</v>
      </c>
      <c r="N20" s="1" t="n">
        <f aca="false">IF(OR($N$1="",对接源_01水果!$C20="",对接源_01水果!$C20&lt;&gt;$N$1,对接源_01水果!$B20=""),0,IF(OR(N(对接源_01水果!$B20)&lt;$N$2,N(对接源_01水果!$B20)&gt;$N$3),0,1))</f>
        <v>0</v>
      </c>
      <c r="P20" s="1" t="n">
        <f aca="false">IF(AND($K20=1,AND(对接源_01水果!$X20="公司筐",N(对接源_01水果!$T20)&lt;&gt;0)),1,0)</f>
        <v>0</v>
      </c>
      <c r="Q20" s="1" t="n">
        <f aca="false">N(Q19)+$P20</f>
        <v>0</v>
      </c>
      <c r="R20" s="1" t="n">
        <f aca="false">IF(AND($K20=1,AND(对接源_01水果!$X20="公司筐",N(对接源_01水果!$U20)&lt;&gt;0)),1,0)</f>
        <v>0</v>
      </c>
      <c r="S20" s="1" t="n">
        <f aca="false">N(S19)+$R20</f>
        <v>0</v>
      </c>
      <c r="T20" s="1" t="n">
        <f aca="false">IF(AND($K20=1,AND(对接源_01水果!$X20="公司筐",N(对接源_01水果!$V20)&lt;&gt;0)),1,0)</f>
        <v>1</v>
      </c>
      <c r="U20" s="1" t="n">
        <f aca="false">N(U19)+$T20</f>
        <v>3</v>
      </c>
      <c r="V20" s="1" t="n">
        <f aca="false">IF(AND($L20=1,AND(对接源_01水果!$X20="自备筐",N(对接源_01水果!$V20)&lt;&gt;0)),1,0)</f>
        <v>0</v>
      </c>
      <c r="W20" s="1" t="n">
        <f aca="false">N(W19)+$V20</f>
        <v>0</v>
      </c>
      <c r="X20" s="1" t="n">
        <f aca="false">IF(AND($L20=1,AND(对接源_01水果!$X20="自备筐",N(对接源_01水果!$T20)&lt;&gt;0)),1,0)</f>
        <v>0</v>
      </c>
      <c r="Y20" s="1" t="n">
        <f aca="false">N(Y19)+$X20</f>
        <v>0</v>
      </c>
      <c r="Z20" s="1" t="n">
        <f aca="false">IF(AND($M20=1,对接源_01水果!$D20="原料入库"),1,0)</f>
        <v>1</v>
      </c>
      <c r="AA20" s="1" t="n">
        <f aca="false">N(AA19)+$Z20</f>
        <v>3</v>
      </c>
      <c r="AB20" s="1" t="n">
        <f aca="false">IF(AND($M20=1,LEFT(对接源_01水果!$D20,4)="原料出库"),1,0)</f>
        <v>0</v>
      </c>
      <c r="AC20" s="1" t="n">
        <f aca="false">N(AC19)+$AB20</f>
        <v>0</v>
      </c>
      <c r="AD20" s="1" t="n">
        <f aca="false">IF(AND($M20=1,LEFT(对接源_01水果!$D20,4)="成品出库"),1,0)</f>
        <v>0</v>
      </c>
      <c r="AE20" s="1" t="n">
        <f aca="false">N(AE19)+$AD20</f>
        <v>0</v>
      </c>
      <c r="AF20" s="1" t="n">
        <f aca="false">IF(AND($N20=1,AND(LEFT(对接源_01水果!$D20,4)="包装物料",N(对接源_01水果!$K20)&lt;&gt;0)),1,0)</f>
        <v>0</v>
      </c>
      <c r="AG20" s="90" t="str">
        <f aca="false">IF(对接源_01水果!$AC20="","",对接源_01水果!$AC20)</f>
        <v/>
      </c>
      <c r="AH20" s="90" t="str">
        <f aca="false">IFERROR(INDEX($AG$4:$AG$1203,MATCH(ROW()-3,$AJ$4:$AJ$1203,0)),"")</f>
        <v/>
      </c>
      <c r="AI20" s="90" t="n">
        <f aca="false">IF(AG20="",0,IF(MATCH(AG20,$AG$4:$AG$1203,0)=ROW()-3,1,0))</f>
        <v>0</v>
      </c>
      <c r="AJ20" s="90" t="n">
        <f aca="false">N(AJ19)+AI20</f>
        <v>0</v>
      </c>
      <c r="AK20" s="1" t="n">
        <f aca="false">N(AK19)+$AJ20</f>
        <v>0</v>
      </c>
    </row>
    <row r="21" customFormat="false" ht="13.5" hidden="false" customHeight="false" outlineLevel="0" collapsed="false">
      <c r="A21" s="1" t="str">
        <f aca="false">IF(对接源_01水果!$C21="","",对接源_01水果!$C21)</f>
        <v>聂新平</v>
      </c>
      <c r="B21" s="1" t="n">
        <f aca="false">IF(A21="",0,IF(MATCH(A21,$A$4:$A$2403,0)=ROW()-3,1,0))</f>
        <v>0</v>
      </c>
      <c r="C21" s="1" t="n">
        <f aca="false">N(C20)+B21</f>
        <v>2</v>
      </c>
      <c r="E21" s="1" t="str">
        <f aca="false">IFERROR(INDEX($A$4:$A$2403,MATCH(ROW()-3,$C$4:$C$2403,0)),"")</f>
        <v/>
      </c>
      <c r="K21" s="1" t="n">
        <f aca="false">IF(OR($K$1="",对接源_01水果!$C21="",对接源_01水果!$C21&lt;&gt;$K$1,对接源_01水果!$B21=""),0,IF(OR(N(对接源_01水果!$B21)&lt;$K$2,N(对接源_01水果!$B21)&gt;$K$3),0,1))</f>
        <v>0</v>
      </c>
      <c r="L21" s="1" t="n">
        <f aca="false">IF(OR($L$1="",对接源_01水果!$C21="",对接源_01水果!$C21&lt;&gt;$L$1,对接源_01水果!$B21=""),0,IF(OR(N(对接源_01水果!$B21)&lt;$L$2,N(对接源_01水果!$B21)&gt;$L$3),0,1))</f>
        <v>0</v>
      </c>
      <c r="M21" s="1" t="n">
        <f aca="false">IF(OR($M$1="",对接源_01水果!$C21="",对接源_01水果!$C21&lt;&gt;$M$1,对接源_01水果!$B21=""),0,IF(OR(N(对接源_01水果!$B21)&lt;$M$2,N(对接源_01水果!$B21)&gt;$M$3),0,1))</f>
        <v>0</v>
      </c>
      <c r="N21" s="1" t="n">
        <f aca="false">IF(OR($N$1="",对接源_01水果!$C21="",对接源_01水果!$C21&lt;&gt;$N$1,对接源_01水果!$B21=""),0,IF(OR(N(对接源_01水果!$B21)&lt;$N$2,N(对接源_01水果!$B21)&gt;$N$3),0,1))</f>
        <v>0</v>
      </c>
      <c r="P21" s="1" t="n">
        <f aca="false">IF(AND($K21=1,AND(对接源_01水果!$X21="公司筐",N(对接源_01水果!$T21)&lt;&gt;0)),1,0)</f>
        <v>0</v>
      </c>
      <c r="Q21" s="1" t="n">
        <f aca="false">N(Q20)+$P21</f>
        <v>0</v>
      </c>
      <c r="R21" s="1" t="n">
        <f aca="false">IF(AND($K21=1,AND(对接源_01水果!$X21="公司筐",N(对接源_01水果!$U21)&lt;&gt;0)),1,0)</f>
        <v>0</v>
      </c>
      <c r="S21" s="1" t="n">
        <f aca="false">N(S20)+$R21</f>
        <v>0</v>
      </c>
      <c r="T21" s="1" t="n">
        <f aca="false">IF(AND($K21=1,AND(对接源_01水果!$X21="公司筐",N(对接源_01水果!$V21)&lt;&gt;0)),1,0)</f>
        <v>0</v>
      </c>
      <c r="U21" s="1" t="n">
        <f aca="false">N(U20)+$T21</f>
        <v>3</v>
      </c>
      <c r="V21" s="1" t="n">
        <f aca="false">IF(AND($L21=1,AND(对接源_01水果!$X21="自备筐",N(对接源_01水果!$V21)&lt;&gt;0)),1,0)</f>
        <v>0</v>
      </c>
      <c r="W21" s="1" t="n">
        <f aca="false">N(W20)+$V21</f>
        <v>0</v>
      </c>
      <c r="X21" s="1" t="n">
        <f aca="false">IF(AND($L21=1,AND(对接源_01水果!$X21="自备筐",N(对接源_01水果!$T21)&lt;&gt;0)),1,0)</f>
        <v>0</v>
      </c>
      <c r="Y21" s="1" t="n">
        <f aca="false">N(Y20)+$X21</f>
        <v>0</v>
      </c>
      <c r="Z21" s="1" t="n">
        <f aca="false">IF(AND($M21=1,对接源_01水果!$D21="原料入库"),1,0)</f>
        <v>0</v>
      </c>
      <c r="AA21" s="1" t="n">
        <f aca="false">N(AA20)+$Z21</f>
        <v>3</v>
      </c>
      <c r="AB21" s="1" t="n">
        <f aca="false">IF(AND($M21=1,LEFT(对接源_01水果!$D21,4)="原料出库"),1,0)</f>
        <v>0</v>
      </c>
      <c r="AC21" s="1" t="n">
        <f aca="false">N(AC20)+$AB21</f>
        <v>0</v>
      </c>
      <c r="AD21" s="1" t="n">
        <f aca="false">IF(AND($M21=1,LEFT(对接源_01水果!$D21,4)="成品出库"),1,0)</f>
        <v>0</v>
      </c>
      <c r="AE21" s="1" t="n">
        <f aca="false">N(AE20)+$AD21</f>
        <v>0</v>
      </c>
      <c r="AF21" s="1" t="n">
        <f aca="false">IF(AND($N21=1,AND(LEFT(对接源_01水果!$D21,4)="包装物料",N(对接源_01水果!$K21)&lt;&gt;0)),1,0)</f>
        <v>0</v>
      </c>
      <c r="AG21" s="90" t="str">
        <f aca="false">IF(对接源_01水果!$AC21="","",对接源_01水果!$AC21)</f>
        <v/>
      </c>
      <c r="AH21" s="90" t="str">
        <f aca="false">IFERROR(INDEX($AG$4:$AG$1203,MATCH(ROW()-3,$AJ$4:$AJ$1203,0)),"")</f>
        <v/>
      </c>
      <c r="AI21" s="90" t="n">
        <f aca="false">IF(AG21="",0,IF(MATCH(AG21,$AG$4:$AG$1203,0)=ROW()-3,1,0))</f>
        <v>0</v>
      </c>
      <c r="AJ21" s="90" t="n">
        <f aca="false">N(AJ20)+AI21</f>
        <v>0</v>
      </c>
      <c r="AK21" s="1" t="n">
        <f aca="false">N(AK20)+$AJ21</f>
        <v>0</v>
      </c>
    </row>
    <row r="22" customFormat="false" ht="13.5" hidden="false" customHeight="false" outlineLevel="0" collapsed="false">
      <c r="A22" s="1" t="str">
        <f aca="false">IF(对接源_01水果!$C22="","",对接源_01水果!$C22)</f>
        <v>聂新平</v>
      </c>
      <c r="B22" s="1" t="n">
        <f aca="false">IF(A22="",0,IF(MATCH(A22,$A$4:$A$2403,0)=ROW()-3,1,0))</f>
        <v>0</v>
      </c>
      <c r="C22" s="1" t="n">
        <f aca="false">N(C21)+B22</f>
        <v>2</v>
      </c>
      <c r="E22" s="1" t="str">
        <f aca="false">IFERROR(INDEX($A$4:$A$2403,MATCH(ROW()-3,$C$4:$C$2403,0)),"")</f>
        <v/>
      </c>
      <c r="K22" s="1" t="n">
        <f aca="false">IF(OR($K$1="",对接源_01水果!$C22="",对接源_01水果!$C22&lt;&gt;$K$1,对接源_01水果!$B22=""),0,IF(OR(N(对接源_01水果!$B22)&lt;$K$2,N(对接源_01水果!$B22)&gt;$K$3),0,1))</f>
        <v>0</v>
      </c>
      <c r="L22" s="1" t="n">
        <f aca="false">IF(OR($L$1="",对接源_01水果!$C22="",对接源_01水果!$C22&lt;&gt;$L$1,对接源_01水果!$B22=""),0,IF(OR(N(对接源_01水果!$B22)&lt;$L$2,N(对接源_01水果!$B22)&gt;$L$3),0,1))</f>
        <v>0</v>
      </c>
      <c r="M22" s="1" t="n">
        <f aca="false">IF(OR($M$1="",对接源_01水果!$C22="",对接源_01水果!$C22&lt;&gt;$M$1,对接源_01水果!$B22=""),0,IF(OR(N(对接源_01水果!$B22)&lt;$M$2,N(对接源_01水果!$B22)&gt;$M$3),0,1))</f>
        <v>0</v>
      </c>
      <c r="N22" s="1" t="n">
        <f aca="false">IF(OR($N$1="",对接源_01水果!$C22="",对接源_01水果!$C22&lt;&gt;$N$1,对接源_01水果!$B22=""),0,IF(OR(N(对接源_01水果!$B22)&lt;$N$2,N(对接源_01水果!$B22)&gt;$N$3),0,1))</f>
        <v>0</v>
      </c>
      <c r="P22" s="1" t="n">
        <f aca="false">IF(AND($K22=1,AND(对接源_01水果!$X22="公司筐",N(对接源_01水果!$T22)&lt;&gt;0)),1,0)</f>
        <v>0</v>
      </c>
      <c r="Q22" s="1" t="n">
        <f aca="false">N(Q21)+$P22</f>
        <v>0</v>
      </c>
      <c r="R22" s="1" t="n">
        <f aca="false">IF(AND($K22=1,AND(对接源_01水果!$X22="公司筐",N(对接源_01水果!$U22)&lt;&gt;0)),1,0)</f>
        <v>0</v>
      </c>
      <c r="S22" s="1" t="n">
        <f aca="false">N(S21)+$R22</f>
        <v>0</v>
      </c>
      <c r="T22" s="1" t="n">
        <f aca="false">IF(AND($K22=1,AND(对接源_01水果!$X22="公司筐",N(对接源_01水果!$V22)&lt;&gt;0)),1,0)</f>
        <v>0</v>
      </c>
      <c r="U22" s="1" t="n">
        <f aca="false">N(U21)+$T22</f>
        <v>3</v>
      </c>
      <c r="V22" s="1" t="n">
        <f aca="false">IF(AND($L22=1,AND(对接源_01水果!$X22="自备筐",N(对接源_01水果!$V22)&lt;&gt;0)),1,0)</f>
        <v>0</v>
      </c>
      <c r="W22" s="1" t="n">
        <f aca="false">N(W21)+$V22</f>
        <v>0</v>
      </c>
      <c r="X22" s="1" t="n">
        <f aca="false">IF(AND($L22=1,AND(对接源_01水果!$X22="自备筐",N(对接源_01水果!$T22)&lt;&gt;0)),1,0)</f>
        <v>0</v>
      </c>
      <c r="Y22" s="1" t="n">
        <f aca="false">N(Y21)+$X22</f>
        <v>0</v>
      </c>
      <c r="Z22" s="1" t="n">
        <f aca="false">IF(AND($M22=1,对接源_01水果!$D22="原料入库"),1,0)</f>
        <v>0</v>
      </c>
      <c r="AA22" s="1" t="n">
        <f aca="false">N(AA21)+$Z22</f>
        <v>3</v>
      </c>
      <c r="AB22" s="1" t="n">
        <f aca="false">IF(AND($M22=1,LEFT(对接源_01水果!$D22,4)="原料出库"),1,0)</f>
        <v>0</v>
      </c>
      <c r="AC22" s="1" t="n">
        <f aca="false">N(AC21)+$AB22</f>
        <v>0</v>
      </c>
      <c r="AD22" s="1" t="n">
        <f aca="false">IF(AND($M22=1,LEFT(对接源_01水果!$D22,4)="成品出库"),1,0)</f>
        <v>0</v>
      </c>
      <c r="AE22" s="1" t="n">
        <f aca="false">N(AE21)+$AD22</f>
        <v>0</v>
      </c>
      <c r="AF22" s="1" t="n">
        <f aca="false">IF(AND($N22=1,AND(LEFT(对接源_01水果!$D22,4)="包装物料",N(对接源_01水果!$K22)&lt;&gt;0)),1,0)</f>
        <v>0</v>
      </c>
      <c r="AG22" s="90" t="str">
        <f aca="false">IF(对接源_01水果!$AC22="","",对接源_01水果!$AC22)</f>
        <v/>
      </c>
      <c r="AH22" s="90" t="str">
        <f aca="false">IFERROR(INDEX($AG$4:$AG$1203,MATCH(ROW()-3,$AJ$4:$AJ$1203,0)),"")</f>
        <v/>
      </c>
      <c r="AI22" s="90" t="n">
        <f aca="false">IF(AG22="",0,IF(MATCH(AG22,$AG$4:$AG$1203,0)=ROW()-3,1,0))</f>
        <v>0</v>
      </c>
      <c r="AJ22" s="90" t="n">
        <f aca="false">N(AJ21)+AI22</f>
        <v>0</v>
      </c>
      <c r="AK22" s="1" t="n">
        <f aca="false">N(AK21)+$AJ22</f>
        <v>0</v>
      </c>
    </row>
    <row r="23" customFormat="false" ht="13.5" hidden="false" customHeight="false" outlineLevel="0" collapsed="false">
      <c r="A23" s="1" t="str">
        <f aca="false">IF(对接源_01水果!$C23="","",对接源_01水果!$C23)</f>
        <v>伍元虎</v>
      </c>
      <c r="B23" s="1" t="n">
        <f aca="false">IF(A23="",0,IF(MATCH(A23,$A$4:$A$2403,0)=ROW()-3,1,0))</f>
        <v>1</v>
      </c>
      <c r="C23" s="1" t="n">
        <f aca="false">N(C22)+B23</f>
        <v>3</v>
      </c>
      <c r="E23" s="1" t="str">
        <f aca="false">IFERROR(INDEX($A$4:$A$2403,MATCH(ROW()-3,$C$4:$C$2403,0)),"")</f>
        <v/>
      </c>
      <c r="K23" s="1" t="n">
        <f aca="false">IF(OR($K$1="",对接源_01水果!$C23="",对接源_01水果!$C23&lt;&gt;$K$1,对接源_01水果!$B23=""),0,IF(OR(N(对接源_01水果!$B23)&lt;$K$2,N(对接源_01水果!$B23)&gt;$K$3),0,1))</f>
        <v>0</v>
      </c>
      <c r="L23" s="1" t="n">
        <f aca="false">IF(OR($L$1="",对接源_01水果!$C23="",对接源_01水果!$C23&lt;&gt;$L$1,对接源_01水果!$B23=""),0,IF(OR(N(对接源_01水果!$B23)&lt;$L$2,N(对接源_01水果!$B23)&gt;$L$3),0,1))</f>
        <v>0</v>
      </c>
      <c r="M23" s="1" t="n">
        <f aca="false">IF(OR($M$1="",对接源_01水果!$C23="",对接源_01水果!$C23&lt;&gt;$M$1,对接源_01水果!$B23=""),0,IF(OR(N(对接源_01水果!$B23)&lt;$M$2,N(对接源_01水果!$B23)&gt;$M$3),0,1))</f>
        <v>0</v>
      </c>
      <c r="N23" s="1" t="n">
        <f aca="false">IF(OR($N$1="",对接源_01水果!$C23="",对接源_01水果!$C23&lt;&gt;$N$1,对接源_01水果!$B23=""),0,IF(OR(N(对接源_01水果!$B23)&lt;$N$2,N(对接源_01水果!$B23)&gt;$N$3),0,1))</f>
        <v>0</v>
      </c>
      <c r="P23" s="1" t="n">
        <f aca="false">IF(AND($K23=1,AND(对接源_01水果!$X23="公司筐",N(对接源_01水果!$T23)&lt;&gt;0)),1,0)</f>
        <v>0</v>
      </c>
      <c r="Q23" s="1" t="n">
        <f aca="false">N(Q22)+$P23</f>
        <v>0</v>
      </c>
      <c r="R23" s="1" t="n">
        <f aca="false">IF(AND($K23=1,AND(对接源_01水果!$X23="公司筐",N(对接源_01水果!$U23)&lt;&gt;0)),1,0)</f>
        <v>0</v>
      </c>
      <c r="S23" s="1" t="n">
        <f aca="false">N(S22)+$R23</f>
        <v>0</v>
      </c>
      <c r="T23" s="1" t="n">
        <f aca="false">IF(AND($K23=1,AND(对接源_01水果!$X23="公司筐",N(对接源_01水果!$V23)&lt;&gt;0)),1,0)</f>
        <v>0</v>
      </c>
      <c r="U23" s="1" t="n">
        <f aca="false">N(U22)+$T23</f>
        <v>3</v>
      </c>
      <c r="V23" s="1" t="n">
        <f aca="false">IF(AND($L23=1,AND(对接源_01水果!$X23="自备筐",N(对接源_01水果!$V23)&lt;&gt;0)),1,0)</f>
        <v>0</v>
      </c>
      <c r="W23" s="1" t="n">
        <f aca="false">N(W22)+$V23</f>
        <v>0</v>
      </c>
      <c r="X23" s="1" t="n">
        <f aca="false">IF(AND($L23=1,AND(对接源_01水果!$X23="自备筐",N(对接源_01水果!$T23)&lt;&gt;0)),1,0)</f>
        <v>0</v>
      </c>
      <c r="Y23" s="1" t="n">
        <f aca="false">N(Y22)+$X23</f>
        <v>0</v>
      </c>
      <c r="Z23" s="1" t="n">
        <f aca="false">IF(AND($M23=1,对接源_01水果!$D23="原料入库"),1,0)</f>
        <v>0</v>
      </c>
      <c r="AA23" s="1" t="n">
        <f aca="false">N(AA22)+$Z23</f>
        <v>3</v>
      </c>
      <c r="AB23" s="1" t="n">
        <f aca="false">IF(AND($M23=1,LEFT(对接源_01水果!$D23,4)="原料出库"),1,0)</f>
        <v>0</v>
      </c>
      <c r="AC23" s="1" t="n">
        <f aca="false">N(AC22)+$AB23</f>
        <v>0</v>
      </c>
      <c r="AD23" s="1" t="n">
        <f aca="false">IF(AND($M23=1,LEFT(对接源_01水果!$D23,4)="成品出库"),1,0)</f>
        <v>0</v>
      </c>
      <c r="AE23" s="1" t="n">
        <f aca="false">N(AE22)+$AD23</f>
        <v>0</v>
      </c>
      <c r="AF23" s="1" t="n">
        <f aca="false">IF(AND($N23=1,AND(LEFT(对接源_01水果!$D23,4)="包装物料",N(对接源_01水果!$K23)&lt;&gt;0)),1,0)</f>
        <v>0</v>
      </c>
      <c r="AG23" s="90" t="str">
        <f aca="false">IF(对接源_01水果!$AC23="","",对接源_01水果!$AC23)</f>
        <v/>
      </c>
      <c r="AH23" s="90" t="str">
        <f aca="false">IFERROR(INDEX($AG$4:$AG$1203,MATCH(ROW()-3,$AJ$4:$AJ$1203,0)),"")</f>
        <v/>
      </c>
      <c r="AI23" s="90" t="n">
        <f aca="false">IF(AG23="",0,IF(MATCH(AG23,$AG$4:$AG$1203,0)=ROW()-3,1,0))</f>
        <v>0</v>
      </c>
      <c r="AJ23" s="90" t="n">
        <f aca="false">N(AJ22)+AI23</f>
        <v>0</v>
      </c>
      <c r="AK23" s="1" t="n">
        <f aca="false">N(AK22)+$AJ23</f>
        <v>0</v>
      </c>
    </row>
    <row r="24" customFormat="false" ht="13.5" hidden="false" customHeight="false" outlineLevel="0" collapsed="false">
      <c r="A24" s="1" t="str">
        <f aca="false">IF(对接源_01水果!$C24="","",对接源_01水果!$C24)</f>
        <v>王照雪</v>
      </c>
      <c r="B24" s="1" t="n">
        <f aca="false">IF(A24="",0,IF(MATCH(A24,$A$4:$A$2403,0)=ROW()-3,1,0))</f>
        <v>0</v>
      </c>
      <c r="C24" s="1" t="n">
        <f aca="false">N(C23)+B24</f>
        <v>3</v>
      </c>
      <c r="E24" s="1" t="str">
        <f aca="false">IFERROR(INDEX($A$4:$A$2403,MATCH(ROW()-3,$C$4:$C$2403,0)),"")</f>
        <v/>
      </c>
      <c r="K24" s="1" t="n">
        <f aca="false">IF(OR($K$1="",对接源_01水果!$C24="",对接源_01水果!$C24&lt;&gt;$K$1,对接源_01水果!$B24=""),0,IF(OR(N(对接源_01水果!$B24)&lt;$K$2,N(对接源_01水果!$B24)&gt;$K$3),0,1))</f>
        <v>1</v>
      </c>
      <c r="L24" s="1" t="n">
        <f aca="false">IF(OR($L$1="",对接源_01水果!$C24="",对接源_01水果!$C24&lt;&gt;$L$1,对接源_01水果!$B24=""),0,IF(OR(N(对接源_01水果!$B24)&lt;$L$2,N(对接源_01水果!$B24)&gt;$L$3),0,1))</f>
        <v>0</v>
      </c>
      <c r="M24" s="1" t="n">
        <f aca="false">IF(OR($M$1="",对接源_01水果!$C24="",对接源_01水果!$C24&lt;&gt;$M$1,对接源_01水果!$B24=""),0,IF(OR(N(对接源_01水果!$B24)&lt;$M$2,N(对接源_01水果!$B24)&gt;$M$3),0,1))</f>
        <v>1</v>
      </c>
      <c r="N24" s="1" t="n">
        <f aca="false">IF(OR($N$1="",对接源_01水果!$C24="",对接源_01水果!$C24&lt;&gt;$N$1,对接源_01水果!$B24=""),0,IF(OR(N(对接源_01水果!$B24)&lt;$N$2,N(对接源_01水果!$B24)&gt;$N$3),0,1))</f>
        <v>0</v>
      </c>
      <c r="P24" s="1" t="n">
        <f aca="false">IF(AND($K24=1,AND(对接源_01水果!$X24="公司筐",N(对接源_01水果!$T24)&lt;&gt;0)),1,0)</f>
        <v>0</v>
      </c>
      <c r="Q24" s="1" t="n">
        <f aca="false">N(Q23)+$P24</f>
        <v>0</v>
      </c>
      <c r="R24" s="1" t="n">
        <f aca="false">IF(AND($K24=1,AND(对接源_01水果!$X24="公司筐",N(对接源_01水果!$U24)&lt;&gt;0)),1,0)</f>
        <v>0</v>
      </c>
      <c r="S24" s="1" t="n">
        <f aca="false">N(S23)+$R24</f>
        <v>0</v>
      </c>
      <c r="T24" s="1" t="n">
        <f aca="false">IF(AND($K24=1,AND(对接源_01水果!$X24="公司筐",N(对接源_01水果!$V24)&lt;&gt;0)),1,0)</f>
        <v>0</v>
      </c>
      <c r="U24" s="1" t="n">
        <f aca="false">N(U23)+$T24</f>
        <v>3</v>
      </c>
      <c r="V24" s="1" t="n">
        <f aca="false">IF(AND($L24=1,AND(对接源_01水果!$X24="自备筐",N(对接源_01水果!$V24)&lt;&gt;0)),1,0)</f>
        <v>0</v>
      </c>
      <c r="W24" s="1" t="n">
        <f aca="false">N(W23)+$V24</f>
        <v>0</v>
      </c>
      <c r="X24" s="1" t="n">
        <f aca="false">IF(AND($L24=1,AND(对接源_01水果!$X24="自备筐",N(对接源_01水果!$T24)&lt;&gt;0)),1,0)</f>
        <v>0</v>
      </c>
      <c r="Y24" s="1" t="n">
        <f aca="false">N(Y23)+$X24</f>
        <v>0</v>
      </c>
      <c r="Z24" s="1" t="n">
        <f aca="false">IF(AND($M24=1,对接源_01水果!$D24="原料入库"),1,0)</f>
        <v>1</v>
      </c>
      <c r="AA24" s="1" t="n">
        <f aca="false">N(AA23)+$Z24</f>
        <v>4</v>
      </c>
      <c r="AB24" s="1" t="n">
        <f aca="false">IF(AND($M24=1,LEFT(对接源_01水果!$D24,4)="原料出库"),1,0)</f>
        <v>0</v>
      </c>
      <c r="AC24" s="1" t="n">
        <f aca="false">N(AC23)+$AB24</f>
        <v>0</v>
      </c>
      <c r="AD24" s="1" t="n">
        <f aca="false">IF(AND($M24=1,LEFT(对接源_01水果!$D24,4)="成品出库"),1,0)</f>
        <v>0</v>
      </c>
      <c r="AE24" s="1" t="n">
        <f aca="false">N(AE23)+$AD24</f>
        <v>0</v>
      </c>
      <c r="AF24" s="1" t="n">
        <f aca="false">IF(AND($N24=1,AND(LEFT(对接源_01水果!$D24,4)="包装物料",N(对接源_01水果!$K24)&lt;&gt;0)),1,0)</f>
        <v>0</v>
      </c>
      <c r="AG24" s="90" t="str">
        <f aca="false">IF(对接源_01水果!$AC24="","",对接源_01水果!$AC24)</f>
        <v/>
      </c>
      <c r="AH24" s="90" t="str">
        <f aca="false">IFERROR(INDEX($AG$4:$AG$1203,MATCH(ROW()-3,$AJ$4:$AJ$1203,0)),"")</f>
        <v/>
      </c>
      <c r="AI24" s="90" t="n">
        <f aca="false">IF(AG24="",0,IF(MATCH(AG24,$AG$4:$AG$1203,0)=ROW()-3,1,0))</f>
        <v>0</v>
      </c>
      <c r="AJ24" s="90" t="n">
        <f aca="false">N(AJ23)+AI24</f>
        <v>0</v>
      </c>
      <c r="AK24" s="1" t="n">
        <f aca="false">N(AK23)+$AJ24</f>
        <v>0</v>
      </c>
    </row>
    <row r="25" customFormat="false" ht="13.5" hidden="false" customHeight="false" outlineLevel="0" collapsed="false">
      <c r="A25" s="1" t="str">
        <f aca="false">IF(对接源_01水果!$C25="","",对接源_01水果!$C25)</f>
        <v>伍元虎</v>
      </c>
      <c r="B25" s="1" t="n">
        <f aca="false">IF(A25="",0,IF(MATCH(A25,$A$4:$A$2403,0)=ROW()-3,1,0))</f>
        <v>0</v>
      </c>
      <c r="C25" s="1" t="n">
        <f aca="false">N(C24)+B25</f>
        <v>3</v>
      </c>
      <c r="E25" s="1" t="str">
        <f aca="false">IFERROR(INDEX($A$4:$A$2403,MATCH(ROW()-3,$C$4:$C$2403,0)),"")</f>
        <v/>
      </c>
      <c r="K25" s="1" t="n">
        <f aca="false">IF(OR($K$1="",对接源_01水果!$C25="",对接源_01水果!$C25&lt;&gt;$K$1,对接源_01水果!$B25=""),0,IF(OR(N(对接源_01水果!$B25)&lt;$K$2,N(对接源_01水果!$B25)&gt;$K$3),0,1))</f>
        <v>0</v>
      </c>
      <c r="L25" s="1" t="n">
        <f aca="false">IF(OR($L$1="",对接源_01水果!$C25="",对接源_01水果!$C25&lt;&gt;$L$1,对接源_01水果!$B25=""),0,IF(OR(N(对接源_01水果!$B25)&lt;$L$2,N(对接源_01水果!$B25)&gt;$L$3),0,1))</f>
        <v>0</v>
      </c>
      <c r="M25" s="1" t="n">
        <f aca="false">IF(OR($M$1="",对接源_01水果!$C25="",对接源_01水果!$C25&lt;&gt;$M$1,对接源_01水果!$B25=""),0,IF(OR(N(对接源_01水果!$B25)&lt;$M$2,N(对接源_01水果!$B25)&gt;$M$3),0,1))</f>
        <v>0</v>
      </c>
      <c r="N25" s="1" t="n">
        <f aca="false">IF(OR($N$1="",对接源_01水果!$C25="",对接源_01水果!$C25&lt;&gt;$N$1,对接源_01水果!$B25=""),0,IF(OR(N(对接源_01水果!$B25)&lt;$N$2,N(对接源_01水果!$B25)&gt;$N$3),0,1))</f>
        <v>0</v>
      </c>
      <c r="P25" s="1" t="n">
        <f aca="false">IF(AND($K25=1,AND(对接源_01水果!$X25="公司筐",N(对接源_01水果!$T25)&lt;&gt;0)),1,0)</f>
        <v>0</v>
      </c>
      <c r="Q25" s="1" t="n">
        <f aca="false">N(Q24)+$P25</f>
        <v>0</v>
      </c>
      <c r="R25" s="1" t="n">
        <f aca="false">IF(AND($K25=1,AND(对接源_01水果!$X25="公司筐",N(对接源_01水果!$U25)&lt;&gt;0)),1,0)</f>
        <v>0</v>
      </c>
      <c r="S25" s="1" t="n">
        <f aca="false">N(S24)+$R25</f>
        <v>0</v>
      </c>
      <c r="T25" s="1" t="n">
        <f aca="false">IF(AND($K25=1,AND(对接源_01水果!$X25="公司筐",N(对接源_01水果!$V25)&lt;&gt;0)),1,0)</f>
        <v>0</v>
      </c>
      <c r="U25" s="1" t="n">
        <f aca="false">N(U24)+$T25</f>
        <v>3</v>
      </c>
      <c r="V25" s="1" t="n">
        <f aca="false">IF(AND($L25=1,AND(对接源_01水果!$X25="自备筐",N(对接源_01水果!$V25)&lt;&gt;0)),1,0)</f>
        <v>0</v>
      </c>
      <c r="W25" s="1" t="n">
        <f aca="false">N(W24)+$V25</f>
        <v>0</v>
      </c>
      <c r="X25" s="1" t="n">
        <f aca="false">IF(AND($L25=1,AND(对接源_01水果!$X25="自备筐",N(对接源_01水果!$T25)&lt;&gt;0)),1,0)</f>
        <v>0</v>
      </c>
      <c r="Y25" s="1" t="n">
        <f aca="false">N(Y24)+$X25</f>
        <v>0</v>
      </c>
      <c r="Z25" s="1" t="n">
        <f aca="false">IF(AND($M25=1,对接源_01水果!$D25="原料入库"),1,0)</f>
        <v>0</v>
      </c>
      <c r="AA25" s="1" t="n">
        <f aca="false">N(AA24)+$Z25</f>
        <v>4</v>
      </c>
      <c r="AB25" s="1" t="n">
        <f aca="false">IF(AND($M25=1,LEFT(对接源_01水果!$D25,4)="原料出库"),1,0)</f>
        <v>0</v>
      </c>
      <c r="AC25" s="1" t="n">
        <f aca="false">N(AC24)+$AB25</f>
        <v>0</v>
      </c>
      <c r="AD25" s="1" t="n">
        <f aca="false">IF(AND($M25=1,LEFT(对接源_01水果!$D25,4)="成品出库"),1,0)</f>
        <v>0</v>
      </c>
      <c r="AE25" s="1" t="n">
        <f aca="false">N(AE24)+$AD25</f>
        <v>0</v>
      </c>
      <c r="AF25" s="1" t="n">
        <f aca="false">IF(AND($N25=1,AND(LEFT(对接源_01水果!$D25,4)="包装物料",N(对接源_01水果!$K25)&lt;&gt;0)),1,0)</f>
        <v>0</v>
      </c>
      <c r="AG25" s="90" t="str">
        <f aca="false">IF(对接源_01水果!$AC25="","",对接源_01水果!$AC25)</f>
        <v/>
      </c>
      <c r="AH25" s="90" t="str">
        <f aca="false">IFERROR(INDEX($AG$4:$AG$1203,MATCH(ROW()-3,$AJ$4:$AJ$1203,0)),"")</f>
        <v/>
      </c>
      <c r="AI25" s="90" t="n">
        <f aca="false">IF(AG25="",0,IF(MATCH(AG25,$AG$4:$AG$1203,0)=ROW()-3,1,0))</f>
        <v>0</v>
      </c>
      <c r="AJ25" s="90" t="n">
        <f aca="false">N(AJ24)+AI25</f>
        <v>0</v>
      </c>
      <c r="AK25" s="1" t="n">
        <f aca="false">N(AK24)+$AJ25</f>
        <v>0</v>
      </c>
    </row>
    <row r="26" customFormat="false" ht="13.5" hidden="false" customHeight="false" outlineLevel="0" collapsed="false">
      <c r="A26" s="1" t="str">
        <f aca="false">IF(对接源_01水果!$C26="","",对接源_01水果!$C26)</f>
        <v>聂新平</v>
      </c>
      <c r="B26" s="1" t="n">
        <f aca="false">IF(A26="",0,IF(MATCH(A26,$A$4:$A$2403,0)=ROW()-3,1,0))</f>
        <v>0</v>
      </c>
      <c r="C26" s="1" t="n">
        <f aca="false">N(C25)+B26</f>
        <v>3</v>
      </c>
      <c r="E26" s="1" t="str">
        <f aca="false">IFERROR(INDEX($A$4:$A$2403,MATCH(ROW()-3,$C$4:$C$2403,0)),"")</f>
        <v/>
      </c>
      <c r="K26" s="1" t="n">
        <f aca="false">IF(OR($K$1="",对接源_01水果!$C26="",对接源_01水果!$C26&lt;&gt;$K$1,对接源_01水果!$B26=""),0,IF(OR(N(对接源_01水果!$B26)&lt;$K$2,N(对接源_01水果!$B26)&gt;$K$3),0,1))</f>
        <v>0</v>
      </c>
      <c r="L26" s="1" t="n">
        <f aca="false">IF(OR($L$1="",对接源_01水果!$C26="",对接源_01水果!$C26&lt;&gt;$L$1,对接源_01水果!$B26=""),0,IF(OR(N(对接源_01水果!$B26)&lt;$L$2,N(对接源_01水果!$B26)&gt;$L$3),0,1))</f>
        <v>0</v>
      </c>
      <c r="M26" s="1" t="n">
        <f aca="false">IF(OR($M$1="",对接源_01水果!$C26="",对接源_01水果!$C26&lt;&gt;$M$1,对接源_01水果!$B26=""),0,IF(OR(N(对接源_01水果!$B26)&lt;$M$2,N(对接源_01水果!$B26)&gt;$M$3),0,1))</f>
        <v>0</v>
      </c>
      <c r="N26" s="1" t="n">
        <f aca="false">IF(OR($N$1="",对接源_01水果!$C26="",对接源_01水果!$C26&lt;&gt;$N$1,对接源_01水果!$B26=""),0,IF(OR(N(对接源_01水果!$B26)&lt;$N$2,N(对接源_01水果!$B26)&gt;$N$3),0,1))</f>
        <v>0</v>
      </c>
      <c r="P26" s="1" t="n">
        <f aca="false">IF(AND($K26=1,AND(对接源_01水果!$X26="公司筐",N(对接源_01水果!$T26)&lt;&gt;0)),1,0)</f>
        <v>0</v>
      </c>
      <c r="Q26" s="1" t="n">
        <f aca="false">N(Q25)+$P26</f>
        <v>0</v>
      </c>
      <c r="R26" s="1" t="n">
        <f aca="false">IF(AND($K26=1,AND(对接源_01水果!$X26="公司筐",N(对接源_01水果!$U26)&lt;&gt;0)),1,0)</f>
        <v>0</v>
      </c>
      <c r="S26" s="1" t="n">
        <f aca="false">N(S25)+$R26</f>
        <v>0</v>
      </c>
      <c r="T26" s="1" t="n">
        <f aca="false">IF(AND($K26=1,AND(对接源_01水果!$X26="公司筐",N(对接源_01水果!$V26)&lt;&gt;0)),1,0)</f>
        <v>0</v>
      </c>
      <c r="U26" s="1" t="n">
        <f aca="false">N(U25)+$T26</f>
        <v>3</v>
      </c>
      <c r="V26" s="1" t="n">
        <f aca="false">IF(AND($L26=1,AND(对接源_01水果!$X26="自备筐",N(对接源_01水果!$V26)&lt;&gt;0)),1,0)</f>
        <v>0</v>
      </c>
      <c r="W26" s="1" t="n">
        <f aca="false">N(W25)+$V26</f>
        <v>0</v>
      </c>
      <c r="X26" s="1" t="n">
        <f aca="false">IF(AND($L26=1,AND(对接源_01水果!$X26="自备筐",N(对接源_01水果!$T26)&lt;&gt;0)),1,0)</f>
        <v>0</v>
      </c>
      <c r="Y26" s="1" t="n">
        <f aca="false">N(Y25)+$X26</f>
        <v>0</v>
      </c>
      <c r="Z26" s="1" t="n">
        <f aca="false">IF(AND($M26=1,对接源_01水果!$D26="原料入库"),1,0)</f>
        <v>0</v>
      </c>
      <c r="AA26" s="1" t="n">
        <f aca="false">N(AA25)+$Z26</f>
        <v>4</v>
      </c>
      <c r="AB26" s="1" t="n">
        <f aca="false">IF(AND($M26=1,LEFT(对接源_01水果!$D26,4)="原料出库"),1,0)</f>
        <v>0</v>
      </c>
      <c r="AC26" s="1" t="n">
        <f aca="false">N(AC25)+$AB26</f>
        <v>0</v>
      </c>
      <c r="AD26" s="1" t="n">
        <f aca="false">IF(AND($M26=1,LEFT(对接源_01水果!$D26,4)="成品出库"),1,0)</f>
        <v>0</v>
      </c>
      <c r="AE26" s="1" t="n">
        <f aca="false">N(AE25)+$AD26</f>
        <v>0</v>
      </c>
      <c r="AF26" s="1" t="n">
        <f aca="false">IF(AND($N26=1,AND(LEFT(对接源_01水果!$D26,4)="包装物料",N(对接源_01水果!$K26)&lt;&gt;0)),1,0)</f>
        <v>0</v>
      </c>
      <c r="AG26" s="90" t="str">
        <f aca="false">IF(对接源_01水果!$AC26="","",对接源_01水果!$AC26)</f>
        <v/>
      </c>
      <c r="AH26" s="90" t="str">
        <f aca="false">IFERROR(INDEX($AG$4:$AG$1203,MATCH(ROW()-3,$AJ$4:$AJ$1203,0)),"")</f>
        <v/>
      </c>
      <c r="AI26" s="90" t="n">
        <f aca="false">IF(AG26="",0,IF(MATCH(AG26,$AG$4:$AG$1203,0)=ROW()-3,1,0))</f>
        <v>0</v>
      </c>
      <c r="AJ26" s="90" t="n">
        <f aca="false">N(AJ25)+AI26</f>
        <v>0</v>
      </c>
      <c r="AK26" s="1" t="n">
        <f aca="false">N(AK25)+$AJ26</f>
        <v>0</v>
      </c>
    </row>
    <row r="27" customFormat="false" ht="13.5" hidden="false" customHeight="false" outlineLevel="0" collapsed="false">
      <c r="A27" s="1" t="str">
        <f aca="false">IF(对接源_01水果!$C27="","",对接源_01水果!$C27)</f>
        <v>聂新平</v>
      </c>
      <c r="B27" s="1" t="n">
        <f aca="false">IF(A27="",0,IF(MATCH(A27,$A$4:$A$2403,0)=ROW()-3,1,0))</f>
        <v>0</v>
      </c>
      <c r="C27" s="1" t="n">
        <f aca="false">N(C26)+B27</f>
        <v>3</v>
      </c>
      <c r="E27" s="1" t="str">
        <f aca="false">IFERROR(INDEX($A$4:$A$2403,MATCH(ROW()-3,$C$4:$C$2403,0)),"")</f>
        <v/>
      </c>
      <c r="K27" s="1" t="n">
        <f aca="false">IF(OR($K$1="",对接源_01水果!$C27="",对接源_01水果!$C27&lt;&gt;$K$1,对接源_01水果!$B27=""),0,IF(OR(N(对接源_01水果!$B27)&lt;$K$2,N(对接源_01水果!$B27)&gt;$K$3),0,1))</f>
        <v>0</v>
      </c>
      <c r="L27" s="1" t="n">
        <f aca="false">IF(OR($L$1="",对接源_01水果!$C27="",对接源_01水果!$C27&lt;&gt;$L$1,对接源_01水果!$B27=""),0,IF(OR(N(对接源_01水果!$B27)&lt;$L$2,N(对接源_01水果!$B27)&gt;$L$3),0,1))</f>
        <v>0</v>
      </c>
      <c r="M27" s="1" t="n">
        <f aca="false">IF(OR($M$1="",对接源_01水果!$C27="",对接源_01水果!$C27&lt;&gt;$M$1,对接源_01水果!$B27=""),0,IF(OR(N(对接源_01水果!$B27)&lt;$M$2,N(对接源_01水果!$B27)&gt;$M$3),0,1))</f>
        <v>0</v>
      </c>
      <c r="N27" s="1" t="n">
        <f aca="false">IF(OR($N$1="",对接源_01水果!$C27="",对接源_01水果!$C27&lt;&gt;$N$1,对接源_01水果!$B27=""),0,IF(OR(N(对接源_01水果!$B27)&lt;$N$2,N(对接源_01水果!$B27)&gt;$N$3),0,1))</f>
        <v>0</v>
      </c>
      <c r="P27" s="1" t="n">
        <f aca="false">IF(AND($K27=1,AND(对接源_01水果!$X27="公司筐",N(对接源_01水果!$T27)&lt;&gt;0)),1,0)</f>
        <v>0</v>
      </c>
      <c r="Q27" s="1" t="n">
        <f aca="false">N(Q26)+$P27</f>
        <v>0</v>
      </c>
      <c r="R27" s="1" t="n">
        <f aca="false">IF(AND($K27=1,AND(对接源_01水果!$X27="公司筐",N(对接源_01水果!$U27)&lt;&gt;0)),1,0)</f>
        <v>0</v>
      </c>
      <c r="S27" s="1" t="n">
        <f aca="false">N(S26)+$R27</f>
        <v>0</v>
      </c>
      <c r="T27" s="1" t="n">
        <f aca="false">IF(AND($K27=1,AND(对接源_01水果!$X27="公司筐",N(对接源_01水果!$V27)&lt;&gt;0)),1,0)</f>
        <v>0</v>
      </c>
      <c r="U27" s="1" t="n">
        <f aca="false">N(U26)+$T27</f>
        <v>3</v>
      </c>
      <c r="V27" s="1" t="n">
        <f aca="false">IF(AND($L27=1,AND(对接源_01水果!$X27="自备筐",N(对接源_01水果!$V27)&lt;&gt;0)),1,0)</f>
        <v>0</v>
      </c>
      <c r="W27" s="1" t="n">
        <f aca="false">N(W26)+$V27</f>
        <v>0</v>
      </c>
      <c r="X27" s="1" t="n">
        <f aca="false">IF(AND($L27=1,AND(对接源_01水果!$X27="自备筐",N(对接源_01水果!$T27)&lt;&gt;0)),1,0)</f>
        <v>0</v>
      </c>
      <c r="Y27" s="1" t="n">
        <f aca="false">N(Y26)+$X27</f>
        <v>0</v>
      </c>
      <c r="Z27" s="1" t="n">
        <f aca="false">IF(AND($M27=1,对接源_01水果!$D27="原料入库"),1,0)</f>
        <v>0</v>
      </c>
      <c r="AA27" s="1" t="n">
        <f aca="false">N(AA26)+$Z27</f>
        <v>4</v>
      </c>
      <c r="AB27" s="1" t="n">
        <f aca="false">IF(AND($M27=1,LEFT(对接源_01水果!$D27,4)="原料出库"),1,0)</f>
        <v>0</v>
      </c>
      <c r="AC27" s="1" t="n">
        <f aca="false">N(AC26)+$AB27</f>
        <v>0</v>
      </c>
      <c r="AD27" s="1" t="n">
        <f aca="false">IF(AND($M27=1,LEFT(对接源_01水果!$D27,4)="成品出库"),1,0)</f>
        <v>0</v>
      </c>
      <c r="AE27" s="1" t="n">
        <f aca="false">N(AE26)+$AD27</f>
        <v>0</v>
      </c>
      <c r="AF27" s="1" t="n">
        <f aca="false">IF(AND($N27=1,AND(LEFT(对接源_01水果!$D27,4)="包装物料",N(对接源_01水果!$K27)&lt;&gt;0)),1,0)</f>
        <v>0</v>
      </c>
      <c r="AG27" s="90" t="str">
        <f aca="false">IF(对接源_01水果!$AC27="","",对接源_01水果!$AC27)</f>
        <v/>
      </c>
      <c r="AH27" s="90" t="str">
        <f aca="false">IFERROR(INDEX($AG$4:$AG$1203,MATCH(ROW()-3,$AJ$4:$AJ$1203,0)),"")</f>
        <v/>
      </c>
      <c r="AI27" s="90" t="n">
        <f aca="false">IF(AG27="",0,IF(MATCH(AG27,$AG$4:$AG$1203,0)=ROW()-3,1,0))</f>
        <v>0</v>
      </c>
      <c r="AJ27" s="90" t="n">
        <f aca="false">N(AJ26)+AI27</f>
        <v>0</v>
      </c>
      <c r="AK27" s="1" t="n">
        <f aca="false">N(AK26)+$AJ27</f>
        <v>0</v>
      </c>
    </row>
    <row r="28" customFormat="false" ht="13.5" hidden="false" customHeight="false" outlineLevel="0" collapsed="false">
      <c r="A28" s="1" t="str">
        <f aca="false">IF(对接源_01水果!$C28="","",对接源_01水果!$C28)</f>
        <v>王照雪</v>
      </c>
      <c r="B28" s="1" t="n">
        <f aca="false">IF(A28="",0,IF(MATCH(A28,$A$4:$A$2403,0)=ROW()-3,1,0))</f>
        <v>0</v>
      </c>
      <c r="C28" s="1" t="n">
        <f aca="false">N(C27)+B28</f>
        <v>3</v>
      </c>
      <c r="E28" s="1" t="str">
        <f aca="false">IFERROR(INDEX($A$4:$A$2403,MATCH(ROW()-3,$C$4:$C$2403,0)),"")</f>
        <v/>
      </c>
      <c r="K28" s="1" t="n">
        <f aca="false">IF(OR($K$1="",对接源_01水果!$C28="",对接源_01水果!$C28&lt;&gt;$K$1,对接源_01水果!$B28=""),0,IF(OR(N(对接源_01水果!$B28)&lt;$K$2,N(对接源_01水果!$B28)&gt;$K$3),0,1))</f>
        <v>1</v>
      </c>
      <c r="L28" s="1" t="n">
        <f aca="false">IF(OR($L$1="",对接源_01水果!$C28="",对接源_01水果!$C28&lt;&gt;$L$1,对接源_01水果!$B28=""),0,IF(OR(N(对接源_01水果!$B28)&lt;$L$2,N(对接源_01水果!$B28)&gt;$L$3),0,1))</f>
        <v>0</v>
      </c>
      <c r="M28" s="1" t="n">
        <f aca="false">IF(OR($M$1="",对接源_01水果!$C28="",对接源_01水果!$C28&lt;&gt;$M$1,对接源_01水果!$B28=""),0,IF(OR(N(对接源_01水果!$B28)&lt;$M$2,N(对接源_01水果!$B28)&gt;$M$3),0,1))</f>
        <v>1</v>
      </c>
      <c r="N28" s="1" t="n">
        <f aca="false">IF(OR($N$1="",对接源_01水果!$C28="",对接源_01水果!$C28&lt;&gt;$N$1,对接源_01水果!$B28=""),0,IF(OR(N(对接源_01水果!$B28)&lt;$N$2,N(对接源_01水果!$B28)&gt;$N$3),0,1))</f>
        <v>0</v>
      </c>
      <c r="P28" s="1" t="n">
        <f aca="false">IF(AND($K28=1,AND(对接源_01水果!$X28="公司筐",N(对接源_01水果!$T28)&lt;&gt;0)),1,0)</f>
        <v>0</v>
      </c>
      <c r="Q28" s="1" t="n">
        <f aca="false">N(Q27)+$P28</f>
        <v>0</v>
      </c>
      <c r="R28" s="1" t="n">
        <f aca="false">IF(AND($K28=1,AND(对接源_01水果!$X28="公司筐",N(对接源_01水果!$U28)&lt;&gt;0)),1,0)</f>
        <v>0</v>
      </c>
      <c r="S28" s="1" t="n">
        <f aca="false">N(S27)+$R28</f>
        <v>0</v>
      </c>
      <c r="T28" s="1" t="n">
        <f aca="false">IF(AND($K28=1,AND(对接源_01水果!$X28="公司筐",N(对接源_01水果!$V28)&lt;&gt;0)),1,0)</f>
        <v>0</v>
      </c>
      <c r="U28" s="1" t="n">
        <f aca="false">N(U27)+$T28</f>
        <v>3</v>
      </c>
      <c r="V28" s="1" t="n">
        <f aca="false">IF(AND($L28=1,AND(对接源_01水果!$X28="自备筐",N(对接源_01水果!$V28)&lt;&gt;0)),1,0)</f>
        <v>0</v>
      </c>
      <c r="W28" s="1" t="n">
        <f aca="false">N(W27)+$V28</f>
        <v>0</v>
      </c>
      <c r="X28" s="1" t="n">
        <f aca="false">IF(AND($L28=1,AND(对接源_01水果!$X28="自备筐",N(对接源_01水果!$T28)&lt;&gt;0)),1,0)</f>
        <v>0</v>
      </c>
      <c r="Y28" s="1" t="n">
        <f aca="false">N(Y27)+$X28</f>
        <v>0</v>
      </c>
      <c r="Z28" s="1" t="n">
        <f aca="false">IF(AND($M28=1,对接源_01水果!$D28="原料入库"),1,0)</f>
        <v>1</v>
      </c>
      <c r="AA28" s="1" t="n">
        <f aca="false">N(AA27)+$Z28</f>
        <v>5</v>
      </c>
      <c r="AB28" s="1" t="n">
        <f aca="false">IF(AND($M28=1,LEFT(对接源_01水果!$D28,4)="原料出库"),1,0)</f>
        <v>0</v>
      </c>
      <c r="AC28" s="1" t="n">
        <f aca="false">N(AC27)+$AB28</f>
        <v>0</v>
      </c>
      <c r="AD28" s="1" t="n">
        <f aca="false">IF(AND($M28=1,LEFT(对接源_01水果!$D28,4)="成品出库"),1,0)</f>
        <v>0</v>
      </c>
      <c r="AE28" s="1" t="n">
        <f aca="false">N(AE27)+$AD28</f>
        <v>0</v>
      </c>
      <c r="AF28" s="1" t="n">
        <f aca="false">IF(AND($N28=1,AND(LEFT(对接源_01水果!$D28,4)="包装物料",N(对接源_01水果!$K28)&lt;&gt;0)),1,0)</f>
        <v>0</v>
      </c>
      <c r="AG28" s="90" t="str">
        <f aca="false">IF(对接源_01水果!$AC28="","",对接源_01水果!$AC28)</f>
        <v/>
      </c>
      <c r="AH28" s="90" t="str">
        <f aca="false">IFERROR(INDEX($AG$4:$AG$1203,MATCH(ROW()-3,$AJ$4:$AJ$1203,0)),"")</f>
        <v/>
      </c>
      <c r="AI28" s="90" t="n">
        <f aca="false">IF(AG28="",0,IF(MATCH(AG28,$AG$4:$AG$1203,0)=ROW()-3,1,0))</f>
        <v>0</v>
      </c>
      <c r="AJ28" s="90" t="n">
        <f aca="false">N(AJ27)+AI28</f>
        <v>0</v>
      </c>
      <c r="AK28" s="1" t="n">
        <f aca="false">N(AK27)+$AJ28</f>
        <v>0</v>
      </c>
    </row>
    <row r="29" customFormat="false" ht="13.5" hidden="false" customHeight="false" outlineLevel="0" collapsed="false">
      <c r="A29" s="1" t="str">
        <f aca="false">IF(对接源_01水果!$C29="","",对接源_01水果!$C29)</f>
        <v>聂新平</v>
      </c>
      <c r="B29" s="1" t="n">
        <f aca="false">IF(A29="",0,IF(MATCH(A29,$A$4:$A$2403,0)=ROW()-3,1,0))</f>
        <v>0</v>
      </c>
      <c r="C29" s="1" t="n">
        <f aca="false">N(C28)+B29</f>
        <v>3</v>
      </c>
      <c r="E29" s="1" t="str">
        <f aca="false">IFERROR(INDEX($A$4:$A$2403,MATCH(ROW()-3,$C$4:$C$2403,0)),"")</f>
        <v/>
      </c>
      <c r="K29" s="1" t="n">
        <f aca="false">IF(OR($K$1="",对接源_01水果!$C29="",对接源_01水果!$C29&lt;&gt;$K$1,对接源_01水果!$B29=""),0,IF(OR(N(对接源_01水果!$B29)&lt;$K$2,N(对接源_01水果!$B29)&gt;$K$3),0,1))</f>
        <v>0</v>
      </c>
      <c r="L29" s="1" t="n">
        <f aca="false">IF(OR($L$1="",对接源_01水果!$C29="",对接源_01水果!$C29&lt;&gt;$L$1,对接源_01水果!$B29=""),0,IF(OR(N(对接源_01水果!$B29)&lt;$L$2,N(对接源_01水果!$B29)&gt;$L$3),0,1))</f>
        <v>0</v>
      </c>
      <c r="M29" s="1" t="n">
        <f aca="false">IF(OR($M$1="",对接源_01水果!$C29="",对接源_01水果!$C29&lt;&gt;$M$1,对接源_01水果!$B29=""),0,IF(OR(N(对接源_01水果!$B29)&lt;$M$2,N(对接源_01水果!$B29)&gt;$M$3),0,1))</f>
        <v>0</v>
      </c>
      <c r="N29" s="1" t="n">
        <f aca="false">IF(OR($N$1="",对接源_01水果!$C29="",对接源_01水果!$C29&lt;&gt;$N$1,对接源_01水果!$B29=""),0,IF(OR(N(对接源_01水果!$B29)&lt;$N$2,N(对接源_01水果!$B29)&gt;$N$3),0,1))</f>
        <v>0</v>
      </c>
      <c r="P29" s="1" t="n">
        <f aca="false">IF(AND($K29=1,AND(对接源_01水果!$X29="公司筐",N(对接源_01水果!$T29)&lt;&gt;0)),1,0)</f>
        <v>0</v>
      </c>
      <c r="Q29" s="1" t="n">
        <f aca="false">N(Q28)+$P29</f>
        <v>0</v>
      </c>
      <c r="R29" s="1" t="n">
        <f aca="false">IF(AND($K29=1,AND(对接源_01水果!$X29="公司筐",N(对接源_01水果!$U29)&lt;&gt;0)),1,0)</f>
        <v>0</v>
      </c>
      <c r="S29" s="1" t="n">
        <f aca="false">N(S28)+$R29</f>
        <v>0</v>
      </c>
      <c r="T29" s="1" t="n">
        <f aca="false">IF(AND($K29=1,AND(对接源_01水果!$X29="公司筐",N(对接源_01水果!$V29)&lt;&gt;0)),1,0)</f>
        <v>0</v>
      </c>
      <c r="U29" s="1" t="n">
        <f aca="false">N(U28)+$T29</f>
        <v>3</v>
      </c>
      <c r="V29" s="1" t="n">
        <f aca="false">IF(AND($L29=1,AND(对接源_01水果!$X29="自备筐",N(对接源_01水果!$V29)&lt;&gt;0)),1,0)</f>
        <v>0</v>
      </c>
      <c r="W29" s="1" t="n">
        <f aca="false">N(W28)+$V29</f>
        <v>0</v>
      </c>
      <c r="X29" s="1" t="n">
        <f aca="false">IF(AND($L29=1,AND(对接源_01水果!$X29="自备筐",N(对接源_01水果!$T29)&lt;&gt;0)),1,0)</f>
        <v>0</v>
      </c>
      <c r="Y29" s="1" t="n">
        <f aca="false">N(Y28)+$X29</f>
        <v>0</v>
      </c>
      <c r="Z29" s="1" t="n">
        <f aca="false">IF(AND($M29=1,对接源_01水果!$D29="原料入库"),1,0)</f>
        <v>0</v>
      </c>
      <c r="AA29" s="1" t="n">
        <f aca="false">N(AA28)+$Z29</f>
        <v>5</v>
      </c>
      <c r="AB29" s="1" t="n">
        <f aca="false">IF(AND($M29=1,LEFT(对接源_01水果!$D29,4)="原料出库"),1,0)</f>
        <v>0</v>
      </c>
      <c r="AC29" s="1" t="n">
        <f aca="false">N(AC28)+$AB29</f>
        <v>0</v>
      </c>
      <c r="AD29" s="1" t="n">
        <f aca="false">IF(AND($M29=1,LEFT(对接源_01水果!$D29,4)="成品出库"),1,0)</f>
        <v>0</v>
      </c>
      <c r="AE29" s="1" t="n">
        <f aca="false">N(AE28)+$AD29</f>
        <v>0</v>
      </c>
      <c r="AF29" s="1" t="n">
        <f aca="false">IF(AND($N29=1,AND(LEFT(对接源_01水果!$D29,4)="包装物料",N(对接源_01水果!$K29)&lt;&gt;0)),1,0)</f>
        <v>0</v>
      </c>
      <c r="AG29" s="90" t="str">
        <f aca="false">IF(对接源_01水果!$AC29="","",对接源_01水果!$AC29)</f>
        <v/>
      </c>
      <c r="AH29" s="90" t="str">
        <f aca="false">IFERROR(INDEX($AG$4:$AG$1203,MATCH(ROW()-3,$AJ$4:$AJ$1203,0)),"")</f>
        <v/>
      </c>
      <c r="AI29" s="90" t="n">
        <f aca="false">IF(AG29="",0,IF(MATCH(AG29,$AG$4:$AG$1203,0)=ROW()-3,1,0))</f>
        <v>0</v>
      </c>
      <c r="AJ29" s="90" t="n">
        <f aca="false">N(AJ28)+AI29</f>
        <v>0</v>
      </c>
      <c r="AK29" s="1" t="n">
        <f aca="false">N(AK28)+$AJ29</f>
        <v>0</v>
      </c>
    </row>
    <row r="30" customFormat="false" ht="13.5" hidden="false" customHeight="false" outlineLevel="0" collapsed="false">
      <c r="A30" s="1" t="str">
        <f aca="false">IF(对接源_01水果!$C30="","",对接源_01水果!$C30)</f>
        <v>聂新平</v>
      </c>
      <c r="B30" s="1" t="n">
        <f aca="false">IF(A30="",0,IF(MATCH(A30,$A$4:$A$2403,0)=ROW()-3,1,0))</f>
        <v>0</v>
      </c>
      <c r="C30" s="1" t="n">
        <f aca="false">N(C29)+B30</f>
        <v>3</v>
      </c>
      <c r="E30" s="1" t="str">
        <f aca="false">IFERROR(INDEX($A$4:$A$2403,MATCH(ROW()-3,$C$4:$C$2403,0)),"")</f>
        <v/>
      </c>
      <c r="K30" s="1" t="n">
        <f aca="false">IF(OR($K$1="",对接源_01水果!$C30="",对接源_01水果!$C30&lt;&gt;$K$1,对接源_01水果!$B30=""),0,IF(OR(N(对接源_01水果!$B30)&lt;$K$2,N(对接源_01水果!$B30)&gt;$K$3),0,1))</f>
        <v>0</v>
      </c>
      <c r="L30" s="1" t="n">
        <f aca="false">IF(OR($L$1="",对接源_01水果!$C30="",对接源_01水果!$C30&lt;&gt;$L$1,对接源_01水果!$B30=""),0,IF(OR(N(对接源_01水果!$B30)&lt;$L$2,N(对接源_01水果!$B30)&gt;$L$3),0,1))</f>
        <v>0</v>
      </c>
      <c r="M30" s="1" t="n">
        <f aca="false">IF(OR($M$1="",对接源_01水果!$C30="",对接源_01水果!$C30&lt;&gt;$M$1,对接源_01水果!$B30=""),0,IF(OR(N(对接源_01水果!$B30)&lt;$M$2,N(对接源_01水果!$B30)&gt;$M$3),0,1))</f>
        <v>0</v>
      </c>
      <c r="N30" s="1" t="n">
        <f aca="false">IF(OR($N$1="",对接源_01水果!$C30="",对接源_01水果!$C30&lt;&gt;$N$1,对接源_01水果!$B30=""),0,IF(OR(N(对接源_01水果!$B30)&lt;$N$2,N(对接源_01水果!$B30)&gt;$N$3),0,1))</f>
        <v>0</v>
      </c>
      <c r="P30" s="1" t="n">
        <f aca="false">IF(AND($K30=1,AND(对接源_01水果!$X30="公司筐",N(对接源_01水果!$T30)&lt;&gt;0)),1,0)</f>
        <v>0</v>
      </c>
      <c r="Q30" s="1" t="n">
        <f aca="false">N(Q29)+$P30</f>
        <v>0</v>
      </c>
      <c r="R30" s="1" t="n">
        <f aca="false">IF(AND($K30=1,AND(对接源_01水果!$X30="公司筐",N(对接源_01水果!$U30)&lt;&gt;0)),1,0)</f>
        <v>0</v>
      </c>
      <c r="S30" s="1" t="n">
        <f aca="false">N(S29)+$R30</f>
        <v>0</v>
      </c>
      <c r="T30" s="1" t="n">
        <f aca="false">IF(AND($K30=1,AND(对接源_01水果!$X30="公司筐",N(对接源_01水果!$V30)&lt;&gt;0)),1,0)</f>
        <v>0</v>
      </c>
      <c r="U30" s="1" t="n">
        <f aca="false">N(U29)+$T30</f>
        <v>3</v>
      </c>
      <c r="V30" s="1" t="n">
        <f aca="false">IF(AND($L30=1,AND(对接源_01水果!$X30="自备筐",N(对接源_01水果!$V30)&lt;&gt;0)),1,0)</f>
        <v>0</v>
      </c>
      <c r="W30" s="1" t="n">
        <f aca="false">N(W29)+$V30</f>
        <v>0</v>
      </c>
      <c r="X30" s="1" t="n">
        <f aca="false">IF(AND($L30=1,AND(对接源_01水果!$X30="自备筐",N(对接源_01水果!$T30)&lt;&gt;0)),1,0)</f>
        <v>0</v>
      </c>
      <c r="Y30" s="1" t="n">
        <f aca="false">N(Y29)+$X30</f>
        <v>0</v>
      </c>
      <c r="Z30" s="1" t="n">
        <f aca="false">IF(AND($M30=1,对接源_01水果!$D30="原料入库"),1,0)</f>
        <v>0</v>
      </c>
      <c r="AA30" s="1" t="n">
        <f aca="false">N(AA29)+$Z30</f>
        <v>5</v>
      </c>
      <c r="AB30" s="1" t="n">
        <f aca="false">IF(AND($M30=1,LEFT(对接源_01水果!$D30,4)="原料出库"),1,0)</f>
        <v>0</v>
      </c>
      <c r="AC30" s="1" t="n">
        <f aca="false">N(AC29)+$AB30</f>
        <v>0</v>
      </c>
      <c r="AD30" s="1" t="n">
        <f aca="false">IF(AND($M30=1,LEFT(对接源_01水果!$D30,4)="成品出库"),1,0)</f>
        <v>0</v>
      </c>
      <c r="AE30" s="1" t="n">
        <f aca="false">N(AE29)+$AD30</f>
        <v>0</v>
      </c>
      <c r="AF30" s="1" t="n">
        <f aca="false">IF(AND($N30=1,AND(LEFT(对接源_01水果!$D30,4)="包装物料",N(对接源_01水果!$K30)&lt;&gt;0)),1,0)</f>
        <v>0</v>
      </c>
      <c r="AG30" s="90" t="str">
        <f aca="false">IF(对接源_01水果!$AC30="","",对接源_01水果!$AC30)</f>
        <v/>
      </c>
      <c r="AH30" s="90" t="str">
        <f aca="false">IFERROR(INDEX($AG$4:$AG$1203,MATCH(ROW()-3,$AJ$4:$AJ$1203,0)),"")</f>
        <v/>
      </c>
      <c r="AI30" s="90" t="n">
        <f aca="false">IF(AG30="",0,IF(MATCH(AG30,$AG$4:$AG$1203,0)=ROW()-3,1,0))</f>
        <v>0</v>
      </c>
      <c r="AJ30" s="90" t="n">
        <f aca="false">N(AJ29)+AI30</f>
        <v>0</v>
      </c>
      <c r="AK30" s="1" t="n">
        <f aca="false">N(AK29)+$AJ30</f>
        <v>0</v>
      </c>
    </row>
    <row r="31" customFormat="false" ht="13.5" hidden="false" customHeight="false" outlineLevel="0" collapsed="false">
      <c r="A31" s="1" t="str">
        <f aca="false">IF(对接源_01水果!$C31="","",对接源_01水果!$C31)</f>
        <v>伍元虎</v>
      </c>
      <c r="B31" s="1" t="n">
        <f aca="false">IF(A31="",0,IF(MATCH(A31,$A$4:$A$2403,0)=ROW()-3,1,0))</f>
        <v>0</v>
      </c>
      <c r="C31" s="1" t="n">
        <f aca="false">N(C30)+B31</f>
        <v>3</v>
      </c>
      <c r="E31" s="1" t="str">
        <f aca="false">IFERROR(INDEX($A$4:$A$2403,MATCH(ROW()-3,$C$4:$C$2403,0)),"")</f>
        <v/>
      </c>
      <c r="K31" s="1" t="n">
        <f aca="false">IF(OR($K$1="",对接源_01水果!$C31="",对接源_01水果!$C31&lt;&gt;$K$1,对接源_01水果!$B31=""),0,IF(OR(N(对接源_01水果!$B31)&lt;$K$2,N(对接源_01水果!$B31)&gt;$K$3),0,1))</f>
        <v>0</v>
      </c>
      <c r="L31" s="1" t="n">
        <f aca="false">IF(OR($L$1="",对接源_01水果!$C31="",对接源_01水果!$C31&lt;&gt;$L$1,对接源_01水果!$B31=""),0,IF(OR(N(对接源_01水果!$B31)&lt;$L$2,N(对接源_01水果!$B31)&gt;$L$3),0,1))</f>
        <v>0</v>
      </c>
      <c r="M31" s="1" t="n">
        <f aca="false">IF(OR($M$1="",对接源_01水果!$C31="",对接源_01水果!$C31&lt;&gt;$M$1,对接源_01水果!$B31=""),0,IF(OR(N(对接源_01水果!$B31)&lt;$M$2,N(对接源_01水果!$B31)&gt;$M$3),0,1))</f>
        <v>0</v>
      </c>
      <c r="N31" s="1" t="n">
        <f aca="false">IF(OR($N$1="",对接源_01水果!$C31="",对接源_01水果!$C31&lt;&gt;$N$1,对接源_01水果!$B31=""),0,IF(OR(N(对接源_01水果!$B31)&lt;$N$2,N(对接源_01水果!$B31)&gt;$N$3),0,1))</f>
        <v>0</v>
      </c>
      <c r="P31" s="1" t="n">
        <f aca="false">IF(AND($K31=1,AND(对接源_01水果!$X31="公司筐",N(对接源_01水果!$T31)&lt;&gt;0)),1,0)</f>
        <v>0</v>
      </c>
      <c r="Q31" s="1" t="n">
        <f aca="false">N(Q30)+$P31</f>
        <v>0</v>
      </c>
      <c r="R31" s="1" t="n">
        <f aca="false">IF(AND($K31=1,AND(对接源_01水果!$X31="公司筐",N(对接源_01水果!$U31)&lt;&gt;0)),1,0)</f>
        <v>0</v>
      </c>
      <c r="S31" s="1" t="n">
        <f aca="false">N(S30)+$R31</f>
        <v>0</v>
      </c>
      <c r="T31" s="1" t="n">
        <f aca="false">IF(AND($K31=1,AND(对接源_01水果!$X31="公司筐",N(对接源_01水果!$V31)&lt;&gt;0)),1,0)</f>
        <v>0</v>
      </c>
      <c r="U31" s="1" t="n">
        <f aca="false">N(U30)+$T31</f>
        <v>3</v>
      </c>
      <c r="V31" s="1" t="n">
        <f aca="false">IF(AND($L31=1,AND(对接源_01水果!$X31="自备筐",N(对接源_01水果!$V31)&lt;&gt;0)),1,0)</f>
        <v>0</v>
      </c>
      <c r="W31" s="1" t="n">
        <f aca="false">N(W30)+$V31</f>
        <v>0</v>
      </c>
      <c r="X31" s="1" t="n">
        <f aca="false">IF(AND($L31=1,AND(对接源_01水果!$X31="自备筐",N(对接源_01水果!$T31)&lt;&gt;0)),1,0)</f>
        <v>0</v>
      </c>
      <c r="Y31" s="1" t="n">
        <f aca="false">N(Y30)+$X31</f>
        <v>0</v>
      </c>
      <c r="Z31" s="1" t="n">
        <f aca="false">IF(AND($M31=1,对接源_01水果!$D31="原料入库"),1,0)</f>
        <v>0</v>
      </c>
      <c r="AA31" s="1" t="n">
        <f aca="false">N(AA30)+$Z31</f>
        <v>5</v>
      </c>
      <c r="AB31" s="1" t="n">
        <f aca="false">IF(AND($M31=1,LEFT(对接源_01水果!$D31,4)="原料出库"),1,0)</f>
        <v>0</v>
      </c>
      <c r="AC31" s="1" t="n">
        <f aca="false">N(AC30)+$AB31</f>
        <v>0</v>
      </c>
      <c r="AD31" s="1" t="n">
        <f aca="false">IF(AND($M31=1,LEFT(对接源_01水果!$D31,4)="成品出库"),1,0)</f>
        <v>0</v>
      </c>
      <c r="AE31" s="1" t="n">
        <f aca="false">N(AE30)+$AD31</f>
        <v>0</v>
      </c>
      <c r="AF31" s="1" t="n">
        <f aca="false">IF(AND($N31=1,AND(LEFT(对接源_01水果!$D31,4)="包装物料",N(对接源_01水果!$K31)&lt;&gt;0)),1,0)</f>
        <v>0</v>
      </c>
      <c r="AG31" s="90" t="str">
        <f aca="false">IF(对接源_01水果!$AC31="","",对接源_01水果!$AC31)</f>
        <v/>
      </c>
      <c r="AH31" s="90" t="str">
        <f aca="false">IFERROR(INDEX($AG$4:$AG$1203,MATCH(ROW()-3,$AJ$4:$AJ$1203,0)),"")</f>
        <v/>
      </c>
      <c r="AI31" s="90" t="n">
        <f aca="false">IF(AG31="",0,IF(MATCH(AG31,$AG$4:$AG$1203,0)=ROW()-3,1,0))</f>
        <v>0</v>
      </c>
      <c r="AJ31" s="90" t="n">
        <f aca="false">N(AJ30)+AI31</f>
        <v>0</v>
      </c>
      <c r="AK31" s="1" t="n">
        <f aca="false">N(AK30)+$AJ31</f>
        <v>0</v>
      </c>
    </row>
    <row r="32" customFormat="false" ht="13.5" hidden="false" customHeight="false" outlineLevel="0" collapsed="false">
      <c r="A32" s="1" t="str">
        <f aca="false">IF(对接源_01水果!$C32="","",对接源_01水果!$C32)</f>
        <v>聂新平</v>
      </c>
      <c r="B32" s="1" t="n">
        <f aca="false">IF(A32="",0,IF(MATCH(A32,$A$4:$A$2403,0)=ROW()-3,1,0))</f>
        <v>0</v>
      </c>
      <c r="C32" s="1" t="n">
        <f aca="false">N(C31)+B32</f>
        <v>3</v>
      </c>
      <c r="E32" s="1" t="str">
        <f aca="false">IFERROR(INDEX($A$4:$A$2403,MATCH(ROW()-3,$C$4:$C$2403,0)),"")</f>
        <v/>
      </c>
      <c r="K32" s="1" t="n">
        <f aca="false">IF(OR($K$1="",对接源_01水果!$C32="",对接源_01水果!$C32&lt;&gt;$K$1,对接源_01水果!$B32=""),0,IF(OR(N(对接源_01水果!$B32)&lt;$K$2,N(对接源_01水果!$B32)&gt;$K$3),0,1))</f>
        <v>0</v>
      </c>
      <c r="L32" s="1" t="n">
        <f aca="false">IF(OR($L$1="",对接源_01水果!$C32="",对接源_01水果!$C32&lt;&gt;$L$1,对接源_01水果!$B32=""),0,IF(OR(N(对接源_01水果!$B32)&lt;$L$2,N(对接源_01水果!$B32)&gt;$L$3),0,1))</f>
        <v>0</v>
      </c>
      <c r="M32" s="1" t="n">
        <f aca="false">IF(OR($M$1="",对接源_01水果!$C32="",对接源_01水果!$C32&lt;&gt;$M$1,对接源_01水果!$B32=""),0,IF(OR(N(对接源_01水果!$B32)&lt;$M$2,N(对接源_01水果!$B32)&gt;$M$3),0,1))</f>
        <v>0</v>
      </c>
      <c r="N32" s="1" t="n">
        <f aca="false">IF(OR($N$1="",对接源_01水果!$C32="",对接源_01水果!$C32&lt;&gt;$N$1,对接源_01水果!$B32=""),0,IF(OR(N(对接源_01水果!$B32)&lt;$N$2,N(对接源_01水果!$B32)&gt;$N$3),0,1))</f>
        <v>0</v>
      </c>
      <c r="P32" s="1" t="n">
        <f aca="false">IF(AND($K32=1,AND(对接源_01水果!$X32="公司筐",N(对接源_01水果!$T32)&lt;&gt;0)),1,0)</f>
        <v>0</v>
      </c>
      <c r="Q32" s="1" t="n">
        <f aca="false">N(Q31)+$P32</f>
        <v>0</v>
      </c>
      <c r="R32" s="1" t="n">
        <f aca="false">IF(AND($K32=1,AND(对接源_01水果!$X32="公司筐",N(对接源_01水果!$U32)&lt;&gt;0)),1,0)</f>
        <v>0</v>
      </c>
      <c r="S32" s="1" t="n">
        <f aca="false">N(S31)+$R32</f>
        <v>0</v>
      </c>
      <c r="T32" s="1" t="n">
        <f aca="false">IF(AND($K32=1,AND(对接源_01水果!$X32="公司筐",N(对接源_01水果!$V32)&lt;&gt;0)),1,0)</f>
        <v>0</v>
      </c>
      <c r="U32" s="1" t="n">
        <f aca="false">N(U31)+$T32</f>
        <v>3</v>
      </c>
      <c r="V32" s="1" t="n">
        <f aca="false">IF(AND($L32=1,AND(对接源_01水果!$X32="自备筐",N(对接源_01水果!$V32)&lt;&gt;0)),1,0)</f>
        <v>0</v>
      </c>
      <c r="W32" s="1" t="n">
        <f aca="false">N(W31)+$V32</f>
        <v>0</v>
      </c>
      <c r="X32" s="1" t="n">
        <f aca="false">IF(AND($L32=1,AND(对接源_01水果!$X32="自备筐",N(对接源_01水果!$T32)&lt;&gt;0)),1,0)</f>
        <v>0</v>
      </c>
      <c r="Y32" s="1" t="n">
        <f aca="false">N(Y31)+$X32</f>
        <v>0</v>
      </c>
      <c r="Z32" s="1" t="n">
        <f aca="false">IF(AND($M32=1,对接源_01水果!$D32="原料入库"),1,0)</f>
        <v>0</v>
      </c>
      <c r="AA32" s="1" t="n">
        <f aca="false">N(AA31)+$Z32</f>
        <v>5</v>
      </c>
      <c r="AB32" s="1" t="n">
        <f aca="false">IF(AND($M32=1,LEFT(对接源_01水果!$D32,4)="原料出库"),1,0)</f>
        <v>0</v>
      </c>
      <c r="AC32" s="1" t="n">
        <f aca="false">N(AC31)+$AB32</f>
        <v>0</v>
      </c>
      <c r="AD32" s="1" t="n">
        <f aca="false">IF(AND($M32=1,LEFT(对接源_01水果!$D32,4)="成品出库"),1,0)</f>
        <v>0</v>
      </c>
      <c r="AE32" s="1" t="n">
        <f aca="false">N(AE31)+$AD32</f>
        <v>0</v>
      </c>
      <c r="AF32" s="1" t="n">
        <f aca="false">IF(AND($N32=1,AND(LEFT(对接源_01水果!$D32,4)="包装物料",N(对接源_01水果!$K32)&lt;&gt;0)),1,0)</f>
        <v>0</v>
      </c>
      <c r="AG32" s="90" t="str">
        <f aca="false">IF(对接源_01水果!$AC32="","",对接源_01水果!$AC32)</f>
        <v/>
      </c>
      <c r="AH32" s="90" t="str">
        <f aca="false">IFERROR(INDEX($AG$4:$AG$1203,MATCH(ROW()-3,$AJ$4:$AJ$1203,0)),"")</f>
        <v/>
      </c>
      <c r="AI32" s="90" t="n">
        <f aca="false">IF(AG32="",0,IF(MATCH(AG32,$AG$4:$AG$1203,0)=ROW()-3,1,0))</f>
        <v>0</v>
      </c>
      <c r="AJ32" s="90" t="n">
        <f aca="false">N(AJ31)+AI32</f>
        <v>0</v>
      </c>
      <c r="AK32" s="1" t="n">
        <f aca="false">N(AK31)+$AJ32</f>
        <v>0</v>
      </c>
    </row>
    <row r="33" customFormat="false" ht="13.5" hidden="false" customHeight="false" outlineLevel="0" collapsed="false">
      <c r="A33" s="1" t="str">
        <f aca="false">IF(对接源_01水果!$C33="","",对接源_01水果!$C33)</f>
        <v>聂新平</v>
      </c>
      <c r="B33" s="1" t="n">
        <f aca="false">IF(A33="",0,IF(MATCH(A33,$A$4:$A$2403,0)=ROW()-3,1,0))</f>
        <v>0</v>
      </c>
      <c r="C33" s="1" t="n">
        <f aca="false">N(C32)+B33</f>
        <v>3</v>
      </c>
      <c r="E33" s="1" t="str">
        <f aca="false">IFERROR(INDEX($A$4:$A$2403,MATCH(ROW()-3,$C$4:$C$2403,0)),"")</f>
        <v/>
      </c>
      <c r="K33" s="1" t="n">
        <f aca="false">IF(OR($K$1="",对接源_01水果!$C33="",对接源_01水果!$C33&lt;&gt;$K$1,对接源_01水果!$B33=""),0,IF(OR(N(对接源_01水果!$B33)&lt;$K$2,N(对接源_01水果!$B33)&gt;$K$3),0,1))</f>
        <v>0</v>
      </c>
      <c r="L33" s="1" t="n">
        <f aca="false">IF(OR($L$1="",对接源_01水果!$C33="",对接源_01水果!$C33&lt;&gt;$L$1,对接源_01水果!$B33=""),0,IF(OR(N(对接源_01水果!$B33)&lt;$L$2,N(对接源_01水果!$B33)&gt;$L$3),0,1))</f>
        <v>0</v>
      </c>
      <c r="M33" s="1" t="n">
        <f aca="false">IF(OR($M$1="",对接源_01水果!$C33="",对接源_01水果!$C33&lt;&gt;$M$1,对接源_01水果!$B33=""),0,IF(OR(N(对接源_01水果!$B33)&lt;$M$2,N(对接源_01水果!$B33)&gt;$M$3),0,1))</f>
        <v>0</v>
      </c>
      <c r="N33" s="1" t="n">
        <f aca="false">IF(OR($N$1="",对接源_01水果!$C33="",对接源_01水果!$C33&lt;&gt;$N$1,对接源_01水果!$B33=""),0,IF(OR(N(对接源_01水果!$B33)&lt;$N$2,N(对接源_01水果!$B33)&gt;$N$3),0,1))</f>
        <v>0</v>
      </c>
      <c r="P33" s="1" t="n">
        <f aca="false">IF(AND($K33=1,AND(对接源_01水果!$X33="公司筐",N(对接源_01水果!$T33)&lt;&gt;0)),1,0)</f>
        <v>0</v>
      </c>
      <c r="Q33" s="1" t="n">
        <f aca="false">N(Q32)+$P33</f>
        <v>0</v>
      </c>
      <c r="R33" s="1" t="n">
        <f aca="false">IF(AND($K33=1,AND(对接源_01水果!$X33="公司筐",N(对接源_01水果!$U33)&lt;&gt;0)),1,0)</f>
        <v>0</v>
      </c>
      <c r="S33" s="1" t="n">
        <f aca="false">N(S32)+$R33</f>
        <v>0</v>
      </c>
      <c r="T33" s="1" t="n">
        <f aca="false">IF(AND($K33=1,AND(对接源_01水果!$X33="公司筐",N(对接源_01水果!$V33)&lt;&gt;0)),1,0)</f>
        <v>0</v>
      </c>
      <c r="U33" s="1" t="n">
        <f aca="false">N(U32)+$T33</f>
        <v>3</v>
      </c>
      <c r="V33" s="1" t="n">
        <f aca="false">IF(AND($L33=1,AND(对接源_01水果!$X33="自备筐",N(对接源_01水果!$V33)&lt;&gt;0)),1,0)</f>
        <v>0</v>
      </c>
      <c r="W33" s="1" t="n">
        <f aca="false">N(W32)+$V33</f>
        <v>0</v>
      </c>
      <c r="X33" s="1" t="n">
        <f aca="false">IF(AND($L33=1,AND(对接源_01水果!$X33="自备筐",N(对接源_01水果!$T33)&lt;&gt;0)),1,0)</f>
        <v>0</v>
      </c>
      <c r="Y33" s="1" t="n">
        <f aca="false">N(Y32)+$X33</f>
        <v>0</v>
      </c>
      <c r="Z33" s="1" t="n">
        <f aca="false">IF(AND($M33=1,对接源_01水果!$D33="原料入库"),1,0)</f>
        <v>0</v>
      </c>
      <c r="AA33" s="1" t="n">
        <f aca="false">N(AA32)+$Z33</f>
        <v>5</v>
      </c>
      <c r="AB33" s="1" t="n">
        <f aca="false">IF(AND($M33=1,LEFT(对接源_01水果!$D33,4)="原料出库"),1,0)</f>
        <v>0</v>
      </c>
      <c r="AC33" s="1" t="n">
        <f aca="false">N(AC32)+$AB33</f>
        <v>0</v>
      </c>
      <c r="AD33" s="1" t="n">
        <f aca="false">IF(AND($M33=1,LEFT(对接源_01水果!$D33,4)="成品出库"),1,0)</f>
        <v>0</v>
      </c>
      <c r="AE33" s="1" t="n">
        <f aca="false">N(AE32)+$AD33</f>
        <v>0</v>
      </c>
      <c r="AF33" s="1" t="n">
        <f aca="false">IF(AND($N33=1,AND(LEFT(对接源_01水果!$D33,4)="包装物料",N(对接源_01水果!$K33)&lt;&gt;0)),1,0)</f>
        <v>0</v>
      </c>
      <c r="AG33" s="90" t="str">
        <f aca="false">IF(对接源_01水果!$AC33="","",对接源_01水果!$AC33)</f>
        <v/>
      </c>
      <c r="AH33" s="90" t="str">
        <f aca="false">IFERROR(INDEX($AG$4:$AG$1203,MATCH(ROW()-3,$AJ$4:$AJ$1203,0)),"")</f>
        <v/>
      </c>
      <c r="AI33" s="90" t="n">
        <f aca="false">IF(AG33="",0,IF(MATCH(AG33,$AG$4:$AG$1203,0)=ROW()-3,1,0))</f>
        <v>0</v>
      </c>
      <c r="AJ33" s="90" t="n">
        <f aca="false">N(AJ32)+AI33</f>
        <v>0</v>
      </c>
      <c r="AK33" s="1" t="n">
        <f aca="false">N(AK32)+$AJ33</f>
        <v>0</v>
      </c>
    </row>
    <row r="34" customFormat="false" ht="13.5" hidden="false" customHeight="false" outlineLevel="0" collapsed="false">
      <c r="A34" s="1" t="str">
        <f aca="false">IF(对接源_01水果!$C34="","",对接源_01水果!$C34)</f>
        <v>聂新平</v>
      </c>
      <c r="B34" s="1" t="n">
        <f aca="false">IF(A34="",0,IF(MATCH(A34,$A$4:$A$2403,0)=ROW()-3,1,0))</f>
        <v>0</v>
      </c>
      <c r="C34" s="1" t="n">
        <f aca="false">N(C33)+B34</f>
        <v>3</v>
      </c>
      <c r="E34" s="1" t="str">
        <f aca="false">IFERROR(INDEX($A$4:$A$2403,MATCH(ROW()-3,$C$4:$C$2403,0)),"")</f>
        <v/>
      </c>
      <c r="K34" s="1" t="n">
        <f aca="false">IF(OR($K$1="",对接源_01水果!$C34="",对接源_01水果!$C34&lt;&gt;$K$1,对接源_01水果!$B34=""),0,IF(OR(N(对接源_01水果!$B34)&lt;$K$2,N(对接源_01水果!$B34)&gt;$K$3),0,1))</f>
        <v>0</v>
      </c>
      <c r="L34" s="1" t="n">
        <f aca="false">IF(OR($L$1="",对接源_01水果!$C34="",对接源_01水果!$C34&lt;&gt;$L$1,对接源_01水果!$B34=""),0,IF(OR(N(对接源_01水果!$B34)&lt;$L$2,N(对接源_01水果!$B34)&gt;$L$3),0,1))</f>
        <v>0</v>
      </c>
      <c r="M34" s="1" t="n">
        <f aca="false">IF(OR($M$1="",对接源_01水果!$C34="",对接源_01水果!$C34&lt;&gt;$M$1,对接源_01水果!$B34=""),0,IF(OR(N(对接源_01水果!$B34)&lt;$M$2,N(对接源_01水果!$B34)&gt;$M$3),0,1))</f>
        <v>0</v>
      </c>
      <c r="N34" s="1" t="n">
        <f aca="false">IF(OR($N$1="",对接源_01水果!$C34="",对接源_01水果!$C34&lt;&gt;$N$1,对接源_01水果!$B34=""),0,IF(OR(N(对接源_01水果!$B34)&lt;$N$2,N(对接源_01水果!$B34)&gt;$N$3),0,1))</f>
        <v>0</v>
      </c>
      <c r="P34" s="1" t="n">
        <f aca="false">IF(AND($K34=1,AND(对接源_01水果!$X34="公司筐",N(对接源_01水果!$T34)&lt;&gt;0)),1,0)</f>
        <v>0</v>
      </c>
      <c r="Q34" s="1" t="n">
        <f aca="false">N(Q33)+$P34</f>
        <v>0</v>
      </c>
      <c r="R34" s="1" t="n">
        <f aca="false">IF(AND($K34=1,AND(对接源_01水果!$X34="公司筐",N(对接源_01水果!$U34)&lt;&gt;0)),1,0)</f>
        <v>0</v>
      </c>
      <c r="S34" s="1" t="n">
        <f aca="false">N(S33)+$R34</f>
        <v>0</v>
      </c>
      <c r="T34" s="1" t="n">
        <f aca="false">IF(AND($K34=1,AND(对接源_01水果!$X34="公司筐",N(对接源_01水果!$V34)&lt;&gt;0)),1,0)</f>
        <v>0</v>
      </c>
      <c r="U34" s="1" t="n">
        <f aca="false">N(U33)+$T34</f>
        <v>3</v>
      </c>
      <c r="V34" s="1" t="n">
        <f aca="false">IF(AND($L34=1,AND(对接源_01水果!$X34="自备筐",N(对接源_01水果!$V34)&lt;&gt;0)),1,0)</f>
        <v>0</v>
      </c>
      <c r="W34" s="1" t="n">
        <f aca="false">N(W33)+$V34</f>
        <v>0</v>
      </c>
      <c r="X34" s="1" t="n">
        <f aca="false">IF(AND($L34=1,AND(对接源_01水果!$X34="自备筐",N(对接源_01水果!$T34)&lt;&gt;0)),1,0)</f>
        <v>0</v>
      </c>
      <c r="Y34" s="1" t="n">
        <f aca="false">N(Y33)+$X34</f>
        <v>0</v>
      </c>
      <c r="Z34" s="1" t="n">
        <f aca="false">IF(AND($M34=1,对接源_01水果!$D34="原料入库"),1,0)</f>
        <v>0</v>
      </c>
      <c r="AA34" s="1" t="n">
        <f aca="false">N(AA33)+$Z34</f>
        <v>5</v>
      </c>
      <c r="AB34" s="1" t="n">
        <f aca="false">IF(AND($M34=1,LEFT(对接源_01水果!$D34,4)="原料出库"),1,0)</f>
        <v>0</v>
      </c>
      <c r="AC34" s="1" t="n">
        <f aca="false">N(AC33)+$AB34</f>
        <v>0</v>
      </c>
      <c r="AD34" s="1" t="n">
        <f aca="false">IF(AND($M34=1,LEFT(对接源_01水果!$D34,4)="成品出库"),1,0)</f>
        <v>0</v>
      </c>
      <c r="AE34" s="1" t="n">
        <f aca="false">N(AE33)+$AD34</f>
        <v>0</v>
      </c>
      <c r="AF34" s="1" t="n">
        <f aca="false">IF(AND($N34=1,AND(LEFT(对接源_01水果!$D34,4)="包装物料",N(对接源_01水果!$K34)&lt;&gt;0)),1,0)</f>
        <v>0</v>
      </c>
      <c r="AG34" s="90" t="str">
        <f aca="false">IF(对接源_01水果!$AC34="","",对接源_01水果!$AC34)</f>
        <v/>
      </c>
      <c r="AH34" s="90" t="str">
        <f aca="false">IFERROR(INDEX($AG$4:$AG$1203,MATCH(ROW()-3,$AJ$4:$AJ$1203,0)),"")</f>
        <v/>
      </c>
      <c r="AI34" s="90" t="n">
        <f aca="false">IF(AG34="",0,IF(MATCH(AG34,$AG$4:$AG$1203,0)=ROW()-3,1,0))</f>
        <v>0</v>
      </c>
      <c r="AJ34" s="90" t="n">
        <f aca="false">N(AJ33)+AI34</f>
        <v>0</v>
      </c>
      <c r="AK34" s="1" t="n">
        <f aca="false">N(AK33)+$AJ34</f>
        <v>0</v>
      </c>
    </row>
    <row r="35" customFormat="false" ht="13.5" hidden="false" customHeight="false" outlineLevel="0" collapsed="false">
      <c r="A35" s="1" t="str">
        <f aca="false">IF(对接源_01水果!$C35="","",对接源_01水果!$C35)</f>
        <v>聂新平</v>
      </c>
      <c r="B35" s="1" t="n">
        <f aca="false">IF(A35="",0,IF(MATCH(A35,$A$4:$A$2403,0)=ROW()-3,1,0))</f>
        <v>0</v>
      </c>
      <c r="C35" s="1" t="n">
        <f aca="false">N(C34)+B35</f>
        <v>3</v>
      </c>
      <c r="E35" s="1" t="str">
        <f aca="false">IFERROR(INDEX($A$4:$A$2403,MATCH(ROW()-3,$C$4:$C$2403,0)),"")</f>
        <v/>
      </c>
      <c r="K35" s="1" t="n">
        <f aca="false">IF(OR($K$1="",对接源_01水果!$C35="",对接源_01水果!$C35&lt;&gt;$K$1,对接源_01水果!$B35=""),0,IF(OR(N(对接源_01水果!$B35)&lt;$K$2,N(对接源_01水果!$B35)&gt;$K$3),0,1))</f>
        <v>0</v>
      </c>
      <c r="L35" s="1" t="n">
        <f aca="false">IF(OR($L$1="",对接源_01水果!$C35="",对接源_01水果!$C35&lt;&gt;$L$1,对接源_01水果!$B35=""),0,IF(OR(N(对接源_01水果!$B35)&lt;$L$2,N(对接源_01水果!$B35)&gt;$L$3),0,1))</f>
        <v>0</v>
      </c>
      <c r="M35" s="1" t="n">
        <f aca="false">IF(OR($M$1="",对接源_01水果!$C35="",对接源_01水果!$C35&lt;&gt;$M$1,对接源_01水果!$B35=""),0,IF(OR(N(对接源_01水果!$B35)&lt;$M$2,N(对接源_01水果!$B35)&gt;$M$3),0,1))</f>
        <v>0</v>
      </c>
      <c r="N35" s="1" t="n">
        <f aca="false">IF(OR($N$1="",对接源_01水果!$C35="",对接源_01水果!$C35&lt;&gt;$N$1,对接源_01水果!$B35=""),0,IF(OR(N(对接源_01水果!$B35)&lt;$N$2,N(对接源_01水果!$B35)&gt;$N$3),0,1))</f>
        <v>0</v>
      </c>
      <c r="P35" s="1" t="n">
        <f aca="false">IF(AND($K35=1,AND(对接源_01水果!$X35="公司筐",N(对接源_01水果!$T35)&lt;&gt;0)),1,0)</f>
        <v>0</v>
      </c>
      <c r="Q35" s="1" t="n">
        <f aca="false">N(Q34)+$P35</f>
        <v>0</v>
      </c>
      <c r="R35" s="1" t="n">
        <f aca="false">IF(AND($K35=1,AND(对接源_01水果!$X35="公司筐",N(对接源_01水果!$U35)&lt;&gt;0)),1,0)</f>
        <v>0</v>
      </c>
      <c r="S35" s="1" t="n">
        <f aca="false">N(S34)+$R35</f>
        <v>0</v>
      </c>
      <c r="T35" s="1" t="n">
        <f aca="false">IF(AND($K35=1,AND(对接源_01水果!$X35="公司筐",N(对接源_01水果!$V35)&lt;&gt;0)),1,0)</f>
        <v>0</v>
      </c>
      <c r="U35" s="1" t="n">
        <f aca="false">N(U34)+$T35</f>
        <v>3</v>
      </c>
      <c r="V35" s="1" t="n">
        <f aca="false">IF(AND($L35=1,AND(对接源_01水果!$X35="自备筐",N(对接源_01水果!$V35)&lt;&gt;0)),1,0)</f>
        <v>0</v>
      </c>
      <c r="W35" s="1" t="n">
        <f aca="false">N(W34)+$V35</f>
        <v>0</v>
      </c>
      <c r="X35" s="1" t="n">
        <f aca="false">IF(AND($L35=1,AND(对接源_01水果!$X35="自备筐",N(对接源_01水果!$T35)&lt;&gt;0)),1,0)</f>
        <v>0</v>
      </c>
      <c r="Y35" s="1" t="n">
        <f aca="false">N(Y34)+$X35</f>
        <v>0</v>
      </c>
      <c r="Z35" s="1" t="n">
        <f aca="false">IF(AND($M35=1,对接源_01水果!$D35="原料入库"),1,0)</f>
        <v>0</v>
      </c>
      <c r="AA35" s="1" t="n">
        <f aca="false">N(AA34)+$Z35</f>
        <v>5</v>
      </c>
      <c r="AB35" s="1" t="n">
        <f aca="false">IF(AND($M35=1,LEFT(对接源_01水果!$D35,4)="原料出库"),1,0)</f>
        <v>0</v>
      </c>
      <c r="AC35" s="1" t="n">
        <f aca="false">N(AC34)+$AB35</f>
        <v>0</v>
      </c>
      <c r="AD35" s="1" t="n">
        <f aca="false">IF(AND($M35=1,LEFT(对接源_01水果!$D35,4)="成品出库"),1,0)</f>
        <v>0</v>
      </c>
      <c r="AE35" s="1" t="n">
        <f aca="false">N(AE34)+$AD35</f>
        <v>0</v>
      </c>
      <c r="AF35" s="1" t="n">
        <f aca="false">IF(AND($N35=1,AND(LEFT(对接源_01水果!$D35,4)="包装物料",N(对接源_01水果!$K35)&lt;&gt;0)),1,0)</f>
        <v>0</v>
      </c>
      <c r="AG35" s="90" t="str">
        <f aca="false">IF(对接源_01水果!$AC35="","",对接源_01水果!$AC35)</f>
        <v/>
      </c>
      <c r="AH35" s="90" t="str">
        <f aca="false">IFERROR(INDEX($AG$4:$AG$1203,MATCH(ROW()-3,$AJ$4:$AJ$1203,0)),"")</f>
        <v/>
      </c>
      <c r="AI35" s="90" t="n">
        <f aca="false">IF(AG35="",0,IF(MATCH(AG35,$AG$4:$AG$1203,0)=ROW()-3,1,0))</f>
        <v>0</v>
      </c>
      <c r="AJ35" s="90" t="n">
        <f aca="false">N(AJ34)+AI35</f>
        <v>0</v>
      </c>
      <c r="AK35" s="1" t="n">
        <f aca="false">N(AK34)+$AJ35</f>
        <v>0</v>
      </c>
    </row>
    <row r="36" customFormat="false" ht="13.5" hidden="false" customHeight="false" outlineLevel="0" collapsed="false">
      <c r="A36" s="1" t="str">
        <f aca="false">IF(对接源_01水果!$C36="","",对接源_01水果!$C36)</f>
        <v>聂新平</v>
      </c>
      <c r="B36" s="1" t="n">
        <f aca="false">IF(A36="",0,IF(MATCH(A36,$A$4:$A$2403,0)=ROW()-3,1,0))</f>
        <v>0</v>
      </c>
      <c r="C36" s="1" t="n">
        <f aca="false">N(C35)+B36</f>
        <v>3</v>
      </c>
      <c r="E36" s="1" t="str">
        <f aca="false">IFERROR(INDEX($A$4:$A$2403,MATCH(ROW()-3,$C$4:$C$2403,0)),"")</f>
        <v/>
      </c>
      <c r="K36" s="1" t="n">
        <f aca="false">IF(OR($K$1="",对接源_01水果!$C36="",对接源_01水果!$C36&lt;&gt;$K$1,对接源_01水果!$B36=""),0,IF(OR(N(对接源_01水果!$B36)&lt;$K$2,N(对接源_01水果!$B36)&gt;$K$3),0,1))</f>
        <v>0</v>
      </c>
      <c r="L36" s="1" t="n">
        <f aca="false">IF(OR($L$1="",对接源_01水果!$C36="",对接源_01水果!$C36&lt;&gt;$L$1,对接源_01水果!$B36=""),0,IF(OR(N(对接源_01水果!$B36)&lt;$L$2,N(对接源_01水果!$B36)&gt;$L$3),0,1))</f>
        <v>0</v>
      </c>
      <c r="M36" s="1" t="n">
        <f aca="false">IF(OR($M$1="",对接源_01水果!$C36="",对接源_01水果!$C36&lt;&gt;$M$1,对接源_01水果!$B36=""),0,IF(OR(N(对接源_01水果!$B36)&lt;$M$2,N(对接源_01水果!$B36)&gt;$M$3),0,1))</f>
        <v>0</v>
      </c>
      <c r="N36" s="1" t="n">
        <f aca="false">IF(OR($N$1="",对接源_01水果!$C36="",对接源_01水果!$C36&lt;&gt;$N$1,对接源_01水果!$B36=""),0,IF(OR(N(对接源_01水果!$B36)&lt;$N$2,N(对接源_01水果!$B36)&gt;$N$3),0,1))</f>
        <v>0</v>
      </c>
      <c r="P36" s="1" t="n">
        <f aca="false">IF(AND($K36=1,AND(对接源_01水果!$X36="公司筐",N(对接源_01水果!$T36)&lt;&gt;0)),1,0)</f>
        <v>0</v>
      </c>
      <c r="Q36" s="1" t="n">
        <f aca="false">N(Q35)+$P36</f>
        <v>0</v>
      </c>
      <c r="R36" s="1" t="n">
        <f aca="false">IF(AND($K36=1,AND(对接源_01水果!$X36="公司筐",N(对接源_01水果!$U36)&lt;&gt;0)),1,0)</f>
        <v>0</v>
      </c>
      <c r="S36" s="1" t="n">
        <f aca="false">N(S35)+$R36</f>
        <v>0</v>
      </c>
      <c r="T36" s="1" t="n">
        <f aca="false">IF(AND($K36=1,AND(对接源_01水果!$X36="公司筐",N(对接源_01水果!$V36)&lt;&gt;0)),1,0)</f>
        <v>0</v>
      </c>
      <c r="U36" s="1" t="n">
        <f aca="false">N(U35)+$T36</f>
        <v>3</v>
      </c>
      <c r="V36" s="1" t="n">
        <f aca="false">IF(AND($L36=1,AND(对接源_01水果!$X36="自备筐",N(对接源_01水果!$V36)&lt;&gt;0)),1,0)</f>
        <v>0</v>
      </c>
      <c r="W36" s="1" t="n">
        <f aca="false">N(W35)+$V36</f>
        <v>0</v>
      </c>
      <c r="X36" s="1" t="n">
        <f aca="false">IF(AND($L36=1,AND(对接源_01水果!$X36="自备筐",N(对接源_01水果!$T36)&lt;&gt;0)),1,0)</f>
        <v>0</v>
      </c>
      <c r="Y36" s="1" t="n">
        <f aca="false">N(Y35)+$X36</f>
        <v>0</v>
      </c>
      <c r="Z36" s="1" t="n">
        <f aca="false">IF(AND($M36=1,对接源_01水果!$D36="原料入库"),1,0)</f>
        <v>0</v>
      </c>
      <c r="AA36" s="1" t="n">
        <f aca="false">N(AA35)+$Z36</f>
        <v>5</v>
      </c>
      <c r="AB36" s="1" t="n">
        <f aca="false">IF(AND($M36=1,LEFT(对接源_01水果!$D36,4)="原料出库"),1,0)</f>
        <v>0</v>
      </c>
      <c r="AC36" s="1" t="n">
        <f aca="false">N(AC35)+$AB36</f>
        <v>0</v>
      </c>
      <c r="AD36" s="1" t="n">
        <f aca="false">IF(AND($M36=1,LEFT(对接源_01水果!$D36,4)="成品出库"),1,0)</f>
        <v>0</v>
      </c>
      <c r="AE36" s="1" t="n">
        <f aca="false">N(AE35)+$AD36</f>
        <v>0</v>
      </c>
      <c r="AF36" s="1" t="n">
        <f aca="false">IF(AND($N36=1,AND(LEFT(对接源_01水果!$D36,4)="包装物料",N(对接源_01水果!$K36)&lt;&gt;0)),1,0)</f>
        <v>0</v>
      </c>
      <c r="AG36" s="90" t="str">
        <f aca="false">IF(对接源_01水果!$AC36="","",对接源_01水果!$AC36)</f>
        <v/>
      </c>
      <c r="AH36" s="90" t="str">
        <f aca="false">IFERROR(INDEX($AG$4:$AG$1203,MATCH(ROW()-3,$AJ$4:$AJ$1203,0)),"")</f>
        <v/>
      </c>
      <c r="AI36" s="90" t="n">
        <f aca="false">IF(AG36="",0,IF(MATCH(AG36,$AG$4:$AG$1203,0)=ROW()-3,1,0))</f>
        <v>0</v>
      </c>
      <c r="AJ36" s="90" t="n">
        <f aca="false">N(AJ35)+AI36</f>
        <v>0</v>
      </c>
      <c r="AK36" s="1" t="n">
        <f aca="false">N(AK35)+$AJ36</f>
        <v>0</v>
      </c>
    </row>
    <row r="37" customFormat="false" ht="13.5" hidden="false" customHeight="false" outlineLevel="0" collapsed="false">
      <c r="A37" s="1" t="str">
        <f aca="false">IF(对接源_01水果!$C37="","",对接源_01水果!$C37)</f>
        <v>王照雪</v>
      </c>
      <c r="B37" s="1" t="n">
        <f aca="false">IF(A37="",0,IF(MATCH(A37,$A$4:$A$2403,0)=ROW()-3,1,0))</f>
        <v>0</v>
      </c>
      <c r="C37" s="1" t="n">
        <f aca="false">N(C36)+B37</f>
        <v>3</v>
      </c>
      <c r="E37" s="1" t="str">
        <f aca="false">IFERROR(INDEX($A$4:$A$2403,MATCH(ROW()-3,$C$4:$C$2403,0)),"")</f>
        <v/>
      </c>
      <c r="K37" s="1" t="n">
        <f aca="false">IF(OR($K$1="",对接源_01水果!$C37="",对接源_01水果!$C37&lt;&gt;$K$1,对接源_01水果!$B37=""),0,IF(OR(N(对接源_01水果!$B37)&lt;$K$2,N(对接源_01水果!$B37)&gt;$K$3),0,1))</f>
        <v>1</v>
      </c>
      <c r="L37" s="1" t="n">
        <f aca="false">IF(OR($L$1="",对接源_01水果!$C37="",对接源_01水果!$C37&lt;&gt;$L$1,对接源_01水果!$B37=""),0,IF(OR(N(对接源_01水果!$B37)&lt;$L$2,N(对接源_01水果!$B37)&gt;$L$3),0,1))</f>
        <v>0</v>
      </c>
      <c r="M37" s="1" t="n">
        <f aca="false">IF(OR($M$1="",对接源_01水果!$C37="",对接源_01水果!$C37&lt;&gt;$M$1,对接源_01水果!$B37=""),0,IF(OR(N(对接源_01水果!$B37)&lt;$M$2,N(对接源_01水果!$B37)&gt;$M$3),0,1))</f>
        <v>1</v>
      </c>
      <c r="N37" s="1" t="n">
        <f aca="false">IF(OR($N$1="",对接源_01水果!$C37="",对接源_01水果!$C37&lt;&gt;$N$1,对接源_01水果!$B37=""),0,IF(OR(N(对接源_01水果!$B37)&lt;$N$2,N(对接源_01水果!$B37)&gt;$N$3),0,1))</f>
        <v>0</v>
      </c>
      <c r="P37" s="1" t="n">
        <f aca="false">IF(AND($K37=1,AND(对接源_01水果!$X37="公司筐",N(对接源_01水果!$T37)&lt;&gt;0)),1,0)</f>
        <v>0</v>
      </c>
      <c r="Q37" s="1" t="n">
        <f aca="false">N(Q36)+$P37</f>
        <v>0</v>
      </c>
      <c r="R37" s="1" t="n">
        <f aca="false">IF(AND($K37=1,AND(对接源_01水果!$X37="公司筐",N(对接源_01水果!$U37)&lt;&gt;0)),1,0)</f>
        <v>0</v>
      </c>
      <c r="S37" s="1" t="n">
        <f aca="false">N(S36)+$R37</f>
        <v>0</v>
      </c>
      <c r="T37" s="1" t="n">
        <f aca="false">IF(AND($K37=1,AND(对接源_01水果!$X37="公司筐",N(对接源_01水果!$V37)&lt;&gt;0)),1,0)</f>
        <v>1</v>
      </c>
      <c r="U37" s="1" t="n">
        <f aca="false">N(U36)+$T37</f>
        <v>4</v>
      </c>
      <c r="V37" s="1" t="n">
        <f aca="false">IF(AND($L37=1,AND(对接源_01水果!$X37="自备筐",N(对接源_01水果!$V37)&lt;&gt;0)),1,0)</f>
        <v>0</v>
      </c>
      <c r="W37" s="1" t="n">
        <f aca="false">N(W36)+$V37</f>
        <v>0</v>
      </c>
      <c r="X37" s="1" t="n">
        <f aca="false">IF(AND($L37=1,AND(对接源_01水果!$X37="自备筐",N(对接源_01水果!$T37)&lt;&gt;0)),1,0)</f>
        <v>0</v>
      </c>
      <c r="Y37" s="1" t="n">
        <f aca="false">N(Y36)+$X37</f>
        <v>0</v>
      </c>
      <c r="Z37" s="1" t="n">
        <f aca="false">IF(AND($M37=1,对接源_01水果!$D37="原料入库"),1,0)</f>
        <v>1</v>
      </c>
      <c r="AA37" s="1" t="n">
        <f aca="false">N(AA36)+$Z37</f>
        <v>6</v>
      </c>
      <c r="AB37" s="1" t="n">
        <f aca="false">IF(AND($M37=1,LEFT(对接源_01水果!$D37,4)="原料出库"),1,0)</f>
        <v>0</v>
      </c>
      <c r="AC37" s="1" t="n">
        <f aca="false">N(AC36)+$AB37</f>
        <v>0</v>
      </c>
      <c r="AD37" s="1" t="n">
        <f aca="false">IF(AND($M37=1,LEFT(对接源_01水果!$D37,4)="成品出库"),1,0)</f>
        <v>0</v>
      </c>
      <c r="AE37" s="1" t="n">
        <f aca="false">N(AE36)+$AD37</f>
        <v>0</v>
      </c>
      <c r="AF37" s="1" t="n">
        <f aca="false">IF(AND($N37=1,AND(LEFT(对接源_01水果!$D37,4)="包装物料",N(对接源_01水果!$K37)&lt;&gt;0)),1,0)</f>
        <v>0</v>
      </c>
      <c r="AG37" s="90" t="str">
        <f aca="false">IF(对接源_01水果!$AC37="","",对接源_01水果!$AC37)</f>
        <v/>
      </c>
      <c r="AH37" s="90" t="str">
        <f aca="false">IFERROR(INDEX($AG$4:$AG$1203,MATCH(ROW()-3,$AJ$4:$AJ$1203,0)),"")</f>
        <v/>
      </c>
      <c r="AI37" s="90" t="n">
        <f aca="false">IF(AG37="",0,IF(MATCH(AG37,$AG$4:$AG$1203,0)=ROW()-3,1,0))</f>
        <v>0</v>
      </c>
      <c r="AJ37" s="90" t="n">
        <f aca="false">N(AJ36)+AI37</f>
        <v>0</v>
      </c>
      <c r="AK37" s="1" t="n">
        <f aca="false">N(AK36)+$AJ37</f>
        <v>0</v>
      </c>
    </row>
    <row r="38" customFormat="false" ht="13.5" hidden="false" customHeight="false" outlineLevel="0" collapsed="false">
      <c r="A38" s="1" t="str">
        <f aca="false">IF(对接源_01水果!$C38="","",对接源_01水果!$C38)</f>
        <v>王照雪</v>
      </c>
      <c r="B38" s="1" t="n">
        <f aca="false">IF(A38="",0,IF(MATCH(A38,$A$4:$A$2403,0)=ROW()-3,1,0))</f>
        <v>0</v>
      </c>
      <c r="C38" s="1" t="n">
        <f aca="false">N(C37)+B38</f>
        <v>3</v>
      </c>
      <c r="E38" s="1" t="str">
        <f aca="false">IFERROR(INDEX($A$4:$A$2403,MATCH(ROW()-3,$C$4:$C$2403,0)),"")</f>
        <v/>
      </c>
      <c r="K38" s="1" t="n">
        <f aca="false">IF(OR($K$1="",对接源_01水果!$C38="",对接源_01水果!$C38&lt;&gt;$K$1,对接源_01水果!$B38=""),0,IF(OR(N(对接源_01水果!$B38)&lt;$K$2,N(对接源_01水果!$B38)&gt;$K$3),0,1))</f>
        <v>1</v>
      </c>
      <c r="L38" s="1" t="n">
        <f aca="false">IF(OR($L$1="",对接源_01水果!$C38="",对接源_01水果!$C38&lt;&gt;$L$1,对接源_01水果!$B38=""),0,IF(OR(N(对接源_01水果!$B38)&lt;$L$2,N(对接源_01水果!$B38)&gt;$L$3),0,1))</f>
        <v>0</v>
      </c>
      <c r="M38" s="1" t="n">
        <f aca="false">IF(OR($M$1="",对接源_01水果!$C38="",对接源_01水果!$C38&lt;&gt;$M$1,对接源_01水果!$B38=""),0,IF(OR(N(对接源_01水果!$B38)&lt;$M$2,N(对接源_01水果!$B38)&gt;$M$3),0,1))</f>
        <v>1</v>
      </c>
      <c r="N38" s="1" t="n">
        <f aca="false">IF(OR($N$1="",对接源_01水果!$C38="",对接源_01水果!$C38&lt;&gt;$N$1,对接源_01水果!$B38=""),0,IF(OR(N(对接源_01水果!$B38)&lt;$N$2,N(对接源_01水果!$B38)&gt;$N$3),0,1))</f>
        <v>0</v>
      </c>
      <c r="P38" s="1" t="n">
        <f aca="false">IF(AND($K38=1,AND(对接源_01水果!$X38="公司筐",N(对接源_01水果!$T38)&lt;&gt;0)),1,0)</f>
        <v>0</v>
      </c>
      <c r="Q38" s="1" t="n">
        <f aca="false">N(Q37)+$P38</f>
        <v>0</v>
      </c>
      <c r="R38" s="1" t="n">
        <f aca="false">IF(AND($K38=1,AND(对接源_01水果!$X38="公司筐",N(对接源_01水果!$U38)&lt;&gt;0)),1,0)</f>
        <v>0</v>
      </c>
      <c r="S38" s="1" t="n">
        <f aca="false">N(S37)+$R38</f>
        <v>0</v>
      </c>
      <c r="T38" s="1" t="n">
        <f aca="false">IF(AND($K38=1,AND(对接源_01水果!$X38="公司筐",N(对接源_01水果!$V38)&lt;&gt;0)),1,0)</f>
        <v>1</v>
      </c>
      <c r="U38" s="1" t="n">
        <f aca="false">N(U37)+$T38</f>
        <v>5</v>
      </c>
      <c r="V38" s="1" t="n">
        <f aca="false">IF(AND($L38=1,AND(对接源_01水果!$X38="自备筐",N(对接源_01水果!$V38)&lt;&gt;0)),1,0)</f>
        <v>0</v>
      </c>
      <c r="W38" s="1" t="n">
        <f aca="false">N(W37)+$V38</f>
        <v>0</v>
      </c>
      <c r="X38" s="1" t="n">
        <f aca="false">IF(AND($L38=1,AND(对接源_01水果!$X38="自备筐",N(对接源_01水果!$T38)&lt;&gt;0)),1,0)</f>
        <v>0</v>
      </c>
      <c r="Y38" s="1" t="n">
        <f aca="false">N(Y37)+$X38</f>
        <v>0</v>
      </c>
      <c r="Z38" s="1" t="n">
        <f aca="false">IF(AND($M38=1,对接源_01水果!$D38="原料入库"),1,0)</f>
        <v>1</v>
      </c>
      <c r="AA38" s="1" t="n">
        <f aca="false">N(AA37)+$Z38</f>
        <v>7</v>
      </c>
      <c r="AB38" s="1" t="n">
        <f aca="false">IF(AND($M38=1,LEFT(对接源_01水果!$D38,4)="原料出库"),1,0)</f>
        <v>0</v>
      </c>
      <c r="AC38" s="1" t="n">
        <f aca="false">N(AC37)+$AB38</f>
        <v>0</v>
      </c>
      <c r="AD38" s="1" t="n">
        <f aca="false">IF(AND($M38=1,LEFT(对接源_01水果!$D38,4)="成品出库"),1,0)</f>
        <v>0</v>
      </c>
      <c r="AE38" s="1" t="n">
        <f aca="false">N(AE37)+$AD38</f>
        <v>0</v>
      </c>
      <c r="AF38" s="1" t="n">
        <f aca="false">IF(AND($N38=1,AND(LEFT(对接源_01水果!$D38,4)="包装物料",N(对接源_01水果!$K38)&lt;&gt;0)),1,0)</f>
        <v>0</v>
      </c>
      <c r="AG38" s="90" t="str">
        <f aca="false">IF(对接源_01水果!$AC38="","",对接源_01水果!$AC38)</f>
        <v/>
      </c>
      <c r="AH38" s="90" t="str">
        <f aca="false">IFERROR(INDEX($AG$4:$AG$1203,MATCH(ROW()-3,$AJ$4:$AJ$1203,0)),"")</f>
        <v/>
      </c>
      <c r="AI38" s="90" t="n">
        <f aca="false">IF(AG38="",0,IF(MATCH(AG38,$AG$4:$AG$1203,0)=ROW()-3,1,0))</f>
        <v>0</v>
      </c>
      <c r="AJ38" s="90" t="n">
        <f aca="false">N(AJ37)+AI38</f>
        <v>0</v>
      </c>
      <c r="AK38" s="1" t="n">
        <f aca="false">N(AK37)+$AJ38</f>
        <v>0</v>
      </c>
    </row>
    <row r="39" customFormat="false" ht="13.5" hidden="false" customHeight="false" outlineLevel="0" collapsed="false">
      <c r="A39" s="1" t="str">
        <f aca="false">IF(对接源_01水果!$C39="","",对接源_01水果!$C39)</f>
        <v>王照雪</v>
      </c>
      <c r="B39" s="1" t="n">
        <f aca="false">IF(A39="",0,IF(MATCH(A39,$A$4:$A$2403,0)=ROW()-3,1,0))</f>
        <v>0</v>
      </c>
      <c r="C39" s="1" t="n">
        <f aca="false">N(C38)+B39</f>
        <v>3</v>
      </c>
      <c r="E39" s="1" t="str">
        <f aca="false">IFERROR(INDEX($A$4:$A$2403,MATCH(ROW()-3,$C$4:$C$2403,0)),"")</f>
        <v/>
      </c>
      <c r="K39" s="1" t="n">
        <f aca="false">IF(OR($K$1="",对接源_01水果!$C39="",对接源_01水果!$C39&lt;&gt;$K$1,对接源_01水果!$B39=""),0,IF(OR(N(对接源_01水果!$B39)&lt;$K$2,N(对接源_01水果!$B39)&gt;$K$3),0,1))</f>
        <v>1</v>
      </c>
      <c r="L39" s="1" t="n">
        <f aca="false">IF(OR($L$1="",对接源_01水果!$C39="",对接源_01水果!$C39&lt;&gt;$L$1,对接源_01水果!$B39=""),0,IF(OR(N(对接源_01水果!$B39)&lt;$L$2,N(对接源_01水果!$B39)&gt;$L$3),0,1))</f>
        <v>0</v>
      </c>
      <c r="M39" s="1" t="n">
        <f aca="false">IF(OR($M$1="",对接源_01水果!$C39="",对接源_01水果!$C39&lt;&gt;$M$1,对接源_01水果!$B39=""),0,IF(OR(N(对接源_01水果!$B39)&lt;$M$2,N(对接源_01水果!$B39)&gt;$M$3),0,1))</f>
        <v>1</v>
      </c>
      <c r="N39" s="1" t="n">
        <f aca="false">IF(OR($N$1="",对接源_01水果!$C39="",对接源_01水果!$C39&lt;&gt;$N$1,对接源_01水果!$B39=""),0,IF(OR(N(对接源_01水果!$B39)&lt;$N$2,N(对接源_01水果!$B39)&gt;$N$3),0,1))</f>
        <v>0</v>
      </c>
      <c r="P39" s="1" t="n">
        <f aca="false">IF(AND($K39=1,AND(对接源_01水果!$X39="公司筐",N(对接源_01水果!$T39)&lt;&gt;0)),1,0)</f>
        <v>0</v>
      </c>
      <c r="Q39" s="1" t="n">
        <f aca="false">N(Q38)+$P39</f>
        <v>0</v>
      </c>
      <c r="R39" s="1" t="n">
        <f aca="false">IF(AND($K39=1,AND(对接源_01水果!$X39="公司筐",N(对接源_01水果!$U39)&lt;&gt;0)),1,0)</f>
        <v>0</v>
      </c>
      <c r="S39" s="1" t="n">
        <f aca="false">N(S38)+$R39</f>
        <v>0</v>
      </c>
      <c r="T39" s="1" t="n">
        <f aca="false">IF(AND($K39=1,AND(对接源_01水果!$X39="公司筐",N(对接源_01水果!$V39)&lt;&gt;0)),1,0)</f>
        <v>1</v>
      </c>
      <c r="U39" s="1" t="n">
        <f aca="false">N(U38)+$T39</f>
        <v>6</v>
      </c>
      <c r="V39" s="1" t="n">
        <f aca="false">IF(AND($L39=1,AND(对接源_01水果!$X39="自备筐",N(对接源_01水果!$V39)&lt;&gt;0)),1,0)</f>
        <v>0</v>
      </c>
      <c r="W39" s="1" t="n">
        <f aca="false">N(W38)+$V39</f>
        <v>0</v>
      </c>
      <c r="X39" s="1" t="n">
        <f aca="false">IF(AND($L39=1,AND(对接源_01水果!$X39="自备筐",N(对接源_01水果!$T39)&lt;&gt;0)),1,0)</f>
        <v>0</v>
      </c>
      <c r="Y39" s="1" t="n">
        <f aca="false">N(Y38)+$X39</f>
        <v>0</v>
      </c>
      <c r="Z39" s="1" t="n">
        <f aca="false">IF(AND($M39=1,对接源_01水果!$D39="原料入库"),1,0)</f>
        <v>1</v>
      </c>
      <c r="AA39" s="1" t="n">
        <f aca="false">N(AA38)+$Z39</f>
        <v>8</v>
      </c>
      <c r="AB39" s="1" t="n">
        <f aca="false">IF(AND($M39=1,LEFT(对接源_01水果!$D39,4)="原料出库"),1,0)</f>
        <v>0</v>
      </c>
      <c r="AC39" s="1" t="n">
        <f aca="false">N(AC38)+$AB39</f>
        <v>0</v>
      </c>
      <c r="AD39" s="1" t="n">
        <f aca="false">IF(AND($M39=1,LEFT(对接源_01水果!$D39,4)="成品出库"),1,0)</f>
        <v>0</v>
      </c>
      <c r="AE39" s="1" t="n">
        <f aca="false">N(AE38)+$AD39</f>
        <v>0</v>
      </c>
      <c r="AF39" s="1" t="n">
        <f aca="false">IF(AND($N39=1,AND(LEFT(对接源_01水果!$D39,4)="包装物料",N(对接源_01水果!$K39)&lt;&gt;0)),1,0)</f>
        <v>0</v>
      </c>
      <c r="AG39" s="90" t="str">
        <f aca="false">IF(对接源_01水果!$AC39="","",对接源_01水果!$AC39)</f>
        <v/>
      </c>
      <c r="AH39" s="90" t="str">
        <f aca="false">IFERROR(INDEX($AG$4:$AG$1203,MATCH(ROW()-3,$AJ$4:$AJ$1203,0)),"")</f>
        <v/>
      </c>
      <c r="AI39" s="90" t="n">
        <f aca="false">IF(AG39="",0,IF(MATCH(AG39,$AG$4:$AG$1203,0)=ROW()-3,1,0))</f>
        <v>0</v>
      </c>
      <c r="AJ39" s="90" t="n">
        <f aca="false">N(AJ38)+AI39</f>
        <v>0</v>
      </c>
      <c r="AK39" s="1" t="n">
        <f aca="false">N(AK38)+$AJ39</f>
        <v>0</v>
      </c>
    </row>
    <row r="40" customFormat="false" ht="13.5" hidden="false" customHeight="false" outlineLevel="0" collapsed="false">
      <c r="A40" s="1" t="str">
        <f aca="false">IF(对接源_01水果!$C40="","",对接源_01水果!$C40)</f>
        <v>聂新平</v>
      </c>
      <c r="B40" s="1" t="n">
        <f aca="false">IF(A40="",0,IF(MATCH(A40,$A$4:$A$2403,0)=ROW()-3,1,0))</f>
        <v>0</v>
      </c>
      <c r="C40" s="1" t="n">
        <f aca="false">N(C39)+B40</f>
        <v>3</v>
      </c>
      <c r="E40" s="1" t="str">
        <f aca="false">IFERROR(INDEX($A$4:$A$2403,MATCH(ROW()-3,$C$4:$C$2403,0)),"")</f>
        <v/>
      </c>
      <c r="K40" s="1" t="n">
        <f aca="false">IF(OR($K$1="",对接源_01水果!$C40="",对接源_01水果!$C40&lt;&gt;$K$1,对接源_01水果!$B40=""),0,IF(OR(N(对接源_01水果!$B40)&lt;$K$2,N(对接源_01水果!$B40)&gt;$K$3),0,1))</f>
        <v>0</v>
      </c>
      <c r="L40" s="1" t="n">
        <f aca="false">IF(OR($L$1="",对接源_01水果!$C40="",对接源_01水果!$C40&lt;&gt;$L$1,对接源_01水果!$B40=""),0,IF(OR(N(对接源_01水果!$B40)&lt;$L$2,N(对接源_01水果!$B40)&gt;$L$3),0,1))</f>
        <v>0</v>
      </c>
      <c r="M40" s="1" t="n">
        <f aca="false">IF(OR($M$1="",对接源_01水果!$C40="",对接源_01水果!$C40&lt;&gt;$M$1,对接源_01水果!$B40=""),0,IF(OR(N(对接源_01水果!$B40)&lt;$M$2,N(对接源_01水果!$B40)&gt;$M$3),0,1))</f>
        <v>0</v>
      </c>
      <c r="N40" s="1" t="n">
        <f aca="false">IF(OR($N$1="",对接源_01水果!$C40="",对接源_01水果!$C40&lt;&gt;$N$1,对接源_01水果!$B40=""),0,IF(OR(N(对接源_01水果!$B40)&lt;$N$2,N(对接源_01水果!$B40)&gt;$N$3),0,1))</f>
        <v>0</v>
      </c>
      <c r="P40" s="1" t="n">
        <f aca="false">IF(AND($K40=1,AND(对接源_01水果!$X40="公司筐",N(对接源_01水果!$T40)&lt;&gt;0)),1,0)</f>
        <v>0</v>
      </c>
      <c r="Q40" s="1" t="n">
        <f aca="false">N(Q39)+$P40</f>
        <v>0</v>
      </c>
      <c r="R40" s="1" t="n">
        <f aca="false">IF(AND($K40=1,AND(对接源_01水果!$X40="公司筐",N(对接源_01水果!$U40)&lt;&gt;0)),1,0)</f>
        <v>0</v>
      </c>
      <c r="S40" s="1" t="n">
        <f aca="false">N(S39)+$R40</f>
        <v>0</v>
      </c>
      <c r="T40" s="1" t="n">
        <f aca="false">IF(AND($K40=1,AND(对接源_01水果!$X40="公司筐",N(对接源_01水果!$V40)&lt;&gt;0)),1,0)</f>
        <v>0</v>
      </c>
      <c r="U40" s="1" t="n">
        <f aca="false">N(U39)+$T40</f>
        <v>6</v>
      </c>
      <c r="V40" s="1" t="n">
        <f aca="false">IF(AND($L40=1,AND(对接源_01水果!$X40="自备筐",N(对接源_01水果!$V40)&lt;&gt;0)),1,0)</f>
        <v>0</v>
      </c>
      <c r="W40" s="1" t="n">
        <f aca="false">N(W39)+$V40</f>
        <v>0</v>
      </c>
      <c r="X40" s="1" t="n">
        <f aca="false">IF(AND($L40=1,AND(对接源_01水果!$X40="自备筐",N(对接源_01水果!$T40)&lt;&gt;0)),1,0)</f>
        <v>0</v>
      </c>
      <c r="Y40" s="1" t="n">
        <f aca="false">N(Y39)+$X40</f>
        <v>0</v>
      </c>
      <c r="Z40" s="1" t="n">
        <f aca="false">IF(AND($M40=1,对接源_01水果!$D40="原料入库"),1,0)</f>
        <v>0</v>
      </c>
      <c r="AA40" s="1" t="n">
        <f aca="false">N(AA39)+$Z40</f>
        <v>8</v>
      </c>
      <c r="AB40" s="1" t="n">
        <f aca="false">IF(AND($M40=1,LEFT(对接源_01水果!$D40,4)="原料出库"),1,0)</f>
        <v>0</v>
      </c>
      <c r="AC40" s="1" t="n">
        <f aca="false">N(AC39)+$AB40</f>
        <v>0</v>
      </c>
      <c r="AD40" s="1" t="n">
        <f aca="false">IF(AND($M40=1,LEFT(对接源_01水果!$D40,4)="成品出库"),1,0)</f>
        <v>0</v>
      </c>
      <c r="AE40" s="1" t="n">
        <f aca="false">N(AE39)+$AD40</f>
        <v>0</v>
      </c>
      <c r="AF40" s="1" t="n">
        <f aca="false">IF(AND($N40=1,AND(LEFT(对接源_01水果!$D40,4)="包装物料",N(对接源_01水果!$K40)&lt;&gt;0)),1,0)</f>
        <v>0</v>
      </c>
      <c r="AG40" s="90" t="str">
        <f aca="false">IF(对接源_01水果!$AC40="","",对接源_01水果!$AC40)</f>
        <v/>
      </c>
      <c r="AH40" s="90" t="str">
        <f aca="false">IFERROR(INDEX($AG$4:$AG$1203,MATCH(ROW()-3,$AJ$4:$AJ$1203,0)),"")</f>
        <v/>
      </c>
      <c r="AI40" s="90" t="n">
        <f aca="false">IF(AG40="",0,IF(MATCH(AG40,$AG$4:$AG$1203,0)=ROW()-3,1,0))</f>
        <v>0</v>
      </c>
      <c r="AJ40" s="90" t="n">
        <f aca="false">N(AJ39)+AI40</f>
        <v>0</v>
      </c>
      <c r="AK40" s="1" t="n">
        <f aca="false">N(AK39)+$AJ40</f>
        <v>0</v>
      </c>
    </row>
    <row r="41" customFormat="false" ht="13.5" hidden="false" customHeight="false" outlineLevel="0" collapsed="false">
      <c r="A41" s="1" t="str">
        <f aca="false">IF(对接源_01水果!$C41="","",对接源_01水果!$C41)</f>
        <v>聂新平</v>
      </c>
      <c r="B41" s="1" t="n">
        <f aca="false">IF(A41="",0,IF(MATCH(A41,$A$4:$A$2403,0)=ROW()-3,1,0))</f>
        <v>0</v>
      </c>
      <c r="C41" s="1" t="n">
        <f aca="false">N(C40)+B41</f>
        <v>3</v>
      </c>
      <c r="E41" s="1" t="str">
        <f aca="false">IFERROR(INDEX($A$4:$A$2403,MATCH(ROW()-3,$C$4:$C$2403,0)),"")</f>
        <v/>
      </c>
      <c r="K41" s="1" t="n">
        <f aca="false">IF(OR($K$1="",对接源_01水果!$C41="",对接源_01水果!$C41&lt;&gt;$K$1,对接源_01水果!$B41=""),0,IF(OR(N(对接源_01水果!$B41)&lt;$K$2,N(对接源_01水果!$B41)&gt;$K$3),0,1))</f>
        <v>0</v>
      </c>
      <c r="L41" s="1" t="n">
        <f aca="false">IF(OR($L$1="",对接源_01水果!$C41="",对接源_01水果!$C41&lt;&gt;$L$1,对接源_01水果!$B41=""),0,IF(OR(N(对接源_01水果!$B41)&lt;$L$2,N(对接源_01水果!$B41)&gt;$L$3),0,1))</f>
        <v>0</v>
      </c>
      <c r="M41" s="1" t="n">
        <f aca="false">IF(OR($M$1="",对接源_01水果!$C41="",对接源_01水果!$C41&lt;&gt;$M$1,对接源_01水果!$B41=""),0,IF(OR(N(对接源_01水果!$B41)&lt;$M$2,N(对接源_01水果!$B41)&gt;$M$3),0,1))</f>
        <v>0</v>
      </c>
      <c r="N41" s="1" t="n">
        <f aca="false">IF(OR($N$1="",对接源_01水果!$C41="",对接源_01水果!$C41&lt;&gt;$N$1,对接源_01水果!$B41=""),0,IF(OR(N(对接源_01水果!$B41)&lt;$N$2,N(对接源_01水果!$B41)&gt;$N$3),0,1))</f>
        <v>0</v>
      </c>
      <c r="P41" s="1" t="n">
        <f aca="false">IF(AND($K41=1,AND(对接源_01水果!$X41="公司筐",N(对接源_01水果!$T41)&lt;&gt;0)),1,0)</f>
        <v>0</v>
      </c>
      <c r="Q41" s="1" t="n">
        <f aca="false">N(Q40)+$P41</f>
        <v>0</v>
      </c>
      <c r="R41" s="1" t="n">
        <f aca="false">IF(AND($K41=1,AND(对接源_01水果!$X41="公司筐",N(对接源_01水果!$U41)&lt;&gt;0)),1,0)</f>
        <v>0</v>
      </c>
      <c r="S41" s="1" t="n">
        <f aca="false">N(S40)+$R41</f>
        <v>0</v>
      </c>
      <c r="T41" s="1" t="n">
        <f aca="false">IF(AND($K41=1,AND(对接源_01水果!$X41="公司筐",N(对接源_01水果!$V41)&lt;&gt;0)),1,0)</f>
        <v>0</v>
      </c>
      <c r="U41" s="1" t="n">
        <f aca="false">N(U40)+$T41</f>
        <v>6</v>
      </c>
      <c r="V41" s="1" t="n">
        <f aca="false">IF(AND($L41=1,AND(对接源_01水果!$X41="自备筐",N(对接源_01水果!$V41)&lt;&gt;0)),1,0)</f>
        <v>0</v>
      </c>
      <c r="W41" s="1" t="n">
        <f aca="false">N(W40)+$V41</f>
        <v>0</v>
      </c>
      <c r="X41" s="1" t="n">
        <f aca="false">IF(AND($L41=1,AND(对接源_01水果!$X41="自备筐",N(对接源_01水果!$T41)&lt;&gt;0)),1,0)</f>
        <v>0</v>
      </c>
      <c r="Y41" s="1" t="n">
        <f aca="false">N(Y40)+$X41</f>
        <v>0</v>
      </c>
      <c r="Z41" s="1" t="n">
        <f aca="false">IF(AND($M41=1,对接源_01水果!$D41="原料入库"),1,0)</f>
        <v>0</v>
      </c>
      <c r="AA41" s="1" t="n">
        <f aca="false">N(AA40)+$Z41</f>
        <v>8</v>
      </c>
      <c r="AB41" s="1" t="n">
        <f aca="false">IF(AND($M41=1,LEFT(对接源_01水果!$D41,4)="原料出库"),1,0)</f>
        <v>0</v>
      </c>
      <c r="AC41" s="1" t="n">
        <f aca="false">N(AC40)+$AB41</f>
        <v>0</v>
      </c>
      <c r="AD41" s="1" t="n">
        <f aca="false">IF(AND($M41=1,LEFT(对接源_01水果!$D41,4)="成品出库"),1,0)</f>
        <v>0</v>
      </c>
      <c r="AE41" s="1" t="n">
        <f aca="false">N(AE40)+$AD41</f>
        <v>0</v>
      </c>
      <c r="AF41" s="1" t="n">
        <f aca="false">IF(AND($N41=1,AND(LEFT(对接源_01水果!$D41,4)="包装物料",N(对接源_01水果!$K41)&lt;&gt;0)),1,0)</f>
        <v>0</v>
      </c>
      <c r="AG41" s="90" t="str">
        <f aca="false">IF(对接源_01水果!$AC41="","",对接源_01水果!$AC41)</f>
        <v/>
      </c>
      <c r="AH41" s="90" t="str">
        <f aca="false">IFERROR(INDEX($AG$4:$AG$1203,MATCH(ROW()-3,$AJ$4:$AJ$1203,0)),"")</f>
        <v/>
      </c>
      <c r="AI41" s="90" t="n">
        <f aca="false">IF(AG41="",0,IF(MATCH(AG41,$AG$4:$AG$1203,0)=ROW()-3,1,0))</f>
        <v>0</v>
      </c>
      <c r="AJ41" s="90" t="n">
        <f aca="false">N(AJ40)+AI41</f>
        <v>0</v>
      </c>
      <c r="AK41" s="1" t="n">
        <f aca="false">N(AK40)+$AJ41</f>
        <v>0</v>
      </c>
    </row>
    <row r="42" customFormat="false" ht="13.5" hidden="false" customHeight="false" outlineLevel="0" collapsed="false">
      <c r="A42" s="1" t="str">
        <f aca="false">IF(对接源_01水果!$C42="","",对接源_01水果!$C42)</f>
        <v>聂新平</v>
      </c>
      <c r="B42" s="1" t="n">
        <f aca="false">IF(A42="",0,IF(MATCH(A42,$A$4:$A$2403,0)=ROW()-3,1,0))</f>
        <v>0</v>
      </c>
      <c r="C42" s="1" t="n">
        <f aca="false">N(C41)+B42</f>
        <v>3</v>
      </c>
      <c r="E42" s="1" t="str">
        <f aca="false">IFERROR(INDEX($A$4:$A$2403,MATCH(ROW()-3,$C$4:$C$2403,0)),"")</f>
        <v/>
      </c>
      <c r="K42" s="1" t="n">
        <f aca="false">IF(OR($K$1="",对接源_01水果!$C42="",对接源_01水果!$C42&lt;&gt;$K$1,对接源_01水果!$B42=""),0,IF(OR(N(对接源_01水果!$B42)&lt;$K$2,N(对接源_01水果!$B42)&gt;$K$3),0,1))</f>
        <v>0</v>
      </c>
      <c r="L42" s="1" t="n">
        <f aca="false">IF(OR($L$1="",对接源_01水果!$C42="",对接源_01水果!$C42&lt;&gt;$L$1,对接源_01水果!$B42=""),0,IF(OR(N(对接源_01水果!$B42)&lt;$L$2,N(对接源_01水果!$B42)&gt;$L$3),0,1))</f>
        <v>0</v>
      </c>
      <c r="M42" s="1" t="n">
        <f aca="false">IF(OR($M$1="",对接源_01水果!$C42="",对接源_01水果!$C42&lt;&gt;$M$1,对接源_01水果!$B42=""),0,IF(OR(N(对接源_01水果!$B42)&lt;$M$2,N(对接源_01水果!$B42)&gt;$M$3),0,1))</f>
        <v>0</v>
      </c>
      <c r="N42" s="1" t="n">
        <f aca="false">IF(OR($N$1="",对接源_01水果!$C42="",对接源_01水果!$C42&lt;&gt;$N$1,对接源_01水果!$B42=""),0,IF(OR(N(对接源_01水果!$B42)&lt;$N$2,N(对接源_01水果!$B42)&gt;$N$3),0,1))</f>
        <v>0</v>
      </c>
      <c r="P42" s="1" t="n">
        <f aca="false">IF(AND($K42=1,AND(对接源_01水果!$X42="公司筐",N(对接源_01水果!$T42)&lt;&gt;0)),1,0)</f>
        <v>0</v>
      </c>
      <c r="Q42" s="1" t="n">
        <f aca="false">N(Q41)+$P42</f>
        <v>0</v>
      </c>
      <c r="R42" s="1" t="n">
        <f aca="false">IF(AND($K42=1,AND(对接源_01水果!$X42="公司筐",N(对接源_01水果!$U42)&lt;&gt;0)),1,0)</f>
        <v>0</v>
      </c>
      <c r="S42" s="1" t="n">
        <f aca="false">N(S41)+$R42</f>
        <v>0</v>
      </c>
      <c r="T42" s="1" t="n">
        <f aca="false">IF(AND($K42=1,AND(对接源_01水果!$X42="公司筐",N(对接源_01水果!$V42)&lt;&gt;0)),1,0)</f>
        <v>0</v>
      </c>
      <c r="U42" s="1" t="n">
        <f aca="false">N(U41)+$T42</f>
        <v>6</v>
      </c>
      <c r="V42" s="1" t="n">
        <f aca="false">IF(AND($L42=1,AND(对接源_01水果!$X42="自备筐",N(对接源_01水果!$V42)&lt;&gt;0)),1,0)</f>
        <v>0</v>
      </c>
      <c r="W42" s="1" t="n">
        <f aca="false">N(W41)+$V42</f>
        <v>0</v>
      </c>
      <c r="X42" s="1" t="n">
        <f aca="false">IF(AND($L42=1,AND(对接源_01水果!$X42="自备筐",N(对接源_01水果!$T42)&lt;&gt;0)),1,0)</f>
        <v>0</v>
      </c>
      <c r="Y42" s="1" t="n">
        <f aca="false">N(Y41)+$X42</f>
        <v>0</v>
      </c>
      <c r="Z42" s="1" t="n">
        <f aca="false">IF(AND($M42=1,对接源_01水果!$D42="原料入库"),1,0)</f>
        <v>0</v>
      </c>
      <c r="AA42" s="1" t="n">
        <f aca="false">N(AA41)+$Z42</f>
        <v>8</v>
      </c>
      <c r="AB42" s="1" t="n">
        <f aca="false">IF(AND($M42=1,LEFT(对接源_01水果!$D42,4)="原料出库"),1,0)</f>
        <v>0</v>
      </c>
      <c r="AC42" s="1" t="n">
        <f aca="false">N(AC41)+$AB42</f>
        <v>0</v>
      </c>
      <c r="AD42" s="1" t="n">
        <f aca="false">IF(AND($M42=1,LEFT(对接源_01水果!$D42,4)="成品出库"),1,0)</f>
        <v>0</v>
      </c>
      <c r="AE42" s="1" t="n">
        <f aca="false">N(AE41)+$AD42</f>
        <v>0</v>
      </c>
      <c r="AF42" s="1" t="n">
        <f aca="false">IF(AND($N42=1,AND(LEFT(对接源_01水果!$D42,4)="包装物料",N(对接源_01水果!$K42)&lt;&gt;0)),1,0)</f>
        <v>0</v>
      </c>
      <c r="AG42" s="90" t="str">
        <f aca="false">IF(对接源_01水果!$AC42="","",对接源_01水果!$AC42)</f>
        <v/>
      </c>
      <c r="AH42" s="90" t="str">
        <f aca="false">IFERROR(INDEX($AG$4:$AG$1203,MATCH(ROW()-3,$AJ$4:$AJ$1203,0)),"")</f>
        <v/>
      </c>
      <c r="AI42" s="90" t="n">
        <f aca="false">IF(AG42="",0,IF(MATCH(AG42,$AG$4:$AG$1203,0)=ROW()-3,1,0))</f>
        <v>0</v>
      </c>
      <c r="AJ42" s="90" t="n">
        <f aca="false">N(AJ41)+AI42</f>
        <v>0</v>
      </c>
      <c r="AK42" s="1" t="n">
        <f aca="false">N(AK41)+$AJ42</f>
        <v>0</v>
      </c>
    </row>
    <row r="43" customFormat="false" ht="13.5" hidden="false" customHeight="false" outlineLevel="0" collapsed="false">
      <c r="A43" s="1" t="str">
        <f aca="false">IF(对接源_01水果!$C43="","",对接源_01水果!$C43)</f>
        <v>聂新平</v>
      </c>
      <c r="B43" s="1" t="n">
        <f aca="false">IF(A43="",0,IF(MATCH(A43,$A$4:$A$2403,0)=ROW()-3,1,0))</f>
        <v>0</v>
      </c>
      <c r="C43" s="1" t="n">
        <f aca="false">N(C42)+B43</f>
        <v>3</v>
      </c>
      <c r="E43" s="1" t="str">
        <f aca="false">IFERROR(INDEX($A$4:$A$2403,MATCH(ROW()-3,$C$4:$C$2403,0)),"")</f>
        <v/>
      </c>
      <c r="K43" s="1" t="n">
        <f aca="false">IF(OR($K$1="",对接源_01水果!$C43="",对接源_01水果!$C43&lt;&gt;$K$1,对接源_01水果!$B43=""),0,IF(OR(N(对接源_01水果!$B43)&lt;$K$2,N(对接源_01水果!$B43)&gt;$K$3),0,1))</f>
        <v>0</v>
      </c>
      <c r="L43" s="1" t="n">
        <f aca="false">IF(OR($L$1="",对接源_01水果!$C43="",对接源_01水果!$C43&lt;&gt;$L$1,对接源_01水果!$B43=""),0,IF(OR(N(对接源_01水果!$B43)&lt;$L$2,N(对接源_01水果!$B43)&gt;$L$3),0,1))</f>
        <v>0</v>
      </c>
      <c r="M43" s="1" t="n">
        <f aca="false">IF(OR($M$1="",对接源_01水果!$C43="",对接源_01水果!$C43&lt;&gt;$M$1,对接源_01水果!$B43=""),0,IF(OR(N(对接源_01水果!$B43)&lt;$M$2,N(对接源_01水果!$B43)&gt;$M$3),0,1))</f>
        <v>0</v>
      </c>
      <c r="N43" s="1" t="n">
        <f aca="false">IF(OR($N$1="",对接源_01水果!$C43="",对接源_01水果!$C43&lt;&gt;$N$1,对接源_01水果!$B43=""),0,IF(OR(N(对接源_01水果!$B43)&lt;$N$2,N(对接源_01水果!$B43)&gt;$N$3),0,1))</f>
        <v>0</v>
      </c>
      <c r="P43" s="1" t="n">
        <f aca="false">IF(AND($K43=1,AND(对接源_01水果!$X43="公司筐",N(对接源_01水果!$T43)&lt;&gt;0)),1,0)</f>
        <v>0</v>
      </c>
      <c r="Q43" s="1" t="n">
        <f aca="false">N(Q42)+$P43</f>
        <v>0</v>
      </c>
      <c r="R43" s="1" t="n">
        <f aca="false">IF(AND($K43=1,AND(对接源_01水果!$X43="公司筐",N(对接源_01水果!$U43)&lt;&gt;0)),1,0)</f>
        <v>0</v>
      </c>
      <c r="S43" s="1" t="n">
        <f aca="false">N(S42)+$R43</f>
        <v>0</v>
      </c>
      <c r="T43" s="1" t="n">
        <f aca="false">IF(AND($K43=1,AND(对接源_01水果!$X43="公司筐",N(对接源_01水果!$V43)&lt;&gt;0)),1,0)</f>
        <v>0</v>
      </c>
      <c r="U43" s="1" t="n">
        <f aca="false">N(U42)+$T43</f>
        <v>6</v>
      </c>
      <c r="V43" s="1" t="n">
        <f aca="false">IF(AND($L43=1,AND(对接源_01水果!$X43="自备筐",N(对接源_01水果!$V43)&lt;&gt;0)),1,0)</f>
        <v>0</v>
      </c>
      <c r="W43" s="1" t="n">
        <f aca="false">N(W42)+$V43</f>
        <v>0</v>
      </c>
      <c r="X43" s="1" t="n">
        <f aca="false">IF(AND($L43=1,AND(对接源_01水果!$X43="自备筐",N(对接源_01水果!$T43)&lt;&gt;0)),1,0)</f>
        <v>0</v>
      </c>
      <c r="Y43" s="1" t="n">
        <f aca="false">N(Y42)+$X43</f>
        <v>0</v>
      </c>
      <c r="Z43" s="1" t="n">
        <f aca="false">IF(AND($M43=1,对接源_01水果!$D43="原料入库"),1,0)</f>
        <v>0</v>
      </c>
      <c r="AA43" s="1" t="n">
        <f aca="false">N(AA42)+$Z43</f>
        <v>8</v>
      </c>
      <c r="AB43" s="1" t="n">
        <f aca="false">IF(AND($M43=1,LEFT(对接源_01水果!$D43,4)="原料出库"),1,0)</f>
        <v>0</v>
      </c>
      <c r="AC43" s="1" t="n">
        <f aca="false">N(AC42)+$AB43</f>
        <v>0</v>
      </c>
      <c r="AD43" s="1" t="n">
        <f aca="false">IF(AND($M43=1,LEFT(对接源_01水果!$D43,4)="成品出库"),1,0)</f>
        <v>0</v>
      </c>
      <c r="AE43" s="1" t="n">
        <f aca="false">N(AE42)+$AD43</f>
        <v>0</v>
      </c>
      <c r="AF43" s="1" t="n">
        <f aca="false">IF(AND($N43=1,AND(LEFT(对接源_01水果!$D43,4)="包装物料",N(对接源_01水果!$K43)&lt;&gt;0)),1,0)</f>
        <v>0</v>
      </c>
      <c r="AG43" s="90" t="str">
        <f aca="false">IF(对接源_01水果!$AC43="","",对接源_01水果!$AC43)</f>
        <v/>
      </c>
      <c r="AH43" s="90" t="str">
        <f aca="false">IFERROR(INDEX($AG$4:$AG$1203,MATCH(ROW()-3,$AJ$4:$AJ$1203,0)),"")</f>
        <v/>
      </c>
      <c r="AI43" s="90" t="n">
        <f aca="false">IF(AG43="",0,IF(MATCH(AG43,$AG$4:$AG$1203,0)=ROW()-3,1,0))</f>
        <v>0</v>
      </c>
      <c r="AJ43" s="90" t="n">
        <f aca="false">N(AJ42)+AI43</f>
        <v>0</v>
      </c>
      <c r="AK43" s="1" t="n">
        <f aca="false">N(AK42)+$AJ43</f>
        <v>0</v>
      </c>
    </row>
    <row r="44" customFormat="false" ht="13.5" hidden="false" customHeight="false" outlineLevel="0" collapsed="false">
      <c r="A44" s="1" t="str">
        <f aca="false">IF(对接源_01水果!$C44="","",对接源_01水果!$C44)</f>
        <v>聂新平</v>
      </c>
      <c r="B44" s="1" t="n">
        <f aca="false">IF(A44="",0,IF(MATCH(A44,$A$4:$A$2403,0)=ROW()-3,1,0))</f>
        <v>0</v>
      </c>
      <c r="C44" s="1" t="n">
        <f aca="false">N(C43)+B44</f>
        <v>3</v>
      </c>
      <c r="E44" s="1" t="str">
        <f aca="false">IFERROR(INDEX($A$4:$A$2403,MATCH(ROW()-3,$C$4:$C$2403,0)),"")</f>
        <v/>
      </c>
      <c r="K44" s="1" t="n">
        <f aca="false">IF(OR($K$1="",对接源_01水果!$C44="",对接源_01水果!$C44&lt;&gt;$K$1,对接源_01水果!$B44=""),0,IF(OR(N(对接源_01水果!$B44)&lt;$K$2,N(对接源_01水果!$B44)&gt;$K$3),0,1))</f>
        <v>0</v>
      </c>
      <c r="L44" s="1" t="n">
        <f aca="false">IF(OR($L$1="",对接源_01水果!$C44="",对接源_01水果!$C44&lt;&gt;$L$1,对接源_01水果!$B44=""),0,IF(OR(N(对接源_01水果!$B44)&lt;$L$2,N(对接源_01水果!$B44)&gt;$L$3),0,1))</f>
        <v>0</v>
      </c>
      <c r="M44" s="1" t="n">
        <f aca="false">IF(OR($M$1="",对接源_01水果!$C44="",对接源_01水果!$C44&lt;&gt;$M$1,对接源_01水果!$B44=""),0,IF(OR(N(对接源_01水果!$B44)&lt;$M$2,N(对接源_01水果!$B44)&gt;$M$3),0,1))</f>
        <v>0</v>
      </c>
      <c r="N44" s="1" t="n">
        <f aca="false">IF(OR($N$1="",对接源_01水果!$C44="",对接源_01水果!$C44&lt;&gt;$N$1,对接源_01水果!$B44=""),0,IF(OR(N(对接源_01水果!$B44)&lt;$N$2,N(对接源_01水果!$B44)&gt;$N$3),0,1))</f>
        <v>0</v>
      </c>
      <c r="P44" s="1" t="n">
        <f aca="false">IF(AND($K44=1,AND(对接源_01水果!$X44="公司筐",N(对接源_01水果!$T44)&lt;&gt;0)),1,0)</f>
        <v>0</v>
      </c>
      <c r="Q44" s="1" t="n">
        <f aca="false">N(Q43)+$P44</f>
        <v>0</v>
      </c>
      <c r="R44" s="1" t="n">
        <f aca="false">IF(AND($K44=1,AND(对接源_01水果!$X44="公司筐",N(对接源_01水果!$U44)&lt;&gt;0)),1,0)</f>
        <v>0</v>
      </c>
      <c r="S44" s="1" t="n">
        <f aca="false">N(S43)+$R44</f>
        <v>0</v>
      </c>
      <c r="T44" s="1" t="n">
        <f aca="false">IF(AND($K44=1,AND(对接源_01水果!$X44="公司筐",N(对接源_01水果!$V44)&lt;&gt;0)),1,0)</f>
        <v>0</v>
      </c>
      <c r="U44" s="1" t="n">
        <f aca="false">N(U43)+$T44</f>
        <v>6</v>
      </c>
      <c r="V44" s="1" t="n">
        <f aca="false">IF(AND($L44=1,AND(对接源_01水果!$X44="自备筐",N(对接源_01水果!$V44)&lt;&gt;0)),1,0)</f>
        <v>0</v>
      </c>
      <c r="W44" s="1" t="n">
        <f aca="false">N(W43)+$V44</f>
        <v>0</v>
      </c>
      <c r="X44" s="1" t="n">
        <f aca="false">IF(AND($L44=1,AND(对接源_01水果!$X44="自备筐",N(对接源_01水果!$T44)&lt;&gt;0)),1,0)</f>
        <v>0</v>
      </c>
      <c r="Y44" s="1" t="n">
        <f aca="false">N(Y43)+$X44</f>
        <v>0</v>
      </c>
      <c r="Z44" s="1" t="n">
        <f aca="false">IF(AND($M44=1,对接源_01水果!$D44="原料入库"),1,0)</f>
        <v>0</v>
      </c>
      <c r="AA44" s="1" t="n">
        <f aca="false">N(AA43)+$Z44</f>
        <v>8</v>
      </c>
      <c r="AB44" s="1" t="n">
        <f aca="false">IF(AND($M44=1,LEFT(对接源_01水果!$D44,4)="原料出库"),1,0)</f>
        <v>0</v>
      </c>
      <c r="AC44" s="1" t="n">
        <f aca="false">N(AC43)+$AB44</f>
        <v>0</v>
      </c>
      <c r="AD44" s="1" t="n">
        <f aca="false">IF(AND($M44=1,LEFT(对接源_01水果!$D44,4)="成品出库"),1,0)</f>
        <v>0</v>
      </c>
      <c r="AE44" s="1" t="n">
        <f aca="false">N(AE43)+$AD44</f>
        <v>0</v>
      </c>
      <c r="AF44" s="1" t="n">
        <f aca="false">IF(AND($N44=1,AND(LEFT(对接源_01水果!$D44,4)="包装物料",N(对接源_01水果!$K44)&lt;&gt;0)),1,0)</f>
        <v>0</v>
      </c>
      <c r="AG44" s="90" t="str">
        <f aca="false">IF(对接源_01水果!$AC44="","",对接源_01水果!$AC44)</f>
        <v/>
      </c>
      <c r="AH44" s="90" t="str">
        <f aca="false">IFERROR(INDEX($AG$4:$AG$1203,MATCH(ROW()-3,$AJ$4:$AJ$1203,0)),"")</f>
        <v/>
      </c>
      <c r="AI44" s="90" t="n">
        <f aca="false">IF(AG44="",0,IF(MATCH(AG44,$AG$4:$AG$1203,0)=ROW()-3,1,0))</f>
        <v>0</v>
      </c>
      <c r="AJ44" s="90" t="n">
        <f aca="false">N(AJ43)+AI44</f>
        <v>0</v>
      </c>
      <c r="AK44" s="1" t="n">
        <f aca="false">N(AK43)+$AJ44</f>
        <v>0</v>
      </c>
    </row>
    <row r="45" customFormat="false" ht="13.5" hidden="false" customHeight="false" outlineLevel="0" collapsed="false">
      <c r="A45" s="1" t="str">
        <f aca="false">IF(对接源_01水果!$C45="","",对接源_01水果!$C45)</f>
        <v>聂新平</v>
      </c>
      <c r="B45" s="1" t="n">
        <f aca="false">IF(A45="",0,IF(MATCH(A45,$A$4:$A$2403,0)=ROW()-3,1,0))</f>
        <v>0</v>
      </c>
      <c r="C45" s="1" t="n">
        <f aca="false">N(C44)+B45</f>
        <v>3</v>
      </c>
      <c r="E45" s="1" t="str">
        <f aca="false">IFERROR(INDEX($A$4:$A$2403,MATCH(ROW()-3,$C$4:$C$2403,0)),"")</f>
        <v/>
      </c>
      <c r="K45" s="1" t="n">
        <f aca="false">IF(OR($K$1="",对接源_01水果!$C45="",对接源_01水果!$C45&lt;&gt;$K$1,对接源_01水果!$B45=""),0,IF(OR(N(对接源_01水果!$B45)&lt;$K$2,N(对接源_01水果!$B45)&gt;$K$3),0,1))</f>
        <v>0</v>
      </c>
      <c r="L45" s="1" t="n">
        <f aca="false">IF(OR($L$1="",对接源_01水果!$C45="",对接源_01水果!$C45&lt;&gt;$L$1,对接源_01水果!$B45=""),0,IF(OR(N(对接源_01水果!$B45)&lt;$L$2,N(对接源_01水果!$B45)&gt;$L$3),0,1))</f>
        <v>0</v>
      </c>
      <c r="M45" s="1" t="n">
        <f aca="false">IF(OR($M$1="",对接源_01水果!$C45="",对接源_01水果!$C45&lt;&gt;$M$1,对接源_01水果!$B45=""),0,IF(OR(N(对接源_01水果!$B45)&lt;$M$2,N(对接源_01水果!$B45)&gt;$M$3),0,1))</f>
        <v>0</v>
      </c>
      <c r="N45" s="1" t="n">
        <f aca="false">IF(OR($N$1="",对接源_01水果!$C45="",对接源_01水果!$C45&lt;&gt;$N$1,对接源_01水果!$B45=""),0,IF(OR(N(对接源_01水果!$B45)&lt;$N$2,N(对接源_01水果!$B45)&gt;$N$3),0,1))</f>
        <v>0</v>
      </c>
      <c r="P45" s="1" t="n">
        <f aca="false">IF(AND($K45=1,AND(对接源_01水果!$X45="公司筐",N(对接源_01水果!$T45)&lt;&gt;0)),1,0)</f>
        <v>0</v>
      </c>
      <c r="Q45" s="1" t="n">
        <f aca="false">N(Q44)+$P45</f>
        <v>0</v>
      </c>
      <c r="R45" s="1" t="n">
        <f aca="false">IF(AND($K45=1,AND(对接源_01水果!$X45="公司筐",N(对接源_01水果!$U45)&lt;&gt;0)),1,0)</f>
        <v>0</v>
      </c>
      <c r="S45" s="1" t="n">
        <f aca="false">N(S44)+$R45</f>
        <v>0</v>
      </c>
      <c r="T45" s="1" t="n">
        <f aca="false">IF(AND($K45=1,AND(对接源_01水果!$X45="公司筐",N(对接源_01水果!$V45)&lt;&gt;0)),1,0)</f>
        <v>0</v>
      </c>
      <c r="U45" s="1" t="n">
        <f aca="false">N(U44)+$T45</f>
        <v>6</v>
      </c>
      <c r="V45" s="1" t="n">
        <f aca="false">IF(AND($L45=1,AND(对接源_01水果!$X45="自备筐",N(对接源_01水果!$V45)&lt;&gt;0)),1,0)</f>
        <v>0</v>
      </c>
      <c r="W45" s="1" t="n">
        <f aca="false">N(W44)+$V45</f>
        <v>0</v>
      </c>
      <c r="X45" s="1" t="n">
        <f aca="false">IF(AND($L45=1,AND(对接源_01水果!$X45="自备筐",N(对接源_01水果!$T45)&lt;&gt;0)),1,0)</f>
        <v>0</v>
      </c>
      <c r="Y45" s="1" t="n">
        <f aca="false">N(Y44)+$X45</f>
        <v>0</v>
      </c>
      <c r="Z45" s="1" t="n">
        <f aca="false">IF(AND($M45=1,对接源_01水果!$D45="原料入库"),1,0)</f>
        <v>0</v>
      </c>
      <c r="AA45" s="1" t="n">
        <f aca="false">N(AA44)+$Z45</f>
        <v>8</v>
      </c>
      <c r="AB45" s="1" t="n">
        <f aca="false">IF(AND($M45=1,LEFT(对接源_01水果!$D45,4)="原料出库"),1,0)</f>
        <v>0</v>
      </c>
      <c r="AC45" s="1" t="n">
        <f aca="false">N(AC44)+$AB45</f>
        <v>0</v>
      </c>
      <c r="AD45" s="1" t="n">
        <f aca="false">IF(AND($M45=1,LEFT(对接源_01水果!$D45,4)="成品出库"),1,0)</f>
        <v>0</v>
      </c>
      <c r="AE45" s="1" t="n">
        <f aca="false">N(AE44)+$AD45</f>
        <v>0</v>
      </c>
      <c r="AF45" s="1" t="n">
        <f aca="false">IF(AND($N45=1,AND(LEFT(对接源_01水果!$D45,4)="包装物料",N(对接源_01水果!$K45)&lt;&gt;0)),1,0)</f>
        <v>0</v>
      </c>
      <c r="AG45" s="90" t="str">
        <f aca="false">IF(对接源_01水果!$AC45="","",对接源_01水果!$AC45)</f>
        <v/>
      </c>
      <c r="AH45" s="90" t="str">
        <f aca="false">IFERROR(INDEX($AG$4:$AG$1203,MATCH(ROW()-3,$AJ$4:$AJ$1203,0)),"")</f>
        <v/>
      </c>
      <c r="AI45" s="90" t="n">
        <f aca="false">IF(AG45="",0,IF(MATCH(AG45,$AG$4:$AG$1203,0)=ROW()-3,1,0))</f>
        <v>0</v>
      </c>
      <c r="AJ45" s="90" t="n">
        <f aca="false">N(AJ44)+AI45</f>
        <v>0</v>
      </c>
      <c r="AK45" s="1" t="n">
        <f aca="false">N(AK44)+$AJ45</f>
        <v>0</v>
      </c>
    </row>
    <row r="46" customFormat="false" ht="13.5" hidden="false" customHeight="false" outlineLevel="0" collapsed="false">
      <c r="A46" s="1" t="str">
        <f aca="false">IF(对接源_01水果!$C46="","",对接源_01水果!$C46)</f>
        <v>王照雪</v>
      </c>
      <c r="B46" s="1" t="n">
        <f aca="false">IF(A46="",0,IF(MATCH(A46,$A$4:$A$2403,0)=ROW()-3,1,0))</f>
        <v>0</v>
      </c>
      <c r="C46" s="1" t="n">
        <f aca="false">N(C45)+B46</f>
        <v>3</v>
      </c>
      <c r="E46" s="1" t="str">
        <f aca="false">IFERROR(INDEX($A$4:$A$2403,MATCH(ROW()-3,$C$4:$C$2403,0)),"")</f>
        <v/>
      </c>
      <c r="K46" s="1" t="n">
        <f aca="false">IF(OR($K$1="",对接源_01水果!$C46="",对接源_01水果!$C46&lt;&gt;$K$1,对接源_01水果!$B46=""),0,IF(OR(N(对接源_01水果!$B46)&lt;$K$2,N(对接源_01水果!$B46)&gt;$K$3),0,1))</f>
        <v>1</v>
      </c>
      <c r="L46" s="1" t="n">
        <f aca="false">IF(OR($L$1="",对接源_01水果!$C46="",对接源_01水果!$C46&lt;&gt;$L$1,对接源_01水果!$B46=""),0,IF(OR(N(对接源_01水果!$B46)&lt;$L$2,N(对接源_01水果!$B46)&gt;$L$3),0,1))</f>
        <v>0</v>
      </c>
      <c r="M46" s="1" t="n">
        <f aca="false">IF(OR($M$1="",对接源_01水果!$C46="",对接源_01水果!$C46&lt;&gt;$M$1,对接源_01水果!$B46=""),0,IF(OR(N(对接源_01水果!$B46)&lt;$M$2,N(对接源_01水果!$B46)&gt;$M$3),0,1))</f>
        <v>1</v>
      </c>
      <c r="N46" s="1" t="n">
        <f aca="false">IF(OR($N$1="",对接源_01水果!$C46="",对接源_01水果!$C46&lt;&gt;$N$1,对接源_01水果!$B46=""),0,IF(OR(N(对接源_01水果!$B46)&lt;$N$2,N(对接源_01水果!$B46)&gt;$N$3),0,1))</f>
        <v>0</v>
      </c>
      <c r="P46" s="1" t="n">
        <f aca="false">IF(AND($K46=1,AND(对接源_01水果!$X46="公司筐",N(对接源_01水果!$T46)&lt;&gt;0)),1,0)</f>
        <v>0</v>
      </c>
      <c r="Q46" s="1" t="n">
        <f aca="false">N(Q45)+$P46</f>
        <v>0</v>
      </c>
      <c r="R46" s="1" t="n">
        <f aca="false">IF(AND($K46=1,AND(对接源_01水果!$X46="公司筐",N(对接源_01水果!$U46)&lt;&gt;0)),1,0)</f>
        <v>0</v>
      </c>
      <c r="S46" s="1" t="n">
        <f aca="false">N(S45)+$R46</f>
        <v>0</v>
      </c>
      <c r="T46" s="1" t="n">
        <f aca="false">IF(AND($K46=1,AND(对接源_01水果!$X46="公司筐",N(对接源_01水果!$V46)&lt;&gt;0)),1,0)</f>
        <v>1</v>
      </c>
      <c r="U46" s="1" t="n">
        <f aca="false">N(U45)+$T46</f>
        <v>7</v>
      </c>
      <c r="V46" s="1" t="n">
        <f aca="false">IF(AND($L46=1,AND(对接源_01水果!$X46="自备筐",N(对接源_01水果!$V46)&lt;&gt;0)),1,0)</f>
        <v>0</v>
      </c>
      <c r="W46" s="1" t="n">
        <f aca="false">N(W45)+$V46</f>
        <v>0</v>
      </c>
      <c r="X46" s="1" t="n">
        <f aca="false">IF(AND($L46=1,AND(对接源_01水果!$X46="自备筐",N(对接源_01水果!$T46)&lt;&gt;0)),1,0)</f>
        <v>0</v>
      </c>
      <c r="Y46" s="1" t="n">
        <f aca="false">N(Y45)+$X46</f>
        <v>0</v>
      </c>
      <c r="Z46" s="1" t="n">
        <f aca="false">IF(AND($M46=1,对接源_01水果!$D46="原料入库"),1,0)</f>
        <v>1</v>
      </c>
      <c r="AA46" s="1" t="n">
        <f aca="false">N(AA45)+$Z46</f>
        <v>9</v>
      </c>
      <c r="AB46" s="1" t="n">
        <f aca="false">IF(AND($M46=1,LEFT(对接源_01水果!$D46,4)="原料出库"),1,0)</f>
        <v>0</v>
      </c>
      <c r="AC46" s="1" t="n">
        <f aca="false">N(AC45)+$AB46</f>
        <v>0</v>
      </c>
      <c r="AD46" s="1" t="n">
        <f aca="false">IF(AND($M46=1,LEFT(对接源_01水果!$D46,4)="成品出库"),1,0)</f>
        <v>0</v>
      </c>
      <c r="AE46" s="1" t="n">
        <f aca="false">N(AE45)+$AD46</f>
        <v>0</v>
      </c>
      <c r="AF46" s="1" t="n">
        <f aca="false">IF(AND($N46=1,AND(LEFT(对接源_01水果!$D46,4)="包装物料",N(对接源_01水果!$K46)&lt;&gt;0)),1,0)</f>
        <v>0</v>
      </c>
      <c r="AG46" s="90" t="str">
        <f aca="false">IF(对接源_01水果!$AC46="","",对接源_01水果!$AC46)</f>
        <v/>
      </c>
      <c r="AH46" s="90" t="str">
        <f aca="false">IFERROR(INDEX($AG$4:$AG$1203,MATCH(ROW()-3,$AJ$4:$AJ$1203,0)),"")</f>
        <v/>
      </c>
      <c r="AI46" s="90" t="n">
        <f aca="false">IF(AG46="",0,IF(MATCH(AG46,$AG$4:$AG$1203,0)=ROW()-3,1,0))</f>
        <v>0</v>
      </c>
      <c r="AJ46" s="90" t="n">
        <f aca="false">N(AJ45)+AI46</f>
        <v>0</v>
      </c>
      <c r="AK46" s="1" t="n">
        <f aca="false">N(AK45)+$AJ46</f>
        <v>0</v>
      </c>
    </row>
    <row r="47" customFormat="false" ht="13.5" hidden="false" customHeight="false" outlineLevel="0" collapsed="false">
      <c r="A47" s="1" t="str">
        <f aca="false">IF(对接源_01水果!$C47="","",对接源_01水果!$C47)</f>
        <v>王照雪</v>
      </c>
      <c r="B47" s="1" t="n">
        <f aca="false">IF(A47="",0,IF(MATCH(A47,$A$4:$A$2403,0)=ROW()-3,1,0))</f>
        <v>0</v>
      </c>
      <c r="C47" s="1" t="n">
        <f aca="false">N(C46)+B47</f>
        <v>3</v>
      </c>
      <c r="E47" s="1" t="str">
        <f aca="false">IFERROR(INDEX($A$4:$A$2403,MATCH(ROW()-3,$C$4:$C$2403,0)),"")</f>
        <v/>
      </c>
      <c r="K47" s="1" t="n">
        <f aca="false">IF(OR($K$1="",对接源_01水果!$C47="",对接源_01水果!$C47&lt;&gt;$K$1,对接源_01水果!$B47=""),0,IF(OR(N(对接源_01水果!$B47)&lt;$K$2,N(对接源_01水果!$B47)&gt;$K$3),0,1))</f>
        <v>1</v>
      </c>
      <c r="L47" s="1" t="n">
        <f aca="false">IF(OR($L$1="",对接源_01水果!$C47="",对接源_01水果!$C47&lt;&gt;$L$1,对接源_01水果!$B47=""),0,IF(OR(N(对接源_01水果!$B47)&lt;$L$2,N(对接源_01水果!$B47)&gt;$L$3),0,1))</f>
        <v>0</v>
      </c>
      <c r="M47" s="1" t="n">
        <f aca="false">IF(OR($M$1="",对接源_01水果!$C47="",对接源_01水果!$C47&lt;&gt;$M$1,对接源_01水果!$B47=""),0,IF(OR(N(对接源_01水果!$B47)&lt;$M$2,N(对接源_01水果!$B47)&gt;$M$3),0,1))</f>
        <v>1</v>
      </c>
      <c r="N47" s="1" t="n">
        <f aca="false">IF(OR($N$1="",对接源_01水果!$C47="",对接源_01水果!$C47&lt;&gt;$N$1,对接源_01水果!$B47=""),0,IF(OR(N(对接源_01水果!$B47)&lt;$N$2,N(对接源_01水果!$B47)&gt;$N$3),0,1))</f>
        <v>0</v>
      </c>
      <c r="P47" s="1" t="n">
        <f aca="false">IF(AND($K47=1,AND(对接源_01水果!$X47="公司筐",N(对接源_01水果!$T47)&lt;&gt;0)),1,0)</f>
        <v>0</v>
      </c>
      <c r="Q47" s="1" t="n">
        <f aca="false">N(Q46)+$P47</f>
        <v>0</v>
      </c>
      <c r="R47" s="1" t="n">
        <f aca="false">IF(AND($K47=1,AND(对接源_01水果!$X47="公司筐",N(对接源_01水果!$U47)&lt;&gt;0)),1,0)</f>
        <v>0</v>
      </c>
      <c r="S47" s="1" t="n">
        <f aca="false">N(S46)+$R47</f>
        <v>0</v>
      </c>
      <c r="T47" s="1" t="n">
        <f aca="false">IF(AND($K47=1,AND(对接源_01水果!$X47="公司筐",N(对接源_01水果!$V47)&lt;&gt;0)),1,0)</f>
        <v>1</v>
      </c>
      <c r="U47" s="1" t="n">
        <f aca="false">N(U46)+$T47</f>
        <v>8</v>
      </c>
      <c r="V47" s="1" t="n">
        <f aca="false">IF(AND($L47=1,AND(对接源_01水果!$X47="自备筐",N(对接源_01水果!$V47)&lt;&gt;0)),1,0)</f>
        <v>0</v>
      </c>
      <c r="W47" s="1" t="n">
        <f aca="false">N(W46)+$V47</f>
        <v>0</v>
      </c>
      <c r="X47" s="1" t="n">
        <f aca="false">IF(AND($L47=1,AND(对接源_01水果!$X47="自备筐",N(对接源_01水果!$T47)&lt;&gt;0)),1,0)</f>
        <v>0</v>
      </c>
      <c r="Y47" s="1" t="n">
        <f aca="false">N(Y46)+$X47</f>
        <v>0</v>
      </c>
      <c r="Z47" s="1" t="n">
        <f aca="false">IF(AND($M47=1,对接源_01水果!$D47="原料入库"),1,0)</f>
        <v>1</v>
      </c>
      <c r="AA47" s="1" t="n">
        <f aca="false">N(AA46)+$Z47</f>
        <v>10</v>
      </c>
      <c r="AB47" s="1" t="n">
        <f aca="false">IF(AND($M47=1,LEFT(对接源_01水果!$D47,4)="原料出库"),1,0)</f>
        <v>0</v>
      </c>
      <c r="AC47" s="1" t="n">
        <f aca="false">N(AC46)+$AB47</f>
        <v>0</v>
      </c>
      <c r="AD47" s="1" t="n">
        <f aca="false">IF(AND($M47=1,LEFT(对接源_01水果!$D47,4)="成品出库"),1,0)</f>
        <v>0</v>
      </c>
      <c r="AE47" s="1" t="n">
        <f aca="false">N(AE46)+$AD47</f>
        <v>0</v>
      </c>
      <c r="AF47" s="1" t="n">
        <f aca="false">IF(AND($N47=1,AND(LEFT(对接源_01水果!$D47,4)="包装物料",N(对接源_01水果!$K47)&lt;&gt;0)),1,0)</f>
        <v>0</v>
      </c>
      <c r="AG47" s="90" t="str">
        <f aca="false">IF(对接源_01水果!$AC47="","",对接源_01水果!$AC47)</f>
        <v/>
      </c>
      <c r="AH47" s="90" t="str">
        <f aca="false">IFERROR(INDEX($AG$4:$AG$1203,MATCH(ROW()-3,$AJ$4:$AJ$1203,0)),"")</f>
        <v/>
      </c>
      <c r="AI47" s="90" t="n">
        <f aca="false">IF(AG47="",0,IF(MATCH(AG47,$AG$4:$AG$1203,0)=ROW()-3,1,0))</f>
        <v>0</v>
      </c>
      <c r="AJ47" s="90" t="n">
        <f aca="false">N(AJ46)+AI47</f>
        <v>0</v>
      </c>
      <c r="AK47" s="1" t="n">
        <f aca="false">N(AK46)+$AJ47</f>
        <v>0</v>
      </c>
    </row>
    <row r="48" customFormat="false" ht="13.5" hidden="false" customHeight="false" outlineLevel="0" collapsed="false">
      <c r="A48" s="1" t="str">
        <f aca="false">IF(对接源_01水果!$C48="","",对接源_01水果!$C48)</f>
        <v>王照雪</v>
      </c>
      <c r="B48" s="1" t="n">
        <f aca="false">IF(A48="",0,IF(MATCH(A48,$A$4:$A$2403,0)=ROW()-3,1,0))</f>
        <v>0</v>
      </c>
      <c r="C48" s="1" t="n">
        <f aca="false">N(C47)+B48</f>
        <v>3</v>
      </c>
      <c r="E48" s="1" t="str">
        <f aca="false">IFERROR(INDEX($A$4:$A$2403,MATCH(ROW()-3,$C$4:$C$2403,0)),"")</f>
        <v/>
      </c>
      <c r="K48" s="1" t="n">
        <f aca="false">IF(OR($K$1="",对接源_01水果!$C48="",对接源_01水果!$C48&lt;&gt;$K$1,对接源_01水果!$B48=""),0,IF(OR(N(对接源_01水果!$B48)&lt;$K$2,N(对接源_01水果!$B48)&gt;$K$3),0,1))</f>
        <v>1</v>
      </c>
      <c r="L48" s="1" t="n">
        <f aca="false">IF(OR($L$1="",对接源_01水果!$C48="",对接源_01水果!$C48&lt;&gt;$L$1,对接源_01水果!$B48=""),0,IF(OR(N(对接源_01水果!$B48)&lt;$L$2,N(对接源_01水果!$B48)&gt;$L$3),0,1))</f>
        <v>0</v>
      </c>
      <c r="M48" s="1" t="n">
        <f aca="false">IF(OR($M$1="",对接源_01水果!$C48="",对接源_01水果!$C48&lt;&gt;$M$1,对接源_01水果!$B48=""),0,IF(OR(N(对接源_01水果!$B48)&lt;$M$2,N(对接源_01水果!$B48)&gt;$M$3),0,1))</f>
        <v>1</v>
      </c>
      <c r="N48" s="1" t="n">
        <f aca="false">IF(OR($N$1="",对接源_01水果!$C48="",对接源_01水果!$C48&lt;&gt;$N$1,对接源_01水果!$B48=""),0,IF(OR(N(对接源_01水果!$B48)&lt;$N$2,N(对接源_01水果!$B48)&gt;$N$3),0,1))</f>
        <v>0</v>
      </c>
      <c r="P48" s="1" t="n">
        <f aca="false">IF(AND($K48=1,AND(对接源_01水果!$X48="公司筐",N(对接源_01水果!$T48)&lt;&gt;0)),1,0)</f>
        <v>0</v>
      </c>
      <c r="Q48" s="1" t="n">
        <f aca="false">N(Q47)+$P48</f>
        <v>0</v>
      </c>
      <c r="R48" s="1" t="n">
        <f aca="false">IF(AND($K48=1,AND(对接源_01水果!$X48="公司筐",N(对接源_01水果!$U48)&lt;&gt;0)),1,0)</f>
        <v>0</v>
      </c>
      <c r="S48" s="1" t="n">
        <f aca="false">N(S47)+$R48</f>
        <v>0</v>
      </c>
      <c r="T48" s="1" t="n">
        <f aca="false">IF(AND($K48=1,AND(对接源_01水果!$X48="公司筐",N(对接源_01水果!$V48)&lt;&gt;0)),1,0)</f>
        <v>1</v>
      </c>
      <c r="U48" s="1" t="n">
        <f aca="false">N(U47)+$T48</f>
        <v>9</v>
      </c>
      <c r="V48" s="1" t="n">
        <f aca="false">IF(AND($L48=1,AND(对接源_01水果!$X48="自备筐",N(对接源_01水果!$V48)&lt;&gt;0)),1,0)</f>
        <v>0</v>
      </c>
      <c r="W48" s="1" t="n">
        <f aca="false">N(W47)+$V48</f>
        <v>0</v>
      </c>
      <c r="X48" s="1" t="n">
        <f aca="false">IF(AND($L48=1,AND(对接源_01水果!$X48="自备筐",N(对接源_01水果!$T48)&lt;&gt;0)),1,0)</f>
        <v>0</v>
      </c>
      <c r="Y48" s="1" t="n">
        <f aca="false">N(Y47)+$X48</f>
        <v>0</v>
      </c>
      <c r="Z48" s="1" t="n">
        <f aca="false">IF(AND($M48=1,对接源_01水果!$D48="原料入库"),1,0)</f>
        <v>1</v>
      </c>
      <c r="AA48" s="1" t="n">
        <f aca="false">N(AA47)+$Z48</f>
        <v>11</v>
      </c>
      <c r="AB48" s="1" t="n">
        <f aca="false">IF(AND($M48=1,LEFT(对接源_01水果!$D48,4)="原料出库"),1,0)</f>
        <v>0</v>
      </c>
      <c r="AC48" s="1" t="n">
        <f aca="false">N(AC47)+$AB48</f>
        <v>0</v>
      </c>
      <c r="AD48" s="1" t="n">
        <f aca="false">IF(AND($M48=1,LEFT(对接源_01水果!$D48,4)="成品出库"),1,0)</f>
        <v>0</v>
      </c>
      <c r="AE48" s="1" t="n">
        <f aca="false">N(AE47)+$AD48</f>
        <v>0</v>
      </c>
      <c r="AF48" s="1" t="n">
        <f aca="false">IF(AND($N48=1,AND(LEFT(对接源_01水果!$D48,4)="包装物料",N(对接源_01水果!$K48)&lt;&gt;0)),1,0)</f>
        <v>0</v>
      </c>
      <c r="AG48" s="90" t="str">
        <f aca="false">IF(对接源_01水果!$AC48="","",对接源_01水果!$AC48)</f>
        <v/>
      </c>
      <c r="AH48" s="90" t="str">
        <f aca="false">IFERROR(INDEX($AG$4:$AG$1203,MATCH(ROW()-3,$AJ$4:$AJ$1203,0)),"")</f>
        <v/>
      </c>
      <c r="AI48" s="90" t="n">
        <f aca="false">IF(AG48="",0,IF(MATCH(AG48,$AG$4:$AG$1203,0)=ROW()-3,1,0))</f>
        <v>0</v>
      </c>
      <c r="AJ48" s="90" t="n">
        <f aca="false">N(AJ47)+AI48</f>
        <v>0</v>
      </c>
      <c r="AK48" s="1" t="n">
        <f aca="false">N(AK47)+$AJ48</f>
        <v>0</v>
      </c>
    </row>
    <row r="49" customFormat="false" ht="13.5" hidden="false" customHeight="false" outlineLevel="0" collapsed="false">
      <c r="A49" s="1" t="str">
        <f aca="false">IF(对接源_01水果!$C49="","",对接源_01水果!$C49)</f>
        <v>马锦祥</v>
      </c>
      <c r="B49" s="1" t="n">
        <f aca="false">IF(A49="",0,IF(MATCH(A49,$A$4:$A$2403,0)=ROW()-3,1,0))</f>
        <v>1</v>
      </c>
      <c r="C49" s="1" t="n">
        <f aca="false">N(C48)+B49</f>
        <v>4</v>
      </c>
      <c r="E49" s="1" t="str">
        <f aca="false">IFERROR(INDEX($A$4:$A$2403,MATCH(ROW()-3,$C$4:$C$2403,0)),"")</f>
        <v/>
      </c>
      <c r="K49" s="1" t="n">
        <f aca="false">IF(OR($K$1="",对接源_01水果!$C49="",对接源_01水果!$C49&lt;&gt;$K$1,对接源_01水果!$B49=""),0,IF(OR(N(对接源_01水果!$B49)&lt;$K$2,N(对接源_01水果!$B49)&gt;$K$3),0,1))</f>
        <v>0</v>
      </c>
      <c r="L49" s="1" t="n">
        <f aca="false">IF(OR($L$1="",对接源_01水果!$C49="",对接源_01水果!$C49&lt;&gt;$L$1,对接源_01水果!$B49=""),0,IF(OR(N(对接源_01水果!$B49)&lt;$L$2,N(对接源_01水果!$B49)&gt;$L$3),0,1))</f>
        <v>0</v>
      </c>
      <c r="M49" s="1" t="n">
        <f aca="false">IF(OR($M$1="",对接源_01水果!$C49="",对接源_01水果!$C49&lt;&gt;$M$1,对接源_01水果!$B49=""),0,IF(OR(N(对接源_01水果!$B49)&lt;$M$2,N(对接源_01水果!$B49)&gt;$M$3),0,1))</f>
        <v>0</v>
      </c>
      <c r="N49" s="1" t="n">
        <f aca="false">IF(OR($N$1="",对接源_01水果!$C49="",对接源_01水果!$C49&lt;&gt;$N$1,对接源_01水果!$B49=""),0,IF(OR(N(对接源_01水果!$B49)&lt;$N$2,N(对接源_01水果!$B49)&gt;$N$3),0,1))</f>
        <v>0</v>
      </c>
      <c r="P49" s="1" t="n">
        <f aca="false">IF(AND($K49=1,AND(对接源_01水果!$X49="公司筐",N(对接源_01水果!$T49)&lt;&gt;0)),1,0)</f>
        <v>0</v>
      </c>
      <c r="Q49" s="1" t="n">
        <f aca="false">N(Q48)+$P49</f>
        <v>0</v>
      </c>
      <c r="R49" s="1" t="n">
        <f aca="false">IF(AND($K49=1,AND(对接源_01水果!$X49="公司筐",N(对接源_01水果!$U49)&lt;&gt;0)),1,0)</f>
        <v>0</v>
      </c>
      <c r="S49" s="1" t="n">
        <f aca="false">N(S48)+$R49</f>
        <v>0</v>
      </c>
      <c r="T49" s="1" t="n">
        <f aca="false">IF(AND($K49=1,AND(对接源_01水果!$X49="公司筐",N(对接源_01水果!$V49)&lt;&gt;0)),1,0)</f>
        <v>0</v>
      </c>
      <c r="U49" s="1" t="n">
        <f aca="false">N(U48)+$T49</f>
        <v>9</v>
      </c>
      <c r="V49" s="1" t="n">
        <f aca="false">IF(AND($L49=1,AND(对接源_01水果!$X49="自备筐",N(对接源_01水果!$V49)&lt;&gt;0)),1,0)</f>
        <v>0</v>
      </c>
      <c r="W49" s="1" t="n">
        <f aca="false">N(W48)+$V49</f>
        <v>0</v>
      </c>
      <c r="X49" s="1" t="n">
        <f aca="false">IF(AND($L49=1,AND(对接源_01水果!$X49="自备筐",N(对接源_01水果!$T49)&lt;&gt;0)),1,0)</f>
        <v>0</v>
      </c>
      <c r="Y49" s="1" t="n">
        <f aca="false">N(Y48)+$X49</f>
        <v>0</v>
      </c>
      <c r="Z49" s="1" t="n">
        <f aca="false">IF(AND($M49=1,对接源_01水果!$D49="原料入库"),1,0)</f>
        <v>0</v>
      </c>
      <c r="AA49" s="1" t="n">
        <f aca="false">N(AA48)+$Z49</f>
        <v>11</v>
      </c>
      <c r="AB49" s="1" t="n">
        <f aca="false">IF(AND($M49=1,LEFT(对接源_01水果!$D49,4)="原料出库"),1,0)</f>
        <v>0</v>
      </c>
      <c r="AC49" s="1" t="n">
        <f aca="false">N(AC48)+$AB49</f>
        <v>0</v>
      </c>
      <c r="AD49" s="1" t="n">
        <f aca="false">IF(AND($M49=1,LEFT(对接源_01水果!$D49,4)="成品出库"),1,0)</f>
        <v>0</v>
      </c>
      <c r="AE49" s="1" t="n">
        <f aca="false">N(AE48)+$AD49</f>
        <v>0</v>
      </c>
      <c r="AF49" s="1" t="n">
        <f aca="false">IF(AND($N49=1,AND(LEFT(对接源_01水果!$D49,4)="包装物料",N(对接源_01水果!$K49)&lt;&gt;0)),1,0)</f>
        <v>0</v>
      </c>
      <c r="AG49" s="90" t="str">
        <f aca="false">IF(对接源_01水果!$AC49="","",对接源_01水果!$AC49)</f>
        <v/>
      </c>
      <c r="AH49" s="90" t="str">
        <f aca="false">IFERROR(INDEX($AG$4:$AG$1203,MATCH(ROW()-3,$AJ$4:$AJ$1203,0)),"")</f>
        <v/>
      </c>
      <c r="AI49" s="90" t="n">
        <f aca="false">IF(AG49="",0,IF(MATCH(AG49,$AG$4:$AG$1203,0)=ROW()-3,1,0))</f>
        <v>0</v>
      </c>
      <c r="AJ49" s="90" t="n">
        <f aca="false">N(AJ48)+AI49</f>
        <v>0</v>
      </c>
      <c r="AK49" s="1" t="n">
        <f aca="false">N(AK48)+$AJ49</f>
        <v>0</v>
      </c>
    </row>
    <row r="50" customFormat="false" ht="13.5" hidden="false" customHeight="false" outlineLevel="0" collapsed="false">
      <c r="A50" s="1" t="str">
        <f aca="false">IF(对接源_01水果!$C50="","",对接源_01水果!$C50)</f>
        <v>聂新平</v>
      </c>
      <c r="B50" s="1" t="n">
        <f aca="false">IF(A50="",0,IF(MATCH(A50,$A$4:$A$2403,0)=ROW()-3,1,0))</f>
        <v>0</v>
      </c>
      <c r="C50" s="1" t="n">
        <f aca="false">N(C49)+B50</f>
        <v>4</v>
      </c>
      <c r="E50" s="1" t="str">
        <f aca="false">IFERROR(INDEX($A$4:$A$2403,MATCH(ROW()-3,$C$4:$C$2403,0)),"")</f>
        <v/>
      </c>
      <c r="K50" s="1" t="n">
        <f aca="false">IF(OR($K$1="",对接源_01水果!$C50="",对接源_01水果!$C50&lt;&gt;$K$1,对接源_01水果!$B50=""),0,IF(OR(N(对接源_01水果!$B50)&lt;$K$2,N(对接源_01水果!$B50)&gt;$K$3),0,1))</f>
        <v>0</v>
      </c>
      <c r="L50" s="1" t="n">
        <f aca="false">IF(OR($L$1="",对接源_01水果!$C50="",对接源_01水果!$C50&lt;&gt;$L$1,对接源_01水果!$B50=""),0,IF(OR(N(对接源_01水果!$B50)&lt;$L$2,N(对接源_01水果!$B50)&gt;$L$3),0,1))</f>
        <v>0</v>
      </c>
      <c r="M50" s="1" t="n">
        <f aca="false">IF(OR($M$1="",对接源_01水果!$C50="",对接源_01水果!$C50&lt;&gt;$M$1,对接源_01水果!$B50=""),0,IF(OR(N(对接源_01水果!$B50)&lt;$M$2,N(对接源_01水果!$B50)&gt;$M$3),0,1))</f>
        <v>0</v>
      </c>
      <c r="N50" s="1" t="n">
        <f aca="false">IF(OR($N$1="",对接源_01水果!$C50="",对接源_01水果!$C50&lt;&gt;$N$1,对接源_01水果!$B50=""),0,IF(OR(N(对接源_01水果!$B50)&lt;$N$2,N(对接源_01水果!$B50)&gt;$N$3),0,1))</f>
        <v>0</v>
      </c>
      <c r="P50" s="1" t="n">
        <f aca="false">IF(AND($K50=1,AND(对接源_01水果!$X50="公司筐",N(对接源_01水果!$T50)&lt;&gt;0)),1,0)</f>
        <v>0</v>
      </c>
      <c r="Q50" s="1" t="n">
        <f aca="false">N(Q49)+$P50</f>
        <v>0</v>
      </c>
      <c r="R50" s="1" t="n">
        <f aca="false">IF(AND($K50=1,AND(对接源_01水果!$X50="公司筐",N(对接源_01水果!$U50)&lt;&gt;0)),1,0)</f>
        <v>0</v>
      </c>
      <c r="S50" s="1" t="n">
        <f aca="false">N(S49)+$R50</f>
        <v>0</v>
      </c>
      <c r="T50" s="1" t="n">
        <f aca="false">IF(AND($K50=1,AND(对接源_01水果!$X50="公司筐",N(对接源_01水果!$V50)&lt;&gt;0)),1,0)</f>
        <v>0</v>
      </c>
      <c r="U50" s="1" t="n">
        <f aca="false">N(U49)+$T50</f>
        <v>9</v>
      </c>
      <c r="V50" s="1" t="n">
        <f aca="false">IF(AND($L50=1,AND(对接源_01水果!$X50="自备筐",N(对接源_01水果!$V50)&lt;&gt;0)),1,0)</f>
        <v>0</v>
      </c>
      <c r="W50" s="1" t="n">
        <f aca="false">N(W49)+$V50</f>
        <v>0</v>
      </c>
      <c r="X50" s="1" t="n">
        <f aca="false">IF(AND($L50=1,AND(对接源_01水果!$X50="自备筐",N(对接源_01水果!$T50)&lt;&gt;0)),1,0)</f>
        <v>0</v>
      </c>
      <c r="Y50" s="1" t="n">
        <f aca="false">N(Y49)+$X50</f>
        <v>0</v>
      </c>
      <c r="Z50" s="1" t="n">
        <f aca="false">IF(AND($M50=1,对接源_01水果!$D50="原料入库"),1,0)</f>
        <v>0</v>
      </c>
      <c r="AA50" s="1" t="n">
        <f aca="false">N(AA49)+$Z50</f>
        <v>11</v>
      </c>
      <c r="AB50" s="1" t="n">
        <f aca="false">IF(AND($M50=1,LEFT(对接源_01水果!$D50,4)="原料出库"),1,0)</f>
        <v>0</v>
      </c>
      <c r="AC50" s="1" t="n">
        <f aca="false">N(AC49)+$AB50</f>
        <v>0</v>
      </c>
      <c r="AD50" s="1" t="n">
        <f aca="false">IF(AND($M50=1,LEFT(对接源_01水果!$D50,4)="成品出库"),1,0)</f>
        <v>0</v>
      </c>
      <c r="AE50" s="1" t="n">
        <f aca="false">N(AE49)+$AD50</f>
        <v>0</v>
      </c>
      <c r="AF50" s="1" t="n">
        <f aca="false">IF(AND($N50=1,AND(LEFT(对接源_01水果!$D50,4)="包装物料",N(对接源_01水果!$K50)&lt;&gt;0)),1,0)</f>
        <v>0</v>
      </c>
      <c r="AG50" s="90" t="str">
        <f aca="false">IF(对接源_01水果!$AC50="","",对接源_01水果!$AC50)</f>
        <v/>
      </c>
      <c r="AH50" s="90" t="str">
        <f aca="false">IFERROR(INDEX($AG$4:$AG$1203,MATCH(ROW()-3,$AJ$4:$AJ$1203,0)),"")</f>
        <v/>
      </c>
      <c r="AI50" s="90" t="n">
        <f aca="false">IF(AG50="",0,IF(MATCH(AG50,$AG$4:$AG$1203,0)=ROW()-3,1,0))</f>
        <v>0</v>
      </c>
      <c r="AJ50" s="90" t="n">
        <f aca="false">N(AJ49)+AI50</f>
        <v>0</v>
      </c>
      <c r="AK50" s="1" t="n">
        <f aca="false">N(AK49)+$AJ50</f>
        <v>0</v>
      </c>
    </row>
    <row r="51" customFormat="false" ht="13.5" hidden="false" customHeight="false" outlineLevel="0" collapsed="false">
      <c r="A51" s="1" t="str">
        <f aca="false">IF(对接源_01水果!$C51="","",对接源_01水果!$C51)</f>
        <v>聂新平</v>
      </c>
      <c r="B51" s="1" t="n">
        <f aca="false">IF(A51="",0,IF(MATCH(A51,$A$4:$A$2403,0)=ROW()-3,1,0))</f>
        <v>0</v>
      </c>
      <c r="C51" s="1" t="n">
        <f aca="false">N(C50)+B51</f>
        <v>4</v>
      </c>
      <c r="E51" s="1" t="str">
        <f aca="false">IFERROR(INDEX($A$4:$A$2403,MATCH(ROW()-3,$C$4:$C$2403,0)),"")</f>
        <v/>
      </c>
      <c r="K51" s="1" t="n">
        <f aca="false">IF(OR($K$1="",对接源_01水果!$C51="",对接源_01水果!$C51&lt;&gt;$K$1,对接源_01水果!$B51=""),0,IF(OR(N(对接源_01水果!$B51)&lt;$K$2,N(对接源_01水果!$B51)&gt;$K$3),0,1))</f>
        <v>0</v>
      </c>
      <c r="L51" s="1" t="n">
        <f aca="false">IF(OR($L$1="",对接源_01水果!$C51="",对接源_01水果!$C51&lt;&gt;$L$1,对接源_01水果!$B51=""),0,IF(OR(N(对接源_01水果!$B51)&lt;$L$2,N(对接源_01水果!$B51)&gt;$L$3),0,1))</f>
        <v>0</v>
      </c>
      <c r="M51" s="1" t="n">
        <f aca="false">IF(OR($M$1="",对接源_01水果!$C51="",对接源_01水果!$C51&lt;&gt;$M$1,对接源_01水果!$B51=""),0,IF(OR(N(对接源_01水果!$B51)&lt;$M$2,N(对接源_01水果!$B51)&gt;$M$3),0,1))</f>
        <v>0</v>
      </c>
      <c r="N51" s="1" t="n">
        <f aca="false">IF(OR($N$1="",对接源_01水果!$C51="",对接源_01水果!$C51&lt;&gt;$N$1,对接源_01水果!$B51=""),0,IF(OR(N(对接源_01水果!$B51)&lt;$N$2,N(对接源_01水果!$B51)&gt;$N$3),0,1))</f>
        <v>0</v>
      </c>
      <c r="P51" s="1" t="n">
        <f aca="false">IF(AND($K51=1,AND(对接源_01水果!$X51="公司筐",N(对接源_01水果!$T51)&lt;&gt;0)),1,0)</f>
        <v>0</v>
      </c>
      <c r="Q51" s="1" t="n">
        <f aca="false">N(Q50)+$P51</f>
        <v>0</v>
      </c>
      <c r="R51" s="1" t="n">
        <f aca="false">IF(AND($K51=1,AND(对接源_01水果!$X51="公司筐",N(对接源_01水果!$U51)&lt;&gt;0)),1,0)</f>
        <v>0</v>
      </c>
      <c r="S51" s="1" t="n">
        <f aca="false">N(S50)+$R51</f>
        <v>0</v>
      </c>
      <c r="T51" s="1" t="n">
        <f aca="false">IF(AND($K51=1,AND(对接源_01水果!$X51="公司筐",N(对接源_01水果!$V51)&lt;&gt;0)),1,0)</f>
        <v>0</v>
      </c>
      <c r="U51" s="1" t="n">
        <f aca="false">N(U50)+$T51</f>
        <v>9</v>
      </c>
      <c r="V51" s="1" t="n">
        <f aca="false">IF(AND($L51=1,AND(对接源_01水果!$X51="自备筐",N(对接源_01水果!$V51)&lt;&gt;0)),1,0)</f>
        <v>0</v>
      </c>
      <c r="W51" s="1" t="n">
        <f aca="false">N(W50)+$V51</f>
        <v>0</v>
      </c>
      <c r="X51" s="1" t="n">
        <f aca="false">IF(AND($L51=1,AND(对接源_01水果!$X51="自备筐",N(对接源_01水果!$T51)&lt;&gt;0)),1,0)</f>
        <v>0</v>
      </c>
      <c r="Y51" s="1" t="n">
        <f aca="false">N(Y50)+$X51</f>
        <v>0</v>
      </c>
      <c r="Z51" s="1" t="n">
        <f aca="false">IF(AND($M51=1,对接源_01水果!$D51="原料入库"),1,0)</f>
        <v>0</v>
      </c>
      <c r="AA51" s="1" t="n">
        <f aca="false">N(AA50)+$Z51</f>
        <v>11</v>
      </c>
      <c r="AB51" s="1" t="n">
        <f aca="false">IF(AND($M51=1,LEFT(对接源_01水果!$D51,4)="原料出库"),1,0)</f>
        <v>0</v>
      </c>
      <c r="AC51" s="1" t="n">
        <f aca="false">N(AC50)+$AB51</f>
        <v>0</v>
      </c>
      <c r="AD51" s="1" t="n">
        <f aca="false">IF(AND($M51=1,LEFT(对接源_01水果!$D51,4)="成品出库"),1,0)</f>
        <v>0</v>
      </c>
      <c r="AE51" s="1" t="n">
        <f aca="false">N(AE50)+$AD51</f>
        <v>0</v>
      </c>
      <c r="AF51" s="1" t="n">
        <f aca="false">IF(AND($N51=1,AND(LEFT(对接源_01水果!$D51,4)="包装物料",N(对接源_01水果!$K51)&lt;&gt;0)),1,0)</f>
        <v>0</v>
      </c>
      <c r="AG51" s="90" t="str">
        <f aca="false">IF(对接源_01水果!$AC51="","",对接源_01水果!$AC51)</f>
        <v/>
      </c>
      <c r="AH51" s="90" t="str">
        <f aca="false">IFERROR(INDEX($AG$4:$AG$1203,MATCH(ROW()-3,$AJ$4:$AJ$1203,0)),"")</f>
        <v/>
      </c>
      <c r="AI51" s="90" t="n">
        <f aca="false">IF(AG51="",0,IF(MATCH(AG51,$AG$4:$AG$1203,0)=ROW()-3,1,0))</f>
        <v>0</v>
      </c>
      <c r="AJ51" s="90" t="n">
        <f aca="false">N(AJ50)+AI51</f>
        <v>0</v>
      </c>
      <c r="AK51" s="1" t="n">
        <f aca="false">N(AK50)+$AJ51</f>
        <v>0</v>
      </c>
    </row>
    <row r="52" customFormat="false" ht="13.5" hidden="false" customHeight="false" outlineLevel="0" collapsed="false">
      <c r="A52" s="1" t="str">
        <f aca="false">IF(对接源_01水果!$C52="","",对接源_01水果!$C52)</f>
        <v>王照雪</v>
      </c>
      <c r="B52" s="1" t="n">
        <f aca="false">IF(A52="",0,IF(MATCH(A52,$A$4:$A$2403,0)=ROW()-3,1,0))</f>
        <v>0</v>
      </c>
      <c r="C52" s="1" t="n">
        <f aca="false">N(C51)+B52</f>
        <v>4</v>
      </c>
      <c r="E52" s="1" t="str">
        <f aca="false">IFERROR(INDEX($A$4:$A$2403,MATCH(ROW()-3,$C$4:$C$2403,0)),"")</f>
        <v/>
      </c>
      <c r="K52" s="1" t="n">
        <f aca="false">IF(OR($K$1="",对接源_01水果!$C52="",对接源_01水果!$C52&lt;&gt;$K$1,对接源_01水果!$B52=""),0,IF(OR(N(对接源_01水果!$B52)&lt;$K$2,N(对接源_01水果!$B52)&gt;$K$3),0,1))</f>
        <v>1</v>
      </c>
      <c r="L52" s="1" t="n">
        <f aca="false">IF(OR($L$1="",对接源_01水果!$C52="",对接源_01水果!$C52&lt;&gt;$L$1,对接源_01水果!$B52=""),0,IF(OR(N(对接源_01水果!$B52)&lt;$L$2,N(对接源_01水果!$B52)&gt;$L$3),0,1))</f>
        <v>0</v>
      </c>
      <c r="M52" s="1" t="n">
        <f aca="false">IF(OR($M$1="",对接源_01水果!$C52="",对接源_01水果!$C52&lt;&gt;$M$1,对接源_01水果!$B52=""),0,IF(OR(N(对接源_01水果!$B52)&lt;$M$2,N(对接源_01水果!$B52)&gt;$M$3),0,1))</f>
        <v>1</v>
      </c>
      <c r="N52" s="1" t="n">
        <f aca="false">IF(OR($N$1="",对接源_01水果!$C52="",对接源_01水果!$C52&lt;&gt;$N$1,对接源_01水果!$B52=""),0,IF(OR(N(对接源_01水果!$B52)&lt;$N$2,N(对接源_01水果!$B52)&gt;$N$3),0,1))</f>
        <v>0</v>
      </c>
      <c r="P52" s="1" t="n">
        <f aca="false">IF(AND($K52=1,AND(对接源_01水果!$X52="公司筐",N(对接源_01水果!$T52)&lt;&gt;0)),1,0)</f>
        <v>0</v>
      </c>
      <c r="Q52" s="1" t="n">
        <f aca="false">N(Q51)+$P52</f>
        <v>0</v>
      </c>
      <c r="R52" s="1" t="n">
        <f aca="false">IF(AND($K52=1,AND(对接源_01水果!$X52="公司筐",N(对接源_01水果!$U52)&lt;&gt;0)),1,0)</f>
        <v>0</v>
      </c>
      <c r="S52" s="1" t="n">
        <f aca="false">N(S51)+$R52</f>
        <v>0</v>
      </c>
      <c r="T52" s="1" t="n">
        <f aca="false">IF(AND($K52=1,AND(对接源_01水果!$X52="公司筐",N(对接源_01水果!$V52)&lt;&gt;0)),1,0)</f>
        <v>1</v>
      </c>
      <c r="U52" s="1" t="n">
        <f aca="false">N(U51)+$T52</f>
        <v>10</v>
      </c>
      <c r="V52" s="1" t="n">
        <f aca="false">IF(AND($L52=1,AND(对接源_01水果!$X52="自备筐",N(对接源_01水果!$V52)&lt;&gt;0)),1,0)</f>
        <v>0</v>
      </c>
      <c r="W52" s="1" t="n">
        <f aca="false">N(W51)+$V52</f>
        <v>0</v>
      </c>
      <c r="X52" s="1" t="n">
        <f aca="false">IF(AND($L52=1,AND(对接源_01水果!$X52="自备筐",N(对接源_01水果!$T52)&lt;&gt;0)),1,0)</f>
        <v>0</v>
      </c>
      <c r="Y52" s="1" t="n">
        <f aca="false">N(Y51)+$X52</f>
        <v>0</v>
      </c>
      <c r="Z52" s="1" t="n">
        <f aca="false">IF(AND($M52=1,对接源_01水果!$D52="原料入库"),1,0)</f>
        <v>1</v>
      </c>
      <c r="AA52" s="1" t="n">
        <f aca="false">N(AA51)+$Z52</f>
        <v>12</v>
      </c>
      <c r="AB52" s="1" t="n">
        <f aca="false">IF(AND($M52=1,LEFT(对接源_01水果!$D52,4)="原料出库"),1,0)</f>
        <v>0</v>
      </c>
      <c r="AC52" s="1" t="n">
        <f aca="false">N(AC51)+$AB52</f>
        <v>0</v>
      </c>
      <c r="AD52" s="1" t="n">
        <f aca="false">IF(AND($M52=1,LEFT(对接源_01水果!$D52,4)="成品出库"),1,0)</f>
        <v>0</v>
      </c>
      <c r="AE52" s="1" t="n">
        <f aca="false">N(AE51)+$AD52</f>
        <v>0</v>
      </c>
      <c r="AF52" s="1" t="n">
        <f aca="false">IF(AND($N52=1,AND(LEFT(对接源_01水果!$D52,4)="包装物料",N(对接源_01水果!$K52)&lt;&gt;0)),1,0)</f>
        <v>0</v>
      </c>
      <c r="AG52" s="90" t="str">
        <f aca="false">IF(对接源_01水果!$AC52="","",对接源_01水果!$AC52)</f>
        <v/>
      </c>
      <c r="AH52" s="90" t="str">
        <f aca="false">IFERROR(INDEX($AG$4:$AG$1203,MATCH(ROW()-3,$AJ$4:$AJ$1203,0)),"")</f>
        <v/>
      </c>
      <c r="AI52" s="90" t="n">
        <f aca="false">IF(AG52="",0,IF(MATCH(AG52,$AG$4:$AG$1203,0)=ROW()-3,1,0))</f>
        <v>0</v>
      </c>
      <c r="AJ52" s="90" t="n">
        <f aca="false">N(AJ51)+AI52</f>
        <v>0</v>
      </c>
      <c r="AK52" s="1" t="n">
        <f aca="false">N(AK51)+$AJ52</f>
        <v>0</v>
      </c>
    </row>
    <row r="53" customFormat="false" ht="13.5" hidden="false" customHeight="false" outlineLevel="0" collapsed="false">
      <c r="A53" s="1" t="str">
        <f aca="false">IF(对接源_01水果!$C53="","",对接源_01水果!$C53)</f>
        <v>王照雪</v>
      </c>
      <c r="B53" s="1" t="n">
        <f aca="false">IF(A53="",0,IF(MATCH(A53,$A$4:$A$2403,0)=ROW()-3,1,0))</f>
        <v>0</v>
      </c>
      <c r="C53" s="1" t="n">
        <f aca="false">N(C52)+B53</f>
        <v>4</v>
      </c>
      <c r="E53" s="1" t="str">
        <f aca="false">IFERROR(INDEX($A$4:$A$2403,MATCH(ROW()-3,$C$4:$C$2403,0)),"")</f>
        <v/>
      </c>
      <c r="K53" s="1" t="n">
        <f aca="false">IF(OR($K$1="",对接源_01水果!$C53="",对接源_01水果!$C53&lt;&gt;$K$1,对接源_01水果!$B53=""),0,IF(OR(N(对接源_01水果!$B53)&lt;$K$2,N(对接源_01水果!$B53)&gt;$K$3),0,1))</f>
        <v>1</v>
      </c>
      <c r="L53" s="1" t="n">
        <f aca="false">IF(OR($L$1="",对接源_01水果!$C53="",对接源_01水果!$C53&lt;&gt;$L$1,对接源_01水果!$B53=""),0,IF(OR(N(对接源_01水果!$B53)&lt;$L$2,N(对接源_01水果!$B53)&gt;$L$3),0,1))</f>
        <v>0</v>
      </c>
      <c r="M53" s="1" t="n">
        <f aca="false">IF(OR($M$1="",对接源_01水果!$C53="",对接源_01水果!$C53&lt;&gt;$M$1,对接源_01水果!$B53=""),0,IF(OR(N(对接源_01水果!$B53)&lt;$M$2,N(对接源_01水果!$B53)&gt;$M$3),0,1))</f>
        <v>1</v>
      </c>
      <c r="N53" s="1" t="n">
        <f aca="false">IF(OR($N$1="",对接源_01水果!$C53="",对接源_01水果!$C53&lt;&gt;$N$1,对接源_01水果!$B53=""),0,IF(OR(N(对接源_01水果!$B53)&lt;$N$2,N(对接源_01水果!$B53)&gt;$N$3),0,1))</f>
        <v>0</v>
      </c>
      <c r="P53" s="1" t="n">
        <f aca="false">IF(AND($K53=1,AND(对接源_01水果!$X53="公司筐",N(对接源_01水果!$T53)&lt;&gt;0)),1,0)</f>
        <v>0</v>
      </c>
      <c r="Q53" s="1" t="n">
        <f aca="false">N(Q52)+$P53</f>
        <v>0</v>
      </c>
      <c r="R53" s="1" t="n">
        <f aca="false">IF(AND($K53=1,AND(对接源_01水果!$X53="公司筐",N(对接源_01水果!$U53)&lt;&gt;0)),1,0)</f>
        <v>0</v>
      </c>
      <c r="S53" s="1" t="n">
        <f aca="false">N(S52)+$R53</f>
        <v>0</v>
      </c>
      <c r="T53" s="1" t="n">
        <f aca="false">IF(AND($K53=1,AND(对接源_01水果!$X53="公司筐",N(对接源_01水果!$V53)&lt;&gt;0)),1,0)</f>
        <v>1</v>
      </c>
      <c r="U53" s="1" t="n">
        <f aca="false">N(U52)+$T53</f>
        <v>11</v>
      </c>
      <c r="V53" s="1" t="n">
        <f aca="false">IF(AND($L53=1,AND(对接源_01水果!$X53="自备筐",N(对接源_01水果!$V53)&lt;&gt;0)),1,0)</f>
        <v>0</v>
      </c>
      <c r="W53" s="1" t="n">
        <f aca="false">N(W52)+$V53</f>
        <v>0</v>
      </c>
      <c r="X53" s="1" t="n">
        <f aca="false">IF(AND($L53=1,AND(对接源_01水果!$X53="自备筐",N(对接源_01水果!$T53)&lt;&gt;0)),1,0)</f>
        <v>0</v>
      </c>
      <c r="Y53" s="1" t="n">
        <f aca="false">N(Y52)+$X53</f>
        <v>0</v>
      </c>
      <c r="Z53" s="1" t="n">
        <f aca="false">IF(AND($M53=1,对接源_01水果!$D53="原料入库"),1,0)</f>
        <v>1</v>
      </c>
      <c r="AA53" s="1" t="n">
        <f aca="false">N(AA52)+$Z53</f>
        <v>13</v>
      </c>
      <c r="AB53" s="1" t="n">
        <f aca="false">IF(AND($M53=1,LEFT(对接源_01水果!$D53,4)="原料出库"),1,0)</f>
        <v>0</v>
      </c>
      <c r="AC53" s="1" t="n">
        <f aca="false">N(AC52)+$AB53</f>
        <v>0</v>
      </c>
      <c r="AD53" s="1" t="n">
        <f aca="false">IF(AND($M53=1,LEFT(对接源_01水果!$D53,4)="成品出库"),1,0)</f>
        <v>0</v>
      </c>
      <c r="AE53" s="1" t="n">
        <f aca="false">N(AE52)+$AD53</f>
        <v>0</v>
      </c>
      <c r="AF53" s="1" t="n">
        <f aca="false">IF(AND($N53=1,AND(LEFT(对接源_01水果!$D53,4)="包装物料",N(对接源_01水果!$K53)&lt;&gt;0)),1,0)</f>
        <v>0</v>
      </c>
      <c r="AG53" s="90" t="str">
        <f aca="false">IF(对接源_01水果!$AC53="","",对接源_01水果!$AC53)</f>
        <v/>
      </c>
      <c r="AH53" s="90" t="str">
        <f aca="false">IFERROR(INDEX($AG$4:$AG$1203,MATCH(ROW()-3,$AJ$4:$AJ$1203,0)),"")</f>
        <v/>
      </c>
      <c r="AI53" s="90" t="n">
        <f aca="false">IF(AG53="",0,IF(MATCH(AG53,$AG$4:$AG$1203,0)=ROW()-3,1,0))</f>
        <v>0</v>
      </c>
      <c r="AJ53" s="90" t="n">
        <f aca="false">N(AJ52)+AI53</f>
        <v>0</v>
      </c>
      <c r="AK53" s="1" t="n">
        <f aca="false">N(AK52)+$AJ53</f>
        <v>0</v>
      </c>
    </row>
    <row r="54" customFormat="false" ht="13.5" hidden="false" customHeight="false" outlineLevel="0" collapsed="false">
      <c r="A54" s="1" t="str">
        <f aca="false">IF(对接源_01水果!$C54="","",对接源_01水果!$C54)</f>
        <v>王照雪</v>
      </c>
      <c r="B54" s="1" t="n">
        <f aca="false">IF(A54="",0,IF(MATCH(A54,$A$4:$A$2403,0)=ROW()-3,1,0))</f>
        <v>0</v>
      </c>
      <c r="C54" s="1" t="n">
        <f aca="false">N(C53)+B54</f>
        <v>4</v>
      </c>
      <c r="E54" s="1" t="str">
        <f aca="false">IFERROR(INDEX($A$4:$A$2403,MATCH(ROW()-3,$C$4:$C$2403,0)),"")</f>
        <v/>
      </c>
      <c r="K54" s="1" t="n">
        <f aca="false">IF(OR($K$1="",对接源_01水果!$C54="",对接源_01水果!$C54&lt;&gt;$K$1,对接源_01水果!$B54=""),0,IF(OR(N(对接源_01水果!$B54)&lt;$K$2,N(对接源_01水果!$B54)&gt;$K$3),0,1))</f>
        <v>1</v>
      </c>
      <c r="L54" s="1" t="n">
        <f aca="false">IF(OR($L$1="",对接源_01水果!$C54="",对接源_01水果!$C54&lt;&gt;$L$1,对接源_01水果!$B54=""),0,IF(OR(N(对接源_01水果!$B54)&lt;$L$2,N(对接源_01水果!$B54)&gt;$L$3),0,1))</f>
        <v>0</v>
      </c>
      <c r="M54" s="1" t="n">
        <f aca="false">IF(OR($M$1="",对接源_01水果!$C54="",对接源_01水果!$C54&lt;&gt;$M$1,对接源_01水果!$B54=""),0,IF(OR(N(对接源_01水果!$B54)&lt;$M$2,N(对接源_01水果!$B54)&gt;$M$3),0,1))</f>
        <v>1</v>
      </c>
      <c r="N54" s="1" t="n">
        <f aca="false">IF(OR($N$1="",对接源_01水果!$C54="",对接源_01水果!$C54&lt;&gt;$N$1,对接源_01水果!$B54=""),0,IF(OR(N(对接源_01水果!$B54)&lt;$N$2,N(对接源_01水果!$B54)&gt;$N$3),0,1))</f>
        <v>0</v>
      </c>
      <c r="P54" s="1" t="n">
        <f aca="false">IF(AND($K54=1,AND(对接源_01水果!$X54="公司筐",N(对接源_01水果!$T54)&lt;&gt;0)),1,0)</f>
        <v>0</v>
      </c>
      <c r="Q54" s="1" t="n">
        <f aca="false">N(Q53)+$P54</f>
        <v>0</v>
      </c>
      <c r="R54" s="1" t="n">
        <f aca="false">IF(AND($K54=1,AND(对接源_01水果!$X54="公司筐",N(对接源_01水果!$U54)&lt;&gt;0)),1,0)</f>
        <v>0</v>
      </c>
      <c r="S54" s="1" t="n">
        <f aca="false">N(S53)+$R54</f>
        <v>0</v>
      </c>
      <c r="T54" s="1" t="n">
        <f aca="false">IF(AND($K54=1,AND(对接源_01水果!$X54="公司筐",N(对接源_01水果!$V54)&lt;&gt;0)),1,0)</f>
        <v>1</v>
      </c>
      <c r="U54" s="1" t="n">
        <f aca="false">N(U53)+$T54</f>
        <v>12</v>
      </c>
      <c r="V54" s="1" t="n">
        <f aca="false">IF(AND($L54=1,AND(对接源_01水果!$X54="自备筐",N(对接源_01水果!$V54)&lt;&gt;0)),1,0)</f>
        <v>0</v>
      </c>
      <c r="W54" s="1" t="n">
        <f aca="false">N(W53)+$V54</f>
        <v>0</v>
      </c>
      <c r="X54" s="1" t="n">
        <f aca="false">IF(AND($L54=1,AND(对接源_01水果!$X54="自备筐",N(对接源_01水果!$T54)&lt;&gt;0)),1,0)</f>
        <v>0</v>
      </c>
      <c r="Y54" s="1" t="n">
        <f aca="false">N(Y53)+$X54</f>
        <v>0</v>
      </c>
      <c r="Z54" s="1" t="n">
        <f aca="false">IF(AND($M54=1,对接源_01水果!$D54="原料入库"),1,0)</f>
        <v>1</v>
      </c>
      <c r="AA54" s="1" t="n">
        <f aca="false">N(AA53)+$Z54</f>
        <v>14</v>
      </c>
      <c r="AB54" s="1" t="n">
        <f aca="false">IF(AND($M54=1,LEFT(对接源_01水果!$D54,4)="原料出库"),1,0)</f>
        <v>0</v>
      </c>
      <c r="AC54" s="1" t="n">
        <f aca="false">N(AC53)+$AB54</f>
        <v>0</v>
      </c>
      <c r="AD54" s="1" t="n">
        <f aca="false">IF(AND($M54=1,LEFT(对接源_01水果!$D54,4)="成品出库"),1,0)</f>
        <v>0</v>
      </c>
      <c r="AE54" s="1" t="n">
        <f aca="false">N(AE53)+$AD54</f>
        <v>0</v>
      </c>
      <c r="AF54" s="1" t="n">
        <f aca="false">IF(AND($N54=1,AND(LEFT(对接源_01水果!$D54,4)="包装物料",N(对接源_01水果!$K54)&lt;&gt;0)),1,0)</f>
        <v>0</v>
      </c>
      <c r="AG54" s="90" t="str">
        <f aca="false">IF(对接源_01水果!$AC54="","",对接源_01水果!$AC54)</f>
        <v/>
      </c>
      <c r="AH54" s="90" t="str">
        <f aca="false">IFERROR(INDEX($AG$4:$AG$1203,MATCH(ROW()-3,$AJ$4:$AJ$1203,0)),"")</f>
        <v/>
      </c>
      <c r="AI54" s="90" t="n">
        <f aca="false">IF(AG54="",0,IF(MATCH(AG54,$AG$4:$AG$1203,0)=ROW()-3,1,0))</f>
        <v>0</v>
      </c>
      <c r="AJ54" s="90" t="n">
        <f aca="false">N(AJ53)+AI54</f>
        <v>0</v>
      </c>
      <c r="AK54" s="1" t="n">
        <f aca="false">N(AK53)+$AJ54</f>
        <v>0</v>
      </c>
    </row>
    <row r="55" customFormat="false" ht="13.5" hidden="false" customHeight="false" outlineLevel="0" collapsed="false">
      <c r="A55" s="1" t="str">
        <f aca="false">IF(对接源_01水果!$C55="","",对接源_01水果!$C55)</f>
        <v>聂新平</v>
      </c>
      <c r="B55" s="1" t="n">
        <f aca="false">IF(A55="",0,IF(MATCH(A55,$A$4:$A$2403,0)=ROW()-3,1,0))</f>
        <v>0</v>
      </c>
      <c r="C55" s="1" t="n">
        <f aca="false">N(C54)+B55</f>
        <v>4</v>
      </c>
      <c r="E55" s="1" t="str">
        <f aca="false">IFERROR(INDEX($A$4:$A$2403,MATCH(ROW()-3,$C$4:$C$2403,0)),"")</f>
        <v/>
      </c>
      <c r="K55" s="1" t="n">
        <f aca="false">IF(OR($K$1="",对接源_01水果!$C55="",对接源_01水果!$C55&lt;&gt;$K$1,对接源_01水果!$B55=""),0,IF(OR(N(对接源_01水果!$B55)&lt;$K$2,N(对接源_01水果!$B55)&gt;$K$3),0,1))</f>
        <v>0</v>
      </c>
      <c r="L55" s="1" t="n">
        <f aca="false">IF(OR($L$1="",对接源_01水果!$C55="",对接源_01水果!$C55&lt;&gt;$L$1,对接源_01水果!$B55=""),0,IF(OR(N(对接源_01水果!$B55)&lt;$L$2,N(对接源_01水果!$B55)&gt;$L$3),0,1))</f>
        <v>0</v>
      </c>
      <c r="M55" s="1" t="n">
        <f aca="false">IF(OR($M$1="",对接源_01水果!$C55="",对接源_01水果!$C55&lt;&gt;$M$1,对接源_01水果!$B55=""),0,IF(OR(N(对接源_01水果!$B55)&lt;$M$2,N(对接源_01水果!$B55)&gt;$M$3),0,1))</f>
        <v>0</v>
      </c>
      <c r="N55" s="1" t="n">
        <f aca="false">IF(OR($N$1="",对接源_01水果!$C55="",对接源_01水果!$C55&lt;&gt;$N$1,对接源_01水果!$B55=""),0,IF(OR(N(对接源_01水果!$B55)&lt;$N$2,N(对接源_01水果!$B55)&gt;$N$3),0,1))</f>
        <v>0</v>
      </c>
      <c r="P55" s="1" t="n">
        <f aca="false">IF(AND($K55=1,AND(对接源_01水果!$X55="公司筐",N(对接源_01水果!$T55)&lt;&gt;0)),1,0)</f>
        <v>0</v>
      </c>
      <c r="Q55" s="1" t="n">
        <f aca="false">N(Q54)+$P55</f>
        <v>0</v>
      </c>
      <c r="R55" s="1" t="n">
        <f aca="false">IF(AND($K55=1,AND(对接源_01水果!$X55="公司筐",N(对接源_01水果!$U55)&lt;&gt;0)),1,0)</f>
        <v>0</v>
      </c>
      <c r="S55" s="1" t="n">
        <f aca="false">N(S54)+$R55</f>
        <v>0</v>
      </c>
      <c r="T55" s="1" t="n">
        <f aca="false">IF(AND($K55=1,AND(对接源_01水果!$X55="公司筐",N(对接源_01水果!$V55)&lt;&gt;0)),1,0)</f>
        <v>0</v>
      </c>
      <c r="U55" s="1" t="n">
        <f aca="false">N(U54)+$T55</f>
        <v>12</v>
      </c>
      <c r="V55" s="1" t="n">
        <f aca="false">IF(AND($L55=1,AND(对接源_01水果!$X55="自备筐",N(对接源_01水果!$V55)&lt;&gt;0)),1,0)</f>
        <v>0</v>
      </c>
      <c r="W55" s="1" t="n">
        <f aca="false">N(W54)+$V55</f>
        <v>0</v>
      </c>
      <c r="X55" s="1" t="n">
        <f aca="false">IF(AND($L55=1,AND(对接源_01水果!$X55="自备筐",N(对接源_01水果!$T55)&lt;&gt;0)),1,0)</f>
        <v>0</v>
      </c>
      <c r="Y55" s="1" t="n">
        <f aca="false">N(Y54)+$X55</f>
        <v>0</v>
      </c>
      <c r="Z55" s="1" t="n">
        <f aca="false">IF(AND($M55=1,对接源_01水果!$D55="原料入库"),1,0)</f>
        <v>0</v>
      </c>
      <c r="AA55" s="1" t="n">
        <f aca="false">N(AA54)+$Z55</f>
        <v>14</v>
      </c>
      <c r="AB55" s="1" t="n">
        <f aca="false">IF(AND($M55=1,LEFT(对接源_01水果!$D55,4)="原料出库"),1,0)</f>
        <v>0</v>
      </c>
      <c r="AC55" s="1" t="n">
        <f aca="false">N(AC54)+$AB55</f>
        <v>0</v>
      </c>
      <c r="AD55" s="1" t="n">
        <f aca="false">IF(AND($M55=1,LEFT(对接源_01水果!$D55,4)="成品出库"),1,0)</f>
        <v>0</v>
      </c>
      <c r="AE55" s="1" t="n">
        <f aca="false">N(AE54)+$AD55</f>
        <v>0</v>
      </c>
      <c r="AF55" s="1" t="n">
        <f aca="false">IF(AND($N55=1,AND(LEFT(对接源_01水果!$D55,4)="包装物料",N(对接源_01水果!$K55)&lt;&gt;0)),1,0)</f>
        <v>0</v>
      </c>
      <c r="AG55" s="90" t="str">
        <f aca="false">IF(对接源_01水果!$AC55="","",对接源_01水果!$AC55)</f>
        <v/>
      </c>
      <c r="AH55" s="90" t="str">
        <f aca="false">IFERROR(INDEX($AG$4:$AG$1203,MATCH(ROW()-3,$AJ$4:$AJ$1203,0)),"")</f>
        <v/>
      </c>
      <c r="AI55" s="90" t="n">
        <f aca="false">IF(AG55="",0,IF(MATCH(AG55,$AG$4:$AG$1203,0)=ROW()-3,1,0))</f>
        <v>0</v>
      </c>
      <c r="AJ55" s="90" t="n">
        <f aca="false">N(AJ54)+AI55</f>
        <v>0</v>
      </c>
      <c r="AK55" s="1" t="n">
        <f aca="false">N(AK54)+$AJ55</f>
        <v>0</v>
      </c>
    </row>
    <row r="56" customFormat="false" ht="13.5" hidden="false" customHeight="false" outlineLevel="0" collapsed="false">
      <c r="A56" s="1" t="str">
        <f aca="false">IF(对接源_01水果!$C56="","",对接源_01水果!$C56)</f>
        <v>聂新平</v>
      </c>
      <c r="B56" s="1" t="n">
        <f aca="false">IF(A56="",0,IF(MATCH(A56,$A$4:$A$2403,0)=ROW()-3,1,0))</f>
        <v>0</v>
      </c>
      <c r="C56" s="1" t="n">
        <f aca="false">N(C55)+B56</f>
        <v>4</v>
      </c>
      <c r="E56" s="1" t="str">
        <f aca="false">IFERROR(INDEX($A$4:$A$2403,MATCH(ROW()-3,$C$4:$C$2403,0)),"")</f>
        <v/>
      </c>
      <c r="K56" s="1" t="n">
        <f aca="false">IF(OR($K$1="",对接源_01水果!$C56="",对接源_01水果!$C56&lt;&gt;$K$1,对接源_01水果!$B56=""),0,IF(OR(N(对接源_01水果!$B56)&lt;$K$2,N(对接源_01水果!$B56)&gt;$K$3),0,1))</f>
        <v>0</v>
      </c>
      <c r="L56" s="1" t="n">
        <f aca="false">IF(OR($L$1="",对接源_01水果!$C56="",对接源_01水果!$C56&lt;&gt;$L$1,对接源_01水果!$B56=""),0,IF(OR(N(对接源_01水果!$B56)&lt;$L$2,N(对接源_01水果!$B56)&gt;$L$3),0,1))</f>
        <v>0</v>
      </c>
      <c r="M56" s="1" t="n">
        <f aca="false">IF(OR($M$1="",对接源_01水果!$C56="",对接源_01水果!$C56&lt;&gt;$M$1,对接源_01水果!$B56=""),0,IF(OR(N(对接源_01水果!$B56)&lt;$M$2,N(对接源_01水果!$B56)&gt;$M$3),0,1))</f>
        <v>0</v>
      </c>
      <c r="N56" s="1" t="n">
        <f aca="false">IF(OR($N$1="",对接源_01水果!$C56="",对接源_01水果!$C56&lt;&gt;$N$1,对接源_01水果!$B56=""),0,IF(OR(N(对接源_01水果!$B56)&lt;$N$2,N(对接源_01水果!$B56)&gt;$N$3),0,1))</f>
        <v>0</v>
      </c>
      <c r="P56" s="1" t="n">
        <f aca="false">IF(AND($K56=1,AND(对接源_01水果!$X56="公司筐",N(对接源_01水果!$T56)&lt;&gt;0)),1,0)</f>
        <v>0</v>
      </c>
      <c r="Q56" s="1" t="n">
        <f aca="false">N(Q55)+$P56</f>
        <v>0</v>
      </c>
      <c r="R56" s="1" t="n">
        <f aca="false">IF(AND($K56=1,AND(对接源_01水果!$X56="公司筐",N(对接源_01水果!$U56)&lt;&gt;0)),1,0)</f>
        <v>0</v>
      </c>
      <c r="S56" s="1" t="n">
        <f aca="false">N(S55)+$R56</f>
        <v>0</v>
      </c>
      <c r="T56" s="1" t="n">
        <f aca="false">IF(AND($K56=1,AND(对接源_01水果!$X56="公司筐",N(对接源_01水果!$V56)&lt;&gt;0)),1,0)</f>
        <v>0</v>
      </c>
      <c r="U56" s="1" t="n">
        <f aca="false">N(U55)+$T56</f>
        <v>12</v>
      </c>
      <c r="V56" s="1" t="n">
        <f aca="false">IF(AND($L56=1,AND(对接源_01水果!$X56="自备筐",N(对接源_01水果!$V56)&lt;&gt;0)),1,0)</f>
        <v>0</v>
      </c>
      <c r="W56" s="1" t="n">
        <f aca="false">N(W55)+$V56</f>
        <v>0</v>
      </c>
      <c r="X56" s="1" t="n">
        <f aca="false">IF(AND($L56=1,AND(对接源_01水果!$X56="自备筐",N(对接源_01水果!$T56)&lt;&gt;0)),1,0)</f>
        <v>0</v>
      </c>
      <c r="Y56" s="1" t="n">
        <f aca="false">N(Y55)+$X56</f>
        <v>0</v>
      </c>
      <c r="Z56" s="1" t="n">
        <f aca="false">IF(AND($M56=1,对接源_01水果!$D56="原料入库"),1,0)</f>
        <v>0</v>
      </c>
      <c r="AA56" s="1" t="n">
        <f aca="false">N(AA55)+$Z56</f>
        <v>14</v>
      </c>
      <c r="AB56" s="1" t="n">
        <f aca="false">IF(AND($M56=1,LEFT(对接源_01水果!$D56,4)="原料出库"),1,0)</f>
        <v>0</v>
      </c>
      <c r="AC56" s="1" t="n">
        <f aca="false">N(AC55)+$AB56</f>
        <v>0</v>
      </c>
      <c r="AD56" s="1" t="n">
        <f aca="false">IF(AND($M56=1,LEFT(对接源_01水果!$D56,4)="成品出库"),1,0)</f>
        <v>0</v>
      </c>
      <c r="AE56" s="1" t="n">
        <f aca="false">N(AE55)+$AD56</f>
        <v>0</v>
      </c>
      <c r="AF56" s="1" t="n">
        <f aca="false">IF(AND($N56=1,AND(LEFT(对接源_01水果!$D56,4)="包装物料",N(对接源_01水果!$K56)&lt;&gt;0)),1,0)</f>
        <v>0</v>
      </c>
      <c r="AG56" s="90" t="str">
        <f aca="false">IF(对接源_01水果!$AC56="","",对接源_01水果!$AC56)</f>
        <v/>
      </c>
      <c r="AH56" s="90" t="str">
        <f aca="false">IFERROR(INDEX($AG$4:$AG$1203,MATCH(ROW()-3,$AJ$4:$AJ$1203,0)),"")</f>
        <v/>
      </c>
      <c r="AI56" s="90" t="n">
        <f aca="false">IF(AG56="",0,IF(MATCH(AG56,$AG$4:$AG$1203,0)=ROW()-3,1,0))</f>
        <v>0</v>
      </c>
      <c r="AJ56" s="90" t="n">
        <f aca="false">N(AJ55)+AI56</f>
        <v>0</v>
      </c>
      <c r="AK56" s="1" t="n">
        <f aca="false">N(AK55)+$AJ56</f>
        <v>0</v>
      </c>
    </row>
    <row r="57" customFormat="false" ht="13.5" hidden="false" customHeight="false" outlineLevel="0" collapsed="false">
      <c r="A57" s="1" t="str">
        <f aca="false">IF(对接源_01水果!$C57="","",对接源_01水果!$C57)</f>
        <v>聂新平</v>
      </c>
      <c r="B57" s="1" t="n">
        <f aca="false">IF(A57="",0,IF(MATCH(A57,$A$4:$A$2403,0)=ROW()-3,1,0))</f>
        <v>0</v>
      </c>
      <c r="C57" s="1" t="n">
        <f aca="false">N(C56)+B57</f>
        <v>4</v>
      </c>
      <c r="E57" s="1" t="str">
        <f aca="false">IFERROR(INDEX($A$4:$A$2403,MATCH(ROW()-3,$C$4:$C$2403,0)),"")</f>
        <v/>
      </c>
      <c r="K57" s="1" t="n">
        <f aca="false">IF(OR($K$1="",对接源_01水果!$C57="",对接源_01水果!$C57&lt;&gt;$K$1,对接源_01水果!$B57=""),0,IF(OR(N(对接源_01水果!$B57)&lt;$K$2,N(对接源_01水果!$B57)&gt;$K$3),0,1))</f>
        <v>0</v>
      </c>
      <c r="L57" s="1" t="n">
        <f aca="false">IF(OR($L$1="",对接源_01水果!$C57="",对接源_01水果!$C57&lt;&gt;$L$1,对接源_01水果!$B57=""),0,IF(OR(N(对接源_01水果!$B57)&lt;$L$2,N(对接源_01水果!$B57)&gt;$L$3),0,1))</f>
        <v>0</v>
      </c>
      <c r="M57" s="1" t="n">
        <f aca="false">IF(OR($M$1="",对接源_01水果!$C57="",对接源_01水果!$C57&lt;&gt;$M$1,对接源_01水果!$B57=""),0,IF(OR(N(对接源_01水果!$B57)&lt;$M$2,N(对接源_01水果!$B57)&gt;$M$3),0,1))</f>
        <v>0</v>
      </c>
      <c r="N57" s="1" t="n">
        <f aca="false">IF(OR($N$1="",对接源_01水果!$C57="",对接源_01水果!$C57&lt;&gt;$N$1,对接源_01水果!$B57=""),0,IF(OR(N(对接源_01水果!$B57)&lt;$N$2,N(对接源_01水果!$B57)&gt;$N$3),0,1))</f>
        <v>0</v>
      </c>
      <c r="P57" s="1" t="n">
        <f aca="false">IF(AND($K57=1,AND(对接源_01水果!$X57="公司筐",N(对接源_01水果!$T57)&lt;&gt;0)),1,0)</f>
        <v>0</v>
      </c>
      <c r="Q57" s="1" t="n">
        <f aca="false">N(Q56)+$P57</f>
        <v>0</v>
      </c>
      <c r="R57" s="1" t="n">
        <f aca="false">IF(AND($K57=1,AND(对接源_01水果!$X57="公司筐",N(对接源_01水果!$U57)&lt;&gt;0)),1,0)</f>
        <v>0</v>
      </c>
      <c r="S57" s="1" t="n">
        <f aca="false">N(S56)+$R57</f>
        <v>0</v>
      </c>
      <c r="T57" s="1" t="n">
        <f aca="false">IF(AND($K57=1,AND(对接源_01水果!$X57="公司筐",N(对接源_01水果!$V57)&lt;&gt;0)),1,0)</f>
        <v>0</v>
      </c>
      <c r="U57" s="1" t="n">
        <f aca="false">N(U56)+$T57</f>
        <v>12</v>
      </c>
      <c r="V57" s="1" t="n">
        <f aca="false">IF(AND($L57=1,AND(对接源_01水果!$X57="自备筐",N(对接源_01水果!$V57)&lt;&gt;0)),1,0)</f>
        <v>0</v>
      </c>
      <c r="W57" s="1" t="n">
        <f aca="false">N(W56)+$V57</f>
        <v>0</v>
      </c>
      <c r="X57" s="1" t="n">
        <f aca="false">IF(AND($L57=1,AND(对接源_01水果!$X57="自备筐",N(对接源_01水果!$T57)&lt;&gt;0)),1,0)</f>
        <v>0</v>
      </c>
      <c r="Y57" s="1" t="n">
        <f aca="false">N(Y56)+$X57</f>
        <v>0</v>
      </c>
      <c r="Z57" s="1" t="n">
        <f aca="false">IF(AND($M57=1,对接源_01水果!$D57="原料入库"),1,0)</f>
        <v>0</v>
      </c>
      <c r="AA57" s="1" t="n">
        <f aca="false">N(AA56)+$Z57</f>
        <v>14</v>
      </c>
      <c r="AB57" s="1" t="n">
        <f aca="false">IF(AND($M57=1,LEFT(对接源_01水果!$D57,4)="原料出库"),1,0)</f>
        <v>0</v>
      </c>
      <c r="AC57" s="1" t="n">
        <f aca="false">N(AC56)+$AB57</f>
        <v>0</v>
      </c>
      <c r="AD57" s="1" t="n">
        <f aca="false">IF(AND($M57=1,LEFT(对接源_01水果!$D57,4)="成品出库"),1,0)</f>
        <v>0</v>
      </c>
      <c r="AE57" s="1" t="n">
        <f aca="false">N(AE56)+$AD57</f>
        <v>0</v>
      </c>
      <c r="AF57" s="1" t="n">
        <f aca="false">IF(AND($N57=1,AND(LEFT(对接源_01水果!$D57,4)="包装物料",N(对接源_01水果!$K57)&lt;&gt;0)),1,0)</f>
        <v>0</v>
      </c>
      <c r="AG57" s="90" t="str">
        <f aca="false">IF(对接源_01水果!$AC57="","",对接源_01水果!$AC57)</f>
        <v/>
      </c>
      <c r="AH57" s="90" t="str">
        <f aca="false">IFERROR(INDEX($AG$4:$AG$1203,MATCH(ROW()-3,$AJ$4:$AJ$1203,0)),"")</f>
        <v/>
      </c>
      <c r="AI57" s="90" t="n">
        <f aca="false">IF(AG57="",0,IF(MATCH(AG57,$AG$4:$AG$1203,0)=ROW()-3,1,0))</f>
        <v>0</v>
      </c>
      <c r="AJ57" s="90" t="n">
        <f aca="false">N(AJ56)+AI57</f>
        <v>0</v>
      </c>
      <c r="AK57" s="1" t="n">
        <f aca="false">N(AK56)+$AJ57</f>
        <v>0</v>
      </c>
    </row>
    <row r="58" customFormat="false" ht="13.5" hidden="false" customHeight="false" outlineLevel="0" collapsed="false">
      <c r="A58" s="1" t="str">
        <f aca="false">IF(对接源_01水果!$C58="","",对接源_01水果!$C58)</f>
        <v>王照雪</v>
      </c>
      <c r="B58" s="1" t="n">
        <f aca="false">IF(A58="",0,IF(MATCH(A58,$A$4:$A$2403,0)=ROW()-3,1,0))</f>
        <v>0</v>
      </c>
      <c r="C58" s="1" t="n">
        <f aca="false">N(C57)+B58</f>
        <v>4</v>
      </c>
      <c r="E58" s="1" t="str">
        <f aca="false">IFERROR(INDEX($A$4:$A$2403,MATCH(ROW()-3,$C$4:$C$2403,0)),"")</f>
        <v/>
      </c>
      <c r="K58" s="1" t="n">
        <f aca="false">IF(OR($K$1="",对接源_01水果!$C58="",对接源_01水果!$C58&lt;&gt;$K$1,对接源_01水果!$B58=""),0,IF(OR(N(对接源_01水果!$B58)&lt;$K$2,N(对接源_01水果!$B58)&gt;$K$3),0,1))</f>
        <v>1</v>
      </c>
      <c r="L58" s="1" t="n">
        <f aca="false">IF(OR($L$1="",对接源_01水果!$C58="",对接源_01水果!$C58&lt;&gt;$L$1,对接源_01水果!$B58=""),0,IF(OR(N(对接源_01水果!$B58)&lt;$L$2,N(对接源_01水果!$B58)&gt;$L$3),0,1))</f>
        <v>0</v>
      </c>
      <c r="M58" s="1" t="n">
        <f aca="false">IF(OR($M$1="",对接源_01水果!$C58="",对接源_01水果!$C58&lt;&gt;$M$1,对接源_01水果!$B58=""),0,IF(OR(N(对接源_01水果!$B58)&lt;$M$2,N(对接源_01水果!$B58)&gt;$M$3),0,1))</f>
        <v>1</v>
      </c>
      <c r="N58" s="1" t="n">
        <f aca="false">IF(OR($N$1="",对接源_01水果!$C58="",对接源_01水果!$C58&lt;&gt;$N$1,对接源_01水果!$B58=""),0,IF(OR(N(对接源_01水果!$B58)&lt;$N$2,N(对接源_01水果!$B58)&gt;$N$3),0,1))</f>
        <v>0</v>
      </c>
      <c r="P58" s="1" t="n">
        <f aca="false">IF(AND($K58=1,AND(对接源_01水果!$X58="公司筐",N(对接源_01水果!$T58)&lt;&gt;0)),1,0)</f>
        <v>0</v>
      </c>
      <c r="Q58" s="1" t="n">
        <f aca="false">N(Q57)+$P58</f>
        <v>0</v>
      </c>
      <c r="R58" s="1" t="n">
        <f aca="false">IF(AND($K58=1,AND(对接源_01水果!$X58="公司筐",N(对接源_01水果!$U58)&lt;&gt;0)),1,0)</f>
        <v>0</v>
      </c>
      <c r="S58" s="1" t="n">
        <f aca="false">N(S57)+$R58</f>
        <v>0</v>
      </c>
      <c r="T58" s="1" t="n">
        <f aca="false">IF(AND($K58=1,AND(对接源_01水果!$X58="公司筐",N(对接源_01水果!$V58)&lt;&gt;0)),1,0)</f>
        <v>1</v>
      </c>
      <c r="U58" s="1" t="n">
        <f aca="false">N(U57)+$T58</f>
        <v>13</v>
      </c>
      <c r="V58" s="1" t="n">
        <f aca="false">IF(AND($L58=1,AND(对接源_01水果!$X58="自备筐",N(对接源_01水果!$V58)&lt;&gt;0)),1,0)</f>
        <v>0</v>
      </c>
      <c r="W58" s="1" t="n">
        <f aca="false">N(W57)+$V58</f>
        <v>0</v>
      </c>
      <c r="X58" s="1" t="n">
        <f aca="false">IF(AND($L58=1,AND(对接源_01水果!$X58="自备筐",N(对接源_01水果!$T58)&lt;&gt;0)),1,0)</f>
        <v>0</v>
      </c>
      <c r="Y58" s="1" t="n">
        <f aca="false">N(Y57)+$X58</f>
        <v>0</v>
      </c>
      <c r="Z58" s="1" t="n">
        <f aca="false">IF(AND($M58=1,对接源_01水果!$D58="原料入库"),1,0)</f>
        <v>1</v>
      </c>
      <c r="AA58" s="1" t="n">
        <f aca="false">N(AA57)+$Z58</f>
        <v>15</v>
      </c>
      <c r="AB58" s="1" t="n">
        <f aca="false">IF(AND($M58=1,LEFT(对接源_01水果!$D58,4)="原料出库"),1,0)</f>
        <v>0</v>
      </c>
      <c r="AC58" s="1" t="n">
        <f aca="false">N(AC57)+$AB58</f>
        <v>0</v>
      </c>
      <c r="AD58" s="1" t="n">
        <f aca="false">IF(AND($M58=1,LEFT(对接源_01水果!$D58,4)="成品出库"),1,0)</f>
        <v>0</v>
      </c>
      <c r="AE58" s="1" t="n">
        <f aca="false">N(AE57)+$AD58</f>
        <v>0</v>
      </c>
      <c r="AF58" s="1" t="n">
        <f aca="false">IF(AND($N58=1,AND(LEFT(对接源_01水果!$D58,4)="包装物料",N(对接源_01水果!$K58)&lt;&gt;0)),1,0)</f>
        <v>0</v>
      </c>
      <c r="AG58" s="90" t="str">
        <f aca="false">IF(对接源_01水果!$AC58="","",对接源_01水果!$AC58)</f>
        <v/>
      </c>
      <c r="AH58" s="90" t="str">
        <f aca="false">IFERROR(INDEX($AG$4:$AG$1203,MATCH(ROW()-3,$AJ$4:$AJ$1203,0)),"")</f>
        <v/>
      </c>
      <c r="AI58" s="90" t="n">
        <f aca="false">IF(AG58="",0,IF(MATCH(AG58,$AG$4:$AG$1203,0)=ROW()-3,1,0))</f>
        <v>0</v>
      </c>
      <c r="AJ58" s="90" t="n">
        <f aca="false">N(AJ57)+AI58</f>
        <v>0</v>
      </c>
      <c r="AK58" s="1" t="n">
        <f aca="false">N(AK57)+$AJ58</f>
        <v>0</v>
      </c>
    </row>
    <row r="59" customFormat="false" ht="13.5" hidden="false" customHeight="false" outlineLevel="0" collapsed="false">
      <c r="A59" s="1" t="str">
        <f aca="false">IF(对接源_01水果!$C59="","",对接源_01水果!$C59)</f>
        <v>王照雪</v>
      </c>
      <c r="B59" s="1" t="n">
        <f aca="false">IF(A59="",0,IF(MATCH(A59,$A$4:$A$2403,0)=ROW()-3,1,0))</f>
        <v>0</v>
      </c>
      <c r="C59" s="1" t="n">
        <f aca="false">N(C58)+B59</f>
        <v>4</v>
      </c>
      <c r="E59" s="1" t="str">
        <f aca="false">IFERROR(INDEX($A$4:$A$2403,MATCH(ROW()-3,$C$4:$C$2403,0)),"")</f>
        <v/>
      </c>
      <c r="K59" s="1" t="n">
        <f aca="false">IF(OR($K$1="",对接源_01水果!$C59="",对接源_01水果!$C59&lt;&gt;$K$1,对接源_01水果!$B59=""),0,IF(OR(N(对接源_01水果!$B59)&lt;$K$2,N(对接源_01水果!$B59)&gt;$K$3),0,1))</f>
        <v>1</v>
      </c>
      <c r="L59" s="1" t="n">
        <f aca="false">IF(OR($L$1="",对接源_01水果!$C59="",对接源_01水果!$C59&lt;&gt;$L$1,对接源_01水果!$B59=""),0,IF(OR(N(对接源_01水果!$B59)&lt;$L$2,N(对接源_01水果!$B59)&gt;$L$3),0,1))</f>
        <v>0</v>
      </c>
      <c r="M59" s="1" t="n">
        <f aca="false">IF(OR($M$1="",对接源_01水果!$C59="",对接源_01水果!$C59&lt;&gt;$M$1,对接源_01水果!$B59=""),0,IF(OR(N(对接源_01水果!$B59)&lt;$M$2,N(对接源_01水果!$B59)&gt;$M$3),0,1))</f>
        <v>1</v>
      </c>
      <c r="N59" s="1" t="n">
        <f aca="false">IF(OR($N$1="",对接源_01水果!$C59="",对接源_01水果!$C59&lt;&gt;$N$1,对接源_01水果!$B59=""),0,IF(OR(N(对接源_01水果!$B59)&lt;$N$2,N(对接源_01水果!$B59)&gt;$N$3),0,1))</f>
        <v>0</v>
      </c>
      <c r="P59" s="1" t="n">
        <f aca="false">IF(AND($K59=1,AND(对接源_01水果!$X59="公司筐",N(对接源_01水果!$T59)&lt;&gt;0)),1,0)</f>
        <v>0</v>
      </c>
      <c r="Q59" s="1" t="n">
        <f aca="false">N(Q58)+$P59</f>
        <v>0</v>
      </c>
      <c r="R59" s="1" t="n">
        <f aca="false">IF(AND($K59=1,AND(对接源_01水果!$X59="公司筐",N(对接源_01水果!$U59)&lt;&gt;0)),1,0)</f>
        <v>0</v>
      </c>
      <c r="S59" s="1" t="n">
        <f aca="false">N(S58)+$R59</f>
        <v>0</v>
      </c>
      <c r="T59" s="1" t="n">
        <f aca="false">IF(AND($K59=1,AND(对接源_01水果!$X59="公司筐",N(对接源_01水果!$V59)&lt;&gt;0)),1,0)</f>
        <v>1</v>
      </c>
      <c r="U59" s="1" t="n">
        <f aca="false">N(U58)+$T59</f>
        <v>14</v>
      </c>
      <c r="V59" s="1" t="n">
        <f aca="false">IF(AND($L59=1,AND(对接源_01水果!$X59="自备筐",N(对接源_01水果!$V59)&lt;&gt;0)),1,0)</f>
        <v>0</v>
      </c>
      <c r="W59" s="1" t="n">
        <f aca="false">N(W58)+$V59</f>
        <v>0</v>
      </c>
      <c r="X59" s="1" t="n">
        <f aca="false">IF(AND($L59=1,AND(对接源_01水果!$X59="自备筐",N(对接源_01水果!$T59)&lt;&gt;0)),1,0)</f>
        <v>0</v>
      </c>
      <c r="Y59" s="1" t="n">
        <f aca="false">N(Y58)+$X59</f>
        <v>0</v>
      </c>
      <c r="Z59" s="1" t="n">
        <f aca="false">IF(AND($M59=1,对接源_01水果!$D59="原料入库"),1,0)</f>
        <v>1</v>
      </c>
      <c r="AA59" s="1" t="n">
        <f aca="false">N(AA58)+$Z59</f>
        <v>16</v>
      </c>
      <c r="AB59" s="1" t="n">
        <f aca="false">IF(AND($M59=1,LEFT(对接源_01水果!$D59,4)="原料出库"),1,0)</f>
        <v>0</v>
      </c>
      <c r="AC59" s="1" t="n">
        <f aca="false">N(AC58)+$AB59</f>
        <v>0</v>
      </c>
      <c r="AD59" s="1" t="n">
        <f aca="false">IF(AND($M59=1,LEFT(对接源_01水果!$D59,4)="成品出库"),1,0)</f>
        <v>0</v>
      </c>
      <c r="AE59" s="1" t="n">
        <f aca="false">N(AE58)+$AD59</f>
        <v>0</v>
      </c>
      <c r="AF59" s="1" t="n">
        <f aca="false">IF(AND($N59=1,AND(LEFT(对接源_01水果!$D59,4)="包装物料",N(对接源_01水果!$K59)&lt;&gt;0)),1,0)</f>
        <v>0</v>
      </c>
      <c r="AG59" s="90" t="str">
        <f aca="false">IF(对接源_01水果!$AC59="","",对接源_01水果!$AC59)</f>
        <v/>
      </c>
      <c r="AH59" s="90" t="str">
        <f aca="false">IFERROR(INDEX($AG$4:$AG$1203,MATCH(ROW()-3,$AJ$4:$AJ$1203,0)),"")</f>
        <v/>
      </c>
      <c r="AI59" s="90" t="n">
        <f aca="false">IF(AG59="",0,IF(MATCH(AG59,$AG$4:$AG$1203,0)=ROW()-3,1,0))</f>
        <v>0</v>
      </c>
      <c r="AJ59" s="90" t="n">
        <f aca="false">N(AJ58)+AI59</f>
        <v>0</v>
      </c>
      <c r="AK59" s="1" t="n">
        <f aca="false">N(AK58)+$AJ59</f>
        <v>0</v>
      </c>
    </row>
    <row r="60" customFormat="false" ht="13.5" hidden="false" customHeight="false" outlineLevel="0" collapsed="false">
      <c r="A60" s="1" t="str">
        <f aca="false">IF(对接源_01水果!$C60="","",对接源_01水果!$C60)</f>
        <v>王照雪</v>
      </c>
      <c r="B60" s="1" t="n">
        <f aca="false">IF(A60="",0,IF(MATCH(A60,$A$4:$A$2403,0)=ROW()-3,1,0))</f>
        <v>0</v>
      </c>
      <c r="C60" s="1" t="n">
        <f aca="false">N(C59)+B60</f>
        <v>4</v>
      </c>
      <c r="E60" s="1" t="str">
        <f aca="false">IFERROR(INDEX($A$4:$A$2403,MATCH(ROW()-3,$C$4:$C$2403,0)),"")</f>
        <v/>
      </c>
      <c r="K60" s="1" t="n">
        <f aca="false">IF(OR($K$1="",对接源_01水果!$C60="",对接源_01水果!$C60&lt;&gt;$K$1,对接源_01水果!$B60=""),0,IF(OR(N(对接源_01水果!$B60)&lt;$K$2,N(对接源_01水果!$B60)&gt;$K$3),0,1))</f>
        <v>1</v>
      </c>
      <c r="L60" s="1" t="n">
        <f aca="false">IF(OR($L$1="",对接源_01水果!$C60="",对接源_01水果!$C60&lt;&gt;$L$1,对接源_01水果!$B60=""),0,IF(OR(N(对接源_01水果!$B60)&lt;$L$2,N(对接源_01水果!$B60)&gt;$L$3),0,1))</f>
        <v>0</v>
      </c>
      <c r="M60" s="1" t="n">
        <f aca="false">IF(OR($M$1="",对接源_01水果!$C60="",对接源_01水果!$C60&lt;&gt;$M$1,对接源_01水果!$B60=""),0,IF(OR(N(对接源_01水果!$B60)&lt;$M$2,N(对接源_01水果!$B60)&gt;$M$3),0,1))</f>
        <v>1</v>
      </c>
      <c r="N60" s="1" t="n">
        <f aca="false">IF(OR($N$1="",对接源_01水果!$C60="",对接源_01水果!$C60&lt;&gt;$N$1,对接源_01水果!$B60=""),0,IF(OR(N(对接源_01水果!$B60)&lt;$N$2,N(对接源_01水果!$B60)&gt;$N$3),0,1))</f>
        <v>0</v>
      </c>
      <c r="P60" s="1" t="n">
        <f aca="false">IF(AND($K60=1,AND(对接源_01水果!$X60="公司筐",N(对接源_01水果!$T60)&lt;&gt;0)),1,0)</f>
        <v>0</v>
      </c>
      <c r="Q60" s="1" t="n">
        <f aca="false">N(Q59)+$P60</f>
        <v>0</v>
      </c>
      <c r="R60" s="1" t="n">
        <f aca="false">IF(AND($K60=1,AND(对接源_01水果!$X60="公司筐",N(对接源_01水果!$U60)&lt;&gt;0)),1,0)</f>
        <v>0</v>
      </c>
      <c r="S60" s="1" t="n">
        <f aca="false">N(S59)+$R60</f>
        <v>0</v>
      </c>
      <c r="T60" s="1" t="n">
        <f aca="false">IF(AND($K60=1,AND(对接源_01水果!$X60="公司筐",N(对接源_01水果!$V60)&lt;&gt;0)),1,0)</f>
        <v>1</v>
      </c>
      <c r="U60" s="1" t="n">
        <f aca="false">N(U59)+$T60</f>
        <v>15</v>
      </c>
      <c r="V60" s="1" t="n">
        <f aca="false">IF(AND($L60=1,AND(对接源_01水果!$X60="自备筐",N(对接源_01水果!$V60)&lt;&gt;0)),1,0)</f>
        <v>0</v>
      </c>
      <c r="W60" s="1" t="n">
        <f aca="false">N(W59)+$V60</f>
        <v>0</v>
      </c>
      <c r="X60" s="1" t="n">
        <f aca="false">IF(AND($L60=1,AND(对接源_01水果!$X60="自备筐",N(对接源_01水果!$T60)&lt;&gt;0)),1,0)</f>
        <v>0</v>
      </c>
      <c r="Y60" s="1" t="n">
        <f aca="false">N(Y59)+$X60</f>
        <v>0</v>
      </c>
      <c r="Z60" s="1" t="n">
        <f aca="false">IF(AND($M60=1,对接源_01水果!$D60="原料入库"),1,0)</f>
        <v>1</v>
      </c>
      <c r="AA60" s="1" t="n">
        <f aca="false">N(AA59)+$Z60</f>
        <v>17</v>
      </c>
      <c r="AB60" s="1" t="n">
        <f aca="false">IF(AND($M60=1,LEFT(对接源_01水果!$D60,4)="原料出库"),1,0)</f>
        <v>0</v>
      </c>
      <c r="AC60" s="1" t="n">
        <f aca="false">N(AC59)+$AB60</f>
        <v>0</v>
      </c>
      <c r="AD60" s="1" t="n">
        <f aca="false">IF(AND($M60=1,LEFT(对接源_01水果!$D60,4)="成品出库"),1,0)</f>
        <v>0</v>
      </c>
      <c r="AE60" s="1" t="n">
        <f aca="false">N(AE59)+$AD60</f>
        <v>0</v>
      </c>
      <c r="AF60" s="1" t="n">
        <f aca="false">IF(AND($N60=1,AND(LEFT(对接源_01水果!$D60,4)="包装物料",N(对接源_01水果!$K60)&lt;&gt;0)),1,0)</f>
        <v>0</v>
      </c>
      <c r="AG60" s="90" t="str">
        <f aca="false">IF(对接源_01水果!$AC60="","",对接源_01水果!$AC60)</f>
        <v/>
      </c>
      <c r="AH60" s="90" t="str">
        <f aca="false">IFERROR(INDEX($AG$4:$AG$1203,MATCH(ROW()-3,$AJ$4:$AJ$1203,0)),"")</f>
        <v/>
      </c>
      <c r="AI60" s="90" t="n">
        <f aca="false">IF(AG60="",0,IF(MATCH(AG60,$AG$4:$AG$1203,0)=ROW()-3,1,0))</f>
        <v>0</v>
      </c>
      <c r="AJ60" s="90" t="n">
        <f aca="false">N(AJ59)+AI60</f>
        <v>0</v>
      </c>
      <c r="AK60" s="1" t="n">
        <f aca="false">N(AK59)+$AJ60</f>
        <v>0</v>
      </c>
    </row>
    <row r="61" customFormat="false" ht="13.5" hidden="false" customHeight="false" outlineLevel="0" collapsed="false">
      <c r="A61" s="1" t="str">
        <f aca="false">IF(对接源_01水果!$C61="","",对接源_01水果!$C61)</f>
        <v>聂新平</v>
      </c>
      <c r="B61" s="1" t="n">
        <f aca="false">IF(A61="",0,IF(MATCH(A61,$A$4:$A$2403,0)=ROW()-3,1,0))</f>
        <v>0</v>
      </c>
      <c r="C61" s="1" t="n">
        <f aca="false">N(C60)+B61</f>
        <v>4</v>
      </c>
      <c r="E61" s="1" t="str">
        <f aca="false">IFERROR(INDEX($A$4:$A$2403,MATCH(ROW()-3,$C$4:$C$2403,0)),"")</f>
        <v/>
      </c>
      <c r="K61" s="1" t="n">
        <f aca="false">IF(OR($K$1="",对接源_01水果!$C61="",对接源_01水果!$C61&lt;&gt;$K$1,对接源_01水果!$B61=""),0,IF(OR(N(对接源_01水果!$B61)&lt;$K$2,N(对接源_01水果!$B61)&gt;$K$3),0,1))</f>
        <v>0</v>
      </c>
      <c r="L61" s="1" t="n">
        <f aca="false">IF(OR($L$1="",对接源_01水果!$C61="",对接源_01水果!$C61&lt;&gt;$L$1,对接源_01水果!$B61=""),0,IF(OR(N(对接源_01水果!$B61)&lt;$L$2,N(对接源_01水果!$B61)&gt;$L$3),0,1))</f>
        <v>0</v>
      </c>
      <c r="M61" s="1" t="n">
        <f aca="false">IF(OR($M$1="",对接源_01水果!$C61="",对接源_01水果!$C61&lt;&gt;$M$1,对接源_01水果!$B61=""),0,IF(OR(N(对接源_01水果!$B61)&lt;$M$2,N(对接源_01水果!$B61)&gt;$M$3),0,1))</f>
        <v>0</v>
      </c>
      <c r="N61" s="1" t="n">
        <f aca="false">IF(OR($N$1="",对接源_01水果!$C61="",对接源_01水果!$C61&lt;&gt;$N$1,对接源_01水果!$B61=""),0,IF(OR(N(对接源_01水果!$B61)&lt;$N$2,N(对接源_01水果!$B61)&gt;$N$3),0,1))</f>
        <v>0</v>
      </c>
      <c r="P61" s="1" t="n">
        <f aca="false">IF(AND($K61=1,AND(对接源_01水果!$X61="公司筐",N(对接源_01水果!$T61)&lt;&gt;0)),1,0)</f>
        <v>0</v>
      </c>
      <c r="Q61" s="1" t="n">
        <f aca="false">N(Q60)+$P61</f>
        <v>0</v>
      </c>
      <c r="R61" s="1" t="n">
        <f aca="false">IF(AND($K61=1,AND(对接源_01水果!$X61="公司筐",N(对接源_01水果!$U61)&lt;&gt;0)),1,0)</f>
        <v>0</v>
      </c>
      <c r="S61" s="1" t="n">
        <f aca="false">N(S60)+$R61</f>
        <v>0</v>
      </c>
      <c r="T61" s="1" t="n">
        <f aca="false">IF(AND($K61=1,AND(对接源_01水果!$X61="公司筐",N(对接源_01水果!$V61)&lt;&gt;0)),1,0)</f>
        <v>0</v>
      </c>
      <c r="U61" s="1" t="n">
        <f aca="false">N(U60)+$T61</f>
        <v>15</v>
      </c>
      <c r="V61" s="1" t="n">
        <f aca="false">IF(AND($L61=1,AND(对接源_01水果!$X61="自备筐",N(对接源_01水果!$V61)&lt;&gt;0)),1,0)</f>
        <v>0</v>
      </c>
      <c r="W61" s="1" t="n">
        <f aca="false">N(W60)+$V61</f>
        <v>0</v>
      </c>
      <c r="X61" s="1" t="n">
        <f aca="false">IF(AND($L61=1,AND(对接源_01水果!$X61="自备筐",N(对接源_01水果!$T61)&lt;&gt;0)),1,0)</f>
        <v>0</v>
      </c>
      <c r="Y61" s="1" t="n">
        <f aca="false">N(Y60)+$X61</f>
        <v>0</v>
      </c>
      <c r="Z61" s="1" t="n">
        <f aca="false">IF(AND($M61=1,对接源_01水果!$D61="原料入库"),1,0)</f>
        <v>0</v>
      </c>
      <c r="AA61" s="1" t="n">
        <f aca="false">N(AA60)+$Z61</f>
        <v>17</v>
      </c>
      <c r="AB61" s="1" t="n">
        <f aca="false">IF(AND($M61=1,LEFT(对接源_01水果!$D61,4)="原料出库"),1,0)</f>
        <v>0</v>
      </c>
      <c r="AC61" s="1" t="n">
        <f aca="false">N(AC60)+$AB61</f>
        <v>0</v>
      </c>
      <c r="AD61" s="1" t="n">
        <f aca="false">IF(AND($M61=1,LEFT(对接源_01水果!$D61,4)="成品出库"),1,0)</f>
        <v>0</v>
      </c>
      <c r="AE61" s="1" t="n">
        <f aca="false">N(AE60)+$AD61</f>
        <v>0</v>
      </c>
      <c r="AF61" s="1" t="n">
        <f aca="false">IF(AND($N61=1,AND(LEFT(对接源_01水果!$D61,4)="包装物料",N(对接源_01水果!$K61)&lt;&gt;0)),1,0)</f>
        <v>0</v>
      </c>
      <c r="AG61" s="90" t="str">
        <f aca="false">IF(对接源_01水果!$AC61="","",对接源_01水果!$AC61)</f>
        <v/>
      </c>
      <c r="AH61" s="90" t="str">
        <f aca="false">IFERROR(INDEX($AG$4:$AG$1203,MATCH(ROW()-3,$AJ$4:$AJ$1203,0)),"")</f>
        <v/>
      </c>
      <c r="AI61" s="90" t="n">
        <f aca="false">IF(AG61="",0,IF(MATCH(AG61,$AG$4:$AG$1203,0)=ROW()-3,1,0))</f>
        <v>0</v>
      </c>
      <c r="AJ61" s="90" t="n">
        <f aca="false">N(AJ60)+AI61</f>
        <v>0</v>
      </c>
      <c r="AK61" s="1" t="n">
        <f aca="false">N(AK60)+$AJ61</f>
        <v>0</v>
      </c>
    </row>
    <row r="62" customFormat="false" ht="13.5" hidden="false" customHeight="false" outlineLevel="0" collapsed="false">
      <c r="A62" s="1" t="str">
        <f aca="false">IF(对接源_01水果!$C62="","",对接源_01水果!$C62)</f>
        <v>聂新平</v>
      </c>
      <c r="B62" s="1" t="n">
        <f aca="false">IF(A62="",0,IF(MATCH(A62,$A$4:$A$2403,0)=ROW()-3,1,0))</f>
        <v>0</v>
      </c>
      <c r="C62" s="1" t="n">
        <f aca="false">N(C61)+B62</f>
        <v>4</v>
      </c>
      <c r="E62" s="1" t="str">
        <f aca="false">IFERROR(INDEX($A$4:$A$2403,MATCH(ROW()-3,$C$4:$C$2403,0)),"")</f>
        <v/>
      </c>
      <c r="K62" s="1" t="n">
        <f aca="false">IF(OR($K$1="",对接源_01水果!$C62="",对接源_01水果!$C62&lt;&gt;$K$1,对接源_01水果!$B62=""),0,IF(OR(N(对接源_01水果!$B62)&lt;$K$2,N(对接源_01水果!$B62)&gt;$K$3),0,1))</f>
        <v>0</v>
      </c>
      <c r="L62" s="1" t="n">
        <f aca="false">IF(OR($L$1="",对接源_01水果!$C62="",对接源_01水果!$C62&lt;&gt;$L$1,对接源_01水果!$B62=""),0,IF(OR(N(对接源_01水果!$B62)&lt;$L$2,N(对接源_01水果!$B62)&gt;$L$3),0,1))</f>
        <v>0</v>
      </c>
      <c r="M62" s="1" t="n">
        <f aca="false">IF(OR($M$1="",对接源_01水果!$C62="",对接源_01水果!$C62&lt;&gt;$M$1,对接源_01水果!$B62=""),0,IF(OR(N(对接源_01水果!$B62)&lt;$M$2,N(对接源_01水果!$B62)&gt;$M$3),0,1))</f>
        <v>0</v>
      </c>
      <c r="N62" s="1" t="n">
        <f aca="false">IF(OR($N$1="",对接源_01水果!$C62="",对接源_01水果!$C62&lt;&gt;$N$1,对接源_01水果!$B62=""),0,IF(OR(N(对接源_01水果!$B62)&lt;$N$2,N(对接源_01水果!$B62)&gt;$N$3),0,1))</f>
        <v>0</v>
      </c>
      <c r="P62" s="1" t="n">
        <f aca="false">IF(AND($K62=1,AND(对接源_01水果!$X62="公司筐",N(对接源_01水果!$T62)&lt;&gt;0)),1,0)</f>
        <v>0</v>
      </c>
      <c r="Q62" s="1" t="n">
        <f aca="false">N(Q61)+$P62</f>
        <v>0</v>
      </c>
      <c r="R62" s="1" t="n">
        <f aca="false">IF(AND($K62=1,AND(对接源_01水果!$X62="公司筐",N(对接源_01水果!$U62)&lt;&gt;0)),1,0)</f>
        <v>0</v>
      </c>
      <c r="S62" s="1" t="n">
        <f aca="false">N(S61)+$R62</f>
        <v>0</v>
      </c>
      <c r="T62" s="1" t="n">
        <f aca="false">IF(AND($K62=1,AND(对接源_01水果!$X62="公司筐",N(对接源_01水果!$V62)&lt;&gt;0)),1,0)</f>
        <v>0</v>
      </c>
      <c r="U62" s="1" t="n">
        <f aca="false">N(U61)+$T62</f>
        <v>15</v>
      </c>
      <c r="V62" s="1" t="n">
        <f aca="false">IF(AND($L62=1,AND(对接源_01水果!$X62="自备筐",N(对接源_01水果!$V62)&lt;&gt;0)),1,0)</f>
        <v>0</v>
      </c>
      <c r="W62" s="1" t="n">
        <f aca="false">N(W61)+$V62</f>
        <v>0</v>
      </c>
      <c r="X62" s="1" t="n">
        <f aca="false">IF(AND($L62=1,AND(对接源_01水果!$X62="自备筐",N(对接源_01水果!$T62)&lt;&gt;0)),1,0)</f>
        <v>0</v>
      </c>
      <c r="Y62" s="1" t="n">
        <f aca="false">N(Y61)+$X62</f>
        <v>0</v>
      </c>
      <c r="Z62" s="1" t="n">
        <f aca="false">IF(AND($M62=1,对接源_01水果!$D62="原料入库"),1,0)</f>
        <v>0</v>
      </c>
      <c r="AA62" s="1" t="n">
        <f aca="false">N(AA61)+$Z62</f>
        <v>17</v>
      </c>
      <c r="AB62" s="1" t="n">
        <f aca="false">IF(AND($M62=1,LEFT(对接源_01水果!$D62,4)="原料出库"),1,0)</f>
        <v>0</v>
      </c>
      <c r="AC62" s="1" t="n">
        <f aca="false">N(AC61)+$AB62</f>
        <v>0</v>
      </c>
      <c r="AD62" s="1" t="n">
        <f aca="false">IF(AND($M62=1,LEFT(对接源_01水果!$D62,4)="成品出库"),1,0)</f>
        <v>0</v>
      </c>
      <c r="AE62" s="1" t="n">
        <f aca="false">N(AE61)+$AD62</f>
        <v>0</v>
      </c>
      <c r="AF62" s="1" t="n">
        <f aca="false">IF(AND($N62=1,AND(LEFT(对接源_01水果!$D62,4)="包装物料",N(对接源_01水果!$K62)&lt;&gt;0)),1,0)</f>
        <v>0</v>
      </c>
      <c r="AG62" s="90" t="str">
        <f aca="false">IF(对接源_01水果!$AC62="","",对接源_01水果!$AC62)</f>
        <v/>
      </c>
      <c r="AH62" s="90" t="str">
        <f aca="false">IFERROR(INDEX($AG$4:$AG$1203,MATCH(ROW()-3,$AJ$4:$AJ$1203,0)),"")</f>
        <v/>
      </c>
      <c r="AI62" s="90" t="n">
        <f aca="false">IF(AG62="",0,IF(MATCH(AG62,$AG$4:$AG$1203,0)=ROW()-3,1,0))</f>
        <v>0</v>
      </c>
      <c r="AJ62" s="90" t="n">
        <f aca="false">N(AJ61)+AI62</f>
        <v>0</v>
      </c>
      <c r="AK62" s="1" t="n">
        <f aca="false">N(AK61)+$AJ62</f>
        <v>0</v>
      </c>
    </row>
    <row r="63" customFormat="false" ht="13.5" hidden="false" customHeight="false" outlineLevel="0" collapsed="false">
      <c r="A63" s="1" t="str">
        <f aca="false">IF(对接源_01水果!$C63="","",对接源_01水果!$C63)</f>
        <v>聂新平</v>
      </c>
      <c r="B63" s="1" t="n">
        <f aca="false">IF(A63="",0,IF(MATCH(A63,$A$4:$A$2403,0)=ROW()-3,1,0))</f>
        <v>0</v>
      </c>
      <c r="C63" s="1" t="n">
        <f aca="false">N(C62)+B63</f>
        <v>4</v>
      </c>
      <c r="E63" s="1" t="str">
        <f aca="false">IFERROR(INDEX($A$4:$A$2403,MATCH(ROW()-3,$C$4:$C$2403,0)),"")</f>
        <v/>
      </c>
      <c r="K63" s="1" t="n">
        <f aca="false">IF(OR($K$1="",对接源_01水果!$C63="",对接源_01水果!$C63&lt;&gt;$K$1,对接源_01水果!$B63=""),0,IF(OR(N(对接源_01水果!$B63)&lt;$K$2,N(对接源_01水果!$B63)&gt;$K$3),0,1))</f>
        <v>0</v>
      </c>
      <c r="L63" s="1" t="n">
        <f aca="false">IF(OR($L$1="",对接源_01水果!$C63="",对接源_01水果!$C63&lt;&gt;$L$1,对接源_01水果!$B63=""),0,IF(OR(N(对接源_01水果!$B63)&lt;$L$2,N(对接源_01水果!$B63)&gt;$L$3),0,1))</f>
        <v>0</v>
      </c>
      <c r="M63" s="1" t="n">
        <f aca="false">IF(OR($M$1="",对接源_01水果!$C63="",对接源_01水果!$C63&lt;&gt;$M$1,对接源_01水果!$B63=""),0,IF(OR(N(对接源_01水果!$B63)&lt;$M$2,N(对接源_01水果!$B63)&gt;$M$3),0,1))</f>
        <v>0</v>
      </c>
      <c r="N63" s="1" t="n">
        <f aca="false">IF(OR($N$1="",对接源_01水果!$C63="",对接源_01水果!$C63&lt;&gt;$N$1,对接源_01水果!$B63=""),0,IF(OR(N(对接源_01水果!$B63)&lt;$N$2,N(对接源_01水果!$B63)&gt;$N$3),0,1))</f>
        <v>0</v>
      </c>
      <c r="P63" s="1" t="n">
        <f aca="false">IF(AND($K63=1,AND(对接源_01水果!$X63="公司筐",N(对接源_01水果!$T63)&lt;&gt;0)),1,0)</f>
        <v>0</v>
      </c>
      <c r="Q63" s="1" t="n">
        <f aca="false">N(Q62)+$P63</f>
        <v>0</v>
      </c>
      <c r="R63" s="1" t="n">
        <f aca="false">IF(AND($K63=1,AND(对接源_01水果!$X63="公司筐",N(对接源_01水果!$U63)&lt;&gt;0)),1,0)</f>
        <v>0</v>
      </c>
      <c r="S63" s="1" t="n">
        <f aca="false">N(S62)+$R63</f>
        <v>0</v>
      </c>
      <c r="T63" s="1" t="n">
        <f aca="false">IF(AND($K63=1,AND(对接源_01水果!$X63="公司筐",N(对接源_01水果!$V63)&lt;&gt;0)),1,0)</f>
        <v>0</v>
      </c>
      <c r="U63" s="1" t="n">
        <f aca="false">N(U62)+$T63</f>
        <v>15</v>
      </c>
      <c r="V63" s="1" t="n">
        <f aca="false">IF(AND($L63=1,AND(对接源_01水果!$X63="自备筐",N(对接源_01水果!$V63)&lt;&gt;0)),1,0)</f>
        <v>0</v>
      </c>
      <c r="W63" s="1" t="n">
        <f aca="false">N(W62)+$V63</f>
        <v>0</v>
      </c>
      <c r="X63" s="1" t="n">
        <f aca="false">IF(AND($L63=1,AND(对接源_01水果!$X63="自备筐",N(对接源_01水果!$T63)&lt;&gt;0)),1,0)</f>
        <v>0</v>
      </c>
      <c r="Y63" s="1" t="n">
        <f aca="false">N(Y62)+$X63</f>
        <v>0</v>
      </c>
      <c r="Z63" s="1" t="n">
        <f aca="false">IF(AND($M63=1,对接源_01水果!$D63="原料入库"),1,0)</f>
        <v>0</v>
      </c>
      <c r="AA63" s="1" t="n">
        <f aca="false">N(AA62)+$Z63</f>
        <v>17</v>
      </c>
      <c r="AB63" s="1" t="n">
        <f aca="false">IF(AND($M63=1,LEFT(对接源_01水果!$D63,4)="原料出库"),1,0)</f>
        <v>0</v>
      </c>
      <c r="AC63" s="1" t="n">
        <f aca="false">N(AC62)+$AB63</f>
        <v>0</v>
      </c>
      <c r="AD63" s="1" t="n">
        <f aca="false">IF(AND($M63=1,LEFT(对接源_01水果!$D63,4)="成品出库"),1,0)</f>
        <v>0</v>
      </c>
      <c r="AE63" s="1" t="n">
        <f aca="false">N(AE62)+$AD63</f>
        <v>0</v>
      </c>
      <c r="AF63" s="1" t="n">
        <f aca="false">IF(AND($N63=1,AND(LEFT(对接源_01水果!$D63,4)="包装物料",N(对接源_01水果!$K63)&lt;&gt;0)),1,0)</f>
        <v>0</v>
      </c>
      <c r="AG63" s="90" t="str">
        <f aca="false">IF(对接源_01水果!$AC63="","",对接源_01水果!$AC63)</f>
        <v/>
      </c>
      <c r="AH63" s="90" t="str">
        <f aca="false">IFERROR(INDEX($AG$4:$AG$1203,MATCH(ROW()-3,$AJ$4:$AJ$1203,0)),"")</f>
        <v/>
      </c>
      <c r="AI63" s="90" t="n">
        <f aca="false">IF(AG63="",0,IF(MATCH(AG63,$AG$4:$AG$1203,0)=ROW()-3,1,0))</f>
        <v>0</v>
      </c>
      <c r="AJ63" s="90" t="n">
        <f aca="false">N(AJ62)+AI63</f>
        <v>0</v>
      </c>
      <c r="AK63" s="1" t="n">
        <f aca="false">N(AK62)+$AJ63</f>
        <v>0</v>
      </c>
    </row>
    <row r="64" customFormat="false" ht="13.5" hidden="false" customHeight="false" outlineLevel="0" collapsed="false">
      <c r="A64" s="1" t="str">
        <f aca="false">IF(对接源_01水果!$C64="","",对接源_01水果!$C64)</f>
        <v>王照雪</v>
      </c>
      <c r="B64" s="1" t="n">
        <f aca="false">IF(A64="",0,IF(MATCH(A64,$A$4:$A$2403,0)=ROW()-3,1,0))</f>
        <v>0</v>
      </c>
      <c r="C64" s="1" t="n">
        <f aca="false">N(C63)+B64</f>
        <v>4</v>
      </c>
      <c r="E64" s="1" t="str">
        <f aca="false">IFERROR(INDEX($A$4:$A$2403,MATCH(ROW()-3,$C$4:$C$2403,0)),"")</f>
        <v/>
      </c>
      <c r="K64" s="1" t="n">
        <f aca="false">IF(OR($K$1="",对接源_01水果!$C64="",对接源_01水果!$C64&lt;&gt;$K$1,对接源_01水果!$B64=""),0,IF(OR(N(对接源_01水果!$B64)&lt;$K$2,N(对接源_01水果!$B64)&gt;$K$3),0,1))</f>
        <v>1</v>
      </c>
      <c r="L64" s="1" t="n">
        <f aca="false">IF(OR($L$1="",对接源_01水果!$C64="",对接源_01水果!$C64&lt;&gt;$L$1,对接源_01水果!$B64=""),0,IF(OR(N(对接源_01水果!$B64)&lt;$L$2,N(对接源_01水果!$B64)&gt;$L$3),0,1))</f>
        <v>0</v>
      </c>
      <c r="M64" s="1" t="n">
        <f aca="false">IF(OR($M$1="",对接源_01水果!$C64="",对接源_01水果!$C64&lt;&gt;$M$1,对接源_01水果!$B64=""),0,IF(OR(N(对接源_01水果!$B64)&lt;$M$2,N(对接源_01水果!$B64)&gt;$M$3),0,1))</f>
        <v>1</v>
      </c>
      <c r="N64" s="1" t="n">
        <f aca="false">IF(OR($N$1="",对接源_01水果!$C64="",对接源_01水果!$C64&lt;&gt;$N$1,对接源_01水果!$B64=""),0,IF(OR(N(对接源_01水果!$B64)&lt;$N$2,N(对接源_01水果!$B64)&gt;$N$3),0,1))</f>
        <v>0</v>
      </c>
      <c r="P64" s="1" t="n">
        <f aca="false">IF(AND($K64=1,AND(对接源_01水果!$X64="公司筐",N(对接源_01水果!$T64)&lt;&gt;0)),1,0)</f>
        <v>0</v>
      </c>
      <c r="Q64" s="1" t="n">
        <f aca="false">N(Q63)+$P64</f>
        <v>0</v>
      </c>
      <c r="R64" s="1" t="n">
        <f aca="false">IF(AND($K64=1,AND(对接源_01水果!$X64="公司筐",N(对接源_01水果!$U64)&lt;&gt;0)),1,0)</f>
        <v>0</v>
      </c>
      <c r="S64" s="1" t="n">
        <f aca="false">N(S63)+$R64</f>
        <v>0</v>
      </c>
      <c r="T64" s="1" t="n">
        <f aca="false">IF(AND($K64=1,AND(对接源_01水果!$X64="公司筐",N(对接源_01水果!$V64)&lt;&gt;0)),1,0)</f>
        <v>1</v>
      </c>
      <c r="U64" s="1" t="n">
        <f aca="false">N(U63)+$T64</f>
        <v>16</v>
      </c>
      <c r="V64" s="1" t="n">
        <f aca="false">IF(AND($L64=1,AND(对接源_01水果!$X64="自备筐",N(对接源_01水果!$V64)&lt;&gt;0)),1,0)</f>
        <v>0</v>
      </c>
      <c r="W64" s="1" t="n">
        <f aca="false">N(W63)+$V64</f>
        <v>0</v>
      </c>
      <c r="X64" s="1" t="n">
        <f aca="false">IF(AND($L64=1,AND(对接源_01水果!$X64="自备筐",N(对接源_01水果!$T64)&lt;&gt;0)),1,0)</f>
        <v>0</v>
      </c>
      <c r="Y64" s="1" t="n">
        <f aca="false">N(Y63)+$X64</f>
        <v>0</v>
      </c>
      <c r="Z64" s="1" t="n">
        <f aca="false">IF(AND($M64=1,对接源_01水果!$D64="原料入库"),1,0)</f>
        <v>1</v>
      </c>
      <c r="AA64" s="1" t="n">
        <f aca="false">N(AA63)+$Z64</f>
        <v>18</v>
      </c>
      <c r="AB64" s="1" t="n">
        <f aca="false">IF(AND($M64=1,LEFT(对接源_01水果!$D64,4)="原料出库"),1,0)</f>
        <v>0</v>
      </c>
      <c r="AC64" s="1" t="n">
        <f aca="false">N(AC63)+$AB64</f>
        <v>0</v>
      </c>
      <c r="AD64" s="1" t="n">
        <f aca="false">IF(AND($M64=1,LEFT(对接源_01水果!$D64,4)="成品出库"),1,0)</f>
        <v>0</v>
      </c>
      <c r="AE64" s="1" t="n">
        <f aca="false">N(AE63)+$AD64</f>
        <v>0</v>
      </c>
      <c r="AF64" s="1" t="n">
        <f aca="false">IF(AND($N64=1,AND(LEFT(对接源_01水果!$D64,4)="包装物料",N(对接源_01水果!$K64)&lt;&gt;0)),1,0)</f>
        <v>0</v>
      </c>
      <c r="AG64" s="90" t="str">
        <f aca="false">IF(对接源_01水果!$AC64="","",对接源_01水果!$AC64)</f>
        <v/>
      </c>
      <c r="AH64" s="90" t="str">
        <f aca="false">IFERROR(INDEX($AG$4:$AG$1203,MATCH(ROW()-3,$AJ$4:$AJ$1203,0)),"")</f>
        <v/>
      </c>
      <c r="AI64" s="90" t="n">
        <f aca="false">IF(AG64="",0,IF(MATCH(AG64,$AG$4:$AG$1203,0)=ROW()-3,1,0))</f>
        <v>0</v>
      </c>
      <c r="AJ64" s="90" t="n">
        <f aca="false">N(AJ63)+AI64</f>
        <v>0</v>
      </c>
      <c r="AK64" s="1" t="n">
        <f aca="false">N(AK63)+$AJ64</f>
        <v>0</v>
      </c>
    </row>
    <row r="65" customFormat="false" ht="13.5" hidden="false" customHeight="false" outlineLevel="0" collapsed="false">
      <c r="A65" s="1" t="str">
        <f aca="false">IF(对接源_01水果!$C65="","",对接源_01水果!$C65)</f>
        <v>王照雪</v>
      </c>
      <c r="B65" s="1" t="n">
        <f aca="false">IF(A65="",0,IF(MATCH(A65,$A$4:$A$2403,0)=ROW()-3,1,0))</f>
        <v>0</v>
      </c>
      <c r="C65" s="1" t="n">
        <f aca="false">N(C64)+B65</f>
        <v>4</v>
      </c>
      <c r="E65" s="1" t="str">
        <f aca="false">IFERROR(INDEX($A$4:$A$2403,MATCH(ROW()-3,$C$4:$C$2403,0)),"")</f>
        <v/>
      </c>
      <c r="K65" s="1" t="n">
        <f aca="false">IF(OR($K$1="",对接源_01水果!$C65="",对接源_01水果!$C65&lt;&gt;$K$1,对接源_01水果!$B65=""),0,IF(OR(N(对接源_01水果!$B65)&lt;$K$2,N(对接源_01水果!$B65)&gt;$K$3),0,1))</f>
        <v>1</v>
      </c>
      <c r="L65" s="1" t="n">
        <f aca="false">IF(OR($L$1="",对接源_01水果!$C65="",对接源_01水果!$C65&lt;&gt;$L$1,对接源_01水果!$B65=""),0,IF(OR(N(对接源_01水果!$B65)&lt;$L$2,N(对接源_01水果!$B65)&gt;$L$3),0,1))</f>
        <v>0</v>
      </c>
      <c r="M65" s="1" t="n">
        <f aca="false">IF(OR($M$1="",对接源_01水果!$C65="",对接源_01水果!$C65&lt;&gt;$M$1,对接源_01水果!$B65=""),0,IF(OR(N(对接源_01水果!$B65)&lt;$M$2,N(对接源_01水果!$B65)&gt;$M$3),0,1))</f>
        <v>1</v>
      </c>
      <c r="N65" s="1" t="n">
        <f aca="false">IF(OR($N$1="",对接源_01水果!$C65="",对接源_01水果!$C65&lt;&gt;$N$1,对接源_01水果!$B65=""),0,IF(OR(N(对接源_01水果!$B65)&lt;$N$2,N(对接源_01水果!$B65)&gt;$N$3),0,1))</f>
        <v>0</v>
      </c>
      <c r="P65" s="1" t="n">
        <f aca="false">IF(AND($K65=1,AND(对接源_01水果!$X65="公司筐",N(对接源_01水果!$T65)&lt;&gt;0)),1,0)</f>
        <v>0</v>
      </c>
      <c r="Q65" s="1" t="n">
        <f aca="false">N(Q64)+$P65</f>
        <v>0</v>
      </c>
      <c r="R65" s="1" t="n">
        <f aca="false">IF(AND($K65=1,AND(对接源_01水果!$X65="公司筐",N(对接源_01水果!$U65)&lt;&gt;0)),1,0)</f>
        <v>0</v>
      </c>
      <c r="S65" s="1" t="n">
        <f aca="false">N(S64)+$R65</f>
        <v>0</v>
      </c>
      <c r="T65" s="1" t="n">
        <f aca="false">IF(AND($K65=1,AND(对接源_01水果!$X65="公司筐",N(对接源_01水果!$V65)&lt;&gt;0)),1,0)</f>
        <v>1</v>
      </c>
      <c r="U65" s="1" t="n">
        <f aca="false">N(U64)+$T65</f>
        <v>17</v>
      </c>
      <c r="V65" s="1" t="n">
        <f aca="false">IF(AND($L65=1,AND(对接源_01水果!$X65="自备筐",N(对接源_01水果!$V65)&lt;&gt;0)),1,0)</f>
        <v>0</v>
      </c>
      <c r="W65" s="1" t="n">
        <f aca="false">N(W64)+$V65</f>
        <v>0</v>
      </c>
      <c r="X65" s="1" t="n">
        <f aca="false">IF(AND($L65=1,AND(对接源_01水果!$X65="自备筐",N(对接源_01水果!$T65)&lt;&gt;0)),1,0)</f>
        <v>0</v>
      </c>
      <c r="Y65" s="1" t="n">
        <f aca="false">N(Y64)+$X65</f>
        <v>0</v>
      </c>
      <c r="Z65" s="1" t="n">
        <f aca="false">IF(AND($M65=1,对接源_01水果!$D65="原料入库"),1,0)</f>
        <v>1</v>
      </c>
      <c r="AA65" s="1" t="n">
        <f aca="false">N(AA64)+$Z65</f>
        <v>19</v>
      </c>
      <c r="AB65" s="1" t="n">
        <f aca="false">IF(AND($M65=1,LEFT(对接源_01水果!$D65,4)="原料出库"),1,0)</f>
        <v>0</v>
      </c>
      <c r="AC65" s="1" t="n">
        <f aca="false">N(AC64)+$AB65</f>
        <v>0</v>
      </c>
      <c r="AD65" s="1" t="n">
        <f aca="false">IF(AND($M65=1,LEFT(对接源_01水果!$D65,4)="成品出库"),1,0)</f>
        <v>0</v>
      </c>
      <c r="AE65" s="1" t="n">
        <f aca="false">N(AE64)+$AD65</f>
        <v>0</v>
      </c>
      <c r="AF65" s="1" t="n">
        <f aca="false">IF(AND($N65=1,AND(LEFT(对接源_01水果!$D65,4)="包装物料",N(对接源_01水果!$K65)&lt;&gt;0)),1,0)</f>
        <v>0</v>
      </c>
      <c r="AG65" s="90" t="str">
        <f aca="false">IF(对接源_01水果!$AC65="","",对接源_01水果!$AC65)</f>
        <v/>
      </c>
      <c r="AH65" s="90" t="str">
        <f aca="false">IFERROR(INDEX($AG$4:$AG$1203,MATCH(ROW()-3,$AJ$4:$AJ$1203,0)),"")</f>
        <v/>
      </c>
      <c r="AI65" s="90" t="n">
        <f aca="false">IF(AG65="",0,IF(MATCH(AG65,$AG$4:$AG$1203,0)=ROW()-3,1,0))</f>
        <v>0</v>
      </c>
      <c r="AJ65" s="90" t="n">
        <f aca="false">N(AJ64)+AI65</f>
        <v>0</v>
      </c>
      <c r="AK65" s="1" t="n">
        <f aca="false">N(AK64)+$AJ65</f>
        <v>0</v>
      </c>
    </row>
    <row r="66" customFormat="false" ht="13.5" hidden="false" customHeight="false" outlineLevel="0" collapsed="false">
      <c r="A66" s="1" t="str">
        <f aca="false">IF(对接源_01水果!$C66="","",对接源_01水果!$C66)</f>
        <v>王照雪</v>
      </c>
      <c r="B66" s="1" t="n">
        <f aca="false">IF(A66="",0,IF(MATCH(A66,$A$4:$A$2403,0)=ROW()-3,1,0))</f>
        <v>0</v>
      </c>
      <c r="C66" s="1" t="n">
        <f aca="false">N(C65)+B66</f>
        <v>4</v>
      </c>
      <c r="E66" s="1" t="str">
        <f aca="false">IFERROR(INDEX($A$4:$A$2403,MATCH(ROW()-3,$C$4:$C$2403,0)),"")</f>
        <v/>
      </c>
      <c r="K66" s="1" t="n">
        <f aca="false">IF(OR($K$1="",对接源_01水果!$C66="",对接源_01水果!$C66&lt;&gt;$K$1,对接源_01水果!$B66=""),0,IF(OR(N(对接源_01水果!$B66)&lt;$K$2,N(对接源_01水果!$B66)&gt;$K$3),0,1))</f>
        <v>1</v>
      </c>
      <c r="L66" s="1" t="n">
        <f aca="false">IF(OR($L$1="",对接源_01水果!$C66="",对接源_01水果!$C66&lt;&gt;$L$1,对接源_01水果!$B66=""),0,IF(OR(N(对接源_01水果!$B66)&lt;$L$2,N(对接源_01水果!$B66)&gt;$L$3),0,1))</f>
        <v>0</v>
      </c>
      <c r="M66" s="1" t="n">
        <f aca="false">IF(OR($M$1="",对接源_01水果!$C66="",对接源_01水果!$C66&lt;&gt;$M$1,对接源_01水果!$B66=""),0,IF(OR(N(对接源_01水果!$B66)&lt;$M$2,N(对接源_01水果!$B66)&gt;$M$3),0,1))</f>
        <v>1</v>
      </c>
      <c r="N66" s="1" t="n">
        <f aca="false">IF(OR($N$1="",对接源_01水果!$C66="",对接源_01水果!$C66&lt;&gt;$N$1,对接源_01水果!$B66=""),0,IF(OR(N(对接源_01水果!$B66)&lt;$N$2,N(对接源_01水果!$B66)&gt;$N$3),0,1))</f>
        <v>0</v>
      </c>
      <c r="P66" s="1" t="n">
        <f aca="false">IF(AND($K66=1,AND(对接源_01水果!$X66="公司筐",N(对接源_01水果!$T66)&lt;&gt;0)),1,0)</f>
        <v>0</v>
      </c>
      <c r="Q66" s="1" t="n">
        <f aca="false">N(Q65)+$P66</f>
        <v>0</v>
      </c>
      <c r="R66" s="1" t="n">
        <f aca="false">IF(AND($K66=1,AND(对接源_01水果!$X66="公司筐",N(对接源_01水果!$U66)&lt;&gt;0)),1,0)</f>
        <v>0</v>
      </c>
      <c r="S66" s="1" t="n">
        <f aca="false">N(S65)+$R66</f>
        <v>0</v>
      </c>
      <c r="T66" s="1" t="n">
        <f aca="false">IF(AND($K66=1,AND(对接源_01水果!$X66="公司筐",N(对接源_01水果!$V66)&lt;&gt;0)),1,0)</f>
        <v>1</v>
      </c>
      <c r="U66" s="1" t="n">
        <f aca="false">N(U65)+$T66</f>
        <v>18</v>
      </c>
      <c r="V66" s="1" t="n">
        <f aca="false">IF(AND($L66=1,AND(对接源_01水果!$X66="自备筐",N(对接源_01水果!$V66)&lt;&gt;0)),1,0)</f>
        <v>0</v>
      </c>
      <c r="W66" s="1" t="n">
        <f aca="false">N(W65)+$V66</f>
        <v>0</v>
      </c>
      <c r="X66" s="1" t="n">
        <f aca="false">IF(AND($L66=1,AND(对接源_01水果!$X66="自备筐",N(对接源_01水果!$T66)&lt;&gt;0)),1,0)</f>
        <v>0</v>
      </c>
      <c r="Y66" s="1" t="n">
        <f aca="false">N(Y65)+$X66</f>
        <v>0</v>
      </c>
      <c r="Z66" s="1" t="n">
        <f aca="false">IF(AND($M66=1,对接源_01水果!$D66="原料入库"),1,0)</f>
        <v>1</v>
      </c>
      <c r="AA66" s="1" t="n">
        <f aca="false">N(AA65)+$Z66</f>
        <v>20</v>
      </c>
      <c r="AB66" s="1" t="n">
        <f aca="false">IF(AND($M66=1,LEFT(对接源_01水果!$D66,4)="原料出库"),1,0)</f>
        <v>0</v>
      </c>
      <c r="AC66" s="1" t="n">
        <f aca="false">N(AC65)+$AB66</f>
        <v>0</v>
      </c>
      <c r="AD66" s="1" t="n">
        <f aca="false">IF(AND($M66=1,LEFT(对接源_01水果!$D66,4)="成品出库"),1,0)</f>
        <v>0</v>
      </c>
      <c r="AE66" s="1" t="n">
        <f aca="false">N(AE65)+$AD66</f>
        <v>0</v>
      </c>
      <c r="AF66" s="1" t="n">
        <f aca="false">IF(AND($N66=1,AND(LEFT(对接源_01水果!$D66,4)="包装物料",N(对接源_01水果!$K66)&lt;&gt;0)),1,0)</f>
        <v>0</v>
      </c>
      <c r="AG66" s="90" t="str">
        <f aca="false">IF(对接源_01水果!$AC66="","",对接源_01水果!$AC66)</f>
        <v/>
      </c>
      <c r="AH66" s="90" t="str">
        <f aca="false">IFERROR(INDEX($AG$4:$AG$1203,MATCH(ROW()-3,$AJ$4:$AJ$1203,0)),"")</f>
        <v/>
      </c>
      <c r="AI66" s="90" t="n">
        <f aca="false">IF(AG66="",0,IF(MATCH(AG66,$AG$4:$AG$1203,0)=ROW()-3,1,0))</f>
        <v>0</v>
      </c>
      <c r="AJ66" s="90" t="n">
        <f aca="false">N(AJ65)+AI66</f>
        <v>0</v>
      </c>
      <c r="AK66" s="1" t="n">
        <f aca="false">N(AK65)+$AJ66</f>
        <v>0</v>
      </c>
    </row>
    <row r="67" customFormat="false" ht="13.5" hidden="false" customHeight="false" outlineLevel="0" collapsed="false">
      <c r="A67" s="1" t="str">
        <f aca="false">IF(对接源_01水果!$C67="","",对接源_01水果!$C67)</f>
        <v>聂新平</v>
      </c>
      <c r="B67" s="1" t="n">
        <f aca="false">IF(A67="",0,IF(MATCH(A67,$A$4:$A$2403,0)=ROW()-3,1,0))</f>
        <v>0</v>
      </c>
      <c r="C67" s="1" t="n">
        <f aca="false">N(C66)+B67</f>
        <v>4</v>
      </c>
      <c r="E67" s="1" t="str">
        <f aca="false">IFERROR(INDEX($A$4:$A$2403,MATCH(ROW()-3,$C$4:$C$2403,0)),"")</f>
        <v/>
      </c>
      <c r="K67" s="1" t="n">
        <f aca="false">IF(OR($K$1="",对接源_01水果!$C67="",对接源_01水果!$C67&lt;&gt;$K$1,对接源_01水果!$B67=""),0,IF(OR(N(对接源_01水果!$B67)&lt;$K$2,N(对接源_01水果!$B67)&gt;$K$3),0,1))</f>
        <v>0</v>
      </c>
      <c r="L67" s="1" t="n">
        <f aca="false">IF(OR($L$1="",对接源_01水果!$C67="",对接源_01水果!$C67&lt;&gt;$L$1,对接源_01水果!$B67=""),0,IF(OR(N(对接源_01水果!$B67)&lt;$L$2,N(对接源_01水果!$B67)&gt;$L$3),0,1))</f>
        <v>0</v>
      </c>
      <c r="M67" s="1" t="n">
        <f aca="false">IF(OR($M$1="",对接源_01水果!$C67="",对接源_01水果!$C67&lt;&gt;$M$1,对接源_01水果!$B67=""),0,IF(OR(N(对接源_01水果!$B67)&lt;$M$2,N(对接源_01水果!$B67)&gt;$M$3),0,1))</f>
        <v>0</v>
      </c>
      <c r="N67" s="1" t="n">
        <f aca="false">IF(OR($N$1="",对接源_01水果!$C67="",对接源_01水果!$C67&lt;&gt;$N$1,对接源_01水果!$B67=""),0,IF(OR(N(对接源_01水果!$B67)&lt;$N$2,N(对接源_01水果!$B67)&gt;$N$3),0,1))</f>
        <v>0</v>
      </c>
      <c r="P67" s="1" t="n">
        <f aca="false">IF(AND($K67=1,AND(对接源_01水果!$X67="公司筐",N(对接源_01水果!$T67)&lt;&gt;0)),1,0)</f>
        <v>0</v>
      </c>
      <c r="Q67" s="1" t="n">
        <f aca="false">N(Q66)+$P67</f>
        <v>0</v>
      </c>
      <c r="R67" s="1" t="n">
        <f aca="false">IF(AND($K67=1,AND(对接源_01水果!$X67="公司筐",N(对接源_01水果!$U67)&lt;&gt;0)),1,0)</f>
        <v>0</v>
      </c>
      <c r="S67" s="1" t="n">
        <f aca="false">N(S66)+$R67</f>
        <v>0</v>
      </c>
      <c r="T67" s="1" t="n">
        <f aca="false">IF(AND($K67=1,AND(对接源_01水果!$X67="公司筐",N(对接源_01水果!$V67)&lt;&gt;0)),1,0)</f>
        <v>0</v>
      </c>
      <c r="U67" s="1" t="n">
        <f aca="false">N(U66)+$T67</f>
        <v>18</v>
      </c>
      <c r="V67" s="1" t="n">
        <f aca="false">IF(AND($L67=1,AND(对接源_01水果!$X67="自备筐",N(对接源_01水果!$V67)&lt;&gt;0)),1,0)</f>
        <v>0</v>
      </c>
      <c r="W67" s="1" t="n">
        <f aca="false">N(W66)+$V67</f>
        <v>0</v>
      </c>
      <c r="X67" s="1" t="n">
        <f aca="false">IF(AND($L67=1,AND(对接源_01水果!$X67="自备筐",N(对接源_01水果!$T67)&lt;&gt;0)),1,0)</f>
        <v>0</v>
      </c>
      <c r="Y67" s="1" t="n">
        <f aca="false">N(Y66)+$X67</f>
        <v>0</v>
      </c>
      <c r="Z67" s="1" t="n">
        <f aca="false">IF(AND($M67=1,对接源_01水果!$D67="原料入库"),1,0)</f>
        <v>0</v>
      </c>
      <c r="AA67" s="1" t="n">
        <f aca="false">N(AA66)+$Z67</f>
        <v>20</v>
      </c>
      <c r="AB67" s="1" t="n">
        <f aca="false">IF(AND($M67=1,LEFT(对接源_01水果!$D67,4)="原料出库"),1,0)</f>
        <v>0</v>
      </c>
      <c r="AC67" s="1" t="n">
        <f aca="false">N(AC66)+$AB67</f>
        <v>0</v>
      </c>
      <c r="AD67" s="1" t="n">
        <f aca="false">IF(AND($M67=1,LEFT(对接源_01水果!$D67,4)="成品出库"),1,0)</f>
        <v>0</v>
      </c>
      <c r="AE67" s="1" t="n">
        <f aca="false">N(AE66)+$AD67</f>
        <v>0</v>
      </c>
      <c r="AF67" s="1" t="n">
        <f aca="false">IF(AND($N67=1,AND(LEFT(对接源_01水果!$D67,4)="包装物料",N(对接源_01水果!$K67)&lt;&gt;0)),1,0)</f>
        <v>0</v>
      </c>
      <c r="AG67" s="90" t="str">
        <f aca="false">IF(对接源_01水果!$AC67="","",对接源_01水果!$AC67)</f>
        <v/>
      </c>
      <c r="AH67" s="90" t="str">
        <f aca="false">IFERROR(INDEX($AG$4:$AG$1203,MATCH(ROW()-3,$AJ$4:$AJ$1203,0)),"")</f>
        <v/>
      </c>
      <c r="AI67" s="90" t="n">
        <f aca="false">IF(AG67="",0,IF(MATCH(AG67,$AG$4:$AG$1203,0)=ROW()-3,1,0))</f>
        <v>0</v>
      </c>
      <c r="AJ67" s="90" t="n">
        <f aca="false">N(AJ66)+AI67</f>
        <v>0</v>
      </c>
      <c r="AK67" s="1" t="n">
        <f aca="false">N(AK66)+$AJ67</f>
        <v>0</v>
      </c>
    </row>
    <row r="68" customFormat="false" ht="13.5" hidden="false" customHeight="false" outlineLevel="0" collapsed="false">
      <c r="A68" s="1" t="str">
        <f aca="false">IF(对接源_01水果!$C68="","",对接源_01水果!$C68)</f>
        <v>聂新平</v>
      </c>
      <c r="B68" s="1" t="n">
        <f aca="false">IF(A68="",0,IF(MATCH(A68,$A$4:$A$2403,0)=ROW()-3,1,0))</f>
        <v>0</v>
      </c>
      <c r="C68" s="1" t="n">
        <f aca="false">N(C67)+B68</f>
        <v>4</v>
      </c>
      <c r="E68" s="1" t="str">
        <f aca="false">IFERROR(INDEX($A$4:$A$2403,MATCH(ROW()-3,$C$4:$C$2403,0)),"")</f>
        <v/>
      </c>
      <c r="K68" s="1" t="n">
        <f aca="false">IF(OR($K$1="",对接源_01水果!$C68="",对接源_01水果!$C68&lt;&gt;$K$1,对接源_01水果!$B68=""),0,IF(OR(N(对接源_01水果!$B68)&lt;$K$2,N(对接源_01水果!$B68)&gt;$K$3),0,1))</f>
        <v>0</v>
      </c>
      <c r="L68" s="1" t="n">
        <f aca="false">IF(OR($L$1="",对接源_01水果!$C68="",对接源_01水果!$C68&lt;&gt;$L$1,对接源_01水果!$B68=""),0,IF(OR(N(对接源_01水果!$B68)&lt;$L$2,N(对接源_01水果!$B68)&gt;$L$3),0,1))</f>
        <v>0</v>
      </c>
      <c r="M68" s="1" t="n">
        <f aca="false">IF(OR($M$1="",对接源_01水果!$C68="",对接源_01水果!$C68&lt;&gt;$M$1,对接源_01水果!$B68=""),0,IF(OR(N(对接源_01水果!$B68)&lt;$M$2,N(对接源_01水果!$B68)&gt;$M$3),0,1))</f>
        <v>0</v>
      </c>
      <c r="N68" s="1" t="n">
        <f aca="false">IF(OR($N$1="",对接源_01水果!$C68="",对接源_01水果!$C68&lt;&gt;$N$1,对接源_01水果!$B68=""),0,IF(OR(N(对接源_01水果!$B68)&lt;$N$2,N(对接源_01水果!$B68)&gt;$N$3),0,1))</f>
        <v>0</v>
      </c>
      <c r="P68" s="1" t="n">
        <f aca="false">IF(AND($K68=1,AND(对接源_01水果!$X68="公司筐",N(对接源_01水果!$T68)&lt;&gt;0)),1,0)</f>
        <v>0</v>
      </c>
      <c r="Q68" s="1" t="n">
        <f aca="false">N(Q67)+$P68</f>
        <v>0</v>
      </c>
      <c r="R68" s="1" t="n">
        <f aca="false">IF(AND($K68=1,AND(对接源_01水果!$X68="公司筐",N(对接源_01水果!$U68)&lt;&gt;0)),1,0)</f>
        <v>0</v>
      </c>
      <c r="S68" s="1" t="n">
        <f aca="false">N(S67)+$R68</f>
        <v>0</v>
      </c>
      <c r="T68" s="1" t="n">
        <f aca="false">IF(AND($K68=1,AND(对接源_01水果!$X68="公司筐",N(对接源_01水果!$V68)&lt;&gt;0)),1,0)</f>
        <v>0</v>
      </c>
      <c r="U68" s="1" t="n">
        <f aca="false">N(U67)+$T68</f>
        <v>18</v>
      </c>
      <c r="V68" s="1" t="n">
        <f aca="false">IF(AND($L68=1,AND(对接源_01水果!$X68="自备筐",N(对接源_01水果!$V68)&lt;&gt;0)),1,0)</f>
        <v>0</v>
      </c>
      <c r="W68" s="1" t="n">
        <f aca="false">N(W67)+$V68</f>
        <v>0</v>
      </c>
      <c r="X68" s="1" t="n">
        <f aca="false">IF(AND($L68=1,AND(对接源_01水果!$X68="自备筐",N(对接源_01水果!$T68)&lt;&gt;0)),1,0)</f>
        <v>0</v>
      </c>
      <c r="Y68" s="1" t="n">
        <f aca="false">N(Y67)+$X68</f>
        <v>0</v>
      </c>
      <c r="Z68" s="1" t="n">
        <f aca="false">IF(AND($M68=1,对接源_01水果!$D68="原料入库"),1,0)</f>
        <v>0</v>
      </c>
      <c r="AA68" s="1" t="n">
        <f aca="false">N(AA67)+$Z68</f>
        <v>20</v>
      </c>
      <c r="AB68" s="1" t="n">
        <f aca="false">IF(AND($M68=1,LEFT(对接源_01水果!$D68,4)="原料出库"),1,0)</f>
        <v>0</v>
      </c>
      <c r="AC68" s="1" t="n">
        <f aca="false">N(AC67)+$AB68</f>
        <v>0</v>
      </c>
      <c r="AD68" s="1" t="n">
        <f aca="false">IF(AND($M68=1,LEFT(对接源_01水果!$D68,4)="成品出库"),1,0)</f>
        <v>0</v>
      </c>
      <c r="AE68" s="1" t="n">
        <f aca="false">N(AE67)+$AD68</f>
        <v>0</v>
      </c>
      <c r="AF68" s="1" t="n">
        <f aca="false">IF(AND($N68=1,AND(LEFT(对接源_01水果!$D68,4)="包装物料",N(对接源_01水果!$K68)&lt;&gt;0)),1,0)</f>
        <v>0</v>
      </c>
      <c r="AG68" s="90" t="str">
        <f aca="false">IF(对接源_01水果!$AC68="","",对接源_01水果!$AC68)</f>
        <v/>
      </c>
      <c r="AH68" s="90" t="str">
        <f aca="false">IFERROR(INDEX($AG$4:$AG$1203,MATCH(ROW()-3,$AJ$4:$AJ$1203,0)),"")</f>
        <v/>
      </c>
      <c r="AI68" s="90" t="n">
        <f aca="false">IF(AG68="",0,IF(MATCH(AG68,$AG$4:$AG$1203,0)=ROW()-3,1,0))</f>
        <v>0</v>
      </c>
      <c r="AJ68" s="90" t="n">
        <f aca="false">N(AJ67)+AI68</f>
        <v>0</v>
      </c>
      <c r="AK68" s="1" t="n">
        <f aca="false">N(AK67)+$AJ68</f>
        <v>0</v>
      </c>
    </row>
    <row r="69" customFormat="false" ht="13.5" hidden="false" customHeight="false" outlineLevel="0" collapsed="false">
      <c r="A69" s="1" t="str">
        <f aca="false">IF(对接源_01水果!$C69="","",对接源_01水果!$C69)</f>
        <v>聂新平</v>
      </c>
      <c r="B69" s="1" t="n">
        <f aca="false">IF(A69="",0,IF(MATCH(A69,$A$4:$A$2403,0)=ROW()-3,1,0))</f>
        <v>0</v>
      </c>
      <c r="C69" s="1" t="n">
        <f aca="false">N(C68)+B69</f>
        <v>4</v>
      </c>
      <c r="E69" s="1" t="str">
        <f aca="false">IFERROR(INDEX($A$4:$A$2403,MATCH(ROW()-3,$C$4:$C$2403,0)),"")</f>
        <v/>
      </c>
      <c r="K69" s="1" t="n">
        <f aca="false">IF(OR($K$1="",对接源_01水果!$C69="",对接源_01水果!$C69&lt;&gt;$K$1,对接源_01水果!$B69=""),0,IF(OR(N(对接源_01水果!$B69)&lt;$K$2,N(对接源_01水果!$B69)&gt;$K$3),0,1))</f>
        <v>0</v>
      </c>
      <c r="L69" s="1" t="n">
        <f aca="false">IF(OR($L$1="",对接源_01水果!$C69="",对接源_01水果!$C69&lt;&gt;$L$1,对接源_01水果!$B69=""),0,IF(OR(N(对接源_01水果!$B69)&lt;$L$2,N(对接源_01水果!$B69)&gt;$L$3),0,1))</f>
        <v>0</v>
      </c>
      <c r="M69" s="1" t="n">
        <f aca="false">IF(OR($M$1="",对接源_01水果!$C69="",对接源_01水果!$C69&lt;&gt;$M$1,对接源_01水果!$B69=""),0,IF(OR(N(对接源_01水果!$B69)&lt;$M$2,N(对接源_01水果!$B69)&gt;$M$3),0,1))</f>
        <v>0</v>
      </c>
      <c r="N69" s="1" t="n">
        <f aca="false">IF(OR($N$1="",对接源_01水果!$C69="",对接源_01水果!$C69&lt;&gt;$N$1,对接源_01水果!$B69=""),0,IF(OR(N(对接源_01水果!$B69)&lt;$N$2,N(对接源_01水果!$B69)&gt;$N$3),0,1))</f>
        <v>0</v>
      </c>
      <c r="P69" s="1" t="n">
        <f aca="false">IF(AND($K69=1,AND(对接源_01水果!$X69="公司筐",N(对接源_01水果!$T69)&lt;&gt;0)),1,0)</f>
        <v>0</v>
      </c>
      <c r="Q69" s="1" t="n">
        <f aca="false">N(Q68)+$P69</f>
        <v>0</v>
      </c>
      <c r="R69" s="1" t="n">
        <f aca="false">IF(AND($K69=1,AND(对接源_01水果!$X69="公司筐",N(对接源_01水果!$U69)&lt;&gt;0)),1,0)</f>
        <v>0</v>
      </c>
      <c r="S69" s="1" t="n">
        <f aca="false">N(S68)+$R69</f>
        <v>0</v>
      </c>
      <c r="T69" s="1" t="n">
        <f aca="false">IF(AND($K69=1,AND(对接源_01水果!$X69="公司筐",N(对接源_01水果!$V69)&lt;&gt;0)),1,0)</f>
        <v>0</v>
      </c>
      <c r="U69" s="1" t="n">
        <f aca="false">N(U68)+$T69</f>
        <v>18</v>
      </c>
      <c r="V69" s="1" t="n">
        <f aca="false">IF(AND($L69=1,AND(对接源_01水果!$X69="自备筐",N(对接源_01水果!$V69)&lt;&gt;0)),1,0)</f>
        <v>0</v>
      </c>
      <c r="W69" s="1" t="n">
        <f aca="false">N(W68)+$V69</f>
        <v>0</v>
      </c>
      <c r="X69" s="1" t="n">
        <f aca="false">IF(AND($L69=1,AND(对接源_01水果!$X69="自备筐",N(对接源_01水果!$T69)&lt;&gt;0)),1,0)</f>
        <v>0</v>
      </c>
      <c r="Y69" s="1" t="n">
        <f aca="false">N(Y68)+$X69</f>
        <v>0</v>
      </c>
      <c r="Z69" s="1" t="n">
        <f aca="false">IF(AND($M69=1,对接源_01水果!$D69="原料入库"),1,0)</f>
        <v>0</v>
      </c>
      <c r="AA69" s="1" t="n">
        <f aca="false">N(AA68)+$Z69</f>
        <v>20</v>
      </c>
      <c r="AB69" s="1" t="n">
        <f aca="false">IF(AND($M69=1,LEFT(对接源_01水果!$D69,4)="原料出库"),1,0)</f>
        <v>0</v>
      </c>
      <c r="AC69" s="1" t="n">
        <f aca="false">N(AC68)+$AB69</f>
        <v>0</v>
      </c>
      <c r="AD69" s="1" t="n">
        <f aca="false">IF(AND($M69=1,LEFT(对接源_01水果!$D69,4)="成品出库"),1,0)</f>
        <v>0</v>
      </c>
      <c r="AE69" s="1" t="n">
        <f aca="false">N(AE68)+$AD69</f>
        <v>0</v>
      </c>
      <c r="AF69" s="1" t="n">
        <f aca="false">IF(AND($N69=1,AND(LEFT(对接源_01水果!$D69,4)="包装物料",N(对接源_01水果!$K69)&lt;&gt;0)),1,0)</f>
        <v>0</v>
      </c>
      <c r="AG69" s="90" t="str">
        <f aca="false">IF(对接源_01水果!$AC69="","",对接源_01水果!$AC69)</f>
        <v/>
      </c>
      <c r="AH69" s="90" t="str">
        <f aca="false">IFERROR(INDEX($AG$4:$AG$1203,MATCH(ROW()-3,$AJ$4:$AJ$1203,0)),"")</f>
        <v/>
      </c>
      <c r="AI69" s="90" t="n">
        <f aca="false">IF(AG69="",0,IF(MATCH(AG69,$AG$4:$AG$1203,0)=ROW()-3,1,0))</f>
        <v>0</v>
      </c>
      <c r="AJ69" s="90" t="n">
        <f aca="false">N(AJ68)+AI69</f>
        <v>0</v>
      </c>
      <c r="AK69" s="1" t="n">
        <f aca="false">N(AK68)+$AJ69</f>
        <v>0</v>
      </c>
    </row>
    <row r="70" customFormat="false" ht="13.5" hidden="false" customHeight="false" outlineLevel="0" collapsed="false">
      <c r="A70" s="1" t="str">
        <f aca="false">IF(对接源_01水果!$C70="","",对接源_01水果!$C70)</f>
        <v>聂新平</v>
      </c>
      <c r="B70" s="1" t="n">
        <f aca="false">IF(A70="",0,IF(MATCH(A70,$A$4:$A$2403,0)=ROW()-3,1,0))</f>
        <v>0</v>
      </c>
      <c r="C70" s="1" t="n">
        <f aca="false">N(C69)+B70</f>
        <v>4</v>
      </c>
      <c r="E70" s="1" t="str">
        <f aca="false">IFERROR(INDEX($A$4:$A$2403,MATCH(ROW()-3,$C$4:$C$2403,0)),"")</f>
        <v/>
      </c>
      <c r="K70" s="1" t="n">
        <f aca="false">IF(OR($K$1="",对接源_01水果!$C70="",对接源_01水果!$C70&lt;&gt;$K$1,对接源_01水果!$B70=""),0,IF(OR(N(对接源_01水果!$B70)&lt;$K$2,N(对接源_01水果!$B70)&gt;$K$3),0,1))</f>
        <v>0</v>
      </c>
      <c r="L70" s="1" t="n">
        <f aca="false">IF(OR($L$1="",对接源_01水果!$C70="",对接源_01水果!$C70&lt;&gt;$L$1,对接源_01水果!$B70=""),0,IF(OR(N(对接源_01水果!$B70)&lt;$L$2,N(对接源_01水果!$B70)&gt;$L$3),0,1))</f>
        <v>0</v>
      </c>
      <c r="M70" s="1" t="n">
        <f aca="false">IF(OR($M$1="",对接源_01水果!$C70="",对接源_01水果!$C70&lt;&gt;$M$1,对接源_01水果!$B70=""),0,IF(OR(N(对接源_01水果!$B70)&lt;$M$2,N(对接源_01水果!$B70)&gt;$M$3),0,1))</f>
        <v>0</v>
      </c>
      <c r="N70" s="1" t="n">
        <f aca="false">IF(OR($N$1="",对接源_01水果!$C70="",对接源_01水果!$C70&lt;&gt;$N$1,对接源_01水果!$B70=""),0,IF(OR(N(对接源_01水果!$B70)&lt;$N$2,N(对接源_01水果!$B70)&gt;$N$3),0,1))</f>
        <v>0</v>
      </c>
      <c r="P70" s="1" t="n">
        <f aca="false">IF(AND($K70=1,AND(对接源_01水果!$X70="公司筐",N(对接源_01水果!$T70)&lt;&gt;0)),1,0)</f>
        <v>0</v>
      </c>
      <c r="Q70" s="1" t="n">
        <f aca="false">N(Q69)+$P70</f>
        <v>0</v>
      </c>
      <c r="R70" s="1" t="n">
        <f aca="false">IF(AND($K70=1,AND(对接源_01水果!$X70="公司筐",N(对接源_01水果!$U70)&lt;&gt;0)),1,0)</f>
        <v>0</v>
      </c>
      <c r="S70" s="1" t="n">
        <f aca="false">N(S69)+$R70</f>
        <v>0</v>
      </c>
      <c r="T70" s="1" t="n">
        <f aca="false">IF(AND($K70=1,AND(对接源_01水果!$X70="公司筐",N(对接源_01水果!$V70)&lt;&gt;0)),1,0)</f>
        <v>0</v>
      </c>
      <c r="U70" s="1" t="n">
        <f aca="false">N(U69)+$T70</f>
        <v>18</v>
      </c>
      <c r="V70" s="1" t="n">
        <f aca="false">IF(AND($L70=1,AND(对接源_01水果!$X70="自备筐",N(对接源_01水果!$V70)&lt;&gt;0)),1,0)</f>
        <v>0</v>
      </c>
      <c r="W70" s="1" t="n">
        <f aca="false">N(W69)+$V70</f>
        <v>0</v>
      </c>
      <c r="X70" s="1" t="n">
        <f aca="false">IF(AND($L70=1,AND(对接源_01水果!$X70="自备筐",N(对接源_01水果!$T70)&lt;&gt;0)),1,0)</f>
        <v>0</v>
      </c>
      <c r="Y70" s="1" t="n">
        <f aca="false">N(Y69)+$X70</f>
        <v>0</v>
      </c>
      <c r="Z70" s="1" t="n">
        <f aca="false">IF(AND($M70=1,对接源_01水果!$D70="原料入库"),1,0)</f>
        <v>0</v>
      </c>
      <c r="AA70" s="1" t="n">
        <f aca="false">N(AA69)+$Z70</f>
        <v>20</v>
      </c>
      <c r="AB70" s="1" t="n">
        <f aca="false">IF(AND($M70=1,LEFT(对接源_01水果!$D70,4)="原料出库"),1,0)</f>
        <v>0</v>
      </c>
      <c r="AC70" s="1" t="n">
        <f aca="false">N(AC69)+$AB70</f>
        <v>0</v>
      </c>
      <c r="AD70" s="1" t="n">
        <f aca="false">IF(AND($M70=1,LEFT(对接源_01水果!$D70,4)="成品出库"),1,0)</f>
        <v>0</v>
      </c>
      <c r="AE70" s="1" t="n">
        <f aca="false">N(AE69)+$AD70</f>
        <v>0</v>
      </c>
      <c r="AF70" s="1" t="n">
        <f aca="false">IF(AND($N70=1,AND(LEFT(对接源_01水果!$D70,4)="包装物料",N(对接源_01水果!$K70)&lt;&gt;0)),1,0)</f>
        <v>0</v>
      </c>
      <c r="AG70" s="90" t="str">
        <f aca="false">IF(对接源_01水果!$AC70="","",对接源_01水果!$AC70)</f>
        <v/>
      </c>
      <c r="AH70" s="90" t="str">
        <f aca="false">IFERROR(INDEX($AG$4:$AG$1203,MATCH(ROW()-3,$AJ$4:$AJ$1203,0)),"")</f>
        <v/>
      </c>
      <c r="AI70" s="90" t="n">
        <f aca="false">IF(AG70="",0,IF(MATCH(AG70,$AG$4:$AG$1203,0)=ROW()-3,1,0))</f>
        <v>0</v>
      </c>
      <c r="AJ70" s="90" t="n">
        <f aca="false">N(AJ69)+AI70</f>
        <v>0</v>
      </c>
      <c r="AK70" s="1" t="n">
        <f aca="false">N(AK69)+$AJ70</f>
        <v>0</v>
      </c>
    </row>
    <row r="71" customFormat="false" ht="13.5" hidden="false" customHeight="false" outlineLevel="0" collapsed="false">
      <c r="A71" s="1" t="str">
        <f aca="false">IF(对接源_01水果!$C71="","",对接源_01水果!$C71)</f>
        <v>聂新平</v>
      </c>
      <c r="B71" s="1" t="n">
        <f aca="false">IF(A71="",0,IF(MATCH(A71,$A$4:$A$2403,0)=ROW()-3,1,0))</f>
        <v>0</v>
      </c>
      <c r="C71" s="1" t="n">
        <f aca="false">N(C70)+B71</f>
        <v>4</v>
      </c>
      <c r="E71" s="1" t="str">
        <f aca="false">IFERROR(INDEX($A$4:$A$2403,MATCH(ROW()-3,$C$4:$C$2403,0)),"")</f>
        <v/>
      </c>
      <c r="K71" s="1" t="n">
        <f aca="false">IF(OR($K$1="",对接源_01水果!$C71="",对接源_01水果!$C71&lt;&gt;$K$1,对接源_01水果!$B71=""),0,IF(OR(N(对接源_01水果!$B71)&lt;$K$2,N(对接源_01水果!$B71)&gt;$K$3),0,1))</f>
        <v>0</v>
      </c>
      <c r="L71" s="1" t="n">
        <f aca="false">IF(OR($L$1="",对接源_01水果!$C71="",对接源_01水果!$C71&lt;&gt;$L$1,对接源_01水果!$B71=""),0,IF(OR(N(对接源_01水果!$B71)&lt;$L$2,N(对接源_01水果!$B71)&gt;$L$3),0,1))</f>
        <v>0</v>
      </c>
      <c r="M71" s="1" t="n">
        <f aca="false">IF(OR($M$1="",对接源_01水果!$C71="",对接源_01水果!$C71&lt;&gt;$M$1,对接源_01水果!$B71=""),0,IF(OR(N(对接源_01水果!$B71)&lt;$M$2,N(对接源_01水果!$B71)&gt;$M$3),0,1))</f>
        <v>0</v>
      </c>
      <c r="N71" s="1" t="n">
        <f aca="false">IF(OR($N$1="",对接源_01水果!$C71="",对接源_01水果!$C71&lt;&gt;$N$1,对接源_01水果!$B71=""),0,IF(OR(N(对接源_01水果!$B71)&lt;$N$2,N(对接源_01水果!$B71)&gt;$N$3),0,1))</f>
        <v>0</v>
      </c>
      <c r="P71" s="1" t="n">
        <f aca="false">IF(AND($K71=1,AND(对接源_01水果!$X71="公司筐",N(对接源_01水果!$T71)&lt;&gt;0)),1,0)</f>
        <v>0</v>
      </c>
      <c r="Q71" s="1" t="n">
        <f aca="false">N(Q70)+$P71</f>
        <v>0</v>
      </c>
      <c r="R71" s="1" t="n">
        <f aca="false">IF(AND($K71=1,AND(对接源_01水果!$X71="公司筐",N(对接源_01水果!$U71)&lt;&gt;0)),1,0)</f>
        <v>0</v>
      </c>
      <c r="S71" s="1" t="n">
        <f aca="false">N(S70)+$R71</f>
        <v>0</v>
      </c>
      <c r="T71" s="1" t="n">
        <f aca="false">IF(AND($K71=1,AND(对接源_01水果!$X71="公司筐",N(对接源_01水果!$V71)&lt;&gt;0)),1,0)</f>
        <v>0</v>
      </c>
      <c r="U71" s="1" t="n">
        <f aca="false">N(U70)+$T71</f>
        <v>18</v>
      </c>
      <c r="V71" s="1" t="n">
        <f aca="false">IF(AND($L71=1,AND(对接源_01水果!$X71="自备筐",N(对接源_01水果!$V71)&lt;&gt;0)),1,0)</f>
        <v>0</v>
      </c>
      <c r="W71" s="1" t="n">
        <f aca="false">N(W70)+$V71</f>
        <v>0</v>
      </c>
      <c r="X71" s="1" t="n">
        <f aca="false">IF(AND($L71=1,AND(对接源_01水果!$X71="自备筐",N(对接源_01水果!$T71)&lt;&gt;0)),1,0)</f>
        <v>0</v>
      </c>
      <c r="Y71" s="1" t="n">
        <f aca="false">N(Y70)+$X71</f>
        <v>0</v>
      </c>
      <c r="Z71" s="1" t="n">
        <f aca="false">IF(AND($M71=1,对接源_01水果!$D71="原料入库"),1,0)</f>
        <v>0</v>
      </c>
      <c r="AA71" s="1" t="n">
        <f aca="false">N(AA70)+$Z71</f>
        <v>20</v>
      </c>
      <c r="AB71" s="1" t="n">
        <f aca="false">IF(AND($M71=1,LEFT(对接源_01水果!$D71,4)="原料出库"),1,0)</f>
        <v>0</v>
      </c>
      <c r="AC71" s="1" t="n">
        <f aca="false">N(AC70)+$AB71</f>
        <v>0</v>
      </c>
      <c r="AD71" s="1" t="n">
        <f aca="false">IF(AND($M71=1,LEFT(对接源_01水果!$D71,4)="成品出库"),1,0)</f>
        <v>0</v>
      </c>
      <c r="AE71" s="1" t="n">
        <f aca="false">N(AE70)+$AD71</f>
        <v>0</v>
      </c>
      <c r="AF71" s="1" t="n">
        <f aca="false">IF(AND($N71=1,AND(LEFT(对接源_01水果!$D71,4)="包装物料",N(对接源_01水果!$K71)&lt;&gt;0)),1,0)</f>
        <v>0</v>
      </c>
      <c r="AG71" s="90" t="str">
        <f aca="false">IF(对接源_01水果!$AC71="","",对接源_01水果!$AC71)</f>
        <v/>
      </c>
      <c r="AH71" s="90" t="str">
        <f aca="false">IFERROR(INDEX($AG$4:$AG$1203,MATCH(ROW()-3,$AJ$4:$AJ$1203,0)),"")</f>
        <v/>
      </c>
      <c r="AI71" s="90" t="n">
        <f aca="false">IF(AG71="",0,IF(MATCH(AG71,$AG$4:$AG$1203,0)=ROW()-3,1,0))</f>
        <v>0</v>
      </c>
      <c r="AJ71" s="90" t="n">
        <f aca="false">N(AJ70)+AI71</f>
        <v>0</v>
      </c>
      <c r="AK71" s="1" t="n">
        <f aca="false">N(AK70)+$AJ71</f>
        <v>0</v>
      </c>
    </row>
    <row r="72" customFormat="false" ht="13.5" hidden="false" customHeight="false" outlineLevel="0" collapsed="false">
      <c r="A72" s="1" t="str">
        <f aca="false">IF(对接源_01水果!$C72="","",对接源_01水果!$C72)</f>
        <v>聂新平</v>
      </c>
      <c r="B72" s="1" t="n">
        <f aca="false">IF(A72="",0,IF(MATCH(A72,$A$4:$A$2403,0)=ROW()-3,1,0))</f>
        <v>0</v>
      </c>
      <c r="C72" s="1" t="n">
        <f aca="false">N(C71)+B72</f>
        <v>4</v>
      </c>
      <c r="E72" s="1" t="str">
        <f aca="false">IFERROR(INDEX($A$4:$A$2403,MATCH(ROW()-3,$C$4:$C$2403,0)),"")</f>
        <v/>
      </c>
      <c r="K72" s="1" t="n">
        <f aca="false">IF(OR($K$1="",对接源_01水果!$C72="",对接源_01水果!$C72&lt;&gt;$K$1,对接源_01水果!$B72=""),0,IF(OR(N(对接源_01水果!$B72)&lt;$K$2,N(对接源_01水果!$B72)&gt;$K$3),0,1))</f>
        <v>0</v>
      </c>
      <c r="L72" s="1" t="n">
        <f aca="false">IF(OR($L$1="",对接源_01水果!$C72="",对接源_01水果!$C72&lt;&gt;$L$1,对接源_01水果!$B72=""),0,IF(OR(N(对接源_01水果!$B72)&lt;$L$2,N(对接源_01水果!$B72)&gt;$L$3),0,1))</f>
        <v>0</v>
      </c>
      <c r="M72" s="1" t="n">
        <f aca="false">IF(OR($M$1="",对接源_01水果!$C72="",对接源_01水果!$C72&lt;&gt;$M$1,对接源_01水果!$B72=""),0,IF(OR(N(对接源_01水果!$B72)&lt;$M$2,N(对接源_01水果!$B72)&gt;$M$3),0,1))</f>
        <v>0</v>
      </c>
      <c r="N72" s="1" t="n">
        <f aca="false">IF(OR($N$1="",对接源_01水果!$C72="",对接源_01水果!$C72&lt;&gt;$N$1,对接源_01水果!$B72=""),0,IF(OR(N(对接源_01水果!$B72)&lt;$N$2,N(对接源_01水果!$B72)&gt;$N$3),0,1))</f>
        <v>0</v>
      </c>
      <c r="P72" s="1" t="n">
        <f aca="false">IF(AND($K72=1,AND(对接源_01水果!$X72="公司筐",N(对接源_01水果!$T72)&lt;&gt;0)),1,0)</f>
        <v>0</v>
      </c>
      <c r="Q72" s="1" t="n">
        <f aca="false">N(Q71)+$P72</f>
        <v>0</v>
      </c>
      <c r="R72" s="1" t="n">
        <f aca="false">IF(AND($K72=1,AND(对接源_01水果!$X72="公司筐",N(对接源_01水果!$U72)&lt;&gt;0)),1,0)</f>
        <v>0</v>
      </c>
      <c r="S72" s="1" t="n">
        <f aca="false">N(S71)+$R72</f>
        <v>0</v>
      </c>
      <c r="T72" s="1" t="n">
        <f aca="false">IF(AND($K72=1,AND(对接源_01水果!$X72="公司筐",N(对接源_01水果!$V72)&lt;&gt;0)),1,0)</f>
        <v>0</v>
      </c>
      <c r="U72" s="1" t="n">
        <f aca="false">N(U71)+$T72</f>
        <v>18</v>
      </c>
      <c r="V72" s="1" t="n">
        <f aca="false">IF(AND($L72=1,AND(对接源_01水果!$X72="自备筐",N(对接源_01水果!$V72)&lt;&gt;0)),1,0)</f>
        <v>0</v>
      </c>
      <c r="W72" s="1" t="n">
        <f aca="false">N(W71)+$V72</f>
        <v>0</v>
      </c>
      <c r="X72" s="1" t="n">
        <f aca="false">IF(AND($L72=1,AND(对接源_01水果!$X72="自备筐",N(对接源_01水果!$T72)&lt;&gt;0)),1,0)</f>
        <v>0</v>
      </c>
      <c r="Y72" s="1" t="n">
        <f aca="false">N(Y71)+$X72</f>
        <v>0</v>
      </c>
      <c r="Z72" s="1" t="n">
        <f aca="false">IF(AND($M72=1,对接源_01水果!$D72="原料入库"),1,0)</f>
        <v>0</v>
      </c>
      <c r="AA72" s="1" t="n">
        <f aca="false">N(AA71)+$Z72</f>
        <v>20</v>
      </c>
      <c r="AB72" s="1" t="n">
        <f aca="false">IF(AND($M72=1,LEFT(对接源_01水果!$D72,4)="原料出库"),1,0)</f>
        <v>0</v>
      </c>
      <c r="AC72" s="1" t="n">
        <f aca="false">N(AC71)+$AB72</f>
        <v>0</v>
      </c>
      <c r="AD72" s="1" t="n">
        <f aca="false">IF(AND($M72=1,LEFT(对接源_01水果!$D72,4)="成品出库"),1,0)</f>
        <v>0</v>
      </c>
      <c r="AE72" s="1" t="n">
        <f aca="false">N(AE71)+$AD72</f>
        <v>0</v>
      </c>
      <c r="AF72" s="1" t="n">
        <f aca="false">IF(AND($N72=1,AND(LEFT(对接源_01水果!$D72,4)="包装物料",N(对接源_01水果!$K72)&lt;&gt;0)),1,0)</f>
        <v>0</v>
      </c>
      <c r="AG72" s="90" t="str">
        <f aca="false">IF(对接源_01水果!$AC72="","",对接源_01水果!$AC72)</f>
        <v/>
      </c>
      <c r="AH72" s="90" t="str">
        <f aca="false">IFERROR(INDEX($AG$4:$AG$1203,MATCH(ROW()-3,$AJ$4:$AJ$1203,0)),"")</f>
        <v/>
      </c>
      <c r="AI72" s="90" t="n">
        <f aca="false">IF(AG72="",0,IF(MATCH(AG72,$AG$4:$AG$1203,0)=ROW()-3,1,0))</f>
        <v>0</v>
      </c>
      <c r="AJ72" s="90" t="n">
        <f aca="false">N(AJ71)+AI72</f>
        <v>0</v>
      </c>
      <c r="AK72" s="1" t="n">
        <f aca="false">N(AK71)+$AJ72</f>
        <v>0</v>
      </c>
    </row>
    <row r="73" customFormat="false" ht="13.5" hidden="false" customHeight="false" outlineLevel="0" collapsed="false">
      <c r="A73" s="1" t="str">
        <f aca="false">IF(对接源_01水果!$C73="","",对接源_01水果!$C73)</f>
        <v>聂新平</v>
      </c>
      <c r="B73" s="1" t="n">
        <f aca="false">IF(A73="",0,IF(MATCH(A73,$A$4:$A$2403,0)=ROW()-3,1,0))</f>
        <v>0</v>
      </c>
      <c r="C73" s="1" t="n">
        <f aca="false">N(C72)+B73</f>
        <v>4</v>
      </c>
      <c r="E73" s="1" t="str">
        <f aca="false">IFERROR(INDEX($A$4:$A$2403,MATCH(ROW()-3,$C$4:$C$2403,0)),"")</f>
        <v/>
      </c>
      <c r="K73" s="1" t="n">
        <f aca="false">IF(OR($K$1="",对接源_01水果!$C73="",对接源_01水果!$C73&lt;&gt;$K$1,对接源_01水果!$B73=""),0,IF(OR(N(对接源_01水果!$B73)&lt;$K$2,N(对接源_01水果!$B73)&gt;$K$3),0,1))</f>
        <v>0</v>
      </c>
      <c r="L73" s="1" t="n">
        <f aca="false">IF(OR($L$1="",对接源_01水果!$C73="",对接源_01水果!$C73&lt;&gt;$L$1,对接源_01水果!$B73=""),0,IF(OR(N(对接源_01水果!$B73)&lt;$L$2,N(对接源_01水果!$B73)&gt;$L$3),0,1))</f>
        <v>0</v>
      </c>
      <c r="M73" s="1" t="n">
        <f aca="false">IF(OR($M$1="",对接源_01水果!$C73="",对接源_01水果!$C73&lt;&gt;$M$1,对接源_01水果!$B73=""),0,IF(OR(N(对接源_01水果!$B73)&lt;$M$2,N(对接源_01水果!$B73)&gt;$M$3),0,1))</f>
        <v>0</v>
      </c>
      <c r="N73" s="1" t="n">
        <f aca="false">IF(OR($N$1="",对接源_01水果!$C73="",对接源_01水果!$C73&lt;&gt;$N$1,对接源_01水果!$B73=""),0,IF(OR(N(对接源_01水果!$B73)&lt;$N$2,N(对接源_01水果!$B73)&gt;$N$3),0,1))</f>
        <v>0</v>
      </c>
      <c r="P73" s="1" t="n">
        <f aca="false">IF(AND($K73=1,AND(对接源_01水果!$X73="公司筐",N(对接源_01水果!$T73)&lt;&gt;0)),1,0)</f>
        <v>0</v>
      </c>
      <c r="Q73" s="1" t="n">
        <f aca="false">N(Q72)+$P73</f>
        <v>0</v>
      </c>
      <c r="R73" s="1" t="n">
        <f aca="false">IF(AND($K73=1,AND(对接源_01水果!$X73="公司筐",N(对接源_01水果!$U73)&lt;&gt;0)),1,0)</f>
        <v>0</v>
      </c>
      <c r="S73" s="1" t="n">
        <f aca="false">N(S72)+$R73</f>
        <v>0</v>
      </c>
      <c r="T73" s="1" t="n">
        <f aca="false">IF(AND($K73=1,AND(对接源_01水果!$X73="公司筐",N(对接源_01水果!$V73)&lt;&gt;0)),1,0)</f>
        <v>0</v>
      </c>
      <c r="U73" s="1" t="n">
        <f aca="false">N(U72)+$T73</f>
        <v>18</v>
      </c>
      <c r="V73" s="1" t="n">
        <f aca="false">IF(AND($L73=1,AND(对接源_01水果!$X73="自备筐",N(对接源_01水果!$V73)&lt;&gt;0)),1,0)</f>
        <v>0</v>
      </c>
      <c r="W73" s="1" t="n">
        <f aca="false">N(W72)+$V73</f>
        <v>0</v>
      </c>
      <c r="X73" s="1" t="n">
        <f aca="false">IF(AND($L73=1,AND(对接源_01水果!$X73="自备筐",N(对接源_01水果!$T73)&lt;&gt;0)),1,0)</f>
        <v>0</v>
      </c>
      <c r="Y73" s="1" t="n">
        <f aca="false">N(Y72)+$X73</f>
        <v>0</v>
      </c>
      <c r="Z73" s="1" t="n">
        <f aca="false">IF(AND($M73=1,对接源_01水果!$D73="原料入库"),1,0)</f>
        <v>0</v>
      </c>
      <c r="AA73" s="1" t="n">
        <f aca="false">N(AA72)+$Z73</f>
        <v>20</v>
      </c>
      <c r="AB73" s="1" t="n">
        <f aca="false">IF(AND($M73=1,LEFT(对接源_01水果!$D73,4)="原料出库"),1,0)</f>
        <v>0</v>
      </c>
      <c r="AC73" s="1" t="n">
        <f aca="false">N(AC72)+$AB73</f>
        <v>0</v>
      </c>
      <c r="AD73" s="1" t="n">
        <f aca="false">IF(AND($M73=1,LEFT(对接源_01水果!$D73,4)="成品出库"),1,0)</f>
        <v>0</v>
      </c>
      <c r="AE73" s="1" t="n">
        <f aca="false">N(AE72)+$AD73</f>
        <v>0</v>
      </c>
      <c r="AF73" s="1" t="n">
        <f aca="false">IF(AND($N73=1,AND(LEFT(对接源_01水果!$D73,4)="包装物料",N(对接源_01水果!$K73)&lt;&gt;0)),1,0)</f>
        <v>0</v>
      </c>
      <c r="AG73" s="90" t="str">
        <f aca="false">IF(对接源_01水果!$AC73="","",对接源_01水果!$AC73)</f>
        <v/>
      </c>
      <c r="AH73" s="90" t="str">
        <f aca="false">IFERROR(INDEX($AG$4:$AG$1203,MATCH(ROW()-3,$AJ$4:$AJ$1203,0)),"")</f>
        <v/>
      </c>
      <c r="AI73" s="90" t="n">
        <f aca="false">IF(AG73="",0,IF(MATCH(AG73,$AG$4:$AG$1203,0)=ROW()-3,1,0))</f>
        <v>0</v>
      </c>
      <c r="AJ73" s="90" t="n">
        <f aca="false">N(AJ72)+AI73</f>
        <v>0</v>
      </c>
      <c r="AK73" s="1" t="n">
        <f aca="false">N(AK72)+$AJ73</f>
        <v>0</v>
      </c>
    </row>
    <row r="74" customFormat="false" ht="13.5" hidden="false" customHeight="false" outlineLevel="0" collapsed="false">
      <c r="A74" s="1" t="str">
        <f aca="false">IF(对接源_01水果!$C74="","",对接源_01水果!$C74)</f>
        <v>聂新平</v>
      </c>
      <c r="B74" s="1" t="n">
        <f aca="false">IF(A74="",0,IF(MATCH(A74,$A$4:$A$2403,0)=ROW()-3,1,0))</f>
        <v>0</v>
      </c>
      <c r="C74" s="1" t="n">
        <f aca="false">N(C73)+B74</f>
        <v>4</v>
      </c>
      <c r="E74" s="1" t="str">
        <f aca="false">IFERROR(INDEX($A$4:$A$2403,MATCH(ROW()-3,$C$4:$C$2403,0)),"")</f>
        <v/>
      </c>
      <c r="K74" s="1" t="n">
        <f aca="false">IF(OR($K$1="",对接源_01水果!$C74="",对接源_01水果!$C74&lt;&gt;$K$1,对接源_01水果!$B74=""),0,IF(OR(N(对接源_01水果!$B74)&lt;$K$2,N(对接源_01水果!$B74)&gt;$K$3),0,1))</f>
        <v>0</v>
      </c>
      <c r="L74" s="1" t="n">
        <f aca="false">IF(OR($L$1="",对接源_01水果!$C74="",对接源_01水果!$C74&lt;&gt;$L$1,对接源_01水果!$B74=""),0,IF(OR(N(对接源_01水果!$B74)&lt;$L$2,N(对接源_01水果!$B74)&gt;$L$3),0,1))</f>
        <v>0</v>
      </c>
      <c r="M74" s="1" t="n">
        <f aca="false">IF(OR($M$1="",对接源_01水果!$C74="",对接源_01水果!$C74&lt;&gt;$M$1,对接源_01水果!$B74=""),0,IF(OR(N(对接源_01水果!$B74)&lt;$M$2,N(对接源_01水果!$B74)&gt;$M$3),0,1))</f>
        <v>0</v>
      </c>
      <c r="N74" s="1" t="n">
        <f aca="false">IF(OR($N$1="",对接源_01水果!$C74="",对接源_01水果!$C74&lt;&gt;$N$1,对接源_01水果!$B74=""),0,IF(OR(N(对接源_01水果!$B74)&lt;$N$2,N(对接源_01水果!$B74)&gt;$N$3),0,1))</f>
        <v>0</v>
      </c>
      <c r="P74" s="1" t="n">
        <f aca="false">IF(AND($K74=1,AND(对接源_01水果!$X74="公司筐",N(对接源_01水果!$T74)&lt;&gt;0)),1,0)</f>
        <v>0</v>
      </c>
      <c r="Q74" s="1" t="n">
        <f aca="false">N(Q73)+$P74</f>
        <v>0</v>
      </c>
      <c r="R74" s="1" t="n">
        <f aca="false">IF(AND($K74=1,AND(对接源_01水果!$X74="公司筐",N(对接源_01水果!$U74)&lt;&gt;0)),1,0)</f>
        <v>0</v>
      </c>
      <c r="S74" s="1" t="n">
        <f aca="false">N(S73)+$R74</f>
        <v>0</v>
      </c>
      <c r="T74" s="1" t="n">
        <f aca="false">IF(AND($K74=1,AND(对接源_01水果!$X74="公司筐",N(对接源_01水果!$V74)&lt;&gt;0)),1,0)</f>
        <v>0</v>
      </c>
      <c r="U74" s="1" t="n">
        <f aca="false">N(U73)+$T74</f>
        <v>18</v>
      </c>
      <c r="V74" s="1" t="n">
        <f aca="false">IF(AND($L74=1,AND(对接源_01水果!$X74="自备筐",N(对接源_01水果!$V74)&lt;&gt;0)),1,0)</f>
        <v>0</v>
      </c>
      <c r="W74" s="1" t="n">
        <f aca="false">N(W73)+$V74</f>
        <v>0</v>
      </c>
      <c r="X74" s="1" t="n">
        <f aca="false">IF(AND($L74=1,AND(对接源_01水果!$X74="自备筐",N(对接源_01水果!$T74)&lt;&gt;0)),1,0)</f>
        <v>0</v>
      </c>
      <c r="Y74" s="1" t="n">
        <f aca="false">N(Y73)+$X74</f>
        <v>0</v>
      </c>
      <c r="Z74" s="1" t="n">
        <f aca="false">IF(AND($M74=1,对接源_01水果!$D74="原料入库"),1,0)</f>
        <v>0</v>
      </c>
      <c r="AA74" s="1" t="n">
        <f aca="false">N(AA73)+$Z74</f>
        <v>20</v>
      </c>
      <c r="AB74" s="1" t="n">
        <f aca="false">IF(AND($M74=1,LEFT(对接源_01水果!$D74,4)="原料出库"),1,0)</f>
        <v>0</v>
      </c>
      <c r="AC74" s="1" t="n">
        <f aca="false">N(AC73)+$AB74</f>
        <v>0</v>
      </c>
      <c r="AD74" s="1" t="n">
        <f aca="false">IF(AND($M74=1,LEFT(对接源_01水果!$D74,4)="成品出库"),1,0)</f>
        <v>0</v>
      </c>
      <c r="AE74" s="1" t="n">
        <f aca="false">N(AE73)+$AD74</f>
        <v>0</v>
      </c>
      <c r="AF74" s="1" t="n">
        <f aca="false">IF(AND($N74=1,AND(LEFT(对接源_01水果!$D74,4)="包装物料",N(对接源_01水果!$K74)&lt;&gt;0)),1,0)</f>
        <v>0</v>
      </c>
      <c r="AG74" s="90" t="str">
        <f aca="false">IF(对接源_01水果!$AC74="","",对接源_01水果!$AC74)</f>
        <v/>
      </c>
      <c r="AH74" s="90" t="str">
        <f aca="false">IFERROR(INDEX($AG$4:$AG$1203,MATCH(ROW()-3,$AJ$4:$AJ$1203,0)),"")</f>
        <v/>
      </c>
      <c r="AI74" s="90" t="n">
        <f aca="false">IF(AG74="",0,IF(MATCH(AG74,$AG$4:$AG$1203,0)=ROW()-3,1,0))</f>
        <v>0</v>
      </c>
      <c r="AJ74" s="90" t="n">
        <f aca="false">N(AJ73)+AI74</f>
        <v>0</v>
      </c>
      <c r="AK74" s="1" t="n">
        <f aca="false">N(AK73)+$AJ74</f>
        <v>0</v>
      </c>
    </row>
    <row r="75" customFormat="false" ht="13.5" hidden="false" customHeight="false" outlineLevel="0" collapsed="false">
      <c r="A75" s="1" t="str">
        <f aca="false">IF(对接源_01水果!$C75="","",对接源_01水果!$C75)</f>
        <v>聂新平</v>
      </c>
      <c r="B75" s="1" t="n">
        <f aca="false">IF(A75="",0,IF(MATCH(A75,$A$4:$A$2403,0)=ROW()-3,1,0))</f>
        <v>0</v>
      </c>
      <c r="C75" s="1" t="n">
        <f aca="false">N(C74)+B75</f>
        <v>4</v>
      </c>
      <c r="E75" s="1" t="str">
        <f aca="false">IFERROR(INDEX($A$4:$A$2403,MATCH(ROW()-3,$C$4:$C$2403,0)),"")</f>
        <v/>
      </c>
      <c r="K75" s="1" t="n">
        <f aca="false">IF(OR($K$1="",对接源_01水果!$C75="",对接源_01水果!$C75&lt;&gt;$K$1,对接源_01水果!$B75=""),0,IF(OR(N(对接源_01水果!$B75)&lt;$K$2,N(对接源_01水果!$B75)&gt;$K$3),0,1))</f>
        <v>0</v>
      </c>
      <c r="L75" s="1" t="n">
        <f aca="false">IF(OR($L$1="",对接源_01水果!$C75="",对接源_01水果!$C75&lt;&gt;$L$1,对接源_01水果!$B75=""),0,IF(OR(N(对接源_01水果!$B75)&lt;$L$2,N(对接源_01水果!$B75)&gt;$L$3),0,1))</f>
        <v>0</v>
      </c>
      <c r="M75" s="1" t="n">
        <f aca="false">IF(OR($M$1="",对接源_01水果!$C75="",对接源_01水果!$C75&lt;&gt;$M$1,对接源_01水果!$B75=""),0,IF(OR(N(对接源_01水果!$B75)&lt;$M$2,N(对接源_01水果!$B75)&gt;$M$3),0,1))</f>
        <v>0</v>
      </c>
      <c r="N75" s="1" t="n">
        <f aca="false">IF(OR($N$1="",对接源_01水果!$C75="",对接源_01水果!$C75&lt;&gt;$N$1,对接源_01水果!$B75=""),0,IF(OR(N(对接源_01水果!$B75)&lt;$N$2,N(对接源_01水果!$B75)&gt;$N$3),0,1))</f>
        <v>0</v>
      </c>
      <c r="P75" s="1" t="n">
        <f aca="false">IF(AND($K75=1,AND(对接源_01水果!$X75="公司筐",N(对接源_01水果!$T75)&lt;&gt;0)),1,0)</f>
        <v>0</v>
      </c>
      <c r="Q75" s="1" t="n">
        <f aca="false">N(Q74)+$P75</f>
        <v>0</v>
      </c>
      <c r="R75" s="1" t="n">
        <f aca="false">IF(AND($K75=1,AND(对接源_01水果!$X75="公司筐",N(对接源_01水果!$U75)&lt;&gt;0)),1,0)</f>
        <v>0</v>
      </c>
      <c r="S75" s="1" t="n">
        <f aca="false">N(S74)+$R75</f>
        <v>0</v>
      </c>
      <c r="T75" s="1" t="n">
        <f aca="false">IF(AND($K75=1,AND(对接源_01水果!$X75="公司筐",N(对接源_01水果!$V75)&lt;&gt;0)),1,0)</f>
        <v>0</v>
      </c>
      <c r="U75" s="1" t="n">
        <f aca="false">N(U74)+$T75</f>
        <v>18</v>
      </c>
      <c r="V75" s="1" t="n">
        <f aca="false">IF(AND($L75=1,AND(对接源_01水果!$X75="自备筐",N(对接源_01水果!$V75)&lt;&gt;0)),1,0)</f>
        <v>0</v>
      </c>
      <c r="W75" s="1" t="n">
        <f aca="false">N(W74)+$V75</f>
        <v>0</v>
      </c>
      <c r="X75" s="1" t="n">
        <f aca="false">IF(AND($L75=1,AND(对接源_01水果!$X75="自备筐",N(对接源_01水果!$T75)&lt;&gt;0)),1,0)</f>
        <v>0</v>
      </c>
      <c r="Y75" s="1" t="n">
        <f aca="false">N(Y74)+$X75</f>
        <v>0</v>
      </c>
      <c r="Z75" s="1" t="n">
        <f aca="false">IF(AND($M75=1,对接源_01水果!$D75="原料入库"),1,0)</f>
        <v>0</v>
      </c>
      <c r="AA75" s="1" t="n">
        <f aca="false">N(AA74)+$Z75</f>
        <v>20</v>
      </c>
      <c r="AB75" s="1" t="n">
        <f aca="false">IF(AND($M75=1,LEFT(对接源_01水果!$D75,4)="原料出库"),1,0)</f>
        <v>0</v>
      </c>
      <c r="AC75" s="1" t="n">
        <f aca="false">N(AC74)+$AB75</f>
        <v>0</v>
      </c>
      <c r="AD75" s="1" t="n">
        <f aca="false">IF(AND($M75=1,LEFT(对接源_01水果!$D75,4)="成品出库"),1,0)</f>
        <v>0</v>
      </c>
      <c r="AE75" s="1" t="n">
        <f aca="false">N(AE74)+$AD75</f>
        <v>0</v>
      </c>
      <c r="AF75" s="1" t="n">
        <f aca="false">IF(AND($N75=1,AND(LEFT(对接源_01水果!$D75,4)="包装物料",N(对接源_01水果!$K75)&lt;&gt;0)),1,0)</f>
        <v>0</v>
      </c>
      <c r="AG75" s="90" t="str">
        <f aca="false">IF(对接源_01水果!$AC75="","",对接源_01水果!$AC75)</f>
        <v/>
      </c>
      <c r="AH75" s="90" t="str">
        <f aca="false">IFERROR(INDEX($AG$4:$AG$1203,MATCH(ROW()-3,$AJ$4:$AJ$1203,0)),"")</f>
        <v/>
      </c>
      <c r="AI75" s="90" t="n">
        <f aca="false">IF(AG75="",0,IF(MATCH(AG75,$AG$4:$AG$1203,0)=ROW()-3,1,0))</f>
        <v>0</v>
      </c>
      <c r="AJ75" s="90" t="n">
        <f aca="false">N(AJ74)+AI75</f>
        <v>0</v>
      </c>
      <c r="AK75" s="1" t="n">
        <f aca="false">N(AK74)+$AJ75</f>
        <v>0</v>
      </c>
    </row>
    <row r="76" customFormat="false" ht="13.5" hidden="false" customHeight="false" outlineLevel="0" collapsed="false">
      <c r="A76" s="1" t="str">
        <f aca="false">IF(对接源_01水果!$C76="","",对接源_01水果!$C76)</f>
        <v>聂新平</v>
      </c>
      <c r="B76" s="1" t="n">
        <f aca="false">IF(A76="",0,IF(MATCH(A76,$A$4:$A$2403,0)=ROW()-3,1,0))</f>
        <v>0</v>
      </c>
      <c r="C76" s="1" t="n">
        <f aca="false">N(C75)+B76</f>
        <v>4</v>
      </c>
      <c r="E76" s="1" t="str">
        <f aca="false">IFERROR(INDEX($A$4:$A$2403,MATCH(ROW()-3,$C$4:$C$2403,0)),"")</f>
        <v/>
      </c>
      <c r="K76" s="1" t="n">
        <f aca="false">IF(OR($K$1="",对接源_01水果!$C76="",对接源_01水果!$C76&lt;&gt;$K$1,对接源_01水果!$B76=""),0,IF(OR(N(对接源_01水果!$B76)&lt;$K$2,N(对接源_01水果!$B76)&gt;$K$3),0,1))</f>
        <v>0</v>
      </c>
      <c r="L76" s="1" t="n">
        <f aca="false">IF(OR($L$1="",对接源_01水果!$C76="",对接源_01水果!$C76&lt;&gt;$L$1,对接源_01水果!$B76=""),0,IF(OR(N(对接源_01水果!$B76)&lt;$L$2,N(对接源_01水果!$B76)&gt;$L$3),0,1))</f>
        <v>0</v>
      </c>
      <c r="M76" s="1" t="n">
        <f aca="false">IF(OR($M$1="",对接源_01水果!$C76="",对接源_01水果!$C76&lt;&gt;$M$1,对接源_01水果!$B76=""),0,IF(OR(N(对接源_01水果!$B76)&lt;$M$2,N(对接源_01水果!$B76)&gt;$M$3),0,1))</f>
        <v>0</v>
      </c>
      <c r="N76" s="1" t="n">
        <f aca="false">IF(OR($N$1="",对接源_01水果!$C76="",对接源_01水果!$C76&lt;&gt;$N$1,对接源_01水果!$B76=""),0,IF(OR(N(对接源_01水果!$B76)&lt;$N$2,N(对接源_01水果!$B76)&gt;$N$3),0,1))</f>
        <v>0</v>
      </c>
      <c r="P76" s="1" t="n">
        <f aca="false">IF(AND($K76=1,AND(对接源_01水果!$X76="公司筐",N(对接源_01水果!$T76)&lt;&gt;0)),1,0)</f>
        <v>0</v>
      </c>
      <c r="Q76" s="1" t="n">
        <f aca="false">N(Q75)+$P76</f>
        <v>0</v>
      </c>
      <c r="R76" s="1" t="n">
        <f aca="false">IF(AND($K76=1,AND(对接源_01水果!$X76="公司筐",N(对接源_01水果!$U76)&lt;&gt;0)),1,0)</f>
        <v>0</v>
      </c>
      <c r="S76" s="1" t="n">
        <f aca="false">N(S75)+$R76</f>
        <v>0</v>
      </c>
      <c r="T76" s="1" t="n">
        <f aca="false">IF(AND($K76=1,AND(对接源_01水果!$X76="公司筐",N(对接源_01水果!$V76)&lt;&gt;0)),1,0)</f>
        <v>0</v>
      </c>
      <c r="U76" s="1" t="n">
        <f aca="false">N(U75)+$T76</f>
        <v>18</v>
      </c>
      <c r="V76" s="1" t="n">
        <f aca="false">IF(AND($L76=1,AND(对接源_01水果!$X76="自备筐",N(对接源_01水果!$V76)&lt;&gt;0)),1,0)</f>
        <v>0</v>
      </c>
      <c r="W76" s="1" t="n">
        <f aca="false">N(W75)+$V76</f>
        <v>0</v>
      </c>
      <c r="X76" s="1" t="n">
        <f aca="false">IF(AND($L76=1,AND(对接源_01水果!$X76="自备筐",N(对接源_01水果!$T76)&lt;&gt;0)),1,0)</f>
        <v>0</v>
      </c>
      <c r="Y76" s="1" t="n">
        <f aca="false">N(Y75)+$X76</f>
        <v>0</v>
      </c>
      <c r="Z76" s="1" t="n">
        <f aca="false">IF(AND($M76=1,对接源_01水果!$D76="原料入库"),1,0)</f>
        <v>0</v>
      </c>
      <c r="AA76" s="1" t="n">
        <f aca="false">N(AA75)+$Z76</f>
        <v>20</v>
      </c>
      <c r="AB76" s="1" t="n">
        <f aca="false">IF(AND($M76=1,LEFT(对接源_01水果!$D76,4)="原料出库"),1,0)</f>
        <v>0</v>
      </c>
      <c r="AC76" s="1" t="n">
        <f aca="false">N(AC75)+$AB76</f>
        <v>0</v>
      </c>
      <c r="AD76" s="1" t="n">
        <f aca="false">IF(AND($M76=1,LEFT(对接源_01水果!$D76,4)="成品出库"),1,0)</f>
        <v>0</v>
      </c>
      <c r="AE76" s="1" t="n">
        <f aca="false">N(AE75)+$AD76</f>
        <v>0</v>
      </c>
      <c r="AF76" s="1" t="n">
        <f aca="false">IF(AND($N76=1,AND(LEFT(对接源_01水果!$D76,4)="包装物料",N(对接源_01水果!$K76)&lt;&gt;0)),1,0)</f>
        <v>0</v>
      </c>
      <c r="AG76" s="90" t="str">
        <f aca="false">IF(对接源_01水果!$AC76="","",对接源_01水果!$AC76)</f>
        <v/>
      </c>
      <c r="AH76" s="90" t="str">
        <f aca="false">IFERROR(INDEX($AG$4:$AG$1203,MATCH(ROW()-3,$AJ$4:$AJ$1203,0)),"")</f>
        <v/>
      </c>
      <c r="AI76" s="90" t="n">
        <f aca="false">IF(AG76="",0,IF(MATCH(AG76,$AG$4:$AG$1203,0)=ROW()-3,1,0))</f>
        <v>0</v>
      </c>
      <c r="AJ76" s="90" t="n">
        <f aca="false">N(AJ75)+AI76</f>
        <v>0</v>
      </c>
      <c r="AK76" s="1" t="n">
        <f aca="false">N(AK75)+$AJ76</f>
        <v>0</v>
      </c>
    </row>
    <row r="77" customFormat="false" ht="13.5" hidden="false" customHeight="false" outlineLevel="0" collapsed="false">
      <c r="A77" s="1" t="str">
        <f aca="false">IF(对接源_01水果!$C77="","",对接源_01水果!$C77)</f>
        <v>聂新平</v>
      </c>
      <c r="B77" s="1" t="n">
        <f aca="false">IF(A77="",0,IF(MATCH(A77,$A$4:$A$2403,0)=ROW()-3,1,0))</f>
        <v>0</v>
      </c>
      <c r="C77" s="1" t="n">
        <f aca="false">N(C76)+B77</f>
        <v>4</v>
      </c>
      <c r="E77" s="1" t="str">
        <f aca="false">IFERROR(INDEX($A$4:$A$2403,MATCH(ROW()-3,$C$4:$C$2403,0)),"")</f>
        <v/>
      </c>
      <c r="K77" s="1" t="n">
        <f aca="false">IF(OR($K$1="",对接源_01水果!$C77="",对接源_01水果!$C77&lt;&gt;$K$1,对接源_01水果!$B77=""),0,IF(OR(N(对接源_01水果!$B77)&lt;$K$2,N(对接源_01水果!$B77)&gt;$K$3),0,1))</f>
        <v>0</v>
      </c>
      <c r="L77" s="1" t="n">
        <f aca="false">IF(OR($L$1="",对接源_01水果!$C77="",对接源_01水果!$C77&lt;&gt;$L$1,对接源_01水果!$B77=""),0,IF(OR(N(对接源_01水果!$B77)&lt;$L$2,N(对接源_01水果!$B77)&gt;$L$3),0,1))</f>
        <v>0</v>
      </c>
      <c r="M77" s="1" t="n">
        <f aca="false">IF(OR($M$1="",对接源_01水果!$C77="",对接源_01水果!$C77&lt;&gt;$M$1,对接源_01水果!$B77=""),0,IF(OR(N(对接源_01水果!$B77)&lt;$M$2,N(对接源_01水果!$B77)&gt;$M$3),0,1))</f>
        <v>0</v>
      </c>
      <c r="N77" s="1" t="n">
        <f aca="false">IF(OR($N$1="",对接源_01水果!$C77="",对接源_01水果!$C77&lt;&gt;$N$1,对接源_01水果!$B77=""),0,IF(OR(N(对接源_01水果!$B77)&lt;$N$2,N(对接源_01水果!$B77)&gt;$N$3),0,1))</f>
        <v>0</v>
      </c>
      <c r="P77" s="1" t="n">
        <f aca="false">IF(AND($K77=1,AND(对接源_01水果!$X77="公司筐",N(对接源_01水果!$T77)&lt;&gt;0)),1,0)</f>
        <v>0</v>
      </c>
      <c r="Q77" s="1" t="n">
        <f aca="false">N(Q76)+$P77</f>
        <v>0</v>
      </c>
      <c r="R77" s="1" t="n">
        <f aca="false">IF(AND($K77=1,AND(对接源_01水果!$X77="公司筐",N(对接源_01水果!$U77)&lt;&gt;0)),1,0)</f>
        <v>0</v>
      </c>
      <c r="S77" s="1" t="n">
        <f aca="false">N(S76)+$R77</f>
        <v>0</v>
      </c>
      <c r="T77" s="1" t="n">
        <f aca="false">IF(AND($K77=1,AND(对接源_01水果!$X77="公司筐",N(对接源_01水果!$V77)&lt;&gt;0)),1,0)</f>
        <v>0</v>
      </c>
      <c r="U77" s="1" t="n">
        <f aca="false">N(U76)+$T77</f>
        <v>18</v>
      </c>
      <c r="V77" s="1" t="n">
        <f aca="false">IF(AND($L77=1,AND(对接源_01水果!$X77="自备筐",N(对接源_01水果!$V77)&lt;&gt;0)),1,0)</f>
        <v>0</v>
      </c>
      <c r="W77" s="1" t="n">
        <f aca="false">N(W76)+$V77</f>
        <v>0</v>
      </c>
      <c r="X77" s="1" t="n">
        <f aca="false">IF(AND($L77=1,AND(对接源_01水果!$X77="自备筐",N(对接源_01水果!$T77)&lt;&gt;0)),1,0)</f>
        <v>0</v>
      </c>
      <c r="Y77" s="1" t="n">
        <f aca="false">N(Y76)+$X77</f>
        <v>0</v>
      </c>
      <c r="Z77" s="1" t="n">
        <f aca="false">IF(AND($M77=1,对接源_01水果!$D77="原料入库"),1,0)</f>
        <v>0</v>
      </c>
      <c r="AA77" s="1" t="n">
        <f aca="false">N(AA76)+$Z77</f>
        <v>20</v>
      </c>
      <c r="AB77" s="1" t="n">
        <f aca="false">IF(AND($M77=1,LEFT(对接源_01水果!$D77,4)="原料出库"),1,0)</f>
        <v>0</v>
      </c>
      <c r="AC77" s="1" t="n">
        <f aca="false">N(AC76)+$AB77</f>
        <v>0</v>
      </c>
      <c r="AD77" s="1" t="n">
        <f aca="false">IF(AND($M77=1,LEFT(对接源_01水果!$D77,4)="成品出库"),1,0)</f>
        <v>0</v>
      </c>
      <c r="AE77" s="1" t="n">
        <f aca="false">N(AE76)+$AD77</f>
        <v>0</v>
      </c>
      <c r="AF77" s="1" t="n">
        <f aca="false">IF(AND($N77=1,AND(LEFT(对接源_01水果!$D77,4)="包装物料",N(对接源_01水果!$K77)&lt;&gt;0)),1,0)</f>
        <v>0</v>
      </c>
      <c r="AG77" s="90" t="str">
        <f aca="false">IF(对接源_01水果!$AC77="","",对接源_01水果!$AC77)</f>
        <v/>
      </c>
      <c r="AH77" s="90" t="str">
        <f aca="false">IFERROR(INDEX($AG$4:$AG$1203,MATCH(ROW()-3,$AJ$4:$AJ$1203,0)),"")</f>
        <v/>
      </c>
      <c r="AI77" s="90" t="n">
        <f aca="false">IF(AG77="",0,IF(MATCH(AG77,$AG$4:$AG$1203,0)=ROW()-3,1,0))</f>
        <v>0</v>
      </c>
      <c r="AJ77" s="90" t="n">
        <f aca="false">N(AJ76)+AI77</f>
        <v>0</v>
      </c>
      <c r="AK77" s="1" t="n">
        <f aca="false">N(AK76)+$AJ77</f>
        <v>0</v>
      </c>
    </row>
    <row r="78" customFormat="false" ht="13.5" hidden="false" customHeight="false" outlineLevel="0" collapsed="false">
      <c r="A78" s="1" t="str">
        <f aca="false">IF(对接源_01水果!$C78="","",对接源_01水果!$C78)</f>
        <v>聂新平</v>
      </c>
      <c r="B78" s="1" t="n">
        <f aca="false">IF(A78="",0,IF(MATCH(A78,$A$4:$A$2403,0)=ROW()-3,1,0))</f>
        <v>0</v>
      </c>
      <c r="C78" s="1" t="n">
        <f aca="false">N(C77)+B78</f>
        <v>4</v>
      </c>
      <c r="E78" s="1" t="str">
        <f aca="false">IFERROR(INDEX($A$4:$A$2403,MATCH(ROW()-3,$C$4:$C$2403,0)),"")</f>
        <v/>
      </c>
      <c r="K78" s="1" t="n">
        <f aca="false">IF(OR($K$1="",对接源_01水果!$C78="",对接源_01水果!$C78&lt;&gt;$K$1,对接源_01水果!$B78=""),0,IF(OR(N(对接源_01水果!$B78)&lt;$K$2,N(对接源_01水果!$B78)&gt;$K$3),0,1))</f>
        <v>0</v>
      </c>
      <c r="L78" s="1" t="n">
        <f aca="false">IF(OR($L$1="",对接源_01水果!$C78="",对接源_01水果!$C78&lt;&gt;$L$1,对接源_01水果!$B78=""),0,IF(OR(N(对接源_01水果!$B78)&lt;$L$2,N(对接源_01水果!$B78)&gt;$L$3),0,1))</f>
        <v>0</v>
      </c>
      <c r="M78" s="1" t="n">
        <f aca="false">IF(OR($M$1="",对接源_01水果!$C78="",对接源_01水果!$C78&lt;&gt;$M$1,对接源_01水果!$B78=""),0,IF(OR(N(对接源_01水果!$B78)&lt;$M$2,N(对接源_01水果!$B78)&gt;$M$3),0,1))</f>
        <v>0</v>
      </c>
      <c r="N78" s="1" t="n">
        <f aca="false">IF(OR($N$1="",对接源_01水果!$C78="",对接源_01水果!$C78&lt;&gt;$N$1,对接源_01水果!$B78=""),0,IF(OR(N(对接源_01水果!$B78)&lt;$N$2,N(对接源_01水果!$B78)&gt;$N$3),0,1))</f>
        <v>0</v>
      </c>
      <c r="P78" s="1" t="n">
        <f aca="false">IF(AND($K78=1,AND(对接源_01水果!$X78="公司筐",N(对接源_01水果!$T78)&lt;&gt;0)),1,0)</f>
        <v>0</v>
      </c>
      <c r="Q78" s="1" t="n">
        <f aca="false">N(Q77)+$P78</f>
        <v>0</v>
      </c>
      <c r="R78" s="1" t="n">
        <f aca="false">IF(AND($K78=1,AND(对接源_01水果!$X78="公司筐",N(对接源_01水果!$U78)&lt;&gt;0)),1,0)</f>
        <v>0</v>
      </c>
      <c r="S78" s="1" t="n">
        <f aca="false">N(S77)+$R78</f>
        <v>0</v>
      </c>
      <c r="T78" s="1" t="n">
        <f aca="false">IF(AND($K78=1,AND(对接源_01水果!$X78="公司筐",N(对接源_01水果!$V78)&lt;&gt;0)),1,0)</f>
        <v>0</v>
      </c>
      <c r="U78" s="1" t="n">
        <f aca="false">N(U77)+$T78</f>
        <v>18</v>
      </c>
      <c r="V78" s="1" t="n">
        <f aca="false">IF(AND($L78=1,AND(对接源_01水果!$X78="自备筐",N(对接源_01水果!$V78)&lt;&gt;0)),1,0)</f>
        <v>0</v>
      </c>
      <c r="W78" s="1" t="n">
        <f aca="false">N(W77)+$V78</f>
        <v>0</v>
      </c>
      <c r="X78" s="1" t="n">
        <f aca="false">IF(AND($L78=1,AND(对接源_01水果!$X78="自备筐",N(对接源_01水果!$T78)&lt;&gt;0)),1,0)</f>
        <v>0</v>
      </c>
      <c r="Y78" s="1" t="n">
        <f aca="false">N(Y77)+$X78</f>
        <v>0</v>
      </c>
      <c r="Z78" s="1" t="n">
        <f aca="false">IF(AND($M78=1,对接源_01水果!$D78="原料入库"),1,0)</f>
        <v>0</v>
      </c>
      <c r="AA78" s="1" t="n">
        <f aca="false">N(AA77)+$Z78</f>
        <v>20</v>
      </c>
      <c r="AB78" s="1" t="n">
        <f aca="false">IF(AND($M78=1,LEFT(对接源_01水果!$D78,4)="原料出库"),1,0)</f>
        <v>0</v>
      </c>
      <c r="AC78" s="1" t="n">
        <f aca="false">N(AC77)+$AB78</f>
        <v>0</v>
      </c>
      <c r="AD78" s="1" t="n">
        <f aca="false">IF(AND($M78=1,LEFT(对接源_01水果!$D78,4)="成品出库"),1,0)</f>
        <v>0</v>
      </c>
      <c r="AE78" s="1" t="n">
        <f aca="false">N(AE77)+$AD78</f>
        <v>0</v>
      </c>
      <c r="AF78" s="1" t="n">
        <f aca="false">IF(AND($N78=1,AND(LEFT(对接源_01水果!$D78,4)="包装物料",N(对接源_01水果!$K78)&lt;&gt;0)),1,0)</f>
        <v>0</v>
      </c>
      <c r="AG78" s="90" t="str">
        <f aca="false">IF(对接源_01水果!$AC78="","",对接源_01水果!$AC78)</f>
        <v/>
      </c>
      <c r="AH78" s="90" t="str">
        <f aca="false">IFERROR(INDEX($AG$4:$AG$1203,MATCH(ROW()-3,$AJ$4:$AJ$1203,0)),"")</f>
        <v/>
      </c>
      <c r="AI78" s="90" t="n">
        <f aca="false">IF(AG78="",0,IF(MATCH(AG78,$AG$4:$AG$1203,0)=ROW()-3,1,0))</f>
        <v>0</v>
      </c>
      <c r="AJ78" s="90" t="n">
        <f aca="false">N(AJ77)+AI78</f>
        <v>0</v>
      </c>
      <c r="AK78" s="1" t="n">
        <f aca="false">N(AK77)+$AJ78</f>
        <v>0</v>
      </c>
    </row>
    <row r="79" customFormat="false" ht="13.5" hidden="false" customHeight="false" outlineLevel="0" collapsed="false">
      <c r="A79" s="1" t="str">
        <f aca="false">IF(对接源_01水果!$C79="","",对接源_01水果!$C79)</f>
        <v>聂新平</v>
      </c>
      <c r="B79" s="1" t="n">
        <f aca="false">IF(A79="",0,IF(MATCH(A79,$A$4:$A$2403,0)=ROW()-3,1,0))</f>
        <v>0</v>
      </c>
      <c r="C79" s="1" t="n">
        <f aca="false">N(C78)+B79</f>
        <v>4</v>
      </c>
      <c r="E79" s="1" t="str">
        <f aca="false">IFERROR(INDEX($A$4:$A$2403,MATCH(ROW()-3,$C$4:$C$2403,0)),"")</f>
        <v/>
      </c>
      <c r="K79" s="1" t="n">
        <f aca="false">IF(OR($K$1="",对接源_01水果!$C79="",对接源_01水果!$C79&lt;&gt;$K$1,对接源_01水果!$B79=""),0,IF(OR(N(对接源_01水果!$B79)&lt;$K$2,N(对接源_01水果!$B79)&gt;$K$3),0,1))</f>
        <v>0</v>
      </c>
      <c r="L79" s="1" t="n">
        <f aca="false">IF(OR($L$1="",对接源_01水果!$C79="",对接源_01水果!$C79&lt;&gt;$L$1,对接源_01水果!$B79=""),0,IF(OR(N(对接源_01水果!$B79)&lt;$L$2,N(对接源_01水果!$B79)&gt;$L$3),0,1))</f>
        <v>0</v>
      </c>
      <c r="M79" s="1" t="n">
        <f aca="false">IF(OR($M$1="",对接源_01水果!$C79="",对接源_01水果!$C79&lt;&gt;$M$1,对接源_01水果!$B79=""),0,IF(OR(N(对接源_01水果!$B79)&lt;$M$2,N(对接源_01水果!$B79)&gt;$M$3),0,1))</f>
        <v>0</v>
      </c>
      <c r="N79" s="1" t="n">
        <f aca="false">IF(OR($N$1="",对接源_01水果!$C79="",对接源_01水果!$C79&lt;&gt;$N$1,对接源_01水果!$B79=""),0,IF(OR(N(对接源_01水果!$B79)&lt;$N$2,N(对接源_01水果!$B79)&gt;$N$3),0,1))</f>
        <v>0</v>
      </c>
      <c r="P79" s="1" t="n">
        <f aca="false">IF(AND($K79=1,AND(对接源_01水果!$X79="公司筐",N(对接源_01水果!$T79)&lt;&gt;0)),1,0)</f>
        <v>0</v>
      </c>
      <c r="Q79" s="1" t="n">
        <f aca="false">N(Q78)+$P79</f>
        <v>0</v>
      </c>
      <c r="R79" s="1" t="n">
        <f aca="false">IF(AND($K79=1,AND(对接源_01水果!$X79="公司筐",N(对接源_01水果!$U79)&lt;&gt;0)),1,0)</f>
        <v>0</v>
      </c>
      <c r="S79" s="1" t="n">
        <f aca="false">N(S78)+$R79</f>
        <v>0</v>
      </c>
      <c r="T79" s="1" t="n">
        <f aca="false">IF(AND($K79=1,AND(对接源_01水果!$X79="公司筐",N(对接源_01水果!$V79)&lt;&gt;0)),1,0)</f>
        <v>0</v>
      </c>
      <c r="U79" s="1" t="n">
        <f aca="false">N(U78)+$T79</f>
        <v>18</v>
      </c>
      <c r="V79" s="1" t="n">
        <f aca="false">IF(AND($L79=1,AND(对接源_01水果!$X79="自备筐",N(对接源_01水果!$V79)&lt;&gt;0)),1,0)</f>
        <v>0</v>
      </c>
      <c r="W79" s="1" t="n">
        <f aca="false">N(W78)+$V79</f>
        <v>0</v>
      </c>
      <c r="X79" s="1" t="n">
        <f aca="false">IF(AND($L79=1,AND(对接源_01水果!$X79="自备筐",N(对接源_01水果!$T79)&lt;&gt;0)),1,0)</f>
        <v>0</v>
      </c>
      <c r="Y79" s="1" t="n">
        <f aca="false">N(Y78)+$X79</f>
        <v>0</v>
      </c>
      <c r="Z79" s="1" t="n">
        <f aca="false">IF(AND($M79=1,对接源_01水果!$D79="原料入库"),1,0)</f>
        <v>0</v>
      </c>
      <c r="AA79" s="1" t="n">
        <f aca="false">N(AA78)+$Z79</f>
        <v>20</v>
      </c>
      <c r="AB79" s="1" t="n">
        <f aca="false">IF(AND($M79=1,LEFT(对接源_01水果!$D79,4)="原料出库"),1,0)</f>
        <v>0</v>
      </c>
      <c r="AC79" s="1" t="n">
        <f aca="false">N(AC78)+$AB79</f>
        <v>0</v>
      </c>
      <c r="AD79" s="1" t="n">
        <f aca="false">IF(AND($M79=1,LEFT(对接源_01水果!$D79,4)="成品出库"),1,0)</f>
        <v>0</v>
      </c>
      <c r="AE79" s="1" t="n">
        <f aca="false">N(AE78)+$AD79</f>
        <v>0</v>
      </c>
      <c r="AF79" s="1" t="n">
        <f aca="false">IF(AND($N79=1,AND(LEFT(对接源_01水果!$D79,4)="包装物料",N(对接源_01水果!$K79)&lt;&gt;0)),1,0)</f>
        <v>0</v>
      </c>
      <c r="AG79" s="90" t="str">
        <f aca="false">IF(对接源_01水果!$AC79="","",对接源_01水果!$AC79)</f>
        <v/>
      </c>
      <c r="AH79" s="90" t="str">
        <f aca="false">IFERROR(INDEX($AG$4:$AG$1203,MATCH(ROW()-3,$AJ$4:$AJ$1203,0)),"")</f>
        <v/>
      </c>
      <c r="AI79" s="90" t="n">
        <f aca="false">IF(AG79="",0,IF(MATCH(AG79,$AG$4:$AG$1203,0)=ROW()-3,1,0))</f>
        <v>0</v>
      </c>
      <c r="AJ79" s="90" t="n">
        <f aca="false">N(AJ78)+AI79</f>
        <v>0</v>
      </c>
      <c r="AK79" s="1" t="n">
        <f aca="false">N(AK78)+$AJ79</f>
        <v>0</v>
      </c>
    </row>
    <row r="80" customFormat="false" ht="13.5" hidden="false" customHeight="false" outlineLevel="0" collapsed="false">
      <c r="A80" s="1" t="str">
        <f aca="false">IF(对接源_01水果!$C80="","",对接源_01水果!$C80)</f>
        <v>聂新平</v>
      </c>
      <c r="B80" s="1" t="n">
        <f aca="false">IF(A80="",0,IF(MATCH(A80,$A$4:$A$2403,0)=ROW()-3,1,0))</f>
        <v>0</v>
      </c>
      <c r="C80" s="1" t="n">
        <f aca="false">N(C79)+B80</f>
        <v>4</v>
      </c>
      <c r="E80" s="1" t="str">
        <f aca="false">IFERROR(INDEX($A$4:$A$2403,MATCH(ROW()-3,$C$4:$C$2403,0)),"")</f>
        <v/>
      </c>
      <c r="K80" s="1" t="n">
        <f aca="false">IF(OR($K$1="",对接源_01水果!$C80="",对接源_01水果!$C80&lt;&gt;$K$1,对接源_01水果!$B80=""),0,IF(OR(N(对接源_01水果!$B80)&lt;$K$2,N(对接源_01水果!$B80)&gt;$K$3),0,1))</f>
        <v>0</v>
      </c>
      <c r="L80" s="1" t="n">
        <f aca="false">IF(OR($L$1="",对接源_01水果!$C80="",对接源_01水果!$C80&lt;&gt;$L$1,对接源_01水果!$B80=""),0,IF(OR(N(对接源_01水果!$B80)&lt;$L$2,N(对接源_01水果!$B80)&gt;$L$3),0,1))</f>
        <v>0</v>
      </c>
      <c r="M80" s="1" t="n">
        <f aca="false">IF(OR($M$1="",对接源_01水果!$C80="",对接源_01水果!$C80&lt;&gt;$M$1,对接源_01水果!$B80=""),0,IF(OR(N(对接源_01水果!$B80)&lt;$M$2,N(对接源_01水果!$B80)&gt;$M$3),0,1))</f>
        <v>0</v>
      </c>
      <c r="N80" s="1" t="n">
        <f aca="false">IF(OR($N$1="",对接源_01水果!$C80="",对接源_01水果!$C80&lt;&gt;$N$1,对接源_01水果!$B80=""),0,IF(OR(N(对接源_01水果!$B80)&lt;$N$2,N(对接源_01水果!$B80)&gt;$N$3),0,1))</f>
        <v>0</v>
      </c>
      <c r="P80" s="1" t="n">
        <f aca="false">IF(AND($K80=1,AND(对接源_01水果!$X80="公司筐",N(对接源_01水果!$T80)&lt;&gt;0)),1,0)</f>
        <v>0</v>
      </c>
      <c r="Q80" s="1" t="n">
        <f aca="false">N(Q79)+$P80</f>
        <v>0</v>
      </c>
      <c r="R80" s="1" t="n">
        <f aca="false">IF(AND($K80=1,AND(对接源_01水果!$X80="公司筐",N(对接源_01水果!$U80)&lt;&gt;0)),1,0)</f>
        <v>0</v>
      </c>
      <c r="S80" s="1" t="n">
        <f aca="false">N(S79)+$R80</f>
        <v>0</v>
      </c>
      <c r="T80" s="1" t="n">
        <f aca="false">IF(AND($K80=1,AND(对接源_01水果!$X80="公司筐",N(对接源_01水果!$V80)&lt;&gt;0)),1,0)</f>
        <v>0</v>
      </c>
      <c r="U80" s="1" t="n">
        <f aca="false">N(U79)+$T80</f>
        <v>18</v>
      </c>
      <c r="V80" s="1" t="n">
        <f aca="false">IF(AND($L80=1,AND(对接源_01水果!$X80="自备筐",N(对接源_01水果!$V80)&lt;&gt;0)),1,0)</f>
        <v>0</v>
      </c>
      <c r="W80" s="1" t="n">
        <f aca="false">N(W79)+$V80</f>
        <v>0</v>
      </c>
      <c r="X80" s="1" t="n">
        <f aca="false">IF(AND($L80=1,AND(对接源_01水果!$X80="自备筐",N(对接源_01水果!$T80)&lt;&gt;0)),1,0)</f>
        <v>0</v>
      </c>
      <c r="Y80" s="1" t="n">
        <f aca="false">N(Y79)+$X80</f>
        <v>0</v>
      </c>
      <c r="Z80" s="1" t="n">
        <f aca="false">IF(AND($M80=1,对接源_01水果!$D80="原料入库"),1,0)</f>
        <v>0</v>
      </c>
      <c r="AA80" s="1" t="n">
        <f aca="false">N(AA79)+$Z80</f>
        <v>20</v>
      </c>
      <c r="AB80" s="1" t="n">
        <f aca="false">IF(AND($M80=1,LEFT(对接源_01水果!$D80,4)="原料出库"),1,0)</f>
        <v>0</v>
      </c>
      <c r="AC80" s="1" t="n">
        <f aca="false">N(AC79)+$AB80</f>
        <v>0</v>
      </c>
      <c r="AD80" s="1" t="n">
        <f aca="false">IF(AND($M80=1,LEFT(对接源_01水果!$D80,4)="成品出库"),1,0)</f>
        <v>0</v>
      </c>
      <c r="AE80" s="1" t="n">
        <f aca="false">N(AE79)+$AD80</f>
        <v>0</v>
      </c>
      <c r="AF80" s="1" t="n">
        <f aca="false">IF(AND($N80=1,AND(LEFT(对接源_01水果!$D80,4)="包装物料",N(对接源_01水果!$K80)&lt;&gt;0)),1,0)</f>
        <v>0</v>
      </c>
      <c r="AG80" s="90" t="str">
        <f aca="false">IF(对接源_01水果!$AC80="","",对接源_01水果!$AC80)</f>
        <v/>
      </c>
      <c r="AH80" s="90" t="str">
        <f aca="false">IFERROR(INDEX($AG$4:$AG$1203,MATCH(ROW()-3,$AJ$4:$AJ$1203,0)),"")</f>
        <v/>
      </c>
      <c r="AI80" s="90" t="n">
        <f aca="false">IF(AG80="",0,IF(MATCH(AG80,$AG$4:$AG$1203,0)=ROW()-3,1,0))</f>
        <v>0</v>
      </c>
      <c r="AJ80" s="90" t="n">
        <f aca="false">N(AJ79)+AI80</f>
        <v>0</v>
      </c>
      <c r="AK80" s="1" t="n">
        <f aca="false">N(AK79)+$AJ80</f>
        <v>0</v>
      </c>
    </row>
    <row r="81" customFormat="false" ht="13.5" hidden="false" customHeight="false" outlineLevel="0" collapsed="false">
      <c r="A81" s="1" t="str">
        <f aca="false">IF(对接源_01水果!$C81="","",对接源_01水果!$C81)</f>
        <v>聂新平</v>
      </c>
      <c r="B81" s="1" t="n">
        <f aca="false">IF(A81="",0,IF(MATCH(A81,$A$4:$A$2403,0)=ROW()-3,1,0))</f>
        <v>0</v>
      </c>
      <c r="C81" s="1" t="n">
        <f aca="false">N(C80)+B81</f>
        <v>4</v>
      </c>
      <c r="E81" s="1" t="str">
        <f aca="false">IFERROR(INDEX($A$4:$A$2403,MATCH(ROW()-3,$C$4:$C$2403,0)),"")</f>
        <v/>
      </c>
      <c r="K81" s="1" t="n">
        <f aca="false">IF(OR($K$1="",对接源_01水果!$C81="",对接源_01水果!$C81&lt;&gt;$K$1,对接源_01水果!$B81=""),0,IF(OR(N(对接源_01水果!$B81)&lt;$K$2,N(对接源_01水果!$B81)&gt;$K$3),0,1))</f>
        <v>0</v>
      </c>
      <c r="L81" s="1" t="n">
        <f aca="false">IF(OR($L$1="",对接源_01水果!$C81="",对接源_01水果!$C81&lt;&gt;$L$1,对接源_01水果!$B81=""),0,IF(OR(N(对接源_01水果!$B81)&lt;$L$2,N(对接源_01水果!$B81)&gt;$L$3),0,1))</f>
        <v>0</v>
      </c>
      <c r="M81" s="1" t="n">
        <f aca="false">IF(OR($M$1="",对接源_01水果!$C81="",对接源_01水果!$C81&lt;&gt;$M$1,对接源_01水果!$B81=""),0,IF(OR(N(对接源_01水果!$B81)&lt;$M$2,N(对接源_01水果!$B81)&gt;$M$3),0,1))</f>
        <v>0</v>
      </c>
      <c r="N81" s="1" t="n">
        <f aca="false">IF(OR($N$1="",对接源_01水果!$C81="",对接源_01水果!$C81&lt;&gt;$N$1,对接源_01水果!$B81=""),0,IF(OR(N(对接源_01水果!$B81)&lt;$N$2,N(对接源_01水果!$B81)&gt;$N$3),0,1))</f>
        <v>0</v>
      </c>
      <c r="P81" s="1" t="n">
        <f aca="false">IF(AND($K81=1,AND(对接源_01水果!$X81="公司筐",N(对接源_01水果!$T81)&lt;&gt;0)),1,0)</f>
        <v>0</v>
      </c>
      <c r="Q81" s="1" t="n">
        <f aca="false">N(Q80)+$P81</f>
        <v>0</v>
      </c>
      <c r="R81" s="1" t="n">
        <f aca="false">IF(AND($K81=1,AND(对接源_01水果!$X81="公司筐",N(对接源_01水果!$U81)&lt;&gt;0)),1,0)</f>
        <v>0</v>
      </c>
      <c r="S81" s="1" t="n">
        <f aca="false">N(S80)+$R81</f>
        <v>0</v>
      </c>
      <c r="T81" s="1" t="n">
        <f aca="false">IF(AND($K81=1,AND(对接源_01水果!$X81="公司筐",N(对接源_01水果!$V81)&lt;&gt;0)),1,0)</f>
        <v>0</v>
      </c>
      <c r="U81" s="1" t="n">
        <f aca="false">N(U80)+$T81</f>
        <v>18</v>
      </c>
      <c r="V81" s="1" t="n">
        <f aca="false">IF(AND($L81=1,AND(对接源_01水果!$X81="自备筐",N(对接源_01水果!$V81)&lt;&gt;0)),1,0)</f>
        <v>0</v>
      </c>
      <c r="W81" s="1" t="n">
        <f aca="false">N(W80)+$V81</f>
        <v>0</v>
      </c>
      <c r="X81" s="1" t="n">
        <f aca="false">IF(AND($L81=1,AND(对接源_01水果!$X81="自备筐",N(对接源_01水果!$T81)&lt;&gt;0)),1,0)</f>
        <v>0</v>
      </c>
      <c r="Y81" s="1" t="n">
        <f aca="false">N(Y80)+$X81</f>
        <v>0</v>
      </c>
      <c r="Z81" s="1" t="n">
        <f aca="false">IF(AND($M81=1,对接源_01水果!$D81="原料入库"),1,0)</f>
        <v>0</v>
      </c>
      <c r="AA81" s="1" t="n">
        <f aca="false">N(AA80)+$Z81</f>
        <v>20</v>
      </c>
      <c r="AB81" s="1" t="n">
        <f aca="false">IF(AND($M81=1,LEFT(对接源_01水果!$D81,4)="原料出库"),1,0)</f>
        <v>0</v>
      </c>
      <c r="AC81" s="1" t="n">
        <f aca="false">N(AC80)+$AB81</f>
        <v>0</v>
      </c>
      <c r="AD81" s="1" t="n">
        <f aca="false">IF(AND($M81=1,LEFT(对接源_01水果!$D81,4)="成品出库"),1,0)</f>
        <v>0</v>
      </c>
      <c r="AE81" s="1" t="n">
        <f aca="false">N(AE80)+$AD81</f>
        <v>0</v>
      </c>
      <c r="AF81" s="1" t="n">
        <f aca="false">IF(AND($N81=1,AND(LEFT(对接源_01水果!$D81,4)="包装物料",N(对接源_01水果!$K81)&lt;&gt;0)),1,0)</f>
        <v>0</v>
      </c>
      <c r="AG81" s="90" t="str">
        <f aca="false">IF(对接源_01水果!$AC81="","",对接源_01水果!$AC81)</f>
        <v/>
      </c>
      <c r="AH81" s="90" t="str">
        <f aca="false">IFERROR(INDEX($AG$4:$AG$1203,MATCH(ROW()-3,$AJ$4:$AJ$1203,0)),"")</f>
        <v/>
      </c>
      <c r="AI81" s="90" t="n">
        <f aca="false">IF(AG81="",0,IF(MATCH(AG81,$AG$4:$AG$1203,0)=ROW()-3,1,0))</f>
        <v>0</v>
      </c>
      <c r="AJ81" s="90" t="n">
        <f aca="false">N(AJ80)+AI81</f>
        <v>0</v>
      </c>
      <c r="AK81" s="1" t="n">
        <f aca="false">N(AK80)+$AJ81</f>
        <v>0</v>
      </c>
    </row>
    <row r="82" customFormat="false" ht="13.5" hidden="false" customHeight="false" outlineLevel="0" collapsed="false">
      <c r="A82" s="1" t="str">
        <f aca="false">IF(对接源_01水果!$C82="","",对接源_01水果!$C82)</f>
        <v>聂新平</v>
      </c>
      <c r="B82" s="1" t="n">
        <f aca="false">IF(A82="",0,IF(MATCH(A82,$A$4:$A$2403,0)=ROW()-3,1,0))</f>
        <v>0</v>
      </c>
      <c r="C82" s="1" t="n">
        <f aca="false">N(C81)+B82</f>
        <v>4</v>
      </c>
      <c r="E82" s="1" t="str">
        <f aca="false">IFERROR(INDEX($A$4:$A$2403,MATCH(ROW()-3,$C$4:$C$2403,0)),"")</f>
        <v/>
      </c>
      <c r="K82" s="1" t="n">
        <f aca="false">IF(OR($K$1="",对接源_01水果!$C82="",对接源_01水果!$C82&lt;&gt;$K$1,对接源_01水果!$B82=""),0,IF(OR(N(对接源_01水果!$B82)&lt;$K$2,N(对接源_01水果!$B82)&gt;$K$3),0,1))</f>
        <v>0</v>
      </c>
      <c r="L82" s="1" t="n">
        <f aca="false">IF(OR($L$1="",对接源_01水果!$C82="",对接源_01水果!$C82&lt;&gt;$L$1,对接源_01水果!$B82=""),0,IF(OR(N(对接源_01水果!$B82)&lt;$L$2,N(对接源_01水果!$B82)&gt;$L$3),0,1))</f>
        <v>0</v>
      </c>
      <c r="M82" s="1" t="n">
        <f aca="false">IF(OR($M$1="",对接源_01水果!$C82="",对接源_01水果!$C82&lt;&gt;$M$1,对接源_01水果!$B82=""),0,IF(OR(N(对接源_01水果!$B82)&lt;$M$2,N(对接源_01水果!$B82)&gt;$M$3),0,1))</f>
        <v>0</v>
      </c>
      <c r="N82" s="1" t="n">
        <f aca="false">IF(OR($N$1="",对接源_01水果!$C82="",对接源_01水果!$C82&lt;&gt;$N$1,对接源_01水果!$B82=""),0,IF(OR(N(对接源_01水果!$B82)&lt;$N$2,N(对接源_01水果!$B82)&gt;$N$3),0,1))</f>
        <v>0</v>
      </c>
      <c r="P82" s="1" t="n">
        <f aca="false">IF(AND($K82=1,AND(对接源_01水果!$X82="公司筐",N(对接源_01水果!$T82)&lt;&gt;0)),1,0)</f>
        <v>0</v>
      </c>
      <c r="Q82" s="1" t="n">
        <f aca="false">N(Q81)+$P82</f>
        <v>0</v>
      </c>
      <c r="R82" s="1" t="n">
        <f aca="false">IF(AND($K82=1,AND(对接源_01水果!$X82="公司筐",N(对接源_01水果!$U82)&lt;&gt;0)),1,0)</f>
        <v>0</v>
      </c>
      <c r="S82" s="1" t="n">
        <f aca="false">N(S81)+$R82</f>
        <v>0</v>
      </c>
      <c r="T82" s="1" t="n">
        <f aca="false">IF(AND($K82=1,AND(对接源_01水果!$X82="公司筐",N(对接源_01水果!$V82)&lt;&gt;0)),1,0)</f>
        <v>0</v>
      </c>
      <c r="U82" s="1" t="n">
        <f aca="false">N(U81)+$T82</f>
        <v>18</v>
      </c>
      <c r="V82" s="1" t="n">
        <f aca="false">IF(AND($L82=1,AND(对接源_01水果!$X82="自备筐",N(对接源_01水果!$V82)&lt;&gt;0)),1,0)</f>
        <v>0</v>
      </c>
      <c r="W82" s="1" t="n">
        <f aca="false">N(W81)+$V82</f>
        <v>0</v>
      </c>
      <c r="X82" s="1" t="n">
        <f aca="false">IF(AND($L82=1,AND(对接源_01水果!$X82="自备筐",N(对接源_01水果!$T82)&lt;&gt;0)),1,0)</f>
        <v>0</v>
      </c>
      <c r="Y82" s="1" t="n">
        <f aca="false">N(Y81)+$X82</f>
        <v>0</v>
      </c>
      <c r="Z82" s="1" t="n">
        <f aca="false">IF(AND($M82=1,对接源_01水果!$D82="原料入库"),1,0)</f>
        <v>0</v>
      </c>
      <c r="AA82" s="1" t="n">
        <f aca="false">N(AA81)+$Z82</f>
        <v>20</v>
      </c>
      <c r="AB82" s="1" t="n">
        <f aca="false">IF(AND($M82=1,LEFT(对接源_01水果!$D82,4)="原料出库"),1,0)</f>
        <v>0</v>
      </c>
      <c r="AC82" s="1" t="n">
        <f aca="false">N(AC81)+$AB82</f>
        <v>0</v>
      </c>
      <c r="AD82" s="1" t="n">
        <f aca="false">IF(AND($M82=1,LEFT(对接源_01水果!$D82,4)="成品出库"),1,0)</f>
        <v>0</v>
      </c>
      <c r="AE82" s="1" t="n">
        <f aca="false">N(AE81)+$AD82</f>
        <v>0</v>
      </c>
      <c r="AF82" s="1" t="n">
        <f aca="false">IF(AND($N82=1,AND(LEFT(对接源_01水果!$D82,4)="包装物料",N(对接源_01水果!$K82)&lt;&gt;0)),1,0)</f>
        <v>0</v>
      </c>
      <c r="AG82" s="90" t="str">
        <f aca="false">IF(对接源_01水果!$AC82="","",对接源_01水果!$AC82)</f>
        <v/>
      </c>
      <c r="AH82" s="90" t="str">
        <f aca="false">IFERROR(INDEX($AG$4:$AG$1203,MATCH(ROW()-3,$AJ$4:$AJ$1203,0)),"")</f>
        <v/>
      </c>
      <c r="AI82" s="90" t="n">
        <f aca="false">IF(AG82="",0,IF(MATCH(AG82,$AG$4:$AG$1203,0)=ROW()-3,1,0))</f>
        <v>0</v>
      </c>
      <c r="AJ82" s="90" t="n">
        <f aca="false">N(AJ81)+AI82</f>
        <v>0</v>
      </c>
      <c r="AK82" s="1" t="n">
        <f aca="false">N(AK81)+$AJ82</f>
        <v>0</v>
      </c>
    </row>
    <row r="83" customFormat="false" ht="13.5" hidden="false" customHeight="false" outlineLevel="0" collapsed="false">
      <c r="A83" s="1" t="str">
        <f aca="false">IF(对接源_01水果!$C83="","",对接源_01水果!$C83)</f>
        <v>聂新平</v>
      </c>
      <c r="B83" s="1" t="n">
        <f aca="false">IF(A83="",0,IF(MATCH(A83,$A$4:$A$2403,0)=ROW()-3,1,0))</f>
        <v>0</v>
      </c>
      <c r="C83" s="1" t="n">
        <f aca="false">N(C82)+B83</f>
        <v>4</v>
      </c>
      <c r="E83" s="1" t="str">
        <f aca="false">IFERROR(INDEX($A$4:$A$2403,MATCH(ROW()-3,$C$4:$C$2403,0)),"")</f>
        <v/>
      </c>
      <c r="K83" s="1" t="n">
        <f aca="false">IF(OR($K$1="",对接源_01水果!$C83="",对接源_01水果!$C83&lt;&gt;$K$1,对接源_01水果!$B83=""),0,IF(OR(N(对接源_01水果!$B83)&lt;$K$2,N(对接源_01水果!$B83)&gt;$K$3),0,1))</f>
        <v>0</v>
      </c>
      <c r="L83" s="1" t="n">
        <f aca="false">IF(OR($L$1="",对接源_01水果!$C83="",对接源_01水果!$C83&lt;&gt;$L$1,对接源_01水果!$B83=""),0,IF(OR(N(对接源_01水果!$B83)&lt;$L$2,N(对接源_01水果!$B83)&gt;$L$3),0,1))</f>
        <v>0</v>
      </c>
      <c r="M83" s="1" t="n">
        <f aca="false">IF(OR($M$1="",对接源_01水果!$C83="",对接源_01水果!$C83&lt;&gt;$M$1,对接源_01水果!$B83=""),0,IF(OR(N(对接源_01水果!$B83)&lt;$M$2,N(对接源_01水果!$B83)&gt;$M$3),0,1))</f>
        <v>0</v>
      </c>
      <c r="N83" s="1" t="n">
        <f aca="false">IF(OR($N$1="",对接源_01水果!$C83="",对接源_01水果!$C83&lt;&gt;$N$1,对接源_01水果!$B83=""),0,IF(OR(N(对接源_01水果!$B83)&lt;$N$2,N(对接源_01水果!$B83)&gt;$N$3),0,1))</f>
        <v>0</v>
      </c>
      <c r="P83" s="1" t="n">
        <f aca="false">IF(AND($K83=1,AND(对接源_01水果!$X83="公司筐",N(对接源_01水果!$T83)&lt;&gt;0)),1,0)</f>
        <v>0</v>
      </c>
      <c r="Q83" s="1" t="n">
        <f aca="false">N(Q82)+$P83</f>
        <v>0</v>
      </c>
      <c r="R83" s="1" t="n">
        <f aca="false">IF(AND($K83=1,AND(对接源_01水果!$X83="公司筐",N(对接源_01水果!$U83)&lt;&gt;0)),1,0)</f>
        <v>0</v>
      </c>
      <c r="S83" s="1" t="n">
        <f aca="false">N(S82)+$R83</f>
        <v>0</v>
      </c>
      <c r="T83" s="1" t="n">
        <f aca="false">IF(AND($K83=1,AND(对接源_01水果!$X83="公司筐",N(对接源_01水果!$V83)&lt;&gt;0)),1,0)</f>
        <v>0</v>
      </c>
      <c r="U83" s="1" t="n">
        <f aca="false">N(U82)+$T83</f>
        <v>18</v>
      </c>
      <c r="V83" s="1" t="n">
        <f aca="false">IF(AND($L83=1,AND(对接源_01水果!$X83="自备筐",N(对接源_01水果!$V83)&lt;&gt;0)),1,0)</f>
        <v>0</v>
      </c>
      <c r="W83" s="1" t="n">
        <f aca="false">N(W82)+$V83</f>
        <v>0</v>
      </c>
      <c r="X83" s="1" t="n">
        <f aca="false">IF(AND($L83=1,AND(对接源_01水果!$X83="自备筐",N(对接源_01水果!$T83)&lt;&gt;0)),1,0)</f>
        <v>0</v>
      </c>
      <c r="Y83" s="1" t="n">
        <f aca="false">N(Y82)+$X83</f>
        <v>0</v>
      </c>
      <c r="Z83" s="1" t="n">
        <f aca="false">IF(AND($M83=1,对接源_01水果!$D83="原料入库"),1,0)</f>
        <v>0</v>
      </c>
      <c r="AA83" s="1" t="n">
        <f aca="false">N(AA82)+$Z83</f>
        <v>20</v>
      </c>
      <c r="AB83" s="1" t="n">
        <f aca="false">IF(AND($M83=1,LEFT(对接源_01水果!$D83,4)="原料出库"),1,0)</f>
        <v>0</v>
      </c>
      <c r="AC83" s="1" t="n">
        <f aca="false">N(AC82)+$AB83</f>
        <v>0</v>
      </c>
      <c r="AD83" s="1" t="n">
        <f aca="false">IF(AND($M83=1,LEFT(对接源_01水果!$D83,4)="成品出库"),1,0)</f>
        <v>0</v>
      </c>
      <c r="AE83" s="1" t="n">
        <f aca="false">N(AE82)+$AD83</f>
        <v>0</v>
      </c>
      <c r="AF83" s="1" t="n">
        <f aca="false">IF(AND($N83=1,AND(LEFT(对接源_01水果!$D83,4)="包装物料",N(对接源_01水果!$K83)&lt;&gt;0)),1,0)</f>
        <v>0</v>
      </c>
      <c r="AG83" s="90" t="str">
        <f aca="false">IF(对接源_01水果!$AC83="","",对接源_01水果!$AC83)</f>
        <v/>
      </c>
      <c r="AH83" s="90" t="str">
        <f aca="false">IFERROR(INDEX($AG$4:$AG$1203,MATCH(ROW()-3,$AJ$4:$AJ$1203,0)),"")</f>
        <v/>
      </c>
      <c r="AI83" s="90" t="n">
        <f aca="false">IF(AG83="",0,IF(MATCH(AG83,$AG$4:$AG$1203,0)=ROW()-3,1,0))</f>
        <v>0</v>
      </c>
      <c r="AJ83" s="90" t="n">
        <f aca="false">N(AJ82)+AI83</f>
        <v>0</v>
      </c>
      <c r="AK83" s="1" t="n">
        <f aca="false">N(AK82)+$AJ83</f>
        <v>0</v>
      </c>
    </row>
    <row r="84" customFormat="false" ht="13.5" hidden="false" customHeight="false" outlineLevel="0" collapsed="false">
      <c r="A84" s="1" t="str">
        <f aca="false">IF(对接源_01水果!$C84="","",对接源_01水果!$C84)</f>
        <v>聂新平</v>
      </c>
      <c r="B84" s="1" t="n">
        <f aca="false">IF(A84="",0,IF(MATCH(A84,$A$4:$A$2403,0)=ROW()-3,1,0))</f>
        <v>0</v>
      </c>
      <c r="C84" s="1" t="n">
        <f aca="false">N(C83)+B84</f>
        <v>4</v>
      </c>
      <c r="E84" s="1" t="str">
        <f aca="false">IFERROR(INDEX($A$4:$A$2403,MATCH(ROW()-3,$C$4:$C$2403,0)),"")</f>
        <v/>
      </c>
      <c r="K84" s="1" t="n">
        <f aca="false">IF(OR($K$1="",对接源_01水果!$C84="",对接源_01水果!$C84&lt;&gt;$K$1,对接源_01水果!$B84=""),0,IF(OR(N(对接源_01水果!$B84)&lt;$K$2,N(对接源_01水果!$B84)&gt;$K$3),0,1))</f>
        <v>0</v>
      </c>
      <c r="L84" s="1" t="n">
        <f aca="false">IF(OR($L$1="",对接源_01水果!$C84="",对接源_01水果!$C84&lt;&gt;$L$1,对接源_01水果!$B84=""),0,IF(OR(N(对接源_01水果!$B84)&lt;$L$2,N(对接源_01水果!$B84)&gt;$L$3),0,1))</f>
        <v>0</v>
      </c>
      <c r="M84" s="1" t="n">
        <f aca="false">IF(OR($M$1="",对接源_01水果!$C84="",对接源_01水果!$C84&lt;&gt;$M$1,对接源_01水果!$B84=""),0,IF(OR(N(对接源_01水果!$B84)&lt;$M$2,N(对接源_01水果!$B84)&gt;$M$3),0,1))</f>
        <v>0</v>
      </c>
      <c r="N84" s="1" t="n">
        <f aca="false">IF(OR($N$1="",对接源_01水果!$C84="",对接源_01水果!$C84&lt;&gt;$N$1,对接源_01水果!$B84=""),0,IF(OR(N(对接源_01水果!$B84)&lt;$N$2,N(对接源_01水果!$B84)&gt;$N$3),0,1))</f>
        <v>0</v>
      </c>
      <c r="P84" s="1" t="n">
        <f aca="false">IF(AND($K84=1,AND(对接源_01水果!$X84="公司筐",N(对接源_01水果!$T84)&lt;&gt;0)),1,0)</f>
        <v>0</v>
      </c>
      <c r="Q84" s="1" t="n">
        <f aca="false">N(Q83)+$P84</f>
        <v>0</v>
      </c>
      <c r="R84" s="1" t="n">
        <f aca="false">IF(AND($K84=1,AND(对接源_01水果!$X84="公司筐",N(对接源_01水果!$U84)&lt;&gt;0)),1,0)</f>
        <v>0</v>
      </c>
      <c r="S84" s="1" t="n">
        <f aca="false">N(S83)+$R84</f>
        <v>0</v>
      </c>
      <c r="T84" s="1" t="n">
        <f aca="false">IF(AND($K84=1,AND(对接源_01水果!$X84="公司筐",N(对接源_01水果!$V84)&lt;&gt;0)),1,0)</f>
        <v>0</v>
      </c>
      <c r="U84" s="1" t="n">
        <f aca="false">N(U83)+$T84</f>
        <v>18</v>
      </c>
      <c r="V84" s="1" t="n">
        <f aca="false">IF(AND($L84=1,AND(对接源_01水果!$X84="自备筐",N(对接源_01水果!$V84)&lt;&gt;0)),1,0)</f>
        <v>0</v>
      </c>
      <c r="W84" s="1" t="n">
        <f aca="false">N(W83)+$V84</f>
        <v>0</v>
      </c>
      <c r="X84" s="1" t="n">
        <f aca="false">IF(AND($L84=1,AND(对接源_01水果!$X84="自备筐",N(对接源_01水果!$T84)&lt;&gt;0)),1,0)</f>
        <v>0</v>
      </c>
      <c r="Y84" s="1" t="n">
        <f aca="false">N(Y83)+$X84</f>
        <v>0</v>
      </c>
      <c r="Z84" s="1" t="n">
        <f aca="false">IF(AND($M84=1,对接源_01水果!$D84="原料入库"),1,0)</f>
        <v>0</v>
      </c>
      <c r="AA84" s="1" t="n">
        <f aca="false">N(AA83)+$Z84</f>
        <v>20</v>
      </c>
      <c r="AB84" s="1" t="n">
        <f aca="false">IF(AND($M84=1,LEFT(对接源_01水果!$D84,4)="原料出库"),1,0)</f>
        <v>0</v>
      </c>
      <c r="AC84" s="1" t="n">
        <f aca="false">N(AC83)+$AB84</f>
        <v>0</v>
      </c>
      <c r="AD84" s="1" t="n">
        <f aca="false">IF(AND($M84=1,LEFT(对接源_01水果!$D84,4)="成品出库"),1,0)</f>
        <v>0</v>
      </c>
      <c r="AE84" s="1" t="n">
        <f aca="false">N(AE83)+$AD84</f>
        <v>0</v>
      </c>
      <c r="AF84" s="1" t="n">
        <f aca="false">IF(AND($N84=1,AND(LEFT(对接源_01水果!$D84,4)="包装物料",N(对接源_01水果!$K84)&lt;&gt;0)),1,0)</f>
        <v>0</v>
      </c>
      <c r="AG84" s="90" t="str">
        <f aca="false">IF(对接源_01水果!$AC84="","",对接源_01水果!$AC84)</f>
        <v/>
      </c>
      <c r="AH84" s="90" t="str">
        <f aca="false">IFERROR(INDEX($AG$4:$AG$1203,MATCH(ROW()-3,$AJ$4:$AJ$1203,0)),"")</f>
        <v/>
      </c>
      <c r="AI84" s="90" t="n">
        <f aca="false">IF(AG84="",0,IF(MATCH(AG84,$AG$4:$AG$1203,0)=ROW()-3,1,0))</f>
        <v>0</v>
      </c>
      <c r="AJ84" s="90" t="n">
        <f aca="false">N(AJ83)+AI84</f>
        <v>0</v>
      </c>
      <c r="AK84" s="1" t="n">
        <f aca="false">N(AK83)+$AJ84</f>
        <v>0</v>
      </c>
    </row>
    <row r="85" customFormat="false" ht="13.5" hidden="false" customHeight="false" outlineLevel="0" collapsed="false">
      <c r="A85" s="1" t="str">
        <f aca="false">IF(对接源_01水果!$C85="","",对接源_01水果!$C85)</f>
        <v>聂新平</v>
      </c>
      <c r="B85" s="1" t="n">
        <f aca="false">IF(A85="",0,IF(MATCH(A85,$A$4:$A$2403,0)=ROW()-3,1,0))</f>
        <v>0</v>
      </c>
      <c r="C85" s="1" t="n">
        <f aca="false">N(C84)+B85</f>
        <v>4</v>
      </c>
      <c r="E85" s="1" t="str">
        <f aca="false">IFERROR(INDEX($A$4:$A$2403,MATCH(ROW()-3,$C$4:$C$2403,0)),"")</f>
        <v/>
      </c>
      <c r="K85" s="1" t="n">
        <f aca="false">IF(OR($K$1="",对接源_01水果!$C85="",对接源_01水果!$C85&lt;&gt;$K$1,对接源_01水果!$B85=""),0,IF(OR(N(对接源_01水果!$B85)&lt;$K$2,N(对接源_01水果!$B85)&gt;$K$3),0,1))</f>
        <v>0</v>
      </c>
      <c r="L85" s="1" t="n">
        <f aca="false">IF(OR($L$1="",对接源_01水果!$C85="",对接源_01水果!$C85&lt;&gt;$L$1,对接源_01水果!$B85=""),0,IF(OR(N(对接源_01水果!$B85)&lt;$L$2,N(对接源_01水果!$B85)&gt;$L$3),0,1))</f>
        <v>0</v>
      </c>
      <c r="M85" s="1" t="n">
        <f aca="false">IF(OR($M$1="",对接源_01水果!$C85="",对接源_01水果!$C85&lt;&gt;$M$1,对接源_01水果!$B85=""),0,IF(OR(N(对接源_01水果!$B85)&lt;$M$2,N(对接源_01水果!$B85)&gt;$M$3),0,1))</f>
        <v>0</v>
      </c>
      <c r="N85" s="1" t="n">
        <f aca="false">IF(OR($N$1="",对接源_01水果!$C85="",对接源_01水果!$C85&lt;&gt;$N$1,对接源_01水果!$B85=""),0,IF(OR(N(对接源_01水果!$B85)&lt;$N$2,N(对接源_01水果!$B85)&gt;$N$3),0,1))</f>
        <v>0</v>
      </c>
      <c r="P85" s="1" t="n">
        <f aca="false">IF(AND($K85=1,AND(对接源_01水果!$X85="公司筐",N(对接源_01水果!$T85)&lt;&gt;0)),1,0)</f>
        <v>0</v>
      </c>
      <c r="Q85" s="1" t="n">
        <f aca="false">N(Q84)+$P85</f>
        <v>0</v>
      </c>
      <c r="R85" s="1" t="n">
        <f aca="false">IF(AND($K85=1,AND(对接源_01水果!$X85="公司筐",N(对接源_01水果!$U85)&lt;&gt;0)),1,0)</f>
        <v>0</v>
      </c>
      <c r="S85" s="1" t="n">
        <f aca="false">N(S84)+$R85</f>
        <v>0</v>
      </c>
      <c r="T85" s="1" t="n">
        <f aca="false">IF(AND($K85=1,AND(对接源_01水果!$X85="公司筐",N(对接源_01水果!$V85)&lt;&gt;0)),1,0)</f>
        <v>0</v>
      </c>
      <c r="U85" s="1" t="n">
        <f aca="false">N(U84)+$T85</f>
        <v>18</v>
      </c>
      <c r="V85" s="1" t="n">
        <f aca="false">IF(AND($L85=1,AND(对接源_01水果!$X85="自备筐",N(对接源_01水果!$V85)&lt;&gt;0)),1,0)</f>
        <v>0</v>
      </c>
      <c r="W85" s="1" t="n">
        <f aca="false">N(W84)+$V85</f>
        <v>0</v>
      </c>
      <c r="X85" s="1" t="n">
        <f aca="false">IF(AND($L85=1,AND(对接源_01水果!$X85="自备筐",N(对接源_01水果!$T85)&lt;&gt;0)),1,0)</f>
        <v>0</v>
      </c>
      <c r="Y85" s="1" t="n">
        <f aca="false">N(Y84)+$X85</f>
        <v>0</v>
      </c>
      <c r="Z85" s="1" t="n">
        <f aca="false">IF(AND($M85=1,对接源_01水果!$D85="原料入库"),1,0)</f>
        <v>0</v>
      </c>
      <c r="AA85" s="1" t="n">
        <f aca="false">N(AA84)+$Z85</f>
        <v>20</v>
      </c>
      <c r="AB85" s="1" t="n">
        <f aca="false">IF(AND($M85=1,LEFT(对接源_01水果!$D85,4)="原料出库"),1,0)</f>
        <v>0</v>
      </c>
      <c r="AC85" s="1" t="n">
        <f aca="false">N(AC84)+$AB85</f>
        <v>0</v>
      </c>
      <c r="AD85" s="1" t="n">
        <f aca="false">IF(AND($M85=1,LEFT(对接源_01水果!$D85,4)="成品出库"),1,0)</f>
        <v>0</v>
      </c>
      <c r="AE85" s="1" t="n">
        <f aca="false">N(AE84)+$AD85</f>
        <v>0</v>
      </c>
      <c r="AF85" s="1" t="n">
        <f aca="false">IF(AND($N85=1,AND(LEFT(对接源_01水果!$D85,4)="包装物料",N(对接源_01水果!$K85)&lt;&gt;0)),1,0)</f>
        <v>0</v>
      </c>
      <c r="AG85" s="90" t="str">
        <f aca="false">IF(对接源_01水果!$AC85="","",对接源_01水果!$AC85)</f>
        <v/>
      </c>
      <c r="AH85" s="90" t="str">
        <f aca="false">IFERROR(INDEX($AG$4:$AG$1203,MATCH(ROW()-3,$AJ$4:$AJ$1203,0)),"")</f>
        <v/>
      </c>
      <c r="AI85" s="90" t="n">
        <f aca="false">IF(AG85="",0,IF(MATCH(AG85,$AG$4:$AG$1203,0)=ROW()-3,1,0))</f>
        <v>0</v>
      </c>
      <c r="AJ85" s="90" t="n">
        <f aca="false">N(AJ84)+AI85</f>
        <v>0</v>
      </c>
      <c r="AK85" s="1" t="n">
        <f aca="false">N(AK84)+$AJ85</f>
        <v>0</v>
      </c>
    </row>
    <row r="86" customFormat="false" ht="13.5" hidden="false" customHeight="false" outlineLevel="0" collapsed="false">
      <c r="A86" s="1" t="str">
        <f aca="false">IF(对接源_01水果!$C86="","",对接源_01水果!$C86)</f>
        <v>聂新平</v>
      </c>
      <c r="B86" s="1" t="n">
        <f aca="false">IF(A86="",0,IF(MATCH(A86,$A$4:$A$2403,0)=ROW()-3,1,0))</f>
        <v>0</v>
      </c>
      <c r="C86" s="1" t="n">
        <f aca="false">N(C85)+B86</f>
        <v>4</v>
      </c>
      <c r="E86" s="1" t="str">
        <f aca="false">IFERROR(INDEX($A$4:$A$2403,MATCH(ROW()-3,$C$4:$C$2403,0)),"")</f>
        <v/>
      </c>
      <c r="K86" s="1" t="n">
        <f aca="false">IF(OR($K$1="",对接源_01水果!$C86="",对接源_01水果!$C86&lt;&gt;$K$1,对接源_01水果!$B86=""),0,IF(OR(N(对接源_01水果!$B86)&lt;$K$2,N(对接源_01水果!$B86)&gt;$K$3),0,1))</f>
        <v>0</v>
      </c>
      <c r="L86" s="1" t="n">
        <f aca="false">IF(OR($L$1="",对接源_01水果!$C86="",对接源_01水果!$C86&lt;&gt;$L$1,对接源_01水果!$B86=""),0,IF(OR(N(对接源_01水果!$B86)&lt;$L$2,N(对接源_01水果!$B86)&gt;$L$3),0,1))</f>
        <v>0</v>
      </c>
      <c r="M86" s="1" t="n">
        <f aca="false">IF(OR($M$1="",对接源_01水果!$C86="",对接源_01水果!$C86&lt;&gt;$M$1,对接源_01水果!$B86=""),0,IF(OR(N(对接源_01水果!$B86)&lt;$M$2,N(对接源_01水果!$B86)&gt;$M$3),0,1))</f>
        <v>0</v>
      </c>
      <c r="N86" s="1" t="n">
        <f aca="false">IF(OR($N$1="",对接源_01水果!$C86="",对接源_01水果!$C86&lt;&gt;$N$1,对接源_01水果!$B86=""),0,IF(OR(N(对接源_01水果!$B86)&lt;$N$2,N(对接源_01水果!$B86)&gt;$N$3),0,1))</f>
        <v>0</v>
      </c>
      <c r="P86" s="1" t="n">
        <f aca="false">IF(AND($K86=1,AND(对接源_01水果!$X86="公司筐",N(对接源_01水果!$T86)&lt;&gt;0)),1,0)</f>
        <v>0</v>
      </c>
      <c r="Q86" s="1" t="n">
        <f aca="false">N(Q85)+$P86</f>
        <v>0</v>
      </c>
      <c r="R86" s="1" t="n">
        <f aca="false">IF(AND($K86=1,AND(对接源_01水果!$X86="公司筐",N(对接源_01水果!$U86)&lt;&gt;0)),1,0)</f>
        <v>0</v>
      </c>
      <c r="S86" s="1" t="n">
        <f aca="false">N(S85)+$R86</f>
        <v>0</v>
      </c>
      <c r="T86" s="1" t="n">
        <f aca="false">IF(AND($K86=1,AND(对接源_01水果!$X86="公司筐",N(对接源_01水果!$V86)&lt;&gt;0)),1,0)</f>
        <v>0</v>
      </c>
      <c r="U86" s="1" t="n">
        <f aca="false">N(U85)+$T86</f>
        <v>18</v>
      </c>
      <c r="V86" s="1" t="n">
        <f aca="false">IF(AND($L86=1,AND(对接源_01水果!$X86="自备筐",N(对接源_01水果!$V86)&lt;&gt;0)),1,0)</f>
        <v>0</v>
      </c>
      <c r="W86" s="1" t="n">
        <f aca="false">N(W85)+$V86</f>
        <v>0</v>
      </c>
      <c r="X86" s="1" t="n">
        <f aca="false">IF(AND($L86=1,AND(对接源_01水果!$X86="自备筐",N(对接源_01水果!$T86)&lt;&gt;0)),1,0)</f>
        <v>0</v>
      </c>
      <c r="Y86" s="1" t="n">
        <f aca="false">N(Y85)+$X86</f>
        <v>0</v>
      </c>
      <c r="Z86" s="1" t="n">
        <f aca="false">IF(AND($M86=1,对接源_01水果!$D86="原料入库"),1,0)</f>
        <v>0</v>
      </c>
      <c r="AA86" s="1" t="n">
        <f aca="false">N(AA85)+$Z86</f>
        <v>20</v>
      </c>
      <c r="AB86" s="1" t="n">
        <f aca="false">IF(AND($M86=1,LEFT(对接源_01水果!$D86,4)="原料出库"),1,0)</f>
        <v>0</v>
      </c>
      <c r="AC86" s="1" t="n">
        <f aca="false">N(AC85)+$AB86</f>
        <v>0</v>
      </c>
      <c r="AD86" s="1" t="n">
        <f aca="false">IF(AND($M86=1,LEFT(对接源_01水果!$D86,4)="成品出库"),1,0)</f>
        <v>0</v>
      </c>
      <c r="AE86" s="1" t="n">
        <f aca="false">N(AE85)+$AD86</f>
        <v>0</v>
      </c>
      <c r="AF86" s="1" t="n">
        <f aca="false">IF(AND($N86=1,AND(LEFT(对接源_01水果!$D86,4)="包装物料",N(对接源_01水果!$K86)&lt;&gt;0)),1,0)</f>
        <v>0</v>
      </c>
      <c r="AG86" s="90" t="str">
        <f aca="false">IF(对接源_01水果!$AC86="","",对接源_01水果!$AC86)</f>
        <v/>
      </c>
      <c r="AH86" s="90" t="str">
        <f aca="false">IFERROR(INDEX($AG$4:$AG$1203,MATCH(ROW()-3,$AJ$4:$AJ$1203,0)),"")</f>
        <v/>
      </c>
      <c r="AI86" s="90" t="n">
        <f aca="false">IF(AG86="",0,IF(MATCH(AG86,$AG$4:$AG$1203,0)=ROW()-3,1,0))</f>
        <v>0</v>
      </c>
      <c r="AJ86" s="90" t="n">
        <f aca="false">N(AJ85)+AI86</f>
        <v>0</v>
      </c>
      <c r="AK86" s="1" t="n">
        <f aca="false">N(AK85)+$AJ86</f>
        <v>0</v>
      </c>
    </row>
    <row r="87" customFormat="false" ht="13.5" hidden="false" customHeight="false" outlineLevel="0" collapsed="false">
      <c r="A87" s="1" t="str">
        <f aca="false">IF(对接源_01水果!$C87="","",对接源_01水果!$C87)</f>
        <v>聂新平</v>
      </c>
      <c r="B87" s="1" t="n">
        <f aca="false">IF(A87="",0,IF(MATCH(A87,$A$4:$A$2403,0)=ROW()-3,1,0))</f>
        <v>0</v>
      </c>
      <c r="C87" s="1" t="n">
        <f aca="false">N(C86)+B87</f>
        <v>4</v>
      </c>
      <c r="E87" s="1" t="str">
        <f aca="false">IFERROR(INDEX($A$4:$A$2403,MATCH(ROW()-3,$C$4:$C$2403,0)),"")</f>
        <v/>
      </c>
      <c r="K87" s="1" t="n">
        <f aca="false">IF(OR($K$1="",对接源_01水果!$C87="",对接源_01水果!$C87&lt;&gt;$K$1,对接源_01水果!$B87=""),0,IF(OR(N(对接源_01水果!$B87)&lt;$K$2,N(对接源_01水果!$B87)&gt;$K$3),0,1))</f>
        <v>0</v>
      </c>
      <c r="L87" s="1" t="n">
        <f aca="false">IF(OR($L$1="",对接源_01水果!$C87="",对接源_01水果!$C87&lt;&gt;$L$1,对接源_01水果!$B87=""),0,IF(OR(N(对接源_01水果!$B87)&lt;$L$2,N(对接源_01水果!$B87)&gt;$L$3),0,1))</f>
        <v>0</v>
      </c>
      <c r="M87" s="1" t="n">
        <f aca="false">IF(OR($M$1="",对接源_01水果!$C87="",对接源_01水果!$C87&lt;&gt;$M$1,对接源_01水果!$B87=""),0,IF(OR(N(对接源_01水果!$B87)&lt;$M$2,N(对接源_01水果!$B87)&gt;$M$3),0,1))</f>
        <v>0</v>
      </c>
      <c r="N87" s="1" t="n">
        <f aca="false">IF(OR($N$1="",对接源_01水果!$C87="",对接源_01水果!$C87&lt;&gt;$N$1,对接源_01水果!$B87=""),0,IF(OR(N(对接源_01水果!$B87)&lt;$N$2,N(对接源_01水果!$B87)&gt;$N$3),0,1))</f>
        <v>0</v>
      </c>
      <c r="P87" s="1" t="n">
        <f aca="false">IF(AND($K87=1,AND(对接源_01水果!$X87="公司筐",N(对接源_01水果!$T87)&lt;&gt;0)),1,0)</f>
        <v>0</v>
      </c>
      <c r="Q87" s="1" t="n">
        <f aca="false">N(Q86)+$P87</f>
        <v>0</v>
      </c>
      <c r="R87" s="1" t="n">
        <f aca="false">IF(AND($K87=1,AND(对接源_01水果!$X87="公司筐",N(对接源_01水果!$U87)&lt;&gt;0)),1,0)</f>
        <v>0</v>
      </c>
      <c r="S87" s="1" t="n">
        <f aca="false">N(S86)+$R87</f>
        <v>0</v>
      </c>
      <c r="T87" s="1" t="n">
        <f aca="false">IF(AND($K87=1,AND(对接源_01水果!$X87="公司筐",N(对接源_01水果!$V87)&lt;&gt;0)),1,0)</f>
        <v>0</v>
      </c>
      <c r="U87" s="1" t="n">
        <f aca="false">N(U86)+$T87</f>
        <v>18</v>
      </c>
      <c r="V87" s="1" t="n">
        <f aca="false">IF(AND($L87=1,AND(对接源_01水果!$X87="自备筐",N(对接源_01水果!$V87)&lt;&gt;0)),1,0)</f>
        <v>0</v>
      </c>
      <c r="W87" s="1" t="n">
        <f aca="false">N(W86)+$V87</f>
        <v>0</v>
      </c>
      <c r="X87" s="1" t="n">
        <f aca="false">IF(AND($L87=1,AND(对接源_01水果!$X87="自备筐",N(对接源_01水果!$T87)&lt;&gt;0)),1,0)</f>
        <v>0</v>
      </c>
      <c r="Y87" s="1" t="n">
        <f aca="false">N(Y86)+$X87</f>
        <v>0</v>
      </c>
      <c r="Z87" s="1" t="n">
        <f aca="false">IF(AND($M87=1,对接源_01水果!$D87="原料入库"),1,0)</f>
        <v>0</v>
      </c>
      <c r="AA87" s="1" t="n">
        <f aca="false">N(AA86)+$Z87</f>
        <v>20</v>
      </c>
      <c r="AB87" s="1" t="n">
        <f aca="false">IF(AND($M87=1,LEFT(对接源_01水果!$D87,4)="原料出库"),1,0)</f>
        <v>0</v>
      </c>
      <c r="AC87" s="1" t="n">
        <f aca="false">N(AC86)+$AB87</f>
        <v>0</v>
      </c>
      <c r="AD87" s="1" t="n">
        <f aca="false">IF(AND($M87=1,LEFT(对接源_01水果!$D87,4)="成品出库"),1,0)</f>
        <v>0</v>
      </c>
      <c r="AE87" s="1" t="n">
        <f aca="false">N(AE86)+$AD87</f>
        <v>0</v>
      </c>
      <c r="AF87" s="1" t="n">
        <f aca="false">IF(AND($N87=1,AND(LEFT(对接源_01水果!$D87,4)="包装物料",N(对接源_01水果!$K87)&lt;&gt;0)),1,0)</f>
        <v>0</v>
      </c>
      <c r="AG87" s="90" t="str">
        <f aca="false">IF(对接源_01水果!$AC87="","",对接源_01水果!$AC87)</f>
        <v/>
      </c>
      <c r="AH87" s="90" t="str">
        <f aca="false">IFERROR(INDEX($AG$4:$AG$1203,MATCH(ROW()-3,$AJ$4:$AJ$1203,0)),"")</f>
        <v/>
      </c>
      <c r="AI87" s="90" t="n">
        <f aca="false">IF(AG87="",0,IF(MATCH(AG87,$AG$4:$AG$1203,0)=ROW()-3,1,0))</f>
        <v>0</v>
      </c>
      <c r="AJ87" s="90" t="n">
        <f aca="false">N(AJ86)+AI87</f>
        <v>0</v>
      </c>
      <c r="AK87" s="1" t="n">
        <f aca="false">N(AK86)+$AJ87</f>
        <v>0</v>
      </c>
    </row>
    <row r="88" customFormat="false" ht="13.5" hidden="false" customHeight="false" outlineLevel="0" collapsed="false">
      <c r="A88" s="1" t="str">
        <f aca="false">IF(对接源_01水果!$C88="","",对接源_01水果!$C88)</f>
        <v>聂新平</v>
      </c>
      <c r="B88" s="1" t="n">
        <f aca="false">IF(A88="",0,IF(MATCH(A88,$A$4:$A$2403,0)=ROW()-3,1,0))</f>
        <v>0</v>
      </c>
      <c r="C88" s="1" t="n">
        <f aca="false">N(C87)+B88</f>
        <v>4</v>
      </c>
      <c r="E88" s="1" t="str">
        <f aca="false">IFERROR(INDEX($A$4:$A$2403,MATCH(ROW()-3,$C$4:$C$2403,0)),"")</f>
        <v/>
      </c>
      <c r="K88" s="1" t="n">
        <f aca="false">IF(OR($K$1="",对接源_01水果!$C88="",对接源_01水果!$C88&lt;&gt;$K$1,对接源_01水果!$B88=""),0,IF(OR(N(对接源_01水果!$B88)&lt;$K$2,N(对接源_01水果!$B88)&gt;$K$3),0,1))</f>
        <v>0</v>
      </c>
      <c r="L88" s="1" t="n">
        <f aca="false">IF(OR($L$1="",对接源_01水果!$C88="",对接源_01水果!$C88&lt;&gt;$L$1,对接源_01水果!$B88=""),0,IF(OR(N(对接源_01水果!$B88)&lt;$L$2,N(对接源_01水果!$B88)&gt;$L$3),0,1))</f>
        <v>0</v>
      </c>
      <c r="M88" s="1" t="n">
        <f aca="false">IF(OR($M$1="",对接源_01水果!$C88="",对接源_01水果!$C88&lt;&gt;$M$1,对接源_01水果!$B88=""),0,IF(OR(N(对接源_01水果!$B88)&lt;$M$2,N(对接源_01水果!$B88)&gt;$M$3),0,1))</f>
        <v>0</v>
      </c>
      <c r="N88" s="1" t="n">
        <f aca="false">IF(OR($N$1="",对接源_01水果!$C88="",对接源_01水果!$C88&lt;&gt;$N$1,对接源_01水果!$B88=""),0,IF(OR(N(对接源_01水果!$B88)&lt;$N$2,N(对接源_01水果!$B88)&gt;$N$3),0,1))</f>
        <v>0</v>
      </c>
      <c r="P88" s="1" t="n">
        <f aca="false">IF(AND($K88=1,AND(对接源_01水果!$X88="公司筐",N(对接源_01水果!$T88)&lt;&gt;0)),1,0)</f>
        <v>0</v>
      </c>
      <c r="Q88" s="1" t="n">
        <f aca="false">N(Q87)+$P88</f>
        <v>0</v>
      </c>
      <c r="R88" s="1" t="n">
        <f aca="false">IF(AND($K88=1,AND(对接源_01水果!$X88="公司筐",N(对接源_01水果!$U88)&lt;&gt;0)),1,0)</f>
        <v>0</v>
      </c>
      <c r="S88" s="1" t="n">
        <f aca="false">N(S87)+$R88</f>
        <v>0</v>
      </c>
      <c r="T88" s="1" t="n">
        <f aca="false">IF(AND($K88=1,AND(对接源_01水果!$X88="公司筐",N(对接源_01水果!$V88)&lt;&gt;0)),1,0)</f>
        <v>0</v>
      </c>
      <c r="U88" s="1" t="n">
        <f aca="false">N(U87)+$T88</f>
        <v>18</v>
      </c>
      <c r="V88" s="1" t="n">
        <f aca="false">IF(AND($L88=1,AND(对接源_01水果!$X88="自备筐",N(对接源_01水果!$V88)&lt;&gt;0)),1,0)</f>
        <v>0</v>
      </c>
      <c r="W88" s="1" t="n">
        <f aca="false">N(W87)+$V88</f>
        <v>0</v>
      </c>
      <c r="X88" s="1" t="n">
        <f aca="false">IF(AND($L88=1,AND(对接源_01水果!$X88="自备筐",N(对接源_01水果!$T88)&lt;&gt;0)),1,0)</f>
        <v>0</v>
      </c>
      <c r="Y88" s="1" t="n">
        <f aca="false">N(Y87)+$X88</f>
        <v>0</v>
      </c>
      <c r="Z88" s="1" t="n">
        <f aca="false">IF(AND($M88=1,对接源_01水果!$D88="原料入库"),1,0)</f>
        <v>0</v>
      </c>
      <c r="AA88" s="1" t="n">
        <f aca="false">N(AA87)+$Z88</f>
        <v>20</v>
      </c>
      <c r="AB88" s="1" t="n">
        <f aca="false">IF(AND($M88=1,LEFT(对接源_01水果!$D88,4)="原料出库"),1,0)</f>
        <v>0</v>
      </c>
      <c r="AC88" s="1" t="n">
        <f aca="false">N(AC87)+$AB88</f>
        <v>0</v>
      </c>
      <c r="AD88" s="1" t="n">
        <f aca="false">IF(AND($M88=1,LEFT(对接源_01水果!$D88,4)="成品出库"),1,0)</f>
        <v>0</v>
      </c>
      <c r="AE88" s="1" t="n">
        <f aca="false">N(AE87)+$AD88</f>
        <v>0</v>
      </c>
      <c r="AF88" s="1" t="n">
        <f aca="false">IF(AND($N88=1,AND(LEFT(对接源_01水果!$D88,4)="包装物料",N(对接源_01水果!$K88)&lt;&gt;0)),1,0)</f>
        <v>0</v>
      </c>
      <c r="AG88" s="90" t="str">
        <f aca="false">IF(对接源_01水果!$AC88="","",对接源_01水果!$AC88)</f>
        <v/>
      </c>
      <c r="AH88" s="90" t="str">
        <f aca="false">IFERROR(INDEX($AG$4:$AG$1203,MATCH(ROW()-3,$AJ$4:$AJ$1203,0)),"")</f>
        <v/>
      </c>
      <c r="AI88" s="90" t="n">
        <f aca="false">IF(AG88="",0,IF(MATCH(AG88,$AG$4:$AG$1203,0)=ROW()-3,1,0))</f>
        <v>0</v>
      </c>
      <c r="AJ88" s="90" t="n">
        <f aca="false">N(AJ87)+AI88</f>
        <v>0</v>
      </c>
      <c r="AK88" s="1" t="n">
        <f aca="false">N(AK87)+$AJ88</f>
        <v>0</v>
      </c>
    </row>
    <row r="89" customFormat="false" ht="13.5" hidden="false" customHeight="false" outlineLevel="0" collapsed="false">
      <c r="A89" s="1" t="str">
        <f aca="false">IF(对接源_01水果!$C89="","",对接源_01水果!$C89)</f>
        <v>聂新平</v>
      </c>
      <c r="B89" s="1" t="n">
        <f aca="false">IF(A89="",0,IF(MATCH(A89,$A$4:$A$2403,0)=ROW()-3,1,0))</f>
        <v>0</v>
      </c>
      <c r="C89" s="1" t="n">
        <f aca="false">N(C88)+B89</f>
        <v>4</v>
      </c>
      <c r="E89" s="1" t="str">
        <f aca="false">IFERROR(INDEX($A$4:$A$2403,MATCH(ROW()-3,$C$4:$C$2403,0)),"")</f>
        <v/>
      </c>
      <c r="K89" s="1" t="n">
        <f aca="false">IF(OR($K$1="",对接源_01水果!$C89="",对接源_01水果!$C89&lt;&gt;$K$1,对接源_01水果!$B89=""),0,IF(OR(N(对接源_01水果!$B89)&lt;$K$2,N(对接源_01水果!$B89)&gt;$K$3),0,1))</f>
        <v>0</v>
      </c>
      <c r="L89" s="1" t="n">
        <f aca="false">IF(OR($L$1="",对接源_01水果!$C89="",对接源_01水果!$C89&lt;&gt;$L$1,对接源_01水果!$B89=""),0,IF(OR(N(对接源_01水果!$B89)&lt;$L$2,N(对接源_01水果!$B89)&gt;$L$3),0,1))</f>
        <v>0</v>
      </c>
      <c r="M89" s="1" t="n">
        <f aca="false">IF(OR($M$1="",对接源_01水果!$C89="",对接源_01水果!$C89&lt;&gt;$M$1,对接源_01水果!$B89=""),0,IF(OR(N(对接源_01水果!$B89)&lt;$M$2,N(对接源_01水果!$B89)&gt;$M$3),0,1))</f>
        <v>0</v>
      </c>
      <c r="N89" s="1" t="n">
        <f aca="false">IF(OR($N$1="",对接源_01水果!$C89="",对接源_01水果!$C89&lt;&gt;$N$1,对接源_01水果!$B89=""),0,IF(OR(N(对接源_01水果!$B89)&lt;$N$2,N(对接源_01水果!$B89)&gt;$N$3),0,1))</f>
        <v>0</v>
      </c>
      <c r="P89" s="1" t="n">
        <f aca="false">IF(AND($K89=1,AND(对接源_01水果!$X89="公司筐",N(对接源_01水果!$T89)&lt;&gt;0)),1,0)</f>
        <v>0</v>
      </c>
      <c r="Q89" s="1" t="n">
        <f aca="false">N(Q88)+$P89</f>
        <v>0</v>
      </c>
      <c r="R89" s="1" t="n">
        <f aca="false">IF(AND($K89=1,AND(对接源_01水果!$X89="公司筐",N(对接源_01水果!$U89)&lt;&gt;0)),1,0)</f>
        <v>0</v>
      </c>
      <c r="S89" s="1" t="n">
        <f aca="false">N(S88)+$R89</f>
        <v>0</v>
      </c>
      <c r="T89" s="1" t="n">
        <f aca="false">IF(AND($K89=1,AND(对接源_01水果!$X89="公司筐",N(对接源_01水果!$V89)&lt;&gt;0)),1,0)</f>
        <v>0</v>
      </c>
      <c r="U89" s="1" t="n">
        <f aca="false">N(U88)+$T89</f>
        <v>18</v>
      </c>
      <c r="V89" s="1" t="n">
        <f aca="false">IF(AND($L89=1,AND(对接源_01水果!$X89="自备筐",N(对接源_01水果!$V89)&lt;&gt;0)),1,0)</f>
        <v>0</v>
      </c>
      <c r="W89" s="1" t="n">
        <f aca="false">N(W88)+$V89</f>
        <v>0</v>
      </c>
      <c r="X89" s="1" t="n">
        <f aca="false">IF(AND($L89=1,AND(对接源_01水果!$X89="自备筐",N(对接源_01水果!$T89)&lt;&gt;0)),1,0)</f>
        <v>0</v>
      </c>
      <c r="Y89" s="1" t="n">
        <f aca="false">N(Y88)+$X89</f>
        <v>0</v>
      </c>
      <c r="Z89" s="1" t="n">
        <f aca="false">IF(AND($M89=1,对接源_01水果!$D89="原料入库"),1,0)</f>
        <v>0</v>
      </c>
      <c r="AA89" s="1" t="n">
        <f aca="false">N(AA88)+$Z89</f>
        <v>20</v>
      </c>
      <c r="AB89" s="1" t="n">
        <f aca="false">IF(AND($M89=1,LEFT(对接源_01水果!$D89,4)="原料出库"),1,0)</f>
        <v>0</v>
      </c>
      <c r="AC89" s="1" t="n">
        <f aca="false">N(AC88)+$AB89</f>
        <v>0</v>
      </c>
      <c r="AD89" s="1" t="n">
        <f aca="false">IF(AND($M89=1,LEFT(对接源_01水果!$D89,4)="成品出库"),1,0)</f>
        <v>0</v>
      </c>
      <c r="AE89" s="1" t="n">
        <f aca="false">N(AE88)+$AD89</f>
        <v>0</v>
      </c>
      <c r="AF89" s="1" t="n">
        <f aca="false">IF(AND($N89=1,AND(LEFT(对接源_01水果!$D89,4)="包装物料",N(对接源_01水果!$K89)&lt;&gt;0)),1,0)</f>
        <v>0</v>
      </c>
      <c r="AG89" s="90" t="str">
        <f aca="false">IF(对接源_01水果!$AC89="","",对接源_01水果!$AC89)</f>
        <v/>
      </c>
      <c r="AH89" s="90" t="str">
        <f aca="false">IFERROR(INDEX($AG$4:$AG$1203,MATCH(ROW()-3,$AJ$4:$AJ$1203,0)),"")</f>
        <v/>
      </c>
      <c r="AI89" s="90" t="n">
        <f aca="false">IF(AG89="",0,IF(MATCH(AG89,$AG$4:$AG$1203,0)=ROW()-3,1,0))</f>
        <v>0</v>
      </c>
      <c r="AJ89" s="90" t="n">
        <f aca="false">N(AJ88)+AI89</f>
        <v>0</v>
      </c>
      <c r="AK89" s="1" t="n">
        <f aca="false">N(AK88)+$AJ89</f>
        <v>0</v>
      </c>
    </row>
    <row r="90" customFormat="false" ht="13.5" hidden="false" customHeight="false" outlineLevel="0" collapsed="false">
      <c r="A90" s="1" t="str">
        <f aca="false">IF(对接源_01水果!$C90="","",对接源_01水果!$C90)</f>
        <v>聂新平</v>
      </c>
      <c r="B90" s="1" t="n">
        <f aca="false">IF(A90="",0,IF(MATCH(A90,$A$4:$A$2403,0)=ROW()-3,1,0))</f>
        <v>0</v>
      </c>
      <c r="C90" s="1" t="n">
        <f aca="false">N(C89)+B90</f>
        <v>4</v>
      </c>
      <c r="E90" s="1" t="str">
        <f aca="false">IFERROR(INDEX($A$4:$A$2403,MATCH(ROW()-3,$C$4:$C$2403,0)),"")</f>
        <v/>
      </c>
      <c r="K90" s="1" t="n">
        <f aca="false">IF(OR($K$1="",对接源_01水果!$C90="",对接源_01水果!$C90&lt;&gt;$K$1,对接源_01水果!$B90=""),0,IF(OR(N(对接源_01水果!$B90)&lt;$K$2,N(对接源_01水果!$B90)&gt;$K$3),0,1))</f>
        <v>0</v>
      </c>
      <c r="L90" s="1" t="n">
        <f aca="false">IF(OR($L$1="",对接源_01水果!$C90="",对接源_01水果!$C90&lt;&gt;$L$1,对接源_01水果!$B90=""),0,IF(OR(N(对接源_01水果!$B90)&lt;$L$2,N(对接源_01水果!$B90)&gt;$L$3),0,1))</f>
        <v>0</v>
      </c>
      <c r="M90" s="1" t="n">
        <f aca="false">IF(OR($M$1="",对接源_01水果!$C90="",对接源_01水果!$C90&lt;&gt;$M$1,对接源_01水果!$B90=""),0,IF(OR(N(对接源_01水果!$B90)&lt;$M$2,N(对接源_01水果!$B90)&gt;$M$3),0,1))</f>
        <v>0</v>
      </c>
      <c r="N90" s="1" t="n">
        <f aca="false">IF(OR($N$1="",对接源_01水果!$C90="",对接源_01水果!$C90&lt;&gt;$N$1,对接源_01水果!$B90=""),0,IF(OR(N(对接源_01水果!$B90)&lt;$N$2,N(对接源_01水果!$B90)&gt;$N$3),0,1))</f>
        <v>0</v>
      </c>
      <c r="P90" s="1" t="n">
        <f aca="false">IF(AND($K90=1,AND(对接源_01水果!$X90="公司筐",N(对接源_01水果!$T90)&lt;&gt;0)),1,0)</f>
        <v>0</v>
      </c>
      <c r="Q90" s="1" t="n">
        <f aca="false">N(Q89)+$P90</f>
        <v>0</v>
      </c>
      <c r="R90" s="1" t="n">
        <f aca="false">IF(AND($K90=1,AND(对接源_01水果!$X90="公司筐",N(对接源_01水果!$U90)&lt;&gt;0)),1,0)</f>
        <v>0</v>
      </c>
      <c r="S90" s="1" t="n">
        <f aca="false">N(S89)+$R90</f>
        <v>0</v>
      </c>
      <c r="T90" s="1" t="n">
        <f aca="false">IF(AND($K90=1,AND(对接源_01水果!$X90="公司筐",N(对接源_01水果!$V90)&lt;&gt;0)),1,0)</f>
        <v>0</v>
      </c>
      <c r="U90" s="1" t="n">
        <f aca="false">N(U89)+$T90</f>
        <v>18</v>
      </c>
      <c r="V90" s="1" t="n">
        <f aca="false">IF(AND($L90=1,AND(对接源_01水果!$X90="自备筐",N(对接源_01水果!$V90)&lt;&gt;0)),1,0)</f>
        <v>0</v>
      </c>
      <c r="W90" s="1" t="n">
        <f aca="false">N(W89)+$V90</f>
        <v>0</v>
      </c>
      <c r="X90" s="1" t="n">
        <f aca="false">IF(AND($L90=1,AND(对接源_01水果!$X90="自备筐",N(对接源_01水果!$T90)&lt;&gt;0)),1,0)</f>
        <v>0</v>
      </c>
      <c r="Y90" s="1" t="n">
        <f aca="false">N(Y89)+$X90</f>
        <v>0</v>
      </c>
      <c r="Z90" s="1" t="n">
        <f aca="false">IF(AND($M90=1,对接源_01水果!$D90="原料入库"),1,0)</f>
        <v>0</v>
      </c>
      <c r="AA90" s="1" t="n">
        <f aca="false">N(AA89)+$Z90</f>
        <v>20</v>
      </c>
      <c r="AB90" s="1" t="n">
        <f aca="false">IF(AND($M90=1,LEFT(对接源_01水果!$D90,4)="原料出库"),1,0)</f>
        <v>0</v>
      </c>
      <c r="AC90" s="1" t="n">
        <f aca="false">N(AC89)+$AB90</f>
        <v>0</v>
      </c>
      <c r="AD90" s="1" t="n">
        <f aca="false">IF(AND($M90=1,LEFT(对接源_01水果!$D90,4)="成品出库"),1,0)</f>
        <v>0</v>
      </c>
      <c r="AE90" s="1" t="n">
        <f aca="false">N(AE89)+$AD90</f>
        <v>0</v>
      </c>
      <c r="AF90" s="1" t="n">
        <f aca="false">IF(AND($N90=1,AND(LEFT(对接源_01水果!$D90,4)="包装物料",N(对接源_01水果!$K90)&lt;&gt;0)),1,0)</f>
        <v>0</v>
      </c>
      <c r="AG90" s="90" t="str">
        <f aca="false">IF(对接源_01水果!$AC90="","",对接源_01水果!$AC90)</f>
        <v/>
      </c>
      <c r="AH90" s="90" t="str">
        <f aca="false">IFERROR(INDEX($AG$4:$AG$1203,MATCH(ROW()-3,$AJ$4:$AJ$1203,0)),"")</f>
        <v/>
      </c>
      <c r="AI90" s="90" t="n">
        <f aca="false">IF(AG90="",0,IF(MATCH(AG90,$AG$4:$AG$1203,0)=ROW()-3,1,0))</f>
        <v>0</v>
      </c>
      <c r="AJ90" s="90" t="n">
        <f aca="false">N(AJ89)+AI90</f>
        <v>0</v>
      </c>
      <c r="AK90" s="1" t="n">
        <f aca="false">N(AK89)+$AJ90</f>
        <v>0</v>
      </c>
    </row>
    <row r="91" customFormat="false" ht="13.5" hidden="false" customHeight="false" outlineLevel="0" collapsed="false">
      <c r="A91" s="1" t="str">
        <f aca="false">IF(对接源_01水果!$C91="","",对接源_01水果!$C91)</f>
        <v>聂新平</v>
      </c>
      <c r="B91" s="1" t="n">
        <f aca="false">IF(A91="",0,IF(MATCH(A91,$A$4:$A$2403,0)=ROW()-3,1,0))</f>
        <v>0</v>
      </c>
      <c r="C91" s="1" t="n">
        <f aca="false">N(C90)+B91</f>
        <v>4</v>
      </c>
      <c r="E91" s="1" t="str">
        <f aca="false">IFERROR(INDEX($A$4:$A$2403,MATCH(ROW()-3,$C$4:$C$2403,0)),"")</f>
        <v/>
      </c>
      <c r="K91" s="1" t="n">
        <f aca="false">IF(OR($K$1="",对接源_01水果!$C91="",对接源_01水果!$C91&lt;&gt;$K$1,对接源_01水果!$B91=""),0,IF(OR(N(对接源_01水果!$B91)&lt;$K$2,N(对接源_01水果!$B91)&gt;$K$3),0,1))</f>
        <v>0</v>
      </c>
      <c r="L91" s="1" t="n">
        <f aca="false">IF(OR($L$1="",对接源_01水果!$C91="",对接源_01水果!$C91&lt;&gt;$L$1,对接源_01水果!$B91=""),0,IF(OR(N(对接源_01水果!$B91)&lt;$L$2,N(对接源_01水果!$B91)&gt;$L$3),0,1))</f>
        <v>0</v>
      </c>
      <c r="M91" s="1" t="n">
        <f aca="false">IF(OR($M$1="",对接源_01水果!$C91="",对接源_01水果!$C91&lt;&gt;$M$1,对接源_01水果!$B91=""),0,IF(OR(N(对接源_01水果!$B91)&lt;$M$2,N(对接源_01水果!$B91)&gt;$M$3),0,1))</f>
        <v>0</v>
      </c>
      <c r="N91" s="1" t="n">
        <f aca="false">IF(OR($N$1="",对接源_01水果!$C91="",对接源_01水果!$C91&lt;&gt;$N$1,对接源_01水果!$B91=""),0,IF(OR(N(对接源_01水果!$B91)&lt;$N$2,N(对接源_01水果!$B91)&gt;$N$3),0,1))</f>
        <v>0</v>
      </c>
      <c r="P91" s="1" t="n">
        <f aca="false">IF(AND($K91=1,AND(对接源_01水果!$X91="公司筐",N(对接源_01水果!$T91)&lt;&gt;0)),1,0)</f>
        <v>0</v>
      </c>
      <c r="Q91" s="1" t="n">
        <f aca="false">N(Q90)+$P91</f>
        <v>0</v>
      </c>
      <c r="R91" s="1" t="n">
        <f aca="false">IF(AND($K91=1,AND(对接源_01水果!$X91="公司筐",N(对接源_01水果!$U91)&lt;&gt;0)),1,0)</f>
        <v>0</v>
      </c>
      <c r="S91" s="1" t="n">
        <f aca="false">N(S90)+$R91</f>
        <v>0</v>
      </c>
      <c r="T91" s="1" t="n">
        <f aca="false">IF(AND($K91=1,AND(对接源_01水果!$X91="公司筐",N(对接源_01水果!$V91)&lt;&gt;0)),1,0)</f>
        <v>0</v>
      </c>
      <c r="U91" s="1" t="n">
        <f aca="false">N(U90)+$T91</f>
        <v>18</v>
      </c>
      <c r="V91" s="1" t="n">
        <f aca="false">IF(AND($L91=1,AND(对接源_01水果!$X91="自备筐",N(对接源_01水果!$V91)&lt;&gt;0)),1,0)</f>
        <v>0</v>
      </c>
      <c r="W91" s="1" t="n">
        <f aca="false">N(W90)+$V91</f>
        <v>0</v>
      </c>
      <c r="X91" s="1" t="n">
        <f aca="false">IF(AND($L91=1,AND(对接源_01水果!$X91="自备筐",N(对接源_01水果!$T91)&lt;&gt;0)),1,0)</f>
        <v>0</v>
      </c>
      <c r="Y91" s="1" t="n">
        <f aca="false">N(Y90)+$X91</f>
        <v>0</v>
      </c>
      <c r="Z91" s="1" t="n">
        <f aca="false">IF(AND($M91=1,对接源_01水果!$D91="原料入库"),1,0)</f>
        <v>0</v>
      </c>
      <c r="AA91" s="1" t="n">
        <f aca="false">N(AA90)+$Z91</f>
        <v>20</v>
      </c>
      <c r="AB91" s="1" t="n">
        <f aca="false">IF(AND($M91=1,LEFT(对接源_01水果!$D91,4)="原料出库"),1,0)</f>
        <v>0</v>
      </c>
      <c r="AC91" s="1" t="n">
        <f aca="false">N(AC90)+$AB91</f>
        <v>0</v>
      </c>
      <c r="AD91" s="1" t="n">
        <f aca="false">IF(AND($M91=1,LEFT(对接源_01水果!$D91,4)="成品出库"),1,0)</f>
        <v>0</v>
      </c>
      <c r="AE91" s="1" t="n">
        <f aca="false">N(AE90)+$AD91</f>
        <v>0</v>
      </c>
      <c r="AF91" s="1" t="n">
        <f aca="false">IF(AND($N91=1,AND(LEFT(对接源_01水果!$D91,4)="包装物料",N(对接源_01水果!$K91)&lt;&gt;0)),1,0)</f>
        <v>0</v>
      </c>
      <c r="AG91" s="90" t="str">
        <f aca="false">IF(对接源_01水果!$AC91="","",对接源_01水果!$AC91)</f>
        <v/>
      </c>
      <c r="AH91" s="90" t="str">
        <f aca="false">IFERROR(INDEX($AG$4:$AG$1203,MATCH(ROW()-3,$AJ$4:$AJ$1203,0)),"")</f>
        <v/>
      </c>
      <c r="AI91" s="90" t="n">
        <f aca="false">IF(AG91="",0,IF(MATCH(AG91,$AG$4:$AG$1203,0)=ROW()-3,1,0))</f>
        <v>0</v>
      </c>
      <c r="AJ91" s="90" t="n">
        <f aca="false">N(AJ90)+AI91</f>
        <v>0</v>
      </c>
      <c r="AK91" s="1" t="n">
        <f aca="false">N(AK90)+$AJ91</f>
        <v>0</v>
      </c>
    </row>
    <row r="92" customFormat="false" ht="13.5" hidden="false" customHeight="false" outlineLevel="0" collapsed="false">
      <c r="A92" s="1" t="str">
        <f aca="false">IF(对接源_01水果!$C92="","",对接源_01水果!$C92)</f>
        <v>聂新平</v>
      </c>
      <c r="B92" s="1" t="n">
        <f aca="false">IF(A92="",0,IF(MATCH(A92,$A$4:$A$2403,0)=ROW()-3,1,0))</f>
        <v>0</v>
      </c>
      <c r="C92" s="1" t="n">
        <f aca="false">N(C91)+B92</f>
        <v>4</v>
      </c>
      <c r="E92" s="1" t="str">
        <f aca="false">IFERROR(INDEX($A$4:$A$2403,MATCH(ROW()-3,$C$4:$C$2403,0)),"")</f>
        <v/>
      </c>
      <c r="K92" s="1" t="n">
        <f aca="false">IF(OR($K$1="",对接源_01水果!$C92="",对接源_01水果!$C92&lt;&gt;$K$1,对接源_01水果!$B92=""),0,IF(OR(N(对接源_01水果!$B92)&lt;$K$2,N(对接源_01水果!$B92)&gt;$K$3),0,1))</f>
        <v>0</v>
      </c>
      <c r="L92" s="1" t="n">
        <f aca="false">IF(OR($L$1="",对接源_01水果!$C92="",对接源_01水果!$C92&lt;&gt;$L$1,对接源_01水果!$B92=""),0,IF(OR(N(对接源_01水果!$B92)&lt;$L$2,N(对接源_01水果!$B92)&gt;$L$3),0,1))</f>
        <v>0</v>
      </c>
      <c r="M92" s="1" t="n">
        <f aca="false">IF(OR($M$1="",对接源_01水果!$C92="",对接源_01水果!$C92&lt;&gt;$M$1,对接源_01水果!$B92=""),0,IF(OR(N(对接源_01水果!$B92)&lt;$M$2,N(对接源_01水果!$B92)&gt;$M$3),0,1))</f>
        <v>0</v>
      </c>
      <c r="N92" s="1" t="n">
        <f aca="false">IF(OR($N$1="",对接源_01水果!$C92="",对接源_01水果!$C92&lt;&gt;$N$1,对接源_01水果!$B92=""),0,IF(OR(N(对接源_01水果!$B92)&lt;$N$2,N(对接源_01水果!$B92)&gt;$N$3),0,1))</f>
        <v>0</v>
      </c>
      <c r="P92" s="1" t="n">
        <f aca="false">IF(AND($K92=1,AND(对接源_01水果!$X92="公司筐",N(对接源_01水果!$T92)&lt;&gt;0)),1,0)</f>
        <v>0</v>
      </c>
      <c r="Q92" s="1" t="n">
        <f aca="false">N(Q91)+$P92</f>
        <v>0</v>
      </c>
      <c r="R92" s="1" t="n">
        <f aca="false">IF(AND($K92=1,AND(对接源_01水果!$X92="公司筐",N(对接源_01水果!$U92)&lt;&gt;0)),1,0)</f>
        <v>0</v>
      </c>
      <c r="S92" s="1" t="n">
        <f aca="false">N(S91)+$R92</f>
        <v>0</v>
      </c>
      <c r="T92" s="1" t="n">
        <f aca="false">IF(AND($K92=1,AND(对接源_01水果!$X92="公司筐",N(对接源_01水果!$V92)&lt;&gt;0)),1,0)</f>
        <v>0</v>
      </c>
      <c r="U92" s="1" t="n">
        <f aca="false">N(U91)+$T92</f>
        <v>18</v>
      </c>
      <c r="V92" s="1" t="n">
        <f aca="false">IF(AND($L92=1,AND(对接源_01水果!$X92="自备筐",N(对接源_01水果!$V92)&lt;&gt;0)),1,0)</f>
        <v>0</v>
      </c>
      <c r="W92" s="1" t="n">
        <f aca="false">N(W91)+$V92</f>
        <v>0</v>
      </c>
      <c r="X92" s="1" t="n">
        <f aca="false">IF(AND($L92=1,AND(对接源_01水果!$X92="自备筐",N(对接源_01水果!$T92)&lt;&gt;0)),1,0)</f>
        <v>0</v>
      </c>
      <c r="Y92" s="1" t="n">
        <f aca="false">N(Y91)+$X92</f>
        <v>0</v>
      </c>
      <c r="Z92" s="1" t="n">
        <f aca="false">IF(AND($M92=1,对接源_01水果!$D92="原料入库"),1,0)</f>
        <v>0</v>
      </c>
      <c r="AA92" s="1" t="n">
        <f aca="false">N(AA91)+$Z92</f>
        <v>20</v>
      </c>
      <c r="AB92" s="1" t="n">
        <f aca="false">IF(AND($M92=1,LEFT(对接源_01水果!$D92,4)="原料出库"),1,0)</f>
        <v>0</v>
      </c>
      <c r="AC92" s="1" t="n">
        <f aca="false">N(AC91)+$AB92</f>
        <v>0</v>
      </c>
      <c r="AD92" s="1" t="n">
        <f aca="false">IF(AND($M92=1,LEFT(对接源_01水果!$D92,4)="成品出库"),1,0)</f>
        <v>0</v>
      </c>
      <c r="AE92" s="1" t="n">
        <f aca="false">N(AE91)+$AD92</f>
        <v>0</v>
      </c>
      <c r="AF92" s="1" t="n">
        <f aca="false">IF(AND($N92=1,AND(LEFT(对接源_01水果!$D92,4)="包装物料",N(对接源_01水果!$K92)&lt;&gt;0)),1,0)</f>
        <v>0</v>
      </c>
      <c r="AG92" s="90" t="str">
        <f aca="false">IF(对接源_01水果!$AC92="","",对接源_01水果!$AC92)</f>
        <v/>
      </c>
      <c r="AH92" s="90" t="str">
        <f aca="false">IFERROR(INDEX($AG$4:$AG$1203,MATCH(ROW()-3,$AJ$4:$AJ$1203,0)),"")</f>
        <v/>
      </c>
      <c r="AI92" s="90" t="n">
        <f aca="false">IF(AG92="",0,IF(MATCH(AG92,$AG$4:$AG$1203,0)=ROW()-3,1,0))</f>
        <v>0</v>
      </c>
      <c r="AJ92" s="90" t="n">
        <f aca="false">N(AJ91)+AI92</f>
        <v>0</v>
      </c>
      <c r="AK92" s="1" t="n">
        <f aca="false">N(AK91)+$AJ92</f>
        <v>0</v>
      </c>
    </row>
    <row r="93" customFormat="false" ht="13.5" hidden="false" customHeight="false" outlineLevel="0" collapsed="false">
      <c r="A93" s="1" t="str">
        <f aca="false">IF(对接源_01水果!$C93="","",对接源_01水果!$C93)</f>
        <v>聂新平</v>
      </c>
      <c r="B93" s="1" t="n">
        <f aca="false">IF(A93="",0,IF(MATCH(A93,$A$4:$A$2403,0)=ROW()-3,1,0))</f>
        <v>0</v>
      </c>
      <c r="C93" s="1" t="n">
        <f aca="false">N(C92)+B93</f>
        <v>4</v>
      </c>
      <c r="E93" s="1" t="str">
        <f aca="false">IFERROR(INDEX($A$4:$A$2403,MATCH(ROW()-3,$C$4:$C$2403,0)),"")</f>
        <v/>
      </c>
      <c r="K93" s="1" t="n">
        <f aca="false">IF(OR($K$1="",对接源_01水果!$C93="",对接源_01水果!$C93&lt;&gt;$K$1,对接源_01水果!$B93=""),0,IF(OR(N(对接源_01水果!$B93)&lt;$K$2,N(对接源_01水果!$B93)&gt;$K$3),0,1))</f>
        <v>0</v>
      </c>
      <c r="L93" s="1" t="n">
        <f aca="false">IF(OR($L$1="",对接源_01水果!$C93="",对接源_01水果!$C93&lt;&gt;$L$1,对接源_01水果!$B93=""),0,IF(OR(N(对接源_01水果!$B93)&lt;$L$2,N(对接源_01水果!$B93)&gt;$L$3),0,1))</f>
        <v>0</v>
      </c>
      <c r="M93" s="1" t="n">
        <f aca="false">IF(OR($M$1="",对接源_01水果!$C93="",对接源_01水果!$C93&lt;&gt;$M$1,对接源_01水果!$B93=""),0,IF(OR(N(对接源_01水果!$B93)&lt;$M$2,N(对接源_01水果!$B93)&gt;$M$3),0,1))</f>
        <v>0</v>
      </c>
      <c r="N93" s="1" t="n">
        <f aca="false">IF(OR($N$1="",对接源_01水果!$C93="",对接源_01水果!$C93&lt;&gt;$N$1,对接源_01水果!$B93=""),0,IF(OR(N(对接源_01水果!$B93)&lt;$N$2,N(对接源_01水果!$B93)&gt;$N$3),0,1))</f>
        <v>0</v>
      </c>
      <c r="P93" s="1" t="n">
        <f aca="false">IF(AND($K93=1,AND(对接源_01水果!$X93="公司筐",N(对接源_01水果!$T93)&lt;&gt;0)),1,0)</f>
        <v>0</v>
      </c>
      <c r="Q93" s="1" t="n">
        <f aca="false">N(Q92)+$P93</f>
        <v>0</v>
      </c>
      <c r="R93" s="1" t="n">
        <f aca="false">IF(AND($K93=1,AND(对接源_01水果!$X93="公司筐",N(对接源_01水果!$U93)&lt;&gt;0)),1,0)</f>
        <v>0</v>
      </c>
      <c r="S93" s="1" t="n">
        <f aca="false">N(S92)+$R93</f>
        <v>0</v>
      </c>
      <c r="T93" s="1" t="n">
        <f aca="false">IF(AND($K93=1,AND(对接源_01水果!$X93="公司筐",N(对接源_01水果!$V93)&lt;&gt;0)),1,0)</f>
        <v>0</v>
      </c>
      <c r="U93" s="1" t="n">
        <f aca="false">N(U92)+$T93</f>
        <v>18</v>
      </c>
      <c r="V93" s="1" t="n">
        <f aca="false">IF(AND($L93=1,AND(对接源_01水果!$X93="自备筐",N(对接源_01水果!$V93)&lt;&gt;0)),1,0)</f>
        <v>0</v>
      </c>
      <c r="W93" s="1" t="n">
        <f aca="false">N(W92)+$V93</f>
        <v>0</v>
      </c>
      <c r="X93" s="1" t="n">
        <f aca="false">IF(AND($L93=1,AND(对接源_01水果!$X93="自备筐",N(对接源_01水果!$T93)&lt;&gt;0)),1,0)</f>
        <v>0</v>
      </c>
      <c r="Y93" s="1" t="n">
        <f aca="false">N(Y92)+$X93</f>
        <v>0</v>
      </c>
      <c r="Z93" s="1" t="n">
        <f aca="false">IF(AND($M93=1,对接源_01水果!$D93="原料入库"),1,0)</f>
        <v>0</v>
      </c>
      <c r="AA93" s="1" t="n">
        <f aca="false">N(AA92)+$Z93</f>
        <v>20</v>
      </c>
      <c r="AB93" s="1" t="n">
        <f aca="false">IF(AND($M93=1,LEFT(对接源_01水果!$D93,4)="原料出库"),1,0)</f>
        <v>0</v>
      </c>
      <c r="AC93" s="1" t="n">
        <f aca="false">N(AC92)+$AB93</f>
        <v>0</v>
      </c>
      <c r="AD93" s="1" t="n">
        <f aca="false">IF(AND($M93=1,LEFT(对接源_01水果!$D93,4)="成品出库"),1,0)</f>
        <v>0</v>
      </c>
      <c r="AE93" s="1" t="n">
        <f aca="false">N(AE92)+$AD93</f>
        <v>0</v>
      </c>
      <c r="AF93" s="1" t="n">
        <f aca="false">IF(AND($N93=1,AND(LEFT(对接源_01水果!$D93,4)="包装物料",N(对接源_01水果!$K93)&lt;&gt;0)),1,0)</f>
        <v>0</v>
      </c>
      <c r="AG93" s="90" t="str">
        <f aca="false">IF(对接源_01水果!$AC93="","",对接源_01水果!$AC93)</f>
        <v/>
      </c>
      <c r="AH93" s="90" t="str">
        <f aca="false">IFERROR(INDEX($AG$4:$AG$1203,MATCH(ROW()-3,$AJ$4:$AJ$1203,0)),"")</f>
        <v/>
      </c>
      <c r="AI93" s="90" t="n">
        <f aca="false">IF(AG93="",0,IF(MATCH(AG93,$AG$4:$AG$1203,0)=ROW()-3,1,0))</f>
        <v>0</v>
      </c>
      <c r="AJ93" s="90" t="n">
        <f aca="false">N(AJ92)+AI93</f>
        <v>0</v>
      </c>
      <c r="AK93" s="1" t="n">
        <f aca="false">N(AK92)+$AJ93</f>
        <v>0</v>
      </c>
    </row>
    <row r="94" customFormat="false" ht="13.5" hidden="false" customHeight="false" outlineLevel="0" collapsed="false">
      <c r="A94" s="1" t="str">
        <f aca="false">IF(对接源_01水果!$C94="","",对接源_01水果!$C94)</f>
        <v>聂新平</v>
      </c>
      <c r="B94" s="1" t="n">
        <f aca="false">IF(A94="",0,IF(MATCH(A94,$A$4:$A$2403,0)=ROW()-3,1,0))</f>
        <v>0</v>
      </c>
      <c r="C94" s="1" t="n">
        <f aca="false">N(C93)+B94</f>
        <v>4</v>
      </c>
      <c r="E94" s="1" t="str">
        <f aca="false">IFERROR(INDEX($A$4:$A$2403,MATCH(ROW()-3,$C$4:$C$2403,0)),"")</f>
        <v/>
      </c>
      <c r="K94" s="1" t="n">
        <f aca="false">IF(OR($K$1="",对接源_01水果!$C94="",对接源_01水果!$C94&lt;&gt;$K$1,对接源_01水果!$B94=""),0,IF(OR(N(对接源_01水果!$B94)&lt;$K$2,N(对接源_01水果!$B94)&gt;$K$3),0,1))</f>
        <v>0</v>
      </c>
      <c r="L94" s="1" t="n">
        <f aca="false">IF(OR($L$1="",对接源_01水果!$C94="",对接源_01水果!$C94&lt;&gt;$L$1,对接源_01水果!$B94=""),0,IF(OR(N(对接源_01水果!$B94)&lt;$L$2,N(对接源_01水果!$B94)&gt;$L$3),0,1))</f>
        <v>0</v>
      </c>
      <c r="M94" s="1" t="n">
        <f aca="false">IF(OR($M$1="",对接源_01水果!$C94="",对接源_01水果!$C94&lt;&gt;$M$1,对接源_01水果!$B94=""),0,IF(OR(N(对接源_01水果!$B94)&lt;$M$2,N(对接源_01水果!$B94)&gt;$M$3),0,1))</f>
        <v>0</v>
      </c>
      <c r="N94" s="1" t="n">
        <f aca="false">IF(OR($N$1="",对接源_01水果!$C94="",对接源_01水果!$C94&lt;&gt;$N$1,对接源_01水果!$B94=""),0,IF(OR(N(对接源_01水果!$B94)&lt;$N$2,N(对接源_01水果!$B94)&gt;$N$3),0,1))</f>
        <v>0</v>
      </c>
      <c r="P94" s="1" t="n">
        <f aca="false">IF(AND($K94=1,AND(对接源_01水果!$X94="公司筐",N(对接源_01水果!$T94)&lt;&gt;0)),1,0)</f>
        <v>0</v>
      </c>
      <c r="Q94" s="1" t="n">
        <f aca="false">N(Q93)+$P94</f>
        <v>0</v>
      </c>
      <c r="R94" s="1" t="n">
        <f aca="false">IF(AND($K94=1,AND(对接源_01水果!$X94="公司筐",N(对接源_01水果!$U94)&lt;&gt;0)),1,0)</f>
        <v>0</v>
      </c>
      <c r="S94" s="1" t="n">
        <f aca="false">N(S93)+$R94</f>
        <v>0</v>
      </c>
      <c r="T94" s="1" t="n">
        <f aca="false">IF(AND($K94=1,AND(对接源_01水果!$X94="公司筐",N(对接源_01水果!$V94)&lt;&gt;0)),1,0)</f>
        <v>0</v>
      </c>
      <c r="U94" s="1" t="n">
        <f aca="false">N(U93)+$T94</f>
        <v>18</v>
      </c>
      <c r="V94" s="1" t="n">
        <f aca="false">IF(AND($L94=1,AND(对接源_01水果!$X94="自备筐",N(对接源_01水果!$V94)&lt;&gt;0)),1,0)</f>
        <v>0</v>
      </c>
      <c r="W94" s="1" t="n">
        <f aca="false">N(W93)+$V94</f>
        <v>0</v>
      </c>
      <c r="X94" s="1" t="n">
        <f aca="false">IF(AND($L94=1,AND(对接源_01水果!$X94="自备筐",N(对接源_01水果!$T94)&lt;&gt;0)),1,0)</f>
        <v>0</v>
      </c>
      <c r="Y94" s="1" t="n">
        <f aca="false">N(Y93)+$X94</f>
        <v>0</v>
      </c>
      <c r="Z94" s="1" t="n">
        <f aca="false">IF(AND($M94=1,对接源_01水果!$D94="原料入库"),1,0)</f>
        <v>0</v>
      </c>
      <c r="AA94" s="1" t="n">
        <f aca="false">N(AA93)+$Z94</f>
        <v>20</v>
      </c>
      <c r="AB94" s="1" t="n">
        <f aca="false">IF(AND($M94=1,LEFT(对接源_01水果!$D94,4)="原料出库"),1,0)</f>
        <v>0</v>
      </c>
      <c r="AC94" s="1" t="n">
        <f aca="false">N(AC93)+$AB94</f>
        <v>0</v>
      </c>
      <c r="AD94" s="1" t="n">
        <f aca="false">IF(AND($M94=1,LEFT(对接源_01水果!$D94,4)="成品出库"),1,0)</f>
        <v>0</v>
      </c>
      <c r="AE94" s="1" t="n">
        <f aca="false">N(AE93)+$AD94</f>
        <v>0</v>
      </c>
      <c r="AF94" s="1" t="n">
        <f aca="false">IF(AND($N94=1,AND(LEFT(对接源_01水果!$D94,4)="包装物料",N(对接源_01水果!$K94)&lt;&gt;0)),1,0)</f>
        <v>0</v>
      </c>
      <c r="AG94" s="90" t="str">
        <f aca="false">IF(对接源_01水果!$AC94="","",对接源_01水果!$AC94)</f>
        <v/>
      </c>
      <c r="AH94" s="90" t="str">
        <f aca="false">IFERROR(INDEX($AG$4:$AG$1203,MATCH(ROW()-3,$AJ$4:$AJ$1203,0)),"")</f>
        <v/>
      </c>
      <c r="AI94" s="90" t="n">
        <f aca="false">IF(AG94="",0,IF(MATCH(AG94,$AG$4:$AG$1203,0)=ROW()-3,1,0))</f>
        <v>0</v>
      </c>
      <c r="AJ94" s="90" t="n">
        <f aca="false">N(AJ93)+AI94</f>
        <v>0</v>
      </c>
      <c r="AK94" s="1" t="n">
        <f aca="false">N(AK93)+$AJ94</f>
        <v>0</v>
      </c>
    </row>
    <row r="95" customFormat="false" ht="13.5" hidden="false" customHeight="false" outlineLevel="0" collapsed="false">
      <c r="A95" s="1" t="str">
        <f aca="false">IF(对接源_01水果!$C95="","",对接源_01水果!$C95)</f>
        <v>聂新平</v>
      </c>
      <c r="B95" s="1" t="n">
        <f aca="false">IF(A95="",0,IF(MATCH(A95,$A$4:$A$2403,0)=ROW()-3,1,0))</f>
        <v>0</v>
      </c>
      <c r="C95" s="1" t="n">
        <f aca="false">N(C94)+B95</f>
        <v>4</v>
      </c>
      <c r="E95" s="1" t="str">
        <f aca="false">IFERROR(INDEX($A$4:$A$2403,MATCH(ROW()-3,$C$4:$C$2403,0)),"")</f>
        <v/>
      </c>
      <c r="K95" s="1" t="n">
        <f aca="false">IF(OR($K$1="",对接源_01水果!$C95="",对接源_01水果!$C95&lt;&gt;$K$1,对接源_01水果!$B95=""),0,IF(OR(N(对接源_01水果!$B95)&lt;$K$2,N(对接源_01水果!$B95)&gt;$K$3),0,1))</f>
        <v>0</v>
      </c>
      <c r="L95" s="1" t="n">
        <f aca="false">IF(OR($L$1="",对接源_01水果!$C95="",对接源_01水果!$C95&lt;&gt;$L$1,对接源_01水果!$B95=""),0,IF(OR(N(对接源_01水果!$B95)&lt;$L$2,N(对接源_01水果!$B95)&gt;$L$3),0,1))</f>
        <v>0</v>
      </c>
      <c r="M95" s="1" t="n">
        <f aca="false">IF(OR($M$1="",对接源_01水果!$C95="",对接源_01水果!$C95&lt;&gt;$M$1,对接源_01水果!$B95=""),0,IF(OR(N(对接源_01水果!$B95)&lt;$M$2,N(对接源_01水果!$B95)&gt;$M$3),0,1))</f>
        <v>0</v>
      </c>
      <c r="N95" s="1" t="n">
        <f aca="false">IF(OR($N$1="",对接源_01水果!$C95="",对接源_01水果!$C95&lt;&gt;$N$1,对接源_01水果!$B95=""),0,IF(OR(N(对接源_01水果!$B95)&lt;$N$2,N(对接源_01水果!$B95)&gt;$N$3),0,1))</f>
        <v>0</v>
      </c>
      <c r="P95" s="1" t="n">
        <f aca="false">IF(AND($K95=1,AND(对接源_01水果!$X95="公司筐",N(对接源_01水果!$T95)&lt;&gt;0)),1,0)</f>
        <v>0</v>
      </c>
      <c r="Q95" s="1" t="n">
        <f aca="false">N(Q94)+$P95</f>
        <v>0</v>
      </c>
      <c r="R95" s="1" t="n">
        <f aca="false">IF(AND($K95=1,AND(对接源_01水果!$X95="公司筐",N(对接源_01水果!$U95)&lt;&gt;0)),1,0)</f>
        <v>0</v>
      </c>
      <c r="S95" s="1" t="n">
        <f aca="false">N(S94)+$R95</f>
        <v>0</v>
      </c>
      <c r="T95" s="1" t="n">
        <f aca="false">IF(AND($K95=1,AND(对接源_01水果!$X95="公司筐",N(对接源_01水果!$V95)&lt;&gt;0)),1,0)</f>
        <v>0</v>
      </c>
      <c r="U95" s="1" t="n">
        <f aca="false">N(U94)+$T95</f>
        <v>18</v>
      </c>
      <c r="V95" s="1" t="n">
        <f aca="false">IF(AND($L95=1,AND(对接源_01水果!$X95="自备筐",N(对接源_01水果!$V95)&lt;&gt;0)),1,0)</f>
        <v>0</v>
      </c>
      <c r="W95" s="1" t="n">
        <f aca="false">N(W94)+$V95</f>
        <v>0</v>
      </c>
      <c r="X95" s="1" t="n">
        <f aca="false">IF(AND($L95=1,AND(对接源_01水果!$X95="自备筐",N(对接源_01水果!$T95)&lt;&gt;0)),1,0)</f>
        <v>0</v>
      </c>
      <c r="Y95" s="1" t="n">
        <f aca="false">N(Y94)+$X95</f>
        <v>0</v>
      </c>
      <c r="Z95" s="1" t="n">
        <f aca="false">IF(AND($M95=1,对接源_01水果!$D95="原料入库"),1,0)</f>
        <v>0</v>
      </c>
      <c r="AA95" s="1" t="n">
        <f aca="false">N(AA94)+$Z95</f>
        <v>20</v>
      </c>
      <c r="AB95" s="1" t="n">
        <f aca="false">IF(AND($M95=1,LEFT(对接源_01水果!$D95,4)="原料出库"),1,0)</f>
        <v>0</v>
      </c>
      <c r="AC95" s="1" t="n">
        <f aca="false">N(AC94)+$AB95</f>
        <v>0</v>
      </c>
      <c r="AD95" s="1" t="n">
        <f aca="false">IF(AND($M95=1,LEFT(对接源_01水果!$D95,4)="成品出库"),1,0)</f>
        <v>0</v>
      </c>
      <c r="AE95" s="1" t="n">
        <f aca="false">N(AE94)+$AD95</f>
        <v>0</v>
      </c>
      <c r="AF95" s="1" t="n">
        <f aca="false">IF(AND($N95=1,AND(LEFT(对接源_01水果!$D95,4)="包装物料",N(对接源_01水果!$K95)&lt;&gt;0)),1,0)</f>
        <v>0</v>
      </c>
      <c r="AG95" s="90" t="str">
        <f aca="false">IF(对接源_01水果!$AC95="","",对接源_01水果!$AC95)</f>
        <v/>
      </c>
      <c r="AH95" s="90" t="str">
        <f aca="false">IFERROR(INDEX($AG$4:$AG$1203,MATCH(ROW()-3,$AJ$4:$AJ$1203,0)),"")</f>
        <v/>
      </c>
      <c r="AI95" s="90" t="n">
        <f aca="false">IF(AG95="",0,IF(MATCH(AG95,$AG$4:$AG$1203,0)=ROW()-3,1,0))</f>
        <v>0</v>
      </c>
      <c r="AJ95" s="90" t="n">
        <f aca="false">N(AJ94)+AI95</f>
        <v>0</v>
      </c>
      <c r="AK95" s="1" t="n">
        <f aca="false">N(AK94)+$AJ95</f>
        <v>0</v>
      </c>
    </row>
    <row r="96" customFormat="false" ht="13.5" hidden="false" customHeight="false" outlineLevel="0" collapsed="false">
      <c r="A96" s="1" t="str">
        <f aca="false">IF(对接源_01水果!$C96="","",对接源_01水果!$C96)</f>
        <v>聂新平</v>
      </c>
      <c r="B96" s="1" t="n">
        <f aca="false">IF(A96="",0,IF(MATCH(A96,$A$4:$A$2403,0)=ROW()-3,1,0))</f>
        <v>0</v>
      </c>
      <c r="C96" s="1" t="n">
        <f aca="false">N(C95)+B96</f>
        <v>4</v>
      </c>
      <c r="E96" s="1" t="str">
        <f aca="false">IFERROR(INDEX($A$4:$A$2403,MATCH(ROW()-3,$C$4:$C$2403,0)),"")</f>
        <v/>
      </c>
      <c r="K96" s="1" t="n">
        <f aca="false">IF(OR($K$1="",对接源_01水果!$C96="",对接源_01水果!$C96&lt;&gt;$K$1,对接源_01水果!$B96=""),0,IF(OR(N(对接源_01水果!$B96)&lt;$K$2,N(对接源_01水果!$B96)&gt;$K$3),0,1))</f>
        <v>0</v>
      </c>
      <c r="L96" s="1" t="n">
        <f aca="false">IF(OR($L$1="",对接源_01水果!$C96="",对接源_01水果!$C96&lt;&gt;$L$1,对接源_01水果!$B96=""),0,IF(OR(N(对接源_01水果!$B96)&lt;$L$2,N(对接源_01水果!$B96)&gt;$L$3),0,1))</f>
        <v>0</v>
      </c>
      <c r="M96" s="1" t="n">
        <f aca="false">IF(OR($M$1="",对接源_01水果!$C96="",对接源_01水果!$C96&lt;&gt;$M$1,对接源_01水果!$B96=""),0,IF(OR(N(对接源_01水果!$B96)&lt;$M$2,N(对接源_01水果!$B96)&gt;$M$3),0,1))</f>
        <v>0</v>
      </c>
      <c r="N96" s="1" t="n">
        <f aca="false">IF(OR($N$1="",对接源_01水果!$C96="",对接源_01水果!$C96&lt;&gt;$N$1,对接源_01水果!$B96=""),0,IF(OR(N(对接源_01水果!$B96)&lt;$N$2,N(对接源_01水果!$B96)&gt;$N$3),0,1))</f>
        <v>0</v>
      </c>
      <c r="P96" s="1" t="n">
        <f aca="false">IF(AND($K96=1,AND(对接源_01水果!$X96="公司筐",N(对接源_01水果!$T96)&lt;&gt;0)),1,0)</f>
        <v>0</v>
      </c>
      <c r="Q96" s="1" t="n">
        <f aca="false">N(Q95)+$P96</f>
        <v>0</v>
      </c>
      <c r="R96" s="1" t="n">
        <f aca="false">IF(AND($K96=1,AND(对接源_01水果!$X96="公司筐",N(对接源_01水果!$U96)&lt;&gt;0)),1,0)</f>
        <v>0</v>
      </c>
      <c r="S96" s="1" t="n">
        <f aca="false">N(S95)+$R96</f>
        <v>0</v>
      </c>
      <c r="T96" s="1" t="n">
        <f aca="false">IF(AND($K96=1,AND(对接源_01水果!$X96="公司筐",N(对接源_01水果!$V96)&lt;&gt;0)),1,0)</f>
        <v>0</v>
      </c>
      <c r="U96" s="1" t="n">
        <f aca="false">N(U95)+$T96</f>
        <v>18</v>
      </c>
      <c r="V96" s="1" t="n">
        <f aca="false">IF(AND($L96=1,AND(对接源_01水果!$X96="自备筐",N(对接源_01水果!$V96)&lt;&gt;0)),1,0)</f>
        <v>0</v>
      </c>
      <c r="W96" s="1" t="n">
        <f aca="false">N(W95)+$V96</f>
        <v>0</v>
      </c>
      <c r="X96" s="1" t="n">
        <f aca="false">IF(AND($L96=1,AND(对接源_01水果!$X96="自备筐",N(对接源_01水果!$T96)&lt;&gt;0)),1,0)</f>
        <v>0</v>
      </c>
      <c r="Y96" s="1" t="n">
        <f aca="false">N(Y95)+$X96</f>
        <v>0</v>
      </c>
      <c r="Z96" s="1" t="n">
        <f aca="false">IF(AND($M96=1,对接源_01水果!$D96="原料入库"),1,0)</f>
        <v>0</v>
      </c>
      <c r="AA96" s="1" t="n">
        <f aca="false">N(AA95)+$Z96</f>
        <v>20</v>
      </c>
      <c r="AB96" s="1" t="n">
        <f aca="false">IF(AND($M96=1,LEFT(对接源_01水果!$D96,4)="原料出库"),1,0)</f>
        <v>0</v>
      </c>
      <c r="AC96" s="1" t="n">
        <f aca="false">N(AC95)+$AB96</f>
        <v>0</v>
      </c>
      <c r="AD96" s="1" t="n">
        <f aca="false">IF(AND($M96=1,LEFT(对接源_01水果!$D96,4)="成品出库"),1,0)</f>
        <v>0</v>
      </c>
      <c r="AE96" s="1" t="n">
        <f aca="false">N(AE95)+$AD96</f>
        <v>0</v>
      </c>
      <c r="AF96" s="1" t="n">
        <f aca="false">IF(AND($N96=1,AND(LEFT(对接源_01水果!$D96,4)="包装物料",N(对接源_01水果!$K96)&lt;&gt;0)),1,0)</f>
        <v>0</v>
      </c>
      <c r="AG96" s="90" t="str">
        <f aca="false">IF(对接源_01水果!$AC96="","",对接源_01水果!$AC96)</f>
        <v/>
      </c>
      <c r="AH96" s="90" t="str">
        <f aca="false">IFERROR(INDEX($AG$4:$AG$1203,MATCH(ROW()-3,$AJ$4:$AJ$1203,0)),"")</f>
        <v/>
      </c>
      <c r="AI96" s="90" t="n">
        <f aca="false">IF(AG96="",0,IF(MATCH(AG96,$AG$4:$AG$1203,0)=ROW()-3,1,0))</f>
        <v>0</v>
      </c>
      <c r="AJ96" s="90" t="n">
        <f aca="false">N(AJ95)+AI96</f>
        <v>0</v>
      </c>
      <c r="AK96" s="1" t="n">
        <f aca="false">N(AK95)+$AJ96</f>
        <v>0</v>
      </c>
    </row>
    <row r="97" customFormat="false" ht="13.5" hidden="false" customHeight="false" outlineLevel="0" collapsed="false">
      <c r="A97" s="1" t="str">
        <f aca="false">IF(对接源_01水果!$C97="","",对接源_01水果!$C97)</f>
        <v>聂新平</v>
      </c>
      <c r="B97" s="1" t="n">
        <f aca="false">IF(A97="",0,IF(MATCH(A97,$A$4:$A$2403,0)=ROW()-3,1,0))</f>
        <v>0</v>
      </c>
      <c r="C97" s="1" t="n">
        <f aca="false">N(C96)+B97</f>
        <v>4</v>
      </c>
      <c r="E97" s="1" t="str">
        <f aca="false">IFERROR(INDEX($A$4:$A$2403,MATCH(ROW()-3,$C$4:$C$2403,0)),"")</f>
        <v/>
      </c>
      <c r="K97" s="1" t="n">
        <f aca="false">IF(OR($K$1="",对接源_01水果!$C97="",对接源_01水果!$C97&lt;&gt;$K$1,对接源_01水果!$B97=""),0,IF(OR(N(对接源_01水果!$B97)&lt;$K$2,N(对接源_01水果!$B97)&gt;$K$3),0,1))</f>
        <v>0</v>
      </c>
      <c r="L97" s="1" t="n">
        <f aca="false">IF(OR($L$1="",对接源_01水果!$C97="",对接源_01水果!$C97&lt;&gt;$L$1,对接源_01水果!$B97=""),0,IF(OR(N(对接源_01水果!$B97)&lt;$L$2,N(对接源_01水果!$B97)&gt;$L$3),0,1))</f>
        <v>0</v>
      </c>
      <c r="M97" s="1" t="n">
        <f aca="false">IF(OR($M$1="",对接源_01水果!$C97="",对接源_01水果!$C97&lt;&gt;$M$1,对接源_01水果!$B97=""),0,IF(OR(N(对接源_01水果!$B97)&lt;$M$2,N(对接源_01水果!$B97)&gt;$M$3),0,1))</f>
        <v>0</v>
      </c>
      <c r="N97" s="1" t="n">
        <f aca="false">IF(OR($N$1="",对接源_01水果!$C97="",对接源_01水果!$C97&lt;&gt;$N$1,对接源_01水果!$B97=""),0,IF(OR(N(对接源_01水果!$B97)&lt;$N$2,N(对接源_01水果!$B97)&gt;$N$3),0,1))</f>
        <v>0</v>
      </c>
      <c r="P97" s="1" t="n">
        <f aca="false">IF(AND($K97=1,AND(对接源_01水果!$X97="公司筐",N(对接源_01水果!$T97)&lt;&gt;0)),1,0)</f>
        <v>0</v>
      </c>
      <c r="Q97" s="1" t="n">
        <f aca="false">N(Q96)+$P97</f>
        <v>0</v>
      </c>
      <c r="R97" s="1" t="n">
        <f aca="false">IF(AND($K97=1,AND(对接源_01水果!$X97="公司筐",N(对接源_01水果!$U97)&lt;&gt;0)),1,0)</f>
        <v>0</v>
      </c>
      <c r="S97" s="1" t="n">
        <f aca="false">N(S96)+$R97</f>
        <v>0</v>
      </c>
      <c r="T97" s="1" t="n">
        <f aca="false">IF(AND($K97=1,AND(对接源_01水果!$X97="公司筐",N(对接源_01水果!$V97)&lt;&gt;0)),1,0)</f>
        <v>0</v>
      </c>
      <c r="U97" s="1" t="n">
        <f aca="false">N(U96)+$T97</f>
        <v>18</v>
      </c>
      <c r="V97" s="1" t="n">
        <f aca="false">IF(AND($L97=1,AND(对接源_01水果!$X97="自备筐",N(对接源_01水果!$V97)&lt;&gt;0)),1,0)</f>
        <v>0</v>
      </c>
      <c r="W97" s="1" t="n">
        <f aca="false">N(W96)+$V97</f>
        <v>0</v>
      </c>
      <c r="X97" s="1" t="n">
        <f aca="false">IF(AND($L97=1,AND(对接源_01水果!$X97="自备筐",N(对接源_01水果!$T97)&lt;&gt;0)),1,0)</f>
        <v>0</v>
      </c>
      <c r="Y97" s="1" t="n">
        <f aca="false">N(Y96)+$X97</f>
        <v>0</v>
      </c>
      <c r="Z97" s="1" t="n">
        <f aca="false">IF(AND($M97=1,对接源_01水果!$D97="原料入库"),1,0)</f>
        <v>0</v>
      </c>
      <c r="AA97" s="1" t="n">
        <f aca="false">N(AA96)+$Z97</f>
        <v>20</v>
      </c>
      <c r="AB97" s="1" t="n">
        <f aca="false">IF(AND($M97=1,LEFT(对接源_01水果!$D97,4)="原料出库"),1,0)</f>
        <v>0</v>
      </c>
      <c r="AC97" s="1" t="n">
        <f aca="false">N(AC96)+$AB97</f>
        <v>0</v>
      </c>
      <c r="AD97" s="1" t="n">
        <f aca="false">IF(AND($M97=1,LEFT(对接源_01水果!$D97,4)="成品出库"),1,0)</f>
        <v>0</v>
      </c>
      <c r="AE97" s="1" t="n">
        <f aca="false">N(AE96)+$AD97</f>
        <v>0</v>
      </c>
      <c r="AF97" s="1" t="n">
        <f aca="false">IF(AND($N97=1,AND(LEFT(对接源_01水果!$D97,4)="包装物料",N(对接源_01水果!$K97)&lt;&gt;0)),1,0)</f>
        <v>0</v>
      </c>
      <c r="AG97" s="90" t="str">
        <f aca="false">IF(对接源_01水果!$AC97="","",对接源_01水果!$AC97)</f>
        <v/>
      </c>
      <c r="AH97" s="90" t="str">
        <f aca="false">IFERROR(INDEX($AG$4:$AG$1203,MATCH(ROW()-3,$AJ$4:$AJ$1203,0)),"")</f>
        <v/>
      </c>
      <c r="AI97" s="90" t="n">
        <f aca="false">IF(AG97="",0,IF(MATCH(AG97,$AG$4:$AG$1203,0)=ROW()-3,1,0))</f>
        <v>0</v>
      </c>
      <c r="AJ97" s="90" t="n">
        <f aca="false">N(AJ96)+AI97</f>
        <v>0</v>
      </c>
      <c r="AK97" s="1" t="n">
        <f aca="false">N(AK96)+$AJ97</f>
        <v>0</v>
      </c>
    </row>
    <row r="98" customFormat="false" ht="13.5" hidden="false" customHeight="false" outlineLevel="0" collapsed="false">
      <c r="A98" s="1" t="str">
        <f aca="false">IF(对接源_01水果!$C98="","",对接源_01水果!$C98)</f>
        <v>聂新平</v>
      </c>
      <c r="B98" s="1" t="n">
        <f aca="false">IF(A98="",0,IF(MATCH(A98,$A$4:$A$2403,0)=ROW()-3,1,0))</f>
        <v>0</v>
      </c>
      <c r="C98" s="1" t="n">
        <f aca="false">N(C97)+B98</f>
        <v>4</v>
      </c>
      <c r="E98" s="1" t="str">
        <f aca="false">IFERROR(INDEX($A$4:$A$2403,MATCH(ROW()-3,$C$4:$C$2403,0)),"")</f>
        <v/>
      </c>
      <c r="K98" s="1" t="n">
        <f aca="false">IF(OR($K$1="",对接源_01水果!$C98="",对接源_01水果!$C98&lt;&gt;$K$1,对接源_01水果!$B98=""),0,IF(OR(N(对接源_01水果!$B98)&lt;$K$2,N(对接源_01水果!$B98)&gt;$K$3),0,1))</f>
        <v>0</v>
      </c>
      <c r="L98" s="1" t="n">
        <f aca="false">IF(OR($L$1="",对接源_01水果!$C98="",对接源_01水果!$C98&lt;&gt;$L$1,对接源_01水果!$B98=""),0,IF(OR(N(对接源_01水果!$B98)&lt;$L$2,N(对接源_01水果!$B98)&gt;$L$3),0,1))</f>
        <v>0</v>
      </c>
      <c r="M98" s="1" t="n">
        <f aca="false">IF(OR($M$1="",对接源_01水果!$C98="",对接源_01水果!$C98&lt;&gt;$M$1,对接源_01水果!$B98=""),0,IF(OR(N(对接源_01水果!$B98)&lt;$M$2,N(对接源_01水果!$B98)&gt;$M$3),0,1))</f>
        <v>0</v>
      </c>
      <c r="N98" s="1" t="n">
        <f aca="false">IF(OR($N$1="",对接源_01水果!$C98="",对接源_01水果!$C98&lt;&gt;$N$1,对接源_01水果!$B98=""),0,IF(OR(N(对接源_01水果!$B98)&lt;$N$2,N(对接源_01水果!$B98)&gt;$N$3),0,1))</f>
        <v>0</v>
      </c>
      <c r="P98" s="1" t="n">
        <f aca="false">IF(AND($K98=1,AND(对接源_01水果!$X98="公司筐",N(对接源_01水果!$T98)&lt;&gt;0)),1,0)</f>
        <v>0</v>
      </c>
      <c r="Q98" s="1" t="n">
        <f aca="false">N(Q97)+$P98</f>
        <v>0</v>
      </c>
      <c r="R98" s="1" t="n">
        <f aca="false">IF(AND($K98=1,AND(对接源_01水果!$X98="公司筐",N(对接源_01水果!$U98)&lt;&gt;0)),1,0)</f>
        <v>0</v>
      </c>
      <c r="S98" s="1" t="n">
        <f aca="false">N(S97)+$R98</f>
        <v>0</v>
      </c>
      <c r="T98" s="1" t="n">
        <f aca="false">IF(AND($K98=1,AND(对接源_01水果!$X98="公司筐",N(对接源_01水果!$V98)&lt;&gt;0)),1,0)</f>
        <v>0</v>
      </c>
      <c r="U98" s="1" t="n">
        <f aca="false">N(U97)+$T98</f>
        <v>18</v>
      </c>
      <c r="V98" s="1" t="n">
        <f aca="false">IF(AND($L98=1,AND(对接源_01水果!$X98="自备筐",N(对接源_01水果!$V98)&lt;&gt;0)),1,0)</f>
        <v>0</v>
      </c>
      <c r="W98" s="1" t="n">
        <f aca="false">N(W97)+$V98</f>
        <v>0</v>
      </c>
      <c r="X98" s="1" t="n">
        <f aca="false">IF(AND($L98=1,AND(对接源_01水果!$X98="自备筐",N(对接源_01水果!$T98)&lt;&gt;0)),1,0)</f>
        <v>0</v>
      </c>
      <c r="Y98" s="1" t="n">
        <f aca="false">N(Y97)+$X98</f>
        <v>0</v>
      </c>
      <c r="Z98" s="1" t="n">
        <f aca="false">IF(AND($M98=1,对接源_01水果!$D98="原料入库"),1,0)</f>
        <v>0</v>
      </c>
      <c r="AA98" s="1" t="n">
        <f aca="false">N(AA97)+$Z98</f>
        <v>20</v>
      </c>
      <c r="AB98" s="1" t="n">
        <f aca="false">IF(AND($M98=1,LEFT(对接源_01水果!$D98,4)="原料出库"),1,0)</f>
        <v>0</v>
      </c>
      <c r="AC98" s="1" t="n">
        <f aca="false">N(AC97)+$AB98</f>
        <v>0</v>
      </c>
      <c r="AD98" s="1" t="n">
        <f aca="false">IF(AND($M98=1,LEFT(对接源_01水果!$D98,4)="成品出库"),1,0)</f>
        <v>0</v>
      </c>
      <c r="AE98" s="1" t="n">
        <f aca="false">N(AE97)+$AD98</f>
        <v>0</v>
      </c>
      <c r="AF98" s="1" t="n">
        <f aca="false">IF(AND($N98=1,AND(LEFT(对接源_01水果!$D98,4)="包装物料",N(对接源_01水果!$K98)&lt;&gt;0)),1,0)</f>
        <v>0</v>
      </c>
      <c r="AG98" s="90" t="str">
        <f aca="false">IF(对接源_01水果!$AC98="","",对接源_01水果!$AC98)</f>
        <v/>
      </c>
      <c r="AH98" s="90" t="str">
        <f aca="false">IFERROR(INDEX($AG$4:$AG$1203,MATCH(ROW()-3,$AJ$4:$AJ$1203,0)),"")</f>
        <v/>
      </c>
      <c r="AI98" s="90" t="n">
        <f aca="false">IF(AG98="",0,IF(MATCH(AG98,$AG$4:$AG$1203,0)=ROW()-3,1,0))</f>
        <v>0</v>
      </c>
      <c r="AJ98" s="90" t="n">
        <f aca="false">N(AJ97)+AI98</f>
        <v>0</v>
      </c>
      <c r="AK98" s="1" t="n">
        <f aca="false">N(AK97)+$AJ98</f>
        <v>0</v>
      </c>
    </row>
    <row r="99" customFormat="false" ht="13.5" hidden="false" customHeight="false" outlineLevel="0" collapsed="false">
      <c r="A99" s="1" t="str">
        <f aca="false">IF(对接源_01水果!$C99="","",对接源_01水果!$C99)</f>
        <v>聂新平</v>
      </c>
      <c r="B99" s="1" t="n">
        <f aca="false">IF(A99="",0,IF(MATCH(A99,$A$4:$A$2403,0)=ROW()-3,1,0))</f>
        <v>0</v>
      </c>
      <c r="C99" s="1" t="n">
        <f aca="false">N(C98)+B99</f>
        <v>4</v>
      </c>
      <c r="E99" s="1" t="str">
        <f aca="false">IFERROR(INDEX($A$4:$A$2403,MATCH(ROW()-3,$C$4:$C$2403,0)),"")</f>
        <v/>
      </c>
      <c r="K99" s="1" t="n">
        <f aca="false">IF(OR($K$1="",对接源_01水果!$C99="",对接源_01水果!$C99&lt;&gt;$K$1,对接源_01水果!$B99=""),0,IF(OR(N(对接源_01水果!$B99)&lt;$K$2,N(对接源_01水果!$B99)&gt;$K$3),0,1))</f>
        <v>0</v>
      </c>
      <c r="L99" s="1" t="n">
        <f aca="false">IF(OR($L$1="",对接源_01水果!$C99="",对接源_01水果!$C99&lt;&gt;$L$1,对接源_01水果!$B99=""),0,IF(OR(N(对接源_01水果!$B99)&lt;$L$2,N(对接源_01水果!$B99)&gt;$L$3),0,1))</f>
        <v>0</v>
      </c>
      <c r="M99" s="1" t="n">
        <f aca="false">IF(OR($M$1="",对接源_01水果!$C99="",对接源_01水果!$C99&lt;&gt;$M$1,对接源_01水果!$B99=""),0,IF(OR(N(对接源_01水果!$B99)&lt;$M$2,N(对接源_01水果!$B99)&gt;$M$3),0,1))</f>
        <v>0</v>
      </c>
      <c r="N99" s="1" t="n">
        <f aca="false">IF(OR($N$1="",对接源_01水果!$C99="",对接源_01水果!$C99&lt;&gt;$N$1,对接源_01水果!$B99=""),0,IF(OR(N(对接源_01水果!$B99)&lt;$N$2,N(对接源_01水果!$B99)&gt;$N$3),0,1))</f>
        <v>0</v>
      </c>
      <c r="P99" s="1" t="n">
        <f aca="false">IF(AND($K99=1,AND(对接源_01水果!$X99="公司筐",N(对接源_01水果!$T99)&lt;&gt;0)),1,0)</f>
        <v>0</v>
      </c>
      <c r="Q99" s="1" t="n">
        <f aca="false">N(Q98)+$P99</f>
        <v>0</v>
      </c>
      <c r="R99" s="1" t="n">
        <f aca="false">IF(AND($K99=1,AND(对接源_01水果!$X99="公司筐",N(对接源_01水果!$U99)&lt;&gt;0)),1,0)</f>
        <v>0</v>
      </c>
      <c r="S99" s="1" t="n">
        <f aca="false">N(S98)+$R99</f>
        <v>0</v>
      </c>
      <c r="T99" s="1" t="n">
        <f aca="false">IF(AND($K99=1,AND(对接源_01水果!$X99="公司筐",N(对接源_01水果!$V99)&lt;&gt;0)),1,0)</f>
        <v>0</v>
      </c>
      <c r="U99" s="1" t="n">
        <f aca="false">N(U98)+$T99</f>
        <v>18</v>
      </c>
      <c r="V99" s="1" t="n">
        <f aca="false">IF(AND($L99=1,AND(对接源_01水果!$X99="自备筐",N(对接源_01水果!$V99)&lt;&gt;0)),1,0)</f>
        <v>0</v>
      </c>
      <c r="W99" s="1" t="n">
        <f aca="false">N(W98)+$V99</f>
        <v>0</v>
      </c>
      <c r="X99" s="1" t="n">
        <f aca="false">IF(AND($L99=1,AND(对接源_01水果!$X99="自备筐",N(对接源_01水果!$T99)&lt;&gt;0)),1,0)</f>
        <v>0</v>
      </c>
      <c r="Y99" s="1" t="n">
        <f aca="false">N(Y98)+$X99</f>
        <v>0</v>
      </c>
      <c r="Z99" s="1" t="n">
        <f aca="false">IF(AND($M99=1,对接源_01水果!$D99="原料入库"),1,0)</f>
        <v>0</v>
      </c>
      <c r="AA99" s="1" t="n">
        <f aca="false">N(AA98)+$Z99</f>
        <v>20</v>
      </c>
      <c r="AB99" s="1" t="n">
        <f aca="false">IF(AND($M99=1,LEFT(对接源_01水果!$D99,4)="原料出库"),1,0)</f>
        <v>0</v>
      </c>
      <c r="AC99" s="1" t="n">
        <f aca="false">N(AC98)+$AB99</f>
        <v>0</v>
      </c>
      <c r="AD99" s="1" t="n">
        <f aca="false">IF(AND($M99=1,LEFT(对接源_01水果!$D99,4)="成品出库"),1,0)</f>
        <v>0</v>
      </c>
      <c r="AE99" s="1" t="n">
        <f aca="false">N(AE98)+$AD99</f>
        <v>0</v>
      </c>
      <c r="AF99" s="1" t="n">
        <f aca="false">IF(AND($N99=1,AND(LEFT(对接源_01水果!$D99,4)="包装物料",N(对接源_01水果!$K99)&lt;&gt;0)),1,0)</f>
        <v>0</v>
      </c>
      <c r="AG99" s="90" t="str">
        <f aca="false">IF(对接源_01水果!$AC99="","",对接源_01水果!$AC99)</f>
        <v/>
      </c>
      <c r="AH99" s="90" t="str">
        <f aca="false">IFERROR(INDEX($AG$4:$AG$1203,MATCH(ROW()-3,$AJ$4:$AJ$1203,0)),"")</f>
        <v/>
      </c>
      <c r="AI99" s="90" t="n">
        <f aca="false">IF(AG99="",0,IF(MATCH(AG99,$AG$4:$AG$1203,0)=ROW()-3,1,0))</f>
        <v>0</v>
      </c>
      <c r="AJ99" s="90" t="n">
        <f aca="false">N(AJ98)+AI99</f>
        <v>0</v>
      </c>
      <c r="AK99" s="1" t="n">
        <f aca="false">N(AK98)+$AJ99</f>
        <v>0</v>
      </c>
    </row>
    <row r="100" customFormat="false" ht="13.5" hidden="false" customHeight="false" outlineLevel="0" collapsed="false">
      <c r="A100" s="1" t="str">
        <f aca="false">IF(对接源_01水果!$C100="","",对接源_01水果!$C100)</f>
        <v>聂新平</v>
      </c>
      <c r="B100" s="1" t="n">
        <f aca="false">IF(A100="",0,IF(MATCH(A100,$A$4:$A$2403,0)=ROW()-3,1,0))</f>
        <v>0</v>
      </c>
      <c r="C100" s="1" t="n">
        <f aca="false">N(C99)+B100</f>
        <v>4</v>
      </c>
      <c r="E100" s="1" t="str">
        <f aca="false">IFERROR(INDEX($A$4:$A$2403,MATCH(ROW()-3,$C$4:$C$2403,0)),"")</f>
        <v/>
      </c>
      <c r="K100" s="1" t="n">
        <f aca="false">IF(OR($K$1="",对接源_01水果!$C100="",对接源_01水果!$C100&lt;&gt;$K$1,对接源_01水果!$B100=""),0,IF(OR(N(对接源_01水果!$B100)&lt;$K$2,N(对接源_01水果!$B100)&gt;$K$3),0,1))</f>
        <v>0</v>
      </c>
      <c r="L100" s="1" t="n">
        <f aca="false">IF(OR($L$1="",对接源_01水果!$C100="",对接源_01水果!$C100&lt;&gt;$L$1,对接源_01水果!$B100=""),0,IF(OR(N(对接源_01水果!$B100)&lt;$L$2,N(对接源_01水果!$B100)&gt;$L$3),0,1))</f>
        <v>0</v>
      </c>
      <c r="M100" s="1" t="n">
        <f aca="false">IF(OR($M$1="",对接源_01水果!$C100="",对接源_01水果!$C100&lt;&gt;$M$1,对接源_01水果!$B100=""),0,IF(OR(N(对接源_01水果!$B100)&lt;$M$2,N(对接源_01水果!$B100)&gt;$M$3),0,1))</f>
        <v>0</v>
      </c>
      <c r="N100" s="1" t="n">
        <f aca="false">IF(OR($N$1="",对接源_01水果!$C100="",对接源_01水果!$C100&lt;&gt;$N$1,对接源_01水果!$B100=""),0,IF(OR(N(对接源_01水果!$B100)&lt;$N$2,N(对接源_01水果!$B100)&gt;$N$3),0,1))</f>
        <v>0</v>
      </c>
      <c r="P100" s="1" t="n">
        <f aca="false">IF(AND($K100=1,AND(对接源_01水果!$X100="公司筐",N(对接源_01水果!$T100)&lt;&gt;0)),1,0)</f>
        <v>0</v>
      </c>
      <c r="Q100" s="1" t="n">
        <f aca="false">N(Q99)+$P100</f>
        <v>0</v>
      </c>
      <c r="R100" s="1" t="n">
        <f aca="false">IF(AND($K100=1,AND(对接源_01水果!$X100="公司筐",N(对接源_01水果!$U100)&lt;&gt;0)),1,0)</f>
        <v>0</v>
      </c>
      <c r="S100" s="1" t="n">
        <f aca="false">N(S99)+$R100</f>
        <v>0</v>
      </c>
      <c r="T100" s="1" t="n">
        <f aca="false">IF(AND($K100=1,AND(对接源_01水果!$X100="公司筐",N(对接源_01水果!$V100)&lt;&gt;0)),1,0)</f>
        <v>0</v>
      </c>
      <c r="U100" s="1" t="n">
        <f aca="false">N(U99)+$T100</f>
        <v>18</v>
      </c>
      <c r="V100" s="1" t="n">
        <f aca="false">IF(AND($L100=1,AND(对接源_01水果!$X100="自备筐",N(对接源_01水果!$V100)&lt;&gt;0)),1,0)</f>
        <v>0</v>
      </c>
      <c r="W100" s="1" t="n">
        <f aca="false">N(W99)+$V100</f>
        <v>0</v>
      </c>
      <c r="X100" s="1" t="n">
        <f aca="false">IF(AND($L100=1,AND(对接源_01水果!$X100="自备筐",N(对接源_01水果!$T100)&lt;&gt;0)),1,0)</f>
        <v>0</v>
      </c>
      <c r="Y100" s="1" t="n">
        <f aca="false">N(Y99)+$X100</f>
        <v>0</v>
      </c>
      <c r="Z100" s="1" t="n">
        <f aca="false">IF(AND($M100=1,对接源_01水果!$D100="原料入库"),1,0)</f>
        <v>0</v>
      </c>
      <c r="AA100" s="1" t="n">
        <f aca="false">N(AA99)+$Z100</f>
        <v>20</v>
      </c>
      <c r="AB100" s="1" t="n">
        <f aca="false">IF(AND($M100=1,LEFT(对接源_01水果!$D100,4)="原料出库"),1,0)</f>
        <v>0</v>
      </c>
      <c r="AC100" s="1" t="n">
        <f aca="false">N(AC99)+$AB100</f>
        <v>0</v>
      </c>
      <c r="AD100" s="1" t="n">
        <f aca="false">IF(AND($M100=1,LEFT(对接源_01水果!$D100,4)="成品出库"),1,0)</f>
        <v>0</v>
      </c>
      <c r="AE100" s="1" t="n">
        <f aca="false">N(AE99)+$AD100</f>
        <v>0</v>
      </c>
      <c r="AF100" s="1" t="n">
        <f aca="false">IF(AND($N100=1,AND(LEFT(对接源_01水果!$D100,4)="包装物料",N(对接源_01水果!$K100)&lt;&gt;0)),1,0)</f>
        <v>0</v>
      </c>
      <c r="AG100" s="90" t="str">
        <f aca="false">IF(对接源_01水果!$AC100="","",对接源_01水果!$AC100)</f>
        <v/>
      </c>
      <c r="AH100" s="90" t="str">
        <f aca="false">IFERROR(INDEX($AG$4:$AG$1203,MATCH(ROW()-3,$AJ$4:$AJ$1203,0)),"")</f>
        <v/>
      </c>
      <c r="AI100" s="90" t="n">
        <f aca="false">IF(AG100="",0,IF(MATCH(AG100,$AG$4:$AG$1203,0)=ROW()-3,1,0))</f>
        <v>0</v>
      </c>
      <c r="AJ100" s="90" t="n">
        <f aca="false">N(AJ99)+AI100</f>
        <v>0</v>
      </c>
      <c r="AK100" s="1" t="n">
        <f aca="false">N(AK99)+$AJ100</f>
        <v>0</v>
      </c>
    </row>
    <row r="101" customFormat="false" ht="13.5" hidden="false" customHeight="false" outlineLevel="0" collapsed="false">
      <c r="A101" s="1" t="str">
        <f aca="false">IF(对接源_01水果!$C101="","",对接源_01水果!$C101)</f>
        <v>聂新平</v>
      </c>
      <c r="B101" s="1" t="n">
        <f aca="false">IF(A101="",0,IF(MATCH(A101,$A$4:$A$2403,0)=ROW()-3,1,0))</f>
        <v>0</v>
      </c>
      <c r="C101" s="1" t="n">
        <f aca="false">N(C100)+B101</f>
        <v>4</v>
      </c>
      <c r="E101" s="1" t="str">
        <f aca="false">IFERROR(INDEX($A$4:$A$2403,MATCH(ROW()-3,$C$4:$C$2403,0)),"")</f>
        <v/>
      </c>
      <c r="K101" s="1" t="n">
        <f aca="false">IF(OR($K$1="",对接源_01水果!$C101="",对接源_01水果!$C101&lt;&gt;$K$1,对接源_01水果!$B101=""),0,IF(OR(N(对接源_01水果!$B101)&lt;$K$2,N(对接源_01水果!$B101)&gt;$K$3),0,1))</f>
        <v>0</v>
      </c>
      <c r="L101" s="1" t="n">
        <f aca="false">IF(OR($L$1="",对接源_01水果!$C101="",对接源_01水果!$C101&lt;&gt;$L$1,对接源_01水果!$B101=""),0,IF(OR(N(对接源_01水果!$B101)&lt;$L$2,N(对接源_01水果!$B101)&gt;$L$3),0,1))</f>
        <v>0</v>
      </c>
      <c r="M101" s="1" t="n">
        <f aca="false">IF(OR($M$1="",对接源_01水果!$C101="",对接源_01水果!$C101&lt;&gt;$M$1,对接源_01水果!$B101=""),0,IF(OR(N(对接源_01水果!$B101)&lt;$M$2,N(对接源_01水果!$B101)&gt;$M$3),0,1))</f>
        <v>0</v>
      </c>
      <c r="N101" s="1" t="n">
        <f aca="false">IF(OR($N$1="",对接源_01水果!$C101="",对接源_01水果!$C101&lt;&gt;$N$1,对接源_01水果!$B101=""),0,IF(OR(N(对接源_01水果!$B101)&lt;$N$2,N(对接源_01水果!$B101)&gt;$N$3),0,1))</f>
        <v>0</v>
      </c>
      <c r="P101" s="1" t="n">
        <f aca="false">IF(AND($K101=1,AND(对接源_01水果!$X101="公司筐",N(对接源_01水果!$T101)&lt;&gt;0)),1,0)</f>
        <v>0</v>
      </c>
      <c r="Q101" s="1" t="n">
        <f aca="false">N(Q100)+$P101</f>
        <v>0</v>
      </c>
      <c r="R101" s="1" t="n">
        <f aca="false">IF(AND($K101=1,AND(对接源_01水果!$X101="公司筐",N(对接源_01水果!$U101)&lt;&gt;0)),1,0)</f>
        <v>0</v>
      </c>
      <c r="S101" s="1" t="n">
        <f aca="false">N(S100)+$R101</f>
        <v>0</v>
      </c>
      <c r="T101" s="1" t="n">
        <f aca="false">IF(AND($K101=1,AND(对接源_01水果!$X101="公司筐",N(对接源_01水果!$V101)&lt;&gt;0)),1,0)</f>
        <v>0</v>
      </c>
      <c r="U101" s="1" t="n">
        <f aca="false">N(U100)+$T101</f>
        <v>18</v>
      </c>
      <c r="V101" s="1" t="n">
        <f aca="false">IF(AND($L101=1,AND(对接源_01水果!$X101="自备筐",N(对接源_01水果!$V101)&lt;&gt;0)),1,0)</f>
        <v>0</v>
      </c>
      <c r="W101" s="1" t="n">
        <f aca="false">N(W100)+$V101</f>
        <v>0</v>
      </c>
      <c r="X101" s="1" t="n">
        <f aca="false">IF(AND($L101=1,AND(对接源_01水果!$X101="自备筐",N(对接源_01水果!$T101)&lt;&gt;0)),1,0)</f>
        <v>0</v>
      </c>
      <c r="Y101" s="1" t="n">
        <f aca="false">N(Y100)+$X101</f>
        <v>0</v>
      </c>
      <c r="Z101" s="1" t="n">
        <f aca="false">IF(AND($M101=1,对接源_01水果!$D101="原料入库"),1,0)</f>
        <v>0</v>
      </c>
      <c r="AA101" s="1" t="n">
        <f aca="false">N(AA100)+$Z101</f>
        <v>20</v>
      </c>
      <c r="AB101" s="1" t="n">
        <f aca="false">IF(AND($M101=1,LEFT(对接源_01水果!$D101,4)="原料出库"),1,0)</f>
        <v>0</v>
      </c>
      <c r="AC101" s="1" t="n">
        <f aca="false">N(AC100)+$AB101</f>
        <v>0</v>
      </c>
      <c r="AD101" s="1" t="n">
        <f aca="false">IF(AND($M101=1,LEFT(对接源_01水果!$D101,4)="成品出库"),1,0)</f>
        <v>0</v>
      </c>
      <c r="AE101" s="1" t="n">
        <f aca="false">N(AE100)+$AD101</f>
        <v>0</v>
      </c>
      <c r="AF101" s="1" t="n">
        <f aca="false">IF(AND($N101=1,AND(LEFT(对接源_01水果!$D101,4)="包装物料",N(对接源_01水果!$K101)&lt;&gt;0)),1,0)</f>
        <v>0</v>
      </c>
      <c r="AG101" s="90" t="str">
        <f aca="false">IF(对接源_01水果!$AC101="","",对接源_01水果!$AC101)</f>
        <v/>
      </c>
      <c r="AH101" s="90" t="str">
        <f aca="false">IFERROR(INDEX($AG$4:$AG$1203,MATCH(ROW()-3,$AJ$4:$AJ$1203,0)),"")</f>
        <v/>
      </c>
      <c r="AI101" s="90" t="n">
        <f aca="false">IF(AG101="",0,IF(MATCH(AG101,$AG$4:$AG$1203,0)=ROW()-3,1,0))</f>
        <v>0</v>
      </c>
      <c r="AJ101" s="90" t="n">
        <f aca="false">N(AJ100)+AI101</f>
        <v>0</v>
      </c>
      <c r="AK101" s="1" t="n">
        <f aca="false">N(AK100)+$AJ101</f>
        <v>0</v>
      </c>
    </row>
    <row r="102" customFormat="false" ht="13.5" hidden="false" customHeight="false" outlineLevel="0" collapsed="false">
      <c r="A102" s="1" t="str">
        <f aca="false">IF(对接源_01水果!$C102="","",对接源_01水果!$C102)</f>
        <v>聂新平</v>
      </c>
      <c r="B102" s="1" t="n">
        <f aca="false">IF(A102="",0,IF(MATCH(A102,$A$4:$A$2403,0)=ROW()-3,1,0))</f>
        <v>0</v>
      </c>
      <c r="C102" s="1" t="n">
        <f aca="false">N(C101)+B102</f>
        <v>4</v>
      </c>
      <c r="E102" s="1" t="str">
        <f aca="false">IFERROR(INDEX($A$4:$A$2403,MATCH(ROW()-3,$C$4:$C$2403,0)),"")</f>
        <v/>
      </c>
      <c r="K102" s="1" t="n">
        <f aca="false">IF(OR($K$1="",对接源_01水果!$C102="",对接源_01水果!$C102&lt;&gt;$K$1,对接源_01水果!$B102=""),0,IF(OR(N(对接源_01水果!$B102)&lt;$K$2,N(对接源_01水果!$B102)&gt;$K$3),0,1))</f>
        <v>0</v>
      </c>
      <c r="L102" s="1" t="n">
        <f aca="false">IF(OR($L$1="",对接源_01水果!$C102="",对接源_01水果!$C102&lt;&gt;$L$1,对接源_01水果!$B102=""),0,IF(OR(N(对接源_01水果!$B102)&lt;$L$2,N(对接源_01水果!$B102)&gt;$L$3),0,1))</f>
        <v>0</v>
      </c>
      <c r="M102" s="1" t="n">
        <f aca="false">IF(OR($M$1="",对接源_01水果!$C102="",对接源_01水果!$C102&lt;&gt;$M$1,对接源_01水果!$B102=""),0,IF(OR(N(对接源_01水果!$B102)&lt;$M$2,N(对接源_01水果!$B102)&gt;$M$3),0,1))</f>
        <v>0</v>
      </c>
      <c r="N102" s="1" t="n">
        <f aca="false">IF(OR($N$1="",对接源_01水果!$C102="",对接源_01水果!$C102&lt;&gt;$N$1,对接源_01水果!$B102=""),0,IF(OR(N(对接源_01水果!$B102)&lt;$N$2,N(对接源_01水果!$B102)&gt;$N$3),0,1))</f>
        <v>0</v>
      </c>
      <c r="P102" s="1" t="n">
        <f aca="false">IF(AND($K102=1,AND(对接源_01水果!$X102="公司筐",N(对接源_01水果!$T102)&lt;&gt;0)),1,0)</f>
        <v>0</v>
      </c>
      <c r="Q102" s="1" t="n">
        <f aca="false">N(Q101)+$P102</f>
        <v>0</v>
      </c>
      <c r="R102" s="1" t="n">
        <f aca="false">IF(AND($K102=1,AND(对接源_01水果!$X102="公司筐",N(对接源_01水果!$U102)&lt;&gt;0)),1,0)</f>
        <v>0</v>
      </c>
      <c r="S102" s="1" t="n">
        <f aca="false">N(S101)+$R102</f>
        <v>0</v>
      </c>
      <c r="T102" s="1" t="n">
        <f aca="false">IF(AND($K102=1,AND(对接源_01水果!$X102="公司筐",N(对接源_01水果!$V102)&lt;&gt;0)),1,0)</f>
        <v>0</v>
      </c>
      <c r="U102" s="1" t="n">
        <f aca="false">N(U101)+$T102</f>
        <v>18</v>
      </c>
      <c r="V102" s="1" t="n">
        <f aca="false">IF(AND($L102=1,AND(对接源_01水果!$X102="自备筐",N(对接源_01水果!$V102)&lt;&gt;0)),1,0)</f>
        <v>0</v>
      </c>
      <c r="W102" s="1" t="n">
        <f aca="false">N(W101)+$V102</f>
        <v>0</v>
      </c>
      <c r="X102" s="1" t="n">
        <f aca="false">IF(AND($L102=1,AND(对接源_01水果!$X102="自备筐",N(对接源_01水果!$T102)&lt;&gt;0)),1,0)</f>
        <v>0</v>
      </c>
      <c r="Y102" s="1" t="n">
        <f aca="false">N(Y101)+$X102</f>
        <v>0</v>
      </c>
      <c r="Z102" s="1" t="n">
        <f aca="false">IF(AND($M102=1,对接源_01水果!$D102="原料入库"),1,0)</f>
        <v>0</v>
      </c>
      <c r="AA102" s="1" t="n">
        <f aca="false">N(AA101)+$Z102</f>
        <v>20</v>
      </c>
      <c r="AB102" s="1" t="n">
        <f aca="false">IF(AND($M102=1,LEFT(对接源_01水果!$D102,4)="原料出库"),1,0)</f>
        <v>0</v>
      </c>
      <c r="AC102" s="1" t="n">
        <f aca="false">N(AC101)+$AB102</f>
        <v>0</v>
      </c>
      <c r="AD102" s="1" t="n">
        <f aca="false">IF(AND($M102=1,LEFT(对接源_01水果!$D102,4)="成品出库"),1,0)</f>
        <v>0</v>
      </c>
      <c r="AE102" s="1" t="n">
        <f aca="false">N(AE101)+$AD102</f>
        <v>0</v>
      </c>
      <c r="AF102" s="1" t="n">
        <f aca="false">IF(AND($N102=1,AND(LEFT(对接源_01水果!$D102,4)="包装物料",N(对接源_01水果!$K102)&lt;&gt;0)),1,0)</f>
        <v>0</v>
      </c>
      <c r="AG102" s="90" t="str">
        <f aca="false">IF(对接源_01水果!$AC102="","",对接源_01水果!$AC102)</f>
        <v/>
      </c>
      <c r="AH102" s="90" t="str">
        <f aca="false">IFERROR(INDEX($AG$4:$AG$1203,MATCH(ROW()-3,$AJ$4:$AJ$1203,0)),"")</f>
        <v/>
      </c>
      <c r="AI102" s="90" t="n">
        <f aca="false">IF(AG102="",0,IF(MATCH(AG102,$AG$4:$AG$1203,0)=ROW()-3,1,0))</f>
        <v>0</v>
      </c>
      <c r="AJ102" s="90" t="n">
        <f aca="false">N(AJ101)+AI102</f>
        <v>0</v>
      </c>
      <c r="AK102" s="1" t="n">
        <f aca="false">N(AK101)+$AJ102</f>
        <v>0</v>
      </c>
    </row>
    <row r="103" customFormat="false" ht="13.5" hidden="false" customHeight="false" outlineLevel="0" collapsed="false">
      <c r="A103" s="1" t="str">
        <f aca="false">IF(对接源_01水果!$C103="","",对接源_01水果!$C103)</f>
        <v>聂新平</v>
      </c>
      <c r="B103" s="1" t="n">
        <f aca="false">IF(A103="",0,IF(MATCH(A103,$A$4:$A$2403,0)=ROW()-3,1,0))</f>
        <v>0</v>
      </c>
      <c r="C103" s="1" t="n">
        <f aca="false">N(C102)+B103</f>
        <v>4</v>
      </c>
      <c r="E103" s="1" t="str">
        <f aca="false">IFERROR(INDEX($A$4:$A$2403,MATCH(ROW()-3,$C$4:$C$2403,0)),"")</f>
        <v/>
      </c>
      <c r="K103" s="1" t="n">
        <f aca="false">IF(OR($K$1="",对接源_01水果!$C103="",对接源_01水果!$C103&lt;&gt;$K$1,对接源_01水果!$B103=""),0,IF(OR(N(对接源_01水果!$B103)&lt;$K$2,N(对接源_01水果!$B103)&gt;$K$3),0,1))</f>
        <v>0</v>
      </c>
      <c r="L103" s="1" t="n">
        <f aca="false">IF(OR($L$1="",对接源_01水果!$C103="",对接源_01水果!$C103&lt;&gt;$L$1,对接源_01水果!$B103=""),0,IF(OR(N(对接源_01水果!$B103)&lt;$L$2,N(对接源_01水果!$B103)&gt;$L$3),0,1))</f>
        <v>0</v>
      </c>
      <c r="M103" s="1" t="n">
        <f aca="false">IF(OR($M$1="",对接源_01水果!$C103="",对接源_01水果!$C103&lt;&gt;$M$1,对接源_01水果!$B103=""),0,IF(OR(N(对接源_01水果!$B103)&lt;$M$2,N(对接源_01水果!$B103)&gt;$M$3),0,1))</f>
        <v>0</v>
      </c>
      <c r="N103" s="1" t="n">
        <f aca="false">IF(OR($N$1="",对接源_01水果!$C103="",对接源_01水果!$C103&lt;&gt;$N$1,对接源_01水果!$B103=""),0,IF(OR(N(对接源_01水果!$B103)&lt;$N$2,N(对接源_01水果!$B103)&gt;$N$3),0,1))</f>
        <v>0</v>
      </c>
      <c r="P103" s="1" t="n">
        <f aca="false">IF(AND($K103=1,AND(对接源_01水果!$X103="公司筐",N(对接源_01水果!$T103)&lt;&gt;0)),1,0)</f>
        <v>0</v>
      </c>
      <c r="Q103" s="1" t="n">
        <f aca="false">N(Q102)+$P103</f>
        <v>0</v>
      </c>
      <c r="R103" s="1" t="n">
        <f aca="false">IF(AND($K103=1,AND(对接源_01水果!$X103="公司筐",N(对接源_01水果!$U103)&lt;&gt;0)),1,0)</f>
        <v>0</v>
      </c>
      <c r="S103" s="1" t="n">
        <f aca="false">N(S102)+$R103</f>
        <v>0</v>
      </c>
      <c r="T103" s="1" t="n">
        <f aca="false">IF(AND($K103=1,AND(对接源_01水果!$X103="公司筐",N(对接源_01水果!$V103)&lt;&gt;0)),1,0)</f>
        <v>0</v>
      </c>
      <c r="U103" s="1" t="n">
        <f aca="false">N(U102)+$T103</f>
        <v>18</v>
      </c>
      <c r="V103" s="1" t="n">
        <f aca="false">IF(AND($L103=1,AND(对接源_01水果!$X103="自备筐",N(对接源_01水果!$V103)&lt;&gt;0)),1,0)</f>
        <v>0</v>
      </c>
      <c r="W103" s="1" t="n">
        <f aca="false">N(W102)+$V103</f>
        <v>0</v>
      </c>
      <c r="X103" s="1" t="n">
        <f aca="false">IF(AND($L103=1,AND(对接源_01水果!$X103="自备筐",N(对接源_01水果!$T103)&lt;&gt;0)),1,0)</f>
        <v>0</v>
      </c>
      <c r="Y103" s="1" t="n">
        <f aca="false">N(Y102)+$X103</f>
        <v>0</v>
      </c>
      <c r="Z103" s="1" t="n">
        <f aca="false">IF(AND($M103=1,对接源_01水果!$D103="原料入库"),1,0)</f>
        <v>0</v>
      </c>
      <c r="AA103" s="1" t="n">
        <f aca="false">N(AA102)+$Z103</f>
        <v>20</v>
      </c>
      <c r="AB103" s="1" t="n">
        <f aca="false">IF(AND($M103=1,LEFT(对接源_01水果!$D103,4)="原料出库"),1,0)</f>
        <v>0</v>
      </c>
      <c r="AC103" s="1" t="n">
        <f aca="false">N(AC102)+$AB103</f>
        <v>0</v>
      </c>
      <c r="AD103" s="1" t="n">
        <f aca="false">IF(AND($M103=1,LEFT(对接源_01水果!$D103,4)="成品出库"),1,0)</f>
        <v>0</v>
      </c>
      <c r="AE103" s="1" t="n">
        <f aca="false">N(AE102)+$AD103</f>
        <v>0</v>
      </c>
      <c r="AF103" s="1" t="n">
        <f aca="false">IF(AND($N103=1,AND(LEFT(对接源_01水果!$D103,4)="包装物料",N(对接源_01水果!$K103)&lt;&gt;0)),1,0)</f>
        <v>0</v>
      </c>
      <c r="AG103" s="90" t="str">
        <f aca="false">IF(对接源_01水果!$AC103="","",对接源_01水果!$AC103)</f>
        <v/>
      </c>
      <c r="AH103" s="90" t="str">
        <f aca="false">IFERROR(INDEX($AG$4:$AG$1203,MATCH(ROW()-3,$AJ$4:$AJ$1203,0)),"")</f>
        <v/>
      </c>
      <c r="AI103" s="90" t="n">
        <f aca="false">IF(AG103="",0,IF(MATCH(AG103,$AG$4:$AG$1203,0)=ROW()-3,1,0))</f>
        <v>0</v>
      </c>
      <c r="AJ103" s="90" t="n">
        <f aca="false">N(AJ102)+AI103</f>
        <v>0</v>
      </c>
      <c r="AK103" s="1" t="n">
        <f aca="false">N(AK102)+$AJ103</f>
        <v>0</v>
      </c>
    </row>
    <row r="104" customFormat="false" ht="13.5" hidden="false" customHeight="false" outlineLevel="0" collapsed="false">
      <c r="A104" s="1" t="str">
        <f aca="false">IF(对接源_01水果!$C104="","",对接源_01水果!$C104)</f>
        <v>聂新平</v>
      </c>
      <c r="B104" s="1" t="n">
        <f aca="false">IF(A104="",0,IF(MATCH(A104,$A$4:$A$2403,0)=ROW()-3,1,0))</f>
        <v>0</v>
      </c>
      <c r="C104" s="1" t="n">
        <f aca="false">N(C103)+B104</f>
        <v>4</v>
      </c>
      <c r="E104" s="1" t="str">
        <f aca="false">IFERROR(INDEX($A$4:$A$2403,MATCH(ROW()-3,$C$4:$C$2403,0)),"")</f>
        <v/>
      </c>
      <c r="K104" s="1" t="n">
        <f aca="false">IF(OR($K$1="",对接源_01水果!$C104="",对接源_01水果!$C104&lt;&gt;$K$1,对接源_01水果!$B104=""),0,IF(OR(N(对接源_01水果!$B104)&lt;$K$2,N(对接源_01水果!$B104)&gt;$K$3),0,1))</f>
        <v>0</v>
      </c>
      <c r="L104" s="1" t="n">
        <f aca="false">IF(OR($L$1="",对接源_01水果!$C104="",对接源_01水果!$C104&lt;&gt;$L$1,对接源_01水果!$B104=""),0,IF(OR(N(对接源_01水果!$B104)&lt;$L$2,N(对接源_01水果!$B104)&gt;$L$3),0,1))</f>
        <v>0</v>
      </c>
      <c r="M104" s="1" t="n">
        <f aca="false">IF(OR($M$1="",对接源_01水果!$C104="",对接源_01水果!$C104&lt;&gt;$M$1,对接源_01水果!$B104=""),0,IF(OR(N(对接源_01水果!$B104)&lt;$M$2,N(对接源_01水果!$B104)&gt;$M$3),0,1))</f>
        <v>0</v>
      </c>
      <c r="N104" s="1" t="n">
        <f aca="false">IF(OR($N$1="",对接源_01水果!$C104="",对接源_01水果!$C104&lt;&gt;$N$1,对接源_01水果!$B104=""),0,IF(OR(N(对接源_01水果!$B104)&lt;$N$2,N(对接源_01水果!$B104)&gt;$N$3),0,1))</f>
        <v>0</v>
      </c>
      <c r="P104" s="1" t="n">
        <f aca="false">IF(AND($K104=1,AND(对接源_01水果!$X104="公司筐",N(对接源_01水果!$T104)&lt;&gt;0)),1,0)</f>
        <v>0</v>
      </c>
      <c r="Q104" s="1" t="n">
        <f aca="false">N(Q103)+$P104</f>
        <v>0</v>
      </c>
      <c r="R104" s="1" t="n">
        <f aca="false">IF(AND($K104=1,AND(对接源_01水果!$X104="公司筐",N(对接源_01水果!$U104)&lt;&gt;0)),1,0)</f>
        <v>0</v>
      </c>
      <c r="S104" s="1" t="n">
        <f aca="false">N(S103)+$R104</f>
        <v>0</v>
      </c>
      <c r="T104" s="1" t="n">
        <f aca="false">IF(AND($K104=1,AND(对接源_01水果!$X104="公司筐",N(对接源_01水果!$V104)&lt;&gt;0)),1,0)</f>
        <v>0</v>
      </c>
      <c r="U104" s="1" t="n">
        <f aca="false">N(U103)+$T104</f>
        <v>18</v>
      </c>
      <c r="V104" s="1" t="n">
        <f aca="false">IF(AND($L104=1,AND(对接源_01水果!$X104="自备筐",N(对接源_01水果!$V104)&lt;&gt;0)),1,0)</f>
        <v>0</v>
      </c>
      <c r="W104" s="1" t="n">
        <f aca="false">N(W103)+$V104</f>
        <v>0</v>
      </c>
      <c r="X104" s="1" t="n">
        <f aca="false">IF(AND($L104=1,AND(对接源_01水果!$X104="自备筐",N(对接源_01水果!$T104)&lt;&gt;0)),1,0)</f>
        <v>0</v>
      </c>
      <c r="Y104" s="1" t="n">
        <f aca="false">N(Y103)+$X104</f>
        <v>0</v>
      </c>
      <c r="Z104" s="1" t="n">
        <f aca="false">IF(AND($M104=1,对接源_01水果!$D104="原料入库"),1,0)</f>
        <v>0</v>
      </c>
      <c r="AA104" s="1" t="n">
        <f aca="false">N(AA103)+$Z104</f>
        <v>20</v>
      </c>
      <c r="AB104" s="1" t="n">
        <f aca="false">IF(AND($M104=1,LEFT(对接源_01水果!$D104,4)="原料出库"),1,0)</f>
        <v>0</v>
      </c>
      <c r="AC104" s="1" t="n">
        <f aca="false">N(AC103)+$AB104</f>
        <v>0</v>
      </c>
      <c r="AD104" s="1" t="n">
        <f aca="false">IF(AND($M104=1,LEFT(对接源_01水果!$D104,4)="成品出库"),1,0)</f>
        <v>0</v>
      </c>
      <c r="AE104" s="1" t="n">
        <f aca="false">N(AE103)+$AD104</f>
        <v>0</v>
      </c>
      <c r="AF104" s="1" t="n">
        <f aca="false">IF(AND($N104=1,AND(LEFT(对接源_01水果!$D104,4)="包装物料",N(对接源_01水果!$K104)&lt;&gt;0)),1,0)</f>
        <v>0</v>
      </c>
      <c r="AG104" s="90" t="str">
        <f aca="false">IF(对接源_01水果!$AC104="","",对接源_01水果!$AC104)</f>
        <v/>
      </c>
      <c r="AH104" s="90" t="str">
        <f aca="false">IFERROR(INDEX($AG$4:$AG$1203,MATCH(ROW()-3,$AJ$4:$AJ$1203,0)),"")</f>
        <v/>
      </c>
      <c r="AI104" s="90" t="n">
        <f aca="false">IF(AG104="",0,IF(MATCH(AG104,$AG$4:$AG$1203,0)=ROW()-3,1,0))</f>
        <v>0</v>
      </c>
      <c r="AJ104" s="90" t="n">
        <f aca="false">N(AJ103)+AI104</f>
        <v>0</v>
      </c>
      <c r="AK104" s="1" t="n">
        <f aca="false">N(AK103)+$AJ104</f>
        <v>0</v>
      </c>
    </row>
    <row r="105" customFormat="false" ht="13.5" hidden="false" customHeight="false" outlineLevel="0" collapsed="false">
      <c r="A105" s="1" t="str">
        <f aca="false">IF(对接源_01水果!$C105="","",对接源_01水果!$C105)</f>
        <v>聂新平</v>
      </c>
      <c r="B105" s="1" t="n">
        <f aca="false">IF(A105="",0,IF(MATCH(A105,$A$4:$A$2403,0)=ROW()-3,1,0))</f>
        <v>0</v>
      </c>
      <c r="C105" s="1" t="n">
        <f aca="false">N(C104)+B105</f>
        <v>4</v>
      </c>
      <c r="E105" s="1" t="str">
        <f aca="false">IFERROR(INDEX($A$4:$A$2403,MATCH(ROW()-3,$C$4:$C$2403,0)),"")</f>
        <v/>
      </c>
      <c r="K105" s="1" t="n">
        <f aca="false">IF(OR($K$1="",对接源_01水果!$C105="",对接源_01水果!$C105&lt;&gt;$K$1,对接源_01水果!$B105=""),0,IF(OR(N(对接源_01水果!$B105)&lt;$K$2,N(对接源_01水果!$B105)&gt;$K$3),0,1))</f>
        <v>0</v>
      </c>
      <c r="L105" s="1" t="n">
        <f aca="false">IF(OR($L$1="",对接源_01水果!$C105="",对接源_01水果!$C105&lt;&gt;$L$1,对接源_01水果!$B105=""),0,IF(OR(N(对接源_01水果!$B105)&lt;$L$2,N(对接源_01水果!$B105)&gt;$L$3),0,1))</f>
        <v>0</v>
      </c>
      <c r="M105" s="1" t="n">
        <f aca="false">IF(OR($M$1="",对接源_01水果!$C105="",对接源_01水果!$C105&lt;&gt;$M$1,对接源_01水果!$B105=""),0,IF(OR(N(对接源_01水果!$B105)&lt;$M$2,N(对接源_01水果!$B105)&gt;$M$3),0,1))</f>
        <v>0</v>
      </c>
      <c r="N105" s="1" t="n">
        <f aca="false">IF(OR($N$1="",对接源_01水果!$C105="",对接源_01水果!$C105&lt;&gt;$N$1,对接源_01水果!$B105=""),0,IF(OR(N(对接源_01水果!$B105)&lt;$N$2,N(对接源_01水果!$B105)&gt;$N$3),0,1))</f>
        <v>0</v>
      </c>
      <c r="P105" s="1" t="n">
        <f aca="false">IF(AND($K105=1,AND(对接源_01水果!$X105="公司筐",N(对接源_01水果!$T105)&lt;&gt;0)),1,0)</f>
        <v>0</v>
      </c>
      <c r="Q105" s="1" t="n">
        <f aca="false">N(Q104)+$P105</f>
        <v>0</v>
      </c>
      <c r="R105" s="1" t="n">
        <f aca="false">IF(AND($K105=1,AND(对接源_01水果!$X105="公司筐",N(对接源_01水果!$U105)&lt;&gt;0)),1,0)</f>
        <v>0</v>
      </c>
      <c r="S105" s="1" t="n">
        <f aca="false">N(S104)+$R105</f>
        <v>0</v>
      </c>
      <c r="T105" s="1" t="n">
        <f aca="false">IF(AND($K105=1,AND(对接源_01水果!$X105="公司筐",N(对接源_01水果!$V105)&lt;&gt;0)),1,0)</f>
        <v>0</v>
      </c>
      <c r="U105" s="1" t="n">
        <f aca="false">N(U104)+$T105</f>
        <v>18</v>
      </c>
      <c r="V105" s="1" t="n">
        <f aca="false">IF(AND($L105=1,AND(对接源_01水果!$X105="自备筐",N(对接源_01水果!$V105)&lt;&gt;0)),1,0)</f>
        <v>0</v>
      </c>
      <c r="W105" s="1" t="n">
        <f aca="false">N(W104)+$V105</f>
        <v>0</v>
      </c>
      <c r="X105" s="1" t="n">
        <f aca="false">IF(AND($L105=1,AND(对接源_01水果!$X105="自备筐",N(对接源_01水果!$T105)&lt;&gt;0)),1,0)</f>
        <v>0</v>
      </c>
      <c r="Y105" s="1" t="n">
        <f aca="false">N(Y104)+$X105</f>
        <v>0</v>
      </c>
      <c r="Z105" s="1" t="n">
        <f aca="false">IF(AND($M105=1,对接源_01水果!$D105="原料入库"),1,0)</f>
        <v>0</v>
      </c>
      <c r="AA105" s="1" t="n">
        <f aca="false">N(AA104)+$Z105</f>
        <v>20</v>
      </c>
      <c r="AB105" s="1" t="n">
        <f aca="false">IF(AND($M105=1,LEFT(对接源_01水果!$D105,4)="原料出库"),1,0)</f>
        <v>0</v>
      </c>
      <c r="AC105" s="1" t="n">
        <f aca="false">N(AC104)+$AB105</f>
        <v>0</v>
      </c>
      <c r="AD105" s="1" t="n">
        <f aca="false">IF(AND($M105=1,LEFT(对接源_01水果!$D105,4)="成品出库"),1,0)</f>
        <v>0</v>
      </c>
      <c r="AE105" s="1" t="n">
        <f aca="false">N(AE104)+$AD105</f>
        <v>0</v>
      </c>
      <c r="AF105" s="1" t="n">
        <f aca="false">IF(AND($N105=1,AND(LEFT(对接源_01水果!$D105,4)="包装物料",N(对接源_01水果!$K105)&lt;&gt;0)),1,0)</f>
        <v>0</v>
      </c>
      <c r="AG105" s="90" t="str">
        <f aca="false">IF(对接源_01水果!$AC105="","",对接源_01水果!$AC105)</f>
        <v/>
      </c>
      <c r="AH105" s="90" t="str">
        <f aca="false">IFERROR(INDEX($AG$4:$AG$1203,MATCH(ROW()-3,$AJ$4:$AJ$1203,0)),"")</f>
        <v/>
      </c>
      <c r="AI105" s="90" t="n">
        <f aca="false">IF(AG105="",0,IF(MATCH(AG105,$AG$4:$AG$1203,0)=ROW()-3,1,0))</f>
        <v>0</v>
      </c>
      <c r="AJ105" s="90" t="n">
        <f aca="false">N(AJ104)+AI105</f>
        <v>0</v>
      </c>
      <c r="AK105" s="1" t="n">
        <f aca="false">N(AK104)+$AJ105</f>
        <v>0</v>
      </c>
    </row>
    <row r="106" customFormat="false" ht="13.5" hidden="false" customHeight="false" outlineLevel="0" collapsed="false">
      <c r="A106" s="1" t="str">
        <f aca="false">IF(对接源_01水果!$C106="","",对接源_01水果!$C106)</f>
        <v>聂新平</v>
      </c>
      <c r="B106" s="1" t="n">
        <f aca="false">IF(A106="",0,IF(MATCH(A106,$A$4:$A$2403,0)=ROW()-3,1,0))</f>
        <v>0</v>
      </c>
      <c r="C106" s="1" t="n">
        <f aca="false">N(C105)+B106</f>
        <v>4</v>
      </c>
      <c r="E106" s="1" t="str">
        <f aca="false">IFERROR(INDEX($A$4:$A$2403,MATCH(ROW()-3,$C$4:$C$2403,0)),"")</f>
        <v/>
      </c>
      <c r="K106" s="1" t="n">
        <f aca="false">IF(OR($K$1="",对接源_01水果!$C106="",对接源_01水果!$C106&lt;&gt;$K$1,对接源_01水果!$B106=""),0,IF(OR(N(对接源_01水果!$B106)&lt;$K$2,N(对接源_01水果!$B106)&gt;$K$3),0,1))</f>
        <v>0</v>
      </c>
      <c r="L106" s="1" t="n">
        <f aca="false">IF(OR($L$1="",对接源_01水果!$C106="",对接源_01水果!$C106&lt;&gt;$L$1,对接源_01水果!$B106=""),0,IF(OR(N(对接源_01水果!$B106)&lt;$L$2,N(对接源_01水果!$B106)&gt;$L$3),0,1))</f>
        <v>0</v>
      </c>
      <c r="M106" s="1" t="n">
        <f aca="false">IF(OR($M$1="",对接源_01水果!$C106="",对接源_01水果!$C106&lt;&gt;$M$1,对接源_01水果!$B106=""),0,IF(OR(N(对接源_01水果!$B106)&lt;$M$2,N(对接源_01水果!$B106)&gt;$M$3),0,1))</f>
        <v>0</v>
      </c>
      <c r="N106" s="1" t="n">
        <f aca="false">IF(OR($N$1="",对接源_01水果!$C106="",对接源_01水果!$C106&lt;&gt;$N$1,对接源_01水果!$B106=""),0,IF(OR(N(对接源_01水果!$B106)&lt;$N$2,N(对接源_01水果!$B106)&gt;$N$3),0,1))</f>
        <v>0</v>
      </c>
      <c r="P106" s="1" t="n">
        <f aca="false">IF(AND($K106=1,AND(对接源_01水果!$X106="公司筐",N(对接源_01水果!$T106)&lt;&gt;0)),1,0)</f>
        <v>0</v>
      </c>
      <c r="Q106" s="1" t="n">
        <f aca="false">N(Q105)+$P106</f>
        <v>0</v>
      </c>
      <c r="R106" s="1" t="n">
        <f aca="false">IF(AND($K106=1,AND(对接源_01水果!$X106="公司筐",N(对接源_01水果!$U106)&lt;&gt;0)),1,0)</f>
        <v>0</v>
      </c>
      <c r="S106" s="1" t="n">
        <f aca="false">N(S105)+$R106</f>
        <v>0</v>
      </c>
      <c r="T106" s="1" t="n">
        <f aca="false">IF(AND($K106=1,AND(对接源_01水果!$X106="公司筐",N(对接源_01水果!$V106)&lt;&gt;0)),1,0)</f>
        <v>0</v>
      </c>
      <c r="U106" s="1" t="n">
        <f aca="false">N(U105)+$T106</f>
        <v>18</v>
      </c>
      <c r="V106" s="1" t="n">
        <f aca="false">IF(AND($L106=1,AND(对接源_01水果!$X106="自备筐",N(对接源_01水果!$V106)&lt;&gt;0)),1,0)</f>
        <v>0</v>
      </c>
      <c r="W106" s="1" t="n">
        <f aca="false">N(W105)+$V106</f>
        <v>0</v>
      </c>
      <c r="X106" s="1" t="n">
        <f aca="false">IF(AND($L106=1,AND(对接源_01水果!$X106="自备筐",N(对接源_01水果!$T106)&lt;&gt;0)),1,0)</f>
        <v>0</v>
      </c>
      <c r="Y106" s="1" t="n">
        <f aca="false">N(Y105)+$X106</f>
        <v>0</v>
      </c>
      <c r="Z106" s="1" t="n">
        <f aca="false">IF(AND($M106=1,对接源_01水果!$D106="原料入库"),1,0)</f>
        <v>0</v>
      </c>
      <c r="AA106" s="1" t="n">
        <f aca="false">N(AA105)+$Z106</f>
        <v>20</v>
      </c>
      <c r="AB106" s="1" t="n">
        <f aca="false">IF(AND($M106=1,LEFT(对接源_01水果!$D106,4)="原料出库"),1,0)</f>
        <v>0</v>
      </c>
      <c r="AC106" s="1" t="n">
        <f aca="false">N(AC105)+$AB106</f>
        <v>0</v>
      </c>
      <c r="AD106" s="1" t="n">
        <f aca="false">IF(AND($M106=1,LEFT(对接源_01水果!$D106,4)="成品出库"),1,0)</f>
        <v>0</v>
      </c>
      <c r="AE106" s="1" t="n">
        <f aca="false">N(AE105)+$AD106</f>
        <v>0</v>
      </c>
      <c r="AF106" s="1" t="n">
        <f aca="false">IF(AND($N106=1,AND(LEFT(对接源_01水果!$D106,4)="包装物料",N(对接源_01水果!$K106)&lt;&gt;0)),1,0)</f>
        <v>0</v>
      </c>
      <c r="AG106" s="90" t="str">
        <f aca="false">IF(对接源_01水果!$AC106="","",对接源_01水果!$AC106)</f>
        <v/>
      </c>
      <c r="AH106" s="90" t="str">
        <f aca="false">IFERROR(INDEX($AG$4:$AG$1203,MATCH(ROW()-3,$AJ$4:$AJ$1203,0)),"")</f>
        <v/>
      </c>
      <c r="AI106" s="90" t="n">
        <f aca="false">IF(AG106="",0,IF(MATCH(AG106,$AG$4:$AG$1203,0)=ROW()-3,1,0))</f>
        <v>0</v>
      </c>
      <c r="AJ106" s="90" t="n">
        <f aca="false">N(AJ105)+AI106</f>
        <v>0</v>
      </c>
      <c r="AK106" s="1" t="n">
        <f aca="false">N(AK105)+$AJ106</f>
        <v>0</v>
      </c>
    </row>
    <row r="107" customFormat="false" ht="13.5" hidden="false" customHeight="false" outlineLevel="0" collapsed="false">
      <c r="A107" s="1" t="str">
        <f aca="false">IF(对接源_01水果!$C107="","",对接源_01水果!$C107)</f>
        <v>聂新平</v>
      </c>
      <c r="B107" s="1" t="n">
        <f aca="false">IF(A107="",0,IF(MATCH(A107,$A$4:$A$2403,0)=ROW()-3,1,0))</f>
        <v>0</v>
      </c>
      <c r="C107" s="1" t="n">
        <f aca="false">N(C106)+B107</f>
        <v>4</v>
      </c>
      <c r="E107" s="1" t="str">
        <f aca="false">IFERROR(INDEX($A$4:$A$2403,MATCH(ROW()-3,$C$4:$C$2403,0)),"")</f>
        <v/>
      </c>
      <c r="K107" s="1" t="n">
        <f aca="false">IF(OR($K$1="",对接源_01水果!$C107="",对接源_01水果!$C107&lt;&gt;$K$1,对接源_01水果!$B107=""),0,IF(OR(N(对接源_01水果!$B107)&lt;$K$2,N(对接源_01水果!$B107)&gt;$K$3),0,1))</f>
        <v>0</v>
      </c>
      <c r="L107" s="1" t="n">
        <f aca="false">IF(OR($L$1="",对接源_01水果!$C107="",对接源_01水果!$C107&lt;&gt;$L$1,对接源_01水果!$B107=""),0,IF(OR(N(对接源_01水果!$B107)&lt;$L$2,N(对接源_01水果!$B107)&gt;$L$3),0,1))</f>
        <v>0</v>
      </c>
      <c r="M107" s="1" t="n">
        <f aca="false">IF(OR($M$1="",对接源_01水果!$C107="",对接源_01水果!$C107&lt;&gt;$M$1,对接源_01水果!$B107=""),0,IF(OR(N(对接源_01水果!$B107)&lt;$M$2,N(对接源_01水果!$B107)&gt;$M$3),0,1))</f>
        <v>0</v>
      </c>
      <c r="N107" s="1" t="n">
        <f aca="false">IF(OR($N$1="",对接源_01水果!$C107="",对接源_01水果!$C107&lt;&gt;$N$1,对接源_01水果!$B107=""),0,IF(OR(N(对接源_01水果!$B107)&lt;$N$2,N(对接源_01水果!$B107)&gt;$N$3),0,1))</f>
        <v>0</v>
      </c>
      <c r="P107" s="1" t="n">
        <f aca="false">IF(AND($K107=1,AND(对接源_01水果!$X107="公司筐",N(对接源_01水果!$T107)&lt;&gt;0)),1,0)</f>
        <v>0</v>
      </c>
      <c r="Q107" s="1" t="n">
        <f aca="false">N(Q106)+$P107</f>
        <v>0</v>
      </c>
      <c r="R107" s="1" t="n">
        <f aca="false">IF(AND($K107=1,AND(对接源_01水果!$X107="公司筐",N(对接源_01水果!$U107)&lt;&gt;0)),1,0)</f>
        <v>0</v>
      </c>
      <c r="S107" s="1" t="n">
        <f aca="false">N(S106)+$R107</f>
        <v>0</v>
      </c>
      <c r="T107" s="1" t="n">
        <f aca="false">IF(AND($K107=1,AND(对接源_01水果!$X107="公司筐",N(对接源_01水果!$V107)&lt;&gt;0)),1,0)</f>
        <v>0</v>
      </c>
      <c r="U107" s="1" t="n">
        <f aca="false">N(U106)+$T107</f>
        <v>18</v>
      </c>
      <c r="V107" s="1" t="n">
        <f aca="false">IF(AND($L107=1,AND(对接源_01水果!$X107="自备筐",N(对接源_01水果!$V107)&lt;&gt;0)),1,0)</f>
        <v>0</v>
      </c>
      <c r="W107" s="1" t="n">
        <f aca="false">N(W106)+$V107</f>
        <v>0</v>
      </c>
      <c r="X107" s="1" t="n">
        <f aca="false">IF(AND($L107=1,AND(对接源_01水果!$X107="自备筐",N(对接源_01水果!$T107)&lt;&gt;0)),1,0)</f>
        <v>0</v>
      </c>
      <c r="Y107" s="1" t="n">
        <f aca="false">N(Y106)+$X107</f>
        <v>0</v>
      </c>
      <c r="Z107" s="1" t="n">
        <f aca="false">IF(AND($M107=1,对接源_01水果!$D107="原料入库"),1,0)</f>
        <v>0</v>
      </c>
      <c r="AA107" s="1" t="n">
        <f aca="false">N(AA106)+$Z107</f>
        <v>20</v>
      </c>
      <c r="AB107" s="1" t="n">
        <f aca="false">IF(AND($M107=1,LEFT(对接源_01水果!$D107,4)="原料出库"),1,0)</f>
        <v>0</v>
      </c>
      <c r="AC107" s="1" t="n">
        <f aca="false">N(AC106)+$AB107</f>
        <v>0</v>
      </c>
      <c r="AD107" s="1" t="n">
        <f aca="false">IF(AND($M107=1,LEFT(对接源_01水果!$D107,4)="成品出库"),1,0)</f>
        <v>0</v>
      </c>
      <c r="AE107" s="1" t="n">
        <f aca="false">N(AE106)+$AD107</f>
        <v>0</v>
      </c>
      <c r="AF107" s="1" t="n">
        <f aca="false">IF(AND($N107=1,AND(LEFT(对接源_01水果!$D107,4)="包装物料",N(对接源_01水果!$K107)&lt;&gt;0)),1,0)</f>
        <v>0</v>
      </c>
      <c r="AG107" s="90" t="str">
        <f aca="false">IF(对接源_01水果!$AC107="","",对接源_01水果!$AC107)</f>
        <v/>
      </c>
      <c r="AH107" s="90" t="str">
        <f aca="false">IFERROR(INDEX($AG$4:$AG$1203,MATCH(ROW()-3,$AJ$4:$AJ$1203,0)),"")</f>
        <v/>
      </c>
      <c r="AI107" s="90" t="n">
        <f aca="false">IF(AG107="",0,IF(MATCH(AG107,$AG$4:$AG$1203,0)=ROW()-3,1,0))</f>
        <v>0</v>
      </c>
      <c r="AJ107" s="90" t="n">
        <f aca="false">N(AJ106)+AI107</f>
        <v>0</v>
      </c>
      <c r="AK107" s="1" t="n">
        <f aca="false">N(AK106)+$AJ107</f>
        <v>0</v>
      </c>
    </row>
    <row r="108" customFormat="false" ht="13.5" hidden="false" customHeight="false" outlineLevel="0" collapsed="false">
      <c r="A108" s="1" t="str">
        <f aca="false">IF(对接源_01水果!$C108="","",对接源_01水果!$C108)</f>
        <v>聂新平</v>
      </c>
      <c r="B108" s="1" t="n">
        <f aca="false">IF(A108="",0,IF(MATCH(A108,$A$4:$A$2403,0)=ROW()-3,1,0))</f>
        <v>0</v>
      </c>
      <c r="C108" s="1" t="n">
        <f aca="false">N(C107)+B108</f>
        <v>4</v>
      </c>
      <c r="E108" s="1" t="str">
        <f aca="false">IFERROR(INDEX($A$4:$A$2403,MATCH(ROW()-3,$C$4:$C$2403,0)),"")</f>
        <v/>
      </c>
      <c r="K108" s="1" t="n">
        <f aca="false">IF(OR($K$1="",对接源_01水果!$C108="",对接源_01水果!$C108&lt;&gt;$K$1,对接源_01水果!$B108=""),0,IF(OR(N(对接源_01水果!$B108)&lt;$K$2,N(对接源_01水果!$B108)&gt;$K$3),0,1))</f>
        <v>0</v>
      </c>
      <c r="L108" s="1" t="n">
        <f aca="false">IF(OR($L$1="",对接源_01水果!$C108="",对接源_01水果!$C108&lt;&gt;$L$1,对接源_01水果!$B108=""),0,IF(OR(N(对接源_01水果!$B108)&lt;$L$2,N(对接源_01水果!$B108)&gt;$L$3),0,1))</f>
        <v>0</v>
      </c>
      <c r="M108" s="1" t="n">
        <f aca="false">IF(OR($M$1="",对接源_01水果!$C108="",对接源_01水果!$C108&lt;&gt;$M$1,对接源_01水果!$B108=""),0,IF(OR(N(对接源_01水果!$B108)&lt;$M$2,N(对接源_01水果!$B108)&gt;$M$3),0,1))</f>
        <v>0</v>
      </c>
      <c r="N108" s="1" t="n">
        <f aca="false">IF(OR($N$1="",对接源_01水果!$C108="",对接源_01水果!$C108&lt;&gt;$N$1,对接源_01水果!$B108=""),0,IF(OR(N(对接源_01水果!$B108)&lt;$N$2,N(对接源_01水果!$B108)&gt;$N$3),0,1))</f>
        <v>0</v>
      </c>
      <c r="P108" s="1" t="n">
        <f aca="false">IF(AND($K108=1,AND(对接源_01水果!$X108="公司筐",N(对接源_01水果!$T108)&lt;&gt;0)),1,0)</f>
        <v>0</v>
      </c>
      <c r="Q108" s="1" t="n">
        <f aca="false">N(Q107)+$P108</f>
        <v>0</v>
      </c>
      <c r="R108" s="1" t="n">
        <f aca="false">IF(AND($K108=1,AND(对接源_01水果!$X108="公司筐",N(对接源_01水果!$U108)&lt;&gt;0)),1,0)</f>
        <v>0</v>
      </c>
      <c r="S108" s="1" t="n">
        <f aca="false">N(S107)+$R108</f>
        <v>0</v>
      </c>
      <c r="T108" s="1" t="n">
        <f aca="false">IF(AND($K108=1,AND(对接源_01水果!$X108="公司筐",N(对接源_01水果!$V108)&lt;&gt;0)),1,0)</f>
        <v>0</v>
      </c>
      <c r="U108" s="1" t="n">
        <f aca="false">N(U107)+$T108</f>
        <v>18</v>
      </c>
      <c r="V108" s="1" t="n">
        <f aca="false">IF(AND($L108=1,AND(对接源_01水果!$X108="自备筐",N(对接源_01水果!$V108)&lt;&gt;0)),1,0)</f>
        <v>0</v>
      </c>
      <c r="W108" s="1" t="n">
        <f aca="false">N(W107)+$V108</f>
        <v>0</v>
      </c>
      <c r="X108" s="1" t="n">
        <f aca="false">IF(AND($L108=1,AND(对接源_01水果!$X108="自备筐",N(对接源_01水果!$T108)&lt;&gt;0)),1,0)</f>
        <v>0</v>
      </c>
      <c r="Y108" s="1" t="n">
        <f aca="false">N(Y107)+$X108</f>
        <v>0</v>
      </c>
      <c r="Z108" s="1" t="n">
        <f aca="false">IF(AND($M108=1,对接源_01水果!$D108="原料入库"),1,0)</f>
        <v>0</v>
      </c>
      <c r="AA108" s="1" t="n">
        <f aca="false">N(AA107)+$Z108</f>
        <v>20</v>
      </c>
      <c r="AB108" s="1" t="n">
        <f aca="false">IF(AND($M108=1,LEFT(对接源_01水果!$D108,4)="原料出库"),1,0)</f>
        <v>0</v>
      </c>
      <c r="AC108" s="1" t="n">
        <f aca="false">N(AC107)+$AB108</f>
        <v>0</v>
      </c>
      <c r="AD108" s="1" t="n">
        <f aca="false">IF(AND($M108=1,LEFT(对接源_01水果!$D108,4)="成品出库"),1,0)</f>
        <v>0</v>
      </c>
      <c r="AE108" s="1" t="n">
        <f aca="false">N(AE107)+$AD108</f>
        <v>0</v>
      </c>
      <c r="AF108" s="1" t="n">
        <f aca="false">IF(AND($N108=1,AND(LEFT(对接源_01水果!$D108,4)="包装物料",N(对接源_01水果!$K108)&lt;&gt;0)),1,0)</f>
        <v>0</v>
      </c>
      <c r="AG108" s="90" t="str">
        <f aca="false">IF(对接源_01水果!$AC108="","",对接源_01水果!$AC108)</f>
        <v/>
      </c>
      <c r="AH108" s="90" t="str">
        <f aca="false">IFERROR(INDEX($AG$4:$AG$1203,MATCH(ROW()-3,$AJ$4:$AJ$1203,0)),"")</f>
        <v/>
      </c>
      <c r="AI108" s="90" t="n">
        <f aca="false">IF(AG108="",0,IF(MATCH(AG108,$AG$4:$AG$1203,0)=ROW()-3,1,0))</f>
        <v>0</v>
      </c>
      <c r="AJ108" s="90" t="n">
        <f aca="false">N(AJ107)+AI108</f>
        <v>0</v>
      </c>
      <c r="AK108" s="1" t="n">
        <f aca="false">N(AK107)+$AJ108</f>
        <v>0</v>
      </c>
    </row>
    <row r="109" customFormat="false" ht="13.5" hidden="false" customHeight="false" outlineLevel="0" collapsed="false">
      <c r="A109" s="1" t="str">
        <f aca="false">IF(对接源_01水果!$C109="","",对接源_01水果!$C109)</f>
        <v>聂新平</v>
      </c>
      <c r="B109" s="1" t="n">
        <f aca="false">IF(A109="",0,IF(MATCH(A109,$A$4:$A$2403,0)=ROW()-3,1,0))</f>
        <v>0</v>
      </c>
      <c r="C109" s="1" t="n">
        <f aca="false">N(C108)+B109</f>
        <v>4</v>
      </c>
      <c r="E109" s="1" t="str">
        <f aca="false">IFERROR(INDEX($A$4:$A$2403,MATCH(ROW()-3,$C$4:$C$2403,0)),"")</f>
        <v/>
      </c>
      <c r="K109" s="1" t="n">
        <f aca="false">IF(OR($K$1="",对接源_01水果!$C109="",对接源_01水果!$C109&lt;&gt;$K$1,对接源_01水果!$B109=""),0,IF(OR(N(对接源_01水果!$B109)&lt;$K$2,N(对接源_01水果!$B109)&gt;$K$3),0,1))</f>
        <v>0</v>
      </c>
      <c r="L109" s="1" t="n">
        <f aca="false">IF(OR($L$1="",对接源_01水果!$C109="",对接源_01水果!$C109&lt;&gt;$L$1,对接源_01水果!$B109=""),0,IF(OR(N(对接源_01水果!$B109)&lt;$L$2,N(对接源_01水果!$B109)&gt;$L$3),0,1))</f>
        <v>0</v>
      </c>
      <c r="M109" s="1" t="n">
        <f aca="false">IF(OR($M$1="",对接源_01水果!$C109="",对接源_01水果!$C109&lt;&gt;$M$1,对接源_01水果!$B109=""),0,IF(OR(N(对接源_01水果!$B109)&lt;$M$2,N(对接源_01水果!$B109)&gt;$M$3),0,1))</f>
        <v>0</v>
      </c>
      <c r="N109" s="1" t="n">
        <f aca="false">IF(OR($N$1="",对接源_01水果!$C109="",对接源_01水果!$C109&lt;&gt;$N$1,对接源_01水果!$B109=""),0,IF(OR(N(对接源_01水果!$B109)&lt;$N$2,N(对接源_01水果!$B109)&gt;$N$3),0,1))</f>
        <v>0</v>
      </c>
      <c r="P109" s="1" t="n">
        <f aca="false">IF(AND($K109=1,AND(对接源_01水果!$X109="公司筐",N(对接源_01水果!$T109)&lt;&gt;0)),1,0)</f>
        <v>0</v>
      </c>
      <c r="Q109" s="1" t="n">
        <f aca="false">N(Q108)+$P109</f>
        <v>0</v>
      </c>
      <c r="R109" s="1" t="n">
        <f aca="false">IF(AND($K109=1,AND(对接源_01水果!$X109="公司筐",N(对接源_01水果!$U109)&lt;&gt;0)),1,0)</f>
        <v>0</v>
      </c>
      <c r="S109" s="1" t="n">
        <f aca="false">N(S108)+$R109</f>
        <v>0</v>
      </c>
      <c r="T109" s="1" t="n">
        <f aca="false">IF(AND($K109=1,AND(对接源_01水果!$X109="公司筐",N(对接源_01水果!$V109)&lt;&gt;0)),1,0)</f>
        <v>0</v>
      </c>
      <c r="U109" s="1" t="n">
        <f aca="false">N(U108)+$T109</f>
        <v>18</v>
      </c>
      <c r="V109" s="1" t="n">
        <f aca="false">IF(AND($L109=1,AND(对接源_01水果!$X109="自备筐",N(对接源_01水果!$V109)&lt;&gt;0)),1,0)</f>
        <v>0</v>
      </c>
      <c r="W109" s="1" t="n">
        <f aca="false">N(W108)+$V109</f>
        <v>0</v>
      </c>
      <c r="X109" s="1" t="n">
        <f aca="false">IF(AND($L109=1,AND(对接源_01水果!$X109="自备筐",N(对接源_01水果!$T109)&lt;&gt;0)),1,0)</f>
        <v>0</v>
      </c>
      <c r="Y109" s="1" t="n">
        <f aca="false">N(Y108)+$X109</f>
        <v>0</v>
      </c>
      <c r="Z109" s="1" t="n">
        <f aca="false">IF(AND($M109=1,对接源_01水果!$D109="原料入库"),1,0)</f>
        <v>0</v>
      </c>
      <c r="AA109" s="1" t="n">
        <f aca="false">N(AA108)+$Z109</f>
        <v>20</v>
      </c>
      <c r="AB109" s="1" t="n">
        <f aca="false">IF(AND($M109=1,LEFT(对接源_01水果!$D109,4)="原料出库"),1,0)</f>
        <v>0</v>
      </c>
      <c r="AC109" s="1" t="n">
        <f aca="false">N(AC108)+$AB109</f>
        <v>0</v>
      </c>
      <c r="AD109" s="1" t="n">
        <f aca="false">IF(AND($M109=1,LEFT(对接源_01水果!$D109,4)="成品出库"),1,0)</f>
        <v>0</v>
      </c>
      <c r="AE109" s="1" t="n">
        <f aca="false">N(AE108)+$AD109</f>
        <v>0</v>
      </c>
      <c r="AF109" s="1" t="n">
        <f aca="false">IF(AND($N109=1,AND(LEFT(对接源_01水果!$D109,4)="包装物料",N(对接源_01水果!$K109)&lt;&gt;0)),1,0)</f>
        <v>0</v>
      </c>
      <c r="AG109" s="90" t="str">
        <f aca="false">IF(对接源_01水果!$AC109="","",对接源_01水果!$AC109)</f>
        <v/>
      </c>
      <c r="AH109" s="90" t="str">
        <f aca="false">IFERROR(INDEX($AG$4:$AG$1203,MATCH(ROW()-3,$AJ$4:$AJ$1203,0)),"")</f>
        <v/>
      </c>
      <c r="AI109" s="90" t="n">
        <f aca="false">IF(AG109="",0,IF(MATCH(AG109,$AG$4:$AG$1203,0)=ROW()-3,1,0))</f>
        <v>0</v>
      </c>
      <c r="AJ109" s="90" t="n">
        <f aca="false">N(AJ108)+AI109</f>
        <v>0</v>
      </c>
      <c r="AK109" s="1" t="n">
        <f aca="false">N(AK108)+$AJ109</f>
        <v>0</v>
      </c>
    </row>
    <row r="110" customFormat="false" ht="13.5" hidden="false" customHeight="false" outlineLevel="0" collapsed="false">
      <c r="A110" s="1" t="str">
        <f aca="false">IF(对接源_01水果!$C110="","",对接源_01水果!$C110)</f>
        <v>聂新平</v>
      </c>
      <c r="B110" s="1" t="n">
        <f aca="false">IF(A110="",0,IF(MATCH(A110,$A$4:$A$2403,0)=ROW()-3,1,0))</f>
        <v>0</v>
      </c>
      <c r="C110" s="1" t="n">
        <f aca="false">N(C109)+B110</f>
        <v>4</v>
      </c>
      <c r="E110" s="1" t="str">
        <f aca="false">IFERROR(INDEX($A$4:$A$2403,MATCH(ROW()-3,$C$4:$C$2403,0)),"")</f>
        <v/>
      </c>
      <c r="K110" s="1" t="n">
        <f aca="false">IF(OR($K$1="",对接源_01水果!$C110="",对接源_01水果!$C110&lt;&gt;$K$1,对接源_01水果!$B110=""),0,IF(OR(N(对接源_01水果!$B110)&lt;$K$2,N(对接源_01水果!$B110)&gt;$K$3),0,1))</f>
        <v>0</v>
      </c>
      <c r="L110" s="1" t="n">
        <f aca="false">IF(OR($L$1="",对接源_01水果!$C110="",对接源_01水果!$C110&lt;&gt;$L$1,对接源_01水果!$B110=""),0,IF(OR(N(对接源_01水果!$B110)&lt;$L$2,N(对接源_01水果!$B110)&gt;$L$3),0,1))</f>
        <v>0</v>
      </c>
      <c r="M110" s="1" t="n">
        <f aca="false">IF(OR($M$1="",对接源_01水果!$C110="",对接源_01水果!$C110&lt;&gt;$M$1,对接源_01水果!$B110=""),0,IF(OR(N(对接源_01水果!$B110)&lt;$M$2,N(对接源_01水果!$B110)&gt;$M$3),0,1))</f>
        <v>0</v>
      </c>
      <c r="N110" s="1" t="n">
        <f aca="false">IF(OR($N$1="",对接源_01水果!$C110="",对接源_01水果!$C110&lt;&gt;$N$1,对接源_01水果!$B110=""),0,IF(OR(N(对接源_01水果!$B110)&lt;$N$2,N(对接源_01水果!$B110)&gt;$N$3),0,1))</f>
        <v>0</v>
      </c>
      <c r="P110" s="1" t="n">
        <f aca="false">IF(AND($K110=1,AND(对接源_01水果!$X110="公司筐",N(对接源_01水果!$T110)&lt;&gt;0)),1,0)</f>
        <v>0</v>
      </c>
      <c r="Q110" s="1" t="n">
        <f aca="false">N(Q109)+$P110</f>
        <v>0</v>
      </c>
      <c r="R110" s="1" t="n">
        <f aca="false">IF(AND($K110=1,AND(对接源_01水果!$X110="公司筐",N(对接源_01水果!$U110)&lt;&gt;0)),1,0)</f>
        <v>0</v>
      </c>
      <c r="S110" s="1" t="n">
        <f aca="false">N(S109)+$R110</f>
        <v>0</v>
      </c>
      <c r="T110" s="1" t="n">
        <f aca="false">IF(AND($K110=1,AND(对接源_01水果!$X110="公司筐",N(对接源_01水果!$V110)&lt;&gt;0)),1,0)</f>
        <v>0</v>
      </c>
      <c r="U110" s="1" t="n">
        <f aca="false">N(U109)+$T110</f>
        <v>18</v>
      </c>
      <c r="V110" s="1" t="n">
        <f aca="false">IF(AND($L110=1,AND(对接源_01水果!$X110="自备筐",N(对接源_01水果!$V110)&lt;&gt;0)),1,0)</f>
        <v>0</v>
      </c>
      <c r="W110" s="1" t="n">
        <f aca="false">N(W109)+$V110</f>
        <v>0</v>
      </c>
      <c r="X110" s="1" t="n">
        <f aca="false">IF(AND($L110=1,AND(对接源_01水果!$X110="自备筐",N(对接源_01水果!$T110)&lt;&gt;0)),1,0)</f>
        <v>0</v>
      </c>
      <c r="Y110" s="1" t="n">
        <f aca="false">N(Y109)+$X110</f>
        <v>0</v>
      </c>
      <c r="Z110" s="1" t="n">
        <f aca="false">IF(AND($M110=1,对接源_01水果!$D110="原料入库"),1,0)</f>
        <v>0</v>
      </c>
      <c r="AA110" s="1" t="n">
        <f aca="false">N(AA109)+$Z110</f>
        <v>20</v>
      </c>
      <c r="AB110" s="1" t="n">
        <f aca="false">IF(AND($M110=1,LEFT(对接源_01水果!$D110,4)="原料出库"),1,0)</f>
        <v>0</v>
      </c>
      <c r="AC110" s="1" t="n">
        <f aca="false">N(AC109)+$AB110</f>
        <v>0</v>
      </c>
      <c r="AD110" s="1" t="n">
        <f aca="false">IF(AND($M110=1,LEFT(对接源_01水果!$D110,4)="成品出库"),1,0)</f>
        <v>0</v>
      </c>
      <c r="AE110" s="1" t="n">
        <f aca="false">N(AE109)+$AD110</f>
        <v>0</v>
      </c>
      <c r="AF110" s="1" t="n">
        <f aca="false">IF(AND($N110=1,AND(LEFT(对接源_01水果!$D110,4)="包装物料",N(对接源_01水果!$K110)&lt;&gt;0)),1,0)</f>
        <v>0</v>
      </c>
      <c r="AG110" s="90" t="str">
        <f aca="false">IF(对接源_01水果!$AC110="","",对接源_01水果!$AC110)</f>
        <v/>
      </c>
      <c r="AH110" s="90" t="str">
        <f aca="false">IFERROR(INDEX($AG$4:$AG$1203,MATCH(ROW()-3,$AJ$4:$AJ$1203,0)),"")</f>
        <v/>
      </c>
      <c r="AI110" s="90" t="n">
        <f aca="false">IF(AG110="",0,IF(MATCH(AG110,$AG$4:$AG$1203,0)=ROW()-3,1,0))</f>
        <v>0</v>
      </c>
      <c r="AJ110" s="90" t="n">
        <f aca="false">N(AJ109)+AI110</f>
        <v>0</v>
      </c>
      <c r="AK110" s="1" t="n">
        <f aca="false">N(AK109)+$AJ110</f>
        <v>0</v>
      </c>
    </row>
    <row r="111" customFormat="false" ht="13.5" hidden="false" customHeight="false" outlineLevel="0" collapsed="false">
      <c r="A111" s="1" t="str">
        <f aca="false">IF(对接源_01水果!$C111="","",对接源_01水果!$C111)</f>
        <v>聂新平</v>
      </c>
      <c r="B111" s="1" t="n">
        <f aca="false">IF(A111="",0,IF(MATCH(A111,$A$4:$A$2403,0)=ROW()-3,1,0))</f>
        <v>0</v>
      </c>
      <c r="C111" s="1" t="n">
        <f aca="false">N(C110)+B111</f>
        <v>4</v>
      </c>
      <c r="E111" s="1" t="str">
        <f aca="false">IFERROR(INDEX($A$4:$A$2403,MATCH(ROW()-3,$C$4:$C$2403,0)),"")</f>
        <v/>
      </c>
      <c r="K111" s="1" t="n">
        <f aca="false">IF(OR($K$1="",对接源_01水果!$C111="",对接源_01水果!$C111&lt;&gt;$K$1,对接源_01水果!$B111=""),0,IF(OR(N(对接源_01水果!$B111)&lt;$K$2,N(对接源_01水果!$B111)&gt;$K$3),0,1))</f>
        <v>0</v>
      </c>
      <c r="L111" s="1" t="n">
        <f aca="false">IF(OR($L$1="",对接源_01水果!$C111="",对接源_01水果!$C111&lt;&gt;$L$1,对接源_01水果!$B111=""),0,IF(OR(N(对接源_01水果!$B111)&lt;$L$2,N(对接源_01水果!$B111)&gt;$L$3),0,1))</f>
        <v>0</v>
      </c>
      <c r="M111" s="1" t="n">
        <f aca="false">IF(OR($M$1="",对接源_01水果!$C111="",对接源_01水果!$C111&lt;&gt;$M$1,对接源_01水果!$B111=""),0,IF(OR(N(对接源_01水果!$B111)&lt;$M$2,N(对接源_01水果!$B111)&gt;$M$3),0,1))</f>
        <v>0</v>
      </c>
      <c r="N111" s="1" t="n">
        <f aca="false">IF(OR($N$1="",对接源_01水果!$C111="",对接源_01水果!$C111&lt;&gt;$N$1,对接源_01水果!$B111=""),0,IF(OR(N(对接源_01水果!$B111)&lt;$N$2,N(对接源_01水果!$B111)&gt;$N$3),0,1))</f>
        <v>0</v>
      </c>
      <c r="P111" s="1" t="n">
        <f aca="false">IF(AND($K111=1,AND(对接源_01水果!$X111="公司筐",N(对接源_01水果!$T111)&lt;&gt;0)),1,0)</f>
        <v>0</v>
      </c>
      <c r="Q111" s="1" t="n">
        <f aca="false">N(Q110)+$P111</f>
        <v>0</v>
      </c>
      <c r="R111" s="1" t="n">
        <f aca="false">IF(AND($K111=1,AND(对接源_01水果!$X111="公司筐",N(对接源_01水果!$U111)&lt;&gt;0)),1,0)</f>
        <v>0</v>
      </c>
      <c r="S111" s="1" t="n">
        <f aca="false">N(S110)+$R111</f>
        <v>0</v>
      </c>
      <c r="T111" s="1" t="n">
        <f aca="false">IF(AND($K111=1,AND(对接源_01水果!$X111="公司筐",N(对接源_01水果!$V111)&lt;&gt;0)),1,0)</f>
        <v>0</v>
      </c>
      <c r="U111" s="1" t="n">
        <f aca="false">N(U110)+$T111</f>
        <v>18</v>
      </c>
      <c r="V111" s="1" t="n">
        <f aca="false">IF(AND($L111=1,AND(对接源_01水果!$X111="自备筐",N(对接源_01水果!$V111)&lt;&gt;0)),1,0)</f>
        <v>0</v>
      </c>
      <c r="W111" s="1" t="n">
        <f aca="false">N(W110)+$V111</f>
        <v>0</v>
      </c>
      <c r="X111" s="1" t="n">
        <f aca="false">IF(AND($L111=1,AND(对接源_01水果!$X111="自备筐",N(对接源_01水果!$T111)&lt;&gt;0)),1,0)</f>
        <v>0</v>
      </c>
      <c r="Y111" s="1" t="n">
        <f aca="false">N(Y110)+$X111</f>
        <v>0</v>
      </c>
      <c r="Z111" s="1" t="n">
        <f aca="false">IF(AND($M111=1,对接源_01水果!$D111="原料入库"),1,0)</f>
        <v>0</v>
      </c>
      <c r="AA111" s="1" t="n">
        <f aca="false">N(AA110)+$Z111</f>
        <v>20</v>
      </c>
      <c r="AB111" s="1" t="n">
        <f aca="false">IF(AND($M111=1,LEFT(对接源_01水果!$D111,4)="原料出库"),1,0)</f>
        <v>0</v>
      </c>
      <c r="AC111" s="1" t="n">
        <f aca="false">N(AC110)+$AB111</f>
        <v>0</v>
      </c>
      <c r="AD111" s="1" t="n">
        <f aca="false">IF(AND($M111=1,LEFT(对接源_01水果!$D111,4)="成品出库"),1,0)</f>
        <v>0</v>
      </c>
      <c r="AE111" s="1" t="n">
        <f aca="false">N(AE110)+$AD111</f>
        <v>0</v>
      </c>
      <c r="AF111" s="1" t="n">
        <f aca="false">IF(AND($N111=1,AND(LEFT(对接源_01水果!$D111,4)="包装物料",N(对接源_01水果!$K111)&lt;&gt;0)),1,0)</f>
        <v>0</v>
      </c>
      <c r="AG111" s="90" t="str">
        <f aca="false">IF(对接源_01水果!$AC111="","",对接源_01水果!$AC111)</f>
        <v/>
      </c>
      <c r="AH111" s="90" t="str">
        <f aca="false">IFERROR(INDEX($AG$4:$AG$1203,MATCH(ROW()-3,$AJ$4:$AJ$1203,0)),"")</f>
        <v/>
      </c>
      <c r="AI111" s="90" t="n">
        <f aca="false">IF(AG111="",0,IF(MATCH(AG111,$AG$4:$AG$1203,0)=ROW()-3,1,0))</f>
        <v>0</v>
      </c>
      <c r="AJ111" s="90" t="n">
        <f aca="false">N(AJ110)+AI111</f>
        <v>0</v>
      </c>
      <c r="AK111" s="1" t="n">
        <f aca="false">N(AK110)+$AJ111</f>
        <v>0</v>
      </c>
    </row>
    <row r="112" customFormat="false" ht="13.5" hidden="false" customHeight="false" outlineLevel="0" collapsed="false">
      <c r="A112" s="1" t="str">
        <f aca="false">IF(对接源_01水果!$C112="","",对接源_01水果!$C112)</f>
        <v>聂新平</v>
      </c>
      <c r="B112" s="1" t="n">
        <f aca="false">IF(A112="",0,IF(MATCH(A112,$A$4:$A$2403,0)=ROW()-3,1,0))</f>
        <v>0</v>
      </c>
      <c r="C112" s="1" t="n">
        <f aca="false">N(C111)+B112</f>
        <v>4</v>
      </c>
      <c r="E112" s="1" t="str">
        <f aca="false">IFERROR(INDEX($A$4:$A$2403,MATCH(ROW()-3,$C$4:$C$2403,0)),"")</f>
        <v/>
      </c>
      <c r="K112" s="1" t="n">
        <f aca="false">IF(OR($K$1="",对接源_01水果!$C112="",对接源_01水果!$C112&lt;&gt;$K$1,对接源_01水果!$B112=""),0,IF(OR(N(对接源_01水果!$B112)&lt;$K$2,N(对接源_01水果!$B112)&gt;$K$3),0,1))</f>
        <v>0</v>
      </c>
      <c r="L112" s="1" t="n">
        <f aca="false">IF(OR($L$1="",对接源_01水果!$C112="",对接源_01水果!$C112&lt;&gt;$L$1,对接源_01水果!$B112=""),0,IF(OR(N(对接源_01水果!$B112)&lt;$L$2,N(对接源_01水果!$B112)&gt;$L$3),0,1))</f>
        <v>0</v>
      </c>
      <c r="M112" s="1" t="n">
        <f aca="false">IF(OR($M$1="",对接源_01水果!$C112="",对接源_01水果!$C112&lt;&gt;$M$1,对接源_01水果!$B112=""),0,IF(OR(N(对接源_01水果!$B112)&lt;$M$2,N(对接源_01水果!$B112)&gt;$M$3),0,1))</f>
        <v>0</v>
      </c>
      <c r="N112" s="1" t="n">
        <f aca="false">IF(OR($N$1="",对接源_01水果!$C112="",对接源_01水果!$C112&lt;&gt;$N$1,对接源_01水果!$B112=""),0,IF(OR(N(对接源_01水果!$B112)&lt;$N$2,N(对接源_01水果!$B112)&gt;$N$3),0,1))</f>
        <v>0</v>
      </c>
      <c r="P112" s="1" t="n">
        <f aca="false">IF(AND($K112=1,AND(对接源_01水果!$X112="公司筐",N(对接源_01水果!$T112)&lt;&gt;0)),1,0)</f>
        <v>0</v>
      </c>
      <c r="Q112" s="1" t="n">
        <f aca="false">N(Q111)+$P112</f>
        <v>0</v>
      </c>
      <c r="R112" s="1" t="n">
        <f aca="false">IF(AND($K112=1,AND(对接源_01水果!$X112="公司筐",N(对接源_01水果!$U112)&lt;&gt;0)),1,0)</f>
        <v>0</v>
      </c>
      <c r="S112" s="1" t="n">
        <f aca="false">N(S111)+$R112</f>
        <v>0</v>
      </c>
      <c r="T112" s="1" t="n">
        <f aca="false">IF(AND($K112=1,AND(对接源_01水果!$X112="公司筐",N(对接源_01水果!$V112)&lt;&gt;0)),1,0)</f>
        <v>0</v>
      </c>
      <c r="U112" s="1" t="n">
        <f aca="false">N(U111)+$T112</f>
        <v>18</v>
      </c>
      <c r="V112" s="1" t="n">
        <f aca="false">IF(AND($L112=1,AND(对接源_01水果!$X112="自备筐",N(对接源_01水果!$V112)&lt;&gt;0)),1,0)</f>
        <v>0</v>
      </c>
      <c r="W112" s="1" t="n">
        <f aca="false">N(W111)+$V112</f>
        <v>0</v>
      </c>
      <c r="X112" s="1" t="n">
        <f aca="false">IF(AND($L112=1,AND(对接源_01水果!$X112="自备筐",N(对接源_01水果!$T112)&lt;&gt;0)),1,0)</f>
        <v>0</v>
      </c>
      <c r="Y112" s="1" t="n">
        <f aca="false">N(Y111)+$X112</f>
        <v>0</v>
      </c>
      <c r="Z112" s="1" t="n">
        <f aca="false">IF(AND($M112=1,对接源_01水果!$D112="原料入库"),1,0)</f>
        <v>0</v>
      </c>
      <c r="AA112" s="1" t="n">
        <f aca="false">N(AA111)+$Z112</f>
        <v>20</v>
      </c>
      <c r="AB112" s="1" t="n">
        <f aca="false">IF(AND($M112=1,LEFT(对接源_01水果!$D112,4)="原料出库"),1,0)</f>
        <v>0</v>
      </c>
      <c r="AC112" s="1" t="n">
        <f aca="false">N(AC111)+$AB112</f>
        <v>0</v>
      </c>
      <c r="AD112" s="1" t="n">
        <f aca="false">IF(AND($M112=1,LEFT(对接源_01水果!$D112,4)="成品出库"),1,0)</f>
        <v>0</v>
      </c>
      <c r="AE112" s="1" t="n">
        <f aca="false">N(AE111)+$AD112</f>
        <v>0</v>
      </c>
      <c r="AF112" s="1" t="n">
        <f aca="false">IF(AND($N112=1,AND(LEFT(对接源_01水果!$D112,4)="包装物料",N(对接源_01水果!$K112)&lt;&gt;0)),1,0)</f>
        <v>0</v>
      </c>
      <c r="AG112" s="90" t="str">
        <f aca="false">IF(对接源_01水果!$AC112="","",对接源_01水果!$AC112)</f>
        <v/>
      </c>
      <c r="AH112" s="90" t="str">
        <f aca="false">IFERROR(INDEX($AG$4:$AG$1203,MATCH(ROW()-3,$AJ$4:$AJ$1203,0)),"")</f>
        <v/>
      </c>
      <c r="AI112" s="90" t="n">
        <f aca="false">IF(AG112="",0,IF(MATCH(AG112,$AG$4:$AG$1203,0)=ROW()-3,1,0))</f>
        <v>0</v>
      </c>
      <c r="AJ112" s="90" t="n">
        <f aca="false">N(AJ111)+AI112</f>
        <v>0</v>
      </c>
      <c r="AK112" s="1" t="n">
        <f aca="false">N(AK111)+$AJ112</f>
        <v>0</v>
      </c>
    </row>
    <row r="113" customFormat="false" ht="13.5" hidden="false" customHeight="false" outlineLevel="0" collapsed="false">
      <c r="A113" s="1" t="str">
        <f aca="false">IF(对接源_01水果!$C113="","",对接源_01水果!$C113)</f>
        <v>聂新平</v>
      </c>
      <c r="B113" s="1" t="n">
        <f aca="false">IF(A113="",0,IF(MATCH(A113,$A$4:$A$2403,0)=ROW()-3,1,0))</f>
        <v>0</v>
      </c>
      <c r="C113" s="1" t="n">
        <f aca="false">N(C112)+B113</f>
        <v>4</v>
      </c>
      <c r="E113" s="1" t="str">
        <f aca="false">IFERROR(INDEX($A$4:$A$2403,MATCH(ROW()-3,$C$4:$C$2403,0)),"")</f>
        <v/>
      </c>
      <c r="K113" s="1" t="n">
        <f aca="false">IF(OR($K$1="",对接源_01水果!$C113="",对接源_01水果!$C113&lt;&gt;$K$1,对接源_01水果!$B113=""),0,IF(OR(N(对接源_01水果!$B113)&lt;$K$2,N(对接源_01水果!$B113)&gt;$K$3),0,1))</f>
        <v>0</v>
      </c>
      <c r="L113" s="1" t="n">
        <f aca="false">IF(OR($L$1="",对接源_01水果!$C113="",对接源_01水果!$C113&lt;&gt;$L$1,对接源_01水果!$B113=""),0,IF(OR(N(对接源_01水果!$B113)&lt;$L$2,N(对接源_01水果!$B113)&gt;$L$3),0,1))</f>
        <v>0</v>
      </c>
      <c r="M113" s="1" t="n">
        <f aca="false">IF(OR($M$1="",对接源_01水果!$C113="",对接源_01水果!$C113&lt;&gt;$M$1,对接源_01水果!$B113=""),0,IF(OR(N(对接源_01水果!$B113)&lt;$M$2,N(对接源_01水果!$B113)&gt;$M$3),0,1))</f>
        <v>0</v>
      </c>
      <c r="N113" s="1" t="n">
        <f aca="false">IF(OR($N$1="",对接源_01水果!$C113="",对接源_01水果!$C113&lt;&gt;$N$1,对接源_01水果!$B113=""),0,IF(OR(N(对接源_01水果!$B113)&lt;$N$2,N(对接源_01水果!$B113)&gt;$N$3),0,1))</f>
        <v>0</v>
      </c>
      <c r="P113" s="1" t="n">
        <f aca="false">IF(AND($K113=1,AND(对接源_01水果!$X113="公司筐",N(对接源_01水果!$T113)&lt;&gt;0)),1,0)</f>
        <v>0</v>
      </c>
      <c r="Q113" s="1" t="n">
        <f aca="false">N(Q112)+$P113</f>
        <v>0</v>
      </c>
      <c r="R113" s="1" t="n">
        <f aca="false">IF(AND($K113=1,AND(对接源_01水果!$X113="公司筐",N(对接源_01水果!$U113)&lt;&gt;0)),1,0)</f>
        <v>0</v>
      </c>
      <c r="S113" s="1" t="n">
        <f aca="false">N(S112)+$R113</f>
        <v>0</v>
      </c>
      <c r="T113" s="1" t="n">
        <f aca="false">IF(AND($K113=1,AND(对接源_01水果!$X113="公司筐",N(对接源_01水果!$V113)&lt;&gt;0)),1,0)</f>
        <v>0</v>
      </c>
      <c r="U113" s="1" t="n">
        <f aca="false">N(U112)+$T113</f>
        <v>18</v>
      </c>
      <c r="V113" s="1" t="n">
        <f aca="false">IF(AND($L113=1,AND(对接源_01水果!$X113="自备筐",N(对接源_01水果!$V113)&lt;&gt;0)),1,0)</f>
        <v>0</v>
      </c>
      <c r="W113" s="1" t="n">
        <f aca="false">N(W112)+$V113</f>
        <v>0</v>
      </c>
      <c r="X113" s="1" t="n">
        <f aca="false">IF(AND($L113=1,AND(对接源_01水果!$X113="自备筐",N(对接源_01水果!$T113)&lt;&gt;0)),1,0)</f>
        <v>0</v>
      </c>
      <c r="Y113" s="1" t="n">
        <f aca="false">N(Y112)+$X113</f>
        <v>0</v>
      </c>
      <c r="Z113" s="1" t="n">
        <f aca="false">IF(AND($M113=1,对接源_01水果!$D113="原料入库"),1,0)</f>
        <v>0</v>
      </c>
      <c r="AA113" s="1" t="n">
        <f aca="false">N(AA112)+$Z113</f>
        <v>20</v>
      </c>
      <c r="AB113" s="1" t="n">
        <f aca="false">IF(AND($M113=1,LEFT(对接源_01水果!$D113,4)="原料出库"),1,0)</f>
        <v>0</v>
      </c>
      <c r="AC113" s="1" t="n">
        <f aca="false">N(AC112)+$AB113</f>
        <v>0</v>
      </c>
      <c r="AD113" s="1" t="n">
        <f aca="false">IF(AND($M113=1,LEFT(对接源_01水果!$D113,4)="成品出库"),1,0)</f>
        <v>0</v>
      </c>
      <c r="AE113" s="1" t="n">
        <f aca="false">N(AE112)+$AD113</f>
        <v>0</v>
      </c>
      <c r="AF113" s="1" t="n">
        <f aca="false">IF(AND($N113=1,AND(LEFT(对接源_01水果!$D113,4)="包装物料",N(对接源_01水果!$K113)&lt;&gt;0)),1,0)</f>
        <v>0</v>
      </c>
      <c r="AG113" s="90" t="str">
        <f aca="false">IF(对接源_01水果!$AC113="","",对接源_01水果!$AC113)</f>
        <v/>
      </c>
      <c r="AH113" s="90" t="str">
        <f aca="false">IFERROR(INDEX($AG$4:$AG$1203,MATCH(ROW()-3,$AJ$4:$AJ$1203,0)),"")</f>
        <v/>
      </c>
      <c r="AI113" s="90" t="n">
        <f aca="false">IF(AG113="",0,IF(MATCH(AG113,$AG$4:$AG$1203,0)=ROW()-3,1,0))</f>
        <v>0</v>
      </c>
      <c r="AJ113" s="90" t="n">
        <f aca="false">N(AJ112)+AI113</f>
        <v>0</v>
      </c>
      <c r="AK113" s="1" t="n">
        <f aca="false">N(AK112)+$AJ113</f>
        <v>0</v>
      </c>
    </row>
    <row r="114" customFormat="false" ht="13.5" hidden="false" customHeight="false" outlineLevel="0" collapsed="false">
      <c r="A114" s="1" t="str">
        <f aca="false">IF(对接源_01水果!$C114="","",对接源_01水果!$C114)</f>
        <v>聂新平</v>
      </c>
      <c r="B114" s="1" t="n">
        <f aca="false">IF(A114="",0,IF(MATCH(A114,$A$4:$A$2403,0)=ROW()-3,1,0))</f>
        <v>0</v>
      </c>
      <c r="C114" s="1" t="n">
        <f aca="false">N(C113)+B114</f>
        <v>4</v>
      </c>
      <c r="E114" s="1" t="str">
        <f aca="false">IFERROR(INDEX($A$4:$A$2403,MATCH(ROW()-3,$C$4:$C$2403,0)),"")</f>
        <v/>
      </c>
      <c r="K114" s="1" t="n">
        <f aca="false">IF(OR($K$1="",对接源_01水果!$C114="",对接源_01水果!$C114&lt;&gt;$K$1,对接源_01水果!$B114=""),0,IF(OR(N(对接源_01水果!$B114)&lt;$K$2,N(对接源_01水果!$B114)&gt;$K$3),0,1))</f>
        <v>0</v>
      </c>
      <c r="L114" s="1" t="n">
        <f aca="false">IF(OR($L$1="",对接源_01水果!$C114="",对接源_01水果!$C114&lt;&gt;$L$1,对接源_01水果!$B114=""),0,IF(OR(N(对接源_01水果!$B114)&lt;$L$2,N(对接源_01水果!$B114)&gt;$L$3),0,1))</f>
        <v>0</v>
      </c>
      <c r="M114" s="1" t="n">
        <f aca="false">IF(OR($M$1="",对接源_01水果!$C114="",对接源_01水果!$C114&lt;&gt;$M$1,对接源_01水果!$B114=""),0,IF(OR(N(对接源_01水果!$B114)&lt;$M$2,N(对接源_01水果!$B114)&gt;$M$3),0,1))</f>
        <v>0</v>
      </c>
      <c r="N114" s="1" t="n">
        <f aca="false">IF(OR($N$1="",对接源_01水果!$C114="",对接源_01水果!$C114&lt;&gt;$N$1,对接源_01水果!$B114=""),0,IF(OR(N(对接源_01水果!$B114)&lt;$N$2,N(对接源_01水果!$B114)&gt;$N$3),0,1))</f>
        <v>0</v>
      </c>
      <c r="P114" s="1" t="n">
        <f aca="false">IF(AND($K114=1,AND(对接源_01水果!$X114="公司筐",N(对接源_01水果!$T114)&lt;&gt;0)),1,0)</f>
        <v>0</v>
      </c>
      <c r="Q114" s="1" t="n">
        <f aca="false">N(Q113)+$P114</f>
        <v>0</v>
      </c>
      <c r="R114" s="1" t="n">
        <f aca="false">IF(AND($K114=1,AND(对接源_01水果!$X114="公司筐",N(对接源_01水果!$U114)&lt;&gt;0)),1,0)</f>
        <v>0</v>
      </c>
      <c r="S114" s="1" t="n">
        <f aca="false">N(S113)+$R114</f>
        <v>0</v>
      </c>
      <c r="T114" s="1" t="n">
        <f aca="false">IF(AND($K114=1,AND(对接源_01水果!$X114="公司筐",N(对接源_01水果!$V114)&lt;&gt;0)),1,0)</f>
        <v>0</v>
      </c>
      <c r="U114" s="1" t="n">
        <f aca="false">N(U113)+$T114</f>
        <v>18</v>
      </c>
      <c r="V114" s="1" t="n">
        <f aca="false">IF(AND($L114=1,AND(对接源_01水果!$X114="自备筐",N(对接源_01水果!$V114)&lt;&gt;0)),1,0)</f>
        <v>0</v>
      </c>
      <c r="W114" s="1" t="n">
        <f aca="false">N(W113)+$V114</f>
        <v>0</v>
      </c>
      <c r="X114" s="1" t="n">
        <f aca="false">IF(AND($L114=1,AND(对接源_01水果!$X114="自备筐",N(对接源_01水果!$T114)&lt;&gt;0)),1,0)</f>
        <v>0</v>
      </c>
      <c r="Y114" s="1" t="n">
        <f aca="false">N(Y113)+$X114</f>
        <v>0</v>
      </c>
      <c r="Z114" s="1" t="n">
        <f aca="false">IF(AND($M114=1,对接源_01水果!$D114="原料入库"),1,0)</f>
        <v>0</v>
      </c>
      <c r="AA114" s="1" t="n">
        <f aca="false">N(AA113)+$Z114</f>
        <v>20</v>
      </c>
      <c r="AB114" s="1" t="n">
        <f aca="false">IF(AND($M114=1,LEFT(对接源_01水果!$D114,4)="原料出库"),1,0)</f>
        <v>0</v>
      </c>
      <c r="AC114" s="1" t="n">
        <f aca="false">N(AC113)+$AB114</f>
        <v>0</v>
      </c>
      <c r="AD114" s="1" t="n">
        <f aca="false">IF(AND($M114=1,LEFT(对接源_01水果!$D114,4)="成品出库"),1,0)</f>
        <v>0</v>
      </c>
      <c r="AE114" s="1" t="n">
        <f aca="false">N(AE113)+$AD114</f>
        <v>0</v>
      </c>
      <c r="AF114" s="1" t="n">
        <f aca="false">IF(AND($N114=1,AND(LEFT(对接源_01水果!$D114,4)="包装物料",N(对接源_01水果!$K114)&lt;&gt;0)),1,0)</f>
        <v>0</v>
      </c>
      <c r="AG114" s="90" t="str">
        <f aca="false">IF(对接源_01水果!$AC114="","",对接源_01水果!$AC114)</f>
        <v/>
      </c>
      <c r="AH114" s="90" t="str">
        <f aca="false">IFERROR(INDEX($AG$4:$AG$1203,MATCH(ROW()-3,$AJ$4:$AJ$1203,0)),"")</f>
        <v/>
      </c>
      <c r="AI114" s="90" t="n">
        <f aca="false">IF(AG114="",0,IF(MATCH(AG114,$AG$4:$AG$1203,0)=ROW()-3,1,0))</f>
        <v>0</v>
      </c>
      <c r="AJ114" s="90" t="n">
        <f aca="false">N(AJ113)+AI114</f>
        <v>0</v>
      </c>
      <c r="AK114" s="1" t="n">
        <f aca="false">N(AK113)+$AJ114</f>
        <v>0</v>
      </c>
    </row>
    <row r="115" customFormat="false" ht="13.5" hidden="false" customHeight="false" outlineLevel="0" collapsed="false">
      <c r="A115" s="1" t="str">
        <f aca="false">IF(对接源_01水果!$C115="","",对接源_01水果!$C115)</f>
        <v>聂新平</v>
      </c>
      <c r="B115" s="1" t="n">
        <f aca="false">IF(A115="",0,IF(MATCH(A115,$A$4:$A$2403,0)=ROW()-3,1,0))</f>
        <v>0</v>
      </c>
      <c r="C115" s="1" t="n">
        <f aca="false">N(C114)+B115</f>
        <v>4</v>
      </c>
      <c r="E115" s="1" t="str">
        <f aca="false">IFERROR(INDEX($A$4:$A$2403,MATCH(ROW()-3,$C$4:$C$2403,0)),"")</f>
        <v/>
      </c>
      <c r="K115" s="1" t="n">
        <f aca="false">IF(OR($K$1="",对接源_01水果!$C115="",对接源_01水果!$C115&lt;&gt;$K$1,对接源_01水果!$B115=""),0,IF(OR(N(对接源_01水果!$B115)&lt;$K$2,N(对接源_01水果!$B115)&gt;$K$3),0,1))</f>
        <v>0</v>
      </c>
      <c r="L115" s="1" t="n">
        <f aca="false">IF(OR($L$1="",对接源_01水果!$C115="",对接源_01水果!$C115&lt;&gt;$L$1,对接源_01水果!$B115=""),0,IF(OR(N(对接源_01水果!$B115)&lt;$L$2,N(对接源_01水果!$B115)&gt;$L$3),0,1))</f>
        <v>0</v>
      </c>
      <c r="M115" s="1" t="n">
        <f aca="false">IF(OR($M$1="",对接源_01水果!$C115="",对接源_01水果!$C115&lt;&gt;$M$1,对接源_01水果!$B115=""),0,IF(OR(N(对接源_01水果!$B115)&lt;$M$2,N(对接源_01水果!$B115)&gt;$M$3),0,1))</f>
        <v>0</v>
      </c>
      <c r="N115" s="1" t="n">
        <f aca="false">IF(OR($N$1="",对接源_01水果!$C115="",对接源_01水果!$C115&lt;&gt;$N$1,对接源_01水果!$B115=""),0,IF(OR(N(对接源_01水果!$B115)&lt;$N$2,N(对接源_01水果!$B115)&gt;$N$3),0,1))</f>
        <v>0</v>
      </c>
      <c r="P115" s="1" t="n">
        <f aca="false">IF(AND($K115=1,AND(对接源_01水果!$X115="公司筐",N(对接源_01水果!$T115)&lt;&gt;0)),1,0)</f>
        <v>0</v>
      </c>
      <c r="Q115" s="1" t="n">
        <f aca="false">N(Q114)+$P115</f>
        <v>0</v>
      </c>
      <c r="R115" s="1" t="n">
        <f aca="false">IF(AND($K115=1,AND(对接源_01水果!$X115="公司筐",N(对接源_01水果!$U115)&lt;&gt;0)),1,0)</f>
        <v>0</v>
      </c>
      <c r="S115" s="1" t="n">
        <f aca="false">N(S114)+$R115</f>
        <v>0</v>
      </c>
      <c r="T115" s="1" t="n">
        <f aca="false">IF(AND($K115=1,AND(对接源_01水果!$X115="公司筐",N(对接源_01水果!$V115)&lt;&gt;0)),1,0)</f>
        <v>0</v>
      </c>
      <c r="U115" s="1" t="n">
        <f aca="false">N(U114)+$T115</f>
        <v>18</v>
      </c>
      <c r="V115" s="1" t="n">
        <f aca="false">IF(AND($L115=1,AND(对接源_01水果!$X115="自备筐",N(对接源_01水果!$V115)&lt;&gt;0)),1,0)</f>
        <v>0</v>
      </c>
      <c r="W115" s="1" t="n">
        <f aca="false">N(W114)+$V115</f>
        <v>0</v>
      </c>
      <c r="X115" s="1" t="n">
        <f aca="false">IF(AND($L115=1,AND(对接源_01水果!$X115="自备筐",N(对接源_01水果!$T115)&lt;&gt;0)),1,0)</f>
        <v>0</v>
      </c>
      <c r="Y115" s="1" t="n">
        <f aca="false">N(Y114)+$X115</f>
        <v>0</v>
      </c>
      <c r="Z115" s="1" t="n">
        <f aca="false">IF(AND($M115=1,对接源_01水果!$D115="原料入库"),1,0)</f>
        <v>0</v>
      </c>
      <c r="AA115" s="1" t="n">
        <f aca="false">N(AA114)+$Z115</f>
        <v>20</v>
      </c>
      <c r="AB115" s="1" t="n">
        <f aca="false">IF(AND($M115=1,LEFT(对接源_01水果!$D115,4)="原料出库"),1,0)</f>
        <v>0</v>
      </c>
      <c r="AC115" s="1" t="n">
        <f aca="false">N(AC114)+$AB115</f>
        <v>0</v>
      </c>
      <c r="AD115" s="1" t="n">
        <f aca="false">IF(AND($M115=1,LEFT(对接源_01水果!$D115,4)="成品出库"),1,0)</f>
        <v>0</v>
      </c>
      <c r="AE115" s="1" t="n">
        <f aca="false">N(AE114)+$AD115</f>
        <v>0</v>
      </c>
      <c r="AF115" s="1" t="n">
        <f aca="false">IF(AND($N115=1,AND(LEFT(对接源_01水果!$D115,4)="包装物料",N(对接源_01水果!$K115)&lt;&gt;0)),1,0)</f>
        <v>0</v>
      </c>
      <c r="AG115" s="90" t="str">
        <f aca="false">IF(对接源_01水果!$AC115="","",对接源_01水果!$AC115)</f>
        <v/>
      </c>
      <c r="AH115" s="90" t="str">
        <f aca="false">IFERROR(INDEX($AG$4:$AG$1203,MATCH(ROW()-3,$AJ$4:$AJ$1203,0)),"")</f>
        <v/>
      </c>
      <c r="AI115" s="90" t="n">
        <f aca="false">IF(AG115="",0,IF(MATCH(AG115,$AG$4:$AG$1203,0)=ROW()-3,1,0))</f>
        <v>0</v>
      </c>
      <c r="AJ115" s="90" t="n">
        <f aca="false">N(AJ114)+AI115</f>
        <v>0</v>
      </c>
      <c r="AK115" s="1" t="n">
        <f aca="false">N(AK114)+$AJ115</f>
        <v>0</v>
      </c>
    </row>
    <row r="116" customFormat="false" ht="13.5" hidden="false" customHeight="false" outlineLevel="0" collapsed="false">
      <c r="A116" s="1" t="str">
        <f aca="false">IF(对接源_01水果!$C116="","",对接源_01水果!$C116)</f>
        <v>聂新平</v>
      </c>
      <c r="B116" s="1" t="n">
        <f aca="false">IF(A116="",0,IF(MATCH(A116,$A$4:$A$2403,0)=ROW()-3,1,0))</f>
        <v>0</v>
      </c>
      <c r="C116" s="1" t="n">
        <f aca="false">N(C115)+B116</f>
        <v>4</v>
      </c>
      <c r="E116" s="1" t="str">
        <f aca="false">IFERROR(INDEX($A$4:$A$2403,MATCH(ROW()-3,$C$4:$C$2403,0)),"")</f>
        <v/>
      </c>
      <c r="K116" s="1" t="n">
        <f aca="false">IF(OR($K$1="",对接源_01水果!$C116="",对接源_01水果!$C116&lt;&gt;$K$1,对接源_01水果!$B116=""),0,IF(OR(N(对接源_01水果!$B116)&lt;$K$2,N(对接源_01水果!$B116)&gt;$K$3),0,1))</f>
        <v>0</v>
      </c>
      <c r="L116" s="1" t="n">
        <f aca="false">IF(OR($L$1="",对接源_01水果!$C116="",对接源_01水果!$C116&lt;&gt;$L$1,对接源_01水果!$B116=""),0,IF(OR(N(对接源_01水果!$B116)&lt;$L$2,N(对接源_01水果!$B116)&gt;$L$3),0,1))</f>
        <v>0</v>
      </c>
      <c r="M116" s="1" t="n">
        <f aca="false">IF(OR($M$1="",对接源_01水果!$C116="",对接源_01水果!$C116&lt;&gt;$M$1,对接源_01水果!$B116=""),0,IF(OR(N(对接源_01水果!$B116)&lt;$M$2,N(对接源_01水果!$B116)&gt;$M$3),0,1))</f>
        <v>0</v>
      </c>
      <c r="N116" s="1" t="n">
        <f aca="false">IF(OR($N$1="",对接源_01水果!$C116="",对接源_01水果!$C116&lt;&gt;$N$1,对接源_01水果!$B116=""),0,IF(OR(N(对接源_01水果!$B116)&lt;$N$2,N(对接源_01水果!$B116)&gt;$N$3),0,1))</f>
        <v>0</v>
      </c>
      <c r="P116" s="1" t="n">
        <f aca="false">IF(AND($K116=1,AND(对接源_01水果!$X116="公司筐",N(对接源_01水果!$T116)&lt;&gt;0)),1,0)</f>
        <v>0</v>
      </c>
      <c r="Q116" s="1" t="n">
        <f aca="false">N(Q115)+$P116</f>
        <v>0</v>
      </c>
      <c r="R116" s="1" t="n">
        <f aca="false">IF(AND($K116=1,AND(对接源_01水果!$X116="公司筐",N(对接源_01水果!$U116)&lt;&gt;0)),1,0)</f>
        <v>0</v>
      </c>
      <c r="S116" s="1" t="n">
        <f aca="false">N(S115)+$R116</f>
        <v>0</v>
      </c>
      <c r="T116" s="1" t="n">
        <f aca="false">IF(AND($K116=1,AND(对接源_01水果!$X116="公司筐",N(对接源_01水果!$V116)&lt;&gt;0)),1,0)</f>
        <v>0</v>
      </c>
      <c r="U116" s="1" t="n">
        <f aca="false">N(U115)+$T116</f>
        <v>18</v>
      </c>
      <c r="V116" s="1" t="n">
        <f aca="false">IF(AND($L116=1,AND(对接源_01水果!$X116="自备筐",N(对接源_01水果!$V116)&lt;&gt;0)),1,0)</f>
        <v>0</v>
      </c>
      <c r="W116" s="1" t="n">
        <f aca="false">N(W115)+$V116</f>
        <v>0</v>
      </c>
      <c r="X116" s="1" t="n">
        <f aca="false">IF(AND($L116=1,AND(对接源_01水果!$X116="自备筐",N(对接源_01水果!$T116)&lt;&gt;0)),1,0)</f>
        <v>0</v>
      </c>
      <c r="Y116" s="1" t="n">
        <f aca="false">N(Y115)+$X116</f>
        <v>0</v>
      </c>
      <c r="Z116" s="1" t="n">
        <f aca="false">IF(AND($M116=1,对接源_01水果!$D116="原料入库"),1,0)</f>
        <v>0</v>
      </c>
      <c r="AA116" s="1" t="n">
        <f aca="false">N(AA115)+$Z116</f>
        <v>20</v>
      </c>
      <c r="AB116" s="1" t="n">
        <f aca="false">IF(AND($M116=1,LEFT(对接源_01水果!$D116,4)="原料出库"),1,0)</f>
        <v>0</v>
      </c>
      <c r="AC116" s="1" t="n">
        <f aca="false">N(AC115)+$AB116</f>
        <v>0</v>
      </c>
      <c r="AD116" s="1" t="n">
        <f aca="false">IF(AND($M116=1,LEFT(对接源_01水果!$D116,4)="成品出库"),1,0)</f>
        <v>0</v>
      </c>
      <c r="AE116" s="1" t="n">
        <f aca="false">N(AE115)+$AD116</f>
        <v>0</v>
      </c>
      <c r="AF116" s="1" t="n">
        <f aca="false">IF(AND($N116=1,AND(LEFT(对接源_01水果!$D116,4)="包装物料",N(对接源_01水果!$K116)&lt;&gt;0)),1,0)</f>
        <v>0</v>
      </c>
      <c r="AG116" s="90" t="str">
        <f aca="false">IF(对接源_01水果!$AC116="","",对接源_01水果!$AC116)</f>
        <v/>
      </c>
      <c r="AH116" s="90" t="str">
        <f aca="false">IFERROR(INDEX($AG$4:$AG$1203,MATCH(ROW()-3,$AJ$4:$AJ$1203,0)),"")</f>
        <v/>
      </c>
      <c r="AI116" s="90" t="n">
        <f aca="false">IF(AG116="",0,IF(MATCH(AG116,$AG$4:$AG$1203,0)=ROW()-3,1,0))</f>
        <v>0</v>
      </c>
      <c r="AJ116" s="90" t="n">
        <f aca="false">N(AJ115)+AI116</f>
        <v>0</v>
      </c>
      <c r="AK116" s="1" t="n">
        <f aca="false">N(AK115)+$AJ116</f>
        <v>0</v>
      </c>
    </row>
    <row r="117" customFormat="false" ht="13.5" hidden="false" customHeight="false" outlineLevel="0" collapsed="false">
      <c r="A117" s="1" t="str">
        <f aca="false">IF(对接源_01水果!$C117="","",对接源_01水果!$C117)</f>
        <v>聂新平</v>
      </c>
      <c r="B117" s="1" t="n">
        <f aca="false">IF(A117="",0,IF(MATCH(A117,$A$4:$A$2403,0)=ROW()-3,1,0))</f>
        <v>0</v>
      </c>
      <c r="C117" s="1" t="n">
        <f aca="false">N(C116)+B117</f>
        <v>4</v>
      </c>
      <c r="E117" s="1" t="str">
        <f aca="false">IFERROR(INDEX($A$4:$A$2403,MATCH(ROW()-3,$C$4:$C$2403,0)),"")</f>
        <v/>
      </c>
      <c r="K117" s="1" t="n">
        <f aca="false">IF(OR($K$1="",对接源_01水果!$C117="",对接源_01水果!$C117&lt;&gt;$K$1,对接源_01水果!$B117=""),0,IF(OR(N(对接源_01水果!$B117)&lt;$K$2,N(对接源_01水果!$B117)&gt;$K$3),0,1))</f>
        <v>0</v>
      </c>
      <c r="L117" s="1" t="n">
        <f aca="false">IF(OR($L$1="",对接源_01水果!$C117="",对接源_01水果!$C117&lt;&gt;$L$1,对接源_01水果!$B117=""),0,IF(OR(N(对接源_01水果!$B117)&lt;$L$2,N(对接源_01水果!$B117)&gt;$L$3),0,1))</f>
        <v>0</v>
      </c>
      <c r="M117" s="1" t="n">
        <f aca="false">IF(OR($M$1="",对接源_01水果!$C117="",对接源_01水果!$C117&lt;&gt;$M$1,对接源_01水果!$B117=""),0,IF(OR(N(对接源_01水果!$B117)&lt;$M$2,N(对接源_01水果!$B117)&gt;$M$3),0,1))</f>
        <v>0</v>
      </c>
      <c r="N117" s="1" t="n">
        <f aca="false">IF(OR($N$1="",对接源_01水果!$C117="",对接源_01水果!$C117&lt;&gt;$N$1,对接源_01水果!$B117=""),0,IF(OR(N(对接源_01水果!$B117)&lt;$N$2,N(对接源_01水果!$B117)&gt;$N$3),0,1))</f>
        <v>0</v>
      </c>
      <c r="P117" s="1" t="n">
        <f aca="false">IF(AND($K117=1,AND(对接源_01水果!$X117="公司筐",N(对接源_01水果!$T117)&lt;&gt;0)),1,0)</f>
        <v>0</v>
      </c>
      <c r="Q117" s="1" t="n">
        <f aca="false">N(Q116)+$P117</f>
        <v>0</v>
      </c>
      <c r="R117" s="1" t="n">
        <f aca="false">IF(AND($K117=1,AND(对接源_01水果!$X117="公司筐",N(对接源_01水果!$U117)&lt;&gt;0)),1,0)</f>
        <v>0</v>
      </c>
      <c r="S117" s="1" t="n">
        <f aca="false">N(S116)+$R117</f>
        <v>0</v>
      </c>
      <c r="T117" s="1" t="n">
        <f aca="false">IF(AND($K117=1,AND(对接源_01水果!$X117="公司筐",N(对接源_01水果!$V117)&lt;&gt;0)),1,0)</f>
        <v>0</v>
      </c>
      <c r="U117" s="1" t="n">
        <f aca="false">N(U116)+$T117</f>
        <v>18</v>
      </c>
      <c r="V117" s="1" t="n">
        <f aca="false">IF(AND($L117=1,AND(对接源_01水果!$X117="自备筐",N(对接源_01水果!$V117)&lt;&gt;0)),1,0)</f>
        <v>0</v>
      </c>
      <c r="W117" s="1" t="n">
        <f aca="false">N(W116)+$V117</f>
        <v>0</v>
      </c>
      <c r="X117" s="1" t="n">
        <f aca="false">IF(AND($L117=1,AND(对接源_01水果!$X117="自备筐",N(对接源_01水果!$T117)&lt;&gt;0)),1,0)</f>
        <v>0</v>
      </c>
      <c r="Y117" s="1" t="n">
        <f aca="false">N(Y116)+$X117</f>
        <v>0</v>
      </c>
      <c r="Z117" s="1" t="n">
        <f aca="false">IF(AND($M117=1,对接源_01水果!$D117="原料入库"),1,0)</f>
        <v>0</v>
      </c>
      <c r="AA117" s="1" t="n">
        <f aca="false">N(AA116)+$Z117</f>
        <v>20</v>
      </c>
      <c r="AB117" s="1" t="n">
        <f aca="false">IF(AND($M117=1,LEFT(对接源_01水果!$D117,4)="原料出库"),1,0)</f>
        <v>0</v>
      </c>
      <c r="AC117" s="1" t="n">
        <f aca="false">N(AC116)+$AB117</f>
        <v>0</v>
      </c>
      <c r="AD117" s="1" t="n">
        <f aca="false">IF(AND($M117=1,LEFT(对接源_01水果!$D117,4)="成品出库"),1,0)</f>
        <v>0</v>
      </c>
      <c r="AE117" s="1" t="n">
        <f aca="false">N(AE116)+$AD117</f>
        <v>0</v>
      </c>
      <c r="AF117" s="1" t="n">
        <f aca="false">IF(AND($N117=1,AND(LEFT(对接源_01水果!$D117,4)="包装物料",N(对接源_01水果!$K117)&lt;&gt;0)),1,0)</f>
        <v>0</v>
      </c>
      <c r="AG117" s="90" t="str">
        <f aca="false">IF(对接源_01水果!$AC117="","",对接源_01水果!$AC117)</f>
        <v/>
      </c>
      <c r="AH117" s="90" t="str">
        <f aca="false">IFERROR(INDEX($AG$4:$AG$1203,MATCH(ROW()-3,$AJ$4:$AJ$1203,0)),"")</f>
        <v/>
      </c>
      <c r="AI117" s="90" t="n">
        <f aca="false">IF(AG117="",0,IF(MATCH(AG117,$AG$4:$AG$1203,0)=ROW()-3,1,0))</f>
        <v>0</v>
      </c>
      <c r="AJ117" s="90" t="n">
        <f aca="false">N(AJ116)+AI117</f>
        <v>0</v>
      </c>
      <c r="AK117" s="1" t="n">
        <f aca="false">N(AK116)+$AJ117</f>
        <v>0</v>
      </c>
    </row>
    <row r="118" customFormat="false" ht="13.5" hidden="false" customHeight="false" outlineLevel="0" collapsed="false">
      <c r="A118" s="1" t="str">
        <f aca="false">IF(对接源_01水果!$C118="","",对接源_01水果!$C118)</f>
        <v>聂新平</v>
      </c>
      <c r="B118" s="1" t="n">
        <f aca="false">IF(A118="",0,IF(MATCH(A118,$A$4:$A$2403,0)=ROW()-3,1,0))</f>
        <v>0</v>
      </c>
      <c r="C118" s="1" t="n">
        <f aca="false">N(C117)+B118</f>
        <v>4</v>
      </c>
      <c r="E118" s="1" t="str">
        <f aca="false">IFERROR(INDEX($A$4:$A$2403,MATCH(ROW()-3,$C$4:$C$2403,0)),"")</f>
        <v/>
      </c>
      <c r="K118" s="1" t="n">
        <f aca="false">IF(OR($K$1="",对接源_01水果!$C118="",对接源_01水果!$C118&lt;&gt;$K$1,对接源_01水果!$B118=""),0,IF(OR(N(对接源_01水果!$B118)&lt;$K$2,N(对接源_01水果!$B118)&gt;$K$3),0,1))</f>
        <v>0</v>
      </c>
      <c r="L118" s="1" t="n">
        <f aca="false">IF(OR($L$1="",对接源_01水果!$C118="",对接源_01水果!$C118&lt;&gt;$L$1,对接源_01水果!$B118=""),0,IF(OR(N(对接源_01水果!$B118)&lt;$L$2,N(对接源_01水果!$B118)&gt;$L$3),0,1))</f>
        <v>0</v>
      </c>
      <c r="M118" s="1" t="n">
        <f aca="false">IF(OR($M$1="",对接源_01水果!$C118="",对接源_01水果!$C118&lt;&gt;$M$1,对接源_01水果!$B118=""),0,IF(OR(N(对接源_01水果!$B118)&lt;$M$2,N(对接源_01水果!$B118)&gt;$M$3),0,1))</f>
        <v>0</v>
      </c>
      <c r="N118" s="1" t="n">
        <f aca="false">IF(OR($N$1="",对接源_01水果!$C118="",对接源_01水果!$C118&lt;&gt;$N$1,对接源_01水果!$B118=""),0,IF(OR(N(对接源_01水果!$B118)&lt;$N$2,N(对接源_01水果!$B118)&gt;$N$3),0,1))</f>
        <v>0</v>
      </c>
      <c r="P118" s="1" t="n">
        <f aca="false">IF(AND($K118=1,AND(对接源_01水果!$X118="公司筐",N(对接源_01水果!$T118)&lt;&gt;0)),1,0)</f>
        <v>0</v>
      </c>
      <c r="Q118" s="1" t="n">
        <f aca="false">N(Q117)+$P118</f>
        <v>0</v>
      </c>
      <c r="R118" s="1" t="n">
        <f aca="false">IF(AND($K118=1,AND(对接源_01水果!$X118="公司筐",N(对接源_01水果!$U118)&lt;&gt;0)),1,0)</f>
        <v>0</v>
      </c>
      <c r="S118" s="1" t="n">
        <f aca="false">N(S117)+$R118</f>
        <v>0</v>
      </c>
      <c r="T118" s="1" t="n">
        <f aca="false">IF(AND($K118=1,AND(对接源_01水果!$X118="公司筐",N(对接源_01水果!$V118)&lt;&gt;0)),1,0)</f>
        <v>0</v>
      </c>
      <c r="U118" s="1" t="n">
        <f aca="false">N(U117)+$T118</f>
        <v>18</v>
      </c>
      <c r="V118" s="1" t="n">
        <f aca="false">IF(AND($L118=1,AND(对接源_01水果!$X118="自备筐",N(对接源_01水果!$V118)&lt;&gt;0)),1,0)</f>
        <v>0</v>
      </c>
      <c r="W118" s="1" t="n">
        <f aca="false">N(W117)+$V118</f>
        <v>0</v>
      </c>
      <c r="X118" s="1" t="n">
        <f aca="false">IF(AND($L118=1,AND(对接源_01水果!$X118="自备筐",N(对接源_01水果!$T118)&lt;&gt;0)),1,0)</f>
        <v>0</v>
      </c>
      <c r="Y118" s="1" t="n">
        <f aca="false">N(Y117)+$X118</f>
        <v>0</v>
      </c>
      <c r="Z118" s="1" t="n">
        <f aca="false">IF(AND($M118=1,对接源_01水果!$D118="原料入库"),1,0)</f>
        <v>0</v>
      </c>
      <c r="AA118" s="1" t="n">
        <f aca="false">N(AA117)+$Z118</f>
        <v>20</v>
      </c>
      <c r="AB118" s="1" t="n">
        <f aca="false">IF(AND($M118=1,LEFT(对接源_01水果!$D118,4)="原料出库"),1,0)</f>
        <v>0</v>
      </c>
      <c r="AC118" s="1" t="n">
        <f aca="false">N(AC117)+$AB118</f>
        <v>0</v>
      </c>
      <c r="AD118" s="1" t="n">
        <f aca="false">IF(AND($M118=1,LEFT(对接源_01水果!$D118,4)="成品出库"),1,0)</f>
        <v>0</v>
      </c>
      <c r="AE118" s="1" t="n">
        <f aca="false">N(AE117)+$AD118</f>
        <v>0</v>
      </c>
      <c r="AF118" s="1" t="n">
        <f aca="false">IF(AND($N118=1,AND(LEFT(对接源_01水果!$D118,4)="包装物料",N(对接源_01水果!$K118)&lt;&gt;0)),1,0)</f>
        <v>0</v>
      </c>
      <c r="AG118" s="90" t="str">
        <f aca="false">IF(对接源_01水果!$AC118="","",对接源_01水果!$AC118)</f>
        <v/>
      </c>
      <c r="AH118" s="90" t="str">
        <f aca="false">IFERROR(INDEX($AG$4:$AG$1203,MATCH(ROW()-3,$AJ$4:$AJ$1203,0)),"")</f>
        <v/>
      </c>
      <c r="AI118" s="90" t="n">
        <f aca="false">IF(AG118="",0,IF(MATCH(AG118,$AG$4:$AG$1203,0)=ROW()-3,1,0))</f>
        <v>0</v>
      </c>
      <c r="AJ118" s="90" t="n">
        <f aca="false">N(AJ117)+AI118</f>
        <v>0</v>
      </c>
      <c r="AK118" s="1" t="n">
        <f aca="false">N(AK117)+$AJ118</f>
        <v>0</v>
      </c>
    </row>
    <row r="119" customFormat="false" ht="13.5" hidden="false" customHeight="false" outlineLevel="0" collapsed="false">
      <c r="A119" s="1" t="str">
        <f aca="false">IF(对接源_01水果!$C119="","",对接源_01水果!$C119)</f>
        <v>聂新平</v>
      </c>
      <c r="B119" s="1" t="n">
        <f aca="false">IF(A119="",0,IF(MATCH(A119,$A$4:$A$2403,0)=ROW()-3,1,0))</f>
        <v>0</v>
      </c>
      <c r="C119" s="1" t="n">
        <f aca="false">N(C118)+B119</f>
        <v>4</v>
      </c>
      <c r="E119" s="1" t="str">
        <f aca="false">IFERROR(INDEX($A$4:$A$2403,MATCH(ROW()-3,$C$4:$C$2403,0)),"")</f>
        <v/>
      </c>
      <c r="K119" s="1" t="n">
        <f aca="false">IF(OR($K$1="",对接源_01水果!$C119="",对接源_01水果!$C119&lt;&gt;$K$1,对接源_01水果!$B119=""),0,IF(OR(N(对接源_01水果!$B119)&lt;$K$2,N(对接源_01水果!$B119)&gt;$K$3),0,1))</f>
        <v>0</v>
      </c>
      <c r="L119" s="1" t="n">
        <f aca="false">IF(OR($L$1="",对接源_01水果!$C119="",对接源_01水果!$C119&lt;&gt;$L$1,对接源_01水果!$B119=""),0,IF(OR(N(对接源_01水果!$B119)&lt;$L$2,N(对接源_01水果!$B119)&gt;$L$3),0,1))</f>
        <v>0</v>
      </c>
      <c r="M119" s="1" t="n">
        <f aca="false">IF(OR($M$1="",对接源_01水果!$C119="",对接源_01水果!$C119&lt;&gt;$M$1,对接源_01水果!$B119=""),0,IF(OR(N(对接源_01水果!$B119)&lt;$M$2,N(对接源_01水果!$B119)&gt;$M$3),0,1))</f>
        <v>0</v>
      </c>
      <c r="N119" s="1" t="n">
        <f aca="false">IF(OR($N$1="",对接源_01水果!$C119="",对接源_01水果!$C119&lt;&gt;$N$1,对接源_01水果!$B119=""),0,IF(OR(N(对接源_01水果!$B119)&lt;$N$2,N(对接源_01水果!$B119)&gt;$N$3),0,1))</f>
        <v>0</v>
      </c>
      <c r="P119" s="1" t="n">
        <f aca="false">IF(AND($K119=1,AND(对接源_01水果!$X119="公司筐",N(对接源_01水果!$T119)&lt;&gt;0)),1,0)</f>
        <v>0</v>
      </c>
      <c r="Q119" s="1" t="n">
        <f aca="false">N(Q118)+$P119</f>
        <v>0</v>
      </c>
      <c r="R119" s="1" t="n">
        <f aca="false">IF(AND($K119=1,AND(对接源_01水果!$X119="公司筐",N(对接源_01水果!$U119)&lt;&gt;0)),1,0)</f>
        <v>0</v>
      </c>
      <c r="S119" s="1" t="n">
        <f aca="false">N(S118)+$R119</f>
        <v>0</v>
      </c>
      <c r="T119" s="1" t="n">
        <f aca="false">IF(AND($K119=1,AND(对接源_01水果!$X119="公司筐",N(对接源_01水果!$V119)&lt;&gt;0)),1,0)</f>
        <v>0</v>
      </c>
      <c r="U119" s="1" t="n">
        <f aca="false">N(U118)+$T119</f>
        <v>18</v>
      </c>
      <c r="V119" s="1" t="n">
        <f aca="false">IF(AND($L119=1,AND(对接源_01水果!$X119="自备筐",N(对接源_01水果!$V119)&lt;&gt;0)),1,0)</f>
        <v>0</v>
      </c>
      <c r="W119" s="1" t="n">
        <f aca="false">N(W118)+$V119</f>
        <v>0</v>
      </c>
      <c r="X119" s="1" t="n">
        <f aca="false">IF(AND($L119=1,AND(对接源_01水果!$X119="自备筐",N(对接源_01水果!$T119)&lt;&gt;0)),1,0)</f>
        <v>0</v>
      </c>
      <c r="Y119" s="1" t="n">
        <f aca="false">N(Y118)+$X119</f>
        <v>0</v>
      </c>
      <c r="Z119" s="1" t="n">
        <f aca="false">IF(AND($M119=1,对接源_01水果!$D119="原料入库"),1,0)</f>
        <v>0</v>
      </c>
      <c r="AA119" s="1" t="n">
        <f aca="false">N(AA118)+$Z119</f>
        <v>20</v>
      </c>
      <c r="AB119" s="1" t="n">
        <f aca="false">IF(AND($M119=1,LEFT(对接源_01水果!$D119,4)="原料出库"),1,0)</f>
        <v>0</v>
      </c>
      <c r="AC119" s="1" t="n">
        <f aca="false">N(AC118)+$AB119</f>
        <v>0</v>
      </c>
      <c r="AD119" s="1" t="n">
        <f aca="false">IF(AND($M119=1,LEFT(对接源_01水果!$D119,4)="成品出库"),1,0)</f>
        <v>0</v>
      </c>
      <c r="AE119" s="1" t="n">
        <f aca="false">N(AE118)+$AD119</f>
        <v>0</v>
      </c>
      <c r="AF119" s="1" t="n">
        <f aca="false">IF(AND($N119=1,AND(LEFT(对接源_01水果!$D119,4)="包装物料",N(对接源_01水果!$K119)&lt;&gt;0)),1,0)</f>
        <v>0</v>
      </c>
      <c r="AG119" s="90" t="str">
        <f aca="false">IF(对接源_01水果!$AC119="","",对接源_01水果!$AC119)</f>
        <v/>
      </c>
      <c r="AH119" s="90" t="str">
        <f aca="false">IFERROR(INDEX($AG$4:$AG$1203,MATCH(ROW()-3,$AJ$4:$AJ$1203,0)),"")</f>
        <v/>
      </c>
      <c r="AI119" s="90" t="n">
        <f aca="false">IF(AG119="",0,IF(MATCH(AG119,$AG$4:$AG$1203,0)=ROW()-3,1,0))</f>
        <v>0</v>
      </c>
      <c r="AJ119" s="90" t="n">
        <f aca="false">N(AJ118)+AI119</f>
        <v>0</v>
      </c>
      <c r="AK119" s="1" t="n">
        <f aca="false">N(AK118)+$AJ119</f>
        <v>0</v>
      </c>
    </row>
    <row r="120" customFormat="false" ht="13.5" hidden="false" customHeight="false" outlineLevel="0" collapsed="false">
      <c r="A120" s="1" t="str">
        <f aca="false">IF(对接源_01水果!$C120="","",对接源_01水果!$C120)</f>
        <v>聂新平</v>
      </c>
      <c r="B120" s="1" t="n">
        <f aca="false">IF(A120="",0,IF(MATCH(A120,$A$4:$A$2403,0)=ROW()-3,1,0))</f>
        <v>0</v>
      </c>
      <c r="C120" s="1" t="n">
        <f aca="false">N(C119)+B120</f>
        <v>4</v>
      </c>
      <c r="E120" s="1" t="str">
        <f aca="false">IFERROR(INDEX($A$4:$A$2403,MATCH(ROW()-3,$C$4:$C$2403,0)),"")</f>
        <v/>
      </c>
      <c r="K120" s="1" t="n">
        <f aca="false">IF(OR($K$1="",对接源_01水果!$C120="",对接源_01水果!$C120&lt;&gt;$K$1,对接源_01水果!$B120=""),0,IF(OR(N(对接源_01水果!$B120)&lt;$K$2,N(对接源_01水果!$B120)&gt;$K$3),0,1))</f>
        <v>0</v>
      </c>
      <c r="L120" s="1" t="n">
        <f aca="false">IF(OR($L$1="",对接源_01水果!$C120="",对接源_01水果!$C120&lt;&gt;$L$1,对接源_01水果!$B120=""),0,IF(OR(N(对接源_01水果!$B120)&lt;$L$2,N(对接源_01水果!$B120)&gt;$L$3),0,1))</f>
        <v>0</v>
      </c>
      <c r="M120" s="1" t="n">
        <f aca="false">IF(OR($M$1="",对接源_01水果!$C120="",对接源_01水果!$C120&lt;&gt;$M$1,对接源_01水果!$B120=""),0,IF(OR(N(对接源_01水果!$B120)&lt;$M$2,N(对接源_01水果!$B120)&gt;$M$3),0,1))</f>
        <v>0</v>
      </c>
      <c r="N120" s="1" t="n">
        <f aca="false">IF(OR($N$1="",对接源_01水果!$C120="",对接源_01水果!$C120&lt;&gt;$N$1,对接源_01水果!$B120=""),0,IF(OR(N(对接源_01水果!$B120)&lt;$N$2,N(对接源_01水果!$B120)&gt;$N$3),0,1))</f>
        <v>0</v>
      </c>
      <c r="P120" s="1" t="n">
        <f aca="false">IF(AND($K120=1,AND(对接源_01水果!$X120="公司筐",N(对接源_01水果!$T120)&lt;&gt;0)),1,0)</f>
        <v>0</v>
      </c>
      <c r="Q120" s="1" t="n">
        <f aca="false">N(Q119)+$P120</f>
        <v>0</v>
      </c>
      <c r="R120" s="1" t="n">
        <f aca="false">IF(AND($K120=1,AND(对接源_01水果!$X120="公司筐",N(对接源_01水果!$U120)&lt;&gt;0)),1,0)</f>
        <v>0</v>
      </c>
      <c r="S120" s="1" t="n">
        <f aca="false">N(S119)+$R120</f>
        <v>0</v>
      </c>
      <c r="T120" s="1" t="n">
        <f aca="false">IF(AND($K120=1,AND(对接源_01水果!$X120="公司筐",N(对接源_01水果!$V120)&lt;&gt;0)),1,0)</f>
        <v>0</v>
      </c>
      <c r="U120" s="1" t="n">
        <f aca="false">N(U119)+$T120</f>
        <v>18</v>
      </c>
      <c r="V120" s="1" t="n">
        <f aca="false">IF(AND($L120=1,AND(对接源_01水果!$X120="自备筐",N(对接源_01水果!$V120)&lt;&gt;0)),1,0)</f>
        <v>0</v>
      </c>
      <c r="W120" s="1" t="n">
        <f aca="false">N(W119)+$V120</f>
        <v>0</v>
      </c>
      <c r="X120" s="1" t="n">
        <f aca="false">IF(AND($L120=1,AND(对接源_01水果!$X120="自备筐",N(对接源_01水果!$T120)&lt;&gt;0)),1,0)</f>
        <v>0</v>
      </c>
      <c r="Y120" s="1" t="n">
        <f aca="false">N(Y119)+$X120</f>
        <v>0</v>
      </c>
      <c r="Z120" s="1" t="n">
        <f aca="false">IF(AND($M120=1,对接源_01水果!$D120="原料入库"),1,0)</f>
        <v>0</v>
      </c>
      <c r="AA120" s="1" t="n">
        <f aca="false">N(AA119)+$Z120</f>
        <v>20</v>
      </c>
      <c r="AB120" s="1" t="n">
        <f aca="false">IF(AND($M120=1,LEFT(对接源_01水果!$D120,4)="原料出库"),1,0)</f>
        <v>0</v>
      </c>
      <c r="AC120" s="1" t="n">
        <f aca="false">N(AC119)+$AB120</f>
        <v>0</v>
      </c>
      <c r="AD120" s="1" t="n">
        <f aca="false">IF(AND($M120=1,LEFT(对接源_01水果!$D120,4)="成品出库"),1,0)</f>
        <v>0</v>
      </c>
      <c r="AE120" s="1" t="n">
        <f aca="false">N(AE119)+$AD120</f>
        <v>0</v>
      </c>
      <c r="AF120" s="1" t="n">
        <f aca="false">IF(AND($N120=1,AND(LEFT(对接源_01水果!$D120,4)="包装物料",N(对接源_01水果!$K120)&lt;&gt;0)),1,0)</f>
        <v>0</v>
      </c>
      <c r="AG120" s="90" t="str">
        <f aca="false">IF(对接源_01水果!$AC120="","",对接源_01水果!$AC120)</f>
        <v/>
      </c>
      <c r="AH120" s="90" t="str">
        <f aca="false">IFERROR(INDEX($AG$4:$AG$1203,MATCH(ROW()-3,$AJ$4:$AJ$1203,0)),"")</f>
        <v/>
      </c>
      <c r="AI120" s="90" t="n">
        <f aca="false">IF(AG120="",0,IF(MATCH(AG120,$AG$4:$AG$1203,0)=ROW()-3,1,0))</f>
        <v>0</v>
      </c>
      <c r="AJ120" s="90" t="n">
        <f aca="false">N(AJ119)+AI120</f>
        <v>0</v>
      </c>
      <c r="AK120" s="1" t="n">
        <f aca="false">N(AK119)+$AJ120</f>
        <v>0</v>
      </c>
    </row>
    <row r="121" customFormat="false" ht="13.5" hidden="false" customHeight="false" outlineLevel="0" collapsed="false">
      <c r="A121" s="1" t="str">
        <f aca="false">IF(对接源_01水果!$C121="","",对接源_01水果!$C121)</f>
        <v>聂新平</v>
      </c>
      <c r="B121" s="1" t="n">
        <f aca="false">IF(A121="",0,IF(MATCH(A121,$A$4:$A$2403,0)=ROW()-3,1,0))</f>
        <v>0</v>
      </c>
      <c r="C121" s="1" t="n">
        <f aca="false">N(C120)+B121</f>
        <v>4</v>
      </c>
      <c r="E121" s="1" t="str">
        <f aca="false">IFERROR(INDEX($A$4:$A$2403,MATCH(ROW()-3,$C$4:$C$2403,0)),"")</f>
        <v/>
      </c>
      <c r="K121" s="1" t="n">
        <f aca="false">IF(OR($K$1="",对接源_01水果!$C121="",对接源_01水果!$C121&lt;&gt;$K$1,对接源_01水果!$B121=""),0,IF(OR(N(对接源_01水果!$B121)&lt;$K$2,N(对接源_01水果!$B121)&gt;$K$3),0,1))</f>
        <v>0</v>
      </c>
      <c r="L121" s="1" t="n">
        <f aca="false">IF(OR($L$1="",对接源_01水果!$C121="",对接源_01水果!$C121&lt;&gt;$L$1,对接源_01水果!$B121=""),0,IF(OR(N(对接源_01水果!$B121)&lt;$L$2,N(对接源_01水果!$B121)&gt;$L$3),0,1))</f>
        <v>0</v>
      </c>
      <c r="M121" s="1" t="n">
        <f aca="false">IF(OR($M$1="",对接源_01水果!$C121="",对接源_01水果!$C121&lt;&gt;$M$1,对接源_01水果!$B121=""),0,IF(OR(N(对接源_01水果!$B121)&lt;$M$2,N(对接源_01水果!$B121)&gt;$M$3),0,1))</f>
        <v>0</v>
      </c>
      <c r="N121" s="1" t="n">
        <f aca="false">IF(OR($N$1="",对接源_01水果!$C121="",对接源_01水果!$C121&lt;&gt;$N$1,对接源_01水果!$B121=""),0,IF(OR(N(对接源_01水果!$B121)&lt;$N$2,N(对接源_01水果!$B121)&gt;$N$3),0,1))</f>
        <v>0</v>
      </c>
      <c r="P121" s="1" t="n">
        <f aca="false">IF(AND($K121=1,AND(对接源_01水果!$X121="公司筐",N(对接源_01水果!$T121)&lt;&gt;0)),1,0)</f>
        <v>0</v>
      </c>
      <c r="Q121" s="1" t="n">
        <f aca="false">N(Q120)+$P121</f>
        <v>0</v>
      </c>
      <c r="R121" s="1" t="n">
        <f aca="false">IF(AND($K121=1,AND(对接源_01水果!$X121="公司筐",N(对接源_01水果!$U121)&lt;&gt;0)),1,0)</f>
        <v>0</v>
      </c>
      <c r="S121" s="1" t="n">
        <f aca="false">N(S120)+$R121</f>
        <v>0</v>
      </c>
      <c r="T121" s="1" t="n">
        <f aca="false">IF(AND($K121=1,AND(对接源_01水果!$X121="公司筐",N(对接源_01水果!$V121)&lt;&gt;0)),1,0)</f>
        <v>0</v>
      </c>
      <c r="U121" s="1" t="n">
        <f aca="false">N(U120)+$T121</f>
        <v>18</v>
      </c>
      <c r="V121" s="1" t="n">
        <f aca="false">IF(AND($L121=1,AND(对接源_01水果!$X121="自备筐",N(对接源_01水果!$V121)&lt;&gt;0)),1,0)</f>
        <v>0</v>
      </c>
      <c r="W121" s="1" t="n">
        <f aca="false">N(W120)+$V121</f>
        <v>0</v>
      </c>
      <c r="X121" s="1" t="n">
        <f aca="false">IF(AND($L121=1,AND(对接源_01水果!$X121="自备筐",N(对接源_01水果!$T121)&lt;&gt;0)),1,0)</f>
        <v>0</v>
      </c>
      <c r="Y121" s="1" t="n">
        <f aca="false">N(Y120)+$X121</f>
        <v>0</v>
      </c>
      <c r="Z121" s="1" t="n">
        <f aca="false">IF(AND($M121=1,对接源_01水果!$D121="原料入库"),1,0)</f>
        <v>0</v>
      </c>
      <c r="AA121" s="1" t="n">
        <f aca="false">N(AA120)+$Z121</f>
        <v>20</v>
      </c>
      <c r="AB121" s="1" t="n">
        <f aca="false">IF(AND($M121=1,LEFT(对接源_01水果!$D121,4)="原料出库"),1,0)</f>
        <v>0</v>
      </c>
      <c r="AC121" s="1" t="n">
        <f aca="false">N(AC120)+$AB121</f>
        <v>0</v>
      </c>
      <c r="AD121" s="1" t="n">
        <f aca="false">IF(AND($M121=1,LEFT(对接源_01水果!$D121,4)="成品出库"),1,0)</f>
        <v>0</v>
      </c>
      <c r="AE121" s="1" t="n">
        <f aca="false">N(AE120)+$AD121</f>
        <v>0</v>
      </c>
      <c r="AF121" s="1" t="n">
        <f aca="false">IF(AND($N121=1,AND(LEFT(对接源_01水果!$D121,4)="包装物料",N(对接源_01水果!$K121)&lt;&gt;0)),1,0)</f>
        <v>0</v>
      </c>
      <c r="AG121" s="90" t="str">
        <f aca="false">IF(对接源_01水果!$AC121="","",对接源_01水果!$AC121)</f>
        <v/>
      </c>
      <c r="AH121" s="90" t="str">
        <f aca="false">IFERROR(INDEX($AG$4:$AG$1203,MATCH(ROW()-3,$AJ$4:$AJ$1203,0)),"")</f>
        <v/>
      </c>
      <c r="AI121" s="90" t="n">
        <f aca="false">IF(AG121="",0,IF(MATCH(AG121,$AG$4:$AG$1203,0)=ROW()-3,1,0))</f>
        <v>0</v>
      </c>
      <c r="AJ121" s="90" t="n">
        <f aca="false">N(AJ120)+AI121</f>
        <v>0</v>
      </c>
      <c r="AK121" s="1" t="n">
        <f aca="false">N(AK120)+$AJ121</f>
        <v>0</v>
      </c>
    </row>
    <row r="122" customFormat="false" ht="13.5" hidden="false" customHeight="false" outlineLevel="0" collapsed="false">
      <c r="A122" s="1" t="str">
        <f aca="false">IF(对接源_01水果!$C122="","",对接源_01水果!$C122)</f>
        <v>聂新平</v>
      </c>
      <c r="B122" s="1" t="n">
        <f aca="false">IF(A122="",0,IF(MATCH(A122,$A$4:$A$2403,0)=ROW()-3,1,0))</f>
        <v>0</v>
      </c>
      <c r="C122" s="1" t="n">
        <f aca="false">N(C121)+B122</f>
        <v>4</v>
      </c>
      <c r="E122" s="1" t="str">
        <f aca="false">IFERROR(INDEX($A$4:$A$2403,MATCH(ROW()-3,$C$4:$C$2403,0)),"")</f>
        <v/>
      </c>
      <c r="K122" s="1" t="n">
        <f aca="false">IF(OR($K$1="",对接源_01水果!$C122="",对接源_01水果!$C122&lt;&gt;$K$1,对接源_01水果!$B122=""),0,IF(OR(N(对接源_01水果!$B122)&lt;$K$2,N(对接源_01水果!$B122)&gt;$K$3),0,1))</f>
        <v>0</v>
      </c>
      <c r="L122" s="1" t="n">
        <f aca="false">IF(OR($L$1="",对接源_01水果!$C122="",对接源_01水果!$C122&lt;&gt;$L$1,对接源_01水果!$B122=""),0,IF(OR(N(对接源_01水果!$B122)&lt;$L$2,N(对接源_01水果!$B122)&gt;$L$3),0,1))</f>
        <v>0</v>
      </c>
      <c r="M122" s="1" t="n">
        <f aca="false">IF(OR($M$1="",对接源_01水果!$C122="",对接源_01水果!$C122&lt;&gt;$M$1,对接源_01水果!$B122=""),0,IF(OR(N(对接源_01水果!$B122)&lt;$M$2,N(对接源_01水果!$B122)&gt;$M$3),0,1))</f>
        <v>0</v>
      </c>
      <c r="N122" s="1" t="n">
        <f aca="false">IF(OR($N$1="",对接源_01水果!$C122="",对接源_01水果!$C122&lt;&gt;$N$1,对接源_01水果!$B122=""),0,IF(OR(N(对接源_01水果!$B122)&lt;$N$2,N(对接源_01水果!$B122)&gt;$N$3),0,1))</f>
        <v>0</v>
      </c>
      <c r="P122" s="1" t="n">
        <f aca="false">IF(AND($K122=1,AND(对接源_01水果!$X122="公司筐",N(对接源_01水果!$T122)&lt;&gt;0)),1,0)</f>
        <v>0</v>
      </c>
      <c r="Q122" s="1" t="n">
        <f aca="false">N(Q121)+$P122</f>
        <v>0</v>
      </c>
      <c r="R122" s="1" t="n">
        <f aca="false">IF(AND($K122=1,AND(对接源_01水果!$X122="公司筐",N(对接源_01水果!$U122)&lt;&gt;0)),1,0)</f>
        <v>0</v>
      </c>
      <c r="S122" s="1" t="n">
        <f aca="false">N(S121)+$R122</f>
        <v>0</v>
      </c>
      <c r="T122" s="1" t="n">
        <f aca="false">IF(AND($K122=1,AND(对接源_01水果!$X122="公司筐",N(对接源_01水果!$V122)&lt;&gt;0)),1,0)</f>
        <v>0</v>
      </c>
      <c r="U122" s="1" t="n">
        <f aca="false">N(U121)+$T122</f>
        <v>18</v>
      </c>
      <c r="V122" s="1" t="n">
        <f aca="false">IF(AND($L122=1,AND(对接源_01水果!$X122="自备筐",N(对接源_01水果!$V122)&lt;&gt;0)),1,0)</f>
        <v>0</v>
      </c>
      <c r="W122" s="1" t="n">
        <f aca="false">N(W121)+$V122</f>
        <v>0</v>
      </c>
      <c r="X122" s="1" t="n">
        <f aca="false">IF(AND($L122=1,AND(对接源_01水果!$X122="自备筐",N(对接源_01水果!$T122)&lt;&gt;0)),1,0)</f>
        <v>0</v>
      </c>
      <c r="Y122" s="1" t="n">
        <f aca="false">N(Y121)+$X122</f>
        <v>0</v>
      </c>
      <c r="Z122" s="1" t="n">
        <f aca="false">IF(AND($M122=1,对接源_01水果!$D122="原料入库"),1,0)</f>
        <v>0</v>
      </c>
      <c r="AA122" s="1" t="n">
        <f aca="false">N(AA121)+$Z122</f>
        <v>20</v>
      </c>
      <c r="AB122" s="1" t="n">
        <f aca="false">IF(AND($M122=1,LEFT(对接源_01水果!$D122,4)="原料出库"),1,0)</f>
        <v>0</v>
      </c>
      <c r="AC122" s="1" t="n">
        <f aca="false">N(AC121)+$AB122</f>
        <v>0</v>
      </c>
      <c r="AD122" s="1" t="n">
        <f aca="false">IF(AND($M122=1,LEFT(对接源_01水果!$D122,4)="成品出库"),1,0)</f>
        <v>0</v>
      </c>
      <c r="AE122" s="1" t="n">
        <f aca="false">N(AE121)+$AD122</f>
        <v>0</v>
      </c>
      <c r="AF122" s="1" t="n">
        <f aca="false">IF(AND($N122=1,AND(LEFT(对接源_01水果!$D122,4)="包装物料",N(对接源_01水果!$K122)&lt;&gt;0)),1,0)</f>
        <v>0</v>
      </c>
      <c r="AG122" s="90" t="str">
        <f aca="false">IF(对接源_01水果!$AC122="","",对接源_01水果!$AC122)</f>
        <v/>
      </c>
      <c r="AH122" s="90" t="str">
        <f aca="false">IFERROR(INDEX($AG$4:$AG$1203,MATCH(ROW()-3,$AJ$4:$AJ$1203,0)),"")</f>
        <v/>
      </c>
      <c r="AI122" s="90" t="n">
        <f aca="false">IF(AG122="",0,IF(MATCH(AG122,$AG$4:$AG$1203,0)=ROW()-3,1,0))</f>
        <v>0</v>
      </c>
      <c r="AJ122" s="90" t="n">
        <f aca="false">N(AJ121)+AI122</f>
        <v>0</v>
      </c>
      <c r="AK122" s="1" t="n">
        <f aca="false">N(AK121)+$AJ122</f>
        <v>0</v>
      </c>
    </row>
    <row r="123" customFormat="false" ht="13.5" hidden="false" customHeight="false" outlineLevel="0" collapsed="false">
      <c r="A123" s="1" t="str">
        <f aca="false">IF(对接源_01水果!$C123="","",对接源_01水果!$C123)</f>
        <v>聂新平</v>
      </c>
      <c r="B123" s="1" t="n">
        <f aca="false">IF(A123="",0,IF(MATCH(A123,$A$4:$A$2403,0)=ROW()-3,1,0))</f>
        <v>0</v>
      </c>
      <c r="C123" s="1" t="n">
        <f aca="false">N(C122)+B123</f>
        <v>4</v>
      </c>
      <c r="E123" s="1" t="str">
        <f aca="false">IFERROR(INDEX($A$4:$A$2403,MATCH(ROW()-3,$C$4:$C$2403,0)),"")</f>
        <v/>
      </c>
      <c r="K123" s="1" t="n">
        <f aca="false">IF(OR($K$1="",对接源_01水果!$C123="",对接源_01水果!$C123&lt;&gt;$K$1,对接源_01水果!$B123=""),0,IF(OR(N(对接源_01水果!$B123)&lt;$K$2,N(对接源_01水果!$B123)&gt;$K$3),0,1))</f>
        <v>0</v>
      </c>
      <c r="L123" s="1" t="n">
        <f aca="false">IF(OR($L$1="",对接源_01水果!$C123="",对接源_01水果!$C123&lt;&gt;$L$1,对接源_01水果!$B123=""),0,IF(OR(N(对接源_01水果!$B123)&lt;$L$2,N(对接源_01水果!$B123)&gt;$L$3),0,1))</f>
        <v>0</v>
      </c>
      <c r="M123" s="1" t="n">
        <f aca="false">IF(OR($M$1="",对接源_01水果!$C123="",对接源_01水果!$C123&lt;&gt;$M$1,对接源_01水果!$B123=""),0,IF(OR(N(对接源_01水果!$B123)&lt;$M$2,N(对接源_01水果!$B123)&gt;$M$3),0,1))</f>
        <v>0</v>
      </c>
      <c r="N123" s="1" t="n">
        <f aca="false">IF(OR($N$1="",对接源_01水果!$C123="",对接源_01水果!$C123&lt;&gt;$N$1,对接源_01水果!$B123=""),0,IF(OR(N(对接源_01水果!$B123)&lt;$N$2,N(对接源_01水果!$B123)&gt;$N$3),0,1))</f>
        <v>0</v>
      </c>
      <c r="P123" s="1" t="n">
        <f aca="false">IF(AND($K123=1,AND(对接源_01水果!$X123="公司筐",N(对接源_01水果!$T123)&lt;&gt;0)),1,0)</f>
        <v>0</v>
      </c>
      <c r="Q123" s="1" t="n">
        <f aca="false">N(Q122)+$P123</f>
        <v>0</v>
      </c>
      <c r="R123" s="1" t="n">
        <f aca="false">IF(AND($K123=1,AND(对接源_01水果!$X123="公司筐",N(对接源_01水果!$U123)&lt;&gt;0)),1,0)</f>
        <v>0</v>
      </c>
      <c r="S123" s="1" t="n">
        <f aca="false">N(S122)+$R123</f>
        <v>0</v>
      </c>
      <c r="T123" s="1" t="n">
        <f aca="false">IF(AND($K123=1,AND(对接源_01水果!$X123="公司筐",N(对接源_01水果!$V123)&lt;&gt;0)),1,0)</f>
        <v>0</v>
      </c>
      <c r="U123" s="1" t="n">
        <f aca="false">N(U122)+$T123</f>
        <v>18</v>
      </c>
      <c r="V123" s="1" t="n">
        <f aca="false">IF(AND($L123=1,AND(对接源_01水果!$X123="自备筐",N(对接源_01水果!$V123)&lt;&gt;0)),1,0)</f>
        <v>0</v>
      </c>
      <c r="W123" s="1" t="n">
        <f aca="false">N(W122)+$V123</f>
        <v>0</v>
      </c>
      <c r="X123" s="1" t="n">
        <f aca="false">IF(AND($L123=1,AND(对接源_01水果!$X123="自备筐",N(对接源_01水果!$T123)&lt;&gt;0)),1,0)</f>
        <v>0</v>
      </c>
      <c r="Y123" s="1" t="n">
        <f aca="false">N(Y122)+$X123</f>
        <v>0</v>
      </c>
      <c r="Z123" s="1" t="n">
        <f aca="false">IF(AND($M123=1,对接源_01水果!$D123="原料入库"),1,0)</f>
        <v>0</v>
      </c>
      <c r="AA123" s="1" t="n">
        <f aca="false">N(AA122)+$Z123</f>
        <v>20</v>
      </c>
      <c r="AB123" s="1" t="n">
        <f aca="false">IF(AND($M123=1,LEFT(对接源_01水果!$D123,4)="原料出库"),1,0)</f>
        <v>0</v>
      </c>
      <c r="AC123" s="1" t="n">
        <f aca="false">N(AC122)+$AB123</f>
        <v>0</v>
      </c>
      <c r="AD123" s="1" t="n">
        <f aca="false">IF(AND($M123=1,LEFT(对接源_01水果!$D123,4)="成品出库"),1,0)</f>
        <v>0</v>
      </c>
      <c r="AE123" s="1" t="n">
        <f aca="false">N(AE122)+$AD123</f>
        <v>0</v>
      </c>
      <c r="AF123" s="1" t="n">
        <f aca="false">IF(AND($N123=1,AND(LEFT(对接源_01水果!$D123,4)="包装物料",N(对接源_01水果!$K123)&lt;&gt;0)),1,0)</f>
        <v>0</v>
      </c>
      <c r="AG123" s="90" t="str">
        <f aca="false">IF(对接源_01水果!$AC123="","",对接源_01水果!$AC123)</f>
        <v/>
      </c>
      <c r="AH123" s="90" t="str">
        <f aca="false">IFERROR(INDEX($AG$4:$AG$1203,MATCH(ROW()-3,$AJ$4:$AJ$1203,0)),"")</f>
        <v/>
      </c>
      <c r="AI123" s="90" t="n">
        <f aca="false">IF(AG123="",0,IF(MATCH(AG123,$AG$4:$AG$1203,0)=ROW()-3,1,0))</f>
        <v>0</v>
      </c>
      <c r="AJ123" s="90" t="n">
        <f aca="false">N(AJ122)+AI123</f>
        <v>0</v>
      </c>
      <c r="AK123" s="1" t="n">
        <f aca="false">N(AK122)+$AJ123</f>
        <v>0</v>
      </c>
    </row>
    <row r="124" customFormat="false" ht="13.5" hidden="false" customHeight="false" outlineLevel="0" collapsed="false">
      <c r="A124" s="1" t="str">
        <f aca="false">IF(对接源_01水果!$C124="","",对接源_01水果!$C124)</f>
        <v>聂新平</v>
      </c>
      <c r="B124" s="1" t="n">
        <f aca="false">IF(A124="",0,IF(MATCH(A124,$A$4:$A$2403,0)=ROW()-3,1,0))</f>
        <v>0</v>
      </c>
      <c r="C124" s="1" t="n">
        <f aca="false">N(C123)+B124</f>
        <v>4</v>
      </c>
      <c r="E124" s="1" t="str">
        <f aca="false">IFERROR(INDEX($A$4:$A$2403,MATCH(ROW()-3,$C$4:$C$2403,0)),"")</f>
        <v/>
      </c>
      <c r="K124" s="1" t="n">
        <f aca="false">IF(OR($K$1="",对接源_01水果!$C124="",对接源_01水果!$C124&lt;&gt;$K$1,对接源_01水果!$B124=""),0,IF(OR(N(对接源_01水果!$B124)&lt;$K$2,N(对接源_01水果!$B124)&gt;$K$3),0,1))</f>
        <v>0</v>
      </c>
      <c r="L124" s="1" t="n">
        <f aca="false">IF(OR($L$1="",对接源_01水果!$C124="",对接源_01水果!$C124&lt;&gt;$L$1,对接源_01水果!$B124=""),0,IF(OR(N(对接源_01水果!$B124)&lt;$L$2,N(对接源_01水果!$B124)&gt;$L$3),0,1))</f>
        <v>0</v>
      </c>
      <c r="M124" s="1" t="n">
        <f aca="false">IF(OR($M$1="",对接源_01水果!$C124="",对接源_01水果!$C124&lt;&gt;$M$1,对接源_01水果!$B124=""),0,IF(OR(N(对接源_01水果!$B124)&lt;$M$2,N(对接源_01水果!$B124)&gt;$M$3),0,1))</f>
        <v>0</v>
      </c>
      <c r="N124" s="1" t="n">
        <f aca="false">IF(OR($N$1="",对接源_01水果!$C124="",对接源_01水果!$C124&lt;&gt;$N$1,对接源_01水果!$B124=""),0,IF(OR(N(对接源_01水果!$B124)&lt;$N$2,N(对接源_01水果!$B124)&gt;$N$3),0,1))</f>
        <v>0</v>
      </c>
      <c r="P124" s="1" t="n">
        <f aca="false">IF(AND($K124=1,AND(对接源_01水果!$X124="公司筐",N(对接源_01水果!$T124)&lt;&gt;0)),1,0)</f>
        <v>0</v>
      </c>
      <c r="Q124" s="1" t="n">
        <f aca="false">N(Q123)+$P124</f>
        <v>0</v>
      </c>
      <c r="R124" s="1" t="n">
        <f aca="false">IF(AND($K124=1,AND(对接源_01水果!$X124="公司筐",N(对接源_01水果!$U124)&lt;&gt;0)),1,0)</f>
        <v>0</v>
      </c>
      <c r="S124" s="1" t="n">
        <f aca="false">N(S123)+$R124</f>
        <v>0</v>
      </c>
      <c r="T124" s="1" t="n">
        <f aca="false">IF(AND($K124=1,AND(对接源_01水果!$X124="公司筐",N(对接源_01水果!$V124)&lt;&gt;0)),1,0)</f>
        <v>0</v>
      </c>
      <c r="U124" s="1" t="n">
        <f aca="false">N(U123)+$T124</f>
        <v>18</v>
      </c>
      <c r="V124" s="1" t="n">
        <f aca="false">IF(AND($L124=1,AND(对接源_01水果!$X124="自备筐",N(对接源_01水果!$V124)&lt;&gt;0)),1,0)</f>
        <v>0</v>
      </c>
      <c r="W124" s="1" t="n">
        <f aca="false">N(W123)+$V124</f>
        <v>0</v>
      </c>
      <c r="X124" s="1" t="n">
        <f aca="false">IF(AND($L124=1,AND(对接源_01水果!$X124="自备筐",N(对接源_01水果!$T124)&lt;&gt;0)),1,0)</f>
        <v>0</v>
      </c>
      <c r="Y124" s="1" t="n">
        <f aca="false">N(Y123)+$X124</f>
        <v>0</v>
      </c>
      <c r="Z124" s="1" t="n">
        <f aca="false">IF(AND($M124=1,对接源_01水果!$D124="原料入库"),1,0)</f>
        <v>0</v>
      </c>
      <c r="AA124" s="1" t="n">
        <f aca="false">N(AA123)+$Z124</f>
        <v>20</v>
      </c>
      <c r="AB124" s="1" t="n">
        <f aca="false">IF(AND($M124=1,LEFT(对接源_01水果!$D124,4)="原料出库"),1,0)</f>
        <v>0</v>
      </c>
      <c r="AC124" s="1" t="n">
        <f aca="false">N(AC123)+$AB124</f>
        <v>0</v>
      </c>
      <c r="AD124" s="1" t="n">
        <f aca="false">IF(AND($M124=1,LEFT(对接源_01水果!$D124,4)="成品出库"),1,0)</f>
        <v>0</v>
      </c>
      <c r="AE124" s="1" t="n">
        <f aca="false">N(AE123)+$AD124</f>
        <v>0</v>
      </c>
      <c r="AF124" s="1" t="n">
        <f aca="false">IF(AND($N124=1,AND(LEFT(对接源_01水果!$D124,4)="包装物料",N(对接源_01水果!$K124)&lt;&gt;0)),1,0)</f>
        <v>0</v>
      </c>
      <c r="AG124" s="90" t="str">
        <f aca="false">IF(对接源_01水果!$AC124="","",对接源_01水果!$AC124)</f>
        <v/>
      </c>
      <c r="AH124" s="90" t="str">
        <f aca="false">IFERROR(INDEX($AG$4:$AG$1203,MATCH(ROW()-3,$AJ$4:$AJ$1203,0)),"")</f>
        <v/>
      </c>
      <c r="AI124" s="90" t="n">
        <f aca="false">IF(AG124="",0,IF(MATCH(AG124,$AG$4:$AG$1203,0)=ROW()-3,1,0))</f>
        <v>0</v>
      </c>
      <c r="AJ124" s="90" t="n">
        <f aca="false">N(AJ123)+AI124</f>
        <v>0</v>
      </c>
      <c r="AK124" s="1" t="n">
        <f aca="false">N(AK123)+$AJ124</f>
        <v>0</v>
      </c>
    </row>
    <row r="125" customFormat="false" ht="13.5" hidden="false" customHeight="false" outlineLevel="0" collapsed="false">
      <c r="A125" s="1" t="str">
        <f aca="false">IF(对接源_01水果!$C125="","",对接源_01水果!$C125)</f>
        <v>聂新平</v>
      </c>
      <c r="B125" s="1" t="n">
        <f aca="false">IF(A125="",0,IF(MATCH(A125,$A$4:$A$2403,0)=ROW()-3,1,0))</f>
        <v>0</v>
      </c>
      <c r="C125" s="1" t="n">
        <f aca="false">N(C124)+B125</f>
        <v>4</v>
      </c>
      <c r="E125" s="1" t="str">
        <f aca="false">IFERROR(INDEX($A$4:$A$2403,MATCH(ROW()-3,$C$4:$C$2403,0)),"")</f>
        <v/>
      </c>
      <c r="K125" s="1" t="n">
        <f aca="false">IF(OR($K$1="",对接源_01水果!$C125="",对接源_01水果!$C125&lt;&gt;$K$1,对接源_01水果!$B125=""),0,IF(OR(N(对接源_01水果!$B125)&lt;$K$2,N(对接源_01水果!$B125)&gt;$K$3),0,1))</f>
        <v>0</v>
      </c>
      <c r="L125" s="1" t="n">
        <f aca="false">IF(OR($L$1="",对接源_01水果!$C125="",对接源_01水果!$C125&lt;&gt;$L$1,对接源_01水果!$B125=""),0,IF(OR(N(对接源_01水果!$B125)&lt;$L$2,N(对接源_01水果!$B125)&gt;$L$3),0,1))</f>
        <v>0</v>
      </c>
      <c r="M125" s="1" t="n">
        <f aca="false">IF(OR($M$1="",对接源_01水果!$C125="",对接源_01水果!$C125&lt;&gt;$M$1,对接源_01水果!$B125=""),0,IF(OR(N(对接源_01水果!$B125)&lt;$M$2,N(对接源_01水果!$B125)&gt;$M$3),0,1))</f>
        <v>0</v>
      </c>
      <c r="N125" s="1" t="n">
        <f aca="false">IF(OR($N$1="",对接源_01水果!$C125="",对接源_01水果!$C125&lt;&gt;$N$1,对接源_01水果!$B125=""),0,IF(OR(N(对接源_01水果!$B125)&lt;$N$2,N(对接源_01水果!$B125)&gt;$N$3),0,1))</f>
        <v>0</v>
      </c>
      <c r="P125" s="1" t="n">
        <f aca="false">IF(AND($K125=1,AND(对接源_01水果!$X125="公司筐",N(对接源_01水果!$T125)&lt;&gt;0)),1,0)</f>
        <v>0</v>
      </c>
      <c r="Q125" s="1" t="n">
        <f aca="false">N(Q124)+$P125</f>
        <v>0</v>
      </c>
      <c r="R125" s="1" t="n">
        <f aca="false">IF(AND($K125=1,AND(对接源_01水果!$X125="公司筐",N(对接源_01水果!$U125)&lt;&gt;0)),1,0)</f>
        <v>0</v>
      </c>
      <c r="S125" s="1" t="n">
        <f aca="false">N(S124)+$R125</f>
        <v>0</v>
      </c>
      <c r="T125" s="1" t="n">
        <f aca="false">IF(AND($K125=1,AND(对接源_01水果!$X125="公司筐",N(对接源_01水果!$V125)&lt;&gt;0)),1,0)</f>
        <v>0</v>
      </c>
      <c r="U125" s="1" t="n">
        <f aca="false">N(U124)+$T125</f>
        <v>18</v>
      </c>
      <c r="V125" s="1" t="n">
        <f aca="false">IF(AND($L125=1,AND(对接源_01水果!$X125="自备筐",N(对接源_01水果!$V125)&lt;&gt;0)),1,0)</f>
        <v>0</v>
      </c>
      <c r="W125" s="1" t="n">
        <f aca="false">N(W124)+$V125</f>
        <v>0</v>
      </c>
      <c r="X125" s="1" t="n">
        <f aca="false">IF(AND($L125=1,AND(对接源_01水果!$X125="自备筐",N(对接源_01水果!$T125)&lt;&gt;0)),1,0)</f>
        <v>0</v>
      </c>
      <c r="Y125" s="1" t="n">
        <f aca="false">N(Y124)+$X125</f>
        <v>0</v>
      </c>
      <c r="Z125" s="1" t="n">
        <f aca="false">IF(AND($M125=1,对接源_01水果!$D125="原料入库"),1,0)</f>
        <v>0</v>
      </c>
      <c r="AA125" s="1" t="n">
        <f aca="false">N(AA124)+$Z125</f>
        <v>20</v>
      </c>
      <c r="AB125" s="1" t="n">
        <f aca="false">IF(AND($M125=1,LEFT(对接源_01水果!$D125,4)="原料出库"),1,0)</f>
        <v>0</v>
      </c>
      <c r="AC125" s="1" t="n">
        <f aca="false">N(AC124)+$AB125</f>
        <v>0</v>
      </c>
      <c r="AD125" s="1" t="n">
        <f aca="false">IF(AND($M125=1,LEFT(对接源_01水果!$D125,4)="成品出库"),1,0)</f>
        <v>0</v>
      </c>
      <c r="AE125" s="1" t="n">
        <f aca="false">N(AE124)+$AD125</f>
        <v>0</v>
      </c>
      <c r="AF125" s="1" t="n">
        <f aca="false">IF(AND($N125=1,AND(LEFT(对接源_01水果!$D125,4)="包装物料",N(对接源_01水果!$K125)&lt;&gt;0)),1,0)</f>
        <v>0</v>
      </c>
      <c r="AG125" s="90" t="str">
        <f aca="false">IF(对接源_01水果!$AC125="","",对接源_01水果!$AC125)</f>
        <v/>
      </c>
      <c r="AH125" s="90" t="str">
        <f aca="false">IFERROR(INDEX($AG$4:$AG$1203,MATCH(ROW()-3,$AJ$4:$AJ$1203,0)),"")</f>
        <v/>
      </c>
      <c r="AI125" s="90" t="n">
        <f aca="false">IF(AG125="",0,IF(MATCH(AG125,$AG$4:$AG$1203,0)=ROW()-3,1,0))</f>
        <v>0</v>
      </c>
      <c r="AJ125" s="90" t="n">
        <f aca="false">N(AJ124)+AI125</f>
        <v>0</v>
      </c>
      <c r="AK125" s="1" t="n">
        <f aca="false">N(AK124)+$AJ125</f>
        <v>0</v>
      </c>
    </row>
    <row r="126" customFormat="false" ht="13.5" hidden="false" customHeight="false" outlineLevel="0" collapsed="false">
      <c r="A126" s="1" t="str">
        <f aca="false">IF(对接源_01水果!$C126="","",对接源_01水果!$C126)</f>
        <v>聂新平</v>
      </c>
      <c r="B126" s="1" t="n">
        <f aca="false">IF(A126="",0,IF(MATCH(A126,$A$4:$A$2403,0)=ROW()-3,1,0))</f>
        <v>0</v>
      </c>
      <c r="C126" s="1" t="n">
        <f aca="false">N(C125)+B126</f>
        <v>4</v>
      </c>
      <c r="E126" s="1" t="str">
        <f aca="false">IFERROR(INDEX($A$4:$A$2403,MATCH(ROW()-3,$C$4:$C$2403,0)),"")</f>
        <v/>
      </c>
      <c r="K126" s="1" t="n">
        <f aca="false">IF(OR($K$1="",对接源_01水果!$C126="",对接源_01水果!$C126&lt;&gt;$K$1,对接源_01水果!$B126=""),0,IF(OR(N(对接源_01水果!$B126)&lt;$K$2,N(对接源_01水果!$B126)&gt;$K$3),0,1))</f>
        <v>0</v>
      </c>
      <c r="L126" s="1" t="n">
        <f aca="false">IF(OR($L$1="",对接源_01水果!$C126="",对接源_01水果!$C126&lt;&gt;$L$1,对接源_01水果!$B126=""),0,IF(OR(N(对接源_01水果!$B126)&lt;$L$2,N(对接源_01水果!$B126)&gt;$L$3),0,1))</f>
        <v>0</v>
      </c>
      <c r="M126" s="1" t="n">
        <f aca="false">IF(OR($M$1="",对接源_01水果!$C126="",对接源_01水果!$C126&lt;&gt;$M$1,对接源_01水果!$B126=""),0,IF(OR(N(对接源_01水果!$B126)&lt;$M$2,N(对接源_01水果!$B126)&gt;$M$3),0,1))</f>
        <v>0</v>
      </c>
      <c r="N126" s="1" t="n">
        <f aca="false">IF(OR($N$1="",对接源_01水果!$C126="",对接源_01水果!$C126&lt;&gt;$N$1,对接源_01水果!$B126=""),0,IF(OR(N(对接源_01水果!$B126)&lt;$N$2,N(对接源_01水果!$B126)&gt;$N$3),0,1))</f>
        <v>0</v>
      </c>
      <c r="P126" s="1" t="n">
        <f aca="false">IF(AND($K126=1,AND(对接源_01水果!$X126="公司筐",N(对接源_01水果!$T126)&lt;&gt;0)),1,0)</f>
        <v>0</v>
      </c>
      <c r="Q126" s="1" t="n">
        <f aca="false">N(Q125)+$P126</f>
        <v>0</v>
      </c>
      <c r="R126" s="1" t="n">
        <f aca="false">IF(AND($K126=1,AND(对接源_01水果!$X126="公司筐",N(对接源_01水果!$U126)&lt;&gt;0)),1,0)</f>
        <v>0</v>
      </c>
      <c r="S126" s="1" t="n">
        <f aca="false">N(S125)+$R126</f>
        <v>0</v>
      </c>
      <c r="T126" s="1" t="n">
        <f aca="false">IF(AND($K126=1,AND(对接源_01水果!$X126="公司筐",N(对接源_01水果!$V126)&lt;&gt;0)),1,0)</f>
        <v>0</v>
      </c>
      <c r="U126" s="1" t="n">
        <f aca="false">N(U125)+$T126</f>
        <v>18</v>
      </c>
      <c r="V126" s="1" t="n">
        <f aca="false">IF(AND($L126=1,AND(对接源_01水果!$X126="自备筐",N(对接源_01水果!$V126)&lt;&gt;0)),1,0)</f>
        <v>0</v>
      </c>
      <c r="W126" s="1" t="n">
        <f aca="false">N(W125)+$V126</f>
        <v>0</v>
      </c>
      <c r="X126" s="1" t="n">
        <f aca="false">IF(AND($L126=1,AND(对接源_01水果!$X126="自备筐",N(对接源_01水果!$T126)&lt;&gt;0)),1,0)</f>
        <v>0</v>
      </c>
      <c r="Y126" s="1" t="n">
        <f aca="false">N(Y125)+$X126</f>
        <v>0</v>
      </c>
      <c r="Z126" s="1" t="n">
        <f aca="false">IF(AND($M126=1,对接源_01水果!$D126="原料入库"),1,0)</f>
        <v>0</v>
      </c>
      <c r="AA126" s="1" t="n">
        <f aca="false">N(AA125)+$Z126</f>
        <v>20</v>
      </c>
      <c r="AB126" s="1" t="n">
        <f aca="false">IF(AND($M126=1,LEFT(对接源_01水果!$D126,4)="原料出库"),1,0)</f>
        <v>0</v>
      </c>
      <c r="AC126" s="1" t="n">
        <f aca="false">N(AC125)+$AB126</f>
        <v>0</v>
      </c>
      <c r="AD126" s="1" t="n">
        <f aca="false">IF(AND($M126=1,LEFT(对接源_01水果!$D126,4)="成品出库"),1,0)</f>
        <v>0</v>
      </c>
      <c r="AE126" s="1" t="n">
        <f aca="false">N(AE125)+$AD126</f>
        <v>0</v>
      </c>
      <c r="AF126" s="1" t="n">
        <f aca="false">IF(AND($N126=1,AND(LEFT(对接源_01水果!$D126,4)="包装物料",N(对接源_01水果!$K126)&lt;&gt;0)),1,0)</f>
        <v>0</v>
      </c>
      <c r="AG126" s="90" t="str">
        <f aca="false">IF(对接源_01水果!$AC126="","",对接源_01水果!$AC126)</f>
        <v/>
      </c>
      <c r="AH126" s="90" t="str">
        <f aca="false">IFERROR(INDEX($AG$4:$AG$1203,MATCH(ROW()-3,$AJ$4:$AJ$1203,0)),"")</f>
        <v/>
      </c>
      <c r="AI126" s="90" t="n">
        <f aca="false">IF(AG126="",0,IF(MATCH(AG126,$AG$4:$AG$1203,0)=ROW()-3,1,0))</f>
        <v>0</v>
      </c>
      <c r="AJ126" s="90" t="n">
        <f aca="false">N(AJ125)+AI126</f>
        <v>0</v>
      </c>
      <c r="AK126" s="1" t="n">
        <f aca="false">N(AK125)+$AJ126</f>
        <v>0</v>
      </c>
    </row>
    <row r="127" customFormat="false" ht="13.5" hidden="false" customHeight="false" outlineLevel="0" collapsed="false">
      <c r="A127" s="1" t="str">
        <f aca="false">IF(对接源_01水果!$C127="","",对接源_01水果!$C127)</f>
        <v>聂新平</v>
      </c>
      <c r="B127" s="1" t="n">
        <f aca="false">IF(A127="",0,IF(MATCH(A127,$A$4:$A$2403,0)=ROW()-3,1,0))</f>
        <v>0</v>
      </c>
      <c r="C127" s="1" t="n">
        <f aca="false">N(C126)+B127</f>
        <v>4</v>
      </c>
      <c r="E127" s="1" t="str">
        <f aca="false">IFERROR(INDEX($A$4:$A$2403,MATCH(ROW()-3,$C$4:$C$2403,0)),"")</f>
        <v/>
      </c>
      <c r="K127" s="1" t="n">
        <f aca="false">IF(OR($K$1="",对接源_01水果!$C127="",对接源_01水果!$C127&lt;&gt;$K$1,对接源_01水果!$B127=""),0,IF(OR(N(对接源_01水果!$B127)&lt;$K$2,N(对接源_01水果!$B127)&gt;$K$3),0,1))</f>
        <v>0</v>
      </c>
      <c r="L127" s="1" t="n">
        <f aca="false">IF(OR($L$1="",对接源_01水果!$C127="",对接源_01水果!$C127&lt;&gt;$L$1,对接源_01水果!$B127=""),0,IF(OR(N(对接源_01水果!$B127)&lt;$L$2,N(对接源_01水果!$B127)&gt;$L$3),0,1))</f>
        <v>0</v>
      </c>
      <c r="M127" s="1" t="n">
        <f aca="false">IF(OR($M$1="",对接源_01水果!$C127="",对接源_01水果!$C127&lt;&gt;$M$1,对接源_01水果!$B127=""),0,IF(OR(N(对接源_01水果!$B127)&lt;$M$2,N(对接源_01水果!$B127)&gt;$M$3),0,1))</f>
        <v>0</v>
      </c>
      <c r="N127" s="1" t="n">
        <f aca="false">IF(OR($N$1="",对接源_01水果!$C127="",对接源_01水果!$C127&lt;&gt;$N$1,对接源_01水果!$B127=""),0,IF(OR(N(对接源_01水果!$B127)&lt;$N$2,N(对接源_01水果!$B127)&gt;$N$3),0,1))</f>
        <v>0</v>
      </c>
      <c r="P127" s="1" t="n">
        <f aca="false">IF(AND($K127=1,AND(对接源_01水果!$X127="公司筐",N(对接源_01水果!$T127)&lt;&gt;0)),1,0)</f>
        <v>0</v>
      </c>
      <c r="Q127" s="1" t="n">
        <f aca="false">N(Q126)+$P127</f>
        <v>0</v>
      </c>
      <c r="R127" s="1" t="n">
        <f aca="false">IF(AND($K127=1,AND(对接源_01水果!$X127="公司筐",N(对接源_01水果!$U127)&lt;&gt;0)),1,0)</f>
        <v>0</v>
      </c>
      <c r="S127" s="1" t="n">
        <f aca="false">N(S126)+$R127</f>
        <v>0</v>
      </c>
      <c r="T127" s="1" t="n">
        <f aca="false">IF(AND($K127=1,AND(对接源_01水果!$X127="公司筐",N(对接源_01水果!$V127)&lt;&gt;0)),1,0)</f>
        <v>0</v>
      </c>
      <c r="U127" s="1" t="n">
        <f aca="false">N(U126)+$T127</f>
        <v>18</v>
      </c>
      <c r="V127" s="1" t="n">
        <f aca="false">IF(AND($L127=1,AND(对接源_01水果!$X127="自备筐",N(对接源_01水果!$V127)&lt;&gt;0)),1,0)</f>
        <v>0</v>
      </c>
      <c r="W127" s="1" t="n">
        <f aca="false">N(W126)+$V127</f>
        <v>0</v>
      </c>
      <c r="X127" s="1" t="n">
        <f aca="false">IF(AND($L127=1,AND(对接源_01水果!$X127="自备筐",N(对接源_01水果!$T127)&lt;&gt;0)),1,0)</f>
        <v>0</v>
      </c>
      <c r="Y127" s="1" t="n">
        <f aca="false">N(Y126)+$X127</f>
        <v>0</v>
      </c>
      <c r="Z127" s="1" t="n">
        <f aca="false">IF(AND($M127=1,对接源_01水果!$D127="原料入库"),1,0)</f>
        <v>0</v>
      </c>
      <c r="AA127" s="1" t="n">
        <f aca="false">N(AA126)+$Z127</f>
        <v>20</v>
      </c>
      <c r="AB127" s="1" t="n">
        <f aca="false">IF(AND($M127=1,LEFT(对接源_01水果!$D127,4)="原料出库"),1,0)</f>
        <v>0</v>
      </c>
      <c r="AC127" s="1" t="n">
        <f aca="false">N(AC126)+$AB127</f>
        <v>0</v>
      </c>
      <c r="AD127" s="1" t="n">
        <f aca="false">IF(AND($M127=1,LEFT(对接源_01水果!$D127,4)="成品出库"),1,0)</f>
        <v>0</v>
      </c>
      <c r="AE127" s="1" t="n">
        <f aca="false">N(AE126)+$AD127</f>
        <v>0</v>
      </c>
      <c r="AF127" s="1" t="n">
        <f aca="false">IF(AND($N127=1,AND(LEFT(对接源_01水果!$D127,4)="包装物料",N(对接源_01水果!$K127)&lt;&gt;0)),1,0)</f>
        <v>0</v>
      </c>
      <c r="AG127" s="90" t="str">
        <f aca="false">IF(对接源_01水果!$AC127="","",对接源_01水果!$AC127)</f>
        <v/>
      </c>
      <c r="AH127" s="90" t="str">
        <f aca="false">IFERROR(INDEX($AG$4:$AG$1203,MATCH(ROW()-3,$AJ$4:$AJ$1203,0)),"")</f>
        <v/>
      </c>
      <c r="AI127" s="90" t="n">
        <f aca="false">IF(AG127="",0,IF(MATCH(AG127,$AG$4:$AG$1203,0)=ROW()-3,1,0))</f>
        <v>0</v>
      </c>
      <c r="AJ127" s="90" t="n">
        <f aca="false">N(AJ126)+AI127</f>
        <v>0</v>
      </c>
      <c r="AK127" s="1" t="n">
        <f aca="false">N(AK126)+$AJ127</f>
        <v>0</v>
      </c>
    </row>
    <row r="128" customFormat="false" ht="13.5" hidden="false" customHeight="false" outlineLevel="0" collapsed="false">
      <c r="A128" s="1" t="str">
        <f aca="false">IF(对接源_01水果!$C128="","",对接源_01水果!$C128)</f>
        <v>聂新平</v>
      </c>
      <c r="B128" s="1" t="n">
        <f aca="false">IF(A128="",0,IF(MATCH(A128,$A$4:$A$2403,0)=ROW()-3,1,0))</f>
        <v>0</v>
      </c>
      <c r="C128" s="1" t="n">
        <f aca="false">N(C127)+B128</f>
        <v>4</v>
      </c>
      <c r="E128" s="1" t="str">
        <f aca="false">IFERROR(INDEX($A$4:$A$2403,MATCH(ROW()-3,$C$4:$C$2403,0)),"")</f>
        <v/>
      </c>
      <c r="K128" s="1" t="n">
        <f aca="false">IF(OR($K$1="",对接源_01水果!$C128="",对接源_01水果!$C128&lt;&gt;$K$1,对接源_01水果!$B128=""),0,IF(OR(N(对接源_01水果!$B128)&lt;$K$2,N(对接源_01水果!$B128)&gt;$K$3),0,1))</f>
        <v>0</v>
      </c>
      <c r="L128" s="1" t="n">
        <f aca="false">IF(OR($L$1="",对接源_01水果!$C128="",对接源_01水果!$C128&lt;&gt;$L$1,对接源_01水果!$B128=""),0,IF(OR(N(对接源_01水果!$B128)&lt;$L$2,N(对接源_01水果!$B128)&gt;$L$3),0,1))</f>
        <v>0</v>
      </c>
      <c r="M128" s="1" t="n">
        <f aca="false">IF(OR($M$1="",对接源_01水果!$C128="",对接源_01水果!$C128&lt;&gt;$M$1,对接源_01水果!$B128=""),0,IF(OR(N(对接源_01水果!$B128)&lt;$M$2,N(对接源_01水果!$B128)&gt;$M$3),0,1))</f>
        <v>0</v>
      </c>
      <c r="N128" s="1" t="n">
        <f aca="false">IF(OR($N$1="",对接源_01水果!$C128="",对接源_01水果!$C128&lt;&gt;$N$1,对接源_01水果!$B128=""),0,IF(OR(N(对接源_01水果!$B128)&lt;$N$2,N(对接源_01水果!$B128)&gt;$N$3),0,1))</f>
        <v>0</v>
      </c>
      <c r="P128" s="1" t="n">
        <f aca="false">IF(AND($K128=1,AND(对接源_01水果!$X128="公司筐",N(对接源_01水果!$T128)&lt;&gt;0)),1,0)</f>
        <v>0</v>
      </c>
      <c r="Q128" s="1" t="n">
        <f aca="false">N(Q127)+$P128</f>
        <v>0</v>
      </c>
      <c r="R128" s="1" t="n">
        <f aca="false">IF(AND($K128=1,AND(对接源_01水果!$X128="公司筐",N(对接源_01水果!$U128)&lt;&gt;0)),1,0)</f>
        <v>0</v>
      </c>
      <c r="S128" s="1" t="n">
        <f aca="false">N(S127)+$R128</f>
        <v>0</v>
      </c>
      <c r="T128" s="1" t="n">
        <f aca="false">IF(AND($K128=1,AND(对接源_01水果!$X128="公司筐",N(对接源_01水果!$V128)&lt;&gt;0)),1,0)</f>
        <v>0</v>
      </c>
      <c r="U128" s="1" t="n">
        <f aca="false">N(U127)+$T128</f>
        <v>18</v>
      </c>
      <c r="V128" s="1" t="n">
        <f aca="false">IF(AND($L128=1,AND(对接源_01水果!$X128="自备筐",N(对接源_01水果!$V128)&lt;&gt;0)),1,0)</f>
        <v>0</v>
      </c>
      <c r="W128" s="1" t="n">
        <f aca="false">N(W127)+$V128</f>
        <v>0</v>
      </c>
      <c r="X128" s="1" t="n">
        <f aca="false">IF(AND($L128=1,AND(对接源_01水果!$X128="自备筐",N(对接源_01水果!$T128)&lt;&gt;0)),1,0)</f>
        <v>0</v>
      </c>
      <c r="Y128" s="1" t="n">
        <f aca="false">N(Y127)+$X128</f>
        <v>0</v>
      </c>
      <c r="Z128" s="1" t="n">
        <f aca="false">IF(AND($M128=1,对接源_01水果!$D128="原料入库"),1,0)</f>
        <v>0</v>
      </c>
      <c r="AA128" s="1" t="n">
        <f aca="false">N(AA127)+$Z128</f>
        <v>20</v>
      </c>
      <c r="AB128" s="1" t="n">
        <f aca="false">IF(AND($M128=1,LEFT(对接源_01水果!$D128,4)="原料出库"),1,0)</f>
        <v>0</v>
      </c>
      <c r="AC128" s="1" t="n">
        <f aca="false">N(AC127)+$AB128</f>
        <v>0</v>
      </c>
      <c r="AD128" s="1" t="n">
        <f aca="false">IF(AND($M128=1,LEFT(对接源_01水果!$D128,4)="成品出库"),1,0)</f>
        <v>0</v>
      </c>
      <c r="AE128" s="1" t="n">
        <f aca="false">N(AE127)+$AD128</f>
        <v>0</v>
      </c>
      <c r="AF128" s="1" t="n">
        <f aca="false">IF(AND($N128=1,AND(LEFT(对接源_01水果!$D128,4)="包装物料",N(对接源_01水果!$K128)&lt;&gt;0)),1,0)</f>
        <v>0</v>
      </c>
      <c r="AG128" s="90" t="str">
        <f aca="false">IF(对接源_01水果!$AC128="","",对接源_01水果!$AC128)</f>
        <v/>
      </c>
      <c r="AH128" s="90" t="str">
        <f aca="false">IFERROR(INDEX($AG$4:$AG$1203,MATCH(ROW()-3,$AJ$4:$AJ$1203,0)),"")</f>
        <v/>
      </c>
      <c r="AI128" s="90" t="n">
        <f aca="false">IF(AG128="",0,IF(MATCH(AG128,$AG$4:$AG$1203,0)=ROW()-3,1,0))</f>
        <v>0</v>
      </c>
      <c r="AJ128" s="90" t="n">
        <f aca="false">N(AJ127)+AI128</f>
        <v>0</v>
      </c>
      <c r="AK128" s="1" t="n">
        <f aca="false">N(AK127)+$AJ128</f>
        <v>0</v>
      </c>
    </row>
    <row r="129" customFormat="false" ht="13.5" hidden="false" customHeight="false" outlineLevel="0" collapsed="false">
      <c r="A129" s="1" t="str">
        <f aca="false">IF(对接源_01水果!$C129="","",对接源_01水果!$C129)</f>
        <v>聂新平</v>
      </c>
      <c r="B129" s="1" t="n">
        <f aca="false">IF(A129="",0,IF(MATCH(A129,$A$4:$A$2403,0)=ROW()-3,1,0))</f>
        <v>0</v>
      </c>
      <c r="C129" s="1" t="n">
        <f aca="false">N(C128)+B129</f>
        <v>4</v>
      </c>
      <c r="E129" s="1" t="str">
        <f aca="false">IFERROR(INDEX($A$4:$A$2403,MATCH(ROW()-3,$C$4:$C$2403,0)),"")</f>
        <v/>
      </c>
      <c r="K129" s="1" t="n">
        <f aca="false">IF(OR($K$1="",对接源_01水果!$C129="",对接源_01水果!$C129&lt;&gt;$K$1,对接源_01水果!$B129=""),0,IF(OR(N(对接源_01水果!$B129)&lt;$K$2,N(对接源_01水果!$B129)&gt;$K$3),0,1))</f>
        <v>0</v>
      </c>
      <c r="L129" s="1" t="n">
        <f aca="false">IF(OR($L$1="",对接源_01水果!$C129="",对接源_01水果!$C129&lt;&gt;$L$1,对接源_01水果!$B129=""),0,IF(OR(N(对接源_01水果!$B129)&lt;$L$2,N(对接源_01水果!$B129)&gt;$L$3),0,1))</f>
        <v>0</v>
      </c>
      <c r="M129" s="1" t="n">
        <f aca="false">IF(OR($M$1="",对接源_01水果!$C129="",对接源_01水果!$C129&lt;&gt;$M$1,对接源_01水果!$B129=""),0,IF(OR(N(对接源_01水果!$B129)&lt;$M$2,N(对接源_01水果!$B129)&gt;$M$3),0,1))</f>
        <v>0</v>
      </c>
      <c r="N129" s="1" t="n">
        <f aca="false">IF(OR($N$1="",对接源_01水果!$C129="",对接源_01水果!$C129&lt;&gt;$N$1,对接源_01水果!$B129=""),0,IF(OR(N(对接源_01水果!$B129)&lt;$N$2,N(对接源_01水果!$B129)&gt;$N$3),0,1))</f>
        <v>0</v>
      </c>
      <c r="P129" s="1" t="n">
        <f aca="false">IF(AND($K129=1,AND(对接源_01水果!$X129="公司筐",N(对接源_01水果!$T129)&lt;&gt;0)),1,0)</f>
        <v>0</v>
      </c>
      <c r="Q129" s="1" t="n">
        <f aca="false">N(Q128)+$P129</f>
        <v>0</v>
      </c>
      <c r="R129" s="1" t="n">
        <f aca="false">IF(AND($K129=1,AND(对接源_01水果!$X129="公司筐",N(对接源_01水果!$U129)&lt;&gt;0)),1,0)</f>
        <v>0</v>
      </c>
      <c r="S129" s="1" t="n">
        <f aca="false">N(S128)+$R129</f>
        <v>0</v>
      </c>
      <c r="T129" s="1" t="n">
        <f aca="false">IF(AND($K129=1,AND(对接源_01水果!$X129="公司筐",N(对接源_01水果!$V129)&lt;&gt;0)),1,0)</f>
        <v>0</v>
      </c>
      <c r="U129" s="1" t="n">
        <f aca="false">N(U128)+$T129</f>
        <v>18</v>
      </c>
      <c r="V129" s="1" t="n">
        <f aca="false">IF(AND($L129=1,AND(对接源_01水果!$X129="自备筐",N(对接源_01水果!$V129)&lt;&gt;0)),1,0)</f>
        <v>0</v>
      </c>
      <c r="W129" s="1" t="n">
        <f aca="false">N(W128)+$V129</f>
        <v>0</v>
      </c>
      <c r="X129" s="1" t="n">
        <f aca="false">IF(AND($L129=1,AND(对接源_01水果!$X129="自备筐",N(对接源_01水果!$T129)&lt;&gt;0)),1,0)</f>
        <v>0</v>
      </c>
      <c r="Y129" s="1" t="n">
        <f aca="false">N(Y128)+$X129</f>
        <v>0</v>
      </c>
      <c r="Z129" s="1" t="n">
        <f aca="false">IF(AND($M129=1,对接源_01水果!$D129="原料入库"),1,0)</f>
        <v>0</v>
      </c>
      <c r="AA129" s="1" t="n">
        <f aca="false">N(AA128)+$Z129</f>
        <v>20</v>
      </c>
      <c r="AB129" s="1" t="n">
        <f aca="false">IF(AND($M129=1,LEFT(对接源_01水果!$D129,4)="原料出库"),1,0)</f>
        <v>0</v>
      </c>
      <c r="AC129" s="1" t="n">
        <f aca="false">N(AC128)+$AB129</f>
        <v>0</v>
      </c>
      <c r="AD129" s="1" t="n">
        <f aca="false">IF(AND($M129=1,LEFT(对接源_01水果!$D129,4)="成品出库"),1,0)</f>
        <v>0</v>
      </c>
      <c r="AE129" s="1" t="n">
        <f aca="false">N(AE128)+$AD129</f>
        <v>0</v>
      </c>
      <c r="AF129" s="1" t="n">
        <f aca="false">IF(AND($N129=1,AND(LEFT(对接源_01水果!$D129,4)="包装物料",N(对接源_01水果!$K129)&lt;&gt;0)),1,0)</f>
        <v>0</v>
      </c>
      <c r="AG129" s="90" t="str">
        <f aca="false">IF(对接源_01水果!$AC129="","",对接源_01水果!$AC129)</f>
        <v/>
      </c>
      <c r="AH129" s="90" t="str">
        <f aca="false">IFERROR(INDEX($AG$4:$AG$1203,MATCH(ROW()-3,$AJ$4:$AJ$1203,0)),"")</f>
        <v/>
      </c>
      <c r="AI129" s="90" t="n">
        <f aca="false">IF(AG129="",0,IF(MATCH(AG129,$AG$4:$AG$1203,0)=ROW()-3,1,0))</f>
        <v>0</v>
      </c>
      <c r="AJ129" s="90" t="n">
        <f aca="false">N(AJ128)+AI129</f>
        <v>0</v>
      </c>
      <c r="AK129" s="1" t="n">
        <f aca="false">N(AK128)+$AJ129</f>
        <v>0</v>
      </c>
    </row>
    <row r="130" customFormat="false" ht="13.5" hidden="false" customHeight="false" outlineLevel="0" collapsed="false">
      <c r="A130" s="1" t="str">
        <f aca="false">IF(对接源_01水果!$C130="","",对接源_01水果!$C130)</f>
        <v>聂新平</v>
      </c>
      <c r="B130" s="1" t="n">
        <f aca="false">IF(A130="",0,IF(MATCH(A130,$A$4:$A$2403,0)=ROW()-3,1,0))</f>
        <v>0</v>
      </c>
      <c r="C130" s="1" t="n">
        <f aca="false">N(C129)+B130</f>
        <v>4</v>
      </c>
      <c r="E130" s="1" t="str">
        <f aca="false">IFERROR(INDEX($A$4:$A$2403,MATCH(ROW()-3,$C$4:$C$2403,0)),"")</f>
        <v/>
      </c>
      <c r="K130" s="1" t="n">
        <f aca="false">IF(OR($K$1="",对接源_01水果!$C130="",对接源_01水果!$C130&lt;&gt;$K$1,对接源_01水果!$B130=""),0,IF(OR(N(对接源_01水果!$B130)&lt;$K$2,N(对接源_01水果!$B130)&gt;$K$3),0,1))</f>
        <v>0</v>
      </c>
      <c r="L130" s="1" t="n">
        <f aca="false">IF(OR($L$1="",对接源_01水果!$C130="",对接源_01水果!$C130&lt;&gt;$L$1,对接源_01水果!$B130=""),0,IF(OR(N(对接源_01水果!$B130)&lt;$L$2,N(对接源_01水果!$B130)&gt;$L$3),0,1))</f>
        <v>0</v>
      </c>
      <c r="M130" s="1" t="n">
        <f aca="false">IF(OR($M$1="",对接源_01水果!$C130="",对接源_01水果!$C130&lt;&gt;$M$1,对接源_01水果!$B130=""),0,IF(OR(N(对接源_01水果!$B130)&lt;$M$2,N(对接源_01水果!$B130)&gt;$M$3),0,1))</f>
        <v>0</v>
      </c>
      <c r="N130" s="1" t="n">
        <f aca="false">IF(OR($N$1="",对接源_01水果!$C130="",对接源_01水果!$C130&lt;&gt;$N$1,对接源_01水果!$B130=""),0,IF(OR(N(对接源_01水果!$B130)&lt;$N$2,N(对接源_01水果!$B130)&gt;$N$3),0,1))</f>
        <v>0</v>
      </c>
      <c r="P130" s="1" t="n">
        <f aca="false">IF(AND($K130=1,AND(对接源_01水果!$X130="公司筐",N(对接源_01水果!$T130)&lt;&gt;0)),1,0)</f>
        <v>0</v>
      </c>
      <c r="Q130" s="1" t="n">
        <f aca="false">N(Q129)+$P130</f>
        <v>0</v>
      </c>
      <c r="R130" s="1" t="n">
        <f aca="false">IF(AND($K130=1,AND(对接源_01水果!$X130="公司筐",N(对接源_01水果!$U130)&lt;&gt;0)),1,0)</f>
        <v>0</v>
      </c>
      <c r="S130" s="1" t="n">
        <f aca="false">N(S129)+$R130</f>
        <v>0</v>
      </c>
      <c r="T130" s="1" t="n">
        <f aca="false">IF(AND($K130=1,AND(对接源_01水果!$X130="公司筐",N(对接源_01水果!$V130)&lt;&gt;0)),1,0)</f>
        <v>0</v>
      </c>
      <c r="U130" s="1" t="n">
        <f aca="false">N(U129)+$T130</f>
        <v>18</v>
      </c>
      <c r="V130" s="1" t="n">
        <f aca="false">IF(AND($L130=1,AND(对接源_01水果!$X130="自备筐",N(对接源_01水果!$V130)&lt;&gt;0)),1,0)</f>
        <v>0</v>
      </c>
      <c r="W130" s="1" t="n">
        <f aca="false">N(W129)+$V130</f>
        <v>0</v>
      </c>
      <c r="X130" s="1" t="n">
        <f aca="false">IF(AND($L130=1,AND(对接源_01水果!$X130="自备筐",N(对接源_01水果!$T130)&lt;&gt;0)),1,0)</f>
        <v>0</v>
      </c>
      <c r="Y130" s="1" t="n">
        <f aca="false">N(Y129)+$X130</f>
        <v>0</v>
      </c>
      <c r="Z130" s="1" t="n">
        <f aca="false">IF(AND($M130=1,对接源_01水果!$D130="原料入库"),1,0)</f>
        <v>0</v>
      </c>
      <c r="AA130" s="1" t="n">
        <f aca="false">N(AA129)+$Z130</f>
        <v>20</v>
      </c>
      <c r="AB130" s="1" t="n">
        <f aca="false">IF(AND($M130=1,LEFT(对接源_01水果!$D130,4)="原料出库"),1,0)</f>
        <v>0</v>
      </c>
      <c r="AC130" s="1" t="n">
        <f aca="false">N(AC129)+$AB130</f>
        <v>0</v>
      </c>
      <c r="AD130" s="1" t="n">
        <f aca="false">IF(AND($M130=1,LEFT(对接源_01水果!$D130,4)="成品出库"),1,0)</f>
        <v>0</v>
      </c>
      <c r="AE130" s="1" t="n">
        <f aca="false">N(AE129)+$AD130</f>
        <v>0</v>
      </c>
      <c r="AF130" s="1" t="n">
        <f aca="false">IF(AND($N130=1,AND(LEFT(对接源_01水果!$D130,4)="包装物料",N(对接源_01水果!$K130)&lt;&gt;0)),1,0)</f>
        <v>0</v>
      </c>
      <c r="AG130" s="90" t="str">
        <f aca="false">IF(对接源_01水果!$AC130="","",对接源_01水果!$AC130)</f>
        <v/>
      </c>
      <c r="AH130" s="90" t="str">
        <f aca="false">IFERROR(INDEX($AG$4:$AG$1203,MATCH(ROW()-3,$AJ$4:$AJ$1203,0)),"")</f>
        <v/>
      </c>
      <c r="AI130" s="90" t="n">
        <f aca="false">IF(AG130="",0,IF(MATCH(AG130,$AG$4:$AG$1203,0)=ROW()-3,1,0))</f>
        <v>0</v>
      </c>
      <c r="AJ130" s="90" t="n">
        <f aca="false">N(AJ129)+AI130</f>
        <v>0</v>
      </c>
      <c r="AK130" s="1" t="n">
        <f aca="false">N(AK129)+$AJ130</f>
        <v>0</v>
      </c>
    </row>
    <row r="131" customFormat="false" ht="13.5" hidden="false" customHeight="false" outlineLevel="0" collapsed="false">
      <c r="A131" s="1" t="str">
        <f aca="false">IF(对接源_01水果!$C131="","",对接源_01水果!$C131)</f>
        <v>聂新平</v>
      </c>
      <c r="B131" s="1" t="n">
        <f aca="false">IF(A131="",0,IF(MATCH(A131,$A$4:$A$2403,0)=ROW()-3,1,0))</f>
        <v>0</v>
      </c>
      <c r="C131" s="1" t="n">
        <f aca="false">N(C130)+B131</f>
        <v>4</v>
      </c>
      <c r="E131" s="1" t="str">
        <f aca="false">IFERROR(INDEX($A$4:$A$2403,MATCH(ROW()-3,$C$4:$C$2403,0)),"")</f>
        <v/>
      </c>
      <c r="K131" s="1" t="n">
        <f aca="false">IF(OR($K$1="",对接源_01水果!$C131="",对接源_01水果!$C131&lt;&gt;$K$1,对接源_01水果!$B131=""),0,IF(OR(N(对接源_01水果!$B131)&lt;$K$2,N(对接源_01水果!$B131)&gt;$K$3),0,1))</f>
        <v>0</v>
      </c>
      <c r="L131" s="1" t="n">
        <f aca="false">IF(OR($L$1="",对接源_01水果!$C131="",对接源_01水果!$C131&lt;&gt;$L$1,对接源_01水果!$B131=""),0,IF(OR(N(对接源_01水果!$B131)&lt;$L$2,N(对接源_01水果!$B131)&gt;$L$3),0,1))</f>
        <v>0</v>
      </c>
      <c r="M131" s="1" t="n">
        <f aca="false">IF(OR($M$1="",对接源_01水果!$C131="",对接源_01水果!$C131&lt;&gt;$M$1,对接源_01水果!$B131=""),0,IF(OR(N(对接源_01水果!$B131)&lt;$M$2,N(对接源_01水果!$B131)&gt;$M$3),0,1))</f>
        <v>0</v>
      </c>
      <c r="N131" s="1" t="n">
        <f aca="false">IF(OR($N$1="",对接源_01水果!$C131="",对接源_01水果!$C131&lt;&gt;$N$1,对接源_01水果!$B131=""),0,IF(OR(N(对接源_01水果!$B131)&lt;$N$2,N(对接源_01水果!$B131)&gt;$N$3),0,1))</f>
        <v>0</v>
      </c>
      <c r="P131" s="1" t="n">
        <f aca="false">IF(AND($K131=1,AND(对接源_01水果!$X131="公司筐",N(对接源_01水果!$T131)&lt;&gt;0)),1,0)</f>
        <v>0</v>
      </c>
      <c r="Q131" s="1" t="n">
        <f aca="false">N(Q130)+$P131</f>
        <v>0</v>
      </c>
      <c r="R131" s="1" t="n">
        <f aca="false">IF(AND($K131=1,AND(对接源_01水果!$X131="公司筐",N(对接源_01水果!$U131)&lt;&gt;0)),1,0)</f>
        <v>0</v>
      </c>
      <c r="S131" s="1" t="n">
        <f aca="false">N(S130)+$R131</f>
        <v>0</v>
      </c>
      <c r="T131" s="1" t="n">
        <f aca="false">IF(AND($K131=1,AND(对接源_01水果!$X131="公司筐",N(对接源_01水果!$V131)&lt;&gt;0)),1,0)</f>
        <v>0</v>
      </c>
      <c r="U131" s="1" t="n">
        <f aca="false">N(U130)+$T131</f>
        <v>18</v>
      </c>
      <c r="V131" s="1" t="n">
        <f aca="false">IF(AND($L131=1,AND(对接源_01水果!$X131="自备筐",N(对接源_01水果!$V131)&lt;&gt;0)),1,0)</f>
        <v>0</v>
      </c>
      <c r="W131" s="1" t="n">
        <f aca="false">N(W130)+$V131</f>
        <v>0</v>
      </c>
      <c r="X131" s="1" t="n">
        <f aca="false">IF(AND($L131=1,AND(对接源_01水果!$X131="自备筐",N(对接源_01水果!$T131)&lt;&gt;0)),1,0)</f>
        <v>0</v>
      </c>
      <c r="Y131" s="1" t="n">
        <f aca="false">N(Y130)+$X131</f>
        <v>0</v>
      </c>
      <c r="Z131" s="1" t="n">
        <f aca="false">IF(AND($M131=1,对接源_01水果!$D131="原料入库"),1,0)</f>
        <v>0</v>
      </c>
      <c r="AA131" s="1" t="n">
        <f aca="false">N(AA130)+$Z131</f>
        <v>20</v>
      </c>
      <c r="AB131" s="1" t="n">
        <f aca="false">IF(AND($M131=1,LEFT(对接源_01水果!$D131,4)="原料出库"),1,0)</f>
        <v>0</v>
      </c>
      <c r="AC131" s="1" t="n">
        <f aca="false">N(AC130)+$AB131</f>
        <v>0</v>
      </c>
      <c r="AD131" s="1" t="n">
        <f aca="false">IF(AND($M131=1,LEFT(对接源_01水果!$D131,4)="成品出库"),1,0)</f>
        <v>0</v>
      </c>
      <c r="AE131" s="1" t="n">
        <f aca="false">N(AE130)+$AD131</f>
        <v>0</v>
      </c>
      <c r="AF131" s="1" t="n">
        <f aca="false">IF(AND($N131=1,AND(LEFT(对接源_01水果!$D131,4)="包装物料",N(对接源_01水果!$K131)&lt;&gt;0)),1,0)</f>
        <v>0</v>
      </c>
      <c r="AG131" s="90" t="str">
        <f aca="false">IF(对接源_01水果!$AC131="","",对接源_01水果!$AC131)</f>
        <v/>
      </c>
      <c r="AH131" s="90" t="str">
        <f aca="false">IFERROR(INDEX($AG$4:$AG$1203,MATCH(ROW()-3,$AJ$4:$AJ$1203,0)),"")</f>
        <v/>
      </c>
      <c r="AI131" s="90" t="n">
        <f aca="false">IF(AG131="",0,IF(MATCH(AG131,$AG$4:$AG$1203,0)=ROW()-3,1,0))</f>
        <v>0</v>
      </c>
      <c r="AJ131" s="90" t="n">
        <f aca="false">N(AJ130)+AI131</f>
        <v>0</v>
      </c>
      <c r="AK131" s="1" t="n">
        <f aca="false">N(AK130)+$AJ131</f>
        <v>0</v>
      </c>
    </row>
    <row r="132" customFormat="false" ht="13.5" hidden="false" customHeight="false" outlineLevel="0" collapsed="false">
      <c r="A132" s="1" t="str">
        <f aca="false">IF(对接源_01水果!$C132="","",对接源_01水果!$C132)</f>
        <v>聂新平</v>
      </c>
      <c r="B132" s="1" t="n">
        <f aca="false">IF(A132="",0,IF(MATCH(A132,$A$4:$A$2403,0)=ROW()-3,1,0))</f>
        <v>0</v>
      </c>
      <c r="C132" s="1" t="n">
        <f aca="false">N(C131)+B132</f>
        <v>4</v>
      </c>
      <c r="E132" s="1" t="str">
        <f aca="false">IFERROR(INDEX($A$4:$A$2403,MATCH(ROW()-3,$C$4:$C$2403,0)),"")</f>
        <v/>
      </c>
      <c r="K132" s="1" t="n">
        <f aca="false">IF(OR($K$1="",对接源_01水果!$C132="",对接源_01水果!$C132&lt;&gt;$K$1,对接源_01水果!$B132=""),0,IF(OR(N(对接源_01水果!$B132)&lt;$K$2,N(对接源_01水果!$B132)&gt;$K$3),0,1))</f>
        <v>0</v>
      </c>
      <c r="L132" s="1" t="n">
        <f aca="false">IF(OR($L$1="",对接源_01水果!$C132="",对接源_01水果!$C132&lt;&gt;$L$1,对接源_01水果!$B132=""),0,IF(OR(N(对接源_01水果!$B132)&lt;$L$2,N(对接源_01水果!$B132)&gt;$L$3),0,1))</f>
        <v>0</v>
      </c>
      <c r="M132" s="1" t="n">
        <f aca="false">IF(OR($M$1="",对接源_01水果!$C132="",对接源_01水果!$C132&lt;&gt;$M$1,对接源_01水果!$B132=""),0,IF(OR(N(对接源_01水果!$B132)&lt;$M$2,N(对接源_01水果!$B132)&gt;$M$3),0,1))</f>
        <v>0</v>
      </c>
      <c r="N132" s="1" t="n">
        <f aca="false">IF(OR($N$1="",对接源_01水果!$C132="",对接源_01水果!$C132&lt;&gt;$N$1,对接源_01水果!$B132=""),0,IF(OR(N(对接源_01水果!$B132)&lt;$N$2,N(对接源_01水果!$B132)&gt;$N$3),0,1))</f>
        <v>0</v>
      </c>
      <c r="P132" s="1" t="n">
        <f aca="false">IF(AND($K132=1,AND(对接源_01水果!$X132="公司筐",N(对接源_01水果!$T132)&lt;&gt;0)),1,0)</f>
        <v>0</v>
      </c>
      <c r="Q132" s="1" t="n">
        <f aca="false">N(Q131)+$P132</f>
        <v>0</v>
      </c>
      <c r="R132" s="1" t="n">
        <f aca="false">IF(AND($K132=1,AND(对接源_01水果!$X132="公司筐",N(对接源_01水果!$U132)&lt;&gt;0)),1,0)</f>
        <v>0</v>
      </c>
      <c r="S132" s="1" t="n">
        <f aca="false">N(S131)+$R132</f>
        <v>0</v>
      </c>
      <c r="T132" s="1" t="n">
        <f aca="false">IF(AND($K132=1,AND(对接源_01水果!$X132="公司筐",N(对接源_01水果!$V132)&lt;&gt;0)),1,0)</f>
        <v>0</v>
      </c>
      <c r="U132" s="1" t="n">
        <f aca="false">N(U131)+$T132</f>
        <v>18</v>
      </c>
      <c r="V132" s="1" t="n">
        <f aca="false">IF(AND($L132=1,AND(对接源_01水果!$X132="自备筐",N(对接源_01水果!$V132)&lt;&gt;0)),1,0)</f>
        <v>0</v>
      </c>
      <c r="W132" s="1" t="n">
        <f aca="false">N(W131)+$V132</f>
        <v>0</v>
      </c>
      <c r="X132" s="1" t="n">
        <f aca="false">IF(AND($L132=1,AND(对接源_01水果!$X132="自备筐",N(对接源_01水果!$T132)&lt;&gt;0)),1,0)</f>
        <v>0</v>
      </c>
      <c r="Y132" s="1" t="n">
        <f aca="false">N(Y131)+$X132</f>
        <v>0</v>
      </c>
      <c r="Z132" s="1" t="n">
        <f aca="false">IF(AND($M132=1,对接源_01水果!$D132="原料入库"),1,0)</f>
        <v>0</v>
      </c>
      <c r="AA132" s="1" t="n">
        <f aca="false">N(AA131)+$Z132</f>
        <v>20</v>
      </c>
      <c r="AB132" s="1" t="n">
        <f aca="false">IF(AND($M132=1,LEFT(对接源_01水果!$D132,4)="原料出库"),1,0)</f>
        <v>0</v>
      </c>
      <c r="AC132" s="1" t="n">
        <f aca="false">N(AC131)+$AB132</f>
        <v>0</v>
      </c>
      <c r="AD132" s="1" t="n">
        <f aca="false">IF(AND($M132=1,LEFT(对接源_01水果!$D132,4)="成品出库"),1,0)</f>
        <v>0</v>
      </c>
      <c r="AE132" s="1" t="n">
        <f aca="false">N(AE131)+$AD132</f>
        <v>0</v>
      </c>
      <c r="AF132" s="1" t="n">
        <f aca="false">IF(AND($N132=1,AND(LEFT(对接源_01水果!$D132,4)="包装物料",N(对接源_01水果!$K132)&lt;&gt;0)),1,0)</f>
        <v>0</v>
      </c>
      <c r="AG132" s="90" t="str">
        <f aca="false">IF(对接源_01水果!$AC132="","",对接源_01水果!$AC132)</f>
        <v/>
      </c>
      <c r="AH132" s="90" t="str">
        <f aca="false">IFERROR(INDEX($AG$4:$AG$1203,MATCH(ROW()-3,$AJ$4:$AJ$1203,0)),"")</f>
        <v/>
      </c>
      <c r="AI132" s="90" t="n">
        <f aca="false">IF(AG132="",0,IF(MATCH(AG132,$AG$4:$AG$1203,0)=ROW()-3,1,0))</f>
        <v>0</v>
      </c>
      <c r="AJ132" s="90" t="n">
        <f aca="false">N(AJ131)+AI132</f>
        <v>0</v>
      </c>
      <c r="AK132" s="1" t="n">
        <f aca="false">N(AK131)+$AJ132</f>
        <v>0</v>
      </c>
    </row>
    <row r="133" customFormat="false" ht="13.5" hidden="false" customHeight="false" outlineLevel="0" collapsed="false">
      <c r="A133" s="1" t="str">
        <f aca="false">IF(对接源_01水果!$C133="","",对接源_01水果!$C133)</f>
        <v>聂新平</v>
      </c>
      <c r="B133" s="1" t="n">
        <f aca="false">IF(A133="",0,IF(MATCH(A133,$A$4:$A$2403,0)=ROW()-3,1,0))</f>
        <v>0</v>
      </c>
      <c r="C133" s="1" t="n">
        <f aca="false">N(C132)+B133</f>
        <v>4</v>
      </c>
      <c r="E133" s="1" t="str">
        <f aca="false">IFERROR(INDEX($A$4:$A$2403,MATCH(ROW()-3,$C$4:$C$2403,0)),"")</f>
        <v/>
      </c>
      <c r="K133" s="1" t="n">
        <f aca="false">IF(OR($K$1="",对接源_01水果!$C133="",对接源_01水果!$C133&lt;&gt;$K$1,对接源_01水果!$B133=""),0,IF(OR(N(对接源_01水果!$B133)&lt;$K$2,N(对接源_01水果!$B133)&gt;$K$3),0,1))</f>
        <v>0</v>
      </c>
      <c r="L133" s="1" t="n">
        <f aca="false">IF(OR($L$1="",对接源_01水果!$C133="",对接源_01水果!$C133&lt;&gt;$L$1,对接源_01水果!$B133=""),0,IF(OR(N(对接源_01水果!$B133)&lt;$L$2,N(对接源_01水果!$B133)&gt;$L$3),0,1))</f>
        <v>0</v>
      </c>
      <c r="M133" s="1" t="n">
        <f aca="false">IF(OR($M$1="",对接源_01水果!$C133="",对接源_01水果!$C133&lt;&gt;$M$1,对接源_01水果!$B133=""),0,IF(OR(N(对接源_01水果!$B133)&lt;$M$2,N(对接源_01水果!$B133)&gt;$M$3),0,1))</f>
        <v>0</v>
      </c>
      <c r="N133" s="1" t="n">
        <f aca="false">IF(OR($N$1="",对接源_01水果!$C133="",对接源_01水果!$C133&lt;&gt;$N$1,对接源_01水果!$B133=""),0,IF(OR(N(对接源_01水果!$B133)&lt;$N$2,N(对接源_01水果!$B133)&gt;$N$3),0,1))</f>
        <v>0</v>
      </c>
      <c r="P133" s="1" t="n">
        <f aca="false">IF(AND($K133=1,AND(对接源_01水果!$X133="公司筐",N(对接源_01水果!$T133)&lt;&gt;0)),1,0)</f>
        <v>0</v>
      </c>
      <c r="Q133" s="1" t="n">
        <f aca="false">N(Q132)+$P133</f>
        <v>0</v>
      </c>
      <c r="R133" s="1" t="n">
        <f aca="false">IF(AND($K133=1,AND(对接源_01水果!$X133="公司筐",N(对接源_01水果!$U133)&lt;&gt;0)),1,0)</f>
        <v>0</v>
      </c>
      <c r="S133" s="1" t="n">
        <f aca="false">N(S132)+$R133</f>
        <v>0</v>
      </c>
      <c r="T133" s="1" t="n">
        <f aca="false">IF(AND($K133=1,AND(对接源_01水果!$X133="公司筐",N(对接源_01水果!$V133)&lt;&gt;0)),1,0)</f>
        <v>0</v>
      </c>
      <c r="U133" s="1" t="n">
        <f aca="false">N(U132)+$T133</f>
        <v>18</v>
      </c>
      <c r="V133" s="1" t="n">
        <f aca="false">IF(AND($L133=1,AND(对接源_01水果!$X133="自备筐",N(对接源_01水果!$V133)&lt;&gt;0)),1,0)</f>
        <v>0</v>
      </c>
      <c r="W133" s="1" t="n">
        <f aca="false">N(W132)+$V133</f>
        <v>0</v>
      </c>
      <c r="X133" s="1" t="n">
        <f aca="false">IF(AND($L133=1,AND(对接源_01水果!$X133="自备筐",N(对接源_01水果!$T133)&lt;&gt;0)),1,0)</f>
        <v>0</v>
      </c>
      <c r="Y133" s="1" t="n">
        <f aca="false">N(Y132)+$X133</f>
        <v>0</v>
      </c>
      <c r="Z133" s="1" t="n">
        <f aca="false">IF(AND($M133=1,对接源_01水果!$D133="原料入库"),1,0)</f>
        <v>0</v>
      </c>
      <c r="AA133" s="1" t="n">
        <f aca="false">N(AA132)+$Z133</f>
        <v>20</v>
      </c>
      <c r="AB133" s="1" t="n">
        <f aca="false">IF(AND($M133=1,LEFT(对接源_01水果!$D133,4)="原料出库"),1,0)</f>
        <v>0</v>
      </c>
      <c r="AC133" s="1" t="n">
        <f aca="false">N(AC132)+$AB133</f>
        <v>0</v>
      </c>
      <c r="AD133" s="1" t="n">
        <f aca="false">IF(AND($M133=1,LEFT(对接源_01水果!$D133,4)="成品出库"),1,0)</f>
        <v>0</v>
      </c>
      <c r="AE133" s="1" t="n">
        <f aca="false">N(AE132)+$AD133</f>
        <v>0</v>
      </c>
      <c r="AF133" s="1" t="n">
        <f aca="false">IF(AND($N133=1,AND(LEFT(对接源_01水果!$D133,4)="包装物料",N(对接源_01水果!$K133)&lt;&gt;0)),1,0)</f>
        <v>0</v>
      </c>
      <c r="AG133" s="90" t="str">
        <f aca="false">IF(对接源_01水果!$AC133="","",对接源_01水果!$AC133)</f>
        <v/>
      </c>
      <c r="AH133" s="90" t="str">
        <f aca="false">IFERROR(INDEX($AG$4:$AG$1203,MATCH(ROW()-3,$AJ$4:$AJ$1203,0)),"")</f>
        <v/>
      </c>
      <c r="AI133" s="90" t="n">
        <f aca="false">IF(AG133="",0,IF(MATCH(AG133,$AG$4:$AG$1203,0)=ROW()-3,1,0))</f>
        <v>0</v>
      </c>
      <c r="AJ133" s="90" t="n">
        <f aca="false">N(AJ132)+AI133</f>
        <v>0</v>
      </c>
      <c r="AK133" s="1" t="n">
        <f aca="false">N(AK132)+$AJ133</f>
        <v>0</v>
      </c>
    </row>
    <row r="134" customFormat="false" ht="13.5" hidden="false" customHeight="false" outlineLevel="0" collapsed="false">
      <c r="A134" s="1" t="str">
        <f aca="false">IF(对接源_01水果!$C134="","",对接源_01水果!$C134)</f>
        <v>聂新平</v>
      </c>
      <c r="B134" s="1" t="n">
        <f aca="false">IF(A134="",0,IF(MATCH(A134,$A$4:$A$2403,0)=ROW()-3,1,0))</f>
        <v>0</v>
      </c>
      <c r="C134" s="1" t="n">
        <f aca="false">N(C133)+B134</f>
        <v>4</v>
      </c>
      <c r="E134" s="1" t="str">
        <f aca="false">IFERROR(INDEX($A$4:$A$2403,MATCH(ROW()-3,$C$4:$C$2403,0)),"")</f>
        <v/>
      </c>
      <c r="K134" s="1" t="n">
        <f aca="false">IF(OR($K$1="",对接源_01水果!$C134="",对接源_01水果!$C134&lt;&gt;$K$1,对接源_01水果!$B134=""),0,IF(OR(N(对接源_01水果!$B134)&lt;$K$2,N(对接源_01水果!$B134)&gt;$K$3),0,1))</f>
        <v>0</v>
      </c>
      <c r="L134" s="1" t="n">
        <f aca="false">IF(OR($L$1="",对接源_01水果!$C134="",对接源_01水果!$C134&lt;&gt;$L$1,对接源_01水果!$B134=""),0,IF(OR(N(对接源_01水果!$B134)&lt;$L$2,N(对接源_01水果!$B134)&gt;$L$3),0,1))</f>
        <v>0</v>
      </c>
      <c r="M134" s="1" t="n">
        <f aca="false">IF(OR($M$1="",对接源_01水果!$C134="",对接源_01水果!$C134&lt;&gt;$M$1,对接源_01水果!$B134=""),0,IF(OR(N(对接源_01水果!$B134)&lt;$M$2,N(对接源_01水果!$B134)&gt;$M$3),0,1))</f>
        <v>0</v>
      </c>
      <c r="N134" s="1" t="n">
        <f aca="false">IF(OR($N$1="",对接源_01水果!$C134="",对接源_01水果!$C134&lt;&gt;$N$1,对接源_01水果!$B134=""),0,IF(OR(N(对接源_01水果!$B134)&lt;$N$2,N(对接源_01水果!$B134)&gt;$N$3),0,1))</f>
        <v>0</v>
      </c>
      <c r="P134" s="1" t="n">
        <f aca="false">IF(AND($K134=1,AND(对接源_01水果!$X134="公司筐",N(对接源_01水果!$T134)&lt;&gt;0)),1,0)</f>
        <v>0</v>
      </c>
      <c r="Q134" s="1" t="n">
        <f aca="false">N(Q133)+$P134</f>
        <v>0</v>
      </c>
      <c r="R134" s="1" t="n">
        <f aca="false">IF(AND($K134=1,AND(对接源_01水果!$X134="公司筐",N(对接源_01水果!$U134)&lt;&gt;0)),1,0)</f>
        <v>0</v>
      </c>
      <c r="S134" s="1" t="n">
        <f aca="false">N(S133)+$R134</f>
        <v>0</v>
      </c>
      <c r="T134" s="1" t="n">
        <f aca="false">IF(AND($K134=1,AND(对接源_01水果!$X134="公司筐",N(对接源_01水果!$V134)&lt;&gt;0)),1,0)</f>
        <v>0</v>
      </c>
      <c r="U134" s="1" t="n">
        <f aca="false">N(U133)+$T134</f>
        <v>18</v>
      </c>
      <c r="V134" s="1" t="n">
        <f aca="false">IF(AND($L134=1,AND(对接源_01水果!$X134="自备筐",N(对接源_01水果!$V134)&lt;&gt;0)),1,0)</f>
        <v>0</v>
      </c>
      <c r="W134" s="1" t="n">
        <f aca="false">N(W133)+$V134</f>
        <v>0</v>
      </c>
      <c r="X134" s="1" t="n">
        <f aca="false">IF(AND($L134=1,AND(对接源_01水果!$X134="自备筐",N(对接源_01水果!$T134)&lt;&gt;0)),1,0)</f>
        <v>0</v>
      </c>
      <c r="Y134" s="1" t="n">
        <f aca="false">N(Y133)+$X134</f>
        <v>0</v>
      </c>
      <c r="Z134" s="1" t="n">
        <f aca="false">IF(AND($M134=1,对接源_01水果!$D134="原料入库"),1,0)</f>
        <v>0</v>
      </c>
      <c r="AA134" s="1" t="n">
        <f aca="false">N(AA133)+$Z134</f>
        <v>20</v>
      </c>
      <c r="AB134" s="1" t="n">
        <f aca="false">IF(AND($M134=1,LEFT(对接源_01水果!$D134,4)="原料出库"),1,0)</f>
        <v>0</v>
      </c>
      <c r="AC134" s="1" t="n">
        <f aca="false">N(AC133)+$AB134</f>
        <v>0</v>
      </c>
      <c r="AD134" s="1" t="n">
        <f aca="false">IF(AND($M134=1,LEFT(对接源_01水果!$D134,4)="成品出库"),1,0)</f>
        <v>0</v>
      </c>
      <c r="AE134" s="1" t="n">
        <f aca="false">N(AE133)+$AD134</f>
        <v>0</v>
      </c>
      <c r="AF134" s="1" t="n">
        <f aca="false">IF(AND($N134=1,AND(LEFT(对接源_01水果!$D134,4)="包装物料",N(对接源_01水果!$K134)&lt;&gt;0)),1,0)</f>
        <v>0</v>
      </c>
      <c r="AG134" s="90" t="str">
        <f aca="false">IF(对接源_01水果!$AC134="","",对接源_01水果!$AC134)</f>
        <v/>
      </c>
      <c r="AH134" s="90" t="str">
        <f aca="false">IFERROR(INDEX($AG$4:$AG$1203,MATCH(ROW()-3,$AJ$4:$AJ$1203,0)),"")</f>
        <v/>
      </c>
      <c r="AI134" s="90" t="n">
        <f aca="false">IF(AG134="",0,IF(MATCH(AG134,$AG$4:$AG$1203,0)=ROW()-3,1,0))</f>
        <v>0</v>
      </c>
      <c r="AJ134" s="90" t="n">
        <f aca="false">N(AJ133)+AI134</f>
        <v>0</v>
      </c>
      <c r="AK134" s="1" t="n">
        <f aca="false">N(AK133)+$AJ134</f>
        <v>0</v>
      </c>
    </row>
    <row r="135" customFormat="false" ht="13.5" hidden="false" customHeight="false" outlineLevel="0" collapsed="false">
      <c r="A135" s="1" t="str">
        <f aca="false">IF(对接源_01水果!$C135="","",对接源_01水果!$C135)</f>
        <v>聂新平</v>
      </c>
      <c r="B135" s="1" t="n">
        <f aca="false">IF(A135="",0,IF(MATCH(A135,$A$4:$A$2403,0)=ROW()-3,1,0))</f>
        <v>0</v>
      </c>
      <c r="C135" s="1" t="n">
        <f aca="false">N(C134)+B135</f>
        <v>4</v>
      </c>
      <c r="E135" s="1" t="str">
        <f aca="false">IFERROR(INDEX($A$4:$A$2403,MATCH(ROW()-3,$C$4:$C$2403,0)),"")</f>
        <v/>
      </c>
      <c r="K135" s="1" t="n">
        <f aca="false">IF(OR($K$1="",对接源_01水果!$C135="",对接源_01水果!$C135&lt;&gt;$K$1,对接源_01水果!$B135=""),0,IF(OR(N(对接源_01水果!$B135)&lt;$K$2,N(对接源_01水果!$B135)&gt;$K$3),0,1))</f>
        <v>0</v>
      </c>
      <c r="L135" s="1" t="n">
        <f aca="false">IF(OR($L$1="",对接源_01水果!$C135="",对接源_01水果!$C135&lt;&gt;$L$1,对接源_01水果!$B135=""),0,IF(OR(N(对接源_01水果!$B135)&lt;$L$2,N(对接源_01水果!$B135)&gt;$L$3),0,1))</f>
        <v>0</v>
      </c>
      <c r="M135" s="1" t="n">
        <f aca="false">IF(OR($M$1="",对接源_01水果!$C135="",对接源_01水果!$C135&lt;&gt;$M$1,对接源_01水果!$B135=""),0,IF(OR(N(对接源_01水果!$B135)&lt;$M$2,N(对接源_01水果!$B135)&gt;$M$3),0,1))</f>
        <v>0</v>
      </c>
      <c r="N135" s="1" t="n">
        <f aca="false">IF(OR($N$1="",对接源_01水果!$C135="",对接源_01水果!$C135&lt;&gt;$N$1,对接源_01水果!$B135=""),0,IF(OR(N(对接源_01水果!$B135)&lt;$N$2,N(对接源_01水果!$B135)&gt;$N$3),0,1))</f>
        <v>0</v>
      </c>
      <c r="P135" s="1" t="n">
        <f aca="false">IF(AND($K135=1,AND(对接源_01水果!$X135="公司筐",N(对接源_01水果!$T135)&lt;&gt;0)),1,0)</f>
        <v>0</v>
      </c>
      <c r="Q135" s="1" t="n">
        <f aca="false">N(Q134)+$P135</f>
        <v>0</v>
      </c>
      <c r="R135" s="1" t="n">
        <f aca="false">IF(AND($K135=1,AND(对接源_01水果!$X135="公司筐",N(对接源_01水果!$U135)&lt;&gt;0)),1,0)</f>
        <v>0</v>
      </c>
      <c r="S135" s="1" t="n">
        <f aca="false">N(S134)+$R135</f>
        <v>0</v>
      </c>
      <c r="T135" s="1" t="n">
        <f aca="false">IF(AND($K135=1,AND(对接源_01水果!$X135="公司筐",N(对接源_01水果!$V135)&lt;&gt;0)),1,0)</f>
        <v>0</v>
      </c>
      <c r="U135" s="1" t="n">
        <f aca="false">N(U134)+$T135</f>
        <v>18</v>
      </c>
      <c r="V135" s="1" t="n">
        <f aca="false">IF(AND($L135=1,AND(对接源_01水果!$X135="自备筐",N(对接源_01水果!$V135)&lt;&gt;0)),1,0)</f>
        <v>0</v>
      </c>
      <c r="W135" s="1" t="n">
        <f aca="false">N(W134)+$V135</f>
        <v>0</v>
      </c>
      <c r="X135" s="1" t="n">
        <f aca="false">IF(AND($L135=1,AND(对接源_01水果!$X135="自备筐",N(对接源_01水果!$T135)&lt;&gt;0)),1,0)</f>
        <v>0</v>
      </c>
      <c r="Y135" s="1" t="n">
        <f aca="false">N(Y134)+$X135</f>
        <v>0</v>
      </c>
      <c r="Z135" s="1" t="n">
        <f aca="false">IF(AND($M135=1,对接源_01水果!$D135="原料入库"),1,0)</f>
        <v>0</v>
      </c>
      <c r="AA135" s="1" t="n">
        <f aca="false">N(AA134)+$Z135</f>
        <v>20</v>
      </c>
      <c r="AB135" s="1" t="n">
        <f aca="false">IF(AND($M135=1,LEFT(对接源_01水果!$D135,4)="原料出库"),1,0)</f>
        <v>0</v>
      </c>
      <c r="AC135" s="1" t="n">
        <f aca="false">N(AC134)+$AB135</f>
        <v>0</v>
      </c>
      <c r="AD135" s="1" t="n">
        <f aca="false">IF(AND($M135=1,LEFT(对接源_01水果!$D135,4)="成品出库"),1,0)</f>
        <v>0</v>
      </c>
      <c r="AE135" s="1" t="n">
        <f aca="false">N(AE134)+$AD135</f>
        <v>0</v>
      </c>
      <c r="AF135" s="1" t="n">
        <f aca="false">IF(AND($N135=1,AND(LEFT(对接源_01水果!$D135,4)="包装物料",N(对接源_01水果!$K135)&lt;&gt;0)),1,0)</f>
        <v>0</v>
      </c>
      <c r="AG135" s="90" t="str">
        <f aca="false">IF(对接源_01水果!$AC135="","",对接源_01水果!$AC135)</f>
        <v/>
      </c>
      <c r="AH135" s="90" t="str">
        <f aca="false">IFERROR(INDEX($AG$4:$AG$1203,MATCH(ROW()-3,$AJ$4:$AJ$1203,0)),"")</f>
        <v/>
      </c>
      <c r="AI135" s="90" t="n">
        <f aca="false">IF(AG135="",0,IF(MATCH(AG135,$AG$4:$AG$1203,0)=ROW()-3,1,0))</f>
        <v>0</v>
      </c>
      <c r="AJ135" s="90" t="n">
        <f aca="false">N(AJ134)+AI135</f>
        <v>0</v>
      </c>
      <c r="AK135" s="1" t="n">
        <f aca="false">N(AK134)+$AJ135</f>
        <v>0</v>
      </c>
    </row>
    <row r="136" customFormat="false" ht="13.5" hidden="false" customHeight="false" outlineLevel="0" collapsed="false">
      <c r="A136" s="1" t="str">
        <f aca="false">IF(对接源_01水果!$C136="","",对接源_01水果!$C136)</f>
        <v>聂新平</v>
      </c>
      <c r="B136" s="1" t="n">
        <f aca="false">IF(A136="",0,IF(MATCH(A136,$A$4:$A$2403,0)=ROW()-3,1,0))</f>
        <v>0</v>
      </c>
      <c r="C136" s="1" t="n">
        <f aca="false">N(C135)+B136</f>
        <v>4</v>
      </c>
      <c r="E136" s="1" t="str">
        <f aca="false">IFERROR(INDEX($A$4:$A$2403,MATCH(ROW()-3,$C$4:$C$2403,0)),"")</f>
        <v/>
      </c>
      <c r="K136" s="1" t="n">
        <f aca="false">IF(OR($K$1="",对接源_01水果!$C136="",对接源_01水果!$C136&lt;&gt;$K$1,对接源_01水果!$B136=""),0,IF(OR(N(对接源_01水果!$B136)&lt;$K$2,N(对接源_01水果!$B136)&gt;$K$3),0,1))</f>
        <v>0</v>
      </c>
      <c r="L136" s="1" t="n">
        <f aca="false">IF(OR($L$1="",对接源_01水果!$C136="",对接源_01水果!$C136&lt;&gt;$L$1,对接源_01水果!$B136=""),0,IF(OR(N(对接源_01水果!$B136)&lt;$L$2,N(对接源_01水果!$B136)&gt;$L$3),0,1))</f>
        <v>0</v>
      </c>
      <c r="M136" s="1" t="n">
        <f aca="false">IF(OR($M$1="",对接源_01水果!$C136="",对接源_01水果!$C136&lt;&gt;$M$1,对接源_01水果!$B136=""),0,IF(OR(N(对接源_01水果!$B136)&lt;$M$2,N(对接源_01水果!$B136)&gt;$M$3),0,1))</f>
        <v>0</v>
      </c>
      <c r="N136" s="1" t="n">
        <f aca="false">IF(OR($N$1="",对接源_01水果!$C136="",对接源_01水果!$C136&lt;&gt;$N$1,对接源_01水果!$B136=""),0,IF(OR(N(对接源_01水果!$B136)&lt;$N$2,N(对接源_01水果!$B136)&gt;$N$3),0,1))</f>
        <v>0</v>
      </c>
      <c r="P136" s="1" t="n">
        <f aca="false">IF(AND($K136=1,AND(对接源_01水果!$X136="公司筐",N(对接源_01水果!$T136)&lt;&gt;0)),1,0)</f>
        <v>0</v>
      </c>
      <c r="Q136" s="1" t="n">
        <f aca="false">N(Q135)+$P136</f>
        <v>0</v>
      </c>
      <c r="R136" s="1" t="n">
        <f aca="false">IF(AND($K136=1,AND(对接源_01水果!$X136="公司筐",N(对接源_01水果!$U136)&lt;&gt;0)),1,0)</f>
        <v>0</v>
      </c>
      <c r="S136" s="1" t="n">
        <f aca="false">N(S135)+$R136</f>
        <v>0</v>
      </c>
      <c r="T136" s="1" t="n">
        <f aca="false">IF(AND($K136=1,AND(对接源_01水果!$X136="公司筐",N(对接源_01水果!$V136)&lt;&gt;0)),1,0)</f>
        <v>0</v>
      </c>
      <c r="U136" s="1" t="n">
        <f aca="false">N(U135)+$T136</f>
        <v>18</v>
      </c>
      <c r="V136" s="1" t="n">
        <f aca="false">IF(AND($L136=1,AND(对接源_01水果!$X136="自备筐",N(对接源_01水果!$V136)&lt;&gt;0)),1,0)</f>
        <v>0</v>
      </c>
      <c r="W136" s="1" t="n">
        <f aca="false">N(W135)+$V136</f>
        <v>0</v>
      </c>
      <c r="X136" s="1" t="n">
        <f aca="false">IF(AND($L136=1,AND(对接源_01水果!$X136="自备筐",N(对接源_01水果!$T136)&lt;&gt;0)),1,0)</f>
        <v>0</v>
      </c>
      <c r="Y136" s="1" t="n">
        <f aca="false">N(Y135)+$X136</f>
        <v>0</v>
      </c>
      <c r="Z136" s="1" t="n">
        <f aca="false">IF(AND($M136=1,对接源_01水果!$D136="原料入库"),1,0)</f>
        <v>0</v>
      </c>
      <c r="AA136" s="1" t="n">
        <f aca="false">N(AA135)+$Z136</f>
        <v>20</v>
      </c>
      <c r="AB136" s="1" t="n">
        <f aca="false">IF(AND($M136=1,LEFT(对接源_01水果!$D136,4)="原料出库"),1,0)</f>
        <v>0</v>
      </c>
      <c r="AC136" s="1" t="n">
        <f aca="false">N(AC135)+$AB136</f>
        <v>0</v>
      </c>
      <c r="AD136" s="1" t="n">
        <f aca="false">IF(AND($M136=1,LEFT(对接源_01水果!$D136,4)="成品出库"),1,0)</f>
        <v>0</v>
      </c>
      <c r="AE136" s="1" t="n">
        <f aca="false">N(AE135)+$AD136</f>
        <v>0</v>
      </c>
      <c r="AF136" s="1" t="n">
        <f aca="false">IF(AND($N136=1,AND(LEFT(对接源_01水果!$D136,4)="包装物料",N(对接源_01水果!$K136)&lt;&gt;0)),1,0)</f>
        <v>0</v>
      </c>
      <c r="AG136" s="90" t="str">
        <f aca="false">IF(对接源_01水果!$AC136="","",对接源_01水果!$AC136)</f>
        <v/>
      </c>
      <c r="AH136" s="90" t="str">
        <f aca="false">IFERROR(INDEX($AG$4:$AG$1203,MATCH(ROW()-3,$AJ$4:$AJ$1203,0)),"")</f>
        <v/>
      </c>
      <c r="AI136" s="90" t="n">
        <f aca="false">IF(AG136="",0,IF(MATCH(AG136,$AG$4:$AG$1203,0)=ROW()-3,1,0))</f>
        <v>0</v>
      </c>
      <c r="AJ136" s="90" t="n">
        <f aca="false">N(AJ135)+AI136</f>
        <v>0</v>
      </c>
      <c r="AK136" s="1" t="n">
        <f aca="false">N(AK135)+$AJ136</f>
        <v>0</v>
      </c>
    </row>
    <row r="137" customFormat="false" ht="13.5" hidden="false" customHeight="false" outlineLevel="0" collapsed="false">
      <c r="A137" s="1" t="str">
        <f aca="false">IF(对接源_01水果!$C137="","",对接源_01水果!$C137)</f>
        <v>聂新平</v>
      </c>
      <c r="B137" s="1" t="n">
        <f aca="false">IF(A137="",0,IF(MATCH(A137,$A$4:$A$2403,0)=ROW()-3,1,0))</f>
        <v>0</v>
      </c>
      <c r="C137" s="1" t="n">
        <f aca="false">N(C136)+B137</f>
        <v>4</v>
      </c>
      <c r="E137" s="1" t="str">
        <f aca="false">IFERROR(INDEX($A$4:$A$2403,MATCH(ROW()-3,$C$4:$C$2403,0)),"")</f>
        <v/>
      </c>
      <c r="K137" s="1" t="n">
        <f aca="false">IF(OR($K$1="",对接源_01水果!$C137="",对接源_01水果!$C137&lt;&gt;$K$1,对接源_01水果!$B137=""),0,IF(OR(N(对接源_01水果!$B137)&lt;$K$2,N(对接源_01水果!$B137)&gt;$K$3),0,1))</f>
        <v>0</v>
      </c>
      <c r="L137" s="1" t="n">
        <f aca="false">IF(OR($L$1="",对接源_01水果!$C137="",对接源_01水果!$C137&lt;&gt;$L$1,对接源_01水果!$B137=""),0,IF(OR(N(对接源_01水果!$B137)&lt;$L$2,N(对接源_01水果!$B137)&gt;$L$3),0,1))</f>
        <v>0</v>
      </c>
      <c r="M137" s="1" t="n">
        <f aca="false">IF(OR($M$1="",对接源_01水果!$C137="",对接源_01水果!$C137&lt;&gt;$M$1,对接源_01水果!$B137=""),0,IF(OR(N(对接源_01水果!$B137)&lt;$M$2,N(对接源_01水果!$B137)&gt;$M$3),0,1))</f>
        <v>0</v>
      </c>
      <c r="N137" s="1" t="n">
        <f aca="false">IF(OR($N$1="",对接源_01水果!$C137="",对接源_01水果!$C137&lt;&gt;$N$1,对接源_01水果!$B137=""),0,IF(OR(N(对接源_01水果!$B137)&lt;$N$2,N(对接源_01水果!$B137)&gt;$N$3),0,1))</f>
        <v>0</v>
      </c>
      <c r="P137" s="1" t="n">
        <f aca="false">IF(AND($K137=1,AND(对接源_01水果!$X137="公司筐",N(对接源_01水果!$T137)&lt;&gt;0)),1,0)</f>
        <v>0</v>
      </c>
      <c r="Q137" s="1" t="n">
        <f aca="false">N(Q136)+$P137</f>
        <v>0</v>
      </c>
      <c r="R137" s="1" t="n">
        <f aca="false">IF(AND($K137=1,AND(对接源_01水果!$X137="公司筐",N(对接源_01水果!$U137)&lt;&gt;0)),1,0)</f>
        <v>0</v>
      </c>
      <c r="S137" s="1" t="n">
        <f aca="false">N(S136)+$R137</f>
        <v>0</v>
      </c>
      <c r="T137" s="1" t="n">
        <f aca="false">IF(AND($K137=1,AND(对接源_01水果!$X137="公司筐",N(对接源_01水果!$V137)&lt;&gt;0)),1,0)</f>
        <v>0</v>
      </c>
      <c r="U137" s="1" t="n">
        <f aca="false">N(U136)+$T137</f>
        <v>18</v>
      </c>
      <c r="V137" s="1" t="n">
        <f aca="false">IF(AND($L137=1,AND(对接源_01水果!$X137="自备筐",N(对接源_01水果!$V137)&lt;&gt;0)),1,0)</f>
        <v>0</v>
      </c>
      <c r="W137" s="1" t="n">
        <f aca="false">N(W136)+$V137</f>
        <v>0</v>
      </c>
      <c r="X137" s="1" t="n">
        <f aca="false">IF(AND($L137=1,AND(对接源_01水果!$X137="自备筐",N(对接源_01水果!$T137)&lt;&gt;0)),1,0)</f>
        <v>0</v>
      </c>
      <c r="Y137" s="1" t="n">
        <f aca="false">N(Y136)+$X137</f>
        <v>0</v>
      </c>
      <c r="Z137" s="1" t="n">
        <f aca="false">IF(AND($M137=1,对接源_01水果!$D137="原料入库"),1,0)</f>
        <v>0</v>
      </c>
      <c r="AA137" s="1" t="n">
        <f aca="false">N(AA136)+$Z137</f>
        <v>20</v>
      </c>
      <c r="AB137" s="1" t="n">
        <f aca="false">IF(AND($M137=1,LEFT(对接源_01水果!$D137,4)="原料出库"),1,0)</f>
        <v>0</v>
      </c>
      <c r="AC137" s="1" t="n">
        <f aca="false">N(AC136)+$AB137</f>
        <v>0</v>
      </c>
      <c r="AD137" s="1" t="n">
        <f aca="false">IF(AND($M137=1,LEFT(对接源_01水果!$D137,4)="成品出库"),1,0)</f>
        <v>0</v>
      </c>
      <c r="AE137" s="1" t="n">
        <f aca="false">N(AE136)+$AD137</f>
        <v>0</v>
      </c>
      <c r="AF137" s="1" t="n">
        <f aca="false">IF(AND($N137=1,AND(LEFT(对接源_01水果!$D137,4)="包装物料",N(对接源_01水果!$K137)&lt;&gt;0)),1,0)</f>
        <v>0</v>
      </c>
      <c r="AG137" s="90" t="str">
        <f aca="false">IF(对接源_01水果!$AC137="","",对接源_01水果!$AC137)</f>
        <v/>
      </c>
      <c r="AH137" s="90" t="str">
        <f aca="false">IFERROR(INDEX($AG$4:$AG$1203,MATCH(ROW()-3,$AJ$4:$AJ$1203,0)),"")</f>
        <v/>
      </c>
      <c r="AI137" s="90" t="n">
        <f aca="false">IF(AG137="",0,IF(MATCH(AG137,$AG$4:$AG$1203,0)=ROW()-3,1,0))</f>
        <v>0</v>
      </c>
      <c r="AJ137" s="90" t="n">
        <f aca="false">N(AJ136)+AI137</f>
        <v>0</v>
      </c>
      <c r="AK137" s="1" t="n">
        <f aca="false">N(AK136)+$AJ137</f>
        <v>0</v>
      </c>
    </row>
    <row r="138" customFormat="false" ht="13.5" hidden="false" customHeight="false" outlineLevel="0" collapsed="false">
      <c r="A138" s="1" t="str">
        <f aca="false">IF(对接源_01水果!$C138="","",对接源_01水果!$C138)</f>
        <v>聂新平</v>
      </c>
      <c r="B138" s="1" t="n">
        <f aca="false">IF(A138="",0,IF(MATCH(A138,$A$4:$A$2403,0)=ROW()-3,1,0))</f>
        <v>0</v>
      </c>
      <c r="C138" s="1" t="n">
        <f aca="false">N(C137)+B138</f>
        <v>4</v>
      </c>
      <c r="E138" s="1" t="str">
        <f aca="false">IFERROR(INDEX($A$4:$A$2403,MATCH(ROW()-3,$C$4:$C$2403,0)),"")</f>
        <v/>
      </c>
      <c r="K138" s="1" t="n">
        <f aca="false">IF(OR($K$1="",对接源_01水果!$C138="",对接源_01水果!$C138&lt;&gt;$K$1,对接源_01水果!$B138=""),0,IF(OR(N(对接源_01水果!$B138)&lt;$K$2,N(对接源_01水果!$B138)&gt;$K$3),0,1))</f>
        <v>0</v>
      </c>
      <c r="L138" s="1" t="n">
        <f aca="false">IF(OR($L$1="",对接源_01水果!$C138="",对接源_01水果!$C138&lt;&gt;$L$1,对接源_01水果!$B138=""),0,IF(OR(N(对接源_01水果!$B138)&lt;$L$2,N(对接源_01水果!$B138)&gt;$L$3),0,1))</f>
        <v>0</v>
      </c>
      <c r="M138" s="1" t="n">
        <f aca="false">IF(OR($M$1="",对接源_01水果!$C138="",对接源_01水果!$C138&lt;&gt;$M$1,对接源_01水果!$B138=""),0,IF(OR(N(对接源_01水果!$B138)&lt;$M$2,N(对接源_01水果!$B138)&gt;$M$3),0,1))</f>
        <v>0</v>
      </c>
      <c r="N138" s="1" t="n">
        <f aca="false">IF(OR($N$1="",对接源_01水果!$C138="",对接源_01水果!$C138&lt;&gt;$N$1,对接源_01水果!$B138=""),0,IF(OR(N(对接源_01水果!$B138)&lt;$N$2,N(对接源_01水果!$B138)&gt;$N$3),0,1))</f>
        <v>0</v>
      </c>
      <c r="P138" s="1" t="n">
        <f aca="false">IF(AND($K138=1,AND(对接源_01水果!$X138="公司筐",N(对接源_01水果!$T138)&lt;&gt;0)),1,0)</f>
        <v>0</v>
      </c>
      <c r="Q138" s="1" t="n">
        <f aca="false">N(Q137)+$P138</f>
        <v>0</v>
      </c>
      <c r="R138" s="1" t="n">
        <f aca="false">IF(AND($K138=1,AND(对接源_01水果!$X138="公司筐",N(对接源_01水果!$U138)&lt;&gt;0)),1,0)</f>
        <v>0</v>
      </c>
      <c r="S138" s="1" t="n">
        <f aca="false">N(S137)+$R138</f>
        <v>0</v>
      </c>
      <c r="T138" s="1" t="n">
        <f aca="false">IF(AND($K138=1,AND(对接源_01水果!$X138="公司筐",N(对接源_01水果!$V138)&lt;&gt;0)),1,0)</f>
        <v>0</v>
      </c>
      <c r="U138" s="1" t="n">
        <f aca="false">N(U137)+$T138</f>
        <v>18</v>
      </c>
      <c r="V138" s="1" t="n">
        <f aca="false">IF(AND($L138=1,AND(对接源_01水果!$X138="自备筐",N(对接源_01水果!$V138)&lt;&gt;0)),1,0)</f>
        <v>0</v>
      </c>
      <c r="W138" s="1" t="n">
        <f aca="false">N(W137)+$V138</f>
        <v>0</v>
      </c>
      <c r="X138" s="1" t="n">
        <f aca="false">IF(AND($L138=1,AND(对接源_01水果!$X138="自备筐",N(对接源_01水果!$T138)&lt;&gt;0)),1,0)</f>
        <v>0</v>
      </c>
      <c r="Y138" s="1" t="n">
        <f aca="false">N(Y137)+$X138</f>
        <v>0</v>
      </c>
      <c r="Z138" s="1" t="n">
        <f aca="false">IF(AND($M138=1,对接源_01水果!$D138="原料入库"),1,0)</f>
        <v>0</v>
      </c>
      <c r="AA138" s="1" t="n">
        <f aca="false">N(AA137)+$Z138</f>
        <v>20</v>
      </c>
      <c r="AB138" s="1" t="n">
        <f aca="false">IF(AND($M138=1,LEFT(对接源_01水果!$D138,4)="原料出库"),1,0)</f>
        <v>0</v>
      </c>
      <c r="AC138" s="1" t="n">
        <f aca="false">N(AC137)+$AB138</f>
        <v>0</v>
      </c>
      <c r="AD138" s="1" t="n">
        <f aca="false">IF(AND($M138=1,LEFT(对接源_01水果!$D138,4)="成品出库"),1,0)</f>
        <v>0</v>
      </c>
      <c r="AE138" s="1" t="n">
        <f aca="false">N(AE137)+$AD138</f>
        <v>0</v>
      </c>
      <c r="AF138" s="1" t="n">
        <f aca="false">IF(AND($N138=1,AND(LEFT(对接源_01水果!$D138,4)="包装物料",N(对接源_01水果!$K138)&lt;&gt;0)),1,0)</f>
        <v>0</v>
      </c>
      <c r="AG138" s="90" t="str">
        <f aca="false">IF(对接源_01水果!$AC138="","",对接源_01水果!$AC138)</f>
        <v/>
      </c>
      <c r="AH138" s="90" t="str">
        <f aca="false">IFERROR(INDEX($AG$4:$AG$1203,MATCH(ROW()-3,$AJ$4:$AJ$1203,0)),"")</f>
        <v/>
      </c>
      <c r="AI138" s="90" t="n">
        <f aca="false">IF(AG138="",0,IF(MATCH(AG138,$AG$4:$AG$1203,0)=ROW()-3,1,0))</f>
        <v>0</v>
      </c>
      <c r="AJ138" s="90" t="n">
        <f aca="false">N(AJ137)+AI138</f>
        <v>0</v>
      </c>
      <c r="AK138" s="1" t="n">
        <f aca="false">N(AK137)+$AJ138</f>
        <v>0</v>
      </c>
    </row>
    <row r="139" customFormat="false" ht="13.5" hidden="false" customHeight="false" outlineLevel="0" collapsed="false">
      <c r="A139" s="1" t="str">
        <f aca="false">IF(对接源_01水果!$C139="","",对接源_01水果!$C139)</f>
        <v>聂新平</v>
      </c>
      <c r="B139" s="1" t="n">
        <f aca="false">IF(A139="",0,IF(MATCH(A139,$A$4:$A$2403,0)=ROW()-3,1,0))</f>
        <v>0</v>
      </c>
      <c r="C139" s="1" t="n">
        <f aca="false">N(C138)+B139</f>
        <v>4</v>
      </c>
      <c r="E139" s="1" t="str">
        <f aca="false">IFERROR(INDEX($A$4:$A$2403,MATCH(ROW()-3,$C$4:$C$2403,0)),"")</f>
        <v/>
      </c>
      <c r="K139" s="1" t="n">
        <f aca="false">IF(OR($K$1="",对接源_01水果!$C139="",对接源_01水果!$C139&lt;&gt;$K$1,对接源_01水果!$B139=""),0,IF(OR(N(对接源_01水果!$B139)&lt;$K$2,N(对接源_01水果!$B139)&gt;$K$3),0,1))</f>
        <v>0</v>
      </c>
      <c r="L139" s="1" t="n">
        <f aca="false">IF(OR($L$1="",对接源_01水果!$C139="",对接源_01水果!$C139&lt;&gt;$L$1,对接源_01水果!$B139=""),0,IF(OR(N(对接源_01水果!$B139)&lt;$L$2,N(对接源_01水果!$B139)&gt;$L$3),0,1))</f>
        <v>0</v>
      </c>
      <c r="M139" s="1" t="n">
        <f aca="false">IF(OR($M$1="",对接源_01水果!$C139="",对接源_01水果!$C139&lt;&gt;$M$1,对接源_01水果!$B139=""),0,IF(OR(N(对接源_01水果!$B139)&lt;$M$2,N(对接源_01水果!$B139)&gt;$M$3),0,1))</f>
        <v>0</v>
      </c>
      <c r="N139" s="1" t="n">
        <f aca="false">IF(OR($N$1="",对接源_01水果!$C139="",对接源_01水果!$C139&lt;&gt;$N$1,对接源_01水果!$B139=""),0,IF(OR(N(对接源_01水果!$B139)&lt;$N$2,N(对接源_01水果!$B139)&gt;$N$3),0,1))</f>
        <v>0</v>
      </c>
      <c r="P139" s="1" t="n">
        <f aca="false">IF(AND($K139=1,AND(对接源_01水果!$X139="公司筐",N(对接源_01水果!$T139)&lt;&gt;0)),1,0)</f>
        <v>0</v>
      </c>
      <c r="Q139" s="1" t="n">
        <f aca="false">N(Q138)+$P139</f>
        <v>0</v>
      </c>
      <c r="R139" s="1" t="n">
        <f aca="false">IF(AND($K139=1,AND(对接源_01水果!$X139="公司筐",N(对接源_01水果!$U139)&lt;&gt;0)),1,0)</f>
        <v>0</v>
      </c>
      <c r="S139" s="1" t="n">
        <f aca="false">N(S138)+$R139</f>
        <v>0</v>
      </c>
      <c r="T139" s="1" t="n">
        <f aca="false">IF(AND($K139=1,AND(对接源_01水果!$X139="公司筐",N(对接源_01水果!$V139)&lt;&gt;0)),1,0)</f>
        <v>0</v>
      </c>
      <c r="U139" s="1" t="n">
        <f aca="false">N(U138)+$T139</f>
        <v>18</v>
      </c>
      <c r="V139" s="1" t="n">
        <f aca="false">IF(AND($L139=1,AND(对接源_01水果!$X139="自备筐",N(对接源_01水果!$V139)&lt;&gt;0)),1,0)</f>
        <v>0</v>
      </c>
      <c r="W139" s="1" t="n">
        <f aca="false">N(W138)+$V139</f>
        <v>0</v>
      </c>
      <c r="X139" s="1" t="n">
        <f aca="false">IF(AND($L139=1,AND(对接源_01水果!$X139="自备筐",N(对接源_01水果!$T139)&lt;&gt;0)),1,0)</f>
        <v>0</v>
      </c>
      <c r="Y139" s="1" t="n">
        <f aca="false">N(Y138)+$X139</f>
        <v>0</v>
      </c>
      <c r="Z139" s="1" t="n">
        <f aca="false">IF(AND($M139=1,对接源_01水果!$D139="原料入库"),1,0)</f>
        <v>0</v>
      </c>
      <c r="AA139" s="1" t="n">
        <f aca="false">N(AA138)+$Z139</f>
        <v>20</v>
      </c>
      <c r="AB139" s="1" t="n">
        <f aca="false">IF(AND($M139=1,LEFT(对接源_01水果!$D139,4)="原料出库"),1,0)</f>
        <v>0</v>
      </c>
      <c r="AC139" s="1" t="n">
        <f aca="false">N(AC138)+$AB139</f>
        <v>0</v>
      </c>
      <c r="AD139" s="1" t="n">
        <f aca="false">IF(AND($M139=1,LEFT(对接源_01水果!$D139,4)="成品出库"),1,0)</f>
        <v>0</v>
      </c>
      <c r="AE139" s="1" t="n">
        <f aca="false">N(AE138)+$AD139</f>
        <v>0</v>
      </c>
      <c r="AF139" s="1" t="n">
        <f aca="false">IF(AND($N139=1,AND(LEFT(对接源_01水果!$D139,4)="包装物料",N(对接源_01水果!$K139)&lt;&gt;0)),1,0)</f>
        <v>0</v>
      </c>
      <c r="AG139" s="90" t="str">
        <f aca="false">IF(对接源_01水果!$AC139="","",对接源_01水果!$AC139)</f>
        <v/>
      </c>
      <c r="AH139" s="90" t="str">
        <f aca="false">IFERROR(INDEX($AG$4:$AG$1203,MATCH(ROW()-3,$AJ$4:$AJ$1203,0)),"")</f>
        <v/>
      </c>
      <c r="AI139" s="90" t="n">
        <f aca="false">IF(AG139="",0,IF(MATCH(AG139,$AG$4:$AG$1203,0)=ROW()-3,1,0))</f>
        <v>0</v>
      </c>
      <c r="AJ139" s="90" t="n">
        <f aca="false">N(AJ138)+AI139</f>
        <v>0</v>
      </c>
      <c r="AK139" s="1" t="n">
        <f aca="false">N(AK138)+$AJ139</f>
        <v>0</v>
      </c>
    </row>
    <row r="140" customFormat="false" ht="13.5" hidden="false" customHeight="false" outlineLevel="0" collapsed="false">
      <c r="A140" s="1" t="str">
        <f aca="false">IF(对接源_01水果!$C140="","",对接源_01水果!$C140)</f>
        <v>聂新平</v>
      </c>
      <c r="B140" s="1" t="n">
        <f aca="false">IF(A140="",0,IF(MATCH(A140,$A$4:$A$2403,0)=ROW()-3,1,0))</f>
        <v>0</v>
      </c>
      <c r="C140" s="1" t="n">
        <f aca="false">N(C139)+B140</f>
        <v>4</v>
      </c>
      <c r="E140" s="1" t="str">
        <f aca="false">IFERROR(INDEX($A$4:$A$2403,MATCH(ROW()-3,$C$4:$C$2403,0)),"")</f>
        <v/>
      </c>
      <c r="K140" s="1" t="n">
        <f aca="false">IF(OR($K$1="",对接源_01水果!$C140="",对接源_01水果!$C140&lt;&gt;$K$1,对接源_01水果!$B140=""),0,IF(OR(N(对接源_01水果!$B140)&lt;$K$2,N(对接源_01水果!$B140)&gt;$K$3),0,1))</f>
        <v>0</v>
      </c>
      <c r="L140" s="1" t="n">
        <f aca="false">IF(OR($L$1="",对接源_01水果!$C140="",对接源_01水果!$C140&lt;&gt;$L$1,对接源_01水果!$B140=""),0,IF(OR(N(对接源_01水果!$B140)&lt;$L$2,N(对接源_01水果!$B140)&gt;$L$3),0,1))</f>
        <v>0</v>
      </c>
      <c r="M140" s="1" t="n">
        <f aca="false">IF(OR($M$1="",对接源_01水果!$C140="",对接源_01水果!$C140&lt;&gt;$M$1,对接源_01水果!$B140=""),0,IF(OR(N(对接源_01水果!$B140)&lt;$M$2,N(对接源_01水果!$B140)&gt;$M$3),0,1))</f>
        <v>0</v>
      </c>
      <c r="N140" s="1" t="n">
        <f aca="false">IF(OR($N$1="",对接源_01水果!$C140="",对接源_01水果!$C140&lt;&gt;$N$1,对接源_01水果!$B140=""),0,IF(OR(N(对接源_01水果!$B140)&lt;$N$2,N(对接源_01水果!$B140)&gt;$N$3),0,1))</f>
        <v>0</v>
      </c>
      <c r="P140" s="1" t="n">
        <f aca="false">IF(AND($K140=1,AND(对接源_01水果!$X140="公司筐",N(对接源_01水果!$T140)&lt;&gt;0)),1,0)</f>
        <v>0</v>
      </c>
      <c r="Q140" s="1" t="n">
        <f aca="false">N(Q139)+$P140</f>
        <v>0</v>
      </c>
      <c r="R140" s="1" t="n">
        <f aca="false">IF(AND($K140=1,AND(对接源_01水果!$X140="公司筐",N(对接源_01水果!$U140)&lt;&gt;0)),1,0)</f>
        <v>0</v>
      </c>
      <c r="S140" s="1" t="n">
        <f aca="false">N(S139)+$R140</f>
        <v>0</v>
      </c>
      <c r="T140" s="1" t="n">
        <f aca="false">IF(AND($K140=1,AND(对接源_01水果!$X140="公司筐",N(对接源_01水果!$V140)&lt;&gt;0)),1,0)</f>
        <v>0</v>
      </c>
      <c r="U140" s="1" t="n">
        <f aca="false">N(U139)+$T140</f>
        <v>18</v>
      </c>
      <c r="V140" s="1" t="n">
        <f aca="false">IF(AND($L140=1,AND(对接源_01水果!$X140="自备筐",N(对接源_01水果!$V140)&lt;&gt;0)),1,0)</f>
        <v>0</v>
      </c>
      <c r="W140" s="1" t="n">
        <f aca="false">N(W139)+$V140</f>
        <v>0</v>
      </c>
      <c r="X140" s="1" t="n">
        <f aca="false">IF(AND($L140=1,AND(对接源_01水果!$X140="自备筐",N(对接源_01水果!$T140)&lt;&gt;0)),1,0)</f>
        <v>0</v>
      </c>
      <c r="Y140" s="1" t="n">
        <f aca="false">N(Y139)+$X140</f>
        <v>0</v>
      </c>
      <c r="Z140" s="1" t="n">
        <f aca="false">IF(AND($M140=1,对接源_01水果!$D140="原料入库"),1,0)</f>
        <v>0</v>
      </c>
      <c r="AA140" s="1" t="n">
        <f aca="false">N(AA139)+$Z140</f>
        <v>20</v>
      </c>
      <c r="AB140" s="1" t="n">
        <f aca="false">IF(AND($M140=1,LEFT(对接源_01水果!$D140,4)="原料出库"),1,0)</f>
        <v>0</v>
      </c>
      <c r="AC140" s="1" t="n">
        <f aca="false">N(AC139)+$AB140</f>
        <v>0</v>
      </c>
      <c r="AD140" s="1" t="n">
        <f aca="false">IF(AND($M140=1,LEFT(对接源_01水果!$D140,4)="成品出库"),1,0)</f>
        <v>0</v>
      </c>
      <c r="AE140" s="1" t="n">
        <f aca="false">N(AE139)+$AD140</f>
        <v>0</v>
      </c>
      <c r="AF140" s="1" t="n">
        <f aca="false">IF(AND($N140=1,AND(LEFT(对接源_01水果!$D140,4)="包装物料",N(对接源_01水果!$K140)&lt;&gt;0)),1,0)</f>
        <v>0</v>
      </c>
      <c r="AG140" s="90" t="str">
        <f aca="false">IF(对接源_01水果!$AC140="","",对接源_01水果!$AC140)</f>
        <v/>
      </c>
      <c r="AH140" s="90" t="str">
        <f aca="false">IFERROR(INDEX($AG$4:$AG$1203,MATCH(ROW()-3,$AJ$4:$AJ$1203,0)),"")</f>
        <v/>
      </c>
      <c r="AI140" s="90" t="n">
        <f aca="false">IF(AG140="",0,IF(MATCH(AG140,$AG$4:$AG$1203,0)=ROW()-3,1,0))</f>
        <v>0</v>
      </c>
      <c r="AJ140" s="90" t="n">
        <f aca="false">N(AJ139)+AI140</f>
        <v>0</v>
      </c>
      <c r="AK140" s="1" t="n">
        <f aca="false">N(AK139)+$AJ140</f>
        <v>0</v>
      </c>
    </row>
    <row r="141" customFormat="false" ht="13.5" hidden="false" customHeight="false" outlineLevel="0" collapsed="false">
      <c r="A141" s="1" t="str">
        <f aca="false">IF(对接源_01水果!$C141="","",对接源_01水果!$C141)</f>
        <v>聂新平</v>
      </c>
      <c r="B141" s="1" t="n">
        <f aca="false">IF(A141="",0,IF(MATCH(A141,$A$4:$A$2403,0)=ROW()-3,1,0))</f>
        <v>0</v>
      </c>
      <c r="C141" s="1" t="n">
        <f aca="false">N(C140)+B141</f>
        <v>4</v>
      </c>
      <c r="E141" s="1" t="str">
        <f aca="false">IFERROR(INDEX($A$4:$A$2403,MATCH(ROW()-3,$C$4:$C$2403,0)),"")</f>
        <v/>
      </c>
      <c r="K141" s="1" t="n">
        <f aca="false">IF(OR($K$1="",对接源_01水果!$C141="",对接源_01水果!$C141&lt;&gt;$K$1,对接源_01水果!$B141=""),0,IF(OR(N(对接源_01水果!$B141)&lt;$K$2,N(对接源_01水果!$B141)&gt;$K$3),0,1))</f>
        <v>0</v>
      </c>
      <c r="L141" s="1" t="n">
        <f aca="false">IF(OR($L$1="",对接源_01水果!$C141="",对接源_01水果!$C141&lt;&gt;$L$1,对接源_01水果!$B141=""),0,IF(OR(N(对接源_01水果!$B141)&lt;$L$2,N(对接源_01水果!$B141)&gt;$L$3),0,1))</f>
        <v>0</v>
      </c>
      <c r="M141" s="1" t="n">
        <f aca="false">IF(OR($M$1="",对接源_01水果!$C141="",对接源_01水果!$C141&lt;&gt;$M$1,对接源_01水果!$B141=""),0,IF(OR(N(对接源_01水果!$B141)&lt;$M$2,N(对接源_01水果!$B141)&gt;$M$3),0,1))</f>
        <v>0</v>
      </c>
      <c r="N141" s="1" t="n">
        <f aca="false">IF(OR($N$1="",对接源_01水果!$C141="",对接源_01水果!$C141&lt;&gt;$N$1,对接源_01水果!$B141=""),0,IF(OR(N(对接源_01水果!$B141)&lt;$N$2,N(对接源_01水果!$B141)&gt;$N$3),0,1))</f>
        <v>0</v>
      </c>
      <c r="P141" s="1" t="n">
        <f aca="false">IF(AND($K141=1,AND(对接源_01水果!$X141="公司筐",N(对接源_01水果!$T141)&lt;&gt;0)),1,0)</f>
        <v>0</v>
      </c>
      <c r="Q141" s="1" t="n">
        <f aca="false">N(Q140)+$P141</f>
        <v>0</v>
      </c>
      <c r="R141" s="1" t="n">
        <f aca="false">IF(AND($K141=1,AND(对接源_01水果!$X141="公司筐",N(对接源_01水果!$U141)&lt;&gt;0)),1,0)</f>
        <v>0</v>
      </c>
      <c r="S141" s="1" t="n">
        <f aca="false">N(S140)+$R141</f>
        <v>0</v>
      </c>
      <c r="T141" s="1" t="n">
        <f aca="false">IF(AND($K141=1,AND(对接源_01水果!$X141="公司筐",N(对接源_01水果!$V141)&lt;&gt;0)),1,0)</f>
        <v>0</v>
      </c>
      <c r="U141" s="1" t="n">
        <f aca="false">N(U140)+$T141</f>
        <v>18</v>
      </c>
      <c r="V141" s="1" t="n">
        <f aca="false">IF(AND($L141=1,AND(对接源_01水果!$X141="自备筐",N(对接源_01水果!$V141)&lt;&gt;0)),1,0)</f>
        <v>0</v>
      </c>
      <c r="W141" s="1" t="n">
        <f aca="false">N(W140)+$V141</f>
        <v>0</v>
      </c>
      <c r="X141" s="1" t="n">
        <f aca="false">IF(AND($L141=1,AND(对接源_01水果!$X141="自备筐",N(对接源_01水果!$T141)&lt;&gt;0)),1,0)</f>
        <v>0</v>
      </c>
      <c r="Y141" s="1" t="n">
        <f aca="false">N(Y140)+$X141</f>
        <v>0</v>
      </c>
      <c r="Z141" s="1" t="n">
        <f aca="false">IF(AND($M141=1,对接源_01水果!$D141="原料入库"),1,0)</f>
        <v>0</v>
      </c>
      <c r="AA141" s="1" t="n">
        <f aca="false">N(AA140)+$Z141</f>
        <v>20</v>
      </c>
      <c r="AB141" s="1" t="n">
        <f aca="false">IF(AND($M141=1,LEFT(对接源_01水果!$D141,4)="原料出库"),1,0)</f>
        <v>0</v>
      </c>
      <c r="AC141" s="1" t="n">
        <f aca="false">N(AC140)+$AB141</f>
        <v>0</v>
      </c>
      <c r="AD141" s="1" t="n">
        <f aca="false">IF(AND($M141=1,LEFT(对接源_01水果!$D141,4)="成品出库"),1,0)</f>
        <v>0</v>
      </c>
      <c r="AE141" s="1" t="n">
        <f aca="false">N(AE140)+$AD141</f>
        <v>0</v>
      </c>
      <c r="AF141" s="1" t="n">
        <f aca="false">IF(AND($N141=1,AND(LEFT(对接源_01水果!$D141,4)="包装物料",N(对接源_01水果!$K141)&lt;&gt;0)),1,0)</f>
        <v>0</v>
      </c>
      <c r="AG141" s="90" t="str">
        <f aca="false">IF(对接源_01水果!$AC141="","",对接源_01水果!$AC141)</f>
        <v/>
      </c>
      <c r="AH141" s="90" t="str">
        <f aca="false">IFERROR(INDEX($AG$4:$AG$1203,MATCH(ROW()-3,$AJ$4:$AJ$1203,0)),"")</f>
        <v/>
      </c>
      <c r="AI141" s="90" t="n">
        <f aca="false">IF(AG141="",0,IF(MATCH(AG141,$AG$4:$AG$1203,0)=ROW()-3,1,0))</f>
        <v>0</v>
      </c>
      <c r="AJ141" s="90" t="n">
        <f aca="false">N(AJ140)+AI141</f>
        <v>0</v>
      </c>
      <c r="AK141" s="1" t="n">
        <f aca="false">N(AK140)+$AJ141</f>
        <v>0</v>
      </c>
    </row>
    <row r="142" customFormat="false" ht="13.5" hidden="false" customHeight="false" outlineLevel="0" collapsed="false">
      <c r="A142" s="1" t="str">
        <f aca="false">IF(对接源_01水果!$C142="","",对接源_01水果!$C142)</f>
        <v>马锦祥</v>
      </c>
      <c r="B142" s="1" t="n">
        <f aca="false">IF(A142="",0,IF(MATCH(A142,$A$4:$A$2403,0)=ROW()-3,1,0))</f>
        <v>0</v>
      </c>
      <c r="C142" s="1" t="n">
        <f aca="false">N(C141)+B142</f>
        <v>4</v>
      </c>
      <c r="E142" s="1" t="str">
        <f aca="false">IFERROR(INDEX($A$4:$A$2403,MATCH(ROW()-3,$C$4:$C$2403,0)),"")</f>
        <v/>
      </c>
      <c r="K142" s="1" t="n">
        <f aca="false">IF(OR($K$1="",对接源_01水果!$C142="",对接源_01水果!$C142&lt;&gt;$K$1,对接源_01水果!$B142=""),0,IF(OR(N(对接源_01水果!$B142)&lt;$K$2,N(对接源_01水果!$B142)&gt;$K$3),0,1))</f>
        <v>0</v>
      </c>
      <c r="L142" s="1" t="n">
        <f aca="false">IF(OR($L$1="",对接源_01水果!$C142="",对接源_01水果!$C142&lt;&gt;$L$1,对接源_01水果!$B142=""),0,IF(OR(N(对接源_01水果!$B142)&lt;$L$2,N(对接源_01水果!$B142)&gt;$L$3),0,1))</f>
        <v>0</v>
      </c>
      <c r="M142" s="1" t="n">
        <f aca="false">IF(OR($M$1="",对接源_01水果!$C142="",对接源_01水果!$C142&lt;&gt;$M$1,对接源_01水果!$B142=""),0,IF(OR(N(对接源_01水果!$B142)&lt;$M$2,N(对接源_01水果!$B142)&gt;$M$3),0,1))</f>
        <v>0</v>
      </c>
      <c r="N142" s="1" t="n">
        <f aca="false">IF(OR($N$1="",对接源_01水果!$C142="",对接源_01水果!$C142&lt;&gt;$N$1,对接源_01水果!$B142=""),0,IF(OR(N(对接源_01水果!$B142)&lt;$N$2,N(对接源_01水果!$B142)&gt;$N$3),0,1))</f>
        <v>0</v>
      </c>
      <c r="P142" s="1" t="n">
        <f aca="false">IF(AND($K142=1,AND(对接源_01水果!$X142="公司筐",N(对接源_01水果!$T142)&lt;&gt;0)),1,0)</f>
        <v>0</v>
      </c>
      <c r="Q142" s="1" t="n">
        <f aca="false">N(Q141)+$P142</f>
        <v>0</v>
      </c>
      <c r="R142" s="1" t="n">
        <f aca="false">IF(AND($K142=1,AND(对接源_01水果!$X142="公司筐",N(对接源_01水果!$U142)&lt;&gt;0)),1,0)</f>
        <v>0</v>
      </c>
      <c r="S142" s="1" t="n">
        <f aca="false">N(S141)+$R142</f>
        <v>0</v>
      </c>
      <c r="T142" s="1" t="n">
        <f aca="false">IF(AND($K142=1,AND(对接源_01水果!$X142="公司筐",N(对接源_01水果!$V142)&lt;&gt;0)),1,0)</f>
        <v>0</v>
      </c>
      <c r="U142" s="1" t="n">
        <f aca="false">N(U141)+$T142</f>
        <v>18</v>
      </c>
      <c r="V142" s="1" t="n">
        <f aca="false">IF(AND($L142=1,AND(对接源_01水果!$X142="自备筐",N(对接源_01水果!$V142)&lt;&gt;0)),1,0)</f>
        <v>0</v>
      </c>
      <c r="W142" s="1" t="n">
        <f aca="false">N(W141)+$V142</f>
        <v>0</v>
      </c>
      <c r="X142" s="1" t="n">
        <f aca="false">IF(AND($L142=1,AND(对接源_01水果!$X142="自备筐",N(对接源_01水果!$T142)&lt;&gt;0)),1,0)</f>
        <v>0</v>
      </c>
      <c r="Y142" s="1" t="n">
        <f aca="false">N(Y141)+$X142</f>
        <v>0</v>
      </c>
      <c r="Z142" s="1" t="n">
        <f aca="false">IF(AND($M142=1,对接源_01水果!$D142="原料入库"),1,0)</f>
        <v>0</v>
      </c>
      <c r="AA142" s="1" t="n">
        <f aca="false">N(AA141)+$Z142</f>
        <v>20</v>
      </c>
      <c r="AB142" s="1" t="n">
        <f aca="false">IF(AND($M142=1,LEFT(对接源_01水果!$D142,4)="原料出库"),1,0)</f>
        <v>0</v>
      </c>
      <c r="AC142" s="1" t="n">
        <f aca="false">N(AC141)+$AB142</f>
        <v>0</v>
      </c>
      <c r="AD142" s="1" t="n">
        <f aca="false">IF(AND($M142=1,LEFT(对接源_01水果!$D142,4)="成品出库"),1,0)</f>
        <v>0</v>
      </c>
      <c r="AE142" s="1" t="n">
        <f aca="false">N(AE141)+$AD142</f>
        <v>0</v>
      </c>
      <c r="AF142" s="1" t="n">
        <f aca="false">IF(AND($N142=1,AND(LEFT(对接源_01水果!$D142,4)="包装物料",N(对接源_01水果!$K142)&lt;&gt;0)),1,0)</f>
        <v>0</v>
      </c>
      <c r="AG142" s="90" t="str">
        <f aca="false">IF(对接源_01水果!$AC142="","",对接源_01水果!$AC142)</f>
        <v/>
      </c>
      <c r="AH142" s="90" t="str">
        <f aca="false">IFERROR(INDEX($AG$4:$AG$1203,MATCH(ROW()-3,$AJ$4:$AJ$1203,0)),"")</f>
        <v/>
      </c>
      <c r="AI142" s="90" t="n">
        <f aca="false">IF(AG142="",0,IF(MATCH(AG142,$AG$4:$AG$1203,0)=ROW()-3,1,0))</f>
        <v>0</v>
      </c>
      <c r="AJ142" s="90" t="n">
        <f aca="false">N(AJ141)+AI142</f>
        <v>0</v>
      </c>
      <c r="AK142" s="1" t="n">
        <f aca="false">N(AK141)+$AJ142</f>
        <v>0</v>
      </c>
    </row>
    <row r="143" customFormat="false" ht="13.5" hidden="false" customHeight="false" outlineLevel="0" collapsed="false">
      <c r="A143" s="1" t="str">
        <f aca="false">IF(对接源_01水果!$C143="","",对接源_01水果!$C143)</f>
        <v>马锦祥</v>
      </c>
      <c r="B143" s="1" t="n">
        <f aca="false">IF(A143="",0,IF(MATCH(A143,$A$4:$A$2403,0)=ROW()-3,1,0))</f>
        <v>0</v>
      </c>
      <c r="C143" s="1" t="n">
        <f aca="false">N(C142)+B143</f>
        <v>4</v>
      </c>
      <c r="E143" s="1" t="str">
        <f aca="false">IFERROR(INDEX($A$4:$A$2403,MATCH(ROW()-3,$C$4:$C$2403,0)),"")</f>
        <v/>
      </c>
      <c r="K143" s="1" t="n">
        <f aca="false">IF(OR($K$1="",对接源_01水果!$C143="",对接源_01水果!$C143&lt;&gt;$K$1,对接源_01水果!$B143=""),0,IF(OR(N(对接源_01水果!$B143)&lt;$K$2,N(对接源_01水果!$B143)&gt;$K$3),0,1))</f>
        <v>0</v>
      </c>
      <c r="L143" s="1" t="n">
        <f aca="false">IF(OR($L$1="",对接源_01水果!$C143="",对接源_01水果!$C143&lt;&gt;$L$1,对接源_01水果!$B143=""),0,IF(OR(N(对接源_01水果!$B143)&lt;$L$2,N(对接源_01水果!$B143)&gt;$L$3),0,1))</f>
        <v>0</v>
      </c>
      <c r="M143" s="1" t="n">
        <f aca="false">IF(OR($M$1="",对接源_01水果!$C143="",对接源_01水果!$C143&lt;&gt;$M$1,对接源_01水果!$B143=""),0,IF(OR(N(对接源_01水果!$B143)&lt;$M$2,N(对接源_01水果!$B143)&gt;$M$3),0,1))</f>
        <v>0</v>
      </c>
      <c r="N143" s="1" t="n">
        <f aca="false">IF(OR($N$1="",对接源_01水果!$C143="",对接源_01水果!$C143&lt;&gt;$N$1,对接源_01水果!$B143=""),0,IF(OR(N(对接源_01水果!$B143)&lt;$N$2,N(对接源_01水果!$B143)&gt;$N$3),0,1))</f>
        <v>0</v>
      </c>
      <c r="P143" s="1" t="n">
        <f aca="false">IF(AND($K143=1,AND(对接源_01水果!$X143="公司筐",N(对接源_01水果!$T143)&lt;&gt;0)),1,0)</f>
        <v>0</v>
      </c>
      <c r="Q143" s="1" t="n">
        <f aca="false">N(Q142)+$P143</f>
        <v>0</v>
      </c>
      <c r="R143" s="1" t="n">
        <f aca="false">IF(AND($K143=1,AND(对接源_01水果!$X143="公司筐",N(对接源_01水果!$U143)&lt;&gt;0)),1,0)</f>
        <v>0</v>
      </c>
      <c r="S143" s="1" t="n">
        <f aca="false">N(S142)+$R143</f>
        <v>0</v>
      </c>
      <c r="T143" s="1" t="n">
        <f aca="false">IF(AND($K143=1,AND(对接源_01水果!$X143="公司筐",N(对接源_01水果!$V143)&lt;&gt;0)),1,0)</f>
        <v>0</v>
      </c>
      <c r="U143" s="1" t="n">
        <f aca="false">N(U142)+$T143</f>
        <v>18</v>
      </c>
      <c r="V143" s="1" t="n">
        <f aca="false">IF(AND($L143=1,AND(对接源_01水果!$X143="自备筐",N(对接源_01水果!$V143)&lt;&gt;0)),1,0)</f>
        <v>0</v>
      </c>
      <c r="W143" s="1" t="n">
        <f aca="false">N(W142)+$V143</f>
        <v>0</v>
      </c>
      <c r="X143" s="1" t="n">
        <f aca="false">IF(AND($L143=1,AND(对接源_01水果!$X143="自备筐",N(对接源_01水果!$T143)&lt;&gt;0)),1,0)</f>
        <v>0</v>
      </c>
      <c r="Y143" s="1" t="n">
        <f aca="false">N(Y142)+$X143</f>
        <v>0</v>
      </c>
      <c r="Z143" s="1" t="n">
        <f aca="false">IF(AND($M143=1,对接源_01水果!$D143="原料入库"),1,0)</f>
        <v>0</v>
      </c>
      <c r="AA143" s="1" t="n">
        <f aca="false">N(AA142)+$Z143</f>
        <v>20</v>
      </c>
      <c r="AB143" s="1" t="n">
        <f aca="false">IF(AND($M143=1,LEFT(对接源_01水果!$D143,4)="原料出库"),1,0)</f>
        <v>0</v>
      </c>
      <c r="AC143" s="1" t="n">
        <f aca="false">N(AC142)+$AB143</f>
        <v>0</v>
      </c>
      <c r="AD143" s="1" t="n">
        <f aca="false">IF(AND($M143=1,LEFT(对接源_01水果!$D143,4)="成品出库"),1,0)</f>
        <v>0</v>
      </c>
      <c r="AE143" s="1" t="n">
        <f aca="false">N(AE142)+$AD143</f>
        <v>0</v>
      </c>
      <c r="AF143" s="1" t="n">
        <f aca="false">IF(AND($N143=1,AND(LEFT(对接源_01水果!$D143,4)="包装物料",N(对接源_01水果!$K143)&lt;&gt;0)),1,0)</f>
        <v>0</v>
      </c>
      <c r="AG143" s="90" t="str">
        <f aca="false">IF(对接源_01水果!$AC143="","",对接源_01水果!$AC143)</f>
        <v/>
      </c>
      <c r="AH143" s="90" t="str">
        <f aca="false">IFERROR(INDEX($AG$4:$AG$1203,MATCH(ROW()-3,$AJ$4:$AJ$1203,0)),"")</f>
        <v/>
      </c>
      <c r="AI143" s="90" t="n">
        <f aca="false">IF(AG143="",0,IF(MATCH(AG143,$AG$4:$AG$1203,0)=ROW()-3,1,0))</f>
        <v>0</v>
      </c>
      <c r="AJ143" s="90" t="n">
        <f aca="false">N(AJ142)+AI143</f>
        <v>0</v>
      </c>
      <c r="AK143" s="1" t="n">
        <f aca="false">N(AK142)+$AJ143</f>
        <v>0</v>
      </c>
    </row>
    <row r="144" customFormat="false" ht="13.5" hidden="false" customHeight="false" outlineLevel="0" collapsed="false">
      <c r="A144" s="1" t="str">
        <f aca="false">IF(对接源_01水果!$C144="","",对接源_01水果!$C144)</f>
        <v>马锦祥</v>
      </c>
      <c r="B144" s="1" t="n">
        <f aca="false">IF(A144="",0,IF(MATCH(A144,$A$4:$A$2403,0)=ROW()-3,1,0))</f>
        <v>0</v>
      </c>
      <c r="C144" s="1" t="n">
        <f aca="false">N(C143)+B144</f>
        <v>4</v>
      </c>
      <c r="E144" s="1" t="str">
        <f aca="false">IFERROR(INDEX($A$4:$A$2403,MATCH(ROW()-3,$C$4:$C$2403,0)),"")</f>
        <v/>
      </c>
      <c r="K144" s="1" t="n">
        <f aca="false">IF(OR($K$1="",对接源_01水果!$C144="",对接源_01水果!$C144&lt;&gt;$K$1,对接源_01水果!$B144=""),0,IF(OR(N(对接源_01水果!$B144)&lt;$K$2,N(对接源_01水果!$B144)&gt;$K$3),0,1))</f>
        <v>0</v>
      </c>
      <c r="L144" s="1" t="n">
        <f aca="false">IF(OR($L$1="",对接源_01水果!$C144="",对接源_01水果!$C144&lt;&gt;$L$1,对接源_01水果!$B144=""),0,IF(OR(N(对接源_01水果!$B144)&lt;$L$2,N(对接源_01水果!$B144)&gt;$L$3),0,1))</f>
        <v>0</v>
      </c>
      <c r="M144" s="1" t="n">
        <f aca="false">IF(OR($M$1="",对接源_01水果!$C144="",对接源_01水果!$C144&lt;&gt;$M$1,对接源_01水果!$B144=""),0,IF(OR(N(对接源_01水果!$B144)&lt;$M$2,N(对接源_01水果!$B144)&gt;$M$3),0,1))</f>
        <v>0</v>
      </c>
      <c r="N144" s="1" t="n">
        <f aca="false">IF(OR($N$1="",对接源_01水果!$C144="",对接源_01水果!$C144&lt;&gt;$N$1,对接源_01水果!$B144=""),0,IF(OR(N(对接源_01水果!$B144)&lt;$N$2,N(对接源_01水果!$B144)&gt;$N$3),0,1))</f>
        <v>0</v>
      </c>
      <c r="P144" s="1" t="n">
        <f aca="false">IF(AND($K144=1,AND(对接源_01水果!$X144="公司筐",N(对接源_01水果!$T144)&lt;&gt;0)),1,0)</f>
        <v>0</v>
      </c>
      <c r="Q144" s="1" t="n">
        <f aca="false">N(Q143)+$P144</f>
        <v>0</v>
      </c>
      <c r="R144" s="1" t="n">
        <f aca="false">IF(AND($K144=1,AND(对接源_01水果!$X144="公司筐",N(对接源_01水果!$U144)&lt;&gt;0)),1,0)</f>
        <v>0</v>
      </c>
      <c r="S144" s="1" t="n">
        <f aca="false">N(S143)+$R144</f>
        <v>0</v>
      </c>
      <c r="T144" s="1" t="n">
        <f aca="false">IF(AND($K144=1,AND(对接源_01水果!$X144="公司筐",N(对接源_01水果!$V144)&lt;&gt;0)),1,0)</f>
        <v>0</v>
      </c>
      <c r="U144" s="1" t="n">
        <f aca="false">N(U143)+$T144</f>
        <v>18</v>
      </c>
      <c r="V144" s="1" t="n">
        <f aca="false">IF(AND($L144=1,AND(对接源_01水果!$X144="自备筐",N(对接源_01水果!$V144)&lt;&gt;0)),1,0)</f>
        <v>0</v>
      </c>
      <c r="W144" s="1" t="n">
        <f aca="false">N(W143)+$V144</f>
        <v>0</v>
      </c>
      <c r="X144" s="1" t="n">
        <f aca="false">IF(AND($L144=1,AND(对接源_01水果!$X144="自备筐",N(对接源_01水果!$T144)&lt;&gt;0)),1,0)</f>
        <v>0</v>
      </c>
      <c r="Y144" s="1" t="n">
        <f aca="false">N(Y143)+$X144</f>
        <v>0</v>
      </c>
      <c r="Z144" s="1" t="n">
        <f aca="false">IF(AND($M144=1,对接源_01水果!$D144="原料入库"),1,0)</f>
        <v>0</v>
      </c>
      <c r="AA144" s="1" t="n">
        <f aca="false">N(AA143)+$Z144</f>
        <v>20</v>
      </c>
      <c r="AB144" s="1" t="n">
        <f aca="false">IF(AND($M144=1,LEFT(对接源_01水果!$D144,4)="原料出库"),1,0)</f>
        <v>0</v>
      </c>
      <c r="AC144" s="1" t="n">
        <f aca="false">N(AC143)+$AB144</f>
        <v>0</v>
      </c>
      <c r="AD144" s="1" t="n">
        <f aca="false">IF(AND($M144=1,LEFT(对接源_01水果!$D144,4)="成品出库"),1,0)</f>
        <v>0</v>
      </c>
      <c r="AE144" s="1" t="n">
        <f aca="false">N(AE143)+$AD144</f>
        <v>0</v>
      </c>
      <c r="AF144" s="1" t="n">
        <f aca="false">IF(AND($N144=1,AND(LEFT(对接源_01水果!$D144,4)="包装物料",N(对接源_01水果!$K144)&lt;&gt;0)),1,0)</f>
        <v>0</v>
      </c>
      <c r="AG144" s="90" t="str">
        <f aca="false">IF(对接源_01水果!$AC144="","",对接源_01水果!$AC144)</f>
        <v/>
      </c>
      <c r="AH144" s="90" t="str">
        <f aca="false">IFERROR(INDEX($AG$4:$AG$1203,MATCH(ROW()-3,$AJ$4:$AJ$1203,0)),"")</f>
        <v/>
      </c>
      <c r="AI144" s="90" t="n">
        <f aca="false">IF(AG144="",0,IF(MATCH(AG144,$AG$4:$AG$1203,0)=ROW()-3,1,0))</f>
        <v>0</v>
      </c>
      <c r="AJ144" s="90" t="n">
        <f aca="false">N(AJ143)+AI144</f>
        <v>0</v>
      </c>
      <c r="AK144" s="1" t="n">
        <f aca="false">N(AK143)+$AJ144</f>
        <v>0</v>
      </c>
    </row>
    <row r="145" customFormat="false" ht="13.5" hidden="false" customHeight="false" outlineLevel="0" collapsed="false">
      <c r="A145" s="1" t="str">
        <f aca="false">IF(对接源_01水果!$C145="","",对接源_01水果!$C145)</f>
        <v>麦麦提</v>
      </c>
      <c r="B145" s="1" t="n">
        <f aca="false">IF(A145="",0,IF(MATCH(A145,$A$4:$A$2403,0)=ROW()-3,1,0))</f>
        <v>1</v>
      </c>
      <c r="C145" s="1" t="n">
        <f aca="false">N(C144)+B145</f>
        <v>5</v>
      </c>
      <c r="E145" s="1" t="str">
        <f aca="false">IFERROR(INDEX($A$4:$A$2403,MATCH(ROW()-3,$C$4:$C$2403,0)),"")</f>
        <v/>
      </c>
      <c r="K145" s="1" t="n">
        <f aca="false">IF(OR($K$1="",对接源_01水果!$C145="",对接源_01水果!$C145&lt;&gt;$K$1,对接源_01水果!$B145=""),0,IF(OR(N(对接源_01水果!$B145)&lt;$K$2,N(对接源_01水果!$B145)&gt;$K$3),0,1))</f>
        <v>0</v>
      </c>
      <c r="L145" s="1" t="n">
        <f aca="false">IF(OR($L$1="",对接源_01水果!$C145="",对接源_01水果!$C145&lt;&gt;$L$1,对接源_01水果!$B145=""),0,IF(OR(N(对接源_01水果!$B145)&lt;$L$2,N(对接源_01水果!$B145)&gt;$L$3),0,1))</f>
        <v>0</v>
      </c>
      <c r="M145" s="1" t="n">
        <f aca="false">IF(OR($M$1="",对接源_01水果!$C145="",对接源_01水果!$C145&lt;&gt;$M$1,对接源_01水果!$B145=""),0,IF(OR(N(对接源_01水果!$B145)&lt;$M$2,N(对接源_01水果!$B145)&gt;$M$3),0,1))</f>
        <v>0</v>
      </c>
      <c r="N145" s="1" t="n">
        <f aca="false">IF(OR($N$1="",对接源_01水果!$C145="",对接源_01水果!$C145&lt;&gt;$N$1,对接源_01水果!$B145=""),0,IF(OR(N(对接源_01水果!$B145)&lt;$N$2,N(对接源_01水果!$B145)&gt;$N$3),0,1))</f>
        <v>1</v>
      </c>
      <c r="P145" s="1" t="n">
        <f aca="false">IF(AND($K145=1,AND(对接源_01水果!$X145="公司筐",N(对接源_01水果!$T145)&lt;&gt;0)),1,0)</f>
        <v>0</v>
      </c>
      <c r="Q145" s="1" t="n">
        <f aca="false">N(Q144)+$P145</f>
        <v>0</v>
      </c>
      <c r="R145" s="1" t="n">
        <f aca="false">IF(AND($K145=1,AND(对接源_01水果!$X145="公司筐",N(对接源_01水果!$U145)&lt;&gt;0)),1,0)</f>
        <v>0</v>
      </c>
      <c r="S145" s="1" t="n">
        <f aca="false">N(S144)+$R145</f>
        <v>0</v>
      </c>
      <c r="T145" s="1" t="n">
        <f aca="false">IF(AND($K145=1,AND(对接源_01水果!$X145="公司筐",N(对接源_01水果!$V145)&lt;&gt;0)),1,0)</f>
        <v>0</v>
      </c>
      <c r="U145" s="1" t="n">
        <f aca="false">N(U144)+$T145</f>
        <v>18</v>
      </c>
      <c r="V145" s="1" t="n">
        <f aca="false">IF(AND($L145=1,AND(对接源_01水果!$X145="自备筐",N(对接源_01水果!$V145)&lt;&gt;0)),1,0)</f>
        <v>0</v>
      </c>
      <c r="W145" s="1" t="n">
        <f aca="false">N(W144)+$V145</f>
        <v>0</v>
      </c>
      <c r="X145" s="1" t="n">
        <f aca="false">IF(AND($L145=1,AND(对接源_01水果!$X145="自备筐",N(对接源_01水果!$T145)&lt;&gt;0)),1,0)</f>
        <v>0</v>
      </c>
      <c r="Y145" s="1" t="n">
        <f aca="false">N(Y144)+$X145</f>
        <v>0</v>
      </c>
      <c r="Z145" s="1" t="n">
        <f aca="false">IF(AND($M145=1,对接源_01水果!$D145="原料入库"),1,0)</f>
        <v>0</v>
      </c>
      <c r="AA145" s="1" t="n">
        <f aca="false">N(AA144)+$Z145</f>
        <v>20</v>
      </c>
      <c r="AB145" s="1" t="n">
        <f aca="false">IF(AND($M145=1,LEFT(对接源_01水果!$D145,4)="原料出库"),1,0)</f>
        <v>0</v>
      </c>
      <c r="AC145" s="1" t="n">
        <f aca="false">N(AC144)+$AB145</f>
        <v>0</v>
      </c>
      <c r="AD145" s="1" t="n">
        <f aca="false">IF(AND($M145=1,LEFT(对接源_01水果!$D145,4)="成品出库"),1,0)</f>
        <v>0</v>
      </c>
      <c r="AE145" s="1" t="n">
        <f aca="false">N(AE144)+$AD145</f>
        <v>0</v>
      </c>
      <c r="AF145" s="1" t="n">
        <f aca="false">IF(AND($N145=1,AND(LEFT(对接源_01水果!$D145,4)="包装物料",N(对接源_01水果!$K145)&lt;&gt;0)),1,0)</f>
        <v>0</v>
      </c>
      <c r="AG145" s="90" t="str">
        <f aca="false">IF(对接源_01水果!$AC145="","",对接源_01水果!$AC145)</f>
        <v/>
      </c>
      <c r="AH145" s="90" t="str">
        <f aca="false">IFERROR(INDEX($AG$4:$AG$1203,MATCH(ROW()-3,$AJ$4:$AJ$1203,0)),"")</f>
        <v/>
      </c>
      <c r="AI145" s="90" t="n">
        <f aca="false">IF(AG145="",0,IF(MATCH(AG145,$AG$4:$AG$1203,0)=ROW()-3,1,0))</f>
        <v>0</v>
      </c>
      <c r="AJ145" s="90" t="n">
        <f aca="false">N(AJ144)+AI145</f>
        <v>0</v>
      </c>
      <c r="AK145" s="1" t="n">
        <f aca="false">N(AK144)+$AJ145</f>
        <v>0</v>
      </c>
    </row>
    <row r="146" customFormat="false" ht="13.5" hidden="false" customHeight="false" outlineLevel="0" collapsed="false">
      <c r="A146" s="1" t="str">
        <f aca="false">IF(对接源_01水果!$C146="","",对接源_01水果!$C146)</f>
        <v>麦麦提</v>
      </c>
      <c r="B146" s="1" t="n">
        <f aca="false">IF(A146="",0,IF(MATCH(A146,$A$4:$A$2403,0)=ROW()-3,1,0))</f>
        <v>0</v>
      </c>
      <c r="C146" s="1" t="n">
        <f aca="false">N(C145)+B146</f>
        <v>5</v>
      </c>
      <c r="E146" s="1" t="str">
        <f aca="false">IFERROR(INDEX($A$4:$A$2403,MATCH(ROW()-3,$C$4:$C$2403,0)),"")</f>
        <v/>
      </c>
      <c r="K146" s="1" t="n">
        <f aca="false">IF(OR($K$1="",对接源_01水果!$C146="",对接源_01水果!$C146&lt;&gt;$K$1,对接源_01水果!$B146=""),0,IF(OR(N(对接源_01水果!$B146)&lt;$K$2,N(对接源_01水果!$B146)&gt;$K$3),0,1))</f>
        <v>0</v>
      </c>
      <c r="L146" s="1" t="n">
        <f aca="false">IF(OR($L$1="",对接源_01水果!$C146="",对接源_01水果!$C146&lt;&gt;$L$1,对接源_01水果!$B146=""),0,IF(OR(N(对接源_01水果!$B146)&lt;$L$2,N(对接源_01水果!$B146)&gt;$L$3),0,1))</f>
        <v>0</v>
      </c>
      <c r="M146" s="1" t="n">
        <f aca="false">IF(OR($M$1="",对接源_01水果!$C146="",对接源_01水果!$C146&lt;&gt;$M$1,对接源_01水果!$B146=""),0,IF(OR(N(对接源_01水果!$B146)&lt;$M$2,N(对接源_01水果!$B146)&gt;$M$3),0,1))</f>
        <v>0</v>
      </c>
      <c r="N146" s="1" t="n">
        <f aca="false">IF(OR($N$1="",对接源_01水果!$C146="",对接源_01水果!$C146&lt;&gt;$N$1,对接源_01水果!$B146=""),0,IF(OR(N(对接源_01水果!$B146)&lt;$N$2,N(对接源_01水果!$B146)&gt;$N$3),0,1))</f>
        <v>1</v>
      </c>
      <c r="P146" s="1" t="n">
        <f aca="false">IF(AND($K146=1,AND(对接源_01水果!$X146="公司筐",N(对接源_01水果!$T146)&lt;&gt;0)),1,0)</f>
        <v>0</v>
      </c>
      <c r="Q146" s="1" t="n">
        <f aca="false">N(Q145)+$P146</f>
        <v>0</v>
      </c>
      <c r="R146" s="1" t="n">
        <f aca="false">IF(AND($K146=1,AND(对接源_01水果!$X146="公司筐",N(对接源_01水果!$U146)&lt;&gt;0)),1,0)</f>
        <v>0</v>
      </c>
      <c r="S146" s="1" t="n">
        <f aca="false">N(S145)+$R146</f>
        <v>0</v>
      </c>
      <c r="T146" s="1" t="n">
        <f aca="false">IF(AND($K146=1,AND(对接源_01水果!$X146="公司筐",N(对接源_01水果!$V146)&lt;&gt;0)),1,0)</f>
        <v>0</v>
      </c>
      <c r="U146" s="1" t="n">
        <f aca="false">N(U145)+$T146</f>
        <v>18</v>
      </c>
      <c r="V146" s="1" t="n">
        <f aca="false">IF(AND($L146=1,AND(对接源_01水果!$X146="自备筐",N(对接源_01水果!$V146)&lt;&gt;0)),1,0)</f>
        <v>0</v>
      </c>
      <c r="W146" s="1" t="n">
        <f aca="false">N(W145)+$V146</f>
        <v>0</v>
      </c>
      <c r="X146" s="1" t="n">
        <f aca="false">IF(AND($L146=1,AND(对接源_01水果!$X146="自备筐",N(对接源_01水果!$T146)&lt;&gt;0)),1,0)</f>
        <v>0</v>
      </c>
      <c r="Y146" s="1" t="n">
        <f aca="false">N(Y145)+$X146</f>
        <v>0</v>
      </c>
      <c r="Z146" s="1" t="n">
        <f aca="false">IF(AND($M146=1,对接源_01水果!$D146="原料入库"),1,0)</f>
        <v>0</v>
      </c>
      <c r="AA146" s="1" t="n">
        <f aca="false">N(AA145)+$Z146</f>
        <v>20</v>
      </c>
      <c r="AB146" s="1" t="n">
        <f aca="false">IF(AND($M146=1,LEFT(对接源_01水果!$D146,4)="原料出库"),1,0)</f>
        <v>0</v>
      </c>
      <c r="AC146" s="1" t="n">
        <f aca="false">N(AC145)+$AB146</f>
        <v>0</v>
      </c>
      <c r="AD146" s="1" t="n">
        <f aca="false">IF(AND($M146=1,LEFT(对接源_01水果!$D146,4)="成品出库"),1,0)</f>
        <v>0</v>
      </c>
      <c r="AE146" s="1" t="n">
        <f aca="false">N(AE145)+$AD146</f>
        <v>0</v>
      </c>
      <c r="AF146" s="1" t="n">
        <f aca="false">IF(AND($N146=1,AND(LEFT(对接源_01水果!$D146,4)="包装物料",N(对接源_01水果!$K146)&lt;&gt;0)),1,0)</f>
        <v>0</v>
      </c>
      <c r="AG146" s="90" t="str">
        <f aca="false">IF(对接源_01水果!$AC146="","",对接源_01水果!$AC146)</f>
        <v/>
      </c>
      <c r="AH146" s="90" t="str">
        <f aca="false">IFERROR(INDEX($AG$4:$AG$1203,MATCH(ROW()-3,$AJ$4:$AJ$1203,0)),"")</f>
        <v/>
      </c>
      <c r="AI146" s="90" t="n">
        <f aca="false">IF(AG146="",0,IF(MATCH(AG146,$AG$4:$AG$1203,0)=ROW()-3,1,0))</f>
        <v>0</v>
      </c>
      <c r="AJ146" s="90" t="n">
        <f aca="false">N(AJ145)+AI146</f>
        <v>0</v>
      </c>
      <c r="AK146" s="1" t="n">
        <f aca="false">N(AK145)+$AJ146</f>
        <v>0</v>
      </c>
    </row>
    <row r="147" customFormat="false" ht="13.5" hidden="false" customHeight="false" outlineLevel="0" collapsed="false">
      <c r="A147" s="1" t="str">
        <f aca="false">IF(对接源_01水果!$C147="","",对接源_01水果!$C147)</f>
        <v>麦麦提</v>
      </c>
      <c r="B147" s="1" t="n">
        <f aca="false">IF(A147="",0,IF(MATCH(A147,$A$4:$A$2403,0)=ROW()-3,1,0))</f>
        <v>0</v>
      </c>
      <c r="C147" s="1" t="n">
        <f aca="false">N(C146)+B147</f>
        <v>5</v>
      </c>
      <c r="E147" s="1" t="str">
        <f aca="false">IFERROR(INDEX($A$4:$A$2403,MATCH(ROW()-3,$C$4:$C$2403,0)),"")</f>
        <v/>
      </c>
      <c r="K147" s="1" t="n">
        <f aca="false">IF(OR($K$1="",对接源_01水果!$C147="",对接源_01水果!$C147&lt;&gt;$K$1,对接源_01水果!$B147=""),0,IF(OR(N(对接源_01水果!$B147)&lt;$K$2,N(对接源_01水果!$B147)&gt;$K$3),0,1))</f>
        <v>0</v>
      </c>
      <c r="L147" s="1" t="n">
        <f aca="false">IF(OR($L$1="",对接源_01水果!$C147="",对接源_01水果!$C147&lt;&gt;$L$1,对接源_01水果!$B147=""),0,IF(OR(N(对接源_01水果!$B147)&lt;$L$2,N(对接源_01水果!$B147)&gt;$L$3),0,1))</f>
        <v>0</v>
      </c>
      <c r="M147" s="1" t="n">
        <f aca="false">IF(OR($M$1="",对接源_01水果!$C147="",对接源_01水果!$C147&lt;&gt;$M$1,对接源_01水果!$B147=""),0,IF(OR(N(对接源_01水果!$B147)&lt;$M$2,N(对接源_01水果!$B147)&gt;$M$3),0,1))</f>
        <v>0</v>
      </c>
      <c r="N147" s="1" t="n">
        <f aca="false">IF(OR($N$1="",对接源_01水果!$C147="",对接源_01水果!$C147&lt;&gt;$N$1,对接源_01水果!$B147=""),0,IF(OR(N(对接源_01水果!$B147)&lt;$N$2,N(对接源_01水果!$B147)&gt;$N$3),0,1))</f>
        <v>1</v>
      </c>
      <c r="P147" s="1" t="n">
        <f aca="false">IF(AND($K147=1,AND(对接源_01水果!$X147="公司筐",N(对接源_01水果!$T147)&lt;&gt;0)),1,0)</f>
        <v>0</v>
      </c>
      <c r="Q147" s="1" t="n">
        <f aca="false">N(Q146)+$P147</f>
        <v>0</v>
      </c>
      <c r="R147" s="1" t="n">
        <f aca="false">IF(AND($K147=1,AND(对接源_01水果!$X147="公司筐",N(对接源_01水果!$U147)&lt;&gt;0)),1,0)</f>
        <v>0</v>
      </c>
      <c r="S147" s="1" t="n">
        <f aca="false">N(S146)+$R147</f>
        <v>0</v>
      </c>
      <c r="T147" s="1" t="n">
        <f aca="false">IF(AND($K147=1,AND(对接源_01水果!$X147="公司筐",N(对接源_01水果!$V147)&lt;&gt;0)),1,0)</f>
        <v>0</v>
      </c>
      <c r="U147" s="1" t="n">
        <f aca="false">N(U146)+$T147</f>
        <v>18</v>
      </c>
      <c r="V147" s="1" t="n">
        <f aca="false">IF(AND($L147=1,AND(对接源_01水果!$X147="自备筐",N(对接源_01水果!$V147)&lt;&gt;0)),1,0)</f>
        <v>0</v>
      </c>
      <c r="W147" s="1" t="n">
        <f aca="false">N(W146)+$V147</f>
        <v>0</v>
      </c>
      <c r="X147" s="1" t="n">
        <f aca="false">IF(AND($L147=1,AND(对接源_01水果!$X147="自备筐",N(对接源_01水果!$T147)&lt;&gt;0)),1,0)</f>
        <v>0</v>
      </c>
      <c r="Y147" s="1" t="n">
        <f aca="false">N(Y146)+$X147</f>
        <v>0</v>
      </c>
      <c r="Z147" s="1" t="n">
        <f aca="false">IF(AND($M147=1,对接源_01水果!$D147="原料入库"),1,0)</f>
        <v>0</v>
      </c>
      <c r="AA147" s="1" t="n">
        <f aca="false">N(AA146)+$Z147</f>
        <v>20</v>
      </c>
      <c r="AB147" s="1" t="n">
        <f aca="false">IF(AND($M147=1,LEFT(对接源_01水果!$D147,4)="原料出库"),1,0)</f>
        <v>0</v>
      </c>
      <c r="AC147" s="1" t="n">
        <f aca="false">N(AC146)+$AB147</f>
        <v>0</v>
      </c>
      <c r="AD147" s="1" t="n">
        <f aca="false">IF(AND($M147=1,LEFT(对接源_01水果!$D147,4)="成品出库"),1,0)</f>
        <v>0</v>
      </c>
      <c r="AE147" s="1" t="n">
        <f aca="false">N(AE146)+$AD147</f>
        <v>0</v>
      </c>
      <c r="AF147" s="1" t="n">
        <f aca="false">IF(AND($N147=1,AND(LEFT(对接源_01水果!$D147,4)="包装物料",N(对接源_01水果!$K147)&lt;&gt;0)),1,0)</f>
        <v>0</v>
      </c>
      <c r="AG147" s="90" t="str">
        <f aca="false">IF(对接源_01水果!$AC147="","",对接源_01水果!$AC147)</f>
        <v/>
      </c>
      <c r="AH147" s="90" t="str">
        <f aca="false">IFERROR(INDEX($AG$4:$AG$1203,MATCH(ROW()-3,$AJ$4:$AJ$1203,0)),"")</f>
        <v/>
      </c>
      <c r="AI147" s="90" t="n">
        <f aca="false">IF(AG147="",0,IF(MATCH(AG147,$AG$4:$AG$1203,0)=ROW()-3,1,0))</f>
        <v>0</v>
      </c>
      <c r="AJ147" s="90" t="n">
        <f aca="false">N(AJ146)+AI147</f>
        <v>0</v>
      </c>
      <c r="AK147" s="1" t="n">
        <f aca="false">N(AK146)+$AJ147</f>
        <v>0</v>
      </c>
    </row>
    <row r="148" customFormat="false" ht="13.5" hidden="false" customHeight="false" outlineLevel="0" collapsed="false">
      <c r="A148" s="1" t="str">
        <f aca="false">IF(对接源_01水果!$C148="","",对接源_01水果!$C148)</f>
        <v>吐尔洪</v>
      </c>
      <c r="B148" s="1" t="n">
        <f aca="false">IF(A148="",0,IF(MATCH(A148,$A$4:$A$2403,0)=ROW()-3,1,0))</f>
        <v>1</v>
      </c>
      <c r="C148" s="1" t="n">
        <f aca="false">N(C147)+B148</f>
        <v>6</v>
      </c>
      <c r="E148" s="1" t="str">
        <f aca="false">IFERROR(INDEX($A$4:$A$2403,MATCH(ROW()-3,$C$4:$C$2403,0)),"")</f>
        <v/>
      </c>
      <c r="K148" s="1" t="n">
        <f aca="false">IF(OR($K$1="",对接源_01水果!$C148="",对接源_01水果!$C148&lt;&gt;$K$1,对接源_01水果!$B148=""),0,IF(OR(N(对接源_01水果!$B148)&lt;$K$2,N(对接源_01水果!$B148)&gt;$K$3),0,1))</f>
        <v>0</v>
      </c>
      <c r="L148" s="1" t="n">
        <f aca="false">IF(OR($L$1="",对接源_01水果!$C148="",对接源_01水果!$C148&lt;&gt;$L$1,对接源_01水果!$B148=""),0,IF(OR(N(对接源_01水果!$B148)&lt;$L$2,N(对接源_01水果!$B148)&gt;$L$3),0,1))</f>
        <v>0</v>
      </c>
      <c r="M148" s="1" t="n">
        <f aca="false">IF(OR($M$1="",对接源_01水果!$C148="",对接源_01水果!$C148&lt;&gt;$M$1,对接源_01水果!$B148=""),0,IF(OR(N(对接源_01水果!$B148)&lt;$M$2,N(对接源_01水果!$B148)&gt;$M$3),0,1))</f>
        <v>0</v>
      </c>
      <c r="N148" s="1" t="n">
        <f aca="false">IF(OR($N$1="",对接源_01水果!$C148="",对接源_01水果!$C148&lt;&gt;$N$1,对接源_01水果!$B148=""),0,IF(OR(N(对接源_01水果!$B148)&lt;$N$2,N(对接源_01水果!$B148)&gt;$N$3),0,1))</f>
        <v>0</v>
      </c>
      <c r="P148" s="1" t="n">
        <f aca="false">IF(AND($K148=1,AND(对接源_01水果!$X148="公司筐",N(对接源_01水果!$T148)&lt;&gt;0)),1,0)</f>
        <v>0</v>
      </c>
      <c r="Q148" s="1" t="n">
        <f aca="false">N(Q147)+$P148</f>
        <v>0</v>
      </c>
      <c r="R148" s="1" t="n">
        <f aca="false">IF(AND($K148=1,AND(对接源_01水果!$X148="公司筐",N(对接源_01水果!$U148)&lt;&gt;0)),1,0)</f>
        <v>0</v>
      </c>
      <c r="S148" s="1" t="n">
        <f aca="false">N(S147)+$R148</f>
        <v>0</v>
      </c>
      <c r="T148" s="1" t="n">
        <f aca="false">IF(AND($K148=1,AND(对接源_01水果!$X148="公司筐",N(对接源_01水果!$V148)&lt;&gt;0)),1,0)</f>
        <v>0</v>
      </c>
      <c r="U148" s="1" t="n">
        <f aca="false">N(U147)+$T148</f>
        <v>18</v>
      </c>
      <c r="V148" s="1" t="n">
        <f aca="false">IF(AND($L148=1,AND(对接源_01水果!$X148="自备筐",N(对接源_01水果!$V148)&lt;&gt;0)),1,0)</f>
        <v>0</v>
      </c>
      <c r="W148" s="1" t="n">
        <f aca="false">N(W147)+$V148</f>
        <v>0</v>
      </c>
      <c r="X148" s="1" t="n">
        <f aca="false">IF(AND($L148=1,AND(对接源_01水果!$X148="自备筐",N(对接源_01水果!$T148)&lt;&gt;0)),1,0)</f>
        <v>0</v>
      </c>
      <c r="Y148" s="1" t="n">
        <f aca="false">N(Y147)+$X148</f>
        <v>0</v>
      </c>
      <c r="Z148" s="1" t="n">
        <f aca="false">IF(AND($M148=1,对接源_01水果!$D148="原料入库"),1,0)</f>
        <v>0</v>
      </c>
      <c r="AA148" s="1" t="n">
        <f aca="false">N(AA147)+$Z148</f>
        <v>20</v>
      </c>
      <c r="AB148" s="1" t="n">
        <f aca="false">IF(AND($M148=1,LEFT(对接源_01水果!$D148,4)="原料出库"),1,0)</f>
        <v>0</v>
      </c>
      <c r="AC148" s="1" t="n">
        <f aca="false">N(AC147)+$AB148</f>
        <v>0</v>
      </c>
      <c r="AD148" s="1" t="n">
        <f aca="false">IF(AND($M148=1,LEFT(对接源_01水果!$D148,4)="成品出库"),1,0)</f>
        <v>0</v>
      </c>
      <c r="AE148" s="1" t="n">
        <f aca="false">N(AE147)+$AD148</f>
        <v>0</v>
      </c>
      <c r="AF148" s="1" t="n">
        <f aca="false">IF(AND($N148=1,AND(LEFT(对接源_01水果!$D148,4)="包装物料",N(对接源_01水果!$K148)&lt;&gt;0)),1,0)</f>
        <v>0</v>
      </c>
      <c r="AG148" s="90" t="str">
        <f aca="false">IF(对接源_01水果!$AC148="","",对接源_01水果!$AC148)</f>
        <v/>
      </c>
      <c r="AH148" s="90" t="str">
        <f aca="false">IFERROR(INDEX($AG$4:$AG$1203,MATCH(ROW()-3,$AJ$4:$AJ$1203,0)),"")</f>
        <v/>
      </c>
      <c r="AI148" s="90" t="n">
        <f aca="false">IF(AG148="",0,IF(MATCH(AG148,$AG$4:$AG$1203,0)=ROW()-3,1,0))</f>
        <v>0</v>
      </c>
      <c r="AJ148" s="90" t="n">
        <f aca="false">N(AJ147)+AI148</f>
        <v>0</v>
      </c>
      <c r="AK148" s="1" t="n">
        <f aca="false">N(AK147)+$AJ148</f>
        <v>0</v>
      </c>
    </row>
    <row r="149" customFormat="false" ht="13.5" hidden="false" customHeight="false" outlineLevel="0" collapsed="false">
      <c r="A149" s="1" t="str">
        <f aca="false">IF(对接源_01水果!$C149="","",对接源_01水果!$C149)</f>
        <v>吐尔洪</v>
      </c>
      <c r="B149" s="1" t="n">
        <f aca="false">IF(A149="",0,IF(MATCH(A149,$A$4:$A$2403,0)=ROW()-3,1,0))</f>
        <v>0</v>
      </c>
      <c r="C149" s="1" t="n">
        <f aca="false">N(C148)+B149</f>
        <v>6</v>
      </c>
      <c r="E149" s="1" t="str">
        <f aca="false">IFERROR(INDEX($A$4:$A$2403,MATCH(ROW()-3,$C$4:$C$2403,0)),"")</f>
        <v/>
      </c>
      <c r="K149" s="1" t="n">
        <f aca="false">IF(OR($K$1="",对接源_01水果!$C149="",对接源_01水果!$C149&lt;&gt;$K$1,对接源_01水果!$B149=""),0,IF(OR(N(对接源_01水果!$B149)&lt;$K$2,N(对接源_01水果!$B149)&gt;$K$3),0,1))</f>
        <v>0</v>
      </c>
      <c r="L149" s="1" t="n">
        <f aca="false">IF(OR($L$1="",对接源_01水果!$C149="",对接源_01水果!$C149&lt;&gt;$L$1,对接源_01水果!$B149=""),0,IF(OR(N(对接源_01水果!$B149)&lt;$L$2,N(对接源_01水果!$B149)&gt;$L$3),0,1))</f>
        <v>0</v>
      </c>
      <c r="M149" s="1" t="n">
        <f aca="false">IF(OR($M$1="",对接源_01水果!$C149="",对接源_01水果!$C149&lt;&gt;$M$1,对接源_01水果!$B149=""),0,IF(OR(N(对接源_01水果!$B149)&lt;$M$2,N(对接源_01水果!$B149)&gt;$M$3),0,1))</f>
        <v>0</v>
      </c>
      <c r="N149" s="1" t="n">
        <f aca="false">IF(OR($N$1="",对接源_01水果!$C149="",对接源_01水果!$C149&lt;&gt;$N$1,对接源_01水果!$B149=""),0,IF(OR(N(对接源_01水果!$B149)&lt;$N$2,N(对接源_01水果!$B149)&gt;$N$3),0,1))</f>
        <v>0</v>
      </c>
      <c r="P149" s="1" t="n">
        <f aca="false">IF(AND($K149=1,AND(对接源_01水果!$X149="公司筐",N(对接源_01水果!$T149)&lt;&gt;0)),1,0)</f>
        <v>0</v>
      </c>
      <c r="Q149" s="1" t="n">
        <f aca="false">N(Q148)+$P149</f>
        <v>0</v>
      </c>
      <c r="R149" s="1" t="n">
        <f aca="false">IF(AND($K149=1,AND(对接源_01水果!$X149="公司筐",N(对接源_01水果!$U149)&lt;&gt;0)),1,0)</f>
        <v>0</v>
      </c>
      <c r="S149" s="1" t="n">
        <f aca="false">N(S148)+$R149</f>
        <v>0</v>
      </c>
      <c r="T149" s="1" t="n">
        <f aca="false">IF(AND($K149=1,AND(对接源_01水果!$X149="公司筐",N(对接源_01水果!$V149)&lt;&gt;0)),1,0)</f>
        <v>0</v>
      </c>
      <c r="U149" s="1" t="n">
        <f aca="false">N(U148)+$T149</f>
        <v>18</v>
      </c>
      <c r="V149" s="1" t="n">
        <f aca="false">IF(AND($L149=1,AND(对接源_01水果!$X149="自备筐",N(对接源_01水果!$V149)&lt;&gt;0)),1,0)</f>
        <v>0</v>
      </c>
      <c r="W149" s="1" t="n">
        <f aca="false">N(W148)+$V149</f>
        <v>0</v>
      </c>
      <c r="X149" s="1" t="n">
        <f aca="false">IF(AND($L149=1,AND(对接源_01水果!$X149="自备筐",N(对接源_01水果!$T149)&lt;&gt;0)),1,0)</f>
        <v>0</v>
      </c>
      <c r="Y149" s="1" t="n">
        <f aca="false">N(Y148)+$X149</f>
        <v>0</v>
      </c>
      <c r="Z149" s="1" t="n">
        <f aca="false">IF(AND($M149=1,对接源_01水果!$D149="原料入库"),1,0)</f>
        <v>0</v>
      </c>
      <c r="AA149" s="1" t="n">
        <f aca="false">N(AA148)+$Z149</f>
        <v>20</v>
      </c>
      <c r="AB149" s="1" t="n">
        <f aca="false">IF(AND($M149=1,LEFT(对接源_01水果!$D149,4)="原料出库"),1,0)</f>
        <v>0</v>
      </c>
      <c r="AC149" s="1" t="n">
        <f aca="false">N(AC148)+$AB149</f>
        <v>0</v>
      </c>
      <c r="AD149" s="1" t="n">
        <f aca="false">IF(AND($M149=1,LEFT(对接源_01水果!$D149,4)="成品出库"),1,0)</f>
        <v>0</v>
      </c>
      <c r="AE149" s="1" t="n">
        <f aca="false">N(AE148)+$AD149</f>
        <v>0</v>
      </c>
      <c r="AF149" s="1" t="n">
        <f aca="false">IF(AND($N149=1,AND(LEFT(对接源_01水果!$D149,4)="包装物料",N(对接源_01水果!$K149)&lt;&gt;0)),1,0)</f>
        <v>0</v>
      </c>
      <c r="AG149" s="90" t="str">
        <f aca="false">IF(对接源_01水果!$AC149="","",对接源_01水果!$AC149)</f>
        <v/>
      </c>
      <c r="AH149" s="90" t="str">
        <f aca="false">IFERROR(INDEX($AG$4:$AG$1203,MATCH(ROW()-3,$AJ$4:$AJ$1203,0)),"")</f>
        <v/>
      </c>
      <c r="AI149" s="90" t="n">
        <f aca="false">IF(AG149="",0,IF(MATCH(AG149,$AG$4:$AG$1203,0)=ROW()-3,1,0))</f>
        <v>0</v>
      </c>
      <c r="AJ149" s="90" t="n">
        <f aca="false">N(AJ148)+AI149</f>
        <v>0</v>
      </c>
      <c r="AK149" s="1" t="n">
        <f aca="false">N(AK148)+$AJ149</f>
        <v>0</v>
      </c>
    </row>
    <row r="150" customFormat="false" ht="13.5" hidden="false" customHeight="false" outlineLevel="0" collapsed="false">
      <c r="A150" s="1" t="str">
        <f aca="false">IF(对接源_01水果!$C150="","",对接源_01水果!$C150)</f>
        <v>吐尔洪</v>
      </c>
      <c r="B150" s="1" t="n">
        <f aca="false">IF(A150="",0,IF(MATCH(A150,$A$4:$A$2403,0)=ROW()-3,1,0))</f>
        <v>0</v>
      </c>
      <c r="C150" s="1" t="n">
        <f aca="false">N(C149)+B150</f>
        <v>6</v>
      </c>
      <c r="E150" s="1" t="str">
        <f aca="false">IFERROR(INDEX($A$4:$A$2403,MATCH(ROW()-3,$C$4:$C$2403,0)),"")</f>
        <v/>
      </c>
      <c r="K150" s="1" t="n">
        <f aca="false">IF(OR($K$1="",对接源_01水果!$C150="",对接源_01水果!$C150&lt;&gt;$K$1,对接源_01水果!$B150=""),0,IF(OR(N(对接源_01水果!$B150)&lt;$K$2,N(对接源_01水果!$B150)&gt;$K$3),0,1))</f>
        <v>0</v>
      </c>
      <c r="L150" s="1" t="n">
        <f aca="false">IF(OR($L$1="",对接源_01水果!$C150="",对接源_01水果!$C150&lt;&gt;$L$1,对接源_01水果!$B150=""),0,IF(OR(N(对接源_01水果!$B150)&lt;$L$2,N(对接源_01水果!$B150)&gt;$L$3),0,1))</f>
        <v>0</v>
      </c>
      <c r="M150" s="1" t="n">
        <f aca="false">IF(OR($M$1="",对接源_01水果!$C150="",对接源_01水果!$C150&lt;&gt;$M$1,对接源_01水果!$B150=""),0,IF(OR(N(对接源_01水果!$B150)&lt;$M$2,N(对接源_01水果!$B150)&gt;$M$3),0,1))</f>
        <v>0</v>
      </c>
      <c r="N150" s="1" t="n">
        <f aca="false">IF(OR($N$1="",对接源_01水果!$C150="",对接源_01水果!$C150&lt;&gt;$N$1,对接源_01水果!$B150=""),0,IF(OR(N(对接源_01水果!$B150)&lt;$N$2,N(对接源_01水果!$B150)&gt;$N$3),0,1))</f>
        <v>0</v>
      </c>
      <c r="P150" s="1" t="n">
        <f aca="false">IF(AND($K150=1,AND(对接源_01水果!$X150="公司筐",N(对接源_01水果!$T150)&lt;&gt;0)),1,0)</f>
        <v>0</v>
      </c>
      <c r="Q150" s="1" t="n">
        <f aca="false">N(Q149)+$P150</f>
        <v>0</v>
      </c>
      <c r="R150" s="1" t="n">
        <f aca="false">IF(AND($K150=1,AND(对接源_01水果!$X150="公司筐",N(对接源_01水果!$U150)&lt;&gt;0)),1,0)</f>
        <v>0</v>
      </c>
      <c r="S150" s="1" t="n">
        <f aca="false">N(S149)+$R150</f>
        <v>0</v>
      </c>
      <c r="T150" s="1" t="n">
        <f aca="false">IF(AND($K150=1,AND(对接源_01水果!$X150="公司筐",N(对接源_01水果!$V150)&lt;&gt;0)),1,0)</f>
        <v>0</v>
      </c>
      <c r="U150" s="1" t="n">
        <f aca="false">N(U149)+$T150</f>
        <v>18</v>
      </c>
      <c r="V150" s="1" t="n">
        <f aca="false">IF(AND($L150=1,AND(对接源_01水果!$X150="自备筐",N(对接源_01水果!$V150)&lt;&gt;0)),1,0)</f>
        <v>0</v>
      </c>
      <c r="W150" s="1" t="n">
        <f aca="false">N(W149)+$V150</f>
        <v>0</v>
      </c>
      <c r="X150" s="1" t="n">
        <f aca="false">IF(AND($L150=1,AND(对接源_01水果!$X150="自备筐",N(对接源_01水果!$T150)&lt;&gt;0)),1,0)</f>
        <v>0</v>
      </c>
      <c r="Y150" s="1" t="n">
        <f aca="false">N(Y149)+$X150</f>
        <v>0</v>
      </c>
      <c r="Z150" s="1" t="n">
        <f aca="false">IF(AND($M150=1,对接源_01水果!$D150="原料入库"),1,0)</f>
        <v>0</v>
      </c>
      <c r="AA150" s="1" t="n">
        <f aca="false">N(AA149)+$Z150</f>
        <v>20</v>
      </c>
      <c r="AB150" s="1" t="n">
        <f aca="false">IF(AND($M150=1,LEFT(对接源_01水果!$D150,4)="原料出库"),1,0)</f>
        <v>0</v>
      </c>
      <c r="AC150" s="1" t="n">
        <f aca="false">N(AC149)+$AB150</f>
        <v>0</v>
      </c>
      <c r="AD150" s="1" t="n">
        <f aca="false">IF(AND($M150=1,LEFT(对接源_01水果!$D150,4)="成品出库"),1,0)</f>
        <v>0</v>
      </c>
      <c r="AE150" s="1" t="n">
        <f aca="false">N(AE149)+$AD150</f>
        <v>0</v>
      </c>
      <c r="AF150" s="1" t="n">
        <f aca="false">IF(AND($N150=1,AND(LEFT(对接源_01水果!$D150,4)="包装物料",N(对接源_01水果!$K150)&lt;&gt;0)),1,0)</f>
        <v>0</v>
      </c>
      <c r="AG150" s="90" t="str">
        <f aca="false">IF(对接源_01水果!$AC150="","",对接源_01水果!$AC150)</f>
        <v/>
      </c>
      <c r="AH150" s="90" t="str">
        <f aca="false">IFERROR(INDEX($AG$4:$AG$1203,MATCH(ROW()-3,$AJ$4:$AJ$1203,0)),"")</f>
        <v/>
      </c>
      <c r="AI150" s="90" t="n">
        <f aca="false">IF(AG150="",0,IF(MATCH(AG150,$AG$4:$AG$1203,0)=ROW()-3,1,0))</f>
        <v>0</v>
      </c>
      <c r="AJ150" s="90" t="n">
        <f aca="false">N(AJ149)+AI150</f>
        <v>0</v>
      </c>
      <c r="AK150" s="1" t="n">
        <f aca="false">N(AK149)+$AJ150</f>
        <v>0</v>
      </c>
    </row>
    <row r="151" customFormat="false" ht="13.5" hidden="false" customHeight="false" outlineLevel="0" collapsed="false">
      <c r="A151" s="1" t="str">
        <f aca="false">IF(对接源_01水果!$C151="","",对接源_01水果!$C151)</f>
        <v>马锦祥</v>
      </c>
      <c r="B151" s="1" t="n">
        <f aca="false">IF(A151="",0,IF(MATCH(A151,$A$4:$A$2403,0)=ROW()-3,1,0))</f>
        <v>0</v>
      </c>
      <c r="C151" s="1" t="n">
        <f aca="false">N(C150)+B151</f>
        <v>6</v>
      </c>
      <c r="E151" s="1" t="str">
        <f aca="false">IFERROR(INDEX($A$4:$A$2403,MATCH(ROW()-3,$C$4:$C$2403,0)),"")</f>
        <v/>
      </c>
      <c r="K151" s="1" t="n">
        <f aca="false">IF(OR($K$1="",对接源_01水果!$C151="",对接源_01水果!$C151&lt;&gt;$K$1,对接源_01水果!$B151=""),0,IF(OR(N(对接源_01水果!$B151)&lt;$K$2,N(对接源_01水果!$B151)&gt;$K$3),0,1))</f>
        <v>0</v>
      </c>
      <c r="L151" s="1" t="n">
        <f aca="false">IF(OR($L$1="",对接源_01水果!$C151="",对接源_01水果!$C151&lt;&gt;$L$1,对接源_01水果!$B151=""),0,IF(OR(N(对接源_01水果!$B151)&lt;$L$2,N(对接源_01水果!$B151)&gt;$L$3),0,1))</f>
        <v>0</v>
      </c>
      <c r="M151" s="1" t="n">
        <f aca="false">IF(OR($M$1="",对接源_01水果!$C151="",对接源_01水果!$C151&lt;&gt;$M$1,对接源_01水果!$B151=""),0,IF(OR(N(对接源_01水果!$B151)&lt;$M$2,N(对接源_01水果!$B151)&gt;$M$3),0,1))</f>
        <v>0</v>
      </c>
      <c r="N151" s="1" t="n">
        <f aca="false">IF(OR($N$1="",对接源_01水果!$C151="",对接源_01水果!$C151&lt;&gt;$N$1,对接源_01水果!$B151=""),0,IF(OR(N(对接源_01水果!$B151)&lt;$N$2,N(对接源_01水果!$B151)&gt;$N$3),0,1))</f>
        <v>0</v>
      </c>
      <c r="P151" s="1" t="n">
        <f aca="false">IF(AND($K151=1,AND(对接源_01水果!$X151="公司筐",N(对接源_01水果!$T151)&lt;&gt;0)),1,0)</f>
        <v>0</v>
      </c>
      <c r="Q151" s="1" t="n">
        <f aca="false">N(Q150)+$P151</f>
        <v>0</v>
      </c>
      <c r="R151" s="1" t="n">
        <f aca="false">IF(AND($K151=1,AND(对接源_01水果!$X151="公司筐",N(对接源_01水果!$U151)&lt;&gt;0)),1,0)</f>
        <v>0</v>
      </c>
      <c r="S151" s="1" t="n">
        <f aca="false">N(S150)+$R151</f>
        <v>0</v>
      </c>
      <c r="T151" s="1" t="n">
        <f aca="false">IF(AND($K151=1,AND(对接源_01水果!$X151="公司筐",N(对接源_01水果!$V151)&lt;&gt;0)),1,0)</f>
        <v>0</v>
      </c>
      <c r="U151" s="1" t="n">
        <f aca="false">N(U150)+$T151</f>
        <v>18</v>
      </c>
      <c r="V151" s="1" t="n">
        <f aca="false">IF(AND($L151=1,AND(对接源_01水果!$X151="自备筐",N(对接源_01水果!$V151)&lt;&gt;0)),1,0)</f>
        <v>0</v>
      </c>
      <c r="W151" s="1" t="n">
        <f aca="false">N(W150)+$V151</f>
        <v>0</v>
      </c>
      <c r="X151" s="1" t="n">
        <f aca="false">IF(AND($L151=1,AND(对接源_01水果!$X151="自备筐",N(对接源_01水果!$T151)&lt;&gt;0)),1,0)</f>
        <v>0</v>
      </c>
      <c r="Y151" s="1" t="n">
        <f aca="false">N(Y150)+$X151</f>
        <v>0</v>
      </c>
      <c r="Z151" s="1" t="n">
        <f aca="false">IF(AND($M151=1,对接源_01水果!$D151="原料入库"),1,0)</f>
        <v>0</v>
      </c>
      <c r="AA151" s="1" t="n">
        <f aca="false">N(AA150)+$Z151</f>
        <v>20</v>
      </c>
      <c r="AB151" s="1" t="n">
        <f aca="false">IF(AND($M151=1,LEFT(对接源_01水果!$D151,4)="原料出库"),1,0)</f>
        <v>0</v>
      </c>
      <c r="AC151" s="1" t="n">
        <f aca="false">N(AC150)+$AB151</f>
        <v>0</v>
      </c>
      <c r="AD151" s="1" t="n">
        <f aca="false">IF(AND($M151=1,LEFT(对接源_01水果!$D151,4)="成品出库"),1,0)</f>
        <v>0</v>
      </c>
      <c r="AE151" s="1" t="n">
        <f aca="false">N(AE150)+$AD151</f>
        <v>0</v>
      </c>
      <c r="AF151" s="1" t="n">
        <f aca="false">IF(AND($N151=1,AND(LEFT(对接源_01水果!$D151,4)="包装物料",N(对接源_01水果!$K151)&lt;&gt;0)),1,0)</f>
        <v>0</v>
      </c>
      <c r="AG151" s="90" t="str">
        <f aca="false">IF(对接源_01水果!$AC151="","",对接源_01水果!$AC151)</f>
        <v/>
      </c>
      <c r="AH151" s="90" t="str">
        <f aca="false">IFERROR(INDEX($AG$4:$AG$1203,MATCH(ROW()-3,$AJ$4:$AJ$1203,0)),"")</f>
        <v/>
      </c>
      <c r="AI151" s="90" t="n">
        <f aca="false">IF(AG151="",0,IF(MATCH(AG151,$AG$4:$AG$1203,0)=ROW()-3,1,0))</f>
        <v>0</v>
      </c>
      <c r="AJ151" s="90" t="n">
        <f aca="false">N(AJ150)+AI151</f>
        <v>0</v>
      </c>
      <c r="AK151" s="1" t="n">
        <f aca="false">N(AK150)+$AJ151</f>
        <v>0</v>
      </c>
    </row>
    <row r="152" customFormat="false" ht="13.5" hidden="false" customHeight="false" outlineLevel="0" collapsed="false">
      <c r="A152" s="1" t="str">
        <f aca="false">IF(对接源_01水果!$C152="","",对接源_01水果!$C152)</f>
        <v>马锦祥</v>
      </c>
      <c r="B152" s="1" t="n">
        <f aca="false">IF(A152="",0,IF(MATCH(A152,$A$4:$A$2403,0)=ROW()-3,1,0))</f>
        <v>0</v>
      </c>
      <c r="C152" s="1" t="n">
        <f aca="false">N(C151)+B152</f>
        <v>6</v>
      </c>
      <c r="E152" s="1" t="str">
        <f aca="false">IFERROR(INDEX($A$4:$A$2403,MATCH(ROW()-3,$C$4:$C$2403,0)),"")</f>
        <v/>
      </c>
      <c r="K152" s="1" t="n">
        <f aca="false">IF(OR($K$1="",对接源_01水果!$C152="",对接源_01水果!$C152&lt;&gt;$K$1,对接源_01水果!$B152=""),0,IF(OR(N(对接源_01水果!$B152)&lt;$K$2,N(对接源_01水果!$B152)&gt;$K$3),0,1))</f>
        <v>0</v>
      </c>
      <c r="L152" s="1" t="n">
        <f aca="false">IF(OR($L$1="",对接源_01水果!$C152="",对接源_01水果!$C152&lt;&gt;$L$1,对接源_01水果!$B152=""),0,IF(OR(N(对接源_01水果!$B152)&lt;$L$2,N(对接源_01水果!$B152)&gt;$L$3),0,1))</f>
        <v>0</v>
      </c>
      <c r="M152" s="1" t="n">
        <f aca="false">IF(OR($M$1="",对接源_01水果!$C152="",对接源_01水果!$C152&lt;&gt;$M$1,对接源_01水果!$B152=""),0,IF(OR(N(对接源_01水果!$B152)&lt;$M$2,N(对接源_01水果!$B152)&gt;$M$3),0,1))</f>
        <v>0</v>
      </c>
      <c r="N152" s="1" t="n">
        <f aca="false">IF(OR($N$1="",对接源_01水果!$C152="",对接源_01水果!$C152&lt;&gt;$N$1,对接源_01水果!$B152=""),0,IF(OR(N(对接源_01水果!$B152)&lt;$N$2,N(对接源_01水果!$B152)&gt;$N$3),0,1))</f>
        <v>0</v>
      </c>
      <c r="P152" s="1" t="n">
        <f aca="false">IF(AND($K152=1,AND(对接源_01水果!$X152="公司筐",N(对接源_01水果!$T152)&lt;&gt;0)),1,0)</f>
        <v>0</v>
      </c>
      <c r="Q152" s="1" t="n">
        <f aca="false">N(Q151)+$P152</f>
        <v>0</v>
      </c>
      <c r="R152" s="1" t="n">
        <f aca="false">IF(AND($K152=1,AND(对接源_01水果!$X152="公司筐",N(对接源_01水果!$U152)&lt;&gt;0)),1,0)</f>
        <v>0</v>
      </c>
      <c r="S152" s="1" t="n">
        <f aca="false">N(S151)+$R152</f>
        <v>0</v>
      </c>
      <c r="T152" s="1" t="n">
        <f aca="false">IF(AND($K152=1,AND(对接源_01水果!$X152="公司筐",N(对接源_01水果!$V152)&lt;&gt;0)),1,0)</f>
        <v>0</v>
      </c>
      <c r="U152" s="1" t="n">
        <f aca="false">N(U151)+$T152</f>
        <v>18</v>
      </c>
      <c r="V152" s="1" t="n">
        <f aca="false">IF(AND($L152=1,AND(对接源_01水果!$X152="自备筐",N(对接源_01水果!$V152)&lt;&gt;0)),1,0)</f>
        <v>0</v>
      </c>
      <c r="W152" s="1" t="n">
        <f aca="false">N(W151)+$V152</f>
        <v>0</v>
      </c>
      <c r="X152" s="1" t="n">
        <f aca="false">IF(AND($L152=1,AND(对接源_01水果!$X152="自备筐",N(对接源_01水果!$T152)&lt;&gt;0)),1,0)</f>
        <v>0</v>
      </c>
      <c r="Y152" s="1" t="n">
        <f aca="false">N(Y151)+$X152</f>
        <v>0</v>
      </c>
      <c r="Z152" s="1" t="n">
        <f aca="false">IF(AND($M152=1,对接源_01水果!$D152="原料入库"),1,0)</f>
        <v>0</v>
      </c>
      <c r="AA152" s="1" t="n">
        <f aca="false">N(AA151)+$Z152</f>
        <v>20</v>
      </c>
      <c r="AB152" s="1" t="n">
        <f aca="false">IF(AND($M152=1,LEFT(对接源_01水果!$D152,4)="原料出库"),1,0)</f>
        <v>0</v>
      </c>
      <c r="AC152" s="1" t="n">
        <f aca="false">N(AC151)+$AB152</f>
        <v>0</v>
      </c>
      <c r="AD152" s="1" t="n">
        <f aca="false">IF(AND($M152=1,LEFT(对接源_01水果!$D152,4)="成品出库"),1,0)</f>
        <v>0</v>
      </c>
      <c r="AE152" s="1" t="n">
        <f aca="false">N(AE151)+$AD152</f>
        <v>0</v>
      </c>
      <c r="AF152" s="1" t="n">
        <f aca="false">IF(AND($N152=1,AND(LEFT(对接源_01水果!$D152,4)="包装物料",N(对接源_01水果!$K152)&lt;&gt;0)),1,0)</f>
        <v>0</v>
      </c>
      <c r="AG152" s="90" t="str">
        <f aca="false">IF(对接源_01水果!$AC152="","",对接源_01水果!$AC152)</f>
        <v/>
      </c>
      <c r="AH152" s="90" t="str">
        <f aca="false">IFERROR(INDEX($AG$4:$AG$1203,MATCH(ROW()-3,$AJ$4:$AJ$1203,0)),"")</f>
        <v/>
      </c>
      <c r="AI152" s="90" t="n">
        <f aca="false">IF(AG152="",0,IF(MATCH(AG152,$AG$4:$AG$1203,0)=ROW()-3,1,0))</f>
        <v>0</v>
      </c>
      <c r="AJ152" s="90" t="n">
        <f aca="false">N(AJ151)+AI152</f>
        <v>0</v>
      </c>
      <c r="AK152" s="1" t="n">
        <f aca="false">N(AK151)+$AJ152</f>
        <v>0</v>
      </c>
    </row>
    <row r="153" customFormat="false" ht="13.5" hidden="false" customHeight="false" outlineLevel="0" collapsed="false">
      <c r="A153" s="1" t="str">
        <f aca="false">IF(对接源_01水果!$C153="","",对接源_01水果!$C153)</f>
        <v>马锦祥</v>
      </c>
      <c r="B153" s="1" t="n">
        <f aca="false">IF(A153="",0,IF(MATCH(A153,$A$4:$A$2403,0)=ROW()-3,1,0))</f>
        <v>0</v>
      </c>
      <c r="C153" s="1" t="n">
        <f aca="false">N(C152)+B153</f>
        <v>6</v>
      </c>
      <c r="E153" s="1" t="str">
        <f aca="false">IFERROR(INDEX($A$4:$A$2403,MATCH(ROW()-3,$C$4:$C$2403,0)),"")</f>
        <v/>
      </c>
      <c r="K153" s="1" t="n">
        <f aca="false">IF(OR($K$1="",对接源_01水果!$C153="",对接源_01水果!$C153&lt;&gt;$K$1,对接源_01水果!$B153=""),0,IF(OR(N(对接源_01水果!$B153)&lt;$K$2,N(对接源_01水果!$B153)&gt;$K$3),0,1))</f>
        <v>0</v>
      </c>
      <c r="L153" s="1" t="n">
        <f aca="false">IF(OR($L$1="",对接源_01水果!$C153="",对接源_01水果!$C153&lt;&gt;$L$1,对接源_01水果!$B153=""),0,IF(OR(N(对接源_01水果!$B153)&lt;$L$2,N(对接源_01水果!$B153)&gt;$L$3),0,1))</f>
        <v>0</v>
      </c>
      <c r="M153" s="1" t="n">
        <f aca="false">IF(OR($M$1="",对接源_01水果!$C153="",对接源_01水果!$C153&lt;&gt;$M$1,对接源_01水果!$B153=""),0,IF(OR(N(对接源_01水果!$B153)&lt;$M$2,N(对接源_01水果!$B153)&gt;$M$3),0,1))</f>
        <v>0</v>
      </c>
      <c r="N153" s="1" t="n">
        <f aca="false">IF(OR($N$1="",对接源_01水果!$C153="",对接源_01水果!$C153&lt;&gt;$N$1,对接源_01水果!$B153=""),0,IF(OR(N(对接源_01水果!$B153)&lt;$N$2,N(对接源_01水果!$B153)&gt;$N$3),0,1))</f>
        <v>0</v>
      </c>
      <c r="P153" s="1" t="n">
        <f aca="false">IF(AND($K153=1,AND(对接源_01水果!$X153="公司筐",N(对接源_01水果!$T153)&lt;&gt;0)),1,0)</f>
        <v>0</v>
      </c>
      <c r="Q153" s="1" t="n">
        <f aca="false">N(Q152)+$P153</f>
        <v>0</v>
      </c>
      <c r="R153" s="1" t="n">
        <f aca="false">IF(AND($K153=1,AND(对接源_01水果!$X153="公司筐",N(对接源_01水果!$U153)&lt;&gt;0)),1,0)</f>
        <v>0</v>
      </c>
      <c r="S153" s="1" t="n">
        <f aca="false">N(S152)+$R153</f>
        <v>0</v>
      </c>
      <c r="T153" s="1" t="n">
        <f aca="false">IF(AND($K153=1,AND(对接源_01水果!$X153="公司筐",N(对接源_01水果!$V153)&lt;&gt;0)),1,0)</f>
        <v>0</v>
      </c>
      <c r="U153" s="1" t="n">
        <f aca="false">N(U152)+$T153</f>
        <v>18</v>
      </c>
      <c r="V153" s="1" t="n">
        <f aca="false">IF(AND($L153=1,AND(对接源_01水果!$X153="自备筐",N(对接源_01水果!$V153)&lt;&gt;0)),1,0)</f>
        <v>0</v>
      </c>
      <c r="W153" s="1" t="n">
        <f aca="false">N(W152)+$V153</f>
        <v>0</v>
      </c>
      <c r="X153" s="1" t="n">
        <f aca="false">IF(AND($L153=1,AND(对接源_01水果!$X153="自备筐",N(对接源_01水果!$T153)&lt;&gt;0)),1,0)</f>
        <v>0</v>
      </c>
      <c r="Y153" s="1" t="n">
        <f aca="false">N(Y152)+$X153</f>
        <v>0</v>
      </c>
      <c r="Z153" s="1" t="n">
        <f aca="false">IF(AND($M153=1,对接源_01水果!$D153="原料入库"),1,0)</f>
        <v>0</v>
      </c>
      <c r="AA153" s="1" t="n">
        <f aca="false">N(AA152)+$Z153</f>
        <v>20</v>
      </c>
      <c r="AB153" s="1" t="n">
        <f aca="false">IF(AND($M153=1,LEFT(对接源_01水果!$D153,4)="原料出库"),1,0)</f>
        <v>0</v>
      </c>
      <c r="AC153" s="1" t="n">
        <f aca="false">N(AC152)+$AB153</f>
        <v>0</v>
      </c>
      <c r="AD153" s="1" t="n">
        <f aca="false">IF(AND($M153=1,LEFT(对接源_01水果!$D153,4)="成品出库"),1,0)</f>
        <v>0</v>
      </c>
      <c r="AE153" s="1" t="n">
        <f aca="false">N(AE152)+$AD153</f>
        <v>0</v>
      </c>
      <c r="AF153" s="1" t="n">
        <f aca="false">IF(AND($N153=1,AND(LEFT(对接源_01水果!$D153,4)="包装物料",N(对接源_01水果!$K153)&lt;&gt;0)),1,0)</f>
        <v>0</v>
      </c>
      <c r="AG153" s="90" t="str">
        <f aca="false">IF(对接源_01水果!$AC153="","",对接源_01水果!$AC153)</f>
        <v/>
      </c>
      <c r="AH153" s="90" t="str">
        <f aca="false">IFERROR(INDEX($AG$4:$AG$1203,MATCH(ROW()-3,$AJ$4:$AJ$1203,0)),"")</f>
        <v/>
      </c>
      <c r="AI153" s="90" t="n">
        <f aca="false">IF(AG153="",0,IF(MATCH(AG153,$AG$4:$AG$1203,0)=ROW()-3,1,0))</f>
        <v>0</v>
      </c>
      <c r="AJ153" s="90" t="n">
        <f aca="false">N(AJ152)+AI153</f>
        <v>0</v>
      </c>
      <c r="AK153" s="1" t="n">
        <f aca="false">N(AK152)+$AJ153</f>
        <v>0</v>
      </c>
    </row>
    <row r="154" customFormat="false" ht="13.5" hidden="false" customHeight="false" outlineLevel="0" collapsed="false">
      <c r="A154" s="1" t="str">
        <f aca="false">IF(对接源_01水果!$C154="","",对接源_01水果!$C154)</f>
        <v>热合曼</v>
      </c>
      <c r="B154" s="1" t="n">
        <f aca="false">IF(A154="",0,IF(MATCH(A154,$A$4:$A$2403,0)=ROW()-3,1,0))</f>
        <v>1</v>
      </c>
      <c r="C154" s="1" t="n">
        <f aca="false">N(C153)+B154</f>
        <v>7</v>
      </c>
      <c r="E154" s="1" t="str">
        <f aca="false">IFERROR(INDEX($A$4:$A$2403,MATCH(ROW()-3,$C$4:$C$2403,0)),"")</f>
        <v/>
      </c>
      <c r="K154" s="1" t="n">
        <f aca="false">IF(OR($K$1="",对接源_01水果!$C154="",对接源_01水果!$C154&lt;&gt;$K$1,对接源_01水果!$B154=""),0,IF(OR(N(对接源_01水果!$B154)&lt;$K$2,N(对接源_01水果!$B154)&gt;$K$3),0,1))</f>
        <v>0</v>
      </c>
      <c r="L154" s="1" t="n">
        <f aca="false">IF(OR($L$1="",对接源_01水果!$C154="",对接源_01水果!$C154&lt;&gt;$L$1,对接源_01水果!$B154=""),0,IF(OR(N(对接源_01水果!$B154)&lt;$L$2,N(对接源_01水果!$B154)&gt;$L$3),0,1))</f>
        <v>0</v>
      </c>
      <c r="M154" s="1" t="n">
        <f aca="false">IF(OR($M$1="",对接源_01水果!$C154="",对接源_01水果!$C154&lt;&gt;$M$1,对接源_01水果!$B154=""),0,IF(OR(N(对接源_01水果!$B154)&lt;$M$2,N(对接源_01水果!$B154)&gt;$M$3),0,1))</f>
        <v>0</v>
      </c>
      <c r="N154" s="1" t="n">
        <f aca="false">IF(OR($N$1="",对接源_01水果!$C154="",对接源_01水果!$C154&lt;&gt;$N$1,对接源_01水果!$B154=""),0,IF(OR(N(对接源_01水果!$B154)&lt;$N$2,N(对接源_01水果!$B154)&gt;$N$3),0,1))</f>
        <v>0</v>
      </c>
      <c r="P154" s="1" t="n">
        <f aca="false">IF(AND($K154=1,AND(对接源_01水果!$X154="公司筐",N(对接源_01水果!$T154)&lt;&gt;0)),1,0)</f>
        <v>0</v>
      </c>
      <c r="Q154" s="1" t="n">
        <f aca="false">N(Q153)+$P154</f>
        <v>0</v>
      </c>
      <c r="R154" s="1" t="n">
        <f aca="false">IF(AND($K154=1,AND(对接源_01水果!$X154="公司筐",N(对接源_01水果!$U154)&lt;&gt;0)),1,0)</f>
        <v>0</v>
      </c>
      <c r="S154" s="1" t="n">
        <f aca="false">N(S153)+$R154</f>
        <v>0</v>
      </c>
      <c r="T154" s="1" t="n">
        <f aca="false">IF(AND($K154=1,AND(对接源_01水果!$X154="公司筐",N(对接源_01水果!$V154)&lt;&gt;0)),1,0)</f>
        <v>0</v>
      </c>
      <c r="U154" s="1" t="n">
        <f aca="false">N(U153)+$T154</f>
        <v>18</v>
      </c>
      <c r="V154" s="1" t="n">
        <f aca="false">IF(AND($L154=1,AND(对接源_01水果!$X154="自备筐",N(对接源_01水果!$V154)&lt;&gt;0)),1,0)</f>
        <v>0</v>
      </c>
      <c r="W154" s="1" t="n">
        <f aca="false">N(W153)+$V154</f>
        <v>0</v>
      </c>
      <c r="X154" s="1" t="n">
        <f aca="false">IF(AND($L154=1,AND(对接源_01水果!$X154="自备筐",N(对接源_01水果!$T154)&lt;&gt;0)),1,0)</f>
        <v>0</v>
      </c>
      <c r="Y154" s="1" t="n">
        <f aca="false">N(Y153)+$X154</f>
        <v>0</v>
      </c>
      <c r="Z154" s="1" t="n">
        <f aca="false">IF(AND($M154=1,对接源_01水果!$D154="原料入库"),1,0)</f>
        <v>0</v>
      </c>
      <c r="AA154" s="1" t="n">
        <f aca="false">N(AA153)+$Z154</f>
        <v>20</v>
      </c>
      <c r="AB154" s="1" t="n">
        <f aca="false">IF(AND($M154=1,LEFT(对接源_01水果!$D154,4)="原料出库"),1,0)</f>
        <v>0</v>
      </c>
      <c r="AC154" s="1" t="n">
        <f aca="false">N(AC153)+$AB154</f>
        <v>0</v>
      </c>
      <c r="AD154" s="1" t="n">
        <f aca="false">IF(AND($M154=1,LEFT(对接源_01水果!$D154,4)="成品出库"),1,0)</f>
        <v>0</v>
      </c>
      <c r="AE154" s="1" t="n">
        <f aca="false">N(AE153)+$AD154</f>
        <v>0</v>
      </c>
      <c r="AF154" s="1" t="n">
        <f aca="false">IF(AND($N154=1,AND(LEFT(对接源_01水果!$D154,4)="包装物料",N(对接源_01水果!$K154)&lt;&gt;0)),1,0)</f>
        <v>0</v>
      </c>
      <c r="AG154" s="90" t="str">
        <f aca="false">IF(对接源_01水果!$AC154="","",对接源_01水果!$AC154)</f>
        <v/>
      </c>
      <c r="AH154" s="90" t="str">
        <f aca="false">IFERROR(INDEX($AG$4:$AG$1203,MATCH(ROW()-3,$AJ$4:$AJ$1203,0)),"")</f>
        <v/>
      </c>
      <c r="AI154" s="90" t="n">
        <f aca="false">IF(AG154="",0,IF(MATCH(AG154,$AG$4:$AG$1203,0)=ROW()-3,1,0))</f>
        <v>0</v>
      </c>
      <c r="AJ154" s="90" t="n">
        <f aca="false">N(AJ153)+AI154</f>
        <v>0</v>
      </c>
      <c r="AK154" s="1" t="n">
        <f aca="false">N(AK153)+$AJ154</f>
        <v>0</v>
      </c>
    </row>
    <row r="155" customFormat="false" ht="13.5" hidden="false" customHeight="false" outlineLevel="0" collapsed="false">
      <c r="A155" s="1" t="str">
        <f aca="false">IF(对接源_01水果!$C155="","",对接源_01水果!$C155)</f>
        <v>热合曼</v>
      </c>
      <c r="B155" s="1" t="n">
        <f aca="false">IF(A155="",0,IF(MATCH(A155,$A$4:$A$2403,0)=ROW()-3,1,0))</f>
        <v>0</v>
      </c>
      <c r="C155" s="1" t="n">
        <f aca="false">N(C154)+B155</f>
        <v>7</v>
      </c>
      <c r="E155" s="1" t="str">
        <f aca="false">IFERROR(INDEX($A$4:$A$2403,MATCH(ROW()-3,$C$4:$C$2403,0)),"")</f>
        <v/>
      </c>
      <c r="K155" s="1" t="n">
        <f aca="false">IF(OR($K$1="",对接源_01水果!$C155="",对接源_01水果!$C155&lt;&gt;$K$1,对接源_01水果!$B155=""),0,IF(OR(N(对接源_01水果!$B155)&lt;$K$2,N(对接源_01水果!$B155)&gt;$K$3),0,1))</f>
        <v>0</v>
      </c>
      <c r="L155" s="1" t="n">
        <f aca="false">IF(OR($L$1="",对接源_01水果!$C155="",对接源_01水果!$C155&lt;&gt;$L$1,对接源_01水果!$B155=""),0,IF(OR(N(对接源_01水果!$B155)&lt;$L$2,N(对接源_01水果!$B155)&gt;$L$3),0,1))</f>
        <v>0</v>
      </c>
      <c r="M155" s="1" t="n">
        <f aca="false">IF(OR($M$1="",对接源_01水果!$C155="",对接源_01水果!$C155&lt;&gt;$M$1,对接源_01水果!$B155=""),0,IF(OR(N(对接源_01水果!$B155)&lt;$M$2,N(对接源_01水果!$B155)&gt;$M$3),0,1))</f>
        <v>0</v>
      </c>
      <c r="N155" s="1" t="n">
        <f aca="false">IF(OR($N$1="",对接源_01水果!$C155="",对接源_01水果!$C155&lt;&gt;$N$1,对接源_01水果!$B155=""),0,IF(OR(N(对接源_01水果!$B155)&lt;$N$2,N(对接源_01水果!$B155)&gt;$N$3),0,1))</f>
        <v>0</v>
      </c>
      <c r="P155" s="1" t="n">
        <f aca="false">IF(AND($K155=1,AND(对接源_01水果!$X155="公司筐",N(对接源_01水果!$T155)&lt;&gt;0)),1,0)</f>
        <v>0</v>
      </c>
      <c r="Q155" s="1" t="n">
        <f aca="false">N(Q154)+$P155</f>
        <v>0</v>
      </c>
      <c r="R155" s="1" t="n">
        <f aca="false">IF(AND($K155=1,AND(对接源_01水果!$X155="公司筐",N(对接源_01水果!$U155)&lt;&gt;0)),1,0)</f>
        <v>0</v>
      </c>
      <c r="S155" s="1" t="n">
        <f aca="false">N(S154)+$R155</f>
        <v>0</v>
      </c>
      <c r="T155" s="1" t="n">
        <f aca="false">IF(AND($K155=1,AND(对接源_01水果!$X155="公司筐",N(对接源_01水果!$V155)&lt;&gt;0)),1,0)</f>
        <v>0</v>
      </c>
      <c r="U155" s="1" t="n">
        <f aca="false">N(U154)+$T155</f>
        <v>18</v>
      </c>
      <c r="V155" s="1" t="n">
        <f aca="false">IF(AND($L155=1,AND(对接源_01水果!$X155="自备筐",N(对接源_01水果!$V155)&lt;&gt;0)),1,0)</f>
        <v>0</v>
      </c>
      <c r="W155" s="1" t="n">
        <f aca="false">N(W154)+$V155</f>
        <v>0</v>
      </c>
      <c r="X155" s="1" t="n">
        <f aca="false">IF(AND($L155=1,AND(对接源_01水果!$X155="自备筐",N(对接源_01水果!$T155)&lt;&gt;0)),1,0)</f>
        <v>0</v>
      </c>
      <c r="Y155" s="1" t="n">
        <f aca="false">N(Y154)+$X155</f>
        <v>0</v>
      </c>
      <c r="Z155" s="1" t="n">
        <f aca="false">IF(AND($M155=1,对接源_01水果!$D155="原料入库"),1,0)</f>
        <v>0</v>
      </c>
      <c r="AA155" s="1" t="n">
        <f aca="false">N(AA154)+$Z155</f>
        <v>20</v>
      </c>
      <c r="AB155" s="1" t="n">
        <f aca="false">IF(AND($M155=1,LEFT(对接源_01水果!$D155,4)="原料出库"),1,0)</f>
        <v>0</v>
      </c>
      <c r="AC155" s="1" t="n">
        <f aca="false">N(AC154)+$AB155</f>
        <v>0</v>
      </c>
      <c r="AD155" s="1" t="n">
        <f aca="false">IF(AND($M155=1,LEFT(对接源_01水果!$D155,4)="成品出库"),1,0)</f>
        <v>0</v>
      </c>
      <c r="AE155" s="1" t="n">
        <f aca="false">N(AE154)+$AD155</f>
        <v>0</v>
      </c>
      <c r="AF155" s="1" t="n">
        <f aca="false">IF(AND($N155=1,AND(LEFT(对接源_01水果!$D155,4)="包装物料",N(对接源_01水果!$K155)&lt;&gt;0)),1,0)</f>
        <v>0</v>
      </c>
      <c r="AG155" s="90" t="str">
        <f aca="false">IF(对接源_01水果!$AC155="","",对接源_01水果!$AC155)</f>
        <v/>
      </c>
      <c r="AH155" s="90" t="str">
        <f aca="false">IFERROR(INDEX($AG$4:$AG$1203,MATCH(ROW()-3,$AJ$4:$AJ$1203,0)),"")</f>
        <v/>
      </c>
      <c r="AI155" s="90" t="n">
        <f aca="false">IF(AG155="",0,IF(MATCH(AG155,$AG$4:$AG$1203,0)=ROW()-3,1,0))</f>
        <v>0</v>
      </c>
      <c r="AJ155" s="90" t="n">
        <f aca="false">N(AJ154)+AI155</f>
        <v>0</v>
      </c>
      <c r="AK155" s="1" t="n">
        <f aca="false">N(AK154)+$AJ155</f>
        <v>0</v>
      </c>
    </row>
    <row r="156" customFormat="false" ht="13.5" hidden="false" customHeight="false" outlineLevel="0" collapsed="false">
      <c r="A156" s="1" t="str">
        <f aca="false">IF(对接源_01水果!$C156="","",对接源_01水果!$C156)</f>
        <v>热合曼</v>
      </c>
      <c r="B156" s="1" t="n">
        <f aca="false">IF(A156="",0,IF(MATCH(A156,$A$4:$A$2403,0)=ROW()-3,1,0))</f>
        <v>0</v>
      </c>
      <c r="C156" s="1" t="n">
        <f aca="false">N(C155)+B156</f>
        <v>7</v>
      </c>
      <c r="E156" s="1" t="str">
        <f aca="false">IFERROR(INDEX($A$4:$A$2403,MATCH(ROW()-3,$C$4:$C$2403,0)),"")</f>
        <v/>
      </c>
      <c r="K156" s="1" t="n">
        <f aca="false">IF(OR($K$1="",对接源_01水果!$C156="",对接源_01水果!$C156&lt;&gt;$K$1,对接源_01水果!$B156=""),0,IF(OR(N(对接源_01水果!$B156)&lt;$K$2,N(对接源_01水果!$B156)&gt;$K$3),0,1))</f>
        <v>0</v>
      </c>
      <c r="L156" s="1" t="n">
        <f aca="false">IF(OR($L$1="",对接源_01水果!$C156="",对接源_01水果!$C156&lt;&gt;$L$1,对接源_01水果!$B156=""),0,IF(OR(N(对接源_01水果!$B156)&lt;$L$2,N(对接源_01水果!$B156)&gt;$L$3),0,1))</f>
        <v>0</v>
      </c>
      <c r="M156" s="1" t="n">
        <f aca="false">IF(OR($M$1="",对接源_01水果!$C156="",对接源_01水果!$C156&lt;&gt;$M$1,对接源_01水果!$B156=""),0,IF(OR(N(对接源_01水果!$B156)&lt;$M$2,N(对接源_01水果!$B156)&gt;$M$3),0,1))</f>
        <v>0</v>
      </c>
      <c r="N156" s="1" t="n">
        <f aca="false">IF(OR($N$1="",对接源_01水果!$C156="",对接源_01水果!$C156&lt;&gt;$N$1,对接源_01水果!$B156=""),0,IF(OR(N(对接源_01水果!$B156)&lt;$N$2,N(对接源_01水果!$B156)&gt;$N$3),0,1))</f>
        <v>0</v>
      </c>
      <c r="P156" s="1" t="n">
        <f aca="false">IF(AND($K156=1,AND(对接源_01水果!$X156="公司筐",N(对接源_01水果!$T156)&lt;&gt;0)),1,0)</f>
        <v>0</v>
      </c>
      <c r="Q156" s="1" t="n">
        <f aca="false">N(Q155)+$P156</f>
        <v>0</v>
      </c>
      <c r="R156" s="1" t="n">
        <f aca="false">IF(AND($K156=1,AND(对接源_01水果!$X156="公司筐",N(对接源_01水果!$U156)&lt;&gt;0)),1,0)</f>
        <v>0</v>
      </c>
      <c r="S156" s="1" t="n">
        <f aca="false">N(S155)+$R156</f>
        <v>0</v>
      </c>
      <c r="T156" s="1" t="n">
        <f aca="false">IF(AND($K156=1,AND(对接源_01水果!$X156="公司筐",N(对接源_01水果!$V156)&lt;&gt;0)),1,0)</f>
        <v>0</v>
      </c>
      <c r="U156" s="1" t="n">
        <f aca="false">N(U155)+$T156</f>
        <v>18</v>
      </c>
      <c r="V156" s="1" t="n">
        <f aca="false">IF(AND($L156=1,AND(对接源_01水果!$X156="自备筐",N(对接源_01水果!$V156)&lt;&gt;0)),1,0)</f>
        <v>0</v>
      </c>
      <c r="W156" s="1" t="n">
        <f aca="false">N(W155)+$V156</f>
        <v>0</v>
      </c>
      <c r="X156" s="1" t="n">
        <f aca="false">IF(AND($L156=1,AND(对接源_01水果!$X156="自备筐",N(对接源_01水果!$T156)&lt;&gt;0)),1,0)</f>
        <v>0</v>
      </c>
      <c r="Y156" s="1" t="n">
        <f aca="false">N(Y155)+$X156</f>
        <v>0</v>
      </c>
      <c r="Z156" s="1" t="n">
        <f aca="false">IF(AND($M156=1,对接源_01水果!$D156="原料入库"),1,0)</f>
        <v>0</v>
      </c>
      <c r="AA156" s="1" t="n">
        <f aca="false">N(AA155)+$Z156</f>
        <v>20</v>
      </c>
      <c r="AB156" s="1" t="n">
        <f aca="false">IF(AND($M156=1,LEFT(对接源_01水果!$D156,4)="原料出库"),1,0)</f>
        <v>0</v>
      </c>
      <c r="AC156" s="1" t="n">
        <f aca="false">N(AC155)+$AB156</f>
        <v>0</v>
      </c>
      <c r="AD156" s="1" t="n">
        <f aca="false">IF(AND($M156=1,LEFT(对接源_01水果!$D156,4)="成品出库"),1,0)</f>
        <v>0</v>
      </c>
      <c r="AE156" s="1" t="n">
        <f aca="false">N(AE155)+$AD156</f>
        <v>0</v>
      </c>
      <c r="AF156" s="1" t="n">
        <f aca="false">IF(AND($N156=1,AND(LEFT(对接源_01水果!$D156,4)="包装物料",N(对接源_01水果!$K156)&lt;&gt;0)),1,0)</f>
        <v>0</v>
      </c>
      <c r="AG156" s="90" t="str">
        <f aca="false">IF(对接源_01水果!$AC156="","",对接源_01水果!$AC156)</f>
        <v/>
      </c>
      <c r="AH156" s="90" t="str">
        <f aca="false">IFERROR(INDEX($AG$4:$AG$1203,MATCH(ROW()-3,$AJ$4:$AJ$1203,0)),"")</f>
        <v/>
      </c>
      <c r="AI156" s="90" t="n">
        <f aca="false">IF(AG156="",0,IF(MATCH(AG156,$AG$4:$AG$1203,0)=ROW()-3,1,0))</f>
        <v>0</v>
      </c>
      <c r="AJ156" s="90" t="n">
        <f aca="false">N(AJ155)+AI156</f>
        <v>0</v>
      </c>
      <c r="AK156" s="1" t="n">
        <f aca="false">N(AK155)+$AJ156</f>
        <v>0</v>
      </c>
    </row>
    <row r="157" customFormat="false" ht="13.5" hidden="false" customHeight="false" outlineLevel="0" collapsed="false">
      <c r="A157" s="1" t="str">
        <f aca="false">IF(对接源_01水果!$C157="","",对接源_01水果!$C157)</f>
        <v>贾建国</v>
      </c>
      <c r="B157" s="1" t="n">
        <f aca="false">IF(A157="",0,IF(MATCH(A157,$A$4:$A$2403,0)=ROW()-3,1,0))</f>
        <v>1</v>
      </c>
      <c r="C157" s="1" t="n">
        <f aca="false">N(C156)+B157</f>
        <v>8</v>
      </c>
      <c r="E157" s="1" t="str">
        <f aca="false">IFERROR(INDEX($A$4:$A$2403,MATCH(ROW()-3,$C$4:$C$2403,0)),"")</f>
        <v/>
      </c>
      <c r="K157" s="1" t="n">
        <f aca="false">IF(OR($K$1="",对接源_01水果!$C157="",对接源_01水果!$C157&lt;&gt;$K$1,对接源_01水果!$B157=""),0,IF(OR(N(对接源_01水果!$B157)&lt;$K$2,N(对接源_01水果!$B157)&gt;$K$3),0,1))</f>
        <v>0</v>
      </c>
      <c r="L157" s="1" t="n">
        <f aca="false">IF(OR($L$1="",对接源_01水果!$C157="",对接源_01水果!$C157&lt;&gt;$L$1,对接源_01水果!$B157=""),0,IF(OR(N(对接源_01水果!$B157)&lt;$L$2,N(对接源_01水果!$B157)&gt;$L$3),0,1))</f>
        <v>1</v>
      </c>
      <c r="M157" s="1" t="n">
        <f aca="false">IF(OR($M$1="",对接源_01水果!$C157="",对接源_01水果!$C157&lt;&gt;$M$1,对接源_01水果!$B157=""),0,IF(OR(N(对接源_01水果!$B157)&lt;$M$2,N(对接源_01水果!$B157)&gt;$M$3),0,1))</f>
        <v>0</v>
      </c>
      <c r="N157" s="1" t="n">
        <f aca="false">IF(OR($N$1="",对接源_01水果!$C157="",对接源_01水果!$C157&lt;&gt;$N$1,对接源_01水果!$B157=""),0,IF(OR(N(对接源_01水果!$B157)&lt;$N$2,N(对接源_01水果!$B157)&gt;$N$3),0,1))</f>
        <v>0</v>
      </c>
      <c r="P157" s="1" t="n">
        <f aca="false">IF(AND($K157=1,AND(对接源_01水果!$X157="公司筐",N(对接源_01水果!$T157)&lt;&gt;0)),1,0)</f>
        <v>0</v>
      </c>
      <c r="Q157" s="1" t="n">
        <f aca="false">N(Q156)+$P157</f>
        <v>0</v>
      </c>
      <c r="R157" s="1" t="n">
        <f aca="false">IF(AND($K157=1,AND(对接源_01水果!$X157="公司筐",N(对接源_01水果!$U157)&lt;&gt;0)),1,0)</f>
        <v>0</v>
      </c>
      <c r="S157" s="1" t="n">
        <f aca="false">N(S156)+$R157</f>
        <v>0</v>
      </c>
      <c r="T157" s="1" t="n">
        <f aca="false">IF(AND($K157=1,AND(对接源_01水果!$X157="公司筐",N(对接源_01水果!$V157)&lt;&gt;0)),1,0)</f>
        <v>0</v>
      </c>
      <c r="U157" s="1" t="n">
        <f aca="false">N(U156)+$T157</f>
        <v>18</v>
      </c>
      <c r="V157" s="1" t="n">
        <f aca="false">IF(AND($L157=1,AND(对接源_01水果!$X157="自备筐",N(对接源_01水果!$V157)&lt;&gt;0)),1,0)</f>
        <v>1</v>
      </c>
      <c r="W157" s="1" t="n">
        <f aca="false">N(W156)+$V157</f>
        <v>1</v>
      </c>
      <c r="X157" s="1" t="n">
        <f aca="false">IF(AND($L157=1,AND(对接源_01水果!$X157="自备筐",N(对接源_01水果!$T157)&lt;&gt;0)),1,0)</f>
        <v>0</v>
      </c>
      <c r="Y157" s="1" t="n">
        <f aca="false">N(Y156)+$X157</f>
        <v>0</v>
      </c>
      <c r="Z157" s="1" t="n">
        <f aca="false">IF(AND($M157=1,对接源_01水果!$D157="原料入库"),1,0)</f>
        <v>0</v>
      </c>
      <c r="AA157" s="1" t="n">
        <f aca="false">N(AA156)+$Z157</f>
        <v>20</v>
      </c>
      <c r="AB157" s="1" t="n">
        <f aca="false">IF(AND($M157=1,LEFT(对接源_01水果!$D157,4)="原料出库"),1,0)</f>
        <v>0</v>
      </c>
      <c r="AC157" s="1" t="n">
        <f aca="false">N(AC156)+$AB157</f>
        <v>0</v>
      </c>
      <c r="AD157" s="1" t="n">
        <f aca="false">IF(AND($M157=1,LEFT(对接源_01水果!$D157,4)="成品出库"),1,0)</f>
        <v>0</v>
      </c>
      <c r="AE157" s="1" t="n">
        <f aca="false">N(AE156)+$AD157</f>
        <v>0</v>
      </c>
      <c r="AF157" s="1" t="n">
        <f aca="false">IF(AND($N157=1,AND(LEFT(对接源_01水果!$D157,4)="包装物料",N(对接源_01水果!$K157)&lt;&gt;0)),1,0)</f>
        <v>0</v>
      </c>
      <c r="AG157" s="90" t="str">
        <f aca="false">IF(对接源_01水果!$AC157="","",对接源_01水果!$AC157)</f>
        <v/>
      </c>
      <c r="AH157" s="90" t="str">
        <f aca="false">IFERROR(INDEX($AG$4:$AG$1203,MATCH(ROW()-3,$AJ$4:$AJ$1203,0)),"")</f>
        <v/>
      </c>
      <c r="AI157" s="90" t="n">
        <f aca="false">IF(AG157="",0,IF(MATCH(AG157,$AG$4:$AG$1203,0)=ROW()-3,1,0))</f>
        <v>0</v>
      </c>
      <c r="AJ157" s="90" t="n">
        <f aca="false">N(AJ156)+AI157</f>
        <v>0</v>
      </c>
      <c r="AK157" s="1" t="n">
        <f aca="false">N(AK156)+$AJ157</f>
        <v>0</v>
      </c>
    </row>
    <row r="158" customFormat="false" ht="13.5" hidden="false" customHeight="false" outlineLevel="0" collapsed="false">
      <c r="A158" s="1" t="str">
        <f aca="false">IF(对接源_01水果!$C158="","",对接源_01水果!$C158)</f>
        <v>贾建国</v>
      </c>
      <c r="B158" s="1" t="n">
        <f aca="false">IF(A158="",0,IF(MATCH(A158,$A$4:$A$2403,0)=ROW()-3,1,0))</f>
        <v>0</v>
      </c>
      <c r="C158" s="1" t="n">
        <f aca="false">N(C157)+B158</f>
        <v>8</v>
      </c>
      <c r="E158" s="1" t="str">
        <f aca="false">IFERROR(INDEX($A$4:$A$2403,MATCH(ROW()-3,$C$4:$C$2403,0)),"")</f>
        <v/>
      </c>
      <c r="K158" s="1" t="n">
        <f aca="false">IF(OR($K$1="",对接源_01水果!$C158="",对接源_01水果!$C158&lt;&gt;$K$1,对接源_01水果!$B158=""),0,IF(OR(N(对接源_01水果!$B158)&lt;$K$2,N(对接源_01水果!$B158)&gt;$K$3),0,1))</f>
        <v>0</v>
      </c>
      <c r="L158" s="1" t="n">
        <f aca="false">IF(OR($L$1="",对接源_01水果!$C158="",对接源_01水果!$C158&lt;&gt;$L$1,对接源_01水果!$B158=""),0,IF(OR(N(对接源_01水果!$B158)&lt;$L$2,N(对接源_01水果!$B158)&gt;$L$3),0,1))</f>
        <v>1</v>
      </c>
      <c r="M158" s="1" t="n">
        <f aca="false">IF(OR($M$1="",对接源_01水果!$C158="",对接源_01水果!$C158&lt;&gt;$M$1,对接源_01水果!$B158=""),0,IF(OR(N(对接源_01水果!$B158)&lt;$M$2,N(对接源_01水果!$B158)&gt;$M$3),0,1))</f>
        <v>0</v>
      </c>
      <c r="N158" s="1" t="n">
        <f aca="false">IF(OR($N$1="",对接源_01水果!$C158="",对接源_01水果!$C158&lt;&gt;$N$1,对接源_01水果!$B158=""),0,IF(OR(N(对接源_01水果!$B158)&lt;$N$2,N(对接源_01水果!$B158)&gt;$N$3),0,1))</f>
        <v>0</v>
      </c>
      <c r="P158" s="1" t="n">
        <f aca="false">IF(AND($K158=1,AND(对接源_01水果!$X158="公司筐",N(对接源_01水果!$T158)&lt;&gt;0)),1,0)</f>
        <v>0</v>
      </c>
      <c r="Q158" s="1" t="n">
        <f aca="false">N(Q157)+$P158</f>
        <v>0</v>
      </c>
      <c r="R158" s="1" t="n">
        <f aca="false">IF(AND($K158=1,AND(对接源_01水果!$X158="公司筐",N(对接源_01水果!$U158)&lt;&gt;0)),1,0)</f>
        <v>0</v>
      </c>
      <c r="S158" s="1" t="n">
        <f aca="false">N(S157)+$R158</f>
        <v>0</v>
      </c>
      <c r="T158" s="1" t="n">
        <f aca="false">IF(AND($K158=1,AND(对接源_01水果!$X158="公司筐",N(对接源_01水果!$V158)&lt;&gt;0)),1,0)</f>
        <v>0</v>
      </c>
      <c r="U158" s="1" t="n">
        <f aca="false">N(U157)+$T158</f>
        <v>18</v>
      </c>
      <c r="V158" s="1" t="n">
        <f aca="false">IF(AND($L158=1,AND(对接源_01水果!$X158="自备筐",N(对接源_01水果!$V158)&lt;&gt;0)),1,0)</f>
        <v>1</v>
      </c>
      <c r="W158" s="1" t="n">
        <f aca="false">N(W157)+$V158</f>
        <v>2</v>
      </c>
      <c r="X158" s="1" t="n">
        <f aca="false">IF(AND($L158=1,AND(对接源_01水果!$X158="自备筐",N(对接源_01水果!$T158)&lt;&gt;0)),1,0)</f>
        <v>0</v>
      </c>
      <c r="Y158" s="1" t="n">
        <f aca="false">N(Y157)+$X158</f>
        <v>0</v>
      </c>
      <c r="Z158" s="1" t="n">
        <f aca="false">IF(AND($M158=1,对接源_01水果!$D158="原料入库"),1,0)</f>
        <v>0</v>
      </c>
      <c r="AA158" s="1" t="n">
        <f aca="false">N(AA157)+$Z158</f>
        <v>20</v>
      </c>
      <c r="AB158" s="1" t="n">
        <f aca="false">IF(AND($M158=1,LEFT(对接源_01水果!$D158,4)="原料出库"),1,0)</f>
        <v>0</v>
      </c>
      <c r="AC158" s="1" t="n">
        <f aca="false">N(AC157)+$AB158</f>
        <v>0</v>
      </c>
      <c r="AD158" s="1" t="n">
        <f aca="false">IF(AND($M158=1,LEFT(对接源_01水果!$D158,4)="成品出库"),1,0)</f>
        <v>0</v>
      </c>
      <c r="AE158" s="1" t="n">
        <f aca="false">N(AE157)+$AD158</f>
        <v>0</v>
      </c>
      <c r="AF158" s="1" t="n">
        <f aca="false">IF(AND($N158=1,AND(LEFT(对接源_01水果!$D158,4)="包装物料",N(对接源_01水果!$K158)&lt;&gt;0)),1,0)</f>
        <v>0</v>
      </c>
      <c r="AG158" s="90" t="str">
        <f aca="false">IF(对接源_01水果!$AC158="","",对接源_01水果!$AC158)</f>
        <v/>
      </c>
      <c r="AH158" s="90" t="str">
        <f aca="false">IFERROR(INDEX($AG$4:$AG$1203,MATCH(ROW()-3,$AJ$4:$AJ$1203,0)),"")</f>
        <v/>
      </c>
      <c r="AI158" s="90" t="n">
        <f aca="false">IF(AG158="",0,IF(MATCH(AG158,$AG$4:$AG$1203,0)=ROW()-3,1,0))</f>
        <v>0</v>
      </c>
      <c r="AJ158" s="90" t="n">
        <f aca="false">N(AJ157)+AI158</f>
        <v>0</v>
      </c>
      <c r="AK158" s="1" t="n">
        <f aca="false">N(AK157)+$AJ158</f>
        <v>0</v>
      </c>
    </row>
    <row r="159" customFormat="false" ht="13.5" hidden="false" customHeight="false" outlineLevel="0" collapsed="false">
      <c r="A159" s="1" t="str">
        <f aca="false">IF(对接源_01水果!$C159="","",对接源_01水果!$C159)</f>
        <v>吐尔洪</v>
      </c>
      <c r="B159" s="1" t="n">
        <f aca="false">IF(A159="",0,IF(MATCH(A159,$A$4:$A$2403,0)=ROW()-3,1,0))</f>
        <v>0</v>
      </c>
      <c r="C159" s="1" t="n">
        <f aca="false">N(C158)+B159</f>
        <v>8</v>
      </c>
      <c r="E159" s="1" t="str">
        <f aca="false">IFERROR(INDEX($A$4:$A$2403,MATCH(ROW()-3,$C$4:$C$2403,0)),"")</f>
        <v/>
      </c>
      <c r="K159" s="1" t="n">
        <f aca="false">IF(OR($K$1="",对接源_01水果!$C159="",对接源_01水果!$C159&lt;&gt;$K$1,对接源_01水果!$B159=""),0,IF(OR(N(对接源_01水果!$B159)&lt;$K$2,N(对接源_01水果!$B159)&gt;$K$3),0,1))</f>
        <v>0</v>
      </c>
      <c r="L159" s="1" t="n">
        <f aca="false">IF(OR($L$1="",对接源_01水果!$C159="",对接源_01水果!$C159&lt;&gt;$L$1,对接源_01水果!$B159=""),0,IF(OR(N(对接源_01水果!$B159)&lt;$L$2,N(对接源_01水果!$B159)&gt;$L$3),0,1))</f>
        <v>0</v>
      </c>
      <c r="M159" s="1" t="n">
        <f aca="false">IF(OR($M$1="",对接源_01水果!$C159="",对接源_01水果!$C159&lt;&gt;$M$1,对接源_01水果!$B159=""),0,IF(OR(N(对接源_01水果!$B159)&lt;$M$2,N(对接源_01水果!$B159)&gt;$M$3),0,1))</f>
        <v>0</v>
      </c>
      <c r="N159" s="1" t="n">
        <f aca="false">IF(OR($N$1="",对接源_01水果!$C159="",对接源_01水果!$C159&lt;&gt;$N$1,对接源_01水果!$B159=""),0,IF(OR(N(对接源_01水果!$B159)&lt;$N$2,N(对接源_01水果!$B159)&gt;$N$3),0,1))</f>
        <v>0</v>
      </c>
      <c r="P159" s="1" t="n">
        <f aca="false">IF(AND($K159=1,AND(对接源_01水果!$X159="公司筐",N(对接源_01水果!$T159)&lt;&gt;0)),1,0)</f>
        <v>0</v>
      </c>
      <c r="Q159" s="1" t="n">
        <f aca="false">N(Q158)+$P159</f>
        <v>0</v>
      </c>
      <c r="R159" s="1" t="n">
        <f aca="false">IF(AND($K159=1,AND(对接源_01水果!$X159="公司筐",N(对接源_01水果!$U159)&lt;&gt;0)),1,0)</f>
        <v>0</v>
      </c>
      <c r="S159" s="1" t="n">
        <f aca="false">N(S158)+$R159</f>
        <v>0</v>
      </c>
      <c r="T159" s="1" t="n">
        <f aca="false">IF(AND($K159=1,AND(对接源_01水果!$X159="公司筐",N(对接源_01水果!$V159)&lt;&gt;0)),1,0)</f>
        <v>0</v>
      </c>
      <c r="U159" s="1" t="n">
        <f aca="false">N(U158)+$T159</f>
        <v>18</v>
      </c>
      <c r="V159" s="1" t="n">
        <f aca="false">IF(AND($L159=1,AND(对接源_01水果!$X159="自备筐",N(对接源_01水果!$V159)&lt;&gt;0)),1,0)</f>
        <v>0</v>
      </c>
      <c r="W159" s="1" t="n">
        <f aca="false">N(W158)+$V159</f>
        <v>2</v>
      </c>
      <c r="X159" s="1" t="n">
        <f aca="false">IF(AND($L159=1,AND(对接源_01水果!$X159="自备筐",N(对接源_01水果!$T159)&lt;&gt;0)),1,0)</f>
        <v>0</v>
      </c>
      <c r="Y159" s="1" t="n">
        <f aca="false">N(Y158)+$X159</f>
        <v>0</v>
      </c>
      <c r="Z159" s="1" t="n">
        <f aca="false">IF(AND($M159=1,对接源_01水果!$D159="原料入库"),1,0)</f>
        <v>0</v>
      </c>
      <c r="AA159" s="1" t="n">
        <f aca="false">N(AA158)+$Z159</f>
        <v>20</v>
      </c>
      <c r="AB159" s="1" t="n">
        <f aca="false">IF(AND($M159=1,LEFT(对接源_01水果!$D159,4)="原料出库"),1,0)</f>
        <v>0</v>
      </c>
      <c r="AC159" s="1" t="n">
        <f aca="false">N(AC158)+$AB159</f>
        <v>0</v>
      </c>
      <c r="AD159" s="1" t="n">
        <f aca="false">IF(AND($M159=1,LEFT(对接源_01水果!$D159,4)="成品出库"),1,0)</f>
        <v>0</v>
      </c>
      <c r="AE159" s="1" t="n">
        <f aca="false">N(AE158)+$AD159</f>
        <v>0</v>
      </c>
      <c r="AF159" s="1" t="n">
        <f aca="false">IF(AND($N159=1,AND(LEFT(对接源_01水果!$D159,4)="包装物料",N(对接源_01水果!$K159)&lt;&gt;0)),1,0)</f>
        <v>0</v>
      </c>
      <c r="AG159" s="90" t="str">
        <f aca="false">IF(对接源_01水果!$AC159="","",对接源_01水果!$AC159)</f>
        <v/>
      </c>
      <c r="AH159" s="90" t="str">
        <f aca="false">IFERROR(INDEX($AG$4:$AG$1203,MATCH(ROW()-3,$AJ$4:$AJ$1203,0)),"")</f>
        <v/>
      </c>
      <c r="AI159" s="90" t="n">
        <f aca="false">IF(AG159="",0,IF(MATCH(AG159,$AG$4:$AG$1203,0)=ROW()-3,1,0))</f>
        <v>0</v>
      </c>
      <c r="AJ159" s="90" t="n">
        <f aca="false">N(AJ158)+AI159</f>
        <v>0</v>
      </c>
      <c r="AK159" s="1" t="n">
        <f aca="false">N(AK158)+$AJ159</f>
        <v>0</v>
      </c>
    </row>
    <row r="160" customFormat="false" ht="13.5" hidden="false" customHeight="false" outlineLevel="0" collapsed="false">
      <c r="A160" s="1" t="str">
        <f aca="false">IF(对接源_01水果!$C160="","",对接源_01水果!$C160)</f>
        <v>吐尔洪</v>
      </c>
      <c r="B160" s="1" t="n">
        <f aca="false">IF(A160="",0,IF(MATCH(A160,$A$4:$A$2403,0)=ROW()-3,1,0))</f>
        <v>0</v>
      </c>
      <c r="C160" s="1" t="n">
        <f aca="false">N(C159)+B160</f>
        <v>8</v>
      </c>
      <c r="E160" s="1" t="str">
        <f aca="false">IFERROR(INDEX($A$4:$A$2403,MATCH(ROW()-3,$C$4:$C$2403,0)),"")</f>
        <v/>
      </c>
      <c r="K160" s="1" t="n">
        <f aca="false">IF(OR($K$1="",对接源_01水果!$C160="",对接源_01水果!$C160&lt;&gt;$K$1,对接源_01水果!$B160=""),0,IF(OR(N(对接源_01水果!$B160)&lt;$K$2,N(对接源_01水果!$B160)&gt;$K$3),0,1))</f>
        <v>0</v>
      </c>
      <c r="L160" s="1" t="n">
        <f aca="false">IF(OR($L$1="",对接源_01水果!$C160="",对接源_01水果!$C160&lt;&gt;$L$1,对接源_01水果!$B160=""),0,IF(OR(N(对接源_01水果!$B160)&lt;$L$2,N(对接源_01水果!$B160)&gt;$L$3),0,1))</f>
        <v>0</v>
      </c>
      <c r="M160" s="1" t="n">
        <f aca="false">IF(OR($M$1="",对接源_01水果!$C160="",对接源_01水果!$C160&lt;&gt;$M$1,对接源_01水果!$B160=""),0,IF(OR(N(对接源_01水果!$B160)&lt;$M$2,N(对接源_01水果!$B160)&gt;$M$3),0,1))</f>
        <v>0</v>
      </c>
      <c r="N160" s="1" t="n">
        <f aca="false">IF(OR($N$1="",对接源_01水果!$C160="",对接源_01水果!$C160&lt;&gt;$N$1,对接源_01水果!$B160=""),0,IF(OR(N(对接源_01水果!$B160)&lt;$N$2,N(对接源_01水果!$B160)&gt;$N$3),0,1))</f>
        <v>0</v>
      </c>
      <c r="P160" s="1" t="n">
        <f aca="false">IF(AND($K160=1,AND(对接源_01水果!$X160="公司筐",N(对接源_01水果!$T160)&lt;&gt;0)),1,0)</f>
        <v>0</v>
      </c>
      <c r="Q160" s="1" t="n">
        <f aca="false">N(Q159)+$P160</f>
        <v>0</v>
      </c>
      <c r="R160" s="1" t="n">
        <f aca="false">IF(AND($K160=1,AND(对接源_01水果!$X160="公司筐",N(对接源_01水果!$U160)&lt;&gt;0)),1,0)</f>
        <v>0</v>
      </c>
      <c r="S160" s="1" t="n">
        <f aca="false">N(S159)+$R160</f>
        <v>0</v>
      </c>
      <c r="T160" s="1" t="n">
        <f aca="false">IF(AND($K160=1,AND(对接源_01水果!$X160="公司筐",N(对接源_01水果!$V160)&lt;&gt;0)),1,0)</f>
        <v>0</v>
      </c>
      <c r="U160" s="1" t="n">
        <f aca="false">N(U159)+$T160</f>
        <v>18</v>
      </c>
      <c r="V160" s="1" t="n">
        <f aca="false">IF(AND($L160=1,AND(对接源_01水果!$X160="自备筐",N(对接源_01水果!$V160)&lt;&gt;0)),1,0)</f>
        <v>0</v>
      </c>
      <c r="W160" s="1" t="n">
        <f aca="false">N(W159)+$V160</f>
        <v>2</v>
      </c>
      <c r="X160" s="1" t="n">
        <f aca="false">IF(AND($L160=1,AND(对接源_01水果!$X160="自备筐",N(对接源_01水果!$T160)&lt;&gt;0)),1,0)</f>
        <v>0</v>
      </c>
      <c r="Y160" s="1" t="n">
        <f aca="false">N(Y159)+$X160</f>
        <v>0</v>
      </c>
      <c r="Z160" s="1" t="n">
        <f aca="false">IF(AND($M160=1,对接源_01水果!$D160="原料入库"),1,0)</f>
        <v>0</v>
      </c>
      <c r="AA160" s="1" t="n">
        <f aca="false">N(AA159)+$Z160</f>
        <v>20</v>
      </c>
      <c r="AB160" s="1" t="n">
        <f aca="false">IF(AND($M160=1,LEFT(对接源_01水果!$D160,4)="原料出库"),1,0)</f>
        <v>0</v>
      </c>
      <c r="AC160" s="1" t="n">
        <f aca="false">N(AC159)+$AB160</f>
        <v>0</v>
      </c>
      <c r="AD160" s="1" t="n">
        <f aca="false">IF(AND($M160=1,LEFT(对接源_01水果!$D160,4)="成品出库"),1,0)</f>
        <v>0</v>
      </c>
      <c r="AE160" s="1" t="n">
        <f aca="false">N(AE159)+$AD160</f>
        <v>0</v>
      </c>
      <c r="AF160" s="1" t="n">
        <f aca="false">IF(AND($N160=1,AND(LEFT(对接源_01水果!$D160,4)="包装物料",N(对接源_01水果!$K160)&lt;&gt;0)),1,0)</f>
        <v>0</v>
      </c>
      <c r="AG160" s="90" t="str">
        <f aca="false">IF(对接源_01水果!$AC160="","",对接源_01水果!$AC160)</f>
        <v/>
      </c>
      <c r="AH160" s="90" t="str">
        <f aca="false">IFERROR(INDEX($AG$4:$AG$1203,MATCH(ROW()-3,$AJ$4:$AJ$1203,0)),"")</f>
        <v/>
      </c>
      <c r="AI160" s="90" t="n">
        <f aca="false">IF(AG160="",0,IF(MATCH(AG160,$AG$4:$AG$1203,0)=ROW()-3,1,0))</f>
        <v>0</v>
      </c>
      <c r="AJ160" s="90" t="n">
        <f aca="false">N(AJ159)+AI160</f>
        <v>0</v>
      </c>
      <c r="AK160" s="1" t="n">
        <f aca="false">N(AK159)+$AJ160</f>
        <v>0</v>
      </c>
    </row>
    <row r="161" customFormat="false" ht="13.5" hidden="false" customHeight="false" outlineLevel="0" collapsed="false">
      <c r="A161" s="1" t="str">
        <f aca="false">IF(对接源_01水果!$C161="","",对接源_01水果!$C161)</f>
        <v>吐尔洪</v>
      </c>
      <c r="B161" s="1" t="n">
        <f aca="false">IF(A161="",0,IF(MATCH(A161,$A$4:$A$2403,0)=ROW()-3,1,0))</f>
        <v>0</v>
      </c>
      <c r="C161" s="1" t="n">
        <f aca="false">N(C160)+B161</f>
        <v>8</v>
      </c>
      <c r="E161" s="1" t="str">
        <f aca="false">IFERROR(INDEX($A$4:$A$2403,MATCH(ROW()-3,$C$4:$C$2403,0)),"")</f>
        <v/>
      </c>
      <c r="K161" s="1" t="n">
        <f aca="false">IF(OR($K$1="",对接源_01水果!$C161="",对接源_01水果!$C161&lt;&gt;$K$1,对接源_01水果!$B161=""),0,IF(OR(N(对接源_01水果!$B161)&lt;$K$2,N(对接源_01水果!$B161)&gt;$K$3),0,1))</f>
        <v>0</v>
      </c>
      <c r="L161" s="1" t="n">
        <f aca="false">IF(OR($L$1="",对接源_01水果!$C161="",对接源_01水果!$C161&lt;&gt;$L$1,对接源_01水果!$B161=""),0,IF(OR(N(对接源_01水果!$B161)&lt;$L$2,N(对接源_01水果!$B161)&gt;$L$3),0,1))</f>
        <v>0</v>
      </c>
      <c r="M161" s="1" t="n">
        <f aca="false">IF(OR($M$1="",对接源_01水果!$C161="",对接源_01水果!$C161&lt;&gt;$M$1,对接源_01水果!$B161=""),0,IF(OR(N(对接源_01水果!$B161)&lt;$M$2,N(对接源_01水果!$B161)&gt;$M$3),0,1))</f>
        <v>0</v>
      </c>
      <c r="N161" s="1" t="n">
        <f aca="false">IF(OR($N$1="",对接源_01水果!$C161="",对接源_01水果!$C161&lt;&gt;$N$1,对接源_01水果!$B161=""),0,IF(OR(N(对接源_01水果!$B161)&lt;$N$2,N(对接源_01水果!$B161)&gt;$N$3),0,1))</f>
        <v>0</v>
      </c>
      <c r="P161" s="1" t="n">
        <f aca="false">IF(AND($K161=1,AND(对接源_01水果!$X161="公司筐",N(对接源_01水果!$T161)&lt;&gt;0)),1,0)</f>
        <v>0</v>
      </c>
      <c r="Q161" s="1" t="n">
        <f aca="false">N(Q160)+$P161</f>
        <v>0</v>
      </c>
      <c r="R161" s="1" t="n">
        <f aca="false">IF(AND($K161=1,AND(对接源_01水果!$X161="公司筐",N(对接源_01水果!$U161)&lt;&gt;0)),1,0)</f>
        <v>0</v>
      </c>
      <c r="S161" s="1" t="n">
        <f aca="false">N(S160)+$R161</f>
        <v>0</v>
      </c>
      <c r="T161" s="1" t="n">
        <f aca="false">IF(AND($K161=1,AND(对接源_01水果!$X161="公司筐",N(对接源_01水果!$V161)&lt;&gt;0)),1,0)</f>
        <v>0</v>
      </c>
      <c r="U161" s="1" t="n">
        <f aca="false">N(U160)+$T161</f>
        <v>18</v>
      </c>
      <c r="V161" s="1" t="n">
        <f aca="false">IF(AND($L161=1,AND(对接源_01水果!$X161="自备筐",N(对接源_01水果!$V161)&lt;&gt;0)),1,0)</f>
        <v>0</v>
      </c>
      <c r="W161" s="1" t="n">
        <f aca="false">N(W160)+$V161</f>
        <v>2</v>
      </c>
      <c r="X161" s="1" t="n">
        <f aca="false">IF(AND($L161=1,AND(对接源_01水果!$X161="自备筐",N(对接源_01水果!$T161)&lt;&gt;0)),1,0)</f>
        <v>0</v>
      </c>
      <c r="Y161" s="1" t="n">
        <f aca="false">N(Y160)+$X161</f>
        <v>0</v>
      </c>
      <c r="Z161" s="1" t="n">
        <f aca="false">IF(AND($M161=1,对接源_01水果!$D161="原料入库"),1,0)</f>
        <v>0</v>
      </c>
      <c r="AA161" s="1" t="n">
        <f aca="false">N(AA160)+$Z161</f>
        <v>20</v>
      </c>
      <c r="AB161" s="1" t="n">
        <f aca="false">IF(AND($M161=1,LEFT(对接源_01水果!$D161,4)="原料出库"),1,0)</f>
        <v>0</v>
      </c>
      <c r="AC161" s="1" t="n">
        <f aca="false">N(AC160)+$AB161</f>
        <v>0</v>
      </c>
      <c r="AD161" s="1" t="n">
        <f aca="false">IF(AND($M161=1,LEFT(对接源_01水果!$D161,4)="成品出库"),1,0)</f>
        <v>0</v>
      </c>
      <c r="AE161" s="1" t="n">
        <f aca="false">N(AE160)+$AD161</f>
        <v>0</v>
      </c>
      <c r="AF161" s="1" t="n">
        <f aca="false">IF(AND($N161=1,AND(LEFT(对接源_01水果!$D161,4)="包装物料",N(对接源_01水果!$K161)&lt;&gt;0)),1,0)</f>
        <v>0</v>
      </c>
      <c r="AG161" s="90" t="str">
        <f aca="false">IF(对接源_01水果!$AC161="","",对接源_01水果!$AC161)</f>
        <v/>
      </c>
      <c r="AH161" s="90" t="str">
        <f aca="false">IFERROR(INDEX($AG$4:$AG$1203,MATCH(ROW()-3,$AJ$4:$AJ$1203,0)),"")</f>
        <v/>
      </c>
      <c r="AI161" s="90" t="n">
        <f aca="false">IF(AG161="",0,IF(MATCH(AG161,$AG$4:$AG$1203,0)=ROW()-3,1,0))</f>
        <v>0</v>
      </c>
      <c r="AJ161" s="90" t="n">
        <f aca="false">N(AJ160)+AI161</f>
        <v>0</v>
      </c>
      <c r="AK161" s="1" t="n">
        <f aca="false">N(AK160)+$AJ161</f>
        <v>0</v>
      </c>
    </row>
    <row r="162" customFormat="false" ht="13.5" hidden="false" customHeight="false" outlineLevel="0" collapsed="false">
      <c r="A162" s="1" t="str">
        <f aca="false">IF(对接源_01水果!$C162="","",对接源_01水果!$C162)</f>
        <v>麦麦提</v>
      </c>
      <c r="B162" s="1" t="n">
        <f aca="false">IF(A162="",0,IF(MATCH(A162,$A$4:$A$2403,0)=ROW()-3,1,0))</f>
        <v>0</v>
      </c>
      <c r="C162" s="1" t="n">
        <f aca="false">N(C161)+B162</f>
        <v>8</v>
      </c>
      <c r="E162" s="1" t="str">
        <f aca="false">IFERROR(INDEX($A$4:$A$2403,MATCH(ROW()-3,$C$4:$C$2403,0)),"")</f>
        <v/>
      </c>
      <c r="K162" s="1" t="n">
        <f aca="false">IF(OR($K$1="",对接源_01水果!$C162="",对接源_01水果!$C162&lt;&gt;$K$1,对接源_01水果!$B162=""),0,IF(OR(N(对接源_01水果!$B162)&lt;$K$2,N(对接源_01水果!$B162)&gt;$K$3),0,1))</f>
        <v>0</v>
      </c>
      <c r="L162" s="1" t="n">
        <f aca="false">IF(OR($L$1="",对接源_01水果!$C162="",对接源_01水果!$C162&lt;&gt;$L$1,对接源_01水果!$B162=""),0,IF(OR(N(对接源_01水果!$B162)&lt;$L$2,N(对接源_01水果!$B162)&gt;$L$3),0,1))</f>
        <v>0</v>
      </c>
      <c r="M162" s="1" t="n">
        <f aca="false">IF(OR($M$1="",对接源_01水果!$C162="",对接源_01水果!$C162&lt;&gt;$M$1,对接源_01水果!$B162=""),0,IF(OR(N(对接源_01水果!$B162)&lt;$M$2,N(对接源_01水果!$B162)&gt;$M$3),0,1))</f>
        <v>0</v>
      </c>
      <c r="N162" s="1" t="n">
        <f aca="false">IF(OR($N$1="",对接源_01水果!$C162="",对接源_01水果!$C162&lt;&gt;$N$1,对接源_01水果!$B162=""),0,IF(OR(N(对接源_01水果!$B162)&lt;$N$2,N(对接源_01水果!$B162)&gt;$N$3),0,1))</f>
        <v>1</v>
      </c>
      <c r="P162" s="1" t="n">
        <f aca="false">IF(AND($K162=1,AND(对接源_01水果!$X162="公司筐",N(对接源_01水果!$T162)&lt;&gt;0)),1,0)</f>
        <v>0</v>
      </c>
      <c r="Q162" s="1" t="n">
        <f aca="false">N(Q161)+$P162</f>
        <v>0</v>
      </c>
      <c r="R162" s="1" t="n">
        <f aca="false">IF(AND($K162=1,AND(对接源_01水果!$X162="公司筐",N(对接源_01水果!$U162)&lt;&gt;0)),1,0)</f>
        <v>0</v>
      </c>
      <c r="S162" s="1" t="n">
        <f aca="false">N(S161)+$R162</f>
        <v>0</v>
      </c>
      <c r="T162" s="1" t="n">
        <f aca="false">IF(AND($K162=1,AND(对接源_01水果!$X162="公司筐",N(对接源_01水果!$V162)&lt;&gt;0)),1,0)</f>
        <v>0</v>
      </c>
      <c r="U162" s="1" t="n">
        <f aca="false">N(U161)+$T162</f>
        <v>18</v>
      </c>
      <c r="V162" s="1" t="n">
        <f aca="false">IF(AND($L162=1,AND(对接源_01水果!$X162="自备筐",N(对接源_01水果!$V162)&lt;&gt;0)),1,0)</f>
        <v>0</v>
      </c>
      <c r="W162" s="1" t="n">
        <f aca="false">N(W161)+$V162</f>
        <v>2</v>
      </c>
      <c r="X162" s="1" t="n">
        <f aca="false">IF(AND($L162=1,AND(对接源_01水果!$X162="自备筐",N(对接源_01水果!$T162)&lt;&gt;0)),1,0)</f>
        <v>0</v>
      </c>
      <c r="Y162" s="1" t="n">
        <f aca="false">N(Y161)+$X162</f>
        <v>0</v>
      </c>
      <c r="Z162" s="1" t="n">
        <f aca="false">IF(AND($M162=1,对接源_01水果!$D162="原料入库"),1,0)</f>
        <v>0</v>
      </c>
      <c r="AA162" s="1" t="n">
        <f aca="false">N(AA161)+$Z162</f>
        <v>20</v>
      </c>
      <c r="AB162" s="1" t="n">
        <f aca="false">IF(AND($M162=1,LEFT(对接源_01水果!$D162,4)="原料出库"),1,0)</f>
        <v>0</v>
      </c>
      <c r="AC162" s="1" t="n">
        <f aca="false">N(AC161)+$AB162</f>
        <v>0</v>
      </c>
      <c r="AD162" s="1" t="n">
        <f aca="false">IF(AND($M162=1,LEFT(对接源_01水果!$D162,4)="成品出库"),1,0)</f>
        <v>0</v>
      </c>
      <c r="AE162" s="1" t="n">
        <f aca="false">N(AE161)+$AD162</f>
        <v>0</v>
      </c>
      <c r="AF162" s="1" t="n">
        <f aca="false">IF(AND($N162=1,AND(LEFT(对接源_01水果!$D162,4)="包装物料",N(对接源_01水果!$K162)&lt;&gt;0)),1,0)</f>
        <v>0</v>
      </c>
      <c r="AG162" s="90" t="str">
        <f aca="false">IF(对接源_01水果!$AC162="","",对接源_01水果!$AC162)</f>
        <v/>
      </c>
      <c r="AH162" s="90" t="str">
        <f aca="false">IFERROR(INDEX($AG$4:$AG$1203,MATCH(ROW()-3,$AJ$4:$AJ$1203,0)),"")</f>
        <v/>
      </c>
      <c r="AI162" s="90" t="n">
        <f aca="false">IF(AG162="",0,IF(MATCH(AG162,$AG$4:$AG$1203,0)=ROW()-3,1,0))</f>
        <v>0</v>
      </c>
      <c r="AJ162" s="90" t="n">
        <f aca="false">N(AJ161)+AI162</f>
        <v>0</v>
      </c>
      <c r="AK162" s="1" t="n">
        <f aca="false">N(AK161)+$AJ162</f>
        <v>0</v>
      </c>
    </row>
    <row r="163" customFormat="false" ht="13.5" hidden="false" customHeight="false" outlineLevel="0" collapsed="false">
      <c r="A163" s="1" t="str">
        <f aca="false">IF(对接源_01水果!$C163="","",对接源_01水果!$C163)</f>
        <v>麦麦提</v>
      </c>
      <c r="B163" s="1" t="n">
        <f aca="false">IF(A163="",0,IF(MATCH(A163,$A$4:$A$2403,0)=ROW()-3,1,0))</f>
        <v>0</v>
      </c>
      <c r="C163" s="1" t="n">
        <f aca="false">N(C162)+B163</f>
        <v>8</v>
      </c>
      <c r="E163" s="1" t="str">
        <f aca="false">IFERROR(INDEX($A$4:$A$2403,MATCH(ROW()-3,$C$4:$C$2403,0)),"")</f>
        <v/>
      </c>
      <c r="K163" s="1" t="n">
        <f aca="false">IF(OR($K$1="",对接源_01水果!$C163="",对接源_01水果!$C163&lt;&gt;$K$1,对接源_01水果!$B163=""),0,IF(OR(N(对接源_01水果!$B163)&lt;$K$2,N(对接源_01水果!$B163)&gt;$K$3),0,1))</f>
        <v>0</v>
      </c>
      <c r="L163" s="1" t="n">
        <f aca="false">IF(OR($L$1="",对接源_01水果!$C163="",对接源_01水果!$C163&lt;&gt;$L$1,对接源_01水果!$B163=""),0,IF(OR(N(对接源_01水果!$B163)&lt;$L$2,N(对接源_01水果!$B163)&gt;$L$3),0,1))</f>
        <v>0</v>
      </c>
      <c r="M163" s="1" t="n">
        <f aca="false">IF(OR($M$1="",对接源_01水果!$C163="",对接源_01水果!$C163&lt;&gt;$M$1,对接源_01水果!$B163=""),0,IF(OR(N(对接源_01水果!$B163)&lt;$M$2,N(对接源_01水果!$B163)&gt;$M$3),0,1))</f>
        <v>0</v>
      </c>
      <c r="N163" s="1" t="n">
        <f aca="false">IF(OR($N$1="",对接源_01水果!$C163="",对接源_01水果!$C163&lt;&gt;$N$1,对接源_01水果!$B163=""),0,IF(OR(N(对接源_01水果!$B163)&lt;$N$2,N(对接源_01水果!$B163)&gt;$N$3),0,1))</f>
        <v>1</v>
      </c>
      <c r="P163" s="1" t="n">
        <f aca="false">IF(AND($K163=1,AND(对接源_01水果!$X163="公司筐",N(对接源_01水果!$T163)&lt;&gt;0)),1,0)</f>
        <v>0</v>
      </c>
      <c r="Q163" s="1" t="n">
        <f aca="false">N(Q162)+$P163</f>
        <v>0</v>
      </c>
      <c r="R163" s="1" t="n">
        <f aca="false">IF(AND($K163=1,AND(对接源_01水果!$X163="公司筐",N(对接源_01水果!$U163)&lt;&gt;0)),1,0)</f>
        <v>0</v>
      </c>
      <c r="S163" s="1" t="n">
        <f aca="false">N(S162)+$R163</f>
        <v>0</v>
      </c>
      <c r="T163" s="1" t="n">
        <f aca="false">IF(AND($K163=1,AND(对接源_01水果!$X163="公司筐",N(对接源_01水果!$V163)&lt;&gt;0)),1,0)</f>
        <v>0</v>
      </c>
      <c r="U163" s="1" t="n">
        <f aca="false">N(U162)+$T163</f>
        <v>18</v>
      </c>
      <c r="V163" s="1" t="n">
        <f aca="false">IF(AND($L163=1,AND(对接源_01水果!$X163="自备筐",N(对接源_01水果!$V163)&lt;&gt;0)),1,0)</f>
        <v>0</v>
      </c>
      <c r="W163" s="1" t="n">
        <f aca="false">N(W162)+$V163</f>
        <v>2</v>
      </c>
      <c r="X163" s="1" t="n">
        <f aca="false">IF(AND($L163=1,AND(对接源_01水果!$X163="自备筐",N(对接源_01水果!$T163)&lt;&gt;0)),1,0)</f>
        <v>0</v>
      </c>
      <c r="Y163" s="1" t="n">
        <f aca="false">N(Y162)+$X163</f>
        <v>0</v>
      </c>
      <c r="Z163" s="1" t="n">
        <f aca="false">IF(AND($M163=1,对接源_01水果!$D163="原料入库"),1,0)</f>
        <v>0</v>
      </c>
      <c r="AA163" s="1" t="n">
        <f aca="false">N(AA162)+$Z163</f>
        <v>20</v>
      </c>
      <c r="AB163" s="1" t="n">
        <f aca="false">IF(AND($M163=1,LEFT(对接源_01水果!$D163,4)="原料出库"),1,0)</f>
        <v>0</v>
      </c>
      <c r="AC163" s="1" t="n">
        <f aca="false">N(AC162)+$AB163</f>
        <v>0</v>
      </c>
      <c r="AD163" s="1" t="n">
        <f aca="false">IF(AND($M163=1,LEFT(对接源_01水果!$D163,4)="成品出库"),1,0)</f>
        <v>0</v>
      </c>
      <c r="AE163" s="1" t="n">
        <f aca="false">N(AE162)+$AD163</f>
        <v>0</v>
      </c>
      <c r="AF163" s="1" t="n">
        <f aca="false">IF(AND($N163=1,AND(LEFT(对接源_01水果!$D163,4)="包装物料",N(对接源_01水果!$K163)&lt;&gt;0)),1,0)</f>
        <v>0</v>
      </c>
      <c r="AG163" s="90" t="str">
        <f aca="false">IF(对接源_01水果!$AC163="","",对接源_01水果!$AC163)</f>
        <v/>
      </c>
      <c r="AH163" s="90" t="str">
        <f aca="false">IFERROR(INDEX($AG$4:$AG$1203,MATCH(ROW()-3,$AJ$4:$AJ$1203,0)),"")</f>
        <v/>
      </c>
      <c r="AI163" s="90" t="n">
        <f aca="false">IF(AG163="",0,IF(MATCH(AG163,$AG$4:$AG$1203,0)=ROW()-3,1,0))</f>
        <v>0</v>
      </c>
      <c r="AJ163" s="90" t="n">
        <f aca="false">N(AJ162)+AI163</f>
        <v>0</v>
      </c>
      <c r="AK163" s="1" t="n">
        <f aca="false">N(AK162)+$AJ163</f>
        <v>0</v>
      </c>
    </row>
    <row r="164" customFormat="false" ht="13.5" hidden="false" customHeight="false" outlineLevel="0" collapsed="false">
      <c r="A164" s="1" t="str">
        <f aca="false">IF(对接源_01水果!$C164="","",对接源_01水果!$C164)</f>
        <v>麦麦提</v>
      </c>
      <c r="B164" s="1" t="n">
        <f aca="false">IF(A164="",0,IF(MATCH(A164,$A$4:$A$2403,0)=ROW()-3,1,0))</f>
        <v>0</v>
      </c>
      <c r="C164" s="1" t="n">
        <f aca="false">N(C163)+B164</f>
        <v>8</v>
      </c>
      <c r="E164" s="1" t="str">
        <f aca="false">IFERROR(INDEX($A$4:$A$2403,MATCH(ROW()-3,$C$4:$C$2403,0)),"")</f>
        <v/>
      </c>
      <c r="K164" s="1" t="n">
        <f aca="false">IF(OR($K$1="",对接源_01水果!$C164="",对接源_01水果!$C164&lt;&gt;$K$1,对接源_01水果!$B164=""),0,IF(OR(N(对接源_01水果!$B164)&lt;$K$2,N(对接源_01水果!$B164)&gt;$K$3),0,1))</f>
        <v>0</v>
      </c>
      <c r="L164" s="1" t="n">
        <f aca="false">IF(OR($L$1="",对接源_01水果!$C164="",对接源_01水果!$C164&lt;&gt;$L$1,对接源_01水果!$B164=""),0,IF(OR(N(对接源_01水果!$B164)&lt;$L$2,N(对接源_01水果!$B164)&gt;$L$3),0,1))</f>
        <v>0</v>
      </c>
      <c r="M164" s="1" t="n">
        <f aca="false">IF(OR($M$1="",对接源_01水果!$C164="",对接源_01水果!$C164&lt;&gt;$M$1,对接源_01水果!$B164=""),0,IF(OR(N(对接源_01水果!$B164)&lt;$M$2,N(对接源_01水果!$B164)&gt;$M$3),0,1))</f>
        <v>0</v>
      </c>
      <c r="N164" s="1" t="n">
        <f aca="false">IF(OR($N$1="",对接源_01水果!$C164="",对接源_01水果!$C164&lt;&gt;$N$1,对接源_01水果!$B164=""),0,IF(OR(N(对接源_01水果!$B164)&lt;$N$2,N(对接源_01水果!$B164)&gt;$N$3),0,1))</f>
        <v>1</v>
      </c>
      <c r="P164" s="1" t="n">
        <f aca="false">IF(AND($K164=1,AND(对接源_01水果!$X164="公司筐",N(对接源_01水果!$T164)&lt;&gt;0)),1,0)</f>
        <v>0</v>
      </c>
      <c r="Q164" s="1" t="n">
        <f aca="false">N(Q163)+$P164</f>
        <v>0</v>
      </c>
      <c r="R164" s="1" t="n">
        <f aca="false">IF(AND($K164=1,AND(对接源_01水果!$X164="公司筐",N(对接源_01水果!$U164)&lt;&gt;0)),1,0)</f>
        <v>0</v>
      </c>
      <c r="S164" s="1" t="n">
        <f aca="false">N(S163)+$R164</f>
        <v>0</v>
      </c>
      <c r="T164" s="1" t="n">
        <f aca="false">IF(AND($K164=1,AND(对接源_01水果!$X164="公司筐",N(对接源_01水果!$V164)&lt;&gt;0)),1,0)</f>
        <v>0</v>
      </c>
      <c r="U164" s="1" t="n">
        <f aca="false">N(U163)+$T164</f>
        <v>18</v>
      </c>
      <c r="V164" s="1" t="n">
        <f aca="false">IF(AND($L164=1,AND(对接源_01水果!$X164="自备筐",N(对接源_01水果!$V164)&lt;&gt;0)),1,0)</f>
        <v>0</v>
      </c>
      <c r="W164" s="1" t="n">
        <f aca="false">N(W163)+$V164</f>
        <v>2</v>
      </c>
      <c r="X164" s="1" t="n">
        <f aca="false">IF(AND($L164=1,AND(对接源_01水果!$X164="自备筐",N(对接源_01水果!$T164)&lt;&gt;0)),1,0)</f>
        <v>0</v>
      </c>
      <c r="Y164" s="1" t="n">
        <f aca="false">N(Y163)+$X164</f>
        <v>0</v>
      </c>
      <c r="Z164" s="1" t="n">
        <f aca="false">IF(AND($M164=1,对接源_01水果!$D164="原料入库"),1,0)</f>
        <v>0</v>
      </c>
      <c r="AA164" s="1" t="n">
        <f aca="false">N(AA163)+$Z164</f>
        <v>20</v>
      </c>
      <c r="AB164" s="1" t="n">
        <f aca="false">IF(AND($M164=1,LEFT(对接源_01水果!$D164,4)="原料出库"),1,0)</f>
        <v>0</v>
      </c>
      <c r="AC164" s="1" t="n">
        <f aca="false">N(AC163)+$AB164</f>
        <v>0</v>
      </c>
      <c r="AD164" s="1" t="n">
        <f aca="false">IF(AND($M164=1,LEFT(对接源_01水果!$D164,4)="成品出库"),1,0)</f>
        <v>0</v>
      </c>
      <c r="AE164" s="1" t="n">
        <f aca="false">N(AE163)+$AD164</f>
        <v>0</v>
      </c>
      <c r="AF164" s="1" t="n">
        <f aca="false">IF(AND($N164=1,AND(LEFT(对接源_01水果!$D164,4)="包装物料",N(对接源_01水果!$K164)&lt;&gt;0)),1,0)</f>
        <v>0</v>
      </c>
      <c r="AG164" s="90" t="str">
        <f aca="false">IF(对接源_01水果!$AC164="","",对接源_01水果!$AC164)</f>
        <v/>
      </c>
      <c r="AH164" s="90" t="str">
        <f aca="false">IFERROR(INDEX($AG$4:$AG$1203,MATCH(ROW()-3,$AJ$4:$AJ$1203,0)),"")</f>
        <v/>
      </c>
      <c r="AI164" s="90" t="n">
        <f aca="false">IF(AG164="",0,IF(MATCH(AG164,$AG$4:$AG$1203,0)=ROW()-3,1,0))</f>
        <v>0</v>
      </c>
      <c r="AJ164" s="90" t="n">
        <f aca="false">N(AJ163)+AI164</f>
        <v>0</v>
      </c>
      <c r="AK164" s="1" t="n">
        <f aca="false">N(AK163)+$AJ164</f>
        <v>0</v>
      </c>
    </row>
    <row r="165" customFormat="false" ht="13.5" hidden="false" customHeight="false" outlineLevel="0" collapsed="false">
      <c r="A165" s="1" t="str">
        <f aca="false">IF(对接源_01水果!$C165="","",对接源_01水果!$C165)</f>
        <v>贾建国</v>
      </c>
      <c r="B165" s="1" t="n">
        <f aca="false">IF(A165="",0,IF(MATCH(A165,$A$4:$A$2403,0)=ROW()-3,1,0))</f>
        <v>0</v>
      </c>
      <c r="C165" s="1" t="n">
        <f aca="false">N(C164)+B165</f>
        <v>8</v>
      </c>
      <c r="E165" s="1" t="str">
        <f aca="false">IFERROR(INDEX($A$4:$A$2403,MATCH(ROW()-3,$C$4:$C$2403,0)),"")</f>
        <v/>
      </c>
      <c r="K165" s="1" t="n">
        <f aca="false">IF(OR($K$1="",对接源_01水果!$C165="",对接源_01水果!$C165&lt;&gt;$K$1,对接源_01水果!$B165=""),0,IF(OR(N(对接源_01水果!$B165)&lt;$K$2,N(对接源_01水果!$B165)&gt;$K$3),0,1))</f>
        <v>0</v>
      </c>
      <c r="L165" s="1" t="n">
        <f aca="false">IF(OR($L$1="",对接源_01水果!$C165="",对接源_01水果!$C165&lt;&gt;$L$1,对接源_01水果!$B165=""),0,IF(OR(N(对接源_01水果!$B165)&lt;$L$2,N(对接源_01水果!$B165)&gt;$L$3),0,1))</f>
        <v>1</v>
      </c>
      <c r="M165" s="1" t="n">
        <f aca="false">IF(OR($M$1="",对接源_01水果!$C165="",对接源_01水果!$C165&lt;&gt;$M$1,对接源_01水果!$B165=""),0,IF(OR(N(对接源_01水果!$B165)&lt;$M$2,N(对接源_01水果!$B165)&gt;$M$3),0,1))</f>
        <v>0</v>
      </c>
      <c r="N165" s="1" t="n">
        <f aca="false">IF(OR($N$1="",对接源_01水果!$C165="",对接源_01水果!$C165&lt;&gt;$N$1,对接源_01水果!$B165=""),0,IF(OR(N(对接源_01水果!$B165)&lt;$N$2,N(对接源_01水果!$B165)&gt;$N$3),0,1))</f>
        <v>0</v>
      </c>
      <c r="P165" s="1" t="n">
        <f aca="false">IF(AND($K165=1,AND(对接源_01水果!$X165="公司筐",N(对接源_01水果!$T165)&lt;&gt;0)),1,0)</f>
        <v>0</v>
      </c>
      <c r="Q165" s="1" t="n">
        <f aca="false">N(Q164)+$P165</f>
        <v>0</v>
      </c>
      <c r="R165" s="1" t="n">
        <f aca="false">IF(AND($K165=1,AND(对接源_01水果!$X165="公司筐",N(对接源_01水果!$U165)&lt;&gt;0)),1,0)</f>
        <v>0</v>
      </c>
      <c r="S165" s="1" t="n">
        <f aca="false">N(S164)+$R165</f>
        <v>0</v>
      </c>
      <c r="T165" s="1" t="n">
        <f aca="false">IF(AND($K165=1,AND(对接源_01水果!$X165="公司筐",N(对接源_01水果!$V165)&lt;&gt;0)),1,0)</f>
        <v>0</v>
      </c>
      <c r="U165" s="1" t="n">
        <f aca="false">N(U164)+$T165</f>
        <v>18</v>
      </c>
      <c r="V165" s="1" t="n">
        <f aca="false">IF(AND($L165=1,AND(对接源_01水果!$X165="自备筐",N(对接源_01水果!$V165)&lt;&gt;0)),1,0)</f>
        <v>1</v>
      </c>
      <c r="W165" s="1" t="n">
        <f aca="false">N(W164)+$V165</f>
        <v>3</v>
      </c>
      <c r="X165" s="1" t="n">
        <f aca="false">IF(AND($L165=1,AND(对接源_01水果!$X165="自备筐",N(对接源_01水果!$T165)&lt;&gt;0)),1,0)</f>
        <v>0</v>
      </c>
      <c r="Y165" s="1" t="n">
        <f aca="false">N(Y164)+$X165</f>
        <v>0</v>
      </c>
      <c r="Z165" s="1" t="n">
        <f aca="false">IF(AND($M165=1,对接源_01水果!$D165="原料入库"),1,0)</f>
        <v>0</v>
      </c>
      <c r="AA165" s="1" t="n">
        <f aca="false">N(AA164)+$Z165</f>
        <v>20</v>
      </c>
      <c r="AB165" s="1" t="n">
        <f aca="false">IF(AND($M165=1,LEFT(对接源_01水果!$D165,4)="原料出库"),1,0)</f>
        <v>0</v>
      </c>
      <c r="AC165" s="1" t="n">
        <f aca="false">N(AC164)+$AB165</f>
        <v>0</v>
      </c>
      <c r="AD165" s="1" t="n">
        <f aca="false">IF(AND($M165=1,LEFT(对接源_01水果!$D165,4)="成品出库"),1,0)</f>
        <v>0</v>
      </c>
      <c r="AE165" s="1" t="n">
        <f aca="false">N(AE164)+$AD165</f>
        <v>0</v>
      </c>
      <c r="AF165" s="1" t="n">
        <f aca="false">IF(AND($N165=1,AND(LEFT(对接源_01水果!$D165,4)="包装物料",N(对接源_01水果!$K165)&lt;&gt;0)),1,0)</f>
        <v>0</v>
      </c>
      <c r="AG165" s="90" t="str">
        <f aca="false">IF(对接源_01水果!$AC165="","",对接源_01水果!$AC165)</f>
        <v/>
      </c>
      <c r="AH165" s="90" t="str">
        <f aca="false">IFERROR(INDEX($AG$4:$AG$1203,MATCH(ROW()-3,$AJ$4:$AJ$1203,0)),"")</f>
        <v/>
      </c>
      <c r="AI165" s="90" t="n">
        <f aca="false">IF(AG165="",0,IF(MATCH(AG165,$AG$4:$AG$1203,0)=ROW()-3,1,0))</f>
        <v>0</v>
      </c>
      <c r="AJ165" s="90" t="n">
        <f aca="false">N(AJ164)+AI165</f>
        <v>0</v>
      </c>
      <c r="AK165" s="1" t="n">
        <f aca="false">N(AK164)+$AJ165</f>
        <v>0</v>
      </c>
    </row>
    <row r="166" customFormat="false" ht="13.5" hidden="false" customHeight="false" outlineLevel="0" collapsed="false">
      <c r="A166" s="1" t="str">
        <f aca="false">IF(对接源_01水果!$C166="","",对接源_01水果!$C166)</f>
        <v>贾建国</v>
      </c>
      <c r="B166" s="1" t="n">
        <f aca="false">IF(A166="",0,IF(MATCH(A166,$A$4:$A$2403,0)=ROW()-3,1,0))</f>
        <v>0</v>
      </c>
      <c r="C166" s="1" t="n">
        <f aca="false">N(C165)+B166</f>
        <v>8</v>
      </c>
      <c r="E166" s="1" t="str">
        <f aca="false">IFERROR(INDEX($A$4:$A$2403,MATCH(ROW()-3,$C$4:$C$2403,0)),"")</f>
        <v/>
      </c>
      <c r="K166" s="1" t="n">
        <f aca="false">IF(OR($K$1="",对接源_01水果!$C166="",对接源_01水果!$C166&lt;&gt;$K$1,对接源_01水果!$B166=""),0,IF(OR(N(对接源_01水果!$B166)&lt;$K$2,N(对接源_01水果!$B166)&gt;$K$3),0,1))</f>
        <v>0</v>
      </c>
      <c r="L166" s="1" t="n">
        <f aca="false">IF(OR($L$1="",对接源_01水果!$C166="",对接源_01水果!$C166&lt;&gt;$L$1,对接源_01水果!$B166=""),0,IF(OR(N(对接源_01水果!$B166)&lt;$L$2,N(对接源_01水果!$B166)&gt;$L$3),0,1))</f>
        <v>1</v>
      </c>
      <c r="M166" s="1" t="n">
        <f aca="false">IF(OR($M$1="",对接源_01水果!$C166="",对接源_01水果!$C166&lt;&gt;$M$1,对接源_01水果!$B166=""),0,IF(OR(N(对接源_01水果!$B166)&lt;$M$2,N(对接源_01水果!$B166)&gt;$M$3),0,1))</f>
        <v>0</v>
      </c>
      <c r="N166" s="1" t="n">
        <f aca="false">IF(OR($N$1="",对接源_01水果!$C166="",对接源_01水果!$C166&lt;&gt;$N$1,对接源_01水果!$B166=""),0,IF(OR(N(对接源_01水果!$B166)&lt;$N$2,N(对接源_01水果!$B166)&gt;$N$3),0,1))</f>
        <v>0</v>
      </c>
      <c r="P166" s="1" t="n">
        <f aca="false">IF(AND($K166=1,AND(对接源_01水果!$X166="公司筐",N(对接源_01水果!$T166)&lt;&gt;0)),1,0)</f>
        <v>0</v>
      </c>
      <c r="Q166" s="1" t="n">
        <f aca="false">N(Q165)+$P166</f>
        <v>0</v>
      </c>
      <c r="R166" s="1" t="n">
        <f aca="false">IF(AND($K166=1,AND(对接源_01水果!$X166="公司筐",N(对接源_01水果!$U166)&lt;&gt;0)),1,0)</f>
        <v>0</v>
      </c>
      <c r="S166" s="1" t="n">
        <f aca="false">N(S165)+$R166</f>
        <v>0</v>
      </c>
      <c r="T166" s="1" t="n">
        <f aca="false">IF(AND($K166=1,AND(对接源_01水果!$X166="公司筐",N(对接源_01水果!$V166)&lt;&gt;0)),1,0)</f>
        <v>0</v>
      </c>
      <c r="U166" s="1" t="n">
        <f aca="false">N(U165)+$T166</f>
        <v>18</v>
      </c>
      <c r="V166" s="1" t="n">
        <f aca="false">IF(AND($L166=1,AND(对接源_01水果!$X166="自备筐",N(对接源_01水果!$V166)&lt;&gt;0)),1,0)</f>
        <v>1</v>
      </c>
      <c r="W166" s="1" t="n">
        <f aca="false">N(W165)+$V166</f>
        <v>4</v>
      </c>
      <c r="X166" s="1" t="n">
        <f aca="false">IF(AND($L166=1,AND(对接源_01水果!$X166="自备筐",N(对接源_01水果!$T166)&lt;&gt;0)),1,0)</f>
        <v>0</v>
      </c>
      <c r="Y166" s="1" t="n">
        <f aca="false">N(Y165)+$X166</f>
        <v>0</v>
      </c>
      <c r="Z166" s="1" t="n">
        <f aca="false">IF(AND($M166=1,对接源_01水果!$D166="原料入库"),1,0)</f>
        <v>0</v>
      </c>
      <c r="AA166" s="1" t="n">
        <f aca="false">N(AA165)+$Z166</f>
        <v>20</v>
      </c>
      <c r="AB166" s="1" t="n">
        <f aca="false">IF(AND($M166=1,LEFT(对接源_01水果!$D166,4)="原料出库"),1,0)</f>
        <v>0</v>
      </c>
      <c r="AC166" s="1" t="n">
        <f aca="false">N(AC165)+$AB166</f>
        <v>0</v>
      </c>
      <c r="AD166" s="1" t="n">
        <f aca="false">IF(AND($M166=1,LEFT(对接源_01水果!$D166,4)="成品出库"),1,0)</f>
        <v>0</v>
      </c>
      <c r="AE166" s="1" t="n">
        <f aca="false">N(AE165)+$AD166</f>
        <v>0</v>
      </c>
      <c r="AF166" s="1" t="n">
        <f aca="false">IF(AND($N166=1,AND(LEFT(对接源_01水果!$D166,4)="包装物料",N(对接源_01水果!$K166)&lt;&gt;0)),1,0)</f>
        <v>0</v>
      </c>
      <c r="AG166" s="90" t="str">
        <f aca="false">IF(对接源_01水果!$AC166="","",对接源_01水果!$AC166)</f>
        <v/>
      </c>
      <c r="AH166" s="90" t="str">
        <f aca="false">IFERROR(INDEX($AG$4:$AG$1203,MATCH(ROW()-3,$AJ$4:$AJ$1203,0)),"")</f>
        <v/>
      </c>
      <c r="AI166" s="90" t="n">
        <f aca="false">IF(AG166="",0,IF(MATCH(AG166,$AG$4:$AG$1203,0)=ROW()-3,1,0))</f>
        <v>0</v>
      </c>
      <c r="AJ166" s="90" t="n">
        <f aca="false">N(AJ165)+AI166</f>
        <v>0</v>
      </c>
      <c r="AK166" s="1" t="n">
        <f aca="false">N(AK165)+$AJ166</f>
        <v>0</v>
      </c>
    </row>
    <row r="167" customFormat="false" ht="13.5" hidden="false" customHeight="false" outlineLevel="0" collapsed="false">
      <c r="A167" s="1" t="str">
        <f aca="false">IF(对接源_01水果!$C167="","",对接源_01水果!$C167)</f>
        <v>王灵云</v>
      </c>
      <c r="B167" s="1" t="n">
        <f aca="false">IF(A167="",0,IF(MATCH(A167,$A$4:$A$2403,0)=ROW()-3,1,0))</f>
        <v>1</v>
      </c>
      <c r="C167" s="1" t="n">
        <f aca="false">N(C166)+B167</f>
        <v>9</v>
      </c>
      <c r="E167" s="1" t="str">
        <f aca="false">IFERROR(INDEX($A$4:$A$2403,MATCH(ROW()-3,$C$4:$C$2403,0)),"")</f>
        <v/>
      </c>
      <c r="K167" s="1" t="n">
        <f aca="false">IF(OR($K$1="",对接源_01水果!$C167="",对接源_01水果!$C167&lt;&gt;$K$1,对接源_01水果!$B167=""),0,IF(OR(N(对接源_01水果!$B167)&lt;$K$2,N(对接源_01水果!$B167)&gt;$K$3),0,1))</f>
        <v>0</v>
      </c>
      <c r="L167" s="1" t="n">
        <f aca="false">IF(OR($L$1="",对接源_01水果!$C167="",对接源_01水果!$C167&lt;&gt;$L$1,对接源_01水果!$B167=""),0,IF(OR(N(对接源_01水果!$B167)&lt;$L$2,N(对接源_01水果!$B167)&gt;$L$3),0,1))</f>
        <v>0</v>
      </c>
      <c r="M167" s="1" t="n">
        <f aca="false">IF(OR($M$1="",对接源_01水果!$C167="",对接源_01水果!$C167&lt;&gt;$M$1,对接源_01水果!$B167=""),0,IF(OR(N(对接源_01水果!$B167)&lt;$M$2,N(对接源_01水果!$B167)&gt;$M$3),0,1))</f>
        <v>0</v>
      </c>
      <c r="N167" s="1" t="n">
        <f aca="false">IF(OR($N$1="",对接源_01水果!$C167="",对接源_01水果!$C167&lt;&gt;$N$1,对接源_01水果!$B167=""),0,IF(OR(N(对接源_01水果!$B167)&lt;$N$2,N(对接源_01水果!$B167)&gt;$N$3),0,1))</f>
        <v>0</v>
      </c>
      <c r="P167" s="1" t="n">
        <f aca="false">IF(AND($K167=1,AND(对接源_01水果!$X167="公司筐",N(对接源_01水果!$T167)&lt;&gt;0)),1,0)</f>
        <v>0</v>
      </c>
      <c r="Q167" s="1" t="n">
        <f aca="false">N(Q166)+$P167</f>
        <v>0</v>
      </c>
      <c r="R167" s="1" t="n">
        <f aca="false">IF(AND($K167=1,AND(对接源_01水果!$X167="公司筐",N(对接源_01水果!$U167)&lt;&gt;0)),1,0)</f>
        <v>0</v>
      </c>
      <c r="S167" s="1" t="n">
        <f aca="false">N(S166)+$R167</f>
        <v>0</v>
      </c>
      <c r="T167" s="1" t="n">
        <f aca="false">IF(AND($K167=1,AND(对接源_01水果!$X167="公司筐",N(对接源_01水果!$V167)&lt;&gt;0)),1,0)</f>
        <v>0</v>
      </c>
      <c r="U167" s="1" t="n">
        <f aca="false">N(U166)+$T167</f>
        <v>18</v>
      </c>
      <c r="V167" s="1" t="n">
        <f aca="false">IF(AND($L167=1,AND(对接源_01水果!$X167="自备筐",N(对接源_01水果!$V167)&lt;&gt;0)),1,0)</f>
        <v>0</v>
      </c>
      <c r="W167" s="1" t="n">
        <f aca="false">N(W166)+$V167</f>
        <v>4</v>
      </c>
      <c r="X167" s="1" t="n">
        <f aca="false">IF(AND($L167=1,AND(对接源_01水果!$X167="自备筐",N(对接源_01水果!$T167)&lt;&gt;0)),1,0)</f>
        <v>0</v>
      </c>
      <c r="Y167" s="1" t="n">
        <f aca="false">N(Y166)+$X167</f>
        <v>0</v>
      </c>
      <c r="Z167" s="1" t="n">
        <f aca="false">IF(AND($M167=1,对接源_01水果!$D167="原料入库"),1,0)</f>
        <v>0</v>
      </c>
      <c r="AA167" s="1" t="n">
        <f aca="false">N(AA166)+$Z167</f>
        <v>20</v>
      </c>
      <c r="AB167" s="1" t="n">
        <f aca="false">IF(AND($M167=1,LEFT(对接源_01水果!$D167,4)="原料出库"),1,0)</f>
        <v>0</v>
      </c>
      <c r="AC167" s="1" t="n">
        <f aca="false">N(AC166)+$AB167</f>
        <v>0</v>
      </c>
      <c r="AD167" s="1" t="n">
        <f aca="false">IF(AND($M167=1,LEFT(对接源_01水果!$D167,4)="成品出库"),1,0)</f>
        <v>0</v>
      </c>
      <c r="AE167" s="1" t="n">
        <f aca="false">N(AE166)+$AD167</f>
        <v>0</v>
      </c>
      <c r="AF167" s="1" t="n">
        <f aca="false">IF(AND($N167=1,AND(LEFT(对接源_01水果!$D167,4)="包装物料",N(对接源_01水果!$K167)&lt;&gt;0)),1,0)</f>
        <v>0</v>
      </c>
      <c r="AG167" s="90" t="str">
        <f aca="false">IF(对接源_01水果!$AC167="","",对接源_01水果!$AC167)</f>
        <v/>
      </c>
      <c r="AH167" s="90" t="str">
        <f aca="false">IFERROR(INDEX($AG$4:$AG$1203,MATCH(ROW()-3,$AJ$4:$AJ$1203,0)),"")</f>
        <v/>
      </c>
      <c r="AI167" s="90" t="n">
        <f aca="false">IF(AG167="",0,IF(MATCH(AG167,$AG$4:$AG$1203,0)=ROW()-3,1,0))</f>
        <v>0</v>
      </c>
      <c r="AJ167" s="90" t="n">
        <f aca="false">N(AJ166)+AI167</f>
        <v>0</v>
      </c>
      <c r="AK167" s="1" t="n">
        <f aca="false">N(AK166)+$AJ167</f>
        <v>0</v>
      </c>
    </row>
    <row r="168" customFormat="false" ht="13.5" hidden="false" customHeight="false" outlineLevel="0" collapsed="false">
      <c r="A168" s="1" t="str">
        <f aca="false">IF(对接源_01水果!$C168="","",对接源_01水果!$C168)</f>
        <v>王灵云</v>
      </c>
      <c r="B168" s="1" t="n">
        <f aca="false">IF(A168="",0,IF(MATCH(A168,$A$4:$A$2403,0)=ROW()-3,1,0))</f>
        <v>0</v>
      </c>
      <c r="C168" s="1" t="n">
        <f aca="false">N(C167)+B168</f>
        <v>9</v>
      </c>
      <c r="E168" s="1" t="str">
        <f aca="false">IFERROR(INDEX($A$4:$A$2403,MATCH(ROW()-3,$C$4:$C$2403,0)),"")</f>
        <v/>
      </c>
      <c r="K168" s="1" t="n">
        <f aca="false">IF(OR($K$1="",对接源_01水果!$C168="",对接源_01水果!$C168&lt;&gt;$K$1,对接源_01水果!$B168=""),0,IF(OR(N(对接源_01水果!$B168)&lt;$K$2,N(对接源_01水果!$B168)&gt;$K$3),0,1))</f>
        <v>0</v>
      </c>
      <c r="L168" s="1" t="n">
        <f aca="false">IF(OR($L$1="",对接源_01水果!$C168="",对接源_01水果!$C168&lt;&gt;$L$1,对接源_01水果!$B168=""),0,IF(OR(N(对接源_01水果!$B168)&lt;$L$2,N(对接源_01水果!$B168)&gt;$L$3),0,1))</f>
        <v>0</v>
      </c>
      <c r="M168" s="1" t="n">
        <f aca="false">IF(OR($M$1="",对接源_01水果!$C168="",对接源_01水果!$C168&lt;&gt;$M$1,对接源_01水果!$B168=""),0,IF(OR(N(对接源_01水果!$B168)&lt;$M$2,N(对接源_01水果!$B168)&gt;$M$3),0,1))</f>
        <v>0</v>
      </c>
      <c r="N168" s="1" t="n">
        <f aca="false">IF(OR($N$1="",对接源_01水果!$C168="",对接源_01水果!$C168&lt;&gt;$N$1,对接源_01水果!$B168=""),0,IF(OR(N(对接源_01水果!$B168)&lt;$N$2,N(对接源_01水果!$B168)&gt;$N$3),0,1))</f>
        <v>0</v>
      </c>
      <c r="P168" s="1" t="n">
        <f aca="false">IF(AND($K168=1,AND(对接源_01水果!$X168="公司筐",N(对接源_01水果!$T168)&lt;&gt;0)),1,0)</f>
        <v>0</v>
      </c>
      <c r="Q168" s="1" t="n">
        <f aca="false">N(Q167)+$P168</f>
        <v>0</v>
      </c>
      <c r="R168" s="1" t="n">
        <f aca="false">IF(AND($K168=1,AND(对接源_01水果!$X168="公司筐",N(对接源_01水果!$U168)&lt;&gt;0)),1,0)</f>
        <v>0</v>
      </c>
      <c r="S168" s="1" t="n">
        <f aca="false">N(S167)+$R168</f>
        <v>0</v>
      </c>
      <c r="T168" s="1" t="n">
        <f aca="false">IF(AND($K168=1,AND(对接源_01水果!$X168="公司筐",N(对接源_01水果!$V168)&lt;&gt;0)),1,0)</f>
        <v>0</v>
      </c>
      <c r="U168" s="1" t="n">
        <f aca="false">N(U167)+$T168</f>
        <v>18</v>
      </c>
      <c r="V168" s="1" t="n">
        <f aca="false">IF(AND($L168=1,AND(对接源_01水果!$X168="自备筐",N(对接源_01水果!$V168)&lt;&gt;0)),1,0)</f>
        <v>0</v>
      </c>
      <c r="W168" s="1" t="n">
        <f aca="false">N(W167)+$V168</f>
        <v>4</v>
      </c>
      <c r="X168" s="1" t="n">
        <f aca="false">IF(AND($L168=1,AND(对接源_01水果!$X168="自备筐",N(对接源_01水果!$T168)&lt;&gt;0)),1,0)</f>
        <v>0</v>
      </c>
      <c r="Y168" s="1" t="n">
        <f aca="false">N(Y167)+$X168</f>
        <v>0</v>
      </c>
      <c r="Z168" s="1" t="n">
        <f aca="false">IF(AND($M168=1,对接源_01水果!$D168="原料入库"),1,0)</f>
        <v>0</v>
      </c>
      <c r="AA168" s="1" t="n">
        <f aca="false">N(AA167)+$Z168</f>
        <v>20</v>
      </c>
      <c r="AB168" s="1" t="n">
        <f aca="false">IF(AND($M168=1,LEFT(对接源_01水果!$D168,4)="原料出库"),1,0)</f>
        <v>0</v>
      </c>
      <c r="AC168" s="1" t="n">
        <f aca="false">N(AC167)+$AB168</f>
        <v>0</v>
      </c>
      <c r="AD168" s="1" t="n">
        <f aca="false">IF(AND($M168=1,LEFT(对接源_01水果!$D168,4)="成品出库"),1,0)</f>
        <v>0</v>
      </c>
      <c r="AE168" s="1" t="n">
        <f aca="false">N(AE167)+$AD168</f>
        <v>0</v>
      </c>
      <c r="AF168" s="1" t="n">
        <f aca="false">IF(AND($N168=1,AND(LEFT(对接源_01水果!$D168,4)="包装物料",N(对接源_01水果!$K168)&lt;&gt;0)),1,0)</f>
        <v>0</v>
      </c>
      <c r="AG168" s="90" t="str">
        <f aca="false">IF(对接源_01水果!$AC168="","",对接源_01水果!$AC168)</f>
        <v/>
      </c>
      <c r="AH168" s="90" t="str">
        <f aca="false">IFERROR(INDEX($AG$4:$AG$1203,MATCH(ROW()-3,$AJ$4:$AJ$1203,0)),"")</f>
        <v/>
      </c>
      <c r="AI168" s="90" t="n">
        <f aca="false">IF(AG168="",0,IF(MATCH(AG168,$AG$4:$AG$1203,0)=ROW()-3,1,0))</f>
        <v>0</v>
      </c>
      <c r="AJ168" s="90" t="n">
        <f aca="false">N(AJ167)+AI168</f>
        <v>0</v>
      </c>
      <c r="AK168" s="1" t="n">
        <f aca="false">N(AK167)+$AJ168</f>
        <v>0</v>
      </c>
    </row>
    <row r="169" customFormat="false" ht="13.5" hidden="false" customHeight="false" outlineLevel="0" collapsed="false">
      <c r="A169" s="1" t="str">
        <f aca="false">IF(对接源_01水果!$C169="","",对接源_01水果!$C169)</f>
        <v>王灵云</v>
      </c>
      <c r="B169" s="1" t="n">
        <f aca="false">IF(A169="",0,IF(MATCH(A169,$A$4:$A$2403,0)=ROW()-3,1,0))</f>
        <v>0</v>
      </c>
      <c r="C169" s="1" t="n">
        <f aca="false">N(C168)+B169</f>
        <v>9</v>
      </c>
      <c r="E169" s="1" t="str">
        <f aca="false">IFERROR(INDEX($A$4:$A$2403,MATCH(ROW()-3,$C$4:$C$2403,0)),"")</f>
        <v/>
      </c>
      <c r="K169" s="1" t="n">
        <f aca="false">IF(OR($K$1="",对接源_01水果!$C169="",对接源_01水果!$C169&lt;&gt;$K$1,对接源_01水果!$B169=""),0,IF(OR(N(对接源_01水果!$B169)&lt;$K$2,N(对接源_01水果!$B169)&gt;$K$3),0,1))</f>
        <v>0</v>
      </c>
      <c r="L169" s="1" t="n">
        <f aca="false">IF(OR($L$1="",对接源_01水果!$C169="",对接源_01水果!$C169&lt;&gt;$L$1,对接源_01水果!$B169=""),0,IF(OR(N(对接源_01水果!$B169)&lt;$L$2,N(对接源_01水果!$B169)&gt;$L$3),0,1))</f>
        <v>0</v>
      </c>
      <c r="M169" s="1" t="n">
        <f aca="false">IF(OR($M$1="",对接源_01水果!$C169="",对接源_01水果!$C169&lt;&gt;$M$1,对接源_01水果!$B169=""),0,IF(OR(N(对接源_01水果!$B169)&lt;$M$2,N(对接源_01水果!$B169)&gt;$M$3),0,1))</f>
        <v>0</v>
      </c>
      <c r="N169" s="1" t="n">
        <f aca="false">IF(OR($N$1="",对接源_01水果!$C169="",对接源_01水果!$C169&lt;&gt;$N$1,对接源_01水果!$B169=""),0,IF(OR(N(对接源_01水果!$B169)&lt;$N$2,N(对接源_01水果!$B169)&gt;$N$3),0,1))</f>
        <v>0</v>
      </c>
      <c r="P169" s="1" t="n">
        <f aca="false">IF(AND($K169=1,AND(对接源_01水果!$X169="公司筐",N(对接源_01水果!$T169)&lt;&gt;0)),1,0)</f>
        <v>0</v>
      </c>
      <c r="Q169" s="1" t="n">
        <f aca="false">N(Q168)+$P169</f>
        <v>0</v>
      </c>
      <c r="R169" s="1" t="n">
        <f aca="false">IF(AND($K169=1,AND(对接源_01水果!$X169="公司筐",N(对接源_01水果!$U169)&lt;&gt;0)),1,0)</f>
        <v>0</v>
      </c>
      <c r="S169" s="1" t="n">
        <f aca="false">N(S168)+$R169</f>
        <v>0</v>
      </c>
      <c r="T169" s="1" t="n">
        <f aca="false">IF(AND($K169=1,AND(对接源_01水果!$X169="公司筐",N(对接源_01水果!$V169)&lt;&gt;0)),1,0)</f>
        <v>0</v>
      </c>
      <c r="U169" s="1" t="n">
        <f aca="false">N(U168)+$T169</f>
        <v>18</v>
      </c>
      <c r="V169" s="1" t="n">
        <f aca="false">IF(AND($L169=1,AND(对接源_01水果!$X169="自备筐",N(对接源_01水果!$V169)&lt;&gt;0)),1,0)</f>
        <v>0</v>
      </c>
      <c r="W169" s="1" t="n">
        <f aca="false">N(W168)+$V169</f>
        <v>4</v>
      </c>
      <c r="X169" s="1" t="n">
        <f aca="false">IF(AND($L169=1,AND(对接源_01水果!$X169="自备筐",N(对接源_01水果!$T169)&lt;&gt;0)),1,0)</f>
        <v>0</v>
      </c>
      <c r="Y169" s="1" t="n">
        <f aca="false">N(Y168)+$X169</f>
        <v>0</v>
      </c>
      <c r="Z169" s="1" t="n">
        <f aca="false">IF(AND($M169=1,对接源_01水果!$D169="原料入库"),1,0)</f>
        <v>0</v>
      </c>
      <c r="AA169" s="1" t="n">
        <f aca="false">N(AA168)+$Z169</f>
        <v>20</v>
      </c>
      <c r="AB169" s="1" t="n">
        <f aca="false">IF(AND($M169=1,LEFT(对接源_01水果!$D169,4)="原料出库"),1,0)</f>
        <v>0</v>
      </c>
      <c r="AC169" s="1" t="n">
        <f aca="false">N(AC168)+$AB169</f>
        <v>0</v>
      </c>
      <c r="AD169" s="1" t="n">
        <f aca="false">IF(AND($M169=1,LEFT(对接源_01水果!$D169,4)="成品出库"),1,0)</f>
        <v>0</v>
      </c>
      <c r="AE169" s="1" t="n">
        <f aca="false">N(AE168)+$AD169</f>
        <v>0</v>
      </c>
      <c r="AF169" s="1" t="n">
        <f aca="false">IF(AND($N169=1,AND(LEFT(对接源_01水果!$D169,4)="包装物料",N(对接源_01水果!$K169)&lt;&gt;0)),1,0)</f>
        <v>0</v>
      </c>
      <c r="AG169" s="90" t="str">
        <f aca="false">IF(对接源_01水果!$AC169="","",对接源_01水果!$AC169)</f>
        <v/>
      </c>
      <c r="AH169" s="90" t="str">
        <f aca="false">IFERROR(INDEX($AG$4:$AG$1203,MATCH(ROW()-3,$AJ$4:$AJ$1203,0)),"")</f>
        <v/>
      </c>
      <c r="AI169" s="90" t="n">
        <f aca="false">IF(AG169="",0,IF(MATCH(AG169,$AG$4:$AG$1203,0)=ROW()-3,1,0))</f>
        <v>0</v>
      </c>
      <c r="AJ169" s="90" t="n">
        <f aca="false">N(AJ168)+AI169</f>
        <v>0</v>
      </c>
      <c r="AK169" s="1" t="n">
        <f aca="false">N(AK168)+$AJ169</f>
        <v>0</v>
      </c>
    </row>
    <row r="170" customFormat="false" ht="13.5" hidden="false" customHeight="false" outlineLevel="0" collapsed="false">
      <c r="A170" s="1" t="str">
        <f aca="false">IF(对接源_01水果!$C170="","",对接源_01水果!$C170)</f>
        <v>杨艳玲</v>
      </c>
      <c r="B170" s="1" t="n">
        <f aca="false">IF(A170="",0,IF(MATCH(A170,$A$4:$A$2403,0)=ROW()-3,1,0))</f>
        <v>1</v>
      </c>
      <c r="C170" s="1" t="n">
        <f aca="false">N(C169)+B170</f>
        <v>10</v>
      </c>
      <c r="E170" s="1" t="str">
        <f aca="false">IFERROR(INDEX($A$4:$A$2403,MATCH(ROW()-3,$C$4:$C$2403,0)),"")</f>
        <v/>
      </c>
      <c r="K170" s="1" t="n">
        <f aca="false">IF(OR($K$1="",对接源_01水果!$C170="",对接源_01水果!$C170&lt;&gt;$K$1,对接源_01水果!$B170=""),0,IF(OR(N(对接源_01水果!$B170)&lt;$K$2,N(对接源_01水果!$B170)&gt;$K$3),0,1))</f>
        <v>0</v>
      </c>
      <c r="L170" s="1" t="n">
        <f aca="false">IF(OR($L$1="",对接源_01水果!$C170="",对接源_01水果!$C170&lt;&gt;$L$1,对接源_01水果!$B170=""),0,IF(OR(N(对接源_01水果!$B170)&lt;$L$2,N(对接源_01水果!$B170)&gt;$L$3),0,1))</f>
        <v>0</v>
      </c>
      <c r="M170" s="1" t="n">
        <f aca="false">IF(OR($M$1="",对接源_01水果!$C170="",对接源_01水果!$C170&lt;&gt;$M$1,对接源_01水果!$B170=""),0,IF(OR(N(对接源_01水果!$B170)&lt;$M$2,N(对接源_01水果!$B170)&gt;$M$3),0,1))</f>
        <v>0</v>
      </c>
      <c r="N170" s="1" t="n">
        <f aca="false">IF(OR($N$1="",对接源_01水果!$C170="",对接源_01水果!$C170&lt;&gt;$N$1,对接源_01水果!$B170=""),0,IF(OR(N(对接源_01水果!$B170)&lt;$N$2,N(对接源_01水果!$B170)&gt;$N$3),0,1))</f>
        <v>0</v>
      </c>
      <c r="P170" s="1" t="n">
        <f aca="false">IF(AND($K170=1,AND(对接源_01水果!$X170="公司筐",N(对接源_01水果!$T170)&lt;&gt;0)),1,0)</f>
        <v>0</v>
      </c>
      <c r="Q170" s="1" t="n">
        <f aca="false">N(Q169)+$P170</f>
        <v>0</v>
      </c>
      <c r="R170" s="1" t="n">
        <f aca="false">IF(AND($K170=1,AND(对接源_01水果!$X170="公司筐",N(对接源_01水果!$U170)&lt;&gt;0)),1,0)</f>
        <v>0</v>
      </c>
      <c r="S170" s="1" t="n">
        <f aca="false">N(S169)+$R170</f>
        <v>0</v>
      </c>
      <c r="T170" s="1" t="n">
        <f aca="false">IF(AND($K170=1,AND(对接源_01水果!$X170="公司筐",N(对接源_01水果!$V170)&lt;&gt;0)),1,0)</f>
        <v>0</v>
      </c>
      <c r="U170" s="1" t="n">
        <f aca="false">N(U169)+$T170</f>
        <v>18</v>
      </c>
      <c r="V170" s="1" t="n">
        <f aca="false">IF(AND($L170=1,AND(对接源_01水果!$X170="自备筐",N(对接源_01水果!$V170)&lt;&gt;0)),1,0)</f>
        <v>0</v>
      </c>
      <c r="W170" s="1" t="n">
        <f aca="false">N(W169)+$V170</f>
        <v>4</v>
      </c>
      <c r="X170" s="1" t="n">
        <f aca="false">IF(AND($L170=1,AND(对接源_01水果!$X170="自备筐",N(对接源_01水果!$T170)&lt;&gt;0)),1,0)</f>
        <v>0</v>
      </c>
      <c r="Y170" s="1" t="n">
        <f aca="false">N(Y169)+$X170</f>
        <v>0</v>
      </c>
      <c r="Z170" s="1" t="n">
        <f aca="false">IF(AND($M170=1,对接源_01水果!$D170="原料入库"),1,0)</f>
        <v>0</v>
      </c>
      <c r="AA170" s="1" t="n">
        <f aca="false">N(AA169)+$Z170</f>
        <v>20</v>
      </c>
      <c r="AB170" s="1" t="n">
        <f aca="false">IF(AND($M170=1,LEFT(对接源_01水果!$D170,4)="原料出库"),1,0)</f>
        <v>0</v>
      </c>
      <c r="AC170" s="1" t="n">
        <f aca="false">N(AC169)+$AB170</f>
        <v>0</v>
      </c>
      <c r="AD170" s="1" t="n">
        <f aca="false">IF(AND($M170=1,LEFT(对接源_01水果!$D170,4)="成品出库"),1,0)</f>
        <v>0</v>
      </c>
      <c r="AE170" s="1" t="n">
        <f aca="false">N(AE169)+$AD170</f>
        <v>0</v>
      </c>
      <c r="AF170" s="1" t="n">
        <f aca="false">IF(AND($N170=1,AND(LEFT(对接源_01水果!$D170,4)="包装物料",N(对接源_01水果!$K170)&lt;&gt;0)),1,0)</f>
        <v>0</v>
      </c>
      <c r="AG170" s="90" t="str">
        <f aca="false">IF(对接源_01水果!$AC170="","",对接源_01水果!$AC170)</f>
        <v/>
      </c>
      <c r="AH170" s="90" t="str">
        <f aca="false">IFERROR(INDEX($AG$4:$AG$1203,MATCH(ROW()-3,$AJ$4:$AJ$1203,0)),"")</f>
        <v/>
      </c>
      <c r="AI170" s="90" t="n">
        <f aca="false">IF(AG170="",0,IF(MATCH(AG170,$AG$4:$AG$1203,0)=ROW()-3,1,0))</f>
        <v>0</v>
      </c>
      <c r="AJ170" s="90" t="n">
        <f aca="false">N(AJ169)+AI170</f>
        <v>0</v>
      </c>
      <c r="AK170" s="1" t="n">
        <f aca="false">N(AK169)+$AJ170</f>
        <v>0</v>
      </c>
    </row>
    <row r="171" customFormat="false" ht="13.5" hidden="false" customHeight="false" outlineLevel="0" collapsed="false">
      <c r="A171" s="1" t="str">
        <f aca="false">IF(对接源_01水果!$C171="","",对接源_01水果!$C171)</f>
        <v>荆建君</v>
      </c>
      <c r="B171" s="1" t="n">
        <f aca="false">IF(A171="",0,IF(MATCH(A171,$A$4:$A$2403,0)=ROW()-3,1,0))</f>
        <v>1</v>
      </c>
      <c r="C171" s="1" t="n">
        <f aca="false">N(C170)+B171</f>
        <v>11</v>
      </c>
      <c r="E171" s="1" t="str">
        <f aca="false">IFERROR(INDEX($A$4:$A$2403,MATCH(ROW()-3,$C$4:$C$2403,0)),"")</f>
        <v/>
      </c>
      <c r="K171" s="1" t="n">
        <f aca="false">IF(OR($K$1="",对接源_01水果!$C171="",对接源_01水果!$C171&lt;&gt;$K$1,对接源_01水果!$B171=""),0,IF(OR(N(对接源_01水果!$B171)&lt;$K$2,N(对接源_01水果!$B171)&gt;$K$3),0,1))</f>
        <v>0</v>
      </c>
      <c r="L171" s="1" t="n">
        <f aca="false">IF(OR($L$1="",对接源_01水果!$C171="",对接源_01水果!$C171&lt;&gt;$L$1,对接源_01水果!$B171=""),0,IF(OR(N(对接源_01水果!$B171)&lt;$L$2,N(对接源_01水果!$B171)&gt;$L$3),0,1))</f>
        <v>0</v>
      </c>
      <c r="M171" s="1" t="n">
        <f aca="false">IF(OR($M$1="",对接源_01水果!$C171="",对接源_01水果!$C171&lt;&gt;$M$1,对接源_01水果!$B171=""),0,IF(OR(N(对接源_01水果!$B171)&lt;$M$2,N(对接源_01水果!$B171)&gt;$M$3),0,1))</f>
        <v>0</v>
      </c>
      <c r="N171" s="1" t="n">
        <f aca="false">IF(OR($N$1="",对接源_01水果!$C171="",对接源_01水果!$C171&lt;&gt;$N$1,对接源_01水果!$B171=""),0,IF(OR(N(对接源_01水果!$B171)&lt;$N$2,N(对接源_01水果!$B171)&gt;$N$3),0,1))</f>
        <v>0</v>
      </c>
      <c r="P171" s="1" t="n">
        <f aca="false">IF(AND($K171=1,AND(对接源_01水果!$X171="公司筐",N(对接源_01水果!$T171)&lt;&gt;0)),1,0)</f>
        <v>0</v>
      </c>
      <c r="Q171" s="1" t="n">
        <f aca="false">N(Q170)+$P171</f>
        <v>0</v>
      </c>
      <c r="R171" s="1" t="n">
        <f aca="false">IF(AND($K171=1,AND(对接源_01水果!$X171="公司筐",N(对接源_01水果!$U171)&lt;&gt;0)),1,0)</f>
        <v>0</v>
      </c>
      <c r="S171" s="1" t="n">
        <f aca="false">N(S170)+$R171</f>
        <v>0</v>
      </c>
      <c r="T171" s="1" t="n">
        <f aca="false">IF(AND($K171=1,AND(对接源_01水果!$X171="公司筐",N(对接源_01水果!$V171)&lt;&gt;0)),1,0)</f>
        <v>0</v>
      </c>
      <c r="U171" s="1" t="n">
        <f aca="false">N(U170)+$T171</f>
        <v>18</v>
      </c>
      <c r="V171" s="1" t="n">
        <f aca="false">IF(AND($L171=1,AND(对接源_01水果!$X171="自备筐",N(对接源_01水果!$V171)&lt;&gt;0)),1,0)</f>
        <v>0</v>
      </c>
      <c r="W171" s="1" t="n">
        <f aca="false">N(W170)+$V171</f>
        <v>4</v>
      </c>
      <c r="X171" s="1" t="n">
        <f aca="false">IF(AND($L171=1,AND(对接源_01水果!$X171="自备筐",N(对接源_01水果!$T171)&lt;&gt;0)),1,0)</f>
        <v>0</v>
      </c>
      <c r="Y171" s="1" t="n">
        <f aca="false">N(Y170)+$X171</f>
        <v>0</v>
      </c>
      <c r="Z171" s="1" t="n">
        <f aca="false">IF(AND($M171=1,对接源_01水果!$D171="原料入库"),1,0)</f>
        <v>0</v>
      </c>
      <c r="AA171" s="1" t="n">
        <f aca="false">N(AA170)+$Z171</f>
        <v>20</v>
      </c>
      <c r="AB171" s="1" t="n">
        <f aca="false">IF(AND($M171=1,LEFT(对接源_01水果!$D171,4)="原料出库"),1,0)</f>
        <v>0</v>
      </c>
      <c r="AC171" s="1" t="n">
        <f aca="false">N(AC170)+$AB171</f>
        <v>0</v>
      </c>
      <c r="AD171" s="1" t="n">
        <f aca="false">IF(AND($M171=1,LEFT(对接源_01水果!$D171,4)="成品出库"),1,0)</f>
        <v>0</v>
      </c>
      <c r="AE171" s="1" t="n">
        <f aca="false">N(AE170)+$AD171</f>
        <v>0</v>
      </c>
      <c r="AF171" s="1" t="n">
        <f aca="false">IF(AND($N171=1,AND(LEFT(对接源_01水果!$D171,4)="包装物料",N(对接源_01水果!$K171)&lt;&gt;0)),1,0)</f>
        <v>0</v>
      </c>
      <c r="AG171" s="90" t="str">
        <f aca="false">IF(对接源_01水果!$AC171="","",对接源_01水果!$AC171)</f>
        <v/>
      </c>
      <c r="AH171" s="90" t="str">
        <f aca="false">IFERROR(INDEX($AG$4:$AG$1203,MATCH(ROW()-3,$AJ$4:$AJ$1203,0)),"")</f>
        <v/>
      </c>
      <c r="AI171" s="90" t="n">
        <f aca="false">IF(AG171="",0,IF(MATCH(AG171,$AG$4:$AG$1203,0)=ROW()-3,1,0))</f>
        <v>0</v>
      </c>
      <c r="AJ171" s="90" t="n">
        <f aca="false">N(AJ170)+AI171</f>
        <v>0</v>
      </c>
      <c r="AK171" s="1" t="n">
        <f aca="false">N(AK170)+$AJ171</f>
        <v>0</v>
      </c>
    </row>
    <row r="172" customFormat="false" ht="13.5" hidden="false" customHeight="false" outlineLevel="0" collapsed="false">
      <c r="A172" s="1" t="str">
        <f aca="false">IF(对接源_01水果!$C172="","",对接源_01水果!$C172)</f>
        <v>荆建君</v>
      </c>
      <c r="B172" s="1" t="n">
        <f aca="false">IF(A172="",0,IF(MATCH(A172,$A$4:$A$2403,0)=ROW()-3,1,0))</f>
        <v>0</v>
      </c>
      <c r="C172" s="1" t="n">
        <f aca="false">N(C171)+B172</f>
        <v>11</v>
      </c>
      <c r="E172" s="1" t="str">
        <f aca="false">IFERROR(INDEX($A$4:$A$2403,MATCH(ROW()-3,$C$4:$C$2403,0)),"")</f>
        <v/>
      </c>
      <c r="K172" s="1" t="n">
        <f aca="false">IF(OR($K$1="",对接源_01水果!$C172="",对接源_01水果!$C172&lt;&gt;$K$1,对接源_01水果!$B172=""),0,IF(OR(N(对接源_01水果!$B172)&lt;$K$2,N(对接源_01水果!$B172)&gt;$K$3),0,1))</f>
        <v>0</v>
      </c>
      <c r="L172" s="1" t="n">
        <f aca="false">IF(OR($L$1="",对接源_01水果!$C172="",对接源_01水果!$C172&lt;&gt;$L$1,对接源_01水果!$B172=""),0,IF(OR(N(对接源_01水果!$B172)&lt;$L$2,N(对接源_01水果!$B172)&gt;$L$3),0,1))</f>
        <v>0</v>
      </c>
      <c r="M172" s="1" t="n">
        <f aca="false">IF(OR($M$1="",对接源_01水果!$C172="",对接源_01水果!$C172&lt;&gt;$M$1,对接源_01水果!$B172=""),0,IF(OR(N(对接源_01水果!$B172)&lt;$M$2,N(对接源_01水果!$B172)&gt;$M$3),0,1))</f>
        <v>0</v>
      </c>
      <c r="N172" s="1" t="n">
        <f aca="false">IF(OR($N$1="",对接源_01水果!$C172="",对接源_01水果!$C172&lt;&gt;$N$1,对接源_01水果!$B172=""),0,IF(OR(N(对接源_01水果!$B172)&lt;$N$2,N(对接源_01水果!$B172)&gt;$N$3),0,1))</f>
        <v>0</v>
      </c>
      <c r="P172" s="1" t="n">
        <f aca="false">IF(AND($K172=1,AND(对接源_01水果!$X172="公司筐",N(对接源_01水果!$T172)&lt;&gt;0)),1,0)</f>
        <v>0</v>
      </c>
      <c r="Q172" s="1" t="n">
        <f aca="false">N(Q171)+$P172</f>
        <v>0</v>
      </c>
      <c r="R172" s="1" t="n">
        <f aca="false">IF(AND($K172=1,AND(对接源_01水果!$X172="公司筐",N(对接源_01水果!$U172)&lt;&gt;0)),1,0)</f>
        <v>0</v>
      </c>
      <c r="S172" s="1" t="n">
        <f aca="false">N(S171)+$R172</f>
        <v>0</v>
      </c>
      <c r="T172" s="1" t="n">
        <f aca="false">IF(AND($K172=1,AND(对接源_01水果!$X172="公司筐",N(对接源_01水果!$V172)&lt;&gt;0)),1,0)</f>
        <v>0</v>
      </c>
      <c r="U172" s="1" t="n">
        <f aca="false">N(U171)+$T172</f>
        <v>18</v>
      </c>
      <c r="V172" s="1" t="n">
        <f aca="false">IF(AND($L172=1,AND(对接源_01水果!$X172="自备筐",N(对接源_01水果!$V172)&lt;&gt;0)),1,0)</f>
        <v>0</v>
      </c>
      <c r="W172" s="1" t="n">
        <f aca="false">N(W171)+$V172</f>
        <v>4</v>
      </c>
      <c r="X172" s="1" t="n">
        <f aca="false">IF(AND($L172=1,AND(对接源_01水果!$X172="自备筐",N(对接源_01水果!$T172)&lt;&gt;0)),1,0)</f>
        <v>0</v>
      </c>
      <c r="Y172" s="1" t="n">
        <f aca="false">N(Y171)+$X172</f>
        <v>0</v>
      </c>
      <c r="Z172" s="1" t="n">
        <f aca="false">IF(AND($M172=1,对接源_01水果!$D172="原料入库"),1,0)</f>
        <v>0</v>
      </c>
      <c r="AA172" s="1" t="n">
        <f aca="false">N(AA171)+$Z172</f>
        <v>20</v>
      </c>
      <c r="AB172" s="1" t="n">
        <f aca="false">IF(AND($M172=1,LEFT(对接源_01水果!$D172,4)="原料出库"),1,0)</f>
        <v>0</v>
      </c>
      <c r="AC172" s="1" t="n">
        <f aca="false">N(AC171)+$AB172</f>
        <v>0</v>
      </c>
      <c r="AD172" s="1" t="n">
        <f aca="false">IF(AND($M172=1,LEFT(对接源_01水果!$D172,4)="成品出库"),1,0)</f>
        <v>0</v>
      </c>
      <c r="AE172" s="1" t="n">
        <f aca="false">N(AE171)+$AD172</f>
        <v>0</v>
      </c>
      <c r="AF172" s="1" t="n">
        <f aca="false">IF(AND($N172=1,AND(LEFT(对接源_01水果!$D172,4)="包装物料",N(对接源_01水果!$K172)&lt;&gt;0)),1,0)</f>
        <v>0</v>
      </c>
      <c r="AG172" s="90" t="str">
        <f aca="false">IF(对接源_01水果!$AC172="","",对接源_01水果!$AC172)</f>
        <v/>
      </c>
      <c r="AH172" s="90" t="str">
        <f aca="false">IFERROR(INDEX($AG$4:$AG$1203,MATCH(ROW()-3,$AJ$4:$AJ$1203,0)),"")</f>
        <v/>
      </c>
      <c r="AI172" s="90" t="n">
        <f aca="false">IF(AG172="",0,IF(MATCH(AG172,$AG$4:$AG$1203,0)=ROW()-3,1,0))</f>
        <v>0</v>
      </c>
      <c r="AJ172" s="90" t="n">
        <f aca="false">N(AJ171)+AI172</f>
        <v>0</v>
      </c>
      <c r="AK172" s="1" t="n">
        <f aca="false">N(AK171)+$AJ172</f>
        <v>0</v>
      </c>
    </row>
    <row r="173" customFormat="false" ht="13.5" hidden="false" customHeight="false" outlineLevel="0" collapsed="false">
      <c r="A173" s="1" t="str">
        <f aca="false">IF(对接源_01水果!$C173="","",对接源_01水果!$C173)</f>
        <v>贾建国</v>
      </c>
      <c r="B173" s="1" t="n">
        <f aca="false">IF(A173="",0,IF(MATCH(A173,$A$4:$A$2403,0)=ROW()-3,1,0))</f>
        <v>0</v>
      </c>
      <c r="C173" s="1" t="n">
        <f aca="false">N(C172)+B173</f>
        <v>11</v>
      </c>
      <c r="E173" s="1" t="str">
        <f aca="false">IFERROR(INDEX($A$4:$A$2403,MATCH(ROW()-3,$C$4:$C$2403,0)),"")</f>
        <v/>
      </c>
      <c r="K173" s="1" t="n">
        <f aca="false">IF(OR($K$1="",对接源_01水果!$C173="",对接源_01水果!$C173&lt;&gt;$K$1,对接源_01水果!$B173=""),0,IF(OR(N(对接源_01水果!$B173)&lt;$K$2,N(对接源_01水果!$B173)&gt;$K$3),0,1))</f>
        <v>0</v>
      </c>
      <c r="L173" s="1" t="n">
        <f aca="false">IF(OR($L$1="",对接源_01水果!$C173="",对接源_01水果!$C173&lt;&gt;$L$1,对接源_01水果!$B173=""),0,IF(OR(N(对接源_01水果!$B173)&lt;$L$2,N(对接源_01水果!$B173)&gt;$L$3),0,1))</f>
        <v>1</v>
      </c>
      <c r="M173" s="1" t="n">
        <f aca="false">IF(OR($M$1="",对接源_01水果!$C173="",对接源_01水果!$C173&lt;&gt;$M$1,对接源_01水果!$B173=""),0,IF(OR(N(对接源_01水果!$B173)&lt;$M$2,N(对接源_01水果!$B173)&gt;$M$3),0,1))</f>
        <v>0</v>
      </c>
      <c r="N173" s="1" t="n">
        <f aca="false">IF(OR($N$1="",对接源_01水果!$C173="",对接源_01水果!$C173&lt;&gt;$N$1,对接源_01水果!$B173=""),0,IF(OR(N(对接源_01水果!$B173)&lt;$N$2,N(对接源_01水果!$B173)&gt;$N$3),0,1))</f>
        <v>0</v>
      </c>
      <c r="P173" s="1" t="n">
        <f aca="false">IF(AND($K173=1,AND(对接源_01水果!$X173="公司筐",N(对接源_01水果!$T173)&lt;&gt;0)),1,0)</f>
        <v>0</v>
      </c>
      <c r="Q173" s="1" t="n">
        <f aca="false">N(Q172)+$P173</f>
        <v>0</v>
      </c>
      <c r="R173" s="1" t="n">
        <f aca="false">IF(AND($K173=1,AND(对接源_01水果!$X173="公司筐",N(对接源_01水果!$U173)&lt;&gt;0)),1,0)</f>
        <v>0</v>
      </c>
      <c r="S173" s="1" t="n">
        <f aca="false">N(S172)+$R173</f>
        <v>0</v>
      </c>
      <c r="T173" s="1" t="n">
        <f aca="false">IF(AND($K173=1,AND(对接源_01水果!$X173="公司筐",N(对接源_01水果!$V173)&lt;&gt;0)),1,0)</f>
        <v>0</v>
      </c>
      <c r="U173" s="1" t="n">
        <f aca="false">N(U172)+$T173</f>
        <v>18</v>
      </c>
      <c r="V173" s="1" t="n">
        <f aca="false">IF(AND($L173=1,AND(对接源_01水果!$X173="自备筐",N(对接源_01水果!$V173)&lt;&gt;0)),1,0)</f>
        <v>0</v>
      </c>
      <c r="W173" s="1" t="n">
        <f aca="false">N(W172)+$V173</f>
        <v>4</v>
      </c>
      <c r="X173" s="1" t="n">
        <f aca="false">IF(AND($L173=1,AND(对接源_01水果!$X173="自备筐",N(对接源_01水果!$T173)&lt;&gt;0)),1,0)</f>
        <v>0</v>
      </c>
      <c r="Y173" s="1" t="n">
        <f aca="false">N(Y172)+$X173</f>
        <v>0</v>
      </c>
      <c r="Z173" s="1" t="n">
        <f aca="false">IF(AND($M173=1,对接源_01水果!$D173="原料入库"),1,0)</f>
        <v>0</v>
      </c>
      <c r="AA173" s="1" t="n">
        <f aca="false">N(AA172)+$Z173</f>
        <v>20</v>
      </c>
      <c r="AB173" s="1" t="n">
        <f aca="false">IF(AND($M173=1,LEFT(对接源_01水果!$D173,4)="原料出库"),1,0)</f>
        <v>0</v>
      </c>
      <c r="AC173" s="1" t="n">
        <f aca="false">N(AC172)+$AB173</f>
        <v>0</v>
      </c>
      <c r="AD173" s="1" t="n">
        <f aca="false">IF(AND($M173=1,LEFT(对接源_01水果!$D173,4)="成品出库"),1,0)</f>
        <v>0</v>
      </c>
      <c r="AE173" s="1" t="n">
        <f aca="false">N(AE172)+$AD173</f>
        <v>0</v>
      </c>
      <c r="AF173" s="1" t="n">
        <f aca="false">IF(AND($N173=1,AND(LEFT(对接源_01水果!$D173,4)="包装物料",N(对接源_01水果!$K173)&lt;&gt;0)),1,0)</f>
        <v>0</v>
      </c>
      <c r="AG173" s="90" t="str">
        <f aca="false">IF(对接源_01水果!$AC173="","",对接源_01水果!$AC173)</f>
        <v/>
      </c>
      <c r="AH173" s="90" t="str">
        <f aca="false">IFERROR(INDEX($AG$4:$AG$1203,MATCH(ROW()-3,$AJ$4:$AJ$1203,0)),"")</f>
        <v/>
      </c>
      <c r="AI173" s="90" t="n">
        <f aca="false">IF(AG173="",0,IF(MATCH(AG173,$AG$4:$AG$1203,0)=ROW()-3,1,0))</f>
        <v>0</v>
      </c>
      <c r="AJ173" s="90" t="n">
        <f aca="false">N(AJ172)+AI173</f>
        <v>0</v>
      </c>
      <c r="AK173" s="1" t="n">
        <f aca="false">N(AK172)+$AJ173</f>
        <v>0</v>
      </c>
    </row>
    <row r="174" customFormat="false" ht="13.5" hidden="false" customHeight="false" outlineLevel="0" collapsed="false">
      <c r="A174" s="1" t="str">
        <f aca="false">IF(对接源_01水果!$C174="","",对接源_01水果!$C174)</f>
        <v>吐尔洪</v>
      </c>
      <c r="B174" s="1" t="n">
        <f aca="false">IF(A174="",0,IF(MATCH(A174,$A$4:$A$2403,0)=ROW()-3,1,0))</f>
        <v>0</v>
      </c>
      <c r="C174" s="1" t="n">
        <f aca="false">N(C173)+B174</f>
        <v>11</v>
      </c>
      <c r="E174" s="1" t="str">
        <f aca="false">IFERROR(INDEX($A$4:$A$2403,MATCH(ROW()-3,$C$4:$C$2403,0)),"")</f>
        <v/>
      </c>
      <c r="K174" s="1" t="n">
        <f aca="false">IF(OR($K$1="",对接源_01水果!$C174="",对接源_01水果!$C174&lt;&gt;$K$1,对接源_01水果!$B174=""),0,IF(OR(N(对接源_01水果!$B174)&lt;$K$2,N(对接源_01水果!$B174)&gt;$K$3),0,1))</f>
        <v>0</v>
      </c>
      <c r="L174" s="1" t="n">
        <f aca="false">IF(OR($L$1="",对接源_01水果!$C174="",对接源_01水果!$C174&lt;&gt;$L$1,对接源_01水果!$B174=""),0,IF(OR(N(对接源_01水果!$B174)&lt;$L$2,N(对接源_01水果!$B174)&gt;$L$3),0,1))</f>
        <v>0</v>
      </c>
      <c r="M174" s="1" t="n">
        <f aca="false">IF(OR($M$1="",对接源_01水果!$C174="",对接源_01水果!$C174&lt;&gt;$M$1,对接源_01水果!$B174=""),0,IF(OR(N(对接源_01水果!$B174)&lt;$M$2,N(对接源_01水果!$B174)&gt;$M$3),0,1))</f>
        <v>0</v>
      </c>
      <c r="N174" s="1" t="n">
        <f aca="false">IF(OR($N$1="",对接源_01水果!$C174="",对接源_01水果!$C174&lt;&gt;$N$1,对接源_01水果!$B174=""),0,IF(OR(N(对接源_01水果!$B174)&lt;$N$2,N(对接源_01水果!$B174)&gt;$N$3),0,1))</f>
        <v>0</v>
      </c>
      <c r="P174" s="1" t="n">
        <f aca="false">IF(AND($K174=1,AND(对接源_01水果!$X174="公司筐",N(对接源_01水果!$T174)&lt;&gt;0)),1,0)</f>
        <v>0</v>
      </c>
      <c r="Q174" s="1" t="n">
        <f aca="false">N(Q173)+$P174</f>
        <v>0</v>
      </c>
      <c r="R174" s="1" t="n">
        <f aca="false">IF(AND($K174=1,AND(对接源_01水果!$X174="公司筐",N(对接源_01水果!$U174)&lt;&gt;0)),1,0)</f>
        <v>0</v>
      </c>
      <c r="S174" s="1" t="n">
        <f aca="false">N(S173)+$R174</f>
        <v>0</v>
      </c>
      <c r="T174" s="1" t="n">
        <f aca="false">IF(AND($K174=1,AND(对接源_01水果!$X174="公司筐",N(对接源_01水果!$V174)&lt;&gt;0)),1,0)</f>
        <v>0</v>
      </c>
      <c r="U174" s="1" t="n">
        <f aca="false">N(U173)+$T174</f>
        <v>18</v>
      </c>
      <c r="V174" s="1" t="n">
        <f aca="false">IF(AND($L174=1,AND(对接源_01水果!$X174="自备筐",N(对接源_01水果!$V174)&lt;&gt;0)),1,0)</f>
        <v>0</v>
      </c>
      <c r="W174" s="1" t="n">
        <f aca="false">N(W173)+$V174</f>
        <v>4</v>
      </c>
      <c r="X174" s="1" t="n">
        <f aca="false">IF(AND($L174=1,AND(对接源_01水果!$X174="自备筐",N(对接源_01水果!$T174)&lt;&gt;0)),1,0)</f>
        <v>0</v>
      </c>
      <c r="Y174" s="1" t="n">
        <f aca="false">N(Y173)+$X174</f>
        <v>0</v>
      </c>
      <c r="Z174" s="1" t="n">
        <f aca="false">IF(AND($M174=1,对接源_01水果!$D174="原料入库"),1,0)</f>
        <v>0</v>
      </c>
      <c r="AA174" s="1" t="n">
        <f aca="false">N(AA173)+$Z174</f>
        <v>20</v>
      </c>
      <c r="AB174" s="1" t="n">
        <f aca="false">IF(AND($M174=1,LEFT(对接源_01水果!$D174,4)="原料出库"),1,0)</f>
        <v>0</v>
      </c>
      <c r="AC174" s="1" t="n">
        <f aca="false">N(AC173)+$AB174</f>
        <v>0</v>
      </c>
      <c r="AD174" s="1" t="n">
        <f aca="false">IF(AND($M174=1,LEFT(对接源_01水果!$D174,4)="成品出库"),1,0)</f>
        <v>0</v>
      </c>
      <c r="AE174" s="1" t="n">
        <f aca="false">N(AE173)+$AD174</f>
        <v>0</v>
      </c>
      <c r="AF174" s="1" t="n">
        <f aca="false">IF(AND($N174=1,AND(LEFT(对接源_01水果!$D174,4)="包装物料",N(对接源_01水果!$K174)&lt;&gt;0)),1,0)</f>
        <v>0</v>
      </c>
      <c r="AG174" s="90" t="str">
        <f aca="false">IF(对接源_01水果!$AC174="","",对接源_01水果!$AC174)</f>
        <v/>
      </c>
      <c r="AH174" s="90" t="str">
        <f aca="false">IFERROR(INDEX($AG$4:$AG$1203,MATCH(ROW()-3,$AJ$4:$AJ$1203,0)),"")</f>
        <v/>
      </c>
      <c r="AI174" s="90" t="n">
        <f aca="false">IF(AG174="",0,IF(MATCH(AG174,$AG$4:$AG$1203,0)=ROW()-3,1,0))</f>
        <v>0</v>
      </c>
      <c r="AJ174" s="90" t="n">
        <f aca="false">N(AJ173)+AI174</f>
        <v>0</v>
      </c>
      <c r="AK174" s="1" t="n">
        <f aca="false">N(AK173)+$AJ174</f>
        <v>0</v>
      </c>
    </row>
    <row r="175" customFormat="false" ht="13.5" hidden="false" customHeight="false" outlineLevel="0" collapsed="false">
      <c r="A175" s="1" t="str">
        <f aca="false">IF(对接源_01水果!$C175="","",对接源_01水果!$C175)</f>
        <v>吐尔洪</v>
      </c>
      <c r="B175" s="1" t="n">
        <f aca="false">IF(A175="",0,IF(MATCH(A175,$A$4:$A$2403,0)=ROW()-3,1,0))</f>
        <v>0</v>
      </c>
      <c r="C175" s="1" t="n">
        <f aca="false">N(C174)+B175</f>
        <v>11</v>
      </c>
      <c r="E175" s="1" t="str">
        <f aca="false">IFERROR(INDEX($A$4:$A$2403,MATCH(ROW()-3,$C$4:$C$2403,0)),"")</f>
        <v/>
      </c>
      <c r="K175" s="1" t="n">
        <f aca="false">IF(OR($K$1="",对接源_01水果!$C175="",对接源_01水果!$C175&lt;&gt;$K$1,对接源_01水果!$B175=""),0,IF(OR(N(对接源_01水果!$B175)&lt;$K$2,N(对接源_01水果!$B175)&gt;$K$3),0,1))</f>
        <v>0</v>
      </c>
      <c r="L175" s="1" t="n">
        <f aca="false">IF(OR($L$1="",对接源_01水果!$C175="",对接源_01水果!$C175&lt;&gt;$L$1,对接源_01水果!$B175=""),0,IF(OR(N(对接源_01水果!$B175)&lt;$L$2,N(对接源_01水果!$B175)&gt;$L$3),0,1))</f>
        <v>0</v>
      </c>
      <c r="M175" s="1" t="n">
        <f aca="false">IF(OR($M$1="",对接源_01水果!$C175="",对接源_01水果!$C175&lt;&gt;$M$1,对接源_01水果!$B175=""),0,IF(OR(N(对接源_01水果!$B175)&lt;$M$2,N(对接源_01水果!$B175)&gt;$M$3),0,1))</f>
        <v>0</v>
      </c>
      <c r="N175" s="1" t="n">
        <f aca="false">IF(OR($N$1="",对接源_01水果!$C175="",对接源_01水果!$C175&lt;&gt;$N$1,对接源_01水果!$B175=""),0,IF(OR(N(对接源_01水果!$B175)&lt;$N$2,N(对接源_01水果!$B175)&gt;$N$3),0,1))</f>
        <v>0</v>
      </c>
      <c r="P175" s="1" t="n">
        <f aca="false">IF(AND($K175=1,AND(对接源_01水果!$X175="公司筐",N(对接源_01水果!$T175)&lt;&gt;0)),1,0)</f>
        <v>0</v>
      </c>
      <c r="Q175" s="1" t="n">
        <f aca="false">N(Q174)+$P175</f>
        <v>0</v>
      </c>
      <c r="R175" s="1" t="n">
        <f aca="false">IF(AND($K175=1,AND(对接源_01水果!$X175="公司筐",N(对接源_01水果!$U175)&lt;&gt;0)),1,0)</f>
        <v>0</v>
      </c>
      <c r="S175" s="1" t="n">
        <f aca="false">N(S174)+$R175</f>
        <v>0</v>
      </c>
      <c r="T175" s="1" t="n">
        <f aca="false">IF(AND($K175=1,AND(对接源_01水果!$X175="公司筐",N(对接源_01水果!$V175)&lt;&gt;0)),1,0)</f>
        <v>0</v>
      </c>
      <c r="U175" s="1" t="n">
        <f aca="false">N(U174)+$T175</f>
        <v>18</v>
      </c>
      <c r="V175" s="1" t="n">
        <f aca="false">IF(AND($L175=1,AND(对接源_01水果!$X175="自备筐",N(对接源_01水果!$V175)&lt;&gt;0)),1,0)</f>
        <v>0</v>
      </c>
      <c r="W175" s="1" t="n">
        <f aca="false">N(W174)+$V175</f>
        <v>4</v>
      </c>
      <c r="X175" s="1" t="n">
        <f aca="false">IF(AND($L175=1,AND(对接源_01水果!$X175="自备筐",N(对接源_01水果!$T175)&lt;&gt;0)),1,0)</f>
        <v>0</v>
      </c>
      <c r="Y175" s="1" t="n">
        <f aca="false">N(Y174)+$X175</f>
        <v>0</v>
      </c>
      <c r="Z175" s="1" t="n">
        <f aca="false">IF(AND($M175=1,对接源_01水果!$D175="原料入库"),1,0)</f>
        <v>0</v>
      </c>
      <c r="AA175" s="1" t="n">
        <f aca="false">N(AA174)+$Z175</f>
        <v>20</v>
      </c>
      <c r="AB175" s="1" t="n">
        <f aca="false">IF(AND($M175=1,LEFT(对接源_01水果!$D175,4)="原料出库"),1,0)</f>
        <v>0</v>
      </c>
      <c r="AC175" s="1" t="n">
        <f aca="false">N(AC174)+$AB175</f>
        <v>0</v>
      </c>
      <c r="AD175" s="1" t="n">
        <f aca="false">IF(AND($M175=1,LEFT(对接源_01水果!$D175,4)="成品出库"),1,0)</f>
        <v>0</v>
      </c>
      <c r="AE175" s="1" t="n">
        <f aca="false">N(AE174)+$AD175</f>
        <v>0</v>
      </c>
      <c r="AF175" s="1" t="n">
        <f aca="false">IF(AND($N175=1,AND(LEFT(对接源_01水果!$D175,4)="包装物料",N(对接源_01水果!$K175)&lt;&gt;0)),1,0)</f>
        <v>0</v>
      </c>
      <c r="AG175" s="90" t="str">
        <f aca="false">IF(对接源_01水果!$AC175="","",对接源_01水果!$AC175)</f>
        <v/>
      </c>
      <c r="AH175" s="90" t="str">
        <f aca="false">IFERROR(INDEX($AG$4:$AG$1203,MATCH(ROW()-3,$AJ$4:$AJ$1203,0)),"")</f>
        <v/>
      </c>
      <c r="AI175" s="90" t="n">
        <f aca="false">IF(AG175="",0,IF(MATCH(AG175,$AG$4:$AG$1203,0)=ROW()-3,1,0))</f>
        <v>0</v>
      </c>
      <c r="AJ175" s="90" t="n">
        <f aca="false">N(AJ174)+AI175</f>
        <v>0</v>
      </c>
      <c r="AK175" s="1" t="n">
        <f aca="false">N(AK174)+$AJ175</f>
        <v>0</v>
      </c>
    </row>
    <row r="176" customFormat="false" ht="13.5" hidden="false" customHeight="false" outlineLevel="0" collapsed="false">
      <c r="A176" s="1" t="str">
        <f aca="false">IF(对接源_01水果!$C176="","",对接源_01水果!$C176)</f>
        <v>吐尔洪</v>
      </c>
      <c r="B176" s="1" t="n">
        <f aca="false">IF(A176="",0,IF(MATCH(A176,$A$4:$A$2403,0)=ROW()-3,1,0))</f>
        <v>0</v>
      </c>
      <c r="C176" s="1" t="n">
        <f aca="false">N(C175)+B176</f>
        <v>11</v>
      </c>
      <c r="E176" s="1" t="str">
        <f aca="false">IFERROR(INDEX($A$4:$A$2403,MATCH(ROW()-3,$C$4:$C$2403,0)),"")</f>
        <v/>
      </c>
      <c r="K176" s="1" t="n">
        <f aca="false">IF(OR($K$1="",对接源_01水果!$C176="",对接源_01水果!$C176&lt;&gt;$K$1,对接源_01水果!$B176=""),0,IF(OR(N(对接源_01水果!$B176)&lt;$K$2,N(对接源_01水果!$B176)&gt;$K$3),0,1))</f>
        <v>0</v>
      </c>
      <c r="L176" s="1" t="n">
        <f aca="false">IF(OR($L$1="",对接源_01水果!$C176="",对接源_01水果!$C176&lt;&gt;$L$1,对接源_01水果!$B176=""),0,IF(OR(N(对接源_01水果!$B176)&lt;$L$2,N(对接源_01水果!$B176)&gt;$L$3),0,1))</f>
        <v>0</v>
      </c>
      <c r="M176" s="1" t="n">
        <f aca="false">IF(OR($M$1="",对接源_01水果!$C176="",对接源_01水果!$C176&lt;&gt;$M$1,对接源_01水果!$B176=""),0,IF(OR(N(对接源_01水果!$B176)&lt;$M$2,N(对接源_01水果!$B176)&gt;$M$3),0,1))</f>
        <v>0</v>
      </c>
      <c r="N176" s="1" t="n">
        <f aca="false">IF(OR($N$1="",对接源_01水果!$C176="",对接源_01水果!$C176&lt;&gt;$N$1,对接源_01水果!$B176=""),0,IF(OR(N(对接源_01水果!$B176)&lt;$N$2,N(对接源_01水果!$B176)&gt;$N$3),0,1))</f>
        <v>0</v>
      </c>
      <c r="P176" s="1" t="n">
        <f aca="false">IF(AND($K176=1,AND(对接源_01水果!$X176="公司筐",N(对接源_01水果!$T176)&lt;&gt;0)),1,0)</f>
        <v>0</v>
      </c>
      <c r="Q176" s="1" t="n">
        <f aca="false">N(Q175)+$P176</f>
        <v>0</v>
      </c>
      <c r="R176" s="1" t="n">
        <f aca="false">IF(AND($K176=1,AND(对接源_01水果!$X176="公司筐",N(对接源_01水果!$U176)&lt;&gt;0)),1,0)</f>
        <v>0</v>
      </c>
      <c r="S176" s="1" t="n">
        <f aca="false">N(S175)+$R176</f>
        <v>0</v>
      </c>
      <c r="T176" s="1" t="n">
        <f aca="false">IF(AND($K176=1,AND(对接源_01水果!$X176="公司筐",N(对接源_01水果!$V176)&lt;&gt;0)),1,0)</f>
        <v>0</v>
      </c>
      <c r="U176" s="1" t="n">
        <f aca="false">N(U175)+$T176</f>
        <v>18</v>
      </c>
      <c r="V176" s="1" t="n">
        <f aca="false">IF(AND($L176=1,AND(对接源_01水果!$X176="自备筐",N(对接源_01水果!$V176)&lt;&gt;0)),1,0)</f>
        <v>0</v>
      </c>
      <c r="W176" s="1" t="n">
        <f aca="false">N(W175)+$V176</f>
        <v>4</v>
      </c>
      <c r="X176" s="1" t="n">
        <f aca="false">IF(AND($L176=1,AND(对接源_01水果!$X176="自备筐",N(对接源_01水果!$T176)&lt;&gt;0)),1,0)</f>
        <v>0</v>
      </c>
      <c r="Y176" s="1" t="n">
        <f aca="false">N(Y175)+$X176</f>
        <v>0</v>
      </c>
      <c r="Z176" s="1" t="n">
        <f aca="false">IF(AND($M176=1,对接源_01水果!$D176="原料入库"),1,0)</f>
        <v>0</v>
      </c>
      <c r="AA176" s="1" t="n">
        <f aca="false">N(AA175)+$Z176</f>
        <v>20</v>
      </c>
      <c r="AB176" s="1" t="n">
        <f aca="false">IF(AND($M176=1,LEFT(对接源_01水果!$D176,4)="原料出库"),1,0)</f>
        <v>0</v>
      </c>
      <c r="AC176" s="1" t="n">
        <f aca="false">N(AC175)+$AB176</f>
        <v>0</v>
      </c>
      <c r="AD176" s="1" t="n">
        <f aca="false">IF(AND($M176=1,LEFT(对接源_01水果!$D176,4)="成品出库"),1,0)</f>
        <v>0</v>
      </c>
      <c r="AE176" s="1" t="n">
        <f aca="false">N(AE175)+$AD176</f>
        <v>0</v>
      </c>
      <c r="AF176" s="1" t="n">
        <f aca="false">IF(AND($N176=1,AND(LEFT(对接源_01水果!$D176,4)="包装物料",N(对接源_01水果!$K176)&lt;&gt;0)),1,0)</f>
        <v>0</v>
      </c>
      <c r="AG176" s="90" t="str">
        <f aca="false">IF(对接源_01水果!$AC176="","",对接源_01水果!$AC176)</f>
        <v/>
      </c>
      <c r="AH176" s="90" t="str">
        <f aca="false">IFERROR(INDEX($AG$4:$AG$1203,MATCH(ROW()-3,$AJ$4:$AJ$1203,0)),"")</f>
        <v/>
      </c>
      <c r="AI176" s="90" t="n">
        <f aca="false">IF(AG176="",0,IF(MATCH(AG176,$AG$4:$AG$1203,0)=ROW()-3,1,0))</f>
        <v>0</v>
      </c>
      <c r="AJ176" s="90" t="n">
        <f aca="false">N(AJ175)+AI176</f>
        <v>0</v>
      </c>
      <c r="AK176" s="1" t="n">
        <f aca="false">N(AK175)+$AJ176</f>
        <v>0</v>
      </c>
    </row>
    <row r="177" customFormat="false" ht="13.5" hidden="false" customHeight="false" outlineLevel="0" collapsed="false">
      <c r="A177" s="1" t="str">
        <f aca="false">IF(对接源_01水果!$C177="","",对接源_01水果!$C177)</f>
        <v>王照雪</v>
      </c>
      <c r="B177" s="1" t="n">
        <f aca="false">IF(A177="",0,IF(MATCH(A177,$A$4:$A$2403,0)=ROW()-3,1,0))</f>
        <v>0</v>
      </c>
      <c r="C177" s="1" t="n">
        <f aca="false">N(C176)+B177</f>
        <v>11</v>
      </c>
      <c r="E177" s="1" t="str">
        <f aca="false">IFERROR(INDEX($A$4:$A$2403,MATCH(ROW()-3,$C$4:$C$2403,0)),"")</f>
        <v/>
      </c>
      <c r="K177" s="1" t="n">
        <f aca="false">IF(OR($K$1="",对接源_01水果!$C177="",对接源_01水果!$C177&lt;&gt;$K$1,对接源_01水果!$B177=""),0,IF(OR(N(对接源_01水果!$B177)&lt;$K$2,N(对接源_01水果!$B177)&gt;$K$3),0,1))</f>
        <v>1</v>
      </c>
      <c r="L177" s="1" t="n">
        <f aca="false">IF(OR($L$1="",对接源_01水果!$C177="",对接源_01水果!$C177&lt;&gt;$L$1,对接源_01水果!$B177=""),0,IF(OR(N(对接源_01水果!$B177)&lt;$L$2,N(对接源_01水果!$B177)&gt;$L$3),0,1))</f>
        <v>0</v>
      </c>
      <c r="M177" s="1" t="n">
        <f aca="false">IF(OR($M$1="",对接源_01水果!$C177="",对接源_01水果!$C177&lt;&gt;$M$1,对接源_01水果!$B177=""),0,IF(OR(N(对接源_01水果!$B177)&lt;$M$2,N(对接源_01水果!$B177)&gt;$M$3),0,1))</f>
        <v>1</v>
      </c>
      <c r="N177" s="1" t="n">
        <f aca="false">IF(OR($N$1="",对接源_01水果!$C177="",对接源_01水果!$C177&lt;&gt;$N$1,对接源_01水果!$B177=""),0,IF(OR(N(对接源_01水果!$B177)&lt;$N$2,N(对接源_01水果!$B177)&gt;$N$3),0,1))</f>
        <v>0</v>
      </c>
      <c r="P177" s="1" t="n">
        <f aca="false">IF(AND($K177=1,AND(对接源_01水果!$X177="公司筐",N(对接源_01水果!$T177)&lt;&gt;0)),1,0)</f>
        <v>0</v>
      </c>
      <c r="Q177" s="1" t="n">
        <f aca="false">N(Q176)+$P177</f>
        <v>0</v>
      </c>
      <c r="R177" s="1" t="n">
        <f aca="false">IF(AND($K177=1,AND(对接源_01水果!$X177="公司筐",N(对接源_01水果!$U177)&lt;&gt;0)),1,0)</f>
        <v>0</v>
      </c>
      <c r="S177" s="1" t="n">
        <f aca="false">N(S176)+$R177</f>
        <v>0</v>
      </c>
      <c r="T177" s="1" t="n">
        <f aca="false">IF(AND($K177=1,AND(对接源_01水果!$X177="公司筐",N(对接源_01水果!$V177)&lt;&gt;0)),1,0)</f>
        <v>1</v>
      </c>
      <c r="U177" s="1" t="n">
        <f aca="false">N(U176)+$T177</f>
        <v>19</v>
      </c>
      <c r="V177" s="1" t="n">
        <f aca="false">IF(AND($L177=1,AND(对接源_01水果!$X177="自备筐",N(对接源_01水果!$V177)&lt;&gt;0)),1,0)</f>
        <v>0</v>
      </c>
      <c r="W177" s="1" t="n">
        <f aca="false">N(W176)+$V177</f>
        <v>4</v>
      </c>
      <c r="X177" s="1" t="n">
        <f aca="false">IF(AND($L177=1,AND(对接源_01水果!$X177="自备筐",N(对接源_01水果!$T177)&lt;&gt;0)),1,0)</f>
        <v>0</v>
      </c>
      <c r="Y177" s="1" t="n">
        <f aca="false">N(Y176)+$X177</f>
        <v>0</v>
      </c>
      <c r="Z177" s="1" t="n">
        <f aca="false">IF(AND($M177=1,对接源_01水果!$D177="原料入库"),1,0)</f>
        <v>1</v>
      </c>
      <c r="AA177" s="1" t="n">
        <f aca="false">N(AA176)+$Z177</f>
        <v>21</v>
      </c>
      <c r="AB177" s="1" t="n">
        <f aca="false">IF(AND($M177=1,LEFT(对接源_01水果!$D177,4)="原料出库"),1,0)</f>
        <v>0</v>
      </c>
      <c r="AC177" s="1" t="n">
        <f aca="false">N(AC176)+$AB177</f>
        <v>0</v>
      </c>
      <c r="AD177" s="1" t="n">
        <f aca="false">IF(AND($M177=1,LEFT(对接源_01水果!$D177,4)="成品出库"),1,0)</f>
        <v>0</v>
      </c>
      <c r="AE177" s="1" t="n">
        <f aca="false">N(AE176)+$AD177</f>
        <v>0</v>
      </c>
      <c r="AF177" s="1" t="n">
        <f aca="false">IF(AND($N177=1,AND(LEFT(对接源_01水果!$D177,4)="包装物料",N(对接源_01水果!$K177)&lt;&gt;0)),1,0)</f>
        <v>0</v>
      </c>
      <c r="AG177" s="90" t="str">
        <f aca="false">IF(对接源_01水果!$AC177="","",对接源_01水果!$AC177)</f>
        <v/>
      </c>
      <c r="AH177" s="90" t="str">
        <f aca="false">IFERROR(INDEX($AG$4:$AG$1203,MATCH(ROW()-3,$AJ$4:$AJ$1203,0)),"")</f>
        <v/>
      </c>
      <c r="AI177" s="90" t="n">
        <f aca="false">IF(AG177="",0,IF(MATCH(AG177,$AG$4:$AG$1203,0)=ROW()-3,1,0))</f>
        <v>0</v>
      </c>
      <c r="AJ177" s="90" t="n">
        <f aca="false">N(AJ176)+AI177</f>
        <v>0</v>
      </c>
      <c r="AK177" s="1" t="n">
        <f aca="false">N(AK176)+$AJ177</f>
        <v>0</v>
      </c>
    </row>
    <row r="178" customFormat="false" ht="13.5" hidden="false" customHeight="false" outlineLevel="0" collapsed="false">
      <c r="A178" s="1" t="str">
        <f aca="false">IF(对接源_01水果!$C178="","",对接源_01水果!$C178)</f>
        <v>王照雪</v>
      </c>
      <c r="B178" s="1" t="n">
        <f aca="false">IF(A178="",0,IF(MATCH(A178,$A$4:$A$2403,0)=ROW()-3,1,0))</f>
        <v>0</v>
      </c>
      <c r="C178" s="1" t="n">
        <f aca="false">N(C177)+B178</f>
        <v>11</v>
      </c>
      <c r="E178" s="1" t="str">
        <f aca="false">IFERROR(INDEX($A$4:$A$2403,MATCH(ROW()-3,$C$4:$C$2403,0)),"")</f>
        <v/>
      </c>
      <c r="K178" s="1" t="n">
        <f aca="false">IF(OR($K$1="",对接源_01水果!$C178="",对接源_01水果!$C178&lt;&gt;$K$1,对接源_01水果!$B178=""),0,IF(OR(N(对接源_01水果!$B178)&lt;$K$2,N(对接源_01水果!$B178)&gt;$K$3),0,1))</f>
        <v>1</v>
      </c>
      <c r="L178" s="1" t="n">
        <f aca="false">IF(OR($L$1="",对接源_01水果!$C178="",对接源_01水果!$C178&lt;&gt;$L$1,对接源_01水果!$B178=""),0,IF(OR(N(对接源_01水果!$B178)&lt;$L$2,N(对接源_01水果!$B178)&gt;$L$3),0,1))</f>
        <v>0</v>
      </c>
      <c r="M178" s="1" t="n">
        <f aca="false">IF(OR($M$1="",对接源_01水果!$C178="",对接源_01水果!$C178&lt;&gt;$M$1,对接源_01水果!$B178=""),0,IF(OR(N(对接源_01水果!$B178)&lt;$M$2,N(对接源_01水果!$B178)&gt;$M$3),0,1))</f>
        <v>1</v>
      </c>
      <c r="N178" s="1" t="n">
        <f aca="false">IF(OR($N$1="",对接源_01水果!$C178="",对接源_01水果!$C178&lt;&gt;$N$1,对接源_01水果!$B178=""),0,IF(OR(N(对接源_01水果!$B178)&lt;$N$2,N(对接源_01水果!$B178)&gt;$N$3),0,1))</f>
        <v>0</v>
      </c>
      <c r="P178" s="1" t="n">
        <f aca="false">IF(AND($K178=1,AND(对接源_01水果!$X178="公司筐",N(对接源_01水果!$T178)&lt;&gt;0)),1,0)</f>
        <v>0</v>
      </c>
      <c r="Q178" s="1" t="n">
        <f aca="false">N(Q177)+$P178</f>
        <v>0</v>
      </c>
      <c r="R178" s="1" t="n">
        <f aca="false">IF(AND($K178=1,AND(对接源_01水果!$X178="公司筐",N(对接源_01水果!$U178)&lt;&gt;0)),1,0)</f>
        <v>0</v>
      </c>
      <c r="S178" s="1" t="n">
        <f aca="false">N(S177)+$R178</f>
        <v>0</v>
      </c>
      <c r="T178" s="1" t="n">
        <f aca="false">IF(AND($K178=1,AND(对接源_01水果!$X178="公司筐",N(对接源_01水果!$V178)&lt;&gt;0)),1,0)</f>
        <v>1</v>
      </c>
      <c r="U178" s="1" t="n">
        <f aca="false">N(U177)+$T178</f>
        <v>20</v>
      </c>
      <c r="V178" s="1" t="n">
        <f aca="false">IF(AND($L178=1,AND(对接源_01水果!$X178="自备筐",N(对接源_01水果!$V178)&lt;&gt;0)),1,0)</f>
        <v>0</v>
      </c>
      <c r="W178" s="1" t="n">
        <f aca="false">N(W177)+$V178</f>
        <v>4</v>
      </c>
      <c r="X178" s="1" t="n">
        <f aca="false">IF(AND($L178=1,AND(对接源_01水果!$X178="自备筐",N(对接源_01水果!$T178)&lt;&gt;0)),1,0)</f>
        <v>0</v>
      </c>
      <c r="Y178" s="1" t="n">
        <f aca="false">N(Y177)+$X178</f>
        <v>0</v>
      </c>
      <c r="Z178" s="1" t="n">
        <f aca="false">IF(AND($M178=1,对接源_01水果!$D178="原料入库"),1,0)</f>
        <v>1</v>
      </c>
      <c r="AA178" s="1" t="n">
        <f aca="false">N(AA177)+$Z178</f>
        <v>22</v>
      </c>
      <c r="AB178" s="1" t="n">
        <f aca="false">IF(AND($M178=1,LEFT(对接源_01水果!$D178,4)="原料出库"),1,0)</f>
        <v>0</v>
      </c>
      <c r="AC178" s="1" t="n">
        <f aca="false">N(AC177)+$AB178</f>
        <v>0</v>
      </c>
      <c r="AD178" s="1" t="n">
        <f aca="false">IF(AND($M178=1,LEFT(对接源_01水果!$D178,4)="成品出库"),1,0)</f>
        <v>0</v>
      </c>
      <c r="AE178" s="1" t="n">
        <f aca="false">N(AE177)+$AD178</f>
        <v>0</v>
      </c>
      <c r="AF178" s="1" t="n">
        <f aca="false">IF(AND($N178=1,AND(LEFT(对接源_01水果!$D178,4)="包装物料",N(对接源_01水果!$K178)&lt;&gt;0)),1,0)</f>
        <v>0</v>
      </c>
      <c r="AG178" s="90" t="str">
        <f aca="false">IF(对接源_01水果!$AC178="","",对接源_01水果!$AC178)</f>
        <v/>
      </c>
      <c r="AH178" s="90" t="str">
        <f aca="false">IFERROR(INDEX($AG$4:$AG$1203,MATCH(ROW()-3,$AJ$4:$AJ$1203,0)),"")</f>
        <v/>
      </c>
      <c r="AI178" s="90" t="n">
        <f aca="false">IF(AG178="",0,IF(MATCH(AG178,$AG$4:$AG$1203,0)=ROW()-3,1,0))</f>
        <v>0</v>
      </c>
      <c r="AJ178" s="90" t="n">
        <f aca="false">N(AJ177)+AI178</f>
        <v>0</v>
      </c>
      <c r="AK178" s="1" t="n">
        <f aca="false">N(AK177)+$AJ178</f>
        <v>0</v>
      </c>
    </row>
    <row r="179" customFormat="false" ht="13.5" hidden="false" customHeight="false" outlineLevel="0" collapsed="false">
      <c r="A179" s="1" t="str">
        <f aca="false">IF(对接源_01水果!$C179="","",对接源_01水果!$C179)</f>
        <v>热合曼</v>
      </c>
      <c r="B179" s="1" t="n">
        <f aca="false">IF(A179="",0,IF(MATCH(A179,$A$4:$A$2403,0)=ROW()-3,1,0))</f>
        <v>0</v>
      </c>
      <c r="C179" s="1" t="n">
        <f aca="false">N(C178)+B179</f>
        <v>11</v>
      </c>
      <c r="E179" s="1" t="str">
        <f aca="false">IFERROR(INDEX($A$4:$A$2403,MATCH(ROW()-3,$C$4:$C$2403,0)),"")</f>
        <v/>
      </c>
      <c r="K179" s="1" t="n">
        <f aca="false">IF(OR($K$1="",对接源_01水果!$C179="",对接源_01水果!$C179&lt;&gt;$K$1,对接源_01水果!$B179=""),0,IF(OR(N(对接源_01水果!$B179)&lt;$K$2,N(对接源_01水果!$B179)&gt;$K$3),0,1))</f>
        <v>0</v>
      </c>
      <c r="L179" s="1" t="n">
        <f aca="false">IF(OR($L$1="",对接源_01水果!$C179="",对接源_01水果!$C179&lt;&gt;$L$1,对接源_01水果!$B179=""),0,IF(OR(N(对接源_01水果!$B179)&lt;$L$2,N(对接源_01水果!$B179)&gt;$L$3),0,1))</f>
        <v>0</v>
      </c>
      <c r="M179" s="1" t="n">
        <f aca="false">IF(OR($M$1="",对接源_01水果!$C179="",对接源_01水果!$C179&lt;&gt;$M$1,对接源_01水果!$B179=""),0,IF(OR(N(对接源_01水果!$B179)&lt;$M$2,N(对接源_01水果!$B179)&gt;$M$3),0,1))</f>
        <v>0</v>
      </c>
      <c r="N179" s="1" t="n">
        <f aca="false">IF(OR($N$1="",对接源_01水果!$C179="",对接源_01水果!$C179&lt;&gt;$N$1,对接源_01水果!$B179=""),0,IF(OR(N(对接源_01水果!$B179)&lt;$N$2,N(对接源_01水果!$B179)&gt;$N$3),0,1))</f>
        <v>0</v>
      </c>
      <c r="P179" s="1" t="n">
        <f aca="false">IF(AND($K179=1,AND(对接源_01水果!$X179="公司筐",N(对接源_01水果!$T179)&lt;&gt;0)),1,0)</f>
        <v>0</v>
      </c>
      <c r="Q179" s="1" t="n">
        <f aca="false">N(Q178)+$P179</f>
        <v>0</v>
      </c>
      <c r="R179" s="1" t="n">
        <f aca="false">IF(AND($K179=1,AND(对接源_01水果!$X179="公司筐",N(对接源_01水果!$U179)&lt;&gt;0)),1,0)</f>
        <v>0</v>
      </c>
      <c r="S179" s="1" t="n">
        <f aca="false">N(S178)+$R179</f>
        <v>0</v>
      </c>
      <c r="T179" s="1" t="n">
        <f aca="false">IF(AND($K179=1,AND(对接源_01水果!$X179="公司筐",N(对接源_01水果!$V179)&lt;&gt;0)),1,0)</f>
        <v>0</v>
      </c>
      <c r="U179" s="1" t="n">
        <f aca="false">N(U178)+$T179</f>
        <v>20</v>
      </c>
      <c r="V179" s="1" t="n">
        <f aca="false">IF(AND($L179=1,AND(对接源_01水果!$X179="自备筐",N(对接源_01水果!$V179)&lt;&gt;0)),1,0)</f>
        <v>0</v>
      </c>
      <c r="W179" s="1" t="n">
        <f aca="false">N(W178)+$V179</f>
        <v>4</v>
      </c>
      <c r="X179" s="1" t="n">
        <f aca="false">IF(AND($L179=1,AND(对接源_01水果!$X179="自备筐",N(对接源_01水果!$T179)&lt;&gt;0)),1,0)</f>
        <v>0</v>
      </c>
      <c r="Y179" s="1" t="n">
        <f aca="false">N(Y178)+$X179</f>
        <v>0</v>
      </c>
      <c r="Z179" s="1" t="n">
        <f aca="false">IF(AND($M179=1,对接源_01水果!$D179="原料入库"),1,0)</f>
        <v>0</v>
      </c>
      <c r="AA179" s="1" t="n">
        <f aca="false">N(AA178)+$Z179</f>
        <v>22</v>
      </c>
      <c r="AB179" s="1" t="n">
        <f aca="false">IF(AND($M179=1,LEFT(对接源_01水果!$D179,4)="原料出库"),1,0)</f>
        <v>0</v>
      </c>
      <c r="AC179" s="1" t="n">
        <f aca="false">N(AC178)+$AB179</f>
        <v>0</v>
      </c>
      <c r="AD179" s="1" t="n">
        <f aca="false">IF(AND($M179=1,LEFT(对接源_01水果!$D179,4)="成品出库"),1,0)</f>
        <v>0</v>
      </c>
      <c r="AE179" s="1" t="n">
        <f aca="false">N(AE178)+$AD179</f>
        <v>0</v>
      </c>
      <c r="AF179" s="1" t="n">
        <f aca="false">IF(AND($N179=1,AND(LEFT(对接源_01水果!$D179,4)="包装物料",N(对接源_01水果!$K179)&lt;&gt;0)),1,0)</f>
        <v>0</v>
      </c>
      <c r="AG179" s="90" t="str">
        <f aca="false">IF(对接源_01水果!$AC179="","",对接源_01水果!$AC179)</f>
        <v/>
      </c>
      <c r="AH179" s="90" t="str">
        <f aca="false">IFERROR(INDEX($AG$4:$AG$1203,MATCH(ROW()-3,$AJ$4:$AJ$1203,0)),"")</f>
        <v/>
      </c>
      <c r="AI179" s="90" t="n">
        <f aca="false">IF(AG179="",0,IF(MATCH(AG179,$AG$4:$AG$1203,0)=ROW()-3,1,0))</f>
        <v>0</v>
      </c>
      <c r="AJ179" s="90" t="n">
        <f aca="false">N(AJ178)+AI179</f>
        <v>0</v>
      </c>
      <c r="AK179" s="1" t="n">
        <f aca="false">N(AK178)+$AJ179</f>
        <v>0</v>
      </c>
    </row>
    <row r="180" customFormat="false" ht="13.5" hidden="false" customHeight="false" outlineLevel="0" collapsed="false">
      <c r="A180" s="1" t="str">
        <f aca="false">IF(对接源_01水果!$C180="","",对接源_01水果!$C180)</f>
        <v>热合曼</v>
      </c>
      <c r="B180" s="1" t="n">
        <f aca="false">IF(A180="",0,IF(MATCH(A180,$A$4:$A$2403,0)=ROW()-3,1,0))</f>
        <v>0</v>
      </c>
      <c r="C180" s="1" t="n">
        <f aca="false">N(C179)+B180</f>
        <v>11</v>
      </c>
      <c r="E180" s="1" t="str">
        <f aca="false">IFERROR(INDEX($A$4:$A$2403,MATCH(ROW()-3,$C$4:$C$2403,0)),"")</f>
        <v/>
      </c>
      <c r="K180" s="1" t="n">
        <f aca="false">IF(OR($K$1="",对接源_01水果!$C180="",对接源_01水果!$C180&lt;&gt;$K$1,对接源_01水果!$B180=""),0,IF(OR(N(对接源_01水果!$B180)&lt;$K$2,N(对接源_01水果!$B180)&gt;$K$3),0,1))</f>
        <v>0</v>
      </c>
      <c r="L180" s="1" t="n">
        <f aca="false">IF(OR($L$1="",对接源_01水果!$C180="",对接源_01水果!$C180&lt;&gt;$L$1,对接源_01水果!$B180=""),0,IF(OR(N(对接源_01水果!$B180)&lt;$L$2,N(对接源_01水果!$B180)&gt;$L$3),0,1))</f>
        <v>0</v>
      </c>
      <c r="M180" s="1" t="n">
        <f aca="false">IF(OR($M$1="",对接源_01水果!$C180="",对接源_01水果!$C180&lt;&gt;$M$1,对接源_01水果!$B180=""),0,IF(OR(N(对接源_01水果!$B180)&lt;$M$2,N(对接源_01水果!$B180)&gt;$M$3),0,1))</f>
        <v>0</v>
      </c>
      <c r="N180" s="1" t="n">
        <f aca="false">IF(OR($N$1="",对接源_01水果!$C180="",对接源_01水果!$C180&lt;&gt;$N$1,对接源_01水果!$B180=""),0,IF(OR(N(对接源_01水果!$B180)&lt;$N$2,N(对接源_01水果!$B180)&gt;$N$3),0,1))</f>
        <v>0</v>
      </c>
      <c r="P180" s="1" t="n">
        <f aca="false">IF(AND($K180=1,AND(对接源_01水果!$X180="公司筐",N(对接源_01水果!$T180)&lt;&gt;0)),1,0)</f>
        <v>0</v>
      </c>
      <c r="Q180" s="1" t="n">
        <f aca="false">N(Q179)+$P180</f>
        <v>0</v>
      </c>
      <c r="R180" s="1" t="n">
        <f aca="false">IF(AND($K180=1,AND(对接源_01水果!$X180="公司筐",N(对接源_01水果!$U180)&lt;&gt;0)),1,0)</f>
        <v>0</v>
      </c>
      <c r="S180" s="1" t="n">
        <f aca="false">N(S179)+$R180</f>
        <v>0</v>
      </c>
      <c r="T180" s="1" t="n">
        <f aca="false">IF(AND($K180=1,AND(对接源_01水果!$X180="公司筐",N(对接源_01水果!$V180)&lt;&gt;0)),1,0)</f>
        <v>0</v>
      </c>
      <c r="U180" s="1" t="n">
        <f aca="false">N(U179)+$T180</f>
        <v>20</v>
      </c>
      <c r="V180" s="1" t="n">
        <f aca="false">IF(AND($L180=1,AND(对接源_01水果!$X180="自备筐",N(对接源_01水果!$V180)&lt;&gt;0)),1,0)</f>
        <v>0</v>
      </c>
      <c r="W180" s="1" t="n">
        <f aca="false">N(W179)+$V180</f>
        <v>4</v>
      </c>
      <c r="X180" s="1" t="n">
        <f aca="false">IF(AND($L180=1,AND(对接源_01水果!$X180="自备筐",N(对接源_01水果!$T180)&lt;&gt;0)),1,0)</f>
        <v>0</v>
      </c>
      <c r="Y180" s="1" t="n">
        <f aca="false">N(Y179)+$X180</f>
        <v>0</v>
      </c>
      <c r="Z180" s="1" t="n">
        <f aca="false">IF(AND($M180=1,对接源_01水果!$D180="原料入库"),1,0)</f>
        <v>0</v>
      </c>
      <c r="AA180" s="1" t="n">
        <f aca="false">N(AA179)+$Z180</f>
        <v>22</v>
      </c>
      <c r="AB180" s="1" t="n">
        <f aca="false">IF(AND($M180=1,LEFT(对接源_01水果!$D180,4)="原料出库"),1,0)</f>
        <v>0</v>
      </c>
      <c r="AC180" s="1" t="n">
        <f aca="false">N(AC179)+$AB180</f>
        <v>0</v>
      </c>
      <c r="AD180" s="1" t="n">
        <f aca="false">IF(AND($M180=1,LEFT(对接源_01水果!$D180,4)="成品出库"),1,0)</f>
        <v>0</v>
      </c>
      <c r="AE180" s="1" t="n">
        <f aca="false">N(AE179)+$AD180</f>
        <v>0</v>
      </c>
      <c r="AF180" s="1" t="n">
        <f aca="false">IF(AND($N180=1,AND(LEFT(对接源_01水果!$D180,4)="包装物料",N(对接源_01水果!$K180)&lt;&gt;0)),1,0)</f>
        <v>0</v>
      </c>
      <c r="AG180" s="90" t="str">
        <f aca="false">IF(对接源_01水果!$AC180="","",对接源_01水果!$AC180)</f>
        <v/>
      </c>
      <c r="AH180" s="90" t="str">
        <f aca="false">IFERROR(INDEX($AG$4:$AG$1203,MATCH(ROW()-3,$AJ$4:$AJ$1203,0)),"")</f>
        <v/>
      </c>
      <c r="AI180" s="90" t="n">
        <f aca="false">IF(AG180="",0,IF(MATCH(AG180,$AG$4:$AG$1203,0)=ROW()-3,1,0))</f>
        <v>0</v>
      </c>
      <c r="AJ180" s="90" t="n">
        <f aca="false">N(AJ179)+AI180</f>
        <v>0</v>
      </c>
      <c r="AK180" s="1" t="n">
        <f aca="false">N(AK179)+$AJ180</f>
        <v>0</v>
      </c>
    </row>
    <row r="181" customFormat="false" ht="13.5" hidden="false" customHeight="false" outlineLevel="0" collapsed="false">
      <c r="A181" s="1" t="str">
        <f aca="false">IF(对接源_01水果!$C181="","",对接源_01水果!$C181)</f>
        <v>热合曼</v>
      </c>
      <c r="B181" s="1" t="n">
        <f aca="false">IF(A181="",0,IF(MATCH(A181,$A$4:$A$2403,0)=ROW()-3,1,0))</f>
        <v>0</v>
      </c>
      <c r="C181" s="1" t="n">
        <f aca="false">N(C180)+B181</f>
        <v>11</v>
      </c>
      <c r="E181" s="1" t="str">
        <f aca="false">IFERROR(INDEX($A$4:$A$2403,MATCH(ROW()-3,$C$4:$C$2403,0)),"")</f>
        <v/>
      </c>
      <c r="K181" s="1" t="n">
        <f aca="false">IF(OR($K$1="",对接源_01水果!$C181="",对接源_01水果!$C181&lt;&gt;$K$1,对接源_01水果!$B181=""),0,IF(OR(N(对接源_01水果!$B181)&lt;$K$2,N(对接源_01水果!$B181)&gt;$K$3),0,1))</f>
        <v>0</v>
      </c>
      <c r="L181" s="1" t="n">
        <f aca="false">IF(OR($L$1="",对接源_01水果!$C181="",对接源_01水果!$C181&lt;&gt;$L$1,对接源_01水果!$B181=""),0,IF(OR(N(对接源_01水果!$B181)&lt;$L$2,N(对接源_01水果!$B181)&gt;$L$3),0,1))</f>
        <v>0</v>
      </c>
      <c r="M181" s="1" t="n">
        <f aca="false">IF(OR($M$1="",对接源_01水果!$C181="",对接源_01水果!$C181&lt;&gt;$M$1,对接源_01水果!$B181=""),0,IF(OR(N(对接源_01水果!$B181)&lt;$M$2,N(对接源_01水果!$B181)&gt;$M$3),0,1))</f>
        <v>0</v>
      </c>
      <c r="N181" s="1" t="n">
        <f aca="false">IF(OR($N$1="",对接源_01水果!$C181="",对接源_01水果!$C181&lt;&gt;$N$1,对接源_01水果!$B181=""),0,IF(OR(N(对接源_01水果!$B181)&lt;$N$2,N(对接源_01水果!$B181)&gt;$N$3),0,1))</f>
        <v>0</v>
      </c>
      <c r="P181" s="1" t="n">
        <f aca="false">IF(AND($K181=1,AND(对接源_01水果!$X181="公司筐",N(对接源_01水果!$T181)&lt;&gt;0)),1,0)</f>
        <v>0</v>
      </c>
      <c r="Q181" s="1" t="n">
        <f aca="false">N(Q180)+$P181</f>
        <v>0</v>
      </c>
      <c r="R181" s="1" t="n">
        <f aca="false">IF(AND($K181=1,AND(对接源_01水果!$X181="公司筐",N(对接源_01水果!$U181)&lt;&gt;0)),1,0)</f>
        <v>0</v>
      </c>
      <c r="S181" s="1" t="n">
        <f aca="false">N(S180)+$R181</f>
        <v>0</v>
      </c>
      <c r="T181" s="1" t="n">
        <f aca="false">IF(AND($K181=1,AND(对接源_01水果!$X181="公司筐",N(对接源_01水果!$V181)&lt;&gt;0)),1,0)</f>
        <v>0</v>
      </c>
      <c r="U181" s="1" t="n">
        <f aca="false">N(U180)+$T181</f>
        <v>20</v>
      </c>
      <c r="V181" s="1" t="n">
        <f aca="false">IF(AND($L181=1,AND(对接源_01水果!$X181="自备筐",N(对接源_01水果!$V181)&lt;&gt;0)),1,0)</f>
        <v>0</v>
      </c>
      <c r="W181" s="1" t="n">
        <f aca="false">N(W180)+$V181</f>
        <v>4</v>
      </c>
      <c r="X181" s="1" t="n">
        <f aca="false">IF(AND($L181=1,AND(对接源_01水果!$X181="自备筐",N(对接源_01水果!$T181)&lt;&gt;0)),1,0)</f>
        <v>0</v>
      </c>
      <c r="Y181" s="1" t="n">
        <f aca="false">N(Y180)+$X181</f>
        <v>0</v>
      </c>
      <c r="Z181" s="1" t="n">
        <f aca="false">IF(AND($M181=1,对接源_01水果!$D181="原料入库"),1,0)</f>
        <v>0</v>
      </c>
      <c r="AA181" s="1" t="n">
        <f aca="false">N(AA180)+$Z181</f>
        <v>22</v>
      </c>
      <c r="AB181" s="1" t="n">
        <f aca="false">IF(AND($M181=1,LEFT(对接源_01水果!$D181,4)="原料出库"),1,0)</f>
        <v>0</v>
      </c>
      <c r="AC181" s="1" t="n">
        <f aca="false">N(AC180)+$AB181</f>
        <v>0</v>
      </c>
      <c r="AD181" s="1" t="n">
        <f aca="false">IF(AND($M181=1,LEFT(对接源_01水果!$D181,4)="成品出库"),1,0)</f>
        <v>0</v>
      </c>
      <c r="AE181" s="1" t="n">
        <f aca="false">N(AE180)+$AD181</f>
        <v>0</v>
      </c>
      <c r="AF181" s="1" t="n">
        <f aca="false">IF(AND($N181=1,AND(LEFT(对接源_01水果!$D181,4)="包装物料",N(对接源_01水果!$K181)&lt;&gt;0)),1,0)</f>
        <v>0</v>
      </c>
      <c r="AG181" s="90" t="str">
        <f aca="false">IF(对接源_01水果!$AC181="","",对接源_01水果!$AC181)</f>
        <v/>
      </c>
      <c r="AH181" s="90" t="str">
        <f aca="false">IFERROR(INDEX($AG$4:$AG$1203,MATCH(ROW()-3,$AJ$4:$AJ$1203,0)),"")</f>
        <v/>
      </c>
      <c r="AI181" s="90" t="n">
        <f aca="false">IF(AG181="",0,IF(MATCH(AG181,$AG$4:$AG$1203,0)=ROW()-3,1,0))</f>
        <v>0</v>
      </c>
      <c r="AJ181" s="90" t="n">
        <f aca="false">N(AJ180)+AI181</f>
        <v>0</v>
      </c>
      <c r="AK181" s="1" t="n">
        <f aca="false">N(AK180)+$AJ181</f>
        <v>0</v>
      </c>
    </row>
    <row r="182" customFormat="false" ht="13.5" hidden="false" customHeight="false" outlineLevel="0" collapsed="false">
      <c r="A182" s="1" t="str">
        <f aca="false">IF(对接源_01水果!$C182="","",对接源_01水果!$C182)</f>
        <v>马锦祥</v>
      </c>
      <c r="B182" s="1" t="n">
        <f aca="false">IF(A182="",0,IF(MATCH(A182,$A$4:$A$2403,0)=ROW()-3,1,0))</f>
        <v>0</v>
      </c>
      <c r="C182" s="1" t="n">
        <f aca="false">N(C181)+B182</f>
        <v>11</v>
      </c>
      <c r="E182" s="1" t="str">
        <f aca="false">IFERROR(INDEX($A$4:$A$2403,MATCH(ROW()-3,$C$4:$C$2403,0)),"")</f>
        <v/>
      </c>
      <c r="K182" s="1" t="n">
        <f aca="false">IF(OR($K$1="",对接源_01水果!$C182="",对接源_01水果!$C182&lt;&gt;$K$1,对接源_01水果!$B182=""),0,IF(OR(N(对接源_01水果!$B182)&lt;$K$2,N(对接源_01水果!$B182)&gt;$K$3),0,1))</f>
        <v>0</v>
      </c>
      <c r="L182" s="1" t="n">
        <f aca="false">IF(OR($L$1="",对接源_01水果!$C182="",对接源_01水果!$C182&lt;&gt;$L$1,对接源_01水果!$B182=""),0,IF(OR(N(对接源_01水果!$B182)&lt;$L$2,N(对接源_01水果!$B182)&gt;$L$3),0,1))</f>
        <v>0</v>
      </c>
      <c r="M182" s="1" t="n">
        <f aca="false">IF(OR($M$1="",对接源_01水果!$C182="",对接源_01水果!$C182&lt;&gt;$M$1,对接源_01水果!$B182=""),0,IF(OR(N(对接源_01水果!$B182)&lt;$M$2,N(对接源_01水果!$B182)&gt;$M$3),0,1))</f>
        <v>0</v>
      </c>
      <c r="N182" s="1" t="n">
        <f aca="false">IF(OR($N$1="",对接源_01水果!$C182="",对接源_01水果!$C182&lt;&gt;$N$1,对接源_01水果!$B182=""),0,IF(OR(N(对接源_01水果!$B182)&lt;$N$2,N(对接源_01水果!$B182)&gt;$N$3),0,1))</f>
        <v>0</v>
      </c>
      <c r="P182" s="1" t="n">
        <f aca="false">IF(AND($K182=1,AND(对接源_01水果!$X182="公司筐",N(对接源_01水果!$T182)&lt;&gt;0)),1,0)</f>
        <v>0</v>
      </c>
      <c r="Q182" s="1" t="n">
        <f aca="false">N(Q181)+$P182</f>
        <v>0</v>
      </c>
      <c r="R182" s="1" t="n">
        <f aca="false">IF(AND($K182=1,AND(对接源_01水果!$X182="公司筐",N(对接源_01水果!$U182)&lt;&gt;0)),1,0)</f>
        <v>0</v>
      </c>
      <c r="S182" s="1" t="n">
        <f aca="false">N(S181)+$R182</f>
        <v>0</v>
      </c>
      <c r="T182" s="1" t="n">
        <f aca="false">IF(AND($K182=1,AND(对接源_01水果!$X182="公司筐",N(对接源_01水果!$V182)&lt;&gt;0)),1,0)</f>
        <v>0</v>
      </c>
      <c r="U182" s="1" t="n">
        <f aca="false">N(U181)+$T182</f>
        <v>20</v>
      </c>
      <c r="V182" s="1" t="n">
        <f aca="false">IF(AND($L182=1,AND(对接源_01水果!$X182="自备筐",N(对接源_01水果!$V182)&lt;&gt;0)),1,0)</f>
        <v>0</v>
      </c>
      <c r="W182" s="1" t="n">
        <f aca="false">N(W181)+$V182</f>
        <v>4</v>
      </c>
      <c r="X182" s="1" t="n">
        <f aca="false">IF(AND($L182=1,AND(对接源_01水果!$X182="自备筐",N(对接源_01水果!$T182)&lt;&gt;0)),1,0)</f>
        <v>0</v>
      </c>
      <c r="Y182" s="1" t="n">
        <f aca="false">N(Y181)+$X182</f>
        <v>0</v>
      </c>
      <c r="Z182" s="1" t="n">
        <f aca="false">IF(AND($M182=1,对接源_01水果!$D182="原料入库"),1,0)</f>
        <v>0</v>
      </c>
      <c r="AA182" s="1" t="n">
        <f aca="false">N(AA181)+$Z182</f>
        <v>22</v>
      </c>
      <c r="AB182" s="1" t="n">
        <f aca="false">IF(AND($M182=1,LEFT(对接源_01水果!$D182,4)="原料出库"),1,0)</f>
        <v>0</v>
      </c>
      <c r="AC182" s="1" t="n">
        <f aca="false">N(AC181)+$AB182</f>
        <v>0</v>
      </c>
      <c r="AD182" s="1" t="n">
        <f aca="false">IF(AND($M182=1,LEFT(对接源_01水果!$D182,4)="成品出库"),1,0)</f>
        <v>0</v>
      </c>
      <c r="AE182" s="1" t="n">
        <f aca="false">N(AE181)+$AD182</f>
        <v>0</v>
      </c>
      <c r="AF182" s="1" t="n">
        <f aca="false">IF(AND($N182=1,AND(LEFT(对接源_01水果!$D182,4)="包装物料",N(对接源_01水果!$K182)&lt;&gt;0)),1,0)</f>
        <v>0</v>
      </c>
      <c r="AG182" s="90" t="str">
        <f aca="false">IF(对接源_01水果!$AC182="","",对接源_01水果!$AC182)</f>
        <v/>
      </c>
      <c r="AH182" s="90" t="str">
        <f aca="false">IFERROR(INDEX($AG$4:$AG$1203,MATCH(ROW()-3,$AJ$4:$AJ$1203,0)),"")</f>
        <v/>
      </c>
      <c r="AI182" s="90" t="n">
        <f aca="false">IF(AG182="",0,IF(MATCH(AG182,$AG$4:$AG$1203,0)=ROW()-3,1,0))</f>
        <v>0</v>
      </c>
      <c r="AJ182" s="90" t="n">
        <f aca="false">N(AJ181)+AI182</f>
        <v>0</v>
      </c>
      <c r="AK182" s="1" t="n">
        <f aca="false">N(AK181)+$AJ182</f>
        <v>0</v>
      </c>
    </row>
    <row r="183" customFormat="false" ht="13.5" hidden="false" customHeight="false" outlineLevel="0" collapsed="false">
      <c r="A183" s="1" t="str">
        <f aca="false">IF(对接源_01水果!$C183="","",对接源_01水果!$C183)</f>
        <v>马锦祥</v>
      </c>
      <c r="B183" s="1" t="n">
        <f aca="false">IF(A183="",0,IF(MATCH(A183,$A$4:$A$2403,0)=ROW()-3,1,0))</f>
        <v>0</v>
      </c>
      <c r="C183" s="1" t="n">
        <f aca="false">N(C182)+B183</f>
        <v>11</v>
      </c>
      <c r="E183" s="1" t="str">
        <f aca="false">IFERROR(INDEX($A$4:$A$2403,MATCH(ROW()-3,$C$4:$C$2403,0)),"")</f>
        <v/>
      </c>
      <c r="K183" s="1" t="n">
        <f aca="false">IF(OR($K$1="",对接源_01水果!$C183="",对接源_01水果!$C183&lt;&gt;$K$1,对接源_01水果!$B183=""),0,IF(OR(N(对接源_01水果!$B183)&lt;$K$2,N(对接源_01水果!$B183)&gt;$K$3),0,1))</f>
        <v>0</v>
      </c>
      <c r="L183" s="1" t="n">
        <f aca="false">IF(OR($L$1="",对接源_01水果!$C183="",对接源_01水果!$C183&lt;&gt;$L$1,对接源_01水果!$B183=""),0,IF(OR(N(对接源_01水果!$B183)&lt;$L$2,N(对接源_01水果!$B183)&gt;$L$3),0,1))</f>
        <v>0</v>
      </c>
      <c r="M183" s="1" t="n">
        <f aca="false">IF(OR($M$1="",对接源_01水果!$C183="",对接源_01水果!$C183&lt;&gt;$M$1,对接源_01水果!$B183=""),0,IF(OR(N(对接源_01水果!$B183)&lt;$M$2,N(对接源_01水果!$B183)&gt;$M$3),0,1))</f>
        <v>0</v>
      </c>
      <c r="N183" s="1" t="n">
        <f aca="false">IF(OR($N$1="",对接源_01水果!$C183="",对接源_01水果!$C183&lt;&gt;$N$1,对接源_01水果!$B183=""),0,IF(OR(N(对接源_01水果!$B183)&lt;$N$2,N(对接源_01水果!$B183)&gt;$N$3),0,1))</f>
        <v>0</v>
      </c>
      <c r="P183" s="1" t="n">
        <f aca="false">IF(AND($K183=1,AND(对接源_01水果!$X183="公司筐",N(对接源_01水果!$T183)&lt;&gt;0)),1,0)</f>
        <v>0</v>
      </c>
      <c r="Q183" s="1" t="n">
        <f aca="false">N(Q182)+$P183</f>
        <v>0</v>
      </c>
      <c r="R183" s="1" t="n">
        <f aca="false">IF(AND($K183=1,AND(对接源_01水果!$X183="公司筐",N(对接源_01水果!$U183)&lt;&gt;0)),1,0)</f>
        <v>0</v>
      </c>
      <c r="S183" s="1" t="n">
        <f aca="false">N(S182)+$R183</f>
        <v>0</v>
      </c>
      <c r="T183" s="1" t="n">
        <f aca="false">IF(AND($K183=1,AND(对接源_01水果!$X183="公司筐",N(对接源_01水果!$V183)&lt;&gt;0)),1,0)</f>
        <v>0</v>
      </c>
      <c r="U183" s="1" t="n">
        <f aca="false">N(U182)+$T183</f>
        <v>20</v>
      </c>
      <c r="V183" s="1" t="n">
        <f aca="false">IF(AND($L183=1,AND(对接源_01水果!$X183="自备筐",N(对接源_01水果!$V183)&lt;&gt;0)),1,0)</f>
        <v>0</v>
      </c>
      <c r="W183" s="1" t="n">
        <f aca="false">N(W182)+$V183</f>
        <v>4</v>
      </c>
      <c r="X183" s="1" t="n">
        <f aca="false">IF(AND($L183=1,AND(对接源_01水果!$X183="自备筐",N(对接源_01水果!$T183)&lt;&gt;0)),1,0)</f>
        <v>0</v>
      </c>
      <c r="Y183" s="1" t="n">
        <f aca="false">N(Y182)+$X183</f>
        <v>0</v>
      </c>
      <c r="Z183" s="1" t="n">
        <f aca="false">IF(AND($M183=1,对接源_01水果!$D183="原料入库"),1,0)</f>
        <v>0</v>
      </c>
      <c r="AA183" s="1" t="n">
        <f aca="false">N(AA182)+$Z183</f>
        <v>22</v>
      </c>
      <c r="AB183" s="1" t="n">
        <f aca="false">IF(AND($M183=1,LEFT(对接源_01水果!$D183,4)="原料出库"),1,0)</f>
        <v>0</v>
      </c>
      <c r="AC183" s="1" t="n">
        <f aca="false">N(AC182)+$AB183</f>
        <v>0</v>
      </c>
      <c r="AD183" s="1" t="n">
        <f aca="false">IF(AND($M183=1,LEFT(对接源_01水果!$D183,4)="成品出库"),1,0)</f>
        <v>0</v>
      </c>
      <c r="AE183" s="1" t="n">
        <f aca="false">N(AE182)+$AD183</f>
        <v>0</v>
      </c>
      <c r="AF183" s="1" t="n">
        <f aca="false">IF(AND($N183=1,AND(LEFT(对接源_01水果!$D183,4)="包装物料",N(对接源_01水果!$K183)&lt;&gt;0)),1,0)</f>
        <v>0</v>
      </c>
      <c r="AG183" s="90" t="str">
        <f aca="false">IF(对接源_01水果!$AC183="","",对接源_01水果!$AC183)</f>
        <v/>
      </c>
      <c r="AH183" s="90" t="str">
        <f aca="false">IFERROR(INDEX($AG$4:$AG$1203,MATCH(ROW()-3,$AJ$4:$AJ$1203,0)),"")</f>
        <v/>
      </c>
      <c r="AI183" s="90" t="n">
        <f aca="false">IF(AG183="",0,IF(MATCH(AG183,$AG$4:$AG$1203,0)=ROW()-3,1,0))</f>
        <v>0</v>
      </c>
      <c r="AJ183" s="90" t="n">
        <f aca="false">N(AJ182)+AI183</f>
        <v>0</v>
      </c>
      <c r="AK183" s="1" t="n">
        <f aca="false">N(AK182)+$AJ183</f>
        <v>0</v>
      </c>
    </row>
    <row r="184" customFormat="false" ht="13.5" hidden="false" customHeight="false" outlineLevel="0" collapsed="false">
      <c r="A184" s="1" t="str">
        <f aca="false">IF(对接源_01水果!$C184="","",对接源_01水果!$C184)</f>
        <v>马锦祥</v>
      </c>
      <c r="B184" s="1" t="n">
        <f aca="false">IF(A184="",0,IF(MATCH(A184,$A$4:$A$2403,0)=ROW()-3,1,0))</f>
        <v>0</v>
      </c>
      <c r="C184" s="1" t="n">
        <f aca="false">N(C183)+B184</f>
        <v>11</v>
      </c>
      <c r="E184" s="1" t="str">
        <f aca="false">IFERROR(INDEX($A$4:$A$2403,MATCH(ROW()-3,$C$4:$C$2403,0)),"")</f>
        <v/>
      </c>
      <c r="K184" s="1" t="n">
        <f aca="false">IF(OR($K$1="",对接源_01水果!$C184="",对接源_01水果!$C184&lt;&gt;$K$1,对接源_01水果!$B184=""),0,IF(OR(N(对接源_01水果!$B184)&lt;$K$2,N(对接源_01水果!$B184)&gt;$K$3),0,1))</f>
        <v>0</v>
      </c>
      <c r="L184" s="1" t="n">
        <f aca="false">IF(OR($L$1="",对接源_01水果!$C184="",对接源_01水果!$C184&lt;&gt;$L$1,对接源_01水果!$B184=""),0,IF(OR(N(对接源_01水果!$B184)&lt;$L$2,N(对接源_01水果!$B184)&gt;$L$3),0,1))</f>
        <v>0</v>
      </c>
      <c r="M184" s="1" t="n">
        <f aca="false">IF(OR($M$1="",对接源_01水果!$C184="",对接源_01水果!$C184&lt;&gt;$M$1,对接源_01水果!$B184=""),0,IF(OR(N(对接源_01水果!$B184)&lt;$M$2,N(对接源_01水果!$B184)&gt;$M$3),0,1))</f>
        <v>0</v>
      </c>
      <c r="N184" s="1" t="n">
        <f aca="false">IF(OR($N$1="",对接源_01水果!$C184="",对接源_01水果!$C184&lt;&gt;$N$1,对接源_01水果!$B184=""),0,IF(OR(N(对接源_01水果!$B184)&lt;$N$2,N(对接源_01水果!$B184)&gt;$N$3),0,1))</f>
        <v>0</v>
      </c>
      <c r="P184" s="1" t="n">
        <f aca="false">IF(AND($K184=1,AND(对接源_01水果!$X184="公司筐",N(对接源_01水果!$T184)&lt;&gt;0)),1,0)</f>
        <v>0</v>
      </c>
      <c r="Q184" s="1" t="n">
        <f aca="false">N(Q183)+$P184</f>
        <v>0</v>
      </c>
      <c r="R184" s="1" t="n">
        <f aca="false">IF(AND($K184=1,AND(对接源_01水果!$X184="公司筐",N(对接源_01水果!$U184)&lt;&gt;0)),1,0)</f>
        <v>0</v>
      </c>
      <c r="S184" s="1" t="n">
        <f aca="false">N(S183)+$R184</f>
        <v>0</v>
      </c>
      <c r="T184" s="1" t="n">
        <f aca="false">IF(AND($K184=1,AND(对接源_01水果!$X184="公司筐",N(对接源_01水果!$V184)&lt;&gt;0)),1,0)</f>
        <v>0</v>
      </c>
      <c r="U184" s="1" t="n">
        <f aca="false">N(U183)+$T184</f>
        <v>20</v>
      </c>
      <c r="V184" s="1" t="n">
        <f aca="false">IF(AND($L184=1,AND(对接源_01水果!$X184="自备筐",N(对接源_01水果!$V184)&lt;&gt;0)),1,0)</f>
        <v>0</v>
      </c>
      <c r="W184" s="1" t="n">
        <f aca="false">N(W183)+$V184</f>
        <v>4</v>
      </c>
      <c r="X184" s="1" t="n">
        <f aca="false">IF(AND($L184=1,AND(对接源_01水果!$X184="自备筐",N(对接源_01水果!$T184)&lt;&gt;0)),1,0)</f>
        <v>0</v>
      </c>
      <c r="Y184" s="1" t="n">
        <f aca="false">N(Y183)+$X184</f>
        <v>0</v>
      </c>
      <c r="Z184" s="1" t="n">
        <f aca="false">IF(AND($M184=1,对接源_01水果!$D184="原料入库"),1,0)</f>
        <v>0</v>
      </c>
      <c r="AA184" s="1" t="n">
        <f aca="false">N(AA183)+$Z184</f>
        <v>22</v>
      </c>
      <c r="AB184" s="1" t="n">
        <f aca="false">IF(AND($M184=1,LEFT(对接源_01水果!$D184,4)="原料出库"),1,0)</f>
        <v>0</v>
      </c>
      <c r="AC184" s="1" t="n">
        <f aca="false">N(AC183)+$AB184</f>
        <v>0</v>
      </c>
      <c r="AD184" s="1" t="n">
        <f aca="false">IF(AND($M184=1,LEFT(对接源_01水果!$D184,4)="成品出库"),1,0)</f>
        <v>0</v>
      </c>
      <c r="AE184" s="1" t="n">
        <f aca="false">N(AE183)+$AD184</f>
        <v>0</v>
      </c>
      <c r="AF184" s="1" t="n">
        <f aca="false">IF(AND($N184=1,AND(LEFT(对接源_01水果!$D184,4)="包装物料",N(对接源_01水果!$K184)&lt;&gt;0)),1,0)</f>
        <v>0</v>
      </c>
      <c r="AG184" s="90" t="str">
        <f aca="false">IF(对接源_01水果!$AC184="","",对接源_01水果!$AC184)</f>
        <v/>
      </c>
      <c r="AH184" s="90" t="str">
        <f aca="false">IFERROR(INDEX($AG$4:$AG$1203,MATCH(ROW()-3,$AJ$4:$AJ$1203,0)),"")</f>
        <v/>
      </c>
      <c r="AI184" s="90" t="n">
        <f aca="false">IF(AG184="",0,IF(MATCH(AG184,$AG$4:$AG$1203,0)=ROW()-3,1,0))</f>
        <v>0</v>
      </c>
      <c r="AJ184" s="90" t="n">
        <f aca="false">N(AJ183)+AI184</f>
        <v>0</v>
      </c>
      <c r="AK184" s="1" t="n">
        <f aca="false">N(AK183)+$AJ184</f>
        <v>0</v>
      </c>
    </row>
    <row r="185" customFormat="false" ht="13.5" hidden="false" customHeight="false" outlineLevel="0" collapsed="false">
      <c r="A185" s="1" t="str">
        <f aca="false">IF(对接源_01水果!$C185="","",对接源_01水果!$C185)</f>
        <v>努尔敦</v>
      </c>
      <c r="B185" s="1" t="n">
        <f aca="false">IF(A185="",0,IF(MATCH(A185,$A$4:$A$2403,0)=ROW()-3,1,0))</f>
        <v>1</v>
      </c>
      <c r="C185" s="1" t="n">
        <f aca="false">N(C184)+B185</f>
        <v>12</v>
      </c>
      <c r="E185" s="1" t="str">
        <f aca="false">IFERROR(INDEX($A$4:$A$2403,MATCH(ROW()-3,$C$4:$C$2403,0)),"")</f>
        <v/>
      </c>
      <c r="K185" s="1" t="n">
        <f aca="false">IF(OR($K$1="",对接源_01水果!$C185="",对接源_01水果!$C185&lt;&gt;$K$1,对接源_01水果!$B185=""),0,IF(OR(N(对接源_01水果!$B185)&lt;$K$2,N(对接源_01水果!$B185)&gt;$K$3),0,1))</f>
        <v>0</v>
      </c>
      <c r="L185" s="1" t="n">
        <f aca="false">IF(OR($L$1="",对接源_01水果!$C185="",对接源_01水果!$C185&lt;&gt;$L$1,对接源_01水果!$B185=""),0,IF(OR(N(对接源_01水果!$B185)&lt;$L$2,N(对接源_01水果!$B185)&gt;$L$3),0,1))</f>
        <v>0</v>
      </c>
      <c r="M185" s="1" t="n">
        <f aca="false">IF(OR($M$1="",对接源_01水果!$C185="",对接源_01水果!$C185&lt;&gt;$M$1,对接源_01水果!$B185=""),0,IF(OR(N(对接源_01水果!$B185)&lt;$M$2,N(对接源_01水果!$B185)&gt;$M$3),0,1))</f>
        <v>0</v>
      </c>
      <c r="N185" s="1" t="n">
        <f aca="false">IF(OR($N$1="",对接源_01水果!$C185="",对接源_01水果!$C185&lt;&gt;$N$1,对接源_01水果!$B185=""),0,IF(OR(N(对接源_01水果!$B185)&lt;$N$2,N(对接源_01水果!$B185)&gt;$N$3),0,1))</f>
        <v>0</v>
      </c>
      <c r="P185" s="1" t="n">
        <f aca="false">IF(AND($K185=1,AND(对接源_01水果!$X185="公司筐",N(对接源_01水果!$T185)&lt;&gt;0)),1,0)</f>
        <v>0</v>
      </c>
      <c r="Q185" s="1" t="n">
        <f aca="false">N(Q184)+$P185</f>
        <v>0</v>
      </c>
      <c r="R185" s="1" t="n">
        <f aca="false">IF(AND($K185=1,AND(对接源_01水果!$X185="公司筐",N(对接源_01水果!$U185)&lt;&gt;0)),1,0)</f>
        <v>0</v>
      </c>
      <c r="S185" s="1" t="n">
        <f aca="false">N(S184)+$R185</f>
        <v>0</v>
      </c>
      <c r="T185" s="1" t="n">
        <f aca="false">IF(AND($K185=1,AND(对接源_01水果!$X185="公司筐",N(对接源_01水果!$V185)&lt;&gt;0)),1,0)</f>
        <v>0</v>
      </c>
      <c r="U185" s="1" t="n">
        <f aca="false">N(U184)+$T185</f>
        <v>20</v>
      </c>
      <c r="V185" s="1" t="n">
        <f aca="false">IF(AND($L185=1,AND(对接源_01水果!$X185="自备筐",N(对接源_01水果!$V185)&lt;&gt;0)),1,0)</f>
        <v>0</v>
      </c>
      <c r="W185" s="1" t="n">
        <f aca="false">N(W184)+$V185</f>
        <v>4</v>
      </c>
      <c r="X185" s="1" t="n">
        <f aca="false">IF(AND($L185=1,AND(对接源_01水果!$X185="自备筐",N(对接源_01水果!$T185)&lt;&gt;0)),1,0)</f>
        <v>0</v>
      </c>
      <c r="Y185" s="1" t="n">
        <f aca="false">N(Y184)+$X185</f>
        <v>0</v>
      </c>
      <c r="Z185" s="1" t="n">
        <f aca="false">IF(AND($M185=1,对接源_01水果!$D185="原料入库"),1,0)</f>
        <v>0</v>
      </c>
      <c r="AA185" s="1" t="n">
        <f aca="false">N(AA184)+$Z185</f>
        <v>22</v>
      </c>
      <c r="AB185" s="1" t="n">
        <f aca="false">IF(AND($M185=1,LEFT(对接源_01水果!$D185,4)="原料出库"),1,0)</f>
        <v>0</v>
      </c>
      <c r="AC185" s="1" t="n">
        <f aca="false">N(AC184)+$AB185</f>
        <v>0</v>
      </c>
      <c r="AD185" s="1" t="n">
        <f aca="false">IF(AND($M185=1,LEFT(对接源_01水果!$D185,4)="成品出库"),1,0)</f>
        <v>0</v>
      </c>
      <c r="AE185" s="1" t="n">
        <f aca="false">N(AE184)+$AD185</f>
        <v>0</v>
      </c>
      <c r="AF185" s="1" t="n">
        <f aca="false">IF(AND($N185=1,AND(LEFT(对接源_01水果!$D185,4)="包装物料",N(对接源_01水果!$K185)&lt;&gt;0)),1,0)</f>
        <v>0</v>
      </c>
      <c r="AG185" s="90" t="str">
        <f aca="false">IF(对接源_01水果!$AC185="","",对接源_01水果!$AC185)</f>
        <v/>
      </c>
      <c r="AH185" s="90" t="str">
        <f aca="false">IFERROR(INDEX($AG$4:$AG$1203,MATCH(ROW()-3,$AJ$4:$AJ$1203,0)),"")</f>
        <v/>
      </c>
      <c r="AI185" s="90" t="n">
        <f aca="false">IF(AG185="",0,IF(MATCH(AG185,$AG$4:$AG$1203,0)=ROW()-3,1,0))</f>
        <v>0</v>
      </c>
      <c r="AJ185" s="90" t="n">
        <f aca="false">N(AJ184)+AI185</f>
        <v>0</v>
      </c>
      <c r="AK185" s="1" t="n">
        <f aca="false">N(AK184)+$AJ185</f>
        <v>0</v>
      </c>
    </row>
    <row r="186" customFormat="false" ht="13.5" hidden="false" customHeight="false" outlineLevel="0" collapsed="false">
      <c r="A186" s="1" t="str">
        <f aca="false">IF(对接源_01水果!$C186="","",对接源_01水果!$C186)</f>
        <v>努尔敦</v>
      </c>
      <c r="B186" s="1" t="n">
        <f aca="false">IF(A186="",0,IF(MATCH(A186,$A$4:$A$2403,0)=ROW()-3,1,0))</f>
        <v>0</v>
      </c>
      <c r="C186" s="1" t="n">
        <f aca="false">N(C185)+B186</f>
        <v>12</v>
      </c>
      <c r="E186" s="1" t="str">
        <f aca="false">IFERROR(INDEX($A$4:$A$2403,MATCH(ROW()-3,$C$4:$C$2403,0)),"")</f>
        <v/>
      </c>
      <c r="K186" s="1" t="n">
        <f aca="false">IF(OR($K$1="",对接源_01水果!$C186="",对接源_01水果!$C186&lt;&gt;$K$1,对接源_01水果!$B186=""),0,IF(OR(N(对接源_01水果!$B186)&lt;$K$2,N(对接源_01水果!$B186)&gt;$K$3),0,1))</f>
        <v>0</v>
      </c>
      <c r="L186" s="1" t="n">
        <f aca="false">IF(OR($L$1="",对接源_01水果!$C186="",对接源_01水果!$C186&lt;&gt;$L$1,对接源_01水果!$B186=""),0,IF(OR(N(对接源_01水果!$B186)&lt;$L$2,N(对接源_01水果!$B186)&gt;$L$3),0,1))</f>
        <v>0</v>
      </c>
      <c r="M186" s="1" t="n">
        <f aca="false">IF(OR($M$1="",对接源_01水果!$C186="",对接源_01水果!$C186&lt;&gt;$M$1,对接源_01水果!$B186=""),0,IF(OR(N(对接源_01水果!$B186)&lt;$M$2,N(对接源_01水果!$B186)&gt;$M$3),0,1))</f>
        <v>0</v>
      </c>
      <c r="N186" s="1" t="n">
        <f aca="false">IF(OR($N$1="",对接源_01水果!$C186="",对接源_01水果!$C186&lt;&gt;$N$1,对接源_01水果!$B186=""),0,IF(OR(N(对接源_01水果!$B186)&lt;$N$2,N(对接源_01水果!$B186)&gt;$N$3),0,1))</f>
        <v>0</v>
      </c>
      <c r="P186" s="1" t="n">
        <f aca="false">IF(AND($K186=1,AND(对接源_01水果!$X186="公司筐",N(对接源_01水果!$T186)&lt;&gt;0)),1,0)</f>
        <v>0</v>
      </c>
      <c r="Q186" s="1" t="n">
        <f aca="false">N(Q185)+$P186</f>
        <v>0</v>
      </c>
      <c r="R186" s="1" t="n">
        <f aca="false">IF(AND($K186=1,AND(对接源_01水果!$X186="公司筐",N(对接源_01水果!$U186)&lt;&gt;0)),1,0)</f>
        <v>0</v>
      </c>
      <c r="S186" s="1" t="n">
        <f aca="false">N(S185)+$R186</f>
        <v>0</v>
      </c>
      <c r="T186" s="1" t="n">
        <f aca="false">IF(AND($K186=1,AND(对接源_01水果!$X186="公司筐",N(对接源_01水果!$V186)&lt;&gt;0)),1,0)</f>
        <v>0</v>
      </c>
      <c r="U186" s="1" t="n">
        <f aca="false">N(U185)+$T186</f>
        <v>20</v>
      </c>
      <c r="V186" s="1" t="n">
        <f aca="false">IF(AND($L186=1,AND(对接源_01水果!$X186="自备筐",N(对接源_01水果!$V186)&lt;&gt;0)),1,0)</f>
        <v>0</v>
      </c>
      <c r="W186" s="1" t="n">
        <f aca="false">N(W185)+$V186</f>
        <v>4</v>
      </c>
      <c r="X186" s="1" t="n">
        <f aca="false">IF(AND($L186=1,AND(对接源_01水果!$X186="自备筐",N(对接源_01水果!$T186)&lt;&gt;0)),1,0)</f>
        <v>0</v>
      </c>
      <c r="Y186" s="1" t="n">
        <f aca="false">N(Y185)+$X186</f>
        <v>0</v>
      </c>
      <c r="Z186" s="1" t="n">
        <f aca="false">IF(AND($M186=1,对接源_01水果!$D186="原料入库"),1,0)</f>
        <v>0</v>
      </c>
      <c r="AA186" s="1" t="n">
        <f aca="false">N(AA185)+$Z186</f>
        <v>22</v>
      </c>
      <c r="AB186" s="1" t="n">
        <f aca="false">IF(AND($M186=1,LEFT(对接源_01水果!$D186,4)="原料出库"),1,0)</f>
        <v>0</v>
      </c>
      <c r="AC186" s="1" t="n">
        <f aca="false">N(AC185)+$AB186</f>
        <v>0</v>
      </c>
      <c r="AD186" s="1" t="n">
        <f aca="false">IF(AND($M186=1,LEFT(对接源_01水果!$D186,4)="成品出库"),1,0)</f>
        <v>0</v>
      </c>
      <c r="AE186" s="1" t="n">
        <f aca="false">N(AE185)+$AD186</f>
        <v>0</v>
      </c>
      <c r="AF186" s="1" t="n">
        <f aca="false">IF(AND($N186=1,AND(LEFT(对接源_01水果!$D186,4)="包装物料",N(对接源_01水果!$K186)&lt;&gt;0)),1,0)</f>
        <v>0</v>
      </c>
      <c r="AG186" s="90" t="str">
        <f aca="false">IF(对接源_01水果!$AC186="","",对接源_01水果!$AC186)</f>
        <v/>
      </c>
      <c r="AH186" s="90" t="str">
        <f aca="false">IFERROR(INDEX($AG$4:$AG$1203,MATCH(ROW()-3,$AJ$4:$AJ$1203,0)),"")</f>
        <v/>
      </c>
      <c r="AI186" s="90" t="n">
        <f aca="false">IF(AG186="",0,IF(MATCH(AG186,$AG$4:$AG$1203,0)=ROW()-3,1,0))</f>
        <v>0</v>
      </c>
      <c r="AJ186" s="90" t="n">
        <f aca="false">N(AJ185)+AI186</f>
        <v>0</v>
      </c>
      <c r="AK186" s="1" t="n">
        <f aca="false">N(AK185)+$AJ186</f>
        <v>0</v>
      </c>
    </row>
    <row r="187" customFormat="false" ht="13.5" hidden="false" customHeight="false" outlineLevel="0" collapsed="false">
      <c r="A187" s="1" t="str">
        <f aca="false">IF(对接源_01水果!$C187="","",对接源_01水果!$C187)</f>
        <v>努尔敦</v>
      </c>
      <c r="B187" s="1" t="n">
        <f aca="false">IF(A187="",0,IF(MATCH(A187,$A$4:$A$2403,0)=ROW()-3,1,0))</f>
        <v>0</v>
      </c>
      <c r="C187" s="1" t="n">
        <f aca="false">N(C186)+B187</f>
        <v>12</v>
      </c>
      <c r="E187" s="1" t="str">
        <f aca="false">IFERROR(INDEX($A$4:$A$2403,MATCH(ROW()-3,$C$4:$C$2403,0)),"")</f>
        <v/>
      </c>
      <c r="K187" s="1" t="n">
        <f aca="false">IF(OR($K$1="",对接源_01水果!$C187="",对接源_01水果!$C187&lt;&gt;$K$1,对接源_01水果!$B187=""),0,IF(OR(N(对接源_01水果!$B187)&lt;$K$2,N(对接源_01水果!$B187)&gt;$K$3),0,1))</f>
        <v>0</v>
      </c>
      <c r="L187" s="1" t="n">
        <f aca="false">IF(OR($L$1="",对接源_01水果!$C187="",对接源_01水果!$C187&lt;&gt;$L$1,对接源_01水果!$B187=""),0,IF(OR(N(对接源_01水果!$B187)&lt;$L$2,N(对接源_01水果!$B187)&gt;$L$3),0,1))</f>
        <v>0</v>
      </c>
      <c r="M187" s="1" t="n">
        <f aca="false">IF(OR($M$1="",对接源_01水果!$C187="",对接源_01水果!$C187&lt;&gt;$M$1,对接源_01水果!$B187=""),0,IF(OR(N(对接源_01水果!$B187)&lt;$M$2,N(对接源_01水果!$B187)&gt;$M$3),0,1))</f>
        <v>0</v>
      </c>
      <c r="N187" s="1" t="n">
        <f aca="false">IF(OR($N$1="",对接源_01水果!$C187="",对接源_01水果!$C187&lt;&gt;$N$1,对接源_01水果!$B187=""),0,IF(OR(N(对接源_01水果!$B187)&lt;$N$2,N(对接源_01水果!$B187)&gt;$N$3),0,1))</f>
        <v>0</v>
      </c>
      <c r="P187" s="1" t="n">
        <f aca="false">IF(AND($K187=1,AND(对接源_01水果!$X187="公司筐",N(对接源_01水果!$T187)&lt;&gt;0)),1,0)</f>
        <v>0</v>
      </c>
      <c r="Q187" s="1" t="n">
        <f aca="false">N(Q186)+$P187</f>
        <v>0</v>
      </c>
      <c r="R187" s="1" t="n">
        <f aca="false">IF(AND($K187=1,AND(对接源_01水果!$X187="公司筐",N(对接源_01水果!$U187)&lt;&gt;0)),1,0)</f>
        <v>0</v>
      </c>
      <c r="S187" s="1" t="n">
        <f aca="false">N(S186)+$R187</f>
        <v>0</v>
      </c>
      <c r="T187" s="1" t="n">
        <f aca="false">IF(AND($K187=1,AND(对接源_01水果!$X187="公司筐",N(对接源_01水果!$V187)&lt;&gt;0)),1,0)</f>
        <v>0</v>
      </c>
      <c r="U187" s="1" t="n">
        <f aca="false">N(U186)+$T187</f>
        <v>20</v>
      </c>
      <c r="V187" s="1" t="n">
        <f aca="false">IF(AND($L187=1,AND(对接源_01水果!$X187="自备筐",N(对接源_01水果!$V187)&lt;&gt;0)),1,0)</f>
        <v>0</v>
      </c>
      <c r="W187" s="1" t="n">
        <f aca="false">N(W186)+$V187</f>
        <v>4</v>
      </c>
      <c r="X187" s="1" t="n">
        <f aca="false">IF(AND($L187=1,AND(对接源_01水果!$X187="自备筐",N(对接源_01水果!$T187)&lt;&gt;0)),1,0)</f>
        <v>0</v>
      </c>
      <c r="Y187" s="1" t="n">
        <f aca="false">N(Y186)+$X187</f>
        <v>0</v>
      </c>
      <c r="Z187" s="1" t="n">
        <f aca="false">IF(AND($M187=1,对接源_01水果!$D187="原料入库"),1,0)</f>
        <v>0</v>
      </c>
      <c r="AA187" s="1" t="n">
        <f aca="false">N(AA186)+$Z187</f>
        <v>22</v>
      </c>
      <c r="AB187" s="1" t="n">
        <f aca="false">IF(AND($M187=1,LEFT(对接源_01水果!$D187,4)="原料出库"),1,0)</f>
        <v>0</v>
      </c>
      <c r="AC187" s="1" t="n">
        <f aca="false">N(AC186)+$AB187</f>
        <v>0</v>
      </c>
      <c r="AD187" s="1" t="n">
        <f aca="false">IF(AND($M187=1,LEFT(对接源_01水果!$D187,4)="成品出库"),1,0)</f>
        <v>0</v>
      </c>
      <c r="AE187" s="1" t="n">
        <f aca="false">N(AE186)+$AD187</f>
        <v>0</v>
      </c>
      <c r="AF187" s="1" t="n">
        <f aca="false">IF(AND($N187=1,AND(LEFT(对接源_01水果!$D187,4)="包装物料",N(对接源_01水果!$K187)&lt;&gt;0)),1,0)</f>
        <v>0</v>
      </c>
      <c r="AG187" s="90" t="str">
        <f aca="false">IF(对接源_01水果!$AC187="","",对接源_01水果!$AC187)</f>
        <v/>
      </c>
      <c r="AH187" s="90" t="str">
        <f aca="false">IFERROR(INDEX($AG$4:$AG$1203,MATCH(ROW()-3,$AJ$4:$AJ$1203,0)),"")</f>
        <v/>
      </c>
      <c r="AI187" s="90" t="n">
        <f aca="false">IF(AG187="",0,IF(MATCH(AG187,$AG$4:$AG$1203,0)=ROW()-3,1,0))</f>
        <v>0</v>
      </c>
      <c r="AJ187" s="90" t="n">
        <f aca="false">N(AJ186)+AI187</f>
        <v>0</v>
      </c>
      <c r="AK187" s="1" t="n">
        <f aca="false">N(AK186)+$AJ187</f>
        <v>0</v>
      </c>
    </row>
    <row r="188" customFormat="false" ht="13.5" hidden="false" customHeight="false" outlineLevel="0" collapsed="false">
      <c r="A188" s="1" t="str">
        <f aca="false">IF(对接源_01水果!$C188="","",对接源_01水果!$C188)</f>
        <v>麦麦提</v>
      </c>
      <c r="B188" s="1" t="n">
        <f aca="false">IF(A188="",0,IF(MATCH(A188,$A$4:$A$2403,0)=ROW()-3,1,0))</f>
        <v>0</v>
      </c>
      <c r="C188" s="1" t="n">
        <f aca="false">N(C187)+B188</f>
        <v>12</v>
      </c>
      <c r="E188" s="1" t="str">
        <f aca="false">IFERROR(INDEX($A$4:$A$2403,MATCH(ROW()-3,$C$4:$C$2403,0)),"")</f>
        <v/>
      </c>
      <c r="K188" s="1" t="n">
        <f aca="false">IF(OR($K$1="",对接源_01水果!$C188="",对接源_01水果!$C188&lt;&gt;$K$1,对接源_01水果!$B188=""),0,IF(OR(N(对接源_01水果!$B188)&lt;$K$2,N(对接源_01水果!$B188)&gt;$K$3),0,1))</f>
        <v>0</v>
      </c>
      <c r="L188" s="1" t="n">
        <f aca="false">IF(OR($L$1="",对接源_01水果!$C188="",对接源_01水果!$C188&lt;&gt;$L$1,对接源_01水果!$B188=""),0,IF(OR(N(对接源_01水果!$B188)&lt;$L$2,N(对接源_01水果!$B188)&gt;$L$3),0,1))</f>
        <v>0</v>
      </c>
      <c r="M188" s="1" t="n">
        <f aca="false">IF(OR($M$1="",对接源_01水果!$C188="",对接源_01水果!$C188&lt;&gt;$M$1,对接源_01水果!$B188=""),0,IF(OR(N(对接源_01水果!$B188)&lt;$M$2,N(对接源_01水果!$B188)&gt;$M$3),0,1))</f>
        <v>0</v>
      </c>
      <c r="N188" s="1" t="n">
        <f aca="false">IF(OR($N$1="",对接源_01水果!$C188="",对接源_01水果!$C188&lt;&gt;$N$1,对接源_01水果!$B188=""),0,IF(OR(N(对接源_01水果!$B188)&lt;$N$2,N(对接源_01水果!$B188)&gt;$N$3),0,1))</f>
        <v>1</v>
      </c>
      <c r="P188" s="1" t="n">
        <f aca="false">IF(AND($K188=1,AND(对接源_01水果!$X188="公司筐",N(对接源_01水果!$T188)&lt;&gt;0)),1,0)</f>
        <v>0</v>
      </c>
      <c r="Q188" s="1" t="n">
        <f aca="false">N(Q187)+$P188</f>
        <v>0</v>
      </c>
      <c r="R188" s="1" t="n">
        <f aca="false">IF(AND($K188=1,AND(对接源_01水果!$X188="公司筐",N(对接源_01水果!$U188)&lt;&gt;0)),1,0)</f>
        <v>0</v>
      </c>
      <c r="S188" s="1" t="n">
        <f aca="false">N(S187)+$R188</f>
        <v>0</v>
      </c>
      <c r="T188" s="1" t="n">
        <f aca="false">IF(AND($K188=1,AND(对接源_01水果!$X188="公司筐",N(对接源_01水果!$V188)&lt;&gt;0)),1,0)</f>
        <v>0</v>
      </c>
      <c r="U188" s="1" t="n">
        <f aca="false">N(U187)+$T188</f>
        <v>20</v>
      </c>
      <c r="V188" s="1" t="n">
        <f aca="false">IF(AND($L188=1,AND(对接源_01水果!$X188="自备筐",N(对接源_01水果!$V188)&lt;&gt;0)),1,0)</f>
        <v>0</v>
      </c>
      <c r="W188" s="1" t="n">
        <f aca="false">N(W187)+$V188</f>
        <v>4</v>
      </c>
      <c r="X188" s="1" t="n">
        <f aca="false">IF(AND($L188=1,AND(对接源_01水果!$X188="自备筐",N(对接源_01水果!$T188)&lt;&gt;0)),1,0)</f>
        <v>0</v>
      </c>
      <c r="Y188" s="1" t="n">
        <f aca="false">N(Y187)+$X188</f>
        <v>0</v>
      </c>
      <c r="Z188" s="1" t="n">
        <f aca="false">IF(AND($M188=1,对接源_01水果!$D188="原料入库"),1,0)</f>
        <v>0</v>
      </c>
      <c r="AA188" s="1" t="n">
        <f aca="false">N(AA187)+$Z188</f>
        <v>22</v>
      </c>
      <c r="AB188" s="1" t="n">
        <f aca="false">IF(AND($M188=1,LEFT(对接源_01水果!$D188,4)="原料出库"),1,0)</f>
        <v>0</v>
      </c>
      <c r="AC188" s="1" t="n">
        <f aca="false">N(AC187)+$AB188</f>
        <v>0</v>
      </c>
      <c r="AD188" s="1" t="n">
        <f aca="false">IF(AND($M188=1,LEFT(对接源_01水果!$D188,4)="成品出库"),1,0)</f>
        <v>0</v>
      </c>
      <c r="AE188" s="1" t="n">
        <f aca="false">N(AE187)+$AD188</f>
        <v>0</v>
      </c>
      <c r="AF188" s="1" t="n">
        <f aca="false">IF(AND($N188=1,AND(LEFT(对接源_01水果!$D188,4)="包装物料",N(对接源_01水果!$K188)&lt;&gt;0)),1,0)</f>
        <v>0</v>
      </c>
      <c r="AG188" s="90" t="str">
        <f aca="false">IF(对接源_01水果!$AC188="","",对接源_01水果!$AC188)</f>
        <v/>
      </c>
      <c r="AH188" s="90" t="str">
        <f aca="false">IFERROR(INDEX($AG$4:$AG$1203,MATCH(ROW()-3,$AJ$4:$AJ$1203,0)),"")</f>
        <v/>
      </c>
      <c r="AI188" s="90" t="n">
        <f aca="false">IF(AG188="",0,IF(MATCH(AG188,$AG$4:$AG$1203,0)=ROW()-3,1,0))</f>
        <v>0</v>
      </c>
      <c r="AJ188" s="90" t="n">
        <f aca="false">N(AJ187)+AI188</f>
        <v>0</v>
      </c>
      <c r="AK188" s="1" t="n">
        <f aca="false">N(AK187)+$AJ188</f>
        <v>0</v>
      </c>
    </row>
    <row r="189" customFormat="false" ht="13.5" hidden="false" customHeight="false" outlineLevel="0" collapsed="false">
      <c r="A189" s="1" t="str">
        <f aca="false">IF(对接源_01水果!$C189="","",对接源_01水果!$C189)</f>
        <v>麦麦提</v>
      </c>
      <c r="B189" s="1" t="n">
        <f aca="false">IF(A189="",0,IF(MATCH(A189,$A$4:$A$2403,0)=ROW()-3,1,0))</f>
        <v>0</v>
      </c>
      <c r="C189" s="1" t="n">
        <f aca="false">N(C188)+B189</f>
        <v>12</v>
      </c>
      <c r="E189" s="1" t="str">
        <f aca="false">IFERROR(INDEX($A$4:$A$2403,MATCH(ROW()-3,$C$4:$C$2403,0)),"")</f>
        <v/>
      </c>
      <c r="K189" s="1" t="n">
        <f aca="false">IF(OR($K$1="",对接源_01水果!$C189="",对接源_01水果!$C189&lt;&gt;$K$1,对接源_01水果!$B189=""),0,IF(OR(N(对接源_01水果!$B189)&lt;$K$2,N(对接源_01水果!$B189)&gt;$K$3),0,1))</f>
        <v>0</v>
      </c>
      <c r="L189" s="1" t="n">
        <f aca="false">IF(OR($L$1="",对接源_01水果!$C189="",对接源_01水果!$C189&lt;&gt;$L$1,对接源_01水果!$B189=""),0,IF(OR(N(对接源_01水果!$B189)&lt;$L$2,N(对接源_01水果!$B189)&gt;$L$3),0,1))</f>
        <v>0</v>
      </c>
      <c r="M189" s="1" t="n">
        <f aca="false">IF(OR($M$1="",对接源_01水果!$C189="",对接源_01水果!$C189&lt;&gt;$M$1,对接源_01水果!$B189=""),0,IF(OR(N(对接源_01水果!$B189)&lt;$M$2,N(对接源_01水果!$B189)&gt;$M$3),0,1))</f>
        <v>0</v>
      </c>
      <c r="N189" s="1" t="n">
        <f aca="false">IF(OR($N$1="",对接源_01水果!$C189="",对接源_01水果!$C189&lt;&gt;$N$1,对接源_01水果!$B189=""),0,IF(OR(N(对接源_01水果!$B189)&lt;$N$2,N(对接源_01水果!$B189)&gt;$N$3),0,1))</f>
        <v>1</v>
      </c>
      <c r="P189" s="1" t="n">
        <f aca="false">IF(AND($K189=1,AND(对接源_01水果!$X189="公司筐",N(对接源_01水果!$T189)&lt;&gt;0)),1,0)</f>
        <v>0</v>
      </c>
      <c r="Q189" s="1" t="n">
        <f aca="false">N(Q188)+$P189</f>
        <v>0</v>
      </c>
      <c r="R189" s="1" t="n">
        <f aca="false">IF(AND($K189=1,AND(对接源_01水果!$X189="公司筐",N(对接源_01水果!$U189)&lt;&gt;0)),1,0)</f>
        <v>0</v>
      </c>
      <c r="S189" s="1" t="n">
        <f aca="false">N(S188)+$R189</f>
        <v>0</v>
      </c>
      <c r="T189" s="1" t="n">
        <f aca="false">IF(AND($K189=1,AND(对接源_01水果!$X189="公司筐",N(对接源_01水果!$V189)&lt;&gt;0)),1,0)</f>
        <v>0</v>
      </c>
      <c r="U189" s="1" t="n">
        <f aca="false">N(U188)+$T189</f>
        <v>20</v>
      </c>
      <c r="V189" s="1" t="n">
        <f aca="false">IF(AND($L189=1,AND(对接源_01水果!$X189="自备筐",N(对接源_01水果!$V189)&lt;&gt;0)),1,0)</f>
        <v>0</v>
      </c>
      <c r="W189" s="1" t="n">
        <f aca="false">N(W188)+$V189</f>
        <v>4</v>
      </c>
      <c r="X189" s="1" t="n">
        <f aca="false">IF(AND($L189=1,AND(对接源_01水果!$X189="自备筐",N(对接源_01水果!$T189)&lt;&gt;0)),1,0)</f>
        <v>0</v>
      </c>
      <c r="Y189" s="1" t="n">
        <f aca="false">N(Y188)+$X189</f>
        <v>0</v>
      </c>
      <c r="Z189" s="1" t="n">
        <f aca="false">IF(AND($M189=1,对接源_01水果!$D189="原料入库"),1,0)</f>
        <v>0</v>
      </c>
      <c r="AA189" s="1" t="n">
        <f aca="false">N(AA188)+$Z189</f>
        <v>22</v>
      </c>
      <c r="AB189" s="1" t="n">
        <f aca="false">IF(AND($M189=1,LEFT(对接源_01水果!$D189,4)="原料出库"),1,0)</f>
        <v>0</v>
      </c>
      <c r="AC189" s="1" t="n">
        <f aca="false">N(AC188)+$AB189</f>
        <v>0</v>
      </c>
      <c r="AD189" s="1" t="n">
        <f aca="false">IF(AND($M189=1,LEFT(对接源_01水果!$D189,4)="成品出库"),1,0)</f>
        <v>0</v>
      </c>
      <c r="AE189" s="1" t="n">
        <f aca="false">N(AE188)+$AD189</f>
        <v>0</v>
      </c>
      <c r="AF189" s="1" t="n">
        <f aca="false">IF(AND($N189=1,AND(LEFT(对接源_01水果!$D189,4)="包装物料",N(对接源_01水果!$K189)&lt;&gt;0)),1,0)</f>
        <v>0</v>
      </c>
      <c r="AG189" s="90" t="str">
        <f aca="false">IF(对接源_01水果!$AC189="","",对接源_01水果!$AC189)</f>
        <v/>
      </c>
      <c r="AH189" s="90" t="str">
        <f aca="false">IFERROR(INDEX($AG$4:$AG$1203,MATCH(ROW()-3,$AJ$4:$AJ$1203,0)),"")</f>
        <v/>
      </c>
      <c r="AI189" s="90" t="n">
        <f aca="false">IF(AG189="",0,IF(MATCH(AG189,$AG$4:$AG$1203,0)=ROW()-3,1,0))</f>
        <v>0</v>
      </c>
      <c r="AJ189" s="90" t="n">
        <f aca="false">N(AJ188)+AI189</f>
        <v>0</v>
      </c>
      <c r="AK189" s="1" t="n">
        <f aca="false">N(AK188)+$AJ189</f>
        <v>0</v>
      </c>
    </row>
    <row r="190" customFormat="false" ht="13.5" hidden="false" customHeight="false" outlineLevel="0" collapsed="false">
      <c r="A190" s="1" t="str">
        <f aca="false">IF(对接源_01水果!$C190="","",对接源_01水果!$C190)</f>
        <v>麦麦提</v>
      </c>
      <c r="B190" s="1" t="n">
        <f aca="false">IF(A190="",0,IF(MATCH(A190,$A$4:$A$2403,0)=ROW()-3,1,0))</f>
        <v>0</v>
      </c>
      <c r="C190" s="1" t="n">
        <f aca="false">N(C189)+B190</f>
        <v>12</v>
      </c>
      <c r="E190" s="1" t="str">
        <f aca="false">IFERROR(INDEX($A$4:$A$2403,MATCH(ROW()-3,$C$4:$C$2403,0)),"")</f>
        <v/>
      </c>
      <c r="K190" s="1" t="n">
        <f aca="false">IF(OR($K$1="",对接源_01水果!$C190="",对接源_01水果!$C190&lt;&gt;$K$1,对接源_01水果!$B190=""),0,IF(OR(N(对接源_01水果!$B190)&lt;$K$2,N(对接源_01水果!$B190)&gt;$K$3),0,1))</f>
        <v>0</v>
      </c>
      <c r="L190" s="1" t="n">
        <f aca="false">IF(OR($L$1="",对接源_01水果!$C190="",对接源_01水果!$C190&lt;&gt;$L$1,对接源_01水果!$B190=""),0,IF(OR(N(对接源_01水果!$B190)&lt;$L$2,N(对接源_01水果!$B190)&gt;$L$3),0,1))</f>
        <v>0</v>
      </c>
      <c r="M190" s="1" t="n">
        <f aca="false">IF(OR($M$1="",对接源_01水果!$C190="",对接源_01水果!$C190&lt;&gt;$M$1,对接源_01水果!$B190=""),0,IF(OR(N(对接源_01水果!$B190)&lt;$M$2,N(对接源_01水果!$B190)&gt;$M$3),0,1))</f>
        <v>0</v>
      </c>
      <c r="N190" s="1" t="n">
        <f aca="false">IF(OR($N$1="",对接源_01水果!$C190="",对接源_01水果!$C190&lt;&gt;$N$1,对接源_01水果!$B190=""),0,IF(OR(N(对接源_01水果!$B190)&lt;$N$2,N(对接源_01水果!$B190)&gt;$N$3),0,1))</f>
        <v>1</v>
      </c>
      <c r="P190" s="1" t="n">
        <f aca="false">IF(AND($K190=1,AND(对接源_01水果!$X190="公司筐",N(对接源_01水果!$T190)&lt;&gt;0)),1,0)</f>
        <v>0</v>
      </c>
      <c r="Q190" s="1" t="n">
        <f aca="false">N(Q189)+$P190</f>
        <v>0</v>
      </c>
      <c r="R190" s="1" t="n">
        <f aca="false">IF(AND($K190=1,AND(对接源_01水果!$X190="公司筐",N(对接源_01水果!$U190)&lt;&gt;0)),1,0)</f>
        <v>0</v>
      </c>
      <c r="S190" s="1" t="n">
        <f aca="false">N(S189)+$R190</f>
        <v>0</v>
      </c>
      <c r="T190" s="1" t="n">
        <f aca="false">IF(AND($K190=1,AND(对接源_01水果!$X190="公司筐",N(对接源_01水果!$V190)&lt;&gt;0)),1,0)</f>
        <v>0</v>
      </c>
      <c r="U190" s="1" t="n">
        <f aca="false">N(U189)+$T190</f>
        <v>20</v>
      </c>
      <c r="V190" s="1" t="n">
        <f aca="false">IF(AND($L190=1,AND(对接源_01水果!$X190="自备筐",N(对接源_01水果!$V190)&lt;&gt;0)),1,0)</f>
        <v>0</v>
      </c>
      <c r="W190" s="1" t="n">
        <f aca="false">N(W189)+$V190</f>
        <v>4</v>
      </c>
      <c r="X190" s="1" t="n">
        <f aca="false">IF(AND($L190=1,AND(对接源_01水果!$X190="自备筐",N(对接源_01水果!$T190)&lt;&gt;0)),1,0)</f>
        <v>0</v>
      </c>
      <c r="Y190" s="1" t="n">
        <f aca="false">N(Y189)+$X190</f>
        <v>0</v>
      </c>
      <c r="Z190" s="1" t="n">
        <f aca="false">IF(AND($M190=1,对接源_01水果!$D190="原料入库"),1,0)</f>
        <v>0</v>
      </c>
      <c r="AA190" s="1" t="n">
        <f aca="false">N(AA189)+$Z190</f>
        <v>22</v>
      </c>
      <c r="AB190" s="1" t="n">
        <f aca="false">IF(AND($M190=1,LEFT(对接源_01水果!$D190,4)="原料出库"),1,0)</f>
        <v>0</v>
      </c>
      <c r="AC190" s="1" t="n">
        <f aca="false">N(AC189)+$AB190</f>
        <v>0</v>
      </c>
      <c r="AD190" s="1" t="n">
        <f aca="false">IF(AND($M190=1,LEFT(对接源_01水果!$D190,4)="成品出库"),1,0)</f>
        <v>0</v>
      </c>
      <c r="AE190" s="1" t="n">
        <f aca="false">N(AE189)+$AD190</f>
        <v>0</v>
      </c>
      <c r="AF190" s="1" t="n">
        <f aca="false">IF(AND($N190=1,AND(LEFT(对接源_01水果!$D190,4)="包装物料",N(对接源_01水果!$K190)&lt;&gt;0)),1,0)</f>
        <v>0</v>
      </c>
      <c r="AG190" s="90" t="str">
        <f aca="false">IF(对接源_01水果!$AC190="","",对接源_01水果!$AC190)</f>
        <v/>
      </c>
      <c r="AH190" s="90" t="str">
        <f aca="false">IFERROR(INDEX($AG$4:$AG$1203,MATCH(ROW()-3,$AJ$4:$AJ$1203,0)),"")</f>
        <v/>
      </c>
      <c r="AI190" s="90" t="n">
        <f aca="false">IF(AG190="",0,IF(MATCH(AG190,$AG$4:$AG$1203,0)=ROW()-3,1,0))</f>
        <v>0</v>
      </c>
      <c r="AJ190" s="90" t="n">
        <f aca="false">N(AJ189)+AI190</f>
        <v>0</v>
      </c>
      <c r="AK190" s="1" t="n">
        <f aca="false">N(AK189)+$AJ190</f>
        <v>0</v>
      </c>
    </row>
    <row r="191" customFormat="false" ht="13.5" hidden="false" customHeight="false" outlineLevel="0" collapsed="false">
      <c r="A191" s="1" t="str">
        <f aca="false">IF(对接源_01水果!$C191="","",对接源_01水果!$C191)</f>
        <v>王浩</v>
      </c>
      <c r="B191" s="1" t="n">
        <f aca="false">IF(A191="",0,IF(MATCH(A191,$A$4:$A$2403,0)=ROW()-3,1,0))</f>
        <v>1</v>
      </c>
      <c r="C191" s="1" t="n">
        <f aca="false">N(C190)+B191</f>
        <v>13</v>
      </c>
      <c r="E191" s="1" t="str">
        <f aca="false">IFERROR(INDEX($A$4:$A$2403,MATCH(ROW()-3,$C$4:$C$2403,0)),"")</f>
        <v/>
      </c>
      <c r="K191" s="1" t="n">
        <f aca="false">IF(OR($K$1="",对接源_01水果!$C191="",对接源_01水果!$C191&lt;&gt;$K$1,对接源_01水果!$B191=""),0,IF(OR(N(对接源_01水果!$B191)&lt;$K$2,N(对接源_01水果!$B191)&gt;$K$3),0,1))</f>
        <v>0</v>
      </c>
      <c r="L191" s="1" t="n">
        <f aca="false">IF(OR($L$1="",对接源_01水果!$C191="",对接源_01水果!$C191&lt;&gt;$L$1,对接源_01水果!$B191=""),0,IF(OR(N(对接源_01水果!$B191)&lt;$L$2,N(对接源_01水果!$B191)&gt;$L$3),0,1))</f>
        <v>0</v>
      </c>
      <c r="M191" s="1" t="n">
        <f aca="false">IF(OR($M$1="",对接源_01水果!$C191="",对接源_01水果!$C191&lt;&gt;$M$1,对接源_01水果!$B191=""),0,IF(OR(N(对接源_01水果!$B191)&lt;$M$2,N(对接源_01水果!$B191)&gt;$M$3),0,1))</f>
        <v>0</v>
      </c>
      <c r="N191" s="1" t="n">
        <f aca="false">IF(OR($N$1="",对接源_01水果!$C191="",对接源_01水果!$C191&lt;&gt;$N$1,对接源_01水果!$B191=""),0,IF(OR(N(对接源_01水果!$B191)&lt;$N$2,N(对接源_01水果!$B191)&gt;$N$3),0,1))</f>
        <v>0</v>
      </c>
      <c r="P191" s="1" t="n">
        <f aca="false">IF(AND($K191=1,AND(对接源_01水果!$X191="公司筐",N(对接源_01水果!$T191)&lt;&gt;0)),1,0)</f>
        <v>0</v>
      </c>
      <c r="Q191" s="1" t="n">
        <f aca="false">N(Q190)+$P191</f>
        <v>0</v>
      </c>
      <c r="R191" s="1" t="n">
        <f aca="false">IF(AND($K191=1,AND(对接源_01水果!$X191="公司筐",N(对接源_01水果!$U191)&lt;&gt;0)),1,0)</f>
        <v>0</v>
      </c>
      <c r="S191" s="1" t="n">
        <f aca="false">N(S190)+$R191</f>
        <v>0</v>
      </c>
      <c r="T191" s="1" t="n">
        <f aca="false">IF(AND($K191=1,AND(对接源_01水果!$X191="公司筐",N(对接源_01水果!$V191)&lt;&gt;0)),1,0)</f>
        <v>0</v>
      </c>
      <c r="U191" s="1" t="n">
        <f aca="false">N(U190)+$T191</f>
        <v>20</v>
      </c>
      <c r="V191" s="1" t="n">
        <f aca="false">IF(AND($L191=1,AND(对接源_01水果!$X191="自备筐",N(对接源_01水果!$V191)&lt;&gt;0)),1,0)</f>
        <v>0</v>
      </c>
      <c r="W191" s="1" t="n">
        <f aca="false">N(W190)+$V191</f>
        <v>4</v>
      </c>
      <c r="X191" s="1" t="n">
        <f aca="false">IF(AND($L191=1,AND(对接源_01水果!$X191="自备筐",N(对接源_01水果!$T191)&lt;&gt;0)),1,0)</f>
        <v>0</v>
      </c>
      <c r="Y191" s="1" t="n">
        <f aca="false">N(Y190)+$X191</f>
        <v>0</v>
      </c>
      <c r="Z191" s="1" t="n">
        <f aca="false">IF(AND($M191=1,对接源_01水果!$D191="原料入库"),1,0)</f>
        <v>0</v>
      </c>
      <c r="AA191" s="1" t="n">
        <f aca="false">N(AA190)+$Z191</f>
        <v>22</v>
      </c>
      <c r="AB191" s="1" t="n">
        <f aca="false">IF(AND($M191=1,LEFT(对接源_01水果!$D191,4)="原料出库"),1,0)</f>
        <v>0</v>
      </c>
      <c r="AC191" s="1" t="n">
        <f aca="false">N(AC190)+$AB191</f>
        <v>0</v>
      </c>
      <c r="AD191" s="1" t="n">
        <f aca="false">IF(AND($M191=1,LEFT(对接源_01水果!$D191,4)="成品出库"),1,0)</f>
        <v>0</v>
      </c>
      <c r="AE191" s="1" t="n">
        <f aca="false">N(AE190)+$AD191</f>
        <v>0</v>
      </c>
      <c r="AF191" s="1" t="n">
        <f aca="false">IF(AND($N191=1,AND(LEFT(对接源_01水果!$D191,4)="包装物料",N(对接源_01水果!$K191)&lt;&gt;0)),1,0)</f>
        <v>0</v>
      </c>
      <c r="AG191" s="90" t="str">
        <f aca="false">IF(对接源_01水果!$AC191="","",对接源_01水果!$AC191)</f>
        <v/>
      </c>
      <c r="AH191" s="90" t="str">
        <f aca="false">IFERROR(INDEX($AG$4:$AG$1203,MATCH(ROW()-3,$AJ$4:$AJ$1203,0)),"")</f>
        <v/>
      </c>
      <c r="AI191" s="90" t="n">
        <f aca="false">IF(AG191="",0,IF(MATCH(AG191,$AG$4:$AG$1203,0)=ROW()-3,1,0))</f>
        <v>0</v>
      </c>
      <c r="AJ191" s="90" t="n">
        <f aca="false">N(AJ190)+AI191</f>
        <v>0</v>
      </c>
      <c r="AK191" s="1" t="n">
        <f aca="false">N(AK190)+$AJ191</f>
        <v>0</v>
      </c>
    </row>
    <row r="192" customFormat="false" ht="13.5" hidden="false" customHeight="false" outlineLevel="0" collapsed="false">
      <c r="A192" s="1" t="str">
        <f aca="false">IF(对接源_01水果!$C192="","",对接源_01水果!$C192)</f>
        <v>吐尔洪</v>
      </c>
      <c r="B192" s="1" t="n">
        <f aca="false">IF(A192="",0,IF(MATCH(A192,$A$4:$A$2403,0)=ROW()-3,1,0))</f>
        <v>0</v>
      </c>
      <c r="C192" s="1" t="n">
        <f aca="false">N(C191)+B192</f>
        <v>13</v>
      </c>
      <c r="E192" s="1" t="str">
        <f aca="false">IFERROR(INDEX($A$4:$A$2403,MATCH(ROW()-3,$C$4:$C$2403,0)),"")</f>
        <v/>
      </c>
      <c r="K192" s="1" t="n">
        <f aca="false">IF(OR($K$1="",对接源_01水果!$C192="",对接源_01水果!$C192&lt;&gt;$K$1,对接源_01水果!$B192=""),0,IF(OR(N(对接源_01水果!$B192)&lt;$K$2,N(对接源_01水果!$B192)&gt;$K$3),0,1))</f>
        <v>0</v>
      </c>
      <c r="L192" s="1" t="n">
        <f aca="false">IF(OR($L$1="",对接源_01水果!$C192="",对接源_01水果!$C192&lt;&gt;$L$1,对接源_01水果!$B192=""),0,IF(OR(N(对接源_01水果!$B192)&lt;$L$2,N(对接源_01水果!$B192)&gt;$L$3),0,1))</f>
        <v>0</v>
      </c>
      <c r="M192" s="1" t="n">
        <f aca="false">IF(OR($M$1="",对接源_01水果!$C192="",对接源_01水果!$C192&lt;&gt;$M$1,对接源_01水果!$B192=""),0,IF(OR(N(对接源_01水果!$B192)&lt;$M$2,N(对接源_01水果!$B192)&gt;$M$3),0,1))</f>
        <v>0</v>
      </c>
      <c r="N192" s="1" t="n">
        <f aca="false">IF(OR($N$1="",对接源_01水果!$C192="",对接源_01水果!$C192&lt;&gt;$N$1,对接源_01水果!$B192=""),0,IF(OR(N(对接源_01水果!$B192)&lt;$N$2,N(对接源_01水果!$B192)&gt;$N$3),0,1))</f>
        <v>0</v>
      </c>
      <c r="P192" s="1" t="n">
        <f aca="false">IF(AND($K192=1,AND(对接源_01水果!$X192="公司筐",N(对接源_01水果!$T192)&lt;&gt;0)),1,0)</f>
        <v>0</v>
      </c>
      <c r="Q192" s="1" t="n">
        <f aca="false">N(Q191)+$P192</f>
        <v>0</v>
      </c>
      <c r="R192" s="1" t="n">
        <f aca="false">IF(AND($K192=1,AND(对接源_01水果!$X192="公司筐",N(对接源_01水果!$U192)&lt;&gt;0)),1,0)</f>
        <v>0</v>
      </c>
      <c r="S192" s="1" t="n">
        <f aca="false">N(S191)+$R192</f>
        <v>0</v>
      </c>
      <c r="T192" s="1" t="n">
        <f aca="false">IF(AND($K192=1,AND(对接源_01水果!$X192="公司筐",N(对接源_01水果!$V192)&lt;&gt;0)),1,0)</f>
        <v>0</v>
      </c>
      <c r="U192" s="1" t="n">
        <f aca="false">N(U191)+$T192</f>
        <v>20</v>
      </c>
      <c r="V192" s="1" t="n">
        <f aca="false">IF(AND($L192=1,AND(对接源_01水果!$X192="自备筐",N(对接源_01水果!$V192)&lt;&gt;0)),1,0)</f>
        <v>0</v>
      </c>
      <c r="W192" s="1" t="n">
        <f aca="false">N(W191)+$V192</f>
        <v>4</v>
      </c>
      <c r="X192" s="1" t="n">
        <f aca="false">IF(AND($L192=1,AND(对接源_01水果!$X192="自备筐",N(对接源_01水果!$T192)&lt;&gt;0)),1,0)</f>
        <v>0</v>
      </c>
      <c r="Y192" s="1" t="n">
        <f aca="false">N(Y191)+$X192</f>
        <v>0</v>
      </c>
      <c r="Z192" s="1" t="n">
        <f aca="false">IF(AND($M192=1,对接源_01水果!$D192="原料入库"),1,0)</f>
        <v>0</v>
      </c>
      <c r="AA192" s="1" t="n">
        <f aca="false">N(AA191)+$Z192</f>
        <v>22</v>
      </c>
      <c r="AB192" s="1" t="n">
        <f aca="false">IF(AND($M192=1,LEFT(对接源_01水果!$D192,4)="原料出库"),1,0)</f>
        <v>0</v>
      </c>
      <c r="AC192" s="1" t="n">
        <f aca="false">N(AC191)+$AB192</f>
        <v>0</v>
      </c>
      <c r="AD192" s="1" t="n">
        <f aca="false">IF(AND($M192=1,LEFT(对接源_01水果!$D192,4)="成品出库"),1,0)</f>
        <v>0</v>
      </c>
      <c r="AE192" s="1" t="n">
        <f aca="false">N(AE191)+$AD192</f>
        <v>0</v>
      </c>
      <c r="AF192" s="1" t="n">
        <f aca="false">IF(AND($N192=1,AND(LEFT(对接源_01水果!$D192,4)="包装物料",N(对接源_01水果!$K192)&lt;&gt;0)),1,0)</f>
        <v>0</v>
      </c>
      <c r="AG192" s="90" t="str">
        <f aca="false">IF(对接源_01水果!$AC192="","",对接源_01水果!$AC192)</f>
        <v/>
      </c>
      <c r="AH192" s="90" t="str">
        <f aca="false">IFERROR(INDEX($AG$4:$AG$1203,MATCH(ROW()-3,$AJ$4:$AJ$1203,0)),"")</f>
        <v/>
      </c>
      <c r="AI192" s="90" t="n">
        <f aca="false">IF(AG192="",0,IF(MATCH(AG192,$AG$4:$AG$1203,0)=ROW()-3,1,0))</f>
        <v>0</v>
      </c>
      <c r="AJ192" s="90" t="n">
        <f aca="false">N(AJ191)+AI192</f>
        <v>0</v>
      </c>
      <c r="AK192" s="1" t="n">
        <f aca="false">N(AK191)+$AJ192</f>
        <v>0</v>
      </c>
    </row>
    <row r="193" customFormat="false" ht="13.5" hidden="false" customHeight="false" outlineLevel="0" collapsed="false">
      <c r="A193" s="1" t="str">
        <f aca="false">IF(对接源_01水果!$C193="","",对接源_01水果!$C193)</f>
        <v>吐尔洪</v>
      </c>
      <c r="B193" s="1" t="n">
        <f aca="false">IF(A193="",0,IF(MATCH(A193,$A$4:$A$2403,0)=ROW()-3,1,0))</f>
        <v>0</v>
      </c>
      <c r="C193" s="1" t="n">
        <f aca="false">N(C192)+B193</f>
        <v>13</v>
      </c>
      <c r="E193" s="1" t="str">
        <f aca="false">IFERROR(INDEX($A$4:$A$2403,MATCH(ROW()-3,$C$4:$C$2403,0)),"")</f>
        <v/>
      </c>
      <c r="K193" s="1" t="n">
        <f aca="false">IF(OR($K$1="",对接源_01水果!$C193="",对接源_01水果!$C193&lt;&gt;$K$1,对接源_01水果!$B193=""),0,IF(OR(N(对接源_01水果!$B193)&lt;$K$2,N(对接源_01水果!$B193)&gt;$K$3),0,1))</f>
        <v>0</v>
      </c>
      <c r="L193" s="1" t="n">
        <f aca="false">IF(OR($L$1="",对接源_01水果!$C193="",对接源_01水果!$C193&lt;&gt;$L$1,对接源_01水果!$B193=""),0,IF(OR(N(对接源_01水果!$B193)&lt;$L$2,N(对接源_01水果!$B193)&gt;$L$3),0,1))</f>
        <v>0</v>
      </c>
      <c r="M193" s="1" t="n">
        <f aca="false">IF(OR($M$1="",对接源_01水果!$C193="",对接源_01水果!$C193&lt;&gt;$M$1,对接源_01水果!$B193=""),0,IF(OR(N(对接源_01水果!$B193)&lt;$M$2,N(对接源_01水果!$B193)&gt;$M$3),0,1))</f>
        <v>0</v>
      </c>
      <c r="N193" s="1" t="n">
        <f aca="false">IF(OR($N$1="",对接源_01水果!$C193="",对接源_01水果!$C193&lt;&gt;$N$1,对接源_01水果!$B193=""),0,IF(OR(N(对接源_01水果!$B193)&lt;$N$2,N(对接源_01水果!$B193)&gt;$N$3),0,1))</f>
        <v>0</v>
      </c>
      <c r="P193" s="1" t="n">
        <f aca="false">IF(AND($K193=1,AND(对接源_01水果!$X193="公司筐",N(对接源_01水果!$T193)&lt;&gt;0)),1,0)</f>
        <v>0</v>
      </c>
      <c r="Q193" s="1" t="n">
        <f aca="false">N(Q192)+$P193</f>
        <v>0</v>
      </c>
      <c r="R193" s="1" t="n">
        <f aca="false">IF(AND($K193=1,AND(对接源_01水果!$X193="公司筐",N(对接源_01水果!$U193)&lt;&gt;0)),1,0)</f>
        <v>0</v>
      </c>
      <c r="S193" s="1" t="n">
        <f aca="false">N(S192)+$R193</f>
        <v>0</v>
      </c>
      <c r="T193" s="1" t="n">
        <f aca="false">IF(AND($K193=1,AND(对接源_01水果!$X193="公司筐",N(对接源_01水果!$V193)&lt;&gt;0)),1,0)</f>
        <v>0</v>
      </c>
      <c r="U193" s="1" t="n">
        <f aca="false">N(U192)+$T193</f>
        <v>20</v>
      </c>
      <c r="V193" s="1" t="n">
        <f aca="false">IF(AND($L193=1,AND(对接源_01水果!$X193="自备筐",N(对接源_01水果!$V193)&lt;&gt;0)),1,0)</f>
        <v>0</v>
      </c>
      <c r="W193" s="1" t="n">
        <f aca="false">N(W192)+$V193</f>
        <v>4</v>
      </c>
      <c r="X193" s="1" t="n">
        <f aca="false">IF(AND($L193=1,AND(对接源_01水果!$X193="自备筐",N(对接源_01水果!$T193)&lt;&gt;0)),1,0)</f>
        <v>0</v>
      </c>
      <c r="Y193" s="1" t="n">
        <f aca="false">N(Y192)+$X193</f>
        <v>0</v>
      </c>
      <c r="Z193" s="1" t="n">
        <f aca="false">IF(AND($M193=1,对接源_01水果!$D193="原料入库"),1,0)</f>
        <v>0</v>
      </c>
      <c r="AA193" s="1" t="n">
        <f aca="false">N(AA192)+$Z193</f>
        <v>22</v>
      </c>
      <c r="AB193" s="1" t="n">
        <f aca="false">IF(AND($M193=1,LEFT(对接源_01水果!$D193,4)="原料出库"),1,0)</f>
        <v>0</v>
      </c>
      <c r="AC193" s="1" t="n">
        <f aca="false">N(AC192)+$AB193</f>
        <v>0</v>
      </c>
      <c r="AD193" s="1" t="n">
        <f aca="false">IF(AND($M193=1,LEFT(对接源_01水果!$D193,4)="成品出库"),1,0)</f>
        <v>0</v>
      </c>
      <c r="AE193" s="1" t="n">
        <f aca="false">N(AE192)+$AD193</f>
        <v>0</v>
      </c>
      <c r="AF193" s="1" t="n">
        <f aca="false">IF(AND($N193=1,AND(LEFT(对接源_01水果!$D193,4)="包装物料",N(对接源_01水果!$K193)&lt;&gt;0)),1,0)</f>
        <v>0</v>
      </c>
      <c r="AG193" s="90" t="str">
        <f aca="false">IF(对接源_01水果!$AC193="","",对接源_01水果!$AC193)</f>
        <v/>
      </c>
      <c r="AH193" s="90" t="str">
        <f aca="false">IFERROR(INDEX($AG$4:$AG$1203,MATCH(ROW()-3,$AJ$4:$AJ$1203,0)),"")</f>
        <v/>
      </c>
      <c r="AI193" s="90" t="n">
        <f aca="false">IF(AG193="",0,IF(MATCH(AG193,$AG$4:$AG$1203,0)=ROW()-3,1,0))</f>
        <v>0</v>
      </c>
      <c r="AJ193" s="90" t="n">
        <f aca="false">N(AJ192)+AI193</f>
        <v>0</v>
      </c>
      <c r="AK193" s="1" t="n">
        <f aca="false">N(AK192)+$AJ193</f>
        <v>0</v>
      </c>
    </row>
    <row r="194" customFormat="false" ht="13.5" hidden="false" customHeight="false" outlineLevel="0" collapsed="false">
      <c r="A194" s="1" t="str">
        <f aca="false">IF(对接源_01水果!$C194="","",对接源_01水果!$C194)</f>
        <v>吐尔洪</v>
      </c>
      <c r="B194" s="1" t="n">
        <f aca="false">IF(A194="",0,IF(MATCH(A194,$A$4:$A$2403,0)=ROW()-3,1,0))</f>
        <v>0</v>
      </c>
      <c r="C194" s="1" t="n">
        <f aca="false">N(C193)+B194</f>
        <v>13</v>
      </c>
      <c r="E194" s="1" t="str">
        <f aca="false">IFERROR(INDEX($A$4:$A$2403,MATCH(ROW()-3,$C$4:$C$2403,0)),"")</f>
        <v/>
      </c>
      <c r="K194" s="1" t="n">
        <f aca="false">IF(OR($K$1="",对接源_01水果!$C194="",对接源_01水果!$C194&lt;&gt;$K$1,对接源_01水果!$B194=""),0,IF(OR(N(对接源_01水果!$B194)&lt;$K$2,N(对接源_01水果!$B194)&gt;$K$3),0,1))</f>
        <v>0</v>
      </c>
      <c r="L194" s="1" t="n">
        <f aca="false">IF(OR($L$1="",对接源_01水果!$C194="",对接源_01水果!$C194&lt;&gt;$L$1,对接源_01水果!$B194=""),0,IF(OR(N(对接源_01水果!$B194)&lt;$L$2,N(对接源_01水果!$B194)&gt;$L$3),0,1))</f>
        <v>0</v>
      </c>
      <c r="M194" s="1" t="n">
        <f aca="false">IF(OR($M$1="",对接源_01水果!$C194="",对接源_01水果!$C194&lt;&gt;$M$1,对接源_01水果!$B194=""),0,IF(OR(N(对接源_01水果!$B194)&lt;$M$2,N(对接源_01水果!$B194)&gt;$M$3),0,1))</f>
        <v>0</v>
      </c>
      <c r="N194" s="1" t="n">
        <f aca="false">IF(OR($N$1="",对接源_01水果!$C194="",对接源_01水果!$C194&lt;&gt;$N$1,对接源_01水果!$B194=""),0,IF(OR(N(对接源_01水果!$B194)&lt;$N$2,N(对接源_01水果!$B194)&gt;$N$3),0,1))</f>
        <v>0</v>
      </c>
      <c r="P194" s="1" t="n">
        <f aca="false">IF(AND($K194=1,AND(对接源_01水果!$X194="公司筐",N(对接源_01水果!$T194)&lt;&gt;0)),1,0)</f>
        <v>0</v>
      </c>
      <c r="Q194" s="1" t="n">
        <f aca="false">N(Q193)+$P194</f>
        <v>0</v>
      </c>
      <c r="R194" s="1" t="n">
        <f aca="false">IF(AND($K194=1,AND(对接源_01水果!$X194="公司筐",N(对接源_01水果!$U194)&lt;&gt;0)),1,0)</f>
        <v>0</v>
      </c>
      <c r="S194" s="1" t="n">
        <f aca="false">N(S193)+$R194</f>
        <v>0</v>
      </c>
      <c r="T194" s="1" t="n">
        <f aca="false">IF(AND($K194=1,AND(对接源_01水果!$X194="公司筐",N(对接源_01水果!$V194)&lt;&gt;0)),1,0)</f>
        <v>0</v>
      </c>
      <c r="U194" s="1" t="n">
        <f aca="false">N(U193)+$T194</f>
        <v>20</v>
      </c>
      <c r="V194" s="1" t="n">
        <f aca="false">IF(AND($L194=1,AND(对接源_01水果!$X194="自备筐",N(对接源_01水果!$V194)&lt;&gt;0)),1,0)</f>
        <v>0</v>
      </c>
      <c r="W194" s="1" t="n">
        <f aca="false">N(W193)+$V194</f>
        <v>4</v>
      </c>
      <c r="X194" s="1" t="n">
        <f aca="false">IF(AND($L194=1,AND(对接源_01水果!$X194="自备筐",N(对接源_01水果!$T194)&lt;&gt;0)),1,0)</f>
        <v>0</v>
      </c>
      <c r="Y194" s="1" t="n">
        <f aca="false">N(Y193)+$X194</f>
        <v>0</v>
      </c>
      <c r="Z194" s="1" t="n">
        <f aca="false">IF(AND($M194=1,对接源_01水果!$D194="原料入库"),1,0)</f>
        <v>0</v>
      </c>
      <c r="AA194" s="1" t="n">
        <f aca="false">N(AA193)+$Z194</f>
        <v>22</v>
      </c>
      <c r="AB194" s="1" t="n">
        <f aca="false">IF(AND($M194=1,LEFT(对接源_01水果!$D194,4)="原料出库"),1,0)</f>
        <v>0</v>
      </c>
      <c r="AC194" s="1" t="n">
        <f aca="false">N(AC193)+$AB194</f>
        <v>0</v>
      </c>
      <c r="AD194" s="1" t="n">
        <f aca="false">IF(AND($M194=1,LEFT(对接源_01水果!$D194,4)="成品出库"),1,0)</f>
        <v>0</v>
      </c>
      <c r="AE194" s="1" t="n">
        <f aca="false">N(AE193)+$AD194</f>
        <v>0</v>
      </c>
      <c r="AF194" s="1" t="n">
        <f aca="false">IF(AND($N194=1,AND(LEFT(对接源_01水果!$D194,4)="包装物料",N(对接源_01水果!$K194)&lt;&gt;0)),1,0)</f>
        <v>0</v>
      </c>
      <c r="AG194" s="90" t="str">
        <f aca="false">IF(对接源_01水果!$AC194="","",对接源_01水果!$AC194)</f>
        <v/>
      </c>
      <c r="AH194" s="90" t="str">
        <f aca="false">IFERROR(INDEX($AG$4:$AG$1203,MATCH(ROW()-3,$AJ$4:$AJ$1203,0)),"")</f>
        <v/>
      </c>
      <c r="AI194" s="90" t="n">
        <f aca="false">IF(AG194="",0,IF(MATCH(AG194,$AG$4:$AG$1203,0)=ROW()-3,1,0))</f>
        <v>0</v>
      </c>
      <c r="AJ194" s="90" t="n">
        <f aca="false">N(AJ193)+AI194</f>
        <v>0</v>
      </c>
      <c r="AK194" s="1" t="n">
        <f aca="false">N(AK193)+$AJ194</f>
        <v>0</v>
      </c>
    </row>
    <row r="195" customFormat="false" ht="13.5" hidden="false" customHeight="false" outlineLevel="0" collapsed="false">
      <c r="A195" s="1" t="str">
        <f aca="false">IF(对接源_01水果!$C195="","",对接源_01水果!$C195)</f>
        <v>贾建国</v>
      </c>
      <c r="B195" s="1" t="n">
        <f aca="false">IF(A195="",0,IF(MATCH(A195,$A$4:$A$2403,0)=ROW()-3,1,0))</f>
        <v>0</v>
      </c>
      <c r="C195" s="1" t="n">
        <f aca="false">N(C194)+B195</f>
        <v>13</v>
      </c>
      <c r="E195" s="1" t="str">
        <f aca="false">IFERROR(INDEX($A$4:$A$2403,MATCH(ROW()-3,$C$4:$C$2403,0)),"")</f>
        <v/>
      </c>
      <c r="K195" s="1" t="n">
        <f aca="false">IF(OR($K$1="",对接源_01水果!$C195="",对接源_01水果!$C195&lt;&gt;$K$1,对接源_01水果!$B195=""),0,IF(OR(N(对接源_01水果!$B195)&lt;$K$2,N(对接源_01水果!$B195)&gt;$K$3),0,1))</f>
        <v>0</v>
      </c>
      <c r="L195" s="1" t="n">
        <f aca="false">IF(OR($L$1="",对接源_01水果!$C195="",对接源_01水果!$C195&lt;&gt;$L$1,对接源_01水果!$B195=""),0,IF(OR(N(对接源_01水果!$B195)&lt;$L$2,N(对接源_01水果!$B195)&gt;$L$3),0,1))</f>
        <v>1</v>
      </c>
      <c r="M195" s="1" t="n">
        <f aca="false">IF(OR($M$1="",对接源_01水果!$C195="",对接源_01水果!$C195&lt;&gt;$M$1,对接源_01水果!$B195=""),0,IF(OR(N(对接源_01水果!$B195)&lt;$M$2,N(对接源_01水果!$B195)&gt;$M$3),0,1))</f>
        <v>0</v>
      </c>
      <c r="N195" s="1" t="n">
        <f aca="false">IF(OR($N$1="",对接源_01水果!$C195="",对接源_01水果!$C195&lt;&gt;$N$1,对接源_01水果!$B195=""),0,IF(OR(N(对接源_01水果!$B195)&lt;$N$2,N(对接源_01水果!$B195)&gt;$N$3),0,1))</f>
        <v>0</v>
      </c>
      <c r="P195" s="1" t="n">
        <f aca="false">IF(AND($K195=1,AND(对接源_01水果!$X195="公司筐",N(对接源_01水果!$T195)&lt;&gt;0)),1,0)</f>
        <v>0</v>
      </c>
      <c r="Q195" s="1" t="n">
        <f aca="false">N(Q194)+$P195</f>
        <v>0</v>
      </c>
      <c r="R195" s="1" t="n">
        <f aca="false">IF(AND($K195=1,AND(对接源_01水果!$X195="公司筐",N(对接源_01水果!$U195)&lt;&gt;0)),1,0)</f>
        <v>0</v>
      </c>
      <c r="S195" s="1" t="n">
        <f aca="false">N(S194)+$R195</f>
        <v>0</v>
      </c>
      <c r="T195" s="1" t="n">
        <f aca="false">IF(AND($K195=1,AND(对接源_01水果!$X195="公司筐",N(对接源_01水果!$V195)&lt;&gt;0)),1,0)</f>
        <v>0</v>
      </c>
      <c r="U195" s="1" t="n">
        <f aca="false">N(U194)+$T195</f>
        <v>20</v>
      </c>
      <c r="V195" s="1" t="n">
        <f aca="false">IF(AND($L195=1,AND(对接源_01水果!$X195="自备筐",N(对接源_01水果!$V195)&lt;&gt;0)),1,0)</f>
        <v>1</v>
      </c>
      <c r="W195" s="1" t="n">
        <f aca="false">N(W194)+$V195</f>
        <v>5</v>
      </c>
      <c r="X195" s="1" t="n">
        <f aca="false">IF(AND($L195=1,AND(对接源_01水果!$X195="自备筐",N(对接源_01水果!$T195)&lt;&gt;0)),1,0)</f>
        <v>0</v>
      </c>
      <c r="Y195" s="1" t="n">
        <f aca="false">N(Y194)+$X195</f>
        <v>0</v>
      </c>
      <c r="Z195" s="1" t="n">
        <f aca="false">IF(AND($M195=1,对接源_01水果!$D195="原料入库"),1,0)</f>
        <v>0</v>
      </c>
      <c r="AA195" s="1" t="n">
        <f aca="false">N(AA194)+$Z195</f>
        <v>22</v>
      </c>
      <c r="AB195" s="1" t="n">
        <f aca="false">IF(AND($M195=1,LEFT(对接源_01水果!$D195,4)="原料出库"),1,0)</f>
        <v>0</v>
      </c>
      <c r="AC195" s="1" t="n">
        <f aca="false">N(AC194)+$AB195</f>
        <v>0</v>
      </c>
      <c r="AD195" s="1" t="n">
        <f aca="false">IF(AND($M195=1,LEFT(对接源_01水果!$D195,4)="成品出库"),1,0)</f>
        <v>0</v>
      </c>
      <c r="AE195" s="1" t="n">
        <f aca="false">N(AE194)+$AD195</f>
        <v>0</v>
      </c>
      <c r="AF195" s="1" t="n">
        <f aca="false">IF(AND($N195=1,AND(LEFT(对接源_01水果!$D195,4)="包装物料",N(对接源_01水果!$K195)&lt;&gt;0)),1,0)</f>
        <v>0</v>
      </c>
      <c r="AG195" s="90" t="str">
        <f aca="false">IF(对接源_01水果!$AC195="","",对接源_01水果!$AC195)</f>
        <v/>
      </c>
      <c r="AH195" s="90" t="str">
        <f aca="false">IFERROR(INDEX($AG$4:$AG$1203,MATCH(ROW()-3,$AJ$4:$AJ$1203,0)),"")</f>
        <v/>
      </c>
      <c r="AI195" s="90" t="n">
        <f aca="false">IF(AG195="",0,IF(MATCH(AG195,$AG$4:$AG$1203,0)=ROW()-3,1,0))</f>
        <v>0</v>
      </c>
      <c r="AJ195" s="90" t="n">
        <f aca="false">N(AJ194)+AI195</f>
        <v>0</v>
      </c>
      <c r="AK195" s="1" t="n">
        <f aca="false">N(AK194)+$AJ195</f>
        <v>0</v>
      </c>
    </row>
    <row r="196" customFormat="false" ht="13.5" hidden="false" customHeight="false" outlineLevel="0" collapsed="false">
      <c r="A196" s="1" t="str">
        <f aca="false">IF(对接源_01水果!$C196="","",对接源_01水果!$C196)</f>
        <v>贾建国</v>
      </c>
      <c r="B196" s="1" t="n">
        <f aca="false">IF(A196="",0,IF(MATCH(A196,$A$4:$A$2403,0)=ROW()-3,1,0))</f>
        <v>0</v>
      </c>
      <c r="C196" s="1" t="n">
        <f aca="false">N(C195)+B196</f>
        <v>13</v>
      </c>
      <c r="E196" s="1" t="str">
        <f aca="false">IFERROR(INDEX($A$4:$A$2403,MATCH(ROW()-3,$C$4:$C$2403,0)),"")</f>
        <v/>
      </c>
      <c r="K196" s="1" t="n">
        <f aca="false">IF(OR($K$1="",对接源_01水果!$C196="",对接源_01水果!$C196&lt;&gt;$K$1,对接源_01水果!$B196=""),0,IF(OR(N(对接源_01水果!$B196)&lt;$K$2,N(对接源_01水果!$B196)&gt;$K$3),0,1))</f>
        <v>0</v>
      </c>
      <c r="L196" s="1" t="n">
        <f aca="false">IF(OR($L$1="",对接源_01水果!$C196="",对接源_01水果!$C196&lt;&gt;$L$1,对接源_01水果!$B196=""),0,IF(OR(N(对接源_01水果!$B196)&lt;$L$2,N(对接源_01水果!$B196)&gt;$L$3),0,1))</f>
        <v>1</v>
      </c>
      <c r="M196" s="1" t="n">
        <f aca="false">IF(OR($M$1="",对接源_01水果!$C196="",对接源_01水果!$C196&lt;&gt;$M$1,对接源_01水果!$B196=""),0,IF(OR(N(对接源_01水果!$B196)&lt;$M$2,N(对接源_01水果!$B196)&gt;$M$3),0,1))</f>
        <v>0</v>
      </c>
      <c r="N196" s="1" t="n">
        <f aca="false">IF(OR($N$1="",对接源_01水果!$C196="",对接源_01水果!$C196&lt;&gt;$N$1,对接源_01水果!$B196=""),0,IF(OR(N(对接源_01水果!$B196)&lt;$N$2,N(对接源_01水果!$B196)&gt;$N$3),0,1))</f>
        <v>0</v>
      </c>
      <c r="P196" s="1" t="n">
        <f aca="false">IF(AND($K196=1,AND(对接源_01水果!$X196="公司筐",N(对接源_01水果!$T196)&lt;&gt;0)),1,0)</f>
        <v>0</v>
      </c>
      <c r="Q196" s="1" t="n">
        <f aca="false">N(Q195)+$P196</f>
        <v>0</v>
      </c>
      <c r="R196" s="1" t="n">
        <f aca="false">IF(AND($K196=1,AND(对接源_01水果!$X196="公司筐",N(对接源_01水果!$U196)&lt;&gt;0)),1,0)</f>
        <v>0</v>
      </c>
      <c r="S196" s="1" t="n">
        <f aca="false">N(S195)+$R196</f>
        <v>0</v>
      </c>
      <c r="T196" s="1" t="n">
        <f aca="false">IF(AND($K196=1,AND(对接源_01水果!$X196="公司筐",N(对接源_01水果!$V196)&lt;&gt;0)),1,0)</f>
        <v>0</v>
      </c>
      <c r="U196" s="1" t="n">
        <f aca="false">N(U195)+$T196</f>
        <v>20</v>
      </c>
      <c r="V196" s="1" t="n">
        <f aca="false">IF(AND($L196=1,AND(对接源_01水果!$X196="自备筐",N(对接源_01水果!$V196)&lt;&gt;0)),1,0)</f>
        <v>0</v>
      </c>
      <c r="W196" s="1" t="n">
        <f aca="false">N(W195)+$V196</f>
        <v>5</v>
      </c>
      <c r="X196" s="1" t="n">
        <f aca="false">IF(AND($L196=1,AND(对接源_01水果!$X196="自备筐",N(对接源_01水果!$T196)&lt;&gt;0)),1,0)</f>
        <v>0</v>
      </c>
      <c r="Y196" s="1" t="n">
        <f aca="false">N(Y195)+$X196</f>
        <v>0</v>
      </c>
      <c r="Z196" s="1" t="n">
        <f aca="false">IF(AND($M196=1,对接源_01水果!$D196="原料入库"),1,0)</f>
        <v>0</v>
      </c>
      <c r="AA196" s="1" t="n">
        <f aca="false">N(AA195)+$Z196</f>
        <v>22</v>
      </c>
      <c r="AB196" s="1" t="n">
        <f aca="false">IF(AND($M196=1,LEFT(对接源_01水果!$D196,4)="原料出库"),1,0)</f>
        <v>0</v>
      </c>
      <c r="AC196" s="1" t="n">
        <f aca="false">N(AC195)+$AB196</f>
        <v>0</v>
      </c>
      <c r="AD196" s="1" t="n">
        <f aca="false">IF(AND($M196=1,LEFT(对接源_01水果!$D196,4)="成品出库"),1,0)</f>
        <v>0</v>
      </c>
      <c r="AE196" s="1" t="n">
        <f aca="false">N(AE195)+$AD196</f>
        <v>0</v>
      </c>
      <c r="AF196" s="1" t="n">
        <f aca="false">IF(AND($N196=1,AND(LEFT(对接源_01水果!$D196,4)="包装物料",N(对接源_01水果!$K196)&lt;&gt;0)),1,0)</f>
        <v>0</v>
      </c>
      <c r="AG196" s="90" t="str">
        <f aca="false">IF(对接源_01水果!$AC196="","",对接源_01水果!$AC196)</f>
        <v/>
      </c>
      <c r="AH196" s="90" t="str">
        <f aca="false">IFERROR(INDEX($AG$4:$AG$1203,MATCH(ROW()-3,$AJ$4:$AJ$1203,0)),"")</f>
        <v/>
      </c>
      <c r="AI196" s="90" t="n">
        <f aca="false">IF(AG196="",0,IF(MATCH(AG196,$AG$4:$AG$1203,0)=ROW()-3,1,0))</f>
        <v>0</v>
      </c>
      <c r="AJ196" s="90" t="n">
        <f aca="false">N(AJ195)+AI196</f>
        <v>0</v>
      </c>
      <c r="AK196" s="1" t="n">
        <f aca="false">N(AK195)+$AJ196</f>
        <v>0</v>
      </c>
    </row>
    <row r="197" customFormat="false" ht="13.5" hidden="false" customHeight="false" outlineLevel="0" collapsed="false">
      <c r="A197" s="1" t="str">
        <f aca="false">IF(对接源_01水果!$C197="","",对接源_01水果!$C197)</f>
        <v>王照雪</v>
      </c>
      <c r="B197" s="1" t="n">
        <f aca="false">IF(A197="",0,IF(MATCH(A197,$A$4:$A$2403,0)=ROW()-3,1,0))</f>
        <v>0</v>
      </c>
      <c r="C197" s="1" t="n">
        <f aca="false">N(C196)+B197</f>
        <v>13</v>
      </c>
      <c r="E197" s="1" t="str">
        <f aca="false">IFERROR(INDEX($A$4:$A$2403,MATCH(ROW()-3,$C$4:$C$2403,0)),"")</f>
        <v/>
      </c>
      <c r="K197" s="1" t="n">
        <f aca="false">IF(OR($K$1="",对接源_01水果!$C197="",对接源_01水果!$C197&lt;&gt;$K$1,对接源_01水果!$B197=""),0,IF(OR(N(对接源_01水果!$B197)&lt;$K$2,N(对接源_01水果!$B197)&gt;$K$3),0,1))</f>
        <v>1</v>
      </c>
      <c r="L197" s="1" t="n">
        <f aca="false">IF(OR($L$1="",对接源_01水果!$C197="",对接源_01水果!$C197&lt;&gt;$L$1,对接源_01水果!$B197=""),0,IF(OR(N(对接源_01水果!$B197)&lt;$L$2,N(对接源_01水果!$B197)&gt;$L$3),0,1))</f>
        <v>0</v>
      </c>
      <c r="M197" s="1" t="n">
        <f aca="false">IF(OR($M$1="",对接源_01水果!$C197="",对接源_01水果!$C197&lt;&gt;$M$1,对接源_01水果!$B197=""),0,IF(OR(N(对接源_01水果!$B197)&lt;$M$2,N(对接源_01水果!$B197)&gt;$M$3),0,1))</f>
        <v>1</v>
      </c>
      <c r="N197" s="1" t="n">
        <f aca="false">IF(OR($N$1="",对接源_01水果!$C197="",对接源_01水果!$C197&lt;&gt;$N$1,对接源_01水果!$B197=""),0,IF(OR(N(对接源_01水果!$B197)&lt;$N$2,N(对接源_01水果!$B197)&gt;$N$3),0,1))</f>
        <v>0</v>
      </c>
      <c r="P197" s="1" t="n">
        <f aca="false">IF(AND($K197=1,AND(对接源_01水果!$X197="公司筐",N(对接源_01水果!$T197)&lt;&gt;0)),1,0)</f>
        <v>0</v>
      </c>
      <c r="Q197" s="1" t="n">
        <f aca="false">N(Q196)+$P197</f>
        <v>0</v>
      </c>
      <c r="R197" s="1" t="n">
        <f aca="false">IF(AND($K197=1,AND(对接源_01水果!$X197="公司筐",N(对接源_01水果!$U197)&lt;&gt;0)),1,0)</f>
        <v>0</v>
      </c>
      <c r="S197" s="1" t="n">
        <f aca="false">N(S196)+$R197</f>
        <v>0</v>
      </c>
      <c r="T197" s="1" t="n">
        <f aca="false">IF(AND($K197=1,AND(对接源_01水果!$X197="公司筐",N(对接源_01水果!$V197)&lt;&gt;0)),1,0)</f>
        <v>1</v>
      </c>
      <c r="U197" s="1" t="n">
        <f aca="false">N(U196)+$T197</f>
        <v>21</v>
      </c>
      <c r="V197" s="1" t="n">
        <f aca="false">IF(AND($L197=1,AND(对接源_01水果!$X197="自备筐",N(对接源_01水果!$V197)&lt;&gt;0)),1,0)</f>
        <v>0</v>
      </c>
      <c r="W197" s="1" t="n">
        <f aca="false">N(W196)+$V197</f>
        <v>5</v>
      </c>
      <c r="X197" s="1" t="n">
        <f aca="false">IF(AND($L197=1,AND(对接源_01水果!$X197="自备筐",N(对接源_01水果!$T197)&lt;&gt;0)),1,0)</f>
        <v>0</v>
      </c>
      <c r="Y197" s="1" t="n">
        <f aca="false">N(Y196)+$X197</f>
        <v>0</v>
      </c>
      <c r="Z197" s="1" t="n">
        <f aca="false">IF(AND($M197=1,对接源_01水果!$D197="原料入库"),1,0)</f>
        <v>1</v>
      </c>
      <c r="AA197" s="1" t="n">
        <f aca="false">N(AA196)+$Z197</f>
        <v>23</v>
      </c>
      <c r="AB197" s="1" t="n">
        <f aca="false">IF(AND($M197=1,LEFT(对接源_01水果!$D197,4)="原料出库"),1,0)</f>
        <v>0</v>
      </c>
      <c r="AC197" s="1" t="n">
        <f aca="false">N(AC196)+$AB197</f>
        <v>0</v>
      </c>
      <c r="AD197" s="1" t="n">
        <f aca="false">IF(AND($M197=1,LEFT(对接源_01水果!$D197,4)="成品出库"),1,0)</f>
        <v>0</v>
      </c>
      <c r="AE197" s="1" t="n">
        <f aca="false">N(AE196)+$AD197</f>
        <v>0</v>
      </c>
      <c r="AF197" s="1" t="n">
        <f aca="false">IF(AND($N197=1,AND(LEFT(对接源_01水果!$D197,4)="包装物料",N(对接源_01水果!$K197)&lt;&gt;0)),1,0)</f>
        <v>0</v>
      </c>
      <c r="AG197" s="90" t="str">
        <f aca="false">IF(对接源_01水果!$AC197="","",对接源_01水果!$AC197)</f>
        <v/>
      </c>
      <c r="AH197" s="90" t="str">
        <f aca="false">IFERROR(INDEX($AG$4:$AG$1203,MATCH(ROW()-3,$AJ$4:$AJ$1203,0)),"")</f>
        <v/>
      </c>
      <c r="AI197" s="90" t="n">
        <f aca="false">IF(AG197="",0,IF(MATCH(AG197,$AG$4:$AG$1203,0)=ROW()-3,1,0))</f>
        <v>0</v>
      </c>
      <c r="AJ197" s="90" t="n">
        <f aca="false">N(AJ196)+AI197</f>
        <v>0</v>
      </c>
      <c r="AK197" s="1" t="n">
        <f aca="false">N(AK196)+$AJ197</f>
        <v>0</v>
      </c>
    </row>
    <row r="198" customFormat="false" ht="13.5" hidden="false" customHeight="false" outlineLevel="0" collapsed="false">
      <c r="A198" s="1" t="str">
        <f aca="false">IF(对接源_01水果!$C198="","",对接源_01水果!$C198)</f>
        <v>王照雪</v>
      </c>
      <c r="B198" s="1" t="n">
        <f aca="false">IF(A198="",0,IF(MATCH(A198,$A$4:$A$2403,0)=ROW()-3,1,0))</f>
        <v>0</v>
      </c>
      <c r="C198" s="1" t="n">
        <f aca="false">N(C197)+B198</f>
        <v>13</v>
      </c>
      <c r="E198" s="1" t="str">
        <f aca="false">IFERROR(INDEX($A$4:$A$2403,MATCH(ROW()-3,$C$4:$C$2403,0)),"")</f>
        <v/>
      </c>
      <c r="K198" s="1" t="n">
        <f aca="false">IF(OR($K$1="",对接源_01水果!$C198="",对接源_01水果!$C198&lt;&gt;$K$1,对接源_01水果!$B198=""),0,IF(OR(N(对接源_01水果!$B198)&lt;$K$2,N(对接源_01水果!$B198)&gt;$K$3),0,1))</f>
        <v>1</v>
      </c>
      <c r="L198" s="1" t="n">
        <f aca="false">IF(OR($L$1="",对接源_01水果!$C198="",对接源_01水果!$C198&lt;&gt;$L$1,对接源_01水果!$B198=""),0,IF(OR(N(对接源_01水果!$B198)&lt;$L$2,N(对接源_01水果!$B198)&gt;$L$3),0,1))</f>
        <v>0</v>
      </c>
      <c r="M198" s="1" t="n">
        <f aca="false">IF(OR($M$1="",对接源_01水果!$C198="",对接源_01水果!$C198&lt;&gt;$M$1,对接源_01水果!$B198=""),0,IF(OR(N(对接源_01水果!$B198)&lt;$M$2,N(对接源_01水果!$B198)&gt;$M$3),0,1))</f>
        <v>1</v>
      </c>
      <c r="N198" s="1" t="n">
        <f aca="false">IF(OR($N$1="",对接源_01水果!$C198="",对接源_01水果!$C198&lt;&gt;$N$1,对接源_01水果!$B198=""),0,IF(OR(N(对接源_01水果!$B198)&lt;$N$2,N(对接源_01水果!$B198)&gt;$N$3),0,1))</f>
        <v>0</v>
      </c>
      <c r="P198" s="1" t="n">
        <f aca="false">IF(AND($K198=1,AND(对接源_01水果!$X198="公司筐",N(对接源_01水果!$T198)&lt;&gt;0)),1,0)</f>
        <v>0</v>
      </c>
      <c r="Q198" s="1" t="n">
        <f aca="false">N(Q197)+$P198</f>
        <v>0</v>
      </c>
      <c r="R198" s="1" t="n">
        <f aca="false">IF(AND($K198=1,AND(对接源_01水果!$X198="公司筐",N(对接源_01水果!$U198)&lt;&gt;0)),1,0)</f>
        <v>0</v>
      </c>
      <c r="S198" s="1" t="n">
        <f aca="false">N(S197)+$R198</f>
        <v>0</v>
      </c>
      <c r="T198" s="1" t="n">
        <f aca="false">IF(AND($K198=1,AND(对接源_01水果!$X198="公司筐",N(对接源_01水果!$V198)&lt;&gt;0)),1,0)</f>
        <v>1</v>
      </c>
      <c r="U198" s="1" t="n">
        <f aca="false">N(U197)+$T198</f>
        <v>22</v>
      </c>
      <c r="V198" s="1" t="n">
        <f aca="false">IF(AND($L198=1,AND(对接源_01水果!$X198="自备筐",N(对接源_01水果!$V198)&lt;&gt;0)),1,0)</f>
        <v>0</v>
      </c>
      <c r="W198" s="1" t="n">
        <f aca="false">N(W197)+$V198</f>
        <v>5</v>
      </c>
      <c r="X198" s="1" t="n">
        <f aca="false">IF(AND($L198=1,AND(对接源_01水果!$X198="自备筐",N(对接源_01水果!$T198)&lt;&gt;0)),1,0)</f>
        <v>0</v>
      </c>
      <c r="Y198" s="1" t="n">
        <f aca="false">N(Y197)+$X198</f>
        <v>0</v>
      </c>
      <c r="Z198" s="1" t="n">
        <f aca="false">IF(AND($M198=1,对接源_01水果!$D198="原料入库"),1,0)</f>
        <v>1</v>
      </c>
      <c r="AA198" s="1" t="n">
        <f aca="false">N(AA197)+$Z198</f>
        <v>24</v>
      </c>
      <c r="AB198" s="1" t="n">
        <f aca="false">IF(AND($M198=1,LEFT(对接源_01水果!$D198,4)="原料出库"),1,0)</f>
        <v>0</v>
      </c>
      <c r="AC198" s="1" t="n">
        <f aca="false">N(AC197)+$AB198</f>
        <v>0</v>
      </c>
      <c r="AD198" s="1" t="n">
        <f aca="false">IF(AND($M198=1,LEFT(对接源_01水果!$D198,4)="成品出库"),1,0)</f>
        <v>0</v>
      </c>
      <c r="AE198" s="1" t="n">
        <f aca="false">N(AE197)+$AD198</f>
        <v>0</v>
      </c>
      <c r="AF198" s="1" t="n">
        <f aca="false">IF(AND($N198=1,AND(LEFT(对接源_01水果!$D198,4)="包装物料",N(对接源_01水果!$K198)&lt;&gt;0)),1,0)</f>
        <v>0</v>
      </c>
      <c r="AG198" s="90" t="str">
        <f aca="false">IF(对接源_01水果!$AC198="","",对接源_01水果!$AC198)</f>
        <v/>
      </c>
      <c r="AH198" s="90" t="str">
        <f aca="false">IFERROR(INDEX($AG$4:$AG$1203,MATCH(ROW()-3,$AJ$4:$AJ$1203,0)),"")</f>
        <v/>
      </c>
      <c r="AI198" s="90" t="n">
        <f aca="false">IF(AG198="",0,IF(MATCH(AG198,$AG$4:$AG$1203,0)=ROW()-3,1,0))</f>
        <v>0</v>
      </c>
      <c r="AJ198" s="90" t="n">
        <f aca="false">N(AJ197)+AI198</f>
        <v>0</v>
      </c>
      <c r="AK198" s="1" t="n">
        <f aca="false">N(AK197)+$AJ198</f>
        <v>0</v>
      </c>
    </row>
    <row r="199" customFormat="false" ht="13.5" hidden="false" customHeight="false" outlineLevel="0" collapsed="false">
      <c r="A199" s="1" t="str">
        <f aca="false">IF(对接源_01水果!$C199="","",对接源_01水果!$C199)</f>
        <v>王照雪</v>
      </c>
      <c r="B199" s="1" t="n">
        <f aca="false">IF(A199="",0,IF(MATCH(A199,$A$4:$A$2403,0)=ROW()-3,1,0))</f>
        <v>0</v>
      </c>
      <c r="C199" s="1" t="n">
        <f aca="false">N(C198)+B199</f>
        <v>13</v>
      </c>
      <c r="E199" s="1" t="str">
        <f aca="false">IFERROR(INDEX($A$4:$A$2403,MATCH(ROW()-3,$C$4:$C$2403,0)),"")</f>
        <v/>
      </c>
      <c r="K199" s="1" t="n">
        <f aca="false">IF(OR($K$1="",对接源_01水果!$C199="",对接源_01水果!$C199&lt;&gt;$K$1,对接源_01水果!$B199=""),0,IF(OR(N(对接源_01水果!$B199)&lt;$K$2,N(对接源_01水果!$B199)&gt;$K$3),0,1))</f>
        <v>1</v>
      </c>
      <c r="L199" s="1" t="n">
        <f aca="false">IF(OR($L$1="",对接源_01水果!$C199="",对接源_01水果!$C199&lt;&gt;$L$1,对接源_01水果!$B199=""),0,IF(OR(N(对接源_01水果!$B199)&lt;$L$2,N(对接源_01水果!$B199)&gt;$L$3),0,1))</f>
        <v>0</v>
      </c>
      <c r="M199" s="1" t="n">
        <f aca="false">IF(OR($M$1="",对接源_01水果!$C199="",对接源_01水果!$C199&lt;&gt;$M$1,对接源_01水果!$B199=""),0,IF(OR(N(对接源_01水果!$B199)&lt;$M$2,N(对接源_01水果!$B199)&gt;$M$3),0,1))</f>
        <v>1</v>
      </c>
      <c r="N199" s="1" t="n">
        <f aca="false">IF(OR($N$1="",对接源_01水果!$C199="",对接源_01水果!$C199&lt;&gt;$N$1,对接源_01水果!$B199=""),0,IF(OR(N(对接源_01水果!$B199)&lt;$N$2,N(对接源_01水果!$B199)&gt;$N$3),0,1))</f>
        <v>0</v>
      </c>
      <c r="P199" s="1" t="n">
        <f aca="false">IF(AND($K199=1,AND(对接源_01水果!$X199="公司筐",N(对接源_01水果!$T199)&lt;&gt;0)),1,0)</f>
        <v>0</v>
      </c>
      <c r="Q199" s="1" t="n">
        <f aca="false">N(Q198)+$P199</f>
        <v>0</v>
      </c>
      <c r="R199" s="1" t="n">
        <f aca="false">IF(AND($K199=1,AND(对接源_01水果!$X199="公司筐",N(对接源_01水果!$U199)&lt;&gt;0)),1,0)</f>
        <v>0</v>
      </c>
      <c r="S199" s="1" t="n">
        <f aca="false">N(S198)+$R199</f>
        <v>0</v>
      </c>
      <c r="T199" s="1" t="n">
        <f aca="false">IF(AND($K199=1,AND(对接源_01水果!$X199="公司筐",N(对接源_01水果!$V199)&lt;&gt;0)),1,0)</f>
        <v>1</v>
      </c>
      <c r="U199" s="1" t="n">
        <f aca="false">N(U198)+$T199</f>
        <v>23</v>
      </c>
      <c r="V199" s="1" t="n">
        <f aca="false">IF(AND($L199=1,AND(对接源_01水果!$X199="自备筐",N(对接源_01水果!$V199)&lt;&gt;0)),1,0)</f>
        <v>0</v>
      </c>
      <c r="W199" s="1" t="n">
        <f aca="false">N(W198)+$V199</f>
        <v>5</v>
      </c>
      <c r="X199" s="1" t="n">
        <f aca="false">IF(AND($L199=1,AND(对接源_01水果!$X199="自备筐",N(对接源_01水果!$T199)&lt;&gt;0)),1,0)</f>
        <v>0</v>
      </c>
      <c r="Y199" s="1" t="n">
        <f aca="false">N(Y198)+$X199</f>
        <v>0</v>
      </c>
      <c r="Z199" s="1" t="n">
        <f aca="false">IF(AND($M199=1,对接源_01水果!$D199="原料入库"),1,0)</f>
        <v>1</v>
      </c>
      <c r="AA199" s="1" t="n">
        <f aca="false">N(AA198)+$Z199</f>
        <v>25</v>
      </c>
      <c r="AB199" s="1" t="n">
        <f aca="false">IF(AND($M199=1,LEFT(对接源_01水果!$D199,4)="原料出库"),1,0)</f>
        <v>0</v>
      </c>
      <c r="AC199" s="1" t="n">
        <f aca="false">N(AC198)+$AB199</f>
        <v>0</v>
      </c>
      <c r="AD199" s="1" t="n">
        <f aca="false">IF(AND($M199=1,LEFT(对接源_01水果!$D199,4)="成品出库"),1,0)</f>
        <v>0</v>
      </c>
      <c r="AE199" s="1" t="n">
        <f aca="false">N(AE198)+$AD199</f>
        <v>0</v>
      </c>
      <c r="AF199" s="1" t="n">
        <f aca="false">IF(AND($N199=1,AND(LEFT(对接源_01水果!$D199,4)="包装物料",N(对接源_01水果!$K199)&lt;&gt;0)),1,0)</f>
        <v>0</v>
      </c>
      <c r="AG199" s="90" t="str">
        <f aca="false">IF(对接源_01水果!$AC199="","",对接源_01水果!$AC199)</f>
        <v/>
      </c>
      <c r="AH199" s="90" t="str">
        <f aca="false">IFERROR(INDEX($AG$4:$AG$1203,MATCH(ROW()-3,$AJ$4:$AJ$1203,0)),"")</f>
        <v/>
      </c>
      <c r="AI199" s="90" t="n">
        <f aca="false">IF(AG199="",0,IF(MATCH(AG199,$AG$4:$AG$1203,0)=ROW()-3,1,0))</f>
        <v>0</v>
      </c>
      <c r="AJ199" s="90" t="n">
        <f aca="false">N(AJ198)+AI199</f>
        <v>0</v>
      </c>
      <c r="AK199" s="1" t="n">
        <f aca="false">N(AK198)+$AJ199</f>
        <v>0</v>
      </c>
    </row>
    <row r="200" customFormat="false" ht="13.5" hidden="false" customHeight="false" outlineLevel="0" collapsed="false">
      <c r="A200" s="1" t="str">
        <f aca="false">IF(对接源_01水果!$C200="","",对接源_01水果!$C200)</f>
        <v>马锦祥</v>
      </c>
      <c r="B200" s="1" t="n">
        <f aca="false">IF(A200="",0,IF(MATCH(A200,$A$4:$A$2403,0)=ROW()-3,1,0))</f>
        <v>0</v>
      </c>
      <c r="C200" s="1" t="n">
        <f aca="false">N(C199)+B200</f>
        <v>13</v>
      </c>
      <c r="E200" s="1" t="str">
        <f aca="false">IFERROR(INDEX($A$4:$A$2403,MATCH(ROW()-3,$C$4:$C$2403,0)),"")</f>
        <v/>
      </c>
      <c r="K200" s="1" t="n">
        <f aca="false">IF(OR($K$1="",对接源_01水果!$C200="",对接源_01水果!$C200&lt;&gt;$K$1,对接源_01水果!$B200=""),0,IF(OR(N(对接源_01水果!$B200)&lt;$K$2,N(对接源_01水果!$B200)&gt;$K$3),0,1))</f>
        <v>0</v>
      </c>
      <c r="L200" s="1" t="n">
        <f aca="false">IF(OR($L$1="",对接源_01水果!$C200="",对接源_01水果!$C200&lt;&gt;$L$1,对接源_01水果!$B200=""),0,IF(OR(N(对接源_01水果!$B200)&lt;$L$2,N(对接源_01水果!$B200)&gt;$L$3),0,1))</f>
        <v>0</v>
      </c>
      <c r="M200" s="1" t="n">
        <f aca="false">IF(OR($M$1="",对接源_01水果!$C200="",对接源_01水果!$C200&lt;&gt;$M$1,对接源_01水果!$B200=""),0,IF(OR(N(对接源_01水果!$B200)&lt;$M$2,N(对接源_01水果!$B200)&gt;$M$3),0,1))</f>
        <v>0</v>
      </c>
      <c r="N200" s="1" t="n">
        <f aca="false">IF(OR($N$1="",对接源_01水果!$C200="",对接源_01水果!$C200&lt;&gt;$N$1,对接源_01水果!$B200=""),0,IF(OR(N(对接源_01水果!$B200)&lt;$N$2,N(对接源_01水果!$B200)&gt;$N$3),0,1))</f>
        <v>0</v>
      </c>
      <c r="P200" s="1" t="n">
        <f aca="false">IF(AND($K200=1,AND(对接源_01水果!$X200="公司筐",N(对接源_01水果!$T200)&lt;&gt;0)),1,0)</f>
        <v>0</v>
      </c>
      <c r="Q200" s="1" t="n">
        <f aca="false">N(Q199)+$P200</f>
        <v>0</v>
      </c>
      <c r="R200" s="1" t="n">
        <f aca="false">IF(AND($K200=1,AND(对接源_01水果!$X200="公司筐",N(对接源_01水果!$U200)&lt;&gt;0)),1,0)</f>
        <v>0</v>
      </c>
      <c r="S200" s="1" t="n">
        <f aca="false">N(S199)+$R200</f>
        <v>0</v>
      </c>
      <c r="T200" s="1" t="n">
        <f aca="false">IF(AND($K200=1,AND(对接源_01水果!$X200="公司筐",N(对接源_01水果!$V200)&lt;&gt;0)),1,0)</f>
        <v>0</v>
      </c>
      <c r="U200" s="1" t="n">
        <f aca="false">N(U199)+$T200</f>
        <v>23</v>
      </c>
      <c r="V200" s="1" t="n">
        <f aca="false">IF(AND($L200=1,AND(对接源_01水果!$X200="自备筐",N(对接源_01水果!$V200)&lt;&gt;0)),1,0)</f>
        <v>0</v>
      </c>
      <c r="W200" s="1" t="n">
        <f aca="false">N(W199)+$V200</f>
        <v>5</v>
      </c>
      <c r="X200" s="1" t="n">
        <f aca="false">IF(AND($L200=1,AND(对接源_01水果!$X200="自备筐",N(对接源_01水果!$T200)&lt;&gt;0)),1,0)</f>
        <v>0</v>
      </c>
      <c r="Y200" s="1" t="n">
        <f aca="false">N(Y199)+$X200</f>
        <v>0</v>
      </c>
      <c r="Z200" s="1" t="n">
        <f aca="false">IF(AND($M200=1,对接源_01水果!$D200="原料入库"),1,0)</f>
        <v>0</v>
      </c>
      <c r="AA200" s="1" t="n">
        <f aca="false">N(AA199)+$Z200</f>
        <v>25</v>
      </c>
      <c r="AB200" s="1" t="n">
        <f aca="false">IF(AND($M200=1,LEFT(对接源_01水果!$D200,4)="原料出库"),1,0)</f>
        <v>0</v>
      </c>
      <c r="AC200" s="1" t="n">
        <f aca="false">N(AC199)+$AB200</f>
        <v>0</v>
      </c>
      <c r="AD200" s="1" t="n">
        <f aca="false">IF(AND($M200=1,LEFT(对接源_01水果!$D200,4)="成品出库"),1,0)</f>
        <v>0</v>
      </c>
      <c r="AE200" s="1" t="n">
        <f aca="false">N(AE199)+$AD200</f>
        <v>0</v>
      </c>
      <c r="AF200" s="1" t="n">
        <f aca="false">IF(AND($N200=1,AND(LEFT(对接源_01水果!$D200,4)="包装物料",N(对接源_01水果!$K200)&lt;&gt;0)),1,0)</f>
        <v>0</v>
      </c>
      <c r="AG200" s="90" t="str">
        <f aca="false">IF(对接源_01水果!$AC200="","",对接源_01水果!$AC200)</f>
        <v/>
      </c>
      <c r="AH200" s="90" t="str">
        <f aca="false">IFERROR(INDEX($AG$4:$AG$1203,MATCH(ROW()-3,$AJ$4:$AJ$1203,0)),"")</f>
        <v/>
      </c>
      <c r="AI200" s="90" t="n">
        <f aca="false">IF(AG200="",0,IF(MATCH(AG200,$AG$4:$AG$1203,0)=ROW()-3,1,0))</f>
        <v>0</v>
      </c>
      <c r="AJ200" s="90" t="n">
        <f aca="false">N(AJ199)+AI200</f>
        <v>0</v>
      </c>
      <c r="AK200" s="1" t="n">
        <f aca="false">N(AK199)+$AJ200</f>
        <v>0</v>
      </c>
    </row>
    <row r="201" customFormat="false" ht="13.5" hidden="false" customHeight="false" outlineLevel="0" collapsed="false">
      <c r="A201" s="1" t="str">
        <f aca="false">IF(对接源_01水果!$C201="","",对接源_01水果!$C201)</f>
        <v>马锦祥</v>
      </c>
      <c r="B201" s="1" t="n">
        <f aca="false">IF(A201="",0,IF(MATCH(A201,$A$4:$A$2403,0)=ROW()-3,1,0))</f>
        <v>0</v>
      </c>
      <c r="C201" s="1" t="n">
        <f aca="false">N(C200)+B201</f>
        <v>13</v>
      </c>
      <c r="E201" s="1" t="str">
        <f aca="false">IFERROR(INDEX($A$4:$A$2403,MATCH(ROW()-3,$C$4:$C$2403,0)),"")</f>
        <v/>
      </c>
      <c r="K201" s="1" t="n">
        <f aca="false">IF(OR($K$1="",对接源_01水果!$C201="",对接源_01水果!$C201&lt;&gt;$K$1,对接源_01水果!$B201=""),0,IF(OR(N(对接源_01水果!$B201)&lt;$K$2,N(对接源_01水果!$B201)&gt;$K$3),0,1))</f>
        <v>0</v>
      </c>
      <c r="L201" s="1" t="n">
        <f aca="false">IF(OR($L$1="",对接源_01水果!$C201="",对接源_01水果!$C201&lt;&gt;$L$1,对接源_01水果!$B201=""),0,IF(OR(N(对接源_01水果!$B201)&lt;$L$2,N(对接源_01水果!$B201)&gt;$L$3),0,1))</f>
        <v>0</v>
      </c>
      <c r="M201" s="1" t="n">
        <f aca="false">IF(OR($M$1="",对接源_01水果!$C201="",对接源_01水果!$C201&lt;&gt;$M$1,对接源_01水果!$B201=""),0,IF(OR(N(对接源_01水果!$B201)&lt;$M$2,N(对接源_01水果!$B201)&gt;$M$3),0,1))</f>
        <v>0</v>
      </c>
      <c r="N201" s="1" t="n">
        <f aca="false">IF(OR($N$1="",对接源_01水果!$C201="",对接源_01水果!$C201&lt;&gt;$N$1,对接源_01水果!$B201=""),0,IF(OR(N(对接源_01水果!$B201)&lt;$N$2,N(对接源_01水果!$B201)&gt;$N$3),0,1))</f>
        <v>0</v>
      </c>
      <c r="P201" s="1" t="n">
        <f aca="false">IF(AND($K201=1,AND(对接源_01水果!$X201="公司筐",N(对接源_01水果!$T201)&lt;&gt;0)),1,0)</f>
        <v>0</v>
      </c>
      <c r="Q201" s="1" t="n">
        <f aca="false">N(Q200)+$P201</f>
        <v>0</v>
      </c>
      <c r="R201" s="1" t="n">
        <f aca="false">IF(AND($K201=1,AND(对接源_01水果!$X201="公司筐",N(对接源_01水果!$U201)&lt;&gt;0)),1,0)</f>
        <v>0</v>
      </c>
      <c r="S201" s="1" t="n">
        <f aca="false">N(S200)+$R201</f>
        <v>0</v>
      </c>
      <c r="T201" s="1" t="n">
        <f aca="false">IF(AND($K201=1,AND(对接源_01水果!$X201="公司筐",N(对接源_01水果!$V201)&lt;&gt;0)),1,0)</f>
        <v>0</v>
      </c>
      <c r="U201" s="1" t="n">
        <f aca="false">N(U200)+$T201</f>
        <v>23</v>
      </c>
      <c r="V201" s="1" t="n">
        <f aca="false">IF(AND($L201=1,AND(对接源_01水果!$X201="自备筐",N(对接源_01水果!$V201)&lt;&gt;0)),1,0)</f>
        <v>0</v>
      </c>
      <c r="W201" s="1" t="n">
        <f aca="false">N(W200)+$V201</f>
        <v>5</v>
      </c>
      <c r="X201" s="1" t="n">
        <f aca="false">IF(AND($L201=1,AND(对接源_01水果!$X201="自备筐",N(对接源_01水果!$T201)&lt;&gt;0)),1,0)</f>
        <v>0</v>
      </c>
      <c r="Y201" s="1" t="n">
        <f aca="false">N(Y200)+$X201</f>
        <v>0</v>
      </c>
      <c r="Z201" s="1" t="n">
        <f aca="false">IF(AND($M201=1,对接源_01水果!$D201="原料入库"),1,0)</f>
        <v>0</v>
      </c>
      <c r="AA201" s="1" t="n">
        <f aca="false">N(AA200)+$Z201</f>
        <v>25</v>
      </c>
      <c r="AB201" s="1" t="n">
        <f aca="false">IF(AND($M201=1,LEFT(对接源_01水果!$D201,4)="原料出库"),1,0)</f>
        <v>0</v>
      </c>
      <c r="AC201" s="1" t="n">
        <f aca="false">N(AC200)+$AB201</f>
        <v>0</v>
      </c>
      <c r="AD201" s="1" t="n">
        <f aca="false">IF(AND($M201=1,LEFT(对接源_01水果!$D201,4)="成品出库"),1,0)</f>
        <v>0</v>
      </c>
      <c r="AE201" s="1" t="n">
        <f aca="false">N(AE200)+$AD201</f>
        <v>0</v>
      </c>
      <c r="AF201" s="1" t="n">
        <f aca="false">IF(AND($N201=1,AND(LEFT(对接源_01水果!$D201,4)="包装物料",N(对接源_01水果!$K201)&lt;&gt;0)),1,0)</f>
        <v>0</v>
      </c>
      <c r="AG201" s="90" t="str">
        <f aca="false">IF(对接源_01水果!$AC201="","",对接源_01水果!$AC201)</f>
        <v/>
      </c>
      <c r="AH201" s="90" t="str">
        <f aca="false">IFERROR(INDEX($AG$4:$AG$1203,MATCH(ROW()-3,$AJ$4:$AJ$1203,0)),"")</f>
        <v/>
      </c>
      <c r="AI201" s="90" t="n">
        <f aca="false">IF(AG201="",0,IF(MATCH(AG201,$AG$4:$AG$1203,0)=ROW()-3,1,0))</f>
        <v>0</v>
      </c>
      <c r="AJ201" s="90" t="n">
        <f aca="false">N(AJ200)+AI201</f>
        <v>0</v>
      </c>
      <c r="AK201" s="1" t="n">
        <f aca="false">N(AK200)+$AJ201</f>
        <v>0</v>
      </c>
    </row>
    <row r="202" customFormat="false" ht="13.5" hidden="false" customHeight="false" outlineLevel="0" collapsed="false">
      <c r="A202" s="1" t="str">
        <f aca="false">IF(对接源_01水果!$C202="","",对接源_01水果!$C202)</f>
        <v>马锦祥</v>
      </c>
      <c r="B202" s="1" t="n">
        <f aca="false">IF(A202="",0,IF(MATCH(A202,$A$4:$A$2403,0)=ROW()-3,1,0))</f>
        <v>0</v>
      </c>
      <c r="C202" s="1" t="n">
        <f aca="false">N(C201)+B202</f>
        <v>13</v>
      </c>
      <c r="E202" s="1" t="str">
        <f aca="false">IFERROR(INDEX($A$4:$A$2403,MATCH(ROW()-3,$C$4:$C$2403,0)),"")</f>
        <v/>
      </c>
      <c r="K202" s="1" t="n">
        <f aca="false">IF(OR($K$1="",对接源_01水果!$C202="",对接源_01水果!$C202&lt;&gt;$K$1,对接源_01水果!$B202=""),0,IF(OR(N(对接源_01水果!$B202)&lt;$K$2,N(对接源_01水果!$B202)&gt;$K$3),0,1))</f>
        <v>0</v>
      </c>
      <c r="L202" s="1" t="n">
        <f aca="false">IF(OR($L$1="",对接源_01水果!$C202="",对接源_01水果!$C202&lt;&gt;$L$1,对接源_01水果!$B202=""),0,IF(OR(N(对接源_01水果!$B202)&lt;$L$2,N(对接源_01水果!$B202)&gt;$L$3),0,1))</f>
        <v>0</v>
      </c>
      <c r="M202" s="1" t="n">
        <f aca="false">IF(OR($M$1="",对接源_01水果!$C202="",对接源_01水果!$C202&lt;&gt;$M$1,对接源_01水果!$B202=""),0,IF(OR(N(对接源_01水果!$B202)&lt;$M$2,N(对接源_01水果!$B202)&gt;$M$3),0,1))</f>
        <v>0</v>
      </c>
      <c r="N202" s="1" t="n">
        <f aca="false">IF(OR($N$1="",对接源_01水果!$C202="",对接源_01水果!$C202&lt;&gt;$N$1,对接源_01水果!$B202=""),0,IF(OR(N(对接源_01水果!$B202)&lt;$N$2,N(对接源_01水果!$B202)&gt;$N$3),0,1))</f>
        <v>0</v>
      </c>
      <c r="P202" s="1" t="n">
        <f aca="false">IF(AND($K202=1,AND(对接源_01水果!$X202="公司筐",N(对接源_01水果!$T202)&lt;&gt;0)),1,0)</f>
        <v>0</v>
      </c>
      <c r="Q202" s="1" t="n">
        <f aca="false">N(Q201)+$P202</f>
        <v>0</v>
      </c>
      <c r="R202" s="1" t="n">
        <f aca="false">IF(AND($K202=1,AND(对接源_01水果!$X202="公司筐",N(对接源_01水果!$U202)&lt;&gt;0)),1,0)</f>
        <v>0</v>
      </c>
      <c r="S202" s="1" t="n">
        <f aca="false">N(S201)+$R202</f>
        <v>0</v>
      </c>
      <c r="T202" s="1" t="n">
        <f aca="false">IF(AND($K202=1,AND(对接源_01水果!$X202="公司筐",N(对接源_01水果!$V202)&lt;&gt;0)),1,0)</f>
        <v>0</v>
      </c>
      <c r="U202" s="1" t="n">
        <f aca="false">N(U201)+$T202</f>
        <v>23</v>
      </c>
      <c r="V202" s="1" t="n">
        <f aca="false">IF(AND($L202=1,AND(对接源_01水果!$X202="自备筐",N(对接源_01水果!$V202)&lt;&gt;0)),1,0)</f>
        <v>0</v>
      </c>
      <c r="W202" s="1" t="n">
        <f aca="false">N(W201)+$V202</f>
        <v>5</v>
      </c>
      <c r="X202" s="1" t="n">
        <f aca="false">IF(AND($L202=1,AND(对接源_01水果!$X202="自备筐",N(对接源_01水果!$T202)&lt;&gt;0)),1,0)</f>
        <v>0</v>
      </c>
      <c r="Y202" s="1" t="n">
        <f aca="false">N(Y201)+$X202</f>
        <v>0</v>
      </c>
      <c r="Z202" s="1" t="n">
        <f aca="false">IF(AND($M202=1,对接源_01水果!$D202="原料入库"),1,0)</f>
        <v>0</v>
      </c>
      <c r="AA202" s="1" t="n">
        <f aca="false">N(AA201)+$Z202</f>
        <v>25</v>
      </c>
      <c r="AB202" s="1" t="n">
        <f aca="false">IF(AND($M202=1,LEFT(对接源_01水果!$D202,4)="原料出库"),1,0)</f>
        <v>0</v>
      </c>
      <c r="AC202" s="1" t="n">
        <f aca="false">N(AC201)+$AB202</f>
        <v>0</v>
      </c>
      <c r="AD202" s="1" t="n">
        <f aca="false">IF(AND($M202=1,LEFT(对接源_01水果!$D202,4)="成品出库"),1,0)</f>
        <v>0</v>
      </c>
      <c r="AE202" s="1" t="n">
        <f aca="false">N(AE201)+$AD202</f>
        <v>0</v>
      </c>
      <c r="AF202" s="1" t="n">
        <f aca="false">IF(AND($N202=1,AND(LEFT(对接源_01水果!$D202,4)="包装物料",N(对接源_01水果!$K202)&lt;&gt;0)),1,0)</f>
        <v>0</v>
      </c>
      <c r="AG202" s="90" t="str">
        <f aca="false">IF(对接源_01水果!$AC202="","",对接源_01水果!$AC202)</f>
        <v/>
      </c>
      <c r="AH202" s="90" t="str">
        <f aca="false">IFERROR(INDEX($AG$4:$AG$1203,MATCH(ROW()-3,$AJ$4:$AJ$1203,0)),"")</f>
        <v/>
      </c>
      <c r="AI202" s="90" t="n">
        <f aca="false">IF(AG202="",0,IF(MATCH(AG202,$AG$4:$AG$1203,0)=ROW()-3,1,0))</f>
        <v>0</v>
      </c>
      <c r="AJ202" s="90" t="n">
        <f aca="false">N(AJ201)+AI202</f>
        <v>0</v>
      </c>
      <c r="AK202" s="1" t="n">
        <f aca="false">N(AK201)+$AJ202</f>
        <v>0</v>
      </c>
    </row>
    <row r="203" customFormat="false" ht="13.5" hidden="false" customHeight="false" outlineLevel="0" collapsed="false">
      <c r="A203" s="1" t="str">
        <f aca="false">IF(对接源_01水果!$C203="","",对接源_01水果!$C203)</f>
        <v>王照雪</v>
      </c>
      <c r="B203" s="1" t="n">
        <f aca="false">IF(A203="",0,IF(MATCH(A203,$A$4:$A$2403,0)=ROW()-3,1,0))</f>
        <v>0</v>
      </c>
      <c r="C203" s="1" t="n">
        <f aca="false">N(C202)+B203</f>
        <v>13</v>
      </c>
      <c r="E203" s="1" t="str">
        <f aca="false">IFERROR(INDEX($A$4:$A$2403,MATCH(ROW()-3,$C$4:$C$2403,0)),"")</f>
        <v/>
      </c>
      <c r="K203" s="1" t="n">
        <f aca="false">IF(OR($K$1="",对接源_01水果!$C203="",对接源_01水果!$C203&lt;&gt;$K$1,对接源_01水果!$B203=""),0,IF(OR(N(对接源_01水果!$B203)&lt;$K$2,N(对接源_01水果!$B203)&gt;$K$3),0,1))</f>
        <v>1</v>
      </c>
      <c r="L203" s="1" t="n">
        <f aca="false">IF(OR($L$1="",对接源_01水果!$C203="",对接源_01水果!$C203&lt;&gt;$L$1,对接源_01水果!$B203=""),0,IF(OR(N(对接源_01水果!$B203)&lt;$L$2,N(对接源_01水果!$B203)&gt;$L$3),0,1))</f>
        <v>0</v>
      </c>
      <c r="M203" s="1" t="n">
        <f aca="false">IF(OR($M$1="",对接源_01水果!$C203="",对接源_01水果!$C203&lt;&gt;$M$1,对接源_01水果!$B203=""),0,IF(OR(N(对接源_01水果!$B203)&lt;$M$2,N(对接源_01水果!$B203)&gt;$M$3),0,1))</f>
        <v>1</v>
      </c>
      <c r="N203" s="1" t="n">
        <f aca="false">IF(OR($N$1="",对接源_01水果!$C203="",对接源_01水果!$C203&lt;&gt;$N$1,对接源_01水果!$B203=""),0,IF(OR(N(对接源_01水果!$B203)&lt;$N$2,N(对接源_01水果!$B203)&gt;$N$3),0,1))</f>
        <v>0</v>
      </c>
      <c r="P203" s="1" t="n">
        <f aca="false">IF(AND($K203=1,AND(对接源_01水果!$X203="公司筐",N(对接源_01水果!$T203)&lt;&gt;0)),1,0)</f>
        <v>0</v>
      </c>
      <c r="Q203" s="1" t="n">
        <f aca="false">N(Q202)+$P203</f>
        <v>0</v>
      </c>
      <c r="R203" s="1" t="n">
        <f aca="false">IF(AND($K203=1,AND(对接源_01水果!$X203="公司筐",N(对接源_01水果!$U203)&lt;&gt;0)),1,0)</f>
        <v>0</v>
      </c>
      <c r="S203" s="1" t="n">
        <f aca="false">N(S202)+$R203</f>
        <v>0</v>
      </c>
      <c r="T203" s="1" t="n">
        <f aca="false">IF(AND($K203=1,AND(对接源_01水果!$X203="公司筐",N(对接源_01水果!$V203)&lt;&gt;0)),1,0)</f>
        <v>1</v>
      </c>
      <c r="U203" s="1" t="n">
        <f aca="false">N(U202)+$T203</f>
        <v>24</v>
      </c>
      <c r="V203" s="1" t="n">
        <f aca="false">IF(AND($L203=1,AND(对接源_01水果!$X203="自备筐",N(对接源_01水果!$V203)&lt;&gt;0)),1,0)</f>
        <v>0</v>
      </c>
      <c r="W203" s="1" t="n">
        <f aca="false">N(W202)+$V203</f>
        <v>5</v>
      </c>
      <c r="X203" s="1" t="n">
        <f aca="false">IF(AND($L203=1,AND(对接源_01水果!$X203="自备筐",N(对接源_01水果!$T203)&lt;&gt;0)),1,0)</f>
        <v>0</v>
      </c>
      <c r="Y203" s="1" t="n">
        <f aca="false">N(Y202)+$X203</f>
        <v>0</v>
      </c>
      <c r="Z203" s="1" t="n">
        <f aca="false">IF(AND($M203=1,对接源_01水果!$D203="原料入库"),1,0)</f>
        <v>1</v>
      </c>
      <c r="AA203" s="1" t="n">
        <f aca="false">N(AA202)+$Z203</f>
        <v>26</v>
      </c>
      <c r="AB203" s="1" t="n">
        <f aca="false">IF(AND($M203=1,LEFT(对接源_01水果!$D203,4)="原料出库"),1,0)</f>
        <v>0</v>
      </c>
      <c r="AC203" s="1" t="n">
        <f aca="false">N(AC202)+$AB203</f>
        <v>0</v>
      </c>
      <c r="AD203" s="1" t="n">
        <f aca="false">IF(AND($M203=1,LEFT(对接源_01水果!$D203,4)="成品出库"),1,0)</f>
        <v>0</v>
      </c>
      <c r="AE203" s="1" t="n">
        <f aca="false">N(AE202)+$AD203</f>
        <v>0</v>
      </c>
      <c r="AF203" s="1" t="n">
        <f aca="false">IF(AND($N203=1,AND(LEFT(对接源_01水果!$D203,4)="包装物料",N(对接源_01水果!$K203)&lt;&gt;0)),1,0)</f>
        <v>0</v>
      </c>
      <c r="AG203" s="90" t="str">
        <f aca="false">IF(对接源_01水果!$AC203="","",对接源_01水果!$AC203)</f>
        <v/>
      </c>
      <c r="AH203" s="90" t="str">
        <f aca="false">IFERROR(INDEX($AG$4:$AG$1203,MATCH(ROW()-3,$AJ$4:$AJ$1203,0)),"")</f>
        <v/>
      </c>
      <c r="AI203" s="90" t="n">
        <f aca="false">IF(AG203="",0,IF(MATCH(AG203,$AG$4:$AG$1203,0)=ROW()-3,1,0))</f>
        <v>0</v>
      </c>
      <c r="AJ203" s="90" t="n">
        <f aca="false">N(AJ202)+AI203</f>
        <v>0</v>
      </c>
      <c r="AK203" s="1" t="n">
        <f aca="false">N(AK202)+$AJ203</f>
        <v>0</v>
      </c>
    </row>
    <row r="204" customFormat="false" ht="13.5" hidden="false" customHeight="false" outlineLevel="0" collapsed="false">
      <c r="A204" s="1" t="str">
        <f aca="false">IF(对接源_01水果!$C204="","",对接源_01水果!$C204)</f>
        <v>王照雪</v>
      </c>
      <c r="B204" s="1" t="n">
        <f aca="false">IF(A204="",0,IF(MATCH(A204,$A$4:$A$2403,0)=ROW()-3,1,0))</f>
        <v>0</v>
      </c>
      <c r="C204" s="1" t="n">
        <f aca="false">N(C203)+B204</f>
        <v>13</v>
      </c>
      <c r="E204" s="1" t="str">
        <f aca="false">IFERROR(INDEX($A$4:$A$2403,MATCH(ROW()-3,$C$4:$C$2403,0)),"")</f>
        <v/>
      </c>
      <c r="K204" s="1" t="n">
        <f aca="false">IF(OR($K$1="",对接源_01水果!$C204="",对接源_01水果!$C204&lt;&gt;$K$1,对接源_01水果!$B204=""),0,IF(OR(N(对接源_01水果!$B204)&lt;$K$2,N(对接源_01水果!$B204)&gt;$K$3),0,1))</f>
        <v>1</v>
      </c>
      <c r="L204" s="1" t="n">
        <f aca="false">IF(OR($L$1="",对接源_01水果!$C204="",对接源_01水果!$C204&lt;&gt;$L$1,对接源_01水果!$B204=""),0,IF(OR(N(对接源_01水果!$B204)&lt;$L$2,N(对接源_01水果!$B204)&gt;$L$3),0,1))</f>
        <v>0</v>
      </c>
      <c r="M204" s="1" t="n">
        <f aca="false">IF(OR($M$1="",对接源_01水果!$C204="",对接源_01水果!$C204&lt;&gt;$M$1,对接源_01水果!$B204=""),0,IF(OR(N(对接源_01水果!$B204)&lt;$M$2,N(对接源_01水果!$B204)&gt;$M$3),0,1))</f>
        <v>1</v>
      </c>
      <c r="N204" s="1" t="n">
        <f aca="false">IF(OR($N$1="",对接源_01水果!$C204="",对接源_01水果!$C204&lt;&gt;$N$1,对接源_01水果!$B204=""),0,IF(OR(N(对接源_01水果!$B204)&lt;$N$2,N(对接源_01水果!$B204)&gt;$N$3),0,1))</f>
        <v>0</v>
      </c>
      <c r="P204" s="1" t="n">
        <f aca="false">IF(AND($K204=1,AND(对接源_01水果!$X204="公司筐",N(对接源_01水果!$T204)&lt;&gt;0)),1,0)</f>
        <v>0</v>
      </c>
      <c r="Q204" s="1" t="n">
        <f aca="false">N(Q203)+$P204</f>
        <v>0</v>
      </c>
      <c r="R204" s="1" t="n">
        <f aca="false">IF(AND($K204=1,AND(对接源_01水果!$X204="公司筐",N(对接源_01水果!$U204)&lt;&gt;0)),1,0)</f>
        <v>0</v>
      </c>
      <c r="S204" s="1" t="n">
        <f aca="false">N(S203)+$R204</f>
        <v>0</v>
      </c>
      <c r="T204" s="1" t="n">
        <f aca="false">IF(AND($K204=1,AND(对接源_01水果!$X204="公司筐",N(对接源_01水果!$V204)&lt;&gt;0)),1,0)</f>
        <v>1</v>
      </c>
      <c r="U204" s="1" t="n">
        <f aca="false">N(U203)+$T204</f>
        <v>25</v>
      </c>
      <c r="V204" s="1" t="n">
        <f aca="false">IF(AND($L204=1,AND(对接源_01水果!$X204="自备筐",N(对接源_01水果!$V204)&lt;&gt;0)),1,0)</f>
        <v>0</v>
      </c>
      <c r="W204" s="1" t="n">
        <f aca="false">N(W203)+$V204</f>
        <v>5</v>
      </c>
      <c r="X204" s="1" t="n">
        <f aca="false">IF(AND($L204=1,AND(对接源_01水果!$X204="自备筐",N(对接源_01水果!$T204)&lt;&gt;0)),1,0)</f>
        <v>0</v>
      </c>
      <c r="Y204" s="1" t="n">
        <f aca="false">N(Y203)+$X204</f>
        <v>0</v>
      </c>
      <c r="Z204" s="1" t="n">
        <f aca="false">IF(AND($M204=1,对接源_01水果!$D204="原料入库"),1,0)</f>
        <v>1</v>
      </c>
      <c r="AA204" s="1" t="n">
        <f aca="false">N(AA203)+$Z204</f>
        <v>27</v>
      </c>
      <c r="AB204" s="1" t="n">
        <f aca="false">IF(AND($M204=1,LEFT(对接源_01水果!$D204,4)="原料出库"),1,0)</f>
        <v>0</v>
      </c>
      <c r="AC204" s="1" t="n">
        <f aca="false">N(AC203)+$AB204</f>
        <v>0</v>
      </c>
      <c r="AD204" s="1" t="n">
        <f aca="false">IF(AND($M204=1,LEFT(对接源_01水果!$D204,4)="成品出库"),1,0)</f>
        <v>0</v>
      </c>
      <c r="AE204" s="1" t="n">
        <f aca="false">N(AE203)+$AD204</f>
        <v>0</v>
      </c>
      <c r="AF204" s="1" t="n">
        <f aca="false">IF(AND($N204=1,AND(LEFT(对接源_01水果!$D204,4)="包装物料",N(对接源_01水果!$K204)&lt;&gt;0)),1,0)</f>
        <v>0</v>
      </c>
      <c r="AG204" s="90" t="str">
        <f aca="false">IF(对接源_01水果!$AC204="","",对接源_01水果!$AC204)</f>
        <v/>
      </c>
      <c r="AH204" s="1" t="n">
        <f aca="false">IF(AND($N204=1,AND(LEFT(对接源_01水果!$D204,3)="周转筐",N(对接源_01水果!$K204)&lt;&gt;0)),1,0)</f>
        <v>0</v>
      </c>
      <c r="AI204" s="90" t="n">
        <f aca="false">IF(AG204="",0,IF(MATCH(AG204,$AG$4:$AG$1203,0)=ROW()-3,1,0))</f>
        <v>0</v>
      </c>
      <c r="AJ204" s="90" t="n">
        <f aca="false">N(AJ203)+AI204</f>
        <v>0</v>
      </c>
      <c r="AK204" s="1" t="n">
        <f aca="false">N(AK203)+$AJ204</f>
        <v>0</v>
      </c>
    </row>
    <row r="205" customFormat="false" ht="13.5" hidden="false" customHeight="false" outlineLevel="0" collapsed="false">
      <c r="A205" s="1" t="str">
        <f aca="false">IF(对接源_01水果!$C205="","",对接源_01水果!$C205)</f>
        <v>麦麦提</v>
      </c>
      <c r="B205" s="1" t="n">
        <f aca="false">IF(A205="",0,IF(MATCH(A205,$A$4:$A$2403,0)=ROW()-3,1,0))</f>
        <v>0</v>
      </c>
      <c r="C205" s="1" t="n">
        <f aca="false">N(C204)+B205</f>
        <v>13</v>
      </c>
      <c r="E205" s="1" t="str">
        <f aca="false">IFERROR(INDEX($A$4:$A$2403,MATCH(ROW()-3,$C$4:$C$2403,0)),"")</f>
        <v/>
      </c>
      <c r="K205" s="1" t="n">
        <f aca="false">IF(OR($K$1="",对接源_01水果!$C205="",对接源_01水果!$C205&lt;&gt;$K$1,对接源_01水果!$B205=""),0,IF(OR(N(对接源_01水果!$B205)&lt;$K$2,N(对接源_01水果!$B205)&gt;$K$3),0,1))</f>
        <v>0</v>
      </c>
      <c r="L205" s="1" t="n">
        <f aca="false">IF(OR($L$1="",对接源_01水果!$C205="",对接源_01水果!$C205&lt;&gt;$L$1,对接源_01水果!$B205=""),0,IF(OR(N(对接源_01水果!$B205)&lt;$L$2,N(对接源_01水果!$B205)&gt;$L$3),0,1))</f>
        <v>0</v>
      </c>
      <c r="M205" s="1" t="n">
        <f aca="false">IF(OR($M$1="",对接源_01水果!$C205="",对接源_01水果!$C205&lt;&gt;$M$1,对接源_01水果!$B205=""),0,IF(OR(N(对接源_01水果!$B205)&lt;$M$2,N(对接源_01水果!$B205)&gt;$M$3),0,1))</f>
        <v>0</v>
      </c>
      <c r="N205" s="1" t="n">
        <f aca="false">IF(OR($N$1="",对接源_01水果!$C205="",对接源_01水果!$C205&lt;&gt;$N$1,对接源_01水果!$B205=""),0,IF(OR(N(对接源_01水果!$B205)&lt;$N$2,N(对接源_01水果!$B205)&gt;$N$3),0,1))</f>
        <v>1</v>
      </c>
      <c r="P205" s="1" t="n">
        <f aca="false">IF(AND($K205=1,AND(对接源_01水果!$X205="公司筐",N(对接源_01水果!$T205)&lt;&gt;0)),1,0)</f>
        <v>0</v>
      </c>
      <c r="Q205" s="1" t="n">
        <f aca="false">N(Q204)+$P205</f>
        <v>0</v>
      </c>
      <c r="R205" s="1" t="n">
        <f aca="false">IF(AND($K205=1,AND(对接源_01水果!$X205="公司筐",N(对接源_01水果!$U205)&lt;&gt;0)),1,0)</f>
        <v>0</v>
      </c>
      <c r="S205" s="1" t="n">
        <f aca="false">N(S204)+$R205</f>
        <v>0</v>
      </c>
      <c r="T205" s="1" t="n">
        <f aca="false">IF(AND($K205=1,AND(对接源_01水果!$X205="公司筐",N(对接源_01水果!$V205)&lt;&gt;0)),1,0)</f>
        <v>0</v>
      </c>
      <c r="U205" s="1" t="n">
        <f aca="false">N(U204)+$T205</f>
        <v>25</v>
      </c>
      <c r="V205" s="1" t="n">
        <f aca="false">IF(AND($L205=1,AND(对接源_01水果!$X205="自备筐",N(对接源_01水果!$V205)&lt;&gt;0)),1,0)</f>
        <v>0</v>
      </c>
      <c r="W205" s="1" t="n">
        <f aca="false">N(W204)+$V205</f>
        <v>5</v>
      </c>
      <c r="X205" s="1" t="n">
        <f aca="false">IF(AND($L205=1,AND(对接源_01水果!$X205="自备筐",N(对接源_01水果!$T205)&lt;&gt;0)),1,0)</f>
        <v>0</v>
      </c>
      <c r="Y205" s="1" t="n">
        <f aca="false">N(Y204)+$X205</f>
        <v>0</v>
      </c>
      <c r="Z205" s="1" t="n">
        <f aca="false">IF(AND($M205=1,对接源_01水果!$D205="原料入库"),1,0)</f>
        <v>0</v>
      </c>
      <c r="AA205" s="1" t="n">
        <f aca="false">N(AA204)+$Z205</f>
        <v>27</v>
      </c>
      <c r="AB205" s="1" t="n">
        <f aca="false">IF(AND($M205=1,LEFT(对接源_01水果!$D205,4)="原料出库"),1,0)</f>
        <v>0</v>
      </c>
      <c r="AC205" s="1" t="n">
        <f aca="false">N(AC204)+$AB205</f>
        <v>0</v>
      </c>
      <c r="AD205" s="1" t="n">
        <f aca="false">IF(AND($M205=1,LEFT(对接源_01水果!$D205,4)="成品出库"),1,0)</f>
        <v>0</v>
      </c>
      <c r="AE205" s="1" t="n">
        <f aca="false">N(AE204)+$AD205</f>
        <v>0</v>
      </c>
      <c r="AF205" s="1" t="n">
        <f aca="false">IF(AND($N205=1,AND(LEFT(对接源_01水果!$D205,4)="包装物料",N(对接源_01水果!$K205)&lt;&gt;0)),1,0)</f>
        <v>0</v>
      </c>
      <c r="AG205" s="90" t="str">
        <f aca="false">IF(对接源_01水果!$AC205="","",对接源_01水果!$AC205)</f>
        <v/>
      </c>
      <c r="AH205" s="1" t="n">
        <f aca="false">IF(AND($N205=1,AND(LEFT(对接源_01水果!$D205,3)="周转筐",N(对接源_01水果!$K205)&lt;&gt;0)),1,0)</f>
        <v>0</v>
      </c>
      <c r="AI205" s="90" t="n">
        <f aca="false">IF(AG205="",0,IF(MATCH(AG205,$AG$4:$AG$1203,0)=ROW()-3,1,0))</f>
        <v>0</v>
      </c>
      <c r="AJ205" s="90" t="n">
        <f aca="false">N(AJ204)+AI205</f>
        <v>0</v>
      </c>
      <c r="AK205" s="1" t="n">
        <f aca="false">N(AK204)+$AJ205</f>
        <v>0</v>
      </c>
    </row>
    <row r="206" customFormat="false" ht="13.5" hidden="false" customHeight="false" outlineLevel="0" collapsed="false">
      <c r="A206" s="1" t="str">
        <f aca="false">IF(对接源_01水果!$C206="","",对接源_01水果!$C206)</f>
        <v>麦麦提</v>
      </c>
      <c r="B206" s="1" t="n">
        <f aca="false">IF(A206="",0,IF(MATCH(A206,$A$4:$A$2403,0)=ROW()-3,1,0))</f>
        <v>0</v>
      </c>
      <c r="C206" s="1" t="n">
        <f aca="false">N(C205)+B206</f>
        <v>13</v>
      </c>
      <c r="E206" s="1" t="str">
        <f aca="false">IFERROR(INDEX($A$4:$A$2403,MATCH(ROW()-3,$C$4:$C$2403,0)),"")</f>
        <v/>
      </c>
      <c r="K206" s="1" t="n">
        <f aca="false">IF(OR($K$1="",对接源_01水果!$C206="",对接源_01水果!$C206&lt;&gt;$K$1,对接源_01水果!$B206=""),0,IF(OR(N(对接源_01水果!$B206)&lt;$K$2,N(对接源_01水果!$B206)&gt;$K$3),0,1))</f>
        <v>0</v>
      </c>
      <c r="L206" s="1" t="n">
        <f aca="false">IF(OR($L$1="",对接源_01水果!$C206="",对接源_01水果!$C206&lt;&gt;$L$1,对接源_01水果!$B206=""),0,IF(OR(N(对接源_01水果!$B206)&lt;$L$2,N(对接源_01水果!$B206)&gt;$L$3),0,1))</f>
        <v>0</v>
      </c>
      <c r="M206" s="1" t="n">
        <f aca="false">IF(OR($M$1="",对接源_01水果!$C206="",对接源_01水果!$C206&lt;&gt;$M$1,对接源_01水果!$B206=""),0,IF(OR(N(对接源_01水果!$B206)&lt;$M$2,N(对接源_01水果!$B206)&gt;$M$3),0,1))</f>
        <v>0</v>
      </c>
      <c r="N206" s="1" t="n">
        <f aca="false">IF(OR($N$1="",对接源_01水果!$C206="",对接源_01水果!$C206&lt;&gt;$N$1,对接源_01水果!$B206=""),0,IF(OR(N(对接源_01水果!$B206)&lt;$N$2,N(对接源_01水果!$B206)&gt;$N$3),0,1))</f>
        <v>1</v>
      </c>
      <c r="P206" s="1" t="n">
        <f aca="false">IF(AND($K206=1,AND(对接源_01水果!$X206="公司筐",N(对接源_01水果!$T206)&lt;&gt;0)),1,0)</f>
        <v>0</v>
      </c>
      <c r="Q206" s="1" t="n">
        <f aca="false">N(Q205)+$P206</f>
        <v>0</v>
      </c>
      <c r="R206" s="1" t="n">
        <f aca="false">IF(AND($K206=1,AND(对接源_01水果!$X206="公司筐",N(对接源_01水果!$U206)&lt;&gt;0)),1,0)</f>
        <v>0</v>
      </c>
      <c r="S206" s="1" t="n">
        <f aca="false">N(S205)+$R206</f>
        <v>0</v>
      </c>
      <c r="T206" s="1" t="n">
        <f aca="false">IF(AND($K206=1,AND(对接源_01水果!$X206="公司筐",N(对接源_01水果!$V206)&lt;&gt;0)),1,0)</f>
        <v>0</v>
      </c>
      <c r="U206" s="1" t="n">
        <f aca="false">N(U205)+$T206</f>
        <v>25</v>
      </c>
      <c r="V206" s="1" t="n">
        <f aca="false">IF(AND($L206=1,AND(对接源_01水果!$X206="自备筐",N(对接源_01水果!$V206)&lt;&gt;0)),1,0)</f>
        <v>0</v>
      </c>
      <c r="W206" s="1" t="n">
        <f aca="false">N(W205)+$V206</f>
        <v>5</v>
      </c>
      <c r="X206" s="1" t="n">
        <f aca="false">IF(AND($L206=1,AND(对接源_01水果!$X206="自备筐",N(对接源_01水果!$T206)&lt;&gt;0)),1,0)</f>
        <v>0</v>
      </c>
      <c r="Y206" s="1" t="n">
        <f aca="false">N(Y205)+$X206</f>
        <v>0</v>
      </c>
      <c r="Z206" s="1" t="n">
        <f aca="false">IF(AND($M206=1,对接源_01水果!$D206="原料入库"),1,0)</f>
        <v>0</v>
      </c>
      <c r="AA206" s="1" t="n">
        <f aca="false">N(AA205)+$Z206</f>
        <v>27</v>
      </c>
      <c r="AB206" s="1" t="n">
        <f aca="false">IF(AND($M206=1,LEFT(对接源_01水果!$D206,4)="原料出库"),1,0)</f>
        <v>0</v>
      </c>
      <c r="AC206" s="1" t="n">
        <f aca="false">N(AC205)+$AB206</f>
        <v>0</v>
      </c>
      <c r="AD206" s="1" t="n">
        <f aca="false">IF(AND($M206=1,LEFT(对接源_01水果!$D206,4)="成品出库"),1,0)</f>
        <v>0</v>
      </c>
      <c r="AE206" s="1" t="n">
        <f aca="false">N(AE205)+$AD206</f>
        <v>0</v>
      </c>
      <c r="AF206" s="1" t="n">
        <f aca="false">IF(AND($N206=1,AND(LEFT(对接源_01水果!$D206,4)="包装物料",N(对接源_01水果!$K206)&lt;&gt;0)),1,0)</f>
        <v>0</v>
      </c>
      <c r="AG206" s="90" t="str">
        <f aca="false">IF(对接源_01水果!$AC206="","",对接源_01水果!$AC206)</f>
        <v/>
      </c>
      <c r="AH206" s="1" t="n">
        <f aca="false">IF(AND($N206=1,AND(LEFT(对接源_01水果!$D206,3)="周转筐",N(对接源_01水果!$K206)&lt;&gt;0)),1,0)</f>
        <v>0</v>
      </c>
      <c r="AI206" s="90" t="n">
        <f aca="false">IF(AG206="",0,IF(MATCH(AG206,$AG$4:$AG$1203,0)=ROW()-3,1,0))</f>
        <v>0</v>
      </c>
      <c r="AJ206" s="90" t="n">
        <f aca="false">N(AJ205)+AI206</f>
        <v>0</v>
      </c>
      <c r="AK206" s="1" t="n">
        <f aca="false">N(AK205)+$AJ206</f>
        <v>0</v>
      </c>
    </row>
    <row r="207" customFormat="false" ht="13.5" hidden="false" customHeight="false" outlineLevel="0" collapsed="false">
      <c r="A207" s="1" t="str">
        <f aca="false">IF(对接源_01水果!$C207="","",对接源_01水果!$C207)</f>
        <v>麦麦提</v>
      </c>
      <c r="B207" s="1" t="n">
        <f aca="false">IF(A207="",0,IF(MATCH(A207,$A$4:$A$2403,0)=ROW()-3,1,0))</f>
        <v>0</v>
      </c>
      <c r="C207" s="1" t="n">
        <f aca="false">N(C206)+B207</f>
        <v>13</v>
      </c>
      <c r="E207" s="1" t="str">
        <f aca="false">IFERROR(INDEX($A$4:$A$2403,MATCH(ROW()-3,$C$4:$C$2403,0)),"")</f>
        <v/>
      </c>
      <c r="K207" s="1" t="n">
        <f aca="false">IF(OR($K$1="",对接源_01水果!$C207="",对接源_01水果!$C207&lt;&gt;$K$1,对接源_01水果!$B207=""),0,IF(OR(N(对接源_01水果!$B207)&lt;$K$2,N(对接源_01水果!$B207)&gt;$K$3),0,1))</f>
        <v>0</v>
      </c>
      <c r="L207" s="1" t="n">
        <f aca="false">IF(OR($L$1="",对接源_01水果!$C207="",对接源_01水果!$C207&lt;&gt;$L$1,对接源_01水果!$B207=""),0,IF(OR(N(对接源_01水果!$B207)&lt;$L$2,N(对接源_01水果!$B207)&gt;$L$3),0,1))</f>
        <v>0</v>
      </c>
      <c r="M207" s="1" t="n">
        <f aca="false">IF(OR($M$1="",对接源_01水果!$C207="",对接源_01水果!$C207&lt;&gt;$M$1,对接源_01水果!$B207=""),0,IF(OR(N(对接源_01水果!$B207)&lt;$M$2,N(对接源_01水果!$B207)&gt;$M$3),0,1))</f>
        <v>0</v>
      </c>
      <c r="N207" s="1" t="n">
        <f aca="false">IF(OR($N$1="",对接源_01水果!$C207="",对接源_01水果!$C207&lt;&gt;$N$1,对接源_01水果!$B207=""),0,IF(OR(N(对接源_01水果!$B207)&lt;$N$2,N(对接源_01水果!$B207)&gt;$N$3),0,1))</f>
        <v>1</v>
      </c>
      <c r="P207" s="1" t="n">
        <f aca="false">IF(AND($K207=1,AND(对接源_01水果!$X207="公司筐",N(对接源_01水果!$T207)&lt;&gt;0)),1,0)</f>
        <v>0</v>
      </c>
      <c r="Q207" s="1" t="n">
        <f aca="false">N(Q206)+$P207</f>
        <v>0</v>
      </c>
      <c r="R207" s="1" t="n">
        <f aca="false">IF(AND($K207=1,AND(对接源_01水果!$X207="公司筐",N(对接源_01水果!$U207)&lt;&gt;0)),1,0)</f>
        <v>0</v>
      </c>
      <c r="S207" s="1" t="n">
        <f aca="false">N(S206)+$R207</f>
        <v>0</v>
      </c>
      <c r="T207" s="1" t="n">
        <f aca="false">IF(AND($K207=1,AND(对接源_01水果!$X207="公司筐",N(对接源_01水果!$V207)&lt;&gt;0)),1,0)</f>
        <v>0</v>
      </c>
      <c r="U207" s="1" t="n">
        <f aca="false">N(U206)+$T207</f>
        <v>25</v>
      </c>
      <c r="V207" s="1" t="n">
        <f aca="false">IF(AND($L207=1,AND(对接源_01水果!$X207="自备筐",N(对接源_01水果!$V207)&lt;&gt;0)),1,0)</f>
        <v>0</v>
      </c>
      <c r="W207" s="1" t="n">
        <f aca="false">N(W206)+$V207</f>
        <v>5</v>
      </c>
      <c r="X207" s="1" t="n">
        <f aca="false">IF(AND($L207=1,AND(对接源_01水果!$X207="自备筐",N(对接源_01水果!$T207)&lt;&gt;0)),1,0)</f>
        <v>0</v>
      </c>
      <c r="Y207" s="1" t="n">
        <f aca="false">N(Y206)+$X207</f>
        <v>0</v>
      </c>
      <c r="Z207" s="1" t="n">
        <f aca="false">IF(AND($M207=1,对接源_01水果!$D207="原料入库"),1,0)</f>
        <v>0</v>
      </c>
      <c r="AA207" s="1" t="n">
        <f aca="false">N(AA206)+$Z207</f>
        <v>27</v>
      </c>
      <c r="AB207" s="1" t="n">
        <f aca="false">IF(AND($M207=1,LEFT(对接源_01水果!$D207,4)="原料出库"),1,0)</f>
        <v>0</v>
      </c>
      <c r="AC207" s="1" t="n">
        <f aca="false">N(AC206)+$AB207</f>
        <v>0</v>
      </c>
      <c r="AD207" s="1" t="n">
        <f aca="false">IF(AND($M207=1,LEFT(对接源_01水果!$D207,4)="成品出库"),1,0)</f>
        <v>0</v>
      </c>
      <c r="AE207" s="1" t="n">
        <f aca="false">N(AE206)+$AD207</f>
        <v>0</v>
      </c>
      <c r="AF207" s="1" t="n">
        <f aca="false">IF(AND($N207=1,AND(LEFT(对接源_01水果!$D207,4)="包装物料",N(对接源_01水果!$K207)&lt;&gt;0)),1,0)</f>
        <v>0</v>
      </c>
      <c r="AG207" s="90" t="str">
        <f aca="false">IF(对接源_01水果!$AC207="","",对接源_01水果!$AC207)</f>
        <v/>
      </c>
      <c r="AH207" s="1" t="n">
        <f aca="false">IF(AND($N207=1,AND(LEFT(对接源_01水果!$D207,3)="周转筐",N(对接源_01水果!$K207)&lt;&gt;0)),1,0)</f>
        <v>0</v>
      </c>
      <c r="AI207" s="90" t="n">
        <f aca="false">IF(AG207="",0,IF(MATCH(AG207,$AG$4:$AG$1203,0)=ROW()-3,1,0))</f>
        <v>0</v>
      </c>
      <c r="AJ207" s="90" t="n">
        <f aca="false">N(AJ206)+AI207</f>
        <v>0</v>
      </c>
      <c r="AK207" s="1" t="n">
        <f aca="false">N(AK206)+$AJ207</f>
        <v>0</v>
      </c>
    </row>
    <row r="208" customFormat="false" ht="13.5" hidden="false" customHeight="false" outlineLevel="0" collapsed="false">
      <c r="A208" s="1" t="str">
        <f aca="false">IF(对接源_01水果!$C208="","",对接源_01水果!$C208)</f>
        <v>王灵云</v>
      </c>
      <c r="B208" s="1" t="n">
        <f aca="false">IF(A208="",0,IF(MATCH(A208,$A$4:$A$2403,0)=ROW()-3,1,0))</f>
        <v>0</v>
      </c>
      <c r="C208" s="1" t="n">
        <f aca="false">N(C207)+B208</f>
        <v>13</v>
      </c>
      <c r="E208" s="1" t="str">
        <f aca="false">IFERROR(INDEX($A$4:$A$2403,MATCH(ROW()-3,$C$4:$C$2403,0)),"")</f>
        <v/>
      </c>
      <c r="K208" s="1" t="n">
        <f aca="false">IF(OR($K$1="",对接源_01水果!$C208="",对接源_01水果!$C208&lt;&gt;$K$1,对接源_01水果!$B208=""),0,IF(OR(N(对接源_01水果!$B208)&lt;$K$2,N(对接源_01水果!$B208)&gt;$K$3),0,1))</f>
        <v>0</v>
      </c>
      <c r="L208" s="1" t="n">
        <f aca="false">IF(OR($L$1="",对接源_01水果!$C208="",对接源_01水果!$C208&lt;&gt;$L$1,对接源_01水果!$B208=""),0,IF(OR(N(对接源_01水果!$B208)&lt;$L$2,N(对接源_01水果!$B208)&gt;$L$3),0,1))</f>
        <v>0</v>
      </c>
      <c r="M208" s="1" t="n">
        <f aca="false">IF(OR($M$1="",对接源_01水果!$C208="",对接源_01水果!$C208&lt;&gt;$M$1,对接源_01水果!$B208=""),0,IF(OR(N(对接源_01水果!$B208)&lt;$M$2,N(对接源_01水果!$B208)&gt;$M$3),0,1))</f>
        <v>0</v>
      </c>
      <c r="N208" s="1" t="n">
        <f aca="false">IF(OR($N$1="",对接源_01水果!$C208="",对接源_01水果!$C208&lt;&gt;$N$1,对接源_01水果!$B208=""),0,IF(OR(N(对接源_01水果!$B208)&lt;$N$2,N(对接源_01水果!$B208)&gt;$N$3),0,1))</f>
        <v>0</v>
      </c>
      <c r="P208" s="1" t="n">
        <f aca="false">IF(AND($K208=1,AND(对接源_01水果!$X208="公司筐",N(对接源_01水果!$T208)&lt;&gt;0)),1,0)</f>
        <v>0</v>
      </c>
      <c r="Q208" s="1" t="n">
        <f aca="false">N(Q207)+$P208</f>
        <v>0</v>
      </c>
      <c r="R208" s="1" t="n">
        <f aca="false">IF(AND($K208=1,AND(对接源_01水果!$X208="公司筐",N(对接源_01水果!$U208)&lt;&gt;0)),1,0)</f>
        <v>0</v>
      </c>
      <c r="S208" s="1" t="n">
        <f aca="false">N(S207)+$R208</f>
        <v>0</v>
      </c>
      <c r="T208" s="1" t="n">
        <f aca="false">IF(AND($K208=1,AND(对接源_01水果!$X208="公司筐",N(对接源_01水果!$V208)&lt;&gt;0)),1,0)</f>
        <v>0</v>
      </c>
      <c r="U208" s="1" t="n">
        <f aca="false">N(U207)+$T208</f>
        <v>25</v>
      </c>
      <c r="V208" s="1" t="n">
        <f aca="false">IF(AND($L208=1,AND(对接源_01水果!$X208="自备筐",N(对接源_01水果!$V208)&lt;&gt;0)),1,0)</f>
        <v>0</v>
      </c>
      <c r="W208" s="1" t="n">
        <f aca="false">N(W207)+$V208</f>
        <v>5</v>
      </c>
      <c r="X208" s="1" t="n">
        <f aca="false">IF(AND($L208=1,AND(对接源_01水果!$X208="自备筐",N(对接源_01水果!$T208)&lt;&gt;0)),1,0)</f>
        <v>0</v>
      </c>
      <c r="Y208" s="1" t="n">
        <f aca="false">N(Y207)+$X208</f>
        <v>0</v>
      </c>
      <c r="Z208" s="1" t="n">
        <f aca="false">IF(AND($M208=1,对接源_01水果!$D208="原料入库"),1,0)</f>
        <v>0</v>
      </c>
      <c r="AA208" s="1" t="n">
        <f aca="false">N(AA207)+$Z208</f>
        <v>27</v>
      </c>
      <c r="AB208" s="1" t="n">
        <f aca="false">IF(AND($M208=1,LEFT(对接源_01水果!$D208,4)="原料出库"),1,0)</f>
        <v>0</v>
      </c>
      <c r="AC208" s="1" t="n">
        <f aca="false">N(AC207)+$AB208</f>
        <v>0</v>
      </c>
      <c r="AD208" s="1" t="n">
        <f aca="false">IF(AND($M208=1,LEFT(对接源_01水果!$D208,4)="成品出库"),1,0)</f>
        <v>0</v>
      </c>
      <c r="AE208" s="1" t="n">
        <f aca="false">N(AE207)+$AD208</f>
        <v>0</v>
      </c>
      <c r="AF208" s="1" t="n">
        <f aca="false">IF(AND($N208=1,AND(LEFT(对接源_01水果!$D208,4)="包装物料",N(对接源_01水果!$K208)&lt;&gt;0)),1,0)</f>
        <v>0</v>
      </c>
      <c r="AG208" s="90" t="str">
        <f aca="false">IF(对接源_01水果!$AC208="","",对接源_01水果!$AC208)</f>
        <v/>
      </c>
      <c r="AH208" s="1" t="n">
        <f aca="false">IF(AND($N208=1,AND(LEFT(对接源_01水果!$D208,3)="周转筐",N(对接源_01水果!$K208)&lt;&gt;0)),1,0)</f>
        <v>0</v>
      </c>
      <c r="AI208" s="90" t="n">
        <f aca="false">IF(AG208="",0,IF(MATCH(AG208,$AG$4:$AG$1203,0)=ROW()-3,1,0))</f>
        <v>0</v>
      </c>
      <c r="AJ208" s="90" t="n">
        <f aca="false">N(AJ207)+AI208</f>
        <v>0</v>
      </c>
      <c r="AK208" s="1" t="n">
        <f aca="false">N(AK207)+$AJ208</f>
        <v>0</v>
      </c>
    </row>
    <row r="209" customFormat="false" ht="13.5" hidden="false" customHeight="false" outlineLevel="0" collapsed="false">
      <c r="A209" s="1" t="str">
        <f aca="false">IF(对接源_01水果!$C209="","",对接源_01水果!$C209)</f>
        <v>王灵云</v>
      </c>
      <c r="B209" s="1" t="n">
        <f aca="false">IF(A209="",0,IF(MATCH(A209,$A$4:$A$2403,0)=ROW()-3,1,0))</f>
        <v>0</v>
      </c>
      <c r="C209" s="1" t="n">
        <f aca="false">N(C208)+B209</f>
        <v>13</v>
      </c>
      <c r="E209" s="1" t="str">
        <f aca="false">IFERROR(INDEX($A$4:$A$2403,MATCH(ROW()-3,$C$4:$C$2403,0)),"")</f>
        <v/>
      </c>
      <c r="K209" s="1" t="n">
        <f aca="false">IF(OR($K$1="",对接源_01水果!$C209="",对接源_01水果!$C209&lt;&gt;$K$1,对接源_01水果!$B209=""),0,IF(OR(N(对接源_01水果!$B209)&lt;$K$2,N(对接源_01水果!$B209)&gt;$K$3),0,1))</f>
        <v>0</v>
      </c>
      <c r="L209" s="1" t="n">
        <f aca="false">IF(OR($L$1="",对接源_01水果!$C209="",对接源_01水果!$C209&lt;&gt;$L$1,对接源_01水果!$B209=""),0,IF(OR(N(对接源_01水果!$B209)&lt;$L$2,N(对接源_01水果!$B209)&gt;$L$3),0,1))</f>
        <v>0</v>
      </c>
      <c r="M209" s="1" t="n">
        <f aca="false">IF(OR($M$1="",对接源_01水果!$C209="",对接源_01水果!$C209&lt;&gt;$M$1,对接源_01水果!$B209=""),0,IF(OR(N(对接源_01水果!$B209)&lt;$M$2,N(对接源_01水果!$B209)&gt;$M$3),0,1))</f>
        <v>0</v>
      </c>
      <c r="N209" s="1" t="n">
        <f aca="false">IF(OR($N$1="",对接源_01水果!$C209="",对接源_01水果!$C209&lt;&gt;$N$1,对接源_01水果!$B209=""),0,IF(OR(N(对接源_01水果!$B209)&lt;$N$2,N(对接源_01水果!$B209)&gt;$N$3),0,1))</f>
        <v>0</v>
      </c>
      <c r="P209" s="1" t="n">
        <f aca="false">IF(AND($K209=1,AND(对接源_01水果!$X209="公司筐",N(对接源_01水果!$T209)&lt;&gt;0)),1,0)</f>
        <v>0</v>
      </c>
      <c r="Q209" s="1" t="n">
        <f aca="false">N(Q208)+$P209</f>
        <v>0</v>
      </c>
      <c r="R209" s="1" t="n">
        <f aca="false">IF(AND($K209=1,AND(对接源_01水果!$X209="公司筐",N(对接源_01水果!$U209)&lt;&gt;0)),1,0)</f>
        <v>0</v>
      </c>
      <c r="S209" s="1" t="n">
        <f aca="false">N(S208)+$R209</f>
        <v>0</v>
      </c>
      <c r="T209" s="1" t="n">
        <f aca="false">IF(AND($K209=1,AND(对接源_01水果!$X209="公司筐",N(对接源_01水果!$V209)&lt;&gt;0)),1,0)</f>
        <v>0</v>
      </c>
      <c r="U209" s="1" t="n">
        <f aca="false">N(U208)+$T209</f>
        <v>25</v>
      </c>
      <c r="V209" s="1" t="n">
        <f aca="false">IF(AND($L209=1,AND(对接源_01水果!$X209="自备筐",N(对接源_01水果!$V209)&lt;&gt;0)),1,0)</f>
        <v>0</v>
      </c>
      <c r="W209" s="1" t="n">
        <f aca="false">N(W208)+$V209</f>
        <v>5</v>
      </c>
      <c r="X209" s="1" t="n">
        <f aca="false">IF(AND($L209=1,AND(对接源_01水果!$X209="自备筐",N(对接源_01水果!$T209)&lt;&gt;0)),1,0)</f>
        <v>0</v>
      </c>
      <c r="Y209" s="1" t="n">
        <f aca="false">N(Y208)+$X209</f>
        <v>0</v>
      </c>
      <c r="Z209" s="1" t="n">
        <f aca="false">IF(AND($M209=1,对接源_01水果!$D209="原料入库"),1,0)</f>
        <v>0</v>
      </c>
      <c r="AA209" s="1" t="n">
        <f aca="false">N(AA208)+$Z209</f>
        <v>27</v>
      </c>
      <c r="AB209" s="1" t="n">
        <f aca="false">IF(AND($M209=1,LEFT(对接源_01水果!$D209,4)="原料出库"),1,0)</f>
        <v>0</v>
      </c>
      <c r="AC209" s="1" t="n">
        <f aca="false">N(AC208)+$AB209</f>
        <v>0</v>
      </c>
      <c r="AD209" s="1" t="n">
        <f aca="false">IF(AND($M209=1,LEFT(对接源_01水果!$D209,4)="成品出库"),1,0)</f>
        <v>0</v>
      </c>
      <c r="AE209" s="1" t="n">
        <f aca="false">N(AE208)+$AD209</f>
        <v>0</v>
      </c>
      <c r="AF209" s="1" t="n">
        <f aca="false">IF(AND($N209=1,AND(LEFT(对接源_01水果!$D209,4)="包装物料",N(对接源_01水果!$K209)&lt;&gt;0)),1,0)</f>
        <v>0</v>
      </c>
      <c r="AG209" s="90" t="str">
        <f aca="false">IF(对接源_01水果!$AC209="","",对接源_01水果!$AC209)</f>
        <v/>
      </c>
      <c r="AH209" s="1" t="n">
        <f aca="false">IF(AND($N209=1,AND(LEFT(对接源_01水果!$D209,3)="周转筐",N(对接源_01水果!$K209)&lt;&gt;0)),1,0)</f>
        <v>0</v>
      </c>
      <c r="AI209" s="90" t="n">
        <f aca="false">IF(AG209="",0,IF(MATCH(AG209,$AG$4:$AG$1203,0)=ROW()-3,1,0))</f>
        <v>0</v>
      </c>
      <c r="AJ209" s="90" t="n">
        <f aca="false">N(AJ208)+AI209</f>
        <v>0</v>
      </c>
      <c r="AK209" s="1" t="n">
        <f aca="false">N(AK208)+$AJ209</f>
        <v>0</v>
      </c>
    </row>
    <row r="210" customFormat="false" ht="13.5" hidden="false" customHeight="false" outlineLevel="0" collapsed="false">
      <c r="A210" s="1" t="str">
        <f aca="false">IF(对接源_01水果!$C210="","",对接源_01水果!$C210)</f>
        <v>王灵云</v>
      </c>
      <c r="B210" s="1" t="n">
        <f aca="false">IF(A210="",0,IF(MATCH(A210,$A$4:$A$2403,0)=ROW()-3,1,0))</f>
        <v>0</v>
      </c>
      <c r="C210" s="1" t="n">
        <f aca="false">N(C209)+B210</f>
        <v>13</v>
      </c>
      <c r="E210" s="1" t="str">
        <f aca="false">IFERROR(INDEX($A$4:$A$2403,MATCH(ROW()-3,$C$4:$C$2403,0)),"")</f>
        <v/>
      </c>
      <c r="K210" s="1" t="n">
        <f aca="false">IF(OR($K$1="",对接源_01水果!$C210="",对接源_01水果!$C210&lt;&gt;$K$1,对接源_01水果!$B210=""),0,IF(OR(N(对接源_01水果!$B210)&lt;$K$2,N(对接源_01水果!$B210)&gt;$K$3),0,1))</f>
        <v>0</v>
      </c>
      <c r="L210" s="1" t="n">
        <f aca="false">IF(OR($L$1="",对接源_01水果!$C210="",对接源_01水果!$C210&lt;&gt;$L$1,对接源_01水果!$B210=""),0,IF(OR(N(对接源_01水果!$B210)&lt;$L$2,N(对接源_01水果!$B210)&gt;$L$3),0,1))</f>
        <v>0</v>
      </c>
      <c r="M210" s="1" t="n">
        <f aca="false">IF(OR($M$1="",对接源_01水果!$C210="",对接源_01水果!$C210&lt;&gt;$M$1,对接源_01水果!$B210=""),0,IF(OR(N(对接源_01水果!$B210)&lt;$M$2,N(对接源_01水果!$B210)&gt;$M$3),0,1))</f>
        <v>0</v>
      </c>
      <c r="N210" s="1" t="n">
        <f aca="false">IF(OR($N$1="",对接源_01水果!$C210="",对接源_01水果!$C210&lt;&gt;$N$1,对接源_01水果!$B210=""),0,IF(OR(N(对接源_01水果!$B210)&lt;$N$2,N(对接源_01水果!$B210)&gt;$N$3),0,1))</f>
        <v>0</v>
      </c>
      <c r="P210" s="1" t="n">
        <f aca="false">IF(AND($K210=1,AND(对接源_01水果!$X210="公司筐",N(对接源_01水果!$T210)&lt;&gt;0)),1,0)</f>
        <v>0</v>
      </c>
      <c r="Q210" s="1" t="n">
        <f aca="false">N(Q209)+$P210</f>
        <v>0</v>
      </c>
      <c r="R210" s="1" t="n">
        <f aca="false">IF(AND($K210=1,AND(对接源_01水果!$X210="公司筐",N(对接源_01水果!$U210)&lt;&gt;0)),1,0)</f>
        <v>0</v>
      </c>
      <c r="S210" s="1" t="n">
        <f aca="false">N(S209)+$R210</f>
        <v>0</v>
      </c>
      <c r="T210" s="1" t="n">
        <f aca="false">IF(AND($K210=1,AND(对接源_01水果!$X210="公司筐",N(对接源_01水果!$V210)&lt;&gt;0)),1,0)</f>
        <v>0</v>
      </c>
      <c r="U210" s="1" t="n">
        <f aca="false">N(U209)+$T210</f>
        <v>25</v>
      </c>
      <c r="V210" s="1" t="n">
        <f aca="false">IF(AND($L210=1,AND(对接源_01水果!$X210="自备筐",N(对接源_01水果!$V210)&lt;&gt;0)),1,0)</f>
        <v>0</v>
      </c>
      <c r="W210" s="1" t="n">
        <f aca="false">N(W209)+$V210</f>
        <v>5</v>
      </c>
      <c r="X210" s="1" t="n">
        <f aca="false">IF(AND($L210=1,AND(对接源_01水果!$X210="自备筐",N(对接源_01水果!$T210)&lt;&gt;0)),1,0)</f>
        <v>0</v>
      </c>
      <c r="Y210" s="1" t="n">
        <f aca="false">N(Y209)+$X210</f>
        <v>0</v>
      </c>
      <c r="Z210" s="1" t="n">
        <f aca="false">IF(AND($M210=1,对接源_01水果!$D210="原料入库"),1,0)</f>
        <v>0</v>
      </c>
      <c r="AA210" s="1" t="n">
        <f aca="false">N(AA209)+$Z210</f>
        <v>27</v>
      </c>
      <c r="AB210" s="1" t="n">
        <f aca="false">IF(AND($M210=1,LEFT(对接源_01水果!$D210,4)="原料出库"),1,0)</f>
        <v>0</v>
      </c>
      <c r="AC210" s="1" t="n">
        <f aca="false">N(AC209)+$AB210</f>
        <v>0</v>
      </c>
      <c r="AD210" s="1" t="n">
        <f aca="false">IF(AND($M210=1,LEFT(对接源_01水果!$D210,4)="成品出库"),1,0)</f>
        <v>0</v>
      </c>
      <c r="AE210" s="1" t="n">
        <f aca="false">N(AE209)+$AD210</f>
        <v>0</v>
      </c>
      <c r="AF210" s="1" t="n">
        <f aca="false">IF(AND($N210=1,AND(LEFT(对接源_01水果!$D210,4)="包装物料",N(对接源_01水果!$K210)&lt;&gt;0)),1,0)</f>
        <v>0</v>
      </c>
      <c r="AG210" s="90" t="str">
        <f aca="false">IF(对接源_01水果!$AC210="","",对接源_01水果!$AC210)</f>
        <v/>
      </c>
      <c r="AH210" s="1" t="n">
        <f aca="false">IF(AND($N210=1,AND(LEFT(对接源_01水果!$D210,3)="周转筐",N(对接源_01水果!$K210)&lt;&gt;0)),1,0)</f>
        <v>0</v>
      </c>
      <c r="AI210" s="90" t="n">
        <f aca="false">IF(AG210="",0,IF(MATCH(AG210,$AG$4:$AG$1203,0)=ROW()-3,1,0))</f>
        <v>0</v>
      </c>
      <c r="AJ210" s="90" t="n">
        <f aca="false">N(AJ209)+AI210</f>
        <v>0</v>
      </c>
      <c r="AK210" s="1" t="n">
        <f aca="false">N(AK209)+$AJ210</f>
        <v>0</v>
      </c>
    </row>
    <row r="211" customFormat="false" ht="13.5" hidden="false" customHeight="false" outlineLevel="0" collapsed="false">
      <c r="A211" s="1" t="str">
        <f aca="false">IF(对接源_01水果!$C211="","",对接源_01水果!$C211)</f>
        <v>贾建国</v>
      </c>
      <c r="B211" s="1" t="n">
        <f aca="false">IF(A211="",0,IF(MATCH(A211,$A$4:$A$2403,0)=ROW()-3,1,0))</f>
        <v>0</v>
      </c>
      <c r="C211" s="1" t="n">
        <f aca="false">N(C210)+B211</f>
        <v>13</v>
      </c>
      <c r="E211" s="1" t="str">
        <f aca="false">IFERROR(INDEX($A$4:$A$2403,MATCH(ROW()-3,$C$4:$C$2403,0)),"")</f>
        <v/>
      </c>
      <c r="K211" s="1" t="n">
        <f aca="false">IF(OR($K$1="",对接源_01水果!$C211="",对接源_01水果!$C211&lt;&gt;$K$1,对接源_01水果!$B211=""),0,IF(OR(N(对接源_01水果!$B211)&lt;$K$2,N(对接源_01水果!$B211)&gt;$K$3),0,1))</f>
        <v>0</v>
      </c>
      <c r="L211" s="1" t="n">
        <f aca="false">IF(OR($L$1="",对接源_01水果!$C211="",对接源_01水果!$C211&lt;&gt;$L$1,对接源_01水果!$B211=""),0,IF(OR(N(对接源_01水果!$B211)&lt;$L$2,N(对接源_01水果!$B211)&gt;$L$3),0,1))</f>
        <v>1</v>
      </c>
      <c r="M211" s="1" t="n">
        <f aca="false">IF(OR($M$1="",对接源_01水果!$C211="",对接源_01水果!$C211&lt;&gt;$M$1,对接源_01水果!$B211=""),0,IF(OR(N(对接源_01水果!$B211)&lt;$M$2,N(对接源_01水果!$B211)&gt;$M$3),0,1))</f>
        <v>0</v>
      </c>
      <c r="N211" s="1" t="n">
        <f aca="false">IF(OR($N$1="",对接源_01水果!$C211="",对接源_01水果!$C211&lt;&gt;$N$1,对接源_01水果!$B211=""),0,IF(OR(N(对接源_01水果!$B211)&lt;$N$2,N(对接源_01水果!$B211)&gt;$N$3),0,1))</f>
        <v>0</v>
      </c>
      <c r="P211" s="1" t="n">
        <f aca="false">IF(AND($K211=1,AND(对接源_01水果!$X211="公司筐",N(对接源_01水果!$T211)&lt;&gt;0)),1,0)</f>
        <v>0</v>
      </c>
      <c r="Q211" s="1" t="n">
        <f aca="false">N(Q210)+$P211</f>
        <v>0</v>
      </c>
      <c r="R211" s="1" t="n">
        <f aca="false">IF(AND($K211=1,AND(对接源_01水果!$X211="公司筐",N(对接源_01水果!$U211)&lt;&gt;0)),1,0)</f>
        <v>0</v>
      </c>
      <c r="S211" s="1" t="n">
        <f aca="false">N(S210)+$R211</f>
        <v>0</v>
      </c>
      <c r="T211" s="1" t="n">
        <f aca="false">IF(AND($K211=1,AND(对接源_01水果!$X211="公司筐",N(对接源_01水果!$V211)&lt;&gt;0)),1,0)</f>
        <v>0</v>
      </c>
      <c r="U211" s="1" t="n">
        <f aca="false">N(U210)+$T211</f>
        <v>25</v>
      </c>
      <c r="V211" s="1" t="n">
        <f aca="false">IF(AND($L211=1,AND(对接源_01水果!$X211="自备筐",N(对接源_01水果!$V211)&lt;&gt;0)),1,0)</f>
        <v>1</v>
      </c>
      <c r="W211" s="1" t="n">
        <f aca="false">N(W210)+$V211</f>
        <v>6</v>
      </c>
      <c r="X211" s="1" t="n">
        <f aca="false">IF(AND($L211=1,AND(对接源_01水果!$X211="自备筐",N(对接源_01水果!$T211)&lt;&gt;0)),1,0)</f>
        <v>0</v>
      </c>
      <c r="Y211" s="1" t="n">
        <f aca="false">N(Y210)+$X211</f>
        <v>0</v>
      </c>
      <c r="Z211" s="1" t="n">
        <f aca="false">IF(AND($M211=1,对接源_01水果!$D211="原料入库"),1,0)</f>
        <v>0</v>
      </c>
      <c r="AA211" s="1" t="n">
        <f aca="false">N(AA210)+$Z211</f>
        <v>27</v>
      </c>
      <c r="AB211" s="1" t="n">
        <f aca="false">IF(AND($M211=1,LEFT(对接源_01水果!$D211,4)="原料出库"),1,0)</f>
        <v>0</v>
      </c>
      <c r="AC211" s="1" t="n">
        <f aca="false">N(AC210)+$AB211</f>
        <v>0</v>
      </c>
      <c r="AD211" s="1" t="n">
        <f aca="false">IF(AND($M211=1,LEFT(对接源_01水果!$D211,4)="成品出库"),1,0)</f>
        <v>0</v>
      </c>
      <c r="AE211" s="1" t="n">
        <f aca="false">N(AE210)+$AD211</f>
        <v>0</v>
      </c>
      <c r="AF211" s="1" t="n">
        <f aca="false">IF(AND($N211=1,AND(LEFT(对接源_01水果!$D211,4)="包装物料",N(对接源_01水果!$K211)&lt;&gt;0)),1,0)</f>
        <v>0</v>
      </c>
      <c r="AG211" s="90" t="str">
        <f aca="false">IF(对接源_01水果!$AC211="","",对接源_01水果!$AC211)</f>
        <v/>
      </c>
      <c r="AH211" s="1" t="n">
        <f aca="false">IF(AND($N211=1,AND(LEFT(对接源_01水果!$D211,3)="周转筐",N(对接源_01水果!$K211)&lt;&gt;0)),1,0)</f>
        <v>0</v>
      </c>
      <c r="AI211" s="90" t="n">
        <f aca="false">IF(AG211="",0,IF(MATCH(AG211,$AG$4:$AG$1203,0)=ROW()-3,1,0))</f>
        <v>0</v>
      </c>
      <c r="AJ211" s="90" t="n">
        <f aca="false">N(AJ210)+AI211</f>
        <v>0</v>
      </c>
      <c r="AK211" s="1" t="n">
        <f aca="false">N(AK210)+$AJ211</f>
        <v>0</v>
      </c>
    </row>
    <row r="212" customFormat="false" ht="13.5" hidden="false" customHeight="false" outlineLevel="0" collapsed="false">
      <c r="A212" s="1" t="str">
        <f aca="false">IF(对接源_01水果!$C212="","",对接源_01水果!$C212)</f>
        <v>贾建国</v>
      </c>
      <c r="B212" s="1" t="n">
        <f aca="false">IF(A212="",0,IF(MATCH(A212,$A$4:$A$2403,0)=ROW()-3,1,0))</f>
        <v>0</v>
      </c>
      <c r="C212" s="1" t="n">
        <f aca="false">N(C211)+B212</f>
        <v>13</v>
      </c>
      <c r="E212" s="1" t="str">
        <f aca="false">IFERROR(INDEX($A$4:$A$2403,MATCH(ROW()-3,$C$4:$C$2403,0)),"")</f>
        <v/>
      </c>
      <c r="K212" s="1" t="n">
        <f aca="false">IF(OR($K$1="",对接源_01水果!$C212="",对接源_01水果!$C212&lt;&gt;$K$1,对接源_01水果!$B212=""),0,IF(OR(N(对接源_01水果!$B212)&lt;$K$2,N(对接源_01水果!$B212)&gt;$K$3),0,1))</f>
        <v>0</v>
      </c>
      <c r="L212" s="1" t="n">
        <f aca="false">IF(OR($L$1="",对接源_01水果!$C212="",对接源_01水果!$C212&lt;&gt;$L$1,对接源_01水果!$B212=""),0,IF(OR(N(对接源_01水果!$B212)&lt;$L$2,N(对接源_01水果!$B212)&gt;$L$3),0,1))</f>
        <v>1</v>
      </c>
      <c r="M212" s="1" t="n">
        <f aca="false">IF(OR($M$1="",对接源_01水果!$C212="",对接源_01水果!$C212&lt;&gt;$M$1,对接源_01水果!$B212=""),0,IF(OR(N(对接源_01水果!$B212)&lt;$M$2,N(对接源_01水果!$B212)&gt;$M$3),0,1))</f>
        <v>0</v>
      </c>
      <c r="N212" s="1" t="n">
        <f aca="false">IF(OR($N$1="",对接源_01水果!$C212="",对接源_01水果!$C212&lt;&gt;$N$1,对接源_01水果!$B212=""),0,IF(OR(N(对接源_01水果!$B212)&lt;$N$2,N(对接源_01水果!$B212)&gt;$N$3),0,1))</f>
        <v>0</v>
      </c>
      <c r="P212" s="1" t="n">
        <f aca="false">IF(AND($K212=1,AND(对接源_01水果!$X212="公司筐",N(对接源_01水果!$T212)&lt;&gt;0)),1,0)</f>
        <v>0</v>
      </c>
      <c r="Q212" s="1" t="n">
        <f aca="false">N(Q211)+$P212</f>
        <v>0</v>
      </c>
      <c r="R212" s="1" t="n">
        <f aca="false">IF(AND($K212=1,AND(对接源_01水果!$X212="公司筐",N(对接源_01水果!$U212)&lt;&gt;0)),1,0)</f>
        <v>0</v>
      </c>
      <c r="S212" s="1" t="n">
        <f aca="false">N(S211)+$R212</f>
        <v>0</v>
      </c>
      <c r="T212" s="1" t="n">
        <f aca="false">IF(AND($K212=1,AND(对接源_01水果!$X212="公司筐",N(对接源_01水果!$V212)&lt;&gt;0)),1,0)</f>
        <v>0</v>
      </c>
      <c r="U212" s="1" t="n">
        <f aca="false">N(U211)+$T212</f>
        <v>25</v>
      </c>
      <c r="V212" s="1" t="n">
        <f aca="false">IF(AND($L212=1,AND(对接源_01水果!$X212="自备筐",N(对接源_01水果!$V212)&lt;&gt;0)),1,0)</f>
        <v>1</v>
      </c>
      <c r="W212" s="1" t="n">
        <f aca="false">N(W211)+$V212</f>
        <v>7</v>
      </c>
      <c r="X212" s="1" t="n">
        <f aca="false">IF(AND($L212=1,AND(对接源_01水果!$X212="自备筐",N(对接源_01水果!$T212)&lt;&gt;0)),1,0)</f>
        <v>0</v>
      </c>
      <c r="Y212" s="1" t="n">
        <f aca="false">N(Y211)+$X212</f>
        <v>0</v>
      </c>
      <c r="Z212" s="1" t="n">
        <f aca="false">IF(AND($M212=1,对接源_01水果!$D212="原料入库"),1,0)</f>
        <v>0</v>
      </c>
      <c r="AA212" s="1" t="n">
        <f aca="false">N(AA211)+$Z212</f>
        <v>27</v>
      </c>
      <c r="AB212" s="1" t="n">
        <f aca="false">IF(AND($M212=1,LEFT(对接源_01水果!$D212,4)="原料出库"),1,0)</f>
        <v>0</v>
      </c>
      <c r="AC212" s="1" t="n">
        <f aca="false">N(AC211)+$AB212</f>
        <v>0</v>
      </c>
      <c r="AD212" s="1" t="n">
        <f aca="false">IF(AND($M212=1,LEFT(对接源_01水果!$D212,4)="成品出库"),1,0)</f>
        <v>0</v>
      </c>
      <c r="AE212" s="1" t="n">
        <f aca="false">N(AE211)+$AD212</f>
        <v>0</v>
      </c>
      <c r="AF212" s="1" t="n">
        <f aca="false">IF(AND($N212=1,AND(LEFT(对接源_01水果!$D212,4)="包装物料",N(对接源_01水果!$K212)&lt;&gt;0)),1,0)</f>
        <v>0</v>
      </c>
      <c r="AG212" s="90" t="str">
        <f aca="false">IF(对接源_01水果!$AC212="","",对接源_01水果!$AC212)</f>
        <v/>
      </c>
      <c r="AH212" s="1" t="n">
        <f aca="false">IF(AND($N212=1,AND(LEFT(对接源_01水果!$D212,3)="周转筐",N(对接源_01水果!$K212)&lt;&gt;0)),1,0)</f>
        <v>0</v>
      </c>
      <c r="AI212" s="90" t="n">
        <f aca="false">IF(AG212="",0,IF(MATCH(AG212,$AG$4:$AG$1203,0)=ROW()-3,1,0))</f>
        <v>0</v>
      </c>
      <c r="AJ212" s="90" t="n">
        <f aca="false">N(AJ211)+AI212</f>
        <v>0</v>
      </c>
      <c r="AK212" s="1" t="n">
        <f aca="false">N(AK211)+$AJ212</f>
        <v>0</v>
      </c>
    </row>
    <row r="213" customFormat="false" ht="13.5" hidden="false" customHeight="false" outlineLevel="0" collapsed="false">
      <c r="A213" s="1" t="str">
        <f aca="false">IF(对接源_01水果!$C213="","",对接源_01水果!$C213)</f>
        <v>贾建国</v>
      </c>
      <c r="B213" s="1" t="n">
        <f aca="false">IF(A213="",0,IF(MATCH(A213,$A$4:$A$2403,0)=ROW()-3,1,0))</f>
        <v>0</v>
      </c>
      <c r="C213" s="1" t="n">
        <f aca="false">N(C212)+B213</f>
        <v>13</v>
      </c>
      <c r="E213" s="1" t="str">
        <f aca="false">IFERROR(INDEX($A$4:$A$2403,MATCH(ROW()-3,$C$4:$C$2403,0)),"")</f>
        <v/>
      </c>
      <c r="K213" s="1" t="n">
        <f aca="false">IF(OR($K$1="",对接源_01水果!$C213="",对接源_01水果!$C213&lt;&gt;$K$1,对接源_01水果!$B213=""),0,IF(OR(N(对接源_01水果!$B213)&lt;$K$2,N(对接源_01水果!$B213)&gt;$K$3),0,1))</f>
        <v>0</v>
      </c>
      <c r="L213" s="1" t="n">
        <f aca="false">IF(OR($L$1="",对接源_01水果!$C213="",对接源_01水果!$C213&lt;&gt;$L$1,对接源_01水果!$B213=""),0,IF(OR(N(对接源_01水果!$B213)&lt;$L$2,N(对接源_01水果!$B213)&gt;$L$3),0,1))</f>
        <v>1</v>
      </c>
      <c r="M213" s="1" t="n">
        <f aca="false">IF(OR($M$1="",对接源_01水果!$C213="",对接源_01水果!$C213&lt;&gt;$M$1,对接源_01水果!$B213=""),0,IF(OR(N(对接源_01水果!$B213)&lt;$M$2,N(对接源_01水果!$B213)&gt;$M$3),0,1))</f>
        <v>0</v>
      </c>
      <c r="N213" s="1" t="n">
        <f aca="false">IF(OR($N$1="",对接源_01水果!$C213="",对接源_01水果!$C213&lt;&gt;$N$1,对接源_01水果!$B213=""),0,IF(OR(N(对接源_01水果!$B213)&lt;$N$2,N(对接源_01水果!$B213)&gt;$N$3),0,1))</f>
        <v>0</v>
      </c>
      <c r="P213" s="1" t="n">
        <f aca="false">IF(AND($K213=1,AND(对接源_01水果!$X213="公司筐",N(对接源_01水果!$T213)&lt;&gt;0)),1,0)</f>
        <v>0</v>
      </c>
      <c r="Q213" s="1" t="n">
        <f aca="false">N(Q212)+$P213</f>
        <v>0</v>
      </c>
      <c r="R213" s="1" t="n">
        <f aca="false">IF(AND($K213=1,AND(对接源_01水果!$X213="公司筐",N(对接源_01水果!$U213)&lt;&gt;0)),1,0)</f>
        <v>0</v>
      </c>
      <c r="S213" s="1" t="n">
        <f aca="false">N(S212)+$R213</f>
        <v>0</v>
      </c>
      <c r="T213" s="1" t="n">
        <f aca="false">IF(AND($K213=1,AND(对接源_01水果!$X213="公司筐",N(对接源_01水果!$V213)&lt;&gt;0)),1,0)</f>
        <v>0</v>
      </c>
      <c r="U213" s="1" t="n">
        <f aca="false">N(U212)+$T213</f>
        <v>25</v>
      </c>
      <c r="V213" s="1" t="n">
        <f aca="false">IF(AND($L213=1,AND(对接源_01水果!$X213="自备筐",N(对接源_01水果!$V213)&lt;&gt;0)),1,0)</f>
        <v>0</v>
      </c>
      <c r="W213" s="1" t="n">
        <f aca="false">N(W212)+$V213</f>
        <v>7</v>
      </c>
      <c r="X213" s="1" t="n">
        <f aca="false">IF(AND($L213=1,AND(对接源_01水果!$X213="自备筐",N(对接源_01水果!$T213)&lt;&gt;0)),1,0)</f>
        <v>0</v>
      </c>
      <c r="Y213" s="1" t="n">
        <f aca="false">N(Y212)+$X213</f>
        <v>0</v>
      </c>
      <c r="Z213" s="1" t="n">
        <f aca="false">IF(AND($M213=1,对接源_01水果!$D213="原料入库"),1,0)</f>
        <v>0</v>
      </c>
      <c r="AA213" s="1" t="n">
        <f aca="false">N(AA212)+$Z213</f>
        <v>27</v>
      </c>
      <c r="AB213" s="1" t="n">
        <f aca="false">IF(AND($M213=1,LEFT(对接源_01水果!$D213,4)="原料出库"),1,0)</f>
        <v>0</v>
      </c>
      <c r="AC213" s="1" t="n">
        <f aca="false">N(AC212)+$AB213</f>
        <v>0</v>
      </c>
      <c r="AD213" s="1" t="n">
        <f aca="false">IF(AND($M213=1,LEFT(对接源_01水果!$D213,4)="成品出库"),1,0)</f>
        <v>0</v>
      </c>
      <c r="AE213" s="1" t="n">
        <f aca="false">N(AE212)+$AD213</f>
        <v>0</v>
      </c>
      <c r="AF213" s="1" t="n">
        <f aca="false">IF(AND($N213=1,AND(LEFT(对接源_01水果!$D213,4)="包装物料",N(对接源_01水果!$K213)&lt;&gt;0)),1,0)</f>
        <v>0</v>
      </c>
      <c r="AG213" s="90" t="str">
        <f aca="false">IF(对接源_01水果!$AC213="","",对接源_01水果!$AC213)</f>
        <v/>
      </c>
      <c r="AH213" s="1" t="n">
        <f aca="false">IF(AND($N213=1,AND(LEFT(对接源_01水果!$D213,3)="周转筐",N(对接源_01水果!$K213)&lt;&gt;0)),1,0)</f>
        <v>0</v>
      </c>
      <c r="AI213" s="90" t="n">
        <f aca="false">IF(AG213="",0,IF(MATCH(AG213,$AG$4:$AG$1203,0)=ROW()-3,1,0))</f>
        <v>0</v>
      </c>
      <c r="AJ213" s="90" t="n">
        <f aca="false">N(AJ212)+AI213</f>
        <v>0</v>
      </c>
      <c r="AK213" s="1" t="n">
        <f aca="false">N(AK212)+$AJ213</f>
        <v>0</v>
      </c>
    </row>
    <row r="214" customFormat="false" ht="13.5" hidden="false" customHeight="false" outlineLevel="0" collapsed="false">
      <c r="A214" s="1" t="str">
        <f aca="false">IF(对接源_01水果!$C214="","",对接源_01水果!$C214)</f>
        <v>吐尔洪</v>
      </c>
      <c r="B214" s="1" t="n">
        <f aca="false">IF(A214="",0,IF(MATCH(A214,$A$4:$A$2403,0)=ROW()-3,1,0))</f>
        <v>0</v>
      </c>
      <c r="C214" s="1" t="n">
        <f aca="false">N(C213)+B214</f>
        <v>13</v>
      </c>
      <c r="E214" s="1" t="str">
        <f aca="false">IFERROR(INDEX($A$4:$A$2403,MATCH(ROW()-3,$C$4:$C$2403,0)),"")</f>
        <v/>
      </c>
      <c r="K214" s="1" t="n">
        <f aca="false">IF(OR($K$1="",对接源_01水果!$C214="",对接源_01水果!$C214&lt;&gt;$K$1,对接源_01水果!$B214=""),0,IF(OR(N(对接源_01水果!$B214)&lt;$K$2,N(对接源_01水果!$B214)&gt;$K$3),0,1))</f>
        <v>0</v>
      </c>
      <c r="L214" s="1" t="n">
        <f aca="false">IF(OR($L$1="",对接源_01水果!$C214="",对接源_01水果!$C214&lt;&gt;$L$1,对接源_01水果!$B214=""),0,IF(OR(N(对接源_01水果!$B214)&lt;$L$2,N(对接源_01水果!$B214)&gt;$L$3),0,1))</f>
        <v>0</v>
      </c>
      <c r="M214" s="1" t="n">
        <f aca="false">IF(OR($M$1="",对接源_01水果!$C214="",对接源_01水果!$C214&lt;&gt;$M$1,对接源_01水果!$B214=""),0,IF(OR(N(对接源_01水果!$B214)&lt;$M$2,N(对接源_01水果!$B214)&gt;$M$3),0,1))</f>
        <v>0</v>
      </c>
      <c r="N214" s="1" t="n">
        <f aca="false">IF(OR($N$1="",对接源_01水果!$C214="",对接源_01水果!$C214&lt;&gt;$N$1,对接源_01水果!$B214=""),0,IF(OR(N(对接源_01水果!$B214)&lt;$N$2,N(对接源_01水果!$B214)&gt;$N$3),0,1))</f>
        <v>0</v>
      </c>
      <c r="P214" s="1" t="n">
        <f aca="false">IF(AND($K214=1,AND(对接源_01水果!$X214="公司筐",N(对接源_01水果!$T214)&lt;&gt;0)),1,0)</f>
        <v>0</v>
      </c>
      <c r="Q214" s="1" t="n">
        <f aca="false">N(Q213)+$P214</f>
        <v>0</v>
      </c>
      <c r="R214" s="1" t="n">
        <f aca="false">IF(AND($K214=1,AND(对接源_01水果!$X214="公司筐",N(对接源_01水果!$U214)&lt;&gt;0)),1,0)</f>
        <v>0</v>
      </c>
      <c r="S214" s="1" t="n">
        <f aca="false">N(S213)+$R214</f>
        <v>0</v>
      </c>
      <c r="T214" s="1" t="n">
        <f aca="false">IF(AND($K214=1,AND(对接源_01水果!$X214="公司筐",N(对接源_01水果!$V214)&lt;&gt;0)),1,0)</f>
        <v>0</v>
      </c>
      <c r="U214" s="1" t="n">
        <f aca="false">N(U213)+$T214</f>
        <v>25</v>
      </c>
      <c r="V214" s="1" t="n">
        <f aca="false">IF(AND($L214=1,AND(对接源_01水果!$X214="自备筐",N(对接源_01水果!$V214)&lt;&gt;0)),1,0)</f>
        <v>0</v>
      </c>
      <c r="W214" s="1" t="n">
        <f aca="false">N(W213)+$V214</f>
        <v>7</v>
      </c>
      <c r="X214" s="1" t="n">
        <f aca="false">IF(AND($L214=1,AND(对接源_01水果!$X214="自备筐",N(对接源_01水果!$T214)&lt;&gt;0)),1,0)</f>
        <v>0</v>
      </c>
      <c r="Y214" s="1" t="n">
        <f aca="false">N(Y213)+$X214</f>
        <v>0</v>
      </c>
      <c r="Z214" s="1" t="n">
        <f aca="false">IF(AND($M214=1,对接源_01水果!$D214="原料入库"),1,0)</f>
        <v>0</v>
      </c>
      <c r="AA214" s="1" t="n">
        <f aca="false">N(AA213)+$Z214</f>
        <v>27</v>
      </c>
      <c r="AB214" s="1" t="n">
        <f aca="false">IF(AND($M214=1,LEFT(对接源_01水果!$D214,4)="原料出库"),1,0)</f>
        <v>0</v>
      </c>
      <c r="AC214" s="1" t="n">
        <f aca="false">N(AC213)+$AB214</f>
        <v>0</v>
      </c>
      <c r="AD214" s="1" t="n">
        <f aca="false">IF(AND($M214=1,LEFT(对接源_01水果!$D214,4)="成品出库"),1,0)</f>
        <v>0</v>
      </c>
      <c r="AE214" s="1" t="n">
        <f aca="false">N(AE213)+$AD214</f>
        <v>0</v>
      </c>
      <c r="AF214" s="1" t="n">
        <f aca="false">IF(AND($N214=1,AND(LEFT(对接源_01水果!$D214,4)="包装物料",N(对接源_01水果!$K214)&lt;&gt;0)),1,0)</f>
        <v>0</v>
      </c>
      <c r="AG214" s="90" t="str">
        <f aca="false">IF(对接源_01水果!$AC214="","",对接源_01水果!$AC214)</f>
        <v/>
      </c>
      <c r="AH214" s="1" t="n">
        <f aca="false">IF(AND($N214=1,AND(LEFT(对接源_01水果!$D214,3)="周转筐",N(对接源_01水果!$K214)&lt;&gt;0)),1,0)</f>
        <v>0</v>
      </c>
      <c r="AI214" s="90" t="n">
        <f aca="false">IF(AG214="",0,IF(MATCH(AG214,$AG$4:$AG$1203,0)=ROW()-3,1,0))</f>
        <v>0</v>
      </c>
      <c r="AJ214" s="90" t="n">
        <f aca="false">N(AJ213)+AI214</f>
        <v>0</v>
      </c>
      <c r="AK214" s="1" t="n">
        <f aca="false">N(AK213)+$AJ214</f>
        <v>0</v>
      </c>
    </row>
    <row r="215" customFormat="false" ht="13.5" hidden="false" customHeight="false" outlineLevel="0" collapsed="false">
      <c r="A215" s="1" t="str">
        <f aca="false">IF(对接源_01水果!$C215="","",对接源_01水果!$C215)</f>
        <v>吐尔洪</v>
      </c>
      <c r="B215" s="1" t="n">
        <f aca="false">IF(A215="",0,IF(MATCH(A215,$A$4:$A$2403,0)=ROW()-3,1,0))</f>
        <v>0</v>
      </c>
      <c r="C215" s="1" t="n">
        <f aca="false">N(C214)+B215</f>
        <v>13</v>
      </c>
      <c r="E215" s="1" t="str">
        <f aca="false">IFERROR(INDEX($A$4:$A$2403,MATCH(ROW()-3,$C$4:$C$2403,0)),"")</f>
        <v/>
      </c>
      <c r="K215" s="1" t="n">
        <f aca="false">IF(OR($K$1="",对接源_01水果!$C215="",对接源_01水果!$C215&lt;&gt;$K$1,对接源_01水果!$B215=""),0,IF(OR(N(对接源_01水果!$B215)&lt;$K$2,N(对接源_01水果!$B215)&gt;$K$3),0,1))</f>
        <v>0</v>
      </c>
      <c r="L215" s="1" t="n">
        <f aca="false">IF(OR($L$1="",对接源_01水果!$C215="",对接源_01水果!$C215&lt;&gt;$L$1,对接源_01水果!$B215=""),0,IF(OR(N(对接源_01水果!$B215)&lt;$L$2,N(对接源_01水果!$B215)&gt;$L$3),0,1))</f>
        <v>0</v>
      </c>
      <c r="M215" s="1" t="n">
        <f aca="false">IF(OR($M$1="",对接源_01水果!$C215="",对接源_01水果!$C215&lt;&gt;$M$1,对接源_01水果!$B215=""),0,IF(OR(N(对接源_01水果!$B215)&lt;$M$2,N(对接源_01水果!$B215)&gt;$M$3),0,1))</f>
        <v>0</v>
      </c>
      <c r="N215" s="1" t="n">
        <f aca="false">IF(OR($N$1="",对接源_01水果!$C215="",对接源_01水果!$C215&lt;&gt;$N$1,对接源_01水果!$B215=""),0,IF(OR(N(对接源_01水果!$B215)&lt;$N$2,N(对接源_01水果!$B215)&gt;$N$3),0,1))</f>
        <v>0</v>
      </c>
      <c r="P215" s="1" t="n">
        <f aca="false">IF(AND($K215=1,AND(对接源_01水果!$X215="公司筐",N(对接源_01水果!$T215)&lt;&gt;0)),1,0)</f>
        <v>0</v>
      </c>
      <c r="Q215" s="1" t="n">
        <f aca="false">N(Q214)+$P215</f>
        <v>0</v>
      </c>
      <c r="R215" s="1" t="n">
        <f aca="false">IF(AND($K215=1,AND(对接源_01水果!$X215="公司筐",N(对接源_01水果!$U215)&lt;&gt;0)),1,0)</f>
        <v>0</v>
      </c>
      <c r="S215" s="1" t="n">
        <f aca="false">N(S214)+$R215</f>
        <v>0</v>
      </c>
      <c r="T215" s="1" t="n">
        <f aca="false">IF(AND($K215=1,AND(对接源_01水果!$X215="公司筐",N(对接源_01水果!$V215)&lt;&gt;0)),1,0)</f>
        <v>0</v>
      </c>
      <c r="U215" s="1" t="n">
        <f aca="false">N(U214)+$T215</f>
        <v>25</v>
      </c>
      <c r="V215" s="1" t="n">
        <f aca="false">IF(AND($L215=1,AND(对接源_01水果!$X215="自备筐",N(对接源_01水果!$V215)&lt;&gt;0)),1,0)</f>
        <v>0</v>
      </c>
      <c r="W215" s="1" t="n">
        <f aca="false">N(W214)+$V215</f>
        <v>7</v>
      </c>
      <c r="X215" s="1" t="n">
        <f aca="false">IF(AND($L215=1,AND(对接源_01水果!$X215="自备筐",N(对接源_01水果!$T215)&lt;&gt;0)),1,0)</f>
        <v>0</v>
      </c>
      <c r="Y215" s="1" t="n">
        <f aca="false">N(Y214)+$X215</f>
        <v>0</v>
      </c>
      <c r="Z215" s="1" t="n">
        <f aca="false">IF(AND($M215=1,对接源_01水果!$D215="原料入库"),1,0)</f>
        <v>0</v>
      </c>
      <c r="AA215" s="1" t="n">
        <f aca="false">N(AA214)+$Z215</f>
        <v>27</v>
      </c>
      <c r="AB215" s="1" t="n">
        <f aca="false">IF(AND($M215=1,LEFT(对接源_01水果!$D215,4)="原料出库"),1,0)</f>
        <v>0</v>
      </c>
      <c r="AC215" s="1" t="n">
        <f aca="false">N(AC214)+$AB215</f>
        <v>0</v>
      </c>
      <c r="AD215" s="1" t="n">
        <f aca="false">IF(AND($M215=1,LEFT(对接源_01水果!$D215,4)="成品出库"),1,0)</f>
        <v>0</v>
      </c>
      <c r="AE215" s="1" t="n">
        <f aca="false">N(AE214)+$AD215</f>
        <v>0</v>
      </c>
      <c r="AF215" s="1" t="n">
        <f aca="false">IF(AND($N215=1,AND(LEFT(对接源_01水果!$D215,4)="包装物料",N(对接源_01水果!$K215)&lt;&gt;0)),1,0)</f>
        <v>0</v>
      </c>
      <c r="AG215" s="90" t="str">
        <f aca="false">IF(对接源_01水果!$AC215="","",对接源_01水果!$AC215)</f>
        <v/>
      </c>
      <c r="AH215" s="1" t="n">
        <f aca="false">IF(AND($N215=1,AND(LEFT(对接源_01水果!$D215,3)="周转筐",N(对接源_01水果!$K215)&lt;&gt;0)),1,0)</f>
        <v>0</v>
      </c>
      <c r="AI215" s="90" t="n">
        <f aca="false">IF(AG215="",0,IF(MATCH(AG215,$AG$4:$AG$1203,0)=ROW()-3,1,0))</f>
        <v>0</v>
      </c>
      <c r="AJ215" s="90" t="n">
        <f aca="false">N(AJ214)+AI215</f>
        <v>0</v>
      </c>
      <c r="AK215" s="1" t="n">
        <f aca="false">N(AK214)+$AJ215</f>
        <v>0</v>
      </c>
    </row>
    <row r="216" customFormat="false" ht="13.5" hidden="false" customHeight="false" outlineLevel="0" collapsed="false">
      <c r="A216" s="1" t="str">
        <f aca="false">IF(对接源_01水果!$C216="","",对接源_01水果!$C216)</f>
        <v>吐尔洪</v>
      </c>
      <c r="B216" s="1" t="n">
        <f aca="false">IF(A216="",0,IF(MATCH(A216,$A$4:$A$2403,0)=ROW()-3,1,0))</f>
        <v>0</v>
      </c>
      <c r="C216" s="1" t="n">
        <f aca="false">N(C215)+B216</f>
        <v>13</v>
      </c>
      <c r="E216" s="1" t="str">
        <f aca="false">IFERROR(INDEX($A$4:$A$2403,MATCH(ROW()-3,$C$4:$C$2403,0)),"")</f>
        <v/>
      </c>
      <c r="K216" s="1" t="n">
        <f aca="false">IF(OR($K$1="",对接源_01水果!$C216="",对接源_01水果!$C216&lt;&gt;$K$1,对接源_01水果!$B216=""),0,IF(OR(N(对接源_01水果!$B216)&lt;$K$2,N(对接源_01水果!$B216)&gt;$K$3),0,1))</f>
        <v>0</v>
      </c>
      <c r="L216" s="1" t="n">
        <f aca="false">IF(OR($L$1="",对接源_01水果!$C216="",对接源_01水果!$C216&lt;&gt;$L$1,对接源_01水果!$B216=""),0,IF(OR(N(对接源_01水果!$B216)&lt;$L$2,N(对接源_01水果!$B216)&gt;$L$3),0,1))</f>
        <v>0</v>
      </c>
      <c r="M216" s="1" t="n">
        <f aca="false">IF(OR($M$1="",对接源_01水果!$C216="",对接源_01水果!$C216&lt;&gt;$M$1,对接源_01水果!$B216=""),0,IF(OR(N(对接源_01水果!$B216)&lt;$M$2,N(对接源_01水果!$B216)&gt;$M$3),0,1))</f>
        <v>0</v>
      </c>
      <c r="N216" s="1" t="n">
        <f aca="false">IF(OR($N$1="",对接源_01水果!$C216="",对接源_01水果!$C216&lt;&gt;$N$1,对接源_01水果!$B216=""),0,IF(OR(N(对接源_01水果!$B216)&lt;$N$2,N(对接源_01水果!$B216)&gt;$N$3),0,1))</f>
        <v>0</v>
      </c>
      <c r="P216" s="1" t="n">
        <f aca="false">IF(AND($K216=1,AND(对接源_01水果!$X216="公司筐",N(对接源_01水果!$T216)&lt;&gt;0)),1,0)</f>
        <v>0</v>
      </c>
      <c r="Q216" s="1" t="n">
        <f aca="false">N(Q215)+$P216</f>
        <v>0</v>
      </c>
      <c r="R216" s="1" t="n">
        <f aca="false">IF(AND($K216=1,AND(对接源_01水果!$X216="公司筐",N(对接源_01水果!$U216)&lt;&gt;0)),1,0)</f>
        <v>0</v>
      </c>
      <c r="S216" s="1" t="n">
        <f aca="false">N(S215)+$R216</f>
        <v>0</v>
      </c>
      <c r="T216" s="1" t="n">
        <f aca="false">IF(AND($K216=1,AND(对接源_01水果!$X216="公司筐",N(对接源_01水果!$V216)&lt;&gt;0)),1,0)</f>
        <v>0</v>
      </c>
      <c r="U216" s="1" t="n">
        <f aca="false">N(U215)+$T216</f>
        <v>25</v>
      </c>
      <c r="V216" s="1" t="n">
        <f aca="false">IF(AND($L216=1,AND(对接源_01水果!$X216="自备筐",N(对接源_01水果!$V216)&lt;&gt;0)),1,0)</f>
        <v>0</v>
      </c>
      <c r="W216" s="1" t="n">
        <f aca="false">N(W215)+$V216</f>
        <v>7</v>
      </c>
      <c r="X216" s="1" t="n">
        <f aca="false">IF(AND($L216=1,AND(对接源_01水果!$X216="自备筐",N(对接源_01水果!$T216)&lt;&gt;0)),1,0)</f>
        <v>0</v>
      </c>
      <c r="Y216" s="1" t="n">
        <f aca="false">N(Y215)+$X216</f>
        <v>0</v>
      </c>
      <c r="Z216" s="1" t="n">
        <f aca="false">IF(AND($M216=1,对接源_01水果!$D216="原料入库"),1,0)</f>
        <v>0</v>
      </c>
      <c r="AA216" s="1" t="n">
        <f aca="false">N(AA215)+$Z216</f>
        <v>27</v>
      </c>
      <c r="AB216" s="1" t="n">
        <f aca="false">IF(AND($M216=1,LEFT(对接源_01水果!$D216,4)="原料出库"),1,0)</f>
        <v>0</v>
      </c>
      <c r="AC216" s="1" t="n">
        <f aca="false">N(AC215)+$AB216</f>
        <v>0</v>
      </c>
      <c r="AD216" s="1" t="n">
        <f aca="false">IF(AND($M216=1,LEFT(对接源_01水果!$D216,4)="成品出库"),1,0)</f>
        <v>0</v>
      </c>
      <c r="AE216" s="1" t="n">
        <f aca="false">N(AE215)+$AD216</f>
        <v>0</v>
      </c>
      <c r="AF216" s="1" t="n">
        <f aca="false">IF(AND($N216=1,AND(LEFT(对接源_01水果!$D216,4)="包装物料",N(对接源_01水果!$K216)&lt;&gt;0)),1,0)</f>
        <v>0</v>
      </c>
      <c r="AG216" s="90" t="str">
        <f aca="false">IF(对接源_01水果!$AC216="","",对接源_01水果!$AC216)</f>
        <v/>
      </c>
      <c r="AH216" s="1" t="n">
        <f aca="false">IF(AND($N216=1,AND(LEFT(对接源_01水果!$D216,3)="周转筐",N(对接源_01水果!$K216)&lt;&gt;0)),1,0)</f>
        <v>0</v>
      </c>
      <c r="AI216" s="90" t="n">
        <f aca="false">IF(AG216="",0,IF(MATCH(AG216,$AG$4:$AG$1203,0)=ROW()-3,1,0))</f>
        <v>0</v>
      </c>
      <c r="AJ216" s="90" t="n">
        <f aca="false">N(AJ215)+AI216</f>
        <v>0</v>
      </c>
      <c r="AK216" s="1" t="n">
        <f aca="false">N(AK215)+$AJ216</f>
        <v>0</v>
      </c>
    </row>
    <row r="217" customFormat="false" ht="13.5" hidden="false" customHeight="false" outlineLevel="0" collapsed="false">
      <c r="A217" s="1" t="str">
        <f aca="false">IF(对接源_01水果!$C217="","",对接源_01水果!$C217)</f>
        <v>热合曼</v>
      </c>
      <c r="B217" s="1" t="n">
        <f aca="false">IF(A217="",0,IF(MATCH(A217,$A$4:$A$2403,0)=ROW()-3,1,0))</f>
        <v>0</v>
      </c>
      <c r="C217" s="1" t="n">
        <f aca="false">N(C216)+B217</f>
        <v>13</v>
      </c>
      <c r="E217" s="1" t="str">
        <f aca="false">IFERROR(INDEX($A$4:$A$2403,MATCH(ROW()-3,$C$4:$C$2403,0)),"")</f>
        <v/>
      </c>
      <c r="K217" s="1" t="n">
        <f aca="false">IF(OR($K$1="",对接源_01水果!$C217="",对接源_01水果!$C217&lt;&gt;$K$1,对接源_01水果!$B217=""),0,IF(OR(N(对接源_01水果!$B217)&lt;$K$2,N(对接源_01水果!$B217)&gt;$K$3),0,1))</f>
        <v>0</v>
      </c>
      <c r="L217" s="1" t="n">
        <f aca="false">IF(OR($L$1="",对接源_01水果!$C217="",对接源_01水果!$C217&lt;&gt;$L$1,对接源_01水果!$B217=""),0,IF(OR(N(对接源_01水果!$B217)&lt;$L$2,N(对接源_01水果!$B217)&gt;$L$3),0,1))</f>
        <v>0</v>
      </c>
      <c r="M217" s="1" t="n">
        <f aca="false">IF(OR($M$1="",对接源_01水果!$C217="",对接源_01水果!$C217&lt;&gt;$M$1,对接源_01水果!$B217=""),0,IF(OR(N(对接源_01水果!$B217)&lt;$M$2,N(对接源_01水果!$B217)&gt;$M$3),0,1))</f>
        <v>0</v>
      </c>
      <c r="N217" s="1" t="n">
        <f aca="false">IF(OR($N$1="",对接源_01水果!$C217="",对接源_01水果!$C217&lt;&gt;$N$1,对接源_01水果!$B217=""),0,IF(OR(N(对接源_01水果!$B217)&lt;$N$2,N(对接源_01水果!$B217)&gt;$N$3),0,1))</f>
        <v>0</v>
      </c>
      <c r="P217" s="1" t="n">
        <f aca="false">IF(AND($K217=1,AND(对接源_01水果!$X217="公司筐",N(对接源_01水果!$T217)&lt;&gt;0)),1,0)</f>
        <v>0</v>
      </c>
      <c r="Q217" s="1" t="n">
        <f aca="false">N(Q216)+$P217</f>
        <v>0</v>
      </c>
      <c r="R217" s="1" t="n">
        <f aca="false">IF(AND($K217=1,AND(对接源_01水果!$X217="公司筐",N(对接源_01水果!$U217)&lt;&gt;0)),1,0)</f>
        <v>0</v>
      </c>
      <c r="S217" s="1" t="n">
        <f aca="false">N(S216)+$R217</f>
        <v>0</v>
      </c>
      <c r="T217" s="1" t="n">
        <f aca="false">IF(AND($K217=1,AND(对接源_01水果!$X217="公司筐",N(对接源_01水果!$V217)&lt;&gt;0)),1,0)</f>
        <v>0</v>
      </c>
      <c r="U217" s="1" t="n">
        <f aca="false">N(U216)+$T217</f>
        <v>25</v>
      </c>
      <c r="V217" s="1" t="n">
        <f aca="false">IF(AND($L217=1,AND(对接源_01水果!$X217="自备筐",N(对接源_01水果!$V217)&lt;&gt;0)),1,0)</f>
        <v>0</v>
      </c>
      <c r="W217" s="1" t="n">
        <f aca="false">N(W216)+$V217</f>
        <v>7</v>
      </c>
      <c r="X217" s="1" t="n">
        <f aca="false">IF(AND($L217=1,AND(对接源_01水果!$X217="自备筐",N(对接源_01水果!$T217)&lt;&gt;0)),1,0)</f>
        <v>0</v>
      </c>
      <c r="Y217" s="1" t="n">
        <f aca="false">N(Y216)+$X217</f>
        <v>0</v>
      </c>
      <c r="Z217" s="1" t="n">
        <f aca="false">IF(AND($M217=1,对接源_01水果!$D217="原料入库"),1,0)</f>
        <v>0</v>
      </c>
      <c r="AA217" s="1" t="n">
        <f aca="false">N(AA216)+$Z217</f>
        <v>27</v>
      </c>
      <c r="AB217" s="1" t="n">
        <f aca="false">IF(AND($M217=1,LEFT(对接源_01水果!$D217,4)="原料出库"),1,0)</f>
        <v>0</v>
      </c>
      <c r="AC217" s="1" t="n">
        <f aca="false">N(AC216)+$AB217</f>
        <v>0</v>
      </c>
      <c r="AD217" s="1" t="n">
        <f aca="false">IF(AND($M217=1,LEFT(对接源_01水果!$D217,4)="成品出库"),1,0)</f>
        <v>0</v>
      </c>
      <c r="AE217" s="1" t="n">
        <f aca="false">N(AE216)+$AD217</f>
        <v>0</v>
      </c>
      <c r="AF217" s="1" t="n">
        <f aca="false">IF(AND($N217=1,AND(LEFT(对接源_01水果!$D217,4)="包装物料",N(对接源_01水果!$K217)&lt;&gt;0)),1,0)</f>
        <v>0</v>
      </c>
      <c r="AG217" s="90" t="str">
        <f aca="false">IF(对接源_01水果!$AC217="","",对接源_01水果!$AC217)</f>
        <v/>
      </c>
      <c r="AH217" s="1" t="n">
        <f aca="false">IF(AND($N217=1,AND(LEFT(对接源_01水果!$D217,3)="周转筐",N(对接源_01水果!$K217)&lt;&gt;0)),1,0)</f>
        <v>0</v>
      </c>
      <c r="AI217" s="90" t="n">
        <f aca="false">IF(AG217="",0,IF(MATCH(AG217,$AG$4:$AG$1203,0)=ROW()-3,1,0))</f>
        <v>0</v>
      </c>
      <c r="AJ217" s="90" t="n">
        <f aca="false">N(AJ216)+AI217</f>
        <v>0</v>
      </c>
      <c r="AK217" s="1" t="n">
        <f aca="false">N(AK216)+$AJ217</f>
        <v>0</v>
      </c>
    </row>
    <row r="218" customFormat="false" ht="13.5" hidden="false" customHeight="false" outlineLevel="0" collapsed="false">
      <c r="A218" s="1" t="str">
        <f aca="false">IF(对接源_01水果!$C218="","",对接源_01水果!$C218)</f>
        <v>热合曼</v>
      </c>
      <c r="B218" s="1" t="n">
        <f aca="false">IF(A218="",0,IF(MATCH(A218,$A$4:$A$2403,0)=ROW()-3,1,0))</f>
        <v>0</v>
      </c>
      <c r="C218" s="1" t="n">
        <f aca="false">N(C217)+B218</f>
        <v>13</v>
      </c>
      <c r="E218" s="1" t="str">
        <f aca="false">IFERROR(INDEX($A$4:$A$2403,MATCH(ROW()-3,$C$4:$C$2403,0)),"")</f>
        <v/>
      </c>
      <c r="K218" s="1" t="n">
        <f aca="false">IF(OR($K$1="",对接源_01水果!$C218="",对接源_01水果!$C218&lt;&gt;$K$1,对接源_01水果!$B218=""),0,IF(OR(N(对接源_01水果!$B218)&lt;$K$2,N(对接源_01水果!$B218)&gt;$K$3),0,1))</f>
        <v>0</v>
      </c>
      <c r="L218" s="1" t="n">
        <f aca="false">IF(OR($L$1="",对接源_01水果!$C218="",对接源_01水果!$C218&lt;&gt;$L$1,对接源_01水果!$B218=""),0,IF(OR(N(对接源_01水果!$B218)&lt;$L$2,N(对接源_01水果!$B218)&gt;$L$3),0,1))</f>
        <v>0</v>
      </c>
      <c r="M218" s="1" t="n">
        <f aca="false">IF(OR($M$1="",对接源_01水果!$C218="",对接源_01水果!$C218&lt;&gt;$M$1,对接源_01水果!$B218=""),0,IF(OR(N(对接源_01水果!$B218)&lt;$M$2,N(对接源_01水果!$B218)&gt;$M$3),0,1))</f>
        <v>0</v>
      </c>
      <c r="N218" s="1" t="n">
        <f aca="false">IF(OR($N$1="",对接源_01水果!$C218="",对接源_01水果!$C218&lt;&gt;$N$1,对接源_01水果!$B218=""),0,IF(OR(N(对接源_01水果!$B218)&lt;$N$2,N(对接源_01水果!$B218)&gt;$N$3),0,1))</f>
        <v>0</v>
      </c>
      <c r="P218" s="1" t="n">
        <f aca="false">IF(AND($K218=1,AND(对接源_01水果!$X218="公司筐",N(对接源_01水果!$T218)&lt;&gt;0)),1,0)</f>
        <v>0</v>
      </c>
      <c r="Q218" s="1" t="n">
        <f aca="false">N(Q217)+$P218</f>
        <v>0</v>
      </c>
      <c r="R218" s="1" t="n">
        <f aca="false">IF(AND($K218=1,AND(对接源_01水果!$X218="公司筐",N(对接源_01水果!$U218)&lt;&gt;0)),1,0)</f>
        <v>0</v>
      </c>
      <c r="S218" s="1" t="n">
        <f aca="false">N(S217)+$R218</f>
        <v>0</v>
      </c>
      <c r="T218" s="1" t="n">
        <f aca="false">IF(AND($K218=1,AND(对接源_01水果!$X218="公司筐",N(对接源_01水果!$V218)&lt;&gt;0)),1,0)</f>
        <v>0</v>
      </c>
      <c r="U218" s="1" t="n">
        <f aca="false">N(U217)+$T218</f>
        <v>25</v>
      </c>
      <c r="V218" s="1" t="n">
        <f aca="false">IF(AND($L218=1,AND(对接源_01水果!$X218="自备筐",N(对接源_01水果!$V218)&lt;&gt;0)),1,0)</f>
        <v>0</v>
      </c>
      <c r="W218" s="1" t="n">
        <f aca="false">N(W217)+$V218</f>
        <v>7</v>
      </c>
      <c r="X218" s="1" t="n">
        <f aca="false">IF(AND($L218=1,AND(对接源_01水果!$X218="自备筐",N(对接源_01水果!$T218)&lt;&gt;0)),1,0)</f>
        <v>0</v>
      </c>
      <c r="Y218" s="1" t="n">
        <f aca="false">N(Y217)+$X218</f>
        <v>0</v>
      </c>
      <c r="Z218" s="1" t="n">
        <f aca="false">IF(AND($M218=1,对接源_01水果!$D218="原料入库"),1,0)</f>
        <v>0</v>
      </c>
      <c r="AA218" s="1" t="n">
        <f aca="false">N(AA217)+$Z218</f>
        <v>27</v>
      </c>
      <c r="AB218" s="1" t="n">
        <f aca="false">IF(AND($M218=1,LEFT(对接源_01水果!$D218,4)="原料出库"),1,0)</f>
        <v>0</v>
      </c>
      <c r="AC218" s="1" t="n">
        <f aca="false">N(AC217)+$AB218</f>
        <v>0</v>
      </c>
      <c r="AD218" s="1" t="n">
        <f aca="false">IF(AND($M218=1,LEFT(对接源_01水果!$D218,4)="成品出库"),1,0)</f>
        <v>0</v>
      </c>
      <c r="AE218" s="1" t="n">
        <f aca="false">N(AE217)+$AD218</f>
        <v>0</v>
      </c>
      <c r="AF218" s="1" t="n">
        <f aca="false">IF(AND($N218=1,AND(LEFT(对接源_01水果!$D218,4)="包装物料",N(对接源_01水果!$K218)&lt;&gt;0)),1,0)</f>
        <v>0</v>
      </c>
      <c r="AG218" s="90" t="str">
        <f aca="false">IF(对接源_01水果!$AC218="","",对接源_01水果!$AC218)</f>
        <v/>
      </c>
      <c r="AH218" s="1" t="n">
        <f aca="false">IF(AND($N218=1,AND(LEFT(对接源_01水果!$D218,3)="周转筐",N(对接源_01水果!$K218)&lt;&gt;0)),1,0)</f>
        <v>0</v>
      </c>
      <c r="AI218" s="90" t="n">
        <f aca="false">IF(AG218="",0,IF(MATCH(AG218,$AG$4:$AG$1203,0)=ROW()-3,1,0))</f>
        <v>0</v>
      </c>
      <c r="AJ218" s="90" t="n">
        <f aca="false">N(AJ217)+AI218</f>
        <v>0</v>
      </c>
      <c r="AK218" s="1" t="n">
        <f aca="false">N(AK217)+$AJ218</f>
        <v>0</v>
      </c>
    </row>
    <row r="219" customFormat="false" ht="13.5" hidden="false" customHeight="false" outlineLevel="0" collapsed="false">
      <c r="A219" s="1" t="str">
        <f aca="false">IF(对接源_01水果!$C219="","",对接源_01水果!$C219)</f>
        <v>热合曼</v>
      </c>
      <c r="B219" s="1" t="n">
        <f aca="false">IF(A219="",0,IF(MATCH(A219,$A$4:$A$2403,0)=ROW()-3,1,0))</f>
        <v>0</v>
      </c>
      <c r="C219" s="1" t="n">
        <f aca="false">N(C218)+B219</f>
        <v>13</v>
      </c>
      <c r="E219" s="1" t="str">
        <f aca="false">IFERROR(INDEX($A$4:$A$2403,MATCH(ROW()-3,$C$4:$C$2403,0)),"")</f>
        <v/>
      </c>
      <c r="K219" s="1" t="n">
        <f aca="false">IF(OR($K$1="",对接源_01水果!$C219="",对接源_01水果!$C219&lt;&gt;$K$1,对接源_01水果!$B219=""),0,IF(OR(N(对接源_01水果!$B219)&lt;$K$2,N(对接源_01水果!$B219)&gt;$K$3),0,1))</f>
        <v>0</v>
      </c>
      <c r="L219" s="1" t="n">
        <f aca="false">IF(OR($L$1="",对接源_01水果!$C219="",对接源_01水果!$C219&lt;&gt;$L$1,对接源_01水果!$B219=""),0,IF(OR(N(对接源_01水果!$B219)&lt;$L$2,N(对接源_01水果!$B219)&gt;$L$3),0,1))</f>
        <v>0</v>
      </c>
      <c r="M219" s="1" t="n">
        <f aca="false">IF(OR($M$1="",对接源_01水果!$C219="",对接源_01水果!$C219&lt;&gt;$M$1,对接源_01水果!$B219=""),0,IF(OR(N(对接源_01水果!$B219)&lt;$M$2,N(对接源_01水果!$B219)&gt;$M$3),0,1))</f>
        <v>0</v>
      </c>
      <c r="N219" s="1" t="n">
        <f aca="false">IF(OR($N$1="",对接源_01水果!$C219="",对接源_01水果!$C219&lt;&gt;$N$1,对接源_01水果!$B219=""),0,IF(OR(N(对接源_01水果!$B219)&lt;$N$2,N(对接源_01水果!$B219)&gt;$N$3),0,1))</f>
        <v>0</v>
      </c>
      <c r="P219" s="1" t="n">
        <f aca="false">IF(AND($K219=1,AND(对接源_01水果!$X219="公司筐",N(对接源_01水果!$T219)&lt;&gt;0)),1,0)</f>
        <v>0</v>
      </c>
      <c r="Q219" s="1" t="n">
        <f aca="false">N(Q218)+$P219</f>
        <v>0</v>
      </c>
      <c r="R219" s="1" t="n">
        <f aca="false">IF(AND($K219=1,AND(对接源_01水果!$X219="公司筐",N(对接源_01水果!$U219)&lt;&gt;0)),1,0)</f>
        <v>0</v>
      </c>
      <c r="S219" s="1" t="n">
        <f aca="false">N(S218)+$R219</f>
        <v>0</v>
      </c>
      <c r="T219" s="1" t="n">
        <f aca="false">IF(AND($K219=1,AND(对接源_01水果!$X219="公司筐",N(对接源_01水果!$V219)&lt;&gt;0)),1,0)</f>
        <v>0</v>
      </c>
      <c r="U219" s="1" t="n">
        <f aca="false">N(U218)+$T219</f>
        <v>25</v>
      </c>
      <c r="V219" s="1" t="n">
        <f aca="false">IF(AND($L219=1,AND(对接源_01水果!$X219="自备筐",N(对接源_01水果!$V219)&lt;&gt;0)),1,0)</f>
        <v>0</v>
      </c>
      <c r="W219" s="1" t="n">
        <f aca="false">N(W218)+$V219</f>
        <v>7</v>
      </c>
      <c r="X219" s="1" t="n">
        <f aca="false">IF(AND($L219=1,AND(对接源_01水果!$X219="自备筐",N(对接源_01水果!$T219)&lt;&gt;0)),1,0)</f>
        <v>0</v>
      </c>
      <c r="Y219" s="1" t="n">
        <f aca="false">N(Y218)+$X219</f>
        <v>0</v>
      </c>
      <c r="Z219" s="1" t="n">
        <f aca="false">IF(AND($M219=1,对接源_01水果!$D219="原料入库"),1,0)</f>
        <v>0</v>
      </c>
      <c r="AA219" s="1" t="n">
        <f aca="false">N(AA218)+$Z219</f>
        <v>27</v>
      </c>
      <c r="AB219" s="1" t="n">
        <f aca="false">IF(AND($M219=1,LEFT(对接源_01水果!$D219,4)="原料出库"),1,0)</f>
        <v>0</v>
      </c>
      <c r="AC219" s="1" t="n">
        <f aca="false">N(AC218)+$AB219</f>
        <v>0</v>
      </c>
      <c r="AD219" s="1" t="n">
        <f aca="false">IF(AND($M219=1,LEFT(对接源_01水果!$D219,4)="成品出库"),1,0)</f>
        <v>0</v>
      </c>
      <c r="AE219" s="1" t="n">
        <f aca="false">N(AE218)+$AD219</f>
        <v>0</v>
      </c>
      <c r="AF219" s="1" t="n">
        <f aca="false">IF(AND($N219=1,AND(LEFT(对接源_01水果!$D219,4)="包装物料",N(对接源_01水果!$K219)&lt;&gt;0)),1,0)</f>
        <v>0</v>
      </c>
      <c r="AG219" s="90" t="str">
        <f aca="false">IF(对接源_01水果!$AC219="","",对接源_01水果!$AC219)</f>
        <v/>
      </c>
      <c r="AH219" s="1" t="n">
        <f aca="false">IF(AND($N219=1,AND(LEFT(对接源_01水果!$D219,3)="周转筐",N(对接源_01水果!$K219)&lt;&gt;0)),1,0)</f>
        <v>0</v>
      </c>
      <c r="AI219" s="90" t="n">
        <f aca="false">IF(AG219="",0,IF(MATCH(AG219,$AG$4:$AG$1203,0)=ROW()-3,1,0))</f>
        <v>0</v>
      </c>
      <c r="AJ219" s="90" t="n">
        <f aca="false">N(AJ218)+AI219</f>
        <v>0</v>
      </c>
      <c r="AK219" s="1" t="n">
        <f aca="false">N(AK218)+$AJ219</f>
        <v>0</v>
      </c>
    </row>
    <row r="220" customFormat="false" ht="13.5" hidden="false" customHeight="false" outlineLevel="0" collapsed="false">
      <c r="A220" s="1" t="str">
        <f aca="false">IF(对接源_01水果!$C220="","",对接源_01水果!$C220)</f>
        <v>努尔敦</v>
      </c>
      <c r="B220" s="1" t="n">
        <f aca="false">IF(A220="",0,IF(MATCH(A220,$A$4:$A$2403,0)=ROW()-3,1,0))</f>
        <v>0</v>
      </c>
      <c r="C220" s="1" t="n">
        <f aca="false">N(C219)+B220</f>
        <v>13</v>
      </c>
      <c r="E220" s="1" t="str">
        <f aca="false">IFERROR(INDEX($A$4:$A$2403,MATCH(ROW()-3,$C$4:$C$2403,0)),"")</f>
        <v/>
      </c>
      <c r="K220" s="1" t="n">
        <f aca="false">IF(OR($K$1="",对接源_01水果!$C220="",对接源_01水果!$C220&lt;&gt;$K$1,对接源_01水果!$B220=""),0,IF(OR(N(对接源_01水果!$B220)&lt;$K$2,N(对接源_01水果!$B220)&gt;$K$3),0,1))</f>
        <v>0</v>
      </c>
      <c r="L220" s="1" t="n">
        <f aca="false">IF(OR($L$1="",对接源_01水果!$C220="",对接源_01水果!$C220&lt;&gt;$L$1,对接源_01水果!$B220=""),0,IF(OR(N(对接源_01水果!$B220)&lt;$L$2,N(对接源_01水果!$B220)&gt;$L$3),0,1))</f>
        <v>0</v>
      </c>
      <c r="M220" s="1" t="n">
        <f aca="false">IF(OR($M$1="",对接源_01水果!$C220="",对接源_01水果!$C220&lt;&gt;$M$1,对接源_01水果!$B220=""),0,IF(OR(N(对接源_01水果!$B220)&lt;$M$2,N(对接源_01水果!$B220)&gt;$M$3),0,1))</f>
        <v>0</v>
      </c>
      <c r="N220" s="1" t="n">
        <f aca="false">IF(OR($N$1="",对接源_01水果!$C220="",对接源_01水果!$C220&lt;&gt;$N$1,对接源_01水果!$B220=""),0,IF(OR(N(对接源_01水果!$B220)&lt;$N$2,N(对接源_01水果!$B220)&gt;$N$3),0,1))</f>
        <v>0</v>
      </c>
      <c r="P220" s="1" t="n">
        <f aca="false">IF(AND($K220=1,AND(对接源_01水果!$X220="公司筐",N(对接源_01水果!$T220)&lt;&gt;0)),1,0)</f>
        <v>0</v>
      </c>
      <c r="Q220" s="1" t="n">
        <f aca="false">N(Q219)+$P220</f>
        <v>0</v>
      </c>
      <c r="R220" s="1" t="n">
        <f aca="false">IF(AND($K220=1,AND(对接源_01水果!$X220="公司筐",N(对接源_01水果!$U220)&lt;&gt;0)),1,0)</f>
        <v>0</v>
      </c>
      <c r="S220" s="1" t="n">
        <f aca="false">N(S219)+$R220</f>
        <v>0</v>
      </c>
      <c r="T220" s="1" t="n">
        <f aca="false">IF(AND($K220=1,AND(对接源_01水果!$X220="公司筐",N(对接源_01水果!$V220)&lt;&gt;0)),1,0)</f>
        <v>0</v>
      </c>
      <c r="U220" s="1" t="n">
        <f aca="false">N(U219)+$T220</f>
        <v>25</v>
      </c>
      <c r="V220" s="1" t="n">
        <f aca="false">IF(AND($L220=1,AND(对接源_01水果!$X220="自备筐",N(对接源_01水果!$V220)&lt;&gt;0)),1,0)</f>
        <v>0</v>
      </c>
      <c r="W220" s="1" t="n">
        <f aca="false">N(W219)+$V220</f>
        <v>7</v>
      </c>
      <c r="X220" s="1" t="n">
        <f aca="false">IF(AND($L220=1,AND(对接源_01水果!$X220="自备筐",N(对接源_01水果!$T220)&lt;&gt;0)),1,0)</f>
        <v>0</v>
      </c>
      <c r="Y220" s="1" t="n">
        <f aca="false">N(Y219)+$X220</f>
        <v>0</v>
      </c>
      <c r="Z220" s="1" t="n">
        <f aca="false">IF(AND($M220=1,对接源_01水果!$D220="原料入库"),1,0)</f>
        <v>0</v>
      </c>
      <c r="AA220" s="1" t="n">
        <f aca="false">N(AA219)+$Z220</f>
        <v>27</v>
      </c>
      <c r="AB220" s="1" t="n">
        <f aca="false">IF(AND($M220=1,LEFT(对接源_01水果!$D220,4)="原料出库"),1,0)</f>
        <v>0</v>
      </c>
      <c r="AC220" s="1" t="n">
        <f aca="false">N(AC219)+$AB220</f>
        <v>0</v>
      </c>
      <c r="AD220" s="1" t="n">
        <f aca="false">IF(AND($M220=1,LEFT(对接源_01水果!$D220,4)="成品出库"),1,0)</f>
        <v>0</v>
      </c>
      <c r="AE220" s="1" t="n">
        <f aca="false">N(AE219)+$AD220</f>
        <v>0</v>
      </c>
      <c r="AF220" s="1" t="n">
        <f aca="false">IF(AND($N220=1,AND(LEFT(对接源_01水果!$D220,4)="包装物料",N(对接源_01水果!$K220)&lt;&gt;0)),1,0)</f>
        <v>0</v>
      </c>
      <c r="AG220" s="90" t="str">
        <f aca="false">IF(对接源_01水果!$AC220="","",对接源_01水果!$AC220)</f>
        <v/>
      </c>
      <c r="AH220" s="1" t="n">
        <f aca="false">IF(AND($N220=1,AND(LEFT(对接源_01水果!$D220,3)="周转筐",N(对接源_01水果!$K220)&lt;&gt;0)),1,0)</f>
        <v>0</v>
      </c>
      <c r="AI220" s="90" t="n">
        <f aca="false">IF(AG220="",0,IF(MATCH(AG220,$AG$4:$AG$1203,0)=ROW()-3,1,0))</f>
        <v>0</v>
      </c>
      <c r="AJ220" s="90" t="n">
        <f aca="false">N(AJ219)+AI220</f>
        <v>0</v>
      </c>
      <c r="AK220" s="1" t="n">
        <f aca="false">N(AK219)+$AJ220</f>
        <v>0</v>
      </c>
    </row>
    <row r="221" customFormat="false" ht="13.5" hidden="false" customHeight="false" outlineLevel="0" collapsed="false">
      <c r="A221" s="1" t="str">
        <f aca="false">IF(对接源_01水果!$C221="","",对接源_01水果!$C221)</f>
        <v>努尔敦</v>
      </c>
      <c r="B221" s="1" t="n">
        <f aca="false">IF(A221="",0,IF(MATCH(A221,$A$4:$A$2403,0)=ROW()-3,1,0))</f>
        <v>0</v>
      </c>
      <c r="C221" s="1" t="n">
        <f aca="false">N(C220)+B221</f>
        <v>13</v>
      </c>
      <c r="E221" s="1" t="str">
        <f aca="false">IFERROR(INDEX($A$4:$A$2403,MATCH(ROW()-3,$C$4:$C$2403,0)),"")</f>
        <v/>
      </c>
      <c r="K221" s="1" t="n">
        <f aca="false">IF(OR($K$1="",对接源_01水果!$C221="",对接源_01水果!$C221&lt;&gt;$K$1,对接源_01水果!$B221=""),0,IF(OR(N(对接源_01水果!$B221)&lt;$K$2,N(对接源_01水果!$B221)&gt;$K$3),0,1))</f>
        <v>0</v>
      </c>
      <c r="L221" s="1" t="n">
        <f aca="false">IF(OR($L$1="",对接源_01水果!$C221="",对接源_01水果!$C221&lt;&gt;$L$1,对接源_01水果!$B221=""),0,IF(OR(N(对接源_01水果!$B221)&lt;$L$2,N(对接源_01水果!$B221)&gt;$L$3),0,1))</f>
        <v>0</v>
      </c>
      <c r="M221" s="1" t="n">
        <f aca="false">IF(OR($M$1="",对接源_01水果!$C221="",对接源_01水果!$C221&lt;&gt;$M$1,对接源_01水果!$B221=""),0,IF(OR(N(对接源_01水果!$B221)&lt;$M$2,N(对接源_01水果!$B221)&gt;$M$3),0,1))</f>
        <v>0</v>
      </c>
      <c r="N221" s="1" t="n">
        <f aca="false">IF(OR($N$1="",对接源_01水果!$C221="",对接源_01水果!$C221&lt;&gt;$N$1,对接源_01水果!$B221=""),0,IF(OR(N(对接源_01水果!$B221)&lt;$N$2,N(对接源_01水果!$B221)&gt;$N$3),0,1))</f>
        <v>0</v>
      </c>
      <c r="P221" s="1" t="n">
        <f aca="false">IF(AND($K221=1,AND(对接源_01水果!$X221="公司筐",N(对接源_01水果!$T221)&lt;&gt;0)),1,0)</f>
        <v>0</v>
      </c>
      <c r="Q221" s="1" t="n">
        <f aca="false">N(Q220)+$P221</f>
        <v>0</v>
      </c>
      <c r="R221" s="1" t="n">
        <f aca="false">IF(AND($K221=1,AND(对接源_01水果!$X221="公司筐",N(对接源_01水果!$U221)&lt;&gt;0)),1,0)</f>
        <v>0</v>
      </c>
      <c r="S221" s="1" t="n">
        <f aca="false">N(S220)+$R221</f>
        <v>0</v>
      </c>
      <c r="T221" s="1" t="n">
        <f aca="false">IF(AND($K221=1,AND(对接源_01水果!$X221="公司筐",N(对接源_01水果!$V221)&lt;&gt;0)),1,0)</f>
        <v>0</v>
      </c>
      <c r="U221" s="1" t="n">
        <f aca="false">N(U220)+$T221</f>
        <v>25</v>
      </c>
      <c r="V221" s="1" t="n">
        <f aca="false">IF(AND($L221=1,AND(对接源_01水果!$X221="自备筐",N(对接源_01水果!$V221)&lt;&gt;0)),1,0)</f>
        <v>0</v>
      </c>
      <c r="W221" s="1" t="n">
        <f aca="false">N(W220)+$V221</f>
        <v>7</v>
      </c>
      <c r="X221" s="1" t="n">
        <f aca="false">IF(AND($L221=1,AND(对接源_01水果!$X221="自备筐",N(对接源_01水果!$T221)&lt;&gt;0)),1,0)</f>
        <v>0</v>
      </c>
      <c r="Y221" s="1" t="n">
        <f aca="false">N(Y220)+$X221</f>
        <v>0</v>
      </c>
      <c r="Z221" s="1" t="n">
        <f aca="false">IF(AND($M221=1,对接源_01水果!$D221="原料入库"),1,0)</f>
        <v>0</v>
      </c>
      <c r="AA221" s="1" t="n">
        <f aca="false">N(AA220)+$Z221</f>
        <v>27</v>
      </c>
      <c r="AB221" s="1" t="n">
        <f aca="false">IF(AND($M221=1,LEFT(对接源_01水果!$D221,4)="原料出库"),1,0)</f>
        <v>0</v>
      </c>
      <c r="AC221" s="1" t="n">
        <f aca="false">N(AC220)+$AB221</f>
        <v>0</v>
      </c>
      <c r="AD221" s="1" t="n">
        <f aca="false">IF(AND($M221=1,LEFT(对接源_01水果!$D221,4)="成品出库"),1,0)</f>
        <v>0</v>
      </c>
      <c r="AE221" s="1" t="n">
        <f aca="false">N(AE220)+$AD221</f>
        <v>0</v>
      </c>
      <c r="AF221" s="1" t="n">
        <f aca="false">IF(AND($N221=1,AND(LEFT(对接源_01水果!$D221,4)="包装物料",N(对接源_01水果!$K221)&lt;&gt;0)),1,0)</f>
        <v>0</v>
      </c>
      <c r="AG221" s="90" t="str">
        <f aca="false">IF(对接源_01水果!$AC221="","",对接源_01水果!$AC221)</f>
        <v/>
      </c>
      <c r="AH221" s="1" t="n">
        <f aca="false">IF(AND($N221=1,AND(LEFT(对接源_01水果!$D221,3)="周转筐",N(对接源_01水果!$K221)&lt;&gt;0)),1,0)</f>
        <v>0</v>
      </c>
      <c r="AI221" s="90" t="n">
        <f aca="false">IF(AG221="",0,IF(MATCH(AG221,$AG$4:$AG$1203,0)=ROW()-3,1,0))</f>
        <v>0</v>
      </c>
      <c r="AJ221" s="90" t="n">
        <f aca="false">N(AJ220)+AI221</f>
        <v>0</v>
      </c>
      <c r="AK221" s="1" t="n">
        <f aca="false">N(AK220)+$AJ221</f>
        <v>0</v>
      </c>
    </row>
    <row r="222" customFormat="false" ht="13.5" hidden="false" customHeight="false" outlineLevel="0" collapsed="false">
      <c r="A222" s="1" t="str">
        <f aca="false">IF(对接源_01水果!$C222="","",对接源_01水果!$C222)</f>
        <v>努尔敦</v>
      </c>
      <c r="B222" s="1" t="n">
        <f aca="false">IF(A222="",0,IF(MATCH(A222,$A$4:$A$2403,0)=ROW()-3,1,0))</f>
        <v>0</v>
      </c>
      <c r="C222" s="1" t="n">
        <f aca="false">N(C221)+B222</f>
        <v>13</v>
      </c>
      <c r="E222" s="1" t="str">
        <f aca="false">IFERROR(INDEX($A$4:$A$2403,MATCH(ROW()-3,$C$4:$C$2403,0)),"")</f>
        <v/>
      </c>
      <c r="K222" s="1" t="n">
        <f aca="false">IF(OR($K$1="",对接源_01水果!$C222="",对接源_01水果!$C222&lt;&gt;$K$1,对接源_01水果!$B222=""),0,IF(OR(N(对接源_01水果!$B222)&lt;$K$2,N(对接源_01水果!$B222)&gt;$K$3),0,1))</f>
        <v>0</v>
      </c>
      <c r="L222" s="1" t="n">
        <f aca="false">IF(OR($L$1="",对接源_01水果!$C222="",对接源_01水果!$C222&lt;&gt;$L$1,对接源_01水果!$B222=""),0,IF(OR(N(对接源_01水果!$B222)&lt;$L$2,N(对接源_01水果!$B222)&gt;$L$3),0,1))</f>
        <v>0</v>
      </c>
      <c r="M222" s="1" t="n">
        <f aca="false">IF(OR($M$1="",对接源_01水果!$C222="",对接源_01水果!$C222&lt;&gt;$M$1,对接源_01水果!$B222=""),0,IF(OR(N(对接源_01水果!$B222)&lt;$M$2,N(对接源_01水果!$B222)&gt;$M$3),0,1))</f>
        <v>0</v>
      </c>
      <c r="N222" s="1" t="n">
        <f aca="false">IF(OR($N$1="",对接源_01水果!$C222="",对接源_01水果!$C222&lt;&gt;$N$1,对接源_01水果!$B222=""),0,IF(OR(N(对接源_01水果!$B222)&lt;$N$2,N(对接源_01水果!$B222)&gt;$N$3),0,1))</f>
        <v>0</v>
      </c>
      <c r="P222" s="1" t="n">
        <f aca="false">IF(AND($K222=1,AND(对接源_01水果!$X222="公司筐",N(对接源_01水果!$T222)&lt;&gt;0)),1,0)</f>
        <v>0</v>
      </c>
      <c r="Q222" s="1" t="n">
        <f aca="false">N(Q221)+$P222</f>
        <v>0</v>
      </c>
      <c r="R222" s="1" t="n">
        <f aca="false">IF(AND($K222=1,AND(对接源_01水果!$X222="公司筐",N(对接源_01水果!$U222)&lt;&gt;0)),1,0)</f>
        <v>0</v>
      </c>
      <c r="S222" s="1" t="n">
        <f aca="false">N(S221)+$R222</f>
        <v>0</v>
      </c>
      <c r="T222" s="1" t="n">
        <f aca="false">IF(AND($K222=1,AND(对接源_01水果!$X222="公司筐",N(对接源_01水果!$V222)&lt;&gt;0)),1,0)</f>
        <v>0</v>
      </c>
      <c r="U222" s="1" t="n">
        <f aca="false">N(U221)+$T222</f>
        <v>25</v>
      </c>
      <c r="V222" s="1" t="n">
        <f aca="false">IF(AND($L222=1,AND(对接源_01水果!$X222="自备筐",N(对接源_01水果!$V222)&lt;&gt;0)),1,0)</f>
        <v>0</v>
      </c>
      <c r="W222" s="1" t="n">
        <f aca="false">N(W221)+$V222</f>
        <v>7</v>
      </c>
      <c r="X222" s="1" t="n">
        <f aca="false">IF(AND($L222=1,AND(对接源_01水果!$X222="自备筐",N(对接源_01水果!$T222)&lt;&gt;0)),1,0)</f>
        <v>0</v>
      </c>
      <c r="Y222" s="1" t="n">
        <f aca="false">N(Y221)+$X222</f>
        <v>0</v>
      </c>
      <c r="Z222" s="1" t="n">
        <f aca="false">IF(AND($M222=1,对接源_01水果!$D222="原料入库"),1,0)</f>
        <v>0</v>
      </c>
      <c r="AA222" s="1" t="n">
        <f aca="false">N(AA221)+$Z222</f>
        <v>27</v>
      </c>
      <c r="AB222" s="1" t="n">
        <f aca="false">IF(AND($M222=1,LEFT(对接源_01水果!$D222,4)="原料出库"),1,0)</f>
        <v>0</v>
      </c>
      <c r="AC222" s="1" t="n">
        <f aca="false">N(AC221)+$AB222</f>
        <v>0</v>
      </c>
      <c r="AD222" s="1" t="n">
        <f aca="false">IF(AND($M222=1,LEFT(对接源_01水果!$D222,4)="成品出库"),1,0)</f>
        <v>0</v>
      </c>
      <c r="AE222" s="1" t="n">
        <f aca="false">N(AE221)+$AD222</f>
        <v>0</v>
      </c>
      <c r="AF222" s="1" t="n">
        <f aca="false">IF(AND($N222=1,AND(LEFT(对接源_01水果!$D222,4)="包装物料",N(对接源_01水果!$K222)&lt;&gt;0)),1,0)</f>
        <v>0</v>
      </c>
      <c r="AG222" s="90" t="str">
        <f aca="false">IF(对接源_01水果!$AC222="","",对接源_01水果!$AC222)</f>
        <v/>
      </c>
      <c r="AH222" s="1" t="n">
        <f aca="false">IF(AND($N222=1,AND(LEFT(对接源_01水果!$D222,3)="周转筐",N(对接源_01水果!$K222)&lt;&gt;0)),1,0)</f>
        <v>0</v>
      </c>
      <c r="AI222" s="90" t="n">
        <f aca="false">IF(AG222="",0,IF(MATCH(AG222,$AG$4:$AG$1203,0)=ROW()-3,1,0))</f>
        <v>0</v>
      </c>
      <c r="AJ222" s="90" t="n">
        <f aca="false">N(AJ221)+AI222</f>
        <v>0</v>
      </c>
      <c r="AK222" s="1" t="n">
        <f aca="false">N(AK221)+$AJ222</f>
        <v>0</v>
      </c>
    </row>
    <row r="223" customFormat="false" ht="13.5" hidden="false" customHeight="false" outlineLevel="0" collapsed="false">
      <c r="A223" s="1" t="str">
        <f aca="false">IF(对接源_01水果!$C223="","",对接源_01水果!$C223)</f>
        <v>马锦祥</v>
      </c>
      <c r="B223" s="1" t="n">
        <f aca="false">IF(A223="",0,IF(MATCH(A223,$A$4:$A$2403,0)=ROW()-3,1,0))</f>
        <v>0</v>
      </c>
      <c r="C223" s="1" t="n">
        <f aca="false">N(C222)+B223</f>
        <v>13</v>
      </c>
      <c r="E223" s="1" t="str">
        <f aca="false">IFERROR(INDEX($A$4:$A$2403,MATCH(ROW()-3,$C$4:$C$2403,0)),"")</f>
        <v/>
      </c>
      <c r="K223" s="1" t="n">
        <f aca="false">IF(OR($K$1="",对接源_01水果!$C223="",对接源_01水果!$C223&lt;&gt;$K$1,对接源_01水果!$B223=""),0,IF(OR(N(对接源_01水果!$B223)&lt;$K$2,N(对接源_01水果!$B223)&gt;$K$3),0,1))</f>
        <v>0</v>
      </c>
      <c r="L223" s="1" t="n">
        <f aca="false">IF(OR($L$1="",对接源_01水果!$C223="",对接源_01水果!$C223&lt;&gt;$L$1,对接源_01水果!$B223=""),0,IF(OR(N(对接源_01水果!$B223)&lt;$L$2,N(对接源_01水果!$B223)&gt;$L$3),0,1))</f>
        <v>0</v>
      </c>
      <c r="M223" s="1" t="n">
        <f aca="false">IF(OR($M$1="",对接源_01水果!$C223="",对接源_01水果!$C223&lt;&gt;$M$1,对接源_01水果!$B223=""),0,IF(OR(N(对接源_01水果!$B223)&lt;$M$2,N(对接源_01水果!$B223)&gt;$M$3),0,1))</f>
        <v>0</v>
      </c>
      <c r="N223" s="1" t="n">
        <f aca="false">IF(OR($N$1="",对接源_01水果!$C223="",对接源_01水果!$C223&lt;&gt;$N$1,对接源_01水果!$B223=""),0,IF(OR(N(对接源_01水果!$B223)&lt;$N$2,N(对接源_01水果!$B223)&gt;$N$3),0,1))</f>
        <v>0</v>
      </c>
      <c r="P223" s="1" t="n">
        <f aca="false">IF(AND($K223=1,AND(对接源_01水果!$X223="公司筐",N(对接源_01水果!$T223)&lt;&gt;0)),1,0)</f>
        <v>0</v>
      </c>
      <c r="Q223" s="1" t="n">
        <f aca="false">N(Q222)+$P223</f>
        <v>0</v>
      </c>
      <c r="R223" s="1" t="n">
        <f aca="false">IF(AND($K223=1,AND(对接源_01水果!$X223="公司筐",N(对接源_01水果!$U223)&lt;&gt;0)),1,0)</f>
        <v>0</v>
      </c>
      <c r="S223" s="1" t="n">
        <f aca="false">N(S222)+$R223</f>
        <v>0</v>
      </c>
      <c r="T223" s="1" t="n">
        <f aca="false">IF(AND($K223=1,AND(对接源_01水果!$X223="公司筐",N(对接源_01水果!$V223)&lt;&gt;0)),1,0)</f>
        <v>0</v>
      </c>
      <c r="U223" s="1" t="n">
        <f aca="false">N(U222)+$T223</f>
        <v>25</v>
      </c>
      <c r="V223" s="1" t="n">
        <f aca="false">IF(AND($L223=1,AND(对接源_01水果!$X223="自备筐",N(对接源_01水果!$V223)&lt;&gt;0)),1,0)</f>
        <v>0</v>
      </c>
      <c r="W223" s="1" t="n">
        <f aca="false">N(W222)+$V223</f>
        <v>7</v>
      </c>
      <c r="X223" s="1" t="n">
        <f aca="false">IF(AND($L223=1,AND(对接源_01水果!$X223="自备筐",N(对接源_01水果!$T223)&lt;&gt;0)),1,0)</f>
        <v>0</v>
      </c>
      <c r="Y223" s="1" t="n">
        <f aca="false">N(Y222)+$X223</f>
        <v>0</v>
      </c>
      <c r="Z223" s="1" t="n">
        <f aca="false">IF(AND($M223=1,对接源_01水果!$D223="原料入库"),1,0)</f>
        <v>0</v>
      </c>
      <c r="AA223" s="1" t="n">
        <f aca="false">N(AA222)+$Z223</f>
        <v>27</v>
      </c>
      <c r="AB223" s="1" t="n">
        <f aca="false">IF(AND($M223=1,LEFT(对接源_01水果!$D223,4)="原料出库"),1,0)</f>
        <v>0</v>
      </c>
      <c r="AC223" s="1" t="n">
        <f aca="false">N(AC222)+$AB223</f>
        <v>0</v>
      </c>
      <c r="AD223" s="1" t="n">
        <f aca="false">IF(AND($M223=1,LEFT(对接源_01水果!$D223,4)="成品出库"),1,0)</f>
        <v>0</v>
      </c>
      <c r="AE223" s="1" t="n">
        <f aca="false">N(AE222)+$AD223</f>
        <v>0</v>
      </c>
      <c r="AF223" s="1" t="n">
        <f aca="false">IF(AND($N223=1,AND(LEFT(对接源_01水果!$D223,4)="包装物料",N(对接源_01水果!$K223)&lt;&gt;0)),1,0)</f>
        <v>0</v>
      </c>
      <c r="AG223" s="90" t="str">
        <f aca="false">IF(对接源_01水果!$AC223="","",对接源_01水果!$AC223)</f>
        <v/>
      </c>
      <c r="AH223" s="1" t="n">
        <f aca="false">IF(AND($N223=1,AND(LEFT(对接源_01水果!$D223,3)="周转筐",N(对接源_01水果!$K223)&lt;&gt;0)),1,0)</f>
        <v>0</v>
      </c>
      <c r="AI223" s="90" t="n">
        <f aca="false">IF(AG223="",0,IF(MATCH(AG223,$AG$4:$AG$1203,0)=ROW()-3,1,0))</f>
        <v>0</v>
      </c>
      <c r="AJ223" s="90" t="n">
        <f aca="false">N(AJ222)+AI223</f>
        <v>0</v>
      </c>
      <c r="AK223" s="1" t="n">
        <f aca="false">N(AK222)+$AJ223</f>
        <v>0</v>
      </c>
    </row>
    <row r="224" customFormat="false" ht="13.5" hidden="false" customHeight="false" outlineLevel="0" collapsed="false">
      <c r="A224" s="1" t="str">
        <f aca="false">IF(对接源_01水果!$C224="","",对接源_01水果!$C224)</f>
        <v>马锦祥</v>
      </c>
      <c r="B224" s="1" t="n">
        <f aca="false">IF(A224="",0,IF(MATCH(A224,$A$4:$A$2403,0)=ROW()-3,1,0))</f>
        <v>0</v>
      </c>
      <c r="C224" s="1" t="n">
        <f aca="false">N(C223)+B224</f>
        <v>13</v>
      </c>
      <c r="E224" s="1" t="str">
        <f aca="false">IFERROR(INDEX($A$4:$A$2403,MATCH(ROW()-3,$C$4:$C$2403,0)),"")</f>
        <v/>
      </c>
      <c r="K224" s="1" t="n">
        <f aca="false">IF(OR($K$1="",对接源_01水果!$C224="",对接源_01水果!$C224&lt;&gt;$K$1,对接源_01水果!$B224=""),0,IF(OR(N(对接源_01水果!$B224)&lt;$K$2,N(对接源_01水果!$B224)&gt;$K$3),0,1))</f>
        <v>0</v>
      </c>
      <c r="L224" s="1" t="n">
        <f aca="false">IF(OR($L$1="",对接源_01水果!$C224="",对接源_01水果!$C224&lt;&gt;$L$1,对接源_01水果!$B224=""),0,IF(OR(N(对接源_01水果!$B224)&lt;$L$2,N(对接源_01水果!$B224)&gt;$L$3),0,1))</f>
        <v>0</v>
      </c>
      <c r="M224" s="1" t="n">
        <f aca="false">IF(OR($M$1="",对接源_01水果!$C224="",对接源_01水果!$C224&lt;&gt;$M$1,对接源_01水果!$B224=""),0,IF(OR(N(对接源_01水果!$B224)&lt;$M$2,N(对接源_01水果!$B224)&gt;$M$3),0,1))</f>
        <v>0</v>
      </c>
      <c r="N224" s="1" t="n">
        <f aca="false">IF(OR($N$1="",对接源_01水果!$C224="",对接源_01水果!$C224&lt;&gt;$N$1,对接源_01水果!$B224=""),0,IF(OR(N(对接源_01水果!$B224)&lt;$N$2,N(对接源_01水果!$B224)&gt;$N$3),0,1))</f>
        <v>0</v>
      </c>
      <c r="P224" s="1" t="n">
        <f aca="false">IF(AND($K224=1,AND(对接源_01水果!$X224="公司筐",N(对接源_01水果!$T224)&lt;&gt;0)),1,0)</f>
        <v>0</v>
      </c>
      <c r="Q224" s="1" t="n">
        <f aca="false">N(Q223)+$P224</f>
        <v>0</v>
      </c>
      <c r="R224" s="1" t="n">
        <f aca="false">IF(AND($K224=1,AND(对接源_01水果!$X224="公司筐",N(对接源_01水果!$U224)&lt;&gt;0)),1,0)</f>
        <v>0</v>
      </c>
      <c r="S224" s="1" t="n">
        <f aca="false">N(S223)+$R224</f>
        <v>0</v>
      </c>
      <c r="T224" s="1" t="n">
        <f aca="false">IF(AND($K224=1,AND(对接源_01水果!$X224="公司筐",N(对接源_01水果!$V224)&lt;&gt;0)),1,0)</f>
        <v>0</v>
      </c>
      <c r="U224" s="1" t="n">
        <f aca="false">N(U223)+$T224</f>
        <v>25</v>
      </c>
      <c r="V224" s="1" t="n">
        <f aca="false">IF(AND($L224=1,AND(对接源_01水果!$X224="自备筐",N(对接源_01水果!$V224)&lt;&gt;0)),1,0)</f>
        <v>0</v>
      </c>
      <c r="W224" s="1" t="n">
        <f aca="false">N(W223)+$V224</f>
        <v>7</v>
      </c>
      <c r="X224" s="1" t="n">
        <f aca="false">IF(AND($L224=1,AND(对接源_01水果!$X224="自备筐",N(对接源_01水果!$T224)&lt;&gt;0)),1,0)</f>
        <v>0</v>
      </c>
      <c r="Y224" s="1" t="n">
        <f aca="false">N(Y223)+$X224</f>
        <v>0</v>
      </c>
      <c r="Z224" s="1" t="n">
        <f aca="false">IF(AND($M224=1,对接源_01水果!$D224="原料入库"),1,0)</f>
        <v>0</v>
      </c>
      <c r="AA224" s="1" t="n">
        <f aca="false">N(AA223)+$Z224</f>
        <v>27</v>
      </c>
      <c r="AB224" s="1" t="n">
        <f aca="false">IF(AND($M224=1,LEFT(对接源_01水果!$D224,4)="原料出库"),1,0)</f>
        <v>0</v>
      </c>
      <c r="AC224" s="1" t="n">
        <f aca="false">N(AC223)+$AB224</f>
        <v>0</v>
      </c>
      <c r="AD224" s="1" t="n">
        <f aca="false">IF(AND($M224=1,LEFT(对接源_01水果!$D224,4)="成品出库"),1,0)</f>
        <v>0</v>
      </c>
      <c r="AE224" s="1" t="n">
        <f aca="false">N(AE223)+$AD224</f>
        <v>0</v>
      </c>
      <c r="AF224" s="1" t="n">
        <f aca="false">IF(AND($N224=1,AND(LEFT(对接源_01水果!$D224,4)="包装物料",N(对接源_01水果!$K224)&lt;&gt;0)),1,0)</f>
        <v>0</v>
      </c>
      <c r="AG224" s="90" t="str">
        <f aca="false">IF(对接源_01水果!$AC224="","",对接源_01水果!$AC224)</f>
        <v/>
      </c>
      <c r="AH224" s="1" t="n">
        <f aca="false">IF(AND($N224=1,AND(LEFT(对接源_01水果!$D224,3)="周转筐",N(对接源_01水果!$K224)&lt;&gt;0)),1,0)</f>
        <v>0</v>
      </c>
      <c r="AI224" s="90" t="n">
        <f aca="false">IF(AG224="",0,IF(MATCH(AG224,$AG$4:$AG$1203,0)=ROW()-3,1,0))</f>
        <v>0</v>
      </c>
      <c r="AJ224" s="90" t="n">
        <f aca="false">N(AJ223)+AI224</f>
        <v>0</v>
      </c>
      <c r="AK224" s="1" t="n">
        <f aca="false">N(AK223)+$AJ224</f>
        <v>0</v>
      </c>
    </row>
    <row r="225" customFormat="false" ht="13.5" hidden="false" customHeight="false" outlineLevel="0" collapsed="false">
      <c r="A225" s="1" t="str">
        <f aca="false">IF(对接源_01水果!$C225="","",对接源_01水果!$C225)</f>
        <v>马锦祥</v>
      </c>
      <c r="B225" s="1" t="n">
        <f aca="false">IF(A225="",0,IF(MATCH(A225,$A$4:$A$2403,0)=ROW()-3,1,0))</f>
        <v>0</v>
      </c>
      <c r="C225" s="1" t="n">
        <f aca="false">N(C224)+B225</f>
        <v>13</v>
      </c>
      <c r="E225" s="1" t="str">
        <f aca="false">IFERROR(INDEX($A$4:$A$2403,MATCH(ROW()-3,$C$4:$C$2403,0)),"")</f>
        <v/>
      </c>
      <c r="K225" s="1" t="n">
        <f aca="false">IF(OR($K$1="",对接源_01水果!$C225="",对接源_01水果!$C225&lt;&gt;$K$1,对接源_01水果!$B225=""),0,IF(OR(N(对接源_01水果!$B225)&lt;$K$2,N(对接源_01水果!$B225)&gt;$K$3),0,1))</f>
        <v>0</v>
      </c>
      <c r="L225" s="1" t="n">
        <f aca="false">IF(OR($L$1="",对接源_01水果!$C225="",对接源_01水果!$C225&lt;&gt;$L$1,对接源_01水果!$B225=""),0,IF(OR(N(对接源_01水果!$B225)&lt;$L$2,N(对接源_01水果!$B225)&gt;$L$3),0,1))</f>
        <v>0</v>
      </c>
      <c r="M225" s="1" t="n">
        <f aca="false">IF(OR($M$1="",对接源_01水果!$C225="",对接源_01水果!$C225&lt;&gt;$M$1,对接源_01水果!$B225=""),0,IF(OR(N(对接源_01水果!$B225)&lt;$M$2,N(对接源_01水果!$B225)&gt;$M$3),0,1))</f>
        <v>0</v>
      </c>
      <c r="N225" s="1" t="n">
        <f aca="false">IF(OR($N$1="",对接源_01水果!$C225="",对接源_01水果!$C225&lt;&gt;$N$1,对接源_01水果!$B225=""),0,IF(OR(N(对接源_01水果!$B225)&lt;$N$2,N(对接源_01水果!$B225)&gt;$N$3),0,1))</f>
        <v>0</v>
      </c>
      <c r="P225" s="1" t="n">
        <f aca="false">IF(AND($K225=1,AND(对接源_01水果!$X225="公司筐",N(对接源_01水果!$T225)&lt;&gt;0)),1,0)</f>
        <v>0</v>
      </c>
      <c r="Q225" s="1" t="n">
        <f aca="false">N(Q224)+$P225</f>
        <v>0</v>
      </c>
      <c r="R225" s="1" t="n">
        <f aca="false">IF(AND($K225=1,AND(对接源_01水果!$X225="公司筐",N(对接源_01水果!$U225)&lt;&gt;0)),1,0)</f>
        <v>0</v>
      </c>
      <c r="S225" s="1" t="n">
        <f aca="false">N(S224)+$R225</f>
        <v>0</v>
      </c>
      <c r="T225" s="1" t="n">
        <f aca="false">IF(AND($K225=1,AND(对接源_01水果!$X225="公司筐",N(对接源_01水果!$V225)&lt;&gt;0)),1,0)</f>
        <v>0</v>
      </c>
      <c r="U225" s="1" t="n">
        <f aca="false">N(U224)+$T225</f>
        <v>25</v>
      </c>
      <c r="V225" s="1" t="n">
        <f aca="false">IF(AND($L225=1,AND(对接源_01水果!$X225="自备筐",N(对接源_01水果!$V225)&lt;&gt;0)),1,0)</f>
        <v>0</v>
      </c>
      <c r="W225" s="1" t="n">
        <f aca="false">N(W224)+$V225</f>
        <v>7</v>
      </c>
      <c r="X225" s="1" t="n">
        <f aca="false">IF(AND($L225=1,AND(对接源_01水果!$X225="自备筐",N(对接源_01水果!$T225)&lt;&gt;0)),1,0)</f>
        <v>0</v>
      </c>
      <c r="Y225" s="1" t="n">
        <f aca="false">N(Y224)+$X225</f>
        <v>0</v>
      </c>
      <c r="Z225" s="1" t="n">
        <f aca="false">IF(AND($M225=1,对接源_01水果!$D225="原料入库"),1,0)</f>
        <v>0</v>
      </c>
      <c r="AA225" s="1" t="n">
        <f aca="false">N(AA224)+$Z225</f>
        <v>27</v>
      </c>
      <c r="AB225" s="1" t="n">
        <f aca="false">IF(AND($M225=1,LEFT(对接源_01水果!$D225,4)="原料出库"),1,0)</f>
        <v>0</v>
      </c>
      <c r="AC225" s="1" t="n">
        <f aca="false">N(AC224)+$AB225</f>
        <v>0</v>
      </c>
      <c r="AD225" s="1" t="n">
        <f aca="false">IF(AND($M225=1,LEFT(对接源_01水果!$D225,4)="成品出库"),1,0)</f>
        <v>0</v>
      </c>
      <c r="AE225" s="1" t="n">
        <f aca="false">N(AE224)+$AD225</f>
        <v>0</v>
      </c>
      <c r="AF225" s="1" t="n">
        <f aca="false">IF(AND($N225=1,AND(LEFT(对接源_01水果!$D225,4)="包装物料",N(对接源_01水果!$K225)&lt;&gt;0)),1,0)</f>
        <v>0</v>
      </c>
      <c r="AG225" s="90" t="str">
        <f aca="false">IF(对接源_01水果!$AC225="","",对接源_01水果!$AC225)</f>
        <v/>
      </c>
      <c r="AH225" s="1" t="n">
        <f aca="false">IF(AND($N225=1,AND(LEFT(对接源_01水果!$D225,3)="周转筐",N(对接源_01水果!$K225)&lt;&gt;0)),1,0)</f>
        <v>0</v>
      </c>
      <c r="AI225" s="90" t="n">
        <f aca="false">IF(AG225="",0,IF(MATCH(AG225,$AG$4:$AG$1203,0)=ROW()-3,1,0))</f>
        <v>0</v>
      </c>
      <c r="AJ225" s="90" t="n">
        <f aca="false">N(AJ224)+AI225</f>
        <v>0</v>
      </c>
      <c r="AK225" s="1" t="n">
        <f aca="false">N(AK224)+$AJ225</f>
        <v>0</v>
      </c>
    </row>
    <row r="226" customFormat="false" ht="13.5" hidden="false" customHeight="false" outlineLevel="0" collapsed="false">
      <c r="A226" s="1" t="str">
        <f aca="false">IF(对接源_01水果!$C226="","",对接源_01水果!$C226)</f>
        <v>荆建君</v>
      </c>
      <c r="B226" s="1" t="n">
        <f aca="false">IF(A226="",0,IF(MATCH(A226,$A$4:$A$2403,0)=ROW()-3,1,0))</f>
        <v>0</v>
      </c>
      <c r="C226" s="1" t="n">
        <f aca="false">N(C225)+B226</f>
        <v>13</v>
      </c>
      <c r="E226" s="1" t="str">
        <f aca="false">IFERROR(INDEX($A$4:$A$2403,MATCH(ROW()-3,$C$4:$C$2403,0)),"")</f>
        <v/>
      </c>
      <c r="K226" s="1" t="n">
        <f aca="false">IF(OR($K$1="",对接源_01水果!$C226="",对接源_01水果!$C226&lt;&gt;$K$1,对接源_01水果!$B226=""),0,IF(OR(N(对接源_01水果!$B226)&lt;$K$2,N(对接源_01水果!$B226)&gt;$K$3),0,1))</f>
        <v>0</v>
      </c>
      <c r="L226" s="1" t="n">
        <f aca="false">IF(OR($L$1="",对接源_01水果!$C226="",对接源_01水果!$C226&lt;&gt;$L$1,对接源_01水果!$B226=""),0,IF(OR(N(对接源_01水果!$B226)&lt;$L$2,N(对接源_01水果!$B226)&gt;$L$3),0,1))</f>
        <v>0</v>
      </c>
      <c r="M226" s="1" t="n">
        <f aca="false">IF(OR($M$1="",对接源_01水果!$C226="",对接源_01水果!$C226&lt;&gt;$M$1,对接源_01水果!$B226=""),0,IF(OR(N(对接源_01水果!$B226)&lt;$M$2,N(对接源_01水果!$B226)&gt;$M$3),0,1))</f>
        <v>0</v>
      </c>
      <c r="N226" s="1" t="n">
        <f aca="false">IF(OR($N$1="",对接源_01水果!$C226="",对接源_01水果!$C226&lt;&gt;$N$1,对接源_01水果!$B226=""),0,IF(OR(N(对接源_01水果!$B226)&lt;$N$2,N(对接源_01水果!$B226)&gt;$N$3),0,1))</f>
        <v>0</v>
      </c>
      <c r="P226" s="1" t="n">
        <f aca="false">IF(AND($K226=1,AND(对接源_01水果!$X226="公司筐",N(对接源_01水果!$T226)&lt;&gt;0)),1,0)</f>
        <v>0</v>
      </c>
      <c r="Q226" s="1" t="n">
        <f aca="false">N(Q225)+$P226</f>
        <v>0</v>
      </c>
      <c r="R226" s="1" t="n">
        <f aca="false">IF(AND($K226=1,AND(对接源_01水果!$X226="公司筐",N(对接源_01水果!$U226)&lt;&gt;0)),1,0)</f>
        <v>0</v>
      </c>
      <c r="S226" s="1" t="n">
        <f aca="false">N(S225)+$R226</f>
        <v>0</v>
      </c>
      <c r="T226" s="1" t="n">
        <f aca="false">IF(AND($K226=1,AND(对接源_01水果!$X226="公司筐",N(对接源_01水果!$V226)&lt;&gt;0)),1,0)</f>
        <v>0</v>
      </c>
      <c r="U226" s="1" t="n">
        <f aca="false">N(U225)+$T226</f>
        <v>25</v>
      </c>
      <c r="V226" s="1" t="n">
        <f aca="false">IF(AND($L226=1,AND(对接源_01水果!$X226="自备筐",N(对接源_01水果!$V226)&lt;&gt;0)),1,0)</f>
        <v>0</v>
      </c>
      <c r="W226" s="1" t="n">
        <f aca="false">N(W225)+$V226</f>
        <v>7</v>
      </c>
      <c r="X226" s="1" t="n">
        <f aca="false">IF(AND($L226=1,AND(对接源_01水果!$X226="自备筐",N(对接源_01水果!$T226)&lt;&gt;0)),1,0)</f>
        <v>0</v>
      </c>
      <c r="Y226" s="1" t="n">
        <f aca="false">N(Y225)+$X226</f>
        <v>0</v>
      </c>
      <c r="Z226" s="1" t="n">
        <f aca="false">IF(AND($M226=1,对接源_01水果!$D226="原料入库"),1,0)</f>
        <v>0</v>
      </c>
      <c r="AA226" s="1" t="n">
        <f aca="false">N(AA225)+$Z226</f>
        <v>27</v>
      </c>
      <c r="AB226" s="1" t="n">
        <f aca="false">IF(AND($M226=1,LEFT(对接源_01水果!$D226,4)="原料出库"),1,0)</f>
        <v>0</v>
      </c>
      <c r="AC226" s="1" t="n">
        <f aca="false">N(AC225)+$AB226</f>
        <v>0</v>
      </c>
      <c r="AD226" s="1" t="n">
        <f aca="false">IF(AND($M226=1,LEFT(对接源_01水果!$D226,4)="成品出库"),1,0)</f>
        <v>0</v>
      </c>
      <c r="AE226" s="1" t="n">
        <f aca="false">N(AE225)+$AD226</f>
        <v>0</v>
      </c>
      <c r="AF226" s="1" t="n">
        <f aca="false">IF(AND($N226=1,AND(LEFT(对接源_01水果!$D226,4)="包装物料",N(对接源_01水果!$K226)&lt;&gt;0)),1,0)</f>
        <v>0</v>
      </c>
      <c r="AG226" s="90" t="str">
        <f aca="false">IF(对接源_01水果!$AC226="","",对接源_01水果!$AC226)</f>
        <v/>
      </c>
      <c r="AH226" s="1" t="n">
        <f aca="false">IF(AND($N226=1,AND(LEFT(对接源_01水果!$D226,3)="周转筐",N(对接源_01水果!$K226)&lt;&gt;0)),1,0)</f>
        <v>0</v>
      </c>
      <c r="AI226" s="90" t="n">
        <f aca="false">IF(AG226="",0,IF(MATCH(AG226,$AG$4:$AG$1203,0)=ROW()-3,1,0))</f>
        <v>0</v>
      </c>
      <c r="AJ226" s="90" t="n">
        <f aca="false">N(AJ225)+AI226</f>
        <v>0</v>
      </c>
      <c r="AK226" s="1" t="n">
        <f aca="false">N(AK225)+$AJ226</f>
        <v>0</v>
      </c>
    </row>
    <row r="227" customFormat="false" ht="13.5" hidden="false" customHeight="false" outlineLevel="0" collapsed="false">
      <c r="A227" s="1" t="str">
        <f aca="false">IF(对接源_01水果!$C227="","",对接源_01水果!$C227)</f>
        <v>荆建君</v>
      </c>
      <c r="B227" s="1" t="n">
        <f aca="false">IF(A227="",0,IF(MATCH(A227,$A$4:$A$2403,0)=ROW()-3,1,0))</f>
        <v>0</v>
      </c>
      <c r="C227" s="1" t="n">
        <f aca="false">N(C226)+B227</f>
        <v>13</v>
      </c>
      <c r="E227" s="1" t="str">
        <f aca="false">IFERROR(INDEX($A$4:$A$2403,MATCH(ROW()-3,$C$4:$C$2403,0)),"")</f>
        <v/>
      </c>
      <c r="K227" s="1" t="n">
        <f aca="false">IF(OR($K$1="",对接源_01水果!$C227="",对接源_01水果!$C227&lt;&gt;$K$1,对接源_01水果!$B227=""),0,IF(OR(N(对接源_01水果!$B227)&lt;$K$2,N(对接源_01水果!$B227)&gt;$K$3),0,1))</f>
        <v>0</v>
      </c>
      <c r="L227" s="1" t="n">
        <f aca="false">IF(OR($L$1="",对接源_01水果!$C227="",对接源_01水果!$C227&lt;&gt;$L$1,对接源_01水果!$B227=""),0,IF(OR(N(对接源_01水果!$B227)&lt;$L$2,N(对接源_01水果!$B227)&gt;$L$3),0,1))</f>
        <v>0</v>
      </c>
      <c r="M227" s="1" t="n">
        <f aca="false">IF(OR($M$1="",对接源_01水果!$C227="",对接源_01水果!$C227&lt;&gt;$M$1,对接源_01水果!$B227=""),0,IF(OR(N(对接源_01水果!$B227)&lt;$M$2,N(对接源_01水果!$B227)&gt;$M$3),0,1))</f>
        <v>0</v>
      </c>
      <c r="N227" s="1" t="n">
        <f aca="false">IF(OR($N$1="",对接源_01水果!$C227="",对接源_01水果!$C227&lt;&gt;$N$1,对接源_01水果!$B227=""),0,IF(OR(N(对接源_01水果!$B227)&lt;$N$2,N(对接源_01水果!$B227)&gt;$N$3),0,1))</f>
        <v>0</v>
      </c>
      <c r="P227" s="1" t="n">
        <f aca="false">IF(AND($K227=1,AND(对接源_01水果!$X227="公司筐",N(对接源_01水果!$T227)&lt;&gt;0)),1,0)</f>
        <v>0</v>
      </c>
      <c r="Q227" s="1" t="n">
        <f aca="false">N(Q226)+$P227</f>
        <v>0</v>
      </c>
      <c r="R227" s="1" t="n">
        <f aca="false">IF(AND($K227=1,AND(对接源_01水果!$X227="公司筐",N(对接源_01水果!$U227)&lt;&gt;0)),1,0)</f>
        <v>0</v>
      </c>
      <c r="S227" s="1" t="n">
        <f aca="false">N(S226)+$R227</f>
        <v>0</v>
      </c>
      <c r="T227" s="1" t="n">
        <f aca="false">IF(AND($K227=1,AND(对接源_01水果!$X227="公司筐",N(对接源_01水果!$V227)&lt;&gt;0)),1,0)</f>
        <v>0</v>
      </c>
      <c r="U227" s="1" t="n">
        <f aca="false">N(U226)+$T227</f>
        <v>25</v>
      </c>
      <c r="V227" s="1" t="n">
        <f aca="false">IF(AND($L227=1,AND(对接源_01水果!$X227="自备筐",N(对接源_01水果!$V227)&lt;&gt;0)),1,0)</f>
        <v>0</v>
      </c>
      <c r="W227" s="1" t="n">
        <f aca="false">N(W226)+$V227</f>
        <v>7</v>
      </c>
      <c r="X227" s="1" t="n">
        <f aca="false">IF(AND($L227=1,AND(对接源_01水果!$X227="自备筐",N(对接源_01水果!$T227)&lt;&gt;0)),1,0)</f>
        <v>0</v>
      </c>
      <c r="Y227" s="1" t="n">
        <f aca="false">N(Y226)+$X227</f>
        <v>0</v>
      </c>
      <c r="Z227" s="1" t="n">
        <f aca="false">IF(AND($M227=1,对接源_01水果!$D227="原料入库"),1,0)</f>
        <v>0</v>
      </c>
      <c r="AA227" s="1" t="n">
        <f aca="false">N(AA226)+$Z227</f>
        <v>27</v>
      </c>
      <c r="AB227" s="1" t="n">
        <f aca="false">IF(AND($M227=1,LEFT(对接源_01水果!$D227,4)="原料出库"),1,0)</f>
        <v>0</v>
      </c>
      <c r="AC227" s="1" t="n">
        <f aca="false">N(AC226)+$AB227</f>
        <v>0</v>
      </c>
      <c r="AD227" s="1" t="n">
        <f aca="false">IF(AND($M227=1,LEFT(对接源_01水果!$D227,4)="成品出库"),1,0)</f>
        <v>0</v>
      </c>
      <c r="AE227" s="1" t="n">
        <f aca="false">N(AE226)+$AD227</f>
        <v>0</v>
      </c>
      <c r="AF227" s="1" t="n">
        <f aca="false">IF(AND($N227=1,AND(LEFT(对接源_01水果!$D227,4)="包装物料",N(对接源_01水果!$K227)&lt;&gt;0)),1,0)</f>
        <v>0</v>
      </c>
      <c r="AG227" s="90" t="str">
        <f aca="false">IF(对接源_01水果!$AC227="","",对接源_01水果!$AC227)</f>
        <v/>
      </c>
      <c r="AH227" s="1" t="n">
        <f aca="false">IF(AND($N227=1,AND(LEFT(对接源_01水果!$D227,3)="周转筐",N(对接源_01水果!$K227)&lt;&gt;0)),1,0)</f>
        <v>0</v>
      </c>
      <c r="AI227" s="90" t="n">
        <f aca="false">IF(AG227="",0,IF(MATCH(AG227,$AG$4:$AG$1203,0)=ROW()-3,1,0))</f>
        <v>0</v>
      </c>
      <c r="AJ227" s="90" t="n">
        <f aca="false">N(AJ226)+AI227</f>
        <v>0</v>
      </c>
      <c r="AK227" s="1" t="n">
        <f aca="false">N(AK226)+$AJ227</f>
        <v>0</v>
      </c>
    </row>
    <row r="228" customFormat="false" ht="13.5" hidden="false" customHeight="false" outlineLevel="0" collapsed="false">
      <c r="A228" s="1" t="str">
        <f aca="false">IF(对接源_01水果!$C228="","",对接源_01水果!$C228)</f>
        <v>王照雪</v>
      </c>
      <c r="B228" s="1" t="n">
        <f aca="false">IF(A228="",0,IF(MATCH(A228,$A$4:$A$2403,0)=ROW()-3,1,0))</f>
        <v>0</v>
      </c>
      <c r="C228" s="1" t="n">
        <f aca="false">N(C227)+B228</f>
        <v>13</v>
      </c>
      <c r="E228" s="1" t="str">
        <f aca="false">IFERROR(INDEX($A$4:$A$2403,MATCH(ROW()-3,$C$4:$C$2403,0)),"")</f>
        <v/>
      </c>
      <c r="K228" s="1" t="n">
        <f aca="false">IF(OR($K$1="",对接源_01水果!$C228="",对接源_01水果!$C228&lt;&gt;$K$1,对接源_01水果!$B228=""),0,IF(OR(N(对接源_01水果!$B228)&lt;$K$2,N(对接源_01水果!$B228)&gt;$K$3),0,1))</f>
        <v>1</v>
      </c>
      <c r="L228" s="1" t="n">
        <f aca="false">IF(OR($L$1="",对接源_01水果!$C228="",对接源_01水果!$C228&lt;&gt;$L$1,对接源_01水果!$B228=""),0,IF(OR(N(对接源_01水果!$B228)&lt;$L$2,N(对接源_01水果!$B228)&gt;$L$3),0,1))</f>
        <v>0</v>
      </c>
      <c r="M228" s="1" t="n">
        <f aca="false">IF(OR($M$1="",对接源_01水果!$C228="",对接源_01水果!$C228&lt;&gt;$M$1,对接源_01水果!$B228=""),0,IF(OR(N(对接源_01水果!$B228)&lt;$M$2,N(对接源_01水果!$B228)&gt;$M$3),0,1))</f>
        <v>1</v>
      </c>
      <c r="N228" s="1" t="n">
        <f aca="false">IF(OR($N$1="",对接源_01水果!$C228="",对接源_01水果!$C228&lt;&gt;$N$1,对接源_01水果!$B228=""),0,IF(OR(N(对接源_01水果!$B228)&lt;$N$2,N(对接源_01水果!$B228)&gt;$N$3),0,1))</f>
        <v>0</v>
      </c>
      <c r="P228" s="1" t="n">
        <f aca="false">IF(AND($K228=1,AND(对接源_01水果!$X228="公司筐",N(对接源_01水果!$T228)&lt;&gt;0)),1,0)</f>
        <v>0</v>
      </c>
      <c r="Q228" s="1" t="n">
        <f aca="false">N(Q227)+$P228</f>
        <v>0</v>
      </c>
      <c r="R228" s="1" t="n">
        <f aca="false">IF(AND($K228=1,AND(对接源_01水果!$X228="公司筐",N(对接源_01水果!$U228)&lt;&gt;0)),1,0)</f>
        <v>0</v>
      </c>
      <c r="S228" s="1" t="n">
        <f aca="false">N(S227)+$R228</f>
        <v>0</v>
      </c>
      <c r="T228" s="1" t="n">
        <f aca="false">IF(AND($K228=1,AND(对接源_01水果!$X228="公司筐",N(对接源_01水果!$V228)&lt;&gt;0)),1,0)</f>
        <v>1</v>
      </c>
      <c r="U228" s="1" t="n">
        <f aca="false">N(U227)+$T228</f>
        <v>26</v>
      </c>
      <c r="V228" s="1" t="n">
        <f aca="false">IF(AND($L228=1,AND(对接源_01水果!$X228="自备筐",N(对接源_01水果!$V228)&lt;&gt;0)),1,0)</f>
        <v>0</v>
      </c>
      <c r="W228" s="1" t="n">
        <f aca="false">N(W227)+$V228</f>
        <v>7</v>
      </c>
      <c r="X228" s="1" t="n">
        <f aca="false">IF(AND($L228=1,AND(对接源_01水果!$X228="自备筐",N(对接源_01水果!$T228)&lt;&gt;0)),1,0)</f>
        <v>0</v>
      </c>
      <c r="Y228" s="1" t="n">
        <f aca="false">N(Y227)+$X228</f>
        <v>0</v>
      </c>
      <c r="Z228" s="1" t="n">
        <f aca="false">IF(AND($M228=1,对接源_01水果!$D228="原料入库"),1,0)</f>
        <v>1</v>
      </c>
      <c r="AA228" s="1" t="n">
        <f aca="false">N(AA227)+$Z228</f>
        <v>28</v>
      </c>
      <c r="AB228" s="1" t="n">
        <f aca="false">IF(AND($M228=1,LEFT(对接源_01水果!$D228,4)="原料出库"),1,0)</f>
        <v>0</v>
      </c>
      <c r="AC228" s="1" t="n">
        <f aca="false">N(AC227)+$AB228</f>
        <v>0</v>
      </c>
      <c r="AD228" s="1" t="n">
        <f aca="false">IF(AND($M228=1,LEFT(对接源_01水果!$D228,4)="成品出库"),1,0)</f>
        <v>0</v>
      </c>
      <c r="AE228" s="1" t="n">
        <f aca="false">N(AE227)+$AD228</f>
        <v>0</v>
      </c>
      <c r="AF228" s="1" t="n">
        <f aca="false">IF(AND($N228=1,AND(LEFT(对接源_01水果!$D228,4)="包装物料",N(对接源_01水果!$K228)&lt;&gt;0)),1,0)</f>
        <v>0</v>
      </c>
      <c r="AG228" s="90" t="str">
        <f aca="false">IF(对接源_01水果!$AC228="","",对接源_01水果!$AC228)</f>
        <v/>
      </c>
      <c r="AH228" s="1" t="n">
        <f aca="false">IF(AND($N228=1,AND(LEFT(对接源_01水果!$D228,3)="周转筐",N(对接源_01水果!$K228)&lt;&gt;0)),1,0)</f>
        <v>0</v>
      </c>
      <c r="AI228" s="90" t="n">
        <f aca="false">IF(AG228="",0,IF(MATCH(AG228,$AG$4:$AG$1203,0)=ROW()-3,1,0))</f>
        <v>0</v>
      </c>
      <c r="AJ228" s="90" t="n">
        <f aca="false">N(AJ227)+AI228</f>
        <v>0</v>
      </c>
      <c r="AK228" s="1" t="n">
        <f aca="false">N(AK227)+$AJ228</f>
        <v>0</v>
      </c>
    </row>
    <row r="229" customFormat="false" ht="13.5" hidden="false" customHeight="false" outlineLevel="0" collapsed="false">
      <c r="A229" s="1" t="str">
        <f aca="false">IF(对接源_01水果!$C229="","",对接源_01水果!$C229)</f>
        <v>王照雪</v>
      </c>
      <c r="B229" s="1" t="n">
        <f aca="false">IF(A229="",0,IF(MATCH(A229,$A$4:$A$2403,0)=ROW()-3,1,0))</f>
        <v>0</v>
      </c>
      <c r="C229" s="1" t="n">
        <f aca="false">N(C228)+B229</f>
        <v>13</v>
      </c>
      <c r="E229" s="1" t="str">
        <f aca="false">IFERROR(INDEX($A$4:$A$2403,MATCH(ROW()-3,$C$4:$C$2403,0)),"")</f>
        <v/>
      </c>
      <c r="K229" s="1" t="n">
        <f aca="false">IF(OR($K$1="",对接源_01水果!$C229="",对接源_01水果!$C229&lt;&gt;$K$1,对接源_01水果!$B229=""),0,IF(OR(N(对接源_01水果!$B229)&lt;$K$2,N(对接源_01水果!$B229)&gt;$K$3),0,1))</f>
        <v>1</v>
      </c>
      <c r="L229" s="1" t="n">
        <f aca="false">IF(OR($L$1="",对接源_01水果!$C229="",对接源_01水果!$C229&lt;&gt;$L$1,对接源_01水果!$B229=""),0,IF(OR(N(对接源_01水果!$B229)&lt;$L$2,N(对接源_01水果!$B229)&gt;$L$3),0,1))</f>
        <v>0</v>
      </c>
      <c r="M229" s="1" t="n">
        <f aca="false">IF(OR($M$1="",对接源_01水果!$C229="",对接源_01水果!$C229&lt;&gt;$M$1,对接源_01水果!$B229=""),0,IF(OR(N(对接源_01水果!$B229)&lt;$M$2,N(对接源_01水果!$B229)&gt;$M$3),0,1))</f>
        <v>1</v>
      </c>
      <c r="N229" s="1" t="n">
        <f aca="false">IF(OR($N$1="",对接源_01水果!$C229="",对接源_01水果!$C229&lt;&gt;$N$1,对接源_01水果!$B229=""),0,IF(OR(N(对接源_01水果!$B229)&lt;$N$2,N(对接源_01水果!$B229)&gt;$N$3),0,1))</f>
        <v>0</v>
      </c>
      <c r="P229" s="1" t="n">
        <f aca="false">IF(AND($K229=1,AND(对接源_01水果!$X229="公司筐",N(对接源_01水果!$T229)&lt;&gt;0)),1,0)</f>
        <v>0</v>
      </c>
      <c r="Q229" s="1" t="n">
        <f aca="false">N(Q228)+$P229</f>
        <v>0</v>
      </c>
      <c r="R229" s="1" t="n">
        <f aca="false">IF(AND($K229=1,AND(对接源_01水果!$X229="公司筐",N(对接源_01水果!$U229)&lt;&gt;0)),1,0)</f>
        <v>0</v>
      </c>
      <c r="S229" s="1" t="n">
        <f aca="false">N(S228)+$R229</f>
        <v>0</v>
      </c>
      <c r="T229" s="1" t="n">
        <f aca="false">IF(AND($K229=1,AND(对接源_01水果!$X229="公司筐",N(对接源_01水果!$V229)&lt;&gt;0)),1,0)</f>
        <v>1</v>
      </c>
      <c r="U229" s="1" t="n">
        <f aca="false">N(U228)+$T229</f>
        <v>27</v>
      </c>
      <c r="V229" s="1" t="n">
        <f aca="false">IF(AND($L229=1,AND(对接源_01水果!$X229="自备筐",N(对接源_01水果!$V229)&lt;&gt;0)),1,0)</f>
        <v>0</v>
      </c>
      <c r="W229" s="1" t="n">
        <f aca="false">N(W228)+$V229</f>
        <v>7</v>
      </c>
      <c r="X229" s="1" t="n">
        <f aca="false">IF(AND($L229=1,AND(对接源_01水果!$X229="自备筐",N(对接源_01水果!$T229)&lt;&gt;0)),1,0)</f>
        <v>0</v>
      </c>
      <c r="Y229" s="1" t="n">
        <f aca="false">N(Y228)+$X229</f>
        <v>0</v>
      </c>
      <c r="Z229" s="1" t="n">
        <f aca="false">IF(AND($M229=1,对接源_01水果!$D229="原料入库"),1,0)</f>
        <v>1</v>
      </c>
      <c r="AA229" s="1" t="n">
        <f aca="false">N(AA228)+$Z229</f>
        <v>29</v>
      </c>
      <c r="AB229" s="1" t="n">
        <f aca="false">IF(AND($M229=1,LEFT(对接源_01水果!$D229,4)="原料出库"),1,0)</f>
        <v>0</v>
      </c>
      <c r="AC229" s="1" t="n">
        <f aca="false">N(AC228)+$AB229</f>
        <v>0</v>
      </c>
      <c r="AD229" s="1" t="n">
        <f aca="false">IF(AND($M229=1,LEFT(对接源_01水果!$D229,4)="成品出库"),1,0)</f>
        <v>0</v>
      </c>
      <c r="AE229" s="1" t="n">
        <f aca="false">N(AE228)+$AD229</f>
        <v>0</v>
      </c>
      <c r="AF229" s="1" t="n">
        <f aca="false">IF(AND($N229=1,AND(LEFT(对接源_01水果!$D229,4)="包装物料",N(对接源_01水果!$K229)&lt;&gt;0)),1,0)</f>
        <v>0</v>
      </c>
      <c r="AG229" s="90" t="str">
        <f aca="false">IF(对接源_01水果!$AC229="","",对接源_01水果!$AC229)</f>
        <v/>
      </c>
      <c r="AH229" s="1" t="n">
        <f aca="false">IF(AND($N229=1,AND(LEFT(对接源_01水果!$D229,3)="周转筐",N(对接源_01水果!$K229)&lt;&gt;0)),1,0)</f>
        <v>0</v>
      </c>
      <c r="AI229" s="90" t="n">
        <f aca="false">IF(AG229="",0,IF(MATCH(AG229,$AG$4:$AG$1203,0)=ROW()-3,1,0))</f>
        <v>0</v>
      </c>
      <c r="AJ229" s="90" t="n">
        <f aca="false">N(AJ228)+AI229</f>
        <v>0</v>
      </c>
      <c r="AK229" s="1" t="n">
        <f aca="false">N(AK228)+$AJ229</f>
        <v>0</v>
      </c>
    </row>
    <row r="230" customFormat="false" ht="13.5" hidden="false" customHeight="false" outlineLevel="0" collapsed="false">
      <c r="A230" s="1" t="str">
        <f aca="false">IF(对接源_01水果!$C230="","",对接源_01水果!$C230)</f>
        <v>王照雪</v>
      </c>
      <c r="B230" s="1" t="n">
        <f aca="false">IF(A230="",0,IF(MATCH(A230,$A$4:$A$2403,0)=ROW()-3,1,0))</f>
        <v>0</v>
      </c>
      <c r="C230" s="1" t="n">
        <f aca="false">N(C229)+B230</f>
        <v>13</v>
      </c>
      <c r="E230" s="1" t="str">
        <f aca="false">IFERROR(INDEX($A$4:$A$2403,MATCH(ROW()-3,$C$4:$C$2403,0)),"")</f>
        <v/>
      </c>
      <c r="K230" s="1" t="n">
        <f aca="false">IF(OR($K$1="",对接源_01水果!$C230="",对接源_01水果!$C230&lt;&gt;$K$1,对接源_01水果!$B230=""),0,IF(OR(N(对接源_01水果!$B230)&lt;$K$2,N(对接源_01水果!$B230)&gt;$K$3),0,1))</f>
        <v>1</v>
      </c>
      <c r="L230" s="1" t="n">
        <f aca="false">IF(OR($L$1="",对接源_01水果!$C230="",对接源_01水果!$C230&lt;&gt;$L$1,对接源_01水果!$B230=""),0,IF(OR(N(对接源_01水果!$B230)&lt;$L$2,N(对接源_01水果!$B230)&gt;$L$3),0,1))</f>
        <v>0</v>
      </c>
      <c r="M230" s="1" t="n">
        <f aca="false">IF(OR($M$1="",对接源_01水果!$C230="",对接源_01水果!$C230&lt;&gt;$M$1,对接源_01水果!$B230=""),0,IF(OR(N(对接源_01水果!$B230)&lt;$M$2,N(对接源_01水果!$B230)&gt;$M$3),0,1))</f>
        <v>1</v>
      </c>
      <c r="N230" s="1" t="n">
        <f aca="false">IF(OR($N$1="",对接源_01水果!$C230="",对接源_01水果!$C230&lt;&gt;$N$1,对接源_01水果!$B230=""),0,IF(OR(N(对接源_01水果!$B230)&lt;$N$2,N(对接源_01水果!$B230)&gt;$N$3),0,1))</f>
        <v>0</v>
      </c>
      <c r="P230" s="1" t="n">
        <f aca="false">IF(AND($K230=1,AND(对接源_01水果!$X230="公司筐",N(对接源_01水果!$T230)&lt;&gt;0)),1,0)</f>
        <v>0</v>
      </c>
      <c r="Q230" s="1" t="n">
        <f aca="false">N(Q229)+$P230</f>
        <v>0</v>
      </c>
      <c r="R230" s="1" t="n">
        <f aca="false">IF(AND($K230=1,AND(对接源_01水果!$X230="公司筐",N(对接源_01水果!$U230)&lt;&gt;0)),1,0)</f>
        <v>0</v>
      </c>
      <c r="S230" s="1" t="n">
        <f aca="false">N(S229)+$R230</f>
        <v>0</v>
      </c>
      <c r="T230" s="1" t="n">
        <f aca="false">IF(AND($K230=1,AND(对接源_01水果!$X230="公司筐",N(对接源_01水果!$V230)&lt;&gt;0)),1,0)</f>
        <v>1</v>
      </c>
      <c r="U230" s="1" t="n">
        <f aca="false">N(U229)+$T230</f>
        <v>28</v>
      </c>
      <c r="V230" s="1" t="n">
        <f aca="false">IF(AND($L230=1,AND(对接源_01水果!$X230="自备筐",N(对接源_01水果!$V230)&lt;&gt;0)),1,0)</f>
        <v>0</v>
      </c>
      <c r="W230" s="1" t="n">
        <f aca="false">N(W229)+$V230</f>
        <v>7</v>
      </c>
      <c r="X230" s="1" t="n">
        <f aca="false">IF(AND($L230=1,AND(对接源_01水果!$X230="自备筐",N(对接源_01水果!$T230)&lt;&gt;0)),1,0)</f>
        <v>0</v>
      </c>
      <c r="Y230" s="1" t="n">
        <f aca="false">N(Y229)+$X230</f>
        <v>0</v>
      </c>
      <c r="Z230" s="1" t="n">
        <f aca="false">IF(AND($M230=1,对接源_01水果!$D230="原料入库"),1,0)</f>
        <v>1</v>
      </c>
      <c r="AA230" s="1" t="n">
        <f aca="false">N(AA229)+$Z230</f>
        <v>30</v>
      </c>
      <c r="AB230" s="1" t="n">
        <f aca="false">IF(AND($M230=1,LEFT(对接源_01水果!$D230,4)="原料出库"),1,0)</f>
        <v>0</v>
      </c>
      <c r="AC230" s="1" t="n">
        <f aca="false">N(AC229)+$AB230</f>
        <v>0</v>
      </c>
      <c r="AD230" s="1" t="n">
        <f aca="false">IF(AND($M230=1,LEFT(对接源_01水果!$D230,4)="成品出库"),1,0)</f>
        <v>0</v>
      </c>
      <c r="AE230" s="1" t="n">
        <f aca="false">N(AE229)+$AD230</f>
        <v>0</v>
      </c>
      <c r="AF230" s="1" t="n">
        <f aca="false">IF(AND($N230=1,AND(LEFT(对接源_01水果!$D230,4)="包装物料",N(对接源_01水果!$K230)&lt;&gt;0)),1,0)</f>
        <v>0</v>
      </c>
      <c r="AG230" s="90" t="str">
        <f aca="false">IF(对接源_01水果!$AC230="","",对接源_01水果!$AC230)</f>
        <v/>
      </c>
      <c r="AH230" s="1" t="n">
        <f aca="false">IF(AND($N230=1,AND(LEFT(对接源_01水果!$D230,3)="周转筐",N(对接源_01水果!$K230)&lt;&gt;0)),1,0)</f>
        <v>0</v>
      </c>
      <c r="AI230" s="90" t="n">
        <f aca="false">IF(AG230="",0,IF(MATCH(AG230,$AG$4:$AG$1203,0)=ROW()-3,1,0))</f>
        <v>0</v>
      </c>
      <c r="AJ230" s="90" t="n">
        <f aca="false">N(AJ229)+AI230</f>
        <v>0</v>
      </c>
      <c r="AK230" s="1" t="n">
        <f aca="false">N(AK229)+$AJ230</f>
        <v>0</v>
      </c>
    </row>
    <row r="231" customFormat="false" ht="13.5" hidden="false" customHeight="false" outlineLevel="0" collapsed="false">
      <c r="A231" s="1" t="str">
        <f aca="false">IF(对接源_01水果!$C231="","",对接源_01水果!$C231)</f>
        <v>王照雪</v>
      </c>
      <c r="B231" s="1" t="n">
        <f aca="false">IF(A231="",0,IF(MATCH(A231,$A$4:$A$2403,0)=ROW()-3,1,0))</f>
        <v>0</v>
      </c>
      <c r="C231" s="1" t="n">
        <f aca="false">N(C230)+B231</f>
        <v>13</v>
      </c>
      <c r="E231" s="1" t="str">
        <f aca="false">IFERROR(INDEX($A$4:$A$2403,MATCH(ROW()-3,$C$4:$C$2403,0)),"")</f>
        <v/>
      </c>
      <c r="K231" s="1" t="n">
        <f aca="false">IF(OR($K$1="",对接源_01水果!$C231="",对接源_01水果!$C231&lt;&gt;$K$1,对接源_01水果!$B231=""),0,IF(OR(N(对接源_01水果!$B231)&lt;$K$2,N(对接源_01水果!$B231)&gt;$K$3),0,1))</f>
        <v>1</v>
      </c>
      <c r="L231" s="1" t="n">
        <f aca="false">IF(OR($L$1="",对接源_01水果!$C231="",对接源_01水果!$C231&lt;&gt;$L$1,对接源_01水果!$B231=""),0,IF(OR(N(对接源_01水果!$B231)&lt;$L$2,N(对接源_01水果!$B231)&gt;$L$3),0,1))</f>
        <v>0</v>
      </c>
      <c r="M231" s="1" t="n">
        <f aca="false">IF(OR($M$1="",对接源_01水果!$C231="",对接源_01水果!$C231&lt;&gt;$M$1,对接源_01水果!$B231=""),0,IF(OR(N(对接源_01水果!$B231)&lt;$M$2,N(对接源_01水果!$B231)&gt;$M$3),0,1))</f>
        <v>1</v>
      </c>
      <c r="N231" s="1" t="n">
        <f aca="false">IF(OR($N$1="",对接源_01水果!$C231="",对接源_01水果!$C231&lt;&gt;$N$1,对接源_01水果!$B231=""),0,IF(OR(N(对接源_01水果!$B231)&lt;$N$2,N(对接源_01水果!$B231)&gt;$N$3),0,1))</f>
        <v>0</v>
      </c>
      <c r="P231" s="1" t="n">
        <f aca="false">IF(AND($K231=1,AND(对接源_01水果!$X231="公司筐",N(对接源_01水果!$T231)&lt;&gt;0)),1,0)</f>
        <v>0</v>
      </c>
      <c r="Q231" s="1" t="n">
        <f aca="false">N(Q230)+$P231</f>
        <v>0</v>
      </c>
      <c r="R231" s="1" t="n">
        <f aca="false">IF(AND($K231=1,AND(对接源_01水果!$X231="公司筐",N(对接源_01水果!$U231)&lt;&gt;0)),1,0)</f>
        <v>0</v>
      </c>
      <c r="S231" s="1" t="n">
        <f aca="false">N(S230)+$R231</f>
        <v>0</v>
      </c>
      <c r="T231" s="1" t="n">
        <f aca="false">IF(AND($K231=1,AND(对接源_01水果!$X231="公司筐",N(对接源_01水果!$V231)&lt;&gt;0)),1,0)</f>
        <v>0</v>
      </c>
      <c r="U231" s="1" t="n">
        <f aca="false">N(U230)+$T231</f>
        <v>28</v>
      </c>
      <c r="V231" s="1" t="n">
        <f aca="false">IF(AND($L231=1,AND(对接源_01水果!$X231="自备筐",N(对接源_01水果!$V231)&lt;&gt;0)),1,0)</f>
        <v>0</v>
      </c>
      <c r="W231" s="1" t="n">
        <f aca="false">N(W230)+$V231</f>
        <v>7</v>
      </c>
      <c r="X231" s="1" t="n">
        <f aca="false">IF(AND($L231=1,AND(对接源_01水果!$X231="自备筐",N(对接源_01水果!$T231)&lt;&gt;0)),1,0)</f>
        <v>0</v>
      </c>
      <c r="Y231" s="1" t="n">
        <f aca="false">N(Y230)+$X231</f>
        <v>0</v>
      </c>
      <c r="Z231" s="1" t="n">
        <f aca="false">IF(AND($M231=1,对接源_01水果!$D231="原料入库"),1,0)</f>
        <v>0</v>
      </c>
      <c r="AA231" s="1" t="n">
        <f aca="false">N(AA230)+$Z231</f>
        <v>30</v>
      </c>
      <c r="AB231" s="1" t="n">
        <f aca="false">IF(AND($M231=1,LEFT(对接源_01水果!$D231,4)="原料出库"),1,0)</f>
        <v>1</v>
      </c>
      <c r="AC231" s="1" t="n">
        <f aca="false">N(AC230)+$AB231</f>
        <v>1</v>
      </c>
      <c r="AD231" s="1" t="n">
        <f aca="false">IF(AND($M231=1,LEFT(对接源_01水果!$D231,4)="成品出库"),1,0)</f>
        <v>0</v>
      </c>
      <c r="AE231" s="1" t="n">
        <f aca="false">N(AE230)+$AD231</f>
        <v>0</v>
      </c>
      <c r="AF231" s="1" t="n">
        <f aca="false">IF(AND($N231=1,AND(LEFT(对接源_01水果!$D231,4)="包装物料",N(对接源_01水果!$K231)&lt;&gt;0)),1,0)</f>
        <v>0</v>
      </c>
      <c r="AG231" s="90" t="str">
        <f aca="false">IF(对接源_01水果!$AC231="","",对接源_01水果!$AC231)</f>
        <v/>
      </c>
      <c r="AH231" s="1" t="n">
        <f aca="false">IF(AND($N231=1,AND(LEFT(对接源_01水果!$D231,3)="周转筐",N(对接源_01水果!$K231)&lt;&gt;0)),1,0)</f>
        <v>0</v>
      </c>
      <c r="AI231" s="90" t="n">
        <f aca="false">IF(AG231="",0,IF(MATCH(AG231,$AG$4:$AG$1203,0)=ROW()-3,1,0))</f>
        <v>0</v>
      </c>
      <c r="AJ231" s="90" t="n">
        <f aca="false">N(AJ230)+AI231</f>
        <v>0</v>
      </c>
      <c r="AK231" s="1" t="n">
        <f aca="false">N(AK230)+$AJ231</f>
        <v>0</v>
      </c>
    </row>
    <row r="232" customFormat="false" ht="13.5" hidden="false" customHeight="false" outlineLevel="0" collapsed="false">
      <c r="A232" s="1" t="str">
        <f aca="false">IF(对接源_01水果!$C232="","",对接源_01水果!$C232)</f>
        <v>王照雪</v>
      </c>
      <c r="B232" s="1" t="n">
        <f aca="false">IF(A232="",0,IF(MATCH(A232,$A$4:$A$2403,0)=ROW()-3,1,0))</f>
        <v>0</v>
      </c>
      <c r="C232" s="1" t="n">
        <f aca="false">N(C231)+B232</f>
        <v>13</v>
      </c>
      <c r="E232" s="1" t="str">
        <f aca="false">IFERROR(INDEX($A$4:$A$2403,MATCH(ROW()-3,$C$4:$C$2403,0)),"")</f>
        <v/>
      </c>
      <c r="K232" s="1" t="n">
        <f aca="false">IF(OR($K$1="",对接源_01水果!$C232="",对接源_01水果!$C232&lt;&gt;$K$1,对接源_01水果!$B232=""),0,IF(OR(N(对接源_01水果!$B232)&lt;$K$2,N(对接源_01水果!$B232)&gt;$K$3),0,1))</f>
        <v>1</v>
      </c>
      <c r="L232" s="1" t="n">
        <f aca="false">IF(OR($L$1="",对接源_01水果!$C232="",对接源_01水果!$C232&lt;&gt;$L$1,对接源_01水果!$B232=""),0,IF(OR(N(对接源_01水果!$B232)&lt;$L$2,N(对接源_01水果!$B232)&gt;$L$3),0,1))</f>
        <v>0</v>
      </c>
      <c r="M232" s="1" t="n">
        <f aca="false">IF(OR($M$1="",对接源_01水果!$C232="",对接源_01水果!$C232&lt;&gt;$M$1,对接源_01水果!$B232=""),0,IF(OR(N(对接源_01水果!$B232)&lt;$M$2,N(对接源_01水果!$B232)&gt;$M$3),0,1))</f>
        <v>1</v>
      </c>
      <c r="N232" s="1" t="n">
        <f aca="false">IF(OR($N$1="",对接源_01水果!$C232="",对接源_01水果!$C232&lt;&gt;$N$1,对接源_01水果!$B232=""),0,IF(OR(N(对接源_01水果!$B232)&lt;$N$2,N(对接源_01水果!$B232)&gt;$N$3),0,1))</f>
        <v>0</v>
      </c>
      <c r="P232" s="1" t="n">
        <f aca="false">IF(AND($K232=1,AND(对接源_01水果!$X232="公司筐",N(对接源_01水果!$T232)&lt;&gt;0)),1,0)</f>
        <v>0</v>
      </c>
      <c r="Q232" s="1" t="n">
        <f aca="false">N(Q231)+$P232</f>
        <v>0</v>
      </c>
      <c r="R232" s="1" t="n">
        <f aca="false">IF(AND($K232=1,AND(对接源_01水果!$X232="公司筐",N(对接源_01水果!$U232)&lt;&gt;0)),1,0)</f>
        <v>0</v>
      </c>
      <c r="S232" s="1" t="n">
        <f aca="false">N(S231)+$R232</f>
        <v>0</v>
      </c>
      <c r="T232" s="1" t="n">
        <f aca="false">IF(AND($K232=1,AND(对接源_01水果!$X232="公司筐",N(对接源_01水果!$V232)&lt;&gt;0)),1,0)</f>
        <v>0</v>
      </c>
      <c r="U232" s="1" t="n">
        <f aca="false">N(U231)+$T232</f>
        <v>28</v>
      </c>
      <c r="V232" s="1" t="n">
        <f aca="false">IF(AND($L232=1,AND(对接源_01水果!$X232="自备筐",N(对接源_01水果!$V232)&lt;&gt;0)),1,0)</f>
        <v>0</v>
      </c>
      <c r="W232" s="1" t="n">
        <f aca="false">N(W231)+$V232</f>
        <v>7</v>
      </c>
      <c r="X232" s="1" t="n">
        <f aca="false">IF(AND($L232=1,AND(对接源_01水果!$X232="自备筐",N(对接源_01水果!$T232)&lt;&gt;0)),1,0)</f>
        <v>0</v>
      </c>
      <c r="Y232" s="1" t="n">
        <f aca="false">N(Y231)+$X232</f>
        <v>0</v>
      </c>
      <c r="Z232" s="1" t="n">
        <f aca="false">IF(AND($M232=1,对接源_01水果!$D232="原料入库"),1,0)</f>
        <v>0</v>
      </c>
      <c r="AA232" s="1" t="n">
        <f aca="false">N(AA231)+$Z232</f>
        <v>30</v>
      </c>
      <c r="AB232" s="1" t="n">
        <f aca="false">IF(AND($M232=1,LEFT(对接源_01水果!$D232,4)="原料出库"),1,0)</f>
        <v>1</v>
      </c>
      <c r="AC232" s="1" t="n">
        <f aca="false">N(AC231)+$AB232</f>
        <v>2</v>
      </c>
      <c r="AD232" s="1" t="n">
        <f aca="false">IF(AND($M232=1,LEFT(对接源_01水果!$D232,4)="成品出库"),1,0)</f>
        <v>0</v>
      </c>
      <c r="AE232" s="1" t="n">
        <f aca="false">N(AE231)+$AD232</f>
        <v>0</v>
      </c>
      <c r="AF232" s="1" t="n">
        <f aca="false">IF(AND($N232=1,AND(LEFT(对接源_01水果!$D232,4)="包装物料",N(对接源_01水果!$K232)&lt;&gt;0)),1,0)</f>
        <v>0</v>
      </c>
      <c r="AG232" s="90" t="str">
        <f aca="false">IF(对接源_01水果!$AC232="","",对接源_01水果!$AC232)</f>
        <v/>
      </c>
      <c r="AH232" s="1" t="n">
        <f aca="false">IF(AND($N232=1,AND(LEFT(对接源_01水果!$D232,3)="周转筐",N(对接源_01水果!$K232)&lt;&gt;0)),1,0)</f>
        <v>0</v>
      </c>
      <c r="AI232" s="90" t="n">
        <f aca="false">IF(AG232="",0,IF(MATCH(AG232,$AG$4:$AG$1203,0)=ROW()-3,1,0))</f>
        <v>0</v>
      </c>
      <c r="AJ232" s="90" t="n">
        <f aca="false">N(AJ231)+AI232</f>
        <v>0</v>
      </c>
      <c r="AK232" s="1" t="n">
        <f aca="false">N(AK231)+$AJ232</f>
        <v>0</v>
      </c>
    </row>
    <row r="233" customFormat="false" ht="13.5" hidden="false" customHeight="false" outlineLevel="0" collapsed="false">
      <c r="A233" s="1" t="str">
        <f aca="false">IF(对接源_01水果!$C233="","",对接源_01水果!$C233)</f>
        <v>伍元虎</v>
      </c>
      <c r="B233" s="1" t="n">
        <f aca="false">IF(A233="",0,IF(MATCH(A233,$A$4:$A$2403,0)=ROW()-3,1,0))</f>
        <v>0</v>
      </c>
      <c r="C233" s="1" t="n">
        <f aca="false">N(C232)+B233</f>
        <v>13</v>
      </c>
      <c r="E233" s="1" t="str">
        <f aca="false">IFERROR(INDEX($A$4:$A$2403,MATCH(ROW()-3,$C$4:$C$2403,0)),"")</f>
        <v/>
      </c>
      <c r="K233" s="1" t="n">
        <f aca="false">IF(OR($K$1="",对接源_01水果!$C233="",对接源_01水果!$C233&lt;&gt;$K$1,对接源_01水果!$B233=""),0,IF(OR(N(对接源_01水果!$B233)&lt;$K$2,N(对接源_01水果!$B233)&gt;$K$3),0,1))</f>
        <v>0</v>
      </c>
      <c r="L233" s="1" t="n">
        <f aca="false">IF(OR($L$1="",对接源_01水果!$C233="",对接源_01水果!$C233&lt;&gt;$L$1,对接源_01水果!$B233=""),0,IF(OR(N(对接源_01水果!$B233)&lt;$L$2,N(对接源_01水果!$B233)&gt;$L$3),0,1))</f>
        <v>0</v>
      </c>
      <c r="M233" s="1" t="n">
        <f aca="false">IF(OR($M$1="",对接源_01水果!$C233="",对接源_01水果!$C233&lt;&gt;$M$1,对接源_01水果!$B233=""),0,IF(OR(N(对接源_01水果!$B233)&lt;$M$2,N(对接源_01水果!$B233)&gt;$M$3),0,1))</f>
        <v>0</v>
      </c>
      <c r="N233" s="1" t="n">
        <f aca="false">IF(OR($N$1="",对接源_01水果!$C233="",对接源_01水果!$C233&lt;&gt;$N$1,对接源_01水果!$B233=""),0,IF(OR(N(对接源_01水果!$B233)&lt;$N$2,N(对接源_01水果!$B233)&gt;$N$3),0,1))</f>
        <v>0</v>
      </c>
      <c r="P233" s="1" t="n">
        <f aca="false">IF(AND($K233=1,AND(对接源_01水果!$X233="公司筐",N(对接源_01水果!$T233)&lt;&gt;0)),1,0)</f>
        <v>0</v>
      </c>
      <c r="Q233" s="1" t="n">
        <f aca="false">N(Q232)+$P233</f>
        <v>0</v>
      </c>
      <c r="R233" s="1" t="n">
        <f aca="false">IF(AND($K233=1,AND(对接源_01水果!$X233="公司筐",N(对接源_01水果!$U233)&lt;&gt;0)),1,0)</f>
        <v>0</v>
      </c>
      <c r="S233" s="1" t="n">
        <f aca="false">N(S232)+$R233</f>
        <v>0</v>
      </c>
      <c r="T233" s="1" t="n">
        <f aca="false">IF(AND($K233=1,AND(对接源_01水果!$X233="公司筐",N(对接源_01水果!$V233)&lt;&gt;0)),1,0)</f>
        <v>0</v>
      </c>
      <c r="U233" s="1" t="n">
        <f aca="false">N(U232)+$T233</f>
        <v>28</v>
      </c>
      <c r="V233" s="1" t="n">
        <f aca="false">IF(AND($L233=1,AND(对接源_01水果!$X233="自备筐",N(对接源_01水果!$V233)&lt;&gt;0)),1,0)</f>
        <v>0</v>
      </c>
      <c r="W233" s="1" t="n">
        <f aca="false">N(W232)+$V233</f>
        <v>7</v>
      </c>
      <c r="X233" s="1" t="n">
        <f aca="false">IF(AND($L233=1,AND(对接源_01水果!$X233="自备筐",N(对接源_01水果!$T233)&lt;&gt;0)),1,0)</f>
        <v>0</v>
      </c>
      <c r="Y233" s="1" t="n">
        <f aca="false">N(Y232)+$X233</f>
        <v>0</v>
      </c>
      <c r="Z233" s="1" t="n">
        <f aca="false">IF(AND($M233=1,对接源_01水果!$D233="原料入库"),1,0)</f>
        <v>0</v>
      </c>
      <c r="AA233" s="1" t="n">
        <f aca="false">N(AA232)+$Z233</f>
        <v>30</v>
      </c>
      <c r="AB233" s="1" t="n">
        <f aca="false">IF(AND($M233=1,LEFT(对接源_01水果!$D233,4)="原料出库"),1,0)</f>
        <v>0</v>
      </c>
      <c r="AC233" s="1" t="n">
        <f aca="false">N(AC232)+$AB233</f>
        <v>2</v>
      </c>
      <c r="AD233" s="1" t="n">
        <f aca="false">IF(AND($M233=1,LEFT(对接源_01水果!$D233,4)="成品出库"),1,0)</f>
        <v>0</v>
      </c>
      <c r="AE233" s="1" t="n">
        <f aca="false">N(AE232)+$AD233</f>
        <v>0</v>
      </c>
      <c r="AF233" s="1" t="n">
        <f aca="false">IF(AND($N233=1,AND(LEFT(对接源_01水果!$D233,4)="包装物料",N(对接源_01水果!$K233)&lt;&gt;0)),1,0)</f>
        <v>0</v>
      </c>
      <c r="AG233" s="90" t="str">
        <f aca="false">IF(对接源_01水果!$AC233="","",对接源_01水果!$AC233)</f>
        <v/>
      </c>
      <c r="AH233" s="1" t="n">
        <f aca="false">IF(AND($N233=1,AND(LEFT(对接源_01水果!$D233,3)="周转筐",N(对接源_01水果!$K233)&lt;&gt;0)),1,0)</f>
        <v>0</v>
      </c>
      <c r="AI233" s="90" t="n">
        <f aca="false">IF(AG233="",0,IF(MATCH(AG233,$AG$4:$AG$1203,0)=ROW()-3,1,0))</f>
        <v>0</v>
      </c>
      <c r="AJ233" s="90" t="n">
        <f aca="false">N(AJ232)+AI233</f>
        <v>0</v>
      </c>
      <c r="AK233" s="1" t="n">
        <f aca="false">N(AK232)+$AJ233</f>
        <v>0</v>
      </c>
    </row>
    <row r="234" customFormat="false" ht="13.5" hidden="false" customHeight="false" outlineLevel="0" collapsed="false">
      <c r="A234" s="1" t="str">
        <f aca="false">IF(对接源_01水果!$C234="","",对接源_01水果!$C234)</f>
        <v>聂新平</v>
      </c>
      <c r="B234" s="1" t="n">
        <f aca="false">IF(A234="",0,IF(MATCH(A234,$A$4:$A$2403,0)=ROW()-3,1,0))</f>
        <v>0</v>
      </c>
      <c r="C234" s="1" t="n">
        <f aca="false">N(C233)+B234</f>
        <v>13</v>
      </c>
      <c r="E234" s="1" t="str">
        <f aca="false">IFERROR(INDEX($A$4:$A$2403,MATCH(ROW()-3,$C$4:$C$2403,0)),"")</f>
        <v/>
      </c>
      <c r="K234" s="1" t="n">
        <f aca="false">IF(OR($K$1="",对接源_01水果!$C234="",对接源_01水果!$C234&lt;&gt;$K$1,对接源_01水果!$B234=""),0,IF(OR(N(对接源_01水果!$B234)&lt;$K$2,N(对接源_01水果!$B234)&gt;$K$3),0,1))</f>
        <v>0</v>
      </c>
      <c r="L234" s="1" t="n">
        <f aca="false">IF(OR($L$1="",对接源_01水果!$C234="",对接源_01水果!$C234&lt;&gt;$L$1,对接源_01水果!$B234=""),0,IF(OR(N(对接源_01水果!$B234)&lt;$L$2,N(对接源_01水果!$B234)&gt;$L$3),0,1))</f>
        <v>0</v>
      </c>
      <c r="M234" s="1" t="n">
        <f aca="false">IF(OR($M$1="",对接源_01水果!$C234="",对接源_01水果!$C234&lt;&gt;$M$1,对接源_01水果!$B234=""),0,IF(OR(N(对接源_01水果!$B234)&lt;$M$2,N(对接源_01水果!$B234)&gt;$M$3),0,1))</f>
        <v>0</v>
      </c>
      <c r="N234" s="1" t="n">
        <f aca="false">IF(OR($N$1="",对接源_01水果!$C234="",对接源_01水果!$C234&lt;&gt;$N$1,对接源_01水果!$B234=""),0,IF(OR(N(对接源_01水果!$B234)&lt;$N$2,N(对接源_01水果!$B234)&gt;$N$3),0,1))</f>
        <v>0</v>
      </c>
      <c r="P234" s="1" t="n">
        <f aca="false">IF(AND($K234=1,AND(对接源_01水果!$X234="公司筐",N(对接源_01水果!$T234)&lt;&gt;0)),1,0)</f>
        <v>0</v>
      </c>
      <c r="Q234" s="1" t="n">
        <f aca="false">N(Q233)+$P234</f>
        <v>0</v>
      </c>
      <c r="R234" s="1" t="n">
        <f aca="false">IF(AND($K234=1,AND(对接源_01水果!$X234="公司筐",N(对接源_01水果!$U234)&lt;&gt;0)),1,0)</f>
        <v>0</v>
      </c>
      <c r="S234" s="1" t="n">
        <f aca="false">N(S233)+$R234</f>
        <v>0</v>
      </c>
      <c r="T234" s="1" t="n">
        <f aca="false">IF(AND($K234=1,AND(对接源_01水果!$X234="公司筐",N(对接源_01水果!$V234)&lt;&gt;0)),1,0)</f>
        <v>0</v>
      </c>
      <c r="U234" s="1" t="n">
        <f aca="false">N(U233)+$T234</f>
        <v>28</v>
      </c>
      <c r="V234" s="1" t="n">
        <f aca="false">IF(AND($L234=1,AND(对接源_01水果!$X234="自备筐",N(对接源_01水果!$V234)&lt;&gt;0)),1,0)</f>
        <v>0</v>
      </c>
      <c r="W234" s="1" t="n">
        <f aca="false">N(W233)+$V234</f>
        <v>7</v>
      </c>
      <c r="X234" s="1" t="n">
        <f aca="false">IF(AND($L234=1,AND(对接源_01水果!$X234="自备筐",N(对接源_01水果!$T234)&lt;&gt;0)),1,0)</f>
        <v>0</v>
      </c>
      <c r="Y234" s="1" t="n">
        <f aca="false">N(Y233)+$X234</f>
        <v>0</v>
      </c>
      <c r="Z234" s="1" t="n">
        <f aca="false">IF(AND($M234=1,对接源_01水果!$D234="原料入库"),1,0)</f>
        <v>0</v>
      </c>
      <c r="AA234" s="1" t="n">
        <f aca="false">N(AA233)+$Z234</f>
        <v>30</v>
      </c>
      <c r="AB234" s="1" t="n">
        <f aca="false">IF(AND($M234=1,LEFT(对接源_01水果!$D234,4)="原料出库"),1,0)</f>
        <v>0</v>
      </c>
      <c r="AC234" s="1" t="n">
        <f aca="false">N(AC233)+$AB234</f>
        <v>2</v>
      </c>
      <c r="AD234" s="1" t="n">
        <f aca="false">IF(AND($M234=1,LEFT(对接源_01水果!$D234,4)="成品出库"),1,0)</f>
        <v>0</v>
      </c>
      <c r="AE234" s="1" t="n">
        <f aca="false">N(AE233)+$AD234</f>
        <v>0</v>
      </c>
      <c r="AF234" s="1" t="n">
        <f aca="false">IF(AND($N234=1,AND(LEFT(对接源_01水果!$D234,4)="包装物料",N(对接源_01水果!$K234)&lt;&gt;0)),1,0)</f>
        <v>0</v>
      </c>
      <c r="AG234" s="90" t="str">
        <f aca="false">IF(对接源_01水果!$AC234="","",对接源_01水果!$AC234)</f>
        <v/>
      </c>
      <c r="AH234" s="1" t="n">
        <f aca="false">IF(AND($N234=1,AND(LEFT(对接源_01水果!$D234,3)="周转筐",N(对接源_01水果!$K234)&lt;&gt;0)),1,0)</f>
        <v>0</v>
      </c>
      <c r="AI234" s="90" t="n">
        <f aca="false">IF(AG234="",0,IF(MATCH(AG234,$AG$4:$AG$1203,0)=ROW()-3,1,0))</f>
        <v>0</v>
      </c>
      <c r="AJ234" s="90" t="n">
        <f aca="false">N(AJ233)+AI234</f>
        <v>0</v>
      </c>
      <c r="AK234" s="1" t="n">
        <f aca="false">N(AK233)+$AJ234</f>
        <v>0</v>
      </c>
    </row>
    <row r="235" customFormat="false" ht="13.5" hidden="false" customHeight="false" outlineLevel="0" collapsed="false">
      <c r="A235" s="1" t="str">
        <f aca="false">IF(对接源_01水果!$C235="","",对接源_01水果!$C235)</f>
        <v>聂新平</v>
      </c>
      <c r="B235" s="1" t="n">
        <f aca="false">IF(A235="",0,IF(MATCH(A235,$A$4:$A$2403,0)=ROW()-3,1,0))</f>
        <v>0</v>
      </c>
      <c r="C235" s="1" t="n">
        <f aca="false">N(C234)+B235</f>
        <v>13</v>
      </c>
      <c r="E235" s="1" t="str">
        <f aca="false">IFERROR(INDEX($A$4:$A$2403,MATCH(ROW()-3,$C$4:$C$2403,0)),"")</f>
        <v/>
      </c>
      <c r="K235" s="1" t="n">
        <f aca="false">IF(OR($K$1="",对接源_01水果!$C235="",对接源_01水果!$C235&lt;&gt;$K$1,对接源_01水果!$B235=""),0,IF(OR(N(对接源_01水果!$B235)&lt;$K$2,N(对接源_01水果!$B235)&gt;$K$3),0,1))</f>
        <v>0</v>
      </c>
      <c r="L235" s="1" t="n">
        <f aca="false">IF(OR($L$1="",对接源_01水果!$C235="",对接源_01水果!$C235&lt;&gt;$L$1,对接源_01水果!$B235=""),0,IF(OR(N(对接源_01水果!$B235)&lt;$L$2,N(对接源_01水果!$B235)&gt;$L$3),0,1))</f>
        <v>0</v>
      </c>
      <c r="M235" s="1" t="n">
        <f aca="false">IF(OR($M$1="",对接源_01水果!$C235="",对接源_01水果!$C235&lt;&gt;$M$1,对接源_01水果!$B235=""),0,IF(OR(N(对接源_01水果!$B235)&lt;$M$2,N(对接源_01水果!$B235)&gt;$M$3),0,1))</f>
        <v>0</v>
      </c>
      <c r="N235" s="1" t="n">
        <f aca="false">IF(OR($N$1="",对接源_01水果!$C235="",对接源_01水果!$C235&lt;&gt;$N$1,对接源_01水果!$B235=""),0,IF(OR(N(对接源_01水果!$B235)&lt;$N$2,N(对接源_01水果!$B235)&gt;$N$3),0,1))</f>
        <v>0</v>
      </c>
      <c r="P235" s="1" t="n">
        <f aca="false">IF(AND($K235=1,AND(对接源_01水果!$X235="公司筐",N(对接源_01水果!$T235)&lt;&gt;0)),1,0)</f>
        <v>0</v>
      </c>
      <c r="Q235" s="1" t="n">
        <f aca="false">N(Q234)+$P235</f>
        <v>0</v>
      </c>
      <c r="R235" s="1" t="n">
        <f aca="false">IF(AND($K235=1,AND(对接源_01水果!$X235="公司筐",N(对接源_01水果!$U235)&lt;&gt;0)),1,0)</f>
        <v>0</v>
      </c>
      <c r="S235" s="1" t="n">
        <f aca="false">N(S234)+$R235</f>
        <v>0</v>
      </c>
      <c r="T235" s="1" t="n">
        <f aca="false">IF(AND($K235=1,AND(对接源_01水果!$X235="公司筐",N(对接源_01水果!$V235)&lt;&gt;0)),1,0)</f>
        <v>0</v>
      </c>
      <c r="U235" s="1" t="n">
        <f aca="false">N(U234)+$T235</f>
        <v>28</v>
      </c>
      <c r="V235" s="1" t="n">
        <f aca="false">IF(AND($L235=1,AND(对接源_01水果!$X235="自备筐",N(对接源_01水果!$V235)&lt;&gt;0)),1,0)</f>
        <v>0</v>
      </c>
      <c r="W235" s="1" t="n">
        <f aca="false">N(W234)+$V235</f>
        <v>7</v>
      </c>
      <c r="X235" s="1" t="n">
        <f aca="false">IF(AND($L235=1,AND(对接源_01水果!$X235="自备筐",N(对接源_01水果!$T235)&lt;&gt;0)),1,0)</f>
        <v>0</v>
      </c>
      <c r="Y235" s="1" t="n">
        <f aca="false">N(Y234)+$X235</f>
        <v>0</v>
      </c>
      <c r="Z235" s="1" t="n">
        <f aca="false">IF(AND($M235=1,对接源_01水果!$D235="原料入库"),1,0)</f>
        <v>0</v>
      </c>
      <c r="AA235" s="1" t="n">
        <f aca="false">N(AA234)+$Z235</f>
        <v>30</v>
      </c>
      <c r="AB235" s="1" t="n">
        <f aca="false">IF(AND($M235=1,LEFT(对接源_01水果!$D235,4)="原料出库"),1,0)</f>
        <v>0</v>
      </c>
      <c r="AC235" s="1" t="n">
        <f aca="false">N(AC234)+$AB235</f>
        <v>2</v>
      </c>
      <c r="AD235" s="1" t="n">
        <f aca="false">IF(AND($M235=1,LEFT(对接源_01水果!$D235,4)="成品出库"),1,0)</f>
        <v>0</v>
      </c>
      <c r="AE235" s="1" t="n">
        <f aca="false">N(AE234)+$AD235</f>
        <v>0</v>
      </c>
      <c r="AF235" s="1" t="n">
        <f aca="false">IF(AND($N235=1,AND(LEFT(对接源_01水果!$D235,4)="包装物料",N(对接源_01水果!$K235)&lt;&gt;0)),1,0)</f>
        <v>0</v>
      </c>
      <c r="AG235" s="90" t="str">
        <f aca="false">IF(对接源_01水果!$AC235="","",对接源_01水果!$AC235)</f>
        <v/>
      </c>
      <c r="AH235" s="1" t="n">
        <f aca="false">IF(AND($N235=1,AND(LEFT(对接源_01水果!$D235,3)="周转筐",N(对接源_01水果!$K235)&lt;&gt;0)),1,0)</f>
        <v>0</v>
      </c>
      <c r="AI235" s="90" t="n">
        <f aca="false">IF(AG235="",0,IF(MATCH(AG235,$AG$4:$AG$1203,0)=ROW()-3,1,0))</f>
        <v>0</v>
      </c>
      <c r="AJ235" s="90" t="n">
        <f aca="false">N(AJ234)+AI235</f>
        <v>0</v>
      </c>
      <c r="AK235" s="1" t="n">
        <f aca="false">N(AK234)+$AJ235</f>
        <v>0</v>
      </c>
    </row>
    <row r="236" customFormat="false" ht="13.5" hidden="false" customHeight="false" outlineLevel="0" collapsed="false">
      <c r="A236" s="1" t="str">
        <f aca="false">IF(对接源_01水果!$C236="","",对接源_01水果!$C236)</f>
        <v>王照雪</v>
      </c>
      <c r="B236" s="1" t="n">
        <f aca="false">IF(A236="",0,IF(MATCH(A236,$A$4:$A$2403,0)=ROW()-3,1,0))</f>
        <v>0</v>
      </c>
      <c r="C236" s="1" t="n">
        <f aca="false">N(C235)+B236</f>
        <v>13</v>
      </c>
      <c r="E236" s="1" t="str">
        <f aca="false">IFERROR(INDEX($A$4:$A$2403,MATCH(ROW()-3,$C$4:$C$2403,0)),"")</f>
        <v/>
      </c>
      <c r="K236" s="1" t="n">
        <f aca="false">IF(OR($K$1="",对接源_01水果!$C236="",对接源_01水果!$C236&lt;&gt;$K$1,对接源_01水果!$B236=""),0,IF(OR(N(对接源_01水果!$B236)&lt;$K$2,N(对接源_01水果!$B236)&gt;$K$3),0,1))</f>
        <v>1</v>
      </c>
      <c r="L236" s="1" t="n">
        <f aca="false">IF(OR($L$1="",对接源_01水果!$C236="",对接源_01水果!$C236&lt;&gt;$L$1,对接源_01水果!$B236=""),0,IF(OR(N(对接源_01水果!$B236)&lt;$L$2,N(对接源_01水果!$B236)&gt;$L$3),0,1))</f>
        <v>0</v>
      </c>
      <c r="M236" s="1" t="n">
        <f aca="false">IF(OR($M$1="",对接源_01水果!$C236="",对接源_01水果!$C236&lt;&gt;$M$1,对接源_01水果!$B236=""),0,IF(OR(N(对接源_01水果!$B236)&lt;$M$2,N(对接源_01水果!$B236)&gt;$M$3),0,1))</f>
        <v>1</v>
      </c>
      <c r="N236" s="1" t="n">
        <f aca="false">IF(OR($N$1="",对接源_01水果!$C236="",对接源_01水果!$C236&lt;&gt;$N$1,对接源_01水果!$B236=""),0,IF(OR(N(对接源_01水果!$B236)&lt;$N$2,N(对接源_01水果!$B236)&gt;$N$3),0,1))</f>
        <v>0</v>
      </c>
      <c r="P236" s="1" t="n">
        <f aca="false">IF(AND($K236=1,AND(对接源_01水果!$X236="公司筐",N(对接源_01水果!$T236)&lt;&gt;0)),1,0)</f>
        <v>1</v>
      </c>
      <c r="Q236" s="1" t="n">
        <f aca="false">N(Q235)+$P236</f>
        <v>1</v>
      </c>
      <c r="R236" s="1" t="n">
        <f aca="false">IF(AND($K236=1,AND(对接源_01水果!$X236="公司筐",N(对接源_01水果!$U236)&lt;&gt;0)),1,0)</f>
        <v>0</v>
      </c>
      <c r="S236" s="1" t="n">
        <f aca="false">N(S235)+$R236</f>
        <v>0</v>
      </c>
      <c r="T236" s="1" t="n">
        <f aca="false">IF(AND($K236=1,AND(对接源_01水果!$X236="公司筐",N(对接源_01水果!$V236)&lt;&gt;0)),1,0)</f>
        <v>0</v>
      </c>
      <c r="U236" s="1" t="n">
        <f aca="false">N(U235)+$T236</f>
        <v>28</v>
      </c>
      <c r="V236" s="1" t="n">
        <f aca="false">IF(AND($L236=1,AND(对接源_01水果!$X236="自备筐",N(对接源_01水果!$V236)&lt;&gt;0)),1,0)</f>
        <v>0</v>
      </c>
      <c r="W236" s="1" t="n">
        <f aca="false">N(W235)+$V236</f>
        <v>7</v>
      </c>
      <c r="X236" s="1" t="n">
        <f aca="false">IF(AND($L236=1,AND(对接源_01水果!$X236="自备筐",N(对接源_01水果!$T236)&lt;&gt;0)),1,0)</f>
        <v>0</v>
      </c>
      <c r="Y236" s="1" t="n">
        <f aca="false">N(Y235)+$X236</f>
        <v>0</v>
      </c>
      <c r="Z236" s="1" t="n">
        <f aca="false">IF(AND($M236=1,对接源_01水果!$D236="原料入库"),1,0)</f>
        <v>0</v>
      </c>
      <c r="AA236" s="1" t="n">
        <f aca="false">N(AA235)+$Z236</f>
        <v>30</v>
      </c>
      <c r="AB236" s="1" t="n">
        <f aca="false">IF(AND($M236=1,LEFT(对接源_01水果!$D236,4)="原料出库"),1,0)</f>
        <v>1</v>
      </c>
      <c r="AC236" s="1" t="n">
        <f aca="false">N(AC235)+$AB236</f>
        <v>3</v>
      </c>
      <c r="AD236" s="1" t="n">
        <f aca="false">IF(AND($M236=1,LEFT(对接源_01水果!$D236,4)="成品出库"),1,0)</f>
        <v>0</v>
      </c>
      <c r="AE236" s="1" t="n">
        <f aca="false">N(AE235)+$AD236</f>
        <v>0</v>
      </c>
      <c r="AF236" s="1" t="n">
        <f aca="false">IF(AND($N236=1,AND(LEFT(对接源_01水果!$D236,4)="包装物料",N(对接源_01水果!$K236)&lt;&gt;0)),1,0)</f>
        <v>0</v>
      </c>
      <c r="AG236" s="90" t="str">
        <f aca="false">IF(对接源_01水果!$AC236="","",对接源_01水果!$AC236)</f>
        <v/>
      </c>
      <c r="AH236" s="1" t="n">
        <f aca="false">IF(AND($N236=1,AND(LEFT(对接源_01水果!$D236,3)="周转筐",N(对接源_01水果!$K236)&lt;&gt;0)),1,0)</f>
        <v>0</v>
      </c>
      <c r="AI236" s="90" t="n">
        <f aca="false">IF(AG236="",0,IF(MATCH(AG236,$AG$4:$AG$1203,0)=ROW()-3,1,0))</f>
        <v>0</v>
      </c>
      <c r="AJ236" s="90" t="n">
        <f aca="false">N(AJ235)+AI236</f>
        <v>0</v>
      </c>
      <c r="AK236" s="1" t="n">
        <f aca="false">N(AK235)+$AJ236</f>
        <v>0</v>
      </c>
    </row>
    <row r="237" customFormat="false" ht="13.5" hidden="false" customHeight="false" outlineLevel="0" collapsed="false">
      <c r="A237" s="1" t="str">
        <f aca="false">IF(对接源_01水果!$C237="","",对接源_01水果!$C237)</f>
        <v>王照雪</v>
      </c>
      <c r="B237" s="1" t="n">
        <f aca="false">IF(A237="",0,IF(MATCH(A237,$A$4:$A$2403,0)=ROW()-3,1,0))</f>
        <v>0</v>
      </c>
      <c r="C237" s="1" t="n">
        <f aca="false">N(C236)+B237</f>
        <v>13</v>
      </c>
      <c r="E237" s="1" t="str">
        <f aca="false">IFERROR(INDEX($A$4:$A$2403,MATCH(ROW()-3,$C$4:$C$2403,0)),"")</f>
        <v/>
      </c>
      <c r="K237" s="1" t="n">
        <f aca="false">IF(OR($K$1="",对接源_01水果!$C237="",对接源_01水果!$C237&lt;&gt;$K$1,对接源_01水果!$B237=""),0,IF(OR(N(对接源_01水果!$B237)&lt;$K$2,N(对接源_01水果!$B237)&gt;$K$3),0,1))</f>
        <v>1</v>
      </c>
      <c r="L237" s="1" t="n">
        <f aca="false">IF(OR($L$1="",对接源_01水果!$C237="",对接源_01水果!$C237&lt;&gt;$L$1,对接源_01水果!$B237=""),0,IF(OR(N(对接源_01水果!$B237)&lt;$L$2,N(对接源_01水果!$B237)&gt;$L$3),0,1))</f>
        <v>0</v>
      </c>
      <c r="M237" s="1" t="n">
        <f aca="false">IF(OR($M$1="",对接源_01水果!$C237="",对接源_01水果!$C237&lt;&gt;$M$1,对接源_01水果!$B237=""),0,IF(OR(N(对接源_01水果!$B237)&lt;$M$2,N(对接源_01水果!$B237)&gt;$M$3),0,1))</f>
        <v>1</v>
      </c>
      <c r="N237" s="1" t="n">
        <f aca="false">IF(OR($N$1="",对接源_01水果!$C237="",对接源_01水果!$C237&lt;&gt;$N$1,对接源_01水果!$B237=""),0,IF(OR(N(对接源_01水果!$B237)&lt;$N$2,N(对接源_01水果!$B237)&gt;$N$3),0,1))</f>
        <v>0</v>
      </c>
      <c r="P237" s="1" t="n">
        <f aca="false">IF(AND($K237=1,AND(对接源_01水果!$X237="公司筐",N(对接源_01水果!$T237)&lt;&gt;0)),1,0)</f>
        <v>0</v>
      </c>
      <c r="Q237" s="1" t="n">
        <f aca="false">N(Q236)+$P237</f>
        <v>1</v>
      </c>
      <c r="R237" s="1" t="n">
        <f aca="false">IF(AND($K237=1,AND(对接源_01水果!$X237="公司筐",N(对接源_01水果!$U237)&lt;&gt;0)),1,0)</f>
        <v>0</v>
      </c>
      <c r="S237" s="1" t="n">
        <f aca="false">N(S236)+$R237</f>
        <v>0</v>
      </c>
      <c r="T237" s="1" t="n">
        <f aca="false">IF(AND($K237=1,AND(对接源_01水果!$X237="公司筐",N(对接源_01水果!$V237)&lt;&gt;0)),1,0)</f>
        <v>0</v>
      </c>
      <c r="U237" s="1" t="n">
        <f aca="false">N(U236)+$T237</f>
        <v>28</v>
      </c>
      <c r="V237" s="1" t="n">
        <f aca="false">IF(AND($L237=1,AND(对接源_01水果!$X237="自备筐",N(对接源_01水果!$V237)&lt;&gt;0)),1,0)</f>
        <v>0</v>
      </c>
      <c r="W237" s="1" t="n">
        <f aca="false">N(W236)+$V237</f>
        <v>7</v>
      </c>
      <c r="X237" s="1" t="n">
        <f aca="false">IF(AND($L237=1,AND(对接源_01水果!$X237="自备筐",N(对接源_01水果!$T237)&lt;&gt;0)),1,0)</f>
        <v>0</v>
      </c>
      <c r="Y237" s="1" t="n">
        <f aca="false">N(Y236)+$X237</f>
        <v>0</v>
      </c>
      <c r="Z237" s="1" t="n">
        <f aca="false">IF(AND($M237=1,对接源_01水果!$D237="原料入库"),1,0)</f>
        <v>0</v>
      </c>
      <c r="AA237" s="1" t="n">
        <f aca="false">N(AA236)+$Z237</f>
        <v>30</v>
      </c>
      <c r="AB237" s="1" t="n">
        <f aca="false">IF(AND($M237=1,LEFT(对接源_01水果!$D237,4)="原料出库"),1,0)</f>
        <v>1</v>
      </c>
      <c r="AC237" s="1" t="n">
        <f aca="false">N(AC236)+$AB237</f>
        <v>4</v>
      </c>
      <c r="AD237" s="1" t="n">
        <f aca="false">IF(AND($M237=1,LEFT(对接源_01水果!$D237,4)="成品出库"),1,0)</f>
        <v>0</v>
      </c>
      <c r="AE237" s="1" t="n">
        <f aca="false">N(AE236)+$AD237</f>
        <v>0</v>
      </c>
      <c r="AF237" s="1" t="n">
        <f aca="false">IF(AND($N237=1,AND(LEFT(对接源_01水果!$D237,4)="包装物料",N(对接源_01水果!$K237)&lt;&gt;0)),1,0)</f>
        <v>0</v>
      </c>
      <c r="AG237" s="90" t="str">
        <f aca="false">IF(对接源_01水果!$AC237="","",对接源_01水果!$AC237)</f>
        <v/>
      </c>
      <c r="AH237" s="1" t="n">
        <f aca="false">IF(AND($N237=1,AND(LEFT(对接源_01水果!$D237,3)="周转筐",N(对接源_01水果!$K237)&lt;&gt;0)),1,0)</f>
        <v>0</v>
      </c>
      <c r="AI237" s="90" t="n">
        <f aca="false">IF(AG237="",0,IF(MATCH(AG237,$AG$4:$AG$1203,0)=ROW()-3,1,0))</f>
        <v>0</v>
      </c>
      <c r="AJ237" s="90" t="n">
        <f aca="false">N(AJ236)+AI237</f>
        <v>0</v>
      </c>
      <c r="AK237" s="1" t="n">
        <f aca="false">N(AK236)+$AJ237</f>
        <v>0</v>
      </c>
    </row>
    <row r="238" customFormat="false" ht="13.5" hidden="false" customHeight="false" outlineLevel="0" collapsed="false">
      <c r="A238" s="1" t="str">
        <f aca="false">IF(对接源_01水果!$C238="","",对接源_01水果!$C238)</f>
        <v>王照雪</v>
      </c>
      <c r="B238" s="1" t="n">
        <f aca="false">IF(A238="",0,IF(MATCH(A238,$A$4:$A$2403,0)=ROW()-3,1,0))</f>
        <v>0</v>
      </c>
      <c r="C238" s="1" t="n">
        <f aca="false">N(C237)+B238</f>
        <v>13</v>
      </c>
      <c r="E238" s="1" t="str">
        <f aca="false">IFERROR(INDEX($A$4:$A$2403,MATCH(ROW()-3,$C$4:$C$2403,0)),"")</f>
        <v/>
      </c>
      <c r="K238" s="1" t="n">
        <f aca="false">IF(OR($K$1="",对接源_01水果!$C238="",对接源_01水果!$C238&lt;&gt;$K$1,对接源_01水果!$B238=""),0,IF(OR(N(对接源_01水果!$B238)&lt;$K$2,N(对接源_01水果!$B238)&gt;$K$3),0,1))</f>
        <v>1</v>
      </c>
      <c r="L238" s="1" t="n">
        <f aca="false">IF(OR($L$1="",对接源_01水果!$C238="",对接源_01水果!$C238&lt;&gt;$L$1,对接源_01水果!$B238=""),0,IF(OR(N(对接源_01水果!$B238)&lt;$L$2,N(对接源_01水果!$B238)&gt;$L$3),0,1))</f>
        <v>0</v>
      </c>
      <c r="M238" s="1" t="n">
        <f aca="false">IF(OR($M$1="",对接源_01水果!$C238="",对接源_01水果!$C238&lt;&gt;$M$1,对接源_01水果!$B238=""),0,IF(OR(N(对接源_01水果!$B238)&lt;$M$2,N(对接源_01水果!$B238)&gt;$M$3),0,1))</f>
        <v>1</v>
      </c>
      <c r="N238" s="1" t="n">
        <f aca="false">IF(OR($N$1="",对接源_01水果!$C238="",对接源_01水果!$C238&lt;&gt;$N$1,对接源_01水果!$B238=""),0,IF(OR(N(对接源_01水果!$B238)&lt;$N$2,N(对接源_01水果!$B238)&gt;$N$3),0,1))</f>
        <v>0</v>
      </c>
      <c r="P238" s="1" t="n">
        <f aca="false">IF(AND($K238=1,AND(对接源_01水果!$X238="公司筐",N(对接源_01水果!$T238)&lt;&gt;0)),1,0)</f>
        <v>0</v>
      </c>
      <c r="Q238" s="1" t="n">
        <f aca="false">N(Q237)+$P238</f>
        <v>1</v>
      </c>
      <c r="R238" s="1" t="n">
        <f aca="false">IF(AND($K238=1,AND(对接源_01水果!$X238="公司筐",N(对接源_01水果!$U238)&lt;&gt;0)),1,0)</f>
        <v>0</v>
      </c>
      <c r="S238" s="1" t="n">
        <f aca="false">N(S237)+$R238</f>
        <v>0</v>
      </c>
      <c r="T238" s="1" t="n">
        <f aca="false">IF(AND($K238=1,AND(对接源_01水果!$X238="公司筐",N(对接源_01水果!$V238)&lt;&gt;0)),1,0)</f>
        <v>0</v>
      </c>
      <c r="U238" s="1" t="n">
        <f aca="false">N(U237)+$T238</f>
        <v>28</v>
      </c>
      <c r="V238" s="1" t="n">
        <f aca="false">IF(AND($L238=1,AND(对接源_01水果!$X238="自备筐",N(对接源_01水果!$V238)&lt;&gt;0)),1,0)</f>
        <v>0</v>
      </c>
      <c r="W238" s="1" t="n">
        <f aca="false">N(W237)+$V238</f>
        <v>7</v>
      </c>
      <c r="X238" s="1" t="n">
        <f aca="false">IF(AND($L238=1,AND(对接源_01水果!$X238="自备筐",N(对接源_01水果!$T238)&lt;&gt;0)),1,0)</f>
        <v>0</v>
      </c>
      <c r="Y238" s="1" t="n">
        <f aca="false">N(Y237)+$X238</f>
        <v>0</v>
      </c>
      <c r="Z238" s="1" t="n">
        <f aca="false">IF(AND($M238=1,对接源_01水果!$D238="原料入库"),1,0)</f>
        <v>0</v>
      </c>
      <c r="AA238" s="1" t="n">
        <f aca="false">N(AA237)+$Z238</f>
        <v>30</v>
      </c>
      <c r="AB238" s="1" t="n">
        <f aca="false">IF(AND($M238=1,LEFT(对接源_01水果!$D238,4)="原料出库"),1,0)</f>
        <v>1</v>
      </c>
      <c r="AC238" s="1" t="n">
        <f aca="false">N(AC237)+$AB238</f>
        <v>5</v>
      </c>
      <c r="AD238" s="1" t="n">
        <f aca="false">IF(AND($M238=1,LEFT(对接源_01水果!$D238,4)="成品出库"),1,0)</f>
        <v>0</v>
      </c>
      <c r="AE238" s="1" t="n">
        <f aca="false">N(AE237)+$AD238</f>
        <v>0</v>
      </c>
      <c r="AF238" s="1" t="n">
        <f aca="false">IF(AND($N238=1,AND(LEFT(对接源_01水果!$D238,4)="包装物料",N(对接源_01水果!$K238)&lt;&gt;0)),1,0)</f>
        <v>0</v>
      </c>
      <c r="AG238" s="90" t="str">
        <f aca="false">IF(对接源_01水果!$AC238="","",对接源_01水果!$AC238)</f>
        <v/>
      </c>
      <c r="AH238" s="1" t="n">
        <f aca="false">IF(AND($N238=1,AND(LEFT(对接源_01水果!$D238,3)="周转筐",N(对接源_01水果!$K238)&lt;&gt;0)),1,0)</f>
        <v>0</v>
      </c>
      <c r="AI238" s="90" t="n">
        <f aca="false">IF(AG238="",0,IF(MATCH(AG238,$AG$4:$AG$1203,0)=ROW()-3,1,0))</f>
        <v>0</v>
      </c>
      <c r="AJ238" s="90" t="n">
        <f aca="false">N(AJ237)+AI238</f>
        <v>0</v>
      </c>
      <c r="AK238" s="1" t="n">
        <f aca="false">N(AK237)+$AJ238</f>
        <v>0</v>
      </c>
    </row>
    <row r="239" customFormat="false" ht="13.5" hidden="false" customHeight="false" outlineLevel="0" collapsed="false">
      <c r="A239" s="1" t="str">
        <f aca="false">IF(对接源_01水果!$C239="","",对接源_01水果!$C239)</f>
        <v>王照雪</v>
      </c>
      <c r="B239" s="1" t="n">
        <f aca="false">IF(A239="",0,IF(MATCH(A239,$A$4:$A$2403,0)=ROW()-3,1,0))</f>
        <v>0</v>
      </c>
      <c r="C239" s="1" t="n">
        <f aca="false">N(C238)+B239</f>
        <v>13</v>
      </c>
      <c r="E239" s="1" t="str">
        <f aca="false">IFERROR(INDEX($A$4:$A$2403,MATCH(ROW()-3,$C$4:$C$2403,0)),"")</f>
        <v/>
      </c>
      <c r="K239" s="1" t="n">
        <f aca="false">IF(OR($K$1="",对接源_01水果!$C239="",对接源_01水果!$C239&lt;&gt;$K$1,对接源_01水果!$B239=""),0,IF(OR(N(对接源_01水果!$B239)&lt;$K$2,N(对接源_01水果!$B239)&gt;$K$3),0,1))</f>
        <v>1</v>
      </c>
      <c r="L239" s="1" t="n">
        <f aca="false">IF(OR($L$1="",对接源_01水果!$C239="",对接源_01水果!$C239&lt;&gt;$L$1,对接源_01水果!$B239=""),0,IF(OR(N(对接源_01水果!$B239)&lt;$L$2,N(对接源_01水果!$B239)&gt;$L$3),0,1))</f>
        <v>0</v>
      </c>
      <c r="M239" s="1" t="n">
        <f aca="false">IF(OR($M$1="",对接源_01水果!$C239="",对接源_01水果!$C239&lt;&gt;$M$1,对接源_01水果!$B239=""),0,IF(OR(N(对接源_01水果!$B239)&lt;$M$2,N(对接源_01水果!$B239)&gt;$M$3),0,1))</f>
        <v>1</v>
      </c>
      <c r="N239" s="1" t="n">
        <f aca="false">IF(OR($N$1="",对接源_01水果!$C239="",对接源_01水果!$C239&lt;&gt;$N$1,对接源_01水果!$B239=""),0,IF(OR(N(对接源_01水果!$B239)&lt;$N$2,N(对接源_01水果!$B239)&gt;$N$3),0,1))</f>
        <v>0</v>
      </c>
      <c r="P239" s="1" t="n">
        <f aca="false">IF(AND($K239=1,AND(对接源_01水果!$X239="公司筐",N(对接源_01水果!$T239)&lt;&gt;0)),1,0)</f>
        <v>0</v>
      </c>
      <c r="Q239" s="1" t="n">
        <f aca="false">N(Q238)+$P239</f>
        <v>1</v>
      </c>
      <c r="R239" s="1" t="n">
        <f aca="false">IF(AND($K239=1,AND(对接源_01水果!$X239="公司筐",N(对接源_01水果!$U239)&lt;&gt;0)),1,0)</f>
        <v>0</v>
      </c>
      <c r="S239" s="1" t="n">
        <f aca="false">N(S238)+$R239</f>
        <v>0</v>
      </c>
      <c r="T239" s="1" t="n">
        <f aca="false">IF(AND($K239=1,AND(对接源_01水果!$X239="公司筐",N(对接源_01水果!$V239)&lt;&gt;0)),1,0)</f>
        <v>0</v>
      </c>
      <c r="U239" s="1" t="n">
        <f aca="false">N(U238)+$T239</f>
        <v>28</v>
      </c>
      <c r="V239" s="1" t="n">
        <f aca="false">IF(AND($L239=1,AND(对接源_01水果!$X239="自备筐",N(对接源_01水果!$V239)&lt;&gt;0)),1,0)</f>
        <v>0</v>
      </c>
      <c r="W239" s="1" t="n">
        <f aca="false">N(W238)+$V239</f>
        <v>7</v>
      </c>
      <c r="X239" s="1" t="n">
        <f aca="false">IF(AND($L239=1,AND(对接源_01水果!$X239="自备筐",N(对接源_01水果!$T239)&lt;&gt;0)),1,0)</f>
        <v>0</v>
      </c>
      <c r="Y239" s="1" t="n">
        <f aca="false">N(Y238)+$X239</f>
        <v>0</v>
      </c>
      <c r="Z239" s="1" t="n">
        <f aca="false">IF(AND($M239=1,对接源_01水果!$D239="原料入库"),1,0)</f>
        <v>0</v>
      </c>
      <c r="AA239" s="1" t="n">
        <f aca="false">N(AA238)+$Z239</f>
        <v>30</v>
      </c>
      <c r="AB239" s="1" t="n">
        <f aca="false">IF(AND($M239=1,LEFT(对接源_01水果!$D239,4)="原料出库"),1,0)</f>
        <v>1</v>
      </c>
      <c r="AC239" s="1" t="n">
        <f aca="false">N(AC238)+$AB239</f>
        <v>6</v>
      </c>
      <c r="AD239" s="1" t="n">
        <f aca="false">IF(AND($M239=1,LEFT(对接源_01水果!$D239,4)="成品出库"),1,0)</f>
        <v>0</v>
      </c>
      <c r="AE239" s="1" t="n">
        <f aca="false">N(AE238)+$AD239</f>
        <v>0</v>
      </c>
      <c r="AF239" s="1" t="n">
        <f aca="false">IF(AND($N239=1,AND(LEFT(对接源_01水果!$D239,4)="包装物料",N(对接源_01水果!$K239)&lt;&gt;0)),1,0)</f>
        <v>0</v>
      </c>
      <c r="AG239" s="90" t="str">
        <f aca="false">IF(对接源_01水果!$AC239="","",对接源_01水果!$AC239)</f>
        <v/>
      </c>
      <c r="AH239" s="1" t="n">
        <f aca="false">IF(AND($N239=1,AND(LEFT(对接源_01水果!$D239,3)="周转筐",N(对接源_01水果!$K239)&lt;&gt;0)),1,0)</f>
        <v>0</v>
      </c>
      <c r="AI239" s="90" t="n">
        <f aca="false">IF(AG239="",0,IF(MATCH(AG239,$AG$4:$AG$1203,0)=ROW()-3,1,0))</f>
        <v>0</v>
      </c>
      <c r="AJ239" s="90" t="n">
        <f aca="false">N(AJ238)+AI239</f>
        <v>0</v>
      </c>
      <c r="AK239" s="1" t="n">
        <f aca="false">N(AK238)+$AJ239</f>
        <v>0</v>
      </c>
    </row>
    <row r="240" customFormat="false" ht="13.5" hidden="false" customHeight="false" outlineLevel="0" collapsed="false">
      <c r="A240" s="1" t="str">
        <f aca="false">IF(对接源_01水果!$C240="","",对接源_01水果!$C240)</f>
        <v>马锦祥</v>
      </c>
      <c r="B240" s="1" t="n">
        <f aca="false">IF(A240="",0,IF(MATCH(A240,$A$4:$A$2403,0)=ROW()-3,1,0))</f>
        <v>0</v>
      </c>
      <c r="C240" s="1" t="n">
        <f aca="false">N(C239)+B240</f>
        <v>13</v>
      </c>
      <c r="E240" s="1" t="str">
        <f aca="false">IFERROR(INDEX($A$4:$A$2403,MATCH(ROW()-3,$C$4:$C$2403,0)),"")</f>
        <v/>
      </c>
      <c r="K240" s="1" t="n">
        <f aca="false">IF(OR($K$1="",对接源_01水果!$C240="",对接源_01水果!$C240&lt;&gt;$K$1,对接源_01水果!$B240=""),0,IF(OR(N(对接源_01水果!$B240)&lt;$K$2,N(对接源_01水果!$B240)&gt;$K$3),0,1))</f>
        <v>0</v>
      </c>
      <c r="L240" s="1" t="n">
        <f aca="false">IF(OR($L$1="",对接源_01水果!$C240="",对接源_01水果!$C240&lt;&gt;$L$1,对接源_01水果!$B240=""),0,IF(OR(N(对接源_01水果!$B240)&lt;$L$2,N(对接源_01水果!$B240)&gt;$L$3),0,1))</f>
        <v>0</v>
      </c>
      <c r="M240" s="1" t="n">
        <f aca="false">IF(OR($M$1="",对接源_01水果!$C240="",对接源_01水果!$C240&lt;&gt;$M$1,对接源_01水果!$B240=""),0,IF(OR(N(对接源_01水果!$B240)&lt;$M$2,N(对接源_01水果!$B240)&gt;$M$3),0,1))</f>
        <v>0</v>
      </c>
      <c r="N240" s="1" t="n">
        <f aca="false">IF(OR($N$1="",对接源_01水果!$C240="",对接源_01水果!$C240&lt;&gt;$N$1,对接源_01水果!$B240=""),0,IF(OR(N(对接源_01水果!$B240)&lt;$N$2,N(对接源_01水果!$B240)&gt;$N$3),0,1))</f>
        <v>0</v>
      </c>
      <c r="P240" s="1" t="n">
        <f aca="false">IF(AND($K240=1,AND(对接源_01水果!$X240="公司筐",N(对接源_01水果!$T240)&lt;&gt;0)),1,0)</f>
        <v>0</v>
      </c>
      <c r="Q240" s="1" t="n">
        <f aca="false">N(Q239)+$P240</f>
        <v>1</v>
      </c>
      <c r="R240" s="1" t="n">
        <f aca="false">IF(AND($K240=1,AND(对接源_01水果!$X240="公司筐",N(对接源_01水果!$U240)&lt;&gt;0)),1,0)</f>
        <v>0</v>
      </c>
      <c r="S240" s="1" t="n">
        <f aca="false">N(S239)+$R240</f>
        <v>0</v>
      </c>
      <c r="T240" s="1" t="n">
        <f aca="false">IF(AND($K240=1,AND(对接源_01水果!$X240="公司筐",N(对接源_01水果!$V240)&lt;&gt;0)),1,0)</f>
        <v>0</v>
      </c>
      <c r="U240" s="1" t="n">
        <f aca="false">N(U239)+$T240</f>
        <v>28</v>
      </c>
      <c r="V240" s="1" t="n">
        <f aca="false">IF(AND($L240=1,AND(对接源_01水果!$X240="自备筐",N(对接源_01水果!$V240)&lt;&gt;0)),1,0)</f>
        <v>0</v>
      </c>
      <c r="W240" s="1" t="n">
        <f aca="false">N(W239)+$V240</f>
        <v>7</v>
      </c>
      <c r="X240" s="1" t="n">
        <f aca="false">IF(AND($L240=1,AND(对接源_01水果!$X240="自备筐",N(对接源_01水果!$T240)&lt;&gt;0)),1,0)</f>
        <v>0</v>
      </c>
      <c r="Y240" s="1" t="n">
        <f aca="false">N(Y239)+$X240</f>
        <v>0</v>
      </c>
      <c r="Z240" s="1" t="n">
        <f aca="false">IF(AND($M240=1,对接源_01水果!$D240="原料入库"),1,0)</f>
        <v>0</v>
      </c>
      <c r="AA240" s="1" t="n">
        <f aca="false">N(AA239)+$Z240</f>
        <v>30</v>
      </c>
      <c r="AB240" s="1" t="n">
        <f aca="false">IF(AND($M240=1,LEFT(对接源_01水果!$D240,4)="原料出库"),1,0)</f>
        <v>0</v>
      </c>
      <c r="AC240" s="1" t="n">
        <f aca="false">N(AC239)+$AB240</f>
        <v>6</v>
      </c>
      <c r="AD240" s="1" t="n">
        <f aca="false">IF(AND($M240=1,LEFT(对接源_01水果!$D240,4)="成品出库"),1,0)</f>
        <v>0</v>
      </c>
      <c r="AE240" s="1" t="n">
        <f aca="false">N(AE239)+$AD240</f>
        <v>0</v>
      </c>
      <c r="AF240" s="1" t="n">
        <f aca="false">IF(AND($N240=1,AND(LEFT(对接源_01水果!$D240,4)="包装物料",N(对接源_01水果!$K240)&lt;&gt;0)),1,0)</f>
        <v>0</v>
      </c>
      <c r="AG240" s="90" t="str">
        <f aca="false">IF(对接源_01水果!$AC240="","",对接源_01水果!$AC240)</f>
        <v/>
      </c>
      <c r="AH240" s="1" t="n">
        <f aca="false">IF(AND($N240=1,AND(LEFT(对接源_01水果!$D240,3)="周转筐",N(对接源_01水果!$K240)&lt;&gt;0)),1,0)</f>
        <v>0</v>
      </c>
      <c r="AI240" s="90" t="n">
        <f aca="false">IF(AG240="",0,IF(MATCH(AG240,$AG$4:$AG$1203,0)=ROW()-3,1,0))</f>
        <v>0</v>
      </c>
      <c r="AJ240" s="90" t="n">
        <f aca="false">N(AJ239)+AI240</f>
        <v>0</v>
      </c>
      <c r="AK240" s="1" t="n">
        <f aca="false">N(AK239)+$AJ240</f>
        <v>0</v>
      </c>
    </row>
    <row r="241" customFormat="false" ht="13.5" hidden="false" customHeight="false" outlineLevel="0" collapsed="false">
      <c r="A241" s="1" t="str">
        <f aca="false">IF(对接源_01水果!$C241="","",对接源_01水果!$C241)</f>
        <v>聂新平</v>
      </c>
      <c r="B241" s="1" t="n">
        <f aca="false">IF(A241="",0,IF(MATCH(A241,$A$4:$A$2403,0)=ROW()-3,1,0))</f>
        <v>0</v>
      </c>
      <c r="C241" s="1" t="n">
        <f aca="false">N(C240)+B241</f>
        <v>13</v>
      </c>
      <c r="E241" s="1" t="str">
        <f aca="false">IFERROR(INDEX($A$4:$A$2403,MATCH(ROW()-3,$C$4:$C$2403,0)),"")</f>
        <v/>
      </c>
      <c r="K241" s="1" t="n">
        <f aca="false">IF(OR($K$1="",对接源_01水果!$C241="",对接源_01水果!$C241&lt;&gt;$K$1,对接源_01水果!$B241=""),0,IF(OR(N(对接源_01水果!$B241)&lt;$K$2,N(对接源_01水果!$B241)&gt;$K$3),0,1))</f>
        <v>0</v>
      </c>
      <c r="L241" s="1" t="n">
        <f aca="false">IF(OR($L$1="",对接源_01水果!$C241="",对接源_01水果!$C241&lt;&gt;$L$1,对接源_01水果!$B241=""),0,IF(OR(N(对接源_01水果!$B241)&lt;$L$2,N(对接源_01水果!$B241)&gt;$L$3),0,1))</f>
        <v>0</v>
      </c>
      <c r="M241" s="1" t="n">
        <f aca="false">IF(OR($M$1="",对接源_01水果!$C241="",对接源_01水果!$C241&lt;&gt;$M$1,对接源_01水果!$B241=""),0,IF(OR(N(对接源_01水果!$B241)&lt;$M$2,N(对接源_01水果!$B241)&gt;$M$3),0,1))</f>
        <v>0</v>
      </c>
      <c r="N241" s="1" t="n">
        <f aca="false">IF(OR($N$1="",对接源_01水果!$C241="",对接源_01水果!$C241&lt;&gt;$N$1,对接源_01水果!$B241=""),0,IF(OR(N(对接源_01水果!$B241)&lt;$N$2,N(对接源_01水果!$B241)&gt;$N$3),0,1))</f>
        <v>0</v>
      </c>
      <c r="P241" s="1" t="n">
        <f aca="false">IF(AND($K241=1,AND(对接源_01水果!$X241="公司筐",N(对接源_01水果!$T241)&lt;&gt;0)),1,0)</f>
        <v>0</v>
      </c>
      <c r="Q241" s="1" t="n">
        <f aca="false">N(Q240)+$P241</f>
        <v>1</v>
      </c>
      <c r="R241" s="1" t="n">
        <f aca="false">IF(AND($K241=1,AND(对接源_01水果!$X241="公司筐",N(对接源_01水果!$U241)&lt;&gt;0)),1,0)</f>
        <v>0</v>
      </c>
      <c r="S241" s="1" t="n">
        <f aca="false">N(S240)+$R241</f>
        <v>0</v>
      </c>
      <c r="T241" s="1" t="n">
        <f aca="false">IF(AND($K241=1,AND(对接源_01水果!$X241="公司筐",N(对接源_01水果!$V241)&lt;&gt;0)),1,0)</f>
        <v>0</v>
      </c>
      <c r="U241" s="1" t="n">
        <f aca="false">N(U240)+$T241</f>
        <v>28</v>
      </c>
      <c r="V241" s="1" t="n">
        <f aca="false">IF(AND($L241=1,AND(对接源_01水果!$X241="自备筐",N(对接源_01水果!$V241)&lt;&gt;0)),1,0)</f>
        <v>0</v>
      </c>
      <c r="W241" s="1" t="n">
        <f aca="false">N(W240)+$V241</f>
        <v>7</v>
      </c>
      <c r="X241" s="1" t="n">
        <f aca="false">IF(AND($L241=1,AND(对接源_01水果!$X241="自备筐",N(对接源_01水果!$T241)&lt;&gt;0)),1,0)</f>
        <v>0</v>
      </c>
      <c r="Y241" s="1" t="n">
        <f aca="false">N(Y240)+$X241</f>
        <v>0</v>
      </c>
      <c r="Z241" s="1" t="n">
        <f aca="false">IF(AND($M241=1,对接源_01水果!$D241="原料入库"),1,0)</f>
        <v>0</v>
      </c>
      <c r="AA241" s="1" t="n">
        <f aca="false">N(AA240)+$Z241</f>
        <v>30</v>
      </c>
      <c r="AB241" s="1" t="n">
        <f aca="false">IF(AND($M241=1,LEFT(对接源_01水果!$D241,4)="原料出库"),1,0)</f>
        <v>0</v>
      </c>
      <c r="AC241" s="1" t="n">
        <f aca="false">N(AC240)+$AB241</f>
        <v>6</v>
      </c>
      <c r="AD241" s="1" t="n">
        <f aca="false">IF(AND($M241=1,LEFT(对接源_01水果!$D241,4)="成品出库"),1,0)</f>
        <v>0</v>
      </c>
      <c r="AE241" s="1" t="n">
        <f aca="false">N(AE240)+$AD241</f>
        <v>0</v>
      </c>
      <c r="AF241" s="1" t="n">
        <f aca="false">IF(AND($N241=1,AND(LEFT(对接源_01水果!$D241,4)="包装物料",N(对接源_01水果!$K241)&lt;&gt;0)),1,0)</f>
        <v>0</v>
      </c>
      <c r="AG241" s="90" t="str">
        <f aca="false">IF(对接源_01水果!$AC241="","",对接源_01水果!$AC241)</f>
        <v/>
      </c>
      <c r="AH241" s="1" t="n">
        <f aca="false">IF(AND($N241=1,AND(LEFT(对接源_01水果!$D241,3)="周转筐",N(对接源_01水果!$K241)&lt;&gt;0)),1,0)</f>
        <v>0</v>
      </c>
      <c r="AI241" s="90" t="n">
        <f aca="false">IF(AG241="",0,IF(MATCH(AG241,$AG$4:$AG$1203,0)=ROW()-3,1,0))</f>
        <v>0</v>
      </c>
      <c r="AJ241" s="90" t="n">
        <f aca="false">N(AJ240)+AI241</f>
        <v>0</v>
      </c>
      <c r="AK241" s="1" t="n">
        <f aca="false">N(AK240)+$AJ241</f>
        <v>0</v>
      </c>
    </row>
    <row r="242" customFormat="false" ht="13.5" hidden="false" customHeight="false" outlineLevel="0" collapsed="false">
      <c r="A242" s="1" t="str">
        <f aca="false">IF(对接源_01水果!$C242="","",对接源_01水果!$C242)</f>
        <v>王照雪</v>
      </c>
      <c r="B242" s="1" t="n">
        <f aca="false">IF(A242="",0,IF(MATCH(A242,$A$4:$A$2403,0)=ROW()-3,1,0))</f>
        <v>0</v>
      </c>
      <c r="C242" s="1" t="n">
        <f aca="false">N(C241)+B242</f>
        <v>13</v>
      </c>
      <c r="E242" s="1" t="str">
        <f aca="false">IFERROR(INDEX($A$4:$A$2403,MATCH(ROW()-3,$C$4:$C$2403,0)),"")</f>
        <v/>
      </c>
      <c r="K242" s="1" t="n">
        <f aca="false">IF(OR($K$1="",对接源_01水果!$C242="",对接源_01水果!$C242&lt;&gt;$K$1,对接源_01水果!$B242=""),0,IF(OR(N(对接源_01水果!$B242)&lt;$K$2,N(对接源_01水果!$B242)&gt;$K$3),0,1))</f>
        <v>1</v>
      </c>
      <c r="L242" s="1" t="n">
        <f aca="false">IF(OR($L$1="",对接源_01水果!$C242="",对接源_01水果!$C242&lt;&gt;$L$1,对接源_01水果!$B242=""),0,IF(OR(N(对接源_01水果!$B242)&lt;$L$2,N(对接源_01水果!$B242)&gt;$L$3),0,1))</f>
        <v>0</v>
      </c>
      <c r="M242" s="1" t="n">
        <f aca="false">IF(OR($M$1="",对接源_01水果!$C242="",对接源_01水果!$C242&lt;&gt;$M$1,对接源_01水果!$B242=""),0,IF(OR(N(对接源_01水果!$B242)&lt;$M$2,N(对接源_01水果!$B242)&gt;$M$3),0,1))</f>
        <v>1</v>
      </c>
      <c r="N242" s="1" t="n">
        <f aca="false">IF(OR($N$1="",对接源_01水果!$C242="",对接源_01水果!$C242&lt;&gt;$N$1,对接源_01水果!$B242=""),0,IF(OR(N(对接源_01水果!$B242)&lt;$N$2,N(对接源_01水果!$B242)&gt;$N$3),0,1))</f>
        <v>0</v>
      </c>
      <c r="P242" s="1" t="n">
        <f aca="false">IF(AND($K242=1,AND(对接源_01水果!$X242="公司筐",N(对接源_01水果!$T242)&lt;&gt;0)),1,0)</f>
        <v>0</v>
      </c>
      <c r="Q242" s="1" t="n">
        <f aca="false">N(Q241)+$P242</f>
        <v>1</v>
      </c>
      <c r="R242" s="1" t="n">
        <f aca="false">IF(AND($K242=1,AND(对接源_01水果!$X242="公司筐",N(对接源_01水果!$U242)&lt;&gt;0)),1,0)</f>
        <v>0</v>
      </c>
      <c r="S242" s="1" t="n">
        <f aca="false">N(S241)+$R242</f>
        <v>0</v>
      </c>
      <c r="T242" s="1" t="n">
        <f aca="false">IF(AND($K242=1,AND(对接源_01水果!$X242="公司筐",N(对接源_01水果!$V242)&lt;&gt;0)),1,0)</f>
        <v>0</v>
      </c>
      <c r="U242" s="1" t="n">
        <f aca="false">N(U241)+$T242</f>
        <v>28</v>
      </c>
      <c r="V242" s="1" t="n">
        <f aca="false">IF(AND($L242=1,AND(对接源_01水果!$X242="自备筐",N(对接源_01水果!$V242)&lt;&gt;0)),1,0)</f>
        <v>0</v>
      </c>
      <c r="W242" s="1" t="n">
        <f aca="false">N(W241)+$V242</f>
        <v>7</v>
      </c>
      <c r="X242" s="1" t="n">
        <f aca="false">IF(AND($L242=1,AND(对接源_01水果!$X242="自备筐",N(对接源_01水果!$T242)&lt;&gt;0)),1,0)</f>
        <v>0</v>
      </c>
      <c r="Y242" s="1" t="n">
        <f aca="false">N(Y241)+$X242</f>
        <v>0</v>
      </c>
      <c r="Z242" s="1" t="n">
        <f aca="false">IF(AND($M242=1,对接源_01水果!$D242="原料入库"),1,0)</f>
        <v>0</v>
      </c>
      <c r="AA242" s="1" t="n">
        <f aca="false">N(AA241)+$Z242</f>
        <v>30</v>
      </c>
      <c r="AB242" s="1" t="n">
        <f aca="false">IF(AND($M242=1,LEFT(对接源_01水果!$D242,4)="原料出库"),1,0)</f>
        <v>1</v>
      </c>
      <c r="AC242" s="1" t="n">
        <f aca="false">N(AC241)+$AB242</f>
        <v>7</v>
      </c>
      <c r="AD242" s="1" t="n">
        <f aca="false">IF(AND($M242=1,LEFT(对接源_01水果!$D242,4)="成品出库"),1,0)</f>
        <v>0</v>
      </c>
      <c r="AE242" s="1" t="n">
        <f aca="false">N(AE241)+$AD242</f>
        <v>0</v>
      </c>
      <c r="AF242" s="1" t="n">
        <f aca="false">IF(AND($N242=1,AND(LEFT(对接源_01水果!$D242,4)="包装物料",N(对接源_01水果!$K242)&lt;&gt;0)),1,0)</f>
        <v>0</v>
      </c>
      <c r="AG242" s="90" t="str">
        <f aca="false">IF(对接源_01水果!$AC242="","",对接源_01水果!$AC242)</f>
        <v/>
      </c>
      <c r="AH242" s="1" t="n">
        <f aca="false">IF(AND($N242=1,AND(LEFT(对接源_01水果!$D242,3)="周转筐",N(对接源_01水果!$K242)&lt;&gt;0)),1,0)</f>
        <v>0</v>
      </c>
      <c r="AI242" s="90" t="n">
        <f aca="false">IF(AG242="",0,IF(MATCH(AG242,$AG$4:$AG$1203,0)=ROW()-3,1,0))</f>
        <v>0</v>
      </c>
      <c r="AJ242" s="90" t="n">
        <f aca="false">N(AJ241)+AI242</f>
        <v>0</v>
      </c>
      <c r="AK242" s="1" t="n">
        <f aca="false">N(AK241)+$AJ242</f>
        <v>0</v>
      </c>
    </row>
    <row r="243" customFormat="false" ht="13.5" hidden="false" customHeight="false" outlineLevel="0" collapsed="false">
      <c r="A243" s="1" t="str">
        <f aca="false">IF(对接源_01水果!$C243="","",对接源_01水果!$C243)</f>
        <v>聂新平</v>
      </c>
      <c r="B243" s="1" t="n">
        <f aca="false">IF(A243="",0,IF(MATCH(A243,$A$4:$A$2403,0)=ROW()-3,1,0))</f>
        <v>0</v>
      </c>
      <c r="C243" s="1" t="n">
        <f aca="false">N(C242)+B243</f>
        <v>13</v>
      </c>
      <c r="E243" s="1" t="str">
        <f aca="false">IFERROR(INDEX($A$4:$A$2403,MATCH(ROW()-3,$C$4:$C$2403,0)),"")</f>
        <v/>
      </c>
      <c r="K243" s="1" t="n">
        <f aca="false">IF(OR($K$1="",对接源_01水果!$C243="",对接源_01水果!$C243&lt;&gt;$K$1,对接源_01水果!$B243=""),0,IF(OR(N(对接源_01水果!$B243)&lt;$K$2,N(对接源_01水果!$B243)&gt;$K$3),0,1))</f>
        <v>0</v>
      </c>
      <c r="L243" s="1" t="n">
        <f aca="false">IF(OR($L$1="",对接源_01水果!$C243="",对接源_01水果!$C243&lt;&gt;$L$1,对接源_01水果!$B243=""),0,IF(OR(N(对接源_01水果!$B243)&lt;$L$2,N(对接源_01水果!$B243)&gt;$L$3),0,1))</f>
        <v>0</v>
      </c>
      <c r="M243" s="1" t="n">
        <f aca="false">IF(OR($M$1="",对接源_01水果!$C243="",对接源_01水果!$C243&lt;&gt;$M$1,对接源_01水果!$B243=""),0,IF(OR(N(对接源_01水果!$B243)&lt;$M$2,N(对接源_01水果!$B243)&gt;$M$3),0,1))</f>
        <v>0</v>
      </c>
      <c r="N243" s="1" t="n">
        <f aca="false">IF(OR($N$1="",对接源_01水果!$C243="",对接源_01水果!$C243&lt;&gt;$N$1,对接源_01水果!$B243=""),0,IF(OR(N(对接源_01水果!$B243)&lt;$N$2,N(对接源_01水果!$B243)&gt;$N$3),0,1))</f>
        <v>0</v>
      </c>
      <c r="P243" s="1" t="n">
        <f aca="false">IF(AND($K243=1,AND(对接源_01水果!$X243="公司筐",N(对接源_01水果!$T243)&lt;&gt;0)),1,0)</f>
        <v>0</v>
      </c>
      <c r="Q243" s="1" t="n">
        <f aca="false">N(Q242)+$P243</f>
        <v>1</v>
      </c>
      <c r="R243" s="1" t="n">
        <f aca="false">IF(AND($K243=1,AND(对接源_01水果!$X243="公司筐",N(对接源_01水果!$U243)&lt;&gt;0)),1,0)</f>
        <v>0</v>
      </c>
      <c r="S243" s="1" t="n">
        <f aca="false">N(S242)+$R243</f>
        <v>0</v>
      </c>
      <c r="T243" s="1" t="n">
        <f aca="false">IF(AND($K243=1,AND(对接源_01水果!$X243="公司筐",N(对接源_01水果!$V243)&lt;&gt;0)),1,0)</f>
        <v>0</v>
      </c>
      <c r="U243" s="1" t="n">
        <f aca="false">N(U242)+$T243</f>
        <v>28</v>
      </c>
      <c r="V243" s="1" t="n">
        <f aca="false">IF(AND($L243=1,AND(对接源_01水果!$X243="自备筐",N(对接源_01水果!$V243)&lt;&gt;0)),1,0)</f>
        <v>0</v>
      </c>
      <c r="W243" s="1" t="n">
        <f aca="false">N(W242)+$V243</f>
        <v>7</v>
      </c>
      <c r="X243" s="1" t="n">
        <f aca="false">IF(AND($L243=1,AND(对接源_01水果!$X243="自备筐",N(对接源_01水果!$T243)&lt;&gt;0)),1,0)</f>
        <v>0</v>
      </c>
      <c r="Y243" s="1" t="n">
        <f aca="false">N(Y242)+$X243</f>
        <v>0</v>
      </c>
      <c r="Z243" s="1" t="n">
        <f aca="false">IF(AND($M243=1,对接源_01水果!$D243="原料入库"),1,0)</f>
        <v>0</v>
      </c>
      <c r="AA243" s="1" t="n">
        <f aca="false">N(AA242)+$Z243</f>
        <v>30</v>
      </c>
      <c r="AB243" s="1" t="n">
        <f aca="false">IF(AND($M243=1,LEFT(对接源_01水果!$D243,4)="原料出库"),1,0)</f>
        <v>0</v>
      </c>
      <c r="AC243" s="1" t="n">
        <f aca="false">N(AC242)+$AB243</f>
        <v>7</v>
      </c>
      <c r="AD243" s="1" t="n">
        <f aca="false">IF(AND($M243=1,LEFT(对接源_01水果!$D243,4)="成品出库"),1,0)</f>
        <v>0</v>
      </c>
      <c r="AE243" s="1" t="n">
        <f aca="false">N(AE242)+$AD243</f>
        <v>0</v>
      </c>
      <c r="AF243" s="1" t="n">
        <f aca="false">IF(AND($N243=1,AND(LEFT(对接源_01水果!$D243,4)="包装物料",N(对接源_01水果!$K243)&lt;&gt;0)),1,0)</f>
        <v>0</v>
      </c>
      <c r="AG243" s="90" t="str">
        <f aca="false">IF(对接源_01水果!$AC243="","",对接源_01水果!$AC243)</f>
        <v/>
      </c>
      <c r="AH243" s="1" t="n">
        <f aca="false">IF(AND($N243=1,AND(LEFT(对接源_01水果!$D243,3)="周转筐",N(对接源_01水果!$K243)&lt;&gt;0)),1,0)</f>
        <v>0</v>
      </c>
      <c r="AI243" s="90" t="n">
        <f aca="false">IF(AG243="",0,IF(MATCH(AG243,$AG$4:$AG$1203,0)=ROW()-3,1,0))</f>
        <v>0</v>
      </c>
      <c r="AJ243" s="90" t="n">
        <f aca="false">N(AJ242)+AI243</f>
        <v>0</v>
      </c>
      <c r="AK243" s="1" t="n">
        <f aca="false">N(AK242)+$AJ243</f>
        <v>0</v>
      </c>
    </row>
    <row r="244" customFormat="false" ht="13.5" hidden="false" customHeight="false" outlineLevel="0" collapsed="false">
      <c r="A244" s="1" t="str">
        <f aca="false">IF(对接源_01水果!$C244="","",对接源_01水果!$C244)</f>
        <v>王照雪</v>
      </c>
      <c r="B244" s="1" t="n">
        <f aca="false">IF(A244="",0,IF(MATCH(A244,$A$4:$A$2403,0)=ROW()-3,1,0))</f>
        <v>0</v>
      </c>
      <c r="C244" s="1" t="n">
        <f aca="false">N(C243)+B244</f>
        <v>13</v>
      </c>
      <c r="E244" s="1" t="str">
        <f aca="false">IFERROR(INDEX($A$4:$A$2403,MATCH(ROW()-3,$C$4:$C$2403,0)),"")</f>
        <v/>
      </c>
      <c r="K244" s="1" t="n">
        <f aca="false">IF(OR($K$1="",对接源_01水果!$C244="",对接源_01水果!$C244&lt;&gt;$K$1,对接源_01水果!$B244=""),0,IF(OR(N(对接源_01水果!$B244)&lt;$K$2,N(对接源_01水果!$B244)&gt;$K$3),0,1))</f>
        <v>1</v>
      </c>
      <c r="L244" s="1" t="n">
        <f aca="false">IF(OR($L$1="",对接源_01水果!$C244="",对接源_01水果!$C244&lt;&gt;$L$1,对接源_01水果!$B244=""),0,IF(OR(N(对接源_01水果!$B244)&lt;$L$2,N(对接源_01水果!$B244)&gt;$L$3),0,1))</f>
        <v>0</v>
      </c>
      <c r="M244" s="1" t="n">
        <f aca="false">IF(OR($M$1="",对接源_01水果!$C244="",对接源_01水果!$C244&lt;&gt;$M$1,对接源_01水果!$B244=""),0,IF(OR(N(对接源_01水果!$B244)&lt;$M$2,N(对接源_01水果!$B244)&gt;$M$3),0,1))</f>
        <v>1</v>
      </c>
      <c r="N244" s="1" t="n">
        <f aca="false">IF(OR($N$1="",对接源_01水果!$C244="",对接源_01水果!$C244&lt;&gt;$N$1,对接源_01水果!$B244=""),0,IF(OR(N(对接源_01水果!$B244)&lt;$N$2,N(对接源_01水果!$B244)&gt;$N$3),0,1))</f>
        <v>0</v>
      </c>
      <c r="P244" s="1" t="n">
        <f aca="false">IF(AND($K244=1,AND(对接源_01水果!$X244="公司筐",N(对接源_01水果!$T244)&lt;&gt;0)),1,0)</f>
        <v>0</v>
      </c>
      <c r="Q244" s="1" t="n">
        <f aca="false">N(Q243)+$P244</f>
        <v>1</v>
      </c>
      <c r="R244" s="1" t="n">
        <f aca="false">IF(AND($K244=1,AND(对接源_01水果!$X244="公司筐",N(对接源_01水果!$U244)&lt;&gt;0)),1,0)</f>
        <v>0</v>
      </c>
      <c r="S244" s="1" t="n">
        <f aca="false">N(S243)+$R244</f>
        <v>0</v>
      </c>
      <c r="T244" s="1" t="n">
        <f aca="false">IF(AND($K244=1,AND(对接源_01水果!$X244="公司筐",N(对接源_01水果!$V244)&lt;&gt;0)),1,0)</f>
        <v>0</v>
      </c>
      <c r="U244" s="1" t="n">
        <f aca="false">N(U243)+$T244</f>
        <v>28</v>
      </c>
      <c r="V244" s="1" t="n">
        <f aca="false">IF(AND($L244=1,AND(对接源_01水果!$X244="自备筐",N(对接源_01水果!$V244)&lt;&gt;0)),1,0)</f>
        <v>0</v>
      </c>
      <c r="W244" s="1" t="n">
        <f aca="false">N(W243)+$V244</f>
        <v>7</v>
      </c>
      <c r="X244" s="1" t="n">
        <f aca="false">IF(AND($L244=1,AND(对接源_01水果!$X244="自备筐",N(对接源_01水果!$T244)&lt;&gt;0)),1,0)</f>
        <v>0</v>
      </c>
      <c r="Y244" s="1" t="n">
        <f aca="false">N(Y243)+$X244</f>
        <v>0</v>
      </c>
      <c r="Z244" s="1" t="n">
        <f aca="false">IF(AND($M244=1,对接源_01水果!$D244="原料入库"),1,0)</f>
        <v>0</v>
      </c>
      <c r="AA244" s="1" t="n">
        <f aca="false">N(AA243)+$Z244</f>
        <v>30</v>
      </c>
      <c r="AB244" s="1" t="n">
        <f aca="false">IF(AND($M244=1,LEFT(对接源_01水果!$D244,4)="原料出库"),1,0)</f>
        <v>1</v>
      </c>
      <c r="AC244" s="1" t="n">
        <f aca="false">N(AC243)+$AB244</f>
        <v>8</v>
      </c>
      <c r="AD244" s="1" t="n">
        <f aca="false">IF(AND($M244=1,LEFT(对接源_01水果!$D244,4)="成品出库"),1,0)</f>
        <v>0</v>
      </c>
      <c r="AE244" s="1" t="n">
        <f aca="false">N(AE243)+$AD244</f>
        <v>0</v>
      </c>
      <c r="AF244" s="1" t="n">
        <f aca="false">IF(AND($N244=1,AND(LEFT(对接源_01水果!$D244,4)="包装物料",N(对接源_01水果!$K244)&lt;&gt;0)),1,0)</f>
        <v>0</v>
      </c>
      <c r="AG244" s="90" t="str">
        <f aca="false">IF(对接源_01水果!$AC244="","",对接源_01水果!$AC244)</f>
        <v/>
      </c>
      <c r="AH244" s="1" t="n">
        <f aca="false">IF(AND($N244=1,AND(LEFT(对接源_01水果!$D244,3)="周转筐",N(对接源_01水果!$K244)&lt;&gt;0)),1,0)</f>
        <v>0</v>
      </c>
      <c r="AI244" s="90" t="n">
        <f aca="false">IF(AG244="",0,IF(MATCH(AG244,$AG$4:$AG$1203,0)=ROW()-3,1,0))</f>
        <v>0</v>
      </c>
      <c r="AJ244" s="90" t="n">
        <f aca="false">N(AJ243)+AI244</f>
        <v>0</v>
      </c>
      <c r="AK244" s="1" t="n">
        <f aca="false">N(AK243)+$AJ244</f>
        <v>0</v>
      </c>
    </row>
    <row r="245" customFormat="false" ht="13.5" hidden="false" customHeight="false" outlineLevel="0" collapsed="false">
      <c r="A245" s="1" t="str">
        <f aca="false">IF(对接源_01水果!$C245="","",对接源_01水果!$C245)</f>
        <v>王照雪</v>
      </c>
      <c r="B245" s="1" t="n">
        <f aca="false">IF(A245="",0,IF(MATCH(A245,$A$4:$A$2403,0)=ROW()-3,1,0))</f>
        <v>0</v>
      </c>
      <c r="C245" s="1" t="n">
        <f aca="false">N(C244)+B245</f>
        <v>13</v>
      </c>
      <c r="E245" s="1" t="str">
        <f aca="false">IFERROR(INDEX($A$4:$A$2403,MATCH(ROW()-3,$C$4:$C$2403,0)),"")</f>
        <v/>
      </c>
      <c r="K245" s="1" t="n">
        <f aca="false">IF(OR($K$1="",对接源_01水果!$C245="",对接源_01水果!$C245&lt;&gt;$K$1,对接源_01水果!$B245=""),0,IF(OR(N(对接源_01水果!$B245)&lt;$K$2,N(对接源_01水果!$B245)&gt;$K$3),0,1))</f>
        <v>1</v>
      </c>
      <c r="L245" s="1" t="n">
        <f aca="false">IF(OR($L$1="",对接源_01水果!$C245="",对接源_01水果!$C245&lt;&gt;$L$1,对接源_01水果!$B245=""),0,IF(OR(N(对接源_01水果!$B245)&lt;$L$2,N(对接源_01水果!$B245)&gt;$L$3),0,1))</f>
        <v>0</v>
      </c>
      <c r="M245" s="1" t="n">
        <f aca="false">IF(OR($M$1="",对接源_01水果!$C245="",对接源_01水果!$C245&lt;&gt;$M$1,对接源_01水果!$B245=""),0,IF(OR(N(对接源_01水果!$B245)&lt;$M$2,N(对接源_01水果!$B245)&gt;$M$3),0,1))</f>
        <v>1</v>
      </c>
      <c r="N245" s="1" t="n">
        <f aca="false">IF(OR($N$1="",对接源_01水果!$C245="",对接源_01水果!$C245&lt;&gt;$N$1,对接源_01水果!$B245=""),0,IF(OR(N(对接源_01水果!$B245)&lt;$N$2,N(对接源_01水果!$B245)&gt;$N$3),0,1))</f>
        <v>0</v>
      </c>
      <c r="P245" s="1" t="n">
        <f aca="false">IF(AND($K245=1,AND(对接源_01水果!$X245="公司筐",N(对接源_01水果!$T245)&lt;&gt;0)),1,0)</f>
        <v>0</v>
      </c>
      <c r="Q245" s="1" t="n">
        <f aca="false">N(Q244)+$P245</f>
        <v>1</v>
      </c>
      <c r="R245" s="1" t="n">
        <f aca="false">IF(AND($K245=1,AND(对接源_01水果!$X245="公司筐",N(对接源_01水果!$U245)&lt;&gt;0)),1,0)</f>
        <v>0</v>
      </c>
      <c r="S245" s="1" t="n">
        <f aca="false">N(S244)+$R245</f>
        <v>0</v>
      </c>
      <c r="T245" s="1" t="n">
        <f aca="false">IF(AND($K245=1,AND(对接源_01水果!$X245="公司筐",N(对接源_01水果!$V245)&lt;&gt;0)),1,0)</f>
        <v>0</v>
      </c>
      <c r="U245" s="1" t="n">
        <f aca="false">N(U244)+$T245</f>
        <v>28</v>
      </c>
      <c r="V245" s="1" t="n">
        <f aca="false">IF(AND($L245=1,AND(对接源_01水果!$X245="自备筐",N(对接源_01水果!$V245)&lt;&gt;0)),1,0)</f>
        <v>0</v>
      </c>
      <c r="W245" s="1" t="n">
        <f aca="false">N(W244)+$V245</f>
        <v>7</v>
      </c>
      <c r="X245" s="1" t="n">
        <f aca="false">IF(AND($L245=1,AND(对接源_01水果!$X245="自备筐",N(对接源_01水果!$T245)&lt;&gt;0)),1,0)</f>
        <v>0</v>
      </c>
      <c r="Y245" s="1" t="n">
        <f aca="false">N(Y244)+$X245</f>
        <v>0</v>
      </c>
      <c r="Z245" s="1" t="n">
        <f aca="false">IF(AND($M245=1,对接源_01水果!$D245="原料入库"),1,0)</f>
        <v>0</v>
      </c>
      <c r="AA245" s="1" t="n">
        <f aca="false">N(AA244)+$Z245</f>
        <v>30</v>
      </c>
      <c r="AB245" s="1" t="n">
        <f aca="false">IF(AND($M245=1,LEFT(对接源_01水果!$D245,4)="原料出库"),1,0)</f>
        <v>1</v>
      </c>
      <c r="AC245" s="1" t="n">
        <f aca="false">N(AC244)+$AB245</f>
        <v>9</v>
      </c>
      <c r="AD245" s="1" t="n">
        <f aca="false">IF(AND($M245=1,LEFT(对接源_01水果!$D245,4)="成品出库"),1,0)</f>
        <v>0</v>
      </c>
      <c r="AE245" s="1" t="n">
        <f aca="false">N(AE244)+$AD245</f>
        <v>0</v>
      </c>
      <c r="AF245" s="1" t="n">
        <f aca="false">IF(AND($N245=1,AND(LEFT(对接源_01水果!$D245,4)="包装物料",N(对接源_01水果!$K245)&lt;&gt;0)),1,0)</f>
        <v>0</v>
      </c>
      <c r="AG245" s="90" t="str">
        <f aca="false">IF(对接源_01水果!$AC245="","",对接源_01水果!$AC245)</f>
        <v/>
      </c>
      <c r="AH245" s="1" t="n">
        <f aca="false">IF(AND($N245=1,AND(LEFT(对接源_01水果!$D245,3)="周转筐",N(对接源_01水果!$K245)&lt;&gt;0)),1,0)</f>
        <v>0</v>
      </c>
      <c r="AI245" s="90" t="n">
        <f aca="false">IF(AG245="",0,IF(MATCH(AG245,$AG$4:$AG$1203,0)=ROW()-3,1,0))</f>
        <v>0</v>
      </c>
      <c r="AJ245" s="90" t="n">
        <f aca="false">N(AJ244)+AI245</f>
        <v>0</v>
      </c>
      <c r="AK245" s="1" t="n">
        <f aca="false">N(AK244)+$AJ245</f>
        <v>0</v>
      </c>
    </row>
    <row r="246" customFormat="false" ht="13.5" hidden="false" customHeight="false" outlineLevel="0" collapsed="false">
      <c r="A246" s="1" t="str">
        <f aca="false">IF(对接源_01水果!$C246="","",对接源_01水果!$C246)</f>
        <v>聂新平</v>
      </c>
      <c r="B246" s="1" t="n">
        <f aca="false">IF(A246="",0,IF(MATCH(A246,$A$4:$A$2403,0)=ROW()-3,1,0))</f>
        <v>0</v>
      </c>
      <c r="C246" s="1" t="n">
        <f aca="false">N(C245)+B246</f>
        <v>13</v>
      </c>
      <c r="E246" s="1" t="str">
        <f aca="false">IFERROR(INDEX($A$4:$A$2403,MATCH(ROW()-3,$C$4:$C$2403,0)),"")</f>
        <v/>
      </c>
      <c r="K246" s="1" t="n">
        <f aca="false">IF(OR($K$1="",对接源_01水果!$C246="",对接源_01水果!$C246&lt;&gt;$K$1,对接源_01水果!$B246=""),0,IF(OR(N(对接源_01水果!$B246)&lt;$K$2,N(对接源_01水果!$B246)&gt;$K$3),0,1))</f>
        <v>0</v>
      </c>
      <c r="L246" s="1" t="n">
        <f aca="false">IF(OR($L$1="",对接源_01水果!$C246="",对接源_01水果!$C246&lt;&gt;$L$1,对接源_01水果!$B246=""),0,IF(OR(N(对接源_01水果!$B246)&lt;$L$2,N(对接源_01水果!$B246)&gt;$L$3),0,1))</f>
        <v>0</v>
      </c>
      <c r="M246" s="1" t="n">
        <f aca="false">IF(OR($M$1="",对接源_01水果!$C246="",对接源_01水果!$C246&lt;&gt;$M$1,对接源_01水果!$B246=""),0,IF(OR(N(对接源_01水果!$B246)&lt;$M$2,N(对接源_01水果!$B246)&gt;$M$3),0,1))</f>
        <v>0</v>
      </c>
      <c r="N246" s="1" t="n">
        <f aca="false">IF(OR($N$1="",对接源_01水果!$C246="",对接源_01水果!$C246&lt;&gt;$N$1,对接源_01水果!$B246=""),0,IF(OR(N(对接源_01水果!$B246)&lt;$N$2,N(对接源_01水果!$B246)&gt;$N$3),0,1))</f>
        <v>0</v>
      </c>
      <c r="P246" s="1" t="n">
        <f aca="false">IF(AND($K246=1,AND(对接源_01水果!$X246="公司筐",N(对接源_01水果!$T246)&lt;&gt;0)),1,0)</f>
        <v>0</v>
      </c>
      <c r="Q246" s="1" t="n">
        <f aca="false">N(Q245)+$P246</f>
        <v>1</v>
      </c>
      <c r="R246" s="1" t="n">
        <f aca="false">IF(AND($K246=1,AND(对接源_01水果!$X246="公司筐",N(对接源_01水果!$U246)&lt;&gt;0)),1,0)</f>
        <v>0</v>
      </c>
      <c r="S246" s="1" t="n">
        <f aca="false">N(S245)+$R246</f>
        <v>0</v>
      </c>
      <c r="T246" s="1" t="n">
        <f aca="false">IF(AND($K246=1,AND(对接源_01水果!$X246="公司筐",N(对接源_01水果!$V246)&lt;&gt;0)),1,0)</f>
        <v>0</v>
      </c>
      <c r="U246" s="1" t="n">
        <f aca="false">N(U245)+$T246</f>
        <v>28</v>
      </c>
      <c r="V246" s="1" t="n">
        <f aca="false">IF(AND($L246=1,AND(对接源_01水果!$X246="自备筐",N(对接源_01水果!$V246)&lt;&gt;0)),1,0)</f>
        <v>0</v>
      </c>
      <c r="W246" s="1" t="n">
        <f aca="false">N(W245)+$V246</f>
        <v>7</v>
      </c>
      <c r="X246" s="1" t="n">
        <f aca="false">IF(AND($L246=1,AND(对接源_01水果!$X246="自备筐",N(对接源_01水果!$T246)&lt;&gt;0)),1,0)</f>
        <v>0</v>
      </c>
      <c r="Y246" s="1" t="n">
        <f aca="false">N(Y245)+$X246</f>
        <v>0</v>
      </c>
      <c r="Z246" s="1" t="n">
        <f aca="false">IF(AND($M246=1,对接源_01水果!$D246="原料入库"),1,0)</f>
        <v>0</v>
      </c>
      <c r="AA246" s="1" t="n">
        <f aca="false">N(AA245)+$Z246</f>
        <v>30</v>
      </c>
      <c r="AB246" s="1" t="n">
        <f aca="false">IF(AND($M246=1,LEFT(对接源_01水果!$D246,4)="原料出库"),1,0)</f>
        <v>0</v>
      </c>
      <c r="AC246" s="1" t="n">
        <f aca="false">N(AC245)+$AB246</f>
        <v>9</v>
      </c>
      <c r="AD246" s="1" t="n">
        <f aca="false">IF(AND($M246=1,LEFT(对接源_01水果!$D246,4)="成品出库"),1,0)</f>
        <v>0</v>
      </c>
      <c r="AE246" s="1" t="n">
        <f aca="false">N(AE245)+$AD246</f>
        <v>0</v>
      </c>
      <c r="AF246" s="1" t="n">
        <f aca="false">IF(AND($N246=1,AND(LEFT(对接源_01水果!$D246,4)="包装物料",N(对接源_01水果!$K246)&lt;&gt;0)),1,0)</f>
        <v>0</v>
      </c>
      <c r="AG246" s="90" t="str">
        <f aca="false">IF(对接源_01水果!$AC246="","",对接源_01水果!$AC246)</f>
        <v/>
      </c>
      <c r="AH246" s="1" t="n">
        <f aca="false">IF(AND($N246=1,AND(LEFT(对接源_01水果!$D246,3)="周转筐",N(对接源_01水果!$K246)&lt;&gt;0)),1,0)</f>
        <v>0</v>
      </c>
      <c r="AI246" s="90" t="n">
        <f aca="false">IF(AG246="",0,IF(MATCH(AG246,$AG$4:$AG$1203,0)=ROW()-3,1,0))</f>
        <v>0</v>
      </c>
      <c r="AJ246" s="90" t="n">
        <f aca="false">N(AJ245)+AI246</f>
        <v>0</v>
      </c>
      <c r="AK246" s="1" t="n">
        <f aca="false">N(AK245)+$AJ246</f>
        <v>0</v>
      </c>
    </row>
    <row r="247" customFormat="false" ht="13.5" hidden="false" customHeight="false" outlineLevel="0" collapsed="false">
      <c r="A247" s="1" t="str">
        <f aca="false">IF(对接源_01水果!$C247="","",对接源_01水果!$C247)</f>
        <v>王照雪</v>
      </c>
      <c r="B247" s="1" t="n">
        <f aca="false">IF(A247="",0,IF(MATCH(A247,$A$4:$A$2403,0)=ROW()-3,1,0))</f>
        <v>0</v>
      </c>
      <c r="C247" s="1" t="n">
        <f aca="false">N(C246)+B247</f>
        <v>13</v>
      </c>
      <c r="E247" s="1" t="str">
        <f aca="false">IFERROR(INDEX($A$4:$A$2403,MATCH(ROW()-3,$C$4:$C$2403,0)),"")</f>
        <v/>
      </c>
      <c r="K247" s="1" t="n">
        <f aca="false">IF(OR($K$1="",对接源_01水果!$C247="",对接源_01水果!$C247&lt;&gt;$K$1,对接源_01水果!$B247=""),0,IF(OR(N(对接源_01水果!$B247)&lt;$K$2,N(对接源_01水果!$B247)&gt;$K$3),0,1))</f>
        <v>1</v>
      </c>
      <c r="L247" s="1" t="n">
        <f aca="false">IF(OR($L$1="",对接源_01水果!$C247="",对接源_01水果!$C247&lt;&gt;$L$1,对接源_01水果!$B247=""),0,IF(OR(N(对接源_01水果!$B247)&lt;$L$2,N(对接源_01水果!$B247)&gt;$L$3),0,1))</f>
        <v>0</v>
      </c>
      <c r="M247" s="1" t="n">
        <f aca="false">IF(OR($M$1="",对接源_01水果!$C247="",对接源_01水果!$C247&lt;&gt;$M$1,对接源_01水果!$B247=""),0,IF(OR(N(对接源_01水果!$B247)&lt;$M$2,N(对接源_01水果!$B247)&gt;$M$3),0,1))</f>
        <v>1</v>
      </c>
      <c r="N247" s="1" t="n">
        <f aca="false">IF(OR($N$1="",对接源_01水果!$C247="",对接源_01水果!$C247&lt;&gt;$N$1,对接源_01水果!$B247=""),0,IF(OR(N(对接源_01水果!$B247)&lt;$N$2,N(对接源_01水果!$B247)&gt;$N$3),0,1))</f>
        <v>0</v>
      </c>
      <c r="P247" s="1" t="n">
        <f aca="false">IF(AND($K247=1,AND(对接源_01水果!$X247="公司筐",N(对接源_01水果!$T247)&lt;&gt;0)),1,0)</f>
        <v>0</v>
      </c>
      <c r="Q247" s="1" t="n">
        <f aca="false">N(Q246)+$P247</f>
        <v>1</v>
      </c>
      <c r="R247" s="1" t="n">
        <f aca="false">IF(AND($K247=1,AND(对接源_01水果!$X247="公司筐",N(对接源_01水果!$U247)&lt;&gt;0)),1,0)</f>
        <v>0</v>
      </c>
      <c r="S247" s="1" t="n">
        <f aca="false">N(S246)+$R247</f>
        <v>0</v>
      </c>
      <c r="T247" s="1" t="n">
        <f aca="false">IF(AND($K247=1,AND(对接源_01水果!$X247="公司筐",N(对接源_01水果!$V247)&lt;&gt;0)),1,0)</f>
        <v>0</v>
      </c>
      <c r="U247" s="1" t="n">
        <f aca="false">N(U246)+$T247</f>
        <v>28</v>
      </c>
      <c r="V247" s="1" t="n">
        <f aca="false">IF(AND($L247=1,AND(对接源_01水果!$X247="自备筐",N(对接源_01水果!$V247)&lt;&gt;0)),1,0)</f>
        <v>0</v>
      </c>
      <c r="W247" s="1" t="n">
        <f aca="false">N(W246)+$V247</f>
        <v>7</v>
      </c>
      <c r="X247" s="1" t="n">
        <f aca="false">IF(AND($L247=1,AND(对接源_01水果!$X247="自备筐",N(对接源_01水果!$T247)&lt;&gt;0)),1,0)</f>
        <v>0</v>
      </c>
      <c r="Y247" s="1" t="n">
        <f aca="false">N(Y246)+$X247</f>
        <v>0</v>
      </c>
      <c r="Z247" s="1" t="n">
        <f aca="false">IF(AND($M247=1,对接源_01水果!$D247="原料入库"),1,0)</f>
        <v>0</v>
      </c>
      <c r="AA247" s="1" t="n">
        <f aca="false">N(AA246)+$Z247</f>
        <v>30</v>
      </c>
      <c r="AB247" s="1" t="n">
        <f aca="false">IF(AND($M247=1,LEFT(对接源_01水果!$D247,4)="原料出库"),1,0)</f>
        <v>1</v>
      </c>
      <c r="AC247" s="1" t="n">
        <f aca="false">N(AC246)+$AB247</f>
        <v>10</v>
      </c>
      <c r="AD247" s="1" t="n">
        <f aca="false">IF(AND($M247=1,LEFT(对接源_01水果!$D247,4)="成品出库"),1,0)</f>
        <v>0</v>
      </c>
      <c r="AE247" s="1" t="n">
        <f aca="false">N(AE246)+$AD247</f>
        <v>0</v>
      </c>
      <c r="AF247" s="1" t="n">
        <f aca="false">IF(AND($N247=1,AND(LEFT(对接源_01水果!$D247,4)="包装物料",N(对接源_01水果!$K247)&lt;&gt;0)),1,0)</f>
        <v>0</v>
      </c>
      <c r="AG247" s="90" t="str">
        <f aca="false">IF(对接源_01水果!$AC247="","",对接源_01水果!$AC247)</f>
        <v/>
      </c>
      <c r="AH247" s="1" t="n">
        <f aca="false">IF(AND($N247=1,AND(LEFT(对接源_01水果!$D247,3)="周转筐",N(对接源_01水果!$K247)&lt;&gt;0)),1,0)</f>
        <v>0</v>
      </c>
      <c r="AI247" s="90" t="n">
        <f aca="false">IF(AG247="",0,IF(MATCH(AG247,$AG$4:$AG$1203,0)=ROW()-3,1,0))</f>
        <v>0</v>
      </c>
      <c r="AJ247" s="90" t="n">
        <f aca="false">N(AJ246)+AI247</f>
        <v>0</v>
      </c>
      <c r="AK247" s="1" t="n">
        <f aca="false">N(AK246)+$AJ247</f>
        <v>0</v>
      </c>
    </row>
    <row r="248" customFormat="false" ht="13.5" hidden="false" customHeight="false" outlineLevel="0" collapsed="false">
      <c r="A248" s="1" t="str">
        <f aca="false">IF(对接源_01水果!$C248="","",对接源_01水果!$C248)</f>
        <v>聂新平</v>
      </c>
      <c r="B248" s="1" t="n">
        <f aca="false">IF(A248="",0,IF(MATCH(A248,$A$4:$A$2403,0)=ROW()-3,1,0))</f>
        <v>0</v>
      </c>
      <c r="C248" s="1" t="n">
        <f aca="false">N(C247)+B248</f>
        <v>13</v>
      </c>
      <c r="E248" s="1" t="str">
        <f aca="false">IFERROR(INDEX($A$4:$A$2403,MATCH(ROW()-3,$C$4:$C$2403,0)),"")</f>
        <v/>
      </c>
      <c r="K248" s="1" t="n">
        <f aca="false">IF(OR($K$1="",对接源_01水果!$C248="",对接源_01水果!$C248&lt;&gt;$K$1,对接源_01水果!$B248=""),0,IF(OR(N(对接源_01水果!$B248)&lt;$K$2,N(对接源_01水果!$B248)&gt;$K$3),0,1))</f>
        <v>0</v>
      </c>
      <c r="L248" s="1" t="n">
        <f aca="false">IF(OR($L$1="",对接源_01水果!$C248="",对接源_01水果!$C248&lt;&gt;$L$1,对接源_01水果!$B248=""),0,IF(OR(N(对接源_01水果!$B248)&lt;$L$2,N(对接源_01水果!$B248)&gt;$L$3),0,1))</f>
        <v>0</v>
      </c>
      <c r="M248" s="1" t="n">
        <f aca="false">IF(OR($M$1="",对接源_01水果!$C248="",对接源_01水果!$C248&lt;&gt;$M$1,对接源_01水果!$B248=""),0,IF(OR(N(对接源_01水果!$B248)&lt;$M$2,N(对接源_01水果!$B248)&gt;$M$3),0,1))</f>
        <v>0</v>
      </c>
      <c r="N248" s="1" t="n">
        <f aca="false">IF(OR($N$1="",对接源_01水果!$C248="",对接源_01水果!$C248&lt;&gt;$N$1,对接源_01水果!$B248=""),0,IF(OR(N(对接源_01水果!$B248)&lt;$N$2,N(对接源_01水果!$B248)&gt;$N$3),0,1))</f>
        <v>0</v>
      </c>
      <c r="P248" s="1" t="n">
        <f aca="false">IF(AND($K248=1,AND(对接源_01水果!$X248="公司筐",N(对接源_01水果!$T248)&lt;&gt;0)),1,0)</f>
        <v>0</v>
      </c>
      <c r="Q248" s="1" t="n">
        <f aca="false">N(Q247)+$P248</f>
        <v>1</v>
      </c>
      <c r="R248" s="1" t="n">
        <f aca="false">IF(AND($K248=1,AND(对接源_01水果!$X248="公司筐",N(对接源_01水果!$U248)&lt;&gt;0)),1,0)</f>
        <v>0</v>
      </c>
      <c r="S248" s="1" t="n">
        <f aca="false">N(S247)+$R248</f>
        <v>0</v>
      </c>
      <c r="T248" s="1" t="n">
        <f aca="false">IF(AND($K248=1,AND(对接源_01水果!$X248="公司筐",N(对接源_01水果!$V248)&lt;&gt;0)),1,0)</f>
        <v>0</v>
      </c>
      <c r="U248" s="1" t="n">
        <f aca="false">N(U247)+$T248</f>
        <v>28</v>
      </c>
      <c r="V248" s="1" t="n">
        <f aca="false">IF(AND($L248=1,AND(对接源_01水果!$X248="自备筐",N(对接源_01水果!$V248)&lt;&gt;0)),1,0)</f>
        <v>0</v>
      </c>
      <c r="W248" s="1" t="n">
        <f aca="false">N(W247)+$V248</f>
        <v>7</v>
      </c>
      <c r="X248" s="1" t="n">
        <f aca="false">IF(AND($L248=1,AND(对接源_01水果!$X248="自备筐",N(对接源_01水果!$T248)&lt;&gt;0)),1,0)</f>
        <v>0</v>
      </c>
      <c r="Y248" s="1" t="n">
        <f aca="false">N(Y247)+$X248</f>
        <v>0</v>
      </c>
      <c r="Z248" s="1" t="n">
        <f aca="false">IF(AND($M248=1,对接源_01水果!$D248="原料入库"),1,0)</f>
        <v>0</v>
      </c>
      <c r="AA248" s="1" t="n">
        <f aca="false">N(AA247)+$Z248</f>
        <v>30</v>
      </c>
      <c r="AB248" s="1" t="n">
        <f aca="false">IF(AND($M248=1,LEFT(对接源_01水果!$D248,4)="原料出库"),1,0)</f>
        <v>0</v>
      </c>
      <c r="AC248" s="1" t="n">
        <f aca="false">N(AC247)+$AB248</f>
        <v>10</v>
      </c>
      <c r="AD248" s="1" t="n">
        <f aca="false">IF(AND($M248=1,LEFT(对接源_01水果!$D248,4)="成品出库"),1,0)</f>
        <v>0</v>
      </c>
      <c r="AE248" s="1" t="n">
        <f aca="false">N(AE247)+$AD248</f>
        <v>0</v>
      </c>
      <c r="AF248" s="1" t="n">
        <f aca="false">IF(AND($N248=1,AND(LEFT(对接源_01水果!$D248,4)="包装物料",N(对接源_01水果!$K248)&lt;&gt;0)),1,0)</f>
        <v>0</v>
      </c>
      <c r="AG248" s="90" t="str">
        <f aca="false">IF(对接源_01水果!$AC248="","",对接源_01水果!$AC248)</f>
        <v/>
      </c>
      <c r="AH248" s="1" t="n">
        <f aca="false">IF(AND($N248=1,AND(LEFT(对接源_01水果!$D248,3)="周转筐",N(对接源_01水果!$K248)&lt;&gt;0)),1,0)</f>
        <v>0</v>
      </c>
      <c r="AI248" s="90" t="n">
        <f aca="false">IF(AG248="",0,IF(MATCH(AG248,$AG$4:$AG$1203,0)=ROW()-3,1,0))</f>
        <v>0</v>
      </c>
      <c r="AJ248" s="90" t="n">
        <f aca="false">N(AJ247)+AI248</f>
        <v>0</v>
      </c>
      <c r="AK248" s="1" t="n">
        <f aca="false">N(AK247)+$AJ248</f>
        <v>0</v>
      </c>
    </row>
    <row r="249" customFormat="false" ht="13.5" hidden="false" customHeight="false" outlineLevel="0" collapsed="false">
      <c r="A249" s="1" t="str">
        <f aca="false">IF(对接源_01水果!$C249="","",对接源_01水果!$C249)</f>
        <v>聂新平</v>
      </c>
      <c r="B249" s="1" t="n">
        <f aca="false">IF(A249="",0,IF(MATCH(A249,$A$4:$A$2403,0)=ROW()-3,1,0))</f>
        <v>0</v>
      </c>
      <c r="C249" s="1" t="n">
        <f aca="false">N(C248)+B249</f>
        <v>13</v>
      </c>
      <c r="E249" s="1" t="str">
        <f aca="false">IFERROR(INDEX($A$4:$A$2403,MATCH(ROW()-3,$C$4:$C$2403,0)),"")</f>
        <v/>
      </c>
      <c r="K249" s="1" t="n">
        <f aca="false">IF(OR($K$1="",对接源_01水果!$C249="",对接源_01水果!$C249&lt;&gt;$K$1,对接源_01水果!$B249=""),0,IF(OR(N(对接源_01水果!$B249)&lt;$K$2,N(对接源_01水果!$B249)&gt;$K$3),0,1))</f>
        <v>0</v>
      </c>
      <c r="L249" s="1" t="n">
        <f aca="false">IF(OR($L$1="",对接源_01水果!$C249="",对接源_01水果!$C249&lt;&gt;$L$1,对接源_01水果!$B249=""),0,IF(OR(N(对接源_01水果!$B249)&lt;$L$2,N(对接源_01水果!$B249)&gt;$L$3),0,1))</f>
        <v>0</v>
      </c>
      <c r="M249" s="1" t="n">
        <f aca="false">IF(OR($M$1="",对接源_01水果!$C249="",对接源_01水果!$C249&lt;&gt;$M$1,对接源_01水果!$B249=""),0,IF(OR(N(对接源_01水果!$B249)&lt;$M$2,N(对接源_01水果!$B249)&gt;$M$3),0,1))</f>
        <v>0</v>
      </c>
      <c r="N249" s="1" t="n">
        <f aca="false">IF(OR($N$1="",对接源_01水果!$C249="",对接源_01水果!$C249&lt;&gt;$N$1,对接源_01水果!$B249=""),0,IF(OR(N(对接源_01水果!$B249)&lt;$N$2,N(对接源_01水果!$B249)&gt;$N$3),0,1))</f>
        <v>0</v>
      </c>
      <c r="P249" s="1" t="n">
        <f aca="false">IF(AND($K249=1,AND(对接源_01水果!$X249="公司筐",N(对接源_01水果!$T249)&lt;&gt;0)),1,0)</f>
        <v>0</v>
      </c>
      <c r="Q249" s="1" t="n">
        <f aca="false">N(Q248)+$P249</f>
        <v>1</v>
      </c>
      <c r="R249" s="1" t="n">
        <f aca="false">IF(AND($K249=1,AND(对接源_01水果!$X249="公司筐",N(对接源_01水果!$U249)&lt;&gt;0)),1,0)</f>
        <v>0</v>
      </c>
      <c r="S249" s="1" t="n">
        <f aca="false">N(S248)+$R249</f>
        <v>0</v>
      </c>
      <c r="T249" s="1" t="n">
        <f aca="false">IF(AND($K249=1,AND(对接源_01水果!$X249="公司筐",N(对接源_01水果!$V249)&lt;&gt;0)),1,0)</f>
        <v>0</v>
      </c>
      <c r="U249" s="1" t="n">
        <f aca="false">N(U248)+$T249</f>
        <v>28</v>
      </c>
      <c r="V249" s="1" t="n">
        <f aca="false">IF(AND($L249=1,AND(对接源_01水果!$X249="自备筐",N(对接源_01水果!$V249)&lt;&gt;0)),1,0)</f>
        <v>0</v>
      </c>
      <c r="W249" s="1" t="n">
        <f aca="false">N(W248)+$V249</f>
        <v>7</v>
      </c>
      <c r="X249" s="1" t="n">
        <f aca="false">IF(AND($L249=1,AND(对接源_01水果!$X249="自备筐",N(对接源_01水果!$T249)&lt;&gt;0)),1,0)</f>
        <v>0</v>
      </c>
      <c r="Y249" s="1" t="n">
        <f aca="false">N(Y248)+$X249</f>
        <v>0</v>
      </c>
      <c r="Z249" s="1" t="n">
        <f aca="false">IF(AND($M249=1,对接源_01水果!$D249="原料入库"),1,0)</f>
        <v>0</v>
      </c>
      <c r="AA249" s="1" t="n">
        <f aca="false">N(AA248)+$Z249</f>
        <v>30</v>
      </c>
      <c r="AB249" s="1" t="n">
        <f aca="false">IF(AND($M249=1,LEFT(对接源_01水果!$D249,4)="原料出库"),1,0)</f>
        <v>0</v>
      </c>
      <c r="AC249" s="1" t="n">
        <f aca="false">N(AC248)+$AB249</f>
        <v>10</v>
      </c>
      <c r="AD249" s="1" t="n">
        <f aca="false">IF(AND($M249=1,LEFT(对接源_01水果!$D249,4)="成品出库"),1,0)</f>
        <v>0</v>
      </c>
      <c r="AE249" s="1" t="n">
        <f aca="false">N(AE248)+$AD249</f>
        <v>0</v>
      </c>
      <c r="AF249" s="1" t="n">
        <f aca="false">IF(AND($N249=1,AND(LEFT(对接源_01水果!$D249,4)="包装物料",N(对接源_01水果!$K249)&lt;&gt;0)),1,0)</f>
        <v>0</v>
      </c>
      <c r="AG249" s="90" t="str">
        <f aca="false">IF(对接源_01水果!$AC249="","",对接源_01水果!$AC249)</f>
        <v/>
      </c>
      <c r="AH249" s="1" t="n">
        <f aca="false">IF(AND($N249=1,AND(LEFT(对接源_01水果!$D249,3)="周转筐",N(对接源_01水果!$K249)&lt;&gt;0)),1,0)</f>
        <v>0</v>
      </c>
      <c r="AI249" s="90" t="n">
        <f aca="false">IF(AG249="",0,IF(MATCH(AG249,$AG$4:$AG$1203,0)=ROW()-3,1,0))</f>
        <v>0</v>
      </c>
      <c r="AJ249" s="90" t="n">
        <f aca="false">N(AJ248)+AI249</f>
        <v>0</v>
      </c>
      <c r="AK249" s="1" t="n">
        <f aca="false">N(AK248)+$AJ249</f>
        <v>0</v>
      </c>
    </row>
    <row r="250" customFormat="false" ht="13.5" hidden="false" customHeight="false" outlineLevel="0" collapsed="false">
      <c r="A250" s="1" t="str">
        <f aca="false">IF(对接源_01水果!$C250="","",对接源_01水果!$C250)</f>
        <v>聂新平</v>
      </c>
      <c r="B250" s="1" t="n">
        <f aca="false">IF(A250="",0,IF(MATCH(A250,$A$4:$A$2403,0)=ROW()-3,1,0))</f>
        <v>0</v>
      </c>
      <c r="C250" s="1" t="n">
        <f aca="false">N(C249)+B250</f>
        <v>13</v>
      </c>
      <c r="E250" s="1" t="str">
        <f aca="false">IFERROR(INDEX($A$4:$A$2403,MATCH(ROW()-3,$C$4:$C$2403,0)),"")</f>
        <v/>
      </c>
      <c r="K250" s="1" t="n">
        <f aca="false">IF(OR($K$1="",对接源_01水果!$C250="",对接源_01水果!$C250&lt;&gt;$K$1,对接源_01水果!$B250=""),0,IF(OR(N(对接源_01水果!$B250)&lt;$K$2,N(对接源_01水果!$B250)&gt;$K$3),0,1))</f>
        <v>0</v>
      </c>
      <c r="L250" s="1" t="n">
        <f aca="false">IF(OR($L$1="",对接源_01水果!$C250="",对接源_01水果!$C250&lt;&gt;$L$1,对接源_01水果!$B250=""),0,IF(OR(N(对接源_01水果!$B250)&lt;$L$2,N(对接源_01水果!$B250)&gt;$L$3),0,1))</f>
        <v>0</v>
      </c>
      <c r="M250" s="1" t="n">
        <f aca="false">IF(OR($M$1="",对接源_01水果!$C250="",对接源_01水果!$C250&lt;&gt;$M$1,对接源_01水果!$B250=""),0,IF(OR(N(对接源_01水果!$B250)&lt;$M$2,N(对接源_01水果!$B250)&gt;$M$3),0,1))</f>
        <v>0</v>
      </c>
      <c r="N250" s="1" t="n">
        <f aca="false">IF(OR($N$1="",对接源_01水果!$C250="",对接源_01水果!$C250&lt;&gt;$N$1,对接源_01水果!$B250=""),0,IF(OR(N(对接源_01水果!$B250)&lt;$N$2,N(对接源_01水果!$B250)&gt;$N$3),0,1))</f>
        <v>0</v>
      </c>
      <c r="P250" s="1" t="n">
        <f aca="false">IF(AND($K250=1,AND(对接源_01水果!$X250="公司筐",N(对接源_01水果!$T250)&lt;&gt;0)),1,0)</f>
        <v>0</v>
      </c>
      <c r="Q250" s="1" t="n">
        <f aca="false">N(Q249)+$P250</f>
        <v>1</v>
      </c>
      <c r="R250" s="1" t="n">
        <f aca="false">IF(AND($K250=1,AND(对接源_01水果!$X250="公司筐",N(对接源_01水果!$U250)&lt;&gt;0)),1,0)</f>
        <v>0</v>
      </c>
      <c r="S250" s="1" t="n">
        <f aca="false">N(S249)+$R250</f>
        <v>0</v>
      </c>
      <c r="T250" s="1" t="n">
        <f aca="false">IF(AND($K250=1,AND(对接源_01水果!$X250="公司筐",N(对接源_01水果!$V250)&lt;&gt;0)),1,0)</f>
        <v>0</v>
      </c>
      <c r="U250" s="1" t="n">
        <f aca="false">N(U249)+$T250</f>
        <v>28</v>
      </c>
      <c r="V250" s="1" t="n">
        <f aca="false">IF(AND($L250=1,AND(对接源_01水果!$X250="自备筐",N(对接源_01水果!$V250)&lt;&gt;0)),1,0)</f>
        <v>0</v>
      </c>
      <c r="W250" s="1" t="n">
        <f aca="false">N(W249)+$V250</f>
        <v>7</v>
      </c>
      <c r="X250" s="1" t="n">
        <f aca="false">IF(AND($L250=1,AND(对接源_01水果!$X250="自备筐",N(对接源_01水果!$T250)&lt;&gt;0)),1,0)</f>
        <v>0</v>
      </c>
      <c r="Y250" s="1" t="n">
        <f aca="false">N(Y249)+$X250</f>
        <v>0</v>
      </c>
      <c r="Z250" s="1" t="n">
        <f aca="false">IF(AND($M250=1,对接源_01水果!$D250="原料入库"),1,0)</f>
        <v>0</v>
      </c>
      <c r="AA250" s="1" t="n">
        <f aca="false">N(AA249)+$Z250</f>
        <v>30</v>
      </c>
      <c r="AB250" s="1" t="n">
        <f aca="false">IF(AND($M250=1,LEFT(对接源_01水果!$D250,4)="原料出库"),1,0)</f>
        <v>0</v>
      </c>
      <c r="AC250" s="1" t="n">
        <f aca="false">N(AC249)+$AB250</f>
        <v>10</v>
      </c>
      <c r="AD250" s="1" t="n">
        <f aca="false">IF(AND($M250=1,LEFT(对接源_01水果!$D250,4)="成品出库"),1,0)</f>
        <v>0</v>
      </c>
      <c r="AE250" s="1" t="n">
        <f aca="false">N(AE249)+$AD250</f>
        <v>0</v>
      </c>
      <c r="AF250" s="1" t="n">
        <f aca="false">IF(AND($N250=1,AND(LEFT(对接源_01水果!$D250,4)="包装物料",N(对接源_01水果!$K250)&lt;&gt;0)),1,0)</f>
        <v>0</v>
      </c>
      <c r="AG250" s="90" t="str">
        <f aca="false">IF(对接源_01水果!$AC250="","",对接源_01水果!$AC250)</f>
        <v/>
      </c>
      <c r="AH250" s="1" t="n">
        <f aca="false">IF(AND($N250=1,AND(LEFT(对接源_01水果!$D250,3)="周转筐",N(对接源_01水果!$K250)&lt;&gt;0)),1,0)</f>
        <v>0</v>
      </c>
      <c r="AI250" s="90" t="n">
        <f aca="false">IF(AG250="",0,IF(MATCH(AG250,$AG$4:$AG$1203,0)=ROW()-3,1,0))</f>
        <v>0</v>
      </c>
      <c r="AJ250" s="90" t="n">
        <f aca="false">N(AJ249)+AI250</f>
        <v>0</v>
      </c>
      <c r="AK250" s="1" t="n">
        <f aca="false">N(AK249)+$AJ250</f>
        <v>0</v>
      </c>
    </row>
    <row r="251" customFormat="false" ht="13.5" hidden="false" customHeight="false" outlineLevel="0" collapsed="false">
      <c r="A251" s="1" t="str">
        <f aca="false">IF(对接源_01水果!$C251="","",对接源_01水果!$C251)</f>
        <v>王照雪</v>
      </c>
      <c r="B251" s="1" t="n">
        <f aca="false">IF(A251="",0,IF(MATCH(A251,$A$4:$A$2403,0)=ROW()-3,1,0))</f>
        <v>0</v>
      </c>
      <c r="C251" s="1" t="n">
        <f aca="false">N(C250)+B251</f>
        <v>13</v>
      </c>
      <c r="E251" s="1" t="str">
        <f aca="false">IFERROR(INDEX($A$4:$A$2403,MATCH(ROW()-3,$C$4:$C$2403,0)),"")</f>
        <v/>
      </c>
      <c r="K251" s="1" t="n">
        <f aca="false">IF(OR($K$1="",对接源_01水果!$C251="",对接源_01水果!$C251&lt;&gt;$K$1,对接源_01水果!$B251=""),0,IF(OR(N(对接源_01水果!$B251)&lt;$K$2,N(对接源_01水果!$B251)&gt;$K$3),0,1))</f>
        <v>1</v>
      </c>
      <c r="L251" s="1" t="n">
        <f aca="false">IF(OR($L$1="",对接源_01水果!$C251="",对接源_01水果!$C251&lt;&gt;$L$1,对接源_01水果!$B251=""),0,IF(OR(N(对接源_01水果!$B251)&lt;$L$2,N(对接源_01水果!$B251)&gt;$L$3),0,1))</f>
        <v>0</v>
      </c>
      <c r="M251" s="1" t="n">
        <f aca="false">IF(OR($M$1="",对接源_01水果!$C251="",对接源_01水果!$C251&lt;&gt;$M$1,对接源_01水果!$B251=""),0,IF(OR(N(对接源_01水果!$B251)&lt;$M$2,N(对接源_01水果!$B251)&gt;$M$3),0,1))</f>
        <v>1</v>
      </c>
      <c r="N251" s="1" t="n">
        <f aca="false">IF(OR($N$1="",对接源_01水果!$C251="",对接源_01水果!$C251&lt;&gt;$N$1,对接源_01水果!$B251=""),0,IF(OR(N(对接源_01水果!$B251)&lt;$N$2,N(对接源_01水果!$B251)&gt;$N$3),0,1))</f>
        <v>0</v>
      </c>
      <c r="P251" s="1" t="n">
        <f aca="false">IF(AND($K251=1,AND(对接源_01水果!$X251="公司筐",N(对接源_01水果!$T251)&lt;&gt;0)),1,0)</f>
        <v>0</v>
      </c>
      <c r="Q251" s="1" t="n">
        <f aca="false">N(Q250)+$P251</f>
        <v>1</v>
      </c>
      <c r="R251" s="1" t="n">
        <f aca="false">IF(AND($K251=1,AND(对接源_01水果!$X251="公司筐",N(对接源_01水果!$U251)&lt;&gt;0)),1,0)</f>
        <v>0</v>
      </c>
      <c r="S251" s="1" t="n">
        <f aca="false">N(S250)+$R251</f>
        <v>0</v>
      </c>
      <c r="T251" s="1" t="n">
        <f aca="false">IF(AND($K251=1,AND(对接源_01水果!$X251="公司筐",N(对接源_01水果!$V251)&lt;&gt;0)),1,0)</f>
        <v>0</v>
      </c>
      <c r="U251" s="1" t="n">
        <f aca="false">N(U250)+$T251</f>
        <v>28</v>
      </c>
      <c r="V251" s="1" t="n">
        <f aca="false">IF(AND($L251=1,AND(对接源_01水果!$X251="自备筐",N(对接源_01水果!$V251)&lt;&gt;0)),1,0)</f>
        <v>0</v>
      </c>
      <c r="W251" s="1" t="n">
        <f aca="false">N(W250)+$V251</f>
        <v>7</v>
      </c>
      <c r="X251" s="1" t="n">
        <f aca="false">IF(AND($L251=1,AND(对接源_01水果!$X251="自备筐",N(对接源_01水果!$T251)&lt;&gt;0)),1,0)</f>
        <v>0</v>
      </c>
      <c r="Y251" s="1" t="n">
        <f aca="false">N(Y250)+$X251</f>
        <v>0</v>
      </c>
      <c r="Z251" s="1" t="n">
        <f aca="false">IF(AND($M251=1,对接源_01水果!$D251="原料入库"),1,0)</f>
        <v>0</v>
      </c>
      <c r="AA251" s="1" t="n">
        <f aca="false">N(AA250)+$Z251</f>
        <v>30</v>
      </c>
      <c r="AB251" s="1" t="n">
        <f aca="false">IF(AND($M251=1,LEFT(对接源_01水果!$D251,4)="原料出库"),1,0)</f>
        <v>1</v>
      </c>
      <c r="AC251" s="1" t="n">
        <f aca="false">N(AC250)+$AB251</f>
        <v>11</v>
      </c>
      <c r="AD251" s="1" t="n">
        <f aca="false">IF(AND($M251=1,LEFT(对接源_01水果!$D251,4)="成品出库"),1,0)</f>
        <v>0</v>
      </c>
      <c r="AE251" s="1" t="n">
        <f aca="false">N(AE250)+$AD251</f>
        <v>0</v>
      </c>
      <c r="AF251" s="1" t="n">
        <f aca="false">IF(AND($N251=1,AND(LEFT(对接源_01水果!$D251,4)="包装物料",N(对接源_01水果!$K251)&lt;&gt;0)),1,0)</f>
        <v>0</v>
      </c>
      <c r="AG251" s="90" t="str">
        <f aca="false">IF(对接源_01水果!$AC251="","",对接源_01水果!$AC251)</f>
        <v/>
      </c>
      <c r="AH251" s="1" t="n">
        <f aca="false">IF(AND($N251=1,AND(LEFT(对接源_01水果!$D251,3)="周转筐",N(对接源_01水果!$K251)&lt;&gt;0)),1,0)</f>
        <v>0</v>
      </c>
      <c r="AI251" s="90" t="n">
        <f aca="false">IF(AG251="",0,IF(MATCH(AG251,$AG$4:$AG$1203,0)=ROW()-3,1,0))</f>
        <v>0</v>
      </c>
      <c r="AJ251" s="90" t="n">
        <f aca="false">N(AJ250)+AI251</f>
        <v>0</v>
      </c>
      <c r="AK251" s="1" t="n">
        <f aca="false">N(AK250)+$AJ251</f>
        <v>0</v>
      </c>
    </row>
    <row r="252" customFormat="false" ht="13.5" hidden="false" customHeight="false" outlineLevel="0" collapsed="false">
      <c r="A252" s="1" t="str">
        <f aca="false">IF(对接源_01水果!$C252="","",对接源_01水果!$C252)</f>
        <v>王照雪</v>
      </c>
      <c r="B252" s="1" t="n">
        <f aca="false">IF(A252="",0,IF(MATCH(A252,$A$4:$A$2403,0)=ROW()-3,1,0))</f>
        <v>0</v>
      </c>
      <c r="C252" s="1" t="n">
        <f aca="false">N(C251)+B252</f>
        <v>13</v>
      </c>
      <c r="E252" s="1" t="str">
        <f aca="false">IFERROR(INDEX($A$4:$A$2403,MATCH(ROW()-3,$C$4:$C$2403,0)),"")</f>
        <v/>
      </c>
      <c r="K252" s="1" t="n">
        <f aca="false">IF(OR($K$1="",对接源_01水果!$C252="",对接源_01水果!$C252&lt;&gt;$K$1,对接源_01水果!$B252=""),0,IF(OR(N(对接源_01水果!$B252)&lt;$K$2,N(对接源_01水果!$B252)&gt;$K$3),0,1))</f>
        <v>1</v>
      </c>
      <c r="L252" s="1" t="n">
        <f aca="false">IF(OR($L$1="",对接源_01水果!$C252="",对接源_01水果!$C252&lt;&gt;$L$1,对接源_01水果!$B252=""),0,IF(OR(N(对接源_01水果!$B252)&lt;$L$2,N(对接源_01水果!$B252)&gt;$L$3),0,1))</f>
        <v>0</v>
      </c>
      <c r="M252" s="1" t="n">
        <f aca="false">IF(OR($M$1="",对接源_01水果!$C252="",对接源_01水果!$C252&lt;&gt;$M$1,对接源_01水果!$B252=""),0,IF(OR(N(对接源_01水果!$B252)&lt;$M$2,N(对接源_01水果!$B252)&gt;$M$3),0,1))</f>
        <v>1</v>
      </c>
      <c r="N252" s="1" t="n">
        <f aca="false">IF(OR($N$1="",对接源_01水果!$C252="",对接源_01水果!$C252&lt;&gt;$N$1,对接源_01水果!$B252=""),0,IF(OR(N(对接源_01水果!$B252)&lt;$N$2,N(对接源_01水果!$B252)&gt;$N$3),0,1))</f>
        <v>0</v>
      </c>
      <c r="P252" s="1" t="n">
        <f aca="false">IF(AND($K252=1,AND(对接源_01水果!$X252="公司筐",N(对接源_01水果!$T252)&lt;&gt;0)),1,0)</f>
        <v>0</v>
      </c>
      <c r="Q252" s="1" t="n">
        <f aca="false">N(Q251)+$P252</f>
        <v>1</v>
      </c>
      <c r="R252" s="1" t="n">
        <f aca="false">IF(AND($K252=1,AND(对接源_01水果!$X252="公司筐",N(对接源_01水果!$U252)&lt;&gt;0)),1,0)</f>
        <v>0</v>
      </c>
      <c r="S252" s="1" t="n">
        <f aca="false">N(S251)+$R252</f>
        <v>0</v>
      </c>
      <c r="T252" s="1" t="n">
        <f aca="false">IF(AND($K252=1,AND(对接源_01水果!$X252="公司筐",N(对接源_01水果!$V252)&lt;&gt;0)),1,0)</f>
        <v>0</v>
      </c>
      <c r="U252" s="1" t="n">
        <f aca="false">N(U251)+$T252</f>
        <v>28</v>
      </c>
      <c r="V252" s="1" t="n">
        <f aca="false">IF(AND($L252=1,AND(对接源_01水果!$X252="自备筐",N(对接源_01水果!$V252)&lt;&gt;0)),1,0)</f>
        <v>0</v>
      </c>
      <c r="W252" s="1" t="n">
        <f aca="false">N(W251)+$V252</f>
        <v>7</v>
      </c>
      <c r="X252" s="1" t="n">
        <f aca="false">IF(AND($L252=1,AND(对接源_01水果!$X252="自备筐",N(对接源_01水果!$T252)&lt;&gt;0)),1,0)</f>
        <v>0</v>
      </c>
      <c r="Y252" s="1" t="n">
        <f aca="false">N(Y251)+$X252</f>
        <v>0</v>
      </c>
      <c r="Z252" s="1" t="n">
        <f aca="false">IF(AND($M252=1,对接源_01水果!$D252="原料入库"),1,0)</f>
        <v>0</v>
      </c>
      <c r="AA252" s="1" t="n">
        <f aca="false">N(AA251)+$Z252</f>
        <v>30</v>
      </c>
      <c r="AB252" s="1" t="n">
        <f aca="false">IF(AND($M252=1,LEFT(对接源_01水果!$D252,4)="原料出库"),1,0)</f>
        <v>1</v>
      </c>
      <c r="AC252" s="1" t="n">
        <f aca="false">N(AC251)+$AB252</f>
        <v>12</v>
      </c>
      <c r="AD252" s="1" t="n">
        <f aca="false">IF(AND($M252=1,LEFT(对接源_01水果!$D252,4)="成品出库"),1,0)</f>
        <v>0</v>
      </c>
      <c r="AE252" s="1" t="n">
        <f aca="false">N(AE251)+$AD252</f>
        <v>0</v>
      </c>
      <c r="AF252" s="1" t="n">
        <f aca="false">IF(AND($N252=1,AND(LEFT(对接源_01水果!$D252,4)="包装物料",N(对接源_01水果!$K252)&lt;&gt;0)),1,0)</f>
        <v>0</v>
      </c>
      <c r="AG252" s="90" t="str">
        <f aca="false">IF(对接源_01水果!$AC252="","",对接源_01水果!$AC252)</f>
        <v/>
      </c>
      <c r="AH252" s="1" t="n">
        <f aca="false">IF(AND($N252=1,AND(LEFT(对接源_01水果!$D252,3)="周转筐",N(对接源_01水果!$K252)&lt;&gt;0)),1,0)</f>
        <v>0</v>
      </c>
      <c r="AI252" s="90" t="n">
        <f aca="false">IF(AG252="",0,IF(MATCH(AG252,$AG$4:$AG$1203,0)=ROW()-3,1,0))</f>
        <v>0</v>
      </c>
      <c r="AJ252" s="90" t="n">
        <f aca="false">N(AJ251)+AI252</f>
        <v>0</v>
      </c>
      <c r="AK252" s="1" t="n">
        <f aca="false">N(AK251)+$AJ252</f>
        <v>0</v>
      </c>
    </row>
    <row r="253" customFormat="false" ht="13.5" hidden="false" customHeight="false" outlineLevel="0" collapsed="false">
      <c r="A253" s="1" t="str">
        <f aca="false">IF(对接源_01水果!$C253="","",对接源_01水果!$C253)</f>
        <v>聂新平</v>
      </c>
      <c r="B253" s="1" t="n">
        <f aca="false">IF(A253="",0,IF(MATCH(A253,$A$4:$A$2403,0)=ROW()-3,1,0))</f>
        <v>0</v>
      </c>
      <c r="C253" s="1" t="n">
        <f aca="false">N(C252)+B253</f>
        <v>13</v>
      </c>
      <c r="E253" s="1" t="str">
        <f aca="false">IFERROR(INDEX($A$4:$A$2403,MATCH(ROW()-3,$C$4:$C$2403,0)),"")</f>
        <v/>
      </c>
      <c r="K253" s="1" t="n">
        <f aca="false">IF(OR($K$1="",对接源_01水果!$C253="",对接源_01水果!$C253&lt;&gt;$K$1,对接源_01水果!$B253=""),0,IF(OR(N(对接源_01水果!$B253)&lt;$K$2,N(对接源_01水果!$B253)&gt;$K$3),0,1))</f>
        <v>0</v>
      </c>
      <c r="L253" s="1" t="n">
        <f aca="false">IF(OR($L$1="",对接源_01水果!$C253="",对接源_01水果!$C253&lt;&gt;$L$1,对接源_01水果!$B253=""),0,IF(OR(N(对接源_01水果!$B253)&lt;$L$2,N(对接源_01水果!$B253)&gt;$L$3),0,1))</f>
        <v>0</v>
      </c>
      <c r="M253" s="1" t="n">
        <f aca="false">IF(OR($M$1="",对接源_01水果!$C253="",对接源_01水果!$C253&lt;&gt;$M$1,对接源_01水果!$B253=""),0,IF(OR(N(对接源_01水果!$B253)&lt;$M$2,N(对接源_01水果!$B253)&gt;$M$3),0,1))</f>
        <v>0</v>
      </c>
      <c r="N253" s="1" t="n">
        <f aca="false">IF(OR($N$1="",对接源_01水果!$C253="",对接源_01水果!$C253&lt;&gt;$N$1,对接源_01水果!$B253=""),0,IF(OR(N(对接源_01水果!$B253)&lt;$N$2,N(对接源_01水果!$B253)&gt;$N$3),0,1))</f>
        <v>0</v>
      </c>
      <c r="P253" s="1" t="n">
        <f aca="false">IF(AND($K253=1,AND(对接源_01水果!$X253="公司筐",N(对接源_01水果!$T253)&lt;&gt;0)),1,0)</f>
        <v>0</v>
      </c>
      <c r="Q253" s="1" t="n">
        <f aca="false">N(Q252)+$P253</f>
        <v>1</v>
      </c>
      <c r="R253" s="1" t="n">
        <f aca="false">IF(AND($K253=1,AND(对接源_01水果!$X253="公司筐",N(对接源_01水果!$U253)&lt;&gt;0)),1,0)</f>
        <v>0</v>
      </c>
      <c r="S253" s="1" t="n">
        <f aca="false">N(S252)+$R253</f>
        <v>0</v>
      </c>
      <c r="T253" s="1" t="n">
        <f aca="false">IF(AND($K253=1,AND(对接源_01水果!$X253="公司筐",N(对接源_01水果!$V253)&lt;&gt;0)),1,0)</f>
        <v>0</v>
      </c>
      <c r="U253" s="1" t="n">
        <f aca="false">N(U252)+$T253</f>
        <v>28</v>
      </c>
      <c r="V253" s="1" t="n">
        <f aca="false">IF(AND($L253=1,AND(对接源_01水果!$X253="自备筐",N(对接源_01水果!$V253)&lt;&gt;0)),1,0)</f>
        <v>0</v>
      </c>
      <c r="W253" s="1" t="n">
        <f aca="false">N(W252)+$V253</f>
        <v>7</v>
      </c>
      <c r="X253" s="1" t="n">
        <f aca="false">IF(AND($L253=1,AND(对接源_01水果!$X253="自备筐",N(对接源_01水果!$T253)&lt;&gt;0)),1,0)</f>
        <v>0</v>
      </c>
      <c r="Y253" s="1" t="n">
        <f aca="false">N(Y252)+$X253</f>
        <v>0</v>
      </c>
      <c r="Z253" s="1" t="n">
        <f aca="false">IF(AND($M253=1,对接源_01水果!$D253="原料入库"),1,0)</f>
        <v>0</v>
      </c>
      <c r="AA253" s="1" t="n">
        <f aca="false">N(AA252)+$Z253</f>
        <v>30</v>
      </c>
      <c r="AB253" s="1" t="n">
        <f aca="false">IF(AND($M253=1,LEFT(对接源_01水果!$D253,4)="原料出库"),1,0)</f>
        <v>0</v>
      </c>
      <c r="AC253" s="1" t="n">
        <f aca="false">N(AC252)+$AB253</f>
        <v>12</v>
      </c>
      <c r="AD253" s="1" t="n">
        <f aca="false">IF(AND($M253=1,LEFT(对接源_01水果!$D253,4)="成品出库"),1,0)</f>
        <v>0</v>
      </c>
      <c r="AE253" s="1" t="n">
        <f aca="false">N(AE252)+$AD253</f>
        <v>0</v>
      </c>
      <c r="AF253" s="1" t="n">
        <f aca="false">IF(AND($N253=1,AND(LEFT(对接源_01水果!$D253,4)="包装物料",N(对接源_01水果!$K253)&lt;&gt;0)),1,0)</f>
        <v>0</v>
      </c>
      <c r="AG253" s="90" t="str">
        <f aca="false">IF(对接源_01水果!$AC253="","",对接源_01水果!$AC253)</f>
        <v/>
      </c>
      <c r="AH253" s="1" t="n">
        <f aca="false">IF(AND($N253=1,AND(LEFT(对接源_01水果!$D253,3)="周转筐",N(对接源_01水果!$K253)&lt;&gt;0)),1,0)</f>
        <v>0</v>
      </c>
      <c r="AI253" s="90" t="n">
        <f aca="false">IF(AG253="",0,IF(MATCH(AG253,$AG$4:$AG$1203,0)=ROW()-3,1,0))</f>
        <v>0</v>
      </c>
      <c r="AJ253" s="90" t="n">
        <f aca="false">N(AJ252)+AI253</f>
        <v>0</v>
      </c>
      <c r="AK253" s="1" t="n">
        <f aca="false">N(AK252)+$AJ253</f>
        <v>0</v>
      </c>
    </row>
    <row r="254" customFormat="false" ht="13.5" hidden="false" customHeight="false" outlineLevel="0" collapsed="false">
      <c r="A254" s="1" t="str">
        <f aca="false">IF(对接源_01水果!$C254="","",对接源_01水果!$C254)</f>
        <v>聂新平</v>
      </c>
      <c r="B254" s="1" t="n">
        <f aca="false">IF(A254="",0,IF(MATCH(A254,$A$4:$A$2403,0)=ROW()-3,1,0))</f>
        <v>0</v>
      </c>
      <c r="C254" s="1" t="n">
        <f aca="false">N(C253)+B254</f>
        <v>13</v>
      </c>
      <c r="E254" s="1" t="str">
        <f aca="false">IFERROR(INDEX($A$4:$A$2403,MATCH(ROW()-3,$C$4:$C$2403,0)),"")</f>
        <v/>
      </c>
      <c r="K254" s="1" t="n">
        <f aca="false">IF(OR($K$1="",对接源_01水果!$C254="",对接源_01水果!$C254&lt;&gt;$K$1,对接源_01水果!$B254=""),0,IF(OR(N(对接源_01水果!$B254)&lt;$K$2,N(对接源_01水果!$B254)&gt;$K$3),0,1))</f>
        <v>0</v>
      </c>
      <c r="L254" s="1" t="n">
        <f aca="false">IF(OR($L$1="",对接源_01水果!$C254="",对接源_01水果!$C254&lt;&gt;$L$1,对接源_01水果!$B254=""),0,IF(OR(N(对接源_01水果!$B254)&lt;$L$2,N(对接源_01水果!$B254)&gt;$L$3),0,1))</f>
        <v>0</v>
      </c>
      <c r="M254" s="1" t="n">
        <f aca="false">IF(OR($M$1="",对接源_01水果!$C254="",对接源_01水果!$C254&lt;&gt;$M$1,对接源_01水果!$B254=""),0,IF(OR(N(对接源_01水果!$B254)&lt;$M$2,N(对接源_01水果!$B254)&gt;$M$3),0,1))</f>
        <v>0</v>
      </c>
      <c r="N254" s="1" t="n">
        <f aca="false">IF(OR($N$1="",对接源_01水果!$C254="",对接源_01水果!$C254&lt;&gt;$N$1,对接源_01水果!$B254=""),0,IF(OR(N(对接源_01水果!$B254)&lt;$N$2,N(对接源_01水果!$B254)&gt;$N$3),0,1))</f>
        <v>0</v>
      </c>
      <c r="P254" s="1" t="n">
        <f aca="false">IF(AND($K254=1,AND(对接源_01水果!$X254="公司筐",N(对接源_01水果!$T254)&lt;&gt;0)),1,0)</f>
        <v>0</v>
      </c>
      <c r="Q254" s="1" t="n">
        <f aca="false">N(Q253)+$P254</f>
        <v>1</v>
      </c>
      <c r="R254" s="1" t="n">
        <f aca="false">IF(AND($K254=1,AND(对接源_01水果!$X254="公司筐",N(对接源_01水果!$U254)&lt;&gt;0)),1,0)</f>
        <v>0</v>
      </c>
      <c r="S254" s="1" t="n">
        <f aca="false">N(S253)+$R254</f>
        <v>0</v>
      </c>
      <c r="T254" s="1" t="n">
        <f aca="false">IF(AND($K254=1,AND(对接源_01水果!$X254="公司筐",N(对接源_01水果!$V254)&lt;&gt;0)),1,0)</f>
        <v>0</v>
      </c>
      <c r="U254" s="1" t="n">
        <f aca="false">N(U253)+$T254</f>
        <v>28</v>
      </c>
      <c r="V254" s="1" t="n">
        <f aca="false">IF(AND($L254=1,AND(对接源_01水果!$X254="自备筐",N(对接源_01水果!$V254)&lt;&gt;0)),1,0)</f>
        <v>0</v>
      </c>
      <c r="W254" s="1" t="n">
        <f aca="false">N(W253)+$V254</f>
        <v>7</v>
      </c>
      <c r="X254" s="1" t="n">
        <f aca="false">IF(AND($L254=1,AND(对接源_01水果!$X254="自备筐",N(对接源_01水果!$T254)&lt;&gt;0)),1,0)</f>
        <v>0</v>
      </c>
      <c r="Y254" s="1" t="n">
        <f aca="false">N(Y253)+$X254</f>
        <v>0</v>
      </c>
      <c r="Z254" s="1" t="n">
        <f aca="false">IF(AND($M254=1,对接源_01水果!$D254="原料入库"),1,0)</f>
        <v>0</v>
      </c>
      <c r="AA254" s="1" t="n">
        <f aca="false">N(AA253)+$Z254</f>
        <v>30</v>
      </c>
      <c r="AB254" s="1" t="n">
        <f aca="false">IF(AND($M254=1,LEFT(对接源_01水果!$D254,4)="原料出库"),1,0)</f>
        <v>0</v>
      </c>
      <c r="AC254" s="1" t="n">
        <f aca="false">N(AC253)+$AB254</f>
        <v>12</v>
      </c>
      <c r="AD254" s="1" t="n">
        <f aca="false">IF(AND($M254=1,LEFT(对接源_01水果!$D254,4)="成品出库"),1,0)</f>
        <v>0</v>
      </c>
      <c r="AE254" s="1" t="n">
        <f aca="false">N(AE253)+$AD254</f>
        <v>0</v>
      </c>
      <c r="AF254" s="1" t="n">
        <f aca="false">IF(AND($N254=1,AND(LEFT(对接源_01水果!$D254,4)="包装物料",N(对接源_01水果!$K254)&lt;&gt;0)),1,0)</f>
        <v>0</v>
      </c>
      <c r="AG254" s="90" t="str">
        <f aca="false">IF(对接源_01水果!$AC254="","",对接源_01水果!$AC254)</f>
        <v/>
      </c>
      <c r="AH254" s="1" t="n">
        <f aca="false">IF(AND($N254=1,AND(LEFT(对接源_01水果!$D254,3)="周转筐",N(对接源_01水果!$K254)&lt;&gt;0)),1,0)</f>
        <v>0</v>
      </c>
      <c r="AI254" s="90" t="n">
        <f aca="false">IF(AG254="",0,IF(MATCH(AG254,$AG$4:$AG$1203,0)=ROW()-3,1,0))</f>
        <v>0</v>
      </c>
      <c r="AJ254" s="90" t="n">
        <f aca="false">N(AJ253)+AI254</f>
        <v>0</v>
      </c>
      <c r="AK254" s="1" t="n">
        <f aca="false">N(AK253)+$AJ254</f>
        <v>0</v>
      </c>
    </row>
    <row r="255" customFormat="false" ht="13.5" hidden="false" customHeight="false" outlineLevel="0" collapsed="false">
      <c r="A255" s="1" t="str">
        <f aca="false">IF(对接源_01水果!$C255="","",对接源_01水果!$C255)</f>
        <v>聂新平</v>
      </c>
      <c r="B255" s="1" t="n">
        <f aca="false">IF(A255="",0,IF(MATCH(A255,$A$4:$A$2403,0)=ROW()-3,1,0))</f>
        <v>0</v>
      </c>
      <c r="C255" s="1" t="n">
        <f aca="false">N(C254)+B255</f>
        <v>13</v>
      </c>
      <c r="E255" s="1" t="str">
        <f aca="false">IFERROR(INDEX($A$4:$A$2403,MATCH(ROW()-3,$C$4:$C$2403,0)),"")</f>
        <v/>
      </c>
      <c r="K255" s="1" t="n">
        <f aca="false">IF(OR($K$1="",对接源_01水果!$C255="",对接源_01水果!$C255&lt;&gt;$K$1,对接源_01水果!$B255=""),0,IF(OR(N(对接源_01水果!$B255)&lt;$K$2,N(对接源_01水果!$B255)&gt;$K$3),0,1))</f>
        <v>0</v>
      </c>
      <c r="L255" s="1" t="n">
        <f aca="false">IF(OR($L$1="",对接源_01水果!$C255="",对接源_01水果!$C255&lt;&gt;$L$1,对接源_01水果!$B255=""),0,IF(OR(N(对接源_01水果!$B255)&lt;$L$2,N(对接源_01水果!$B255)&gt;$L$3),0,1))</f>
        <v>0</v>
      </c>
      <c r="M255" s="1" t="n">
        <f aca="false">IF(OR($M$1="",对接源_01水果!$C255="",对接源_01水果!$C255&lt;&gt;$M$1,对接源_01水果!$B255=""),0,IF(OR(N(对接源_01水果!$B255)&lt;$M$2,N(对接源_01水果!$B255)&gt;$M$3),0,1))</f>
        <v>0</v>
      </c>
      <c r="N255" s="1" t="n">
        <f aca="false">IF(OR($N$1="",对接源_01水果!$C255="",对接源_01水果!$C255&lt;&gt;$N$1,对接源_01水果!$B255=""),0,IF(OR(N(对接源_01水果!$B255)&lt;$N$2,N(对接源_01水果!$B255)&gt;$N$3),0,1))</f>
        <v>0</v>
      </c>
      <c r="P255" s="1" t="n">
        <f aca="false">IF(AND($K255=1,AND(对接源_01水果!$X255="公司筐",N(对接源_01水果!$T255)&lt;&gt;0)),1,0)</f>
        <v>0</v>
      </c>
      <c r="Q255" s="1" t="n">
        <f aca="false">N(Q254)+$P255</f>
        <v>1</v>
      </c>
      <c r="R255" s="1" t="n">
        <f aca="false">IF(AND($K255=1,AND(对接源_01水果!$X255="公司筐",N(对接源_01水果!$U255)&lt;&gt;0)),1,0)</f>
        <v>0</v>
      </c>
      <c r="S255" s="1" t="n">
        <f aca="false">N(S254)+$R255</f>
        <v>0</v>
      </c>
      <c r="T255" s="1" t="n">
        <f aca="false">IF(AND($K255=1,AND(对接源_01水果!$X255="公司筐",N(对接源_01水果!$V255)&lt;&gt;0)),1,0)</f>
        <v>0</v>
      </c>
      <c r="U255" s="1" t="n">
        <f aca="false">N(U254)+$T255</f>
        <v>28</v>
      </c>
      <c r="V255" s="1" t="n">
        <f aca="false">IF(AND($L255=1,AND(对接源_01水果!$X255="自备筐",N(对接源_01水果!$V255)&lt;&gt;0)),1,0)</f>
        <v>0</v>
      </c>
      <c r="W255" s="1" t="n">
        <f aca="false">N(W254)+$V255</f>
        <v>7</v>
      </c>
      <c r="X255" s="1" t="n">
        <f aca="false">IF(AND($L255=1,AND(对接源_01水果!$X255="自备筐",N(对接源_01水果!$T255)&lt;&gt;0)),1,0)</f>
        <v>0</v>
      </c>
      <c r="Y255" s="1" t="n">
        <f aca="false">N(Y254)+$X255</f>
        <v>0</v>
      </c>
      <c r="Z255" s="1" t="n">
        <f aca="false">IF(AND($M255=1,对接源_01水果!$D255="原料入库"),1,0)</f>
        <v>0</v>
      </c>
      <c r="AA255" s="1" t="n">
        <f aca="false">N(AA254)+$Z255</f>
        <v>30</v>
      </c>
      <c r="AB255" s="1" t="n">
        <f aca="false">IF(AND($M255=1,LEFT(对接源_01水果!$D255,4)="原料出库"),1,0)</f>
        <v>0</v>
      </c>
      <c r="AC255" s="1" t="n">
        <f aca="false">N(AC254)+$AB255</f>
        <v>12</v>
      </c>
      <c r="AD255" s="1" t="n">
        <f aca="false">IF(AND($M255=1,LEFT(对接源_01水果!$D255,4)="成品出库"),1,0)</f>
        <v>0</v>
      </c>
      <c r="AE255" s="1" t="n">
        <f aca="false">N(AE254)+$AD255</f>
        <v>0</v>
      </c>
      <c r="AF255" s="1" t="n">
        <f aca="false">IF(AND($N255=1,AND(LEFT(对接源_01水果!$D255,4)="包装物料",N(对接源_01水果!$K255)&lt;&gt;0)),1,0)</f>
        <v>0</v>
      </c>
      <c r="AG255" s="90" t="str">
        <f aca="false">IF(对接源_01水果!$AC255="","",对接源_01水果!$AC255)</f>
        <v/>
      </c>
      <c r="AH255" s="1" t="n">
        <f aca="false">IF(AND($N255=1,AND(LEFT(对接源_01水果!$D255,3)="周转筐",N(对接源_01水果!$K255)&lt;&gt;0)),1,0)</f>
        <v>0</v>
      </c>
      <c r="AI255" s="90" t="n">
        <f aca="false">IF(AG255="",0,IF(MATCH(AG255,$AG$4:$AG$1203,0)=ROW()-3,1,0))</f>
        <v>0</v>
      </c>
      <c r="AJ255" s="90" t="n">
        <f aca="false">N(AJ254)+AI255</f>
        <v>0</v>
      </c>
      <c r="AK255" s="1" t="n">
        <f aca="false">N(AK254)+$AJ255</f>
        <v>0</v>
      </c>
    </row>
    <row r="256" customFormat="false" ht="13.5" hidden="false" customHeight="false" outlineLevel="0" collapsed="false">
      <c r="A256" s="1" t="str">
        <f aca="false">IF(对接源_01水果!$C256="","",对接源_01水果!$C256)</f>
        <v>聂新平</v>
      </c>
      <c r="B256" s="1" t="n">
        <f aca="false">IF(A256="",0,IF(MATCH(A256,$A$4:$A$2403,0)=ROW()-3,1,0))</f>
        <v>0</v>
      </c>
      <c r="C256" s="1" t="n">
        <f aca="false">N(C255)+B256</f>
        <v>13</v>
      </c>
      <c r="E256" s="1" t="str">
        <f aca="false">IFERROR(INDEX($A$4:$A$2403,MATCH(ROW()-3,$C$4:$C$2403,0)),"")</f>
        <v/>
      </c>
      <c r="K256" s="1" t="n">
        <f aca="false">IF(OR($K$1="",对接源_01水果!$C256="",对接源_01水果!$C256&lt;&gt;$K$1,对接源_01水果!$B256=""),0,IF(OR(N(对接源_01水果!$B256)&lt;$K$2,N(对接源_01水果!$B256)&gt;$K$3),0,1))</f>
        <v>0</v>
      </c>
      <c r="L256" s="1" t="n">
        <f aca="false">IF(OR($L$1="",对接源_01水果!$C256="",对接源_01水果!$C256&lt;&gt;$L$1,对接源_01水果!$B256=""),0,IF(OR(N(对接源_01水果!$B256)&lt;$L$2,N(对接源_01水果!$B256)&gt;$L$3),0,1))</f>
        <v>0</v>
      </c>
      <c r="M256" s="1" t="n">
        <f aca="false">IF(OR($M$1="",对接源_01水果!$C256="",对接源_01水果!$C256&lt;&gt;$M$1,对接源_01水果!$B256=""),0,IF(OR(N(对接源_01水果!$B256)&lt;$M$2,N(对接源_01水果!$B256)&gt;$M$3),0,1))</f>
        <v>0</v>
      </c>
      <c r="N256" s="1" t="n">
        <f aca="false">IF(OR($N$1="",对接源_01水果!$C256="",对接源_01水果!$C256&lt;&gt;$N$1,对接源_01水果!$B256=""),0,IF(OR(N(对接源_01水果!$B256)&lt;$N$2,N(对接源_01水果!$B256)&gt;$N$3),0,1))</f>
        <v>0</v>
      </c>
      <c r="P256" s="1" t="n">
        <f aca="false">IF(AND($K256=1,AND(对接源_01水果!$X256="公司筐",N(对接源_01水果!$T256)&lt;&gt;0)),1,0)</f>
        <v>0</v>
      </c>
      <c r="Q256" s="1" t="n">
        <f aca="false">N(Q255)+$P256</f>
        <v>1</v>
      </c>
      <c r="R256" s="1" t="n">
        <f aca="false">IF(AND($K256=1,AND(对接源_01水果!$X256="公司筐",N(对接源_01水果!$U256)&lt;&gt;0)),1,0)</f>
        <v>0</v>
      </c>
      <c r="S256" s="1" t="n">
        <f aca="false">N(S255)+$R256</f>
        <v>0</v>
      </c>
      <c r="T256" s="1" t="n">
        <f aca="false">IF(AND($K256=1,AND(对接源_01水果!$X256="公司筐",N(对接源_01水果!$V256)&lt;&gt;0)),1,0)</f>
        <v>0</v>
      </c>
      <c r="U256" s="1" t="n">
        <f aca="false">N(U255)+$T256</f>
        <v>28</v>
      </c>
      <c r="V256" s="1" t="n">
        <f aca="false">IF(AND($L256=1,AND(对接源_01水果!$X256="自备筐",N(对接源_01水果!$V256)&lt;&gt;0)),1,0)</f>
        <v>0</v>
      </c>
      <c r="W256" s="1" t="n">
        <f aca="false">N(W255)+$V256</f>
        <v>7</v>
      </c>
      <c r="X256" s="1" t="n">
        <f aca="false">IF(AND($L256=1,AND(对接源_01水果!$X256="自备筐",N(对接源_01水果!$T256)&lt;&gt;0)),1,0)</f>
        <v>0</v>
      </c>
      <c r="Y256" s="1" t="n">
        <f aca="false">N(Y255)+$X256</f>
        <v>0</v>
      </c>
      <c r="Z256" s="1" t="n">
        <f aca="false">IF(AND($M256=1,对接源_01水果!$D256="原料入库"),1,0)</f>
        <v>0</v>
      </c>
      <c r="AA256" s="1" t="n">
        <f aca="false">N(AA255)+$Z256</f>
        <v>30</v>
      </c>
      <c r="AB256" s="1" t="n">
        <f aca="false">IF(AND($M256=1,LEFT(对接源_01水果!$D256,4)="原料出库"),1,0)</f>
        <v>0</v>
      </c>
      <c r="AC256" s="1" t="n">
        <f aca="false">N(AC255)+$AB256</f>
        <v>12</v>
      </c>
      <c r="AD256" s="1" t="n">
        <f aca="false">IF(AND($M256=1,LEFT(对接源_01水果!$D256,4)="成品出库"),1,0)</f>
        <v>0</v>
      </c>
      <c r="AE256" s="1" t="n">
        <f aca="false">N(AE255)+$AD256</f>
        <v>0</v>
      </c>
      <c r="AF256" s="1" t="n">
        <f aca="false">IF(AND($N256=1,AND(LEFT(对接源_01水果!$D256,4)="包装物料",N(对接源_01水果!$K256)&lt;&gt;0)),1,0)</f>
        <v>0</v>
      </c>
      <c r="AG256" s="90" t="str">
        <f aca="false">IF(对接源_01水果!$AC256="","",对接源_01水果!$AC256)</f>
        <v/>
      </c>
      <c r="AH256" s="1" t="n">
        <f aca="false">IF(AND($N256=1,AND(LEFT(对接源_01水果!$D256,3)="周转筐",N(对接源_01水果!$K256)&lt;&gt;0)),1,0)</f>
        <v>0</v>
      </c>
      <c r="AI256" s="90" t="n">
        <f aca="false">IF(AG256="",0,IF(MATCH(AG256,$AG$4:$AG$1203,0)=ROW()-3,1,0))</f>
        <v>0</v>
      </c>
      <c r="AJ256" s="90" t="n">
        <f aca="false">N(AJ255)+AI256</f>
        <v>0</v>
      </c>
      <c r="AK256" s="1" t="n">
        <f aca="false">N(AK255)+$AJ256</f>
        <v>0</v>
      </c>
    </row>
    <row r="257" customFormat="false" ht="13.5" hidden="false" customHeight="false" outlineLevel="0" collapsed="false">
      <c r="A257" s="1" t="str">
        <f aca="false">IF(对接源_01水果!$C257="","",对接源_01水果!$C257)</f>
        <v>聂新平</v>
      </c>
      <c r="B257" s="1" t="n">
        <f aca="false">IF(A257="",0,IF(MATCH(A257,$A$4:$A$2403,0)=ROW()-3,1,0))</f>
        <v>0</v>
      </c>
      <c r="C257" s="1" t="n">
        <f aca="false">N(C256)+B257</f>
        <v>13</v>
      </c>
      <c r="E257" s="1" t="str">
        <f aca="false">IFERROR(INDEX($A$4:$A$2403,MATCH(ROW()-3,$C$4:$C$2403,0)),"")</f>
        <v/>
      </c>
      <c r="K257" s="1" t="n">
        <f aca="false">IF(OR($K$1="",对接源_01水果!$C257="",对接源_01水果!$C257&lt;&gt;$K$1,对接源_01水果!$B257=""),0,IF(OR(N(对接源_01水果!$B257)&lt;$K$2,N(对接源_01水果!$B257)&gt;$K$3),0,1))</f>
        <v>0</v>
      </c>
      <c r="L257" s="1" t="n">
        <f aca="false">IF(OR($L$1="",对接源_01水果!$C257="",对接源_01水果!$C257&lt;&gt;$L$1,对接源_01水果!$B257=""),0,IF(OR(N(对接源_01水果!$B257)&lt;$L$2,N(对接源_01水果!$B257)&gt;$L$3),0,1))</f>
        <v>0</v>
      </c>
      <c r="M257" s="1" t="n">
        <f aca="false">IF(OR($M$1="",对接源_01水果!$C257="",对接源_01水果!$C257&lt;&gt;$M$1,对接源_01水果!$B257=""),0,IF(OR(N(对接源_01水果!$B257)&lt;$M$2,N(对接源_01水果!$B257)&gt;$M$3),0,1))</f>
        <v>0</v>
      </c>
      <c r="N257" s="1" t="n">
        <f aca="false">IF(OR($N$1="",对接源_01水果!$C257="",对接源_01水果!$C257&lt;&gt;$N$1,对接源_01水果!$B257=""),0,IF(OR(N(对接源_01水果!$B257)&lt;$N$2,N(对接源_01水果!$B257)&gt;$N$3),0,1))</f>
        <v>0</v>
      </c>
      <c r="P257" s="1" t="n">
        <f aca="false">IF(AND($K257=1,AND(对接源_01水果!$X257="公司筐",N(对接源_01水果!$T257)&lt;&gt;0)),1,0)</f>
        <v>0</v>
      </c>
      <c r="Q257" s="1" t="n">
        <f aca="false">N(Q256)+$P257</f>
        <v>1</v>
      </c>
      <c r="R257" s="1" t="n">
        <f aca="false">IF(AND($K257=1,AND(对接源_01水果!$X257="公司筐",N(对接源_01水果!$U257)&lt;&gt;0)),1,0)</f>
        <v>0</v>
      </c>
      <c r="S257" s="1" t="n">
        <f aca="false">N(S256)+$R257</f>
        <v>0</v>
      </c>
      <c r="T257" s="1" t="n">
        <f aca="false">IF(AND($K257=1,AND(对接源_01水果!$X257="公司筐",N(对接源_01水果!$V257)&lt;&gt;0)),1,0)</f>
        <v>0</v>
      </c>
      <c r="U257" s="1" t="n">
        <f aca="false">N(U256)+$T257</f>
        <v>28</v>
      </c>
      <c r="V257" s="1" t="n">
        <f aca="false">IF(AND($L257=1,AND(对接源_01水果!$X257="自备筐",N(对接源_01水果!$V257)&lt;&gt;0)),1,0)</f>
        <v>0</v>
      </c>
      <c r="W257" s="1" t="n">
        <f aca="false">N(W256)+$V257</f>
        <v>7</v>
      </c>
      <c r="X257" s="1" t="n">
        <f aca="false">IF(AND($L257=1,AND(对接源_01水果!$X257="自备筐",N(对接源_01水果!$T257)&lt;&gt;0)),1,0)</f>
        <v>0</v>
      </c>
      <c r="Y257" s="1" t="n">
        <f aca="false">N(Y256)+$X257</f>
        <v>0</v>
      </c>
      <c r="Z257" s="1" t="n">
        <f aca="false">IF(AND($M257=1,对接源_01水果!$D257="原料入库"),1,0)</f>
        <v>0</v>
      </c>
      <c r="AA257" s="1" t="n">
        <f aca="false">N(AA256)+$Z257</f>
        <v>30</v>
      </c>
      <c r="AB257" s="1" t="n">
        <f aca="false">IF(AND($M257=1,LEFT(对接源_01水果!$D257,4)="原料出库"),1,0)</f>
        <v>0</v>
      </c>
      <c r="AC257" s="1" t="n">
        <f aca="false">N(AC256)+$AB257</f>
        <v>12</v>
      </c>
      <c r="AD257" s="1" t="n">
        <f aca="false">IF(AND($M257=1,LEFT(对接源_01水果!$D257,4)="成品出库"),1,0)</f>
        <v>0</v>
      </c>
      <c r="AE257" s="1" t="n">
        <f aca="false">N(AE256)+$AD257</f>
        <v>0</v>
      </c>
      <c r="AF257" s="1" t="n">
        <f aca="false">IF(AND($N257=1,AND(LEFT(对接源_01水果!$D257,4)="包装物料",N(对接源_01水果!$K257)&lt;&gt;0)),1,0)</f>
        <v>0</v>
      </c>
      <c r="AG257" s="90" t="str">
        <f aca="false">IF(对接源_01水果!$AC257="","",对接源_01水果!$AC257)</f>
        <v/>
      </c>
      <c r="AH257" s="1" t="n">
        <f aca="false">IF(AND($N257=1,AND(LEFT(对接源_01水果!$D257,3)="周转筐",N(对接源_01水果!$K257)&lt;&gt;0)),1,0)</f>
        <v>0</v>
      </c>
      <c r="AI257" s="90" t="n">
        <f aca="false">IF(AG257="",0,IF(MATCH(AG257,$AG$4:$AG$1203,0)=ROW()-3,1,0))</f>
        <v>0</v>
      </c>
      <c r="AJ257" s="90" t="n">
        <f aca="false">N(AJ256)+AI257</f>
        <v>0</v>
      </c>
      <c r="AK257" s="1" t="n">
        <f aca="false">N(AK256)+$AJ257</f>
        <v>0</v>
      </c>
    </row>
    <row r="258" customFormat="false" ht="13.5" hidden="false" customHeight="false" outlineLevel="0" collapsed="false">
      <c r="A258" s="1" t="str">
        <f aca="false">IF(对接源_01水果!$C258="","",对接源_01水果!$C258)</f>
        <v>聂新平</v>
      </c>
      <c r="B258" s="1" t="n">
        <f aca="false">IF(A258="",0,IF(MATCH(A258,$A$4:$A$2403,0)=ROW()-3,1,0))</f>
        <v>0</v>
      </c>
      <c r="C258" s="1" t="n">
        <f aca="false">N(C257)+B258</f>
        <v>13</v>
      </c>
      <c r="E258" s="1" t="str">
        <f aca="false">IFERROR(INDEX($A$4:$A$2403,MATCH(ROW()-3,$C$4:$C$2403,0)),"")</f>
        <v/>
      </c>
      <c r="K258" s="1" t="n">
        <f aca="false">IF(OR($K$1="",对接源_01水果!$C258="",对接源_01水果!$C258&lt;&gt;$K$1,对接源_01水果!$B258=""),0,IF(OR(N(对接源_01水果!$B258)&lt;$K$2,N(对接源_01水果!$B258)&gt;$K$3),0,1))</f>
        <v>0</v>
      </c>
      <c r="L258" s="1" t="n">
        <f aca="false">IF(OR($L$1="",对接源_01水果!$C258="",对接源_01水果!$C258&lt;&gt;$L$1,对接源_01水果!$B258=""),0,IF(OR(N(对接源_01水果!$B258)&lt;$L$2,N(对接源_01水果!$B258)&gt;$L$3),0,1))</f>
        <v>0</v>
      </c>
      <c r="M258" s="1" t="n">
        <f aca="false">IF(OR($M$1="",对接源_01水果!$C258="",对接源_01水果!$C258&lt;&gt;$M$1,对接源_01水果!$B258=""),0,IF(OR(N(对接源_01水果!$B258)&lt;$M$2,N(对接源_01水果!$B258)&gt;$M$3),0,1))</f>
        <v>0</v>
      </c>
      <c r="N258" s="1" t="n">
        <f aca="false">IF(OR($N$1="",对接源_01水果!$C258="",对接源_01水果!$C258&lt;&gt;$N$1,对接源_01水果!$B258=""),0,IF(OR(N(对接源_01水果!$B258)&lt;$N$2,N(对接源_01水果!$B258)&gt;$N$3),0,1))</f>
        <v>0</v>
      </c>
      <c r="P258" s="1" t="n">
        <f aca="false">IF(AND($K258=1,AND(对接源_01水果!$X258="公司筐",N(对接源_01水果!$T258)&lt;&gt;0)),1,0)</f>
        <v>0</v>
      </c>
      <c r="Q258" s="1" t="n">
        <f aca="false">N(Q257)+$P258</f>
        <v>1</v>
      </c>
      <c r="R258" s="1" t="n">
        <f aca="false">IF(AND($K258=1,AND(对接源_01水果!$X258="公司筐",N(对接源_01水果!$U258)&lt;&gt;0)),1,0)</f>
        <v>0</v>
      </c>
      <c r="S258" s="1" t="n">
        <f aca="false">N(S257)+$R258</f>
        <v>0</v>
      </c>
      <c r="T258" s="1" t="n">
        <f aca="false">IF(AND($K258=1,AND(对接源_01水果!$X258="公司筐",N(对接源_01水果!$V258)&lt;&gt;0)),1,0)</f>
        <v>0</v>
      </c>
      <c r="U258" s="1" t="n">
        <f aca="false">N(U257)+$T258</f>
        <v>28</v>
      </c>
      <c r="V258" s="1" t="n">
        <f aca="false">IF(AND($L258=1,AND(对接源_01水果!$X258="自备筐",N(对接源_01水果!$V258)&lt;&gt;0)),1,0)</f>
        <v>0</v>
      </c>
      <c r="W258" s="1" t="n">
        <f aca="false">N(W257)+$V258</f>
        <v>7</v>
      </c>
      <c r="X258" s="1" t="n">
        <f aca="false">IF(AND($L258=1,AND(对接源_01水果!$X258="自备筐",N(对接源_01水果!$T258)&lt;&gt;0)),1,0)</f>
        <v>0</v>
      </c>
      <c r="Y258" s="1" t="n">
        <f aca="false">N(Y257)+$X258</f>
        <v>0</v>
      </c>
      <c r="Z258" s="1" t="n">
        <f aca="false">IF(AND($M258=1,对接源_01水果!$D258="原料入库"),1,0)</f>
        <v>0</v>
      </c>
      <c r="AA258" s="1" t="n">
        <f aca="false">N(AA257)+$Z258</f>
        <v>30</v>
      </c>
      <c r="AB258" s="1" t="n">
        <f aca="false">IF(AND($M258=1,LEFT(对接源_01水果!$D258,4)="原料出库"),1,0)</f>
        <v>0</v>
      </c>
      <c r="AC258" s="1" t="n">
        <f aca="false">N(AC257)+$AB258</f>
        <v>12</v>
      </c>
      <c r="AD258" s="1" t="n">
        <f aca="false">IF(AND($M258=1,LEFT(对接源_01水果!$D258,4)="成品出库"),1,0)</f>
        <v>0</v>
      </c>
      <c r="AE258" s="1" t="n">
        <f aca="false">N(AE257)+$AD258</f>
        <v>0</v>
      </c>
      <c r="AF258" s="1" t="n">
        <f aca="false">IF(AND($N258=1,AND(LEFT(对接源_01水果!$D258,4)="包装物料",N(对接源_01水果!$K258)&lt;&gt;0)),1,0)</f>
        <v>0</v>
      </c>
      <c r="AG258" s="90" t="str">
        <f aca="false">IF(对接源_01水果!$AC258="","",对接源_01水果!$AC258)</f>
        <v/>
      </c>
      <c r="AH258" s="1" t="n">
        <f aca="false">IF(AND($N258=1,AND(LEFT(对接源_01水果!$D258,3)="周转筐",N(对接源_01水果!$K258)&lt;&gt;0)),1,0)</f>
        <v>0</v>
      </c>
      <c r="AI258" s="90" t="n">
        <f aca="false">IF(AG258="",0,IF(MATCH(AG258,$AG$4:$AG$1203,0)=ROW()-3,1,0))</f>
        <v>0</v>
      </c>
      <c r="AJ258" s="90" t="n">
        <f aca="false">N(AJ257)+AI258</f>
        <v>0</v>
      </c>
      <c r="AK258" s="1" t="n">
        <f aca="false">N(AK257)+$AJ258</f>
        <v>0</v>
      </c>
    </row>
    <row r="259" customFormat="false" ht="13.5" hidden="false" customHeight="false" outlineLevel="0" collapsed="false">
      <c r="A259" s="1" t="str">
        <f aca="false">IF(对接源_01水果!$C259="","",对接源_01水果!$C259)</f>
        <v>王照雪</v>
      </c>
      <c r="B259" s="1" t="n">
        <f aca="false">IF(A259="",0,IF(MATCH(A259,$A$4:$A$2403,0)=ROW()-3,1,0))</f>
        <v>0</v>
      </c>
      <c r="C259" s="1" t="n">
        <f aca="false">N(C258)+B259</f>
        <v>13</v>
      </c>
      <c r="E259" s="1" t="str">
        <f aca="false">IFERROR(INDEX($A$4:$A$2403,MATCH(ROW()-3,$C$4:$C$2403,0)),"")</f>
        <v/>
      </c>
      <c r="K259" s="1" t="n">
        <f aca="false">IF(OR($K$1="",对接源_01水果!$C259="",对接源_01水果!$C259&lt;&gt;$K$1,对接源_01水果!$B259=""),0,IF(OR(N(对接源_01水果!$B259)&lt;$K$2,N(对接源_01水果!$B259)&gt;$K$3),0,1))</f>
        <v>1</v>
      </c>
      <c r="L259" s="1" t="n">
        <f aca="false">IF(OR($L$1="",对接源_01水果!$C259="",对接源_01水果!$C259&lt;&gt;$L$1,对接源_01水果!$B259=""),0,IF(OR(N(对接源_01水果!$B259)&lt;$L$2,N(对接源_01水果!$B259)&gt;$L$3),0,1))</f>
        <v>0</v>
      </c>
      <c r="M259" s="1" t="n">
        <f aca="false">IF(OR($M$1="",对接源_01水果!$C259="",对接源_01水果!$C259&lt;&gt;$M$1,对接源_01水果!$B259=""),0,IF(OR(N(对接源_01水果!$B259)&lt;$M$2,N(对接源_01水果!$B259)&gt;$M$3),0,1))</f>
        <v>1</v>
      </c>
      <c r="N259" s="1" t="n">
        <f aca="false">IF(OR($N$1="",对接源_01水果!$C259="",对接源_01水果!$C259&lt;&gt;$N$1,对接源_01水果!$B259=""),0,IF(OR(N(对接源_01水果!$B259)&lt;$N$2,N(对接源_01水果!$B259)&gt;$N$3),0,1))</f>
        <v>0</v>
      </c>
      <c r="P259" s="1" t="n">
        <f aca="false">IF(AND($K259=1,AND(对接源_01水果!$X259="公司筐",N(对接源_01水果!$T259)&lt;&gt;0)),1,0)</f>
        <v>0</v>
      </c>
      <c r="Q259" s="1" t="n">
        <f aca="false">N(Q258)+$P259</f>
        <v>1</v>
      </c>
      <c r="R259" s="1" t="n">
        <f aca="false">IF(AND($K259=1,AND(对接源_01水果!$X259="公司筐",N(对接源_01水果!$U259)&lt;&gt;0)),1,0)</f>
        <v>0</v>
      </c>
      <c r="S259" s="1" t="n">
        <f aca="false">N(S258)+$R259</f>
        <v>0</v>
      </c>
      <c r="T259" s="1" t="n">
        <f aca="false">IF(AND($K259=1,AND(对接源_01水果!$X259="公司筐",N(对接源_01水果!$V259)&lt;&gt;0)),1,0)</f>
        <v>0</v>
      </c>
      <c r="U259" s="1" t="n">
        <f aca="false">N(U258)+$T259</f>
        <v>28</v>
      </c>
      <c r="V259" s="1" t="n">
        <f aca="false">IF(AND($L259=1,AND(对接源_01水果!$X259="自备筐",N(对接源_01水果!$V259)&lt;&gt;0)),1,0)</f>
        <v>0</v>
      </c>
      <c r="W259" s="1" t="n">
        <f aca="false">N(W258)+$V259</f>
        <v>7</v>
      </c>
      <c r="X259" s="1" t="n">
        <f aca="false">IF(AND($L259=1,AND(对接源_01水果!$X259="自备筐",N(对接源_01水果!$T259)&lt;&gt;0)),1,0)</f>
        <v>0</v>
      </c>
      <c r="Y259" s="1" t="n">
        <f aca="false">N(Y258)+$X259</f>
        <v>0</v>
      </c>
      <c r="Z259" s="1" t="n">
        <f aca="false">IF(AND($M259=1,对接源_01水果!$D259="原料入库"),1,0)</f>
        <v>0</v>
      </c>
      <c r="AA259" s="1" t="n">
        <f aca="false">N(AA258)+$Z259</f>
        <v>30</v>
      </c>
      <c r="AB259" s="1" t="n">
        <f aca="false">IF(AND($M259=1,LEFT(对接源_01水果!$D259,4)="原料出库"),1,0)</f>
        <v>1</v>
      </c>
      <c r="AC259" s="1" t="n">
        <f aca="false">N(AC258)+$AB259</f>
        <v>13</v>
      </c>
      <c r="AD259" s="1" t="n">
        <f aca="false">IF(AND($M259=1,LEFT(对接源_01水果!$D259,4)="成品出库"),1,0)</f>
        <v>0</v>
      </c>
      <c r="AE259" s="1" t="n">
        <f aca="false">N(AE258)+$AD259</f>
        <v>0</v>
      </c>
      <c r="AF259" s="1" t="n">
        <f aca="false">IF(AND($N259=1,AND(LEFT(对接源_01水果!$D259,4)="包装物料",N(对接源_01水果!$K259)&lt;&gt;0)),1,0)</f>
        <v>0</v>
      </c>
      <c r="AG259" s="90" t="str">
        <f aca="false">IF(对接源_01水果!$AC259="","",对接源_01水果!$AC259)</f>
        <v/>
      </c>
      <c r="AH259" s="1" t="n">
        <f aca="false">IF(AND($N259=1,AND(LEFT(对接源_01水果!$D259,3)="周转筐",N(对接源_01水果!$K259)&lt;&gt;0)),1,0)</f>
        <v>0</v>
      </c>
      <c r="AI259" s="90" t="n">
        <f aca="false">IF(AG259="",0,IF(MATCH(AG259,$AG$4:$AG$1203,0)=ROW()-3,1,0))</f>
        <v>0</v>
      </c>
      <c r="AJ259" s="90" t="n">
        <f aca="false">N(AJ258)+AI259</f>
        <v>0</v>
      </c>
      <c r="AK259" s="1" t="n">
        <f aca="false">N(AK258)+$AJ259</f>
        <v>0</v>
      </c>
    </row>
    <row r="260" customFormat="false" ht="13.5" hidden="false" customHeight="false" outlineLevel="0" collapsed="false">
      <c r="A260" s="1" t="str">
        <f aca="false">IF(对接源_01水果!$C260="","",对接源_01水果!$C260)</f>
        <v>聂新平</v>
      </c>
      <c r="B260" s="1" t="n">
        <f aca="false">IF(A260="",0,IF(MATCH(A260,$A$4:$A$2403,0)=ROW()-3,1,0))</f>
        <v>0</v>
      </c>
      <c r="C260" s="1" t="n">
        <f aca="false">N(C259)+B260</f>
        <v>13</v>
      </c>
      <c r="E260" s="1" t="str">
        <f aca="false">IFERROR(INDEX($A$4:$A$2403,MATCH(ROW()-3,$C$4:$C$2403,0)),"")</f>
        <v/>
      </c>
      <c r="K260" s="1" t="n">
        <f aca="false">IF(OR($K$1="",对接源_01水果!$C260="",对接源_01水果!$C260&lt;&gt;$K$1,对接源_01水果!$B260=""),0,IF(OR(N(对接源_01水果!$B260)&lt;$K$2,N(对接源_01水果!$B260)&gt;$K$3),0,1))</f>
        <v>0</v>
      </c>
      <c r="L260" s="1" t="n">
        <f aca="false">IF(OR($L$1="",对接源_01水果!$C260="",对接源_01水果!$C260&lt;&gt;$L$1,对接源_01水果!$B260=""),0,IF(OR(N(对接源_01水果!$B260)&lt;$L$2,N(对接源_01水果!$B260)&gt;$L$3),0,1))</f>
        <v>0</v>
      </c>
      <c r="M260" s="1" t="n">
        <f aca="false">IF(OR($M$1="",对接源_01水果!$C260="",对接源_01水果!$C260&lt;&gt;$M$1,对接源_01水果!$B260=""),0,IF(OR(N(对接源_01水果!$B260)&lt;$M$2,N(对接源_01水果!$B260)&gt;$M$3),0,1))</f>
        <v>0</v>
      </c>
      <c r="N260" s="1" t="n">
        <f aca="false">IF(OR($N$1="",对接源_01水果!$C260="",对接源_01水果!$C260&lt;&gt;$N$1,对接源_01水果!$B260=""),0,IF(OR(N(对接源_01水果!$B260)&lt;$N$2,N(对接源_01水果!$B260)&gt;$N$3),0,1))</f>
        <v>0</v>
      </c>
      <c r="P260" s="1" t="n">
        <f aca="false">IF(AND($K260=1,AND(对接源_01水果!$X260="公司筐",N(对接源_01水果!$T260)&lt;&gt;0)),1,0)</f>
        <v>0</v>
      </c>
      <c r="Q260" s="1" t="n">
        <f aca="false">N(Q259)+$P260</f>
        <v>1</v>
      </c>
      <c r="R260" s="1" t="n">
        <f aca="false">IF(AND($K260=1,AND(对接源_01水果!$X260="公司筐",N(对接源_01水果!$U260)&lt;&gt;0)),1,0)</f>
        <v>0</v>
      </c>
      <c r="S260" s="1" t="n">
        <f aca="false">N(S259)+$R260</f>
        <v>0</v>
      </c>
      <c r="T260" s="1" t="n">
        <f aca="false">IF(AND($K260=1,AND(对接源_01水果!$X260="公司筐",N(对接源_01水果!$V260)&lt;&gt;0)),1,0)</f>
        <v>0</v>
      </c>
      <c r="U260" s="1" t="n">
        <f aca="false">N(U259)+$T260</f>
        <v>28</v>
      </c>
      <c r="V260" s="1" t="n">
        <f aca="false">IF(AND($L260=1,AND(对接源_01水果!$X260="自备筐",N(对接源_01水果!$V260)&lt;&gt;0)),1,0)</f>
        <v>0</v>
      </c>
      <c r="W260" s="1" t="n">
        <f aca="false">N(W259)+$V260</f>
        <v>7</v>
      </c>
      <c r="X260" s="1" t="n">
        <f aca="false">IF(AND($L260=1,AND(对接源_01水果!$X260="自备筐",N(对接源_01水果!$T260)&lt;&gt;0)),1,0)</f>
        <v>0</v>
      </c>
      <c r="Y260" s="1" t="n">
        <f aca="false">N(Y259)+$X260</f>
        <v>0</v>
      </c>
      <c r="Z260" s="1" t="n">
        <f aca="false">IF(AND($M260=1,对接源_01水果!$D260="原料入库"),1,0)</f>
        <v>0</v>
      </c>
      <c r="AA260" s="1" t="n">
        <f aca="false">N(AA259)+$Z260</f>
        <v>30</v>
      </c>
      <c r="AB260" s="1" t="n">
        <f aca="false">IF(AND($M260=1,LEFT(对接源_01水果!$D260,4)="原料出库"),1,0)</f>
        <v>0</v>
      </c>
      <c r="AC260" s="1" t="n">
        <f aca="false">N(AC259)+$AB260</f>
        <v>13</v>
      </c>
      <c r="AD260" s="1" t="n">
        <f aca="false">IF(AND($M260=1,LEFT(对接源_01水果!$D260,4)="成品出库"),1,0)</f>
        <v>0</v>
      </c>
      <c r="AE260" s="1" t="n">
        <f aca="false">N(AE259)+$AD260</f>
        <v>0</v>
      </c>
      <c r="AF260" s="1" t="n">
        <f aca="false">IF(AND($N260=1,AND(LEFT(对接源_01水果!$D260,4)="包装物料",N(对接源_01水果!$K260)&lt;&gt;0)),1,0)</f>
        <v>0</v>
      </c>
      <c r="AG260" s="90" t="str">
        <f aca="false">IF(对接源_01水果!$AC260="","",对接源_01水果!$AC260)</f>
        <v/>
      </c>
      <c r="AH260" s="1" t="n">
        <f aca="false">IF(AND($N260=1,AND(LEFT(对接源_01水果!$D260,3)="周转筐",N(对接源_01水果!$K260)&lt;&gt;0)),1,0)</f>
        <v>0</v>
      </c>
      <c r="AI260" s="90" t="n">
        <f aca="false">IF(AG260="",0,IF(MATCH(AG260,$AG$4:$AG$1203,0)=ROW()-3,1,0))</f>
        <v>0</v>
      </c>
      <c r="AJ260" s="90" t="n">
        <f aca="false">N(AJ259)+AI260</f>
        <v>0</v>
      </c>
      <c r="AK260" s="1" t="n">
        <f aca="false">N(AK259)+$AJ260</f>
        <v>0</v>
      </c>
    </row>
    <row r="261" customFormat="false" ht="13.5" hidden="false" customHeight="false" outlineLevel="0" collapsed="false">
      <c r="A261" s="1" t="str">
        <f aca="false">IF(对接源_01水果!$C261="","",对接源_01水果!$C261)</f>
        <v>聂新平</v>
      </c>
      <c r="B261" s="1" t="n">
        <f aca="false">IF(A261="",0,IF(MATCH(A261,$A$4:$A$2403,0)=ROW()-3,1,0))</f>
        <v>0</v>
      </c>
      <c r="C261" s="1" t="n">
        <f aca="false">N(C260)+B261</f>
        <v>13</v>
      </c>
      <c r="E261" s="1" t="str">
        <f aca="false">IFERROR(INDEX($A$4:$A$2403,MATCH(ROW()-3,$C$4:$C$2403,0)),"")</f>
        <v/>
      </c>
      <c r="K261" s="1" t="n">
        <f aca="false">IF(OR($K$1="",对接源_01水果!$C261="",对接源_01水果!$C261&lt;&gt;$K$1,对接源_01水果!$B261=""),0,IF(OR(N(对接源_01水果!$B261)&lt;$K$2,N(对接源_01水果!$B261)&gt;$K$3),0,1))</f>
        <v>0</v>
      </c>
      <c r="L261" s="1" t="n">
        <f aca="false">IF(OR($L$1="",对接源_01水果!$C261="",对接源_01水果!$C261&lt;&gt;$L$1,对接源_01水果!$B261=""),0,IF(OR(N(对接源_01水果!$B261)&lt;$L$2,N(对接源_01水果!$B261)&gt;$L$3),0,1))</f>
        <v>0</v>
      </c>
      <c r="M261" s="1" t="n">
        <f aca="false">IF(OR($M$1="",对接源_01水果!$C261="",对接源_01水果!$C261&lt;&gt;$M$1,对接源_01水果!$B261=""),0,IF(OR(N(对接源_01水果!$B261)&lt;$M$2,N(对接源_01水果!$B261)&gt;$M$3),0,1))</f>
        <v>0</v>
      </c>
      <c r="N261" s="1" t="n">
        <f aca="false">IF(OR($N$1="",对接源_01水果!$C261="",对接源_01水果!$C261&lt;&gt;$N$1,对接源_01水果!$B261=""),0,IF(OR(N(对接源_01水果!$B261)&lt;$N$2,N(对接源_01水果!$B261)&gt;$N$3),0,1))</f>
        <v>0</v>
      </c>
      <c r="P261" s="1" t="n">
        <f aca="false">IF(AND($K261=1,AND(对接源_01水果!$X261="公司筐",N(对接源_01水果!$T261)&lt;&gt;0)),1,0)</f>
        <v>0</v>
      </c>
      <c r="Q261" s="1" t="n">
        <f aca="false">N(Q260)+$P261</f>
        <v>1</v>
      </c>
      <c r="R261" s="1" t="n">
        <f aca="false">IF(AND($K261=1,AND(对接源_01水果!$X261="公司筐",N(对接源_01水果!$U261)&lt;&gt;0)),1,0)</f>
        <v>0</v>
      </c>
      <c r="S261" s="1" t="n">
        <f aca="false">N(S260)+$R261</f>
        <v>0</v>
      </c>
      <c r="T261" s="1" t="n">
        <f aca="false">IF(AND($K261=1,AND(对接源_01水果!$X261="公司筐",N(对接源_01水果!$V261)&lt;&gt;0)),1,0)</f>
        <v>0</v>
      </c>
      <c r="U261" s="1" t="n">
        <f aca="false">N(U260)+$T261</f>
        <v>28</v>
      </c>
      <c r="V261" s="1" t="n">
        <f aca="false">IF(AND($L261=1,AND(对接源_01水果!$X261="自备筐",N(对接源_01水果!$V261)&lt;&gt;0)),1,0)</f>
        <v>0</v>
      </c>
      <c r="W261" s="1" t="n">
        <f aca="false">N(W260)+$V261</f>
        <v>7</v>
      </c>
      <c r="X261" s="1" t="n">
        <f aca="false">IF(AND($L261=1,AND(对接源_01水果!$X261="自备筐",N(对接源_01水果!$T261)&lt;&gt;0)),1,0)</f>
        <v>0</v>
      </c>
      <c r="Y261" s="1" t="n">
        <f aca="false">N(Y260)+$X261</f>
        <v>0</v>
      </c>
      <c r="Z261" s="1" t="n">
        <f aca="false">IF(AND($M261=1,对接源_01水果!$D261="原料入库"),1,0)</f>
        <v>0</v>
      </c>
      <c r="AA261" s="1" t="n">
        <f aca="false">N(AA260)+$Z261</f>
        <v>30</v>
      </c>
      <c r="AB261" s="1" t="n">
        <f aca="false">IF(AND($M261=1,LEFT(对接源_01水果!$D261,4)="原料出库"),1,0)</f>
        <v>0</v>
      </c>
      <c r="AC261" s="1" t="n">
        <f aca="false">N(AC260)+$AB261</f>
        <v>13</v>
      </c>
      <c r="AD261" s="1" t="n">
        <f aca="false">IF(AND($M261=1,LEFT(对接源_01水果!$D261,4)="成品出库"),1,0)</f>
        <v>0</v>
      </c>
      <c r="AE261" s="1" t="n">
        <f aca="false">N(AE260)+$AD261</f>
        <v>0</v>
      </c>
      <c r="AF261" s="1" t="n">
        <f aca="false">IF(AND($N261=1,AND(LEFT(对接源_01水果!$D261,4)="包装物料",N(对接源_01水果!$K261)&lt;&gt;0)),1,0)</f>
        <v>0</v>
      </c>
      <c r="AG261" s="90" t="str">
        <f aca="false">IF(对接源_01水果!$AC261="","",对接源_01水果!$AC261)</f>
        <v/>
      </c>
      <c r="AH261" s="1" t="n">
        <f aca="false">IF(AND($N261=1,AND(LEFT(对接源_01水果!$D261,3)="周转筐",N(对接源_01水果!$K261)&lt;&gt;0)),1,0)</f>
        <v>0</v>
      </c>
      <c r="AI261" s="90" t="n">
        <f aca="false">IF(AG261="",0,IF(MATCH(AG261,$AG$4:$AG$1203,0)=ROW()-3,1,0))</f>
        <v>0</v>
      </c>
      <c r="AJ261" s="90" t="n">
        <f aca="false">N(AJ260)+AI261</f>
        <v>0</v>
      </c>
      <c r="AK261" s="1" t="n">
        <f aca="false">N(AK260)+$AJ261</f>
        <v>0</v>
      </c>
    </row>
    <row r="262" customFormat="false" ht="13.5" hidden="false" customHeight="false" outlineLevel="0" collapsed="false">
      <c r="A262" s="1" t="str">
        <f aca="false">IF(对接源_01水果!$C262="","",对接源_01水果!$C262)</f>
        <v>聂新平</v>
      </c>
      <c r="B262" s="1" t="n">
        <f aca="false">IF(A262="",0,IF(MATCH(A262,$A$4:$A$2403,0)=ROW()-3,1,0))</f>
        <v>0</v>
      </c>
      <c r="C262" s="1" t="n">
        <f aca="false">N(C261)+B262</f>
        <v>13</v>
      </c>
      <c r="E262" s="1" t="str">
        <f aca="false">IFERROR(INDEX($A$4:$A$2403,MATCH(ROW()-3,$C$4:$C$2403,0)),"")</f>
        <v/>
      </c>
      <c r="K262" s="1" t="n">
        <f aca="false">IF(OR($K$1="",对接源_01水果!$C262="",对接源_01水果!$C262&lt;&gt;$K$1,对接源_01水果!$B262=""),0,IF(OR(N(对接源_01水果!$B262)&lt;$K$2,N(对接源_01水果!$B262)&gt;$K$3),0,1))</f>
        <v>0</v>
      </c>
      <c r="L262" s="1" t="n">
        <f aca="false">IF(OR($L$1="",对接源_01水果!$C262="",对接源_01水果!$C262&lt;&gt;$L$1,对接源_01水果!$B262=""),0,IF(OR(N(对接源_01水果!$B262)&lt;$L$2,N(对接源_01水果!$B262)&gt;$L$3),0,1))</f>
        <v>0</v>
      </c>
      <c r="M262" s="1" t="n">
        <f aca="false">IF(OR($M$1="",对接源_01水果!$C262="",对接源_01水果!$C262&lt;&gt;$M$1,对接源_01水果!$B262=""),0,IF(OR(N(对接源_01水果!$B262)&lt;$M$2,N(对接源_01水果!$B262)&gt;$M$3),0,1))</f>
        <v>0</v>
      </c>
      <c r="N262" s="1" t="n">
        <f aca="false">IF(OR($N$1="",对接源_01水果!$C262="",对接源_01水果!$C262&lt;&gt;$N$1,对接源_01水果!$B262=""),0,IF(OR(N(对接源_01水果!$B262)&lt;$N$2,N(对接源_01水果!$B262)&gt;$N$3),0,1))</f>
        <v>0</v>
      </c>
      <c r="P262" s="1" t="n">
        <f aca="false">IF(AND($K262=1,AND(对接源_01水果!$X262="公司筐",N(对接源_01水果!$T262)&lt;&gt;0)),1,0)</f>
        <v>0</v>
      </c>
      <c r="Q262" s="1" t="n">
        <f aca="false">N(Q261)+$P262</f>
        <v>1</v>
      </c>
      <c r="R262" s="1" t="n">
        <f aca="false">IF(AND($K262=1,AND(对接源_01水果!$X262="公司筐",N(对接源_01水果!$U262)&lt;&gt;0)),1,0)</f>
        <v>0</v>
      </c>
      <c r="S262" s="1" t="n">
        <f aca="false">N(S261)+$R262</f>
        <v>0</v>
      </c>
      <c r="T262" s="1" t="n">
        <f aca="false">IF(AND($K262=1,AND(对接源_01水果!$X262="公司筐",N(对接源_01水果!$V262)&lt;&gt;0)),1,0)</f>
        <v>0</v>
      </c>
      <c r="U262" s="1" t="n">
        <f aca="false">N(U261)+$T262</f>
        <v>28</v>
      </c>
      <c r="V262" s="1" t="n">
        <f aca="false">IF(AND($L262=1,AND(对接源_01水果!$X262="自备筐",N(对接源_01水果!$V262)&lt;&gt;0)),1,0)</f>
        <v>0</v>
      </c>
      <c r="W262" s="1" t="n">
        <f aca="false">N(W261)+$V262</f>
        <v>7</v>
      </c>
      <c r="X262" s="1" t="n">
        <f aca="false">IF(AND($L262=1,AND(对接源_01水果!$X262="自备筐",N(对接源_01水果!$T262)&lt;&gt;0)),1,0)</f>
        <v>0</v>
      </c>
      <c r="Y262" s="1" t="n">
        <f aca="false">N(Y261)+$X262</f>
        <v>0</v>
      </c>
      <c r="Z262" s="1" t="n">
        <f aca="false">IF(AND($M262=1,对接源_01水果!$D262="原料入库"),1,0)</f>
        <v>0</v>
      </c>
      <c r="AA262" s="1" t="n">
        <f aca="false">N(AA261)+$Z262</f>
        <v>30</v>
      </c>
      <c r="AB262" s="1" t="n">
        <f aca="false">IF(AND($M262=1,LEFT(对接源_01水果!$D262,4)="原料出库"),1,0)</f>
        <v>0</v>
      </c>
      <c r="AC262" s="1" t="n">
        <f aca="false">N(AC261)+$AB262</f>
        <v>13</v>
      </c>
      <c r="AD262" s="1" t="n">
        <f aca="false">IF(AND($M262=1,LEFT(对接源_01水果!$D262,4)="成品出库"),1,0)</f>
        <v>0</v>
      </c>
      <c r="AE262" s="1" t="n">
        <f aca="false">N(AE261)+$AD262</f>
        <v>0</v>
      </c>
      <c r="AF262" s="1" t="n">
        <f aca="false">IF(AND($N262=1,AND(LEFT(对接源_01水果!$D262,4)="包装物料",N(对接源_01水果!$K262)&lt;&gt;0)),1,0)</f>
        <v>0</v>
      </c>
      <c r="AG262" s="90" t="str">
        <f aca="false">IF(对接源_01水果!$AC262="","",对接源_01水果!$AC262)</f>
        <v/>
      </c>
      <c r="AH262" s="1" t="n">
        <f aca="false">IF(AND($N262=1,AND(LEFT(对接源_01水果!$D262,3)="周转筐",N(对接源_01水果!$K262)&lt;&gt;0)),1,0)</f>
        <v>0</v>
      </c>
      <c r="AI262" s="90" t="n">
        <f aca="false">IF(AG262="",0,IF(MATCH(AG262,$AG$4:$AG$1203,0)=ROW()-3,1,0))</f>
        <v>0</v>
      </c>
      <c r="AJ262" s="90" t="n">
        <f aca="false">N(AJ261)+AI262</f>
        <v>0</v>
      </c>
      <c r="AK262" s="1" t="n">
        <f aca="false">N(AK261)+$AJ262</f>
        <v>0</v>
      </c>
    </row>
    <row r="263" customFormat="false" ht="13.5" hidden="false" customHeight="false" outlineLevel="0" collapsed="false">
      <c r="A263" s="1" t="str">
        <f aca="false">IF(对接源_01水果!$C263="","",对接源_01水果!$C263)</f>
        <v>聂新平</v>
      </c>
      <c r="B263" s="1" t="n">
        <f aca="false">IF(A263="",0,IF(MATCH(A263,$A$4:$A$2403,0)=ROW()-3,1,0))</f>
        <v>0</v>
      </c>
      <c r="C263" s="1" t="n">
        <f aca="false">N(C262)+B263</f>
        <v>13</v>
      </c>
      <c r="E263" s="1" t="str">
        <f aca="false">IFERROR(INDEX($A$4:$A$2403,MATCH(ROW()-3,$C$4:$C$2403,0)),"")</f>
        <v/>
      </c>
      <c r="K263" s="1" t="n">
        <f aca="false">IF(OR($K$1="",对接源_01水果!$C263="",对接源_01水果!$C263&lt;&gt;$K$1,对接源_01水果!$B263=""),0,IF(OR(N(对接源_01水果!$B263)&lt;$K$2,N(对接源_01水果!$B263)&gt;$K$3),0,1))</f>
        <v>0</v>
      </c>
      <c r="L263" s="1" t="n">
        <f aca="false">IF(OR($L$1="",对接源_01水果!$C263="",对接源_01水果!$C263&lt;&gt;$L$1,对接源_01水果!$B263=""),0,IF(OR(N(对接源_01水果!$B263)&lt;$L$2,N(对接源_01水果!$B263)&gt;$L$3),0,1))</f>
        <v>0</v>
      </c>
      <c r="M263" s="1" t="n">
        <f aca="false">IF(OR($M$1="",对接源_01水果!$C263="",对接源_01水果!$C263&lt;&gt;$M$1,对接源_01水果!$B263=""),0,IF(OR(N(对接源_01水果!$B263)&lt;$M$2,N(对接源_01水果!$B263)&gt;$M$3),0,1))</f>
        <v>0</v>
      </c>
      <c r="N263" s="1" t="n">
        <f aca="false">IF(OR($N$1="",对接源_01水果!$C263="",对接源_01水果!$C263&lt;&gt;$N$1,对接源_01水果!$B263=""),0,IF(OR(N(对接源_01水果!$B263)&lt;$N$2,N(对接源_01水果!$B263)&gt;$N$3),0,1))</f>
        <v>0</v>
      </c>
      <c r="P263" s="1" t="n">
        <f aca="false">IF(AND($K263=1,AND(对接源_01水果!$X263="公司筐",N(对接源_01水果!$T263)&lt;&gt;0)),1,0)</f>
        <v>0</v>
      </c>
      <c r="Q263" s="1" t="n">
        <f aca="false">N(Q262)+$P263</f>
        <v>1</v>
      </c>
      <c r="R263" s="1" t="n">
        <f aca="false">IF(AND($K263=1,AND(对接源_01水果!$X263="公司筐",N(对接源_01水果!$U263)&lt;&gt;0)),1,0)</f>
        <v>0</v>
      </c>
      <c r="S263" s="1" t="n">
        <f aca="false">N(S262)+$R263</f>
        <v>0</v>
      </c>
      <c r="T263" s="1" t="n">
        <f aca="false">IF(AND($K263=1,AND(对接源_01水果!$X263="公司筐",N(对接源_01水果!$V263)&lt;&gt;0)),1,0)</f>
        <v>0</v>
      </c>
      <c r="U263" s="1" t="n">
        <f aca="false">N(U262)+$T263</f>
        <v>28</v>
      </c>
      <c r="V263" s="1" t="n">
        <f aca="false">IF(AND($L263=1,AND(对接源_01水果!$X263="自备筐",N(对接源_01水果!$V263)&lt;&gt;0)),1,0)</f>
        <v>0</v>
      </c>
      <c r="W263" s="1" t="n">
        <f aca="false">N(W262)+$V263</f>
        <v>7</v>
      </c>
      <c r="X263" s="1" t="n">
        <f aca="false">IF(AND($L263=1,AND(对接源_01水果!$X263="自备筐",N(对接源_01水果!$T263)&lt;&gt;0)),1,0)</f>
        <v>0</v>
      </c>
      <c r="Y263" s="1" t="n">
        <f aca="false">N(Y262)+$X263</f>
        <v>0</v>
      </c>
      <c r="Z263" s="1" t="n">
        <f aca="false">IF(AND($M263=1,对接源_01水果!$D263="原料入库"),1,0)</f>
        <v>0</v>
      </c>
      <c r="AA263" s="1" t="n">
        <f aca="false">N(AA262)+$Z263</f>
        <v>30</v>
      </c>
      <c r="AB263" s="1" t="n">
        <f aca="false">IF(AND($M263=1,LEFT(对接源_01水果!$D263,4)="原料出库"),1,0)</f>
        <v>0</v>
      </c>
      <c r="AC263" s="1" t="n">
        <f aca="false">N(AC262)+$AB263</f>
        <v>13</v>
      </c>
      <c r="AD263" s="1" t="n">
        <f aca="false">IF(AND($M263=1,LEFT(对接源_01水果!$D263,4)="成品出库"),1,0)</f>
        <v>0</v>
      </c>
      <c r="AE263" s="1" t="n">
        <f aca="false">N(AE262)+$AD263</f>
        <v>0</v>
      </c>
      <c r="AF263" s="1" t="n">
        <f aca="false">IF(AND($N263=1,AND(LEFT(对接源_01水果!$D263,4)="包装物料",N(对接源_01水果!$K263)&lt;&gt;0)),1,0)</f>
        <v>0</v>
      </c>
      <c r="AG263" s="90" t="str">
        <f aca="false">IF(对接源_01水果!$AC263="","",对接源_01水果!$AC263)</f>
        <v/>
      </c>
      <c r="AH263" s="1" t="n">
        <f aca="false">IF(AND($N263=1,AND(LEFT(对接源_01水果!$D263,3)="周转筐",N(对接源_01水果!$K263)&lt;&gt;0)),1,0)</f>
        <v>0</v>
      </c>
      <c r="AI263" s="90" t="n">
        <f aca="false">IF(AG263="",0,IF(MATCH(AG263,$AG$4:$AG$1203,0)=ROW()-3,1,0))</f>
        <v>0</v>
      </c>
      <c r="AJ263" s="90" t="n">
        <f aca="false">N(AJ262)+AI263</f>
        <v>0</v>
      </c>
      <c r="AK263" s="1" t="n">
        <f aca="false">N(AK262)+$AJ263</f>
        <v>0</v>
      </c>
    </row>
    <row r="264" customFormat="false" ht="13.5" hidden="false" customHeight="false" outlineLevel="0" collapsed="false">
      <c r="A264" s="1" t="str">
        <f aca="false">IF(对接源_01水果!$C264="","",对接源_01水果!$C264)</f>
        <v>聂新平</v>
      </c>
      <c r="B264" s="1" t="n">
        <f aca="false">IF(A264="",0,IF(MATCH(A264,$A$4:$A$2403,0)=ROW()-3,1,0))</f>
        <v>0</v>
      </c>
      <c r="C264" s="1" t="n">
        <f aca="false">N(C263)+B264</f>
        <v>13</v>
      </c>
      <c r="E264" s="1" t="str">
        <f aca="false">IFERROR(INDEX($A$4:$A$2403,MATCH(ROW()-3,$C$4:$C$2403,0)),"")</f>
        <v/>
      </c>
      <c r="K264" s="1" t="n">
        <f aca="false">IF(OR($K$1="",对接源_01水果!$C264="",对接源_01水果!$C264&lt;&gt;$K$1,对接源_01水果!$B264=""),0,IF(OR(N(对接源_01水果!$B264)&lt;$K$2,N(对接源_01水果!$B264)&gt;$K$3),0,1))</f>
        <v>0</v>
      </c>
      <c r="L264" s="1" t="n">
        <f aca="false">IF(OR($L$1="",对接源_01水果!$C264="",对接源_01水果!$C264&lt;&gt;$L$1,对接源_01水果!$B264=""),0,IF(OR(N(对接源_01水果!$B264)&lt;$L$2,N(对接源_01水果!$B264)&gt;$L$3),0,1))</f>
        <v>0</v>
      </c>
      <c r="M264" s="1" t="n">
        <f aca="false">IF(OR($M$1="",对接源_01水果!$C264="",对接源_01水果!$C264&lt;&gt;$M$1,对接源_01水果!$B264=""),0,IF(OR(N(对接源_01水果!$B264)&lt;$M$2,N(对接源_01水果!$B264)&gt;$M$3),0,1))</f>
        <v>0</v>
      </c>
      <c r="N264" s="1" t="n">
        <f aca="false">IF(OR($N$1="",对接源_01水果!$C264="",对接源_01水果!$C264&lt;&gt;$N$1,对接源_01水果!$B264=""),0,IF(OR(N(对接源_01水果!$B264)&lt;$N$2,N(对接源_01水果!$B264)&gt;$N$3),0,1))</f>
        <v>0</v>
      </c>
      <c r="P264" s="1" t="n">
        <f aca="false">IF(AND($K264=1,AND(对接源_01水果!$X264="公司筐",N(对接源_01水果!$T264)&lt;&gt;0)),1,0)</f>
        <v>0</v>
      </c>
      <c r="Q264" s="1" t="n">
        <f aca="false">N(Q263)+$P264</f>
        <v>1</v>
      </c>
      <c r="R264" s="1" t="n">
        <f aca="false">IF(AND($K264=1,AND(对接源_01水果!$X264="公司筐",N(对接源_01水果!$U264)&lt;&gt;0)),1,0)</f>
        <v>0</v>
      </c>
      <c r="S264" s="1" t="n">
        <f aca="false">N(S263)+$R264</f>
        <v>0</v>
      </c>
      <c r="T264" s="1" t="n">
        <f aca="false">IF(AND($K264=1,AND(对接源_01水果!$X264="公司筐",N(对接源_01水果!$V264)&lt;&gt;0)),1,0)</f>
        <v>0</v>
      </c>
      <c r="U264" s="1" t="n">
        <f aca="false">N(U263)+$T264</f>
        <v>28</v>
      </c>
      <c r="V264" s="1" t="n">
        <f aca="false">IF(AND($L264=1,AND(对接源_01水果!$X264="自备筐",N(对接源_01水果!$V264)&lt;&gt;0)),1,0)</f>
        <v>0</v>
      </c>
      <c r="W264" s="1" t="n">
        <f aca="false">N(W263)+$V264</f>
        <v>7</v>
      </c>
      <c r="X264" s="1" t="n">
        <f aca="false">IF(AND($L264=1,AND(对接源_01水果!$X264="自备筐",N(对接源_01水果!$T264)&lt;&gt;0)),1,0)</f>
        <v>0</v>
      </c>
      <c r="Y264" s="1" t="n">
        <f aca="false">N(Y263)+$X264</f>
        <v>0</v>
      </c>
      <c r="Z264" s="1" t="n">
        <f aca="false">IF(AND($M264=1,对接源_01水果!$D264="原料入库"),1,0)</f>
        <v>0</v>
      </c>
      <c r="AA264" s="1" t="n">
        <f aca="false">N(AA263)+$Z264</f>
        <v>30</v>
      </c>
      <c r="AB264" s="1" t="n">
        <f aca="false">IF(AND($M264=1,LEFT(对接源_01水果!$D264,4)="原料出库"),1,0)</f>
        <v>0</v>
      </c>
      <c r="AC264" s="1" t="n">
        <f aca="false">N(AC263)+$AB264</f>
        <v>13</v>
      </c>
      <c r="AD264" s="1" t="n">
        <f aca="false">IF(AND($M264=1,LEFT(对接源_01水果!$D264,4)="成品出库"),1,0)</f>
        <v>0</v>
      </c>
      <c r="AE264" s="1" t="n">
        <f aca="false">N(AE263)+$AD264</f>
        <v>0</v>
      </c>
      <c r="AF264" s="1" t="n">
        <f aca="false">IF(AND($N264=1,AND(LEFT(对接源_01水果!$D264,4)="包装物料",N(对接源_01水果!$K264)&lt;&gt;0)),1,0)</f>
        <v>0</v>
      </c>
      <c r="AG264" s="90" t="str">
        <f aca="false">IF(对接源_01水果!$AC264="","",对接源_01水果!$AC264)</f>
        <v/>
      </c>
      <c r="AH264" s="1" t="n">
        <f aca="false">IF(AND($N264=1,AND(LEFT(对接源_01水果!$D264,3)="周转筐",N(对接源_01水果!$K264)&lt;&gt;0)),1,0)</f>
        <v>0</v>
      </c>
      <c r="AI264" s="90" t="n">
        <f aca="false">IF(AG264="",0,IF(MATCH(AG264,$AG$4:$AG$1203,0)=ROW()-3,1,0))</f>
        <v>0</v>
      </c>
      <c r="AJ264" s="90" t="n">
        <f aca="false">N(AJ263)+AI264</f>
        <v>0</v>
      </c>
      <c r="AK264" s="1" t="n">
        <f aca="false">N(AK263)+$AJ264</f>
        <v>0</v>
      </c>
    </row>
    <row r="265" customFormat="false" ht="13.5" hidden="false" customHeight="false" outlineLevel="0" collapsed="false">
      <c r="A265" s="1" t="str">
        <f aca="false">IF(对接源_01水果!$C265="","",对接源_01水果!$C265)</f>
        <v>王照雪</v>
      </c>
      <c r="B265" s="1" t="n">
        <f aca="false">IF(A265="",0,IF(MATCH(A265,$A$4:$A$2403,0)=ROW()-3,1,0))</f>
        <v>0</v>
      </c>
      <c r="C265" s="1" t="n">
        <f aca="false">N(C264)+B265</f>
        <v>13</v>
      </c>
      <c r="E265" s="1" t="str">
        <f aca="false">IFERROR(INDEX($A$4:$A$2403,MATCH(ROW()-3,$C$4:$C$2403,0)),"")</f>
        <v/>
      </c>
      <c r="K265" s="1" t="n">
        <f aca="false">IF(OR($K$1="",对接源_01水果!$C265="",对接源_01水果!$C265&lt;&gt;$K$1,对接源_01水果!$B265=""),0,IF(OR(N(对接源_01水果!$B265)&lt;$K$2,N(对接源_01水果!$B265)&gt;$K$3),0,1))</f>
        <v>1</v>
      </c>
      <c r="L265" s="1" t="n">
        <f aca="false">IF(OR($L$1="",对接源_01水果!$C265="",对接源_01水果!$C265&lt;&gt;$L$1,对接源_01水果!$B265=""),0,IF(OR(N(对接源_01水果!$B265)&lt;$L$2,N(对接源_01水果!$B265)&gt;$L$3),0,1))</f>
        <v>0</v>
      </c>
      <c r="M265" s="1" t="n">
        <f aca="false">IF(OR($M$1="",对接源_01水果!$C265="",对接源_01水果!$C265&lt;&gt;$M$1,对接源_01水果!$B265=""),0,IF(OR(N(对接源_01水果!$B265)&lt;$M$2,N(对接源_01水果!$B265)&gt;$M$3),0,1))</f>
        <v>1</v>
      </c>
      <c r="N265" s="1" t="n">
        <f aca="false">IF(OR($N$1="",对接源_01水果!$C265="",对接源_01水果!$C265&lt;&gt;$N$1,对接源_01水果!$B265=""),0,IF(OR(N(对接源_01水果!$B265)&lt;$N$2,N(对接源_01水果!$B265)&gt;$N$3),0,1))</f>
        <v>0</v>
      </c>
      <c r="P265" s="1" t="n">
        <f aca="false">IF(AND($K265=1,AND(对接源_01水果!$X265="公司筐",N(对接源_01水果!$T265)&lt;&gt;0)),1,0)</f>
        <v>0</v>
      </c>
      <c r="Q265" s="1" t="n">
        <f aca="false">N(Q264)+$P265</f>
        <v>1</v>
      </c>
      <c r="R265" s="1" t="n">
        <f aca="false">IF(AND($K265=1,AND(对接源_01水果!$X265="公司筐",N(对接源_01水果!$U265)&lt;&gt;0)),1,0)</f>
        <v>0</v>
      </c>
      <c r="S265" s="1" t="n">
        <f aca="false">N(S264)+$R265</f>
        <v>0</v>
      </c>
      <c r="T265" s="1" t="n">
        <f aca="false">IF(AND($K265=1,AND(对接源_01水果!$X265="公司筐",N(对接源_01水果!$V265)&lt;&gt;0)),1,0)</f>
        <v>0</v>
      </c>
      <c r="U265" s="1" t="n">
        <f aca="false">N(U264)+$T265</f>
        <v>28</v>
      </c>
      <c r="V265" s="1" t="n">
        <f aca="false">IF(AND($L265=1,AND(对接源_01水果!$X265="自备筐",N(对接源_01水果!$V265)&lt;&gt;0)),1,0)</f>
        <v>0</v>
      </c>
      <c r="W265" s="1" t="n">
        <f aca="false">N(W264)+$V265</f>
        <v>7</v>
      </c>
      <c r="X265" s="1" t="n">
        <f aca="false">IF(AND($L265=1,AND(对接源_01水果!$X265="自备筐",N(对接源_01水果!$T265)&lt;&gt;0)),1,0)</f>
        <v>0</v>
      </c>
      <c r="Y265" s="1" t="n">
        <f aca="false">N(Y264)+$X265</f>
        <v>0</v>
      </c>
      <c r="Z265" s="1" t="n">
        <f aca="false">IF(AND($M265=1,对接源_01水果!$D265="原料入库"),1,0)</f>
        <v>0</v>
      </c>
      <c r="AA265" s="1" t="n">
        <f aca="false">N(AA264)+$Z265</f>
        <v>30</v>
      </c>
      <c r="AB265" s="1" t="n">
        <f aca="false">IF(AND($M265=1,LEFT(对接源_01水果!$D265,4)="原料出库"),1,0)</f>
        <v>1</v>
      </c>
      <c r="AC265" s="1" t="n">
        <f aca="false">N(AC264)+$AB265</f>
        <v>14</v>
      </c>
      <c r="AD265" s="1" t="n">
        <f aca="false">IF(AND($M265=1,LEFT(对接源_01水果!$D265,4)="成品出库"),1,0)</f>
        <v>0</v>
      </c>
      <c r="AE265" s="1" t="n">
        <f aca="false">N(AE264)+$AD265</f>
        <v>0</v>
      </c>
      <c r="AF265" s="1" t="n">
        <f aca="false">IF(AND($N265=1,AND(LEFT(对接源_01水果!$D265,4)="包装物料",N(对接源_01水果!$K265)&lt;&gt;0)),1,0)</f>
        <v>0</v>
      </c>
      <c r="AG265" s="90" t="str">
        <f aca="false">IF(对接源_01水果!$AC265="","",对接源_01水果!$AC265)</f>
        <v/>
      </c>
      <c r="AH265" s="1" t="n">
        <f aca="false">IF(AND($N265=1,AND(LEFT(对接源_01水果!$D265,3)="周转筐",N(对接源_01水果!$K265)&lt;&gt;0)),1,0)</f>
        <v>0</v>
      </c>
      <c r="AI265" s="90" t="n">
        <f aca="false">IF(AG265="",0,IF(MATCH(AG265,$AG$4:$AG$1203,0)=ROW()-3,1,0))</f>
        <v>0</v>
      </c>
      <c r="AJ265" s="90" t="n">
        <f aca="false">N(AJ264)+AI265</f>
        <v>0</v>
      </c>
      <c r="AK265" s="1" t="n">
        <f aca="false">N(AK264)+$AJ265</f>
        <v>0</v>
      </c>
    </row>
    <row r="266" customFormat="false" ht="13.5" hidden="false" customHeight="false" outlineLevel="0" collapsed="false">
      <c r="A266" s="1" t="str">
        <f aca="false">IF(对接源_01水果!$C266="","",对接源_01水果!$C266)</f>
        <v>麦麦提</v>
      </c>
      <c r="B266" s="1" t="n">
        <f aca="false">IF(A266="",0,IF(MATCH(A266,$A$4:$A$2403,0)=ROW()-3,1,0))</f>
        <v>0</v>
      </c>
      <c r="C266" s="1" t="n">
        <f aca="false">N(C265)+B266</f>
        <v>13</v>
      </c>
      <c r="E266" s="1" t="str">
        <f aca="false">IFERROR(INDEX($A$4:$A$2403,MATCH(ROW()-3,$C$4:$C$2403,0)),"")</f>
        <v/>
      </c>
      <c r="K266" s="1" t="n">
        <f aca="false">IF(OR($K$1="",对接源_01水果!$C266="",对接源_01水果!$C266&lt;&gt;$K$1,对接源_01水果!$B266=""),0,IF(OR(N(对接源_01水果!$B266)&lt;$K$2,N(对接源_01水果!$B266)&gt;$K$3),0,1))</f>
        <v>0</v>
      </c>
      <c r="L266" s="1" t="n">
        <f aca="false">IF(OR($L$1="",对接源_01水果!$C266="",对接源_01水果!$C266&lt;&gt;$L$1,对接源_01水果!$B266=""),0,IF(OR(N(对接源_01水果!$B266)&lt;$L$2,N(对接源_01水果!$B266)&gt;$L$3),0,1))</f>
        <v>0</v>
      </c>
      <c r="M266" s="1" t="n">
        <f aca="false">IF(OR($M$1="",对接源_01水果!$C266="",对接源_01水果!$C266&lt;&gt;$M$1,对接源_01水果!$B266=""),0,IF(OR(N(对接源_01水果!$B266)&lt;$M$2,N(对接源_01水果!$B266)&gt;$M$3),0,1))</f>
        <v>0</v>
      </c>
      <c r="N266" s="1" t="n">
        <f aca="false">IF(OR($N$1="",对接源_01水果!$C266="",对接源_01水果!$C266&lt;&gt;$N$1,对接源_01水果!$B266=""),0,IF(OR(N(对接源_01水果!$B266)&lt;$N$2,N(对接源_01水果!$B266)&gt;$N$3),0,1))</f>
        <v>1</v>
      </c>
      <c r="P266" s="1" t="n">
        <f aca="false">IF(AND($K266=1,AND(对接源_01水果!$X266="公司筐",N(对接源_01水果!$T266)&lt;&gt;0)),1,0)</f>
        <v>0</v>
      </c>
      <c r="Q266" s="1" t="n">
        <f aca="false">N(Q265)+$P266</f>
        <v>1</v>
      </c>
      <c r="R266" s="1" t="n">
        <f aca="false">IF(AND($K266=1,AND(对接源_01水果!$X266="公司筐",N(对接源_01水果!$U266)&lt;&gt;0)),1,0)</f>
        <v>0</v>
      </c>
      <c r="S266" s="1" t="n">
        <f aca="false">N(S265)+$R266</f>
        <v>0</v>
      </c>
      <c r="T266" s="1" t="n">
        <f aca="false">IF(AND($K266=1,AND(对接源_01水果!$X266="公司筐",N(对接源_01水果!$V266)&lt;&gt;0)),1,0)</f>
        <v>0</v>
      </c>
      <c r="U266" s="1" t="n">
        <f aca="false">N(U265)+$T266</f>
        <v>28</v>
      </c>
      <c r="V266" s="1" t="n">
        <f aca="false">IF(AND($L266=1,AND(对接源_01水果!$X266="自备筐",N(对接源_01水果!$V266)&lt;&gt;0)),1,0)</f>
        <v>0</v>
      </c>
      <c r="W266" s="1" t="n">
        <f aca="false">N(W265)+$V266</f>
        <v>7</v>
      </c>
      <c r="X266" s="1" t="n">
        <f aca="false">IF(AND($L266=1,AND(对接源_01水果!$X266="自备筐",N(对接源_01水果!$T266)&lt;&gt;0)),1,0)</f>
        <v>0</v>
      </c>
      <c r="Y266" s="1" t="n">
        <f aca="false">N(Y265)+$X266</f>
        <v>0</v>
      </c>
      <c r="Z266" s="1" t="n">
        <f aca="false">IF(AND($M266=1,对接源_01水果!$D266="原料入库"),1,0)</f>
        <v>0</v>
      </c>
      <c r="AA266" s="1" t="n">
        <f aca="false">N(AA265)+$Z266</f>
        <v>30</v>
      </c>
      <c r="AB266" s="1" t="n">
        <f aca="false">IF(AND($M266=1,LEFT(对接源_01水果!$D266,4)="原料出库"),1,0)</f>
        <v>0</v>
      </c>
      <c r="AC266" s="1" t="n">
        <f aca="false">N(AC265)+$AB266</f>
        <v>14</v>
      </c>
      <c r="AD266" s="1" t="n">
        <f aca="false">IF(AND($M266=1,LEFT(对接源_01水果!$D266,4)="成品出库"),1,0)</f>
        <v>0</v>
      </c>
      <c r="AE266" s="1" t="n">
        <f aca="false">N(AE265)+$AD266</f>
        <v>0</v>
      </c>
      <c r="AF266" s="1" t="n">
        <f aca="false">IF(AND($N266=1,AND(LEFT(对接源_01水果!$D266,4)="包装物料",N(对接源_01水果!$K266)&lt;&gt;0)),1,0)</f>
        <v>0</v>
      </c>
      <c r="AG266" s="90" t="str">
        <f aca="false">IF(对接源_01水果!$AC266="","",对接源_01水果!$AC266)</f>
        <v/>
      </c>
      <c r="AH266" s="1" t="n">
        <f aca="false">IF(AND($N266=1,AND(LEFT(对接源_01水果!$D266,3)="周转筐",N(对接源_01水果!$K266)&lt;&gt;0)),1,0)</f>
        <v>0</v>
      </c>
      <c r="AI266" s="90" t="n">
        <f aca="false">IF(AG266="",0,IF(MATCH(AG266,$AG$4:$AG$1203,0)=ROW()-3,1,0))</f>
        <v>0</v>
      </c>
      <c r="AJ266" s="90" t="n">
        <f aca="false">N(AJ265)+AI266</f>
        <v>0</v>
      </c>
      <c r="AK266" s="1" t="n">
        <f aca="false">N(AK265)+$AJ266</f>
        <v>0</v>
      </c>
    </row>
    <row r="267" customFormat="false" ht="13.5" hidden="false" customHeight="false" outlineLevel="0" collapsed="false">
      <c r="A267" s="1" t="str">
        <f aca="false">IF(对接源_01水果!$C267="","",对接源_01水果!$C267)</f>
        <v>聂新平</v>
      </c>
      <c r="B267" s="1" t="n">
        <f aca="false">IF(A267="",0,IF(MATCH(A267,$A$4:$A$2403,0)=ROW()-3,1,0))</f>
        <v>0</v>
      </c>
      <c r="C267" s="1" t="n">
        <f aca="false">N(C266)+B267</f>
        <v>13</v>
      </c>
      <c r="E267" s="1" t="str">
        <f aca="false">IFERROR(INDEX($A$4:$A$2403,MATCH(ROW()-3,$C$4:$C$2403,0)),"")</f>
        <v/>
      </c>
      <c r="K267" s="1" t="n">
        <f aca="false">IF(OR($K$1="",对接源_01水果!$C267="",对接源_01水果!$C267&lt;&gt;$K$1,对接源_01水果!$B267=""),0,IF(OR(N(对接源_01水果!$B267)&lt;$K$2,N(对接源_01水果!$B267)&gt;$K$3),0,1))</f>
        <v>0</v>
      </c>
      <c r="L267" s="1" t="n">
        <f aca="false">IF(OR($L$1="",对接源_01水果!$C267="",对接源_01水果!$C267&lt;&gt;$L$1,对接源_01水果!$B267=""),0,IF(OR(N(对接源_01水果!$B267)&lt;$L$2,N(对接源_01水果!$B267)&gt;$L$3),0,1))</f>
        <v>0</v>
      </c>
      <c r="M267" s="1" t="n">
        <f aca="false">IF(OR($M$1="",对接源_01水果!$C267="",对接源_01水果!$C267&lt;&gt;$M$1,对接源_01水果!$B267=""),0,IF(OR(N(对接源_01水果!$B267)&lt;$M$2,N(对接源_01水果!$B267)&gt;$M$3),0,1))</f>
        <v>0</v>
      </c>
      <c r="N267" s="1" t="n">
        <f aca="false">IF(OR($N$1="",对接源_01水果!$C267="",对接源_01水果!$C267&lt;&gt;$N$1,对接源_01水果!$B267=""),0,IF(OR(N(对接源_01水果!$B267)&lt;$N$2,N(对接源_01水果!$B267)&gt;$N$3),0,1))</f>
        <v>0</v>
      </c>
      <c r="P267" s="1" t="n">
        <f aca="false">IF(AND($K267=1,AND(对接源_01水果!$X267="公司筐",N(对接源_01水果!$T267)&lt;&gt;0)),1,0)</f>
        <v>0</v>
      </c>
      <c r="Q267" s="1" t="n">
        <f aca="false">N(Q266)+$P267</f>
        <v>1</v>
      </c>
      <c r="R267" s="1" t="n">
        <f aca="false">IF(AND($K267=1,AND(对接源_01水果!$X267="公司筐",N(对接源_01水果!$U267)&lt;&gt;0)),1,0)</f>
        <v>0</v>
      </c>
      <c r="S267" s="1" t="n">
        <f aca="false">N(S266)+$R267</f>
        <v>0</v>
      </c>
      <c r="T267" s="1" t="n">
        <f aca="false">IF(AND($K267=1,AND(对接源_01水果!$X267="公司筐",N(对接源_01水果!$V267)&lt;&gt;0)),1,0)</f>
        <v>0</v>
      </c>
      <c r="U267" s="1" t="n">
        <f aca="false">N(U266)+$T267</f>
        <v>28</v>
      </c>
      <c r="V267" s="1" t="n">
        <f aca="false">IF(AND($L267=1,AND(对接源_01水果!$X267="自备筐",N(对接源_01水果!$V267)&lt;&gt;0)),1,0)</f>
        <v>0</v>
      </c>
      <c r="W267" s="1" t="n">
        <f aca="false">N(W266)+$V267</f>
        <v>7</v>
      </c>
      <c r="X267" s="1" t="n">
        <f aca="false">IF(AND($L267=1,AND(对接源_01水果!$X267="自备筐",N(对接源_01水果!$T267)&lt;&gt;0)),1,0)</f>
        <v>0</v>
      </c>
      <c r="Y267" s="1" t="n">
        <f aca="false">N(Y266)+$X267</f>
        <v>0</v>
      </c>
      <c r="Z267" s="1" t="n">
        <f aca="false">IF(AND($M267=1,对接源_01水果!$D267="原料入库"),1,0)</f>
        <v>0</v>
      </c>
      <c r="AA267" s="1" t="n">
        <f aca="false">N(AA266)+$Z267</f>
        <v>30</v>
      </c>
      <c r="AB267" s="1" t="n">
        <f aca="false">IF(AND($M267=1,LEFT(对接源_01水果!$D267,4)="原料出库"),1,0)</f>
        <v>0</v>
      </c>
      <c r="AC267" s="1" t="n">
        <f aca="false">N(AC266)+$AB267</f>
        <v>14</v>
      </c>
      <c r="AD267" s="1" t="n">
        <f aca="false">IF(AND($M267=1,LEFT(对接源_01水果!$D267,4)="成品出库"),1,0)</f>
        <v>0</v>
      </c>
      <c r="AE267" s="1" t="n">
        <f aca="false">N(AE266)+$AD267</f>
        <v>0</v>
      </c>
      <c r="AF267" s="1" t="n">
        <f aca="false">IF(AND($N267=1,AND(LEFT(对接源_01水果!$D267,4)="包装物料",N(对接源_01水果!$K267)&lt;&gt;0)),1,0)</f>
        <v>0</v>
      </c>
      <c r="AG267" s="90" t="str">
        <f aca="false">IF(对接源_01水果!$AC267="","",对接源_01水果!$AC267)</f>
        <v/>
      </c>
      <c r="AH267" s="1" t="n">
        <f aca="false">IF(AND($N267=1,AND(LEFT(对接源_01水果!$D267,3)="周转筐",N(对接源_01水果!$K267)&lt;&gt;0)),1,0)</f>
        <v>0</v>
      </c>
      <c r="AI267" s="90" t="n">
        <f aca="false">IF(AG267="",0,IF(MATCH(AG267,$AG$4:$AG$1203,0)=ROW()-3,1,0))</f>
        <v>0</v>
      </c>
      <c r="AJ267" s="90" t="n">
        <f aca="false">N(AJ266)+AI267</f>
        <v>0</v>
      </c>
      <c r="AK267" s="1" t="n">
        <f aca="false">N(AK266)+$AJ267</f>
        <v>0</v>
      </c>
    </row>
    <row r="268" customFormat="false" ht="13.5" hidden="false" customHeight="false" outlineLevel="0" collapsed="false">
      <c r="A268" s="1" t="str">
        <f aca="false">IF(对接源_01水果!$C268="","",对接源_01水果!$C268)</f>
        <v>王照雪</v>
      </c>
      <c r="B268" s="1" t="n">
        <f aca="false">IF(A268="",0,IF(MATCH(A268,$A$4:$A$2403,0)=ROW()-3,1,0))</f>
        <v>0</v>
      </c>
      <c r="C268" s="1" t="n">
        <f aca="false">N(C267)+B268</f>
        <v>13</v>
      </c>
      <c r="E268" s="1" t="str">
        <f aca="false">IFERROR(INDEX($A$4:$A$2403,MATCH(ROW()-3,$C$4:$C$2403,0)),"")</f>
        <v/>
      </c>
      <c r="K268" s="1" t="n">
        <f aca="false">IF(OR($K$1="",对接源_01水果!$C268="",对接源_01水果!$C268&lt;&gt;$K$1,对接源_01水果!$B268=""),0,IF(OR(N(对接源_01水果!$B268)&lt;$K$2,N(对接源_01水果!$B268)&gt;$K$3),0,1))</f>
        <v>1</v>
      </c>
      <c r="L268" s="1" t="n">
        <f aca="false">IF(OR($L$1="",对接源_01水果!$C268="",对接源_01水果!$C268&lt;&gt;$L$1,对接源_01水果!$B268=""),0,IF(OR(N(对接源_01水果!$B268)&lt;$L$2,N(对接源_01水果!$B268)&gt;$L$3),0,1))</f>
        <v>0</v>
      </c>
      <c r="M268" s="1" t="n">
        <f aca="false">IF(OR($M$1="",对接源_01水果!$C268="",对接源_01水果!$C268&lt;&gt;$M$1,对接源_01水果!$B268=""),0,IF(OR(N(对接源_01水果!$B268)&lt;$M$2,N(对接源_01水果!$B268)&gt;$M$3),0,1))</f>
        <v>1</v>
      </c>
      <c r="N268" s="1" t="n">
        <f aca="false">IF(OR($N$1="",对接源_01水果!$C268="",对接源_01水果!$C268&lt;&gt;$N$1,对接源_01水果!$B268=""),0,IF(OR(N(对接源_01水果!$B268)&lt;$N$2,N(对接源_01水果!$B268)&gt;$N$3),0,1))</f>
        <v>0</v>
      </c>
      <c r="P268" s="1" t="n">
        <f aca="false">IF(AND($K268=1,AND(对接源_01水果!$X268="公司筐",N(对接源_01水果!$T268)&lt;&gt;0)),1,0)</f>
        <v>0</v>
      </c>
      <c r="Q268" s="1" t="n">
        <f aca="false">N(Q267)+$P268</f>
        <v>1</v>
      </c>
      <c r="R268" s="1" t="n">
        <f aca="false">IF(AND($K268=1,AND(对接源_01水果!$X268="公司筐",N(对接源_01水果!$U268)&lt;&gt;0)),1,0)</f>
        <v>0</v>
      </c>
      <c r="S268" s="1" t="n">
        <f aca="false">N(S267)+$R268</f>
        <v>0</v>
      </c>
      <c r="T268" s="1" t="n">
        <f aca="false">IF(AND($K268=1,AND(对接源_01水果!$X268="公司筐",N(对接源_01水果!$V268)&lt;&gt;0)),1,0)</f>
        <v>0</v>
      </c>
      <c r="U268" s="1" t="n">
        <f aca="false">N(U267)+$T268</f>
        <v>28</v>
      </c>
      <c r="V268" s="1" t="n">
        <f aca="false">IF(AND($L268=1,AND(对接源_01水果!$X268="自备筐",N(对接源_01水果!$V268)&lt;&gt;0)),1,0)</f>
        <v>0</v>
      </c>
      <c r="W268" s="1" t="n">
        <f aca="false">N(W267)+$V268</f>
        <v>7</v>
      </c>
      <c r="X268" s="1" t="n">
        <f aca="false">IF(AND($L268=1,AND(对接源_01水果!$X268="自备筐",N(对接源_01水果!$T268)&lt;&gt;0)),1,0)</f>
        <v>0</v>
      </c>
      <c r="Y268" s="1" t="n">
        <f aca="false">N(Y267)+$X268</f>
        <v>0</v>
      </c>
      <c r="Z268" s="1" t="n">
        <f aca="false">IF(AND($M268=1,对接源_01水果!$D268="原料入库"),1,0)</f>
        <v>0</v>
      </c>
      <c r="AA268" s="1" t="n">
        <f aca="false">N(AA267)+$Z268</f>
        <v>30</v>
      </c>
      <c r="AB268" s="1" t="n">
        <f aca="false">IF(AND($M268=1,LEFT(对接源_01水果!$D268,4)="原料出库"),1,0)</f>
        <v>1</v>
      </c>
      <c r="AC268" s="1" t="n">
        <f aca="false">N(AC267)+$AB268</f>
        <v>15</v>
      </c>
      <c r="AD268" s="1" t="n">
        <f aca="false">IF(AND($M268=1,LEFT(对接源_01水果!$D268,4)="成品出库"),1,0)</f>
        <v>0</v>
      </c>
      <c r="AE268" s="1" t="n">
        <f aca="false">N(AE267)+$AD268</f>
        <v>0</v>
      </c>
      <c r="AF268" s="1" t="n">
        <f aca="false">IF(AND($N268=1,AND(LEFT(对接源_01水果!$D268,4)="包装物料",N(对接源_01水果!$K268)&lt;&gt;0)),1,0)</f>
        <v>0</v>
      </c>
      <c r="AG268" s="90" t="str">
        <f aca="false">IF(对接源_01水果!$AC268="","",对接源_01水果!$AC268)</f>
        <v/>
      </c>
      <c r="AH268" s="1" t="n">
        <f aca="false">IF(AND($N268=1,AND(LEFT(对接源_01水果!$D268,3)="周转筐",N(对接源_01水果!$K268)&lt;&gt;0)),1,0)</f>
        <v>0</v>
      </c>
      <c r="AI268" s="90" t="n">
        <f aca="false">IF(AG268="",0,IF(MATCH(AG268,$AG$4:$AG$1203,0)=ROW()-3,1,0))</f>
        <v>0</v>
      </c>
      <c r="AJ268" s="90" t="n">
        <f aca="false">N(AJ267)+AI268</f>
        <v>0</v>
      </c>
      <c r="AK268" s="1" t="n">
        <f aca="false">N(AK267)+$AJ268</f>
        <v>0</v>
      </c>
    </row>
    <row r="269" customFormat="false" ht="13.5" hidden="false" customHeight="false" outlineLevel="0" collapsed="false">
      <c r="A269" s="1" t="str">
        <f aca="false">IF(对接源_01水果!$C269="","",对接源_01水果!$C269)</f>
        <v>王照雪</v>
      </c>
      <c r="B269" s="1" t="n">
        <f aca="false">IF(A269="",0,IF(MATCH(A269,$A$4:$A$2403,0)=ROW()-3,1,0))</f>
        <v>0</v>
      </c>
      <c r="C269" s="1" t="n">
        <f aca="false">N(C268)+B269</f>
        <v>13</v>
      </c>
      <c r="E269" s="1" t="str">
        <f aca="false">IFERROR(INDEX($A$4:$A$2403,MATCH(ROW()-3,$C$4:$C$2403,0)),"")</f>
        <v/>
      </c>
      <c r="K269" s="1" t="n">
        <f aca="false">IF(OR($K$1="",对接源_01水果!$C269="",对接源_01水果!$C269&lt;&gt;$K$1,对接源_01水果!$B269=""),0,IF(OR(N(对接源_01水果!$B269)&lt;$K$2,N(对接源_01水果!$B269)&gt;$K$3),0,1))</f>
        <v>1</v>
      </c>
      <c r="L269" s="1" t="n">
        <f aca="false">IF(OR($L$1="",对接源_01水果!$C269="",对接源_01水果!$C269&lt;&gt;$L$1,对接源_01水果!$B269=""),0,IF(OR(N(对接源_01水果!$B269)&lt;$L$2,N(对接源_01水果!$B269)&gt;$L$3),0,1))</f>
        <v>0</v>
      </c>
      <c r="M269" s="1" t="n">
        <f aca="false">IF(OR($M$1="",对接源_01水果!$C269="",对接源_01水果!$C269&lt;&gt;$M$1,对接源_01水果!$B269=""),0,IF(OR(N(对接源_01水果!$B269)&lt;$M$2,N(对接源_01水果!$B269)&gt;$M$3),0,1))</f>
        <v>1</v>
      </c>
      <c r="N269" s="1" t="n">
        <f aca="false">IF(OR($N$1="",对接源_01水果!$C269="",对接源_01水果!$C269&lt;&gt;$N$1,对接源_01水果!$B269=""),0,IF(OR(N(对接源_01水果!$B269)&lt;$N$2,N(对接源_01水果!$B269)&gt;$N$3),0,1))</f>
        <v>0</v>
      </c>
      <c r="P269" s="1" t="n">
        <f aca="false">IF(AND($K269=1,AND(对接源_01水果!$X269="公司筐",N(对接源_01水果!$T269)&lt;&gt;0)),1,0)</f>
        <v>0</v>
      </c>
      <c r="Q269" s="1" t="n">
        <f aca="false">N(Q268)+$P269</f>
        <v>1</v>
      </c>
      <c r="R269" s="1" t="n">
        <f aca="false">IF(AND($K269=1,AND(对接源_01水果!$X269="公司筐",N(对接源_01水果!$U269)&lt;&gt;0)),1,0)</f>
        <v>0</v>
      </c>
      <c r="S269" s="1" t="n">
        <f aca="false">N(S268)+$R269</f>
        <v>0</v>
      </c>
      <c r="T269" s="1" t="n">
        <f aca="false">IF(AND($K269=1,AND(对接源_01水果!$X269="公司筐",N(对接源_01水果!$V269)&lt;&gt;0)),1,0)</f>
        <v>0</v>
      </c>
      <c r="U269" s="1" t="n">
        <f aca="false">N(U268)+$T269</f>
        <v>28</v>
      </c>
      <c r="V269" s="1" t="n">
        <f aca="false">IF(AND($L269=1,AND(对接源_01水果!$X269="自备筐",N(对接源_01水果!$V269)&lt;&gt;0)),1,0)</f>
        <v>0</v>
      </c>
      <c r="W269" s="1" t="n">
        <f aca="false">N(W268)+$V269</f>
        <v>7</v>
      </c>
      <c r="X269" s="1" t="n">
        <f aca="false">IF(AND($L269=1,AND(对接源_01水果!$X269="自备筐",N(对接源_01水果!$T269)&lt;&gt;0)),1,0)</f>
        <v>0</v>
      </c>
      <c r="Y269" s="1" t="n">
        <f aca="false">N(Y268)+$X269</f>
        <v>0</v>
      </c>
      <c r="Z269" s="1" t="n">
        <f aca="false">IF(AND($M269=1,对接源_01水果!$D269="原料入库"),1,0)</f>
        <v>0</v>
      </c>
      <c r="AA269" s="1" t="n">
        <f aca="false">N(AA268)+$Z269</f>
        <v>30</v>
      </c>
      <c r="AB269" s="1" t="n">
        <f aca="false">IF(AND($M269=1,LEFT(对接源_01水果!$D269,4)="原料出库"),1,0)</f>
        <v>1</v>
      </c>
      <c r="AC269" s="1" t="n">
        <f aca="false">N(AC268)+$AB269</f>
        <v>16</v>
      </c>
      <c r="AD269" s="1" t="n">
        <f aca="false">IF(AND($M269=1,LEFT(对接源_01水果!$D269,4)="成品出库"),1,0)</f>
        <v>0</v>
      </c>
      <c r="AE269" s="1" t="n">
        <f aca="false">N(AE268)+$AD269</f>
        <v>0</v>
      </c>
      <c r="AF269" s="1" t="n">
        <f aca="false">IF(AND($N269=1,AND(LEFT(对接源_01水果!$D269,4)="包装物料",N(对接源_01水果!$K269)&lt;&gt;0)),1,0)</f>
        <v>0</v>
      </c>
      <c r="AG269" s="90" t="str">
        <f aca="false">IF(对接源_01水果!$AC269="","",对接源_01水果!$AC269)</f>
        <v/>
      </c>
      <c r="AH269" s="1" t="n">
        <f aca="false">IF(AND($N269=1,AND(LEFT(对接源_01水果!$D269,3)="周转筐",N(对接源_01水果!$K269)&lt;&gt;0)),1,0)</f>
        <v>0</v>
      </c>
      <c r="AI269" s="90" t="n">
        <f aca="false">IF(AG269="",0,IF(MATCH(AG269,$AG$4:$AG$1203,0)=ROW()-3,1,0))</f>
        <v>0</v>
      </c>
      <c r="AJ269" s="90" t="n">
        <f aca="false">N(AJ268)+AI269</f>
        <v>0</v>
      </c>
      <c r="AK269" s="1" t="n">
        <f aca="false">N(AK268)+$AJ269</f>
        <v>0</v>
      </c>
    </row>
    <row r="270" customFormat="false" ht="13.5" hidden="false" customHeight="false" outlineLevel="0" collapsed="false">
      <c r="A270" s="1" t="str">
        <f aca="false">IF(对接源_01水果!$C270="","",对接源_01水果!$C270)</f>
        <v>王照雪</v>
      </c>
      <c r="B270" s="1" t="n">
        <f aca="false">IF(A270="",0,IF(MATCH(A270,$A$4:$A$2403,0)=ROW()-3,1,0))</f>
        <v>0</v>
      </c>
      <c r="C270" s="1" t="n">
        <f aca="false">N(C269)+B270</f>
        <v>13</v>
      </c>
      <c r="E270" s="1" t="str">
        <f aca="false">IFERROR(INDEX($A$4:$A$2403,MATCH(ROW()-3,$C$4:$C$2403,0)),"")</f>
        <v/>
      </c>
      <c r="K270" s="1" t="n">
        <f aca="false">IF(OR($K$1="",对接源_01水果!$C270="",对接源_01水果!$C270&lt;&gt;$K$1,对接源_01水果!$B270=""),0,IF(OR(N(对接源_01水果!$B270)&lt;$K$2,N(对接源_01水果!$B270)&gt;$K$3),0,1))</f>
        <v>1</v>
      </c>
      <c r="L270" s="1" t="n">
        <f aca="false">IF(OR($L$1="",对接源_01水果!$C270="",对接源_01水果!$C270&lt;&gt;$L$1,对接源_01水果!$B270=""),0,IF(OR(N(对接源_01水果!$B270)&lt;$L$2,N(对接源_01水果!$B270)&gt;$L$3),0,1))</f>
        <v>0</v>
      </c>
      <c r="M270" s="1" t="n">
        <f aca="false">IF(OR($M$1="",对接源_01水果!$C270="",对接源_01水果!$C270&lt;&gt;$M$1,对接源_01水果!$B270=""),0,IF(OR(N(对接源_01水果!$B270)&lt;$M$2,N(对接源_01水果!$B270)&gt;$M$3),0,1))</f>
        <v>1</v>
      </c>
      <c r="N270" s="1" t="n">
        <f aca="false">IF(OR($N$1="",对接源_01水果!$C270="",对接源_01水果!$C270&lt;&gt;$N$1,对接源_01水果!$B270=""),0,IF(OR(N(对接源_01水果!$B270)&lt;$N$2,N(对接源_01水果!$B270)&gt;$N$3),0,1))</f>
        <v>0</v>
      </c>
      <c r="P270" s="1" t="n">
        <f aca="false">IF(AND($K270=1,AND(对接源_01水果!$X270="公司筐",N(对接源_01水果!$T270)&lt;&gt;0)),1,0)</f>
        <v>0</v>
      </c>
      <c r="Q270" s="1" t="n">
        <f aca="false">N(Q269)+$P270</f>
        <v>1</v>
      </c>
      <c r="R270" s="1" t="n">
        <f aca="false">IF(AND($K270=1,AND(对接源_01水果!$X270="公司筐",N(对接源_01水果!$U270)&lt;&gt;0)),1,0)</f>
        <v>0</v>
      </c>
      <c r="S270" s="1" t="n">
        <f aca="false">N(S269)+$R270</f>
        <v>0</v>
      </c>
      <c r="T270" s="1" t="n">
        <f aca="false">IF(AND($K270=1,AND(对接源_01水果!$X270="公司筐",N(对接源_01水果!$V270)&lt;&gt;0)),1,0)</f>
        <v>0</v>
      </c>
      <c r="U270" s="1" t="n">
        <f aca="false">N(U269)+$T270</f>
        <v>28</v>
      </c>
      <c r="V270" s="1" t="n">
        <f aca="false">IF(AND($L270=1,AND(对接源_01水果!$X270="自备筐",N(对接源_01水果!$V270)&lt;&gt;0)),1,0)</f>
        <v>0</v>
      </c>
      <c r="W270" s="1" t="n">
        <f aca="false">N(W269)+$V270</f>
        <v>7</v>
      </c>
      <c r="X270" s="1" t="n">
        <f aca="false">IF(AND($L270=1,AND(对接源_01水果!$X270="自备筐",N(对接源_01水果!$T270)&lt;&gt;0)),1,0)</f>
        <v>0</v>
      </c>
      <c r="Y270" s="1" t="n">
        <f aca="false">N(Y269)+$X270</f>
        <v>0</v>
      </c>
      <c r="Z270" s="1" t="n">
        <f aca="false">IF(AND($M270=1,对接源_01水果!$D270="原料入库"),1,0)</f>
        <v>0</v>
      </c>
      <c r="AA270" s="1" t="n">
        <f aca="false">N(AA269)+$Z270</f>
        <v>30</v>
      </c>
      <c r="AB270" s="1" t="n">
        <f aca="false">IF(AND($M270=1,LEFT(对接源_01水果!$D270,4)="原料出库"),1,0)</f>
        <v>1</v>
      </c>
      <c r="AC270" s="1" t="n">
        <f aca="false">N(AC269)+$AB270</f>
        <v>17</v>
      </c>
      <c r="AD270" s="1" t="n">
        <f aca="false">IF(AND($M270=1,LEFT(对接源_01水果!$D270,4)="成品出库"),1,0)</f>
        <v>0</v>
      </c>
      <c r="AE270" s="1" t="n">
        <f aca="false">N(AE269)+$AD270</f>
        <v>0</v>
      </c>
      <c r="AF270" s="1" t="n">
        <f aca="false">IF(AND($N270=1,AND(LEFT(对接源_01水果!$D270,4)="包装物料",N(对接源_01水果!$K270)&lt;&gt;0)),1,0)</f>
        <v>0</v>
      </c>
      <c r="AG270" s="90" t="str">
        <f aca="false">IF(对接源_01水果!$AC270="","",对接源_01水果!$AC270)</f>
        <v/>
      </c>
      <c r="AH270" s="1" t="n">
        <f aca="false">IF(AND($N270=1,AND(LEFT(对接源_01水果!$D270,3)="周转筐",N(对接源_01水果!$K270)&lt;&gt;0)),1,0)</f>
        <v>0</v>
      </c>
      <c r="AI270" s="90" t="n">
        <f aca="false">IF(AG270="",0,IF(MATCH(AG270,$AG$4:$AG$1203,0)=ROW()-3,1,0))</f>
        <v>0</v>
      </c>
      <c r="AJ270" s="90" t="n">
        <f aca="false">N(AJ269)+AI270</f>
        <v>0</v>
      </c>
      <c r="AK270" s="1" t="n">
        <f aca="false">N(AK269)+$AJ270</f>
        <v>0</v>
      </c>
    </row>
    <row r="271" customFormat="false" ht="13.5" hidden="false" customHeight="false" outlineLevel="0" collapsed="false">
      <c r="A271" s="1" t="str">
        <f aca="false">IF(对接源_01水果!$C271="","",对接源_01水果!$C271)</f>
        <v>王照雪</v>
      </c>
      <c r="B271" s="1" t="n">
        <f aca="false">IF(A271="",0,IF(MATCH(A271,$A$4:$A$2403,0)=ROW()-3,1,0))</f>
        <v>0</v>
      </c>
      <c r="C271" s="1" t="n">
        <f aca="false">N(C270)+B271</f>
        <v>13</v>
      </c>
      <c r="E271" s="1" t="str">
        <f aca="false">IFERROR(INDEX($A$4:$A$2403,MATCH(ROW()-3,$C$4:$C$2403,0)),"")</f>
        <v/>
      </c>
      <c r="K271" s="1" t="n">
        <f aca="false">IF(OR($K$1="",对接源_01水果!$C271="",对接源_01水果!$C271&lt;&gt;$K$1,对接源_01水果!$B271=""),0,IF(OR(N(对接源_01水果!$B271)&lt;$K$2,N(对接源_01水果!$B271)&gt;$K$3),0,1))</f>
        <v>1</v>
      </c>
      <c r="L271" s="1" t="n">
        <f aca="false">IF(OR($L$1="",对接源_01水果!$C271="",对接源_01水果!$C271&lt;&gt;$L$1,对接源_01水果!$B271=""),0,IF(OR(N(对接源_01水果!$B271)&lt;$L$2,N(对接源_01水果!$B271)&gt;$L$3),0,1))</f>
        <v>0</v>
      </c>
      <c r="M271" s="1" t="n">
        <f aca="false">IF(OR($M$1="",对接源_01水果!$C271="",对接源_01水果!$C271&lt;&gt;$M$1,对接源_01水果!$B271=""),0,IF(OR(N(对接源_01水果!$B271)&lt;$M$2,N(对接源_01水果!$B271)&gt;$M$3),0,1))</f>
        <v>1</v>
      </c>
      <c r="N271" s="1" t="n">
        <f aca="false">IF(OR($N$1="",对接源_01水果!$C271="",对接源_01水果!$C271&lt;&gt;$N$1,对接源_01水果!$B271=""),0,IF(OR(N(对接源_01水果!$B271)&lt;$N$2,N(对接源_01水果!$B271)&gt;$N$3),0,1))</f>
        <v>0</v>
      </c>
      <c r="P271" s="1" t="n">
        <f aca="false">IF(AND($K271=1,AND(对接源_01水果!$X271="公司筐",N(对接源_01水果!$T271)&lt;&gt;0)),1,0)</f>
        <v>0</v>
      </c>
      <c r="Q271" s="1" t="n">
        <f aca="false">N(Q270)+$P271</f>
        <v>1</v>
      </c>
      <c r="R271" s="1" t="n">
        <f aca="false">IF(AND($K271=1,AND(对接源_01水果!$X271="公司筐",N(对接源_01水果!$U271)&lt;&gt;0)),1,0)</f>
        <v>0</v>
      </c>
      <c r="S271" s="1" t="n">
        <f aca="false">N(S270)+$R271</f>
        <v>0</v>
      </c>
      <c r="T271" s="1" t="n">
        <f aca="false">IF(AND($K271=1,AND(对接源_01水果!$X271="公司筐",N(对接源_01水果!$V271)&lt;&gt;0)),1,0)</f>
        <v>0</v>
      </c>
      <c r="U271" s="1" t="n">
        <f aca="false">N(U270)+$T271</f>
        <v>28</v>
      </c>
      <c r="V271" s="1" t="n">
        <f aca="false">IF(AND($L271=1,AND(对接源_01水果!$X271="自备筐",N(对接源_01水果!$V271)&lt;&gt;0)),1,0)</f>
        <v>0</v>
      </c>
      <c r="W271" s="1" t="n">
        <f aca="false">N(W270)+$V271</f>
        <v>7</v>
      </c>
      <c r="X271" s="1" t="n">
        <f aca="false">IF(AND($L271=1,AND(对接源_01水果!$X271="自备筐",N(对接源_01水果!$T271)&lt;&gt;0)),1,0)</f>
        <v>0</v>
      </c>
      <c r="Y271" s="1" t="n">
        <f aca="false">N(Y270)+$X271</f>
        <v>0</v>
      </c>
      <c r="Z271" s="1" t="n">
        <f aca="false">IF(AND($M271=1,对接源_01水果!$D271="原料入库"),1,0)</f>
        <v>0</v>
      </c>
      <c r="AA271" s="1" t="n">
        <f aca="false">N(AA270)+$Z271</f>
        <v>30</v>
      </c>
      <c r="AB271" s="1" t="n">
        <f aca="false">IF(AND($M271=1,LEFT(对接源_01水果!$D271,4)="原料出库"),1,0)</f>
        <v>1</v>
      </c>
      <c r="AC271" s="1" t="n">
        <f aca="false">N(AC270)+$AB271</f>
        <v>18</v>
      </c>
      <c r="AD271" s="1" t="n">
        <f aca="false">IF(AND($M271=1,LEFT(对接源_01水果!$D271,4)="成品出库"),1,0)</f>
        <v>0</v>
      </c>
      <c r="AE271" s="1" t="n">
        <f aca="false">N(AE270)+$AD271</f>
        <v>0</v>
      </c>
      <c r="AF271" s="1" t="n">
        <f aca="false">IF(AND($N271=1,AND(LEFT(对接源_01水果!$D271,4)="包装物料",N(对接源_01水果!$K271)&lt;&gt;0)),1,0)</f>
        <v>0</v>
      </c>
      <c r="AG271" s="90" t="str">
        <f aca="false">IF(对接源_01水果!$AC271="","",对接源_01水果!$AC271)</f>
        <v/>
      </c>
      <c r="AH271" s="1" t="n">
        <f aca="false">IF(AND($N271=1,AND(LEFT(对接源_01水果!$D271,3)="周转筐",N(对接源_01水果!$K271)&lt;&gt;0)),1,0)</f>
        <v>0</v>
      </c>
      <c r="AI271" s="90" t="n">
        <f aca="false">IF(AG271="",0,IF(MATCH(AG271,$AG$4:$AG$1203,0)=ROW()-3,1,0))</f>
        <v>0</v>
      </c>
      <c r="AJ271" s="90" t="n">
        <f aca="false">N(AJ270)+AI271</f>
        <v>0</v>
      </c>
      <c r="AK271" s="1" t="n">
        <f aca="false">N(AK270)+$AJ271</f>
        <v>0</v>
      </c>
    </row>
    <row r="272" customFormat="false" ht="13.5" hidden="false" customHeight="false" outlineLevel="0" collapsed="false">
      <c r="A272" s="1" t="str">
        <f aca="false">IF(对接源_01水果!$C272="","",对接源_01水果!$C272)</f>
        <v>王照雪</v>
      </c>
      <c r="B272" s="1" t="n">
        <f aca="false">IF(A272="",0,IF(MATCH(A272,$A$4:$A$2403,0)=ROW()-3,1,0))</f>
        <v>0</v>
      </c>
      <c r="C272" s="1" t="n">
        <f aca="false">N(C271)+B272</f>
        <v>13</v>
      </c>
      <c r="E272" s="1" t="str">
        <f aca="false">IFERROR(INDEX($A$4:$A$2403,MATCH(ROW()-3,$C$4:$C$2403,0)),"")</f>
        <v/>
      </c>
      <c r="K272" s="1" t="n">
        <f aca="false">IF(OR($K$1="",对接源_01水果!$C272="",对接源_01水果!$C272&lt;&gt;$K$1,对接源_01水果!$B272=""),0,IF(OR(N(对接源_01水果!$B272)&lt;$K$2,N(对接源_01水果!$B272)&gt;$K$3),0,1))</f>
        <v>1</v>
      </c>
      <c r="L272" s="1" t="n">
        <f aca="false">IF(OR($L$1="",对接源_01水果!$C272="",对接源_01水果!$C272&lt;&gt;$L$1,对接源_01水果!$B272=""),0,IF(OR(N(对接源_01水果!$B272)&lt;$L$2,N(对接源_01水果!$B272)&gt;$L$3),0,1))</f>
        <v>0</v>
      </c>
      <c r="M272" s="1" t="n">
        <f aca="false">IF(OR($M$1="",对接源_01水果!$C272="",对接源_01水果!$C272&lt;&gt;$M$1,对接源_01水果!$B272=""),0,IF(OR(N(对接源_01水果!$B272)&lt;$M$2,N(对接源_01水果!$B272)&gt;$M$3),0,1))</f>
        <v>1</v>
      </c>
      <c r="N272" s="1" t="n">
        <f aca="false">IF(OR($N$1="",对接源_01水果!$C272="",对接源_01水果!$C272&lt;&gt;$N$1,对接源_01水果!$B272=""),0,IF(OR(N(对接源_01水果!$B272)&lt;$N$2,N(对接源_01水果!$B272)&gt;$N$3),0,1))</f>
        <v>0</v>
      </c>
      <c r="P272" s="1" t="n">
        <f aca="false">IF(AND($K272=1,AND(对接源_01水果!$X272="公司筐",N(对接源_01水果!$T272)&lt;&gt;0)),1,0)</f>
        <v>0</v>
      </c>
      <c r="Q272" s="1" t="n">
        <f aca="false">N(Q271)+$P272</f>
        <v>1</v>
      </c>
      <c r="R272" s="1" t="n">
        <f aca="false">IF(AND($K272=1,AND(对接源_01水果!$X272="公司筐",N(对接源_01水果!$U272)&lt;&gt;0)),1,0)</f>
        <v>0</v>
      </c>
      <c r="S272" s="1" t="n">
        <f aca="false">N(S271)+$R272</f>
        <v>0</v>
      </c>
      <c r="T272" s="1" t="n">
        <f aca="false">IF(AND($K272=1,AND(对接源_01水果!$X272="公司筐",N(对接源_01水果!$V272)&lt;&gt;0)),1,0)</f>
        <v>0</v>
      </c>
      <c r="U272" s="1" t="n">
        <f aca="false">N(U271)+$T272</f>
        <v>28</v>
      </c>
      <c r="V272" s="1" t="n">
        <f aca="false">IF(AND($L272=1,AND(对接源_01水果!$X272="自备筐",N(对接源_01水果!$V272)&lt;&gt;0)),1,0)</f>
        <v>0</v>
      </c>
      <c r="W272" s="1" t="n">
        <f aca="false">N(W271)+$V272</f>
        <v>7</v>
      </c>
      <c r="X272" s="1" t="n">
        <f aca="false">IF(AND($L272=1,AND(对接源_01水果!$X272="自备筐",N(对接源_01水果!$T272)&lt;&gt;0)),1,0)</f>
        <v>0</v>
      </c>
      <c r="Y272" s="1" t="n">
        <f aca="false">N(Y271)+$X272</f>
        <v>0</v>
      </c>
      <c r="Z272" s="1" t="n">
        <f aca="false">IF(AND($M272=1,对接源_01水果!$D272="原料入库"),1,0)</f>
        <v>0</v>
      </c>
      <c r="AA272" s="1" t="n">
        <f aca="false">N(AA271)+$Z272</f>
        <v>30</v>
      </c>
      <c r="AB272" s="1" t="n">
        <f aca="false">IF(AND($M272=1,LEFT(对接源_01水果!$D272,4)="原料出库"),1,0)</f>
        <v>1</v>
      </c>
      <c r="AC272" s="1" t="n">
        <f aca="false">N(AC271)+$AB272</f>
        <v>19</v>
      </c>
      <c r="AD272" s="1" t="n">
        <f aca="false">IF(AND($M272=1,LEFT(对接源_01水果!$D272,4)="成品出库"),1,0)</f>
        <v>0</v>
      </c>
      <c r="AE272" s="1" t="n">
        <f aca="false">N(AE271)+$AD272</f>
        <v>0</v>
      </c>
      <c r="AF272" s="1" t="n">
        <f aca="false">IF(AND($N272=1,AND(LEFT(对接源_01水果!$D272,4)="包装物料",N(对接源_01水果!$K272)&lt;&gt;0)),1,0)</f>
        <v>0</v>
      </c>
      <c r="AG272" s="90" t="str">
        <f aca="false">IF(对接源_01水果!$AC272="","",对接源_01水果!$AC272)</f>
        <v>电商/主播</v>
      </c>
      <c r="AH272" s="1" t="n">
        <f aca="false">IF(AND($N272=1,AND(LEFT(对接源_01水果!$D272,3)="周转筐",N(对接源_01水果!$K272)&lt;&gt;0)),1,0)</f>
        <v>0</v>
      </c>
      <c r="AI272" s="90" t="n">
        <f aca="false">IF(AG272="",0,IF(MATCH(AG272,$AG$4:$AG$1203,0)=ROW()-3,1,0))</f>
        <v>1</v>
      </c>
      <c r="AJ272" s="90" t="n">
        <f aca="false">N(AJ271)+AI272</f>
        <v>1</v>
      </c>
      <c r="AK272" s="1" t="n">
        <f aca="false">N(AK271)+$AJ272</f>
        <v>1</v>
      </c>
    </row>
    <row r="273" customFormat="false" ht="13.5" hidden="false" customHeight="false" outlineLevel="0" collapsed="false">
      <c r="A273" s="1" t="str">
        <f aca="false">IF(对接源_01水果!$C273="","",对接源_01水果!$C273)</f>
        <v>王照雪</v>
      </c>
      <c r="B273" s="1" t="n">
        <f aca="false">IF(A273="",0,IF(MATCH(A273,$A$4:$A$2403,0)=ROW()-3,1,0))</f>
        <v>0</v>
      </c>
      <c r="C273" s="1" t="n">
        <f aca="false">N(C272)+B273</f>
        <v>13</v>
      </c>
      <c r="E273" s="1" t="str">
        <f aca="false">IFERROR(INDEX($A$4:$A$2403,MATCH(ROW()-3,$C$4:$C$2403,0)),"")</f>
        <v/>
      </c>
      <c r="K273" s="1" t="n">
        <f aca="false">IF(OR($K$1="",对接源_01水果!$C273="",对接源_01水果!$C273&lt;&gt;$K$1,对接源_01水果!$B273=""),0,IF(OR(N(对接源_01水果!$B273)&lt;$K$2,N(对接源_01水果!$B273)&gt;$K$3),0,1))</f>
        <v>1</v>
      </c>
      <c r="L273" s="1" t="n">
        <f aca="false">IF(OR($L$1="",对接源_01水果!$C273="",对接源_01水果!$C273&lt;&gt;$L$1,对接源_01水果!$B273=""),0,IF(OR(N(对接源_01水果!$B273)&lt;$L$2,N(对接源_01水果!$B273)&gt;$L$3),0,1))</f>
        <v>0</v>
      </c>
      <c r="M273" s="1" t="n">
        <f aca="false">IF(OR($M$1="",对接源_01水果!$C273="",对接源_01水果!$C273&lt;&gt;$M$1,对接源_01水果!$B273=""),0,IF(OR(N(对接源_01水果!$B273)&lt;$M$2,N(对接源_01水果!$B273)&gt;$M$3),0,1))</f>
        <v>1</v>
      </c>
      <c r="N273" s="1" t="n">
        <f aca="false">IF(OR($N$1="",对接源_01水果!$C273="",对接源_01水果!$C273&lt;&gt;$N$1,对接源_01水果!$B273=""),0,IF(OR(N(对接源_01水果!$B273)&lt;$N$2,N(对接源_01水果!$B273)&gt;$N$3),0,1))</f>
        <v>0</v>
      </c>
      <c r="P273" s="1" t="n">
        <f aca="false">IF(AND($K273=1,AND(对接源_01水果!$X273="公司筐",N(对接源_01水果!$T273)&lt;&gt;0)),1,0)</f>
        <v>0</v>
      </c>
      <c r="Q273" s="1" t="n">
        <f aca="false">N(Q272)+$P273</f>
        <v>1</v>
      </c>
      <c r="R273" s="1" t="n">
        <f aca="false">IF(AND($K273=1,AND(对接源_01水果!$X273="公司筐",N(对接源_01水果!$U273)&lt;&gt;0)),1,0)</f>
        <v>0</v>
      </c>
      <c r="S273" s="1" t="n">
        <f aca="false">N(S272)+$R273</f>
        <v>0</v>
      </c>
      <c r="T273" s="1" t="n">
        <f aca="false">IF(AND($K273=1,AND(对接源_01水果!$X273="公司筐",N(对接源_01水果!$V273)&lt;&gt;0)),1,0)</f>
        <v>0</v>
      </c>
      <c r="U273" s="1" t="n">
        <f aca="false">N(U272)+$T273</f>
        <v>28</v>
      </c>
      <c r="V273" s="1" t="n">
        <f aca="false">IF(AND($L273=1,AND(对接源_01水果!$X273="自备筐",N(对接源_01水果!$V273)&lt;&gt;0)),1,0)</f>
        <v>0</v>
      </c>
      <c r="W273" s="1" t="n">
        <f aca="false">N(W272)+$V273</f>
        <v>7</v>
      </c>
      <c r="X273" s="1" t="n">
        <f aca="false">IF(AND($L273=1,AND(对接源_01水果!$X273="自备筐",N(对接源_01水果!$T273)&lt;&gt;0)),1,0)</f>
        <v>0</v>
      </c>
      <c r="Y273" s="1" t="n">
        <f aca="false">N(Y272)+$X273</f>
        <v>0</v>
      </c>
      <c r="Z273" s="1" t="n">
        <f aca="false">IF(AND($M273=1,对接源_01水果!$D273="原料入库"),1,0)</f>
        <v>0</v>
      </c>
      <c r="AA273" s="1" t="n">
        <f aca="false">N(AA272)+$Z273</f>
        <v>30</v>
      </c>
      <c r="AB273" s="1" t="n">
        <f aca="false">IF(AND($M273=1,LEFT(对接源_01水果!$D273,4)="原料出库"),1,0)</f>
        <v>0</v>
      </c>
      <c r="AC273" s="1" t="n">
        <f aca="false">N(AC272)+$AB273</f>
        <v>19</v>
      </c>
      <c r="AD273" s="1" t="n">
        <f aca="false">IF(AND($M273=1,LEFT(对接源_01水果!$D273,4)="成品出库"),1,0)</f>
        <v>1</v>
      </c>
      <c r="AE273" s="1" t="n">
        <f aca="false">N(AE272)+$AD273</f>
        <v>1</v>
      </c>
      <c r="AF273" s="1" t="n">
        <f aca="false">IF(AND($N273=1,AND(LEFT(对接源_01水果!$D273,4)="包装物料",N(对接源_01水果!$K273)&lt;&gt;0)),1,0)</f>
        <v>0</v>
      </c>
      <c r="AG273" s="90" t="str">
        <f aca="false">IF(对接源_01水果!$AC273="","",对接源_01水果!$AC273)</f>
        <v>电商/主播</v>
      </c>
      <c r="AH273" s="1" t="n">
        <f aca="false">IF(AND($N273=1,AND(LEFT(对接源_01水果!$D273,3)="周转筐",N(对接源_01水果!$K273)&lt;&gt;0)),1,0)</f>
        <v>0</v>
      </c>
      <c r="AI273" s="90" t="n">
        <f aca="false">IF(AG273="",0,IF(MATCH(AG273,$AG$4:$AG$1203,0)=ROW()-3,1,0))</f>
        <v>0</v>
      </c>
      <c r="AJ273" s="90" t="n">
        <f aca="false">N(AJ272)+AI273</f>
        <v>1</v>
      </c>
      <c r="AK273" s="1" t="n">
        <f aca="false">N(AK272)+$AJ273</f>
        <v>2</v>
      </c>
    </row>
    <row r="274" customFormat="false" ht="13.5" hidden="false" customHeight="false" outlineLevel="0" collapsed="false">
      <c r="A274" s="1" t="str">
        <f aca="false">IF(对接源_01水果!$C274="","",对接源_01水果!$C274)</f>
        <v>王照雪</v>
      </c>
      <c r="B274" s="1" t="n">
        <f aca="false">IF(A274="",0,IF(MATCH(A274,$A$4:$A$2403,0)=ROW()-3,1,0))</f>
        <v>0</v>
      </c>
      <c r="C274" s="1" t="n">
        <f aca="false">N(C273)+B274</f>
        <v>13</v>
      </c>
      <c r="E274" s="1" t="str">
        <f aca="false">IFERROR(INDEX($A$4:$A$2403,MATCH(ROW()-3,$C$4:$C$2403,0)),"")</f>
        <v/>
      </c>
      <c r="K274" s="1" t="n">
        <f aca="false">IF(OR($K$1="",对接源_01水果!$C274="",对接源_01水果!$C274&lt;&gt;$K$1,对接源_01水果!$B274=""),0,IF(OR(N(对接源_01水果!$B274)&lt;$K$2,N(对接源_01水果!$B274)&gt;$K$3),0,1))</f>
        <v>1</v>
      </c>
      <c r="L274" s="1" t="n">
        <f aca="false">IF(OR($L$1="",对接源_01水果!$C274="",对接源_01水果!$C274&lt;&gt;$L$1,对接源_01水果!$B274=""),0,IF(OR(N(对接源_01水果!$B274)&lt;$L$2,N(对接源_01水果!$B274)&gt;$L$3),0,1))</f>
        <v>0</v>
      </c>
      <c r="M274" s="1" t="n">
        <f aca="false">IF(OR($M$1="",对接源_01水果!$C274="",对接源_01水果!$C274&lt;&gt;$M$1,对接源_01水果!$B274=""),0,IF(OR(N(对接源_01水果!$B274)&lt;$M$2,N(对接源_01水果!$B274)&gt;$M$3),0,1))</f>
        <v>1</v>
      </c>
      <c r="N274" s="1" t="n">
        <f aca="false">IF(OR($N$1="",对接源_01水果!$C274="",对接源_01水果!$C274&lt;&gt;$N$1,对接源_01水果!$B274=""),0,IF(OR(N(对接源_01水果!$B274)&lt;$N$2,N(对接源_01水果!$B274)&gt;$N$3),0,1))</f>
        <v>0</v>
      </c>
      <c r="P274" s="1" t="n">
        <f aca="false">IF(AND($K274=1,AND(对接源_01水果!$X274="公司筐",N(对接源_01水果!$T274)&lt;&gt;0)),1,0)</f>
        <v>0</v>
      </c>
      <c r="Q274" s="1" t="n">
        <f aca="false">N(Q273)+$P274</f>
        <v>1</v>
      </c>
      <c r="R274" s="1" t="n">
        <f aca="false">IF(AND($K274=1,AND(对接源_01水果!$X274="公司筐",N(对接源_01水果!$U274)&lt;&gt;0)),1,0)</f>
        <v>0</v>
      </c>
      <c r="S274" s="1" t="n">
        <f aca="false">N(S273)+$R274</f>
        <v>0</v>
      </c>
      <c r="T274" s="1" t="n">
        <f aca="false">IF(AND($K274=1,AND(对接源_01水果!$X274="公司筐",N(对接源_01水果!$V274)&lt;&gt;0)),1,0)</f>
        <v>0</v>
      </c>
      <c r="U274" s="1" t="n">
        <f aca="false">N(U273)+$T274</f>
        <v>28</v>
      </c>
      <c r="V274" s="1" t="n">
        <f aca="false">IF(AND($L274=1,AND(对接源_01水果!$X274="自备筐",N(对接源_01水果!$V274)&lt;&gt;0)),1,0)</f>
        <v>0</v>
      </c>
      <c r="W274" s="1" t="n">
        <f aca="false">N(W273)+$V274</f>
        <v>7</v>
      </c>
      <c r="X274" s="1" t="n">
        <f aca="false">IF(AND($L274=1,AND(对接源_01水果!$X274="自备筐",N(对接源_01水果!$T274)&lt;&gt;0)),1,0)</f>
        <v>0</v>
      </c>
      <c r="Y274" s="1" t="n">
        <f aca="false">N(Y273)+$X274</f>
        <v>0</v>
      </c>
      <c r="Z274" s="1" t="n">
        <f aca="false">IF(AND($M274=1,对接源_01水果!$D274="原料入库"),1,0)</f>
        <v>0</v>
      </c>
      <c r="AA274" s="1" t="n">
        <f aca="false">N(AA273)+$Z274</f>
        <v>30</v>
      </c>
      <c r="AB274" s="1" t="n">
        <f aca="false">IF(AND($M274=1,LEFT(对接源_01水果!$D274,4)="原料出库"),1,0)</f>
        <v>0</v>
      </c>
      <c r="AC274" s="1" t="n">
        <f aca="false">N(AC273)+$AB274</f>
        <v>19</v>
      </c>
      <c r="AD274" s="1" t="n">
        <f aca="false">IF(AND($M274=1,LEFT(对接源_01水果!$D274,4)="成品出库"),1,0)</f>
        <v>1</v>
      </c>
      <c r="AE274" s="1" t="n">
        <f aca="false">N(AE273)+$AD274</f>
        <v>2</v>
      </c>
      <c r="AF274" s="1" t="n">
        <f aca="false">IF(AND($N274=1,AND(LEFT(对接源_01水果!$D274,4)="包装物料",N(对接源_01水果!$K274)&lt;&gt;0)),1,0)</f>
        <v>0</v>
      </c>
      <c r="AG274" s="90" t="str">
        <f aca="false">IF(对接源_01水果!$AC274="","",对接源_01水果!$AC274)</f>
        <v>电商/主播</v>
      </c>
      <c r="AH274" s="1" t="n">
        <f aca="false">IF(AND($N274=1,AND(LEFT(对接源_01水果!$D274,3)="周转筐",N(对接源_01水果!$K274)&lt;&gt;0)),1,0)</f>
        <v>0</v>
      </c>
      <c r="AI274" s="90" t="n">
        <f aca="false">IF(AG274="",0,IF(MATCH(AG274,$AG$4:$AG$1203,0)=ROW()-3,1,0))</f>
        <v>0</v>
      </c>
      <c r="AJ274" s="90" t="n">
        <f aca="false">N(AJ273)+AI274</f>
        <v>1</v>
      </c>
      <c r="AK274" s="1" t="n">
        <f aca="false">N(AK273)+$AJ274</f>
        <v>3</v>
      </c>
    </row>
    <row r="275" customFormat="false" ht="13.5" hidden="false" customHeight="false" outlineLevel="0" collapsed="false">
      <c r="A275" s="1" t="str">
        <f aca="false">IF(对接源_01水果!$C275="","",对接源_01水果!$C275)</f>
        <v>王照雪</v>
      </c>
      <c r="B275" s="1" t="n">
        <f aca="false">IF(A275="",0,IF(MATCH(A275,$A$4:$A$2403,0)=ROW()-3,1,0))</f>
        <v>0</v>
      </c>
      <c r="C275" s="1" t="n">
        <f aca="false">N(C274)+B275</f>
        <v>13</v>
      </c>
      <c r="E275" s="1" t="str">
        <f aca="false">IFERROR(INDEX($A$4:$A$2403,MATCH(ROW()-3,$C$4:$C$2403,0)),"")</f>
        <v/>
      </c>
      <c r="K275" s="1" t="n">
        <f aca="false">IF(OR($K$1="",对接源_01水果!$C275="",对接源_01水果!$C275&lt;&gt;$K$1,对接源_01水果!$B275=""),0,IF(OR(N(对接源_01水果!$B275)&lt;$K$2,N(对接源_01水果!$B275)&gt;$K$3),0,1))</f>
        <v>1</v>
      </c>
      <c r="L275" s="1" t="n">
        <f aca="false">IF(OR($L$1="",对接源_01水果!$C275="",对接源_01水果!$C275&lt;&gt;$L$1,对接源_01水果!$B275=""),0,IF(OR(N(对接源_01水果!$B275)&lt;$L$2,N(对接源_01水果!$B275)&gt;$L$3),0,1))</f>
        <v>0</v>
      </c>
      <c r="M275" s="1" t="n">
        <f aca="false">IF(OR($M$1="",对接源_01水果!$C275="",对接源_01水果!$C275&lt;&gt;$M$1,对接源_01水果!$B275=""),0,IF(OR(N(对接源_01水果!$B275)&lt;$M$2,N(对接源_01水果!$B275)&gt;$M$3),0,1))</f>
        <v>1</v>
      </c>
      <c r="N275" s="1" t="n">
        <f aca="false">IF(OR($N$1="",对接源_01水果!$C275="",对接源_01水果!$C275&lt;&gt;$N$1,对接源_01水果!$B275=""),0,IF(OR(N(对接源_01水果!$B275)&lt;$N$2,N(对接源_01水果!$B275)&gt;$N$3),0,1))</f>
        <v>0</v>
      </c>
      <c r="P275" s="1" t="n">
        <f aca="false">IF(AND($K275=1,AND(对接源_01水果!$X275="公司筐",N(对接源_01水果!$T275)&lt;&gt;0)),1,0)</f>
        <v>0</v>
      </c>
      <c r="Q275" s="1" t="n">
        <f aca="false">N(Q274)+$P275</f>
        <v>1</v>
      </c>
      <c r="R275" s="1" t="n">
        <f aca="false">IF(AND($K275=1,AND(对接源_01水果!$X275="公司筐",N(对接源_01水果!$U275)&lt;&gt;0)),1,0)</f>
        <v>0</v>
      </c>
      <c r="S275" s="1" t="n">
        <f aca="false">N(S274)+$R275</f>
        <v>0</v>
      </c>
      <c r="T275" s="1" t="n">
        <f aca="false">IF(AND($K275=1,AND(对接源_01水果!$X275="公司筐",N(对接源_01水果!$V275)&lt;&gt;0)),1,0)</f>
        <v>0</v>
      </c>
      <c r="U275" s="1" t="n">
        <f aca="false">N(U274)+$T275</f>
        <v>28</v>
      </c>
      <c r="V275" s="1" t="n">
        <f aca="false">IF(AND($L275=1,AND(对接源_01水果!$X275="自备筐",N(对接源_01水果!$V275)&lt;&gt;0)),1,0)</f>
        <v>0</v>
      </c>
      <c r="W275" s="1" t="n">
        <f aca="false">N(W274)+$V275</f>
        <v>7</v>
      </c>
      <c r="X275" s="1" t="n">
        <f aca="false">IF(AND($L275=1,AND(对接源_01水果!$X275="自备筐",N(对接源_01水果!$T275)&lt;&gt;0)),1,0)</f>
        <v>0</v>
      </c>
      <c r="Y275" s="1" t="n">
        <f aca="false">N(Y274)+$X275</f>
        <v>0</v>
      </c>
      <c r="Z275" s="1" t="n">
        <f aca="false">IF(AND($M275=1,对接源_01水果!$D275="原料入库"),1,0)</f>
        <v>0</v>
      </c>
      <c r="AA275" s="1" t="n">
        <f aca="false">N(AA274)+$Z275</f>
        <v>30</v>
      </c>
      <c r="AB275" s="1" t="n">
        <f aca="false">IF(AND($M275=1,LEFT(对接源_01水果!$D275,4)="原料出库"),1,0)</f>
        <v>0</v>
      </c>
      <c r="AC275" s="1" t="n">
        <f aca="false">N(AC274)+$AB275</f>
        <v>19</v>
      </c>
      <c r="AD275" s="1" t="n">
        <f aca="false">IF(AND($M275=1,LEFT(对接源_01水果!$D275,4)="成品出库"),1,0)</f>
        <v>1</v>
      </c>
      <c r="AE275" s="1" t="n">
        <f aca="false">N(AE274)+$AD275</f>
        <v>3</v>
      </c>
      <c r="AF275" s="1" t="n">
        <f aca="false">IF(AND($N275=1,AND(LEFT(对接源_01水果!$D275,4)="包装物料",N(对接源_01水果!$K275)&lt;&gt;0)),1,0)</f>
        <v>0</v>
      </c>
      <c r="AG275" s="90" t="str">
        <f aca="false">IF(对接源_01水果!$AC275="","",对接源_01水果!$AC275)</f>
        <v>电商/主播</v>
      </c>
      <c r="AH275" s="1" t="n">
        <f aca="false">IF(AND($N275=1,AND(LEFT(对接源_01水果!$D275,3)="周转筐",N(对接源_01水果!$K275)&lt;&gt;0)),1,0)</f>
        <v>0</v>
      </c>
      <c r="AI275" s="90" t="n">
        <f aca="false">IF(AG275="",0,IF(MATCH(AG275,$AG$4:$AG$1203,0)=ROW()-3,1,0))</f>
        <v>0</v>
      </c>
      <c r="AJ275" s="90" t="n">
        <f aca="false">N(AJ274)+AI275</f>
        <v>1</v>
      </c>
      <c r="AK275" s="1" t="n">
        <f aca="false">N(AK274)+$AJ275</f>
        <v>4</v>
      </c>
    </row>
    <row r="276" customFormat="false" ht="13.5" hidden="false" customHeight="false" outlineLevel="0" collapsed="false">
      <c r="A276" s="1" t="str">
        <f aca="false">IF(对接源_01水果!$C276="","",对接源_01水果!$C276)</f>
        <v>王照雪</v>
      </c>
      <c r="B276" s="1" t="n">
        <f aca="false">IF(A276="",0,IF(MATCH(A276,$A$4:$A$2403,0)=ROW()-3,1,0))</f>
        <v>0</v>
      </c>
      <c r="C276" s="1" t="n">
        <f aca="false">N(C275)+B276</f>
        <v>13</v>
      </c>
      <c r="E276" s="1" t="str">
        <f aca="false">IFERROR(INDEX($A$4:$A$2403,MATCH(ROW()-3,$C$4:$C$2403,0)),"")</f>
        <v/>
      </c>
      <c r="K276" s="1" t="n">
        <f aca="false">IF(OR($K$1="",对接源_01水果!$C276="",对接源_01水果!$C276&lt;&gt;$K$1,对接源_01水果!$B276=""),0,IF(OR(N(对接源_01水果!$B276)&lt;$K$2,N(对接源_01水果!$B276)&gt;$K$3),0,1))</f>
        <v>1</v>
      </c>
      <c r="L276" s="1" t="n">
        <f aca="false">IF(OR($L$1="",对接源_01水果!$C276="",对接源_01水果!$C276&lt;&gt;$L$1,对接源_01水果!$B276=""),0,IF(OR(N(对接源_01水果!$B276)&lt;$L$2,N(对接源_01水果!$B276)&gt;$L$3),0,1))</f>
        <v>0</v>
      </c>
      <c r="M276" s="1" t="n">
        <f aca="false">IF(OR($M$1="",对接源_01水果!$C276="",对接源_01水果!$C276&lt;&gt;$M$1,对接源_01水果!$B276=""),0,IF(OR(N(对接源_01水果!$B276)&lt;$M$2,N(对接源_01水果!$B276)&gt;$M$3),0,1))</f>
        <v>1</v>
      </c>
      <c r="N276" s="1" t="n">
        <f aca="false">IF(OR($N$1="",对接源_01水果!$C276="",对接源_01水果!$C276&lt;&gt;$N$1,对接源_01水果!$B276=""),0,IF(OR(N(对接源_01水果!$B276)&lt;$N$2,N(对接源_01水果!$B276)&gt;$N$3),0,1))</f>
        <v>0</v>
      </c>
      <c r="P276" s="1" t="n">
        <f aca="false">IF(AND($K276=1,AND(对接源_01水果!$X276="公司筐",N(对接源_01水果!$T276)&lt;&gt;0)),1,0)</f>
        <v>0</v>
      </c>
      <c r="Q276" s="1" t="n">
        <f aca="false">N(Q275)+$P276</f>
        <v>1</v>
      </c>
      <c r="R276" s="1" t="n">
        <f aca="false">IF(AND($K276=1,AND(对接源_01水果!$X276="公司筐",N(对接源_01水果!$U276)&lt;&gt;0)),1,0)</f>
        <v>0</v>
      </c>
      <c r="S276" s="1" t="n">
        <f aca="false">N(S275)+$R276</f>
        <v>0</v>
      </c>
      <c r="T276" s="1" t="n">
        <f aca="false">IF(AND($K276=1,AND(对接源_01水果!$X276="公司筐",N(对接源_01水果!$V276)&lt;&gt;0)),1,0)</f>
        <v>0</v>
      </c>
      <c r="U276" s="1" t="n">
        <f aca="false">N(U275)+$T276</f>
        <v>28</v>
      </c>
      <c r="V276" s="1" t="n">
        <f aca="false">IF(AND($L276=1,AND(对接源_01水果!$X276="自备筐",N(对接源_01水果!$V276)&lt;&gt;0)),1,0)</f>
        <v>0</v>
      </c>
      <c r="W276" s="1" t="n">
        <f aca="false">N(W275)+$V276</f>
        <v>7</v>
      </c>
      <c r="X276" s="1" t="n">
        <f aca="false">IF(AND($L276=1,AND(对接源_01水果!$X276="自备筐",N(对接源_01水果!$T276)&lt;&gt;0)),1,0)</f>
        <v>0</v>
      </c>
      <c r="Y276" s="1" t="n">
        <f aca="false">N(Y275)+$X276</f>
        <v>0</v>
      </c>
      <c r="Z276" s="1" t="n">
        <f aca="false">IF(AND($M276=1,对接源_01水果!$D276="原料入库"),1,0)</f>
        <v>0</v>
      </c>
      <c r="AA276" s="1" t="n">
        <f aca="false">N(AA275)+$Z276</f>
        <v>30</v>
      </c>
      <c r="AB276" s="1" t="n">
        <f aca="false">IF(AND($M276=1,LEFT(对接源_01水果!$D276,4)="原料出库"),1,0)</f>
        <v>0</v>
      </c>
      <c r="AC276" s="1" t="n">
        <f aca="false">N(AC275)+$AB276</f>
        <v>19</v>
      </c>
      <c r="AD276" s="1" t="n">
        <f aca="false">IF(AND($M276=1,LEFT(对接源_01水果!$D276,4)="成品出库"),1,0)</f>
        <v>1</v>
      </c>
      <c r="AE276" s="1" t="n">
        <f aca="false">N(AE275)+$AD276</f>
        <v>4</v>
      </c>
      <c r="AF276" s="1" t="n">
        <f aca="false">IF(AND($N276=1,AND(LEFT(对接源_01水果!$D276,4)="包装物料",N(对接源_01水果!$K276)&lt;&gt;0)),1,0)</f>
        <v>0</v>
      </c>
      <c r="AG276" s="90" t="str">
        <f aca="false">IF(对接源_01水果!$AC276="","",对接源_01水果!$AC276)</f>
        <v>电商/主播</v>
      </c>
      <c r="AH276" s="1" t="n">
        <f aca="false">IF(AND($N276=1,AND(LEFT(对接源_01水果!$D276,3)="周转筐",N(对接源_01水果!$K276)&lt;&gt;0)),1,0)</f>
        <v>0</v>
      </c>
      <c r="AI276" s="90" t="n">
        <f aca="false">IF(AG276="",0,IF(MATCH(AG276,$AG$4:$AG$1203,0)=ROW()-3,1,0))</f>
        <v>0</v>
      </c>
      <c r="AJ276" s="90" t="n">
        <f aca="false">N(AJ275)+AI276</f>
        <v>1</v>
      </c>
      <c r="AK276" s="1" t="n">
        <f aca="false">N(AK275)+$AJ276</f>
        <v>5</v>
      </c>
    </row>
    <row r="277" customFormat="false" ht="13.5" hidden="false" customHeight="false" outlineLevel="0" collapsed="false">
      <c r="A277" s="1" t="str">
        <f aca="false">IF(对接源_01水果!$C277="","",对接源_01水果!$C277)</f>
        <v>王照雪</v>
      </c>
      <c r="B277" s="1" t="n">
        <f aca="false">IF(A277="",0,IF(MATCH(A277,$A$4:$A$2403,0)=ROW()-3,1,0))</f>
        <v>0</v>
      </c>
      <c r="C277" s="1" t="n">
        <f aca="false">N(C276)+B277</f>
        <v>13</v>
      </c>
      <c r="E277" s="1" t="str">
        <f aca="false">IFERROR(INDEX($A$4:$A$2403,MATCH(ROW()-3,$C$4:$C$2403,0)),"")</f>
        <v/>
      </c>
      <c r="K277" s="1" t="n">
        <f aca="false">IF(OR($K$1="",对接源_01水果!$C277="",对接源_01水果!$C277&lt;&gt;$K$1,对接源_01水果!$B277=""),0,IF(OR(N(对接源_01水果!$B277)&lt;$K$2,N(对接源_01水果!$B277)&gt;$K$3),0,1))</f>
        <v>1</v>
      </c>
      <c r="L277" s="1" t="n">
        <f aca="false">IF(OR($L$1="",对接源_01水果!$C277="",对接源_01水果!$C277&lt;&gt;$L$1,对接源_01水果!$B277=""),0,IF(OR(N(对接源_01水果!$B277)&lt;$L$2,N(对接源_01水果!$B277)&gt;$L$3),0,1))</f>
        <v>0</v>
      </c>
      <c r="M277" s="1" t="n">
        <f aca="false">IF(OR($M$1="",对接源_01水果!$C277="",对接源_01水果!$C277&lt;&gt;$M$1,对接源_01水果!$B277=""),0,IF(OR(N(对接源_01水果!$B277)&lt;$M$2,N(对接源_01水果!$B277)&gt;$M$3),0,1))</f>
        <v>1</v>
      </c>
      <c r="N277" s="1" t="n">
        <f aca="false">IF(OR($N$1="",对接源_01水果!$C277="",对接源_01水果!$C277&lt;&gt;$N$1,对接源_01水果!$B277=""),0,IF(OR(N(对接源_01水果!$B277)&lt;$N$2,N(对接源_01水果!$B277)&gt;$N$3),0,1))</f>
        <v>0</v>
      </c>
      <c r="P277" s="1" t="n">
        <f aca="false">IF(AND($K277=1,AND(对接源_01水果!$X277="公司筐",N(对接源_01水果!$T277)&lt;&gt;0)),1,0)</f>
        <v>0</v>
      </c>
      <c r="Q277" s="1" t="n">
        <f aca="false">N(Q276)+$P277</f>
        <v>1</v>
      </c>
      <c r="R277" s="1" t="n">
        <f aca="false">IF(AND($K277=1,AND(对接源_01水果!$X277="公司筐",N(对接源_01水果!$U277)&lt;&gt;0)),1,0)</f>
        <v>0</v>
      </c>
      <c r="S277" s="1" t="n">
        <f aca="false">N(S276)+$R277</f>
        <v>0</v>
      </c>
      <c r="T277" s="1" t="n">
        <f aca="false">IF(AND($K277=1,AND(对接源_01水果!$X277="公司筐",N(对接源_01水果!$V277)&lt;&gt;0)),1,0)</f>
        <v>0</v>
      </c>
      <c r="U277" s="1" t="n">
        <f aca="false">N(U276)+$T277</f>
        <v>28</v>
      </c>
      <c r="V277" s="1" t="n">
        <f aca="false">IF(AND($L277=1,AND(对接源_01水果!$X277="自备筐",N(对接源_01水果!$V277)&lt;&gt;0)),1,0)</f>
        <v>0</v>
      </c>
      <c r="W277" s="1" t="n">
        <f aca="false">N(W276)+$V277</f>
        <v>7</v>
      </c>
      <c r="X277" s="1" t="n">
        <f aca="false">IF(AND($L277=1,AND(对接源_01水果!$X277="自备筐",N(对接源_01水果!$T277)&lt;&gt;0)),1,0)</f>
        <v>0</v>
      </c>
      <c r="Y277" s="1" t="n">
        <f aca="false">N(Y276)+$X277</f>
        <v>0</v>
      </c>
      <c r="Z277" s="1" t="n">
        <f aca="false">IF(AND($M277=1,对接源_01水果!$D277="原料入库"),1,0)</f>
        <v>0</v>
      </c>
      <c r="AA277" s="1" t="n">
        <f aca="false">N(AA276)+$Z277</f>
        <v>30</v>
      </c>
      <c r="AB277" s="1" t="n">
        <f aca="false">IF(AND($M277=1,LEFT(对接源_01水果!$D277,4)="原料出库"),1,0)</f>
        <v>0</v>
      </c>
      <c r="AC277" s="1" t="n">
        <f aca="false">N(AC276)+$AB277</f>
        <v>19</v>
      </c>
      <c r="AD277" s="1" t="n">
        <f aca="false">IF(AND($M277=1,LEFT(对接源_01水果!$D277,4)="成品出库"),1,0)</f>
        <v>1</v>
      </c>
      <c r="AE277" s="1" t="n">
        <f aca="false">N(AE276)+$AD277</f>
        <v>5</v>
      </c>
      <c r="AF277" s="1" t="n">
        <f aca="false">IF(AND($N277=1,AND(LEFT(对接源_01水果!$D277,4)="包装物料",N(对接源_01水果!$K277)&lt;&gt;0)),1,0)</f>
        <v>0</v>
      </c>
      <c r="AG277" s="90" t="str">
        <f aca="false">IF(对接源_01水果!$AC277="","",对接源_01水果!$AC277)</f>
        <v>电商/主播</v>
      </c>
      <c r="AH277" s="1" t="n">
        <f aca="false">IF(AND($N277=1,AND(LEFT(对接源_01水果!$D277,3)="周转筐",N(对接源_01水果!$K277)&lt;&gt;0)),1,0)</f>
        <v>0</v>
      </c>
      <c r="AI277" s="90" t="n">
        <f aca="false">IF(AG277="",0,IF(MATCH(AG277,$AG$4:$AG$1203,0)=ROW()-3,1,0))</f>
        <v>0</v>
      </c>
      <c r="AJ277" s="90" t="n">
        <f aca="false">N(AJ276)+AI277</f>
        <v>1</v>
      </c>
      <c r="AK277" s="1" t="n">
        <f aca="false">N(AK276)+$AJ277</f>
        <v>6</v>
      </c>
    </row>
    <row r="278" customFormat="false" ht="13.5" hidden="false" customHeight="false" outlineLevel="0" collapsed="false">
      <c r="A278" s="1" t="str">
        <f aca="false">IF(对接源_01水果!$C278="","",对接源_01水果!$C278)</f>
        <v>王照雪</v>
      </c>
      <c r="B278" s="1" t="n">
        <f aca="false">IF(A278="",0,IF(MATCH(A278,$A$4:$A$2403,0)=ROW()-3,1,0))</f>
        <v>0</v>
      </c>
      <c r="C278" s="1" t="n">
        <f aca="false">N(C277)+B278</f>
        <v>13</v>
      </c>
      <c r="E278" s="1" t="str">
        <f aca="false">IFERROR(INDEX($A$4:$A$2403,MATCH(ROW()-3,$C$4:$C$2403,0)),"")</f>
        <v/>
      </c>
      <c r="K278" s="1" t="n">
        <f aca="false">IF(OR($K$1="",对接源_01水果!$C278="",对接源_01水果!$C278&lt;&gt;$K$1,对接源_01水果!$B278=""),0,IF(OR(N(对接源_01水果!$B278)&lt;$K$2,N(对接源_01水果!$B278)&gt;$K$3),0,1))</f>
        <v>1</v>
      </c>
      <c r="L278" s="1" t="n">
        <f aca="false">IF(OR($L$1="",对接源_01水果!$C278="",对接源_01水果!$C278&lt;&gt;$L$1,对接源_01水果!$B278=""),0,IF(OR(N(对接源_01水果!$B278)&lt;$L$2,N(对接源_01水果!$B278)&gt;$L$3),0,1))</f>
        <v>0</v>
      </c>
      <c r="M278" s="1" t="n">
        <f aca="false">IF(OR($M$1="",对接源_01水果!$C278="",对接源_01水果!$C278&lt;&gt;$M$1,对接源_01水果!$B278=""),0,IF(OR(N(对接源_01水果!$B278)&lt;$M$2,N(对接源_01水果!$B278)&gt;$M$3),0,1))</f>
        <v>1</v>
      </c>
      <c r="N278" s="1" t="n">
        <f aca="false">IF(OR($N$1="",对接源_01水果!$C278="",对接源_01水果!$C278&lt;&gt;$N$1,对接源_01水果!$B278=""),0,IF(OR(N(对接源_01水果!$B278)&lt;$N$2,N(对接源_01水果!$B278)&gt;$N$3),0,1))</f>
        <v>0</v>
      </c>
      <c r="P278" s="1" t="n">
        <f aca="false">IF(AND($K278=1,AND(对接源_01水果!$X278="公司筐",N(对接源_01水果!$T278)&lt;&gt;0)),1,0)</f>
        <v>0</v>
      </c>
      <c r="Q278" s="1" t="n">
        <f aca="false">N(Q277)+$P278</f>
        <v>1</v>
      </c>
      <c r="R278" s="1" t="n">
        <f aca="false">IF(AND($K278=1,AND(对接源_01水果!$X278="公司筐",N(对接源_01水果!$U278)&lt;&gt;0)),1,0)</f>
        <v>0</v>
      </c>
      <c r="S278" s="1" t="n">
        <f aca="false">N(S277)+$R278</f>
        <v>0</v>
      </c>
      <c r="T278" s="1" t="n">
        <f aca="false">IF(AND($K278=1,AND(对接源_01水果!$X278="公司筐",N(对接源_01水果!$V278)&lt;&gt;0)),1,0)</f>
        <v>0</v>
      </c>
      <c r="U278" s="1" t="n">
        <f aca="false">N(U277)+$T278</f>
        <v>28</v>
      </c>
      <c r="V278" s="1" t="n">
        <f aca="false">IF(AND($L278=1,AND(对接源_01水果!$X278="自备筐",N(对接源_01水果!$V278)&lt;&gt;0)),1,0)</f>
        <v>0</v>
      </c>
      <c r="W278" s="1" t="n">
        <f aca="false">N(W277)+$V278</f>
        <v>7</v>
      </c>
      <c r="X278" s="1" t="n">
        <f aca="false">IF(AND($L278=1,AND(对接源_01水果!$X278="自备筐",N(对接源_01水果!$T278)&lt;&gt;0)),1,0)</f>
        <v>0</v>
      </c>
      <c r="Y278" s="1" t="n">
        <f aca="false">N(Y277)+$X278</f>
        <v>0</v>
      </c>
      <c r="Z278" s="1" t="n">
        <f aca="false">IF(AND($M278=1,对接源_01水果!$D278="原料入库"),1,0)</f>
        <v>0</v>
      </c>
      <c r="AA278" s="1" t="n">
        <f aca="false">N(AA277)+$Z278</f>
        <v>30</v>
      </c>
      <c r="AB278" s="1" t="n">
        <f aca="false">IF(AND($M278=1,LEFT(对接源_01水果!$D278,4)="原料出库"),1,0)</f>
        <v>0</v>
      </c>
      <c r="AC278" s="1" t="n">
        <f aca="false">N(AC277)+$AB278</f>
        <v>19</v>
      </c>
      <c r="AD278" s="1" t="n">
        <f aca="false">IF(AND($M278=1,LEFT(对接源_01水果!$D278,4)="成品出库"),1,0)</f>
        <v>1</v>
      </c>
      <c r="AE278" s="1" t="n">
        <f aca="false">N(AE277)+$AD278</f>
        <v>6</v>
      </c>
      <c r="AF278" s="1" t="n">
        <f aca="false">IF(AND($N278=1,AND(LEFT(对接源_01水果!$D278,4)="包装物料",N(对接源_01水果!$K278)&lt;&gt;0)),1,0)</f>
        <v>0</v>
      </c>
      <c r="AG278" s="90" t="str">
        <f aca="false">IF(对接源_01水果!$AC278="","",对接源_01水果!$AC278)</f>
        <v>电商/主播</v>
      </c>
      <c r="AH278" s="1" t="n">
        <f aca="false">IF(AND($N278=1,AND(LEFT(对接源_01水果!$D278,3)="周转筐",N(对接源_01水果!$K278)&lt;&gt;0)),1,0)</f>
        <v>0</v>
      </c>
      <c r="AI278" s="90" t="n">
        <f aca="false">IF(AG278="",0,IF(MATCH(AG278,$AG$4:$AG$1203,0)=ROW()-3,1,0))</f>
        <v>0</v>
      </c>
      <c r="AJ278" s="90" t="n">
        <f aca="false">N(AJ277)+AI278</f>
        <v>1</v>
      </c>
      <c r="AK278" s="1" t="n">
        <f aca="false">N(AK277)+$AJ278</f>
        <v>7</v>
      </c>
    </row>
    <row r="279" customFormat="false" ht="13.5" hidden="false" customHeight="false" outlineLevel="0" collapsed="false">
      <c r="A279" s="1" t="str">
        <f aca="false">IF(对接源_01水果!$C279="","",对接源_01水果!$C279)</f>
        <v>王照雪</v>
      </c>
      <c r="B279" s="1" t="n">
        <f aca="false">IF(A279="",0,IF(MATCH(A279,$A$4:$A$2403,0)=ROW()-3,1,0))</f>
        <v>0</v>
      </c>
      <c r="C279" s="1" t="n">
        <f aca="false">N(C278)+B279</f>
        <v>13</v>
      </c>
      <c r="E279" s="1" t="str">
        <f aca="false">IFERROR(INDEX($A$4:$A$2403,MATCH(ROW()-3,$C$4:$C$2403,0)),"")</f>
        <v/>
      </c>
      <c r="K279" s="1" t="n">
        <f aca="false">IF(OR($K$1="",对接源_01水果!$C279="",对接源_01水果!$C279&lt;&gt;$K$1,对接源_01水果!$B279=""),0,IF(OR(N(对接源_01水果!$B279)&lt;$K$2,N(对接源_01水果!$B279)&gt;$K$3),0,1))</f>
        <v>1</v>
      </c>
      <c r="L279" s="1" t="n">
        <f aca="false">IF(OR($L$1="",对接源_01水果!$C279="",对接源_01水果!$C279&lt;&gt;$L$1,对接源_01水果!$B279=""),0,IF(OR(N(对接源_01水果!$B279)&lt;$L$2,N(对接源_01水果!$B279)&gt;$L$3),0,1))</f>
        <v>0</v>
      </c>
      <c r="M279" s="1" t="n">
        <f aca="false">IF(OR($M$1="",对接源_01水果!$C279="",对接源_01水果!$C279&lt;&gt;$M$1,对接源_01水果!$B279=""),0,IF(OR(N(对接源_01水果!$B279)&lt;$M$2,N(对接源_01水果!$B279)&gt;$M$3),0,1))</f>
        <v>1</v>
      </c>
      <c r="N279" s="1" t="n">
        <f aca="false">IF(OR($N$1="",对接源_01水果!$C279="",对接源_01水果!$C279&lt;&gt;$N$1,对接源_01水果!$B279=""),0,IF(OR(N(对接源_01水果!$B279)&lt;$N$2,N(对接源_01水果!$B279)&gt;$N$3),0,1))</f>
        <v>0</v>
      </c>
      <c r="P279" s="1" t="n">
        <f aca="false">IF(AND($K279=1,AND(对接源_01水果!$X279="公司筐",N(对接源_01水果!$T279)&lt;&gt;0)),1,0)</f>
        <v>0</v>
      </c>
      <c r="Q279" s="1" t="n">
        <f aca="false">N(Q278)+$P279</f>
        <v>1</v>
      </c>
      <c r="R279" s="1" t="n">
        <f aca="false">IF(AND($K279=1,AND(对接源_01水果!$X279="公司筐",N(对接源_01水果!$U279)&lt;&gt;0)),1,0)</f>
        <v>0</v>
      </c>
      <c r="S279" s="1" t="n">
        <f aca="false">N(S278)+$R279</f>
        <v>0</v>
      </c>
      <c r="T279" s="1" t="n">
        <f aca="false">IF(AND($K279=1,AND(对接源_01水果!$X279="公司筐",N(对接源_01水果!$V279)&lt;&gt;0)),1,0)</f>
        <v>0</v>
      </c>
      <c r="U279" s="1" t="n">
        <f aca="false">N(U278)+$T279</f>
        <v>28</v>
      </c>
      <c r="V279" s="1" t="n">
        <f aca="false">IF(AND($L279=1,AND(对接源_01水果!$X279="自备筐",N(对接源_01水果!$V279)&lt;&gt;0)),1,0)</f>
        <v>0</v>
      </c>
      <c r="W279" s="1" t="n">
        <f aca="false">N(W278)+$V279</f>
        <v>7</v>
      </c>
      <c r="X279" s="1" t="n">
        <f aca="false">IF(AND($L279=1,AND(对接源_01水果!$X279="自备筐",N(对接源_01水果!$T279)&lt;&gt;0)),1,0)</f>
        <v>0</v>
      </c>
      <c r="Y279" s="1" t="n">
        <f aca="false">N(Y278)+$X279</f>
        <v>0</v>
      </c>
      <c r="Z279" s="1" t="n">
        <f aca="false">IF(AND($M279=1,对接源_01水果!$D279="原料入库"),1,0)</f>
        <v>0</v>
      </c>
      <c r="AA279" s="1" t="n">
        <f aca="false">N(AA278)+$Z279</f>
        <v>30</v>
      </c>
      <c r="AB279" s="1" t="n">
        <f aca="false">IF(AND($M279=1,LEFT(对接源_01水果!$D279,4)="原料出库"),1,0)</f>
        <v>0</v>
      </c>
      <c r="AC279" s="1" t="n">
        <f aca="false">N(AC278)+$AB279</f>
        <v>19</v>
      </c>
      <c r="AD279" s="1" t="n">
        <f aca="false">IF(AND($M279=1,LEFT(对接源_01水果!$D279,4)="成品出库"),1,0)</f>
        <v>1</v>
      </c>
      <c r="AE279" s="1" t="n">
        <f aca="false">N(AE278)+$AD279</f>
        <v>7</v>
      </c>
      <c r="AF279" s="1" t="n">
        <f aca="false">IF(AND($N279=1,AND(LEFT(对接源_01水果!$D279,4)="包装物料",N(对接源_01水果!$K279)&lt;&gt;0)),1,0)</f>
        <v>0</v>
      </c>
      <c r="AG279" s="90" t="str">
        <f aca="false">IF(对接源_01水果!$AC279="","",对接源_01水果!$AC279)</f>
        <v>电商/主播</v>
      </c>
      <c r="AH279" s="1" t="n">
        <f aca="false">IF(AND($N279=1,AND(LEFT(对接源_01水果!$D279,3)="周转筐",N(对接源_01水果!$K279)&lt;&gt;0)),1,0)</f>
        <v>0</v>
      </c>
      <c r="AI279" s="90" t="n">
        <f aca="false">IF(AG279="",0,IF(MATCH(AG279,$AG$4:$AG$1203,0)=ROW()-3,1,0))</f>
        <v>0</v>
      </c>
      <c r="AJ279" s="90" t="n">
        <f aca="false">N(AJ278)+AI279</f>
        <v>1</v>
      </c>
      <c r="AK279" s="1" t="n">
        <f aca="false">N(AK278)+$AJ279</f>
        <v>8</v>
      </c>
    </row>
    <row r="280" customFormat="false" ht="13.5" hidden="false" customHeight="false" outlineLevel="0" collapsed="false">
      <c r="A280" s="1" t="str">
        <f aca="false">IF(对接源_01水果!$C280="","",对接源_01水果!$C280)</f>
        <v>王照雪</v>
      </c>
      <c r="B280" s="1" t="n">
        <f aca="false">IF(A280="",0,IF(MATCH(A280,$A$4:$A$2403,0)=ROW()-3,1,0))</f>
        <v>0</v>
      </c>
      <c r="C280" s="1" t="n">
        <f aca="false">N(C279)+B280</f>
        <v>13</v>
      </c>
      <c r="E280" s="1" t="str">
        <f aca="false">IFERROR(INDEX($A$4:$A$2403,MATCH(ROW()-3,$C$4:$C$2403,0)),"")</f>
        <v/>
      </c>
      <c r="K280" s="1" t="n">
        <f aca="false">IF(OR($K$1="",对接源_01水果!$C280="",对接源_01水果!$C280&lt;&gt;$K$1,对接源_01水果!$B280=""),0,IF(OR(N(对接源_01水果!$B280)&lt;$K$2,N(对接源_01水果!$B280)&gt;$K$3),0,1))</f>
        <v>1</v>
      </c>
      <c r="L280" s="1" t="n">
        <f aca="false">IF(OR($L$1="",对接源_01水果!$C280="",对接源_01水果!$C280&lt;&gt;$L$1,对接源_01水果!$B280=""),0,IF(OR(N(对接源_01水果!$B280)&lt;$L$2,N(对接源_01水果!$B280)&gt;$L$3),0,1))</f>
        <v>0</v>
      </c>
      <c r="M280" s="1" t="n">
        <f aca="false">IF(OR($M$1="",对接源_01水果!$C280="",对接源_01水果!$C280&lt;&gt;$M$1,对接源_01水果!$B280=""),0,IF(OR(N(对接源_01水果!$B280)&lt;$M$2,N(对接源_01水果!$B280)&gt;$M$3),0,1))</f>
        <v>1</v>
      </c>
      <c r="N280" s="1" t="n">
        <f aca="false">IF(OR($N$1="",对接源_01水果!$C280="",对接源_01水果!$C280&lt;&gt;$N$1,对接源_01水果!$B280=""),0,IF(OR(N(对接源_01水果!$B280)&lt;$N$2,N(对接源_01水果!$B280)&gt;$N$3),0,1))</f>
        <v>0</v>
      </c>
      <c r="P280" s="1" t="n">
        <f aca="false">IF(AND($K280=1,AND(对接源_01水果!$X280="公司筐",N(对接源_01水果!$T280)&lt;&gt;0)),1,0)</f>
        <v>0</v>
      </c>
      <c r="Q280" s="1" t="n">
        <f aca="false">N(Q279)+$P280</f>
        <v>1</v>
      </c>
      <c r="R280" s="1" t="n">
        <f aca="false">IF(AND($K280=1,AND(对接源_01水果!$X280="公司筐",N(对接源_01水果!$U280)&lt;&gt;0)),1,0)</f>
        <v>0</v>
      </c>
      <c r="S280" s="1" t="n">
        <f aca="false">N(S279)+$R280</f>
        <v>0</v>
      </c>
      <c r="T280" s="1" t="n">
        <f aca="false">IF(AND($K280=1,AND(对接源_01水果!$X280="公司筐",N(对接源_01水果!$V280)&lt;&gt;0)),1,0)</f>
        <v>0</v>
      </c>
      <c r="U280" s="1" t="n">
        <f aca="false">N(U279)+$T280</f>
        <v>28</v>
      </c>
      <c r="V280" s="1" t="n">
        <f aca="false">IF(AND($L280=1,AND(对接源_01水果!$X280="自备筐",N(对接源_01水果!$V280)&lt;&gt;0)),1,0)</f>
        <v>0</v>
      </c>
      <c r="W280" s="1" t="n">
        <f aca="false">N(W279)+$V280</f>
        <v>7</v>
      </c>
      <c r="X280" s="1" t="n">
        <f aca="false">IF(AND($L280=1,AND(对接源_01水果!$X280="自备筐",N(对接源_01水果!$T280)&lt;&gt;0)),1,0)</f>
        <v>0</v>
      </c>
      <c r="Y280" s="1" t="n">
        <f aca="false">N(Y279)+$X280</f>
        <v>0</v>
      </c>
      <c r="Z280" s="1" t="n">
        <f aca="false">IF(AND($M280=1,对接源_01水果!$D280="原料入库"),1,0)</f>
        <v>0</v>
      </c>
      <c r="AA280" s="1" t="n">
        <f aca="false">N(AA279)+$Z280</f>
        <v>30</v>
      </c>
      <c r="AB280" s="1" t="n">
        <f aca="false">IF(AND($M280=1,LEFT(对接源_01水果!$D280,4)="原料出库"),1,0)</f>
        <v>0</v>
      </c>
      <c r="AC280" s="1" t="n">
        <f aca="false">N(AC279)+$AB280</f>
        <v>19</v>
      </c>
      <c r="AD280" s="1" t="n">
        <f aca="false">IF(AND($M280=1,LEFT(对接源_01水果!$D280,4)="成品出库"),1,0)</f>
        <v>1</v>
      </c>
      <c r="AE280" s="1" t="n">
        <f aca="false">N(AE279)+$AD280</f>
        <v>8</v>
      </c>
      <c r="AF280" s="1" t="n">
        <f aca="false">IF(AND($N280=1,AND(LEFT(对接源_01水果!$D280,4)="包装物料",N(对接源_01水果!$K280)&lt;&gt;0)),1,0)</f>
        <v>0</v>
      </c>
      <c r="AG280" s="90" t="str">
        <f aca="false">IF(对接源_01水果!$AC280="","",对接源_01水果!$AC280)</f>
        <v>电商/主播</v>
      </c>
      <c r="AH280" s="1" t="n">
        <f aca="false">IF(AND($N280=1,AND(LEFT(对接源_01水果!$D280,3)="周转筐",N(对接源_01水果!$K280)&lt;&gt;0)),1,0)</f>
        <v>0</v>
      </c>
      <c r="AI280" s="90" t="n">
        <f aca="false">IF(AG280="",0,IF(MATCH(AG280,$AG$4:$AG$1203,0)=ROW()-3,1,0))</f>
        <v>0</v>
      </c>
      <c r="AJ280" s="90" t="n">
        <f aca="false">N(AJ279)+AI280</f>
        <v>1</v>
      </c>
      <c r="AK280" s="1" t="n">
        <f aca="false">N(AK279)+$AJ280</f>
        <v>9</v>
      </c>
    </row>
    <row r="281" customFormat="false" ht="13.5" hidden="false" customHeight="false" outlineLevel="0" collapsed="false">
      <c r="A281" s="1" t="str">
        <f aca="false">IF(对接源_01水果!$C281="","",对接源_01水果!$C281)</f>
        <v>王照雪</v>
      </c>
      <c r="B281" s="1" t="n">
        <f aca="false">IF(A281="",0,IF(MATCH(A281,$A$4:$A$2403,0)=ROW()-3,1,0))</f>
        <v>0</v>
      </c>
      <c r="C281" s="1" t="n">
        <f aca="false">N(C280)+B281</f>
        <v>13</v>
      </c>
      <c r="E281" s="1" t="str">
        <f aca="false">IFERROR(INDEX($A$4:$A$2403,MATCH(ROW()-3,$C$4:$C$2403,0)),"")</f>
        <v/>
      </c>
      <c r="K281" s="1" t="n">
        <f aca="false">IF(OR($K$1="",对接源_01水果!$C281="",对接源_01水果!$C281&lt;&gt;$K$1,对接源_01水果!$B281=""),0,IF(OR(N(对接源_01水果!$B281)&lt;$K$2,N(对接源_01水果!$B281)&gt;$K$3),0,1))</f>
        <v>1</v>
      </c>
      <c r="L281" s="1" t="n">
        <f aca="false">IF(OR($L$1="",对接源_01水果!$C281="",对接源_01水果!$C281&lt;&gt;$L$1,对接源_01水果!$B281=""),0,IF(OR(N(对接源_01水果!$B281)&lt;$L$2,N(对接源_01水果!$B281)&gt;$L$3),0,1))</f>
        <v>0</v>
      </c>
      <c r="M281" s="1" t="n">
        <f aca="false">IF(OR($M$1="",对接源_01水果!$C281="",对接源_01水果!$C281&lt;&gt;$M$1,对接源_01水果!$B281=""),0,IF(OR(N(对接源_01水果!$B281)&lt;$M$2,N(对接源_01水果!$B281)&gt;$M$3),0,1))</f>
        <v>1</v>
      </c>
      <c r="N281" s="1" t="n">
        <f aca="false">IF(OR($N$1="",对接源_01水果!$C281="",对接源_01水果!$C281&lt;&gt;$N$1,对接源_01水果!$B281=""),0,IF(OR(N(对接源_01水果!$B281)&lt;$N$2,N(对接源_01水果!$B281)&gt;$N$3),0,1))</f>
        <v>0</v>
      </c>
      <c r="P281" s="1" t="n">
        <f aca="false">IF(AND($K281=1,AND(对接源_01水果!$X281="公司筐",N(对接源_01水果!$T281)&lt;&gt;0)),1,0)</f>
        <v>0</v>
      </c>
      <c r="Q281" s="1" t="n">
        <f aca="false">N(Q280)+$P281</f>
        <v>1</v>
      </c>
      <c r="R281" s="1" t="n">
        <f aca="false">IF(AND($K281=1,AND(对接源_01水果!$X281="公司筐",N(对接源_01水果!$U281)&lt;&gt;0)),1,0)</f>
        <v>0</v>
      </c>
      <c r="S281" s="1" t="n">
        <f aca="false">N(S280)+$R281</f>
        <v>0</v>
      </c>
      <c r="T281" s="1" t="n">
        <f aca="false">IF(AND($K281=1,AND(对接源_01水果!$X281="公司筐",N(对接源_01水果!$V281)&lt;&gt;0)),1,0)</f>
        <v>0</v>
      </c>
      <c r="U281" s="1" t="n">
        <f aca="false">N(U280)+$T281</f>
        <v>28</v>
      </c>
      <c r="V281" s="1" t="n">
        <f aca="false">IF(AND($L281=1,AND(对接源_01水果!$X281="自备筐",N(对接源_01水果!$V281)&lt;&gt;0)),1,0)</f>
        <v>0</v>
      </c>
      <c r="W281" s="1" t="n">
        <f aca="false">N(W280)+$V281</f>
        <v>7</v>
      </c>
      <c r="X281" s="1" t="n">
        <f aca="false">IF(AND($L281=1,AND(对接源_01水果!$X281="自备筐",N(对接源_01水果!$T281)&lt;&gt;0)),1,0)</f>
        <v>0</v>
      </c>
      <c r="Y281" s="1" t="n">
        <f aca="false">N(Y280)+$X281</f>
        <v>0</v>
      </c>
      <c r="Z281" s="1" t="n">
        <f aca="false">IF(AND($M281=1,对接源_01水果!$D281="原料入库"),1,0)</f>
        <v>0</v>
      </c>
      <c r="AA281" s="1" t="n">
        <f aca="false">N(AA280)+$Z281</f>
        <v>30</v>
      </c>
      <c r="AB281" s="1" t="n">
        <f aca="false">IF(AND($M281=1,LEFT(对接源_01水果!$D281,4)="原料出库"),1,0)</f>
        <v>0</v>
      </c>
      <c r="AC281" s="1" t="n">
        <f aca="false">N(AC280)+$AB281</f>
        <v>19</v>
      </c>
      <c r="AD281" s="1" t="n">
        <f aca="false">IF(AND($M281=1,LEFT(对接源_01水果!$D281,4)="成品出库"),1,0)</f>
        <v>1</v>
      </c>
      <c r="AE281" s="1" t="n">
        <f aca="false">N(AE280)+$AD281</f>
        <v>9</v>
      </c>
      <c r="AF281" s="1" t="n">
        <f aca="false">IF(AND($N281=1,AND(LEFT(对接源_01水果!$D281,4)="包装物料",N(对接源_01水果!$K281)&lt;&gt;0)),1,0)</f>
        <v>0</v>
      </c>
      <c r="AG281" s="90" t="str">
        <f aca="false">IF(对接源_01水果!$AC281="","",对接源_01水果!$AC281)</f>
        <v>电商/主播</v>
      </c>
      <c r="AH281" s="1" t="n">
        <f aca="false">IF(AND($N281=1,AND(LEFT(对接源_01水果!$D281,3)="周转筐",N(对接源_01水果!$K281)&lt;&gt;0)),1,0)</f>
        <v>0</v>
      </c>
      <c r="AI281" s="90" t="n">
        <f aca="false">IF(AG281="",0,IF(MATCH(AG281,$AG$4:$AG$1203,0)=ROW()-3,1,0))</f>
        <v>0</v>
      </c>
      <c r="AJ281" s="90" t="n">
        <f aca="false">N(AJ280)+AI281</f>
        <v>1</v>
      </c>
      <c r="AK281" s="1" t="n">
        <f aca="false">N(AK280)+$AJ281</f>
        <v>10</v>
      </c>
    </row>
    <row r="282" customFormat="false" ht="13.5" hidden="false" customHeight="false" outlineLevel="0" collapsed="false">
      <c r="A282" s="1" t="str">
        <f aca="false">IF(对接源_01水果!$C282="","",对接源_01水果!$C282)</f>
        <v>王照雪</v>
      </c>
      <c r="B282" s="1" t="n">
        <f aca="false">IF(A282="",0,IF(MATCH(A282,$A$4:$A$2403,0)=ROW()-3,1,0))</f>
        <v>0</v>
      </c>
      <c r="C282" s="1" t="n">
        <f aca="false">N(C281)+B282</f>
        <v>13</v>
      </c>
      <c r="E282" s="1" t="str">
        <f aca="false">IFERROR(INDEX($A$4:$A$2403,MATCH(ROW()-3,$C$4:$C$2403,0)),"")</f>
        <v/>
      </c>
      <c r="K282" s="1" t="n">
        <f aca="false">IF(OR($K$1="",对接源_01水果!$C282="",对接源_01水果!$C282&lt;&gt;$K$1,对接源_01水果!$B282=""),0,IF(OR(N(对接源_01水果!$B282)&lt;$K$2,N(对接源_01水果!$B282)&gt;$K$3),0,1))</f>
        <v>1</v>
      </c>
      <c r="L282" s="1" t="n">
        <f aca="false">IF(OR($L$1="",对接源_01水果!$C282="",对接源_01水果!$C282&lt;&gt;$L$1,对接源_01水果!$B282=""),0,IF(OR(N(对接源_01水果!$B282)&lt;$L$2,N(对接源_01水果!$B282)&gt;$L$3),0,1))</f>
        <v>0</v>
      </c>
      <c r="M282" s="1" t="n">
        <f aca="false">IF(OR($M$1="",对接源_01水果!$C282="",对接源_01水果!$C282&lt;&gt;$M$1,对接源_01水果!$B282=""),0,IF(OR(N(对接源_01水果!$B282)&lt;$M$2,N(对接源_01水果!$B282)&gt;$M$3),0,1))</f>
        <v>1</v>
      </c>
      <c r="N282" s="1" t="n">
        <f aca="false">IF(OR($N$1="",对接源_01水果!$C282="",对接源_01水果!$C282&lt;&gt;$N$1,对接源_01水果!$B282=""),0,IF(OR(N(对接源_01水果!$B282)&lt;$N$2,N(对接源_01水果!$B282)&gt;$N$3),0,1))</f>
        <v>0</v>
      </c>
      <c r="P282" s="1" t="n">
        <f aca="false">IF(AND($K282=1,AND(对接源_01水果!$X282="公司筐",N(对接源_01水果!$T282)&lt;&gt;0)),1,0)</f>
        <v>0</v>
      </c>
      <c r="Q282" s="1" t="n">
        <f aca="false">N(Q281)+$P282</f>
        <v>1</v>
      </c>
      <c r="R282" s="1" t="n">
        <f aca="false">IF(AND($K282=1,AND(对接源_01水果!$X282="公司筐",N(对接源_01水果!$U282)&lt;&gt;0)),1,0)</f>
        <v>0</v>
      </c>
      <c r="S282" s="1" t="n">
        <f aca="false">N(S281)+$R282</f>
        <v>0</v>
      </c>
      <c r="T282" s="1" t="n">
        <f aca="false">IF(AND($K282=1,AND(对接源_01水果!$X282="公司筐",N(对接源_01水果!$V282)&lt;&gt;0)),1,0)</f>
        <v>0</v>
      </c>
      <c r="U282" s="1" t="n">
        <f aca="false">N(U281)+$T282</f>
        <v>28</v>
      </c>
      <c r="V282" s="1" t="n">
        <f aca="false">IF(AND($L282=1,AND(对接源_01水果!$X282="自备筐",N(对接源_01水果!$V282)&lt;&gt;0)),1,0)</f>
        <v>0</v>
      </c>
      <c r="W282" s="1" t="n">
        <f aca="false">N(W281)+$V282</f>
        <v>7</v>
      </c>
      <c r="X282" s="1" t="n">
        <f aca="false">IF(AND($L282=1,AND(对接源_01水果!$X282="自备筐",N(对接源_01水果!$T282)&lt;&gt;0)),1,0)</f>
        <v>0</v>
      </c>
      <c r="Y282" s="1" t="n">
        <f aca="false">N(Y281)+$X282</f>
        <v>0</v>
      </c>
      <c r="Z282" s="1" t="n">
        <f aca="false">IF(AND($M282=1,对接源_01水果!$D282="原料入库"),1,0)</f>
        <v>0</v>
      </c>
      <c r="AA282" s="1" t="n">
        <f aca="false">N(AA281)+$Z282</f>
        <v>30</v>
      </c>
      <c r="AB282" s="1" t="n">
        <f aca="false">IF(AND($M282=1,LEFT(对接源_01水果!$D282,4)="原料出库"),1,0)</f>
        <v>0</v>
      </c>
      <c r="AC282" s="1" t="n">
        <f aca="false">N(AC281)+$AB282</f>
        <v>19</v>
      </c>
      <c r="AD282" s="1" t="n">
        <f aca="false">IF(AND($M282=1,LEFT(对接源_01水果!$D282,4)="成品出库"),1,0)</f>
        <v>1</v>
      </c>
      <c r="AE282" s="1" t="n">
        <f aca="false">N(AE281)+$AD282</f>
        <v>10</v>
      </c>
      <c r="AF282" s="1" t="n">
        <f aca="false">IF(AND($N282=1,AND(LEFT(对接源_01水果!$D282,4)="包装物料",N(对接源_01水果!$K282)&lt;&gt;0)),1,0)</f>
        <v>0</v>
      </c>
      <c r="AG282" s="90" t="str">
        <f aca="false">IF(对接源_01水果!$AC282="","",对接源_01水果!$AC282)</f>
        <v>电商/主播</v>
      </c>
      <c r="AH282" s="1" t="n">
        <f aca="false">IF(AND($N282=1,AND(LEFT(对接源_01水果!$D282,3)="周转筐",N(对接源_01水果!$K282)&lt;&gt;0)),1,0)</f>
        <v>0</v>
      </c>
      <c r="AI282" s="90" t="n">
        <f aca="false">IF(AG282="",0,IF(MATCH(AG282,$AG$4:$AG$1203,0)=ROW()-3,1,0))</f>
        <v>0</v>
      </c>
      <c r="AJ282" s="90" t="n">
        <f aca="false">N(AJ281)+AI282</f>
        <v>1</v>
      </c>
      <c r="AK282" s="1" t="n">
        <f aca="false">N(AK281)+$AJ282</f>
        <v>11</v>
      </c>
    </row>
    <row r="283" customFormat="false" ht="13.5" hidden="false" customHeight="false" outlineLevel="0" collapsed="false">
      <c r="A283" s="1" t="str">
        <f aca="false">IF(对接源_01水果!$C283="","",对接源_01水果!$C283)</f>
        <v>王照雪</v>
      </c>
      <c r="B283" s="1" t="n">
        <f aca="false">IF(A283="",0,IF(MATCH(A283,$A$4:$A$2403,0)=ROW()-3,1,0))</f>
        <v>0</v>
      </c>
      <c r="C283" s="1" t="n">
        <f aca="false">N(C282)+B283</f>
        <v>13</v>
      </c>
      <c r="E283" s="1" t="str">
        <f aca="false">IFERROR(INDEX($A$4:$A$2403,MATCH(ROW()-3,$C$4:$C$2403,0)),"")</f>
        <v/>
      </c>
      <c r="K283" s="1" t="n">
        <f aca="false">IF(OR($K$1="",对接源_01水果!$C283="",对接源_01水果!$C283&lt;&gt;$K$1,对接源_01水果!$B283=""),0,IF(OR(N(对接源_01水果!$B283)&lt;$K$2,N(对接源_01水果!$B283)&gt;$K$3),0,1))</f>
        <v>1</v>
      </c>
      <c r="L283" s="1" t="n">
        <f aca="false">IF(OR($L$1="",对接源_01水果!$C283="",对接源_01水果!$C283&lt;&gt;$L$1,对接源_01水果!$B283=""),0,IF(OR(N(对接源_01水果!$B283)&lt;$L$2,N(对接源_01水果!$B283)&gt;$L$3),0,1))</f>
        <v>0</v>
      </c>
      <c r="M283" s="1" t="n">
        <f aca="false">IF(OR($M$1="",对接源_01水果!$C283="",对接源_01水果!$C283&lt;&gt;$M$1,对接源_01水果!$B283=""),0,IF(OR(N(对接源_01水果!$B283)&lt;$M$2,N(对接源_01水果!$B283)&gt;$M$3),0,1))</f>
        <v>1</v>
      </c>
      <c r="N283" s="1" t="n">
        <f aca="false">IF(OR($N$1="",对接源_01水果!$C283="",对接源_01水果!$C283&lt;&gt;$N$1,对接源_01水果!$B283=""),0,IF(OR(N(对接源_01水果!$B283)&lt;$N$2,N(对接源_01水果!$B283)&gt;$N$3),0,1))</f>
        <v>0</v>
      </c>
      <c r="P283" s="1" t="n">
        <f aca="false">IF(AND($K283=1,AND(对接源_01水果!$X283="公司筐",N(对接源_01水果!$T283)&lt;&gt;0)),1,0)</f>
        <v>0</v>
      </c>
      <c r="Q283" s="1" t="n">
        <f aca="false">N(Q282)+$P283</f>
        <v>1</v>
      </c>
      <c r="R283" s="1" t="n">
        <f aca="false">IF(AND($K283=1,AND(对接源_01水果!$X283="公司筐",N(对接源_01水果!$U283)&lt;&gt;0)),1,0)</f>
        <v>0</v>
      </c>
      <c r="S283" s="1" t="n">
        <f aca="false">N(S282)+$R283</f>
        <v>0</v>
      </c>
      <c r="T283" s="1" t="n">
        <f aca="false">IF(AND($K283=1,AND(对接源_01水果!$X283="公司筐",N(对接源_01水果!$V283)&lt;&gt;0)),1,0)</f>
        <v>0</v>
      </c>
      <c r="U283" s="1" t="n">
        <f aca="false">N(U282)+$T283</f>
        <v>28</v>
      </c>
      <c r="V283" s="1" t="n">
        <f aca="false">IF(AND($L283=1,AND(对接源_01水果!$X283="自备筐",N(对接源_01水果!$V283)&lt;&gt;0)),1,0)</f>
        <v>0</v>
      </c>
      <c r="W283" s="1" t="n">
        <f aca="false">N(W282)+$V283</f>
        <v>7</v>
      </c>
      <c r="X283" s="1" t="n">
        <f aca="false">IF(AND($L283=1,AND(对接源_01水果!$X283="自备筐",N(对接源_01水果!$T283)&lt;&gt;0)),1,0)</f>
        <v>0</v>
      </c>
      <c r="Y283" s="1" t="n">
        <f aca="false">N(Y282)+$X283</f>
        <v>0</v>
      </c>
      <c r="Z283" s="1" t="n">
        <f aca="false">IF(AND($M283=1,对接源_01水果!$D283="原料入库"),1,0)</f>
        <v>0</v>
      </c>
      <c r="AA283" s="1" t="n">
        <f aca="false">N(AA282)+$Z283</f>
        <v>30</v>
      </c>
      <c r="AB283" s="1" t="n">
        <f aca="false">IF(AND($M283=1,LEFT(对接源_01水果!$D283,4)="原料出库"),1,0)</f>
        <v>0</v>
      </c>
      <c r="AC283" s="1" t="n">
        <f aca="false">N(AC282)+$AB283</f>
        <v>19</v>
      </c>
      <c r="AD283" s="1" t="n">
        <f aca="false">IF(AND($M283=1,LEFT(对接源_01水果!$D283,4)="成品出库"),1,0)</f>
        <v>1</v>
      </c>
      <c r="AE283" s="1" t="n">
        <f aca="false">N(AE282)+$AD283</f>
        <v>11</v>
      </c>
      <c r="AF283" s="1" t="n">
        <f aca="false">IF(AND($N283=1,AND(LEFT(对接源_01水果!$D283,4)="包装物料",N(对接源_01水果!$K283)&lt;&gt;0)),1,0)</f>
        <v>0</v>
      </c>
      <c r="AG283" s="90" t="str">
        <f aca="false">IF(对接源_01水果!$AC283="","",对接源_01水果!$AC283)</f>
        <v>电商/主播</v>
      </c>
      <c r="AH283" s="1" t="n">
        <f aca="false">IF(AND($N283=1,AND(LEFT(对接源_01水果!$D283,3)="周转筐",N(对接源_01水果!$K283)&lt;&gt;0)),1,0)</f>
        <v>0</v>
      </c>
      <c r="AI283" s="90" t="n">
        <f aca="false">IF(AG283="",0,IF(MATCH(AG283,$AG$4:$AG$1203,0)=ROW()-3,1,0))</f>
        <v>0</v>
      </c>
      <c r="AJ283" s="90" t="n">
        <f aca="false">N(AJ282)+AI283</f>
        <v>1</v>
      </c>
      <c r="AK283" s="1" t="n">
        <f aca="false">N(AK282)+$AJ283</f>
        <v>12</v>
      </c>
    </row>
    <row r="284" customFormat="false" ht="13.5" hidden="false" customHeight="false" outlineLevel="0" collapsed="false">
      <c r="A284" s="1" t="str">
        <f aca="false">IF(对接源_01水果!$C284="","",对接源_01水果!$C284)</f>
        <v>王照雪</v>
      </c>
      <c r="B284" s="1" t="n">
        <f aca="false">IF(A284="",0,IF(MATCH(A284,$A$4:$A$2403,0)=ROW()-3,1,0))</f>
        <v>0</v>
      </c>
      <c r="C284" s="1" t="n">
        <f aca="false">N(C283)+B284</f>
        <v>13</v>
      </c>
      <c r="E284" s="1" t="str">
        <f aca="false">IFERROR(INDEX($A$4:$A$2403,MATCH(ROW()-3,$C$4:$C$2403,0)),"")</f>
        <v/>
      </c>
      <c r="K284" s="1" t="n">
        <f aca="false">IF(OR($K$1="",对接源_01水果!$C284="",对接源_01水果!$C284&lt;&gt;$K$1,对接源_01水果!$B284=""),0,IF(OR(N(对接源_01水果!$B284)&lt;$K$2,N(对接源_01水果!$B284)&gt;$K$3),0,1))</f>
        <v>1</v>
      </c>
      <c r="L284" s="1" t="n">
        <f aca="false">IF(OR($L$1="",对接源_01水果!$C284="",对接源_01水果!$C284&lt;&gt;$L$1,对接源_01水果!$B284=""),0,IF(OR(N(对接源_01水果!$B284)&lt;$L$2,N(对接源_01水果!$B284)&gt;$L$3),0,1))</f>
        <v>0</v>
      </c>
      <c r="M284" s="1" t="n">
        <f aca="false">IF(OR($M$1="",对接源_01水果!$C284="",对接源_01水果!$C284&lt;&gt;$M$1,对接源_01水果!$B284=""),0,IF(OR(N(对接源_01水果!$B284)&lt;$M$2,N(对接源_01水果!$B284)&gt;$M$3),0,1))</f>
        <v>1</v>
      </c>
      <c r="N284" s="1" t="n">
        <f aca="false">IF(OR($N$1="",对接源_01水果!$C284="",对接源_01水果!$C284&lt;&gt;$N$1,对接源_01水果!$B284=""),0,IF(OR(N(对接源_01水果!$B284)&lt;$N$2,N(对接源_01水果!$B284)&gt;$N$3),0,1))</f>
        <v>0</v>
      </c>
      <c r="P284" s="1" t="n">
        <f aca="false">IF(AND($K284=1,AND(对接源_01水果!$X284="公司筐",N(对接源_01水果!$T284)&lt;&gt;0)),1,0)</f>
        <v>0</v>
      </c>
      <c r="Q284" s="1" t="n">
        <f aca="false">N(Q283)+$P284</f>
        <v>1</v>
      </c>
      <c r="R284" s="1" t="n">
        <f aca="false">IF(AND($K284=1,AND(对接源_01水果!$X284="公司筐",N(对接源_01水果!$U284)&lt;&gt;0)),1,0)</f>
        <v>0</v>
      </c>
      <c r="S284" s="1" t="n">
        <f aca="false">N(S283)+$R284</f>
        <v>0</v>
      </c>
      <c r="T284" s="1" t="n">
        <f aca="false">IF(AND($K284=1,AND(对接源_01水果!$X284="公司筐",N(对接源_01水果!$V284)&lt;&gt;0)),1,0)</f>
        <v>0</v>
      </c>
      <c r="U284" s="1" t="n">
        <f aca="false">N(U283)+$T284</f>
        <v>28</v>
      </c>
      <c r="V284" s="1" t="n">
        <f aca="false">IF(AND($L284=1,AND(对接源_01水果!$X284="自备筐",N(对接源_01水果!$V284)&lt;&gt;0)),1,0)</f>
        <v>0</v>
      </c>
      <c r="W284" s="1" t="n">
        <f aca="false">N(W283)+$V284</f>
        <v>7</v>
      </c>
      <c r="X284" s="1" t="n">
        <f aca="false">IF(AND($L284=1,AND(对接源_01水果!$X284="自备筐",N(对接源_01水果!$T284)&lt;&gt;0)),1,0)</f>
        <v>0</v>
      </c>
      <c r="Y284" s="1" t="n">
        <f aca="false">N(Y283)+$X284</f>
        <v>0</v>
      </c>
      <c r="Z284" s="1" t="n">
        <f aca="false">IF(AND($M284=1,对接源_01水果!$D284="原料入库"),1,0)</f>
        <v>0</v>
      </c>
      <c r="AA284" s="1" t="n">
        <f aca="false">N(AA283)+$Z284</f>
        <v>30</v>
      </c>
      <c r="AB284" s="1" t="n">
        <f aca="false">IF(AND($M284=1,LEFT(对接源_01水果!$D284,4)="原料出库"),1,0)</f>
        <v>0</v>
      </c>
      <c r="AC284" s="1" t="n">
        <f aca="false">N(AC283)+$AB284</f>
        <v>19</v>
      </c>
      <c r="AD284" s="1" t="n">
        <f aca="false">IF(AND($M284=1,LEFT(对接源_01水果!$D284,4)="成品出库"),1,0)</f>
        <v>1</v>
      </c>
      <c r="AE284" s="1" t="n">
        <f aca="false">N(AE283)+$AD284</f>
        <v>12</v>
      </c>
      <c r="AF284" s="1" t="n">
        <f aca="false">IF(AND($N284=1,AND(LEFT(对接源_01水果!$D284,4)="包装物料",N(对接源_01水果!$K284)&lt;&gt;0)),1,0)</f>
        <v>0</v>
      </c>
      <c r="AG284" s="90" t="str">
        <f aca="false">IF(对接源_01水果!$AC284="","",对接源_01水果!$AC284)</f>
        <v>电商/主播</v>
      </c>
      <c r="AH284" s="1" t="n">
        <f aca="false">IF(AND($N284=1,AND(LEFT(对接源_01水果!$D284,3)="周转筐",N(对接源_01水果!$K284)&lt;&gt;0)),1,0)</f>
        <v>0</v>
      </c>
      <c r="AI284" s="90" t="n">
        <f aca="false">IF(AG284="",0,IF(MATCH(AG284,$AG$4:$AG$1203,0)=ROW()-3,1,0))</f>
        <v>0</v>
      </c>
      <c r="AJ284" s="90" t="n">
        <f aca="false">N(AJ283)+AI284</f>
        <v>1</v>
      </c>
      <c r="AK284" s="1" t="n">
        <f aca="false">N(AK283)+$AJ284</f>
        <v>13</v>
      </c>
    </row>
    <row r="285" customFormat="false" ht="13.5" hidden="false" customHeight="false" outlineLevel="0" collapsed="false">
      <c r="A285" s="1" t="str">
        <f aca="false">IF(对接源_01水果!$C285="","",对接源_01水果!$C285)</f>
        <v>王照雪</v>
      </c>
      <c r="B285" s="1" t="n">
        <f aca="false">IF(A285="",0,IF(MATCH(A285,$A$4:$A$2403,0)=ROW()-3,1,0))</f>
        <v>0</v>
      </c>
      <c r="C285" s="1" t="n">
        <f aca="false">N(C284)+B285</f>
        <v>13</v>
      </c>
      <c r="E285" s="1" t="str">
        <f aca="false">IFERROR(INDEX($A$4:$A$2403,MATCH(ROW()-3,$C$4:$C$2403,0)),"")</f>
        <v/>
      </c>
      <c r="K285" s="1" t="n">
        <f aca="false">IF(OR($K$1="",对接源_01水果!$C285="",对接源_01水果!$C285&lt;&gt;$K$1,对接源_01水果!$B285=""),0,IF(OR(N(对接源_01水果!$B285)&lt;$K$2,N(对接源_01水果!$B285)&gt;$K$3),0,1))</f>
        <v>1</v>
      </c>
      <c r="L285" s="1" t="n">
        <f aca="false">IF(OR($L$1="",对接源_01水果!$C285="",对接源_01水果!$C285&lt;&gt;$L$1,对接源_01水果!$B285=""),0,IF(OR(N(对接源_01水果!$B285)&lt;$L$2,N(对接源_01水果!$B285)&gt;$L$3),0,1))</f>
        <v>0</v>
      </c>
      <c r="M285" s="1" t="n">
        <f aca="false">IF(OR($M$1="",对接源_01水果!$C285="",对接源_01水果!$C285&lt;&gt;$M$1,对接源_01水果!$B285=""),0,IF(OR(N(对接源_01水果!$B285)&lt;$M$2,N(对接源_01水果!$B285)&gt;$M$3),0,1))</f>
        <v>1</v>
      </c>
      <c r="N285" s="1" t="n">
        <f aca="false">IF(OR($N$1="",对接源_01水果!$C285="",对接源_01水果!$C285&lt;&gt;$N$1,对接源_01水果!$B285=""),0,IF(OR(N(对接源_01水果!$B285)&lt;$N$2,N(对接源_01水果!$B285)&gt;$N$3),0,1))</f>
        <v>0</v>
      </c>
      <c r="P285" s="1" t="n">
        <f aca="false">IF(AND($K285=1,AND(对接源_01水果!$X285="公司筐",N(对接源_01水果!$T285)&lt;&gt;0)),1,0)</f>
        <v>0</v>
      </c>
      <c r="Q285" s="1" t="n">
        <f aca="false">N(Q284)+$P285</f>
        <v>1</v>
      </c>
      <c r="R285" s="1" t="n">
        <f aca="false">IF(AND($K285=1,AND(对接源_01水果!$X285="公司筐",N(对接源_01水果!$U285)&lt;&gt;0)),1,0)</f>
        <v>0</v>
      </c>
      <c r="S285" s="1" t="n">
        <f aca="false">N(S284)+$R285</f>
        <v>0</v>
      </c>
      <c r="T285" s="1" t="n">
        <f aca="false">IF(AND($K285=1,AND(对接源_01水果!$X285="公司筐",N(对接源_01水果!$V285)&lt;&gt;0)),1,0)</f>
        <v>0</v>
      </c>
      <c r="U285" s="1" t="n">
        <f aca="false">N(U284)+$T285</f>
        <v>28</v>
      </c>
      <c r="V285" s="1" t="n">
        <f aca="false">IF(AND($L285=1,AND(对接源_01水果!$X285="自备筐",N(对接源_01水果!$V285)&lt;&gt;0)),1,0)</f>
        <v>0</v>
      </c>
      <c r="W285" s="1" t="n">
        <f aca="false">N(W284)+$V285</f>
        <v>7</v>
      </c>
      <c r="X285" s="1" t="n">
        <f aca="false">IF(AND($L285=1,AND(对接源_01水果!$X285="自备筐",N(对接源_01水果!$T285)&lt;&gt;0)),1,0)</f>
        <v>0</v>
      </c>
      <c r="Y285" s="1" t="n">
        <f aca="false">N(Y284)+$X285</f>
        <v>0</v>
      </c>
      <c r="Z285" s="1" t="n">
        <f aca="false">IF(AND($M285=1,对接源_01水果!$D285="原料入库"),1,0)</f>
        <v>0</v>
      </c>
      <c r="AA285" s="1" t="n">
        <f aca="false">N(AA284)+$Z285</f>
        <v>30</v>
      </c>
      <c r="AB285" s="1" t="n">
        <f aca="false">IF(AND($M285=1,LEFT(对接源_01水果!$D285,4)="原料出库"),1,0)</f>
        <v>0</v>
      </c>
      <c r="AC285" s="1" t="n">
        <f aca="false">N(AC284)+$AB285</f>
        <v>19</v>
      </c>
      <c r="AD285" s="1" t="n">
        <f aca="false">IF(AND($M285=1,LEFT(对接源_01水果!$D285,4)="成品出库"),1,0)</f>
        <v>1</v>
      </c>
      <c r="AE285" s="1" t="n">
        <f aca="false">N(AE284)+$AD285</f>
        <v>13</v>
      </c>
      <c r="AF285" s="1" t="n">
        <f aca="false">IF(AND($N285=1,AND(LEFT(对接源_01水果!$D285,4)="包装物料",N(对接源_01水果!$K285)&lt;&gt;0)),1,0)</f>
        <v>0</v>
      </c>
      <c r="AG285" s="90" t="str">
        <f aca="false">IF(对接源_01水果!$AC285="","",对接源_01水果!$AC285)</f>
        <v>王照雪</v>
      </c>
      <c r="AH285" s="1" t="n">
        <f aca="false">IF(AND($N285=1,AND(LEFT(对接源_01水果!$D285,3)="周转筐",N(对接源_01水果!$K285)&lt;&gt;0)),1,0)</f>
        <v>0</v>
      </c>
      <c r="AI285" s="90" t="n">
        <f aca="false">IF(AG285="",0,IF(MATCH(AG285,$AG$4:$AG$1203,0)=ROW()-3,1,0))</f>
        <v>1</v>
      </c>
      <c r="AJ285" s="90" t="n">
        <f aca="false">N(AJ284)+AI285</f>
        <v>2</v>
      </c>
      <c r="AK285" s="1" t="n">
        <f aca="false">N(AK284)+$AJ285</f>
        <v>15</v>
      </c>
    </row>
    <row r="286" customFormat="false" ht="13.5" hidden="false" customHeight="false" outlineLevel="0" collapsed="false">
      <c r="A286" s="1" t="str">
        <f aca="false">IF(对接源_01水果!$C286="","",对接源_01水果!$C286)</f>
        <v>王照雪</v>
      </c>
      <c r="B286" s="1" t="n">
        <f aca="false">IF(A286="",0,IF(MATCH(A286,$A$4:$A$2403,0)=ROW()-3,1,0))</f>
        <v>0</v>
      </c>
      <c r="C286" s="1" t="n">
        <f aca="false">N(C285)+B286</f>
        <v>13</v>
      </c>
      <c r="E286" s="1" t="str">
        <f aca="false">IFERROR(INDEX($A$4:$A$2403,MATCH(ROW()-3,$C$4:$C$2403,0)),"")</f>
        <v/>
      </c>
      <c r="K286" s="1" t="n">
        <f aca="false">IF(OR($K$1="",对接源_01水果!$C286="",对接源_01水果!$C286&lt;&gt;$K$1,对接源_01水果!$B286=""),0,IF(OR(N(对接源_01水果!$B286)&lt;$K$2,N(对接源_01水果!$B286)&gt;$K$3),0,1))</f>
        <v>1</v>
      </c>
      <c r="L286" s="1" t="n">
        <f aca="false">IF(OR($L$1="",对接源_01水果!$C286="",对接源_01水果!$C286&lt;&gt;$L$1,对接源_01水果!$B286=""),0,IF(OR(N(对接源_01水果!$B286)&lt;$L$2,N(对接源_01水果!$B286)&gt;$L$3),0,1))</f>
        <v>0</v>
      </c>
      <c r="M286" s="1" t="n">
        <f aca="false">IF(OR($M$1="",对接源_01水果!$C286="",对接源_01水果!$C286&lt;&gt;$M$1,对接源_01水果!$B286=""),0,IF(OR(N(对接源_01水果!$B286)&lt;$M$2,N(对接源_01水果!$B286)&gt;$M$3),0,1))</f>
        <v>1</v>
      </c>
      <c r="N286" s="1" t="n">
        <f aca="false">IF(OR($N$1="",对接源_01水果!$C286="",对接源_01水果!$C286&lt;&gt;$N$1,对接源_01水果!$B286=""),0,IF(OR(N(对接源_01水果!$B286)&lt;$N$2,N(对接源_01水果!$B286)&gt;$N$3),0,1))</f>
        <v>0</v>
      </c>
      <c r="P286" s="1" t="n">
        <f aca="false">IF(AND($K286=1,AND(对接源_01水果!$X286="公司筐",N(对接源_01水果!$T286)&lt;&gt;0)),1,0)</f>
        <v>1</v>
      </c>
      <c r="Q286" s="1" t="n">
        <f aca="false">N(Q285)+$P286</f>
        <v>2</v>
      </c>
      <c r="R286" s="1" t="n">
        <f aca="false">IF(AND($K286=1,AND(对接源_01水果!$X286="公司筐",N(对接源_01水果!$U286)&lt;&gt;0)),1,0)</f>
        <v>0</v>
      </c>
      <c r="S286" s="1" t="n">
        <f aca="false">N(S285)+$R286</f>
        <v>0</v>
      </c>
      <c r="T286" s="1" t="n">
        <f aca="false">IF(AND($K286=1,AND(对接源_01水果!$X286="公司筐",N(对接源_01水果!$V286)&lt;&gt;0)),1,0)</f>
        <v>0</v>
      </c>
      <c r="U286" s="1" t="n">
        <f aca="false">N(U285)+$T286</f>
        <v>28</v>
      </c>
      <c r="V286" s="1" t="n">
        <f aca="false">IF(AND($L286=1,AND(对接源_01水果!$X286="自备筐",N(对接源_01水果!$V286)&lt;&gt;0)),1,0)</f>
        <v>0</v>
      </c>
      <c r="W286" s="1" t="n">
        <f aca="false">N(W285)+$V286</f>
        <v>7</v>
      </c>
      <c r="X286" s="1" t="n">
        <f aca="false">IF(AND($L286=1,AND(对接源_01水果!$X286="自备筐",N(对接源_01水果!$T286)&lt;&gt;0)),1,0)</f>
        <v>0</v>
      </c>
      <c r="Y286" s="1" t="n">
        <f aca="false">N(Y285)+$X286</f>
        <v>0</v>
      </c>
      <c r="Z286" s="1" t="n">
        <f aca="false">IF(AND($M286=1,对接源_01水果!$D286="原料入库"),1,0)</f>
        <v>0</v>
      </c>
      <c r="AA286" s="1" t="n">
        <f aca="false">N(AA285)+$Z286</f>
        <v>30</v>
      </c>
      <c r="AB286" s="1" t="n">
        <f aca="false">IF(AND($M286=1,LEFT(对接源_01水果!$D286,4)="原料出库"),1,0)</f>
        <v>0</v>
      </c>
      <c r="AC286" s="1" t="n">
        <f aca="false">N(AC285)+$AB286</f>
        <v>19</v>
      </c>
      <c r="AD286" s="1" t="n">
        <f aca="false">IF(AND($M286=1,LEFT(对接源_01水果!$D286,4)="成品出库"),1,0)</f>
        <v>1</v>
      </c>
      <c r="AE286" s="1" t="n">
        <f aca="false">N(AE285)+$AD286</f>
        <v>14</v>
      </c>
      <c r="AF286" s="1" t="n">
        <f aca="false">IF(AND($N286=1,AND(LEFT(对接源_01水果!$D286,4)="包装物料",N(对接源_01水果!$K286)&lt;&gt;0)),1,0)</f>
        <v>0</v>
      </c>
      <c r="AG286" s="90" t="str">
        <f aca="false">IF(对接源_01水果!$AC286="","",对接源_01水果!$AC286)</f>
        <v>电商/主播</v>
      </c>
      <c r="AH286" s="1" t="n">
        <f aca="false">IF(AND($N286=1,AND(LEFT(对接源_01水果!$D286,3)="周转筐",N(对接源_01水果!$K286)&lt;&gt;0)),1,0)</f>
        <v>0</v>
      </c>
      <c r="AI286" s="90" t="n">
        <f aca="false">IF(AG286="",0,IF(MATCH(AG286,$AG$4:$AG$1203,0)=ROW()-3,1,0))</f>
        <v>0</v>
      </c>
      <c r="AJ286" s="90" t="n">
        <f aca="false">N(AJ285)+AI286</f>
        <v>2</v>
      </c>
      <c r="AK286" s="1" t="n">
        <f aca="false">N(AK285)+$AJ286</f>
        <v>17</v>
      </c>
    </row>
    <row r="287" customFormat="false" ht="13.5" hidden="false" customHeight="false" outlineLevel="0" collapsed="false">
      <c r="A287" s="1" t="str">
        <f aca="false">IF(对接源_01水果!$C287="","",对接源_01水果!$C287)</f>
        <v>王照雪</v>
      </c>
      <c r="B287" s="1" t="n">
        <f aca="false">IF(A287="",0,IF(MATCH(A287,$A$4:$A$2403,0)=ROW()-3,1,0))</f>
        <v>0</v>
      </c>
      <c r="C287" s="1" t="n">
        <f aca="false">N(C286)+B287</f>
        <v>13</v>
      </c>
      <c r="E287" s="1" t="str">
        <f aca="false">IFERROR(INDEX($A$4:$A$2403,MATCH(ROW()-3,$C$4:$C$2403,0)),"")</f>
        <v/>
      </c>
      <c r="K287" s="1" t="n">
        <f aca="false">IF(OR($K$1="",对接源_01水果!$C287="",对接源_01水果!$C287&lt;&gt;$K$1,对接源_01水果!$B287=""),0,IF(OR(N(对接源_01水果!$B287)&lt;$K$2,N(对接源_01水果!$B287)&gt;$K$3),0,1))</f>
        <v>1</v>
      </c>
      <c r="L287" s="1" t="n">
        <f aca="false">IF(OR($L$1="",对接源_01水果!$C287="",对接源_01水果!$C287&lt;&gt;$L$1,对接源_01水果!$B287=""),0,IF(OR(N(对接源_01水果!$B287)&lt;$L$2,N(对接源_01水果!$B287)&gt;$L$3),0,1))</f>
        <v>0</v>
      </c>
      <c r="M287" s="1" t="n">
        <f aca="false">IF(OR($M$1="",对接源_01水果!$C287="",对接源_01水果!$C287&lt;&gt;$M$1,对接源_01水果!$B287=""),0,IF(OR(N(对接源_01水果!$B287)&lt;$M$2,N(对接源_01水果!$B287)&gt;$M$3),0,1))</f>
        <v>1</v>
      </c>
      <c r="N287" s="1" t="n">
        <f aca="false">IF(OR($N$1="",对接源_01水果!$C287="",对接源_01水果!$C287&lt;&gt;$N$1,对接源_01水果!$B287=""),0,IF(OR(N(对接源_01水果!$B287)&lt;$N$2,N(对接源_01水果!$B287)&gt;$N$3),0,1))</f>
        <v>0</v>
      </c>
      <c r="P287" s="1" t="n">
        <f aca="false">IF(AND($K287=1,AND(对接源_01水果!$X287="公司筐",N(对接源_01水果!$T287)&lt;&gt;0)),1,0)</f>
        <v>0</v>
      </c>
      <c r="Q287" s="1" t="n">
        <f aca="false">N(Q286)+$P287</f>
        <v>2</v>
      </c>
      <c r="R287" s="1" t="n">
        <f aca="false">IF(AND($K287=1,AND(对接源_01水果!$X287="公司筐",N(对接源_01水果!$U287)&lt;&gt;0)),1,0)</f>
        <v>0</v>
      </c>
      <c r="S287" s="1" t="n">
        <f aca="false">N(S286)+$R287</f>
        <v>0</v>
      </c>
      <c r="T287" s="1" t="n">
        <f aca="false">IF(AND($K287=1,AND(对接源_01水果!$X287="公司筐",N(对接源_01水果!$V287)&lt;&gt;0)),1,0)</f>
        <v>0</v>
      </c>
      <c r="U287" s="1" t="n">
        <f aca="false">N(U286)+$T287</f>
        <v>28</v>
      </c>
      <c r="V287" s="1" t="n">
        <f aca="false">IF(AND($L287=1,AND(对接源_01水果!$X287="自备筐",N(对接源_01水果!$V287)&lt;&gt;0)),1,0)</f>
        <v>0</v>
      </c>
      <c r="W287" s="1" t="n">
        <f aca="false">N(W286)+$V287</f>
        <v>7</v>
      </c>
      <c r="X287" s="1" t="n">
        <f aca="false">IF(AND($L287=1,AND(对接源_01水果!$X287="自备筐",N(对接源_01水果!$T287)&lt;&gt;0)),1,0)</f>
        <v>0</v>
      </c>
      <c r="Y287" s="1" t="n">
        <f aca="false">N(Y286)+$X287</f>
        <v>0</v>
      </c>
      <c r="Z287" s="1" t="n">
        <f aca="false">IF(AND($M287=1,对接源_01水果!$D287="原料入库"),1,0)</f>
        <v>0</v>
      </c>
      <c r="AA287" s="1" t="n">
        <f aca="false">N(AA286)+$Z287</f>
        <v>30</v>
      </c>
      <c r="AB287" s="1" t="n">
        <f aca="false">IF(AND($M287=1,LEFT(对接源_01水果!$D287,4)="原料出库"),1,0)</f>
        <v>0</v>
      </c>
      <c r="AC287" s="1" t="n">
        <f aca="false">N(AC286)+$AB287</f>
        <v>19</v>
      </c>
      <c r="AD287" s="1" t="n">
        <f aca="false">IF(AND($M287=1,LEFT(对接源_01水果!$D287,4)="成品出库"),1,0)</f>
        <v>1</v>
      </c>
      <c r="AE287" s="1" t="n">
        <f aca="false">N(AE286)+$AD287</f>
        <v>15</v>
      </c>
      <c r="AF287" s="1" t="n">
        <f aca="false">IF(AND($N287=1,AND(LEFT(对接源_01水果!$D287,4)="包装物料",N(对接源_01水果!$K287)&lt;&gt;0)),1,0)</f>
        <v>0</v>
      </c>
      <c r="AG287" s="90" t="str">
        <f aca="false">IF(对接源_01水果!$AC287="","",对接源_01水果!$AC287)</f>
        <v>电商/主播</v>
      </c>
      <c r="AH287" s="1" t="n">
        <f aca="false">IF(AND($N287=1,AND(LEFT(对接源_01水果!$D287,3)="周转筐",N(对接源_01水果!$K287)&lt;&gt;0)),1,0)</f>
        <v>0</v>
      </c>
      <c r="AI287" s="90" t="n">
        <f aca="false">IF(AG287="",0,IF(MATCH(AG287,$AG$4:$AG$1203,0)=ROW()-3,1,0))</f>
        <v>0</v>
      </c>
      <c r="AJ287" s="90" t="n">
        <f aca="false">N(AJ286)+AI287</f>
        <v>2</v>
      </c>
      <c r="AK287" s="1" t="n">
        <f aca="false">N(AK286)+$AJ287</f>
        <v>19</v>
      </c>
    </row>
    <row r="288" customFormat="false" ht="13.5" hidden="false" customHeight="false" outlineLevel="0" collapsed="false">
      <c r="A288" s="1" t="str">
        <f aca="false">IF(对接源_01水果!$C288="","",对接源_01水果!$C288)</f>
        <v>王照雪</v>
      </c>
      <c r="B288" s="1" t="n">
        <f aca="false">IF(A288="",0,IF(MATCH(A288,$A$4:$A$2403,0)=ROW()-3,1,0))</f>
        <v>0</v>
      </c>
      <c r="C288" s="1" t="n">
        <f aca="false">N(C287)+B288</f>
        <v>13</v>
      </c>
      <c r="E288" s="1" t="str">
        <f aca="false">IFERROR(INDEX($A$4:$A$2403,MATCH(ROW()-3,$C$4:$C$2403,0)),"")</f>
        <v/>
      </c>
      <c r="K288" s="1" t="n">
        <f aca="false">IF(OR($K$1="",对接源_01水果!$C288="",对接源_01水果!$C288&lt;&gt;$K$1,对接源_01水果!$B288=""),0,IF(OR(N(对接源_01水果!$B288)&lt;$K$2,N(对接源_01水果!$B288)&gt;$K$3),0,1))</f>
        <v>1</v>
      </c>
      <c r="L288" s="1" t="n">
        <f aca="false">IF(OR($L$1="",对接源_01水果!$C288="",对接源_01水果!$C288&lt;&gt;$L$1,对接源_01水果!$B288=""),0,IF(OR(N(对接源_01水果!$B288)&lt;$L$2,N(对接源_01水果!$B288)&gt;$L$3),0,1))</f>
        <v>0</v>
      </c>
      <c r="M288" s="1" t="n">
        <f aca="false">IF(OR($M$1="",对接源_01水果!$C288="",对接源_01水果!$C288&lt;&gt;$M$1,对接源_01水果!$B288=""),0,IF(OR(N(对接源_01水果!$B288)&lt;$M$2,N(对接源_01水果!$B288)&gt;$M$3),0,1))</f>
        <v>1</v>
      </c>
      <c r="N288" s="1" t="n">
        <f aca="false">IF(OR($N$1="",对接源_01水果!$C288="",对接源_01水果!$C288&lt;&gt;$N$1,对接源_01水果!$B288=""),0,IF(OR(N(对接源_01水果!$B288)&lt;$N$2,N(对接源_01水果!$B288)&gt;$N$3),0,1))</f>
        <v>0</v>
      </c>
      <c r="P288" s="1" t="n">
        <f aca="false">IF(AND($K288=1,AND(对接源_01水果!$X288="公司筐",N(对接源_01水果!$T288)&lt;&gt;0)),1,0)</f>
        <v>0</v>
      </c>
      <c r="Q288" s="1" t="n">
        <f aca="false">N(Q287)+$P288</f>
        <v>2</v>
      </c>
      <c r="R288" s="1" t="n">
        <f aca="false">IF(AND($K288=1,AND(对接源_01水果!$X288="公司筐",N(对接源_01水果!$U288)&lt;&gt;0)),1,0)</f>
        <v>0</v>
      </c>
      <c r="S288" s="1" t="n">
        <f aca="false">N(S287)+$R288</f>
        <v>0</v>
      </c>
      <c r="T288" s="1" t="n">
        <f aca="false">IF(AND($K288=1,AND(对接源_01水果!$X288="公司筐",N(对接源_01水果!$V288)&lt;&gt;0)),1,0)</f>
        <v>0</v>
      </c>
      <c r="U288" s="1" t="n">
        <f aca="false">N(U287)+$T288</f>
        <v>28</v>
      </c>
      <c r="V288" s="1" t="n">
        <f aca="false">IF(AND($L288=1,AND(对接源_01水果!$X288="自备筐",N(对接源_01水果!$V288)&lt;&gt;0)),1,0)</f>
        <v>0</v>
      </c>
      <c r="W288" s="1" t="n">
        <f aca="false">N(W287)+$V288</f>
        <v>7</v>
      </c>
      <c r="X288" s="1" t="n">
        <f aca="false">IF(AND($L288=1,AND(对接源_01水果!$X288="自备筐",N(对接源_01水果!$T288)&lt;&gt;0)),1,0)</f>
        <v>0</v>
      </c>
      <c r="Y288" s="1" t="n">
        <f aca="false">N(Y287)+$X288</f>
        <v>0</v>
      </c>
      <c r="Z288" s="1" t="n">
        <f aca="false">IF(AND($M288=1,对接源_01水果!$D288="原料入库"),1,0)</f>
        <v>0</v>
      </c>
      <c r="AA288" s="1" t="n">
        <f aca="false">N(AA287)+$Z288</f>
        <v>30</v>
      </c>
      <c r="AB288" s="1" t="n">
        <f aca="false">IF(AND($M288=1,LEFT(对接源_01水果!$D288,4)="原料出库"),1,0)</f>
        <v>0</v>
      </c>
      <c r="AC288" s="1" t="n">
        <f aca="false">N(AC287)+$AB288</f>
        <v>19</v>
      </c>
      <c r="AD288" s="1" t="n">
        <f aca="false">IF(AND($M288=1,LEFT(对接源_01水果!$D288,4)="成品出库"),1,0)</f>
        <v>1</v>
      </c>
      <c r="AE288" s="1" t="n">
        <f aca="false">N(AE287)+$AD288</f>
        <v>16</v>
      </c>
      <c r="AF288" s="1" t="n">
        <f aca="false">IF(AND($N288=1,AND(LEFT(对接源_01水果!$D288,4)="包装物料",N(对接源_01水果!$K288)&lt;&gt;0)),1,0)</f>
        <v>0</v>
      </c>
      <c r="AG288" s="90" t="str">
        <f aca="false">IF(对接源_01水果!$AC288="","",对接源_01水果!$AC288)</f>
        <v>伍元虎</v>
      </c>
      <c r="AH288" s="1" t="n">
        <f aca="false">IF(AND($N288=1,AND(LEFT(对接源_01水果!$D288,3)="周转筐",N(对接源_01水果!$K288)&lt;&gt;0)),1,0)</f>
        <v>0</v>
      </c>
      <c r="AI288" s="90" t="n">
        <f aca="false">IF(AG288="",0,IF(MATCH(AG288,$AG$4:$AG$1203,0)=ROW()-3,1,0))</f>
        <v>1</v>
      </c>
      <c r="AJ288" s="90" t="n">
        <f aca="false">N(AJ287)+AI288</f>
        <v>3</v>
      </c>
      <c r="AK288" s="1" t="n">
        <f aca="false">N(AK287)+$AJ288</f>
        <v>22</v>
      </c>
    </row>
    <row r="289" customFormat="false" ht="13.5" hidden="false" customHeight="false" outlineLevel="0" collapsed="false">
      <c r="A289" s="1" t="str">
        <f aca="false">IF(对接源_01水果!$C289="","",对接源_01水果!$C289)</f>
        <v>聂新平</v>
      </c>
      <c r="B289" s="1" t="n">
        <f aca="false">IF(A289="",0,IF(MATCH(A289,$A$4:$A$2403,0)=ROW()-3,1,0))</f>
        <v>0</v>
      </c>
      <c r="C289" s="1" t="n">
        <f aca="false">N(C288)+B289</f>
        <v>13</v>
      </c>
      <c r="E289" s="1" t="str">
        <f aca="false">IFERROR(INDEX($A$4:$A$2403,MATCH(ROW()-3,$C$4:$C$2403,0)),"")</f>
        <v/>
      </c>
      <c r="K289" s="1" t="n">
        <f aca="false">IF(OR($K$1="",对接源_01水果!$C289="",对接源_01水果!$C289&lt;&gt;$K$1,对接源_01水果!$B289=""),0,IF(OR(N(对接源_01水果!$B289)&lt;$K$2,N(对接源_01水果!$B289)&gt;$K$3),0,1))</f>
        <v>0</v>
      </c>
      <c r="L289" s="1" t="n">
        <f aca="false">IF(OR($L$1="",对接源_01水果!$C289="",对接源_01水果!$C289&lt;&gt;$L$1,对接源_01水果!$B289=""),0,IF(OR(N(对接源_01水果!$B289)&lt;$L$2,N(对接源_01水果!$B289)&gt;$L$3),0,1))</f>
        <v>0</v>
      </c>
      <c r="M289" s="1" t="n">
        <f aca="false">IF(OR($M$1="",对接源_01水果!$C289="",对接源_01水果!$C289&lt;&gt;$M$1,对接源_01水果!$B289=""),0,IF(OR(N(对接源_01水果!$B289)&lt;$M$2,N(对接源_01水果!$B289)&gt;$M$3),0,1))</f>
        <v>0</v>
      </c>
      <c r="N289" s="1" t="n">
        <f aca="false">IF(OR($N$1="",对接源_01水果!$C289="",对接源_01水果!$C289&lt;&gt;$N$1,对接源_01水果!$B289=""),0,IF(OR(N(对接源_01水果!$B289)&lt;$N$2,N(对接源_01水果!$B289)&gt;$N$3),0,1))</f>
        <v>0</v>
      </c>
      <c r="P289" s="1" t="n">
        <f aca="false">IF(AND($K289=1,AND(对接源_01水果!$X289="公司筐",N(对接源_01水果!$T289)&lt;&gt;0)),1,0)</f>
        <v>0</v>
      </c>
      <c r="Q289" s="1" t="n">
        <f aca="false">N(Q288)+$P289</f>
        <v>2</v>
      </c>
      <c r="R289" s="1" t="n">
        <f aca="false">IF(AND($K289=1,AND(对接源_01水果!$X289="公司筐",N(对接源_01水果!$U289)&lt;&gt;0)),1,0)</f>
        <v>0</v>
      </c>
      <c r="S289" s="1" t="n">
        <f aca="false">N(S288)+$R289</f>
        <v>0</v>
      </c>
      <c r="T289" s="1" t="n">
        <f aca="false">IF(AND($K289=1,AND(对接源_01水果!$X289="公司筐",N(对接源_01水果!$V289)&lt;&gt;0)),1,0)</f>
        <v>0</v>
      </c>
      <c r="U289" s="1" t="n">
        <f aca="false">N(U288)+$T289</f>
        <v>28</v>
      </c>
      <c r="V289" s="1" t="n">
        <f aca="false">IF(AND($L289=1,AND(对接源_01水果!$X289="自备筐",N(对接源_01水果!$V289)&lt;&gt;0)),1,0)</f>
        <v>0</v>
      </c>
      <c r="W289" s="1" t="n">
        <f aca="false">N(W288)+$V289</f>
        <v>7</v>
      </c>
      <c r="X289" s="1" t="n">
        <f aca="false">IF(AND($L289=1,AND(对接源_01水果!$X289="自备筐",N(对接源_01水果!$T289)&lt;&gt;0)),1,0)</f>
        <v>0</v>
      </c>
      <c r="Y289" s="1" t="n">
        <f aca="false">N(Y288)+$X289</f>
        <v>0</v>
      </c>
      <c r="Z289" s="1" t="n">
        <f aca="false">IF(AND($M289=1,对接源_01水果!$D289="原料入库"),1,0)</f>
        <v>0</v>
      </c>
      <c r="AA289" s="1" t="n">
        <f aca="false">N(AA288)+$Z289</f>
        <v>30</v>
      </c>
      <c r="AB289" s="1" t="n">
        <f aca="false">IF(AND($M289=1,LEFT(对接源_01水果!$D289,4)="原料出库"),1,0)</f>
        <v>0</v>
      </c>
      <c r="AC289" s="1" t="n">
        <f aca="false">N(AC288)+$AB289</f>
        <v>19</v>
      </c>
      <c r="AD289" s="1" t="n">
        <f aca="false">IF(AND($M289=1,LEFT(对接源_01水果!$D289,4)="成品出库"),1,0)</f>
        <v>0</v>
      </c>
      <c r="AE289" s="1" t="n">
        <f aca="false">N(AE288)+$AD289</f>
        <v>16</v>
      </c>
      <c r="AF289" s="1" t="n">
        <f aca="false">IF(AND($N289=1,AND(LEFT(对接源_01水果!$D289,4)="包装物料",N(对接源_01水果!$K289)&lt;&gt;0)),1,0)</f>
        <v>0</v>
      </c>
      <c r="AG289" s="90" t="str">
        <f aca="false">IF(对接源_01水果!$AC289="","",对接源_01水果!$AC289)</f>
        <v>王照雪</v>
      </c>
      <c r="AH289" s="1" t="n">
        <f aca="false">IF(AND($N289=1,AND(LEFT(对接源_01水果!$D289,3)="周转筐",N(对接源_01水果!$K289)&lt;&gt;0)),1,0)</f>
        <v>0</v>
      </c>
      <c r="AI289" s="90" t="n">
        <f aca="false">IF(AG289="",0,IF(MATCH(AG289,$AG$4:$AG$1203,0)=ROW()-3,1,0))</f>
        <v>0</v>
      </c>
      <c r="AJ289" s="90" t="n">
        <f aca="false">N(AJ288)+AI289</f>
        <v>3</v>
      </c>
      <c r="AK289" s="1" t="n">
        <f aca="false">N(AK288)+$AJ289</f>
        <v>25</v>
      </c>
    </row>
    <row r="290" customFormat="false" ht="13.5" hidden="false" customHeight="false" outlineLevel="0" collapsed="false">
      <c r="A290" s="1" t="str">
        <f aca="false">IF(对接源_01水果!$C290="","",对接源_01水果!$C290)</f>
        <v>王照雪</v>
      </c>
      <c r="B290" s="1" t="n">
        <f aca="false">IF(A290="",0,IF(MATCH(A290,$A$4:$A$2403,0)=ROW()-3,1,0))</f>
        <v>0</v>
      </c>
      <c r="C290" s="1" t="n">
        <f aca="false">N(C289)+B290</f>
        <v>13</v>
      </c>
      <c r="E290" s="1" t="str">
        <f aca="false">IFERROR(INDEX($A$4:$A$2403,MATCH(ROW()-3,$C$4:$C$2403,0)),"")</f>
        <v/>
      </c>
      <c r="K290" s="1" t="n">
        <f aca="false">IF(OR($K$1="",对接源_01水果!$C290="",对接源_01水果!$C290&lt;&gt;$K$1,对接源_01水果!$B290=""),0,IF(OR(N(对接源_01水果!$B290)&lt;$K$2,N(对接源_01水果!$B290)&gt;$K$3),0,1))</f>
        <v>1</v>
      </c>
      <c r="L290" s="1" t="n">
        <f aca="false">IF(OR($L$1="",对接源_01水果!$C290="",对接源_01水果!$C290&lt;&gt;$L$1,对接源_01水果!$B290=""),0,IF(OR(N(对接源_01水果!$B290)&lt;$L$2,N(对接源_01水果!$B290)&gt;$L$3),0,1))</f>
        <v>0</v>
      </c>
      <c r="M290" s="1" t="n">
        <f aca="false">IF(OR($M$1="",对接源_01水果!$C290="",对接源_01水果!$C290&lt;&gt;$M$1,对接源_01水果!$B290=""),0,IF(OR(N(对接源_01水果!$B290)&lt;$M$2,N(对接源_01水果!$B290)&gt;$M$3),0,1))</f>
        <v>1</v>
      </c>
      <c r="N290" s="1" t="n">
        <f aca="false">IF(OR($N$1="",对接源_01水果!$C290="",对接源_01水果!$C290&lt;&gt;$N$1,对接源_01水果!$B290=""),0,IF(OR(N(对接源_01水果!$B290)&lt;$N$2,N(对接源_01水果!$B290)&gt;$N$3),0,1))</f>
        <v>0</v>
      </c>
      <c r="P290" s="1" t="n">
        <f aca="false">IF(AND($K290=1,AND(对接源_01水果!$X290="公司筐",N(对接源_01水果!$T290)&lt;&gt;0)),1,0)</f>
        <v>0</v>
      </c>
      <c r="Q290" s="1" t="n">
        <f aca="false">N(Q289)+$P290</f>
        <v>2</v>
      </c>
      <c r="R290" s="1" t="n">
        <f aca="false">IF(AND($K290=1,AND(对接源_01水果!$X290="公司筐",N(对接源_01水果!$U290)&lt;&gt;0)),1,0)</f>
        <v>0</v>
      </c>
      <c r="S290" s="1" t="n">
        <f aca="false">N(S289)+$R290</f>
        <v>0</v>
      </c>
      <c r="T290" s="1" t="n">
        <f aca="false">IF(AND($K290=1,AND(对接源_01水果!$X290="公司筐",N(对接源_01水果!$V290)&lt;&gt;0)),1,0)</f>
        <v>0</v>
      </c>
      <c r="U290" s="1" t="n">
        <f aca="false">N(U289)+$T290</f>
        <v>28</v>
      </c>
      <c r="V290" s="1" t="n">
        <f aca="false">IF(AND($L290=1,AND(对接源_01水果!$X290="自备筐",N(对接源_01水果!$V290)&lt;&gt;0)),1,0)</f>
        <v>0</v>
      </c>
      <c r="W290" s="1" t="n">
        <f aca="false">N(W289)+$V290</f>
        <v>7</v>
      </c>
      <c r="X290" s="1" t="n">
        <f aca="false">IF(AND($L290=1,AND(对接源_01水果!$X290="自备筐",N(对接源_01水果!$T290)&lt;&gt;0)),1,0)</f>
        <v>0</v>
      </c>
      <c r="Y290" s="1" t="n">
        <f aca="false">N(Y289)+$X290</f>
        <v>0</v>
      </c>
      <c r="Z290" s="1" t="n">
        <f aca="false">IF(AND($M290=1,对接源_01水果!$D290="原料入库"),1,0)</f>
        <v>0</v>
      </c>
      <c r="AA290" s="1" t="n">
        <f aca="false">N(AA289)+$Z290</f>
        <v>30</v>
      </c>
      <c r="AB290" s="1" t="n">
        <f aca="false">IF(AND($M290=1,LEFT(对接源_01水果!$D290,4)="原料出库"),1,0)</f>
        <v>0</v>
      </c>
      <c r="AC290" s="1" t="n">
        <f aca="false">N(AC289)+$AB290</f>
        <v>19</v>
      </c>
      <c r="AD290" s="1" t="n">
        <f aca="false">IF(AND($M290=1,LEFT(对接源_01水果!$D290,4)="成品出库"),1,0)</f>
        <v>1</v>
      </c>
      <c r="AE290" s="1" t="n">
        <f aca="false">N(AE289)+$AD290</f>
        <v>17</v>
      </c>
      <c r="AF290" s="1" t="n">
        <f aca="false">IF(AND($N290=1,AND(LEFT(对接源_01水果!$D290,4)="包装物料",N(对接源_01水果!$K290)&lt;&gt;0)),1,0)</f>
        <v>0</v>
      </c>
      <c r="AG290" s="90" t="str">
        <f aca="false">IF(对接源_01水果!$AC290="","",对接源_01水果!$AC290)</f>
        <v>电商/主播</v>
      </c>
      <c r="AH290" s="1" t="n">
        <f aca="false">IF(AND($N290=1,AND(LEFT(对接源_01水果!$D290,3)="周转筐",N(对接源_01水果!$K290)&lt;&gt;0)),1,0)</f>
        <v>0</v>
      </c>
      <c r="AI290" s="90" t="n">
        <f aca="false">IF(AG290="",0,IF(MATCH(AG290,$AG$4:$AG$1203,0)=ROW()-3,1,0))</f>
        <v>0</v>
      </c>
      <c r="AJ290" s="90" t="n">
        <f aca="false">N(AJ289)+AI290</f>
        <v>3</v>
      </c>
      <c r="AK290" s="1" t="n">
        <f aca="false">N(AK289)+$AJ290</f>
        <v>28</v>
      </c>
    </row>
    <row r="291" customFormat="false" ht="13.5" hidden="false" customHeight="false" outlineLevel="0" collapsed="false">
      <c r="A291" s="1" t="str">
        <f aca="false">IF(对接源_01水果!$C291="","",对接源_01水果!$C291)</f>
        <v>王照雪</v>
      </c>
      <c r="B291" s="1" t="n">
        <f aca="false">IF(A291="",0,IF(MATCH(A291,$A$4:$A$2403,0)=ROW()-3,1,0))</f>
        <v>0</v>
      </c>
      <c r="C291" s="1" t="n">
        <f aca="false">N(C290)+B291</f>
        <v>13</v>
      </c>
      <c r="E291" s="1" t="str">
        <f aca="false">IFERROR(INDEX($A$4:$A$2403,MATCH(ROW()-3,$C$4:$C$2403,0)),"")</f>
        <v/>
      </c>
      <c r="K291" s="1" t="n">
        <f aca="false">IF(OR($K$1="",对接源_01水果!$C291="",对接源_01水果!$C291&lt;&gt;$K$1,对接源_01水果!$B291=""),0,IF(OR(N(对接源_01水果!$B291)&lt;$K$2,N(对接源_01水果!$B291)&gt;$K$3),0,1))</f>
        <v>1</v>
      </c>
      <c r="L291" s="1" t="n">
        <f aca="false">IF(OR($L$1="",对接源_01水果!$C291="",对接源_01水果!$C291&lt;&gt;$L$1,对接源_01水果!$B291=""),0,IF(OR(N(对接源_01水果!$B291)&lt;$L$2,N(对接源_01水果!$B291)&gt;$L$3),0,1))</f>
        <v>0</v>
      </c>
      <c r="M291" s="1" t="n">
        <f aca="false">IF(OR($M$1="",对接源_01水果!$C291="",对接源_01水果!$C291&lt;&gt;$M$1,对接源_01水果!$B291=""),0,IF(OR(N(对接源_01水果!$B291)&lt;$M$2,N(对接源_01水果!$B291)&gt;$M$3),0,1))</f>
        <v>1</v>
      </c>
      <c r="N291" s="1" t="n">
        <f aca="false">IF(OR($N$1="",对接源_01水果!$C291="",对接源_01水果!$C291&lt;&gt;$N$1,对接源_01水果!$B291=""),0,IF(OR(N(对接源_01水果!$B291)&lt;$N$2,N(对接源_01水果!$B291)&gt;$N$3),0,1))</f>
        <v>0</v>
      </c>
      <c r="P291" s="1" t="n">
        <f aca="false">IF(AND($K291=1,AND(对接源_01水果!$X291="公司筐",N(对接源_01水果!$T291)&lt;&gt;0)),1,0)</f>
        <v>0</v>
      </c>
      <c r="Q291" s="1" t="n">
        <f aca="false">N(Q290)+$P291</f>
        <v>2</v>
      </c>
      <c r="R291" s="1" t="n">
        <f aca="false">IF(AND($K291=1,AND(对接源_01水果!$X291="公司筐",N(对接源_01水果!$U291)&lt;&gt;0)),1,0)</f>
        <v>0</v>
      </c>
      <c r="S291" s="1" t="n">
        <f aca="false">N(S290)+$R291</f>
        <v>0</v>
      </c>
      <c r="T291" s="1" t="n">
        <f aca="false">IF(AND($K291=1,AND(对接源_01水果!$X291="公司筐",N(对接源_01水果!$V291)&lt;&gt;0)),1,0)</f>
        <v>0</v>
      </c>
      <c r="U291" s="1" t="n">
        <f aca="false">N(U290)+$T291</f>
        <v>28</v>
      </c>
      <c r="V291" s="1" t="n">
        <f aca="false">IF(AND($L291=1,AND(对接源_01水果!$X291="自备筐",N(对接源_01水果!$V291)&lt;&gt;0)),1,0)</f>
        <v>0</v>
      </c>
      <c r="W291" s="1" t="n">
        <f aca="false">N(W290)+$V291</f>
        <v>7</v>
      </c>
      <c r="X291" s="1" t="n">
        <f aca="false">IF(AND($L291=1,AND(对接源_01水果!$X291="自备筐",N(对接源_01水果!$T291)&lt;&gt;0)),1,0)</f>
        <v>0</v>
      </c>
      <c r="Y291" s="1" t="n">
        <f aca="false">N(Y290)+$X291</f>
        <v>0</v>
      </c>
      <c r="Z291" s="1" t="n">
        <f aca="false">IF(AND($M291=1,对接源_01水果!$D291="原料入库"),1,0)</f>
        <v>0</v>
      </c>
      <c r="AA291" s="1" t="n">
        <f aca="false">N(AA290)+$Z291</f>
        <v>30</v>
      </c>
      <c r="AB291" s="1" t="n">
        <f aca="false">IF(AND($M291=1,LEFT(对接源_01水果!$D291,4)="原料出库"),1,0)</f>
        <v>0</v>
      </c>
      <c r="AC291" s="1" t="n">
        <f aca="false">N(AC290)+$AB291</f>
        <v>19</v>
      </c>
      <c r="AD291" s="1" t="n">
        <f aca="false">IF(AND($M291=1,LEFT(对接源_01水果!$D291,4)="成品出库"),1,0)</f>
        <v>1</v>
      </c>
      <c r="AE291" s="1" t="n">
        <f aca="false">N(AE290)+$AD291</f>
        <v>18</v>
      </c>
      <c r="AF291" s="1" t="n">
        <f aca="false">IF(AND($N291=1,AND(LEFT(对接源_01水果!$D291,4)="包装物料",N(对接源_01水果!$K291)&lt;&gt;0)),1,0)</f>
        <v>0</v>
      </c>
      <c r="AG291" s="90" t="str">
        <f aca="false">IF(对接源_01水果!$AC291="","",对接源_01水果!$AC291)</f>
        <v>电商/主播</v>
      </c>
      <c r="AH291" s="1" t="n">
        <f aca="false">IF(AND($N291=1,AND(LEFT(对接源_01水果!$D291,3)="周转筐",N(对接源_01水果!$K291)&lt;&gt;0)),1,0)</f>
        <v>0</v>
      </c>
      <c r="AI291" s="90" t="n">
        <f aca="false">IF(AG291="",0,IF(MATCH(AG291,$AG$4:$AG$1203,0)=ROW()-3,1,0))</f>
        <v>0</v>
      </c>
      <c r="AJ291" s="90" t="n">
        <f aca="false">N(AJ290)+AI291</f>
        <v>3</v>
      </c>
      <c r="AK291" s="1" t="n">
        <f aca="false">N(AK290)+$AJ291</f>
        <v>31</v>
      </c>
    </row>
    <row r="292" customFormat="false" ht="13.5" hidden="false" customHeight="false" outlineLevel="0" collapsed="false">
      <c r="A292" s="1" t="str">
        <f aca="false">IF(对接源_01水果!$C292="","",对接源_01水果!$C292)</f>
        <v>王照雪</v>
      </c>
      <c r="B292" s="1" t="n">
        <f aca="false">IF(A292="",0,IF(MATCH(A292,$A$4:$A$2403,0)=ROW()-3,1,0))</f>
        <v>0</v>
      </c>
      <c r="C292" s="1" t="n">
        <f aca="false">N(C291)+B292</f>
        <v>13</v>
      </c>
      <c r="E292" s="1" t="str">
        <f aca="false">IFERROR(INDEX($A$4:$A$2403,MATCH(ROW()-3,$C$4:$C$2403,0)),"")</f>
        <v/>
      </c>
      <c r="K292" s="1" t="n">
        <f aca="false">IF(OR($K$1="",对接源_01水果!$C292="",对接源_01水果!$C292&lt;&gt;$K$1,对接源_01水果!$B292=""),0,IF(OR(N(对接源_01水果!$B292)&lt;$K$2,N(对接源_01水果!$B292)&gt;$K$3),0,1))</f>
        <v>1</v>
      </c>
      <c r="L292" s="1" t="n">
        <f aca="false">IF(OR($L$1="",对接源_01水果!$C292="",对接源_01水果!$C292&lt;&gt;$L$1,对接源_01水果!$B292=""),0,IF(OR(N(对接源_01水果!$B292)&lt;$L$2,N(对接源_01水果!$B292)&gt;$L$3),0,1))</f>
        <v>0</v>
      </c>
      <c r="M292" s="1" t="n">
        <f aca="false">IF(OR($M$1="",对接源_01水果!$C292="",对接源_01水果!$C292&lt;&gt;$M$1,对接源_01水果!$B292=""),0,IF(OR(N(对接源_01水果!$B292)&lt;$M$2,N(对接源_01水果!$B292)&gt;$M$3),0,1))</f>
        <v>1</v>
      </c>
      <c r="N292" s="1" t="n">
        <f aca="false">IF(OR($N$1="",对接源_01水果!$C292="",对接源_01水果!$C292&lt;&gt;$N$1,对接源_01水果!$B292=""),0,IF(OR(N(对接源_01水果!$B292)&lt;$N$2,N(对接源_01水果!$B292)&gt;$N$3),0,1))</f>
        <v>0</v>
      </c>
      <c r="P292" s="1" t="n">
        <f aca="false">IF(AND($K292=1,AND(对接源_01水果!$X292="公司筐",N(对接源_01水果!$T292)&lt;&gt;0)),1,0)</f>
        <v>0</v>
      </c>
      <c r="Q292" s="1" t="n">
        <f aca="false">N(Q291)+$P292</f>
        <v>2</v>
      </c>
      <c r="R292" s="1" t="n">
        <f aca="false">IF(AND($K292=1,AND(对接源_01水果!$X292="公司筐",N(对接源_01水果!$U292)&lt;&gt;0)),1,0)</f>
        <v>0</v>
      </c>
      <c r="S292" s="1" t="n">
        <f aca="false">N(S291)+$R292</f>
        <v>0</v>
      </c>
      <c r="T292" s="1" t="n">
        <f aca="false">IF(AND($K292=1,AND(对接源_01水果!$X292="公司筐",N(对接源_01水果!$V292)&lt;&gt;0)),1,0)</f>
        <v>0</v>
      </c>
      <c r="U292" s="1" t="n">
        <f aca="false">N(U291)+$T292</f>
        <v>28</v>
      </c>
      <c r="V292" s="1" t="n">
        <f aca="false">IF(AND($L292=1,AND(对接源_01水果!$X292="自备筐",N(对接源_01水果!$V292)&lt;&gt;0)),1,0)</f>
        <v>0</v>
      </c>
      <c r="W292" s="1" t="n">
        <f aca="false">N(W291)+$V292</f>
        <v>7</v>
      </c>
      <c r="X292" s="1" t="n">
        <f aca="false">IF(AND($L292=1,AND(对接源_01水果!$X292="自备筐",N(对接源_01水果!$T292)&lt;&gt;0)),1,0)</f>
        <v>0</v>
      </c>
      <c r="Y292" s="1" t="n">
        <f aca="false">N(Y291)+$X292</f>
        <v>0</v>
      </c>
      <c r="Z292" s="1" t="n">
        <f aca="false">IF(AND($M292=1,对接源_01水果!$D292="原料入库"),1,0)</f>
        <v>0</v>
      </c>
      <c r="AA292" s="1" t="n">
        <f aca="false">N(AA291)+$Z292</f>
        <v>30</v>
      </c>
      <c r="AB292" s="1" t="n">
        <f aca="false">IF(AND($M292=1,LEFT(对接源_01水果!$D292,4)="原料出库"),1,0)</f>
        <v>0</v>
      </c>
      <c r="AC292" s="1" t="n">
        <f aca="false">N(AC291)+$AB292</f>
        <v>19</v>
      </c>
      <c r="AD292" s="1" t="n">
        <f aca="false">IF(AND($M292=1,LEFT(对接源_01水果!$D292,4)="成品出库"),1,0)</f>
        <v>1</v>
      </c>
      <c r="AE292" s="1" t="n">
        <f aca="false">N(AE291)+$AD292</f>
        <v>19</v>
      </c>
      <c r="AF292" s="1" t="n">
        <f aca="false">IF(AND($N292=1,AND(LEFT(对接源_01水果!$D292,4)="包装物料",N(对接源_01水果!$K292)&lt;&gt;0)),1,0)</f>
        <v>0</v>
      </c>
      <c r="AG292" s="90" t="str">
        <f aca="false">IF(对接源_01水果!$AC292="","",对接源_01水果!$AC292)</f>
        <v>王照雪</v>
      </c>
      <c r="AH292" s="1" t="n">
        <f aca="false">IF(AND($N292=1,AND(LEFT(对接源_01水果!$D292,3)="周转筐",N(对接源_01水果!$K292)&lt;&gt;0)),1,0)</f>
        <v>0</v>
      </c>
      <c r="AI292" s="90" t="n">
        <f aca="false">IF(AG292="",0,IF(MATCH(AG292,$AG$4:$AG$1203,0)=ROW()-3,1,0))</f>
        <v>0</v>
      </c>
      <c r="AJ292" s="90" t="n">
        <f aca="false">N(AJ291)+AI292</f>
        <v>3</v>
      </c>
      <c r="AK292" s="1" t="n">
        <f aca="false">N(AK291)+$AJ292</f>
        <v>34</v>
      </c>
    </row>
    <row r="293" customFormat="false" ht="13.5" hidden="false" customHeight="false" outlineLevel="0" collapsed="false">
      <c r="A293" s="1" t="str">
        <f aca="false">IF(对接源_01水果!$C293="","",对接源_01水果!$C293)</f>
        <v>王照雪</v>
      </c>
      <c r="B293" s="1" t="n">
        <f aca="false">IF(A293="",0,IF(MATCH(A293,$A$4:$A$2403,0)=ROW()-3,1,0))</f>
        <v>0</v>
      </c>
      <c r="C293" s="1" t="n">
        <f aca="false">N(C292)+B293</f>
        <v>13</v>
      </c>
      <c r="E293" s="1" t="str">
        <f aca="false">IFERROR(INDEX($A$4:$A$2403,MATCH(ROW()-3,$C$4:$C$2403,0)),"")</f>
        <v/>
      </c>
      <c r="K293" s="1" t="n">
        <f aca="false">IF(OR($K$1="",对接源_01水果!$C293="",对接源_01水果!$C293&lt;&gt;$K$1,对接源_01水果!$B293=""),0,IF(OR(N(对接源_01水果!$B293)&lt;$K$2,N(对接源_01水果!$B293)&gt;$K$3),0,1))</f>
        <v>1</v>
      </c>
      <c r="L293" s="1" t="n">
        <f aca="false">IF(OR($L$1="",对接源_01水果!$C293="",对接源_01水果!$C293&lt;&gt;$L$1,对接源_01水果!$B293=""),0,IF(OR(N(对接源_01水果!$B293)&lt;$L$2,N(对接源_01水果!$B293)&gt;$L$3),0,1))</f>
        <v>0</v>
      </c>
      <c r="M293" s="1" t="n">
        <f aca="false">IF(OR($M$1="",对接源_01水果!$C293="",对接源_01水果!$C293&lt;&gt;$M$1,对接源_01水果!$B293=""),0,IF(OR(N(对接源_01水果!$B293)&lt;$M$2,N(对接源_01水果!$B293)&gt;$M$3),0,1))</f>
        <v>1</v>
      </c>
      <c r="N293" s="1" t="n">
        <f aca="false">IF(OR($N$1="",对接源_01水果!$C293="",对接源_01水果!$C293&lt;&gt;$N$1,对接源_01水果!$B293=""),0,IF(OR(N(对接源_01水果!$B293)&lt;$N$2,N(对接源_01水果!$B293)&gt;$N$3),0,1))</f>
        <v>0</v>
      </c>
      <c r="P293" s="1" t="n">
        <f aca="false">IF(AND($K293=1,AND(对接源_01水果!$X293="公司筐",N(对接源_01水果!$T293)&lt;&gt;0)),1,0)</f>
        <v>1</v>
      </c>
      <c r="Q293" s="1" t="n">
        <f aca="false">N(Q292)+$P293</f>
        <v>3</v>
      </c>
      <c r="R293" s="1" t="n">
        <f aca="false">IF(AND($K293=1,AND(对接源_01水果!$X293="公司筐",N(对接源_01水果!$U293)&lt;&gt;0)),1,0)</f>
        <v>0</v>
      </c>
      <c r="S293" s="1" t="n">
        <f aca="false">N(S292)+$R293</f>
        <v>0</v>
      </c>
      <c r="T293" s="1" t="n">
        <f aca="false">IF(AND($K293=1,AND(对接源_01水果!$X293="公司筐",N(对接源_01水果!$V293)&lt;&gt;0)),1,0)</f>
        <v>0</v>
      </c>
      <c r="U293" s="1" t="n">
        <f aca="false">N(U292)+$T293</f>
        <v>28</v>
      </c>
      <c r="V293" s="1" t="n">
        <f aca="false">IF(AND($L293=1,AND(对接源_01水果!$X293="自备筐",N(对接源_01水果!$V293)&lt;&gt;0)),1,0)</f>
        <v>0</v>
      </c>
      <c r="W293" s="1" t="n">
        <f aca="false">N(W292)+$V293</f>
        <v>7</v>
      </c>
      <c r="X293" s="1" t="n">
        <f aca="false">IF(AND($L293=1,AND(对接源_01水果!$X293="自备筐",N(对接源_01水果!$T293)&lt;&gt;0)),1,0)</f>
        <v>0</v>
      </c>
      <c r="Y293" s="1" t="n">
        <f aca="false">N(Y292)+$X293</f>
        <v>0</v>
      </c>
      <c r="Z293" s="1" t="n">
        <f aca="false">IF(AND($M293=1,对接源_01水果!$D293="原料入库"),1,0)</f>
        <v>0</v>
      </c>
      <c r="AA293" s="1" t="n">
        <f aca="false">N(AA292)+$Z293</f>
        <v>30</v>
      </c>
      <c r="AB293" s="1" t="n">
        <f aca="false">IF(AND($M293=1,LEFT(对接源_01水果!$D293,4)="原料出库"),1,0)</f>
        <v>0</v>
      </c>
      <c r="AC293" s="1" t="n">
        <f aca="false">N(AC292)+$AB293</f>
        <v>19</v>
      </c>
      <c r="AD293" s="1" t="n">
        <f aca="false">IF(AND($M293=1,LEFT(对接源_01水果!$D293,4)="成品出库"),1,0)</f>
        <v>1</v>
      </c>
      <c r="AE293" s="1" t="n">
        <f aca="false">N(AE292)+$AD293</f>
        <v>20</v>
      </c>
      <c r="AF293" s="1" t="n">
        <f aca="false">IF(AND($N293=1,AND(LEFT(对接源_01水果!$D293,4)="包装物料",N(对接源_01水果!$K293)&lt;&gt;0)),1,0)</f>
        <v>0</v>
      </c>
      <c r="AG293" s="90" t="str">
        <f aca="false">IF(对接源_01水果!$AC293="","",对接源_01水果!$AC293)</f>
        <v>电商/主播</v>
      </c>
      <c r="AH293" s="1" t="n">
        <f aca="false">IF(AND($N293=1,AND(LEFT(对接源_01水果!$D293,3)="周转筐",N(对接源_01水果!$K293)&lt;&gt;0)),1,0)</f>
        <v>0</v>
      </c>
      <c r="AI293" s="90" t="n">
        <f aca="false">IF(AG293="",0,IF(MATCH(AG293,$AG$4:$AG$1203,0)=ROW()-3,1,0))</f>
        <v>0</v>
      </c>
      <c r="AJ293" s="90" t="n">
        <f aca="false">N(AJ292)+AI293</f>
        <v>3</v>
      </c>
      <c r="AK293" s="1" t="n">
        <f aca="false">N(AK292)+$AJ293</f>
        <v>37</v>
      </c>
    </row>
    <row r="294" customFormat="false" ht="13.5" hidden="false" customHeight="false" outlineLevel="0" collapsed="false">
      <c r="A294" s="1" t="str">
        <f aca="false">IF(对接源_01水果!$C294="","",对接源_01水果!$C294)</f>
        <v>王照雪</v>
      </c>
      <c r="B294" s="1" t="n">
        <f aca="false">IF(A294="",0,IF(MATCH(A294,$A$4:$A$2403,0)=ROW()-3,1,0))</f>
        <v>0</v>
      </c>
      <c r="C294" s="1" t="n">
        <f aca="false">N(C293)+B294</f>
        <v>13</v>
      </c>
      <c r="E294" s="1" t="str">
        <f aca="false">IFERROR(INDEX($A$4:$A$2403,MATCH(ROW()-3,$C$4:$C$2403,0)),"")</f>
        <v/>
      </c>
      <c r="K294" s="1" t="n">
        <f aca="false">IF(OR($K$1="",对接源_01水果!$C294="",对接源_01水果!$C294&lt;&gt;$K$1,对接源_01水果!$B294=""),0,IF(OR(N(对接源_01水果!$B294)&lt;$K$2,N(对接源_01水果!$B294)&gt;$K$3),0,1))</f>
        <v>1</v>
      </c>
      <c r="L294" s="1" t="n">
        <f aca="false">IF(OR($L$1="",对接源_01水果!$C294="",对接源_01水果!$C294&lt;&gt;$L$1,对接源_01水果!$B294=""),0,IF(OR(N(对接源_01水果!$B294)&lt;$L$2,N(对接源_01水果!$B294)&gt;$L$3),0,1))</f>
        <v>0</v>
      </c>
      <c r="M294" s="1" t="n">
        <f aca="false">IF(OR($M$1="",对接源_01水果!$C294="",对接源_01水果!$C294&lt;&gt;$M$1,对接源_01水果!$B294=""),0,IF(OR(N(对接源_01水果!$B294)&lt;$M$2,N(对接源_01水果!$B294)&gt;$M$3),0,1))</f>
        <v>1</v>
      </c>
      <c r="N294" s="1" t="n">
        <f aca="false">IF(OR($N$1="",对接源_01水果!$C294="",对接源_01水果!$C294&lt;&gt;$N$1,对接源_01水果!$B294=""),0,IF(OR(N(对接源_01水果!$B294)&lt;$N$2,N(对接源_01水果!$B294)&gt;$N$3),0,1))</f>
        <v>0</v>
      </c>
      <c r="P294" s="1" t="n">
        <f aca="false">IF(AND($K294=1,AND(对接源_01水果!$X294="公司筐",N(对接源_01水果!$T294)&lt;&gt;0)),1,0)</f>
        <v>0</v>
      </c>
      <c r="Q294" s="1" t="n">
        <f aca="false">N(Q293)+$P294</f>
        <v>3</v>
      </c>
      <c r="R294" s="1" t="n">
        <f aca="false">IF(AND($K294=1,AND(对接源_01水果!$X294="公司筐",N(对接源_01水果!$U294)&lt;&gt;0)),1,0)</f>
        <v>0</v>
      </c>
      <c r="S294" s="1" t="n">
        <f aca="false">N(S293)+$R294</f>
        <v>0</v>
      </c>
      <c r="T294" s="1" t="n">
        <f aca="false">IF(AND($K294=1,AND(对接源_01水果!$X294="公司筐",N(对接源_01水果!$V294)&lt;&gt;0)),1,0)</f>
        <v>0</v>
      </c>
      <c r="U294" s="1" t="n">
        <f aca="false">N(U293)+$T294</f>
        <v>28</v>
      </c>
      <c r="V294" s="1" t="n">
        <f aca="false">IF(AND($L294=1,AND(对接源_01水果!$X294="自备筐",N(对接源_01水果!$V294)&lt;&gt;0)),1,0)</f>
        <v>0</v>
      </c>
      <c r="W294" s="1" t="n">
        <f aca="false">N(W293)+$V294</f>
        <v>7</v>
      </c>
      <c r="X294" s="1" t="n">
        <f aca="false">IF(AND($L294=1,AND(对接源_01水果!$X294="自备筐",N(对接源_01水果!$T294)&lt;&gt;0)),1,0)</f>
        <v>0</v>
      </c>
      <c r="Y294" s="1" t="n">
        <f aca="false">N(Y293)+$X294</f>
        <v>0</v>
      </c>
      <c r="Z294" s="1" t="n">
        <f aca="false">IF(AND($M294=1,对接源_01水果!$D294="原料入库"),1,0)</f>
        <v>0</v>
      </c>
      <c r="AA294" s="1" t="n">
        <f aca="false">N(AA293)+$Z294</f>
        <v>30</v>
      </c>
      <c r="AB294" s="1" t="n">
        <f aca="false">IF(AND($M294=1,LEFT(对接源_01水果!$D294,4)="原料出库"),1,0)</f>
        <v>0</v>
      </c>
      <c r="AC294" s="1" t="n">
        <f aca="false">N(AC293)+$AB294</f>
        <v>19</v>
      </c>
      <c r="AD294" s="1" t="n">
        <f aca="false">IF(AND($M294=1,LEFT(对接源_01水果!$D294,4)="成品出库"),1,0)</f>
        <v>1</v>
      </c>
      <c r="AE294" s="1" t="n">
        <f aca="false">N(AE293)+$AD294</f>
        <v>21</v>
      </c>
      <c r="AF294" s="1" t="n">
        <f aca="false">IF(AND($N294=1,AND(LEFT(对接源_01水果!$D294,4)="包装物料",N(对接源_01水果!$K294)&lt;&gt;0)),1,0)</f>
        <v>0</v>
      </c>
      <c r="AG294" s="90" t="str">
        <f aca="false">IF(对接源_01水果!$AC294="","",对接源_01水果!$AC294)</f>
        <v>电商/主播</v>
      </c>
      <c r="AH294" s="1" t="n">
        <f aca="false">IF(AND($N294=1,AND(LEFT(对接源_01水果!$D294,3)="周转筐",N(对接源_01水果!$K294)&lt;&gt;0)),1,0)</f>
        <v>0</v>
      </c>
      <c r="AI294" s="90" t="n">
        <f aca="false">IF(AG294="",0,IF(MATCH(AG294,$AG$4:$AG$1203,0)=ROW()-3,1,0))</f>
        <v>0</v>
      </c>
      <c r="AJ294" s="90" t="n">
        <f aca="false">N(AJ293)+AI294</f>
        <v>3</v>
      </c>
      <c r="AK294" s="1" t="n">
        <f aca="false">N(AK293)+$AJ294</f>
        <v>40</v>
      </c>
    </row>
    <row r="295" customFormat="false" ht="13.5" hidden="false" customHeight="false" outlineLevel="0" collapsed="false">
      <c r="A295" s="1" t="str">
        <f aca="false">IF(对接源_01水果!$C295="","",对接源_01水果!$C295)</f>
        <v>王照雪</v>
      </c>
      <c r="B295" s="1" t="n">
        <f aca="false">IF(A295="",0,IF(MATCH(A295,$A$4:$A$2403,0)=ROW()-3,1,0))</f>
        <v>0</v>
      </c>
      <c r="C295" s="1" t="n">
        <f aca="false">N(C294)+B295</f>
        <v>13</v>
      </c>
      <c r="E295" s="1" t="str">
        <f aca="false">IFERROR(INDEX($A$4:$A$2403,MATCH(ROW()-3,$C$4:$C$2403,0)),"")</f>
        <v/>
      </c>
      <c r="K295" s="1" t="n">
        <f aca="false">IF(OR($K$1="",对接源_01水果!$C295="",对接源_01水果!$C295&lt;&gt;$K$1,对接源_01水果!$B295=""),0,IF(OR(N(对接源_01水果!$B295)&lt;$K$2,N(对接源_01水果!$B295)&gt;$K$3),0,1))</f>
        <v>1</v>
      </c>
      <c r="L295" s="1" t="n">
        <f aca="false">IF(OR($L$1="",对接源_01水果!$C295="",对接源_01水果!$C295&lt;&gt;$L$1,对接源_01水果!$B295=""),0,IF(OR(N(对接源_01水果!$B295)&lt;$L$2,N(对接源_01水果!$B295)&gt;$L$3),0,1))</f>
        <v>0</v>
      </c>
      <c r="M295" s="1" t="n">
        <f aca="false">IF(OR($M$1="",对接源_01水果!$C295="",对接源_01水果!$C295&lt;&gt;$M$1,对接源_01水果!$B295=""),0,IF(OR(N(对接源_01水果!$B295)&lt;$M$2,N(对接源_01水果!$B295)&gt;$M$3),0,1))</f>
        <v>1</v>
      </c>
      <c r="N295" s="1" t="n">
        <f aca="false">IF(OR($N$1="",对接源_01水果!$C295="",对接源_01水果!$C295&lt;&gt;$N$1,对接源_01水果!$B295=""),0,IF(OR(N(对接源_01水果!$B295)&lt;$N$2,N(对接源_01水果!$B295)&gt;$N$3),0,1))</f>
        <v>0</v>
      </c>
      <c r="P295" s="1" t="n">
        <f aca="false">IF(AND($K295=1,AND(对接源_01水果!$X295="公司筐",N(对接源_01水果!$T295)&lt;&gt;0)),1,0)</f>
        <v>0</v>
      </c>
      <c r="Q295" s="1" t="n">
        <f aca="false">N(Q294)+$P295</f>
        <v>3</v>
      </c>
      <c r="R295" s="1" t="n">
        <f aca="false">IF(AND($K295=1,AND(对接源_01水果!$X295="公司筐",N(对接源_01水果!$U295)&lt;&gt;0)),1,0)</f>
        <v>0</v>
      </c>
      <c r="S295" s="1" t="n">
        <f aca="false">N(S294)+$R295</f>
        <v>0</v>
      </c>
      <c r="T295" s="1" t="n">
        <f aca="false">IF(AND($K295=1,AND(对接源_01水果!$X295="公司筐",N(对接源_01水果!$V295)&lt;&gt;0)),1,0)</f>
        <v>0</v>
      </c>
      <c r="U295" s="1" t="n">
        <f aca="false">N(U294)+$T295</f>
        <v>28</v>
      </c>
      <c r="V295" s="1" t="n">
        <f aca="false">IF(AND($L295=1,AND(对接源_01水果!$X295="自备筐",N(对接源_01水果!$V295)&lt;&gt;0)),1,0)</f>
        <v>0</v>
      </c>
      <c r="W295" s="1" t="n">
        <f aca="false">N(W294)+$V295</f>
        <v>7</v>
      </c>
      <c r="X295" s="1" t="n">
        <f aca="false">IF(AND($L295=1,AND(对接源_01水果!$X295="自备筐",N(对接源_01水果!$T295)&lt;&gt;0)),1,0)</f>
        <v>0</v>
      </c>
      <c r="Y295" s="1" t="n">
        <f aca="false">N(Y294)+$X295</f>
        <v>0</v>
      </c>
      <c r="Z295" s="1" t="n">
        <f aca="false">IF(AND($M295=1,对接源_01水果!$D295="原料入库"),1,0)</f>
        <v>0</v>
      </c>
      <c r="AA295" s="1" t="n">
        <f aca="false">N(AA294)+$Z295</f>
        <v>30</v>
      </c>
      <c r="AB295" s="1" t="n">
        <f aca="false">IF(AND($M295=1,LEFT(对接源_01水果!$D295,4)="原料出库"),1,0)</f>
        <v>0</v>
      </c>
      <c r="AC295" s="1" t="n">
        <f aca="false">N(AC294)+$AB295</f>
        <v>19</v>
      </c>
      <c r="AD295" s="1" t="n">
        <f aca="false">IF(AND($M295=1,LEFT(对接源_01水果!$D295,4)="成品出库"),1,0)</f>
        <v>1</v>
      </c>
      <c r="AE295" s="1" t="n">
        <f aca="false">N(AE294)+$AD295</f>
        <v>22</v>
      </c>
      <c r="AF295" s="1" t="n">
        <f aca="false">IF(AND($N295=1,AND(LEFT(对接源_01水果!$D295,4)="包装物料",N(对接源_01水果!$K295)&lt;&gt;0)),1,0)</f>
        <v>0</v>
      </c>
      <c r="AG295" s="90" t="str">
        <f aca="false">IF(对接源_01水果!$AC295="","",对接源_01水果!$AC295)</f>
        <v>电商/主播</v>
      </c>
      <c r="AH295" s="1" t="n">
        <f aca="false">IF(AND($N295=1,AND(LEFT(对接源_01水果!$D295,3)="周转筐",N(对接源_01水果!$K295)&lt;&gt;0)),1,0)</f>
        <v>0</v>
      </c>
      <c r="AI295" s="90" t="n">
        <f aca="false">IF(AG295="",0,IF(MATCH(AG295,$AG$4:$AG$1203,0)=ROW()-3,1,0))</f>
        <v>0</v>
      </c>
      <c r="AJ295" s="90" t="n">
        <f aca="false">N(AJ294)+AI295</f>
        <v>3</v>
      </c>
      <c r="AK295" s="1" t="n">
        <f aca="false">N(AK294)+$AJ295</f>
        <v>43</v>
      </c>
    </row>
    <row r="296" customFormat="false" ht="13.5" hidden="false" customHeight="false" outlineLevel="0" collapsed="false">
      <c r="A296" s="1" t="str">
        <f aca="false">IF(对接源_01水果!$C296="","",对接源_01水果!$C296)</f>
        <v>王照雪</v>
      </c>
      <c r="B296" s="1" t="n">
        <f aca="false">IF(A296="",0,IF(MATCH(A296,$A$4:$A$2403,0)=ROW()-3,1,0))</f>
        <v>0</v>
      </c>
      <c r="C296" s="1" t="n">
        <f aca="false">N(C295)+B296</f>
        <v>13</v>
      </c>
      <c r="E296" s="1" t="str">
        <f aca="false">IFERROR(INDEX($A$4:$A$2403,MATCH(ROW()-3,$C$4:$C$2403,0)),"")</f>
        <v/>
      </c>
      <c r="K296" s="1" t="n">
        <f aca="false">IF(OR($K$1="",对接源_01水果!$C296="",对接源_01水果!$C296&lt;&gt;$K$1,对接源_01水果!$B296=""),0,IF(OR(N(对接源_01水果!$B296)&lt;$K$2,N(对接源_01水果!$B296)&gt;$K$3),0,1))</f>
        <v>1</v>
      </c>
      <c r="L296" s="1" t="n">
        <f aca="false">IF(OR($L$1="",对接源_01水果!$C296="",对接源_01水果!$C296&lt;&gt;$L$1,对接源_01水果!$B296=""),0,IF(OR(N(对接源_01水果!$B296)&lt;$L$2,N(对接源_01水果!$B296)&gt;$L$3),0,1))</f>
        <v>0</v>
      </c>
      <c r="M296" s="1" t="n">
        <f aca="false">IF(OR($M$1="",对接源_01水果!$C296="",对接源_01水果!$C296&lt;&gt;$M$1,对接源_01水果!$B296=""),0,IF(OR(N(对接源_01水果!$B296)&lt;$M$2,N(对接源_01水果!$B296)&gt;$M$3),0,1))</f>
        <v>1</v>
      </c>
      <c r="N296" s="1" t="n">
        <f aca="false">IF(OR($N$1="",对接源_01水果!$C296="",对接源_01水果!$C296&lt;&gt;$N$1,对接源_01水果!$B296=""),0,IF(OR(N(对接源_01水果!$B296)&lt;$N$2,N(对接源_01水果!$B296)&gt;$N$3),0,1))</f>
        <v>0</v>
      </c>
      <c r="P296" s="1" t="n">
        <f aca="false">IF(AND($K296=1,AND(对接源_01水果!$X296="公司筐",N(对接源_01水果!$T296)&lt;&gt;0)),1,0)</f>
        <v>0</v>
      </c>
      <c r="Q296" s="1" t="n">
        <f aca="false">N(Q295)+$P296</f>
        <v>3</v>
      </c>
      <c r="R296" s="1" t="n">
        <f aca="false">IF(AND($K296=1,AND(对接源_01水果!$X296="公司筐",N(对接源_01水果!$U296)&lt;&gt;0)),1,0)</f>
        <v>0</v>
      </c>
      <c r="S296" s="1" t="n">
        <f aca="false">N(S295)+$R296</f>
        <v>0</v>
      </c>
      <c r="T296" s="1" t="n">
        <f aca="false">IF(AND($K296=1,AND(对接源_01水果!$X296="公司筐",N(对接源_01水果!$V296)&lt;&gt;0)),1,0)</f>
        <v>0</v>
      </c>
      <c r="U296" s="1" t="n">
        <f aca="false">N(U295)+$T296</f>
        <v>28</v>
      </c>
      <c r="V296" s="1" t="n">
        <f aca="false">IF(AND($L296=1,AND(对接源_01水果!$X296="自备筐",N(对接源_01水果!$V296)&lt;&gt;0)),1,0)</f>
        <v>0</v>
      </c>
      <c r="W296" s="1" t="n">
        <f aca="false">N(W295)+$V296</f>
        <v>7</v>
      </c>
      <c r="X296" s="1" t="n">
        <f aca="false">IF(AND($L296=1,AND(对接源_01水果!$X296="自备筐",N(对接源_01水果!$T296)&lt;&gt;0)),1,0)</f>
        <v>0</v>
      </c>
      <c r="Y296" s="1" t="n">
        <f aca="false">N(Y295)+$X296</f>
        <v>0</v>
      </c>
      <c r="Z296" s="1" t="n">
        <f aca="false">IF(AND($M296=1,对接源_01水果!$D296="原料入库"),1,0)</f>
        <v>0</v>
      </c>
      <c r="AA296" s="1" t="n">
        <f aca="false">N(AA295)+$Z296</f>
        <v>30</v>
      </c>
      <c r="AB296" s="1" t="n">
        <f aca="false">IF(AND($M296=1,LEFT(对接源_01水果!$D296,4)="原料出库"),1,0)</f>
        <v>0</v>
      </c>
      <c r="AC296" s="1" t="n">
        <f aca="false">N(AC295)+$AB296</f>
        <v>19</v>
      </c>
      <c r="AD296" s="1" t="n">
        <f aca="false">IF(AND($M296=1,LEFT(对接源_01水果!$D296,4)="成品出库"),1,0)</f>
        <v>1</v>
      </c>
      <c r="AE296" s="1" t="n">
        <f aca="false">N(AE295)+$AD296</f>
        <v>23</v>
      </c>
      <c r="AF296" s="1" t="n">
        <f aca="false">IF(AND($N296=1,AND(LEFT(对接源_01水果!$D296,4)="包装物料",N(对接源_01水果!$K296)&lt;&gt;0)),1,0)</f>
        <v>0</v>
      </c>
      <c r="AG296" s="90" t="str">
        <f aca="false">IF(对接源_01水果!$AC296="","",对接源_01水果!$AC296)</f>
        <v>电商/主播</v>
      </c>
      <c r="AH296" s="1" t="n">
        <f aca="false">IF(AND($N296=1,AND(LEFT(对接源_01水果!$D296,3)="周转筐",N(对接源_01水果!$K296)&lt;&gt;0)),1,0)</f>
        <v>0</v>
      </c>
      <c r="AI296" s="90" t="n">
        <f aca="false">IF(AG296="",0,IF(MATCH(AG296,$AG$4:$AG$1203,0)=ROW()-3,1,0))</f>
        <v>0</v>
      </c>
      <c r="AJ296" s="90" t="n">
        <f aca="false">N(AJ295)+AI296</f>
        <v>3</v>
      </c>
      <c r="AK296" s="1" t="n">
        <f aca="false">N(AK295)+$AJ296</f>
        <v>46</v>
      </c>
    </row>
    <row r="297" customFormat="false" ht="13.5" hidden="false" customHeight="false" outlineLevel="0" collapsed="false">
      <c r="A297" s="1" t="str">
        <f aca="false">IF(对接源_01水果!$C297="","",对接源_01水果!$C297)</f>
        <v>王照雪</v>
      </c>
      <c r="B297" s="1" t="n">
        <f aca="false">IF(A297="",0,IF(MATCH(A297,$A$4:$A$2403,0)=ROW()-3,1,0))</f>
        <v>0</v>
      </c>
      <c r="C297" s="1" t="n">
        <f aca="false">N(C296)+B297</f>
        <v>13</v>
      </c>
      <c r="E297" s="1" t="str">
        <f aca="false">IFERROR(INDEX($A$4:$A$2403,MATCH(ROW()-3,$C$4:$C$2403,0)),"")</f>
        <v/>
      </c>
      <c r="K297" s="1" t="n">
        <f aca="false">IF(OR($K$1="",对接源_01水果!$C297="",对接源_01水果!$C297&lt;&gt;$K$1,对接源_01水果!$B297=""),0,IF(OR(N(对接源_01水果!$B297)&lt;$K$2,N(对接源_01水果!$B297)&gt;$K$3),0,1))</f>
        <v>1</v>
      </c>
      <c r="L297" s="1" t="n">
        <f aca="false">IF(OR($L$1="",对接源_01水果!$C297="",对接源_01水果!$C297&lt;&gt;$L$1,对接源_01水果!$B297=""),0,IF(OR(N(对接源_01水果!$B297)&lt;$L$2,N(对接源_01水果!$B297)&gt;$L$3),0,1))</f>
        <v>0</v>
      </c>
      <c r="M297" s="1" t="n">
        <f aca="false">IF(OR($M$1="",对接源_01水果!$C297="",对接源_01水果!$C297&lt;&gt;$M$1,对接源_01水果!$B297=""),0,IF(OR(N(对接源_01水果!$B297)&lt;$M$2,N(对接源_01水果!$B297)&gt;$M$3),0,1))</f>
        <v>1</v>
      </c>
      <c r="N297" s="1" t="n">
        <f aca="false">IF(OR($N$1="",对接源_01水果!$C297="",对接源_01水果!$C297&lt;&gt;$N$1,对接源_01水果!$B297=""),0,IF(OR(N(对接源_01水果!$B297)&lt;$N$2,N(对接源_01水果!$B297)&gt;$N$3),0,1))</f>
        <v>0</v>
      </c>
      <c r="P297" s="1" t="n">
        <f aca="false">IF(AND($K297=1,AND(对接源_01水果!$X297="公司筐",N(对接源_01水果!$T297)&lt;&gt;0)),1,0)</f>
        <v>0</v>
      </c>
      <c r="Q297" s="1" t="n">
        <f aca="false">N(Q296)+$P297</f>
        <v>3</v>
      </c>
      <c r="R297" s="1" t="n">
        <f aca="false">IF(AND($K297=1,AND(对接源_01水果!$X297="公司筐",N(对接源_01水果!$U297)&lt;&gt;0)),1,0)</f>
        <v>0</v>
      </c>
      <c r="S297" s="1" t="n">
        <f aca="false">N(S296)+$R297</f>
        <v>0</v>
      </c>
      <c r="T297" s="1" t="n">
        <f aca="false">IF(AND($K297=1,AND(对接源_01水果!$X297="公司筐",N(对接源_01水果!$V297)&lt;&gt;0)),1,0)</f>
        <v>0</v>
      </c>
      <c r="U297" s="1" t="n">
        <f aca="false">N(U296)+$T297</f>
        <v>28</v>
      </c>
      <c r="V297" s="1" t="n">
        <f aca="false">IF(AND($L297=1,AND(对接源_01水果!$X297="自备筐",N(对接源_01水果!$V297)&lt;&gt;0)),1,0)</f>
        <v>0</v>
      </c>
      <c r="W297" s="1" t="n">
        <f aca="false">N(W296)+$V297</f>
        <v>7</v>
      </c>
      <c r="X297" s="1" t="n">
        <f aca="false">IF(AND($L297=1,AND(对接源_01水果!$X297="自备筐",N(对接源_01水果!$T297)&lt;&gt;0)),1,0)</f>
        <v>0</v>
      </c>
      <c r="Y297" s="1" t="n">
        <f aca="false">N(Y296)+$X297</f>
        <v>0</v>
      </c>
      <c r="Z297" s="1" t="n">
        <f aca="false">IF(AND($M297=1,对接源_01水果!$D297="原料入库"),1,0)</f>
        <v>0</v>
      </c>
      <c r="AA297" s="1" t="n">
        <f aca="false">N(AA296)+$Z297</f>
        <v>30</v>
      </c>
      <c r="AB297" s="1" t="n">
        <f aca="false">IF(AND($M297=1,LEFT(对接源_01水果!$D297,4)="原料出库"),1,0)</f>
        <v>0</v>
      </c>
      <c r="AC297" s="1" t="n">
        <f aca="false">N(AC296)+$AB297</f>
        <v>19</v>
      </c>
      <c r="AD297" s="1" t="n">
        <f aca="false">IF(AND($M297=1,LEFT(对接源_01水果!$D297,4)="成品出库"),1,0)</f>
        <v>1</v>
      </c>
      <c r="AE297" s="1" t="n">
        <f aca="false">N(AE296)+$AD297</f>
        <v>24</v>
      </c>
      <c r="AF297" s="1" t="n">
        <f aca="false">IF(AND($N297=1,AND(LEFT(对接源_01水果!$D297,4)="包装物料",N(对接源_01水果!$K297)&lt;&gt;0)),1,0)</f>
        <v>0</v>
      </c>
      <c r="AG297" s="90" t="str">
        <f aca="false">IF(对接源_01水果!$AC297="","",对接源_01水果!$AC297)</f>
        <v>电商/主播</v>
      </c>
      <c r="AH297" s="1" t="n">
        <f aca="false">IF(AND($N297=1,AND(LEFT(对接源_01水果!$D297,3)="周转筐",N(对接源_01水果!$K297)&lt;&gt;0)),1,0)</f>
        <v>0</v>
      </c>
      <c r="AI297" s="90" t="n">
        <f aca="false">IF(AG297="",0,IF(MATCH(AG297,$AG$4:$AG$1203,0)=ROW()-3,1,0))</f>
        <v>0</v>
      </c>
      <c r="AJ297" s="90" t="n">
        <f aca="false">N(AJ296)+AI297</f>
        <v>3</v>
      </c>
      <c r="AK297" s="1" t="n">
        <f aca="false">N(AK296)+$AJ297</f>
        <v>49</v>
      </c>
    </row>
    <row r="298" customFormat="false" ht="13.5" hidden="false" customHeight="false" outlineLevel="0" collapsed="false">
      <c r="A298" s="1" t="str">
        <f aca="false">IF(对接源_01水果!$C298="","",对接源_01水果!$C298)</f>
        <v>王照雪</v>
      </c>
      <c r="B298" s="1" t="n">
        <f aca="false">IF(A298="",0,IF(MATCH(A298,$A$4:$A$2403,0)=ROW()-3,1,0))</f>
        <v>0</v>
      </c>
      <c r="C298" s="1" t="n">
        <f aca="false">N(C297)+B298</f>
        <v>13</v>
      </c>
      <c r="E298" s="1" t="str">
        <f aca="false">IFERROR(INDEX($A$4:$A$2403,MATCH(ROW()-3,$C$4:$C$2403,0)),"")</f>
        <v/>
      </c>
      <c r="K298" s="1" t="n">
        <f aca="false">IF(OR($K$1="",对接源_01水果!$C298="",对接源_01水果!$C298&lt;&gt;$K$1,对接源_01水果!$B298=""),0,IF(OR(N(对接源_01水果!$B298)&lt;$K$2,N(对接源_01水果!$B298)&gt;$K$3),0,1))</f>
        <v>1</v>
      </c>
      <c r="L298" s="1" t="n">
        <f aca="false">IF(OR($L$1="",对接源_01水果!$C298="",对接源_01水果!$C298&lt;&gt;$L$1,对接源_01水果!$B298=""),0,IF(OR(N(对接源_01水果!$B298)&lt;$L$2,N(对接源_01水果!$B298)&gt;$L$3),0,1))</f>
        <v>0</v>
      </c>
      <c r="M298" s="1" t="n">
        <f aca="false">IF(OR($M$1="",对接源_01水果!$C298="",对接源_01水果!$C298&lt;&gt;$M$1,对接源_01水果!$B298=""),0,IF(OR(N(对接源_01水果!$B298)&lt;$M$2,N(对接源_01水果!$B298)&gt;$M$3),0,1))</f>
        <v>1</v>
      </c>
      <c r="N298" s="1" t="n">
        <f aca="false">IF(OR($N$1="",对接源_01水果!$C298="",对接源_01水果!$C298&lt;&gt;$N$1,对接源_01水果!$B298=""),0,IF(OR(N(对接源_01水果!$B298)&lt;$N$2,N(对接源_01水果!$B298)&gt;$N$3),0,1))</f>
        <v>0</v>
      </c>
      <c r="P298" s="1" t="n">
        <f aca="false">IF(AND($K298=1,AND(对接源_01水果!$X298="公司筐",N(对接源_01水果!$T298)&lt;&gt;0)),1,0)</f>
        <v>0</v>
      </c>
      <c r="Q298" s="1" t="n">
        <f aca="false">N(Q297)+$P298</f>
        <v>3</v>
      </c>
      <c r="R298" s="1" t="n">
        <f aca="false">IF(AND($K298=1,AND(对接源_01水果!$X298="公司筐",N(对接源_01水果!$U298)&lt;&gt;0)),1,0)</f>
        <v>0</v>
      </c>
      <c r="S298" s="1" t="n">
        <f aca="false">N(S297)+$R298</f>
        <v>0</v>
      </c>
      <c r="T298" s="1" t="n">
        <f aca="false">IF(AND($K298=1,AND(对接源_01水果!$X298="公司筐",N(对接源_01水果!$V298)&lt;&gt;0)),1,0)</f>
        <v>0</v>
      </c>
      <c r="U298" s="1" t="n">
        <f aca="false">N(U297)+$T298</f>
        <v>28</v>
      </c>
      <c r="V298" s="1" t="n">
        <f aca="false">IF(AND($L298=1,AND(对接源_01水果!$X298="自备筐",N(对接源_01水果!$V298)&lt;&gt;0)),1,0)</f>
        <v>0</v>
      </c>
      <c r="W298" s="1" t="n">
        <f aca="false">N(W297)+$V298</f>
        <v>7</v>
      </c>
      <c r="X298" s="1" t="n">
        <f aca="false">IF(AND($L298=1,AND(对接源_01水果!$X298="自备筐",N(对接源_01水果!$T298)&lt;&gt;0)),1,0)</f>
        <v>0</v>
      </c>
      <c r="Y298" s="1" t="n">
        <f aca="false">N(Y297)+$X298</f>
        <v>0</v>
      </c>
      <c r="Z298" s="1" t="n">
        <f aca="false">IF(AND($M298=1,对接源_01水果!$D298="原料入库"),1,0)</f>
        <v>0</v>
      </c>
      <c r="AA298" s="1" t="n">
        <f aca="false">N(AA297)+$Z298</f>
        <v>30</v>
      </c>
      <c r="AB298" s="1" t="n">
        <f aca="false">IF(AND($M298=1,LEFT(对接源_01水果!$D298,4)="原料出库"),1,0)</f>
        <v>0</v>
      </c>
      <c r="AC298" s="1" t="n">
        <f aca="false">N(AC297)+$AB298</f>
        <v>19</v>
      </c>
      <c r="AD298" s="1" t="n">
        <f aca="false">IF(AND($M298=1,LEFT(对接源_01水果!$D298,4)="成品出库"),1,0)</f>
        <v>1</v>
      </c>
      <c r="AE298" s="1" t="n">
        <f aca="false">N(AE297)+$AD298</f>
        <v>25</v>
      </c>
      <c r="AF298" s="1" t="n">
        <f aca="false">IF(AND($N298=1,AND(LEFT(对接源_01水果!$D298,4)="包装物料",N(对接源_01水果!$K298)&lt;&gt;0)),1,0)</f>
        <v>0</v>
      </c>
      <c r="AG298" s="90" t="str">
        <f aca="false">IF(对接源_01水果!$AC298="","",对接源_01水果!$AC298)</f>
        <v>电商/主播</v>
      </c>
      <c r="AH298" s="1" t="n">
        <f aca="false">IF(AND($N298=1,AND(LEFT(对接源_01水果!$D298,3)="周转筐",N(对接源_01水果!$K298)&lt;&gt;0)),1,0)</f>
        <v>0</v>
      </c>
      <c r="AI298" s="90" t="n">
        <f aca="false">IF(AG298="",0,IF(MATCH(AG298,$AG$4:$AG$1203,0)=ROW()-3,1,0))</f>
        <v>0</v>
      </c>
      <c r="AJ298" s="90" t="n">
        <f aca="false">N(AJ297)+AI298</f>
        <v>3</v>
      </c>
      <c r="AK298" s="1" t="n">
        <f aca="false">N(AK297)+$AJ298</f>
        <v>52</v>
      </c>
    </row>
    <row r="299" customFormat="false" ht="13.5" hidden="false" customHeight="false" outlineLevel="0" collapsed="false">
      <c r="A299" s="1" t="str">
        <f aca="false">IF(对接源_01水果!$C299="","",对接源_01水果!$C299)</f>
        <v>王照雪</v>
      </c>
      <c r="B299" s="1" t="n">
        <f aca="false">IF(A299="",0,IF(MATCH(A299,$A$4:$A$2403,0)=ROW()-3,1,0))</f>
        <v>0</v>
      </c>
      <c r="C299" s="1" t="n">
        <f aca="false">N(C298)+B299</f>
        <v>13</v>
      </c>
      <c r="E299" s="1" t="str">
        <f aca="false">IFERROR(INDEX($A$4:$A$2403,MATCH(ROW()-3,$C$4:$C$2403,0)),"")</f>
        <v/>
      </c>
      <c r="K299" s="1" t="n">
        <f aca="false">IF(OR($K$1="",对接源_01水果!$C299="",对接源_01水果!$C299&lt;&gt;$K$1,对接源_01水果!$B299=""),0,IF(OR(N(对接源_01水果!$B299)&lt;$K$2,N(对接源_01水果!$B299)&gt;$K$3),0,1))</f>
        <v>1</v>
      </c>
      <c r="L299" s="1" t="n">
        <f aca="false">IF(OR($L$1="",对接源_01水果!$C299="",对接源_01水果!$C299&lt;&gt;$L$1,对接源_01水果!$B299=""),0,IF(OR(N(对接源_01水果!$B299)&lt;$L$2,N(对接源_01水果!$B299)&gt;$L$3),0,1))</f>
        <v>0</v>
      </c>
      <c r="M299" s="1" t="n">
        <f aca="false">IF(OR($M$1="",对接源_01水果!$C299="",对接源_01水果!$C299&lt;&gt;$M$1,对接源_01水果!$B299=""),0,IF(OR(N(对接源_01水果!$B299)&lt;$M$2,N(对接源_01水果!$B299)&gt;$M$3),0,1))</f>
        <v>1</v>
      </c>
      <c r="N299" s="1" t="n">
        <f aca="false">IF(OR($N$1="",对接源_01水果!$C299="",对接源_01水果!$C299&lt;&gt;$N$1,对接源_01水果!$B299=""),0,IF(OR(N(对接源_01水果!$B299)&lt;$N$2,N(对接源_01水果!$B299)&gt;$N$3),0,1))</f>
        <v>0</v>
      </c>
      <c r="P299" s="1" t="n">
        <f aca="false">IF(AND($K299=1,AND(对接源_01水果!$X299="公司筐",N(对接源_01水果!$T299)&lt;&gt;0)),1,0)</f>
        <v>0</v>
      </c>
      <c r="Q299" s="1" t="n">
        <f aca="false">N(Q298)+$P299</f>
        <v>3</v>
      </c>
      <c r="R299" s="1" t="n">
        <f aca="false">IF(AND($K299=1,AND(对接源_01水果!$X299="公司筐",N(对接源_01水果!$U299)&lt;&gt;0)),1,0)</f>
        <v>0</v>
      </c>
      <c r="S299" s="1" t="n">
        <f aca="false">N(S298)+$R299</f>
        <v>0</v>
      </c>
      <c r="T299" s="1" t="n">
        <f aca="false">IF(AND($K299=1,AND(对接源_01水果!$X299="公司筐",N(对接源_01水果!$V299)&lt;&gt;0)),1,0)</f>
        <v>0</v>
      </c>
      <c r="U299" s="1" t="n">
        <f aca="false">N(U298)+$T299</f>
        <v>28</v>
      </c>
      <c r="V299" s="1" t="n">
        <f aca="false">IF(AND($L299=1,AND(对接源_01水果!$X299="自备筐",N(对接源_01水果!$V299)&lt;&gt;0)),1,0)</f>
        <v>0</v>
      </c>
      <c r="W299" s="1" t="n">
        <f aca="false">N(W298)+$V299</f>
        <v>7</v>
      </c>
      <c r="X299" s="1" t="n">
        <f aca="false">IF(AND($L299=1,AND(对接源_01水果!$X299="自备筐",N(对接源_01水果!$T299)&lt;&gt;0)),1,0)</f>
        <v>0</v>
      </c>
      <c r="Y299" s="1" t="n">
        <f aca="false">N(Y298)+$X299</f>
        <v>0</v>
      </c>
      <c r="Z299" s="1" t="n">
        <f aca="false">IF(AND($M299=1,对接源_01水果!$D299="原料入库"),1,0)</f>
        <v>0</v>
      </c>
      <c r="AA299" s="1" t="n">
        <f aca="false">N(AA298)+$Z299</f>
        <v>30</v>
      </c>
      <c r="AB299" s="1" t="n">
        <f aca="false">IF(AND($M299=1,LEFT(对接源_01水果!$D299,4)="原料出库"),1,0)</f>
        <v>0</v>
      </c>
      <c r="AC299" s="1" t="n">
        <f aca="false">N(AC298)+$AB299</f>
        <v>19</v>
      </c>
      <c r="AD299" s="1" t="n">
        <f aca="false">IF(AND($M299=1,LEFT(对接源_01水果!$D299,4)="成品出库"),1,0)</f>
        <v>1</v>
      </c>
      <c r="AE299" s="1" t="n">
        <f aca="false">N(AE298)+$AD299</f>
        <v>26</v>
      </c>
      <c r="AF299" s="1" t="n">
        <f aca="false">IF(AND($N299=1,AND(LEFT(对接源_01水果!$D299,4)="包装物料",N(对接源_01水果!$K299)&lt;&gt;0)),1,0)</f>
        <v>0</v>
      </c>
      <c r="AG299" s="90" t="str">
        <f aca="false">IF(对接源_01水果!$AC299="","",对接源_01水果!$AC299)</f>
        <v>聂新平</v>
      </c>
      <c r="AH299" s="1" t="n">
        <f aca="false">IF(AND($N299=1,AND(LEFT(对接源_01水果!$D299,3)="周转筐",N(对接源_01水果!$K299)&lt;&gt;0)),1,0)</f>
        <v>0</v>
      </c>
      <c r="AI299" s="90" t="n">
        <f aca="false">IF(AG299="",0,IF(MATCH(AG299,$AG$4:$AG$1203,0)=ROW()-3,1,0))</f>
        <v>1</v>
      </c>
      <c r="AJ299" s="90" t="n">
        <f aca="false">N(AJ298)+AI299</f>
        <v>4</v>
      </c>
      <c r="AK299" s="1" t="n">
        <f aca="false">N(AK298)+$AJ299</f>
        <v>56</v>
      </c>
    </row>
    <row r="300" customFormat="false" ht="13.5" hidden="false" customHeight="false" outlineLevel="0" collapsed="false">
      <c r="A300" s="1" t="str">
        <f aca="false">IF(对接源_01水果!$C300="","",对接源_01水果!$C300)</f>
        <v>聂新平</v>
      </c>
      <c r="B300" s="1" t="n">
        <f aca="false">IF(A300="",0,IF(MATCH(A300,$A$4:$A$2403,0)=ROW()-3,1,0))</f>
        <v>0</v>
      </c>
      <c r="C300" s="1" t="n">
        <f aca="false">N(C299)+B300</f>
        <v>13</v>
      </c>
      <c r="E300" s="1" t="str">
        <f aca="false">IFERROR(INDEX($A$4:$A$2403,MATCH(ROW()-3,$C$4:$C$2403,0)),"")</f>
        <v/>
      </c>
      <c r="K300" s="1" t="n">
        <f aca="false">IF(OR($K$1="",对接源_01水果!$C300="",对接源_01水果!$C300&lt;&gt;$K$1,对接源_01水果!$B300=""),0,IF(OR(N(对接源_01水果!$B300)&lt;$K$2,N(对接源_01水果!$B300)&gt;$K$3),0,1))</f>
        <v>0</v>
      </c>
      <c r="L300" s="1" t="n">
        <f aca="false">IF(OR($L$1="",对接源_01水果!$C300="",对接源_01水果!$C300&lt;&gt;$L$1,对接源_01水果!$B300=""),0,IF(OR(N(对接源_01水果!$B300)&lt;$L$2,N(对接源_01水果!$B300)&gt;$L$3),0,1))</f>
        <v>0</v>
      </c>
      <c r="M300" s="1" t="n">
        <f aca="false">IF(OR($M$1="",对接源_01水果!$C300="",对接源_01水果!$C300&lt;&gt;$M$1,对接源_01水果!$B300=""),0,IF(OR(N(对接源_01水果!$B300)&lt;$M$2,N(对接源_01水果!$B300)&gt;$M$3),0,1))</f>
        <v>0</v>
      </c>
      <c r="N300" s="1" t="n">
        <f aca="false">IF(OR($N$1="",对接源_01水果!$C300="",对接源_01水果!$C300&lt;&gt;$N$1,对接源_01水果!$B300=""),0,IF(OR(N(对接源_01水果!$B300)&lt;$N$2,N(对接源_01水果!$B300)&gt;$N$3),0,1))</f>
        <v>0</v>
      </c>
      <c r="P300" s="1" t="n">
        <f aca="false">IF(AND($K300=1,AND(对接源_01水果!$X300="公司筐",N(对接源_01水果!$T300)&lt;&gt;0)),1,0)</f>
        <v>0</v>
      </c>
      <c r="Q300" s="1" t="n">
        <f aca="false">N(Q299)+$P300</f>
        <v>3</v>
      </c>
      <c r="R300" s="1" t="n">
        <f aca="false">IF(AND($K300=1,AND(对接源_01水果!$X300="公司筐",N(对接源_01水果!$U300)&lt;&gt;0)),1,0)</f>
        <v>0</v>
      </c>
      <c r="S300" s="1" t="n">
        <f aca="false">N(S299)+$R300</f>
        <v>0</v>
      </c>
      <c r="T300" s="1" t="n">
        <f aca="false">IF(AND($K300=1,AND(对接源_01水果!$X300="公司筐",N(对接源_01水果!$V300)&lt;&gt;0)),1,0)</f>
        <v>0</v>
      </c>
      <c r="U300" s="1" t="n">
        <f aca="false">N(U299)+$T300</f>
        <v>28</v>
      </c>
      <c r="V300" s="1" t="n">
        <f aca="false">IF(AND($L300=1,AND(对接源_01水果!$X300="自备筐",N(对接源_01水果!$V300)&lt;&gt;0)),1,0)</f>
        <v>0</v>
      </c>
      <c r="W300" s="1" t="n">
        <f aca="false">N(W299)+$V300</f>
        <v>7</v>
      </c>
      <c r="X300" s="1" t="n">
        <f aca="false">IF(AND($L300=1,AND(对接源_01水果!$X300="自备筐",N(对接源_01水果!$T300)&lt;&gt;0)),1,0)</f>
        <v>0</v>
      </c>
      <c r="Y300" s="1" t="n">
        <f aca="false">N(Y299)+$X300</f>
        <v>0</v>
      </c>
      <c r="Z300" s="1" t="n">
        <f aca="false">IF(AND($M300=1,对接源_01水果!$D300="原料入库"),1,0)</f>
        <v>0</v>
      </c>
      <c r="AA300" s="1" t="n">
        <f aca="false">N(AA299)+$Z300</f>
        <v>30</v>
      </c>
      <c r="AB300" s="1" t="n">
        <f aca="false">IF(AND($M300=1,LEFT(对接源_01水果!$D300,4)="原料出库"),1,0)</f>
        <v>0</v>
      </c>
      <c r="AC300" s="1" t="n">
        <f aca="false">N(AC299)+$AB300</f>
        <v>19</v>
      </c>
      <c r="AD300" s="1" t="n">
        <f aca="false">IF(AND($M300=1,LEFT(对接源_01水果!$D300,4)="成品出库"),1,0)</f>
        <v>0</v>
      </c>
      <c r="AE300" s="1" t="n">
        <f aca="false">N(AE299)+$AD300</f>
        <v>26</v>
      </c>
      <c r="AF300" s="1" t="n">
        <f aca="false">IF(AND($N300=1,AND(LEFT(对接源_01水果!$D300,4)="包装物料",N(对接源_01水果!$K300)&lt;&gt;0)),1,0)</f>
        <v>0</v>
      </c>
      <c r="AG300" s="90" t="str">
        <f aca="false">IF(对接源_01水果!$AC300="","",对接源_01水果!$AC300)</f>
        <v>电商/主播</v>
      </c>
      <c r="AH300" s="1" t="n">
        <f aca="false">IF(AND($N300=1,AND(LEFT(对接源_01水果!$D300,3)="周转筐",N(对接源_01水果!$K300)&lt;&gt;0)),1,0)</f>
        <v>0</v>
      </c>
      <c r="AI300" s="90" t="n">
        <f aca="false">IF(AG300="",0,IF(MATCH(AG300,$AG$4:$AG$1203,0)=ROW()-3,1,0))</f>
        <v>0</v>
      </c>
      <c r="AJ300" s="90" t="n">
        <f aca="false">N(AJ299)+AI300</f>
        <v>4</v>
      </c>
      <c r="AK300" s="1" t="n">
        <f aca="false">N(AK299)+$AJ300</f>
        <v>60</v>
      </c>
    </row>
    <row r="301" customFormat="false" ht="13.5" hidden="false" customHeight="false" outlineLevel="0" collapsed="false">
      <c r="A301" s="1" t="str">
        <f aca="false">IF(对接源_01水果!$C301="","",对接源_01水果!$C301)</f>
        <v>王照雪</v>
      </c>
      <c r="B301" s="1" t="n">
        <f aca="false">IF(A301="",0,IF(MATCH(A301,$A$4:$A$2403,0)=ROW()-3,1,0))</f>
        <v>0</v>
      </c>
      <c r="C301" s="1" t="n">
        <f aca="false">N(C300)+B301</f>
        <v>13</v>
      </c>
      <c r="E301" s="1" t="str">
        <f aca="false">IFERROR(INDEX($A$4:$A$2403,MATCH(ROW()-3,$C$4:$C$2403,0)),"")</f>
        <v/>
      </c>
      <c r="K301" s="1" t="n">
        <f aca="false">IF(OR($K$1="",对接源_01水果!$C301="",对接源_01水果!$C301&lt;&gt;$K$1,对接源_01水果!$B301=""),0,IF(OR(N(对接源_01水果!$B301)&lt;$K$2,N(对接源_01水果!$B301)&gt;$K$3),0,1))</f>
        <v>1</v>
      </c>
      <c r="L301" s="1" t="n">
        <f aca="false">IF(OR($L$1="",对接源_01水果!$C301="",对接源_01水果!$C301&lt;&gt;$L$1,对接源_01水果!$B301=""),0,IF(OR(N(对接源_01水果!$B301)&lt;$L$2,N(对接源_01水果!$B301)&gt;$L$3),0,1))</f>
        <v>0</v>
      </c>
      <c r="M301" s="1" t="n">
        <f aca="false">IF(OR($M$1="",对接源_01水果!$C301="",对接源_01水果!$C301&lt;&gt;$M$1,对接源_01水果!$B301=""),0,IF(OR(N(对接源_01水果!$B301)&lt;$M$2,N(对接源_01水果!$B301)&gt;$M$3),0,1))</f>
        <v>1</v>
      </c>
      <c r="N301" s="1" t="n">
        <f aca="false">IF(OR($N$1="",对接源_01水果!$C301="",对接源_01水果!$C301&lt;&gt;$N$1,对接源_01水果!$B301=""),0,IF(OR(N(对接源_01水果!$B301)&lt;$N$2,N(对接源_01水果!$B301)&gt;$N$3),0,1))</f>
        <v>0</v>
      </c>
      <c r="P301" s="1" t="n">
        <f aca="false">IF(AND($K301=1,AND(对接源_01水果!$X301="公司筐",N(对接源_01水果!$T301)&lt;&gt;0)),1,0)</f>
        <v>0</v>
      </c>
      <c r="Q301" s="1" t="n">
        <f aca="false">N(Q300)+$P301</f>
        <v>3</v>
      </c>
      <c r="R301" s="1" t="n">
        <f aca="false">IF(AND($K301=1,AND(对接源_01水果!$X301="公司筐",N(对接源_01水果!$U301)&lt;&gt;0)),1,0)</f>
        <v>0</v>
      </c>
      <c r="S301" s="1" t="n">
        <f aca="false">N(S300)+$R301</f>
        <v>0</v>
      </c>
      <c r="T301" s="1" t="n">
        <f aca="false">IF(AND($K301=1,AND(对接源_01水果!$X301="公司筐",N(对接源_01水果!$V301)&lt;&gt;0)),1,0)</f>
        <v>0</v>
      </c>
      <c r="U301" s="1" t="n">
        <f aca="false">N(U300)+$T301</f>
        <v>28</v>
      </c>
      <c r="V301" s="1" t="n">
        <f aca="false">IF(AND($L301=1,AND(对接源_01水果!$X301="自备筐",N(对接源_01水果!$V301)&lt;&gt;0)),1,0)</f>
        <v>0</v>
      </c>
      <c r="W301" s="1" t="n">
        <f aca="false">N(W300)+$V301</f>
        <v>7</v>
      </c>
      <c r="X301" s="1" t="n">
        <f aca="false">IF(AND($L301=1,AND(对接源_01水果!$X301="自备筐",N(对接源_01水果!$T301)&lt;&gt;0)),1,0)</f>
        <v>0</v>
      </c>
      <c r="Y301" s="1" t="n">
        <f aca="false">N(Y300)+$X301</f>
        <v>0</v>
      </c>
      <c r="Z301" s="1" t="n">
        <f aca="false">IF(AND($M301=1,对接源_01水果!$D301="原料入库"),1,0)</f>
        <v>0</v>
      </c>
      <c r="AA301" s="1" t="n">
        <f aca="false">N(AA300)+$Z301</f>
        <v>30</v>
      </c>
      <c r="AB301" s="1" t="n">
        <f aca="false">IF(AND($M301=1,LEFT(对接源_01水果!$D301,4)="原料出库"),1,0)</f>
        <v>0</v>
      </c>
      <c r="AC301" s="1" t="n">
        <f aca="false">N(AC300)+$AB301</f>
        <v>19</v>
      </c>
      <c r="AD301" s="1" t="n">
        <f aca="false">IF(AND($M301=1,LEFT(对接源_01水果!$D301,4)="成品出库"),1,0)</f>
        <v>1</v>
      </c>
      <c r="AE301" s="1" t="n">
        <f aca="false">N(AE300)+$AD301</f>
        <v>27</v>
      </c>
      <c r="AF301" s="1" t="n">
        <f aca="false">IF(AND($N301=1,AND(LEFT(对接源_01水果!$D301,4)="包装物料",N(对接源_01水果!$K301)&lt;&gt;0)),1,0)</f>
        <v>0</v>
      </c>
      <c r="AG301" s="90" t="str">
        <f aca="false">IF(对接源_01水果!$AC301="","",对接源_01水果!$AC301)</f>
        <v>电商/主播</v>
      </c>
      <c r="AH301" s="1" t="n">
        <f aca="false">IF(AND($N301=1,AND(LEFT(对接源_01水果!$D301,3)="周转筐",N(对接源_01水果!$K301)&lt;&gt;0)),1,0)</f>
        <v>0</v>
      </c>
      <c r="AI301" s="90" t="n">
        <f aca="false">IF(AG301="",0,IF(MATCH(AG301,$AG$4:$AG$1203,0)=ROW()-3,1,0))</f>
        <v>0</v>
      </c>
      <c r="AJ301" s="90" t="n">
        <f aca="false">N(AJ300)+AI301</f>
        <v>4</v>
      </c>
      <c r="AK301" s="1" t="n">
        <f aca="false">N(AK300)+$AJ301</f>
        <v>64</v>
      </c>
    </row>
    <row r="302" customFormat="false" ht="13.5" hidden="false" customHeight="false" outlineLevel="0" collapsed="false">
      <c r="A302" s="1" t="str">
        <f aca="false">IF(对接源_01水果!$C302="","",对接源_01水果!$C302)</f>
        <v>王照雪</v>
      </c>
      <c r="B302" s="1" t="n">
        <f aca="false">IF(A302="",0,IF(MATCH(A302,$A$4:$A$2403,0)=ROW()-3,1,0))</f>
        <v>0</v>
      </c>
      <c r="C302" s="1" t="n">
        <f aca="false">N(C301)+B302</f>
        <v>13</v>
      </c>
      <c r="E302" s="1" t="str">
        <f aca="false">IFERROR(INDEX($A$4:$A$2403,MATCH(ROW()-3,$C$4:$C$2403,0)),"")</f>
        <v/>
      </c>
      <c r="K302" s="1" t="n">
        <f aca="false">IF(OR($K$1="",对接源_01水果!$C302="",对接源_01水果!$C302&lt;&gt;$K$1,对接源_01水果!$B302=""),0,IF(OR(N(对接源_01水果!$B302)&lt;$K$2,N(对接源_01水果!$B302)&gt;$K$3),0,1))</f>
        <v>1</v>
      </c>
      <c r="L302" s="1" t="n">
        <f aca="false">IF(OR($L$1="",对接源_01水果!$C302="",对接源_01水果!$C302&lt;&gt;$L$1,对接源_01水果!$B302=""),0,IF(OR(N(对接源_01水果!$B302)&lt;$L$2,N(对接源_01水果!$B302)&gt;$L$3),0,1))</f>
        <v>0</v>
      </c>
      <c r="M302" s="1" t="n">
        <f aca="false">IF(OR($M$1="",对接源_01水果!$C302="",对接源_01水果!$C302&lt;&gt;$M$1,对接源_01水果!$B302=""),0,IF(OR(N(对接源_01水果!$B302)&lt;$M$2,N(对接源_01水果!$B302)&gt;$M$3),0,1))</f>
        <v>1</v>
      </c>
      <c r="N302" s="1" t="n">
        <f aca="false">IF(OR($N$1="",对接源_01水果!$C302="",对接源_01水果!$C302&lt;&gt;$N$1,对接源_01水果!$B302=""),0,IF(OR(N(对接源_01水果!$B302)&lt;$N$2,N(对接源_01水果!$B302)&gt;$N$3),0,1))</f>
        <v>0</v>
      </c>
      <c r="P302" s="1" t="n">
        <f aca="false">IF(AND($K302=1,AND(对接源_01水果!$X302="公司筐",N(对接源_01水果!$T302)&lt;&gt;0)),1,0)</f>
        <v>0</v>
      </c>
      <c r="Q302" s="1" t="n">
        <f aca="false">N(Q301)+$P302</f>
        <v>3</v>
      </c>
      <c r="R302" s="1" t="n">
        <f aca="false">IF(AND($K302=1,AND(对接源_01水果!$X302="公司筐",N(对接源_01水果!$U302)&lt;&gt;0)),1,0)</f>
        <v>0</v>
      </c>
      <c r="S302" s="1" t="n">
        <f aca="false">N(S301)+$R302</f>
        <v>0</v>
      </c>
      <c r="T302" s="1" t="n">
        <f aca="false">IF(AND($K302=1,AND(对接源_01水果!$X302="公司筐",N(对接源_01水果!$V302)&lt;&gt;0)),1,0)</f>
        <v>0</v>
      </c>
      <c r="U302" s="1" t="n">
        <f aca="false">N(U301)+$T302</f>
        <v>28</v>
      </c>
      <c r="V302" s="1" t="n">
        <f aca="false">IF(AND($L302=1,AND(对接源_01水果!$X302="自备筐",N(对接源_01水果!$V302)&lt;&gt;0)),1,0)</f>
        <v>0</v>
      </c>
      <c r="W302" s="1" t="n">
        <f aca="false">N(W301)+$V302</f>
        <v>7</v>
      </c>
      <c r="X302" s="1" t="n">
        <f aca="false">IF(AND($L302=1,AND(对接源_01水果!$X302="自备筐",N(对接源_01水果!$T302)&lt;&gt;0)),1,0)</f>
        <v>0</v>
      </c>
      <c r="Y302" s="1" t="n">
        <f aca="false">N(Y301)+$X302</f>
        <v>0</v>
      </c>
      <c r="Z302" s="1" t="n">
        <f aca="false">IF(AND($M302=1,对接源_01水果!$D302="原料入库"),1,0)</f>
        <v>0</v>
      </c>
      <c r="AA302" s="1" t="n">
        <f aca="false">N(AA301)+$Z302</f>
        <v>30</v>
      </c>
      <c r="AB302" s="1" t="n">
        <f aca="false">IF(AND($M302=1,LEFT(对接源_01水果!$D302,4)="原料出库"),1,0)</f>
        <v>0</v>
      </c>
      <c r="AC302" s="1" t="n">
        <f aca="false">N(AC301)+$AB302</f>
        <v>19</v>
      </c>
      <c r="AD302" s="1" t="n">
        <f aca="false">IF(AND($M302=1,LEFT(对接源_01水果!$D302,4)="成品出库"),1,0)</f>
        <v>1</v>
      </c>
      <c r="AE302" s="1" t="n">
        <f aca="false">N(AE301)+$AD302</f>
        <v>28</v>
      </c>
      <c r="AF302" s="1" t="n">
        <f aca="false">IF(AND($N302=1,AND(LEFT(对接源_01水果!$D302,4)="包装物料",N(对接源_01水果!$K302)&lt;&gt;0)),1,0)</f>
        <v>0</v>
      </c>
      <c r="AG302" s="90" t="str">
        <f aca="false">IF(对接源_01水果!$AC302="","",对接源_01水果!$AC302)</f>
        <v>电商/主播</v>
      </c>
      <c r="AH302" s="1" t="n">
        <f aca="false">IF(AND($N302=1,AND(LEFT(对接源_01水果!$D302,3)="周转筐",N(对接源_01水果!$K302)&lt;&gt;0)),1,0)</f>
        <v>0</v>
      </c>
      <c r="AI302" s="90" t="n">
        <f aca="false">IF(AG302="",0,IF(MATCH(AG302,$AG$4:$AG$1203,0)=ROW()-3,1,0))</f>
        <v>0</v>
      </c>
      <c r="AJ302" s="90" t="n">
        <f aca="false">N(AJ301)+AI302</f>
        <v>4</v>
      </c>
      <c r="AK302" s="1" t="n">
        <f aca="false">N(AK301)+$AJ302</f>
        <v>68</v>
      </c>
    </row>
    <row r="303" customFormat="false" ht="13.5" hidden="false" customHeight="false" outlineLevel="0" collapsed="false">
      <c r="A303" s="1" t="str">
        <f aca="false">IF(对接源_01水果!$C303="","",对接源_01水果!$C303)</f>
        <v>王照雪</v>
      </c>
      <c r="B303" s="1" t="n">
        <f aca="false">IF(A303="",0,IF(MATCH(A303,$A$4:$A$2403,0)=ROW()-3,1,0))</f>
        <v>0</v>
      </c>
      <c r="C303" s="1" t="n">
        <f aca="false">N(C302)+B303</f>
        <v>13</v>
      </c>
      <c r="E303" s="1" t="str">
        <f aca="false">IFERROR(INDEX($A$4:$A$2403,MATCH(ROW()-3,$C$4:$C$2403,0)),"")</f>
        <v/>
      </c>
      <c r="K303" s="1" t="n">
        <f aca="false">IF(OR($K$1="",对接源_01水果!$C303="",对接源_01水果!$C303&lt;&gt;$K$1,对接源_01水果!$B303=""),0,IF(OR(N(对接源_01水果!$B303)&lt;$K$2,N(对接源_01水果!$B303)&gt;$K$3),0,1))</f>
        <v>1</v>
      </c>
      <c r="L303" s="1" t="n">
        <f aca="false">IF(OR($L$1="",对接源_01水果!$C303="",对接源_01水果!$C303&lt;&gt;$L$1,对接源_01水果!$B303=""),0,IF(OR(N(对接源_01水果!$B303)&lt;$L$2,N(对接源_01水果!$B303)&gt;$L$3),0,1))</f>
        <v>0</v>
      </c>
      <c r="M303" s="1" t="n">
        <f aca="false">IF(OR($M$1="",对接源_01水果!$C303="",对接源_01水果!$C303&lt;&gt;$M$1,对接源_01水果!$B303=""),0,IF(OR(N(对接源_01水果!$B303)&lt;$M$2,N(对接源_01水果!$B303)&gt;$M$3),0,1))</f>
        <v>1</v>
      </c>
      <c r="N303" s="1" t="n">
        <f aca="false">IF(OR($N$1="",对接源_01水果!$C303="",对接源_01水果!$C303&lt;&gt;$N$1,对接源_01水果!$B303=""),0,IF(OR(N(对接源_01水果!$B303)&lt;$N$2,N(对接源_01水果!$B303)&gt;$N$3),0,1))</f>
        <v>0</v>
      </c>
      <c r="P303" s="1" t="n">
        <f aca="false">IF(AND($K303=1,AND(对接源_01水果!$X303="公司筐",N(对接源_01水果!$T303)&lt;&gt;0)),1,0)</f>
        <v>0</v>
      </c>
      <c r="Q303" s="1" t="n">
        <f aca="false">N(Q302)+$P303</f>
        <v>3</v>
      </c>
      <c r="R303" s="1" t="n">
        <f aca="false">IF(AND($K303=1,AND(对接源_01水果!$X303="公司筐",N(对接源_01水果!$U303)&lt;&gt;0)),1,0)</f>
        <v>0</v>
      </c>
      <c r="S303" s="1" t="n">
        <f aca="false">N(S302)+$R303</f>
        <v>0</v>
      </c>
      <c r="T303" s="1" t="n">
        <f aca="false">IF(AND($K303=1,AND(对接源_01水果!$X303="公司筐",N(对接源_01水果!$V303)&lt;&gt;0)),1,0)</f>
        <v>0</v>
      </c>
      <c r="U303" s="1" t="n">
        <f aca="false">N(U302)+$T303</f>
        <v>28</v>
      </c>
      <c r="V303" s="1" t="n">
        <f aca="false">IF(AND($L303=1,AND(对接源_01水果!$X303="自备筐",N(对接源_01水果!$V303)&lt;&gt;0)),1,0)</f>
        <v>0</v>
      </c>
      <c r="W303" s="1" t="n">
        <f aca="false">N(W302)+$V303</f>
        <v>7</v>
      </c>
      <c r="X303" s="1" t="n">
        <f aca="false">IF(AND($L303=1,AND(对接源_01水果!$X303="自备筐",N(对接源_01水果!$T303)&lt;&gt;0)),1,0)</f>
        <v>0</v>
      </c>
      <c r="Y303" s="1" t="n">
        <f aca="false">N(Y302)+$X303</f>
        <v>0</v>
      </c>
      <c r="Z303" s="1" t="n">
        <f aca="false">IF(AND($M303=1,对接源_01水果!$D303="原料入库"),1,0)</f>
        <v>0</v>
      </c>
      <c r="AA303" s="1" t="n">
        <f aca="false">N(AA302)+$Z303</f>
        <v>30</v>
      </c>
      <c r="AB303" s="1" t="n">
        <f aca="false">IF(AND($M303=1,LEFT(对接源_01水果!$D303,4)="原料出库"),1,0)</f>
        <v>0</v>
      </c>
      <c r="AC303" s="1" t="n">
        <f aca="false">N(AC302)+$AB303</f>
        <v>19</v>
      </c>
      <c r="AD303" s="1" t="n">
        <f aca="false">IF(AND($M303=1,LEFT(对接源_01水果!$D303,4)="成品出库"),1,0)</f>
        <v>1</v>
      </c>
      <c r="AE303" s="1" t="n">
        <f aca="false">N(AE302)+$AD303</f>
        <v>29</v>
      </c>
      <c r="AF303" s="1" t="n">
        <f aca="false">IF(AND($N303=1,AND(LEFT(对接源_01水果!$D303,4)="包装物料",N(对接源_01水果!$K303)&lt;&gt;0)),1,0)</f>
        <v>0</v>
      </c>
      <c r="AG303" s="90" t="str">
        <f aca="false">IF(对接源_01水果!$AC303="","",对接源_01水果!$AC303)</f>
        <v>聂新平</v>
      </c>
      <c r="AH303" s="1" t="n">
        <f aca="false">IF(AND($N303=1,AND(LEFT(对接源_01水果!$D303,3)="周转筐",N(对接源_01水果!$K303)&lt;&gt;0)),1,0)</f>
        <v>0</v>
      </c>
      <c r="AI303" s="90" t="n">
        <f aca="false">IF(AG303="",0,IF(MATCH(AG303,$AG$4:$AG$1203,0)=ROW()-3,1,0))</f>
        <v>0</v>
      </c>
      <c r="AJ303" s="90" t="n">
        <f aca="false">N(AJ302)+AI303</f>
        <v>4</v>
      </c>
      <c r="AK303" s="1" t="n">
        <f aca="false">N(AK302)+$AJ303</f>
        <v>72</v>
      </c>
    </row>
    <row r="304" customFormat="false" ht="13.5" hidden="false" customHeight="false" outlineLevel="0" collapsed="false">
      <c r="A304" s="1" t="str">
        <f aca="false">IF(对接源_01水果!$C304="","",对接源_01水果!$C304)</f>
        <v>聂新平</v>
      </c>
      <c r="B304" s="1" t="n">
        <f aca="false">IF(A304="",0,IF(MATCH(A304,$A$4:$A$2403,0)=ROW()-3,1,0))</f>
        <v>0</v>
      </c>
      <c r="C304" s="1" t="n">
        <f aca="false">N(C303)+B304</f>
        <v>13</v>
      </c>
      <c r="K304" s="1" t="n">
        <f aca="false">IF(OR($K$1="",对接源_01水果!$C304="",对接源_01水果!$C304&lt;&gt;$K$1,对接源_01水果!$B304=""),0,IF(OR(N(对接源_01水果!$B304)&lt;$K$2,N(对接源_01水果!$B304)&gt;$K$3),0,1))</f>
        <v>0</v>
      </c>
      <c r="L304" s="1" t="n">
        <f aca="false">IF(OR($L$1="",对接源_01水果!$C304="",对接源_01水果!$C304&lt;&gt;$L$1,对接源_01水果!$B304=""),0,IF(OR(N(对接源_01水果!$B304)&lt;$L$2,N(对接源_01水果!$B304)&gt;$L$3),0,1))</f>
        <v>0</v>
      </c>
      <c r="M304" s="1" t="n">
        <f aca="false">IF(OR($M$1="",对接源_01水果!$C304="",对接源_01水果!$C304&lt;&gt;$M$1,对接源_01水果!$B304=""),0,IF(OR(N(对接源_01水果!$B304)&lt;$M$2,N(对接源_01水果!$B304)&gt;$M$3),0,1))</f>
        <v>0</v>
      </c>
      <c r="N304" s="1" t="n">
        <f aca="false">IF(OR($N$1="",对接源_01水果!$C304="",对接源_01水果!$C304&lt;&gt;$N$1,对接源_01水果!$B304=""),0,IF(OR(N(对接源_01水果!$B304)&lt;$N$2,N(对接源_01水果!$B304)&gt;$N$3),0,1))</f>
        <v>0</v>
      </c>
      <c r="P304" s="1" t="n">
        <f aca="false">IF(AND($K304=1,AND(对接源_01水果!$X304="公司筐",N(对接源_01水果!$T304)&lt;&gt;0)),1,0)</f>
        <v>0</v>
      </c>
      <c r="Q304" s="1" t="n">
        <f aca="false">N(Q303)+$P304</f>
        <v>3</v>
      </c>
      <c r="R304" s="1" t="n">
        <f aca="false">IF(AND($K304=1,AND(对接源_01水果!$X304="公司筐",N(对接源_01水果!$U304)&lt;&gt;0)),1,0)</f>
        <v>0</v>
      </c>
      <c r="S304" s="1" t="n">
        <f aca="false">N(S303)+$R304</f>
        <v>0</v>
      </c>
      <c r="T304" s="1" t="n">
        <f aca="false">IF(AND($K304=1,AND(对接源_01水果!$X304="公司筐",N(对接源_01水果!$V304)&lt;&gt;0)),1,0)</f>
        <v>0</v>
      </c>
      <c r="U304" s="1" t="n">
        <f aca="false">N(U303)+$T304</f>
        <v>28</v>
      </c>
      <c r="V304" s="1" t="n">
        <f aca="false">IF(AND($L304=1,AND(对接源_01水果!$X304="自备筐",N(对接源_01水果!$V304)&lt;&gt;0)),1,0)</f>
        <v>0</v>
      </c>
      <c r="W304" s="1" t="n">
        <f aca="false">N(W303)+$V304</f>
        <v>7</v>
      </c>
      <c r="X304" s="1" t="n">
        <f aca="false">IF(AND($L304=1,AND(对接源_01水果!$X304="自备筐",N(对接源_01水果!$T304)&lt;&gt;0)),1,0)</f>
        <v>0</v>
      </c>
      <c r="Y304" s="1" t="n">
        <f aca="false">N(Y303)+$X304</f>
        <v>0</v>
      </c>
      <c r="Z304" s="1" t="n">
        <f aca="false">IF(AND($M304=1,对接源_01水果!$D304="原料入库"),1,0)</f>
        <v>0</v>
      </c>
      <c r="AA304" s="1" t="n">
        <f aca="false">N(AA303)+$Z304</f>
        <v>30</v>
      </c>
      <c r="AB304" s="1" t="n">
        <f aca="false">IF(AND($M304=1,LEFT(对接源_01水果!$D304,4)="原料出库"),1,0)</f>
        <v>0</v>
      </c>
      <c r="AC304" s="1" t="n">
        <f aca="false">N(AC303)+$AB304</f>
        <v>19</v>
      </c>
      <c r="AD304" s="1" t="n">
        <f aca="false">IF(AND($M304=1,LEFT(对接源_01水果!$D304,4)="成品出库"),1,0)</f>
        <v>0</v>
      </c>
      <c r="AE304" s="1" t="n">
        <f aca="false">N(AE303)+$AD304</f>
        <v>29</v>
      </c>
      <c r="AF304" s="1" t="n">
        <f aca="false">IF(AND($N304=1,AND(LEFT(对接源_01水果!$D304,4)="包装物料",N(对接源_01水果!$K304)&lt;&gt;0)),1,0)</f>
        <v>0</v>
      </c>
      <c r="AG304" s="90" t="str">
        <f aca="false">IF(对接源_01水果!$AC304="","",对接源_01水果!$AC304)</f>
        <v>聂新平</v>
      </c>
      <c r="AH304" s="1" t="n">
        <f aca="false">IF(AND($N304=1,AND(LEFT(对接源_01水果!$D304,3)="周转筐",N(对接源_01水果!$K304)&lt;&gt;0)),1,0)</f>
        <v>0</v>
      </c>
      <c r="AI304" s="90" t="n">
        <f aca="false">IF(AG304="",0,IF(MATCH(AG304,$AG$4:$AG$1203,0)=ROW()-3,1,0))</f>
        <v>0</v>
      </c>
      <c r="AJ304" s="90" t="n">
        <f aca="false">N(AJ303)+AI304</f>
        <v>4</v>
      </c>
      <c r="AK304" s="1" t="n">
        <f aca="false">N(AK303)+$AJ304</f>
        <v>76</v>
      </c>
    </row>
    <row r="305" customFormat="false" ht="13.5" hidden="false" customHeight="false" outlineLevel="0" collapsed="false">
      <c r="A305" s="1" t="str">
        <f aca="false">IF(对接源_01水果!$C305="","",对接源_01水果!$C305)</f>
        <v>聂新平</v>
      </c>
      <c r="B305" s="1" t="n">
        <f aca="false">IF(A305="",0,IF(MATCH(A305,$A$4:$A$2403,0)=ROW()-3,1,0))</f>
        <v>0</v>
      </c>
      <c r="C305" s="1" t="n">
        <f aca="false">N(C304)+B305</f>
        <v>13</v>
      </c>
      <c r="K305" s="1" t="n">
        <f aca="false">IF(OR($K$1="",对接源_01水果!$C305="",对接源_01水果!$C305&lt;&gt;$K$1,对接源_01水果!$B305=""),0,IF(OR(N(对接源_01水果!$B305)&lt;$K$2,N(对接源_01水果!$B305)&gt;$K$3),0,1))</f>
        <v>0</v>
      </c>
      <c r="L305" s="1" t="n">
        <f aca="false">IF(OR($L$1="",对接源_01水果!$C305="",对接源_01水果!$C305&lt;&gt;$L$1,对接源_01水果!$B305=""),0,IF(OR(N(对接源_01水果!$B305)&lt;$L$2,N(对接源_01水果!$B305)&gt;$L$3),0,1))</f>
        <v>0</v>
      </c>
      <c r="M305" s="1" t="n">
        <f aca="false">IF(OR($M$1="",对接源_01水果!$C305="",对接源_01水果!$C305&lt;&gt;$M$1,对接源_01水果!$B305=""),0,IF(OR(N(对接源_01水果!$B305)&lt;$M$2,N(对接源_01水果!$B305)&gt;$M$3),0,1))</f>
        <v>0</v>
      </c>
      <c r="N305" s="1" t="n">
        <f aca="false">IF(OR($N$1="",对接源_01水果!$C305="",对接源_01水果!$C305&lt;&gt;$N$1,对接源_01水果!$B305=""),0,IF(OR(N(对接源_01水果!$B305)&lt;$N$2,N(对接源_01水果!$B305)&gt;$N$3),0,1))</f>
        <v>0</v>
      </c>
      <c r="P305" s="1" t="n">
        <f aca="false">IF(AND($K305=1,AND(对接源_01水果!$X305="公司筐",N(对接源_01水果!$T305)&lt;&gt;0)),1,0)</f>
        <v>0</v>
      </c>
      <c r="Q305" s="1" t="n">
        <f aca="false">N(Q304)+$P305</f>
        <v>3</v>
      </c>
      <c r="R305" s="1" t="n">
        <f aca="false">IF(AND($K305=1,AND(对接源_01水果!$X305="公司筐",N(对接源_01水果!$U305)&lt;&gt;0)),1,0)</f>
        <v>0</v>
      </c>
      <c r="S305" s="1" t="n">
        <f aca="false">N(S304)+$R305</f>
        <v>0</v>
      </c>
      <c r="T305" s="1" t="n">
        <f aca="false">IF(AND($K305=1,AND(对接源_01水果!$X305="公司筐",N(对接源_01水果!$V305)&lt;&gt;0)),1,0)</f>
        <v>0</v>
      </c>
      <c r="U305" s="1" t="n">
        <f aca="false">N(U304)+$T305</f>
        <v>28</v>
      </c>
      <c r="V305" s="1" t="n">
        <f aca="false">IF(AND($L305=1,AND(对接源_01水果!$X305="自备筐",N(对接源_01水果!$V305)&lt;&gt;0)),1,0)</f>
        <v>0</v>
      </c>
      <c r="W305" s="1" t="n">
        <f aca="false">N(W304)+$V305</f>
        <v>7</v>
      </c>
      <c r="X305" s="1" t="n">
        <f aca="false">IF(AND($L305=1,AND(对接源_01水果!$X305="自备筐",N(对接源_01水果!$T305)&lt;&gt;0)),1,0)</f>
        <v>0</v>
      </c>
      <c r="Y305" s="1" t="n">
        <f aca="false">N(Y304)+$X305</f>
        <v>0</v>
      </c>
      <c r="Z305" s="1" t="n">
        <f aca="false">IF(AND($M305=1,对接源_01水果!$D305="原料入库"),1,0)</f>
        <v>0</v>
      </c>
      <c r="AA305" s="1" t="n">
        <f aca="false">N(AA304)+$Z305</f>
        <v>30</v>
      </c>
      <c r="AB305" s="1" t="n">
        <f aca="false">IF(AND($M305=1,LEFT(对接源_01水果!$D305,4)="原料出库"),1,0)</f>
        <v>0</v>
      </c>
      <c r="AC305" s="1" t="n">
        <f aca="false">N(AC304)+$AB305</f>
        <v>19</v>
      </c>
      <c r="AD305" s="1" t="n">
        <f aca="false">IF(AND($M305=1,LEFT(对接源_01水果!$D305,4)="成品出库"),1,0)</f>
        <v>0</v>
      </c>
      <c r="AE305" s="1" t="n">
        <f aca="false">N(AE304)+$AD305</f>
        <v>29</v>
      </c>
      <c r="AF305" s="1" t="n">
        <f aca="false">IF(AND($N305=1,AND(LEFT(对接源_01水果!$D305,4)="包装物料",N(对接源_01水果!$K305)&lt;&gt;0)),1,0)</f>
        <v>0</v>
      </c>
      <c r="AG305" s="90" t="str">
        <f aca="false">IF(对接源_01水果!$AC305="","",对接源_01水果!$AC305)</f>
        <v>电商/主播</v>
      </c>
      <c r="AH305" s="1" t="n">
        <f aca="false">IF(AND($N305=1,AND(LEFT(对接源_01水果!$D305,3)="周转筐",N(对接源_01水果!$K305)&lt;&gt;0)),1,0)</f>
        <v>0</v>
      </c>
      <c r="AI305" s="90" t="n">
        <f aca="false">IF(AG305="",0,IF(MATCH(AG305,$AG$4:$AG$1203,0)=ROW()-3,1,0))</f>
        <v>0</v>
      </c>
      <c r="AJ305" s="90" t="n">
        <f aca="false">N(AJ304)+AI305</f>
        <v>4</v>
      </c>
      <c r="AK305" s="1" t="n">
        <f aca="false">N(AK304)+$AJ305</f>
        <v>80</v>
      </c>
    </row>
    <row r="306" customFormat="false" ht="13.5" hidden="false" customHeight="false" outlineLevel="0" collapsed="false">
      <c r="A306" s="1" t="str">
        <f aca="false">IF(对接源_01水果!$C306="","",对接源_01水果!$C306)</f>
        <v>王照雪</v>
      </c>
      <c r="B306" s="1" t="n">
        <f aca="false">IF(A306="",0,IF(MATCH(A306,$A$4:$A$2403,0)=ROW()-3,1,0))</f>
        <v>0</v>
      </c>
      <c r="C306" s="1" t="n">
        <f aca="false">N(C305)+B306</f>
        <v>13</v>
      </c>
      <c r="K306" s="1" t="n">
        <f aca="false">IF(OR($K$1="",对接源_01水果!$C306="",对接源_01水果!$C306&lt;&gt;$K$1,对接源_01水果!$B306=""),0,IF(OR(N(对接源_01水果!$B306)&lt;$K$2,N(对接源_01水果!$B306)&gt;$K$3),0,1))</f>
        <v>1</v>
      </c>
      <c r="L306" s="1" t="n">
        <f aca="false">IF(OR($L$1="",对接源_01水果!$C306="",对接源_01水果!$C306&lt;&gt;$L$1,对接源_01水果!$B306=""),0,IF(OR(N(对接源_01水果!$B306)&lt;$L$2,N(对接源_01水果!$B306)&gt;$L$3),0,1))</f>
        <v>0</v>
      </c>
      <c r="M306" s="1" t="n">
        <f aca="false">IF(OR($M$1="",对接源_01水果!$C306="",对接源_01水果!$C306&lt;&gt;$M$1,对接源_01水果!$B306=""),0,IF(OR(N(对接源_01水果!$B306)&lt;$M$2,N(对接源_01水果!$B306)&gt;$M$3),0,1))</f>
        <v>1</v>
      </c>
      <c r="N306" s="1" t="n">
        <f aca="false">IF(OR($N$1="",对接源_01水果!$C306="",对接源_01水果!$C306&lt;&gt;$N$1,对接源_01水果!$B306=""),0,IF(OR(N(对接源_01水果!$B306)&lt;$N$2,N(对接源_01水果!$B306)&gt;$N$3),0,1))</f>
        <v>0</v>
      </c>
      <c r="P306" s="1" t="n">
        <f aca="false">IF(AND($K306=1,AND(对接源_01水果!$X306="公司筐",N(对接源_01水果!$T306)&lt;&gt;0)),1,0)</f>
        <v>0</v>
      </c>
      <c r="Q306" s="1" t="n">
        <f aca="false">N(Q305)+$P306</f>
        <v>3</v>
      </c>
      <c r="R306" s="1" t="n">
        <f aca="false">IF(AND($K306=1,AND(对接源_01水果!$X306="公司筐",N(对接源_01水果!$U306)&lt;&gt;0)),1,0)</f>
        <v>0</v>
      </c>
      <c r="S306" s="1" t="n">
        <f aca="false">N(S305)+$R306</f>
        <v>0</v>
      </c>
      <c r="T306" s="1" t="n">
        <f aca="false">IF(AND($K306=1,AND(对接源_01水果!$X306="公司筐",N(对接源_01水果!$V306)&lt;&gt;0)),1,0)</f>
        <v>0</v>
      </c>
      <c r="U306" s="1" t="n">
        <f aca="false">N(U305)+$T306</f>
        <v>28</v>
      </c>
      <c r="V306" s="1" t="n">
        <f aca="false">IF(AND($L306=1,AND(对接源_01水果!$X306="自备筐",N(对接源_01水果!$V306)&lt;&gt;0)),1,0)</f>
        <v>0</v>
      </c>
      <c r="W306" s="1" t="n">
        <f aca="false">N(W305)+$V306</f>
        <v>7</v>
      </c>
      <c r="X306" s="1" t="n">
        <f aca="false">IF(AND($L306=1,AND(对接源_01水果!$X306="自备筐",N(对接源_01水果!$T306)&lt;&gt;0)),1,0)</f>
        <v>0</v>
      </c>
      <c r="Y306" s="1" t="n">
        <f aca="false">N(Y305)+$X306</f>
        <v>0</v>
      </c>
      <c r="Z306" s="1" t="n">
        <f aca="false">IF(AND($M306=1,对接源_01水果!$D306="原料入库"),1,0)</f>
        <v>0</v>
      </c>
      <c r="AA306" s="1" t="n">
        <f aca="false">N(AA305)+$Z306</f>
        <v>30</v>
      </c>
      <c r="AB306" s="1" t="n">
        <f aca="false">IF(AND($M306=1,LEFT(对接源_01水果!$D306,4)="原料出库"),1,0)</f>
        <v>0</v>
      </c>
      <c r="AC306" s="1" t="n">
        <f aca="false">N(AC305)+$AB306</f>
        <v>19</v>
      </c>
      <c r="AD306" s="1" t="n">
        <f aca="false">IF(AND($M306=1,LEFT(对接源_01水果!$D306,4)="成品出库"),1,0)</f>
        <v>1</v>
      </c>
      <c r="AE306" s="1" t="n">
        <f aca="false">N(AE305)+$AD306</f>
        <v>30</v>
      </c>
      <c r="AF306" s="1" t="n">
        <f aca="false">IF(AND($N306=1,AND(LEFT(对接源_01水果!$D306,4)="包装物料",N(对接源_01水果!$K306)&lt;&gt;0)),1,0)</f>
        <v>0</v>
      </c>
      <c r="AG306" s="90" t="str">
        <f aca="false">IF(对接源_01水果!$AC306="","",对接源_01水果!$AC306)</f>
        <v>电商/主播</v>
      </c>
      <c r="AH306" s="1" t="n">
        <f aca="false">IF(AND($N306=1,AND(LEFT(对接源_01水果!$D306,3)="周转筐",N(对接源_01水果!$K306)&lt;&gt;0)),1,0)</f>
        <v>0</v>
      </c>
      <c r="AI306" s="90" t="n">
        <f aca="false">IF(AG306="",0,IF(MATCH(AG306,$AG$4:$AG$1203,0)=ROW()-3,1,0))</f>
        <v>0</v>
      </c>
      <c r="AJ306" s="90" t="n">
        <f aca="false">N(AJ305)+AI306</f>
        <v>4</v>
      </c>
      <c r="AK306" s="1" t="n">
        <f aca="false">N(AK305)+$AJ306</f>
        <v>84</v>
      </c>
    </row>
    <row r="307" customFormat="false" ht="13.5" hidden="false" customHeight="false" outlineLevel="0" collapsed="false">
      <c r="A307" s="1" t="str">
        <f aca="false">IF(对接源_01水果!$C307="","",对接源_01水果!$C307)</f>
        <v>王照雪</v>
      </c>
      <c r="B307" s="1" t="n">
        <f aca="false">IF(A307="",0,IF(MATCH(A307,$A$4:$A$2403,0)=ROW()-3,1,0))</f>
        <v>0</v>
      </c>
      <c r="C307" s="1" t="n">
        <f aca="false">N(C306)+B307</f>
        <v>13</v>
      </c>
      <c r="K307" s="1" t="n">
        <f aca="false">IF(OR($K$1="",对接源_01水果!$C307="",对接源_01水果!$C307&lt;&gt;$K$1,对接源_01水果!$B307=""),0,IF(OR(N(对接源_01水果!$B307)&lt;$K$2,N(对接源_01水果!$B307)&gt;$K$3),0,1))</f>
        <v>1</v>
      </c>
      <c r="L307" s="1" t="n">
        <f aca="false">IF(OR($L$1="",对接源_01水果!$C307="",对接源_01水果!$C307&lt;&gt;$L$1,对接源_01水果!$B307=""),0,IF(OR(N(对接源_01水果!$B307)&lt;$L$2,N(对接源_01水果!$B307)&gt;$L$3),0,1))</f>
        <v>0</v>
      </c>
      <c r="M307" s="1" t="n">
        <f aca="false">IF(OR($M$1="",对接源_01水果!$C307="",对接源_01水果!$C307&lt;&gt;$M$1,对接源_01水果!$B307=""),0,IF(OR(N(对接源_01水果!$B307)&lt;$M$2,N(对接源_01水果!$B307)&gt;$M$3),0,1))</f>
        <v>1</v>
      </c>
      <c r="N307" s="1" t="n">
        <f aca="false">IF(OR($N$1="",对接源_01水果!$C307="",对接源_01水果!$C307&lt;&gt;$N$1,对接源_01水果!$B307=""),0,IF(OR(N(对接源_01水果!$B307)&lt;$N$2,N(对接源_01水果!$B307)&gt;$N$3),0,1))</f>
        <v>0</v>
      </c>
      <c r="P307" s="1" t="n">
        <f aca="false">IF(AND($K307=1,AND(对接源_01水果!$X307="公司筐",N(对接源_01水果!$T307)&lt;&gt;0)),1,0)</f>
        <v>0</v>
      </c>
      <c r="Q307" s="1" t="n">
        <f aca="false">N(Q306)+$P307</f>
        <v>3</v>
      </c>
      <c r="R307" s="1" t="n">
        <f aca="false">IF(AND($K307=1,AND(对接源_01水果!$X307="公司筐",N(对接源_01水果!$U307)&lt;&gt;0)),1,0)</f>
        <v>0</v>
      </c>
      <c r="S307" s="1" t="n">
        <f aca="false">N(S306)+$R307</f>
        <v>0</v>
      </c>
      <c r="T307" s="1" t="n">
        <f aca="false">IF(AND($K307=1,AND(对接源_01水果!$X307="公司筐",N(对接源_01水果!$V307)&lt;&gt;0)),1,0)</f>
        <v>0</v>
      </c>
      <c r="U307" s="1" t="n">
        <f aca="false">N(U306)+$T307</f>
        <v>28</v>
      </c>
      <c r="V307" s="1" t="n">
        <f aca="false">IF(AND($L307=1,AND(对接源_01水果!$X307="自备筐",N(对接源_01水果!$V307)&lt;&gt;0)),1,0)</f>
        <v>0</v>
      </c>
      <c r="W307" s="1" t="n">
        <f aca="false">N(W306)+$V307</f>
        <v>7</v>
      </c>
      <c r="X307" s="1" t="n">
        <f aca="false">IF(AND($L307=1,AND(对接源_01水果!$X307="自备筐",N(对接源_01水果!$T307)&lt;&gt;0)),1,0)</f>
        <v>0</v>
      </c>
      <c r="Y307" s="1" t="n">
        <f aca="false">N(Y306)+$X307</f>
        <v>0</v>
      </c>
      <c r="Z307" s="1" t="n">
        <f aca="false">IF(AND($M307=1,对接源_01水果!$D307="原料入库"),1,0)</f>
        <v>0</v>
      </c>
      <c r="AA307" s="1" t="n">
        <f aca="false">N(AA306)+$Z307</f>
        <v>30</v>
      </c>
      <c r="AB307" s="1" t="n">
        <f aca="false">IF(AND($M307=1,LEFT(对接源_01水果!$D307,4)="原料出库"),1,0)</f>
        <v>0</v>
      </c>
      <c r="AC307" s="1" t="n">
        <f aca="false">N(AC306)+$AB307</f>
        <v>19</v>
      </c>
      <c r="AD307" s="1" t="n">
        <f aca="false">IF(AND($M307=1,LEFT(对接源_01水果!$D307,4)="成品出库"),1,0)</f>
        <v>1</v>
      </c>
      <c r="AE307" s="1" t="n">
        <f aca="false">N(AE306)+$AD307</f>
        <v>31</v>
      </c>
      <c r="AF307" s="1" t="n">
        <f aca="false">IF(AND($N307=1,AND(LEFT(对接源_01水果!$D307,4)="包装物料",N(对接源_01水果!$K307)&lt;&gt;0)),1,0)</f>
        <v>0</v>
      </c>
      <c r="AG307" s="90" t="str">
        <f aca="false">IF(对接源_01水果!$AC307="","",对接源_01水果!$AC307)</f>
        <v>电商/主播</v>
      </c>
      <c r="AH307" s="1" t="n">
        <f aca="false">IF(AND($N307=1,AND(LEFT(对接源_01水果!$D307,3)="周转筐",N(对接源_01水果!$K307)&lt;&gt;0)),1,0)</f>
        <v>0</v>
      </c>
      <c r="AI307" s="90" t="n">
        <f aca="false">IF(AG307="",0,IF(MATCH(AG307,$AG$4:$AG$1203,0)=ROW()-3,1,0))</f>
        <v>0</v>
      </c>
      <c r="AJ307" s="90" t="n">
        <f aca="false">N(AJ306)+AI307</f>
        <v>4</v>
      </c>
      <c r="AK307" s="1" t="n">
        <f aca="false">N(AK306)+$AJ307</f>
        <v>88</v>
      </c>
    </row>
    <row r="308" customFormat="false" ht="13.5" hidden="false" customHeight="false" outlineLevel="0" collapsed="false">
      <c r="A308" s="1" t="str">
        <f aca="false">IF(对接源_01水果!$C308="","",对接源_01水果!$C308)</f>
        <v>王照雪</v>
      </c>
      <c r="B308" s="1" t="n">
        <f aca="false">IF(A308="",0,IF(MATCH(A308,$A$4:$A$2403,0)=ROW()-3,1,0))</f>
        <v>0</v>
      </c>
      <c r="C308" s="1" t="n">
        <f aca="false">N(C307)+B308</f>
        <v>13</v>
      </c>
      <c r="K308" s="1" t="n">
        <f aca="false">IF(OR($K$1="",对接源_01水果!$C308="",对接源_01水果!$C308&lt;&gt;$K$1,对接源_01水果!$B308=""),0,IF(OR(N(对接源_01水果!$B308)&lt;$K$2,N(对接源_01水果!$B308)&gt;$K$3),0,1))</f>
        <v>1</v>
      </c>
      <c r="L308" s="1" t="n">
        <f aca="false">IF(OR($L$1="",对接源_01水果!$C308="",对接源_01水果!$C308&lt;&gt;$L$1,对接源_01水果!$B308=""),0,IF(OR(N(对接源_01水果!$B308)&lt;$L$2,N(对接源_01水果!$B308)&gt;$L$3),0,1))</f>
        <v>0</v>
      </c>
      <c r="M308" s="1" t="n">
        <f aca="false">IF(OR($M$1="",对接源_01水果!$C308="",对接源_01水果!$C308&lt;&gt;$M$1,对接源_01水果!$B308=""),0,IF(OR(N(对接源_01水果!$B308)&lt;$M$2,N(对接源_01水果!$B308)&gt;$M$3),0,1))</f>
        <v>1</v>
      </c>
      <c r="N308" s="1" t="n">
        <f aca="false">IF(OR($N$1="",对接源_01水果!$C308="",对接源_01水果!$C308&lt;&gt;$N$1,对接源_01水果!$B308=""),0,IF(OR(N(对接源_01水果!$B308)&lt;$N$2,N(对接源_01水果!$B308)&gt;$N$3),0,1))</f>
        <v>0</v>
      </c>
      <c r="P308" s="1" t="n">
        <f aca="false">IF(AND($K308=1,AND(对接源_01水果!$X308="公司筐",N(对接源_01水果!$T308)&lt;&gt;0)),1,0)</f>
        <v>0</v>
      </c>
      <c r="Q308" s="1" t="n">
        <f aca="false">N(Q307)+$P308</f>
        <v>3</v>
      </c>
      <c r="R308" s="1" t="n">
        <f aca="false">IF(AND($K308=1,AND(对接源_01水果!$X308="公司筐",N(对接源_01水果!$U308)&lt;&gt;0)),1,0)</f>
        <v>0</v>
      </c>
      <c r="S308" s="1" t="n">
        <f aca="false">N(S307)+$R308</f>
        <v>0</v>
      </c>
      <c r="T308" s="1" t="n">
        <f aca="false">IF(AND($K308=1,AND(对接源_01水果!$X308="公司筐",N(对接源_01水果!$V308)&lt;&gt;0)),1,0)</f>
        <v>0</v>
      </c>
      <c r="U308" s="1" t="n">
        <f aca="false">N(U307)+$T308</f>
        <v>28</v>
      </c>
      <c r="V308" s="1" t="n">
        <f aca="false">IF(AND($L308=1,AND(对接源_01水果!$X308="自备筐",N(对接源_01水果!$V308)&lt;&gt;0)),1,0)</f>
        <v>0</v>
      </c>
      <c r="W308" s="1" t="n">
        <f aca="false">N(W307)+$V308</f>
        <v>7</v>
      </c>
      <c r="X308" s="1" t="n">
        <f aca="false">IF(AND($L308=1,AND(对接源_01水果!$X308="自备筐",N(对接源_01水果!$T308)&lt;&gt;0)),1,0)</f>
        <v>0</v>
      </c>
      <c r="Y308" s="1" t="n">
        <f aca="false">N(Y307)+$X308</f>
        <v>0</v>
      </c>
      <c r="Z308" s="1" t="n">
        <f aca="false">IF(AND($M308=1,对接源_01水果!$D308="原料入库"),1,0)</f>
        <v>0</v>
      </c>
      <c r="AA308" s="1" t="n">
        <f aca="false">N(AA307)+$Z308</f>
        <v>30</v>
      </c>
      <c r="AB308" s="1" t="n">
        <f aca="false">IF(AND($M308=1,LEFT(对接源_01水果!$D308,4)="原料出库"),1,0)</f>
        <v>0</v>
      </c>
      <c r="AC308" s="1" t="n">
        <f aca="false">N(AC307)+$AB308</f>
        <v>19</v>
      </c>
      <c r="AD308" s="1" t="n">
        <f aca="false">IF(AND($M308=1,LEFT(对接源_01水果!$D308,4)="成品出库"),1,0)</f>
        <v>1</v>
      </c>
      <c r="AE308" s="1" t="n">
        <f aca="false">N(AE307)+$AD308</f>
        <v>32</v>
      </c>
      <c r="AF308" s="1" t="n">
        <f aca="false">IF(AND($N308=1,AND(LEFT(对接源_01水果!$D308,4)="包装物料",N(对接源_01水果!$K308)&lt;&gt;0)),1,0)</f>
        <v>0</v>
      </c>
      <c r="AG308" s="90" t="str">
        <f aca="false">IF(对接源_01水果!$AC308="","",对接源_01水果!$AC308)</f>
        <v>电商/主播</v>
      </c>
      <c r="AH308" s="1" t="n">
        <f aca="false">IF(AND($N308=1,AND(LEFT(对接源_01水果!$D308,3)="周转筐",N(对接源_01水果!$K308)&lt;&gt;0)),1,0)</f>
        <v>0</v>
      </c>
      <c r="AI308" s="90" t="n">
        <f aca="false">IF(AG308="",0,IF(MATCH(AG308,$AG$4:$AG$1203,0)=ROW()-3,1,0))</f>
        <v>0</v>
      </c>
      <c r="AJ308" s="90" t="n">
        <f aca="false">N(AJ307)+AI308</f>
        <v>4</v>
      </c>
      <c r="AK308" s="1" t="n">
        <f aca="false">N(AK307)+$AJ308</f>
        <v>92</v>
      </c>
    </row>
    <row r="309" customFormat="false" ht="13.5" hidden="false" customHeight="false" outlineLevel="0" collapsed="false">
      <c r="A309" s="1" t="str">
        <f aca="false">IF(对接源_01水果!$C309="","",对接源_01水果!$C309)</f>
        <v>王照雪</v>
      </c>
      <c r="B309" s="1" t="n">
        <f aca="false">IF(A309="",0,IF(MATCH(A309,$A$4:$A$2403,0)=ROW()-3,1,0))</f>
        <v>0</v>
      </c>
      <c r="C309" s="1" t="n">
        <f aca="false">N(C308)+B309</f>
        <v>13</v>
      </c>
      <c r="K309" s="1" t="n">
        <f aca="false">IF(OR($K$1="",对接源_01水果!$C309="",对接源_01水果!$C309&lt;&gt;$K$1,对接源_01水果!$B309=""),0,IF(OR(N(对接源_01水果!$B309)&lt;$K$2,N(对接源_01水果!$B309)&gt;$K$3),0,1))</f>
        <v>1</v>
      </c>
      <c r="L309" s="1" t="n">
        <f aca="false">IF(OR($L$1="",对接源_01水果!$C309="",对接源_01水果!$C309&lt;&gt;$L$1,对接源_01水果!$B309=""),0,IF(OR(N(对接源_01水果!$B309)&lt;$L$2,N(对接源_01水果!$B309)&gt;$L$3),0,1))</f>
        <v>0</v>
      </c>
      <c r="M309" s="1" t="n">
        <f aca="false">IF(OR($M$1="",对接源_01水果!$C309="",对接源_01水果!$C309&lt;&gt;$M$1,对接源_01水果!$B309=""),0,IF(OR(N(对接源_01水果!$B309)&lt;$M$2,N(对接源_01水果!$B309)&gt;$M$3),0,1))</f>
        <v>1</v>
      </c>
      <c r="N309" s="1" t="n">
        <f aca="false">IF(OR($N$1="",对接源_01水果!$C309="",对接源_01水果!$C309&lt;&gt;$N$1,对接源_01水果!$B309=""),0,IF(OR(N(对接源_01水果!$B309)&lt;$N$2,N(对接源_01水果!$B309)&gt;$N$3),0,1))</f>
        <v>0</v>
      </c>
      <c r="P309" s="1" t="n">
        <f aca="false">IF(AND($K309=1,AND(对接源_01水果!$X309="公司筐",N(对接源_01水果!$T309)&lt;&gt;0)),1,0)</f>
        <v>0</v>
      </c>
      <c r="Q309" s="1" t="n">
        <f aca="false">N(Q308)+$P309</f>
        <v>3</v>
      </c>
      <c r="R309" s="1" t="n">
        <f aca="false">IF(AND($K309=1,AND(对接源_01水果!$X309="公司筐",N(对接源_01水果!$U309)&lt;&gt;0)),1,0)</f>
        <v>0</v>
      </c>
      <c r="S309" s="1" t="n">
        <f aca="false">N(S308)+$R309</f>
        <v>0</v>
      </c>
      <c r="T309" s="1" t="n">
        <f aca="false">IF(AND($K309=1,AND(对接源_01水果!$X309="公司筐",N(对接源_01水果!$V309)&lt;&gt;0)),1,0)</f>
        <v>0</v>
      </c>
      <c r="U309" s="1" t="n">
        <f aca="false">N(U308)+$T309</f>
        <v>28</v>
      </c>
      <c r="V309" s="1" t="n">
        <f aca="false">IF(AND($L309=1,AND(对接源_01水果!$X309="自备筐",N(对接源_01水果!$V309)&lt;&gt;0)),1,0)</f>
        <v>0</v>
      </c>
      <c r="W309" s="1" t="n">
        <f aca="false">N(W308)+$V309</f>
        <v>7</v>
      </c>
      <c r="X309" s="1" t="n">
        <f aca="false">IF(AND($L309=1,AND(对接源_01水果!$X309="自备筐",N(对接源_01水果!$T309)&lt;&gt;0)),1,0)</f>
        <v>0</v>
      </c>
      <c r="Y309" s="1" t="n">
        <f aca="false">N(Y308)+$X309</f>
        <v>0</v>
      </c>
      <c r="Z309" s="1" t="n">
        <f aca="false">IF(AND($M309=1,对接源_01水果!$D309="原料入库"),1,0)</f>
        <v>0</v>
      </c>
      <c r="AA309" s="1" t="n">
        <f aca="false">N(AA308)+$Z309</f>
        <v>30</v>
      </c>
      <c r="AB309" s="1" t="n">
        <f aca="false">IF(AND($M309=1,LEFT(对接源_01水果!$D309,4)="原料出库"),1,0)</f>
        <v>0</v>
      </c>
      <c r="AC309" s="1" t="n">
        <f aca="false">N(AC308)+$AB309</f>
        <v>19</v>
      </c>
      <c r="AD309" s="1" t="n">
        <f aca="false">IF(AND($M309=1,LEFT(对接源_01水果!$D309,4)="成品出库"),1,0)</f>
        <v>1</v>
      </c>
      <c r="AE309" s="1" t="n">
        <f aca="false">N(AE308)+$AD309</f>
        <v>33</v>
      </c>
      <c r="AF309" s="1" t="n">
        <f aca="false">IF(AND($N309=1,AND(LEFT(对接源_01水果!$D309,4)="包装物料",N(对接源_01水果!$K309)&lt;&gt;0)),1,0)</f>
        <v>0</v>
      </c>
      <c r="AG309" s="90" t="str">
        <f aca="false">IF(对接源_01水果!$AC309="","",对接源_01水果!$AC309)</f>
        <v>电商/主播</v>
      </c>
      <c r="AH309" s="1" t="n">
        <f aca="false">IF(AND($N309=1,AND(LEFT(对接源_01水果!$D309,3)="周转筐",N(对接源_01水果!$K309)&lt;&gt;0)),1,0)</f>
        <v>0</v>
      </c>
      <c r="AI309" s="90" t="n">
        <f aca="false">IF(AG309="",0,IF(MATCH(AG309,$AG$4:$AG$1203,0)=ROW()-3,1,0))</f>
        <v>0</v>
      </c>
      <c r="AJ309" s="90" t="n">
        <f aca="false">N(AJ308)+AI309</f>
        <v>4</v>
      </c>
      <c r="AK309" s="1" t="n">
        <f aca="false">N(AK308)+$AJ309</f>
        <v>96</v>
      </c>
    </row>
    <row r="310" customFormat="false" ht="13.5" hidden="false" customHeight="false" outlineLevel="0" collapsed="false">
      <c r="A310" s="1" t="str">
        <f aca="false">IF(对接源_01水果!$C310="","",对接源_01水果!$C310)</f>
        <v>王照雪</v>
      </c>
      <c r="B310" s="1" t="n">
        <f aca="false">IF(A310="",0,IF(MATCH(A310,$A$4:$A$2403,0)=ROW()-3,1,0))</f>
        <v>0</v>
      </c>
      <c r="C310" s="1" t="n">
        <f aca="false">N(C309)+B310</f>
        <v>13</v>
      </c>
      <c r="K310" s="1" t="n">
        <f aca="false">IF(OR($K$1="",对接源_01水果!$C310="",对接源_01水果!$C310&lt;&gt;$K$1,对接源_01水果!$B310=""),0,IF(OR(N(对接源_01水果!$B310)&lt;$K$2,N(对接源_01水果!$B310)&gt;$K$3),0,1))</f>
        <v>1</v>
      </c>
      <c r="L310" s="1" t="n">
        <f aca="false">IF(OR($L$1="",对接源_01水果!$C310="",对接源_01水果!$C310&lt;&gt;$L$1,对接源_01水果!$B310=""),0,IF(OR(N(对接源_01水果!$B310)&lt;$L$2,N(对接源_01水果!$B310)&gt;$L$3),0,1))</f>
        <v>0</v>
      </c>
      <c r="M310" s="1" t="n">
        <f aca="false">IF(OR($M$1="",对接源_01水果!$C310="",对接源_01水果!$C310&lt;&gt;$M$1,对接源_01水果!$B310=""),0,IF(OR(N(对接源_01水果!$B310)&lt;$M$2,N(对接源_01水果!$B310)&gt;$M$3),0,1))</f>
        <v>1</v>
      </c>
      <c r="N310" s="1" t="n">
        <f aca="false">IF(OR($N$1="",对接源_01水果!$C310="",对接源_01水果!$C310&lt;&gt;$N$1,对接源_01水果!$B310=""),0,IF(OR(N(对接源_01水果!$B310)&lt;$N$2,N(对接源_01水果!$B310)&gt;$N$3),0,1))</f>
        <v>0</v>
      </c>
      <c r="P310" s="1" t="n">
        <f aca="false">IF(AND($K310=1,AND(对接源_01水果!$X310="公司筐",N(对接源_01水果!$T310)&lt;&gt;0)),1,0)</f>
        <v>0</v>
      </c>
      <c r="Q310" s="1" t="n">
        <f aca="false">N(Q309)+$P310</f>
        <v>3</v>
      </c>
      <c r="R310" s="1" t="n">
        <f aca="false">IF(AND($K310=1,AND(对接源_01水果!$X310="公司筐",N(对接源_01水果!$U310)&lt;&gt;0)),1,0)</f>
        <v>0</v>
      </c>
      <c r="S310" s="1" t="n">
        <f aca="false">N(S309)+$R310</f>
        <v>0</v>
      </c>
      <c r="T310" s="1" t="n">
        <f aca="false">IF(AND($K310=1,AND(对接源_01水果!$X310="公司筐",N(对接源_01水果!$V310)&lt;&gt;0)),1,0)</f>
        <v>0</v>
      </c>
      <c r="U310" s="1" t="n">
        <f aca="false">N(U309)+$T310</f>
        <v>28</v>
      </c>
      <c r="V310" s="1" t="n">
        <f aca="false">IF(AND($L310=1,AND(对接源_01水果!$X310="自备筐",N(对接源_01水果!$V310)&lt;&gt;0)),1,0)</f>
        <v>0</v>
      </c>
      <c r="W310" s="1" t="n">
        <f aca="false">N(W309)+$V310</f>
        <v>7</v>
      </c>
      <c r="X310" s="1" t="n">
        <f aca="false">IF(AND($L310=1,AND(对接源_01水果!$X310="自备筐",N(对接源_01水果!$T310)&lt;&gt;0)),1,0)</f>
        <v>0</v>
      </c>
      <c r="Y310" s="1" t="n">
        <f aca="false">N(Y309)+$X310</f>
        <v>0</v>
      </c>
      <c r="Z310" s="1" t="n">
        <f aca="false">IF(AND($M310=1,对接源_01水果!$D310="原料入库"),1,0)</f>
        <v>0</v>
      </c>
      <c r="AA310" s="1" t="n">
        <f aca="false">N(AA309)+$Z310</f>
        <v>30</v>
      </c>
      <c r="AB310" s="1" t="n">
        <f aca="false">IF(AND($M310=1,LEFT(对接源_01水果!$D310,4)="原料出库"),1,0)</f>
        <v>0</v>
      </c>
      <c r="AC310" s="1" t="n">
        <f aca="false">N(AC309)+$AB310</f>
        <v>19</v>
      </c>
      <c r="AD310" s="1" t="n">
        <f aca="false">IF(AND($M310=1,LEFT(对接源_01水果!$D310,4)="成品出库"),1,0)</f>
        <v>1</v>
      </c>
      <c r="AE310" s="1" t="n">
        <f aca="false">N(AE309)+$AD310</f>
        <v>34</v>
      </c>
      <c r="AF310" s="1" t="n">
        <f aca="false">IF(AND($N310=1,AND(LEFT(对接源_01水果!$D310,4)="包装物料",N(对接源_01水果!$K310)&lt;&gt;0)),1,0)</f>
        <v>0</v>
      </c>
      <c r="AG310" s="90" t="str">
        <f aca="false">IF(对接源_01水果!$AC310="","",对接源_01水果!$AC310)</f>
        <v>王照雪</v>
      </c>
      <c r="AH310" s="1" t="n">
        <f aca="false">IF(AND($N310=1,AND(LEFT(对接源_01水果!$D310,3)="周转筐",N(对接源_01水果!$K310)&lt;&gt;0)),1,0)</f>
        <v>0</v>
      </c>
      <c r="AI310" s="90" t="n">
        <f aca="false">IF(AG310="",0,IF(MATCH(AG310,$AG$4:$AG$1203,0)=ROW()-3,1,0))</f>
        <v>0</v>
      </c>
      <c r="AJ310" s="90" t="n">
        <f aca="false">N(AJ309)+AI310</f>
        <v>4</v>
      </c>
      <c r="AK310" s="1" t="n">
        <f aca="false">N(AK309)+$AJ310</f>
        <v>100</v>
      </c>
    </row>
    <row r="311" customFormat="false" ht="13.5" hidden="false" customHeight="false" outlineLevel="0" collapsed="false">
      <c r="A311" s="1" t="str">
        <f aca="false">IF(对接源_01水果!$C311="","",对接源_01水果!$C311)</f>
        <v>王照雪</v>
      </c>
      <c r="B311" s="1" t="n">
        <f aca="false">IF(A311="",0,IF(MATCH(A311,$A$4:$A$2403,0)=ROW()-3,1,0))</f>
        <v>0</v>
      </c>
      <c r="C311" s="1" t="n">
        <f aca="false">N(C310)+B311</f>
        <v>13</v>
      </c>
      <c r="K311" s="1" t="n">
        <f aca="false">IF(OR($K$1="",对接源_01水果!$C311="",对接源_01水果!$C311&lt;&gt;$K$1,对接源_01水果!$B311=""),0,IF(OR(N(对接源_01水果!$B311)&lt;$K$2,N(对接源_01水果!$B311)&gt;$K$3),0,1))</f>
        <v>1</v>
      </c>
      <c r="L311" s="1" t="n">
        <f aca="false">IF(OR($L$1="",对接源_01水果!$C311="",对接源_01水果!$C311&lt;&gt;$L$1,对接源_01水果!$B311=""),0,IF(OR(N(对接源_01水果!$B311)&lt;$L$2,N(对接源_01水果!$B311)&gt;$L$3),0,1))</f>
        <v>0</v>
      </c>
      <c r="M311" s="1" t="n">
        <f aca="false">IF(OR($M$1="",对接源_01水果!$C311="",对接源_01水果!$C311&lt;&gt;$M$1,对接源_01水果!$B311=""),0,IF(OR(N(对接源_01水果!$B311)&lt;$M$2,N(对接源_01水果!$B311)&gt;$M$3),0,1))</f>
        <v>1</v>
      </c>
      <c r="N311" s="1" t="n">
        <f aca="false">IF(OR($N$1="",对接源_01水果!$C311="",对接源_01水果!$C311&lt;&gt;$N$1,对接源_01水果!$B311=""),0,IF(OR(N(对接源_01水果!$B311)&lt;$N$2,N(对接源_01水果!$B311)&gt;$N$3),0,1))</f>
        <v>0</v>
      </c>
      <c r="P311" s="1" t="n">
        <f aca="false">IF(AND($K311=1,AND(对接源_01水果!$X311="公司筐",N(对接源_01水果!$T311)&lt;&gt;0)),1,0)</f>
        <v>0</v>
      </c>
      <c r="Q311" s="1" t="n">
        <f aca="false">N(Q310)+$P311</f>
        <v>3</v>
      </c>
      <c r="R311" s="1" t="n">
        <f aca="false">IF(AND($K311=1,AND(对接源_01水果!$X311="公司筐",N(对接源_01水果!$U311)&lt;&gt;0)),1,0)</f>
        <v>0</v>
      </c>
      <c r="S311" s="1" t="n">
        <f aca="false">N(S310)+$R311</f>
        <v>0</v>
      </c>
      <c r="T311" s="1" t="n">
        <f aca="false">IF(AND($K311=1,AND(对接源_01水果!$X311="公司筐",N(对接源_01水果!$V311)&lt;&gt;0)),1,0)</f>
        <v>0</v>
      </c>
      <c r="U311" s="1" t="n">
        <f aca="false">N(U310)+$T311</f>
        <v>28</v>
      </c>
      <c r="V311" s="1" t="n">
        <f aca="false">IF(AND($L311=1,AND(对接源_01水果!$X311="自备筐",N(对接源_01水果!$V311)&lt;&gt;0)),1,0)</f>
        <v>0</v>
      </c>
      <c r="W311" s="1" t="n">
        <f aca="false">N(W310)+$V311</f>
        <v>7</v>
      </c>
      <c r="X311" s="1" t="n">
        <f aca="false">IF(AND($L311=1,AND(对接源_01水果!$X311="自备筐",N(对接源_01水果!$T311)&lt;&gt;0)),1,0)</f>
        <v>0</v>
      </c>
      <c r="Y311" s="1" t="n">
        <f aca="false">N(Y310)+$X311</f>
        <v>0</v>
      </c>
      <c r="Z311" s="1" t="n">
        <f aca="false">IF(AND($M311=1,对接源_01水果!$D311="原料入库"),1,0)</f>
        <v>0</v>
      </c>
      <c r="AA311" s="1" t="n">
        <f aca="false">N(AA310)+$Z311</f>
        <v>30</v>
      </c>
      <c r="AB311" s="1" t="n">
        <f aca="false">IF(AND($M311=1,LEFT(对接源_01水果!$D311,4)="原料出库"),1,0)</f>
        <v>0</v>
      </c>
      <c r="AC311" s="1" t="n">
        <f aca="false">N(AC310)+$AB311</f>
        <v>19</v>
      </c>
      <c r="AD311" s="1" t="n">
        <f aca="false">IF(AND($M311=1,LEFT(对接源_01水果!$D311,4)="成品出库"),1,0)</f>
        <v>1</v>
      </c>
      <c r="AE311" s="1" t="n">
        <f aca="false">N(AE310)+$AD311</f>
        <v>35</v>
      </c>
      <c r="AF311" s="1" t="n">
        <f aca="false">IF(AND($N311=1,AND(LEFT(对接源_01水果!$D311,4)="包装物料",N(对接源_01水果!$K311)&lt;&gt;0)),1,0)</f>
        <v>0</v>
      </c>
      <c r="AG311" s="90" t="str">
        <f aca="false">IF(对接源_01水果!$AC311="","",对接源_01水果!$AC311)</f>
        <v>电商/主播</v>
      </c>
      <c r="AH311" s="1" t="n">
        <f aca="false">IF(AND($N311=1,AND(LEFT(对接源_01水果!$D311,3)="周转筐",N(对接源_01水果!$K311)&lt;&gt;0)),1,0)</f>
        <v>0</v>
      </c>
      <c r="AI311" s="90" t="n">
        <f aca="false">IF(AG311="",0,IF(MATCH(AG311,$AG$4:$AG$1203,0)=ROW()-3,1,0))</f>
        <v>0</v>
      </c>
      <c r="AJ311" s="90" t="n">
        <f aca="false">N(AJ310)+AI311</f>
        <v>4</v>
      </c>
      <c r="AK311" s="1" t="n">
        <f aca="false">N(AK310)+$AJ311</f>
        <v>104</v>
      </c>
    </row>
    <row r="312" customFormat="false" ht="13.5" hidden="false" customHeight="false" outlineLevel="0" collapsed="false">
      <c r="A312" s="1" t="str">
        <f aca="false">IF(对接源_01水果!$C312="","",对接源_01水果!$C312)</f>
        <v>王照雪</v>
      </c>
      <c r="B312" s="1" t="n">
        <f aca="false">IF(A312="",0,IF(MATCH(A312,$A$4:$A$2403,0)=ROW()-3,1,0))</f>
        <v>0</v>
      </c>
      <c r="C312" s="1" t="n">
        <f aca="false">N(C311)+B312</f>
        <v>13</v>
      </c>
      <c r="K312" s="1" t="n">
        <f aca="false">IF(OR($K$1="",对接源_01水果!$C312="",对接源_01水果!$C312&lt;&gt;$K$1,对接源_01水果!$B312=""),0,IF(OR(N(对接源_01水果!$B312)&lt;$K$2,N(对接源_01水果!$B312)&gt;$K$3),0,1))</f>
        <v>1</v>
      </c>
      <c r="L312" s="1" t="n">
        <f aca="false">IF(OR($L$1="",对接源_01水果!$C312="",对接源_01水果!$C312&lt;&gt;$L$1,对接源_01水果!$B312=""),0,IF(OR(N(对接源_01水果!$B312)&lt;$L$2,N(对接源_01水果!$B312)&gt;$L$3),0,1))</f>
        <v>0</v>
      </c>
      <c r="M312" s="1" t="n">
        <f aca="false">IF(OR($M$1="",对接源_01水果!$C312="",对接源_01水果!$C312&lt;&gt;$M$1,对接源_01水果!$B312=""),0,IF(OR(N(对接源_01水果!$B312)&lt;$M$2,N(对接源_01水果!$B312)&gt;$M$3),0,1))</f>
        <v>1</v>
      </c>
      <c r="N312" s="1" t="n">
        <f aca="false">IF(OR($N$1="",对接源_01水果!$C312="",对接源_01水果!$C312&lt;&gt;$N$1,对接源_01水果!$B312=""),0,IF(OR(N(对接源_01水果!$B312)&lt;$N$2,N(对接源_01水果!$B312)&gt;$N$3),0,1))</f>
        <v>0</v>
      </c>
      <c r="P312" s="1" t="n">
        <f aca="false">IF(AND($K312=1,AND(对接源_01水果!$X312="公司筐",N(对接源_01水果!$T312)&lt;&gt;0)),1,0)</f>
        <v>0</v>
      </c>
      <c r="Q312" s="1" t="n">
        <f aca="false">N(Q311)+$P312</f>
        <v>3</v>
      </c>
      <c r="R312" s="1" t="n">
        <f aca="false">IF(AND($K312=1,AND(对接源_01水果!$X312="公司筐",N(对接源_01水果!$U312)&lt;&gt;0)),1,0)</f>
        <v>0</v>
      </c>
      <c r="S312" s="1" t="n">
        <f aca="false">N(S311)+$R312</f>
        <v>0</v>
      </c>
      <c r="T312" s="1" t="n">
        <f aca="false">IF(AND($K312=1,AND(对接源_01水果!$X312="公司筐",N(对接源_01水果!$V312)&lt;&gt;0)),1,0)</f>
        <v>0</v>
      </c>
      <c r="U312" s="1" t="n">
        <f aca="false">N(U311)+$T312</f>
        <v>28</v>
      </c>
      <c r="V312" s="1" t="n">
        <f aca="false">IF(AND($L312=1,AND(对接源_01水果!$X312="自备筐",N(对接源_01水果!$V312)&lt;&gt;0)),1,0)</f>
        <v>0</v>
      </c>
      <c r="W312" s="1" t="n">
        <f aca="false">N(W311)+$V312</f>
        <v>7</v>
      </c>
      <c r="X312" s="1" t="n">
        <f aca="false">IF(AND($L312=1,AND(对接源_01水果!$X312="自备筐",N(对接源_01水果!$T312)&lt;&gt;0)),1,0)</f>
        <v>0</v>
      </c>
      <c r="Y312" s="1" t="n">
        <f aca="false">N(Y311)+$X312</f>
        <v>0</v>
      </c>
      <c r="Z312" s="1" t="n">
        <f aca="false">IF(AND($M312=1,对接源_01水果!$D312="原料入库"),1,0)</f>
        <v>0</v>
      </c>
      <c r="AA312" s="1" t="n">
        <f aca="false">N(AA311)+$Z312</f>
        <v>30</v>
      </c>
      <c r="AB312" s="1" t="n">
        <f aca="false">IF(AND($M312=1,LEFT(对接源_01水果!$D312,4)="原料出库"),1,0)</f>
        <v>0</v>
      </c>
      <c r="AC312" s="1" t="n">
        <f aca="false">N(AC311)+$AB312</f>
        <v>19</v>
      </c>
      <c r="AD312" s="1" t="n">
        <f aca="false">IF(AND($M312=1,LEFT(对接源_01水果!$D312,4)="成品出库"),1,0)</f>
        <v>1</v>
      </c>
      <c r="AE312" s="1" t="n">
        <f aca="false">N(AE311)+$AD312</f>
        <v>36</v>
      </c>
      <c r="AF312" s="1" t="n">
        <f aca="false">IF(AND($N312=1,AND(LEFT(对接源_01水果!$D312,4)="包装物料",N(对接源_01水果!$K312)&lt;&gt;0)),1,0)</f>
        <v>0</v>
      </c>
      <c r="AG312" s="90" t="str">
        <f aca="false">IF(对接源_01水果!$AC312="","",对接源_01水果!$AC312)</f>
        <v>电商/主播</v>
      </c>
      <c r="AH312" s="1" t="n">
        <f aca="false">IF(AND($N312=1,AND(LEFT(对接源_01水果!$D312,3)="周转筐",N(对接源_01水果!$K312)&lt;&gt;0)),1,0)</f>
        <v>0</v>
      </c>
      <c r="AI312" s="90" t="n">
        <f aca="false">IF(AG312="",0,IF(MATCH(AG312,$AG$4:$AG$1203,0)=ROW()-3,1,0))</f>
        <v>0</v>
      </c>
      <c r="AJ312" s="90" t="n">
        <f aca="false">N(AJ311)+AI312</f>
        <v>4</v>
      </c>
      <c r="AK312" s="1" t="n">
        <f aca="false">N(AK311)+$AJ312</f>
        <v>108</v>
      </c>
    </row>
    <row r="313" customFormat="false" ht="13.5" hidden="false" customHeight="false" outlineLevel="0" collapsed="false">
      <c r="A313" s="1" t="str">
        <f aca="false">IF(对接源_01水果!$C313="","",对接源_01水果!$C313)</f>
        <v>王照雪</v>
      </c>
      <c r="B313" s="1" t="n">
        <f aca="false">IF(A313="",0,IF(MATCH(A313,$A$4:$A$2403,0)=ROW()-3,1,0))</f>
        <v>0</v>
      </c>
      <c r="C313" s="1" t="n">
        <f aca="false">N(C312)+B313</f>
        <v>13</v>
      </c>
      <c r="K313" s="1" t="n">
        <f aca="false">IF(OR($K$1="",对接源_01水果!$C313="",对接源_01水果!$C313&lt;&gt;$K$1,对接源_01水果!$B313=""),0,IF(OR(N(对接源_01水果!$B313)&lt;$K$2,N(对接源_01水果!$B313)&gt;$K$3),0,1))</f>
        <v>1</v>
      </c>
      <c r="L313" s="1" t="n">
        <f aca="false">IF(OR($L$1="",对接源_01水果!$C313="",对接源_01水果!$C313&lt;&gt;$L$1,对接源_01水果!$B313=""),0,IF(OR(N(对接源_01水果!$B313)&lt;$L$2,N(对接源_01水果!$B313)&gt;$L$3),0,1))</f>
        <v>0</v>
      </c>
      <c r="M313" s="1" t="n">
        <f aca="false">IF(OR($M$1="",对接源_01水果!$C313="",对接源_01水果!$C313&lt;&gt;$M$1,对接源_01水果!$B313=""),0,IF(OR(N(对接源_01水果!$B313)&lt;$M$2,N(对接源_01水果!$B313)&gt;$M$3),0,1))</f>
        <v>1</v>
      </c>
      <c r="N313" s="1" t="n">
        <f aca="false">IF(OR($N$1="",对接源_01水果!$C313="",对接源_01水果!$C313&lt;&gt;$N$1,对接源_01水果!$B313=""),0,IF(OR(N(对接源_01水果!$B313)&lt;$N$2,N(对接源_01水果!$B313)&gt;$N$3),0,1))</f>
        <v>0</v>
      </c>
      <c r="P313" s="1" t="n">
        <f aca="false">IF(AND($K313=1,AND(对接源_01水果!$X313="公司筐",N(对接源_01水果!$T313)&lt;&gt;0)),1,0)</f>
        <v>0</v>
      </c>
      <c r="Q313" s="1" t="n">
        <f aca="false">N(Q312)+$P313</f>
        <v>3</v>
      </c>
      <c r="R313" s="1" t="n">
        <f aca="false">IF(AND($K313=1,AND(对接源_01水果!$X313="公司筐",N(对接源_01水果!$U313)&lt;&gt;0)),1,0)</f>
        <v>0</v>
      </c>
      <c r="S313" s="1" t="n">
        <f aca="false">N(S312)+$R313</f>
        <v>0</v>
      </c>
      <c r="T313" s="1" t="n">
        <f aca="false">IF(AND($K313=1,AND(对接源_01水果!$X313="公司筐",N(对接源_01水果!$V313)&lt;&gt;0)),1,0)</f>
        <v>0</v>
      </c>
      <c r="U313" s="1" t="n">
        <f aca="false">N(U312)+$T313</f>
        <v>28</v>
      </c>
      <c r="V313" s="1" t="n">
        <f aca="false">IF(AND($L313=1,AND(对接源_01水果!$X313="自备筐",N(对接源_01水果!$V313)&lt;&gt;0)),1,0)</f>
        <v>0</v>
      </c>
      <c r="W313" s="1" t="n">
        <f aca="false">N(W312)+$V313</f>
        <v>7</v>
      </c>
      <c r="X313" s="1" t="n">
        <f aca="false">IF(AND($L313=1,AND(对接源_01水果!$X313="自备筐",N(对接源_01水果!$T313)&lt;&gt;0)),1,0)</f>
        <v>0</v>
      </c>
      <c r="Y313" s="1" t="n">
        <f aca="false">N(Y312)+$X313</f>
        <v>0</v>
      </c>
      <c r="Z313" s="1" t="n">
        <f aca="false">IF(AND($M313=1,对接源_01水果!$D313="原料入库"),1,0)</f>
        <v>0</v>
      </c>
      <c r="AA313" s="1" t="n">
        <f aca="false">N(AA312)+$Z313</f>
        <v>30</v>
      </c>
      <c r="AB313" s="1" t="n">
        <f aca="false">IF(AND($M313=1,LEFT(对接源_01水果!$D313,4)="原料出库"),1,0)</f>
        <v>0</v>
      </c>
      <c r="AC313" s="1" t="n">
        <f aca="false">N(AC312)+$AB313</f>
        <v>19</v>
      </c>
      <c r="AD313" s="1" t="n">
        <f aca="false">IF(AND($M313=1,LEFT(对接源_01水果!$D313,4)="成品出库"),1,0)</f>
        <v>1</v>
      </c>
      <c r="AE313" s="1" t="n">
        <f aca="false">N(AE312)+$AD313</f>
        <v>37</v>
      </c>
      <c r="AF313" s="1" t="n">
        <f aca="false">IF(AND($N313=1,AND(LEFT(对接源_01水果!$D313,4)="包装物料",N(对接源_01水果!$K313)&lt;&gt;0)),1,0)</f>
        <v>0</v>
      </c>
      <c r="AG313" s="90" t="str">
        <f aca="false">IF(对接源_01水果!$AC313="","",对接源_01水果!$AC313)</f>
        <v>电商/主播</v>
      </c>
      <c r="AH313" s="1" t="n">
        <f aca="false">IF(AND($N313=1,AND(LEFT(对接源_01水果!$D313,3)="周转筐",N(对接源_01水果!$K313)&lt;&gt;0)),1,0)</f>
        <v>0</v>
      </c>
      <c r="AI313" s="90" t="n">
        <f aca="false">IF(AG313="",0,IF(MATCH(AG313,$AG$4:$AG$1203,0)=ROW()-3,1,0))</f>
        <v>0</v>
      </c>
      <c r="AJ313" s="90" t="n">
        <f aca="false">N(AJ312)+AI313</f>
        <v>4</v>
      </c>
      <c r="AK313" s="1" t="n">
        <f aca="false">N(AK312)+$AJ313</f>
        <v>112</v>
      </c>
    </row>
    <row r="314" customFormat="false" ht="13.5" hidden="false" customHeight="false" outlineLevel="0" collapsed="false">
      <c r="A314" s="1" t="str">
        <f aca="false">IF(对接源_01水果!$C314="","",对接源_01水果!$C314)</f>
        <v>王照雪</v>
      </c>
      <c r="B314" s="1" t="n">
        <f aca="false">IF(A314="",0,IF(MATCH(A314,$A$4:$A$2403,0)=ROW()-3,1,0))</f>
        <v>0</v>
      </c>
      <c r="C314" s="1" t="n">
        <f aca="false">N(C313)+B314</f>
        <v>13</v>
      </c>
      <c r="K314" s="1" t="n">
        <f aca="false">IF(OR($K$1="",对接源_01水果!$C314="",对接源_01水果!$C314&lt;&gt;$K$1,对接源_01水果!$B314=""),0,IF(OR(N(对接源_01水果!$B314)&lt;$K$2,N(对接源_01水果!$B314)&gt;$K$3),0,1))</f>
        <v>1</v>
      </c>
      <c r="L314" s="1" t="n">
        <f aca="false">IF(OR($L$1="",对接源_01水果!$C314="",对接源_01水果!$C314&lt;&gt;$L$1,对接源_01水果!$B314=""),0,IF(OR(N(对接源_01水果!$B314)&lt;$L$2,N(对接源_01水果!$B314)&gt;$L$3),0,1))</f>
        <v>0</v>
      </c>
      <c r="M314" s="1" t="n">
        <f aca="false">IF(OR($M$1="",对接源_01水果!$C314="",对接源_01水果!$C314&lt;&gt;$M$1,对接源_01水果!$B314=""),0,IF(OR(N(对接源_01水果!$B314)&lt;$M$2,N(对接源_01水果!$B314)&gt;$M$3),0,1))</f>
        <v>1</v>
      </c>
      <c r="N314" s="1" t="n">
        <f aca="false">IF(OR($N$1="",对接源_01水果!$C314="",对接源_01水果!$C314&lt;&gt;$N$1,对接源_01水果!$B314=""),0,IF(OR(N(对接源_01水果!$B314)&lt;$N$2,N(对接源_01水果!$B314)&gt;$N$3),0,1))</f>
        <v>0</v>
      </c>
      <c r="P314" s="1" t="n">
        <f aca="false">IF(AND($K314=1,AND(对接源_01水果!$X314="公司筐",N(对接源_01水果!$T314)&lt;&gt;0)),1,0)</f>
        <v>0</v>
      </c>
      <c r="Q314" s="1" t="n">
        <f aca="false">N(Q313)+$P314</f>
        <v>3</v>
      </c>
      <c r="R314" s="1" t="n">
        <f aca="false">IF(AND($K314=1,AND(对接源_01水果!$X314="公司筐",N(对接源_01水果!$U314)&lt;&gt;0)),1,0)</f>
        <v>0</v>
      </c>
      <c r="S314" s="1" t="n">
        <f aca="false">N(S313)+$R314</f>
        <v>0</v>
      </c>
      <c r="T314" s="1" t="n">
        <f aca="false">IF(AND($K314=1,AND(对接源_01水果!$X314="公司筐",N(对接源_01水果!$V314)&lt;&gt;0)),1,0)</f>
        <v>0</v>
      </c>
      <c r="U314" s="1" t="n">
        <f aca="false">N(U313)+$T314</f>
        <v>28</v>
      </c>
      <c r="V314" s="1" t="n">
        <f aca="false">IF(AND($L314=1,AND(对接源_01水果!$X314="自备筐",N(对接源_01水果!$V314)&lt;&gt;0)),1,0)</f>
        <v>0</v>
      </c>
      <c r="W314" s="1" t="n">
        <f aca="false">N(W313)+$V314</f>
        <v>7</v>
      </c>
      <c r="X314" s="1" t="n">
        <f aca="false">IF(AND($L314=1,AND(对接源_01水果!$X314="自备筐",N(对接源_01水果!$T314)&lt;&gt;0)),1,0)</f>
        <v>0</v>
      </c>
      <c r="Y314" s="1" t="n">
        <f aca="false">N(Y313)+$X314</f>
        <v>0</v>
      </c>
      <c r="Z314" s="1" t="n">
        <f aca="false">IF(AND($M314=1,对接源_01水果!$D314="原料入库"),1,0)</f>
        <v>0</v>
      </c>
      <c r="AA314" s="1" t="n">
        <f aca="false">N(AA313)+$Z314</f>
        <v>30</v>
      </c>
      <c r="AB314" s="1" t="n">
        <f aca="false">IF(AND($M314=1,LEFT(对接源_01水果!$D314,4)="原料出库"),1,0)</f>
        <v>0</v>
      </c>
      <c r="AC314" s="1" t="n">
        <f aca="false">N(AC313)+$AB314</f>
        <v>19</v>
      </c>
      <c r="AD314" s="1" t="n">
        <f aca="false">IF(AND($M314=1,LEFT(对接源_01水果!$D314,4)="成品出库"),1,0)</f>
        <v>1</v>
      </c>
      <c r="AE314" s="1" t="n">
        <f aca="false">N(AE313)+$AD314</f>
        <v>38</v>
      </c>
      <c r="AF314" s="1" t="n">
        <f aca="false">IF(AND($N314=1,AND(LEFT(对接源_01水果!$D314,4)="包装物料",N(对接源_01水果!$K314)&lt;&gt;0)),1,0)</f>
        <v>0</v>
      </c>
      <c r="AG314" s="90" t="str">
        <f aca="false">IF(对接源_01水果!$AC314="","",对接源_01水果!$AC314)</f>
        <v/>
      </c>
      <c r="AH314" s="1" t="n">
        <f aca="false">IF(AND($N314=1,AND(LEFT(对接源_01水果!$D314,3)="周转筐",N(对接源_01水果!$K314)&lt;&gt;0)),1,0)</f>
        <v>0</v>
      </c>
      <c r="AI314" s="90" t="n">
        <f aca="false">IF(AG314="",0,IF(MATCH(AG314,$AG$4:$AG$1203,0)=ROW()-3,1,0))</f>
        <v>0</v>
      </c>
      <c r="AJ314" s="90" t="n">
        <f aca="false">N(AJ313)+AI314</f>
        <v>4</v>
      </c>
      <c r="AK314" s="1" t="n">
        <f aca="false">N(AK313)+$AJ314</f>
        <v>116</v>
      </c>
    </row>
    <row r="315" customFormat="false" ht="13.5" hidden="false" customHeight="false" outlineLevel="0" collapsed="false">
      <c r="A315" s="1" t="str">
        <f aca="false">IF(对接源_01水果!$C315="","",对接源_01水果!$C315)</f>
        <v/>
      </c>
      <c r="B315" s="1" t="n">
        <f aca="false">IF(A315="",0,IF(MATCH(A315,$A$4:$A$2403,0)=ROW()-3,1,0))</f>
        <v>0</v>
      </c>
      <c r="C315" s="1" t="n">
        <f aca="false">N(C314)+B315</f>
        <v>13</v>
      </c>
      <c r="K315" s="1" t="n">
        <f aca="false">IF(OR($K$1="",对接源_01水果!$C315="",对接源_01水果!$C315&lt;&gt;$K$1,对接源_01水果!$B315=""),0,IF(OR(N(对接源_01水果!$B315)&lt;$K$2,N(对接源_01水果!$B315)&gt;$K$3),0,1))</f>
        <v>0</v>
      </c>
      <c r="L315" s="1" t="n">
        <f aca="false">IF(OR($L$1="",对接源_01水果!$C315="",对接源_01水果!$C315&lt;&gt;$L$1,对接源_01水果!$B315=""),0,IF(OR(N(对接源_01水果!$B315)&lt;$L$2,N(对接源_01水果!$B315)&gt;$L$3),0,1))</f>
        <v>0</v>
      </c>
      <c r="M315" s="1" t="n">
        <f aca="false">IF(OR($M$1="",对接源_01水果!$C315="",对接源_01水果!$C315&lt;&gt;$M$1,对接源_01水果!$B315=""),0,IF(OR(N(对接源_01水果!$B315)&lt;$M$2,N(对接源_01水果!$B315)&gt;$M$3),0,1))</f>
        <v>0</v>
      </c>
      <c r="N315" s="1" t="n">
        <f aca="false">IF(OR($N$1="",对接源_01水果!$C315="",对接源_01水果!$C315&lt;&gt;$N$1,对接源_01水果!$B315=""),0,IF(OR(N(对接源_01水果!$B315)&lt;$N$2,N(对接源_01水果!$B315)&gt;$N$3),0,1))</f>
        <v>0</v>
      </c>
      <c r="P315" s="1" t="n">
        <f aca="false">IF(AND($K315=1,AND(对接源_01水果!$X315="公司筐",N(对接源_01水果!$T315)&lt;&gt;0)),1,0)</f>
        <v>0</v>
      </c>
      <c r="Q315" s="1" t="n">
        <f aca="false">N(Q314)+$P315</f>
        <v>3</v>
      </c>
      <c r="R315" s="1" t="n">
        <f aca="false">IF(AND($K315=1,AND(对接源_01水果!$X315="公司筐",N(对接源_01水果!$U315)&lt;&gt;0)),1,0)</f>
        <v>0</v>
      </c>
      <c r="S315" s="1" t="n">
        <f aca="false">N(S314)+$R315</f>
        <v>0</v>
      </c>
      <c r="T315" s="1" t="n">
        <f aca="false">IF(AND($K315=1,AND(对接源_01水果!$X315="公司筐",N(对接源_01水果!$V315)&lt;&gt;0)),1,0)</f>
        <v>0</v>
      </c>
      <c r="U315" s="1" t="n">
        <f aca="false">N(U314)+$T315</f>
        <v>28</v>
      </c>
      <c r="V315" s="1" t="n">
        <f aca="false">IF(AND($L315=1,AND(对接源_01水果!$X315="自备筐",N(对接源_01水果!$V315)&lt;&gt;0)),1,0)</f>
        <v>0</v>
      </c>
      <c r="W315" s="1" t="n">
        <f aca="false">N(W314)+$V315</f>
        <v>7</v>
      </c>
      <c r="X315" s="1" t="n">
        <f aca="false">IF(AND($L315=1,AND(对接源_01水果!$X315="自备筐",N(对接源_01水果!$T315)&lt;&gt;0)),1,0)</f>
        <v>0</v>
      </c>
      <c r="Y315" s="1" t="n">
        <f aca="false">N(Y314)+$X315</f>
        <v>0</v>
      </c>
      <c r="Z315" s="1" t="n">
        <f aca="false">IF(AND($M315=1,对接源_01水果!$D315="原料入库"),1,0)</f>
        <v>0</v>
      </c>
      <c r="AA315" s="1" t="n">
        <f aca="false">N(AA314)+$Z315</f>
        <v>30</v>
      </c>
      <c r="AB315" s="1" t="n">
        <f aca="false">IF(AND($M315=1,LEFT(对接源_01水果!$D315,4)="原料出库"),1,0)</f>
        <v>0</v>
      </c>
      <c r="AC315" s="1" t="n">
        <f aca="false">N(AC314)+$AB315</f>
        <v>19</v>
      </c>
      <c r="AD315" s="1" t="n">
        <f aca="false">IF(AND($M315=1,LEFT(对接源_01水果!$D315,4)="成品出库"),1,0)</f>
        <v>0</v>
      </c>
      <c r="AE315" s="1" t="n">
        <f aca="false">N(AE314)+$AD315</f>
        <v>38</v>
      </c>
      <c r="AF315" s="1" t="n">
        <f aca="false">IF(AND($N315=1,AND(LEFT(对接源_01水果!$D315,4)="包装物料",N(对接源_01水果!$K315)&lt;&gt;0)),1,0)</f>
        <v>0</v>
      </c>
      <c r="AG315" s="90" t="str">
        <f aca="false">IF(对接源_01水果!$AC315="","",对接源_01水果!$AC315)</f>
        <v/>
      </c>
      <c r="AH315" s="1" t="n">
        <f aca="false">IF(AND($N315=1,AND(LEFT(对接源_01水果!$D315,3)="周转筐",N(对接源_01水果!$K315)&lt;&gt;0)),1,0)</f>
        <v>0</v>
      </c>
      <c r="AI315" s="90" t="n">
        <f aca="false">IF(AG315="",0,IF(MATCH(AG315,$AG$4:$AG$1203,0)=ROW()-3,1,0))</f>
        <v>0</v>
      </c>
      <c r="AJ315" s="90" t="n">
        <f aca="false">N(AJ314)+AI315</f>
        <v>4</v>
      </c>
      <c r="AK315" s="1" t="n">
        <f aca="false">N(AK314)+$AJ315</f>
        <v>120</v>
      </c>
    </row>
    <row r="316" customFormat="false" ht="13.5" hidden="false" customHeight="false" outlineLevel="0" collapsed="false">
      <c r="A316" s="1" t="str">
        <f aca="false">IF(对接源_01水果!$C316="","",对接源_01水果!$C316)</f>
        <v/>
      </c>
      <c r="B316" s="1" t="n">
        <f aca="false">IF(A316="",0,IF(MATCH(A316,$A$4:$A$2403,0)=ROW()-3,1,0))</f>
        <v>0</v>
      </c>
      <c r="C316" s="1" t="n">
        <f aca="false">N(C315)+B316</f>
        <v>13</v>
      </c>
      <c r="K316" s="1" t="n">
        <f aca="false">IF(OR($K$1="",对接源_01水果!$C316="",对接源_01水果!$C316&lt;&gt;$K$1,对接源_01水果!$B316=""),0,IF(OR(N(对接源_01水果!$B316)&lt;$K$2,N(对接源_01水果!$B316)&gt;$K$3),0,1))</f>
        <v>0</v>
      </c>
      <c r="L316" s="1" t="n">
        <f aca="false">IF(OR($L$1="",对接源_01水果!$C316="",对接源_01水果!$C316&lt;&gt;$L$1,对接源_01水果!$B316=""),0,IF(OR(N(对接源_01水果!$B316)&lt;$L$2,N(对接源_01水果!$B316)&gt;$L$3),0,1))</f>
        <v>0</v>
      </c>
      <c r="M316" s="1" t="n">
        <f aca="false">IF(OR($M$1="",对接源_01水果!$C316="",对接源_01水果!$C316&lt;&gt;$M$1,对接源_01水果!$B316=""),0,IF(OR(N(对接源_01水果!$B316)&lt;$M$2,N(对接源_01水果!$B316)&gt;$M$3),0,1))</f>
        <v>0</v>
      </c>
      <c r="N316" s="1" t="n">
        <f aca="false">IF(OR($N$1="",对接源_01水果!$C316="",对接源_01水果!$C316&lt;&gt;$N$1,对接源_01水果!$B316=""),0,IF(OR(N(对接源_01水果!$B316)&lt;$N$2,N(对接源_01水果!$B316)&gt;$N$3),0,1))</f>
        <v>0</v>
      </c>
      <c r="P316" s="1" t="n">
        <f aca="false">IF(AND($K316=1,AND(对接源_01水果!$X316="公司筐",N(对接源_01水果!$T316)&lt;&gt;0)),1,0)</f>
        <v>0</v>
      </c>
      <c r="Q316" s="1" t="n">
        <f aca="false">N(Q315)+$P316</f>
        <v>3</v>
      </c>
      <c r="R316" s="1" t="n">
        <f aca="false">IF(AND($K316=1,AND(对接源_01水果!$X316="公司筐",N(对接源_01水果!$U316)&lt;&gt;0)),1,0)</f>
        <v>0</v>
      </c>
      <c r="S316" s="1" t="n">
        <f aca="false">N(S315)+$R316</f>
        <v>0</v>
      </c>
      <c r="T316" s="1" t="n">
        <f aca="false">IF(AND($K316=1,AND(对接源_01水果!$X316="公司筐",N(对接源_01水果!$V316)&lt;&gt;0)),1,0)</f>
        <v>0</v>
      </c>
      <c r="U316" s="1" t="n">
        <f aca="false">N(U315)+$T316</f>
        <v>28</v>
      </c>
      <c r="V316" s="1" t="n">
        <f aca="false">IF(AND($L316=1,AND(对接源_01水果!$X316="自备筐",N(对接源_01水果!$V316)&lt;&gt;0)),1,0)</f>
        <v>0</v>
      </c>
      <c r="W316" s="1" t="n">
        <f aca="false">N(W315)+$V316</f>
        <v>7</v>
      </c>
      <c r="X316" s="1" t="n">
        <f aca="false">IF(AND($L316=1,AND(对接源_01水果!$X316="自备筐",N(对接源_01水果!$T316)&lt;&gt;0)),1,0)</f>
        <v>0</v>
      </c>
      <c r="Y316" s="1" t="n">
        <f aca="false">N(Y315)+$X316</f>
        <v>0</v>
      </c>
      <c r="Z316" s="1" t="n">
        <f aca="false">IF(AND($M316=1,对接源_01水果!$D316="原料入库"),1,0)</f>
        <v>0</v>
      </c>
      <c r="AA316" s="1" t="n">
        <f aca="false">N(AA315)+$Z316</f>
        <v>30</v>
      </c>
      <c r="AB316" s="1" t="n">
        <f aca="false">IF(AND($M316=1,LEFT(对接源_01水果!$D316,4)="原料出库"),1,0)</f>
        <v>0</v>
      </c>
      <c r="AC316" s="1" t="n">
        <f aca="false">N(AC315)+$AB316</f>
        <v>19</v>
      </c>
      <c r="AD316" s="1" t="n">
        <f aca="false">IF(AND($M316=1,LEFT(对接源_01水果!$D316,4)="成品出库"),1,0)</f>
        <v>0</v>
      </c>
      <c r="AE316" s="1" t="n">
        <f aca="false">N(AE315)+$AD316</f>
        <v>38</v>
      </c>
      <c r="AF316" s="1" t="n">
        <f aca="false">IF(AND($N316=1,AND(LEFT(对接源_01水果!$D316,4)="包装物料",N(对接源_01水果!$K316)&lt;&gt;0)),1,0)</f>
        <v>0</v>
      </c>
      <c r="AG316" s="90" t="str">
        <f aca="false">IF(对接源_01水果!$AC316="","",对接源_01水果!$AC316)</f>
        <v/>
      </c>
      <c r="AH316" s="1" t="n">
        <f aca="false">IF(AND($N316=1,AND(LEFT(对接源_01水果!$D316,3)="周转筐",N(对接源_01水果!$K316)&lt;&gt;0)),1,0)</f>
        <v>0</v>
      </c>
      <c r="AI316" s="90" t="n">
        <f aca="false">IF(AG316="",0,IF(MATCH(AG316,$AG$4:$AG$1203,0)=ROW()-3,1,0))</f>
        <v>0</v>
      </c>
      <c r="AJ316" s="90" t="n">
        <f aca="false">N(AJ315)+AI316</f>
        <v>4</v>
      </c>
      <c r="AK316" s="1" t="n">
        <f aca="false">N(AK315)+$AJ316</f>
        <v>124</v>
      </c>
    </row>
    <row r="317" customFormat="false" ht="13.5" hidden="false" customHeight="false" outlineLevel="0" collapsed="false">
      <c r="A317" s="1" t="str">
        <f aca="false">IF(对接源_01水果!$C317="","",对接源_01水果!$C317)</f>
        <v/>
      </c>
      <c r="B317" s="1" t="n">
        <f aca="false">IF(A317="",0,IF(MATCH(A317,$A$4:$A$2403,0)=ROW()-3,1,0))</f>
        <v>0</v>
      </c>
      <c r="C317" s="1" t="n">
        <f aca="false">N(C316)+B317</f>
        <v>13</v>
      </c>
      <c r="K317" s="1" t="n">
        <f aca="false">IF(OR($K$1="",对接源_01水果!$C317="",对接源_01水果!$C317&lt;&gt;$K$1,对接源_01水果!$B317=""),0,IF(OR(N(对接源_01水果!$B317)&lt;$K$2,N(对接源_01水果!$B317)&gt;$K$3),0,1))</f>
        <v>0</v>
      </c>
      <c r="L317" s="1" t="n">
        <f aca="false">IF(OR($L$1="",对接源_01水果!$C317="",对接源_01水果!$C317&lt;&gt;$L$1,对接源_01水果!$B317=""),0,IF(OR(N(对接源_01水果!$B317)&lt;$L$2,N(对接源_01水果!$B317)&gt;$L$3),0,1))</f>
        <v>0</v>
      </c>
      <c r="M317" s="1" t="n">
        <f aca="false">IF(OR($M$1="",对接源_01水果!$C317="",对接源_01水果!$C317&lt;&gt;$M$1,对接源_01水果!$B317=""),0,IF(OR(N(对接源_01水果!$B317)&lt;$M$2,N(对接源_01水果!$B317)&gt;$M$3),0,1))</f>
        <v>0</v>
      </c>
      <c r="N317" s="1" t="n">
        <f aca="false">IF(OR($N$1="",对接源_01水果!$C317="",对接源_01水果!$C317&lt;&gt;$N$1,对接源_01水果!$B317=""),0,IF(OR(N(对接源_01水果!$B317)&lt;$N$2,N(对接源_01水果!$B317)&gt;$N$3),0,1))</f>
        <v>0</v>
      </c>
      <c r="P317" s="1" t="n">
        <f aca="false">IF(AND($K317=1,AND(对接源_01水果!$X317="公司筐",N(对接源_01水果!$T317)&lt;&gt;0)),1,0)</f>
        <v>0</v>
      </c>
      <c r="Q317" s="1" t="n">
        <f aca="false">N(Q316)+$P317</f>
        <v>3</v>
      </c>
      <c r="R317" s="1" t="n">
        <f aca="false">IF(AND($K317=1,AND(对接源_01水果!$X317="公司筐",N(对接源_01水果!$U317)&lt;&gt;0)),1,0)</f>
        <v>0</v>
      </c>
      <c r="S317" s="1" t="n">
        <f aca="false">N(S316)+$R317</f>
        <v>0</v>
      </c>
      <c r="T317" s="1" t="n">
        <f aca="false">IF(AND($K317=1,AND(对接源_01水果!$X317="公司筐",N(对接源_01水果!$V317)&lt;&gt;0)),1,0)</f>
        <v>0</v>
      </c>
      <c r="U317" s="1" t="n">
        <f aca="false">N(U316)+$T317</f>
        <v>28</v>
      </c>
      <c r="V317" s="1" t="n">
        <f aca="false">IF(AND($L317=1,AND(对接源_01水果!$X317="自备筐",N(对接源_01水果!$V317)&lt;&gt;0)),1,0)</f>
        <v>0</v>
      </c>
      <c r="W317" s="1" t="n">
        <f aca="false">N(W316)+$V317</f>
        <v>7</v>
      </c>
      <c r="X317" s="1" t="n">
        <f aca="false">IF(AND($L317=1,AND(对接源_01水果!$X317="自备筐",N(对接源_01水果!$T317)&lt;&gt;0)),1,0)</f>
        <v>0</v>
      </c>
      <c r="Y317" s="1" t="n">
        <f aca="false">N(Y316)+$X317</f>
        <v>0</v>
      </c>
      <c r="Z317" s="1" t="n">
        <f aca="false">IF(AND($M317=1,对接源_01水果!$D317="原料入库"),1,0)</f>
        <v>0</v>
      </c>
      <c r="AA317" s="1" t="n">
        <f aca="false">N(AA316)+$Z317</f>
        <v>30</v>
      </c>
      <c r="AB317" s="1" t="n">
        <f aca="false">IF(AND($M317=1,LEFT(对接源_01水果!$D317,4)="原料出库"),1,0)</f>
        <v>0</v>
      </c>
      <c r="AC317" s="1" t="n">
        <f aca="false">N(AC316)+$AB317</f>
        <v>19</v>
      </c>
      <c r="AD317" s="1" t="n">
        <f aca="false">IF(AND($M317=1,LEFT(对接源_01水果!$D317,4)="成品出库"),1,0)</f>
        <v>0</v>
      </c>
      <c r="AE317" s="1" t="n">
        <f aca="false">N(AE316)+$AD317</f>
        <v>38</v>
      </c>
      <c r="AF317" s="1" t="n">
        <f aca="false">IF(AND($N317=1,AND(LEFT(对接源_01水果!$D317,4)="包装物料",N(对接源_01水果!$K317)&lt;&gt;0)),1,0)</f>
        <v>0</v>
      </c>
      <c r="AG317" s="90" t="str">
        <f aca="false">IF(对接源_01水果!$AC317="","",对接源_01水果!$AC317)</f>
        <v/>
      </c>
      <c r="AH317" s="1" t="n">
        <f aca="false">IF(AND($N317=1,AND(LEFT(对接源_01水果!$D317,3)="周转筐",N(对接源_01水果!$K317)&lt;&gt;0)),1,0)</f>
        <v>0</v>
      </c>
      <c r="AI317" s="90" t="n">
        <f aca="false">IF(AG317="",0,IF(MATCH(AG317,$AG$4:$AG$1203,0)=ROW()-3,1,0))</f>
        <v>0</v>
      </c>
      <c r="AJ317" s="90" t="n">
        <f aca="false">N(AJ316)+AI317</f>
        <v>4</v>
      </c>
      <c r="AK317" s="1" t="n">
        <f aca="false">N(AK316)+$AJ317</f>
        <v>128</v>
      </c>
    </row>
    <row r="318" customFormat="false" ht="13.5" hidden="false" customHeight="false" outlineLevel="0" collapsed="false">
      <c r="A318" s="1" t="str">
        <f aca="false">IF(对接源_01水果!$C318="","",对接源_01水果!$C318)</f>
        <v/>
      </c>
      <c r="B318" s="1" t="n">
        <f aca="false">IF(A318="",0,IF(MATCH(A318,$A$4:$A$2403,0)=ROW()-3,1,0))</f>
        <v>0</v>
      </c>
      <c r="C318" s="1" t="n">
        <f aca="false">N(C317)+B318</f>
        <v>13</v>
      </c>
      <c r="K318" s="1" t="n">
        <f aca="false">IF(OR($K$1="",对接源_01水果!$C318="",对接源_01水果!$C318&lt;&gt;$K$1,对接源_01水果!$B318=""),0,IF(OR(N(对接源_01水果!$B318)&lt;$K$2,N(对接源_01水果!$B318)&gt;$K$3),0,1))</f>
        <v>0</v>
      </c>
      <c r="L318" s="1" t="n">
        <f aca="false">IF(OR($L$1="",对接源_01水果!$C318="",对接源_01水果!$C318&lt;&gt;$L$1,对接源_01水果!$B318=""),0,IF(OR(N(对接源_01水果!$B318)&lt;$L$2,N(对接源_01水果!$B318)&gt;$L$3),0,1))</f>
        <v>0</v>
      </c>
      <c r="M318" s="1" t="n">
        <f aca="false">IF(OR($M$1="",对接源_01水果!$C318="",对接源_01水果!$C318&lt;&gt;$M$1,对接源_01水果!$B318=""),0,IF(OR(N(对接源_01水果!$B318)&lt;$M$2,N(对接源_01水果!$B318)&gt;$M$3),0,1))</f>
        <v>0</v>
      </c>
      <c r="N318" s="1" t="n">
        <f aca="false">IF(OR($N$1="",对接源_01水果!$C318="",对接源_01水果!$C318&lt;&gt;$N$1,对接源_01水果!$B318=""),0,IF(OR(N(对接源_01水果!$B318)&lt;$N$2,N(对接源_01水果!$B318)&gt;$N$3),0,1))</f>
        <v>0</v>
      </c>
      <c r="P318" s="1" t="n">
        <f aca="false">IF(AND($K318=1,AND(对接源_01水果!$X318="公司筐",N(对接源_01水果!$T318)&lt;&gt;0)),1,0)</f>
        <v>0</v>
      </c>
      <c r="Q318" s="1" t="n">
        <f aca="false">N(Q317)+$P318</f>
        <v>3</v>
      </c>
      <c r="R318" s="1" t="n">
        <f aca="false">IF(AND($K318=1,AND(对接源_01水果!$X318="公司筐",N(对接源_01水果!$U318)&lt;&gt;0)),1,0)</f>
        <v>0</v>
      </c>
      <c r="S318" s="1" t="n">
        <f aca="false">N(S317)+$R318</f>
        <v>0</v>
      </c>
      <c r="T318" s="1" t="n">
        <f aca="false">IF(AND($K318=1,AND(对接源_01水果!$X318="公司筐",N(对接源_01水果!$V318)&lt;&gt;0)),1,0)</f>
        <v>0</v>
      </c>
      <c r="U318" s="1" t="n">
        <f aca="false">N(U317)+$T318</f>
        <v>28</v>
      </c>
      <c r="V318" s="1" t="n">
        <f aca="false">IF(AND($L318=1,AND(对接源_01水果!$X318="自备筐",N(对接源_01水果!$V318)&lt;&gt;0)),1,0)</f>
        <v>0</v>
      </c>
      <c r="W318" s="1" t="n">
        <f aca="false">N(W317)+$V318</f>
        <v>7</v>
      </c>
      <c r="X318" s="1" t="n">
        <f aca="false">IF(AND($L318=1,AND(对接源_01水果!$X318="自备筐",N(对接源_01水果!$T318)&lt;&gt;0)),1,0)</f>
        <v>0</v>
      </c>
      <c r="Y318" s="1" t="n">
        <f aca="false">N(Y317)+$X318</f>
        <v>0</v>
      </c>
      <c r="Z318" s="1" t="n">
        <f aca="false">IF(AND($M318=1,对接源_01水果!$D318="原料入库"),1,0)</f>
        <v>0</v>
      </c>
      <c r="AA318" s="1" t="n">
        <f aca="false">N(AA317)+$Z318</f>
        <v>30</v>
      </c>
      <c r="AB318" s="1" t="n">
        <f aca="false">IF(AND($M318=1,LEFT(对接源_01水果!$D318,4)="原料出库"),1,0)</f>
        <v>0</v>
      </c>
      <c r="AC318" s="1" t="n">
        <f aca="false">N(AC317)+$AB318</f>
        <v>19</v>
      </c>
      <c r="AD318" s="1" t="n">
        <f aca="false">IF(AND($M318=1,LEFT(对接源_01水果!$D318,4)="成品出库"),1,0)</f>
        <v>0</v>
      </c>
      <c r="AE318" s="1" t="n">
        <f aca="false">N(AE317)+$AD318</f>
        <v>38</v>
      </c>
      <c r="AF318" s="1" t="n">
        <f aca="false">IF(AND($N318=1,AND(LEFT(对接源_01水果!$D318,4)="包装物料",N(对接源_01水果!$K318)&lt;&gt;0)),1,0)</f>
        <v>0</v>
      </c>
      <c r="AG318" s="90" t="str">
        <f aca="false">IF(对接源_01水果!$AC318="","",对接源_01水果!$AC318)</f>
        <v/>
      </c>
      <c r="AH318" s="1" t="n">
        <f aca="false">IF(AND($N318=1,AND(LEFT(对接源_01水果!$D318,3)="周转筐",N(对接源_01水果!$K318)&lt;&gt;0)),1,0)</f>
        <v>0</v>
      </c>
      <c r="AI318" s="90" t="n">
        <f aca="false">IF(AG318="",0,IF(MATCH(AG318,$AG$4:$AG$1203,0)=ROW()-3,1,0))</f>
        <v>0</v>
      </c>
      <c r="AJ318" s="90" t="n">
        <f aca="false">N(AJ317)+AI318</f>
        <v>4</v>
      </c>
      <c r="AK318" s="1" t="n">
        <f aca="false">N(AK317)+$AJ318</f>
        <v>132</v>
      </c>
    </row>
    <row r="319" customFormat="false" ht="13.5" hidden="false" customHeight="false" outlineLevel="0" collapsed="false">
      <c r="A319" s="1" t="str">
        <f aca="false">IF(对接源_01水果!$C319="","",对接源_01水果!$C319)</f>
        <v/>
      </c>
      <c r="B319" s="1" t="n">
        <f aca="false">IF(A319="",0,IF(MATCH(A319,$A$4:$A$2403,0)=ROW()-3,1,0))</f>
        <v>0</v>
      </c>
      <c r="C319" s="1" t="n">
        <f aca="false">N(C318)+B319</f>
        <v>13</v>
      </c>
      <c r="K319" s="1" t="n">
        <f aca="false">IF(OR($K$1="",对接源_01水果!$C319="",对接源_01水果!$C319&lt;&gt;$K$1,对接源_01水果!$B319=""),0,IF(OR(N(对接源_01水果!$B319)&lt;$K$2,N(对接源_01水果!$B319)&gt;$K$3),0,1))</f>
        <v>0</v>
      </c>
      <c r="L319" s="1" t="n">
        <f aca="false">IF(OR($L$1="",对接源_01水果!$C319="",对接源_01水果!$C319&lt;&gt;$L$1,对接源_01水果!$B319=""),0,IF(OR(N(对接源_01水果!$B319)&lt;$L$2,N(对接源_01水果!$B319)&gt;$L$3),0,1))</f>
        <v>0</v>
      </c>
      <c r="M319" s="1" t="n">
        <f aca="false">IF(OR($M$1="",对接源_01水果!$C319="",对接源_01水果!$C319&lt;&gt;$M$1,对接源_01水果!$B319=""),0,IF(OR(N(对接源_01水果!$B319)&lt;$M$2,N(对接源_01水果!$B319)&gt;$M$3),0,1))</f>
        <v>0</v>
      </c>
      <c r="N319" s="1" t="n">
        <f aca="false">IF(OR($N$1="",对接源_01水果!$C319="",对接源_01水果!$C319&lt;&gt;$N$1,对接源_01水果!$B319=""),0,IF(OR(N(对接源_01水果!$B319)&lt;$N$2,N(对接源_01水果!$B319)&gt;$N$3),0,1))</f>
        <v>0</v>
      </c>
      <c r="P319" s="1" t="n">
        <f aca="false">IF(AND($K319=1,AND(对接源_01水果!$X319="公司筐",N(对接源_01水果!$T319)&lt;&gt;0)),1,0)</f>
        <v>0</v>
      </c>
      <c r="Q319" s="1" t="n">
        <f aca="false">N(Q318)+$P319</f>
        <v>3</v>
      </c>
      <c r="R319" s="1" t="n">
        <f aca="false">IF(AND($K319=1,AND(对接源_01水果!$X319="公司筐",N(对接源_01水果!$U319)&lt;&gt;0)),1,0)</f>
        <v>0</v>
      </c>
      <c r="S319" s="1" t="n">
        <f aca="false">N(S318)+$R319</f>
        <v>0</v>
      </c>
      <c r="T319" s="1" t="n">
        <f aca="false">IF(AND($K319=1,AND(对接源_01水果!$X319="公司筐",N(对接源_01水果!$V319)&lt;&gt;0)),1,0)</f>
        <v>0</v>
      </c>
      <c r="U319" s="1" t="n">
        <f aca="false">N(U318)+$T319</f>
        <v>28</v>
      </c>
      <c r="V319" s="1" t="n">
        <f aca="false">IF(AND($L319=1,AND(对接源_01水果!$X319="自备筐",N(对接源_01水果!$V319)&lt;&gt;0)),1,0)</f>
        <v>0</v>
      </c>
      <c r="W319" s="1" t="n">
        <f aca="false">N(W318)+$V319</f>
        <v>7</v>
      </c>
      <c r="X319" s="1" t="n">
        <f aca="false">IF(AND($L319=1,AND(对接源_01水果!$X319="自备筐",N(对接源_01水果!$T319)&lt;&gt;0)),1,0)</f>
        <v>0</v>
      </c>
      <c r="Y319" s="1" t="n">
        <f aca="false">N(Y318)+$X319</f>
        <v>0</v>
      </c>
      <c r="Z319" s="1" t="n">
        <f aca="false">IF(AND($M319=1,对接源_01水果!$D319="原料入库"),1,0)</f>
        <v>0</v>
      </c>
      <c r="AA319" s="1" t="n">
        <f aca="false">N(AA318)+$Z319</f>
        <v>30</v>
      </c>
      <c r="AB319" s="1" t="n">
        <f aca="false">IF(AND($M319=1,LEFT(对接源_01水果!$D319,4)="原料出库"),1,0)</f>
        <v>0</v>
      </c>
      <c r="AC319" s="1" t="n">
        <f aca="false">N(AC318)+$AB319</f>
        <v>19</v>
      </c>
      <c r="AD319" s="1" t="n">
        <f aca="false">IF(AND($M319=1,LEFT(对接源_01水果!$D319,4)="成品出库"),1,0)</f>
        <v>0</v>
      </c>
      <c r="AE319" s="1" t="n">
        <f aca="false">N(AE318)+$AD319</f>
        <v>38</v>
      </c>
      <c r="AF319" s="1" t="n">
        <f aca="false">IF(AND($N319=1,AND(LEFT(对接源_01水果!$D319,4)="包装物料",N(对接源_01水果!$K319)&lt;&gt;0)),1,0)</f>
        <v>0</v>
      </c>
      <c r="AG319" s="90" t="str">
        <f aca="false">IF(对接源_01水果!$AC319="","",对接源_01水果!$AC319)</f>
        <v/>
      </c>
      <c r="AH319" s="1" t="n">
        <f aca="false">IF(AND($N319=1,AND(LEFT(对接源_01水果!$D319,3)="周转筐",N(对接源_01水果!$K319)&lt;&gt;0)),1,0)</f>
        <v>0</v>
      </c>
      <c r="AI319" s="90" t="n">
        <f aca="false">IF(AG319="",0,IF(MATCH(AG319,$AG$4:$AG$1203,0)=ROW()-3,1,0))</f>
        <v>0</v>
      </c>
      <c r="AJ319" s="90" t="n">
        <f aca="false">N(AJ318)+AI319</f>
        <v>4</v>
      </c>
      <c r="AK319" s="1" t="n">
        <f aca="false">N(AK318)+$AJ319</f>
        <v>136</v>
      </c>
    </row>
    <row r="320" customFormat="false" ht="13.5" hidden="false" customHeight="false" outlineLevel="0" collapsed="false">
      <c r="A320" s="1" t="str">
        <f aca="false">IF(对接源_01水果!$C320="","",对接源_01水果!$C320)</f>
        <v/>
      </c>
      <c r="B320" s="1" t="n">
        <f aca="false">IF(A320="",0,IF(MATCH(A320,$A$4:$A$2403,0)=ROW()-3,1,0))</f>
        <v>0</v>
      </c>
      <c r="C320" s="1" t="n">
        <f aca="false">N(C319)+B320</f>
        <v>13</v>
      </c>
      <c r="K320" s="1" t="n">
        <f aca="false">IF(OR($K$1="",对接源_01水果!$C320="",对接源_01水果!$C320&lt;&gt;$K$1,对接源_01水果!$B320=""),0,IF(OR(N(对接源_01水果!$B320)&lt;$K$2,N(对接源_01水果!$B320)&gt;$K$3),0,1))</f>
        <v>0</v>
      </c>
      <c r="L320" s="1" t="n">
        <f aca="false">IF(OR($L$1="",对接源_01水果!$C320="",对接源_01水果!$C320&lt;&gt;$L$1,对接源_01水果!$B320=""),0,IF(OR(N(对接源_01水果!$B320)&lt;$L$2,N(对接源_01水果!$B320)&gt;$L$3),0,1))</f>
        <v>0</v>
      </c>
      <c r="M320" s="1" t="n">
        <f aca="false">IF(OR($M$1="",对接源_01水果!$C320="",对接源_01水果!$C320&lt;&gt;$M$1,对接源_01水果!$B320=""),0,IF(OR(N(对接源_01水果!$B320)&lt;$M$2,N(对接源_01水果!$B320)&gt;$M$3),0,1))</f>
        <v>0</v>
      </c>
      <c r="N320" s="1" t="n">
        <f aca="false">IF(OR($N$1="",对接源_01水果!$C320="",对接源_01水果!$C320&lt;&gt;$N$1,对接源_01水果!$B320=""),0,IF(OR(N(对接源_01水果!$B320)&lt;$N$2,N(对接源_01水果!$B320)&gt;$N$3),0,1))</f>
        <v>0</v>
      </c>
      <c r="P320" s="1" t="n">
        <f aca="false">IF(AND($K320=1,AND(对接源_01水果!$X320="公司筐",N(对接源_01水果!$T320)&lt;&gt;0)),1,0)</f>
        <v>0</v>
      </c>
      <c r="Q320" s="1" t="n">
        <f aca="false">N(Q319)+$P320</f>
        <v>3</v>
      </c>
      <c r="R320" s="1" t="n">
        <f aca="false">IF(AND($K320=1,AND(对接源_01水果!$X320="公司筐",N(对接源_01水果!$U320)&lt;&gt;0)),1,0)</f>
        <v>0</v>
      </c>
      <c r="S320" s="1" t="n">
        <f aca="false">N(S319)+$R320</f>
        <v>0</v>
      </c>
      <c r="T320" s="1" t="n">
        <f aca="false">IF(AND($K320=1,AND(对接源_01水果!$X320="公司筐",N(对接源_01水果!$V320)&lt;&gt;0)),1,0)</f>
        <v>0</v>
      </c>
      <c r="U320" s="1" t="n">
        <f aca="false">N(U319)+$T320</f>
        <v>28</v>
      </c>
      <c r="V320" s="1" t="n">
        <f aca="false">IF(AND($L320=1,AND(对接源_01水果!$X320="自备筐",N(对接源_01水果!$V320)&lt;&gt;0)),1,0)</f>
        <v>0</v>
      </c>
      <c r="W320" s="1" t="n">
        <f aca="false">N(W319)+$V320</f>
        <v>7</v>
      </c>
      <c r="X320" s="1" t="n">
        <f aca="false">IF(AND($L320=1,AND(对接源_01水果!$X320="自备筐",N(对接源_01水果!$T320)&lt;&gt;0)),1,0)</f>
        <v>0</v>
      </c>
      <c r="Y320" s="1" t="n">
        <f aca="false">N(Y319)+$X320</f>
        <v>0</v>
      </c>
      <c r="Z320" s="1" t="n">
        <f aca="false">IF(AND($M320=1,对接源_01水果!$D320="原料入库"),1,0)</f>
        <v>0</v>
      </c>
      <c r="AA320" s="1" t="n">
        <f aca="false">N(AA319)+$Z320</f>
        <v>30</v>
      </c>
      <c r="AB320" s="1" t="n">
        <f aca="false">IF(AND($M320=1,LEFT(对接源_01水果!$D320,4)="原料出库"),1,0)</f>
        <v>0</v>
      </c>
      <c r="AC320" s="1" t="n">
        <f aca="false">N(AC319)+$AB320</f>
        <v>19</v>
      </c>
      <c r="AD320" s="1" t="n">
        <f aca="false">IF(AND($M320=1,LEFT(对接源_01水果!$D320,4)="成品出库"),1,0)</f>
        <v>0</v>
      </c>
      <c r="AE320" s="1" t="n">
        <f aca="false">N(AE319)+$AD320</f>
        <v>38</v>
      </c>
      <c r="AF320" s="1" t="n">
        <f aca="false">IF(AND($N320=1,AND(LEFT(对接源_01水果!$D320,4)="包装物料",N(对接源_01水果!$K320)&lt;&gt;0)),1,0)</f>
        <v>0</v>
      </c>
      <c r="AG320" s="90" t="str">
        <f aca="false">IF(对接源_01水果!$AC320="","",对接源_01水果!$AC320)</f>
        <v/>
      </c>
      <c r="AH320" s="1" t="n">
        <f aca="false">IF(AND($N320=1,AND(LEFT(对接源_01水果!$D320,3)="周转筐",N(对接源_01水果!$K320)&lt;&gt;0)),1,0)</f>
        <v>0</v>
      </c>
      <c r="AI320" s="90" t="n">
        <f aca="false">IF(AG320="",0,IF(MATCH(AG320,$AG$4:$AG$1203,0)=ROW()-3,1,0))</f>
        <v>0</v>
      </c>
      <c r="AJ320" s="90" t="n">
        <f aca="false">N(AJ319)+AI320</f>
        <v>4</v>
      </c>
      <c r="AK320" s="1" t="n">
        <f aca="false">N(AK319)+$AJ320</f>
        <v>140</v>
      </c>
    </row>
    <row r="321" customFormat="false" ht="13.5" hidden="false" customHeight="false" outlineLevel="0" collapsed="false">
      <c r="A321" s="1" t="str">
        <f aca="false">IF(对接源_01水果!$C321="","",对接源_01水果!$C321)</f>
        <v/>
      </c>
      <c r="B321" s="1" t="n">
        <f aca="false">IF(A321="",0,IF(MATCH(A321,$A$4:$A$2403,0)=ROW()-3,1,0))</f>
        <v>0</v>
      </c>
      <c r="C321" s="1" t="n">
        <f aca="false">N(C320)+B321</f>
        <v>13</v>
      </c>
      <c r="K321" s="1" t="n">
        <f aca="false">IF(OR($K$1="",对接源_01水果!$C321="",对接源_01水果!$C321&lt;&gt;$K$1,对接源_01水果!$B321=""),0,IF(OR(N(对接源_01水果!$B321)&lt;$K$2,N(对接源_01水果!$B321)&gt;$K$3),0,1))</f>
        <v>0</v>
      </c>
      <c r="L321" s="1" t="n">
        <f aca="false">IF(OR($L$1="",对接源_01水果!$C321="",对接源_01水果!$C321&lt;&gt;$L$1,对接源_01水果!$B321=""),0,IF(OR(N(对接源_01水果!$B321)&lt;$L$2,N(对接源_01水果!$B321)&gt;$L$3),0,1))</f>
        <v>0</v>
      </c>
      <c r="M321" s="1" t="n">
        <f aca="false">IF(OR($M$1="",对接源_01水果!$C321="",对接源_01水果!$C321&lt;&gt;$M$1,对接源_01水果!$B321=""),0,IF(OR(N(对接源_01水果!$B321)&lt;$M$2,N(对接源_01水果!$B321)&gt;$M$3),0,1))</f>
        <v>0</v>
      </c>
      <c r="N321" s="1" t="n">
        <f aca="false">IF(OR($N$1="",对接源_01水果!$C321="",对接源_01水果!$C321&lt;&gt;$N$1,对接源_01水果!$B321=""),0,IF(OR(N(对接源_01水果!$B321)&lt;$N$2,N(对接源_01水果!$B321)&gt;$N$3),0,1))</f>
        <v>0</v>
      </c>
      <c r="P321" s="1" t="n">
        <f aca="false">IF(AND($K321=1,AND(对接源_01水果!$X321="公司筐",N(对接源_01水果!$T321)&lt;&gt;0)),1,0)</f>
        <v>0</v>
      </c>
      <c r="Q321" s="1" t="n">
        <f aca="false">N(Q320)+$P321</f>
        <v>3</v>
      </c>
      <c r="R321" s="1" t="n">
        <f aca="false">IF(AND($K321=1,AND(对接源_01水果!$X321="公司筐",N(对接源_01水果!$U321)&lt;&gt;0)),1,0)</f>
        <v>0</v>
      </c>
      <c r="S321" s="1" t="n">
        <f aca="false">N(S320)+$R321</f>
        <v>0</v>
      </c>
      <c r="T321" s="1" t="n">
        <f aca="false">IF(AND($K321=1,AND(对接源_01水果!$X321="公司筐",N(对接源_01水果!$V321)&lt;&gt;0)),1,0)</f>
        <v>0</v>
      </c>
      <c r="U321" s="1" t="n">
        <f aca="false">N(U320)+$T321</f>
        <v>28</v>
      </c>
      <c r="V321" s="1" t="n">
        <f aca="false">IF(AND($L321=1,AND(对接源_01水果!$X321="自备筐",N(对接源_01水果!$V321)&lt;&gt;0)),1,0)</f>
        <v>0</v>
      </c>
      <c r="W321" s="1" t="n">
        <f aca="false">N(W320)+$V321</f>
        <v>7</v>
      </c>
      <c r="X321" s="1" t="n">
        <f aca="false">IF(AND($L321=1,AND(对接源_01水果!$X321="自备筐",N(对接源_01水果!$T321)&lt;&gt;0)),1,0)</f>
        <v>0</v>
      </c>
      <c r="Y321" s="1" t="n">
        <f aca="false">N(Y320)+$X321</f>
        <v>0</v>
      </c>
      <c r="Z321" s="1" t="n">
        <f aca="false">IF(AND($M321=1,对接源_01水果!$D321="原料入库"),1,0)</f>
        <v>0</v>
      </c>
      <c r="AA321" s="1" t="n">
        <f aca="false">N(AA320)+$Z321</f>
        <v>30</v>
      </c>
      <c r="AB321" s="1" t="n">
        <f aca="false">IF(AND($M321=1,LEFT(对接源_01水果!$D321,4)="原料出库"),1,0)</f>
        <v>0</v>
      </c>
      <c r="AC321" s="1" t="n">
        <f aca="false">N(AC320)+$AB321</f>
        <v>19</v>
      </c>
      <c r="AD321" s="1" t="n">
        <f aca="false">IF(AND($M321=1,LEFT(对接源_01水果!$D321,4)="成品出库"),1,0)</f>
        <v>0</v>
      </c>
      <c r="AE321" s="1" t="n">
        <f aca="false">N(AE320)+$AD321</f>
        <v>38</v>
      </c>
      <c r="AF321" s="1" t="n">
        <f aca="false">IF(AND($N321=1,AND(LEFT(对接源_01水果!$D321,4)="包装物料",N(对接源_01水果!$K321)&lt;&gt;0)),1,0)</f>
        <v>0</v>
      </c>
      <c r="AG321" s="90" t="str">
        <f aca="false">IF(对接源_01水果!$AC321="","",对接源_01水果!$AC321)</f>
        <v/>
      </c>
      <c r="AH321" s="1" t="n">
        <f aca="false">IF(AND($N321=1,AND(LEFT(对接源_01水果!$D321,3)="周转筐",N(对接源_01水果!$K321)&lt;&gt;0)),1,0)</f>
        <v>0</v>
      </c>
      <c r="AI321" s="90" t="n">
        <f aca="false">IF(AG321="",0,IF(MATCH(AG321,$AG$4:$AG$1203,0)=ROW()-3,1,0))</f>
        <v>0</v>
      </c>
      <c r="AJ321" s="90" t="n">
        <f aca="false">N(AJ320)+AI321</f>
        <v>4</v>
      </c>
      <c r="AK321" s="1" t="n">
        <f aca="false">N(AK320)+$AJ321</f>
        <v>144</v>
      </c>
    </row>
    <row r="322" customFormat="false" ht="13.5" hidden="false" customHeight="false" outlineLevel="0" collapsed="false">
      <c r="A322" s="1" t="str">
        <f aca="false">IF(对接源_01水果!$C322="","",对接源_01水果!$C322)</f>
        <v/>
      </c>
      <c r="B322" s="1" t="n">
        <f aca="false">IF(A322="",0,IF(MATCH(A322,$A$4:$A$2403,0)=ROW()-3,1,0))</f>
        <v>0</v>
      </c>
      <c r="C322" s="1" t="n">
        <f aca="false">N(C321)+B322</f>
        <v>13</v>
      </c>
      <c r="K322" s="1" t="n">
        <f aca="false">IF(OR($K$1="",对接源_01水果!$C322="",对接源_01水果!$C322&lt;&gt;$K$1,对接源_01水果!$B322=""),0,IF(OR(N(对接源_01水果!$B322)&lt;$K$2,N(对接源_01水果!$B322)&gt;$K$3),0,1))</f>
        <v>0</v>
      </c>
      <c r="L322" s="1" t="n">
        <f aca="false">IF(OR($L$1="",对接源_01水果!$C322="",对接源_01水果!$C322&lt;&gt;$L$1,对接源_01水果!$B322=""),0,IF(OR(N(对接源_01水果!$B322)&lt;$L$2,N(对接源_01水果!$B322)&gt;$L$3),0,1))</f>
        <v>0</v>
      </c>
      <c r="M322" s="1" t="n">
        <f aca="false">IF(OR($M$1="",对接源_01水果!$C322="",对接源_01水果!$C322&lt;&gt;$M$1,对接源_01水果!$B322=""),0,IF(OR(N(对接源_01水果!$B322)&lt;$M$2,N(对接源_01水果!$B322)&gt;$M$3),0,1))</f>
        <v>0</v>
      </c>
      <c r="N322" s="1" t="n">
        <f aca="false">IF(OR($N$1="",对接源_01水果!$C322="",对接源_01水果!$C322&lt;&gt;$N$1,对接源_01水果!$B322=""),0,IF(OR(N(对接源_01水果!$B322)&lt;$N$2,N(对接源_01水果!$B322)&gt;$N$3),0,1))</f>
        <v>0</v>
      </c>
      <c r="P322" s="1" t="n">
        <f aca="false">IF(AND($K322=1,AND(对接源_01水果!$X322="公司筐",N(对接源_01水果!$T322)&lt;&gt;0)),1,0)</f>
        <v>0</v>
      </c>
      <c r="Q322" s="1" t="n">
        <f aca="false">N(Q321)+$P322</f>
        <v>3</v>
      </c>
      <c r="R322" s="1" t="n">
        <f aca="false">IF(AND($K322=1,AND(对接源_01水果!$X322="公司筐",N(对接源_01水果!$U322)&lt;&gt;0)),1,0)</f>
        <v>0</v>
      </c>
      <c r="S322" s="1" t="n">
        <f aca="false">N(S321)+$R322</f>
        <v>0</v>
      </c>
      <c r="T322" s="1" t="n">
        <f aca="false">IF(AND($K322=1,AND(对接源_01水果!$X322="公司筐",N(对接源_01水果!$V322)&lt;&gt;0)),1,0)</f>
        <v>0</v>
      </c>
      <c r="U322" s="1" t="n">
        <f aca="false">N(U321)+$T322</f>
        <v>28</v>
      </c>
      <c r="V322" s="1" t="n">
        <f aca="false">IF(AND($L322=1,AND(对接源_01水果!$X322="自备筐",N(对接源_01水果!$V322)&lt;&gt;0)),1,0)</f>
        <v>0</v>
      </c>
      <c r="W322" s="1" t="n">
        <f aca="false">N(W321)+$V322</f>
        <v>7</v>
      </c>
      <c r="X322" s="1" t="n">
        <f aca="false">IF(AND($L322=1,AND(对接源_01水果!$X322="自备筐",N(对接源_01水果!$T322)&lt;&gt;0)),1,0)</f>
        <v>0</v>
      </c>
      <c r="Y322" s="1" t="n">
        <f aca="false">N(Y321)+$X322</f>
        <v>0</v>
      </c>
      <c r="Z322" s="1" t="n">
        <f aca="false">IF(AND($M322=1,对接源_01水果!$D322="原料入库"),1,0)</f>
        <v>0</v>
      </c>
      <c r="AA322" s="1" t="n">
        <f aca="false">N(AA321)+$Z322</f>
        <v>30</v>
      </c>
      <c r="AB322" s="1" t="n">
        <f aca="false">IF(AND($M322=1,LEFT(对接源_01水果!$D322,4)="原料出库"),1,0)</f>
        <v>0</v>
      </c>
      <c r="AC322" s="1" t="n">
        <f aca="false">N(AC321)+$AB322</f>
        <v>19</v>
      </c>
      <c r="AD322" s="1" t="n">
        <f aca="false">IF(AND($M322=1,LEFT(对接源_01水果!$D322,4)="成品出库"),1,0)</f>
        <v>0</v>
      </c>
      <c r="AE322" s="1" t="n">
        <f aca="false">N(AE321)+$AD322</f>
        <v>38</v>
      </c>
      <c r="AF322" s="1" t="n">
        <f aca="false">IF(AND($N322=1,AND(LEFT(对接源_01水果!$D322,4)="包装物料",N(对接源_01水果!$K322)&lt;&gt;0)),1,0)</f>
        <v>0</v>
      </c>
      <c r="AG322" s="90" t="str">
        <f aca="false">IF(对接源_01水果!$AC322="","",对接源_01水果!$AC322)</f>
        <v/>
      </c>
      <c r="AH322" s="1" t="n">
        <f aca="false">IF(AND($N322=1,AND(LEFT(对接源_01水果!$D322,3)="周转筐",N(对接源_01水果!$K322)&lt;&gt;0)),1,0)</f>
        <v>0</v>
      </c>
      <c r="AI322" s="90" t="n">
        <f aca="false">IF(AG322="",0,IF(MATCH(AG322,$AG$4:$AG$1203,0)=ROW()-3,1,0))</f>
        <v>0</v>
      </c>
      <c r="AJ322" s="90" t="n">
        <f aca="false">N(AJ321)+AI322</f>
        <v>4</v>
      </c>
      <c r="AK322" s="1" t="n">
        <f aca="false">N(AK321)+$AJ322</f>
        <v>148</v>
      </c>
    </row>
    <row r="323" customFormat="false" ht="13.5" hidden="false" customHeight="false" outlineLevel="0" collapsed="false">
      <c r="A323" s="1" t="str">
        <f aca="false">IF(对接源_01水果!$C323="","",对接源_01水果!$C323)</f>
        <v/>
      </c>
      <c r="B323" s="1" t="n">
        <f aca="false">IF(A323="",0,IF(MATCH(A323,$A$4:$A$2403,0)=ROW()-3,1,0))</f>
        <v>0</v>
      </c>
      <c r="C323" s="1" t="n">
        <f aca="false">N(C322)+B323</f>
        <v>13</v>
      </c>
      <c r="K323" s="1" t="n">
        <f aca="false">IF(OR($K$1="",对接源_01水果!$C323="",对接源_01水果!$C323&lt;&gt;$K$1,对接源_01水果!$B323=""),0,IF(OR(N(对接源_01水果!$B323)&lt;$K$2,N(对接源_01水果!$B323)&gt;$K$3),0,1))</f>
        <v>0</v>
      </c>
      <c r="L323" s="1" t="n">
        <f aca="false">IF(OR($L$1="",对接源_01水果!$C323="",对接源_01水果!$C323&lt;&gt;$L$1,对接源_01水果!$B323=""),0,IF(OR(N(对接源_01水果!$B323)&lt;$L$2,N(对接源_01水果!$B323)&gt;$L$3),0,1))</f>
        <v>0</v>
      </c>
      <c r="M323" s="1" t="n">
        <f aca="false">IF(OR($M$1="",对接源_01水果!$C323="",对接源_01水果!$C323&lt;&gt;$M$1,对接源_01水果!$B323=""),0,IF(OR(N(对接源_01水果!$B323)&lt;$M$2,N(对接源_01水果!$B323)&gt;$M$3),0,1))</f>
        <v>0</v>
      </c>
      <c r="N323" s="1" t="n">
        <f aca="false">IF(OR($N$1="",对接源_01水果!$C323="",对接源_01水果!$C323&lt;&gt;$N$1,对接源_01水果!$B323=""),0,IF(OR(N(对接源_01水果!$B323)&lt;$N$2,N(对接源_01水果!$B323)&gt;$N$3),0,1))</f>
        <v>0</v>
      </c>
      <c r="P323" s="1" t="n">
        <f aca="false">IF(AND($K323=1,AND(对接源_01水果!$X323="公司筐",N(对接源_01水果!$T323)&lt;&gt;0)),1,0)</f>
        <v>0</v>
      </c>
      <c r="Q323" s="1" t="n">
        <f aca="false">N(Q322)+$P323</f>
        <v>3</v>
      </c>
      <c r="R323" s="1" t="n">
        <f aca="false">IF(AND($K323=1,AND(对接源_01水果!$X323="公司筐",N(对接源_01水果!$U323)&lt;&gt;0)),1,0)</f>
        <v>0</v>
      </c>
      <c r="S323" s="1" t="n">
        <f aca="false">N(S322)+$R323</f>
        <v>0</v>
      </c>
      <c r="T323" s="1" t="n">
        <f aca="false">IF(AND($K323=1,AND(对接源_01水果!$X323="公司筐",N(对接源_01水果!$V323)&lt;&gt;0)),1,0)</f>
        <v>0</v>
      </c>
      <c r="U323" s="1" t="n">
        <f aca="false">N(U322)+$T323</f>
        <v>28</v>
      </c>
      <c r="V323" s="1" t="n">
        <f aca="false">IF(AND($L323=1,AND(对接源_01水果!$X323="自备筐",N(对接源_01水果!$V323)&lt;&gt;0)),1,0)</f>
        <v>0</v>
      </c>
      <c r="W323" s="1" t="n">
        <f aca="false">N(W322)+$V323</f>
        <v>7</v>
      </c>
      <c r="X323" s="1" t="n">
        <f aca="false">IF(AND($L323=1,AND(对接源_01水果!$X323="自备筐",N(对接源_01水果!$T323)&lt;&gt;0)),1,0)</f>
        <v>0</v>
      </c>
      <c r="Y323" s="1" t="n">
        <f aca="false">N(Y322)+$X323</f>
        <v>0</v>
      </c>
      <c r="Z323" s="1" t="n">
        <f aca="false">IF(AND($M323=1,对接源_01水果!$D323="原料入库"),1,0)</f>
        <v>0</v>
      </c>
      <c r="AA323" s="1" t="n">
        <f aca="false">N(AA322)+$Z323</f>
        <v>30</v>
      </c>
      <c r="AB323" s="1" t="n">
        <f aca="false">IF(AND($M323=1,LEFT(对接源_01水果!$D323,4)="原料出库"),1,0)</f>
        <v>0</v>
      </c>
      <c r="AC323" s="1" t="n">
        <f aca="false">N(AC322)+$AB323</f>
        <v>19</v>
      </c>
      <c r="AD323" s="1" t="n">
        <f aca="false">IF(AND($M323=1,LEFT(对接源_01水果!$D323,4)="成品出库"),1,0)</f>
        <v>0</v>
      </c>
      <c r="AE323" s="1" t="n">
        <f aca="false">N(AE322)+$AD323</f>
        <v>38</v>
      </c>
      <c r="AF323" s="1" t="n">
        <f aca="false">IF(AND($N323=1,AND(LEFT(对接源_01水果!$D323,4)="包装物料",N(对接源_01水果!$K323)&lt;&gt;0)),1,0)</f>
        <v>0</v>
      </c>
      <c r="AG323" s="90" t="str">
        <f aca="false">IF(对接源_01水果!$AC323="","",对接源_01水果!$AC323)</f>
        <v/>
      </c>
      <c r="AH323" s="1" t="n">
        <f aca="false">IF(AND($N323=1,AND(LEFT(对接源_01水果!$D323,3)="周转筐",N(对接源_01水果!$K323)&lt;&gt;0)),1,0)</f>
        <v>0</v>
      </c>
      <c r="AI323" s="90" t="n">
        <f aca="false">IF(AG323="",0,IF(MATCH(AG323,$AG$4:$AG$1203,0)=ROW()-3,1,0))</f>
        <v>0</v>
      </c>
      <c r="AJ323" s="90" t="n">
        <f aca="false">N(AJ322)+AI323</f>
        <v>4</v>
      </c>
      <c r="AK323" s="1" t="n">
        <f aca="false">N(AK322)+$AJ323</f>
        <v>152</v>
      </c>
    </row>
    <row r="324" customFormat="false" ht="13.5" hidden="false" customHeight="false" outlineLevel="0" collapsed="false">
      <c r="A324" s="1" t="str">
        <f aca="false">IF(对接源_01水果!$C324="","",对接源_01水果!$C324)</f>
        <v/>
      </c>
      <c r="B324" s="1" t="n">
        <f aca="false">IF(A324="",0,IF(MATCH(A324,$A$4:$A$2403,0)=ROW()-3,1,0))</f>
        <v>0</v>
      </c>
      <c r="C324" s="1" t="n">
        <f aca="false">N(C323)+B324</f>
        <v>13</v>
      </c>
      <c r="K324" s="1" t="n">
        <f aca="false">IF(OR($K$1="",对接源_01水果!$C324="",对接源_01水果!$C324&lt;&gt;$K$1,对接源_01水果!$B324=""),0,IF(OR(N(对接源_01水果!$B324)&lt;$K$2,N(对接源_01水果!$B324)&gt;$K$3),0,1))</f>
        <v>0</v>
      </c>
      <c r="L324" s="1" t="n">
        <f aca="false">IF(OR($L$1="",对接源_01水果!$C324="",对接源_01水果!$C324&lt;&gt;$L$1,对接源_01水果!$B324=""),0,IF(OR(N(对接源_01水果!$B324)&lt;$L$2,N(对接源_01水果!$B324)&gt;$L$3),0,1))</f>
        <v>0</v>
      </c>
      <c r="M324" s="1" t="n">
        <f aca="false">IF(OR($M$1="",对接源_01水果!$C324="",对接源_01水果!$C324&lt;&gt;$M$1,对接源_01水果!$B324=""),0,IF(OR(N(对接源_01水果!$B324)&lt;$M$2,N(对接源_01水果!$B324)&gt;$M$3),0,1))</f>
        <v>0</v>
      </c>
      <c r="N324" s="1" t="n">
        <f aca="false">IF(OR($N$1="",对接源_01水果!$C324="",对接源_01水果!$C324&lt;&gt;$N$1,对接源_01水果!$B324=""),0,IF(OR(N(对接源_01水果!$B324)&lt;$N$2,N(对接源_01水果!$B324)&gt;$N$3),0,1))</f>
        <v>0</v>
      </c>
      <c r="P324" s="1" t="n">
        <f aca="false">IF(AND($K324=1,AND(对接源_01水果!$X324="公司筐",N(对接源_01水果!$T324)&lt;&gt;0)),1,0)</f>
        <v>0</v>
      </c>
      <c r="Q324" s="1" t="n">
        <f aca="false">N(Q323)+$P324</f>
        <v>3</v>
      </c>
      <c r="R324" s="1" t="n">
        <f aca="false">IF(AND($K324=1,AND(对接源_01水果!$X324="公司筐",N(对接源_01水果!$U324)&lt;&gt;0)),1,0)</f>
        <v>0</v>
      </c>
      <c r="S324" s="1" t="n">
        <f aca="false">N(S323)+$R324</f>
        <v>0</v>
      </c>
      <c r="T324" s="1" t="n">
        <f aca="false">IF(AND($K324=1,AND(对接源_01水果!$X324="公司筐",N(对接源_01水果!$V324)&lt;&gt;0)),1,0)</f>
        <v>0</v>
      </c>
      <c r="U324" s="1" t="n">
        <f aca="false">N(U323)+$T324</f>
        <v>28</v>
      </c>
      <c r="V324" s="1" t="n">
        <f aca="false">IF(AND($L324=1,AND(对接源_01水果!$X324="自备筐",N(对接源_01水果!$V324)&lt;&gt;0)),1,0)</f>
        <v>0</v>
      </c>
      <c r="W324" s="1" t="n">
        <f aca="false">N(W323)+$V324</f>
        <v>7</v>
      </c>
      <c r="X324" s="1" t="n">
        <f aca="false">IF(AND($L324=1,AND(对接源_01水果!$X324="自备筐",N(对接源_01水果!$T324)&lt;&gt;0)),1,0)</f>
        <v>0</v>
      </c>
      <c r="Y324" s="1" t="n">
        <f aca="false">N(Y323)+$X324</f>
        <v>0</v>
      </c>
      <c r="Z324" s="1" t="n">
        <f aca="false">IF(AND($M324=1,对接源_01水果!$D324="原料入库"),1,0)</f>
        <v>0</v>
      </c>
      <c r="AA324" s="1" t="n">
        <f aca="false">N(AA323)+$Z324</f>
        <v>30</v>
      </c>
      <c r="AB324" s="1" t="n">
        <f aca="false">IF(AND($M324=1,LEFT(对接源_01水果!$D324,4)="原料出库"),1,0)</f>
        <v>0</v>
      </c>
      <c r="AC324" s="1" t="n">
        <f aca="false">N(AC323)+$AB324</f>
        <v>19</v>
      </c>
      <c r="AD324" s="1" t="n">
        <f aca="false">IF(AND($M324=1,LEFT(对接源_01水果!$D324,4)="成品出库"),1,0)</f>
        <v>0</v>
      </c>
      <c r="AE324" s="1" t="n">
        <f aca="false">N(AE323)+$AD324</f>
        <v>38</v>
      </c>
      <c r="AF324" s="1" t="n">
        <f aca="false">IF(AND($N324=1,AND(LEFT(对接源_01水果!$D324,4)="包装物料",N(对接源_01水果!$K324)&lt;&gt;0)),1,0)</f>
        <v>0</v>
      </c>
      <c r="AG324" s="90" t="str">
        <f aca="false">IF(对接源_01水果!$AC324="","",对接源_01水果!$AC324)</f>
        <v/>
      </c>
      <c r="AH324" s="1" t="n">
        <f aca="false">IF(AND($N324=1,AND(LEFT(对接源_01水果!$D324,3)="周转筐",N(对接源_01水果!$K324)&lt;&gt;0)),1,0)</f>
        <v>0</v>
      </c>
      <c r="AI324" s="90" t="n">
        <f aca="false">IF(AG324="",0,IF(MATCH(AG324,$AG$4:$AG$1203,0)=ROW()-3,1,0))</f>
        <v>0</v>
      </c>
      <c r="AJ324" s="90" t="n">
        <f aca="false">N(AJ323)+AI324</f>
        <v>4</v>
      </c>
      <c r="AK324" s="1" t="n">
        <f aca="false">N(AK323)+$AJ324</f>
        <v>156</v>
      </c>
    </row>
    <row r="325" customFormat="false" ht="13.5" hidden="false" customHeight="false" outlineLevel="0" collapsed="false">
      <c r="A325" s="1" t="str">
        <f aca="false">IF(对接源_01水果!$C325="","",对接源_01水果!$C325)</f>
        <v/>
      </c>
      <c r="B325" s="1" t="n">
        <f aca="false">IF(A325="",0,IF(MATCH(A325,$A$4:$A$2403,0)=ROW()-3,1,0))</f>
        <v>0</v>
      </c>
      <c r="C325" s="1" t="n">
        <f aca="false">N(C324)+B325</f>
        <v>13</v>
      </c>
      <c r="K325" s="1" t="n">
        <f aca="false">IF(OR($K$1="",对接源_01水果!$C325="",对接源_01水果!$C325&lt;&gt;$K$1,对接源_01水果!$B325=""),0,IF(OR(N(对接源_01水果!$B325)&lt;$K$2,N(对接源_01水果!$B325)&gt;$K$3),0,1))</f>
        <v>0</v>
      </c>
      <c r="L325" s="1" t="n">
        <f aca="false">IF(OR($L$1="",对接源_01水果!$C325="",对接源_01水果!$C325&lt;&gt;$L$1,对接源_01水果!$B325=""),0,IF(OR(N(对接源_01水果!$B325)&lt;$L$2,N(对接源_01水果!$B325)&gt;$L$3),0,1))</f>
        <v>0</v>
      </c>
      <c r="M325" s="1" t="n">
        <f aca="false">IF(OR($M$1="",对接源_01水果!$C325="",对接源_01水果!$C325&lt;&gt;$M$1,对接源_01水果!$B325=""),0,IF(OR(N(对接源_01水果!$B325)&lt;$M$2,N(对接源_01水果!$B325)&gt;$M$3),0,1))</f>
        <v>0</v>
      </c>
      <c r="N325" s="1" t="n">
        <f aca="false">IF(OR($N$1="",对接源_01水果!$C325="",对接源_01水果!$C325&lt;&gt;$N$1,对接源_01水果!$B325=""),0,IF(OR(N(对接源_01水果!$B325)&lt;$N$2,N(对接源_01水果!$B325)&gt;$N$3),0,1))</f>
        <v>0</v>
      </c>
      <c r="P325" s="1" t="n">
        <f aca="false">IF(AND($K325=1,AND(对接源_01水果!$X325="公司筐",N(对接源_01水果!$T325)&lt;&gt;0)),1,0)</f>
        <v>0</v>
      </c>
      <c r="Q325" s="1" t="n">
        <f aca="false">N(Q324)+$P325</f>
        <v>3</v>
      </c>
      <c r="R325" s="1" t="n">
        <f aca="false">IF(AND($K325=1,AND(对接源_01水果!$X325="公司筐",N(对接源_01水果!$U325)&lt;&gt;0)),1,0)</f>
        <v>0</v>
      </c>
      <c r="S325" s="1" t="n">
        <f aca="false">N(S324)+$R325</f>
        <v>0</v>
      </c>
      <c r="T325" s="1" t="n">
        <f aca="false">IF(AND($K325=1,AND(对接源_01水果!$X325="公司筐",N(对接源_01水果!$V325)&lt;&gt;0)),1,0)</f>
        <v>0</v>
      </c>
      <c r="U325" s="1" t="n">
        <f aca="false">N(U324)+$T325</f>
        <v>28</v>
      </c>
      <c r="V325" s="1" t="n">
        <f aca="false">IF(AND($L325=1,AND(对接源_01水果!$X325="自备筐",N(对接源_01水果!$V325)&lt;&gt;0)),1,0)</f>
        <v>0</v>
      </c>
      <c r="W325" s="1" t="n">
        <f aca="false">N(W324)+$V325</f>
        <v>7</v>
      </c>
      <c r="X325" s="1" t="n">
        <f aca="false">IF(AND($L325=1,AND(对接源_01水果!$X325="自备筐",N(对接源_01水果!$T325)&lt;&gt;0)),1,0)</f>
        <v>0</v>
      </c>
      <c r="Y325" s="1" t="n">
        <f aca="false">N(Y324)+$X325</f>
        <v>0</v>
      </c>
      <c r="Z325" s="1" t="n">
        <f aca="false">IF(AND($M325=1,对接源_01水果!$D325="原料入库"),1,0)</f>
        <v>0</v>
      </c>
      <c r="AA325" s="1" t="n">
        <f aca="false">N(AA324)+$Z325</f>
        <v>30</v>
      </c>
      <c r="AB325" s="1" t="n">
        <f aca="false">IF(AND($M325=1,LEFT(对接源_01水果!$D325,4)="原料出库"),1,0)</f>
        <v>0</v>
      </c>
      <c r="AC325" s="1" t="n">
        <f aca="false">N(AC324)+$AB325</f>
        <v>19</v>
      </c>
      <c r="AD325" s="1" t="n">
        <f aca="false">IF(AND($M325=1,LEFT(对接源_01水果!$D325,4)="成品出库"),1,0)</f>
        <v>0</v>
      </c>
      <c r="AE325" s="1" t="n">
        <f aca="false">N(AE324)+$AD325</f>
        <v>38</v>
      </c>
      <c r="AF325" s="1" t="n">
        <f aca="false">IF(AND($N325=1,AND(LEFT(对接源_01水果!$D325,4)="包装物料",N(对接源_01水果!$K325)&lt;&gt;0)),1,0)</f>
        <v>0</v>
      </c>
      <c r="AG325" s="90" t="str">
        <f aca="false">IF(对接源_01水果!$AC325="","",对接源_01水果!$AC325)</f>
        <v/>
      </c>
      <c r="AH325" s="1" t="n">
        <f aca="false">IF(AND($N325=1,AND(LEFT(对接源_01水果!$D325,3)="周转筐",N(对接源_01水果!$K325)&lt;&gt;0)),1,0)</f>
        <v>0</v>
      </c>
      <c r="AI325" s="90" t="n">
        <f aca="false">IF(AG325="",0,IF(MATCH(AG325,$AG$4:$AG$1203,0)=ROW()-3,1,0))</f>
        <v>0</v>
      </c>
      <c r="AJ325" s="90" t="n">
        <f aca="false">N(AJ324)+AI325</f>
        <v>4</v>
      </c>
      <c r="AK325" s="1" t="n">
        <f aca="false">N(AK324)+$AJ325</f>
        <v>160</v>
      </c>
    </row>
    <row r="326" customFormat="false" ht="13.5" hidden="false" customHeight="false" outlineLevel="0" collapsed="false">
      <c r="A326" s="1" t="str">
        <f aca="false">IF(对接源_01水果!$C326="","",对接源_01水果!$C326)</f>
        <v/>
      </c>
      <c r="B326" s="1" t="n">
        <f aca="false">IF(A326="",0,IF(MATCH(A326,$A$4:$A$2403,0)=ROW()-3,1,0))</f>
        <v>0</v>
      </c>
      <c r="C326" s="1" t="n">
        <f aca="false">N(C325)+B326</f>
        <v>13</v>
      </c>
      <c r="K326" s="1" t="n">
        <f aca="false">IF(OR($K$1="",对接源_01水果!$C326="",对接源_01水果!$C326&lt;&gt;$K$1,对接源_01水果!$B326=""),0,IF(OR(N(对接源_01水果!$B326)&lt;$K$2,N(对接源_01水果!$B326)&gt;$K$3),0,1))</f>
        <v>0</v>
      </c>
      <c r="L326" s="1" t="n">
        <f aca="false">IF(OR($L$1="",对接源_01水果!$C326="",对接源_01水果!$C326&lt;&gt;$L$1,对接源_01水果!$B326=""),0,IF(OR(N(对接源_01水果!$B326)&lt;$L$2,N(对接源_01水果!$B326)&gt;$L$3),0,1))</f>
        <v>0</v>
      </c>
      <c r="M326" s="1" t="n">
        <f aca="false">IF(OR($M$1="",对接源_01水果!$C326="",对接源_01水果!$C326&lt;&gt;$M$1,对接源_01水果!$B326=""),0,IF(OR(N(对接源_01水果!$B326)&lt;$M$2,N(对接源_01水果!$B326)&gt;$M$3),0,1))</f>
        <v>0</v>
      </c>
      <c r="N326" s="1" t="n">
        <f aca="false">IF(OR($N$1="",对接源_01水果!$C326="",对接源_01水果!$C326&lt;&gt;$N$1,对接源_01水果!$B326=""),0,IF(OR(N(对接源_01水果!$B326)&lt;$N$2,N(对接源_01水果!$B326)&gt;$N$3),0,1))</f>
        <v>0</v>
      </c>
      <c r="P326" s="1" t="n">
        <f aca="false">IF(AND($K326=1,AND(对接源_01水果!$X326="公司筐",N(对接源_01水果!$T326)&lt;&gt;0)),1,0)</f>
        <v>0</v>
      </c>
      <c r="Q326" s="1" t="n">
        <f aca="false">N(Q325)+$P326</f>
        <v>3</v>
      </c>
      <c r="R326" s="1" t="n">
        <f aca="false">IF(AND($K326=1,AND(对接源_01水果!$X326="公司筐",N(对接源_01水果!$U326)&lt;&gt;0)),1,0)</f>
        <v>0</v>
      </c>
      <c r="S326" s="1" t="n">
        <f aca="false">N(S325)+$R326</f>
        <v>0</v>
      </c>
      <c r="T326" s="1" t="n">
        <f aca="false">IF(AND($K326=1,AND(对接源_01水果!$X326="公司筐",N(对接源_01水果!$V326)&lt;&gt;0)),1,0)</f>
        <v>0</v>
      </c>
      <c r="U326" s="1" t="n">
        <f aca="false">N(U325)+$T326</f>
        <v>28</v>
      </c>
      <c r="V326" s="1" t="n">
        <f aca="false">IF(AND($L326=1,AND(对接源_01水果!$X326="自备筐",N(对接源_01水果!$V326)&lt;&gt;0)),1,0)</f>
        <v>0</v>
      </c>
      <c r="W326" s="1" t="n">
        <f aca="false">N(W325)+$V326</f>
        <v>7</v>
      </c>
      <c r="X326" s="1" t="n">
        <f aca="false">IF(AND($L326=1,AND(对接源_01水果!$X326="自备筐",N(对接源_01水果!$T326)&lt;&gt;0)),1,0)</f>
        <v>0</v>
      </c>
      <c r="Y326" s="1" t="n">
        <f aca="false">N(Y325)+$X326</f>
        <v>0</v>
      </c>
      <c r="Z326" s="1" t="n">
        <f aca="false">IF(AND($M326=1,对接源_01水果!$D326="原料入库"),1,0)</f>
        <v>0</v>
      </c>
      <c r="AA326" s="1" t="n">
        <f aca="false">N(AA325)+$Z326</f>
        <v>30</v>
      </c>
      <c r="AB326" s="1" t="n">
        <f aca="false">IF(AND($M326=1,LEFT(对接源_01水果!$D326,4)="原料出库"),1,0)</f>
        <v>0</v>
      </c>
      <c r="AC326" s="1" t="n">
        <f aca="false">N(AC325)+$AB326</f>
        <v>19</v>
      </c>
      <c r="AD326" s="1" t="n">
        <f aca="false">IF(AND($M326=1,LEFT(对接源_01水果!$D326,4)="成品出库"),1,0)</f>
        <v>0</v>
      </c>
      <c r="AE326" s="1" t="n">
        <f aca="false">N(AE325)+$AD326</f>
        <v>38</v>
      </c>
      <c r="AF326" s="1" t="n">
        <f aca="false">IF(AND($N326=1,AND(LEFT(对接源_01水果!$D326,4)="包装物料",N(对接源_01水果!$K326)&lt;&gt;0)),1,0)</f>
        <v>0</v>
      </c>
      <c r="AG326" s="90" t="str">
        <f aca="false">IF(对接源_01水果!$AC326="","",对接源_01水果!$AC326)</f>
        <v/>
      </c>
      <c r="AH326" s="1" t="n">
        <f aca="false">IF(AND($N326=1,AND(LEFT(对接源_01水果!$D326,3)="周转筐",N(对接源_01水果!$K326)&lt;&gt;0)),1,0)</f>
        <v>0</v>
      </c>
      <c r="AI326" s="90" t="n">
        <f aca="false">IF(AG326="",0,IF(MATCH(AG326,$AG$4:$AG$1203,0)=ROW()-3,1,0))</f>
        <v>0</v>
      </c>
      <c r="AJ326" s="90" t="n">
        <f aca="false">N(AJ325)+AI326</f>
        <v>4</v>
      </c>
      <c r="AK326" s="1" t="n">
        <f aca="false">N(AK325)+$AJ326</f>
        <v>164</v>
      </c>
    </row>
    <row r="327" customFormat="false" ht="13.5" hidden="false" customHeight="false" outlineLevel="0" collapsed="false">
      <c r="A327" s="1" t="str">
        <f aca="false">IF(对接源_01水果!$C327="","",对接源_01水果!$C327)</f>
        <v/>
      </c>
      <c r="B327" s="1" t="n">
        <f aca="false">IF(A327="",0,IF(MATCH(A327,$A$4:$A$2403,0)=ROW()-3,1,0))</f>
        <v>0</v>
      </c>
      <c r="C327" s="1" t="n">
        <f aca="false">N(C326)+B327</f>
        <v>13</v>
      </c>
      <c r="K327" s="1" t="n">
        <f aca="false">IF(OR($K$1="",对接源_01水果!$C327="",对接源_01水果!$C327&lt;&gt;$K$1,对接源_01水果!$B327=""),0,IF(OR(N(对接源_01水果!$B327)&lt;$K$2,N(对接源_01水果!$B327)&gt;$K$3),0,1))</f>
        <v>0</v>
      </c>
      <c r="L327" s="1" t="n">
        <f aca="false">IF(OR($L$1="",对接源_01水果!$C327="",对接源_01水果!$C327&lt;&gt;$L$1,对接源_01水果!$B327=""),0,IF(OR(N(对接源_01水果!$B327)&lt;$L$2,N(对接源_01水果!$B327)&gt;$L$3),0,1))</f>
        <v>0</v>
      </c>
      <c r="M327" s="1" t="n">
        <f aca="false">IF(OR($M$1="",对接源_01水果!$C327="",对接源_01水果!$C327&lt;&gt;$M$1,对接源_01水果!$B327=""),0,IF(OR(N(对接源_01水果!$B327)&lt;$M$2,N(对接源_01水果!$B327)&gt;$M$3),0,1))</f>
        <v>0</v>
      </c>
      <c r="N327" s="1" t="n">
        <f aca="false">IF(OR($N$1="",对接源_01水果!$C327="",对接源_01水果!$C327&lt;&gt;$N$1,对接源_01水果!$B327=""),0,IF(OR(N(对接源_01水果!$B327)&lt;$N$2,N(对接源_01水果!$B327)&gt;$N$3),0,1))</f>
        <v>0</v>
      </c>
      <c r="P327" s="1" t="n">
        <f aca="false">IF(AND($K327=1,AND(对接源_01水果!$X327="公司筐",N(对接源_01水果!$T327)&lt;&gt;0)),1,0)</f>
        <v>0</v>
      </c>
      <c r="Q327" s="1" t="n">
        <f aca="false">N(Q326)+$P327</f>
        <v>3</v>
      </c>
      <c r="R327" s="1" t="n">
        <f aca="false">IF(AND($K327=1,AND(对接源_01水果!$X327="公司筐",N(对接源_01水果!$U327)&lt;&gt;0)),1,0)</f>
        <v>0</v>
      </c>
      <c r="S327" s="1" t="n">
        <f aca="false">N(S326)+$R327</f>
        <v>0</v>
      </c>
      <c r="T327" s="1" t="n">
        <f aca="false">IF(AND($K327=1,AND(对接源_01水果!$X327="公司筐",N(对接源_01水果!$V327)&lt;&gt;0)),1,0)</f>
        <v>0</v>
      </c>
      <c r="U327" s="1" t="n">
        <f aca="false">N(U326)+$T327</f>
        <v>28</v>
      </c>
      <c r="V327" s="1" t="n">
        <f aca="false">IF(AND($L327=1,AND(对接源_01水果!$X327="自备筐",N(对接源_01水果!$V327)&lt;&gt;0)),1,0)</f>
        <v>0</v>
      </c>
      <c r="W327" s="1" t="n">
        <f aca="false">N(W326)+$V327</f>
        <v>7</v>
      </c>
      <c r="X327" s="1" t="n">
        <f aca="false">IF(AND($L327=1,AND(对接源_01水果!$X327="自备筐",N(对接源_01水果!$T327)&lt;&gt;0)),1,0)</f>
        <v>0</v>
      </c>
      <c r="Y327" s="1" t="n">
        <f aca="false">N(Y326)+$X327</f>
        <v>0</v>
      </c>
      <c r="Z327" s="1" t="n">
        <f aca="false">IF(AND($M327=1,对接源_01水果!$D327="原料入库"),1,0)</f>
        <v>0</v>
      </c>
      <c r="AA327" s="1" t="n">
        <f aca="false">N(AA326)+$Z327</f>
        <v>30</v>
      </c>
      <c r="AB327" s="1" t="n">
        <f aca="false">IF(AND($M327=1,LEFT(对接源_01水果!$D327,4)="原料出库"),1,0)</f>
        <v>0</v>
      </c>
      <c r="AC327" s="1" t="n">
        <f aca="false">N(AC326)+$AB327</f>
        <v>19</v>
      </c>
      <c r="AD327" s="1" t="n">
        <f aca="false">IF(AND($M327=1,LEFT(对接源_01水果!$D327,4)="成品出库"),1,0)</f>
        <v>0</v>
      </c>
      <c r="AE327" s="1" t="n">
        <f aca="false">N(AE326)+$AD327</f>
        <v>38</v>
      </c>
      <c r="AF327" s="1" t="n">
        <f aca="false">IF(AND($N327=1,AND(LEFT(对接源_01水果!$D327,4)="包装物料",N(对接源_01水果!$K327)&lt;&gt;0)),1,0)</f>
        <v>0</v>
      </c>
      <c r="AG327" s="90" t="str">
        <f aca="false">IF(对接源_01水果!$AC327="","",对接源_01水果!$AC327)</f>
        <v/>
      </c>
      <c r="AH327" s="1" t="n">
        <f aca="false">IF(AND($N327=1,AND(LEFT(对接源_01水果!$D327,3)="周转筐",N(对接源_01水果!$K327)&lt;&gt;0)),1,0)</f>
        <v>0</v>
      </c>
      <c r="AI327" s="90" t="n">
        <f aca="false">IF(AG327="",0,IF(MATCH(AG327,$AG$4:$AG$1203,0)=ROW()-3,1,0))</f>
        <v>0</v>
      </c>
      <c r="AJ327" s="90" t="n">
        <f aca="false">N(AJ326)+AI327</f>
        <v>4</v>
      </c>
      <c r="AK327" s="1" t="n">
        <f aca="false">N(AK326)+$AJ327</f>
        <v>168</v>
      </c>
    </row>
    <row r="328" customFormat="false" ht="13.5" hidden="false" customHeight="false" outlineLevel="0" collapsed="false">
      <c r="A328" s="1" t="str">
        <f aca="false">IF(对接源_01水果!$C328="","",对接源_01水果!$C328)</f>
        <v/>
      </c>
      <c r="B328" s="1" t="n">
        <f aca="false">IF(A328="",0,IF(MATCH(A328,$A$4:$A$2403,0)=ROW()-3,1,0))</f>
        <v>0</v>
      </c>
      <c r="C328" s="1" t="n">
        <f aca="false">N(C327)+B328</f>
        <v>13</v>
      </c>
      <c r="K328" s="1" t="n">
        <f aca="false">IF(OR($K$1="",对接源_01水果!$C328="",对接源_01水果!$C328&lt;&gt;$K$1,对接源_01水果!$B328=""),0,IF(OR(N(对接源_01水果!$B328)&lt;$K$2,N(对接源_01水果!$B328)&gt;$K$3),0,1))</f>
        <v>0</v>
      </c>
      <c r="L328" s="1" t="n">
        <f aca="false">IF(OR($L$1="",对接源_01水果!$C328="",对接源_01水果!$C328&lt;&gt;$L$1,对接源_01水果!$B328=""),0,IF(OR(N(对接源_01水果!$B328)&lt;$L$2,N(对接源_01水果!$B328)&gt;$L$3),0,1))</f>
        <v>0</v>
      </c>
      <c r="M328" s="1" t="n">
        <f aca="false">IF(OR($M$1="",对接源_01水果!$C328="",对接源_01水果!$C328&lt;&gt;$M$1,对接源_01水果!$B328=""),0,IF(OR(N(对接源_01水果!$B328)&lt;$M$2,N(对接源_01水果!$B328)&gt;$M$3),0,1))</f>
        <v>0</v>
      </c>
      <c r="N328" s="1" t="n">
        <f aca="false">IF(OR($N$1="",对接源_01水果!$C328="",对接源_01水果!$C328&lt;&gt;$N$1,对接源_01水果!$B328=""),0,IF(OR(N(对接源_01水果!$B328)&lt;$N$2,N(对接源_01水果!$B328)&gt;$N$3),0,1))</f>
        <v>0</v>
      </c>
      <c r="P328" s="1" t="n">
        <f aca="false">IF(AND($K328=1,AND(对接源_01水果!$X328="公司筐",N(对接源_01水果!$T328)&lt;&gt;0)),1,0)</f>
        <v>0</v>
      </c>
      <c r="Q328" s="1" t="n">
        <f aca="false">N(Q327)+$P328</f>
        <v>3</v>
      </c>
      <c r="R328" s="1" t="n">
        <f aca="false">IF(AND($K328=1,AND(对接源_01水果!$X328="公司筐",N(对接源_01水果!$U328)&lt;&gt;0)),1,0)</f>
        <v>0</v>
      </c>
      <c r="S328" s="1" t="n">
        <f aca="false">N(S327)+$R328</f>
        <v>0</v>
      </c>
      <c r="T328" s="1" t="n">
        <f aca="false">IF(AND($K328=1,AND(对接源_01水果!$X328="公司筐",N(对接源_01水果!$V328)&lt;&gt;0)),1,0)</f>
        <v>0</v>
      </c>
      <c r="U328" s="1" t="n">
        <f aca="false">N(U327)+$T328</f>
        <v>28</v>
      </c>
      <c r="V328" s="1" t="n">
        <f aca="false">IF(AND($L328=1,AND(对接源_01水果!$X328="自备筐",N(对接源_01水果!$V328)&lt;&gt;0)),1,0)</f>
        <v>0</v>
      </c>
      <c r="W328" s="1" t="n">
        <f aca="false">N(W327)+$V328</f>
        <v>7</v>
      </c>
      <c r="X328" s="1" t="n">
        <f aca="false">IF(AND($L328=1,AND(对接源_01水果!$X328="自备筐",N(对接源_01水果!$T328)&lt;&gt;0)),1,0)</f>
        <v>0</v>
      </c>
      <c r="Y328" s="1" t="n">
        <f aca="false">N(Y327)+$X328</f>
        <v>0</v>
      </c>
      <c r="Z328" s="1" t="n">
        <f aca="false">IF(AND($M328=1,对接源_01水果!$D328="原料入库"),1,0)</f>
        <v>0</v>
      </c>
      <c r="AA328" s="1" t="n">
        <f aca="false">N(AA327)+$Z328</f>
        <v>30</v>
      </c>
      <c r="AB328" s="1" t="n">
        <f aca="false">IF(AND($M328=1,LEFT(对接源_01水果!$D328,4)="原料出库"),1,0)</f>
        <v>0</v>
      </c>
      <c r="AC328" s="1" t="n">
        <f aca="false">N(AC327)+$AB328</f>
        <v>19</v>
      </c>
      <c r="AD328" s="1" t="n">
        <f aca="false">IF(AND($M328=1,LEFT(对接源_01水果!$D328,4)="成品出库"),1,0)</f>
        <v>0</v>
      </c>
      <c r="AE328" s="1" t="n">
        <f aca="false">N(AE327)+$AD328</f>
        <v>38</v>
      </c>
      <c r="AF328" s="1" t="n">
        <f aca="false">IF(AND($N328=1,AND(LEFT(对接源_01水果!$D328,4)="包装物料",N(对接源_01水果!$K328)&lt;&gt;0)),1,0)</f>
        <v>0</v>
      </c>
      <c r="AG328" s="90" t="str">
        <f aca="false">IF(对接源_01水果!$AC328="","",对接源_01水果!$AC328)</f>
        <v/>
      </c>
      <c r="AH328" s="1" t="n">
        <f aca="false">IF(AND($N328=1,AND(LEFT(对接源_01水果!$D328,3)="周转筐",N(对接源_01水果!$K328)&lt;&gt;0)),1,0)</f>
        <v>0</v>
      </c>
      <c r="AI328" s="90" t="n">
        <f aca="false">IF(AG328="",0,IF(MATCH(AG328,$AG$4:$AG$1203,0)=ROW()-3,1,0))</f>
        <v>0</v>
      </c>
      <c r="AJ328" s="90" t="n">
        <f aca="false">N(AJ327)+AI328</f>
        <v>4</v>
      </c>
      <c r="AK328" s="1" t="n">
        <f aca="false">N(AK327)+$AJ328</f>
        <v>172</v>
      </c>
    </row>
    <row r="329" customFormat="false" ht="13.5" hidden="false" customHeight="false" outlineLevel="0" collapsed="false">
      <c r="A329" s="1" t="str">
        <f aca="false">IF(对接源_01水果!$C329="","",对接源_01水果!$C329)</f>
        <v/>
      </c>
      <c r="B329" s="1" t="n">
        <f aca="false">IF(A329="",0,IF(MATCH(A329,$A$4:$A$2403,0)=ROW()-3,1,0))</f>
        <v>0</v>
      </c>
      <c r="C329" s="1" t="n">
        <f aca="false">N(C328)+B329</f>
        <v>13</v>
      </c>
      <c r="K329" s="1" t="n">
        <f aca="false">IF(OR($K$1="",对接源_01水果!$C329="",对接源_01水果!$C329&lt;&gt;$K$1,对接源_01水果!$B329=""),0,IF(OR(N(对接源_01水果!$B329)&lt;$K$2,N(对接源_01水果!$B329)&gt;$K$3),0,1))</f>
        <v>0</v>
      </c>
      <c r="L329" s="1" t="n">
        <f aca="false">IF(OR($L$1="",对接源_01水果!$C329="",对接源_01水果!$C329&lt;&gt;$L$1,对接源_01水果!$B329=""),0,IF(OR(N(对接源_01水果!$B329)&lt;$L$2,N(对接源_01水果!$B329)&gt;$L$3),0,1))</f>
        <v>0</v>
      </c>
      <c r="M329" s="1" t="n">
        <f aca="false">IF(OR($M$1="",对接源_01水果!$C329="",对接源_01水果!$C329&lt;&gt;$M$1,对接源_01水果!$B329=""),0,IF(OR(N(对接源_01水果!$B329)&lt;$M$2,N(对接源_01水果!$B329)&gt;$M$3),0,1))</f>
        <v>0</v>
      </c>
      <c r="N329" s="1" t="n">
        <f aca="false">IF(OR($N$1="",对接源_01水果!$C329="",对接源_01水果!$C329&lt;&gt;$N$1,对接源_01水果!$B329=""),0,IF(OR(N(对接源_01水果!$B329)&lt;$N$2,N(对接源_01水果!$B329)&gt;$N$3),0,1))</f>
        <v>0</v>
      </c>
      <c r="P329" s="1" t="n">
        <f aca="false">IF(AND($K329=1,AND(对接源_01水果!$X329="公司筐",N(对接源_01水果!$T329)&lt;&gt;0)),1,0)</f>
        <v>0</v>
      </c>
      <c r="Q329" s="1" t="n">
        <f aca="false">N(Q328)+$P329</f>
        <v>3</v>
      </c>
      <c r="R329" s="1" t="n">
        <f aca="false">IF(AND($K329=1,AND(对接源_01水果!$X329="公司筐",N(对接源_01水果!$U329)&lt;&gt;0)),1,0)</f>
        <v>0</v>
      </c>
      <c r="S329" s="1" t="n">
        <f aca="false">N(S328)+$R329</f>
        <v>0</v>
      </c>
      <c r="T329" s="1" t="n">
        <f aca="false">IF(AND($K329=1,AND(对接源_01水果!$X329="公司筐",N(对接源_01水果!$V329)&lt;&gt;0)),1,0)</f>
        <v>0</v>
      </c>
      <c r="U329" s="1" t="n">
        <f aca="false">N(U328)+$T329</f>
        <v>28</v>
      </c>
      <c r="V329" s="1" t="n">
        <f aca="false">IF(AND($L329=1,AND(对接源_01水果!$X329="自备筐",N(对接源_01水果!$V329)&lt;&gt;0)),1,0)</f>
        <v>0</v>
      </c>
      <c r="W329" s="1" t="n">
        <f aca="false">N(W328)+$V329</f>
        <v>7</v>
      </c>
      <c r="X329" s="1" t="n">
        <f aca="false">IF(AND($L329=1,AND(对接源_01水果!$X329="自备筐",N(对接源_01水果!$T329)&lt;&gt;0)),1,0)</f>
        <v>0</v>
      </c>
      <c r="Y329" s="1" t="n">
        <f aca="false">N(Y328)+$X329</f>
        <v>0</v>
      </c>
      <c r="Z329" s="1" t="n">
        <f aca="false">IF(AND($M329=1,对接源_01水果!$D329="原料入库"),1,0)</f>
        <v>0</v>
      </c>
      <c r="AA329" s="1" t="n">
        <f aca="false">N(AA328)+$Z329</f>
        <v>30</v>
      </c>
      <c r="AB329" s="1" t="n">
        <f aca="false">IF(AND($M329=1,LEFT(对接源_01水果!$D329,4)="原料出库"),1,0)</f>
        <v>0</v>
      </c>
      <c r="AC329" s="1" t="n">
        <f aca="false">N(AC328)+$AB329</f>
        <v>19</v>
      </c>
      <c r="AD329" s="1" t="n">
        <f aca="false">IF(AND($M329=1,LEFT(对接源_01水果!$D329,4)="成品出库"),1,0)</f>
        <v>0</v>
      </c>
      <c r="AE329" s="1" t="n">
        <f aca="false">N(AE328)+$AD329</f>
        <v>38</v>
      </c>
      <c r="AF329" s="1" t="n">
        <f aca="false">IF(AND($N329=1,AND(LEFT(对接源_01水果!$D329,4)="包装物料",N(对接源_01水果!$K329)&lt;&gt;0)),1,0)</f>
        <v>0</v>
      </c>
      <c r="AG329" s="90" t="str">
        <f aca="false">IF(对接源_01水果!$AC329="","",对接源_01水果!$AC329)</f>
        <v/>
      </c>
      <c r="AH329" s="1" t="n">
        <f aca="false">IF(AND($N329=1,AND(LEFT(对接源_01水果!$D329,3)="周转筐",N(对接源_01水果!$K329)&lt;&gt;0)),1,0)</f>
        <v>0</v>
      </c>
      <c r="AI329" s="90" t="n">
        <f aca="false">IF(AG329="",0,IF(MATCH(AG329,$AG$4:$AG$1203,0)=ROW()-3,1,0))</f>
        <v>0</v>
      </c>
      <c r="AJ329" s="90" t="n">
        <f aca="false">N(AJ328)+AI329</f>
        <v>4</v>
      </c>
      <c r="AK329" s="1" t="n">
        <f aca="false">N(AK328)+$AJ329</f>
        <v>176</v>
      </c>
    </row>
    <row r="330" customFormat="false" ht="13.5" hidden="false" customHeight="false" outlineLevel="0" collapsed="false">
      <c r="A330" s="1" t="str">
        <f aca="false">IF(对接源_01水果!$C330="","",对接源_01水果!$C330)</f>
        <v/>
      </c>
      <c r="B330" s="1" t="n">
        <f aca="false">IF(A330="",0,IF(MATCH(A330,$A$4:$A$2403,0)=ROW()-3,1,0))</f>
        <v>0</v>
      </c>
      <c r="C330" s="1" t="n">
        <f aca="false">N(C329)+B330</f>
        <v>13</v>
      </c>
      <c r="K330" s="1" t="n">
        <f aca="false">IF(OR($K$1="",对接源_01水果!$C330="",对接源_01水果!$C330&lt;&gt;$K$1,对接源_01水果!$B330=""),0,IF(OR(N(对接源_01水果!$B330)&lt;$K$2,N(对接源_01水果!$B330)&gt;$K$3),0,1))</f>
        <v>0</v>
      </c>
      <c r="L330" s="1" t="n">
        <f aca="false">IF(OR($L$1="",对接源_01水果!$C330="",对接源_01水果!$C330&lt;&gt;$L$1,对接源_01水果!$B330=""),0,IF(OR(N(对接源_01水果!$B330)&lt;$L$2,N(对接源_01水果!$B330)&gt;$L$3),0,1))</f>
        <v>0</v>
      </c>
      <c r="M330" s="1" t="n">
        <f aca="false">IF(OR($M$1="",对接源_01水果!$C330="",对接源_01水果!$C330&lt;&gt;$M$1,对接源_01水果!$B330=""),0,IF(OR(N(对接源_01水果!$B330)&lt;$M$2,N(对接源_01水果!$B330)&gt;$M$3),0,1))</f>
        <v>0</v>
      </c>
      <c r="N330" s="1" t="n">
        <f aca="false">IF(OR($N$1="",对接源_01水果!$C330="",对接源_01水果!$C330&lt;&gt;$N$1,对接源_01水果!$B330=""),0,IF(OR(N(对接源_01水果!$B330)&lt;$N$2,N(对接源_01水果!$B330)&gt;$N$3),0,1))</f>
        <v>0</v>
      </c>
      <c r="P330" s="1" t="n">
        <f aca="false">IF(AND($K330=1,AND(对接源_01水果!$X330="公司筐",N(对接源_01水果!$T330)&lt;&gt;0)),1,0)</f>
        <v>0</v>
      </c>
      <c r="Q330" s="1" t="n">
        <f aca="false">N(Q329)+$P330</f>
        <v>3</v>
      </c>
      <c r="R330" s="1" t="n">
        <f aca="false">IF(AND($K330=1,AND(对接源_01水果!$X330="公司筐",N(对接源_01水果!$U330)&lt;&gt;0)),1,0)</f>
        <v>0</v>
      </c>
      <c r="S330" s="1" t="n">
        <f aca="false">N(S329)+$R330</f>
        <v>0</v>
      </c>
      <c r="T330" s="1" t="n">
        <f aca="false">IF(AND($K330=1,AND(对接源_01水果!$X330="公司筐",N(对接源_01水果!$V330)&lt;&gt;0)),1,0)</f>
        <v>0</v>
      </c>
      <c r="U330" s="1" t="n">
        <f aca="false">N(U329)+$T330</f>
        <v>28</v>
      </c>
      <c r="V330" s="1" t="n">
        <f aca="false">IF(AND($L330=1,AND(对接源_01水果!$X330="自备筐",N(对接源_01水果!$V330)&lt;&gt;0)),1,0)</f>
        <v>0</v>
      </c>
      <c r="W330" s="1" t="n">
        <f aca="false">N(W329)+$V330</f>
        <v>7</v>
      </c>
      <c r="X330" s="1" t="n">
        <f aca="false">IF(AND($L330=1,AND(对接源_01水果!$X330="自备筐",N(对接源_01水果!$T330)&lt;&gt;0)),1,0)</f>
        <v>0</v>
      </c>
      <c r="Y330" s="1" t="n">
        <f aca="false">N(Y329)+$X330</f>
        <v>0</v>
      </c>
      <c r="Z330" s="1" t="n">
        <f aca="false">IF(AND($M330=1,对接源_01水果!$D330="原料入库"),1,0)</f>
        <v>0</v>
      </c>
      <c r="AA330" s="1" t="n">
        <f aca="false">N(AA329)+$Z330</f>
        <v>30</v>
      </c>
      <c r="AB330" s="1" t="n">
        <f aca="false">IF(AND($M330=1,LEFT(对接源_01水果!$D330,4)="原料出库"),1,0)</f>
        <v>0</v>
      </c>
      <c r="AC330" s="1" t="n">
        <f aca="false">N(AC329)+$AB330</f>
        <v>19</v>
      </c>
      <c r="AD330" s="1" t="n">
        <f aca="false">IF(AND($M330=1,LEFT(对接源_01水果!$D330,4)="成品出库"),1,0)</f>
        <v>0</v>
      </c>
      <c r="AE330" s="1" t="n">
        <f aca="false">N(AE329)+$AD330</f>
        <v>38</v>
      </c>
      <c r="AF330" s="1" t="n">
        <f aca="false">IF(AND($N330=1,AND(LEFT(对接源_01水果!$D330,4)="包装物料",N(对接源_01水果!$K330)&lt;&gt;0)),1,0)</f>
        <v>0</v>
      </c>
      <c r="AG330" s="90" t="str">
        <f aca="false">IF(对接源_01水果!$AC330="","",对接源_01水果!$AC330)</f>
        <v/>
      </c>
      <c r="AH330" s="1" t="n">
        <f aca="false">IF(AND($N330=1,AND(LEFT(对接源_01水果!$D330,3)="周转筐",N(对接源_01水果!$K330)&lt;&gt;0)),1,0)</f>
        <v>0</v>
      </c>
      <c r="AI330" s="90" t="n">
        <f aca="false">IF(AG330="",0,IF(MATCH(AG330,$AG$4:$AG$1203,0)=ROW()-3,1,0))</f>
        <v>0</v>
      </c>
      <c r="AJ330" s="90" t="n">
        <f aca="false">N(AJ329)+AI330</f>
        <v>4</v>
      </c>
      <c r="AK330" s="1" t="n">
        <f aca="false">N(AK329)+$AJ330</f>
        <v>180</v>
      </c>
    </row>
    <row r="331" customFormat="false" ht="13.5" hidden="false" customHeight="false" outlineLevel="0" collapsed="false">
      <c r="A331" s="1" t="str">
        <f aca="false">IF(对接源_01水果!$C331="","",对接源_01水果!$C331)</f>
        <v/>
      </c>
      <c r="B331" s="1" t="n">
        <f aca="false">IF(A331="",0,IF(MATCH(A331,$A$4:$A$2403,0)=ROW()-3,1,0))</f>
        <v>0</v>
      </c>
      <c r="C331" s="1" t="n">
        <f aca="false">N(C330)+B331</f>
        <v>13</v>
      </c>
      <c r="K331" s="1" t="n">
        <f aca="false">IF(OR($K$1="",对接源_01水果!$C331="",对接源_01水果!$C331&lt;&gt;$K$1,对接源_01水果!$B331=""),0,IF(OR(N(对接源_01水果!$B331)&lt;$K$2,N(对接源_01水果!$B331)&gt;$K$3),0,1))</f>
        <v>0</v>
      </c>
      <c r="L331" s="1" t="n">
        <f aca="false">IF(OR($L$1="",对接源_01水果!$C331="",对接源_01水果!$C331&lt;&gt;$L$1,对接源_01水果!$B331=""),0,IF(OR(N(对接源_01水果!$B331)&lt;$L$2,N(对接源_01水果!$B331)&gt;$L$3),0,1))</f>
        <v>0</v>
      </c>
      <c r="M331" s="1" t="n">
        <f aca="false">IF(OR($M$1="",对接源_01水果!$C331="",对接源_01水果!$C331&lt;&gt;$M$1,对接源_01水果!$B331=""),0,IF(OR(N(对接源_01水果!$B331)&lt;$M$2,N(对接源_01水果!$B331)&gt;$M$3),0,1))</f>
        <v>0</v>
      </c>
      <c r="N331" s="1" t="n">
        <f aca="false">IF(OR($N$1="",对接源_01水果!$C331="",对接源_01水果!$C331&lt;&gt;$N$1,对接源_01水果!$B331=""),0,IF(OR(N(对接源_01水果!$B331)&lt;$N$2,N(对接源_01水果!$B331)&gt;$N$3),0,1))</f>
        <v>0</v>
      </c>
      <c r="P331" s="1" t="n">
        <f aca="false">IF(AND($K331=1,AND(对接源_01水果!$X331="公司筐",N(对接源_01水果!$T331)&lt;&gt;0)),1,0)</f>
        <v>0</v>
      </c>
      <c r="Q331" s="1" t="n">
        <f aca="false">N(Q330)+$P331</f>
        <v>3</v>
      </c>
      <c r="R331" s="1" t="n">
        <f aca="false">IF(AND($K331=1,AND(对接源_01水果!$X331="公司筐",N(对接源_01水果!$U331)&lt;&gt;0)),1,0)</f>
        <v>0</v>
      </c>
      <c r="S331" s="1" t="n">
        <f aca="false">N(S330)+$R331</f>
        <v>0</v>
      </c>
      <c r="T331" s="1" t="n">
        <f aca="false">IF(AND($K331=1,AND(对接源_01水果!$X331="公司筐",N(对接源_01水果!$V331)&lt;&gt;0)),1,0)</f>
        <v>0</v>
      </c>
      <c r="U331" s="1" t="n">
        <f aca="false">N(U330)+$T331</f>
        <v>28</v>
      </c>
      <c r="V331" s="1" t="n">
        <f aca="false">IF(AND($L331=1,AND(对接源_01水果!$X331="自备筐",N(对接源_01水果!$V331)&lt;&gt;0)),1,0)</f>
        <v>0</v>
      </c>
      <c r="W331" s="1" t="n">
        <f aca="false">N(W330)+$V331</f>
        <v>7</v>
      </c>
      <c r="X331" s="1" t="n">
        <f aca="false">IF(AND($L331=1,AND(对接源_01水果!$X331="自备筐",N(对接源_01水果!$T331)&lt;&gt;0)),1,0)</f>
        <v>0</v>
      </c>
      <c r="Y331" s="1" t="n">
        <f aca="false">N(Y330)+$X331</f>
        <v>0</v>
      </c>
      <c r="Z331" s="1" t="n">
        <f aca="false">IF(AND($M331=1,对接源_01水果!$D331="原料入库"),1,0)</f>
        <v>0</v>
      </c>
      <c r="AA331" s="1" t="n">
        <f aca="false">N(AA330)+$Z331</f>
        <v>30</v>
      </c>
      <c r="AB331" s="1" t="n">
        <f aca="false">IF(AND($M331=1,LEFT(对接源_01水果!$D331,4)="原料出库"),1,0)</f>
        <v>0</v>
      </c>
      <c r="AC331" s="1" t="n">
        <f aca="false">N(AC330)+$AB331</f>
        <v>19</v>
      </c>
      <c r="AD331" s="1" t="n">
        <f aca="false">IF(AND($M331=1,LEFT(对接源_01水果!$D331,4)="成品出库"),1,0)</f>
        <v>0</v>
      </c>
      <c r="AE331" s="1" t="n">
        <f aca="false">N(AE330)+$AD331</f>
        <v>38</v>
      </c>
      <c r="AF331" s="1" t="n">
        <f aca="false">IF(AND($N331=1,AND(LEFT(对接源_01水果!$D331,4)="包装物料",N(对接源_01水果!$K331)&lt;&gt;0)),1,0)</f>
        <v>0</v>
      </c>
      <c r="AG331" s="90" t="str">
        <f aca="false">IF(对接源_01水果!$AC331="","",对接源_01水果!$AC331)</f>
        <v/>
      </c>
      <c r="AH331" s="1" t="n">
        <f aca="false">IF(AND($N331=1,AND(LEFT(对接源_01水果!$D331,3)="周转筐",N(对接源_01水果!$K331)&lt;&gt;0)),1,0)</f>
        <v>0</v>
      </c>
      <c r="AI331" s="90" t="n">
        <f aca="false">IF(AG331="",0,IF(MATCH(AG331,$AG$4:$AG$1203,0)=ROW()-3,1,0))</f>
        <v>0</v>
      </c>
      <c r="AJ331" s="90" t="n">
        <f aca="false">N(AJ330)+AI331</f>
        <v>4</v>
      </c>
      <c r="AK331" s="1" t="n">
        <f aca="false">N(AK330)+$AJ331</f>
        <v>184</v>
      </c>
    </row>
    <row r="332" customFormat="false" ht="13.5" hidden="false" customHeight="false" outlineLevel="0" collapsed="false">
      <c r="A332" s="1" t="str">
        <f aca="false">IF(对接源_01水果!$C332="","",对接源_01水果!$C332)</f>
        <v/>
      </c>
      <c r="B332" s="1" t="n">
        <f aca="false">IF(A332="",0,IF(MATCH(A332,$A$4:$A$2403,0)=ROW()-3,1,0))</f>
        <v>0</v>
      </c>
      <c r="C332" s="1" t="n">
        <f aca="false">N(C331)+B332</f>
        <v>13</v>
      </c>
      <c r="K332" s="1" t="n">
        <f aca="false">IF(OR($K$1="",对接源_01水果!$C332="",对接源_01水果!$C332&lt;&gt;$K$1,对接源_01水果!$B332=""),0,IF(OR(N(对接源_01水果!$B332)&lt;$K$2,N(对接源_01水果!$B332)&gt;$K$3),0,1))</f>
        <v>0</v>
      </c>
      <c r="L332" s="1" t="n">
        <f aca="false">IF(OR($L$1="",对接源_01水果!$C332="",对接源_01水果!$C332&lt;&gt;$L$1,对接源_01水果!$B332=""),0,IF(OR(N(对接源_01水果!$B332)&lt;$L$2,N(对接源_01水果!$B332)&gt;$L$3),0,1))</f>
        <v>0</v>
      </c>
      <c r="M332" s="1" t="n">
        <f aca="false">IF(OR($M$1="",对接源_01水果!$C332="",对接源_01水果!$C332&lt;&gt;$M$1,对接源_01水果!$B332=""),0,IF(OR(N(对接源_01水果!$B332)&lt;$M$2,N(对接源_01水果!$B332)&gt;$M$3),0,1))</f>
        <v>0</v>
      </c>
      <c r="N332" s="1" t="n">
        <f aca="false">IF(OR($N$1="",对接源_01水果!$C332="",对接源_01水果!$C332&lt;&gt;$N$1,对接源_01水果!$B332=""),0,IF(OR(N(对接源_01水果!$B332)&lt;$N$2,N(对接源_01水果!$B332)&gt;$N$3),0,1))</f>
        <v>0</v>
      </c>
      <c r="P332" s="1" t="n">
        <f aca="false">IF(AND($K332=1,AND(对接源_01水果!$X332="公司筐",N(对接源_01水果!$T332)&lt;&gt;0)),1,0)</f>
        <v>0</v>
      </c>
      <c r="Q332" s="1" t="n">
        <f aca="false">N(Q331)+$P332</f>
        <v>3</v>
      </c>
      <c r="R332" s="1" t="n">
        <f aca="false">IF(AND($K332=1,AND(对接源_01水果!$X332="公司筐",N(对接源_01水果!$U332)&lt;&gt;0)),1,0)</f>
        <v>0</v>
      </c>
      <c r="S332" s="1" t="n">
        <f aca="false">N(S331)+$R332</f>
        <v>0</v>
      </c>
      <c r="T332" s="1" t="n">
        <f aca="false">IF(AND($K332=1,AND(对接源_01水果!$X332="公司筐",N(对接源_01水果!$V332)&lt;&gt;0)),1,0)</f>
        <v>0</v>
      </c>
      <c r="U332" s="1" t="n">
        <f aca="false">N(U331)+$T332</f>
        <v>28</v>
      </c>
      <c r="V332" s="1" t="n">
        <f aca="false">IF(AND($L332=1,AND(对接源_01水果!$X332="自备筐",N(对接源_01水果!$V332)&lt;&gt;0)),1,0)</f>
        <v>0</v>
      </c>
      <c r="W332" s="1" t="n">
        <f aca="false">N(W331)+$V332</f>
        <v>7</v>
      </c>
      <c r="X332" s="1" t="n">
        <f aca="false">IF(AND($L332=1,AND(对接源_01水果!$X332="自备筐",N(对接源_01水果!$T332)&lt;&gt;0)),1,0)</f>
        <v>0</v>
      </c>
      <c r="Y332" s="1" t="n">
        <f aca="false">N(Y331)+$X332</f>
        <v>0</v>
      </c>
      <c r="Z332" s="1" t="n">
        <f aca="false">IF(AND($M332=1,对接源_01水果!$D332="原料入库"),1,0)</f>
        <v>0</v>
      </c>
      <c r="AA332" s="1" t="n">
        <f aca="false">N(AA331)+$Z332</f>
        <v>30</v>
      </c>
      <c r="AB332" s="1" t="n">
        <f aca="false">IF(AND($M332=1,LEFT(对接源_01水果!$D332,4)="原料出库"),1,0)</f>
        <v>0</v>
      </c>
      <c r="AC332" s="1" t="n">
        <f aca="false">N(AC331)+$AB332</f>
        <v>19</v>
      </c>
      <c r="AD332" s="1" t="n">
        <f aca="false">IF(AND($M332=1,LEFT(对接源_01水果!$D332,4)="成品出库"),1,0)</f>
        <v>0</v>
      </c>
      <c r="AE332" s="1" t="n">
        <f aca="false">N(AE331)+$AD332</f>
        <v>38</v>
      </c>
      <c r="AF332" s="1" t="n">
        <f aca="false">IF(AND($N332=1,AND(LEFT(对接源_01水果!$D332,4)="包装物料",N(对接源_01水果!$K332)&lt;&gt;0)),1,0)</f>
        <v>0</v>
      </c>
      <c r="AG332" s="90" t="str">
        <f aca="false">IF(对接源_01水果!$AC332="","",对接源_01水果!$AC332)</f>
        <v/>
      </c>
      <c r="AH332" s="1" t="n">
        <f aca="false">IF(AND($N332=1,AND(LEFT(对接源_01水果!$D332,3)="周转筐",N(对接源_01水果!$K332)&lt;&gt;0)),1,0)</f>
        <v>0</v>
      </c>
      <c r="AI332" s="90" t="n">
        <f aca="false">IF(AG332="",0,IF(MATCH(AG332,$AG$4:$AG$1203,0)=ROW()-3,1,0))</f>
        <v>0</v>
      </c>
      <c r="AJ332" s="90" t="n">
        <f aca="false">N(AJ331)+AI332</f>
        <v>4</v>
      </c>
      <c r="AK332" s="1" t="n">
        <f aca="false">N(AK331)+$AJ332</f>
        <v>188</v>
      </c>
    </row>
    <row r="333" customFormat="false" ht="13.5" hidden="false" customHeight="false" outlineLevel="0" collapsed="false">
      <c r="A333" s="1" t="str">
        <f aca="false">IF(对接源_01水果!$C333="","",对接源_01水果!$C333)</f>
        <v/>
      </c>
      <c r="B333" s="1" t="n">
        <f aca="false">IF(A333="",0,IF(MATCH(A333,$A$4:$A$2403,0)=ROW()-3,1,0))</f>
        <v>0</v>
      </c>
      <c r="C333" s="1" t="n">
        <f aca="false">N(C332)+B333</f>
        <v>13</v>
      </c>
      <c r="K333" s="1" t="n">
        <f aca="false">IF(OR($K$1="",对接源_01水果!$C333="",对接源_01水果!$C333&lt;&gt;$K$1,对接源_01水果!$B333=""),0,IF(OR(N(对接源_01水果!$B333)&lt;$K$2,N(对接源_01水果!$B333)&gt;$K$3),0,1))</f>
        <v>0</v>
      </c>
      <c r="L333" s="1" t="n">
        <f aca="false">IF(OR($L$1="",对接源_01水果!$C333="",对接源_01水果!$C333&lt;&gt;$L$1,对接源_01水果!$B333=""),0,IF(OR(N(对接源_01水果!$B333)&lt;$L$2,N(对接源_01水果!$B333)&gt;$L$3),0,1))</f>
        <v>0</v>
      </c>
      <c r="M333" s="1" t="n">
        <f aca="false">IF(OR($M$1="",对接源_01水果!$C333="",对接源_01水果!$C333&lt;&gt;$M$1,对接源_01水果!$B333=""),0,IF(OR(N(对接源_01水果!$B333)&lt;$M$2,N(对接源_01水果!$B333)&gt;$M$3),0,1))</f>
        <v>0</v>
      </c>
      <c r="N333" s="1" t="n">
        <f aca="false">IF(OR($N$1="",对接源_01水果!$C333="",对接源_01水果!$C333&lt;&gt;$N$1,对接源_01水果!$B333=""),0,IF(OR(N(对接源_01水果!$B333)&lt;$N$2,N(对接源_01水果!$B333)&gt;$N$3),0,1))</f>
        <v>0</v>
      </c>
      <c r="P333" s="1" t="n">
        <f aca="false">IF(AND($K333=1,AND(对接源_01水果!$X333="公司筐",N(对接源_01水果!$T333)&lt;&gt;0)),1,0)</f>
        <v>0</v>
      </c>
      <c r="Q333" s="1" t="n">
        <f aca="false">N(Q332)+$P333</f>
        <v>3</v>
      </c>
      <c r="R333" s="1" t="n">
        <f aca="false">IF(AND($K333=1,AND(对接源_01水果!$X333="公司筐",N(对接源_01水果!$U333)&lt;&gt;0)),1,0)</f>
        <v>0</v>
      </c>
      <c r="S333" s="1" t="n">
        <f aca="false">N(S332)+$R333</f>
        <v>0</v>
      </c>
      <c r="T333" s="1" t="n">
        <f aca="false">IF(AND($K333=1,AND(对接源_01水果!$X333="公司筐",N(对接源_01水果!$V333)&lt;&gt;0)),1,0)</f>
        <v>0</v>
      </c>
      <c r="U333" s="1" t="n">
        <f aca="false">N(U332)+$T333</f>
        <v>28</v>
      </c>
      <c r="V333" s="1" t="n">
        <f aca="false">IF(AND($L333=1,AND(对接源_01水果!$X333="自备筐",N(对接源_01水果!$V333)&lt;&gt;0)),1,0)</f>
        <v>0</v>
      </c>
      <c r="W333" s="1" t="n">
        <f aca="false">N(W332)+$V333</f>
        <v>7</v>
      </c>
      <c r="X333" s="1" t="n">
        <f aca="false">IF(AND($L333=1,AND(对接源_01水果!$X333="自备筐",N(对接源_01水果!$T333)&lt;&gt;0)),1,0)</f>
        <v>0</v>
      </c>
      <c r="Y333" s="1" t="n">
        <f aca="false">N(Y332)+$X333</f>
        <v>0</v>
      </c>
      <c r="Z333" s="1" t="n">
        <f aca="false">IF(AND($M333=1,对接源_01水果!$D333="原料入库"),1,0)</f>
        <v>0</v>
      </c>
      <c r="AA333" s="1" t="n">
        <f aca="false">N(AA332)+$Z333</f>
        <v>30</v>
      </c>
      <c r="AB333" s="1" t="n">
        <f aca="false">IF(AND($M333=1,LEFT(对接源_01水果!$D333,4)="原料出库"),1,0)</f>
        <v>0</v>
      </c>
      <c r="AC333" s="1" t="n">
        <f aca="false">N(AC332)+$AB333</f>
        <v>19</v>
      </c>
      <c r="AD333" s="1" t="n">
        <f aca="false">IF(AND($M333=1,LEFT(对接源_01水果!$D333,4)="成品出库"),1,0)</f>
        <v>0</v>
      </c>
      <c r="AE333" s="1" t="n">
        <f aca="false">N(AE332)+$AD333</f>
        <v>38</v>
      </c>
      <c r="AF333" s="1" t="n">
        <f aca="false">IF(AND($N333=1,AND(LEFT(对接源_01水果!$D333,4)="包装物料",N(对接源_01水果!$K333)&lt;&gt;0)),1,0)</f>
        <v>0</v>
      </c>
      <c r="AG333" s="90" t="str">
        <f aca="false">IF(对接源_01水果!$AC333="","",对接源_01水果!$AC333)</f>
        <v/>
      </c>
      <c r="AH333" s="1" t="n">
        <f aca="false">IF(AND($N333=1,AND(LEFT(对接源_01水果!$D333,3)="周转筐",N(对接源_01水果!$K333)&lt;&gt;0)),1,0)</f>
        <v>0</v>
      </c>
      <c r="AI333" s="90" t="n">
        <f aca="false">IF(AG333="",0,IF(MATCH(AG333,$AG$4:$AG$1203,0)=ROW()-3,1,0))</f>
        <v>0</v>
      </c>
      <c r="AJ333" s="90" t="n">
        <f aca="false">N(AJ332)+AI333</f>
        <v>4</v>
      </c>
      <c r="AK333" s="1" t="n">
        <f aca="false">N(AK332)+$AJ333</f>
        <v>192</v>
      </c>
    </row>
    <row r="334" customFormat="false" ht="13.5" hidden="false" customHeight="false" outlineLevel="0" collapsed="false">
      <c r="A334" s="1" t="str">
        <f aca="false">IF(对接源_01水果!$C334="","",对接源_01水果!$C334)</f>
        <v/>
      </c>
      <c r="B334" s="1" t="n">
        <f aca="false">IF(A334="",0,IF(MATCH(A334,$A$4:$A$2403,0)=ROW()-3,1,0))</f>
        <v>0</v>
      </c>
      <c r="C334" s="1" t="n">
        <f aca="false">N(C333)+B334</f>
        <v>13</v>
      </c>
      <c r="K334" s="1" t="n">
        <f aca="false">IF(OR($K$1="",对接源_01水果!$C334="",对接源_01水果!$C334&lt;&gt;$K$1,对接源_01水果!$B334=""),0,IF(OR(N(对接源_01水果!$B334)&lt;$K$2,N(对接源_01水果!$B334)&gt;$K$3),0,1))</f>
        <v>0</v>
      </c>
      <c r="L334" s="1" t="n">
        <f aca="false">IF(OR($L$1="",对接源_01水果!$C334="",对接源_01水果!$C334&lt;&gt;$L$1,对接源_01水果!$B334=""),0,IF(OR(N(对接源_01水果!$B334)&lt;$L$2,N(对接源_01水果!$B334)&gt;$L$3),0,1))</f>
        <v>0</v>
      </c>
      <c r="M334" s="1" t="n">
        <f aca="false">IF(OR($M$1="",对接源_01水果!$C334="",对接源_01水果!$C334&lt;&gt;$M$1,对接源_01水果!$B334=""),0,IF(OR(N(对接源_01水果!$B334)&lt;$M$2,N(对接源_01水果!$B334)&gt;$M$3),0,1))</f>
        <v>0</v>
      </c>
      <c r="N334" s="1" t="n">
        <f aca="false">IF(OR($N$1="",对接源_01水果!$C334="",对接源_01水果!$C334&lt;&gt;$N$1,对接源_01水果!$B334=""),0,IF(OR(N(对接源_01水果!$B334)&lt;$N$2,N(对接源_01水果!$B334)&gt;$N$3),0,1))</f>
        <v>0</v>
      </c>
      <c r="P334" s="1" t="n">
        <f aca="false">IF(AND($K334=1,AND(对接源_01水果!$X334="公司筐",N(对接源_01水果!$T334)&lt;&gt;0)),1,0)</f>
        <v>0</v>
      </c>
      <c r="Q334" s="1" t="n">
        <f aca="false">N(Q333)+$P334</f>
        <v>3</v>
      </c>
      <c r="R334" s="1" t="n">
        <f aca="false">IF(AND($K334=1,AND(对接源_01水果!$X334="公司筐",N(对接源_01水果!$U334)&lt;&gt;0)),1,0)</f>
        <v>0</v>
      </c>
      <c r="S334" s="1" t="n">
        <f aca="false">N(S333)+$R334</f>
        <v>0</v>
      </c>
      <c r="T334" s="1" t="n">
        <f aca="false">IF(AND($K334=1,AND(对接源_01水果!$X334="公司筐",N(对接源_01水果!$V334)&lt;&gt;0)),1,0)</f>
        <v>0</v>
      </c>
      <c r="U334" s="1" t="n">
        <f aca="false">N(U333)+$T334</f>
        <v>28</v>
      </c>
      <c r="V334" s="1" t="n">
        <f aca="false">IF(AND($L334=1,AND(对接源_01水果!$X334="自备筐",N(对接源_01水果!$V334)&lt;&gt;0)),1,0)</f>
        <v>0</v>
      </c>
      <c r="W334" s="1" t="n">
        <f aca="false">N(W333)+$V334</f>
        <v>7</v>
      </c>
      <c r="X334" s="1" t="n">
        <f aca="false">IF(AND($L334=1,AND(对接源_01水果!$X334="自备筐",N(对接源_01水果!$T334)&lt;&gt;0)),1,0)</f>
        <v>0</v>
      </c>
      <c r="Y334" s="1" t="n">
        <f aca="false">N(Y333)+$X334</f>
        <v>0</v>
      </c>
      <c r="Z334" s="1" t="n">
        <f aca="false">IF(AND($M334=1,对接源_01水果!$D334="原料入库"),1,0)</f>
        <v>0</v>
      </c>
      <c r="AA334" s="1" t="n">
        <f aca="false">N(AA333)+$Z334</f>
        <v>30</v>
      </c>
      <c r="AB334" s="1" t="n">
        <f aca="false">IF(AND($M334=1,LEFT(对接源_01水果!$D334,4)="原料出库"),1,0)</f>
        <v>0</v>
      </c>
      <c r="AC334" s="1" t="n">
        <f aca="false">N(AC333)+$AB334</f>
        <v>19</v>
      </c>
      <c r="AD334" s="1" t="n">
        <f aca="false">IF(AND($M334=1,LEFT(对接源_01水果!$D334,4)="成品出库"),1,0)</f>
        <v>0</v>
      </c>
      <c r="AE334" s="1" t="n">
        <f aca="false">N(AE333)+$AD334</f>
        <v>38</v>
      </c>
      <c r="AF334" s="1" t="n">
        <f aca="false">IF(AND($N334=1,AND(LEFT(对接源_01水果!$D334,4)="包装物料",N(对接源_01水果!$K334)&lt;&gt;0)),1,0)</f>
        <v>0</v>
      </c>
      <c r="AG334" s="90" t="str">
        <f aca="false">IF(对接源_01水果!$AC334="","",对接源_01水果!$AC334)</f>
        <v/>
      </c>
      <c r="AH334" s="1" t="n">
        <f aca="false">IF(AND($N334=1,AND(LEFT(对接源_01水果!$D334,3)="周转筐",N(对接源_01水果!$K334)&lt;&gt;0)),1,0)</f>
        <v>0</v>
      </c>
      <c r="AI334" s="90" t="n">
        <f aca="false">IF(AG334="",0,IF(MATCH(AG334,$AG$4:$AG$1203,0)=ROW()-3,1,0))</f>
        <v>0</v>
      </c>
      <c r="AJ334" s="90" t="n">
        <f aca="false">N(AJ333)+AI334</f>
        <v>4</v>
      </c>
      <c r="AK334" s="1" t="n">
        <f aca="false">N(AK333)+$AJ334</f>
        <v>196</v>
      </c>
    </row>
    <row r="335" customFormat="false" ht="13.5" hidden="false" customHeight="false" outlineLevel="0" collapsed="false">
      <c r="A335" s="1" t="str">
        <f aca="false">IF(对接源_01水果!$C335="","",对接源_01水果!$C335)</f>
        <v/>
      </c>
      <c r="B335" s="1" t="n">
        <f aca="false">IF(A335="",0,IF(MATCH(A335,$A$4:$A$2403,0)=ROW()-3,1,0))</f>
        <v>0</v>
      </c>
      <c r="C335" s="1" t="n">
        <f aca="false">N(C334)+B335</f>
        <v>13</v>
      </c>
      <c r="K335" s="1" t="n">
        <f aca="false">IF(OR($K$1="",对接源_01水果!$C335="",对接源_01水果!$C335&lt;&gt;$K$1,对接源_01水果!$B335=""),0,IF(OR(N(对接源_01水果!$B335)&lt;$K$2,N(对接源_01水果!$B335)&gt;$K$3),0,1))</f>
        <v>0</v>
      </c>
      <c r="L335" s="1" t="n">
        <f aca="false">IF(OR($L$1="",对接源_01水果!$C335="",对接源_01水果!$C335&lt;&gt;$L$1,对接源_01水果!$B335=""),0,IF(OR(N(对接源_01水果!$B335)&lt;$L$2,N(对接源_01水果!$B335)&gt;$L$3),0,1))</f>
        <v>0</v>
      </c>
      <c r="M335" s="1" t="n">
        <f aca="false">IF(OR($M$1="",对接源_01水果!$C335="",对接源_01水果!$C335&lt;&gt;$M$1,对接源_01水果!$B335=""),0,IF(OR(N(对接源_01水果!$B335)&lt;$M$2,N(对接源_01水果!$B335)&gt;$M$3),0,1))</f>
        <v>0</v>
      </c>
      <c r="N335" s="1" t="n">
        <f aca="false">IF(OR($N$1="",对接源_01水果!$C335="",对接源_01水果!$C335&lt;&gt;$N$1,对接源_01水果!$B335=""),0,IF(OR(N(对接源_01水果!$B335)&lt;$N$2,N(对接源_01水果!$B335)&gt;$N$3),0,1))</f>
        <v>0</v>
      </c>
      <c r="P335" s="1" t="n">
        <f aca="false">IF(AND($K335=1,AND(对接源_01水果!$X335="公司筐",N(对接源_01水果!$T335)&lt;&gt;0)),1,0)</f>
        <v>0</v>
      </c>
      <c r="Q335" s="1" t="n">
        <f aca="false">N(Q334)+$P335</f>
        <v>3</v>
      </c>
      <c r="R335" s="1" t="n">
        <f aca="false">IF(AND($K335=1,AND(对接源_01水果!$X335="公司筐",N(对接源_01水果!$U335)&lt;&gt;0)),1,0)</f>
        <v>0</v>
      </c>
      <c r="S335" s="1" t="n">
        <f aca="false">N(S334)+$R335</f>
        <v>0</v>
      </c>
      <c r="T335" s="1" t="n">
        <f aca="false">IF(AND($K335=1,AND(对接源_01水果!$X335="公司筐",N(对接源_01水果!$V335)&lt;&gt;0)),1,0)</f>
        <v>0</v>
      </c>
      <c r="U335" s="1" t="n">
        <f aca="false">N(U334)+$T335</f>
        <v>28</v>
      </c>
      <c r="V335" s="1" t="n">
        <f aca="false">IF(AND($L335=1,AND(对接源_01水果!$X335="自备筐",N(对接源_01水果!$V335)&lt;&gt;0)),1,0)</f>
        <v>0</v>
      </c>
      <c r="W335" s="1" t="n">
        <f aca="false">N(W334)+$V335</f>
        <v>7</v>
      </c>
      <c r="X335" s="1" t="n">
        <f aca="false">IF(AND($L335=1,AND(对接源_01水果!$X335="自备筐",N(对接源_01水果!$T335)&lt;&gt;0)),1,0)</f>
        <v>0</v>
      </c>
      <c r="Y335" s="1" t="n">
        <f aca="false">N(Y334)+$X335</f>
        <v>0</v>
      </c>
      <c r="Z335" s="1" t="n">
        <f aca="false">IF(AND($M335=1,对接源_01水果!$D335="原料入库"),1,0)</f>
        <v>0</v>
      </c>
      <c r="AA335" s="1" t="n">
        <f aca="false">N(AA334)+$Z335</f>
        <v>30</v>
      </c>
      <c r="AB335" s="1" t="n">
        <f aca="false">IF(AND($M335=1,LEFT(对接源_01水果!$D335,4)="原料出库"),1,0)</f>
        <v>0</v>
      </c>
      <c r="AC335" s="1" t="n">
        <f aca="false">N(AC334)+$AB335</f>
        <v>19</v>
      </c>
      <c r="AD335" s="1" t="n">
        <f aca="false">IF(AND($M335=1,LEFT(对接源_01水果!$D335,4)="成品出库"),1,0)</f>
        <v>0</v>
      </c>
      <c r="AE335" s="1" t="n">
        <f aca="false">N(AE334)+$AD335</f>
        <v>38</v>
      </c>
      <c r="AF335" s="1" t="n">
        <f aca="false">IF(AND($N335=1,AND(LEFT(对接源_01水果!$D335,4)="包装物料",N(对接源_01水果!$K335)&lt;&gt;0)),1,0)</f>
        <v>0</v>
      </c>
      <c r="AG335" s="90" t="str">
        <f aca="false">IF(对接源_01水果!$AC335="","",对接源_01水果!$AC335)</f>
        <v/>
      </c>
      <c r="AH335" s="1" t="n">
        <f aca="false">IF(AND($N335=1,AND(LEFT(对接源_01水果!$D335,3)="周转筐",N(对接源_01水果!$K335)&lt;&gt;0)),1,0)</f>
        <v>0</v>
      </c>
      <c r="AI335" s="90" t="n">
        <f aca="false">IF(AG335="",0,IF(MATCH(AG335,$AG$4:$AG$1203,0)=ROW()-3,1,0))</f>
        <v>0</v>
      </c>
      <c r="AJ335" s="90" t="n">
        <f aca="false">N(AJ334)+AI335</f>
        <v>4</v>
      </c>
      <c r="AK335" s="1" t="n">
        <f aca="false">N(AK334)+$AJ335</f>
        <v>200</v>
      </c>
    </row>
    <row r="336" customFormat="false" ht="13.5" hidden="false" customHeight="false" outlineLevel="0" collapsed="false">
      <c r="A336" s="1" t="str">
        <f aca="false">IF(对接源_01水果!$C336="","",对接源_01水果!$C336)</f>
        <v/>
      </c>
      <c r="B336" s="1" t="n">
        <f aca="false">IF(A336="",0,IF(MATCH(A336,$A$4:$A$2403,0)=ROW()-3,1,0))</f>
        <v>0</v>
      </c>
      <c r="C336" s="1" t="n">
        <f aca="false">N(C335)+B336</f>
        <v>13</v>
      </c>
      <c r="K336" s="1" t="n">
        <f aca="false">IF(OR($K$1="",对接源_01水果!$C336="",对接源_01水果!$C336&lt;&gt;$K$1,对接源_01水果!$B336=""),0,IF(OR(N(对接源_01水果!$B336)&lt;$K$2,N(对接源_01水果!$B336)&gt;$K$3),0,1))</f>
        <v>0</v>
      </c>
      <c r="L336" s="1" t="n">
        <f aca="false">IF(OR($L$1="",对接源_01水果!$C336="",对接源_01水果!$C336&lt;&gt;$L$1,对接源_01水果!$B336=""),0,IF(OR(N(对接源_01水果!$B336)&lt;$L$2,N(对接源_01水果!$B336)&gt;$L$3),0,1))</f>
        <v>0</v>
      </c>
      <c r="M336" s="1" t="n">
        <f aca="false">IF(OR($M$1="",对接源_01水果!$C336="",对接源_01水果!$C336&lt;&gt;$M$1,对接源_01水果!$B336=""),0,IF(OR(N(对接源_01水果!$B336)&lt;$M$2,N(对接源_01水果!$B336)&gt;$M$3),0,1))</f>
        <v>0</v>
      </c>
      <c r="N336" s="1" t="n">
        <f aca="false">IF(OR($N$1="",对接源_01水果!$C336="",对接源_01水果!$C336&lt;&gt;$N$1,对接源_01水果!$B336=""),0,IF(OR(N(对接源_01水果!$B336)&lt;$N$2,N(对接源_01水果!$B336)&gt;$N$3),0,1))</f>
        <v>0</v>
      </c>
      <c r="P336" s="1" t="n">
        <f aca="false">IF(AND($K336=1,AND(对接源_01水果!$X336="公司筐",N(对接源_01水果!$T336)&lt;&gt;0)),1,0)</f>
        <v>0</v>
      </c>
      <c r="Q336" s="1" t="n">
        <f aca="false">N(Q335)+$P336</f>
        <v>3</v>
      </c>
      <c r="R336" s="1" t="n">
        <f aca="false">IF(AND($K336=1,AND(对接源_01水果!$X336="公司筐",N(对接源_01水果!$U336)&lt;&gt;0)),1,0)</f>
        <v>0</v>
      </c>
      <c r="S336" s="1" t="n">
        <f aca="false">N(S335)+$R336</f>
        <v>0</v>
      </c>
      <c r="T336" s="1" t="n">
        <f aca="false">IF(AND($K336=1,AND(对接源_01水果!$X336="公司筐",N(对接源_01水果!$V336)&lt;&gt;0)),1,0)</f>
        <v>0</v>
      </c>
      <c r="U336" s="1" t="n">
        <f aca="false">N(U335)+$T336</f>
        <v>28</v>
      </c>
      <c r="V336" s="1" t="n">
        <f aca="false">IF(AND($L336=1,AND(对接源_01水果!$X336="自备筐",N(对接源_01水果!$V336)&lt;&gt;0)),1,0)</f>
        <v>0</v>
      </c>
      <c r="W336" s="1" t="n">
        <f aca="false">N(W335)+$V336</f>
        <v>7</v>
      </c>
      <c r="X336" s="1" t="n">
        <f aca="false">IF(AND($L336=1,AND(对接源_01水果!$X336="自备筐",N(对接源_01水果!$T336)&lt;&gt;0)),1,0)</f>
        <v>0</v>
      </c>
      <c r="Y336" s="1" t="n">
        <f aca="false">N(Y335)+$X336</f>
        <v>0</v>
      </c>
      <c r="Z336" s="1" t="n">
        <f aca="false">IF(AND($M336=1,对接源_01水果!$D336="原料入库"),1,0)</f>
        <v>0</v>
      </c>
      <c r="AA336" s="1" t="n">
        <f aca="false">N(AA335)+$Z336</f>
        <v>30</v>
      </c>
      <c r="AB336" s="1" t="n">
        <f aca="false">IF(AND($M336=1,LEFT(对接源_01水果!$D336,4)="原料出库"),1,0)</f>
        <v>0</v>
      </c>
      <c r="AC336" s="1" t="n">
        <f aca="false">N(AC335)+$AB336</f>
        <v>19</v>
      </c>
      <c r="AD336" s="1" t="n">
        <f aca="false">IF(AND($M336=1,LEFT(对接源_01水果!$D336,4)="成品出库"),1,0)</f>
        <v>0</v>
      </c>
      <c r="AE336" s="1" t="n">
        <f aca="false">N(AE335)+$AD336</f>
        <v>38</v>
      </c>
      <c r="AF336" s="1" t="n">
        <f aca="false">IF(AND($N336=1,AND(LEFT(对接源_01水果!$D336,4)="包装物料",N(对接源_01水果!$K336)&lt;&gt;0)),1,0)</f>
        <v>0</v>
      </c>
      <c r="AG336" s="90" t="str">
        <f aca="false">IF(对接源_01水果!$AC336="","",对接源_01水果!$AC336)</f>
        <v/>
      </c>
      <c r="AH336" s="1" t="n">
        <f aca="false">IF(AND($N336=1,AND(LEFT(对接源_01水果!$D336,3)="周转筐",N(对接源_01水果!$K336)&lt;&gt;0)),1,0)</f>
        <v>0</v>
      </c>
      <c r="AI336" s="90" t="n">
        <f aca="false">IF(AG336="",0,IF(MATCH(AG336,$AG$4:$AG$1203,0)=ROW()-3,1,0))</f>
        <v>0</v>
      </c>
      <c r="AJ336" s="90" t="n">
        <f aca="false">N(AJ335)+AI336</f>
        <v>4</v>
      </c>
      <c r="AK336" s="1" t="n">
        <f aca="false">N(AK335)+$AJ336</f>
        <v>204</v>
      </c>
    </row>
    <row r="337" customFormat="false" ht="13.5" hidden="false" customHeight="false" outlineLevel="0" collapsed="false">
      <c r="A337" s="1" t="str">
        <f aca="false">IF(对接源_01水果!$C337="","",对接源_01水果!$C337)</f>
        <v/>
      </c>
      <c r="B337" s="1" t="n">
        <f aca="false">IF(A337="",0,IF(MATCH(A337,$A$4:$A$2403,0)=ROW()-3,1,0))</f>
        <v>0</v>
      </c>
      <c r="C337" s="1" t="n">
        <f aca="false">N(C336)+B337</f>
        <v>13</v>
      </c>
      <c r="K337" s="1" t="n">
        <f aca="false">IF(OR($K$1="",对接源_01水果!$C337="",对接源_01水果!$C337&lt;&gt;$K$1,对接源_01水果!$B337=""),0,IF(OR(N(对接源_01水果!$B337)&lt;$K$2,N(对接源_01水果!$B337)&gt;$K$3),0,1))</f>
        <v>0</v>
      </c>
      <c r="L337" s="1" t="n">
        <f aca="false">IF(OR($L$1="",对接源_01水果!$C337="",对接源_01水果!$C337&lt;&gt;$L$1,对接源_01水果!$B337=""),0,IF(OR(N(对接源_01水果!$B337)&lt;$L$2,N(对接源_01水果!$B337)&gt;$L$3),0,1))</f>
        <v>0</v>
      </c>
      <c r="M337" s="1" t="n">
        <f aca="false">IF(OR($M$1="",对接源_01水果!$C337="",对接源_01水果!$C337&lt;&gt;$M$1,对接源_01水果!$B337=""),0,IF(OR(N(对接源_01水果!$B337)&lt;$M$2,N(对接源_01水果!$B337)&gt;$M$3),0,1))</f>
        <v>0</v>
      </c>
      <c r="N337" s="1" t="n">
        <f aca="false">IF(OR($N$1="",对接源_01水果!$C337="",对接源_01水果!$C337&lt;&gt;$N$1,对接源_01水果!$B337=""),0,IF(OR(N(对接源_01水果!$B337)&lt;$N$2,N(对接源_01水果!$B337)&gt;$N$3),0,1))</f>
        <v>0</v>
      </c>
      <c r="P337" s="1" t="n">
        <f aca="false">IF(AND($K337=1,AND(对接源_01水果!$X337="公司筐",N(对接源_01水果!$T337)&lt;&gt;0)),1,0)</f>
        <v>0</v>
      </c>
      <c r="Q337" s="1" t="n">
        <f aca="false">N(Q336)+$P337</f>
        <v>3</v>
      </c>
      <c r="R337" s="1" t="n">
        <f aca="false">IF(AND($K337=1,AND(对接源_01水果!$X337="公司筐",N(对接源_01水果!$U337)&lt;&gt;0)),1,0)</f>
        <v>0</v>
      </c>
      <c r="S337" s="1" t="n">
        <f aca="false">N(S336)+$R337</f>
        <v>0</v>
      </c>
      <c r="T337" s="1" t="n">
        <f aca="false">IF(AND($K337=1,AND(对接源_01水果!$X337="公司筐",N(对接源_01水果!$V337)&lt;&gt;0)),1,0)</f>
        <v>0</v>
      </c>
      <c r="U337" s="1" t="n">
        <f aca="false">N(U336)+$T337</f>
        <v>28</v>
      </c>
      <c r="V337" s="1" t="n">
        <f aca="false">IF(AND($L337=1,AND(对接源_01水果!$X337="自备筐",N(对接源_01水果!$V337)&lt;&gt;0)),1,0)</f>
        <v>0</v>
      </c>
      <c r="W337" s="1" t="n">
        <f aca="false">N(W336)+$V337</f>
        <v>7</v>
      </c>
      <c r="X337" s="1" t="n">
        <f aca="false">IF(AND($L337=1,AND(对接源_01水果!$X337="自备筐",N(对接源_01水果!$T337)&lt;&gt;0)),1,0)</f>
        <v>0</v>
      </c>
      <c r="Y337" s="1" t="n">
        <f aca="false">N(Y336)+$X337</f>
        <v>0</v>
      </c>
      <c r="Z337" s="1" t="n">
        <f aca="false">IF(AND($M337=1,对接源_01水果!$D337="原料入库"),1,0)</f>
        <v>0</v>
      </c>
      <c r="AA337" s="1" t="n">
        <f aca="false">N(AA336)+$Z337</f>
        <v>30</v>
      </c>
      <c r="AB337" s="1" t="n">
        <f aca="false">IF(AND($M337=1,LEFT(对接源_01水果!$D337,4)="原料出库"),1,0)</f>
        <v>0</v>
      </c>
      <c r="AC337" s="1" t="n">
        <f aca="false">N(AC336)+$AB337</f>
        <v>19</v>
      </c>
      <c r="AD337" s="1" t="n">
        <f aca="false">IF(AND($M337=1,LEFT(对接源_01水果!$D337,4)="成品出库"),1,0)</f>
        <v>0</v>
      </c>
      <c r="AE337" s="1" t="n">
        <f aca="false">N(AE336)+$AD337</f>
        <v>38</v>
      </c>
      <c r="AF337" s="1" t="n">
        <f aca="false">IF(AND($N337=1,AND(LEFT(对接源_01水果!$D337,4)="包装物料",N(对接源_01水果!$K337)&lt;&gt;0)),1,0)</f>
        <v>0</v>
      </c>
      <c r="AG337" s="90" t="str">
        <f aca="false">IF(对接源_01水果!$AC337="","",对接源_01水果!$AC337)</f>
        <v/>
      </c>
      <c r="AH337" s="1" t="n">
        <f aca="false">IF(AND($N337=1,AND(LEFT(对接源_01水果!$D337,3)="周转筐",N(对接源_01水果!$K337)&lt;&gt;0)),1,0)</f>
        <v>0</v>
      </c>
      <c r="AI337" s="90" t="n">
        <f aca="false">IF(AG337="",0,IF(MATCH(AG337,$AG$4:$AG$1203,0)=ROW()-3,1,0))</f>
        <v>0</v>
      </c>
      <c r="AJ337" s="90" t="n">
        <f aca="false">N(AJ336)+AI337</f>
        <v>4</v>
      </c>
      <c r="AK337" s="1" t="n">
        <f aca="false">N(AK336)+$AJ337</f>
        <v>208</v>
      </c>
    </row>
    <row r="338" customFormat="false" ht="13.5" hidden="false" customHeight="false" outlineLevel="0" collapsed="false">
      <c r="A338" s="1" t="str">
        <f aca="false">IF(对接源_01水果!$C338="","",对接源_01水果!$C338)</f>
        <v/>
      </c>
      <c r="B338" s="1" t="n">
        <f aca="false">IF(A338="",0,IF(MATCH(A338,$A$4:$A$2403,0)=ROW()-3,1,0))</f>
        <v>0</v>
      </c>
      <c r="C338" s="1" t="n">
        <f aca="false">N(C337)+B338</f>
        <v>13</v>
      </c>
      <c r="K338" s="1" t="n">
        <f aca="false">IF(OR($K$1="",对接源_01水果!$C338="",对接源_01水果!$C338&lt;&gt;$K$1,对接源_01水果!$B338=""),0,IF(OR(N(对接源_01水果!$B338)&lt;$K$2,N(对接源_01水果!$B338)&gt;$K$3),0,1))</f>
        <v>0</v>
      </c>
      <c r="L338" s="1" t="n">
        <f aca="false">IF(OR($L$1="",对接源_01水果!$C338="",对接源_01水果!$C338&lt;&gt;$L$1,对接源_01水果!$B338=""),0,IF(OR(N(对接源_01水果!$B338)&lt;$L$2,N(对接源_01水果!$B338)&gt;$L$3),0,1))</f>
        <v>0</v>
      </c>
      <c r="M338" s="1" t="n">
        <f aca="false">IF(OR($M$1="",对接源_01水果!$C338="",对接源_01水果!$C338&lt;&gt;$M$1,对接源_01水果!$B338=""),0,IF(OR(N(对接源_01水果!$B338)&lt;$M$2,N(对接源_01水果!$B338)&gt;$M$3),0,1))</f>
        <v>0</v>
      </c>
      <c r="N338" s="1" t="n">
        <f aca="false">IF(OR($N$1="",对接源_01水果!$C338="",对接源_01水果!$C338&lt;&gt;$N$1,对接源_01水果!$B338=""),0,IF(OR(N(对接源_01水果!$B338)&lt;$N$2,N(对接源_01水果!$B338)&gt;$N$3),0,1))</f>
        <v>0</v>
      </c>
      <c r="P338" s="1" t="n">
        <f aca="false">IF(AND($K338=1,AND(对接源_01水果!$X338="公司筐",N(对接源_01水果!$T338)&lt;&gt;0)),1,0)</f>
        <v>0</v>
      </c>
      <c r="Q338" s="1" t="n">
        <f aca="false">N(Q337)+$P338</f>
        <v>3</v>
      </c>
      <c r="R338" s="1" t="n">
        <f aca="false">IF(AND($K338=1,AND(对接源_01水果!$X338="公司筐",N(对接源_01水果!$U338)&lt;&gt;0)),1,0)</f>
        <v>0</v>
      </c>
      <c r="S338" s="1" t="n">
        <f aca="false">N(S337)+$R338</f>
        <v>0</v>
      </c>
      <c r="T338" s="1" t="n">
        <f aca="false">IF(AND($K338=1,AND(对接源_01水果!$X338="公司筐",N(对接源_01水果!$V338)&lt;&gt;0)),1,0)</f>
        <v>0</v>
      </c>
      <c r="U338" s="1" t="n">
        <f aca="false">N(U337)+$T338</f>
        <v>28</v>
      </c>
      <c r="V338" s="1" t="n">
        <f aca="false">IF(AND($L338=1,AND(对接源_01水果!$X338="自备筐",N(对接源_01水果!$V338)&lt;&gt;0)),1,0)</f>
        <v>0</v>
      </c>
      <c r="W338" s="1" t="n">
        <f aca="false">N(W337)+$V338</f>
        <v>7</v>
      </c>
      <c r="X338" s="1" t="n">
        <f aca="false">IF(AND($L338=1,AND(对接源_01水果!$X338="自备筐",N(对接源_01水果!$T338)&lt;&gt;0)),1,0)</f>
        <v>0</v>
      </c>
      <c r="Y338" s="1" t="n">
        <f aca="false">N(Y337)+$X338</f>
        <v>0</v>
      </c>
      <c r="Z338" s="1" t="n">
        <f aca="false">IF(AND($M338=1,对接源_01水果!$D338="原料入库"),1,0)</f>
        <v>0</v>
      </c>
      <c r="AA338" s="1" t="n">
        <f aca="false">N(AA337)+$Z338</f>
        <v>30</v>
      </c>
      <c r="AB338" s="1" t="n">
        <f aca="false">IF(AND($M338=1,LEFT(对接源_01水果!$D338,4)="原料出库"),1,0)</f>
        <v>0</v>
      </c>
      <c r="AC338" s="1" t="n">
        <f aca="false">N(AC337)+$AB338</f>
        <v>19</v>
      </c>
      <c r="AD338" s="1" t="n">
        <f aca="false">IF(AND($M338=1,LEFT(对接源_01水果!$D338,4)="成品出库"),1,0)</f>
        <v>0</v>
      </c>
      <c r="AE338" s="1" t="n">
        <f aca="false">N(AE337)+$AD338</f>
        <v>38</v>
      </c>
      <c r="AF338" s="1" t="n">
        <f aca="false">IF(AND($N338=1,AND(LEFT(对接源_01水果!$D338,4)="包装物料",N(对接源_01水果!$K338)&lt;&gt;0)),1,0)</f>
        <v>0</v>
      </c>
      <c r="AG338" s="90" t="str">
        <f aca="false">IF(对接源_01水果!$AC338="","",对接源_01水果!$AC338)</f>
        <v/>
      </c>
      <c r="AH338" s="1" t="n">
        <f aca="false">IF(AND($N338=1,AND(LEFT(对接源_01水果!$D338,3)="周转筐",N(对接源_01水果!$K338)&lt;&gt;0)),1,0)</f>
        <v>0</v>
      </c>
      <c r="AI338" s="90" t="n">
        <f aca="false">IF(AG338="",0,IF(MATCH(AG338,$AG$4:$AG$1203,0)=ROW()-3,1,0))</f>
        <v>0</v>
      </c>
      <c r="AJ338" s="90" t="n">
        <f aca="false">N(AJ337)+AI338</f>
        <v>4</v>
      </c>
      <c r="AK338" s="1" t="n">
        <f aca="false">N(AK337)+$AJ338</f>
        <v>212</v>
      </c>
    </row>
    <row r="339" customFormat="false" ht="13.5" hidden="false" customHeight="false" outlineLevel="0" collapsed="false">
      <c r="A339" s="1" t="str">
        <f aca="false">IF(对接源_01水果!$C339="","",对接源_01水果!$C339)</f>
        <v/>
      </c>
      <c r="B339" s="1" t="n">
        <f aca="false">IF(A339="",0,IF(MATCH(A339,$A$4:$A$2403,0)=ROW()-3,1,0))</f>
        <v>0</v>
      </c>
      <c r="C339" s="1" t="n">
        <f aca="false">N(C338)+B339</f>
        <v>13</v>
      </c>
      <c r="K339" s="1" t="n">
        <f aca="false">IF(OR($K$1="",对接源_01水果!$C339="",对接源_01水果!$C339&lt;&gt;$K$1,对接源_01水果!$B339=""),0,IF(OR(N(对接源_01水果!$B339)&lt;$K$2,N(对接源_01水果!$B339)&gt;$K$3),0,1))</f>
        <v>0</v>
      </c>
      <c r="L339" s="1" t="n">
        <f aca="false">IF(OR($L$1="",对接源_01水果!$C339="",对接源_01水果!$C339&lt;&gt;$L$1,对接源_01水果!$B339=""),0,IF(OR(N(对接源_01水果!$B339)&lt;$L$2,N(对接源_01水果!$B339)&gt;$L$3),0,1))</f>
        <v>0</v>
      </c>
      <c r="M339" s="1" t="n">
        <f aca="false">IF(OR($M$1="",对接源_01水果!$C339="",对接源_01水果!$C339&lt;&gt;$M$1,对接源_01水果!$B339=""),0,IF(OR(N(对接源_01水果!$B339)&lt;$M$2,N(对接源_01水果!$B339)&gt;$M$3),0,1))</f>
        <v>0</v>
      </c>
      <c r="N339" s="1" t="n">
        <f aca="false">IF(OR($N$1="",对接源_01水果!$C339="",对接源_01水果!$C339&lt;&gt;$N$1,对接源_01水果!$B339=""),0,IF(OR(N(对接源_01水果!$B339)&lt;$N$2,N(对接源_01水果!$B339)&gt;$N$3),0,1))</f>
        <v>0</v>
      </c>
      <c r="P339" s="1" t="n">
        <f aca="false">IF(AND($K339=1,AND(对接源_01水果!$X339="公司筐",N(对接源_01水果!$T339)&lt;&gt;0)),1,0)</f>
        <v>0</v>
      </c>
      <c r="Q339" s="1" t="n">
        <f aca="false">N(Q338)+$P339</f>
        <v>3</v>
      </c>
      <c r="R339" s="1" t="n">
        <f aca="false">IF(AND($K339=1,AND(对接源_01水果!$X339="公司筐",N(对接源_01水果!$U339)&lt;&gt;0)),1,0)</f>
        <v>0</v>
      </c>
      <c r="S339" s="1" t="n">
        <f aca="false">N(S338)+$R339</f>
        <v>0</v>
      </c>
      <c r="T339" s="1" t="n">
        <f aca="false">IF(AND($K339=1,AND(对接源_01水果!$X339="公司筐",N(对接源_01水果!$V339)&lt;&gt;0)),1,0)</f>
        <v>0</v>
      </c>
      <c r="U339" s="1" t="n">
        <f aca="false">N(U338)+$T339</f>
        <v>28</v>
      </c>
      <c r="V339" s="1" t="n">
        <f aca="false">IF(AND($L339=1,AND(对接源_01水果!$X339="自备筐",N(对接源_01水果!$V339)&lt;&gt;0)),1,0)</f>
        <v>0</v>
      </c>
      <c r="W339" s="1" t="n">
        <f aca="false">N(W338)+$V339</f>
        <v>7</v>
      </c>
      <c r="X339" s="1" t="n">
        <f aca="false">IF(AND($L339=1,AND(对接源_01水果!$X339="自备筐",N(对接源_01水果!$T339)&lt;&gt;0)),1,0)</f>
        <v>0</v>
      </c>
      <c r="Y339" s="1" t="n">
        <f aca="false">N(Y338)+$X339</f>
        <v>0</v>
      </c>
      <c r="Z339" s="1" t="n">
        <f aca="false">IF(AND($M339=1,对接源_01水果!$D339="原料入库"),1,0)</f>
        <v>0</v>
      </c>
      <c r="AA339" s="1" t="n">
        <f aca="false">N(AA338)+$Z339</f>
        <v>30</v>
      </c>
      <c r="AB339" s="1" t="n">
        <f aca="false">IF(AND($M339=1,LEFT(对接源_01水果!$D339,4)="原料出库"),1,0)</f>
        <v>0</v>
      </c>
      <c r="AC339" s="1" t="n">
        <f aca="false">N(AC338)+$AB339</f>
        <v>19</v>
      </c>
      <c r="AD339" s="1" t="n">
        <f aca="false">IF(AND($M339=1,LEFT(对接源_01水果!$D339,4)="成品出库"),1,0)</f>
        <v>0</v>
      </c>
      <c r="AE339" s="1" t="n">
        <f aca="false">N(AE338)+$AD339</f>
        <v>38</v>
      </c>
      <c r="AF339" s="1" t="n">
        <f aca="false">IF(AND($N339=1,AND(LEFT(对接源_01水果!$D339,4)="包装物料",N(对接源_01水果!$K339)&lt;&gt;0)),1,0)</f>
        <v>0</v>
      </c>
      <c r="AG339" s="90" t="str">
        <f aca="false">IF(对接源_01水果!$AC339="","",对接源_01水果!$AC339)</f>
        <v/>
      </c>
      <c r="AH339" s="1" t="n">
        <f aca="false">IF(AND($N339=1,AND(LEFT(对接源_01水果!$D339,3)="周转筐",N(对接源_01水果!$K339)&lt;&gt;0)),1,0)</f>
        <v>0</v>
      </c>
      <c r="AI339" s="90" t="n">
        <f aca="false">IF(AG339="",0,IF(MATCH(AG339,$AG$4:$AG$1203,0)=ROW()-3,1,0))</f>
        <v>0</v>
      </c>
      <c r="AJ339" s="90" t="n">
        <f aca="false">N(AJ338)+AI339</f>
        <v>4</v>
      </c>
      <c r="AK339" s="1" t="n">
        <f aca="false">N(AK338)+$AJ339</f>
        <v>216</v>
      </c>
    </row>
    <row r="340" customFormat="false" ht="13.5" hidden="false" customHeight="false" outlineLevel="0" collapsed="false">
      <c r="A340" s="1" t="str">
        <f aca="false">IF(对接源_01水果!$C340="","",对接源_01水果!$C340)</f>
        <v/>
      </c>
      <c r="B340" s="1" t="n">
        <f aca="false">IF(A340="",0,IF(MATCH(A340,$A$4:$A$2403,0)=ROW()-3,1,0))</f>
        <v>0</v>
      </c>
      <c r="C340" s="1" t="n">
        <f aca="false">N(C339)+B340</f>
        <v>13</v>
      </c>
      <c r="K340" s="1" t="n">
        <f aca="false">IF(OR($K$1="",对接源_01水果!$C340="",对接源_01水果!$C340&lt;&gt;$K$1,对接源_01水果!$B340=""),0,IF(OR(N(对接源_01水果!$B340)&lt;$K$2,N(对接源_01水果!$B340)&gt;$K$3),0,1))</f>
        <v>0</v>
      </c>
      <c r="L340" s="1" t="n">
        <f aca="false">IF(OR($L$1="",对接源_01水果!$C340="",对接源_01水果!$C340&lt;&gt;$L$1,对接源_01水果!$B340=""),0,IF(OR(N(对接源_01水果!$B340)&lt;$L$2,N(对接源_01水果!$B340)&gt;$L$3),0,1))</f>
        <v>0</v>
      </c>
      <c r="M340" s="1" t="n">
        <f aca="false">IF(OR($M$1="",对接源_01水果!$C340="",对接源_01水果!$C340&lt;&gt;$M$1,对接源_01水果!$B340=""),0,IF(OR(N(对接源_01水果!$B340)&lt;$M$2,N(对接源_01水果!$B340)&gt;$M$3),0,1))</f>
        <v>0</v>
      </c>
      <c r="N340" s="1" t="n">
        <f aca="false">IF(OR($N$1="",对接源_01水果!$C340="",对接源_01水果!$C340&lt;&gt;$N$1,对接源_01水果!$B340=""),0,IF(OR(N(对接源_01水果!$B340)&lt;$N$2,N(对接源_01水果!$B340)&gt;$N$3),0,1))</f>
        <v>0</v>
      </c>
      <c r="P340" s="1" t="n">
        <f aca="false">IF(AND($K340=1,AND(对接源_01水果!$X340="公司筐",N(对接源_01水果!$T340)&lt;&gt;0)),1,0)</f>
        <v>0</v>
      </c>
      <c r="Q340" s="1" t="n">
        <f aca="false">N(Q339)+$P340</f>
        <v>3</v>
      </c>
      <c r="R340" s="1" t="n">
        <f aca="false">IF(AND($K340=1,AND(对接源_01水果!$X340="公司筐",N(对接源_01水果!$U340)&lt;&gt;0)),1,0)</f>
        <v>0</v>
      </c>
      <c r="S340" s="1" t="n">
        <f aca="false">N(S339)+$R340</f>
        <v>0</v>
      </c>
      <c r="T340" s="1" t="n">
        <f aca="false">IF(AND($K340=1,AND(对接源_01水果!$X340="公司筐",N(对接源_01水果!$V340)&lt;&gt;0)),1,0)</f>
        <v>0</v>
      </c>
      <c r="U340" s="1" t="n">
        <f aca="false">N(U339)+$T340</f>
        <v>28</v>
      </c>
      <c r="V340" s="1" t="n">
        <f aca="false">IF(AND($L340=1,AND(对接源_01水果!$X340="自备筐",N(对接源_01水果!$V340)&lt;&gt;0)),1,0)</f>
        <v>0</v>
      </c>
      <c r="W340" s="1" t="n">
        <f aca="false">N(W339)+$V340</f>
        <v>7</v>
      </c>
      <c r="X340" s="1" t="n">
        <f aca="false">IF(AND($L340=1,AND(对接源_01水果!$X340="自备筐",N(对接源_01水果!$T340)&lt;&gt;0)),1,0)</f>
        <v>0</v>
      </c>
      <c r="Y340" s="1" t="n">
        <f aca="false">N(Y339)+$X340</f>
        <v>0</v>
      </c>
      <c r="Z340" s="1" t="n">
        <f aca="false">IF(AND($M340=1,对接源_01水果!$D340="原料入库"),1,0)</f>
        <v>0</v>
      </c>
      <c r="AA340" s="1" t="n">
        <f aca="false">N(AA339)+$Z340</f>
        <v>30</v>
      </c>
      <c r="AB340" s="1" t="n">
        <f aca="false">IF(AND($M340=1,LEFT(对接源_01水果!$D340,4)="原料出库"),1,0)</f>
        <v>0</v>
      </c>
      <c r="AC340" s="1" t="n">
        <f aca="false">N(AC339)+$AB340</f>
        <v>19</v>
      </c>
      <c r="AD340" s="1" t="n">
        <f aca="false">IF(AND($M340=1,LEFT(对接源_01水果!$D340,4)="成品出库"),1,0)</f>
        <v>0</v>
      </c>
      <c r="AE340" s="1" t="n">
        <f aca="false">N(AE339)+$AD340</f>
        <v>38</v>
      </c>
      <c r="AF340" s="1" t="n">
        <f aca="false">IF(AND($N340=1,AND(LEFT(对接源_01水果!$D340,4)="包装物料",N(对接源_01水果!$K340)&lt;&gt;0)),1,0)</f>
        <v>0</v>
      </c>
      <c r="AG340" s="90" t="str">
        <f aca="false">IF(对接源_01水果!$AC340="","",对接源_01水果!$AC340)</f>
        <v/>
      </c>
      <c r="AH340" s="1" t="n">
        <f aca="false">IF(AND($N340=1,AND(LEFT(对接源_01水果!$D340,3)="周转筐",N(对接源_01水果!$K340)&lt;&gt;0)),1,0)</f>
        <v>0</v>
      </c>
      <c r="AI340" s="90" t="n">
        <f aca="false">IF(AG340="",0,IF(MATCH(AG340,$AG$4:$AG$1203,0)=ROW()-3,1,0))</f>
        <v>0</v>
      </c>
      <c r="AJ340" s="90" t="n">
        <f aca="false">N(AJ339)+AI340</f>
        <v>4</v>
      </c>
      <c r="AK340" s="1" t="n">
        <f aca="false">N(AK339)+$AJ340</f>
        <v>220</v>
      </c>
    </row>
    <row r="341" customFormat="false" ht="13.5" hidden="false" customHeight="false" outlineLevel="0" collapsed="false">
      <c r="A341" s="1" t="str">
        <f aca="false">IF(对接源_01水果!$C341="","",对接源_01水果!$C341)</f>
        <v/>
      </c>
      <c r="B341" s="1" t="n">
        <f aca="false">IF(A341="",0,IF(MATCH(A341,$A$4:$A$2403,0)=ROW()-3,1,0))</f>
        <v>0</v>
      </c>
      <c r="C341" s="1" t="n">
        <f aca="false">N(C340)+B341</f>
        <v>13</v>
      </c>
      <c r="K341" s="1" t="n">
        <f aca="false">IF(OR($K$1="",对接源_01水果!$C341="",对接源_01水果!$C341&lt;&gt;$K$1,对接源_01水果!$B341=""),0,IF(OR(N(对接源_01水果!$B341)&lt;$K$2,N(对接源_01水果!$B341)&gt;$K$3),0,1))</f>
        <v>0</v>
      </c>
      <c r="L341" s="1" t="n">
        <f aca="false">IF(OR($L$1="",对接源_01水果!$C341="",对接源_01水果!$C341&lt;&gt;$L$1,对接源_01水果!$B341=""),0,IF(OR(N(对接源_01水果!$B341)&lt;$L$2,N(对接源_01水果!$B341)&gt;$L$3),0,1))</f>
        <v>0</v>
      </c>
      <c r="M341" s="1" t="n">
        <f aca="false">IF(OR($M$1="",对接源_01水果!$C341="",对接源_01水果!$C341&lt;&gt;$M$1,对接源_01水果!$B341=""),0,IF(OR(N(对接源_01水果!$B341)&lt;$M$2,N(对接源_01水果!$B341)&gt;$M$3),0,1))</f>
        <v>0</v>
      </c>
      <c r="N341" s="1" t="n">
        <f aca="false">IF(OR($N$1="",对接源_01水果!$C341="",对接源_01水果!$C341&lt;&gt;$N$1,对接源_01水果!$B341=""),0,IF(OR(N(对接源_01水果!$B341)&lt;$N$2,N(对接源_01水果!$B341)&gt;$N$3),0,1))</f>
        <v>0</v>
      </c>
      <c r="P341" s="1" t="n">
        <f aca="false">IF(AND($K341=1,AND(对接源_01水果!$X341="公司筐",N(对接源_01水果!$T341)&lt;&gt;0)),1,0)</f>
        <v>0</v>
      </c>
      <c r="Q341" s="1" t="n">
        <f aca="false">N(Q340)+$P341</f>
        <v>3</v>
      </c>
      <c r="R341" s="1" t="n">
        <f aca="false">IF(AND($K341=1,AND(对接源_01水果!$X341="公司筐",N(对接源_01水果!$U341)&lt;&gt;0)),1,0)</f>
        <v>0</v>
      </c>
      <c r="S341" s="1" t="n">
        <f aca="false">N(S340)+$R341</f>
        <v>0</v>
      </c>
      <c r="T341" s="1" t="n">
        <f aca="false">IF(AND($K341=1,AND(对接源_01水果!$X341="公司筐",N(对接源_01水果!$V341)&lt;&gt;0)),1,0)</f>
        <v>0</v>
      </c>
      <c r="U341" s="1" t="n">
        <f aca="false">N(U340)+$T341</f>
        <v>28</v>
      </c>
      <c r="V341" s="1" t="n">
        <f aca="false">IF(AND($L341=1,AND(对接源_01水果!$X341="自备筐",N(对接源_01水果!$V341)&lt;&gt;0)),1,0)</f>
        <v>0</v>
      </c>
      <c r="W341" s="1" t="n">
        <f aca="false">N(W340)+$V341</f>
        <v>7</v>
      </c>
      <c r="X341" s="1" t="n">
        <f aca="false">IF(AND($L341=1,AND(对接源_01水果!$X341="自备筐",N(对接源_01水果!$T341)&lt;&gt;0)),1,0)</f>
        <v>0</v>
      </c>
      <c r="Y341" s="1" t="n">
        <f aca="false">N(Y340)+$X341</f>
        <v>0</v>
      </c>
      <c r="Z341" s="1" t="n">
        <f aca="false">IF(AND($M341=1,对接源_01水果!$D341="原料入库"),1,0)</f>
        <v>0</v>
      </c>
      <c r="AA341" s="1" t="n">
        <f aca="false">N(AA340)+$Z341</f>
        <v>30</v>
      </c>
      <c r="AB341" s="1" t="n">
        <f aca="false">IF(AND($M341=1,LEFT(对接源_01水果!$D341,4)="原料出库"),1,0)</f>
        <v>0</v>
      </c>
      <c r="AC341" s="1" t="n">
        <f aca="false">N(AC340)+$AB341</f>
        <v>19</v>
      </c>
      <c r="AD341" s="1" t="n">
        <f aca="false">IF(AND($M341=1,LEFT(对接源_01水果!$D341,4)="成品出库"),1,0)</f>
        <v>0</v>
      </c>
      <c r="AE341" s="1" t="n">
        <f aca="false">N(AE340)+$AD341</f>
        <v>38</v>
      </c>
      <c r="AF341" s="1" t="n">
        <f aca="false">IF(AND($N341=1,AND(LEFT(对接源_01水果!$D341,4)="包装物料",N(对接源_01水果!$K341)&lt;&gt;0)),1,0)</f>
        <v>0</v>
      </c>
      <c r="AG341" s="90" t="str">
        <f aca="false">IF(对接源_01水果!$AC341="","",对接源_01水果!$AC341)</f>
        <v/>
      </c>
      <c r="AH341" s="1" t="n">
        <f aca="false">IF(AND($N341=1,AND(LEFT(对接源_01水果!$D341,3)="周转筐",N(对接源_01水果!$K341)&lt;&gt;0)),1,0)</f>
        <v>0</v>
      </c>
      <c r="AI341" s="90" t="n">
        <f aca="false">IF(AG341="",0,IF(MATCH(AG341,$AG$4:$AG$1203,0)=ROW()-3,1,0))</f>
        <v>0</v>
      </c>
      <c r="AJ341" s="90" t="n">
        <f aca="false">N(AJ340)+AI341</f>
        <v>4</v>
      </c>
      <c r="AK341" s="1" t="n">
        <f aca="false">N(AK340)+$AJ341</f>
        <v>224</v>
      </c>
    </row>
    <row r="342" customFormat="false" ht="13.5" hidden="false" customHeight="false" outlineLevel="0" collapsed="false">
      <c r="A342" s="1" t="str">
        <f aca="false">IF(对接源_01水果!$C342="","",对接源_01水果!$C342)</f>
        <v/>
      </c>
      <c r="B342" s="1" t="n">
        <f aca="false">IF(A342="",0,IF(MATCH(A342,$A$4:$A$2403,0)=ROW()-3,1,0))</f>
        <v>0</v>
      </c>
      <c r="C342" s="1" t="n">
        <f aca="false">N(C341)+B342</f>
        <v>13</v>
      </c>
      <c r="K342" s="1" t="n">
        <f aca="false">IF(OR($K$1="",对接源_01水果!$C342="",对接源_01水果!$C342&lt;&gt;$K$1,对接源_01水果!$B342=""),0,IF(OR(N(对接源_01水果!$B342)&lt;$K$2,N(对接源_01水果!$B342)&gt;$K$3),0,1))</f>
        <v>0</v>
      </c>
      <c r="L342" s="1" t="n">
        <f aca="false">IF(OR($L$1="",对接源_01水果!$C342="",对接源_01水果!$C342&lt;&gt;$L$1,对接源_01水果!$B342=""),0,IF(OR(N(对接源_01水果!$B342)&lt;$L$2,N(对接源_01水果!$B342)&gt;$L$3),0,1))</f>
        <v>0</v>
      </c>
      <c r="M342" s="1" t="n">
        <f aca="false">IF(OR($M$1="",对接源_01水果!$C342="",对接源_01水果!$C342&lt;&gt;$M$1,对接源_01水果!$B342=""),0,IF(OR(N(对接源_01水果!$B342)&lt;$M$2,N(对接源_01水果!$B342)&gt;$M$3),0,1))</f>
        <v>0</v>
      </c>
      <c r="N342" s="1" t="n">
        <f aca="false">IF(OR($N$1="",对接源_01水果!$C342="",对接源_01水果!$C342&lt;&gt;$N$1,对接源_01水果!$B342=""),0,IF(OR(N(对接源_01水果!$B342)&lt;$N$2,N(对接源_01水果!$B342)&gt;$N$3),0,1))</f>
        <v>0</v>
      </c>
      <c r="P342" s="1" t="n">
        <f aca="false">IF(AND($K342=1,AND(对接源_01水果!$X342="公司筐",N(对接源_01水果!$T342)&lt;&gt;0)),1,0)</f>
        <v>0</v>
      </c>
      <c r="Q342" s="1" t="n">
        <f aca="false">N(Q341)+$P342</f>
        <v>3</v>
      </c>
      <c r="R342" s="1" t="n">
        <f aca="false">IF(AND($K342=1,AND(对接源_01水果!$X342="公司筐",N(对接源_01水果!$U342)&lt;&gt;0)),1,0)</f>
        <v>0</v>
      </c>
      <c r="S342" s="1" t="n">
        <f aca="false">N(S341)+$R342</f>
        <v>0</v>
      </c>
      <c r="T342" s="1" t="n">
        <f aca="false">IF(AND($K342=1,AND(对接源_01水果!$X342="公司筐",N(对接源_01水果!$V342)&lt;&gt;0)),1,0)</f>
        <v>0</v>
      </c>
      <c r="U342" s="1" t="n">
        <f aca="false">N(U341)+$T342</f>
        <v>28</v>
      </c>
      <c r="V342" s="1" t="n">
        <f aca="false">IF(AND($L342=1,AND(对接源_01水果!$X342="自备筐",N(对接源_01水果!$V342)&lt;&gt;0)),1,0)</f>
        <v>0</v>
      </c>
      <c r="W342" s="1" t="n">
        <f aca="false">N(W341)+$V342</f>
        <v>7</v>
      </c>
      <c r="X342" s="1" t="n">
        <f aca="false">IF(AND($L342=1,AND(对接源_01水果!$X342="自备筐",N(对接源_01水果!$T342)&lt;&gt;0)),1,0)</f>
        <v>0</v>
      </c>
      <c r="Y342" s="1" t="n">
        <f aca="false">N(Y341)+$X342</f>
        <v>0</v>
      </c>
      <c r="Z342" s="1" t="n">
        <f aca="false">IF(AND($M342=1,对接源_01水果!$D342="原料入库"),1,0)</f>
        <v>0</v>
      </c>
      <c r="AA342" s="1" t="n">
        <f aca="false">N(AA341)+$Z342</f>
        <v>30</v>
      </c>
      <c r="AB342" s="1" t="n">
        <f aca="false">IF(AND($M342=1,LEFT(对接源_01水果!$D342,4)="原料出库"),1,0)</f>
        <v>0</v>
      </c>
      <c r="AC342" s="1" t="n">
        <f aca="false">N(AC341)+$AB342</f>
        <v>19</v>
      </c>
      <c r="AD342" s="1" t="n">
        <f aca="false">IF(AND($M342=1,LEFT(对接源_01水果!$D342,4)="成品出库"),1,0)</f>
        <v>0</v>
      </c>
      <c r="AE342" s="1" t="n">
        <f aca="false">N(AE341)+$AD342</f>
        <v>38</v>
      </c>
      <c r="AF342" s="1" t="n">
        <f aca="false">IF(AND($N342=1,AND(LEFT(对接源_01水果!$D342,4)="包装物料",N(对接源_01水果!$K342)&lt;&gt;0)),1,0)</f>
        <v>0</v>
      </c>
      <c r="AG342" s="90" t="str">
        <f aca="false">IF(对接源_01水果!$AC342="","",对接源_01水果!$AC342)</f>
        <v/>
      </c>
      <c r="AH342" s="1" t="n">
        <f aca="false">IF(AND($N342=1,AND(LEFT(对接源_01水果!$D342,3)="周转筐",N(对接源_01水果!$K342)&lt;&gt;0)),1,0)</f>
        <v>0</v>
      </c>
      <c r="AI342" s="90" t="n">
        <f aca="false">IF(AG342="",0,IF(MATCH(AG342,$AG$4:$AG$1203,0)=ROW()-3,1,0))</f>
        <v>0</v>
      </c>
      <c r="AJ342" s="90" t="n">
        <f aca="false">N(AJ341)+AI342</f>
        <v>4</v>
      </c>
      <c r="AK342" s="1" t="n">
        <f aca="false">N(AK341)+$AJ342</f>
        <v>228</v>
      </c>
    </row>
    <row r="343" customFormat="false" ht="13.5" hidden="false" customHeight="false" outlineLevel="0" collapsed="false">
      <c r="A343" s="1" t="str">
        <f aca="false">IF(对接源_01水果!$C343="","",对接源_01水果!$C343)</f>
        <v/>
      </c>
      <c r="B343" s="1" t="n">
        <f aca="false">IF(A343="",0,IF(MATCH(A343,$A$4:$A$2403,0)=ROW()-3,1,0))</f>
        <v>0</v>
      </c>
      <c r="C343" s="1" t="n">
        <f aca="false">N(C342)+B343</f>
        <v>13</v>
      </c>
      <c r="K343" s="1" t="n">
        <f aca="false">IF(OR($K$1="",对接源_01水果!$C343="",对接源_01水果!$C343&lt;&gt;$K$1,对接源_01水果!$B343=""),0,IF(OR(N(对接源_01水果!$B343)&lt;$K$2,N(对接源_01水果!$B343)&gt;$K$3),0,1))</f>
        <v>0</v>
      </c>
      <c r="L343" s="1" t="n">
        <f aca="false">IF(OR($L$1="",对接源_01水果!$C343="",对接源_01水果!$C343&lt;&gt;$L$1,对接源_01水果!$B343=""),0,IF(OR(N(对接源_01水果!$B343)&lt;$L$2,N(对接源_01水果!$B343)&gt;$L$3),0,1))</f>
        <v>0</v>
      </c>
      <c r="M343" s="1" t="n">
        <f aca="false">IF(OR($M$1="",对接源_01水果!$C343="",对接源_01水果!$C343&lt;&gt;$M$1,对接源_01水果!$B343=""),0,IF(OR(N(对接源_01水果!$B343)&lt;$M$2,N(对接源_01水果!$B343)&gt;$M$3),0,1))</f>
        <v>0</v>
      </c>
      <c r="N343" s="1" t="n">
        <f aca="false">IF(OR($N$1="",对接源_01水果!$C343="",对接源_01水果!$C343&lt;&gt;$N$1,对接源_01水果!$B343=""),0,IF(OR(N(对接源_01水果!$B343)&lt;$N$2,N(对接源_01水果!$B343)&gt;$N$3),0,1))</f>
        <v>0</v>
      </c>
      <c r="P343" s="1" t="n">
        <f aca="false">IF(AND($K343=1,AND(对接源_01水果!$X343="公司筐",N(对接源_01水果!$T343)&lt;&gt;0)),1,0)</f>
        <v>0</v>
      </c>
      <c r="Q343" s="1" t="n">
        <f aca="false">N(Q342)+$P343</f>
        <v>3</v>
      </c>
      <c r="R343" s="1" t="n">
        <f aca="false">IF(AND($K343=1,AND(对接源_01水果!$X343="公司筐",N(对接源_01水果!$U343)&lt;&gt;0)),1,0)</f>
        <v>0</v>
      </c>
      <c r="S343" s="1" t="n">
        <f aca="false">N(S342)+$R343</f>
        <v>0</v>
      </c>
      <c r="T343" s="1" t="n">
        <f aca="false">IF(AND($K343=1,AND(对接源_01水果!$X343="公司筐",N(对接源_01水果!$V343)&lt;&gt;0)),1,0)</f>
        <v>0</v>
      </c>
      <c r="U343" s="1" t="n">
        <f aca="false">N(U342)+$T343</f>
        <v>28</v>
      </c>
      <c r="V343" s="1" t="n">
        <f aca="false">IF(AND($L343=1,AND(对接源_01水果!$X343="自备筐",N(对接源_01水果!$V343)&lt;&gt;0)),1,0)</f>
        <v>0</v>
      </c>
      <c r="W343" s="1" t="n">
        <f aca="false">N(W342)+$V343</f>
        <v>7</v>
      </c>
      <c r="X343" s="1" t="n">
        <f aca="false">IF(AND($L343=1,AND(对接源_01水果!$X343="自备筐",N(对接源_01水果!$T343)&lt;&gt;0)),1,0)</f>
        <v>0</v>
      </c>
      <c r="Y343" s="1" t="n">
        <f aca="false">N(Y342)+$X343</f>
        <v>0</v>
      </c>
      <c r="Z343" s="1" t="n">
        <f aca="false">IF(AND($M343=1,对接源_01水果!$D343="原料入库"),1,0)</f>
        <v>0</v>
      </c>
      <c r="AA343" s="1" t="n">
        <f aca="false">N(AA342)+$Z343</f>
        <v>30</v>
      </c>
      <c r="AB343" s="1" t="n">
        <f aca="false">IF(AND($M343=1,LEFT(对接源_01水果!$D343,4)="原料出库"),1,0)</f>
        <v>0</v>
      </c>
      <c r="AC343" s="1" t="n">
        <f aca="false">N(AC342)+$AB343</f>
        <v>19</v>
      </c>
      <c r="AD343" s="1" t="n">
        <f aca="false">IF(AND($M343=1,LEFT(对接源_01水果!$D343,4)="成品出库"),1,0)</f>
        <v>0</v>
      </c>
      <c r="AE343" s="1" t="n">
        <f aca="false">N(AE342)+$AD343</f>
        <v>38</v>
      </c>
      <c r="AF343" s="1" t="n">
        <f aca="false">IF(AND($N343=1,AND(LEFT(对接源_01水果!$D343,4)="包装物料",N(对接源_01水果!$K343)&lt;&gt;0)),1,0)</f>
        <v>0</v>
      </c>
      <c r="AG343" s="90" t="str">
        <f aca="false">IF(对接源_01水果!$AC343="","",对接源_01水果!$AC343)</f>
        <v/>
      </c>
      <c r="AH343" s="1" t="n">
        <f aca="false">IF(AND($N343=1,AND(LEFT(对接源_01水果!$D343,3)="周转筐",N(对接源_01水果!$K343)&lt;&gt;0)),1,0)</f>
        <v>0</v>
      </c>
      <c r="AI343" s="90" t="n">
        <f aca="false">IF(AG343="",0,IF(MATCH(AG343,$AG$4:$AG$1203,0)=ROW()-3,1,0))</f>
        <v>0</v>
      </c>
      <c r="AJ343" s="90" t="n">
        <f aca="false">N(AJ342)+AI343</f>
        <v>4</v>
      </c>
      <c r="AK343" s="1" t="n">
        <f aca="false">N(AK342)+$AJ343</f>
        <v>232</v>
      </c>
    </row>
    <row r="344" customFormat="false" ht="13.5" hidden="false" customHeight="false" outlineLevel="0" collapsed="false">
      <c r="A344" s="1" t="str">
        <f aca="false">IF(对接源_01水果!$C344="","",对接源_01水果!$C344)</f>
        <v/>
      </c>
      <c r="B344" s="1" t="n">
        <f aca="false">IF(A344="",0,IF(MATCH(A344,$A$4:$A$2403,0)=ROW()-3,1,0))</f>
        <v>0</v>
      </c>
      <c r="C344" s="1" t="n">
        <f aca="false">N(C343)+B344</f>
        <v>13</v>
      </c>
      <c r="K344" s="1" t="n">
        <f aca="false">IF(OR($K$1="",对接源_01水果!$C344="",对接源_01水果!$C344&lt;&gt;$K$1,对接源_01水果!$B344=""),0,IF(OR(N(对接源_01水果!$B344)&lt;$K$2,N(对接源_01水果!$B344)&gt;$K$3),0,1))</f>
        <v>0</v>
      </c>
      <c r="L344" s="1" t="n">
        <f aca="false">IF(OR($L$1="",对接源_01水果!$C344="",对接源_01水果!$C344&lt;&gt;$L$1,对接源_01水果!$B344=""),0,IF(OR(N(对接源_01水果!$B344)&lt;$L$2,N(对接源_01水果!$B344)&gt;$L$3),0,1))</f>
        <v>0</v>
      </c>
      <c r="M344" s="1" t="n">
        <f aca="false">IF(OR($M$1="",对接源_01水果!$C344="",对接源_01水果!$C344&lt;&gt;$M$1,对接源_01水果!$B344=""),0,IF(OR(N(对接源_01水果!$B344)&lt;$M$2,N(对接源_01水果!$B344)&gt;$M$3),0,1))</f>
        <v>0</v>
      </c>
      <c r="N344" s="1" t="n">
        <f aca="false">IF(OR($N$1="",对接源_01水果!$C344="",对接源_01水果!$C344&lt;&gt;$N$1,对接源_01水果!$B344=""),0,IF(OR(N(对接源_01水果!$B344)&lt;$N$2,N(对接源_01水果!$B344)&gt;$N$3),0,1))</f>
        <v>0</v>
      </c>
      <c r="P344" s="1" t="n">
        <f aca="false">IF(AND($K344=1,AND(对接源_01水果!$X344="公司筐",N(对接源_01水果!$T344)&lt;&gt;0)),1,0)</f>
        <v>0</v>
      </c>
      <c r="Q344" s="1" t="n">
        <f aca="false">N(Q343)+$P344</f>
        <v>3</v>
      </c>
      <c r="R344" s="1" t="n">
        <f aca="false">IF(AND($K344=1,AND(对接源_01水果!$X344="公司筐",N(对接源_01水果!$U344)&lt;&gt;0)),1,0)</f>
        <v>0</v>
      </c>
      <c r="S344" s="1" t="n">
        <f aca="false">N(S343)+$R344</f>
        <v>0</v>
      </c>
      <c r="T344" s="1" t="n">
        <f aca="false">IF(AND($K344=1,AND(对接源_01水果!$X344="公司筐",N(对接源_01水果!$V344)&lt;&gt;0)),1,0)</f>
        <v>0</v>
      </c>
      <c r="U344" s="1" t="n">
        <f aca="false">N(U343)+$T344</f>
        <v>28</v>
      </c>
      <c r="V344" s="1" t="n">
        <f aca="false">IF(AND($L344=1,AND(对接源_01水果!$X344="自备筐",N(对接源_01水果!$V344)&lt;&gt;0)),1,0)</f>
        <v>0</v>
      </c>
      <c r="W344" s="1" t="n">
        <f aca="false">N(W343)+$V344</f>
        <v>7</v>
      </c>
      <c r="X344" s="1" t="n">
        <f aca="false">IF(AND($L344=1,AND(对接源_01水果!$X344="自备筐",N(对接源_01水果!$T344)&lt;&gt;0)),1,0)</f>
        <v>0</v>
      </c>
      <c r="Y344" s="1" t="n">
        <f aca="false">N(Y343)+$X344</f>
        <v>0</v>
      </c>
      <c r="Z344" s="1" t="n">
        <f aca="false">IF(AND($M344=1,对接源_01水果!$D344="原料入库"),1,0)</f>
        <v>0</v>
      </c>
      <c r="AA344" s="1" t="n">
        <f aca="false">N(AA343)+$Z344</f>
        <v>30</v>
      </c>
      <c r="AB344" s="1" t="n">
        <f aca="false">IF(AND($M344=1,LEFT(对接源_01水果!$D344,4)="原料出库"),1,0)</f>
        <v>0</v>
      </c>
      <c r="AC344" s="1" t="n">
        <f aca="false">N(AC343)+$AB344</f>
        <v>19</v>
      </c>
      <c r="AD344" s="1" t="n">
        <f aca="false">IF(AND($M344=1,LEFT(对接源_01水果!$D344,4)="成品出库"),1,0)</f>
        <v>0</v>
      </c>
      <c r="AE344" s="1" t="n">
        <f aca="false">N(AE343)+$AD344</f>
        <v>38</v>
      </c>
      <c r="AF344" s="1" t="n">
        <f aca="false">IF(AND($N344=1,AND(LEFT(对接源_01水果!$D344,4)="包装物料",N(对接源_01水果!$K344)&lt;&gt;0)),1,0)</f>
        <v>0</v>
      </c>
      <c r="AG344" s="90" t="str">
        <f aca="false">IF(对接源_01水果!$AC344="","",对接源_01水果!$AC344)</f>
        <v/>
      </c>
      <c r="AH344" s="1" t="n">
        <f aca="false">IF(AND($N344=1,AND(LEFT(对接源_01水果!$D344,3)="周转筐",N(对接源_01水果!$K344)&lt;&gt;0)),1,0)</f>
        <v>0</v>
      </c>
      <c r="AI344" s="90" t="n">
        <f aca="false">IF(AG344="",0,IF(MATCH(AG344,$AG$4:$AG$1203,0)=ROW()-3,1,0))</f>
        <v>0</v>
      </c>
      <c r="AJ344" s="90" t="n">
        <f aca="false">N(AJ343)+AI344</f>
        <v>4</v>
      </c>
      <c r="AK344" s="1" t="n">
        <f aca="false">N(AK343)+$AJ344</f>
        <v>236</v>
      </c>
    </row>
    <row r="345" customFormat="false" ht="13.5" hidden="false" customHeight="false" outlineLevel="0" collapsed="false">
      <c r="A345" s="1" t="str">
        <f aca="false">IF(对接源_01水果!$C345="","",对接源_01水果!$C345)</f>
        <v/>
      </c>
      <c r="B345" s="1" t="n">
        <f aca="false">IF(A345="",0,IF(MATCH(A345,$A$4:$A$2403,0)=ROW()-3,1,0))</f>
        <v>0</v>
      </c>
      <c r="C345" s="1" t="n">
        <f aca="false">N(C344)+B345</f>
        <v>13</v>
      </c>
      <c r="K345" s="1" t="n">
        <f aca="false">IF(OR($K$1="",对接源_01水果!$C345="",对接源_01水果!$C345&lt;&gt;$K$1,对接源_01水果!$B345=""),0,IF(OR(N(对接源_01水果!$B345)&lt;$K$2,N(对接源_01水果!$B345)&gt;$K$3),0,1))</f>
        <v>0</v>
      </c>
      <c r="L345" s="1" t="n">
        <f aca="false">IF(OR($L$1="",对接源_01水果!$C345="",对接源_01水果!$C345&lt;&gt;$L$1,对接源_01水果!$B345=""),0,IF(OR(N(对接源_01水果!$B345)&lt;$L$2,N(对接源_01水果!$B345)&gt;$L$3),0,1))</f>
        <v>0</v>
      </c>
      <c r="M345" s="1" t="n">
        <f aca="false">IF(OR($M$1="",对接源_01水果!$C345="",对接源_01水果!$C345&lt;&gt;$M$1,对接源_01水果!$B345=""),0,IF(OR(N(对接源_01水果!$B345)&lt;$M$2,N(对接源_01水果!$B345)&gt;$M$3),0,1))</f>
        <v>0</v>
      </c>
      <c r="N345" s="1" t="n">
        <f aca="false">IF(OR($N$1="",对接源_01水果!$C345="",对接源_01水果!$C345&lt;&gt;$N$1,对接源_01水果!$B345=""),0,IF(OR(N(对接源_01水果!$B345)&lt;$N$2,N(对接源_01水果!$B345)&gt;$N$3),0,1))</f>
        <v>0</v>
      </c>
      <c r="P345" s="1" t="n">
        <f aca="false">IF(AND($K345=1,AND(对接源_01水果!$X345="公司筐",N(对接源_01水果!$T345)&lt;&gt;0)),1,0)</f>
        <v>0</v>
      </c>
      <c r="Q345" s="1" t="n">
        <f aca="false">N(Q344)+$P345</f>
        <v>3</v>
      </c>
      <c r="R345" s="1" t="n">
        <f aca="false">IF(AND($K345=1,AND(对接源_01水果!$X345="公司筐",N(对接源_01水果!$U345)&lt;&gt;0)),1,0)</f>
        <v>0</v>
      </c>
      <c r="S345" s="1" t="n">
        <f aca="false">N(S344)+$R345</f>
        <v>0</v>
      </c>
      <c r="T345" s="1" t="n">
        <f aca="false">IF(AND($K345=1,AND(对接源_01水果!$X345="公司筐",N(对接源_01水果!$V345)&lt;&gt;0)),1,0)</f>
        <v>0</v>
      </c>
      <c r="U345" s="1" t="n">
        <f aca="false">N(U344)+$T345</f>
        <v>28</v>
      </c>
      <c r="V345" s="1" t="n">
        <f aca="false">IF(AND($L345=1,AND(对接源_01水果!$X345="自备筐",N(对接源_01水果!$V345)&lt;&gt;0)),1,0)</f>
        <v>0</v>
      </c>
      <c r="W345" s="1" t="n">
        <f aca="false">N(W344)+$V345</f>
        <v>7</v>
      </c>
      <c r="X345" s="1" t="n">
        <f aca="false">IF(AND($L345=1,AND(对接源_01水果!$X345="自备筐",N(对接源_01水果!$T345)&lt;&gt;0)),1,0)</f>
        <v>0</v>
      </c>
      <c r="Y345" s="1" t="n">
        <f aca="false">N(Y344)+$X345</f>
        <v>0</v>
      </c>
      <c r="Z345" s="1" t="n">
        <f aca="false">IF(AND($M345=1,对接源_01水果!$D345="原料入库"),1,0)</f>
        <v>0</v>
      </c>
      <c r="AA345" s="1" t="n">
        <f aca="false">N(AA344)+$Z345</f>
        <v>30</v>
      </c>
      <c r="AB345" s="1" t="n">
        <f aca="false">IF(AND($M345=1,LEFT(对接源_01水果!$D345,4)="原料出库"),1,0)</f>
        <v>0</v>
      </c>
      <c r="AC345" s="1" t="n">
        <f aca="false">N(AC344)+$AB345</f>
        <v>19</v>
      </c>
      <c r="AD345" s="1" t="n">
        <f aca="false">IF(AND($M345=1,LEFT(对接源_01水果!$D345,4)="成品出库"),1,0)</f>
        <v>0</v>
      </c>
      <c r="AE345" s="1" t="n">
        <f aca="false">N(AE344)+$AD345</f>
        <v>38</v>
      </c>
      <c r="AF345" s="1" t="n">
        <f aca="false">IF(AND($N345=1,AND(LEFT(对接源_01水果!$D345,4)="包装物料",N(对接源_01水果!$K345)&lt;&gt;0)),1,0)</f>
        <v>0</v>
      </c>
      <c r="AG345" s="90" t="str">
        <f aca="false">IF(对接源_01水果!$AC345="","",对接源_01水果!$AC345)</f>
        <v/>
      </c>
      <c r="AH345" s="1" t="n">
        <f aca="false">IF(AND($N345=1,AND(LEFT(对接源_01水果!$D345,3)="周转筐",N(对接源_01水果!$K345)&lt;&gt;0)),1,0)</f>
        <v>0</v>
      </c>
      <c r="AI345" s="90" t="n">
        <f aca="false">IF(AG345="",0,IF(MATCH(AG345,$AG$4:$AG$1203,0)=ROW()-3,1,0))</f>
        <v>0</v>
      </c>
      <c r="AJ345" s="90" t="n">
        <f aca="false">N(AJ344)+AI345</f>
        <v>4</v>
      </c>
      <c r="AK345" s="1" t="n">
        <f aca="false">N(AK344)+$AJ345</f>
        <v>240</v>
      </c>
    </row>
    <row r="346" customFormat="false" ht="13.5" hidden="false" customHeight="false" outlineLevel="0" collapsed="false">
      <c r="A346" s="1" t="str">
        <f aca="false">IF(对接源_01水果!$C346="","",对接源_01水果!$C346)</f>
        <v/>
      </c>
      <c r="B346" s="1" t="n">
        <f aca="false">IF(A346="",0,IF(MATCH(A346,$A$4:$A$2403,0)=ROW()-3,1,0))</f>
        <v>0</v>
      </c>
      <c r="C346" s="1" t="n">
        <f aca="false">N(C345)+B346</f>
        <v>13</v>
      </c>
      <c r="K346" s="1" t="n">
        <f aca="false">IF(OR($K$1="",对接源_01水果!$C346="",对接源_01水果!$C346&lt;&gt;$K$1,对接源_01水果!$B346=""),0,IF(OR(N(对接源_01水果!$B346)&lt;$K$2,N(对接源_01水果!$B346)&gt;$K$3),0,1))</f>
        <v>0</v>
      </c>
      <c r="L346" s="1" t="n">
        <f aca="false">IF(OR($L$1="",对接源_01水果!$C346="",对接源_01水果!$C346&lt;&gt;$L$1,对接源_01水果!$B346=""),0,IF(OR(N(对接源_01水果!$B346)&lt;$L$2,N(对接源_01水果!$B346)&gt;$L$3),0,1))</f>
        <v>0</v>
      </c>
      <c r="M346" s="1" t="n">
        <f aca="false">IF(OR($M$1="",对接源_01水果!$C346="",对接源_01水果!$C346&lt;&gt;$M$1,对接源_01水果!$B346=""),0,IF(OR(N(对接源_01水果!$B346)&lt;$M$2,N(对接源_01水果!$B346)&gt;$M$3),0,1))</f>
        <v>0</v>
      </c>
      <c r="N346" s="1" t="n">
        <f aca="false">IF(OR($N$1="",对接源_01水果!$C346="",对接源_01水果!$C346&lt;&gt;$N$1,对接源_01水果!$B346=""),0,IF(OR(N(对接源_01水果!$B346)&lt;$N$2,N(对接源_01水果!$B346)&gt;$N$3),0,1))</f>
        <v>0</v>
      </c>
      <c r="P346" s="1" t="n">
        <f aca="false">IF(AND($K346=1,AND(对接源_01水果!$X346="公司筐",N(对接源_01水果!$T346)&lt;&gt;0)),1,0)</f>
        <v>0</v>
      </c>
      <c r="Q346" s="1" t="n">
        <f aca="false">N(Q345)+$P346</f>
        <v>3</v>
      </c>
      <c r="R346" s="1" t="n">
        <f aca="false">IF(AND($K346=1,AND(对接源_01水果!$X346="公司筐",N(对接源_01水果!$U346)&lt;&gt;0)),1,0)</f>
        <v>0</v>
      </c>
      <c r="S346" s="1" t="n">
        <f aca="false">N(S345)+$R346</f>
        <v>0</v>
      </c>
      <c r="T346" s="1" t="n">
        <f aca="false">IF(AND($K346=1,AND(对接源_01水果!$X346="公司筐",N(对接源_01水果!$V346)&lt;&gt;0)),1,0)</f>
        <v>0</v>
      </c>
      <c r="U346" s="1" t="n">
        <f aca="false">N(U345)+$T346</f>
        <v>28</v>
      </c>
      <c r="V346" s="1" t="n">
        <f aca="false">IF(AND($L346=1,AND(对接源_01水果!$X346="自备筐",N(对接源_01水果!$V346)&lt;&gt;0)),1,0)</f>
        <v>0</v>
      </c>
      <c r="W346" s="1" t="n">
        <f aca="false">N(W345)+$V346</f>
        <v>7</v>
      </c>
      <c r="X346" s="1" t="n">
        <f aca="false">IF(AND($L346=1,AND(对接源_01水果!$X346="自备筐",N(对接源_01水果!$T346)&lt;&gt;0)),1,0)</f>
        <v>0</v>
      </c>
      <c r="Y346" s="1" t="n">
        <f aca="false">N(Y345)+$X346</f>
        <v>0</v>
      </c>
      <c r="Z346" s="1" t="n">
        <f aca="false">IF(AND($M346=1,对接源_01水果!$D346="原料入库"),1,0)</f>
        <v>0</v>
      </c>
      <c r="AA346" s="1" t="n">
        <f aca="false">N(AA345)+$Z346</f>
        <v>30</v>
      </c>
      <c r="AB346" s="1" t="n">
        <f aca="false">IF(AND($M346=1,LEFT(对接源_01水果!$D346,4)="原料出库"),1,0)</f>
        <v>0</v>
      </c>
      <c r="AC346" s="1" t="n">
        <f aca="false">N(AC345)+$AB346</f>
        <v>19</v>
      </c>
      <c r="AD346" s="1" t="n">
        <f aca="false">IF(AND($M346=1,LEFT(对接源_01水果!$D346,4)="成品出库"),1,0)</f>
        <v>0</v>
      </c>
      <c r="AE346" s="1" t="n">
        <f aca="false">N(AE345)+$AD346</f>
        <v>38</v>
      </c>
      <c r="AF346" s="1" t="n">
        <f aca="false">IF(AND($N346=1,AND(LEFT(对接源_01水果!$D346,4)="包装物料",N(对接源_01水果!$K346)&lt;&gt;0)),1,0)</f>
        <v>0</v>
      </c>
      <c r="AG346" s="90" t="str">
        <f aca="false">IF(对接源_01水果!$AC346="","",对接源_01水果!$AC346)</f>
        <v/>
      </c>
      <c r="AH346" s="1" t="n">
        <f aca="false">IF(AND($N346=1,AND(LEFT(对接源_01水果!$D346,3)="周转筐",N(对接源_01水果!$K346)&lt;&gt;0)),1,0)</f>
        <v>0</v>
      </c>
      <c r="AI346" s="90" t="n">
        <f aca="false">IF(AG346="",0,IF(MATCH(AG346,$AG$4:$AG$1203,0)=ROW()-3,1,0))</f>
        <v>0</v>
      </c>
      <c r="AJ346" s="90" t="n">
        <f aca="false">N(AJ345)+AI346</f>
        <v>4</v>
      </c>
      <c r="AK346" s="1" t="n">
        <f aca="false">N(AK345)+$AJ346</f>
        <v>244</v>
      </c>
    </row>
    <row r="347" customFormat="false" ht="13.5" hidden="false" customHeight="false" outlineLevel="0" collapsed="false">
      <c r="A347" s="1" t="str">
        <f aca="false">IF(对接源_01水果!$C347="","",对接源_01水果!$C347)</f>
        <v/>
      </c>
      <c r="B347" s="1" t="n">
        <f aca="false">IF(A347="",0,IF(MATCH(A347,$A$4:$A$2403,0)=ROW()-3,1,0))</f>
        <v>0</v>
      </c>
      <c r="C347" s="1" t="n">
        <f aca="false">N(C346)+B347</f>
        <v>13</v>
      </c>
      <c r="K347" s="1" t="n">
        <f aca="false">IF(OR($K$1="",对接源_01水果!$C347="",对接源_01水果!$C347&lt;&gt;$K$1,对接源_01水果!$B347=""),0,IF(OR(N(对接源_01水果!$B347)&lt;$K$2,N(对接源_01水果!$B347)&gt;$K$3),0,1))</f>
        <v>0</v>
      </c>
      <c r="L347" s="1" t="n">
        <f aca="false">IF(OR($L$1="",对接源_01水果!$C347="",对接源_01水果!$C347&lt;&gt;$L$1,对接源_01水果!$B347=""),0,IF(OR(N(对接源_01水果!$B347)&lt;$L$2,N(对接源_01水果!$B347)&gt;$L$3),0,1))</f>
        <v>0</v>
      </c>
      <c r="M347" s="1" t="n">
        <f aca="false">IF(OR($M$1="",对接源_01水果!$C347="",对接源_01水果!$C347&lt;&gt;$M$1,对接源_01水果!$B347=""),0,IF(OR(N(对接源_01水果!$B347)&lt;$M$2,N(对接源_01水果!$B347)&gt;$M$3),0,1))</f>
        <v>0</v>
      </c>
      <c r="N347" s="1" t="n">
        <f aca="false">IF(OR($N$1="",对接源_01水果!$C347="",对接源_01水果!$C347&lt;&gt;$N$1,对接源_01水果!$B347=""),0,IF(OR(N(对接源_01水果!$B347)&lt;$N$2,N(对接源_01水果!$B347)&gt;$N$3),0,1))</f>
        <v>0</v>
      </c>
      <c r="P347" s="1" t="n">
        <f aca="false">IF(AND($K347=1,AND(对接源_01水果!$X347="公司筐",N(对接源_01水果!$T347)&lt;&gt;0)),1,0)</f>
        <v>0</v>
      </c>
      <c r="Q347" s="1" t="n">
        <f aca="false">N(Q346)+$P347</f>
        <v>3</v>
      </c>
      <c r="R347" s="1" t="n">
        <f aca="false">IF(AND($K347=1,AND(对接源_01水果!$X347="公司筐",N(对接源_01水果!$U347)&lt;&gt;0)),1,0)</f>
        <v>0</v>
      </c>
      <c r="S347" s="1" t="n">
        <f aca="false">N(S346)+$R347</f>
        <v>0</v>
      </c>
      <c r="T347" s="1" t="n">
        <f aca="false">IF(AND($K347=1,AND(对接源_01水果!$X347="公司筐",N(对接源_01水果!$V347)&lt;&gt;0)),1,0)</f>
        <v>0</v>
      </c>
      <c r="U347" s="1" t="n">
        <f aca="false">N(U346)+$T347</f>
        <v>28</v>
      </c>
      <c r="V347" s="1" t="n">
        <f aca="false">IF(AND($L347=1,AND(对接源_01水果!$X347="自备筐",N(对接源_01水果!$V347)&lt;&gt;0)),1,0)</f>
        <v>0</v>
      </c>
      <c r="W347" s="1" t="n">
        <f aca="false">N(W346)+$V347</f>
        <v>7</v>
      </c>
      <c r="X347" s="1" t="n">
        <f aca="false">IF(AND($L347=1,AND(对接源_01水果!$X347="自备筐",N(对接源_01水果!$T347)&lt;&gt;0)),1,0)</f>
        <v>0</v>
      </c>
      <c r="Y347" s="1" t="n">
        <f aca="false">N(Y346)+$X347</f>
        <v>0</v>
      </c>
      <c r="Z347" s="1" t="n">
        <f aca="false">IF(AND($M347=1,对接源_01水果!$D347="原料入库"),1,0)</f>
        <v>0</v>
      </c>
      <c r="AA347" s="1" t="n">
        <f aca="false">N(AA346)+$Z347</f>
        <v>30</v>
      </c>
      <c r="AB347" s="1" t="n">
        <f aca="false">IF(AND($M347=1,LEFT(对接源_01水果!$D347,4)="原料出库"),1,0)</f>
        <v>0</v>
      </c>
      <c r="AC347" s="1" t="n">
        <f aca="false">N(AC346)+$AB347</f>
        <v>19</v>
      </c>
      <c r="AD347" s="1" t="n">
        <f aca="false">IF(AND($M347=1,LEFT(对接源_01水果!$D347,4)="成品出库"),1,0)</f>
        <v>0</v>
      </c>
      <c r="AE347" s="1" t="n">
        <f aca="false">N(AE346)+$AD347</f>
        <v>38</v>
      </c>
      <c r="AF347" s="1" t="n">
        <f aca="false">IF(AND($N347=1,AND(LEFT(对接源_01水果!$D347,4)="包装物料",N(对接源_01水果!$K347)&lt;&gt;0)),1,0)</f>
        <v>0</v>
      </c>
      <c r="AG347" s="90" t="str">
        <f aca="false">IF(对接源_01水果!$AC347="","",对接源_01水果!$AC347)</f>
        <v/>
      </c>
      <c r="AH347" s="1" t="n">
        <f aca="false">IF(AND($N347=1,AND(LEFT(对接源_01水果!$D347,3)="周转筐",N(对接源_01水果!$K347)&lt;&gt;0)),1,0)</f>
        <v>0</v>
      </c>
      <c r="AI347" s="90" t="n">
        <f aca="false">IF(AG347="",0,IF(MATCH(AG347,$AG$4:$AG$1203,0)=ROW()-3,1,0))</f>
        <v>0</v>
      </c>
      <c r="AJ347" s="90" t="n">
        <f aca="false">N(AJ346)+AI347</f>
        <v>4</v>
      </c>
      <c r="AK347" s="1" t="n">
        <f aca="false">N(AK346)+$AJ347</f>
        <v>248</v>
      </c>
    </row>
    <row r="348" customFormat="false" ht="13.5" hidden="false" customHeight="false" outlineLevel="0" collapsed="false">
      <c r="A348" s="1" t="str">
        <f aca="false">IF(对接源_01水果!$C348="","",对接源_01水果!$C348)</f>
        <v/>
      </c>
      <c r="B348" s="1" t="n">
        <f aca="false">IF(A348="",0,IF(MATCH(A348,$A$4:$A$2403,0)=ROW()-3,1,0))</f>
        <v>0</v>
      </c>
      <c r="C348" s="1" t="n">
        <f aca="false">N(C347)+B348</f>
        <v>13</v>
      </c>
      <c r="K348" s="1" t="n">
        <f aca="false">IF(OR($K$1="",对接源_01水果!$C348="",对接源_01水果!$C348&lt;&gt;$K$1,对接源_01水果!$B348=""),0,IF(OR(N(对接源_01水果!$B348)&lt;$K$2,N(对接源_01水果!$B348)&gt;$K$3),0,1))</f>
        <v>0</v>
      </c>
      <c r="L348" s="1" t="n">
        <f aca="false">IF(OR($L$1="",对接源_01水果!$C348="",对接源_01水果!$C348&lt;&gt;$L$1,对接源_01水果!$B348=""),0,IF(OR(N(对接源_01水果!$B348)&lt;$L$2,N(对接源_01水果!$B348)&gt;$L$3),0,1))</f>
        <v>0</v>
      </c>
      <c r="M348" s="1" t="n">
        <f aca="false">IF(OR($M$1="",对接源_01水果!$C348="",对接源_01水果!$C348&lt;&gt;$M$1,对接源_01水果!$B348=""),0,IF(OR(N(对接源_01水果!$B348)&lt;$M$2,N(对接源_01水果!$B348)&gt;$M$3),0,1))</f>
        <v>0</v>
      </c>
      <c r="N348" s="1" t="n">
        <f aca="false">IF(OR($N$1="",对接源_01水果!$C348="",对接源_01水果!$C348&lt;&gt;$N$1,对接源_01水果!$B348=""),0,IF(OR(N(对接源_01水果!$B348)&lt;$N$2,N(对接源_01水果!$B348)&gt;$N$3),0,1))</f>
        <v>0</v>
      </c>
      <c r="P348" s="1" t="n">
        <f aca="false">IF(AND($K348=1,AND(对接源_01水果!$X348="公司筐",N(对接源_01水果!$T348)&lt;&gt;0)),1,0)</f>
        <v>0</v>
      </c>
      <c r="Q348" s="1" t="n">
        <f aca="false">N(Q347)+$P348</f>
        <v>3</v>
      </c>
      <c r="R348" s="1" t="n">
        <f aca="false">IF(AND($K348=1,AND(对接源_01水果!$X348="公司筐",N(对接源_01水果!$U348)&lt;&gt;0)),1,0)</f>
        <v>0</v>
      </c>
      <c r="S348" s="1" t="n">
        <f aca="false">N(S347)+$R348</f>
        <v>0</v>
      </c>
      <c r="T348" s="1" t="n">
        <f aca="false">IF(AND($K348=1,AND(对接源_01水果!$X348="公司筐",N(对接源_01水果!$V348)&lt;&gt;0)),1,0)</f>
        <v>0</v>
      </c>
      <c r="U348" s="1" t="n">
        <f aca="false">N(U347)+$T348</f>
        <v>28</v>
      </c>
      <c r="V348" s="1" t="n">
        <f aca="false">IF(AND($L348=1,AND(对接源_01水果!$X348="自备筐",N(对接源_01水果!$V348)&lt;&gt;0)),1,0)</f>
        <v>0</v>
      </c>
      <c r="W348" s="1" t="n">
        <f aca="false">N(W347)+$V348</f>
        <v>7</v>
      </c>
      <c r="X348" s="1" t="n">
        <f aca="false">IF(AND($L348=1,AND(对接源_01水果!$X348="自备筐",N(对接源_01水果!$T348)&lt;&gt;0)),1,0)</f>
        <v>0</v>
      </c>
      <c r="Y348" s="1" t="n">
        <f aca="false">N(Y347)+$X348</f>
        <v>0</v>
      </c>
      <c r="Z348" s="1" t="n">
        <f aca="false">IF(AND($M348=1,对接源_01水果!$D348="原料入库"),1,0)</f>
        <v>0</v>
      </c>
      <c r="AA348" s="1" t="n">
        <f aca="false">N(AA347)+$Z348</f>
        <v>30</v>
      </c>
      <c r="AB348" s="1" t="n">
        <f aca="false">IF(AND($M348=1,LEFT(对接源_01水果!$D348,4)="原料出库"),1,0)</f>
        <v>0</v>
      </c>
      <c r="AC348" s="1" t="n">
        <f aca="false">N(AC347)+$AB348</f>
        <v>19</v>
      </c>
      <c r="AD348" s="1" t="n">
        <f aca="false">IF(AND($M348=1,LEFT(对接源_01水果!$D348,4)="成品出库"),1,0)</f>
        <v>0</v>
      </c>
      <c r="AE348" s="1" t="n">
        <f aca="false">N(AE347)+$AD348</f>
        <v>38</v>
      </c>
      <c r="AF348" s="1" t="n">
        <f aca="false">IF(AND($N348=1,AND(LEFT(对接源_01水果!$D348,4)="包装物料",N(对接源_01水果!$K348)&lt;&gt;0)),1,0)</f>
        <v>0</v>
      </c>
      <c r="AG348" s="90" t="str">
        <f aca="false">IF(对接源_01水果!$AC348="","",对接源_01水果!$AC348)</f>
        <v/>
      </c>
      <c r="AH348" s="1" t="n">
        <f aca="false">IF(AND($N348=1,AND(LEFT(对接源_01水果!$D348,3)="周转筐",N(对接源_01水果!$K348)&lt;&gt;0)),1,0)</f>
        <v>0</v>
      </c>
      <c r="AI348" s="90" t="n">
        <f aca="false">IF(AG348="",0,IF(MATCH(AG348,$AG$4:$AG$1203,0)=ROW()-3,1,0))</f>
        <v>0</v>
      </c>
      <c r="AJ348" s="90" t="n">
        <f aca="false">N(AJ347)+AI348</f>
        <v>4</v>
      </c>
      <c r="AK348" s="1" t="n">
        <f aca="false">N(AK347)+$AJ348</f>
        <v>252</v>
      </c>
    </row>
    <row r="349" customFormat="false" ht="13.5" hidden="false" customHeight="false" outlineLevel="0" collapsed="false">
      <c r="A349" s="1" t="str">
        <f aca="false">IF(对接源_01水果!$C349="","",对接源_01水果!$C349)</f>
        <v/>
      </c>
      <c r="B349" s="1" t="n">
        <f aca="false">IF(A349="",0,IF(MATCH(A349,$A$4:$A$2403,0)=ROW()-3,1,0))</f>
        <v>0</v>
      </c>
      <c r="C349" s="1" t="n">
        <f aca="false">N(C348)+B349</f>
        <v>13</v>
      </c>
      <c r="K349" s="1" t="n">
        <f aca="false">IF(OR($K$1="",对接源_01水果!$C349="",对接源_01水果!$C349&lt;&gt;$K$1,对接源_01水果!$B349=""),0,IF(OR(N(对接源_01水果!$B349)&lt;$K$2,N(对接源_01水果!$B349)&gt;$K$3),0,1))</f>
        <v>0</v>
      </c>
      <c r="L349" s="1" t="n">
        <f aca="false">IF(OR($L$1="",对接源_01水果!$C349="",对接源_01水果!$C349&lt;&gt;$L$1,对接源_01水果!$B349=""),0,IF(OR(N(对接源_01水果!$B349)&lt;$L$2,N(对接源_01水果!$B349)&gt;$L$3),0,1))</f>
        <v>0</v>
      </c>
      <c r="M349" s="1" t="n">
        <f aca="false">IF(OR($M$1="",对接源_01水果!$C349="",对接源_01水果!$C349&lt;&gt;$M$1,对接源_01水果!$B349=""),0,IF(OR(N(对接源_01水果!$B349)&lt;$M$2,N(对接源_01水果!$B349)&gt;$M$3),0,1))</f>
        <v>0</v>
      </c>
      <c r="N349" s="1" t="n">
        <f aca="false">IF(OR($N$1="",对接源_01水果!$C349="",对接源_01水果!$C349&lt;&gt;$N$1,对接源_01水果!$B349=""),0,IF(OR(N(对接源_01水果!$B349)&lt;$N$2,N(对接源_01水果!$B349)&gt;$N$3),0,1))</f>
        <v>0</v>
      </c>
      <c r="P349" s="1" t="n">
        <f aca="false">IF(AND($K349=1,AND(对接源_01水果!$X349="公司筐",N(对接源_01水果!$T349)&lt;&gt;0)),1,0)</f>
        <v>0</v>
      </c>
      <c r="Q349" s="1" t="n">
        <f aca="false">N(Q348)+$P349</f>
        <v>3</v>
      </c>
      <c r="R349" s="1" t="n">
        <f aca="false">IF(AND($K349=1,AND(对接源_01水果!$X349="公司筐",N(对接源_01水果!$U349)&lt;&gt;0)),1,0)</f>
        <v>0</v>
      </c>
      <c r="S349" s="1" t="n">
        <f aca="false">N(S348)+$R349</f>
        <v>0</v>
      </c>
      <c r="T349" s="1" t="n">
        <f aca="false">IF(AND($K349=1,AND(对接源_01水果!$X349="公司筐",N(对接源_01水果!$V349)&lt;&gt;0)),1,0)</f>
        <v>0</v>
      </c>
      <c r="U349" s="1" t="n">
        <f aca="false">N(U348)+$T349</f>
        <v>28</v>
      </c>
      <c r="V349" s="1" t="n">
        <f aca="false">IF(AND($L349=1,AND(对接源_01水果!$X349="自备筐",N(对接源_01水果!$V349)&lt;&gt;0)),1,0)</f>
        <v>0</v>
      </c>
      <c r="W349" s="1" t="n">
        <f aca="false">N(W348)+$V349</f>
        <v>7</v>
      </c>
      <c r="X349" s="1" t="n">
        <f aca="false">IF(AND($L349=1,AND(对接源_01水果!$X349="自备筐",N(对接源_01水果!$T349)&lt;&gt;0)),1,0)</f>
        <v>0</v>
      </c>
      <c r="Y349" s="1" t="n">
        <f aca="false">N(Y348)+$X349</f>
        <v>0</v>
      </c>
      <c r="Z349" s="1" t="n">
        <f aca="false">IF(AND($M349=1,对接源_01水果!$D349="原料入库"),1,0)</f>
        <v>0</v>
      </c>
      <c r="AA349" s="1" t="n">
        <f aca="false">N(AA348)+$Z349</f>
        <v>30</v>
      </c>
      <c r="AB349" s="1" t="n">
        <f aca="false">IF(AND($M349=1,LEFT(对接源_01水果!$D349,4)="原料出库"),1,0)</f>
        <v>0</v>
      </c>
      <c r="AC349" s="1" t="n">
        <f aca="false">N(AC348)+$AB349</f>
        <v>19</v>
      </c>
      <c r="AD349" s="1" t="n">
        <f aca="false">IF(AND($M349=1,LEFT(对接源_01水果!$D349,4)="成品出库"),1,0)</f>
        <v>0</v>
      </c>
      <c r="AE349" s="1" t="n">
        <f aca="false">N(AE348)+$AD349</f>
        <v>38</v>
      </c>
      <c r="AF349" s="1" t="n">
        <f aca="false">IF(AND($N349=1,AND(LEFT(对接源_01水果!$D349,4)="包装物料",N(对接源_01水果!$K349)&lt;&gt;0)),1,0)</f>
        <v>0</v>
      </c>
      <c r="AG349" s="90" t="str">
        <f aca="false">IF(对接源_01水果!$AC349="","",对接源_01水果!$AC349)</f>
        <v/>
      </c>
      <c r="AH349" s="1" t="n">
        <f aca="false">IF(AND($N349=1,AND(LEFT(对接源_01水果!$D349,3)="周转筐",N(对接源_01水果!$K349)&lt;&gt;0)),1,0)</f>
        <v>0</v>
      </c>
      <c r="AI349" s="90" t="n">
        <f aca="false">IF(AG349="",0,IF(MATCH(AG349,$AG$4:$AG$1203,0)=ROW()-3,1,0))</f>
        <v>0</v>
      </c>
      <c r="AJ349" s="90" t="n">
        <f aca="false">N(AJ348)+AI349</f>
        <v>4</v>
      </c>
      <c r="AK349" s="1" t="n">
        <f aca="false">N(AK348)+$AJ349</f>
        <v>256</v>
      </c>
    </row>
    <row r="350" customFormat="false" ht="13.5" hidden="false" customHeight="false" outlineLevel="0" collapsed="false">
      <c r="A350" s="1" t="str">
        <f aca="false">IF(对接源_01水果!$C350="","",对接源_01水果!$C350)</f>
        <v/>
      </c>
      <c r="B350" s="1" t="n">
        <f aca="false">IF(A350="",0,IF(MATCH(A350,$A$4:$A$2403,0)=ROW()-3,1,0))</f>
        <v>0</v>
      </c>
      <c r="C350" s="1" t="n">
        <f aca="false">N(C349)+B350</f>
        <v>13</v>
      </c>
      <c r="K350" s="1" t="n">
        <f aca="false">IF(OR($K$1="",对接源_01水果!$C350="",对接源_01水果!$C350&lt;&gt;$K$1,对接源_01水果!$B350=""),0,IF(OR(N(对接源_01水果!$B350)&lt;$K$2,N(对接源_01水果!$B350)&gt;$K$3),0,1))</f>
        <v>0</v>
      </c>
      <c r="L350" s="1" t="n">
        <f aca="false">IF(OR($L$1="",对接源_01水果!$C350="",对接源_01水果!$C350&lt;&gt;$L$1,对接源_01水果!$B350=""),0,IF(OR(N(对接源_01水果!$B350)&lt;$L$2,N(对接源_01水果!$B350)&gt;$L$3),0,1))</f>
        <v>0</v>
      </c>
      <c r="M350" s="1" t="n">
        <f aca="false">IF(OR($M$1="",对接源_01水果!$C350="",对接源_01水果!$C350&lt;&gt;$M$1,对接源_01水果!$B350=""),0,IF(OR(N(对接源_01水果!$B350)&lt;$M$2,N(对接源_01水果!$B350)&gt;$M$3),0,1))</f>
        <v>0</v>
      </c>
      <c r="N350" s="1" t="n">
        <f aca="false">IF(OR($N$1="",对接源_01水果!$C350="",对接源_01水果!$C350&lt;&gt;$N$1,对接源_01水果!$B350=""),0,IF(OR(N(对接源_01水果!$B350)&lt;$N$2,N(对接源_01水果!$B350)&gt;$N$3),0,1))</f>
        <v>0</v>
      </c>
      <c r="P350" s="1" t="n">
        <f aca="false">IF(AND($K350=1,AND(对接源_01水果!$X350="公司筐",N(对接源_01水果!$T350)&lt;&gt;0)),1,0)</f>
        <v>0</v>
      </c>
      <c r="Q350" s="1" t="n">
        <f aca="false">N(Q349)+$P350</f>
        <v>3</v>
      </c>
      <c r="R350" s="1" t="n">
        <f aca="false">IF(AND($K350=1,AND(对接源_01水果!$X350="公司筐",N(对接源_01水果!$U350)&lt;&gt;0)),1,0)</f>
        <v>0</v>
      </c>
      <c r="S350" s="1" t="n">
        <f aca="false">N(S349)+$R350</f>
        <v>0</v>
      </c>
      <c r="T350" s="1" t="n">
        <f aca="false">IF(AND($K350=1,AND(对接源_01水果!$X350="公司筐",N(对接源_01水果!$V350)&lt;&gt;0)),1,0)</f>
        <v>0</v>
      </c>
      <c r="U350" s="1" t="n">
        <f aca="false">N(U349)+$T350</f>
        <v>28</v>
      </c>
      <c r="V350" s="1" t="n">
        <f aca="false">IF(AND($L350=1,AND(对接源_01水果!$X350="自备筐",N(对接源_01水果!$V350)&lt;&gt;0)),1,0)</f>
        <v>0</v>
      </c>
      <c r="W350" s="1" t="n">
        <f aca="false">N(W349)+$V350</f>
        <v>7</v>
      </c>
      <c r="X350" s="1" t="n">
        <f aca="false">IF(AND($L350=1,AND(对接源_01水果!$X350="自备筐",N(对接源_01水果!$T350)&lt;&gt;0)),1,0)</f>
        <v>0</v>
      </c>
      <c r="Y350" s="1" t="n">
        <f aca="false">N(Y349)+$X350</f>
        <v>0</v>
      </c>
      <c r="Z350" s="1" t="n">
        <f aca="false">IF(AND($M350=1,对接源_01水果!$D350="原料入库"),1,0)</f>
        <v>0</v>
      </c>
      <c r="AA350" s="1" t="n">
        <f aca="false">N(AA349)+$Z350</f>
        <v>30</v>
      </c>
      <c r="AB350" s="1" t="n">
        <f aca="false">IF(AND($M350=1,LEFT(对接源_01水果!$D350,4)="原料出库"),1,0)</f>
        <v>0</v>
      </c>
      <c r="AC350" s="1" t="n">
        <f aca="false">N(AC349)+$AB350</f>
        <v>19</v>
      </c>
      <c r="AD350" s="1" t="n">
        <f aca="false">IF(AND($M350=1,LEFT(对接源_01水果!$D350,4)="成品出库"),1,0)</f>
        <v>0</v>
      </c>
      <c r="AE350" s="1" t="n">
        <f aca="false">N(AE349)+$AD350</f>
        <v>38</v>
      </c>
      <c r="AF350" s="1" t="n">
        <f aca="false">IF(AND($N350=1,AND(LEFT(对接源_01水果!$D350,4)="包装物料",N(对接源_01水果!$K350)&lt;&gt;0)),1,0)</f>
        <v>0</v>
      </c>
      <c r="AG350" s="90" t="str">
        <f aca="false">IF(对接源_01水果!$AC350="","",对接源_01水果!$AC350)</f>
        <v/>
      </c>
      <c r="AH350" s="1" t="n">
        <f aca="false">IF(AND($N350=1,AND(LEFT(对接源_01水果!$D350,3)="周转筐",N(对接源_01水果!$K350)&lt;&gt;0)),1,0)</f>
        <v>0</v>
      </c>
      <c r="AI350" s="90" t="n">
        <f aca="false">IF(AG350="",0,IF(MATCH(AG350,$AG$4:$AG$1203,0)=ROW()-3,1,0))</f>
        <v>0</v>
      </c>
      <c r="AJ350" s="90" t="n">
        <f aca="false">N(AJ349)+AI350</f>
        <v>4</v>
      </c>
      <c r="AK350" s="1" t="n">
        <f aca="false">N(AK349)+$AJ350</f>
        <v>260</v>
      </c>
    </row>
    <row r="351" customFormat="false" ht="13.5" hidden="false" customHeight="false" outlineLevel="0" collapsed="false">
      <c r="A351" s="1" t="str">
        <f aca="false">IF(对接源_01水果!$C351="","",对接源_01水果!$C351)</f>
        <v/>
      </c>
      <c r="B351" s="1" t="n">
        <f aca="false">IF(A351="",0,IF(MATCH(A351,$A$4:$A$2403,0)=ROW()-3,1,0))</f>
        <v>0</v>
      </c>
      <c r="C351" s="1" t="n">
        <f aca="false">N(C350)+B351</f>
        <v>13</v>
      </c>
      <c r="K351" s="1" t="n">
        <f aca="false">IF(OR($K$1="",对接源_01水果!$C351="",对接源_01水果!$C351&lt;&gt;$K$1,对接源_01水果!$B351=""),0,IF(OR(N(对接源_01水果!$B351)&lt;$K$2,N(对接源_01水果!$B351)&gt;$K$3),0,1))</f>
        <v>0</v>
      </c>
      <c r="L351" s="1" t="n">
        <f aca="false">IF(OR($L$1="",对接源_01水果!$C351="",对接源_01水果!$C351&lt;&gt;$L$1,对接源_01水果!$B351=""),0,IF(OR(N(对接源_01水果!$B351)&lt;$L$2,N(对接源_01水果!$B351)&gt;$L$3),0,1))</f>
        <v>0</v>
      </c>
      <c r="M351" s="1" t="n">
        <f aca="false">IF(OR($M$1="",对接源_01水果!$C351="",对接源_01水果!$C351&lt;&gt;$M$1,对接源_01水果!$B351=""),0,IF(OR(N(对接源_01水果!$B351)&lt;$M$2,N(对接源_01水果!$B351)&gt;$M$3),0,1))</f>
        <v>0</v>
      </c>
      <c r="N351" s="1" t="n">
        <f aca="false">IF(OR($N$1="",对接源_01水果!$C351="",对接源_01水果!$C351&lt;&gt;$N$1,对接源_01水果!$B351=""),0,IF(OR(N(对接源_01水果!$B351)&lt;$N$2,N(对接源_01水果!$B351)&gt;$N$3),0,1))</f>
        <v>0</v>
      </c>
      <c r="P351" s="1" t="n">
        <f aca="false">IF(AND($K351=1,AND(对接源_01水果!$X351="公司筐",N(对接源_01水果!$T351)&lt;&gt;0)),1,0)</f>
        <v>0</v>
      </c>
      <c r="Q351" s="1" t="n">
        <f aca="false">N(Q350)+$P351</f>
        <v>3</v>
      </c>
      <c r="R351" s="1" t="n">
        <f aca="false">IF(AND($K351=1,AND(对接源_01水果!$X351="公司筐",N(对接源_01水果!$U351)&lt;&gt;0)),1,0)</f>
        <v>0</v>
      </c>
      <c r="S351" s="1" t="n">
        <f aca="false">N(S350)+$R351</f>
        <v>0</v>
      </c>
      <c r="T351" s="1" t="n">
        <f aca="false">IF(AND($K351=1,AND(对接源_01水果!$X351="公司筐",N(对接源_01水果!$V351)&lt;&gt;0)),1,0)</f>
        <v>0</v>
      </c>
      <c r="U351" s="1" t="n">
        <f aca="false">N(U350)+$T351</f>
        <v>28</v>
      </c>
      <c r="V351" s="1" t="n">
        <f aca="false">IF(AND($L351=1,AND(对接源_01水果!$X351="自备筐",N(对接源_01水果!$V351)&lt;&gt;0)),1,0)</f>
        <v>0</v>
      </c>
      <c r="W351" s="1" t="n">
        <f aca="false">N(W350)+$V351</f>
        <v>7</v>
      </c>
      <c r="X351" s="1" t="n">
        <f aca="false">IF(AND($L351=1,AND(对接源_01水果!$X351="自备筐",N(对接源_01水果!$T351)&lt;&gt;0)),1,0)</f>
        <v>0</v>
      </c>
      <c r="Y351" s="1" t="n">
        <f aca="false">N(Y350)+$X351</f>
        <v>0</v>
      </c>
      <c r="Z351" s="1" t="n">
        <f aca="false">IF(AND($M351=1,对接源_01水果!$D351="原料入库"),1,0)</f>
        <v>0</v>
      </c>
      <c r="AA351" s="1" t="n">
        <f aca="false">N(AA350)+$Z351</f>
        <v>30</v>
      </c>
      <c r="AB351" s="1" t="n">
        <f aca="false">IF(AND($M351=1,LEFT(对接源_01水果!$D351,4)="原料出库"),1,0)</f>
        <v>0</v>
      </c>
      <c r="AC351" s="1" t="n">
        <f aca="false">N(AC350)+$AB351</f>
        <v>19</v>
      </c>
      <c r="AD351" s="1" t="n">
        <f aca="false">IF(AND($M351=1,LEFT(对接源_01水果!$D351,4)="成品出库"),1,0)</f>
        <v>0</v>
      </c>
      <c r="AE351" s="1" t="n">
        <f aca="false">N(AE350)+$AD351</f>
        <v>38</v>
      </c>
      <c r="AF351" s="1" t="n">
        <f aca="false">IF(AND($N351=1,AND(LEFT(对接源_01水果!$D351,4)="包装物料",N(对接源_01水果!$K351)&lt;&gt;0)),1,0)</f>
        <v>0</v>
      </c>
      <c r="AG351" s="90" t="str">
        <f aca="false">IF(对接源_01水果!$AC351="","",对接源_01水果!$AC351)</f>
        <v/>
      </c>
      <c r="AH351" s="1" t="n">
        <f aca="false">IF(AND($N351=1,AND(LEFT(对接源_01水果!$D351,3)="周转筐",N(对接源_01水果!$K351)&lt;&gt;0)),1,0)</f>
        <v>0</v>
      </c>
      <c r="AI351" s="90" t="n">
        <f aca="false">IF(AG351="",0,IF(MATCH(AG351,$AG$4:$AG$1203,0)=ROW()-3,1,0))</f>
        <v>0</v>
      </c>
      <c r="AJ351" s="90" t="n">
        <f aca="false">N(AJ350)+AI351</f>
        <v>4</v>
      </c>
      <c r="AK351" s="1" t="n">
        <f aca="false">N(AK350)+$AJ351</f>
        <v>264</v>
      </c>
    </row>
    <row r="352" customFormat="false" ht="13.5" hidden="false" customHeight="false" outlineLevel="0" collapsed="false">
      <c r="A352" s="1" t="str">
        <f aca="false">IF(对接源_01水果!$C352="","",对接源_01水果!$C352)</f>
        <v/>
      </c>
      <c r="B352" s="1" t="n">
        <f aca="false">IF(A352="",0,IF(MATCH(A352,$A$4:$A$2403,0)=ROW()-3,1,0))</f>
        <v>0</v>
      </c>
      <c r="C352" s="1" t="n">
        <f aca="false">N(C351)+B352</f>
        <v>13</v>
      </c>
      <c r="K352" s="1" t="n">
        <f aca="false">IF(OR($K$1="",对接源_01水果!$C352="",对接源_01水果!$C352&lt;&gt;$K$1,对接源_01水果!$B352=""),0,IF(OR(N(对接源_01水果!$B352)&lt;$K$2,N(对接源_01水果!$B352)&gt;$K$3),0,1))</f>
        <v>0</v>
      </c>
      <c r="L352" s="1" t="n">
        <f aca="false">IF(OR($L$1="",对接源_01水果!$C352="",对接源_01水果!$C352&lt;&gt;$L$1,对接源_01水果!$B352=""),0,IF(OR(N(对接源_01水果!$B352)&lt;$L$2,N(对接源_01水果!$B352)&gt;$L$3),0,1))</f>
        <v>0</v>
      </c>
      <c r="M352" s="1" t="n">
        <f aca="false">IF(OR($M$1="",对接源_01水果!$C352="",对接源_01水果!$C352&lt;&gt;$M$1,对接源_01水果!$B352=""),0,IF(OR(N(对接源_01水果!$B352)&lt;$M$2,N(对接源_01水果!$B352)&gt;$M$3),0,1))</f>
        <v>0</v>
      </c>
      <c r="N352" s="1" t="n">
        <f aca="false">IF(OR($N$1="",对接源_01水果!$C352="",对接源_01水果!$C352&lt;&gt;$N$1,对接源_01水果!$B352=""),0,IF(OR(N(对接源_01水果!$B352)&lt;$N$2,N(对接源_01水果!$B352)&gt;$N$3),0,1))</f>
        <v>0</v>
      </c>
      <c r="P352" s="1" t="n">
        <f aca="false">IF(AND($K352=1,AND(对接源_01水果!$X352="公司筐",N(对接源_01水果!$T352)&lt;&gt;0)),1,0)</f>
        <v>0</v>
      </c>
      <c r="Q352" s="1" t="n">
        <f aca="false">N(Q351)+$P352</f>
        <v>3</v>
      </c>
      <c r="R352" s="1" t="n">
        <f aca="false">IF(AND($K352=1,AND(对接源_01水果!$X352="公司筐",N(对接源_01水果!$U352)&lt;&gt;0)),1,0)</f>
        <v>0</v>
      </c>
      <c r="S352" s="1" t="n">
        <f aca="false">N(S351)+$R352</f>
        <v>0</v>
      </c>
      <c r="T352" s="1" t="n">
        <f aca="false">IF(AND($K352=1,AND(对接源_01水果!$X352="公司筐",N(对接源_01水果!$V352)&lt;&gt;0)),1,0)</f>
        <v>0</v>
      </c>
      <c r="U352" s="1" t="n">
        <f aca="false">N(U351)+$T352</f>
        <v>28</v>
      </c>
      <c r="V352" s="1" t="n">
        <f aca="false">IF(AND($L352=1,AND(对接源_01水果!$X352="自备筐",N(对接源_01水果!$V352)&lt;&gt;0)),1,0)</f>
        <v>0</v>
      </c>
      <c r="W352" s="1" t="n">
        <f aca="false">N(W351)+$V352</f>
        <v>7</v>
      </c>
      <c r="X352" s="1" t="n">
        <f aca="false">IF(AND($L352=1,AND(对接源_01水果!$X352="自备筐",N(对接源_01水果!$T352)&lt;&gt;0)),1,0)</f>
        <v>0</v>
      </c>
      <c r="Y352" s="1" t="n">
        <f aca="false">N(Y351)+$X352</f>
        <v>0</v>
      </c>
      <c r="Z352" s="1" t="n">
        <f aca="false">IF(AND($M352=1,对接源_01水果!$D352="原料入库"),1,0)</f>
        <v>0</v>
      </c>
      <c r="AA352" s="1" t="n">
        <f aca="false">N(AA351)+$Z352</f>
        <v>30</v>
      </c>
      <c r="AB352" s="1" t="n">
        <f aca="false">IF(AND($M352=1,LEFT(对接源_01水果!$D352,4)="原料出库"),1,0)</f>
        <v>0</v>
      </c>
      <c r="AC352" s="1" t="n">
        <f aca="false">N(AC351)+$AB352</f>
        <v>19</v>
      </c>
      <c r="AD352" s="1" t="n">
        <f aca="false">IF(AND($M352=1,LEFT(对接源_01水果!$D352,4)="成品出库"),1,0)</f>
        <v>0</v>
      </c>
      <c r="AE352" s="1" t="n">
        <f aca="false">N(AE351)+$AD352</f>
        <v>38</v>
      </c>
      <c r="AF352" s="1" t="n">
        <f aca="false">IF(AND($N352=1,AND(LEFT(对接源_01水果!$D352,4)="包装物料",N(对接源_01水果!$K352)&lt;&gt;0)),1,0)</f>
        <v>0</v>
      </c>
      <c r="AG352" s="90" t="str">
        <f aca="false">IF(对接源_01水果!$AC352="","",对接源_01水果!$AC352)</f>
        <v/>
      </c>
      <c r="AH352" s="1" t="n">
        <f aca="false">IF(AND($N352=1,AND(LEFT(对接源_01水果!$D352,3)="周转筐",N(对接源_01水果!$K352)&lt;&gt;0)),1,0)</f>
        <v>0</v>
      </c>
      <c r="AI352" s="90" t="n">
        <f aca="false">IF(AG352="",0,IF(MATCH(AG352,$AG$4:$AG$1203,0)=ROW()-3,1,0))</f>
        <v>0</v>
      </c>
      <c r="AJ352" s="90" t="n">
        <f aca="false">N(AJ351)+AI352</f>
        <v>4</v>
      </c>
      <c r="AK352" s="1" t="n">
        <f aca="false">N(AK351)+$AJ352</f>
        <v>268</v>
      </c>
    </row>
    <row r="353" customFormat="false" ht="13.5" hidden="false" customHeight="false" outlineLevel="0" collapsed="false">
      <c r="A353" s="1" t="str">
        <f aca="false">IF(对接源_01水果!$C353="","",对接源_01水果!$C353)</f>
        <v/>
      </c>
      <c r="B353" s="1" t="n">
        <f aca="false">IF(A353="",0,IF(MATCH(A353,$A$4:$A$2403,0)=ROW()-3,1,0))</f>
        <v>0</v>
      </c>
      <c r="C353" s="1" t="n">
        <f aca="false">N(C352)+B353</f>
        <v>13</v>
      </c>
      <c r="K353" s="1" t="n">
        <f aca="false">IF(OR($K$1="",对接源_01水果!$C353="",对接源_01水果!$C353&lt;&gt;$K$1,对接源_01水果!$B353=""),0,IF(OR(N(对接源_01水果!$B353)&lt;$K$2,N(对接源_01水果!$B353)&gt;$K$3),0,1))</f>
        <v>0</v>
      </c>
      <c r="L353" s="1" t="n">
        <f aca="false">IF(OR($L$1="",对接源_01水果!$C353="",对接源_01水果!$C353&lt;&gt;$L$1,对接源_01水果!$B353=""),0,IF(OR(N(对接源_01水果!$B353)&lt;$L$2,N(对接源_01水果!$B353)&gt;$L$3),0,1))</f>
        <v>0</v>
      </c>
      <c r="M353" s="1" t="n">
        <f aca="false">IF(OR($M$1="",对接源_01水果!$C353="",对接源_01水果!$C353&lt;&gt;$M$1,对接源_01水果!$B353=""),0,IF(OR(N(对接源_01水果!$B353)&lt;$M$2,N(对接源_01水果!$B353)&gt;$M$3),0,1))</f>
        <v>0</v>
      </c>
      <c r="N353" s="1" t="n">
        <f aca="false">IF(OR($N$1="",对接源_01水果!$C353="",对接源_01水果!$C353&lt;&gt;$N$1,对接源_01水果!$B353=""),0,IF(OR(N(对接源_01水果!$B353)&lt;$N$2,N(对接源_01水果!$B353)&gt;$N$3),0,1))</f>
        <v>0</v>
      </c>
      <c r="P353" s="1" t="n">
        <f aca="false">IF(AND($K353=1,AND(对接源_01水果!$X353="公司筐",N(对接源_01水果!$T353)&lt;&gt;0)),1,0)</f>
        <v>0</v>
      </c>
      <c r="Q353" s="1" t="n">
        <f aca="false">N(Q352)+$P353</f>
        <v>3</v>
      </c>
      <c r="R353" s="1" t="n">
        <f aca="false">IF(AND($K353=1,AND(对接源_01水果!$X353="公司筐",N(对接源_01水果!$U353)&lt;&gt;0)),1,0)</f>
        <v>0</v>
      </c>
      <c r="S353" s="1" t="n">
        <f aca="false">N(S352)+$R353</f>
        <v>0</v>
      </c>
      <c r="T353" s="1" t="n">
        <f aca="false">IF(AND($K353=1,AND(对接源_01水果!$X353="公司筐",N(对接源_01水果!$V353)&lt;&gt;0)),1,0)</f>
        <v>0</v>
      </c>
      <c r="U353" s="1" t="n">
        <f aca="false">N(U352)+$T353</f>
        <v>28</v>
      </c>
      <c r="V353" s="1" t="n">
        <f aca="false">IF(AND($L353=1,AND(对接源_01水果!$X353="自备筐",N(对接源_01水果!$V353)&lt;&gt;0)),1,0)</f>
        <v>0</v>
      </c>
      <c r="W353" s="1" t="n">
        <f aca="false">N(W352)+$V353</f>
        <v>7</v>
      </c>
      <c r="X353" s="1" t="n">
        <f aca="false">IF(AND($L353=1,AND(对接源_01水果!$X353="自备筐",N(对接源_01水果!$T353)&lt;&gt;0)),1,0)</f>
        <v>0</v>
      </c>
      <c r="Y353" s="1" t="n">
        <f aca="false">N(Y352)+$X353</f>
        <v>0</v>
      </c>
      <c r="Z353" s="1" t="n">
        <f aca="false">IF(AND($M353=1,对接源_01水果!$D353="原料入库"),1,0)</f>
        <v>0</v>
      </c>
      <c r="AA353" s="1" t="n">
        <f aca="false">N(AA352)+$Z353</f>
        <v>30</v>
      </c>
      <c r="AB353" s="1" t="n">
        <f aca="false">IF(AND($M353=1,LEFT(对接源_01水果!$D353,4)="原料出库"),1,0)</f>
        <v>0</v>
      </c>
      <c r="AC353" s="1" t="n">
        <f aca="false">N(AC352)+$AB353</f>
        <v>19</v>
      </c>
      <c r="AD353" s="1" t="n">
        <f aca="false">IF(AND($M353=1,LEFT(对接源_01水果!$D353,4)="成品出库"),1,0)</f>
        <v>0</v>
      </c>
      <c r="AE353" s="1" t="n">
        <f aca="false">N(AE352)+$AD353</f>
        <v>38</v>
      </c>
      <c r="AF353" s="1" t="n">
        <f aca="false">IF(AND($N353=1,AND(LEFT(对接源_01水果!$D353,4)="包装物料",N(对接源_01水果!$K353)&lt;&gt;0)),1,0)</f>
        <v>0</v>
      </c>
      <c r="AG353" s="90" t="str">
        <f aca="false">IF(对接源_01水果!$AC353="","",对接源_01水果!$AC353)</f>
        <v/>
      </c>
      <c r="AH353" s="1" t="n">
        <f aca="false">IF(AND($N353=1,AND(LEFT(对接源_01水果!$D353,3)="周转筐",N(对接源_01水果!$K353)&lt;&gt;0)),1,0)</f>
        <v>0</v>
      </c>
      <c r="AI353" s="90" t="n">
        <f aca="false">IF(AG353="",0,IF(MATCH(AG353,$AG$4:$AG$1203,0)=ROW()-3,1,0))</f>
        <v>0</v>
      </c>
      <c r="AJ353" s="90" t="n">
        <f aca="false">N(AJ352)+AI353</f>
        <v>4</v>
      </c>
      <c r="AK353" s="1" t="n">
        <f aca="false">N(AK352)+$AJ353</f>
        <v>272</v>
      </c>
    </row>
    <row r="354" customFormat="false" ht="13.5" hidden="false" customHeight="false" outlineLevel="0" collapsed="false">
      <c r="A354" s="1" t="str">
        <f aca="false">IF(对接源_01水果!$C354="","",对接源_01水果!$C354)</f>
        <v/>
      </c>
      <c r="B354" s="1" t="n">
        <f aca="false">IF(A354="",0,IF(MATCH(A354,$A$4:$A$2403,0)=ROW()-3,1,0))</f>
        <v>0</v>
      </c>
      <c r="C354" s="1" t="n">
        <f aca="false">N(C353)+B354</f>
        <v>13</v>
      </c>
      <c r="K354" s="1" t="n">
        <f aca="false">IF(OR($K$1="",对接源_01水果!$C354="",对接源_01水果!$C354&lt;&gt;$K$1,对接源_01水果!$B354=""),0,IF(OR(N(对接源_01水果!$B354)&lt;$K$2,N(对接源_01水果!$B354)&gt;$K$3),0,1))</f>
        <v>0</v>
      </c>
      <c r="L354" s="1" t="n">
        <f aca="false">IF(OR($L$1="",对接源_01水果!$C354="",对接源_01水果!$C354&lt;&gt;$L$1,对接源_01水果!$B354=""),0,IF(OR(N(对接源_01水果!$B354)&lt;$L$2,N(对接源_01水果!$B354)&gt;$L$3),0,1))</f>
        <v>0</v>
      </c>
      <c r="M354" s="1" t="n">
        <f aca="false">IF(OR($M$1="",对接源_01水果!$C354="",对接源_01水果!$C354&lt;&gt;$M$1,对接源_01水果!$B354=""),0,IF(OR(N(对接源_01水果!$B354)&lt;$M$2,N(对接源_01水果!$B354)&gt;$M$3),0,1))</f>
        <v>0</v>
      </c>
      <c r="N354" s="1" t="n">
        <f aca="false">IF(OR($N$1="",对接源_01水果!$C354="",对接源_01水果!$C354&lt;&gt;$N$1,对接源_01水果!$B354=""),0,IF(OR(N(对接源_01水果!$B354)&lt;$N$2,N(对接源_01水果!$B354)&gt;$N$3),0,1))</f>
        <v>0</v>
      </c>
      <c r="P354" s="1" t="n">
        <f aca="false">IF(AND($K354=1,AND(对接源_01水果!$X354="公司筐",N(对接源_01水果!$T354)&lt;&gt;0)),1,0)</f>
        <v>0</v>
      </c>
      <c r="Q354" s="1" t="n">
        <f aca="false">N(Q353)+$P354</f>
        <v>3</v>
      </c>
      <c r="R354" s="1" t="n">
        <f aca="false">IF(AND($K354=1,AND(对接源_01水果!$X354="公司筐",N(对接源_01水果!$U354)&lt;&gt;0)),1,0)</f>
        <v>0</v>
      </c>
      <c r="S354" s="1" t="n">
        <f aca="false">N(S353)+$R354</f>
        <v>0</v>
      </c>
      <c r="T354" s="1" t="n">
        <f aca="false">IF(AND($K354=1,AND(对接源_01水果!$X354="公司筐",N(对接源_01水果!$V354)&lt;&gt;0)),1,0)</f>
        <v>0</v>
      </c>
      <c r="U354" s="1" t="n">
        <f aca="false">N(U353)+$T354</f>
        <v>28</v>
      </c>
      <c r="V354" s="1" t="n">
        <f aca="false">IF(AND($L354=1,AND(对接源_01水果!$X354="自备筐",N(对接源_01水果!$V354)&lt;&gt;0)),1,0)</f>
        <v>0</v>
      </c>
      <c r="W354" s="1" t="n">
        <f aca="false">N(W353)+$V354</f>
        <v>7</v>
      </c>
      <c r="X354" s="1" t="n">
        <f aca="false">IF(AND($L354=1,AND(对接源_01水果!$X354="自备筐",N(对接源_01水果!$T354)&lt;&gt;0)),1,0)</f>
        <v>0</v>
      </c>
      <c r="Y354" s="1" t="n">
        <f aca="false">N(Y353)+$X354</f>
        <v>0</v>
      </c>
      <c r="Z354" s="1" t="n">
        <f aca="false">IF(AND($M354=1,对接源_01水果!$D354="原料入库"),1,0)</f>
        <v>0</v>
      </c>
      <c r="AA354" s="1" t="n">
        <f aca="false">N(AA353)+$Z354</f>
        <v>30</v>
      </c>
      <c r="AB354" s="1" t="n">
        <f aca="false">IF(AND($M354=1,LEFT(对接源_01水果!$D354,4)="原料出库"),1,0)</f>
        <v>0</v>
      </c>
      <c r="AC354" s="1" t="n">
        <f aca="false">N(AC353)+$AB354</f>
        <v>19</v>
      </c>
      <c r="AD354" s="1" t="n">
        <f aca="false">IF(AND($M354=1,LEFT(对接源_01水果!$D354,4)="成品出库"),1,0)</f>
        <v>0</v>
      </c>
      <c r="AE354" s="1" t="n">
        <f aca="false">N(AE353)+$AD354</f>
        <v>38</v>
      </c>
      <c r="AF354" s="1" t="n">
        <f aca="false">IF(AND($N354=1,AND(LEFT(对接源_01水果!$D354,4)="包装物料",N(对接源_01水果!$K354)&lt;&gt;0)),1,0)</f>
        <v>0</v>
      </c>
      <c r="AG354" s="90" t="str">
        <f aca="false">IF(对接源_01水果!$AC354="","",对接源_01水果!$AC354)</f>
        <v/>
      </c>
      <c r="AH354" s="1" t="n">
        <f aca="false">IF(AND($N354=1,AND(LEFT(对接源_01水果!$D354,3)="周转筐",N(对接源_01水果!$K354)&lt;&gt;0)),1,0)</f>
        <v>0</v>
      </c>
      <c r="AI354" s="90" t="n">
        <f aca="false">IF(AG354="",0,IF(MATCH(AG354,$AG$4:$AG$1203,0)=ROW()-3,1,0))</f>
        <v>0</v>
      </c>
      <c r="AJ354" s="90" t="n">
        <f aca="false">N(AJ353)+AI354</f>
        <v>4</v>
      </c>
      <c r="AK354" s="1" t="n">
        <f aca="false">N(AK353)+$AJ354</f>
        <v>276</v>
      </c>
    </row>
    <row r="355" customFormat="false" ht="13.5" hidden="false" customHeight="false" outlineLevel="0" collapsed="false">
      <c r="A355" s="1" t="str">
        <f aca="false">IF(对接源_01水果!$C355="","",对接源_01水果!$C355)</f>
        <v/>
      </c>
      <c r="B355" s="1" t="n">
        <f aca="false">IF(A355="",0,IF(MATCH(A355,$A$4:$A$2403,0)=ROW()-3,1,0))</f>
        <v>0</v>
      </c>
      <c r="C355" s="1" t="n">
        <f aca="false">N(C354)+B355</f>
        <v>13</v>
      </c>
      <c r="K355" s="1" t="n">
        <f aca="false">IF(OR($K$1="",对接源_01水果!$C355="",对接源_01水果!$C355&lt;&gt;$K$1,对接源_01水果!$B355=""),0,IF(OR(N(对接源_01水果!$B355)&lt;$K$2,N(对接源_01水果!$B355)&gt;$K$3),0,1))</f>
        <v>0</v>
      </c>
      <c r="L355" s="1" t="n">
        <f aca="false">IF(OR($L$1="",对接源_01水果!$C355="",对接源_01水果!$C355&lt;&gt;$L$1,对接源_01水果!$B355=""),0,IF(OR(N(对接源_01水果!$B355)&lt;$L$2,N(对接源_01水果!$B355)&gt;$L$3),0,1))</f>
        <v>0</v>
      </c>
      <c r="M355" s="1" t="n">
        <f aca="false">IF(OR($M$1="",对接源_01水果!$C355="",对接源_01水果!$C355&lt;&gt;$M$1,对接源_01水果!$B355=""),0,IF(OR(N(对接源_01水果!$B355)&lt;$M$2,N(对接源_01水果!$B355)&gt;$M$3),0,1))</f>
        <v>0</v>
      </c>
      <c r="N355" s="1" t="n">
        <f aca="false">IF(OR($N$1="",对接源_01水果!$C355="",对接源_01水果!$C355&lt;&gt;$N$1,对接源_01水果!$B355=""),0,IF(OR(N(对接源_01水果!$B355)&lt;$N$2,N(对接源_01水果!$B355)&gt;$N$3),0,1))</f>
        <v>0</v>
      </c>
      <c r="P355" s="1" t="n">
        <f aca="false">IF(AND($K355=1,AND(对接源_01水果!$X355="公司筐",N(对接源_01水果!$T355)&lt;&gt;0)),1,0)</f>
        <v>0</v>
      </c>
      <c r="Q355" s="1" t="n">
        <f aca="false">N(Q354)+$P355</f>
        <v>3</v>
      </c>
      <c r="R355" s="1" t="n">
        <f aca="false">IF(AND($K355=1,AND(对接源_01水果!$X355="公司筐",N(对接源_01水果!$U355)&lt;&gt;0)),1,0)</f>
        <v>0</v>
      </c>
      <c r="S355" s="1" t="n">
        <f aca="false">N(S354)+$R355</f>
        <v>0</v>
      </c>
      <c r="T355" s="1" t="n">
        <f aca="false">IF(AND($K355=1,AND(对接源_01水果!$X355="公司筐",N(对接源_01水果!$V355)&lt;&gt;0)),1,0)</f>
        <v>0</v>
      </c>
      <c r="U355" s="1" t="n">
        <f aca="false">N(U354)+$T355</f>
        <v>28</v>
      </c>
      <c r="V355" s="1" t="n">
        <f aca="false">IF(AND($L355=1,AND(对接源_01水果!$X355="自备筐",N(对接源_01水果!$V355)&lt;&gt;0)),1,0)</f>
        <v>0</v>
      </c>
      <c r="W355" s="1" t="n">
        <f aca="false">N(W354)+$V355</f>
        <v>7</v>
      </c>
      <c r="X355" s="1" t="n">
        <f aca="false">IF(AND($L355=1,AND(对接源_01水果!$X355="自备筐",N(对接源_01水果!$T355)&lt;&gt;0)),1,0)</f>
        <v>0</v>
      </c>
      <c r="Y355" s="1" t="n">
        <f aca="false">N(Y354)+$X355</f>
        <v>0</v>
      </c>
      <c r="Z355" s="1" t="n">
        <f aca="false">IF(AND($M355=1,对接源_01水果!$D355="原料入库"),1,0)</f>
        <v>0</v>
      </c>
      <c r="AA355" s="1" t="n">
        <f aca="false">N(AA354)+$Z355</f>
        <v>30</v>
      </c>
      <c r="AB355" s="1" t="n">
        <f aca="false">IF(AND($M355=1,LEFT(对接源_01水果!$D355,4)="原料出库"),1,0)</f>
        <v>0</v>
      </c>
      <c r="AC355" s="1" t="n">
        <f aca="false">N(AC354)+$AB355</f>
        <v>19</v>
      </c>
      <c r="AD355" s="1" t="n">
        <f aca="false">IF(AND($M355=1,LEFT(对接源_01水果!$D355,4)="成品出库"),1,0)</f>
        <v>0</v>
      </c>
      <c r="AE355" s="1" t="n">
        <f aca="false">N(AE354)+$AD355</f>
        <v>38</v>
      </c>
      <c r="AF355" s="1" t="n">
        <f aca="false">IF(AND($N355=1,AND(LEFT(对接源_01水果!$D355,4)="包装物料",N(对接源_01水果!$K355)&lt;&gt;0)),1,0)</f>
        <v>0</v>
      </c>
      <c r="AG355" s="90" t="str">
        <f aca="false">IF(对接源_01水果!$AC355="","",对接源_01水果!$AC355)</f>
        <v/>
      </c>
      <c r="AH355" s="1" t="n">
        <f aca="false">IF(AND($N355=1,AND(LEFT(对接源_01水果!$D355,3)="周转筐",N(对接源_01水果!$K355)&lt;&gt;0)),1,0)</f>
        <v>0</v>
      </c>
      <c r="AI355" s="90" t="n">
        <f aca="false">IF(AG355="",0,IF(MATCH(AG355,$AG$4:$AG$1203,0)=ROW()-3,1,0))</f>
        <v>0</v>
      </c>
      <c r="AJ355" s="90" t="n">
        <f aca="false">N(AJ354)+AI355</f>
        <v>4</v>
      </c>
      <c r="AK355" s="1" t="n">
        <f aca="false">N(AK354)+$AJ355</f>
        <v>280</v>
      </c>
    </row>
    <row r="356" customFormat="false" ht="13.5" hidden="false" customHeight="false" outlineLevel="0" collapsed="false">
      <c r="A356" s="1" t="str">
        <f aca="false">IF(对接源_01水果!$C356="","",对接源_01水果!$C356)</f>
        <v/>
      </c>
      <c r="B356" s="1" t="n">
        <f aca="false">IF(A356="",0,IF(MATCH(A356,$A$4:$A$2403,0)=ROW()-3,1,0))</f>
        <v>0</v>
      </c>
      <c r="C356" s="1" t="n">
        <f aca="false">N(C355)+B356</f>
        <v>13</v>
      </c>
      <c r="K356" s="1" t="n">
        <f aca="false">IF(OR($K$1="",对接源_01水果!$C356="",对接源_01水果!$C356&lt;&gt;$K$1,对接源_01水果!$B356=""),0,IF(OR(N(对接源_01水果!$B356)&lt;$K$2,N(对接源_01水果!$B356)&gt;$K$3),0,1))</f>
        <v>0</v>
      </c>
      <c r="L356" s="1" t="n">
        <f aca="false">IF(OR($L$1="",对接源_01水果!$C356="",对接源_01水果!$C356&lt;&gt;$L$1,对接源_01水果!$B356=""),0,IF(OR(N(对接源_01水果!$B356)&lt;$L$2,N(对接源_01水果!$B356)&gt;$L$3),0,1))</f>
        <v>0</v>
      </c>
      <c r="M356" s="1" t="n">
        <f aca="false">IF(OR($M$1="",对接源_01水果!$C356="",对接源_01水果!$C356&lt;&gt;$M$1,对接源_01水果!$B356=""),0,IF(OR(N(对接源_01水果!$B356)&lt;$M$2,N(对接源_01水果!$B356)&gt;$M$3),0,1))</f>
        <v>0</v>
      </c>
      <c r="N356" s="1" t="n">
        <f aca="false">IF(OR($N$1="",对接源_01水果!$C356="",对接源_01水果!$C356&lt;&gt;$N$1,对接源_01水果!$B356=""),0,IF(OR(N(对接源_01水果!$B356)&lt;$N$2,N(对接源_01水果!$B356)&gt;$N$3),0,1))</f>
        <v>0</v>
      </c>
      <c r="P356" s="1" t="n">
        <f aca="false">IF(AND($K356=1,AND(对接源_01水果!$X356="公司筐",N(对接源_01水果!$T356)&lt;&gt;0)),1,0)</f>
        <v>0</v>
      </c>
      <c r="Q356" s="1" t="n">
        <f aca="false">N(Q355)+$P356</f>
        <v>3</v>
      </c>
      <c r="R356" s="1" t="n">
        <f aca="false">IF(AND($K356=1,AND(对接源_01水果!$X356="公司筐",N(对接源_01水果!$U356)&lt;&gt;0)),1,0)</f>
        <v>0</v>
      </c>
      <c r="S356" s="1" t="n">
        <f aca="false">N(S355)+$R356</f>
        <v>0</v>
      </c>
      <c r="T356" s="1" t="n">
        <f aca="false">IF(AND($K356=1,AND(对接源_01水果!$X356="公司筐",N(对接源_01水果!$V356)&lt;&gt;0)),1,0)</f>
        <v>0</v>
      </c>
      <c r="U356" s="1" t="n">
        <f aca="false">N(U355)+$T356</f>
        <v>28</v>
      </c>
      <c r="V356" s="1" t="n">
        <f aca="false">IF(AND($L356=1,AND(对接源_01水果!$X356="自备筐",N(对接源_01水果!$V356)&lt;&gt;0)),1,0)</f>
        <v>0</v>
      </c>
      <c r="W356" s="1" t="n">
        <f aca="false">N(W355)+$V356</f>
        <v>7</v>
      </c>
      <c r="X356" s="1" t="n">
        <f aca="false">IF(AND($L356=1,AND(对接源_01水果!$X356="自备筐",N(对接源_01水果!$T356)&lt;&gt;0)),1,0)</f>
        <v>0</v>
      </c>
      <c r="Y356" s="1" t="n">
        <f aca="false">N(Y355)+$X356</f>
        <v>0</v>
      </c>
      <c r="Z356" s="1" t="n">
        <f aca="false">IF(AND($M356=1,对接源_01水果!$D356="原料入库"),1,0)</f>
        <v>0</v>
      </c>
      <c r="AA356" s="1" t="n">
        <f aca="false">N(AA355)+$Z356</f>
        <v>30</v>
      </c>
      <c r="AB356" s="1" t="n">
        <f aca="false">IF(AND($M356=1,LEFT(对接源_01水果!$D356,4)="原料出库"),1,0)</f>
        <v>0</v>
      </c>
      <c r="AC356" s="1" t="n">
        <f aca="false">N(AC355)+$AB356</f>
        <v>19</v>
      </c>
      <c r="AD356" s="1" t="n">
        <f aca="false">IF(AND($M356=1,LEFT(对接源_01水果!$D356,4)="成品出库"),1,0)</f>
        <v>0</v>
      </c>
      <c r="AE356" s="1" t="n">
        <f aca="false">N(AE355)+$AD356</f>
        <v>38</v>
      </c>
      <c r="AF356" s="1" t="n">
        <f aca="false">IF(AND($N356=1,AND(LEFT(对接源_01水果!$D356,4)="包装物料",N(对接源_01水果!$K356)&lt;&gt;0)),1,0)</f>
        <v>0</v>
      </c>
      <c r="AG356" s="90" t="str">
        <f aca="false">IF(对接源_01水果!$AC356="","",对接源_01水果!$AC356)</f>
        <v/>
      </c>
      <c r="AH356" s="1" t="n">
        <f aca="false">IF(AND($N356=1,AND(LEFT(对接源_01水果!$D356,3)="周转筐",N(对接源_01水果!$K356)&lt;&gt;0)),1,0)</f>
        <v>0</v>
      </c>
      <c r="AI356" s="90" t="n">
        <f aca="false">IF(AG356="",0,IF(MATCH(AG356,$AG$4:$AG$1203,0)=ROW()-3,1,0))</f>
        <v>0</v>
      </c>
      <c r="AJ356" s="90" t="n">
        <f aca="false">N(AJ355)+AI356</f>
        <v>4</v>
      </c>
      <c r="AK356" s="1" t="n">
        <f aca="false">N(AK355)+$AJ356</f>
        <v>284</v>
      </c>
    </row>
    <row r="357" customFormat="false" ht="13.5" hidden="false" customHeight="false" outlineLevel="0" collapsed="false">
      <c r="A357" s="1" t="str">
        <f aca="false">IF(对接源_01水果!$C357="","",对接源_01水果!$C357)</f>
        <v/>
      </c>
      <c r="B357" s="1" t="n">
        <f aca="false">IF(A357="",0,IF(MATCH(A357,$A$4:$A$2403,0)=ROW()-3,1,0))</f>
        <v>0</v>
      </c>
      <c r="C357" s="1" t="n">
        <f aca="false">N(C356)+B357</f>
        <v>13</v>
      </c>
      <c r="K357" s="1" t="n">
        <f aca="false">IF(OR($K$1="",对接源_01水果!$C357="",对接源_01水果!$C357&lt;&gt;$K$1,对接源_01水果!$B357=""),0,IF(OR(N(对接源_01水果!$B357)&lt;$K$2,N(对接源_01水果!$B357)&gt;$K$3),0,1))</f>
        <v>0</v>
      </c>
      <c r="L357" s="1" t="n">
        <f aca="false">IF(OR($L$1="",对接源_01水果!$C357="",对接源_01水果!$C357&lt;&gt;$L$1,对接源_01水果!$B357=""),0,IF(OR(N(对接源_01水果!$B357)&lt;$L$2,N(对接源_01水果!$B357)&gt;$L$3),0,1))</f>
        <v>0</v>
      </c>
      <c r="M357" s="1" t="n">
        <f aca="false">IF(OR($M$1="",对接源_01水果!$C357="",对接源_01水果!$C357&lt;&gt;$M$1,对接源_01水果!$B357=""),0,IF(OR(N(对接源_01水果!$B357)&lt;$M$2,N(对接源_01水果!$B357)&gt;$M$3),0,1))</f>
        <v>0</v>
      </c>
      <c r="N357" s="1" t="n">
        <f aca="false">IF(OR($N$1="",对接源_01水果!$C357="",对接源_01水果!$C357&lt;&gt;$N$1,对接源_01水果!$B357=""),0,IF(OR(N(对接源_01水果!$B357)&lt;$N$2,N(对接源_01水果!$B357)&gt;$N$3),0,1))</f>
        <v>0</v>
      </c>
      <c r="P357" s="1" t="n">
        <f aca="false">IF(AND($K357=1,AND(对接源_01水果!$X357="公司筐",N(对接源_01水果!$T357)&lt;&gt;0)),1,0)</f>
        <v>0</v>
      </c>
      <c r="Q357" s="1" t="n">
        <f aca="false">N(Q356)+$P357</f>
        <v>3</v>
      </c>
      <c r="R357" s="1" t="n">
        <f aca="false">IF(AND($K357=1,AND(对接源_01水果!$X357="公司筐",N(对接源_01水果!$U357)&lt;&gt;0)),1,0)</f>
        <v>0</v>
      </c>
      <c r="S357" s="1" t="n">
        <f aca="false">N(S356)+$R357</f>
        <v>0</v>
      </c>
      <c r="T357" s="1" t="n">
        <f aca="false">IF(AND($K357=1,AND(对接源_01水果!$X357="公司筐",N(对接源_01水果!$V357)&lt;&gt;0)),1,0)</f>
        <v>0</v>
      </c>
      <c r="U357" s="1" t="n">
        <f aca="false">N(U356)+$T357</f>
        <v>28</v>
      </c>
      <c r="V357" s="1" t="n">
        <f aca="false">IF(AND($L357=1,AND(对接源_01水果!$X357="自备筐",N(对接源_01水果!$V357)&lt;&gt;0)),1,0)</f>
        <v>0</v>
      </c>
      <c r="W357" s="1" t="n">
        <f aca="false">N(W356)+$V357</f>
        <v>7</v>
      </c>
      <c r="X357" s="1" t="n">
        <f aca="false">IF(AND($L357=1,AND(对接源_01水果!$X357="自备筐",N(对接源_01水果!$T357)&lt;&gt;0)),1,0)</f>
        <v>0</v>
      </c>
      <c r="Y357" s="1" t="n">
        <f aca="false">N(Y356)+$X357</f>
        <v>0</v>
      </c>
      <c r="Z357" s="1" t="n">
        <f aca="false">IF(AND($M357=1,对接源_01水果!$D357="原料入库"),1,0)</f>
        <v>0</v>
      </c>
      <c r="AA357" s="1" t="n">
        <f aca="false">N(AA356)+$Z357</f>
        <v>30</v>
      </c>
      <c r="AB357" s="1" t="n">
        <f aca="false">IF(AND($M357=1,LEFT(对接源_01水果!$D357,4)="原料出库"),1,0)</f>
        <v>0</v>
      </c>
      <c r="AC357" s="1" t="n">
        <f aca="false">N(AC356)+$AB357</f>
        <v>19</v>
      </c>
      <c r="AD357" s="1" t="n">
        <f aca="false">IF(AND($M357=1,LEFT(对接源_01水果!$D357,4)="成品出库"),1,0)</f>
        <v>0</v>
      </c>
      <c r="AE357" s="1" t="n">
        <f aca="false">N(AE356)+$AD357</f>
        <v>38</v>
      </c>
      <c r="AF357" s="1" t="n">
        <f aca="false">IF(AND($N357=1,AND(LEFT(对接源_01水果!$D357,4)="包装物料",N(对接源_01水果!$K357)&lt;&gt;0)),1,0)</f>
        <v>0</v>
      </c>
      <c r="AG357" s="90" t="str">
        <f aca="false">IF(对接源_01水果!$AC357="","",对接源_01水果!$AC357)</f>
        <v/>
      </c>
      <c r="AH357" s="1" t="n">
        <f aca="false">IF(AND($N357=1,AND(LEFT(对接源_01水果!$D357,3)="周转筐",N(对接源_01水果!$K357)&lt;&gt;0)),1,0)</f>
        <v>0</v>
      </c>
      <c r="AI357" s="90" t="n">
        <f aca="false">IF(AG357="",0,IF(MATCH(AG357,$AG$4:$AG$1203,0)=ROW()-3,1,0))</f>
        <v>0</v>
      </c>
      <c r="AJ357" s="90" t="n">
        <f aca="false">N(AJ356)+AI357</f>
        <v>4</v>
      </c>
      <c r="AK357" s="1" t="n">
        <f aca="false">N(AK356)+$AJ357</f>
        <v>288</v>
      </c>
    </row>
    <row r="358" customFormat="false" ht="13.5" hidden="false" customHeight="false" outlineLevel="0" collapsed="false">
      <c r="A358" s="1" t="str">
        <f aca="false">IF(对接源_01水果!$C358="","",对接源_01水果!$C358)</f>
        <v/>
      </c>
      <c r="B358" s="1" t="n">
        <f aca="false">IF(A358="",0,IF(MATCH(A358,$A$4:$A$2403,0)=ROW()-3,1,0))</f>
        <v>0</v>
      </c>
      <c r="C358" s="1" t="n">
        <f aca="false">N(C357)+B358</f>
        <v>13</v>
      </c>
      <c r="K358" s="1" t="n">
        <f aca="false">IF(OR($K$1="",对接源_01水果!$C358="",对接源_01水果!$C358&lt;&gt;$K$1,对接源_01水果!$B358=""),0,IF(OR(N(对接源_01水果!$B358)&lt;$K$2,N(对接源_01水果!$B358)&gt;$K$3),0,1))</f>
        <v>0</v>
      </c>
      <c r="L358" s="1" t="n">
        <f aca="false">IF(OR($L$1="",对接源_01水果!$C358="",对接源_01水果!$C358&lt;&gt;$L$1,对接源_01水果!$B358=""),0,IF(OR(N(对接源_01水果!$B358)&lt;$L$2,N(对接源_01水果!$B358)&gt;$L$3),0,1))</f>
        <v>0</v>
      </c>
      <c r="M358" s="1" t="n">
        <f aca="false">IF(OR($M$1="",对接源_01水果!$C358="",对接源_01水果!$C358&lt;&gt;$M$1,对接源_01水果!$B358=""),0,IF(OR(N(对接源_01水果!$B358)&lt;$M$2,N(对接源_01水果!$B358)&gt;$M$3),0,1))</f>
        <v>0</v>
      </c>
      <c r="N358" s="1" t="n">
        <f aca="false">IF(OR($N$1="",对接源_01水果!$C358="",对接源_01水果!$C358&lt;&gt;$N$1,对接源_01水果!$B358=""),0,IF(OR(N(对接源_01水果!$B358)&lt;$N$2,N(对接源_01水果!$B358)&gt;$N$3),0,1))</f>
        <v>0</v>
      </c>
      <c r="P358" s="1" t="n">
        <f aca="false">IF(AND($K358=1,AND(对接源_01水果!$X358="公司筐",N(对接源_01水果!$T358)&lt;&gt;0)),1,0)</f>
        <v>0</v>
      </c>
      <c r="Q358" s="1" t="n">
        <f aca="false">N(Q357)+$P358</f>
        <v>3</v>
      </c>
      <c r="R358" s="1" t="n">
        <f aca="false">IF(AND($K358=1,AND(对接源_01水果!$X358="公司筐",N(对接源_01水果!$U358)&lt;&gt;0)),1,0)</f>
        <v>0</v>
      </c>
      <c r="S358" s="1" t="n">
        <f aca="false">N(S357)+$R358</f>
        <v>0</v>
      </c>
      <c r="T358" s="1" t="n">
        <f aca="false">IF(AND($K358=1,AND(对接源_01水果!$X358="公司筐",N(对接源_01水果!$V358)&lt;&gt;0)),1,0)</f>
        <v>0</v>
      </c>
      <c r="U358" s="1" t="n">
        <f aca="false">N(U357)+$T358</f>
        <v>28</v>
      </c>
      <c r="V358" s="1" t="n">
        <f aca="false">IF(AND($L358=1,AND(对接源_01水果!$X358="自备筐",N(对接源_01水果!$V358)&lt;&gt;0)),1,0)</f>
        <v>0</v>
      </c>
      <c r="W358" s="1" t="n">
        <f aca="false">N(W357)+$V358</f>
        <v>7</v>
      </c>
      <c r="X358" s="1" t="n">
        <f aca="false">IF(AND($L358=1,AND(对接源_01水果!$X358="自备筐",N(对接源_01水果!$T358)&lt;&gt;0)),1,0)</f>
        <v>0</v>
      </c>
      <c r="Y358" s="1" t="n">
        <f aca="false">N(Y357)+$X358</f>
        <v>0</v>
      </c>
      <c r="Z358" s="1" t="n">
        <f aca="false">IF(AND($M358=1,对接源_01水果!$D358="原料入库"),1,0)</f>
        <v>0</v>
      </c>
      <c r="AA358" s="1" t="n">
        <f aca="false">N(AA357)+$Z358</f>
        <v>30</v>
      </c>
      <c r="AB358" s="1" t="n">
        <f aca="false">IF(AND($M358=1,LEFT(对接源_01水果!$D358,4)="原料出库"),1,0)</f>
        <v>0</v>
      </c>
      <c r="AC358" s="1" t="n">
        <f aca="false">N(AC357)+$AB358</f>
        <v>19</v>
      </c>
      <c r="AD358" s="1" t="n">
        <f aca="false">IF(AND($M358=1,LEFT(对接源_01水果!$D358,4)="成品出库"),1,0)</f>
        <v>0</v>
      </c>
      <c r="AE358" s="1" t="n">
        <f aca="false">N(AE357)+$AD358</f>
        <v>38</v>
      </c>
      <c r="AF358" s="1" t="n">
        <f aca="false">IF(AND($N358=1,AND(LEFT(对接源_01水果!$D358,4)="包装物料",N(对接源_01水果!$K358)&lt;&gt;0)),1,0)</f>
        <v>0</v>
      </c>
      <c r="AG358" s="90" t="str">
        <f aca="false">IF(对接源_01水果!$AC358="","",对接源_01水果!$AC358)</f>
        <v/>
      </c>
      <c r="AH358" s="1" t="n">
        <f aca="false">IF(AND($N358=1,AND(LEFT(对接源_01水果!$D358,3)="周转筐",N(对接源_01水果!$K358)&lt;&gt;0)),1,0)</f>
        <v>0</v>
      </c>
      <c r="AI358" s="90" t="n">
        <f aca="false">IF(AG358="",0,IF(MATCH(AG358,$AG$4:$AG$1203,0)=ROW()-3,1,0))</f>
        <v>0</v>
      </c>
      <c r="AJ358" s="90" t="n">
        <f aca="false">N(AJ357)+AI358</f>
        <v>4</v>
      </c>
      <c r="AK358" s="1" t="n">
        <f aca="false">N(AK357)+$AJ358</f>
        <v>292</v>
      </c>
    </row>
    <row r="359" customFormat="false" ht="13.5" hidden="false" customHeight="false" outlineLevel="0" collapsed="false">
      <c r="A359" s="1" t="str">
        <f aca="false">IF(对接源_01水果!$C359="","",对接源_01水果!$C359)</f>
        <v/>
      </c>
      <c r="B359" s="1" t="n">
        <f aca="false">IF(A359="",0,IF(MATCH(A359,$A$4:$A$2403,0)=ROW()-3,1,0))</f>
        <v>0</v>
      </c>
      <c r="C359" s="1" t="n">
        <f aca="false">N(C358)+B359</f>
        <v>13</v>
      </c>
      <c r="K359" s="1" t="n">
        <f aca="false">IF(OR($K$1="",对接源_01水果!$C359="",对接源_01水果!$C359&lt;&gt;$K$1,对接源_01水果!$B359=""),0,IF(OR(N(对接源_01水果!$B359)&lt;$K$2,N(对接源_01水果!$B359)&gt;$K$3),0,1))</f>
        <v>0</v>
      </c>
      <c r="L359" s="1" t="n">
        <f aca="false">IF(OR($L$1="",对接源_01水果!$C359="",对接源_01水果!$C359&lt;&gt;$L$1,对接源_01水果!$B359=""),0,IF(OR(N(对接源_01水果!$B359)&lt;$L$2,N(对接源_01水果!$B359)&gt;$L$3),0,1))</f>
        <v>0</v>
      </c>
      <c r="M359" s="1" t="n">
        <f aca="false">IF(OR($M$1="",对接源_01水果!$C359="",对接源_01水果!$C359&lt;&gt;$M$1,对接源_01水果!$B359=""),0,IF(OR(N(对接源_01水果!$B359)&lt;$M$2,N(对接源_01水果!$B359)&gt;$M$3),0,1))</f>
        <v>0</v>
      </c>
      <c r="N359" s="1" t="n">
        <f aca="false">IF(OR($N$1="",对接源_01水果!$C359="",对接源_01水果!$C359&lt;&gt;$N$1,对接源_01水果!$B359=""),0,IF(OR(N(对接源_01水果!$B359)&lt;$N$2,N(对接源_01水果!$B359)&gt;$N$3),0,1))</f>
        <v>0</v>
      </c>
      <c r="P359" s="1" t="n">
        <f aca="false">IF(AND($K359=1,AND(对接源_01水果!$X359="公司筐",N(对接源_01水果!$T359)&lt;&gt;0)),1,0)</f>
        <v>0</v>
      </c>
      <c r="Q359" s="1" t="n">
        <f aca="false">N(Q358)+$P359</f>
        <v>3</v>
      </c>
      <c r="R359" s="1" t="n">
        <f aca="false">IF(AND($K359=1,AND(对接源_01水果!$X359="公司筐",N(对接源_01水果!$U359)&lt;&gt;0)),1,0)</f>
        <v>0</v>
      </c>
      <c r="S359" s="1" t="n">
        <f aca="false">N(S358)+$R359</f>
        <v>0</v>
      </c>
      <c r="T359" s="1" t="n">
        <f aca="false">IF(AND($K359=1,AND(对接源_01水果!$X359="公司筐",N(对接源_01水果!$V359)&lt;&gt;0)),1,0)</f>
        <v>0</v>
      </c>
      <c r="U359" s="1" t="n">
        <f aca="false">N(U358)+$T359</f>
        <v>28</v>
      </c>
      <c r="V359" s="1" t="n">
        <f aca="false">IF(AND($L359=1,AND(对接源_01水果!$X359="自备筐",N(对接源_01水果!$V359)&lt;&gt;0)),1,0)</f>
        <v>0</v>
      </c>
      <c r="W359" s="1" t="n">
        <f aca="false">N(W358)+$V359</f>
        <v>7</v>
      </c>
      <c r="X359" s="1" t="n">
        <f aca="false">IF(AND($L359=1,AND(对接源_01水果!$X359="自备筐",N(对接源_01水果!$T359)&lt;&gt;0)),1,0)</f>
        <v>0</v>
      </c>
      <c r="Y359" s="1" t="n">
        <f aca="false">N(Y358)+$X359</f>
        <v>0</v>
      </c>
      <c r="Z359" s="1" t="n">
        <f aca="false">IF(AND($M359=1,对接源_01水果!$D359="原料入库"),1,0)</f>
        <v>0</v>
      </c>
      <c r="AA359" s="1" t="n">
        <f aca="false">N(AA358)+$Z359</f>
        <v>30</v>
      </c>
      <c r="AB359" s="1" t="n">
        <f aca="false">IF(AND($M359=1,LEFT(对接源_01水果!$D359,4)="原料出库"),1,0)</f>
        <v>0</v>
      </c>
      <c r="AC359" s="1" t="n">
        <f aca="false">N(AC358)+$AB359</f>
        <v>19</v>
      </c>
      <c r="AD359" s="1" t="n">
        <f aca="false">IF(AND($M359=1,LEFT(对接源_01水果!$D359,4)="成品出库"),1,0)</f>
        <v>0</v>
      </c>
      <c r="AE359" s="1" t="n">
        <f aca="false">N(AE358)+$AD359</f>
        <v>38</v>
      </c>
      <c r="AF359" s="1" t="n">
        <f aca="false">IF(AND($N359=1,AND(LEFT(对接源_01水果!$D359,4)="包装物料",N(对接源_01水果!$K359)&lt;&gt;0)),1,0)</f>
        <v>0</v>
      </c>
      <c r="AG359" s="90" t="str">
        <f aca="false">IF(对接源_01水果!$AC359="","",对接源_01水果!$AC359)</f>
        <v/>
      </c>
      <c r="AH359" s="1" t="n">
        <f aca="false">IF(AND($N359=1,AND(LEFT(对接源_01水果!$D359,3)="周转筐",N(对接源_01水果!$K359)&lt;&gt;0)),1,0)</f>
        <v>0</v>
      </c>
      <c r="AI359" s="90" t="n">
        <f aca="false">IF(AG359="",0,IF(MATCH(AG359,$AG$4:$AG$1203,0)=ROW()-3,1,0))</f>
        <v>0</v>
      </c>
      <c r="AJ359" s="90" t="n">
        <f aca="false">N(AJ358)+AI359</f>
        <v>4</v>
      </c>
      <c r="AK359" s="1" t="n">
        <f aca="false">N(AK358)+$AJ359</f>
        <v>296</v>
      </c>
    </row>
    <row r="360" customFormat="false" ht="13.5" hidden="false" customHeight="false" outlineLevel="0" collapsed="false">
      <c r="A360" s="1" t="str">
        <f aca="false">IF(对接源_01水果!$C360="","",对接源_01水果!$C360)</f>
        <v/>
      </c>
      <c r="B360" s="1" t="n">
        <f aca="false">IF(A360="",0,IF(MATCH(A360,$A$4:$A$2403,0)=ROW()-3,1,0))</f>
        <v>0</v>
      </c>
      <c r="C360" s="1" t="n">
        <f aca="false">N(C359)+B360</f>
        <v>13</v>
      </c>
      <c r="K360" s="1" t="n">
        <f aca="false">IF(OR($K$1="",对接源_01水果!$C360="",对接源_01水果!$C360&lt;&gt;$K$1,对接源_01水果!$B360=""),0,IF(OR(N(对接源_01水果!$B360)&lt;$K$2,N(对接源_01水果!$B360)&gt;$K$3),0,1))</f>
        <v>0</v>
      </c>
      <c r="L360" s="1" t="n">
        <f aca="false">IF(OR($L$1="",对接源_01水果!$C360="",对接源_01水果!$C360&lt;&gt;$L$1,对接源_01水果!$B360=""),0,IF(OR(N(对接源_01水果!$B360)&lt;$L$2,N(对接源_01水果!$B360)&gt;$L$3),0,1))</f>
        <v>0</v>
      </c>
      <c r="M360" s="1" t="n">
        <f aca="false">IF(OR($M$1="",对接源_01水果!$C360="",对接源_01水果!$C360&lt;&gt;$M$1,对接源_01水果!$B360=""),0,IF(OR(N(对接源_01水果!$B360)&lt;$M$2,N(对接源_01水果!$B360)&gt;$M$3),0,1))</f>
        <v>0</v>
      </c>
      <c r="N360" s="1" t="n">
        <f aca="false">IF(OR($N$1="",对接源_01水果!$C360="",对接源_01水果!$C360&lt;&gt;$N$1,对接源_01水果!$B360=""),0,IF(OR(N(对接源_01水果!$B360)&lt;$N$2,N(对接源_01水果!$B360)&gt;$N$3),0,1))</f>
        <v>0</v>
      </c>
      <c r="P360" s="1" t="n">
        <f aca="false">IF(AND($K360=1,AND(对接源_01水果!$X360="公司筐",N(对接源_01水果!$T360)&lt;&gt;0)),1,0)</f>
        <v>0</v>
      </c>
      <c r="Q360" s="1" t="n">
        <f aca="false">N(Q359)+$P360</f>
        <v>3</v>
      </c>
      <c r="R360" s="1" t="n">
        <f aca="false">IF(AND($K360=1,AND(对接源_01水果!$X360="公司筐",N(对接源_01水果!$U360)&lt;&gt;0)),1,0)</f>
        <v>0</v>
      </c>
      <c r="S360" s="1" t="n">
        <f aca="false">N(S359)+$R360</f>
        <v>0</v>
      </c>
      <c r="T360" s="1" t="n">
        <f aca="false">IF(AND($K360=1,AND(对接源_01水果!$X360="公司筐",N(对接源_01水果!$V360)&lt;&gt;0)),1,0)</f>
        <v>0</v>
      </c>
      <c r="U360" s="1" t="n">
        <f aca="false">N(U359)+$T360</f>
        <v>28</v>
      </c>
      <c r="V360" s="1" t="n">
        <f aca="false">IF(AND($L360=1,AND(对接源_01水果!$X360="自备筐",N(对接源_01水果!$V360)&lt;&gt;0)),1,0)</f>
        <v>0</v>
      </c>
      <c r="W360" s="1" t="n">
        <f aca="false">N(W359)+$V360</f>
        <v>7</v>
      </c>
      <c r="X360" s="1" t="n">
        <f aca="false">IF(AND($L360=1,AND(对接源_01水果!$X360="自备筐",N(对接源_01水果!$T360)&lt;&gt;0)),1,0)</f>
        <v>0</v>
      </c>
      <c r="Y360" s="1" t="n">
        <f aca="false">N(Y359)+$X360</f>
        <v>0</v>
      </c>
      <c r="Z360" s="1" t="n">
        <f aca="false">IF(AND($M360=1,对接源_01水果!$D360="原料入库"),1,0)</f>
        <v>0</v>
      </c>
      <c r="AA360" s="1" t="n">
        <f aca="false">N(AA359)+$Z360</f>
        <v>30</v>
      </c>
      <c r="AB360" s="1" t="n">
        <f aca="false">IF(AND($M360=1,LEFT(对接源_01水果!$D360,4)="原料出库"),1,0)</f>
        <v>0</v>
      </c>
      <c r="AC360" s="1" t="n">
        <f aca="false">N(AC359)+$AB360</f>
        <v>19</v>
      </c>
      <c r="AD360" s="1" t="n">
        <f aca="false">IF(AND($M360=1,LEFT(对接源_01水果!$D360,4)="成品出库"),1,0)</f>
        <v>0</v>
      </c>
      <c r="AE360" s="1" t="n">
        <f aca="false">N(AE359)+$AD360</f>
        <v>38</v>
      </c>
      <c r="AF360" s="1" t="n">
        <f aca="false">IF(AND($N360=1,AND(LEFT(对接源_01水果!$D360,4)="包装物料",N(对接源_01水果!$K360)&lt;&gt;0)),1,0)</f>
        <v>0</v>
      </c>
      <c r="AG360" s="90" t="str">
        <f aca="false">IF(对接源_01水果!$AC360="","",对接源_01水果!$AC360)</f>
        <v/>
      </c>
      <c r="AH360" s="1" t="n">
        <f aca="false">IF(AND($N360=1,AND(LEFT(对接源_01水果!$D360,3)="周转筐",N(对接源_01水果!$K360)&lt;&gt;0)),1,0)</f>
        <v>0</v>
      </c>
      <c r="AI360" s="90" t="n">
        <f aca="false">IF(AG360="",0,IF(MATCH(AG360,$AG$4:$AG$1203,0)=ROW()-3,1,0))</f>
        <v>0</v>
      </c>
      <c r="AJ360" s="90" t="n">
        <f aca="false">N(AJ359)+AI360</f>
        <v>4</v>
      </c>
      <c r="AK360" s="1" t="n">
        <f aca="false">N(AK359)+$AJ360</f>
        <v>300</v>
      </c>
    </row>
    <row r="361" customFormat="false" ht="13.5" hidden="false" customHeight="false" outlineLevel="0" collapsed="false">
      <c r="A361" s="1" t="str">
        <f aca="false">IF(对接源_01水果!$C361="","",对接源_01水果!$C361)</f>
        <v/>
      </c>
      <c r="B361" s="1" t="n">
        <f aca="false">IF(A361="",0,IF(MATCH(A361,$A$4:$A$2403,0)=ROW()-3,1,0))</f>
        <v>0</v>
      </c>
      <c r="C361" s="1" t="n">
        <f aca="false">N(C360)+B361</f>
        <v>13</v>
      </c>
      <c r="K361" s="1" t="n">
        <f aca="false">IF(OR($K$1="",对接源_01水果!$C361="",对接源_01水果!$C361&lt;&gt;$K$1,对接源_01水果!$B361=""),0,IF(OR(N(对接源_01水果!$B361)&lt;$K$2,N(对接源_01水果!$B361)&gt;$K$3),0,1))</f>
        <v>0</v>
      </c>
      <c r="L361" s="1" t="n">
        <f aca="false">IF(OR($L$1="",对接源_01水果!$C361="",对接源_01水果!$C361&lt;&gt;$L$1,对接源_01水果!$B361=""),0,IF(OR(N(对接源_01水果!$B361)&lt;$L$2,N(对接源_01水果!$B361)&gt;$L$3),0,1))</f>
        <v>0</v>
      </c>
      <c r="M361" s="1" t="n">
        <f aca="false">IF(OR($M$1="",对接源_01水果!$C361="",对接源_01水果!$C361&lt;&gt;$M$1,对接源_01水果!$B361=""),0,IF(OR(N(对接源_01水果!$B361)&lt;$M$2,N(对接源_01水果!$B361)&gt;$M$3),0,1))</f>
        <v>0</v>
      </c>
      <c r="N361" s="1" t="n">
        <f aca="false">IF(OR($N$1="",对接源_01水果!$C361="",对接源_01水果!$C361&lt;&gt;$N$1,对接源_01水果!$B361=""),0,IF(OR(N(对接源_01水果!$B361)&lt;$N$2,N(对接源_01水果!$B361)&gt;$N$3),0,1))</f>
        <v>0</v>
      </c>
      <c r="P361" s="1" t="n">
        <f aca="false">IF(AND($K361=1,AND(对接源_01水果!$X361="公司筐",N(对接源_01水果!$T361)&lt;&gt;0)),1,0)</f>
        <v>0</v>
      </c>
      <c r="Q361" s="1" t="n">
        <f aca="false">N(Q360)+$P361</f>
        <v>3</v>
      </c>
      <c r="R361" s="1" t="n">
        <f aca="false">IF(AND($K361=1,AND(对接源_01水果!$X361="公司筐",N(对接源_01水果!$U361)&lt;&gt;0)),1,0)</f>
        <v>0</v>
      </c>
      <c r="S361" s="1" t="n">
        <f aca="false">N(S360)+$R361</f>
        <v>0</v>
      </c>
      <c r="T361" s="1" t="n">
        <f aca="false">IF(AND($K361=1,AND(对接源_01水果!$X361="公司筐",N(对接源_01水果!$V361)&lt;&gt;0)),1,0)</f>
        <v>0</v>
      </c>
      <c r="U361" s="1" t="n">
        <f aca="false">N(U360)+$T361</f>
        <v>28</v>
      </c>
      <c r="V361" s="1" t="n">
        <f aca="false">IF(AND($L361=1,AND(对接源_01水果!$X361="自备筐",N(对接源_01水果!$V361)&lt;&gt;0)),1,0)</f>
        <v>0</v>
      </c>
      <c r="W361" s="1" t="n">
        <f aca="false">N(W360)+$V361</f>
        <v>7</v>
      </c>
      <c r="X361" s="1" t="n">
        <f aca="false">IF(AND($L361=1,AND(对接源_01水果!$X361="自备筐",N(对接源_01水果!$T361)&lt;&gt;0)),1,0)</f>
        <v>0</v>
      </c>
      <c r="Y361" s="1" t="n">
        <f aca="false">N(Y360)+$X361</f>
        <v>0</v>
      </c>
      <c r="Z361" s="1" t="n">
        <f aca="false">IF(AND($M361=1,对接源_01水果!$D361="原料入库"),1,0)</f>
        <v>0</v>
      </c>
      <c r="AA361" s="1" t="n">
        <f aca="false">N(AA360)+$Z361</f>
        <v>30</v>
      </c>
      <c r="AB361" s="1" t="n">
        <f aca="false">IF(AND($M361=1,LEFT(对接源_01水果!$D361,4)="原料出库"),1,0)</f>
        <v>0</v>
      </c>
      <c r="AC361" s="1" t="n">
        <f aca="false">N(AC360)+$AB361</f>
        <v>19</v>
      </c>
      <c r="AD361" s="1" t="n">
        <f aca="false">IF(AND($M361=1,LEFT(对接源_01水果!$D361,4)="成品出库"),1,0)</f>
        <v>0</v>
      </c>
      <c r="AE361" s="1" t="n">
        <f aca="false">N(AE360)+$AD361</f>
        <v>38</v>
      </c>
      <c r="AF361" s="1" t="n">
        <f aca="false">IF(AND($N361=1,AND(LEFT(对接源_01水果!$D361,4)="包装物料",N(对接源_01水果!$K361)&lt;&gt;0)),1,0)</f>
        <v>0</v>
      </c>
      <c r="AG361" s="90" t="str">
        <f aca="false">IF(对接源_01水果!$AC361="","",对接源_01水果!$AC361)</f>
        <v/>
      </c>
      <c r="AH361" s="1" t="n">
        <f aca="false">IF(AND($N361=1,AND(LEFT(对接源_01水果!$D361,3)="周转筐",N(对接源_01水果!$K361)&lt;&gt;0)),1,0)</f>
        <v>0</v>
      </c>
      <c r="AI361" s="90" t="n">
        <f aca="false">IF(AG361="",0,IF(MATCH(AG361,$AG$4:$AG$1203,0)=ROW()-3,1,0))</f>
        <v>0</v>
      </c>
      <c r="AJ361" s="90" t="n">
        <f aca="false">N(AJ360)+AI361</f>
        <v>4</v>
      </c>
      <c r="AK361" s="1" t="n">
        <f aca="false">N(AK360)+$AJ361</f>
        <v>304</v>
      </c>
    </row>
    <row r="362" customFormat="false" ht="13.5" hidden="false" customHeight="false" outlineLevel="0" collapsed="false">
      <c r="A362" s="1" t="str">
        <f aca="false">IF(对接源_01水果!$C362="","",对接源_01水果!$C362)</f>
        <v/>
      </c>
      <c r="B362" s="1" t="n">
        <f aca="false">IF(A362="",0,IF(MATCH(A362,$A$4:$A$2403,0)=ROW()-3,1,0))</f>
        <v>0</v>
      </c>
      <c r="C362" s="1" t="n">
        <f aca="false">N(C361)+B362</f>
        <v>13</v>
      </c>
      <c r="K362" s="1" t="n">
        <f aca="false">IF(OR($K$1="",对接源_01水果!$C362="",对接源_01水果!$C362&lt;&gt;$K$1,对接源_01水果!$B362=""),0,IF(OR(N(对接源_01水果!$B362)&lt;$K$2,N(对接源_01水果!$B362)&gt;$K$3),0,1))</f>
        <v>0</v>
      </c>
      <c r="L362" s="1" t="n">
        <f aca="false">IF(OR($L$1="",对接源_01水果!$C362="",对接源_01水果!$C362&lt;&gt;$L$1,对接源_01水果!$B362=""),0,IF(OR(N(对接源_01水果!$B362)&lt;$L$2,N(对接源_01水果!$B362)&gt;$L$3),0,1))</f>
        <v>0</v>
      </c>
      <c r="M362" s="1" t="n">
        <f aca="false">IF(OR($M$1="",对接源_01水果!$C362="",对接源_01水果!$C362&lt;&gt;$M$1,对接源_01水果!$B362=""),0,IF(OR(N(对接源_01水果!$B362)&lt;$M$2,N(对接源_01水果!$B362)&gt;$M$3),0,1))</f>
        <v>0</v>
      </c>
      <c r="N362" s="1" t="n">
        <f aca="false">IF(OR($N$1="",对接源_01水果!$C362="",对接源_01水果!$C362&lt;&gt;$N$1,对接源_01水果!$B362=""),0,IF(OR(N(对接源_01水果!$B362)&lt;$N$2,N(对接源_01水果!$B362)&gt;$N$3),0,1))</f>
        <v>0</v>
      </c>
      <c r="P362" s="1" t="n">
        <f aca="false">IF(AND($K362=1,AND(对接源_01水果!$X362="公司筐",N(对接源_01水果!$T362)&lt;&gt;0)),1,0)</f>
        <v>0</v>
      </c>
      <c r="Q362" s="1" t="n">
        <f aca="false">N(Q361)+$P362</f>
        <v>3</v>
      </c>
      <c r="R362" s="1" t="n">
        <f aca="false">IF(AND($K362=1,AND(对接源_01水果!$X362="公司筐",N(对接源_01水果!$U362)&lt;&gt;0)),1,0)</f>
        <v>0</v>
      </c>
      <c r="S362" s="1" t="n">
        <f aca="false">N(S361)+$R362</f>
        <v>0</v>
      </c>
      <c r="T362" s="1" t="n">
        <f aca="false">IF(AND($K362=1,AND(对接源_01水果!$X362="公司筐",N(对接源_01水果!$V362)&lt;&gt;0)),1,0)</f>
        <v>0</v>
      </c>
      <c r="U362" s="1" t="n">
        <f aca="false">N(U361)+$T362</f>
        <v>28</v>
      </c>
      <c r="V362" s="1" t="n">
        <f aca="false">IF(AND($L362=1,AND(对接源_01水果!$X362="自备筐",N(对接源_01水果!$V362)&lt;&gt;0)),1,0)</f>
        <v>0</v>
      </c>
      <c r="W362" s="1" t="n">
        <f aca="false">N(W361)+$V362</f>
        <v>7</v>
      </c>
      <c r="X362" s="1" t="n">
        <f aca="false">IF(AND($L362=1,AND(对接源_01水果!$X362="自备筐",N(对接源_01水果!$T362)&lt;&gt;0)),1,0)</f>
        <v>0</v>
      </c>
      <c r="Y362" s="1" t="n">
        <f aca="false">N(Y361)+$X362</f>
        <v>0</v>
      </c>
      <c r="Z362" s="1" t="n">
        <f aca="false">IF(AND($M362=1,对接源_01水果!$D362="原料入库"),1,0)</f>
        <v>0</v>
      </c>
      <c r="AA362" s="1" t="n">
        <f aca="false">N(AA361)+$Z362</f>
        <v>30</v>
      </c>
      <c r="AB362" s="1" t="n">
        <f aca="false">IF(AND($M362=1,LEFT(对接源_01水果!$D362,4)="原料出库"),1,0)</f>
        <v>0</v>
      </c>
      <c r="AC362" s="1" t="n">
        <f aca="false">N(AC361)+$AB362</f>
        <v>19</v>
      </c>
      <c r="AD362" s="1" t="n">
        <f aca="false">IF(AND($M362=1,LEFT(对接源_01水果!$D362,4)="成品出库"),1,0)</f>
        <v>0</v>
      </c>
      <c r="AE362" s="1" t="n">
        <f aca="false">N(AE361)+$AD362</f>
        <v>38</v>
      </c>
      <c r="AF362" s="1" t="n">
        <f aca="false">IF(AND($N362=1,AND(LEFT(对接源_01水果!$D362,4)="包装物料",N(对接源_01水果!$K362)&lt;&gt;0)),1,0)</f>
        <v>0</v>
      </c>
      <c r="AG362" s="90" t="str">
        <f aca="false">IF(对接源_01水果!$AC362="","",对接源_01水果!$AC362)</f>
        <v/>
      </c>
      <c r="AH362" s="1" t="n">
        <f aca="false">IF(AND($N362=1,AND(LEFT(对接源_01水果!$D362,3)="周转筐",N(对接源_01水果!$K362)&lt;&gt;0)),1,0)</f>
        <v>0</v>
      </c>
      <c r="AI362" s="90" t="n">
        <f aca="false">IF(AG362="",0,IF(MATCH(AG362,$AG$4:$AG$1203,0)=ROW()-3,1,0))</f>
        <v>0</v>
      </c>
      <c r="AJ362" s="90" t="n">
        <f aca="false">N(AJ361)+AI362</f>
        <v>4</v>
      </c>
      <c r="AK362" s="1" t="n">
        <f aca="false">N(AK361)+$AJ362</f>
        <v>308</v>
      </c>
    </row>
    <row r="363" customFormat="false" ht="13.5" hidden="false" customHeight="false" outlineLevel="0" collapsed="false">
      <c r="A363" s="1" t="str">
        <f aca="false">IF(对接源_01水果!$C363="","",对接源_01水果!$C363)</f>
        <v/>
      </c>
      <c r="B363" s="1" t="n">
        <f aca="false">IF(A363="",0,IF(MATCH(A363,$A$4:$A$2403,0)=ROW()-3,1,0))</f>
        <v>0</v>
      </c>
      <c r="C363" s="1" t="n">
        <f aca="false">N(C362)+B363</f>
        <v>13</v>
      </c>
      <c r="K363" s="1" t="n">
        <f aca="false">IF(OR($K$1="",对接源_01水果!$C363="",对接源_01水果!$C363&lt;&gt;$K$1,对接源_01水果!$B363=""),0,IF(OR(N(对接源_01水果!$B363)&lt;$K$2,N(对接源_01水果!$B363)&gt;$K$3),0,1))</f>
        <v>0</v>
      </c>
      <c r="L363" s="1" t="n">
        <f aca="false">IF(OR($L$1="",对接源_01水果!$C363="",对接源_01水果!$C363&lt;&gt;$L$1,对接源_01水果!$B363=""),0,IF(OR(N(对接源_01水果!$B363)&lt;$L$2,N(对接源_01水果!$B363)&gt;$L$3),0,1))</f>
        <v>0</v>
      </c>
      <c r="M363" s="1" t="n">
        <f aca="false">IF(OR($M$1="",对接源_01水果!$C363="",对接源_01水果!$C363&lt;&gt;$M$1,对接源_01水果!$B363=""),0,IF(OR(N(对接源_01水果!$B363)&lt;$M$2,N(对接源_01水果!$B363)&gt;$M$3),0,1))</f>
        <v>0</v>
      </c>
      <c r="N363" s="1" t="n">
        <f aca="false">IF(OR($N$1="",对接源_01水果!$C363="",对接源_01水果!$C363&lt;&gt;$N$1,对接源_01水果!$B363=""),0,IF(OR(N(对接源_01水果!$B363)&lt;$N$2,N(对接源_01水果!$B363)&gt;$N$3),0,1))</f>
        <v>0</v>
      </c>
      <c r="P363" s="1" t="n">
        <f aca="false">IF(AND($K363=1,AND(对接源_01水果!$X363="公司筐",N(对接源_01水果!$T363)&lt;&gt;0)),1,0)</f>
        <v>0</v>
      </c>
      <c r="Q363" s="1" t="n">
        <f aca="false">N(Q362)+$P363</f>
        <v>3</v>
      </c>
      <c r="R363" s="1" t="n">
        <f aca="false">IF(AND($K363=1,AND(对接源_01水果!$X363="公司筐",N(对接源_01水果!$U363)&lt;&gt;0)),1,0)</f>
        <v>0</v>
      </c>
      <c r="S363" s="1" t="n">
        <f aca="false">N(S362)+$R363</f>
        <v>0</v>
      </c>
      <c r="T363" s="1" t="n">
        <f aca="false">IF(AND($K363=1,AND(对接源_01水果!$X363="公司筐",N(对接源_01水果!$V363)&lt;&gt;0)),1,0)</f>
        <v>0</v>
      </c>
      <c r="U363" s="1" t="n">
        <f aca="false">N(U362)+$T363</f>
        <v>28</v>
      </c>
      <c r="V363" s="1" t="n">
        <f aca="false">IF(AND($L363=1,AND(对接源_01水果!$X363="自备筐",N(对接源_01水果!$V363)&lt;&gt;0)),1,0)</f>
        <v>0</v>
      </c>
      <c r="W363" s="1" t="n">
        <f aca="false">N(W362)+$V363</f>
        <v>7</v>
      </c>
      <c r="X363" s="1" t="n">
        <f aca="false">IF(AND($L363=1,AND(对接源_01水果!$X363="自备筐",N(对接源_01水果!$T363)&lt;&gt;0)),1,0)</f>
        <v>0</v>
      </c>
      <c r="Y363" s="1" t="n">
        <f aca="false">N(Y362)+$X363</f>
        <v>0</v>
      </c>
      <c r="Z363" s="1" t="n">
        <f aca="false">IF(AND($M363=1,对接源_01水果!$D363="原料入库"),1,0)</f>
        <v>0</v>
      </c>
      <c r="AA363" s="1" t="n">
        <f aca="false">N(AA362)+$Z363</f>
        <v>30</v>
      </c>
      <c r="AB363" s="1" t="n">
        <f aca="false">IF(AND($M363=1,LEFT(对接源_01水果!$D363,4)="原料出库"),1,0)</f>
        <v>0</v>
      </c>
      <c r="AC363" s="1" t="n">
        <f aca="false">N(AC362)+$AB363</f>
        <v>19</v>
      </c>
      <c r="AD363" s="1" t="n">
        <f aca="false">IF(AND($M363=1,LEFT(对接源_01水果!$D363,4)="成品出库"),1,0)</f>
        <v>0</v>
      </c>
      <c r="AE363" s="1" t="n">
        <f aca="false">N(AE362)+$AD363</f>
        <v>38</v>
      </c>
      <c r="AF363" s="1" t="n">
        <f aca="false">IF(AND($N363=1,AND(LEFT(对接源_01水果!$D363,4)="包装物料",N(对接源_01水果!$K363)&lt;&gt;0)),1,0)</f>
        <v>0</v>
      </c>
      <c r="AG363" s="90" t="str">
        <f aca="false">IF(对接源_01水果!$AC363="","",对接源_01水果!$AC363)</f>
        <v/>
      </c>
      <c r="AH363" s="1" t="n">
        <f aca="false">IF(AND($N363=1,AND(LEFT(对接源_01水果!$D363,3)="周转筐",N(对接源_01水果!$K363)&lt;&gt;0)),1,0)</f>
        <v>0</v>
      </c>
      <c r="AI363" s="90" t="n">
        <f aca="false">IF(AG363="",0,IF(MATCH(AG363,$AG$4:$AG$1203,0)=ROW()-3,1,0))</f>
        <v>0</v>
      </c>
      <c r="AJ363" s="90" t="n">
        <f aca="false">N(AJ362)+AI363</f>
        <v>4</v>
      </c>
      <c r="AK363" s="1" t="n">
        <f aca="false">N(AK362)+$AJ363</f>
        <v>312</v>
      </c>
    </row>
    <row r="364" customFormat="false" ht="13.5" hidden="false" customHeight="false" outlineLevel="0" collapsed="false">
      <c r="A364" s="1" t="str">
        <f aca="false">IF(对接源_01水果!$C364="","",对接源_01水果!$C364)</f>
        <v/>
      </c>
      <c r="B364" s="1" t="n">
        <f aca="false">IF(A364="",0,IF(MATCH(A364,$A$4:$A$2403,0)=ROW()-3,1,0))</f>
        <v>0</v>
      </c>
      <c r="C364" s="1" t="n">
        <f aca="false">N(C363)+B364</f>
        <v>13</v>
      </c>
      <c r="K364" s="1" t="n">
        <f aca="false">IF(OR($K$1="",对接源_01水果!$C364="",对接源_01水果!$C364&lt;&gt;$K$1,对接源_01水果!$B364=""),0,IF(OR(N(对接源_01水果!$B364)&lt;$K$2,N(对接源_01水果!$B364)&gt;$K$3),0,1))</f>
        <v>0</v>
      </c>
      <c r="L364" s="1" t="n">
        <f aca="false">IF(OR($L$1="",对接源_01水果!$C364="",对接源_01水果!$C364&lt;&gt;$L$1,对接源_01水果!$B364=""),0,IF(OR(N(对接源_01水果!$B364)&lt;$L$2,N(对接源_01水果!$B364)&gt;$L$3),0,1))</f>
        <v>0</v>
      </c>
      <c r="M364" s="1" t="n">
        <f aca="false">IF(OR($M$1="",对接源_01水果!$C364="",对接源_01水果!$C364&lt;&gt;$M$1,对接源_01水果!$B364=""),0,IF(OR(N(对接源_01水果!$B364)&lt;$M$2,N(对接源_01水果!$B364)&gt;$M$3),0,1))</f>
        <v>0</v>
      </c>
      <c r="N364" s="1" t="n">
        <f aca="false">IF(OR($N$1="",对接源_01水果!$C364="",对接源_01水果!$C364&lt;&gt;$N$1,对接源_01水果!$B364=""),0,IF(OR(N(对接源_01水果!$B364)&lt;$N$2,N(对接源_01水果!$B364)&gt;$N$3),0,1))</f>
        <v>0</v>
      </c>
      <c r="P364" s="1" t="n">
        <f aca="false">IF(AND($K364=1,AND(对接源_01水果!$X364="公司筐",N(对接源_01水果!$T364)&lt;&gt;0)),1,0)</f>
        <v>0</v>
      </c>
      <c r="Q364" s="1" t="n">
        <f aca="false">N(Q363)+$P364</f>
        <v>3</v>
      </c>
      <c r="R364" s="1" t="n">
        <f aca="false">IF(AND($K364=1,AND(对接源_01水果!$X364="公司筐",N(对接源_01水果!$U364)&lt;&gt;0)),1,0)</f>
        <v>0</v>
      </c>
      <c r="S364" s="1" t="n">
        <f aca="false">N(S363)+$R364</f>
        <v>0</v>
      </c>
      <c r="T364" s="1" t="n">
        <f aca="false">IF(AND($K364=1,AND(对接源_01水果!$X364="公司筐",N(对接源_01水果!$V364)&lt;&gt;0)),1,0)</f>
        <v>0</v>
      </c>
      <c r="U364" s="1" t="n">
        <f aca="false">N(U363)+$T364</f>
        <v>28</v>
      </c>
      <c r="V364" s="1" t="n">
        <f aca="false">IF(AND($L364=1,AND(对接源_01水果!$X364="自备筐",N(对接源_01水果!$V364)&lt;&gt;0)),1,0)</f>
        <v>0</v>
      </c>
      <c r="W364" s="1" t="n">
        <f aca="false">N(W363)+$V364</f>
        <v>7</v>
      </c>
      <c r="X364" s="1" t="n">
        <f aca="false">IF(AND($L364=1,AND(对接源_01水果!$X364="自备筐",N(对接源_01水果!$T364)&lt;&gt;0)),1,0)</f>
        <v>0</v>
      </c>
      <c r="Y364" s="1" t="n">
        <f aca="false">N(Y363)+$X364</f>
        <v>0</v>
      </c>
      <c r="Z364" s="1" t="n">
        <f aca="false">IF(AND($M364=1,对接源_01水果!$D364="原料入库"),1,0)</f>
        <v>0</v>
      </c>
      <c r="AA364" s="1" t="n">
        <f aca="false">N(AA363)+$Z364</f>
        <v>30</v>
      </c>
      <c r="AB364" s="1" t="n">
        <f aca="false">IF(AND($M364=1,LEFT(对接源_01水果!$D364,4)="原料出库"),1,0)</f>
        <v>0</v>
      </c>
      <c r="AC364" s="1" t="n">
        <f aca="false">N(AC363)+$AB364</f>
        <v>19</v>
      </c>
      <c r="AD364" s="1" t="n">
        <f aca="false">IF(AND($M364=1,LEFT(对接源_01水果!$D364,4)="成品出库"),1,0)</f>
        <v>0</v>
      </c>
      <c r="AE364" s="1" t="n">
        <f aca="false">N(AE363)+$AD364</f>
        <v>38</v>
      </c>
      <c r="AF364" s="1" t="n">
        <f aca="false">IF(AND($N364=1,AND(LEFT(对接源_01水果!$D364,4)="包装物料",N(对接源_01水果!$K364)&lt;&gt;0)),1,0)</f>
        <v>0</v>
      </c>
      <c r="AG364" s="90" t="str">
        <f aca="false">IF(对接源_01水果!$AC364="","",对接源_01水果!$AC364)</f>
        <v/>
      </c>
      <c r="AH364" s="1" t="n">
        <f aca="false">IF(AND($N364=1,AND(LEFT(对接源_01水果!$D364,3)="周转筐",N(对接源_01水果!$K364)&lt;&gt;0)),1,0)</f>
        <v>0</v>
      </c>
      <c r="AI364" s="90" t="n">
        <f aca="false">IF(AG364="",0,IF(MATCH(AG364,$AG$4:$AG$1203,0)=ROW()-3,1,0))</f>
        <v>0</v>
      </c>
      <c r="AJ364" s="90" t="n">
        <f aca="false">N(AJ363)+AI364</f>
        <v>4</v>
      </c>
      <c r="AK364" s="1" t="n">
        <f aca="false">N(AK363)+$AJ364</f>
        <v>316</v>
      </c>
    </row>
    <row r="365" customFormat="false" ht="13.5" hidden="false" customHeight="false" outlineLevel="0" collapsed="false">
      <c r="A365" s="1" t="str">
        <f aca="false">IF(对接源_01水果!$C365="","",对接源_01水果!$C365)</f>
        <v/>
      </c>
      <c r="B365" s="1" t="n">
        <f aca="false">IF(A365="",0,IF(MATCH(A365,$A$4:$A$2403,0)=ROW()-3,1,0))</f>
        <v>0</v>
      </c>
      <c r="C365" s="1" t="n">
        <f aca="false">N(C364)+B365</f>
        <v>13</v>
      </c>
      <c r="K365" s="1" t="n">
        <f aca="false">IF(OR($K$1="",对接源_01水果!$C365="",对接源_01水果!$C365&lt;&gt;$K$1,对接源_01水果!$B365=""),0,IF(OR(N(对接源_01水果!$B365)&lt;$K$2,N(对接源_01水果!$B365)&gt;$K$3),0,1))</f>
        <v>0</v>
      </c>
      <c r="L365" s="1" t="n">
        <f aca="false">IF(OR($L$1="",对接源_01水果!$C365="",对接源_01水果!$C365&lt;&gt;$L$1,对接源_01水果!$B365=""),0,IF(OR(N(对接源_01水果!$B365)&lt;$L$2,N(对接源_01水果!$B365)&gt;$L$3),0,1))</f>
        <v>0</v>
      </c>
      <c r="M365" s="1" t="n">
        <f aca="false">IF(OR($M$1="",对接源_01水果!$C365="",对接源_01水果!$C365&lt;&gt;$M$1,对接源_01水果!$B365=""),0,IF(OR(N(对接源_01水果!$B365)&lt;$M$2,N(对接源_01水果!$B365)&gt;$M$3),0,1))</f>
        <v>0</v>
      </c>
      <c r="N365" s="1" t="n">
        <f aca="false">IF(OR($N$1="",对接源_01水果!$C365="",对接源_01水果!$C365&lt;&gt;$N$1,对接源_01水果!$B365=""),0,IF(OR(N(对接源_01水果!$B365)&lt;$N$2,N(对接源_01水果!$B365)&gt;$N$3),0,1))</f>
        <v>0</v>
      </c>
      <c r="P365" s="1" t="n">
        <f aca="false">IF(AND($K365=1,AND(对接源_01水果!$X365="公司筐",N(对接源_01水果!$T365)&lt;&gt;0)),1,0)</f>
        <v>0</v>
      </c>
      <c r="Q365" s="1" t="n">
        <f aca="false">N(Q364)+$P365</f>
        <v>3</v>
      </c>
      <c r="R365" s="1" t="n">
        <f aca="false">IF(AND($K365=1,AND(对接源_01水果!$X365="公司筐",N(对接源_01水果!$U365)&lt;&gt;0)),1,0)</f>
        <v>0</v>
      </c>
      <c r="S365" s="1" t="n">
        <f aca="false">N(S364)+$R365</f>
        <v>0</v>
      </c>
      <c r="T365" s="1" t="n">
        <f aca="false">IF(AND($K365=1,AND(对接源_01水果!$X365="公司筐",N(对接源_01水果!$V365)&lt;&gt;0)),1,0)</f>
        <v>0</v>
      </c>
      <c r="U365" s="1" t="n">
        <f aca="false">N(U364)+$T365</f>
        <v>28</v>
      </c>
      <c r="V365" s="1" t="n">
        <f aca="false">IF(AND($L365=1,AND(对接源_01水果!$X365="自备筐",N(对接源_01水果!$V365)&lt;&gt;0)),1,0)</f>
        <v>0</v>
      </c>
      <c r="W365" s="1" t="n">
        <f aca="false">N(W364)+$V365</f>
        <v>7</v>
      </c>
      <c r="X365" s="1" t="n">
        <f aca="false">IF(AND($L365=1,AND(对接源_01水果!$X365="自备筐",N(对接源_01水果!$T365)&lt;&gt;0)),1,0)</f>
        <v>0</v>
      </c>
      <c r="Y365" s="1" t="n">
        <f aca="false">N(Y364)+$X365</f>
        <v>0</v>
      </c>
      <c r="Z365" s="1" t="n">
        <f aca="false">IF(AND($M365=1,对接源_01水果!$D365="原料入库"),1,0)</f>
        <v>0</v>
      </c>
      <c r="AA365" s="1" t="n">
        <f aca="false">N(AA364)+$Z365</f>
        <v>30</v>
      </c>
      <c r="AB365" s="1" t="n">
        <f aca="false">IF(AND($M365=1,LEFT(对接源_01水果!$D365,4)="原料出库"),1,0)</f>
        <v>0</v>
      </c>
      <c r="AC365" s="1" t="n">
        <f aca="false">N(AC364)+$AB365</f>
        <v>19</v>
      </c>
      <c r="AD365" s="1" t="n">
        <f aca="false">IF(AND($M365=1,LEFT(对接源_01水果!$D365,4)="成品出库"),1,0)</f>
        <v>0</v>
      </c>
      <c r="AE365" s="1" t="n">
        <f aca="false">N(AE364)+$AD365</f>
        <v>38</v>
      </c>
      <c r="AF365" s="1" t="n">
        <f aca="false">IF(AND($N365=1,AND(LEFT(对接源_01水果!$D365,4)="包装物料",N(对接源_01水果!$K365)&lt;&gt;0)),1,0)</f>
        <v>0</v>
      </c>
      <c r="AG365" s="90" t="str">
        <f aca="false">IF(对接源_01水果!$AC365="","",对接源_01水果!$AC365)</f>
        <v/>
      </c>
      <c r="AH365" s="1" t="n">
        <f aca="false">IF(AND($N365=1,AND(LEFT(对接源_01水果!$D365,3)="周转筐",N(对接源_01水果!$K365)&lt;&gt;0)),1,0)</f>
        <v>0</v>
      </c>
      <c r="AI365" s="90" t="n">
        <f aca="false">IF(AG365="",0,IF(MATCH(AG365,$AG$4:$AG$1203,0)=ROW()-3,1,0))</f>
        <v>0</v>
      </c>
      <c r="AJ365" s="90" t="n">
        <f aca="false">N(AJ364)+AI365</f>
        <v>4</v>
      </c>
      <c r="AK365" s="1" t="n">
        <f aca="false">N(AK364)+$AJ365</f>
        <v>320</v>
      </c>
    </row>
    <row r="366" customFormat="false" ht="13.5" hidden="false" customHeight="false" outlineLevel="0" collapsed="false">
      <c r="A366" s="1" t="str">
        <f aca="false">IF(对接源_01水果!$C366="","",对接源_01水果!$C366)</f>
        <v/>
      </c>
      <c r="B366" s="1" t="n">
        <f aca="false">IF(A366="",0,IF(MATCH(A366,$A$4:$A$2403,0)=ROW()-3,1,0))</f>
        <v>0</v>
      </c>
      <c r="C366" s="1" t="n">
        <f aca="false">N(C365)+B366</f>
        <v>13</v>
      </c>
      <c r="K366" s="1" t="n">
        <f aca="false">IF(OR($K$1="",对接源_01水果!$C366="",对接源_01水果!$C366&lt;&gt;$K$1,对接源_01水果!$B366=""),0,IF(OR(N(对接源_01水果!$B366)&lt;$K$2,N(对接源_01水果!$B366)&gt;$K$3),0,1))</f>
        <v>0</v>
      </c>
      <c r="L366" s="1" t="n">
        <f aca="false">IF(OR($L$1="",对接源_01水果!$C366="",对接源_01水果!$C366&lt;&gt;$L$1,对接源_01水果!$B366=""),0,IF(OR(N(对接源_01水果!$B366)&lt;$L$2,N(对接源_01水果!$B366)&gt;$L$3),0,1))</f>
        <v>0</v>
      </c>
      <c r="M366" s="1" t="n">
        <f aca="false">IF(OR($M$1="",对接源_01水果!$C366="",对接源_01水果!$C366&lt;&gt;$M$1,对接源_01水果!$B366=""),0,IF(OR(N(对接源_01水果!$B366)&lt;$M$2,N(对接源_01水果!$B366)&gt;$M$3),0,1))</f>
        <v>0</v>
      </c>
      <c r="N366" s="1" t="n">
        <f aca="false">IF(OR($N$1="",对接源_01水果!$C366="",对接源_01水果!$C366&lt;&gt;$N$1,对接源_01水果!$B366=""),0,IF(OR(N(对接源_01水果!$B366)&lt;$N$2,N(对接源_01水果!$B366)&gt;$N$3),0,1))</f>
        <v>0</v>
      </c>
      <c r="P366" s="1" t="n">
        <f aca="false">IF(AND($K366=1,AND(对接源_01水果!$X366="公司筐",N(对接源_01水果!$T366)&lt;&gt;0)),1,0)</f>
        <v>0</v>
      </c>
      <c r="Q366" s="1" t="n">
        <f aca="false">N(Q365)+$P366</f>
        <v>3</v>
      </c>
      <c r="R366" s="1" t="n">
        <f aca="false">IF(AND($K366=1,AND(对接源_01水果!$X366="公司筐",N(对接源_01水果!$U366)&lt;&gt;0)),1,0)</f>
        <v>0</v>
      </c>
      <c r="S366" s="1" t="n">
        <f aca="false">N(S365)+$R366</f>
        <v>0</v>
      </c>
      <c r="T366" s="1" t="n">
        <f aca="false">IF(AND($K366=1,AND(对接源_01水果!$X366="公司筐",N(对接源_01水果!$V366)&lt;&gt;0)),1,0)</f>
        <v>0</v>
      </c>
      <c r="U366" s="1" t="n">
        <f aca="false">N(U365)+$T366</f>
        <v>28</v>
      </c>
      <c r="V366" s="1" t="n">
        <f aca="false">IF(AND($L366=1,AND(对接源_01水果!$X366="自备筐",N(对接源_01水果!$V366)&lt;&gt;0)),1,0)</f>
        <v>0</v>
      </c>
      <c r="W366" s="1" t="n">
        <f aca="false">N(W365)+$V366</f>
        <v>7</v>
      </c>
      <c r="X366" s="1" t="n">
        <f aca="false">IF(AND($L366=1,AND(对接源_01水果!$X366="自备筐",N(对接源_01水果!$T366)&lt;&gt;0)),1,0)</f>
        <v>0</v>
      </c>
      <c r="Y366" s="1" t="n">
        <f aca="false">N(Y365)+$X366</f>
        <v>0</v>
      </c>
      <c r="Z366" s="1" t="n">
        <f aca="false">IF(AND($M366=1,对接源_01水果!$D366="原料入库"),1,0)</f>
        <v>0</v>
      </c>
      <c r="AA366" s="1" t="n">
        <f aca="false">N(AA365)+$Z366</f>
        <v>30</v>
      </c>
      <c r="AB366" s="1" t="n">
        <f aca="false">IF(AND($M366=1,LEFT(对接源_01水果!$D366,4)="原料出库"),1,0)</f>
        <v>0</v>
      </c>
      <c r="AC366" s="1" t="n">
        <f aca="false">N(AC365)+$AB366</f>
        <v>19</v>
      </c>
      <c r="AD366" s="1" t="n">
        <f aca="false">IF(AND($M366=1,LEFT(对接源_01水果!$D366,4)="成品出库"),1,0)</f>
        <v>0</v>
      </c>
      <c r="AE366" s="1" t="n">
        <f aca="false">N(AE365)+$AD366</f>
        <v>38</v>
      </c>
      <c r="AF366" s="1" t="n">
        <f aca="false">IF(AND($N366=1,AND(LEFT(对接源_01水果!$D366,4)="包装物料",N(对接源_01水果!$K366)&lt;&gt;0)),1,0)</f>
        <v>0</v>
      </c>
      <c r="AG366" s="90" t="str">
        <f aca="false">IF(对接源_01水果!$AC366="","",对接源_01水果!$AC366)</f>
        <v/>
      </c>
      <c r="AH366" s="1" t="n">
        <f aca="false">IF(AND($N366=1,AND(LEFT(对接源_01水果!$D366,3)="周转筐",N(对接源_01水果!$K366)&lt;&gt;0)),1,0)</f>
        <v>0</v>
      </c>
      <c r="AI366" s="90" t="n">
        <f aca="false">IF(AG366="",0,IF(MATCH(AG366,$AG$4:$AG$1203,0)=ROW()-3,1,0))</f>
        <v>0</v>
      </c>
      <c r="AJ366" s="90" t="n">
        <f aca="false">N(AJ365)+AI366</f>
        <v>4</v>
      </c>
      <c r="AK366" s="1" t="n">
        <f aca="false">N(AK365)+$AJ366</f>
        <v>324</v>
      </c>
    </row>
    <row r="367" customFormat="false" ht="13.5" hidden="false" customHeight="false" outlineLevel="0" collapsed="false">
      <c r="A367" s="1" t="str">
        <f aca="false">IF(对接源_01水果!$C367="","",对接源_01水果!$C367)</f>
        <v/>
      </c>
      <c r="B367" s="1" t="n">
        <f aca="false">IF(A367="",0,IF(MATCH(A367,$A$4:$A$2403,0)=ROW()-3,1,0))</f>
        <v>0</v>
      </c>
      <c r="C367" s="1" t="n">
        <f aca="false">N(C366)+B367</f>
        <v>13</v>
      </c>
      <c r="K367" s="1" t="n">
        <f aca="false">IF(OR($K$1="",对接源_01水果!$C367="",对接源_01水果!$C367&lt;&gt;$K$1,对接源_01水果!$B367=""),0,IF(OR(N(对接源_01水果!$B367)&lt;$K$2,N(对接源_01水果!$B367)&gt;$K$3),0,1))</f>
        <v>0</v>
      </c>
      <c r="L367" s="1" t="n">
        <f aca="false">IF(OR($L$1="",对接源_01水果!$C367="",对接源_01水果!$C367&lt;&gt;$L$1,对接源_01水果!$B367=""),0,IF(OR(N(对接源_01水果!$B367)&lt;$L$2,N(对接源_01水果!$B367)&gt;$L$3),0,1))</f>
        <v>0</v>
      </c>
      <c r="M367" s="1" t="n">
        <f aca="false">IF(OR($M$1="",对接源_01水果!$C367="",对接源_01水果!$C367&lt;&gt;$M$1,对接源_01水果!$B367=""),0,IF(OR(N(对接源_01水果!$B367)&lt;$M$2,N(对接源_01水果!$B367)&gt;$M$3),0,1))</f>
        <v>0</v>
      </c>
      <c r="N367" s="1" t="n">
        <f aca="false">IF(OR($N$1="",对接源_01水果!$C367="",对接源_01水果!$C367&lt;&gt;$N$1,对接源_01水果!$B367=""),0,IF(OR(N(对接源_01水果!$B367)&lt;$N$2,N(对接源_01水果!$B367)&gt;$N$3),0,1))</f>
        <v>0</v>
      </c>
      <c r="P367" s="1" t="n">
        <f aca="false">IF(AND($K367=1,AND(对接源_01水果!$X367="公司筐",N(对接源_01水果!$T367)&lt;&gt;0)),1,0)</f>
        <v>0</v>
      </c>
      <c r="Q367" s="1" t="n">
        <f aca="false">N(Q366)+$P367</f>
        <v>3</v>
      </c>
      <c r="R367" s="1" t="n">
        <f aca="false">IF(AND($K367=1,AND(对接源_01水果!$X367="公司筐",N(对接源_01水果!$U367)&lt;&gt;0)),1,0)</f>
        <v>0</v>
      </c>
      <c r="S367" s="1" t="n">
        <f aca="false">N(S366)+$R367</f>
        <v>0</v>
      </c>
      <c r="T367" s="1" t="n">
        <f aca="false">IF(AND($K367=1,AND(对接源_01水果!$X367="公司筐",N(对接源_01水果!$V367)&lt;&gt;0)),1,0)</f>
        <v>0</v>
      </c>
      <c r="U367" s="1" t="n">
        <f aca="false">N(U366)+$T367</f>
        <v>28</v>
      </c>
      <c r="V367" s="1" t="n">
        <f aca="false">IF(AND($L367=1,AND(对接源_01水果!$X367="自备筐",N(对接源_01水果!$V367)&lt;&gt;0)),1,0)</f>
        <v>0</v>
      </c>
      <c r="W367" s="1" t="n">
        <f aca="false">N(W366)+$V367</f>
        <v>7</v>
      </c>
      <c r="X367" s="1" t="n">
        <f aca="false">IF(AND($L367=1,AND(对接源_01水果!$X367="自备筐",N(对接源_01水果!$T367)&lt;&gt;0)),1,0)</f>
        <v>0</v>
      </c>
      <c r="Y367" s="1" t="n">
        <f aca="false">N(Y366)+$X367</f>
        <v>0</v>
      </c>
      <c r="Z367" s="1" t="n">
        <f aca="false">IF(AND($M367=1,对接源_01水果!$D367="原料入库"),1,0)</f>
        <v>0</v>
      </c>
      <c r="AA367" s="1" t="n">
        <f aca="false">N(AA366)+$Z367</f>
        <v>30</v>
      </c>
      <c r="AB367" s="1" t="n">
        <f aca="false">IF(AND($M367=1,LEFT(对接源_01水果!$D367,4)="原料出库"),1,0)</f>
        <v>0</v>
      </c>
      <c r="AC367" s="1" t="n">
        <f aca="false">N(AC366)+$AB367</f>
        <v>19</v>
      </c>
      <c r="AD367" s="1" t="n">
        <f aca="false">IF(AND($M367=1,LEFT(对接源_01水果!$D367,4)="成品出库"),1,0)</f>
        <v>0</v>
      </c>
      <c r="AE367" s="1" t="n">
        <f aca="false">N(AE366)+$AD367</f>
        <v>38</v>
      </c>
      <c r="AF367" s="1" t="n">
        <f aca="false">IF(AND($N367=1,AND(LEFT(对接源_01水果!$D367,4)="包装物料",N(对接源_01水果!$K367)&lt;&gt;0)),1,0)</f>
        <v>0</v>
      </c>
      <c r="AG367" s="90" t="str">
        <f aca="false">IF(对接源_01水果!$AC367="","",对接源_01水果!$AC367)</f>
        <v/>
      </c>
      <c r="AH367" s="1" t="n">
        <f aca="false">IF(AND($N367=1,AND(LEFT(对接源_01水果!$D367,3)="周转筐",N(对接源_01水果!$K367)&lt;&gt;0)),1,0)</f>
        <v>0</v>
      </c>
      <c r="AI367" s="90" t="n">
        <f aca="false">IF(AG367="",0,IF(MATCH(AG367,$AG$4:$AG$1203,0)=ROW()-3,1,0))</f>
        <v>0</v>
      </c>
      <c r="AJ367" s="90" t="n">
        <f aca="false">N(AJ366)+AI367</f>
        <v>4</v>
      </c>
      <c r="AK367" s="1" t="n">
        <f aca="false">N(AK366)+$AJ367</f>
        <v>328</v>
      </c>
    </row>
    <row r="368" customFormat="false" ht="13.5" hidden="false" customHeight="false" outlineLevel="0" collapsed="false">
      <c r="A368" s="1" t="str">
        <f aca="false">IF(对接源_01水果!$C368="","",对接源_01水果!$C368)</f>
        <v/>
      </c>
      <c r="B368" s="1" t="n">
        <f aca="false">IF(A368="",0,IF(MATCH(A368,$A$4:$A$2403,0)=ROW()-3,1,0))</f>
        <v>0</v>
      </c>
      <c r="C368" s="1" t="n">
        <f aca="false">N(C367)+B368</f>
        <v>13</v>
      </c>
      <c r="K368" s="1" t="n">
        <f aca="false">IF(OR($K$1="",对接源_01水果!$C368="",对接源_01水果!$C368&lt;&gt;$K$1,对接源_01水果!$B368=""),0,IF(OR(N(对接源_01水果!$B368)&lt;$K$2,N(对接源_01水果!$B368)&gt;$K$3),0,1))</f>
        <v>0</v>
      </c>
      <c r="L368" s="1" t="n">
        <f aca="false">IF(OR($L$1="",对接源_01水果!$C368="",对接源_01水果!$C368&lt;&gt;$L$1,对接源_01水果!$B368=""),0,IF(OR(N(对接源_01水果!$B368)&lt;$L$2,N(对接源_01水果!$B368)&gt;$L$3),0,1))</f>
        <v>0</v>
      </c>
      <c r="M368" s="1" t="n">
        <f aca="false">IF(OR($M$1="",对接源_01水果!$C368="",对接源_01水果!$C368&lt;&gt;$M$1,对接源_01水果!$B368=""),0,IF(OR(N(对接源_01水果!$B368)&lt;$M$2,N(对接源_01水果!$B368)&gt;$M$3),0,1))</f>
        <v>0</v>
      </c>
      <c r="N368" s="1" t="n">
        <f aca="false">IF(OR($N$1="",对接源_01水果!$C368="",对接源_01水果!$C368&lt;&gt;$N$1,对接源_01水果!$B368=""),0,IF(OR(N(对接源_01水果!$B368)&lt;$N$2,N(对接源_01水果!$B368)&gt;$N$3),0,1))</f>
        <v>0</v>
      </c>
      <c r="P368" s="1" t="n">
        <f aca="false">IF(AND($K368=1,AND(对接源_01水果!$X368="公司筐",N(对接源_01水果!$T368)&lt;&gt;0)),1,0)</f>
        <v>0</v>
      </c>
      <c r="Q368" s="1" t="n">
        <f aca="false">N(Q367)+$P368</f>
        <v>3</v>
      </c>
      <c r="R368" s="1" t="n">
        <f aca="false">IF(AND($K368=1,AND(对接源_01水果!$X368="公司筐",N(对接源_01水果!$U368)&lt;&gt;0)),1,0)</f>
        <v>0</v>
      </c>
      <c r="S368" s="1" t="n">
        <f aca="false">N(S367)+$R368</f>
        <v>0</v>
      </c>
      <c r="T368" s="1" t="n">
        <f aca="false">IF(AND($K368=1,AND(对接源_01水果!$X368="公司筐",N(对接源_01水果!$V368)&lt;&gt;0)),1,0)</f>
        <v>0</v>
      </c>
      <c r="U368" s="1" t="n">
        <f aca="false">N(U367)+$T368</f>
        <v>28</v>
      </c>
      <c r="V368" s="1" t="n">
        <f aca="false">IF(AND($L368=1,AND(对接源_01水果!$X368="自备筐",N(对接源_01水果!$V368)&lt;&gt;0)),1,0)</f>
        <v>0</v>
      </c>
      <c r="W368" s="1" t="n">
        <f aca="false">N(W367)+$V368</f>
        <v>7</v>
      </c>
      <c r="X368" s="1" t="n">
        <f aca="false">IF(AND($L368=1,AND(对接源_01水果!$X368="自备筐",N(对接源_01水果!$T368)&lt;&gt;0)),1,0)</f>
        <v>0</v>
      </c>
      <c r="Y368" s="1" t="n">
        <f aca="false">N(Y367)+$X368</f>
        <v>0</v>
      </c>
      <c r="Z368" s="1" t="n">
        <f aca="false">IF(AND($M368=1,对接源_01水果!$D368="原料入库"),1,0)</f>
        <v>0</v>
      </c>
      <c r="AA368" s="1" t="n">
        <f aca="false">N(AA367)+$Z368</f>
        <v>30</v>
      </c>
      <c r="AB368" s="1" t="n">
        <f aca="false">IF(AND($M368=1,LEFT(对接源_01水果!$D368,4)="原料出库"),1,0)</f>
        <v>0</v>
      </c>
      <c r="AC368" s="1" t="n">
        <f aca="false">N(AC367)+$AB368</f>
        <v>19</v>
      </c>
      <c r="AD368" s="1" t="n">
        <f aca="false">IF(AND($M368=1,LEFT(对接源_01水果!$D368,4)="成品出库"),1,0)</f>
        <v>0</v>
      </c>
      <c r="AE368" s="1" t="n">
        <f aca="false">N(AE367)+$AD368</f>
        <v>38</v>
      </c>
      <c r="AF368" s="1" t="n">
        <f aca="false">IF(AND($N368=1,AND(LEFT(对接源_01水果!$D368,4)="包装物料",N(对接源_01水果!$K368)&lt;&gt;0)),1,0)</f>
        <v>0</v>
      </c>
      <c r="AG368" s="90" t="str">
        <f aca="false">IF(对接源_01水果!$AC368="","",对接源_01水果!$AC368)</f>
        <v/>
      </c>
      <c r="AH368" s="1" t="n">
        <f aca="false">IF(AND($N368=1,AND(LEFT(对接源_01水果!$D368,3)="周转筐",N(对接源_01水果!$K368)&lt;&gt;0)),1,0)</f>
        <v>0</v>
      </c>
      <c r="AI368" s="90" t="n">
        <f aca="false">IF(AG368="",0,IF(MATCH(AG368,$AG$4:$AG$1203,0)=ROW()-3,1,0))</f>
        <v>0</v>
      </c>
      <c r="AJ368" s="90" t="n">
        <f aca="false">N(AJ367)+AI368</f>
        <v>4</v>
      </c>
      <c r="AK368" s="1" t="n">
        <f aca="false">N(AK367)+$AJ368</f>
        <v>332</v>
      </c>
    </row>
    <row r="369" customFormat="false" ht="13.5" hidden="false" customHeight="false" outlineLevel="0" collapsed="false">
      <c r="A369" s="1" t="str">
        <f aca="false">IF(对接源_01水果!$C369="","",对接源_01水果!$C369)</f>
        <v/>
      </c>
      <c r="B369" s="1" t="n">
        <f aca="false">IF(A369="",0,IF(MATCH(A369,$A$4:$A$2403,0)=ROW()-3,1,0))</f>
        <v>0</v>
      </c>
      <c r="C369" s="1" t="n">
        <f aca="false">N(C368)+B369</f>
        <v>13</v>
      </c>
      <c r="K369" s="1" t="n">
        <f aca="false">IF(OR($K$1="",对接源_01水果!$C369="",对接源_01水果!$C369&lt;&gt;$K$1,对接源_01水果!$B369=""),0,IF(OR(N(对接源_01水果!$B369)&lt;$K$2,N(对接源_01水果!$B369)&gt;$K$3),0,1))</f>
        <v>0</v>
      </c>
      <c r="L369" s="1" t="n">
        <f aca="false">IF(OR($L$1="",对接源_01水果!$C369="",对接源_01水果!$C369&lt;&gt;$L$1,对接源_01水果!$B369=""),0,IF(OR(N(对接源_01水果!$B369)&lt;$L$2,N(对接源_01水果!$B369)&gt;$L$3),0,1))</f>
        <v>0</v>
      </c>
      <c r="M369" s="1" t="n">
        <f aca="false">IF(OR($M$1="",对接源_01水果!$C369="",对接源_01水果!$C369&lt;&gt;$M$1,对接源_01水果!$B369=""),0,IF(OR(N(对接源_01水果!$B369)&lt;$M$2,N(对接源_01水果!$B369)&gt;$M$3),0,1))</f>
        <v>0</v>
      </c>
      <c r="N369" s="1" t="n">
        <f aca="false">IF(OR($N$1="",对接源_01水果!$C369="",对接源_01水果!$C369&lt;&gt;$N$1,对接源_01水果!$B369=""),0,IF(OR(N(对接源_01水果!$B369)&lt;$N$2,N(对接源_01水果!$B369)&gt;$N$3),0,1))</f>
        <v>0</v>
      </c>
      <c r="P369" s="1" t="n">
        <f aca="false">IF(AND($K369=1,AND(对接源_01水果!$X369="公司筐",N(对接源_01水果!$T369)&lt;&gt;0)),1,0)</f>
        <v>0</v>
      </c>
      <c r="Q369" s="1" t="n">
        <f aca="false">N(Q368)+$P369</f>
        <v>3</v>
      </c>
      <c r="R369" s="1" t="n">
        <f aca="false">IF(AND($K369=1,AND(对接源_01水果!$X369="公司筐",N(对接源_01水果!$U369)&lt;&gt;0)),1,0)</f>
        <v>0</v>
      </c>
      <c r="S369" s="1" t="n">
        <f aca="false">N(S368)+$R369</f>
        <v>0</v>
      </c>
      <c r="T369" s="1" t="n">
        <f aca="false">IF(AND($K369=1,AND(对接源_01水果!$X369="公司筐",N(对接源_01水果!$V369)&lt;&gt;0)),1,0)</f>
        <v>0</v>
      </c>
      <c r="U369" s="1" t="n">
        <f aca="false">N(U368)+$T369</f>
        <v>28</v>
      </c>
      <c r="V369" s="1" t="n">
        <f aca="false">IF(AND($L369=1,AND(对接源_01水果!$X369="自备筐",N(对接源_01水果!$V369)&lt;&gt;0)),1,0)</f>
        <v>0</v>
      </c>
      <c r="W369" s="1" t="n">
        <f aca="false">N(W368)+$V369</f>
        <v>7</v>
      </c>
      <c r="X369" s="1" t="n">
        <f aca="false">IF(AND($L369=1,AND(对接源_01水果!$X369="自备筐",N(对接源_01水果!$T369)&lt;&gt;0)),1,0)</f>
        <v>0</v>
      </c>
      <c r="Y369" s="1" t="n">
        <f aca="false">N(Y368)+$X369</f>
        <v>0</v>
      </c>
      <c r="Z369" s="1" t="n">
        <f aca="false">IF(AND($M369=1,对接源_01水果!$D369="原料入库"),1,0)</f>
        <v>0</v>
      </c>
      <c r="AA369" s="1" t="n">
        <f aca="false">N(AA368)+$Z369</f>
        <v>30</v>
      </c>
      <c r="AB369" s="1" t="n">
        <f aca="false">IF(AND($M369=1,LEFT(对接源_01水果!$D369,4)="原料出库"),1,0)</f>
        <v>0</v>
      </c>
      <c r="AC369" s="1" t="n">
        <f aca="false">N(AC368)+$AB369</f>
        <v>19</v>
      </c>
      <c r="AD369" s="1" t="n">
        <f aca="false">IF(AND($M369=1,LEFT(对接源_01水果!$D369,4)="成品出库"),1,0)</f>
        <v>0</v>
      </c>
      <c r="AE369" s="1" t="n">
        <f aca="false">N(AE368)+$AD369</f>
        <v>38</v>
      </c>
      <c r="AF369" s="1" t="n">
        <f aca="false">IF(AND($N369=1,AND(LEFT(对接源_01水果!$D369,4)="包装物料",N(对接源_01水果!$K369)&lt;&gt;0)),1,0)</f>
        <v>0</v>
      </c>
      <c r="AG369" s="90" t="str">
        <f aca="false">IF(对接源_01水果!$AC369="","",对接源_01水果!$AC369)</f>
        <v/>
      </c>
      <c r="AH369" s="1" t="n">
        <f aca="false">IF(AND($N369=1,AND(LEFT(对接源_01水果!$D369,3)="周转筐",N(对接源_01水果!$K369)&lt;&gt;0)),1,0)</f>
        <v>0</v>
      </c>
      <c r="AI369" s="90" t="n">
        <f aca="false">IF(AG369="",0,IF(MATCH(AG369,$AG$4:$AG$1203,0)=ROW()-3,1,0))</f>
        <v>0</v>
      </c>
      <c r="AJ369" s="90" t="n">
        <f aca="false">N(AJ368)+AI369</f>
        <v>4</v>
      </c>
      <c r="AK369" s="1" t="n">
        <f aca="false">N(AK368)+$AJ369</f>
        <v>336</v>
      </c>
    </row>
    <row r="370" customFormat="false" ht="13.5" hidden="false" customHeight="false" outlineLevel="0" collapsed="false">
      <c r="A370" s="1" t="str">
        <f aca="false">IF(对接源_01水果!$C370="","",对接源_01水果!$C370)</f>
        <v/>
      </c>
      <c r="B370" s="1" t="n">
        <f aca="false">IF(A370="",0,IF(MATCH(A370,$A$4:$A$2403,0)=ROW()-3,1,0))</f>
        <v>0</v>
      </c>
      <c r="C370" s="1" t="n">
        <f aca="false">N(C369)+B370</f>
        <v>13</v>
      </c>
      <c r="K370" s="1" t="n">
        <f aca="false">IF(OR($K$1="",对接源_01水果!$C370="",对接源_01水果!$C370&lt;&gt;$K$1,对接源_01水果!$B370=""),0,IF(OR(N(对接源_01水果!$B370)&lt;$K$2,N(对接源_01水果!$B370)&gt;$K$3),0,1))</f>
        <v>0</v>
      </c>
      <c r="L370" s="1" t="n">
        <f aca="false">IF(OR($L$1="",对接源_01水果!$C370="",对接源_01水果!$C370&lt;&gt;$L$1,对接源_01水果!$B370=""),0,IF(OR(N(对接源_01水果!$B370)&lt;$L$2,N(对接源_01水果!$B370)&gt;$L$3),0,1))</f>
        <v>0</v>
      </c>
      <c r="M370" s="1" t="n">
        <f aca="false">IF(OR($M$1="",对接源_01水果!$C370="",对接源_01水果!$C370&lt;&gt;$M$1,对接源_01水果!$B370=""),0,IF(OR(N(对接源_01水果!$B370)&lt;$M$2,N(对接源_01水果!$B370)&gt;$M$3),0,1))</f>
        <v>0</v>
      </c>
      <c r="N370" s="1" t="n">
        <f aca="false">IF(OR($N$1="",对接源_01水果!$C370="",对接源_01水果!$C370&lt;&gt;$N$1,对接源_01水果!$B370=""),0,IF(OR(N(对接源_01水果!$B370)&lt;$N$2,N(对接源_01水果!$B370)&gt;$N$3),0,1))</f>
        <v>0</v>
      </c>
      <c r="P370" s="1" t="n">
        <f aca="false">IF(AND($K370=1,AND(对接源_01水果!$X370="公司筐",N(对接源_01水果!$T370)&lt;&gt;0)),1,0)</f>
        <v>0</v>
      </c>
      <c r="Q370" s="1" t="n">
        <f aca="false">N(Q369)+$P370</f>
        <v>3</v>
      </c>
      <c r="R370" s="1" t="n">
        <f aca="false">IF(AND($K370=1,AND(对接源_01水果!$X370="公司筐",N(对接源_01水果!$U370)&lt;&gt;0)),1,0)</f>
        <v>0</v>
      </c>
      <c r="S370" s="1" t="n">
        <f aca="false">N(S369)+$R370</f>
        <v>0</v>
      </c>
      <c r="T370" s="1" t="n">
        <f aca="false">IF(AND($K370=1,AND(对接源_01水果!$X370="公司筐",N(对接源_01水果!$V370)&lt;&gt;0)),1,0)</f>
        <v>0</v>
      </c>
      <c r="U370" s="1" t="n">
        <f aca="false">N(U369)+$T370</f>
        <v>28</v>
      </c>
      <c r="V370" s="1" t="n">
        <f aca="false">IF(AND($L370=1,AND(对接源_01水果!$X370="自备筐",N(对接源_01水果!$V370)&lt;&gt;0)),1,0)</f>
        <v>0</v>
      </c>
      <c r="W370" s="1" t="n">
        <f aca="false">N(W369)+$V370</f>
        <v>7</v>
      </c>
      <c r="X370" s="1" t="n">
        <f aca="false">IF(AND($L370=1,AND(对接源_01水果!$X370="自备筐",N(对接源_01水果!$T370)&lt;&gt;0)),1,0)</f>
        <v>0</v>
      </c>
      <c r="Y370" s="1" t="n">
        <f aca="false">N(Y369)+$X370</f>
        <v>0</v>
      </c>
      <c r="Z370" s="1" t="n">
        <f aca="false">IF(AND($M370=1,对接源_01水果!$D370="原料入库"),1,0)</f>
        <v>0</v>
      </c>
      <c r="AA370" s="1" t="n">
        <f aca="false">N(AA369)+$Z370</f>
        <v>30</v>
      </c>
      <c r="AB370" s="1" t="n">
        <f aca="false">IF(AND($M370=1,LEFT(对接源_01水果!$D370,4)="原料出库"),1,0)</f>
        <v>0</v>
      </c>
      <c r="AC370" s="1" t="n">
        <f aca="false">N(AC369)+$AB370</f>
        <v>19</v>
      </c>
      <c r="AD370" s="1" t="n">
        <f aca="false">IF(AND($M370=1,LEFT(对接源_01水果!$D370,4)="成品出库"),1,0)</f>
        <v>0</v>
      </c>
      <c r="AE370" s="1" t="n">
        <f aca="false">N(AE369)+$AD370</f>
        <v>38</v>
      </c>
      <c r="AF370" s="1" t="n">
        <f aca="false">IF(AND($N370=1,AND(LEFT(对接源_01水果!$D370,4)="包装物料",N(对接源_01水果!$K370)&lt;&gt;0)),1,0)</f>
        <v>0</v>
      </c>
      <c r="AG370" s="90" t="str">
        <f aca="false">IF(对接源_01水果!$AC370="","",对接源_01水果!$AC370)</f>
        <v/>
      </c>
      <c r="AH370" s="1" t="n">
        <f aca="false">IF(AND($N370=1,AND(LEFT(对接源_01水果!$D370,3)="周转筐",N(对接源_01水果!$K370)&lt;&gt;0)),1,0)</f>
        <v>0</v>
      </c>
      <c r="AI370" s="90" t="n">
        <f aca="false">IF(AG370="",0,IF(MATCH(AG370,$AG$4:$AG$1203,0)=ROW()-3,1,0))</f>
        <v>0</v>
      </c>
      <c r="AJ370" s="90" t="n">
        <f aca="false">N(AJ369)+AI370</f>
        <v>4</v>
      </c>
      <c r="AK370" s="1" t="n">
        <f aca="false">N(AK369)+$AJ370</f>
        <v>340</v>
      </c>
    </row>
    <row r="371" customFormat="false" ht="13.5" hidden="false" customHeight="false" outlineLevel="0" collapsed="false">
      <c r="A371" s="1" t="str">
        <f aca="false">IF(对接源_01水果!$C371="","",对接源_01水果!$C371)</f>
        <v/>
      </c>
      <c r="B371" s="1" t="n">
        <f aca="false">IF(A371="",0,IF(MATCH(A371,$A$4:$A$2403,0)=ROW()-3,1,0))</f>
        <v>0</v>
      </c>
      <c r="C371" s="1" t="n">
        <f aca="false">N(C370)+B371</f>
        <v>13</v>
      </c>
      <c r="K371" s="1" t="n">
        <f aca="false">IF(OR($K$1="",对接源_01水果!$C371="",对接源_01水果!$C371&lt;&gt;$K$1,对接源_01水果!$B371=""),0,IF(OR(N(对接源_01水果!$B371)&lt;$K$2,N(对接源_01水果!$B371)&gt;$K$3),0,1))</f>
        <v>0</v>
      </c>
      <c r="L371" s="1" t="n">
        <f aca="false">IF(OR($L$1="",对接源_01水果!$C371="",对接源_01水果!$C371&lt;&gt;$L$1,对接源_01水果!$B371=""),0,IF(OR(N(对接源_01水果!$B371)&lt;$L$2,N(对接源_01水果!$B371)&gt;$L$3),0,1))</f>
        <v>0</v>
      </c>
      <c r="M371" s="1" t="n">
        <f aca="false">IF(OR($M$1="",对接源_01水果!$C371="",对接源_01水果!$C371&lt;&gt;$M$1,对接源_01水果!$B371=""),0,IF(OR(N(对接源_01水果!$B371)&lt;$M$2,N(对接源_01水果!$B371)&gt;$M$3),0,1))</f>
        <v>0</v>
      </c>
      <c r="N371" s="1" t="n">
        <f aca="false">IF(OR($N$1="",对接源_01水果!$C371="",对接源_01水果!$C371&lt;&gt;$N$1,对接源_01水果!$B371=""),0,IF(OR(N(对接源_01水果!$B371)&lt;$N$2,N(对接源_01水果!$B371)&gt;$N$3),0,1))</f>
        <v>0</v>
      </c>
      <c r="P371" s="1" t="n">
        <f aca="false">IF(AND($K371=1,AND(对接源_01水果!$X371="公司筐",N(对接源_01水果!$T371)&lt;&gt;0)),1,0)</f>
        <v>0</v>
      </c>
      <c r="Q371" s="1" t="n">
        <f aca="false">N(Q370)+$P371</f>
        <v>3</v>
      </c>
      <c r="R371" s="1" t="n">
        <f aca="false">IF(AND($K371=1,AND(对接源_01水果!$X371="公司筐",N(对接源_01水果!$U371)&lt;&gt;0)),1,0)</f>
        <v>0</v>
      </c>
      <c r="S371" s="1" t="n">
        <f aca="false">N(S370)+$R371</f>
        <v>0</v>
      </c>
      <c r="T371" s="1" t="n">
        <f aca="false">IF(AND($K371=1,AND(对接源_01水果!$X371="公司筐",N(对接源_01水果!$V371)&lt;&gt;0)),1,0)</f>
        <v>0</v>
      </c>
      <c r="U371" s="1" t="n">
        <f aca="false">N(U370)+$T371</f>
        <v>28</v>
      </c>
      <c r="V371" s="1" t="n">
        <f aca="false">IF(AND($L371=1,AND(对接源_01水果!$X371="自备筐",N(对接源_01水果!$V371)&lt;&gt;0)),1,0)</f>
        <v>0</v>
      </c>
      <c r="W371" s="1" t="n">
        <f aca="false">N(W370)+$V371</f>
        <v>7</v>
      </c>
      <c r="X371" s="1" t="n">
        <f aca="false">IF(AND($L371=1,AND(对接源_01水果!$X371="自备筐",N(对接源_01水果!$T371)&lt;&gt;0)),1,0)</f>
        <v>0</v>
      </c>
      <c r="Y371" s="1" t="n">
        <f aca="false">N(Y370)+$X371</f>
        <v>0</v>
      </c>
      <c r="Z371" s="1" t="n">
        <f aca="false">IF(AND($M371=1,对接源_01水果!$D371="原料入库"),1,0)</f>
        <v>0</v>
      </c>
      <c r="AA371" s="1" t="n">
        <f aca="false">N(AA370)+$Z371</f>
        <v>30</v>
      </c>
      <c r="AB371" s="1" t="n">
        <f aca="false">IF(AND($M371=1,LEFT(对接源_01水果!$D371,4)="原料出库"),1,0)</f>
        <v>0</v>
      </c>
      <c r="AC371" s="1" t="n">
        <f aca="false">N(AC370)+$AB371</f>
        <v>19</v>
      </c>
      <c r="AD371" s="1" t="n">
        <f aca="false">IF(AND($M371=1,LEFT(对接源_01水果!$D371,4)="成品出库"),1,0)</f>
        <v>0</v>
      </c>
      <c r="AE371" s="1" t="n">
        <f aca="false">N(AE370)+$AD371</f>
        <v>38</v>
      </c>
      <c r="AF371" s="1" t="n">
        <f aca="false">IF(AND($N371=1,AND(LEFT(对接源_01水果!$D371,4)="包装物料",N(对接源_01水果!$K371)&lt;&gt;0)),1,0)</f>
        <v>0</v>
      </c>
      <c r="AG371" s="90" t="str">
        <f aca="false">IF(对接源_01水果!$AC371="","",对接源_01水果!$AC371)</f>
        <v/>
      </c>
      <c r="AH371" s="1" t="n">
        <f aca="false">IF(AND($N371=1,AND(LEFT(对接源_01水果!$D371,3)="周转筐",N(对接源_01水果!$K371)&lt;&gt;0)),1,0)</f>
        <v>0</v>
      </c>
      <c r="AI371" s="90" t="n">
        <f aca="false">IF(AG371="",0,IF(MATCH(AG371,$AG$4:$AG$1203,0)=ROW()-3,1,0))</f>
        <v>0</v>
      </c>
      <c r="AJ371" s="90" t="n">
        <f aca="false">N(AJ370)+AI371</f>
        <v>4</v>
      </c>
      <c r="AK371" s="1" t="n">
        <f aca="false">N(AK370)+$AJ371</f>
        <v>344</v>
      </c>
    </row>
    <row r="372" customFormat="false" ht="13.5" hidden="false" customHeight="false" outlineLevel="0" collapsed="false">
      <c r="A372" s="1" t="str">
        <f aca="false">IF(对接源_01水果!$C372="","",对接源_01水果!$C372)</f>
        <v/>
      </c>
      <c r="B372" s="1" t="n">
        <f aca="false">IF(A372="",0,IF(MATCH(A372,$A$4:$A$2403,0)=ROW()-3,1,0))</f>
        <v>0</v>
      </c>
      <c r="C372" s="1" t="n">
        <f aca="false">N(C371)+B372</f>
        <v>13</v>
      </c>
      <c r="K372" s="1" t="n">
        <f aca="false">IF(OR($K$1="",对接源_01水果!$C372="",对接源_01水果!$C372&lt;&gt;$K$1,对接源_01水果!$B372=""),0,IF(OR(N(对接源_01水果!$B372)&lt;$K$2,N(对接源_01水果!$B372)&gt;$K$3),0,1))</f>
        <v>0</v>
      </c>
      <c r="L372" s="1" t="n">
        <f aca="false">IF(OR($L$1="",对接源_01水果!$C372="",对接源_01水果!$C372&lt;&gt;$L$1,对接源_01水果!$B372=""),0,IF(OR(N(对接源_01水果!$B372)&lt;$L$2,N(对接源_01水果!$B372)&gt;$L$3),0,1))</f>
        <v>0</v>
      </c>
      <c r="M372" s="1" t="n">
        <f aca="false">IF(OR($M$1="",对接源_01水果!$C372="",对接源_01水果!$C372&lt;&gt;$M$1,对接源_01水果!$B372=""),0,IF(OR(N(对接源_01水果!$B372)&lt;$M$2,N(对接源_01水果!$B372)&gt;$M$3),0,1))</f>
        <v>0</v>
      </c>
      <c r="N372" s="1" t="n">
        <f aca="false">IF(OR($N$1="",对接源_01水果!$C372="",对接源_01水果!$C372&lt;&gt;$N$1,对接源_01水果!$B372=""),0,IF(OR(N(对接源_01水果!$B372)&lt;$N$2,N(对接源_01水果!$B372)&gt;$N$3),0,1))</f>
        <v>0</v>
      </c>
      <c r="P372" s="1" t="n">
        <f aca="false">IF(AND($K372=1,AND(对接源_01水果!$X372="公司筐",N(对接源_01水果!$T372)&lt;&gt;0)),1,0)</f>
        <v>0</v>
      </c>
      <c r="Q372" s="1" t="n">
        <f aca="false">N(Q371)+$P372</f>
        <v>3</v>
      </c>
      <c r="R372" s="1" t="n">
        <f aca="false">IF(AND($K372=1,AND(对接源_01水果!$X372="公司筐",N(对接源_01水果!$U372)&lt;&gt;0)),1,0)</f>
        <v>0</v>
      </c>
      <c r="S372" s="1" t="n">
        <f aca="false">N(S371)+$R372</f>
        <v>0</v>
      </c>
      <c r="T372" s="1" t="n">
        <f aca="false">IF(AND($K372=1,AND(对接源_01水果!$X372="公司筐",N(对接源_01水果!$V372)&lt;&gt;0)),1,0)</f>
        <v>0</v>
      </c>
      <c r="U372" s="1" t="n">
        <f aca="false">N(U371)+$T372</f>
        <v>28</v>
      </c>
      <c r="V372" s="1" t="n">
        <f aca="false">IF(AND($L372=1,AND(对接源_01水果!$X372="自备筐",N(对接源_01水果!$V372)&lt;&gt;0)),1,0)</f>
        <v>0</v>
      </c>
      <c r="W372" s="1" t="n">
        <f aca="false">N(W371)+$V372</f>
        <v>7</v>
      </c>
      <c r="X372" s="1" t="n">
        <f aca="false">IF(AND($L372=1,AND(对接源_01水果!$X372="自备筐",N(对接源_01水果!$T372)&lt;&gt;0)),1,0)</f>
        <v>0</v>
      </c>
      <c r="Y372" s="1" t="n">
        <f aca="false">N(Y371)+$X372</f>
        <v>0</v>
      </c>
      <c r="Z372" s="1" t="n">
        <f aca="false">IF(AND($M372=1,对接源_01水果!$D372="原料入库"),1,0)</f>
        <v>0</v>
      </c>
      <c r="AA372" s="1" t="n">
        <f aca="false">N(AA371)+$Z372</f>
        <v>30</v>
      </c>
      <c r="AB372" s="1" t="n">
        <f aca="false">IF(AND($M372=1,LEFT(对接源_01水果!$D372,4)="原料出库"),1,0)</f>
        <v>0</v>
      </c>
      <c r="AC372" s="1" t="n">
        <f aca="false">N(AC371)+$AB372</f>
        <v>19</v>
      </c>
      <c r="AD372" s="1" t="n">
        <f aca="false">IF(AND($M372=1,LEFT(对接源_01水果!$D372,4)="成品出库"),1,0)</f>
        <v>0</v>
      </c>
      <c r="AE372" s="1" t="n">
        <f aca="false">N(AE371)+$AD372</f>
        <v>38</v>
      </c>
      <c r="AF372" s="1" t="n">
        <f aca="false">IF(AND($N372=1,AND(LEFT(对接源_01水果!$D372,4)="包装物料",N(对接源_01水果!$K372)&lt;&gt;0)),1,0)</f>
        <v>0</v>
      </c>
      <c r="AG372" s="90" t="str">
        <f aca="false">IF(对接源_01水果!$AC372="","",对接源_01水果!$AC372)</f>
        <v/>
      </c>
      <c r="AH372" s="1" t="n">
        <f aca="false">IF(AND($N372=1,AND(LEFT(对接源_01水果!$D372,3)="周转筐",N(对接源_01水果!$K372)&lt;&gt;0)),1,0)</f>
        <v>0</v>
      </c>
      <c r="AI372" s="90" t="n">
        <f aca="false">IF(AG372="",0,IF(MATCH(AG372,$AG$4:$AG$1203,0)=ROW()-3,1,0))</f>
        <v>0</v>
      </c>
      <c r="AJ372" s="90" t="n">
        <f aca="false">N(AJ371)+AI372</f>
        <v>4</v>
      </c>
      <c r="AK372" s="1" t="n">
        <f aca="false">N(AK371)+$AJ372</f>
        <v>348</v>
      </c>
    </row>
    <row r="373" customFormat="false" ht="13.5" hidden="false" customHeight="false" outlineLevel="0" collapsed="false">
      <c r="A373" s="1" t="str">
        <f aca="false">IF(对接源_01水果!$C373="","",对接源_01水果!$C373)</f>
        <v/>
      </c>
      <c r="B373" s="1" t="n">
        <f aca="false">IF(A373="",0,IF(MATCH(A373,$A$4:$A$2403,0)=ROW()-3,1,0))</f>
        <v>0</v>
      </c>
      <c r="C373" s="1" t="n">
        <f aca="false">N(C372)+B373</f>
        <v>13</v>
      </c>
      <c r="K373" s="1" t="n">
        <f aca="false">IF(OR($K$1="",对接源_01水果!$C373="",对接源_01水果!$C373&lt;&gt;$K$1,对接源_01水果!$B373=""),0,IF(OR(N(对接源_01水果!$B373)&lt;$K$2,N(对接源_01水果!$B373)&gt;$K$3),0,1))</f>
        <v>0</v>
      </c>
      <c r="L373" s="1" t="n">
        <f aca="false">IF(OR($L$1="",对接源_01水果!$C373="",对接源_01水果!$C373&lt;&gt;$L$1,对接源_01水果!$B373=""),0,IF(OR(N(对接源_01水果!$B373)&lt;$L$2,N(对接源_01水果!$B373)&gt;$L$3),0,1))</f>
        <v>0</v>
      </c>
      <c r="M373" s="1" t="n">
        <f aca="false">IF(OR($M$1="",对接源_01水果!$C373="",对接源_01水果!$C373&lt;&gt;$M$1,对接源_01水果!$B373=""),0,IF(OR(N(对接源_01水果!$B373)&lt;$M$2,N(对接源_01水果!$B373)&gt;$M$3),0,1))</f>
        <v>0</v>
      </c>
      <c r="N373" s="1" t="n">
        <f aca="false">IF(OR($N$1="",对接源_01水果!$C373="",对接源_01水果!$C373&lt;&gt;$N$1,对接源_01水果!$B373=""),0,IF(OR(N(对接源_01水果!$B373)&lt;$N$2,N(对接源_01水果!$B373)&gt;$N$3),0,1))</f>
        <v>0</v>
      </c>
      <c r="P373" s="1" t="n">
        <f aca="false">IF(AND($K373=1,AND(对接源_01水果!$X373="公司筐",N(对接源_01水果!$T373)&lt;&gt;0)),1,0)</f>
        <v>0</v>
      </c>
      <c r="Q373" s="1" t="n">
        <f aca="false">N(Q372)+$P373</f>
        <v>3</v>
      </c>
      <c r="R373" s="1" t="n">
        <f aca="false">IF(AND($K373=1,AND(对接源_01水果!$X373="公司筐",N(对接源_01水果!$U373)&lt;&gt;0)),1,0)</f>
        <v>0</v>
      </c>
      <c r="S373" s="1" t="n">
        <f aca="false">N(S372)+$R373</f>
        <v>0</v>
      </c>
      <c r="T373" s="1" t="n">
        <f aca="false">IF(AND($K373=1,AND(对接源_01水果!$X373="公司筐",N(对接源_01水果!$V373)&lt;&gt;0)),1,0)</f>
        <v>0</v>
      </c>
      <c r="U373" s="1" t="n">
        <f aca="false">N(U372)+$T373</f>
        <v>28</v>
      </c>
      <c r="V373" s="1" t="n">
        <f aca="false">IF(AND($L373=1,AND(对接源_01水果!$X373="自备筐",N(对接源_01水果!$V373)&lt;&gt;0)),1,0)</f>
        <v>0</v>
      </c>
      <c r="W373" s="1" t="n">
        <f aca="false">N(W372)+$V373</f>
        <v>7</v>
      </c>
      <c r="X373" s="1" t="n">
        <f aca="false">IF(AND($L373=1,AND(对接源_01水果!$X373="自备筐",N(对接源_01水果!$T373)&lt;&gt;0)),1,0)</f>
        <v>0</v>
      </c>
      <c r="Y373" s="1" t="n">
        <f aca="false">N(Y372)+$X373</f>
        <v>0</v>
      </c>
      <c r="Z373" s="1" t="n">
        <f aca="false">IF(AND($M373=1,对接源_01水果!$D373="原料入库"),1,0)</f>
        <v>0</v>
      </c>
      <c r="AA373" s="1" t="n">
        <f aca="false">N(AA372)+$Z373</f>
        <v>30</v>
      </c>
      <c r="AB373" s="1" t="n">
        <f aca="false">IF(AND($M373=1,LEFT(对接源_01水果!$D373,4)="原料出库"),1,0)</f>
        <v>0</v>
      </c>
      <c r="AC373" s="1" t="n">
        <f aca="false">N(AC372)+$AB373</f>
        <v>19</v>
      </c>
      <c r="AD373" s="1" t="n">
        <f aca="false">IF(AND($M373=1,LEFT(对接源_01水果!$D373,4)="成品出库"),1,0)</f>
        <v>0</v>
      </c>
      <c r="AE373" s="1" t="n">
        <f aca="false">N(AE372)+$AD373</f>
        <v>38</v>
      </c>
      <c r="AF373" s="1" t="n">
        <f aca="false">IF(AND($N373=1,AND(LEFT(对接源_01水果!$D373,4)="包装物料",N(对接源_01水果!$K373)&lt;&gt;0)),1,0)</f>
        <v>0</v>
      </c>
      <c r="AG373" s="90" t="str">
        <f aca="false">IF(对接源_01水果!$AC373="","",对接源_01水果!$AC373)</f>
        <v/>
      </c>
      <c r="AH373" s="1" t="n">
        <f aca="false">IF(AND($N373=1,AND(LEFT(对接源_01水果!$D373,3)="周转筐",N(对接源_01水果!$K373)&lt;&gt;0)),1,0)</f>
        <v>0</v>
      </c>
      <c r="AI373" s="90" t="n">
        <f aca="false">IF(AG373="",0,IF(MATCH(AG373,$AG$4:$AG$1203,0)=ROW()-3,1,0))</f>
        <v>0</v>
      </c>
      <c r="AJ373" s="90" t="n">
        <f aca="false">N(AJ372)+AI373</f>
        <v>4</v>
      </c>
      <c r="AK373" s="1" t="n">
        <f aca="false">N(AK372)+$AJ373</f>
        <v>352</v>
      </c>
    </row>
    <row r="374" customFormat="false" ht="13.5" hidden="false" customHeight="false" outlineLevel="0" collapsed="false">
      <c r="A374" s="1" t="str">
        <f aca="false">IF(对接源_01水果!$C374="","",对接源_01水果!$C374)</f>
        <v/>
      </c>
      <c r="B374" s="1" t="n">
        <f aca="false">IF(A374="",0,IF(MATCH(A374,$A$4:$A$2403,0)=ROW()-3,1,0))</f>
        <v>0</v>
      </c>
      <c r="C374" s="1" t="n">
        <f aca="false">N(C373)+B374</f>
        <v>13</v>
      </c>
      <c r="K374" s="1" t="n">
        <f aca="false">IF(OR($K$1="",对接源_01水果!$C374="",对接源_01水果!$C374&lt;&gt;$K$1,对接源_01水果!$B374=""),0,IF(OR(N(对接源_01水果!$B374)&lt;$K$2,N(对接源_01水果!$B374)&gt;$K$3),0,1))</f>
        <v>0</v>
      </c>
      <c r="L374" s="1" t="n">
        <f aca="false">IF(OR($L$1="",对接源_01水果!$C374="",对接源_01水果!$C374&lt;&gt;$L$1,对接源_01水果!$B374=""),0,IF(OR(N(对接源_01水果!$B374)&lt;$L$2,N(对接源_01水果!$B374)&gt;$L$3),0,1))</f>
        <v>0</v>
      </c>
      <c r="M374" s="1" t="n">
        <f aca="false">IF(OR($M$1="",对接源_01水果!$C374="",对接源_01水果!$C374&lt;&gt;$M$1,对接源_01水果!$B374=""),0,IF(OR(N(对接源_01水果!$B374)&lt;$M$2,N(对接源_01水果!$B374)&gt;$M$3),0,1))</f>
        <v>0</v>
      </c>
      <c r="N374" s="1" t="n">
        <f aca="false">IF(OR($N$1="",对接源_01水果!$C374="",对接源_01水果!$C374&lt;&gt;$N$1,对接源_01水果!$B374=""),0,IF(OR(N(对接源_01水果!$B374)&lt;$N$2,N(对接源_01水果!$B374)&gt;$N$3),0,1))</f>
        <v>0</v>
      </c>
      <c r="P374" s="1" t="n">
        <f aca="false">IF(AND($K374=1,AND(对接源_01水果!$X374="公司筐",N(对接源_01水果!$T374)&lt;&gt;0)),1,0)</f>
        <v>0</v>
      </c>
      <c r="Q374" s="1" t="n">
        <f aca="false">N(Q373)+$P374</f>
        <v>3</v>
      </c>
      <c r="R374" s="1" t="n">
        <f aca="false">IF(AND($K374=1,AND(对接源_01水果!$X374="公司筐",N(对接源_01水果!$U374)&lt;&gt;0)),1,0)</f>
        <v>0</v>
      </c>
      <c r="S374" s="1" t="n">
        <f aca="false">N(S373)+$R374</f>
        <v>0</v>
      </c>
      <c r="T374" s="1" t="n">
        <f aca="false">IF(AND($K374=1,AND(对接源_01水果!$X374="公司筐",N(对接源_01水果!$V374)&lt;&gt;0)),1,0)</f>
        <v>0</v>
      </c>
      <c r="U374" s="1" t="n">
        <f aca="false">N(U373)+$T374</f>
        <v>28</v>
      </c>
      <c r="V374" s="1" t="n">
        <f aca="false">IF(AND($L374=1,AND(对接源_01水果!$X374="自备筐",N(对接源_01水果!$V374)&lt;&gt;0)),1,0)</f>
        <v>0</v>
      </c>
      <c r="W374" s="1" t="n">
        <f aca="false">N(W373)+$V374</f>
        <v>7</v>
      </c>
      <c r="X374" s="1" t="n">
        <f aca="false">IF(AND($L374=1,AND(对接源_01水果!$X374="自备筐",N(对接源_01水果!$T374)&lt;&gt;0)),1,0)</f>
        <v>0</v>
      </c>
      <c r="Y374" s="1" t="n">
        <f aca="false">N(Y373)+$X374</f>
        <v>0</v>
      </c>
      <c r="Z374" s="1" t="n">
        <f aca="false">IF(AND($M374=1,对接源_01水果!$D374="原料入库"),1,0)</f>
        <v>0</v>
      </c>
      <c r="AA374" s="1" t="n">
        <f aca="false">N(AA373)+$Z374</f>
        <v>30</v>
      </c>
      <c r="AB374" s="1" t="n">
        <f aca="false">IF(AND($M374=1,LEFT(对接源_01水果!$D374,4)="原料出库"),1,0)</f>
        <v>0</v>
      </c>
      <c r="AC374" s="1" t="n">
        <f aca="false">N(AC373)+$AB374</f>
        <v>19</v>
      </c>
      <c r="AD374" s="1" t="n">
        <f aca="false">IF(AND($M374=1,LEFT(对接源_01水果!$D374,4)="成品出库"),1,0)</f>
        <v>0</v>
      </c>
      <c r="AE374" s="1" t="n">
        <f aca="false">N(AE373)+$AD374</f>
        <v>38</v>
      </c>
      <c r="AF374" s="1" t="n">
        <f aca="false">IF(AND($N374=1,AND(LEFT(对接源_01水果!$D374,4)="包装物料",N(对接源_01水果!$K374)&lt;&gt;0)),1,0)</f>
        <v>0</v>
      </c>
      <c r="AG374" s="90" t="str">
        <f aca="false">IF(对接源_01水果!$AC374="","",对接源_01水果!$AC374)</f>
        <v/>
      </c>
      <c r="AH374" s="1" t="n">
        <f aca="false">IF(AND($N374=1,AND(LEFT(对接源_01水果!$D374,3)="周转筐",N(对接源_01水果!$K374)&lt;&gt;0)),1,0)</f>
        <v>0</v>
      </c>
      <c r="AI374" s="90" t="n">
        <f aca="false">IF(AG374="",0,IF(MATCH(AG374,$AG$4:$AG$1203,0)=ROW()-3,1,0))</f>
        <v>0</v>
      </c>
      <c r="AJ374" s="90" t="n">
        <f aca="false">N(AJ373)+AI374</f>
        <v>4</v>
      </c>
      <c r="AK374" s="1" t="n">
        <f aca="false">N(AK373)+$AJ374</f>
        <v>356</v>
      </c>
    </row>
    <row r="375" customFormat="false" ht="13.5" hidden="false" customHeight="false" outlineLevel="0" collapsed="false">
      <c r="A375" s="1" t="str">
        <f aca="false">IF(对接源_01水果!$C375="","",对接源_01水果!$C375)</f>
        <v/>
      </c>
      <c r="B375" s="1" t="n">
        <f aca="false">IF(A375="",0,IF(MATCH(A375,$A$4:$A$2403,0)=ROW()-3,1,0))</f>
        <v>0</v>
      </c>
      <c r="C375" s="1" t="n">
        <f aca="false">N(C374)+B375</f>
        <v>13</v>
      </c>
      <c r="K375" s="1" t="n">
        <f aca="false">IF(OR($K$1="",对接源_01水果!$C375="",对接源_01水果!$C375&lt;&gt;$K$1,对接源_01水果!$B375=""),0,IF(OR(N(对接源_01水果!$B375)&lt;$K$2,N(对接源_01水果!$B375)&gt;$K$3),0,1))</f>
        <v>0</v>
      </c>
      <c r="L375" s="1" t="n">
        <f aca="false">IF(OR($L$1="",对接源_01水果!$C375="",对接源_01水果!$C375&lt;&gt;$L$1,对接源_01水果!$B375=""),0,IF(OR(N(对接源_01水果!$B375)&lt;$L$2,N(对接源_01水果!$B375)&gt;$L$3),0,1))</f>
        <v>0</v>
      </c>
      <c r="M375" s="1" t="n">
        <f aca="false">IF(OR($M$1="",对接源_01水果!$C375="",对接源_01水果!$C375&lt;&gt;$M$1,对接源_01水果!$B375=""),0,IF(OR(N(对接源_01水果!$B375)&lt;$M$2,N(对接源_01水果!$B375)&gt;$M$3),0,1))</f>
        <v>0</v>
      </c>
      <c r="N375" s="1" t="n">
        <f aca="false">IF(OR($N$1="",对接源_01水果!$C375="",对接源_01水果!$C375&lt;&gt;$N$1,对接源_01水果!$B375=""),0,IF(OR(N(对接源_01水果!$B375)&lt;$N$2,N(对接源_01水果!$B375)&gt;$N$3),0,1))</f>
        <v>0</v>
      </c>
      <c r="P375" s="1" t="n">
        <f aca="false">IF(AND($K375=1,AND(对接源_01水果!$X375="公司筐",N(对接源_01水果!$T375)&lt;&gt;0)),1,0)</f>
        <v>0</v>
      </c>
      <c r="Q375" s="1" t="n">
        <f aca="false">N(Q374)+$P375</f>
        <v>3</v>
      </c>
      <c r="R375" s="1" t="n">
        <f aca="false">IF(AND($K375=1,AND(对接源_01水果!$X375="公司筐",N(对接源_01水果!$U375)&lt;&gt;0)),1,0)</f>
        <v>0</v>
      </c>
      <c r="S375" s="1" t="n">
        <f aca="false">N(S374)+$R375</f>
        <v>0</v>
      </c>
      <c r="T375" s="1" t="n">
        <f aca="false">IF(AND($K375=1,AND(对接源_01水果!$X375="公司筐",N(对接源_01水果!$V375)&lt;&gt;0)),1,0)</f>
        <v>0</v>
      </c>
      <c r="U375" s="1" t="n">
        <f aca="false">N(U374)+$T375</f>
        <v>28</v>
      </c>
      <c r="V375" s="1" t="n">
        <f aca="false">IF(AND($L375=1,AND(对接源_01水果!$X375="自备筐",N(对接源_01水果!$V375)&lt;&gt;0)),1,0)</f>
        <v>0</v>
      </c>
      <c r="W375" s="1" t="n">
        <f aca="false">N(W374)+$V375</f>
        <v>7</v>
      </c>
      <c r="X375" s="1" t="n">
        <f aca="false">IF(AND($L375=1,AND(对接源_01水果!$X375="自备筐",N(对接源_01水果!$T375)&lt;&gt;0)),1,0)</f>
        <v>0</v>
      </c>
      <c r="Y375" s="1" t="n">
        <f aca="false">N(Y374)+$X375</f>
        <v>0</v>
      </c>
      <c r="Z375" s="1" t="n">
        <f aca="false">IF(AND($M375=1,对接源_01水果!$D375="原料入库"),1,0)</f>
        <v>0</v>
      </c>
      <c r="AA375" s="1" t="n">
        <f aca="false">N(AA374)+$Z375</f>
        <v>30</v>
      </c>
      <c r="AB375" s="1" t="n">
        <f aca="false">IF(AND($M375=1,LEFT(对接源_01水果!$D375,4)="原料出库"),1,0)</f>
        <v>0</v>
      </c>
      <c r="AC375" s="1" t="n">
        <f aca="false">N(AC374)+$AB375</f>
        <v>19</v>
      </c>
      <c r="AD375" s="1" t="n">
        <f aca="false">IF(AND($M375=1,LEFT(对接源_01水果!$D375,4)="成品出库"),1,0)</f>
        <v>0</v>
      </c>
      <c r="AE375" s="1" t="n">
        <f aca="false">N(AE374)+$AD375</f>
        <v>38</v>
      </c>
      <c r="AF375" s="1" t="n">
        <f aca="false">IF(AND($N375=1,AND(LEFT(对接源_01水果!$D375,4)="包装物料",N(对接源_01水果!$K375)&lt;&gt;0)),1,0)</f>
        <v>0</v>
      </c>
      <c r="AG375" s="90" t="str">
        <f aca="false">IF(对接源_01水果!$AC375="","",对接源_01水果!$AC375)</f>
        <v/>
      </c>
      <c r="AH375" s="1" t="n">
        <f aca="false">IF(AND($N375=1,AND(LEFT(对接源_01水果!$D375,3)="周转筐",N(对接源_01水果!$K375)&lt;&gt;0)),1,0)</f>
        <v>0</v>
      </c>
      <c r="AI375" s="90" t="n">
        <f aca="false">IF(AG375="",0,IF(MATCH(AG375,$AG$4:$AG$1203,0)=ROW()-3,1,0))</f>
        <v>0</v>
      </c>
      <c r="AJ375" s="90" t="n">
        <f aca="false">N(AJ374)+AI375</f>
        <v>4</v>
      </c>
      <c r="AK375" s="1" t="n">
        <f aca="false">N(AK374)+$AJ375</f>
        <v>360</v>
      </c>
    </row>
    <row r="376" customFormat="false" ht="13.5" hidden="false" customHeight="false" outlineLevel="0" collapsed="false">
      <c r="A376" s="1" t="str">
        <f aca="false">IF(对接源_01水果!$C376="","",对接源_01水果!$C376)</f>
        <v/>
      </c>
      <c r="B376" s="1" t="n">
        <f aca="false">IF(A376="",0,IF(MATCH(A376,$A$4:$A$2403,0)=ROW()-3,1,0))</f>
        <v>0</v>
      </c>
      <c r="C376" s="1" t="n">
        <f aca="false">N(C375)+B376</f>
        <v>13</v>
      </c>
      <c r="K376" s="1" t="n">
        <f aca="false">IF(OR($K$1="",对接源_01水果!$C376="",对接源_01水果!$C376&lt;&gt;$K$1,对接源_01水果!$B376=""),0,IF(OR(N(对接源_01水果!$B376)&lt;$K$2,N(对接源_01水果!$B376)&gt;$K$3),0,1))</f>
        <v>0</v>
      </c>
      <c r="L376" s="1" t="n">
        <f aca="false">IF(OR($L$1="",对接源_01水果!$C376="",对接源_01水果!$C376&lt;&gt;$L$1,对接源_01水果!$B376=""),0,IF(OR(N(对接源_01水果!$B376)&lt;$L$2,N(对接源_01水果!$B376)&gt;$L$3),0,1))</f>
        <v>0</v>
      </c>
      <c r="M376" s="1" t="n">
        <f aca="false">IF(OR($M$1="",对接源_01水果!$C376="",对接源_01水果!$C376&lt;&gt;$M$1,对接源_01水果!$B376=""),0,IF(OR(N(对接源_01水果!$B376)&lt;$M$2,N(对接源_01水果!$B376)&gt;$M$3),0,1))</f>
        <v>0</v>
      </c>
      <c r="N376" s="1" t="n">
        <f aca="false">IF(OR($N$1="",对接源_01水果!$C376="",对接源_01水果!$C376&lt;&gt;$N$1,对接源_01水果!$B376=""),0,IF(OR(N(对接源_01水果!$B376)&lt;$N$2,N(对接源_01水果!$B376)&gt;$N$3),0,1))</f>
        <v>0</v>
      </c>
      <c r="P376" s="1" t="n">
        <f aca="false">IF(AND($K376=1,AND(对接源_01水果!$X376="公司筐",N(对接源_01水果!$T376)&lt;&gt;0)),1,0)</f>
        <v>0</v>
      </c>
      <c r="Q376" s="1" t="n">
        <f aca="false">N(Q375)+$P376</f>
        <v>3</v>
      </c>
      <c r="R376" s="1" t="n">
        <f aca="false">IF(AND($K376=1,AND(对接源_01水果!$X376="公司筐",N(对接源_01水果!$U376)&lt;&gt;0)),1,0)</f>
        <v>0</v>
      </c>
      <c r="S376" s="1" t="n">
        <f aca="false">N(S375)+$R376</f>
        <v>0</v>
      </c>
      <c r="T376" s="1" t="n">
        <f aca="false">IF(AND($K376=1,AND(对接源_01水果!$X376="公司筐",N(对接源_01水果!$V376)&lt;&gt;0)),1,0)</f>
        <v>0</v>
      </c>
      <c r="U376" s="1" t="n">
        <f aca="false">N(U375)+$T376</f>
        <v>28</v>
      </c>
      <c r="V376" s="1" t="n">
        <f aca="false">IF(AND($L376=1,AND(对接源_01水果!$X376="自备筐",N(对接源_01水果!$V376)&lt;&gt;0)),1,0)</f>
        <v>0</v>
      </c>
      <c r="W376" s="1" t="n">
        <f aca="false">N(W375)+$V376</f>
        <v>7</v>
      </c>
      <c r="X376" s="1" t="n">
        <f aca="false">IF(AND($L376=1,AND(对接源_01水果!$X376="自备筐",N(对接源_01水果!$T376)&lt;&gt;0)),1,0)</f>
        <v>0</v>
      </c>
      <c r="Y376" s="1" t="n">
        <f aca="false">N(Y375)+$X376</f>
        <v>0</v>
      </c>
      <c r="Z376" s="1" t="n">
        <f aca="false">IF(AND($M376=1,对接源_01水果!$D376="原料入库"),1,0)</f>
        <v>0</v>
      </c>
      <c r="AA376" s="1" t="n">
        <f aca="false">N(AA375)+$Z376</f>
        <v>30</v>
      </c>
      <c r="AB376" s="1" t="n">
        <f aca="false">IF(AND($M376=1,LEFT(对接源_01水果!$D376,4)="原料出库"),1,0)</f>
        <v>0</v>
      </c>
      <c r="AC376" s="1" t="n">
        <f aca="false">N(AC375)+$AB376</f>
        <v>19</v>
      </c>
      <c r="AD376" s="1" t="n">
        <f aca="false">IF(AND($M376=1,LEFT(对接源_01水果!$D376,4)="成品出库"),1,0)</f>
        <v>0</v>
      </c>
      <c r="AE376" s="1" t="n">
        <f aca="false">N(AE375)+$AD376</f>
        <v>38</v>
      </c>
      <c r="AF376" s="1" t="n">
        <f aca="false">IF(AND($N376=1,AND(LEFT(对接源_01水果!$D376,4)="包装物料",N(对接源_01水果!$K376)&lt;&gt;0)),1,0)</f>
        <v>0</v>
      </c>
      <c r="AG376" s="90" t="str">
        <f aca="false">IF(对接源_01水果!$AC376="","",对接源_01水果!$AC376)</f>
        <v/>
      </c>
      <c r="AH376" s="1" t="n">
        <f aca="false">IF(AND($N376=1,AND(LEFT(对接源_01水果!$D376,3)="周转筐",N(对接源_01水果!$K376)&lt;&gt;0)),1,0)</f>
        <v>0</v>
      </c>
      <c r="AI376" s="90" t="n">
        <f aca="false">IF(AG376="",0,IF(MATCH(AG376,$AG$4:$AG$1203,0)=ROW()-3,1,0))</f>
        <v>0</v>
      </c>
      <c r="AJ376" s="90" t="n">
        <f aca="false">N(AJ375)+AI376</f>
        <v>4</v>
      </c>
      <c r="AK376" s="1" t="n">
        <f aca="false">N(AK375)+$AJ376</f>
        <v>364</v>
      </c>
    </row>
    <row r="377" customFormat="false" ht="13.5" hidden="false" customHeight="false" outlineLevel="0" collapsed="false">
      <c r="A377" s="1" t="str">
        <f aca="false">IF(对接源_01水果!$C377="","",对接源_01水果!$C377)</f>
        <v/>
      </c>
      <c r="B377" s="1" t="n">
        <f aca="false">IF(A377="",0,IF(MATCH(A377,$A$4:$A$2403,0)=ROW()-3,1,0))</f>
        <v>0</v>
      </c>
      <c r="C377" s="1" t="n">
        <f aca="false">N(C376)+B377</f>
        <v>13</v>
      </c>
      <c r="K377" s="1" t="n">
        <f aca="false">IF(OR($K$1="",对接源_01水果!$C377="",对接源_01水果!$C377&lt;&gt;$K$1,对接源_01水果!$B377=""),0,IF(OR(N(对接源_01水果!$B377)&lt;$K$2,N(对接源_01水果!$B377)&gt;$K$3),0,1))</f>
        <v>0</v>
      </c>
      <c r="L377" s="1" t="n">
        <f aca="false">IF(OR($L$1="",对接源_01水果!$C377="",对接源_01水果!$C377&lt;&gt;$L$1,对接源_01水果!$B377=""),0,IF(OR(N(对接源_01水果!$B377)&lt;$L$2,N(对接源_01水果!$B377)&gt;$L$3),0,1))</f>
        <v>0</v>
      </c>
      <c r="M377" s="1" t="n">
        <f aca="false">IF(OR($M$1="",对接源_01水果!$C377="",对接源_01水果!$C377&lt;&gt;$M$1,对接源_01水果!$B377=""),0,IF(OR(N(对接源_01水果!$B377)&lt;$M$2,N(对接源_01水果!$B377)&gt;$M$3),0,1))</f>
        <v>0</v>
      </c>
      <c r="N377" s="1" t="n">
        <f aca="false">IF(OR($N$1="",对接源_01水果!$C377="",对接源_01水果!$C377&lt;&gt;$N$1,对接源_01水果!$B377=""),0,IF(OR(N(对接源_01水果!$B377)&lt;$N$2,N(对接源_01水果!$B377)&gt;$N$3),0,1))</f>
        <v>0</v>
      </c>
      <c r="P377" s="1" t="n">
        <f aca="false">IF(AND($K377=1,AND(对接源_01水果!$X377="公司筐",N(对接源_01水果!$T377)&lt;&gt;0)),1,0)</f>
        <v>0</v>
      </c>
      <c r="Q377" s="1" t="n">
        <f aca="false">N(Q376)+$P377</f>
        <v>3</v>
      </c>
      <c r="R377" s="1" t="n">
        <f aca="false">IF(AND($K377=1,AND(对接源_01水果!$X377="公司筐",N(对接源_01水果!$U377)&lt;&gt;0)),1,0)</f>
        <v>0</v>
      </c>
      <c r="S377" s="1" t="n">
        <f aca="false">N(S376)+$R377</f>
        <v>0</v>
      </c>
      <c r="T377" s="1" t="n">
        <f aca="false">IF(AND($K377=1,AND(对接源_01水果!$X377="公司筐",N(对接源_01水果!$V377)&lt;&gt;0)),1,0)</f>
        <v>0</v>
      </c>
      <c r="U377" s="1" t="n">
        <f aca="false">N(U376)+$T377</f>
        <v>28</v>
      </c>
      <c r="V377" s="1" t="n">
        <f aca="false">IF(AND($L377=1,AND(对接源_01水果!$X377="自备筐",N(对接源_01水果!$V377)&lt;&gt;0)),1,0)</f>
        <v>0</v>
      </c>
      <c r="W377" s="1" t="n">
        <f aca="false">N(W376)+$V377</f>
        <v>7</v>
      </c>
      <c r="X377" s="1" t="n">
        <f aca="false">IF(AND($L377=1,AND(对接源_01水果!$X377="自备筐",N(对接源_01水果!$T377)&lt;&gt;0)),1,0)</f>
        <v>0</v>
      </c>
      <c r="Y377" s="1" t="n">
        <f aca="false">N(Y376)+$X377</f>
        <v>0</v>
      </c>
      <c r="Z377" s="1" t="n">
        <f aca="false">IF(AND($M377=1,对接源_01水果!$D377="原料入库"),1,0)</f>
        <v>0</v>
      </c>
      <c r="AA377" s="1" t="n">
        <f aca="false">N(AA376)+$Z377</f>
        <v>30</v>
      </c>
      <c r="AB377" s="1" t="n">
        <f aca="false">IF(AND($M377=1,LEFT(对接源_01水果!$D377,4)="原料出库"),1,0)</f>
        <v>0</v>
      </c>
      <c r="AC377" s="1" t="n">
        <f aca="false">N(AC376)+$AB377</f>
        <v>19</v>
      </c>
      <c r="AD377" s="1" t="n">
        <f aca="false">IF(AND($M377=1,LEFT(对接源_01水果!$D377,4)="成品出库"),1,0)</f>
        <v>0</v>
      </c>
      <c r="AE377" s="1" t="n">
        <f aca="false">N(AE376)+$AD377</f>
        <v>38</v>
      </c>
      <c r="AF377" s="1" t="n">
        <f aca="false">IF(AND($N377=1,AND(LEFT(对接源_01水果!$D377,4)="包装物料",N(对接源_01水果!$K377)&lt;&gt;0)),1,0)</f>
        <v>0</v>
      </c>
      <c r="AG377" s="90" t="str">
        <f aca="false">IF(对接源_01水果!$AC377="","",对接源_01水果!$AC377)</f>
        <v/>
      </c>
      <c r="AH377" s="1" t="n">
        <f aca="false">IF(AND($N377=1,AND(LEFT(对接源_01水果!$D377,3)="周转筐",N(对接源_01水果!$K377)&lt;&gt;0)),1,0)</f>
        <v>0</v>
      </c>
      <c r="AI377" s="90" t="n">
        <f aca="false">IF(AG377="",0,IF(MATCH(AG377,$AG$4:$AG$1203,0)=ROW()-3,1,0))</f>
        <v>0</v>
      </c>
      <c r="AJ377" s="90" t="n">
        <f aca="false">N(AJ376)+AI377</f>
        <v>4</v>
      </c>
      <c r="AK377" s="1" t="n">
        <f aca="false">N(AK376)+$AJ377</f>
        <v>368</v>
      </c>
    </row>
    <row r="378" customFormat="false" ht="13.5" hidden="false" customHeight="false" outlineLevel="0" collapsed="false">
      <c r="A378" s="1" t="str">
        <f aca="false">IF(对接源_01水果!$C378="","",对接源_01水果!$C378)</f>
        <v/>
      </c>
      <c r="B378" s="1" t="n">
        <f aca="false">IF(A378="",0,IF(MATCH(A378,$A$4:$A$2403,0)=ROW()-3,1,0))</f>
        <v>0</v>
      </c>
      <c r="C378" s="1" t="n">
        <f aca="false">N(C377)+B378</f>
        <v>13</v>
      </c>
      <c r="K378" s="1" t="n">
        <f aca="false">IF(OR($K$1="",对接源_01水果!$C378="",对接源_01水果!$C378&lt;&gt;$K$1,对接源_01水果!$B378=""),0,IF(OR(N(对接源_01水果!$B378)&lt;$K$2,N(对接源_01水果!$B378)&gt;$K$3),0,1))</f>
        <v>0</v>
      </c>
      <c r="L378" s="1" t="n">
        <f aca="false">IF(OR($L$1="",对接源_01水果!$C378="",对接源_01水果!$C378&lt;&gt;$L$1,对接源_01水果!$B378=""),0,IF(OR(N(对接源_01水果!$B378)&lt;$L$2,N(对接源_01水果!$B378)&gt;$L$3),0,1))</f>
        <v>0</v>
      </c>
      <c r="M378" s="1" t="n">
        <f aca="false">IF(OR($M$1="",对接源_01水果!$C378="",对接源_01水果!$C378&lt;&gt;$M$1,对接源_01水果!$B378=""),0,IF(OR(N(对接源_01水果!$B378)&lt;$M$2,N(对接源_01水果!$B378)&gt;$M$3),0,1))</f>
        <v>0</v>
      </c>
      <c r="N378" s="1" t="n">
        <f aca="false">IF(OR($N$1="",对接源_01水果!$C378="",对接源_01水果!$C378&lt;&gt;$N$1,对接源_01水果!$B378=""),0,IF(OR(N(对接源_01水果!$B378)&lt;$N$2,N(对接源_01水果!$B378)&gt;$N$3),0,1))</f>
        <v>0</v>
      </c>
      <c r="P378" s="1" t="n">
        <f aca="false">IF(AND($K378=1,AND(对接源_01水果!$X378="公司筐",N(对接源_01水果!$T378)&lt;&gt;0)),1,0)</f>
        <v>0</v>
      </c>
      <c r="Q378" s="1" t="n">
        <f aca="false">N(Q377)+$P378</f>
        <v>3</v>
      </c>
      <c r="R378" s="1" t="n">
        <f aca="false">IF(AND($K378=1,AND(对接源_01水果!$X378="公司筐",N(对接源_01水果!$U378)&lt;&gt;0)),1,0)</f>
        <v>0</v>
      </c>
      <c r="S378" s="1" t="n">
        <f aca="false">N(S377)+$R378</f>
        <v>0</v>
      </c>
      <c r="T378" s="1" t="n">
        <f aca="false">IF(AND($K378=1,AND(对接源_01水果!$X378="公司筐",N(对接源_01水果!$V378)&lt;&gt;0)),1,0)</f>
        <v>0</v>
      </c>
      <c r="U378" s="1" t="n">
        <f aca="false">N(U377)+$T378</f>
        <v>28</v>
      </c>
      <c r="V378" s="1" t="n">
        <f aca="false">IF(AND($L378=1,AND(对接源_01水果!$X378="自备筐",N(对接源_01水果!$V378)&lt;&gt;0)),1,0)</f>
        <v>0</v>
      </c>
      <c r="W378" s="1" t="n">
        <f aca="false">N(W377)+$V378</f>
        <v>7</v>
      </c>
      <c r="X378" s="1" t="n">
        <f aca="false">IF(AND($L378=1,AND(对接源_01水果!$X378="自备筐",N(对接源_01水果!$T378)&lt;&gt;0)),1,0)</f>
        <v>0</v>
      </c>
      <c r="Y378" s="1" t="n">
        <f aca="false">N(Y377)+$X378</f>
        <v>0</v>
      </c>
      <c r="Z378" s="1" t="n">
        <f aca="false">IF(AND($M378=1,对接源_01水果!$D378="原料入库"),1,0)</f>
        <v>0</v>
      </c>
      <c r="AA378" s="1" t="n">
        <f aca="false">N(AA377)+$Z378</f>
        <v>30</v>
      </c>
      <c r="AB378" s="1" t="n">
        <f aca="false">IF(AND($M378=1,LEFT(对接源_01水果!$D378,4)="原料出库"),1,0)</f>
        <v>0</v>
      </c>
      <c r="AC378" s="1" t="n">
        <f aca="false">N(AC377)+$AB378</f>
        <v>19</v>
      </c>
      <c r="AD378" s="1" t="n">
        <f aca="false">IF(AND($M378=1,LEFT(对接源_01水果!$D378,4)="成品出库"),1,0)</f>
        <v>0</v>
      </c>
      <c r="AE378" s="1" t="n">
        <f aca="false">N(AE377)+$AD378</f>
        <v>38</v>
      </c>
      <c r="AF378" s="1" t="n">
        <f aca="false">IF(AND($N378=1,AND(LEFT(对接源_01水果!$D378,4)="包装物料",N(对接源_01水果!$K378)&lt;&gt;0)),1,0)</f>
        <v>0</v>
      </c>
      <c r="AG378" s="90" t="str">
        <f aca="false">IF(对接源_01水果!$AC378="","",对接源_01水果!$AC378)</f>
        <v/>
      </c>
      <c r="AH378" s="1" t="n">
        <f aca="false">IF(AND($N378=1,AND(LEFT(对接源_01水果!$D378,3)="周转筐",N(对接源_01水果!$K378)&lt;&gt;0)),1,0)</f>
        <v>0</v>
      </c>
      <c r="AI378" s="90" t="n">
        <f aca="false">IF(AG378="",0,IF(MATCH(AG378,$AG$4:$AG$1203,0)=ROW()-3,1,0))</f>
        <v>0</v>
      </c>
      <c r="AJ378" s="90" t="n">
        <f aca="false">N(AJ377)+AI378</f>
        <v>4</v>
      </c>
      <c r="AK378" s="1" t="n">
        <f aca="false">N(AK377)+$AJ378</f>
        <v>372</v>
      </c>
    </row>
    <row r="379" customFormat="false" ht="13.5" hidden="false" customHeight="false" outlineLevel="0" collapsed="false">
      <c r="A379" s="1" t="str">
        <f aca="false">IF(对接源_01水果!$C379="","",对接源_01水果!$C379)</f>
        <v/>
      </c>
      <c r="B379" s="1" t="n">
        <f aca="false">IF(A379="",0,IF(MATCH(A379,$A$4:$A$2403,0)=ROW()-3,1,0))</f>
        <v>0</v>
      </c>
      <c r="C379" s="1" t="n">
        <f aca="false">N(C378)+B379</f>
        <v>13</v>
      </c>
      <c r="K379" s="1" t="n">
        <f aca="false">IF(OR($K$1="",对接源_01水果!$C379="",对接源_01水果!$C379&lt;&gt;$K$1,对接源_01水果!$B379=""),0,IF(OR(N(对接源_01水果!$B379)&lt;$K$2,N(对接源_01水果!$B379)&gt;$K$3),0,1))</f>
        <v>0</v>
      </c>
      <c r="L379" s="1" t="n">
        <f aca="false">IF(OR($L$1="",对接源_01水果!$C379="",对接源_01水果!$C379&lt;&gt;$L$1,对接源_01水果!$B379=""),0,IF(OR(N(对接源_01水果!$B379)&lt;$L$2,N(对接源_01水果!$B379)&gt;$L$3),0,1))</f>
        <v>0</v>
      </c>
      <c r="M379" s="1" t="n">
        <f aca="false">IF(OR($M$1="",对接源_01水果!$C379="",对接源_01水果!$C379&lt;&gt;$M$1,对接源_01水果!$B379=""),0,IF(OR(N(对接源_01水果!$B379)&lt;$M$2,N(对接源_01水果!$B379)&gt;$M$3),0,1))</f>
        <v>0</v>
      </c>
      <c r="N379" s="1" t="n">
        <f aca="false">IF(OR($N$1="",对接源_01水果!$C379="",对接源_01水果!$C379&lt;&gt;$N$1,对接源_01水果!$B379=""),0,IF(OR(N(对接源_01水果!$B379)&lt;$N$2,N(对接源_01水果!$B379)&gt;$N$3),0,1))</f>
        <v>0</v>
      </c>
      <c r="P379" s="1" t="n">
        <f aca="false">IF(AND($K379=1,AND(对接源_01水果!$X379="公司筐",N(对接源_01水果!$T379)&lt;&gt;0)),1,0)</f>
        <v>0</v>
      </c>
      <c r="Q379" s="1" t="n">
        <f aca="false">N(Q378)+$P379</f>
        <v>3</v>
      </c>
      <c r="R379" s="1" t="n">
        <f aca="false">IF(AND($K379=1,AND(对接源_01水果!$X379="公司筐",N(对接源_01水果!$U379)&lt;&gt;0)),1,0)</f>
        <v>0</v>
      </c>
      <c r="S379" s="1" t="n">
        <f aca="false">N(S378)+$R379</f>
        <v>0</v>
      </c>
      <c r="T379" s="1" t="n">
        <f aca="false">IF(AND($K379=1,AND(对接源_01水果!$X379="公司筐",N(对接源_01水果!$V379)&lt;&gt;0)),1,0)</f>
        <v>0</v>
      </c>
      <c r="U379" s="1" t="n">
        <f aca="false">N(U378)+$T379</f>
        <v>28</v>
      </c>
      <c r="V379" s="1" t="n">
        <f aca="false">IF(AND($L379=1,AND(对接源_01水果!$X379="自备筐",N(对接源_01水果!$V379)&lt;&gt;0)),1,0)</f>
        <v>0</v>
      </c>
      <c r="W379" s="1" t="n">
        <f aca="false">N(W378)+$V379</f>
        <v>7</v>
      </c>
      <c r="X379" s="1" t="n">
        <f aca="false">IF(AND($L379=1,AND(对接源_01水果!$X379="自备筐",N(对接源_01水果!$T379)&lt;&gt;0)),1,0)</f>
        <v>0</v>
      </c>
      <c r="Y379" s="1" t="n">
        <f aca="false">N(Y378)+$X379</f>
        <v>0</v>
      </c>
      <c r="Z379" s="1" t="n">
        <f aca="false">IF(AND($M379=1,对接源_01水果!$D379="原料入库"),1,0)</f>
        <v>0</v>
      </c>
      <c r="AA379" s="1" t="n">
        <f aca="false">N(AA378)+$Z379</f>
        <v>30</v>
      </c>
      <c r="AB379" s="1" t="n">
        <f aca="false">IF(AND($M379=1,LEFT(对接源_01水果!$D379,4)="原料出库"),1,0)</f>
        <v>0</v>
      </c>
      <c r="AC379" s="1" t="n">
        <f aca="false">N(AC378)+$AB379</f>
        <v>19</v>
      </c>
      <c r="AD379" s="1" t="n">
        <f aca="false">IF(AND($M379=1,LEFT(对接源_01水果!$D379,4)="成品出库"),1,0)</f>
        <v>0</v>
      </c>
      <c r="AE379" s="1" t="n">
        <f aca="false">N(AE378)+$AD379</f>
        <v>38</v>
      </c>
      <c r="AF379" s="1" t="n">
        <f aca="false">IF(AND($N379=1,AND(LEFT(对接源_01水果!$D379,4)="包装物料",N(对接源_01水果!$K379)&lt;&gt;0)),1,0)</f>
        <v>0</v>
      </c>
      <c r="AG379" s="90" t="str">
        <f aca="false">IF(对接源_01水果!$AC379="","",对接源_01水果!$AC379)</f>
        <v/>
      </c>
      <c r="AH379" s="1" t="n">
        <f aca="false">IF(AND($N379=1,AND(LEFT(对接源_01水果!$D379,3)="周转筐",N(对接源_01水果!$K379)&lt;&gt;0)),1,0)</f>
        <v>0</v>
      </c>
      <c r="AI379" s="90" t="n">
        <f aca="false">IF(AG379="",0,IF(MATCH(AG379,$AG$4:$AG$1203,0)=ROW()-3,1,0))</f>
        <v>0</v>
      </c>
      <c r="AJ379" s="90" t="n">
        <f aca="false">N(AJ378)+AI379</f>
        <v>4</v>
      </c>
      <c r="AK379" s="1" t="n">
        <f aca="false">N(AK378)+$AJ379</f>
        <v>376</v>
      </c>
    </row>
    <row r="380" customFormat="false" ht="13.5" hidden="false" customHeight="false" outlineLevel="0" collapsed="false">
      <c r="A380" s="1" t="str">
        <f aca="false">IF(对接源_01水果!$C380="","",对接源_01水果!$C380)</f>
        <v/>
      </c>
      <c r="B380" s="1" t="n">
        <f aca="false">IF(A380="",0,IF(MATCH(A380,$A$4:$A$2403,0)=ROW()-3,1,0))</f>
        <v>0</v>
      </c>
      <c r="C380" s="1" t="n">
        <f aca="false">N(C379)+B380</f>
        <v>13</v>
      </c>
      <c r="K380" s="1" t="n">
        <f aca="false">IF(OR($K$1="",对接源_01水果!$C380="",对接源_01水果!$C380&lt;&gt;$K$1,对接源_01水果!$B380=""),0,IF(OR(N(对接源_01水果!$B380)&lt;$K$2,N(对接源_01水果!$B380)&gt;$K$3),0,1))</f>
        <v>0</v>
      </c>
      <c r="L380" s="1" t="n">
        <f aca="false">IF(OR($L$1="",对接源_01水果!$C380="",对接源_01水果!$C380&lt;&gt;$L$1,对接源_01水果!$B380=""),0,IF(OR(N(对接源_01水果!$B380)&lt;$L$2,N(对接源_01水果!$B380)&gt;$L$3),0,1))</f>
        <v>0</v>
      </c>
      <c r="M380" s="1" t="n">
        <f aca="false">IF(OR($M$1="",对接源_01水果!$C380="",对接源_01水果!$C380&lt;&gt;$M$1,对接源_01水果!$B380=""),0,IF(OR(N(对接源_01水果!$B380)&lt;$M$2,N(对接源_01水果!$B380)&gt;$M$3),0,1))</f>
        <v>0</v>
      </c>
      <c r="N380" s="1" t="n">
        <f aca="false">IF(OR($N$1="",对接源_01水果!$C380="",对接源_01水果!$C380&lt;&gt;$N$1,对接源_01水果!$B380=""),0,IF(OR(N(对接源_01水果!$B380)&lt;$N$2,N(对接源_01水果!$B380)&gt;$N$3),0,1))</f>
        <v>0</v>
      </c>
      <c r="P380" s="1" t="n">
        <f aca="false">IF(AND($K380=1,AND(对接源_01水果!$X380="公司筐",N(对接源_01水果!$T380)&lt;&gt;0)),1,0)</f>
        <v>0</v>
      </c>
      <c r="Q380" s="1" t="n">
        <f aca="false">N(Q379)+$P380</f>
        <v>3</v>
      </c>
      <c r="R380" s="1" t="n">
        <f aca="false">IF(AND($K380=1,AND(对接源_01水果!$X380="公司筐",N(对接源_01水果!$U380)&lt;&gt;0)),1,0)</f>
        <v>0</v>
      </c>
      <c r="S380" s="1" t="n">
        <f aca="false">N(S379)+$R380</f>
        <v>0</v>
      </c>
      <c r="T380" s="1" t="n">
        <f aca="false">IF(AND($K380=1,AND(对接源_01水果!$X380="公司筐",N(对接源_01水果!$V380)&lt;&gt;0)),1,0)</f>
        <v>0</v>
      </c>
      <c r="U380" s="1" t="n">
        <f aca="false">N(U379)+$T380</f>
        <v>28</v>
      </c>
      <c r="V380" s="1" t="n">
        <f aca="false">IF(AND($L380=1,AND(对接源_01水果!$X380="自备筐",N(对接源_01水果!$V380)&lt;&gt;0)),1,0)</f>
        <v>0</v>
      </c>
      <c r="W380" s="1" t="n">
        <f aca="false">N(W379)+$V380</f>
        <v>7</v>
      </c>
      <c r="X380" s="1" t="n">
        <f aca="false">IF(AND($L380=1,AND(对接源_01水果!$X380="自备筐",N(对接源_01水果!$T380)&lt;&gt;0)),1,0)</f>
        <v>0</v>
      </c>
      <c r="Y380" s="1" t="n">
        <f aca="false">N(Y379)+$X380</f>
        <v>0</v>
      </c>
      <c r="Z380" s="1" t="n">
        <f aca="false">IF(AND($M380=1,对接源_01水果!$D380="原料入库"),1,0)</f>
        <v>0</v>
      </c>
      <c r="AA380" s="1" t="n">
        <f aca="false">N(AA379)+$Z380</f>
        <v>30</v>
      </c>
      <c r="AB380" s="1" t="n">
        <f aca="false">IF(AND($M380=1,LEFT(对接源_01水果!$D380,4)="原料出库"),1,0)</f>
        <v>0</v>
      </c>
      <c r="AC380" s="1" t="n">
        <f aca="false">N(AC379)+$AB380</f>
        <v>19</v>
      </c>
      <c r="AD380" s="1" t="n">
        <f aca="false">IF(AND($M380=1,LEFT(对接源_01水果!$D380,4)="成品出库"),1,0)</f>
        <v>0</v>
      </c>
      <c r="AE380" s="1" t="n">
        <f aca="false">N(AE379)+$AD380</f>
        <v>38</v>
      </c>
      <c r="AF380" s="1" t="n">
        <f aca="false">IF(AND($N380=1,AND(LEFT(对接源_01水果!$D380,4)="包装物料",N(对接源_01水果!$K380)&lt;&gt;0)),1,0)</f>
        <v>0</v>
      </c>
      <c r="AG380" s="90" t="str">
        <f aca="false">IF(对接源_01水果!$AC380="","",对接源_01水果!$AC380)</f>
        <v/>
      </c>
      <c r="AH380" s="1" t="n">
        <f aca="false">IF(AND($N380=1,AND(LEFT(对接源_01水果!$D380,3)="周转筐",N(对接源_01水果!$K380)&lt;&gt;0)),1,0)</f>
        <v>0</v>
      </c>
      <c r="AI380" s="90" t="n">
        <f aca="false">IF(AG380="",0,IF(MATCH(AG380,$AG$4:$AG$1203,0)=ROW()-3,1,0))</f>
        <v>0</v>
      </c>
      <c r="AJ380" s="90" t="n">
        <f aca="false">N(AJ379)+AI380</f>
        <v>4</v>
      </c>
      <c r="AK380" s="1" t="n">
        <f aca="false">N(AK379)+$AJ380</f>
        <v>380</v>
      </c>
    </row>
    <row r="381" customFormat="false" ht="13.5" hidden="false" customHeight="false" outlineLevel="0" collapsed="false">
      <c r="A381" s="1" t="str">
        <f aca="false">IF(对接源_01水果!$C381="","",对接源_01水果!$C381)</f>
        <v/>
      </c>
      <c r="B381" s="1" t="n">
        <f aca="false">IF(A381="",0,IF(MATCH(A381,$A$4:$A$2403,0)=ROW()-3,1,0))</f>
        <v>0</v>
      </c>
      <c r="C381" s="1" t="n">
        <f aca="false">N(C380)+B381</f>
        <v>13</v>
      </c>
      <c r="K381" s="1" t="n">
        <f aca="false">IF(OR($K$1="",对接源_01水果!$C381="",对接源_01水果!$C381&lt;&gt;$K$1,对接源_01水果!$B381=""),0,IF(OR(N(对接源_01水果!$B381)&lt;$K$2,N(对接源_01水果!$B381)&gt;$K$3),0,1))</f>
        <v>0</v>
      </c>
      <c r="L381" s="1" t="n">
        <f aca="false">IF(OR($L$1="",对接源_01水果!$C381="",对接源_01水果!$C381&lt;&gt;$L$1,对接源_01水果!$B381=""),0,IF(OR(N(对接源_01水果!$B381)&lt;$L$2,N(对接源_01水果!$B381)&gt;$L$3),0,1))</f>
        <v>0</v>
      </c>
      <c r="M381" s="1" t="n">
        <f aca="false">IF(OR($M$1="",对接源_01水果!$C381="",对接源_01水果!$C381&lt;&gt;$M$1,对接源_01水果!$B381=""),0,IF(OR(N(对接源_01水果!$B381)&lt;$M$2,N(对接源_01水果!$B381)&gt;$M$3),0,1))</f>
        <v>0</v>
      </c>
      <c r="N381" s="1" t="n">
        <f aca="false">IF(OR($N$1="",对接源_01水果!$C381="",对接源_01水果!$C381&lt;&gt;$N$1,对接源_01水果!$B381=""),0,IF(OR(N(对接源_01水果!$B381)&lt;$N$2,N(对接源_01水果!$B381)&gt;$N$3),0,1))</f>
        <v>0</v>
      </c>
      <c r="P381" s="1" t="n">
        <f aca="false">IF(AND($K381=1,AND(对接源_01水果!$X381="公司筐",N(对接源_01水果!$T381)&lt;&gt;0)),1,0)</f>
        <v>0</v>
      </c>
      <c r="Q381" s="1" t="n">
        <f aca="false">N(Q380)+$P381</f>
        <v>3</v>
      </c>
      <c r="R381" s="1" t="n">
        <f aca="false">IF(AND($K381=1,AND(对接源_01水果!$X381="公司筐",N(对接源_01水果!$U381)&lt;&gt;0)),1,0)</f>
        <v>0</v>
      </c>
      <c r="S381" s="1" t="n">
        <f aca="false">N(S380)+$R381</f>
        <v>0</v>
      </c>
      <c r="T381" s="1" t="n">
        <f aca="false">IF(AND($K381=1,AND(对接源_01水果!$X381="公司筐",N(对接源_01水果!$V381)&lt;&gt;0)),1,0)</f>
        <v>0</v>
      </c>
      <c r="U381" s="1" t="n">
        <f aca="false">N(U380)+$T381</f>
        <v>28</v>
      </c>
      <c r="V381" s="1" t="n">
        <f aca="false">IF(AND($L381=1,AND(对接源_01水果!$X381="自备筐",N(对接源_01水果!$V381)&lt;&gt;0)),1,0)</f>
        <v>0</v>
      </c>
      <c r="W381" s="1" t="n">
        <f aca="false">N(W380)+$V381</f>
        <v>7</v>
      </c>
      <c r="X381" s="1" t="n">
        <f aca="false">IF(AND($L381=1,AND(对接源_01水果!$X381="自备筐",N(对接源_01水果!$T381)&lt;&gt;0)),1,0)</f>
        <v>0</v>
      </c>
      <c r="Y381" s="1" t="n">
        <f aca="false">N(Y380)+$X381</f>
        <v>0</v>
      </c>
      <c r="Z381" s="1" t="n">
        <f aca="false">IF(AND($M381=1,对接源_01水果!$D381="原料入库"),1,0)</f>
        <v>0</v>
      </c>
      <c r="AA381" s="1" t="n">
        <f aca="false">N(AA380)+$Z381</f>
        <v>30</v>
      </c>
      <c r="AB381" s="1" t="n">
        <f aca="false">IF(AND($M381=1,LEFT(对接源_01水果!$D381,4)="原料出库"),1,0)</f>
        <v>0</v>
      </c>
      <c r="AC381" s="1" t="n">
        <f aca="false">N(AC380)+$AB381</f>
        <v>19</v>
      </c>
      <c r="AD381" s="1" t="n">
        <f aca="false">IF(AND($M381=1,LEFT(对接源_01水果!$D381,4)="成品出库"),1,0)</f>
        <v>0</v>
      </c>
      <c r="AE381" s="1" t="n">
        <f aca="false">N(AE380)+$AD381</f>
        <v>38</v>
      </c>
      <c r="AF381" s="1" t="n">
        <f aca="false">IF(AND($N381=1,AND(LEFT(对接源_01水果!$D381,4)="包装物料",N(对接源_01水果!$K381)&lt;&gt;0)),1,0)</f>
        <v>0</v>
      </c>
      <c r="AG381" s="90" t="str">
        <f aca="false">IF(对接源_01水果!$AC381="","",对接源_01水果!$AC381)</f>
        <v/>
      </c>
      <c r="AH381" s="1" t="n">
        <f aca="false">IF(AND($N381=1,AND(LEFT(对接源_01水果!$D381,3)="周转筐",N(对接源_01水果!$K381)&lt;&gt;0)),1,0)</f>
        <v>0</v>
      </c>
      <c r="AI381" s="90" t="n">
        <f aca="false">IF(AG381="",0,IF(MATCH(AG381,$AG$4:$AG$1203,0)=ROW()-3,1,0))</f>
        <v>0</v>
      </c>
      <c r="AJ381" s="90" t="n">
        <f aca="false">N(AJ380)+AI381</f>
        <v>4</v>
      </c>
      <c r="AK381" s="1" t="n">
        <f aca="false">N(AK380)+$AJ381</f>
        <v>384</v>
      </c>
    </row>
    <row r="382" customFormat="false" ht="13.5" hidden="false" customHeight="false" outlineLevel="0" collapsed="false">
      <c r="A382" s="1" t="str">
        <f aca="false">IF(对接源_01水果!$C382="","",对接源_01水果!$C382)</f>
        <v/>
      </c>
      <c r="B382" s="1" t="n">
        <f aca="false">IF(A382="",0,IF(MATCH(A382,$A$4:$A$2403,0)=ROW()-3,1,0))</f>
        <v>0</v>
      </c>
      <c r="C382" s="1" t="n">
        <f aca="false">N(C381)+B382</f>
        <v>13</v>
      </c>
      <c r="K382" s="1" t="n">
        <f aca="false">IF(OR($K$1="",对接源_01水果!$C382="",对接源_01水果!$C382&lt;&gt;$K$1,对接源_01水果!$B382=""),0,IF(OR(N(对接源_01水果!$B382)&lt;$K$2,N(对接源_01水果!$B382)&gt;$K$3),0,1))</f>
        <v>0</v>
      </c>
      <c r="L382" s="1" t="n">
        <f aca="false">IF(OR($L$1="",对接源_01水果!$C382="",对接源_01水果!$C382&lt;&gt;$L$1,对接源_01水果!$B382=""),0,IF(OR(N(对接源_01水果!$B382)&lt;$L$2,N(对接源_01水果!$B382)&gt;$L$3),0,1))</f>
        <v>0</v>
      </c>
      <c r="M382" s="1" t="n">
        <f aca="false">IF(OR($M$1="",对接源_01水果!$C382="",对接源_01水果!$C382&lt;&gt;$M$1,对接源_01水果!$B382=""),0,IF(OR(N(对接源_01水果!$B382)&lt;$M$2,N(对接源_01水果!$B382)&gt;$M$3),0,1))</f>
        <v>0</v>
      </c>
      <c r="N382" s="1" t="n">
        <f aca="false">IF(OR($N$1="",对接源_01水果!$C382="",对接源_01水果!$C382&lt;&gt;$N$1,对接源_01水果!$B382=""),0,IF(OR(N(对接源_01水果!$B382)&lt;$N$2,N(对接源_01水果!$B382)&gt;$N$3),0,1))</f>
        <v>0</v>
      </c>
      <c r="P382" s="1" t="n">
        <f aca="false">IF(AND($K382=1,AND(对接源_01水果!$X382="公司筐",N(对接源_01水果!$T382)&lt;&gt;0)),1,0)</f>
        <v>0</v>
      </c>
      <c r="Q382" s="1" t="n">
        <f aca="false">N(Q381)+$P382</f>
        <v>3</v>
      </c>
      <c r="R382" s="1" t="n">
        <f aca="false">IF(AND($K382=1,AND(对接源_01水果!$X382="公司筐",N(对接源_01水果!$U382)&lt;&gt;0)),1,0)</f>
        <v>0</v>
      </c>
      <c r="S382" s="1" t="n">
        <f aca="false">N(S381)+$R382</f>
        <v>0</v>
      </c>
      <c r="T382" s="1" t="n">
        <f aca="false">IF(AND($K382=1,AND(对接源_01水果!$X382="公司筐",N(对接源_01水果!$V382)&lt;&gt;0)),1,0)</f>
        <v>0</v>
      </c>
      <c r="U382" s="1" t="n">
        <f aca="false">N(U381)+$T382</f>
        <v>28</v>
      </c>
      <c r="V382" s="1" t="n">
        <f aca="false">IF(AND($L382=1,AND(对接源_01水果!$X382="自备筐",N(对接源_01水果!$V382)&lt;&gt;0)),1,0)</f>
        <v>0</v>
      </c>
      <c r="W382" s="1" t="n">
        <f aca="false">N(W381)+$V382</f>
        <v>7</v>
      </c>
      <c r="X382" s="1" t="n">
        <f aca="false">IF(AND($L382=1,AND(对接源_01水果!$X382="自备筐",N(对接源_01水果!$T382)&lt;&gt;0)),1,0)</f>
        <v>0</v>
      </c>
      <c r="Y382" s="1" t="n">
        <f aca="false">N(Y381)+$X382</f>
        <v>0</v>
      </c>
      <c r="Z382" s="1" t="n">
        <f aca="false">IF(AND($M382=1,对接源_01水果!$D382="原料入库"),1,0)</f>
        <v>0</v>
      </c>
      <c r="AA382" s="1" t="n">
        <f aca="false">N(AA381)+$Z382</f>
        <v>30</v>
      </c>
      <c r="AB382" s="1" t="n">
        <f aca="false">IF(AND($M382=1,LEFT(对接源_01水果!$D382,4)="原料出库"),1,0)</f>
        <v>0</v>
      </c>
      <c r="AC382" s="1" t="n">
        <f aca="false">N(AC381)+$AB382</f>
        <v>19</v>
      </c>
      <c r="AD382" s="1" t="n">
        <f aca="false">IF(AND($M382=1,LEFT(对接源_01水果!$D382,4)="成品出库"),1,0)</f>
        <v>0</v>
      </c>
      <c r="AE382" s="1" t="n">
        <f aca="false">N(AE381)+$AD382</f>
        <v>38</v>
      </c>
      <c r="AF382" s="1" t="n">
        <f aca="false">IF(AND($N382=1,AND(LEFT(对接源_01水果!$D382,4)="包装物料",N(对接源_01水果!$K382)&lt;&gt;0)),1,0)</f>
        <v>0</v>
      </c>
      <c r="AG382" s="90" t="str">
        <f aca="false">IF(对接源_01水果!$AC382="","",对接源_01水果!$AC382)</f>
        <v/>
      </c>
      <c r="AH382" s="1" t="n">
        <f aca="false">IF(AND($N382=1,AND(LEFT(对接源_01水果!$D382,3)="周转筐",N(对接源_01水果!$K382)&lt;&gt;0)),1,0)</f>
        <v>0</v>
      </c>
      <c r="AI382" s="90" t="n">
        <f aca="false">IF(AG382="",0,IF(MATCH(AG382,$AG$4:$AG$1203,0)=ROW()-3,1,0))</f>
        <v>0</v>
      </c>
      <c r="AJ382" s="90" t="n">
        <f aca="false">N(AJ381)+AI382</f>
        <v>4</v>
      </c>
      <c r="AK382" s="1" t="n">
        <f aca="false">N(AK381)+$AJ382</f>
        <v>388</v>
      </c>
    </row>
    <row r="383" customFormat="false" ht="13.5" hidden="false" customHeight="false" outlineLevel="0" collapsed="false">
      <c r="A383" s="1" t="str">
        <f aca="false">IF(对接源_01水果!$C383="","",对接源_01水果!$C383)</f>
        <v/>
      </c>
      <c r="B383" s="1" t="n">
        <f aca="false">IF(A383="",0,IF(MATCH(A383,$A$4:$A$2403,0)=ROW()-3,1,0))</f>
        <v>0</v>
      </c>
      <c r="C383" s="1" t="n">
        <f aca="false">N(C382)+B383</f>
        <v>13</v>
      </c>
      <c r="K383" s="1" t="n">
        <f aca="false">IF(OR($K$1="",对接源_01水果!$C383="",对接源_01水果!$C383&lt;&gt;$K$1,对接源_01水果!$B383=""),0,IF(OR(N(对接源_01水果!$B383)&lt;$K$2,N(对接源_01水果!$B383)&gt;$K$3),0,1))</f>
        <v>0</v>
      </c>
      <c r="L383" s="1" t="n">
        <f aca="false">IF(OR($L$1="",对接源_01水果!$C383="",对接源_01水果!$C383&lt;&gt;$L$1,对接源_01水果!$B383=""),0,IF(OR(N(对接源_01水果!$B383)&lt;$L$2,N(对接源_01水果!$B383)&gt;$L$3),0,1))</f>
        <v>0</v>
      </c>
      <c r="M383" s="1" t="n">
        <f aca="false">IF(OR($M$1="",对接源_01水果!$C383="",对接源_01水果!$C383&lt;&gt;$M$1,对接源_01水果!$B383=""),0,IF(OR(N(对接源_01水果!$B383)&lt;$M$2,N(对接源_01水果!$B383)&gt;$M$3),0,1))</f>
        <v>0</v>
      </c>
      <c r="N383" s="1" t="n">
        <f aca="false">IF(OR($N$1="",对接源_01水果!$C383="",对接源_01水果!$C383&lt;&gt;$N$1,对接源_01水果!$B383=""),0,IF(OR(N(对接源_01水果!$B383)&lt;$N$2,N(对接源_01水果!$B383)&gt;$N$3),0,1))</f>
        <v>0</v>
      </c>
      <c r="P383" s="1" t="n">
        <f aca="false">IF(AND($K383=1,AND(对接源_01水果!$X383="公司筐",N(对接源_01水果!$T383)&lt;&gt;0)),1,0)</f>
        <v>0</v>
      </c>
      <c r="Q383" s="1" t="n">
        <f aca="false">N(Q382)+$P383</f>
        <v>3</v>
      </c>
      <c r="R383" s="1" t="n">
        <f aca="false">IF(AND($K383=1,AND(对接源_01水果!$X383="公司筐",N(对接源_01水果!$U383)&lt;&gt;0)),1,0)</f>
        <v>0</v>
      </c>
      <c r="S383" s="1" t="n">
        <f aca="false">N(S382)+$R383</f>
        <v>0</v>
      </c>
      <c r="T383" s="1" t="n">
        <f aca="false">IF(AND($K383=1,AND(对接源_01水果!$X383="公司筐",N(对接源_01水果!$V383)&lt;&gt;0)),1,0)</f>
        <v>0</v>
      </c>
      <c r="U383" s="1" t="n">
        <f aca="false">N(U382)+$T383</f>
        <v>28</v>
      </c>
      <c r="V383" s="1" t="n">
        <f aca="false">IF(AND($L383=1,AND(对接源_01水果!$X383="自备筐",N(对接源_01水果!$V383)&lt;&gt;0)),1,0)</f>
        <v>0</v>
      </c>
      <c r="W383" s="1" t="n">
        <f aca="false">N(W382)+$V383</f>
        <v>7</v>
      </c>
      <c r="X383" s="1" t="n">
        <f aca="false">IF(AND($L383=1,AND(对接源_01水果!$X383="自备筐",N(对接源_01水果!$T383)&lt;&gt;0)),1,0)</f>
        <v>0</v>
      </c>
      <c r="Y383" s="1" t="n">
        <f aca="false">N(Y382)+$X383</f>
        <v>0</v>
      </c>
      <c r="Z383" s="1" t="n">
        <f aca="false">IF(AND($M383=1,对接源_01水果!$D383="原料入库"),1,0)</f>
        <v>0</v>
      </c>
      <c r="AA383" s="1" t="n">
        <f aca="false">N(AA382)+$Z383</f>
        <v>30</v>
      </c>
      <c r="AB383" s="1" t="n">
        <f aca="false">IF(AND($M383=1,LEFT(对接源_01水果!$D383,4)="原料出库"),1,0)</f>
        <v>0</v>
      </c>
      <c r="AC383" s="1" t="n">
        <f aca="false">N(AC382)+$AB383</f>
        <v>19</v>
      </c>
      <c r="AD383" s="1" t="n">
        <f aca="false">IF(AND($M383=1,LEFT(对接源_01水果!$D383,4)="成品出库"),1,0)</f>
        <v>0</v>
      </c>
      <c r="AE383" s="1" t="n">
        <f aca="false">N(AE382)+$AD383</f>
        <v>38</v>
      </c>
      <c r="AF383" s="1" t="n">
        <f aca="false">IF(AND($N383=1,AND(LEFT(对接源_01水果!$D383,4)="包装物料",N(对接源_01水果!$K383)&lt;&gt;0)),1,0)</f>
        <v>0</v>
      </c>
      <c r="AG383" s="90" t="str">
        <f aca="false">IF(对接源_01水果!$AC383="","",对接源_01水果!$AC383)</f>
        <v/>
      </c>
      <c r="AH383" s="1" t="n">
        <f aca="false">IF(AND($N383=1,AND(LEFT(对接源_01水果!$D383,3)="周转筐",N(对接源_01水果!$K383)&lt;&gt;0)),1,0)</f>
        <v>0</v>
      </c>
      <c r="AI383" s="90" t="n">
        <f aca="false">IF(AG383="",0,IF(MATCH(AG383,$AG$4:$AG$1203,0)=ROW()-3,1,0))</f>
        <v>0</v>
      </c>
      <c r="AJ383" s="90" t="n">
        <f aca="false">N(AJ382)+AI383</f>
        <v>4</v>
      </c>
      <c r="AK383" s="1" t="n">
        <f aca="false">N(AK382)+$AJ383</f>
        <v>392</v>
      </c>
    </row>
    <row r="384" customFormat="false" ht="13.5" hidden="false" customHeight="false" outlineLevel="0" collapsed="false">
      <c r="A384" s="1" t="str">
        <f aca="false">IF(对接源_01水果!$C384="","",对接源_01水果!$C384)</f>
        <v/>
      </c>
      <c r="B384" s="1" t="n">
        <f aca="false">IF(A384="",0,IF(MATCH(A384,$A$4:$A$2403,0)=ROW()-3,1,0))</f>
        <v>0</v>
      </c>
      <c r="C384" s="1" t="n">
        <f aca="false">N(C383)+B384</f>
        <v>13</v>
      </c>
      <c r="K384" s="1" t="n">
        <f aca="false">IF(OR($K$1="",对接源_01水果!$C384="",对接源_01水果!$C384&lt;&gt;$K$1,对接源_01水果!$B384=""),0,IF(OR(N(对接源_01水果!$B384)&lt;$K$2,N(对接源_01水果!$B384)&gt;$K$3),0,1))</f>
        <v>0</v>
      </c>
      <c r="L384" s="1" t="n">
        <f aca="false">IF(OR($L$1="",对接源_01水果!$C384="",对接源_01水果!$C384&lt;&gt;$L$1,对接源_01水果!$B384=""),0,IF(OR(N(对接源_01水果!$B384)&lt;$L$2,N(对接源_01水果!$B384)&gt;$L$3),0,1))</f>
        <v>0</v>
      </c>
      <c r="M384" s="1" t="n">
        <f aca="false">IF(OR($M$1="",对接源_01水果!$C384="",对接源_01水果!$C384&lt;&gt;$M$1,对接源_01水果!$B384=""),0,IF(OR(N(对接源_01水果!$B384)&lt;$M$2,N(对接源_01水果!$B384)&gt;$M$3),0,1))</f>
        <v>0</v>
      </c>
      <c r="N384" s="1" t="n">
        <f aca="false">IF(OR($N$1="",对接源_01水果!$C384="",对接源_01水果!$C384&lt;&gt;$N$1,对接源_01水果!$B384=""),0,IF(OR(N(对接源_01水果!$B384)&lt;$N$2,N(对接源_01水果!$B384)&gt;$N$3),0,1))</f>
        <v>0</v>
      </c>
      <c r="P384" s="1" t="n">
        <f aca="false">IF(AND($K384=1,AND(对接源_01水果!$X384="公司筐",N(对接源_01水果!$T384)&lt;&gt;0)),1,0)</f>
        <v>0</v>
      </c>
      <c r="Q384" s="1" t="n">
        <f aca="false">N(Q383)+$P384</f>
        <v>3</v>
      </c>
      <c r="R384" s="1" t="n">
        <f aca="false">IF(AND($K384=1,AND(对接源_01水果!$X384="公司筐",N(对接源_01水果!$U384)&lt;&gt;0)),1,0)</f>
        <v>0</v>
      </c>
      <c r="S384" s="1" t="n">
        <f aca="false">N(S383)+$R384</f>
        <v>0</v>
      </c>
      <c r="T384" s="1" t="n">
        <f aca="false">IF(AND($K384=1,AND(对接源_01水果!$X384="公司筐",N(对接源_01水果!$V384)&lt;&gt;0)),1,0)</f>
        <v>0</v>
      </c>
      <c r="U384" s="1" t="n">
        <f aca="false">N(U383)+$T384</f>
        <v>28</v>
      </c>
      <c r="V384" s="1" t="n">
        <f aca="false">IF(AND($L384=1,AND(对接源_01水果!$X384="自备筐",N(对接源_01水果!$V384)&lt;&gt;0)),1,0)</f>
        <v>0</v>
      </c>
      <c r="W384" s="1" t="n">
        <f aca="false">N(W383)+$V384</f>
        <v>7</v>
      </c>
      <c r="X384" s="1" t="n">
        <f aca="false">IF(AND($L384=1,AND(对接源_01水果!$X384="自备筐",N(对接源_01水果!$T384)&lt;&gt;0)),1,0)</f>
        <v>0</v>
      </c>
      <c r="Y384" s="1" t="n">
        <f aca="false">N(Y383)+$X384</f>
        <v>0</v>
      </c>
      <c r="Z384" s="1" t="n">
        <f aca="false">IF(AND($M384=1,对接源_01水果!$D384="原料入库"),1,0)</f>
        <v>0</v>
      </c>
      <c r="AA384" s="1" t="n">
        <f aca="false">N(AA383)+$Z384</f>
        <v>30</v>
      </c>
      <c r="AB384" s="1" t="n">
        <f aca="false">IF(AND($M384=1,LEFT(对接源_01水果!$D384,4)="原料出库"),1,0)</f>
        <v>0</v>
      </c>
      <c r="AC384" s="1" t="n">
        <f aca="false">N(AC383)+$AB384</f>
        <v>19</v>
      </c>
      <c r="AD384" s="1" t="n">
        <f aca="false">IF(AND($M384=1,LEFT(对接源_01水果!$D384,4)="成品出库"),1,0)</f>
        <v>0</v>
      </c>
      <c r="AE384" s="1" t="n">
        <f aca="false">N(AE383)+$AD384</f>
        <v>38</v>
      </c>
      <c r="AF384" s="1" t="n">
        <f aca="false">IF(AND($N384=1,AND(LEFT(对接源_01水果!$D384,4)="包装物料",N(对接源_01水果!$K384)&lt;&gt;0)),1,0)</f>
        <v>0</v>
      </c>
      <c r="AG384" s="90" t="str">
        <f aca="false">IF(对接源_01水果!$AC384="","",对接源_01水果!$AC384)</f>
        <v/>
      </c>
      <c r="AH384" s="1" t="n">
        <f aca="false">IF(AND($N384=1,AND(LEFT(对接源_01水果!$D384,3)="周转筐",N(对接源_01水果!$K384)&lt;&gt;0)),1,0)</f>
        <v>0</v>
      </c>
      <c r="AI384" s="90" t="n">
        <f aca="false">IF(AG384="",0,IF(MATCH(AG384,$AG$4:$AG$1203,0)=ROW()-3,1,0))</f>
        <v>0</v>
      </c>
      <c r="AJ384" s="90" t="n">
        <f aca="false">N(AJ383)+AI384</f>
        <v>4</v>
      </c>
      <c r="AK384" s="1" t="n">
        <f aca="false">N(AK383)+$AJ384</f>
        <v>396</v>
      </c>
    </row>
    <row r="385" customFormat="false" ht="13.5" hidden="false" customHeight="false" outlineLevel="0" collapsed="false">
      <c r="A385" s="1" t="str">
        <f aca="false">IF(对接源_01水果!$C385="","",对接源_01水果!$C385)</f>
        <v/>
      </c>
      <c r="B385" s="1" t="n">
        <f aca="false">IF(A385="",0,IF(MATCH(A385,$A$4:$A$2403,0)=ROW()-3,1,0))</f>
        <v>0</v>
      </c>
      <c r="C385" s="1" t="n">
        <f aca="false">N(C384)+B385</f>
        <v>13</v>
      </c>
      <c r="K385" s="1" t="n">
        <f aca="false">IF(OR($K$1="",对接源_01水果!$C385="",对接源_01水果!$C385&lt;&gt;$K$1,对接源_01水果!$B385=""),0,IF(OR(N(对接源_01水果!$B385)&lt;$K$2,N(对接源_01水果!$B385)&gt;$K$3),0,1))</f>
        <v>0</v>
      </c>
      <c r="L385" s="1" t="n">
        <f aca="false">IF(OR($L$1="",对接源_01水果!$C385="",对接源_01水果!$C385&lt;&gt;$L$1,对接源_01水果!$B385=""),0,IF(OR(N(对接源_01水果!$B385)&lt;$L$2,N(对接源_01水果!$B385)&gt;$L$3),0,1))</f>
        <v>0</v>
      </c>
      <c r="M385" s="1" t="n">
        <f aca="false">IF(OR($M$1="",对接源_01水果!$C385="",对接源_01水果!$C385&lt;&gt;$M$1,对接源_01水果!$B385=""),0,IF(OR(N(对接源_01水果!$B385)&lt;$M$2,N(对接源_01水果!$B385)&gt;$M$3),0,1))</f>
        <v>0</v>
      </c>
      <c r="N385" s="1" t="n">
        <f aca="false">IF(OR($N$1="",对接源_01水果!$C385="",对接源_01水果!$C385&lt;&gt;$N$1,对接源_01水果!$B385=""),0,IF(OR(N(对接源_01水果!$B385)&lt;$N$2,N(对接源_01水果!$B385)&gt;$N$3),0,1))</f>
        <v>0</v>
      </c>
      <c r="P385" s="1" t="n">
        <f aca="false">IF(AND($K385=1,AND(对接源_01水果!$X385="公司筐",N(对接源_01水果!$T385)&lt;&gt;0)),1,0)</f>
        <v>0</v>
      </c>
      <c r="Q385" s="1" t="n">
        <f aca="false">N(Q384)+$P385</f>
        <v>3</v>
      </c>
      <c r="R385" s="1" t="n">
        <f aca="false">IF(AND($K385=1,AND(对接源_01水果!$X385="公司筐",N(对接源_01水果!$U385)&lt;&gt;0)),1,0)</f>
        <v>0</v>
      </c>
      <c r="S385" s="1" t="n">
        <f aca="false">N(S384)+$R385</f>
        <v>0</v>
      </c>
      <c r="T385" s="1" t="n">
        <f aca="false">IF(AND($K385=1,AND(对接源_01水果!$X385="公司筐",N(对接源_01水果!$V385)&lt;&gt;0)),1,0)</f>
        <v>0</v>
      </c>
      <c r="U385" s="1" t="n">
        <f aca="false">N(U384)+$T385</f>
        <v>28</v>
      </c>
      <c r="V385" s="1" t="n">
        <f aca="false">IF(AND($L385=1,AND(对接源_01水果!$X385="自备筐",N(对接源_01水果!$V385)&lt;&gt;0)),1,0)</f>
        <v>0</v>
      </c>
      <c r="W385" s="1" t="n">
        <f aca="false">N(W384)+$V385</f>
        <v>7</v>
      </c>
      <c r="X385" s="1" t="n">
        <f aca="false">IF(AND($L385=1,AND(对接源_01水果!$X385="自备筐",N(对接源_01水果!$T385)&lt;&gt;0)),1,0)</f>
        <v>0</v>
      </c>
      <c r="Y385" s="1" t="n">
        <f aca="false">N(Y384)+$X385</f>
        <v>0</v>
      </c>
      <c r="Z385" s="1" t="n">
        <f aca="false">IF(AND($M385=1,对接源_01水果!$D385="原料入库"),1,0)</f>
        <v>0</v>
      </c>
      <c r="AA385" s="1" t="n">
        <f aca="false">N(AA384)+$Z385</f>
        <v>30</v>
      </c>
      <c r="AB385" s="1" t="n">
        <f aca="false">IF(AND($M385=1,LEFT(对接源_01水果!$D385,4)="原料出库"),1,0)</f>
        <v>0</v>
      </c>
      <c r="AC385" s="1" t="n">
        <f aca="false">N(AC384)+$AB385</f>
        <v>19</v>
      </c>
      <c r="AD385" s="1" t="n">
        <f aca="false">IF(AND($M385=1,LEFT(对接源_01水果!$D385,4)="成品出库"),1,0)</f>
        <v>0</v>
      </c>
      <c r="AE385" s="1" t="n">
        <f aca="false">N(AE384)+$AD385</f>
        <v>38</v>
      </c>
      <c r="AF385" s="1" t="n">
        <f aca="false">IF(AND($N385=1,AND(LEFT(对接源_01水果!$D385,4)="包装物料",N(对接源_01水果!$K385)&lt;&gt;0)),1,0)</f>
        <v>0</v>
      </c>
      <c r="AG385" s="90" t="str">
        <f aca="false">IF(对接源_01水果!$AC385="","",对接源_01水果!$AC385)</f>
        <v/>
      </c>
      <c r="AH385" s="1" t="n">
        <f aca="false">IF(AND($N385=1,AND(LEFT(对接源_01水果!$D385,3)="周转筐",N(对接源_01水果!$K385)&lt;&gt;0)),1,0)</f>
        <v>0</v>
      </c>
      <c r="AI385" s="90" t="n">
        <f aca="false">IF(AG385="",0,IF(MATCH(AG385,$AG$4:$AG$1203,0)=ROW()-3,1,0))</f>
        <v>0</v>
      </c>
      <c r="AJ385" s="90" t="n">
        <f aca="false">N(AJ384)+AI385</f>
        <v>4</v>
      </c>
      <c r="AK385" s="1" t="n">
        <f aca="false">N(AK384)+$AJ385</f>
        <v>400</v>
      </c>
    </row>
    <row r="386" customFormat="false" ht="13.5" hidden="false" customHeight="false" outlineLevel="0" collapsed="false">
      <c r="A386" s="1" t="str">
        <f aca="false">IF(对接源_01水果!$C386="","",对接源_01水果!$C386)</f>
        <v/>
      </c>
      <c r="B386" s="1" t="n">
        <f aca="false">IF(A386="",0,IF(MATCH(A386,$A$4:$A$2403,0)=ROW()-3,1,0))</f>
        <v>0</v>
      </c>
      <c r="C386" s="1" t="n">
        <f aca="false">N(C385)+B386</f>
        <v>13</v>
      </c>
      <c r="K386" s="1" t="n">
        <f aca="false">IF(OR($K$1="",对接源_01水果!$C386="",对接源_01水果!$C386&lt;&gt;$K$1,对接源_01水果!$B386=""),0,IF(OR(N(对接源_01水果!$B386)&lt;$K$2,N(对接源_01水果!$B386)&gt;$K$3),0,1))</f>
        <v>0</v>
      </c>
      <c r="L386" s="1" t="n">
        <f aca="false">IF(OR($L$1="",对接源_01水果!$C386="",对接源_01水果!$C386&lt;&gt;$L$1,对接源_01水果!$B386=""),0,IF(OR(N(对接源_01水果!$B386)&lt;$L$2,N(对接源_01水果!$B386)&gt;$L$3),0,1))</f>
        <v>0</v>
      </c>
      <c r="M386" s="1" t="n">
        <f aca="false">IF(OR($M$1="",对接源_01水果!$C386="",对接源_01水果!$C386&lt;&gt;$M$1,对接源_01水果!$B386=""),0,IF(OR(N(对接源_01水果!$B386)&lt;$M$2,N(对接源_01水果!$B386)&gt;$M$3),0,1))</f>
        <v>0</v>
      </c>
      <c r="N386" s="1" t="n">
        <f aca="false">IF(OR($N$1="",对接源_01水果!$C386="",对接源_01水果!$C386&lt;&gt;$N$1,对接源_01水果!$B386=""),0,IF(OR(N(对接源_01水果!$B386)&lt;$N$2,N(对接源_01水果!$B386)&gt;$N$3),0,1))</f>
        <v>0</v>
      </c>
      <c r="P386" s="1" t="n">
        <f aca="false">IF(AND($K386=1,AND(对接源_01水果!$X386="公司筐",N(对接源_01水果!$T386)&lt;&gt;0)),1,0)</f>
        <v>0</v>
      </c>
      <c r="Q386" s="1" t="n">
        <f aca="false">N(Q385)+$P386</f>
        <v>3</v>
      </c>
      <c r="R386" s="1" t="n">
        <f aca="false">IF(AND($K386=1,AND(对接源_01水果!$X386="公司筐",N(对接源_01水果!$U386)&lt;&gt;0)),1,0)</f>
        <v>0</v>
      </c>
      <c r="S386" s="1" t="n">
        <f aca="false">N(S385)+$R386</f>
        <v>0</v>
      </c>
      <c r="T386" s="1" t="n">
        <f aca="false">IF(AND($K386=1,AND(对接源_01水果!$X386="公司筐",N(对接源_01水果!$V386)&lt;&gt;0)),1,0)</f>
        <v>0</v>
      </c>
      <c r="U386" s="1" t="n">
        <f aca="false">N(U385)+$T386</f>
        <v>28</v>
      </c>
      <c r="V386" s="1" t="n">
        <f aca="false">IF(AND($L386=1,AND(对接源_01水果!$X386="自备筐",N(对接源_01水果!$V386)&lt;&gt;0)),1,0)</f>
        <v>0</v>
      </c>
      <c r="W386" s="1" t="n">
        <f aca="false">N(W385)+$V386</f>
        <v>7</v>
      </c>
      <c r="X386" s="1" t="n">
        <f aca="false">IF(AND($L386=1,AND(对接源_01水果!$X386="自备筐",N(对接源_01水果!$T386)&lt;&gt;0)),1,0)</f>
        <v>0</v>
      </c>
      <c r="Y386" s="1" t="n">
        <f aca="false">N(Y385)+$X386</f>
        <v>0</v>
      </c>
      <c r="Z386" s="1" t="n">
        <f aca="false">IF(AND($M386=1,对接源_01水果!$D386="原料入库"),1,0)</f>
        <v>0</v>
      </c>
      <c r="AA386" s="1" t="n">
        <f aca="false">N(AA385)+$Z386</f>
        <v>30</v>
      </c>
      <c r="AB386" s="1" t="n">
        <f aca="false">IF(AND($M386=1,LEFT(对接源_01水果!$D386,4)="原料出库"),1,0)</f>
        <v>0</v>
      </c>
      <c r="AC386" s="1" t="n">
        <f aca="false">N(AC385)+$AB386</f>
        <v>19</v>
      </c>
      <c r="AD386" s="1" t="n">
        <f aca="false">IF(AND($M386=1,LEFT(对接源_01水果!$D386,4)="成品出库"),1,0)</f>
        <v>0</v>
      </c>
      <c r="AE386" s="1" t="n">
        <f aca="false">N(AE385)+$AD386</f>
        <v>38</v>
      </c>
      <c r="AF386" s="1" t="n">
        <f aca="false">IF(AND($N386=1,AND(LEFT(对接源_01水果!$D386,4)="包装物料",N(对接源_01水果!$K386)&lt;&gt;0)),1,0)</f>
        <v>0</v>
      </c>
      <c r="AG386" s="90" t="str">
        <f aca="false">IF(对接源_01水果!$AC386="","",对接源_01水果!$AC386)</f>
        <v/>
      </c>
      <c r="AH386" s="1" t="n">
        <f aca="false">IF(AND($N386=1,AND(LEFT(对接源_01水果!$D386,3)="周转筐",N(对接源_01水果!$K386)&lt;&gt;0)),1,0)</f>
        <v>0</v>
      </c>
      <c r="AI386" s="90" t="n">
        <f aca="false">IF(AG386="",0,IF(MATCH(AG386,$AG$4:$AG$1203,0)=ROW()-3,1,0))</f>
        <v>0</v>
      </c>
      <c r="AJ386" s="90" t="n">
        <f aca="false">N(AJ385)+AI386</f>
        <v>4</v>
      </c>
      <c r="AK386" s="1" t="n">
        <f aca="false">N(AK385)+$AJ386</f>
        <v>404</v>
      </c>
    </row>
    <row r="387" customFormat="false" ht="13.5" hidden="false" customHeight="false" outlineLevel="0" collapsed="false">
      <c r="A387" s="1" t="str">
        <f aca="false">IF(对接源_01水果!$C387="","",对接源_01水果!$C387)</f>
        <v/>
      </c>
      <c r="B387" s="1" t="n">
        <f aca="false">IF(A387="",0,IF(MATCH(A387,$A$4:$A$2403,0)=ROW()-3,1,0))</f>
        <v>0</v>
      </c>
      <c r="C387" s="1" t="n">
        <f aca="false">N(C386)+B387</f>
        <v>13</v>
      </c>
      <c r="K387" s="1" t="n">
        <f aca="false">IF(OR($K$1="",对接源_01水果!$C387="",对接源_01水果!$C387&lt;&gt;$K$1,对接源_01水果!$B387=""),0,IF(OR(N(对接源_01水果!$B387)&lt;$K$2,N(对接源_01水果!$B387)&gt;$K$3),0,1))</f>
        <v>0</v>
      </c>
      <c r="L387" s="1" t="n">
        <f aca="false">IF(OR($L$1="",对接源_01水果!$C387="",对接源_01水果!$C387&lt;&gt;$L$1,对接源_01水果!$B387=""),0,IF(OR(N(对接源_01水果!$B387)&lt;$L$2,N(对接源_01水果!$B387)&gt;$L$3),0,1))</f>
        <v>0</v>
      </c>
      <c r="M387" s="1" t="n">
        <f aca="false">IF(OR($M$1="",对接源_01水果!$C387="",对接源_01水果!$C387&lt;&gt;$M$1,对接源_01水果!$B387=""),0,IF(OR(N(对接源_01水果!$B387)&lt;$M$2,N(对接源_01水果!$B387)&gt;$M$3),0,1))</f>
        <v>0</v>
      </c>
      <c r="N387" s="1" t="n">
        <f aca="false">IF(OR($N$1="",对接源_01水果!$C387="",对接源_01水果!$C387&lt;&gt;$N$1,对接源_01水果!$B387=""),0,IF(OR(N(对接源_01水果!$B387)&lt;$N$2,N(对接源_01水果!$B387)&gt;$N$3),0,1))</f>
        <v>0</v>
      </c>
      <c r="P387" s="1" t="n">
        <f aca="false">IF(AND($K387=1,AND(对接源_01水果!$X387="公司筐",N(对接源_01水果!$T387)&lt;&gt;0)),1,0)</f>
        <v>0</v>
      </c>
      <c r="Q387" s="1" t="n">
        <f aca="false">N(Q386)+$P387</f>
        <v>3</v>
      </c>
      <c r="R387" s="1" t="n">
        <f aca="false">IF(AND($K387=1,AND(对接源_01水果!$X387="公司筐",N(对接源_01水果!$U387)&lt;&gt;0)),1,0)</f>
        <v>0</v>
      </c>
      <c r="S387" s="1" t="n">
        <f aca="false">N(S386)+$R387</f>
        <v>0</v>
      </c>
      <c r="T387" s="1" t="n">
        <f aca="false">IF(AND($K387=1,AND(对接源_01水果!$X387="公司筐",N(对接源_01水果!$V387)&lt;&gt;0)),1,0)</f>
        <v>0</v>
      </c>
      <c r="U387" s="1" t="n">
        <f aca="false">N(U386)+$T387</f>
        <v>28</v>
      </c>
      <c r="V387" s="1" t="n">
        <f aca="false">IF(AND($L387=1,AND(对接源_01水果!$X387="自备筐",N(对接源_01水果!$V387)&lt;&gt;0)),1,0)</f>
        <v>0</v>
      </c>
      <c r="W387" s="1" t="n">
        <f aca="false">N(W386)+$V387</f>
        <v>7</v>
      </c>
      <c r="X387" s="1" t="n">
        <f aca="false">IF(AND($L387=1,AND(对接源_01水果!$X387="自备筐",N(对接源_01水果!$T387)&lt;&gt;0)),1,0)</f>
        <v>0</v>
      </c>
      <c r="Y387" s="1" t="n">
        <f aca="false">N(Y386)+$X387</f>
        <v>0</v>
      </c>
      <c r="Z387" s="1" t="n">
        <f aca="false">IF(AND($M387=1,对接源_01水果!$D387="原料入库"),1,0)</f>
        <v>0</v>
      </c>
      <c r="AA387" s="1" t="n">
        <f aca="false">N(AA386)+$Z387</f>
        <v>30</v>
      </c>
      <c r="AB387" s="1" t="n">
        <f aca="false">IF(AND($M387=1,LEFT(对接源_01水果!$D387,4)="原料出库"),1,0)</f>
        <v>0</v>
      </c>
      <c r="AC387" s="1" t="n">
        <f aca="false">N(AC386)+$AB387</f>
        <v>19</v>
      </c>
      <c r="AD387" s="1" t="n">
        <f aca="false">IF(AND($M387=1,LEFT(对接源_01水果!$D387,4)="成品出库"),1,0)</f>
        <v>0</v>
      </c>
      <c r="AE387" s="1" t="n">
        <f aca="false">N(AE386)+$AD387</f>
        <v>38</v>
      </c>
      <c r="AF387" s="1" t="n">
        <f aca="false">IF(AND($N387=1,AND(LEFT(对接源_01水果!$D387,4)="包装物料",N(对接源_01水果!$K387)&lt;&gt;0)),1,0)</f>
        <v>0</v>
      </c>
      <c r="AG387" s="90" t="str">
        <f aca="false">IF(对接源_01水果!$AC387="","",对接源_01水果!$AC387)</f>
        <v/>
      </c>
      <c r="AH387" s="1" t="n">
        <f aca="false">IF(AND($N387=1,AND(LEFT(对接源_01水果!$D387,3)="周转筐",N(对接源_01水果!$K387)&lt;&gt;0)),1,0)</f>
        <v>0</v>
      </c>
      <c r="AI387" s="90" t="n">
        <f aca="false">IF(AG387="",0,IF(MATCH(AG387,$AG$4:$AG$1203,0)=ROW()-3,1,0))</f>
        <v>0</v>
      </c>
      <c r="AJ387" s="90" t="n">
        <f aca="false">N(AJ386)+AI387</f>
        <v>4</v>
      </c>
      <c r="AK387" s="1" t="n">
        <f aca="false">N(AK386)+$AJ387</f>
        <v>408</v>
      </c>
    </row>
    <row r="388" customFormat="false" ht="13.5" hidden="false" customHeight="false" outlineLevel="0" collapsed="false">
      <c r="A388" s="1" t="str">
        <f aca="false">IF(对接源_01水果!$C388="","",对接源_01水果!$C388)</f>
        <v/>
      </c>
      <c r="B388" s="1" t="n">
        <f aca="false">IF(A388="",0,IF(MATCH(A388,$A$4:$A$2403,0)=ROW()-3,1,0))</f>
        <v>0</v>
      </c>
      <c r="C388" s="1" t="n">
        <f aca="false">N(C387)+B388</f>
        <v>13</v>
      </c>
      <c r="K388" s="1" t="n">
        <f aca="false">IF(OR($K$1="",对接源_01水果!$C388="",对接源_01水果!$C388&lt;&gt;$K$1,对接源_01水果!$B388=""),0,IF(OR(N(对接源_01水果!$B388)&lt;$K$2,N(对接源_01水果!$B388)&gt;$K$3),0,1))</f>
        <v>0</v>
      </c>
      <c r="L388" s="1" t="n">
        <f aca="false">IF(OR($L$1="",对接源_01水果!$C388="",对接源_01水果!$C388&lt;&gt;$L$1,对接源_01水果!$B388=""),0,IF(OR(N(对接源_01水果!$B388)&lt;$L$2,N(对接源_01水果!$B388)&gt;$L$3),0,1))</f>
        <v>0</v>
      </c>
      <c r="M388" s="1" t="n">
        <f aca="false">IF(OR($M$1="",对接源_01水果!$C388="",对接源_01水果!$C388&lt;&gt;$M$1,对接源_01水果!$B388=""),0,IF(OR(N(对接源_01水果!$B388)&lt;$M$2,N(对接源_01水果!$B388)&gt;$M$3),0,1))</f>
        <v>0</v>
      </c>
      <c r="N388" s="1" t="n">
        <f aca="false">IF(OR($N$1="",对接源_01水果!$C388="",对接源_01水果!$C388&lt;&gt;$N$1,对接源_01水果!$B388=""),0,IF(OR(N(对接源_01水果!$B388)&lt;$N$2,N(对接源_01水果!$B388)&gt;$N$3),0,1))</f>
        <v>0</v>
      </c>
      <c r="P388" s="1" t="n">
        <f aca="false">IF(AND($K388=1,AND(对接源_01水果!$X388="公司筐",N(对接源_01水果!$T388)&lt;&gt;0)),1,0)</f>
        <v>0</v>
      </c>
      <c r="Q388" s="1" t="n">
        <f aca="false">N(Q387)+$P388</f>
        <v>3</v>
      </c>
      <c r="R388" s="1" t="n">
        <f aca="false">IF(AND($K388=1,AND(对接源_01水果!$X388="公司筐",N(对接源_01水果!$U388)&lt;&gt;0)),1,0)</f>
        <v>0</v>
      </c>
      <c r="S388" s="1" t="n">
        <f aca="false">N(S387)+$R388</f>
        <v>0</v>
      </c>
      <c r="T388" s="1" t="n">
        <f aca="false">IF(AND($K388=1,AND(对接源_01水果!$X388="公司筐",N(对接源_01水果!$V388)&lt;&gt;0)),1,0)</f>
        <v>0</v>
      </c>
      <c r="U388" s="1" t="n">
        <f aca="false">N(U387)+$T388</f>
        <v>28</v>
      </c>
      <c r="V388" s="1" t="n">
        <f aca="false">IF(AND($L388=1,AND(对接源_01水果!$X388="自备筐",N(对接源_01水果!$V388)&lt;&gt;0)),1,0)</f>
        <v>0</v>
      </c>
      <c r="W388" s="1" t="n">
        <f aca="false">N(W387)+$V388</f>
        <v>7</v>
      </c>
      <c r="X388" s="1" t="n">
        <f aca="false">IF(AND($L388=1,AND(对接源_01水果!$X388="自备筐",N(对接源_01水果!$T388)&lt;&gt;0)),1,0)</f>
        <v>0</v>
      </c>
      <c r="Y388" s="1" t="n">
        <f aca="false">N(Y387)+$X388</f>
        <v>0</v>
      </c>
      <c r="Z388" s="1" t="n">
        <f aca="false">IF(AND($M388=1,对接源_01水果!$D388="原料入库"),1,0)</f>
        <v>0</v>
      </c>
      <c r="AA388" s="1" t="n">
        <f aca="false">N(AA387)+$Z388</f>
        <v>30</v>
      </c>
      <c r="AB388" s="1" t="n">
        <f aca="false">IF(AND($M388=1,LEFT(对接源_01水果!$D388,4)="原料出库"),1,0)</f>
        <v>0</v>
      </c>
      <c r="AC388" s="1" t="n">
        <f aca="false">N(AC387)+$AB388</f>
        <v>19</v>
      </c>
      <c r="AD388" s="1" t="n">
        <f aca="false">IF(AND($M388=1,LEFT(对接源_01水果!$D388,4)="成品出库"),1,0)</f>
        <v>0</v>
      </c>
      <c r="AE388" s="1" t="n">
        <f aca="false">N(AE387)+$AD388</f>
        <v>38</v>
      </c>
      <c r="AF388" s="1" t="n">
        <f aca="false">IF(AND($N388=1,AND(LEFT(对接源_01水果!$D388,4)="包装物料",N(对接源_01水果!$K388)&lt;&gt;0)),1,0)</f>
        <v>0</v>
      </c>
      <c r="AG388" s="90" t="str">
        <f aca="false">IF(对接源_01水果!$AC388="","",对接源_01水果!$AC388)</f>
        <v/>
      </c>
      <c r="AH388" s="1" t="n">
        <f aca="false">IF(AND($N388=1,AND(LEFT(对接源_01水果!$D388,3)="周转筐",N(对接源_01水果!$K388)&lt;&gt;0)),1,0)</f>
        <v>0</v>
      </c>
      <c r="AI388" s="90" t="n">
        <f aca="false">IF(AG388="",0,IF(MATCH(AG388,$AG$4:$AG$1203,0)=ROW()-3,1,0))</f>
        <v>0</v>
      </c>
      <c r="AJ388" s="90" t="n">
        <f aca="false">N(AJ387)+AI388</f>
        <v>4</v>
      </c>
      <c r="AK388" s="1" t="n">
        <f aca="false">N(AK387)+$AJ388</f>
        <v>412</v>
      </c>
    </row>
    <row r="389" customFormat="false" ht="13.5" hidden="false" customHeight="false" outlineLevel="0" collapsed="false">
      <c r="A389" s="1" t="str">
        <f aca="false">IF(对接源_01水果!$C389="","",对接源_01水果!$C389)</f>
        <v/>
      </c>
      <c r="B389" s="1" t="n">
        <f aca="false">IF(A389="",0,IF(MATCH(A389,$A$4:$A$2403,0)=ROW()-3,1,0))</f>
        <v>0</v>
      </c>
      <c r="C389" s="1" t="n">
        <f aca="false">N(C388)+B389</f>
        <v>13</v>
      </c>
      <c r="K389" s="1" t="n">
        <f aca="false">IF(OR($K$1="",对接源_01水果!$C389="",对接源_01水果!$C389&lt;&gt;$K$1,对接源_01水果!$B389=""),0,IF(OR(N(对接源_01水果!$B389)&lt;$K$2,N(对接源_01水果!$B389)&gt;$K$3),0,1))</f>
        <v>0</v>
      </c>
      <c r="L389" s="1" t="n">
        <f aca="false">IF(OR($L$1="",对接源_01水果!$C389="",对接源_01水果!$C389&lt;&gt;$L$1,对接源_01水果!$B389=""),0,IF(OR(N(对接源_01水果!$B389)&lt;$L$2,N(对接源_01水果!$B389)&gt;$L$3),0,1))</f>
        <v>0</v>
      </c>
      <c r="M389" s="1" t="n">
        <f aca="false">IF(OR($M$1="",对接源_01水果!$C389="",对接源_01水果!$C389&lt;&gt;$M$1,对接源_01水果!$B389=""),0,IF(OR(N(对接源_01水果!$B389)&lt;$M$2,N(对接源_01水果!$B389)&gt;$M$3),0,1))</f>
        <v>0</v>
      </c>
      <c r="N389" s="1" t="n">
        <f aca="false">IF(OR($N$1="",对接源_01水果!$C389="",对接源_01水果!$C389&lt;&gt;$N$1,对接源_01水果!$B389=""),0,IF(OR(N(对接源_01水果!$B389)&lt;$N$2,N(对接源_01水果!$B389)&gt;$N$3),0,1))</f>
        <v>0</v>
      </c>
      <c r="P389" s="1" t="n">
        <f aca="false">IF(AND($K389=1,AND(对接源_01水果!$X389="公司筐",N(对接源_01水果!$T389)&lt;&gt;0)),1,0)</f>
        <v>0</v>
      </c>
      <c r="Q389" s="1" t="n">
        <f aca="false">N(Q388)+$P389</f>
        <v>3</v>
      </c>
      <c r="R389" s="1" t="n">
        <f aca="false">IF(AND($K389=1,AND(对接源_01水果!$X389="公司筐",N(对接源_01水果!$U389)&lt;&gt;0)),1,0)</f>
        <v>0</v>
      </c>
      <c r="S389" s="1" t="n">
        <f aca="false">N(S388)+$R389</f>
        <v>0</v>
      </c>
      <c r="T389" s="1" t="n">
        <f aca="false">IF(AND($K389=1,AND(对接源_01水果!$X389="公司筐",N(对接源_01水果!$V389)&lt;&gt;0)),1,0)</f>
        <v>0</v>
      </c>
      <c r="U389" s="1" t="n">
        <f aca="false">N(U388)+$T389</f>
        <v>28</v>
      </c>
      <c r="V389" s="1" t="n">
        <f aca="false">IF(AND($L389=1,AND(对接源_01水果!$X389="自备筐",N(对接源_01水果!$V389)&lt;&gt;0)),1,0)</f>
        <v>0</v>
      </c>
      <c r="W389" s="1" t="n">
        <f aca="false">N(W388)+$V389</f>
        <v>7</v>
      </c>
      <c r="X389" s="1" t="n">
        <f aca="false">IF(AND($L389=1,AND(对接源_01水果!$X389="自备筐",N(对接源_01水果!$T389)&lt;&gt;0)),1,0)</f>
        <v>0</v>
      </c>
      <c r="Y389" s="1" t="n">
        <f aca="false">N(Y388)+$X389</f>
        <v>0</v>
      </c>
      <c r="Z389" s="1" t="n">
        <f aca="false">IF(AND($M389=1,对接源_01水果!$D389="原料入库"),1,0)</f>
        <v>0</v>
      </c>
      <c r="AA389" s="1" t="n">
        <f aca="false">N(AA388)+$Z389</f>
        <v>30</v>
      </c>
      <c r="AB389" s="1" t="n">
        <f aca="false">IF(AND($M389=1,LEFT(对接源_01水果!$D389,4)="原料出库"),1,0)</f>
        <v>0</v>
      </c>
      <c r="AC389" s="1" t="n">
        <f aca="false">N(AC388)+$AB389</f>
        <v>19</v>
      </c>
      <c r="AD389" s="1" t="n">
        <f aca="false">IF(AND($M389=1,LEFT(对接源_01水果!$D389,4)="成品出库"),1,0)</f>
        <v>0</v>
      </c>
      <c r="AE389" s="1" t="n">
        <f aca="false">N(AE388)+$AD389</f>
        <v>38</v>
      </c>
      <c r="AF389" s="1" t="n">
        <f aca="false">IF(AND($N389=1,AND(LEFT(对接源_01水果!$D389,4)="包装物料",N(对接源_01水果!$K389)&lt;&gt;0)),1,0)</f>
        <v>0</v>
      </c>
      <c r="AG389" s="90" t="str">
        <f aca="false">IF(对接源_01水果!$AC389="","",对接源_01水果!$AC389)</f>
        <v/>
      </c>
      <c r="AH389" s="1" t="n">
        <f aca="false">IF(AND($N389=1,AND(LEFT(对接源_01水果!$D389,3)="周转筐",N(对接源_01水果!$K389)&lt;&gt;0)),1,0)</f>
        <v>0</v>
      </c>
      <c r="AI389" s="90" t="n">
        <f aca="false">IF(AG389="",0,IF(MATCH(AG389,$AG$4:$AG$1203,0)=ROW()-3,1,0))</f>
        <v>0</v>
      </c>
      <c r="AJ389" s="90" t="n">
        <f aca="false">N(AJ388)+AI389</f>
        <v>4</v>
      </c>
      <c r="AK389" s="1" t="n">
        <f aca="false">N(AK388)+$AJ389</f>
        <v>416</v>
      </c>
    </row>
    <row r="390" customFormat="false" ht="13.5" hidden="false" customHeight="false" outlineLevel="0" collapsed="false">
      <c r="A390" s="1" t="str">
        <f aca="false">IF(对接源_01水果!$C390="","",对接源_01水果!$C390)</f>
        <v/>
      </c>
      <c r="B390" s="1" t="n">
        <f aca="false">IF(A390="",0,IF(MATCH(A390,$A$4:$A$2403,0)=ROW()-3,1,0))</f>
        <v>0</v>
      </c>
      <c r="C390" s="1" t="n">
        <f aca="false">N(C389)+B390</f>
        <v>13</v>
      </c>
      <c r="K390" s="1" t="n">
        <f aca="false">IF(OR($K$1="",对接源_01水果!$C390="",对接源_01水果!$C390&lt;&gt;$K$1,对接源_01水果!$B390=""),0,IF(OR(N(对接源_01水果!$B390)&lt;$K$2,N(对接源_01水果!$B390)&gt;$K$3),0,1))</f>
        <v>0</v>
      </c>
      <c r="L390" s="1" t="n">
        <f aca="false">IF(OR($L$1="",对接源_01水果!$C390="",对接源_01水果!$C390&lt;&gt;$L$1,对接源_01水果!$B390=""),0,IF(OR(N(对接源_01水果!$B390)&lt;$L$2,N(对接源_01水果!$B390)&gt;$L$3),0,1))</f>
        <v>0</v>
      </c>
      <c r="M390" s="1" t="n">
        <f aca="false">IF(OR($M$1="",对接源_01水果!$C390="",对接源_01水果!$C390&lt;&gt;$M$1,对接源_01水果!$B390=""),0,IF(OR(N(对接源_01水果!$B390)&lt;$M$2,N(对接源_01水果!$B390)&gt;$M$3),0,1))</f>
        <v>0</v>
      </c>
      <c r="N390" s="1" t="n">
        <f aca="false">IF(OR($N$1="",对接源_01水果!$C390="",对接源_01水果!$C390&lt;&gt;$N$1,对接源_01水果!$B390=""),0,IF(OR(N(对接源_01水果!$B390)&lt;$N$2,N(对接源_01水果!$B390)&gt;$N$3),0,1))</f>
        <v>0</v>
      </c>
      <c r="P390" s="1" t="n">
        <f aca="false">IF(AND($K390=1,AND(对接源_01水果!$X390="公司筐",N(对接源_01水果!$T390)&lt;&gt;0)),1,0)</f>
        <v>0</v>
      </c>
      <c r="Q390" s="1" t="n">
        <f aca="false">N(Q389)+$P390</f>
        <v>3</v>
      </c>
      <c r="R390" s="1" t="n">
        <f aca="false">IF(AND($K390=1,AND(对接源_01水果!$X390="公司筐",N(对接源_01水果!$U390)&lt;&gt;0)),1,0)</f>
        <v>0</v>
      </c>
      <c r="S390" s="1" t="n">
        <f aca="false">N(S389)+$R390</f>
        <v>0</v>
      </c>
      <c r="T390" s="1" t="n">
        <f aca="false">IF(AND($K390=1,AND(对接源_01水果!$X390="公司筐",N(对接源_01水果!$V390)&lt;&gt;0)),1,0)</f>
        <v>0</v>
      </c>
      <c r="U390" s="1" t="n">
        <f aca="false">N(U389)+$T390</f>
        <v>28</v>
      </c>
      <c r="V390" s="1" t="n">
        <f aca="false">IF(AND($L390=1,AND(对接源_01水果!$X390="自备筐",N(对接源_01水果!$V390)&lt;&gt;0)),1,0)</f>
        <v>0</v>
      </c>
      <c r="W390" s="1" t="n">
        <f aca="false">N(W389)+$V390</f>
        <v>7</v>
      </c>
      <c r="X390" s="1" t="n">
        <f aca="false">IF(AND($L390=1,AND(对接源_01水果!$X390="自备筐",N(对接源_01水果!$T390)&lt;&gt;0)),1,0)</f>
        <v>0</v>
      </c>
      <c r="Y390" s="1" t="n">
        <f aca="false">N(Y389)+$X390</f>
        <v>0</v>
      </c>
      <c r="Z390" s="1" t="n">
        <f aca="false">IF(AND($M390=1,对接源_01水果!$D390="原料入库"),1,0)</f>
        <v>0</v>
      </c>
      <c r="AA390" s="1" t="n">
        <f aca="false">N(AA389)+$Z390</f>
        <v>30</v>
      </c>
      <c r="AB390" s="1" t="n">
        <f aca="false">IF(AND($M390=1,LEFT(对接源_01水果!$D390,4)="原料出库"),1,0)</f>
        <v>0</v>
      </c>
      <c r="AC390" s="1" t="n">
        <f aca="false">N(AC389)+$AB390</f>
        <v>19</v>
      </c>
      <c r="AD390" s="1" t="n">
        <f aca="false">IF(AND($M390=1,LEFT(对接源_01水果!$D390,4)="成品出库"),1,0)</f>
        <v>0</v>
      </c>
      <c r="AE390" s="1" t="n">
        <f aca="false">N(AE389)+$AD390</f>
        <v>38</v>
      </c>
      <c r="AF390" s="1" t="n">
        <f aca="false">IF(AND($N390=1,AND(LEFT(对接源_01水果!$D390,4)="包装物料",N(对接源_01水果!$K390)&lt;&gt;0)),1,0)</f>
        <v>0</v>
      </c>
      <c r="AG390" s="90" t="str">
        <f aca="false">IF(对接源_01水果!$AC390="","",对接源_01水果!$AC390)</f>
        <v/>
      </c>
      <c r="AH390" s="1" t="n">
        <f aca="false">IF(AND($N390=1,AND(LEFT(对接源_01水果!$D390,3)="周转筐",N(对接源_01水果!$K390)&lt;&gt;0)),1,0)</f>
        <v>0</v>
      </c>
      <c r="AI390" s="90" t="n">
        <f aca="false">IF(AG390="",0,IF(MATCH(AG390,$AG$4:$AG$1203,0)=ROW()-3,1,0))</f>
        <v>0</v>
      </c>
      <c r="AJ390" s="90" t="n">
        <f aca="false">N(AJ389)+AI390</f>
        <v>4</v>
      </c>
      <c r="AK390" s="1" t="n">
        <f aca="false">N(AK389)+$AJ390</f>
        <v>420</v>
      </c>
    </row>
    <row r="391" customFormat="false" ht="13.5" hidden="false" customHeight="false" outlineLevel="0" collapsed="false">
      <c r="A391" s="1" t="str">
        <f aca="false">IF(对接源_01水果!$C391="","",对接源_01水果!$C391)</f>
        <v/>
      </c>
      <c r="B391" s="1" t="n">
        <f aca="false">IF(A391="",0,IF(MATCH(A391,$A$4:$A$2403,0)=ROW()-3,1,0))</f>
        <v>0</v>
      </c>
      <c r="C391" s="1" t="n">
        <f aca="false">N(C390)+B391</f>
        <v>13</v>
      </c>
      <c r="K391" s="1" t="n">
        <f aca="false">IF(OR($K$1="",对接源_01水果!$C391="",对接源_01水果!$C391&lt;&gt;$K$1,对接源_01水果!$B391=""),0,IF(OR(N(对接源_01水果!$B391)&lt;$K$2,N(对接源_01水果!$B391)&gt;$K$3),0,1))</f>
        <v>0</v>
      </c>
      <c r="L391" s="1" t="n">
        <f aca="false">IF(OR($L$1="",对接源_01水果!$C391="",对接源_01水果!$C391&lt;&gt;$L$1,对接源_01水果!$B391=""),0,IF(OR(N(对接源_01水果!$B391)&lt;$L$2,N(对接源_01水果!$B391)&gt;$L$3),0,1))</f>
        <v>0</v>
      </c>
      <c r="M391" s="1" t="n">
        <f aca="false">IF(OR($M$1="",对接源_01水果!$C391="",对接源_01水果!$C391&lt;&gt;$M$1,对接源_01水果!$B391=""),0,IF(OR(N(对接源_01水果!$B391)&lt;$M$2,N(对接源_01水果!$B391)&gt;$M$3),0,1))</f>
        <v>0</v>
      </c>
      <c r="N391" s="1" t="n">
        <f aca="false">IF(OR($N$1="",对接源_01水果!$C391="",对接源_01水果!$C391&lt;&gt;$N$1,对接源_01水果!$B391=""),0,IF(OR(N(对接源_01水果!$B391)&lt;$N$2,N(对接源_01水果!$B391)&gt;$N$3),0,1))</f>
        <v>0</v>
      </c>
      <c r="P391" s="1" t="n">
        <f aca="false">IF(AND($K391=1,AND(对接源_01水果!$X391="公司筐",N(对接源_01水果!$T391)&lt;&gt;0)),1,0)</f>
        <v>0</v>
      </c>
      <c r="Q391" s="1" t="n">
        <f aca="false">N(Q390)+$P391</f>
        <v>3</v>
      </c>
      <c r="R391" s="1" t="n">
        <f aca="false">IF(AND($K391=1,AND(对接源_01水果!$X391="公司筐",N(对接源_01水果!$U391)&lt;&gt;0)),1,0)</f>
        <v>0</v>
      </c>
      <c r="S391" s="1" t="n">
        <f aca="false">N(S390)+$R391</f>
        <v>0</v>
      </c>
      <c r="T391" s="1" t="n">
        <f aca="false">IF(AND($K391=1,AND(对接源_01水果!$X391="公司筐",N(对接源_01水果!$V391)&lt;&gt;0)),1,0)</f>
        <v>0</v>
      </c>
      <c r="U391" s="1" t="n">
        <f aca="false">N(U390)+$T391</f>
        <v>28</v>
      </c>
      <c r="V391" s="1" t="n">
        <f aca="false">IF(AND($L391=1,AND(对接源_01水果!$X391="自备筐",N(对接源_01水果!$V391)&lt;&gt;0)),1,0)</f>
        <v>0</v>
      </c>
      <c r="W391" s="1" t="n">
        <f aca="false">N(W390)+$V391</f>
        <v>7</v>
      </c>
      <c r="X391" s="1" t="n">
        <f aca="false">IF(AND($L391=1,AND(对接源_01水果!$X391="自备筐",N(对接源_01水果!$T391)&lt;&gt;0)),1,0)</f>
        <v>0</v>
      </c>
      <c r="Y391" s="1" t="n">
        <f aca="false">N(Y390)+$X391</f>
        <v>0</v>
      </c>
      <c r="Z391" s="1" t="n">
        <f aca="false">IF(AND($M391=1,对接源_01水果!$D391="原料入库"),1,0)</f>
        <v>0</v>
      </c>
      <c r="AA391" s="1" t="n">
        <f aca="false">N(AA390)+$Z391</f>
        <v>30</v>
      </c>
      <c r="AB391" s="1" t="n">
        <f aca="false">IF(AND($M391=1,LEFT(对接源_01水果!$D391,4)="原料出库"),1,0)</f>
        <v>0</v>
      </c>
      <c r="AC391" s="1" t="n">
        <f aca="false">N(AC390)+$AB391</f>
        <v>19</v>
      </c>
      <c r="AD391" s="1" t="n">
        <f aca="false">IF(AND($M391=1,LEFT(对接源_01水果!$D391,4)="成品出库"),1,0)</f>
        <v>0</v>
      </c>
      <c r="AE391" s="1" t="n">
        <f aca="false">N(AE390)+$AD391</f>
        <v>38</v>
      </c>
      <c r="AF391" s="1" t="n">
        <f aca="false">IF(AND($N391=1,AND(LEFT(对接源_01水果!$D391,4)="包装物料",N(对接源_01水果!$K391)&lt;&gt;0)),1,0)</f>
        <v>0</v>
      </c>
      <c r="AG391" s="90" t="str">
        <f aca="false">IF(对接源_01水果!$AC391="","",对接源_01水果!$AC391)</f>
        <v/>
      </c>
      <c r="AH391" s="1" t="n">
        <f aca="false">IF(AND($N391=1,AND(LEFT(对接源_01水果!$D391,3)="周转筐",N(对接源_01水果!$K391)&lt;&gt;0)),1,0)</f>
        <v>0</v>
      </c>
      <c r="AI391" s="90" t="n">
        <f aca="false">IF(AG391="",0,IF(MATCH(AG391,$AG$4:$AG$1203,0)=ROW()-3,1,0))</f>
        <v>0</v>
      </c>
      <c r="AJ391" s="90" t="n">
        <f aca="false">N(AJ390)+AI391</f>
        <v>4</v>
      </c>
      <c r="AK391" s="1" t="n">
        <f aca="false">N(AK390)+$AJ391</f>
        <v>424</v>
      </c>
    </row>
    <row r="392" customFormat="false" ht="13.5" hidden="false" customHeight="false" outlineLevel="0" collapsed="false">
      <c r="A392" s="1" t="str">
        <f aca="false">IF(对接源_01水果!$C392="","",对接源_01水果!$C392)</f>
        <v/>
      </c>
      <c r="B392" s="1" t="n">
        <f aca="false">IF(A392="",0,IF(MATCH(A392,$A$4:$A$2403,0)=ROW()-3,1,0))</f>
        <v>0</v>
      </c>
      <c r="C392" s="1" t="n">
        <f aca="false">N(C391)+B392</f>
        <v>13</v>
      </c>
      <c r="K392" s="1" t="n">
        <f aca="false">IF(OR($K$1="",对接源_01水果!$C392="",对接源_01水果!$C392&lt;&gt;$K$1,对接源_01水果!$B392=""),0,IF(OR(N(对接源_01水果!$B392)&lt;$K$2,N(对接源_01水果!$B392)&gt;$K$3),0,1))</f>
        <v>0</v>
      </c>
      <c r="L392" s="1" t="n">
        <f aca="false">IF(OR($L$1="",对接源_01水果!$C392="",对接源_01水果!$C392&lt;&gt;$L$1,对接源_01水果!$B392=""),0,IF(OR(N(对接源_01水果!$B392)&lt;$L$2,N(对接源_01水果!$B392)&gt;$L$3),0,1))</f>
        <v>0</v>
      </c>
      <c r="M392" s="1" t="n">
        <f aca="false">IF(OR($M$1="",对接源_01水果!$C392="",对接源_01水果!$C392&lt;&gt;$M$1,对接源_01水果!$B392=""),0,IF(OR(N(对接源_01水果!$B392)&lt;$M$2,N(对接源_01水果!$B392)&gt;$M$3),0,1))</f>
        <v>0</v>
      </c>
      <c r="N392" s="1" t="n">
        <f aca="false">IF(OR($N$1="",对接源_01水果!$C392="",对接源_01水果!$C392&lt;&gt;$N$1,对接源_01水果!$B392=""),0,IF(OR(N(对接源_01水果!$B392)&lt;$N$2,N(对接源_01水果!$B392)&gt;$N$3),0,1))</f>
        <v>0</v>
      </c>
      <c r="P392" s="1" t="n">
        <f aca="false">IF(AND($K392=1,AND(对接源_01水果!$X392="公司筐",N(对接源_01水果!$T392)&lt;&gt;0)),1,0)</f>
        <v>0</v>
      </c>
      <c r="Q392" s="1" t="n">
        <f aca="false">N(Q391)+$P392</f>
        <v>3</v>
      </c>
      <c r="R392" s="1" t="n">
        <f aca="false">IF(AND($K392=1,AND(对接源_01水果!$X392="公司筐",N(对接源_01水果!$U392)&lt;&gt;0)),1,0)</f>
        <v>0</v>
      </c>
      <c r="S392" s="1" t="n">
        <f aca="false">N(S391)+$R392</f>
        <v>0</v>
      </c>
      <c r="T392" s="1" t="n">
        <f aca="false">IF(AND($K392=1,AND(对接源_01水果!$X392="公司筐",N(对接源_01水果!$V392)&lt;&gt;0)),1,0)</f>
        <v>0</v>
      </c>
      <c r="U392" s="1" t="n">
        <f aca="false">N(U391)+$T392</f>
        <v>28</v>
      </c>
      <c r="V392" s="1" t="n">
        <f aca="false">IF(AND($L392=1,AND(对接源_01水果!$X392="自备筐",N(对接源_01水果!$V392)&lt;&gt;0)),1,0)</f>
        <v>0</v>
      </c>
      <c r="W392" s="1" t="n">
        <f aca="false">N(W391)+$V392</f>
        <v>7</v>
      </c>
      <c r="X392" s="1" t="n">
        <f aca="false">IF(AND($L392=1,AND(对接源_01水果!$X392="自备筐",N(对接源_01水果!$T392)&lt;&gt;0)),1,0)</f>
        <v>0</v>
      </c>
      <c r="Y392" s="1" t="n">
        <f aca="false">N(Y391)+$X392</f>
        <v>0</v>
      </c>
      <c r="Z392" s="1" t="n">
        <f aca="false">IF(AND($M392=1,对接源_01水果!$D392="原料入库"),1,0)</f>
        <v>0</v>
      </c>
      <c r="AA392" s="1" t="n">
        <f aca="false">N(AA391)+$Z392</f>
        <v>30</v>
      </c>
      <c r="AB392" s="1" t="n">
        <f aca="false">IF(AND($M392=1,LEFT(对接源_01水果!$D392,4)="原料出库"),1,0)</f>
        <v>0</v>
      </c>
      <c r="AC392" s="1" t="n">
        <f aca="false">N(AC391)+$AB392</f>
        <v>19</v>
      </c>
      <c r="AD392" s="1" t="n">
        <f aca="false">IF(AND($M392=1,LEFT(对接源_01水果!$D392,4)="成品出库"),1,0)</f>
        <v>0</v>
      </c>
      <c r="AE392" s="1" t="n">
        <f aca="false">N(AE391)+$AD392</f>
        <v>38</v>
      </c>
      <c r="AF392" s="1" t="n">
        <f aca="false">IF(AND($N392=1,AND(LEFT(对接源_01水果!$D392,4)="包装物料",N(对接源_01水果!$K392)&lt;&gt;0)),1,0)</f>
        <v>0</v>
      </c>
      <c r="AG392" s="90" t="str">
        <f aca="false">IF(对接源_01水果!$AC392="","",对接源_01水果!$AC392)</f>
        <v/>
      </c>
      <c r="AH392" s="1" t="n">
        <f aca="false">IF(AND($N392=1,AND(LEFT(对接源_01水果!$D392,3)="周转筐",N(对接源_01水果!$K392)&lt;&gt;0)),1,0)</f>
        <v>0</v>
      </c>
      <c r="AI392" s="90" t="n">
        <f aca="false">IF(AG392="",0,IF(MATCH(AG392,$AG$4:$AG$1203,0)=ROW()-3,1,0))</f>
        <v>0</v>
      </c>
      <c r="AJ392" s="90" t="n">
        <f aca="false">N(AJ391)+AI392</f>
        <v>4</v>
      </c>
      <c r="AK392" s="1" t="n">
        <f aca="false">N(AK391)+$AJ392</f>
        <v>428</v>
      </c>
    </row>
    <row r="393" customFormat="false" ht="13.5" hidden="false" customHeight="false" outlineLevel="0" collapsed="false">
      <c r="A393" s="1" t="str">
        <f aca="false">IF(对接源_01水果!$C393="","",对接源_01水果!$C393)</f>
        <v/>
      </c>
      <c r="B393" s="1" t="n">
        <f aca="false">IF(A393="",0,IF(MATCH(A393,$A$4:$A$2403,0)=ROW()-3,1,0))</f>
        <v>0</v>
      </c>
      <c r="C393" s="1" t="n">
        <f aca="false">N(C392)+B393</f>
        <v>13</v>
      </c>
      <c r="K393" s="1" t="n">
        <f aca="false">IF(OR($K$1="",对接源_01水果!$C393="",对接源_01水果!$C393&lt;&gt;$K$1,对接源_01水果!$B393=""),0,IF(OR(N(对接源_01水果!$B393)&lt;$K$2,N(对接源_01水果!$B393)&gt;$K$3),0,1))</f>
        <v>0</v>
      </c>
      <c r="L393" s="1" t="n">
        <f aca="false">IF(OR($L$1="",对接源_01水果!$C393="",对接源_01水果!$C393&lt;&gt;$L$1,对接源_01水果!$B393=""),0,IF(OR(N(对接源_01水果!$B393)&lt;$L$2,N(对接源_01水果!$B393)&gt;$L$3),0,1))</f>
        <v>0</v>
      </c>
      <c r="M393" s="1" t="n">
        <f aca="false">IF(OR($M$1="",对接源_01水果!$C393="",对接源_01水果!$C393&lt;&gt;$M$1,对接源_01水果!$B393=""),0,IF(OR(N(对接源_01水果!$B393)&lt;$M$2,N(对接源_01水果!$B393)&gt;$M$3),0,1))</f>
        <v>0</v>
      </c>
      <c r="N393" s="1" t="n">
        <f aca="false">IF(OR($N$1="",对接源_01水果!$C393="",对接源_01水果!$C393&lt;&gt;$N$1,对接源_01水果!$B393=""),0,IF(OR(N(对接源_01水果!$B393)&lt;$N$2,N(对接源_01水果!$B393)&gt;$N$3),0,1))</f>
        <v>0</v>
      </c>
      <c r="P393" s="1" t="n">
        <f aca="false">IF(AND($K393=1,AND(对接源_01水果!$X393="公司筐",N(对接源_01水果!$T393)&lt;&gt;0)),1,0)</f>
        <v>0</v>
      </c>
      <c r="Q393" s="1" t="n">
        <f aca="false">N(Q392)+$P393</f>
        <v>3</v>
      </c>
      <c r="R393" s="1" t="n">
        <f aca="false">IF(AND($K393=1,AND(对接源_01水果!$X393="公司筐",N(对接源_01水果!$U393)&lt;&gt;0)),1,0)</f>
        <v>0</v>
      </c>
      <c r="S393" s="1" t="n">
        <f aca="false">N(S392)+$R393</f>
        <v>0</v>
      </c>
      <c r="T393" s="1" t="n">
        <f aca="false">IF(AND($K393=1,AND(对接源_01水果!$X393="公司筐",N(对接源_01水果!$V393)&lt;&gt;0)),1,0)</f>
        <v>0</v>
      </c>
      <c r="U393" s="1" t="n">
        <f aca="false">N(U392)+$T393</f>
        <v>28</v>
      </c>
      <c r="V393" s="1" t="n">
        <f aca="false">IF(AND($L393=1,AND(对接源_01水果!$X393="自备筐",N(对接源_01水果!$V393)&lt;&gt;0)),1,0)</f>
        <v>0</v>
      </c>
      <c r="W393" s="1" t="n">
        <f aca="false">N(W392)+$V393</f>
        <v>7</v>
      </c>
      <c r="X393" s="1" t="n">
        <f aca="false">IF(AND($L393=1,AND(对接源_01水果!$X393="自备筐",N(对接源_01水果!$T393)&lt;&gt;0)),1,0)</f>
        <v>0</v>
      </c>
      <c r="Y393" s="1" t="n">
        <f aca="false">N(Y392)+$X393</f>
        <v>0</v>
      </c>
      <c r="Z393" s="1" t="n">
        <f aca="false">IF(AND($M393=1,对接源_01水果!$D393="原料入库"),1,0)</f>
        <v>0</v>
      </c>
      <c r="AA393" s="1" t="n">
        <f aca="false">N(AA392)+$Z393</f>
        <v>30</v>
      </c>
      <c r="AB393" s="1" t="n">
        <f aca="false">IF(AND($M393=1,LEFT(对接源_01水果!$D393,4)="原料出库"),1,0)</f>
        <v>0</v>
      </c>
      <c r="AC393" s="1" t="n">
        <f aca="false">N(AC392)+$AB393</f>
        <v>19</v>
      </c>
      <c r="AD393" s="1" t="n">
        <f aca="false">IF(AND($M393=1,LEFT(对接源_01水果!$D393,4)="成品出库"),1,0)</f>
        <v>0</v>
      </c>
      <c r="AE393" s="1" t="n">
        <f aca="false">N(AE392)+$AD393</f>
        <v>38</v>
      </c>
      <c r="AF393" s="1" t="n">
        <f aca="false">IF(AND($N393=1,AND(LEFT(对接源_01水果!$D393,4)="包装物料",N(对接源_01水果!$K393)&lt;&gt;0)),1,0)</f>
        <v>0</v>
      </c>
      <c r="AG393" s="90" t="str">
        <f aca="false">IF(对接源_01水果!$AC393="","",对接源_01水果!$AC393)</f>
        <v/>
      </c>
      <c r="AH393" s="1" t="n">
        <f aca="false">IF(AND($N393=1,AND(LEFT(对接源_01水果!$D393,3)="周转筐",N(对接源_01水果!$K393)&lt;&gt;0)),1,0)</f>
        <v>0</v>
      </c>
      <c r="AI393" s="90" t="n">
        <f aca="false">IF(AG393="",0,IF(MATCH(AG393,$AG$4:$AG$1203,0)=ROW()-3,1,0))</f>
        <v>0</v>
      </c>
      <c r="AJ393" s="90" t="n">
        <f aca="false">N(AJ392)+AI393</f>
        <v>4</v>
      </c>
      <c r="AK393" s="1" t="n">
        <f aca="false">N(AK392)+$AJ393</f>
        <v>432</v>
      </c>
    </row>
    <row r="394" customFormat="false" ht="13.5" hidden="false" customHeight="false" outlineLevel="0" collapsed="false">
      <c r="A394" s="1" t="str">
        <f aca="false">IF(对接源_01水果!$C394="","",对接源_01水果!$C394)</f>
        <v/>
      </c>
      <c r="B394" s="1" t="n">
        <f aca="false">IF(A394="",0,IF(MATCH(A394,$A$4:$A$2403,0)=ROW()-3,1,0))</f>
        <v>0</v>
      </c>
      <c r="C394" s="1" t="n">
        <f aca="false">N(C393)+B394</f>
        <v>13</v>
      </c>
      <c r="K394" s="1" t="n">
        <f aca="false">IF(OR($K$1="",对接源_01水果!$C394="",对接源_01水果!$C394&lt;&gt;$K$1,对接源_01水果!$B394=""),0,IF(OR(N(对接源_01水果!$B394)&lt;$K$2,N(对接源_01水果!$B394)&gt;$K$3),0,1))</f>
        <v>0</v>
      </c>
      <c r="L394" s="1" t="n">
        <f aca="false">IF(OR($L$1="",对接源_01水果!$C394="",对接源_01水果!$C394&lt;&gt;$L$1,对接源_01水果!$B394=""),0,IF(OR(N(对接源_01水果!$B394)&lt;$L$2,N(对接源_01水果!$B394)&gt;$L$3),0,1))</f>
        <v>0</v>
      </c>
      <c r="M394" s="1" t="n">
        <f aca="false">IF(OR($M$1="",对接源_01水果!$C394="",对接源_01水果!$C394&lt;&gt;$M$1,对接源_01水果!$B394=""),0,IF(OR(N(对接源_01水果!$B394)&lt;$M$2,N(对接源_01水果!$B394)&gt;$M$3),0,1))</f>
        <v>0</v>
      </c>
      <c r="N394" s="1" t="n">
        <f aca="false">IF(OR($N$1="",对接源_01水果!$C394="",对接源_01水果!$C394&lt;&gt;$N$1,对接源_01水果!$B394=""),0,IF(OR(N(对接源_01水果!$B394)&lt;$N$2,N(对接源_01水果!$B394)&gt;$N$3),0,1))</f>
        <v>0</v>
      </c>
      <c r="P394" s="1" t="n">
        <f aca="false">IF(AND($K394=1,AND(对接源_01水果!$X394="公司筐",N(对接源_01水果!$T394)&lt;&gt;0)),1,0)</f>
        <v>0</v>
      </c>
      <c r="Q394" s="1" t="n">
        <f aca="false">N(Q393)+$P394</f>
        <v>3</v>
      </c>
      <c r="R394" s="1" t="n">
        <f aca="false">IF(AND($K394=1,AND(对接源_01水果!$X394="公司筐",N(对接源_01水果!$U394)&lt;&gt;0)),1,0)</f>
        <v>0</v>
      </c>
      <c r="S394" s="1" t="n">
        <f aca="false">N(S393)+$R394</f>
        <v>0</v>
      </c>
      <c r="T394" s="1" t="n">
        <f aca="false">IF(AND($K394=1,AND(对接源_01水果!$X394="公司筐",N(对接源_01水果!$V394)&lt;&gt;0)),1,0)</f>
        <v>0</v>
      </c>
      <c r="U394" s="1" t="n">
        <f aca="false">N(U393)+$T394</f>
        <v>28</v>
      </c>
      <c r="V394" s="1" t="n">
        <f aca="false">IF(AND($L394=1,AND(对接源_01水果!$X394="自备筐",N(对接源_01水果!$V394)&lt;&gt;0)),1,0)</f>
        <v>0</v>
      </c>
      <c r="W394" s="1" t="n">
        <f aca="false">N(W393)+$V394</f>
        <v>7</v>
      </c>
      <c r="X394" s="1" t="n">
        <f aca="false">IF(AND($L394=1,AND(对接源_01水果!$X394="自备筐",N(对接源_01水果!$T394)&lt;&gt;0)),1,0)</f>
        <v>0</v>
      </c>
      <c r="Y394" s="1" t="n">
        <f aca="false">N(Y393)+$X394</f>
        <v>0</v>
      </c>
      <c r="Z394" s="1" t="n">
        <f aca="false">IF(AND($M394=1,对接源_01水果!$D394="原料入库"),1,0)</f>
        <v>0</v>
      </c>
      <c r="AA394" s="1" t="n">
        <f aca="false">N(AA393)+$Z394</f>
        <v>30</v>
      </c>
      <c r="AB394" s="1" t="n">
        <f aca="false">IF(AND($M394=1,LEFT(对接源_01水果!$D394,4)="原料出库"),1,0)</f>
        <v>0</v>
      </c>
      <c r="AC394" s="1" t="n">
        <f aca="false">N(AC393)+$AB394</f>
        <v>19</v>
      </c>
      <c r="AD394" s="1" t="n">
        <f aca="false">IF(AND($M394=1,LEFT(对接源_01水果!$D394,4)="成品出库"),1,0)</f>
        <v>0</v>
      </c>
      <c r="AE394" s="1" t="n">
        <f aca="false">N(AE393)+$AD394</f>
        <v>38</v>
      </c>
      <c r="AF394" s="1" t="n">
        <f aca="false">IF(AND($N394=1,AND(LEFT(对接源_01水果!$D394,4)="包装物料",N(对接源_01水果!$K394)&lt;&gt;0)),1,0)</f>
        <v>0</v>
      </c>
      <c r="AG394" s="90" t="str">
        <f aca="false">IF(对接源_01水果!$AC394="","",对接源_01水果!$AC394)</f>
        <v/>
      </c>
      <c r="AH394" s="1" t="n">
        <f aca="false">IF(AND($N394=1,AND(LEFT(对接源_01水果!$D394,3)="周转筐",N(对接源_01水果!$K394)&lt;&gt;0)),1,0)</f>
        <v>0</v>
      </c>
      <c r="AI394" s="90" t="n">
        <f aca="false">IF(AG394="",0,IF(MATCH(AG394,$AG$4:$AG$1203,0)=ROW()-3,1,0))</f>
        <v>0</v>
      </c>
      <c r="AJ394" s="90" t="n">
        <f aca="false">N(AJ393)+AI394</f>
        <v>4</v>
      </c>
      <c r="AK394" s="1" t="n">
        <f aca="false">N(AK393)+$AJ394</f>
        <v>436</v>
      </c>
    </row>
    <row r="395" customFormat="false" ht="13.5" hidden="false" customHeight="false" outlineLevel="0" collapsed="false">
      <c r="A395" s="1" t="str">
        <f aca="false">IF(对接源_01水果!$C395="","",对接源_01水果!$C395)</f>
        <v/>
      </c>
      <c r="B395" s="1" t="n">
        <f aca="false">IF(A395="",0,IF(MATCH(A395,$A$4:$A$2403,0)=ROW()-3,1,0))</f>
        <v>0</v>
      </c>
      <c r="C395" s="1" t="n">
        <f aca="false">N(C394)+B395</f>
        <v>13</v>
      </c>
      <c r="K395" s="1" t="n">
        <f aca="false">IF(OR($K$1="",对接源_01水果!$C395="",对接源_01水果!$C395&lt;&gt;$K$1,对接源_01水果!$B395=""),0,IF(OR(N(对接源_01水果!$B395)&lt;$K$2,N(对接源_01水果!$B395)&gt;$K$3),0,1))</f>
        <v>0</v>
      </c>
      <c r="L395" s="1" t="n">
        <f aca="false">IF(OR($L$1="",对接源_01水果!$C395="",对接源_01水果!$C395&lt;&gt;$L$1,对接源_01水果!$B395=""),0,IF(OR(N(对接源_01水果!$B395)&lt;$L$2,N(对接源_01水果!$B395)&gt;$L$3),0,1))</f>
        <v>0</v>
      </c>
      <c r="M395" s="1" t="n">
        <f aca="false">IF(OR($M$1="",对接源_01水果!$C395="",对接源_01水果!$C395&lt;&gt;$M$1,对接源_01水果!$B395=""),0,IF(OR(N(对接源_01水果!$B395)&lt;$M$2,N(对接源_01水果!$B395)&gt;$M$3),0,1))</f>
        <v>0</v>
      </c>
      <c r="N395" s="1" t="n">
        <f aca="false">IF(OR($N$1="",对接源_01水果!$C395="",对接源_01水果!$C395&lt;&gt;$N$1,对接源_01水果!$B395=""),0,IF(OR(N(对接源_01水果!$B395)&lt;$N$2,N(对接源_01水果!$B395)&gt;$N$3),0,1))</f>
        <v>0</v>
      </c>
      <c r="P395" s="1" t="n">
        <f aca="false">IF(AND($K395=1,AND(对接源_01水果!$X395="公司筐",N(对接源_01水果!$T395)&lt;&gt;0)),1,0)</f>
        <v>0</v>
      </c>
      <c r="Q395" s="1" t="n">
        <f aca="false">N(Q394)+$P395</f>
        <v>3</v>
      </c>
      <c r="R395" s="1" t="n">
        <f aca="false">IF(AND($K395=1,AND(对接源_01水果!$X395="公司筐",N(对接源_01水果!$U395)&lt;&gt;0)),1,0)</f>
        <v>0</v>
      </c>
      <c r="S395" s="1" t="n">
        <f aca="false">N(S394)+$R395</f>
        <v>0</v>
      </c>
      <c r="T395" s="1" t="n">
        <f aca="false">IF(AND($K395=1,AND(对接源_01水果!$X395="公司筐",N(对接源_01水果!$V395)&lt;&gt;0)),1,0)</f>
        <v>0</v>
      </c>
      <c r="U395" s="1" t="n">
        <f aca="false">N(U394)+$T395</f>
        <v>28</v>
      </c>
      <c r="V395" s="1" t="n">
        <f aca="false">IF(AND($L395=1,AND(对接源_01水果!$X395="自备筐",N(对接源_01水果!$V395)&lt;&gt;0)),1,0)</f>
        <v>0</v>
      </c>
      <c r="W395" s="1" t="n">
        <f aca="false">N(W394)+$V395</f>
        <v>7</v>
      </c>
      <c r="X395" s="1" t="n">
        <f aca="false">IF(AND($L395=1,AND(对接源_01水果!$X395="自备筐",N(对接源_01水果!$T395)&lt;&gt;0)),1,0)</f>
        <v>0</v>
      </c>
      <c r="Y395" s="1" t="n">
        <f aca="false">N(Y394)+$X395</f>
        <v>0</v>
      </c>
      <c r="Z395" s="1" t="n">
        <f aca="false">IF(AND($M395=1,对接源_01水果!$D395="原料入库"),1,0)</f>
        <v>0</v>
      </c>
      <c r="AA395" s="1" t="n">
        <f aca="false">N(AA394)+$Z395</f>
        <v>30</v>
      </c>
      <c r="AB395" s="1" t="n">
        <f aca="false">IF(AND($M395=1,LEFT(对接源_01水果!$D395,4)="原料出库"),1,0)</f>
        <v>0</v>
      </c>
      <c r="AC395" s="1" t="n">
        <f aca="false">N(AC394)+$AB395</f>
        <v>19</v>
      </c>
      <c r="AD395" s="1" t="n">
        <f aca="false">IF(AND($M395=1,LEFT(对接源_01水果!$D395,4)="成品出库"),1,0)</f>
        <v>0</v>
      </c>
      <c r="AE395" s="1" t="n">
        <f aca="false">N(AE394)+$AD395</f>
        <v>38</v>
      </c>
      <c r="AF395" s="1" t="n">
        <f aca="false">IF(AND($N395=1,AND(LEFT(对接源_01水果!$D395,4)="包装物料",N(对接源_01水果!$K395)&lt;&gt;0)),1,0)</f>
        <v>0</v>
      </c>
      <c r="AG395" s="90" t="str">
        <f aca="false">IF(对接源_01水果!$AC395="","",对接源_01水果!$AC395)</f>
        <v/>
      </c>
      <c r="AH395" s="1" t="n">
        <f aca="false">IF(AND($N395=1,AND(LEFT(对接源_01水果!$D395,3)="周转筐",N(对接源_01水果!$K395)&lt;&gt;0)),1,0)</f>
        <v>0</v>
      </c>
      <c r="AI395" s="90" t="n">
        <f aca="false">IF(AG395="",0,IF(MATCH(AG395,$AG$4:$AG$1203,0)=ROW()-3,1,0))</f>
        <v>0</v>
      </c>
      <c r="AJ395" s="90" t="n">
        <f aca="false">N(AJ394)+AI395</f>
        <v>4</v>
      </c>
      <c r="AK395" s="1" t="n">
        <f aca="false">N(AK394)+$AJ395</f>
        <v>440</v>
      </c>
    </row>
    <row r="396" customFormat="false" ht="13.5" hidden="false" customHeight="false" outlineLevel="0" collapsed="false">
      <c r="A396" s="1" t="str">
        <f aca="false">IF(对接源_01水果!$C396="","",对接源_01水果!$C396)</f>
        <v/>
      </c>
      <c r="B396" s="1" t="n">
        <f aca="false">IF(A396="",0,IF(MATCH(A396,$A$4:$A$2403,0)=ROW()-3,1,0))</f>
        <v>0</v>
      </c>
      <c r="C396" s="1" t="n">
        <f aca="false">N(C395)+B396</f>
        <v>13</v>
      </c>
      <c r="K396" s="1" t="n">
        <f aca="false">IF(OR($K$1="",对接源_01水果!$C396="",对接源_01水果!$C396&lt;&gt;$K$1,对接源_01水果!$B396=""),0,IF(OR(N(对接源_01水果!$B396)&lt;$K$2,N(对接源_01水果!$B396)&gt;$K$3),0,1))</f>
        <v>0</v>
      </c>
      <c r="L396" s="1" t="n">
        <f aca="false">IF(OR($L$1="",对接源_01水果!$C396="",对接源_01水果!$C396&lt;&gt;$L$1,对接源_01水果!$B396=""),0,IF(OR(N(对接源_01水果!$B396)&lt;$L$2,N(对接源_01水果!$B396)&gt;$L$3),0,1))</f>
        <v>0</v>
      </c>
      <c r="M396" s="1" t="n">
        <f aca="false">IF(OR($M$1="",对接源_01水果!$C396="",对接源_01水果!$C396&lt;&gt;$M$1,对接源_01水果!$B396=""),0,IF(OR(N(对接源_01水果!$B396)&lt;$M$2,N(对接源_01水果!$B396)&gt;$M$3),0,1))</f>
        <v>0</v>
      </c>
      <c r="N396" s="1" t="n">
        <f aca="false">IF(OR($N$1="",对接源_01水果!$C396="",对接源_01水果!$C396&lt;&gt;$N$1,对接源_01水果!$B396=""),0,IF(OR(N(对接源_01水果!$B396)&lt;$N$2,N(对接源_01水果!$B396)&gt;$N$3),0,1))</f>
        <v>0</v>
      </c>
      <c r="P396" s="1" t="n">
        <f aca="false">IF(AND($K396=1,AND(对接源_01水果!$X396="公司筐",N(对接源_01水果!$T396)&lt;&gt;0)),1,0)</f>
        <v>0</v>
      </c>
      <c r="Q396" s="1" t="n">
        <f aca="false">N(Q395)+$P396</f>
        <v>3</v>
      </c>
      <c r="R396" s="1" t="n">
        <f aca="false">IF(AND($K396=1,AND(对接源_01水果!$X396="公司筐",N(对接源_01水果!$U396)&lt;&gt;0)),1,0)</f>
        <v>0</v>
      </c>
      <c r="S396" s="1" t="n">
        <f aca="false">N(S395)+$R396</f>
        <v>0</v>
      </c>
      <c r="T396" s="1" t="n">
        <f aca="false">IF(AND($K396=1,AND(对接源_01水果!$X396="公司筐",N(对接源_01水果!$V396)&lt;&gt;0)),1,0)</f>
        <v>0</v>
      </c>
      <c r="U396" s="1" t="n">
        <f aca="false">N(U395)+$T396</f>
        <v>28</v>
      </c>
      <c r="V396" s="1" t="n">
        <f aca="false">IF(AND($L396=1,AND(对接源_01水果!$X396="自备筐",N(对接源_01水果!$V396)&lt;&gt;0)),1,0)</f>
        <v>0</v>
      </c>
      <c r="W396" s="1" t="n">
        <f aca="false">N(W395)+$V396</f>
        <v>7</v>
      </c>
      <c r="X396" s="1" t="n">
        <f aca="false">IF(AND($L396=1,AND(对接源_01水果!$X396="自备筐",N(对接源_01水果!$T396)&lt;&gt;0)),1,0)</f>
        <v>0</v>
      </c>
      <c r="Y396" s="1" t="n">
        <f aca="false">N(Y395)+$X396</f>
        <v>0</v>
      </c>
      <c r="Z396" s="1" t="n">
        <f aca="false">IF(AND($M396=1,对接源_01水果!$D396="原料入库"),1,0)</f>
        <v>0</v>
      </c>
      <c r="AA396" s="1" t="n">
        <f aca="false">N(AA395)+$Z396</f>
        <v>30</v>
      </c>
      <c r="AB396" s="1" t="n">
        <f aca="false">IF(AND($M396=1,LEFT(对接源_01水果!$D396,4)="原料出库"),1,0)</f>
        <v>0</v>
      </c>
      <c r="AC396" s="1" t="n">
        <f aca="false">N(AC395)+$AB396</f>
        <v>19</v>
      </c>
      <c r="AD396" s="1" t="n">
        <f aca="false">IF(AND($M396=1,LEFT(对接源_01水果!$D396,4)="成品出库"),1,0)</f>
        <v>0</v>
      </c>
      <c r="AE396" s="1" t="n">
        <f aca="false">N(AE395)+$AD396</f>
        <v>38</v>
      </c>
      <c r="AF396" s="1" t="n">
        <f aca="false">IF(AND($N396=1,AND(LEFT(对接源_01水果!$D396,4)="包装物料",N(对接源_01水果!$K396)&lt;&gt;0)),1,0)</f>
        <v>0</v>
      </c>
      <c r="AG396" s="90" t="str">
        <f aca="false">IF(对接源_01水果!$AC396="","",对接源_01水果!$AC396)</f>
        <v/>
      </c>
      <c r="AH396" s="1" t="n">
        <f aca="false">IF(AND($N396=1,AND(LEFT(对接源_01水果!$D396,3)="周转筐",N(对接源_01水果!$K396)&lt;&gt;0)),1,0)</f>
        <v>0</v>
      </c>
      <c r="AI396" s="90" t="n">
        <f aca="false">IF(AG396="",0,IF(MATCH(AG396,$AG$4:$AG$1203,0)=ROW()-3,1,0))</f>
        <v>0</v>
      </c>
      <c r="AJ396" s="90" t="n">
        <f aca="false">N(AJ395)+AI396</f>
        <v>4</v>
      </c>
      <c r="AK396" s="1" t="n">
        <f aca="false">N(AK395)+$AJ396</f>
        <v>444</v>
      </c>
    </row>
    <row r="397" customFormat="false" ht="13.5" hidden="false" customHeight="false" outlineLevel="0" collapsed="false">
      <c r="A397" s="1" t="str">
        <f aca="false">IF(对接源_01水果!$C397="","",对接源_01水果!$C397)</f>
        <v/>
      </c>
      <c r="B397" s="1" t="n">
        <f aca="false">IF(A397="",0,IF(MATCH(A397,$A$4:$A$2403,0)=ROW()-3,1,0))</f>
        <v>0</v>
      </c>
      <c r="C397" s="1" t="n">
        <f aca="false">N(C396)+B397</f>
        <v>13</v>
      </c>
      <c r="K397" s="1" t="n">
        <f aca="false">IF(OR($K$1="",对接源_01水果!$C397="",对接源_01水果!$C397&lt;&gt;$K$1,对接源_01水果!$B397=""),0,IF(OR(N(对接源_01水果!$B397)&lt;$K$2,N(对接源_01水果!$B397)&gt;$K$3),0,1))</f>
        <v>0</v>
      </c>
      <c r="L397" s="1" t="n">
        <f aca="false">IF(OR($L$1="",对接源_01水果!$C397="",对接源_01水果!$C397&lt;&gt;$L$1,对接源_01水果!$B397=""),0,IF(OR(N(对接源_01水果!$B397)&lt;$L$2,N(对接源_01水果!$B397)&gt;$L$3),0,1))</f>
        <v>0</v>
      </c>
      <c r="M397" s="1" t="n">
        <f aca="false">IF(OR($M$1="",对接源_01水果!$C397="",对接源_01水果!$C397&lt;&gt;$M$1,对接源_01水果!$B397=""),0,IF(OR(N(对接源_01水果!$B397)&lt;$M$2,N(对接源_01水果!$B397)&gt;$M$3),0,1))</f>
        <v>0</v>
      </c>
      <c r="N397" s="1" t="n">
        <f aca="false">IF(OR($N$1="",对接源_01水果!$C397="",对接源_01水果!$C397&lt;&gt;$N$1,对接源_01水果!$B397=""),0,IF(OR(N(对接源_01水果!$B397)&lt;$N$2,N(对接源_01水果!$B397)&gt;$N$3),0,1))</f>
        <v>0</v>
      </c>
      <c r="P397" s="1" t="n">
        <f aca="false">IF(AND($K397=1,AND(对接源_01水果!$X397="公司筐",N(对接源_01水果!$T397)&lt;&gt;0)),1,0)</f>
        <v>0</v>
      </c>
      <c r="Q397" s="1" t="n">
        <f aca="false">N(Q396)+$P397</f>
        <v>3</v>
      </c>
      <c r="R397" s="1" t="n">
        <f aca="false">IF(AND($K397=1,AND(对接源_01水果!$X397="公司筐",N(对接源_01水果!$U397)&lt;&gt;0)),1,0)</f>
        <v>0</v>
      </c>
      <c r="S397" s="1" t="n">
        <f aca="false">N(S396)+$R397</f>
        <v>0</v>
      </c>
      <c r="T397" s="1" t="n">
        <f aca="false">IF(AND($K397=1,AND(对接源_01水果!$X397="公司筐",N(对接源_01水果!$V397)&lt;&gt;0)),1,0)</f>
        <v>0</v>
      </c>
      <c r="U397" s="1" t="n">
        <f aca="false">N(U396)+$T397</f>
        <v>28</v>
      </c>
      <c r="V397" s="1" t="n">
        <f aca="false">IF(AND($L397=1,AND(对接源_01水果!$X397="自备筐",N(对接源_01水果!$V397)&lt;&gt;0)),1,0)</f>
        <v>0</v>
      </c>
      <c r="W397" s="1" t="n">
        <f aca="false">N(W396)+$V397</f>
        <v>7</v>
      </c>
      <c r="X397" s="1" t="n">
        <f aca="false">IF(AND($L397=1,AND(对接源_01水果!$X397="自备筐",N(对接源_01水果!$T397)&lt;&gt;0)),1,0)</f>
        <v>0</v>
      </c>
      <c r="Y397" s="1" t="n">
        <f aca="false">N(Y396)+$X397</f>
        <v>0</v>
      </c>
      <c r="Z397" s="1" t="n">
        <f aca="false">IF(AND($M397=1,对接源_01水果!$D397="原料入库"),1,0)</f>
        <v>0</v>
      </c>
      <c r="AA397" s="1" t="n">
        <f aca="false">N(AA396)+$Z397</f>
        <v>30</v>
      </c>
      <c r="AB397" s="1" t="n">
        <f aca="false">IF(AND($M397=1,LEFT(对接源_01水果!$D397,4)="原料出库"),1,0)</f>
        <v>0</v>
      </c>
      <c r="AC397" s="1" t="n">
        <f aca="false">N(AC396)+$AB397</f>
        <v>19</v>
      </c>
      <c r="AD397" s="1" t="n">
        <f aca="false">IF(AND($M397=1,LEFT(对接源_01水果!$D397,4)="成品出库"),1,0)</f>
        <v>0</v>
      </c>
      <c r="AE397" s="1" t="n">
        <f aca="false">N(AE396)+$AD397</f>
        <v>38</v>
      </c>
      <c r="AF397" s="1" t="n">
        <f aca="false">IF(AND($N397=1,AND(LEFT(对接源_01水果!$D397,4)="包装物料",N(对接源_01水果!$K397)&lt;&gt;0)),1,0)</f>
        <v>0</v>
      </c>
      <c r="AG397" s="90" t="str">
        <f aca="false">IF(对接源_01水果!$AC397="","",对接源_01水果!$AC397)</f>
        <v/>
      </c>
      <c r="AH397" s="1" t="n">
        <f aca="false">IF(AND($N397=1,AND(LEFT(对接源_01水果!$D397,3)="周转筐",N(对接源_01水果!$K397)&lt;&gt;0)),1,0)</f>
        <v>0</v>
      </c>
      <c r="AI397" s="90" t="n">
        <f aca="false">IF(AG397="",0,IF(MATCH(AG397,$AG$4:$AG$1203,0)=ROW()-3,1,0))</f>
        <v>0</v>
      </c>
      <c r="AJ397" s="90" t="n">
        <f aca="false">N(AJ396)+AI397</f>
        <v>4</v>
      </c>
      <c r="AK397" s="1" t="n">
        <f aca="false">N(AK396)+$AJ397</f>
        <v>448</v>
      </c>
    </row>
    <row r="398" customFormat="false" ht="13.5" hidden="false" customHeight="false" outlineLevel="0" collapsed="false">
      <c r="A398" s="1" t="str">
        <f aca="false">IF(对接源_01水果!$C398="","",对接源_01水果!$C398)</f>
        <v/>
      </c>
      <c r="B398" s="1" t="n">
        <f aca="false">IF(A398="",0,IF(MATCH(A398,$A$4:$A$2403,0)=ROW()-3,1,0))</f>
        <v>0</v>
      </c>
      <c r="C398" s="1" t="n">
        <f aca="false">N(C397)+B398</f>
        <v>13</v>
      </c>
      <c r="K398" s="1" t="n">
        <f aca="false">IF(OR($K$1="",对接源_01水果!$C398="",对接源_01水果!$C398&lt;&gt;$K$1,对接源_01水果!$B398=""),0,IF(OR(N(对接源_01水果!$B398)&lt;$K$2,N(对接源_01水果!$B398)&gt;$K$3),0,1))</f>
        <v>0</v>
      </c>
      <c r="L398" s="1" t="n">
        <f aca="false">IF(OR($L$1="",对接源_01水果!$C398="",对接源_01水果!$C398&lt;&gt;$L$1,对接源_01水果!$B398=""),0,IF(OR(N(对接源_01水果!$B398)&lt;$L$2,N(对接源_01水果!$B398)&gt;$L$3),0,1))</f>
        <v>0</v>
      </c>
      <c r="M398" s="1" t="n">
        <f aca="false">IF(OR($M$1="",对接源_01水果!$C398="",对接源_01水果!$C398&lt;&gt;$M$1,对接源_01水果!$B398=""),0,IF(OR(N(对接源_01水果!$B398)&lt;$M$2,N(对接源_01水果!$B398)&gt;$M$3),0,1))</f>
        <v>0</v>
      </c>
      <c r="N398" s="1" t="n">
        <f aca="false">IF(OR($N$1="",对接源_01水果!$C398="",对接源_01水果!$C398&lt;&gt;$N$1,对接源_01水果!$B398=""),0,IF(OR(N(对接源_01水果!$B398)&lt;$N$2,N(对接源_01水果!$B398)&gt;$N$3),0,1))</f>
        <v>0</v>
      </c>
      <c r="P398" s="1" t="n">
        <f aca="false">IF(AND($K398=1,AND(对接源_01水果!$X398="公司筐",N(对接源_01水果!$T398)&lt;&gt;0)),1,0)</f>
        <v>0</v>
      </c>
      <c r="Q398" s="1" t="n">
        <f aca="false">N(Q397)+$P398</f>
        <v>3</v>
      </c>
      <c r="R398" s="1" t="n">
        <f aca="false">IF(AND($K398=1,AND(对接源_01水果!$X398="公司筐",N(对接源_01水果!$U398)&lt;&gt;0)),1,0)</f>
        <v>0</v>
      </c>
      <c r="S398" s="1" t="n">
        <f aca="false">N(S397)+$R398</f>
        <v>0</v>
      </c>
      <c r="T398" s="1" t="n">
        <f aca="false">IF(AND($K398=1,AND(对接源_01水果!$X398="公司筐",N(对接源_01水果!$V398)&lt;&gt;0)),1,0)</f>
        <v>0</v>
      </c>
      <c r="U398" s="1" t="n">
        <f aca="false">N(U397)+$T398</f>
        <v>28</v>
      </c>
      <c r="V398" s="1" t="n">
        <f aca="false">IF(AND($L398=1,AND(对接源_01水果!$X398="自备筐",N(对接源_01水果!$V398)&lt;&gt;0)),1,0)</f>
        <v>0</v>
      </c>
      <c r="W398" s="1" t="n">
        <f aca="false">N(W397)+$V398</f>
        <v>7</v>
      </c>
      <c r="X398" s="1" t="n">
        <f aca="false">IF(AND($L398=1,AND(对接源_01水果!$X398="自备筐",N(对接源_01水果!$T398)&lt;&gt;0)),1,0)</f>
        <v>0</v>
      </c>
      <c r="Y398" s="1" t="n">
        <f aca="false">N(Y397)+$X398</f>
        <v>0</v>
      </c>
      <c r="Z398" s="1" t="n">
        <f aca="false">IF(AND($M398=1,对接源_01水果!$D398="原料入库"),1,0)</f>
        <v>0</v>
      </c>
      <c r="AA398" s="1" t="n">
        <f aca="false">N(AA397)+$Z398</f>
        <v>30</v>
      </c>
      <c r="AB398" s="1" t="n">
        <f aca="false">IF(AND($M398=1,LEFT(对接源_01水果!$D398,4)="原料出库"),1,0)</f>
        <v>0</v>
      </c>
      <c r="AC398" s="1" t="n">
        <f aca="false">N(AC397)+$AB398</f>
        <v>19</v>
      </c>
      <c r="AD398" s="1" t="n">
        <f aca="false">IF(AND($M398=1,LEFT(对接源_01水果!$D398,4)="成品出库"),1,0)</f>
        <v>0</v>
      </c>
      <c r="AE398" s="1" t="n">
        <f aca="false">N(AE397)+$AD398</f>
        <v>38</v>
      </c>
      <c r="AF398" s="1" t="n">
        <f aca="false">IF(AND($N398=1,AND(LEFT(对接源_01水果!$D398,4)="包装物料",N(对接源_01水果!$K398)&lt;&gt;0)),1,0)</f>
        <v>0</v>
      </c>
      <c r="AG398" s="90" t="str">
        <f aca="false">IF(对接源_01水果!$AC398="","",对接源_01水果!$AC398)</f>
        <v/>
      </c>
      <c r="AH398" s="1" t="n">
        <f aca="false">IF(AND($N398=1,AND(LEFT(对接源_01水果!$D398,3)="周转筐",N(对接源_01水果!$K398)&lt;&gt;0)),1,0)</f>
        <v>0</v>
      </c>
      <c r="AI398" s="90" t="n">
        <f aca="false">IF(AG398="",0,IF(MATCH(AG398,$AG$4:$AG$1203,0)=ROW()-3,1,0))</f>
        <v>0</v>
      </c>
      <c r="AJ398" s="90" t="n">
        <f aca="false">N(AJ397)+AI398</f>
        <v>4</v>
      </c>
      <c r="AK398" s="1" t="n">
        <f aca="false">N(AK397)+$AJ398</f>
        <v>452</v>
      </c>
    </row>
    <row r="399" customFormat="false" ht="13.5" hidden="false" customHeight="false" outlineLevel="0" collapsed="false">
      <c r="A399" s="1" t="str">
        <f aca="false">IF(对接源_01水果!$C399="","",对接源_01水果!$C399)</f>
        <v/>
      </c>
      <c r="B399" s="1" t="n">
        <f aca="false">IF(A399="",0,IF(MATCH(A399,$A$4:$A$2403,0)=ROW()-3,1,0))</f>
        <v>0</v>
      </c>
      <c r="C399" s="1" t="n">
        <f aca="false">N(C398)+B399</f>
        <v>13</v>
      </c>
      <c r="K399" s="1" t="n">
        <f aca="false">IF(OR($K$1="",对接源_01水果!$C399="",对接源_01水果!$C399&lt;&gt;$K$1,对接源_01水果!$B399=""),0,IF(OR(N(对接源_01水果!$B399)&lt;$K$2,N(对接源_01水果!$B399)&gt;$K$3),0,1))</f>
        <v>0</v>
      </c>
      <c r="L399" s="1" t="n">
        <f aca="false">IF(OR($L$1="",对接源_01水果!$C399="",对接源_01水果!$C399&lt;&gt;$L$1,对接源_01水果!$B399=""),0,IF(OR(N(对接源_01水果!$B399)&lt;$L$2,N(对接源_01水果!$B399)&gt;$L$3),0,1))</f>
        <v>0</v>
      </c>
      <c r="M399" s="1" t="n">
        <f aca="false">IF(OR($M$1="",对接源_01水果!$C399="",对接源_01水果!$C399&lt;&gt;$M$1,对接源_01水果!$B399=""),0,IF(OR(N(对接源_01水果!$B399)&lt;$M$2,N(对接源_01水果!$B399)&gt;$M$3),0,1))</f>
        <v>0</v>
      </c>
      <c r="N399" s="1" t="n">
        <f aca="false">IF(OR($N$1="",对接源_01水果!$C399="",对接源_01水果!$C399&lt;&gt;$N$1,对接源_01水果!$B399=""),0,IF(OR(N(对接源_01水果!$B399)&lt;$N$2,N(对接源_01水果!$B399)&gt;$N$3),0,1))</f>
        <v>0</v>
      </c>
      <c r="P399" s="1" t="n">
        <f aca="false">IF(AND($K399=1,AND(对接源_01水果!$X399="公司筐",N(对接源_01水果!$T399)&lt;&gt;0)),1,0)</f>
        <v>0</v>
      </c>
      <c r="Q399" s="1" t="n">
        <f aca="false">N(Q398)+$P399</f>
        <v>3</v>
      </c>
      <c r="R399" s="1" t="n">
        <f aca="false">IF(AND($K399=1,AND(对接源_01水果!$X399="公司筐",N(对接源_01水果!$U399)&lt;&gt;0)),1,0)</f>
        <v>0</v>
      </c>
      <c r="S399" s="1" t="n">
        <f aca="false">N(S398)+$R399</f>
        <v>0</v>
      </c>
      <c r="T399" s="1" t="n">
        <f aca="false">IF(AND($K399=1,AND(对接源_01水果!$X399="公司筐",N(对接源_01水果!$V399)&lt;&gt;0)),1,0)</f>
        <v>0</v>
      </c>
      <c r="U399" s="1" t="n">
        <f aca="false">N(U398)+$T399</f>
        <v>28</v>
      </c>
      <c r="V399" s="1" t="n">
        <f aca="false">IF(AND($L399=1,AND(对接源_01水果!$X399="自备筐",N(对接源_01水果!$V399)&lt;&gt;0)),1,0)</f>
        <v>0</v>
      </c>
      <c r="W399" s="1" t="n">
        <f aca="false">N(W398)+$V399</f>
        <v>7</v>
      </c>
      <c r="X399" s="1" t="n">
        <f aca="false">IF(AND($L399=1,AND(对接源_01水果!$X399="自备筐",N(对接源_01水果!$T399)&lt;&gt;0)),1,0)</f>
        <v>0</v>
      </c>
      <c r="Y399" s="1" t="n">
        <f aca="false">N(Y398)+$X399</f>
        <v>0</v>
      </c>
      <c r="Z399" s="1" t="n">
        <f aca="false">IF(AND($M399=1,对接源_01水果!$D399="原料入库"),1,0)</f>
        <v>0</v>
      </c>
      <c r="AA399" s="1" t="n">
        <f aca="false">N(AA398)+$Z399</f>
        <v>30</v>
      </c>
      <c r="AB399" s="1" t="n">
        <f aca="false">IF(AND($M399=1,LEFT(对接源_01水果!$D399,4)="原料出库"),1,0)</f>
        <v>0</v>
      </c>
      <c r="AC399" s="1" t="n">
        <f aca="false">N(AC398)+$AB399</f>
        <v>19</v>
      </c>
      <c r="AD399" s="1" t="n">
        <f aca="false">IF(AND($M399=1,LEFT(对接源_01水果!$D399,4)="成品出库"),1,0)</f>
        <v>0</v>
      </c>
      <c r="AE399" s="1" t="n">
        <f aca="false">N(AE398)+$AD399</f>
        <v>38</v>
      </c>
      <c r="AF399" s="1" t="n">
        <f aca="false">IF(AND($N399=1,AND(LEFT(对接源_01水果!$D399,4)="包装物料",N(对接源_01水果!$K399)&lt;&gt;0)),1,0)</f>
        <v>0</v>
      </c>
      <c r="AG399" s="90" t="str">
        <f aca="false">IF(对接源_01水果!$AC399="","",对接源_01水果!$AC399)</f>
        <v/>
      </c>
      <c r="AH399" s="1" t="n">
        <f aca="false">IF(AND($N399=1,AND(LEFT(对接源_01水果!$D399,3)="周转筐",N(对接源_01水果!$K399)&lt;&gt;0)),1,0)</f>
        <v>0</v>
      </c>
      <c r="AI399" s="90" t="n">
        <f aca="false">IF(AG399="",0,IF(MATCH(AG399,$AG$4:$AG$1203,0)=ROW()-3,1,0))</f>
        <v>0</v>
      </c>
      <c r="AJ399" s="90" t="n">
        <f aca="false">N(AJ398)+AI399</f>
        <v>4</v>
      </c>
      <c r="AK399" s="1" t="n">
        <f aca="false">N(AK398)+$AJ399</f>
        <v>456</v>
      </c>
    </row>
    <row r="400" customFormat="false" ht="13.5" hidden="false" customHeight="false" outlineLevel="0" collapsed="false">
      <c r="A400" s="1" t="str">
        <f aca="false">IF(对接源_01水果!$C400="","",对接源_01水果!$C400)</f>
        <v/>
      </c>
      <c r="B400" s="1" t="n">
        <f aca="false">IF(A400="",0,IF(MATCH(A400,$A$4:$A$2403,0)=ROW()-3,1,0))</f>
        <v>0</v>
      </c>
      <c r="C400" s="1" t="n">
        <f aca="false">N(C399)+B400</f>
        <v>13</v>
      </c>
      <c r="K400" s="1" t="n">
        <f aca="false">IF(OR($K$1="",对接源_01水果!$C400="",对接源_01水果!$C400&lt;&gt;$K$1,对接源_01水果!$B400=""),0,IF(OR(N(对接源_01水果!$B400)&lt;$K$2,N(对接源_01水果!$B400)&gt;$K$3),0,1))</f>
        <v>0</v>
      </c>
      <c r="L400" s="1" t="n">
        <f aca="false">IF(OR($L$1="",对接源_01水果!$C400="",对接源_01水果!$C400&lt;&gt;$L$1,对接源_01水果!$B400=""),0,IF(OR(N(对接源_01水果!$B400)&lt;$L$2,N(对接源_01水果!$B400)&gt;$L$3),0,1))</f>
        <v>0</v>
      </c>
      <c r="M400" s="1" t="n">
        <f aca="false">IF(OR($M$1="",对接源_01水果!$C400="",对接源_01水果!$C400&lt;&gt;$M$1,对接源_01水果!$B400=""),0,IF(OR(N(对接源_01水果!$B400)&lt;$M$2,N(对接源_01水果!$B400)&gt;$M$3),0,1))</f>
        <v>0</v>
      </c>
      <c r="N400" s="1" t="n">
        <f aca="false">IF(OR($N$1="",对接源_01水果!$C400="",对接源_01水果!$C400&lt;&gt;$N$1,对接源_01水果!$B400=""),0,IF(OR(N(对接源_01水果!$B400)&lt;$N$2,N(对接源_01水果!$B400)&gt;$N$3),0,1))</f>
        <v>0</v>
      </c>
      <c r="P400" s="1" t="n">
        <f aca="false">IF(AND($K400=1,AND(对接源_01水果!$X400="公司筐",N(对接源_01水果!$T400)&lt;&gt;0)),1,0)</f>
        <v>0</v>
      </c>
      <c r="Q400" s="1" t="n">
        <f aca="false">N(Q399)+$P400</f>
        <v>3</v>
      </c>
      <c r="R400" s="1" t="n">
        <f aca="false">IF(AND($K400=1,AND(对接源_01水果!$X400="公司筐",N(对接源_01水果!$U400)&lt;&gt;0)),1,0)</f>
        <v>0</v>
      </c>
      <c r="S400" s="1" t="n">
        <f aca="false">N(S399)+$R400</f>
        <v>0</v>
      </c>
      <c r="T400" s="1" t="n">
        <f aca="false">IF(AND($K400=1,AND(对接源_01水果!$X400="公司筐",N(对接源_01水果!$V400)&lt;&gt;0)),1,0)</f>
        <v>0</v>
      </c>
      <c r="U400" s="1" t="n">
        <f aca="false">N(U399)+$T400</f>
        <v>28</v>
      </c>
      <c r="V400" s="1" t="n">
        <f aca="false">IF(AND($L400=1,AND(对接源_01水果!$X400="自备筐",N(对接源_01水果!$V400)&lt;&gt;0)),1,0)</f>
        <v>0</v>
      </c>
      <c r="W400" s="1" t="n">
        <f aca="false">N(W399)+$V400</f>
        <v>7</v>
      </c>
      <c r="X400" s="1" t="n">
        <f aca="false">IF(AND($L400=1,AND(对接源_01水果!$X400="自备筐",N(对接源_01水果!$T400)&lt;&gt;0)),1,0)</f>
        <v>0</v>
      </c>
      <c r="Y400" s="1" t="n">
        <f aca="false">N(Y399)+$X400</f>
        <v>0</v>
      </c>
      <c r="Z400" s="1" t="n">
        <f aca="false">IF(AND($M400=1,对接源_01水果!$D400="原料入库"),1,0)</f>
        <v>0</v>
      </c>
      <c r="AA400" s="1" t="n">
        <f aca="false">N(AA399)+$Z400</f>
        <v>30</v>
      </c>
      <c r="AB400" s="1" t="n">
        <f aca="false">IF(AND($M400=1,LEFT(对接源_01水果!$D400,4)="原料出库"),1,0)</f>
        <v>0</v>
      </c>
      <c r="AC400" s="1" t="n">
        <f aca="false">N(AC399)+$AB400</f>
        <v>19</v>
      </c>
      <c r="AD400" s="1" t="n">
        <f aca="false">IF(AND($M400=1,LEFT(对接源_01水果!$D400,4)="成品出库"),1,0)</f>
        <v>0</v>
      </c>
      <c r="AE400" s="1" t="n">
        <f aca="false">N(AE399)+$AD400</f>
        <v>38</v>
      </c>
      <c r="AF400" s="1" t="n">
        <f aca="false">IF(AND($N400=1,AND(LEFT(对接源_01水果!$D400,4)="包装物料",N(对接源_01水果!$K400)&lt;&gt;0)),1,0)</f>
        <v>0</v>
      </c>
      <c r="AG400" s="90" t="str">
        <f aca="false">IF(对接源_01水果!$AC400="","",对接源_01水果!$AC400)</f>
        <v/>
      </c>
      <c r="AH400" s="1" t="n">
        <f aca="false">IF(AND($N400=1,AND(LEFT(对接源_01水果!$D400,3)="周转筐",N(对接源_01水果!$K400)&lt;&gt;0)),1,0)</f>
        <v>0</v>
      </c>
      <c r="AI400" s="90" t="n">
        <f aca="false">IF(AG400="",0,IF(MATCH(AG400,$AG$4:$AG$1203,0)=ROW()-3,1,0))</f>
        <v>0</v>
      </c>
      <c r="AJ400" s="90" t="n">
        <f aca="false">N(AJ399)+AI400</f>
        <v>4</v>
      </c>
      <c r="AK400" s="1" t="n">
        <f aca="false">N(AK399)+$AJ400</f>
        <v>460</v>
      </c>
    </row>
    <row r="401" customFormat="false" ht="13.5" hidden="false" customHeight="false" outlineLevel="0" collapsed="false">
      <c r="A401" s="1" t="str">
        <f aca="false">IF(对接源_01水果!$C401="","",对接源_01水果!$C401)</f>
        <v/>
      </c>
      <c r="B401" s="1" t="n">
        <f aca="false">IF(A401="",0,IF(MATCH(A401,$A$4:$A$2403,0)=ROW()-3,1,0))</f>
        <v>0</v>
      </c>
      <c r="C401" s="1" t="n">
        <f aca="false">N(C400)+B401</f>
        <v>13</v>
      </c>
      <c r="K401" s="1" t="n">
        <f aca="false">IF(OR($K$1="",对接源_01水果!$C401="",对接源_01水果!$C401&lt;&gt;$K$1,对接源_01水果!$B401=""),0,IF(OR(N(对接源_01水果!$B401)&lt;$K$2,N(对接源_01水果!$B401)&gt;$K$3),0,1))</f>
        <v>0</v>
      </c>
      <c r="L401" s="1" t="n">
        <f aca="false">IF(OR($L$1="",对接源_01水果!$C401="",对接源_01水果!$C401&lt;&gt;$L$1,对接源_01水果!$B401=""),0,IF(OR(N(对接源_01水果!$B401)&lt;$L$2,N(对接源_01水果!$B401)&gt;$L$3),0,1))</f>
        <v>0</v>
      </c>
      <c r="M401" s="1" t="n">
        <f aca="false">IF(OR($M$1="",对接源_01水果!$C401="",对接源_01水果!$C401&lt;&gt;$M$1,对接源_01水果!$B401=""),0,IF(OR(N(对接源_01水果!$B401)&lt;$M$2,N(对接源_01水果!$B401)&gt;$M$3),0,1))</f>
        <v>0</v>
      </c>
      <c r="N401" s="1" t="n">
        <f aca="false">IF(OR($N$1="",对接源_01水果!$C401="",对接源_01水果!$C401&lt;&gt;$N$1,对接源_01水果!$B401=""),0,IF(OR(N(对接源_01水果!$B401)&lt;$N$2,N(对接源_01水果!$B401)&gt;$N$3),0,1))</f>
        <v>0</v>
      </c>
      <c r="P401" s="1" t="n">
        <f aca="false">IF(AND($K401=1,AND(对接源_01水果!$X401="公司筐",N(对接源_01水果!$T401)&lt;&gt;0)),1,0)</f>
        <v>0</v>
      </c>
      <c r="Q401" s="1" t="n">
        <f aca="false">N(Q400)+$P401</f>
        <v>3</v>
      </c>
      <c r="R401" s="1" t="n">
        <f aca="false">IF(AND($K401=1,AND(对接源_01水果!$X401="公司筐",N(对接源_01水果!$U401)&lt;&gt;0)),1,0)</f>
        <v>0</v>
      </c>
      <c r="S401" s="1" t="n">
        <f aca="false">N(S400)+$R401</f>
        <v>0</v>
      </c>
      <c r="T401" s="1" t="n">
        <f aca="false">IF(AND($K401=1,AND(对接源_01水果!$X401="公司筐",N(对接源_01水果!$V401)&lt;&gt;0)),1,0)</f>
        <v>0</v>
      </c>
      <c r="U401" s="1" t="n">
        <f aca="false">N(U400)+$T401</f>
        <v>28</v>
      </c>
      <c r="V401" s="1" t="n">
        <f aca="false">IF(AND($L401=1,AND(对接源_01水果!$X401="自备筐",N(对接源_01水果!$V401)&lt;&gt;0)),1,0)</f>
        <v>0</v>
      </c>
      <c r="W401" s="1" t="n">
        <f aca="false">N(W400)+$V401</f>
        <v>7</v>
      </c>
      <c r="X401" s="1" t="n">
        <f aca="false">IF(AND($L401=1,AND(对接源_01水果!$X401="自备筐",N(对接源_01水果!$T401)&lt;&gt;0)),1,0)</f>
        <v>0</v>
      </c>
      <c r="Y401" s="1" t="n">
        <f aca="false">N(Y400)+$X401</f>
        <v>0</v>
      </c>
      <c r="Z401" s="1" t="n">
        <f aca="false">IF(AND($M401=1,对接源_01水果!$D401="原料入库"),1,0)</f>
        <v>0</v>
      </c>
      <c r="AA401" s="1" t="n">
        <f aca="false">N(AA400)+$Z401</f>
        <v>30</v>
      </c>
      <c r="AB401" s="1" t="n">
        <f aca="false">IF(AND($M401=1,LEFT(对接源_01水果!$D401,4)="原料出库"),1,0)</f>
        <v>0</v>
      </c>
      <c r="AC401" s="1" t="n">
        <f aca="false">N(AC400)+$AB401</f>
        <v>19</v>
      </c>
      <c r="AD401" s="1" t="n">
        <f aca="false">IF(AND($M401=1,LEFT(对接源_01水果!$D401,4)="成品出库"),1,0)</f>
        <v>0</v>
      </c>
      <c r="AE401" s="1" t="n">
        <f aca="false">N(AE400)+$AD401</f>
        <v>38</v>
      </c>
      <c r="AF401" s="1" t="n">
        <f aca="false">IF(AND($N401=1,AND(LEFT(对接源_01水果!$D401,4)="包装物料",N(对接源_01水果!$K401)&lt;&gt;0)),1,0)</f>
        <v>0</v>
      </c>
      <c r="AG401" s="90" t="str">
        <f aca="false">IF(对接源_01水果!$AC401="","",对接源_01水果!$AC401)</f>
        <v/>
      </c>
      <c r="AH401" s="1" t="n">
        <f aca="false">IF(AND($N401=1,AND(LEFT(对接源_01水果!$D401,3)="周转筐",N(对接源_01水果!$K401)&lt;&gt;0)),1,0)</f>
        <v>0</v>
      </c>
      <c r="AI401" s="90" t="n">
        <f aca="false">IF(AG401="",0,IF(MATCH(AG401,$AG$4:$AG$1203,0)=ROW()-3,1,0))</f>
        <v>0</v>
      </c>
      <c r="AJ401" s="90" t="n">
        <f aca="false">N(AJ400)+AI401</f>
        <v>4</v>
      </c>
      <c r="AK401" s="1" t="n">
        <f aca="false">N(AK400)+$AJ401</f>
        <v>464</v>
      </c>
    </row>
    <row r="402" customFormat="false" ht="13.5" hidden="false" customHeight="false" outlineLevel="0" collapsed="false">
      <c r="A402" s="1" t="str">
        <f aca="false">IF(对接源_01水果!$C402="","",对接源_01水果!$C402)</f>
        <v/>
      </c>
      <c r="B402" s="1" t="n">
        <f aca="false">IF(A402="",0,IF(MATCH(A402,$A$4:$A$2403,0)=ROW()-3,1,0))</f>
        <v>0</v>
      </c>
      <c r="C402" s="1" t="n">
        <f aca="false">N(C401)+B402</f>
        <v>13</v>
      </c>
      <c r="K402" s="1" t="n">
        <f aca="false">IF(OR($K$1="",对接源_01水果!$C402="",对接源_01水果!$C402&lt;&gt;$K$1,对接源_01水果!$B402=""),0,IF(OR(N(对接源_01水果!$B402)&lt;$K$2,N(对接源_01水果!$B402)&gt;$K$3),0,1))</f>
        <v>0</v>
      </c>
      <c r="L402" s="1" t="n">
        <f aca="false">IF(OR($L$1="",对接源_01水果!$C402="",对接源_01水果!$C402&lt;&gt;$L$1,对接源_01水果!$B402=""),0,IF(OR(N(对接源_01水果!$B402)&lt;$L$2,N(对接源_01水果!$B402)&gt;$L$3),0,1))</f>
        <v>0</v>
      </c>
      <c r="M402" s="1" t="n">
        <f aca="false">IF(OR($M$1="",对接源_01水果!$C402="",对接源_01水果!$C402&lt;&gt;$M$1,对接源_01水果!$B402=""),0,IF(OR(N(对接源_01水果!$B402)&lt;$M$2,N(对接源_01水果!$B402)&gt;$M$3),0,1))</f>
        <v>0</v>
      </c>
      <c r="N402" s="1" t="n">
        <f aca="false">IF(OR($N$1="",对接源_01水果!$C402="",对接源_01水果!$C402&lt;&gt;$N$1,对接源_01水果!$B402=""),0,IF(OR(N(对接源_01水果!$B402)&lt;$N$2,N(对接源_01水果!$B402)&gt;$N$3),0,1))</f>
        <v>0</v>
      </c>
      <c r="P402" s="1" t="n">
        <f aca="false">IF(AND($K402=1,AND(对接源_01水果!$X402="公司筐",N(对接源_01水果!$T402)&lt;&gt;0)),1,0)</f>
        <v>0</v>
      </c>
      <c r="Q402" s="1" t="n">
        <f aca="false">N(Q401)+$P402</f>
        <v>3</v>
      </c>
      <c r="R402" s="1" t="n">
        <f aca="false">IF(AND($K402=1,AND(对接源_01水果!$X402="公司筐",N(对接源_01水果!$U402)&lt;&gt;0)),1,0)</f>
        <v>0</v>
      </c>
      <c r="S402" s="1" t="n">
        <f aca="false">N(S401)+$R402</f>
        <v>0</v>
      </c>
      <c r="T402" s="1" t="n">
        <f aca="false">IF(AND($K402=1,AND(对接源_01水果!$X402="公司筐",N(对接源_01水果!$V402)&lt;&gt;0)),1,0)</f>
        <v>0</v>
      </c>
      <c r="U402" s="1" t="n">
        <f aca="false">N(U401)+$T402</f>
        <v>28</v>
      </c>
      <c r="V402" s="1" t="n">
        <f aca="false">IF(AND($L402=1,AND(对接源_01水果!$X402="自备筐",N(对接源_01水果!$V402)&lt;&gt;0)),1,0)</f>
        <v>0</v>
      </c>
      <c r="W402" s="1" t="n">
        <f aca="false">N(W401)+$V402</f>
        <v>7</v>
      </c>
      <c r="X402" s="1" t="n">
        <f aca="false">IF(AND($L402=1,AND(对接源_01水果!$X402="自备筐",N(对接源_01水果!$T402)&lt;&gt;0)),1,0)</f>
        <v>0</v>
      </c>
      <c r="Y402" s="1" t="n">
        <f aca="false">N(Y401)+$X402</f>
        <v>0</v>
      </c>
      <c r="Z402" s="1" t="n">
        <f aca="false">IF(AND($M402=1,对接源_01水果!$D402="原料入库"),1,0)</f>
        <v>0</v>
      </c>
      <c r="AA402" s="1" t="n">
        <f aca="false">N(AA401)+$Z402</f>
        <v>30</v>
      </c>
      <c r="AB402" s="1" t="n">
        <f aca="false">IF(AND($M402=1,LEFT(对接源_01水果!$D402,4)="原料出库"),1,0)</f>
        <v>0</v>
      </c>
      <c r="AC402" s="1" t="n">
        <f aca="false">N(AC401)+$AB402</f>
        <v>19</v>
      </c>
      <c r="AD402" s="1" t="n">
        <f aca="false">IF(AND($M402=1,LEFT(对接源_01水果!$D402,4)="成品出库"),1,0)</f>
        <v>0</v>
      </c>
      <c r="AE402" s="1" t="n">
        <f aca="false">N(AE401)+$AD402</f>
        <v>38</v>
      </c>
      <c r="AF402" s="1" t="n">
        <f aca="false">IF(AND($N402=1,AND(LEFT(对接源_01水果!$D402,4)="包装物料",N(对接源_01水果!$K402)&lt;&gt;0)),1,0)</f>
        <v>0</v>
      </c>
      <c r="AG402" s="90" t="str">
        <f aca="false">IF(对接源_01水果!$AC402="","",对接源_01水果!$AC402)</f>
        <v/>
      </c>
      <c r="AH402" s="1" t="n">
        <f aca="false">IF(AND($N402=1,AND(LEFT(对接源_01水果!$D402,3)="周转筐",N(对接源_01水果!$K402)&lt;&gt;0)),1,0)</f>
        <v>0</v>
      </c>
      <c r="AI402" s="90" t="n">
        <f aca="false">IF(AG402="",0,IF(MATCH(AG402,$AG$4:$AG$1203,0)=ROW()-3,1,0))</f>
        <v>0</v>
      </c>
      <c r="AJ402" s="90" t="n">
        <f aca="false">N(AJ401)+AI402</f>
        <v>4</v>
      </c>
      <c r="AK402" s="1" t="n">
        <f aca="false">N(AK401)+$AJ402</f>
        <v>468</v>
      </c>
    </row>
    <row r="403" customFormat="false" ht="13.5" hidden="false" customHeight="false" outlineLevel="0" collapsed="false">
      <c r="A403" s="1" t="str">
        <f aca="false">IF(对接源_01水果!$C403="","",对接源_01水果!$C403)</f>
        <v/>
      </c>
      <c r="B403" s="1" t="n">
        <f aca="false">IF(A403="",0,IF(MATCH(A403,$A$4:$A$2403,0)=ROW()-3,1,0))</f>
        <v>0</v>
      </c>
      <c r="C403" s="1" t="n">
        <f aca="false">N(C402)+B403</f>
        <v>13</v>
      </c>
      <c r="K403" s="1" t="n">
        <f aca="false">IF(OR($K$1="",对接源_01水果!$C403="",对接源_01水果!$C403&lt;&gt;$K$1,对接源_01水果!$B403=""),0,IF(OR(N(对接源_01水果!$B403)&lt;$K$2,N(对接源_01水果!$B403)&gt;$K$3),0,1))</f>
        <v>0</v>
      </c>
      <c r="L403" s="1" t="n">
        <f aca="false">IF(OR($L$1="",对接源_01水果!$C403="",对接源_01水果!$C403&lt;&gt;$L$1,对接源_01水果!$B403=""),0,IF(OR(N(对接源_01水果!$B403)&lt;$L$2,N(对接源_01水果!$B403)&gt;$L$3),0,1))</f>
        <v>0</v>
      </c>
      <c r="M403" s="1" t="n">
        <f aca="false">IF(OR($M$1="",对接源_01水果!$C403="",对接源_01水果!$C403&lt;&gt;$M$1,对接源_01水果!$B403=""),0,IF(OR(N(对接源_01水果!$B403)&lt;$M$2,N(对接源_01水果!$B403)&gt;$M$3),0,1))</f>
        <v>0</v>
      </c>
      <c r="N403" s="1" t="n">
        <f aca="false">IF(OR($N$1="",对接源_01水果!$C403="",对接源_01水果!$C403&lt;&gt;$N$1,对接源_01水果!$B403=""),0,IF(OR(N(对接源_01水果!$B403)&lt;$N$2,N(对接源_01水果!$B403)&gt;$N$3),0,1))</f>
        <v>0</v>
      </c>
      <c r="P403" s="1" t="n">
        <f aca="false">IF(AND($K403=1,AND(对接源_01水果!$X403="公司筐",N(对接源_01水果!$T403)&lt;&gt;0)),1,0)</f>
        <v>0</v>
      </c>
      <c r="Q403" s="1" t="n">
        <f aca="false">N(Q402)+$P403</f>
        <v>3</v>
      </c>
      <c r="R403" s="1" t="n">
        <f aca="false">IF(AND($K403=1,AND(对接源_01水果!$X403="公司筐",N(对接源_01水果!$U403)&lt;&gt;0)),1,0)</f>
        <v>0</v>
      </c>
      <c r="S403" s="1" t="n">
        <f aca="false">N(S402)+$R403</f>
        <v>0</v>
      </c>
      <c r="T403" s="1" t="n">
        <f aca="false">IF(AND($K403=1,AND(对接源_01水果!$X403="公司筐",N(对接源_01水果!$V403)&lt;&gt;0)),1,0)</f>
        <v>0</v>
      </c>
      <c r="U403" s="1" t="n">
        <f aca="false">N(U402)+$T403</f>
        <v>28</v>
      </c>
      <c r="V403" s="1" t="n">
        <f aca="false">IF(AND($L403=1,AND(对接源_01水果!$X403="自备筐",N(对接源_01水果!$V403)&lt;&gt;0)),1,0)</f>
        <v>0</v>
      </c>
      <c r="W403" s="1" t="n">
        <f aca="false">N(W402)+$V403</f>
        <v>7</v>
      </c>
      <c r="X403" s="1" t="n">
        <f aca="false">IF(AND($L403=1,AND(对接源_01水果!$X403="自备筐",N(对接源_01水果!$T403)&lt;&gt;0)),1,0)</f>
        <v>0</v>
      </c>
      <c r="Y403" s="1" t="n">
        <f aca="false">N(Y402)+$X403</f>
        <v>0</v>
      </c>
      <c r="Z403" s="1" t="n">
        <f aca="false">IF(AND($M403=1,对接源_01水果!$D403="原料入库"),1,0)</f>
        <v>0</v>
      </c>
      <c r="AA403" s="1" t="n">
        <f aca="false">N(AA402)+$Z403</f>
        <v>30</v>
      </c>
      <c r="AB403" s="1" t="n">
        <f aca="false">IF(AND($M403=1,LEFT(对接源_01水果!$D403,4)="原料出库"),1,0)</f>
        <v>0</v>
      </c>
      <c r="AC403" s="1" t="n">
        <f aca="false">N(AC402)+$AB403</f>
        <v>19</v>
      </c>
      <c r="AD403" s="1" t="n">
        <f aca="false">IF(AND($M403=1,LEFT(对接源_01水果!$D403,4)="成品出库"),1,0)</f>
        <v>0</v>
      </c>
      <c r="AE403" s="1" t="n">
        <f aca="false">N(AE402)+$AD403</f>
        <v>38</v>
      </c>
      <c r="AF403" s="1" t="n">
        <f aca="false">IF(AND($N403=1,AND(LEFT(对接源_01水果!$D403,4)="包装物料",N(对接源_01水果!$K403)&lt;&gt;0)),1,0)</f>
        <v>0</v>
      </c>
      <c r="AG403" s="90" t="str">
        <f aca="false">IF(对接源_01水果!$AC403="","",对接源_01水果!$AC403)</f>
        <v/>
      </c>
      <c r="AH403" s="1" t="n">
        <f aca="false">IF(AND($N403=1,AND(LEFT(对接源_01水果!$D403,3)="周转筐",N(对接源_01水果!$K403)&lt;&gt;0)),1,0)</f>
        <v>0</v>
      </c>
      <c r="AI403" s="90" t="n">
        <f aca="false">IF(AG403="",0,IF(MATCH(AG403,$AG$4:$AG$1203,0)=ROW()-3,1,0))</f>
        <v>0</v>
      </c>
      <c r="AJ403" s="90" t="n">
        <f aca="false">N(AJ402)+AI403</f>
        <v>4</v>
      </c>
      <c r="AK403" s="1" t="n">
        <f aca="false">N(AK402)+$AJ403</f>
        <v>472</v>
      </c>
    </row>
    <row r="404" customFormat="false" ht="13.5" hidden="false" customHeight="false" outlineLevel="0" collapsed="false">
      <c r="A404" s="1" t="str">
        <f aca="false">IF(对接源_01水果!$C404="","",对接源_01水果!$C404)</f>
        <v/>
      </c>
      <c r="B404" s="1" t="n">
        <f aca="false">IF(A404="",0,IF(MATCH(A404,$A$4:$A$2403,0)=ROW()-3,1,0))</f>
        <v>0</v>
      </c>
      <c r="C404" s="1" t="n">
        <f aca="false">N(C403)+B404</f>
        <v>13</v>
      </c>
      <c r="K404" s="1" t="n">
        <f aca="false">IF(OR($K$1="",对接源_01水果!$C404="",对接源_01水果!$C404&lt;&gt;$K$1,对接源_01水果!$B404=""),0,IF(OR(N(对接源_01水果!$B404)&lt;$K$2,N(对接源_01水果!$B404)&gt;$K$3),0,1))</f>
        <v>0</v>
      </c>
      <c r="L404" s="1" t="n">
        <f aca="false">IF(OR($L$1="",对接源_01水果!$C404="",对接源_01水果!$C404&lt;&gt;$L$1,对接源_01水果!$B404=""),0,IF(OR(N(对接源_01水果!$B404)&lt;$L$2,N(对接源_01水果!$B404)&gt;$L$3),0,1))</f>
        <v>0</v>
      </c>
      <c r="M404" s="1" t="n">
        <f aca="false">IF(OR($M$1="",对接源_01水果!$C404="",对接源_01水果!$C404&lt;&gt;$M$1,对接源_01水果!$B404=""),0,IF(OR(N(对接源_01水果!$B404)&lt;$M$2,N(对接源_01水果!$B404)&gt;$M$3),0,1))</f>
        <v>0</v>
      </c>
      <c r="N404" s="1" t="n">
        <f aca="false">IF(OR($N$1="",对接源_01水果!$C404="",对接源_01水果!$C404&lt;&gt;$N$1,对接源_01水果!$B404=""),0,IF(OR(N(对接源_01水果!$B404)&lt;$N$2,N(对接源_01水果!$B404)&gt;$N$3),0,1))</f>
        <v>0</v>
      </c>
      <c r="P404" s="1" t="n">
        <f aca="false">IF(AND($K404=1,AND(对接源_01水果!$X404="公司筐",N(对接源_01水果!$T404)&lt;&gt;0)),1,0)</f>
        <v>0</v>
      </c>
      <c r="Q404" s="1" t="n">
        <f aca="false">N(Q403)+$P404</f>
        <v>3</v>
      </c>
      <c r="R404" s="1" t="n">
        <f aca="false">IF(AND($K404=1,AND(对接源_01水果!$X404="公司筐",N(对接源_01水果!$U404)&lt;&gt;0)),1,0)</f>
        <v>0</v>
      </c>
      <c r="S404" s="1" t="n">
        <f aca="false">N(S403)+$R404</f>
        <v>0</v>
      </c>
      <c r="T404" s="1" t="n">
        <f aca="false">IF(AND($K404=1,AND(对接源_01水果!$X404="公司筐",N(对接源_01水果!$V404)&lt;&gt;0)),1,0)</f>
        <v>0</v>
      </c>
      <c r="U404" s="1" t="n">
        <f aca="false">N(U403)+$T404</f>
        <v>28</v>
      </c>
      <c r="V404" s="1" t="n">
        <f aca="false">IF(AND($L404=1,AND(对接源_01水果!$X404="自备筐",N(对接源_01水果!$V404)&lt;&gt;0)),1,0)</f>
        <v>0</v>
      </c>
      <c r="W404" s="1" t="n">
        <f aca="false">N(W403)+$V404</f>
        <v>7</v>
      </c>
      <c r="X404" s="1" t="n">
        <f aca="false">IF(AND($L404=1,AND(对接源_01水果!$X404="自备筐",N(对接源_01水果!$T404)&lt;&gt;0)),1,0)</f>
        <v>0</v>
      </c>
      <c r="Y404" s="1" t="n">
        <f aca="false">N(Y403)+$X404</f>
        <v>0</v>
      </c>
      <c r="Z404" s="1" t="n">
        <f aca="false">IF(AND($M404=1,对接源_01水果!$D404="原料入库"),1,0)</f>
        <v>0</v>
      </c>
      <c r="AA404" s="1" t="n">
        <f aca="false">N(AA403)+$Z404</f>
        <v>30</v>
      </c>
      <c r="AB404" s="1" t="n">
        <f aca="false">IF(AND($M404=1,LEFT(对接源_01水果!$D404,4)="原料出库"),1,0)</f>
        <v>0</v>
      </c>
      <c r="AC404" s="1" t="n">
        <f aca="false">N(AC403)+$AB404</f>
        <v>19</v>
      </c>
      <c r="AD404" s="1" t="n">
        <f aca="false">IF(AND($M404=1,LEFT(对接源_01水果!$D404,4)="成品出库"),1,0)</f>
        <v>0</v>
      </c>
      <c r="AE404" s="1" t="n">
        <f aca="false">N(AE403)+$AD404</f>
        <v>38</v>
      </c>
      <c r="AF404" s="1" t="n">
        <f aca="false">IF(AND($N404=1,AND(LEFT(对接源_01水果!$D404,4)="包装物料",N(对接源_01水果!$K404)&lt;&gt;0)),1,0)</f>
        <v>0</v>
      </c>
      <c r="AG404" s="90" t="str">
        <f aca="false">IF(对接源_01水果!$AC404="","",对接源_01水果!$AC404)</f>
        <v/>
      </c>
      <c r="AH404" s="1" t="n">
        <f aca="false">IF(AND($N404=1,AND(LEFT(对接源_01水果!$D404,3)="周转筐",N(对接源_01水果!$K404)&lt;&gt;0)),1,0)</f>
        <v>0</v>
      </c>
      <c r="AI404" s="90" t="n">
        <f aca="false">IF(AG404="",0,IF(MATCH(AG404,$AG$4:$AG$1203,0)=ROW()-3,1,0))</f>
        <v>0</v>
      </c>
      <c r="AJ404" s="90" t="n">
        <f aca="false">N(AJ403)+AI404</f>
        <v>4</v>
      </c>
      <c r="AK404" s="1" t="n">
        <f aca="false">N(AK403)+$AJ404</f>
        <v>476</v>
      </c>
    </row>
    <row r="405" customFormat="false" ht="13.5" hidden="false" customHeight="false" outlineLevel="0" collapsed="false">
      <c r="A405" s="1" t="str">
        <f aca="false">IF(对接源_01水果!$C405="","",对接源_01水果!$C405)</f>
        <v/>
      </c>
      <c r="B405" s="1" t="n">
        <f aca="false">IF(A405="",0,IF(MATCH(A405,$A$4:$A$2403,0)=ROW()-3,1,0))</f>
        <v>0</v>
      </c>
      <c r="C405" s="1" t="n">
        <f aca="false">N(C404)+B405</f>
        <v>13</v>
      </c>
      <c r="K405" s="1" t="n">
        <f aca="false">IF(OR($K$1="",对接源_01水果!$C405="",对接源_01水果!$C405&lt;&gt;$K$1,对接源_01水果!$B405=""),0,IF(OR(N(对接源_01水果!$B405)&lt;$K$2,N(对接源_01水果!$B405)&gt;$K$3),0,1))</f>
        <v>0</v>
      </c>
      <c r="L405" s="1" t="n">
        <f aca="false">IF(OR($L$1="",对接源_01水果!$C405="",对接源_01水果!$C405&lt;&gt;$L$1,对接源_01水果!$B405=""),0,IF(OR(N(对接源_01水果!$B405)&lt;$L$2,N(对接源_01水果!$B405)&gt;$L$3),0,1))</f>
        <v>0</v>
      </c>
      <c r="M405" s="1" t="n">
        <f aca="false">IF(OR($M$1="",对接源_01水果!$C405="",对接源_01水果!$C405&lt;&gt;$M$1,对接源_01水果!$B405=""),0,IF(OR(N(对接源_01水果!$B405)&lt;$M$2,N(对接源_01水果!$B405)&gt;$M$3),0,1))</f>
        <v>0</v>
      </c>
      <c r="N405" s="1" t="n">
        <f aca="false">IF(OR($N$1="",对接源_01水果!$C405="",对接源_01水果!$C405&lt;&gt;$N$1,对接源_01水果!$B405=""),0,IF(OR(N(对接源_01水果!$B405)&lt;$N$2,N(对接源_01水果!$B405)&gt;$N$3),0,1))</f>
        <v>0</v>
      </c>
      <c r="P405" s="1" t="n">
        <f aca="false">IF(AND($K405=1,AND(对接源_01水果!$X405="公司筐",N(对接源_01水果!$T405)&lt;&gt;0)),1,0)</f>
        <v>0</v>
      </c>
      <c r="Q405" s="1" t="n">
        <f aca="false">N(Q404)+$P405</f>
        <v>3</v>
      </c>
      <c r="R405" s="1" t="n">
        <f aca="false">IF(AND($K405=1,AND(对接源_01水果!$X405="公司筐",N(对接源_01水果!$U405)&lt;&gt;0)),1,0)</f>
        <v>0</v>
      </c>
      <c r="S405" s="1" t="n">
        <f aca="false">N(S404)+$R405</f>
        <v>0</v>
      </c>
      <c r="T405" s="1" t="n">
        <f aca="false">IF(AND($K405=1,AND(对接源_01水果!$X405="公司筐",N(对接源_01水果!$V405)&lt;&gt;0)),1,0)</f>
        <v>0</v>
      </c>
      <c r="U405" s="1" t="n">
        <f aca="false">N(U404)+$T405</f>
        <v>28</v>
      </c>
      <c r="V405" s="1" t="n">
        <f aca="false">IF(AND($L405=1,AND(对接源_01水果!$X405="自备筐",N(对接源_01水果!$V405)&lt;&gt;0)),1,0)</f>
        <v>0</v>
      </c>
      <c r="W405" s="1" t="n">
        <f aca="false">N(W404)+$V405</f>
        <v>7</v>
      </c>
      <c r="X405" s="1" t="n">
        <f aca="false">IF(AND($L405=1,AND(对接源_01水果!$X405="自备筐",N(对接源_01水果!$T405)&lt;&gt;0)),1,0)</f>
        <v>0</v>
      </c>
      <c r="Y405" s="1" t="n">
        <f aca="false">N(Y404)+$X405</f>
        <v>0</v>
      </c>
      <c r="Z405" s="1" t="n">
        <f aca="false">IF(AND($M405=1,对接源_01水果!$D405="原料入库"),1,0)</f>
        <v>0</v>
      </c>
      <c r="AA405" s="1" t="n">
        <f aca="false">N(AA404)+$Z405</f>
        <v>30</v>
      </c>
      <c r="AB405" s="1" t="n">
        <f aca="false">IF(AND($M405=1,LEFT(对接源_01水果!$D405,4)="原料出库"),1,0)</f>
        <v>0</v>
      </c>
      <c r="AC405" s="1" t="n">
        <f aca="false">N(AC404)+$AB405</f>
        <v>19</v>
      </c>
      <c r="AD405" s="1" t="n">
        <f aca="false">IF(AND($M405=1,LEFT(对接源_01水果!$D405,4)="成品出库"),1,0)</f>
        <v>0</v>
      </c>
      <c r="AE405" s="1" t="n">
        <f aca="false">N(AE404)+$AD405</f>
        <v>38</v>
      </c>
      <c r="AF405" s="1" t="n">
        <f aca="false">IF(AND($N405=1,AND(LEFT(对接源_01水果!$D405,4)="包装物料",N(对接源_01水果!$K405)&lt;&gt;0)),1,0)</f>
        <v>0</v>
      </c>
      <c r="AG405" s="90" t="str">
        <f aca="false">IF(对接源_01水果!$AC405="","",对接源_01水果!$AC405)</f>
        <v/>
      </c>
      <c r="AH405" s="1" t="n">
        <f aca="false">IF(AND($N405=1,AND(LEFT(对接源_01水果!$D405,3)="周转筐",N(对接源_01水果!$K405)&lt;&gt;0)),1,0)</f>
        <v>0</v>
      </c>
      <c r="AI405" s="90" t="n">
        <f aca="false">IF(AG405="",0,IF(MATCH(AG405,$AG$4:$AG$1203,0)=ROW()-3,1,0))</f>
        <v>0</v>
      </c>
      <c r="AJ405" s="90" t="n">
        <f aca="false">N(AJ404)+AI405</f>
        <v>4</v>
      </c>
      <c r="AK405" s="1" t="n">
        <f aca="false">N(AK404)+$AJ405</f>
        <v>480</v>
      </c>
    </row>
    <row r="406" customFormat="false" ht="13.5" hidden="false" customHeight="false" outlineLevel="0" collapsed="false">
      <c r="A406" s="1" t="str">
        <f aca="false">IF(对接源_01水果!$C406="","",对接源_01水果!$C406)</f>
        <v/>
      </c>
      <c r="B406" s="1" t="n">
        <f aca="false">IF(A406="",0,IF(MATCH(A406,$A$4:$A$2403,0)=ROW()-3,1,0))</f>
        <v>0</v>
      </c>
      <c r="C406" s="1" t="n">
        <f aca="false">N(C405)+B406</f>
        <v>13</v>
      </c>
      <c r="K406" s="1" t="n">
        <f aca="false">IF(OR($K$1="",对接源_01水果!$C406="",对接源_01水果!$C406&lt;&gt;$K$1,对接源_01水果!$B406=""),0,IF(OR(N(对接源_01水果!$B406)&lt;$K$2,N(对接源_01水果!$B406)&gt;$K$3),0,1))</f>
        <v>0</v>
      </c>
      <c r="L406" s="1" t="n">
        <f aca="false">IF(OR($L$1="",对接源_01水果!$C406="",对接源_01水果!$C406&lt;&gt;$L$1,对接源_01水果!$B406=""),0,IF(OR(N(对接源_01水果!$B406)&lt;$L$2,N(对接源_01水果!$B406)&gt;$L$3),0,1))</f>
        <v>0</v>
      </c>
      <c r="M406" s="1" t="n">
        <f aca="false">IF(OR($M$1="",对接源_01水果!$C406="",对接源_01水果!$C406&lt;&gt;$M$1,对接源_01水果!$B406=""),0,IF(OR(N(对接源_01水果!$B406)&lt;$M$2,N(对接源_01水果!$B406)&gt;$M$3),0,1))</f>
        <v>0</v>
      </c>
      <c r="N406" s="1" t="n">
        <f aca="false">IF(OR($N$1="",对接源_01水果!$C406="",对接源_01水果!$C406&lt;&gt;$N$1,对接源_01水果!$B406=""),0,IF(OR(N(对接源_01水果!$B406)&lt;$N$2,N(对接源_01水果!$B406)&gt;$N$3),0,1))</f>
        <v>0</v>
      </c>
      <c r="P406" s="1" t="n">
        <f aca="false">IF(AND($K406=1,AND(对接源_01水果!$X406="公司筐",N(对接源_01水果!$T406)&lt;&gt;0)),1,0)</f>
        <v>0</v>
      </c>
      <c r="Q406" s="1" t="n">
        <f aca="false">N(Q405)+$P406</f>
        <v>3</v>
      </c>
      <c r="R406" s="1" t="n">
        <f aca="false">IF(AND($K406=1,AND(对接源_01水果!$X406="公司筐",N(对接源_01水果!$U406)&lt;&gt;0)),1,0)</f>
        <v>0</v>
      </c>
      <c r="S406" s="1" t="n">
        <f aca="false">N(S405)+$R406</f>
        <v>0</v>
      </c>
      <c r="T406" s="1" t="n">
        <f aca="false">IF(AND($K406=1,AND(对接源_01水果!$X406="公司筐",N(对接源_01水果!$V406)&lt;&gt;0)),1,0)</f>
        <v>0</v>
      </c>
      <c r="U406" s="1" t="n">
        <f aca="false">N(U405)+$T406</f>
        <v>28</v>
      </c>
      <c r="V406" s="1" t="n">
        <f aca="false">IF(AND($L406=1,AND(对接源_01水果!$X406="自备筐",N(对接源_01水果!$V406)&lt;&gt;0)),1,0)</f>
        <v>0</v>
      </c>
      <c r="W406" s="1" t="n">
        <f aca="false">N(W405)+$V406</f>
        <v>7</v>
      </c>
      <c r="X406" s="1" t="n">
        <f aca="false">IF(AND($L406=1,AND(对接源_01水果!$X406="自备筐",N(对接源_01水果!$T406)&lt;&gt;0)),1,0)</f>
        <v>0</v>
      </c>
      <c r="Y406" s="1" t="n">
        <f aca="false">N(Y405)+$X406</f>
        <v>0</v>
      </c>
      <c r="Z406" s="1" t="n">
        <f aca="false">IF(AND($M406=1,对接源_01水果!$D406="原料入库"),1,0)</f>
        <v>0</v>
      </c>
      <c r="AA406" s="1" t="n">
        <f aca="false">N(AA405)+$Z406</f>
        <v>30</v>
      </c>
      <c r="AB406" s="1" t="n">
        <f aca="false">IF(AND($M406=1,LEFT(对接源_01水果!$D406,4)="原料出库"),1,0)</f>
        <v>0</v>
      </c>
      <c r="AC406" s="1" t="n">
        <f aca="false">N(AC405)+$AB406</f>
        <v>19</v>
      </c>
      <c r="AD406" s="1" t="n">
        <f aca="false">IF(AND($M406=1,LEFT(对接源_01水果!$D406,4)="成品出库"),1,0)</f>
        <v>0</v>
      </c>
      <c r="AE406" s="1" t="n">
        <f aca="false">N(AE405)+$AD406</f>
        <v>38</v>
      </c>
      <c r="AF406" s="1" t="n">
        <f aca="false">IF(AND($N406=1,AND(LEFT(对接源_01水果!$D406,4)="包装物料",N(对接源_01水果!$K406)&lt;&gt;0)),1,0)</f>
        <v>0</v>
      </c>
      <c r="AG406" s="90" t="str">
        <f aca="false">IF(对接源_01水果!$AC406="","",对接源_01水果!$AC406)</f>
        <v/>
      </c>
      <c r="AH406" s="1" t="n">
        <f aca="false">IF(AND($N406=1,AND(LEFT(对接源_01水果!$D406,3)="周转筐",N(对接源_01水果!$K406)&lt;&gt;0)),1,0)</f>
        <v>0</v>
      </c>
      <c r="AI406" s="90" t="n">
        <f aca="false">IF(AG406="",0,IF(MATCH(AG406,$AG$4:$AG$1203,0)=ROW()-3,1,0))</f>
        <v>0</v>
      </c>
      <c r="AJ406" s="90" t="n">
        <f aca="false">N(AJ405)+AI406</f>
        <v>4</v>
      </c>
      <c r="AK406" s="1" t="n">
        <f aca="false">N(AK405)+$AJ406</f>
        <v>484</v>
      </c>
    </row>
    <row r="407" customFormat="false" ht="13.5" hidden="false" customHeight="false" outlineLevel="0" collapsed="false">
      <c r="A407" s="1" t="str">
        <f aca="false">IF(对接源_01水果!$C407="","",对接源_01水果!$C407)</f>
        <v/>
      </c>
      <c r="B407" s="1" t="n">
        <f aca="false">IF(A407="",0,IF(MATCH(A407,$A$4:$A$2403,0)=ROW()-3,1,0))</f>
        <v>0</v>
      </c>
      <c r="C407" s="1" t="n">
        <f aca="false">N(C406)+B407</f>
        <v>13</v>
      </c>
      <c r="K407" s="1" t="n">
        <f aca="false">IF(OR($K$1="",对接源_01水果!$C407="",对接源_01水果!$C407&lt;&gt;$K$1,对接源_01水果!$B407=""),0,IF(OR(N(对接源_01水果!$B407)&lt;$K$2,N(对接源_01水果!$B407)&gt;$K$3),0,1))</f>
        <v>0</v>
      </c>
      <c r="L407" s="1" t="n">
        <f aca="false">IF(OR($L$1="",对接源_01水果!$C407="",对接源_01水果!$C407&lt;&gt;$L$1,对接源_01水果!$B407=""),0,IF(OR(N(对接源_01水果!$B407)&lt;$L$2,N(对接源_01水果!$B407)&gt;$L$3),0,1))</f>
        <v>0</v>
      </c>
      <c r="M407" s="1" t="n">
        <f aca="false">IF(OR($M$1="",对接源_01水果!$C407="",对接源_01水果!$C407&lt;&gt;$M$1,对接源_01水果!$B407=""),0,IF(OR(N(对接源_01水果!$B407)&lt;$M$2,N(对接源_01水果!$B407)&gt;$M$3),0,1))</f>
        <v>0</v>
      </c>
      <c r="N407" s="1" t="n">
        <f aca="false">IF(OR($N$1="",对接源_01水果!$C407="",对接源_01水果!$C407&lt;&gt;$N$1,对接源_01水果!$B407=""),0,IF(OR(N(对接源_01水果!$B407)&lt;$N$2,N(对接源_01水果!$B407)&gt;$N$3),0,1))</f>
        <v>0</v>
      </c>
      <c r="P407" s="1" t="n">
        <f aca="false">IF(AND($K407=1,AND(对接源_01水果!$X407="公司筐",N(对接源_01水果!$T407)&lt;&gt;0)),1,0)</f>
        <v>0</v>
      </c>
      <c r="Q407" s="1" t="n">
        <f aca="false">N(Q406)+$P407</f>
        <v>3</v>
      </c>
      <c r="R407" s="1" t="n">
        <f aca="false">IF(AND($K407=1,AND(对接源_01水果!$X407="公司筐",N(对接源_01水果!$U407)&lt;&gt;0)),1,0)</f>
        <v>0</v>
      </c>
      <c r="S407" s="1" t="n">
        <f aca="false">N(S406)+$R407</f>
        <v>0</v>
      </c>
      <c r="T407" s="1" t="n">
        <f aca="false">IF(AND($K407=1,AND(对接源_01水果!$X407="公司筐",N(对接源_01水果!$V407)&lt;&gt;0)),1,0)</f>
        <v>0</v>
      </c>
      <c r="U407" s="1" t="n">
        <f aca="false">N(U406)+$T407</f>
        <v>28</v>
      </c>
      <c r="V407" s="1" t="n">
        <f aca="false">IF(AND($L407=1,AND(对接源_01水果!$X407="自备筐",N(对接源_01水果!$V407)&lt;&gt;0)),1,0)</f>
        <v>0</v>
      </c>
      <c r="W407" s="1" t="n">
        <f aca="false">N(W406)+$V407</f>
        <v>7</v>
      </c>
      <c r="X407" s="1" t="n">
        <f aca="false">IF(AND($L407=1,AND(对接源_01水果!$X407="自备筐",N(对接源_01水果!$T407)&lt;&gt;0)),1,0)</f>
        <v>0</v>
      </c>
      <c r="Y407" s="1" t="n">
        <f aca="false">N(Y406)+$X407</f>
        <v>0</v>
      </c>
      <c r="Z407" s="1" t="n">
        <f aca="false">IF(AND($M407=1,对接源_01水果!$D407="原料入库"),1,0)</f>
        <v>0</v>
      </c>
      <c r="AA407" s="1" t="n">
        <f aca="false">N(AA406)+$Z407</f>
        <v>30</v>
      </c>
      <c r="AB407" s="1" t="n">
        <f aca="false">IF(AND($M407=1,LEFT(对接源_01水果!$D407,4)="原料出库"),1,0)</f>
        <v>0</v>
      </c>
      <c r="AC407" s="1" t="n">
        <f aca="false">N(AC406)+$AB407</f>
        <v>19</v>
      </c>
      <c r="AD407" s="1" t="n">
        <f aca="false">IF(AND($M407=1,LEFT(对接源_01水果!$D407,4)="成品出库"),1,0)</f>
        <v>0</v>
      </c>
      <c r="AE407" s="1" t="n">
        <f aca="false">N(AE406)+$AD407</f>
        <v>38</v>
      </c>
      <c r="AF407" s="1" t="n">
        <f aca="false">IF(AND($N407=1,AND(LEFT(对接源_01水果!$D407,4)="包装物料",N(对接源_01水果!$K407)&lt;&gt;0)),1,0)</f>
        <v>0</v>
      </c>
      <c r="AG407" s="90" t="str">
        <f aca="false">IF(对接源_01水果!$AC407="","",对接源_01水果!$AC407)</f>
        <v/>
      </c>
      <c r="AH407" s="1" t="n">
        <f aca="false">IF(AND($N407=1,AND(LEFT(对接源_01水果!$D407,3)="周转筐",N(对接源_01水果!$K407)&lt;&gt;0)),1,0)</f>
        <v>0</v>
      </c>
      <c r="AI407" s="90" t="n">
        <f aca="false">IF(AG407="",0,IF(MATCH(AG407,$AG$4:$AG$1203,0)=ROW()-3,1,0))</f>
        <v>0</v>
      </c>
      <c r="AJ407" s="90" t="n">
        <f aca="false">N(AJ406)+AI407</f>
        <v>4</v>
      </c>
      <c r="AK407" s="1" t="n">
        <f aca="false">N(AK406)+$AJ407</f>
        <v>488</v>
      </c>
    </row>
    <row r="408" customFormat="false" ht="13.5" hidden="false" customHeight="false" outlineLevel="0" collapsed="false">
      <c r="A408" s="1" t="str">
        <f aca="false">IF(对接源_01水果!$C408="","",对接源_01水果!$C408)</f>
        <v/>
      </c>
      <c r="B408" s="1" t="n">
        <f aca="false">IF(A408="",0,IF(MATCH(A408,$A$4:$A$2403,0)=ROW()-3,1,0))</f>
        <v>0</v>
      </c>
      <c r="C408" s="1" t="n">
        <f aca="false">N(C407)+B408</f>
        <v>13</v>
      </c>
      <c r="K408" s="1" t="n">
        <f aca="false">IF(OR($K$1="",对接源_01水果!$C408="",对接源_01水果!$C408&lt;&gt;$K$1,对接源_01水果!$B408=""),0,IF(OR(N(对接源_01水果!$B408)&lt;$K$2,N(对接源_01水果!$B408)&gt;$K$3),0,1))</f>
        <v>0</v>
      </c>
      <c r="L408" s="1" t="n">
        <f aca="false">IF(OR($L$1="",对接源_01水果!$C408="",对接源_01水果!$C408&lt;&gt;$L$1,对接源_01水果!$B408=""),0,IF(OR(N(对接源_01水果!$B408)&lt;$L$2,N(对接源_01水果!$B408)&gt;$L$3),0,1))</f>
        <v>0</v>
      </c>
      <c r="M408" s="1" t="n">
        <f aca="false">IF(OR($M$1="",对接源_01水果!$C408="",对接源_01水果!$C408&lt;&gt;$M$1,对接源_01水果!$B408=""),0,IF(OR(N(对接源_01水果!$B408)&lt;$M$2,N(对接源_01水果!$B408)&gt;$M$3),0,1))</f>
        <v>0</v>
      </c>
      <c r="N408" s="1" t="n">
        <f aca="false">IF(OR($N$1="",对接源_01水果!$C408="",对接源_01水果!$C408&lt;&gt;$N$1,对接源_01水果!$B408=""),0,IF(OR(N(对接源_01水果!$B408)&lt;$N$2,N(对接源_01水果!$B408)&gt;$N$3),0,1))</f>
        <v>0</v>
      </c>
      <c r="P408" s="1" t="n">
        <f aca="false">IF(AND($K408=1,AND(对接源_01水果!$X408="公司筐",N(对接源_01水果!$T408)&lt;&gt;0)),1,0)</f>
        <v>0</v>
      </c>
      <c r="Q408" s="1" t="n">
        <f aca="false">N(Q407)+$P408</f>
        <v>3</v>
      </c>
      <c r="R408" s="1" t="n">
        <f aca="false">IF(AND($K408=1,AND(对接源_01水果!$X408="公司筐",N(对接源_01水果!$U408)&lt;&gt;0)),1,0)</f>
        <v>0</v>
      </c>
      <c r="S408" s="1" t="n">
        <f aca="false">N(S407)+$R408</f>
        <v>0</v>
      </c>
      <c r="T408" s="1" t="n">
        <f aca="false">IF(AND($K408=1,AND(对接源_01水果!$X408="公司筐",N(对接源_01水果!$V408)&lt;&gt;0)),1,0)</f>
        <v>0</v>
      </c>
      <c r="U408" s="1" t="n">
        <f aca="false">N(U407)+$T408</f>
        <v>28</v>
      </c>
      <c r="V408" s="1" t="n">
        <f aca="false">IF(AND($L408=1,AND(对接源_01水果!$X408="自备筐",N(对接源_01水果!$V408)&lt;&gt;0)),1,0)</f>
        <v>0</v>
      </c>
      <c r="W408" s="1" t="n">
        <f aca="false">N(W407)+$V408</f>
        <v>7</v>
      </c>
      <c r="X408" s="1" t="n">
        <f aca="false">IF(AND($L408=1,AND(对接源_01水果!$X408="自备筐",N(对接源_01水果!$T408)&lt;&gt;0)),1,0)</f>
        <v>0</v>
      </c>
      <c r="Y408" s="1" t="n">
        <f aca="false">N(Y407)+$X408</f>
        <v>0</v>
      </c>
      <c r="Z408" s="1" t="n">
        <f aca="false">IF(AND($M408=1,对接源_01水果!$D408="原料入库"),1,0)</f>
        <v>0</v>
      </c>
      <c r="AA408" s="1" t="n">
        <f aca="false">N(AA407)+$Z408</f>
        <v>30</v>
      </c>
      <c r="AB408" s="1" t="n">
        <f aca="false">IF(AND($M408=1,LEFT(对接源_01水果!$D408,4)="原料出库"),1,0)</f>
        <v>0</v>
      </c>
      <c r="AC408" s="1" t="n">
        <f aca="false">N(AC407)+$AB408</f>
        <v>19</v>
      </c>
      <c r="AD408" s="1" t="n">
        <f aca="false">IF(AND($M408=1,LEFT(对接源_01水果!$D408,4)="成品出库"),1,0)</f>
        <v>0</v>
      </c>
      <c r="AE408" s="1" t="n">
        <f aca="false">N(AE407)+$AD408</f>
        <v>38</v>
      </c>
      <c r="AF408" s="1" t="n">
        <f aca="false">IF(AND($N408=1,AND(LEFT(对接源_01水果!$D408,4)="包装物料",N(对接源_01水果!$K408)&lt;&gt;0)),1,0)</f>
        <v>0</v>
      </c>
      <c r="AG408" s="90" t="str">
        <f aca="false">IF(对接源_01水果!$AC408="","",对接源_01水果!$AC408)</f>
        <v/>
      </c>
      <c r="AH408" s="1" t="n">
        <f aca="false">IF(AND($N408=1,AND(LEFT(对接源_01水果!$D408,3)="周转筐",N(对接源_01水果!$K408)&lt;&gt;0)),1,0)</f>
        <v>0</v>
      </c>
      <c r="AI408" s="90" t="n">
        <f aca="false">IF(AG408="",0,IF(MATCH(AG408,$AG$4:$AG$1203,0)=ROW()-3,1,0))</f>
        <v>0</v>
      </c>
      <c r="AJ408" s="90" t="n">
        <f aca="false">N(AJ407)+AI408</f>
        <v>4</v>
      </c>
      <c r="AK408" s="1" t="n">
        <f aca="false">N(AK407)+$AJ408</f>
        <v>492</v>
      </c>
    </row>
    <row r="409" customFormat="false" ht="13.5" hidden="false" customHeight="false" outlineLevel="0" collapsed="false">
      <c r="A409" s="1" t="str">
        <f aca="false">IF(对接源_01水果!$C409="","",对接源_01水果!$C409)</f>
        <v/>
      </c>
      <c r="B409" s="1" t="n">
        <f aca="false">IF(A409="",0,IF(MATCH(A409,$A$4:$A$2403,0)=ROW()-3,1,0))</f>
        <v>0</v>
      </c>
      <c r="C409" s="1" t="n">
        <f aca="false">N(C408)+B409</f>
        <v>13</v>
      </c>
      <c r="K409" s="1" t="n">
        <f aca="false">IF(OR($K$1="",对接源_01水果!$C409="",对接源_01水果!$C409&lt;&gt;$K$1,对接源_01水果!$B409=""),0,IF(OR(N(对接源_01水果!$B409)&lt;$K$2,N(对接源_01水果!$B409)&gt;$K$3),0,1))</f>
        <v>0</v>
      </c>
      <c r="L409" s="1" t="n">
        <f aca="false">IF(OR($L$1="",对接源_01水果!$C409="",对接源_01水果!$C409&lt;&gt;$L$1,对接源_01水果!$B409=""),0,IF(OR(N(对接源_01水果!$B409)&lt;$L$2,N(对接源_01水果!$B409)&gt;$L$3),0,1))</f>
        <v>0</v>
      </c>
      <c r="M409" s="1" t="n">
        <f aca="false">IF(OR($M$1="",对接源_01水果!$C409="",对接源_01水果!$C409&lt;&gt;$M$1,对接源_01水果!$B409=""),0,IF(OR(N(对接源_01水果!$B409)&lt;$M$2,N(对接源_01水果!$B409)&gt;$M$3),0,1))</f>
        <v>0</v>
      </c>
      <c r="N409" s="1" t="n">
        <f aca="false">IF(OR($N$1="",对接源_01水果!$C409="",对接源_01水果!$C409&lt;&gt;$N$1,对接源_01水果!$B409=""),0,IF(OR(N(对接源_01水果!$B409)&lt;$N$2,N(对接源_01水果!$B409)&gt;$N$3),0,1))</f>
        <v>0</v>
      </c>
      <c r="P409" s="1" t="n">
        <f aca="false">IF(AND($K409=1,AND(对接源_01水果!$X409="公司筐",N(对接源_01水果!$T409)&lt;&gt;0)),1,0)</f>
        <v>0</v>
      </c>
      <c r="Q409" s="1" t="n">
        <f aca="false">N(Q408)+$P409</f>
        <v>3</v>
      </c>
      <c r="R409" s="1" t="n">
        <f aca="false">IF(AND($K409=1,AND(对接源_01水果!$X409="公司筐",N(对接源_01水果!$U409)&lt;&gt;0)),1,0)</f>
        <v>0</v>
      </c>
      <c r="S409" s="1" t="n">
        <f aca="false">N(S408)+$R409</f>
        <v>0</v>
      </c>
      <c r="T409" s="1" t="n">
        <f aca="false">IF(AND($K409=1,AND(对接源_01水果!$X409="公司筐",N(对接源_01水果!$V409)&lt;&gt;0)),1,0)</f>
        <v>0</v>
      </c>
      <c r="U409" s="1" t="n">
        <f aca="false">N(U408)+$T409</f>
        <v>28</v>
      </c>
      <c r="V409" s="1" t="n">
        <f aca="false">IF(AND($L409=1,AND(对接源_01水果!$X409="自备筐",N(对接源_01水果!$V409)&lt;&gt;0)),1,0)</f>
        <v>0</v>
      </c>
      <c r="W409" s="1" t="n">
        <f aca="false">N(W408)+$V409</f>
        <v>7</v>
      </c>
      <c r="X409" s="1" t="n">
        <f aca="false">IF(AND($L409=1,AND(对接源_01水果!$X409="自备筐",N(对接源_01水果!$T409)&lt;&gt;0)),1,0)</f>
        <v>0</v>
      </c>
      <c r="Y409" s="1" t="n">
        <f aca="false">N(Y408)+$X409</f>
        <v>0</v>
      </c>
      <c r="Z409" s="1" t="n">
        <f aca="false">IF(AND($M409=1,对接源_01水果!$D409="原料入库"),1,0)</f>
        <v>0</v>
      </c>
      <c r="AA409" s="1" t="n">
        <f aca="false">N(AA408)+$Z409</f>
        <v>30</v>
      </c>
      <c r="AB409" s="1" t="n">
        <f aca="false">IF(AND($M409=1,LEFT(对接源_01水果!$D409,4)="原料出库"),1,0)</f>
        <v>0</v>
      </c>
      <c r="AC409" s="1" t="n">
        <f aca="false">N(AC408)+$AB409</f>
        <v>19</v>
      </c>
      <c r="AD409" s="1" t="n">
        <f aca="false">IF(AND($M409=1,LEFT(对接源_01水果!$D409,4)="成品出库"),1,0)</f>
        <v>0</v>
      </c>
      <c r="AE409" s="1" t="n">
        <f aca="false">N(AE408)+$AD409</f>
        <v>38</v>
      </c>
      <c r="AF409" s="1" t="n">
        <f aca="false">IF(AND($N409=1,AND(LEFT(对接源_01水果!$D409,4)="包装物料",N(对接源_01水果!$K409)&lt;&gt;0)),1,0)</f>
        <v>0</v>
      </c>
      <c r="AG409" s="90" t="str">
        <f aca="false">IF(对接源_01水果!$AC409="","",对接源_01水果!$AC409)</f>
        <v/>
      </c>
      <c r="AH409" s="1" t="n">
        <f aca="false">IF(AND($N409=1,AND(LEFT(对接源_01水果!$D409,3)="周转筐",N(对接源_01水果!$K409)&lt;&gt;0)),1,0)</f>
        <v>0</v>
      </c>
      <c r="AI409" s="90" t="n">
        <f aca="false">IF(AG409="",0,IF(MATCH(AG409,$AG$4:$AG$1203,0)=ROW()-3,1,0))</f>
        <v>0</v>
      </c>
      <c r="AJ409" s="90" t="n">
        <f aca="false">N(AJ408)+AI409</f>
        <v>4</v>
      </c>
      <c r="AK409" s="1" t="n">
        <f aca="false">N(AK408)+$AJ409</f>
        <v>496</v>
      </c>
    </row>
    <row r="410" customFormat="false" ht="13.5" hidden="false" customHeight="false" outlineLevel="0" collapsed="false">
      <c r="A410" s="1" t="str">
        <f aca="false">IF(对接源_01水果!$C410="","",对接源_01水果!$C410)</f>
        <v/>
      </c>
      <c r="B410" s="1" t="n">
        <f aca="false">IF(A410="",0,IF(MATCH(A410,$A$4:$A$2403,0)=ROW()-3,1,0))</f>
        <v>0</v>
      </c>
      <c r="C410" s="1" t="n">
        <f aca="false">N(C409)+B410</f>
        <v>13</v>
      </c>
      <c r="K410" s="1" t="n">
        <f aca="false">IF(OR($K$1="",对接源_01水果!$C410="",对接源_01水果!$C410&lt;&gt;$K$1,对接源_01水果!$B410=""),0,IF(OR(N(对接源_01水果!$B410)&lt;$K$2,N(对接源_01水果!$B410)&gt;$K$3),0,1))</f>
        <v>0</v>
      </c>
      <c r="L410" s="1" t="n">
        <f aca="false">IF(OR($L$1="",对接源_01水果!$C410="",对接源_01水果!$C410&lt;&gt;$L$1,对接源_01水果!$B410=""),0,IF(OR(N(对接源_01水果!$B410)&lt;$L$2,N(对接源_01水果!$B410)&gt;$L$3),0,1))</f>
        <v>0</v>
      </c>
      <c r="M410" s="1" t="n">
        <f aca="false">IF(OR($M$1="",对接源_01水果!$C410="",对接源_01水果!$C410&lt;&gt;$M$1,对接源_01水果!$B410=""),0,IF(OR(N(对接源_01水果!$B410)&lt;$M$2,N(对接源_01水果!$B410)&gt;$M$3),0,1))</f>
        <v>0</v>
      </c>
      <c r="N410" s="1" t="n">
        <f aca="false">IF(OR($N$1="",对接源_01水果!$C410="",对接源_01水果!$C410&lt;&gt;$N$1,对接源_01水果!$B410=""),0,IF(OR(N(对接源_01水果!$B410)&lt;$N$2,N(对接源_01水果!$B410)&gt;$N$3),0,1))</f>
        <v>0</v>
      </c>
      <c r="P410" s="1" t="n">
        <f aca="false">IF(AND($K410=1,AND(对接源_01水果!$X410="公司筐",N(对接源_01水果!$T410)&lt;&gt;0)),1,0)</f>
        <v>0</v>
      </c>
      <c r="Q410" s="1" t="n">
        <f aca="false">N(Q409)+$P410</f>
        <v>3</v>
      </c>
      <c r="R410" s="1" t="n">
        <f aca="false">IF(AND($K410=1,AND(对接源_01水果!$X410="公司筐",N(对接源_01水果!$U410)&lt;&gt;0)),1,0)</f>
        <v>0</v>
      </c>
      <c r="S410" s="1" t="n">
        <f aca="false">N(S409)+$R410</f>
        <v>0</v>
      </c>
      <c r="T410" s="1" t="n">
        <f aca="false">IF(AND($K410=1,AND(对接源_01水果!$X410="公司筐",N(对接源_01水果!$V410)&lt;&gt;0)),1,0)</f>
        <v>0</v>
      </c>
      <c r="U410" s="1" t="n">
        <f aca="false">N(U409)+$T410</f>
        <v>28</v>
      </c>
      <c r="V410" s="1" t="n">
        <f aca="false">IF(AND($L410=1,AND(对接源_01水果!$X410="自备筐",N(对接源_01水果!$V410)&lt;&gt;0)),1,0)</f>
        <v>0</v>
      </c>
      <c r="W410" s="1" t="n">
        <f aca="false">N(W409)+$V410</f>
        <v>7</v>
      </c>
      <c r="X410" s="1" t="n">
        <f aca="false">IF(AND($L410=1,AND(对接源_01水果!$X410="自备筐",N(对接源_01水果!$T410)&lt;&gt;0)),1,0)</f>
        <v>0</v>
      </c>
      <c r="Y410" s="1" t="n">
        <f aca="false">N(Y409)+$X410</f>
        <v>0</v>
      </c>
      <c r="Z410" s="1" t="n">
        <f aca="false">IF(AND($M410=1,对接源_01水果!$D410="原料入库"),1,0)</f>
        <v>0</v>
      </c>
      <c r="AA410" s="1" t="n">
        <f aca="false">N(AA409)+$Z410</f>
        <v>30</v>
      </c>
      <c r="AB410" s="1" t="n">
        <f aca="false">IF(AND($M410=1,LEFT(对接源_01水果!$D410,4)="原料出库"),1,0)</f>
        <v>0</v>
      </c>
      <c r="AC410" s="1" t="n">
        <f aca="false">N(AC409)+$AB410</f>
        <v>19</v>
      </c>
      <c r="AD410" s="1" t="n">
        <f aca="false">IF(AND($M410=1,LEFT(对接源_01水果!$D410,4)="成品出库"),1,0)</f>
        <v>0</v>
      </c>
      <c r="AE410" s="1" t="n">
        <f aca="false">N(AE409)+$AD410</f>
        <v>38</v>
      </c>
      <c r="AF410" s="1" t="n">
        <f aca="false">IF(AND($N410=1,AND(LEFT(对接源_01水果!$D410,4)="包装物料",N(对接源_01水果!$K410)&lt;&gt;0)),1,0)</f>
        <v>0</v>
      </c>
      <c r="AG410" s="90" t="str">
        <f aca="false">IF(对接源_01水果!$AC410="","",对接源_01水果!$AC410)</f>
        <v/>
      </c>
      <c r="AH410" s="1" t="n">
        <f aca="false">IF(AND($N410=1,AND(LEFT(对接源_01水果!$D410,3)="周转筐",N(对接源_01水果!$K410)&lt;&gt;0)),1,0)</f>
        <v>0</v>
      </c>
      <c r="AI410" s="90" t="n">
        <f aca="false">IF(AG410="",0,IF(MATCH(AG410,$AG$4:$AG$1203,0)=ROW()-3,1,0))</f>
        <v>0</v>
      </c>
      <c r="AJ410" s="90" t="n">
        <f aca="false">N(AJ409)+AI410</f>
        <v>4</v>
      </c>
      <c r="AK410" s="1" t="n">
        <f aca="false">N(AK409)+$AJ410</f>
        <v>500</v>
      </c>
    </row>
    <row r="411" customFormat="false" ht="13.5" hidden="false" customHeight="false" outlineLevel="0" collapsed="false">
      <c r="A411" s="1" t="str">
        <f aca="false">IF(对接源_01水果!$C411="","",对接源_01水果!$C411)</f>
        <v/>
      </c>
      <c r="B411" s="1" t="n">
        <f aca="false">IF(A411="",0,IF(MATCH(A411,$A$4:$A$2403,0)=ROW()-3,1,0))</f>
        <v>0</v>
      </c>
      <c r="C411" s="1" t="n">
        <f aca="false">N(C410)+B411</f>
        <v>13</v>
      </c>
      <c r="K411" s="1" t="n">
        <f aca="false">IF(OR($K$1="",对接源_01水果!$C411="",对接源_01水果!$C411&lt;&gt;$K$1,对接源_01水果!$B411=""),0,IF(OR(N(对接源_01水果!$B411)&lt;$K$2,N(对接源_01水果!$B411)&gt;$K$3),0,1))</f>
        <v>0</v>
      </c>
      <c r="L411" s="1" t="n">
        <f aca="false">IF(OR($L$1="",对接源_01水果!$C411="",对接源_01水果!$C411&lt;&gt;$L$1,对接源_01水果!$B411=""),0,IF(OR(N(对接源_01水果!$B411)&lt;$L$2,N(对接源_01水果!$B411)&gt;$L$3),0,1))</f>
        <v>0</v>
      </c>
      <c r="M411" s="1" t="n">
        <f aca="false">IF(OR($M$1="",对接源_01水果!$C411="",对接源_01水果!$C411&lt;&gt;$M$1,对接源_01水果!$B411=""),0,IF(OR(N(对接源_01水果!$B411)&lt;$M$2,N(对接源_01水果!$B411)&gt;$M$3),0,1))</f>
        <v>0</v>
      </c>
      <c r="N411" s="1" t="n">
        <f aca="false">IF(OR($N$1="",对接源_01水果!$C411="",对接源_01水果!$C411&lt;&gt;$N$1,对接源_01水果!$B411=""),0,IF(OR(N(对接源_01水果!$B411)&lt;$N$2,N(对接源_01水果!$B411)&gt;$N$3),0,1))</f>
        <v>0</v>
      </c>
      <c r="P411" s="1" t="n">
        <f aca="false">IF(AND($K411=1,AND(对接源_01水果!$X411="公司筐",N(对接源_01水果!$T411)&lt;&gt;0)),1,0)</f>
        <v>0</v>
      </c>
      <c r="Q411" s="1" t="n">
        <f aca="false">N(Q410)+$P411</f>
        <v>3</v>
      </c>
      <c r="R411" s="1" t="n">
        <f aca="false">IF(AND($K411=1,AND(对接源_01水果!$X411="公司筐",N(对接源_01水果!$U411)&lt;&gt;0)),1,0)</f>
        <v>0</v>
      </c>
      <c r="S411" s="1" t="n">
        <f aca="false">N(S410)+$R411</f>
        <v>0</v>
      </c>
      <c r="T411" s="1" t="n">
        <f aca="false">IF(AND($K411=1,AND(对接源_01水果!$X411="公司筐",N(对接源_01水果!$V411)&lt;&gt;0)),1,0)</f>
        <v>0</v>
      </c>
      <c r="U411" s="1" t="n">
        <f aca="false">N(U410)+$T411</f>
        <v>28</v>
      </c>
      <c r="V411" s="1" t="n">
        <f aca="false">IF(AND($L411=1,AND(对接源_01水果!$X411="自备筐",N(对接源_01水果!$V411)&lt;&gt;0)),1,0)</f>
        <v>0</v>
      </c>
      <c r="W411" s="1" t="n">
        <f aca="false">N(W410)+$V411</f>
        <v>7</v>
      </c>
      <c r="X411" s="1" t="n">
        <f aca="false">IF(AND($L411=1,AND(对接源_01水果!$X411="自备筐",N(对接源_01水果!$T411)&lt;&gt;0)),1,0)</f>
        <v>0</v>
      </c>
      <c r="Y411" s="1" t="n">
        <f aca="false">N(Y410)+$X411</f>
        <v>0</v>
      </c>
      <c r="Z411" s="1" t="n">
        <f aca="false">IF(AND($M411=1,对接源_01水果!$D411="原料入库"),1,0)</f>
        <v>0</v>
      </c>
      <c r="AA411" s="1" t="n">
        <f aca="false">N(AA410)+$Z411</f>
        <v>30</v>
      </c>
      <c r="AB411" s="1" t="n">
        <f aca="false">IF(AND($M411=1,LEFT(对接源_01水果!$D411,4)="原料出库"),1,0)</f>
        <v>0</v>
      </c>
      <c r="AC411" s="1" t="n">
        <f aca="false">N(AC410)+$AB411</f>
        <v>19</v>
      </c>
      <c r="AD411" s="1" t="n">
        <f aca="false">IF(AND($M411=1,LEFT(对接源_01水果!$D411,4)="成品出库"),1,0)</f>
        <v>0</v>
      </c>
      <c r="AE411" s="1" t="n">
        <f aca="false">N(AE410)+$AD411</f>
        <v>38</v>
      </c>
      <c r="AF411" s="1" t="n">
        <f aca="false">IF(AND($N411=1,AND(LEFT(对接源_01水果!$D411,4)="包装物料",N(对接源_01水果!$K411)&lt;&gt;0)),1,0)</f>
        <v>0</v>
      </c>
      <c r="AG411" s="90" t="str">
        <f aca="false">IF(对接源_01水果!$AC411="","",对接源_01水果!$AC411)</f>
        <v/>
      </c>
      <c r="AH411" s="1" t="n">
        <f aca="false">IF(AND($N411=1,AND(LEFT(对接源_01水果!$D411,3)="周转筐",N(对接源_01水果!$K411)&lt;&gt;0)),1,0)</f>
        <v>0</v>
      </c>
      <c r="AI411" s="90" t="n">
        <f aca="false">IF(AG411="",0,IF(MATCH(AG411,$AG$4:$AG$1203,0)=ROW()-3,1,0))</f>
        <v>0</v>
      </c>
      <c r="AJ411" s="90" t="n">
        <f aca="false">N(AJ410)+AI411</f>
        <v>4</v>
      </c>
      <c r="AK411" s="1" t="n">
        <f aca="false">N(AK410)+$AJ411</f>
        <v>504</v>
      </c>
    </row>
    <row r="412" customFormat="false" ht="13.5" hidden="false" customHeight="false" outlineLevel="0" collapsed="false">
      <c r="A412" s="1" t="str">
        <f aca="false">IF(对接源_01水果!$C412="","",对接源_01水果!$C412)</f>
        <v/>
      </c>
      <c r="B412" s="1" t="n">
        <f aca="false">IF(A412="",0,IF(MATCH(A412,$A$4:$A$2403,0)=ROW()-3,1,0))</f>
        <v>0</v>
      </c>
      <c r="C412" s="1" t="n">
        <f aca="false">N(C411)+B412</f>
        <v>13</v>
      </c>
      <c r="K412" s="1" t="n">
        <f aca="false">IF(OR($K$1="",对接源_01水果!$C412="",对接源_01水果!$C412&lt;&gt;$K$1,对接源_01水果!$B412=""),0,IF(OR(N(对接源_01水果!$B412)&lt;$K$2,N(对接源_01水果!$B412)&gt;$K$3),0,1))</f>
        <v>0</v>
      </c>
      <c r="L412" s="1" t="n">
        <f aca="false">IF(OR($L$1="",对接源_01水果!$C412="",对接源_01水果!$C412&lt;&gt;$L$1,对接源_01水果!$B412=""),0,IF(OR(N(对接源_01水果!$B412)&lt;$L$2,N(对接源_01水果!$B412)&gt;$L$3),0,1))</f>
        <v>0</v>
      </c>
      <c r="M412" s="1" t="n">
        <f aca="false">IF(OR($M$1="",对接源_01水果!$C412="",对接源_01水果!$C412&lt;&gt;$M$1,对接源_01水果!$B412=""),0,IF(OR(N(对接源_01水果!$B412)&lt;$M$2,N(对接源_01水果!$B412)&gt;$M$3),0,1))</f>
        <v>0</v>
      </c>
      <c r="N412" s="1" t="n">
        <f aca="false">IF(OR($N$1="",对接源_01水果!$C412="",对接源_01水果!$C412&lt;&gt;$N$1,对接源_01水果!$B412=""),0,IF(OR(N(对接源_01水果!$B412)&lt;$N$2,N(对接源_01水果!$B412)&gt;$N$3),0,1))</f>
        <v>0</v>
      </c>
      <c r="P412" s="1" t="n">
        <f aca="false">IF(AND($K412=1,AND(对接源_01水果!$X412="公司筐",N(对接源_01水果!$T412)&lt;&gt;0)),1,0)</f>
        <v>0</v>
      </c>
      <c r="Q412" s="1" t="n">
        <f aca="false">N(Q411)+$P412</f>
        <v>3</v>
      </c>
      <c r="R412" s="1" t="n">
        <f aca="false">IF(AND($K412=1,AND(对接源_01水果!$X412="公司筐",N(对接源_01水果!$U412)&lt;&gt;0)),1,0)</f>
        <v>0</v>
      </c>
      <c r="S412" s="1" t="n">
        <f aca="false">N(S411)+$R412</f>
        <v>0</v>
      </c>
      <c r="T412" s="1" t="n">
        <f aca="false">IF(AND($K412=1,AND(对接源_01水果!$X412="公司筐",N(对接源_01水果!$V412)&lt;&gt;0)),1,0)</f>
        <v>0</v>
      </c>
      <c r="U412" s="1" t="n">
        <f aca="false">N(U411)+$T412</f>
        <v>28</v>
      </c>
      <c r="V412" s="1" t="n">
        <f aca="false">IF(AND($L412=1,AND(对接源_01水果!$X412="自备筐",N(对接源_01水果!$V412)&lt;&gt;0)),1,0)</f>
        <v>0</v>
      </c>
      <c r="W412" s="1" t="n">
        <f aca="false">N(W411)+$V412</f>
        <v>7</v>
      </c>
      <c r="X412" s="1" t="n">
        <f aca="false">IF(AND($L412=1,AND(对接源_01水果!$X412="自备筐",N(对接源_01水果!$T412)&lt;&gt;0)),1,0)</f>
        <v>0</v>
      </c>
      <c r="Y412" s="1" t="n">
        <f aca="false">N(Y411)+$X412</f>
        <v>0</v>
      </c>
      <c r="Z412" s="1" t="n">
        <f aca="false">IF(AND($M412=1,对接源_01水果!$D412="原料入库"),1,0)</f>
        <v>0</v>
      </c>
      <c r="AA412" s="1" t="n">
        <f aca="false">N(AA411)+$Z412</f>
        <v>30</v>
      </c>
      <c r="AB412" s="1" t="n">
        <f aca="false">IF(AND($M412=1,LEFT(对接源_01水果!$D412,4)="原料出库"),1,0)</f>
        <v>0</v>
      </c>
      <c r="AC412" s="1" t="n">
        <f aca="false">N(AC411)+$AB412</f>
        <v>19</v>
      </c>
      <c r="AD412" s="1" t="n">
        <f aca="false">IF(AND($M412=1,LEFT(对接源_01水果!$D412,4)="成品出库"),1,0)</f>
        <v>0</v>
      </c>
      <c r="AE412" s="1" t="n">
        <f aca="false">N(AE411)+$AD412</f>
        <v>38</v>
      </c>
      <c r="AF412" s="1" t="n">
        <f aca="false">IF(AND($N412=1,AND(LEFT(对接源_01水果!$D412,4)="包装物料",N(对接源_01水果!$K412)&lt;&gt;0)),1,0)</f>
        <v>0</v>
      </c>
      <c r="AG412" s="90" t="str">
        <f aca="false">IF(对接源_01水果!$AC412="","",对接源_01水果!$AC412)</f>
        <v/>
      </c>
      <c r="AH412" s="1" t="n">
        <f aca="false">IF(AND($N412=1,AND(LEFT(对接源_01水果!$D412,3)="周转筐",N(对接源_01水果!$K412)&lt;&gt;0)),1,0)</f>
        <v>0</v>
      </c>
      <c r="AI412" s="90" t="n">
        <f aca="false">IF(AG412="",0,IF(MATCH(AG412,$AG$4:$AG$1203,0)=ROW()-3,1,0))</f>
        <v>0</v>
      </c>
      <c r="AJ412" s="90" t="n">
        <f aca="false">N(AJ411)+AI412</f>
        <v>4</v>
      </c>
      <c r="AK412" s="1" t="n">
        <f aca="false">N(AK411)+$AJ412</f>
        <v>508</v>
      </c>
    </row>
    <row r="413" customFormat="false" ht="13.5" hidden="false" customHeight="false" outlineLevel="0" collapsed="false">
      <c r="A413" s="1" t="str">
        <f aca="false">IF(对接源_01水果!$C413="","",对接源_01水果!$C413)</f>
        <v/>
      </c>
      <c r="B413" s="1" t="n">
        <f aca="false">IF(A413="",0,IF(MATCH(A413,$A$4:$A$2403,0)=ROW()-3,1,0))</f>
        <v>0</v>
      </c>
      <c r="C413" s="1" t="n">
        <f aca="false">N(C412)+B413</f>
        <v>13</v>
      </c>
      <c r="K413" s="1" t="n">
        <f aca="false">IF(OR($K$1="",对接源_01水果!$C413="",对接源_01水果!$C413&lt;&gt;$K$1,对接源_01水果!$B413=""),0,IF(OR(N(对接源_01水果!$B413)&lt;$K$2,N(对接源_01水果!$B413)&gt;$K$3),0,1))</f>
        <v>0</v>
      </c>
      <c r="L413" s="1" t="n">
        <f aca="false">IF(OR($L$1="",对接源_01水果!$C413="",对接源_01水果!$C413&lt;&gt;$L$1,对接源_01水果!$B413=""),0,IF(OR(N(对接源_01水果!$B413)&lt;$L$2,N(对接源_01水果!$B413)&gt;$L$3),0,1))</f>
        <v>0</v>
      </c>
      <c r="M413" s="1" t="n">
        <f aca="false">IF(OR($M$1="",对接源_01水果!$C413="",对接源_01水果!$C413&lt;&gt;$M$1,对接源_01水果!$B413=""),0,IF(OR(N(对接源_01水果!$B413)&lt;$M$2,N(对接源_01水果!$B413)&gt;$M$3),0,1))</f>
        <v>0</v>
      </c>
      <c r="N413" s="1" t="n">
        <f aca="false">IF(OR($N$1="",对接源_01水果!$C413="",对接源_01水果!$C413&lt;&gt;$N$1,对接源_01水果!$B413=""),0,IF(OR(N(对接源_01水果!$B413)&lt;$N$2,N(对接源_01水果!$B413)&gt;$N$3),0,1))</f>
        <v>0</v>
      </c>
      <c r="P413" s="1" t="n">
        <f aca="false">IF(AND($K413=1,AND(对接源_01水果!$X413="公司筐",N(对接源_01水果!$T413)&lt;&gt;0)),1,0)</f>
        <v>0</v>
      </c>
      <c r="Q413" s="1" t="n">
        <f aca="false">N(Q412)+$P413</f>
        <v>3</v>
      </c>
      <c r="R413" s="1" t="n">
        <f aca="false">IF(AND($K413=1,AND(对接源_01水果!$X413="公司筐",N(对接源_01水果!$U413)&lt;&gt;0)),1,0)</f>
        <v>0</v>
      </c>
      <c r="S413" s="1" t="n">
        <f aca="false">N(S412)+$R413</f>
        <v>0</v>
      </c>
      <c r="T413" s="1" t="n">
        <f aca="false">IF(AND($K413=1,AND(对接源_01水果!$X413="公司筐",N(对接源_01水果!$V413)&lt;&gt;0)),1,0)</f>
        <v>0</v>
      </c>
      <c r="U413" s="1" t="n">
        <f aca="false">N(U412)+$T413</f>
        <v>28</v>
      </c>
      <c r="V413" s="1" t="n">
        <f aca="false">IF(AND($L413=1,AND(对接源_01水果!$X413="自备筐",N(对接源_01水果!$V413)&lt;&gt;0)),1,0)</f>
        <v>0</v>
      </c>
      <c r="W413" s="1" t="n">
        <f aca="false">N(W412)+$V413</f>
        <v>7</v>
      </c>
      <c r="X413" s="1" t="n">
        <f aca="false">IF(AND($L413=1,AND(对接源_01水果!$X413="自备筐",N(对接源_01水果!$T413)&lt;&gt;0)),1,0)</f>
        <v>0</v>
      </c>
      <c r="Y413" s="1" t="n">
        <f aca="false">N(Y412)+$X413</f>
        <v>0</v>
      </c>
      <c r="Z413" s="1" t="n">
        <f aca="false">IF(AND($M413=1,对接源_01水果!$D413="原料入库"),1,0)</f>
        <v>0</v>
      </c>
      <c r="AA413" s="1" t="n">
        <f aca="false">N(AA412)+$Z413</f>
        <v>30</v>
      </c>
      <c r="AB413" s="1" t="n">
        <f aca="false">IF(AND($M413=1,LEFT(对接源_01水果!$D413,4)="原料出库"),1,0)</f>
        <v>0</v>
      </c>
      <c r="AC413" s="1" t="n">
        <f aca="false">N(AC412)+$AB413</f>
        <v>19</v>
      </c>
      <c r="AD413" s="1" t="n">
        <f aca="false">IF(AND($M413=1,LEFT(对接源_01水果!$D413,4)="成品出库"),1,0)</f>
        <v>0</v>
      </c>
      <c r="AE413" s="1" t="n">
        <f aca="false">N(AE412)+$AD413</f>
        <v>38</v>
      </c>
      <c r="AF413" s="1" t="n">
        <f aca="false">IF(AND($N413=1,AND(LEFT(对接源_01水果!$D413,4)="包装物料",N(对接源_01水果!$K413)&lt;&gt;0)),1,0)</f>
        <v>0</v>
      </c>
      <c r="AG413" s="90" t="str">
        <f aca="false">IF(对接源_01水果!$AC413="","",对接源_01水果!$AC413)</f>
        <v/>
      </c>
      <c r="AH413" s="1" t="n">
        <f aca="false">IF(AND($N413=1,AND(LEFT(对接源_01水果!$D413,3)="周转筐",N(对接源_01水果!$K413)&lt;&gt;0)),1,0)</f>
        <v>0</v>
      </c>
      <c r="AI413" s="90" t="n">
        <f aca="false">IF(AG413="",0,IF(MATCH(AG413,$AG$4:$AG$1203,0)=ROW()-3,1,0))</f>
        <v>0</v>
      </c>
      <c r="AJ413" s="90" t="n">
        <f aca="false">N(AJ412)+AI413</f>
        <v>4</v>
      </c>
      <c r="AK413" s="1" t="n">
        <f aca="false">N(AK412)+$AJ413</f>
        <v>512</v>
      </c>
    </row>
    <row r="414" customFormat="false" ht="13.5" hidden="false" customHeight="false" outlineLevel="0" collapsed="false">
      <c r="A414" s="1" t="str">
        <f aca="false">IF(对接源_01水果!$C414="","",对接源_01水果!$C414)</f>
        <v/>
      </c>
      <c r="B414" s="1" t="n">
        <f aca="false">IF(A414="",0,IF(MATCH(A414,$A$4:$A$2403,0)=ROW()-3,1,0))</f>
        <v>0</v>
      </c>
      <c r="C414" s="1" t="n">
        <f aca="false">N(C413)+B414</f>
        <v>13</v>
      </c>
      <c r="K414" s="1" t="n">
        <f aca="false">IF(OR($K$1="",对接源_01水果!$C414="",对接源_01水果!$C414&lt;&gt;$K$1,对接源_01水果!$B414=""),0,IF(OR(N(对接源_01水果!$B414)&lt;$K$2,N(对接源_01水果!$B414)&gt;$K$3),0,1))</f>
        <v>0</v>
      </c>
      <c r="L414" s="1" t="n">
        <f aca="false">IF(OR($L$1="",对接源_01水果!$C414="",对接源_01水果!$C414&lt;&gt;$L$1,对接源_01水果!$B414=""),0,IF(OR(N(对接源_01水果!$B414)&lt;$L$2,N(对接源_01水果!$B414)&gt;$L$3),0,1))</f>
        <v>0</v>
      </c>
      <c r="M414" s="1" t="n">
        <f aca="false">IF(OR($M$1="",对接源_01水果!$C414="",对接源_01水果!$C414&lt;&gt;$M$1,对接源_01水果!$B414=""),0,IF(OR(N(对接源_01水果!$B414)&lt;$M$2,N(对接源_01水果!$B414)&gt;$M$3),0,1))</f>
        <v>0</v>
      </c>
      <c r="N414" s="1" t="n">
        <f aca="false">IF(OR($N$1="",对接源_01水果!$C414="",对接源_01水果!$C414&lt;&gt;$N$1,对接源_01水果!$B414=""),0,IF(OR(N(对接源_01水果!$B414)&lt;$N$2,N(对接源_01水果!$B414)&gt;$N$3),0,1))</f>
        <v>0</v>
      </c>
      <c r="P414" s="1" t="n">
        <f aca="false">IF(AND($K414=1,AND(对接源_01水果!$X414="公司筐",N(对接源_01水果!$T414)&lt;&gt;0)),1,0)</f>
        <v>0</v>
      </c>
      <c r="Q414" s="1" t="n">
        <f aca="false">N(Q413)+$P414</f>
        <v>3</v>
      </c>
      <c r="R414" s="1" t="n">
        <f aca="false">IF(AND($K414=1,AND(对接源_01水果!$X414="公司筐",N(对接源_01水果!$U414)&lt;&gt;0)),1,0)</f>
        <v>0</v>
      </c>
      <c r="S414" s="1" t="n">
        <f aca="false">N(S413)+$R414</f>
        <v>0</v>
      </c>
      <c r="T414" s="1" t="n">
        <f aca="false">IF(AND($K414=1,AND(对接源_01水果!$X414="公司筐",N(对接源_01水果!$V414)&lt;&gt;0)),1,0)</f>
        <v>0</v>
      </c>
      <c r="U414" s="1" t="n">
        <f aca="false">N(U413)+$T414</f>
        <v>28</v>
      </c>
      <c r="V414" s="1" t="n">
        <f aca="false">IF(AND($L414=1,AND(对接源_01水果!$X414="自备筐",N(对接源_01水果!$V414)&lt;&gt;0)),1,0)</f>
        <v>0</v>
      </c>
      <c r="W414" s="1" t="n">
        <f aca="false">N(W413)+$V414</f>
        <v>7</v>
      </c>
      <c r="X414" s="1" t="n">
        <f aca="false">IF(AND($L414=1,AND(对接源_01水果!$X414="自备筐",N(对接源_01水果!$T414)&lt;&gt;0)),1,0)</f>
        <v>0</v>
      </c>
      <c r="Y414" s="1" t="n">
        <f aca="false">N(Y413)+$X414</f>
        <v>0</v>
      </c>
      <c r="Z414" s="1" t="n">
        <f aca="false">IF(AND($M414=1,对接源_01水果!$D414="原料入库"),1,0)</f>
        <v>0</v>
      </c>
      <c r="AA414" s="1" t="n">
        <f aca="false">N(AA413)+$Z414</f>
        <v>30</v>
      </c>
      <c r="AB414" s="1" t="n">
        <f aca="false">IF(AND($M414=1,LEFT(对接源_01水果!$D414,4)="原料出库"),1,0)</f>
        <v>0</v>
      </c>
      <c r="AC414" s="1" t="n">
        <f aca="false">N(AC413)+$AB414</f>
        <v>19</v>
      </c>
      <c r="AD414" s="1" t="n">
        <f aca="false">IF(AND($M414=1,LEFT(对接源_01水果!$D414,4)="成品出库"),1,0)</f>
        <v>0</v>
      </c>
      <c r="AE414" s="1" t="n">
        <f aca="false">N(AE413)+$AD414</f>
        <v>38</v>
      </c>
      <c r="AF414" s="1" t="n">
        <f aca="false">IF(AND($N414=1,AND(LEFT(对接源_01水果!$D414,4)="包装物料",N(对接源_01水果!$K414)&lt;&gt;0)),1,0)</f>
        <v>0</v>
      </c>
      <c r="AG414" s="90" t="str">
        <f aca="false">IF(对接源_01水果!$AC414="","",对接源_01水果!$AC414)</f>
        <v/>
      </c>
      <c r="AH414" s="1" t="n">
        <f aca="false">IF(AND($N414=1,AND(LEFT(对接源_01水果!$D414,3)="周转筐",N(对接源_01水果!$K414)&lt;&gt;0)),1,0)</f>
        <v>0</v>
      </c>
      <c r="AI414" s="90" t="n">
        <f aca="false">IF(AG414="",0,IF(MATCH(AG414,$AG$4:$AG$1203,0)=ROW()-3,1,0))</f>
        <v>0</v>
      </c>
      <c r="AJ414" s="90" t="n">
        <f aca="false">N(AJ413)+AI414</f>
        <v>4</v>
      </c>
      <c r="AK414" s="1" t="n">
        <f aca="false">N(AK413)+$AJ414</f>
        <v>516</v>
      </c>
    </row>
    <row r="415" customFormat="false" ht="13.5" hidden="false" customHeight="false" outlineLevel="0" collapsed="false">
      <c r="A415" s="1" t="str">
        <f aca="false">IF(对接源_01水果!$C415="","",对接源_01水果!$C415)</f>
        <v/>
      </c>
      <c r="B415" s="1" t="n">
        <f aca="false">IF(A415="",0,IF(MATCH(A415,$A$4:$A$2403,0)=ROW()-3,1,0))</f>
        <v>0</v>
      </c>
      <c r="C415" s="1" t="n">
        <f aca="false">N(C414)+B415</f>
        <v>13</v>
      </c>
      <c r="K415" s="1" t="n">
        <f aca="false">IF(OR($K$1="",对接源_01水果!$C415="",对接源_01水果!$C415&lt;&gt;$K$1,对接源_01水果!$B415=""),0,IF(OR(N(对接源_01水果!$B415)&lt;$K$2,N(对接源_01水果!$B415)&gt;$K$3),0,1))</f>
        <v>0</v>
      </c>
      <c r="L415" s="1" t="n">
        <f aca="false">IF(OR($L$1="",对接源_01水果!$C415="",对接源_01水果!$C415&lt;&gt;$L$1,对接源_01水果!$B415=""),0,IF(OR(N(对接源_01水果!$B415)&lt;$L$2,N(对接源_01水果!$B415)&gt;$L$3),0,1))</f>
        <v>0</v>
      </c>
      <c r="M415" s="1" t="n">
        <f aca="false">IF(OR($M$1="",对接源_01水果!$C415="",对接源_01水果!$C415&lt;&gt;$M$1,对接源_01水果!$B415=""),0,IF(OR(N(对接源_01水果!$B415)&lt;$M$2,N(对接源_01水果!$B415)&gt;$M$3),0,1))</f>
        <v>0</v>
      </c>
      <c r="N415" s="1" t="n">
        <f aca="false">IF(OR($N$1="",对接源_01水果!$C415="",对接源_01水果!$C415&lt;&gt;$N$1,对接源_01水果!$B415=""),0,IF(OR(N(对接源_01水果!$B415)&lt;$N$2,N(对接源_01水果!$B415)&gt;$N$3),0,1))</f>
        <v>0</v>
      </c>
      <c r="P415" s="1" t="n">
        <f aca="false">IF(AND($K415=1,AND(对接源_01水果!$X415="公司筐",N(对接源_01水果!$T415)&lt;&gt;0)),1,0)</f>
        <v>0</v>
      </c>
      <c r="Q415" s="1" t="n">
        <f aca="false">N(Q414)+$P415</f>
        <v>3</v>
      </c>
      <c r="R415" s="1" t="n">
        <f aca="false">IF(AND($K415=1,AND(对接源_01水果!$X415="公司筐",N(对接源_01水果!$U415)&lt;&gt;0)),1,0)</f>
        <v>0</v>
      </c>
      <c r="S415" s="1" t="n">
        <f aca="false">N(S414)+$R415</f>
        <v>0</v>
      </c>
      <c r="T415" s="1" t="n">
        <f aca="false">IF(AND($K415=1,AND(对接源_01水果!$X415="公司筐",N(对接源_01水果!$V415)&lt;&gt;0)),1,0)</f>
        <v>0</v>
      </c>
      <c r="U415" s="1" t="n">
        <f aca="false">N(U414)+$T415</f>
        <v>28</v>
      </c>
      <c r="V415" s="1" t="n">
        <f aca="false">IF(AND($L415=1,AND(对接源_01水果!$X415="自备筐",N(对接源_01水果!$V415)&lt;&gt;0)),1,0)</f>
        <v>0</v>
      </c>
      <c r="W415" s="1" t="n">
        <f aca="false">N(W414)+$V415</f>
        <v>7</v>
      </c>
      <c r="X415" s="1" t="n">
        <f aca="false">IF(AND($L415=1,AND(对接源_01水果!$X415="自备筐",N(对接源_01水果!$T415)&lt;&gt;0)),1,0)</f>
        <v>0</v>
      </c>
      <c r="Y415" s="1" t="n">
        <f aca="false">N(Y414)+$X415</f>
        <v>0</v>
      </c>
      <c r="Z415" s="1" t="n">
        <f aca="false">IF(AND($M415=1,对接源_01水果!$D415="原料入库"),1,0)</f>
        <v>0</v>
      </c>
      <c r="AA415" s="1" t="n">
        <f aca="false">N(AA414)+$Z415</f>
        <v>30</v>
      </c>
      <c r="AB415" s="1" t="n">
        <f aca="false">IF(AND($M415=1,LEFT(对接源_01水果!$D415,4)="原料出库"),1,0)</f>
        <v>0</v>
      </c>
      <c r="AC415" s="1" t="n">
        <f aca="false">N(AC414)+$AB415</f>
        <v>19</v>
      </c>
      <c r="AD415" s="1" t="n">
        <f aca="false">IF(AND($M415=1,LEFT(对接源_01水果!$D415,4)="成品出库"),1,0)</f>
        <v>0</v>
      </c>
      <c r="AE415" s="1" t="n">
        <f aca="false">N(AE414)+$AD415</f>
        <v>38</v>
      </c>
      <c r="AF415" s="1" t="n">
        <f aca="false">IF(AND($N415=1,AND(LEFT(对接源_01水果!$D415,4)="包装物料",N(对接源_01水果!$K415)&lt;&gt;0)),1,0)</f>
        <v>0</v>
      </c>
      <c r="AG415" s="90" t="str">
        <f aca="false">IF(对接源_01水果!$AC415="","",对接源_01水果!$AC415)</f>
        <v/>
      </c>
      <c r="AH415" s="1" t="n">
        <f aca="false">IF(AND($N415=1,AND(LEFT(对接源_01水果!$D415,3)="周转筐",N(对接源_01水果!$K415)&lt;&gt;0)),1,0)</f>
        <v>0</v>
      </c>
      <c r="AI415" s="90" t="n">
        <f aca="false">IF(AG415="",0,IF(MATCH(AG415,$AG$4:$AG$1203,0)=ROW()-3,1,0))</f>
        <v>0</v>
      </c>
      <c r="AJ415" s="90" t="n">
        <f aca="false">N(AJ414)+AI415</f>
        <v>4</v>
      </c>
      <c r="AK415" s="1" t="n">
        <f aca="false">N(AK414)+$AJ415</f>
        <v>520</v>
      </c>
    </row>
    <row r="416" customFormat="false" ht="13.5" hidden="false" customHeight="false" outlineLevel="0" collapsed="false">
      <c r="A416" s="1" t="str">
        <f aca="false">IF(对接源_01水果!$C416="","",对接源_01水果!$C416)</f>
        <v/>
      </c>
      <c r="B416" s="1" t="n">
        <f aca="false">IF(A416="",0,IF(MATCH(A416,$A$4:$A$2403,0)=ROW()-3,1,0))</f>
        <v>0</v>
      </c>
      <c r="C416" s="1" t="n">
        <f aca="false">N(C415)+B416</f>
        <v>13</v>
      </c>
      <c r="K416" s="1" t="n">
        <f aca="false">IF(OR($K$1="",对接源_01水果!$C416="",对接源_01水果!$C416&lt;&gt;$K$1,对接源_01水果!$B416=""),0,IF(OR(N(对接源_01水果!$B416)&lt;$K$2,N(对接源_01水果!$B416)&gt;$K$3),0,1))</f>
        <v>0</v>
      </c>
      <c r="L416" s="1" t="n">
        <f aca="false">IF(OR($L$1="",对接源_01水果!$C416="",对接源_01水果!$C416&lt;&gt;$L$1,对接源_01水果!$B416=""),0,IF(OR(N(对接源_01水果!$B416)&lt;$L$2,N(对接源_01水果!$B416)&gt;$L$3),0,1))</f>
        <v>0</v>
      </c>
      <c r="M416" s="1" t="n">
        <f aca="false">IF(OR($M$1="",对接源_01水果!$C416="",对接源_01水果!$C416&lt;&gt;$M$1,对接源_01水果!$B416=""),0,IF(OR(N(对接源_01水果!$B416)&lt;$M$2,N(对接源_01水果!$B416)&gt;$M$3),0,1))</f>
        <v>0</v>
      </c>
      <c r="N416" s="1" t="n">
        <f aca="false">IF(OR($N$1="",对接源_01水果!$C416="",对接源_01水果!$C416&lt;&gt;$N$1,对接源_01水果!$B416=""),0,IF(OR(N(对接源_01水果!$B416)&lt;$N$2,N(对接源_01水果!$B416)&gt;$N$3),0,1))</f>
        <v>0</v>
      </c>
      <c r="P416" s="1" t="n">
        <f aca="false">IF(AND($K416=1,AND(对接源_01水果!$X416="公司筐",N(对接源_01水果!$T416)&lt;&gt;0)),1,0)</f>
        <v>0</v>
      </c>
      <c r="Q416" s="1" t="n">
        <f aca="false">N(Q415)+$P416</f>
        <v>3</v>
      </c>
      <c r="R416" s="1" t="n">
        <f aca="false">IF(AND($K416=1,AND(对接源_01水果!$X416="公司筐",N(对接源_01水果!$U416)&lt;&gt;0)),1,0)</f>
        <v>0</v>
      </c>
      <c r="S416" s="1" t="n">
        <f aca="false">N(S415)+$R416</f>
        <v>0</v>
      </c>
      <c r="T416" s="1" t="n">
        <f aca="false">IF(AND($K416=1,AND(对接源_01水果!$X416="公司筐",N(对接源_01水果!$V416)&lt;&gt;0)),1,0)</f>
        <v>0</v>
      </c>
      <c r="U416" s="1" t="n">
        <f aca="false">N(U415)+$T416</f>
        <v>28</v>
      </c>
      <c r="V416" s="1" t="n">
        <f aca="false">IF(AND($L416=1,AND(对接源_01水果!$X416="自备筐",N(对接源_01水果!$V416)&lt;&gt;0)),1,0)</f>
        <v>0</v>
      </c>
      <c r="W416" s="1" t="n">
        <f aca="false">N(W415)+$V416</f>
        <v>7</v>
      </c>
      <c r="X416" s="1" t="n">
        <f aca="false">IF(AND($L416=1,AND(对接源_01水果!$X416="自备筐",N(对接源_01水果!$T416)&lt;&gt;0)),1,0)</f>
        <v>0</v>
      </c>
      <c r="Y416" s="1" t="n">
        <f aca="false">N(Y415)+$X416</f>
        <v>0</v>
      </c>
      <c r="Z416" s="1" t="n">
        <f aca="false">IF(AND($M416=1,对接源_01水果!$D416="原料入库"),1,0)</f>
        <v>0</v>
      </c>
      <c r="AA416" s="1" t="n">
        <f aca="false">N(AA415)+$Z416</f>
        <v>30</v>
      </c>
      <c r="AB416" s="1" t="n">
        <f aca="false">IF(AND($M416=1,LEFT(对接源_01水果!$D416,4)="原料出库"),1,0)</f>
        <v>0</v>
      </c>
      <c r="AC416" s="1" t="n">
        <f aca="false">N(AC415)+$AB416</f>
        <v>19</v>
      </c>
      <c r="AD416" s="1" t="n">
        <f aca="false">IF(AND($M416=1,LEFT(对接源_01水果!$D416,4)="成品出库"),1,0)</f>
        <v>0</v>
      </c>
      <c r="AE416" s="1" t="n">
        <f aca="false">N(AE415)+$AD416</f>
        <v>38</v>
      </c>
      <c r="AF416" s="1" t="n">
        <f aca="false">IF(AND($N416=1,AND(LEFT(对接源_01水果!$D416,4)="包装物料",N(对接源_01水果!$K416)&lt;&gt;0)),1,0)</f>
        <v>0</v>
      </c>
      <c r="AG416" s="90" t="str">
        <f aca="false">IF(对接源_01水果!$AC416="","",对接源_01水果!$AC416)</f>
        <v/>
      </c>
      <c r="AH416" s="1" t="n">
        <f aca="false">IF(AND($N416=1,AND(LEFT(对接源_01水果!$D416,3)="周转筐",N(对接源_01水果!$K416)&lt;&gt;0)),1,0)</f>
        <v>0</v>
      </c>
      <c r="AI416" s="90" t="n">
        <f aca="false">IF(AG416="",0,IF(MATCH(AG416,$AG$4:$AG$1203,0)=ROW()-3,1,0))</f>
        <v>0</v>
      </c>
      <c r="AJ416" s="90" t="n">
        <f aca="false">N(AJ415)+AI416</f>
        <v>4</v>
      </c>
      <c r="AK416" s="1" t="n">
        <f aca="false">N(AK415)+$AJ416</f>
        <v>524</v>
      </c>
    </row>
    <row r="417" customFormat="false" ht="13.5" hidden="false" customHeight="false" outlineLevel="0" collapsed="false">
      <c r="A417" s="1" t="str">
        <f aca="false">IF(对接源_01水果!$C417="","",对接源_01水果!$C417)</f>
        <v/>
      </c>
      <c r="B417" s="1" t="n">
        <f aca="false">IF(A417="",0,IF(MATCH(A417,$A$4:$A$2403,0)=ROW()-3,1,0))</f>
        <v>0</v>
      </c>
      <c r="C417" s="1" t="n">
        <f aca="false">N(C416)+B417</f>
        <v>13</v>
      </c>
      <c r="K417" s="1" t="n">
        <f aca="false">IF(OR($K$1="",对接源_01水果!$C417="",对接源_01水果!$C417&lt;&gt;$K$1,对接源_01水果!$B417=""),0,IF(OR(N(对接源_01水果!$B417)&lt;$K$2,N(对接源_01水果!$B417)&gt;$K$3),0,1))</f>
        <v>0</v>
      </c>
      <c r="L417" s="1" t="n">
        <f aca="false">IF(OR($L$1="",对接源_01水果!$C417="",对接源_01水果!$C417&lt;&gt;$L$1,对接源_01水果!$B417=""),0,IF(OR(N(对接源_01水果!$B417)&lt;$L$2,N(对接源_01水果!$B417)&gt;$L$3),0,1))</f>
        <v>0</v>
      </c>
      <c r="M417" s="1" t="n">
        <f aca="false">IF(OR($M$1="",对接源_01水果!$C417="",对接源_01水果!$C417&lt;&gt;$M$1,对接源_01水果!$B417=""),0,IF(OR(N(对接源_01水果!$B417)&lt;$M$2,N(对接源_01水果!$B417)&gt;$M$3),0,1))</f>
        <v>0</v>
      </c>
      <c r="N417" s="1" t="n">
        <f aca="false">IF(OR($N$1="",对接源_01水果!$C417="",对接源_01水果!$C417&lt;&gt;$N$1,对接源_01水果!$B417=""),0,IF(OR(N(对接源_01水果!$B417)&lt;$N$2,N(对接源_01水果!$B417)&gt;$N$3),0,1))</f>
        <v>0</v>
      </c>
      <c r="P417" s="1" t="n">
        <f aca="false">IF(AND($K417=1,AND(对接源_01水果!$X417="公司筐",N(对接源_01水果!$T417)&lt;&gt;0)),1,0)</f>
        <v>0</v>
      </c>
      <c r="Q417" s="1" t="n">
        <f aca="false">N(Q416)+$P417</f>
        <v>3</v>
      </c>
      <c r="R417" s="1" t="n">
        <f aca="false">IF(AND($K417=1,AND(对接源_01水果!$X417="公司筐",N(对接源_01水果!$U417)&lt;&gt;0)),1,0)</f>
        <v>0</v>
      </c>
      <c r="S417" s="1" t="n">
        <f aca="false">N(S416)+$R417</f>
        <v>0</v>
      </c>
      <c r="T417" s="1" t="n">
        <f aca="false">IF(AND($K417=1,AND(对接源_01水果!$X417="公司筐",N(对接源_01水果!$V417)&lt;&gt;0)),1,0)</f>
        <v>0</v>
      </c>
      <c r="U417" s="1" t="n">
        <f aca="false">N(U416)+$T417</f>
        <v>28</v>
      </c>
      <c r="V417" s="1" t="n">
        <f aca="false">IF(AND($L417=1,AND(对接源_01水果!$X417="自备筐",N(对接源_01水果!$V417)&lt;&gt;0)),1,0)</f>
        <v>0</v>
      </c>
      <c r="W417" s="1" t="n">
        <f aca="false">N(W416)+$V417</f>
        <v>7</v>
      </c>
      <c r="X417" s="1" t="n">
        <f aca="false">IF(AND($L417=1,AND(对接源_01水果!$X417="自备筐",N(对接源_01水果!$T417)&lt;&gt;0)),1,0)</f>
        <v>0</v>
      </c>
      <c r="Y417" s="1" t="n">
        <f aca="false">N(Y416)+$X417</f>
        <v>0</v>
      </c>
      <c r="Z417" s="1" t="n">
        <f aca="false">IF(AND($M417=1,对接源_01水果!$D417="原料入库"),1,0)</f>
        <v>0</v>
      </c>
      <c r="AA417" s="1" t="n">
        <f aca="false">N(AA416)+$Z417</f>
        <v>30</v>
      </c>
      <c r="AB417" s="1" t="n">
        <f aca="false">IF(AND($M417=1,LEFT(对接源_01水果!$D417,4)="原料出库"),1,0)</f>
        <v>0</v>
      </c>
      <c r="AC417" s="1" t="n">
        <f aca="false">N(AC416)+$AB417</f>
        <v>19</v>
      </c>
      <c r="AD417" s="1" t="n">
        <f aca="false">IF(AND($M417=1,LEFT(对接源_01水果!$D417,4)="成品出库"),1,0)</f>
        <v>0</v>
      </c>
      <c r="AE417" s="1" t="n">
        <f aca="false">N(AE416)+$AD417</f>
        <v>38</v>
      </c>
      <c r="AF417" s="1" t="n">
        <f aca="false">IF(AND($N417=1,AND(LEFT(对接源_01水果!$D417,4)="包装物料",N(对接源_01水果!$K417)&lt;&gt;0)),1,0)</f>
        <v>0</v>
      </c>
      <c r="AG417" s="90" t="str">
        <f aca="false">IF(对接源_01水果!$AC417="","",对接源_01水果!$AC417)</f>
        <v/>
      </c>
      <c r="AH417" s="1" t="n">
        <f aca="false">IF(AND($N417=1,AND(LEFT(对接源_01水果!$D417,3)="周转筐",N(对接源_01水果!$K417)&lt;&gt;0)),1,0)</f>
        <v>0</v>
      </c>
      <c r="AI417" s="90" t="n">
        <f aca="false">IF(AG417="",0,IF(MATCH(AG417,$AG$4:$AG$1203,0)=ROW()-3,1,0))</f>
        <v>0</v>
      </c>
      <c r="AJ417" s="90" t="n">
        <f aca="false">N(AJ416)+AI417</f>
        <v>4</v>
      </c>
      <c r="AK417" s="1" t="n">
        <f aca="false">N(AK416)+$AJ417</f>
        <v>528</v>
      </c>
    </row>
    <row r="418" customFormat="false" ht="13.5" hidden="false" customHeight="false" outlineLevel="0" collapsed="false">
      <c r="A418" s="1" t="str">
        <f aca="false">IF(对接源_01水果!$C418="","",对接源_01水果!$C418)</f>
        <v/>
      </c>
      <c r="B418" s="1" t="n">
        <f aca="false">IF(A418="",0,IF(MATCH(A418,$A$4:$A$2403,0)=ROW()-3,1,0))</f>
        <v>0</v>
      </c>
      <c r="C418" s="1" t="n">
        <f aca="false">N(C417)+B418</f>
        <v>13</v>
      </c>
      <c r="K418" s="1" t="n">
        <f aca="false">IF(OR($K$1="",对接源_01水果!$C418="",对接源_01水果!$C418&lt;&gt;$K$1,对接源_01水果!$B418=""),0,IF(OR(N(对接源_01水果!$B418)&lt;$K$2,N(对接源_01水果!$B418)&gt;$K$3),0,1))</f>
        <v>0</v>
      </c>
      <c r="L418" s="1" t="n">
        <f aca="false">IF(OR($L$1="",对接源_01水果!$C418="",对接源_01水果!$C418&lt;&gt;$L$1,对接源_01水果!$B418=""),0,IF(OR(N(对接源_01水果!$B418)&lt;$L$2,N(对接源_01水果!$B418)&gt;$L$3),0,1))</f>
        <v>0</v>
      </c>
      <c r="M418" s="1" t="n">
        <f aca="false">IF(OR($M$1="",对接源_01水果!$C418="",对接源_01水果!$C418&lt;&gt;$M$1,对接源_01水果!$B418=""),0,IF(OR(N(对接源_01水果!$B418)&lt;$M$2,N(对接源_01水果!$B418)&gt;$M$3),0,1))</f>
        <v>0</v>
      </c>
      <c r="N418" s="1" t="n">
        <f aca="false">IF(OR($N$1="",对接源_01水果!$C418="",对接源_01水果!$C418&lt;&gt;$N$1,对接源_01水果!$B418=""),0,IF(OR(N(对接源_01水果!$B418)&lt;$N$2,N(对接源_01水果!$B418)&gt;$N$3),0,1))</f>
        <v>0</v>
      </c>
      <c r="P418" s="1" t="n">
        <f aca="false">IF(AND($K418=1,AND(对接源_01水果!$X418="公司筐",N(对接源_01水果!$T418)&lt;&gt;0)),1,0)</f>
        <v>0</v>
      </c>
      <c r="Q418" s="1" t="n">
        <f aca="false">N(Q417)+$P418</f>
        <v>3</v>
      </c>
      <c r="R418" s="1" t="n">
        <f aca="false">IF(AND($K418=1,AND(对接源_01水果!$X418="公司筐",N(对接源_01水果!$U418)&lt;&gt;0)),1,0)</f>
        <v>0</v>
      </c>
      <c r="S418" s="1" t="n">
        <f aca="false">N(S417)+$R418</f>
        <v>0</v>
      </c>
      <c r="T418" s="1" t="n">
        <f aca="false">IF(AND($K418=1,AND(对接源_01水果!$X418="公司筐",N(对接源_01水果!$V418)&lt;&gt;0)),1,0)</f>
        <v>0</v>
      </c>
      <c r="U418" s="1" t="n">
        <f aca="false">N(U417)+$T418</f>
        <v>28</v>
      </c>
      <c r="V418" s="1" t="n">
        <f aca="false">IF(AND($L418=1,AND(对接源_01水果!$X418="自备筐",N(对接源_01水果!$V418)&lt;&gt;0)),1,0)</f>
        <v>0</v>
      </c>
      <c r="W418" s="1" t="n">
        <f aca="false">N(W417)+$V418</f>
        <v>7</v>
      </c>
      <c r="X418" s="1" t="n">
        <f aca="false">IF(AND($L418=1,AND(对接源_01水果!$X418="自备筐",N(对接源_01水果!$T418)&lt;&gt;0)),1,0)</f>
        <v>0</v>
      </c>
      <c r="Y418" s="1" t="n">
        <f aca="false">N(Y417)+$X418</f>
        <v>0</v>
      </c>
      <c r="Z418" s="1" t="n">
        <f aca="false">IF(AND($M418=1,对接源_01水果!$D418="原料入库"),1,0)</f>
        <v>0</v>
      </c>
      <c r="AA418" s="1" t="n">
        <f aca="false">N(AA417)+$Z418</f>
        <v>30</v>
      </c>
      <c r="AB418" s="1" t="n">
        <f aca="false">IF(AND($M418=1,LEFT(对接源_01水果!$D418,4)="原料出库"),1,0)</f>
        <v>0</v>
      </c>
      <c r="AC418" s="1" t="n">
        <f aca="false">N(AC417)+$AB418</f>
        <v>19</v>
      </c>
      <c r="AD418" s="1" t="n">
        <f aca="false">IF(AND($M418=1,LEFT(对接源_01水果!$D418,4)="成品出库"),1,0)</f>
        <v>0</v>
      </c>
      <c r="AE418" s="1" t="n">
        <f aca="false">N(AE417)+$AD418</f>
        <v>38</v>
      </c>
      <c r="AF418" s="1" t="n">
        <f aca="false">IF(AND($N418=1,AND(LEFT(对接源_01水果!$D418,4)="包装物料",N(对接源_01水果!$K418)&lt;&gt;0)),1,0)</f>
        <v>0</v>
      </c>
      <c r="AG418" s="90" t="str">
        <f aca="false">IF(对接源_01水果!$AC418="","",对接源_01水果!$AC418)</f>
        <v/>
      </c>
      <c r="AH418" s="1" t="n">
        <f aca="false">IF(AND($N418=1,AND(LEFT(对接源_01水果!$D418,3)="周转筐",N(对接源_01水果!$K418)&lt;&gt;0)),1,0)</f>
        <v>0</v>
      </c>
      <c r="AI418" s="90" t="n">
        <f aca="false">IF(AG418="",0,IF(MATCH(AG418,$AG$4:$AG$1203,0)=ROW()-3,1,0))</f>
        <v>0</v>
      </c>
      <c r="AJ418" s="90" t="n">
        <f aca="false">N(AJ417)+AI418</f>
        <v>4</v>
      </c>
      <c r="AK418" s="1" t="n">
        <f aca="false">N(AK417)+$AJ418</f>
        <v>532</v>
      </c>
    </row>
    <row r="419" customFormat="false" ht="13.5" hidden="false" customHeight="false" outlineLevel="0" collapsed="false">
      <c r="A419" s="1" t="str">
        <f aca="false">IF(对接源_01水果!$C419="","",对接源_01水果!$C419)</f>
        <v/>
      </c>
      <c r="B419" s="1" t="n">
        <f aca="false">IF(A419="",0,IF(MATCH(A419,$A$4:$A$2403,0)=ROW()-3,1,0))</f>
        <v>0</v>
      </c>
      <c r="C419" s="1" t="n">
        <f aca="false">N(C418)+B419</f>
        <v>13</v>
      </c>
      <c r="K419" s="1" t="n">
        <f aca="false">IF(OR($K$1="",对接源_01水果!$C419="",对接源_01水果!$C419&lt;&gt;$K$1,对接源_01水果!$B419=""),0,IF(OR(N(对接源_01水果!$B419)&lt;$K$2,N(对接源_01水果!$B419)&gt;$K$3),0,1))</f>
        <v>0</v>
      </c>
      <c r="L419" s="1" t="n">
        <f aca="false">IF(OR($L$1="",对接源_01水果!$C419="",对接源_01水果!$C419&lt;&gt;$L$1,对接源_01水果!$B419=""),0,IF(OR(N(对接源_01水果!$B419)&lt;$L$2,N(对接源_01水果!$B419)&gt;$L$3),0,1))</f>
        <v>0</v>
      </c>
      <c r="M419" s="1" t="n">
        <f aca="false">IF(OR($M$1="",对接源_01水果!$C419="",对接源_01水果!$C419&lt;&gt;$M$1,对接源_01水果!$B419=""),0,IF(OR(N(对接源_01水果!$B419)&lt;$M$2,N(对接源_01水果!$B419)&gt;$M$3),0,1))</f>
        <v>0</v>
      </c>
      <c r="N419" s="1" t="n">
        <f aca="false">IF(OR($N$1="",对接源_01水果!$C419="",对接源_01水果!$C419&lt;&gt;$N$1,对接源_01水果!$B419=""),0,IF(OR(N(对接源_01水果!$B419)&lt;$N$2,N(对接源_01水果!$B419)&gt;$N$3),0,1))</f>
        <v>0</v>
      </c>
      <c r="P419" s="1" t="n">
        <f aca="false">IF(AND($K419=1,AND(对接源_01水果!$X419="公司筐",N(对接源_01水果!$T419)&lt;&gt;0)),1,0)</f>
        <v>0</v>
      </c>
      <c r="Q419" s="1" t="n">
        <f aca="false">N(Q418)+$P419</f>
        <v>3</v>
      </c>
      <c r="R419" s="1" t="n">
        <f aca="false">IF(AND($K419=1,AND(对接源_01水果!$X419="公司筐",N(对接源_01水果!$U419)&lt;&gt;0)),1,0)</f>
        <v>0</v>
      </c>
      <c r="S419" s="1" t="n">
        <f aca="false">N(S418)+$R419</f>
        <v>0</v>
      </c>
      <c r="T419" s="1" t="n">
        <f aca="false">IF(AND($K419=1,AND(对接源_01水果!$X419="公司筐",N(对接源_01水果!$V419)&lt;&gt;0)),1,0)</f>
        <v>0</v>
      </c>
      <c r="U419" s="1" t="n">
        <f aca="false">N(U418)+$T419</f>
        <v>28</v>
      </c>
      <c r="V419" s="1" t="n">
        <f aca="false">IF(AND($L419=1,AND(对接源_01水果!$X419="自备筐",N(对接源_01水果!$V419)&lt;&gt;0)),1,0)</f>
        <v>0</v>
      </c>
      <c r="W419" s="1" t="n">
        <f aca="false">N(W418)+$V419</f>
        <v>7</v>
      </c>
      <c r="X419" s="1" t="n">
        <f aca="false">IF(AND($L419=1,AND(对接源_01水果!$X419="自备筐",N(对接源_01水果!$T419)&lt;&gt;0)),1,0)</f>
        <v>0</v>
      </c>
      <c r="Y419" s="1" t="n">
        <f aca="false">N(Y418)+$X419</f>
        <v>0</v>
      </c>
      <c r="Z419" s="1" t="n">
        <f aca="false">IF(AND($M419=1,对接源_01水果!$D419="原料入库"),1,0)</f>
        <v>0</v>
      </c>
      <c r="AA419" s="1" t="n">
        <f aca="false">N(AA418)+$Z419</f>
        <v>30</v>
      </c>
      <c r="AB419" s="1" t="n">
        <f aca="false">IF(AND($M419=1,LEFT(对接源_01水果!$D419,4)="原料出库"),1,0)</f>
        <v>0</v>
      </c>
      <c r="AC419" s="1" t="n">
        <f aca="false">N(AC418)+$AB419</f>
        <v>19</v>
      </c>
      <c r="AD419" s="1" t="n">
        <f aca="false">IF(AND($M419=1,LEFT(对接源_01水果!$D419,4)="成品出库"),1,0)</f>
        <v>0</v>
      </c>
      <c r="AE419" s="1" t="n">
        <f aca="false">N(AE418)+$AD419</f>
        <v>38</v>
      </c>
      <c r="AF419" s="1" t="n">
        <f aca="false">IF(AND($N419=1,AND(LEFT(对接源_01水果!$D419,4)="包装物料",N(对接源_01水果!$K419)&lt;&gt;0)),1,0)</f>
        <v>0</v>
      </c>
      <c r="AG419" s="90" t="str">
        <f aca="false">IF(对接源_01水果!$AC419="","",对接源_01水果!$AC419)</f>
        <v/>
      </c>
      <c r="AH419" s="1" t="n">
        <f aca="false">IF(AND($N419=1,AND(LEFT(对接源_01水果!$D419,3)="周转筐",N(对接源_01水果!$K419)&lt;&gt;0)),1,0)</f>
        <v>0</v>
      </c>
      <c r="AI419" s="90" t="n">
        <f aca="false">IF(AG419="",0,IF(MATCH(AG419,$AG$4:$AG$1203,0)=ROW()-3,1,0))</f>
        <v>0</v>
      </c>
      <c r="AJ419" s="90" t="n">
        <f aca="false">N(AJ418)+AI419</f>
        <v>4</v>
      </c>
      <c r="AK419" s="1" t="n">
        <f aca="false">N(AK418)+$AJ419</f>
        <v>536</v>
      </c>
    </row>
    <row r="420" customFormat="false" ht="13.5" hidden="false" customHeight="false" outlineLevel="0" collapsed="false">
      <c r="A420" s="1" t="str">
        <f aca="false">IF(对接源_01水果!$C420="","",对接源_01水果!$C420)</f>
        <v/>
      </c>
      <c r="B420" s="1" t="n">
        <f aca="false">IF(A420="",0,IF(MATCH(A420,$A$4:$A$2403,0)=ROW()-3,1,0))</f>
        <v>0</v>
      </c>
      <c r="C420" s="1" t="n">
        <f aca="false">N(C419)+B420</f>
        <v>13</v>
      </c>
      <c r="K420" s="1" t="n">
        <f aca="false">IF(OR($K$1="",对接源_01水果!$C420="",对接源_01水果!$C420&lt;&gt;$K$1,对接源_01水果!$B420=""),0,IF(OR(N(对接源_01水果!$B420)&lt;$K$2,N(对接源_01水果!$B420)&gt;$K$3),0,1))</f>
        <v>0</v>
      </c>
      <c r="L420" s="1" t="n">
        <f aca="false">IF(OR($L$1="",对接源_01水果!$C420="",对接源_01水果!$C420&lt;&gt;$L$1,对接源_01水果!$B420=""),0,IF(OR(N(对接源_01水果!$B420)&lt;$L$2,N(对接源_01水果!$B420)&gt;$L$3),0,1))</f>
        <v>0</v>
      </c>
      <c r="M420" s="1" t="n">
        <f aca="false">IF(OR($M$1="",对接源_01水果!$C420="",对接源_01水果!$C420&lt;&gt;$M$1,对接源_01水果!$B420=""),0,IF(OR(N(对接源_01水果!$B420)&lt;$M$2,N(对接源_01水果!$B420)&gt;$M$3),0,1))</f>
        <v>0</v>
      </c>
      <c r="N420" s="1" t="n">
        <f aca="false">IF(OR($N$1="",对接源_01水果!$C420="",对接源_01水果!$C420&lt;&gt;$N$1,对接源_01水果!$B420=""),0,IF(OR(N(对接源_01水果!$B420)&lt;$N$2,N(对接源_01水果!$B420)&gt;$N$3),0,1))</f>
        <v>0</v>
      </c>
      <c r="P420" s="1" t="n">
        <f aca="false">IF(AND($K420=1,AND(对接源_01水果!$X420="公司筐",N(对接源_01水果!$T420)&lt;&gt;0)),1,0)</f>
        <v>0</v>
      </c>
      <c r="Q420" s="1" t="n">
        <f aca="false">N(Q419)+$P420</f>
        <v>3</v>
      </c>
      <c r="R420" s="1" t="n">
        <f aca="false">IF(AND($K420=1,AND(对接源_01水果!$X420="公司筐",N(对接源_01水果!$U420)&lt;&gt;0)),1,0)</f>
        <v>0</v>
      </c>
      <c r="S420" s="1" t="n">
        <f aca="false">N(S419)+$R420</f>
        <v>0</v>
      </c>
      <c r="T420" s="1" t="n">
        <f aca="false">IF(AND($K420=1,AND(对接源_01水果!$X420="公司筐",N(对接源_01水果!$V420)&lt;&gt;0)),1,0)</f>
        <v>0</v>
      </c>
      <c r="U420" s="1" t="n">
        <f aca="false">N(U419)+$T420</f>
        <v>28</v>
      </c>
      <c r="V420" s="1" t="n">
        <f aca="false">IF(AND($L420=1,AND(对接源_01水果!$X420="自备筐",N(对接源_01水果!$V420)&lt;&gt;0)),1,0)</f>
        <v>0</v>
      </c>
      <c r="W420" s="1" t="n">
        <f aca="false">N(W419)+$V420</f>
        <v>7</v>
      </c>
      <c r="X420" s="1" t="n">
        <f aca="false">IF(AND($L420=1,AND(对接源_01水果!$X420="自备筐",N(对接源_01水果!$T420)&lt;&gt;0)),1,0)</f>
        <v>0</v>
      </c>
      <c r="Y420" s="1" t="n">
        <f aca="false">N(Y419)+$X420</f>
        <v>0</v>
      </c>
      <c r="Z420" s="1" t="n">
        <f aca="false">IF(AND($M420=1,对接源_01水果!$D420="原料入库"),1,0)</f>
        <v>0</v>
      </c>
      <c r="AA420" s="1" t="n">
        <f aca="false">N(AA419)+$Z420</f>
        <v>30</v>
      </c>
      <c r="AB420" s="1" t="n">
        <f aca="false">IF(AND($M420=1,LEFT(对接源_01水果!$D420,4)="原料出库"),1,0)</f>
        <v>0</v>
      </c>
      <c r="AC420" s="1" t="n">
        <f aca="false">N(AC419)+$AB420</f>
        <v>19</v>
      </c>
      <c r="AD420" s="1" t="n">
        <f aca="false">IF(AND($M420=1,LEFT(对接源_01水果!$D420,4)="成品出库"),1,0)</f>
        <v>0</v>
      </c>
      <c r="AE420" s="1" t="n">
        <f aca="false">N(AE419)+$AD420</f>
        <v>38</v>
      </c>
      <c r="AF420" s="1" t="n">
        <f aca="false">IF(AND($N420=1,AND(LEFT(对接源_01水果!$D420,4)="包装物料",N(对接源_01水果!$K420)&lt;&gt;0)),1,0)</f>
        <v>0</v>
      </c>
      <c r="AG420" s="90" t="str">
        <f aca="false">IF(对接源_01水果!$AC420="","",对接源_01水果!$AC420)</f>
        <v/>
      </c>
      <c r="AH420" s="1" t="n">
        <f aca="false">IF(AND($N420=1,AND(LEFT(对接源_01水果!$D420,3)="周转筐",N(对接源_01水果!$K420)&lt;&gt;0)),1,0)</f>
        <v>0</v>
      </c>
      <c r="AI420" s="90" t="n">
        <f aca="false">IF(AG420="",0,IF(MATCH(AG420,$AG$4:$AG$1203,0)=ROW()-3,1,0))</f>
        <v>0</v>
      </c>
      <c r="AJ420" s="90" t="n">
        <f aca="false">N(AJ419)+AI420</f>
        <v>4</v>
      </c>
      <c r="AK420" s="1" t="n">
        <f aca="false">N(AK419)+$AJ420</f>
        <v>540</v>
      </c>
    </row>
    <row r="421" customFormat="false" ht="13.5" hidden="false" customHeight="false" outlineLevel="0" collapsed="false">
      <c r="A421" s="1" t="str">
        <f aca="false">IF(对接源_01水果!$C421="","",对接源_01水果!$C421)</f>
        <v/>
      </c>
      <c r="B421" s="1" t="n">
        <f aca="false">IF(A421="",0,IF(MATCH(A421,$A$4:$A$2403,0)=ROW()-3,1,0))</f>
        <v>0</v>
      </c>
      <c r="C421" s="1" t="n">
        <f aca="false">N(C420)+B421</f>
        <v>13</v>
      </c>
      <c r="K421" s="1" t="n">
        <f aca="false">IF(OR($K$1="",对接源_01水果!$C421="",对接源_01水果!$C421&lt;&gt;$K$1,对接源_01水果!$B421=""),0,IF(OR(N(对接源_01水果!$B421)&lt;$K$2,N(对接源_01水果!$B421)&gt;$K$3),0,1))</f>
        <v>0</v>
      </c>
      <c r="L421" s="1" t="n">
        <f aca="false">IF(OR($L$1="",对接源_01水果!$C421="",对接源_01水果!$C421&lt;&gt;$L$1,对接源_01水果!$B421=""),0,IF(OR(N(对接源_01水果!$B421)&lt;$L$2,N(对接源_01水果!$B421)&gt;$L$3),0,1))</f>
        <v>0</v>
      </c>
      <c r="M421" s="1" t="n">
        <f aca="false">IF(OR($M$1="",对接源_01水果!$C421="",对接源_01水果!$C421&lt;&gt;$M$1,对接源_01水果!$B421=""),0,IF(OR(N(对接源_01水果!$B421)&lt;$M$2,N(对接源_01水果!$B421)&gt;$M$3),0,1))</f>
        <v>0</v>
      </c>
      <c r="N421" s="1" t="n">
        <f aca="false">IF(OR($N$1="",对接源_01水果!$C421="",对接源_01水果!$C421&lt;&gt;$N$1,对接源_01水果!$B421=""),0,IF(OR(N(对接源_01水果!$B421)&lt;$N$2,N(对接源_01水果!$B421)&gt;$N$3),0,1))</f>
        <v>0</v>
      </c>
      <c r="P421" s="1" t="n">
        <f aca="false">IF(AND($K421=1,AND(对接源_01水果!$X421="公司筐",N(对接源_01水果!$T421)&lt;&gt;0)),1,0)</f>
        <v>0</v>
      </c>
      <c r="Q421" s="1" t="n">
        <f aca="false">N(Q420)+$P421</f>
        <v>3</v>
      </c>
      <c r="R421" s="1" t="n">
        <f aca="false">IF(AND($K421=1,AND(对接源_01水果!$X421="公司筐",N(对接源_01水果!$U421)&lt;&gt;0)),1,0)</f>
        <v>0</v>
      </c>
      <c r="S421" s="1" t="n">
        <f aca="false">N(S420)+$R421</f>
        <v>0</v>
      </c>
      <c r="T421" s="1" t="n">
        <f aca="false">IF(AND($K421=1,AND(对接源_01水果!$X421="公司筐",N(对接源_01水果!$V421)&lt;&gt;0)),1,0)</f>
        <v>0</v>
      </c>
      <c r="U421" s="1" t="n">
        <f aca="false">N(U420)+$T421</f>
        <v>28</v>
      </c>
      <c r="V421" s="1" t="n">
        <f aca="false">IF(AND($L421=1,AND(对接源_01水果!$X421="自备筐",N(对接源_01水果!$V421)&lt;&gt;0)),1,0)</f>
        <v>0</v>
      </c>
      <c r="W421" s="1" t="n">
        <f aca="false">N(W420)+$V421</f>
        <v>7</v>
      </c>
      <c r="X421" s="1" t="n">
        <f aca="false">IF(AND($L421=1,AND(对接源_01水果!$X421="自备筐",N(对接源_01水果!$T421)&lt;&gt;0)),1,0)</f>
        <v>0</v>
      </c>
      <c r="Y421" s="1" t="n">
        <f aca="false">N(Y420)+$X421</f>
        <v>0</v>
      </c>
      <c r="Z421" s="1" t="n">
        <f aca="false">IF(AND($M421=1,对接源_01水果!$D421="原料入库"),1,0)</f>
        <v>0</v>
      </c>
      <c r="AA421" s="1" t="n">
        <f aca="false">N(AA420)+$Z421</f>
        <v>30</v>
      </c>
      <c r="AB421" s="1" t="n">
        <f aca="false">IF(AND($M421=1,LEFT(对接源_01水果!$D421,4)="原料出库"),1,0)</f>
        <v>0</v>
      </c>
      <c r="AC421" s="1" t="n">
        <f aca="false">N(AC420)+$AB421</f>
        <v>19</v>
      </c>
      <c r="AD421" s="1" t="n">
        <f aca="false">IF(AND($M421=1,LEFT(对接源_01水果!$D421,4)="成品出库"),1,0)</f>
        <v>0</v>
      </c>
      <c r="AE421" s="1" t="n">
        <f aca="false">N(AE420)+$AD421</f>
        <v>38</v>
      </c>
      <c r="AF421" s="1" t="n">
        <f aca="false">IF(AND($N421=1,AND(LEFT(对接源_01水果!$D421,4)="包装物料",N(对接源_01水果!$K421)&lt;&gt;0)),1,0)</f>
        <v>0</v>
      </c>
      <c r="AG421" s="90" t="str">
        <f aca="false">IF(对接源_01水果!$AC421="","",对接源_01水果!$AC421)</f>
        <v/>
      </c>
      <c r="AH421" s="1" t="n">
        <f aca="false">IF(AND($N421=1,AND(LEFT(对接源_01水果!$D421,3)="周转筐",N(对接源_01水果!$K421)&lt;&gt;0)),1,0)</f>
        <v>0</v>
      </c>
      <c r="AI421" s="90" t="n">
        <f aca="false">IF(AG421="",0,IF(MATCH(AG421,$AG$4:$AG$1203,0)=ROW()-3,1,0))</f>
        <v>0</v>
      </c>
      <c r="AJ421" s="90" t="n">
        <f aca="false">N(AJ420)+AI421</f>
        <v>4</v>
      </c>
      <c r="AK421" s="1" t="n">
        <f aca="false">N(AK420)+$AJ421</f>
        <v>544</v>
      </c>
    </row>
    <row r="422" customFormat="false" ht="13.5" hidden="false" customHeight="false" outlineLevel="0" collapsed="false">
      <c r="A422" s="1" t="str">
        <f aca="false">IF(对接源_01水果!$C422="","",对接源_01水果!$C422)</f>
        <v/>
      </c>
      <c r="B422" s="1" t="n">
        <f aca="false">IF(A422="",0,IF(MATCH(A422,$A$4:$A$2403,0)=ROW()-3,1,0))</f>
        <v>0</v>
      </c>
      <c r="C422" s="1" t="n">
        <f aca="false">N(C421)+B422</f>
        <v>13</v>
      </c>
      <c r="K422" s="1" t="n">
        <f aca="false">IF(OR($K$1="",对接源_01水果!$C422="",对接源_01水果!$C422&lt;&gt;$K$1,对接源_01水果!$B422=""),0,IF(OR(N(对接源_01水果!$B422)&lt;$K$2,N(对接源_01水果!$B422)&gt;$K$3),0,1))</f>
        <v>0</v>
      </c>
      <c r="L422" s="1" t="n">
        <f aca="false">IF(OR($L$1="",对接源_01水果!$C422="",对接源_01水果!$C422&lt;&gt;$L$1,对接源_01水果!$B422=""),0,IF(OR(N(对接源_01水果!$B422)&lt;$L$2,N(对接源_01水果!$B422)&gt;$L$3),0,1))</f>
        <v>0</v>
      </c>
      <c r="M422" s="1" t="n">
        <f aca="false">IF(OR($M$1="",对接源_01水果!$C422="",对接源_01水果!$C422&lt;&gt;$M$1,对接源_01水果!$B422=""),0,IF(OR(N(对接源_01水果!$B422)&lt;$M$2,N(对接源_01水果!$B422)&gt;$M$3),0,1))</f>
        <v>0</v>
      </c>
      <c r="N422" s="1" t="n">
        <f aca="false">IF(OR($N$1="",对接源_01水果!$C422="",对接源_01水果!$C422&lt;&gt;$N$1,对接源_01水果!$B422=""),0,IF(OR(N(对接源_01水果!$B422)&lt;$N$2,N(对接源_01水果!$B422)&gt;$N$3),0,1))</f>
        <v>0</v>
      </c>
      <c r="P422" s="1" t="n">
        <f aca="false">IF(AND($K422=1,AND(对接源_01水果!$X422="公司筐",N(对接源_01水果!$T422)&lt;&gt;0)),1,0)</f>
        <v>0</v>
      </c>
      <c r="Q422" s="1" t="n">
        <f aca="false">N(Q421)+$P422</f>
        <v>3</v>
      </c>
      <c r="R422" s="1" t="n">
        <f aca="false">IF(AND($K422=1,AND(对接源_01水果!$X422="公司筐",N(对接源_01水果!$U422)&lt;&gt;0)),1,0)</f>
        <v>0</v>
      </c>
      <c r="S422" s="1" t="n">
        <f aca="false">N(S421)+$R422</f>
        <v>0</v>
      </c>
      <c r="T422" s="1" t="n">
        <f aca="false">IF(AND($K422=1,AND(对接源_01水果!$X422="公司筐",N(对接源_01水果!$V422)&lt;&gt;0)),1,0)</f>
        <v>0</v>
      </c>
      <c r="U422" s="1" t="n">
        <f aca="false">N(U421)+$T422</f>
        <v>28</v>
      </c>
      <c r="V422" s="1" t="n">
        <f aca="false">IF(AND($L422=1,AND(对接源_01水果!$X422="自备筐",N(对接源_01水果!$V422)&lt;&gt;0)),1,0)</f>
        <v>0</v>
      </c>
      <c r="W422" s="1" t="n">
        <f aca="false">N(W421)+$V422</f>
        <v>7</v>
      </c>
      <c r="X422" s="1" t="n">
        <f aca="false">IF(AND($L422=1,AND(对接源_01水果!$X422="自备筐",N(对接源_01水果!$T422)&lt;&gt;0)),1,0)</f>
        <v>0</v>
      </c>
      <c r="Y422" s="1" t="n">
        <f aca="false">N(Y421)+$X422</f>
        <v>0</v>
      </c>
      <c r="Z422" s="1" t="n">
        <f aca="false">IF(AND($M422=1,对接源_01水果!$D422="原料入库"),1,0)</f>
        <v>0</v>
      </c>
      <c r="AA422" s="1" t="n">
        <f aca="false">N(AA421)+$Z422</f>
        <v>30</v>
      </c>
      <c r="AB422" s="1" t="n">
        <f aca="false">IF(AND($M422=1,LEFT(对接源_01水果!$D422,4)="原料出库"),1,0)</f>
        <v>0</v>
      </c>
      <c r="AC422" s="1" t="n">
        <f aca="false">N(AC421)+$AB422</f>
        <v>19</v>
      </c>
      <c r="AD422" s="1" t="n">
        <f aca="false">IF(AND($M422=1,LEFT(对接源_01水果!$D422,4)="成品出库"),1,0)</f>
        <v>0</v>
      </c>
      <c r="AE422" s="1" t="n">
        <f aca="false">N(AE421)+$AD422</f>
        <v>38</v>
      </c>
      <c r="AF422" s="1" t="n">
        <f aca="false">IF(AND($N422=1,AND(LEFT(对接源_01水果!$D422,4)="包装物料",N(对接源_01水果!$K422)&lt;&gt;0)),1,0)</f>
        <v>0</v>
      </c>
      <c r="AG422" s="90" t="str">
        <f aca="false">IF(对接源_01水果!$AC422="","",对接源_01水果!$AC422)</f>
        <v/>
      </c>
      <c r="AH422" s="1" t="n">
        <f aca="false">IF(AND($N422=1,AND(LEFT(对接源_01水果!$D422,3)="周转筐",N(对接源_01水果!$K422)&lt;&gt;0)),1,0)</f>
        <v>0</v>
      </c>
      <c r="AI422" s="90" t="n">
        <f aca="false">IF(AG422="",0,IF(MATCH(AG422,$AG$4:$AG$1203,0)=ROW()-3,1,0))</f>
        <v>0</v>
      </c>
      <c r="AJ422" s="90" t="n">
        <f aca="false">N(AJ421)+AI422</f>
        <v>4</v>
      </c>
      <c r="AK422" s="1" t="n">
        <f aca="false">N(AK421)+$AJ422</f>
        <v>548</v>
      </c>
    </row>
    <row r="423" customFormat="false" ht="13.5" hidden="false" customHeight="false" outlineLevel="0" collapsed="false">
      <c r="A423" s="1" t="str">
        <f aca="false">IF(对接源_01水果!$C423="","",对接源_01水果!$C423)</f>
        <v/>
      </c>
      <c r="B423" s="1" t="n">
        <f aca="false">IF(A423="",0,IF(MATCH(A423,$A$4:$A$2403,0)=ROW()-3,1,0))</f>
        <v>0</v>
      </c>
      <c r="C423" s="1" t="n">
        <f aca="false">N(C422)+B423</f>
        <v>13</v>
      </c>
      <c r="K423" s="1" t="n">
        <f aca="false">IF(OR($K$1="",对接源_01水果!$C423="",对接源_01水果!$C423&lt;&gt;$K$1,对接源_01水果!$B423=""),0,IF(OR(N(对接源_01水果!$B423)&lt;$K$2,N(对接源_01水果!$B423)&gt;$K$3),0,1))</f>
        <v>0</v>
      </c>
      <c r="L423" s="1" t="n">
        <f aca="false">IF(OR($L$1="",对接源_01水果!$C423="",对接源_01水果!$C423&lt;&gt;$L$1,对接源_01水果!$B423=""),0,IF(OR(N(对接源_01水果!$B423)&lt;$L$2,N(对接源_01水果!$B423)&gt;$L$3),0,1))</f>
        <v>0</v>
      </c>
      <c r="M423" s="1" t="n">
        <f aca="false">IF(OR($M$1="",对接源_01水果!$C423="",对接源_01水果!$C423&lt;&gt;$M$1,对接源_01水果!$B423=""),0,IF(OR(N(对接源_01水果!$B423)&lt;$M$2,N(对接源_01水果!$B423)&gt;$M$3),0,1))</f>
        <v>0</v>
      </c>
      <c r="N423" s="1" t="n">
        <f aca="false">IF(OR($N$1="",对接源_01水果!$C423="",对接源_01水果!$C423&lt;&gt;$N$1,对接源_01水果!$B423=""),0,IF(OR(N(对接源_01水果!$B423)&lt;$N$2,N(对接源_01水果!$B423)&gt;$N$3),0,1))</f>
        <v>0</v>
      </c>
      <c r="P423" s="1" t="n">
        <f aca="false">IF(AND($K423=1,AND(对接源_01水果!$X423="公司筐",N(对接源_01水果!$T423)&lt;&gt;0)),1,0)</f>
        <v>0</v>
      </c>
      <c r="Q423" s="1" t="n">
        <f aca="false">N(Q422)+$P423</f>
        <v>3</v>
      </c>
      <c r="R423" s="1" t="n">
        <f aca="false">IF(AND($K423=1,AND(对接源_01水果!$X423="公司筐",N(对接源_01水果!$U423)&lt;&gt;0)),1,0)</f>
        <v>0</v>
      </c>
      <c r="S423" s="1" t="n">
        <f aca="false">N(S422)+$R423</f>
        <v>0</v>
      </c>
      <c r="T423" s="1" t="n">
        <f aca="false">IF(AND($K423=1,AND(对接源_01水果!$X423="公司筐",N(对接源_01水果!$V423)&lt;&gt;0)),1,0)</f>
        <v>0</v>
      </c>
      <c r="U423" s="1" t="n">
        <f aca="false">N(U422)+$T423</f>
        <v>28</v>
      </c>
      <c r="V423" s="1" t="n">
        <f aca="false">IF(AND($L423=1,AND(对接源_01水果!$X423="自备筐",N(对接源_01水果!$V423)&lt;&gt;0)),1,0)</f>
        <v>0</v>
      </c>
      <c r="W423" s="1" t="n">
        <f aca="false">N(W422)+$V423</f>
        <v>7</v>
      </c>
      <c r="X423" s="1" t="n">
        <f aca="false">IF(AND($L423=1,AND(对接源_01水果!$X423="自备筐",N(对接源_01水果!$T423)&lt;&gt;0)),1,0)</f>
        <v>0</v>
      </c>
      <c r="Y423" s="1" t="n">
        <f aca="false">N(Y422)+$X423</f>
        <v>0</v>
      </c>
      <c r="Z423" s="1" t="n">
        <f aca="false">IF(AND($M423=1,对接源_01水果!$D423="原料入库"),1,0)</f>
        <v>0</v>
      </c>
      <c r="AA423" s="1" t="n">
        <f aca="false">N(AA422)+$Z423</f>
        <v>30</v>
      </c>
      <c r="AB423" s="1" t="n">
        <f aca="false">IF(AND($M423=1,LEFT(对接源_01水果!$D423,4)="原料出库"),1,0)</f>
        <v>0</v>
      </c>
      <c r="AC423" s="1" t="n">
        <f aca="false">N(AC422)+$AB423</f>
        <v>19</v>
      </c>
      <c r="AD423" s="1" t="n">
        <f aca="false">IF(AND($M423=1,LEFT(对接源_01水果!$D423,4)="成品出库"),1,0)</f>
        <v>0</v>
      </c>
      <c r="AE423" s="1" t="n">
        <f aca="false">N(AE422)+$AD423</f>
        <v>38</v>
      </c>
      <c r="AF423" s="1" t="n">
        <f aca="false">IF(AND($N423=1,AND(LEFT(对接源_01水果!$D423,4)="包装物料",N(对接源_01水果!$K423)&lt;&gt;0)),1,0)</f>
        <v>0</v>
      </c>
      <c r="AG423" s="90" t="str">
        <f aca="false">IF(对接源_01水果!$AC423="","",对接源_01水果!$AC423)</f>
        <v/>
      </c>
      <c r="AH423" s="1" t="n">
        <f aca="false">IF(AND($N423=1,AND(LEFT(对接源_01水果!$D423,3)="周转筐",N(对接源_01水果!$K423)&lt;&gt;0)),1,0)</f>
        <v>0</v>
      </c>
      <c r="AI423" s="90" t="n">
        <f aca="false">IF(AG423="",0,IF(MATCH(AG423,$AG$4:$AG$1203,0)=ROW()-3,1,0))</f>
        <v>0</v>
      </c>
      <c r="AJ423" s="90" t="n">
        <f aca="false">N(AJ422)+AI423</f>
        <v>4</v>
      </c>
      <c r="AK423" s="1" t="n">
        <f aca="false">N(AK422)+$AJ423</f>
        <v>552</v>
      </c>
    </row>
    <row r="424" customFormat="false" ht="13.5" hidden="false" customHeight="false" outlineLevel="0" collapsed="false">
      <c r="A424" s="1" t="str">
        <f aca="false">IF(对接源_01水果!$C424="","",对接源_01水果!$C424)</f>
        <v/>
      </c>
      <c r="B424" s="1" t="n">
        <f aca="false">IF(A424="",0,IF(MATCH(A424,$A$4:$A$2403,0)=ROW()-3,1,0))</f>
        <v>0</v>
      </c>
      <c r="C424" s="1" t="n">
        <f aca="false">N(C423)+B424</f>
        <v>13</v>
      </c>
      <c r="K424" s="1" t="n">
        <f aca="false">IF(OR($K$1="",对接源_01水果!$C424="",对接源_01水果!$C424&lt;&gt;$K$1,对接源_01水果!$B424=""),0,IF(OR(N(对接源_01水果!$B424)&lt;$K$2,N(对接源_01水果!$B424)&gt;$K$3),0,1))</f>
        <v>0</v>
      </c>
      <c r="L424" s="1" t="n">
        <f aca="false">IF(OR($L$1="",对接源_01水果!$C424="",对接源_01水果!$C424&lt;&gt;$L$1,对接源_01水果!$B424=""),0,IF(OR(N(对接源_01水果!$B424)&lt;$L$2,N(对接源_01水果!$B424)&gt;$L$3),0,1))</f>
        <v>0</v>
      </c>
      <c r="M424" s="1" t="n">
        <f aca="false">IF(OR($M$1="",对接源_01水果!$C424="",对接源_01水果!$C424&lt;&gt;$M$1,对接源_01水果!$B424=""),0,IF(OR(N(对接源_01水果!$B424)&lt;$M$2,N(对接源_01水果!$B424)&gt;$M$3),0,1))</f>
        <v>0</v>
      </c>
      <c r="N424" s="1" t="n">
        <f aca="false">IF(OR($N$1="",对接源_01水果!$C424="",对接源_01水果!$C424&lt;&gt;$N$1,对接源_01水果!$B424=""),0,IF(OR(N(对接源_01水果!$B424)&lt;$N$2,N(对接源_01水果!$B424)&gt;$N$3),0,1))</f>
        <v>0</v>
      </c>
      <c r="P424" s="1" t="n">
        <f aca="false">IF(AND($K424=1,AND(对接源_01水果!$X424="公司筐",N(对接源_01水果!$T424)&lt;&gt;0)),1,0)</f>
        <v>0</v>
      </c>
      <c r="Q424" s="1" t="n">
        <f aca="false">N(Q423)+$P424</f>
        <v>3</v>
      </c>
      <c r="R424" s="1" t="n">
        <f aca="false">IF(AND($K424=1,AND(对接源_01水果!$X424="公司筐",N(对接源_01水果!$U424)&lt;&gt;0)),1,0)</f>
        <v>0</v>
      </c>
      <c r="S424" s="1" t="n">
        <f aca="false">N(S423)+$R424</f>
        <v>0</v>
      </c>
      <c r="T424" s="1" t="n">
        <f aca="false">IF(AND($K424=1,AND(对接源_01水果!$X424="公司筐",N(对接源_01水果!$V424)&lt;&gt;0)),1,0)</f>
        <v>0</v>
      </c>
      <c r="U424" s="1" t="n">
        <f aca="false">N(U423)+$T424</f>
        <v>28</v>
      </c>
      <c r="V424" s="1" t="n">
        <f aca="false">IF(AND($L424=1,AND(对接源_01水果!$X424="自备筐",N(对接源_01水果!$V424)&lt;&gt;0)),1,0)</f>
        <v>0</v>
      </c>
      <c r="W424" s="1" t="n">
        <f aca="false">N(W423)+$V424</f>
        <v>7</v>
      </c>
      <c r="X424" s="1" t="n">
        <f aca="false">IF(AND($L424=1,AND(对接源_01水果!$X424="自备筐",N(对接源_01水果!$T424)&lt;&gt;0)),1,0)</f>
        <v>0</v>
      </c>
      <c r="Y424" s="1" t="n">
        <f aca="false">N(Y423)+$X424</f>
        <v>0</v>
      </c>
      <c r="Z424" s="1" t="n">
        <f aca="false">IF(AND($M424=1,对接源_01水果!$D424="原料入库"),1,0)</f>
        <v>0</v>
      </c>
      <c r="AA424" s="1" t="n">
        <f aca="false">N(AA423)+$Z424</f>
        <v>30</v>
      </c>
      <c r="AB424" s="1" t="n">
        <f aca="false">IF(AND($M424=1,LEFT(对接源_01水果!$D424,4)="原料出库"),1,0)</f>
        <v>0</v>
      </c>
      <c r="AC424" s="1" t="n">
        <f aca="false">N(AC423)+$AB424</f>
        <v>19</v>
      </c>
      <c r="AD424" s="1" t="n">
        <f aca="false">IF(AND($M424=1,LEFT(对接源_01水果!$D424,4)="成品出库"),1,0)</f>
        <v>0</v>
      </c>
      <c r="AE424" s="1" t="n">
        <f aca="false">N(AE423)+$AD424</f>
        <v>38</v>
      </c>
      <c r="AF424" s="1" t="n">
        <f aca="false">IF(AND($N424=1,AND(LEFT(对接源_01水果!$D424,4)="包装物料",N(对接源_01水果!$K424)&lt;&gt;0)),1,0)</f>
        <v>0</v>
      </c>
      <c r="AG424" s="90" t="str">
        <f aca="false">IF(对接源_01水果!$AC424="","",对接源_01水果!$AC424)</f>
        <v/>
      </c>
      <c r="AH424" s="1" t="n">
        <f aca="false">IF(AND($N424=1,AND(LEFT(对接源_01水果!$D424,3)="周转筐",N(对接源_01水果!$K424)&lt;&gt;0)),1,0)</f>
        <v>0</v>
      </c>
      <c r="AI424" s="90" t="n">
        <f aca="false">IF(AG424="",0,IF(MATCH(AG424,$AG$4:$AG$1203,0)=ROW()-3,1,0))</f>
        <v>0</v>
      </c>
      <c r="AJ424" s="90" t="n">
        <f aca="false">N(AJ423)+AI424</f>
        <v>4</v>
      </c>
      <c r="AK424" s="1" t="n">
        <f aca="false">N(AK423)+$AJ424</f>
        <v>556</v>
      </c>
    </row>
    <row r="425" customFormat="false" ht="13.5" hidden="false" customHeight="false" outlineLevel="0" collapsed="false">
      <c r="A425" s="1" t="str">
        <f aca="false">IF(对接源_01水果!$C425="","",对接源_01水果!$C425)</f>
        <v/>
      </c>
      <c r="B425" s="1" t="n">
        <f aca="false">IF(A425="",0,IF(MATCH(A425,$A$4:$A$2403,0)=ROW()-3,1,0))</f>
        <v>0</v>
      </c>
      <c r="C425" s="1" t="n">
        <f aca="false">N(C424)+B425</f>
        <v>13</v>
      </c>
      <c r="K425" s="1" t="n">
        <f aca="false">IF(OR($K$1="",对接源_01水果!$C425="",对接源_01水果!$C425&lt;&gt;$K$1,对接源_01水果!$B425=""),0,IF(OR(N(对接源_01水果!$B425)&lt;$K$2,N(对接源_01水果!$B425)&gt;$K$3),0,1))</f>
        <v>0</v>
      </c>
      <c r="L425" s="1" t="n">
        <f aca="false">IF(OR($L$1="",对接源_01水果!$C425="",对接源_01水果!$C425&lt;&gt;$L$1,对接源_01水果!$B425=""),0,IF(OR(N(对接源_01水果!$B425)&lt;$L$2,N(对接源_01水果!$B425)&gt;$L$3),0,1))</f>
        <v>0</v>
      </c>
      <c r="M425" s="1" t="n">
        <f aca="false">IF(OR($M$1="",对接源_01水果!$C425="",对接源_01水果!$C425&lt;&gt;$M$1,对接源_01水果!$B425=""),0,IF(OR(N(对接源_01水果!$B425)&lt;$M$2,N(对接源_01水果!$B425)&gt;$M$3),0,1))</f>
        <v>0</v>
      </c>
      <c r="N425" s="1" t="n">
        <f aca="false">IF(OR($N$1="",对接源_01水果!$C425="",对接源_01水果!$C425&lt;&gt;$N$1,对接源_01水果!$B425=""),0,IF(OR(N(对接源_01水果!$B425)&lt;$N$2,N(对接源_01水果!$B425)&gt;$N$3),0,1))</f>
        <v>0</v>
      </c>
      <c r="P425" s="1" t="n">
        <f aca="false">IF(AND($K425=1,AND(对接源_01水果!$X425="公司筐",N(对接源_01水果!$T425)&lt;&gt;0)),1,0)</f>
        <v>0</v>
      </c>
      <c r="Q425" s="1" t="n">
        <f aca="false">N(Q424)+$P425</f>
        <v>3</v>
      </c>
      <c r="R425" s="1" t="n">
        <f aca="false">IF(AND($K425=1,AND(对接源_01水果!$X425="公司筐",N(对接源_01水果!$U425)&lt;&gt;0)),1,0)</f>
        <v>0</v>
      </c>
      <c r="S425" s="1" t="n">
        <f aca="false">N(S424)+$R425</f>
        <v>0</v>
      </c>
      <c r="T425" s="1" t="n">
        <f aca="false">IF(AND($K425=1,AND(对接源_01水果!$X425="公司筐",N(对接源_01水果!$V425)&lt;&gt;0)),1,0)</f>
        <v>0</v>
      </c>
      <c r="U425" s="1" t="n">
        <f aca="false">N(U424)+$T425</f>
        <v>28</v>
      </c>
      <c r="V425" s="1" t="n">
        <f aca="false">IF(AND($L425=1,AND(对接源_01水果!$X425="自备筐",N(对接源_01水果!$V425)&lt;&gt;0)),1,0)</f>
        <v>0</v>
      </c>
      <c r="W425" s="1" t="n">
        <f aca="false">N(W424)+$V425</f>
        <v>7</v>
      </c>
      <c r="X425" s="1" t="n">
        <f aca="false">IF(AND($L425=1,AND(对接源_01水果!$X425="自备筐",N(对接源_01水果!$T425)&lt;&gt;0)),1,0)</f>
        <v>0</v>
      </c>
      <c r="Y425" s="1" t="n">
        <f aca="false">N(Y424)+$X425</f>
        <v>0</v>
      </c>
      <c r="Z425" s="1" t="n">
        <f aca="false">IF(AND($M425=1,对接源_01水果!$D425="原料入库"),1,0)</f>
        <v>0</v>
      </c>
      <c r="AA425" s="1" t="n">
        <f aca="false">N(AA424)+$Z425</f>
        <v>30</v>
      </c>
      <c r="AB425" s="1" t="n">
        <f aca="false">IF(AND($M425=1,LEFT(对接源_01水果!$D425,4)="原料出库"),1,0)</f>
        <v>0</v>
      </c>
      <c r="AC425" s="1" t="n">
        <f aca="false">N(AC424)+$AB425</f>
        <v>19</v>
      </c>
      <c r="AD425" s="1" t="n">
        <f aca="false">IF(AND($M425=1,LEFT(对接源_01水果!$D425,4)="成品出库"),1,0)</f>
        <v>0</v>
      </c>
      <c r="AE425" s="1" t="n">
        <f aca="false">N(AE424)+$AD425</f>
        <v>38</v>
      </c>
      <c r="AF425" s="1" t="n">
        <f aca="false">IF(AND($N425=1,AND(LEFT(对接源_01水果!$D425,4)="包装物料",N(对接源_01水果!$K425)&lt;&gt;0)),1,0)</f>
        <v>0</v>
      </c>
      <c r="AG425" s="90" t="str">
        <f aca="false">IF(对接源_01水果!$AC425="","",对接源_01水果!$AC425)</f>
        <v/>
      </c>
      <c r="AH425" s="1" t="n">
        <f aca="false">IF(AND($N425=1,AND(LEFT(对接源_01水果!$D425,3)="周转筐",N(对接源_01水果!$K425)&lt;&gt;0)),1,0)</f>
        <v>0</v>
      </c>
      <c r="AI425" s="90" t="n">
        <f aca="false">IF(AG425="",0,IF(MATCH(AG425,$AG$4:$AG$1203,0)=ROW()-3,1,0))</f>
        <v>0</v>
      </c>
      <c r="AJ425" s="90" t="n">
        <f aca="false">N(AJ424)+AI425</f>
        <v>4</v>
      </c>
      <c r="AK425" s="1" t="n">
        <f aca="false">N(AK424)+$AJ425</f>
        <v>560</v>
      </c>
    </row>
    <row r="426" customFormat="false" ht="13.5" hidden="false" customHeight="false" outlineLevel="0" collapsed="false">
      <c r="A426" s="1" t="str">
        <f aca="false">IF(对接源_01水果!$C426="","",对接源_01水果!$C426)</f>
        <v/>
      </c>
      <c r="B426" s="1" t="n">
        <f aca="false">IF(A426="",0,IF(MATCH(A426,$A$4:$A$2403,0)=ROW()-3,1,0))</f>
        <v>0</v>
      </c>
      <c r="C426" s="1" t="n">
        <f aca="false">N(C425)+B426</f>
        <v>13</v>
      </c>
      <c r="K426" s="1" t="n">
        <f aca="false">IF(OR($K$1="",对接源_01水果!$C426="",对接源_01水果!$C426&lt;&gt;$K$1,对接源_01水果!$B426=""),0,IF(OR(N(对接源_01水果!$B426)&lt;$K$2,N(对接源_01水果!$B426)&gt;$K$3),0,1))</f>
        <v>0</v>
      </c>
      <c r="L426" s="1" t="n">
        <f aca="false">IF(OR($L$1="",对接源_01水果!$C426="",对接源_01水果!$C426&lt;&gt;$L$1,对接源_01水果!$B426=""),0,IF(OR(N(对接源_01水果!$B426)&lt;$L$2,N(对接源_01水果!$B426)&gt;$L$3),0,1))</f>
        <v>0</v>
      </c>
      <c r="M426" s="1" t="n">
        <f aca="false">IF(OR($M$1="",对接源_01水果!$C426="",对接源_01水果!$C426&lt;&gt;$M$1,对接源_01水果!$B426=""),0,IF(OR(N(对接源_01水果!$B426)&lt;$M$2,N(对接源_01水果!$B426)&gt;$M$3),0,1))</f>
        <v>0</v>
      </c>
      <c r="N426" s="1" t="n">
        <f aca="false">IF(OR($N$1="",对接源_01水果!$C426="",对接源_01水果!$C426&lt;&gt;$N$1,对接源_01水果!$B426=""),0,IF(OR(N(对接源_01水果!$B426)&lt;$N$2,N(对接源_01水果!$B426)&gt;$N$3),0,1))</f>
        <v>0</v>
      </c>
      <c r="P426" s="1" t="n">
        <f aca="false">IF(AND($K426=1,AND(对接源_01水果!$X426="公司筐",N(对接源_01水果!$T426)&lt;&gt;0)),1,0)</f>
        <v>0</v>
      </c>
      <c r="Q426" s="1" t="n">
        <f aca="false">N(Q425)+$P426</f>
        <v>3</v>
      </c>
      <c r="R426" s="1" t="n">
        <f aca="false">IF(AND($K426=1,AND(对接源_01水果!$X426="公司筐",N(对接源_01水果!$U426)&lt;&gt;0)),1,0)</f>
        <v>0</v>
      </c>
      <c r="S426" s="1" t="n">
        <f aca="false">N(S425)+$R426</f>
        <v>0</v>
      </c>
      <c r="T426" s="1" t="n">
        <f aca="false">IF(AND($K426=1,AND(对接源_01水果!$X426="公司筐",N(对接源_01水果!$V426)&lt;&gt;0)),1,0)</f>
        <v>0</v>
      </c>
      <c r="U426" s="1" t="n">
        <f aca="false">N(U425)+$T426</f>
        <v>28</v>
      </c>
      <c r="V426" s="1" t="n">
        <f aca="false">IF(AND($L426=1,AND(对接源_01水果!$X426="自备筐",N(对接源_01水果!$V426)&lt;&gt;0)),1,0)</f>
        <v>0</v>
      </c>
      <c r="W426" s="1" t="n">
        <f aca="false">N(W425)+$V426</f>
        <v>7</v>
      </c>
      <c r="X426" s="1" t="n">
        <f aca="false">IF(AND($L426=1,AND(对接源_01水果!$X426="自备筐",N(对接源_01水果!$T426)&lt;&gt;0)),1,0)</f>
        <v>0</v>
      </c>
      <c r="Y426" s="1" t="n">
        <f aca="false">N(Y425)+$X426</f>
        <v>0</v>
      </c>
      <c r="Z426" s="1" t="n">
        <f aca="false">IF(AND($M426=1,对接源_01水果!$D426="原料入库"),1,0)</f>
        <v>0</v>
      </c>
      <c r="AA426" s="1" t="n">
        <f aca="false">N(AA425)+$Z426</f>
        <v>30</v>
      </c>
      <c r="AB426" s="1" t="n">
        <f aca="false">IF(AND($M426=1,LEFT(对接源_01水果!$D426,4)="原料出库"),1,0)</f>
        <v>0</v>
      </c>
      <c r="AC426" s="1" t="n">
        <f aca="false">N(AC425)+$AB426</f>
        <v>19</v>
      </c>
      <c r="AD426" s="1" t="n">
        <f aca="false">IF(AND($M426=1,LEFT(对接源_01水果!$D426,4)="成品出库"),1,0)</f>
        <v>0</v>
      </c>
      <c r="AE426" s="1" t="n">
        <f aca="false">N(AE425)+$AD426</f>
        <v>38</v>
      </c>
      <c r="AF426" s="1" t="n">
        <f aca="false">IF(AND($N426=1,AND(LEFT(对接源_01水果!$D426,4)="包装物料",N(对接源_01水果!$K426)&lt;&gt;0)),1,0)</f>
        <v>0</v>
      </c>
      <c r="AG426" s="90" t="str">
        <f aca="false">IF(对接源_01水果!$AC426="","",对接源_01水果!$AC426)</f>
        <v/>
      </c>
      <c r="AH426" s="1" t="n">
        <f aca="false">IF(AND($N426=1,AND(LEFT(对接源_01水果!$D426,3)="周转筐",N(对接源_01水果!$K426)&lt;&gt;0)),1,0)</f>
        <v>0</v>
      </c>
      <c r="AI426" s="90" t="n">
        <f aca="false">IF(AG426="",0,IF(MATCH(AG426,$AG$4:$AG$1203,0)=ROW()-3,1,0))</f>
        <v>0</v>
      </c>
      <c r="AJ426" s="90" t="n">
        <f aca="false">N(AJ425)+AI426</f>
        <v>4</v>
      </c>
      <c r="AK426" s="1" t="n">
        <f aca="false">N(AK425)+$AJ426</f>
        <v>564</v>
      </c>
    </row>
    <row r="427" customFormat="false" ht="13.5" hidden="false" customHeight="false" outlineLevel="0" collapsed="false">
      <c r="A427" s="1" t="str">
        <f aca="false">IF(对接源_01水果!$C427="","",对接源_01水果!$C427)</f>
        <v/>
      </c>
      <c r="B427" s="1" t="n">
        <f aca="false">IF(A427="",0,IF(MATCH(A427,$A$4:$A$2403,0)=ROW()-3,1,0))</f>
        <v>0</v>
      </c>
      <c r="C427" s="1" t="n">
        <f aca="false">N(C426)+B427</f>
        <v>13</v>
      </c>
      <c r="K427" s="1" t="n">
        <f aca="false">IF(OR($K$1="",对接源_01水果!$C427="",对接源_01水果!$C427&lt;&gt;$K$1,对接源_01水果!$B427=""),0,IF(OR(N(对接源_01水果!$B427)&lt;$K$2,N(对接源_01水果!$B427)&gt;$K$3),0,1))</f>
        <v>0</v>
      </c>
      <c r="L427" s="1" t="n">
        <f aca="false">IF(OR($L$1="",对接源_01水果!$C427="",对接源_01水果!$C427&lt;&gt;$L$1,对接源_01水果!$B427=""),0,IF(OR(N(对接源_01水果!$B427)&lt;$L$2,N(对接源_01水果!$B427)&gt;$L$3),0,1))</f>
        <v>0</v>
      </c>
      <c r="M427" s="1" t="n">
        <f aca="false">IF(OR($M$1="",对接源_01水果!$C427="",对接源_01水果!$C427&lt;&gt;$M$1,对接源_01水果!$B427=""),0,IF(OR(N(对接源_01水果!$B427)&lt;$M$2,N(对接源_01水果!$B427)&gt;$M$3),0,1))</f>
        <v>0</v>
      </c>
      <c r="N427" s="1" t="n">
        <f aca="false">IF(OR($N$1="",对接源_01水果!$C427="",对接源_01水果!$C427&lt;&gt;$N$1,对接源_01水果!$B427=""),0,IF(OR(N(对接源_01水果!$B427)&lt;$N$2,N(对接源_01水果!$B427)&gt;$N$3),0,1))</f>
        <v>0</v>
      </c>
      <c r="P427" s="1" t="n">
        <f aca="false">IF(AND($K427=1,AND(对接源_01水果!$X427="公司筐",N(对接源_01水果!$T427)&lt;&gt;0)),1,0)</f>
        <v>0</v>
      </c>
      <c r="Q427" s="1" t="n">
        <f aca="false">N(Q426)+$P427</f>
        <v>3</v>
      </c>
      <c r="R427" s="1" t="n">
        <f aca="false">IF(AND($K427=1,AND(对接源_01水果!$X427="公司筐",N(对接源_01水果!$U427)&lt;&gt;0)),1,0)</f>
        <v>0</v>
      </c>
      <c r="S427" s="1" t="n">
        <f aca="false">N(S426)+$R427</f>
        <v>0</v>
      </c>
      <c r="T427" s="1" t="n">
        <f aca="false">IF(AND($K427=1,AND(对接源_01水果!$X427="公司筐",N(对接源_01水果!$V427)&lt;&gt;0)),1,0)</f>
        <v>0</v>
      </c>
      <c r="U427" s="1" t="n">
        <f aca="false">N(U426)+$T427</f>
        <v>28</v>
      </c>
      <c r="V427" s="1" t="n">
        <f aca="false">IF(AND($L427=1,AND(对接源_01水果!$X427="自备筐",N(对接源_01水果!$V427)&lt;&gt;0)),1,0)</f>
        <v>0</v>
      </c>
      <c r="W427" s="1" t="n">
        <f aca="false">N(W426)+$V427</f>
        <v>7</v>
      </c>
      <c r="X427" s="1" t="n">
        <f aca="false">IF(AND($L427=1,AND(对接源_01水果!$X427="自备筐",N(对接源_01水果!$T427)&lt;&gt;0)),1,0)</f>
        <v>0</v>
      </c>
      <c r="Y427" s="1" t="n">
        <f aca="false">N(Y426)+$X427</f>
        <v>0</v>
      </c>
      <c r="Z427" s="1" t="n">
        <f aca="false">IF(AND($M427=1,对接源_01水果!$D427="原料入库"),1,0)</f>
        <v>0</v>
      </c>
      <c r="AA427" s="1" t="n">
        <f aca="false">N(AA426)+$Z427</f>
        <v>30</v>
      </c>
      <c r="AB427" s="1" t="n">
        <f aca="false">IF(AND($M427=1,LEFT(对接源_01水果!$D427,4)="原料出库"),1,0)</f>
        <v>0</v>
      </c>
      <c r="AC427" s="1" t="n">
        <f aca="false">N(AC426)+$AB427</f>
        <v>19</v>
      </c>
      <c r="AD427" s="1" t="n">
        <f aca="false">IF(AND($M427=1,LEFT(对接源_01水果!$D427,4)="成品出库"),1,0)</f>
        <v>0</v>
      </c>
      <c r="AE427" s="1" t="n">
        <f aca="false">N(AE426)+$AD427</f>
        <v>38</v>
      </c>
      <c r="AF427" s="1" t="n">
        <f aca="false">IF(AND($N427=1,AND(LEFT(对接源_01水果!$D427,4)="包装物料",N(对接源_01水果!$K427)&lt;&gt;0)),1,0)</f>
        <v>0</v>
      </c>
      <c r="AG427" s="90" t="str">
        <f aca="false">IF(对接源_01水果!$AC427="","",对接源_01水果!$AC427)</f>
        <v/>
      </c>
      <c r="AH427" s="1" t="n">
        <f aca="false">IF(AND($N427=1,AND(LEFT(对接源_01水果!$D427,3)="周转筐",N(对接源_01水果!$K427)&lt;&gt;0)),1,0)</f>
        <v>0</v>
      </c>
      <c r="AI427" s="90" t="n">
        <f aca="false">IF(AG427="",0,IF(MATCH(AG427,$AG$4:$AG$1203,0)=ROW()-3,1,0))</f>
        <v>0</v>
      </c>
      <c r="AJ427" s="90" t="n">
        <f aca="false">N(AJ426)+AI427</f>
        <v>4</v>
      </c>
      <c r="AK427" s="1" t="n">
        <f aca="false">N(AK426)+$AJ427</f>
        <v>568</v>
      </c>
    </row>
    <row r="428" customFormat="false" ht="13.5" hidden="false" customHeight="false" outlineLevel="0" collapsed="false">
      <c r="A428" s="1" t="str">
        <f aca="false">IF(对接源_01水果!$C428="","",对接源_01水果!$C428)</f>
        <v/>
      </c>
      <c r="B428" s="1" t="n">
        <f aca="false">IF(A428="",0,IF(MATCH(A428,$A$4:$A$2403,0)=ROW()-3,1,0))</f>
        <v>0</v>
      </c>
      <c r="C428" s="1" t="n">
        <f aca="false">N(C427)+B428</f>
        <v>13</v>
      </c>
      <c r="K428" s="1" t="n">
        <f aca="false">IF(OR($K$1="",对接源_01水果!$C428="",对接源_01水果!$C428&lt;&gt;$K$1,对接源_01水果!$B428=""),0,IF(OR(N(对接源_01水果!$B428)&lt;$K$2,N(对接源_01水果!$B428)&gt;$K$3),0,1))</f>
        <v>0</v>
      </c>
      <c r="L428" s="1" t="n">
        <f aca="false">IF(OR($L$1="",对接源_01水果!$C428="",对接源_01水果!$C428&lt;&gt;$L$1,对接源_01水果!$B428=""),0,IF(OR(N(对接源_01水果!$B428)&lt;$L$2,N(对接源_01水果!$B428)&gt;$L$3),0,1))</f>
        <v>0</v>
      </c>
      <c r="M428" s="1" t="n">
        <f aca="false">IF(OR($M$1="",对接源_01水果!$C428="",对接源_01水果!$C428&lt;&gt;$M$1,对接源_01水果!$B428=""),0,IF(OR(N(对接源_01水果!$B428)&lt;$M$2,N(对接源_01水果!$B428)&gt;$M$3),0,1))</f>
        <v>0</v>
      </c>
      <c r="N428" s="1" t="n">
        <f aca="false">IF(OR($N$1="",对接源_01水果!$C428="",对接源_01水果!$C428&lt;&gt;$N$1,对接源_01水果!$B428=""),0,IF(OR(N(对接源_01水果!$B428)&lt;$N$2,N(对接源_01水果!$B428)&gt;$N$3),0,1))</f>
        <v>0</v>
      </c>
      <c r="P428" s="1" t="n">
        <f aca="false">IF(AND($K428=1,AND(对接源_01水果!$X428="公司筐",N(对接源_01水果!$T428)&lt;&gt;0)),1,0)</f>
        <v>0</v>
      </c>
      <c r="Q428" s="1" t="n">
        <f aca="false">N(Q427)+$P428</f>
        <v>3</v>
      </c>
      <c r="R428" s="1" t="n">
        <f aca="false">IF(AND($K428=1,AND(对接源_01水果!$X428="公司筐",N(对接源_01水果!$U428)&lt;&gt;0)),1,0)</f>
        <v>0</v>
      </c>
      <c r="S428" s="1" t="n">
        <f aca="false">N(S427)+$R428</f>
        <v>0</v>
      </c>
      <c r="T428" s="1" t="n">
        <f aca="false">IF(AND($K428=1,AND(对接源_01水果!$X428="公司筐",N(对接源_01水果!$V428)&lt;&gt;0)),1,0)</f>
        <v>0</v>
      </c>
      <c r="U428" s="1" t="n">
        <f aca="false">N(U427)+$T428</f>
        <v>28</v>
      </c>
      <c r="V428" s="1" t="n">
        <f aca="false">IF(AND($L428=1,AND(对接源_01水果!$X428="自备筐",N(对接源_01水果!$V428)&lt;&gt;0)),1,0)</f>
        <v>0</v>
      </c>
      <c r="W428" s="1" t="n">
        <f aca="false">N(W427)+$V428</f>
        <v>7</v>
      </c>
      <c r="X428" s="1" t="n">
        <f aca="false">IF(AND($L428=1,AND(对接源_01水果!$X428="自备筐",N(对接源_01水果!$T428)&lt;&gt;0)),1,0)</f>
        <v>0</v>
      </c>
      <c r="Y428" s="1" t="n">
        <f aca="false">N(Y427)+$X428</f>
        <v>0</v>
      </c>
      <c r="Z428" s="1" t="n">
        <f aca="false">IF(AND($M428=1,对接源_01水果!$D428="原料入库"),1,0)</f>
        <v>0</v>
      </c>
      <c r="AA428" s="1" t="n">
        <f aca="false">N(AA427)+$Z428</f>
        <v>30</v>
      </c>
      <c r="AB428" s="1" t="n">
        <f aca="false">IF(AND($M428=1,LEFT(对接源_01水果!$D428,4)="原料出库"),1,0)</f>
        <v>0</v>
      </c>
      <c r="AC428" s="1" t="n">
        <f aca="false">N(AC427)+$AB428</f>
        <v>19</v>
      </c>
      <c r="AD428" s="1" t="n">
        <f aca="false">IF(AND($M428=1,LEFT(对接源_01水果!$D428,4)="成品出库"),1,0)</f>
        <v>0</v>
      </c>
      <c r="AE428" s="1" t="n">
        <f aca="false">N(AE427)+$AD428</f>
        <v>38</v>
      </c>
      <c r="AF428" s="1" t="n">
        <f aca="false">IF(AND($N428=1,AND(LEFT(对接源_01水果!$D428,4)="包装物料",N(对接源_01水果!$K428)&lt;&gt;0)),1,0)</f>
        <v>0</v>
      </c>
      <c r="AG428" s="90" t="str">
        <f aca="false">IF(对接源_01水果!$AC428="","",对接源_01水果!$AC428)</f>
        <v/>
      </c>
      <c r="AH428" s="1" t="n">
        <f aca="false">IF(AND($N428=1,AND(LEFT(对接源_01水果!$D428,3)="周转筐",N(对接源_01水果!$K428)&lt;&gt;0)),1,0)</f>
        <v>0</v>
      </c>
      <c r="AI428" s="90" t="n">
        <f aca="false">IF(AG428="",0,IF(MATCH(AG428,$AG$4:$AG$1203,0)=ROW()-3,1,0))</f>
        <v>0</v>
      </c>
      <c r="AJ428" s="90" t="n">
        <f aca="false">N(AJ427)+AI428</f>
        <v>4</v>
      </c>
      <c r="AK428" s="1" t="n">
        <f aca="false">N(AK427)+$AJ428</f>
        <v>572</v>
      </c>
    </row>
    <row r="429" customFormat="false" ht="13.5" hidden="false" customHeight="false" outlineLevel="0" collapsed="false">
      <c r="A429" s="1" t="str">
        <f aca="false">IF(对接源_01水果!$C429="","",对接源_01水果!$C429)</f>
        <v/>
      </c>
      <c r="B429" s="1" t="n">
        <f aca="false">IF(A429="",0,IF(MATCH(A429,$A$4:$A$2403,0)=ROW()-3,1,0))</f>
        <v>0</v>
      </c>
      <c r="C429" s="1" t="n">
        <f aca="false">N(C428)+B429</f>
        <v>13</v>
      </c>
      <c r="K429" s="1" t="n">
        <f aca="false">IF(OR($K$1="",对接源_01水果!$C429="",对接源_01水果!$C429&lt;&gt;$K$1,对接源_01水果!$B429=""),0,IF(OR(N(对接源_01水果!$B429)&lt;$K$2,N(对接源_01水果!$B429)&gt;$K$3),0,1))</f>
        <v>0</v>
      </c>
      <c r="L429" s="1" t="n">
        <f aca="false">IF(OR($L$1="",对接源_01水果!$C429="",对接源_01水果!$C429&lt;&gt;$L$1,对接源_01水果!$B429=""),0,IF(OR(N(对接源_01水果!$B429)&lt;$L$2,N(对接源_01水果!$B429)&gt;$L$3),0,1))</f>
        <v>0</v>
      </c>
      <c r="M429" s="1" t="n">
        <f aca="false">IF(OR($M$1="",对接源_01水果!$C429="",对接源_01水果!$C429&lt;&gt;$M$1,对接源_01水果!$B429=""),0,IF(OR(N(对接源_01水果!$B429)&lt;$M$2,N(对接源_01水果!$B429)&gt;$M$3),0,1))</f>
        <v>0</v>
      </c>
      <c r="N429" s="1" t="n">
        <f aca="false">IF(OR($N$1="",对接源_01水果!$C429="",对接源_01水果!$C429&lt;&gt;$N$1,对接源_01水果!$B429=""),0,IF(OR(N(对接源_01水果!$B429)&lt;$N$2,N(对接源_01水果!$B429)&gt;$N$3),0,1))</f>
        <v>0</v>
      </c>
      <c r="P429" s="1" t="n">
        <f aca="false">IF(AND($K429=1,AND(对接源_01水果!$X429="公司筐",N(对接源_01水果!$T429)&lt;&gt;0)),1,0)</f>
        <v>0</v>
      </c>
      <c r="Q429" s="1" t="n">
        <f aca="false">N(Q428)+$P429</f>
        <v>3</v>
      </c>
      <c r="R429" s="1" t="n">
        <f aca="false">IF(AND($K429=1,AND(对接源_01水果!$X429="公司筐",N(对接源_01水果!$U429)&lt;&gt;0)),1,0)</f>
        <v>0</v>
      </c>
      <c r="S429" s="1" t="n">
        <f aca="false">N(S428)+$R429</f>
        <v>0</v>
      </c>
      <c r="T429" s="1" t="n">
        <f aca="false">IF(AND($K429=1,AND(对接源_01水果!$X429="公司筐",N(对接源_01水果!$V429)&lt;&gt;0)),1,0)</f>
        <v>0</v>
      </c>
      <c r="U429" s="1" t="n">
        <f aca="false">N(U428)+$T429</f>
        <v>28</v>
      </c>
      <c r="V429" s="1" t="n">
        <f aca="false">IF(AND($L429=1,AND(对接源_01水果!$X429="自备筐",N(对接源_01水果!$V429)&lt;&gt;0)),1,0)</f>
        <v>0</v>
      </c>
      <c r="W429" s="1" t="n">
        <f aca="false">N(W428)+$V429</f>
        <v>7</v>
      </c>
      <c r="X429" s="1" t="n">
        <f aca="false">IF(AND($L429=1,AND(对接源_01水果!$X429="自备筐",N(对接源_01水果!$T429)&lt;&gt;0)),1,0)</f>
        <v>0</v>
      </c>
      <c r="Y429" s="1" t="n">
        <f aca="false">N(Y428)+$X429</f>
        <v>0</v>
      </c>
      <c r="Z429" s="1" t="n">
        <f aca="false">IF(AND($M429=1,对接源_01水果!$D429="原料入库"),1,0)</f>
        <v>0</v>
      </c>
      <c r="AA429" s="1" t="n">
        <f aca="false">N(AA428)+$Z429</f>
        <v>30</v>
      </c>
      <c r="AB429" s="1" t="n">
        <f aca="false">IF(AND($M429=1,LEFT(对接源_01水果!$D429,4)="原料出库"),1,0)</f>
        <v>0</v>
      </c>
      <c r="AC429" s="1" t="n">
        <f aca="false">N(AC428)+$AB429</f>
        <v>19</v>
      </c>
      <c r="AD429" s="1" t="n">
        <f aca="false">IF(AND($M429=1,LEFT(对接源_01水果!$D429,4)="成品出库"),1,0)</f>
        <v>0</v>
      </c>
      <c r="AE429" s="1" t="n">
        <f aca="false">N(AE428)+$AD429</f>
        <v>38</v>
      </c>
      <c r="AF429" s="1" t="n">
        <f aca="false">IF(AND($N429=1,AND(LEFT(对接源_01水果!$D429,4)="包装物料",N(对接源_01水果!$K429)&lt;&gt;0)),1,0)</f>
        <v>0</v>
      </c>
      <c r="AG429" s="90" t="str">
        <f aca="false">IF(对接源_01水果!$AC429="","",对接源_01水果!$AC429)</f>
        <v/>
      </c>
      <c r="AH429" s="1" t="n">
        <f aca="false">IF(AND($N429=1,AND(LEFT(对接源_01水果!$D429,3)="周转筐",N(对接源_01水果!$K429)&lt;&gt;0)),1,0)</f>
        <v>0</v>
      </c>
      <c r="AI429" s="90" t="n">
        <f aca="false">IF(AG429="",0,IF(MATCH(AG429,$AG$4:$AG$1203,0)=ROW()-3,1,0))</f>
        <v>0</v>
      </c>
      <c r="AJ429" s="90" t="n">
        <f aca="false">N(AJ428)+AI429</f>
        <v>4</v>
      </c>
      <c r="AK429" s="1" t="n">
        <f aca="false">N(AK428)+$AJ429</f>
        <v>576</v>
      </c>
    </row>
    <row r="430" customFormat="false" ht="13.5" hidden="false" customHeight="false" outlineLevel="0" collapsed="false">
      <c r="A430" s="1" t="str">
        <f aca="false">IF(对接源_01水果!$C430="","",对接源_01水果!$C430)</f>
        <v/>
      </c>
      <c r="B430" s="1" t="n">
        <f aca="false">IF(A430="",0,IF(MATCH(A430,$A$4:$A$2403,0)=ROW()-3,1,0))</f>
        <v>0</v>
      </c>
      <c r="C430" s="1" t="n">
        <f aca="false">N(C429)+B430</f>
        <v>13</v>
      </c>
      <c r="K430" s="1" t="n">
        <f aca="false">IF(OR($K$1="",对接源_01水果!$C430="",对接源_01水果!$C430&lt;&gt;$K$1,对接源_01水果!$B430=""),0,IF(OR(N(对接源_01水果!$B430)&lt;$K$2,N(对接源_01水果!$B430)&gt;$K$3),0,1))</f>
        <v>0</v>
      </c>
      <c r="L430" s="1" t="n">
        <f aca="false">IF(OR($L$1="",对接源_01水果!$C430="",对接源_01水果!$C430&lt;&gt;$L$1,对接源_01水果!$B430=""),0,IF(OR(N(对接源_01水果!$B430)&lt;$L$2,N(对接源_01水果!$B430)&gt;$L$3),0,1))</f>
        <v>0</v>
      </c>
      <c r="M430" s="1" t="n">
        <f aca="false">IF(OR($M$1="",对接源_01水果!$C430="",对接源_01水果!$C430&lt;&gt;$M$1,对接源_01水果!$B430=""),0,IF(OR(N(对接源_01水果!$B430)&lt;$M$2,N(对接源_01水果!$B430)&gt;$M$3),0,1))</f>
        <v>0</v>
      </c>
      <c r="N430" s="1" t="n">
        <f aca="false">IF(OR($N$1="",对接源_01水果!$C430="",对接源_01水果!$C430&lt;&gt;$N$1,对接源_01水果!$B430=""),0,IF(OR(N(对接源_01水果!$B430)&lt;$N$2,N(对接源_01水果!$B430)&gt;$N$3),0,1))</f>
        <v>0</v>
      </c>
      <c r="P430" s="1" t="n">
        <f aca="false">IF(AND($K430=1,AND(对接源_01水果!$X430="公司筐",N(对接源_01水果!$T430)&lt;&gt;0)),1,0)</f>
        <v>0</v>
      </c>
      <c r="Q430" s="1" t="n">
        <f aca="false">N(Q429)+$P430</f>
        <v>3</v>
      </c>
      <c r="R430" s="1" t="n">
        <f aca="false">IF(AND($K430=1,AND(对接源_01水果!$X430="公司筐",N(对接源_01水果!$U430)&lt;&gt;0)),1,0)</f>
        <v>0</v>
      </c>
      <c r="S430" s="1" t="n">
        <f aca="false">N(S429)+$R430</f>
        <v>0</v>
      </c>
      <c r="T430" s="1" t="n">
        <f aca="false">IF(AND($K430=1,AND(对接源_01水果!$X430="公司筐",N(对接源_01水果!$V430)&lt;&gt;0)),1,0)</f>
        <v>0</v>
      </c>
      <c r="U430" s="1" t="n">
        <f aca="false">N(U429)+$T430</f>
        <v>28</v>
      </c>
      <c r="V430" s="1" t="n">
        <f aca="false">IF(AND($L430=1,AND(对接源_01水果!$X430="自备筐",N(对接源_01水果!$V430)&lt;&gt;0)),1,0)</f>
        <v>0</v>
      </c>
      <c r="W430" s="1" t="n">
        <f aca="false">N(W429)+$V430</f>
        <v>7</v>
      </c>
      <c r="X430" s="1" t="n">
        <f aca="false">IF(AND($L430=1,AND(对接源_01水果!$X430="自备筐",N(对接源_01水果!$T430)&lt;&gt;0)),1,0)</f>
        <v>0</v>
      </c>
      <c r="Y430" s="1" t="n">
        <f aca="false">N(Y429)+$X430</f>
        <v>0</v>
      </c>
      <c r="Z430" s="1" t="n">
        <f aca="false">IF(AND($M430=1,对接源_01水果!$D430="原料入库"),1,0)</f>
        <v>0</v>
      </c>
      <c r="AA430" s="1" t="n">
        <f aca="false">N(AA429)+$Z430</f>
        <v>30</v>
      </c>
      <c r="AB430" s="1" t="n">
        <f aca="false">IF(AND($M430=1,LEFT(对接源_01水果!$D430,4)="原料出库"),1,0)</f>
        <v>0</v>
      </c>
      <c r="AC430" s="1" t="n">
        <f aca="false">N(AC429)+$AB430</f>
        <v>19</v>
      </c>
      <c r="AD430" s="1" t="n">
        <f aca="false">IF(AND($M430=1,LEFT(对接源_01水果!$D430,4)="成品出库"),1,0)</f>
        <v>0</v>
      </c>
      <c r="AE430" s="1" t="n">
        <f aca="false">N(AE429)+$AD430</f>
        <v>38</v>
      </c>
      <c r="AF430" s="1" t="n">
        <f aca="false">IF(AND($N430=1,AND(LEFT(对接源_01水果!$D430,4)="包装物料",N(对接源_01水果!$K430)&lt;&gt;0)),1,0)</f>
        <v>0</v>
      </c>
      <c r="AG430" s="90" t="str">
        <f aca="false">IF(对接源_01水果!$AC430="","",对接源_01水果!$AC430)</f>
        <v/>
      </c>
      <c r="AH430" s="1" t="n">
        <f aca="false">IF(AND($N430=1,AND(LEFT(对接源_01水果!$D430,3)="周转筐",N(对接源_01水果!$K430)&lt;&gt;0)),1,0)</f>
        <v>0</v>
      </c>
      <c r="AI430" s="90" t="n">
        <f aca="false">IF(AG430="",0,IF(MATCH(AG430,$AG$4:$AG$1203,0)=ROW()-3,1,0))</f>
        <v>0</v>
      </c>
      <c r="AJ430" s="90" t="n">
        <f aca="false">N(AJ429)+AI430</f>
        <v>4</v>
      </c>
      <c r="AK430" s="1" t="n">
        <f aca="false">N(AK429)+$AJ430</f>
        <v>580</v>
      </c>
    </row>
    <row r="431" customFormat="false" ht="13.5" hidden="false" customHeight="false" outlineLevel="0" collapsed="false">
      <c r="A431" s="1" t="str">
        <f aca="false">IF(对接源_01水果!$C431="","",对接源_01水果!$C431)</f>
        <v/>
      </c>
      <c r="B431" s="1" t="n">
        <f aca="false">IF(A431="",0,IF(MATCH(A431,$A$4:$A$2403,0)=ROW()-3,1,0))</f>
        <v>0</v>
      </c>
      <c r="C431" s="1" t="n">
        <f aca="false">N(C430)+B431</f>
        <v>13</v>
      </c>
      <c r="K431" s="1" t="n">
        <f aca="false">IF(OR($K$1="",对接源_01水果!$C431="",对接源_01水果!$C431&lt;&gt;$K$1,对接源_01水果!$B431=""),0,IF(OR(N(对接源_01水果!$B431)&lt;$K$2,N(对接源_01水果!$B431)&gt;$K$3),0,1))</f>
        <v>0</v>
      </c>
      <c r="L431" s="1" t="n">
        <f aca="false">IF(OR($L$1="",对接源_01水果!$C431="",对接源_01水果!$C431&lt;&gt;$L$1,对接源_01水果!$B431=""),0,IF(OR(N(对接源_01水果!$B431)&lt;$L$2,N(对接源_01水果!$B431)&gt;$L$3),0,1))</f>
        <v>0</v>
      </c>
      <c r="M431" s="1" t="n">
        <f aca="false">IF(OR($M$1="",对接源_01水果!$C431="",对接源_01水果!$C431&lt;&gt;$M$1,对接源_01水果!$B431=""),0,IF(OR(N(对接源_01水果!$B431)&lt;$M$2,N(对接源_01水果!$B431)&gt;$M$3),0,1))</f>
        <v>0</v>
      </c>
      <c r="N431" s="1" t="n">
        <f aca="false">IF(OR($N$1="",对接源_01水果!$C431="",对接源_01水果!$C431&lt;&gt;$N$1,对接源_01水果!$B431=""),0,IF(OR(N(对接源_01水果!$B431)&lt;$N$2,N(对接源_01水果!$B431)&gt;$N$3),0,1))</f>
        <v>0</v>
      </c>
      <c r="P431" s="1" t="n">
        <f aca="false">IF(AND($K431=1,AND(对接源_01水果!$X431="公司筐",N(对接源_01水果!$T431)&lt;&gt;0)),1,0)</f>
        <v>0</v>
      </c>
      <c r="Q431" s="1" t="n">
        <f aca="false">N(Q430)+$P431</f>
        <v>3</v>
      </c>
      <c r="R431" s="1" t="n">
        <f aca="false">IF(AND($K431=1,AND(对接源_01水果!$X431="公司筐",N(对接源_01水果!$U431)&lt;&gt;0)),1,0)</f>
        <v>0</v>
      </c>
      <c r="S431" s="1" t="n">
        <f aca="false">N(S430)+$R431</f>
        <v>0</v>
      </c>
      <c r="T431" s="1" t="n">
        <f aca="false">IF(AND($K431=1,AND(对接源_01水果!$X431="公司筐",N(对接源_01水果!$V431)&lt;&gt;0)),1,0)</f>
        <v>0</v>
      </c>
      <c r="U431" s="1" t="n">
        <f aca="false">N(U430)+$T431</f>
        <v>28</v>
      </c>
      <c r="V431" s="1" t="n">
        <f aca="false">IF(AND($L431=1,AND(对接源_01水果!$X431="自备筐",N(对接源_01水果!$V431)&lt;&gt;0)),1,0)</f>
        <v>0</v>
      </c>
      <c r="W431" s="1" t="n">
        <f aca="false">N(W430)+$V431</f>
        <v>7</v>
      </c>
      <c r="X431" s="1" t="n">
        <f aca="false">IF(AND($L431=1,AND(对接源_01水果!$X431="自备筐",N(对接源_01水果!$T431)&lt;&gt;0)),1,0)</f>
        <v>0</v>
      </c>
      <c r="Y431" s="1" t="n">
        <f aca="false">N(Y430)+$X431</f>
        <v>0</v>
      </c>
      <c r="Z431" s="1" t="n">
        <f aca="false">IF(AND($M431=1,对接源_01水果!$D431="原料入库"),1,0)</f>
        <v>0</v>
      </c>
      <c r="AA431" s="1" t="n">
        <f aca="false">N(AA430)+$Z431</f>
        <v>30</v>
      </c>
      <c r="AB431" s="1" t="n">
        <f aca="false">IF(AND($M431=1,LEFT(对接源_01水果!$D431,4)="原料出库"),1,0)</f>
        <v>0</v>
      </c>
      <c r="AC431" s="1" t="n">
        <f aca="false">N(AC430)+$AB431</f>
        <v>19</v>
      </c>
      <c r="AD431" s="1" t="n">
        <f aca="false">IF(AND($M431=1,LEFT(对接源_01水果!$D431,4)="成品出库"),1,0)</f>
        <v>0</v>
      </c>
      <c r="AE431" s="1" t="n">
        <f aca="false">N(AE430)+$AD431</f>
        <v>38</v>
      </c>
      <c r="AF431" s="1" t="n">
        <f aca="false">IF(AND($N431=1,AND(LEFT(对接源_01水果!$D431,4)="包装物料",N(对接源_01水果!$K431)&lt;&gt;0)),1,0)</f>
        <v>0</v>
      </c>
      <c r="AG431" s="90" t="str">
        <f aca="false">IF(对接源_01水果!$AC431="","",对接源_01水果!$AC431)</f>
        <v/>
      </c>
      <c r="AH431" s="1" t="n">
        <f aca="false">IF(AND($N431=1,AND(LEFT(对接源_01水果!$D431,3)="周转筐",N(对接源_01水果!$K431)&lt;&gt;0)),1,0)</f>
        <v>0</v>
      </c>
      <c r="AI431" s="90" t="n">
        <f aca="false">IF(AG431="",0,IF(MATCH(AG431,$AG$4:$AG$1203,0)=ROW()-3,1,0))</f>
        <v>0</v>
      </c>
      <c r="AJ431" s="90" t="n">
        <f aca="false">N(AJ430)+AI431</f>
        <v>4</v>
      </c>
      <c r="AK431" s="1" t="n">
        <f aca="false">N(AK430)+$AJ431</f>
        <v>584</v>
      </c>
    </row>
    <row r="432" customFormat="false" ht="13.5" hidden="false" customHeight="false" outlineLevel="0" collapsed="false">
      <c r="A432" s="1" t="str">
        <f aca="false">IF(对接源_01水果!$C432="","",对接源_01水果!$C432)</f>
        <v/>
      </c>
      <c r="B432" s="1" t="n">
        <f aca="false">IF(A432="",0,IF(MATCH(A432,$A$4:$A$2403,0)=ROW()-3,1,0))</f>
        <v>0</v>
      </c>
      <c r="C432" s="1" t="n">
        <f aca="false">N(C431)+B432</f>
        <v>13</v>
      </c>
      <c r="K432" s="1" t="n">
        <f aca="false">IF(OR($K$1="",对接源_01水果!$C432="",对接源_01水果!$C432&lt;&gt;$K$1,对接源_01水果!$B432=""),0,IF(OR(N(对接源_01水果!$B432)&lt;$K$2,N(对接源_01水果!$B432)&gt;$K$3),0,1))</f>
        <v>0</v>
      </c>
      <c r="L432" s="1" t="n">
        <f aca="false">IF(OR($L$1="",对接源_01水果!$C432="",对接源_01水果!$C432&lt;&gt;$L$1,对接源_01水果!$B432=""),0,IF(OR(N(对接源_01水果!$B432)&lt;$L$2,N(对接源_01水果!$B432)&gt;$L$3),0,1))</f>
        <v>0</v>
      </c>
      <c r="M432" s="1" t="n">
        <f aca="false">IF(OR($M$1="",对接源_01水果!$C432="",对接源_01水果!$C432&lt;&gt;$M$1,对接源_01水果!$B432=""),0,IF(OR(N(对接源_01水果!$B432)&lt;$M$2,N(对接源_01水果!$B432)&gt;$M$3),0,1))</f>
        <v>0</v>
      </c>
      <c r="N432" s="1" t="n">
        <f aca="false">IF(OR($N$1="",对接源_01水果!$C432="",对接源_01水果!$C432&lt;&gt;$N$1,对接源_01水果!$B432=""),0,IF(OR(N(对接源_01水果!$B432)&lt;$N$2,N(对接源_01水果!$B432)&gt;$N$3),0,1))</f>
        <v>0</v>
      </c>
      <c r="P432" s="1" t="n">
        <f aca="false">IF(AND($K432=1,AND(对接源_01水果!$X432="公司筐",N(对接源_01水果!$T432)&lt;&gt;0)),1,0)</f>
        <v>0</v>
      </c>
      <c r="Q432" s="1" t="n">
        <f aca="false">N(Q431)+$P432</f>
        <v>3</v>
      </c>
      <c r="R432" s="1" t="n">
        <f aca="false">IF(AND($K432=1,AND(对接源_01水果!$X432="公司筐",N(对接源_01水果!$U432)&lt;&gt;0)),1,0)</f>
        <v>0</v>
      </c>
      <c r="S432" s="1" t="n">
        <f aca="false">N(S431)+$R432</f>
        <v>0</v>
      </c>
      <c r="T432" s="1" t="n">
        <f aca="false">IF(AND($K432=1,AND(对接源_01水果!$X432="公司筐",N(对接源_01水果!$V432)&lt;&gt;0)),1,0)</f>
        <v>0</v>
      </c>
      <c r="U432" s="1" t="n">
        <f aca="false">N(U431)+$T432</f>
        <v>28</v>
      </c>
      <c r="V432" s="1" t="n">
        <f aca="false">IF(AND($L432=1,AND(对接源_01水果!$X432="自备筐",N(对接源_01水果!$V432)&lt;&gt;0)),1,0)</f>
        <v>0</v>
      </c>
      <c r="W432" s="1" t="n">
        <f aca="false">N(W431)+$V432</f>
        <v>7</v>
      </c>
      <c r="X432" s="1" t="n">
        <f aca="false">IF(AND($L432=1,AND(对接源_01水果!$X432="自备筐",N(对接源_01水果!$T432)&lt;&gt;0)),1,0)</f>
        <v>0</v>
      </c>
      <c r="Y432" s="1" t="n">
        <f aca="false">N(Y431)+$X432</f>
        <v>0</v>
      </c>
      <c r="Z432" s="1" t="n">
        <f aca="false">IF(AND($M432=1,对接源_01水果!$D432="原料入库"),1,0)</f>
        <v>0</v>
      </c>
      <c r="AA432" s="1" t="n">
        <f aca="false">N(AA431)+$Z432</f>
        <v>30</v>
      </c>
      <c r="AB432" s="1" t="n">
        <f aca="false">IF(AND($M432=1,LEFT(对接源_01水果!$D432,4)="原料出库"),1,0)</f>
        <v>0</v>
      </c>
      <c r="AC432" s="1" t="n">
        <f aca="false">N(AC431)+$AB432</f>
        <v>19</v>
      </c>
      <c r="AD432" s="1" t="n">
        <f aca="false">IF(AND($M432=1,LEFT(对接源_01水果!$D432,4)="成品出库"),1,0)</f>
        <v>0</v>
      </c>
      <c r="AE432" s="1" t="n">
        <f aca="false">N(AE431)+$AD432</f>
        <v>38</v>
      </c>
      <c r="AF432" s="1" t="n">
        <f aca="false">IF(AND($N432=1,AND(LEFT(对接源_01水果!$D432,4)="包装物料",N(对接源_01水果!$K432)&lt;&gt;0)),1,0)</f>
        <v>0</v>
      </c>
      <c r="AG432" s="90" t="str">
        <f aca="false">IF(对接源_01水果!$AC432="","",对接源_01水果!$AC432)</f>
        <v/>
      </c>
      <c r="AH432" s="1" t="n">
        <f aca="false">IF(AND($N432=1,AND(LEFT(对接源_01水果!$D432,3)="周转筐",N(对接源_01水果!$K432)&lt;&gt;0)),1,0)</f>
        <v>0</v>
      </c>
      <c r="AI432" s="90" t="n">
        <f aca="false">IF(AG432="",0,IF(MATCH(AG432,$AG$4:$AG$1203,0)=ROW()-3,1,0))</f>
        <v>0</v>
      </c>
      <c r="AJ432" s="90" t="n">
        <f aca="false">N(AJ431)+AI432</f>
        <v>4</v>
      </c>
      <c r="AK432" s="1" t="n">
        <f aca="false">N(AK431)+$AJ432</f>
        <v>588</v>
      </c>
    </row>
    <row r="433" customFormat="false" ht="13.5" hidden="false" customHeight="false" outlineLevel="0" collapsed="false">
      <c r="A433" s="1" t="str">
        <f aca="false">IF(对接源_01水果!$C433="","",对接源_01水果!$C433)</f>
        <v/>
      </c>
      <c r="B433" s="1" t="n">
        <f aca="false">IF(A433="",0,IF(MATCH(A433,$A$4:$A$2403,0)=ROW()-3,1,0))</f>
        <v>0</v>
      </c>
      <c r="C433" s="1" t="n">
        <f aca="false">N(C432)+B433</f>
        <v>13</v>
      </c>
      <c r="K433" s="1" t="n">
        <f aca="false">IF(OR($K$1="",对接源_01水果!$C433="",对接源_01水果!$C433&lt;&gt;$K$1,对接源_01水果!$B433=""),0,IF(OR(N(对接源_01水果!$B433)&lt;$K$2,N(对接源_01水果!$B433)&gt;$K$3),0,1))</f>
        <v>0</v>
      </c>
      <c r="L433" s="1" t="n">
        <f aca="false">IF(OR($L$1="",对接源_01水果!$C433="",对接源_01水果!$C433&lt;&gt;$L$1,对接源_01水果!$B433=""),0,IF(OR(N(对接源_01水果!$B433)&lt;$L$2,N(对接源_01水果!$B433)&gt;$L$3),0,1))</f>
        <v>0</v>
      </c>
      <c r="M433" s="1" t="n">
        <f aca="false">IF(OR($M$1="",对接源_01水果!$C433="",对接源_01水果!$C433&lt;&gt;$M$1,对接源_01水果!$B433=""),0,IF(OR(N(对接源_01水果!$B433)&lt;$M$2,N(对接源_01水果!$B433)&gt;$M$3),0,1))</f>
        <v>0</v>
      </c>
      <c r="N433" s="1" t="n">
        <f aca="false">IF(OR($N$1="",对接源_01水果!$C433="",对接源_01水果!$C433&lt;&gt;$N$1,对接源_01水果!$B433=""),0,IF(OR(N(对接源_01水果!$B433)&lt;$N$2,N(对接源_01水果!$B433)&gt;$N$3),0,1))</f>
        <v>0</v>
      </c>
      <c r="P433" s="1" t="n">
        <f aca="false">IF(AND($K433=1,AND(对接源_01水果!$X433="公司筐",N(对接源_01水果!$T433)&lt;&gt;0)),1,0)</f>
        <v>0</v>
      </c>
      <c r="Q433" s="1" t="n">
        <f aca="false">N(Q432)+$P433</f>
        <v>3</v>
      </c>
      <c r="R433" s="1" t="n">
        <f aca="false">IF(AND($K433=1,AND(对接源_01水果!$X433="公司筐",N(对接源_01水果!$U433)&lt;&gt;0)),1,0)</f>
        <v>0</v>
      </c>
      <c r="S433" s="1" t="n">
        <f aca="false">N(S432)+$R433</f>
        <v>0</v>
      </c>
      <c r="T433" s="1" t="n">
        <f aca="false">IF(AND($K433=1,AND(对接源_01水果!$X433="公司筐",N(对接源_01水果!$V433)&lt;&gt;0)),1,0)</f>
        <v>0</v>
      </c>
      <c r="U433" s="1" t="n">
        <f aca="false">N(U432)+$T433</f>
        <v>28</v>
      </c>
      <c r="V433" s="1" t="n">
        <f aca="false">IF(AND($L433=1,AND(对接源_01水果!$X433="自备筐",N(对接源_01水果!$V433)&lt;&gt;0)),1,0)</f>
        <v>0</v>
      </c>
      <c r="W433" s="1" t="n">
        <f aca="false">N(W432)+$V433</f>
        <v>7</v>
      </c>
      <c r="X433" s="1" t="n">
        <f aca="false">IF(AND($L433=1,AND(对接源_01水果!$X433="自备筐",N(对接源_01水果!$T433)&lt;&gt;0)),1,0)</f>
        <v>0</v>
      </c>
      <c r="Y433" s="1" t="n">
        <f aca="false">N(Y432)+$X433</f>
        <v>0</v>
      </c>
      <c r="Z433" s="1" t="n">
        <f aca="false">IF(AND($M433=1,对接源_01水果!$D433="原料入库"),1,0)</f>
        <v>0</v>
      </c>
      <c r="AA433" s="1" t="n">
        <f aca="false">N(AA432)+$Z433</f>
        <v>30</v>
      </c>
      <c r="AB433" s="1" t="n">
        <f aca="false">IF(AND($M433=1,LEFT(对接源_01水果!$D433,4)="原料出库"),1,0)</f>
        <v>0</v>
      </c>
      <c r="AC433" s="1" t="n">
        <f aca="false">N(AC432)+$AB433</f>
        <v>19</v>
      </c>
      <c r="AD433" s="1" t="n">
        <f aca="false">IF(AND($M433=1,LEFT(对接源_01水果!$D433,4)="成品出库"),1,0)</f>
        <v>0</v>
      </c>
      <c r="AE433" s="1" t="n">
        <f aca="false">N(AE432)+$AD433</f>
        <v>38</v>
      </c>
      <c r="AF433" s="1" t="n">
        <f aca="false">IF(AND($N433=1,AND(LEFT(对接源_01水果!$D433,4)="包装物料",N(对接源_01水果!$K433)&lt;&gt;0)),1,0)</f>
        <v>0</v>
      </c>
      <c r="AG433" s="90" t="str">
        <f aca="false">IF(对接源_01水果!$AC433="","",对接源_01水果!$AC433)</f>
        <v/>
      </c>
      <c r="AH433" s="1" t="n">
        <f aca="false">IF(AND($N433=1,AND(LEFT(对接源_01水果!$D433,3)="周转筐",N(对接源_01水果!$K433)&lt;&gt;0)),1,0)</f>
        <v>0</v>
      </c>
      <c r="AI433" s="90" t="n">
        <f aca="false">IF(AG433="",0,IF(MATCH(AG433,$AG$4:$AG$1203,0)=ROW()-3,1,0))</f>
        <v>0</v>
      </c>
      <c r="AJ433" s="90" t="n">
        <f aca="false">N(AJ432)+AI433</f>
        <v>4</v>
      </c>
      <c r="AK433" s="1" t="n">
        <f aca="false">N(AK432)+$AJ433</f>
        <v>592</v>
      </c>
    </row>
    <row r="434" customFormat="false" ht="13.5" hidden="false" customHeight="false" outlineLevel="0" collapsed="false">
      <c r="A434" s="1" t="str">
        <f aca="false">IF(对接源_01水果!$C434="","",对接源_01水果!$C434)</f>
        <v/>
      </c>
      <c r="B434" s="1" t="n">
        <f aca="false">IF(A434="",0,IF(MATCH(A434,$A$4:$A$2403,0)=ROW()-3,1,0))</f>
        <v>0</v>
      </c>
      <c r="C434" s="1" t="n">
        <f aca="false">N(C433)+B434</f>
        <v>13</v>
      </c>
      <c r="K434" s="1" t="n">
        <f aca="false">IF(OR($K$1="",对接源_01水果!$C434="",对接源_01水果!$C434&lt;&gt;$K$1,对接源_01水果!$B434=""),0,IF(OR(N(对接源_01水果!$B434)&lt;$K$2,N(对接源_01水果!$B434)&gt;$K$3),0,1))</f>
        <v>0</v>
      </c>
      <c r="L434" s="1" t="n">
        <f aca="false">IF(OR($L$1="",对接源_01水果!$C434="",对接源_01水果!$C434&lt;&gt;$L$1,对接源_01水果!$B434=""),0,IF(OR(N(对接源_01水果!$B434)&lt;$L$2,N(对接源_01水果!$B434)&gt;$L$3),0,1))</f>
        <v>0</v>
      </c>
      <c r="M434" s="1" t="n">
        <f aca="false">IF(OR($M$1="",对接源_01水果!$C434="",对接源_01水果!$C434&lt;&gt;$M$1,对接源_01水果!$B434=""),0,IF(OR(N(对接源_01水果!$B434)&lt;$M$2,N(对接源_01水果!$B434)&gt;$M$3),0,1))</f>
        <v>0</v>
      </c>
      <c r="N434" s="1" t="n">
        <f aca="false">IF(OR($N$1="",对接源_01水果!$C434="",对接源_01水果!$C434&lt;&gt;$N$1,对接源_01水果!$B434=""),0,IF(OR(N(对接源_01水果!$B434)&lt;$N$2,N(对接源_01水果!$B434)&gt;$N$3),0,1))</f>
        <v>0</v>
      </c>
      <c r="P434" s="1" t="n">
        <f aca="false">IF(AND($K434=1,AND(对接源_01水果!$X434="公司筐",N(对接源_01水果!$T434)&lt;&gt;0)),1,0)</f>
        <v>0</v>
      </c>
      <c r="Q434" s="1" t="n">
        <f aca="false">N(Q433)+$P434</f>
        <v>3</v>
      </c>
      <c r="R434" s="1" t="n">
        <f aca="false">IF(AND($K434=1,AND(对接源_01水果!$X434="公司筐",N(对接源_01水果!$U434)&lt;&gt;0)),1,0)</f>
        <v>0</v>
      </c>
      <c r="S434" s="1" t="n">
        <f aca="false">N(S433)+$R434</f>
        <v>0</v>
      </c>
      <c r="T434" s="1" t="n">
        <f aca="false">IF(AND($K434=1,AND(对接源_01水果!$X434="公司筐",N(对接源_01水果!$V434)&lt;&gt;0)),1,0)</f>
        <v>0</v>
      </c>
      <c r="U434" s="1" t="n">
        <f aca="false">N(U433)+$T434</f>
        <v>28</v>
      </c>
      <c r="V434" s="1" t="n">
        <f aca="false">IF(AND($L434=1,AND(对接源_01水果!$X434="自备筐",N(对接源_01水果!$V434)&lt;&gt;0)),1,0)</f>
        <v>0</v>
      </c>
      <c r="W434" s="1" t="n">
        <f aca="false">N(W433)+$V434</f>
        <v>7</v>
      </c>
      <c r="X434" s="1" t="n">
        <f aca="false">IF(AND($L434=1,AND(对接源_01水果!$X434="自备筐",N(对接源_01水果!$T434)&lt;&gt;0)),1,0)</f>
        <v>0</v>
      </c>
      <c r="Y434" s="1" t="n">
        <f aca="false">N(Y433)+$X434</f>
        <v>0</v>
      </c>
      <c r="Z434" s="1" t="n">
        <f aca="false">IF(AND($M434=1,对接源_01水果!$D434="原料入库"),1,0)</f>
        <v>0</v>
      </c>
      <c r="AA434" s="1" t="n">
        <f aca="false">N(AA433)+$Z434</f>
        <v>30</v>
      </c>
      <c r="AB434" s="1" t="n">
        <f aca="false">IF(AND($M434=1,LEFT(对接源_01水果!$D434,4)="原料出库"),1,0)</f>
        <v>0</v>
      </c>
      <c r="AC434" s="1" t="n">
        <f aca="false">N(AC433)+$AB434</f>
        <v>19</v>
      </c>
      <c r="AD434" s="1" t="n">
        <f aca="false">IF(AND($M434=1,LEFT(对接源_01水果!$D434,4)="成品出库"),1,0)</f>
        <v>0</v>
      </c>
      <c r="AE434" s="1" t="n">
        <f aca="false">N(AE433)+$AD434</f>
        <v>38</v>
      </c>
      <c r="AF434" s="1" t="n">
        <f aca="false">IF(AND($N434=1,AND(LEFT(对接源_01水果!$D434,4)="包装物料",N(对接源_01水果!$K434)&lt;&gt;0)),1,0)</f>
        <v>0</v>
      </c>
      <c r="AG434" s="90" t="str">
        <f aca="false">IF(对接源_01水果!$AC434="","",对接源_01水果!$AC434)</f>
        <v/>
      </c>
      <c r="AH434" s="1" t="n">
        <f aca="false">IF(AND($N434=1,AND(LEFT(对接源_01水果!$D434,3)="周转筐",N(对接源_01水果!$K434)&lt;&gt;0)),1,0)</f>
        <v>0</v>
      </c>
      <c r="AI434" s="90" t="n">
        <f aca="false">IF(AG434="",0,IF(MATCH(AG434,$AG$4:$AG$1203,0)=ROW()-3,1,0))</f>
        <v>0</v>
      </c>
      <c r="AJ434" s="90" t="n">
        <f aca="false">N(AJ433)+AI434</f>
        <v>4</v>
      </c>
      <c r="AK434" s="1" t="n">
        <f aca="false">N(AK433)+$AJ434</f>
        <v>596</v>
      </c>
    </row>
    <row r="435" customFormat="false" ht="13.5" hidden="false" customHeight="false" outlineLevel="0" collapsed="false">
      <c r="A435" s="1" t="str">
        <f aca="false">IF(对接源_01水果!$C435="","",对接源_01水果!$C435)</f>
        <v/>
      </c>
      <c r="B435" s="1" t="n">
        <f aca="false">IF(A435="",0,IF(MATCH(A435,$A$4:$A$2403,0)=ROW()-3,1,0))</f>
        <v>0</v>
      </c>
      <c r="C435" s="1" t="n">
        <f aca="false">N(C434)+B435</f>
        <v>13</v>
      </c>
      <c r="K435" s="1" t="n">
        <f aca="false">IF(OR($K$1="",对接源_01水果!$C435="",对接源_01水果!$C435&lt;&gt;$K$1,对接源_01水果!$B435=""),0,IF(OR(N(对接源_01水果!$B435)&lt;$K$2,N(对接源_01水果!$B435)&gt;$K$3),0,1))</f>
        <v>0</v>
      </c>
      <c r="L435" s="1" t="n">
        <f aca="false">IF(OR($L$1="",对接源_01水果!$C435="",对接源_01水果!$C435&lt;&gt;$L$1,对接源_01水果!$B435=""),0,IF(OR(N(对接源_01水果!$B435)&lt;$L$2,N(对接源_01水果!$B435)&gt;$L$3),0,1))</f>
        <v>0</v>
      </c>
      <c r="M435" s="1" t="n">
        <f aca="false">IF(OR($M$1="",对接源_01水果!$C435="",对接源_01水果!$C435&lt;&gt;$M$1,对接源_01水果!$B435=""),0,IF(OR(N(对接源_01水果!$B435)&lt;$M$2,N(对接源_01水果!$B435)&gt;$M$3),0,1))</f>
        <v>0</v>
      </c>
      <c r="N435" s="1" t="n">
        <f aca="false">IF(OR($N$1="",对接源_01水果!$C435="",对接源_01水果!$C435&lt;&gt;$N$1,对接源_01水果!$B435=""),0,IF(OR(N(对接源_01水果!$B435)&lt;$N$2,N(对接源_01水果!$B435)&gt;$N$3),0,1))</f>
        <v>0</v>
      </c>
      <c r="P435" s="1" t="n">
        <f aca="false">IF(AND($K435=1,AND(对接源_01水果!$X435="公司筐",N(对接源_01水果!$T435)&lt;&gt;0)),1,0)</f>
        <v>0</v>
      </c>
      <c r="Q435" s="1" t="n">
        <f aca="false">N(Q434)+$P435</f>
        <v>3</v>
      </c>
      <c r="R435" s="1" t="n">
        <f aca="false">IF(AND($K435=1,AND(对接源_01水果!$X435="公司筐",N(对接源_01水果!$U435)&lt;&gt;0)),1,0)</f>
        <v>0</v>
      </c>
      <c r="S435" s="1" t="n">
        <f aca="false">N(S434)+$R435</f>
        <v>0</v>
      </c>
      <c r="T435" s="1" t="n">
        <f aca="false">IF(AND($K435=1,AND(对接源_01水果!$X435="公司筐",N(对接源_01水果!$V435)&lt;&gt;0)),1,0)</f>
        <v>0</v>
      </c>
      <c r="U435" s="1" t="n">
        <f aca="false">N(U434)+$T435</f>
        <v>28</v>
      </c>
      <c r="V435" s="1" t="n">
        <f aca="false">IF(AND($L435=1,AND(对接源_01水果!$X435="自备筐",N(对接源_01水果!$V435)&lt;&gt;0)),1,0)</f>
        <v>0</v>
      </c>
      <c r="W435" s="1" t="n">
        <f aca="false">N(W434)+$V435</f>
        <v>7</v>
      </c>
      <c r="X435" s="1" t="n">
        <f aca="false">IF(AND($L435=1,AND(对接源_01水果!$X435="自备筐",N(对接源_01水果!$T435)&lt;&gt;0)),1,0)</f>
        <v>0</v>
      </c>
      <c r="Y435" s="1" t="n">
        <f aca="false">N(Y434)+$X435</f>
        <v>0</v>
      </c>
      <c r="Z435" s="1" t="n">
        <f aca="false">IF(AND($M435=1,对接源_01水果!$D435="原料入库"),1,0)</f>
        <v>0</v>
      </c>
      <c r="AA435" s="1" t="n">
        <f aca="false">N(AA434)+$Z435</f>
        <v>30</v>
      </c>
      <c r="AB435" s="1" t="n">
        <f aca="false">IF(AND($M435=1,LEFT(对接源_01水果!$D435,4)="原料出库"),1,0)</f>
        <v>0</v>
      </c>
      <c r="AC435" s="1" t="n">
        <f aca="false">N(AC434)+$AB435</f>
        <v>19</v>
      </c>
      <c r="AD435" s="1" t="n">
        <f aca="false">IF(AND($M435=1,LEFT(对接源_01水果!$D435,4)="成品出库"),1,0)</f>
        <v>0</v>
      </c>
      <c r="AE435" s="1" t="n">
        <f aca="false">N(AE434)+$AD435</f>
        <v>38</v>
      </c>
      <c r="AF435" s="1" t="n">
        <f aca="false">IF(AND($N435=1,AND(LEFT(对接源_01水果!$D435,4)="包装物料",N(对接源_01水果!$K435)&lt;&gt;0)),1,0)</f>
        <v>0</v>
      </c>
      <c r="AG435" s="90" t="str">
        <f aca="false">IF(对接源_01水果!$AC435="","",对接源_01水果!$AC435)</f>
        <v/>
      </c>
      <c r="AH435" s="1" t="n">
        <f aca="false">IF(AND($N435=1,AND(LEFT(对接源_01水果!$D435,3)="周转筐",N(对接源_01水果!$K435)&lt;&gt;0)),1,0)</f>
        <v>0</v>
      </c>
      <c r="AI435" s="90" t="n">
        <f aca="false">IF(AG435="",0,IF(MATCH(AG435,$AG$4:$AG$1203,0)=ROW()-3,1,0))</f>
        <v>0</v>
      </c>
      <c r="AJ435" s="90" t="n">
        <f aca="false">N(AJ434)+AI435</f>
        <v>4</v>
      </c>
      <c r="AK435" s="1" t="n">
        <f aca="false">N(AK434)+$AJ435</f>
        <v>600</v>
      </c>
    </row>
    <row r="436" customFormat="false" ht="13.5" hidden="false" customHeight="false" outlineLevel="0" collapsed="false">
      <c r="A436" s="1" t="str">
        <f aca="false">IF(对接源_01水果!$C436="","",对接源_01水果!$C436)</f>
        <v/>
      </c>
      <c r="B436" s="1" t="n">
        <f aca="false">IF(A436="",0,IF(MATCH(A436,$A$4:$A$2403,0)=ROW()-3,1,0))</f>
        <v>0</v>
      </c>
      <c r="C436" s="1" t="n">
        <f aca="false">N(C435)+B436</f>
        <v>13</v>
      </c>
      <c r="K436" s="1" t="n">
        <f aca="false">IF(OR($K$1="",对接源_01水果!$C436="",对接源_01水果!$C436&lt;&gt;$K$1,对接源_01水果!$B436=""),0,IF(OR(N(对接源_01水果!$B436)&lt;$K$2,N(对接源_01水果!$B436)&gt;$K$3),0,1))</f>
        <v>0</v>
      </c>
      <c r="L436" s="1" t="n">
        <f aca="false">IF(OR($L$1="",对接源_01水果!$C436="",对接源_01水果!$C436&lt;&gt;$L$1,对接源_01水果!$B436=""),0,IF(OR(N(对接源_01水果!$B436)&lt;$L$2,N(对接源_01水果!$B436)&gt;$L$3),0,1))</f>
        <v>0</v>
      </c>
      <c r="M436" s="1" t="n">
        <f aca="false">IF(OR($M$1="",对接源_01水果!$C436="",对接源_01水果!$C436&lt;&gt;$M$1,对接源_01水果!$B436=""),0,IF(OR(N(对接源_01水果!$B436)&lt;$M$2,N(对接源_01水果!$B436)&gt;$M$3),0,1))</f>
        <v>0</v>
      </c>
      <c r="N436" s="1" t="n">
        <f aca="false">IF(OR($N$1="",对接源_01水果!$C436="",对接源_01水果!$C436&lt;&gt;$N$1,对接源_01水果!$B436=""),0,IF(OR(N(对接源_01水果!$B436)&lt;$N$2,N(对接源_01水果!$B436)&gt;$N$3),0,1))</f>
        <v>0</v>
      </c>
      <c r="P436" s="1" t="n">
        <f aca="false">IF(AND($K436=1,AND(对接源_01水果!$X436="公司筐",N(对接源_01水果!$T436)&lt;&gt;0)),1,0)</f>
        <v>0</v>
      </c>
      <c r="Q436" s="1" t="n">
        <f aca="false">N(Q435)+$P436</f>
        <v>3</v>
      </c>
      <c r="R436" s="1" t="n">
        <f aca="false">IF(AND($K436=1,AND(对接源_01水果!$X436="公司筐",N(对接源_01水果!$U436)&lt;&gt;0)),1,0)</f>
        <v>0</v>
      </c>
      <c r="S436" s="1" t="n">
        <f aca="false">N(S435)+$R436</f>
        <v>0</v>
      </c>
      <c r="T436" s="1" t="n">
        <f aca="false">IF(AND($K436=1,AND(对接源_01水果!$X436="公司筐",N(对接源_01水果!$V436)&lt;&gt;0)),1,0)</f>
        <v>0</v>
      </c>
      <c r="U436" s="1" t="n">
        <f aca="false">N(U435)+$T436</f>
        <v>28</v>
      </c>
      <c r="V436" s="1" t="n">
        <f aca="false">IF(AND($L436=1,AND(对接源_01水果!$X436="自备筐",N(对接源_01水果!$V436)&lt;&gt;0)),1,0)</f>
        <v>0</v>
      </c>
      <c r="W436" s="1" t="n">
        <f aca="false">N(W435)+$V436</f>
        <v>7</v>
      </c>
      <c r="X436" s="1" t="n">
        <f aca="false">IF(AND($L436=1,AND(对接源_01水果!$X436="自备筐",N(对接源_01水果!$T436)&lt;&gt;0)),1,0)</f>
        <v>0</v>
      </c>
      <c r="Y436" s="1" t="n">
        <f aca="false">N(Y435)+$X436</f>
        <v>0</v>
      </c>
      <c r="Z436" s="1" t="n">
        <f aca="false">IF(AND($M436=1,对接源_01水果!$D436="原料入库"),1,0)</f>
        <v>0</v>
      </c>
      <c r="AA436" s="1" t="n">
        <f aca="false">N(AA435)+$Z436</f>
        <v>30</v>
      </c>
      <c r="AB436" s="1" t="n">
        <f aca="false">IF(AND($M436=1,LEFT(对接源_01水果!$D436,4)="原料出库"),1,0)</f>
        <v>0</v>
      </c>
      <c r="AC436" s="1" t="n">
        <f aca="false">N(AC435)+$AB436</f>
        <v>19</v>
      </c>
      <c r="AD436" s="1" t="n">
        <f aca="false">IF(AND($M436=1,LEFT(对接源_01水果!$D436,4)="成品出库"),1,0)</f>
        <v>0</v>
      </c>
      <c r="AE436" s="1" t="n">
        <f aca="false">N(AE435)+$AD436</f>
        <v>38</v>
      </c>
      <c r="AF436" s="1" t="n">
        <f aca="false">IF(AND($N436=1,AND(LEFT(对接源_01水果!$D436,4)="包装物料",N(对接源_01水果!$K436)&lt;&gt;0)),1,0)</f>
        <v>0</v>
      </c>
      <c r="AG436" s="90" t="str">
        <f aca="false">IF(对接源_01水果!$AC436="","",对接源_01水果!$AC436)</f>
        <v/>
      </c>
      <c r="AH436" s="1" t="n">
        <f aca="false">IF(AND($N436=1,AND(LEFT(对接源_01水果!$D436,3)="周转筐",N(对接源_01水果!$K436)&lt;&gt;0)),1,0)</f>
        <v>0</v>
      </c>
      <c r="AI436" s="90" t="n">
        <f aca="false">IF(AG436="",0,IF(MATCH(AG436,$AG$4:$AG$1203,0)=ROW()-3,1,0))</f>
        <v>0</v>
      </c>
      <c r="AJ436" s="90" t="n">
        <f aca="false">N(AJ435)+AI436</f>
        <v>4</v>
      </c>
      <c r="AK436" s="1" t="n">
        <f aca="false">N(AK435)+$AJ436</f>
        <v>604</v>
      </c>
    </row>
    <row r="437" customFormat="false" ht="13.5" hidden="false" customHeight="false" outlineLevel="0" collapsed="false">
      <c r="A437" s="1" t="str">
        <f aca="false">IF(对接源_01水果!$C437="","",对接源_01水果!$C437)</f>
        <v/>
      </c>
      <c r="B437" s="1" t="n">
        <f aca="false">IF(A437="",0,IF(MATCH(A437,$A$4:$A$2403,0)=ROW()-3,1,0))</f>
        <v>0</v>
      </c>
      <c r="C437" s="1" t="n">
        <f aca="false">N(C436)+B437</f>
        <v>13</v>
      </c>
      <c r="K437" s="1" t="n">
        <f aca="false">IF(OR($K$1="",对接源_01水果!$C437="",对接源_01水果!$C437&lt;&gt;$K$1,对接源_01水果!$B437=""),0,IF(OR(N(对接源_01水果!$B437)&lt;$K$2,N(对接源_01水果!$B437)&gt;$K$3),0,1))</f>
        <v>0</v>
      </c>
      <c r="L437" s="1" t="n">
        <f aca="false">IF(OR($L$1="",对接源_01水果!$C437="",对接源_01水果!$C437&lt;&gt;$L$1,对接源_01水果!$B437=""),0,IF(OR(N(对接源_01水果!$B437)&lt;$L$2,N(对接源_01水果!$B437)&gt;$L$3),0,1))</f>
        <v>0</v>
      </c>
      <c r="M437" s="1" t="n">
        <f aca="false">IF(OR($M$1="",对接源_01水果!$C437="",对接源_01水果!$C437&lt;&gt;$M$1,对接源_01水果!$B437=""),0,IF(OR(N(对接源_01水果!$B437)&lt;$M$2,N(对接源_01水果!$B437)&gt;$M$3),0,1))</f>
        <v>0</v>
      </c>
      <c r="N437" s="1" t="n">
        <f aca="false">IF(OR($N$1="",对接源_01水果!$C437="",对接源_01水果!$C437&lt;&gt;$N$1,对接源_01水果!$B437=""),0,IF(OR(N(对接源_01水果!$B437)&lt;$N$2,N(对接源_01水果!$B437)&gt;$N$3),0,1))</f>
        <v>0</v>
      </c>
      <c r="P437" s="1" t="n">
        <f aca="false">IF(AND($K437=1,AND(对接源_01水果!$X437="公司筐",N(对接源_01水果!$T437)&lt;&gt;0)),1,0)</f>
        <v>0</v>
      </c>
      <c r="Q437" s="1" t="n">
        <f aca="false">N(Q436)+$P437</f>
        <v>3</v>
      </c>
      <c r="R437" s="1" t="n">
        <f aca="false">IF(AND($K437=1,AND(对接源_01水果!$X437="公司筐",N(对接源_01水果!$U437)&lt;&gt;0)),1,0)</f>
        <v>0</v>
      </c>
      <c r="S437" s="1" t="n">
        <f aca="false">N(S436)+$R437</f>
        <v>0</v>
      </c>
      <c r="T437" s="1" t="n">
        <f aca="false">IF(AND($K437=1,AND(对接源_01水果!$X437="公司筐",N(对接源_01水果!$V437)&lt;&gt;0)),1,0)</f>
        <v>0</v>
      </c>
      <c r="U437" s="1" t="n">
        <f aca="false">N(U436)+$T437</f>
        <v>28</v>
      </c>
      <c r="V437" s="1" t="n">
        <f aca="false">IF(AND($L437=1,AND(对接源_01水果!$X437="自备筐",N(对接源_01水果!$V437)&lt;&gt;0)),1,0)</f>
        <v>0</v>
      </c>
      <c r="W437" s="1" t="n">
        <f aca="false">N(W436)+$V437</f>
        <v>7</v>
      </c>
      <c r="X437" s="1" t="n">
        <f aca="false">IF(AND($L437=1,AND(对接源_01水果!$X437="自备筐",N(对接源_01水果!$T437)&lt;&gt;0)),1,0)</f>
        <v>0</v>
      </c>
      <c r="Y437" s="1" t="n">
        <f aca="false">N(Y436)+$X437</f>
        <v>0</v>
      </c>
      <c r="Z437" s="1" t="n">
        <f aca="false">IF(AND($M437=1,对接源_01水果!$D437="原料入库"),1,0)</f>
        <v>0</v>
      </c>
      <c r="AA437" s="1" t="n">
        <f aca="false">N(AA436)+$Z437</f>
        <v>30</v>
      </c>
      <c r="AB437" s="1" t="n">
        <f aca="false">IF(AND($M437=1,LEFT(对接源_01水果!$D437,4)="原料出库"),1,0)</f>
        <v>0</v>
      </c>
      <c r="AC437" s="1" t="n">
        <f aca="false">N(AC436)+$AB437</f>
        <v>19</v>
      </c>
      <c r="AD437" s="1" t="n">
        <f aca="false">IF(AND($M437=1,LEFT(对接源_01水果!$D437,4)="成品出库"),1,0)</f>
        <v>0</v>
      </c>
      <c r="AE437" s="1" t="n">
        <f aca="false">N(AE436)+$AD437</f>
        <v>38</v>
      </c>
      <c r="AF437" s="1" t="n">
        <f aca="false">IF(AND($N437=1,AND(LEFT(对接源_01水果!$D437,4)="包装物料",N(对接源_01水果!$K437)&lt;&gt;0)),1,0)</f>
        <v>0</v>
      </c>
      <c r="AG437" s="90" t="str">
        <f aca="false">IF(对接源_01水果!$AC437="","",对接源_01水果!$AC437)</f>
        <v/>
      </c>
      <c r="AH437" s="1" t="n">
        <f aca="false">IF(AND($N437=1,AND(LEFT(对接源_01水果!$D437,3)="周转筐",N(对接源_01水果!$K437)&lt;&gt;0)),1,0)</f>
        <v>0</v>
      </c>
      <c r="AI437" s="90" t="n">
        <f aca="false">IF(AG437="",0,IF(MATCH(AG437,$AG$4:$AG$1203,0)=ROW()-3,1,0))</f>
        <v>0</v>
      </c>
      <c r="AJ437" s="90" t="n">
        <f aca="false">N(AJ436)+AI437</f>
        <v>4</v>
      </c>
      <c r="AK437" s="1" t="n">
        <f aca="false">N(AK436)+$AJ437</f>
        <v>608</v>
      </c>
    </row>
    <row r="438" customFormat="false" ht="13.5" hidden="false" customHeight="false" outlineLevel="0" collapsed="false">
      <c r="A438" s="1" t="str">
        <f aca="false">IF(对接源_01水果!$C438="","",对接源_01水果!$C438)</f>
        <v/>
      </c>
      <c r="B438" s="1" t="n">
        <f aca="false">IF(A438="",0,IF(MATCH(A438,$A$4:$A$2403,0)=ROW()-3,1,0))</f>
        <v>0</v>
      </c>
      <c r="C438" s="1" t="n">
        <f aca="false">N(C437)+B438</f>
        <v>13</v>
      </c>
      <c r="K438" s="1" t="n">
        <f aca="false">IF(OR($K$1="",对接源_01水果!$C438="",对接源_01水果!$C438&lt;&gt;$K$1,对接源_01水果!$B438=""),0,IF(OR(N(对接源_01水果!$B438)&lt;$K$2,N(对接源_01水果!$B438)&gt;$K$3),0,1))</f>
        <v>0</v>
      </c>
      <c r="L438" s="1" t="n">
        <f aca="false">IF(OR($L$1="",对接源_01水果!$C438="",对接源_01水果!$C438&lt;&gt;$L$1,对接源_01水果!$B438=""),0,IF(OR(N(对接源_01水果!$B438)&lt;$L$2,N(对接源_01水果!$B438)&gt;$L$3),0,1))</f>
        <v>0</v>
      </c>
      <c r="M438" s="1" t="n">
        <f aca="false">IF(OR($M$1="",对接源_01水果!$C438="",对接源_01水果!$C438&lt;&gt;$M$1,对接源_01水果!$B438=""),0,IF(OR(N(对接源_01水果!$B438)&lt;$M$2,N(对接源_01水果!$B438)&gt;$M$3),0,1))</f>
        <v>0</v>
      </c>
      <c r="N438" s="1" t="n">
        <f aca="false">IF(OR($N$1="",对接源_01水果!$C438="",对接源_01水果!$C438&lt;&gt;$N$1,对接源_01水果!$B438=""),0,IF(OR(N(对接源_01水果!$B438)&lt;$N$2,N(对接源_01水果!$B438)&gt;$N$3),0,1))</f>
        <v>0</v>
      </c>
      <c r="P438" s="1" t="n">
        <f aca="false">IF(AND($K438=1,AND(对接源_01水果!$X438="公司筐",N(对接源_01水果!$T438)&lt;&gt;0)),1,0)</f>
        <v>0</v>
      </c>
      <c r="Q438" s="1" t="n">
        <f aca="false">N(Q437)+$P438</f>
        <v>3</v>
      </c>
      <c r="R438" s="1" t="n">
        <f aca="false">IF(AND($K438=1,AND(对接源_01水果!$X438="公司筐",N(对接源_01水果!$U438)&lt;&gt;0)),1,0)</f>
        <v>0</v>
      </c>
      <c r="S438" s="1" t="n">
        <f aca="false">N(S437)+$R438</f>
        <v>0</v>
      </c>
      <c r="T438" s="1" t="n">
        <f aca="false">IF(AND($K438=1,AND(对接源_01水果!$X438="公司筐",N(对接源_01水果!$V438)&lt;&gt;0)),1,0)</f>
        <v>0</v>
      </c>
      <c r="U438" s="1" t="n">
        <f aca="false">N(U437)+$T438</f>
        <v>28</v>
      </c>
      <c r="V438" s="1" t="n">
        <f aca="false">IF(AND($L438=1,AND(对接源_01水果!$X438="自备筐",N(对接源_01水果!$V438)&lt;&gt;0)),1,0)</f>
        <v>0</v>
      </c>
      <c r="W438" s="1" t="n">
        <f aca="false">N(W437)+$V438</f>
        <v>7</v>
      </c>
      <c r="X438" s="1" t="n">
        <f aca="false">IF(AND($L438=1,AND(对接源_01水果!$X438="自备筐",N(对接源_01水果!$T438)&lt;&gt;0)),1,0)</f>
        <v>0</v>
      </c>
      <c r="Y438" s="1" t="n">
        <f aca="false">N(Y437)+$X438</f>
        <v>0</v>
      </c>
      <c r="Z438" s="1" t="n">
        <f aca="false">IF(AND($M438=1,对接源_01水果!$D438="原料入库"),1,0)</f>
        <v>0</v>
      </c>
      <c r="AA438" s="1" t="n">
        <f aca="false">N(AA437)+$Z438</f>
        <v>30</v>
      </c>
      <c r="AB438" s="1" t="n">
        <f aca="false">IF(AND($M438=1,LEFT(对接源_01水果!$D438,4)="原料出库"),1,0)</f>
        <v>0</v>
      </c>
      <c r="AC438" s="1" t="n">
        <f aca="false">N(AC437)+$AB438</f>
        <v>19</v>
      </c>
      <c r="AD438" s="1" t="n">
        <f aca="false">IF(AND($M438=1,LEFT(对接源_01水果!$D438,4)="成品出库"),1,0)</f>
        <v>0</v>
      </c>
      <c r="AE438" s="1" t="n">
        <f aca="false">N(AE437)+$AD438</f>
        <v>38</v>
      </c>
      <c r="AF438" s="1" t="n">
        <f aca="false">IF(AND($N438=1,AND(LEFT(对接源_01水果!$D438,4)="包装物料",N(对接源_01水果!$K438)&lt;&gt;0)),1,0)</f>
        <v>0</v>
      </c>
      <c r="AG438" s="90" t="str">
        <f aca="false">IF(对接源_01水果!$AC438="","",对接源_01水果!$AC438)</f>
        <v/>
      </c>
      <c r="AH438" s="1" t="n">
        <f aca="false">IF(AND($N438=1,AND(LEFT(对接源_01水果!$D438,3)="周转筐",N(对接源_01水果!$K438)&lt;&gt;0)),1,0)</f>
        <v>0</v>
      </c>
      <c r="AI438" s="90" t="n">
        <f aca="false">IF(AG438="",0,IF(MATCH(AG438,$AG$4:$AG$1203,0)=ROW()-3,1,0))</f>
        <v>0</v>
      </c>
      <c r="AJ438" s="90" t="n">
        <f aca="false">N(AJ437)+AI438</f>
        <v>4</v>
      </c>
      <c r="AK438" s="1" t="n">
        <f aca="false">N(AK437)+$AJ438</f>
        <v>612</v>
      </c>
    </row>
    <row r="439" customFormat="false" ht="13.5" hidden="false" customHeight="false" outlineLevel="0" collapsed="false">
      <c r="A439" s="1" t="str">
        <f aca="false">IF(对接源_01水果!$C439="","",对接源_01水果!$C439)</f>
        <v/>
      </c>
      <c r="B439" s="1" t="n">
        <f aca="false">IF(A439="",0,IF(MATCH(A439,$A$4:$A$2403,0)=ROW()-3,1,0))</f>
        <v>0</v>
      </c>
      <c r="C439" s="1" t="n">
        <f aca="false">N(C438)+B439</f>
        <v>13</v>
      </c>
      <c r="K439" s="1" t="n">
        <f aca="false">IF(OR($K$1="",对接源_01水果!$C439="",对接源_01水果!$C439&lt;&gt;$K$1,对接源_01水果!$B439=""),0,IF(OR(N(对接源_01水果!$B439)&lt;$K$2,N(对接源_01水果!$B439)&gt;$K$3),0,1))</f>
        <v>0</v>
      </c>
      <c r="L439" s="1" t="n">
        <f aca="false">IF(OR($L$1="",对接源_01水果!$C439="",对接源_01水果!$C439&lt;&gt;$L$1,对接源_01水果!$B439=""),0,IF(OR(N(对接源_01水果!$B439)&lt;$L$2,N(对接源_01水果!$B439)&gt;$L$3),0,1))</f>
        <v>0</v>
      </c>
      <c r="M439" s="1" t="n">
        <f aca="false">IF(OR($M$1="",对接源_01水果!$C439="",对接源_01水果!$C439&lt;&gt;$M$1,对接源_01水果!$B439=""),0,IF(OR(N(对接源_01水果!$B439)&lt;$M$2,N(对接源_01水果!$B439)&gt;$M$3),0,1))</f>
        <v>0</v>
      </c>
      <c r="N439" s="1" t="n">
        <f aca="false">IF(OR($N$1="",对接源_01水果!$C439="",对接源_01水果!$C439&lt;&gt;$N$1,对接源_01水果!$B439=""),0,IF(OR(N(对接源_01水果!$B439)&lt;$N$2,N(对接源_01水果!$B439)&gt;$N$3),0,1))</f>
        <v>0</v>
      </c>
      <c r="P439" s="1" t="n">
        <f aca="false">IF(AND($K439=1,AND(对接源_01水果!$X439="公司筐",N(对接源_01水果!$T439)&lt;&gt;0)),1,0)</f>
        <v>0</v>
      </c>
      <c r="Q439" s="1" t="n">
        <f aca="false">N(Q438)+$P439</f>
        <v>3</v>
      </c>
      <c r="R439" s="1" t="n">
        <f aca="false">IF(AND($K439=1,AND(对接源_01水果!$X439="公司筐",N(对接源_01水果!$U439)&lt;&gt;0)),1,0)</f>
        <v>0</v>
      </c>
      <c r="S439" s="1" t="n">
        <f aca="false">N(S438)+$R439</f>
        <v>0</v>
      </c>
      <c r="T439" s="1" t="n">
        <f aca="false">IF(AND($K439=1,AND(对接源_01水果!$X439="公司筐",N(对接源_01水果!$V439)&lt;&gt;0)),1,0)</f>
        <v>0</v>
      </c>
      <c r="U439" s="1" t="n">
        <f aca="false">N(U438)+$T439</f>
        <v>28</v>
      </c>
      <c r="V439" s="1" t="n">
        <f aca="false">IF(AND($L439=1,AND(对接源_01水果!$X439="自备筐",N(对接源_01水果!$V439)&lt;&gt;0)),1,0)</f>
        <v>0</v>
      </c>
      <c r="W439" s="1" t="n">
        <f aca="false">N(W438)+$V439</f>
        <v>7</v>
      </c>
      <c r="X439" s="1" t="n">
        <f aca="false">IF(AND($L439=1,AND(对接源_01水果!$X439="自备筐",N(对接源_01水果!$T439)&lt;&gt;0)),1,0)</f>
        <v>0</v>
      </c>
      <c r="Y439" s="1" t="n">
        <f aca="false">N(Y438)+$X439</f>
        <v>0</v>
      </c>
      <c r="Z439" s="1" t="n">
        <f aca="false">IF(AND($M439=1,对接源_01水果!$D439="原料入库"),1,0)</f>
        <v>0</v>
      </c>
      <c r="AA439" s="1" t="n">
        <f aca="false">N(AA438)+$Z439</f>
        <v>30</v>
      </c>
      <c r="AB439" s="1" t="n">
        <f aca="false">IF(AND($M439=1,LEFT(对接源_01水果!$D439,4)="原料出库"),1,0)</f>
        <v>0</v>
      </c>
      <c r="AC439" s="1" t="n">
        <f aca="false">N(AC438)+$AB439</f>
        <v>19</v>
      </c>
      <c r="AD439" s="1" t="n">
        <f aca="false">IF(AND($M439=1,LEFT(对接源_01水果!$D439,4)="成品出库"),1,0)</f>
        <v>0</v>
      </c>
      <c r="AE439" s="1" t="n">
        <f aca="false">N(AE438)+$AD439</f>
        <v>38</v>
      </c>
      <c r="AF439" s="1" t="n">
        <f aca="false">IF(AND($N439=1,AND(LEFT(对接源_01水果!$D439,4)="包装物料",N(对接源_01水果!$K439)&lt;&gt;0)),1,0)</f>
        <v>0</v>
      </c>
      <c r="AG439" s="90" t="str">
        <f aca="false">IF(对接源_01水果!$AC439="","",对接源_01水果!$AC439)</f>
        <v/>
      </c>
      <c r="AH439" s="1" t="n">
        <f aca="false">IF(AND($N439=1,AND(LEFT(对接源_01水果!$D439,3)="周转筐",N(对接源_01水果!$K439)&lt;&gt;0)),1,0)</f>
        <v>0</v>
      </c>
      <c r="AI439" s="90" t="n">
        <f aca="false">IF(AG439="",0,IF(MATCH(AG439,$AG$4:$AG$1203,0)=ROW()-3,1,0))</f>
        <v>0</v>
      </c>
      <c r="AJ439" s="90" t="n">
        <f aca="false">N(AJ438)+AI439</f>
        <v>4</v>
      </c>
      <c r="AK439" s="1" t="n">
        <f aca="false">N(AK438)+$AJ439</f>
        <v>616</v>
      </c>
    </row>
    <row r="440" customFormat="false" ht="13.5" hidden="false" customHeight="false" outlineLevel="0" collapsed="false">
      <c r="A440" s="1" t="str">
        <f aca="false">IF(对接源_01水果!$C440="","",对接源_01水果!$C440)</f>
        <v/>
      </c>
      <c r="B440" s="1" t="n">
        <f aca="false">IF(A440="",0,IF(MATCH(A440,$A$4:$A$2403,0)=ROW()-3,1,0))</f>
        <v>0</v>
      </c>
      <c r="C440" s="1" t="n">
        <f aca="false">N(C439)+B440</f>
        <v>13</v>
      </c>
      <c r="K440" s="1" t="n">
        <f aca="false">IF(OR($K$1="",对接源_01水果!$C440="",对接源_01水果!$C440&lt;&gt;$K$1,对接源_01水果!$B440=""),0,IF(OR(N(对接源_01水果!$B440)&lt;$K$2,N(对接源_01水果!$B440)&gt;$K$3),0,1))</f>
        <v>0</v>
      </c>
      <c r="L440" s="1" t="n">
        <f aca="false">IF(OR($L$1="",对接源_01水果!$C440="",对接源_01水果!$C440&lt;&gt;$L$1,对接源_01水果!$B440=""),0,IF(OR(N(对接源_01水果!$B440)&lt;$L$2,N(对接源_01水果!$B440)&gt;$L$3),0,1))</f>
        <v>0</v>
      </c>
      <c r="M440" s="1" t="n">
        <f aca="false">IF(OR($M$1="",对接源_01水果!$C440="",对接源_01水果!$C440&lt;&gt;$M$1,对接源_01水果!$B440=""),0,IF(OR(N(对接源_01水果!$B440)&lt;$M$2,N(对接源_01水果!$B440)&gt;$M$3),0,1))</f>
        <v>0</v>
      </c>
      <c r="N440" s="1" t="n">
        <f aca="false">IF(OR($N$1="",对接源_01水果!$C440="",对接源_01水果!$C440&lt;&gt;$N$1,对接源_01水果!$B440=""),0,IF(OR(N(对接源_01水果!$B440)&lt;$N$2,N(对接源_01水果!$B440)&gt;$N$3),0,1))</f>
        <v>0</v>
      </c>
      <c r="P440" s="1" t="n">
        <f aca="false">IF(AND($K440=1,AND(对接源_01水果!$X440="公司筐",N(对接源_01水果!$T440)&lt;&gt;0)),1,0)</f>
        <v>0</v>
      </c>
      <c r="Q440" s="1" t="n">
        <f aca="false">N(Q439)+$P440</f>
        <v>3</v>
      </c>
      <c r="R440" s="1" t="n">
        <f aca="false">IF(AND($K440=1,AND(对接源_01水果!$X440="公司筐",N(对接源_01水果!$U440)&lt;&gt;0)),1,0)</f>
        <v>0</v>
      </c>
      <c r="S440" s="1" t="n">
        <f aca="false">N(S439)+$R440</f>
        <v>0</v>
      </c>
      <c r="T440" s="1" t="n">
        <f aca="false">IF(AND($K440=1,AND(对接源_01水果!$X440="公司筐",N(对接源_01水果!$V440)&lt;&gt;0)),1,0)</f>
        <v>0</v>
      </c>
      <c r="U440" s="1" t="n">
        <f aca="false">N(U439)+$T440</f>
        <v>28</v>
      </c>
      <c r="V440" s="1" t="n">
        <f aca="false">IF(AND($L440=1,AND(对接源_01水果!$X440="自备筐",N(对接源_01水果!$V440)&lt;&gt;0)),1,0)</f>
        <v>0</v>
      </c>
      <c r="W440" s="1" t="n">
        <f aca="false">N(W439)+$V440</f>
        <v>7</v>
      </c>
      <c r="X440" s="1" t="n">
        <f aca="false">IF(AND($L440=1,AND(对接源_01水果!$X440="自备筐",N(对接源_01水果!$T440)&lt;&gt;0)),1,0)</f>
        <v>0</v>
      </c>
      <c r="Y440" s="1" t="n">
        <f aca="false">N(Y439)+$X440</f>
        <v>0</v>
      </c>
      <c r="Z440" s="1" t="n">
        <f aca="false">IF(AND($M440=1,对接源_01水果!$D440="原料入库"),1,0)</f>
        <v>0</v>
      </c>
      <c r="AA440" s="1" t="n">
        <f aca="false">N(AA439)+$Z440</f>
        <v>30</v>
      </c>
      <c r="AB440" s="1" t="n">
        <f aca="false">IF(AND($M440=1,LEFT(对接源_01水果!$D440,4)="原料出库"),1,0)</f>
        <v>0</v>
      </c>
      <c r="AC440" s="1" t="n">
        <f aca="false">N(AC439)+$AB440</f>
        <v>19</v>
      </c>
      <c r="AD440" s="1" t="n">
        <f aca="false">IF(AND($M440=1,LEFT(对接源_01水果!$D440,4)="成品出库"),1,0)</f>
        <v>0</v>
      </c>
      <c r="AE440" s="1" t="n">
        <f aca="false">N(AE439)+$AD440</f>
        <v>38</v>
      </c>
      <c r="AF440" s="1" t="n">
        <f aca="false">IF(AND($N440=1,AND(LEFT(对接源_01水果!$D440,4)="包装物料",N(对接源_01水果!$K440)&lt;&gt;0)),1,0)</f>
        <v>0</v>
      </c>
      <c r="AG440" s="90" t="str">
        <f aca="false">IF(对接源_01水果!$AC440="","",对接源_01水果!$AC440)</f>
        <v/>
      </c>
      <c r="AH440" s="1" t="n">
        <f aca="false">IF(AND($N440=1,AND(LEFT(对接源_01水果!$D440,3)="周转筐",N(对接源_01水果!$K440)&lt;&gt;0)),1,0)</f>
        <v>0</v>
      </c>
      <c r="AI440" s="90" t="n">
        <f aca="false">IF(AG440="",0,IF(MATCH(AG440,$AG$4:$AG$1203,0)=ROW()-3,1,0))</f>
        <v>0</v>
      </c>
      <c r="AJ440" s="90" t="n">
        <f aca="false">N(AJ439)+AI440</f>
        <v>4</v>
      </c>
      <c r="AK440" s="1" t="n">
        <f aca="false">N(AK439)+$AJ440</f>
        <v>620</v>
      </c>
    </row>
    <row r="441" customFormat="false" ht="13.5" hidden="false" customHeight="false" outlineLevel="0" collapsed="false">
      <c r="A441" s="1" t="str">
        <f aca="false">IF(对接源_01水果!$C441="","",对接源_01水果!$C441)</f>
        <v/>
      </c>
      <c r="B441" s="1" t="n">
        <f aca="false">IF(A441="",0,IF(MATCH(A441,$A$4:$A$2403,0)=ROW()-3,1,0))</f>
        <v>0</v>
      </c>
      <c r="C441" s="1" t="n">
        <f aca="false">N(C440)+B441</f>
        <v>13</v>
      </c>
      <c r="K441" s="1" t="n">
        <f aca="false">IF(OR($K$1="",对接源_01水果!$C441="",对接源_01水果!$C441&lt;&gt;$K$1,对接源_01水果!$B441=""),0,IF(OR(N(对接源_01水果!$B441)&lt;$K$2,N(对接源_01水果!$B441)&gt;$K$3),0,1))</f>
        <v>0</v>
      </c>
      <c r="L441" s="1" t="n">
        <f aca="false">IF(OR($L$1="",对接源_01水果!$C441="",对接源_01水果!$C441&lt;&gt;$L$1,对接源_01水果!$B441=""),0,IF(OR(N(对接源_01水果!$B441)&lt;$L$2,N(对接源_01水果!$B441)&gt;$L$3),0,1))</f>
        <v>0</v>
      </c>
      <c r="M441" s="1" t="n">
        <f aca="false">IF(OR($M$1="",对接源_01水果!$C441="",对接源_01水果!$C441&lt;&gt;$M$1,对接源_01水果!$B441=""),0,IF(OR(N(对接源_01水果!$B441)&lt;$M$2,N(对接源_01水果!$B441)&gt;$M$3),0,1))</f>
        <v>0</v>
      </c>
      <c r="N441" s="1" t="n">
        <f aca="false">IF(OR($N$1="",对接源_01水果!$C441="",对接源_01水果!$C441&lt;&gt;$N$1,对接源_01水果!$B441=""),0,IF(OR(N(对接源_01水果!$B441)&lt;$N$2,N(对接源_01水果!$B441)&gt;$N$3),0,1))</f>
        <v>0</v>
      </c>
      <c r="P441" s="1" t="n">
        <f aca="false">IF(AND($K441=1,AND(对接源_01水果!$X441="公司筐",N(对接源_01水果!$T441)&lt;&gt;0)),1,0)</f>
        <v>0</v>
      </c>
      <c r="Q441" s="1" t="n">
        <f aca="false">N(Q440)+$P441</f>
        <v>3</v>
      </c>
      <c r="R441" s="1" t="n">
        <f aca="false">IF(AND($K441=1,AND(对接源_01水果!$X441="公司筐",N(对接源_01水果!$U441)&lt;&gt;0)),1,0)</f>
        <v>0</v>
      </c>
      <c r="S441" s="1" t="n">
        <f aca="false">N(S440)+$R441</f>
        <v>0</v>
      </c>
      <c r="T441" s="1" t="n">
        <f aca="false">IF(AND($K441=1,AND(对接源_01水果!$X441="公司筐",N(对接源_01水果!$V441)&lt;&gt;0)),1,0)</f>
        <v>0</v>
      </c>
      <c r="U441" s="1" t="n">
        <f aca="false">N(U440)+$T441</f>
        <v>28</v>
      </c>
      <c r="V441" s="1" t="n">
        <f aca="false">IF(AND($L441=1,AND(对接源_01水果!$X441="自备筐",N(对接源_01水果!$V441)&lt;&gt;0)),1,0)</f>
        <v>0</v>
      </c>
      <c r="W441" s="1" t="n">
        <f aca="false">N(W440)+$V441</f>
        <v>7</v>
      </c>
      <c r="X441" s="1" t="n">
        <f aca="false">IF(AND($L441=1,AND(对接源_01水果!$X441="自备筐",N(对接源_01水果!$T441)&lt;&gt;0)),1,0)</f>
        <v>0</v>
      </c>
      <c r="Y441" s="1" t="n">
        <f aca="false">N(Y440)+$X441</f>
        <v>0</v>
      </c>
      <c r="Z441" s="1" t="n">
        <f aca="false">IF(AND($M441=1,对接源_01水果!$D441="原料入库"),1,0)</f>
        <v>0</v>
      </c>
      <c r="AA441" s="1" t="n">
        <f aca="false">N(AA440)+$Z441</f>
        <v>30</v>
      </c>
      <c r="AB441" s="1" t="n">
        <f aca="false">IF(AND($M441=1,LEFT(对接源_01水果!$D441,4)="原料出库"),1,0)</f>
        <v>0</v>
      </c>
      <c r="AC441" s="1" t="n">
        <f aca="false">N(AC440)+$AB441</f>
        <v>19</v>
      </c>
      <c r="AD441" s="1" t="n">
        <f aca="false">IF(AND($M441=1,LEFT(对接源_01水果!$D441,4)="成品出库"),1,0)</f>
        <v>0</v>
      </c>
      <c r="AE441" s="1" t="n">
        <f aca="false">N(AE440)+$AD441</f>
        <v>38</v>
      </c>
      <c r="AF441" s="1" t="n">
        <f aca="false">IF(AND($N441=1,AND(LEFT(对接源_01水果!$D441,4)="包装物料",N(对接源_01水果!$K441)&lt;&gt;0)),1,0)</f>
        <v>0</v>
      </c>
      <c r="AG441" s="90" t="str">
        <f aca="false">IF(对接源_01水果!$AC441="","",对接源_01水果!$AC441)</f>
        <v/>
      </c>
      <c r="AH441" s="1" t="n">
        <f aca="false">IF(AND($N441=1,AND(LEFT(对接源_01水果!$D441,3)="周转筐",N(对接源_01水果!$K441)&lt;&gt;0)),1,0)</f>
        <v>0</v>
      </c>
      <c r="AI441" s="90" t="n">
        <f aca="false">IF(AG441="",0,IF(MATCH(AG441,$AG$4:$AG$1203,0)=ROW()-3,1,0))</f>
        <v>0</v>
      </c>
      <c r="AJ441" s="90" t="n">
        <f aca="false">N(AJ440)+AI441</f>
        <v>4</v>
      </c>
      <c r="AK441" s="1" t="n">
        <f aca="false">N(AK440)+$AJ441</f>
        <v>624</v>
      </c>
    </row>
    <row r="442" customFormat="false" ht="13.5" hidden="false" customHeight="false" outlineLevel="0" collapsed="false">
      <c r="A442" s="1" t="str">
        <f aca="false">IF(对接源_01水果!$C442="","",对接源_01水果!$C442)</f>
        <v/>
      </c>
      <c r="B442" s="1" t="n">
        <f aca="false">IF(A442="",0,IF(MATCH(A442,$A$4:$A$2403,0)=ROW()-3,1,0))</f>
        <v>0</v>
      </c>
      <c r="C442" s="1" t="n">
        <f aca="false">N(C441)+B442</f>
        <v>13</v>
      </c>
      <c r="K442" s="1" t="n">
        <f aca="false">IF(OR($K$1="",对接源_01水果!$C442="",对接源_01水果!$C442&lt;&gt;$K$1,对接源_01水果!$B442=""),0,IF(OR(N(对接源_01水果!$B442)&lt;$K$2,N(对接源_01水果!$B442)&gt;$K$3),0,1))</f>
        <v>0</v>
      </c>
      <c r="L442" s="1" t="n">
        <f aca="false">IF(OR($L$1="",对接源_01水果!$C442="",对接源_01水果!$C442&lt;&gt;$L$1,对接源_01水果!$B442=""),0,IF(OR(N(对接源_01水果!$B442)&lt;$L$2,N(对接源_01水果!$B442)&gt;$L$3),0,1))</f>
        <v>0</v>
      </c>
      <c r="M442" s="1" t="n">
        <f aca="false">IF(OR($M$1="",对接源_01水果!$C442="",对接源_01水果!$C442&lt;&gt;$M$1,对接源_01水果!$B442=""),0,IF(OR(N(对接源_01水果!$B442)&lt;$M$2,N(对接源_01水果!$B442)&gt;$M$3),0,1))</f>
        <v>0</v>
      </c>
      <c r="N442" s="1" t="n">
        <f aca="false">IF(OR($N$1="",对接源_01水果!$C442="",对接源_01水果!$C442&lt;&gt;$N$1,对接源_01水果!$B442=""),0,IF(OR(N(对接源_01水果!$B442)&lt;$N$2,N(对接源_01水果!$B442)&gt;$N$3),0,1))</f>
        <v>0</v>
      </c>
      <c r="P442" s="1" t="n">
        <f aca="false">IF(AND($K442=1,AND(对接源_01水果!$X442="公司筐",N(对接源_01水果!$T442)&lt;&gt;0)),1,0)</f>
        <v>0</v>
      </c>
      <c r="Q442" s="1" t="n">
        <f aca="false">N(Q441)+$P442</f>
        <v>3</v>
      </c>
      <c r="R442" s="1" t="n">
        <f aca="false">IF(AND($K442=1,AND(对接源_01水果!$X442="公司筐",N(对接源_01水果!$U442)&lt;&gt;0)),1,0)</f>
        <v>0</v>
      </c>
      <c r="S442" s="1" t="n">
        <f aca="false">N(S441)+$R442</f>
        <v>0</v>
      </c>
      <c r="T442" s="1" t="n">
        <f aca="false">IF(AND($K442=1,AND(对接源_01水果!$X442="公司筐",N(对接源_01水果!$V442)&lt;&gt;0)),1,0)</f>
        <v>0</v>
      </c>
      <c r="U442" s="1" t="n">
        <f aca="false">N(U441)+$T442</f>
        <v>28</v>
      </c>
      <c r="V442" s="1" t="n">
        <f aca="false">IF(AND($L442=1,AND(对接源_01水果!$X442="自备筐",N(对接源_01水果!$V442)&lt;&gt;0)),1,0)</f>
        <v>0</v>
      </c>
      <c r="W442" s="1" t="n">
        <f aca="false">N(W441)+$V442</f>
        <v>7</v>
      </c>
      <c r="X442" s="1" t="n">
        <f aca="false">IF(AND($L442=1,AND(对接源_01水果!$X442="自备筐",N(对接源_01水果!$T442)&lt;&gt;0)),1,0)</f>
        <v>0</v>
      </c>
      <c r="Y442" s="1" t="n">
        <f aca="false">N(Y441)+$X442</f>
        <v>0</v>
      </c>
      <c r="Z442" s="1" t="n">
        <f aca="false">IF(AND($M442=1,对接源_01水果!$D442="原料入库"),1,0)</f>
        <v>0</v>
      </c>
      <c r="AA442" s="1" t="n">
        <f aca="false">N(AA441)+$Z442</f>
        <v>30</v>
      </c>
      <c r="AB442" s="1" t="n">
        <f aca="false">IF(AND($M442=1,LEFT(对接源_01水果!$D442,4)="原料出库"),1,0)</f>
        <v>0</v>
      </c>
      <c r="AC442" s="1" t="n">
        <f aca="false">N(AC441)+$AB442</f>
        <v>19</v>
      </c>
      <c r="AD442" s="1" t="n">
        <f aca="false">IF(AND($M442=1,LEFT(对接源_01水果!$D442,4)="成品出库"),1,0)</f>
        <v>0</v>
      </c>
      <c r="AE442" s="1" t="n">
        <f aca="false">N(AE441)+$AD442</f>
        <v>38</v>
      </c>
      <c r="AF442" s="1" t="n">
        <f aca="false">IF(AND($N442=1,AND(LEFT(对接源_01水果!$D442,4)="包装物料",N(对接源_01水果!$K442)&lt;&gt;0)),1,0)</f>
        <v>0</v>
      </c>
      <c r="AG442" s="90" t="str">
        <f aca="false">IF(对接源_01水果!$AC442="","",对接源_01水果!$AC442)</f>
        <v/>
      </c>
      <c r="AH442" s="1" t="n">
        <f aca="false">IF(AND($N442=1,AND(LEFT(对接源_01水果!$D442,3)="周转筐",N(对接源_01水果!$K442)&lt;&gt;0)),1,0)</f>
        <v>0</v>
      </c>
      <c r="AI442" s="90" t="n">
        <f aca="false">IF(AG442="",0,IF(MATCH(AG442,$AG$4:$AG$1203,0)=ROW()-3,1,0))</f>
        <v>0</v>
      </c>
      <c r="AJ442" s="90" t="n">
        <f aca="false">N(AJ441)+AI442</f>
        <v>4</v>
      </c>
      <c r="AK442" s="1" t="n">
        <f aca="false">N(AK441)+$AJ442</f>
        <v>628</v>
      </c>
    </row>
    <row r="443" customFormat="false" ht="13.5" hidden="false" customHeight="false" outlineLevel="0" collapsed="false">
      <c r="A443" s="1" t="str">
        <f aca="false">IF(对接源_01水果!$C443="","",对接源_01水果!$C443)</f>
        <v/>
      </c>
      <c r="B443" s="1" t="n">
        <f aca="false">IF(A443="",0,IF(MATCH(A443,$A$4:$A$2403,0)=ROW()-3,1,0))</f>
        <v>0</v>
      </c>
      <c r="C443" s="1" t="n">
        <f aca="false">N(C442)+B443</f>
        <v>13</v>
      </c>
      <c r="K443" s="1" t="n">
        <f aca="false">IF(OR($K$1="",对接源_01水果!$C443="",对接源_01水果!$C443&lt;&gt;$K$1,对接源_01水果!$B443=""),0,IF(OR(N(对接源_01水果!$B443)&lt;$K$2,N(对接源_01水果!$B443)&gt;$K$3),0,1))</f>
        <v>0</v>
      </c>
      <c r="L443" s="1" t="n">
        <f aca="false">IF(OR($L$1="",对接源_01水果!$C443="",对接源_01水果!$C443&lt;&gt;$L$1,对接源_01水果!$B443=""),0,IF(OR(N(对接源_01水果!$B443)&lt;$L$2,N(对接源_01水果!$B443)&gt;$L$3),0,1))</f>
        <v>0</v>
      </c>
      <c r="M443" s="1" t="n">
        <f aca="false">IF(OR($M$1="",对接源_01水果!$C443="",对接源_01水果!$C443&lt;&gt;$M$1,对接源_01水果!$B443=""),0,IF(OR(N(对接源_01水果!$B443)&lt;$M$2,N(对接源_01水果!$B443)&gt;$M$3),0,1))</f>
        <v>0</v>
      </c>
      <c r="N443" s="1" t="n">
        <f aca="false">IF(OR($N$1="",对接源_01水果!$C443="",对接源_01水果!$C443&lt;&gt;$N$1,对接源_01水果!$B443=""),0,IF(OR(N(对接源_01水果!$B443)&lt;$N$2,N(对接源_01水果!$B443)&gt;$N$3),0,1))</f>
        <v>0</v>
      </c>
      <c r="P443" s="1" t="n">
        <f aca="false">IF(AND($K443=1,AND(对接源_01水果!$X443="公司筐",N(对接源_01水果!$T443)&lt;&gt;0)),1,0)</f>
        <v>0</v>
      </c>
      <c r="Q443" s="1" t="n">
        <f aca="false">N(Q442)+$P443</f>
        <v>3</v>
      </c>
      <c r="R443" s="1" t="n">
        <f aca="false">IF(AND($K443=1,AND(对接源_01水果!$X443="公司筐",N(对接源_01水果!$U443)&lt;&gt;0)),1,0)</f>
        <v>0</v>
      </c>
      <c r="S443" s="1" t="n">
        <f aca="false">N(S442)+$R443</f>
        <v>0</v>
      </c>
      <c r="T443" s="1" t="n">
        <f aca="false">IF(AND($K443=1,AND(对接源_01水果!$X443="公司筐",N(对接源_01水果!$V443)&lt;&gt;0)),1,0)</f>
        <v>0</v>
      </c>
      <c r="U443" s="1" t="n">
        <f aca="false">N(U442)+$T443</f>
        <v>28</v>
      </c>
      <c r="V443" s="1" t="n">
        <f aca="false">IF(AND($L443=1,AND(对接源_01水果!$X443="自备筐",N(对接源_01水果!$V443)&lt;&gt;0)),1,0)</f>
        <v>0</v>
      </c>
      <c r="W443" s="1" t="n">
        <f aca="false">N(W442)+$V443</f>
        <v>7</v>
      </c>
      <c r="X443" s="1" t="n">
        <f aca="false">IF(AND($L443=1,AND(对接源_01水果!$X443="自备筐",N(对接源_01水果!$T443)&lt;&gt;0)),1,0)</f>
        <v>0</v>
      </c>
      <c r="Y443" s="1" t="n">
        <f aca="false">N(Y442)+$X443</f>
        <v>0</v>
      </c>
      <c r="Z443" s="1" t="n">
        <f aca="false">IF(AND($M443=1,对接源_01水果!$D443="原料入库"),1,0)</f>
        <v>0</v>
      </c>
      <c r="AA443" s="1" t="n">
        <f aca="false">N(AA442)+$Z443</f>
        <v>30</v>
      </c>
      <c r="AB443" s="1" t="n">
        <f aca="false">IF(AND($M443=1,LEFT(对接源_01水果!$D443,4)="原料出库"),1,0)</f>
        <v>0</v>
      </c>
      <c r="AC443" s="1" t="n">
        <f aca="false">N(AC442)+$AB443</f>
        <v>19</v>
      </c>
      <c r="AD443" s="1" t="n">
        <f aca="false">IF(AND($M443=1,LEFT(对接源_01水果!$D443,4)="成品出库"),1,0)</f>
        <v>0</v>
      </c>
      <c r="AE443" s="1" t="n">
        <f aca="false">N(AE442)+$AD443</f>
        <v>38</v>
      </c>
      <c r="AF443" s="1" t="n">
        <f aca="false">IF(AND($N443=1,AND(LEFT(对接源_01水果!$D443,4)="包装物料",N(对接源_01水果!$K443)&lt;&gt;0)),1,0)</f>
        <v>0</v>
      </c>
      <c r="AG443" s="90" t="str">
        <f aca="false">IF(对接源_01水果!$AC443="","",对接源_01水果!$AC443)</f>
        <v/>
      </c>
      <c r="AH443" s="1" t="n">
        <f aca="false">IF(AND($N443=1,AND(LEFT(对接源_01水果!$D443,3)="周转筐",N(对接源_01水果!$K443)&lt;&gt;0)),1,0)</f>
        <v>0</v>
      </c>
      <c r="AI443" s="90" t="n">
        <f aca="false">IF(AG443="",0,IF(MATCH(AG443,$AG$4:$AG$1203,0)=ROW()-3,1,0))</f>
        <v>0</v>
      </c>
      <c r="AJ443" s="90" t="n">
        <f aca="false">N(AJ442)+AI443</f>
        <v>4</v>
      </c>
      <c r="AK443" s="1" t="n">
        <f aca="false">N(AK442)+$AJ443</f>
        <v>632</v>
      </c>
    </row>
    <row r="444" customFormat="false" ht="13.5" hidden="false" customHeight="false" outlineLevel="0" collapsed="false">
      <c r="A444" s="1" t="str">
        <f aca="false">IF(对接源_01水果!$C444="","",对接源_01水果!$C444)</f>
        <v/>
      </c>
      <c r="B444" s="1" t="n">
        <f aca="false">IF(A444="",0,IF(MATCH(A444,$A$4:$A$2403,0)=ROW()-3,1,0))</f>
        <v>0</v>
      </c>
      <c r="C444" s="1" t="n">
        <f aca="false">N(C443)+B444</f>
        <v>13</v>
      </c>
      <c r="K444" s="1" t="n">
        <f aca="false">IF(OR($K$1="",对接源_01水果!$C444="",对接源_01水果!$C444&lt;&gt;$K$1,对接源_01水果!$B444=""),0,IF(OR(N(对接源_01水果!$B444)&lt;$K$2,N(对接源_01水果!$B444)&gt;$K$3),0,1))</f>
        <v>0</v>
      </c>
      <c r="L444" s="1" t="n">
        <f aca="false">IF(OR($L$1="",对接源_01水果!$C444="",对接源_01水果!$C444&lt;&gt;$L$1,对接源_01水果!$B444=""),0,IF(OR(N(对接源_01水果!$B444)&lt;$L$2,N(对接源_01水果!$B444)&gt;$L$3),0,1))</f>
        <v>0</v>
      </c>
      <c r="M444" s="1" t="n">
        <f aca="false">IF(OR($M$1="",对接源_01水果!$C444="",对接源_01水果!$C444&lt;&gt;$M$1,对接源_01水果!$B444=""),0,IF(OR(N(对接源_01水果!$B444)&lt;$M$2,N(对接源_01水果!$B444)&gt;$M$3),0,1))</f>
        <v>0</v>
      </c>
      <c r="N444" s="1" t="n">
        <f aca="false">IF(OR($N$1="",对接源_01水果!$C444="",对接源_01水果!$C444&lt;&gt;$N$1,对接源_01水果!$B444=""),0,IF(OR(N(对接源_01水果!$B444)&lt;$N$2,N(对接源_01水果!$B444)&gt;$N$3),0,1))</f>
        <v>0</v>
      </c>
      <c r="P444" s="1" t="n">
        <f aca="false">IF(AND($K444=1,AND(对接源_01水果!$X444="公司筐",N(对接源_01水果!$T444)&lt;&gt;0)),1,0)</f>
        <v>0</v>
      </c>
      <c r="Q444" s="1" t="n">
        <f aca="false">N(Q443)+$P444</f>
        <v>3</v>
      </c>
      <c r="R444" s="1" t="n">
        <f aca="false">IF(AND($K444=1,AND(对接源_01水果!$X444="公司筐",N(对接源_01水果!$U444)&lt;&gt;0)),1,0)</f>
        <v>0</v>
      </c>
      <c r="S444" s="1" t="n">
        <f aca="false">N(S443)+$R444</f>
        <v>0</v>
      </c>
      <c r="T444" s="1" t="n">
        <f aca="false">IF(AND($K444=1,AND(对接源_01水果!$X444="公司筐",N(对接源_01水果!$V444)&lt;&gt;0)),1,0)</f>
        <v>0</v>
      </c>
      <c r="U444" s="1" t="n">
        <f aca="false">N(U443)+$T444</f>
        <v>28</v>
      </c>
      <c r="V444" s="1" t="n">
        <f aca="false">IF(AND($L444=1,AND(对接源_01水果!$X444="自备筐",N(对接源_01水果!$V444)&lt;&gt;0)),1,0)</f>
        <v>0</v>
      </c>
      <c r="W444" s="1" t="n">
        <f aca="false">N(W443)+$V444</f>
        <v>7</v>
      </c>
      <c r="X444" s="1" t="n">
        <f aca="false">IF(AND($L444=1,AND(对接源_01水果!$X444="自备筐",N(对接源_01水果!$T444)&lt;&gt;0)),1,0)</f>
        <v>0</v>
      </c>
      <c r="Y444" s="1" t="n">
        <f aca="false">N(Y443)+$X444</f>
        <v>0</v>
      </c>
      <c r="Z444" s="1" t="n">
        <f aca="false">IF(AND($M444=1,对接源_01水果!$D444="原料入库"),1,0)</f>
        <v>0</v>
      </c>
      <c r="AA444" s="1" t="n">
        <f aca="false">N(AA443)+$Z444</f>
        <v>30</v>
      </c>
      <c r="AB444" s="1" t="n">
        <f aca="false">IF(AND($M444=1,LEFT(对接源_01水果!$D444,4)="原料出库"),1,0)</f>
        <v>0</v>
      </c>
      <c r="AC444" s="1" t="n">
        <f aca="false">N(AC443)+$AB444</f>
        <v>19</v>
      </c>
      <c r="AD444" s="1" t="n">
        <f aca="false">IF(AND($M444=1,LEFT(对接源_01水果!$D444,4)="成品出库"),1,0)</f>
        <v>0</v>
      </c>
      <c r="AE444" s="1" t="n">
        <f aca="false">N(AE443)+$AD444</f>
        <v>38</v>
      </c>
      <c r="AF444" s="1" t="n">
        <f aca="false">IF(AND($N444=1,AND(LEFT(对接源_01水果!$D444,4)="包装物料",N(对接源_01水果!$K444)&lt;&gt;0)),1,0)</f>
        <v>0</v>
      </c>
      <c r="AG444" s="90" t="str">
        <f aca="false">IF(对接源_01水果!$AC444="","",对接源_01水果!$AC444)</f>
        <v/>
      </c>
      <c r="AH444" s="1" t="n">
        <f aca="false">IF(AND($N444=1,AND(LEFT(对接源_01水果!$D444,3)="周转筐",N(对接源_01水果!$K444)&lt;&gt;0)),1,0)</f>
        <v>0</v>
      </c>
      <c r="AI444" s="90" t="n">
        <f aca="false">IF(AG444="",0,IF(MATCH(AG444,$AG$4:$AG$1203,0)=ROW()-3,1,0))</f>
        <v>0</v>
      </c>
      <c r="AJ444" s="90" t="n">
        <f aca="false">N(AJ443)+AI444</f>
        <v>4</v>
      </c>
      <c r="AK444" s="1" t="n">
        <f aca="false">N(AK443)+$AJ444</f>
        <v>636</v>
      </c>
    </row>
    <row r="445" customFormat="false" ht="13.5" hidden="false" customHeight="false" outlineLevel="0" collapsed="false">
      <c r="A445" s="1" t="str">
        <f aca="false">IF(对接源_01水果!$C445="","",对接源_01水果!$C445)</f>
        <v/>
      </c>
      <c r="B445" s="1" t="n">
        <f aca="false">IF(A445="",0,IF(MATCH(A445,$A$4:$A$2403,0)=ROW()-3,1,0))</f>
        <v>0</v>
      </c>
      <c r="C445" s="1" t="n">
        <f aca="false">N(C444)+B445</f>
        <v>13</v>
      </c>
      <c r="K445" s="1" t="n">
        <f aca="false">IF(OR($K$1="",对接源_01水果!$C445="",对接源_01水果!$C445&lt;&gt;$K$1,对接源_01水果!$B445=""),0,IF(OR(N(对接源_01水果!$B445)&lt;$K$2,N(对接源_01水果!$B445)&gt;$K$3),0,1))</f>
        <v>0</v>
      </c>
      <c r="L445" s="1" t="n">
        <f aca="false">IF(OR($L$1="",对接源_01水果!$C445="",对接源_01水果!$C445&lt;&gt;$L$1,对接源_01水果!$B445=""),0,IF(OR(N(对接源_01水果!$B445)&lt;$L$2,N(对接源_01水果!$B445)&gt;$L$3),0,1))</f>
        <v>0</v>
      </c>
      <c r="M445" s="1" t="n">
        <f aca="false">IF(OR($M$1="",对接源_01水果!$C445="",对接源_01水果!$C445&lt;&gt;$M$1,对接源_01水果!$B445=""),0,IF(OR(N(对接源_01水果!$B445)&lt;$M$2,N(对接源_01水果!$B445)&gt;$M$3),0,1))</f>
        <v>0</v>
      </c>
      <c r="N445" s="1" t="n">
        <f aca="false">IF(OR($N$1="",对接源_01水果!$C445="",对接源_01水果!$C445&lt;&gt;$N$1,对接源_01水果!$B445=""),0,IF(OR(N(对接源_01水果!$B445)&lt;$N$2,N(对接源_01水果!$B445)&gt;$N$3),0,1))</f>
        <v>0</v>
      </c>
      <c r="P445" s="1" t="n">
        <f aca="false">IF(AND($K445=1,AND(对接源_01水果!$X445="公司筐",N(对接源_01水果!$T445)&lt;&gt;0)),1,0)</f>
        <v>0</v>
      </c>
      <c r="Q445" s="1" t="n">
        <f aca="false">N(Q444)+$P445</f>
        <v>3</v>
      </c>
      <c r="R445" s="1" t="n">
        <f aca="false">IF(AND($K445=1,AND(对接源_01水果!$X445="公司筐",N(对接源_01水果!$U445)&lt;&gt;0)),1,0)</f>
        <v>0</v>
      </c>
      <c r="S445" s="1" t="n">
        <f aca="false">N(S444)+$R445</f>
        <v>0</v>
      </c>
      <c r="T445" s="1" t="n">
        <f aca="false">IF(AND($K445=1,AND(对接源_01水果!$X445="公司筐",N(对接源_01水果!$V445)&lt;&gt;0)),1,0)</f>
        <v>0</v>
      </c>
      <c r="U445" s="1" t="n">
        <f aca="false">N(U444)+$T445</f>
        <v>28</v>
      </c>
      <c r="V445" s="1" t="n">
        <f aca="false">IF(AND($L445=1,AND(对接源_01水果!$X445="自备筐",N(对接源_01水果!$V445)&lt;&gt;0)),1,0)</f>
        <v>0</v>
      </c>
      <c r="W445" s="1" t="n">
        <f aca="false">N(W444)+$V445</f>
        <v>7</v>
      </c>
      <c r="X445" s="1" t="n">
        <f aca="false">IF(AND($L445=1,AND(对接源_01水果!$X445="自备筐",N(对接源_01水果!$T445)&lt;&gt;0)),1,0)</f>
        <v>0</v>
      </c>
      <c r="Y445" s="1" t="n">
        <f aca="false">N(Y444)+$X445</f>
        <v>0</v>
      </c>
      <c r="Z445" s="1" t="n">
        <f aca="false">IF(AND($M445=1,对接源_01水果!$D445="原料入库"),1,0)</f>
        <v>0</v>
      </c>
      <c r="AA445" s="1" t="n">
        <f aca="false">N(AA444)+$Z445</f>
        <v>30</v>
      </c>
      <c r="AB445" s="1" t="n">
        <f aca="false">IF(AND($M445=1,LEFT(对接源_01水果!$D445,4)="原料出库"),1,0)</f>
        <v>0</v>
      </c>
      <c r="AC445" s="1" t="n">
        <f aca="false">N(AC444)+$AB445</f>
        <v>19</v>
      </c>
      <c r="AD445" s="1" t="n">
        <f aca="false">IF(AND($M445=1,LEFT(对接源_01水果!$D445,4)="成品出库"),1,0)</f>
        <v>0</v>
      </c>
      <c r="AE445" s="1" t="n">
        <f aca="false">N(AE444)+$AD445</f>
        <v>38</v>
      </c>
      <c r="AF445" s="1" t="n">
        <f aca="false">IF(AND($N445=1,AND(LEFT(对接源_01水果!$D445,4)="包装物料",N(对接源_01水果!$K445)&lt;&gt;0)),1,0)</f>
        <v>0</v>
      </c>
      <c r="AG445" s="90" t="str">
        <f aca="false">IF(对接源_01水果!$AC445="","",对接源_01水果!$AC445)</f>
        <v/>
      </c>
      <c r="AH445" s="1" t="n">
        <f aca="false">IF(AND($N445=1,AND(LEFT(对接源_01水果!$D445,3)="周转筐",N(对接源_01水果!$K445)&lt;&gt;0)),1,0)</f>
        <v>0</v>
      </c>
      <c r="AI445" s="90" t="n">
        <f aca="false">IF(AG445="",0,IF(MATCH(AG445,$AG$4:$AG$1203,0)=ROW()-3,1,0))</f>
        <v>0</v>
      </c>
      <c r="AJ445" s="90" t="n">
        <f aca="false">N(AJ444)+AI445</f>
        <v>4</v>
      </c>
      <c r="AK445" s="1" t="n">
        <f aca="false">N(AK444)+$AJ445</f>
        <v>640</v>
      </c>
    </row>
    <row r="446" customFormat="false" ht="13.5" hidden="false" customHeight="false" outlineLevel="0" collapsed="false">
      <c r="A446" s="1" t="str">
        <f aca="false">IF(对接源_01水果!$C446="","",对接源_01水果!$C446)</f>
        <v/>
      </c>
      <c r="B446" s="1" t="n">
        <f aca="false">IF(A446="",0,IF(MATCH(A446,$A$4:$A$2403,0)=ROW()-3,1,0))</f>
        <v>0</v>
      </c>
      <c r="C446" s="1" t="n">
        <f aca="false">N(C445)+B446</f>
        <v>13</v>
      </c>
      <c r="K446" s="1" t="n">
        <f aca="false">IF(OR($K$1="",对接源_01水果!$C446="",对接源_01水果!$C446&lt;&gt;$K$1,对接源_01水果!$B446=""),0,IF(OR(N(对接源_01水果!$B446)&lt;$K$2,N(对接源_01水果!$B446)&gt;$K$3),0,1))</f>
        <v>0</v>
      </c>
      <c r="L446" s="1" t="n">
        <f aca="false">IF(OR($L$1="",对接源_01水果!$C446="",对接源_01水果!$C446&lt;&gt;$L$1,对接源_01水果!$B446=""),0,IF(OR(N(对接源_01水果!$B446)&lt;$L$2,N(对接源_01水果!$B446)&gt;$L$3),0,1))</f>
        <v>0</v>
      </c>
      <c r="M446" s="1" t="n">
        <f aca="false">IF(OR($M$1="",对接源_01水果!$C446="",对接源_01水果!$C446&lt;&gt;$M$1,对接源_01水果!$B446=""),0,IF(OR(N(对接源_01水果!$B446)&lt;$M$2,N(对接源_01水果!$B446)&gt;$M$3),0,1))</f>
        <v>0</v>
      </c>
      <c r="N446" s="1" t="n">
        <f aca="false">IF(OR($N$1="",对接源_01水果!$C446="",对接源_01水果!$C446&lt;&gt;$N$1,对接源_01水果!$B446=""),0,IF(OR(N(对接源_01水果!$B446)&lt;$N$2,N(对接源_01水果!$B446)&gt;$N$3),0,1))</f>
        <v>0</v>
      </c>
      <c r="P446" s="1" t="n">
        <f aca="false">IF(AND($K446=1,AND(对接源_01水果!$X446="公司筐",N(对接源_01水果!$T446)&lt;&gt;0)),1,0)</f>
        <v>0</v>
      </c>
      <c r="Q446" s="1" t="n">
        <f aca="false">N(Q445)+$P446</f>
        <v>3</v>
      </c>
      <c r="R446" s="1" t="n">
        <f aca="false">IF(AND($K446=1,AND(对接源_01水果!$X446="公司筐",N(对接源_01水果!$U446)&lt;&gt;0)),1,0)</f>
        <v>0</v>
      </c>
      <c r="S446" s="1" t="n">
        <f aca="false">N(S445)+$R446</f>
        <v>0</v>
      </c>
      <c r="T446" s="1" t="n">
        <f aca="false">IF(AND($K446=1,AND(对接源_01水果!$X446="公司筐",N(对接源_01水果!$V446)&lt;&gt;0)),1,0)</f>
        <v>0</v>
      </c>
      <c r="U446" s="1" t="n">
        <f aca="false">N(U445)+$T446</f>
        <v>28</v>
      </c>
      <c r="V446" s="1" t="n">
        <f aca="false">IF(AND($L446=1,AND(对接源_01水果!$X446="自备筐",N(对接源_01水果!$V446)&lt;&gt;0)),1,0)</f>
        <v>0</v>
      </c>
      <c r="W446" s="1" t="n">
        <f aca="false">N(W445)+$V446</f>
        <v>7</v>
      </c>
      <c r="X446" s="1" t="n">
        <f aca="false">IF(AND($L446=1,AND(对接源_01水果!$X446="自备筐",N(对接源_01水果!$T446)&lt;&gt;0)),1,0)</f>
        <v>0</v>
      </c>
      <c r="Y446" s="1" t="n">
        <f aca="false">N(Y445)+$X446</f>
        <v>0</v>
      </c>
      <c r="Z446" s="1" t="n">
        <f aca="false">IF(AND($M446=1,对接源_01水果!$D446="原料入库"),1,0)</f>
        <v>0</v>
      </c>
      <c r="AA446" s="1" t="n">
        <f aca="false">N(AA445)+$Z446</f>
        <v>30</v>
      </c>
      <c r="AB446" s="1" t="n">
        <f aca="false">IF(AND($M446=1,LEFT(对接源_01水果!$D446,4)="原料出库"),1,0)</f>
        <v>0</v>
      </c>
      <c r="AC446" s="1" t="n">
        <f aca="false">N(AC445)+$AB446</f>
        <v>19</v>
      </c>
      <c r="AD446" s="1" t="n">
        <f aca="false">IF(AND($M446=1,LEFT(对接源_01水果!$D446,4)="成品出库"),1,0)</f>
        <v>0</v>
      </c>
      <c r="AE446" s="1" t="n">
        <f aca="false">N(AE445)+$AD446</f>
        <v>38</v>
      </c>
      <c r="AF446" s="1" t="n">
        <f aca="false">IF(AND($N446=1,AND(LEFT(对接源_01水果!$D446,4)="包装物料",N(对接源_01水果!$K446)&lt;&gt;0)),1,0)</f>
        <v>0</v>
      </c>
      <c r="AG446" s="90" t="str">
        <f aca="false">IF(对接源_01水果!$AC446="","",对接源_01水果!$AC446)</f>
        <v/>
      </c>
      <c r="AH446" s="1" t="n">
        <f aca="false">IF(AND($N446=1,AND(LEFT(对接源_01水果!$D446,3)="周转筐",N(对接源_01水果!$K446)&lt;&gt;0)),1,0)</f>
        <v>0</v>
      </c>
      <c r="AI446" s="90" t="n">
        <f aca="false">IF(AG446="",0,IF(MATCH(AG446,$AG$4:$AG$1203,0)=ROW()-3,1,0))</f>
        <v>0</v>
      </c>
      <c r="AJ446" s="90" t="n">
        <f aca="false">N(AJ445)+AI446</f>
        <v>4</v>
      </c>
      <c r="AK446" s="1" t="n">
        <f aca="false">N(AK445)+$AJ446</f>
        <v>644</v>
      </c>
    </row>
    <row r="447" customFormat="false" ht="13.5" hidden="false" customHeight="false" outlineLevel="0" collapsed="false">
      <c r="A447" s="1" t="str">
        <f aca="false">IF(对接源_01水果!$C447="","",对接源_01水果!$C447)</f>
        <v/>
      </c>
      <c r="B447" s="1" t="n">
        <f aca="false">IF(A447="",0,IF(MATCH(A447,$A$4:$A$2403,0)=ROW()-3,1,0))</f>
        <v>0</v>
      </c>
      <c r="C447" s="1" t="n">
        <f aca="false">N(C446)+B447</f>
        <v>13</v>
      </c>
      <c r="K447" s="1" t="n">
        <f aca="false">IF(OR($K$1="",对接源_01水果!$C447="",对接源_01水果!$C447&lt;&gt;$K$1,对接源_01水果!$B447=""),0,IF(OR(N(对接源_01水果!$B447)&lt;$K$2,N(对接源_01水果!$B447)&gt;$K$3),0,1))</f>
        <v>0</v>
      </c>
      <c r="L447" s="1" t="n">
        <f aca="false">IF(OR($L$1="",对接源_01水果!$C447="",对接源_01水果!$C447&lt;&gt;$L$1,对接源_01水果!$B447=""),0,IF(OR(N(对接源_01水果!$B447)&lt;$L$2,N(对接源_01水果!$B447)&gt;$L$3),0,1))</f>
        <v>0</v>
      </c>
      <c r="M447" s="1" t="n">
        <f aca="false">IF(OR($M$1="",对接源_01水果!$C447="",对接源_01水果!$C447&lt;&gt;$M$1,对接源_01水果!$B447=""),0,IF(OR(N(对接源_01水果!$B447)&lt;$M$2,N(对接源_01水果!$B447)&gt;$M$3),0,1))</f>
        <v>0</v>
      </c>
      <c r="N447" s="1" t="n">
        <f aca="false">IF(OR($N$1="",对接源_01水果!$C447="",对接源_01水果!$C447&lt;&gt;$N$1,对接源_01水果!$B447=""),0,IF(OR(N(对接源_01水果!$B447)&lt;$N$2,N(对接源_01水果!$B447)&gt;$N$3),0,1))</f>
        <v>0</v>
      </c>
      <c r="P447" s="1" t="n">
        <f aca="false">IF(AND($K447=1,AND(对接源_01水果!$X447="公司筐",N(对接源_01水果!$T447)&lt;&gt;0)),1,0)</f>
        <v>0</v>
      </c>
      <c r="Q447" s="1" t="n">
        <f aca="false">N(Q446)+$P447</f>
        <v>3</v>
      </c>
      <c r="R447" s="1" t="n">
        <f aca="false">IF(AND($K447=1,AND(对接源_01水果!$X447="公司筐",N(对接源_01水果!$U447)&lt;&gt;0)),1,0)</f>
        <v>0</v>
      </c>
      <c r="S447" s="1" t="n">
        <f aca="false">N(S446)+$R447</f>
        <v>0</v>
      </c>
      <c r="T447" s="1" t="n">
        <f aca="false">IF(AND($K447=1,AND(对接源_01水果!$X447="公司筐",N(对接源_01水果!$V447)&lt;&gt;0)),1,0)</f>
        <v>0</v>
      </c>
      <c r="U447" s="1" t="n">
        <f aca="false">N(U446)+$T447</f>
        <v>28</v>
      </c>
      <c r="V447" s="1" t="n">
        <f aca="false">IF(AND($L447=1,AND(对接源_01水果!$X447="自备筐",N(对接源_01水果!$V447)&lt;&gt;0)),1,0)</f>
        <v>0</v>
      </c>
      <c r="W447" s="1" t="n">
        <f aca="false">N(W446)+$V447</f>
        <v>7</v>
      </c>
      <c r="X447" s="1" t="n">
        <f aca="false">IF(AND($L447=1,AND(对接源_01水果!$X447="自备筐",N(对接源_01水果!$T447)&lt;&gt;0)),1,0)</f>
        <v>0</v>
      </c>
      <c r="Y447" s="1" t="n">
        <f aca="false">N(Y446)+$X447</f>
        <v>0</v>
      </c>
      <c r="Z447" s="1" t="n">
        <f aca="false">IF(AND($M447=1,对接源_01水果!$D447="原料入库"),1,0)</f>
        <v>0</v>
      </c>
      <c r="AA447" s="1" t="n">
        <f aca="false">N(AA446)+$Z447</f>
        <v>30</v>
      </c>
      <c r="AB447" s="1" t="n">
        <f aca="false">IF(AND($M447=1,LEFT(对接源_01水果!$D447,4)="原料出库"),1,0)</f>
        <v>0</v>
      </c>
      <c r="AC447" s="1" t="n">
        <f aca="false">N(AC446)+$AB447</f>
        <v>19</v>
      </c>
      <c r="AD447" s="1" t="n">
        <f aca="false">IF(AND($M447=1,LEFT(对接源_01水果!$D447,4)="成品出库"),1,0)</f>
        <v>0</v>
      </c>
      <c r="AE447" s="1" t="n">
        <f aca="false">N(AE446)+$AD447</f>
        <v>38</v>
      </c>
      <c r="AF447" s="1" t="n">
        <f aca="false">IF(AND($N447=1,AND(LEFT(对接源_01水果!$D447,4)="包装物料",N(对接源_01水果!$K447)&lt;&gt;0)),1,0)</f>
        <v>0</v>
      </c>
      <c r="AG447" s="90" t="str">
        <f aca="false">IF(对接源_01水果!$AC447="","",对接源_01水果!$AC447)</f>
        <v/>
      </c>
      <c r="AH447" s="1" t="n">
        <f aca="false">IF(AND($N447=1,AND(LEFT(对接源_01水果!$D447,3)="周转筐",N(对接源_01水果!$K447)&lt;&gt;0)),1,0)</f>
        <v>0</v>
      </c>
      <c r="AI447" s="90" t="n">
        <f aca="false">IF(AG447="",0,IF(MATCH(AG447,$AG$4:$AG$1203,0)=ROW()-3,1,0))</f>
        <v>0</v>
      </c>
      <c r="AJ447" s="90" t="n">
        <f aca="false">N(AJ446)+AI447</f>
        <v>4</v>
      </c>
      <c r="AK447" s="1" t="n">
        <f aca="false">N(AK446)+$AJ447</f>
        <v>648</v>
      </c>
    </row>
    <row r="448" customFormat="false" ht="13.5" hidden="false" customHeight="false" outlineLevel="0" collapsed="false">
      <c r="A448" s="1" t="str">
        <f aca="false">IF(对接源_01水果!$C448="","",对接源_01水果!$C448)</f>
        <v/>
      </c>
      <c r="B448" s="1" t="n">
        <f aca="false">IF(A448="",0,IF(MATCH(A448,$A$4:$A$2403,0)=ROW()-3,1,0))</f>
        <v>0</v>
      </c>
      <c r="C448" s="1" t="n">
        <f aca="false">N(C447)+B448</f>
        <v>13</v>
      </c>
      <c r="K448" s="1" t="n">
        <f aca="false">IF(OR($K$1="",对接源_01水果!$C448="",对接源_01水果!$C448&lt;&gt;$K$1,对接源_01水果!$B448=""),0,IF(OR(N(对接源_01水果!$B448)&lt;$K$2,N(对接源_01水果!$B448)&gt;$K$3),0,1))</f>
        <v>0</v>
      </c>
      <c r="L448" s="1" t="n">
        <f aca="false">IF(OR($L$1="",对接源_01水果!$C448="",对接源_01水果!$C448&lt;&gt;$L$1,对接源_01水果!$B448=""),0,IF(OR(N(对接源_01水果!$B448)&lt;$L$2,N(对接源_01水果!$B448)&gt;$L$3),0,1))</f>
        <v>0</v>
      </c>
      <c r="M448" s="1" t="n">
        <f aca="false">IF(OR($M$1="",对接源_01水果!$C448="",对接源_01水果!$C448&lt;&gt;$M$1,对接源_01水果!$B448=""),0,IF(OR(N(对接源_01水果!$B448)&lt;$M$2,N(对接源_01水果!$B448)&gt;$M$3),0,1))</f>
        <v>0</v>
      </c>
      <c r="N448" s="1" t="n">
        <f aca="false">IF(OR($N$1="",对接源_01水果!$C448="",对接源_01水果!$C448&lt;&gt;$N$1,对接源_01水果!$B448=""),0,IF(OR(N(对接源_01水果!$B448)&lt;$N$2,N(对接源_01水果!$B448)&gt;$N$3),0,1))</f>
        <v>0</v>
      </c>
      <c r="P448" s="1" t="n">
        <f aca="false">IF(AND($K448=1,AND(对接源_01水果!$X448="公司筐",N(对接源_01水果!$T448)&lt;&gt;0)),1,0)</f>
        <v>0</v>
      </c>
      <c r="Q448" s="1" t="n">
        <f aca="false">N(Q447)+$P448</f>
        <v>3</v>
      </c>
      <c r="R448" s="1" t="n">
        <f aca="false">IF(AND($K448=1,AND(对接源_01水果!$X448="公司筐",N(对接源_01水果!$U448)&lt;&gt;0)),1,0)</f>
        <v>0</v>
      </c>
      <c r="S448" s="1" t="n">
        <f aca="false">N(S447)+$R448</f>
        <v>0</v>
      </c>
      <c r="T448" s="1" t="n">
        <f aca="false">IF(AND($K448=1,AND(对接源_01水果!$X448="公司筐",N(对接源_01水果!$V448)&lt;&gt;0)),1,0)</f>
        <v>0</v>
      </c>
      <c r="U448" s="1" t="n">
        <f aca="false">N(U447)+$T448</f>
        <v>28</v>
      </c>
      <c r="V448" s="1" t="n">
        <f aca="false">IF(AND($L448=1,AND(对接源_01水果!$X448="自备筐",N(对接源_01水果!$V448)&lt;&gt;0)),1,0)</f>
        <v>0</v>
      </c>
      <c r="W448" s="1" t="n">
        <f aca="false">N(W447)+$V448</f>
        <v>7</v>
      </c>
      <c r="X448" s="1" t="n">
        <f aca="false">IF(AND($L448=1,AND(对接源_01水果!$X448="自备筐",N(对接源_01水果!$T448)&lt;&gt;0)),1,0)</f>
        <v>0</v>
      </c>
      <c r="Y448" s="1" t="n">
        <f aca="false">N(Y447)+$X448</f>
        <v>0</v>
      </c>
      <c r="Z448" s="1" t="n">
        <f aca="false">IF(AND($M448=1,对接源_01水果!$D448="原料入库"),1,0)</f>
        <v>0</v>
      </c>
      <c r="AA448" s="1" t="n">
        <f aca="false">N(AA447)+$Z448</f>
        <v>30</v>
      </c>
      <c r="AB448" s="1" t="n">
        <f aca="false">IF(AND($M448=1,LEFT(对接源_01水果!$D448,4)="原料出库"),1,0)</f>
        <v>0</v>
      </c>
      <c r="AC448" s="1" t="n">
        <f aca="false">N(AC447)+$AB448</f>
        <v>19</v>
      </c>
      <c r="AD448" s="1" t="n">
        <f aca="false">IF(AND($M448=1,LEFT(对接源_01水果!$D448,4)="成品出库"),1,0)</f>
        <v>0</v>
      </c>
      <c r="AE448" s="1" t="n">
        <f aca="false">N(AE447)+$AD448</f>
        <v>38</v>
      </c>
      <c r="AF448" s="1" t="n">
        <f aca="false">IF(AND($N448=1,AND(LEFT(对接源_01水果!$D448,4)="包装物料",N(对接源_01水果!$K448)&lt;&gt;0)),1,0)</f>
        <v>0</v>
      </c>
      <c r="AG448" s="90" t="str">
        <f aca="false">IF(对接源_01水果!$AC448="","",对接源_01水果!$AC448)</f>
        <v/>
      </c>
      <c r="AH448" s="1" t="n">
        <f aca="false">IF(AND($N448=1,AND(LEFT(对接源_01水果!$D448,3)="周转筐",N(对接源_01水果!$K448)&lt;&gt;0)),1,0)</f>
        <v>0</v>
      </c>
      <c r="AI448" s="90" t="n">
        <f aca="false">IF(AG448="",0,IF(MATCH(AG448,$AG$4:$AG$1203,0)=ROW()-3,1,0))</f>
        <v>0</v>
      </c>
      <c r="AJ448" s="90" t="n">
        <f aca="false">N(AJ447)+AI448</f>
        <v>4</v>
      </c>
      <c r="AK448" s="1" t="n">
        <f aca="false">N(AK447)+$AJ448</f>
        <v>652</v>
      </c>
    </row>
    <row r="449" customFormat="false" ht="13.5" hidden="false" customHeight="false" outlineLevel="0" collapsed="false">
      <c r="A449" s="1" t="str">
        <f aca="false">IF(对接源_01水果!$C449="","",对接源_01水果!$C449)</f>
        <v/>
      </c>
      <c r="B449" s="1" t="n">
        <f aca="false">IF(A449="",0,IF(MATCH(A449,$A$4:$A$2403,0)=ROW()-3,1,0))</f>
        <v>0</v>
      </c>
      <c r="C449" s="1" t="n">
        <f aca="false">N(C448)+B449</f>
        <v>13</v>
      </c>
      <c r="K449" s="1" t="n">
        <f aca="false">IF(OR($K$1="",对接源_01水果!$C449="",对接源_01水果!$C449&lt;&gt;$K$1,对接源_01水果!$B449=""),0,IF(OR(N(对接源_01水果!$B449)&lt;$K$2,N(对接源_01水果!$B449)&gt;$K$3),0,1))</f>
        <v>0</v>
      </c>
      <c r="L449" s="1" t="n">
        <f aca="false">IF(OR($L$1="",对接源_01水果!$C449="",对接源_01水果!$C449&lt;&gt;$L$1,对接源_01水果!$B449=""),0,IF(OR(N(对接源_01水果!$B449)&lt;$L$2,N(对接源_01水果!$B449)&gt;$L$3),0,1))</f>
        <v>0</v>
      </c>
      <c r="M449" s="1" t="n">
        <f aca="false">IF(OR($M$1="",对接源_01水果!$C449="",对接源_01水果!$C449&lt;&gt;$M$1,对接源_01水果!$B449=""),0,IF(OR(N(对接源_01水果!$B449)&lt;$M$2,N(对接源_01水果!$B449)&gt;$M$3),0,1))</f>
        <v>0</v>
      </c>
      <c r="N449" s="1" t="n">
        <f aca="false">IF(OR($N$1="",对接源_01水果!$C449="",对接源_01水果!$C449&lt;&gt;$N$1,对接源_01水果!$B449=""),0,IF(OR(N(对接源_01水果!$B449)&lt;$N$2,N(对接源_01水果!$B449)&gt;$N$3),0,1))</f>
        <v>0</v>
      </c>
      <c r="P449" s="1" t="n">
        <f aca="false">IF(AND($K449=1,AND(对接源_01水果!$X449="公司筐",N(对接源_01水果!$T449)&lt;&gt;0)),1,0)</f>
        <v>0</v>
      </c>
      <c r="Q449" s="1" t="n">
        <f aca="false">N(Q448)+$P449</f>
        <v>3</v>
      </c>
      <c r="R449" s="1" t="n">
        <f aca="false">IF(AND($K449=1,AND(对接源_01水果!$X449="公司筐",N(对接源_01水果!$U449)&lt;&gt;0)),1,0)</f>
        <v>0</v>
      </c>
      <c r="S449" s="1" t="n">
        <f aca="false">N(S448)+$R449</f>
        <v>0</v>
      </c>
      <c r="T449" s="1" t="n">
        <f aca="false">IF(AND($K449=1,AND(对接源_01水果!$X449="公司筐",N(对接源_01水果!$V449)&lt;&gt;0)),1,0)</f>
        <v>0</v>
      </c>
      <c r="U449" s="1" t="n">
        <f aca="false">N(U448)+$T449</f>
        <v>28</v>
      </c>
      <c r="V449" s="1" t="n">
        <f aca="false">IF(AND($L449=1,AND(对接源_01水果!$X449="自备筐",N(对接源_01水果!$V449)&lt;&gt;0)),1,0)</f>
        <v>0</v>
      </c>
      <c r="W449" s="1" t="n">
        <f aca="false">N(W448)+$V449</f>
        <v>7</v>
      </c>
      <c r="X449" s="1" t="n">
        <f aca="false">IF(AND($L449=1,AND(对接源_01水果!$X449="自备筐",N(对接源_01水果!$T449)&lt;&gt;0)),1,0)</f>
        <v>0</v>
      </c>
      <c r="Y449" s="1" t="n">
        <f aca="false">N(Y448)+$X449</f>
        <v>0</v>
      </c>
      <c r="Z449" s="1" t="n">
        <f aca="false">IF(AND($M449=1,对接源_01水果!$D449="原料入库"),1,0)</f>
        <v>0</v>
      </c>
      <c r="AA449" s="1" t="n">
        <f aca="false">N(AA448)+$Z449</f>
        <v>30</v>
      </c>
      <c r="AB449" s="1" t="n">
        <f aca="false">IF(AND($M449=1,LEFT(对接源_01水果!$D449,4)="原料出库"),1,0)</f>
        <v>0</v>
      </c>
      <c r="AC449" s="1" t="n">
        <f aca="false">N(AC448)+$AB449</f>
        <v>19</v>
      </c>
      <c r="AD449" s="1" t="n">
        <f aca="false">IF(AND($M449=1,LEFT(对接源_01水果!$D449,4)="成品出库"),1,0)</f>
        <v>0</v>
      </c>
      <c r="AE449" s="1" t="n">
        <f aca="false">N(AE448)+$AD449</f>
        <v>38</v>
      </c>
      <c r="AF449" s="1" t="n">
        <f aca="false">IF(AND($N449=1,AND(LEFT(对接源_01水果!$D449,4)="包装物料",N(对接源_01水果!$K449)&lt;&gt;0)),1,0)</f>
        <v>0</v>
      </c>
      <c r="AG449" s="90" t="str">
        <f aca="false">IF(对接源_01水果!$AC449="","",对接源_01水果!$AC449)</f>
        <v/>
      </c>
      <c r="AH449" s="1" t="n">
        <f aca="false">IF(AND($N449=1,AND(LEFT(对接源_01水果!$D449,3)="周转筐",N(对接源_01水果!$K449)&lt;&gt;0)),1,0)</f>
        <v>0</v>
      </c>
      <c r="AI449" s="90" t="n">
        <f aca="false">IF(AG449="",0,IF(MATCH(AG449,$AG$4:$AG$1203,0)=ROW()-3,1,0))</f>
        <v>0</v>
      </c>
      <c r="AJ449" s="90" t="n">
        <f aca="false">N(AJ448)+AI449</f>
        <v>4</v>
      </c>
      <c r="AK449" s="1" t="n">
        <f aca="false">N(AK448)+$AJ449</f>
        <v>656</v>
      </c>
    </row>
    <row r="450" customFormat="false" ht="13.5" hidden="false" customHeight="false" outlineLevel="0" collapsed="false">
      <c r="A450" s="1" t="str">
        <f aca="false">IF(对接源_01水果!$C450="","",对接源_01水果!$C450)</f>
        <v/>
      </c>
      <c r="B450" s="1" t="n">
        <f aca="false">IF(A450="",0,IF(MATCH(A450,$A$4:$A$2403,0)=ROW()-3,1,0))</f>
        <v>0</v>
      </c>
      <c r="C450" s="1" t="n">
        <f aca="false">N(C449)+B450</f>
        <v>13</v>
      </c>
      <c r="K450" s="1" t="n">
        <f aca="false">IF(OR($K$1="",对接源_01水果!$C450="",对接源_01水果!$C450&lt;&gt;$K$1,对接源_01水果!$B450=""),0,IF(OR(N(对接源_01水果!$B450)&lt;$K$2,N(对接源_01水果!$B450)&gt;$K$3),0,1))</f>
        <v>0</v>
      </c>
      <c r="L450" s="1" t="n">
        <f aca="false">IF(OR($L$1="",对接源_01水果!$C450="",对接源_01水果!$C450&lt;&gt;$L$1,对接源_01水果!$B450=""),0,IF(OR(N(对接源_01水果!$B450)&lt;$L$2,N(对接源_01水果!$B450)&gt;$L$3),0,1))</f>
        <v>0</v>
      </c>
      <c r="M450" s="1" t="n">
        <f aca="false">IF(OR($M$1="",对接源_01水果!$C450="",对接源_01水果!$C450&lt;&gt;$M$1,对接源_01水果!$B450=""),0,IF(OR(N(对接源_01水果!$B450)&lt;$M$2,N(对接源_01水果!$B450)&gt;$M$3),0,1))</f>
        <v>0</v>
      </c>
      <c r="N450" s="1" t="n">
        <f aca="false">IF(OR($N$1="",对接源_01水果!$C450="",对接源_01水果!$C450&lt;&gt;$N$1,对接源_01水果!$B450=""),0,IF(OR(N(对接源_01水果!$B450)&lt;$N$2,N(对接源_01水果!$B450)&gt;$N$3),0,1))</f>
        <v>0</v>
      </c>
      <c r="P450" s="1" t="n">
        <f aca="false">IF(AND($K450=1,AND(对接源_01水果!$X450="公司筐",N(对接源_01水果!$T450)&lt;&gt;0)),1,0)</f>
        <v>0</v>
      </c>
      <c r="Q450" s="1" t="n">
        <f aca="false">N(Q449)+$P450</f>
        <v>3</v>
      </c>
      <c r="R450" s="1" t="n">
        <f aca="false">IF(AND($K450=1,AND(对接源_01水果!$X450="公司筐",N(对接源_01水果!$U450)&lt;&gt;0)),1,0)</f>
        <v>0</v>
      </c>
      <c r="S450" s="1" t="n">
        <f aca="false">N(S449)+$R450</f>
        <v>0</v>
      </c>
      <c r="T450" s="1" t="n">
        <f aca="false">IF(AND($K450=1,AND(对接源_01水果!$X450="公司筐",N(对接源_01水果!$V450)&lt;&gt;0)),1,0)</f>
        <v>0</v>
      </c>
      <c r="U450" s="1" t="n">
        <f aca="false">N(U449)+$T450</f>
        <v>28</v>
      </c>
      <c r="V450" s="1" t="n">
        <f aca="false">IF(AND($L450=1,AND(对接源_01水果!$X450="自备筐",N(对接源_01水果!$V450)&lt;&gt;0)),1,0)</f>
        <v>0</v>
      </c>
      <c r="W450" s="1" t="n">
        <f aca="false">N(W449)+$V450</f>
        <v>7</v>
      </c>
      <c r="X450" s="1" t="n">
        <f aca="false">IF(AND($L450=1,AND(对接源_01水果!$X450="自备筐",N(对接源_01水果!$T450)&lt;&gt;0)),1,0)</f>
        <v>0</v>
      </c>
      <c r="Y450" s="1" t="n">
        <f aca="false">N(Y449)+$X450</f>
        <v>0</v>
      </c>
      <c r="Z450" s="1" t="n">
        <f aca="false">IF(AND($M450=1,对接源_01水果!$D450="原料入库"),1,0)</f>
        <v>0</v>
      </c>
      <c r="AA450" s="1" t="n">
        <f aca="false">N(AA449)+$Z450</f>
        <v>30</v>
      </c>
      <c r="AB450" s="1" t="n">
        <f aca="false">IF(AND($M450=1,LEFT(对接源_01水果!$D450,4)="原料出库"),1,0)</f>
        <v>0</v>
      </c>
      <c r="AC450" s="1" t="n">
        <f aca="false">N(AC449)+$AB450</f>
        <v>19</v>
      </c>
      <c r="AD450" s="1" t="n">
        <f aca="false">IF(AND($M450=1,LEFT(对接源_01水果!$D450,4)="成品出库"),1,0)</f>
        <v>0</v>
      </c>
      <c r="AE450" s="1" t="n">
        <f aca="false">N(AE449)+$AD450</f>
        <v>38</v>
      </c>
      <c r="AF450" s="1" t="n">
        <f aca="false">IF(AND($N450=1,AND(LEFT(对接源_01水果!$D450,4)="包装物料",N(对接源_01水果!$K450)&lt;&gt;0)),1,0)</f>
        <v>0</v>
      </c>
      <c r="AG450" s="90" t="str">
        <f aca="false">IF(对接源_01水果!$AC450="","",对接源_01水果!$AC450)</f>
        <v/>
      </c>
      <c r="AH450" s="1" t="n">
        <f aca="false">IF(AND($N450=1,AND(LEFT(对接源_01水果!$D450,3)="周转筐",N(对接源_01水果!$K450)&lt;&gt;0)),1,0)</f>
        <v>0</v>
      </c>
      <c r="AI450" s="90" t="n">
        <f aca="false">IF(AG450="",0,IF(MATCH(AG450,$AG$4:$AG$1203,0)=ROW()-3,1,0))</f>
        <v>0</v>
      </c>
      <c r="AJ450" s="90" t="n">
        <f aca="false">N(AJ449)+AI450</f>
        <v>4</v>
      </c>
      <c r="AK450" s="1" t="n">
        <f aca="false">N(AK449)+$AJ450</f>
        <v>660</v>
      </c>
    </row>
    <row r="451" customFormat="false" ht="13.5" hidden="false" customHeight="false" outlineLevel="0" collapsed="false">
      <c r="A451" s="1" t="str">
        <f aca="false">IF(对接源_01水果!$C451="","",对接源_01水果!$C451)</f>
        <v/>
      </c>
      <c r="B451" s="1" t="n">
        <f aca="false">IF(A451="",0,IF(MATCH(A451,$A$4:$A$2403,0)=ROW()-3,1,0))</f>
        <v>0</v>
      </c>
      <c r="C451" s="1" t="n">
        <f aca="false">N(C450)+B451</f>
        <v>13</v>
      </c>
      <c r="K451" s="1" t="n">
        <f aca="false">IF(OR($K$1="",对接源_01水果!$C451="",对接源_01水果!$C451&lt;&gt;$K$1,对接源_01水果!$B451=""),0,IF(OR(N(对接源_01水果!$B451)&lt;$K$2,N(对接源_01水果!$B451)&gt;$K$3),0,1))</f>
        <v>0</v>
      </c>
      <c r="L451" s="1" t="n">
        <f aca="false">IF(OR($L$1="",对接源_01水果!$C451="",对接源_01水果!$C451&lt;&gt;$L$1,对接源_01水果!$B451=""),0,IF(OR(N(对接源_01水果!$B451)&lt;$L$2,N(对接源_01水果!$B451)&gt;$L$3),0,1))</f>
        <v>0</v>
      </c>
      <c r="M451" s="1" t="n">
        <f aca="false">IF(OR($M$1="",对接源_01水果!$C451="",对接源_01水果!$C451&lt;&gt;$M$1,对接源_01水果!$B451=""),0,IF(OR(N(对接源_01水果!$B451)&lt;$M$2,N(对接源_01水果!$B451)&gt;$M$3),0,1))</f>
        <v>0</v>
      </c>
      <c r="N451" s="1" t="n">
        <f aca="false">IF(OR($N$1="",对接源_01水果!$C451="",对接源_01水果!$C451&lt;&gt;$N$1,对接源_01水果!$B451=""),0,IF(OR(N(对接源_01水果!$B451)&lt;$N$2,N(对接源_01水果!$B451)&gt;$N$3),0,1))</f>
        <v>0</v>
      </c>
      <c r="P451" s="1" t="n">
        <f aca="false">IF(AND($K451=1,AND(对接源_01水果!$X451="公司筐",N(对接源_01水果!$T451)&lt;&gt;0)),1,0)</f>
        <v>0</v>
      </c>
      <c r="Q451" s="1" t="n">
        <f aca="false">N(Q450)+$P451</f>
        <v>3</v>
      </c>
      <c r="R451" s="1" t="n">
        <f aca="false">IF(AND($K451=1,AND(对接源_01水果!$X451="公司筐",N(对接源_01水果!$U451)&lt;&gt;0)),1,0)</f>
        <v>0</v>
      </c>
      <c r="S451" s="1" t="n">
        <f aca="false">N(S450)+$R451</f>
        <v>0</v>
      </c>
      <c r="T451" s="1" t="n">
        <f aca="false">IF(AND($K451=1,AND(对接源_01水果!$X451="公司筐",N(对接源_01水果!$V451)&lt;&gt;0)),1,0)</f>
        <v>0</v>
      </c>
      <c r="U451" s="1" t="n">
        <f aca="false">N(U450)+$T451</f>
        <v>28</v>
      </c>
      <c r="V451" s="1" t="n">
        <f aca="false">IF(AND($L451=1,AND(对接源_01水果!$X451="自备筐",N(对接源_01水果!$V451)&lt;&gt;0)),1,0)</f>
        <v>0</v>
      </c>
      <c r="W451" s="1" t="n">
        <f aca="false">N(W450)+$V451</f>
        <v>7</v>
      </c>
      <c r="X451" s="1" t="n">
        <f aca="false">IF(AND($L451=1,AND(对接源_01水果!$X451="自备筐",N(对接源_01水果!$T451)&lt;&gt;0)),1,0)</f>
        <v>0</v>
      </c>
      <c r="Y451" s="1" t="n">
        <f aca="false">N(Y450)+$X451</f>
        <v>0</v>
      </c>
      <c r="Z451" s="1" t="n">
        <f aca="false">IF(AND($M451=1,对接源_01水果!$D451="原料入库"),1,0)</f>
        <v>0</v>
      </c>
      <c r="AA451" s="1" t="n">
        <f aca="false">N(AA450)+$Z451</f>
        <v>30</v>
      </c>
      <c r="AB451" s="1" t="n">
        <f aca="false">IF(AND($M451=1,LEFT(对接源_01水果!$D451,4)="原料出库"),1,0)</f>
        <v>0</v>
      </c>
      <c r="AC451" s="1" t="n">
        <f aca="false">N(AC450)+$AB451</f>
        <v>19</v>
      </c>
      <c r="AD451" s="1" t="n">
        <f aca="false">IF(AND($M451=1,LEFT(对接源_01水果!$D451,4)="成品出库"),1,0)</f>
        <v>0</v>
      </c>
      <c r="AE451" s="1" t="n">
        <f aca="false">N(AE450)+$AD451</f>
        <v>38</v>
      </c>
      <c r="AF451" s="1" t="n">
        <f aca="false">IF(AND($N451=1,AND(LEFT(对接源_01水果!$D451,4)="包装物料",N(对接源_01水果!$K451)&lt;&gt;0)),1,0)</f>
        <v>0</v>
      </c>
      <c r="AG451" s="90" t="str">
        <f aca="false">IF(对接源_01水果!$AC451="","",对接源_01水果!$AC451)</f>
        <v/>
      </c>
      <c r="AH451" s="1" t="n">
        <f aca="false">IF(AND($N451=1,AND(LEFT(对接源_01水果!$D451,3)="周转筐",N(对接源_01水果!$K451)&lt;&gt;0)),1,0)</f>
        <v>0</v>
      </c>
      <c r="AI451" s="90" t="n">
        <f aca="false">IF(AG451="",0,IF(MATCH(AG451,$AG$4:$AG$1203,0)=ROW()-3,1,0))</f>
        <v>0</v>
      </c>
      <c r="AJ451" s="90" t="n">
        <f aca="false">N(AJ450)+AI451</f>
        <v>4</v>
      </c>
      <c r="AK451" s="1" t="n">
        <f aca="false">N(AK450)+$AJ451</f>
        <v>664</v>
      </c>
    </row>
    <row r="452" customFormat="false" ht="13.5" hidden="false" customHeight="false" outlineLevel="0" collapsed="false">
      <c r="A452" s="1" t="str">
        <f aca="false">IF(对接源_01水果!$C452="","",对接源_01水果!$C452)</f>
        <v/>
      </c>
      <c r="B452" s="1" t="n">
        <f aca="false">IF(A452="",0,IF(MATCH(A452,$A$4:$A$2403,0)=ROW()-3,1,0))</f>
        <v>0</v>
      </c>
      <c r="C452" s="1" t="n">
        <f aca="false">N(C451)+B452</f>
        <v>13</v>
      </c>
      <c r="K452" s="1" t="n">
        <f aca="false">IF(OR($K$1="",对接源_01水果!$C452="",对接源_01水果!$C452&lt;&gt;$K$1,对接源_01水果!$B452=""),0,IF(OR(N(对接源_01水果!$B452)&lt;$K$2,N(对接源_01水果!$B452)&gt;$K$3),0,1))</f>
        <v>0</v>
      </c>
      <c r="L452" s="1" t="n">
        <f aca="false">IF(OR($L$1="",对接源_01水果!$C452="",对接源_01水果!$C452&lt;&gt;$L$1,对接源_01水果!$B452=""),0,IF(OR(N(对接源_01水果!$B452)&lt;$L$2,N(对接源_01水果!$B452)&gt;$L$3),0,1))</f>
        <v>0</v>
      </c>
      <c r="M452" s="1" t="n">
        <f aca="false">IF(OR($M$1="",对接源_01水果!$C452="",对接源_01水果!$C452&lt;&gt;$M$1,对接源_01水果!$B452=""),0,IF(OR(N(对接源_01水果!$B452)&lt;$M$2,N(对接源_01水果!$B452)&gt;$M$3),0,1))</f>
        <v>0</v>
      </c>
      <c r="N452" s="1" t="n">
        <f aca="false">IF(OR($N$1="",对接源_01水果!$C452="",对接源_01水果!$C452&lt;&gt;$N$1,对接源_01水果!$B452=""),0,IF(OR(N(对接源_01水果!$B452)&lt;$N$2,N(对接源_01水果!$B452)&gt;$N$3),0,1))</f>
        <v>0</v>
      </c>
      <c r="P452" s="1" t="n">
        <f aca="false">IF(AND($K452=1,AND(对接源_01水果!$X452="公司筐",N(对接源_01水果!$T452)&lt;&gt;0)),1,0)</f>
        <v>0</v>
      </c>
      <c r="Q452" s="1" t="n">
        <f aca="false">N(Q451)+$P452</f>
        <v>3</v>
      </c>
      <c r="R452" s="1" t="n">
        <f aca="false">IF(AND($K452=1,AND(对接源_01水果!$X452="公司筐",N(对接源_01水果!$U452)&lt;&gt;0)),1,0)</f>
        <v>0</v>
      </c>
      <c r="S452" s="1" t="n">
        <f aca="false">N(S451)+$R452</f>
        <v>0</v>
      </c>
      <c r="T452" s="1" t="n">
        <f aca="false">IF(AND($K452=1,AND(对接源_01水果!$X452="公司筐",N(对接源_01水果!$V452)&lt;&gt;0)),1,0)</f>
        <v>0</v>
      </c>
      <c r="U452" s="1" t="n">
        <f aca="false">N(U451)+$T452</f>
        <v>28</v>
      </c>
      <c r="V452" s="1" t="n">
        <f aca="false">IF(AND($L452=1,AND(对接源_01水果!$X452="自备筐",N(对接源_01水果!$V452)&lt;&gt;0)),1,0)</f>
        <v>0</v>
      </c>
      <c r="W452" s="1" t="n">
        <f aca="false">N(W451)+$V452</f>
        <v>7</v>
      </c>
      <c r="X452" s="1" t="n">
        <f aca="false">IF(AND($L452=1,AND(对接源_01水果!$X452="自备筐",N(对接源_01水果!$T452)&lt;&gt;0)),1,0)</f>
        <v>0</v>
      </c>
      <c r="Y452" s="1" t="n">
        <f aca="false">N(Y451)+$X452</f>
        <v>0</v>
      </c>
      <c r="Z452" s="1" t="n">
        <f aca="false">IF(AND($M452=1,对接源_01水果!$D452="原料入库"),1,0)</f>
        <v>0</v>
      </c>
      <c r="AA452" s="1" t="n">
        <f aca="false">N(AA451)+$Z452</f>
        <v>30</v>
      </c>
      <c r="AB452" s="1" t="n">
        <f aca="false">IF(AND($M452=1,LEFT(对接源_01水果!$D452,4)="原料出库"),1,0)</f>
        <v>0</v>
      </c>
      <c r="AC452" s="1" t="n">
        <f aca="false">N(AC451)+$AB452</f>
        <v>19</v>
      </c>
      <c r="AD452" s="1" t="n">
        <f aca="false">IF(AND($M452=1,LEFT(对接源_01水果!$D452,4)="成品出库"),1,0)</f>
        <v>0</v>
      </c>
      <c r="AE452" s="1" t="n">
        <f aca="false">N(AE451)+$AD452</f>
        <v>38</v>
      </c>
      <c r="AF452" s="1" t="n">
        <f aca="false">IF(AND($N452=1,AND(LEFT(对接源_01水果!$D452,4)="包装物料",N(对接源_01水果!$K452)&lt;&gt;0)),1,0)</f>
        <v>0</v>
      </c>
      <c r="AG452" s="90" t="str">
        <f aca="false">IF(对接源_01水果!$AC452="","",对接源_01水果!$AC452)</f>
        <v/>
      </c>
      <c r="AH452" s="1" t="n">
        <f aca="false">IF(AND($N452=1,AND(LEFT(对接源_01水果!$D452,3)="周转筐",N(对接源_01水果!$K452)&lt;&gt;0)),1,0)</f>
        <v>0</v>
      </c>
      <c r="AI452" s="90" t="n">
        <f aca="false">IF(AG452="",0,IF(MATCH(AG452,$AG$4:$AG$1203,0)=ROW()-3,1,0))</f>
        <v>0</v>
      </c>
      <c r="AJ452" s="90" t="n">
        <f aca="false">N(AJ451)+AI452</f>
        <v>4</v>
      </c>
      <c r="AK452" s="1" t="n">
        <f aca="false">N(AK451)+$AJ452</f>
        <v>668</v>
      </c>
    </row>
    <row r="453" customFormat="false" ht="13.5" hidden="false" customHeight="false" outlineLevel="0" collapsed="false">
      <c r="A453" s="1" t="str">
        <f aca="false">IF(对接源_01水果!$C453="","",对接源_01水果!$C453)</f>
        <v/>
      </c>
      <c r="B453" s="1" t="n">
        <f aca="false">IF(A453="",0,IF(MATCH(A453,$A$4:$A$2403,0)=ROW()-3,1,0))</f>
        <v>0</v>
      </c>
      <c r="C453" s="1" t="n">
        <f aca="false">N(C452)+B453</f>
        <v>13</v>
      </c>
      <c r="K453" s="1" t="n">
        <f aca="false">IF(OR($K$1="",对接源_01水果!$C453="",对接源_01水果!$C453&lt;&gt;$K$1,对接源_01水果!$B453=""),0,IF(OR(N(对接源_01水果!$B453)&lt;$K$2,N(对接源_01水果!$B453)&gt;$K$3),0,1))</f>
        <v>0</v>
      </c>
      <c r="L453" s="1" t="n">
        <f aca="false">IF(OR($L$1="",对接源_01水果!$C453="",对接源_01水果!$C453&lt;&gt;$L$1,对接源_01水果!$B453=""),0,IF(OR(N(对接源_01水果!$B453)&lt;$L$2,N(对接源_01水果!$B453)&gt;$L$3),0,1))</f>
        <v>0</v>
      </c>
      <c r="M453" s="1" t="n">
        <f aca="false">IF(OR($M$1="",对接源_01水果!$C453="",对接源_01水果!$C453&lt;&gt;$M$1,对接源_01水果!$B453=""),0,IF(OR(N(对接源_01水果!$B453)&lt;$M$2,N(对接源_01水果!$B453)&gt;$M$3),0,1))</f>
        <v>0</v>
      </c>
      <c r="N453" s="1" t="n">
        <f aca="false">IF(OR($N$1="",对接源_01水果!$C453="",对接源_01水果!$C453&lt;&gt;$N$1,对接源_01水果!$B453=""),0,IF(OR(N(对接源_01水果!$B453)&lt;$N$2,N(对接源_01水果!$B453)&gt;$N$3),0,1))</f>
        <v>0</v>
      </c>
      <c r="P453" s="1" t="n">
        <f aca="false">IF(AND($K453=1,AND(对接源_01水果!$X453="公司筐",N(对接源_01水果!$T453)&lt;&gt;0)),1,0)</f>
        <v>0</v>
      </c>
      <c r="Q453" s="1" t="n">
        <f aca="false">N(Q452)+$P453</f>
        <v>3</v>
      </c>
      <c r="R453" s="1" t="n">
        <f aca="false">IF(AND($K453=1,AND(对接源_01水果!$X453="公司筐",N(对接源_01水果!$U453)&lt;&gt;0)),1,0)</f>
        <v>0</v>
      </c>
      <c r="S453" s="1" t="n">
        <f aca="false">N(S452)+$R453</f>
        <v>0</v>
      </c>
      <c r="T453" s="1" t="n">
        <f aca="false">IF(AND($K453=1,AND(对接源_01水果!$X453="公司筐",N(对接源_01水果!$V453)&lt;&gt;0)),1,0)</f>
        <v>0</v>
      </c>
      <c r="U453" s="1" t="n">
        <f aca="false">N(U452)+$T453</f>
        <v>28</v>
      </c>
      <c r="V453" s="1" t="n">
        <f aca="false">IF(AND($L453=1,AND(对接源_01水果!$X453="自备筐",N(对接源_01水果!$V453)&lt;&gt;0)),1,0)</f>
        <v>0</v>
      </c>
      <c r="W453" s="1" t="n">
        <f aca="false">N(W452)+$V453</f>
        <v>7</v>
      </c>
      <c r="X453" s="1" t="n">
        <f aca="false">IF(AND($L453=1,AND(对接源_01水果!$X453="自备筐",N(对接源_01水果!$T453)&lt;&gt;0)),1,0)</f>
        <v>0</v>
      </c>
      <c r="Y453" s="1" t="n">
        <f aca="false">N(Y452)+$X453</f>
        <v>0</v>
      </c>
      <c r="Z453" s="1" t="n">
        <f aca="false">IF(AND($M453=1,对接源_01水果!$D453="原料入库"),1,0)</f>
        <v>0</v>
      </c>
      <c r="AA453" s="1" t="n">
        <f aca="false">N(AA452)+$Z453</f>
        <v>30</v>
      </c>
      <c r="AB453" s="1" t="n">
        <f aca="false">IF(AND($M453=1,LEFT(对接源_01水果!$D453,4)="原料出库"),1,0)</f>
        <v>0</v>
      </c>
      <c r="AC453" s="1" t="n">
        <f aca="false">N(AC452)+$AB453</f>
        <v>19</v>
      </c>
      <c r="AD453" s="1" t="n">
        <f aca="false">IF(AND($M453=1,LEFT(对接源_01水果!$D453,4)="成品出库"),1,0)</f>
        <v>0</v>
      </c>
      <c r="AE453" s="1" t="n">
        <f aca="false">N(AE452)+$AD453</f>
        <v>38</v>
      </c>
      <c r="AF453" s="1" t="n">
        <f aca="false">IF(AND($N453=1,AND(LEFT(对接源_01水果!$D453,4)="包装物料",N(对接源_01水果!$K453)&lt;&gt;0)),1,0)</f>
        <v>0</v>
      </c>
      <c r="AG453" s="90" t="str">
        <f aca="false">IF(对接源_01水果!$AC453="","",对接源_01水果!$AC453)</f>
        <v/>
      </c>
      <c r="AH453" s="1" t="n">
        <f aca="false">IF(AND($N453=1,AND(LEFT(对接源_01水果!$D453,3)="周转筐",N(对接源_01水果!$K453)&lt;&gt;0)),1,0)</f>
        <v>0</v>
      </c>
      <c r="AI453" s="90" t="n">
        <f aca="false">IF(AG453="",0,IF(MATCH(AG453,$AG$4:$AG$1203,0)=ROW()-3,1,0))</f>
        <v>0</v>
      </c>
      <c r="AJ453" s="90" t="n">
        <f aca="false">N(AJ452)+AI453</f>
        <v>4</v>
      </c>
      <c r="AK453" s="1" t="n">
        <f aca="false">N(AK452)+$AJ453</f>
        <v>672</v>
      </c>
    </row>
    <row r="454" customFormat="false" ht="13.5" hidden="false" customHeight="false" outlineLevel="0" collapsed="false">
      <c r="A454" s="1" t="str">
        <f aca="false">IF(对接源_01水果!$C454="","",对接源_01水果!$C454)</f>
        <v/>
      </c>
      <c r="B454" s="1" t="n">
        <f aca="false">IF(A454="",0,IF(MATCH(A454,$A$4:$A$2403,0)=ROW()-3,1,0))</f>
        <v>0</v>
      </c>
      <c r="C454" s="1" t="n">
        <f aca="false">N(C453)+B454</f>
        <v>13</v>
      </c>
      <c r="K454" s="1" t="n">
        <f aca="false">IF(OR($K$1="",对接源_01水果!$C454="",对接源_01水果!$C454&lt;&gt;$K$1,对接源_01水果!$B454=""),0,IF(OR(N(对接源_01水果!$B454)&lt;$K$2,N(对接源_01水果!$B454)&gt;$K$3),0,1))</f>
        <v>0</v>
      </c>
      <c r="L454" s="1" t="n">
        <f aca="false">IF(OR($L$1="",对接源_01水果!$C454="",对接源_01水果!$C454&lt;&gt;$L$1,对接源_01水果!$B454=""),0,IF(OR(N(对接源_01水果!$B454)&lt;$L$2,N(对接源_01水果!$B454)&gt;$L$3),0,1))</f>
        <v>0</v>
      </c>
      <c r="M454" s="1" t="n">
        <f aca="false">IF(OR($M$1="",对接源_01水果!$C454="",对接源_01水果!$C454&lt;&gt;$M$1,对接源_01水果!$B454=""),0,IF(OR(N(对接源_01水果!$B454)&lt;$M$2,N(对接源_01水果!$B454)&gt;$M$3),0,1))</f>
        <v>0</v>
      </c>
      <c r="N454" s="1" t="n">
        <f aca="false">IF(OR($N$1="",对接源_01水果!$C454="",对接源_01水果!$C454&lt;&gt;$N$1,对接源_01水果!$B454=""),0,IF(OR(N(对接源_01水果!$B454)&lt;$N$2,N(对接源_01水果!$B454)&gt;$N$3),0,1))</f>
        <v>0</v>
      </c>
      <c r="P454" s="1" t="n">
        <f aca="false">IF(AND($K454=1,AND(对接源_01水果!$X454="公司筐",N(对接源_01水果!$T454)&lt;&gt;0)),1,0)</f>
        <v>0</v>
      </c>
      <c r="Q454" s="1" t="n">
        <f aca="false">N(Q453)+$P454</f>
        <v>3</v>
      </c>
      <c r="R454" s="1" t="n">
        <f aca="false">IF(AND($K454=1,AND(对接源_01水果!$X454="公司筐",N(对接源_01水果!$U454)&lt;&gt;0)),1,0)</f>
        <v>0</v>
      </c>
      <c r="S454" s="1" t="n">
        <f aca="false">N(S453)+$R454</f>
        <v>0</v>
      </c>
      <c r="T454" s="1" t="n">
        <f aca="false">IF(AND($K454=1,AND(对接源_01水果!$X454="公司筐",N(对接源_01水果!$V454)&lt;&gt;0)),1,0)</f>
        <v>0</v>
      </c>
      <c r="U454" s="1" t="n">
        <f aca="false">N(U453)+$T454</f>
        <v>28</v>
      </c>
      <c r="V454" s="1" t="n">
        <f aca="false">IF(AND($L454=1,AND(对接源_01水果!$X454="自备筐",N(对接源_01水果!$V454)&lt;&gt;0)),1,0)</f>
        <v>0</v>
      </c>
      <c r="W454" s="1" t="n">
        <f aca="false">N(W453)+$V454</f>
        <v>7</v>
      </c>
      <c r="X454" s="1" t="n">
        <f aca="false">IF(AND($L454=1,AND(对接源_01水果!$X454="自备筐",N(对接源_01水果!$T454)&lt;&gt;0)),1,0)</f>
        <v>0</v>
      </c>
      <c r="Y454" s="1" t="n">
        <f aca="false">N(Y453)+$X454</f>
        <v>0</v>
      </c>
      <c r="Z454" s="1" t="n">
        <f aca="false">IF(AND($M454=1,对接源_01水果!$D454="原料入库"),1,0)</f>
        <v>0</v>
      </c>
      <c r="AA454" s="1" t="n">
        <f aca="false">N(AA453)+$Z454</f>
        <v>30</v>
      </c>
      <c r="AB454" s="1" t="n">
        <f aca="false">IF(AND($M454=1,LEFT(对接源_01水果!$D454,4)="原料出库"),1,0)</f>
        <v>0</v>
      </c>
      <c r="AC454" s="1" t="n">
        <f aca="false">N(AC453)+$AB454</f>
        <v>19</v>
      </c>
      <c r="AD454" s="1" t="n">
        <f aca="false">IF(AND($M454=1,LEFT(对接源_01水果!$D454,4)="成品出库"),1,0)</f>
        <v>0</v>
      </c>
      <c r="AE454" s="1" t="n">
        <f aca="false">N(AE453)+$AD454</f>
        <v>38</v>
      </c>
      <c r="AF454" s="1" t="n">
        <f aca="false">IF(AND($N454=1,AND(LEFT(对接源_01水果!$D454,4)="包装物料",N(对接源_01水果!$K454)&lt;&gt;0)),1,0)</f>
        <v>0</v>
      </c>
      <c r="AG454" s="90" t="str">
        <f aca="false">IF(对接源_01水果!$AC454="","",对接源_01水果!$AC454)</f>
        <v/>
      </c>
      <c r="AH454" s="1" t="n">
        <f aca="false">IF(AND($N454=1,AND(LEFT(对接源_01水果!$D454,3)="周转筐",N(对接源_01水果!$K454)&lt;&gt;0)),1,0)</f>
        <v>0</v>
      </c>
      <c r="AI454" s="90" t="n">
        <f aca="false">IF(AG454="",0,IF(MATCH(AG454,$AG$4:$AG$1203,0)=ROW()-3,1,0))</f>
        <v>0</v>
      </c>
      <c r="AJ454" s="90" t="n">
        <f aca="false">N(AJ453)+AI454</f>
        <v>4</v>
      </c>
      <c r="AK454" s="1" t="n">
        <f aca="false">N(AK453)+$AJ454</f>
        <v>676</v>
      </c>
    </row>
    <row r="455" customFormat="false" ht="13.5" hidden="false" customHeight="false" outlineLevel="0" collapsed="false">
      <c r="A455" s="1" t="str">
        <f aca="false">IF(对接源_01水果!$C455="","",对接源_01水果!$C455)</f>
        <v/>
      </c>
      <c r="B455" s="1" t="n">
        <f aca="false">IF(A455="",0,IF(MATCH(A455,$A$4:$A$2403,0)=ROW()-3,1,0))</f>
        <v>0</v>
      </c>
      <c r="C455" s="1" t="n">
        <f aca="false">N(C454)+B455</f>
        <v>13</v>
      </c>
      <c r="K455" s="1" t="n">
        <f aca="false">IF(OR($K$1="",对接源_01水果!$C455="",对接源_01水果!$C455&lt;&gt;$K$1,对接源_01水果!$B455=""),0,IF(OR(N(对接源_01水果!$B455)&lt;$K$2,N(对接源_01水果!$B455)&gt;$K$3),0,1))</f>
        <v>0</v>
      </c>
      <c r="L455" s="1" t="n">
        <f aca="false">IF(OR($L$1="",对接源_01水果!$C455="",对接源_01水果!$C455&lt;&gt;$L$1,对接源_01水果!$B455=""),0,IF(OR(N(对接源_01水果!$B455)&lt;$L$2,N(对接源_01水果!$B455)&gt;$L$3),0,1))</f>
        <v>0</v>
      </c>
      <c r="M455" s="1" t="n">
        <f aca="false">IF(OR($M$1="",对接源_01水果!$C455="",对接源_01水果!$C455&lt;&gt;$M$1,对接源_01水果!$B455=""),0,IF(OR(N(对接源_01水果!$B455)&lt;$M$2,N(对接源_01水果!$B455)&gt;$M$3),0,1))</f>
        <v>0</v>
      </c>
      <c r="N455" s="1" t="n">
        <f aca="false">IF(OR($N$1="",对接源_01水果!$C455="",对接源_01水果!$C455&lt;&gt;$N$1,对接源_01水果!$B455=""),0,IF(OR(N(对接源_01水果!$B455)&lt;$N$2,N(对接源_01水果!$B455)&gt;$N$3),0,1))</f>
        <v>0</v>
      </c>
      <c r="P455" s="1" t="n">
        <f aca="false">IF(AND($K455=1,AND(对接源_01水果!$X455="公司筐",N(对接源_01水果!$T455)&lt;&gt;0)),1,0)</f>
        <v>0</v>
      </c>
      <c r="Q455" s="1" t="n">
        <f aca="false">N(Q454)+$P455</f>
        <v>3</v>
      </c>
      <c r="R455" s="1" t="n">
        <f aca="false">IF(AND($K455=1,AND(对接源_01水果!$X455="公司筐",N(对接源_01水果!$U455)&lt;&gt;0)),1,0)</f>
        <v>0</v>
      </c>
      <c r="S455" s="1" t="n">
        <f aca="false">N(S454)+$R455</f>
        <v>0</v>
      </c>
      <c r="T455" s="1" t="n">
        <f aca="false">IF(AND($K455=1,AND(对接源_01水果!$X455="公司筐",N(对接源_01水果!$V455)&lt;&gt;0)),1,0)</f>
        <v>0</v>
      </c>
      <c r="U455" s="1" t="n">
        <f aca="false">N(U454)+$T455</f>
        <v>28</v>
      </c>
      <c r="V455" s="1" t="n">
        <f aca="false">IF(AND($L455=1,AND(对接源_01水果!$X455="自备筐",N(对接源_01水果!$V455)&lt;&gt;0)),1,0)</f>
        <v>0</v>
      </c>
      <c r="W455" s="1" t="n">
        <f aca="false">N(W454)+$V455</f>
        <v>7</v>
      </c>
      <c r="X455" s="1" t="n">
        <f aca="false">IF(AND($L455=1,AND(对接源_01水果!$X455="自备筐",N(对接源_01水果!$T455)&lt;&gt;0)),1,0)</f>
        <v>0</v>
      </c>
      <c r="Y455" s="1" t="n">
        <f aca="false">N(Y454)+$X455</f>
        <v>0</v>
      </c>
      <c r="Z455" s="1" t="n">
        <f aca="false">IF(AND($M455=1,对接源_01水果!$D455="原料入库"),1,0)</f>
        <v>0</v>
      </c>
      <c r="AA455" s="1" t="n">
        <f aca="false">N(AA454)+$Z455</f>
        <v>30</v>
      </c>
      <c r="AB455" s="1" t="n">
        <f aca="false">IF(AND($M455=1,LEFT(对接源_01水果!$D455,4)="原料出库"),1,0)</f>
        <v>0</v>
      </c>
      <c r="AC455" s="1" t="n">
        <f aca="false">N(AC454)+$AB455</f>
        <v>19</v>
      </c>
      <c r="AD455" s="1" t="n">
        <f aca="false">IF(AND($M455=1,LEFT(对接源_01水果!$D455,4)="成品出库"),1,0)</f>
        <v>0</v>
      </c>
      <c r="AE455" s="1" t="n">
        <f aca="false">N(AE454)+$AD455</f>
        <v>38</v>
      </c>
      <c r="AF455" s="1" t="n">
        <f aca="false">IF(AND($N455=1,AND(LEFT(对接源_01水果!$D455,4)="包装物料",N(对接源_01水果!$K455)&lt;&gt;0)),1,0)</f>
        <v>0</v>
      </c>
      <c r="AG455" s="90" t="str">
        <f aca="false">IF(对接源_01水果!$AC455="","",对接源_01水果!$AC455)</f>
        <v/>
      </c>
      <c r="AH455" s="1" t="n">
        <f aca="false">IF(AND($N455=1,AND(LEFT(对接源_01水果!$D455,3)="周转筐",N(对接源_01水果!$K455)&lt;&gt;0)),1,0)</f>
        <v>0</v>
      </c>
      <c r="AI455" s="90" t="n">
        <f aca="false">IF(AG455="",0,IF(MATCH(AG455,$AG$4:$AG$1203,0)=ROW()-3,1,0))</f>
        <v>0</v>
      </c>
      <c r="AJ455" s="90" t="n">
        <f aca="false">N(AJ454)+AI455</f>
        <v>4</v>
      </c>
      <c r="AK455" s="1" t="n">
        <f aca="false">N(AK454)+$AJ455</f>
        <v>680</v>
      </c>
    </row>
    <row r="456" customFormat="false" ht="13.5" hidden="false" customHeight="false" outlineLevel="0" collapsed="false">
      <c r="A456" s="1" t="str">
        <f aca="false">IF(对接源_01水果!$C456="","",对接源_01水果!$C456)</f>
        <v/>
      </c>
      <c r="B456" s="1" t="n">
        <f aca="false">IF(A456="",0,IF(MATCH(A456,$A$4:$A$2403,0)=ROW()-3,1,0))</f>
        <v>0</v>
      </c>
      <c r="C456" s="1" t="n">
        <f aca="false">N(C455)+B456</f>
        <v>13</v>
      </c>
      <c r="K456" s="1" t="n">
        <f aca="false">IF(OR($K$1="",对接源_01水果!$C456="",对接源_01水果!$C456&lt;&gt;$K$1,对接源_01水果!$B456=""),0,IF(OR(N(对接源_01水果!$B456)&lt;$K$2,N(对接源_01水果!$B456)&gt;$K$3),0,1))</f>
        <v>0</v>
      </c>
      <c r="L456" s="1" t="n">
        <f aca="false">IF(OR($L$1="",对接源_01水果!$C456="",对接源_01水果!$C456&lt;&gt;$L$1,对接源_01水果!$B456=""),0,IF(OR(N(对接源_01水果!$B456)&lt;$L$2,N(对接源_01水果!$B456)&gt;$L$3),0,1))</f>
        <v>0</v>
      </c>
      <c r="M456" s="1" t="n">
        <f aca="false">IF(OR($M$1="",对接源_01水果!$C456="",对接源_01水果!$C456&lt;&gt;$M$1,对接源_01水果!$B456=""),0,IF(OR(N(对接源_01水果!$B456)&lt;$M$2,N(对接源_01水果!$B456)&gt;$M$3),0,1))</f>
        <v>0</v>
      </c>
      <c r="N456" s="1" t="n">
        <f aca="false">IF(OR($N$1="",对接源_01水果!$C456="",对接源_01水果!$C456&lt;&gt;$N$1,对接源_01水果!$B456=""),0,IF(OR(N(对接源_01水果!$B456)&lt;$N$2,N(对接源_01水果!$B456)&gt;$N$3),0,1))</f>
        <v>0</v>
      </c>
      <c r="P456" s="1" t="n">
        <f aca="false">IF(AND($K456=1,AND(对接源_01水果!$X456="公司筐",N(对接源_01水果!$T456)&lt;&gt;0)),1,0)</f>
        <v>0</v>
      </c>
      <c r="Q456" s="1" t="n">
        <f aca="false">N(Q455)+$P456</f>
        <v>3</v>
      </c>
      <c r="R456" s="1" t="n">
        <f aca="false">IF(AND($K456=1,AND(对接源_01水果!$X456="公司筐",N(对接源_01水果!$U456)&lt;&gt;0)),1,0)</f>
        <v>0</v>
      </c>
      <c r="S456" s="1" t="n">
        <f aca="false">N(S455)+$R456</f>
        <v>0</v>
      </c>
      <c r="T456" s="1" t="n">
        <f aca="false">IF(AND($K456=1,AND(对接源_01水果!$X456="公司筐",N(对接源_01水果!$V456)&lt;&gt;0)),1,0)</f>
        <v>0</v>
      </c>
      <c r="U456" s="1" t="n">
        <f aca="false">N(U455)+$T456</f>
        <v>28</v>
      </c>
      <c r="V456" s="1" t="n">
        <f aca="false">IF(AND($L456=1,AND(对接源_01水果!$X456="自备筐",N(对接源_01水果!$V456)&lt;&gt;0)),1,0)</f>
        <v>0</v>
      </c>
      <c r="W456" s="1" t="n">
        <f aca="false">N(W455)+$V456</f>
        <v>7</v>
      </c>
      <c r="X456" s="1" t="n">
        <f aca="false">IF(AND($L456=1,AND(对接源_01水果!$X456="自备筐",N(对接源_01水果!$T456)&lt;&gt;0)),1,0)</f>
        <v>0</v>
      </c>
      <c r="Y456" s="1" t="n">
        <f aca="false">N(Y455)+$X456</f>
        <v>0</v>
      </c>
      <c r="Z456" s="1" t="n">
        <f aca="false">IF(AND($M456=1,对接源_01水果!$D456="原料入库"),1,0)</f>
        <v>0</v>
      </c>
      <c r="AA456" s="1" t="n">
        <f aca="false">N(AA455)+$Z456</f>
        <v>30</v>
      </c>
      <c r="AB456" s="1" t="n">
        <f aca="false">IF(AND($M456=1,LEFT(对接源_01水果!$D456,4)="原料出库"),1,0)</f>
        <v>0</v>
      </c>
      <c r="AC456" s="1" t="n">
        <f aca="false">N(AC455)+$AB456</f>
        <v>19</v>
      </c>
      <c r="AD456" s="1" t="n">
        <f aca="false">IF(AND($M456=1,LEFT(对接源_01水果!$D456,4)="成品出库"),1,0)</f>
        <v>0</v>
      </c>
      <c r="AE456" s="1" t="n">
        <f aca="false">N(AE455)+$AD456</f>
        <v>38</v>
      </c>
      <c r="AF456" s="1" t="n">
        <f aca="false">IF(AND($N456=1,AND(LEFT(对接源_01水果!$D456,4)="包装物料",N(对接源_01水果!$K456)&lt;&gt;0)),1,0)</f>
        <v>0</v>
      </c>
      <c r="AG456" s="90" t="str">
        <f aca="false">IF(对接源_01水果!$AC456="","",对接源_01水果!$AC456)</f>
        <v/>
      </c>
      <c r="AH456" s="1" t="n">
        <f aca="false">IF(AND($N456=1,AND(LEFT(对接源_01水果!$D456,3)="周转筐",N(对接源_01水果!$K456)&lt;&gt;0)),1,0)</f>
        <v>0</v>
      </c>
      <c r="AI456" s="90" t="n">
        <f aca="false">IF(AG456="",0,IF(MATCH(AG456,$AG$4:$AG$1203,0)=ROW()-3,1,0))</f>
        <v>0</v>
      </c>
      <c r="AJ456" s="90" t="n">
        <f aca="false">N(AJ455)+AI456</f>
        <v>4</v>
      </c>
      <c r="AK456" s="1" t="n">
        <f aca="false">N(AK455)+$AJ456</f>
        <v>684</v>
      </c>
    </row>
    <row r="457" customFormat="false" ht="13.5" hidden="false" customHeight="false" outlineLevel="0" collapsed="false">
      <c r="A457" s="1" t="str">
        <f aca="false">IF(对接源_01水果!$C457="","",对接源_01水果!$C457)</f>
        <v/>
      </c>
      <c r="B457" s="1" t="n">
        <f aca="false">IF(A457="",0,IF(MATCH(A457,$A$4:$A$2403,0)=ROW()-3,1,0))</f>
        <v>0</v>
      </c>
      <c r="C457" s="1" t="n">
        <f aca="false">N(C456)+B457</f>
        <v>13</v>
      </c>
      <c r="K457" s="1" t="n">
        <f aca="false">IF(OR($K$1="",对接源_01水果!$C457="",对接源_01水果!$C457&lt;&gt;$K$1,对接源_01水果!$B457=""),0,IF(OR(N(对接源_01水果!$B457)&lt;$K$2,N(对接源_01水果!$B457)&gt;$K$3),0,1))</f>
        <v>0</v>
      </c>
      <c r="L457" s="1" t="n">
        <f aca="false">IF(OR($L$1="",对接源_01水果!$C457="",对接源_01水果!$C457&lt;&gt;$L$1,对接源_01水果!$B457=""),0,IF(OR(N(对接源_01水果!$B457)&lt;$L$2,N(对接源_01水果!$B457)&gt;$L$3),0,1))</f>
        <v>0</v>
      </c>
      <c r="M457" s="1" t="n">
        <f aca="false">IF(OR($M$1="",对接源_01水果!$C457="",对接源_01水果!$C457&lt;&gt;$M$1,对接源_01水果!$B457=""),0,IF(OR(N(对接源_01水果!$B457)&lt;$M$2,N(对接源_01水果!$B457)&gt;$M$3),0,1))</f>
        <v>0</v>
      </c>
      <c r="N457" s="1" t="n">
        <f aca="false">IF(OR($N$1="",对接源_01水果!$C457="",对接源_01水果!$C457&lt;&gt;$N$1,对接源_01水果!$B457=""),0,IF(OR(N(对接源_01水果!$B457)&lt;$N$2,N(对接源_01水果!$B457)&gt;$N$3),0,1))</f>
        <v>0</v>
      </c>
      <c r="P457" s="1" t="n">
        <f aca="false">IF(AND($K457=1,AND(对接源_01水果!$X457="公司筐",N(对接源_01水果!$T457)&lt;&gt;0)),1,0)</f>
        <v>0</v>
      </c>
      <c r="Q457" s="1" t="n">
        <f aca="false">N(Q456)+$P457</f>
        <v>3</v>
      </c>
      <c r="R457" s="1" t="n">
        <f aca="false">IF(AND($K457=1,AND(对接源_01水果!$X457="公司筐",N(对接源_01水果!$U457)&lt;&gt;0)),1,0)</f>
        <v>0</v>
      </c>
      <c r="S457" s="1" t="n">
        <f aca="false">N(S456)+$R457</f>
        <v>0</v>
      </c>
      <c r="T457" s="1" t="n">
        <f aca="false">IF(AND($K457=1,AND(对接源_01水果!$X457="公司筐",N(对接源_01水果!$V457)&lt;&gt;0)),1,0)</f>
        <v>0</v>
      </c>
      <c r="U457" s="1" t="n">
        <f aca="false">N(U456)+$T457</f>
        <v>28</v>
      </c>
      <c r="V457" s="1" t="n">
        <f aca="false">IF(AND($L457=1,AND(对接源_01水果!$X457="自备筐",N(对接源_01水果!$V457)&lt;&gt;0)),1,0)</f>
        <v>0</v>
      </c>
      <c r="W457" s="1" t="n">
        <f aca="false">N(W456)+$V457</f>
        <v>7</v>
      </c>
      <c r="X457" s="1" t="n">
        <f aca="false">IF(AND($L457=1,AND(对接源_01水果!$X457="自备筐",N(对接源_01水果!$T457)&lt;&gt;0)),1,0)</f>
        <v>0</v>
      </c>
      <c r="Y457" s="1" t="n">
        <f aca="false">N(Y456)+$X457</f>
        <v>0</v>
      </c>
      <c r="Z457" s="1" t="n">
        <f aca="false">IF(AND($M457=1,对接源_01水果!$D457="原料入库"),1,0)</f>
        <v>0</v>
      </c>
      <c r="AA457" s="1" t="n">
        <f aca="false">N(AA456)+$Z457</f>
        <v>30</v>
      </c>
      <c r="AB457" s="1" t="n">
        <f aca="false">IF(AND($M457=1,LEFT(对接源_01水果!$D457,4)="原料出库"),1,0)</f>
        <v>0</v>
      </c>
      <c r="AC457" s="1" t="n">
        <f aca="false">N(AC456)+$AB457</f>
        <v>19</v>
      </c>
      <c r="AD457" s="1" t="n">
        <f aca="false">IF(AND($M457=1,LEFT(对接源_01水果!$D457,4)="成品出库"),1,0)</f>
        <v>0</v>
      </c>
      <c r="AE457" s="1" t="n">
        <f aca="false">N(AE456)+$AD457</f>
        <v>38</v>
      </c>
      <c r="AF457" s="1" t="n">
        <f aca="false">IF(AND($N457=1,AND(LEFT(对接源_01水果!$D457,4)="包装物料",N(对接源_01水果!$K457)&lt;&gt;0)),1,0)</f>
        <v>0</v>
      </c>
      <c r="AG457" s="90" t="str">
        <f aca="false">IF(对接源_01水果!$AC457="","",对接源_01水果!$AC457)</f>
        <v/>
      </c>
      <c r="AH457" s="1" t="n">
        <f aca="false">IF(AND($N457=1,AND(LEFT(对接源_01水果!$D457,3)="周转筐",N(对接源_01水果!$K457)&lt;&gt;0)),1,0)</f>
        <v>0</v>
      </c>
      <c r="AI457" s="90" t="n">
        <f aca="false">IF(AG457="",0,IF(MATCH(AG457,$AG$4:$AG$1203,0)=ROW()-3,1,0))</f>
        <v>0</v>
      </c>
      <c r="AJ457" s="90" t="n">
        <f aca="false">N(AJ456)+AI457</f>
        <v>4</v>
      </c>
      <c r="AK457" s="1" t="n">
        <f aca="false">N(AK456)+$AJ457</f>
        <v>688</v>
      </c>
    </row>
    <row r="458" customFormat="false" ht="13.5" hidden="false" customHeight="false" outlineLevel="0" collapsed="false">
      <c r="A458" s="1" t="str">
        <f aca="false">IF(对接源_01水果!$C458="","",对接源_01水果!$C458)</f>
        <v/>
      </c>
      <c r="B458" s="1" t="n">
        <f aca="false">IF(A458="",0,IF(MATCH(A458,$A$4:$A$2403,0)=ROW()-3,1,0))</f>
        <v>0</v>
      </c>
      <c r="C458" s="1" t="n">
        <f aca="false">N(C457)+B458</f>
        <v>13</v>
      </c>
      <c r="K458" s="1" t="n">
        <f aca="false">IF(OR($K$1="",对接源_01水果!$C458="",对接源_01水果!$C458&lt;&gt;$K$1,对接源_01水果!$B458=""),0,IF(OR(N(对接源_01水果!$B458)&lt;$K$2,N(对接源_01水果!$B458)&gt;$K$3),0,1))</f>
        <v>0</v>
      </c>
      <c r="L458" s="1" t="n">
        <f aca="false">IF(OR($L$1="",对接源_01水果!$C458="",对接源_01水果!$C458&lt;&gt;$L$1,对接源_01水果!$B458=""),0,IF(OR(N(对接源_01水果!$B458)&lt;$L$2,N(对接源_01水果!$B458)&gt;$L$3),0,1))</f>
        <v>0</v>
      </c>
      <c r="M458" s="1" t="n">
        <f aca="false">IF(OR($M$1="",对接源_01水果!$C458="",对接源_01水果!$C458&lt;&gt;$M$1,对接源_01水果!$B458=""),0,IF(OR(N(对接源_01水果!$B458)&lt;$M$2,N(对接源_01水果!$B458)&gt;$M$3),0,1))</f>
        <v>0</v>
      </c>
      <c r="N458" s="1" t="n">
        <f aca="false">IF(OR($N$1="",对接源_01水果!$C458="",对接源_01水果!$C458&lt;&gt;$N$1,对接源_01水果!$B458=""),0,IF(OR(N(对接源_01水果!$B458)&lt;$N$2,N(对接源_01水果!$B458)&gt;$N$3),0,1))</f>
        <v>0</v>
      </c>
      <c r="P458" s="1" t="n">
        <f aca="false">IF(AND($K458=1,AND(对接源_01水果!$X458="公司筐",N(对接源_01水果!$T458)&lt;&gt;0)),1,0)</f>
        <v>0</v>
      </c>
      <c r="Q458" s="1" t="n">
        <f aca="false">N(Q457)+$P458</f>
        <v>3</v>
      </c>
      <c r="R458" s="1" t="n">
        <f aca="false">IF(AND($K458=1,AND(对接源_01水果!$X458="公司筐",N(对接源_01水果!$U458)&lt;&gt;0)),1,0)</f>
        <v>0</v>
      </c>
      <c r="S458" s="1" t="n">
        <f aca="false">N(S457)+$R458</f>
        <v>0</v>
      </c>
      <c r="T458" s="1" t="n">
        <f aca="false">IF(AND($K458=1,AND(对接源_01水果!$X458="公司筐",N(对接源_01水果!$V458)&lt;&gt;0)),1,0)</f>
        <v>0</v>
      </c>
      <c r="U458" s="1" t="n">
        <f aca="false">N(U457)+$T458</f>
        <v>28</v>
      </c>
      <c r="V458" s="1" t="n">
        <f aca="false">IF(AND($L458=1,AND(对接源_01水果!$X458="自备筐",N(对接源_01水果!$V458)&lt;&gt;0)),1,0)</f>
        <v>0</v>
      </c>
      <c r="W458" s="1" t="n">
        <f aca="false">N(W457)+$V458</f>
        <v>7</v>
      </c>
      <c r="X458" s="1" t="n">
        <f aca="false">IF(AND($L458=1,AND(对接源_01水果!$X458="自备筐",N(对接源_01水果!$T458)&lt;&gt;0)),1,0)</f>
        <v>0</v>
      </c>
      <c r="Y458" s="1" t="n">
        <f aca="false">N(Y457)+$X458</f>
        <v>0</v>
      </c>
      <c r="Z458" s="1" t="n">
        <f aca="false">IF(AND($M458=1,对接源_01水果!$D458="原料入库"),1,0)</f>
        <v>0</v>
      </c>
      <c r="AA458" s="1" t="n">
        <f aca="false">N(AA457)+$Z458</f>
        <v>30</v>
      </c>
      <c r="AB458" s="1" t="n">
        <f aca="false">IF(AND($M458=1,LEFT(对接源_01水果!$D458,4)="原料出库"),1,0)</f>
        <v>0</v>
      </c>
      <c r="AC458" s="1" t="n">
        <f aca="false">N(AC457)+$AB458</f>
        <v>19</v>
      </c>
      <c r="AD458" s="1" t="n">
        <f aca="false">IF(AND($M458=1,LEFT(对接源_01水果!$D458,4)="成品出库"),1,0)</f>
        <v>0</v>
      </c>
      <c r="AE458" s="1" t="n">
        <f aca="false">N(AE457)+$AD458</f>
        <v>38</v>
      </c>
      <c r="AF458" s="1" t="n">
        <f aca="false">IF(AND($N458=1,AND(LEFT(对接源_01水果!$D458,4)="包装物料",N(对接源_01水果!$K458)&lt;&gt;0)),1,0)</f>
        <v>0</v>
      </c>
      <c r="AG458" s="90" t="str">
        <f aca="false">IF(对接源_01水果!$AC458="","",对接源_01水果!$AC458)</f>
        <v/>
      </c>
      <c r="AH458" s="1" t="n">
        <f aca="false">IF(AND($N458=1,AND(LEFT(对接源_01水果!$D458,3)="周转筐",N(对接源_01水果!$K458)&lt;&gt;0)),1,0)</f>
        <v>0</v>
      </c>
      <c r="AI458" s="90" t="n">
        <f aca="false">IF(AG458="",0,IF(MATCH(AG458,$AG$4:$AG$1203,0)=ROW()-3,1,0))</f>
        <v>0</v>
      </c>
      <c r="AJ458" s="90" t="n">
        <f aca="false">N(AJ457)+AI458</f>
        <v>4</v>
      </c>
      <c r="AK458" s="1" t="n">
        <f aca="false">N(AK457)+$AJ458</f>
        <v>692</v>
      </c>
    </row>
    <row r="459" customFormat="false" ht="13.5" hidden="false" customHeight="false" outlineLevel="0" collapsed="false">
      <c r="A459" s="1" t="str">
        <f aca="false">IF(对接源_01水果!$C459="","",对接源_01水果!$C459)</f>
        <v/>
      </c>
      <c r="B459" s="1" t="n">
        <f aca="false">IF(A459="",0,IF(MATCH(A459,$A$4:$A$2403,0)=ROW()-3,1,0))</f>
        <v>0</v>
      </c>
      <c r="C459" s="1" t="n">
        <f aca="false">N(C458)+B459</f>
        <v>13</v>
      </c>
      <c r="K459" s="1" t="n">
        <f aca="false">IF(OR($K$1="",对接源_01水果!$C459="",对接源_01水果!$C459&lt;&gt;$K$1,对接源_01水果!$B459=""),0,IF(OR(N(对接源_01水果!$B459)&lt;$K$2,N(对接源_01水果!$B459)&gt;$K$3),0,1))</f>
        <v>0</v>
      </c>
      <c r="L459" s="1" t="n">
        <f aca="false">IF(OR($L$1="",对接源_01水果!$C459="",对接源_01水果!$C459&lt;&gt;$L$1,对接源_01水果!$B459=""),0,IF(OR(N(对接源_01水果!$B459)&lt;$L$2,N(对接源_01水果!$B459)&gt;$L$3),0,1))</f>
        <v>0</v>
      </c>
      <c r="M459" s="1" t="n">
        <f aca="false">IF(OR($M$1="",对接源_01水果!$C459="",对接源_01水果!$C459&lt;&gt;$M$1,对接源_01水果!$B459=""),0,IF(OR(N(对接源_01水果!$B459)&lt;$M$2,N(对接源_01水果!$B459)&gt;$M$3),0,1))</f>
        <v>0</v>
      </c>
      <c r="N459" s="1" t="n">
        <f aca="false">IF(OR($N$1="",对接源_01水果!$C459="",对接源_01水果!$C459&lt;&gt;$N$1,对接源_01水果!$B459=""),0,IF(OR(N(对接源_01水果!$B459)&lt;$N$2,N(对接源_01水果!$B459)&gt;$N$3),0,1))</f>
        <v>0</v>
      </c>
      <c r="P459" s="1" t="n">
        <f aca="false">IF(AND($K459=1,AND(对接源_01水果!$X459="公司筐",N(对接源_01水果!$T459)&lt;&gt;0)),1,0)</f>
        <v>0</v>
      </c>
      <c r="Q459" s="1" t="n">
        <f aca="false">N(Q458)+$P459</f>
        <v>3</v>
      </c>
      <c r="R459" s="1" t="n">
        <f aca="false">IF(AND($K459=1,AND(对接源_01水果!$X459="公司筐",N(对接源_01水果!$U459)&lt;&gt;0)),1,0)</f>
        <v>0</v>
      </c>
      <c r="S459" s="1" t="n">
        <f aca="false">N(S458)+$R459</f>
        <v>0</v>
      </c>
      <c r="T459" s="1" t="n">
        <f aca="false">IF(AND($K459=1,AND(对接源_01水果!$X459="公司筐",N(对接源_01水果!$V459)&lt;&gt;0)),1,0)</f>
        <v>0</v>
      </c>
      <c r="U459" s="1" t="n">
        <f aca="false">N(U458)+$T459</f>
        <v>28</v>
      </c>
      <c r="V459" s="1" t="n">
        <f aca="false">IF(AND($L459=1,AND(对接源_01水果!$X459="自备筐",N(对接源_01水果!$V459)&lt;&gt;0)),1,0)</f>
        <v>0</v>
      </c>
      <c r="W459" s="1" t="n">
        <f aca="false">N(W458)+$V459</f>
        <v>7</v>
      </c>
      <c r="X459" s="1" t="n">
        <f aca="false">IF(AND($L459=1,AND(对接源_01水果!$X459="自备筐",N(对接源_01水果!$T459)&lt;&gt;0)),1,0)</f>
        <v>0</v>
      </c>
      <c r="Y459" s="1" t="n">
        <f aca="false">N(Y458)+$X459</f>
        <v>0</v>
      </c>
      <c r="Z459" s="1" t="n">
        <f aca="false">IF(AND($M459=1,对接源_01水果!$D459="原料入库"),1,0)</f>
        <v>0</v>
      </c>
      <c r="AA459" s="1" t="n">
        <f aca="false">N(AA458)+$Z459</f>
        <v>30</v>
      </c>
      <c r="AB459" s="1" t="n">
        <f aca="false">IF(AND($M459=1,LEFT(对接源_01水果!$D459,4)="原料出库"),1,0)</f>
        <v>0</v>
      </c>
      <c r="AC459" s="1" t="n">
        <f aca="false">N(AC458)+$AB459</f>
        <v>19</v>
      </c>
      <c r="AD459" s="1" t="n">
        <f aca="false">IF(AND($M459=1,LEFT(对接源_01水果!$D459,4)="成品出库"),1,0)</f>
        <v>0</v>
      </c>
      <c r="AE459" s="1" t="n">
        <f aca="false">N(AE458)+$AD459</f>
        <v>38</v>
      </c>
      <c r="AF459" s="1" t="n">
        <f aca="false">IF(AND($N459=1,AND(LEFT(对接源_01水果!$D459,4)="包装物料",N(对接源_01水果!$K459)&lt;&gt;0)),1,0)</f>
        <v>0</v>
      </c>
      <c r="AG459" s="90" t="str">
        <f aca="false">IF(对接源_01水果!$AC459="","",对接源_01水果!$AC459)</f>
        <v/>
      </c>
      <c r="AH459" s="1" t="n">
        <f aca="false">IF(AND($N459=1,AND(LEFT(对接源_01水果!$D459,3)="周转筐",N(对接源_01水果!$K459)&lt;&gt;0)),1,0)</f>
        <v>0</v>
      </c>
      <c r="AI459" s="90" t="n">
        <f aca="false">IF(AG459="",0,IF(MATCH(AG459,$AG$4:$AG$1203,0)=ROW()-3,1,0))</f>
        <v>0</v>
      </c>
      <c r="AJ459" s="90" t="n">
        <f aca="false">N(AJ458)+AI459</f>
        <v>4</v>
      </c>
      <c r="AK459" s="1" t="n">
        <f aca="false">N(AK458)+$AJ459</f>
        <v>696</v>
      </c>
    </row>
    <row r="460" customFormat="false" ht="13.5" hidden="false" customHeight="false" outlineLevel="0" collapsed="false">
      <c r="A460" s="1" t="str">
        <f aca="false">IF(对接源_01水果!$C460="","",对接源_01水果!$C460)</f>
        <v/>
      </c>
      <c r="B460" s="1" t="n">
        <f aca="false">IF(A460="",0,IF(MATCH(A460,$A$4:$A$2403,0)=ROW()-3,1,0))</f>
        <v>0</v>
      </c>
      <c r="C460" s="1" t="n">
        <f aca="false">N(C459)+B460</f>
        <v>13</v>
      </c>
      <c r="K460" s="1" t="n">
        <f aca="false">IF(OR($K$1="",对接源_01水果!$C460="",对接源_01水果!$C460&lt;&gt;$K$1,对接源_01水果!$B460=""),0,IF(OR(N(对接源_01水果!$B460)&lt;$K$2,N(对接源_01水果!$B460)&gt;$K$3),0,1))</f>
        <v>0</v>
      </c>
      <c r="L460" s="1" t="n">
        <f aca="false">IF(OR($L$1="",对接源_01水果!$C460="",对接源_01水果!$C460&lt;&gt;$L$1,对接源_01水果!$B460=""),0,IF(OR(N(对接源_01水果!$B460)&lt;$L$2,N(对接源_01水果!$B460)&gt;$L$3),0,1))</f>
        <v>0</v>
      </c>
      <c r="M460" s="1" t="n">
        <f aca="false">IF(OR($M$1="",对接源_01水果!$C460="",对接源_01水果!$C460&lt;&gt;$M$1,对接源_01水果!$B460=""),0,IF(OR(N(对接源_01水果!$B460)&lt;$M$2,N(对接源_01水果!$B460)&gt;$M$3),0,1))</f>
        <v>0</v>
      </c>
      <c r="N460" s="1" t="n">
        <f aca="false">IF(OR($N$1="",对接源_01水果!$C460="",对接源_01水果!$C460&lt;&gt;$N$1,对接源_01水果!$B460=""),0,IF(OR(N(对接源_01水果!$B460)&lt;$N$2,N(对接源_01水果!$B460)&gt;$N$3),0,1))</f>
        <v>0</v>
      </c>
      <c r="P460" s="1" t="n">
        <f aca="false">IF(AND($K460=1,AND(对接源_01水果!$X460="公司筐",N(对接源_01水果!$T460)&lt;&gt;0)),1,0)</f>
        <v>0</v>
      </c>
      <c r="Q460" s="1" t="n">
        <f aca="false">N(Q459)+$P460</f>
        <v>3</v>
      </c>
      <c r="R460" s="1" t="n">
        <f aca="false">IF(AND($K460=1,AND(对接源_01水果!$X460="公司筐",N(对接源_01水果!$U460)&lt;&gt;0)),1,0)</f>
        <v>0</v>
      </c>
      <c r="S460" s="1" t="n">
        <f aca="false">N(S459)+$R460</f>
        <v>0</v>
      </c>
      <c r="T460" s="1" t="n">
        <f aca="false">IF(AND($K460=1,AND(对接源_01水果!$X460="公司筐",N(对接源_01水果!$V460)&lt;&gt;0)),1,0)</f>
        <v>0</v>
      </c>
      <c r="U460" s="1" t="n">
        <f aca="false">N(U459)+$T460</f>
        <v>28</v>
      </c>
      <c r="V460" s="1" t="n">
        <f aca="false">IF(AND($L460=1,AND(对接源_01水果!$X460="自备筐",N(对接源_01水果!$V460)&lt;&gt;0)),1,0)</f>
        <v>0</v>
      </c>
      <c r="W460" s="1" t="n">
        <f aca="false">N(W459)+$V460</f>
        <v>7</v>
      </c>
      <c r="X460" s="1" t="n">
        <f aca="false">IF(AND($L460=1,AND(对接源_01水果!$X460="自备筐",N(对接源_01水果!$T460)&lt;&gt;0)),1,0)</f>
        <v>0</v>
      </c>
      <c r="Y460" s="1" t="n">
        <f aca="false">N(Y459)+$X460</f>
        <v>0</v>
      </c>
      <c r="Z460" s="1" t="n">
        <f aca="false">IF(AND($M460=1,对接源_01水果!$D460="原料入库"),1,0)</f>
        <v>0</v>
      </c>
      <c r="AA460" s="1" t="n">
        <f aca="false">N(AA459)+$Z460</f>
        <v>30</v>
      </c>
      <c r="AB460" s="1" t="n">
        <f aca="false">IF(AND($M460=1,LEFT(对接源_01水果!$D460,4)="原料出库"),1,0)</f>
        <v>0</v>
      </c>
      <c r="AC460" s="1" t="n">
        <f aca="false">N(AC459)+$AB460</f>
        <v>19</v>
      </c>
      <c r="AD460" s="1" t="n">
        <f aca="false">IF(AND($M460=1,LEFT(对接源_01水果!$D460,4)="成品出库"),1,0)</f>
        <v>0</v>
      </c>
      <c r="AE460" s="1" t="n">
        <f aca="false">N(AE459)+$AD460</f>
        <v>38</v>
      </c>
      <c r="AF460" s="1" t="n">
        <f aca="false">IF(AND($N460=1,AND(LEFT(对接源_01水果!$D460,4)="包装物料",N(对接源_01水果!$K460)&lt;&gt;0)),1,0)</f>
        <v>0</v>
      </c>
      <c r="AG460" s="90" t="str">
        <f aca="false">IF(对接源_01水果!$AC460="","",对接源_01水果!$AC460)</f>
        <v/>
      </c>
      <c r="AH460" s="1" t="n">
        <f aca="false">IF(AND($N460=1,AND(LEFT(对接源_01水果!$D460,3)="周转筐",N(对接源_01水果!$K460)&lt;&gt;0)),1,0)</f>
        <v>0</v>
      </c>
      <c r="AI460" s="90" t="n">
        <f aca="false">IF(AG460="",0,IF(MATCH(AG460,$AG$4:$AG$1203,0)=ROW()-3,1,0))</f>
        <v>0</v>
      </c>
      <c r="AJ460" s="90" t="n">
        <f aca="false">N(AJ459)+AI460</f>
        <v>4</v>
      </c>
      <c r="AK460" s="1" t="n">
        <f aca="false">N(AK459)+$AJ460</f>
        <v>700</v>
      </c>
    </row>
    <row r="461" customFormat="false" ht="13.5" hidden="false" customHeight="false" outlineLevel="0" collapsed="false">
      <c r="A461" s="1" t="str">
        <f aca="false">IF(对接源_01水果!$C461="","",对接源_01水果!$C461)</f>
        <v/>
      </c>
      <c r="B461" s="1" t="n">
        <f aca="false">IF(A461="",0,IF(MATCH(A461,$A$4:$A$2403,0)=ROW()-3,1,0))</f>
        <v>0</v>
      </c>
      <c r="C461" s="1" t="n">
        <f aca="false">N(C460)+B461</f>
        <v>13</v>
      </c>
      <c r="K461" s="1" t="n">
        <f aca="false">IF(OR($K$1="",对接源_01水果!$C461="",对接源_01水果!$C461&lt;&gt;$K$1,对接源_01水果!$B461=""),0,IF(OR(N(对接源_01水果!$B461)&lt;$K$2,N(对接源_01水果!$B461)&gt;$K$3),0,1))</f>
        <v>0</v>
      </c>
      <c r="L461" s="1" t="n">
        <f aca="false">IF(OR($L$1="",对接源_01水果!$C461="",对接源_01水果!$C461&lt;&gt;$L$1,对接源_01水果!$B461=""),0,IF(OR(N(对接源_01水果!$B461)&lt;$L$2,N(对接源_01水果!$B461)&gt;$L$3),0,1))</f>
        <v>0</v>
      </c>
      <c r="M461" s="1" t="n">
        <f aca="false">IF(OR($M$1="",对接源_01水果!$C461="",对接源_01水果!$C461&lt;&gt;$M$1,对接源_01水果!$B461=""),0,IF(OR(N(对接源_01水果!$B461)&lt;$M$2,N(对接源_01水果!$B461)&gt;$M$3),0,1))</f>
        <v>0</v>
      </c>
      <c r="N461" s="1" t="n">
        <f aca="false">IF(OR($N$1="",对接源_01水果!$C461="",对接源_01水果!$C461&lt;&gt;$N$1,对接源_01水果!$B461=""),0,IF(OR(N(对接源_01水果!$B461)&lt;$N$2,N(对接源_01水果!$B461)&gt;$N$3),0,1))</f>
        <v>0</v>
      </c>
      <c r="P461" s="1" t="n">
        <f aca="false">IF(AND($K461=1,AND(对接源_01水果!$X461="公司筐",N(对接源_01水果!$T461)&lt;&gt;0)),1,0)</f>
        <v>0</v>
      </c>
      <c r="Q461" s="1" t="n">
        <f aca="false">N(Q460)+$P461</f>
        <v>3</v>
      </c>
      <c r="R461" s="1" t="n">
        <f aca="false">IF(AND($K461=1,AND(对接源_01水果!$X461="公司筐",N(对接源_01水果!$U461)&lt;&gt;0)),1,0)</f>
        <v>0</v>
      </c>
      <c r="S461" s="1" t="n">
        <f aca="false">N(S460)+$R461</f>
        <v>0</v>
      </c>
      <c r="T461" s="1" t="n">
        <f aca="false">IF(AND($K461=1,AND(对接源_01水果!$X461="公司筐",N(对接源_01水果!$V461)&lt;&gt;0)),1,0)</f>
        <v>0</v>
      </c>
      <c r="U461" s="1" t="n">
        <f aca="false">N(U460)+$T461</f>
        <v>28</v>
      </c>
      <c r="V461" s="1" t="n">
        <f aca="false">IF(AND($L461=1,AND(对接源_01水果!$X461="自备筐",N(对接源_01水果!$V461)&lt;&gt;0)),1,0)</f>
        <v>0</v>
      </c>
      <c r="W461" s="1" t="n">
        <f aca="false">N(W460)+$V461</f>
        <v>7</v>
      </c>
      <c r="X461" s="1" t="n">
        <f aca="false">IF(AND($L461=1,AND(对接源_01水果!$X461="自备筐",N(对接源_01水果!$T461)&lt;&gt;0)),1,0)</f>
        <v>0</v>
      </c>
      <c r="Y461" s="1" t="n">
        <f aca="false">N(Y460)+$X461</f>
        <v>0</v>
      </c>
      <c r="Z461" s="1" t="n">
        <f aca="false">IF(AND($M461=1,对接源_01水果!$D461="原料入库"),1,0)</f>
        <v>0</v>
      </c>
      <c r="AA461" s="1" t="n">
        <f aca="false">N(AA460)+$Z461</f>
        <v>30</v>
      </c>
      <c r="AB461" s="1" t="n">
        <f aca="false">IF(AND($M461=1,LEFT(对接源_01水果!$D461,4)="原料出库"),1,0)</f>
        <v>0</v>
      </c>
      <c r="AC461" s="1" t="n">
        <f aca="false">N(AC460)+$AB461</f>
        <v>19</v>
      </c>
      <c r="AD461" s="1" t="n">
        <f aca="false">IF(AND($M461=1,LEFT(对接源_01水果!$D461,4)="成品出库"),1,0)</f>
        <v>0</v>
      </c>
      <c r="AE461" s="1" t="n">
        <f aca="false">N(AE460)+$AD461</f>
        <v>38</v>
      </c>
      <c r="AF461" s="1" t="n">
        <f aca="false">IF(AND($N461=1,AND(LEFT(对接源_01水果!$D461,4)="包装物料",N(对接源_01水果!$K461)&lt;&gt;0)),1,0)</f>
        <v>0</v>
      </c>
      <c r="AG461" s="90" t="str">
        <f aca="false">IF(对接源_01水果!$AC461="","",对接源_01水果!$AC461)</f>
        <v/>
      </c>
      <c r="AH461" s="1" t="n">
        <f aca="false">IF(AND($N461=1,AND(LEFT(对接源_01水果!$D461,3)="周转筐",N(对接源_01水果!$K461)&lt;&gt;0)),1,0)</f>
        <v>0</v>
      </c>
      <c r="AI461" s="90" t="n">
        <f aca="false">IF(AG461="",0,IF(MATCH(AG461,$AG$4:$AG$1203,0)=ROW()-3,1,0))</f>
        <v>0</v>
      </c>
      <c r="AJ461" s="90" t="n">
        <f aca="false">N(AJ460)+AI461</f>
        <v>4</v>
      </c>
      <c r="AK461" s="1" t="n">
        <f aca="false">N(AK460)+$AJ461</f>
        <v>704</v>
      </c>
    </row>
    <row r="462" customFormat="false" ht="13.5" hidden="false" customHeight="false" outlineLevel="0" collapsed="false">
      <c r="A462" s="1" t="str">
        <f aca="false">IF(对接源_01水果!$C462="","",对接源_01水果!$C462)</f>
        <v/>
      </c>
      <c r="B462" s="1" t="n">
        <f aca="false">IF(A462="",0,IF(MATCH(A462,$A$4:$A$2403,0)=ROW()-3,1,0))</f>
        <v>0</v>
      </c>
      <c r="C462" s="1" t="n">
        <f aca="false">N(C461)+B462</f>
        <v>13</v>
      </c>
      <c r="K462" s="1" t="n">
        <f aca="false">IF(OR($K$1="",对接源_01水果!$C462="",对接源_01水果!$C462&lt;&gt;$K$1,对接源_01水果!$B462=""),0,IF(OR(N(对接源_01水果!$B462)&lt;$K$2,N(对接源_01水果!$B462)&gt;$K$3),0,1))</f>
        <v>0</v>
      </c>
      <c r="L462" s="1" t="n">
        <f aca="false">IF(OR($L$1="",对接源_01水果!$C462="",对接源_01水果!$C462&lt;&gt;$L$1,对接源_01水果!$B462=""),0,IF(OR(N(对接源_01水果!$B462)&lt;$L$2,N(对接源_01水果!$B462)&gt;$L$3),0,1))</f>
        <v>0</v>
      </c>
      <c r="M462" s="1" t="n">
        <f aca="false">IF(OR($M$1="",对接源_01水果!$C462="",对接源_01水果!$C462&lt;&gt;$M$1,对接源_01水果!$B462=""),0,IF(OR(N(对接源_01水果!$B462)&lt;$M$2,N(对接源_01水果!$B462)&gt;$M$3),0,1))</f>
        <v>0</v>
      </c>
      <c r="N462" s="1" t="n">
        <f aca="false">IF(OR($N$1="",对接源_01水果!$C462="",对接源_01水果!$C462&lt;&gt;$N$1,对接源_01水果!$B462=""),0,IF(OR(N(对接源_01水果!$B462)&lt;$N$2,N(对接源_01水果!$B462)&gt;$N$3),0,1))</f>
        <v>0</v>
      </c>
      <c r="P462" s="1" t="n">
        <f aca="false">IF(AND($K462=1,AND(对接源_01水果!$X462="公司筐",N(对接源_01水果!$T462)&lt;&gt;0)),1,0)</f>
        <v>0</v>
      </c>
      <c r="Q462" s="1" t="n">
        <f aca="false">N(Q461)+$P462</f>
        <v>3</v>
      </c>
      <c r="R462" s="1" t="n">
        <f aca="false">IF(AND($K462=1,AND(对接源_01水果!$X462="公司筐",N(对接源_01水果!$U462)&lt;&gt;0)),1,0)</f>
        <v>0</v>
      </c>
      <c r="S462" s="1" t="n">
        <f aca="false">N(S461)+$R462</f>
        <v>0</v>
      </c>
      <c r="T462" s="1" t="n">
        <f aca="false">IF(AND($K462=1,AND(对接源_01水果!$X462="公司筐",N(对接源_01水果!$V462)&lt;&gt;0)),1,0)</f>
        <v>0</v>
      </c>
      <c r="U462" s="1" t="n">
        <f aca="false">N(U461)+$T462</f>
        <v>28</v>
      </c>
      <c r="V462" s="1" t="n">
        <f aca="false">IF(AND($L462=1,AND(对接源_01水果!$X462="自备筐",N(对接源_01水果!$V462)&lt;&gt;0)),1,0)</f>
        <v>0</v>
      </c>
      <c r="W462" s="1" t="n">
        <f aca="false">N(W461)+$V462</f>
        <v>7</v>
      </c>
      <c r="X462" s="1" t="n">
        <f aca="false">IF(AND($L462=1,AND(对接源_01水果!$X462="自备筐",N(对接源_01水果!$T462)&lt;&gt;0)),1,0)</f>
        <v>0</v>
      </c>
      <c r="Y462" s="1" t="n">
        <f aca="false">N(Y461)+$X462</f>
        <v>0</v>
      </c>
      <c r="Z462" s="1" t="n">
        <f aca="false">IF(AND($M462=1,对接源_01水果!$D462="原料入库"),1,0)</f>
        <v>0</v>
      </c>
      <c r="AA462" s="1" t="n">
        <f aca="false">N(AA461)+$Z462</f>
        <v>30</v>
      </c>
      <c r="AB462" s="1" t="n">
        <f aca="false">IF(AND($M462=1,LEFT(对接源_01水果!$D462,4)="原料出库"),1,0)</f>
        <v>0</v>
      </c>
      <c r="AC462" s="1" t="n">
        <f aca="false">N(AC461)+$AB462</f>
        <v>19</v>
      </c>
      <c r="AD462" s="1" t="n">
        <f aca="false">IF(AND($M462=1,LEFT(对接源_01水果!$D462,4)="成品出库"),1,0)</f>
        <v>0</v>
      </c>
      <c r="AE462" s="1" t="n">
        <f aca="false">N(AE461)+$AD462</f>
        <v>38</v>
      </c>
      <c r="AF462" s="1" t="n">
        <f aca="false">IF(AND($N462=1,AND(LEFT(对接源_01水果!$D462,4)="包装物料",N(对接源_01水果!$K462)&lt;&gt;0)),1,0)</f>
        <v>0</v>
      </c>
      <c r="AG462" s="90" t="str">
        <f aca="false">IF(对接源_01水果!$AC462="","",对接源_01水果!$AC462)</f>
        <v/>
      </c>
      <c r="AH462" s="1" t="n">
        <f aca="false">IF(AND($N462=1,AND(LEFT(对接源_01水果!$D462,3)="周转筐",N(对接源_01水果!$K462)&lt;&gt;0)),1,0)</f>
        <v>0</v>
      </c>
      <c r="AI462" s="90" t="n">
        <f aca="false">IF(AG462="",0,IF(MATCH(AG462,$AG$4:$AG$1203,0)=ROW()-3,1,0))</f>
        <v>0</v>
      </c>
      <c r="AJ462" s="90" t="n">
        <f aca="false">N(AJ461)+AI462</f>
        <v>4</v>
      </c>
      <c r="AK462" s="1" t="n">
        <f aca="false">N(AK461)+$AJ462</f>
        <v>708</v>
      </c>
    </row>
    <row r="463" customFormat="false" ht="13.5" hidden="false" customHeight="false" outlineLevel="0" collapsed="false">
      <c r="A463" s="1" t="str">
        <f aca="false">IF(对接源_01水果!$C463="","",对接源_01水果!$C463)</f>
        <v/>
      </c>
      <c r="B463" s="1" t="n">
        <f aca="false">IF(A463="",0,IF(MATCH(A463,$A$4:$A$2403,0)=ROW()-3,1,0))</f>
        <v>0</v>
      </c>
      <c r="C463" s="1" t="n">
        <f aca="false">N(C462)+B463</f>
        <v>13</v>
      </c>
      <c r="K463" s="1" t="n">
        <f aca="false">IF(OR($K$1="",对接源_01水果!$C463="",对接源_01水果!$C463&lt;&gt;$K$1,对接源_01水果!$B463=""),0,IF(OR(N(对接源_01水果!$B463)&lt;$K$2,N(对接源_01水果!$B463)&gt;$K$3),0,1))</f>
        <v>0</v>
      </c>
      <c r="L463" s="1" t="n">
        <f aca="false">IF(OR($L$1="",对接源_01水果!$C463="",对接源_01水果!$C463&lt;&gt;$L$1,对接源_01水果!$B463=""),0,IF(OR(N(对接源_01水果!$B463)&lt;$L$2,N(对接源_01水果!$B463)&gt;$L$3),0,1))</f>
        <v>0</v>
      </c>
      <c r="M463" s="1" t="n">
        <f aca="false">IF(OR($M$1="",对接源_01水果!$C463="",对接源_01水果!$C463&lt;&gt;$M$1,对接源_01水果!$B463=""),0,IF(OR(N(对接源_01水果!$B463)&lt;$M$2,N(对接源_01水果!$B463)&gt;$M$3),0,1))</f>
        <v>0</v>
      </c>
      <c r="N463" s="1" t="n">
        <f aca="false">IF(OR($N$1="",对接源_01水果!$C463="",对接源_01水果!$C463&lt;&gt;$N$1,对接源_01水果!$B463=""),0,IF(OR(N(对接源_01水果!$B463)&lt;$N$2,N(对接源_01水果!$B463)&gt;$N$3),0,1))</f>
        <v>0</v>
      </c>
      <c r="P463" s="1" t="n">
        <f aca="false">IF(AND($K463=1,AND(对接源_01水果!$X463="公司筐",N(对接源_01水果!$T463)&lt;&gt;0)),1,0)</f>
        <v>0</v>
      </c>
      <c r="Q463" s="1" t="n">
        <f aca="false">N(Q462)+$P463</f>
        <v>3</v>
      </c>
      <c r="R463" s="1" t="n">
        <f aca="false">IF(AND($K463=1,AND(对接源_01水果!$X463="公司筐",N(对接源_01水果!$U463)&lt;&gt;0)),1,0)</f>
        <v>0</v>
      </c>
      <c r="S463" s="1" t="n">
        <f aca="false">N(S462)+$R463</f>
        <v>0</v>
      </c>
      <c r="T463" s="1" t="n">
        <f aca="false">IF(AND($K463=1,AND(对接源_01水果!$X463="公司筐",N(对接源_01水果!$V463)&lt;&gt;0)),1,0)</f>
        <v>0</v>
      </c>
      <c r="U463" s="1" t="n">
        <f aca="false">N(U462)+$T463</f>
        <v>28</v>
      </c>
      <c r="V463" s="1" t="n">
        <f aca="false">IF(AND($L463=1,AND(对接源_01水果!$X463="自备筐",N(对接源_01水果!$V463)&lt;&gt;0)),1,0)</f>
        <v>0</v>
      </c>
      <c r="W463" s="1" t="n">
        <f aca="false">N(W462)+$V463</f>
        <v>7</v>
      </c>
      <c r="X463" s="1" t="n">
        <f aca="false">IF(AND($L463=1,AND(对接源_01水果!$X463="自备筐",N(对接源_01水果!$T463)&lt;&gt;0)),1,0)</f>
        <v>0</v>
      </c>
      <c r="Y463" s="1" t="n">
        <f aca="false">N(Y462)+$X463</f>
        <v>0</v>
      </c>
      <c r="Z463" s="1" t="n">
        <f aca="false">IF(AND($M463=1,对接源_01水果!$D463="原料入库"),1,0)</f>
        <v>0</v>
      </c>
      <c r="AA463" s="1" t="n">
        <f aca="false">N(AA462)+$Z463</f>
        <v>30</v>
      </c>
      <c r="AB463" s="1" t="n">
        <f aca="false">IF(AND($M463=1,LEFT(对接源_01水果!$D463,4)="原料出库"),1,0)</f>
        <v>0</v>
      </c>
      <c r="AC463" s="1" t="n">
        <f aca="false">N(AC462)+$AB463</f>
        <v>19</v>
      </c>
      <c r="AD463" s="1" t="n">
        <f aca="false">IF(AND($M463=1,LEFT(对接源_01水果!$D463,4)="成品出库"),1,0)</f>
        <v>0</v>
      </c>
      <c r="AE463" s="1" t="n">
        <f aca="false">N(AE462)+$AD463</f>
        <v>38</v>
      </c>
      <c r="AF463" s="1" t="n">
        <f aca="false">IF(AND($N463=1,AND(LEFT(对接源_01水果!$D463,4)="包装物料",N(对接源_01水果!$K463)&lt;&gt;0)),1,0)</f>
        <v>0</v>
      </c>
      <c r="AG463" s="90" t="str">
        <f aca="false">IF(对接源_01水果!$AC463="","",对接源_01水果!$AC463)</f>
        <v/>
      </c>
      <c r="AH463" s="1" t="n">
        <f aca="false">IF(AND($N463=1,AND(LEFT(对接源_01水果!$D463,3)="周转筐",N(对接源_01水果!$K463)&lt;&gt;0)),1,0)</f>
        <v>0</v>
      </c>
      <c r="AI463" s="90" t="n">
        <f aca="false">IF(AG463="",0,IF(MATCH(AG463,$AG$4:$AG$1203,0)=ROW()-3,1,0))</f>
        <v>0</v>
      </c>
      <c r="AJ463" s="90" t="n">
        <f aca="false">N(AJ462)+AI463</f>
        <v>4</v>
      </c>
      <c r="AK463" s="1" t="n">
        <f aca="false">N(AK462)+$AJ463</f>
        <v>712</v>
      </c>
    </row>
    <row r="464" customFormat="false" ht="13.5" hidden="false" customHeight="false" outlineLevel="0" collapsed="false">
      <c r="A464" s="1" t="str">
        <f aca="false">IF(对接源_01水果!$C464="","",对接源_01水果!$C464)</f>
        <v/>
      </c>
      <c r="B464" s="1" t="n">
        <f aca="false">IF(A464="",0,IF(MATCH(A464,$A$4:$A$2403,0)=ROW()-3,1,0))</f>
        <v>0</v>
      </c>
      <c r="C464" s="1" t="n">
        <f aca="false">N(C463)+B464</f>
        <v>13</v>
      </c>
      <c r="K464" s="1" t="n">
        <f aca="false">IF(OR($K$1="",对接源_01水果!$C464="",对接源_01水果!$C464&lt;&gt;$K$1,对接源_01水果!$B464=""),0,IF(OR(N(对接源_01水果!$B464)&lt;$K$2,N(对接源_01水果!$B464)&gt;$K$3),0,1))</f>
        <v>0</v>
      </c>
      <c r="L464" s="1" t="n">
        <f aca="false">IF(OR($L$1="",对接源_01水果!$C464="",对接源_01水果!$C464&lt;&gt;$L$1,对接源_01水果!$B464=""),0,IF(OR(N(对接源_01水果!$B464)&lt;$L$2,N(对接源_01水果!$B464)&gt;$L$3),0,1))</f>
        <v>0</v>
      </c>
      <c r="M464" s="1" t="n">
        <f aca="false">IF(OR($M$1="",对接源_01水果!$C464="",对接源_01水果!$C464&lt;&gt;$M$1,对接源_01水果!$B464=""),0,IF(OR(N(对接源_01水果!$B464)&lt;$M$2,N(对接源_01水果!$B464)&gt;$M$3),0,1))</f>
        <v>0</v>
      </c>
      <c r="N464" s="1" t="n">
        <f aca="false">IF(OR($N$1="",对接源_01水果!$C464="",对接源_01水果!$C464&lt;&gt;$N$1,对接源_01水果!$B464=""),0,IF(OR(N(对接源_01水果!$B464)&lt;$N$2,N(对接源_01水果!$B464)&gt;$N$3),0,1))</f>
        <v>0</v>
      </c>
      <c r="P464" s="1" t="n">
        <f aca="false">IF(AND($K464=1,AND(对接源_01水果!$X464="公司筐",N(对接源_01水果!$T464)&lt;&gt;0)),1,0)</f>
        <v>0</v>
      </c>
      <c r="Q464" s="1" t="n">
        <f aca="false">N(Q463)+$P464</f>
        <v>3</v>
      </c>
      <c r="R464" s="1" t="n">
        <f aca="false">IF(AND($K464=1,AND(对接源_01水果!$X464="公司筐",N(对接源_01水果!$U464)&lt;&gt;0)),1,0)</f>
        <v>0</v>
      </c>
      <c r="S464" s="1" t="n">
        <f aca="false">N(S463)+$R464</f>
        <v>0</v>
      </c>
      <c r="T464" s="1" t="n">
        <f aca="false">IF(AND($K464=1,AND(对接源_01水果!$X464="公司筐",N(对接源_01水果!$V464)&lt;&gt;0)),1,0)</f>
        <v>0</v>
      </c>
      <c r="U464" s="1" t="n">
        <f aca="false">N(U463)+$T464</f>
        <v>28</v>
      </c>
      <c r="V464" s="1" t="n">
        <f aca="false">IF(AND($L464=1,AND(对接源_01水果!$X464="自备筐",N(对接源_01水果!$V464)&lt;&gt;0)),1,0)</f>
        <v>0</v>
      </c>
      <c r="W464" s="1" t="n">
        <f aca="false">N(W463)+$V464</f>
        <v>7</v>
      </c>
      <c r="X464" s="1" t="n">
        <f aca="false">IF(AND($L464=1,AND(对接源_01水果!$X464="自备筐",N(对接源_01水果!$T464)&lt;&gt;0)),1,0)</f>
        <v>0</v>
      </c>
      <c r="Y464" s="1" t="n">
        <f aca="false">N(Y463)+$X464</f>
        <v>0</v>
      </c>
      <c r="Z464" s="1" t="n">
        <f aca="false">IF(AND($M464=1,对接源_01水果!$D464="原料入库"),1,0)</f>
        <v>0</v>
      </c>
      <c r="AA464" s="1" t="n">
        <f aca="false">N(AA463)+$Z464</f>
        <v>30</v>
      </c>
      <c r="AB464" s="1" t="n">
        <f aca="false">IF(AND($M464=1,LEFT(对接源_01水果!$D464,4)="原料出库"),1,0)</f>
        <v>0</v>
      </c>
      <c r="AC464" s="1" t="n">
        <f aca="false">N(AC463)+$AB464</f>
        <v>19</v>
      </c>
      <c r="AD464" s="1" t="n">
        <f aca="false">IF(AND($M464=1,LEFT(对接源_01水果!$D464,4)="成品出库"),1,0)</f>
        <v>0</v>
      </c>
      <c r="AE464" s="1" t="n">
        <f aca="false">N(AE463)+$AD464</f>
        <v>38</v>
      </c>
      <c r="AF464" s="1" t="n">
        <f aca="false">IF(AND($N464=1,AND(LEFT(对接源_01水果!$D464,4)="包装物料",N(对接源_01水果!$K464)&lt;&gt;0)),1,0)</f>
        <v>0</v>
      </c>
      <c r="AG464" s="90" t="str">
        <f aca="false">IF(对接源_01水果!$AC464="","",对接源_01水果!$AC464)</f>
        <v/>
      </c>
      <c r="AH464" s="1" t="n">
        <f aca="false">IF(AND($N464=1,AND(LEFT(对接源_01水果!$D464,3)="周转筐",N(对接源_01水果!$K464)&lt;&gt;0)),1,0)</f>
        <v>0</v>
      </c>
      <c r="AI464" s="90" t="n">
        <f aca="false">IF(AG464="",0,IF(MATCH(AG464,$AG$4:$AG$1203,0)=ROW()-3,1,0))</f>
        <v>0</v>
      </c>
      <c r="AJ464" s="90" t="n">
        <f aca="false">N(AJ463)+AI464</f>
        <v>4</v>
      </c>
      <c r="AK464" s="1" t="n">
        <f aca="false">N(AK463)+$AJ464</f>
        <v>716</v>
      </c>
    </row>
    <row r="465" customFormat="false" ht="13.5" hidden="false" customHeight="false" outlineLevel="0" collapsed="false">
      <c r="A465" s="1" t="str">
        <f aca="false">IF(对接源_01水果!$C465="","",对接源_01水果!$C465)</f>
        <v/>
      </c>
      <c r="B465" s="1" t="n">
        <f aca="false">IF(A465="",0,IF(MATCH(A465,$A$4:$A$2403,0)=ROW()-3,1,0))</f>
        <v>0</v>
      </c>
      <c r="C465" s="1" t="n">
        <f aca="false">N(C464)+B465</f>
        <v>13</v>
      </c>
      <c r="K465" s="1" t="n">
        <f aca="false">IF(OR($K$1="",对接源_01水果!$C465="",对接源_01水果!$C465&lt;&gt;$K$1,对接源_01水果!$B465=""),0,IF(OR(N(对接源_01水果!$B465)&lt;$K$2,N(对接源_01水果!$B465)&gt;$K$3),0,1))</f>
        <v>0</v>
      </c>
      <c r="L465" s="1" t="n">
        <f aca="false">IF(OR($L$1="",对接源_01水果!$C465="",对接源_01水果!$C465&lt;&gt;$L$1,对接源_01水果!$B465=""),0,IF(OR(N(对接源_01水果!$B465)&lt;$L$2,N(对接源_01水果!$B465)&gt;$L$3),0,1))</f>
        <v>0</v>
      </c>
      <c r="M465" s="1" t="n">
        <f aca="false">IF(OR($M$1="",对接源_01水果!$C465="",对接源_01水果!$C465&lt;&gt;$M$1,对接源_01水果!$B465=""),0,IF(OR(N(对接源_01水果!$B465)&lt;$M$2,N(对接源_01水果!$B465)&gt;$M$3),0,1))</f>
        <v>0</v>
      </c>
      <c r="N465" s="1" t="n">
        <f aca="false">IF(OR($N$1="",对接源_01水果!$C465="",对接源_01水果!$C465&lt;&gt;$N$1,对接源_01水果!$B465=""),0,IF(OR(N(对接源_01水果!$B465)&lt;$N$2,N(对接源_01水果!$B465)&gt;$N$3),0,1))</f>
        <v>0</v>
      </c>
      <c r="P465" s="1" t="n">
        <f aca="false">IF(AND($K465=1,AND(对接源_01水果!$X465="公司筐",N(对接源_01水果!$T465)&lt;&gt;0)),1,0)</f>
        <v>0</v>
      </c>
      <c r="Q465" s="1" t="n">
        <f aca="false">N(Q464)+$P465</f>
        <v>3</v>
      </c>
      <c r="R465" s="1" t="n">
        <f aca="false">IF(AND($K465=1,AND(对接源_01水果!$X465="公司筐",N(对接源_01水果!$U465)&lt;&gt;0)),1,0)</f>
        <v>0</v>
      </c>
      <c r="S465" s="1" t="n">
        <f aca="false">N(S464)+$R465</f>
        <v>0</v>
      </c>
      <c r="T465" s="1" t="n">
        <f aca="false">IF(AND($K465=1,AND(对接源_01水果!$X465="公司筐",N(对接源_01水果!$V465)&lt;&gt;0)),1,0)</f>
        <v>0</v>
      </c>
      <c r="U465" s="1" t="n">
        <f aca="false">N(U464)+$T465</f>
        <v>28</v>
      </c>
      <c r="V465" s="1" t="n">
        <f aca="false">IF(AND($L465=1,AND(对接源_01水果!$X465="自备筐",N(对接源_01水果!$V465)&lt;&gt;0)),1,0)</f>
        <v>0</v>
      </c>
      <c r="W465" s="1" t="n">
        <f aca="false">N(W464)+$V465</f>
        <v>7</v>
      </c>
      <c r="X465" s="1" t="n">
        <f aca="false">IF(AND($L465=1,AND(对接源_01水果!$X465="自备筐",N(对接源_01水果!$T465)&lt;&gt;0)),1,0)</f>
        <v>0</v>
      </c>
      <c r="Y465" s="1" t="n">
        <f aca="false">N(Y464)+$X465</f>
        <v>0</v>
      </c>
      <c r="Z465" s="1" t="n">
        <f aca="false">IF(AND($M465=1,对接源_01水果!$D465="原料入库"),1,0)</f>
        <v>0</v>
      </c>
      <c r="AA465" s="1" t="n">
        <f aca="false">N(AA464)+$Z465</f>
        <v>30</v>
      </c>
      <c r="AB465" s="1" t="n">
        <f aca="false">IF(AND($M465=1,LEFT(对接源_01水果!$D465,4)="原料出库"),1,0)</f>
        <v>0</v>
      </c>
      <c r="AC465" s="1" t="n">
        <f aca="false">N(AC464)+$AB465</f>
        <v>19</v>
      </c>
      <c r="AD465" s="1" t="n">
        <f aca="false">IF(AND($M465=1,LEFT(对接源_01水果!$D465,4)="成品出库"),1,0)</f>
        <v>0</v>
      </c>
      <c r="AE465" s="1" t="n">
        <f aca="false">N(AE464)+$AD465</f>
        <v>38</v>
      </c>
      <c r="AF465" s="1" t="n">
        <f aca="false">IF(AND($N465=1,AND(LEFT(对接源_01水果!$D465,4)="包装物料",N(对接源_01水果!$K465)&lt;&gt;0)),1,0)</f>
        <v>0</v>
      </c>
      <c r="AG465" s="90" t="str">
        <f aca="false">IF(对接源_01水果!$AC465="","",对接源_01水果!$AC465)</f>
        <v/>
      </c>
      <c r="AH465" s="1" t="n">
        <f aca="false">IF(AND($N465=1,AND(LEFT(对接源_01水果!$D465,3)="周转筐",N(对接源_01水果!$K465)&lt;&gt;0)),1,0)</f>
        <v>0</v>
      </c>
      <c r="AI465" s="90" t="n">
        <f aca="false">IF(AG465="",0,IF(MATCH(AG465,$AG$4:$AG$1203,0)=ROW()-3,1,0))</f>
        <v>0</v>
      </c>
      <c r="AJ465" s="90" t="n">
        <f aca="false">N(AJ464)+AI465</f>
        <v>4</v>
      </c>
      <c r="AK465" s="1" t="n">
        <f aca="false">N(AK464)+$AJ465</f>
        <v>720</v>
      </c>
    </row>
    <row r="466" customFormat="false" ht="13.5" hidden="false" customHeight="false" outlineLevel="0" collapsed="false">
      <c r="A466" s="1" t="str">
        <f aca="false">IF(对接源_01水果!$C466="","",对接源_01水果!$C466)</f>
        <v/>
      </c>
      <c r="B466" s="1" t="n">
        <f aca="false">IF(A466="",0,IF(MATCH(A466,$A$4:$A$2403,0)=ROW()-3,1,0))</f>
        <v>0</v>
      </c>
      <c r="C466" s="1" t="n">
        <f aca="false">N(C465)+B466</f>
        <v>13</v>
      </c>
      <c r="K466" s="1" t="n">
        <f aca="false">IF(OR($K$1="",对接源_01水果!$C466="",对接源_01水果!$C466&lt;&gt;$K$1,对接源_01水果!$B466=""),0,IF(OR(N(对接源_01水果!$B466)&lt;$K$2,N(对接源_01水果!$B466)&gt;$K$3),0,1))</f>
        <v>0</v>
      </c>
      <c r="L466" s="1" t="n">
        <f aca="false">IF(OR($L$1="",对接源_01水果!$C466="",对接源_01水果!$C466&lt;&gt;$L$1,对接源_01水果!$B466=""),0,IF(OR(N(对接源_01水果!$B466)&lt;$L$2,N(对接源_01水果!$B466)&gt;$L$3),0,1))</f>
        <v>0</v>
      </c>
      <c r="M466" s="1" t="n">
        <f aca="false">IF(OR($M$1="",对接源_01水果!$C466="",对接源_01水果!$C466&lt;&gt;$M$1,对接源_01水果!$B466=""),0,IF(OR(N(对接源_01水果!$B466)&lt;$M$2,N(对接源_01水果!$B466)&gt;$M$3),0,1))</f>
        <v>0</v>
      </c>
      <c r="N466" s="1" t="n">
        <f aca="false">IF(OR($N$1="",对接源_01水果!$C466="",对接源_01水果!$C466&lt;&gt;$N$1,对接源_01水果!$B466=""),0,IF(OR(N(对接源_01水果!$B466)&lt;$N$2,N(对接源_01水果!$B466)&gt;$N$3),0,1))</f>
        <v>0</v>
      </c>
      <c r="P466" s="1" t="n">
        <f aca="false">IF(AND($K466=1,AND(对接源_01水果!$X466="公司筐",N(对接源_01水果!$T466)&lt;&gt;0)),1,0)</f>
        <v>0</v>
      </c>
      <c r="Q466" s="1" t="n">
        <f aca="false">N(Q465)+$P466</f>
        <v>3</v>
      </c>
      <c r="R466" s="1" t="n">
        <f aca="false">IF(AND($K466=1,AND(对接源_01水果!$X466="公司筐",N(对接源_01水果!$U466)&lt;&gt;0)),1,0)</f>
        <v>0</v>
      </c>
      <c r="S466" s="1" t="n">
        <f aca="false">N(S465)+$R466</f>
        <v>0</v>
      </c>
      <c r="T466" s="1" t="n">
        <f aca="false">IF(AND($K466=1,AND(对接源_01水果!$X466="公司筐",N(对接源_01水果!$V466)&lt;&gt;0)),1,0)</f>
        <v>0</v>
      </c>
      <c r="U466" s="1" t="n">
        <f aca="false">N(U465)+$T466</f>
        <v>28</v>
      </c>
      <c r="V466" s="1" t="n">
        <f aca="false">IF(AND($L466=1,AND(对接源_01水果!$X466="自备筐",N(对接源_01水果!$V466)&lt;&gt;0)),1,0)</f>
        <v>0</v>
      </c>
      <c r="W466" s="1" t="n">
        <f aca="false">N(W465)+$V466</f>
        <v>7</v>
      </c>
      <c r="X466" s="1" t="n">
        <f aca="false">IF(AND($L466=1,AND(对接源_01水果!$X466="自备筐",N(对接源_01水果!$T466)&lt;&gt;0)),1,0)</f>
        <v>0</v>
      </c>
      <c r="Y466" s="1" t="n">
        <f aca="false">N(Y465)+$X466</f>
        <v>0</v>
      </c>
      <c r="Z466" s="1" t="n">
        <f aca="false">IF(AND($M466=1,对接源_01水果!$D466="原料入库"),1,0)</f>
        <v>0</v>
      </c>
      <c r="AA466" s="1" t="n">
        <f aca="false">N(AA465)+$Z466</f>
        <v>30</v>
      </c>
      <c r="AB466" s="1" t="n">
        <f aca="false">IF(AND($M466=1,LEFT(对接源_01水果!$D466,4)="原料出库"),1,0)</f>
        <v>0</v>
      </c>
      <c r="AC466" s="1" t="n">
        <f aca="false">N(AC465)+$AB466</f>
        <v>19</v>
      </c>
      <c r="AD466" s="1" t="n">
        <f aca="false">IF(AND($M466=1,LEFT(对接源_01水果!$D466,4)="成品出库"),1,0)</f>
        <v>0</v>
      </c>
      <c r="AE466" s="1" t="n">
        <f aca="false">N(AE465)+$AD466</f>
        <v>38</v>
      </c>
      <c r="AF466" s="1" t="n">
        <f aca="false">IF(AND($N466=1,AND(LEFT(对接源_01水果!$D466,4)="包装物料",N(对接源_01水果!$K466)&lt;&gt;0)),1,0)</f>
        <v>0</v>
      </c>
      <c r="AG466" s="90" t="str">
        <f aca="false">IF(对接源_01水果!$AC466="","",对接源_01水果!$AC466)</f>
        <v/>
      </c>
      <c r="AH466" s="1" t="n">
        <f aca="false">IF(AND($N466=1,AND(LEFT(对接源_01水果!$D466,3)="周转筐",N(对接源_01水果!$K466)&lt;&gt;0)),1,0)</f>
        <v>0</v>
      </c>
      <c r="AI466" s="90" t="n">
        <f aca="false">IF(AG466="",0,IF(MATCH(AG466,$AG$4:$AG$1203,0)=ROW()-3,1,0))</f>
        <v>0</v>
      </c>
      <c r="AJ466" s="90" t="n">
        <f aca="false">N(AJ465)+AI466</f>
        <v>4</v>
      </c>
      <c r="AK466" s="1" t="n">
        <f aca="false">N(AK465)+$AJ466</f>
        <v>724</v>
      </c>
    </row>
    <row r="467" customFormat="false" ht="13.5" hidden="false" customHeight="false" outlineLevel="0" collapsed="false">
      <c r="A467" s="1" t="str">
        <f aca="false">IF(对接源_01水果!$C467="","",对接源_01水果!$C467)</f>
        <v/>
      </c>
      <c r="B467" s="1" t="n">
        <f aca="false">IF(A467="",0,IF(MATCH(A467,$A$4:$A$2403,0)=ROW()-3,1,0))</f>
        <v>0</v>
      </c>
      <c r="C467" s="1" t="n">
        <f aca="false">N(C466)+B467</f>
        <v>13</v>
      </c>
      <c r="K467" s="1" t="n">
        <f aca="false">IF(OR($K$1="",对接源_01水果!$C467="",对接源_01水果!$C467&lt;&gt;$K$1,对接源_01水果!$B467=""),0,IF(OR(N(对接源_01水果!$B467)&lt;$K$2,N(对接源_01水果!$B467)&gt;$K$3),0,1))</f>
        <v>0</v>
      </c>
      <c r="L467" s="1" t="n">
        <f aca="false">IF(OR($L$1="",对接源_01水果!$C467="",对接源_01水果!$C467&lt;&gt;$L$1,对接源_01水果!$B467=""),0,IF(OR(N(对接源_01水果!$B467)&lt;$L$2,N(对接源_01水果!$B467)&gt;$L$3),0,1))</f>
        <v>0</v>
      </c>
      <c r="M467" s="1" t="n">
        <f aca="false">IF(OR($M$1="",对接源_01水果!$C467="",对接源_01水果!$C467&lt;&gt;$M$1,对接源_01水果!$B467=""),0,IF(OR(N(对接源_01水果!$B467)&lt;$M$2,N(对接源_01水果!$B467)&gt;$M$3),0,1))</f>
        <v>0</v>
      </c>
      <c r="N467" s="1" t="n">
        <f aca="false">IF(OR($N$1="",对接源_01水果!$C467="",对接源_01水果!$C467&lt;&gt;$N$1,对接源_01水果!$B467=""),0,IF(OR(N(对接源_01水果!$B467)&lt;$N$2,N(对接源_01水果!$B467)&gt;$N$3),0,1))</f>
        <v>0</v>
      </c>
      <c r="P467" s="1" t="n">
        <f aca="false">IF(AND($K467=1,AND(对接源_01水果!$X467="公司筐",N(对接源_01水果!$T467)&lt;&gt;0)),1,0)</f>
        <v>0</v>
      </c>
      <c r="Q467" s="1" t="n">
        <f aca="false">N(Q466)+$P467</f>
        <v>3</v>
      </c>
      <c r="R467" s="1" t="n">
        <f aca="false">IF(AND($K467=1,AND(对接源_01水果!$X467="公司筐",N(对接源_01水果!$U467)&lt;&gt;0)),1,0)</f>
        <v>0</v>
      </c>
      <c r="S467" s="1" t="n">
        <f aca="false">N(S466)+$R467</f>
        <v>0</v>
      </c>
      <c r="T467" s="1" t="n">
        <f aca="false">IF(AND($K467=1,AND(对接源_01水果!$X467="公司筐",N(对接源_01水果!$V467)&lt;&gt;0)),1,0)</f>
        <v>0</v>
      </c>
      <c r="U467" s="1" t="n">
        <f aca="false">N(U466)+$T467</f>
        <v>28</v>
      </c>
      <c r="V467" s="1" t="n">
        <f aca="false">IF(AND($L467=1,AND(对接源_01水果!$X467="自备筐",N(对接源_01水果!$V467)&lt;&gt;0)),1,0)</f>
        <v>0</v>
      </c>
      <c r="W467" s="1" t="n">
        <f aca="false">N(W466)+$V467</f>
        <v>7</v>
      </c>
      <c r="X467" s="1" t="n">
        <f aca="false">IF(AND($L467=1,AND(对接源_01水果!$X467="自备筐",N(对接源_01水果!$T467)&lt;&gt;0)),1,0)</f>
        <v>0</v>
      </c>
      <c r="Y467" s="1" t="n">
        <f aca="false">N(Y466)+$X467</f>
        <v>0</v>
      </c>
      <c r="Z467" s="1" t="n">
        <f aca="false">IF(AND($M467=1,对接源_01水果!$D467="原料入库"),1,0)</f>
        <v>0</v>
      </c>
      <c r="AA467" s="1" t="n">
        <f aca="false">N(AA466)+$Z467</f>
        <v>30</v>
      </c>
      <c r="AB467" s="1" t="n">
        <f aca="false">IF(AND($M467=1,LEFT(对接源_01水果!$D467,4)="原料出库"),1,0)</f>
        <v>0</v>
      </c>
      <c r="AC467" s="1" t="n">
        <f aca="false">N(AC466)+$AB467</f>
        <v>19</v>
      </c>
      <c r="AD467" s="1" t="n">
        <f aca="false">IF(AND($M467=1,LEFT(对接源_01水果!$D467,4)="成品出库"),1,0)</f>
        <v>0</v>
      </c>
      <c r="AE467" s="1" t="n">
        <f aca="false">N(AE466)+$AD467</f>
        <v>38</v>
      </c>
      <c r="AF467" s="1" t="n">
        <f aca="false">IF(AND($N467=1,AND(LEFT(对接源_01水果!$D467,4)="包装物料",N(对接源_01水果!$K467)&lt;&gt;0)),1,0)</f>
        <v>0</v>
      </c>
      <c r="AG467" s="90" t="str">
        <f aca="false">IF(对接源_01水果!$AC467="","",对接源_01水果!$AC467)</f>
        <v/>
      </c>
      <c r="AH467" s="1" t="n">
        <f aca="false">IF(AND($N467=1,AND(LEFT(对接源_01水果!$D467,3)="周转筐",N(对接源_01水果!$K467)&lt;&gt;0)),1,0)</f>
        <v>0</v>
      </c>
      <c r="AI467" s="90" t="n">
        <f aca="false">IF(AG467="",0,IF(MATCH(AG467,$AG$4:$AG$1203,0)=ROW()-3,1,0))</f>
        <v>0</v>
      </c>
      <c r="AJ467" s="90" t="n">
        <f aca="false">N(AJ466)+AI467</f>
        <v>4</v>
      </c>
      <c r="AK467" s="1" t="n">
        <f aca="false">N(AK466)+$AJ467</f>
        <v>728</v>
      </c>
    </row>
    <row r="468" customFormat="false" ht="13.5" hidden="false" customHeight="false" outlineLevel="0" collapsed="false">
      <c r="A468" s="1" t="str">
        <f aca="false">IF(对接源_01水果!$C468="","",对接源_01水果!$C468)</f>
        <v/>
      </c>
      <c r="B468" s="1" t="n">
        <f aca="false">IF(A468="",0,IF(MATCH(A468,$A$4:$A$2403,0)=ROW()-3,1,0))</f>
        <v>0</v>
      </c>
      <c r="C468" s="1" t="n">
        <f aca="false">N(C467)+B468</f>
        <v>13</v>
      </c>
      <c r="K468" s="1" t="n">
        <f aca="false">IF(OR($K$1="",对接源_01水果!$C468="",对接源_01水果!$C468&lt;&gt;$K$1,对接源_01水果!$B468=""),0,IF(OR(N(对接源_01水果!$B468)&lt;$K$2,N(对接源_01水果!$B468)&gt;$K$3),0,1))</f>
        <v>0</v>
      </c>
      <c r="L468" s="1" t="n">
        <f aca="false">IF(OR($L$1="",对接源_01水果!$C468="",对接源_01水果!$C468&lt;&gt;$L$1,对接源_01水果!$B468=""),0,IF(OR(N(对接源_01水果!$B468)&lt;$L$2,N(对接源_01水果!$B468)&gt;$L$3),0,1))</f>
        <v>0</v>
      </c>
      <c r="M468" s="1" t="n">
        <f aca="false">IF(OR($M$1="",对接源_01水果!$C468="",对接源_01水果!$C468&lt;&gt;$M$1,对接源_01水果!$B468=""),0,IF(OR(N(对接源_01水果!$B468)&lt;$M$2,N(对接源_01水果!$B468)&gt;$M$3),0,1))</f>
        <v>0</v>
      </c>
      <c r="N468" s="1" t="n">
        <f aca="false">IF(OR($N$1="",对接源_01水果!$C468="",对接源_01水果!$C468&lt;&gt;$N$1,对接源_01水果!$B468=""),0,IF(OR(N(对接源_01水果!$B468)&lt;$N$2,N(对接源_01水果!$B468)&gt;$N$3),0,1))</f>
        <v>0</v>
      </c>
      <c r="P468" s="1" t="n">
        <f aca="false">IF(AND($K468=1,AND(对接源_01水果!$X468="公司筐",N(对接源_01水果!$T468)&lt;&gt;0)),1,0)</f>
        <v>0</v>
      </c>
      <c r="Q468" s="1" t="n">
        <f aca="false">N(Q467)+$P468</f>
        <v>3</v>
      </c>
      <c r="R468" s="1" t="n">
        <f aca="false">IF(AND($K468=1,AND(对接源_01水果!$X468="公司筐",N(对接源_01水果!$U468)&lt;&gt;0)),1,0)</f>
        <v>0</v>
      </c>
      <c r="S468" s="1" t="n">
        <f aca="false">N(S467)+$R468</f>
        <v>0</v>
      </c>
      <c r="T468" s="1" t="n">
        <f aca="false">IF(AND($K468=1,AND(对接源_01水果!$X468="公司筐",N(对接源_01水果!$V468)&lt;&gt;0)),1,0)</f>
        <v>0</v>
      </c>
      <c r="U468" s="1" t="n">
        <f aca="false">N(U467)+$T468</f>
        <v>28</v>
      </c>
      <c r="V468" s="1" t="n">
        <f aca="false">IF(AND($L468=1,AND(对接源_01水果!$X468="自备筐",N(对接源_01水果!$V468)&lt;&gt;0)),1,0)</f>
        <v>0</v>
      </c>
      <c r="W468" s="1" t="n">
        <f aca="false">N(W467)+$V468</f>
        <v>7</v>
      </c>
      <c r="X468" s="1" t="n">
        <f aca="false">IF(AND($L468=1,AND(对接源_01水果!$X468="自备筐",N(对接源_01水果!$T468)&lt;&gt;0)),1,0)</f>
        <v>0</v>
      </c>
      <c r="Y468" s="1" t="n">
        <f aca="false">N(Y467)+$X468</f>
        <v>0</v>
      </c>
      <c r="Z468" s="1" t="n">
        <f aca="false">IF(AND($M468=1,对接源_01水果!$D468="原料入库"),1,0)</f>
        <v>0</v>
      </c>
      <c r="AA468" s="1" t="n">
        <f aca="false">N(AA467)+$Z468</f>
        <v>30</v>
      </c>
      <c r="AB468" s="1" t="n">
        <f aca="false">IF(AND($M468=1,LEFT(对接源_01水果!$D468,4)="原料出库"),1,0)</f>
        <v>0</v>
      </c>
      <c r="AC468" s="1" t="n">
        <f aca="false">N(AC467)+$AB468</f>
        <v>19</v>
      </c>
      <c r="AD468" s="1" t="n">
        <f aca="false">IF(AND($M468=1,LEFT(对接源_01水果!$D468,4)="成品出库"),1,0)</f>
        <v>0</v>
      </c>
      <c r="AE468" s="1" t="n">
        <f aca="false">N(AE467)+$AD468</f>
        <v>38</v>
      </c>
      <c r="AF468" s="1" t="n">
        <f aca="false">IF(AND($N468=1,AND(LEFT(对接源_01水果!$D468,4)="包装物料",N(对接源_01水果!$K468)&lt;&gt;0)),1,0)</f>
        <v>0</v>
      </c>
      <c r="AG468" s="90" t="str">
        <f aca="false">IF(对接源_01水果!$AC468="","",对接源_01水果!$AC468)</f>
        <v/>
      </c>
      <c r="AH468" s="1" t="n">
        <f aca="false">IF(AND($N468=1,AND(LEFT(对接源_01水果!$D468,3)="周转筐",N(对接源_01水果!$K468)&lt;&gt;0)),1,0)</f>
        <v>0</v>
      </c>
      <c r="AI468" s="90" t="n">
        <f aca="false">IF(AG468="",0,IF(MATCH(AG468,$AG$4:$AG$1203,0)=ROW()-3,1,0))</f>
        <v>0</v>
      </c>
      <c r="AJ468" s="90" t="n">
        <f aca="false">N(AJ467)+AI468</f>
        <v>4</v>
      </c>
      <c r="AK468" s="1" t="n">
        <f aca="false">N(AK467)+$AJ468</f>
        <v>732</v>
      </c>
    </row>
    <row r="469" customFormat="false" ht="13.5" hidden="false" customHeight="false" outlineLevel="0" collapsed="false">
      <c r="A469" s="1" t="str">
        <f aca="false">IF(对接源_01水果!$C469="","",对接源_01水果!$C469)</f>
        <v/>
      </c>
      <c r="B469" s="1" t="n">
        <f aca="false">IF(A469="",0,IF(MATCH(A469,$A$4:$A$2403,0)=ROW()-3,1,0))</f>
        <v>0</v>
      </c>
      <c r="C469" s="1" t="n">
        <f aca="false">N(C468)+B469</f>
        <v>13</v>
      </c>
      <c r="K469" s="1" t="n">
        <f aca="false">IF(OR($K$1="",对接源_01水果!$C469="",对接源_01水果!$C469&lt;&gt;$K$1,对接源_01水果!$B469=""),0,IF(OR(N(对接源_01水果!$B469)&lt;$K$2,N(对接源_01水果!$B469)&gt;$K$3),0,1))</f>
        <v>0</v>
      </c>
      <c r="L469" s="1" t="n">
        <f aca="false">IF(OR($L$1="",对接源_01水果!$C469="",对接源_01水果!$C469&lt;&gt;$L$1,对接源_01水果!$B469=""),0,IF(OR(N(对接源_01水果!$B469)&lt;$L$2,N(对接源_01水果!$B469)&gt;$L$3),0,1))</f>
        <v>0</v>
      </c>
      <c r="M469" s="1" t="n">
        <f aca="false">IF(OR($M$1="",对接源_01水果!$C469="",对接源_01水果!$C469&lt;&gt;$M$1,对接源_01水果!$B469=""),0,IF(OR(N(对接源_01水果!$B469)&lt;$M$2,N(对接源_01水果!$B469)&gt;$M$3),0,1))</f>
        <v>0</v>
      </c>
      <c r="N469" s="1" t="n">
        <f aca="false">IF(OR($N$1="",对接源_01水果!$C469="",对接源_01水果!$C469&lt;&gt;$N$1,对接源_01水果!$B469=""),0,IF(OR(N(对接源_01水果!$B469)&lt;$N$2,N(对接源_01水果!$B469)&gt;$N$3),0,1))</f>
        <v>0</v>
      </c>
      <c r="P469" s="1" t="n">
        <f aca="false">IF(AND($K469=1,AND(对接源_01水果!$X469="公司筐",N(对接源_01水果!$T469)&lt;&gt;0)),1,0)</f>
        <v>0</v>
      </c>
      <c r="Q469" s="1" t="n">
        <f aca="false">N(Q468)+$P469</f>
        <v>3</v>
      </c>
      <c r="R469" s="1" t="n">
        <f aca="false">IF(AND($K469=1,AND(对接源_01水果!$X469="公司筐",N(对接源_01水果!$U469)&lt;&gt;0)),1,0)</f>
        <v>0</v>
      </c>
      <c r="S469" s="1" t="n">
        <f aca="false">N(S468)+$R469</f>
        <v>0</v>
      </c>
      <c r="T469" s="1" t="n">
        <f aca="false">IF(AND($K469=1,AND(对接源_01水果!$X469="公司筐",N(对接源_01水果!$V469)&lt;&gt;0)),1,0)</f>
        <v>0</v>
      </c>
      <c r="U469" s="1" t="n">
        <f aca="false">N(U468)+$T469</f>
        <v>28</v>
      </c>
      <c r="V469" s="1" t="n">
        <f aca="false">IF(AND($L469=1,AND(对接源_01水果!$X469="自备筐",N(对接源_01水果!$V469)&lt;&gt;0)),1,0)</f>
        <v>0</v>
      </c>
      <c r="W469" s="1" t="n">
        <f aca="false">N(W468)+$V469</f>
        <v>7</v>
      </c>
      <c r="X469" s="1" t="n">
        <f aca="false">IF(AND($L469=1,AND(对接源_01水果!$X469="自备筐",N(对接源_01水果!$T469)&lt;&gt;0)),1,0)</f>
        <v>0</v>
      </c>
      <c r="Y469" s="1" t="n">
        <f aca="false">N(Y468)+$X469</f>
        <v>0</v>
      </c>
      <c r="Z469" s="1" t="n">
        <f aca="false">IF(AND($M469=1,对接源_01水果!$D469="原料入库"),1,0)</f>
        <v>0</v>
      </c>
      <c r="AA469" s="1" t="n">
        <f aca="false">N(AA468)+$Z469</f>
        <v>30</v>
      </c>
      <c r="AB469" s="1" t="n">
        <f aca="false">IF(AND($M469=1,LEFT(对接源_01水果!$D469,4)="原料出库"),1,0)</f>
        <v>0</v>
      </c>
      <c r="AC469" s="1" t="n">
        <f aca="false">N(AC468)+$AB469</f>
        <v>19</v>
      </c>
      <c r="AD469" s="1" t="n">
        <f aca="false">IF(AND($M469=1,LEFT(对接源_01水果!$D469,4)="成品出库"),1,0)</f>
        <v>0</v>
      </c>
      <c r="AE469" s="1" t="n">
        <f aca="false">N(AE468)+$AD469</f>
        <v>38</v>
      </c>
      <c r="AF469" s="1" t="n">
        <f aca="false">IF(AND($N469=1,AND(LEFT(对接源_01水果!$D469,4)="包装物料",N(对接源_01水果!$K469)&lt;&gt;0)),1,0)</f>
        <v>0</v>
      </c>
      <c r="AG469" s="90" t="str">
        <f aca="false">IF(对接源_01水果!$AC469="","",对接源_01水果!$AC469)</f>
        <v/>
      </c>
      <c r="AH469" s="1" t="n">
        <f aca="false">IF(AND($N469=1,AND(LEFT(对接源_01水果!$D469,3)="周转筐",N(对接源_01水果!$K469)&lt;&gt;0)),1,0)</f>
        <v>0</v>
      </c>
      <c r="AI469" s="90" t="n">
        <f aca="false">IF(AG469="",0,IF(MATCH(AG469,$AG$4:$AG$1203,0)=ROW()-3,1,0))</f>
        <v>0</v>
      </c>
      <c r="AJ469" s="90" t="n">
        <f aca="false">N(AJ468)+AI469</f>
        <v>4</v>
      </c>
      <c r="AK469" s="1" t="n">
        <f aca="false">N(AK468)+$AJ469</f>
        <v>736</v>
      </c>
    </row>
    <row r="470" customFormat="false" ht="13.5" hidden="false" customHeight="false" outlineLevel="0" collapsed="false">
      <c r="A470" s="1" t="str">
        <f aca="false">IF(对接源_01水果!$C470="","",对接源_01水果!$C470)</f>
        <v/>
      </c>
      <c r="B470" s="1" t="n">
        <f aca="false">IF(A470="",0,IF(MATCH(A470,$A$4:$A$2403,0)=ROW()-3,1,0))</f>
        <v>0</v>
      </c>
      <c r="C470" s="1" t="n">
        <f aca="false">N(C469)+B470</f>
        <v>13</v>
      </c>
      <c r="K470" s="1" t="n">
        <f aca="false">IF(OR($K$1="",对接源_01水果!$C470="",对接源_01水果!$C470&lt;&gt;$K$1,对接源_01水果!$B470=""),0,IF(OR(N(对接源_01水果!$B470)&lt;$K$2,N(对接源_01水果!$B470)&gt;$K$3),0,1))</f>
        <v>0</v>
      </c>
      <c r="L470" s="1" t="n">
        <f aca="false">IF(OR($L$1="",对接源_01水果!$C470="",对接源_01水果!$C470&lt;&gt;$L$1,对接源_01水果!$B470=""),0,IF(OR(N(对接源_01水果!$B470)&lt;$L$2,N(对接源_01水果!$B470)&gt;$L$3),0,1))</f>
        <v>0</v>
      </c>
      <c r="M470" s="1" t="n">
        <f aca="false">IF(OR($M$1="",对接源_01水果!$C470="",对接源_01水果!$C470&lt;&gt;$M$1,对接源_01水果!$B470=""),0,IF(OR(N(对接源_01水果!$B470)&lt;$M$2,N(对接源_01水果!$B470)&gt;$M$3),0,1))</f>
        <v>0</v>
      </c>
      <c r="N470" s="1" t="n">
        <f aca="false">IF(OR($N$1="",对接源_01水果!$C470="",对接源_01水果!$C470&lt;&gt;$N$1,对接源_01水果!$B470=""),0,IF(OR(N(对接源_01水果!$B470)&lt;$N$2,N(对接源_01水果!$B470)&gt;$N$3),0,1))</f>
        <v>0</v>
      </c>
      <c r="P470" s="1" t="n">
        <f aca="false">IF(AND($K470=1,AND(对接源_01水果!$X470="公司筐",N(对接源_01水果!$T470)&lt;&gt;0)),1,0)</f>
        <v>0</v>
      </c>
      <c r="Q470" s="1" t="n">
        <f aca="false">N(Q469)+$P470</f>
        <v>3</v>
      </c>
      <c r="R470" s="1" t="n">
        <f aca="false">IF(AND($K470=1,AND(对接源_01水果!$X470="公司筐",N(对接源_01水果!$U470)&lt;&gt;0)),1,0)</f>
        <v>0</v>
      </c>
      <c r="S470" s="1" t="n">
        <f aca="false">N(S469)+$R470</f>
        <v>0</v>
      </c>
      <c r="T470" s="1" t="n">
        <f aca="false">IF(AND($K470=1,AND(对接源_01水果!$X470="公司筐",N(对接源_01水果!$V470)&lt;&gt;0)),1,0)</f>
        <v>0</v>
      </c>
      <c r="U470" s="1" t="n">
        <f aca="false">N(U469)+$T470</f>
        <v>28</v>
      </c>
      <c r="V470" s="1" t="n">
        <f aca="false">IF(AND($L470=1,AND(对接源_01水果!$X470="自备筐",N(对接源_01水果!$V470)&lt;&gt;0)),1,0)</f>
        <v>0</v>
      </c>
      <c r="W470" s="1" t="n">
        <f aca="false">N(W469)+$V470</f>
        <v>7</v>
      </c>
      <c r="X470" s="1" t="n">
        <f aca="false">IF(AND($L470=1,AND(对接源_01水果!$X470="自备筐",N(对接源_01水果!$T470)&lt;&gt;0)),1,0)</f>
        <v>0</v>
      </c>
      <c r="Y470" s="1" t="n">
        <f aca="false">N(Y469)+$X470</f>
        <v>0</v>
      </c>
      <c r="Z470" s="1" t="n">
        <f aca="false">IF(AND($M470=1,对接源_01水果!$D470="原料入库"),1,0)</f>
        <v>0</v>
      </c>
      <c r="AA470" s="1" t="n">
        <f aca="false">N(AA469)+$Z470</f>
        <v>30</v>
      </c>
      <c r="AB470" s="1" t="n">
        <f aca="false">IF(AND($M470=1,LEFT(对接源_01水果!$D470,4)="原料出库"),1,0)</f>
        <v>0</v>
      </c>
      <c r="AC470" s="1" t="n">
        <f aca="false">N(AC469)+$AB470</f>
        <v>19</v>
      </c>
      <c r="AD470" s="1" t="n">
        <f aca="false">IF(AND($M470=1,LEFT(对接源_01水果!$D470,4)="成品出库"),1,0)</f>
        <v>0</v>
      </c>
      <c r="AE470" s="1" t="n">
        <f aca="false">N(AE469)+$AD470</f>
        <v>38</v>
      </c>
      <c r="AF470" s="1" t="n">
        <f aca="false">IF(AND($N470=1,AND(LEFT(对接源_01水果!$D470,4)="包装物料",N(对接源_01水果!$K470)&lt;&gt;0)),1,0)</f>
        <v>0</v>
      </c>
      <c r="AG470" s="90" t="str">
        <f aca="false">IF(对接源_01水果!$AC470="","",对接源_01水果!$AC470)</f>
        <v/>
      </c>
      <c r="AH470" s="1" t="n">
        <f aca="false">IF(AND($N470=1,AND(LEFT(对接源_01水果!$D470,3)="周转筐",N(对接源_01水果!$K470)&lt;&gt;0)),1,0)</f>
        <v>0</v>
      </c>
      <c r="AI470" s="90" t="n">
        <f aca="false">IF(AG470="",0,IF(MATCH(AG470,$AG$4:$AG$1203,0)=ROW()-3,1,0))</f>
        <v>0</v>
      </c>
      <c r="AJ470" s="90" t="n">
        <f aca="false">N(AJ469)+AI470</f>
        <v>4</v>
      </c>
      <c r="AK470" s="1" t="n">
        <f aca="false">N(AK469)+$AJ470</f>
        <v>740</v>
      </c>
    </row>
    <row r="471" customFormat="false" ht="13.5" hidden="false" customHeight="false" outlineLevel="0" collapsed="false">
      <c r="A471" s="1" t="str">
        <f aca="false">IF(对接源_01水果!$C471="","",对接源_01水果!$C471)</f>
        <v/>
      </c>
      <c r="B471" s="1" t="n">
        <f aca="false">IF(A471="",0,IF(MATCH(A471,$A$4:$A$2403,0)=ROW()-3,1,0))</f>
        <v>0</v>
      </c>
      <c r="C471" s="1" t="n">
        <f aca="false">N(C470)+B471</f>
        <v>13</v>
      </c>
      <c r="K471" s="1" t="n">
        <f aca="false">IF(OR($K$1="",对接源_01水果!$C471="",对接源_01水果!$C471&lt;&gt;$K$1,对接源_01水果!$B471=""),0,IF(OR(N(对接源_01水果!$B471)&lt;$K$2,N(对接源_01水果!$B471)&gt;$K$3),0,1))</f>
        <v>0</v>
      </c>
      <c r="L471" s="1" t="n">
        <f aca="false">IF(OR($L$1="",对接源_01水果!$C471="",对接源_01水果!$C471&lt;&gt;$L$1,对接源_01水果!$B471=""),0,IF(OR(N(对接源_01水果!$B471)&lt;$L$2,N(对接源_01水果!$B471)&gt;$L$3),0,1))</f>
        <v>0</v>
      </c>
      <c r="M471" s="1" t="n">
        <f aca="false">IF(OR($M$1="",对接源_01水果!$C471="",对接源_01水果!$C471&lt;&gt;$M$1,对接源_01水果!$B471=""),0,IF(OR(N(对接源_01水果!$B471)&lt;$M$2,N(对接源_01水果!$B471)&gt;$M$3),0,1))</f>
        <v>0</v>
      </c>
      <c r="N471" s="1" t="n">
        <f aca="false">IF(OR($N$1="",对接源_01水果!$C471="",对接源_01水果!$C471&lt;&gt;$N$1,对接源_01水果!$B471=""),0,IF(OR(N(对接源_01水果!$B471)&lt;$N$2,N(对接源_01水果!$B471)&gt;$N$3),0,1))</f>
        <v>0</v>
      </c>
      <c r="P471" s="1" t="n">
        <f aca="false">IF(AND($K471=1,AND(对接源_01水果!$X471="公司筐",N(对接源_01水果!$T471)&lt;&gt;0)),1,0)</f>
        <v>0</v>
      </c>
      <c r="Q471" s="1" t="n">
        <f aca="false">N(Q470)+$P471</f>
        <v>3</v>
      </c>
      <c r="R471" s="1" t="n">
        <f aca="false">IF(AND($K471=1,AND(对接源_01水果!$X471="公司筐",N(对接源_01水果!$U471)&lt;&gt;0)),1,0)</f>
        <v>0</v>
      </c>
      <c r="S471" s="1" t="n">
        <f aca="false">N(S470)+$R471</f>
        <v>0</v>
      </c>
      <c r="T471" s="1" t="n">
        <f aca="false">IF(AND($K471=1,AND(对接源_01水果!$X471="公司筐",N(对接源_01水果!$V471)&lt;&gt;0)),1,0)</f>
        <v>0</v>
      </c>
      <c r="U471" s="1" t="n">
        <f aca="false">N(U470)+$T471</f>
        <v>28</v>
      </c>
      <c r="V471" s="1" t="n">
        <f aca="false">IF(AND($L471=1,AND(对接源_01水果!$X471="自备筐",N(对接源_01水果!$V471)&lt;&gt;0)),1,0)</f>
        <v>0</v>
      </c>
      <c r="W471" s="1" t="n">
        <f aca="false">N(W470)+$V471</f>
        <v>7</v>
      </c>
      <c r="X471" s="1" t="n">
        <f aca="false">IF(AND($L471=1,AND(对接源_01水果!$X471="自备筐",N(对接源_01水果!$T471)&lt;&gt;0)),1,0)</f>
        <v>0</v>
      </c>
      <c r="Y471" s="1" t="n">
        <f aca="false">N(Y470)+$X471</f>
        <v>0</v>
      </c>
      <c r="Z471" s="1" t="n">
        <f aca="false">IF(AND($M471=1,对接源_01水果!$D471="原料入库"),1,0)</f>
        <v>0</v>
      </c>
      <c r="AA471" s="1" t="n">
        <f aca="false">N(AA470)+$Z471</f>
        <v>30</v>
      </c>
      <c r="AB471" s="1" t="n">
        <f aca="false">IF(AND($M471=1,LEFT(对接源_01水果!$D471,4)="原料出库"),1,0)</f>
        <v>0</v>
      </c>
      <c r="AC471" s="1" t="n">
        <f aca="false">N(AC470)+$AB471</f>
        <v>19</v>
      </c>
      <c r="AD471" s="1" t="n">
        <f aca="false">IF(AND($M471=1,LEFT(对接源_01水果!$D471,4)="成品出库"),1,0)</f>
        <v>0</v>
      </c>
      <c r="AE471" s="1" t="n">
        <f aca="false">N(AE470)+$AD471</f>
        <v>38</v>
      </c>
      <c r="AF471" s="1" t="n">
        <f aca="false">IF(AND($N471=1,AND(LEFT(对接源_01水果!$D471,4)="包装物料",N(对接源_01水果!$K471)&lt;&gt;0)),1,0)</f>
        <v>0</v>
      </c>
      <c r="AG471" s="90" t="str">
        <f aca="false">IF(对接源_01水果!$AC471="","",对接源_01水果!$AC471)</f>
        <v/>
      </c>
      <c r="AH471" s="1" t="n">
        <f aca="false">IF(AND($N471=1,AND(LEFT(对接源_01水果!$D471,3)="周转筐",N(对接源_01水果!$K471)&lt;&gt;0)),1,0)</f>
        <v>0</v>
      </c>
      <c r="AI471" s="90" t="n">
        <f aca="false">IF(AG471="",0,IF(MATCH(AG471,$AG$4:$AG$1203,0)=ROW()-3,1,0))</f>
        <v>0</v>
      </c>
      <c r="AJ471" s="90" t="n">
        <f aca="false">N(AJ470)+AI471</f>
        <v>4</v>
      </c>
      <c r="AK471" s="1" t="n">
        <f aca="false">N(AK470)+$AJ471</f>
        <v>744</v>
      </c>
    </row>
    <row r="472" customFormat="false" ht="13.5" hidden="false" customHeight="false" outlineLevel="0" collapsed="false">
      <c r="A472" s="1" t="str">
        <f aca="false">IF(对接源_01水果!$C472="","",对接源_01水果!$C472)</f>
        <v/>
      </c>
      <c r="B472" s="1" t="n">
        <f aca="false">IF(A472="",0,IF(MATCH(A472,$A$4:$A$2403,0)=ROW()-3,1,0))</f>
        <v>0</v>
      </c>
      <c r="C472" s="1" t="n">
        <f aca="false">N(C471)+B472</f>
        <v>13</v>
      </c>
      <c r="K472" s="1" t="n">
        <f aca="false">IF(OR($K$1="",对接源_01水果!$C472="",对接源_01水果!$C472&lt;&gt;$K$1,对接源_01水果!$B472=""),0,IF(OR(N(对接源_01水果!$B472)&lt;$K$2,N(对接源_01水果!$B472)&gt;$K$3),0,1))</f>
        <v>0</v>
      </c>
      <c r="L472" s="1" t="n">
        <f aca="false">IF(OR($L$1="",对接源_01水果!$C472="",对接源_01水果!$C472&lt;&gt;$L$1,对接源_01水果!$B472=""),0,IF(OR(N(对接源_01水果!$B472)&lt;$L$2,N(对接源_01水果!$B472)&gt;$L$3),0,1))</f>
        <v>0</v>
      </c>
      <c r="M472" s="1" t="n">
        <f aca="false">IF(OR($M$1="",对接源_01水果!$C472="",对接源_01水果!$C472&lt;&gt;$M$1,对接源_01水果!$B472=""),0,IF(OR(N(对接源_01水果!$B472)&lt;$M$2,N(对接源_01水果!$B472)&gt;$M$3),0,1))</f>
        <v>0</v>
      </c>
      <c r="N472" s="1" t="n">
        <f aca="false">IF(OR($N$1="",对接源_01水果!$C472="",对接源_01水果!$C472&lt;&gt;$N$1,对接源_01水果!$B472=""),0,IF(OR(N(对接源_01水果!$B472)&lt;$N$2,N(对接源_01水果!$B472)&gt;$N$3),0,1))</f>
        <v>0</v>
      </c>
      <c r="P472" s="1" t="n">
        <f aca="false">IF(AND($K472=1,AND(对接源_01水果!$X472="公司筐",N(对接源_01水果!$T472)&lt;&gt;0)),1,0)</f>
        <v>0</v>
      </c>
      <c r="Q472" s="1" t="n">
        <f aca="false">N(Q471)+$P472</f>
        <v>3</v>
      </c>
      <c r="R472" s="1" t="n">
        <f aca="false">IF(AND($K472=1,AND(对接源_01水果!$X472="公司筐",N(对接源_01水果!$U472)&lt;&gt;0)),1,0)</f>
        <v>0</v>
      </c>
      <c r="S472" s="1" t="n">
        <f aca="false">N(S471)+$R472</f>
        <v>0</v>
      </c>
      <c r="T472" s="1" t="n">
        <f aca="false">IF(AND($K472=1,AND(对接源_01水果!$X472="公司筐",N(对接源_01水果!$V472)&lt;&gt;0)),1,0)</f>
        <v>0</v>
      </c>
      <c r="U472" s="1" t="n">
        <f aca="false">N(U471)+$T472</f>
        <v>28</v>
      </c>
      <c r="V472" s="1" t="n">
        <f aca="false">IF(AND($L472=1,AND(对接源_01水果!$X472="自备筐",N(对接源_01水果!$V472)&lt;&gt;0)),1,0)</f>
        <v>0</v>
      </c>
      <c r="W472" s="1" t="n">
        <f aca="false">N(W471)+$V472</f>
        <v>7</v>
      </c>
      <c r="X472" s="1" t="n">
        <f aca="false">IF(AND($L472=1,AND(对接源_01水果!$X472="自备筐",N(对接源_01水果!$T472)&lt;&gt;0)),1,0)</f>
        <v>0</v>
      </c>
      <c r="Y472" s="1" t="n">
        <f aca="false">N(Y471)+$X472</f>
        <v>0</v>
      </c>
      <c r="Z472" s="1" t="n">
        <f aca="false">IF(AND($M472=1,对接源_01水果!$D472="原料入库"),1,0)</f>
        <v>0</v>
      </c>
      <c r="AA472" s="1" t="n">
        <f aca="false">N(AA471)+$Z472</f>
        <v>30</v>
      </c>
      <c r="AB472" s="1" t="n">
        <f aca="false">IF(AND($M472=1,LEFT(对接源_01水果!$D472,4)="原料出库"),1,0)</f>
        <v>0</v>
      </c>
      <c r="AC472" s="1" t="n">
        <f aca="false">N(AC471)+$AB472</f>
        <v>19</v>
      </c>
      <c r="AD472" s="1" t="n">
        <f aca="false">IF(AND($M472=1,LEFT(对接源_01水果!$D472,4)="成品出库"),1,0)</f>
        <v>0</v>
      </c>
      <c r="AE472" s="1" t="n">
        <f aca="false">N(AE471)+$AD472</f>
        <v>38</v>
      </c>
      <c r="AF472" s="1" t="n">
        <f aca="false">IF(AND($N472=1,AND(LEFT(对接源_01水果!$D472,4)="包装物料",N(对接源_01水果!$K472)&lt;&gt;0)),1,0)</f>
        <v>0</v>
      </c>
      <c r="AG472" s="90" t="str">
        <f aca="false">IF(对接源_01水果!$AC472="","",对接源_01水果!$AC472)</f>
        <v/>
      </c>
      <c r="AH472" s="1" t="n">
        <f aca="false">IF(AND($N472=1,AND(LEFT(对接源_01水果!$D472,3)="周转筐",N(对接源_01水果!$K472)&lt;&gt;0)),1,0)</f>
        <v>0</v>
      </c>
      <c r="AI472" s="90" t="n">
        <f aca="false">IF(AG472="",0,IF(MATCH(AG472,$AG$4:$AG$1203,0)=ROW()-3,1,0))</f>
        <v>0</v>
      </c>
      <c r="AJ472" s="90" t="n">
        <f aca="false">N(AJ471)+AI472</f>
        <v>4</v>
      </c>
      <c r="AK472" s="1" t="n">
        <f aca="false">N(AK471)+$AJ472</f>
        <v>748</v>
      </c>
    </row>
    <row r="473" customFormat="false" ht="13.5" hidden="false" customHeight="false" outlineLevel="0" collapsed="false">
      <c r="A473" s="1" t="str">
        <f aca="false">IF(对接源_01水果!$C473="","",对接源_01水果!$C473)</f>
        <v/>
      </c>
      <c r="B473" s="1" t="n">
        <f aca="false">IF(A473="",0,IF(MATCH(A473,$A$4:$A$2403,0)=ROW()-3,1,0))</f>
        <v>0</v>
      </c>
      <c r="C473" s="1" t="n">
        <f aca="false">N(C472)+B473</f>
        <v>13</v>
      </c>
      <c r="K473" s="1" t="n">
        <f aca="false">IF(OR($K$1="",对接源_01水果!$C473="",对接源_01水果!$C473&lt;&gt;$K$1,对接源_01水果!$B473=""),0,IF(OR(N(对接源_01水果!$B473)&lt;$K$2,N(对接源_01水果!$B473)&gt;$K$3),0,1))</f>
        <v>0</v>
      </c>
      <c r="L473" s="1" t="n">
        <f aca="false">IF(OR($L$1="",对接源_01水果!$C473="",对接源_01水果!$C473&lt;&gt;$L$1,对接源_01水果!$B473=""),0,IF(OR(N(对接源_01水果!$B473)&lt;$L$2,N(对接源_01水果!$B473)&gt;$L$3),0,1))</f>
        <v>0</v>
      </c>
      <c r="M473" s="1" t="n">
        <f aca="false">IF(OR($M$1="",对接源_01水果!$C473="",对接源_01水果!$C473&lt;&gt;$M$1,对接源_01水果!$B473=""),0,IF(OR(N(对接源_01水果!$B473)&lt;$M$2,N(对接源_01水果!$B473)&gt;$M$3),0,1))</f>
        <v>0</v>
      </c>
      <c r="N473" s="1" t="n">
        <f aca="false">IF(OR($N$1="",对接源_01水果!$C473="",对接源_01水果!$C473&lt;&gt;$N$1,对接源_01水果!$B473=""),0,IF(OR(N(对接源_01水果!$B473)&lt;$N$2,N(对接源_01水果!$B473)&gt;$N$3),0,1))</f>
        <v>0</v>
      </c>
      <c r="P473" s="1" t="n">
        <f aca="false">IF(AND($K473=1,AND(对接源_01水果!$X473="公司筐",N(对接源_01水果!$T473)&lt;&gt;0)),1,0)</f>
        <v>0</v>
      </c>
      <c r="Q473" s="1" t="n">
        <f aca="false">N(Q472)+$P473</f>
        <v>3</v>
      </c>
      <c r="R473" s="1" t="n">
        <f aca="false">IF(AND($K473=1,AND(对接源_01水果!$X473="公司筐",N(对接源_01水果!$U473)&lt;&gt;0)),1,0)</f>
        <v>0</v>
      </c>
      <c r="S473" s="1" t="n">
        <f aca="false">N(S472)+$R473</f>
        <v>0</v>
      </c>
      <c r="T473" s="1" t="n">
        <f aca="false">IF(AND($K473=1,AND(对接源_01水果!$X473="公司筐",N(对接源_01水果!$V473)&lt;&gt;0)),1,0)</f>
        <v>0</v>
      </c>
      <c r="U473" s="1" t="n">
        <f aca="false">N(U472)+$T473</f>
        <v>28</v>
      </c>
      <c r="V473" s="1" t="n">
        <f aca="false">IF(AND($L473=1,AND(对接源_01水果!$X473="自备筐",N(对接源_01水果!$V473)&lt;&gt;0)),1,0)</f>
        <v>0</v>
      </c>
      <c r="W473" s="1" t="n">
        <f aca="false">N(W472)+$V473</f>
        <v>7</v>
      </c>
      <c r="X473" s="1" t="n">
        <f aca="false">IF(AND($L473=1,AND(对接源_01水果!$X473="自备筐",N(对接源_01水果!$T473)&lt;&gt;0)),1,0)</f>
        <v>0</v>
      </c>
      <c r="Y473" s="1" t="n">
        <f aca="false">N(Y472)+$X473</f>
        <v>0</v>
      </c>
      <c r="Z473" s="1" t="n">
        <f aca="false">IF(AND($M473=1,对接源_01水果!$D473="原料入库"),1,0)</f>
        <v>0</v>
      </c>
      <c r="AA473" s="1" t="n">
        <f aca="false">N(AA472)+$Z473</f>
        <v>30</v>
      </c>
      <c r="AB473" s="1" t="n">
        <f aca="false">IF(AND($M473=1,LEFT(对接源_01水果!$D473,4)="原料出库"),1,0)</f>
        <v>0</v>
      </c>
      <c r="AC473" s="1" t="n">
        <f aca="false">N(AC472)+$AB473</f>
        <v>19</v>
      </c>
      <c r="AD473" s="1" t="n">
        <f aca="false">IF(AND($M473=1,LEFT(对接源_01水果!$D473,4)="成品出库"),1,0)</f>
        <v>0</v>
      </c>
      <c r="AE473" s="1" t="n">
        <f aca="false">N(AE472)+$AD473</f>
        <v>38</v>
      </c>
      <c r="AF473" s="1" t="n">
        <f aca="false">IF(AND($N473=1,AND(LEFT(对接源_01水果!$D473,4)="包装物料",N(对接源_01水果!$K473)&lt;&gt;0)),1,0)</f>
        <v>0</v>
      </c>
      <c r="AG473" s="90" t="str">
        <f aca="false">IF(对接源_01水果!$AC473="","",对接源_01水果!$AC473)</f>
        <v/>
      </c>
      <c r="AH473" s="1" t="n">
        <f aca="false">IF(AND($N473=1,AND(LEFT(对接源_01水果!$D473,3)="周转筐",N(对接源_01水果!$K473)&lt;&gt;0)),1,0)</f>
        <v>0</v>
      </c>
      <c r="AI473" s="90" t="n">
        <f aca="false">IF(AG473="",0,IF(MATCH(AG473,$AG$4:$AG$1203,0)=ROW()-3,1,0))</f>
        <v>0</v>
      </c>
      <c r="AJ473" s="90" t="n">
        <f aca="false">N(AJ472)+AI473</f>
        <v>4</v>
      </c>
      <c r="AK473" s="1" t="n">
        <f aca="false">N(AK472)+$AJ473</f>
        <v>752</v>
      </c>
    </row>
    <row r="474" customFormat="false" ht="13.5" hidden="false" customHeight="false" outlineLevel="0" collapsed="false">
      <c r="A474" s="1" t="str">
        <f aca="false">IF(对接源_01水果!$C474="","",对接源_01水果!$C474)</f>
        <v/>
      </c>
      <c r="B474" s="1" t="n">
        <f aca="false">IF(A474="",0,IF(MATCH(A474,$A$4:$A$2403,0)=ROW()-3,1,0))</f>
        <v>0</v>
      </c>
      <c r="C474" s="1" t="n">
        <f aca="false">N(C473)+B474</f>
        <v>13</v>
      </c>
      <c r="K474" s="1" t="n">
        <f aca="false">IF(OR($K$1="",对接源_01水果!$C474="",对接源_01水果!$C474&lt;&gt;$K$1,对接源_01水果!$B474=""),0,IF(OR(N(对接源_01水果!$B474)&lt;$K$2,N(对接源_01水果!$B474)&gt;$K$3),0,1))</f>
        <v>0</v>
      </c>
      <c r="L474" s="1" t="n">
        <f aca="false">IF(OR($L$1="",对接源_01水果!$C474="",对接源_01水果!$C474&lt;&gt;$L$1,对接源_01水果!$B474=""),0,IF(OR(N(对接源_01水果!$B474)&lt;$L$2,N(对接源_01水果!$B474)&gt;$L$3),0,1))</f>
        <v>0</v>
      </c>
      <c r="M474" s="1" t="n">
        <f aca="false">IF(OR($M$1="",对接源_01水果!$C474="",对接源_01水果!$C474&lt;&gt;$M$1,对接源_01水果!$B474=""),0,IF(OR(N(对接源_01水果!$B474)&lt;$M$2,N(对接源_01水果!$B474)&gt;$M$3),0,1))</f>
        <v>0</v>
      </c>
      <c r="N474" s="1" t="n">
        <f aca="false">IF(OR($N$1="",对接源_01水果!$C474="",对接源_01水果!$C474&lt;&gt;$N$1,对接源_01水果!$B474=""),0,IF(OR(N(对接源_01水果!$B474)&lt;$N$2,N(对接源_01水果!$B474)&gt;$N$3),0,1))</f>
        <v>0</v>
      </c>
      <c r="P474" s="1" t="n">
        <f aca="false">IF(AND($K474=1,AND(对接源_01水果!$X474="公司筐",N(对接源_01水果!$T474)&lt;&gt;0)),1,0)</f>
        <v>0</v>
      </c>
      <c r="Q474" s="1" t="n">
        <f aca="false">N(Q473)+$P474</f>
        <v>3</v>
      </c>
      <c r="R474" s="1" t="n">
        <f aca="false">IF(AND($K474=1,AND(对接源_01水果!$X474="公司筐",N(对接源_01水果!$U474)&lt;&gt;0)),1,0)</f>
        <v>0</v>
      </c>
      <c r="S474" s="1" t="n">
        <f aca="false">N(S473)+$R474</f>
        <v>0</v>
      </c>
      <c r="T474" s="1" t="n">
        <f aca="false">IF(AND($K474=1,AND(对接源_01水果!$X474="公司筐",N(对接源_01水果!$V474)&lt;&gt;0)),1,0)</f>
        <v>0</v>
      </c>
      <c r="U474" s="1" t="n">
        <f aca="false">N(U473)+$T474</f>
        <v>28</v>
      </c>
      <c r="V474" s="1" t="n">
        <f aca="false">IF(AND($L474=1,AND(对接源_01水果!$X474="自备筐",N(对接源_01水果!$V474)&lt;&gt;0)),1,0)</f>
        <v>0</v>
      </c>
      <c r="W474" s="1" t="n">
        <f aca="false">N(W473)+$V474</f>
        <v>7</v>
      </c>
      <c r="X474" s="1" t="n">
        <f aca="false">IF(AND($L474=1,AND(对接源_01水果!$X474="自备筐",N(对接源_01水果!$T474)&lt;&gt;0)),1,0)</f>
        <v>0</v>
      </c>
      <c r="Y474" s="1" t="n">
        <f aca="false">N(Y473)+$X474</f>
        <v>0</v>
      </c>
      <c r="Z474" s="1" t="n">
        <f aca="false">IF(AND($M474=1,对接源_01水果!$D474="原料入库"),1,0)</f>
        <v>0</v>
      </c>
      <c r="AA474" s="1" t="n">
        <f aca="false">N(AA473)+$Z474</f>
        <v>30</v>
      </c>
      <c r="AB474" s="1" t="n">
        <f aca="false">IF(AND($M474=1,LEFT(对接源_01水果!$D474,4)="原料出库"),1,0)</f>
        <v>0</v>
      </c>
      <c r="AC474" s="1" t="n">
        <f aca="false">N(AC473)+$AB474</f>
        <v>19</v>
      </c>
      <c r="AD474" s="1" t="n">
        <f aca="false">IF(AND($M474=1,LEFT(对接源_01水果!$D474,4)="成品出库"),1,0)</f>
        <v>0</v>
      </c>
      <c r="AE474" s="1" t="n">
        <f aca="false">N(AE473)+$AD474</f>
        <v>38</v>
      </c>
      <c r="AF474" s="1" t="n">
        <f aca="false">IF(AND($N474=1,AND(LEFT(对接源_01水果!$D474,4)="包装物料",N(对接源_01水果!$K474)&lt;&gt;0)),1,0)</f>
        <v>0</v>
      </c>
      <c r="AG474" s="90" t="str">
        <f aca="false">IF(对接源_01水果!$AC474="","",对接源_01水果!$AC474)</f>
        <v/>
      </c>
      <c r="AH474" s="1" t="n">
        <f aca="false">IF(AND($N474=1,AND(LEFT(对接源_01水果!$D474,3)="周转筐",N(对接源_01水果!$K474)&lt;&gt;0)),1,0)</f>
        <v>0</v>
      </c>
      <c r="AI474" s="90" t="n">
        <f aca="false">IF(AG474="",0,IF(MATCH(AG474,$AG$4:$AG$1203,0)=ROW()-3,1,0))</f>
        <v>0</v>
      </c>
      <c r="AJ474" s="90" t="n">
        <f aca="false">N(AJ473)+AI474</f>
        <v>4</v>
      </c>
      <c r="AK474" s="1" t="n">
        <f aca="false">N(AK473)+$AJ474</f>
        <v>756</v>
      </c>
    </row>
    <row r="475" customFormat="false" ht="13.5" hidden="false" customHeight="false" outlineLevel="0" collapsed="false">
      <c r="A475" s="1" t="str">
        <f aca="false">IF(对接源_01水果!$C475="","",对接源_01水果!$C475)</f>
        <v/>
      </c>
      <c r="B475" s="1" t="n">
        <f aca="false">IF(A475="",0,IF(MATCH(A475,$A$4:$A$2403,0)=ROW()-3,1,0))</f>
        <v>0</v>
      </c>
      <c r="C475" s="1" t="n">
        <f aca="false">N(C474)+B475</f>
        <v>13</v>
      </c>
      <c r="K475" s="1" t="n">
        <f aca="false">IF(OR($K$1="",对接源_01水果!$C475="",对接源_01水果!$C475&lt;&gt;$K$1,对接源_01水果!$B475=""),0,IF(OR(N(对接源_01水果!$B475)&lt;$K$2,N(对接源_01水果!$B475)&gt;$K$3),0,1))</f>
        <v>0</v>
      </c>
      <c r="L475" s="1" t="n">
        <f aca="false">IF(OR($L$1="",对接源_01水果!$C475="",对接源_01水果!$C475&lt;&gt;$L$1,对接源_01水果!$B475=""),0,IF(OR(N(对接源_01水果!$B475)&lt;$L$2,N(对接源_01水果!$B475)&gt;$L$3),0,1))</f>
        <v>0</v>
      </c>
      <c r="M475" s="1" t="n">
        <f aca="false">IF(OR($M$1="",对接源_01水果!$C475="",对接源_01水果!$C475&lt;&gt;$M$1,对接源_01水果!$B475=""),0,IF(OR(N(对接源_01水果!$B475)&lt;$M$2,N(对接源_01水果!$B475)&gt;$M$3),0,1))</f>
        <v>0</v>
      </c>
      <c r="N475" s="1" t="n">
        <f aca="false">IF(OR($N$1="",对接源_01水果!$C475="",对接源_01水果!$C475&lt;&gt;$N$1,对接源_01水果!$B475=""),0,IF(OR(N(对接源_01水果!$B475)&lt;$N$2,N(对接源_01水果!$B475)&gt;$N$3),0,1))</f>
        <v>0</v>
      </c>
      <c r="P475" s="1" t="n">
        <f aca="false">IF(AND($K475=1,AND(对接源_01水果!$X475="公司筐",N(对接源_01水果!$T475)&lt;&gt;0)),1,0)</f>
        <v>0</v>
      </c>
      <c r="Q475" s="1" t="n">
        <f aca="false">N(Q474)+$P475</f>
        <v>3</v>
      </c>
      <c r="R475" s="1" t="n">
        <f aca="false">IF(AND($K475=1,AND(对接源_01水果!$X475="公司筐",N(对接源_01水果!$U475)&lt;&gt;0)),1,0)</f>
        <v>0</v>
      </c>
      <c r="S475" s="1" t="n">
        <f aca="false">N(S474)+$R475</f>
        <v>0</v>
      </c>
      <c r="T475" s="1" t="n">
        <f aca="false">IF(AND($K475=1,AND(对接源_01水果!$X475="公司筐",N(对接源_01水果!$V475)&lt;&gt;0)),1,0)</f>
        <v>0</v>
      </c>
      <c r="U475" s="1" t="n">
        <f aca="false">N(U474)+$T475</f>
        <v>28</v>
      </c>
      <c r="V475" s="1" t="n">
        <f aca="false">IF(AND($L475=1,AND(对接源_01水果!$X475="自备筐",N(对接源_01水果!$V475)&lt;&gt;0)),1,0)</f>
        <v>0</v>
      </c>
      <c r="W475" s="1" t="n">
        <f aca="false">N(W474)+$V475</f>
        <v>7</v>
      </c>
      <c r="X475" s="1" t="n">
        <f aca="false">IF(AND($L475=1,AND(对接源_01水果!$X475="自备筐",N(对接源_01水果!$T475)&lt;&gt;0)),1,0)</f>
        <v>0</v>
      </c>
      <c r="Y475" s="1" t="n">
        <f aca="false">N(Y474)+$X475</f>
        <v>0</v>
      </c>
      <c r="Z475" s="1" t="n">
        <f aca="false">IF(AND($M475=1,对接源_01水果!$D475="原料入库"),1,0)</f>
        <v>0</v>
      </c>
      <c r="AA475" s="1" t="n">
        <f aca="false">N(AA474)+$Z475</f>
        <v>30</v>
      </c>
      <c r="AB475" s="1" t="n">
        <f aca="false">IF(AND($M475=1,LEFT(对接源_01水果!$D475,4)="原料出库"),1,0)</f>
        <v>0</v>
      </c>
      <c r="AC475" s="1" t="n">
        <f aca="false">N(AC474)+$AB475</f>
        <v>19</v>
      </c>
      <c r="AD475" s="1" t="n">
        <f aca="false">IF(AND($M475=1,LEFT(对接源_01水果!$D475,4)="成品出库"),1,0)</f>
        <v>0</v>
      </c>
      <c r="AE475" s="1" t="n">
        <f aca="false">N(AE474)+$AD475</f>
        <v>38</v>
      </c>
      <c r="AF475" s="1" t="n">
        <f aca="false">IF(AND($N475=1,AND(LEFT(对接源_01水果!$D475,4)="包装物料",N(对接源_01水果!$K475)&lt;&gt;0)),1,0)</f>
        <v>0</v>
      </c>
      <c r="AG475" s="90" t="str">
        <f aca="false">IF(对接源_01水果!$AC475="","",对接源_01水果!$AC475)</f>
        <v/>
      </c>
      <c r="AH475" s="1" t="n">
        <f aca="false">IF(AND($N475=1,AND(LEFT(对接源_01水果!$D475,3)="周转筐",N(对接源_01水果!$K475)&lt;&gt;0)),1,0)</f>
        <v>0</v>
      </c>
      <c r="AI475" s="90" t="n">
        <f aca="false">IF(AG475="",0,IF(MATCH(AG475,$AG$4:$AG$1203,0)=ROW()-3,1,0))</f>
        <v>0</v>
      </c>
      <c r="AJ475" s="90" t="n">
        <f aca="false">N(AJ474)+AI475</f>
        <v>4</v>
      </c>
      <c r="AK475" s="1" t="n">
        <f aca="false">N(AK474)+$AJ475</f>
        <v>760</v>
      </c>
    </row>
    <row r="476" customFormat="false" ht="13.5" hidden="false" customHeight="false" outlineLevel="0" collapsed="false">
      <c r="A476" s="1" t="str">
        <f aca="false">IF(对接源_01水果!$C476="","",对接源_01水果!$C476)</f>
        <v/>
      </c>
      <c r="B476" s="1" t="n">
        <f aca="false">IF(A476="",0,IF(MATCH(A476,$A$4:$A$2403,0)=ROW()-3,1,0))</f>
        <v>0</v>
      </c>
      <c r="C476" s="1" t="n">
        <f aca="false">N(C475)+B476</f>
        <v>13</v>
      </c>
      <c r="K476" s="1" t="n">
        <f aca="false">IF(OR($K$1="",对接源_01水果!$C476="",对接源_01水果!$C476&lt;&gt;$K$1,对接源_01水果!$B476=""),0,IF(OR(N(对接源_01水果!$B476)&lt;$K$2,N(对接源_01水果!$B476)&gt;$K$3),0,1))</f>
        <v>0</v>
      </c>
      <c r="L476" s="1" t="n">
        <f aca="false">IF(OR($L$1="",对接源_01水果!$C476="",对接源_01水果!$C476&lt;&gt;$L$1,对接源_01水果!$B476=""),0,IF(OR(N(对接源_01水果!$B476)&lt;$L$2,N(对接源_01水果!$B476)&gt;$L$3),0,1))</f>
        <v>0</v>
      </c>
      <c r="M476" s="1" t="n">
        <f aca="false">IF(OR($M$1="",对接源_01水果!$C476="",对接源_01水果!$C476&lt;&gt;$M$1,对接源_01水果!$B476=""),0,IF(OR(N(对接源_01水果!$B476)&lt;$M$2,N(对接源_01水果!$B476)&gt;$M$3),0,1))</f>
        <v>0</v>
      </c>
      <c r="N476" s="1" t="n">
        <f aca="false">IF(OR($N$1="",对接源_01水果!$C476="",对接源_01水果!$C476&lt;&gt;$N$1,对接源_01水果!$B476=""),0,IF(OR(N(对接源_01水果!$B476)&lt;$N$2,N(对接源_01水果!$B476)&gt;$N$3),0,1))</f>
        <v>0</v>
      </c>
      <c r="P476" s="1" t="n">
        <f aca="false">IF(AND($K476=1,AND(对接源_01水果!$X476="公司筐",N(对接源_01水果!$T476)&lt;&gt;0)),1,0)</f>
        <v>0</v>
      </c>
      <c r="Q476" s="1" t="n">
        <f aca="false">N(Q475)+$P476</f>
        <v>3</v>
      </c>
      <c r="R476" s="1" t="n">
        <f aca="false">IF(AND($K476=1,AND(对接源_01水果!$X476="公司筐",N(对接源_01水果!$U476)&lt;&gt;0)),1,0)</f>
        <v>0</v>
      </c>
      <c r="S476" s="1" t="n">
        <f aca="false">N(S475)+$R476</f>
        <v>0</v>
      </c>
      <c r="T476" s="1" t="n">
        <f aca="false">IF(AND($K476=1,AND(对接源_01水果!$X476="公司筐",N(对接源_01水果!$V476)&lt;&gt;0)),1,0)</f>
        <v>0</v>
      </c>
      <c r="U476" s="1" t="n">
        <f aca="false">N(U475)+$T476</f>
        <v>28</v>
      </c>
      <c r="V476" s="1" t="n">
        <f aca="false">IF(AND($L476=1,AND(对接源_01水果!$X476="自备筐",N(对接源_01水果!$V476)&lt;&gt;0)),1,0)</f>
        <v>0</v>
      </c>
      <c r="W476" s="1" t="n">
        <f aca="false">N(W475)+$V476</f>
        <v>7</v>
      </c>
      <c r="X476" s="1" t="n">
        <f aca="false">IF(AND($L476=1,AND(对接源_01水果!$X476="自备筐",N(对接源_01水果!$T476)&lt;&gt;0)),1,0)</f>
        <v>0</v>
      </c>
      <c r="Y476" s="1" t="n">
        <f aca="false">N(Y475)+$X476</f>
        <v>0</v>
      </c>
      <c r="Z476" s="1" t="n">
        <f aca="false">IF(AND($M476=1,对接源_01水果!$D476="原料入库"),1,0)</f>
        <v>0</v>
      </c>
      <c r="AA476" s="1" t="n">
        <f aca="false">N(AA475)+$Z476</f>
        <v>30</v>
      </c>
      <c r="AB476" s="1" t="n">
        <f aca="false">IF(AND($M476=1,LEFT(对接源_01水果!$D476,4)="原料出库"),1,0)</f>
        <v>0</v>
      </c>
      <c r="AC476" s="1" t="n">
        <f aca="false">N(AC475)+$AB476</f>
        <v>19</v>
      </c>
      <c r="AD476" s="1" t="n">
        <f aca="false">IF(AND($M476=1,LEFT(对接源_01水果!$D476,4)="成品出库"),1,0)</f>
        <v>0</v>
      </c>
      <c r="AE476" s="1" t="n">
        <f aca="false">N(AE475)+$AD476</f>
        <v>38</v>
      </c>
      <c r="AF476" s="1" t="n">
        <f aca="false">IF(AND($N476=1,AND(LEFT(对接源_01水果!$D476,4)="包装物料",N(对接源_01水果!$K476)&lt;&gt;0)),1,0)</f>
        <v>0</v>
      </c>
      <c r="AG476" s="90" t="str">
        <f aca="false">IF(对接源_01水果!$AC476="","",对接源_01水果!$AC476)</f>
        <v/>
      </c>
      <c r="AH476" s="1" t="n">
        <f aca="false">IF(AND($N476=1,AND(LEFT(对接源_01水果!$D476,3)="周转筐",N(对接源_01水果!$K476)&lt;&gt;0)),1,0)</f>
        <v>0</v>
      </c>
      <c r="AI476" s="90" t="n">
        <f aca="false">IF(AG476="",0,IF(MATCH(AG476,$AG$4:$AG$1203,0)=ROW()-3,1,0))</f>
        <v>0</v>
      </c>
      <c r="AJ476" s="90" t="n">
        <f aca="false">N(AJ475)+AI476</f>
        <v>4</v>
      </c>
      <c r="AK476" s="1" t="n">
        <f aca="false">N(AK475)+$AJ476</f>
        <v>764</v>
      </c>
    </row>
    <row r="477" customFormat="false" ht="13.5" hidden="false" customHeight="false" outlineLevel="0" collapsed="false">
      <c r="A477" s="1" t="str">
        <f aca="false">IF(对接源_01水果!$C477="","",对接源_01水果!$C477)</f>
        <v/>
      </c>
      <c r="B477" s="1" t="n">
        <f aca="false">IF(A477="",0,IF(MATCH(A477,$A$4:$A$2403,0)=ROW()-3,1,0))</f>
        <v>0</v>
      </c>
      <c r="C477" s="1" t="n">
        <f aca="false">N(C476)+B477</f>
        <v>13</v>
      </c>
      <c r="K477" s="1" t="n">
        <f aca="false">IF(OR($K$1="",对接源_01水果!$C477="",对接源_01水果!$C477&lt;&gt;$K$1,对接源_01水果!$B477=""),0,IF(OR(N(对接源_01水果!$B477)&lt;$K$2,N(对接源_01水果!$B477)&gt;$K$3),0,1))</f>
        <v>0</v>
      </c>
      <c r="L477" s="1" t="n">
        <f aca="false">IF(OR($L$1="",对接源_01水果!$C477="",对接源_01水果!$C477&lt;&gt;$L$1,对接源_01水果!$B477=""),0,IF(OR(N(对接源_01水果!$B477)&lt;$L$2,N(对接源_01水果!$B477)&gt;$L$3),0,1))</f>
        <v>0</v>
      </c>
      <c r="M477" s="1" t="n">
        <f aca="false">IF(OR($M$1="",对接源_01水果!$C477="",对接源_01水果!$C477&lt;&gt;$M$1,对接源_01水果!$B477=""),0,IF(OR(N(对接源_01水果!$B477)&lt;$M$2,N(对接源_01水果!$B477)&gt;$M$3),0,1))</f>
        <v>0</v>
      </c>
      <c r="N477" s="1" t="n">
        <f aca="false">IF(OR($N$1="",对接源_01水果!$C477="",对接源_01水果!$C477&lt;&gt;$N$1,对接源_01水果!$B477=""),0,IF(OR(N(对接源_01水果!$B477)&lt;$N$2,N(对接源_01水果!$B477)&gt;$N$3),0,1))</f>
        <v>0</v>
      </c>
      <c r="P477" s="1" t="n">
        <f aca="false">IF(AND($K477=1,AND(对接源_01水果!$X477="公司筐",N(对接源_01水果!$T477)&lt;&gt;0)),1,0)</f>
        <v>0</v>
      </c>
      <c r="Q477" s="1" t="n">
        <f aca="false">N(Q476)+$P477</f>
        <v>3</v>
      </c>
      <c r="R477" s="1" t="n">
        <f aca="false">IF(AND($K477=1,AND(对接源_01水果!$X477="公司筐",N(对接源_01水果!$U477)&lt;&gt;0)),1,0)</f>
        <v>0</v>
      </c>
      <c r="S477" s="1" t="n">
        <f aca="false">N(S476)+$R477</f>
        <v>0</v>
      </c>
      <c r="T477" s="1" t="n">
        <f aca="false">IF(AND($K477=1,AND(对接源_01水果!$X477="公司筐",N(对接源_01水果!$V477)&lt;&gt;0)),1,0)</f>
        <v>0</v>
      </c>
      <c r="U477" s="1" t="n">
        <f aca="false">N(U476)+$T477</f>
        <v>28</v>
      </c>
      <c r="V477" s="1" t="n">
        <f aca="false">IF(AND($L477=1,AND(对接源_01水果!$X477="自备筐",N(对接源_01水果!$V477)&lt;&gt;0)),1,0)</f>
        <v>0</v>
      </c>
      <c r="W477" s="1" t="n">
        <f aca="false">N(W476)+$V477</f>
        <v>7</v>
      </c>
      <c r="X477" s="1" t="n">
        <f aca="false">IF(AND($L477=1,AND(对接源_01水果!$X477="自备筐",N(对接源_01水果!$T477)&lt;&gt;0)),1,0)</f>
        <v>0</v>
      </c>
      <c r="Y477" s="1" t="n">
        <f aca="false">N(Y476)+$X477</f>
        <v>0</v>
      </c>
      <c r="Z477" s="1" t="n">
        <f aca="false">IF(AND($M477=1,对接源_01水果!$D477="原料入库"),1,0)</f>
        <v>0</v>
      </c>
      <c r="AA477" s="1" t="n">
        <f aca="false">N(AA476)+$Z477</f>
        <v>30</v>
      </c>
      <c r="AB477" s="1" t="n">
        <f aca="false">IF(AND($M477=1,LEFT(对接源_01水果!$D477,4)="原料出库"),1,0)</f>
        <v>0</v>
      </c>
      <c r="AC477" s="1" t="n">
        <f aca="false">N(AC476)+$AB477</f>
        <v>19</v>
      </c>
      <c r="AD477" s="1" t="n">
        <f aca="false">IF(AND($M477=1,LEFT(对接源_01水果!$D477,4)="成品出库"),1,0)</f>
        <v>0</v>
      </c>
      <c r="AE477" s="1" t="n">
        <f aca="false">N(AE476)+$AD477</f>
        <v>38</v>
      </c>
      <c r="AF477" s="1" t="n">
        <f aca="false">IF(AND($N477=1,AND(LEFT(对接源_01水果!$D477,4)="包装物料",N(对接源_01水果!$K477)&lt;&gt;0)),1,0)</f>
        <v>0</v>
      </c>
      <c r="AG477" s="90" t="str">
        <f aca="false">IF(对接源_01水果!$AC477="","",对接源_01水果!$AC477)</f>
        <v/>
      </c>
      <c r="AH477" s="1" t="n">
        <f aca="false">IF(AND($N477=1,AND(LEFT(对接源_01水果!$D477,3)="周转筐",N(对接源_01水果!$K477)&lt;&gt;0)),1,0)</f>
        <v>0</v>
      </c>
      <c r="AI477" s="90" t="n">
        <f aca="false">IF(AG477="",0,IF(MATCH(AG477,$AG$4:$AG$1203,0)=ROW()-3,1,0))</f>
        <v>0</v>
      </c>
      <c r="AJ477" s="90" t="n">
        <f aca="false">N(AJ476)+AI477</f>
        <v>4</v>
      </c>
      <c r="AK477" s="1" t="n">
        <f aca="false">N(AK476)+$AJ477</f>
        <v>768</v>
      </c>
    </row>
    <row r="478" customFormat="false" ht="13.5" hidden="false" customHeight="false" outlineLevel="0" collapsed="false">
      <c r="A478" s="1" t="str">
        <f aca="false">IF(对接源_01水果!$C478="","",对接源_01水果!$C478)</f>
        <v/>
      </c>
      <c r="B478" s="1" t="n">
        <f aca="false">IF(A478="",0,IF(MATCH(A478,$A$4:$A$2403,0)=ROW()-3,1,0))</f>
        <v>0</v>
      </c>
      <c r="C478" s="1" t="n">
        <f aca="false">N(C477)+B478</f>
        <v>13</v>
      </c>
      <c r="K478" s="1" t="n">
        <f aca="false">IF(OR($K$1="",对接源_01水果!$C478="",对接源_01水果!$C478&lt;&gt;$K$1,对接源_01水果!$B478=""),0,IF(OR(N(对接源_01水果!$B478)&lt;$K$2,N(对接源_01水果!$B478)&gt;$K$3),0,1))</f>
        <v>0</v>
      </c>
      <c r="L478" s="1" t="n">
        <f aca="false">IF(OR($L$1="",对接源_01水果!$C478="",对接源_01水果!$C478&lt;&gt;$L$1,对接源_01水果!$B478=""),0,IF(OR(N(对接源_01水果!$B478)&lt;$L$2,N(对接源_01水果!$B478)&gt;$L$3),0,1))</f>
        <v>0</v>
      </c>
      <c r="M478" s="1" t="n">
        <f aca="false">IF(OR($M$1="",对接源_01水果!$C478="",对接源_01水果!$C478&lt;&gt;$M$1,对接源_01水果!$B478=""),0,IF(OR(N(对接源_01水果!$B478)&lt;$M$2,N(对接源_01水果!$B478)&gt;$M$3),0,1))</f>
        <v>0</v>
      </c>
      <c r="N478" s="1" t="n">
        <f aca="false">IF(OR($N$1="",对接源_01水果!$C478="",对接源_01水果!$C478&lt;&gt;$N$1,对接源_01水果!$B478=""),0,IF(OR(N(对接源_01水果!$B478)&lt;$N$2,N(对接源_01水果!$B478)&gt;$N$3),0,1))</f>
        <v>0</v>
      </c>
      <c r="P478" s="1" t="n">
        <f aca="false">IF(AND($K478=1,AND(对接源_01水果!$X478="公司筐",N(对接源_01水果!$T478)&lt;&gt;0)),1,0)</f>
        <v>0</v>
      </c>
      <c r="Q478" s="1" t="n">
        <f aca="false">N(Q477)+$P478</f>
        <v>3</v>
      </c>
      <c r="R478" s="1" t="n">
        <f aca="false">IF(AND($K478=1,AND(对接源_01水果!$X478="公司筐",N(对接源_01水果!$U478)&lt;&gt;0)),1,0)</f>
        <v>0</v>
      </c>
      <c r="S478" s="1" t="n">
        <f aca="false">N(S477)+$R478</f>
        <v>0</v>
      </c>
      <c r="T478" s="1" t="n">
        <f aca="false">IF(AND($K478=1,AND(对接源_01水果!$X478="公司筐",N(对接源_01水果!$V478)&lt;&gt;0)),1,0)</f>
        <v>0</v>
      </c>
      <c r="U478" s="1" t="n">
        <f aca="false">N(U477)+$T478</f>
        <v>28</v>
      </c>
      <c r="V478" s="1" t="n">
        <f aca="false">IF(AND($L478=1,AND(对接源_01水果!$X478="自备筐",N(对接源_01水果!$V478)&lt;&gt;0)),1,0)</f>
        <v>0</v>
      </c>
      <c r="W478" s="1" t="n">
        <f aca="false">N(W477)+$V478</f>
        <v>7</v>
      </c>
      <c r="X478" s="1" t="n">
        <f aca="false">IF(AND($L478=1,AND(对接源_01水果!$X478="自备筐",N(对接源_01水果!$T478)&lt;&gt;0)),1,0)</f>
        <v>0</v>
      </c>
      <c r="Y478" s="1" t="n">
        <f aca="false">N(Y477)+$X478</f>
        <v>0</v>
      </c>
      <c r="Z478" s="1" t="n">
        <f aca="false">IF(AND($M478=1,对接源_01水果!$D478="原料入库"),1,0)</f>
        <v>0</v>
      </c>
      <c r="AA478" s="1" t="n">
        <f aca="false">N(AA477)+$Z478</f>
        <v>30</v>
      </c>
      <c r="AB478" s="1" t="n">
        <f aca="false">IF(AND($M478=1,LEFT(对接源_01水果!$D478,4)="原料出库"),1,0)</f>
        <v>0</v>
      </c>
      <c r="AC478" s="1" t="n">
        <f aca="false">N(AC477)+$AB478</f>
        <v>19</v>
      </c>
      <c r="AD478" s="1" t="n">
        <f aca="false">IF(AND($M478=1,LEFT(对接源_01水果!$D478,4)="成品出库"),1,0)</f>
        <v>0</v>
      </c>
      <c r="AE478" s="1" t="n">
        <f aca="false">N(AE477)+$AD478</f>
        <v>38</v>
      </c>
      <c r="AF478" s="1" t="n">
        <f aca="false">IF(AND($N478=1,AND(LEFT(对接源_01水果!$D478,4)="包装物料",N(对接源_01水果!$K478)&lt;&gt;0)),1,0)</f>
        <v>0</v>
      </c>
      <c r="AG478" s="90" t="str">
        <f aca="false">IF(对接源_01水果!$AC478="","",对接源_01水果!$AC478)</f>
        <v/>
      </c>
      <c r="AH478" s="1" t="n">
        <f aca="false">IF(AND($N478=1,AND(LEFT(对接源_01水果!$D478,3)="周转筐",N(对接源_01水果!$K478)&lt;&gt;0)),1,0)</f>
        <v>0</v>
      </c>
      <c r="AI478" s="90" t="n">
        <f aca="false">IF(AG478="",0,IF(MATCH(AG478,$AG$4:$AG$1203,0)=ROW()-3,1,0))</f>
        <v>0</v>
      </c>
      <c r="AJ478" s="90" t="n">
        <f aca="false">N(AJ477)+AI478</f>
        <v>4</v>
      </c>
      <c r="AK478" s="1" t="n">
        <f aca="false">N(AK477)+$AJ478</f>
        <v>772</v>
      </c>
    </row>
    <row r="479" customFormat="false" ht="13.5" hidden="false" customHeight="false" outlineLevel="0" collapsed="false">
      <c r="A479" s="1" t="str">
        <f aca="false">IF(对接源_01水果!$C479="","",对接源_01水果!$C479)</f>
        <v/>
      </c>
      <c r="B479" s="1" t="n">
        <f aca="false">IF(A479="",0,IF(MATCH(A479,$A$4:$A$2403,0)=ROW()-3,1,0))</f>
        <v>0</v>
      </c>
      <c r="C479" s="1" t="n">
        <f aca="false">N(C478)+B479</f>
        <v>13</v>
      </c>
      <c r="K479" s="1" t="n">
        <f aca="false">IF(OR($K$1="",对接源_01水果!$C479="",对接源_01水果!$C479&lt;&gt;$K$1,对接源_01水果!$B479=""),0,IF(OR(N(对接源_01水果!$B479)&lt;$K$2,N(对接源_01水果!$B479)&gt;$K$3),0,1))</f>
        <v>0</v>
      </c>
      <c r="L479" s="1" t="n">
        <f aca="false">IF(OR($L$1="",对接源_01水果!$C479="",对接源_01水果!$C479&lt;&gt;$L$1,对接源_01水果!$B479=""),0,IF(OR(N(对接源_01水果!$B479)&lt;$L$2,N(对接源_01水果!$B479)&gt;$L$3),0,1))</f>
        <v>0</v>
      </c>
      <c r="M479" s="1" t="n">
        <f aca="false">IF(OR($M$1="",对接源_01水果!$C479="",对接源_01水果!$C479&lt;&gt;$M$1,对接源_01水果!$B479=""),0,IF(OR(N(对接源_01水果!$B479)&lt;$M$2,N(对接源_01水果!$B479)&gt;$M$3),0,1))</f>
        <v>0</v>
      </c>
      <c r="N479" s="1" t="n">
        <f aca="false">IF(OR($N$1="",对接源_01水果!$C479="",对接源_01水果!$C479&lt;&gt;$N$1,对接源_01水果!$B479=""),0,IF(OR(N(对接源_01水果!$B479)&lt;$N$2,N(对接源_01水果!$B479)&gt;$N$3),0,1))</f>
        <v>0</v>
      </c>
      <c r="P479" s="1" t="n">
        <f aca="false">IF(AND($K479=1,AND(对接源_01水果!$X479="公司筐",N(对接源_01水果!$T479)&lt;&gt;0)),1,0)</f>
        <v>0</v>
      </c>
      <c r="Q479" s="1" t="n">
        <f aca="false">N(Q478)+$P479</f>
        <v>3</v>
      </c>
      <c r="R479" s="1" t="n">
        <f aca="false">IF(AND($K479=1,AND(对接源_01水果!$X479="公司筐",N(对接源_01水果!$U479)&lt;&gt;0)),1,0)</f>
        <v>0</v>
      </c>
      <c r="S479" s="1" t="n">
        <f aca="false">N(S478)+$R479</f>
        <v>0</v>
      </c>
      <c r="T479" s="1" t="n">
        <f aca="false">IF(AND($K479=1,AND(对接源_01水果!$X479="公司筐",N(对接源_01水果!$V479)&lt;&gt;0)),1,0)</f>
        <v>0</v>
      </c>
      <c r="U479" s="1" t="n">
        <f aca="false">N(U478)+$T479</f>
        <v>28</v>
      </c>
      <c r="V479" s="1" t="n">
        <f aca="false">IF(AND($L479=1,AND(对接源_01水果!$X479="自备筐",N(对接源_01水果!$V479)&lt;&gt;0)),1,0)</f>
        <v>0</v>
      </c>
      <c r="W479" s="1" t="n">
        <f aca="false">N(W478)+$V479</f>
        <v>7</v>
      </c>
      <c r="X479" s="1" t="n">
        <f aca="false">IF(AND($L479=1,AND(对接源_01水果!$X479="自备筐",N(对接源_01水果!$T479)&lt;&gt;0)),1,0)</f>
        <v>0</v>
      </c>
      <c r="Y479" s="1" t="n">
        <f aca="false">N(Y478)+$X479</f>
        <v>0</v>
      </c>
      <c r="Z479" s="1" t="n">
        <f aca="false">IF(AND($M479=1,对接源_01水果!$D479="原料入库"),1,0)</f>
        <v>0</v>
      </c>
      <c r="AA479" s="1" t="n">
        <f aca="false">N(AA478)+$Z479</f>
        <v>30</v>
      </c>
      <c r="AB479" s="1" t="n">
        <f aca="false">IF(AND($M479=1,LEFT(对接源_01水果!$D479,4)="原料出库"),1,0)</f>
        <v>0</v>
      </c>
      <c r="AC479" s="1" t="n">
        <f aca="false">N(AC478)+$AB479</f>
        <v>19</v>
      </c>
      <c r="AD479" s="1" t="n">
        <f aca="false">IF(AND($M479=1,LEFT(对接源_01水果!$D479,4)="成品出库"),1,0)</f>
        <v>0</v>
      </c>
      <c r="AE479" s="1" t="n">
        <f aca="false">N(AE478)+$AD479</f>
        <v>38</v>
      </c>
      <c r="AF479" s="1" t="n">
        <f aca="false">IF(AND($N479=1,AND(LEFT(对接源_01水果!$D479,4)="包装物料",N(对接源_01水果!$K479)&lt;&gt;0)),1,0)</f>
        <v>0</v>
      </c>
      <c r="AG479" s="90" t="str">
        <f aca="false">IF(对接源_01水果!$AC479="","",对接源_01水果!$AC479)</f>
        <v/>
      </c>
      <c r="AH479" s="1" t="n">
        <f aca="false">IF(AND($N479=1,AND(LEFT(对接源_01水果!$D479,3)="周转筐",N(对接源_01水果!$K479)&lt;&gt;0)),1,0)</f>
        <v>0</v>
      </c>
      <c r="AI479" s="90" t="n">
        <f aca="false">IF(AG479="",0,IF(MATCH(AG479,$AG$4:$AG$1203,0)=ROW()-3,1,0))</f>
        <v>0</v>
      </c>
      <c r="AJ479" s="90" t="n">
        <f aca="false">N(AJ478)+AI479</f>
        <v>4</v>
      </c>
      <c r="AK479" s="1" t="n">
        <f aca="false">N(AK478)+$AJ479</f>
        <v>776</v>
      </c>
    </row>
    <row r="480" customFormat="false" ht="13.5" hidden="false" customHeight="false" outlineLevel="0" collapsed="false">
      <c r="A480" s="1" t="str">
        <f aca="false">IF(对接源_01水果!$C480="","",对接源_01水果!$C480)</f>
        <v/>
      </c>
      <c r="B480" s="1" t="n">
        <f aca="false">IF(A480="",0,IF(MATCH(A480,$A$4:$A$2403,0)=ROW()-3,1,0))</f>
        <v>0</v>
      </c>
      <c r="C480" s="1" t="n">
        <f aca="false">N(C479)+B480</f>
        <v>13</v>
      </c>
      <c r="K480" s="1" t="n">
        <f aca="false">IF(OR($K$1="",对接源_01水果!$C480="",对接源_01水果!$C480&lt;&gt;$K$1,对接源_01水果!$B480=""),0,IF(OR(N(对接源_01水果!$B480)&lt;$K$2,N(对接源_01水果!$B480)&gt;$K$3),0,1))</f>
        <v>0</v>
      </c>
      <c r="L480" s="1" t="n">
        <f aca="false">IF(OR($L$1="",对接源_01水果!$C480="",对接源_01水果!$C480&lt;&gt;$L$1,对接源_01水果!$B480=""),0,IF(OR(N(对接源_01水果!$B480)&lt;$L$2,N(对接源_01水果!$B480)&gt;$L$3),0,1))</f>
        <v>0</v>
      </c>
      <c r="M480" s="1" t="n">
        <f aca="false">IF(OR($M$1="",对接源_01水果!$C480="",对接源_01水果!$C480&lt;&gt;$M$1,对接源_01水果!$B480=""),0,IF(OR(N(对接源_01水果!$B480)&lt;$M$2,N(对接源_01水果!$B480)&gt;$M$3),0,1))</f>
        <v>0</v>
      </c>
      <c r="N480" s="1" t="n">
        <f aca="false">IF(OR($N$1="",对接源_01水果!$C480="",对接源_01水果!$C480&lt;&gt;$N$1,对接源_01水果!$B480=""),0,IF(OR(N(对接源_01水果!$B480)&lt;$N$2,N(对接源_01水果!$B480)&gt;$N$3),0,1))</f>
        <v>0</v>
      </c>
      <c r="P480" s="1" t="n">
        <f aca="false">IF(AND($K480=1,AND(对接源_01水果!$X480="公司筐",N(对接源_01水果!$T480)&lt;&gt;0)),1,0)</f>
        <v>0</v>
      </c>
      <c r="Q480" s="1" t="n">
        <f aca="false">N(Q479)+$P480</f>
        <v>3</v>
      </c>
      <c r="R480" s="1" t="n">
        <f aca="false">IF(AND($K480=1,AND(对接源_01水果!$X480="公司筐",N(对接源_01水果!$U480)&lt;&gt;0)),1,0)</f>
        <v>0</v>
      </c>
      <c r="S480" s="1" t="n">
        <f aca="false">N(S479)+$R480</f>
        <v>0</v>
      </c>
      <c r="T480" s="1" t="n">
        <f aca="false">IF(AND($K480=1,AND(对接源_01水果!$X480="公司筐",N(对接源_01水果!$V480)&lt;&gt;0)),1,0)</f>
        <v>0</v>
      </c>
      <c r="U480" s="1" t="n">
        <f aca="false">N(U479)+$T480</f>
        <v>28</v>
      </c>
      <c r="V480" s="1" t="n">
        <f aca="false">IF(AND($L480=1,AND(对接源_01水果!$X480="自备筐",N(对接源_01水果!$V480)&lt;&gt;0)),1,0)</f>
        <v>0</v>
      </c>
      <c r="W480" s="1" t="n">
        <f aca="false">N(W479)+$V480</f>
        <v>7</v>
      </c>
      <c r="X480" s="1" t="n">
        <f aca="false">IF(AND($L480=1,AND(对接源_01水果!$X480="自备筐",N(对接源_01水果!$T480)&lt;&gt;0)),1,0)</f>
        <v>0</v>
      </c>
      <c r="Y480" s="1" t="n">
        <f aca="false">N(Y479)+$X480</f>
        <v>0</v>
      </c>
      <c r="Z480" s="1" t="n">
        <f aca="false">IF(AND($M480=1,对接源_01水果!$D480="原料入库"),1,0)</f>
        <v>0</v>
      </c>
      <c r="AA480" s="1" t="n">
        <f aca="false">N(AA479)+$Z480</f>
        <v>30</v>
      </c>
      <c r="AB480" s="1" t="n">
        <f aca="false">IF(AND($M480=1,LEFT(对接源_01水果!$D480,4)="原料出库"),1,0)</f>
        <v>0</v>
      </c>
      <c r="AC480" s="1" t="n">
        <f aca="false">N(AC479)+$AB480</f>
        <v>19</v>
      </c>
      <c r="AD480" s="1" t="n">
        <f aca="false">IF(AND($M480=1,LEFT(对接源_01水果!$D480,4)="成品出库"),1,0)</f>
        <v>0</v>
      </c>
      <c r="AE480" s="1" t="n">
        <f aca="false">N(AE479)+$AD480</f>
        <v>38</v>
      </c>
      <c r="AF480" s="1" t="n">
        <f aca="false">IF(AND($N480=1,AND(LEFT(对接源_01水果!$D480,4)="包装物料",N(对接源_01水果!$K480)&lt;&gt;0)),1,0)</f>
        <v>0</v>
      </c>
      <c r="AG480" s="90" t="str">
        <f aca="false">IF(对接源_01水果!$AC480="","",对接源_01水果!$AC480)</f>
        <v/>
      </c>
      <c r="AH480" s="1" t="n">
        <f aca="false">IF(AND($N480=1,AND(LEFT(对接源_01水果!$D480,3)="周转筐",N(对接源_01水果!$K480)&lt;&gt;0)),1,0)</f>
        <v>0</v>
      </c>
      <c r="AI480" s="90" t="n">
        <f aca="false">IF(AG480="",0,IF(MATCH(AG480,$AG$4:$AG$1203,0)=ROW()-3,1,0))</f>
        <v>0</v>
      </c>
      <c r="AJ480" s="90" t="n">
        <f aca="false">N(AJ479)+AI480</f>
        <v>4</v>
      </c>
      <c r="AK480" s="1" t="n">
        <f aca="false">N(AK479)+$AJ480</f>
        <v>780</v>
      </c>
    </row>
    <row r="481" customFormat="false" ht="13.5" hidden="false" customHeight="false" outlineLevel="0" collapsed="false">
      <c r="A481" s="1" t="str">
        <f aca="false">IF(对接源_01水果!$C481="","",对接源_01水果!$C481)</f>
        <v/>
      </c>
      <c r="B481" s="1" t="n">
        <f aca="false">IF(A481="",0,IF(MATCH(A481,$A$4:$A$2403,0)=ROW()-3,1,0))</f>
        <v>0</v>
      </c>
      <c r="C481" s="1" t="n">
        <f aca="false">N(C480)+B481</f>
        <v>13</v>
      </c>
      <c r="K481" s="1" t="n">
        <f aca="false">IF(OR($K$1="",对接源_01水果!$C481="",对接源_01水果!$C481&lt;&gt;$K$1,对接源_01水果!$B481=""),0,IF(OR(N(对接源_01水果!$B481)&lt;$K$2,N(对接源_01水果!$B481)&gt;$K$3),0,1))</f>
        <v>0</v>
      </c>
      <c r="L481" s="1" t="n">
        <f aca="false">IF(OR($L$1="",对接源_01水果!$C481="",对接源_01水果!$C481&lt;&gt;$L$1,对接源_01水果!$B481=""),0,IF(OR(N(对接源_01水果!$B481)&lt;$L$2,N(对接源_01水果!$B481)&gt;$L$3),0,1))</f>
        <v>0</v>
      </c>
      <c r="M481" s="1" t="n">
        <f aca="false">IF(OR($M$1="",对接源_01水果!$C481="",对接源_01水果!$C481&lt;&gt;$M$1,对接源_01水果!$B481=""),0,IF(OR(N(对接源_01水果!$B481)&lt;$M$2,N(对接源_01水果!$B481)&gt;$M$3),0,1))</f>
        <v>0</v>
      </c>
      <c r="N481" s="1" t="n">
        <f aca="false">IF(OR($N$1="",对接源_01水果!$C481="",对接源_01水果!$C481&lt;&gt;$N$1,对接源_01水果!$B481=""),0,IF(OR(N(对接源_01水果!$B481)&lt;$N$2,N(对接源_01水果!$B481)&gt;$N$3),0,1))</f>
        <v>0</v>
      </c>
      <c r="P481" s="1" t="n">
        <f aca="false">IF(AND($K481=1,AND(对接源_01水果!$X481="公司筐",N(对接源_01水果!$T481)&lt;&gt;0)),1,0)</f>
        <v>0</v>
      </c>
      <c r="Q481" s="1" t="n">
        <f aca="false">N(Q480)+$P481</f>
        <v>3</v>
      </c>
      <c r="R481" s="1" t="n">
        <f aca="false">IF(AND($K481=1,AND(对接源_01水果!$X481="公司筐",N(对接源_01水果!$U481)&lt;&gt;0)),1,0)</f>
        <v>0</v>
      </c>
      <c r="S481" s="1" t="n">
        <f aca="false">N(S480)+$R481</f>
        <v>0</v>
      </c>
      <c r="T481" s="1" t="n">
        <f aca="false">IF(AND($K481=1,AND(对接源_01水果!$X481="公司筐",N(对接源_01水果!$V481)&lt;&gt;0)),1,0)</f>
        <v>0</v>
      </c>
      <c r="U481" s="1" t="n">
        <f aca="false">N(U480)+$T481</f>
        <v>28</v>
      </c>
      <c r="V481" s="1" t="n">
        <f aca="false">IF(AND($L481=1,AND(对接源_01水果!$X481="自备筐",N(对接源_01水果!$V481)&lt;&gt;0)),1,0)</f>
        <v>0</v>
      </c>
      <c r="W481" s="1" t="n">
        <f aca="false">N(W480)+$V481</f>
        <v>7</v>
      </c>
      <c r="X481" s="1" t="n">
        <f aca="false">IF(AND($L481=1,AND(对接源_01水果!$X481="自备筐",N(对接源_01水果!$T481)&lt;&gt;0)),1,0)</f>
        <v>0</v>
      </c>
      <c r="Y481" s="1" t="n">
        <f aca="false">N(Y480)+$X481</f>
        <v>0</v>
      </c>
      <c r="Z481" s="1" t="n">
        <f aca="false">IF(AND($M481=1,对接源_01水果!$D481="原料入库"),1,0)</f>
        <v>0</v>
      </c>
      <c r="AA481" s="1" t="n">
        <f aca="false">N(AA480)+$Z481</f>
        <v>30</v>
      </c>
      <c r="AB481" s="1" t="n">
        <f aca="false">IF(AND($M481=1,LEFT(对接源_01水果!$D481,4)="原料出库"),1,0)</f>
        <v>0</v>
      </c>
      <c r="AC481" s="1" t="n">
        <f aca="false">N(AC480)+$AB481</f>
        <v>19</v>
      </c>
      <c r="AD481" s="1" t="n">
        <f aca="false">IF(AND($M481=1,LEFT(对接源_01水果!$D481,4)="成品出库"),1,0)</f>
        <v>0</v>
      </c>
      <c r="AE481" s="1" t="n">
        <f aca="false">N(AE480)+$AD481</f>
        <v>38</v>
      </c>
      <c r="AF481" s="1" t="n">
        <f aca="false">IF(AND($N481=1,AND(LEFT(对接源_01水果!$D481,4)="包装物料",N(对接源_01水果!$K481)&lt;&gt;0)),1,0)</f>
        <v>0</v>
      </c>
      <c r="AG481" s="90" t="str">
        <f aca="false">IF(对接源_01水果!$AC481="","",对接源_01水果!$AC481)</f>
        <v/>
      </c>
      <c r="AH481" s="1" t="n">
        <f aca="false">IF(AND($N481=1,AND(LEFT(对接源_01水果!$D481,3)="周转筐",N(对接源_01水果!$K481)&lt;&gt;0)),1,0)</f>
        <v>0</v>
      </c>
      <c r="AI481" s="90" t="n">
        <f aca="false">IF(AG481="",0,IF(MATCH(AG481,$AG$4:$AG$1203,0)=ROW()-3,1,0))</f>
        <v>0</v>
      </c>
      <c r="AJ481" s="90" t="n">
        <f aca="false">N(AJ480)+AI481</f>
        <v>4</v>
      </c>
      <c r="AK481" s="1" t="n">
        <f aca="false">N(AK480)+$AJ481</f>
        <v>784</v>
      </c>
    </row>
    <row r="482" customFormat="false" ht="13.5" hidden="false" customHeight="false" outlineLevel="0" collapsed="false">
      <c r="A482" s="1" t="str">
        <f aca="false">IF(对接源_01水果!$C482="","",对接源_01水果!$C482)</f>
        <v/>
      </c>
      <c r="B482" s="1" t="n">
        <f aca="false">IF(A482="",0,IF(MATCH(A482,$A$4:$A$2403,0)=ROW()-3,1,0))</f>
        <v>0</v>
      </c>
      <c r="C482" s="1" t="n">
        <f aca="false">N(C481)+B482</f>
        <v>13</v>
      </c>
      <c r="K482" s="1" t="n">
        <f aca="false">IF(OR($K$1="",对接源_01水果!$C482="",对接源_01水果!$C482&lt;&gt;$K$1,对接源_01水果!$B482=""),0,IF(OR(N(对接源_01水果!$B482)&lt;$K$2,N(对接源_01水果!$B482)&gt;$K$3),0,1))</f>
        <v>0</v>
      </c>
      <c r="L482" s="1" t="n">
        <f aca="false">IF(OR($L$1="",对接源_01水果!$C482="",对接源_01水果!$C482&lt;&gt;$L$1,对接源_01水果!$B482=""),0,IF(OR(N(对接源_01水果!$B482)&lt;$L$2,N(对接源_01水果!$B482)&gt;$L$3),0,1))</f>
        <v>0</v>
      </c>
      <c r="M482" s="1" t="n">
        <f aca="false">IF(OR($M$1="",对接源_01水果!$C482="",对接源_01水果!$C482&lt;&gt;$M$1,对接源_01水果!$B482=""),0,IF(OR(N(对接源_01水果!$B482)&lt;$M$2,N(对接源_01水果!$B482)&gt;$M$3),0,1))</f>
        <v>0</v>
      </c>
      <c r="N482" s="1" t="n">
        <f aca="false">IF(OR($N$1="",对接源_01水果!$C482="",对接源_01水果!$C482&lt;&gt;$N$1,对接源_01水果!$B482=""),0,IF(OR(N(对接源_01水果!$B482)&lt;$N$2,N(对接源_01水果!$B482)&gt;$N$3),0,1))</f>
        <v>0</v>
      </c>
      <c r="P482" s="1" t="n">
        <f aca="false">IF(AND($K482=1,AND(对接源_01水果!$X482="公司筐",N(对接源_01水果!$T482)&lt;&gt;0)),1,0)</f>
        <v>0</v>
      </c>
      <c r="Q482" s="1" t="n">
        <f aca="false">N(Q481)+$P482</f>
        <v>3</v>
      </c>
      <c r="R482" s="1" t="n">
        <f aca="false">IF(AND($K482=1,AND(对接源_01水果!$X482="公司筐",N(对接源_01水果!$U482)&lt;&gt;0)),1,0)</f>
        <v>0</v>
      </c>
      <c r="S482" s="1" t="n">
        <f aca="false">N(S481)+$R482</f>
        <v>0</v>
      </c>
      <c r="T482" s="1" t="n">
        <f aca="false">IF(AND($K482=1,AND(对接源_01水果!$X482="公司筐",N(对接源_01水果!$V482)&lt;&gt;0)),1,0)</f>
        <v>0</v>
      </c>
      <c r="U482" s="1" t="n">
        <f aca="false">N(U481)+$T482</f>
        <v>28</v>
      </c>
      <c r="V482" s="1" t="n">
        <f aca="false">IF(AND($L482=1,AND(对接源_01水果!$X482="自备筐",N(对接源_01水果!$V482)&lt;&gt;0)),1,0)</f>
        <v>0</v>
      </c>
      <c r="W482" s="1" t="n">
        <f aca="false">N(W481)+$V482</f>
        <v>7</v>
      </c>
      <c r="X482" s="1" t="n">
        <f aca="false">IF(AND($L482=1,AND(对接源_01水果!$X482="自备筐",N(对接源_01水果!$T482)&lt;&gt;0)),1,0)</f>
        <v>0</v>
      </c>
      <c r="Y482" s="1" t="n">
        <f aca="false">N(Y481)+$X482</f>
        <v>0</v>
      </c>
      <c r="Z482" s="1" t="n">
        <f aca="false">IF(AND($M482=1,对接源_01水果!$D482="原料入库"),1,0)</f>
        <v>0</v>
      </c>
      <c r="AA482" s="1" t="n">
        <f aca="false">N(AA481)+$Z482</f>
        <v>30</v>
      </c>
      <c r="AB482" s="1" t="n">
        <f aca="false">IF(AND($M482=1,LEFT(对接源_01水果!$D482,4)="原料出库"),1,0)</f>
        <v>0</v>
      </c>
      <c r="AC482" s="1" t="n">
        <f aca="false">N(AC481)+$AB482</f>
        <v>19</v>
      </c>
      <c r="AD482" s="1" t="n">
        <f aca="false">IF(AND($M482=1,LEFT(对接源_01水果!$D482,4)="成品出库"),1,0)</f>
        <v>0</v>
      </c>
      <c r="AE482" s="1" t="n">
        <f aca="false">N(AE481)+$AD482</f>
        <v>38</v>
      </c>
      <c r="AF482" s="1" t="n">
        <f aca="false">IF(AND($N482=1,AND(LEFT(对接源_01水果!$D482,4)="包装物料",N(对接源_01水果!$K482)&lt;&gt;0)),1,0)</f>
        <v>0</v>
      </c>
      <c r="AG482" s="90" t="str">
        <f aca="false">IF(对接源_01水果!$AC482="","",对接源_01水果!$AC482)</f>
        <v/>
      </c>
      <c r="AH482" s="1" t="n">
        <f aca="false">IF(AND($N482=1,AND(LEFT(对接源_01水果!$D482,3)="周转筐",N(对接源_01水果!$K482)&lt;&gt;0)),1,0)</f>
        <v>0</v>
      </c>
      <c r="AI482" s="90" t="n">
        <f aca="false">IF(AG482="",0,IF(MATCH(AG482,$AG$4:$AG$1203,0)=ROW()-3,1,0))</f>
        <v>0</v>
      </c>
      <c r="AJ482" s="90" t="n">
        <f aca="false">N(AJ481)+AI482</f>
        <v>4</v>
      </c>
      <c r="AK482" s="1" t="n">
        <f aca="false">N(AK481)+$AJ482</f>
        <v>788</v>
      </c>
    </row>
    <row r="483" customFormat="false" ht="13.5" hidden="false" customHeight="false" outlineLevel="0" collapsed="false">
      <c r="A483" s="1" t="str">
        <f aca="false">IF(对接源_01水果!$C483="","",对接源_01水果!$C483)</f>
        <v/>
      </c>
      <c r="B483" s="1" t="n">
        <f aca="false">IF(A483="",0,IF(MATCH(A483,$A$4:$A$2403,0)=ROW()-3,1,0))</f>
        <v>0</v>
      </c>
      <c r="C483" s="1" t="n">
        <f aca="false">N(C482)+B483</f>
        <v>13</v>
      </c>
      <c r="K483" s="1" t="n">
        <f aca="false">IF(OR($K$1="",对接源_01水果!$C483="",对接源_01水果!$C483&lt;&gt;$K$1,对接源_01水果!$B483=""),0,IF(OR(N(对接源_01水果!$B483)&lt;$K$2,N(对接源_01水果!$B483)&gt;$K$3),0,1))</f>
        <v>0</v>
      </c>
      <c r="L483" s="1" t="n">
        <f aca="false">IF(OR($L$1="",对接源_01水果!$C483="",对接源_01水果!$C483&lt;&gt;$L$1,对接源_01水果!$B483=""),0,IF(OR(N(对接源_01水果!$B483)&lt;$L$2,N(对接源_01水果!$B483)&gt;$L$3),0,1))</f>
        <v>0</v>
      </c>
      <c r="M483" s="1" t="n">
        <f aca="false">IF(OR($M$1="",对接源_01水果!$C483="",对接源_01水果!$C483&lt;&gt;$M$1,对接源_01水果!$B483=""),0,IF(OR(N(对接源_01水果!$B483)&lt;$M$2,N(对接源_01水果!$B483)&gt;$M$3),0,1))</f>
        <v>0</v>
      </c>
      <c r="N483" s="1" t="n">
        <f aca="false">IF(OR($N$1="",对接源_01水果!$C483="",对接源_01水果!$C483&lt;&gt;$N$1,对接源_01水果!$B483=""),0,IF(OR(N(对接源_01水果!$B483)&lt;$N$2,N(对接源_01水果!$B483)&gt;$N$3),0,1))</f>
        <v>0</v>
      </c>
      <c r="P483" s="1" t="n">
        <f aca="false">IF(AND($K483=1,AND(对接源_01水果!$X483="公司筐",N(对接源_01水果!$T483)&lt;&gt;0)),1,0)</f>
        <v>0</v>
      </c>
      <c r="Q483" s="1" t="n">
        <f aca="false">N(Q482)+$P483</f>
        <v>3</v>
      </c>
      <c r="R483" s="1" t="n">
        <f aca="false">IF(AND($K483=1,AND(对接源_01水果!$X483="公司筐",N(对接源_01水果!$U483)&lt;&gt;0)),1,0)</f>
        <v>0</v>
      </c>
      <c r="S483" s="1" t="n">
        <f aca="false">N(S482)+$R483</f>
        <v>0</v>
      </c>
      <c r="T483" s="1" t="n">
        <f aca="false">IF(AND($K483=1,AND(对接源_01水果!$X483="公司筐",N(对接源_01水果!$V483)&lt;&gt;0)),1,0)</f>
        <v>0</v>
      </c>
      <c r="U483" s="1" t="n">
        <f aca="false">N(U482)+$T483</f>
        <v>28</v>
      </c>
      <c r="V483" s="1" t="n">
        <f aca="false">IF(AND($L483=1,AND(对接源_01水果!$X483="自备筐",N(对接源_01水果!$V483)&lt;&gt;0)),1,0)</f>
        <v>0</v>
      </c>
      <c r="W483" s="1" t="n">
        <f aca="false">N(W482)+$V483</f>
        <v>7</v>
      </c>
      <c r="X483" s="1" t="n">
        <f aca="false">IF(AND($L483=1,AND(对接源_01水果!$X483="自备筐",N(对接源_01水果!$T483)&lt;&gt;0)),1,0)</f>
        <v>0</v>
      </c>
      <c r="Y483" s="1" t="n">
        <f aca="false">N(Y482)+$X483</f>
        <v>0</v>
      </c>
      <c r="Z483" s="1" t="n">
        <f aca="false">IF(AND($M483=1,对接源_01水果!$D483="原料入库"),1,0)</f>
        <v>0</v>
      </c>
      <c r="AA483" s="1" t="n">
        <f aca="false">N(AA482)+$Z483</f>
        <v>30</v>
      </c>
      <c r="AB483" s="1" t="n">
        <f aca="false">IF(AND($M483=1,LEFT(对接源_01水果!$D483,4)="原料出库"),1,0)</f>
        <v>0</v>
      </c>
      <c r="AC483" s="1" t="n">
        <f aca="false">N(AC482)+$AB483</f>
        <v>19</v>
      </c>
      <c r="AD483" s="1" t="n">
        <f aca="false">IF(AND($M483=1,LEFT(对接源_01水果!$D483,4)="成品出库"),1,0)</f>
        <v>0</v>
      </c>
      <c r="AE483" s="1" t="n">
        <f aca="false">N(AE482)+$AD483</f>
        <v>38</v>
      </c>
      <c r="AF483" s="1" t="n">
        <f aca="false">IF(AND($N483=1,AND(LEFT(对接源_01水果!$D483,4)="包装物料",N(对接源_01水果!$K483)&lt;&gt;0)),1,0)</f>
        <v>0</v>
      </c>
      <c r="AG483" s="90" t="str">
        <f aca="false">IF(对接源_01水果!$AC483="","",对接源_01水果!$AC483)</f>
        <v/>
      </c>
      <c r="AH483" s="1" t="n">
        <f aca="false">IF(AND($N483=1,AND(LEFT(对接源_01水果!$D483,3)="周转筐",N(对接源_01水果!$K483)&lt;&gt;0)),1,0)</f>
        <v>0</v>
      </c>
      <c r="AI483" s="90" t="n">
        <f aca="false">IF(AG483="",0,IF(MATCH(AG483,$AG$4:$AG$1203,0)=ROW()-3,1,0))</f>
        <v>0</v>
      </c>
      <c r="AJ483" s="90" t="n">
        <f aca="false">N(AJ482)+AI483</f>
        <v>4</v>
      </c>
      <c r="AK483" s="1" t="n">
        <f aca="false">N(AK482)+$AJ483</f>
        <v>792</v>
      </c>
    </row>
    <row r="484" customFormat="false" ht="13.5" hidden="false" customHeight="false" outlineLevel="0" collapsed="false">
      <c r="A484" s="1" t="str">
        <f aca="false">IF(对接源_01水果!$C484="","",对接源_01水果!$C484)</f>
        <v/>
      </c>
      <c r="B484" s="1" t="n">
        <f aca="false">IF(A484="",0,IF(MATCH(A484,$A$4:$A$2403,0)=ROW()-3,1,0))</f>
        <v>0</v>
      </c>
      <c r="C484" s="1" t="n">
        <f aca="false">N(C483)+B484</f>
        <v>13</v>
      </c>
      <c r="K484" s="1" t="n">
        <f aca="false">IF(OR($K$1="",对接源_01水果!$C484="",对接源_01水果!$C484&lt;&gt;$K$1,对接源_01水果!$B484=""),0,IF(OR(N(对接源_01水果!$B484)&lt;$K$2,N(对接源_01水果!$B484)&gt;$K$3),0,1))</f>
        <v>0</v>
      </c>
      <c r="L484" s="1" t="n">
        <f aca="false">IF(OR($L$1="",对接源_01水果!$C484="",对接源_01水果!$C484&lt;&gt;$L$1,对接源_01水果!$B484=""),0,IF(OR(N(对接源_01水果!$B484)&lt;$L$2,N(对接源_01水果!$B484)&gt;$L$3),0,1))</f>
        <v>0</v>
      </c>
      <c r="M484" s="1" t="n">
        <f aca="false">IF(OR($M$1="",对接源_01水果!$C484="",对接源_01水果!$C484&lt;&gt;$M$1,对接源_01水果!$B484=""),0,IF(OR(N(对接源_01水果!$B484)&lt;$M$2,N(对接源_01水果!$B484)&gt;$M$3),0,1))</f>
        <v>0</v>
      </c>
      <c r="N484" s="1" t="n">
        <f aca="false">IF(OR($N$1="",对接源_01水果!$C484="",对接源_01水果!$C484&lt;&gt;$N$1,对接源_01水果!$B484=""),0,IF(OR(N(对接源_01水果!$B484)&lt;$N$2,N(对接源_01水果!$B484)&gt;$N$3),0,1))</f>
        <v>0</v>
      </c>
      <c r="P484" s="1" t="n">
        <f aca="false">IF(AND($K484=1,AND(对接源_01水果!$X484="公司筐",N(对接源_01水果!$T484)&lt;&gt;0)),1,0)</f>
        <v>0</v>
      </c>
      <c r="Q484" s="1" t="n">
        <f aca="false">N(Q483)+$P484</f>
        <v>3</v>
      </c>
      <c r="R484" s="1" t="n">
        <f aca="false">IF(AND($K484=1,AND(对接源_01水果!$X484="公司筐",N(对接源_01水果!$U484)&lt;&gt;0)),1,0)</f>
        <v>0</v>
      </c>
      <c r="S484" s="1" t="n">
        <f aca="false">N(S483)+$R484</f>
        <v>0</v>
      </c>
      <c r="T484" s="1" t="n">
        <f aca="false">IF(AND($K484=1,AND(对接源_01水果!$X484="公司筐",N(对接源_01水果!$V484)&lt;&gt;0)),1,0)</f>
        <v>0</v>
      </c>
      <c r="U484" s="1" t="n">
        <f aca="false">N(U483)+$T484</f>
        <v>28</v>
      </c>
      <c r="V484" s="1" t="n">
        <f aca="false">IF(AND($L484=1,AND(对接源_01水果!$X484="自备筐",N(对接源_01水果!$V484)&lt;&gt;0)),1,0)</f>
        <v>0</v>
      </c>
      <c r="W484" s="1" t="n">
        <f aca="false">N(W483)+$V484</f>
        <v>7</v>
      </c>
      <c r="X484" s="1" t="n">
        <f aca="false">IF(AND($L484=1,AND(对接源_01水果!$X484="自备筐",N(对接源_01水果!$T484)&lt;&gt;0)),1,0)</f>
        <v>0</v>
      </c>
      <c r="Y484" s="1" t="n">
        <f aca="false">N(Y483)+$X484</f>
        <v>0</v>
      </c>
      <c r="Z484" s="1" t="n">
        <f aca="false">IF(AND($M484=1,对接源_01水果!$D484="原料入库"),1,0)</f>
        <v>0</v>
      </c>
      <c r="AA484" s="1" t="n">
        <f aca="false">N(AA483)+$Z484</f>
        <v>30</v>
      </c>
      <c r="AB484" s="1" t="n">
        <f aca="false">IF(AND($M484=1,LEFT(对接源_01水果!$D484,4)="原料出库"),1,0)</f>
        <v>0</v>
      </c>
      <c r="AC484" s="1" t="n">
        <f aca="false">N(AC483)+$AB484</f>
        <v>19</v>
      </c>
      <c r="AD484" s="1" t="n">
        <f aca="false">IF(AND($M484=1,LEFT(对接源_01水果!$D484,4)="成品出库"),1,0)</f>
        <v>0</v>
      </c>
      <c r="AE484" s="1" t="n">
        <f aca="false">N(AE483)+$AD484</f>
        <v>38</v>
      </c>
      <c r="AF484" s="1" t="n">
        <f aca="false">IF(AND($N484=1,AND(LEFT(对接源_01水果!$D484,4)="包装物料",N(对接源_01水果!$K484)&lt;&gt;0)),1,0)</f>
        <v>0</v>
      </c>
      <c r="AG484" s="90" t="str">
        <f aca="false">IF(对接源_01水果!$AC484="","",对接源_01水果!$AC484)</f>
        <v/>
      </c>
      <c r="AH484" s="1" t="n">
        <f aca="false">IF(AND($N484=1,AND(LEFT(对接源_01水果!$D484,3)="周转筐",N(对接源_01水果!$K484)&lt;&gt;0)),1,0)</f>
        <v>0</v>
      </c>
      <c r="AI484" s="90" t="n">
        <f aca="false">IF(AG484="",0,IF(MATCH(AG484,$AG$4:$AG$1203,0)=ROW()-3,1,0))</f>
        <v>0</v>
      </c>
      <c r="AJ484" s="90" t="n">
        <f aca="false">N(AJ483)+AI484</f>
        <v>4</v>
      </c>
      <c r="AK484" s="1" t="n">
        <f aca="false">N(AK483)+$AJ484</f>
        <v>796</v>
      </c>
    </row>
    <row r="485" customFormat="false" ht="13.5" hidden="false" customHeight="false" outlineLevel="0" collapsed="false">
      <c r="A485" s="1" t="str">
        <f aca="false">IF(对接源_01水果!$C485="","",对接源_01水果!$C485)</f>
        <v/>
      </c>
      <c r="B485" s="1" t="n">
        <f aca="false">IF(A485="",0,IF(MATCH(A485,$A$4:$A$2403,0)=ROW()-3,1,0))</f>
        <v>0</v>
      </c>
      <c r="C485" s="1" t="n">
        <f aca="false">N(C484)+B485</f>
        <v>13</v>
      </c>
      <c r="K485" s="1" t="n">
        <f aca="false">IF(OR($K$1="",对接源_01水果!$C485="",对接源_01水果!$C485&lt;&gt;$K$1,对接源_01水果!$B485=""),0,IF(OR(N(对接源_01水果!$B485)&lt;$K$2,N(对接源_01水果!$B485)&gt;$K$3),0,1))</f>
        <v>0</v>
      </c>
      <c r="L485" s="1" t="n">
        <f aca="false">IF(OR($L$1="",对接源_01水果!$C485="",对接源_01水果!$C485&lt;&gt;$L$1,对接源_01水果!$B485=""),0,IF(OR(N(对接源_01水果!$B485)&lt;$L$2,N(对接源_01水果!$B485)&gt;$L$3),0,1))</f>
        <v>0</v>
      </c>
      <c r="M485" s="1" t="n">
        <f aca="false">IF(OR($M$1="",对接源_01水果!$C485="",对接源_01水果!$C485&lt;&gt;$M$1,对接源_01水果!$B485=""),0,IF(OR(N(对接源_01水果!$B485)&lt;$M$2,N(对接源_01水果!$B485)&gt;$M$3),0,1))</f>
        <v>0</v>
      </c>
      <c r="N485" s="1" t="n">
        <f aca="false">IF(OR($N$1="",对接源_01水果!$C485="",对接源_01水果!$C485&lt;&gt;$N$1,对接源_01水果!$B485=""),0,IF(OR(N(对接源_01水果!$B485)&lt;$N$2,N(对接源_01水果!$B485)&gt;$N$3),0,1))</f>
        <v>0</v>
      </c>
      <c r="P485" s="1" t="n">
        <f aca="false">IF(AND($K485=1,AND(对接源_01水果!$X485="公司筐",N(对接源_01水果!$T485)&lt;&gt;0)),1,0)</f>
        <v>0</v>
      </c>
      <c r="Q485" s="1" t="n">
        <f aca="false">N(Q484)+$P485</f>
        <v>3</v>
      </c>
      <c r="R485" s="1" t="n">
        <f aca="false">IF(AND($K485=1,AND(对接源_01水果!$X485="公司筐",N(对接源_01水果!$U485)&lt;&gt;0)),1,0)</f>
        <v>0</v>
      </c>
      <c r="S485" s="1" t="n">
        <f aca="false">N(S484)+$R485</f>
        <v>0</v>
      </c>
      <c r="T485" s="1" t="n">
        <f aca="false">IF(AND($K485=1,AND(对接源_01水果!$X485="公司筐",N(对接源_01水果!$V485)&lt;&gt;0)),1,0)</f>
        <v>0</v>
      </c>
      <c r="U485" s="1" t="n">
        <f aca="false">N(U484)+$T485</f>
        <v>28</v>
      </c>
      <c r="V485" s="1" t="n">
        <f aca="false">IF(AND($L485=1,AND(对接源_01水果!$X485="自备筐",N(对接源_01水果!$V485)&lt;&gt;0)),1,0)</f>
        <v>0</v>
      </c>
      <c r="W485" s="1" t="n">
        <f aca="false">N(W484)+$V485</f>
        <v>7</v>
      </c>
      <c r="X485" s="1" t="n">
        <f aca="false">IF(AND($L485=1,AND(对接源_01水果!$X485="自备筐",N(对接源_01水果!$T485)&lt;&gt;0)),1,0)</f>
        <v>0</v>
      </c>
      <c r="Y485" s="1" t="n">
        <f aca="false">N(Y484)+$X485</f>
        <v>0</v>
      </c>
      <c r="Z485" s="1" t="n">
        <f aca="false">IF(AND($M485=1,对接源_01水果!$D485="原料入库"),1,0)</f>
        <v>0</v>
      </c>
      <c r="AA485" s="1" t="n">
        <f aca="false">N(AA484)+$Z485</f>
        <v>30</v>
      </c>
      <c r="AB485" s="1" t="n">
        <f aca="false">IF(AND($M485=1,LEFT(对接源_01水果!$D485,4)="原料出库"),1,0)</f>
        <v>0</v>
      </c>
      <c r="AC485" s="1" t="n">
        <f aca="false">N(AC484)+$AB485</f>
        <v>19</v>
      </c>
      <c r="AD485" s="1" t="n">
        <f aca="false">IF(AND($M485=1,LEFT(对接源_01水果!$D485,4)="成品出库"),1,0)</f>
        <v>0</v>
      </c>
      <c r="AE485" s="1" t="n">
        <f aca="false">N(AE484)+$AD485</f>
        <v>38</v>
      </c>
      <c r="AF485" s="1" t="n">
        <f aca="false">IF(AND($N485=1,AND(LEFT(对接源_01水果!$D485,4)="包装物料",N(对接源_01水果!$K485)&lt;&gt;0)),1,0)</f>
        <v>0</v>
      </c>
      <c r="AG485" s="90" t="str">
        <f aca="false">IF(对接源_01水果!$AC485="","",对接源_01水果!$AC485)</f>
        <v/>
      </c>
      <c r="AH485" s="1" t="n">
        <f aca="false">IF(AND($N485=1,AND(LEFT(对接源_01水果!$D485,3)="周转筐",N(对接源_01水果!$K485)&lt;&gt;0)),1,0)</f>
        <v>0</v>
      </c>
      <c r="AI485" s="90" t="n">
        <f aca="false">IF(AG485="",0,IF(MATCH(AG485,$AG$4:$AG$1203,0)=ROW()-3,1,0))</f>
        <v>0</v>
      </c>
      <c r="AJ485" s="90" t="n">
        <f aca="false">N(AJ484)+AI485</f>
        <v>4</v>
      </c>
      <c r="AK485" s="1" t="n">
        <f aca="false">N(AK484)+$AJ485</f>
        <v>800</v>
      </c>
    </row>
    <row r="486" customFormat="false" ht="13.5" hidden="false" customHeight="false" outlineLevel="0" collapsed="false">
      <c r="A486" s="1" t="str">
        <f aca="false">IF(对接源_01水果!$C486="","",对接源_01水果!$C486)</f>
        <v/>
      </c>
      <c r="B486" s="1" t="n">
        <f aca="false">IF(A486="",0,IF(MATCH(A486,$A$4:$A$2403,0)=ROW()-3,1,0))</f>
        <v>0</v>
      </c>
      <c r="C486" s="1" t="n">
        <f aca="false">N(C485)+B486</f>
        <v>13</v>
      </c>
      <c r="K486" s="1" t="n">
        <f aca="false">IF(OR($K$1="",对接源_01水果!$C486="",对接源_01水果!$C486&lt;&gt;$K$1,对接源_01水果!$B486=""),0,IF(OR(N(对接源_01水果!$B486)&lt;$K$2,N(对接源_01水果!$B486)&gt;$K$3),0,1))</f>
        <v>0</v>
      </c>
      <c r="L486" s="1" t="n">
        <f aca="false">IF(OR($L$1="",对接源_01水果!$C486="",对接源_01水果!$C486&lt;&gt;$L$1,对接源_01水果!$B486=""),0,IF(OR(N(对接源_01水果!$B486)&lt;$L$2,N(对接源_01水果!$B486)&gt;$L$3),0,1))</f>
        <v>0</v>
      </c>
      <c r="M486" s="1" t="n">
        <f aca="false">IF(OR($M$1="",对接源_01水果!$C486="",对接源_01水果!$C486&lt;&gt;$M$1,对接源_01水果!$B486=""),0,IF(OR(N(对接源_01水果!$B486)&lt;$M$2,N(对接源_01水果!$B486)&gt;$M$3),0,1))</f>
        <v>0</v>
      </c>
      <c r="N486" s="1" t="n">
        <f aca="false">IF(OR($N$1="",对接源_01水果!$C486="",对接源_01水果!$C486&lt;&gt;$N$1,对接源_01水果!$B486=""),0,IF(OR(N(对接源_01水果!$B486)&lt;$N$2,N(对接源_01水果!$B486)&gt;$N$3),0,1))</f>
        <v>0</v>
      </c>
      <c r="P486" s="1" t="n">
        <f aca="false">IF(AND($K486=1,AND(对接源_01水果!$X486="公司筐",N(对接源_01水果!$T486)&lt;&gt;0)),1,0)</f>
        <v>0</v>
      </c>
      <c r="Q486" s="1" t="n">
        <f aca="false">N(Q485)+$P486</f>
        <v>3</v>
      </c>
      <c r="R486" s="1" t="n">
        <f aca="false">IF(AND($K486=1,AND(对接源_01水果!$X486="公司筐",N(对接源_01水果!$U486)&lt;&gt;0)),1,0)</f>
        <v>0</v>
      </c>
      <c r="S486" s="1" t="n">
        <f aca="false">N(S485)+$R486</f>
        <v>0</v>
      </c>
      <c r="T486" s="1" t="n">
        <f aca="false">IF(AND($K486=1,AND(对接源_01水果!$X486="公司筐",N(对接源_01水果!$V486)&lt;&gt;0)),1,0)</f>
        <v>0</v>
      </c>
      <c r="U486" s="1" t="n">
        <f aca="false">N(U485)+$T486</f>
        <v>28</v>
      </c>
      <c r="V486" s="1" t="n">
        <f aca="false">IF(AND($L486=1,AND(对接源_01水果!$X486="自备筐",N(对接源_01水果!$V486)&lt;&gt;0)),1,0)</f>
        <v>0</v>
      </c>
      <c r="W486" s="1" t="n">
        <f aca="false">N(W485)+$V486</f>
        <v>7</v>
      </c>
      <c r="X486" s="1" t="n">
        <f aca="false">IF(AND($L486=1,AND(对接源_01水果!$X486="自备筐",N(对接源_01水果!$T486)&lt;&gt;0)),1,0)</f>
        <v>0</v>
      </c>
      <c r="Y486" s="1" t="n">
        <f aca="false">N(Y485)+$X486</f>
        <v>0</v>
      </c>
      <c r="Z486" s="1" t="n">
        <f aca="false">IF(AND($M486=1,对接源_01水果!$D486="原料入库"),1,0)</f>
        <v>0</v>
      </c>
      <c r="AA486" s="1" t="n">
        <f aca="false">N(AA485)+$Z486</f>
        <v>30</v>
      </c>
      <c r="AB486" s="1" t="n">
        <f aca="false">IF(AND($M486=1,LEFT(对接源_01水果!$D486,4)="原料出库"),1,0)</f>
        <v>0</v>
      </c>
      <c r="AC486" s="1" t="n">
        <f aca="false">N(AC485)+$AB486</f>
        <v>19</v>
      </c>
      <c r="AD486" s="1" t="n">
        <f aca="false">IF(AND($M486=1,LEFT(对接源_01水果!$D486,4)="成品出库"),1,0)</f>
        <v>0</v>
      </c>
      <c r="AE486" s="1" t="n">
        <f aca="false">N(AE485)+$AD486</f>
        <v>38</v>
      </c>
      <c r="AF486" s="1" t="n">
        <f aca="false">IF(AND($N486=1,AND(LEFT(对接源_01水果!$D486,4)="包装物料",N(对接源_01水果!$K486)&lt;&gt;0)),1,0)</f>
        <v>0</v>
      </c>
      <c r="AG486" s="90" t="str">
        <f aca="false">IF(对接源_01水果!$AC486="","",对接源_01水果!$AC486)</f>
        <v/>
      </c>
      <c r="AH486" s="1" t="n">
        <f aca="false">IF(AND($N486=1,AND(LEFT(对接源_01水果!$D486,3)="周转筐",N(对接源_01水果!$K486)&lt;&gt;0)),1,0)</f>
        <v>0</v>
      </c>
      <c r="AI486" s="90" t="n">
        <f aca="false">IF(AG486="",0,IF(MATCH(AG486,$AG$4:$AG$1203,0)=ROW()-3,1,0))</f>
        <v>0</v>
      </c>
      <c r="AJ486" s="90" t="n">
        <f aca="false">N(AJ485)+AI486</f>
        <v>4</v>
      </c>
      <c r="AK486" s="1" t="n">
        <f aca="false">N(AK485)+$AJ486</f>
        <v>804</v>
      </c>
    </row>
    <row r="487" customFormat="false" ht="13.5" hidden="false" customHeight="false" outlineLevel="0" collapsed="false">
      <c r="A487" s="1" t="str">
        <f aca="false">IF(对接源_01水果!$C487="","",对接源_01水果!$C487)</f>
        <v/>
      </c>
      <c r="B487" s="1" t="n">
        <f aca="false">IF(A487="",0,IF(MATCH(A487,$A$4:$A$2403,0)=ROW()-3,1,0))</f>
        <v>0</v>
      </c>
      <c r="C487" s="1" t="n">
        <f aca="false">N(C486)+B487</f>
        <v>13</v>
      </c>
      <c r="K487" s="1" t="n">
        <f aca="false">IF(OR($K$1="",对接源_01水果!$C487="",对接源_01水果!$C487&lt;&gt;$K$1,对接源_01水果!$B487=""),0,IF(OR(N(对接源_01水果!$B487)&lt;$K$2,N(对接源_01水果!$B487)&gt;$K$3),0,1))</f>
        <v>0</v>
      </c>
      <c r="L487" s="1" t="n">
        <f aca="false">IF(OR($L$1="",对接源_01水果!$C487="",对接源_01水果!$C487&lt;&gt;$L$1,对接源_01水果!$B487=""),0,IF(OR(N(对接源_01水果!$B487)&lt;$L$2,N(对接源_01水果!$B487)&gt;$L$3),0,1))</f>
        <v>0</v>
      </c>
      <c r="M487" s="1" t="n">
        <f aca="false">IF(OR($M$1="",对接源_01水果!$C487="",对接源_01水果!$C487&lt;&gt;$M$1,对接源_01水果!$B487=""),0,IF(OR(N(对接源_01水果!$B487)&lt;$M$2,N(对接源_01水果!$B487)&gt;$M$3),0,1))</f>
        <v>0</v>
      </c>
      <c r="N487" s="1" t="n">
        <f aca="false">IF(OR($N$1="",对接源_01水果!$C487="",对接源_01水果!$C487&lt;&gt;$N$1,对接源_01水果!$B487=""),0,IF(OR(N(对接源_01水果!$B487)&lt;$N$2,N(对接源_01水果!$B487)&gt;$N$3),0,1))</f>
        <v>0</v>
      </c>
      <c r="P487" s="1" t="n">
        <f aca="false">IF(AND($K487=1,AND(对接源_01水果!$X487="公司筐",N(对接源_01水果!$T487)&lt;&gt;0)),1,0)</f>
        <v>0</v>
      </c>
      <c r="Q487" s="1" t="n">
        <f aca="false">N(Q486)+$P487</f>
        <v>3</v>
      </c>
      <c r="R487" s="1" t="n">
        <f aca="false">IF(AND($K487=1,AND(对接源_01水果!$X487="公司筐",N(对接源_01水果!$U487)&lt;&gt;0)),1,0)</f>
        <v>0</v>
      </c>
      <c r="S487" s="1" t="n">
        <f aca="false">N(S486)+$R487</f>
        <v>0</v>
      </c>
      <c r="T487" s="1" t="n">
        <f aca="false">IF(AND($K487=1,AND(对接源_01水果!$X487="公司筐",N(对接源_01水果!$V487)&lt;&gt;0)),1,0)</f>
        <v>0</v>
      </c>
      <c r="U487" s="1" t="n">
        <f aca="false">N(U486)+$T487</f>
        <v>28</v>
      </c>
      <c r="V487" s="1" t="n">
        <f aca="false">IF(AND($L487=1,AND(对接源_01水果!$X487="自备筐",N(对接源_01水果!$V487)&lt;&gt;0)),1,0)</f>
        <v>0</v>
      </c>
      <c r="W487" s="1" t="n">
        <f aca="false">N(W486)+$V487</f>
        <v>7</v>
      </c>
      <c r="X487" s="1" t="n">
        <f aca="false">IF(AND($L487=1,AND(对接源_01水果!$X487="自备筐",N(对接源_01水果!$T487)&lt;&gt;0)),1,0)</f>
        <v>0</v>
      </c>
      <c r="Y487" s="1" t="n">
        <f aca="false">N(Y486)+$X487</f>
        <v>0</v>
      </c>
      <c r="Z487" s="1" t="n">
        <f aca="false">IF(AND($M487=1,对接源_01水果!$D487="原料入库"),1,0)</f>
        <v>0</v>
      </c>
      <c r="AA487" s="1" t="n">
        <f aca="false">N(AA486)+$Z487</f>
        <v>30</v>
      </c>
      <c r="AB487" s="1" t="n">
        <f aca="false">IF(AND($M487=1,LEFT(对接源_01水果!$D487,4)="原料出库"),1,0)</f>
        <v>0</v>
      </c>
      <c r="AC487" s="1" t="n">
        <f aca="false">N(AC486)+$AB487</f>
        <v>19</v>
      </c>
      <c r="AD487" s="1" t="n">
        <f aca="false">IF(AND($M487=1,LEFT(对接源_01水果!$D487,4)="成品出库"),1,0)</f>
        <v>0</v>
      </c>
      <c r="AE487" s="1" t="n">
        <f aca="false">N(AE486)+$AD487</f>
        <v>38</v>
      </c>
      <c r="AF487" s="1" t="n">
        <f aca="false">IF(AND($N487=1,AND(LEFT(对接源_01水果!$D487,4)="包装物料",N(对接源_01水果!$K487)&lt;&gt;0)),1,0)</f>
        <v>0</v>
      </c>
      <c r="AG487" s="90" t="str">
        <f aca="false">IF(对接源_01水果!$AC487="","",对接源_01水果!$AC487)</f>
        <v/>
      </c>
      <c r="AH487" s="1" t="n">
        <f aca="false">IF(AND($N487=1,AND(LEFT(对接源_01水果!$D487,3)="周转筐",N(对接源_01水果!$K487)&lt;&gt;0)),1,0)</f>
        <v>0</v>
      </c>
      <c r="AI487" s="90" t="n">
        <f aca="false">IF(AG487="",0,IF(MATCH(AG487,$AG$4:$AG$1203,0)=ROW()-3,1,0))</f>
        <v>0</v>
      </c>
      <c r="AJ487" s="90" t="n">
        <f aca="false">N(AJ486)+AI487</f>
        <v>4</v>
      </c>
      <c r="AK487" s="1" t="n">
        <f aca="false">N(AK486)+$AJ487</f>
        <v>808</v>
      </c>
    </row>
    <row r="488" customFormat="false" ht="13.5" hidden="false" customHeight="false" outlineLevel="0" collapsed="false">
      <c r="A488" s="1" t="str">
        <f aca="false">IF(对接源_01水果!$C488="","",对接源_01水果!$C488)</f>
        <v/>
      </c>
      <c r="B488" s="1" t="n">
        <f aca="false">IF(A488="",0,IF(MATCH(A488,$A$4:$A$2403,0)=ROW()-3,1,0))</f>
        <v>0</v>
      </c>
      <c r="C488" s="1" t="n">
        <f aca="false">N(C487)+B488</f>
        <v>13</v>
      </c>
      <c r="K488" s="1" t="n">
        <f aca="false">IF(OR($K$1="",对接源_01水果!$C488="",对接源_01水果!$C488&lt;&gt;$K$1,对接源_01水果!$B488=""),0,IF(OR(N(对接源_01水果!$B488)&lt;$K$2,N(对接源_01水果!$B488)&gt;$K$3),0,1))</f>
        <v>0</v>
      </c>
      <c r="L488" s="1" t="n">
        <f aca="false">IF(OR($L$1="",对接源_01水果!$C488="",对接源_01水果!$C488&lt;&gt;$L$1,对接源_01水果!$B488=""),0,IF(OR(N(对接源_01水果!$B488)&lt;$L$2,N(对接源_01水果!$B488)&gt;$L$3),0,1))</f>
        <v>0</v>
      </c>
      <c r="M488" s="1" t="n">
        <f aca="false">IF(OR($M$1="",对接源_01水果!$C488="",对接源_01水果!$C488&lt;&gt;$M$1,对接源_01水果!$B488=""),0,IF(OR(N(对接源_01水果!$B488)&lt;$M$2,N(对接源_01水果!$B488)&gt;$M$3),0,1))</f>
        <v>0</v>
      </c>
      <c r="N488" s="1" t="n">
        <f aca="false">IF(OR($N$1="",对接源_01水果!$C488="",对接源_01水果!$C488&lt;&gt;$N$1,对接源_01水果!$B488=""),0,IF(OR(N(对接源_01水果!$B488)&lt;$N$2,N(对接源_01水果!$B488)&gt;$N$3),0,1))</f>
        <v>0</v>
      </c>
      <c r="P488" s="1" t="n">
        <f aca="false">IF(AND($K488=1,AND(对接源_01水果!$X488="公司筐",N(对接源_01水果!$T488)&lt;&gt;0)),1,0)</f>
        <v>0</v>
      </c>
      <c r="Q488" s="1" t="n">
        <f aca="false">N(Q487)+$P488</f>
        <v>3</v>
      </c>
      <c r="R488" s="1" t="n">
        <f aca="false">IF(AND($K488=1,AND(对接源_01水果!$X488="公司筐",N(对接源_01水果!$U488)&lt;&gt;0)),1,0)</f>
        <v>0</v>
      </c>
      <c r="S488" s="1" t="n">
        <f aca="false">N(S487)+$R488</f>
        <v>0</v>
      </c>
      <c r="T488" s="1" t="n">
        <f aca="false">IF(AND($K488=1,AND(对接源_01水果!$X488="公司筐",N(对接源_01水果!$V488)&lt;&gt;0)),1,0)</f>
        <v>0</v>
      </c>
      <c r="U488" s="1" t="n">
        <f aca="false">N(U487)+$T488</f>
        <v>28</v>
      </c>
      <c r="V488" s="1" t="n">
        <f aca="false">IF(AND($L488=1,AND(对接源_01水果!$X488="自备筐",N(对接源_01水果!$V488)&lt;&gt;0)),1,0)</f>
        <v>0</v>
      </c>
      <c r="W488" s="1" t="n">
        <f aca="false">N(W487)+$V488</f>
        <v>7</v>
      </c>
      <c r="X488" s="1" t="n">
        <f aca="false">IF(AND($L488=1,AND(对接源_01水果!$X488="自备筐",N(对接源_01水果!$T488)&lt;&gt;0)),1,0)</f>
        <v>0</v>
      </c>
      <c r="Y488" s="1" t="n">
        <f aca="false">N(Y487)+$X488</f>
        <v>0</v>
      </c>
      <c r="Z488" s="1" t="n">
        <f aca="false">IF(AND($M488=1,对接源_01水果!$D488="原料入库"),1,0)</f>
        <v>0</v>
      </c>
      <c r="AA488" s="1" t="n">
        <f aca="false">N(AA487)+$Z488</f>
        <v>30</v>
      </c>
      <c r="AB488" s="1" t="n">
        <f aca="false">IF(AND($M488=1,LEFT(对接源_01水果!$D488,4)="原料出库"),1,0)</f>
        <v>0</v>
      </c>
      <c r="AC488" s="1" t="n">
        <f aca="false">N(AC487)+$AB488</f>
        <v>19</v>
      </c>
      <c r="AD488" s="1" t="n">
        <f aca="false">IF(AND($M488=1,LEFT(对接源_01水果!$D488,4)="成品出库"),1,0)</f>
        <v>0</v>
      </c>
      <c r="AE488" s="1" t="n">
        <f aca="false">N(AE487)+$AD488</f>
        <v>38</v>
      </c>
      <c r="AF488" s="1" t="n">
        <f aca="false">IF(AND($N488=1,AND(LEFT(对接源_01水果!$D488,4)="包装物料",N(对接源_01水果!$K488)&lt;&gt;0)),1,0)</f>
        <v>0</v>
      </c>
      <c r="AG488" s="90" t="str">
        <f aca="false">IF(对接源_01水果!$AC488="","",对接源_01水果!$AC488)</f>
        <v/>
      </c>
      <c r="AH488" s="1" t="n">
        <f aca="false">IF(AND($N488=1,AND(LEFT(对接源_01水果!$D488,3)="周转筐",N(对接源_01水果!$K488)&lt;&gt;0)),1,0)</f>
        <v>0</v>
      </c>
      <c r="AI488" s="90" t="n">
        <f aca="false">IF(AG488="",0,IF(MATCH(AG488,$AG$4:$AG$1203,0)=ROW()-3,1,0))</f>
        <v>0</v>
      </c>
      <c r="AJ488" s="90" t="n">
        <f aca="false">N(AJ487)+AI488</f>
        <v>4</v>
      </c>
      <c r="AK488" s="1" t="n">
        <f aca="false">N(AK487)+$AJ488</f>
        <v>812</v>
      </c>
    </row>
    <row r="489" customFormat="false" ht="13.5" hidden="false" customHeight="false" outlineLevel="0" collapsed="false">
      <c r="A489" s="1" t="str">
        <f aca="false">IF(对接源_01水果!$C489="","",对接源_01水果!$C489)</f>
        <v/>
      </c>
      <c r="B489" s="1" t="n">
        <f aca="false">IF(A489="",0,IF(MATCH(A489,$A$4:$A$2403,0)=ROW()-3,1,0))</f>
        <v>0</v>
      </c>
      <c r="C489" s="1" t="n">
        <f aca="false">N(C488)+B489</f>
        <v>13</v>
      </c>
      <c r="K489" s="1" t="n">
        <f aca="false">IF(OR($K$1="",对接源_01水果!$C489="",对接源_01水果!$C489&lt;&gt;$K$1,对接源_01水果!$B489=""),0,IF(OR(N(对接源_01水果!$B489)&lt;$K$2,N(对接源_01水果!$B489)&gt;$K$3),0,1))</f>
        <v>0</v>
      </c>
      <c r="L489" s="1" t="n">
        <f aca="false">IF(OR($L$1="",对接源_01水果!$C489="",对接源_01水果!$C489&lt;&gt;$L$1,对接源_01水果!$B489=""),0,IF(OR(N(对接源_01水果!$B489)&lt;$L$2,N(对接源_01水果!$B489)&gt;$L$3),0,1))</f>
        <v>0</v>
      </c>
      <c r="M489" s="1" t="n">
        <f aca="false">IF(OR($M$1="",对接源_01水果!$C489="",对接源_01水果!$C489&lt;&gt;$M$1,对接源_01水果!$B489=""),0,IF(OR(N(对接源_01水果!$B489)&lt;$M$2,N(对接源_01水果!$B489)&gt;$M$3),0,1))</f>
        <v>0</v>
      </c>
      <c r="N489" s="1" t="n">
        <f aca="false">IF(OR($N$1="",对接源_01水果!$C489="",对接源_01水果!$C489&lt;&gt;$N$1,对接源_01水果!$B489=""),0,IF(OR(N(对接源_01水果!$B489)&lt;$N$2,N(对接源_01水果!$B489)&gt;$N$3),0,1))</f>
        <v>0</v>
      </c>
      <c r="P489" s="1" t="n">
        <f aca="false">IF(AND($K489=1,AND(对接源_01水果!$X489="公司筐",N(对接源_01水果!$T489)&lt;&gt;0)),1,0)</f>
        <v>0</v>
      </c>
      <c r="Q489" s="1" t="n">
        <f aca="false">N(Q488)+$P489</f>
        <v>3</v>
      </c>
      <c r="R489" s="1" t="n">
        <f aca="false">IF(AND($K489=1,AND(对接源_01水果!$X489="公司筐",N(对接源_01水果!$U489)&lt;&gt;0)),1,0)</f>
        <v>0</v>
      </c>
      <c r="S489" s="1" t="n">
        <f aca="false">N(S488)+$R489</f>
        <v>0</v>
      </c>
      <c r="T489" s="1" t="n">
        <f aca="false">IF(AND($K489=1,AND(对接源_01水果!$X489="公司筐",N(对接源_01水果!$V489)&lt;&gt;0)),1,0)</f>
        <v>0</v>
      </c>
      <c r="U489" s="1" t="n">
        <f aca="false">N(U488)+$T489</f>
        <v>28</v>
      </c>
      <c r="V489" s="1" t="n">
        <f aca="false">IF(AND($L489=1,AND(对接源_01水果!$X489="自备筐",N(对接源_01水果!$V489)&lt;&gt;0)),1,0)</f>
        <v>0</v>
      </c>
      <c r="W489" s="1" t="n">
        <f aca="false">N(W488)+$V489</f>
        <v>7</v>
      </c>
      <c r="X489" s="1" t="n">
        <f aca="false">IF(AND($L489=1,AND(对接源_01水果!$X489="自备筐",N(对接源_01水果!$T489)&lt;&gt;0)),1,0)</f>
        <v>0</v>
      </c>
      <c r="Y489" s="1" t="n">
        <f aca="false">N(Y488)+$X489</f>
        <v>0</v>
      </c>
      <c r="Z489" s="1" t="n">
        <f aca="false">IF(AND($M489=1,对接源_01水果!$D489="原料入库"),1,0)</f>
        <v>0</v>
      </c>
      <c r="AA489" s="1" t="n">
        <f aca="false">N(AA488)+$Z489</f>
        <v>30</v>
      </c>
      <c r="AB489" s="1" t="n">
        <f aca="false">IF(AND($M489=1,LEFT(对接源_01水果!$D489,4)="原料出库"),1,0)</f>
        <v>0</v>
      </c>
      <c r="AC489" s="1" t="n">
        <f aca="false">N(AC488)+$AB489</f>
        <v>19</v>
      </c>
      <c r="AD489" s="1" t="n">
        <f aca="false">IF(AND($M489=1,LEFT(对接源_01水果!$D489,4)="成品出库"),1,0)</f>
        <v>0</v>
      </c>
      <c r="AE489" s="1" t="n">
        <f aca="false">N(AE488)+$AD489</f>
        <v>38</v>
      </c>
      <c r="AF489" s="1" t="n">
        <f aca="false">IF(AND($N489=1,AND(LEFT(对接源_01水果!$D489,4)="包装物料",N(对接源_01水果!$K489)&lt;&gt;0)),1,0)</f>
        <v>0</v>
      </c>
      <c r="AG489" s="90" t="str">
        <f aca="false">IF(对接源_01水果!$AC489="","",对接源_01水果!$AC489)</f>
        <v/>
      </c>
      <c r="AH489" s="1" t="n">
        <f aca="false">IF(AND($N489=1,AND(LEFT(对接源_01水果!$D489,3)="周转筐",N(对接源_01水果!$K489)&lt;&gt;0)),1,0)</f>
        <v>0</v>
      </c>
      <c r="AI489" s="90" t="n">
        <f aca="false">IF(AG489="",0,IF(MATCH(AG489,$AG$4:$AG$1203,0)=ROW()-3,1,0))</f>
        <v>0</v>
      </c>
      <c r="AJ489" s="90" t="n">
        <f aca="false">N(AJ488)+AI489</f>
        <v>4</v>
      </c>
      <c r="AK489" s="1" t="n">
        <f aca="false">N(AK488)+$AJ489</f>
        <v>816</v>
      </c>
    </row>
    <row r="490" customFormat="false" ht="13.5" hidden="false" customHeight="false" outlineLevel="0" collapsed="false">
      <c r="A490" s="1" t="str">
        <f aca="false">IF(对接源_01水果!$C490="","",对接源_01水果!$C490)</f>
        <v/>
      </c>
      <c r="B490" s="1" t="n">
        <f aca="false">IF(A490="",0,IF(MATCH(A490,$A$4:$A$2403,0)=ROW()-3,1,0))</f>
        <v>0</v>
      </c>
      <c r="C490" s="1" t="n">
        <f aca="false">N(C489)+B490</f>
        <v>13</v>
      </c>
      <c r="K490" s="1" t="n">
        <f aca="false">IF(OR($K$1="",对接源_01水果!$C490="",对接源_01水果!$C490&lt;&gt;$K$1,对接源_01水果!$B490=""),0,IF(OR(N(对接源_01水果!$B490)&lt;$K$2,N(对接源_01水果!$B490)&gt;$K$3),0,1))</f>
        <v>0</v>
      </c>
      <c r="L490" s="1" t="n">
        <f aca="false">IF(OR($L$1="",对接源_01水果!$C490="",对接源_01水果!$C490&lt;&gt;$L$1,对接源_01水果!$B490=""),0,IF(OR(N(对接源_01水果!$B490)&lt;$L$2,N(对接源_01水果!$B490)&gt;$L$3),0,1))</f>
        <v>0</v>
      </c>
      <c r="M490" s="1" t="n">
        <f aca="false">IF(OR($M$1="",对接源_01水果!$C490="",对接源_01水果!$C490&lt;&gt;$M$1,对接源_01水果!$B490=""),0,IF(OR(N(对接源_01水果!$B490)&lt;$M$2,N(对接源_01水果!$B490)&gt;$M$3),0,1))</f>
        <v>0</v>
      </c>
      <c r="N490" s="1" t="n">
        <f aca="false">IF(OR($N$1="",对接源_01水果!$C490="",对接源_01水果!$C490&lt;&gt;$N$1,对接源_01水果!$B490=""),0,IF(OR(N(对接源_01水果!$B490)&lt;$N$2,N(对接源_01水果!$B490)&gt;$N$3),0,1))</f>
        <v>0</v>
      </c>
      <c r="P490" s="1" t="n">
        <f aca="false">IF(AND($K490=1,AND(对接源_01水果!$X490="公司筐",N(对接源_01水果!$T490)&lt;&gt;0)),1,0)</f>
        <v>0</v>
      </c>
      <c r="Q490" s="1" t="n">
        <f aca="false">N(Q489)+$P490</f>
        <v>3</v>
      </c>
      <c r="R490" s="1" t="n">
        <f aca="false">IF(AND($K490=1,AND(对接源_01水果!$X490="公司筐",N(对接源_01水果!$U490)&lt;&gt;0)),1,0)</f>
        <v>0</v>
      </c>
      <c r="S490" s="1" t="n">
        <f aca="false">N(S489)+$R490</f>
        <v>0</v>
      </c>
      <c r="T490" s="1" t="n">
        <f aca="false">IF(AND($K490=1,AND(对接源_01水果!$X490="公司筐",N(对接源_01水果!$V490)&lt;&gt;0)),1,0)</f>
        <v>0</v>
      </c>
      <c r="U490" s="1" t="n">
        <f aca="false">N(U489)+$T490</f>
        <v>28</v>
      </c>
      <c r="V490" s="1" t="n">
        <f aca="false">IF(AND($L490=1,AND(对接源_01水果!$X490="自备筐",N(对接源_01水果!$V490)&lt;&gt;0)),1,0)</f>
        <v>0</v>
      </c>
      <c r="W490" s="1" t="n">
        <f aca="false">N(W489)+$V490</f>
        <v>7</v>
      </c>
      <c r="X490" s="1" t="n">
        <f aca="false">IF(AND($L490=1,AND(对接源_01水果!$X490="自备筐",N(对接源_01水果!$T490)&lt;&gt;0)),1,0)</f>
        <v>0</v>
      </c>
      <c r="Y490" s="1" t="n">
        <f aca="false">N(Y489)+$X490</f>
        <v>0</v>
      </c>
      <c r="Z490" s="1" t="n">
        <f aca="false">IF(AND($M490=1,对接源_01水果!$D490="原料入库"),1,0)</f>
        <v>0</v>
      </c>
      <c r="AA490" s="1" t="n">
        <f aca="false">N(AA489)+$Z490</f>
        <v>30</v>
      </c>
      <c r="AB490" s="1" t="n">
        <f aca="false">IF(AND($M490=1,LEFT(对接源_01水果!$D490,4)="原料出库"),1,0)</f>
        <v>0</v>
      </c>
      <c r="AC490" s="1" t="n">
        <f aca="false">N(AC489)+$AB490</f>
        <v>19</v>
      </c>
      <c r="AD490" s="1" t="n">
        <f aca="false">IF(AND($M490=1,LEFT(对接源_01水果!$D490,4)="成品出库"),1,0)</f>
        <v>0</v>
      </c>
      <c r="AE490" s="1" t="n">
        <f aca="false">N(AE489)+$AD490</f>
        <v>38</v>
      </c>
      <c r="AF490" s="1" t="n">
        <f aca="false">IF(AND($N490=1,AND(LEFT(对接源_01水果!$D490,4)="包装物料",N(对接源_01水果!$K490)&lt;&gt;0)),1,0)</f>
        <v>0</v>
      </c>
      <c r="AG490" s="90" t="str">
        <f aca="false">IF(对接源_01水果!$AC490="","",对接源_01水果!$AC490)</f>
        <v/>
      </c>
      <c r="AH490" s="1" t="n">
        <f aca="false">IF(AND($N490=1,AND(LEFT(对接源_01水果!$D490,3)="周转筐",N(对接源_01水果!$K490)&lt;&gt;0)),1,0)</f>
        <v>0</v>
      </c>
      <c r="AI490" s="90" t="n">
        <f aca="false">IF(AG490="",0,IF(MATCH(AG490,$AG$4:$AG$1203,0)=ROW()-3,1,0))</f>
        <v>0</v>
      </c>
      <c r="AJ490" s="90" t="n">
        <f aca="false">N(AJ489)+AI490</f>
        <v>4</v>
      </c>
      <c r="AK490" s="1" t="n">
        <f aca="false">N(AK489)+$AJ490</f>
        <v>820</v>
      </c>
    </row>
    <row r="491" customFormat="false" ht="13.5" hidden="false" customHeight="false" outlineLevel="0" collapsed="false">
      <c r="A491" s="1" t="str">
        <f aca="false">IF(对接源_01水果!$C491="","",对接源_01水果!$C491)</f>
        <v/>
      </c>
      <c r="B491" s="1" t="n">
        <f aca="false">IF(A491="",0,IF(MATCH(A491,$A$4:$A$2403,0)=ROW()-3,1,0))</f>
        <v>0</v>
      </c>
      <c r="C491" s="1" t="n">
        <f aca="false">N(C490)+B491</f>
        <v>13</v>
      </c>
      <c r="K491" s="1" t="n">
        <f aca="false">IF(OR($K$1="",对接源_01水果!$C491="",对接源_01水果!$C491&lt;&gt;$K$1,对接源_01水果!$B491=""),0,IF(OR(N(对接源_01水果!$B491)&lt;$K$2,N(对接源_01水果!$B491)&gt;$K$3),0,1))</f>
        <v>0</v>
      </c>
      <c r="L491" s="1" t="n">
        <f aca="false">IF(OR($L$1="",对接源_01水果!$C491="",对接源_01水果!$C491&lt;&gt;$L$1,对接源_01水果!$B491=""),0,IF(OR(N(对接源_01水果!$B491)&lt;$L$2,N(对接源_01水果!$B491)&gt;$L$3),0,1))</f>
        <v>0</v>
      </c>
      <c r="M491" s="1" t="n">
        <f aca="false">IF(OR($M$1="",对接源_01水果!$C491="",对接源_01水果!$C491&lt;&gt;$M$1,对接源_01水果!$B491=""),0,IF(OR(N(对接源_01水果!$B491)&lt;$M$2,N(对接源_01水果!$B491)&gt;$M$3),0,1))</f>
        <v>0</v>
      </c>
      <c r="N491" s="1" t="n">
        <f aca="false">IF(OR($N$1="",对接源_01水果!$C491="",对接源_01水果!$C491&lt;&gt;$N$1,对接源_01水果!$B491=""),0,IF(OR(N(对接源_01水果!$B491)&lt;$N$2,N(对接源_01水果!$B491)&gt;$N$3),0,1))</f>
        <v>0</v>
      </c>
      <c r="P491" s="1" t="n">
        <f aca="false">IF(AND($K491=1,AND(对接源_01水果!$X491="公司筐",N(对接源_01水果!$T491)&lt;&gt;0)),1,0)</f>
        <v>0</v>
      </c>
      <c r="Q491" s="1" t="n">
        <f aca="false">N(Q490)+$P491</f>
        <v>3</v>
      </c>
      <c r="R491" s="1" t="n">
        <f aca="false">IF(AND($K491=1,AND(对接源_01水果!$X491="公司筐",N(对接源_01水果!$U491)&lt;&gt;0)),1,0)</f>
        <v>0</v>
      </c>
      <c r="S491" s="1" t="n">
        <f aca="false">N(S490)+$R491</f>
        <v>0</v>
      </c>
      <c r="T491" s="1" t="n">
        <f aca="false">IF(AND($K491=1,AND(对接源_01水果!$X491="公司筐",N(对接源_01水果!$V491)&lt;&gt;0)),1,0)</f>
        <v>0</v>
      </c>
      <c r="U491" s="1" t="n">
        <f aca="false">N(U490)+$T491</f>
        <v>28</v>
      </c>
      <c r="V491" s="1" t="n">
        <f aca="false">IF(AND($L491=1,AND(对接源_01水果!$X491="自备筐",N(对接源_01水果!$V491)&lt;&gt;0)),1,0)</f>
        <v>0</v>
      </c>
      <c r="W491" s="1" t="n">
        <f aca="false">N(W490)+$V491</f>
        <v>7</v>
      </c>
      <c r="X491" s="1" t="n">
        <f aca="false">IF(AND($L491=1,AND(对接源_01水果!$X491="自备筐",N(对接源_01水果!$T491)&lt;&gt;0)),1,0)</f>
        <v>0</v>
      </c>
      <c r="Y491" s="1" t="n">
        <f aca="false">N(Y490)+$X491</f>
        <v>0</v>
      </c>
      <c r="Z491" s="1" t="n">
        <f aca="false">IF(AND($M491=1,对接源_01水果!$D491="原料入库"),1,0)</f>
        <v>0</v>
      </c>
      <c r="AA491" s="1" t="n">
        <f aca="false">N(AA490)+$Z491</f>
        <v>30</v>
      </c>
      <c r="AB491" s="1" t="n">
        <f aca="false">IF(AND($M491=1,LEFT(对接源_01水果!$D491,4)="原料出库"),1,0)</f>
        <v>0</v>
      </c>
      <c r="AC491" s="1" t="n">
        <f aca="false">N(AC490)+$AB491</f>
        <v>19</v>
      </c>
      <c r="AD491" s="1" t="n">
        <f aca="false">IF(AND($M491=1,LEFT(对接源_01水果!$D491,4)="成品出库"),1,0)</f>
        <v>0</v>
      </c>
      <c r="AE491" s="1" t="n">
        <f aca="false">N(AE490)+$AD491</f>
        <v>38</v>
      </c>
      <c r="AF491" s="1" t="n">
        <f aca="false">IF(AND($N491=1,AND(LEFT(对接源_01水果!$D491,4)="包装物料",N(对接源_01水果!$K491)&lt;&gt;0)),1,0)</f>
        <v>0</v>
      </c>
      <c r="AG491" s="90" t="str">
        <f aca="false">IF(对接源_01水果!$AC491="","",对接源_01水果!$AC491)</f>
        <v/>
      </c>
      <c r="AH491" s="1" t="n">
        <f aca="false">IF(AND($N491=1,AND(LEFT(对接源_01水果!$D491,3)="周转筐",N(对接源_01水果!$K491)&lt;&gt;0)),1,0)</f>
        <v>0</v>
      </c>
      <c r="AI491" s="90" t="n">
        <f aca="false">IF(AG491="",0,IF(MATCH(AG491,$AG$4:$AG$1203,0)=ROW()-3,1,0))</f>
        <v>0</v>
      </c>
      <c r="AJ491" s="90" t="n">
        <f aca="false">N(AJ490)+AI491</f>
        <v>4</v>
      </c>
      <c r="AK491" s="1" t="n">
        <f aca="false">N(AK490)+$AJ491</f>
        <v>824</v>
      </c>
    </row>
    <row r="492" customFormat="false" ht="13.5" hidden="false" customHeight="false" outlineLevel="0" collapsed="false">
      <c r="A492" s="1" t="str">
        <f aca="false">IF(对接源_01水果!$C492="","",对接源_01水果!$C492)</f>
        <v/>
      </c>
      <c r="B492" s="1" t="n">
        <f aca="false">IF(A492="",0,IF(MATCH(A492,$A$4:$A$2403,0)=ROW()-3,1,0))</f>
        <v>0</v>
      </c>
      <c r="C492" s="1" t="n">
        <f aca="false">N(C491)+B492</f>
        <v>13</v>
      </c>
      <c r="K492" s="1" t="n">
        <f aca="false">IF(OR($K$1="",对接源_01水果!$C492="",对接源_01水果!$C492&lt;&gt;$K$1,对接源_01水果!$B492=""),0,IF(OR(N(对接源_01水果!$B492)&lt;$K$2,N(对接源_01水果!$B492)&gt;$K$3),0,1))</f>
        <v>0</v>
      </c>
      <c r="L492" s="1" t="n">
        <f aca="false">IF(OR($L$1="",对接源_01水果!$C492="",对接源_01水果!$C492&lt;&gt;$L$1,对接源_01水果!$B492=""),0,IF(OR(N(对接源_01水果!$B492)&lt;$L$2,N(对接源_01水果!$B492)&gt;$L$3),0,1))</f>
        <v>0</v>
      </c>
      <c r="M492" s="1" t="n">
        <f aca="false">IF(OR($M$1="",对接源_01水果!$C492="",对接源_01水果!$C492&lt;&gt;$M$1,对接源_01水果!$B492=""),0,IF(OR(N(对接源_01水果!$B492)&lt;$M$2,N(对接源_01水果!$B492)&gt;$M$3),0,1))</f>
        <v>0</v>
      </c>
      <c r="N492" s="1" t="n">
        <f aca="false">IF(OR($N$1="",对接源_01水果!$C492="",对接源_01水果!$C492&lt;&gt;$N$1,对接源_01水果!$B492=""),0,IF(OR(N(对接源_01水果!$B492)&lt;$N$2,N(对接源_01水果!$B492)&gt;$N$3),0,1))</f>
        <v>0</v>
      </c>
      <c r="P492" s="1" t="n">
        <f aca="false">IF(AND($K492=1,AND(对接源_01水果!$X492="公司筐",N(对接源_01水果!$T492)&lt;&gt;0)),1,0)</f>
        <v>0</v>
      </c>
      <c r="Q492" s="1" t="n">
        <f aca="false">N(Q491)+$P492</f>
        <v>3</v>
      </c>
      <c r="R492" s="1" t="n">
        <f aca="false">IF(AND($K492=1,AND(对接源_01水果!$X492="公司筐",N(对接源_01水果!$U492)&lt;&gt;0)),1,0)</f>
        <v>0</v>
      </c>
      <c r="S492" s="1" t="n">
        <f aca="false">N(S491)+$R492</f>
        <v>0</v>
      </c>
      <c r="T492" s="1" t="n">
        <f aca="false">IF(AND($K492=1,AND(对接源_01水果!$X492="公司筐",N(对接源_01水果!$V492)&lt;&gt;0)),1,0)</f>
        <v>0</v>
      </c>
      <c r="U492" s="1" t="n">
        <f aca="false">N(U491)+$T492</f>
        <v>28</v>
      </c>
      <c r="V492" s="1" t="n">
        <f aca="false">IF(AND($L492=1,AND(对接源_01水果!$X492="自备筐",N(对接源_01水果!$V492)&lt;&gt;0)),1,0)</f>
        <v>0</v>
      </c>
      <c r="W492" s="1" t="n">
        <f aca="false">N(W491)+$V492</f>
        <v>7</v>
      </c>
      <c r="X492" s="1" t="n">
        <f aca="false">IF(AND($L492=1,AND(对接源_01水果!$X492="自备筐",N(对接源_01水果!$T492)&lt;&gt;0)),1,0)</f>
        <v>0</v>
      </c>
      <c r="Y492" s="1" t="n">
        <f aca="false">N(Y491)+$X492</f>
        <v>0</v>
      </c>
      <c r="Z492" s="1" t="n">
        <f aca="false">IF(AND($M492=1,对接源_01水果!$D492="原料入库"),1,0)</f>
        <v>0</v>
      </c>
      <c r="AA492" s="1" t="n">
        <f aca="false">N(AA491)+$Z492</f>
        <v>30</v>
      </c>
      <c r="AB492" s="1" t="n">
        <f aca="false">IF(AND($M492=1,LEFT(对接源_01水果!$D492,4)="原料出库"),1,0)</f>
        <v>0</v>
      </c>
      <c r="AC492" s="1" t="n">
        <f aca="false">N(AC491)+$AB492</f>
        <v>19</v>
      </c>
      <c r="AD492" s="1" t="n">
        <f aca="false">IF(AND($M492=1,LEFT(对接源_01水果!$D492,4)="成品出库"),1,0)</f>
        <v>0</v>
      </c>
      <c r="AE492" s="1" t="n">
        <f aca="false">N(AE491)+$AD492</f>
        <v>38</v>
      </c>
      <c r="AF492" s="1" t="n">
        <f aca="false">IF(AND($N492=1,AND(LEFT(对接源_01水果!$D492,4)="包装物料",N(对接源_01水果!$K492)&lt;&gt;0)),1,0)</f>
        <v>0</v>
      </c>
      <c r="AG492" s="90" t="str">
        <f aca="false">IF(对接源_01水果!$AC492="","",对接源_01水果!$AC492)</f>
        <v/>
      </c>
      <c r="AH492" s="1" t="n">
        <f aca="false">IF(AND($N492=1,AND(LEFT(对接源_01水果!$D492,3)="周转筐",N(对接源_01水果!$K492)&lt;&gt;0)),1,0)</f>
        <v>0</v>
      </c>
      <c r="AI492" s="90" t="n">
        <f aca="false">IF(AG492="",0,IF(MATCH(AG492,$AG$4:$AG$1203,0)=ROW()-3,1,0))</f>
        <v>0</v>
      </c>
      <c r="AJ492" s="90" t="n">
        <f aca="false">N(AJ491)+AI492</f>
        <v>4</v>
      </c>
      <c r="AK492" s="1" t="n">
        <f aca="false">N(AK491)+$AJ492</f>
        <v>828</v>
      </c>
    </row>
    <row r="493" customFormat="false" ht="13.5" hidden="false" customHeight="false" outlineLevel="0" collapsed="false">
      <c r="A493" s="1" t="str">
        <f aca="false">IF(对接源_01水果!$C493="","",对接源_01水果!$C493)</f>
        <v/>
      </c>
      <c r="B493" s="1" t="n">
        <f aca="false">IF(A493="",0,IF(MATCH(A493,$A$4:$A$2403,0)=ROW()-3,1,0))</f>
        <v>0</v>
      </c>
      <c r="C493" s="1" t="n">
        <f aca="false">N(C492)+B493</f>
        <v>13</v>
      </c>
      <c r="K493" s="1" t="n">
        <f aca="false">IF(OR($K$1="",对接源_01水果!$C493="",对接源_01水果!$C493&lt;&gt;$K$1,对接源_01水果!$B493=""),0,IF(OR(N(对接源_01水果!$B493)&lt;$K$2,N(对接源_01水果!$B493)&gt;$K$3),0,1))</f>
        <v>0</v>
      </c>
      <c r="L493" s="1" t="n">
        <f aca="false">IF(OR($L$1="",对接源_01水果!$C493="",对接源_01水果!$C493&lt;&gt;$L$1,对接源_01水果!$B493=""),0,IF(OR(N(对接源_01水果!$B493)&lt;$L$2,N(对接源_01水果!$B493)&gt;$L$3),0,1))</f>
        <v>0</v>
      </c>
      <c r="M493" s="1" t="n">
        <f aca="false">IF(OR($M$1="",对接源_01水果!$C493="",对接源_01水果!$C493&lt;&gt;$M$1,对接源_01水果!$B493=""),0,IF(OR(N(对接源_01水果!$B493)&lt;$M$2,N(对接源_01水果!$B493)&gt;$M$3),0,1))</f>
        <v>0</v>
      </c>
      <c r="N493" s="1" t="n">
        <f aca="false">IF(OR($N$1="",对接源_01水果!$C493="",对接源_01水果!$C493&lt;&gt;$N$1,对接源_01水果!$B493=""),0,IF(OR(N(对接源_01水果!$B493)&lt;$N$2,N(对接源_01水果!$B493)&gt;$N$3),0,1))</f>
        <v>0</v>
      </c>
      <c r="P493" s="1" t="n">
        <f aca="false">IF(AND($K493=1,AND(对接源_01水果!$X493="公司筐",N(对接源_01水果!$T493)&lt;&gt;0)),1,0)</f>
        <v>0</v>
      </c>
      <c r="Q493" s="1" t="n">
        <f aca="false">N(Q492)+$P493</f>
        <v>3</v>
      </c>
      <c r="R493" s="1" t="n">
        <f aca="false">IF(AND($K493=1,AND(对接源_01水果!$X493="公司筐",N(对接源_01水果!$U493)&lt;&gt;0)),1,0)</f>
        <v>0</v>
      </c>
      <c r="S493" s="1" t="n">
        <f aca="false">N(S492)+$R493</f>
        <v>0</v>
      </c>
      <c r="T493" s="1" t="n">
        <f aca="false">IF(AND($K493=1,AND(对接源_01水果!$X493="公司筐",N(对接源_01水果!$V493)&lt;&gt;0)),1,0)</f>
        <v>0</v>
      </c>
      <c r="U493" s="1" t="n">
        <f aca="false">N(U492)+$T493</f>
        <v>28</v>
      </c>
      <c r="V493" s="1" t="n">
        <f aca="false">IF(AND($L493=1,AND(对接源_01水果!$X493="自备筐",N(对接源_01水果!$V493)&lt;&gt;0)),1,0)</f>
        <v>0</v>
      </c>
      <c r="W493" s="1" t="n">
        <f aca="false">N(W492)+$V493</f>
        <v>7</v>
      </c>
      <c r="X493" s="1" t="n">
        <f aca="false">IF(AND($L493=1,AND(对接源_01水果!$X493="自备筐",N(对接源_01水果!$T493)&lt;&gt;0)),1,0)</f>
        <v>0</v>
      </c>
      <c r="Y493" s="1" t="n">
        <f aca="false">N(Y492)+$X493</f>
        <v>0</v>
      </c>
      <c r="Z493" s="1" t="n">
        <f aca="false">IF(AND($M493=1,对接源_01水果!$D493="原料入库"),1,0)</f>
        <v>0</v>
      </c>
      <c r="AA493" s="1" t="n">
        <f aca="false">N(AA492)+$Z493</f>
        <v>30</v>
      </c>
      <c r="AB493" s="1" t="n">
        <f aca="false">IF(AND($M493=1,LEFT(对接源_01水果!$D493,4)="原料出库"),1,0)</f>
        <v>0</v>
      </c>
      <c r="AC493" s="1" t="n">
        <f aca="false">N(AC492)+$AB493</f>
        <v>19</v>
      </c>
      <c r="AD493" s="1" t="n">
        <f aca="false">IF(AND($M493=1,LEFT(对接源_01水果!$D493,4)="成品出库"),1,0)</f>
        <v>0</v>
      </c>
      <c r="AE493" s="1" t="n">
        <f aca="false">N(AE492)+$AD493</f>
        <v>38</v>
      </c>
      <c r="AF493" s="1" t="n">
        <f aca="false">IF(AND($N493=1,AND(LEFT(对接源_01水果!$D493,4)="包装物料",N(对接源_01水果!$K493)&lt;&gt;0)),1,0)</f>
        <v>0</v>
      </c>
      <c r="AG493" s="90" t="str">
        <f aca="false">IF(对接源_01水果!$AC493="","",对接源_01水果!$AC493)</f>
        <v/>
      </c>
      <c r="AH493" s="1" t="n">
        <f aca="false">IF(AND($N493=1,AND(LEFT(对接源_01水果!$D493,3)="周转筐",N(对接源_01水果!$K493)&lt;&gt;0)),1,0)</f>
        <v>0</v>
      </c>
      <c r="AI493" s="90" t="n">
        <f aca="false">IF(AG493="",0,IF(MATCH(AG493,$AG$4:$AG$1203,0)=ROW()-3,1,0))</f>
        <v>0</v>
      </c>
      <c r="AJ493" s="90" t="n">
        <f aca="false">N(AJ492)+AI493</f>
        <v>4</v>
      </c>
      <c r="AK493" s="1" t="n">
        <f aca="false">N(AK492)+$AJ493</f>
        <v>832</v>
      </c>
    </row>
    <row r="494" customFormat="false" ht="13.5" hidden="false" customHeight="false" outlineLevel="0" collapsed="false">
      <c r="A494" s="1" t="str">
        <f aca="false">IF(对接源_01水果!$C494="","",对接源_01水果!$C494)</f>
        <v/>
      </c>
      <c r="B494" s="1" t="n">
        <f aca="false">IF(A494="",0,IF(MATCH(A494,$A$4:$A$2403,0)=ROW()-3,1,0))</f>
        <v>0</v>
      </c>
      <c r="C494" s="1" t="n">
        <f aca="false">N(C493)+B494</f>
        <v>13</v>
      </c>
      <c r="K494" s="1" t="n">
        <f aca="false">IF(OR($K$1="",对接源_01水果!$C494="",对接源_01水果!$C494&lt;&gt;$K$1,对接源_01水果!$B494=""),0,IF(OR(N(对接源_01水果!$B494)&lt;$K$2,N(对接源_01水果!$B494)&gt;$K$3),0,1))</f>
        <v>0</v>
      </c>
      <c r="L494" s="1" t="n">
        <f aca="false">IF(OR($L$1="",对接源_01水果!$C494="",对接源_01水果!$C494&lt;&gt;$L$1,对接源_01水果!$B494=""),0,IF(OR(N(对接源_01水果!$B494)&lt;$L$2,N(对接源_01水果!$B494)&gt;$L$3),0,1))</f>
        <v>0</v>
      </c>
      <c r="M494" s="1" t="n">
        <f aca="false">IF(OR($M$1="",对接源_01水果!$C494="",对接源_01水果!$C494&lt;&gt;$M$1,对接源_01水果!$B494=""),0,IF(OR(N(对接源_01水果!$B494)&lt;$M$2,N(对接源_01水果!$B494)&gt;$M$3),0,1))</f>
        <v>0</v>
      </c>
      <c r="N494" s="1" t="n">
        <f aca="false">IF(OR($N$1="",对接源_01水果!$C494="",对接源_01水果!$C494&lt;&gt;$N$1,对接源_01水果!$B494=""),0,IF(OR(N(对接源_01水果!$B494)&lt;$N$2,N(对接源_01水果!$B494)&gt;$N$3),0,1))</f>
        <v>0</v>
      </c>
      <c r="P494" s="1" t="n">
        <f aca="false">IF(AND($K494=1,AND(对接源_01水果!$X494="公司筐",N(对接源_01水果!$T494)&lt;&gt;0)),1,0)</f>
        <v>0</v>
      </c>
      <c r="Q494" s="1" t="n">
        <f aca="false">N(Q493)+$P494</f>
        <v>3</v>
      </c>
      <c r="R494" s="1" t="n">
        <f aca="false">IF(AND($K494=1,AND(对接源_01水果!$X494="公司筐",N(对接源_01水果!$U494)&lt;&gt;0)),1,0)</f>
        <v>0</v>
      </c>
      <c r="S494" s="1" t="n">
        <f aca="false">N(S493)+$R494</f>
        <v>0</v>
      </c>
      <c r="T494" s="1" t="n">
        <f aca="false">IF(AND($K494=1,AND(对接源_01水果!$X494="公司筐",N(对接源_01水果!$V494)&lt;&gt;0)),1,0)</f>
        <v>0</v>
      </c>
      <c r="U494" s="1" t="n">
        <f aca="false">N(U493)+$T494</f>
        <v>28</v>
      </c>
      <c r="V494" s="1" t="n">
        <f aca="false">IF(AND($L494=1,AND(对接源_01水果!$X494="自备筐",N(对接源_01水果!$V494)&lt;&gt;0)),1,0)</f>
        <v>0</v>
      </c>
      <c r="W494" s="1" t="n">
        <f aca="false">N(W493)+$V494</f>
        <v>7</v>
      </c>
      <c r="X494" s="1" t="n">
        <f aca="false">IF(AND($L494=1,AND(对接源_01水果!$X494="自备筐",N(对接源_01水果!$T494)&lt;&gt;0)),1,0)</f>
        <v>0</v>
      </c>
      <c r="Y494" s="1" t="n">
        <f aca="false">N(Y493)+$X494</f>
        <v>0</v>
      </c>
      <c r="Z494" s="1" t="n">
        <f aca="false">IF(AND($M494=1,对接源_01水果!$D494="原料入库"),1,0)</f>
        <v>0</v>
      </c>
      <c r="AA494" s="1" t="n">
        <f aca="false">N(AA493)+$Z494</f>
        <v>30</v>
      </c>
      <c r="AB494" s="1" t="n">
        <f aca="false">IF(AND($M494=1,LEFT(对接源_01水果!$D494,4)="原料出库"),1,0)</f>
        <v>0</v>
      </c>
      <c r="AC494" s="1" t="n">
        <f aca="false">N(AC493)+$AB494</f>
        <v>19</v>
      </c>
      <c r="AD494" s="1" t="n">
        <f aca="false">IF(AND($M494=1,LEFT(对接源_01水果!$D494,4)="成品出库"),1,0)</f>
        <v>0</v>
      </c>
      <c r="AE494" s="1" t="n">
        <f aca="false">N(AE493)+$AD494</f>
        <v>38</v>
      </c>
      <c r="AF494" s="1" t="n">
        <f aca="false">IF(AND($N494=1,AND(LEFT(对接源_01水果!$D494,4)="包装物料",N(对接源_01水果!$K494)&lt;&gt;0)),1,0)</f>
        <v>0</v>
      </c>
      <c r="AG494" s="90" t="str">
        <f aca="false">IF(对接源_01水果!$AC494="","",对接源_01水果!$AC494)</f>
        <v/>
      </c>
      <c r="AH494" s="1" t="n">
        <f aca="false">IF(AND($N494=1,AND(LEFT(对接源_01水果!$D494,3)="周转筐",N(对接源_01水果!$K494)&lt;&gt;0)),1,0)</f>
        <v>0</v>
      </c>
      <c r="AI494" s="90" t="n">
        <f aca="false">IF(AG494="",0,IF(MATCH(AG494,$AG$4:$AG$1203,0)=ROW()-3,1,0))</f>
        <v>0</v>
      </c>
      <c r="AJ494" s="90" t="n">
        <f aca="false">N(AJ493)+AI494</f>
        <v>4</v>
      </c>
      <c r="AK494" s="1" t="n">
        <f aca="false">N(AK493)+$AJ494</f>
        <v>836</v>
      </c>
    </row>
    <row r="495" customFormat="false" ht="13.5" hidden="false" customHeight="false" outlineLevel="0" collapsed="false">
      <c r="A495" s="1" t="str">
        <f aca="false">IF(对接源_01水果!$C495="","",对接源_01水果!$C495)</f>
        <v/>
      </c>
      <c r="B495" s="1" t="n">
        <f aca="false">IF(A495="",0,IF(MATCH(A495,$A$4:$A$2403,0)=ROW()-3,1,0))</f>
        <v>0</v>
      </c>
      <c r="C495" s="1" t="n">
        <f aca="false">N(C494)+B495</f>
        <v>13</v>
      </c>
      <c r="K495" s="1" t="n">
        <f aca="false">IF(OR($K$1="",对接源_01水果!$C495="",对接源_01水果!$C495&lt;&gt;$K$1,对接源_01水果!$B495=""),0,IF(OR(N(对接源_01水果!$B495)&lt;$K$2,N(对接源_01水果!$B495)&gt;$K$3),0,1))</f>
        <v>0</v>
      </c>
      <c r="L495" s="1" t="n">
        <f aca="false">IF(OR($L$1="",对接源_01水果!$C495="",对接源_01水果!$C495&lt;&gt;$L$1,对接源_01水果!$B495=""),0,IF(OR(N(对接源_01水果!$B495)&lt;$L$2,N(对接源_01水果!$B495)&gt;$L$3),0,1))</f>
        <v>0</v>
      </c>
      <c r="M495" s="1" t="n">
        <f aca="false">IF(OR($M$1="",对接源_01水果!$C495="",对接源_01水果!$C495&lt;&gt;$M$1,对接源_01水果!$B495=""),0,IF(OR(N(对接源_01水果!$B495)&lt;$M$2,N(对接源_01水果!$B495)&gt;$M$3),0,1))</f>
        <v>0</v>
      </c>
      <c r="N495" s="1" t="n">
        <f aca="false">IF(OR($N$1="",对接源_01水果!$C495="",对接源_01水果!$C495&lt;&gt;$N$1,对接源_01水果!$B495=""),0,IF(OR(N(对接源_01水果!$B495)&lt;$N$2,N(对接源_01水果!$B495)&gt;$N$3),0,1))</f>
        <v>0</v>
      </c>
      <c r="P495" s="1" t="n">
        <f aca="false">IF(AND($K495=1,AND(对接源_01水果!$X495="公司筐",N(对接源_01水果!$T495)&lt;&gt;0)),1,0)</f>
        <v>0</v>
      </c>
      <c r="Q495" s="1" t="n">
        <f aca="false">N(Q494)+$P495</f>
        <v>3</v>
      </c>
      <c r="R495" s="1" t="n">
        <f aca="false">IF(AND($K495=1,AND(对接源_01水果!$X495="公司筐",N(对接源_01水果!$U495)&lt;&gt;0)),1,0)</f>
        <v>0</v>
      </c>
      <c r="S495" s="1" t="n">
        <f aca="false">N(S494)+$R495</f>
        <v>0</v>
      </c>
      <c r="T495" s="1" t="n">
        <f aca="false">IF(AND($K495=1,AND(对接源_01水果!$X495="公司筐",N(对接源_01水果!$V495)&lt;&gt;0)),1,0)</f>
        <v>0</v>
      </c>
      <c r="U495" s="1" t="n">
        <f aca="false">N(U494)+$T495</f>
        <v>28</v>
      </c>
      <c r="V495" s="1" t="n">
        <f aca="false">IF(AND($L495=1,AND(对接源_01水果!$X495="自备筐",N(对接源_01水果!$V495)&lt;&gt;0)),1,0)</f>
        <v>0</v>
      </c>
      <c r="W495" s="1" t="n">
        <f aca="false">N(W494)+$V495</f>
        <v>7</v>
      </c>
      <c r="X495" s="1" t="n">
        <f aca="false">IF(AND($L495=1,AND(对接源_01水果!$X495="自备筐",N(对接源_01水果!$T495)&lt;&gt;0)),1,0)</f>
        <v>0</v>
      </c>
      <c r="Y495" s="1" t="n">
        <f aca="false">N(Y494)+$X495</f>
        <v>0</v>
      </c>
      <c r="Z495" s="1" t="n">
        <f aca="false">IF(AND($M495=1,对接源_01水果!$D495="原料入库"),1,0)</f>
        <v>0</v>
      </c>
      <c r="AA495" s="1" t="n">
        <f aca="false">N(AA494)+$Z495</f>
        <v>30</v>
      </c>
      <c r="AB495" s="1" t="n">
        <f aca="false">IF(AND($M495=1,LEFT(对接源_01水果!$D495,4)="原料出库"),1,0)</f>
        <v>0</v>
      </c>
      <c r="AC495" s="1" t="n">
        <f aca="false">N(AC494)+$AB495</f>
        <v>19</v>
      </c>
      <c r="AD495" s="1" t="n">
        <f aca="false">IF(AND($M495=1,LEFT(对接源_01水果!$D495,4)="成品出库"),1,0)</f>
        <v>0</v>
      </c>
      <c r="AE495" s="1" t="n">
        <f aca="false">N(AE494)+$AD495</f>
        <v>38</v>
      </c>
      <c r="AF495" s="1" t="n">
        <f aca="false">IF(AND($N495=1,AND(LEFT(对接源_01水果!$D495,4)="包装物料",N(对接源_01水果!$K495)&lt;&gt;0)),1,0)</f>
        <v>0</v>
      </c>
      <c r="AG495" s="90" t="str">
        <f aca="false">IF(对接源_01水果!$AC495="","",对接源_01水果!$AC495)</f>
        <v/>
      </c>
      <c r="AH495" s="1" t="n">
        <f aca="false">IF(AND($N495=1,AND(LEFT(对接源_01水果!$D495,3)="周转筐",N(对接源_01水果!$K495)&lt;&gt;0)),1,0)</f>
        <v>0</v>
      </c>
      <c r="AI495" s="90" t="n">
        <f aca="false">IF(AG495="",0,IF(MATCH(AG495,$AG$4:$AG$1203,0)=ROW()-3,1,0))</f>
        <v>0</v>
      </c>
      <c r="AJ495" s="90" t="n">
        <f aca="false">N(AJ494)+AI495</f>
        <v>4</v>
      </c>
      <c r="AK495" s="1" t="n">
        <f aca="false">N(AK494)+$AJ495</f>
        <v>840</v>
      </c>
    </row>
    <row r="496" customFormat="false" ht="13.5" hidden="false" customHeight="false" outlineLevel="0" collapsed="false">
      <c r="A496" s="1" t="str">
        <f aca="false">IF(对接源_01水果!$C496="","",对接源_01水果!$C496)</f>
        <v/>
      </c>
      <c r="B496" s="1" t="n">
        <f aca="false">IF(A496="",0,IF(MATCH(A496,$A$4:$A$2403,0)=ROW()-3,1,0))</f>
        <v>0</v>
      </c>
      <c r="C496" s="1" t="n">
        <f aca="false">N(C495)+B496</f>
        <v>13</v>
      </c>
      <c r="K496" s="1" t="n">
        <f aca="false">IF(OR($K$1="",对接源_01水果!$C496="",对接源_01水果!$C496&lt;&gt;$K$1,对接源_01水果!$B496=""),0,IF(OR(N(对接源_01水果!$B496)&lt;$K$2,N(对接源_01水果!$B496)&gt;$K$3),0,1))</f>
        <v>0</v>
      </c>
      <c r="L496" s="1" t="n">
        <f aca="false">IF(OR($L$1="",对接源_01水果!$C496="",对接源_01水果!$C496&lt;&gt;$L$1,对接源_01水果!$B496=""),0,IF(OR(N(对接源_01水果!$B496)&lt;$L$2,N(对接源_01水果!$B496)&gt;$L$3),0,1))</f>
        <v>0</v>
      </c>
      <c r="M496" s="1" t="n">
        <f aca="false">IF(OR($M$1="",对接源_01水果!$C496="",对接源_01水果!$C496&lt;&gt;$M$1,对接源_01水果!$B496=""),0,IF(OR(N(对接源_01水果!$B496)&lt;$M$2,N(对接源_01水果!$B496)&gt;$M$3),0,1))</f>
        <v>0</v>
      </c>
      <c r="N496" s="1" t="n">
        <f aca="false">IF(OR($N$1="",对接源_01水果!$C496="",对接源_01水果!$C496&lt;&gt;$N$1,对接源_01水果!$B496=""),0,IF(OR(N(对接源_01水果!$B496)&lt;$N$2,N(对接源_01水果!$B496)&gt;$N$3),0,1))</f>
        <v>0</v>
      </c>
      <c r="P496" s="1" t="n">
        <f aca="false">IF(AND($K496=1,AND(对接源_01水果!$X496="公司筐",N(对接源_01水果!$T496)&lt;&gt;0)),1,0)</f>
        <v>0</v>
      </c>
      <c r="Q496" s="1" t="n">
        <f aca="false">N(Q495)+$P496</f>
        <v>3</v>
      </c>
      <c r="R496" s="1" t="n">
        <f aca="false">IF(AND($K496=1,AND(对接源_01水果!$X496="公司筐",N(对接源_01水果!$U496)&lt;&gt;0)),1,0)</f>
        <v>0</v>
      </c>
      <c r="S496" s="1" t="n">
        <f aca="false">N(S495)+$R496</f>
        <v>0</v>
      </c>
      <c r="T496" s="1" t="n">
        <f aca="false">IF(AND($K496=1,AND(对接源_01水果!$X496="公司筐",N(对接源_01水果!$V496)&lt;&gt;0)),1,0)</f>
        <v>0</v>
      </c>
      <c r="U496" s="1" t="n">
        <f aca="false">N(U495)+$T496</f>
        <v>28</v>
      </c>
      <c r="V496" s="1" t="n">
        <f aca="false">IF(AND($L496=1,AND(对接源_01水果!$X496="自备筐",N(对接源_01水果!$V496)&lt;&gt;0)),1,0)</f>
        <v>0</v>
      </c>
      <c r="W496" s="1" t="n">
        <f aca="false">N(W495)+$V496</f>
        <v>7</v>
      </c>
      <c r="X496" s="1" t="n">
        <f aca="false">IF(AND($L496=1,AND(对接源_01水果!$X496="自备筐",N(对接源_01水果!$T496)&lt;&gt;0)),1,0)</f>
        <v>0</v>
      </c>
      <c r="Y496" s="1" t="n">
        <f aca="false">N(Y495)+$X496</f>
        <v>0</v>
      </c>
      <c r="Z496" s="1" t="n">
        <f aca="false">IF(AND($M496=1,对接源_01水果!$D496="原料入库"),1,0)</f>
        <v>0</v>
      </c>
      <c r="AA496" s="1" t="n">
        <f aca="false">N(AA495)+$Z496</f>
        <v>30</v>
      </c>
      <c r="AB496" s="1" t="n">
        <f aca="false">IF(AND($M496=1,LEFT(对接源_01水果!$D496,4)="原料出库"),1,0)</f>
        <v>0</v>
      </c>
      <c r="AC496" s="1" t="n">
        <f aca="false">N(AC495)+$AB496</f>
        <v>19</v>
      </c>
      <c r="AD496" s="1" t="n">
        <f aca="false">IF(AND($M496=1,LEFT(对接源_01水果!$D496,4)="成品出库"),1,0)</f>
        <v>0</v>
      </c>
      <c r="AE496" s="1" t="n">
        <f aca="false">N(AE495)+$AD496</f>
        <v>38</v>
      </c>
      <c r="AF496" s="1" t="n">
        <f aca="false">IF(AND($N496=1,AND(LEFT(对接源_01水果!$D496,4)="包装物料",N(对接源_01水果!$K496)&lt;&gt;0)),1,0)</f>
        <v>0</v>
      </c>
      <c r="AG496" s="90" t="str">
        <f aca="false">IF(对接源_01水果!$AC496="","",对接源_01水果!$AC496)</f>
        <v/>
      </c>
      <c r="AH496" s="1" t="n">
        <f aca="false">IF(AND($N496=1,AND(LEFT(对接源_01水果!$D496,3)="周转筐",N(对接源_01水果!$K496)&lt;&gt;0)),1,0)</f>
        <v>0</v>
      </c>
      <c r="AI496" s="90" t="n">
        <f aca="false">IF(AG496="",0,IF(MATCH(AG496,$AG$4:$AG$1203,0)=ROW()-3,1,0))</f>
        <v>0</v>
      </c>
      <c r="AJ496" s="90" t="n">
        <f aca="false">N(AJ495)+AI496</f>
        <v>4</v>
      </c>
      <c r="AK496" s="1" t="n">
        <f aca="false">N(AK495)+$AJ496</f>
        <v>844</v>
      </c>
    </row>
    <row r="497" customFormat="false" ht="13.5" hidden="false" customHeight="false" outlineLevel="0" collapsed="false">
      <c r="A497" s="1" t="str">
        <f aca="false">IF(对接源_01水果!$C497="","",对接源_01水果!$C497)</f>
        <v/>
      </c>
      <c r="B497" s="1" t="n">
        <f aca="false">IF(A497="",0,IF(MATCH(A497,$A$4:$A$2403,0)=ROW()-3,1,0))</f>
        <v>0</v>
      </c>
      <c r="C497" s="1" t="n">
        <f aca="false">N(C496)+B497</f>
        <v>13</v>
      </c>
      <c r="K497" s="1" t="n">
        <f aca="false">IF(OR($K$1="",对接源_01水果!$C497="",对接源_01水果!$C497&lt;&gt;$K$1,对接源_01水果!$B497=""),0,IF(OR(N(对接源_01水果!$B497)&lt;$K$2,N(对接源_01水果!$B497)&gt;$K$3),0,1))</f>
        <v>0</v>
      </c>
      <c r="L497" s="1" t="n">
        <f aca="false">IF(OR($L$1="",对接源_01水果!$C497="",对接源_01水果!$C497&lt;&gt;$L$1,对接源_01水果!$B497=""),0,IF(OR(N(对接源_01水果!$B497)&lt;$L$2,N(对接源_01水果!$B497)&gt;$L$3),0,1))</f>
        <v>0</v>
      </c>
      <c r="M497" s="1" t="n">
        <f aca="false">IF(OR($M$1="",对接源_01水果!$C497="",对接源_01水果!$C497&lt;&gt;$M$1,对接源_01水果!$B497=""),0,IF(OR(N(对接源_01水果!$B497)&lt;$M$2,N(对接源_01水果!$B497)&gt;$M$3),0,1))</f>
        <v>0</v>
      </c>
      <c r="N497" s="1" t="n">
        <f aca="false">IF(OR($N$1="",对接源_01水果!$C497="",对接源_01水果!$C497&lt;&gt;$N$1,对接源_01水果!$B497=""),0,IF(OR(N(对接源_01水果!$B497)&lt;$N$2,N(对接源_01水果!$B497)&gt;$N$3),0,1))</f>
        <v>0</v>
      </c>
      <c r="P497" s="1" t="n">
        <f aca="false">IF(AND($K497=1,AND(对接源_01水果!$X497="公司筐",N(对接源_01水果!$T497)&lt;&gt;0)),1,0)</f>
        <v>0</v>
      </c>
      <c r="Q497" s="1" t="n">
        <f aca="false">N(Q496)+$P497</f>
        <v>3</v>
      </c>
      <c r="R497" s="1" t="n">
        <f aca="false">IF(AND($K497=1,AND(对接源_01水果!$X497="公司筐",N(对接源_01水果!$U497)&lt;&gt;0)),1,0)</f>
        <v>0</v>
      </c>
      <c r="S497" s="1" t="n">
        <f aca="false">N(S496)+$R497</f>
        <v>0</v>
      </c>
      <c r="T497" s="1" t="n">
        <f aca="false">IF(AND($K497=1,AND(对接源_01水果!$X497="公司筐",N(对接源_01水果!$V497)&lt;&gt;0)),1,0)</f>
        <v>0</v>
      </c>
      <c r="U497" s="1" t="n">
        <f aca="false">N(U496)+$T497</f>
        <v>28</v>
      </c>
      <c r="V497" s="1" t="n">
        <f aca="false">IF(AND($L497=1,AND(对接源_01水果!$X497="自备筐",N(对接源_01水果!$V497)&lt;&gt;0)),1,0)</f>
        <v>0</v>
      </c>
      <c r="W497" s="1" t="n">
        <f aca="false">N(W496)+$V497</f>
        <v>7</v>
      </c>
      <c r="X497" s="1" t="n">
        <f aca="false">IF(AND($L497=1,AND(对接源_01水果!$X497="自备筐",N(对接源_01水果!$T497)&lt;&gt;0)),1,0)</f>
        <v>0</v>
      </c>
      <c r="Y497" s="1" t="n">
        <f aca="false">N(Y496)+$X497</f>
        <v>0</v>
      </c>
      <c r="Z497" s="1" t="n">
        <f aca="false">IF(AND($M497=1,对接源_01水果!$D497="原料入库"),1,0)</f>
        <v>0</v>
      </c>
      <c r="AA497" s="1" t="n">
        <f aca="false">N(AA496)+$Z497</f>
        <v>30</v>
      </c>
      <c r="AB497" s="1" t="n">
        <f aca="false">IF(AND($M497=1,LEFT(对接源_01水果!$D497,4)="原料出库"),1,0)</f>
        <v>0</v>
      </c>
      <c r="AC497" s="1" t="n">
        <f aca="false">N(AC496)+$AB497</f>
        <v>19</v>
      </c>
      <c r="AD497" s="1" t="n">
        <f aca="false">IF(AND($M497=1,LEFT(对接源_01水果!$D497,4)="成品出库"),1,0)</f>
        <v>0</v>
      </c>
      <c r="AE497" s="1" t="n">
        <f aca="false">N(AE496)+$AD497</f>
        <v>38</v>
      </c>
      <c r="AF497" s="1" t="n">
        <f aca="false">IF(AND($N497=1,AND(LEFT(对接源_01水果!$D497,4)="包装物料",N(对接源_01水果!$K497)&lt;&gt;0)),1,0)</f>
        <v>0</v>
      </c>
      <c r="AG497" s="90" t="str">
        <f aca="false">IF(对接源_01水果!$AC497="","",对接源_01水果!$AC497)</f>
        <v/>
      </c>
      <c r="AH497" s="1" t="n">
        <f aca="false">IF(AND($N497=1,AND(LEFT(对接源_01水果!$D497,3)="周转筐",N(对接源_01水果!$K497)&lt;&gt;0)),1,0)</f>
        <v>0</v>
      </c>
      <c r="AI497" s="90" t="n">
        <f aca="false">IF(AG497="",0,IF(MATCH(AG497,$AG$4:$AG$1203,0)=ROW()-3,1,0))</f>
        <v>0</v>
      </c>
      <c r="AJ497" s="90" t="n">
        <f aca="false">N(AJ496)+AI497</f>
        <v>4</v>
      </c>
      <c r="AK497" s="1" t="n">
        <f aca="false">N(AK496)+$AJ497</f>
        <v>848</v>
      </c>
    </row>
    <row r="498" customFormat="false" ht="13.5" hidden="false" customHeight="false" outlineLevel="0" collapsed="false">
      <c r="A498" s="1" t="str">
        <f aca="false">IF(对接源_01水果!$C498="","",对接源_01水果!$C498)</f>
        <v/>
      </c>
      <c r="B498" s="1" t="n">
        <f aca="false">IF(A498="",0,IF(MATCH(A498,$A$4:$A$2403,0)=ROW()-3,1,0))</f>
        <v>0</v>
      </c>
      <c r="C498" s="1" t="n">
        <f aca="false">N(C497)+B498</f>
        <v>13</v>
      </c>
      <c r="K498" s="1" t="n">
        <f aca="false">IF(OR($K$1="",对接源_01水果!$C498="",对接源_01水果!$C498&lt;&gt;$K$1,对接源_01水果!$B498=""),0,IF(OR(N(对接源_01水果!$B498)&lt;$K$2,N(对接源_01水果!$B498)&gt;$K$3),0,1))</f>
        <v>0</v>
      </c>
      <c r="L498" s="1" t="n">
        <f aca="false">IF(OR($L$1="",对接源_01水果!$C498="",对接源_01水果!$C498&lt;&gt;$L$1,对接源_01水果!$B498=""),0,IF(OR(N(对接源_01水果!$B498)&lt;$L$2,N(对接源_01水果!$B498)&gt;$L$3),0,1))</f>
        <v>0</v>
      </c>
      <c r="M498" s="1" t="n">
        <f aca="false">IF(OR($M$1="",对接源_01水果!$C498="",对接源_01水果!$C498&lt;&gt;$M$1,对接源_01水果!$B498=""),0,IF(OR(N(对接源_01水果!$B498)&lt;$M$2,N(对接源_01水果!$B498)&gt;$M$3),0,1))</f>
        <v>0</v>
      </c>
      <c r="N498" s="1" t="n">
        <f aca="false">IF(OR($N$1="",对接源_01水果!$C498="",对接源_01水果!$C498&lt;&gt;$N$1,对接源_01水果!$B498=""),0,IF(OR(N(对接源_01水果!$B498)&lt;$N$2,N(对接源_01水果!$B498)&gt;$N$3),0,1))</f>
        <v>0</v>
      </c>
      <c r="P498" s="1" t="n">
        <f aca="false">IF(AND($K498=1,AND(对接源_01水果!$X498="公司筐",N(对接源_01水果!$T498)&lt;&gt;0)),1,0)</f>
        <v>0</v>
      </c>
      <c r="Q498" s="1" t="n">
        <f aca="false">N(Q497)+$P498</f>
        <v>3</v>
      </c>
      <c r="R498" s="1" t="n">
        <f aca="false">IF(AND($K498=1,AND(对接源_01水果!$X498="公司筐",N(对接源_01水果!$U498)&lt;&gt;0)),1,0)</f>
        <v>0</v>
      </c>
      <c r="S498" s="1" t="n">
        <f aca="false">N(S497)+$R498</f>
        <v>0</v>
      </c>
      <c r="T498" s="1" t="n">
        <f aca="false">IF(AND($K498=1,AND(对接源_01水果!$X498="公司筐",N(对接源_01水果!$V498)&lt;&gt;0)),1,0)</f>
        <v>0</v>
      </c>
      <c r="U498" s="1" t="n">
        <f aca="false">N(U497)+$T498</f>
        <v>28</v>
      </c>
      <c r="V498" s="1" t="n">
        <f aca="false">IF(AND($L498=1,AND(对接源_01水果!$X498="自备筐",N(对接源_01水果!$V498)&lt;&gt;0)),1,0)</f>
        <v>0</v>
      </c>
      <c r="W498" s="1" t="n">
        <f aca="false">N(W497)+$V498</f>
        <v>7</v>
      </c>
      <c r="X498" s="1" t="n">
        <f aca="false">IF(AND($L498=1,AND(对接源_01水果!$X498="自备筐",N(对接源_01水果!$T498)&lt;&gt;0)),1,0)</f>
        <v>0</v>
      </c>
      <c r="Y498" s="1" t="n">
        <f aca="false">N(Y497)+$X498</f>
        <v>0</v>
      </c>
      <c r="Z498" s="1" t="n">
        <f aca="false">IF(AND($M498=1,对接源_01水果!$D498="原料入库"),1,0)</f>
        <v>0</v>
      </c>
      <c r="AA498" s="1" t="n">
        <f aca="false">N(AA497)+$Z498</f>
        <v>30</v>
      </c>
      <c r="AB498" s="1" t="n">
        <f aca="false">IF(AND($M498=1,LEFT(对接源_01水果!$D498,4)="原料出库"),1,0)</f>
        <v>0</v>
      </c>
      <c r="AC498" s="1" t="n">
        <f aca="false">N(AC497)+$AB498</f>
        <v>19</v>
      </c>
      <c r="AD498" s="1" t="n">
        <f aca="false">IF(AND($M498=1,LEFT(对接源_01水果!$D498,4)="成品出库"),1,0)</f>
        <v>0</v>
      </c>
      <c r="AE498" s="1" t="n">
        <f aca="false">N(AE497)+$AD498</f>
        <v>38</v>
      </c>
      <c r="AF498" s="1" t="n">
        <f aca="false">IF(AND($N498=1,AND(LEFT(对接源_01水果!$D498,4)="包装物料",N(对接源_01水果!$K498)&lt;&gt;0)),1,0)</f>
        <v>0</v>
      </c>
      <c r="AG498" s="90" t="str">
        <f aca="false">IF(对接源_01水果!$AC498="","",对接源_01水果!$AC498)</f>
        <v/>
      </c>
      <c r="AH498" s="1" t="n">
        <f aca="false">IF(AND($N498=1,AND(LEFT(对接源_01水果!$D498,3)="周转筐",N(对接源_01水果!$K498)&lt;&gt;0)),1,0)</f>
        <v>0</v>
      </c>
      <c r="AI498" s="90" t="n">
        <f aca="false">IF(AG498="",0,IF(MATCH(AG498,$AG$4:$AG$1203,0)=ROW()-3,1,0))</f>
        <v>0</v>
      </c>
      <c r="AJ498" s="90" t="n">
        <f aca="false">N(AJ497)+AI498</f>
        <v>4</v>
      </c>
      <c r="AK498" s="1" t="n">
        <f aca="false">N(AK497)+$AJ498</f>
        <v>852</v>
      </c>
    </row>
    <row r="499" customFormat="false" ht="13.5" hidden="false" customHeight="false" outlineLevel="0" collapsed="false">
      <c r="A499" s="1" t="str">
        <f aca="false">IF(对接源_01水果!$C499="","",对接源_01水果!$C499)</f>
        <v/>
      </c>
      <c r="B499" s="1" t="n">
        <f aca="false">IF(A499="",0,IF(MATCH(A499,$A$4:$A$2403,0)=ROW()-3,1,0))</f>
        <v>0</v>
      </c>
      <c r="C499" s="1" t="n">
        <f aca="false">N(C498)+B499</f>
        <v>13</v>
      </c>
      <c r="K499" s="1" t="n">
        <f aca="false">IF(OR($K$1="",对接源_01水果!$C499="",对接源_01水果!$C499&lt;&gt;$K$1,对接源_01水果!$B499=""),0,IF(OR(N(对接源_01水果!$B499)&lt;$K$2,N(对接源_01水果!$B499)&gt;$K$3),0,1))</f>
        <v>0</v>
      </c>
      <c r="L499" s="1" t="n">
        <f aca="false">IF(OR($L$1="",对接源_01水果!$C499="",对接源_01水果!$C499&lt;&gt;$L$1,对接源_01水果!$B499=""),0,IF(OR(N(对接源_01水果!$B499)&lt;$L$2,N(对接源_01水果!$B499)&gt;$L$3),0,1))</f>
        <v>0</v>
      </c>
      <c r="M499" s="1" t="n">
        <f aca="false">IF(OR($M$1="",对接源_01水果!$C499="",对接源_01水果!$C499&lt;&gt;$M$1,对接源_01水果!$B499=""),0,IF(OR(N(对接源_01水果!$B499)&lt;$M$2,N(对接源_01水果!$B499)&gt;$M$3),0,1))</f>
        <v>0</v>
      </c>
      <c r="N499" s="1" t="n">
        <f aca="false">IF(OR($N$1="",对接源_01水果!$C499="",对接源_01水果!$C499&lt;&gt;$N$1,对接源_01水果!$B499=""),0,IF(OR(N(对接源_01水果!$B499)&lt;$N$2,N(对接源_01水果!$B499)&gt;$N$3),0,1))</f>
        <v>0</v>
      </c>
      <c r="P499" s="1" t="n">
        <f aca="false">IF(AND($K499=1,AND(对接源_01水果!$X499="公司筐",N(对接源_01水果!$T499)&lt;&gt;0)),1,0)</f>
        <v>0</v>
      </c>
      <c r="Q499" s="1" t="n">
        <f aca="false">N(Q498)+$P499</f>
        <v>3</v>
      </c>
      <c r="R499" s="1" t="n">
        <f aca="false">IF(AND($K499=1,AND(对接源_01水果!$X499="公司筐",N(对接源_01水果!$U499)&lt;&gt;0)),1,0)</f>
        <v>0</v>
      </c>
      <c r="S499" s="1" t="n">
        <f aca="false">N(S498)+$R499</f>
        <v>0</v>
      </c>
      <c r="T499" s="1" t="n">
        <f aca="false">IF(AND($K499=1,AND(对接源_01水果!$X499="公司筐",N(对接源_01水果!$V499)&lt;&gt;0)),1,0)</f>
        <v>0</v>
      </c>
      <c r="U499" s="1" t="n">
        <f aca="false">N(U498)+$T499</f>
        <v>28</v>
      </c>
      <c r="V499" s="1" t="n">
        <f aca="false">IF(AND($L499=1,AND(对接源_01水果!$X499="自备筐",N(对接源_01水果!$V499)&lt;&gt;0)),1,0)</f>
        <v>0</v>
      </c>
      <c r="W499" s="1" t="n">
        <f aca="false">N(W498)+$V499</f>
        <v>7</v>
      </c>
      <c r="X499" s="1" t="n">
        <f aca="false">IF(AND($L499=1,AND(对接源_01水果!$X499="自备筐",N(对接源_01水果!$T499)&lt;&gt;0)),1,0)</f>
        <v>0</v>
      </c>
      <c r="Y499" s="1" t="n">
        <f aca="false">N(Y498)+$X499</f>
        <v>0</v>
      </c>
      <c r="Z499" s="1" t="n">
        <f aca="false">IF(AND($M499=1,对接源_01水果!$D499="原料入库"),1,0)</f>
        <v>0</v>
      </c>
      <c r="AA499" s="1" t="n">
        <f aca="false">N(AA498)+$Z499</f>
        <v>30</v>
      </c>
      <c r="AB499" s="1" t="n">
        <f aca="false">IF(AND($M499=1,LEFT(对接源_01水果!$D499,4)="原料出库"),1,0)</f>
        <v>0</v>
      </c>
      <c r="AC499" s="1" t="n">
        <f aca="false">N(AC498)+$AB499</f>
        <v>19</v>
      </c>
      <c r="AD499" s="1" t="n">
        <f aca="false">IF(AND($M499=1,LEFT(对接源_01水果!$D499,4)="成品出库"),1,0)</f>
        <v>0</v>
      </c>
      <c r="AE499" s="1" t="n">
        <f aca="false">N(AE498)+$AD499</f>
        <v>38</v>
      </c>
      <c r="AF499" s="1" t="n">
        <f aca="false">IF(AND($N499=1,AND(LEFT(对接源_01水果!$D499,4)="包装物料",N(对接源_01水果!$K499)&lt;&gt;0)),1,0)</f>
        <v>0</v>
      </c>
      <c r="AG499" s="90" t="str">
        <f aca="false">IF(对接源_01水果!$AC499="","",对接源_01水果!$AC499)</f>
        <v/>
      </c>
      <c r="AH499" s="1" t="n">
        <f aca="false">IF(AND($N499=1,AND(LEFT(对接源_01水果!$D499,3)="周转筐",N(对接源_01水果!$K499)&lt;&gt;0)),1,0)</f>
        <v>0</v>
      </c>
      <c r="AI499" s="90" t="n">
        <f aca="false">IF(AG499="",0,IF(MATCH(AG499,$AG$4:$AG$1203,0)=ROW()-3,1,0))</f>
        <v>0</v>
      </c>
      <c r="AJ499" s="90" t="n">
        <f aca="false">N(AJ498)+AI499</f>
        <v>4</v>
      </c>
      <c r="AK499" s="1" t="n">
        <f aca="false">N(AK498)+$AJ499</f>
        <v>856</v>
      </c>
    </row>
    <row r="500" customFormat="false" ht="13.5" hidden="false" customHeight="false" outlineLevel="0" collapsed="false">
      <c r="A500" s="1" t="str">
        <f aca="false">IF(对接源_01水果!$C500="","",对接源_01水果!$C500)</f>
        <v/>
      </c>
      <c r="B500" s="1" t="n">
        <f aca="false">IF(A500="",0,IF(MATCH(A500,$A$4:$A$2403,0)=ROW()-3,1,0))</f>
        <v>0</v>
      </c>
      <c r="C500" s="1" t="n">
        <f aca="false">N(C499)+B500</f>
        <v>13</v>
      </c>
      <c r="K500" s="1" t="n">
        <f aca="false">IF(OR($K$1="",对接源_01水果!$C500="",对接源_01水果!$C500&lt;&gt;$K$1,对接源_01水果!$B500=""),0,IF(OR(N(对接源_01水果!$B500)&lt;$K$2,N(对接源_01水果!$B500)&gt;$K$3),0,1))</f>
        <v>0</v>
      </c>
      <c r="L500" s="1" t="n">
        <f aca="false">IF(OR($L$1="",对接源_01水果!$C500="",对接源_01水果!$C500&lt;&gt;$L$1,对接源_01水果!$B500=""),0,IF(OR(N(对接源_01水果!$B500)&lt;$L$2,N(对接源_01水果!$B500)&gt;$L$3),0,1))</f>
        <v>0</v>
      </c>
      <c r="M500" s="1" t="n">
        <f aca="false">IF(OR($M$1="",对接源_01水果!$C500="",对接源_01水果!$C500&lt;&gt;$M$1,对接源_01水果!$B500=""),0,IF(OR(N(对接源_01水果!$B500)&lt;$M$2,N(对接源_01水果!$B500)&gt;$M$3),0,1))</f>
        <v>0</v>
      </c>
      <c r="N500" s="1" t="n">
        <f aca="false">IF(OR($N$1="",对接源_01水果!$C500="",对接源_01水果!$C500&lt;&gt;$N$1,对接源_01水果!$B500=""),0,IF(OR(N(对接源_01水果!$B500)&lt;$N$2,N(对接源_01水果!$B500)&gt;$N$3),0,1))</f>
        <v>0</v>
      </c>
      <c r="P500" s="1" t="n">
        <f aca="false">IF(AND($K500=1,AND(对接源_01水果!$X500="公司筐",N(对接源_01水果!$T500)&lt;&gt;0)),1,0)</f>
        <v>0</v>
      </c>
      <c r="Q500" s="1" t="n">
        <f aca="false">N(Q499)+$P500</f>
        <v>3</v>
      </c>
      <c r="R500" s="1" t="n">
        <f aca="false">IF(AND($K500=1,AND(对接源_01水果!$X500="公司筐",N(对接源_01水果!$U500)&lt;&gt;0)),1,0)</f>
        <v>0</v>
      </c>
      <c r="S500" s="1" t="n">
        <f aca="false">N(S499)+$R500</f>
        <v>0</v>
      </c>
      <c r="T500" s="1" t="n">
        <f aca="false">IF(AND($K500=1,AND(对接源_01水果!$X500="公司筐",N(对接源_01水果!$V500)&lt;&gt;0)),1,0)</f>
        <v>0</v>
      </c>
      <c r="U500" s="1" t="n">
        <f aca="false">N(U499)+$T500</f>
        <v>28</v>
      </c>
      <c r="V500" s="1" t="n">
        <f aca="false">IF(AND($L500=1,AND(对接源_01水果!$X500="自备筐",N(对接源_01水果!$V500)&lt;&gt;0)),1,0)</f>
        <v>0</v>
      </c>
      <c r="W500" s="1" t="n">
        <f aca="false">N(W499)+$V500</f>
        <v>7</v>
      </c>
      <c r="X500" s="1" t="n">
        <f aca="false">IF(AND($L500=1,AND(对接源_01水果!$X500="自备筐",N(对接源_01水果!$T500)&lt;&gt;0)),1,0)</f>
        <v>0</v>
      </c>
      <c r="Y500" s="1" t="n">
        <f aca="false">N(Y499)+$X500</f>
        <v>0</v>
      </c>
      <c r="Z500" s="1" t="n">
        <f aca="false">IF(AND($M500=1,对接源_01水果!$D500="原料入库"),1,0)</f>
        <v>0</v>
      </c>
      <c r="AA500" s="1" t="n">
        <f aca="false">N(AA499)+$Z500</f>
        <v>30</v>
      </c>
      <c r="AB500" s="1" t="n">
        <f aca="false">IF(AND($M500=1,LEFT(对接源_01水果!$D500,4)="原料出库"),1,0)</f>
        <v>0</v>
      </c>
      <c r="AC500" s="1" t="n">
        <f aca="false">N(AC499)+$AB500</f>
        <v>19</v>
      </c>
      <c r="AD500" s="1" t="n">
        <f aca="false">IF(AND($M500=1,LEFT(对接源_01水果!$D500,4)="成品出库"),1,0)</f>
        <v>0</v>
      </c>
      <c r="AE500" s="1" t="n">
        <f aca="false">N(AE499)+$AD500</f>
        <v>38</v>
      </c>
      <c r="AF500" s="1" t="n">
        <f aca="false">IF(AND($N500=1,AND(LEFT(对接源_01水果!$D500,4)="包装物料",N(对接源_01水果!$K500)&lt;&gt;0)),1,0)</f>
        <v>0</v>
      </c>
      <c r="AG500" s="90" t="str">
        <f aca="false">IF(对接源_01水果!$AC500="","",对接源_01水果!$AC500)</f>
        <v/>
      </c>
      <c r="AH500" s="1" t="n">
        <f aca="false">IF(AND($N500=1,AND(LEFT(对接源_01水果!$D500,3)="周转筐",N(对接源_01水果!$K500)&lt;&gt;0)),1,0)</f>
        <v>0</v>
      </c>
      <c r="AI500" s="90" t="n">
        <f aca="false">IF(AG500="",0,IF(MATCH(AG500,$AG$4:$AG$1203,0)=ROW()-3,1,0))</f>
        <v>0</v>
      </c>
      <c r="AJ500" s="90" t="n">
        <f aca="false">N(AJ499)+AI500</f>
        <v>4</v>
      </c>
      <c r="AK500" s="1" t="n">
        <f aca="false">N(AK499)+$AJ500</f>
        <v>860</v>
      </c>
    </row>
    <row r="501" customFormat="false" ht="13.5" hidden="false" customHeight="false" outlineLevel="0" collapsed="false">
      <c r="A501" s="1" t="str">
        <f aca="false">IF(对接源_01水果!$C501="","",对接源_01水果!$C501)</f>
        <v/>
      </c>
      <c r="B501" s="1" t="n">
        <f aca="false">IF(A501="",0,IF(MATCH(A501,$A$4:$A$2403,0)=ROW()-3,1,0))</f>
        <v>0</v>
      </c>
      <c r="C501" s="1" t="n">
        <f aca="false">N(C500)+B501</f>
        <v>13</v>
      </c>
      <c r="K501" s="1" t="n">
        <f aca="false">IF(OR($K$1="",对接源_01水果!$C501="",对接源_01水果!$C501&lt;&gt;$K$1,对接源_01水果!$B501=""),0,IF(OR(N(对接源_01水果!$B501)&lt;$K$2,N(对接源_01水果!$B501)&gt;$K$3),0,1))</f>
        <v>0</v>
      </c>
      <c r="L501" s="1" t="n">
        <f aca="false">IF(OR($L$1="",对接源_01水果!$C501="",对接源_01水果!$C501&lt;&gt;$L$1,对接源_01水果!$B501=""),0,IF(OR(N(对接源_01水果!$B501)&lt;$L$2,N(对接源_01水果!$B501)&gt;$L$3),0,1))</f>
        <v>0</v>
      </c>
      <c r="M501" s="1" t="n">
        <f aca="false">IF(OR($M$1="",对接源_01水果!$C501="",对接源_01水果!$C501&lt;&gt;$M$1,对接源_01水果!$B501=""),0,IF(OR(N(对接源_01水果!$B501)&lt;$M$2,N(对接源_01水果!$B501)&gt;$M$3),0,1))</f>
        <v>0</v>
      </c>
      <c r="N501" s="1" t="n">
        <f aca="false">IF(OR($N$1="",对接源_01水果!$C501="",对接源_01水果!$C501&lt;&gt;$N$1,对接源_01水果!$B501=""),0,IF(OR(N(对接源_01水果!$B501)&lt;$N$2,N(对接源_01水果!$B501)&gt;$N$3),0,1))</f>
        <v>0</v>
      </c>
      <c r="P501" s="1" t="n">
        <f aca="false">IF(AND($K501=1,AND(对接源_01水果!$X501="公司筐",N(对接源_01水果!$T501)&lt;&gt;0)),1,0)</f>
        <v>0</v>
      </c>
      <c r="Q501" s="1" t="n">
        <f aca="false">N(Q500)+$P501</f>
        <v>3</v>
      </c>
      <c r="R501" s="1" t="n">
        <f aca="false">IF(AND($K501=1,AND(对接源_01水果!$X501="公司筐",N(对接源_01水果!$U501)&lt;&gt;0)),1,0)</f>
        <v>0</v>
      </c>
      <c r="S501" s="1" t="n">
        <f aca="false">N(S500)+$R501</f>
        <v>0</v>
      </c>
      <c r="T501" s="1" t="n">
        <f aca="false">IF(AND($K501=1,AND(对接源_01水果!$X501="公司筐",N(对接源_01水果!$V501)&lt;&gt;0)),1,0)</f>
        <v>0</v>
      </c>
      <c r="U501" s="1" t="n">
        <f aca="false">N(U500)+$T501</f>
        <v>28</v>
      </c>
      <c r="V501" s="1" t="n">
        <f aca="false">IF(AND($L501=1,AND(对接源_01水果!$X501="自备筐",N(对接源_01水果!$V501)&lt;&gt;0)),1,0)</f>
        <v>0</v>
      </c>
      <c r="W501" s="1" t="n">
        <f aca="false">N(W500)+$V501</f>
        <v>7</v>
      </c>
      <c r="X501" s="1" t="n">
        <f aca="false">IF(AND($L501=1,AND(对接源_01水果!$X501="自备筐",N(对接源_01水果!$T501)&lt;&gt;0)),1,0)</f>
        <v>0</v>
      </c>
      <c r="Y501" s="1" t="n">
        <f aca="false">N(Y500)+$X501</f>
        <v>0</v>
      </c>
      <c r="Z501" s="1" t="n">
        <f aca="false">IF(AND($M501=1,对接源_01水果!$D501="原料入库"),1,0)</f>
        <v>0</v>
      </c>
      <c r="AA501" s="1" t="n">
        <f aca="false">N(AA500)+$Z501</f>
        <v>30</v>
      </c>
      <c r="AB501" s="1" t="n">
        <f aca="false">IF(AND($M501=1,LEFT(对接源_01水果!$D501,4)="原料出库"),1,0)</f>
        <v>0</v>
      </c>
      <c r="AC501" s="1" t="n">
        <f aca="false">N(AC500)+$AB501</f>
        <v>19</v>
      </c>
      <c r="AD501" s="1" t="n">
        <f aca="false">IF(AND($M501=1,LEFT(对接源_01水果!$D501,4)="成品出库"),1,0)</f>
        <v>0</v>
      </c>
      <c r="AE501" s="1" t="n">
        <f aca="false">N(AE500)+$AD501</f>
        <v>38</v>
      </c>
      <c r="AF501" s="1" t="n">
        <f aca="false">IF(AND($N501=1,AND(LEFT(对接源_01水果!$D501,4)="包装物料",N(对接源_01水果!$K501)&lt;&gt;0)),1,0)</f>
        <v>0</v>
      </c>
      <c r="AG501" s="90" t="str">
        <f aca="false">IF(对接源_01水果!$AC501="","",对接源_01水果!$AC501)</f>
        <v/>
      </c>
      <c r="AH501" s="1" t="n">
        <f aca="false">IF(AND($N501=1,AND(LEFT(对接源_01水果!$D501,3)="周转筐",N(对接源_01水果!$K501)&lt;&gt;0)),1,0)</f>
        <v>0</v>
      </c>
      <c r="AI501" s="90" t="n">
        <f aca="false">IF(AG501="",0,IF(MATCH(AG501,$AG$4:$AG$1203,0)=ROW()-3,1,0))</f>
        <v>0</v>
      </c>
      <c r="AJ501" s="90" t="n">
        <f aca="false">N(AJ500)+AI501</f>
        <v>4</v>
      </c>
      <c r="AK501" s="1" t="n">
        <f aca="false">N(AK500)+$AJ501</f>
        <v>864</v>
      </c>
    </row>
    <row r="502" customFormat="false" ht="13.5" hidden="false" customHeight="false" outlineLevel="0" collapsed="false">
      <c r="A502" s="1" t="str">
        <f aca="false">IF(对接源_01水果!$C502="","",对接源_01水果!$C502)</f>
        <v/>
      </c>
      <c r="B502" s="1" t="n">
        <f aca="false">IF(A502="",0,IF(MATCH(A502,$A$4:$A$2403,0)=ROW()-3,1,0))</f>
        <v>0</v>
      </c>
      <c r="C502" s="1" t="n">
        <f aca="false">N(C501)+B502</f>
        <v>13</v>
      </c>
      <c r="K502" s="1" t="n">
        <f aca="false">IF(OR($K$1="",对接源_01水果!$C502="",对接源_01水果!$C502&lt;&gt;$K$1,对接源_01水果!$B502=""),0,IF(OR(N(对接源_01水果!$B502)&lt;$K$2,N(对接源_01水果!$B502)&gt;$K$3),0,1))</f>
        <v>0</v>
      </c>
      <c r="L502" s="1" t="n">
        <f aca="false">IF(OR($L$1="",对接源_01水果!$C502="",对接源_01水果!$C502&lt;&gt;$L$1,对接源_01水果!$B502=""),0,IF(OR(N(对接源_01水果!$B502)&lt;$L$2,N(对接源_01水果!$B502)&gt;$L$3),0,1))</f>
        <v>0</v>
      </c>
      <c r="M502" s="1" t="n">
        <f aca="false">IF(OR($M$1="",对接源_01水果!$C502="",对接源_01水果!$C502&lt;&gt;$M$1,对接源_01水果!$B502=""),0,IF(OR(N(对接源_01水果!$B502)&lt;$M$2,N(对接源_01水果!$B502)&gt;$M$3),0,1))</f>
        <v>0</v>
      </c>
      <c r="N502" s="1" t="n">
        <f aca="false">IF(OR($N$1="",对接源_01水果!$C502="",对接源_01水果!$C502&lt;&gt;$N$1,对接源_01水果!$B502=""),0,IF(OR(N(对接源_01水果!$B502)&lt;$N$2,N(对接源_01水果!$B502)&gt;$N$3),0,1))</f>
        <v>0</v>
      </c>
      <c r="P502" s="1" t="n">
        <f aca="false">IF(AND($K502=1,AND(对接源_01水果!$X502="公司筐",N(对接源_01水果!$T502)&lt;&gt;0)),1,0)</f>
        <v>0</v>
      </c>
      <c r="Q502" s="1" t="n">
        <f aca="false">N(Q501)+$P502</f>
        <v>3</v>
      </c>
      <c r="R502" s="1" t="n">
        <f aca="false">IF(AND($K502=1,AND(对接源_01水果!$X502="公司筐",N(对接源_01水果!$U502)&lt;&gt;0)),1,0)</f>
        <v>0</v>
      </c>
      <c r="S502" s="1" t="n">
        <f aca="false">N(S501)+$R502</f>
        <v>0</v>
      </c>
      <c r="T502" s="1" t="n">
        <f aca="false">IF(AND($K502=1,AND(对接源_01水果!$X502="公司筐",N(对接源_01水果!$V502)&lt;&gt;0)),1,0)</f>
        <v>0</v>
      </c>
      <c r="U502" s="1" t="n">
        <f aca="false">N(U501)+$T502</f>
        <v>28</v>
      </c>
      <c r="V502" s="1" t="n">
        <f aca="false">IF(AND($L502=1,AND(对接源_01水果!$X502="自备筐",N(对接源_01水果!$V502)&lt;&gt;0)),1,0)</f>
        <v>0</v>
      </c>
      <c r="W502" s="1" t="n">
        <f aca="false">N(W501)+$V502</f>
        <v>7</v>
      </c>
      <c r="X502" s="1" t="n">
        <f aca="false">IF(AND($L502=1,AND(对接源_01水果!$X502="自备筐",N(对接源_01水果!$T502)&lt;&gt;0)),1,0)</f>
        <v>0</v>
      </c>
      <c r="Y502" s="1" t="n">
        <f aca="false">N(Y501)+$X502</f>
        <v>0</v>
      </c>
      <c r="Z502" s="1" t="n">
        <f aca="false">IF(AND($M502=1,对接源_01水果!$D502="原料入库"),1,0)</f>
        <v>0</v>
      </c>
      <c r="AA502" s="1" t="n">
        <f aca="false">N(AA501)+$Z502</f>
        <v>30</v>
      </c>
      <c r="AB502" s="1" t="n">
        <f aca="false">IF(AND($M502=1,LEFT(对接源_01水果!$D502,4)="原料出库"),1,0)</f>
        <v>0</v>
      </c>
      <c r="AC502" s="1" t="n">
        <f aca="false">N(AC501)+$AB502</f>
        <v>19</v>
      </c>
      <c r="AD502" s="1" t="n">
        <f aca="false">IF(AND($M502=1,LEFT(对接源_01水果!$D502,4)="成品出库"),1,0)</f>
        <v>0</v>
      </c>
      <c r="AE502" s="1" t="n">
        <f aca="false">N(AE501)+$AD502</f>
        <v>38</v>
      </c>
      <c r="AF502" s="1" t="n">
        <f aca="false">IF(AND($N502=1,AND(LEFT(对接源_01水果!$D502,4)="包装物料",N(对接源_01水果!$K502)&lt;&gt;0)),1,0)</f>
        <v>0</v>
      </c>
      <c r="AG502" s="90" t="str">
        <f aca="false">IF(对接源_01水果!$AC502="","",对接源_01水果!$AC502)</f>
        <v/>
      </c>
      <c r="AH502" s="1" t="n">
        <f aca="false">IF(AND($N502=1,AND(LEFT(对接源_01水果!$D502,3)="周转筐",N(对接源_01水果!$K502)&lt;&gt;0)),1,0)</f>
        <v>0</v>
      </c>
      <c r="AI502" s="90" t="n">
        <f aca="false">IF(AG502="",0,IF(MATCH(AG502,$AG$4:$AG$1203,0)=ROW()-3,1,0))</f>
        <v>0</v>
      </c>
      <c r="AJ502" s="90" t="n">
        <f aca="false">N(AJ501)+AI502</f>
        <v>4</v>
      </c>
      <c r="AK502" s="1" t="n">
        <f aca="false">N(AK501)+$AJ502</f>
        <v>868</v>
      </c>
    </row>
    <row r="503" customFormat="false" ht="13.5" hidden="false" customHeight="false" outlineLevel="0" collapsed="false">
      <c r="A503" s="1" t="str">
        <f aca="false">IF(对接源_01水果!$C503="","",对接源_01水果!$C503)</f>
        <v/>
      </c>
      <c r="B503" s="1" t="n">
        <f aca="false">IF(A503="",0,IF(MATCH(A503,$A$4:$A$2403,0)=ROW()-3,1,0))</f>
        <v>0</v>
      </c>
      <c r="C503" s="1" t="n">
        <f aca="false">N(C502)+B503</f>
        <v>13</v>
      </c>
      <c r="K503" s="1" t="n">
        <f aca="false">IF(OR($K$1="",对接源_01水果!$C503="",对接源_01水果!$C503&lt;&gt;$K$1,对接源_01水果!$B503=""),0,IF(OR(N(对接源_01水果!$B503)&lt;$K$2,N(对接源_01水果!$B503)&gt;$K$3),0,1))</f>
        <v>0</v>
      </c>
      <c r="L503" s="1" t="n">
        <f aca="false">IF(OR($L$1="",对接源_01水果!$C503="",对接源_01水果!$C503&lt;&gt;$L$1,对接源_01水果!$B503=""),0,IF(OR(N(对接源_01水果!$B503)&lt;$L$2,N(对接源_01水果!$B503)&gt;$L$3),0,1))</f>
        <v>0</v>
      </c>
      <c r="M503" s="1" t="n">
        <f aca="false">IF(OR($M$1="",对接源_01水果!$C503="",对接源_01水果!$C503&lt;&gt;$M$1,对接源_01水果!$B503=""),0,IF(OR(N(对接源_01水果!$B503)&lt;$M$2,N(对接源_01水果!$B503)&gt;$M$3),0,1))</f>
        <v>0</v>
      </c>
      <c r="N503" s="1" t="n">
        <f aca="false">IF(OR($N$1="",对接源_01水果!$C503="",对接源_01水果!$C503&lt;&gt;$N$1,对接源_01水果!$B503=""),0,IF(OR(N(对接源_01水果!$B503)&lt;$N$2,N(对接源_01水果!$B503)&gt;$N$3),0,1))</f>
        <v>0</v>
      </c>
      <c r="P503" s="1" t="n">
        <f aca="false">IF(AND($K503=1,AND(对接源_01水果!$X503="公司筐",N(对接源_01水果!$T503)&lt;&gt;0)),1,0)</f>
        <v>0</v>
      </c>
      <c r="Q503" s="1" t="n">
        <f aca="false">N(Q502)+$P503</f>
        <v>3</v>
      </c>
      <c r="R503" s="1" t="n">
        <f aca="false">IF(AND($K503=1,AND(对接源_01水果!$X503="公司筐",N(对接源_01水果!$U503)&lt;&gt;0)),1,0)</f>
        <v>0</v>
      </c>
      <c r="S503" s="1" t="n">
        <f aca="false">N(S502)+$R503</f>
        <v>0</v>
      </c>
      <c r="T503" s="1" t="n">
        <f aca="false">IF(AND($K503=1,AND(对接源_01水果!$X503="公司筐",N(对接源_01水果!$V503)&lt;&gt;0)),1,0)</f>
        <v>0</v>
      </c>
      <c r="U503" s="1" t="n">
        <f aca="false">N(U502)+$T503</f>
        <v>28</v>
      </c>
      <c r="V503" s="1" t="n">
        <f aca="false">IF(AND($L503=1,AND(对接源_01水果!$X503="自备筐",N(对接源_01水果!$V503)&lt;&gt;0)),1,0)</f>
        <v>0</v>
      </c>
      <c r="W503" s="1" t="n">
        <f aca="false">N(W502)+$V503</f>
        <v>7</v>
      </c>
      <c r="X503" s="1" t="n">
        <f aca="false">IF(AND($L503=1,AND(对接源_01水果!$X503="自备筐",N(对接源_01水果!$T503)&lt;&gt;0)),1,0)</f>
        <v>0</v>
      </c>
      <c r="Y503" s="1" t="n">
        <f aca="false">N(Y502)+$X503</f>
        <v>0</v>
      </c>
      <c r="Z503" s="1" t="n">
        <f aca="false">IF(AND($M503=1,对接源_01水果!$D503="原料入库"),1,0)</f>
        <v>0</v>
      </c>
      <c r="AA503" s="1" t="n">
        <f aca="false">N(AA502)+$Z503</f>
        <v>30</v>
      </c>
      <c r="AB503" s="1" t="n">
        <f aca="false">IF(AND($M503=1,LEFT(对接源_01水果!$D503,4)="原料出库"),1,0)</f>
        <v>0</v>
      </c>
      <c r="AC503" s="1" t="n">
        <f aca="false">N(AC502)+$AB503</f>
        <v>19</v>
      </c>
      <c r="AD503" s="1" t="n">
        <f aca="false">IF(AND($M503=1,LEFT(对接源_01水果!$D503,4)="成品出库"),1,0)</f>
        <v>0</v>
      </c>
      <c r="AE503" s="1" t="n">
        <f aca="false">N(AE502)+$AD503</f>
        <v>38</v>
      </c>
      <c r="AF503" s="1" t="n">
        <f aca="false">IF(AND($N503=1,AND(LEFT(对接源_01水果!$D503,4)="包装物料",N(对接源_01水果!$K503)&lt;&gt;0)),1,0)</f>
        <v>0</v>
      </c>
      <c r="AG503" s="90" t="str">
        <f aca="false">IF(对接源_01水果!$AC503="","",对接源_01水果!$AC503)</f>
        <v/>
      </c>
      <c r="AH503" s="1" t="n">
        <f aca="false">IF(AND($N503=1,AND(LEFT(对接源_01水果!$D503,3)="周转筐",N(对接源_01水果!$K503)&lt;&gt;0)),1,0)</f>
        <v>0</v>
      </c>
      <c r="AI503" s="90" t="n">
        <f aca="false">IF(AG503="",0,IF(MATCH(AG503,$AG$4:$AG$1203,0)=ROW()-3,1,0))</f>
        <v>0</v>
      </c>
      <c r="AJ503" s="90" t="n">
        <f aca="false">N(AJ502)+AI503</f>
        <v>4</v>
      </c>
      <c r="AK503" s="1" t="n">
        <f aca="false">N(AK502)+$AJ503</f>
        <v>872</v>
      </c>
    </row>
    <row r="504" customFormat="false" ht="13.5" hidden="false" customHeight="false" outlineLevel="0" collapsed="false">
      <c r="A504" s="1" t="str">
        <f aca="false">IF(对接源_01水果!$C504="","",对接源_01水果!$C504)</f>
        <v/>
      </c>
      <c r="B504" s="1" t="n">
        <f aca="false">IF(A504="",0,IF(MATCH(A504,$A$4:$A$2403,0)=ROW()-3,1,0))</f>
        <v>0</v>
      </c>
      <c r="C504" s="1" t="n">
        <f aca="false">N(C503)+B504</f>
        <v>13</v>
      </c>
      <c r="K504" s="1" t="n">
        <f aca="false">IF(OR($K$1="",对接源_01水果!$C504="",对接源_01水果!$C504&lt;&gt;$K$1,对接源_01水果!$B504=""),0,IF(OR(N(对接源_01水果!$B504)&lt;$K$2,N(对接源_01水果!$B504)&gt;$K$3),0,1))</f>
        <v>0</v>
      </c>
      <c r="L504" s="1" t="n">
        <f aca="false">IF(OR($L$1="",对接源_01水果!$C504="",对接源_01水果!$C504&lt;&gt;$L$1,对接源_01水果!$B504=""),0,IF(OR(N(对接源_01水果!$B504)&lt;$L$2,N(对接源_01水果!$B504)&gt;$L$3),0,1))</f>
        <v>0</v>
      </c>
      <c r="M504" s="1" t="n">
        <f aca="false">IF(OR($M$1="",对接源_01水果!$C504="",对接源_01水果!$C504&lt;&gt;$M$1,对接源_01水果!$B504=""),0,IF(OR(N(对接源_01水果!$B504)&lt;$M$2,N(对接源_01水果!$B504)&gt;$M$3),0,1))</f>
        <v>0</v>
      </c>
      <c r="N504" s="1" t="n">
        <f aca="false">IF(OR($N$1="",对接源_01水果!$C504="",对接源_01水果!$C504&lt;&gt;$N$1,对接源_01水果!$B504=""),0,IF(OR(N(对接源_01水果!$B504)&lt;$N$2,N(对接源_01水果!$B504)&gt;$N$3),0,1))</f>
        <v>0</v>
      </c>
      <c r="P504" s="1" t="n">
        <f aca="false">IF(AND($K504=1,AND(对接源_01水果!$X504="公司筐",N(对接源_01水果!$T504)&lt;&gt;0)),1,0)</f>
        <v>0</v>
      </c>
      <c r="Q504" s="1" t="n">
        <f aca="false">N(Q503)+$P504</f>
        <v>3</v>
      </c>
      <c r="R504" s="1" t="n">
        <f aca="false">IF(AND($K504=1,AND(对接源_01水果!$X504="公司筐",N(对接源_01水果!$U504)&lt;&gt;0)),1,0)</f>
        <v>0</v>
      </c>
      <c r="S504" s="1" t="n">
        <f aca="false">N(S503)+$R504</f>
        <v>0</v>
      </c>
      <c r="T504" s="1" t="n">
        <f aca="false">IF(AND($K504=1,AND(对接源_01水果!$X504="公司筐",N(对接源_01水果!$V504)&lt;&gt;0)),1,0)</f>
        <v>0</v>
      </c>
      <c r="U504" s="1" t="n">
        <f aca="false">N(U503)+$T504</f>
        <v>28</v>
      </c>
      <c r="V504" s="1" t="n">
        <f aca="false">IF(AND($L504=1,AND(对接源_01水果!$X504="自备筐",N(对接源_01水果!$V504)&lt;&gt;0)),1,0)</f>
        <v>0</v>
      </c>
      <c r="W504" s="1" t="n">
        <f aca="false">N(W503)+$V504</f>
        <v>7</v>
      </c>
      <c r="X504" s="1" t="n">
        <f aca="false">IF(AND($L504=1,AND(对接源_01水果!$X504="自备筐",N(对接源_01水果!$T504)&lt;&gt;0)),1,0)</f>
        <v>0</v>
      </c>
      <c r="Y504" s="1" t="n">
        <f aca="false">N(Y503)+$X504</f>
        <v>0</v>
      </c>
      <c r="Z504" s="1" t="n">
        <f aca="false">IF(AND($M504=1,对接源_01水果!$D504="原料入库"),1,0)</f>
        <v>0</v>
      </c>
      <c r="AA504" s="1" t="n">
        <f aca="false">N(AA503)+$Z504</f>
        <v>30</v>
      </c>
      <c r="AB504" s="1" t="n">
        <f aca="false">IF(AND($M504=1,LEFT(对接源_01水果!$D504,4)="原料出库"),1,0)</f>
        <v>0</v>
      </c>
      <c r="AC504" s="1" t="n">
        <f aca="false">N(AC503)+$AB504</f>
        <v>19</v>
      </c>
      <c r="AD504" s="1" t="n">
        <f aca="false">IF(AND($M504=1,LEFT(对接源_01水果!$D504,4)="成品出库"),1,0)</f>
        <v>0</v>
      </c>
      <c r="AE504" s="1" t="n">
        <f aca="false">N(AE503)+$AD504</f>
        <v>38</v>
      </c>
      <c r="AF504" s="1" t="n">
        <f aca="false">IF(AND($N504=1,AND(LEFT(对接源_01水果!$D504,4)="包装物料",N(对接源_01水果!$K504)&lt;&gt;0)),1,0)</f>
        <v>0</v>
      </c>
      <c r="AG504" s="90" t="str">
        <f aca="false">IF(对接源_01水果!$AC504="","",对接源_01水果!$AC504)</f>
        <v/>
      </c>
      <c r="AH504" s="1" t="n">
        <f aca="false">IF(AND($N504=1,AND(LEFT(对接源_01水果!$D504,3)="周转筐",N(对接源_01水果!$K504)&lt;&gt;0)),1,0)</f>
        <v>0</v>
      </c>
      <c r="AI504" s="90" t="n">
        <f aca="false">IF(AG504="",0,IF(MATCH(AG504,$AG$4:$AG$1203,0)=ROW()-3,1,0))</f>
        <v>0</v>
      </c>
      <c r="AJ504" s="90" t="n">
        <f aca="false">N(AJ503)+AI504</f>
        <v>4</v>
      </c>
      <c r="AK504" s="1" t="n">
        <f aca="false">N(AK503)+$AJ504</f>
        <v>876</v>
      </c>
    </row>
    <row r="505" customFormat="false" ht="13.5" hidden="false" customHeight="false" outlineLevel="0" collapsed="false">
      <c r="A505" s="1" t="str">
        <f aca="false">IF(对接源_01水果!$C505="","",对接源_01水果!$C505)</f>
        <v/>
      </c>
      <c r="B505" s="1" t="n">
        <f aca="false">IF(A505="",0,IF(MATCH(A505,$A$4:$A$2403,0)=ROW()-3,1,0))</f>
        <v>0</v>
      </c>
      <c r="C505" s="1" t="n">
        <f aca="false">N(C504)+B505</f>
        <v>13</v>
      </c>
      <c r="K505" s="1" t="n">
        <f aca="false">IF(OR($K$1="",对接源_01水果!$C505="",对接源_01水果!$C505&lt;&gt;$K$1,对接源_01水果!$B505=""),0,IF(OR(N(对接源_01水果!$B505)&lt;$K$2,N(对接源_01水果!$B505)&gt;$K$3),0,1))</f>
        <v>0</v>
      </c>
      <c r="L505" s="1" t="n">
        <f aca="false">IF(OR($L$1="",对接源_01水果!$C505="",对接源_01水果!$C505&lt;&gt;$L$1,对接源_01水果!$B505=""),0,IF(OR(N(对接源_01水果!$B505)&lt;$L$2,N(对接源_01水果!$B505)&gt;$L$3),0,1))</f>
        <v>0</v>
      </c>
      <c r="M505" s="1" t="n">
        <f aca="false">IF(OR($M$1="",对接源_01水果!$C505="",对接源_01水果!$C505&lt;&gt;$M$1,对接源_01水果!$B505=""),0,IF(OR(N(对接源_01水果!$B505)&lt;$M$2,N(对接源_01水果!$B505)&gt;$M$3),0,1))</f>
        <v>0</v>
      </c>
      <c r="N505" s="1" t="n">
        <f aca="false">IF(OR($N$1="",对接源_01水果!$C505="",对接源_01水果!$C505&lt;&gt;$N$1,对接源_01水果!$B505=""),0,IF(OR(N(对接源_01水果!$B505)&lt;$N$2,N(对接源_01水果!$B505)&gt;$N$3),0,1))</f>
        <v>0</v>
      </c>
      <c r="P505" s="1" t="n">
        <f aca="false">IF(AND($K505=1,AND(对接源_01水果!$X505="公司筐",N(对接源_01水果!$T505)&lt;&gt;0)),1,0)</f>
        <v>0</v>
      </c>
      <c r="Q505" s="1" t="n">
        <f aca="false">N(Q504)+$P505</f>
        <v>3</v>
      </c>
      <c r="R505" s="1" t="n">
        <f aca="false">IF(AND($K505=1,AND(对接源_01水果!$X505="公司筐",N(对接源_01水果!$U505)&lt;&gt;0)),1,0)</f>
        <v>0</v>
      </c>
      <c r="S505" s="1" t="n">
        <f aca="false">N(S504)+$R505</f>
        <v>0</v>
      </c>
      <c r="T505" s="1" t="n">
        <f aca="false">IF(AND($K505=1,AND(对接源_01水果!$X505="公司筐",N(对接源_01水果!$V505)&lt;&gt;0)),1,0)</f>
        <v>0</v>
      </c>
      <c r="U505" s="1" t="n">
        <f aca="false">N(U504)+$T505</f>
        <v>28</v>
      </c>
      <c r="V505" s="1" t="n">
        <f aca="false">IF(AND($L505=1,AND(对接源_01水果!$X505="自备筐",N(对接源_01水果!$V505)&lt;&gt;0)),1,0)</f>
        <v>0</v>
      </c>
      <c r="W505" s="1" t="n">
        <f aca="false">N(W504)+$V505</f>
        <v>7</v>
      </c>
      <c r="X505" s="1" t="n">
        <f aca="false">IF(AND($L505=1,AND(对接源_01水果!$X505="自备筐",N(对接源_01水果!$T505)&lt;&gt;0)),1,0)</f>
        <v>0</v>
      </c>
      <c r="Y505" s="1" t="n">
        <f aca="false">N(Y504)+$X505</f>
        <v>0</v>
      </c>
      <c r="Z505" s="1" t="n">
        <f aca="false">IF(AND($M505=1,对接源_01水果!$D505="原料入库"),1,0)</f>
        <v>0</v>
      </c>
      <c r="AA505" s="1" t="n">
        <f aca="false">N(AA504)+$Z505</f>
        <v>30</v>
      </c>
      <c r="AB505" s="1" t="n">
        <f aca="false">IF(AND($M505=1,LEFT(对接源_01水果!$D505,4)="原料出库"),1,0)</f>
        <v>0</v>
      </c>
      <c r="AC505" s="1" t="n">
        <f aca="false">N(AC504)+$AB505</f>
        <v>19</v>
      </c>
      <c r="AD505" s="1" t="n">
        <f aca="false">IF(AND($M505=1,LEFT(对接源_01水果!$D505,4)="成品出库"),1,0)</f>
        <v>0</v>
      </c>
      <c r="AE505" s="1" t="n">
        <f aca="false">N(AE504)+$AD505</f>
        <v>38</v>
      </c>
      <c r="AF505" s="1" t="n">
        <f aca="false">IF(AND($N505=1,AND(LEFT(对接源_01水果!$D505,4)="包装物料",N(对接源_01水果!$K505)&lt;&gt;0)),1,0)</f>
        <v>0</v>
      </c>
      <c r="AG505" s="90" t="str">
        <f aca="false">IF(对接源_01水果!$AC505="","",对接源_01水果!$AC505)</f>
        <v/>
      </c>
      <c r="AH505" s="1" t="n">
        <f aca="false">IF(AND($N505=1,AND(LEFT(对接源_01水果!$D505,3)="周转筐",N(对接源_01水果!$K505)&lt;&gt;0)),1,0)</f>
        <v>0</v>
      </c>
      <c r="AI505" s="90" t="n">
        <f aca="false">IF(AG505="",0,IF(MATCH(AG505,$AG$4:$AG$1203,0)=ROW()-3,1,0))</f>
        <v>0</v>
      </c>
      <c r="AJ505" s="90" t="n">
        <f aca="false">N(AJ504)+AI505</f>
        <v>4</v>
      </c>
      <c r="AK505" s="1" t="n">
        <f aca="false">N(AK504)+$AJ505</f>
        <v>880</v>
      </c>
    </row>
    <row r="506" customFormat="false" ht="13.5" hidden="false" customHeight="false" outlineLevel="0" collapsed="false">
      <c r="A506" s="1" t="str">
        <f aca="false">IF(对接源_01水果!$C506="","",对接源_01水果!$C506)</f>
        <v/>
      </c>
      <c r="B506" s="1" t="n">
        <f aca="false">IF(A506="",0,IF(MATCH(A506,$A$4:$A$2403,0)=ROW()-3,1,0))</f>
        <v>0</v>
      </c>
      <c r="C506" s="1" t="n">
        <f aca="false">N(C505)+B506</f>
        <v>13</v>
      </c>
      <c r="K506" s="1" t="n">
        <f aca="false">IF(OR($K$1="",对接源_01水果!$C506="",对接源_01水果!$C506&lt;&gt;$K$1,对接源_01水果!$B506=""),0,IF(OR(N(对接源_01水果!$B506)&lt;$K$2,N(对接源_01水果!$B506)&gt;$K$3),0,1))</f>
        <v>0</v>
      </c>
      <c r="L506" s="1" t="n">
        <f aca="false">IF(OR($L$1="",对接源_01水果!$C506="",对接源_01水果!$C506&lt;&gt;$L$1,对接源_01水果!$B506=""),0,IF(OR(N(对接源_01水果!$B506)&lt;$L$2,N(对接源_01水果!$B506)&gt;$L$3),0,1))</f>
        <v>0</v>
      </c>
      <c r="M506" s="1" t="n">
        <f aca="false">IF(OR($M$1="",对接源_01水果!$C506="",对接源_01水果!$C506&lt;&gt;$M$1,对接源_01水果!$B506=""),0,IF(OR(N(对接源_01水果!$B506)&lt;$M$2,N(对接源_01水果!$B506)&gt;$M$3),0,1))</f>
        <v>0</v>
      </c>
      <c r="N506" s="1" t="n">
        <f aca="false">IF(OR($N$1="",对接源_01水果!$C506="",对接源_01水果!$C506&lt;&gt;$N$1,对接源_01水果!$B506=""),0,IF(OR(N(对接源_01水果!$B506)&lt;$N$2,N(对接源_01水果!$B506)&gt;$N$3),0,1))</f>
        <v>0</v>
      </c>
      <c r="P506" s="1" t="n">
        <f aca="false">IF(AND($K506=1,AND(对接源_01水果!$X506="公司筐",N(对接源_01水果!$T506)&lt;&gt;0)),1,0)</f>
        <v>0</v>
      </c>
      <c r="Q506" s="1" t="n">
        <f aca="false">N(Q505)+$P506</f>
        <v>3</v>
      </c>
      <c r="R506" s="1" t="n">
        <f aca="false">IF(AND($K506=1,AND(对接源_01水果!$X506="公司筐",N(对接源_01水果!$U506)&lt;&gt;0)),1,0)</f>
        <v>0</v>
      </c>
      <c r="S506" s="1" t="n">
        <f aca="false">N(S505)+$R506</f>
        <v>0</v>
      </c>
      <c r="T506" s="1" t="n">
        <f aca="false">IF(AND($K506=1,AND(对接源_01水果!$X506="公司筐",N(对接源_01水果!$V506)&lt;&gt;0)),1,0)</f>
        <v>0</v>
      </c>
      <c r="U506" s="1" t="n">
        <f aca="false">N(U505)+$T506</f>
        <v>28</v>
      </c>
      <c r="V506" s="1" t="n">
        <f aca="false">IF(AND($L506=1,AND(对接源_01水果!$X506="自备筐",N(对接源_01水果!$V506)&lt;&gt;0)),1,0)</f>
        <v>0</v>
      </c>
      <c r="W506" s="1" t="n">
        <f aca="false">N(W505)+$V506</f>
        <v>7</v>
      </c>
      <c r="X506" s="1" t="n">
        <f aca="false">IF(AND($L506=1,AND(对接源_01水果!$X506="自备筐",N(对接源_01水果!$T506)&lt;&gt;0)),1,0)</f>
        <v>0</v>
      </c>
      <c r="Y506" s="1" t="n">
        <f aca="false">N(Y505)+$X506</f>
        <v>0</v>
      </c>
      <c r="Z506" s="1" t="n">
        <f aca="false">IF(AND($M506=1,对接源_01水果!$D506="原料入库"),1,0)</f>
        <v>0</v>
      </c>
      <c r="AA506" s="1" t="n">
        <f aca="false">N(AA505)+$Z506</f>
        <v>30</v>
      </c>
      <c r="AB506" s="1" t="n">
        <f aca="false">IF(AND($M506=1,LEFT(对接源_01水果!$D506,4)="原料出库"),1,0)</f>
        <v>0</v>
      </c>
      <c r="AC506" s="1" t="n">
        <f aca="false">N(AC505)+$AB506</f>
        <v>19</v>
      </c>
      <c r="AD506" s="1" t="n">
        <f aca="false">IF(AND($M506=1,LEFT(对接源_01水果!$D506,4)="成品出库"),1,0)</f>
        <v>0</v>
      </c>
      <c r="AE506" s="1" t="n">
        <f aca="false">N(AE505)+$AD506</f>
        <v>38</v>
      </c>
      <c r="AF506" s="1" t="n">
        <f aca="false">IF(AND($N506=1,AND(LEFT(对接源_01水果!$D506,4)="包装物料",N(对接源_01水果!$K506)&lt;&gt;0)),1,0)</f>
        <v>0</v>
      </c>
      <c r="AG506" s="90" t="str">
        <f aca="false">IF(对接源_01水果!$AC506="","",对接源_01水果!$AC506)</f>
        <v/>
      </c>
      <c r="AH506" s="1" t="n">
        <f aca="false">IF(AND($N506=1,AND(LEFT(对接源_01水果!$D506,3)="周转筐",N(对接源_01水果!$K506)&lt;&gt;0)),1,0)</f>
        <v>0</v>
      </c>
      <c r="AI506" s="90" t="n">
        <f aca="false">IF(AG506="",0,IF(MATCH(AG506,$AG$4:$AG$1203,0)=ROW()-3,1,0))</f>
        <v>0</v>
      </c>
      <c r="AJ506" s="90" t="n">
        <f aca="false">N(AJ505)+AI506</f>
        <v>4</v>
      </c>
      <c r="AK506" s="1" t="n">
        <f aca="false">N(AK505)+$AJ506</f>
        <v>884</v>
      </c>
    </row>
    <row r="507" customFormat="false" ht="13.5" hidden="false" customHeight="false" outlineLevel="0" collapsed="false">
      <c r="A507" s="1" t="str">
        <f aca="false">IF(对接源_01水果!$C507="","",对接源_01水果!$C507)</f>
        <v/>
      </c>
      <c r="B507" s="1" t="n">
        <f aca="false">IF(A507="",0,IF(MATCH(A507,$A$4:$A$2403,0)=ROW()-3,1,0))</f>
        <v>0</v>
      </c>
      <c r="C507" s="1" t="n">
        <f aca="false">N(C506)+B507</f>
        <v>13</v>
      </c>
      <c r="K507" s="1" t="n">
        <f aca="false">IF(OR($K$1="",对接源_01水果!$C507="",对接源_01水果!$C507&lt;&gt;$K$1,对接源_01水果!$B507=""),0,IF(OR(N(对接源_01水果!$B507)&lt;$K$2,N(对接源_01水果!$B507)&gt;$K$3),0,1))</f>
        <v>0</v>
      </c>
      <c r="L507" s="1" t="n">
        <f aca="false">IF(OR($L$1="",对接源_01水果!$C507="",对接源_01水果!$C507&lt;&gt;$L$1,对接源_01水果!$B507=""),0,IF(OR(N(对接源_01水果!$B507)&lt;$L$2,N(对接源_01水果!$B507)&gt;$L$3),0,1))</f>
        <v>0</v>
      </c>
      <c r="M507" s="1" t="n">
        <f aca="false">IF(OR($M$1="",对接源_01水果!$C507="",对接源_01水果!$C507&lt;&gt;$M$1,对接源_01水果!$B507=""),0,IF(OR(N(对接源_01水果!$B507)&lt;$M$2,N(对接源_01水果!$B507)&gt;$M$3),0,1))</f>
        <v>0</v>
      </c>
      <c r="N507" s="1" t="n">
        <f aca="false">IF(OR($N$1="",对接源_01水果!$C507="",对接源_01水果!$C507&lt;&gt;$N$1,对接源_01水果!$B507=""),0,IF(OR(N(对接源_01水果!$B507)&lt;$N$2,N(对接源_01水果!$B507)&gt;$N$3),0,1))</f>
        <v>0</v>
      </c>
      <c r="P507" s="1" t="n">
        <f aca="false">IF(AND($K507=1,AND(对接源_01水果!$X507="公司筐",N(对接源_01水果!$T507)&lt;&gt;0)),1,0)</f>
        <v>0</v>
      </c>
      <c r="Q507" s="1" t="n">
        <f aca="false">N(Q506)+$P507</f>
        <v>3</v>
      </c>
      <c r="R507" s="1" t="n">
        <f aca="false">IF(AND($K507=1,AND(对接源_01水果!$X507="公司筐",N(对接源_01水果!$U507)&lt;&gt;0)),1,0)</f>
        <v>0</v>
      </c>
      <c r="S507" s="1" t="n">
        <f aca="false">N(S506)+$R507</f>
        <v>0</v>
      </c>
      <c r="T507" s="1" t="n">
        <f aca="false">IF(AND($K507=1,AND(对接源_01水果!$X507="公司筐",N(对接源_01水果!$V507)&lt;&gt;0)),1,0)</f>
        <v>0</v>
      </c>
      <c r="U507" s="1" t="n">
        <f aca="false">N(U506)+$T507</f>
        <v>28</v>
      </c>
      <c r="V507" s="1" t="n">
        <f aca="false">IF(AND($L507=1,AND(对接源_01水果!$X507="自备筐",N(对接源_01水果!$V507)&lt;&gt;0)),1,0)</f>
        <v>0</v>
      </c>
      <c r="W507" s="1" t="n">
        <f aca="false">N(W506)+$V507</f>
        <v>7</v>
      </c>
      <c r="X507" s="1" t="n">
        <f aca="false">IF(AND($L507=1,AND(对接源_01水果!$X507="自备筐",N(对接源_01水果!$T507)&lt;&gt;0)),1,0)</f>
        <v>0</v>
      </c>
      <c r="Y507" s="1" t="n">
        <f aca="false">N(Y506)+$X507</f>
        <v>0</v>
      </c>
      <c r="Z507" s="1" t="n">
        <f aca="false">IF(AND($M507=1,对接源_01水果!$D507="原料入库"),1,0)</f>
        <v>0</v>
      </c>
      <c r="AA507" s="1" t="n">
        <f aca="false">N(AA506)+$Z507</f>
        <v>30</v>
      </c>
      <c r="AB507" s="1" t="n">
        <f aca="false">IF(AND($M507=1,LEFT(对接源_01水果!$D507,4)="原料出库"),1,0)</f>
        <v>0</v>
      </c>
      <c r="AC507" s="1" t="n">
        <f aca="false">N(AC506)+$AB507</f>
        <v>19</v>
      </c>
      <c r="AD507" s="1" t="n">
        <f aca="false">IF(AND($M507=1,LEFT(对接源_01水果!$D507,4)="成品出库"),1,0)</f>
        <v>0</v>
      </c>
      <c r="AE507" s="1" t="n">
        <f aca="false">N(AE506)+$AD507</f>
        <v>38</v>
      </c>
      <c r="AF507" s="1" t="n">
        <f aca="false">IF(AND($N507=1,AND(LEFT(对接源_01水果!$D507,4)="包装物料",N(对接源_01水果!$K507)&lt;&gt;0)),1,0)</f>
        <v>0</v>
      </c>
      <c r="AG507" s="90" t="str">
        <f aca="false">IF(对接源_01水果!$AC507="","",对接源_01水果!$AC507)</f>
        <v/>
      </c>
      <c r="AH507" s="1" t="n">
        <f aca="false">IF(AND($N507=1,AND(LEFT(对接源_01水果!$D507,3)="周转筐",N(对接源_01水果!$K507)&lt;&gt;0)),1,0)</f>
        <v>0</v>
      </c>
      <c r="AI507" s="90" t="n">
        <f aca="false">IF(AG507="",0,IF(MATCH(AG507,$AG$4:$AG$1203,0)=ROW()-3,1,0))</f>
        <v>0</v>
      </c>
      <c r="AJ507" s="90" t="n">
        <f aca="false">N(AJ506)+AI507</f>
        <v>4</v>
      </c>
      <c r="AK507" s="1" t="n">
        <f aca="false">N(AK506)+$AJ507</f>
        <v>888</v>
      </c>
    </row>
    <row r="508" customFormat="false" ht="13.5" hidden="false" customHeight="false" outlineLevel="0" collapsed="false">
      <c r="A508" s="1" t="str">
        <f aca="false">IF(对接源_01水果!$C508="","",对接源_01水果!$C508)</f>
        <v/>
      </c>
      <c r="B508" s="1" t="n">
        <f aca="false">IF(A508="",0,IF(MATCH(A508,$A$4:$A$2403,0)=ROW()-3,1,0))</f>
        <v>0</v>
      </c>
      <c r="C508" s="1" t="n">
        <f aca="false">N(C507)+B508</f>
        <v>13</v>
      </c>
      <c r="K508" s="1" t="n">
        <f aca="false">IF(OR($K$1="",对接源_01水果!$C508="",对接源_01水果!$C508&lt;&gt;$K$1,对接源_01水果!$B508=""),0,IF(OR(N(对接源_01水果!$B508)&lt;$K$2,N(对接源_01水果!$B508)&gt;$K$3),0,1))</f>
        <v>0</v>
      </c>
      <c r="L508" s="1" t="n">
        <f aca="false">IF(OR($L$1="",对接源_01水果!$C508="",对接源_01水果!$C508&lt;&gt;$L$1,对接源_01水果!$B508=""),0,IF(OR(N(对接源_01水果!$B508)&lt;$L$2,N(对接源_01水果!$B508)&gt;$L$3),0,1))</f>
        <v>0</v>
      </c>
      <c r="M508" s="1" t="n">
        <f aca="false">IF(OR($M$1="",对接源_01水果!$C508="",对接源_01水果!$C508&lt;&gt;$M$1,对接源_01水果!$B508=""),0,IF(OR(N(对接源_01水果!$B508)&lt;$M$2,N(对接源_01水果!$B508)&gt;$M$3),0,1))</f>
        <v>0</v>
      </c>
      <c r="N508" s="1" t="n">
        <f aca="false">IF(OR($N$1="",对接源_01水果!$C508="",对接源_01水果!$C508&lt;&gt;$N$1,对接源_01水果!$B508=""),0,IF(OR(N(对接源_01水果!$B508)&lt;$N$2,N(对接源_01水果!$B508)&gt;$N$3),0,1))</f>
        <v>0</v>
      </c>
      <c r="P508" s="1" t="n">
        <f aca="false">IF(AND($K508=1,AND(对接源_01水果!$X508="公司筐",N(对接源_01水果!$T508)&lt;&gt;0)),1,0)</f>
        <v>0</v>
      </c>
      <c r="Q508" s="1" t="n">
        <f aca="false">N(Q507)+$P508</f>
        <v>3</v>
      </c>
      <c r="R508" s="1" t="n">
        <f aca="false">IF(AND($K508=1,AND(对接源_01水果!$X508="公司筐",N(对接源_01水果!$U508)&lt;&gt;0)),1,0)</f>
        <v>0</v>
      </c>
      <c r="S508" s="1" t="n">
        <f aca="false">N(S507)+$R508</f>
        <v>0</v>
      </c>
      <c r="T508" s="1" t="n">
        <f aca="false">IF(AND($K508=1,AND(对接源_01水果!$X508="公司筐",N(对接源_01水果!$V508)&lt;&gt;0)),1,0)</f>
        <v>0</v>
      </c>
      <c r="U508" s="1" t="n">
        <f aca="false">N(U507)+$T508</f>
        <v>28</v>
      </c>
      <c r="V508" s="1" t="n">
        <f aca="false">IF(AND($L508=1,AND(对接源_01水果!$X508="自备筐",N(对接源_01水果!$V508)&lt;&gt;0)),1,0)</f>
        <v>0</v>
      </c>
      <c r="W508" s="1" t="n">
        <f aca="false">N(W507)+$V508</f>
        <v>7</v>
      </c>
      <c r="X508" s="1" t="n">
        <f aca="false">IF(AND($L508=1,AND(对接源_01水果!$X508="自备筐",N(对接源_01水果!$T508)&lt;&gt;0)),1,0)</f>
        <v>0</v>
      </c>
      <c r="Y508" s="1" t="n">
        <f aca="false">N(Y507)+$X508</f>
        <v>0</v>
      </c>
      <c r="Z508" s="1" t="n">
        <f aca="false">IF(AND($M508=1,对接源_01水果!$D508="原料入库"),1,0)</f>
        <v>0</v>
      </c>
      <c r="AA508" s="1" t="n">
        <f aca="false">N(AA507)+$Z508</f>
        <v>30</v>
      </c>
      <c r="AB508" s="1" t="n">
        <f aca="false">IF(AND($M508=1,LEFT(对接源_01水果!$D508,4)="原料出库"),1,0)</f>
        <v>0</v>
      </c>
      <c r="AC508" s="1" t="n">
        <f aca="false">N(AC507)+$AB508</f>
        <v>19</v>
      </c>
      <c r="AD508" s="1" t="n">
        <f aca="false">IF(AND($M508=1,LEFT(对接源_01水果!$D508,4)="成品出库"),1,0)</f>
        <v>0</v>
      </c>
      <c r="AE508" s="1" t="n">
        <f aca="false">N(AE507)+$AD508</f>
        <v>38</v>
      </c>
      <c r="AF508" s="1" t="n">
        <f aca="false">IF(AND($N508=1,AND(LEFT(对接源_01水果!$D508,4)="包装物料",N(对接源_01水果!$K508)&lt;&gt;0)),1,0)</f>
        <v>0</v>
      </c>
      <c r="AG508" s="90" t="str">
        <f aca="false">IF(对接源_01水果!$AC508="","",对接源_01水果!$AC508)</f>
        <v/>
      </c>
      <c r="AH508" s="1" t="n">
        <f aca="false">IF(AND($N508=1,AND(LEFT(对接源_01水果!$D508,3)="周转筐",N(对接源_01水果!$K508)&lt;&gt;0)),1,0)</f>
        <v>0</v>
      </c>
      <c r="AI508" s="90" t="n">
        <f aca="false">IF(AG508="",0,IF(MATCH(AG508,$AG$4:$AG$1203,0)=ROW()-3,1,0))</f>
        <v>0</v>
      </c>
      <c r="AJ508" s="90" t="n">
        <f aca="false">N(AJ507)+AI508</f>
        <v>4</v>
      </c>
      <c r="AK508" s="1" t="n">
        <f aca="false">N(AK507)+$AJ508</f>
        <v>892</v>
      </c>
    </row>
    <row r="509" customFormat="false" ht="13.5" hidden="false" customHeight="false" outlineLevel="0" collapsed="false">
      <c r="A509" s="1" t="str">
        <f aca="false">IF(对接源_01水果!$C509="","",对接源_01水果!$C509)</f>
        <v/>
      </c>
      <c r="B509" s="1" t="n">
        <f aca="false">IF(A509="",0,IF(MATCH(A509,$A$4:$A$2403,0)=ROW()-3,1,0))</f>
        <v>0</v>
      </c>
      <c r="C509" s="1" t="n">
        <f aca="false">N(C508)+B509</f>
        <v>13</v>
      </c>
      <c r="K509" s="1" t="n">
        <f aca="false">IF(OR($K$1="",对接源_01水果!$C509="",对接源_01水果!$C509&lt;&gt;$K$1,对接源_01水果!$B509=""),0,IF(OR(N(对接源_01水果!$B509)&lt;$K$2,N(对接源_01水果!$B509)&gt;$K$3),0,1))</f>
        <v>0</v>
      </c>
      <c r="L509" s="1" t="n">
        <f aca="false">IF(OR($L$1="",对接源_01水果!$C509="",对接源_01水果!$C509&lt;&gt;$L$1,对接源_01水果!$B509=""),0,IF(OR(N(对接源_01水果!$B509)&lt;$L$2,N(对接源_01水果!$B509)&gt;$L$3),0,1))</f>
        <v>0</v>
      </c>
      <c r="M509" s="1" t="n">
        <f aca="false">IF(OR($M$1="",对接源_01水果!$C509="",对接源_01水果!$C509&lt;&gt;$M$1,对接源_01水果!$B509=""),0,IF(OR(N(对接源_01水果!$B509)&lt;$M$2,N(对接源_01水果!$B509)&gt;$M$3),0,1))</f>
        <v>0</v>
      </c>
      <c r="N509" s="1" t="n">
        <f aca="false">IF(OR($N$1="",对接源_01水果!$C509="",对接源_01水果!$C509&lt;&gt;$N$1,对接源_01水果!$B509=""),0,IF(OR(N(对接源_01水果!$B509)&lt;$N$2,N(对接源_01水果!$B509)&gt;$N$3),0,1))</f>
        <v>0</v>
      </c>
      <c r="P509" s="1" t="n">
        <f aca="false">IF(AND($K509=1,AND(对接源_01水果!$X509="公司筐",N(对接源_01水果!$T509)&lt;&gt;0)),1,0)</f>
        <v>0</v>
      </c>
      <c r="Q509" s="1" t="n">
        <f aca="false">N(Q508)+$P509</f>
        <v>3</v>
      </c>
      <c r="R509" s="1" t="n">
        <f aca="false">IF(AND($K509=1,AND(对接源_01水果!$X509="公司筐",N(对接源_01水果!$U509)&lt;&gt;0)),1,0)</f>
        <v>0</v>
      </c>
      <c r="S509" s="1" t="n">
        <f aca="false">N(S508)+$R509</f>
        <v>0</v>
      </c>
      <c r="T509" s="1" t="n">
        <f aca="false">IF(AND($K509=1,AND(对接源_01水果!$X509="公司筐",N(对接源_01水果!$V509)&lt;&gt;0)),1,0)</f>
        <v>0</v>
      </c>
      <c r="U509" s="1" t="n">
        <f aca="false">N(U508)+$T509</f>
        <v>28</v>
      </c>
      <c r="V509" s="1" t="n">
        <f aca="false">IF(AND($L509=1,AND(对接源_01水果!$X509="自备筐",N(对接源_01水果!$V509)&lt;&gt;0)),1,0)</f>
        <v>0</v>
      </c>
      <c r="W509" s="1" t="n">
        <f aca="false">N(W508)+$V509</f>
        <v>7</v>
      </c>
      <c r="X509" s="1" t="n">
        <f aca="false">IF(AND($L509=1,AND(对接源_01水果!$X509="自备筐",N(对接源_01水果!$T509)&lt;&gt;0)),1,0)</f>
        <v>0</v>
      </c>
      <c r="Y509" s="1" t="n">
        <f aca="false">N(Y508)+$X509</f>
        <v>0</v>
      </c>
      <c r="Z509" s="1" t="n">
        <f aca="false">IF(AND($M509=1,对接源_01水果!$D509="原料入库"),1,0)</f>
        <v>0</v>
      </c>
      <c r="AA509" s="1" t="n">
        <f aca="false">N(AA508)+$Z509</f>
        <v>30</v>
      </c>
      <c r="AB509" s="1" t="n">
        <f aca="false">IF(AND($M509=1,LEFT(对接源_01水果!$D509,4)="原料出库"),1,0)</f>
        <v>0</v>
      </c>
      <c r="AC509" s="1" t="n">
        <f aca="false">N(AC508)+$AB509</f>
        <v>19</v>
      </c>
      <c r="AD509" s="1" t="n">
        <f aca="false">IF(AND($M509=1,LEFT(对接源_01水果!$D509,4)="成品出库"),1,0)</f>
        <v>0</v>
      </c>
      <c r="AE509" s="1" t="n">
        <f aca="false">N(AE508)+$AD509</f>
        <v>38</v>
      </c>
      <c r="AF509" s="1" t="n">
        <f aca="false">IF(AND($N509=1,AND(LEFT(对接源_01水果!$D509,4)="包装物料",N(对接源_01水果!$K509)&lt;&gt;0)),1,0)</f>
        <v>0</v>
      </c>
      <c r="AG509" s="90" t="str">
        <f aca="false">IF(对接源_01水果!$AC509="","",对接源_01水果!$AC509)</f>
        <v/>
      </c>
      <c r="AH509" s="1" t="n">
        <f aca="false">IF(AND($N509=1,AND(LEFT(对接源_01水果!$D509,3)="周转筐",N(对接源_01水果!$K509)&lt;&gt;0)),1,0)</f>
        <v>0</v>
      </c>
      <c r="AI509" s="90" t="n">
        <f aca="false">IF(AG509="",0,IF(MATCH(AG509,$AG$4:$AG$1203,0)=ROW()-3,1,0))</f>
        <v>0</v>
      </c>
      <c r="AJ509" s="90" t="n">
        <f aca="false">N(AJ508)+AI509</f>
        <v>4</v>
      </c>
      <c r="AK509" s="1" t="n">
        <f aca="false">N(AK508)+$AJ509</f>
        <v>896</v>
      </c>
    </row>
    <row r="510" customFormat="false" ht="13.5" hidden="false" customHeight="false" outlineLevel="0" collapsed="false">
      <c r="A510" s="1" t="str">
        <f aca="false">IF(对接源_01水果!$C510="","",对接源_01水果!$C510)</f>
        <v/>
      </c>
      <c r="B510" s="1" t="n">
        <f aca="false">IF(A510="",0,IF(MATCH(A510,$A$4:$A$2403,0)=ROW()-3,1,0))</f>
        <v>0</v>
      </c>
      <c r="C510" s="1" t="n">
        <f aca="false">N(C509)+B510</f>
        <v>13</v>
      </c>
      <c r="K510" s="1" t="n">
        <f aca="false">IF(OR($K$1="",对接源_01水果!$C510="",对接源_01水果!$C510&lt;&gt;$K$1,对接源_01水果!$B510=""),0,IF(OR(N(对接源_01水果!$B510)&lt;$K$2,N(对接源_01水果!$B510)&gt;$K$3),0,1))</f>
        <v>0</v>
      </c>
      <c r="L510" s="1" t="n">
        <f aca="false">IF(OR($L$1="",对接源_01水果!$C510="",对接源_01水果!$C510&lt;&gt;$L$1,对接源_01水果!$B510=""),0,IF(OR(N(对接源_01水果!$B510)&lt;$L$2,N(对接源_01水果!$B510)&gt;$L$3),0,1))</f>
        <v>0</v>
      </c>
      <c r="M510" s="1" t="n">
        <f aca="false">IF(OR($M$1="",对接源_01水果!$C510="",对接源_01水果!$C510&lt;&gt;$M$1,对接源_01水果!$B510=""),0,IF(OR(N(对接源_01水果!$B510)&lt;$M$2,N(对接源_01水果!$B510)&gt;$M$3),0,1))</f>
        <v>0</v>
      </c>
      <c r="N510" s="1" t="n">
        <f aca="false">IF(OR($N$1="",对接源_01水果!$C510="",对接源_01水果!$C510&lt;&gt;$N$1,对接源_01水果!$B510=""),0,IF(OR(N(对接源_01水果!$B510)&lt;$N$2,N(对接源_01水果!$B510)&gt;$N$3),0,1))</f>
        <v>0</v>
      </c>
      <c r="P510" s="1" t="n">
        <f aca="false">IF(AND($K510=1,AND(对接源_01水果!$X510="公司筐",N(对接源_01水果!$T510)&lt;&gt;0)),1,0)</f>
        <v>0</v>
      </c>
      <c r="Q510" s="1" t="n">
        <f aca="false">N(Q509)+$P510</f>
        <v>3</v>
      </c>
      <c r="R510" s="1" t="n">
        <f aca="false">IF(AND($K510=1,AND(对接源_01水果!$X510="公司筐",N(对接源_01水果!$U510)&lt;&gt;0)),1,0)</f>
        <v>0</v>
      </c>
      <c r="S510" s="1" t="n">
        <f aca="false">N(S509)+$R510</f>
        <v>0</v>
      </c>
      <c r="T510" s="1" t="n">
        <f aca="false">IF(AND($K510=1,AND(对接源_01水果!$X510="公司筐",N(对接源_01水果!$V510)&lt;&gt;0)),1,0)</f>
        <v>0</v>
      </c>
      <c r="U510" s="1" t="n">
        <f aca="false">N(U509)+$T510</f>
        <v>28</v>
      </c>
      <c r="V510" s="1" t="n">
        <f aca="false">IF(AND($L510=1,AND(对接源_01水果!$X510="自备筐",N(对接源_01水果!$V510)&lt;&gt;0)),1,0)</f>
        <v>0</v>
      </c>
      <c r="W510" s="1" t="n">
        <f aca="false">N(W509)+$V510</f>
        <v>7</v>
      </c>
      <c r="X510" s="1" t="n">
        <f aca="false">IF(AND($L510=1,AND(对接源_01水果!$X510="自备筐",N(对接源_01水果!$T510)&lt;&gt;0)),1,0)</f>
        <v>0</v>
      </c>
      <c r="Y510" s="1" t="n">
        <f aca="false">N(Y509)+$X510</f>
        <v>0</v>
      </c>
      <c r="Z510" s="1" t="n">
        <f aca="false">IF(AND($M510=1,对接源_01水果!$D510="原料入库"),1,0)</f>
        <v>0</v>
      </c>
      <c r="AA510" s="1" t="n">
        <f aca="false">N(AA509)+$Z510</f>
        <v>30</v>
      </c>
      <c r="AB510" s="1" t="n">
        <f aca="false">IF(AND($M510=1,LEFT(对接源_01水果!$D510,4)="原料出库"),1,0)</f>
        <v>0</v>
      </c>
      <c r="AC510" s="1" t="n">
        <f aca="false">N(AC509)+$AB510</f>
        <v>19</v>
      </c>
      <c r="AD510" s="1" t="n">
        <f aca="false">IF(AND($M510=1,LEFT(对接源_01水果!$D510,4)="成品出库"),1,0)</f>
        <v>0</v>
      </c>
      <c r="AE510" s="1" t="n">
        <f aca="false">N(AE509)+$AD510</f>
        <v>38</v>
      </c>
      <c r="AF510" s="1" t="n">
        <f aca="false">IF(AND($N510=1,AND(LEFT(对接源_01水果!$D510,4)="包装物料",N(对接源_01水果!$K510)&lt;&gt;0)),1,0)</f>
        <v>0</v>
      </c>
      <c r="AG510" s="90" t="str">
        <f aca="false">IF(对接源_01水果!$AC510="","",对接源_01水果!$AC510)</f>
        <v/>
      </c>
      <c r="AH510" s="1" t="n">
        <f aca="false">IF(AND($N510=1,AND(LEFT(对接源_01水果!$D510,3)="周转筐",N(对接源_01水果!$K510)&lt;&gt;0)),1,0)</f>
        <v>0</v>
      </c>
      <c r="AI510" s="90" t="n">
        <f aca="false">IF(AG510="",0,IF(MATCH(AG510,$AG$4:$AG$1203,0)=ROW()-3,1,0))</f>
        <v>0</v>
      </c>
      <c r="AJ510" s="90" t="n">
        <f aca="false">N(AJ509)+AI510</f>
        <v>4</v>
      </c>
      <c r="AK510" s="1" t="n">
        <f aca="false">N(AK509)+$AJ510</f>
        <v>900</v>
      </c>
    </row>
    <row r="511" customFormat="false" ht="13.5" hidden="false" customHeight="false" outlineLevel="0" collapsed="false">
      <c r="A511" s="1" t="str">
        <f aca="false">IF(对接源_01水果!$C511="","",对接源_01水果!$C511)</f>
        <v/>
      </c>
      <c r="B511" s="1" t="n">
        <f aca="false">IF(A511="",0,IF(MATCH(A511,$A$4:$A$2403,0)=ROW()-3,1,0))</f>
        <v>0</v>
      </c>
      <c r="C511" s="1" t="n">
        <f aca="false">N(C510)+B511</f>
        <v>13</v>
      </c>
      <c r="K511" s="1" t="n">
        <f aca="false">IF(OR($K$1="",对接源_01水果!$C511="",对接源_01水果!$C511&lt;&gt;$K$1,对接源_01水果!$B511=""),0,IF(OR(N(对接源_01水果!$B511)&lt;$K$2,N(对接源_01水果!$B511)&gt;$K$3),0,1))</f>
        <v>0</v>
      </c>
      <c r="L511" s="1" t="n">
        <f aca="false">IF(OR($L$1="",对接源_01水果!$C511="",对接源_01水果!$C511&lt;&gt;$L$1,对接源_01水果!$B511=""),0,IF(OR(N(对接源_01水果!$B511)&lt;$L$2,N(对接源_01水果!$B511)&gt;$L$3),0,1))</f>
        <v>0</v>
      </c>
      <c r="M511" s="1" t="n">
        <f aca="false">IF(OR($M$1="",对接源_01水果!$C511="",对接源_01水果!$C511&lt;&gt;$M$1,对接源_01水果!$B511=""),0,IF(OR(N(对接源_01水果!$B511)&lt;$M$2,N(对接源_01水果!$B511)&gt;$M$3),0,1))</f>
        <v>0</v>
      </c>
      <c r="N511" s="1" t="n">
        <f aca="false">IF(OR($N$1="",对接源_01水果!$C511="",对接源_01水果!$C511&lt;&gt;$N$1,对接源_01水果!$B511=""),0,IF(OR(N(对接源_01水果!$B511)&lt;$N$2,N(对接源_01水果!$B511)&gt;$N$3),0,1))</f>
        <v>0</v>
      </c>
      <c r="P511" s="1" t="n">
        <f aca="false">IF(AND($K511=1,AND(对接源_01水果!$X511="公司筐",N(对接源_01水果!$T511)&lt;&gt;0)),1,0)</f>
        <v>0</v>
      </c>
      <c r="Q511" s="1" t="n">
        <f aca="false">N(Q510)+$P511</f>
        <v>3</v>
      </c>
      <c r="R511" s="1" t="n">
        <f aca="false">IF(AND($K511=1,AND(对接源_01水果!$X511="公司筐",N(对接源_01水果!$U511)&lt;&gt;0)),1,0)</f>
        <v>0</v>
      </c>
      <c r="S511" s="1" t="n">
        <f aca="false">N(S510)+$R511</f>
        <v>0</v>
      </c>
      <c r="T511" s="1" t="n">
        <f aca="false">IF(AND($K511=1,AND(对接源_01水果!$X511="公司筐",N(对接源_01水果!$V511)&lt;&gt;0)),1,0)</f>
        <v>0</v>
      </c>
      <c r="U511" s="1" t="n">
        <f aca="false">N(U510)+$T511</f>
        <v>28</v>
      </c>
      <c r="V511" s="1" t="n">
        <f aca="false">IF(AND($L511=1,AND(对接源_01水果!$X511="自备筐",N(对接源_01水果!$V511)&lt;&gt;0)),1,0)</f>
        <v>0</v>
      </c>
      <c r="W511" s="1" t="n">
        <f aca="false">N(W510)+$V511</f>
        <v>7</v>
      </c>
      <c r="X511" s="1" t="n">
        <f aca="false">IF(AND($L511=1,AND(对接源_01水果!$X511="自备筐",N(对接源_01水果!$T511)&lt;&gt;0)),1,0)</f>
        <v>0</v>
      </c>
      <c r="Y511" s="1" t="n">
        <f aca="false">N(Y510)+$X511</f>
        <v>0</v>
      </c>
      <c r="Z511" s="1" t="n">
        <f aca="false">IF(AND($M511=1,对接源_01水果!$D511="原料入库"),1,0)</f>
        <v>0</v>
      </c>
      <c r="AA511" s="1" t="n">
        <f aca="false">N(AA510)+$Z511</f>
        <v>30</v>
      </c>
      <c r="AB511" s="1" t="n">
        <f aca="false">IF(AND($M511=1,LEFT(对接源_01水果!$D511,4)="原料出库"),1,0)</f>
        <v>0</v>
      </c>
      <c r="AC511" s="1" t="n">
        <f aca="false">N(AC510)+$AB511</f>
        <v>19</v>
      </c>
      <c r="AD511" s="1" t="n">
        <f aca="false">IF(AND($M511=1,LEFT(对接源_01水果!$D511,4)="成品出库"),1,0)</f>
        <v>0</v>
      </c>
      <c r="AE511" s="1" t="n">
        <f aca="false">N(AE510)+$AD511</f>
        <v>38</v>
      </c>
      <c r="AF511" s="1" t="n">
        <f aca="false">IF(AND($N511=1,AND(LEFT(对接源_01水果!$D511,4)="包装物料",N(对接源_01水果!$K511)&lt;&gt;0)),1,0)</f>
        <v>0</v>
      </c>
      <c r="AG511" s="90" t="str">
        <f aca="false">IF(对接源_01水果!$AC511="","",对接源_01水果!$AC511)</f>
        <v/>
      </c>
      <c r="AH511" s="1" t="n">
        <f aca="false">IF(AND($N511=1,AND(LEFT(对接源_01水果!$D511,3)="周转筐",N(对接源_01水果!$K511)&lt;&gt;0)),1,0)</f>
        <v>0</v>
      </c>
      <c r="AI511" s="90" t="n">
        <f aca="false">IF(AG511="",0,IF(MATCH(AG511,$AG$4:$AG$1203,0)=ROW()-3,1,0))</f>
        <v>0</v>
      </c>
      <c r="AJ511" s="90" t="n">
        <f aca="false">N(AJ510)+AI511</f>
        <v>4</v>
      </c>
      <c r="AK511" s="1" t="n">
        <f aca="false">N(AK510)+$AJ511</f>
        <v>904</v>
      </c>
    </row>
    <row r="512" customFormat="false" ht="13.5" hidden="false" customHeight="false" outlineLevel="0" collapsed="false">
      <c r="A512" s="1" t="str">
        <f aca="false">IF(对接源_01水果!$C512="","",对接源_01水果!$C512)</f>
        <v/>
      </c>
      <c r="B512" s="1" t="n">
        <f aca="false">IF(A512="",0,IF(MATCH(A512,$A$4:$A$2403,0)=ROW()-3,1,0))</f>
        <v>0</v>
      </c>
      <c r="C512" s="1" t="n">
        <f aca="false">N(C511)+B512</f>
        <v>13</v>
      </c>
      <c r="K512" s="1" t="n">
        <f aca="false">IF(OR($K$1="",对接源_01水果!$C512="",对接源_01水果!$C512&lt;&gt;$K$1,对接源_01水果!$B512=""),0,IF(OR(N(对接源_01水果!$B512)&lt;$K$2,N(对接源_01水果!$B512)&gt;$K$3),0,1))</f>
        <v>0</v>
      </c>
      <c r="L512" s="1" t="n">
        <f aca="false">IF(OR($L$1="",对接源_01水果!$C512="",对接源_01水果!$C512&lt;&gt;$L$1,对接源_01水果!$B512=""),0,IF(OR(N(对接源_01水果!$B512)&lt;$L$2,N(对接源_01水果!$B512)&gt;$L$3),0,1))</f>
        <v>0</v>
      </c>
      <c r="M512" s="1" t="n">
        <f aca="false">IF(OR($M$1="",对接源_01水果!$C512="",对接源_01水果!$C512&lt;&gt;$M$1,对接源_01水果!$B512=""),0,IF(OR(N(对接源_01水果!$B512)&lt;$M$2,N(对接源_01水果!$B512)&gt;$M$3),0,1))</f>
        <v>0</v>
      </c>
      <c r="N512" s="1" t="n">
        <f aca="false">IF(OR($N$1="",对接源_01水果!$C512="",对接源_01水果!$C512&lt;&gt;$N$1,对接源_01水果!$B512=""),0,IF(OR(N(对接源_01水果!$B512)&lt;$N$2,N(对接源_01水果!$B512)&gt;$N$3),0,1))</f>
        <v>0</v>
      </c>
      <c r="P512" s="1" t="n">
        <f aca="false">IF(AND($K512=1,AND(对接源_01水果!$X512="公司筐",N(对接源_01水果!$T512)&lt;&gt;0)),1,0)</f>
        <v>0</v>
      </c>
      <c r="Q512" s="1" t="n">
        <f aca="false">N(Q511)+$P512</f>
        <v>3</v>
      </c>
      <c r="R512" s="1" t="n">
        <f aca="false">IF(AND($K512=1,AND(对接源_01水果!$X512="公司筐",N(对接源_01水果!$U512)&lt;&gt;0)),1,0)</f>
        <v>0</v>
      </c>
      <c r="S512" s="1" t="n">
        <f aca="false">N(S511)+$R512</f>
        <v>0</v>
      </c>
      <c r="T512" s="1" t="n">
        <f aca="false">IF(AND($K512=1,AND(对接源_01水果!$X512="公司筐",N(对接源_01水果!$V512)&lt;&gt;0)),1,0)</f>
        <v>0</v>
      </c>
      <c r="U512" s="1" t="n">
        <f aca="false">N(U511)+$T512</f>
        <v>28</v>
      </c>
      <c r="V512" s="1" t="n">
        <f aca="false">IF(AND($L512=1,AND(对接源_01水果!$X512="自备筐",N(对接源_01水果!$V512)&lt;&gt;0)),1,0)</f>
        <v>0</v>
      </c>
      <c r="W512" s="1" t="n">
        <f aca="false">N(W511)+$V512</f>
        <v>7</v>
      </c>
      <c r="X512" s="1" t="n">
        <f aca="false">IF(AND($L512=1,AND(对接源_01水果!$X512="自备筐",N(对接源_01水果!$T512)&lt;&gt;0)),1,0)</f>
        <v>0</v>
      </c>
      <c r="Y512" s="1" t="n">
        <f aca="false">N(Y511)+$X512</f>
        <v>0</v>
      </c>
      <c r="Z512" s="1" t="n">
        <f aca="false">IF(AND($M512=1,对接源_01水果!$D512="原料入库"),1,0)</f>
        <v>0</v>
      </c>
      <c r="AA512" s="1" t="n">
        <f aca="false">N(AA511)+$Z512</f>
        <v>30</v>
      </c>
      <c r="AB512" s="1" t="n">
        <f aca="false">IF(AND($M512=1,LEFT(对接源_01水果!$D512,4)="原料出库"),1,0)</f>
        <v>0</v>
      </c>
      <c r="AC512" s="1" t="n">
        <f aca="false">N(AC511)+$AB512</f>
        <v>19</v>
      </c>
      <c r="AD512" s="1" t="n">
        <f aca="false">IF(AND($M512=1,LEFT(对接源_01水果!$D512,4)="成品出库"),1,0)</f>
        <v>0</v>
      </c>
      <c r="AE512" s="1" t="n">
        <f aca="false">N(AE511)+$AD512</f>
        <v>38</v>
      </c>
      <c r="AF512" s="1" t="n">
        <f aca="false">IF(AND($N512=1,AND(LEFT(对接源_01水果!$D512,4)="包装物料",N(对接源_01水果!$K512)&lt;&gt;0)),1,0)</f>
        <v>0</v>
      </c>
      <c r="AG512" s="90" t="str">
        <f aca="false">IF(对接源_01水果!$AC512="","",对接源_01水果!$AC512)</f>
        <v/>
      </c>
      <c r="AH512" s="1" t="n">
        <f aca="false">IF(AND($N512=1,AND(LEFT(对接源_01水果!$D512,3)="周转筐",N(对接源_01水果!$K512)&lt;&gt;0)),1,0)</f>
        <v>0</v>
      </c>
      <c r="AI512" s="90" t="n">
        <f aca="false">IF(AG512="",0,IF(MATCH(AG512,$AG$4:$AG$1203,0)=ROW()-3,1,0))</f>
        <v>0</v>
      </c>
      <c r="AJ512" s="90" t="n">
        <f aca="false">N(AJ511)+AI512</f>
        <v>4</v>
      </c>
      <c r="AK512" s="1" t="n">
        <f aca="false">N(AK511)+$AJ512</f>
        <v>908</v>
      </c>
    </row>
    <row r="513" customFormat="false" ht="13.5" hidden="false" customHeight="false" outlineLevel="0" collapsed="false">
      <c r="A513" s="1" t="str">
        <f aca="false">IF(对接源_01水果!$C513="","",对接源_01水果!$C513)</f>
        <v/>
      </c>
      <c r="B513" s="1" t="n">
        <f aca="false">IF(A513="",0,IF(MATCH(A513,$A$4:$A$2403,0)=ROW()-3,1,0))</f>
        <v>0</v>
      </c>
      <c r="C513" s="1" t="n">
        <f aca="false">N(C512)+B513</f>
        <v>13</v>
      </c>
      <c r="K513" s="1" t="n">
        <f aca="false">IF(OR($K$1="",对接源_01水果!$C513="",对接源_01水果!$C513&lt;&gt;$K$1,对接源_01水果!$B513=""),0,IF(OR(N(对接源_01水果!$B513)&lt;$K$2,N(对接源_01水果!$B513)&gt;$K$3),0,1))</f>
        <v>0</v>
      </c>
      <c r="L513" s="1" t="n">
        <f aca="false">IF(OR($L$1="",对接源_01水果!$C513="",对接源_01水果!$C513&lt;&gt;$L$1,对接源_01水果!$B513=""),0,IF(OR(N(对接源_01水果!$B513)&lt;$L$2,N(对接源_01水果!$B513)&gt;$L$3),0,1))</f>
        <v>0</v>
      </c>
      <c r="M513" s="1" t="n">
        <f aca="false">IF(OR($M$1="",对接源_01水果!$C513="",对接源_01水果!$C513&lt;&gt;$M$1,对接源_01水果!$B513=""),0,IF(OR(N(对接源_01水果!$B513)&lt;$M$2,N(对接源_01水果!$B513)&gt;$M$3),0,1))</f>
        <v>0</v>
      </c>
      <c r="N513" s="1" t="n">
        <f aca="false">IF(OR($N$1="",对接源_01水果!$C513="",对接源_01水果!$C513&lt;&gt;$N$1,对接源_01水果!$B513=""),0,IF(OR(N(对接源_01水果!$B513)&lt;$N$2,N(对接源_01水果!$B513)&gt;$N$3),0,1))</f>
        <v>0</v>
      </c>
      <c r="P513" s="1" t="n">
        <f aca="false">IF(AND($K513=1,AND(对接源_01水果!$X513="公司筐",N(对接源_01水果!$T513)&lt;&gt;0)),1,0)</f>
        <v>0</v>
      </c>
      <c r="Q513" s="1" t="n">
        <f aca="false">N(Q512)+$P513</f>
        <v>3</v>
      </c>
      <c r="R513" s="1" t="n">
        <f aca="false">IF(AND($K513=1,AND(对接源_01水果!$X513="公司筐",N(对接源_01水果!$U513)&lt;&gt;0)),1,0)</f>
        <v>0</v>
      </c>
      <c r="S513" s="1" t="n">
        <f aca="false">N(S512)+$R513</f>
        <v>0</v>
      </c>
      <c r="T513" s="1" t="n">
        <f aca="false">IF(AND($K513=1,AND(对接源_01水果!$X513="公司筐",N(对接源_01水果!$V513)&lt;&gt;0)),1,0)</f>
        <v>0</v>
      </c>
      <c r="U513" s="1" t="n">
        <f aca="false">N(U512)+$T513</f>
        <v>28</v>
      </c>
      <c r="V513" s="1" t="n">
        <f aca="false">IF(AND($L513=1,AND(对接源_01水果!$X513="自备筐",N(对接源_01水果!$V513)&lt;&gt;0)),1,0)</f>
        <v>0</v>
      </c>
      <c r="W513" s="1" t="n">
        <f aca="false">N(W512)+$V513</f>
        <v>7</v>
      </c>
      <c r="X513" s="1" t="n">
        <f aca="false">IF(AND($L513=1,AND(对接源_01水果!$X513="自备筐",N(对接源_01水果!$T513)&lt;&gt;0)),1,0)</f>
        <v>0</v>
      </c>
      <c r="Y513" s="1" t="n">
        <f aca="false">N(Y512)+$X513</f>
        <v>0</v>
      </c>
      <c r="Z513" s="1" t="n">
        <f aca="false">IF(AND($M513=1,对接源_01水果!$D513="原料入库"),1,0)</f>
        <v>0</v>
      </c>
      <c r="AA513" s="1" t="n">
        <f aca="false">N(AA512)+$Z513</f>
        <v>30</v>
      </c>
      <c r="AB513" s="1" t="n">
        <f aca="false">IF(AND($M513=1,LEFT(对接源_01水果!$D513,4)="原料出库"),1,0)</f>
        <v>0</v>
      </c>
      <c r="AC513" s="1" t="n">
        <f aca="false">N(AC512)+$AB513</f>
        <v>19</v>
      </c>
      <c r="AD513" s="1" t="n">
        <f aca="false">IF(AND($M513=1,LEFT(对接源_01水果!$D513,4)="成品出库"),1,0)</f>
        <v>0</v>
      </c>
      <c r="AE513" s="1" t="n">
        <f aca="false">N(AE512)+$AD513</f>
        <v>38</v>
      </c>
      <c r="AF513" s="1" t="n">
        <f aca="false">IF(AND($N513=1,AND(LEFT(对接源_01水果!$D513,4)="包装物料",N(对接源_01水果!$K513)&lt;&gt;0)),1,0)</f>
        <v>0</v>
      </c>
      <c r="AG513" s="90" t="str">
        <f aca="false">IF(对接源_01水果!$AC513="","",对接源_01水果!$AC513)</f>
        <v/>
      </c>
      <c r="AH513" s="1" t="n">
        <f aca="false">IF(AND($N513=1,AND(LEFT(对接源_01水果!$D513,3)="周转筐",N(对接源_01水果!$K513)&lt;&gt;0)),1,0)</f>
        <v>0</v>
      </c>
      <c r="AI513" s="90" t="n">
        <f aca="false">IF(AG513="",0,IF(MATCH(AG513,$AG$4:$AG$1203,0)=ROW()-3,1,0))</f>
        <v>0</v>
      </c>
      <c r="AJ513" s="90" t="n">
        <f aca="false">N(AJ512)+AI513</f>
        <v>4</v>
      </c>
      <c r="AK513" s="1" t="n">
        <f aca="false">N(AK512)+$AJ513</f>
        <v>912</v>
      </c>
    </row>
    <row r="514" customFormat="false" ht="13.5" hidden="false" customHeight="false" outlineLevel="0" collapsed="false">
      <c r="A514" s="1" t="str">
        <f aca="false">IF(对接源_01水果!$C514="","",对接源_01水果!$C514)</f>
        <v/>
      </c>
      <c r="B514" s="1" t="n">
        <f aca="false">IF(A514="",0,IF(MATCH(A514,$A$4:$A$2403,0)=ROW()-3,1,0))</f>
        <v>0</v>
      </c>
      <c r="C514" s="1" t="n">
        <f aca="false">N(C513)+B514</f>
        <v>13</v>
      </c>
      <c r="K514" s="1" t="n">
        <f aca="false">IF(OR($K$1="",对接源_01水果!$C514="",对接源_01水果!$C514&lt;&gt;$K$1,对接源_01水果!$B514=""),0,IF(OR(N(对接源_01水果!$B514)&lt;$K$2,N(对接源_01水果!$B514)&gt;$K$3),0,1))</f>
        <v>0</v>
      </c>
      <c r="L514" s="1" t="n">
        <f aca="false">IF(OR($L$1="",对接源_01水果!$C514="",对接源_01水果!$C514&lt;&gt;$L$1,对接源_01水果!$B514=""),0,IF(OR(N(对接源_01水果!$B514)&lt;$L$2,N(对接源_01水果!$B514)&gt;$L$3),0,1))</f>
        <v>0</v>
      </c>
      <c r="M514" s="1" t="n">
        <f aca="false">IF(OR($M$1="",对接源_01水果!$C514="",对接源_01水果!$C514&lt;&gt;$M$1,对接源_01水果!$B514=""),0,IF(OR(N(对接源_01水果!$B514)&lt;$M$2,N(对接源_01水果!$B514)&gt;$M$3),0,1))</f>
        <v>0</v>
      </c>
      <c r="N514" s="1" t="n">
        <f aca="false">IF(OR($N$1="",对接源_01水果!$C514="",对接源_01水果!$C514&lt;&gt;$N$1,对接源_01水果!$B514=""),0,IF(OR(N(对接源_01水果!$B514)&lt;$N$2,N(对接源_01水果!$B514)&gt;$N$3),0,1))</f>
        <v>0</v>
      </c>
      <c r="P514" s="1" t="n">
        <f aca="false">IF(AND($K514=1,AND(对接源_01水果!$X514="公司筐",N(对接源_01水果!$T514)&lt;&gt;0)),1,0)</f>
        <v>0</v>
      </c>
      <c r="Q514" s="1" t="n">
        <f aca="false">N(Q513)+$P514</f>
        <v>3</v>
      </c>
      <c r="R514" s="1" t="n">
        <f aca="false">IF(AND($K514=1,AND(对接源_01水果!$X514="公司筐",N(对接源_01水果!$U514)&lt;&gt;0)),1,0)</f>
        <v>0</v>
      </c>
      <c r="S514" s="1" t="n">
        <f aca="false">N(S513)+$R514</f>
        <v>0</v>
      </c>
      <c r="T514" s="1" t="n">
        <f aca="false">IF(AND($K514=1,AND(对接源_01水果!$X514="公司筐",N(对接源_01水果!$V514)&lt;&gt;0)),1,0)</f>
        <v>0</v>
      </c>
      <c r="U514" s="1" t="n">
        <f aca="false">N(U513)+$T514</f>
        <v>28</v>
      </c>
      <c r="V514" s="1" t="n">
        <f aca="false">IF(AND($L514=1,AND(对接源_01水果!$X514="自备筐",N(对接源_01水果!$V514)&lt;&gt;0)),1,0)</f>
        <v>0</v>
      </c>
      <c r="W514" s="1" t="n">
        <f aca="false">N(W513)+$V514</f>
        <v>7</v>
      </c>
      <c r="X514" s="1" t="n">
        <f aca="false">IF(AND($L514=1,AND(对接源_01水果!$X514="自备筐",N(对接源_01水果!$T514)&lt;&gt;0)),1,0)</f>
        <v>0</v>
      </c>
      <c r="Y514" s="1" t="n">
        <f aca="false">N(Y513)+$X514</f>
        <v>0</v>
      </c>
      <c r="Z514" s="1" t="n">
        <f aca="false">IF(AND($M514=1,对接源_01水果!$D514="原料入库"),1,0)</f>
        <v>0</v>
      </c>
      <c r="AA514" s="1" t="n">
        <f aca="false">N(AA513)+$Z514</f>
        <v>30</v>
      </c>
      <c r="AB514" s="1" t="n">
        <f aca="false">IF(AND($M514=1,LEFT(对接源_01水果!$D514,4)="原料出库"),1,0)</f>
        <v>0</v>
      </c>
      <c r="AC514" s="1" t="n">
        <f aca="false">N(AC513)+$AB514</f>
        <v>19</v>
      </c>
      <c r="AD514" s="1" t="n">
        <f aca="false">IF(AND($M514=1,LEFT(对接源_01水果!$D514,4)="成品出库"),1,0)</f>
        <v>0</v>
      </c>
      <c r="AE514" s="1" t="n">
        <f aca="false">N(AE513)+$AD514</f>
        <v>38</v>
      </c>
      <c r="AF514" s="1" t="n">
        <f aca="false">IF(AND($N514=1,AND(LEFT(对接源_01水果!$D514,4)="包装物料",N(对接源_01水果!$K514)&lt;&gt;0)),1,0)</f>
        <v>0</v>
      </c>
      <c r="AG514" s="90" t="str">
        <f aca="false">IF(对接源_01水果!$AC514="","",对接源_01水果!$AC514)</f>
        <v/>
      </c>
      <c r="AH514" s="1" t="n">
        <f aca="false">IF(AND($N514=1,AND(LEFT(对接源_01水果!$D514,3)="周转筐",N(对接源_01水果!$K514)&lt;&gt;0)),1,0)</f>
        <v>0</v>
      </c>
      <c r="AI514" s="90" t="n">
        <f aca="false">IF(AG514="",0,IF(MATCH(AG514,$AG$4:$AG$1203,0)=ROW()-3,1,0))</f>
        <v>0</v>
      </c>
      <c r="AJ514" s="90" t="n">
        <f aca="false">N(AJ513)+AI514</f>
        <v>4</v>
      </c>
      <c r="AK514" s="1" t="n">
        <f aca="false">N(AK513)+$AJ514</f>
        <v>916</v>
      </c>
    </row>
    <row r="515" customFormat="false" ht="13.5" hidden="false" customHeight="false" outlineLevel="0" collapsed="false">
      <c r="A515" s="1" t="str">
        <f aca="false">IF(对接源_01水果!$C515="","",对接源_01水果!$C515)</f>
        <v/>
      </c>
      <c r="B515" s="1" t="n">
        <f aca="false">IF(A515="",0,IF(MATCH(A515,$A$4:$A$2403,0)=ROW()-3,1,0))</f>
        <v>0</v>
      </c>
      <c r="C515" s="1" t="n">
        <f aca="false">N(C514)+B515</f>
        <v>13</v>
      </c>
      <c r="K515" s="1" t="n">
        <f aca="false">IF(OR($K$1="",对接源_01水果!$C515="",对接源_01水果!$C515&lt;&gt;$K$1,对接源_01水果!$B515=""),0,IF(OR(N(对接源_01水果!$B515)&lt;$K$2,N(对接源_01水果!$B515)&gt;$K$3),0,1))</f>
        <v>0</v>
      </c>
      <c r="L515" s="1" t="n">
        <f aca="false">IF(OR($L$1="",对接源_01水果!$C515="",对接源_01水果!$C515&lt;&gt;$L$1,对接源_01水果!$B515=""),0,IF(OR(N(对接源_01水果!$B515)&lt;$L$2,N(对接源_01水果!$B515)&gt;$L$3),0,1))</f>
        <v>0</v>
      </c>
      <c r="M515" s="1" t="n">
        <f aca="false">IF(OR($M$1="",对接源_01水果!$C515="",对接源_01水果!$C515&lt;&gt;$M$1,对接源_01水果!$B515=""),0,IF(OR(N(对接源_01水果!$B515)&lt;$M$2,N(对接源_01水果!$B515)&gt;$M$3),0,1))</f>
        <v>0</v>
      </c>
      <c r="N515" s="1" t="n">
        <f aca="false">IF(OR($N$1="",对接源_01水果!$C515="",对接源_01水果!$C515&lt;&gt;$N$1,对接源_01水果!$B515=""),0,IF(OR(N(对接源_01水果!$B515)&lt;$N$2,N(对接源_01水果!$B515)&gt;$N$3),0,1))</f>
        <v>0</v>
      </c>
      <c r="P515" s="1" t="n">
        <f aca="false">IF(AND($K515=1,AND(对接源_01水果!$X515="公司筐",N(对接源_01水果!$T515)&lt;&gt;0)),1,0)</f>
        <v>0</v>
      </c>
      <c r="Q515" s="1" t="n">
        <f aca="false">N(Q514)+$P515</f>
        <v>3</v>
      </c>
      <c r="R515" s="1" t="n">
        <f aca="false">IF(AND($K515=1,AND(对接源_01水果!$X515="公司筐",N(对接源_01水果!$U515)&lt;&gt;0)),1,0)</f>
        <v>0</v>
      </c>
      <c r="S515" s="1" t="n">
        <f aca="false">N(S514)+$R515</f>
        <v>0</v>
      </c>
      <c r="T515" s="1" t="n">
        <f aca="false">IF(AND($K515=1,AND(对接源_01水果!$X515="公司筐",N(对接源_01水果!$V515)&lt;&gt;0)),1,0)</f>
        <v>0</v>
      </c>
      <c r="U515" s="1" t="n">
        <f aca="false">N(U514)+$T515</f>
        <v>28</v>
      </c>
      <c r="V515" s="1" t="n">
        <f aca="false">IF(AND($L515=1,AND(对接源_01水果!$X515="自备筐",N(对接源_01水果!$V515)&lt;&gt;0)),1,0)</f>
        <v>0</v>
      </c>
      <c r="W515" s="1" t="n">
        <f aca="false">N(W514)+$V515</f>
        <v>7</v>
      </c>
      <c r="X515" s="1" t="n">
        <f aca="false">IF(AND($L515=1,AND(对接源_01水果!$X515="自备筐",N(对接源_01水果!$T515)&lt;&gt;0)),1,0)</f>
        <v>0</v>
      </c>
      <c r="Y515" s="1" t="n">
        <f aca="false">N(Y514)+$X515</f>
        <v>0</v>
      </c>
      <c r="Z515" s="1" t="n">
        <f aca="false">IF(AND($M515=1,对接源_01水果!$D515="原料入库"),1,0)</f>
        <v>0</v>
      </c>
      <c r="AA515" s="1" t="n">
        <f aca="false">N(AA514)+$Z515</f>
        <v>30</v>
      </c>
      <c r="AB515" s="1" t="n">
        <f aca="false">IF(AND($M515=1,LEFT(对接源_01水果!$D515,4)="原料出库"),1,0)</f>
        <v>0</v>
      </c>
      <c r="AC515" s="1" t="n">
        <f aca="false">N(AC514)+$AB515</f>
        <v>19</v>
      </c>
      <c r="AD515" s="1" t="n">
        <f aca="false">IF(AND($M515=1,LEFT(对接源_01水果!$D515,4)="成品出库"),1,0)</f>
        <v>0</v>
      </c>
      <c r="AE515" s="1" t="n">
        <f aca="false">N(AE514)+$AD515</f>
        <v>38</v>
      </c>
      <c r="AF515" s="1" t="n">
        <f aca="false">IF(AND($N515=1,AND(LEFT(对接源_01水果!$D515,4)="包装物料",N(对接源_01水果!$K515)&lt;&gt;0)),1,0)</f>
        <v>0</v>
      </c>
      <c r="AG515" s="90" t="str">
        <f aca="false">IF(对接源_01水果!$AC515="","",对接源_01水果!$AC515)</f>
        <v/>
      </c>
      <c r="AH515" s="1" t="n">
        <f aca="false">IF(AND($N515=1,AND(LEFT(对接源_01水果!$D515,3)="周转筐",N(对接源_01水果!$K515)&lt;&gt;0)),1,0)</f>
        <v>0</v>
      </c>
      <c r="AI515" s="90" t="n">
        <f aca="false">IF(AG515="",0,IF(MATCH(AG515,$AG$4:$AG$1203,0)=ROW()-3,1,0))</f>
        <v>0</v>
      </c>
      <c r="AJ515" s="90" t="n">
        <f aca="false">N(AJ514)+AI515</f>
        <v>4</v>
      </c>
      <c r="AK515" s="1" t="n">
        <f aca="false">N(AK514)+$AJ515</f>
        <v>920</v>
      </c>
    </row>
    <row r="516" customFormat="false" ht="13.5" hidden="false" customHeight="false" outlineLevel="0" collapsed="false">
      <c r="A516" s="1" t="str">
        <f aca="false">IF(对接源_01水果!$C516="","",对接源_01水果!$C516)</f>
        <v/>
      </c>
      <c r="B516" s="1" t="n">
        <f aca="false">IF(A516="",0,IF(MATCH(A516,$A$4:$A$2403,0)=ROW()-3,1,0))</f>
        <v>0</v>
      </c>
      <c r="C516" s="1" t="n">
        <f aca="false">N(C515)+B516</f>
        <v>13</v>
      </c>
      <c r="K516" s="1" t="n">
        <f aca="false">IF(OR($K$1="",对接源_01水果!$C516="",对接源_01水果!$C516&lt;&gt;$K$1,对接源_01水果!$B516=""),0,IF(OR(N(对接源_01水果!$B516)&lt;$K$2,N(对接源_01水果!$B516)&gt;$K$3),0,1))</f>
        <v>0</v>
      </c>
      <c r="L516" s="1" t="n">
        <f aca="false">IF(OR($L$1="",对接源_01水果!$C516="",对接源_01水果!$C516&lt;&gt;$L$1,对接源_01水果!$B516=""),0,IF(OR(N(对接源_01水果!$B516)&lt;$L$2,N(对接源_01水果!$B516)&gt;$L$3),0,1))</f>
        <v>0</v>
      </c>
      <c r="M516" s="1" t="n">
        <f aca="false">IF(OR($M$1="",对接源_01水果!$C516="",对接源_01水果!$C516&lt;&gt;$M$1,对接源_01水果!$B516=""),0,IF(OR(N(对接源_01水果!$B516)&lt;$M$2,N(对接源_01水果!$B516)&gt;$M$3),0,1))</f>
        <v>0</v>
      </c>
      <c r="N516" s="1" t="n">
        <f aca="false">IF(OR($N$1="",对接源_01水果!$C516="",对接源_01水果!$C516&lt;&gt;$N$1,对接源_01水果!$B516=""),0,IF(OR(N(对接源_01水果!$B516)&lt;$N$2,N(对接源_01水果!$B516)&gt;$N$3),0,1))</f>
        <v>0</v>
      </c>
      <c r="P516" s="1" t="n">
        <f aca="false">IF(AND($K516=1,AND(对接源_01水果!$X516="公司筐",N(对接源_01水果!$T516)&lt;&gt;0)),1,0)</f>
        <v>0</v>
      </c>
      <c r="Q516" s="1" t="n">
        <f aca="false">N(Q515)+$P516</f>
        <v>3</v>
      </c>
      <c r="R516" s="1" t="n">
        <f aca="false">IF(AND($K516=1,AND(对接源_01水果!$X516="公司筐",N(对接源_01水果!$U516)&lt;&gt;0)),1,0)</f>
        <v>0</v>
      </c>
      <c r="S516" s="1" t="n">
        <f aca="false">N(S515)+$R516</f>
        <v>0</v>
      </c>
      <c r="T516" s="1" t="n">
        <f aca="false">IF(AND($K516=1,AND(对接源_01水果!$X516="公司筐",N(对接源_01水果!$V516)&lt;&gt;0)),1,0)</f>
        <v>0</v>
      </c>
      <c r="U516" s="1" t="n">
        <f aca="false">N(U515)+$T516</f>
        <v>28</v>
      </c>
      <c r="V516" s="1" t="n">
        <f aca="false">IF(AND($L516=1,AND(对接源_01水果!$X516="自备筐",N(对接源_01水果!$V516)&lt;&gt;0)),1,0)</f>
        <v>0</v>
      </c>
      <c r="W516" s="1" t="n">
        <f aca="false">N(W515)+$V516</f>
        <v>7</v>
      </c>
      <c r="X516" s="1" t="n">
        <f aca="false">IF(AND($L516=1,AND(对接源_01水果!$X516="自备筐",N(对接源_01水果!$T516)&lt;&gt;0)),1,0)</f>
        <v>0</v>
      </c>
      <c r="Y516" s="1" t="n">
        <f aca="false">N(Y515)+$X516</f>
        <v>0</v>
      </c>
      <c r="Z516" s="1" t="n">
        <f aca="false">IF(AND($M516=1,对接源_01水果!$D516="原料入库"),1,0)</f>
        <v>0</v>
      </c>
      <c r="AA516" s="1" t="n">
        <f aca="false">N(AA515)+$Z516</f>
        <v>30</v>
      </c>
      <c r="AB516" s="1" t="n">
        <f aca="false">IF(AND($M516=1,LEFT(对接源_01水果!$D516,4)="原料出库"),1,0)</f>
        <v>0</v>
      </c>
      <c r="AC516" s="1" t="n">
        <f aca="false">N(AC515)+$AB516</f>
        <v>19</v>
      </c>
      <c r="AD516" s="1" t="n">
        <f aca="false">IF(AND($M516=1,LEFT(对接源_01水果!$D516,4)="成品出库"),1,0)</f>
        <v>0</v>
      </c>
      <c r="AE516" s="1" t="n">
        <f aca="false">N(AE515)+$AD516</f>
        <v>38</v>
      </c>
      <c r="AF516" s="1" t="n">
        <f aca="false">IF(AND($N516=1,AND(LEFT(对接源_01水果!$D516,4)="包装物料",N(对接源_01水果!$K516)&lt;&gt;0)),1,0)</f>
        <v>0</v>
      </c>
      <c r="AG516" s="90" t="str">
        <f aca="false">IF(对接源_01水果!$AC516="","",对接源_01水果!$AC516)</f>
        <v/>
      </c>
      <c r="AH516" s="1" t="n">
        <f aca="false">IF(AND($N516=1,AND(LEFT(对接源_01水果!$D516,3)="周转筐",N(对接源_01水果!$K516)&lt;&gt;0)),1,0)</f>
        <v>0</v>
      </c>
      <c r="AI516" s="90" t="n">
        <f aca="false">IF(AG516="",0,IF(MATCH(AG516,$AG$4:$AG$1203,0)=ROW()-3,1,0))</f>
        <v>0</v>
      </c>
      <c r="AJ516" s="90" t="n">
        <f aca="false">N(AJ515)+AI516</f>
        <v>4</v>
      </c>
      <c r="AK516" s="1" t="n">
        <f aca="false">N(AK515)+$AJ516</f>
        <v>924</v>
      </c>
    </row>
    <row r="517" customFormat="false" ht="13.5" hidden="false" customHeight="false" outlineLevel="0" collapsed="false">
      <c r="A517" s="1" t="str">
        <f aca="false">IF(对接源_01水果!$C517="","",对接源_01水果!$C517)</f>
        <v/>
      </c>
      <c r="B517" s="1" t="n">
        <f aca="false">IF(A517="",0,IF(MATCH(A517,$A$4:$A$2403,0)=ROW()-3,1,0))</f>
        <v>0</v>
      </c>
      <c r="C517" s="1" t="n">
        <f aca="false">N(C516)+B517</f>
        <v>13</v>
      </c>
      <c r="K517" s="1" t="n">
        <f aca="false">IF(OR($K$1="",对接源_01水果!$C517="",对接源_01水果!$C517&lt;&gt;$K$1,对接源_01水果!$B517=""),0,IF(OR(N(对接源_01水果!$B517)&lt;$K$2,N(对接源_01水果!$B517)&gt;$K$3),0,1))</f>
        <v>0</v>
      </c>
      <c r="L517" s="1" t="n">
        <f aca="false">IF(OR($L$1="",对接源_01水果!$C517="",对接源_01水果!$C517&lt;&gt;$L$1,对接源_01水果!$B517=""),0,IF(OR(N(对接源_01水果!$B517)&lt;$L$2,N(对接源_01水果!$B517)&gt;$L$3),0,1))</f>
        <v>0</v>
      </c>
      <c r="M517" s="1" t="n">
        <f aca="false">IF(OR($M$1="",对接源_01水果!$C517="",对接源_01水果!$C517&lt;&gt;$M$1,对接源_01水果!$B517=""),0,IF(OR(N(对接源_01水果!$B517)&lt;$M$2,N(对接源_01水果!$B517)&gt;$M$3),0,1))</f>
        <v>0</v>
      </c>
      <c r="N517" s="1" t="n">
        <f aca="false">IF(OR($N$1="",对接源_01水果!$C517="",对接源_01水果!$C517&lt;&gt;$N$1,对接源_01水果!$B517=""),0,IF(OR(N(对接源_01水果!$B517)&lt;$N$2,N(对接源_01水果!$B517)&gt;$N$3),0,1))</f>
        <v>0</v>
      </c>
      <c r="P517" s="1" t="n">
        <f aca="false">IF(AND($K517=1,AND(对接源_01水果!$X517="公司筐",N(对接源_01水果!$T517)&lt;&gt;0)),1,0)</f>
        <v>0</v>
      </c>
      <c r="Q517" s="1" t="n">
        <f aca="false">N(Q516)+$P517</f>
        <v>3</v>
      </c>
      <c r="R517" s="1" t="n">
        <f aca="false">IF(AND($K517=1,AND(对接源_01水果!$X517="公司筐",N(对接源_01水果!$U517)&lt;&gt;0)),1,0)</f>
        <v>0</v>
      </c>
      <c r="S517" s="1" t="n">
        <f aca="false">N(S516)+$R517</f>
        <v>0</v>
      </c>
      <c r="T517" s="1" t="n">
        <f aca="false">IF(AND($K517=1,AND(对接源_01水果!$X517="公司筐",N(对接源_01水果!$V517)&lt;&gt;0)),1,0)</f>
        <v>0</v>
      </c>
      <c r="U517" s="1" t="n">
        <f aca="false">N(U516)+$T517</f>
        <v>28</v>
      </c>
      <c r="V517" s="1" t="n">
        <f aca="false">IF(AND($L517=1,AND(对接源_01水果!$X517="自备筐",N(对接源_01水果!$V517)&lt;&gt;0)),1,0)</f>
        <v>0</v>
      </c>
      <c r="W517" s="1" t="n">
        <f aca="false">N(W516)+$V517</f>
        <v>7</v>
      </c>
      <c r="X517" s="1" t="n">
        <f aca="false">IF(AND($L517=1,AND(对接源_01水果!$X517="自备筐",N(对接源_01水果!$T517)&lt;&gt;0)),1,0)</f>
        <v>0</v>
      </c>
      <c r="Y517" s="1" t="n">
        <f aca="false">N(Y516)+$X517</f>
        <v>0</v>
      </c>
      <c r="Z517" s="1" t="n">
        <f aca="false">IF(AND($M517=1,对接源_01水果!$D517="原料入库"),1,0)</f>
        <v>0</v>
      </c>
      <c r="AA517" s="1" t="n">
        <f aca="false">N(AA516)+$Z517</f>
        <v>30</v>
      </c>
      <c r="AB517" s="1" t="n">
        <f aca="false">IF(AND($M517=1,LEFT(对接源_01水果!$D517,4)="原料出库"),1,0)</f>
        <v>0</v>
      </c>
      <c r="AC517" s="1" t="n">
        <f aca="false">N(AC516)+$AB517</f>
        <v>19</v>
      </c>
      <c r="AD517" s="1" t="n">
        <f aca="false">IF(AND($M517=1,LEFT(对接源_01水果!$D517,4)="成品出库"),1,0)</f>
        <v>0</v>
      </c>
      <c r="AE517" s="1" t="n">
        <f aca="false">N(AE516)+$AD517</f>
        <v>38</v>
      </c>
      <c r="AF517" s="1" t="n">
        <f aca="false">IF(AND($N517=1,AND(LEFT(对接源_01水果!$D517,4)="包装物料",N(对接源_01水果!$K517)&lt;&gt;0)),1,0)</f>
        <v>0</v>
      </c>
      <c r="AG517" s="90" t="str">
        <f aca="false">IF(对接源_01水果!$AC517="","",对接源_01水果!$AC517)</f>
        <v/>
      </c>
      <c r="AH517" s="1" t="n">
        <f aca="false">IF(AND($N517=1,AND(LEFT(对接源_01水果!$D517,3)="周转筐",N(对接源_01水果!$K517)&lt;&gt;0)),1,0)</f>
        <v>0</v>
      </c>
      <c r="AI517" s="90" t="n">
        <f aca="false">IF(AG517="",0,IF(MATCH(AG517,$AG$4:$AG$1203,0)=ROW()-3,1,0))</f>
        <v>0</v>
      </c>
      <c r="AJ517" s="90" t="n">
        <f aca="false">N(AJ516)+AI517</f>
        <v>4</v>
      </c>
      <c r="AK517" s="1" t="n">
        <f aca="false">N(AK516)+$AJ517</f>
        <v>928</v>
      </c>
    </row>
    <row r="518" customFormat="false" ht="13.5" hidden="false" customHeight="false" outlineLevel="0" collapsed="false">
      <c r="A518" s="1" t="str">
        <f aca="false">IF(对接源_01水果!$C518="","",对接源_01水果!$C518)</f>
        <v/>
      </c>
      <c r="B518" s="1" t="n">
        <f aca="false">IF(A518="",0,IF(MATCH(A518,$A$4:$A$2403,0)=ROW()-3,1,0))</f>
        <v>0</v>
      </c>
      <c r="C518" s="1" t="n">
        <f aca="false">N(C517)+B518</f>
        <v>13</v>
      </c>
      <c r="K518" s="1" t="n">
        <f aca="false">IF(OR($K$1="",对接源_01水果!$C518="",对接源_01水果!$C518&lt;&gt;$K$1,对接源_01水果!$B518=""),0,IF(OR(N(对接源_01水果!$B518)&lt;$K$2,N(对接源_01水果!$B518)&gt;$K$3),0,1))</f>
        <v>0</v>
      </c>
      <c r="L518" s="1" t="n">
        <f aca="false">IF(OR($L$1="",对接源_01水果!$C518="",对接源_01水果!$C518&lt;&gt;$L$1,对接源_01水果!$B518=""),0,IF(OR(N(对接源_01水果!$B518)&lt;$L$2,N(对接源_01水果!$B518)&gt;$L$3),0,1))</f>
        <v>0</v>
      </c>
      <c r="M518" s="1" t="n">
        <f aca="false">IF(OR($M$1="",对接源_01水果!$C518="",对接源_01水果!$C518&lt;&gt;$M$1,对接源_01水果!$B518=""),0,IF(OR(N(对接源_01水果!$B518)&lt;$M$2,N(对接源_01水果!$B518)&gt;$M$3),0,1))</f>
        <v>0</v>
      </c>
      <c r="N518" s="1" t="n">
        <f aca="false">IF(OR($N$1="",对接源_01水果!$C518="",对接源_01水果!$C518&lt;&gt;$N$1,对接源_01水果!$B518=""),0,IF(OR(N(对接源_01水果!$B518)&lt;$N$2,N(对接源_01水果!$B518)&gt;$N$3),0,1))</f>
        <v>0</v>
      </c>
      <c r="P518" s="1" t="n">
        <f aca="false">IF(AND($K518=1,AND(对接源_01水果!$X518="公司筐",N(对接源_01水果!$T518)&lt;&gt;0)),1,0)</f>
        <v>0</v>
      </c>
      <c r="Q518" s="1" t="n">
        <f aca="false">N(Q517)+$P518</f>
        <v>3</v>
      </c>
      <c r="R518" s="1" t="n">
        <f aca="false">IF(AND($K518=1,AND(对接源_01水果!$X518="公司筐",N(对接源_01水果!$U518)&lt;&gt;0)),1,0)</f>
        <v>0</v>
      </c>
      <c r="S518" s="1" t="n">
        <f aca="false">N(S517)+$R518</f>
        <v>0</v>
      </c>
      <c r="T518" s="1" t="n">
        <f aca="false">IF(AND($K518=1,AND(对接源_01水果!$X518="公司筐",N(对接源_01水果!$V518)&lt;&gt;0)),1,0)</f>
        <v>0</v>
      </c>
      <c r="U518" s="1" t="n">
        <f aca="false">N(U517)+$T518</f>
        <v>28</v>
      </c>
      <c r="V518" s="1" t="n">
        <f aca="false">IF(AND($L518=1,AND(对接源_01水果!$X518="自备筐",N(对接源_01水果!$V518)&lt;&gt;0)),1,0)</f>
        <v>0</v>
      </c>
      <c r="W518" s="1" t="n">
        <f aca="false">N(W517)+$V518</f>
        <v>7</v>
      </c>
      <c r="X518" s="1" t="n">
        <f aca="false">IF(AND($L518=1,AND(对接源_01水果!$X518="自备筐",N(对接源_01水果!$T518)&lt;&gt;0)),1,0)</f>
        <v>0</v>
      </c>
      <c r="Y518" s="1" t="n">
        <f aca="false">N(Y517)+$X518</f>
        <v>0</v>
      </c>
      <c r="Z518" s="1" t="n">
        <f aca="false">IF(AND($M518=1,对接源_01水果!$D518="原料入库"),1,0)</f>
        <v>0</v>
      </c>
      <c r="AA518" s="1" t="n">
        <f aca="false">N(AA517)+$Z518</f>
        <v>30</v>
      </c>
      <c r="AB518" s="1" t="n">
        <f aca="false">IF(AND($M518=1,LEFT(对接源_01水果!$D518,4)="原料出库"),1,0)</f>
        <v>0</v>
      </c>
      <c r="AC518" s="1" t="n">
        <f aca="false">N(AC517)+$AB518</f>
        <v>19</v>
      </c>
      <c r="AD518" s="1" t="n">
        <f aca="false">IF(AND($M518=1,LEFT(对接源_01水果!$D518,4)="成品出库"),1,0)</f>
        <v>0</v>
      </c>
      <c r="AE518" s="1" t="n">
        <f aca="false">N(AE517)+$AD518</f>
        <v>38</v>
      </c>
      <c r="AF518" s="1" t="n">
        <f aca="false">IF(AND($N518=1,AND(LEFT(对接源_01水果!$D518,4)="包装物料",N(对接源_01水果!$K518)&lt;&gt;0)),1,0)</f>
        <v>0</v>
      </c>
      <c r="AG518" s="90" t="str">
        <f aca="false">IF(对接源_01水果!$AC518="","",对接源_01水果!$AC518)</f>
        <v/>
      </c>
      <c r="AH518" s="1" t="n">
        <f aca="false">IF(AND($N518=1,AND(LEFT(对接源_01水果!$D518,3)="周转筐",N(对接源_01水果!$K518)&lt;&gt;0)),1,0)</f>
        <v>0</v>
      </c>
      <c r="AI518" s="90" t="n">
        <f aca="false">IF(AG518="",0,IF(MATCH(AG518,$AG$4:$AG$1203,0)=ROW()-3,1,0))</f>
        <v>0</v>
      </c>
      <c r="AJ518" s="90" t="n">
        <f aca="false">N(AJ517)+AI518</f>
        <v>4</v>
      </c>
      <c r="AK518" s="1" t="n">
        <f aca="false">N(AK517)+$AJ518</f>
        <v>932</v>
      </c>
    </row>
    <row r="519" customFormat="false" ht="13.5" hidden="false" customHeight="false" outlineLevel="0" collapsed="false">
      <c r="A519" s="1" t="str">
        <f aca="false">IF(对接源_01水果!$C519="","",对接源_01水果!$C519)</f>
        <v/>
      </c>
      <c r="B519" s="1" t="n">
        <f aca="false">IF(A519="",0,IF(MATCH(A519,$A$4:$A$2403,0)=ROW()-3,1,0))</f>
        <v>0</v>
      </c>
      <c r="C519" s="1" t="n">
        <f aca="false">N(C518)+B519</f>
        <v>13</v>
      </c>
      <c r="K519" s="1" t="n">
        <f aca="false">IF(OR($K$1="",对接源_01水果!$C519="",对接源_01水果!$C519&lt;&gt;$K$1,对接源_01水果!$B519=""),0,IF(OR(N(对接源_01水果!$B519)&lt;$K$2,N(对接源_01水果!$B519)&gt;$K$3),0,1))</f>
        <v>0</v>
      </c>
      <c r="L519" s="1" t="n">
        <f aca="false">IF(OR($L$1="",对接源_01水果!$C519="",对接源_01水果!$C519&lt;&gt;$L$1,对接源_01水果!$B519=""),0,IF(OR(N(对接源_01水果!$B519)&lt;$L$2,N(对接源_01水果!$B519)&gt;$L$3),0,1))</f>
        <v>0</v>
      </c>
      <c r="M519" s="1" t="n">
        <f aca="false">IF(OR($M$1="",对接源_01水果!$C519="",对接源_01水果!$C519&lt;&gt;$M$1,对接源_01水果!$B519=""),0,IF(OR(N(对接源_01水果!$B519)&lt;$M$2,N(对接源_01水果!$B519)&gt;$M$3),0,1))</f>
        <v>0</v>
      </c>
      <c r="N519" s="1" t="n">
        <f aca="false">IF(OR($N$1="",对接源_01水果!$C519="",对接源_01水果!$C519&lt;&gt;$N$1,对接源_01水果!$B519=""),0,IF(OR(N(对接源_01水果!$B519)&lt;$N$2,N(对接源_01水果!$B519)&gt;$N$3),0,1))</f>
        <v>0</v>
      </c>
      <c r="P519" s="1" t="n">
        <f aca="false">IF(AND($K519=1,AND(对接源_01水果!$X519="公司筐",N(对接源_01水果!$T519)&lt;&gt;0)),1,0)</f>
        <v>0</v>
      </c>
      <c r="Q519" s="1" t="n">
        <f aca="false">N(Q518)+$P519</f>
        <v>3</v>
      </c>
      <c r="R519" s="1" t="n">
        <f aca="false">IF(AND($K519=1,AND(对接源_01水果!$X519="公司筐",N(对接源_01水果!$U519)&lt;&gt;0)),1,0)</f>
        <v>0</v>
      </c>
      <c r="S519" s="1" t="n">
        <f aca="false">N(S518)+$R519</f>
        <v>0</v>
      </c>
      <c r="T519" s="1" t="n">
        <f aca="false">IF(AND($K519=1,AND(对接源_01水果!$X519="公司筐",N(对接源_01水果!$V519)&lt;&gt;0)),1,0)</f>
        <v>0</v>
      </c>
      <c r="U519" s="1" t="n">
        <f aca="false">N(U518)+$T519</f>
        <v>28</v>
      </c>
      <c r="V519" s="1" t="n">
        <f aca="false">IF(AND($L519=1,AND(对接源_01水果!$X519="自备筐",N(对接源_01水果!$V519)&lt;&gt;0)),1,0)</f>
        <v>0</v>
      </c>
      <c r="W519" s="1" t="n">
        <f aca="false">N(W518)+$V519</f>
        <v>7</v>
      </c>
      <c r="X519" s="1" t="n">
        <f aca="false">IF(AND($L519=1,AND(对接源_01水果!$X519="自备筐",N(对接源_01水果!$T519)&lt;&gt;0)),1,0)</f>
        <v>0</v>
      </c>
      <c r="Y519" s="1" t="n">
        <f aca="false">N(Y518)+$X519</f>
        <v>0</v>
      </c>
      <c r="Z519" s="1" t="n">
        <f aca="false">IF(AND($M519=1,对接源_01水果!$D519="原料入库"),1,0)</f>
        <v>0</v>
      </c>
      <c r="AA519" s="1" t="n">
        <f aca="false">N(AA518)+$Z519</f>
        <v>30</v>
      </c>
      <c r="AB519" s="1" t="n">
        <f aca="false">IF(AND($M519=1,LEFT(对接源_01水果!$D519,4)="原料出库"),1,0)</f>
        <v>0</v>
      </c>
      <c r="AC519" s="1" t="n">
        <f aca="false">N(AC518)+$AB519</f>
        <v>19</v>
      </c>
      <c r="AD519" s="1" t="n">
        <f aca="false">IF(AND($M519=1,LEFT(对接源_01水果!$D519,4)="成品出库"),1,0)</f>
        <v>0</v>
      </c>
      <c r="AE519" s="1" t="n">
        <f aca="false">N(AE518)+$AD519</f>
        <v>38</v>
      </c>
      <c r="AF519" s="1" t="n">
        <f aca="false">IF(AND($N519=1,AND(LEFT(对接源_01水果!$D519,4)="包装物料",N(对接源_01水果!$K519)&lt;&gt;0)),1,0)</f>
        <v>0</v>
      </c>
      <c r="AG519" s="90" t="str">
        <f aca="false">IF(对接源_01水果!$AC519="","",对接源_01水果!$AC519)</f>
        <v/>
      </c>
      <c r="AH519" s="1" t="n">
        <f aca="false">IF(AND($N519=1,AND(LEFT(对接源_01水果!$D519,3)="周转筐",N(对接源_01水果!$K519)&lt;&gt;0)),1,0)</f>
        <v>0</v>
      </c>
      <c r="AI519" s="90" t="n">
        <f aca="false">IF(AG519="",0,IF(MATCH(AG519,$AG$4:$AG$1203,0)=ROW()-3,1,0))</f>
        <v>0</v>
      </c>
      <c r="AJ519" s="90" t="n">
        <f aca="false">N(AJ518)+AI519</f>
        <v>4</v>
      </c>
      <c r="AK519" s="1" t="n">
        <f aca="false">N(AK518)+$AJ519</f>
        <v>936</v>
      </c>
    </row>
    <row r="520" customFormat="false" ht="13.5" hidden="false" customHeight="false" outlineLevel="0" collapsed="false">
      <c r="A520" s="1" t="str">
        <f aca="false">IF(对接源_01水果!$C520="","",对接源_01水果!$C520)</f>
        <v/>
      </c>
      <c r="B520" s="1" t="n">
        <f aca="false">IF(A520="",0,IF(MATCH(A520,$A$4:$A$2403,0)=ROW()-3,1,0))</f>
        <v>0</v>
      </c>
      <c r="C520" s="1" t="n">
        <f aca="false">N(C519)+B520</f>
        <v>13</v>
      </c>
      <c r="K520" s="1" t="n">
        <f aca="false">IF(OR($K$1="",对接源_01水果!$C520="",对接源_01水果!$C520&lt;&gt;$K$1,对接源_01水果!$B520=""),0,IF(OR(N(对接源_01水果!$B520)&lt;$K$2,N(对接源_01水果!$B520)&gt;$K$3),0,1))</f>
        <v>0</v>
      </c>
      <c r="L520" s="1" t="n">
        <f aca="false">IF(OR($L$1="",对接源_01水果!$C520="",对接源_01水果!$C520&lt;&gt;$L$1,对接源_01水果!$B520=""),0,IF(OR(N(对接源_01水果!$B520)&lt;$L$2,N(对接源_01水果!$B520)&gt;$L$3),0,1))</f>
        <v>0</v>
      </c>
      <c r="M520" s="1" t="n">
        <f aca="false">IF(OR($M$1="",对接源_01水果!$C520="",对接源_01水果!$C520&lt;&gt;$M$1,对接源_01水果!$B520=""),0,IF(OR(N(对接源_01水果!$B520)&lt;$M$2,N(对接源_01水果!$B520)&gt;$M$3),0,1))</f>
        <v>0</v>
      </c>
      <c r="N520" s="1" t="n">
        <f aca="false">IF(OR($N$1="",对接源_01水果!$C520="",对接源_01水果!$C520&lt;&gt;$N$1,对接源_01水果!$B520=""),0,IF(OR(N(对接源_01水果!$B520)&lt;$N$2,N(对接源_01水果!$B520)&gt;$N$3),0,1))</f>
        <v>0</v>
      </c>
      <c r="P520" s="1" t="n">
        <f aca="false">IF(AND($K520=1,AND(对接源_01水果!$X520="公司筐",N(对接源_01水果!$T520)&lt;&gt;0)),1,0)</f>
        <v>0</v>
      </c>
      <c r="Q520" s="1" t="n">
        <f aca="false">N(Q519)+$P520</f>
        <v>3</v>
      </c>
      <c r="R520" s="1" t="n">
        <f aca="false">IF(AND($K520=1,AND(对接源_01水果!$X520="公司筐",N(对接源_01水果!$U520)&lt;&gt;0)),1,0)</f>
        <v>0</v>
      </c>
      <c r="S520" s="1" t="n">
        <f aca="false">N(S519)+$R520</f>
        <v>0</v>
      </c>
      <c r="T520" s="1" t="n">
        <f aca="false">IF(AND($K520=1,AND(对接源_01水果!$X520="公司筐",N(对接源_01水果!$V520)&lt;&gt;0)),1,0)</f>
        <v>0</v>
      </c>
      <c r="U520" s="1" t="n">
        <f aca="false">N(U519)+$T520</f>
        <v>28</v>
      </c>
      <c r="V520" s="1" t="n">
        <f aca="false">IF(AND($L520=1,AND(对接源_01水果!$X520="自备筐",N(对接源_01水果!$V520)&lt;&gt;0)),1,0)</f>
        <v>0</v>
      </c>
      <c r="W520" s="1" t="n">
        <f aca="false">N(W519)+$V520</f>
        <v>7</v>
      </c>
      <c r="X520" s="1" t="n">
        <f aca="false">IF(AND($L520=1,AND(对接源_01水果!$X520="自备筐",N(对接源_01水果!$T520)&lt;&gt;0)),1,0)</f>
        <v>0</v>
      </c>
      <c r="Y520" s="1" t="n">
        <f aca="false">N(Y519)+$X520</f>
        <v>0</v>
      </c>
      <c r="Z520" s="1" t="n">
        <f aca="false">IF(AND($M520=1,对接源_01水果!$D520="原料入库"),1,0)</f>
        <v>0</v>
      </c>
      <c r="AA520" s="1" t="n">
        <f aca="false">N(AA519)+$Z520</f>
        <v>30</v>
      </c>
      <c r="AB520" s="1" t="n">
        <f aca="false">IF(AND($M520=1,LEFT(对接源_01水果!$D520,4)="原料出库"),1,0)</f>
        <v>0</v>
      </c>
      <c r="AC520" s="1" t="n">
        <f aca="false">N(AC519)+$AB520</f>
        <v>19</v>
      </c>
      <c r="AD520" s="1" t="n">
        <f aca="false">IF(AND($M520=1,LEFT(对接源_01水果!$D520,4)="成品出库"),1,0)</f>
        <v>0</v>
      </c>
      <c r="AE520" s="1" t="n">
        <f aca="false">N(AE519)+$AD520</f>
        <v>38</v>
      </c>
      <c r="AF520" s="1" t="n">
        <f aca="false">IF(AND($N520=1,AND(LEFT(对接源_01水果!$D520,4)="包装物料",N(对接源_01水果!$K520)&lt;&gt;0)),1,0)</f>
        <v>0</v>
      </c>
      <c r="AG520" s="90" t="str">
        <f aca="false">IF(对接源_01水果!$AC520="","",对接源_01水果!$AC520)</f>
        <v/>
      </c>
      <c r="AH520" s="1" t="n">
        <f aca="false">IF(AND($N520=1,AND(LEFT(对接源_01水果!$D520,3)="周转筐",N(对接源_01水果!$K520)&lt;&gt;0)),1,0)</f>
        <v>0</v>
      </c>
      <c r="AI520" s="90" t="n">
        <f aca="false">IF(AG520="",0,IF(MATCH(AG520,$AG$4:$AG$1203,0)=ROW()-3,1,0))</f>
        <v>0</v>
      </c>
      <c r="AJ520" s="90" t="n">
        <f aca="false">N(AJ519)+AI520</f>
        <v>4</v>
      </c>
      <c r="AK520" s="1" t="n">
        <f aca="false">N(AK519)+$AJ520</f>
        <v>940</v>
      </c>
    </row>
    <row r="521" customFormat="false" ht="13.5" hidden="false" customHeight="false" outlineLevel="0" collapsed="false">
      <c r="A521" s="1" t="str">
        <f aca="false">IF(对接源_01水果!$C521="","",对接源_01水果!$C521)</f>
        <v/>
      </c>
      <c r="B521" s="1" t="n">
        <f aca="false">IF(A521="",0,IF(MATCH(A521,$A$4:$A$2403,0)=ROW()-3,1,0))</f>
        <v>0</v>
      </c>
      <c r="C521" s="1" t="n">
        <f aca="false">N(C520)+B521</f>
        <v>13</v>
      </c>
      <c r="K521" s="1" t="n">
        <f aca="false">IF(OR($K$1="",对接源_01水果!$C521="",对接源_01水果!$C521&lt;&gt;$K$1,对接源_01水果!$B521=""),0,IF(OR(N(对接源_01水果!$B521)&lt;$K$2,N(对接源_01水果!$B521)&gt;$K$3),0,1))</f>
        <v>0</v>
      </c>
      <c r="L521" s="1" t="n">
        <f aca="false">IF(OR($L$1="",对接源_01水果!$C521="",对接源_01水果!$C521&lt;&gt;$L$1,对接源_01水果!$B521=""),0,IF(OR(N(对接源_01水果!$B521)&lt;$L$2,N(对接源_01水果!$B521)&gt;$L$3),0,1))</f>
        <v>0</v>
      </c>
      <c r="M521" s="1" t="n">
        <f aca="false">IF(OR($M$1="",对接源_01水果!$C521="",对接源_01水果!$C521&lt;&gt;$M$1,对接源_01水果!$B521=""),0,IF(OR(N(对接源_01水果!$B521)&lt;$M$2,N(对接源_01水果!$B521)&gt;$M$3),0,1))</f>
        <v>0</v>
      </c>
      <c r="N521" s="1" t="n">
        <f aca="false">IF(OR($N$1="",对接源_01水果!$C521="",对接源_01水果!$C521&lt;&gt;$N$1,对接源_01水果!$B521=""),0,IF(OR(N(对接源_01水果!$B521)&lt;$N$2,N(对接源_01水果!$B521)&gt;$N$3),0,1))</f>
        <v>0</v>
      </c>
      <c r="P521" s="1" t="n">
        <f aca="false">IF(AND($K521=1,AND(对接源_01水果!$X521="公司筐",N(对接源_01水果!$T521)&lt;&gt;0)),1,0)</f>
        <v>0</v>
      </c>
      <c r="Q521" s="1" t="n">
        <f aca="false">N(Q520)+$P521</f>
        <v>3</v>
      </c>
      <c r="R521" s="1" t="n">
        <f aca="false">IF(AND($K521=1,AND(对接源_01水果!$X521="公司筐",N(对接源_01水果!$U521)&lt;&gt;0)),1,0)</f>
        <v>0</v>
      </c>
      <c r="S521" s="1" t="n">
        <f aca="false">N(S520)+$R521</f>
        <v>0</v>
      </c>
      <c r="T521" s="1" t="n">
        <f aca="false">IF(AND($K521=1,AND(对接源_01水果!$X521="公司筐",N(对接源_01水果!$V521)&lt;&gt;0)),1,0)</f>
        <v>0</v>
      </c>
      <c r="U521" s="1" t="n">
        <f aca="false">N(U520)+$T521</f>
        <v>28</v>
      </c>
      <c r="V521" s="1" t="n">
        <f aca="false">IF(AND($L521=1,AND(对接源_01水果!$X521="自备筐",N(对接源_01水果!$V521)&lt;&gt;0)),1,0)</f>
        <v>0</v>
      </c>
      <c r="W521" s="1" t="n">
        <f aca="false">N(W520)+$V521</f>
        <v>7</v>
      </c>
      <c r="X521" s="1" t="n">
        <f aca="false">IF(AND($L521=1,AND(对接源_01水果!$X521="自备筐",N(对接源_01水果!$T521)&lt;&gt;0)),1,0)</f>
        <v>0</v>
      </c>
      <c r="Y521" s="1" t="n">
        <f aca="false">N(Y520)+$X521</f>
        <v>0</v>
      </c>
      <c r="Z521" s="1" t="n">
        <f aca="false">IF(AND($M521=1,对接源_01水果!$D521="原料入库"),1,0)</f>
        <v>0</v>
      </c>
      <c r="AA521" s="1" t="n">
        <f aca="false">N(AA520)+$Z521</f>
        <v>30</v>
      </c>
      <c r="AB521" s="1" t="n">
        <f aca="false">IF(AND($M521=1,LEFT(对接源_01水果!$D521,4)="原料出库"),1,0)</f>
        <v>0</v>
      </c>
      <c r="AC521" s="1" t="n">
        <f aca="false">N(AC520)+$AB521</f>
        <v>19</v>
      </c>
      <c r="AD521" s="1" t="n">
        <f aca="false">IF(AND($M521=1,LEFT(对接源_01水果!$D521,4)="成品出库"),1,0)</f>
        <v>0</v>
      </c>
      <c r="AE521" s="1" t="n">
        <f aca="false">N(AE520)+$AD521</f>
        <v>38</v>
      </c>
      <c r="AF521" s="1" t="n">
        <f aca="false">IF(AND($N521=1,AND(LEFT(对接源_01水果!$D521,4)="包装物料",N(对接源_01水果!$K521)&lt;&gt;0)),1,0)</f>
        <v>0</v>
      </c>
      <c r="AG521" s="90" t="str">
        <f aca="false">IF(对接源_01水果!$AC521="","",对接源_01水果!$AC521)</f>
        <v/>
      </c>
      <c r="AH521" s="1" t="n">
        <f aca="false">IF(AND($N521=1,AND(LEFT(对接源_01水果!$D521,3)="周转筐",N(对接源_01水果!$K521)&lt;&gt;0)),1,0)</f>
        <v>0</v>
      </c>
      <c r="AI521" s="90" t="n">
        <f aca="false">IF(AG521="",0,IF(MATCH(AG521,$AG$4:$AG$1203,0)=ROW()-3,1,0))</f>
        <v>0</v>
      </c>
      <c r="AJ521" s="90" t="n">
        <f aca="false">N(AJ520)+AI521</f>
        <v>4</v>
      </c>
      <c r="AK521" s="1" t="n">
        <f aca="false">N(AK520)+$AJ521</f>
        <v>944</v>
      </c>
    </row>
    <row r="522" customFormat="false" ht="13.5" hidden="false" customHeight="false" outlineLevel="0" collapsed="false">
      <c r="A522" s="1" t="str">
        <f aca="false">IF(对接源_01水果!$C522="","",对接源_01水果!$C522)</f>
        <v/>
      </c>
      <c r="B522" s="1" t="n">
        <f aca="false">IF(A522="",0,IF(MATCH(A522,$A$4:$A$2403,0)=ROW()-3,1,0))</f>
        <v>0</v>
      </c>
      <c r="C522" s="1" t="n">
        <f aca="false">N(C521)+B522</f>
        <v>13</v>
      </c>
      <c r="K522" s="1" t="n">
        <f aca="false">IF(OR($K$1="",对接源_01水果!$C522="",对接源_01水果!$C522&lt;&gt;$K$1,对接源_01水果!$B522=""),0,IF(OR(N(对接源_01水果!$B522)&lt;$K$2,N(对接源_01水果!$B522)&gt;$K$3),0,1))</f>
        <v>0</v>
      </c>
      <c r="L522" s="1" t="n">
        <f aca="false">IF(OR($L$1="",对接源_01水果!$C522="",对接源_01水果!$C522&lt;&gt;$L$1,对接源_01水果!$B522=""),0,IF(OR(N(对接源_01水果!$B522)&lt;$L$2,N(对接源_01水果!$B522)&gt;$L$3),0,1))</f>
        <v>0</v>
      </c>
      <c r="M522" s="1" t="n">
        <f aca="false">IF(OR($M$1="",对接源_01水果!$C522="",对接源_01水果!$C522&lt;&gt;$M$1,对接源_01水果!$B522=""),0,IF(OR(N(对接源_01水果!$B522)&lt;$M$2,N(对接源_01水果!$B522)&gt;$M$3),0,1))</f>
        <v>0</v>
      </c>
      <c r="N522" s="1" t="n">
        <f aca="false">IF(OR($N$1="",对接源_01水果!$C522="",对接源_01水果!$C522&lt;&gt;$N$1,对接源_01水果!$B522=""),0,IF(OR(N(对接源_01水果!$B522)&lt;$N$2,N(对接源_01水果!$B522)&gt;$N$3),0,1))</f>
        <v>0</v>
      </c>
      <c r="P522" s="1" t="n">
        <f aca="false">IF(AND($K522=1,AND(对接源_01水果!$X522="公司筐",N(对接源_01水果!$T522)&lt;&gt;0)),1,0)</f>
        <v>0</v>
      </c>
      <c r="Q522" s="1" t="n">
        <f aca="false">N(Q521)+$P522</f>
        <v>3</v>
      </c>
      <c r="R522" s="1" t="n">
        <f aca="false">IF(AND($K522=1,AND(对接源_01水果!$X522="公司筐",N(对接源_01水果!$U522)&lt;&gt;0)),1,0)</f>
        <v>0</v>
      </c>
      <c r="S522" s="1" t="n">
        <f aca="false">N(S521)+$R522</f>
        <v>0</v>
      </c>
      <c r="T522" s="1" t="n">
        <f aca="false">IF(AND($K522=1,AND(对接源_01水果!$X522="公司筐",N(对接源_01水果!$V522)&lt;&gt;0)),1,0)</f>
        <v>0</v>
      </c>
      <c r="U522" s="1" t="n">
        <f aca="false">N(U521)+$T522</f>
        <v>28</v>
      </c>
      <c r="V522" s="1" t="n">
        <f aca="false">IF(AND($L522=1,AND(对接源_01水果!$X522="自备筐",N(对接源_01水果!$V522)&lt;&gt;0)),1,0)</f>
        <v>0</v>
      </c>
      <c r="W522" s="1" t="n">
        <f aca="false">N(W521)+$V522</f>
        <v>7</v>
      </c>
      <c r="X522" s="1" t="n">
        <f aca="false">IF(AND($L522=1,AND(对接源_01水果!$X522="自备筐",N(对接源_01水果!$T522)&lt;&gt;0)),1,0)</f>
        <v>0</v>
      </c>
      <c r="Y522" s="1" t="n">
        <f aca="false">N(Y521)+$X522</f>
        <v>0</v>
      </c>
      <c r="Z522" s="1" t="n">
        <f aca="false">IF(AND($M522=1,对接源_01水果!$D522="原料入库"),1,0)</f>
        <v>0</v>
      </c>
      <c r="AA522" s="1" t="n">
        <f aca="false">N(AA521)+$Z522</f>
        <v>30</v>
      </c>
      <c r="AB522" s="1" t="n">
        <f aca="false">IF(AND($M522=1,LEFT(对接源_01水果!$D522,4)="原料出库"),1,0)</f>
        <v>0</v>
      </c>
      <c r="AC522" s="1" t="n">
        <f aca="false">N(AC521)+$AB522</f>
        <v>19</v>
      </c>
      <c r="AD522" s="1" t="n">
        <f aca="false">IF(AND($M522=1,LEFT(对接源_01水果!$D522,4)="成品出库"),1,0)</f>
        <v>0</v>
      </c>
      <c r="AE522" s="1" t="n">
        <f aca="false">N(AE521)+$AD522</f>
        <v>38</v>
      </c>
      <c r="AF522" s="1" t="n">
        <f aca="false">IF(AND($N522=1,AND(LEFT(对接源_01水果!$D522,4)="包装物料",N(对接源_01水果!$K522)&lt;&gt;0)),1,0)</f>
        <v>0</v>
      </c>
      <c r="AG522" s="90" t="str">
        <f aca="false">IF(对接源_01水果!$AC522="","",对接源_01水果!$AC522)</f>
        <v/>
      </c>
      <c r="AH522" s="1" t="n">
        <f aca="false">IF(AND($N522=1,AND(LEFT(对接源_01水果!$D522,3)="周转筐",N(对接源_01水果!$K522)&lt;&gt;0)),1,0)</f>
        <v>0</v>
      </c>
      <c r="AI522" s="90" t="n">
        <f aca="false">IF(AG522="",0,IF(MATCH(AG522,$AG$4:$AG$1203,0)=ROW()-3,1,0))</f>
        <v>0</v>
      </c>
      <c r="AJ522" s="90" t="n">
        <f aca="false">N(AJ521)+AI522</f>
        <v>4</v>
      </c>
      <c r="AK522" s="1" t="n">
        <f aca="false">N(AK521)+$AJ522</f>
        <v>948</v>
      </c>
    </row>
    <row r="523" customFormat="false" ht="13.5" hidden="false" customHeight="false" outlineLevel="0" collapsed="false">
      <c r="A523" s="1" t="str">
        <f aca="false">IF(对接源_01水果!$C523="","",对接源_01水果!$C523)</f>
        <v/>
      </c>
      <c r="B523" s="1" t="n">
        <f aca="false">IF(A523="",0,IF(MATCH(A523,$A$4:$A$2403,0)=ROW()-3,1,0))</f>
        <v>0</v>
      </c>
      <c r="C523" s="1" t="n">
        <f aca="false">N(C522)+B523</f>
        <v>13</v>
      </c>
      <c r="K523" s="1" t="n">
        <f aca="false">IF(OR($K$1="",对接源_01水果!$C523="",对接源_01水果!$C523&lt;&gt;$K$1,对接源_01水果!$B523=""),0,IF(OR(N(对接源_01水果!$B523)&lt;$K$2,N(对接源_01水果!$B523)&gt;$K$3),0,1))</f>
        <v>0</v>
      </c>
      <c r="L523" s="1" t="n">
        <f aca="false">IF(OR($L$1="",对接源_01水果!$C523="",对接源_01水果!$C523&lt;&gt;$L$1,对接源_01水果!$B523=""),0,IF(OR(N(对接源_01水果!$B523)&lt;$L$2,N(对接源_01水果!$B523)&gt;$L$3),0,1))</f>
        <v>0</v>
      </c>
      <c r="M523" s="1" t="n">
        <f aca="false">IF(OR($M$1="",对接源_01水果!$C523="",对接源_01水果!$C523&lt;&gt;$M$1,对接源_01水果!$B523=""),0,IF(OR(N(对接源_01水果!$B523)&lt;$M$2,N(对接源_01水果!$B523)&gt;$M$3),0,1))</f>
        <v>0</v>
      </c>
      <c r="N523" s="1" t="n">
        <f aca="false">IF(OR($N$1="",对接源_01水果!$C523="",对接源_01水果!$C523&lt;&gt;$N$1,对接源_01水果!$B523=""),0,IF(OR(N(对接源_01水果!$B523)&lt;$N$2,N(对接源_01水果!$B523)&gt;$N$3),0,1))</f>
        <v>0</v>
      </c>
      <c r="P523" s="1" t="n">
        <f aca="false">IF(AND($K523=1,AND(对接源_01水果!$X523="公司筐",N(对接源_01水果!$T523)&lt;&gt;0)),1,0)</f>
        <v>0</v>
      </c>
      <c r="Q523" s="1" t="n">
        <f aca="false">N(Q522)+$P523</f>
        <v>3</v>
      </c>
      <c r="R523" s="1" t="n">
        <f aca="false">IF(AND($K523=1,AND(对接源_01水果!$X523="公司筐",N(对接源_01水果!$U523)&lt;&gt;0)),1,0)</f>
        <v>0</v>
      </c>
      <c r="S523" s="1" t="n">
        <f aca="false">N(S522)+$R523</f>
        <v>0</v>
      </c>
      <c r="T523" s="1" t="n">
        <f aca="false">IF(AND($K523=1,AND(对接源_01水果!$X523="公司筐",N(对接源_01水果!$V523)&lt;&gt;0)),1,0)</f>
        <v>0</v>
      </c>
      <c r="U523" s="1" t="n">
        <f aca="false">N(U522)+$T523</f>
        <v>28</v>
      </c>
      <c r="V523" s="1" t="n">
        <f aca="false">IF(AND($L523=1,AND(对接源_01水果!$X523="自备筐",N(对接源_01水果!$V523)&lt;&gt;0)),1,0)</f>
        <v>0</v>
      </c>
      <c r="W523" s="1" t="n">
        <f aca="false">N(W522)+$V523</f>
        <v>7</v>
      </c>
      <c r="X523" s="1" t="n">
        <f aca="false">IF(AND($L523=1,AND(对接源_01水果!$X523="自备筐",N(对接源_01水果!$T523)&lt;&gt;0)),1,0)</f>
        <v>0</v>
      </c>
      <c r="Y523" s="1" t="n">
        <f aca="false">N(Y522)+$X523</f>
        <v>0</v>
      </c>
      <c r="Z523" s="1" t="n">
        <f aca="false">IF(AND($M523=1,对接源_01水果!$D523="原料入库"),1,0)</f>
        <v>0</v>
      </c>
      <c r="AA523" s="1" t="n">
        <f aca="false">N(AA522)+$Z523</f>
        <v>30</v>
      </c>
      <c r="AB523" s="1" t="n">
        <f aca="false">IF(AND($M523=1,LEFT(对接源_01水果!$D523,4)="原料出库"),1,0)</f>
        <v>0</v>
      </c>
      <c r="AC523" s="1" t="n">
        <f aca="false">N(AC522)+$AB523</f>
        <v>19</v>
      </c>
      <c r="AD523" s="1" t="n">
        <f aca="false">IF(AND($M523=1,LEFT(对接源_01水果!$D523,4)="成品出库"),1,0)</f>
        <v>0</v>
      </c>
      <c r="AE523" s="1" t="n">
        <f aca="false">N(AE522)+$AD523</f>
        <v>38</v>
      </c>
      <c r="AF523" s="1" t="n">
        <f aca="false">IF(AND($N523=1,AND(LEFT(对接源_01水果!$D523,4)="包装物料",N(对接源_01水果!$K523)&lt;&gt;0)),1,0)</f>
        <v>0</v>
      </c>
      <c r="AG523" s="90" t="str">
        <f aca="false">IF(对接源_01水果!$AC523="","",对接源_01水果!$AC523)</f>
        <v/>
      </c>
      <c r="AH523" s="1" t="n">
        <f aca="false">IF(AND($N523=1,AND(LEFT(对接源_01水果!$D523,3)="周转筐",N(对接源_01水果!$K523)&lt;&gt;0)),1,0)</f>
        <v>0</v>
      </c>
      <c r="AI523" s="90" t="n">
        <f aca="false">IF(AG523="",0,IF(MATCH(AG523,$AG$4:$AG$1203,0)=ROW()-3,1,0))</f>
        <v>0</v>
      </c>
      <c r="AJ523" s="90" t="n">
        <f aca="false">N(AJ522)+AI523</f>
        <v>4</v>
      </c>
      <c r="AK523" s="1" t="n">
        <f aca="false">N(AK522)+$AJ523</f>
        <v>952</v>
      </c>
    </row>
    <row r="524" customFormat="false" ht="13.5" hidden="false" customHeight="false" outlineLevel="0" collapsed="false">
      <c r="A524" s="1" t="str">
        <f aca="false">IF(对接源_01水果!$C524="","",对接源_01水果!$C524)</f>
        <v/>
      </c>
      <c r="B524" s="1" t="n">
        <f aca="false">IF(A524="",0,IF(MATCH(A524,$A$4:$A$2403,0)=ROW()-3,1,0))</f>
        <v>0</v>
      </c>
      <c r="C524" s="1" t="n">
        <f aca="false">N(C523)+B524</f>
        <v>13</v>
      </c>
      <c r="K524" s="1" t="n">
        <f aca="false">IF(OR($K$1="",对接源_01水果!$C524="",对接源_01水果!$C524&lt;&gt;$K$1,对接源_01水果!$B524=""),0,IF(OR(N(对接源_01水果!$B524)&lt;$K$2,N(对接源_01水果!$B524)&gt;$K$3),0,1))</f>
        <v>0</v>
      </c>
      <c r="L524" s="1" t="n">
        <f aca="false">IF(OR($L$1="",对接源_01水果!$C524="",对接源_01水果!$C524&lt;&gt;$L$1,对接源_01水果!$B524=""),0,IF(OR(N(对接源_01水果!$B524)&lt;$L$2,N(对接源_01水果!$B524)&gt;$L$3),0,1))</f>
        <v>0</v>
      </c>
      <c r="M524" s="1" t="n">
        <f aca="false">IF(OR($M$1="",对接源_01水果!$C524="",对接源_01水果!$C524&lt;&gt;$M$1,对接源_01水果!$B524=""),0,IF(OR(N(对接源_01水果!$B524)&lt;$M$2,N(对接源_01水果!$B524)&gt;$M$3),0,1))</f>
        <v>0</v>
      </c>
      <c r="N524" s="1" t="n">
        <f aca="false">IF(OR($N$1="",对接源_01水果!$C524="",对接源_01水果!$C524&lt;&gt;$N$1,对接源_01水果!$B524=""),0,IF(OR(N(对接源_01水果!$B524)&lt;$N$2,N(对接源_01水果!$B524)&gt;$N$3),0,1))</f>
        <v>0</v>
      </c>
      <c r="P524" s="1" t="n">
        <f aca="false">IF(AND($K524=1,AND(对接源_01水果!$X524="公司筐",N(对接源_01水果!$T524)&lt;&gt;0)),1,0)</f>
        <v>0</v>
      </c>
      <c r="Q524" s="1" t="n">
        <f aca="false">N(Q523)+$P524</f>
        <v>3</v>
      </c>
      <c r="R524" s="1" t="n">
        <f aca="false">IF(AND($K524=1,AND(对接源_01水果!$X524="公司筐",N(对接源_01水果!$U524)&lt;&gt;0)),1,0)</f>
        <v>0</v>
      </c>
      <c r="S524" s="1" t="n">
        <f aca="false">N(S523)+$R524</f>
        <v>0</v>
      </c>
      <c r="T524" s="1" t="n">
        <f aca="false">IF(AND($K524=1,AND(对接源_01水果!$X524="公司筐",N(对接源_01水果!$V524)&lt;&gt;0)),1,0)</f>
        <v>0</v>
      </c>
      <c r="U524" s="1" t="n">
        <f aca="false">N(U523)+$T524</f>
        <v>28</v>
      </c>
      <c r="V524" s="1" t="n">
        <f aca="false">IF(AND($L524=1,AND(对接源_01水果!$X524="自备筐",N(对接源_01水果!$V524)&lt;&gt;0)),1,0)</f>
        <v>0</v>
      </c>
      <c r="W524" s="1" t="n">
        <f aca="false">N(W523)+$V524</f>
        <v>7</v>
      </c>
      <c r="X524" s="1" t="n">
        <f aca="false">IF(AND($L524=1,AND(对接源_01水果!$X524="自备筐",N(对接源_01水果!$T524)&lt;&gt;0)),1,0)</f>
        <v>0</v>
      </c>
      <c r="Y524" s="1" t="n">
        <f aca="false">N(Y523)+$X524</f>
        <v>0</v>
      </c>
      <c r="Z524" s="1" t="n">
        <f aca="false">IF(AND($M524=1,对接源_01水果!$D524="原料入库"),1,0)</f>
        <v>0</v>
      </c>
      <c r="AA524" s="1" t="n">
        <f aca="false">N(AA523)+$Z524</f>
        <v>30</v>
      </c>
      <c r="AB524" s="1" t="n">
        <f aca="false">IF(AND($M524=1,LEFT(对接源_01水果!$D524,4)="原料出库"),1,0)</f>
        <v>0</v>
      </c>
      <c r="AC524" s="1" t="n">
        <f aca="false">N(AC523)+$AB524</f>
        <v>19</v>
      </c>
      <c r="AD524" s="1" t="n">
        <f aca="false">IF(AND($M524=1,LEFT(对接源_01水果!$D524,4)="成品出库"),1,0)</f>
        <v>0</v>
      </c>
      <c r="AE524" s="1" t="n">
        <f aca="false">N(AE523)+$AD524</f>
        <v>38</v>
      </c>
      <c r="AF524" s="1" t="n">
        <f aca="false">IF(AND($N524=1,AND(LEFT(对接源_01水果!$D524,4)="包装物料",N(对接源_01水果!$K524)&lt;&gt;0)),1,0)</f>
        <v>0</v>
      </c>
      <c r="AG524" s="90" t="str">
        <f aca="false">IF(对接源_01水果!$AC524="","",对接源_01水果!$AC524)</f>
        <v/>
      </c>
      <c r="AH524" s="1" t="n">
        <f aca="false">IF(AND($N524=1,AND(LEFT(对接源_01水果!$D524,3)="周转筐",N(对接源_01水果!$K524)&lt;&gt;0)),1,0)</f>
        <v>0</v>
      </c>
      <c r="AI524" s="90" t="n">
        <f aca="false">IF(AG524="",0,IF(MATCH(AG524,$AG$4:$AG$1203,0)=ROW()-3,1,0))</f>
        <v>0</v>
      </c>
      <c r="AJ524" s="90" t="n">
        <f aca="false">N(AJ523)+AI524</f>
        <v>4</v>
      </c>
      <c r="AK524" s="1" t="n">
        <f aca="false">N(AK523)+$AJ524</f>
        <v>956</v>
      </c>
    </row>
    <row r="525" customFormat="false" ht="13.5" hidden="false" customHeight="false" outlineLevel="0" collapsed="false">
      <c r="A525" s="1" t="str">
        <f aca="false">IF(对接源_01水果!$C525="","",对接源_01水果!$C525)</f>
        <v/>
      </c>
      <c r="B525" s="1" t="n">
        <f aca="false">IF(A525="",0,IF(MATCH(A525,$A$4:$A$2403,0)=ROW()-3,1,0))</f>
        <v>0</v>
      </c>
      <c r="C525" s="1" t="n">
        <f aca="false">N(C524)+B525</f>
        <v>13</v>
      </c>
      <c r="K525" s="1" t="n">
        <f aca="false">IF(OR($K$1="",对接源_01水果!$C525="",对接源_01水果!$C525&lt;&gt;$K$1,对接源_01水果!$B525=""),0,IF(OR(N(对接源_01水果!$B525)&lt;$K$2,N(对接源_01水果!$B525)&gt;$K$3),0,1))</f>
        <v>0</v>
      </c>
      <c r="L525" s="1" t="n">
        <f aca="false">IF(OR($L$1="",对接源_01水果!$C525="",对接源_01水果!$C525&lt;&gt;$L$1,对接源_01水果!$B525=""),0,IF(OR(N(对接源_01水果!$B525)&lt;$L$2,N(对接源_01水果!$B525)&gt;$L$3),0,1))</f>
        <v>0</v>
      </c>
      <c r="M525" s="1" t="n">
        <f aca="false">IF(OR($M$1="",对接源_01水果!$C525="",对接源_01水果!$C525&lt;&gt;$M$1,对接源_01水果!$B525=""),0,IF(OR(N(对接源_01水果!$B525)&lt;$M$2,N(对接源_01水果!$B525)&gt;$M$3),0,1))</f>
        <v>0</v>
      </c>
      <c r="N525" s="1" t="n">
        <f aca="false">IF(OR($N$1="",对接源_01水果!$C525="",对接源_01水果!$C525&lt;&gt;$N$1,对接源_01水果!$B525=""),0,IF(OR(N(对接源_01水果!$B525)&lt;$N$2,N(对接源_01水果!$B525)&gt;$N$3),0,1))</f>
        <v>0</v>
      </c>
      <c r="P525" s="1" t="n">
        <f aca="false">IF(AND($K525=1,AND(对接源_01水果!$X525="公司筐",N(对接源_01水果!$T525)&lt;&gt;0)),1,0)</f>
        <v>0</v>
      </c>
      <c r="Q525" s="1" t="n">
        <f aca="false">N(Q524)+$P525</f>
        <v>3</v>
      </c>
      <c r="R525" s="1" t="n">
        <f aca="false">IF(AND($K525=1,AND(对接源_01水果!$X525="公司筐",N(对接源_01水果!$U525)&lt;&gt;0)),1,0)</f>
        <v>0</v>
      </c>
      <c r="S525" s="1" t="n">
        <f aca="false">N(S524)+$R525</f>
        <v>0</v>
      </c>
      <c r="T525" s="1" t="n">
        <f aca="false">IF(AND($K525=1,AND(对接源_01水果!$X525="公司筐",N(对接源_01水果!$V525)&lt;&gt;0)),1,0)</f>
        <v>0</v>
      </c>
      <c r="U525" s="1" t="n">
        <f aca="false">N(U524)+$T525</f>
        <v>28</v>
      </c>
      <c r="V525" s="1" t="n">
        <f aca="false">IF(AND($L525=1,AND(对接源_01水果!$X525="自备筐",N(对接源_01水果!$V525)&lt;&gt;0)),1,0)</f>
        <v>0</v>
      </c>
      <c r="W525" s="1" t="n">
        <f aca="false">N(W524)+$V525</f>
        <v>7</v>
      </c>
      <c r="X525" s="1" t="n">
        <f aca="false">IF(AND($L525=1,AND(对接源_01水果!$X525="自备筐",N(对接源_01水果!$T525)&lt;&gt;0)),1,0)</f>
        <v>0</v>
      </c>
      <c r="Y525" s="1" t="n">
        <f aca="false">N(Y524)+$X525</f>
        <v>0</v>
      </c>
      <c r="Z525" s="1" t="n">
        <f aca="false">IF(AND($M525=1,对接源_01水果!$D525="原料入库"),1,0)</f>
        <v>0</v>
      </c>
      <c r="AA525" s="1" t="n">
        <f aca="false">N(AA524)+$Z525</f>
        <v>30</v>
      </c>
      <c r="AB525" s="1" t="n">
        <f aca="false">IF(AND($M525=1,LEFT(对接源_01水果!$D525,4)="原料出库"),1,0)</f>
        <v>0</v>
      </c>
      <c r="AC525" s="1" t="n">
        <f aca="false">N(AC524)+$AB525</f>
        <v>19</v>
      </c>
      <c r="AD525" s="1" t="n">
        <f aca="false">IF(AND($M525=1,LEFT(对接源_01水果!$D525,4)="成品出库"),1,0)</f>
        <v>0</v>
      </c>
      <c r="AE525" s="1" t="n">
        <f aca="false">N(AE524)+$AD525</f>
        <v>38</v>
      </c>
      <c r="AF525" s="1" t="n">
        <f aca="false">IF(AND($N525=1,AND(LEFT(对接源_01水果!$D525,4)="包装物料",N(对接源_01水果!$K525)&lt;&gt;0)),1,0)</f>
        <v>0</v>
      </c>
      <c r="AG525" s="90" t="str">
        <f aca="false">IF(对接源_01水果!$AC525="","",对接源_01水果!$AC525)</f>
        <v/>
      </c>
      <c r="AH525" s="1" t="n">
        <f aca="false">IF(AND($N525=1,AND(LEFT(对接源_01水果!$D525,3)="周转筐",N(对接源_01水果!$K525)&lt;&gt;0)),1,0)</f>
        <v>0</v>
      </c>
      <c r="AI525" s="90" t="n">
        <f aca="false">IF(AG525="",0,IF(MATCH(AG525,$AG$4:$AG$1203,0)=ROW()-3,1,0))</f>
        <v>0</v>
      </c>
      <c r="AJ525" s="90" t="n">
        <f aca="false">N(AJ524)+AI525</f>
        <v>4</v>
      </c>
      <c r="AK525" s="1" t="n">
        <f aca="false">N(AK524)+$AJ525</f>
        <v>960</v>
      </c>
    </row>
    <row r="526" customFormat="false" ht="13.5" hidden="false" customHeight="false" outlineLevel="0" collapsed="false">
      <c r="A526" s="1" t="str">
        <f aca="false">IF(对接源_01水果!$C526="","",对接源_01水果!$C526)</f>
        <v/>
      </c>
      <c r="B526" s="1" t="n">
        <f aca="false">IF(A526="",0,IF(MATCH(A526,$A$4:$A$2403,0)=ROW()-3,1,0))</f>
        <v>0</v>
      </c>
      <c r="C526" s="1" t="n">
        <f aca="false">N(C525)+B526</f>
        <v>13</v>
      </c>
      <c r="K526" s="1" t="n">
        <f aca="false">IF(OR($K$1="",对接源_01水果!$C526="",对接源_01水果!$C526&lt;&gt;$K$1,对接源_01水果!$B526=""),0,IF(OR(N(对接源_01水果!$B526)&lt;$K$2,N(对接源_01水果!$B526)&gt;$K$3),0,1))</f>
        <v>0</v>
      </c>
      <c r="L526" s="1" t="n">
        <f aca="false">IF(OR($L$1="",对接源_01水果!$C526="",对接源_01水果!$C526&lt;&gt;$L$1,对接源_01水果!$B526=""),0,IF(OR(N(对接源_01水果!$B526)&lt;$L$2,N(对接源_01水果!$B526)&gt;$L$3),0,1))</f>
        <v>0</v>
      </c>
      <c r="M526" s="1" t="n">
        <f aca="false">IF(OR($M$1="",对接源_01水果!$C526="",对接源_01水果!$C526&lt;&gt;$M$1,对接源_01水果!$B526=""),0,IF(OR(N(对接源_01水果!$B526)&lt;$M$2,N(对接源_01水果!$B526)&gt;$M$3),0,1))</f>
        <v>0</v>
      </c>
      <c r="N526" s="1" t="n">
        <f aca="false">IF(OR($N$1="",对接源_01水果!$C526="",对接源_01水果!$C526&lt;&gt;$N$1,对接源_01水果!$B526=""),0,IF(OR(N(对接源_01水果!$B526)&lt;$N$2,N(对接源_01水果!$B526)&gt;$N$3),0,1))</f>
        <v>0</v>
      </c>
      <c r="P526" s="1" t="n">
        <f aca="false">IF(AND($K526=1,AND(对接源_01水果!$X526="公司筐",N(对接源_01水果!$T526)&lt;&gt;0)),1,0)</f>
        <v>0</v>
      </c>
      <c r="Q526" s="1" t="n">
        <f aca="false">N(Q525)+$P526</f>
        <v>3</v>
      </c>
      <c r="R526" s="1" t="n">
        <f aca="false">IF(AND($K526=1,AND(对接源_01水果!$X526="公司筐",N(对接源_01水果!$U526)&lt;&gt;0)),1,0)</f>
        <v>0</v>
      </c>
      <c r="S526" s="1" t="n">
        <f aca="false">N(S525)+$R526</f>
        <v>0</v>
      </c>
      <c r="T526" s="1" t="n">
        <f aca="false">IF(AND($K526=1,AND(对接源_01水果!$X526="公司筐",N(对接源_01水果!$V526)&lt;&gt;0)),1,0)</f>
        <v>0</v>
      </c>
      <c r="U526" s="1" t="n">
        <f aca="false">N(U525)+$T526</f>
        <v>28</v>
      </c>
      <c r="V526" s="1" t="n">
        <f aca="false">IF(AND($L526=1,AND(对接源_01水果!$X526="自备筐",N(对接源_01水果!$V526)&lt;&gt;0)),1,0)</f>
        <v>0</v>
      </c>
      <c r="W526" s="1" t="n">
        <f aca="false">N(W525)+$V526</f>
        <v>7</v>
      </c>
      <c r="X526" s="1" t="n">
        <f aca="false">IF(AND($L526=1,AND(对接源_01水果!$X526="自备筐",N(对接源_01水果!$T526)&lt;&gt;0)),1,0)</f>
        <v>0</v>
      </c>
      <c r="Y526" s="1" t="n">
        <f aca="false">N(Y525)+$X526</f>
        <v>0</v>
      </c>
      <c r="Z526" s="1" t="n">
        <f aca="false">IF(AND($M526=1,对接源_01水果!$D526="原料入库"),1,0)</f>
        <v>0</v>
      </c>
      <c r="AA526" s="1" t="n">
        <f aca="false">N(AA525)+$Z526</f>
        <v>30</v>
      </c>
      <c r="AB526" s="1" t="n">
        <f aca="false">IF(AND($M526=1,LEFT(对接源_01水果!$D526,4)="原料出库"),1,0)</f>
        <v>0</v>
      </c>
      <c r="AC526" s="1" t="n">
        <f aca="false">N(AC525)+$AB526</f>
        <v>19</v>
      </c>
      <c r="AD526" s="1" t="n">
        <f aca="false">IF(AND($M526=1,LEFT(对接源_01水果!$D526,4)="成品出库"),1,0)</f>
        <v>0</v>
      </c>
      <c r="AE526" s="1" t="n">
        <f aca="false">N(AE525)+$AD526</f>
        <v>38</v>
      </c>
      <c r="AF526" s="1" t="n">
        <f aca="false">IF(AND($N526=1,AND(LEFT(对接源_01水果!$D526,4)="包装物料",N(对接源_01水果!$K526)&lt;&gt;0)),1,0)</f>
        <v>0</v>
      </c>
      <c r="AG526" s="90" t="str">
        <f aca="false">IF(对接源_01水果!$AC526="","",对接源_01水果!$AC526)</f>
        <v/>
      </c>
      <c r="AH526" s="1" t="n">
        <f aca="false">IF(AND($N526=1,AND(LEFT(对接源_01水果!$D526,3)="周转筐",N(对接源_01水果!$K526)&lt;&gt;0)),1,0)</f>
        <v>0</v>
      </c>
      <c r="AI526" s="90" t="n">
        <f aca="false">IF(AG526="",0,IF(MATCH(AG526,$AG$4:$AG$1203,0)=ROW()-3,1,0))</f>
        <v>0</v>
      </c>
      <c r="AJ526" s="90" t="n">
        <f aca="false">N(AJ525)+AI526</f>
        <v>4</v>
      </c>
      <c r="AK526" s="1" t="n">
        <f aca="false">N(AK525)+$AJ526</f>
        <v>964</v>
      </c>
    </row>
    <row r="527" customFormat="false" ht="13.5" hidden="false" customHeight="false" outlineLevel="0" collapsed="false">
      <c r="A527" s="1" t="str">
        <f aca="false">IF(对接源_01水果!$C527="","",对接源_01水果!$C527)</f>
        <v/>
      </c>
      <c r="B527" s="1" t="n">
        <f aca="false">IF(A527="",0,IF(MATCH(A527,$A$4:$A$2403,0)=ROW()-3,1,0))</f>
        <v>0</v>
      </c>
      <c r="C527" s="1" t="n">
        <f aca="false">N(C526)+B527</f>
        <v>13</v>
      </c>
      <c r="K527" s="1" t="n">
        <f aca="false">IF(OR($K$1="",对接源_01水果!$C527="",对接源_01水果!$C527&lt;&gt;$K$1,对接源_01水果!$B527=""),0,IF(OR(N(对接源_01水果!$B527)&lt;$K$2,N(对接源_01水果!$B527)&gt;$K$3),0,1))</f>
        <v>0</v>
      </c>
      <c r="L527" s="1" t="n">
        <f aca="false">IF(OR($L$1="",对接源_01水果!$C527="",对接源_01水果!$C527&lt;&gt;$L$1,对接源_01水果!$B527=""),0,IF(OR(N(对接源_01水果!$B527)&lt;$L$2,N(对接源_01水果!$B527)&gt;$L$3),0,1))</f>
        <v>0</v>
      </c>
      <c r="M527" s="1" t="n">
        <f aca="false">IF(OR($M$1="",对接源_01水果!$C527="",对接源_01水果!$C527&lt;&gt;$M$1,对接源_01水果!$B527=""),0,IF(OR(N(对接源_01水果!$B527)&lt;$M$2,N(对接源_01水果!$B527)&gt;$M$3),0,1))</f>
        <v>0</v>
      </c>
      <c r="N527" s="1" t="n">
        <f aca="false">IF(OR($N$1="",对接源_01水果!$C527="",对接源_01水果!$C527&lt;&gt;$N$1,对接源_01水果!$B527=""),0,IF(OR(N(对接源_01水果!$B527)&lt;$N$2,N(对接源_01水果!$B527)&gt;$N$3),0,1))</f>
        <v>0</v>
      </c>
      <c r="P527" s="1" t="n">
        <f aca="false">IF(AND($K527=1,AND(对接源_01水果!$X527="公司筐",N(对接源_01水果!$T527)&lt;&gt;0)),1,0)</f>
        <v>0</v>
      </c>
      <c r="Q527" s="1" t="n">
        <f aca="false">N(Q526)+$P527</f>
        <v>3</v>
      </c>
      <c r="R527" s="1" t="n">
        <f aca="false">IF(AND($K527=1,AND(对接源_01水果!$X527="公司筐",N(对接源_01水果!$U527)&lt;&gt;0)),1,0)</f>
        <v>0</v>
      </c>
      <c r="S527" s="1" t="n">
        <f aca="false">N(S526)+$R527</f>
        <v>0</v>
      </c>
      <c r="T527" s="1" t="n">
        <f aca="false">IF(AND($K527=1,AND(对接源_01水果!$X527="公司筐",N(对接源_01水果!$V527)&lt;&gt;0)),1,0)</f>
        <v>0</v>
      </c>
      <c r="U527" s="1" t="n">
        <f aca="false">N(U526)+$T527</f>
        <v>28</v>
      </c>
      <c r="V527" s="1" t="n">
        <f aca="false">IF(AND($L527=1,AND(对接源_01水果!$X527="自备筐",N(对接源_01水果!$V527)&lt;&gt;0)),1,0)</f>
        <v>0</v>
      </c>
      <c r="W527" s="1" t="n">
        <f aca="false">N(W526)+$V527</f>
        <v>7</v>
      </c>
      <c r="X527" s="1" t="n">
        <f aca="false">IF(AND($L527=1,AND(对接源_01水果!$X527="自备筐",N(对接源_01水果!$T527)&lt;&gt;0)),1,0)</f>
        <v>0</v>
      </c>
      <c r="Y527" s="1" t="n">
        <f aca="false">N(Y526)+$X527</f>
        <v>0</v>
      </c>
      <c r="Z527" s="1" t="n">
        <f aca="false">IF(AND($M527=1,对接源_01水果!$D527="原料入库"),1,0)</f>
        <v>0</v>
      </c>
      <c r="AA527" s="1" t="n">
        <f aca="false">N(AA526)+$Z527</f>
        <v>30</v>
      </c>
      <c r="AB527" s="1" t="n">
        <f aca="false">IF(AND($M527=1,LEFT(对接源_01水果!$D527,4)="原料出库"),1,0)</f>
        <v>0</v>
      </c>
      <c r="AC527" s="1" t="n">
        <f aca="false">N(AC526)+$AB527</f>
        <v>19</v>
      </c>
      <c r="AD527" s="1" t="n">
        <f aca="false">IF(AND($M527=1,LEFT(对接源_01水果!$D527,4)="成品出库"),1,0)</f>
        <v>0</v>
      </c>
      <c r="AE527" s="1" t="n">
        <f aca="false">N(AE526)+$AD527</f>
        <v>38</v>
      </c>
      <c r="AF527" s="1" t="n">
        <f aca="false">IF(AND($N527=1,AND(LEFT(对接源_01水果!$D527,4)="包装物料",N(对接源_01水果!$K527)&lt;&gt;0)),1,0)</f>
        <v>0</v>
      </c>
      <c r="AG527" s="90" t="str">
        <f aca="false">IF(对接源_01水果!$AC527="","",对接源_01水果!$AC527)</f>
        <v/>
      </c>
      <c r="AH527" s="1" t="n">
        <f aca="false">IF(AND($N527=1,AND(LEFT(对接源_01水果!$D527,3)="周转筐",N(对接源_01水果!$K527)&lt;&gt;0)),1,0)</f>
        <v>0</v>
      </c>
      <c r="AI527" s="90" t="n">
        <f aca="false">IF(AG527="",0,IF(MATCH(AG527,$AG$4:$AG$1203,0)=ROW()-3,1,0))</f>
        <v>0</v>
      </c>
      <c r="AJ527" s="90" t="n">
        <f aca="false">N(AJ526)+AI527</f>
        <v>4</v>
      </c>
      <c r="AK527" s="1" t="n">
        <f aca="false">N(AK526)+$AJ527</f>
        <v>968</v>
      </c>
    </row>
    <row r="528" customFormat="false" ht="13.5" hidden="false" customHeight="false" outlineLevel="0" collapsed="false">
      <c r="A528" s="1" t="str">
        <f aca="false">IF(对接源_01水果!$C528="","",对接源_01水果!$C528)</f>
        <v/>
      </c>
      <c r="B528" s="1" t="n">
        <f aca="false">IF(A528="",0,IF(MATCH(A528,$A$4:$A$2403,0)=ROW()-3,1,0))</f>
        <v>0</v>
      </c>
      <c r="C528" s="1" t="n">
        <f aca="false">N(C527)+B528</f>
        <v>13</v>
      </c>
      <c r="K528" s="1" t="n">
        <f aca="false">IF(OR($K$1="",对接源_01水果!$C528="",对接源_01水果!$C528&lt;&gt;$K$1,对接源_01水果!$B528=""),0,IF(OR(N(对接源_01水果!$B528)&lt;$K$2,N(对接源_01水果!$B528)&gt;$K$3),0,1))</f>
        <v>0</v>
      </c>
      <c r="L528" s="1" t="n">
        <f aca="false">IF(OR($L$1="",对接源_01水果!$C528="",对接源_01水果!$C528&lt;&gt;$L$1,对接源_01水果!$B528=""),0,IF(OR(N(对接源_01水果!$B528)&lt;$L$2,N(对接源_01水果!$B528)&gt;$L$3),0,1))</f>
        <v>0</v>
      </c>
      <c r="M528" s="1" t="n">
        <f aca="false">IF(OR($M$1="",对接源_01水果!$C528="",对接源_01水果!$C528&lt;&gt;$M$1,对接源_01水果!$B528=""),0,IF(OR(N(对接源_01水果!$B528)&lt;$M$2,N(对接源_01水果!$B528)&gt;$M$3),0,1))</f>
        <v>0</v>
      </c>
      <c r="N528" s="1" t="n">
        <f aca="false">IF(OR($N$1="",对接源_01水果!$C528="",对接源_01水果!$C528&lt;&gt;$N$1,对接源_01水果!$B528=""),0,IF(OR(N(对接源_01水果!$B528)&lt;$N$2,N(对接源_01水果!$B528)&gt;$N$3),0,1))</f>
        <v>0</v>
      </c>
      <c r="P528" s="1" t="n">
        <f aca="false">IF(AND($K528=1,AND(对接源_01水果!$X528="公司筐",N(对接源_01水果!$T528)&lt;&gt;0)),1,0)</f>
        <v>0</v>
      </c>
      <c r="Q528" s="1" t="n">
        <f aca="false">N(Q527)+$P528</f>
        <v>3</v>
      </c>
      <c r="R528" s="1" t="n">
        <f aca="false">IF(AND($K528=1,AND(对接源_01水果!$X528="公司筐",N(对接源_01水果!$U528)&lt;&gt;0)),1,0)</f>
        <v>0</v>
      </c>
      <c r="S528" s="1" t="n">
        <f aca="false">N(S527)+$R528</f>
        <v>0</v>
      </c>
      <c r="T528" s="1" t="n">
        <f aca="false">IF(AND($K528=1,AND(对接源_01水果!$X528="公司筐",N(对接源_01水果!$V528)&lt;&gt;0)),1,0)</f>
        <v>0</v>
      </c>
      <c r="U528" s="1" t="n">
        <f aca="false">N(U527)+$T528</f>
        <v>28</v>
      </c>
      <c r="V528" s="1" t="n">
        <f aca="false">IF(AND($L528=1,AND(对接源_01水果!$X528="自备筐",N(对接源_01水果!$V528)&lt;&gt;0)),1,0)</f>
        <v>0</v>
      </c>
      <c r="W528" s="1" t="n">
        <f aca="false">N(W527)+$V528</f>
        <v>7</v>
      </c>
      <c r="X528" s="1" t="n">
        <f aca="false">IF(AND($L528=1,AND(对接源_01水果!$X528="自备筐",N(对接源_01水果!$T528)&lt;&gt;0)),1,0)</f>
        <v>0</v>
      </c>
      <c r="Y528" s="1" t="n">
        <f aca="false">N(Y527)+$X528</f>
        <v>0</v>
      </c>
      <c r="Z528" s="1" t="n">
        <f aca="false">IF(AND($M528=1,对接源_01水果!$D528="原料入库"),1,0)</f>
        <v>0</v>
      </c>
      <c r="AA528" s="1" t="n">
        <f aca="false">N(AA527)+$Z528</f>
        <v>30</v>
      </c>
      <c r="AB528" s="1" t="n">
        <f aca="false">IF(AND($M528=1,LEFT(对接源_01水果!$D528,4)="原料出库"),1,0)</f>
        <v>0</v>
      </c>
      <c r="AC528" s="1" t="n">
        <f aca="false">N(AC527)+$AB528</f>
        <v>19</v>
      </c>
      <c r="AD528" s="1" t="n">
        <f aca="false">IF(AND($M528=1,LEFT(对接源_01水果!$D528,4)="成品出库"),1,0)</f>
        <v>0</v>
      </c>
      <c r="AE528" s="1" t="n">
        <f aca="false">N(AE527)+$AD528</f>
        <v>38</v>
      </c>
      <c r="AF528" s="1" t="n">
        <f aca="false">IF(AND($N528=1,AND(LEFT(对接源_01水果!$D528,4)="包装物料",N(对接源_01水果!$K528)&lt;&gt;0)),1,0)</f>
        <v>0</v>
      </c>
      <c r="AG528" s="90" t="str">
        <f aca="false">IF(对接源_01水果!$AC528="","",对接源_01水果!$AC528)</f>
        <v/>
      </c>
      <c r="AH528" s="1" t="n">
        <f aca="false">IF(AND($N528=1,AND(LEFT(对接源_01水果!$D528,3)="周转筐",N(对接源_01水果!$K528)&lt;&gt;0)),1,0)</f>
        <v>0</v>
      </c>
      <c r="AI528" s="90" t="n">
        <f aca="false">IF(AG528="",0,IF(MATCH(AG528,$AG$4:$AG$1203,0)=ROW()-3,1,0))</f>
        <v>0</v>
      </c>
      <c r="AJ528" s="90" t="n">
        <f aca="false">N(AJ527)+AI528</f>
        <v>4</v>
      </c>
      <c r="AK528" s="1" t="n">
        <f aca="false">N(AK527)+$AJ528</f>
        <v>972</v>
      </c>
    </row>
    <row r="529" customFormat="false" ht="13.5" hidden="false" customHeight="false" outlineLevel="0" collapsed="false">
      <c r="A529" s="1" t="str">
        <f aca="false">IF(对接源_01水果!$C529="","",对接源_01水果!$C529)</f>
        <v/>
      </c>
      <c r="B529" s="1" t="n">
        <f aca="false">IF(A529="",0,IF(MATCH(A529,$A$4:$A$2403,0)=ROW()-3,1,0))</f>
        <v>0</v>
      </c>
      <c r="C529" s="1" t="n">
        <f aca="false">N(C528)+B529</f>
        <v>13</v>
      </c>
      <c r="K529" s="1" t="n">
        <f aca="false">IF(OR($K$1="",对接源_01水果!$C529="",对接源_01水果!$C529&lt;&gt;$K$1,对接源_01水果!$B529=""),0,IF(OR(N(对接源_01水果!$B529)&lt;$K$2,N(对接源_01水果!$B529)&gt;$K$3),0,1))</f>
        <v>0</v>
      </c>
      <c r="L529" s="1" t="n">
        <f aca="false">IF(OR($L$1="",对接源_01水果!$C529="",对接源_01水果!$C529&lt;&gt;$L$1,对接源_01水果!$B529=""),0,IF(OR(N(对接源_01水果!$B529)&lt;$L$2,N(对接源_01水果!$B529)&gt;$L$3),0,1))</f>
        <v>0</v>
      </c>
      <c r="M529" s="1" t="n">
        <f aca="false">IF(OR($M$1="",对接源_01水果!$C529="",对接源_01水果!$C529&lt;&gt;$M$1,对接源_01水果!$B529=""),0,IF(OR(N(对接源_01水果!$B529)&lt;$M$2,N(对接源_01水果!$B529)&gt;$M$3),0,1))</f>
        <v>0</v>
      </c>
      <c r="N529" s="1" t="n">
        <f aca="false">IF(OR($N$1="",对接源_01水果!$C529="",对接源_01水果!$C529&lt;&gt;$N$1,对接源_01水果!$B529=""),0,IF(OR(N(对接源_01水果!$B529)&lt;$N$2,N(对接源_01水果!$B529)&gt;$N$3),0,1))</f>
        <v>0</v>
      </c>
      <c r="P529" s="1" t="n">
        <f aca="false">IF(AND($K529=1,AND(对接源_01水果!$X529="公司筐",N(对接源_01水果!$T529)&lt;&gt;0)),1,0)</f>
        <v>0</v>
      </c>
      <c r="Q529" s="1" t="n">
        <f aca="false">N(Q528)+$P529</f>
        <v>3</v>
      </c>
      <c r="R529" s="1" t="n">
        <f aca="false">IF(AND($K529=1,AND(对接源_01水果!$X529="公司筐",N(对接源_01水果!$U529)&lt;&gt;0)),1,0)</f>
        <v>0</v>
      </c>
      <c r="S529" s="1" t="n">
        <f aca="false">N(S528)+$R529</f>
        <v>0</v>
      </c>
      <c r="T529" s="1" t="n">
        <f aca="false">IF(AND($K529=1,AND(对接源_01水果!$X529="公司筐",N(对接源_01水果!$V529)&lt;&gt;0)),1,0)</f>
        <v>0</v>
      </c>
      <c r="U529" s="1" t="n">
        <f aca="false">N(U528)+$T529</f>
        <v>28</v>
      </c>
      <c r="V529" s="1" t="n">
        <f aca="false">IF(AND($L529=1,AND(对接源_01水果!$X529="自备筐",N(对接源_01水果!$V529)&lt;&gt;0)),1,0)</f>
        <v>0</v>
      </c>
      <c r="W529" s="1" t="n">
        <f aca="false">N(W528)+$V529</f>
        <v>7</v>
      </c>
      <c r="X529" s="1" t="n">
        <f aca="false">IF(AND($L529=1,AND(对接源_01水果!$X529="自备筐",N(对接源_01水果!$T529)&lt;&gt;0)),1,0)</f>
        <v>0</v>
      </c>
      <c r="Y529" s="1" t="n">
        <f aca="false">N(Y528)+$X529</f>
        <v>0</v>
      </c>
      <c r="Z529" s="1" t="n">
        <f aca="false">IF(AND($M529=1,对接源_01水果!$D529="原料入库"),1,0)</f>
        <v>0</v>
      </c>
      <c r="AA529" s="1" t="n">
        <f aca="false">N(AA528)+$Z529</f>
        <v>30</v>
      </c>
      <c r="AB529" s="1" t="n">
        <f aca="false">IF(AND($M529=1,LEFT(对接源_01水果!$D529,4)="原料出库"),1,0)</f>
        <v>0</v>
      </c>
      <c r="AC529" s="1" t="n">
        <f aca="false">N(AC528)+$AB529</f>
        <v>19</v>
      </c>
      <c r="AD529" s="1" t="n">
        <f aca="false">IF(AND($M529=1,LEFT(对接源_01水果!$D529,4)="成品出库"),1,0)</f>
        <v>0</v>
      </c>
      <c r="AE529" s="1" t="n">
        <f aca="false">N(AE528)+$AD529</f>
        <v>38</v>
      </c>
      <c r="AF529" s="1" t="n">
        <f aca="false">IF(AND($N529=1,AND(LEFT(对接源_01水果!$D529,4)="包装物料",N(对接源_01水果!$K529)&lt;&gt;0)),1,0)</f>
        <v>0</v>
      </c>
      <c r="AG529" s="90" t="str">
        <f aca="false">IF(对接源_01水果!$AC529="","",对接源_01水果!$AC529)</f>
        <v/>
      </c>
      <c r="AH529" s="1" t="n">
        <f aca="false">IF(AND($N529=1,AND(LEFT(对接源_01水果!$D529,3)="周转筐",N(对接源_01水果!$K529)&lt;&gt;0)),1,0)</f>
        <v>0</v>
      </c>
      <c r="AI529" s="90" t="n">
        <f aca="false">IF(AG529="",0,IF(MATCH(AG529,$AG$4:$AG$1203,0)=ROW()-3,1,0))</f>
        <v>0</v>
      </c>
      <c r="AJ529" s="90" t="n">
        <f aca="false">N(AJ528)+AI529</f>
        <v>4</v>
      </c>
      <c r="AK529" s="1" t="n">
        <f aca="false">N(AK528)+$AJ529</f>
        <v>976</v>
      </c>
    </row>
    <row r="530" customFormat="false" ht="13.5" hidden="false" customHeight="false" outlineLevel="0" collapsed="false">
      <c r="A530" s="1" t="str">
        <f aca="false">IF(对接源_01水果!$C530="","",对接源_01水果!$C530)</f>
        <v/>
      </c>
      <c r="B530" s="1" t="n">
        <f aca="false">IF(A530="",0,IF(MATCH(A530,$A$4:$A$2403,0)=ROW()-3,1,0))</f>
        <v>0</v>
      </c>
      <c r="C530" s="1" t="n">
        <f aca="false">N(C529)+B530</f>
        <v>13</v>
      </c>
      <c r="K530" s="1" t="n">
        <f aca="false">IF(OR($K$1="",对接源_01水果!$C530="",对接源_01水果!$C530&lt;&gt;$K$1,对接源_01水果!$B530=""),0,IF(OR(N(对接源_01水果!$B530)&lt;$K$2,N(对接源_01水果!$B530)&gt;$K$3),0,1))</f>
        <v>0</v>
      </c>
      <c r="L530" s="1" t="n">
        <f aca="false">IF(OR($L$1="",对接源_01水果!$C530="",对接源_01水果!$C530&lt;&gt;$L$1,对接源_01水果!$B530=""),0,IF(OR(N(对接源_01水果!$B530)&lt;$L$2,N(对接源_01水果!$B530)&gt;$L$3),0,1))</f>
        <v>0</v>
      </c>
      <c r="M530" s="1" t="n">
        <f aca="false">IF(OR($M$1="",对接源_01水果!$C530="",对接源_01水果!$C530&lt;&gt;$M$1,对接源_01水果!$B530=""),0,IF(OR(N(对接源_01水果!$B530)&lt;$M$2,N(对接源_01水果!$B530)&gt;$M$3),0,1))</f>
        <v>0</v>
      </c>
      <c r="N530" s="1" t="n">
        <f aca="false">IF(OR($N$1="",对接源_01水果!$C530="",对接源_01水果!$C530&lt;&gt;$N$1,对接源_01水果!$B530=""),0,IF(OR(N(对接源_01水果!$B530)&lt;$N$2,N(对接源_01水果!$B530)&gt;$N$3),0,1))</f>
        <v>0</v>
      </c>
      <c r="P530" s="1" t="n">
        <f aca="false">IF(AND($K530=1,AND(对接源_01水果!$X530="公司筐",N(对接源_01水果!$T530)&lt;&gt;0)),1,0)</f>
        <v>0</v>
      </c>
      <c r="Q530" s="1" t="n">
        <f aca="false">N(Q529)+$P530</f>
        <v>3</v>
      </c>
      <c r="R530" s="1" t="n">
        <f aca="false">IF(AND($K530=1,AND(对接源_01水果!$X530="公司筐",N(对接源_01水果!$U530)&lt;&gt;0)),1,0)</f>
        <v>0</v>
      </c>
      <c r="S530" s="1" t="n">
        <f aca="false">N(S529)+$R530</f>
        <v>0</v>
      </c>
      <c r="T530" s="1" t="n">
        <f aca="false">IF(AND($K530=1,AND(对接源_01水果!$X530="公司筐",N(对接源_01水果!$V530)&lt;&gt;0)),1,0)</f>
        <v>0</v>
      </c>
      <c r="U530" s="1" t="n">
        <f aca="false">N(U529)+$T530</f>
        <v>28</v>
      </c>
      <c r="V530" s="1" t="n">
        <f aca="false">IF(AND($L530=1,AND(对接源_01水果!$X530="自备筐",N(对接源_01水果!$V530)&lt;&gt;0)),1,0)</f>
        <v>0</v>
      </c>
      <c r="W530" s="1" t="n">
        <f aca="false">N(W529)+$V530</f>
        <v>7</v>
      </c>
      <c r="X530" s="1" t="n">
        <f aca="false">IF(AND($L530=1,AND(对接源_01水果!$X530="自备筐",N(对接源_01水果!$T530)&lt;&gt;0)),1,0)</f>
        <v>0</v>
      </c>
      <c r="Y530" s="1" t="n">
        <f aca="false">N(Y529)+$X530</f>
        <v>0</v>
      </c>
      <c r="Z530" s="1" t="n">
        <f aca="false">IF(AND($M530=1,对接源_01水果!$D530="原料入库"),1,0)</f>
        <v>0</v>
      </c>
      <c r="AA530" s="1" t="n">
        <f aca="false">N(AA529)+$Z530</f>
        <v>30</v>
      </c>
      <c r="AB530" s="1" t="n">
        <f aca="false">IF(AND($M530=1,LEFT(对接源_01水果!$D530,4)="原料出库"),1,0)</f>
        <v>0</v>
      </c>
      <c r="AC530" s="1" t="n">
        <f aca="false">N(AC529)+$AB530</f>
        <v>19</v>
      </c>
      <c r="AD530" s="1" t="n">
        <f aca="false">IF(AND($M530=1,LEFT(对接源_01水果!$D530,4)="成品出库"),1,0)</f>
        <v>0</v>
      </c>
      <c r="AE530" s="1" t="n">
        <f aca="false">N(AE529)+$AD530</f>
        <v>38</v>
      </c>
      <c r="AF530" s="1" t="n">
        <f aca="false">IF(AND($N530=1,AND(LEFT(对接源_01水果!$D530,4)="包装物料",N(对接源_01水果!$K530)&lt;&gt;0)),1,0)</f>
        <v>0</v>
      </c>
      <c r="AG530" s="90" t="str">
        <f aca="false">IF(对接源_01水果!$AC530="","",对接源_01水果!$AC530)</f>
        <v/>
      </c>
      <c r="AH530" s="1" t="n">
        <f aca="false">IF(AND($N530=1,AND(LEFT(对接源_01水果!$D530,3)="周转筐",N(对接源_01水果!$K530)&lt;&gt;0)),1,0)</f>
        <v>0</v>
      </c>
      <c r="AI530" s="90" t="n">
        <f aca="false">IF(AG530="",0,IF(MATCH(AG530,$AG$4:$AG$1203,0)=ROW()-3,1,0))</f>
        <v>0</v>
      </c>
      <c r="AJ530" s="90" t="n">
        <f aca="false">N(AJ529)+AI530</f>
        <v>4</v>
      </c>
      <c r="AK530" s="1" t="n">
        <f aca="false">N(AK529)+$AJ530</f>
        <v>980</v>
      </c>
    </row>
    <row r="531" customFormat="false" ht="13.5" hidden="false" customHeight="false" outlineLevel="0" collapsed="false">
      <c r="A531" s="1" t="str">
        <f aca="false">IF(对接源_01水果!$C531="","",对接源_01水果!$C531)</f>
        <v/>
      </c>
      <c r="B531" s="1" t="n">
        <f aca="false">IF(A531="",0,IF(MATCH(A531,$A$4:$A$2403,0)=ROW()-3,1,0))</f>
        <v>0</v>
      </c>
      <c r="C531" s="1" t="n">
        <f aca="false">N(C530)+B531</f>
        <v>13</v>
      </c>
      <c r="K531" s="1" t="n">
        <f aca="false">IF(OR($K$1="",对接源_01水果!$C531="",对接源_01水果!$C531&lt;&gt;$K$1,对接源_01水果!$B531=""),0,IF(OR(N(对接源_01水果!$B531)&lt;$K$2,N(对接源_01水果!$B531)&gt;$K$3),0,1))</f>
        <v>0</v>
      </c>
      <c r="L531" s="1" t="n">
        <f aca="false">IF(OR($L$1="",对接源_01水果!$C531="",对接源_01水果!$C531&lt;&gt;$L$1,对接源_01水果!$B531=""),0,IF(OR(N(对接源_01水果!$B531)&lt;$L$2,N(对接源_01水果!$B531)&gt;$L$3),0,1))</f>
        <v>0</v>
      </c>
      <c r="M531" s="1" t="n">
        <f aca="false">IF(OR($M$1="",对接源_01水果!$C531="",对接源_01水果!$C531&lt;&gt;$M$1,对接源_01水果!$B531=""),0,IF(OR(N(对接源_01水果!$B531)&lt;$M$2,N(对接源_01水果!$B531)&gt;$M$3),0,1))</f>
        <v>0</v>
      </c>
      <c r="N531" s="1" t="n">
        <f aca="false">IF(OR($N$1="",对接源_01水果!$C531="",对接源_01水果!$C531&lt;&gt;$N$1,对接源_01水果!$B531=""),0,IF(OR(N(对接源_01水果!$B531)&lt;$N$2,N(对接源_01水果!$B531)&gt;$N$3),0,1))</f>
        <v>0</v>
      </c>
      <c r="P531" s="1" t="n">
        <f aca="false">IF(AND($K531=1,AND(对接源_01水果!$X531="公司筐",N(对接源_01水果!$T531)&lt;&gt;0)),1,0)</f>
        <v>0</v>
      </c>
      <c r="Q531" s="1" t="n">
        <f aca="false">N(Q530)+$P531</f>
        <v>3</v>
      </c>
      <c r="R531" s="1" t="n">
        <f aca="false">IF(AND($K531=1,AND(对接源_01水果!$X531="公司筐",N(对接源_01水果!$U531)&lt;&gt;0)),1,0)</f>
        <v>0</v>
      </c>
      <c r="S531" s="1" t="n">
        <f aca="false">N(S530)+$R531</f>
        <v>0</v>
      </c>
      <c r="T531" s="1" t="n">
        <f aca="false">IF(AND($K531=1,AND(对接源_01水果!$X531="公司筐",N(对接源_01水果!$V531)&lt;&gt;0)),1,0)</f>
        <v>0</v>
      </c>
      <c r="U531" s="1" t="n">
        <f aca="false">N(U530)+$T531</f>
        <v>28</v>
      </c>
      <c r="V531" s="1" t="n">
        <f aca="false">IF(AND($L531=1,AND(对接源_01水果!$X531="自备筐",N(对接源_01水果!$V531)&lt;&gt;0)),1,0)</f>
        <v>0</v>
      </c>
      <c r="W531" s="1" t="n">
        <f aca="false">N(W530)+$V531</f>
        <v>7</v>
      </c>
      <c r="X531" s="1" t="n">
        <f aca="false">IF(AND($L531=1,AND(对接源_01水果!$X531="自备筐",N(对接源_01水果!$T531)&lt;&gt;0)),1,0)</f>
        <v>0</v>
      </c>
      <c r="Y531" s="1" t="n">
        <f aca="false">N(Y530)+$X531</f>
        <v>0</v>
      </c>
      <c r="Z531" s="1" t="n">
        <f aca="false">IF(AND($M531=1,对接源_01水果!$D531="原料入库"),1,0)</f>
        <v>0</v>
      </c>
      <c r="AA531" s="1" t="n">
        <f aca="false">N(AA530)+$Z531</f>
        <v>30</v>
      </c>
      <c r="AB531" s="1" t="n">
        <f aca="false">IF(AND($M531=1,LEFT(对接源_01水果!$D531,4)="原料出库"),1,0)</f>
        <v>0</v>
      </c>
      <c r="AC531" s="1" t="n">
        <f aca="false">N(AC530)+$AB531</f>
        <v>19</v>
      </c>
      <c r="AD531" s="1" t="n">
        <f aca="false">IF(AND($M531=1,LEFT(对接源_01水果!$D531,4)="成品出库"),1,0)</f>
        <v>0</v>
      </c>
      <c r="AE531" s="1" t="n">
        <f aca="false">N(AE530)+$AD531</f>
        <v>38</v>
      </c>
      <c r="AF531" s="1" t="n">
        <f aca="false">IF(AND($N531=1,AND(LEFT(对接源_01水果!$D531,4)="包装物料",N(对接源_01水果!$K531)&lt;&gt;0)),1,0)</f>
        <v>0</v>
      </c>
      <c r="AG531" s="90" t="str">
        <f aca="false">IF(对接源_01水果!$AC531="","",对接源_01水果!$AC531)</f>
        <v/>
      </c>
      <c r="AH531" s="1" t="n">
        <f aca="false">IF(AND($N531=1,AND(LEFT(对接源_01水果!$D531,3)="周转筐",N(对接源_01水果!$K531)&lt;&gt;0)),1,0)</f>
        <v>0</v>
      </c>
      <c r="AI531" s="90" t="n">
        <f aca="false">IF(AG531="",0,IF(MATCH(AG531,$AG$4:$AG$1203,0)=ROW()-3,1,0))</f>
        <v>0</v>
      </c>
      <c r="AJ531" s="90" t="n">
        <f aca="false">N(AJ530)+AI531</f>
        <v>4</v>
      </c>
      <c r="AK531" s="1" t="n">
        <f aca="false">N(AK530)+$AJ531</f>
        <v>984</v>
      </c>
    </row>
    <row r="532" customFormat="false" ht="13.5" hidden="false" customHeight="false" outlineLevel="0" collapsed="false">
      <c r="A532" s="1" t="str">
        <f aca="false">IF(对接源_01水果!$C532="","",对接源_01水果!$C532)</f>
        <v/>
      </c>
      <c r="B532" s="1" t="n">
        <f aca="false">IF(A532="",0,IF(MATCH(A532,$A$4:$A$2403,0)=ROW()-3,1,0))</f>
        <v>0</v>
      </c>
      <c r="C532" s="1" t="n">
        <f aca="false">N(C531)+B532</f>
        <v>13</v>
      </c>
      <c r="K532" s="1" t="n">
        <f aca="false">IF(OR($K$1="",对接源_01水果!$C532="",对接源_01水果!$C532&lt;&gt;$K$1,对接源_01水果!$B532=""),0,IF(OR(N(对接源_01水果!$B532)&lt;$K$2,N(对接源_01水果!$B532)&gt;$K$3),0,1))</f>
        <v>0</v>
      </c>
      <c r="L532" s="1" t="n">
        <f aca="false">IF(OR($L$1="",对接源_01水果!$C532="",对接源_01水果!$C532&lt;&gt;$L$1,对接源_01水果!$B532=""),0,IF(OR(N(对接源_01水果!$B532)&lt;$L$2,N(对接源_01水果!$B532)&gt;$L$3),0,1))</f>
        <v>0</v>
      </c>
      <c r="M532" s="1" t="n">
        <f aca="false">IF(OR($M$1="",对接源_01水果!$C532="",对接源_01水果!$C532&lt;&gt;$M$1,对接源_01水果!$B532=""),0,IF(OR(N(对接源_01水果!$B532)&lt;$M$2,N(对接源_01水果!$B532)&gt;$M$3),0,1))</f>
        <v>0</v>
      </c>
      <c r="N532" s="1" t="n">
        <f aca="false">IF(OR($N$1="",对接源_01水果!$C532="",对接源_01水果!$C532&lt;&gt;$N$1,对接源_01水果!$B532=""),0,IF(OR(N(对接源_01水果!$B532)&lt;$N$2,N(对接源_01水果!$B532)&gt;$N$3),0,1))</f>
        <v>0</v>
      </c>
      <c r="P532" s="1" t="n">
        <f aca="false">IF(AND($K532=1,AND(对接源_01水果!$X532="公司筐",N(对接源_01水果!$T532)&lt;&gt;0)),1,0)</f>
        <v>0</v>
      </c>
      <c r="Q532" s="1" t="n">
        <f aca="false">N(Q531)+$P532</f>
        <v>3</v>
      </c>
      <c r="R532" s="1" t="n">
        <f aca="false">IF(AND($K532=1,AND(对接源_01水果!$X532="公司筐",N(对接源_01水果!$U532)&lt;&gt;0)),1,0)</f>
        <v>0</v>
      </c>
      <c r="S532" s="1" t="n">
        <f aca="false">N(S531)+$R532</f>
        <v>0</v>
      </c>
      <c r="T532" s="1" t="n">
        <f aca="false">IF(AND($K532=1,AND(对接源_01水果!$X532="公司筐",N(对接源_01水果!$V532)&lt;&gt;0)),1,0)</f>
        <v>0</v>
      </c>
      <c r="U532" s="1" t="n">
        <f aca="false">N(U531)+$T532</f>
        <v>28</v>
      </c>
      <c r="V532" s="1" t="n">
        <f aca="false">IF(AND($L532=1,AND(对接源_01水果!$X532="自备筐",N(对接源_01水果!$V532)&lt;&gt;0)),1,0)</f>
        <v>0</v>
      </c>
      <c r="W532" s="1" t="n">
        <f aca="false">N(W531)+$V532</f>
        <v>7</v>
      </c>
      <c r="X532" s="1" t="n">
        <f aca="false">IF(AND($L532=1,AND(对接源_01水果!$X532="自备筐",N(对接源_01水果!$T532)&lt;&gt;0)),1,0)</f>
        <v>0</v>
      </c>
      <c r="Y532" s="1" t="n">
        <f aca="false">N(Y531)+$X532</f>
        <v>0</v>
      </c>
      <c r="Z532" s="1" t="n">
        <f aca="false">IF(AND($M532=1,对接源_01水果!$D532="原料入库"),1,0)</f>
        <v>0</v>
      </c>
      <c r="AA532" s="1" t="n">
        <f aca="false">N(AA531)+$Z532</f>
        <v>30</v>
      </c>
      <c r="AB532" s="1" t="n">
        <f aca="false">IF(AND($M532=1,LEFT(对接源_01水果!$D532,4)="原料出库"),1,0)</f>
        <v>0</v>
      </c>
      <c r="AC532" s="1" t="n">
        <f aca="false">N(AC531)+$AB532</f>
        <v>19</v>
      </c>
      <c r="AD532" s="1" t="n">
        <f aca="false">IF(AND($M532=1,LEFT(对接源_01水果!$D532,4)="成品出库"),1,0)</f>
        <v>0</v>
      </c>
      <c r="AE532" s="1" t="n">
        <f aca="false">N(AE531)+$AD532</f>
        <v>38</v>
      </c>
      <c r="AF532" s="1" t="n">
        <f aca="false">IF(AND($N532=1,AND(LEFT(对接源_01水果!$D532,4)="包装物料",N(对接源_01水果!$K532)&lt;&gt;0)),1,0)</f>
        <v>0</v>
      </c>
      <c r="AG532" s="90" t="str">
        <f aca="false">IF(对接源_01水果!$AC532="","",对接源_01水果!$AC532)</f>
        <v/>
      </c>
      <c r="AH532" s="1" t="n">
        <f aca="false">IF(AND($N532=1,AND(LEFT(对接源_01水果!$D532,3)="周转筐",N(对接源_01水果!$K532)&lt;&gt;0)),1,0)</f>
        <v>0</v>
      </c>
      <c r="AI532" s="90" t="n">
        <f aca="false">IF(AG532="",0,IF(MATCH(AG532,$AG$4:$AG$1203,0)=ROW()-3,1,0))</f>
        <v>0</v>
      </c>
      <c r="AJ532" s="90" t="n">
        <f aca="false">N(AJ531)+AI532</f>
        <v>4</v>
      </c>
      <c r="AK532" s="1" t="n">
        <f aca="false">N(AK531)+$AJ532</f>
        <v>988</v>
      </c>
    </row>
    <row r="533" customFormat="false" ht="13.5" hidden="false" customHeight="false" outlineLevel="0" collapsed="false">
      <c r="A533" s="1" t="str">
        <f aca="false">IF(对接源_01水果!$C533="","",对接源_01水果!$C533)</f>
        <v/>
      </c>
      <c r="B533" s="1" t="n">
        <f aca="false">IF(A533="",0,IF(MATCH(A533,$A$4:$A$2403,0)=ROW()-3,1,0))</f>
        <v>0</v>
      </c>
      <c r="C533" s="1" t="n">
        <f aca="false">N(C532)+B533</f>
        <v>13</v>
      </c>
      <c r="K533" s="1" t="n">
        <f aca="false">IF(OR($K$1="",对接源_01水果!$C533="",对接源_01水果!$C533&lt;&gt;$K$1,对接源_01水果!$B533=""),0,IF(OR(N(对接源_01水果!$B533)&lt;$K$2,N(对接源_01水果!$B533)&gt;$K$3),0,1))</f>
        <v>0</v>
      </c>
      <c r="L533" s="1" t="n">
        <f aca="false">IF(OR($L$1="",对接源_01水果!$C533="",对接源_01水果!$C533&lt;&gt;$L$1,对接源_01水果!$B533=""),0,IF(OR(N(对接源_01水果!$B533)&lt;$L$2,N(对接源_01水果!$B533)&gt;$L$3),0,1))</f>
        <v>0</v>
      </c>
      <c r="M533" s="1" t="n">
        <f aca="false">IF(OR($M$1="",对接源_01水果!$C533="",对接源_01水果!$C533&lt;&gt;$M$1,对接源_01水果!$B533=""),0,IF(OR(N(对接源_01水果!$B533)&lt;$M$2,N(对接源_01水果!$B533)&gt;$M$3),0,1))</f>
        <v>0</v>
      </c>
      <c r="N533" s="1" t="n">
        <f aca="false">IF(OR($N$1="",对接源_01水果!$C533="",对接源_01水果!$C533&lt;&gt;$N$1,对接源_01水果!$B533=""),0,IF(OR(N(对接源_01水果!$B533)&lt;$N$2,N(对接源_01水果!$B533)&gt;$N$3),0,1))</f>
        <v>0</v>
      </c>
      <c r="P533" s="1" t="n">
        <f aca="false">IF(AND($K533=1,AND(对接源_01水果!$X533="公司筐",N(对接源_01水果!$T533)&lt;&gt;0)),1,0)</f>
        <v>0</v>
      </c>
      <c r="Q533" s="1" t="n">
        <f aca="false">N(Q532)+$P533</f>
        <v>3</v>
      </c>
      <c r="R533" s="1" t="n">
        <f aca="false">IF(AND($K533=1,AND(对接源_01水果!$X533="公司筐",N(对接源_01水果!$U533)&lt;&gt;0)),1,0)</f>
        <v>0</v>
      </c>
      <c r="S533" s="1" t="n">
        <f aca="false">N(S532)+$R533</f>
        <v>0</v>
      </c>
      <c r="T533" s="1" t="n">
        <f aca="false">IF(AND($K533=1,AND(对接源_01水果!$X533="公司筐",N(对接源_01水果!$V533)&lt;&gt;0)),1,0)</f>
        <v>0</v>
      </c>
      <c r="U533" s="1" t="n">
        <f aca="false">N(U532)+$T533</f>
        <v>28</v>
      </c>
      <c r="V533" s="1" t="n">
        <f aca="false">IF(AND($L533=1,AND(对接源_01水果!$X533="自备筐",N(对接源_01水果!$V533)&lt;&gt;0)),1,0)</f>
        <v>0</v>
      </c>
      <c r="W533" s="1" t="n">
        <f aca="false">N(W532)+$V533</f>
        <v>7</v>
      </c>
      <c r="X533" s="1" t="n">
        <f aca="false">IF(AND($L533=1,AND(对接源_01水果!$X533="自备筐",N(对接源_01水果!$T533)&lt;&gt;0)),1,0)</f>
        <v>0</v>
      </c>
      <c r="Y533" s="1" t="n">
        <f aca="false">N(Y532)+$X533</f>
        <v>0</v>
      </c>
      <c r="Z533" s="1" t="n">
        <f aca="false">IF(AND($M533=1,对接源_01水果!$D533="原料入库"),1,0)</f>
        <v>0</v>
      </c>
      <c r="AA533" s="1" t="n">
        <f aca="false">N(AA532)+$Z533</f>
        <v>30</v>
      </c>
      <c r="AB533" s="1" t="n">
        <f aca="false">IF(AND($M533=1,LEFT(对接源_01水果!$D533,4)="原料出库"),1,0)</f>
        <v>0</v>
      </c>
      <c r="AC533" s="1" t="n">
        <f aca="false">N(AC532)+$AB533</f>
        <v>19</v>
      </c>
      <c r="AD533" s="1" t="n">
        <f aca="false">IF(AND($M533=1,LEFT(对接源_01水果!$D533,4)="成品出库"),1,0)</f>
        <v>0</v>
      </c>
      <c r="AE533" s="1" t="n">
        <f aca="false">N(AE532)+$AD533</f>
        <v>38</v>
      </c>
      <c r="AF533" s="1" t="n">
        <f aca="false">IF(AND($N533=1,AND(LEFT(对接源_01水果!$D533,4)="包装物料",N(对接源_01水果!$K533)&lt;&gt;0)),1,0)</f>
        <v>0</v>
      </c>
      <c r="AG533" s="90" t="str">
        <f aca="false">IF(对接源_01水果!$AC533="","",对接源_01水果!$AC533)</f>
        <v/>
      </c>
      <c r="AH533" s="1" t="n">
        <f aca="false">IF(AND($N533=1,AND(LEFT(对接源_01水果!$D533,3)="周转筐",N(对接源_01水果!$K533)&lt;&gt;0)),1,0)</f>
        <v>0</v>
      </c>
      <c r="AI533" s="90" t="n">
        <f aca="false">IF(AG533="",0,IF(MATCH(AG533,$AG$4:$AG$1203,0)=ROW()-3,1,0))</f>
        <v>0</v>
      </c>
      <c r="AJ533" s="90" t="n">
        <f aca="false">N(AJ532)+AI533</f>
        <v>4</v>
      </c>
      <c r="AK533" s="1" t="n">
        <f aca="false">N(AK532)+$AJ533</f>
        <v>992</v>
      </c>
    </row>
    <row r="534" customFormat="false" ht="13.5" hidden="false" customHeight="false" outlineLevel="0" collapsed="false">
      <c r="A534" s="1" t="str">
        <f aca="false">IF(对接源_01水果!$C534="","",对接源_01水果!$C534)</f>
        <v/>
      </c>
      <c r="B534" s="1" t="n">
        <f aca="false">IF(A534="",0,IF(MATCH(A534,$A$4:$A$2403,0)=ROW()-3,1,0))</f>
        <v>0</v>
      </c>
      <c r="C534" s="1" t="n">
        <f aca="false">N(C533)+B534</f>
        <v>13</v>
      </c>
      <c r="K534" s="1" t="n">
        <f aca="false">IF(OR($K$1="",对接源_01水果!$C534="",对接源_01水果!$C534&lt;&gt;$K$1,对接源_01水果!$B534=""),0,IF(OR(N(对接源_01水果!$B534)&lt;$K$2,N(对接源_01水果!$B534)&gt;$K$3),0,1))</f>
        <v>0</v>
      </c>
      <c r="L534" s="1" t="n">
        <f aca="false">IF(OR($L$1="",对接源_01水果!$C534="",对接源_01水果!$C534&lt;&gt;$L$1,对接源_01水果!$B534=""),0,IF(OR(N(对接源_01水果!$B534)&lt;$L$2,N(对接源_01水果!$B534)&gt;$L$3),0,1))</f>
        <v>0</v>
      </c>
      <c r="M534" s="1" t="n">
        <f aca="false">IF(OR($M$1="",对接源_01水果!$C534="",对接源_01水果!$C534&lt;&gt;$M$1,对接源_01水果!$B534=""),0,IF(OR(N(对接源_01水果!$B534)&lt;$M$2,N(对接源_01水果!$B534)&gt;$M$3),0,1))</f>
        <v>0</v>
      </c>
      <c r="N534" s="1" t="n">
        <f aca="false">IF(OR($N$1="",对接源_01水果!$C534="",对接源_01水果!$C534&lt;&gt;$N$1,对接源_01水果!$B534=""),0,IF(OR(N(对接源_01水果!$B534)&lt;$N$2,N(对接源_01水果!$B534)&gt;$N$3),0,1))</f>
        <v>0</v>
      </c>
      <c r="P534" s="1" t="n">
        <f aca="false">IF(AND($K534=1,AND(对接源_01水果!$X534="公司筐",N(对接源_01水果!$T534)&lt;&gt;0)),1,0)</f>
        <v>0</v>
      </c>
      <c r="Q534" s="1" t="n">
        <f aca="false">N(Q533)+$P534</f>
        <v>3</v>
      </c>
      <c r="R534" s="1" t="n">
        <f aca="false">IF(AND($K534=1,AND(对接源_01水果!$X534="公司筐",N(对接源_01水果!$U534)&lt;&gt;0)),1,0)</f>
        <v>0</v>
      </c>
      <c r="S534" s="1" t="n">
        <f aca="false">N(S533)+$R534</f>
        <v>0</v>
      </c>
      <c r="T534" s="1" t="n">
        <f aca="false">IF(AND($K534=1,AND(对接源_01水果!$X534="公司筐",N(对接源_01水果!$V534)&lt;&gt;0)),1,0)</f>
        <v>0</v>
      </c>
      <c r="U534" s="1" t="n">
        <f aca="false">N(U533)+$T534</f>
        <v>28</v>
      </c>
      <c r="V534" s="1" t="n">
        <f aca="false">IF(AND($L534=1,AND(对接源_01水果!$X534="自备筐",N(对接源_01水果!$V534)&lt;&gt;0)),1,0)</f>
        <v>0</v>
      </c>
      <c r="W534" s="1" t="n">
        <f aca="false">N(W533)+$V534</f>
        <v>7</v>
      </c>
      <c r="X534" s="1" t="n">
        <f aca="false">IF(AND($L534=1,AND(对接源_01水果!$X534="自备筐",N(对接源_01水果!$T534)&lt;&gt;0)),1,0)</f>
        <v>0</v>
      </c>
      <c r="Y534" s="1" t="n">
        <f aca="false">N(Y533)+$X534</f>
        <v>0</v>
      </c>
      <c r="Z534" s="1" t="n">
        <f aca="false">IF(AND($M534=1,对接源_01水果!$D534="原料入库"),1,0)</f>
        <v>0</v>
      </c>
      <c r="AA534" s="1" t="n">
        <f aca="false">N(AA533)+$Z534</f>
        <v>30</v>
      </c>
      <c r="AB534" s="1" t="n">
        <f aca="false">IF(AND($M534=1,LEFT(对接源_01水果!$D534,4)="原料出库"),1,0)</f>
        <v>0</v>
      </c>
      <c r="AC534" s="1" t="n">
        <f aca="false">N(AC533)+$AB534</f>
        <v>19</v>
      </c>
      <c r="AD534" s="1" t="n">
        <f aca="false">IF(AND($M534=1,LEFT(对接源_01水果!$D534,4)="成品出库"),1,0)</f>
        <v>0</v>
      </c>
      <c r="AE534" s="1" t="n">
        <f aca="false">N(AE533)+$AD534</f>
        <v>38</v>
      </c>
      <c r="AF534" s="1" t="n">
        <f aca="false">IF(AND($N534=1,AND(LEFT(对接源_01水果!$D534,4)="包装物料",N(对接源_01水果!$K534)&lt;&gt;0)),1,0)</f>
        <v>0</v>
      </c>
      <c r="AG534" s="90" t="str">
        <f aca="false">IF(对接源_01水果!$AC534="","",对接源_01水果!$AC534)</f>
        <v/>
      </c>
      <c r="AH534" s="1" t="n">
        <f aca="false">IF(AND($N534=1,AND(LEFT(对接源_01水果!$D534,3)="周转筐",N(对接源_01水果!$K534)&lt;&gt;0)),1,0)</f>
        <v>0</v>
      </c>
      <c r="AI534" s="90" t="n">
        <f aca="false">IF(AG534="",0,IF(MATCH(AG534,$AG$4:$AG$1203,0)=ROW()-3,1,0))</f>
        <v>0</v>
      </c>
      <c r="AJ534" s="90" t="n">
        <f aca="false">N(AJ533)+AI534</f>
        <v>4</v>
      </c>
      <c r="AK534" s="1" t="n">
        <f aca="false">N(AK533)+$AJ534</f>
        <v>996</v>
      </c>
    </row>
    <row r="535" customFormat="false" ht="13.5" hidden="false" customHeight="false" outlineLevel="0" collapsed="false">
      <c r="A535" s="1" t="str">
        <f aca="false">IF(对接源_01水果!$C535="","",对接源_01水果!$C535)</f>
        <v/>
      </c>
      <c r="B535" s="1" t="n">
        <f aca="false">IF(A535="",0,IF(MATCH(A535,$A$4:$A$2403,0)=ROW()-3,1,0))</f>
        <v>0</v>
      </c>
      <c r="C535" s="1" t="n">
        <f aca="false">N(C534)+B535</f>
        <v>13</v>
      </c>
      <c r="K535" s="1" t="n">
        <f aca="false">IF(OR($K$1="",对接源_01水果!$C535="",对接源_01水果!$C535&lt;&gt;$K$1,对接源_01水果!$B535=""),0,IF(OR(N(对接源_01水果!$B535)&lt;$K$2,N(对接源_01水果!$B535)&gt;$K$3),0,1))</f>
        <v>0</v>
      </c>
      <c r="L535" s="1" t="n">
        <f aca="false">IF(OR($L$1="",对接源_01水果!$C535="",对接源_01水果!$C535&lt;&gt;$L$1,对接源_01水果!$B535=""),0,IF(OR(N(对接源_01水果!$B535)&lt;$L$2,N(对接源_01水果!$B535)&gt;$L$3),0,1))</f>
        <v>0</v>
      </c>
      <c r="M535" s="1" t="n">
        <f aca="false">IF(OR($M$1="",对接源_01水果!$C535="",对接源_01水果!$C535&lt;&gt;$M$1,对接源_01水果!$B535=""),0,IF(OR(N(对接源_01水果!$B535)&lt;$M$2,N(对接源_01水果!$B535)&gt;$M$3),0,1))</f>
        <v>0</v>
      </c>
      <c r="N535" s="1" t="n">
        <f aca="false">IF(OR($N$1="",对接源_01水果!$C535="",对接源_01水果!$C535&lt;&gt;$N$1,对接源_01水果!$B535=""),0,IF(OR(N(对接源_01水果!$B535)&lt;$N$2,N(对接源_01水果!$B535)&gt;$N$3),0,1))</f>
        <v>0</v>
      </c>
      <c r="P535" s="1" t="n">
        <f aca="false">IF(AND($K535=1,AND(对接源_01水果!$X535="公司筐",N(对接源_01水果!$T535)&lt;&gt;0)),1,0)</f>
        <v>0</v>
      </c>
      <c r="Q535" s="1" t="n">
        <f aca="false">N(Q534)+$P535</f>
        <v>3</v>
      </c>
      <c r="R535" s="1" t="n">
        <f aca="false">IF(AND($K535=1,AND(对接源_01水果!$X535="公司筐",N(对接源_01水果!$U535)&lt;&gt;0)),1,0)</f>
        <v>0</v>
      </c>
      <c r="S535" s="1" t="n">
        <f aca="false">N(S534)+$R535</f>
        <v>0</v>
      </c>
      <c r="T535" s="1" t="n">
        <f aca="false">IF(AND($K535=1,AND(对接源_01水果!$X535="公司筐",N(对接源_01水果!$V535)&lt;&gt;0)),1,0)</f>
        <v>0</v>
      </c>
      <c r="U535" s="1" t="n">
        <f aca="false">N(U534)+$T535</f>
        <v>28</v>
      </c>
      <c r="V535" s="1" t="n">
        <f aca="false">IF(AND($L535=1,AND(对接源_01水果!$X535="自备筐",N(对接源_01水果!$V535)&lt;&gt;0)),1,0)</f>
        <v>0</v>
      </c>
      <c r="W535" s="1" t="n">
        <f aca="false">N(W534)+$V535</f>
        <v>7</v>
      </c>
      <c r="X535" s="1" t="n">
        <f aca="false">IF(AND($L535=1,AND(对接源_01水果!$X535="自备筐",N(对接源_01水果!$T535)&lt;&gt;0)),1,0)</f>
        <v>0</v>
      </c>
      <c r="Y535" s="1" t="n">
        <f aca="false">N(Y534)+$X535</f>
        <v>0</v>
      </c>
      <c r="Z535" s="1" t="n">
        <f aca="false">IF(AND($M535=1,对接源_01水果!$D535="原料入库"),1,0)</f>
        <v>0</v>
      </c>
      <c r="AA535" s="1" t="n">
        <f aca="false">N(AA534)+$Z535</f>
        <v>30</v>
      </c>
      <c r="AB535" s="1" t="n">
        <f aca="false">IF(AND($M535=1,LEFT(对接源_01水果!$D535,4)="原料出库"),1,0)</f>
        <v>0</v>
      </c>
      <c r="AC535" s="1" t="n">
        <f aca="false">N(AC534)+$AB535</f>
        <v>19</v>
      </c>
      <c r="AD535" s="1" t="n">
        <f aca="false">IF(AND($M535=1,LEFT(对接源_01水果!$D535,4)="成品出库"),1,0)</f>
        <v>0</v>
      </c>
      <c r="AE535" s="1" t="n">
        <f aca="false">N(AE534)+$AD535</f>
        <v>38</v>
      </c>
      <c r="AF535" s="1" t="n">
        <f aca="false">IF(AND($N535=1,AND(LEFT(对接源_01水果!$D535,4)="包装物料",N(对接源_01水果!$K535)&lt;&gt;0)),1,0)</f>
        <v>0</v>
      </c>
      <c r="AG535" s="90" t="str">
        <f aca="false">IF(对接源_01水果!$AC535="","",对接源_01水果!$AC535)</f>
        <v/>
      </c>
      <c r="AH535" s="1" t="n">
        <f aca="false">IF(AND($N535=1,AND(LEFT(对接源_01水果!$D535,3)="周转筐",N(对接源_01水果!$K535)&lt;&gt;0)),1,0)</f>
        <v>0</v>
      </c>
      <c r="AI535" s="90" t="n">
        <f aca="false">IF(AG535="",0,IF(MATCH(AG535,$AG$4:$AG$1203,0)=ROW()-3,1,0))</f>
        <v>0</v>
      </c>
      <c r="AJ535" s="90" t="n">
        <f aca="false">N(AJ534)+AI535</f>
        <v>4</v>
      </c>
      <c r="AK535" s="1" t="n">
        <f aca="false">N(AK534)+$AJ535</f>
        <v>1000</v>
      </c>
    </row>
    <row r="536" customFormat="false" ht="13.5" hidden="false" customHeight="false" outlineLevel="0" collapsed="false">
      <c r="A536" s="1" t="str">
        <f aca="false">IF(对接源_01水果!$C536="","",对接源_01水果!$C536)</f>
        <v/>
      </c>
      <c r="B536" s="1" t="n">
        <f aca="false">IF(A536="",0,IF(MATCH(A536,$A$4:$A$2403,0)=ROW()-3,1,0))</f>
        <v>0</v>
      </c>
      <c r="C536" s="1" t="n">
        <f aca="false">N(C535)+B536</f>
        <v>13</v>
      </c>
      <c r="K536" s="1" t="n">
        <f aca="false">IF(OR($K$1="",对接源_01水果!$C536="",对接源_01水果!$C536&lt;&gt;$K$1,对接源_01水果!$B536=""),0,IF(OR(N(对接源_01水果!$B536)&lt;$K$2,N(对接源_01水果!$B536)&gt;$K$3),0,1))</f>
        <v>0</v>
      </c>
      <c r="L536" s="1" t="n">
        <f aca="false">IF(OR($L$1="",对接源_01水果!$C536="",对接源_01水果!$C536&lt;&gt;$L$1,对接源_01水果!$B536=""),0,IF(OR(N(对接源_01水果!$B536)&lt;$L$2,N(对接源_01水果!$B536)&gt;$L$3),0,1))</f>
        <v>0</v>
      </c>
      <c r="M536" s="1" t="n">
        <f aca="false">IF(OR($M$1="",对接源_01水果!$C536="",对接源_01水果!$C536&lt;&gt;$M$1,对接源_01水果!$B536=""),0,IF(OR(N(对接源_01水果!$B536)&lt;$M$2,N(对接源_01水果!$B536)&gt;$M$3),0,1))</f>
        <v>0</v>
      </c>
      <c r="N536" s="1" t="n">
        <f aca="false">IF(OR($N$1="",对接源_01水果!$C536="",对接源_01水果!$C536&lt;&gt;$N$1,对接源_01水果!$B536=""),0,IF(OR(N(对接源_01水果!$B536)&lt;$N$2,N(对接源_01水果!$B536)&gt;$N$3),0,1))</f>
        <v>0</v>
      </c>
      <c r="P536" s="1" t="n">
        <f aca="false">IF(AND($K536=1,AND(对接源_01水果!$X536="公司筐",N(对接源_01水果!$T536)&lt;&gt;0)),1,0)</f>
        <v>0</v>
      </c>
      <c r="Q536" s="1" t="n">
        <f aca="false">N(Q535)+$P536</f>
        <v>3</v>
      </c>
      <c r="R536" s="1" t="n">
        <f aca="false">IF(AND($K536=1,AND(对接源_01水果!$X536="公司筐",N(对接源_01水果!$U536)&lt;&gt;0)),1,0)</f>
        <v>0</v>
      </c>
      <c r="S536" s="1" t="n">
        <f aca="false">N(S535)+$R536</f>
        <v>0</v>
      </c>
      <c r="T536" s="1" t="n">
        <f aca="false">IF(AND($K536=1,AND(对接源_01水果!$X536="公司筐",N(对接源_01水果!$V536)&lt;&gt;0)),1,0)</f>
        <v>0</v>
      </c>
      <c r="U536" s="1" t="n">
        <f aca="false">N(U535)+$T536</f>
        <v>28</v>
      </c>
      <c r="V536" s="1" t="n">
        <f aca="false">IF(AND($L536=1,AND(对接源_01水果!$X536="自备筐",N(对接源_01水果!$V536)&lt;&gt;0)),1,0)</f>
        <v>0</v>
      </c>
      <c r="W536" s="1" t="n">
        <f aca="false">N(W535)+$V536</f>
        <v>7</v>
      </c>
      <c r="X536" s="1" t="n">
        <f aca="false">IF(AND($L536=1,AND(对接源_01水果!$X536="自备筐",N(对接源_01水果!$T536)&lt;&gt;0)),1,0)</f>
        <v>0</v>
      </c>
      <c r="Y536" s="1" t="n">
        <f aca="false">N(Y535)+$X536</f>
        <v>0</v>
      </c>
      <c r="Z536" s="1" t="n">
        <f aca="false">IF(AND($M536=1,对接源_01水果!$D536="原料入库"),1,0)</f>
        <v>0</v>
      </c>
      <c r="AA536" s="1" t="n">
        <f aca="false">N(AA535)+$Z536</f>
        <v>30</v>
      </c>
      <c r="AB536" s="1" t="n">
        <f aca="false">IF(AND($M536=1,LEFT(对接源_01水果!$D536,4)="原料出库"),1,0)</f>
        <v>0</v>
      </c>
      <c r="AC536" s="1" t="n">
        <f aca="false">N(AC535)+$AB536</f>
        <v>19</v>
      </c>
      <c r="AD536" s="1" t="n">
        <f aca="false">IF(AND($M536=1,LEFT(对接源_01水果!$D536,4)="成品出库"),1,0)</f>
        <v>0</v>
      </c>
      <c r="AE536" s="1" t="n">
        <f aca="false">N(AE535)+$AD536</f>
        <v>38</v>
      </c>
      <c r="AF536" s="1" t="n">
        <f aca="false">IF(AND($N536=1,AND(LEFT(对接源_01水果!$D536,4)="包装物料",N(对接源_01水果!$K536)&lt;&gt;0)),1,0)</f>
        <v>0</v>
      </c>
      <c r="AG536" s="90" t="str">
        <f aca="false">IF(对接源_01水果!$AC536="","",对接源_01水果!$AC536)</f>
        <v/>
      </c>
      <c r="AH536" s="1" t="n">
        <f aca="false">IF(AND($N536=1,AND(LEFT(对接源_01水果!$D536,3)="周转筐",N(对接源_01水果!$K536)&lt;&gt;0)),1,0)</f>
        <v>0</v>
      </c>
      <c r="AI536" s="90" t="n">
        <f aca="false">IF(AG536="",0,IF(MATCH(AG536,$AG$4:$AG$1203,0)=ROW()-3,1,0))</f>
        <v>0</v>
      </c>
      <c r="AJ536" s="90" t="n">
        <f aca="false">N(AJ535)+AI536</f>
        <v>4</v>
      </c>
      <c r="AK536" s="1" t="n">
        <f aca="false">N(AK535)+$AJ536</f>
        <v>1004</v>
      </c>
    </row>
    <row r="537" customFormat="false" ht="13.5" hidden="false" customHeight="false" outlineLevel="0" collapsed="false">
      <c r="A537" s="1" t="str">
        <f aca="false">IF(对接源_01水果!$C537="","",对接源_01水果!$C537)</f>
        <v/>
      </c>
      <c r="B537" s="1" t="n">
        <f aca="false">IF(A537="",0,IF(MATCH(A537,$A$4:$A$2403,0)=ROW()-3,1,0))</f>
        <v>0</v>
      </c>
      <c r="C537" s="1" t="n">
        <f aca="false">N(C536)+B537</f>
        <v>13</v>
      </c>
      <c r="K537" s="1" t="n">
        <f aca="false">IF(OR($K$1="",对接源_01水果!$C537="",对接源_01水果!$C537&lt;&gt;$K$1,对接源_01水果!$B537=""),0,IF(OR(N(对接源_01水果!$B537)&lt;$K$2,N(对接源_01水果!$B537)&gt;$K$3),0,1))</f>
        <v>0</v>
      </c>
      <c r="L537" s="1" t="n">
        <f aca="false">IF(OR($L$1="",对接源_01水果!$C537="",对接源_01水果!$C537&lt;&gt;$L$1,对接源_01水果!$B537=""),0,IF(OR(N(对接源_01水果!$B537)&lt;$L$2,N(对接源_01水果!$B537)&gt;$L$3),0,1))</f>
        <v>0</v>
      </c>
      <c r="M537" s="1" t="n">
        <f aca="false">IF(OR($M$1="",对接源_01水果!$C537="",对接源_01水果!$C537&lt;&gt;$M$1,对接源_01水果!$B537=""),0,IF(OR(N(对接源_01水果!$B537)&lt;$M$2,N(对接源_01水果!$B537)&gt;$M$3),0,1))</f>
        <v>0</v>
      </c>
      <c r="N537" s="1" t="n">
        <f aca="false">IF(OR($N$1="",对接源_01水果!$C537="",对接源_01水果!$C537&lt;&gt;$N$1,对接源_01水果!$B537=""),0,IF(OR(N(对接源_01水果!$B537)&lt;$N$2,N(对接源_01水果!$B537)&gt;$N$3),0,1))</f>
        <v>0</v>
      </c>
      <c r="P537" s="1" t="n">
        <f aca="false">IF(AND($K537=1,AND(对接源_01水果!$X537="公司筐",N(对接源_01水果!$T537)&lt;&gt;0)),1,0)</f>
        <v>0</v>
      </c>
      <c r="Q537" s="1" t="n">
        <f aca="false">N(Q536)+$P537</f>
        <v>3</v>
      </c>
      <c r="R537" s="1" t="n">
        <f aca="false">IF(AND($K537=1,AND(对接源_01水果!$X537="公司筐",N(对接源_01水果!$U537)&lt;&gt;0)),1,0)</f>
        <v>0</v>
      </c>
      <c r="S537" s="1" t="n">
        <f aca="false">N(S536)+$R537</f>
        <v>0</v>
      </c>
      <c r="T537" s="1" t="n">
        <f aca="false">IF(AND($K537=1,AND(对接源_01水果!$X537="公司筐",N(对接源_01水果!$V537)&lt;&gt;0)),1,0)</f>
        <v>0</v>
      </c>
      <c r="U537" s="1" t="n">
        <f aca="false">N(U536)+$T537</f>
        <v>28</v>
      </c>
      <c r="V537" s="1" t="n">
        <f aca="false">IF(AND($L537=1,AND(对接源_01水果!$X537="自备筐",N(对接源_01水果!$V537)&lt;&gt;0)),1,0)</f>
        <v>0</v>
      </c>
      <c r="W537" s="1" t="n">
        <f aca="false">N(W536)+$V537</f>
        <v>7</v>
      </c>
      <c r="X537" s="1" t="n">
        <f aca="false">IF(AND($L537=1,AND(对接源_01水果!$X537="自备筐",N(对接源_01水果!$T537)&lt;&gt;0)),1,0)</f>
        <v>0</v>
      </c>
      <c r="Y537" s="1" t="n">
        <f aca="false">N(Y536)+$X537</f>
        <v>0</v>
      </c>
      <c r="Z537" s="1" t="n">
        <f aca="false">IF(AND($M537=1,对接源_01水果!$D537="原料入库"),1,0)</f>
        <v>0</v>
      </c>
      <c r="AA537" s="1" t="n">
        <f aca="false">N(AA536)+$Z537</f>
        <v>30</v>
      </c>
      <c r="AB537" s="1" t="n">
        <f aca="false">IF(AND($M537=1,LEFT(对接源_01水果!$D537,4)="原料出库"),1,0)</f>
        <v>0</v>
      </c>
      <c r="AC537" s="1" t="n">
        <f aca="false">N(AC536)+$AB537</f>
        <v>19</v>
      </c>
      <c r="AD537" s="1" t="n">
        <f aca="false">IF(AND($M537=1,LEFT(对接源_01水果!$D537,4)="成品出库"),1,0)</f>
        <v>0</v>
      </c>
      <c r="AE537" s="1" t="n">
        <f aca="false">N(AE536)+$AD537</f>
        <v>38</v>
      </c>
      <c r="AF537" s="1" t="n">
        <f aca="false">IF(AND($N537=1,AND(LEFT(对接源_01水果!$D537,4)="包装物料",N(对接源_01水果!$K537)&lt;&gt;0)),1,0)</f>
        <v>0</v>
      </c>
      <c r="AG537" s="90" t="str">
        <f aca="false">IF(对接源_01水果!$AC537="","",对接源_01水果!$AC537)</f>
        <v/>
      </c>
      <c r="AH537" s="1" t="n">
        <f aca="false">IF(AND($N537=1,AND(LEFT(对接源_01水果!$D537,3)="周转筐",N(对接源_01水果!$K537)&lt;&gt;0)),1,0)</f>
        <v>0</v>
      </c>
      <c r="AI537" s="90" t="n">
        <f aca="false">IF(AG537="",0,IF(MATCH(AG537,$AG$4:$AG$1203,0)=ROW()-3,1,0))</f>
        <v>0</v>
      </c>
      <c r="AJ537" s="90" t="n">
        <f aca="false">N(AJ536)+AI537</f>
        <v>4</v>
      </c>
      <c r="AK537" s="1" t="n">
        <f aca="false">N(AK536)+$AJ537</f>
        <v>1008</v>
      </c>
    </row>
    <row r="538" customFormat="false" ht="13.5" hidden="false" customHeight="false" outlineLevel="0" collapsed="false">
      <c r="A538" s="1" t="str">
        <f aca="false">IF(对接源_01水果!$C538="","",对接源_01水果!$C538)</f>
        <v/>
      </c>
      <c r="B538" s="1" t="n">
        <f aca="false">IF(A538="",0,IF(MATCH(A538,$A$4:$A$2403,0)=ROW()-3,1,0))</f>
        <v>0</v>
      </c>
      <c r="C538" s="1" t="n">
        <f aca="false">N(C537)+B538</f>
        <v>13</v>
      </c>
      <c r="K538" s="1" t="n">
        <f aca="false">IF(OR($K$1="",对接源_01水果!$C538="",对接源_01水果!$C538&lt;&gt;$K$1,对接源_01水果!$B538=""),0,IF(OR(N(对接源_01水果!$B538)&lt;$K$2,N(对接源_01水果!$B538)&gt;$K$3),0,1))</f>
        <v>0</v>
      </c>
      <c r="L538" s="1" t="n">
        <f aca="false">IF(OR($L$1="",对接源_01水果!$C538="",对接源_01水果!$C538&lt;&gt;$L$1,对接源_01水果!$B538=""),0,IF(OR(N(对接源_01水果!$B538)&lt;$L$2,N(对接源_01水果!$B538)&gt;$L$3),0,1))</f>
        <v>0</v>
      </c>
      <c r="M538" s="1" t="n">
        <f aca="false">IF(OR($M$1="",对接源_01水果!$C538="",对接源_01水果!$C538&lt;&gt;$M$1,对接源_01水果!$B538=""),0,IF(OR(N(对接源_01水果!$B538)&lt;$M$2,N(对接源_01水果!$B538)&gt;$M$3),0,1))</f>
        <v>0</v>
      </c>
      <c r="N538" s="1" t="n">
        <f aca="false">IF(OR($N$1="",对接源_01水果!$C538="",对接源_01水果!$C538&lt;&gt;$N$1,对接源_01水果!$B538=""),0,IF(OR(N(对接源_01水果!$B538)&lt;$N$2,N(对接源_01水果!$B538)&gt;$N$3),0,1))</f>
        <v>0</v>
      </c>
      <c r="P538" s="1" t="n">
        <f aca="false">IF(AND($K538=1,AND(对接源_01水果!$X538="公司筐",N(对接源_01水果!$T538)&lt;&gt;0)),1,0)</f>
        <v>0</v>
      </c>
      <c r="Q538" s="1" t="n">
        <f aca="false">N(Q537)+$P538</f>
        <v>3</v>
      </c>
      <c r="R538" s="1" t="n">
        <f aca="false">IF(AND($K538=1,AND(对接源_01水果!$X538="公司筐",N(对接源_01水果!$U538)&lt;&gt;0)),1,0)</f>
        <v>0</v>
      </c>
      <c r="S538" s="1" t="n">
        <f aca="false">N(S537)+$R538</f>
        <v>0</v>
      </c>
      <c r="T538" s="1" t="n">
        <f aca="false">IF(AND($K538=1,AND(对接源_01水果!$X538="公司筐",N(对接源_01水果!$V538)&lt;&gt;0)),1,0)</f>
        <v>0</v>
      </c>
      <c r="U538" s="1" t="n">
        <f aca="false">N(U537)+$T538</f>
        <v>28</v>
      </c>
      <c r="V538" s="1" t="n">
        <f aca="false">IF(AND($L538=1,AND(对接源_01水果!$X538="自备筐",N(对接源_01水果!$V538)&lt;&gt;0)),1,0)</f>
        <v>0</v>
      </c>
      <c r="W538" s="1" t="n">
        <f aca="false">N(W537)+$V538</f>
        <v>7</v>
      </c>
      <c r="X538" s="1" t="n">
        <f aca="false">IF(AND($L538=1,AND(对接源_01水果!$X538="自备筐",N(对接源_01水果!$T538)&lt;&gt;0)),1,0)</f>
        <v>0</v>
      </c>
      <c r="Y538" s="1" t="n">
        <f aca="false">N(Y537)+$X538</f>
        <v>0</v>
      </c>
      <c r="Z538" s="1" t="n">
        <f aca="false">IF(AND($M538=1,对接源_01水果!$D538="原料入库"),1,0)</f>
        <v>0</v>
      </c>
      <c r="AA538" s="1" t="n">
        <f aca="false">N(AA537)+$Z538</f>
        <v>30</v>
      </c>
      <c r="AB538" s="1" t="n">
        <f aca="false">IF(AND($M538=1,LEFT(对接源_01水果!$D538,4)="原料出库"),1,0)</f>
        <v>0</v>
      </c>
      <c r="AC538" s="1" t="n">
        <f aca="false">N(AC537)+$AB538</f>
        <v>19</v>
      </c>
      <c r="AD538" s="1" t="n">
        <f aca="false">IF(AND($M538=1,LEFT(对接源_01水果!$D538,4)="成品出库"),1,0)</f>
        <v>0</v>
      </c>
      <c r="AE538" s="1" t="n">
        <f aca="false">N(AE537)+$AD538</f>
        <v>38</v>
      </c>
      <c r="AF538" s="1" t="n">
        <f aca="false">IF(AND($N538=1,AND(LEFT(对接源_01水果!$D538,4)="包装物料",N(对接源_01水果!$K538)&lt;&gt;0)),1,0)</f>
        <v>0</v>
      </c>
      <c r="AG538" s="90" t="str">
        <f aca="false">IF(对接源_01水果!$AC538="","",对接源_01水果!$AC538)</f>
        <v/>
      </c>
      <c r="AH538" s="1" t="n">
        <f aca="false">IF(AND($N538=1,AND(LEFT(对接源_01水果!$D538,3)="周转筐",N(对接源_01水果!$K538)&lt;&gt;0)),1,0)</f>
        <v>0</v>
      </c>
      <c r="AI538" s="90" t="n">
        <f aca="false">IF(AG538="",0,IF(MATCH(AG538,$AG$4:$AG$1203,0)=ROW()-3,1,0))</f>
        <v>0</v>
      </c>
      <c r="AJ538" s="90" t="n">
        <f aca="false">N(AJ537)+AI538</f>
        <v>4</v>
      </c>
      <c r="AK538" s="1" t="n">
        <f aca="false">N(AK537)+$AJ538</f>
        <v>1012</v>
      </c>
    </row>
    <row r="539" customFormat="false" ht="13.5" hidden="false" customHeight="false" outlineLevel="0" collapsed="false">
      <c r="A539" s="1" t="str">
        <f aca="false">IF(对接源_01水果!$C539="","",对接源_01水果!$C539)</f>
        <v/>
      </c>
      <c r="B539" s="1" t="n">
        <f aca="false">IF(A539="",0,IF(MATCH(A539,$A$4:$A$2403,0)=ROW()-3,1,0))</f>
        <v>0</v>
      </c>
      <c r="C539" s="1" t="n">
        <f aca="false">N(C538)+B539</f>
        <v>13</v>
      </c>
      <c r="K539" s="1" t="n">
        <f aca="false">IF(OR($K$1="",对接源_01水果!$C539="",对接源_01水果!$C539&lt;&gt;$K$1,对接源_01水果!$B539=""),0,IF(OR(N(对接源_01水果!$B539)&lt;$K$2,N(对接源_01水果!$B539)&gt;$K$3),0,1))</f>
        <v>0</v>
      </c>
      <c r="L539" s="1" t="n">
        <f aca="false">IF(OR($L$1="",对接源_01水果!$C539="",对接源_01水果!$C539&lt;&gt;$L$1,对接源_01水果!$B539=""),0,IF(OR(N(对接源_01水果!$B539)&lt;$L$2,N(对接源_01水果!$B539)&gt;$L$3),0,1))</f>
        <v>0</v>
      </c>
      <c r="M539" s="1" t="n">
        <f aca="false">IF(OR($M$1="",对接源_01水果!$C539="",对接源_01水果!$C539&lt;&gt;$M$1,对接源_01水果!$B539=""),0,IF(OR(N(对接源_01水果!$B539)&lt;$M$2,N(对接源_01水果!$B539)&gt;$M$3),0,1))</f>
        <v>0</v>
      </c>
      <c r="N539" s="1" t="n">
        <f aca="false">IF(OR($N$1="",对接源_01水果!$C539="",对接源_01水果!$C539&lt;&gt;$N$1,对接源_01水果!$B539=""),0,IF(OR(N(对接源_01水果!$B539)&lt;$N$2,N(对接源_01水果!$B539)&gt;$N$3),0,1))</f>
        <v>0</v>
      </c>
      <c r="P539" s="1" t="n">
        <f aca="false">IF(AND($K539=1,AND(对接源_01水果!$X539="公司筐",N(对接源_01水果!$T539)&lt;&gt;0)),1,0)</f>
        <v>0</v>
      </c>
      <c r="Q539" s="1" t="n">
        <f aca="false">N(Q538)+$P539</f>
        <v>3</v>
      </c>
      <c r="R539" s="1" t="n">
        <f aca="false">IF(AND($K539=1,AND(对接源_01水果!$X539="公司筐",N(对接源_01水果!$U539)&lt;&gt;0)),1,0)</f>
        <v>0</v>
      </c>
      <c r="S539" s="1" t="n">
        <f aca="false">N(S538)+$R539</f>
        <v>0</v>
      </c>
      <c r="T539" s="1" t="n">
        <f aca="false">IF(AND($K539=1,AND(对接源_01水果!$X539="公司筐",N(对接源_01水果!$V539)&lt;&gt;0)),1,0)</f>
        <v>0</v>
      </c>
      <c r="U539" s="1" t="n">
        <f aca="false">N(U538)+$T539</f>
        <v>28</v>
      </c>
      <c r="V539" s="1" t="n">
        <f aca="false">IF(AND($L539=1,AND(对接源_01水果!$X539="自备筐",N(对接源_01水果!$V539)&lt;&gt;0)),1,0)</f>
        <v>0</v>
      </c>
      <c r="W539" s="1" t="n">
        <f aca="false">N(W538)+$V539</f>
        <v>7</v>
      </c>
      <c r="X539" s="1" t="n">
        <f aca="false">IF(AND($L539=1,AND(对接源_01水果!$X539="自备筐",N(对接源_01水果!$T539)&lt;&gt;0)),1,0)</f>
        <v>0</v>
      </c>
      <c r="Y539" s="1" t="n">
        <f aca="false">N(Y538)+$X539</f>
        <v>0</v>
      </c>
      <c r="Z539" s="1" t="n">
        <f aca="false">IF(AND($M539=1,对接源_01水果!$D539="原料入库"),1,0)</f>
        <v>0</v>
      </c>
      <c r="AA539" s="1" t="n">
        <f aca="false">N(AA538)+$Z539</f>
        <v>30</v>
      </c>
      <c r="AB539" s="1" t="n">
        <f aca="false">IF(AND($M539=1,LEFT(对接源_01水果!$D539,4)="原料出库"),1,0)</f>
        <v>0</v>
      </c>
      <c r="AC539" s="1" t="n">
        <f aca="false">N(AC538)+$AB539</f>
        <v>19</v>
      </c>
      <c r="AD539" s="1" t="n">
        <f aca="false">IF(AND($M539=1,LEFT(对接源_01水果!$D539,4)="成品出库"),1,0)</f>
        <v>0</v>
      </c>
      <c r="AE539" s="1" t="n">
        <f aca="false">N(AE538)+$AD539</f>
        <v>38</v>
      </c>
      <c r="AF539" s="1" t="n">
        <f aca="false">IF(AND($N539=1,AND(LEFT(对接源_01水果!$D539,4)="包装物料",N(对接源_01水果!$K539)&lt;&gt;0)),1,0)</f>
        <v>0</v>
      </c>
      <c r="AG539" s="90" t="str">
        <f aca="false">IF(对接源_01水果!$AC539="","",对接源_01水果!$AC539)</f>
        <v/>
      </c>
      <c r="AH539" s="1" t="n">
        <f aca="false">IF(AND($N539=1,AND(LEFT(对接源_01水果!$D539,3)="周转筐",N(对接源_01水果!$K539)&lt;&gt;0)),1,0)</f>
        <v>0</v>
      </c>
      <c r="AI539" s="90" t="n">
        <f aca="false">IF(AG539="",0,IF(MATCH(AG539,$AG$4:$AG$1203,0)=ROW()-3,1,0))</f>
        <v>0</v>
      </c>
      <c r="AJ539" s="90" t="n">
        <f aca="false">N(AJ538)+AI539</f>
        <v>4</v>
      </c>
      <c r="AK539" s="1" t="n">
        <f aca="false">N(AK538)+$AJ539</f>
        <v>1016</v>
      </c>
    </row>
    <row r="540" customFormat="false" ht="13.5" hidden="false" customHeight="false" outlineLevel="0" collapsed="false">
      <c r="A540" s="1" t="str">
        <f aca="false">IF(对接源_01水果!$C540="","",对接源_01水果!$C540)</f>
        <v/>
      </c>
      <c r="B540" s="1" t="n">
        <f aca="false">IF(A540="",0,IF(MATCH(A540,$A$4:$A$2403,0)=ROW()-3,1,0))</f>
        <v>0</v>
      </c>
      <c r="C540" s="1" t="n">
        <f aca="false">N(C539)+B540</f>
        <v>13</v>
      </c>
      <c r="K540" s="1" t="n">
        <f aca="false">IF(OR($K$1="",对接源_01水果!$C540="",对接源_01水果!$C540&lt;&gt;$K$1,对接源_01水果!$B540=""),0,IF(OR(N(对接源_01水果!$B540)&lt;$K$2,N(对接源_01水果!$B540)&gt;$K$3),0,1))</f>
        <v>0</v>
      </c>
      <c r="L540" s="1" t="n">
        <f aca="false">IF(OR($L$1="",对接源_01水果!$C540="",对接源_01水果!$C540&lt;&gt;$L$1,对接源_01水果!$B540=""),0,IF(OR(N(对接源_01水果!$B540)&lt;$L$2,N(对接源_01水果!$B540)&gt;$L$3),0,1))</f>
        <v>0</v>
      </c>
      <c r="M540" s="1" t="n">
        <f aca="false">IF(OR($M$1="",对接源_01水果!$C540="",对接源_01水果!$C540&lt;&gt;$M$1,对接源_01水果!$B540=""),0,IF(OR(N(对接源_01水果!$B540)&lt;$M$2,N(对接源_01水果!$B540)&gt;$M$3),0,1))</f>
        <v>0</v>
      </c>
      <c r="N540" s="1" t="n">
        <f aca="false">IF(OR($N$1="",对接源_01水果!$C540="",对接源_01水果!$C540&lt;&gt;$N$1,对接源_01水果!$B540=""),0,IF(OR(N(对接源_01水果!$B540)&lt;$N$2,N(对接源_01水果!$B540)&gt;$N$3),0,1))</f>
        <v>0</v>
      </c>
      <c r="P540" s="1" t="n">
        <f aca="false">IF(AND($K540=1,AND(对接源_01水果!$X540="公司筐",N(对接源_01水果!$T540)&lt;&gt;0)),1,0)</f>
        <v>0</v>
      </c>
      <c r="Q540" s="1" t="n">
        <f aca="false">N(Q539)+$P540</f>
        <v>3</v>
      </c>
      <c r="R540" s="1" t="n">
        <f aca="false">IF(AND($K540=1,AND(对接源_01水果!$X540="公司筐",N(对接源_01水果!$U540)&lt;&gt;0)),1,0)</f>
        <v>0</v>
      </c>
      <c r="S540" s="1" t="n">
        <f aca="false">N(S539)+$R540</f>
        <v>0</v>
      </c>
      <c r="T540" s="1" t="n">
        <f aca="false">IF(AND($K540=1,AND(对接源_01水果!$X540="公司筐",N(对接源_01水果!$V540)&lt;&gt;0)),1,0)</f>
        <v>0</v>
      </c>
      <c r="U540" s="1" t="n">
        <f aca="false">N(U539)+$T540</f>
        <v>28</v>
      </c>
      <c r="V540" s="1" t="n">
        <f aca="false">IF(AND($L540=1,AND(对接源_01水果!$X540="自备筐",N(对接源_01水果!$V540)&lt;&gt;0)),1,0)</f>
        <v>0</v>
      </c>
      <c r="W540" s="1" t="n">
        <f aca="false">N(W539)+$V540</f>
        <v>7</v>
      </c>
      <c r="X540" s="1" t="n">
        <f aca="false">IF(AND($L540=1,AND(对接源_01水果!$X540="自备筐",N(对接源_01水果!$T540)&lt;&gt;0)),1,0)</f>
        <v>0</v>
      </c>
      <c r="Y540" s="1" t="n">
        <f aca="false">N(Y539)+$X540</f>
        <v>0</v>
      </c>
      <c r="Z540" s="1" t="n">
        <f aca="false">IF(AND($M540=1,对接源_01水果!$D540="原料入库"),1,0)</f>
        <v>0</v>
      </c>
      <c r="AA540" s="1" t="n">
        <f aca="false">N(AA539)+$Z540</f>
        <v>30</v>
      </c>
      <c r="AB540" s="1" t="n">
        <f aca="false">IF(AND($M540=1,LEFT(对接源_01水果!$D540,4)="原料出库"),1,0)</f>
        <v>0</v>
      </c>
      <c r="AC540" s="1" t="n">
        <f aca="false">N(AC539)+$AB540</f>
        <v>19</v>
      </c>
      <c r="AD540" s="1" t="n">
        <f aca="false">IF(AND($M540=1,LEFT(对接源_01水果!$D540,4)="成品出库"),1,0)</f>
        <v>0</v>
      </c>
      <c r="AE540" s="1" t="n">
        <f aca="false">N(AE539)+$AD540</f>
        <v>38</v>
      </c>
      <c r="AF540" s="1" t="n">
        <f aca="false">IF(AND($N540=1,AND(LEFT(对接源_01水果!$D540,4)="包装物料",N(对接源_01水果!$K540)&lt;&gt;0)),1,0)</f>
        <v>0</v>
      </c>
      <c r="AG540" s="90" t="str">
        <f aca="false">IF(对接源_01水果!$AC540="","",对接源_01水果!$AC540)</f>
        <v/>
      </c>
      <c r="AH540" s="1" t="n">
        <f aca="false">IF(AND($N540=1,AND(LEFT(对接源_01水果!$D540,3)="周转筐",N(对接源_01水果!$K540)&lt;&gt;0)),1,0)</f>
        <v>0</v>
      </c>
      <c r="AI540" s="90" t="n">
        <f aca="false">IF(AG540="",0,IF(MATCH(AG540,$AG$4:$AG$1203,0)=ROW()-3,1,0))</f>
        <v>0</v>
      </c>
      <c r="AJ540" s="90" t="n">
        <f aca="false">N(AJ539)+AI540</f>
        <v>4</v>
      </c>
      <c r="AK540" s="1" t="n">
        <f aca="false">N(AK539)+$AJ540</f>
        <v>1020</v>
      </c>
    </row>
    <row r="541" customFormat="false" ht="13.5" hidden="false" customHeight="false" outlineLevel="0" collapsed="false">
      <c r="A541" s="1" t="str">
        <f aca="false">IF(对接源_01水果!$C541="","",对接源_01水果!$C541)</f>
        <v/>
      </c>
      <c r="B541" s="1" t="n">
        <f aca="false">IF(A541="",0,IF(MATCH(A541,$A$4:$A$2403,0)=ROW()-3,1,0))</f>
        <v>0</v>
      </c>
      <c r="C541" s="1" t="n">
        <f aca="false">N(C540)+B541</f>
        <v>13</v>
      </c>
      <c r="K541" s="1" t="n">
        <f aca="false">IF(OR($K$1="",对接源_01水果!$C541="",对接源_01水果!$C541&lt;&gt;$K$1,对接源_01水果!$B541=""),0,IF(OR(N(对接源_01水果!$B541)&lt;$K$2,N(对接源_01水果!$B541)&gt;$K$3),0,1))</f>
        <v>0</v>
      </c>
      <c r="L541" s="1" t="n">
        <f aca="false">IF(OR($L$1="",对接源_01水果!$C541="",对接源_01水果!$C541&lt;&gt;$L$1,对接源_01水果!$B541=""),0,IF(OR(N(对接源_01水果!$B541)&lt;$L$2,N(对接源_01水果!$B541)&gt;$L$3),0,1))</f>
        <v>0</v>
      </c>
      <c r="M541" s="1" t="n">
        <f aca="false">IF(OR($M$1="",对接源_01水果!$C541="",对接源_01水果!$C541&lt;&gt;$M$1,对接源_01水果!$B541=""),0,IF(OR(N(对接源_01水果!$B541)&lt;$M$2,N(对接源_01水果!$B541)&gt;$M$3),0,1))</f>
        <v>0</v>
      </c>
      <c r="N541" s="1" t="n">
        <f aca="false">IF(OR($N$1="",对接源_01水果!$C541="",对接源_01水果!$C541&lt;&gt;$N$1,对接源_01水果!$B541=""),0,IF(OR(N(对接源_01水果!$B541)&lt;$N$2,N(对接源_01水果!$B541)&gt;$N$3),0,1))</f>
        <v>0</v>
      </c>
      <c r="P541" s="1" t="n">
        <f aca="false">IF(AND($K541=1,AND(对接源_01水果!$X541="公司筐",N(对接源_01水果!$T541)&lt;&gt;0)),1,0)</f>
        <v>0</v>
      </c>
      <c r="Q541" s="1" t="n">
        <f aca="false">N(Q540)+$P541</f>
        <v>3</v>
      </c>
      <c r="R541" s="1" t="n">
        <f aca="false">IF(AND($K541=1,AND(对接源_01水果!$X541="公司筐",N(对接源_01水果!$U541)&lt;&gt;0)),1,0)</f>
        <v>0</v>
      </c>
      <c r="S541" s="1" t="n">
        <f aca="false">N(S540)+$R541</f>
        <v>0</v>
      </c>
      <c r="T541" s="1" t="n">
        <f aca="false">IF(AND($K541=1,AND(对接源_01水果!$X541="公司筐",N(对接源_01水果!$V541)&lt;&gt;0)),1,0)</f>
        <v>0</v>
      </c>
      <c r="U541" s="1" t="n">
        <f aca="false">N(U540)+$T541</f>
        <v>28</v>
      </c>
      <c r="V541" s="1" t="n">
        <f aca="false">IF(AND($L541=1,AND(对接源_01水果!$X541="自备筐",N(对接源_01水果!$V541)&lt;&gt;0)),1,0)</f>
        <v>0</v>
      </c>
      <c r="W541" s="1" t="n">
        <f aca="false">N(W540)+$V541</f>
        <v>7</v>
      </c>
      <c r="X541" s="1" t="n">
        <f aca="false">IF(AND($L541=1,AND(对接源_01水果!$X541="自备筐",N(对接源_01水果!$T541)&lt;&gt;0)),1,0)</f>
        <v>0</v>
      </c>
      <c r="Y541" s="1" t="n">
        <f aca="false">N(Y540)+$X541</f>
        <v>0</v>
      </c>
      <c r="Z541" s="1" t="n">
        <f aca="false">IF(AND($M541=1,对接源_01水果!$D541="原料入库"),1,0)</f>
        <v>0</v>
      </c>
      <c r="AA541" s="1" t="n">
        <f aca="false">N(AA540)+$Z541</f>
        <v>30</v>
      </c>
      <c r="AB541" s="1" t="n">
        <f aca="false">IF(AND($M541=1,LEFT(对接源_01水果!$D541,4)="原料出库"),1,0)</f>
        <v>0</v>
      </c>
      <c r="AC541" s="1" t="n">
        <f aca="false">N(AC540)+$AB541</f>
        <v>19</v>
      </c>
      <c r="AD541" s="1" t="n">
        <f aca="false">IF(AND($M541=1,LEFT(对接源_01水果!$D541,4)="成品出库"),1,0)</f>
        <v>0</v>
      </c>
      <c r="AE541" s="1" t="n">
        <f aca="false">N(AE540)+$AD541</f>
        <v>38</v>
      </c>
      <c r="AF541" s="1" t="n">
        <f aca="false">IF(AND($N541=1,AND(LEFT(对接源_01水果!$D541,4)="包装物料",N(对接源_01水果!$K541)&lt;&gt;0)),1,0)</f>
        <v>0</v>
      </c>
      <c r="AG541" s="90" t="str">
        <f aca="false">IF(对接源_01水果!$AC541="","",对接源_01水果!$AC541)</f>
        <v/>
      </c>
      <c r="AH541" s="1" t="n">
        <f aca="false">IF(AND($N541=1,AND(LEFT(对接源_01水果!$D541,3)="周转筐",N(对接源_01水果!$K541)&lt;&gt;0)),1,0)</f>
        <v>0</v>
      </c>
      <c r="AI541" s="90" t="n">
        <f aca="false">IF(AG541="",0,IF(MATCH(AG541,$AG$4:$AG$1203,0)=ROW()-3,1,0))</f>
        <v>0</v>
      </c>
      <c r="AJ541" s="90" t="n">
        <f aca="false">N(AJ540)+AI541</f>
        <v>4</v>
      </c>
      <c r="AK541" s="1" t="n">
        <f aca="false">N(AK540)+$AJ541</f>
        <v>1024</v>
      </c>
    </row>
    <row r="542" customFormat="false" ht="13.5" hidden="false" customHeight="false" outlineLevel="0" collapsed="false">
      <c r="A542" s="1" t="str">
        <f aca="false">IF(对接源_01水果!$C542="","",对接源_01水果!$C542)</f>
        <v/>
      </c>
      <c r="B542" s="1" t="n">
        <f aca="false">IF(A542="",0,IF(MATCH(A542,$A$4:$A$2403,0)=ROW()-3,1,0))</f>
        <v>0</v>
      </c>
      <c r="C542" s="1" t="n">
        <f aca="false">N(C541)+B542</f>
        <v>13</v>
      </c>
      <c r="K542" s="1" t="n">
        <f aca="false">IF(OR($K$1="",对接源_01水果!$C542="",对接源_01水果!$C542&lt;&gt;$K$1,对接源_01水果!$B542=""),0,IF(OR(N(对接源_01水果!$B542)&lt;$K$2,N(对接源_01水果!$B542)&gt;$K$3),0,1))</f>
        <v>0</v>
      </c>
      <c r="L542" s="1" t="n">
        <f aca="false">IF(OR($L$1="",对接源_01水果!$C542="",对接源_01水果!$C542&lt;&gt;$L$1,对接源_01水果!$B542=""),0,IF(OR(N(对接源_01水果!$B542)&lt;$L$2,N(对接源_01水果!$B542)&gt;$L$3),0,1))</f>
        <v>0</v>
      </c>
      <c r="M542" s="1" t="n">
        <f aca="false">IF(OR($M$1="",对接源_01水果!$C542="",对接源_01水果!$C542&lt;&gt;$M$1,对接源_01水果!$B542=""),0,IF(OR(N(对接源_01水果!$B542)&lt;$M$2,N(对接源_01水果!$B542)&gt;$M$3),0,1))</f>
        <v>0</v>
      </c>
      <c r="N542" s="1" t="n">
        <f aca="false">IF(OR($N$1="",对接源_01水果!$C542="",对接源_01水果!$C542&lt;&gt;$N$1,对接源_01水果!$B542=""),0,IF(OR(N(对接源_01水果!$B542)&lt;$N$2,N(对接源_01水果!$B542)&gt;$N$3),0,1))</f>
        <v>0</v>
      </c>
      <c r="P542" s="1" t="n">
        <f aca="false">IF(AND($K542=1,AND(对接源_01水果!$X542="公司筐",N(对接源_01水果!$T542)&lt;&gt;0)),1,0)</f>
        <v>0</v>
      </c>
      <c r="Q542" s="1" t="n">
        <f aca="false">N(Q541)+$P542</f>
        <v>3</v>
      </c>
      <c r="R542" s="1" t="n">
        <f aca="false">IF(AND($K542=1,AND(对接源_01水果!$X542="公司筐",N(对接源_01水果!$U542)&lt;&gt;0)),1,0)</f>
        <v>0</v>
      </c>
      <c r="S542" s="1" t="n">
        <f aca="false">N(S541)+$R542</f>
        <v>0</v>
      </c>
      <c r="T542" s="1" t="n">
        <f aca="false">IF(AND($K542=1,AND(对接源_01水果!$X542="公司筐",N(对接源_01水果!$V542)&lt;&gt;0)),1,0)</f>
        <v>0</v>
      </c>
      <c r="U542" s="1" t="n">
        <f aca="false">N(U541)+$T542</f>
        <v>28</v>
      </c>
      <c r="V542" s="1" t="n">
        <f aca="false">IF(AND($L542=1,AND(对接源_01水果!$X542="自备筐",N(对接源_01水果!$V542)&lt;&gt;0)),1,0)</f>
        <v>0</v>
      </c>
      <c r="W542" s="1" t="n">
        <f aca="false">N(W541)+$V542</f>
        <v>7</v>
      </c>
      <c r="X542" s="1" t="n">
        <f aca="false">IF(AND($L542=1,AND(对接源_01水果!$X542="自备筐",N(对接源_01水果!$T542)&lt;&gt;0)),1,0)</f>
        <v>0</v>
      </c>
      <c r="Y542" s="1" t="n">
        <f aca="false">N(Y541)+$X542</f>
        <v>0</v>
      </c>
      <c r="Z542" s="1" t="n">
        <f aca="false">IF(AND($M542=1,对接源_01水果!$D542="原料入库"),1,0)</f>
        <v>0</v>
      </c>
      <c r="AA542" s="1" t="n">
        <f aca="false">N(AA541)+$Z542</f>
        <v>30</v>
      </c>
      <c r="AB542" s="1" t="n">
        <f aca="false">IF(AND($M542=1,LEFT(对接源_01水果!$D542,4)="原料出库"),1,0)</f>
        <v>0</v>
      </c>
      <c r="AC542" s="1" t="n">
        <f aca="false">N(AC541)+$AB542</f>
        <v>19</v>
      </c>
      <c r="AD542" s="1" t="n">
        <f aca="false">IF(AND($M542=1,LEFT(对接源_01水果!$D542,4)="成品出库"),1,0)</f>
        <v>0</v>
      </c>
      <c r="AE542" s="1" t="n">
        <f aca="false">N(AE541)+$AD542</f>
        <v>38</v>
      </c>
      <c r="AF542" s="1" t="n">
        <f aca="false">IF(AND($N542=1,AND(LEFT(对接源_01水果!$D542,4)="包装物料",N(对接源_01水果!$K542)&lt;&gt;0)),1,0)</f>
        <v>0</v>
      </c>
      <c r="AG542" s="90" t="str">
        <f aca="false">IF(对接源_01水果!$AC542="","",对接源_01水果!$AC542)</f>
        <v/>
      </c>
      <c r="AH542" s="1" t="n">
        <f aca="false">IF(AND($N542=1,AND(LEFT(对接源_01水果!$D542,3)="周转筐",N(对接源_01水果!$K542)&lt;&gt;0)),1,0)</f>
        <v>0</v>
      </c>
      <c r="AI542" s="90" t="n">
        <f aca="false">IF(AG542="",0,IF(MATCH(AG542,$AG$4:$AG$1203,0)=ROW()-3,1,0))</f>
        <v>0</v>
      </c>
      <c r="AJ542" s="90" t="n">
        <f aca="false">N(AJ541)+AI542</f>
        <v>4</v>
      </c>
      <c r="AK542" s="1" t="n">
        <f aca="false">N(AK541)+$AJ542</f>
        <v>1028</v>
      </c>
    </row>
    <row r="543" customFormat="false" ht="13.5" hidden="false" customHeight="false" outlineLevel="0" collapsed="false">
      <c r="A543" s="1" t="str">
        <f aca="false">IF(对接源_01水果!$C543="","",对接源_01水果!$C543)</f>
        <v/>
      </c>
      <c r="B543" s="1" t="n">
        <f aca="false">IF(A543="",0,IF(MATCH(A543,$A$4:$A$2403,0)=ROW()-3,1,0))</f>
        <v>0</v>
      </c>
      <c r="C543" s="1" t="n">
        <f aca="false">N(C542)+B543</f>
        <v>13</v>
      </c>
      <c r="K543" s="1" t="n">
        <f aca="false">IF(OR($K$1="",对接源_01水果!$C543="",对接源_01水果!$C543&lt;&gt;$K$1,对接源_01水果!$B543=""),0,IF(OR(N(对接源_01水果!$B543)&lt;$K$2,N(对接源_01水果!$B543)&gt;$K$3),0,1))</f>
        <v>0</v>
      </c>
      <c r="L543" s="1" t="n">
        <f aca="false">IF(OR($L$1="",对接源_01水果!$C543="",对接源_01水果!$C543&lt;&gt;$L$1,对接源_01水果!$B543=""),0,IF(OR(N(对接源_01水果!$B543)&lt;$L$2,N(对接源_01水果!$B543)&gt;$L$3),0,1))</f>
        <v>0</v>
      </c>
      <c r="M543" s="1" t="n">
        <f aca="false">IF(OR($M$1="",对接源_01水果!$C543="",对接源_01水果!$C543&lt;&gt;$M$1,对接源_01水果!$B543=""),0,IF(OR(N(对接源_01水果!$B543)&lt;$M$2,N(对接源_01水果!$B543)&gt;$M$3),0,1))</f>
        <v>0</v>
      </c>
      <c r="N543" s="1" t="n">
        <f aca="false">IF(OR($N$1="",对接源_01水果!$C543="",对接源_01水果!$C543&lt;&gt;$N$1,对接源_01水果!$B543=""),0,IF(OR(N(对接源_01水果!$B543)&lt;$N$2,N(对接源_01水果!$B543)&gt;$N$3),0,1))</f>
        <v>0</v>
      </c>
      <c r="P543" s="1" t="n">
        <f aca="false">IF(AND($K543=1,AND(对接源_01水果!$X543="公司筐",N(对接源_01水果!$T543)&lt;&gt;0)),1,0)</f>
        <v>0</v>
      </c>
      <c r="Q543" s="1" t="n">
        <f aca="false">N(Q542)+$P543</f>
        <v>3</v>
      </c>
      <c r="R543" s="1" t="n">
        <f aca="false">IF(AND($K543=1,AND(对接源_01水果!$X543="公司筐",N(对接源_01水果!$U543)&lt;&gt;0)),1,0)</f>
        <v>0</v>
      </c>
      <c r="S543" s="1" t="n">
        <f aca="false">N(S542)+$R543</f>
        <v>0</v>
      </c>
      <c r="T543" s="1" t="n">
        <f aca="false">IF(AND($K543=1,AND(对接源_01水果!$X543="公司筐",N(对接源_01水果!$V543)&lt;&gt;0)),1,0)</f>
        <v>0</v>
      </c>
      <c r="U543" s="1" t="n">
        <f aca="false">N(U542)+$T543</f>
        <v>28</v>
      </c>
      <c r="V543" s="1" t="n">
        <f aca="false">IF(AND($L543=1,AND(对接源_01水果!$X543="自备筐",N(对接源_01水果!$V543)&lt;&gt;0)),1,0)</f>
        <v>0</v>
      </c>
      <c r="W543" s="1" t="n">
        <f aca="false">N(W542)+$V543</f>
        <v>7</v>
      </c>
      <c r="X543" s="1" t="n">
        <f aca="false">IF(AND($L543=1,AND(对接源_01水果!$X543="自备筐",N(对接源_01水果!$T543)&lt;&gt;0)),1,0)</f>
        <v>0</v>
      </c>
      <c r="Y543" s="1" t="n">
        <f aca="false">N(Y542)+$X543</f>
        <v>0</v>
      </c>
      <c r="Z543" s="1" t="n">
        <f aca="false">IF(AND($M543=1,对接源_01水果!$D543="原料入库"),1,0)</f>
        <v>0</v>
      </c>
      <c r="AA543" s="1" t="n">
        <f aca="false">N(AA542)+$Z543</f>
        <v>30</v>
      </c>
      <c r="AB543" s="1" t="n">
        <f aca="false">IF(AND($M543=1,LEFT(对接源_01水果!$D543,4)="原料出库"),1,0)</f>
        <v>0</v>
      </c>
      <c r="AC543" s="1" t="n">
        <f aca="false">N(AC542)+$AB543</f>
        <v>19</v>
      </c>
      <c r="AD543" s="1" t="n">
        <f aca="false">IF(AND($M543=1,LEFT(对接源_01水果!$D543,4)="成品出库"),1,0)</f>
        <v>0</v>
      </c>
      <c r="AE543" s="1" t="n">
        <f aca="false">N(AE542)+$AD543</f>
        <v>38</v>
      </c>
      <c r="AF543" s="1" t="n">
        <f aca="false">IF(AND($N543=1,AND(LEFT(对接源_01水果!$D543,4)="包装物料",N(对接源_01水果!$K543)&lt;&gt;0)),1,0)</f>
        <v>0</v>
      </c>
      <c r="AG543" s="90" t="str">
        <f aca="false">IF(对接源_01水果!$AC543="","",对接源_01水果!$AC543)</f>
        <v/>
      </c>
      <c r="AH543" s="1" t="n">
        <f aca="false">IF(AND($N543=1,AND(LEFT(对接源_01水果!$D543,3)="周转筐",N(对接源_01水果!$K543)&lt;&gt;0)),1,0)</f>
        <v>0</v>
      </c>
      <c r="AI543" s="90" t="n">
        <f aca="false">IF(AG543="",0,IF(MATCH(AG543,$AG$4:$AG$1203,0)=ROW()-3,1,0))</f>
        <v>0</v>
      </c>
      <c r="AJ543" s="90" t="n">
        <f aca="false">N(AJ542)+AI543</f>
        <v>4</v>
      </c>
      <c r="AK543" s="1" t="n">
        <f aca="false">N(AK542)+$AJ543</f>
        <v>1032</v>
      </c>
    </row>
    <row r="544" customFormat="false" ht="13.5" hidden="false" customHeight="false" outlineLevel="0" collapsed="false">
      <c r="A544" s="1" t="str">
        <f aca="false">IF(对接源_01水果!$C544="","",对接源_01水果!$C544)</f>
        <v/>
      </c>
      <c r="B544" s="1" t="n">
        <f aca="false">IF(A544="",0,IF(MATCH(A544,$A$4:$A$2403,0)=ROW()-3,1,0))</f>
        <v>0</v>
      </c>
      <c r="C544" s="1" t="n">
        <f aca="false">N(C543)+B544</f>
        <v>13</v>
      </c>
      <c r="K544" s="1" t="n">
        <f aca="false">IF(OR($K$1="",对接源_01水果!$C544="",对接源_01水果!$C544&lt;&gt;$K$1,对接源_01水果!$B544=""),0,IF(OR(N(对接源_01水果!$B544)&lt;$K$2,N(对接源_01水果!$B544)&gt;$K$3),0,1))</f>
        <v>0</v>
      </c>
      <c r="L544" s="1" t="n">
        <f aca="false">IF(OR($L$1="",对接源_01水果!$C544="",对接源_01水果!$C544&lt;&gt;$L$1,对接源_01水果!$B544=""),0,IF(OR(N(对接源_01水果!$B544)&lt;$L$2,N(对接源_01水果!$B544)&gt;$L$3),0,1))</f>
        <v>0</v>
      </c>
      <c r="M544" s="1" t="n">
        <f aca="false">IF(OR($M$1="",对接源_01水果!$C544="",对接源_01水果!$C544&lt;&gt;$M$1,对接源_01水果!$B544=""),0,IF(OR(N(对接源_01水果!$B544)&lt;$M$2,N(对接源_01水果!$B544)&gt;$M$3),0,1))</f>
        <v>0</v>
      </c>
      <c r="N544" s="1" t="n">
        <f aca="false">IF(OR($N$1="",对接源_01水果!$C544="",对接源_01水果!$C544&lt;&gt;$N$1,对接源_01水果!$B544=""),0,IF(OR(N(对接源_01水果!$B544)&lt;$N$2,N(对接源_01水果!$B544)&gt;$N$3),0,1))</f>
        <v>0</v>
      </c>
      <c r="P544" s="1" t="n">
        <f aca="false">IF(AND($K544=1,AND(对接源_01水果!$X544="公司筐",N(对接源_01水果!$T544)&lt;&gt;0)),1,0)</f>
        <v>0</v>
      </c>
      <c r="Q544" s="1" t="n">
        <f aca="false">N(Q543)+$P544</f>
        <v>3</v>
      </c>
      <c r="R544" s="1" t="n">
        <f aca="false">IF(AND($K544=1,AND(对接源_01水果!$X544="公司筐",N(对接源_01水果!$U544)&lt;&gt;0)),1,0)</f>
        <v>0</v>
      </c>
      <c r="S544" s="1" t="n">
        <f aca="false">N(S543)+$R544</f>
        <v>0</v>
      </c>
      <c r="T544" s="1" t="n">
        <f aca="false">IF(AND($K544=1,AND(对接源_01水果!$X544="公司筐",N(对接源_01水果!$V544)&lt;&gt;0)),1,0)</f>
        <v>0</v>
      </c>
      <c r="U544" s="1" t="n">
        <f aca="false">N(U543)+$T544</f>
        <v>28</v>
      </c>
      <c r="V544" s="1" t="n">
        <f aca="false">IF(AND($L544=1,AND(对接源_01水果!$X544="自备筐",N(对接源_01水果!$V544)&lt;&gt;0)),1,0)</f>
        <v>0</v>
      </c>
      <c r="W544" s="1" t="n">
        <f aca="false">N(W543)+$V544</f>
        <v>7</v>
      </c>
      <c r="X544" s="1" t="n">
        <f aca="false">IF(AND($L544=1,AND(对接源_01水果!$X544="自备筐",N(对接源_01水果!$T544)&lt;&gt;0)),1,0)</f>
        <v>0</v>
      </c>
      <c r="Y544" s="1" t="n">
        <f aca="false">N(Y543)+$X544</f>
        <v>0</v>
      </c>
      <c r="Z544" s="1" t="n">
        <f aca="false">IF(AND($M544=1,对接源_01水果!$D544="原料入库"),1,0)</f>
        <v>0</v>
      </c>
      <c r="AA544" s="1" t="n">
        <f aca="false">N(AA543)+$Z544</f>
        <v>30</v>
      </c>
      <c r="AB544" s="1" t="n">
        <f aca="false">IF(AND($M544=1,LEFT(对接源_01水果!$D544,4)="原料出库"),1,0)</f>
        <v>0</v>
      </c>
      <c r="AC544" s="1" t="n">
        <f aca="false">N(AC543)+$AB544</f>
        <v>19</v>
      </c>
      <c r="AD544" s="1" t="n">
        <f aca="false">IF(AND($M544=1,LEFT(对接源_01水果!$D544,4)="成品出库"),1,0)</f>
        <v>0</v>
      </c>
      <c r="AE544" s="1" t="n">
        <f aca="false">N(AE543)+$AD544</f>
        <v>38</v>
      </c>
      <c r="AF544" s="1" t="n">
        <f aca="false">IF(AND($N544=1,AND(LEFT(对接源_01水果!$D544,4)="包装物料",N(对接源_01水果!$K544)&lt;&gt;0)),1,0)</f>
        <v>0</v>
      </c>
      <c r="AG544" s="90" t="str">
        <f aca="false">IF(对接源_01水果!$AC544="","",对接源_01水果!$AC544)</f>
        <v/>
      </c>
      <c r="AH544" s="1" t="n">
        <f aca="false">IF(AND($N544=1,AND(LEFT(对接源_01水果!$D544,3)="周转筐",N(对接源_01水果!$K544)&lt;&gt;0)),1,0)</f>
        <v>0</v>
      </c>
      <c r="AI544" s="90" t="n">
        <f aca="false">IF(AG544="",0,IF(MATCH(AG544,$AG$4:$AG$1203,0)=ROW()-3,1,0))</f>
        <v>0</v>
      </c>
      <c r="AJ544" s="90" t="n">
        <f aca="false">N(AJ543)+AI544</f>
        <v>4</v>
      </c>
      <c r="AK544" s="1" t="n">
        <f aca="false">N(AK543)+$AJ544</f>
        <v>1036</v>
      </c>
    </row>
    <row r="545" customFormat="false" ht="13.5" hidden="false" customHeight="false" outlineLevel="0" collapsed="false">
      <c r="A545" s="1" t="str">
        <f aca="false">IF(对接源_01水果!$C545="","",对接源_01水果!$C545)</f>
        <v/>
      </c>
      <c r="B545" s="1" t="n">
        <f aca="false">IF(A545="",0,IF(MATCH(A545,$A$4:$A$2403,0)=ROW()-3,1,0))</f>
        <v>0</v>
      </c>
      <c r="C545" s="1" t="n">
        <f aca="false">N(C544)+B545</f>
        <v>13</v>
      </c>
      <c r="K545" s="1" t="n">
        <f aca="false">IF(OR($K$1="",对接源_01水果!$C545="",对接源_01水果!$C545&lt;&gt;$K$1,对接源_01水果!$B545=""),0,IF(OR(N(对接源_01水果!$B545)&lt;$K$2,N(对接源_01水果!$B545)&gt;$K$3),0,1))</f>
        <v>0</v>
      </c>
      <c r="L545" s="1" t="n">
        <f aca="false">IF(OR($L$1="",对接源_01水果!$C545="",对接源_01水果!$C545&lt;&gt;$L$1,对接源_01水果!$B545=""),0,IF(OR(N(对接源_01水果!$B545)&lt;$L$2,N(对接源_01水果!$B545)&gt;$L$3),0,1))</f>
        <v>0</v>
      </c>
      <c r="M545" s="1" t="n">
        <f aca="false">IF(OR($M$1="",对接源_01水果!$C545="",对接源_01水果!$C545&lt;&gt;$M$1,对接源_01水果!$B545=""),0,IF(OR(N(对接源_01水果!$B545)&lt;$M$2,N(对接源_01水果!$B545)&gt;$M$3),0,1))</f>
        <v>0</v>
      </c>
      <c r="N545" s="1" t="n">
        <f aca="false">IF(OR($N$1="",对接源_01水果!$C545="",对接源_01水果!$C545&lt;&gt;$N$1,对接源_01水果!$B545=""),0,IF(OR(N(对接源_01水果!$B545)&lt;$N$2,N(对接源_01水果!$B545)&gt;$N$3),0,1))</f>
        <v>0</v>
      </c>
      <c r="P545" s="1" t="n">
        <f aca="false">IF(AND($K545=1,AND(对接源_01水果!$X545="公司筐",N(对接源_01水果!$T545)&lt;&gt;0)),1,0)</f>
        <v>0</v>
      </c>
      <c r="Q545" s="1" t="n">
        <f aca="false">N(Q544)+$P545</f>
        <v>3</v>
      </c>
      <c r="R545" s="1" t="n">
        <f aca="false">IF(AND($K545=1,AND(对接源_01水果!$X545="公司筐",N(对接源_01水果!$U545)&lt;&gt;0)),1,0)</f>
        <v>0</v>
      </c>
      <c r="S545" s="1" t="n">
        <f aca="false">N(S544)+$R545</f>
        <v>0</v>
      </c>
      <c r="T545" s="1" t="n">
        <f aca="false">IF(AND($K545=1,AND(对接源_01水果!$X545="公司筐",N(对接源_01水果!$V545)&lt;&gt;0)),1,0)</f>
        <v>0</v>
      </c>
      <c r="U545" s="1" t="n">
        <f aca="false">N(U544)+$T545</f>
        <v>28</v>
      </c>
      <c r="V545" s="1" t="n">
        <f aca="false">IF(AND($L545=1,AND(对接源_01水果!$X545="自备筐",N(对接源_01水果!$V545)&lt;&gt;0)),1,0)</f>
        <v>0</v>
      </c>
      <c r="W545" s="1" t="n">
        <f aca="false">N(W544)+$V545</f>
        <v>7</v>
      </c>
      <c r="X545" s="1" t="n">
        <f aca="false">IF(AND($L545=1,AND(对接源_01水果!$X545="自备筐",N(对接源_01水果!$T545)&lt;&gt;0)),1,0)</f>
        <v>0</v>
      </c>
      <c r="Y545" s="1" t="n">
        <f aca="false">N(Y544)+$X545</f>
        <v>0</v>
      </c>
      <c r="Z545" s="1" t="n">
        <f aca="false">IF(AND($M545=1,对接源_01水果!$D545="原料入库"),1,0)</f>
        <v>0</v>
      </c>
      <c r="AA545" s="1" t="n">
        <f aca="false">N(AA544)+$Z545</f>
        <v>30</v>
      </c>
      <c r="AB545" s="1" t="n">
        <f aca="false">IF(AND($M545=1,LEFT(对接源_01水果!$D545,4)="原料出库"),1,0)</f>
        <v>0</v>
      </c>
      <c r="AC545" s="1" t="n">
        <f aca="false">N(AC544)+$AB545</f>
        <v>19</v>
      </c>
      <c r="AD545" s="1" t="n">
        <f aca="false">IF(AND($M545=1,LEFT(对接源_01水果!$D545,4)="成品出库"),1,0)</f>
        <v>0</v>
      </c>
      <c r="AE545" s="1" t="n">
        <f aca="false">N(AE544)+$AD545</f>
        <v>38</v>
      </c>
      <c r="AF545" s="1" t="n">
        <f aca="false">IF(AND($N545=1,AND(LEFT(对接源_01水果!$D545,4)="包装物料",N(对接源_01水果!$K545)&lt;&gt;0)),1,0)</f>
        <v>0</v>
      </c>
      <c r="AG545" s="90" t="str">
        <f aca="false">IF(对接源_01水果!$AC545="","",对接源_01水果!$AC545)</f>
        <v/>
      </c>
      <c r="AH545" s="1" t="n">
        <f aca="false">IF(AND($N545=1,AND(LEFT(对接源_01水果!$D545,3)="周转筐",N(对接源_01水果!$K545)&lt;&gt;0)),1,0)</f>
        <v>0</v>
      </c>
      <c r="AI545" s="90" t="n">
        <f aca="false">IF(AG545="",0,IF(MATCH(AG545,$AG$4:$AG$1203,0)=ROW()-3,1,0))</f>
        <v>0</v>
      </c>
      <c r="AJ545" s="90" t="n">
        <f aca="false">N(AJ544)+AI545</f>
        <v>4</v>
      </c>
      <c r="AK545" s="1" t="n">
        <f aca="false">N(AK544)+$AJ545</f>
        <v>1040</v>
      </c>
    </row>
    <row r="546" customFormat="false" ht="13.5" hidden="false" customHeight="false" outlineLevel="0" collapsed="false">
      <c r="A546" s="1" t="str">
        <f aca="false">IF(对接源_01水果!$C546="","",对接源_01水果!$C546)</f>
        <v/>
      </c>
      <c r="B546" s="1" t="n">
        <f aca="false">IF(A546="",0,IF(MATCH(A546,$A$4:$A$2403,0)=ROW()-3,1,0))</f>
        <v>0</v>
      </c>
      <c r="C546" s="1" t="n">
        <f aca="false">N(C545)+B546</f>
        <v>13</v>
      </c>
      <c r="K546" s="1" t="n">
        <f aca="false">IF(OR($K$1="",对接源_01水果!$C546="",对接源_01水果!$C546&lt;&gt;$K$1,对接源_01水果!$B546=""),0,IF(OR(N(对接源_01水果!$B546)&lt;$K$2,N(对接源_01水果!$B546)&gt;$K$3),0,1))</f>
        <v>0</v>
      </c>
      <c r="L546" s="1" t="n">
        <f aca="false">IF(OR($L$1="",对接源_01水果!$C546="",对接源_01水果!$C546&lt;&gt;$L$1,对接源_01水果!$B546=""),0,IF(OR(N(对接源_01水果!$B546)&lt;$L$2,N(对接源_01水果!$B546)&gt;$L$3),0,1))</f>
        <v>0</v>
      </c>
      <c r="M546" s="1" t="n">
        <f aca="false">IF(OR($M$1="",对接源_01水果!$C546="",对接源_01水果!$C546&lt;&gt;$M$1,对接源_01水果!$B546=""),0,IF(OR(N(对接源_01水果!$B546)&lt;$M$2,N(对接源_01水果!$B546)&gt;$M$3),0,1))</f>
        <v>0</v>
      </c>
      <c r="N546" s="1" t="n">
        <f aca="false">IF(OR($N$1="",对接源_01水果!$C546="",对接源_01水果!$C546&lt;&gt;$N$1,对接源_01水果!$B546=""),0,IF(OR(N(对接源_01水果!$B546)&lt;$N$2,N(对接源_01水果!$B546)&gt;$N$3),0,1))</f>
        <v>0</v>
      </c>
      <c r="P546" s="1" t="n">
        <f aca="false">IF(AND($K546=1,AND(对接源_01水果!$X546="公司筐",N(对接源_01水果!$T546)&lt;&gt;0)),1,0)</f>
        <v>0</v>
      </c>
      <c r="Q546" s="1" t="n">
        <f aca="false">N(Q545)+$P546</f>
        <v>3</v>
      </c>
      <c r="R546" s="1" t="n">
        <f aca="false">IF(AND($K546=1,AND(对接源_01水果!$X546="公司筐",N(对接源_01水果!$U546)&lt;&gt;0)),1,0)</f>
        <v>0</v>
      </c>
      <c r="S546" s="1" t="n">
        <f aca="false">N(S545)+$R546</f>
        <v>0</v>
      </c>
      <c r="T546" s="1" t="n">
        <f aca="false">IF(AND($K546=1,AND(对接源_01水果!$X546="公司筐",N(对接源_01水果!$V546)&lt;&gt;0)),1,0)</f>
        <v>0</v>
      </c>
      <c r="U546" s="1" t="n">
        <f aca="false">N(U545)+$T546</f>
        <v>28</v>
      </c>
      <c r="V546" s="1" t="n">
        <f aca="false">IF(AND($L546=1,AND(对接源_01水果!$X546="自备筐",N(对接源_01水果!$V546)&lt;&gt;0)),1,0)</f>
        <v>0</v>
      </c>
      <c r="W546" s="1" t="n">
        <f aca="false">N(W545)+$V546</f>
        <v>7</v>
      </c>
      <c r="X546" s="1" t="n">
        <f aca="false">IF(AND($L546=1,AND(对接源_01水果!$X546="自备筐",N(对接源_01水果!$T546)&lt;&gt;0)),1,0)</f>
        <v>0</v>
      </c>
      <c r="Y546" s="1" t="n">
        <f aca="false">N(Y545)+$X546</f>
        <v>0</v>
      </c>
      <c r="Z546" s="1" t="n">
        <f aca="false">IF(AND($M546=1,对接源_01水果!$D546="原料入库"),1,0)</f>
        <v>0</v>
      </c>
      <c r="AA546" s="1" t="n">
        <f aca="false">N(AA545)+$Z546</f>
        <v>30</v>
      </c>
      <c r="AB546" s="1" t="n">
        <f aca="false">IF(AND($M546=1,LEFT(对接源_01水果!$D546,4)="原料出库"),1,0)</f>
        <v>0</v>
      </c>
      <c r="AC546" s="1" t="n">
        <f aca="false">N(AC545)+$AB546</f>
        <v>19</v>
      </c>
      <c r="AD546" s="1" t="n">
        <f aca="false">IF(AND($M546=1,LEFT(对接源_01水果!$D546,4)="成品出库"),1,0)</f>
        <v>0</v>
      </c>
      <c r="AE546" s="1" t="n">
        <f aca="false">N(AE545)+$AD546</f>
        <v>38</v>
      </c>
      <c r="AF546" s="1" t="n">
        <f aca="false">IF(AND($N546=1,AND(LEFT(对接源_01水果!$D546,4)="包装物料",N(对接源_01水果!$K546)&lt;&gt;0)),1,0)</f>
        <v>0</v>
      </c>
      <c r="AG546" s="90" t="str">
        <f aca="false">IF(对接源_01水果!$AC546="","",对接源_01水果!$AC546)</f>
        <v/>
      </c>
      <c r="AH546" s="1" t="n">
        <f aca="false">IF(AND($N546=1,AND(LEFT(对接源_01水果!$D546,3)="周转筐",N(对接源_01水果!$K546)&lt;&gt;0)),1,0)</f>
        <v>0</v>
      </c>
      <c r="AI546" s="90" t="n">
        <f aca="false">IF(AG546="",0,IF(MATCH(AG546,$AG$4:$AG$1203,0)=ROW()-3,1,0))</f>
        <v>0</v>
      </c>
      <c r="AJ546" s="90" t="n">
        <f aca="false">N(AJ545)+AI546</f>
        <v>4</v>
      </c>
      <c r="AK546" s="1" t="n">
        <f aca="false">N(AK545)+$AJ546</f>
        <v>1044</v>
      </c>
    </row>
    <row r="547" customFormat="false" ht="13.5" hidden="false" customHeight="false" outlineLevel="0" collapsed="false">
      <c r="A547" s="1" t="str">
        <f aca="false">IF(对接源_01水果!$C547="","",对接源_01水果!$C547)</f>
        <v/>
      </c>
      <c r="B547" s="1" t="n">
        <f aca="false">IF(A547="",0,IF(MATCH(A547,$A$4:$A$2403,0)=ROW()-3,1,0))</f>
        <v>0</v>
      </c>
      <c r="C547" s="1" t="n">
        <f aca="false">N(C546)+B547</f>
        <v>13</v>
      </c>
      <c r="K547" s="1" t="n">
        <f aca="false">IF(OR($K$1="",对接源_01水果!$C547="",对接源_01水果!$C547&lt;&gt;$K$1,对接源_01水果!$B547=""),0,IF(OR(N(对接源_01水果!$B547)&lt;$K$2,N(对接源_01水果!$B547)&gt;$K$3),0,1))</f>
        <v>0</v>
      </c>
      <c r="L547" s="1" t="n">
        <f aca="false">IF(OR($L$1="",对接源_01水果!$C547="",对接源_01水果!$C547&lt;&gt;$L$1,对接源_01水果!$B547=""),0,IF(OR(N(对接源_01水果!$B547)&lt;$L$2,N(对接源_01水果!$B547)&gt;$L$3),0,1))</f>
        <v>0</v>
      </c>
      <c r="M547" s="1" t="n">
        <f aca="false">IF(OR($M$1="",对接源_01水果!$C547="",对接源_01水果!$C547&lt;&gt;$M$1,对接源_01水果!$B547=""),0,IF(OR(N(对接源_01水果!$B547)&lt;$M$2,N(对接源_01水果!$B547)&gt;$M$3),0,1))</f>
        <v>0</v>
      </c>
      <c r="N547" s="1" t="n">
        <f aca="false">IF(OR($N$1="",对接源_01水果!$C547="",对接源_01水果!$C547&lt;&gt;$N$1,对接源_01水果!$B547=""),0,IF(OR(N(对接源_01水果!$B547)&lt;$N$2,N(对接源_01水果!$B547)&gt;$N$3),0,1))</f>
        <v>0</v>
      </c>
      <c r="P547" s="1" t="n">
        <f aca="false">IF(AND($K547=1,AND(对接源_01水果!$X547="公司筐",N(对接源_01水果!$T547)&lt;&gt;0)),1,0)</f>
        <v>0</v>
      </c>
      <c r="Q547" s="1" t="n">
        <f aca="false">N(Q546)+$P547</f>
        <v>3</v>
      </c>
      <c r="R547" s="1" t="n">
        <f aca="false">IF(AND($K547=1,AND(对接源_01水果!$X547="公司筐",N(对接源_01水果!$U547)&lt;&gt;0)),1,0)</f>
        <v>0</v>
      </c>
      <c r="S547" s="1" t="n">
        <f aca="false">N(S546)+$R547</f>
        <v>0</v>
      </c>
      <c r="T547" s="1" t="n">
        <f aca="false">IF(AND($K547=1,AND(对接源_01水果!$X547="公司筐",N(对接源_01水果!$V547)&lt;&gt;0)),1,0)</f>
        <v>0</v>
      </c>
      <c r="U547" s="1" t="n">
        <f aca="false">N(U546)+$T547</f>
        <v>28</v>
      </c>
      <c r="V547" s="1" t="n">
        <f aca="false">IF(AND($L547=1,AND(对接源_01水果!$X547="自备筐",N(对接源_01水果!$V547)&lt;&gt;0)),1,0)</f>
        <v>0</v>
      </c>
      <c r="W547" s="1" t="n">
        <f aca="false">N(W546)+$V547</f>
        <v>7</v>
      </c>
      <c r="X547" s="1" t="n">
        <f aca="false">IF(AND($L547=1,AND(对接源_01水果!$X547="自备筐",N(对接源_01水果!$T547)&lt;&gt;0)),1,0)</f>
        <v>0</v>
      </c>
      <c r="Y547" s="1" t="n">
        <f aca="false">N(Y546)+$X547</f>
        <v>0</v>
      </c>
      <c r="Z547" s="1" t="n">
        <f aca="false">IF(AND($M547=1,对接源_01水果!$D547="原料入库"),1,0)</f>
        <v>0</v>
      </c>
      <c r="AA547" s="1" t="n">
        <f aca="false">N(AA546)+$Z547</f>
        <v>30</v>
      </c>
      <c r="AB547" s="1" t="n">
        <f aca="false">IF(AND($M547=1,LEFT(对接源_01水果!$D547,4)="原料出库"),1,0)</f>
        <v>0</v>
      </c>
      <c r="AC547" s="1" t="n">
        <f aca="false">N(AC546)+$AB547</f>
        <v>19</v>
      </c>
      <c r="AD547" s="1" t="n">
        <f aca="false">IF(AND($M547=1,LEFT(对接源_01水果!$D547,4)="成品出库"),1,0)</f>
        <v>0</v>
      </c>
      <c r="AE547" s="1" t="n">
        <f aca="false">N(AE546)+$AD547</f>
        <v>38</v>
      </c>
      <c r="AF547" s="1" t="n">
        <f aca="false">IF(AND($N547=1,AND(LEFT(对接源_01水果!$D547,4)="包装物料",N(对接源_01水果!$K547)&lt;&gt;0)),1,0)</f>
        <v>0</v>
      </c>
      <c r="AG547" s="90" t="str">
        <f aca="false">IF(对接源_01水果!$AC547="","",对接源_01水果!$AC547)</f>
        <v/>
      </c>
      <c r="AH547" s="1" t="n">
        <f aca="false">IF(AND($N547=1,AND(LEFT(对接源_01水果!$D547,3)="周转筐",N(对接源_01水果!$K547)&lt;&gt;0)),1,0)</f>
        <v>0</v>
      </c>
      <c r="AI547" s="90" t="n">
        <f aca="false">IF(AG547="",0,IF(MATCH(AG547,$AG$4:$AG$1203,0)=ROW()-3,1,0))</f>
        <v>0</v>
      </c>
      <c r="AJ547" s="90" t="n">
        <f aca="false">N(AJ546)+AI547</f>
        <v>4</v>
      </c>
      <c r="AK547" s="1" t="n">
        <f aca="false">N(AK546)+$AJ547</f>
        <v>1048</v>
      </c>
    </row>
    <row r="548" customFormat="false" ht="13.5" hidden="false" customHeight="false" outlineLevel="0" collapsed="false">
      <c r="A548" s="1" t="str">
        <f aca="false">IF(对接源_01水果!$C548="","",对接源_01水果!$C548)</f>
        <v/>
      </c>
      <c r="B548" s="1" t="n">
        <f aca="false">IF(A548="",0,IF(MATCH(A548,$A$4:$A$2403,0)=ROW()-3,1,0))</f>
        <v>0</v>
      </c>
      <c r="C548" s="1" t="n">
        <f aca="false">N(C547)+B548</f>
        <v>13</v>
      </c>
      <c r="K548" s="1" t="n">
        <f aca="false">IF(OR($K$1="",对接源_01水果!$C548="",对接源_01水果!$C548&lt;&gt;$K$1,对接源_01水果!$B548=""),0,IF(OR(N(对接源_01水果!$B548)&lt;$K$2,N(对接源_01水果!$B548)&gt;$K$3),0,1))</f>
        <v>0</v>
      </c>
      <c r="L548" s="1" t="n">
        <f aca="false">IF(OR($L$1="",对接源_01水果!$C548="",对接源_01水果!$C548&lt;&gt;$L$1,对接源_01水果!$B548=""),0,IF(OR(N(对接源_01水果!$B548)&lt;$L$2,N(对接源_01水果!$B548)&gt;$L$3),0,1))</f>
        <v>0</v>
      </c>
      <c r="M548" s="1" t="n">
        <f aca="false">IF(OR($M$1="",对接源_01水果!$C548="",对接源_01水果!$C548&lt;&gt;$M$1,对接源_01水果!$B548=""),0,IF(OR(N(对接源_01水果!$B548)&lt;$M$2,N(对接源_01水果!$B548)&gt;$M$3),0,1))</f>
        <v>0</v>
      </c>
      <c r="N548" s="1" t="n">
        <f aca="false">IF(OR($N$1="",对接源_01水果!$C548="",对接源_01水果!$C548&lt;&gt;$N$1,对接源_01水果!$B548=""),0,IF(OR(N(对接源_01水果!$B548)&lt;$N$2,N(对接源_01水果!$B548)&gt;$N$3),0,1))</f>
        <v>0</v>
      </c>
      <c r="P548" s="1" t="n">
        <f aca="false">IF(AND($K548=1,AND(对接源_01水果!$X548="公司筐",N(对接源_01水果!$T548)&lt;&gt;0)),1,0)</f>
        <v>0</v>
      </c>
      <c r="Q548" s="1" t="n">
        <f aca="false">N(Q547)+$P548</f>
        <v>3</v>
      </c>
      <c r="R548" s="1" t="n">
        <f aca="false">IF(AND($K548=1,AND(对接源_01水果!$X548="公司筐",N(对接源_01水果!$U548)&lt;&gt;0)),1,0)</f>
        <v>0</v>
      </c>
      <c r="S548" s="1" t="n">
        <f aca="false">N(S547)+$R548</f>
        <v>0</v>
      </c>
      <c r="T548" s="1" t="n">
        <f aca="false">IF(AND($K548=1,AND(对接源_01水果!$X548="公司筐",N(对接源_01水果!$V548)&lt;&gt;0)),1,0)</f>
        <v>0</v>
      </c>
      <c r="U548" s="1" t="n">
        <f aca="false">N(U547)+$T548</f>
        <v>28</v>
      </c>
      <c r="V548" s="1" t="n">
        <f aca="false">IF(AND($L548=1,AND(对接源_01水果!$X548="自备筐",N(对接源_01水果!$V548)&lt;&gt;0)),1,0)</f>
        <v>0</v>
      </c>
      <c r="W548" s="1" t="n">
        <f aca="false">N(W547)+$V548</f>
        <v>7</v>
      </c>
      <c r="X548" s="1" t="n">
        <f aca="false">IF(AND($L548=1,AND(对接源_01水果!$X548="自备筐",N(对接源_01水果!$T548)&lt;&gt;0)),1,0)</f>
        <v>0</v>
      </c>
      <c r="Y548" s="1" t="n">
        <f aca="false">N(Y547)+$X548</f>
        <v>0</v>
      </c>
      <c r="Z548" s="1" t="n">
        <f aca="false">IF(AND($M548=1,对接源_01水果!$D548="原料入库"),1,0)</f>
        <v>0</v>
      </c>
      <c r="AA548" s="1" t="n">
        <f aca="false">N(AA547)+$Z548</f>
        <v>30</v>
      </c>
      <c r="AB548" s="1" t="n">
        <f aca="false">IF(AND($M548=1,LEFT(对接源_01水果!$D548,4)="原料出库"),1,0)</f>
        <v>0</v>
      </c>
      <c r="AC548" s="1" t="n">
        <f aca="false">N(AC547)+$AB548</f>
        <v>19</v>
      </c>
      <c r="AD548" s="1" t="n">
        <f aca="false">IF(AND($M548=1,LEFT(对接源_01水果!$D548,4)="成品出库"),1,0)</f>
        <v>0</v>
      </c>
      <c r="AE548" s="1" t="n">
        <f aca="false">N(AE547)+$AD548</f>
        <v>38</v>
      </c>
      <c r="AF548" s="1" t="n">
        <f aca="false">IF(AND($N548=1,AND(LEFT(对接源_01水果!$D548,4)="包装物料",N(对接源_01水果!$K548)&lt;&gt;0)),1,0)</f>
        <v>0</v>
      </c>
      <c r="AG548" s="90" t="str">
        <f aca="false">IF(对接源_01水果!$AC548="","",对接源_01水果!$AC548)</f>
        <v/>
      </c>
      <c r="AH548" s="1" t="n">
        <f aca="false">IF(AND($N548=1,AND(LEFT(对接源_01水果!$D548,3)="周转筐",N(对接源_01水果!$K548)&lt;&gt;0)),1,0)</f>
        <v>0</v>
      </c>
      <c r="AI548" s="90" t="n">
        <f aca="false">IF(AG548="",0,IF(MATCH(AG548,$AG$4:$AG$1203,0)=ROW()-3,1,0))</f>
        <v>0</v>
      </c>
      <c r="AJ548" s="90" t="n">
        <f aca="false">N(AJ547)+AI548</f>
        <v>4</v>
      </c>
      <c r="AK548" s="1" t="n">
        <f aca="false">N(AK547)+$AJ548</f>
        <v>1052</v>
      </c>
    </row>
    <row r="549" customFormat="false" ht="13.5" hidden="false" customHeight="false" outlineLevel="0" collapsed="false">
      <c r="A549" s="1" t="str">
        <f aca="false">IF(对接源_01水果!$C549="","",对接源_01水果!$C549)</f>
        <v/>
      </c>
      <c r="B549" s="1" t="n">
        <f aca="false">IF(A549="",0,IF(MATCH(A549,$A$4:$A$2403,0)=ROW()-3,1,0))</f>
        <v>0</v>
      </c>
      <c r="C549" s="1" t="n">
        <f aca="false">N(C548)+B549</f>
        <v>13</v>
      </c>
      <c r="K549" s="1" t="n">
        <f aca="false">IF(OR($K$1="",对接源_01水果!$C549="",对接源_01水果!$C549&lt;&gt;$K$1,对接源_01水果!$B549=""),0,IF(OR(N(对接源_01水果!$B549)&lt;$K$2,N(对接源_01水果!$B549)&gt;$K$3),0,1))</f>
        <v>0</v>
      </c>
      <c r="L549" s="1" t="n">
        <f aca="false">IF(OR($L$1="",对接源_01水果!$C549="",对接源_01水果!$C549&lt;&gt;$L$1,对接源_01水果!$B549=""),0,IF(OR(N(对接源_01水果!$B549)&lt;$L$2,N(对接源_01水果!$B549)&gt;$L$3),0,1))</f>
        <v>0</v>
      </c>
      <c r="M549" s="1" t="n">
        <f aca="false">IF(OR($M$1="",对接源_01水果!$C549="",对接源_01水果!$C549&lt;&gt;$M$1,对接源_01水果!$B549=""),0,IF(OR(N(对接源_01水果!$B549)&lt;$M$2,N(对接源_01水果!$B549)&gt;$M$3),0,1))</f>
        <v>0</v>
      </c>
      <c r="N549" s="1" t="n">
        <f aca="false">IF(OR($N$1="",对接源_01水果!$C549="",对接源_01水果!$C549&lt;&gt;$N$1,对接源_01水果!$B549=""),0,IF(OR(N(对接源_01水果!$B549)&lt;$N$2,N(对接源_01水果!$B549)&gt;$N$3),0,1))</f>
        <v>0</v>
      </c>
      <c r="P549" s="1" t="n">
        <f aca="false">IF(AND($K549=1,AND(对接源_01水果!$X549="公司筐",N(对接源_01水果!$T549)&lt;&gt;0)),1,0)</f>
        <v>0</v>
      </c>
      <c r="Q549" s="1" t="n">
        <f aca="false">N(Q548)+$P549</f>
        <v>3</v>
      </c>
      <c r="R549" s="1" t="n">
        <f aca="false">IF(AND($K549=1,AND(对接源_01水果!$X549="公司筐",N(对接源_01水果!$U549)&lt;&gt;0)),1,0)</f>
        <v>0</v>
      </c>
      <c r="S549" s="1" t="n">
        <f aca="false">N(S548)+$R549</f>
        <v>0</v>
      </c>
      <c r="T549" s="1" t="n">
        <f aca="false">IF(AND($K549=1,AND(对接源_01水果!$X549="公司筐",N(对接源_01水果!$V549)&lt;&gt;0)),1,0)</f>
        <v>0</v>
      </c>
      <c r="U549" s="1" t="n">
        <f aca="false">N(U548)+$T549</f>
        <v>28</v>
      </c>
      <c r="V549" s="1" t="n">
        <f aca="false">IF(AND($L549=1,AND(对接源_01水果!$X549="自备筐",N(对接源_01水果!$V549)&lt;&gt;0)),1,0)</f>
        <v>0</v>
      </c>
      <c r="W549" s="1" t="n">
        <f aca="false">N(W548)+$V549</f>
        <v>7</v>
      </c>
      <c r="X549" s="1" t="n">
        <f aca="false">IF(AND($L549=1,AND(对接源_01水果!$X549="自备筐",N(对接源_01水果!$T549)&lt;&gt;0)),1,0)</f>
        <v>0</v>
      </c>
      <c r="Y549" s="1" t="n">
        <f aca="false">N(Y548)+$X549</f>
        <v>0</v>
      </c>
      <c r="Z549" s="1" t="n">
        <f aca="false">IF(AND($M549=1,对接源_01水果!$D549="原料入库"),1,0)</f>
        <v>0</v>
      </c>
      <c r="AA549" s="1" t="n">
        <f aca="false">N(AA548)+$Z549</f>
        <v>30</v>
      </c>
      <c r="AB549" s="1" t="n">
        <f aca="false">IF(AND($M549=1,LEFT(对接源_01水果!$D549,4)="原料出库"),1,0)</f>
        <v>0</v>
      </c>
      <c r="AC549" s="1" t="n">
        <f aca="false">N(AC548)+$AB549</f>
        <v>19</v>
      </c>
      <c r="AD549" s="1" t="n">
        <f aca="false">IF(AND($M549=1,LEFT(对接源_01水果!$D549,4)="成品出库"),1,0)</f>
        <v>0</v>
      </c>
      <c r="AE549" s="1" t="n">
        <f aca="false">N(AE548)+$AD549</f>
        <v>38</v>
      </c>
      <c r="AF549" s="1" t="n">
        <f aca="false">IF(AND($N549=1,AND(LEFT(对接源_01水果!$D549,4)="包装物料",N(对接源_01水果!$K549)&lt;&gt;0)),1,0)</f>
        <v>0</v>
      </c>
      <c r="AG549" s="90" t="str">
        <f aca="false">IF(对接源_01水果!$AC549="","",对接源_01水果!$AC549)</f>
        <v/>
      </c>
      <c r="AH549" s="1" t="n">
        <f aca="false">IF(AND($N549=1,AND(LEFT(对接源_01水果!$D549,3)="周转筐",N(对接源_01水果!$K549)&lt;&gt;0)),1,0)</f>
        <v>0</v>
      </c>
      <c r="AI549" s="90" t="n">
        <f aca="false">IF(AG549="",0,IF(MATCH(AG549,$AG$4:$AG$1203,0)=ROW()-3,1,0))</f>
        <v>0</v>
      </c>
      <c r="AJ549" s="90" t="n">
        <f aca="false">N(AJ548)+AI549</f>
        <v>4</v>
      </c>
      <c r="AK549" s="1" t="n">
        <f aca="false">N(AK548)+$AJ549</f>
        <v>1056</v>
      </c>
    </row>
    <row r="550" customFormat="false" ht="13.5" hidden="false" customHeight="false" outlineLevel="0" collapsed="false">
      <c r="A550" s="1" t="str">
        <f aca="false">IF(对接源_01水果!$C550="","",对接源_01水果!$C550)</f>
        <v/>
      </c>
      <c r="B550" s="1" t="n">
        <f aca="false">IF(A550="",0,IF(MATCH(A550,$A$4:$A$2403,0)=ROW()-3,1,0))</f>
        <v>0</v>
      </c>
      <c r="C550" s="1" t="n">
        <f aca="false">N(C549)+B550</f>
        <v>13</v>
      </c>
      <c r="K550" s="1" t="n">
        <f aca="false">IF(OR($K$1="",对接源_01水果!$C550="",对接源_01水果!$C550&lt;&gt;$K$1,对接源_01水果!$B550=""),0,IF(OR(N(对接源_01水果!$B550)&lt;$K$2,N(对接源_01水果!$B550)&gt;$K$3),0,1))</f>
        <v>0</v>
      </c>
      <c r="L550" s="1" t="n">
        <f aca="false">IF(OR($L$1="",对接源_01水果!$C550="",对接源_01水果!$C550&lt;&gt;$L$1,对接源_01水果!$B550=""),0,IF(OR(N(对接源_01水果!$B550)&lt;$L$2,N(对接源_01水果!$B550)&gt;$L$3),0,1))</f>
        <v>0</v>
      </c>
      <c r="M550" s="1" t="n">
        <f aca="false">IF(OR($M$1="",对接源_01水果!$C550="",对接源_01水果!$C550&lt;&gt;$M$1,对接源_01水果!$B550=""),0,IF(OR(N(对接源_01水果!$B550)&lt;$M$2,N(对接源_01水果!$B550)&gt;$M$3),0,1))</f>
        <v>0</v>
      </c>
      <c r="N550" s="1" t="n">
        <f aca="false">IF(OR($N$1="",对接源_01水果!$C550="",对接源_01水果!$C550&lt;&gt;$N$1,对接源_01水果!$B550=""),0,IF(OR(N(对接源_01水果!$B550)&lt;$N$2,N(对接源_01水果!$B550)&gt;$N$3),0,1))</f>
        <v>0</v>
      </c>
      <c r="P550" s="1" t="n">
        <f aca="false">IF(AND($K550=1,AND(对接源_01水果!$X550="公司筐",N(对接源_01水果!$T550)&lt;&gt;0)),1,0)</f>
        <v>0</v>
      </c>
      <c r="Q550" s="1" t="n">
        <f aca="false">N(Q549)+$P550</f>
        <v>3</v>
      </c>
      <c r="R550" s="1" t="n">
        <f aca="false">IF(AND($K550=1,AND(对接源_01水果!$X550="公司筐",N(对接源_01水果!$U550)&lt;&gt;0)),1,0)</f>
        <v>0</v>
      </c>
      <c r="S550" s="1" t="n">
        <f aca="false">N(S549)+$R550</f>
        <v>0</v>
      </c>
      <c r="T550" s="1" t="n">
        <f aca="false">IF(AND($K550=1,AND(对接源_01水果!$X550="公司筐",N(对接源_01水果!$V550)&lt;&gt;0)),1,0)</f>
        <v>0</v>
      </c>
      <c r="U550" s="1" t="n">
        <f aca="false">N(U549)+$T550</f>
        <v>28</v>
      </c>
      <c r="V550" s="1" t="n">
        <f aca="false">IF(AND($L550=1,AND(对接源_01水果!$X550="自备筐",N(对接源_01水果!$V550)&lt;&gt;0)),1,0)</f>
        <v>0</v>
      </c>
      <c r="W550" s="1" t="n">
        <f aca="false">N(W549)+$V550</f>
        <v>7</v>
      </c>
      <c r="X550" s="1" t="n">
        <f aca="false">IF(AND($L550=1,AND(对接源_01水果!$X550="自备筐",N(对接源_01水果!$T550)&lt;&gt;0)),1,0)</f>
        <v>0</v>
      </c>
      <c r="Y550" s="1" t="n">
        <f aca="false">N(Y549)+$X550</f>
        <v>0</v>
      </c>
      <c r="Z550" s="1" t="n">
        <f aca="false">IF(AND($M550=1,对接源_01水果!$D550="原料入库"),1,0)</f>
        <v>0</v>
      </c>
      <c r="AA550" s="1" t="n">
        <f aca="false">N(AA549)+$Z550</f>
        <v>30</v>
      </c>
      <c r="AB550" s="1" t="n">
        <f aca="false">IF(AND($M550=1,LEFT(对接源_01水果!$D550,4)="原料出库"),1,0)</f>
        <v>0</v>
      </c>
      <c r="AC550" s="1" t="n">
        <f aca="false">N(AC549)+$AB550</f>
        <v>19</v>
      </c>
      <c r="AD550" s="1" t="n">
        <f aca="false">IF(AND($M550=1,LEFT(对接源_01水果!$D550,4)="成品出库"),1,0)</f>
        <v>0</v>
      </c>
      <c r="AE550" s="1" t="n">
        <f aca="false">N(AE549)+$AD550</f>
        <v>38</v>
      </c>
      <c r="AF550" s="1" t="n">
        <f aca="false">IF(AND($N550=1,AND(LEFT(对接源_01水果!$D550,4)="包装物料",N(对接源_01水果!$K550)&lt;&gt;0)),1,0)</f>
        <v>0</v>
      </c>
      <c r="AG550" s="90" t="str">
        <f aca="false">IF(对接源_01水果!$AC550="","",对接源_01水果!$AC550)</f>
        <v/>
      </c>
      <c r="AH550" s="1" t="n">
        <f aca="false">IF(AND($N550=1,AND(LEFT(对接源_01水果!$D550,3)="周转筐",N(对接源_01水果!$K550)&lt;&gt;0)),1,0)</f>
        <v>0</v>
      </c>
      <c r="AI550" s="90" t="n">
        <f aca="false">IF(AG550="",0,IF(MATCH(AG550,$AG$4:$AG$1203,0)=ROW()-3,1,0))</f>
        <v>0</v>
      </c>
      <c r="AJ550" s="90" t="n">
        <f aca="false">N(AJ549)+AI550</f>
        <v>4</v>
      </c>
      <c r="AK550" s="1" t="n">
        <f aca="false">N(AK549)+$AJ550</f>
        <v>1060</v>
      </c>
    </row>
    <row r="551" customFormat="false" ht="13.5" hidden="false" customHeight="false" outlineLevel="0" collapsed="false">
      <c r="A551" s="1" t="str">
        <f aca="false">IF(对接源_01水果!$C551="","",对接源_01水果!$C551)</f>
        <v/>
      </c>
      <c r="B551" s="1" t="n">
        <f aca="false">IF(A551="",0,IF(MATCH(A551,$A$4:$A$2403,0)=ROW()-3,1,0))</f>
        <v>0</v>
      </c>
      <c r="C551" s="1" t="n">
        <f aca="false">N(C550)+B551</f>
        <v>13</v>
      </c>
      <c r="K551" s="1" t="n">
        <f aca="false">IF(OR($K$1="",对接源_01水果!$C551="",对接源_01水果!$C551&lt;&gt;$K$1,对接源_01水果!$B551=""),0,IF(OR(N(对接源_01水果!$B551)&lt;$K$2,N(对接源_01水果!$B551)&gt;$K$3),0,1))</f>
        <v>0</v>
      </c>
      <c r="L551" s="1" t="n">
        <f aca="false">IF(OR($L$1="",对接源_01水果!$C551="",对接源_01水果!$C551&lt;&gt;$L$1,对接源_01水果!$B551=""),0,IF(OR(N(对接源_01水果!$B551)&lt;$L$2,N(对接源_01水果!$B551)&gt;$L$3),0,1))</f>
        <v>0</v>
      </c>
      <c r="M551" s="1" t="n">
        <f aca="false">IF(OR($M$1="",对接源_01水果!$C551="",对接源_01水果!$C551&lt;&gt;$M$1,对接源_01水果!$B551=""),0,IF(OR(N(对接源_01水果!$B551)&lt;$M$2,N(对接源_01水果!$B551)&gt;$M$3),0,1))</f>
        <v>0</v>
      </c>
      <c r="N551" s="1" t="n">
        <f aca="false">IF(OR($N$1="",对接源_01水果!$C551="",对接源_01水果!$C551&lt;&gt;$N$1,对接源_01水果!$B551=""),0,IF(OR(N(对接源_01水果!$B551)&lt;$N$2,N(对接源_01水果!$B551)&gt;$N$3),0,1))</f>
        <v>0</v>
      </c>
      <c r="P551" s="1" t="n">
        <f aca="false">IF(AND($K551=1,AND(对接源_01水果!$X551="公司筐",N(对接源_01水果!$T551)&lt;&gt;0)),1,0)</f>
        <v>0</v>
      </c>
      <c r="Q551" s="1" t="n">
        <f aca="false">N(Q550)+$P551</f>
        <v>3</v>
      </c>
      <c r="R551" s="1" t="n">
        <f aca="false">IF(AND($K551=1,AND(对接源_01水果!$X551="公司筐",N(对接源_01水果!$U551)&lt;&gt;0)),1,0)</f>
        <v>0</v>
      </c>
      <c r="S551" s="1" t="n">
        <f aca="false">N(S550)+$R551</f>
        <v>0</v>
      </c>
      <c r="T551" s="1" t="n">
        <f aca="false">IF(AND($K551=1,AND(对接源_01水果!$X551="公司筐",N(对接源_01水果!$V551)&lt;&gt;0)),1,0)</f>
        <v>0</v>
      </c>
      <c r="U551" s="1" t="n">
        <f aca="false">N(U550)+$T551</f>
        <v>28</v>
      </c>
      <c r="V551" s="1" t="n">
        <f aca="false">IF(AND($L551=1,AND(对接源_01水果!$X551="自备筐",N(对接源_01水果!$V551)&lt;&gt;0)),1,0)</f>
        <v>0</v>
      </c>
      <c r="W551" s="1" t="n">
        <f aca="false">N(W550)+$V551</f>
        <v>7</v>
      </c>
      <c r="X551" s="1" t="n">
        <f aca="false">IF(AND($L551=1,AND(对接源_01水果!$X551="自备筐",N(对接源_01水果!$T551)&lt;&gt;0)),1,0)</f>
        <v>0</v>
      </c>
      <c r="Y551" s="1" t="n">
        <f aca="false">N(Y550)+$X551</f>
        <v>0</v>
      </c>
      <c r="Z551" s="1" t="n">
        <f aca="false">IF(AND($M551=1,对接源_01水果!$D551="原料入库"),1,0)</f>
        <v>0</v>
      </c>
      <c r="AA551" s="1" t="n">
        <f aca="false">N(AA550)+$Z551</f>
        <v>30</v>
      </c>
      <c r="AB551" s="1" t="n">
        <f aca="false">IF(AND($M551=1,LEFT(对接源_01水果!$D551,4)="原料出库"),1,0)</f>
        <v>0</v>
      </c>
      <c r="AC551" s="1" t="n">
        <f aca="false">N(AC550)+$AB551</f>
        <v>19</v>
      </c>
      <c r="AD551" s="1" t="n">
        <f aca="false">IF(AND($M551=1,LEFT(对接源_01水果!$D551,4)="成品出库"),1,0)</f>
        <v>0</v>
      </c>
      <c r="AE551" s="1" t="n">
        <f aca="false">N(AE550)+$AD551</f>
        <v>38</v>
      </c>
      <c r="AF551" s="1" t="n">
        <f aca="false">IF(AND($N551=1,AND(LEFT(对接源_01水果!$D551,4)="包装物料",N(对接源_01水果!$K551)&lt;&gt;0)),1,0)</f>
        <v>0</v>
      </c>
      <c r="AG551" s="90" t="str">
        <f aca="false">IF(对接源_01水果!$AC551="","",对接源_01水果!$AC551)</f>
        <v/>
      </c>
      <c r="AH551" s="1" t="n">
        <f aca="false">IF(AND($N551=1,AND(LEFT(对接源_01水果!$D551,3)="周转筐",N(对接源_01水果!$K551)&lt;&gt;0)),1,0)</f>
        <v>0</v>
      </c>
      <c r="AI551" s="90" t="n">
        <f aca="false">IF(AG551="",0,IF(MATCH(AG551,$AG$4:$AG$1203,0)=ROW()-3,1,0))</f>
        <v>0</v>
      </c>
      <c r="AJ551" s="90" t="n">
        <f aca="false">N(AJ550)+AI551</f>
        <v>4</v>
      </c>
      <c r="AK551" s="1" t="n">
        <f aca="false">N(AK550)+$AJ551</f>
        <v>1064</v>
      </c>
    </row>
    <row r="552" customFormat="false" ht="13.5" hidden="false" customHeight="false" outlineLevel="0" collapsed="false">
      <c r="A552" s="1" t="str">
        <f aca="false">IF(对接源_01水果!$C552="","",对接源_01水果!$C552)</f>
        <v/>
      </c>
      <c r="B552" s="1" t="n">
        <f aca="false">IF(A552="",0,IF(MATCH(A552,$A$4:$A$2403,0)=ROW()-3,1,0))</f>
        <v>0</v>
      </c>
      <c r="C552" s="1" t="n">
        <f aca="false">N(C551)+B552</f>
        <v>13</v>
      </c>
      <c r="K552" s="1" t="n">
        <f aca="false">IF(OR($K$1="",对接源_01水果!$C552="",对接源_01水果!$C552&lt;&gt;$K$1,对接源_01水果!$B552=""),0,IF(OR(N(对接源_01水果!$B552)&lt;$K$2,N(对接源_01水果!$B552)&gt;$K$3),0,1))</f>
        <v>0</v>
      </c>
      <c r="L552" s="1" t="n">
        <f aca="false">IF(OR($L$1="",对接源_01水果!$C552="",对接源_01水果!$C552&lt;&gt;$L$1,对接源_01水果!$B552=""),0,IF(OR(N(对接源_01水果!$B552)&lt;$L$2,N(对接源_01水果!$B552)&gt;$L$3),0,1))</f>
        <v>0</v>
      </c>
      <c r="M552" s="1" t="n">
        <f aca="false">IF(OR($M$1="",对接源_01水果!$C552="",对接源_01水果!$C552&lt;&gt;$M$1,对接源_01水果!$B552=""),0,IF(OR(N(对接源_01水果!$B552)&lt;$M$2,N(对接源_01水果!$B552)&gt;$M$3),0,1))</f>
        <v>0</v>
      </c>
      <c r="N552" s="1" t="n">
        <f aca="false">IF(OR($N$1="",对接源_01水果!$C552="",对接源_01水果!$C552&lt;&gt;$N$1,对接源_01水果!$B552=""),0,IF(OR(N(对接源_01水果!$B552)&lt;$N$2,N(对接源_01水果!$B552)&gt;$N$3),0,1))</f>
        <v>0</v>
      </c>
      <c r="P552" s="1" t="n">
        <f aca="false">IF(AND($K552=1,AND(对接源_01水果!$X552="公司筐",N(对接源_01水果!$T552)&lt;&gt;0)),1,0)</f>
        <v>0</v>
      </c>
      <c r="Q552" s="1" t="n">
        <f aca="false">N(Q551)+$P552</f>
        <v>3</v>
      </c>
      <c r="R552" s="1" t="n">
        <f aca="false">IF(AND($K552=1,AND(对接源_01水果!$X552="公司筐",N(对接源_01水果!$U552)&lt;&gt;0)),1,0)</f>
        <v>0</v>
      </c>
      <c r="S552" s="1" t="n">
        <f aca="false">N(S551)+$R552</f>
        <v>0</v>
      </c>
      <c r="T552" s="1" t="n">
        <f aca="false">IF(AND($K552=1,AND(对接源_01水果!$X552="公司筐",N(对接源_01水果!$V552)&lt;&gt;0)),1,0)</f>
        <v>0</v>
      </c>
      <c r="U552" s="1" t="n">
        <f aca="false">N(U551)+$T552</f>
        <v>28</v>
      </c>
      <c r="V552" s="1" t="n">
        <f aca="false">IF(AND($L552=1,AND(对接源_01水果!$X552="自备筐",N(对接源_01水果!$V552)&lt;&gt;0)),1,0)</f>
        <v>0</v>
      </c>
      <c r="W552" s="1" t="n">
        <f aca="false">N(W551)+$V552</f>
        <v>7</v>
      </c>
      <c r="X552" s="1" t="n">
        <f aca="false">IF(AND($L552=1,AND(对接源_01水果!$X552="自备筐",N(对接源_01水果!$T552)&lt;&gt;0)),1,0)</f>
        <v>0</v>
      </c>
      <c r="Y552" s="1" t="n">
        <f aca="false">N(Y551)+$X552</f>
        <v>0</v>
      </c>
      <c r="Z552" s="1" t="n">
        <f aca="false">IF(AND($M552=1,对接源_01水果!$D552="原料入库"),1,0)</f>
        <v>0</v>
      </c>
      <c r="AA552" s="1" t="n">
        <f aca="false">N(AA551)+$Z552</f>
        <v>30</v>
      </c>
      <c r="AB552" s="1" t="n">
        <f aca="false">IF(AND($M552=1,LEFT(对接源_01水果!$D552,4)="原料出库"),1,0)</f>
        <v>0</v>
      </c>
      <c r="AC552" s="1" t="n">
        <f aca="false">N(AC551)+$AB552</f>
        <v>19</v>
      </c>
      <c r="AD552" s="1" t="n">
        <f aca="false">IF(AND($M552=1,LEFT(对接源_01水果!$D552,4)="成品出库"),1,0)</f>
        <v>0</v>
      </c>
      <c r="AE552" s="1" t="n">
        <f aca="false">N(AE551)+$AD552</f>
        <v>38</v>
      </c>
      <c r="AF552" s="1" t="n">
        <f aca="false">IF(AND($N552=1,AND(LEFT(对接源_01水果!$D552,4)="包装物料",N(对接源_01水果!$K552)&lt;&gt;0)),1,0)</f>
        <v>0</v>
      </c>
      <c r="AG552" s="90" t="str">
        <f aca="false">IF(对接源_01水果!$AC552="","",对接源_01水果!$AC552)</f>
        <v/>
      </c>
      <c r="AH552" s="1" t="n">
        <f aca="false">IF(AND($N552=1,AND(LEFT(对接源_01水果!$D552,3)="周转筐",N(对接源_01水果!$K552)&lt;&gt;0)),1,0)</f>
        <v>0</v>
      </c>
      <c r="AI552" s="90" t="n">
        <f aca="false">IF(AG552="",0,IF(MATCH(AG552,$AG$4:$AG$1203,0)=ROW()-3,1,0))</f>
        <v>0</v>
      </c>
      <c r="AJ552" s="90" t="n">
        <f aca="false">N(AJ551)+AI552</f>
        <v>4</v>
      </c>
      <c r="AK552" s="1" t="n">
        <f aca="false">N(AK551)+$AJ552</f>
        <v>1068</v>
      </c>
    </row>
    <row r="553" customFormat="false" ht="13.5" hidden="false" customHeight="false" outlineLevel="0" collapsed="false">
      <c r="A553" s="1" t="str">
        <f aca="false">IF(对接源_01水果!$C553="","",对接源_01水果!$C553)</f>
        <v/>
      </c>
      <c r="B553" s="1" t="n">
        <f aca="false">IF(A553="",0,IF(MATCH(A553,$A$4:$A$2403,0)=ROW()-3,1,0))</f>
        <v>0</v>
      </c>
      <c r="C553" s="1" t="n">
        <f aca="false">N(C552)+B553</f>
        <v>13</v>
      </c>
      <c r="K553" s="1" t="n">
        <f aca="false">IF(OR($K$1="",对接源_01水果!$C553="",对接源_01水果!$C553&lt;&gt;$K$1,对接源_01水果!$B553=""),0,IF(OR(N(对接源_01水果!$B553)&lt;$K$2,N(对接源_01水果!$B553)&gt;$K$3),0,1))</f>
        <v>0</v>
      </c>
      <c r="L553" s="1" t="n">
        <f aca="false">IF(OR($L$1="",对接源_01水果!$C553="",对接源_01水果!$C553&lt;&gt;$L$1,对接源_01水果!$B553=""),0,IF(OR(N(对接源_01水果!$B553)&lt;$L$2,N(对接源_01水果!$B553)&gt;$L$3),0,1))</f>
        <v>0</v>
      </c>
      <c r="M553" s="1" t="n">
        <f aca="false">IF(OR($M$1="",对接源_01水果!$C553="",对接源_01水果!$C553&lt;&gt;$M$1,对接源_01水果!$B553=""),0,IF(OR(N(对接源_01水果!$B553)&lt;$M$2,N(对接源_01水果!$B553)&gt;$M$3),0,1))</f>
        <v>0</v>
      </c>
      <c r="N553" s="1" t="n">
        <f aca="false">IF(OR($N$1="",对接源_01水果!$C553="",对接源_01水果!$C553&lt;&gt;$N$1,对接源_01水果!$B553=""),0,IF(OR(N(对接源_01水果!$B553)&lt;$N$2,N(对接源_01水果!$B553)&gt;$N$3),0,1))</f>
        <v>0</v>
      </c>
      <c r="P553" s="1" t="n">
        <f aca="false">IF(AND($K553=1,AND(对接源_01水果!$X553="公司筐",N(对接源_01水果!$T553)&lt;&gt;0)),1,0)</f>
        <v>0</v>
      </c>
      <c r="Q553" s="1" t="n">
        <f aca="false">N(Q552)+$P553</f>
        <v>3</v>
      </c>
      <c r="R553" s="1" t="n">
        <f aca="false">IF(AND($K553=1,AND(对接源_01水果!$X553="公司筐",N(对接源_01水果!$U553)&lt;&gt;0)),1,0)</f>
        <v>0</v>
      </c>
      <c r="S553" s="1" t="n">
        <f aca="false">N(S552)+$R553</f>
        <v>0</v>
      </c>
      <c r="T553" s="1" t="n">
        <f aca="false">IF(AND($K553=1,AND(对接源_01水果!$X553="公司筐",N(对接源_01水果!$V553)&lt;&gt;0)),1,0)</f>
        <v>0</v>
      </c>
      <c r="U553" s="1" t="n">
        <f aca="false">N(U552)+$T553</f>
        <v>28</v>
      </c>
      <c r="V553" s="1" t="n">
        <f aca="false">IF(AND($L553=1,AND(对接源_01水果!$X553="自备筐",N(对接源_01水果!$V553)&lt;&gt;0)),1,0)</f>
        <v>0</v>
      </c>
      <c r="W553" s="1" t="n">
        <f aca="false">N(W552)+$V553</f>
        <v>7</v>
      </c>
      <c r="X553" s="1" t="n">
        <f aca="false">IF(AND($L553=1,AND(对接源_01水果!$X553="自备筐",N(对接源_01水果!$T553)&lt;&gt;0)),1,0)</f>
        <v>0</v>
      </c>
      <c r="Y553" s="1" t="n">
        <f aca="false">N(Y552)+$X553</f>
        <v>0</v>
      </c>
      <c r="Z553" s="1" t="n">
        <f aca="false">IF(AND($M553=1,对接源_01水果!$D553="原料入库"),1,0)</f>
        <v>0</v>
      </c>
      <c r="AA553" s="1" t="n">
        <f aca="false">N(AA552)+$Z553</f>
        <v>30</v>
      </c>
      <c r="AB553" s="1" t="n">
        <f aca="false">IF(AND($M553=1,LEFT(对接源_01水果!$D553,4)="原料出库"),1,0)</f>
        <v>0</v>
      </c>
      <c r="AC553" s="1" t="n">
        <f aca="false">N(AC552)+$AB553</f>
        <v>19</v>
      </c>
      <c r="AD553" s="1" t="n">
        <f aca="false">IF(AND($M553=1,LEFT(对接源_01水果!$D553,4)="成品出库"),1,0)</f>
        <v>0</v>
      </c>
      <c r="AE553" s="1" t="n">
        <f aca="false">N(AE552)+$AD553</f>
        <v>38</v>
      </c>
      <c r="AF553" s="1" t="n">
        <f aca="false">IF(AND($N553=1,AND(LEFT(对接源_01水果!$D553,4)="包装物料",N(对接源_01水果!$K553)&lt;&gt;0)),1,0)</f>
        <v>0</v>
      </c>
      <c r="AG553" s="90" t="str">
        <f aca="false">IF(对接源_01水果!$AC553="","",对接源_01水果!$AC553)</f>
        <v/>
      </c>
      <c r="AH553" s="1" t="n">
        <f aca="false">IF(AND($N553=1,AND(LEFT(对接源_01水果!$D553,3)="周转筐",N(对接源_01水果!$K553)&lt;&gt;0)),1,0)</f>
        <v>0</v>
      </c>
      <c r="AI553" s="90" t="n">
        <f aca="false">IF(AG553="",0,IF(MATCH(AG553,$AG$4:$AG$1203,0)=ROW()-3,1,0))</f>
        <v>0</v>
      </c>
      <c r="AJ553" s="90" t="n">
        <f aca="false">N(AJ552)+AI553</f>
        <v>4</v>
      </c>
      <c r="AK553" s="1" t="n">
        <f aca="false">N(AK552)+$AJ553</f>
        <v>1072</v>
      </c>
    </row>
    <row r="554" customFormat="false" ht="13.5" hidden="false" customHeight="false" outlineLevel="0" collapsed="false">
      <c r="A554" s="1" t="str">
        <f aca="false">IF(对接源_01水果!$C554="","",对接源_01水果!$C554)</f>
        <v/>
      </c>
      <c r="B554" s="1" t="n">
        <f aca="false">IF(A554="",0,IF(MATCH(A554,$A$4:$A$2403,0)=ROW()-3,1,0))</f>
        <v>0</v>
      </c>
      <c r="C554" s="1" t="n">
        <f aca="false">N(C553)+B554</f>
        <v>13</v>
      </c>
      <c r="K554" s="1" t="n">
        <f aca="false">IF(OR($K$1="",对接源_01水果!$C554="",对接源_01水果!$C554&lt;&gt;$K$1,对接源_01水果!$B554=""),0,IF(OR(N(对接源_01水果!$B554)&lt;$K$2,N(对接源_01水果!$B554)&gt;$K$3),0,1))</f>
        <v>0</v>
      </c>
      <c r="L554" s="1" t="n">
        <f aca="false">IF(OR($L$1="",对接源_01水果!$C554="",对接源_01水果!$C554&lt;&gt;$L$1,对接源_01水果!$B554=""),0,IF(OR(N(对接源_01水果!$B554)&lt;$L$2,N(对接源_01水果!$B554)&gt;$L$3),0,1))</f>
        <v>0</v>
      </c>
      <c r="M554" s="1" t="n">
        <f aca="false">IF(OR($M$1="",对接源_01水果!$C554="",对接源_01水果!$C554&lt;&gt;$M$1,对接源_01水果!$B554=""),0,IF(OR(N(对接源_01水果!$B554)&lt;$M$2,N(对接源_01水果!$B554)&gt;$M$3),0,1))</f>
        <v>0</v>
      </c>
      <c r="N554" s="1" t="n">
        <f aca="false">IF(OR($N$1="",对接源_01水果!$C554="",对接源_01水果!$C554&lt;&gt;$N$1,对接源_01水果!$B554=""),0,IF(OR(N(对接源_01水果!$B554)&lt;$N$2,N(对接源_01水果!$B554)&gt;$N$3),0,1))</f>
        <v>0</v>
      </c>
      <c r="P554" s="1" t="n">
        <f aca="false">IF(AND($K554=1,AND(对接源_01水果!$X554="公司筐",N(对接源_01水果!$T554)&lt;&gt;0)),1,0)</f>
        <v>0</v>
      </c>
      <c r="Q554" s="1" t="n">
        <f aca="false">N(Q553)+$P554</f>
        <v>3</v>
      </c>
      <c r="R554" s="1" t="n">
        <f aca="false">IF(AND($K554=1,AND(对接源_01水果!$X554="公司筐",N(对接源_01水果!$U554)&lt;&gt;0)),1,0)</f>
        <v>0</v>
      </c>
      <c r="S554" s="1" t="n">
        <f aca="false">N(S553)+$R554</f>
        <v>0</v>
      </c>
      <c r="T554" s="1" t="n">
        <f aca="false">IF(AND($K554=1,AND(对接源_01水果!$X554="公司筐",N(对接源_01水果!$V554)&lt;&gt;0)),1,0)</f>
        <v>0</v>
      </c>
      <c r="U554" s="1" t="n">
        <f aca="false">N(U553)+$T554</f>
        <v>28</v>
      </c>
      <c r="V554" s="1" t="n">
        <f aca="false">IF(AND($L554=1,AND(对接源_01水果!$X554="自备筐",N(对接源_01水果!$V554)&lt;&gt;0)),1,0)</f>
        <v>0</v>
      </c>
      <c r="W554" s="1" t="n">
        <f aca="false">N(W553)+$V554</f>
        <v>7</v>
      </c>
      <c r="X554" s="1" t="n">
        <f aca="false">IF(AND($L554=1,AND(对接源_01水果!$X554="自备筐",N(对接源_01水果!$T554)&lt;&gt;0)),1,0)</f>
        <v>0</v>
      </c>
      <c r="Y554" s="1" t="n">
        <f aca="false">N(Y553)+$X554</f>
        <v>0</v>
      </c>
      <c r="Z554" s="1" t="n">
        <f aca="false">IF(AND($M554=1,对接源_01水果!$D554="原料入库"),1,0)</f>
        <v>0</v>
      </c>
      <c r="AA554" s="1" t="n">
        <f aca="false">N(AA553)+$Z554</f>
        <v>30</v>
      </c>
      <c r="AB554" s="1" t="n">
        <f aca="false">IF(AND($M554=1,LEFT(对接源_01水果!$D554,4)="原料出库"),1,0)</f>
        <v>0</v>
      </c>
      <c r="AC554" s="1" t="n">
        <f aca="false">N(AC553)+$AB554</f>
        <v>19</v>
      </c>
      <c r="AD554" s="1" t="n">
        <f aca="false">IF(AND($M554=1,LEFT(对接源_01水果!$D554,4)="成品出库"),1,0)</f>
        <v>0</v>
      </c>
      <c r="AE554" s="1" t="n">
        <f aca="false">N(AE553)+$AD554</f>
        <v>38</v>
      </c>
      <c r="AF554" s="1" t="n">
        <f aca="false">IF(AND($N554=1,AND(LEFT(对接源_01水果!$D554,4)="包装物料",N(对接源_01水果!$K554)&lt;&gt;0)),1,0)</f>
        <v>0</v>
      </c>
      <c r="AG554" s="90" t="str">
        <f aca="false">IF(对接源_01水果!$AC554="","",对接源_01水果!$AC554)</f>
        <v/>
      </c>
      <c r="AH554" s="1" t="n">
        <f aca="false">IF(AND($N554=1,AND(LEFT(对接源_01水果!$D554,3)="周转筐",N(对接源_01水果!$K554)&lt;&gt;0)),1,0)</f>
        <v>0</v>
      </c>
      <c r="AI554" s="90" t="n">
        <f aca="false">IF(AG554="",0,IF(MATCH(AG554,$AG$4:$AG$1203,0)=ROW()-3,1,0))</f>
        <v>0</v>
      </c>
      <c r="AJ554" s="90" t="n">
        <f aca="false">N(AJ553)+AI554</f>
        <v>4</v>
      </c>
      <c r="AK554" s="1" t="n">
        <f aca="false">N(AK553)+$AJ554</f>
        <v>1076</v>
      </c>
    </row>
    <row r="555" customFormat="false" ht="13.5" hidden="false" customHeight="false" outlineLevel="0" collapsed="false">
      <c r="A555" s="1" t="str">
        <f aca="false">IF(对接源_01水果!$C555="","",对接源_01水果!$C555)</f>
        <v/>
      </c>
      <c r="B555" s="1" t="n">
        <f aca="false">IF(A555="",0,IF(MATCH(A555,$A$4:$A$2403,0)=ROW()-3,1,0))</f>
        <v>0</v>
      </c>
      <c r="C555" s="1" t="n">
        <f aca="false">N(C554)+B555</f>
        <v>13</v>
      </c>
      <c r="K555" s="1" t="n">
        <f aca="false">IF(OR($K$1="",对接源_01水果!$C555="",对接源_01水果!$C555&lt;&gt;$K$1,对接源_01水果!$B555=""),0,IF(OR(N(对接源_01水果!$B555)&lt;$K$2,N(对接源_01水果!$B555)&gt;$K$3),0,1))</f>
        <v>0</v>
      </c>
      <c r="L555" s="1" t="n">
        <f aca="false">IF(OR($L$1="",对接源_01水果!$C555="",对接源_01水果!$C555&lt;&gt;$L$1,对接源_01水果!$B555=""),0,IF(OR(N(对接源_01水果!$B555)&lt;$L$2,N(对接源_01水果!$B555)&gt;$L$3),0,1))</f>
        <v>0</v>
      </c>
      <c r="M555" s="1" t="n">
        <f aca="false">IF(OR($M$1="",对接源_01水果!$C555="",对接源_01水果!$C555&lt;&gt;$M$1,对接源_01水果!$B555=""),0,IF(OR(N(对接源_01水果!$B555)&lt;$M$2,N(对接源_01水果!$B555)&gt;$M$3),0,1))</f>
        <v>0</v>
      </c>
      <c r="N555" s="1" t="n">
        <f aca="false">IF(OR($N$1="",对接源_01水果!$C555="",对接源_01水果!$C555&lt;&gt;$N$1,对接源_01水果!$B555=""),0,IF(OR(N(对接源_01水果!$B555)&lt;$N$2,N(对接源_01水果!$B555)&gt;$N$3),0,1))</f>
        <v>0</v>
      </c>
      <c r="P555" s="1" t="n">
        <f aca="false">IF(AND($K555=1,AND(对接源_01水果!$X555="公司筐",N(对接源_01水果!$T555)&lt;&gt;0)),1,0)</f>
        <v>0</v>
      </c>
      <c r="Q555" s="1" t="n">
        <f aca="false">N(Q554)+$P555</f>
        <v>3</v>
      </c>
      <c r="R555" s="1" t="n">
        <f aca="false">IF(AND($K555=1,AND(对接源_01水果!$X555="公司筐",N(对接源_01水果!$U555)&lt;&gt;0)),1,0)</f>
        <v>0</v>
      </c>
      <c r="S555" s="1" t="n">
        <f aca="false">N(S554)+$R555</f>
        <v>0</v>
      </c>
      <c r="T555" s="1" t="n">
        <f aca="false">IF(AND($K555=1,AND(对接源_01水果!$X555="公司筐",N(对接源_01水果!$V555)&lt;&gt;0)),1,0)</f>
        <v>0</v>
      </c>
      <c r="U555" s="1" t="n">
        <f aca="false">N(U554)+$T555</f>
        <v>28</v>
      </c>
      <c r="V555" s="1" t="n">
        <f aca="false">IF(AND($L555=1,AND(对接源_01水果!$X555="自备筐",N(对接源_01水果!$V555)&lt;&gt;0)),1,0)</f>
        <v>0</v>
      </c>
      <c r="W555" s="1" t="n">
        <f aca="false">N(W554)+$V555</f>
        <v>7</v>
      </c>
      <c r="X555" s="1" t="n">
        <f aca="false">IF(AND($L555=1,AND(对接源_01水果!$X555="自备筐",N(对接源_01水果!$T555)&lt;&gt;0)),1,0)</f>
        <v>0</v>
      </c>
      <c r="Y555" s="1" t="n">
        <f aca="false">N(Y554)+$X555</f>
        <v>0</v>
      </c>
      <c r="Z555" s="1" t="n">
        <f aca="false">IF(AND($M555=1,对接源_01水果!$D555="原料入库"),1,0)</f>
        <v>0</v>
      </c>
      <c r="AA555" s="1" t="n">
        <f aca="false">N(AA554)+$Z555</f>
        <v>30</v>
      </c>
      <c r="AB555" s="1" t="n">
        <f aca="false">IF(AND($M555=1,LEFT(对接源_01水果!$D555,4)="原料出库"),1,0)</f>
        <v>0</v>
      </c>
      <c r="AC555" s="1" t="n">
        <f aca="false">N(AC554)+$AB555</f>
        <v>19</v>
      </c>
      <c r="AD555" s="1" t="n">
        <f aca="false">IF(AND($M555=1,LEFT(对接源_01水果!$D555,4)="成品出库"),1,0)</f>
        <v>0</v>
      </c>
      <c r="AE555" s="1" t="n">
        <f aca="false">N(AE554)+$AD555</f>
        <v>38</v>
      </c>
      <c r="AF555" s="1" t="n">
        <f aca="false">IF(AND($N555=1,AND(LEFT(对接源_01水果!$D555,4)="包装物料",N(对接源_01水果!$K555)&lt;&gt;0)),1,0)</f>
        <v>0</v>
      </c>
      <c r="AG555" s="90" t="str">
        <f aca="false">IF(对接源_01水果!$AC555="","",对接源_01水果!$AC555)</f>
        <v/>
      </c>
      <c r="AH555" s="1" t="n">
        <f aca="false">IF(AND($N555=1,AND(LEFT(对接源_01水果!$D555,3)="周转筐",N(对接源_01水果!$K555)&lt;&gt;0)),1,0)</f>
        <v>0</v>
      </c>
      <c r="AI555" s="90" t="n">
        <f aca="false">IF(AG555="",0,IF(MATCH(AG555,$AG$4:$AG$1203,0)=ROW()-3,1,0))</f>
        <v>0</v>
      </c>
      <c r="AJ555" s="90" t="n">
        <f aca="false">N(AJ554)+AI555</f>
        <v>4</v>
      </c>
      <c r="AK555" s="1" t="n">
        <f aca="false">N(AK554)+$AJ555</f>
        <v>1080</v>
      </c>
    </row>
    <row r="556" customFormat="false" ht="13.5" hidden="false" customHeight="false" outlineLevel="0" collapsed="false">
      <c r="A556" s="1" t="str">
        <f aca="false">IF(对接源_01水果!$C556="","",对接源_01水果!$C556)</f>
        <v/>
      </c>
      <c r="B556" s="1" t="n">
        <f aca="false">IF(A556="",0,IF(MATCH(A556,$A$4:$A$2403,0)=ROW()-3,1,0))</f>
        <v>0</v>
      </c>
      <c r="C556" s="1" t="n">
        <f aca="false">N(C555)+B556</f>
        <v>13</v>
      </c>
      <c r="K556" s="1" t="n">
        <f aca="false">IF(OR($K$1="",对接源_01水果!$C556="",对接源_01水果!$C556&lt;&gt;$K$1,对接源_01水果!$B556=""),0,IF(OR(N(对接源_01水果!$B556)&lt;$K$2,N(对接源_01水果!$B556)&gt;$K$3),0,1))</f>
        <v>0</v>
      </c>
      <c r="L556" s="1" t="n">
        <f aca="false">IF(OR($L$1="",对接源_01水果!$C556="",对接源_01水果!$C556&lt;&gt;$L$1,对接源_01水果!$B556=""),0,IF(OR(N(对接源_01水果!$B556)&lt;$L$2,N(对接源_01水果!$B556)&gt;$L$3),0,1))</f>
        <v>0</v>
      </c>
      <c r="M556" s="1" t="n">
        <f aca="false">IF(OR($M$1="",对接源_01水果!$C556="",对接源_01水果!$C556&lt;&gt;$M$1,对接源_01水果!$B556=""),0,IF(OR(N(对接源_01水果!$B556)&lt;$M$2,N(对接源_01水果!$B556)&gt;$M$3),0,1))</f>
        <v>0</v>
      </c>
      <c r="N556" s="1" t="n">
        <f aca="false">IF(OR($N$1="",对接源_01水果!$C556="",对接源_01水果!$C556&lt;&gt;$N$1,对接源_01水果!$B556=""),0,IF(OR(N(对接源_01水果!$B556)&lt;$N$2,N(对接源_01水果!$B556)&gt;$N$3),0,1))</f>
        <v>0</v>
      </c>
      <c r="P556" s="1" t="n">
        <f aca="false">IF(AND($K556=1,AND(对接源_01水果!$X556="公司筐",N(对接源_01水果!$T556)&lt;&gt;0)),1,0)</f>
        <v>0</v>
      </c>
      <c r="Q556" s="1" t="n">
        <f aca="false">N(Q555)+$P556</f>
        <v>3</v>
      </c>
      <c r="R556" s="1" t="n">
        <f aca="false">IF(AND($K556=1,AND(对接源_01水果!$X556="公司筐",N(对接源_01水果!$U556)&lt;&gt;0)),1,0)</f>
        <v>0</v>
      </c>
      <c r="S556" s="1" t="n">
        <f aca="false">N(S555)+$R556</f>
        <v>0</v>
      </c>
      <c r="T556" s="1" t="n">
        <f aca="false">IF(AND($K556=1,AND(对接源_01水果!$X556="公司筐",N(对接源_01水果!$V556)&lt;&gt;0)),1,0)</f>
        <v>0</v>
      </c>
      <c r="U556" s="1" t="n">
        <f aca="false">N(U555)+$T556</f>
        <v>28</v>
      </c>
      <c r="V556" s="1" t="n">
        <f aca="false">IF(AND($L556=1,AND(对接源_01水果!$X556="自备筐",N(对接源_01水果!$V556)&lt;&gt;0)),1,0)</f>
        <v>0</v>
      </c>
      <c r="W556" s="1" t="n">
        <f aca="false">N(W555)+$V556</f>
        <v>7</v>
      </c>
      <c r="X556" s="1" t="n">
        <f aca="false">IF(AND($L556=1,AND(对接源_01水果!$X556="自备筐",N(对接源_01水果!$T556)&lt;&gt;0)),1,0)</f>
        <v>0</v>
      </c>
      <c r="Y556" s="1" t="n">
        <f aca="false">N(Y555)+$X556</f>
        <v>0</v>
      </c>
      <c r="Z556" s="1" t="n">
        <f aca="false">IF(AND($M556=1,对接源_01水果!$D556="原料入库"),1,0)</f>
        <v>0</v>
      </c>
      <c r="AA556" s="1" t="n">
        <f aca="false">N(AA555)+$Z556</f>
        <v>30</v>
      </c>
      <c r="AB556" s="1" t="n">
        <f aca="false">IF(AND($M556=1,LEFT(对接源_01水果!$D556,4)="原料出库"),1,0)</f>
        <v>0</v>
      </c>
      <c r="AC556" s="1" t="n">
        <f aca="false">N(AC555)+$AB556</f>
        <v>19</v>
      </c>
      <c r="AD556" s="1" t="n">
        <f aca="false">IF(AND($M556=1,LEFT(对接源_01水果!$D556,4)="成品出库"),1,0)</f>
        <v>0</v>
      </c>
      <c r="AE556" s="1" t="n">
        <f aca="false">N(AE555)+$AD556</f>
        <v>38</v>
      </c>
      <c r="AF556" s="1" t="n">
        <f aca="false">IF(AND($N556=1,AND(LEFT(对接源_01水果!$D556,4)="包装物料",N(对接源_01水果!$K556)&lt;&gt;0)),1,0)</f>
        <v>0</v>
      </c>
      <c r="AG556" s="90" t="str">
        <f aca="false">IF(对接源_01水果!$AC556="","",对接源_01水果!$AC556)</f>
        <v/>
      </c>
      <c r="AH556" s="1" t="n">
        <f aca="false">IF(AND($N556=1,AND(LEFT(对接源_01水果!$D556,3)="周转筐",N(对接源_01水果!$K556)&lt;&gt;0)),1,0)</f>
        <v>0</v>
      </c>
      <c r="AI556" s="90" t="n">
        <f aca="false">IF(AG556="",0,IF(MATCH(AG556,$AG$4:$AG$1203,0)=ROW()-3,1,0))</f>
        <v>0</v>
      </c>
      <c r="AJ556" s="90" t="n">
        <f aca="false">N(AJ555)+AI556</f>
        <v>4</v>
      </c>
      <c r="AK556" s="1" t="n">
        <f aca="false">N(AK555)+$AJ556</f>
        <v>1084</v>
      </c>
    </row>
    <row r="557" customFormat="false" ht="13.5" hidden="false" customHeight="false" outlineLevel="0" collapsed="false">
      <c r="A557" s="1" t="str">
        <f aca="false">IF(对接源_01水果!$C557="","",对接源_01水果!$C557)</f>
        <v/>
      </c>
      <c r="B557" s="1" t="n">
        <f aca="false">IF(A557="",0,IF(MATCH(A557,$A$4:$A$2403,0)=ROW()-3,1,0))</f>
        <v>0</v>
      </c>
      <c r="C557" s="1" t="n">
        <f aca="false">N(C556)+B557</f>
        <v>13</v>
      </c>
      <c r="K557" s="1" t="n">
        <f aca="false">IF(OR($K$1="",对接源_01水果!$C557="",对接源_01水果!$C557&lt;&gt;$K$1,对接源_01水果!$B557=""),0,IF(OR(N(对接源_01水果!$B557)&lt;$K$2,N(对接源_01水果!$B557)&gt;$K$3),0,1))</f>
        <v>0</v>
      </c>
      <c r="L557" s="1" t="n">
        <f aca="false">IF(OR($L$1="",对接源_01水果!$C557="",对接源_01水果!$C557&lt;&gt;$L$1,对接源_01水果!$B557=""),0,IF(OR(N(对接源_01水果!$B557)&lt;$L$2,N(对接源_01水果!$B557)&gt;$L$3),0,1))</f>
        <v>0</v>
      </c>
      <c r="M557" s="1" t="n">
        <f aca="false">IF(OR($M$1="",对接源_01水果!$C557="",对接源_01水果!$C557&lt;&gt;$M$1,对接源_01水果!$B557=""),0,IF(OR(N(对接源_01水果!$B557)&lt;$M$2,N(对接源_01水果!$B557)&gt;$M$3),0,1))</f>
        <v>0</v>
      </c>
      <c r="N557" s="1" t="n">
        <f aca="false">IF(OR($N$1="",对接源_01水果!$C557="",对接源_01水果!$C557&lt;&gt;$N$1,对接源_01水果!$B557=""),0,IF(OR(N(对接源_01水果!$B557)&lt;$N$2,N(对接源_01水果!$B557)&gt;$N$3),0,1))</f>
        <v>0</v>
      </c>
      <c r="P557" s="1" t="n">
        <f aca="false">IF(AND($K557=1,AND(对接源_01水果!$X557="公司筐",N(对接源_01水果!$T557)&lt;&gt;0)),1,0)</f>
        <v>0</v>
      </c>
      <c r="Q557" s="1" t="n">
        <f aca="false">N(Q556)+$P557</f>
        <v>3</v>
      </c>
      <c r="R557" s="1" t="n">
        <f aca="false">IF(AND($K557=1,AND(对接源_01水果!$X557="公司筐",N(对接源_01水果!$U557)&lt;&gt;0)),1,0)</f>
        <v>0</v>
      </c>
      <c r="S557" s="1" t="n">
        <f aca="false">N(S556)+$R557</f>
        <v>0</v>
      </c>
      <c r="T557" s="1" t="n">
        <f aca="false">IF(AND($K557=1,AND(对接源_01水果!$X557="公司筐",N(对接源_01水果!$V557)&lt;&gt;0)),1,0)</f>
        <v>0</v>
      </c>
      <c r="U557" s="1" t="n">
        <f aca="false">N(U556)+$T557</f>
        <v>28</v>
      </c>
      <c r="V557" s="1" t="n">
        <f aca="false">IF(AND($L557=1,AND(对接源_01水果!$X557="自备筐",N(对接源_01水果!$V557)&lt;&gt;0)),1,0)</f>
        <v>0</v>
      </c>
      <c r="W557" s="1" t="n">
        <f aca="false">N(W556)+$V557</f>
        <v>7</v>
      </c>
      <c r="X557" s="1" t="n">
        <f aca="false">IF(AND($L557=1,AND(对接源_01水果!$X557="自备筐",N(对接源_01水果!$T557)&lt;&gt;0)),1,0)</f>
        <v>0</v>
      </c>
      <c r="Y557" s="1" t="n">
        <f aca="false">N(Y556)+$X557</f>
        <v>0</v>
      </c>
      <c r="Z557" s="1" t="n">
        <f aca="false">IF(AND($M557=1,对接源_01水果!$D557="原料入库"),1,0)</f>
        <v>0</v>
      </c>
      <c r="AA557" s="1" t="n">
        <f aca="false">N(AA556)+$Z557</f>
        <v>30</v>
      </c>
      <c r="AB557" s="1" t="n">
        <f aca="false">IF(AND($M557=1,LEFT(对接源_01水果!$D557,4)="原料出库"),1,0)</f>
        <v>0</v>
      </c>
      <c r="AC557" s="1" t="n">
        <f aca="false">N(AC556)+$AB557</f>
        <v>19</v>
      </c>
      <c r="AD557" s="1" t="n">
        <f aca="false">IF(AND($M557=1,LEFT(对接源_01水果!$D557,4)="成品出库"),1,0)</f>
        <v>0</v>
      </c>
      <c r="AE557" s="1" t="n">
        <f aca="false">N(AE556)+$AD557</f>
        <v>38</v>
      </c>
      <c r="AF557" s="1" t="n">
        <f aca="false">IF(AND($N557=1,AND(LEFT(对接源_01水果!$D557,4)="包装物料",N(对接源_01水果!$K557)&lt;&gt;0)),1,0)</f>
        <v>0</v>
      </c>
      <c r="AG557" s="90" t="str">
        <f aca="false">IF(对接源_01水果!$AC557="","",对接源_01水果!$AC557)</f>
        <v/>
      </c>
      <c r="AH557" s="1" t="n">
        <f aca="false">IF(AND($N557=1,AND(LEFT(对接源_01水果!$D557,3)="周转筐",N(对接源_01水果!$K557)&lt;&gt;0)),1,0)</f>
        <v>0</v>
      </c>
      <c r="AI557" s="90" t="n">
        <f aca="false">IF(AG557="",0,IF(MATCH(AG557,$AG$4:$AG$1203,0)=ROW()-3,1,0))</f>
        <v>0</v>
      </c>
      <c r="AJ557" s="90" t="n">
        <f aca="false">N(AJ556)+AI557</f>
        <v>4</v>
      </c>
      <c r="AK557" s="1" t="n">
        <f aca="false">N(AK556)+$AJ557</f>
        <v>1088</v>
      </c>
    </row>
    <row r="558" customFormat="false" ht="13.5" hidden="false" customHeight="false" outlineLevel="0" collapsed="false">
      <c r="A558" s="1" t="str">
        <f aca="false">IF(对接源_01水果!$C558="","",对接源_01水果!$C558)</f>
        <v/>
      </c>
      <c r="B558" s="1" t="n">
        <f aca="false">IF(A558="",0,IF(MATCH(A558,$A$4:$A$2403,0)=ROW()-3,1,0))</f>
        <v>0</v>
      </c>
      <c r="C558" s="1" t="n">
        <f aca="false">N(C557)+B558</f>
        <v>13</v>
      </c>
      <c r="K558" s="1" t="n">
        <f aca="false">IF(OR($K$1="",对接源_01水果!$C558="",对接源_01水果!$C558&lt;&gt;$K$1,对接源_01水果!$B558=""),0,IF(OR(N(对接源_01水果!$B558)&lt;$K$2,N(对接源_01水果!$B558)&gt;$K$3),0,1))</f>
        <v>0</v>
      </c>
      <c r="L558" s="1" t="n">
        <f aca="false">IF(OR($L$1="",对接源_01水果!$C558="",对接源_01水果!$C558&lt;&gt;$L$1,对接源_01水果!$B558=""),0,IF(OR(N(对接源_01水果!$B558)&lt;$L$2,N(对接源_01水果!$B558)&gt;$L$3),0,1))</f>
        <v>0</v>
      </c>
      <c r="M558" s="1" t="n">
        <f aca="false">IF(OR($M$1="",对接源_01水果!$C558="",对接源_01水果!$C558&lt;&gt;$M$1,对接源_01水果!$B558=""),0,IF(OR(N(对接源_01水果!$B558)&lt;$M$2,N(对接源_01水果!$B558)&gt;$M$3),0,1))</f>
        <v>0</v>
      </c>
      <c r="N558" s="1" t="n">
        <f aca="false">IF(OR($N$1="",对接源_01水果!$C558="",对接源_01水果!$C558&lt;&gt;$N$1,对接源_01水果!$B558=""),0,IF(OR(N(对接源_01水果!$B558)&lt;$N$2,N(对接源_01水果!$B558)&gt;$N$3),0,1))</f>
        <v>0</v>
      </c>
      <c r="P558" s="1" t="n">
        <f aca="false">IF(AND($K558=1,AND(对接源_01水果!$X558="公司筐",N(对接源_01水果!$T558)&lt;&gt;0)),1,0)</f>
        <v>0</v>
      </c>
      <c r="Q558" s="1" t="n">
        <f aca="false">N(Q557)+$P558</f>
        <v>3</v>
      </c>
      <c r="R558" s="1" t="n">
        <f aca="false">IF(AND($K558=1,AND(对接源_01水果!$X558="公司筐",N(对接源_01水果!$U558)&lt;&gt;0)),1,0)</f>
        <v>0</v>
      </c>
      <c r="S558" s="1" t="n">
        <f aca="false">N(S557)+$R558</f>
        <v>0</v>
      </c>
      <c r="T558" s="1" t="n">
        <f aca="false">IF(AND($K558=1,AND(对接源_01水果!$X558="公司筐",N(对接源_01水果!$V558)&lt;&gt;0)),1,0)</f>
        <v>0</v>
      </c>
      <c r="U558" s="1" t="n">
        <f aca="false">N(U557)+$T558</f>
        <v>28</v>
      </c>
      <c r="V558" s="1" t="n">
        <f aca="false">IF(AND($L558=1,AND(对接源_01水果!$X558="自备筐",N(对接源_01水果!$V558)&lt;&gt;0)),1,0)</f>
        <v>0</v>
      </c>
      <c r="W558" s="1" t="n">
        <f aca="false">N(W557)+$V558</f>
        <v>7</v>
      </c>
      <c r="X558" s="1" t="n">
        <f aca="false">IF(AND($L558=1,AND(对接源_01水果!$X558="自备筐",N(对接源_01水果!$T558)&lt;&gt;0)),1,0)</f>
        <v>0</v>
      </c>
      <c r="Y558" s="1" t="n">
        <f aca="false">N(Y557)+$X558</f>
        <v>0</v>
      </c>
      <c r="Z558" s="1" t="n">
        <f aca="false">IF(AND($M558=1,对接源_01水果!$D558="原料入库"),1,0)</f>
        <v>0</v>
      </c>
      <c r="AA558" s="1" t="n">
        <f aca="false">N(AA557)+$Z558</f>
        <v>30</v>
      </c>
      <c r="AB558" s="1" t="n">
        <f aca="false">IF(AND($M558=1,LEFT(对接源_01水果!$D558,4)="原料出库"),1,0)</f>
        <v>0</v>
      </c>
      <c r="AC558" s="1" t="n">
        <f aca="false">N(AC557)+$AB558</f>
        <v>19</v>
      </c>
      <c r="AD558" s="1" t="n">
        <f aca="false">IF(AND($M558=1,LEFT(对接源_01水果!$D558,4)="成品出库"),1,0)</f>
        <v>0</v>
      </c>
      <c r="AE558" s="1" t="n">
        <f aca="false">N(AE557)+$AD558</f>
        <v>38</v>
      </c>
      <c r="AF558" s="1" t="n">
        <f aca="false">IF(AND($N558=1,AND(LEFT(对接源_01水果!$D558,4)="包装物料",N(对接源_01水果!$K558)&lt;&gt;0)),1,0)</f>
        <v>0</v>
      </c>
      <c r="AG558" s="90" t="str">
        <f aca="false">IF(对接源_01水果!$AC558="","",对接源_01水果!$AC558)</f>
        <v/>
      </c>
      <c r="AH558" s="1" t="n">
        <f aca="false">IF(AND($N558=1,AND(LEFT(对接源_01水果!$D558,3)="周转筐",N(对接源_01水果!$K558)&lt;&gt;0)),1,0)</f>
        <v>0</v>
      </c>
      <c r="AI558" s="90" t="n">
        <f aca="false">IF(AG558="",0,IF(MATCH(AG558,$AG$4:$AG$1203,0)=ROW()-3,1,0))</f>
        <v>0</v>
      </c>
      <c r="AJ558" s="90" t="n">
        <f aca="false">N(AJ557)+AI558</f>
        <v>4</v>
      </c>
      <c r="AK558" s="1" t="n">
        <f aca="false">N(AK557)+$AJ558</f>
        <v>1092</v>
      </c>
    </row>
    <row r="559" customFormat="false" ht="13.5" hidden="false" customHeight="false" outlineLevel="0" collapsed="false">
      <c r="A559" s="1" t="str">
        <f aca="false">IF(对接源_01水果!$C559="","",对接源_01水果!$C559)</f>
        <v/>
      </c>
      <c r="B559" s="1" t="n">
        <f aca="false">IF(A559="",0,IF(MATCH(A559,$A$4:$A$2403,0)=ROW()-3,1,0))</f>
        <v>0</v>
      </c>
      <c r="C559" s="1" t="n">
        <f aca="false">N(C558)+B559</f>
        <v>13</v>
      </c>
      <c r="K559" s="1" t="n">
        <f aca="false">IF(OR($K$1="",对接源_01水果!$C559="",对接源_01水果!$C559&lt;&gt;$K$1,对接源_01水果!$B559=""),0,IF(OR(N(对接源_01水果!$B559)&lt;$K$2,N(对接源_01水果!$B559)&gt;$K$3),0,1))</f>
        <v>0</v>
      </c>
      <c r="L559" s="1" t="n">
        <f aca="false">IF(OR($L$1="",对接源_01水果!$C559="",对接源_01水果!$C559&lt;&gt;$L$1,对接源_01水果!$B559=""),0,IF(OR(N(对接源_01水果!$B559)&lt;$L$2,N(对接源_01水果!$B559)&gt;$L$3),0,1))</f>
        <v>0</v>
      </c>
      <c r="M559" s="1" t="n">
        <f aca="false">IF(OR($M$1="",对接源_01水果!$C559="",对接源_01水果!$C559&lt;&gt;$M$1,对接源_01水果!$B559=""),0,IF(OR(N(对接源_01水果!$B559)&lt;$M$2,N(对接源_01水果!$B559)&gt;$M$3),0,1))</f>
        <v>0</v>
      </c>
      <c r="N559" s="1" t="n">
        <f aca="false">IF(OR($N$1="",对接源_01水果!$C559="",对接源_01水果!$C559&lt;&gt;$N$1,对接源_01水果!$B559=""),0,IF(OR(N(对接源_01水果!$B559)&lt;$N$2,N(对接源_01水果!$B559)&gt;$N$3),0,1))</f>
        <v>0</v>
      </c>
      <c r="P559" s="1" t="n">
        <f aca="false">IF(AND($K559=1,AND(对接源_01水果!$X559="公司筐",N(对接源_01水果!$T559)&lt;&gt;0)),1,0)</f>
        <v>0</v>
      </c>
      <c r="Q559" s="1" t="n">
        <f aca="false">N(Q558)+$P559</f>
        <v>3</v>
      </c>
      <c r="R559" s="1" t="n">
        <f aca="false">IF(AND($K559=1,AND(对接源_01水果!$X559="公司筐",N(对接源_01水果!$U559)&lt;&gt;0)),1,0)</f>
        <v>0</v>
      </c>
      <c r="S559" s="1" t="n">
        <f aca="false">N(S558)+$R559</f>
        <v>0</v>
      </c>
      <c r="T559" s="1" t="n">
        <f aca="false">IF(AND($K559=1,AND(对接源_01水果!$X559="公司筐",N(对接源_01水果!$V559)&lt;&gt;0)),1,0)</f>
        <v>0</v>
      </c>
      <c r="U559" s="1" t="n">
        <f aca="false">N(U558)+$T559</f>
        <v>28</v>
      </c>
      <c r="V559" s="1" t="n">
        <f aca="false">IF(AND($L559=1,AND(对接源_01水果!$X559="自备筐",N(对接源_01水果!$V559)&lt;&gt;0)),1,0)</f>
        <v>0</v>
      </c>
      <c r="W559" s="1" t="n">
        <f aca="false">N(W558)+$V559</f>
        <v>7</v>
      </c>
      <c r="X559" s="1" t="n">
        <f aca="false">IF(AND($L559=1,AND(对接源_01水果!$X559="自备筐",N(对接源_01水果!$T559)&lt;&gt;0)),1,0)</f>
        <v>0</v>
      </c>
      <c r="Y559" s="1" t="n">
        <f aca="false">N(Y558)+$X559</f>
        <v>0</v>
      </c>
      <c r="Z559" s="1" t="n">
        <f aca="false">IF(AND($M559=1,对接源_01水果!$D559="原料入库"),1,0)</f>
        <v>0</v>
      </c>
      <c r="AA559" s="1" t="n">
        <f aca="false">N(AA558)+$Z559</f>
        <v>30</v>
      </c>
      <c r="AB559" s="1" t="n">
        <f aca="false">IF(AND($M559=1,LEFT(对接源_01水果!$D559,4)="原料出库"),1,0)</f>
        <v>0</v>
      </c>
      <c r="AC559" s="1" t="n">
        <f aca="false">N(AC558)+$AB559</f>
        <v>19</v>
      </c>
      <c r="AD559" s="1" t="n">
        <f aca="false">IF(AND($M559=1,LEFT(对接源_01水果!$D559,4)="成品出库"),1,0)</f>
        <v>0</v>
      </c>
      <c r="AE559" s="1" t="n">
        <f aca="false">N(AE558)+$AD559</f>
        <v>38</v>
      </c>
      <c r="AF559" s="1" t="n">
        <f aca="false">IF(AND($N559=1,AND(LEFT(对接源_01水果!$D559,4)="包装物料",N(对接源_01水果!$K559)&lt;&gt;0)),1,0)</f>
        <v>0</v>
      </c>
      <c r="AG559" s="90" t="str">
        <f aca="false">IF(对接源_01水果!$AC559="","",对接源_01水果!$AC559)</f>
        <v/>
      </c>
      <c r="AH559" s="1" t="n">
        <f aca="false">IF(AND($N559=1,AND(LEFT(对接源_01水果!$D559,3)="周转筐",N(对接源_01水果!$K559)&lt;&gt;0)),1,0)</f>
        <v>0</v>
      </c>
      <c r="AI559" s="90" t="n">
        <f aca="false">IF(AG559="",0,IF(MATCH(AG559,$AG$4:$AG$1203,0)=ROW()-3,1,0))</f>
        <v>0</v>
      </c>
      <c r="AJ559" s="90" t="n">
        <f aca="false">N(AJ558)+AI559</f>
        <v>4</v>
      </c>
      <c r="AK559" s="1" t="n">
        <f aca="false">N(AK558)+$AJ559</f>
        <v>1096</v>
      </c>
    </row>
    <row r="560" customFormat="false" ht="13.5" hidden="false" customHeight="false" outlineLevel="0" collapsed="false">
      <c r="A560" s="1" t="str">
        <f aca="false">IF(对接源_01水果!$C560="","",对接源_01水果!$C560)</f>
        <v/>
      </c>
      <c r="B560" s="1" t="n">
        <f aca="false">IF(A560="",0,IF(MATCH(A560,$A$4:$A$2403,0)=ROW()-3,1,0))</f>
        <v>0</v>
      </c>
      <c r="C560" s="1" t="n">
        <f aca="false">N(C559)+B560</f>
        <v>13</v>
      </c>
      <c r="K560" s="1" t="n">
        <f aca="false">IF(OR($K$1="",对接源_01水果!$C560="",对接源_01水果!$C560&lt;&gt;$K$1,对接源_01水果!$B560=""),0,IF(OR(N(对接源_01水果!$B560)&lt;$K$2,N(对接源_01水果!$B560)&gt;$K$3),0,1))</f>
        <v>0</v>
      </c>
      <c r="L560" s="1" t="n">
        <f aca="false">IF(OR($L$1="",对接源_01水果!$C560="",对接源_01水果!$C560&lt;&gt;$L$1,对接源_01水果!$B560=""),0,IF(OR(N(对接源_01水果!$B560)&lt;$L$2,N(对接源_01水果!$B560)&gt;$L$3),0,1))</f>
        <v>0</v>
      </c>
      <c r="M560" s="1" t="n">
        <f aca="false">IF(OR($M$1="",对接源_01水果!$C560="",对接源_01水果!$C560&lt;&gt;$M$1,对接源_01水果!$B560=""),0,IF(OR(N(对接源_01水果!$B560)&lt;$M$2,N(对接源_01水果!$B560)&gt;$M$3),0,1))</f>
        <v>0</v>
      </c>
      <c r="N560" s="1" t="n">
        <f aca="false">IF(OR($N$1="",对接源_01水果!$C560="",对接源_01水果!$C560&lt;&gt;$N$1,对接源_01水果!$B560=""),0,IF(OR(N(对接源_01水果!$B560)&lt;$N$2,N(对接源_01水果!$B560)&gt;$N$3),0,1))</f>
        <v>0</v>
      </c>
      <c r="P560" s="1" t="n">
        <f aca="false">IF(AND($K560=1,AND(对接源_01水果!$X560="公司筐",N(对接源_01水果!$T560)&lt;&gt;0)),1,0)</f>
        <v>0</v>
      </c>
      <c r="Q560" s="1" t="n">
        <f aca="false">N(Q559)+$P560</f>
        <v>3</v>
      </c>
      <c r="R560" s="1" t="n">
        <f aca="false">IF(AND($K560=1,AND(对接源_01水果!$X560="公司筐",N(对接源_01水果!$U560)&lt;&gt;0)),1,0)</f>
        <v>0</v>
      </c>
      <c r="S560" s="1" t="n">
        <f aca="false">N(S559)+$R560</f>
        <v>0</v>
      </c>
      <c r="T560" s="1" t="n">
        <f aca="false">IF(AND($K560=1,AND(对接源_01水果!$X560="公司筐",N(对接源_01水果!$V560)&lt;&gt;0)),1,0)</f>
        <v>0</v>
      </c>
      <c r="U560" s="1" t="n">
        <f aca="false">N(U559)+$T560</f>
        <v>28</v>
      </c>
      <c r="V560" s="1" t="n">
        <f aca="false">IF(AND($L560=1,AND(对接源_01水果!$X560="自备筐",N(对接源_01水果!$V560)&lt;&gt;0)),1,0)</f>
        <v>0</v>
      </c>
      <c r="W560" s="1" t="n">
        <f aca="false">N(W559)+$V560</f>
        <v>7</v>
      </c>
      <c r="X560" s="1" t="n">
        <f aca="false">IF(AND($L560=1,AND(对接源_01水果!$X560="自备筐",N(对接源_01水果!$T560)&lt;&gt;0)),1,0)</f>
        <v>0</v>
      </c>
      <c r="Y560" s="1" t="n">
        <f aca="false">N(Y559)+$X560</f>
        <v>0</v>
      </c>
      <c r="Z560" s="1" t="n">
        <f aca="false">IF(AND($M560=1,对接源_01水果!$D560="原料入库"),1,0)</f>
        <v>0</v>
      </c>
      <c r="AA560" s="1" t="n">
        <f aca="false">N(AA559)+$Z560</f>
        <v>30</v>
      </c>
      <c r="AB560" s="1" t="n">
        <f aca="false">IF(AND($M560=1,LEFT(对接源_01水果!$D560,4)="原料出库"),1,0)</f>
        <v>0</v>
      </c>
      <c r="AC560" s="1" t="n">
        <f aca="false">N(AC559)+$AB560</f>
        <v>19</v>
      </c>
      <c r="AD560" s="1" t="n">
        <f aca="false">IF(AND($M560=1,LEFT(对接源_01水果!$D560,4)="成品出库"),1,0)</f>
        <v>0</v>
      </c>
      <c r="AE560" s="1" t="n">
        <f aca="false">N(AE559)+$AD560</f>
        <v>38</v>
      </c>
      <c r="AF560" s="1" t="n">
        <f aca="false">IF(AND($N560=1,AND(LEFT(对接源_01水果!$D560,4)="包装物料",N(对接源_01水果!$K560)&lt;&gt;0)),1,0)</f>
        <v>0</v>
      </c>
      <c r="AG560" s="90" t="str">
        <f aca="false">IF(对接源_01水果!$AC560="","",对接源_01水果!$AC560)</f>
        <v/>
      </c>
      <c r="AH560" s="1" t="n">
        <f aca="false">IF(AND($N560=1,AND(LEFT(对接源_01水果!$D560,3)="周转筐",N(对接源_01水果!$K560)&lt;&gt;0)),1,0)</f>
        <v>0</v>
      </c>
      <c r="AI560" s="90" t="n">
        <f aca="false">IF(AG560="",0,IF(MATCH(AG560,$AG$4:$AG$1203,0)=ROW()-3,1,0))</f>
        <v>0</v>
      </c>
      <c r="AJ560" s="90" t="n">
        <f aca="false">N(AJ559)+AI560</f>
        <v>4</v>
      </c>
      <c r="AK560" s="1" t="n">
        <f aca="false">N(AK559)+$AJ560</f>
        <v>1100</v>
      </c>
    </row>
    <row r="561" customFormat="false" ht="13.5" hidden="false" customHeight="false" outlineLevel="0" collapsed="false">
      <c r="A561" s="1" t="str">
        <f aca="false">IF(对接源_01水果!$C561="","",对接源_01水果!$C561)</f>
        <v/>
      </c>
      <c r="B561" s="1" t="n">
        <f aca="false">IF(A561="",0,IF(MATCH(A561,$A$4:$A$2403,0)=ROW()-3,1,0))</f>
        <v>0</v>
      </c>
      <c r="C561" s="1" t="n">
        <f aca="false">N(C560)+B561</f>
        <v>13</v>
      </c>
      <c r="K561" s="1" t="n">
        <f aca="false">IF(OR($K$1="",对接源_01水果!$C561="",对接源_01水果!$C561&lt;&gt;$K$1,对接源_01水果!$B561=""),0,IF(OR(N(对接源_01水果!$B561)&lt;$K$2,N(对接源_01水果!$B561)&gt;$K$3),0,1))</f>
        <v>0</v>
      </c>
      <c r="L561" s="1" t="n">
        <f aca="false">IF(OR($L$1="",对接源_01水果!$C561="",对接源_01水果!$C561&lt;&gt;$L$1,对接源_01水果!$B561=""),0,IF(OR(N(对接源_01水果!$B561)&lt;$L$2,N(对接源_01水果!$B561)&gt;$L$3),0,1))</f>
        <v>0</v>
      </c>
      <c r="M561" s="1" t="n">
        <f aca="false">IF(OR($M$1="",对接源_01水果!$C561="",对接源_01水果!$C561&lt;&gt;$M$1,对接源_01水果!$B561=""),0,IF(OR(N(对接源_01水果!$B561)&lt;$M$2,N(对接源_01水果!$B561)&gt;$M$3),0,1))</f>
        <v>0</v>
      </c>
      <c r="N561" s="1" t="n">
        <f aca="false">IF(OR($N$1="",对接源_01水果!$C561="",对接源_01水果!$C561&lt;&gt;$N$1,对接源_01水果!$B561=""),0,IF(OR(N(对接源_01水果!$B561)&lt;$N$2,N(对接源_01水果!$B561)&gt;$N$3),0,1))</f>
        <v>0</v>
      </c>
      <c r="P561" s="1" t="n">
        <f aca="false">IF(AND($K561=1,AND(对接源_01水果!$X561="公司筐",N(对接源_01水果!$T561)&lt;&gt;0)),1,0)</f>
        <v>0</v>
      </c>
      <c r="Q561" s="1" t="n">
        <f aca="false">N(Q560)+$P561</f>
        <v>3</v>
      </c>
      <c r="R561" s="1" t="n">
        <f aca="false">IF(AND($K561=1,AND(对接源_01水果!$X561="公司筐",N(对接源_01水果!$U561)&lt;&gt;0)),1,0)</f>
        <v>0</v>
      </c>
      <c r="S561" s="1" t="n">
        <f aca="false">N(S560)+$R561</f>
        <v>0</v>
      </c>
      <c r="T561" s="1" t="n">
        <f aca="false">IF(AND($K561=1,AND(对接源_01水果!$X561="公司筐",N(对接源_01水果!$V561)&lt;&gt;0)),1,0)</f>
        <v>0</v>
      </c>
      <c r="U561" s="1" t="n">
        <f aca="false">N(U560)+$T561</f>
        <v>28</v>
      </c>
      <c r="V561" s="1" t="n">
        <f aca="false">IF(AND($L561=1,AND(对接源_01水果!$X561="自备筐",N(对接源_01水果!$V561)&lt;&gt;0)),1,0)</f>
        <v>0</v>
      </c>
      <c r="W561" s="1" t="n">
        <f aca="false">N(W560)+$V561</f>
        <v>7</v>
      </c>
      <c r="X561" s="1" t="n">
        <f aca="false">IF(AND($L561=1,AND(对接源_01水果!$X561="自备筐",N(对接源_01水果!$T561)&lt;&gt;0)),1,0)</f>
        <v>0</v>
      </c>
      <c r="Y561" s="1" t="n">
        <f aca="false">N(Y560)+$X561</f>
        <v>0</v>
      </c>
      <c r="Z561" s="1" t="n">
        <f aca="false">IF(AND($M561=1,对接源_01水果!$D561="原料入库"),1,0)</f>
        <v>0</v>
      </c>
      <c r="AA561" s="1" t="n">
        <f aca="false">N(AA560)+$Z561</f>
        <v>30</v>
      </c>
      <c r="AB561" s="1" t="n">
        <f aca="false">IF(AND($M561=1,LEFT(对接源_01水果!$D561,4)="原料出库"),1,0)</f>
        <v>0</v>
      </c>
      <c r="AC561" s="1" t="n">
        <f aca="false">N(AC560)+$AB561</f>
        <v>19</v>
      </c>
      <c r="AD561" s="1" t="n">
        <f aca="false">IF(AND($M561=1,LEFT(对接源_01水果!$D561,4)="成品出库"),1,0)</f>
        <v>0</v>
      </c>
      <c r="AE561" s="1" t="n">
        <f aca="false">N(AE560)+$AD561</f>
        <v>38</v>
      </c>
      <c r="AF561" s="1" t="n">
        <f aca="false">IF(AND($N561=1,AND(LEFT(对接源_01水果!$D561,4)="包装物料",N(对接源_01水果!$K561)&lt;&gt;0)),1,0)</f>
        <v>0</v>
      </c>
      <c r="AG561" s="90" t="str">
        <f aca="false">IF(对接源_01水果!$AC561="","",对接源_01水果!$AC561)</f>
        <v/>
      </c>
      <c r="AH561" s="1" t="n">
        <f aca="false">IF(AND($N561=1,AND(LEFT(对接源_01水果!$D561,3)="周转筐",N(对接源_01水果!$K561)&lt;&gt;0)),1,0)</f>
        <v>0</v>
      </c>
      <c r="AI561" s="90" t="n">
        <f aca="false">IF(AG561="",0,IF(MATCH(AG561,$AG$4:$AG$1203,0)=ROW()-3,1,0))</f>
        <v>0</v>
      </c>
      <c r="AJ561" s="90" t="n">
        <f aca="false">N(AJ560)+AI561</f>
        <v>4</v>
      </c>
      <c r="AK561" s="1" t="n">
        <f aca="false">N(AK560)+$AJ561</f>
        <v>1104</v>
      </c>
    </row>
    <row r="562" customFormat="false" ht="13.5" hidden="false" customHeight="false" outlineLevel="0" collapsed="false">
      <c r="A562" s="1" t="str">
        <f aca="false">IF(对接源_01水果!$C562="","",对接源_01水果!$C562)</f>
        <v/>
      </c>
      <c r="B562" s="1" t="n">
        <f aca="false">IF(A562="",0,IF(MATCH(A562,$A$4:$A$2403,0)=ROW()-3,1,0))</f>
        <v>0</v>
      </c>
      <c r="C562" s="1" t="n">
        <f aca="false">N(C561)+B562</f>
        <v>13</v>
      </c>
      <c r="K562" s="1" t="n">
        <f aca="false">IF(OR($K$1="",对接源_01水果!$C562="",对接源_01水果!$C562&lt;&gt;$K$1,对接源_01水果!$B562=""),0,IF(OR(N(对接源_01水果!$B562)&lt;$K$2,N(对接源_01水果!$B562)&gt;$K$3),0,1))</f>
        <v>0</v>
      </c>
      <c r="L562" s="1" t="n">
        <f aca="false">IF(OR($L$1="",对接源_01水果!$C562="",对接源_01水果!$C562&lt;&gt;$L$1,对接源_01水果!$B562=""),0,IF(OR(N(对接源_01水果!$B562)&lt;$L$2,N(对接源_01水果!$B562)&gt;$L$3),0,1))</f>
        <v>0</v>
      </c>
      <c r="M562" s="1" t="n">
        <f aca="false">IF(OR($M$1="",对接源_01水果!$C562="",对接源_01水果!$C562&lt;&gt;$M$1,对接源_01水果!$B562=""),0,IF(OR(N(对接源_01水果!$B562)&lt;$M$2,N(对接源_01水果!$B562)&gt;$M$3),0,1))</f>
        <v>0</v>
      </c>
      <c r="N562" s="1" t="n">
        <f aca="false">IF(OR($N$1="",对接源_01水果!$C562="",对接源_01水果!$C562&lt;&gt;$N$1,对接源_01水果!$B562=""),0,IF(OR(N(对接源_01水果!$B562)&lt;$N$2,N(对接源_01水果!$B562)&gt;$N$3),0,1))</f>
        <v>0</v>
      </c>
      <c r="P562" s="1" t="n">
        <f aca="false">IF(AND($K562=1,AND(对接源_01水果!$X562="公司筐",N(对接源_01水果!$T562)&lt;&gt;0)),1,0)</f>
        <v>0</v>
      </c>
      <c r="Q562" s="1" t="n">
        <f aca="false">N(Q561)+$P562</f>
        <v>3</v>
      </c>
      <c r="R562" s="1" t="n">
        <f aca="false">IF(AND($K562=1,AND(对接源_01水果!$X562="公司筐",N(对接源_01水果!$U562)&lt;&gt;0)),1,0)</f>
        <v>0</v>
      </c>
      <c r="S562" s="1" t="n">
        <f aca="false">N(S561)+$R562</f>
        <v>0</v>
      </c>
      <c r="T562" s="1" t="n">
        <f aca="false">IF(AND($K562=1,AND(对接源_01水果!$X562="公司筐",N(对接源_01水果!$V562)&lt;&gt;0)),1,0)</f>
        <v>0</v>
      </c>
      <c r="U562" s="1" t="n">
        <f aca="false">N(U561)+$T562</f>
        <v>28</v>
      </c>
      <c r="V562" s="1" t="n">
        <f aca="false">IF(AND($L562=1,AND(对接源_01水果!$X562="自备筐",N(对接源_01水果!$V562)&lt;&gt;0)),1,0)</f>
        <v>0</v>
      </c>
      <c r="W562" s="1" t="n">
        <f aca="false">N(W561)+$V562</f>
        <v>7</v>
      </c>
      <c r="X562" s="1" t="n">
        <f aca="false">IF(AND($L562=1,AND(对接源_01水果!$X562="自备筐",N(对接源_01水果!$T562)&lt;&gt;0)),1,0)</f>
        <v>0</v>
      </c>
      <c r="Y562" s="1" t="n">
        <f aca="false">N(Y561)+$X562</f>
        <v>0</v>
      </c>
      <c r="Z562" s="1" t="n">
        <f aca="false">IF(AND($M562=1,对接源_01水果!$D562="原料入库"),1,0)</f>
        <v>0</v>
      </c>
      <c r="AA562" s="1" t="n">
        <f aca="false">N(AA561)+$Z562</f>
        <v>30</v>
      </c>
      <c r="AB562" s="1" t="n">
        <f aca="false">IF(AND($M562=1,LEFT(对接源_01水果!$D562,4)="原料出库"),1,0)</f>
        <v>0</v>
      </c>
      <c r="AC562" s="1" t="n">
        <f aca="false">N(AC561)+$AB562</f>
        <v>19</v>
      </c>
      <c r="AD562" s="1" t="n">
        <f aca="false">IF(AND($M562=1,LEFT(对接源_01水果!$D562,4)="成品出库"),1,0)</f>
        <v>0</v>
      </c>
      <c r="AE562" s="1" t="n">
        <f aca="false">N(AE561)+$AD562</f>
        <v>38</v>
      </c>
      <c r="AF562" s="1" t="n">
        <f aca="false">IF(AND($N562=1,AND(LEFT(对接源_01水果!$D562,4)="包装物料",N(对接源_01水果!$K562)&lt;&gt;0)),1,0)</f>
        <v>0</v>
      </c>
      <c r="AG562" s="90" t="str">
        <f aca="false">IF(对接源_01水果!$AC562="","",对接源_01水果!$AC562)</f>
        <v/>
      </c>
      <c r="AH562" s="1" t="n">
        <f aca="false">IF(AND($N562=1,AND(LEFT(对接源_01水果!$D562,3)="周转筐",N(对接源_01水果!$K562)&lt;&gt;0)),1,0)</f>
        <v>0</v>
      </c>
      <c r="AI562" s="90" t="n">
        <f aca="false">IF(AG562="",0,IF(MATCH(AG562,$AG$4:$AG$1203,0)=ROW()-3,1,0))</f>
        <v>0</v>
      </c>
      <c r="AJ562" s="90" t="n">
        <f aca="false">N(AJ561)+AI562</f>
        <v>4</v>
      </c>
      <c r="AK562" s="1" t="n">
        <f aca="false">N(AK561)+$AJ562</f>
        <v>1108</v>
      </c>
    </row>
    <row r="563" customFormat="false" ht="13.5" hidden="false" customHeight="false" outlineLevel="0" collapsed="false">
      <c r="A563" s="1" t="str">
        <f aca="false">IF(对接源_01水果!$C563="","",对接源_01水果!$C563)</f>
        <v/>
      </c>
      <c r="B563" s="1" t="n">
        <f aca="false">IF(A563="",0,IF(MATCH(A563,$A$4:$A$2403,0)=ROW()-3,1,0))</f>
        <v>0</v>
      </c>
      <c r="C563" s="1" t="n">
        <f aca="false">N(C562)+B563</f>
        <v>13</v>
      </c>
      <c r="K563" s="1" t="n">
        <f aca="false">IF(OR($K$1="",对接源_01水果!$C563="",对接源_01水果!$C563&lt;&gt;$K$1,对接源_01水果!$B563=""),0,IF(OR(N(对接源_01水果!$B563)&lt;$K$2,N(对接源_01水果!$B563)&gt;$K$3),0,1))</f>
        <v>0</v>
      </c>
      <c r="L563" s="1" t="n">
        <f aca="false">IF(OR($L$1="",对接源_01水果!$C563="",对接源_01水果!$C563&lt;&gt;$L$1,对接源_01水果!$B563=""),0,IF(OR(N(对接源_01水果!$B563)&lt;$L$2,N(对接源_01水果!$B563)&gt;$L$3),0,1))</f>
        <v>0</v>
      </c>
      <c r="M563" s="1" t="n">
        <f aca="false">IF(OR($M$1="",对接源_01水果!$C563="",对接源_01水果!$C563&lt;&gt;$M$1,对接源_01水果!$B563=""),0,IF(OR(N(对接源_01水果!$B563)&lt;$M$2,N(对接源_01水果!$B563)&gt;$M$3),0,1))</f>
        <v>0</v>
      </c>
      <c r="N563" s="1" t="n">
        <f aca="false">IF(OR($N$1="",对接源_01水果!$C563="",对接源_01水果!$C563&lt;&gt;$N$1,对接源_01水果!$B563=""),0,IF(OR(N(对接源_01水果!$B563)&lt;$N$2,N(对接源_01水果!$B563)&gt;$N$3),0,1))</f>
        <v>0</v>
      </c>
      <c r="P563" s="1" t="n">
        <f aca="false">IF(AND($K563=1,AND(对接源_01水果!$X563="公司筐",N(对接源_01水果!$T563)&lt;&gt;0)),1,0)</f>
        <v>0</v>
      </c>
      <c r="Q563" s="1" t="n">
        <f aca="false">N(Q562)+$P563</f>
        <v>3</v>
      </c>
      <c r="R563" s="1" t="n">
        <f aca="false">IF(AND($K563=1,AND(对接源_01水果!$X563="公司筐",N(对接源_01水果!$U563)&lt;&gt;0)),1,0)</f>
        <v>0</v>
      </c>
      <c r="S563" s="1" t="n">
        <f aca="false">N(S562)+$R563</f>
        <v>0</v>
      </c>
      <c r="T563" s="1" t="n">
        <f aca="false">IF(AND($K563=1,AND(对接源_01水果!$X563="公司筐",N(对接源_01水果!$V563)&lt;&gt;0)),1,0)</f>
        <v>0</v>
      </c>
      <c r="U563" s="1" t="n">
        <f aca="false">N(U562)+$T563</f>
        <v>28</v>
      </c>
      <c r="V563" s="1" t="n">
        <f aca="false">IF(AND($L563=1,AND(对接源_01水果!$X563="自备筐",N(对接源_01水果!$V563)&lt;&gt;0)),1,0)</f>
        <v>0</v>
      </c>
      <c r="W563" s="1" t="n">
        <f aca="false">N(W562)+$V563</f>
        <v>7</v>
      </c>
      <c r="X563" s="1" t="n">
        <f aca="false">IF(AND($L563=1,AND(对接源_01水果!$X563="自备筐",N(对接源_01水果!$T563)&lt;&gt;0)),1,0)</f>
        <v>0</v>
      </c>
      <c r="Y563" s="1" t="n">
        <f aca="false">N(Y562)+$X563</f>
        <v>0</v>
      </c>
      <c r="Z563" s="1" t="n">
        <f aca="false">IF(AND($M563=1,对接源_01水果!$D563="原料入库"),1,0)</f>
        <v>0</v>
      </c>
      <c r="AA563" s="1" t="n">
        <f aca="false">N(AA562)+$Z563</f>
        <v>30</v>
      </c>
      <c r="AB563" s="1" t="n">
        <f aca="false">IF(AND($M563=1,LEFT(对接源_01水果!$D563,4)="原料出库"),1,0)</f>
        <v>0</v>
      </c>
      <c r="AC563" s="1" t="n">
        <f aca="false">N(AC562)+$AB563</f>
        <v>19</v>
      </c>
      <c r="AD563" s="1" t="n">
        <f aca="false">IF(AND($M563=1,LEFT(对接源_01水果!$D563,4)="成品出库"),1,0)</f>
        <v>0</v>
      </c>
      <c r="AE563" s="1" t="n">
        <f aca="false">N(AE562)+$AD563</f>
        <v>38</v>
      </c>
      <c r="AF563" s="1" t="n">
        <f aca="false">IF(AND($N563=1,AND(LEFT(对接源_01水果!$D563,4)="包装物料",N(对接源_01水果!$K563)&lt;&gt;0)),1,0)</f>
        <v>0</v>
      </c>
      <c r="AG563" s="90" t="str">
        <f aca="false">IF(对接源_01水果!$AC563="","",对接源_01水果!$AC563)</f>
        <v/>
      </c>
      <c r="AH563" s="1" t="n">
        <f aca="false">IF(AND($N563=1,AND(LEFT(对接源_01水果!$D563,3)="周转筐",N(对接源_01水果!$K563)&lt;&gt;0)),1,0)</f>
        <v>0</v>
      </c>
      <c r="AI563" s="90" t="n">
        <f aca="false">IF(AG563="",0,IF(MATCH(AG563,$AG$4:$AG$1203,0)=ROW()-3,1,0))</f>
        <v>0</v>
      </c>
      <c r="AJ563" s="90" t="n">
        <f aca="false">N(AJ562)+AI563</f>
        <v>4</v>
      </c>
      <c r="AK563" s="1" t="n">
        <f aca="false">N(AK562)+$AJ563</f>
        <v>1112</v>
      </c>
    </row>
    <row r="564" customFormat="false" ht="13.5" hidden="false" customHeight="false" outlineLevel="0" collapsed="false">
      <c r="A564" s="1" t="str">
        <f aca="false">IF(对接源_01水果!$C564="","",对接源_01水果!$C564)</f>
        <v/>
      </c>
      <c r="B564" s="1" t="n">
        <f aca="false">IF(A564="",0,IF(MATCH(A564,$A$4:$A$2403,0)=ROW()-3,1,0))</f>
        <v>0</v>
      </c>
      <c r="C564" s="1" t="n">
        <f aca="false">N(C563)+B564</f>
        <v>13</v>
      </c>
      <c r="K564" s="1" t="n">
        <f aca="false">IF(OR($K$1="",对接源_01水果!$C564="",对接源_01水果!$C564&lt;&gt;$K$1,对接源_01水果!$B564=""),0,IF(OR(N(对接源_01水果!$B564)&lt;$K$2,N(对接源_01水果!$B564)&gt;$K$3),0,1))</f>
        <v>0</v>
      </c>
      <c r="L564" s="1" t="n">
        <f aca="false">IF(OR($L$1="",对接源_01水果!$C564="",对接源_01水果!$C564&lt;&gt;$L$1,对接源_01水果!$B564=""),0,IF(OR(N(对接源_01水果!$B564)&lt;$L$2,N(对接源_01水果!$B564)&gt;$L$3),0,1))</f>
        <v>0</v>
      </c>
      <c r="M564" s="1" t="n">
        <f aca="false">IF(OR($M$1="",对接源_01水果!$C564="",对接源_01水果!$C564&lt;&gt;$M$1,对接源_01水果!$B564=""),0,IF(OR(N(对接源_01水果!$B564)&lt;$M$2,N(对接源_01水果!$B564)&gt;$M$3),0,1))</f>
        <v>0</v>
      </c>
      <c r="N564" s="1" t="n">
        <f aca="false">IF(OR($N$1="",对接源_01水果!$C564="",对接源_01水果!$C564&lt;&gt;$N$1,对接源_01水果!$B564=""),0,IF(OR(N(对接源_01水果!$B564)&lt;$N$2,N(对接源_01水果!$B564)&gt;$N$3),0,1))</f>
        <v>0</v>
      </c>
      <c r="P564" s="1" t="n">
        <f aca="false">IF(AND($K564=1,AND(对接源_01水果!$X564="公司筐",N(对接源_01水果!$T564)&lt;&gt;0)),1,0)</f>
        <v>0</v>
      </c>
      <c r="Q564" s="1" t="n">
        <f aca="false">N(Q563)+$P564</f>
        <v>3</v>
      </c>
      <c r="R564" s="1" t="n">
        <f aca="false">IF(AND($K564=1,AND(对接源_01水果!$X564="公司筐",N(对接源_01水果!$U564)&lt;&gt;0)),1,0)</f>
        <v>0</v>
      </c>
      <c r="S564" s="1" t="n">
        <f aca="false">N(S563)+$R564</f>
        <v>0</v>
      </c>
      <c r="T564" s="1" t="n">
        <f aca="false">IF(AND($K564=1,AND(对接源_01水果!$X564="公司筐",N(对接源_01水果!$V564)&lt;&gt;0)),1,0)</f>
        <v>0</v>
      </c>
      <c r="U564" s="1" t="n">
        <f aca="false">N(U563)+$T564</f>
        <v>28</v>
      </c>
      <c r="V564" s="1" t="n">
        <f aca="false">IF(AND($L564=1,AND(对接源_01水果!$X564="自备筐",N(对接源_01水果!$V564)&lt;&gt;0)),1,0)</f>
        <v>0</v>
      </c>
      <c r="W564" s="1" t="n">
        <f aca="false">N(W563)+$V564</f>
        <v>7</v>
      </c>
      <c r="X564" s="1" t="n">
        <f aca="false">IF(AND($L564=1,AND(对接源_01水果!$X564="自备筐",N(对接源_01水果!$T564)&lt;&gt;0)),1,0)</f>
        <v>0</v>
      </c>
      <c r="Y564" s="1" t="n">
        <f aca="false">N(Y563)+$X564</f>
        <v>0</v>
      </c>
      <c r="Z564" s="1" t="n">
        <f aca="false">IF(AND($M564=1,对接源_01水果!$D564="原料入库"),1,0)</f>
        <v>0</v>
      </c>
      <c r="AA564" s="1" t="n">
        <f aca="false">N(AA563)+$Z564</f>
        <v>30</v>
      </c>
      <c r="AB564" s="1" t="n">
        <f aca="false">IF(AND($M564=1,LEFT(对接源_01水果!$D564,4)="原料出库"),1,0)</f>
        <v>0</v>
      </c>
      <c r="AC564" s="1" t="n">
        <f aca="false">N(AC563)+$AB564</f>
        <v>19</v>
      </c>
      <c r="AD564" s="1" t="n">
        <f aca="false">IF(AND($M564=1,LEFT(对接源_01水果!$D564,4)="成品出库"),1,0)</f>
        <v>0</v>
      </c>
      <c r="AE564" s="1" t="n">
        <f aca="false">N(AE563)+$AD564</f>
        <v>38</v>
      </c>
      <c r="AF564" s="1" t="n">
        <f aca="false">IF(AND($N564=1,AND(LEFT(对接源_01水果!$D564,4)="包装物料",N(对接源_01水果!$K564)&lt;&gt;0)),1,0)</f>
        <v>0</v>
      </c>
      <c r="AG564" s="90" t="str">
        <f aca="false">IF(对接源_01水果!$AC564="","",对接源_01水果!$AC564)</f>
        <v/>
      </c>
      <c r="AH564" s="1" t="n">
        <f aca="false">IF(AND($N564=1,AND(LEFT(对接源_01水果!$D564,3)="周转筐",N(对接源_01水果!$K564)&lt;&gt;0)),1,0)</f>
        <v>0</v>
      </c>
      <c r="AI564" s="90" t="n">
        <f aca="false">IF(AG564="",0,IF(MATCH(AG564,$AG$4:$AG$1203,0)=ROW()-3,1,0))</f>
        <v>0</v>
      </c>
      <c r="AJ564" s="90" t="n">
        <f aca="false">N(AJ563)+AI564</f>
        <v>4</v>
      </c>
      <c r="AK564" s="1" t="n">
        <f aca="false">N(AK563)+$AJ564</f>
        <v>1116</v>
      </c>
    </row>
    <row r="565" customFormat="false" ht="13.5" hidden="false" customHeight="false" outlineLevel="0" collapsed="false">
      <c r="A565" s="1" t="str">
        <f aca="false">IF(对接源_01水果!$C565="","",对接源_01水果!$C565)</f>
        <v/>
      </c>
      <c r="B565" s="1" t="n">
        <f aca="false">IF(A565="",0,IF(MATCH(A565,$A$4:$A$2403,0)=ROW()-3,1,0))</f>
        <v>0</v>
      </c>
      <c r="C565" s="1" t="n">
        <f aca="false">N(C564)+B565</f>
        <v>13</v>
      </c>
      <c r="K565" s="1" t="n">
        <f aca="false">IF(OR($K$1="",对接源_01水果!$C565="",对接源_01水果!$C565&lt;&gt;$K$1,对接源_01水果!$B565=""),0,IF(OR(N(对接源_01水果!$B565)&lt;$K$2,N(对接源_01水果!$B565)&gt;$K$3),0,1))</f>
        <v>0</v>
      </c>
      <c r="L565" s="1" t="n">
        <f aca="false">IF(OR($L$1="",对接源_01水果!$C565="",对接源_01水果!$C565&lt;&gt;$L$1,对接源_01水果!$B565=""),0,IF(OR(N(对接源_01水果!$B565)&lt;$L$2,N(对接源_01水果!$B565)&gt;$L$3),0,1))</f>
        <v>0</v>
      </c>
      <c r="M565" s="1" t="n">
        <f aca="false">IF(OR($M$1="",对接源_01水果!$C565="",对接源_01水果!$C565&lt;&gt;$M$1,对接源_01水果!$B565=""),0,IF(OR(N(对接源_01水果!$B565)&lt;$M$2,N(对接源_01水果!$B565)&gt;$M$3),0,1))</f>
        <v>0</v>
      </c>
      <c r="N565" s="1" t="n">
        <f aca="false">IF(OR($N$1="",对接源_01水果!$C565="",对接源_01水果!$C565&lt;&gt;$N$1,对接源_01水果!$B565=""),0,IF(OR(N(对接源_01水果!$B565)&lt;$N$2,N(对接源_01水果!$B565)&gt;$N$3),0,1))</f>
        <v>0</v>
      </c>
      <c r="P565" s="1" t="n">
        <f aca="false">IF(AND($K565=1,AND(对接源_01水果!$X565="公司筐",N(对接源_01水果!$T565)&lt;&gt;0)),1,0)</f>
        <v>0</v>
      </c>
      <c r="Q565" s="1" t="n">
        <f aca="false">N(Q564)+$P565</f>
        <v>3</v>
      </c>
      <c r="R565" s="1" t="n">
        <f aca="false">IF(AND($K565=1,AND(对接源_01水果!$X565="公司筐",N(对接源_01水果!$U565)&lt;&gt;0)),1,0)</f>
        <v>0</v>
      </c>
      <c r="S565" s="1" t="n">
        <f aca="false">N(S564)+$R565</f>
        <v>0</v>
      </c>
      <c r="T565" s="1" t="n">
        <f aca="false">IF(AND($K565=1,AND(对接源_01水果!$X565="公司筐",N(对接源_01水果!$V565)&lt;&gt;0)),1,0)</f>
        <v>0</v>
      </c>
      <c r="U565" s="1" t="n">
        <f aca="false">N(U564)+$T565</f>
        <v>28</v>
      </c>
      <c r="V565" s="1" t="n">
        <f aca="false">IF(AND($L565=1,AND(对接源_01水果!$X565="自备筐",N(对接源_01水果!$V565)&lt;&gt;0)),1,0)</f>
        <v>0</v>
      </c>
      <c r="W565" s="1" t="n">
        <f aca="false">N(W564)+$V565</f>
        <v>7</v>
      </c>
      <c r="X565" s="1" t="n">
        <f aca="false">IF(AND($L565=1,AND(对接源_01水果!$X565="自备筐",N(对接源_01水果!$T565)&lt;&gt;0)),1,0)</f>
        <v>0</v>
      </c>
      <c r="Y565" s="1" t="n">
        <f aca="false">N(Y564)+$X565</f>
        <v>0</v>
      </c>
      <c r="Z565" s="1" t="n">
        <f aca="false">IF(AND($M565=1,对接源_01水果!$D565="原料入库"),1,0)</f>
        <v>0</v>
      </c>
      <c r="AA565" s="1" t="n">
        <f aca="false">N(AA564)+$Z565</f>
        <v>30</v>
      </c>
      <c r="AB565" s="1" t="n">
        <f aca="false">IF(AND($M565=1,LEFT(对接源_01水果!$D565,4)="原料出库"),1,0)</f>
        <v>0</v>
      </c>
      <c r="AC565" s="1" t="n">
        <f aca="false">N(AC564)+$AB565</f>
        <v>19</v>
      </c>
      <c r="AD565" s="1" t="n">
        <f aca="false">IF(AND($M565=1,LEFT(对接源_01水果!$D565,4)="成品出库"),1,0)</f>
        <v>0</v>
      </c>
      <c r="AE565" s="1" t="n">
        <f aca="false">N(AE564)+$AD565</f>
        <v>38</v>
      </c>
      <c r="AF565" s="1" t="n">
        <f aca="false">IF(AND($N565=1,AND(LEFT(对接源_01水果!$D565,4)="包装物料",N(对接源_01水果!$K565)&lt;&gt;0)),1,0)</f>
        <v>0</v>
      </c>
      <c r="AG565" s="90" t="str">
        <f aca="false">IF(对接源_01水果!$AC565="","",对接源_01水果!$AC565)</f>
        <v/>
      </c>
      <c r="AH565" s="1" t="n">
        <f aca="false">IF(AND($N565=1,AND(LEFT(对接源_01水果!$D565,3)="周转筐",N(对接源_01水果!$K565)&lt;&gt;0)),1,0)</f>
        <v>0</v>
      </c>
      <c r="AI565" s="90" t="n">
        <f aca="false">IF(AG565="",0,IF(MATCH(AG565,$AG$4:$AG$1203,0)=ROW()-3,1,0))</f>
        <v>0</v>
      </c>
      <c r="AJ565" s="90" t="n">
        <f aca="false">N(AJ564)+AI565</f>
        <v>4</v>
      </c>
      <c r="AK565" s="1" t="n">
        <f aca="false">N(AK564)+$AJ565</f>
        <v>1120</v>
      </c>
    </row>
    <row r="566" customFormat="false" ht="13.5" hidden="false" customHeight="false" outlineLevel="0" collapsed="false">
      <c r="A566" s="1" t="str">
        <f aca="false">IF(对接源_01水果!$C566="","",对接源_01水果!$C566)</f>
        <v/>
      </c>
      <c r="B566" s="1" t="n">
        <f aca="false">IF(A566="",0,IF(MATCH(A566,$A$4:$A$2403,0)=ROW()-3,1,0))</f>
        <v>0</v>
      </c>
      <c r="C566" s="1" t="n">
        <f aca="false">N(C565)+B566</f>
        <v>13</v>
      </c>
      <c r="K566" s="1" t="n">
        <f aca="false">IF(OR($K$1="",对接源_01水果!$C566="",对接源_01水果!$C566&lt;&gt;$K$1,对接源_01水果!$B566=""),0,IF(OR(N(对接源_01水果!$B566)&lt;$K$2,N(对接源_01水果!$B566)&gt;$K$3),0,1))</f>
        <v>0</v>
      </c>
      <c r="L566" s="1" t="n">
        <f aca="false">IF(OR($L$1="",对接源_01水果!$C566="",对接源_01水果!$C566&lt;&gt;$L$1,对接源_01水果!$B566=""),0,IF(OR(N(对接源_01水果!$B566)&lt;$L$2,N(对接源_01水果!$B566)&gt;$L$3),0,1))</f>
        <v>0</v>
      </c>
      <c r="M566" s="1" t="n">
        <f aca="false">IF(OR($M$1="",对接源_01水果!$C566="",对接源_01水果!$C566&lt;&gt;$M$1,对接源_01水果!$B566=""),0,IF(OR(N(对接源_01水果!$B566)&lt;$M$2,N(对接源_01水果!$B566)&gt;$M$3),0,1))</f>
        <v>0</v>
      </c>
      <c r="N566" s="1" t="n">
        <f aca="false">IF(OR($N$1="",对接源_01水果!$C566="",对接源_01水果!$C566&lt;&gt;$N$1,对接源_01水果!$B566=""),0,IF(OR(N(对接源_01水果!$B566)&lt;$N$2,N(对接源_01水果!$B566)&gt;$N$3),0,1))</f>
        <v>0</v>
      </c>
      <c r="P566" s="1" t="n">
        <f aca="false">IF(AND($K566=1,AND(对接源_01水果!$X566="公司筐",N(对接源_01水果!$T566)&lt;&gt;0)),1,0)</f>
        <v>0</v>
      </c>
      <c r="Q566" s="1" t="n">
        <f aca="false">N(Q565)+$P566</f>
        <v>3</v>
      </c>
      <c r="R566" s="1" t="n">
        <f aca="false">IF(AND($K566=1,AND(对接源_01水果!$X566="公司筐",N(对接源_01水果!$U566)&lt;&gt;0)),1,0)</f>
        <v>0</v>
      </c>
      <c r="S566" s="1" t="n">
        <f aca="false">N(S565)+$R566</f>
        <v>0</v>
      </c>
      <c r="T566" s="1" t="n">
        <f aca="false">IF(AND($K566=1,AND(对接源_01水果!$X566="公司筐",N(对接源_01水果!$V566)&lt;&gt;0)),1,0)</f>
        <v>0</v>
      </c>
      <c r="U566" s="1" t="n">
        <f aca="false">N(U565)+$T566</f>
        <v>28</v>
      </c>
      <c r="V566" s="1" t="n">
        <f aca="false">IF(AND($L566=1,AND(对接源_01水果!$X566="自备筐",N(对接源_01水果!$V566)&lt;&gt;0)),1,0)</f>
        <v>0</v>
      </c>
      <c r="W566" s="1" t="n">
        <f aca="false">N(W565)+$V566</f>
        <v>7</v>
      </c>
      <c r="X566" s="1" t="n">
        <f aca="false">IF(AND($L566=1,AND(对接源_01水果!$X566="自备筐",N(对接源_01水果!$T566)&lt;&gt;0)),1,0)</f>
        <v>0</v>
      </c>
      <c r="Y566" s="1" t="n">
        <f aca="false">N(Y565)+$X566</f>
        <v>0</v>
      </c>
      <c r="Z566" s="1" t="n">
        <f aca="false">IF(AND($M566=1,对接源_01水果!$D566="原料入库"),1,0)</f>
        <v>0</v>
      </c>
      <c r="AA566" s="1" t="n">
        <f aca="false">N(AA565)+$Z566</f>
        <v>30</v>
      </c>
      <c r="AB566" s="1" t="n">
        <f aca="false">IF(AND($M566=1,LEFT(对接源_01水果!$D566,4)="原料出库"),1,0)</f>
        <v>0</v>
      </c>
      <c r="AC566" s="1" t="n">
        <f aca="false">N(AC565)+$AB566</f>
        <v>19</v>
      </c>
      <c r="AD566" s="1" t="n">
        <f aca="false">IF(AND($M566=1,LEFT(对接源_01水果!$D566,4)="成品出库"),1,0)</f>
        <v>0</v>
      </c>
      <c r="AE566" s="1" t="n">
        <f aca="false">N(AE565)+$AD566</f>
        <v>38</v>
      </c>
      <c r="AF566" s="1" t="n">
        <f aca="false">IF(AND($N566=1,AND(LEFT(对接源_01水果!$D566,4)="包装物料",N(对接源_01水果!$K566)&lt;&gt;0)),1,0)</f>
        <v>0</v>
      </c>
      <c r="AG566" s="90" t="str">
        <f aca="false">IF(对接源_01水果!$AC566="","",对接源_01水果!$AC566)</f>
        <v/>
      </c>
      <c r="AH566" s="1" t="n">
        <f aca="false">IF(AND($N566=1,AND(LEFT(对接源_01水果!$D566,3)="周转筐",N(对接源_01水果!$K566)&lt;&gt;0)),1,0)</f>
        <v>0</v>
      </c>
      <c r="AI566" s="90" t="n">
        <f aca="false">IF(AG566="",0,IF(MATCH(AG566,$AG$4:$AG$1203,0)=ROW()-3,1,0))</f>
        <v>0</v>
      </c>
      <c r="AJ566" s="90" t="n">
        <f aca="false">N(AJ565)+AI566</f>
        <v>4</v>
      </c>
      <c r="AK566" s="1" t="n">
        <f aca="false">N(AK565)+$AJ566</f>
        <v>1124</v>
      </c>
    </row>
    <row r="567" customFormat="false" ht="13.5" hidden="false" customHeight="false" outlineLevel="0" collapsed="false">
      <c r="A567" s="1" t="str">
        <f aca="false">IF(对接源_01水果!$C567="","",对接源_01水果!$C567)</f>
        <v/>
      </c>
      <c r="B567" s="1" t="n">
        <f aca="false">IF(A567="",0,IF(MATCH(A567,$A$4:$A$2403,0)=ROW()-3,1,0))</f>
        <v>0</v>
      </c>
      <c r="C567" s="1" t="n">
        <f aca="false">N(C566)+B567</f>
        <v>13</v>
      </c>
      <c r="K567" s="1" t="n">
        <f aca="false">IF(OR($K$1="",对接源_01水果!$C567="",对接源_01水果!$C567&lt;&gt;$K$1,对接源_01水果!$B567=""),0,IF(OR(N(对接源_01水果!$B567)&lt;$K$2,N(对接源_01水果!$B567)&gt;$K$3),0,1))</f>
        <v>0</v>
      </c>
      <c r="L567" s="1" t="n">
        <f aca="false">IF(OR($L$1="",对接源_01水果!$C567="",对接源_01水果!$C567&lt;&gt;$L$1,对接源_01水果!$B567=""),0,IF(OR(N(对接源_01水果!$B567)&lt;$L$2,N(对接源_01水果!$B567)&gt;$L$3),0,1))</f>
        <v>0</v>
      </c>
      <c r="M567" s="1" t="n">
        <f aca="false">IF(OR($M$1="",对接源_01水果!$C567="",对接源_01水果!$C567&lt;&gt;$M$1,对接源_01水果!$B567=""),0,IF(OR(N(对接源_01水果!$B567)&lt;$M$2,N(对接源_01水果!$B567)&gt;$M$3),0,1))</f>
        <v>0</v>
      </c>
      <c r="N567" s="1" t="n">
        <f aca="false">IF(OR($N$1="",对接源_01水果!$C567="",对接源_01水果!$C567&lt;&gt;$N$1,对接源_01水果!$B567=""),0,IF(OR(N(对接源_01水果!$B567)&lt;$N$2,N(对接源_01水果!$B567)&gt;$N$3),0,1))</f>
        <v>0</v>
      </c>
      <c r="P567" s="1" t="n">
        <f aca="false">IF(AND($K567=1,AND(对接源_01水果!$X567="公司筐",N(对接源_01水果!$T567)&lt;&gt;0)),1,0)</f>
        <v>0</v>
      </c>
      <c r="Q567" s="1" t="n">
        <f aca="false">N(Q566)+$P567</f>
        <v>3</v>
      </c>
      <c r="R567" s="1" t="n">
        <f aca="false">IF(AND($K567=1,AND(对接源_01水果!$X567="公司筐",N(对接源_01水果!$U567)&lt;&gt;0)),1,0)</f>
        <v>0</v>
      </c>
      <c r="S567" s="1" t="n">
        <f aca="false">N(S566)+$R567</f>
        <v>0</v>
      </c>
      <c r="T567" s="1" t="n">
        <f aca="false">IF(AND($K567=1,AND(对接源_01水果!$X567="公司筐",N(对接源_01水果!$V567)&lt;&gt;0)),1,0)</f>
        <v>0</v>
      </c>
      <c r="U567" s="1" t="n">
        <f aca="false">N(U566)+$T567</f>
        <v>28</v>
      </c>
      <c r="V567" s="1" t="n">
        <f aca="false">IF(AND($L567=1,AND(对接源_01水果!$X567="自备筐",N(对接源_01水果!$V567)&lt;&gt;0)),1,0)</f>
        <v>0</v>
      </c>
      <c r="W567" s="1" t="n">
        <f aca="false">N(W566)+$V567</f>
        <v>7</v>
      </c>
      <c r="X567" s="1" t="n">
        <f aca="false">IF(AND($L567=1,AND(对接源_01水果!$X567="自备筐",N(对接源_01水果!$T567)&lt;&gt;0)),1,0)</f>
        <v>0</v>
      </c>
      <c r="Y567" s="1" t="n">
        <f aca="false">N(Y566)+$X567</f>
        <v>0</v>
      </c>
      <c r="Z567" s="1" t="n">
        <f aca="false">IF(AND($M567=1,对接源_01水果!$D567="原料入库"),1,0)</f>
        <v>0</v>
      </c>
      <c r="AA567" s="1" t="n">
        <f aca="false">N(AA566)+$Z567</f>
        <v>30</v>
      </c>
      <c r="AB567" s="1" t="n">
        <f aca="false">IF(AND($M567=1,LEFT(对接源_01水果!$D567,4)="原料出库"),1,0)</f>
        <v>0</v>
      </c>
      <c r="AC567" s="1" t="n">
        <f aca="false">N(AC566)+$AB567</f>
        <v>19</v>
      </c>
      <c r="AD567" s="1" t="n">
        <f aca="false">IF(AND($M567=1,LEFT(对接源_01水果!$D567,4)="成品出库"),1,0)</f>
        <v>0</v>
      </c>
      <c r="AE567" s="1" t="n">
        <f aca="false">N(AE566)+$AD567</f>
        <v>38</v>
      </c>
      <c r="AF567" s="1" t="n">
        <f aca="false">IF(AND($N567=1,AND(LEFT(对接源_01水果!$D567,4)="包装物料",N(对接源_01水果!$K567)&lt;&gt;0)),1,0)</f>
        <v>0</v>
      </c>
      <c r="AG567" s="90" t="str">
        <f aca="false">IF(对接源_01水果!$AC567="","",对接源_01水果!$AC567)</f>
        <v/>
      </c>
      <c r="AH567" s="1" t="n">
        <f aca="false">IF(AND($N567=1,AND(LEFT(对接源_01水果!$D567,3)="周转筐",N(对接源_01水果!$K567)&lt;&gt;0)),1,0)</f>
        <v>0</v>
      </c>
      <c r="AI567" s="90" t="n">
        <f aca="false">IF(AG567="",0,IF(MATCH(AG567,$AG$4:$AG$1203,0)=ROW()-3,1,0))</f>
        <v>0</v>
      </c>
      <c r="AJ567" s="90" t="n">
        <f aca="false">N(AJ566)+AI567</f>
        <v>4</v>
      </c>
      <c r="AK567" s="1" t="n">
        <f aca="false">N(AK566)+$AJ567</f>
        <v>1128</v>
      </c>
    </row>
    <row r="568" customFormat="false" ht="13.5" hidden="false" customHeight="false" outlineLevel="0" collapsed="false">
      <c r="A568" s="1" t="str">
        <f aca="false">IF(对接源_01水果!$C568="","",对接源_01水果!$C568)</f>
        <v/>
      </c>
      <c r="B568" s="1" t="n">
        <f aca="false">IF(A568="",0,IF(MATCH(A568,$A$4:$A$2403,0)=ROW()-3,1,0))</f>
        <v>0</v>
      </c>
      <c r="C568" s="1" t="n">
        <f aca="false">N(C567)+B568</f>
        <v>13</v>
      </c>
      <c r="K568" s="1" t="n">
        <f aca="false">IF(OR($K$1="",对接源_01水果!$C568="",对接源_01水果!$C568&lt;&gt;$K$1,对接源_01水果!$B568=""),0,IF(OR(N(对接源_01水果!$B568)&lt;$K$2,N(对接源_01水果!$B568)&gt;$K$3),0,1))</f>
        <v>0</v>
      </c>
      <c r="L568" s="1" t="n">
        <f aca="false">IF(OR($L$1="",对接源_01水果!$C568="",对接源_01水果!$C568&lt;&gt;$L$1,对接源_01水果!$B568=""),0,IF(OR(N(对接源_01水果!$B568)&lt;$L$2,N(对接源_01水果!$B568)&gt;$L$3),0,1))</f>
        <v>0</v>
      </c>
      <c r="M568" s="1" t="n">
        <f aca="false">IF(OR($M$1="",对接源_01水果!$C568="",对接源_01水果!$C568&lt;&gt;$M$1,对接源_01水果!$B568=""),0,IF(OR(N(对接源_01水果!$B568)&lt;$M$2,N(对接源_01水果!$B568)&gt;$M$3),0,1))</f>
        <v>0</v>
      </c>
      <c r="N568" s="1" t="n">
        <f aca="false">IF(OR($N$1="",对接源_01水果!$C568="",对接源_01水果!$C568&lt;&gt;$N$1,对接源_01水果!$B568=""),0,IF(OR(N(对接源_01水果!$B568)&lt;$N$2,N(对接源_01水果!$B568)&gt;$N$3),0,1))</f>
        <v>0</v>
      </c>
      <c r="P568" s="1" t="n">
        <f aca="false">IF(AND($K568=1,AND(对接源_01水果!$X568="公司筐",N(对接源_01水果!$T568)&lt;&gt;0)),1,0)</f>
        <v>0</v>
      </c>
      <c r="Q568" s="1" t="n">
        <f aca="false">N(Q567)+$P568</f>
        <v>3</v>
      </c>
      <c r="R568" s="1" t="n">
        <f aca="false">IF(AND($K568=1,AND(对接源_01水果!$X568="公司筐",N(对接源_01水果!$U568)&lt;&gt;0)),1,0)</f>
        <v>0</v>
      </c>
      <c r="S568" s="1" t="n">
        <f aca="false">N(S567)+$R568</f>
        <v>0</v>
      </c>
      <c r="T568" s="1" t="n">
        <f aca="false">IF(AND($K568=1,AND(对接源_01水果!$X568="公司筐",N(对接源_01水果!$V568)&lt;&gt;0)),1,0)</f>
        <v>0</v>
      </c>
      <c r="U568" s="1" t="n">
        <f aca="false">N(U567)+$T568</f>
        <v>28</v>
      </c>
      <c r="V568" s="1" t="n">
        <f aca="false">IF(AND($L568=1,AND(对接源_01水果!$X568="自备筐",N(对接源_01水果!$V568)&lt;&gt;0)),1,0)</f>
        <v>0</v>
      </c>
      <c r="W568" s="1" t="n">
        <f aca="false">N(W567)+$V568</f>
        <v>7</v>
      </c>
      <c r="X568" s="1" t="n">
        <f aca="false">IF(AND($L568=1,AND(对接源_01水果!$X568="自备筐",N(对接源_01水果!$T568)&lt;&gt;0)),1,0)</f>
        <v>0</v>
      </c>
      <c r="Y568" s="1" t="n">
        <f aca="false">N(Y567)+$X568</f>
        <v>0</v>
      </c>
      <c r="Z568" s="1" t="n">
        <f aca="false">IF(AND($M568=1,对接源_01水果!$D568="原料入库"),1,0)</f>
        <v>0</v>
      </c>
      <c r="AA568" s="1" t="n">
        <f aca="false">N(AA567)+$Z568</f>
        <v>30</v>
      </c>
      <c r="AB568" s="1" t="n">
        <f aca="false">IF(AND($M568=1,LEFT(对接源_01水果!$D568,4)="原料出库"),1,0)</f>
        <v>0</v>
      </c>
      <c r="AC568" s="1" t="n">
        <f aca="false">N(AC567)+$AB568</f>
        <v>19</v>
      </c>
      <c r="AD568" s="1" t="n">
        <f aca="false">IF(AND($M568=1,LEFT(对接源_01水果!$D568,4)="成品出库"),1,0)</f>
        <v>0</v>
      </c>
      <c r="AE568" s="1" t="n">
        <f aca="false">N(AE567)+$AD568</f>
        <v>38</v>
      </c>
      <c r="AF568" s="1" t="n">
        <f aca="false">IF(AND($N568=1,AND(LEFT(对接源_01水果!$D568,4)="包装物料",N(对接源_01水果!$K568)&lt;&gt;0)),1,0)</f>
        <v>0</v>
      </c>
      <c r="AG568" s="90" t="str">
        <f aca="false">IF(对接源_01水果!$AC568="","",对接源_01水果!$AC568)</f>
        <v/>
      </c>
      <c r="AH568" s="1" t="n">
        <f aca="false">IF(AND($N568=1,AND(LEFT(对接源_01水果!$D568,3)="周转筐",N(对接源_01水果!$K568)&lt;&gt;0)),1,0)</f>
        <v>0</v>
      </c>
      <c r="AI568" s="90" t="n">
        <f aca="false">IF(AG568="",0,IF(MATCH(AG568,$AG$4:$AG$1203,0)=ROW()-3,1,0))</f>
        <v>0</v>
      </c>
      <c r="AJ568" s="90" t="n">
        <f aca="false">N(AJ567)+AI568</f>
        <v>4</v>
      </c>
      <c r="AK568" s="1" t="n">
        <f aca="false">N(AK567)+$AJ568</f>
        <v>1132</v>
      </c>
    </row>
    <row r="569" customFormat="false" ht="13.5" hidden="false" customHeight="false" outlineLevel="0" collapsed="false">
      <c r="A569" s="1" t="str">
        <f aca="false">IF(对接源_01水果!$C569="","",对接源_01水果!$C569)</f>
        <v/>
      </c>
      <c r="B569" s="1" t="n">
        <f aca="false">IF(A569="",0,IF(MATCH(A569,$A$4:$A$2403,0)=ROW()-3,1,0))</f>
        <v>0</v>
      </c>
      <c r="C569" s="1" t="n">
        <f aca="false">N(C568)+B569</f>
        <v>13</v>
      </c>
      <c r="K569" s="1" t="n">
        <f aca="false">IF(OR($K$1="",对接源_01水果!$C569="",对接源_01水果!$C569&lt;&gt;$K$1,对接源_01水果!$B569=""),0,IF(OR(N(对接源_01水果!$B569)&lt;$K$2,N(对接源_01水果!$B569)&gt;$K$3),0,1))</f>
        <v>0</v>
      </c>
      <c r="L569" s="1" t="n">
        <f aca="false">IF(OR($L$1="",对接源_01水果!$C569="",对接源_01水果!$C569&lt;&gt;$L$1,对接源_01水果!$B569=""),0,IF(OR(N(对接源_01水果!$B569)&lt;$L$2,N(对接源_01水果!$B569)&gt;$L$3),0,1))</f>
        <v>0</v>
      </c>
      <c r="M569" s="1" t="n">
        <f aca="false">IF(OR($M$1="",对接源_01水果!$C569="",对接源_01水果!$C569&lt;&gt;$M$1,对接源_01水果!$B569=""),0,IF(OR(N(对接源_01水果!$B569)&lt;$M$2,N(对接源_01水果!$B569)&gt;$M$3),0,1))</f>
        <v>0</v>
      </c>
      <c r="N569" s="1" t="n">
        <f aca="false">IF(OR($N$1="",对接源_01水果!$C569="",对接源_01水果!$C569&lt;&gt;$N$1,对接源_01水果!$B569=""),0,IF(OR(N(对接源_01水果!$B569)&lt;$N$2,N(对接源_01水果!$B569)&gt;$N$3),0,1))</f>
        <v>0</v>
      </c>
      <c r="P569" s="1" t="n">
        <f aca="false">IF(AND($K569=1,AND(对接源_01水果!$X569="公司筐",N(对接源_01水果!$T569)&lt;&gt;0)),1,0)</f>
        <v>0</v>
      </c>
      <c r="Q569" s="1" t="n">
        <f aca="false">N(Q568)+$P569</f>
        <v>3</v>
      </c>
      <c r="R569" s="1" t="n">
        <f aca="false">IF(AND($K569=1,AND(对接源_01水果!$X569="公司筐",N(对接源_01水果!$U569)&lt;&gt;0)),1,0)</f>
        <v>0</v>
      </c>
      <c r="S569" s="1" t="n">
        <f aca="false">N(S568)+$R569</f>
        <v>0</v>
      </c>
      <c r="T569" s="1" t="n">
        <f aca="false">IF(AND($K569=1,AND(对接源_01水果!$X569="公司筐",N(对接源_01水果!$V569)&lt;&gt;0)),1,0)</f>
        <v>0</v>
      </c>
      <c r="U569" s="1" t="n">
        <f aca="false">N(U568)+$T569</f>
        <v>28</v>
      </c>
      <c r="V569" s="1" t="n">
        <f aca="false">IF(AND($L569=1,AND(对接源_01水果!$X569="自备筐",N(对接源_01水果!$V569)&lt;&gt;0)),1,0)</f>
        <v>0</v>
      </c>
      <c r="W569" s="1" t="n">
        <f aca="false">N(W568)+$V569</f>
        <v>7</v>
      </c>
      <c r="X569" s="1" t="n">
        <f aca="false">IF(AND($L569=1,AND(对接源_01水果!$X569="自备筐",N(对接源_01水果!$T569)&lt;&gt;0)),1,0)</f>
        <v>0</v>
      </c>
      <c r="Y569" s="1" t="n">
        <f aca="false">N(Y568)+$X569</f>
        <v>0</v>
      </c>
      <c r="Z569" s="1" t="n">
        <f aca="false">IF(AND($M569=1,对接源_01水果!$D569="原料入库"),1,0)</f>
        <v>0</v>
      </c>
      <c r="AA569" s="1" t="n">
        <f aca="false">N(AA568)+$Z569</f>
        <v>30</v>
      </c>
      <c r="AB569" s="1" t="n">
        <f aca="false">IF(AND($M569=1,LEFT(对接源_01水果!$D569,4)="原料出库"),1,0)</f>
        <v>0</v>
      </c>
      <c r="AC569" s="1" t="n">
        <f aca="false">N(AC568)+$AB569</f>
        <v>19</v>
      </c>
      <c r="AD569" s="1" t="n">
        <f aca="false">IF(AND($M569=1,LEFT(对接源_01水果!$D569,4)="成品出库"),1,0)</f>
        <v>0</v>
      </c>
      <c r="AE569" s="1" t="n">
        <f aca="false">N(AE568)+$AD569</f>
        <v>38</v>
      </c>
      <c r="AF569" s="1" t="n">
        <f aca="false">IF(AND($N569=1,AND(LEFT(对接源_01水果!$D569,4)="包装物料",N(对接源_01水果!$K569)&lt;&gt;0)),1,0)</f>
        <v>0</v>
      </c>
      <c r="AG569" s="90" t="str">
        <f aca="false">IF(对接源_01水果!$AC569="","",对接源_01水果!$AC569)</f>
        <v/>
      </c>
      <c r="AH569" s="1" t="n">
        <f aca="false">IF(AND($N569=1,AND(LEFT(对接源_01水果!$D569,3)="周转筐",N(对接源_01水果!$K569)&lt;&gt;0)),1,0)</f>
        <v>0</v>
      </c>
      <c r="AI569" s="90" t="n">
        <f aca="false">IF(AG569="",0,IF(MATCH(AG569,$AG$4:$AG$1203,0)=ROW()-3,1,0))</f>
        <v>0</v>
      </c>
      <c r="AJ569" s="90" t="n">
        <f aca="false">N(AJ568)+AI569</f>
        <v>4</v>
      </c>
      <c r="AK569" s="1" t="n">
        <f aca="false">N(AK568)+$AJ569</f>
        <v>1136</v>
      </c>
    </row>
    <row r="570" customFormat="false" ht="13.5" hidden="false" customHeight="false" outlineLevel="0" collapsed="false">
      <c r="A570" s="1" t="str">
        <f aca="false">IF(对接源_01水果!$C570="","",对接源_01水果!$C570)</f>
        <v/>
      </c>
      <c r="B570" s="1" t="n">
        <f aca="false">IF(A570="",0,IF(MATCH(A570,$A$4:$A$2403,0)=ROW()-3,1,0))</f>
        <v>0</v>
      </c>
      <c r="C570" s="1" t="n">
        <f aca="false">N(C569)+B570</f>
        <v>13</v>
      </c>
      <c r="K570" s="1" t="n">
        <f aca="false">IF(OR($K$1="",对接源_01水果!$C570="",对接源_01水果!$C570&lt;&gt;$K$1,对接源_01水果!$B570=""),0,IF(OR(N(对接源_01水果!$B570)&lt;$K$2,N(对接源_01水果!$B570)&gt;$K$3),0,1))</f>
        <v>0</v>
      </c>
      <c r="L570" s="1" t="n">
        <f aca="false">IF(OR($L$1="",对接源_01水果!$C570="",对接源_01水果!$C570&lt;&gt;$L$1,对接源_01水果!$B570=""),0,IF(OR(N(对接源_01水果!$B570)&lt;$L$2,N(对接源_01水果!$B570)&gt;$L$3),0,1))</f>
        <v>0</v>
      </c>
      <c r="M570" s="1" t="n">
        <f aca="false">IF(OR($M$1="",对接源_01水果!$C570="",对接源_01水果!$C570&lt;&gt;$M$1,对接源_01水果!$B570=""),0,IF(OR(N(对接源_01水果!$B570)&lt;$M$2,N(对接源_01水果!$B570)&gt;$M$3),0,1))</f>
        <v>0</v>
      </c>
      <c r="N570" s="1" t="n">
        <f aca="false">IF(OR($N$1="",对接源_01水果!$C570="",对接源_01水果!$C570&lt;&gt;$N$1,对接源_01水果!$B570=""),0,IF(OR(N(对接源_01水果!$B570)&lt;$N$2,N(对接源_01水果!$B570)&gt;$N$3),0,1))</f>
        <v>0</v>
      </c>
      <c r="P570" s="1" t="n">
        <f aca="false">IF(AND($K570=1,AND(对接源_01水果!$X570="公司筐",N(对接源_01水果!$T570)&lt;&gt;0)),1,0)</f>
        <v>0</v>
      </c>
      <c r="Q570" s="1" t="n">
        <f aca="false">N(Q569)+$P570</f>
        <v>3</v>
      </c>
      <c r="R570" s="1" t="n">
        <f aca="false">IF(AND($K570=1,AND(对接源_01水果!$X570="公司筐",N(对接源_01水果!$U570)&lt;&gt;0)),1,0)</f>
        <v>0</v>
      </c>
      <c r="S570" s="1" t="n">
        <f aca="false">N(S569)+$R570</f>
        <v>0</v>
      </c>
      <c r="T570" s="1" t="n">
        <f aca="false">IF(AND($K570=1,AND(对接源_01水果!$X570="公司筐",N(对接源_01水果!$V570)&lt;&gt;0)),1,0)</f>
        <v>0</v>
      </c>
      <c r="U570" s="1" t="n">
        <f aca="false">N(U569)+$T570</f>
        <v>28</v>
      </c>
      <c r="V570" s="1" t="n">
        <f aca="false">IF(AND($L570=1,AND(对接源_01水果!$X570="自备筐",N(对接源_01水果!$V570)&lt;&gt;0)),1,0)</f>
        <v>0</v>
      </c>
      <c r="W570" s="1" t="n">
        <f aca="false">N(W569)+$V570</f>
        <v>7</v>
      </c>
      <c r="X570" s="1" t="n">
        <f aca="false">IF(AND($L570=1,AND(对接源_01水果!$X570="自备筐",N(对接源_01水果!$T570)&lt;&gt;0)),1,0)</f>
        <v>0</v>
      </c>
      <c r="Y570" s="1" t="n">
        <f aca="false">N(Y569)+$X570</f>
        <v>0</v>
      </c>
      <c r="Z570" s="1" t="n">
        <f aca="false">IF(AND($M570=1,对接源_01水果!$D570="原料入库"),1,0)</f>
        <v>0</v>
      </c>
      <c r="AA570" s="1" t="n">
        <f aca="false">N(AA569)+$Z570</f>
        <v>30</v>
      </c>
      <c r="AB570" s="1" t="n">
        <f aca="false">IF(AND($M570=1,LEFT(对接源_01水果!$D570,4)="原料出库"),1,0)</f>
        <v>0</v>
      </c>
      <c r="AC570" s="1" t="n">
        <f aca="false">N(AC569)+$AB570</f>
        <v>19</v>
      </c>
      <c r="AD570" s="1" t="n">
        <f aca="false">IF(AND($M570=1,LEFT(对接源_01水果!$D570,4)="成品出库"),1,0)</f>
        <v>0</v>
      </c>
      <c r="AE570" s="1" t="n">
        <f aca="false">N(AE569)+$AD570</f>
        <v>38</v>
      </c>
      <c r="AF570" s="1" t="n">
        <f aca="false">IF(AND($N570=1,AND(LEFT(对接源_01水果!$D570,4)="包装物料",N(对接源_01水果!$K570)&lt;&gt;0)),1,0)</f>
        <v>0</v>
      </c>
      <c r="AG570" s="90" t="str">
        <f aca="false">IF(对接源_01水果!$AC570="","",对接源_01水果!$AC570)</f>
        <v/>
      </c>
      <c r="AH570" s="1" t="n">
        <f aca="false">IF(AND($N570=1,AND(LEFT(对接源_01水果!$D570,3)="周转筐",N(对接源_01水果!$K570)&lt;&gt;0)),1,0)</f>
        <v>0</v>
      </c>
      <c r="AI570" s="90" t="n">
        <f aca="false">IF(AG570="",0,IF(MATCH(AG570,$AG$4:$AG$1203,0)=ROW()-3,1,0))</f>
        <v>0</v>
      </c>
      <c r="AJ570" s="90" t="n">
        <f aca="false">N(AJ569)+AI570</f>
        <v>4</v>
      </c>
      <c r="AK570" s="1" t="n">
        <f aca="false">N(AK569)+$AJ570</f>
        <v>1140</v>
      </c>
    </row>
    <row r="571" customFormat="false" ht="13.5" hidden="false" customHeight="false" outlineLevel="0" collapsed="false">
      <c r="A571" s="1" t="str">
        <f aca="false">IF(对接源_01水果!$C571="","",对接源_01水果!$C571)</f>
        <v/>
      </c>
      <c r="B571" s="1" t="n">
        <f aca="false">IF(A571="",0,IF(MATCH(A571,$A$4:$A$2403,0)=ROW()-3,1,0))</f>
        <v>0</v>
      </c>
      <c r="C571" s="1" t="n">
        <f aca="false">N(C570)+B571</f>
        <v>13</v>
      </c>
      <c r="K571" s="1" t="n">
        <f aca="false">IF(OR($K$1="",对接源_01水果!$C571="",对接源_01水果!$C571&lt;&gt;$K$1,对接源_01水果!$B571=""),0,IF(OR(N(对接源_01水果!$B571)&lt;$K$2,N(对接源_01水果!$B571)&gt;$K$3),0,1))</f>
        <v>0</v>
      </c>
      <c r="L571" s="1" t="n">
        <f aca="false">IF(OR($L$1="",对接源_01水果!$C571="",对接源_01水果!$C571&lt;&gt;$L$1,对接源_01水果!$B571=""),0,IF(OR(N(对接源_01水果!$B571)&lt;$L$2,N(对接源_01水果!$B571)&gt;$L$3),0,1))</f>
        <v>0</v>
      </c>
      <c r="M571" s="1" t="n">
        <f aca="false">IF(OR($M$1="",对接源_01水果!$C571="",对接源_01水果!$C571&lt;&gt;$M$1,对接源_01水果!$B571=""),0,IF(OR(N(对接源_01水果!$B571)&lt;$M$2,N(对接源_01水果!$B571)&gt;$M$3),0,1))</f>
        <v>0</v>
      </c>
      <c r="N571" s="1" t="n">
        <f aca="false">IF(OR($N$1="",对接源_01水果!$C571="",对接源_01水果!$C571&lt;&gt;$N$1,对接源_01水果!$B571=""),0,IF(OR(N(对接源_01水果!$B571)&lt;$N$2,N(对接源_01水果!$B571)&gt;$N$3),0,1))</f>
        <v>0</v>
      </c>
      <c r="P571" s="1" t="n">
        <f aca="false">IF(AND($K571=1,AND(对接源_01水果!$X571="公司筐",N(对接源_01水果!$T571)&lt;&gt;0)),1,0)</f>
        <v>0</v>
      </c>
      <c r="Q571" s="1" t="n">
        <f aca="false">N(Q570)+$P571</f>
        <v>3</v>
      </c>
      <c r="R571" s="1" t="n">
        <f aca="false">IF(AND($K571=1,AND(对接源_01水果!$X571="公司筐",N(对接源_01水果!$U571)&lt;&gt;0)),1,0)</f>
        <v>0</v>
      </c>
      <c r="S571" s="1" t="n">
        <f aca="false">N(S570)+$R571</f>
        <v>0</v>
      </c>
      <c r="T571" s="1" t="n">
        <f aca="false">IF(AND($K571=1,AND(对接源_01水果!$X571="公司筐",N(对接源_01水果!$V571)&lt;&gt;0)),1,0)</f>
        <v>0</v>
      </c>
      <c r="U571" s="1" t="n">
        <f aca="false">N(U570)+$T571</f>
        <v>28</v>
      </c>
      <c r="V571" s="1" t="n">
        <f aca="false">IF(AND($L571=1,AND(对接源_01水果!$X571="自备筐",N(对接源_01水果!$V571)&lt;&gt;0)),1,0)</f>
        <v>0</v>
      </c>
      <c r="W571" s="1" t="n">
        <f aca="false">N(W570)+$V571</f>
        <v>7</v>
      </c>
      <c r="X571" s="1" t="n">
        <f aca="false">IF(AND($L571=1,AND(对接源_01水果!$X571="自备筐",N(对接源_01水果!$T571)&lt;&gt;0)),1,0)</f>
        <v>0</v>
      </c>
      <c r="Y571" s="1" t="n">
        <f aca="false">N(Y570)+$X571</f>
        <v>0</v>
      </c>
      <c r="Z571" s="1" t="n">
        <f aca="false">IF(AND($M571=1,对接源_01水果!$D571="原料入库"),1,0)</f>
        <v>0</v>
      </c>
      <c r="AA571" s="1" t="n">
        <f aca="false">N(AA570)+$Z571</f>
        <v>30</v>
      </c>
      <c r="AB571" s="1" t="n">
        <f aca="false">IF(AND($M571=1,LEFT(对接源_01水果!$D571,4)="原料出库"),1,0)</f>
        <v>0</v>
      </c>
      <c r="AC571" s="1" t="n">
        <f aca="false">N(AC570)+$AB571</f>
        <v>19</v>
      </c>
      <c r="AD571" s="1" t="n">
        <f aca="false">IF(AND($M571=1,LEFT(对接源_01水果!$D571,4)="成品出库"),1,0)</f>
        <v>0</v>
      </c>
      <c r="AE571" s="1" t="n">
        <f aca="false">N(AE570)+$AD571</f>
        <v>38</v>
      </c>
      <c r="AF571" s="1" t="n">
        <f aca="false">IF(AND($N571=1,AND(LEFT(对接源_01水果!$D571,4)="包装物料",N(对接源_01水果!$K571)&lt;&gt;0)),1,0)</f>
        <v>0</v>
      </c>
      <c r="AG571" s="90" t="str">
        <f aca="false">IF(对接源_01水果!$AC571="","",对接源_01水果!$AC571)</f>
        <v/>
      </c>
      <c r="AH571" s="1" t="n">
        <f aca="false">IF(AND($N571=1,AND(LEFT(对接源_01水果!$D571,3)="周转筐",N(对接源_01水果!$K571)&lt;&gt;0)),1,0)</f>
        <v>0</v>
      </c>
      <c r="AI571" s="90" t="n">
        <f aca="false">IF(AG571="",0,IF(MATCH(AG571,$AG$4:$AG$1203,0)=ROW()-3,1,0))</f>
        <v>0</v>
      </c>
      <c r="AJ571" s="90" t="n">
        <f aca="false">N(AJ570)+AI571</f>
        <v>4</v>
      </c>
      <c r="AK571" s="1" t="n">
        <f aca="false">N(AK570)+$AJ571</f>
        <v>1144</v>
      </c>
    </row>
    <row r="572" customFormat="false" ht="13.5" hidden="false" customHeight="false" outlineLevel="0" collapsed="false">
      <c r="A572" s="1" t="str">
        <f aca="false">IF(对接源_01水果!$C572="","",对接源_01水果!$C572)</f>
        <v/>
      </c>
      <c r="B572" s="1" t="n">
        <f aca="false">IF(A572="",0,IF(MATCH(A572,$A$4:$A$2403,0)=ROW()-3,1,0))</f>
        <v>0</v>
      </c>
      <c r="C572" s="1" t="n">
        <f aca="false">N(C571)+B572</f>
        <v>13</v>
      </c>
      <c r="K572" s="1" t="n">
        <f aca="false">IF(OR($K$1="",对接源_01水果!$C572="",对接源_01水果!$C572&lt;&gt;$K$1,对接源_01水果!$B572=""),0,IF(OR(N(对接源_01水果!$B572)&lt;$K$2,N(对接源_01水果!$B572)&gt;$K$3),0,1))</f>
        <v>0</v>
      </c>
      <c r="L572" s="1" t="n">
        <f aca="false">IF(OR($L$1="",对接源_01水果!$C572="",对接源_01水果!$C572&lt;&gt;$L$1,对接源_01水果!$B572=""),0,IF(OR(N(对接源_01水果!$B572)&lt;$L$2,N(对接源_01水果!$B572)&gt;$L$3),0,1))</f>
        <v>0</v>
      </c>
      <c r="M572" s="1" t="n">
        <f aca="false">IF(OR($M$1="",对接源_01水果!$C572="",对接源_01水果!$C572&lt;&gt;$M$1,对接源_01水果!$B572=""),0,IF(OR(N(对接源_01水果!$B572)&lt;$M$2,N(对接源_01水果!$B572)&gt;$M$3),0,1))</f>
        <v>0</v>
      </c>
      <c r="N572" s="1" t="n">
        <f aca="false">IF(OR($N$1="",对接源_01水果!$C572="",对接源_01水果!$C572&lt;&gt;$N$1,对接源_01水果!$B572=""),0,IF(OR(N(对接源_01水果!$B572)&lt;$N$2,N(对接源_01水果!$B572)&gt;$N$3),0,1))</f>
        <v>0</v>
      </c>
      <c r="P572" s="1" t="n">
        <f aca="false">IF(AND($K572=1,AND(对接源_01水果!$X572="公司筐",N(对接源_01水果!$T572)&lt;&gt;0)),1,0)</f>
        <v>0</v>
      </c>
      <c r="Q572" s="1" t="n">
        <f aca="false">N(Q571)+$P572</f>
        <v>3</v>
      </c>
      <c r="R572" s="1" t="n">
        <f aca="false">IF(AND($K572=1,AND(对接源_01水果!$X572="公司筐",N(对接源_01水果!$U572)&lt;&gt;0)),1,0)</f>
        <v>0</v>
      </c>
      <c r="S572" s="1" t="n">
        <f aca="false">N(S571)+$R572</f>
        <v>0</v>
      </c>
      <c r="T572" s="1" t="n">
        <f aca="false">IF(AND($K572=1,AND(对接源_01水果!$X572="公司筐",N(对接源_01水果!$V572)&lt;&gt;0)),1,0)</f>
        <v>0</v>
      </c>
      <c r="U572" s="1" t="n">
        <f aca="false">N(U571)+$T572</f>
        <v>28</v>
      </c>
      <c r="V572" s="1" t="n">
        <f aca="false">IF(AND($L572=1,AND(对接源_01水果!$X572="自备筐",N(对接源_01水果!$V572)&lt;&gt;0)),1,0)</f>
        <v>0</v>
      </c>
      <c r="W572" s="1" t="n">
        <f aca="false">N(W571)+$V572</f>
        <v>7</v>
      </c>
      <c r="X572" s="1" t="n">
        <f aca="false">IF(AND($L572=1,AND(对接源_01水果!$X572="自备筐",N(对接源_01水果!$T572)&lt;&gt;0)),1,0)</f>
        <v>0</v>
      </c>
      <c r="Y572" s="1" t="n">
        <f aca="false">N(Y571)+$X572</f>
        <v>0</v>
      </c>
      <c r="Z572" s="1" t="n">
        <f aca="false">IF(AND($M572=1,对接源_01水果!$D572="原料入库"),1,0)</f>
        <v>0</v>
      </c>
      <c r="AA572" s="1" t="n">
        <f aca="false">N(AA571)+$Z572</f>
        <v>30</v>
      </c>
      <c r="AB572" s="1" t="n">
        <f aca="false">IF(AND($M572=1,LEFT(对接源_01水果!$D572,4)="原料出库"),1,0)</f>
        <v>0</v>
      </c>
      <c r="AC572" s="1" t="n">
        <f aca="false">N(AC571)+$AB572</f>
        <v>19</v>
      </c>
      <c r="AD572" s="1" t="n">
        <f aca="false">IF(AND($M572=1,LEFT(对接源_01水果!$D572,4)="成品出库"),1,0)</f>
        <v>0</v>
      </c>
      <c r="AE572" s="1" t="n">
        <f aca="false">N(AE571)+$AD572</f>
        <v>38</v>
      </c>
      <c r="AF572" s="1" t="n">
        <f aca="false">IF(AND($N572=1,AND(LEFT(对接源_01水果!$D572,4)="包装物料",N(对接源_01水果!$K572)&lt;&gt;0)),1,0)</f>
        <v>0</v>
      </c>
      <c r="AG572" s="90" t="str">
        <f aca="false">IF(对接源_01水果!$AC572="","",对接源_01水果!$AC572)</f>
        <v/>
      </c>
      <c r="AH572" s="1" t="n">
        <f aca="false">IF(AND($N572=1,AND(LEFT(对接源_01水果!$D572,3)="周转筐",N(对接源_01水果!$K572)&lt;&gt;0)),1,0)</f>
        <v>0</v>
      </c>
      <c r="AI572" s="90" t="n">
        <f aca="false">IF(AG572="",0,IF(MATCH(AG572,$AG$4:$AG$1203,0)=ROW()-3,1,0))</f>
        <v>0</v>
      </c>
      <c r="AJ572" s="90" t="n">
        <f aca="false">N(AJ571)+AI572</f>
        <v>4</v>
      </c>
      <c r="AK572" s="1" t="n">
        <f aca="false">N(AK571)+$AJ572</f>
        <v>1148</v>
      </c>
    </row>
    <row r="573" customFormat="false" ht="13.5" hidden="false" customHeight="false" outlineLevel="0" collapsed="false">
      <c r="A573" s="1" t="str">
        <f aca="false">IF(对接源_01水果!$C573="","",对接源_01水果!$C573)</f>
        <v/>
      </c>
      <c r="B573" s="1" t="n">
        <f aca="false">IF(A573="",0,IF(MATCH(A573,$A$4:$A$2403,0)=ROW()-3,1,0))</f>
        <v>0</v>
      </c>
      <c r="C573" s="1" t="n">
        <f aca="false">N(C572)+B573</f>
        <v>13</v>
      </c>
      <c r="K573" s="1" t="n">
        <f aca="false">IF(OR($K$1="",对接源_01水果!$C573="",对接源_01水果!$C573&lt;&gt;$K$1,对接源_01水果!$B573=""),0,IF(OR(N(对接源_01水果!$B573)&lt;$K$2,N(对接源_01水果!$B573)&gt;$K$3),0,1))</f>
        <v>0</v>
      </c>
      <c r="L573" s="1" t="n">
        <f aca="false">IF(OR($L$1="",对接源_01水果!$C573="",对接源_01水果!$C573&lt;&gt;$L$1,对接源_01水果!$B573=""),0,IF(OR(N(对接源_01水果!$B573)&lt;$L$2,N(对接源_01水果!$B573)&gt;$L$3),0,1))</f>
        <v>0</v>
      </c>
      <c r="M573" s="1" t="n">
        <f aca="false">IF(OR($M$1="",对接源_01水果!$C573="",对接源_01水果!$C573&lt;&gt;$M$1,对接源_01水果!$B573=""),0,IF(OR(N(对接源_01水果!$B573)&lt;$M$2,N(对接源_01水果!$B573)&gt;$M$3),0,1))</f>
        <v>0</v>
      </c>
      <c r="N573" s="1" t="n">
        <f aca="false">IF(OR($N$1="",对接源_01水果!$C573="",对接源_01水果!$C573&lt;&gt;$N$1,对接源_01水果!$B573=""),0,IF(OR(N(对接源_01水果!$B573)&lt;$N$2,N(对接源_01水果!$B573)&gt;$N$3),0,1))</f>
        <v>0</v>
      </c>
      <c r="P573" s="1" t="n">
        <f aca="false">IF(AND($K573=1,AND(对接源_01水果!$X573="公司筐",N(对接源_01水果!$T573)&lt;&gt;0)),1,0)</f>
        <v>0</v>
      </c>
      <c r="Q573" s="1" t="n">
        <f aca="false">N(Q572)+$P573</f>
        <v>3</v>
      </c>
      <c r="R573" s="1" t="n">
        <f aca="false">IF(AND($K573=1,AND(对接源_01水果!$X573="公司筐",N(对接源_01水果!$U573)&lt;&gt;0)),1,0)</f>
        <v>0</v>
      </c>
      <c r="S573" s="1" t="n">
        <f aca="false">N(S572)+$R573</f>
        <v>0</v>
      </c>
      <c r="T573" s="1" t="n">
        <f aca="false">IF(AND($K573=1,AND(对接源_01水果!$X573="公司筐",N(对接源_01水果!$V573)&lt;&gt;0)),1,0)</f>
        <v>0</v>
      </c>
      <c r="U573" s="1" t="n">
        <f aca="false">N(U572)+$T573</f>
        <v>28</v>
      </c>
      <c r="V573" s="1" t="n">
        <f aca="false">IF(AND($L573=1,AND(对接源_01水果!$X573="自备筐",N(对接源_01水果!$V573)&lt;&gt;0)),1,0)</f>
        <v>0</v>
      </c>
      <c r="W573" s="1" t="n">
        <f aca="false">N(W572)+$V573</f>
        <v>7</v>
      </c>
      <c r="X573" s="1" t="n">
        <f aca="false">IF(AND($L573=1,AND(对接源_01水果!$X573="自备筐",N(对接源_01水果!$T573)&lt;&gt;0)),1,0)</f>
        <v>0</v>
      </c>
      <c r="Y573" s="1" t="n">
        <f aca="false">N(Y572)+$X573</f>
        <v>0</v>
      </c>
      <c r="Z573" s="1" t="n">
        <f aca="false">IF(AND($M573=1,对接源_01水果!$D573="原料入库"),1,0)</f>
        <v>0</v>
      </c>
      <c r="AA573" s="1" t="n">
        <f aca="false">N(AA572)+$Z573</f>
        <v>30</v>
      </c>
      <c r="AB573" s="1" t="n">
        <f aca="false">IF(AND($M573=1,LEFT(对接源_01水果!$D573,4)="原料出库"),1,0)</f>
        <v>0</v>
      </c>
      <c r="AC573" s="1" t="n">
        <f aca="false">N(AC572)+$AB573</f>
        <v>19</v>
      </c>
      <c r="AD573" s="1" t="n">
        <f aca="false">IF(AND($M573=1,LEFT(对接源_01水果!$D573,4)="成品出库"),1,0)</f>
        <v>0</v>
      </c>
      <c r="AE573" s="1" t="n">
        <f aca="false">N(AE572)+$AD573</f>
        <v>38</v>
      </c>
      <c r="AF573" s="1" t="n">
        <f aca="false">IF(AND($N573=1,AND(LEFT(对接源_01水果!$D573,4)="包装物料",N(对接源_01水果!$K573)&lt;&gt;0)),1,0)</f>
        <v>0</v>
      </c>
      <c r="AG573" s="90" t="str">
        <f aca="false">IF(对接源_01水果!$AC573="","",对接源_01水果!$AC573)</f>
        <v/>
      </c>
      <c r="AH573" s="1" t="n">
        <f aca="false">IF(AND($N573=1,AND(LEFT(对接源_01水果!$D573,3)="周转筐",N(对接源_01水果!$K573)&lt;&gt;0)),1,0)</f>
        <v>0</v>
      </c>
      <c r="AI573" s="90" t="n">
        <f aca="false">IF(AG573="",0,IF(MATCH(AG573,$AG$4:$AG$1203,0)=ROW()-3,1,0))</f>
        <v>0</v>
      </c>
      <c r="AJ573" s="90" t="n">
        <f aca="false">N(AJ572)+AI573</f>
        <v>4</v>
      </c>
      <c r="AK573" s="1" t="n">
        <f aca="false">N(AK572)+$AJ573</f>
        <v>1152</v>
      </c>
    </row>
    <row r="574" customFormat="false" ht="13.5" hidden="false" customHeight="false" outlineLevel="0" collapsed="false">
      <c r="A574" s="1" t="str">
        <f aca="false">IF(对接源_01水果!$C574="","",对接源_01水果!$C574)</f>
        <v/>
      </c>
      <c r="B574" s="1" t="n">
        <f aca="false">IF(A574="",0,IF(MATCH(A574,$A$4:$A$2403,0)=ROW()-3,1,0))</f>
        <v>0</v>
      </c>
      <c r="C574" s="1" t="n">
        <f aca="false">N(C573)+B574</f>
        <v>13</v>
      </c>
      <c r="K574" s="1" t="n">
        <f aca="false">IF(OR($K$1="",对接源_01水果!$C574="",对接源_01水果!$C574&lt;&gt;$K$1,对接源_01水果!$B574=""),0,IF(OR(N(对接源_01水果!$B574)&lt;$K$2,N(对接源_01水果!$B574)&gt;$K$3),0,1))</f>
        <v>0</v>
      </c>
      <c r="L574" s="1" t="n">
        <f aca="false">IF(OR($L$1="",对接源_01水果!$C574="",对接源_01水果!$C574&lt;&gt;$L$1,对接源_01水果!$B574=""),0,IF(OR(N(对接源_01水果!$B574)&lt;$L$2,N(对接源_01水果!$B574)&gt;$L$3),0,1))</f>
        <v>0</v>
      </c>
      <c r="M574" s="1" t="n">
        <f aca="false">IF(OR($M$1="",对接源_01水果!$C574="",对接源_01水果!$C574&lt;&gt;$M$1,对接源_01水果!$B574=""),0,IF(OR(N(对接源_01水果!$B574)&lt;$M$2,N(对接源_01水果!$B574)&gt;$M$3),0,1))</f>
        <v>0</v>
      </c>
      <c r="N574" s="1" t="n">
        <f aca="false">IF(OR($N$1="",对接源_01水果!$C574="",对接源_01水果!$C574&lt;&gt;$N$1,对接源_01水果!$B574=""),0,IF(OR(N(对接源_01水果!$B574)&lt;$N$2,N(对接源_01水果!$B574)&gt;$N$3),0,1))</f>
        <v>0</v>
      </c>
      <c r="P574" s="1" t="n">
        <f aca="false">IF(AND($K574=1,AND(对接源_01水果!$X574="公司筐",N(对接源_01水果!$T574)&lt;&gt;0)),1,0)</f>
        <v>0</v>
      </c>
      <c r="Q574" s="1" t="n">
        <f aca="false">N(Q573)+$P574</f>
        <v>3</v>
      </c>
      <c r="R574" s="1" t="n">
        <f aca="false">IF(AND($K574=1,AND(对接源_01水果!$X574="公司筐",N(对接源_01水果!$U574)&lt;&gt;0)),1,0)</f>
        <v>0</v>
      </c>
      <c r="S574" s="1" t="n">
        <f aca="false">N(S573)+$R574</f>
        <v>0</v>
      </c>
      <c r="T574" s="1" t="n">
        <f aca="false">IF(AND($K574=1,AND(对接源_01水果!$X574="公司筐",N(对接源_01水果!$V574)&lt;&gt;0)),1,0)</f>
        <v>0</v>
      </c>
      <c r="U574" s="1" t="n">
        <f aca="false">N(U573)+$T574</f>
        <v>28</v>
      </c>
      <c r="V574" s="1" t="n">
        <f aca="false">IF(AND($L574=1,AND(对接源_01水果!$X574="自备筐",N(对接源_01水果!$V574)&lt;&gt;0)),1,0)</f>
        <v>0</v>
      </c>
      <c r="W574" s="1" t="n">
        <f aca="false">N(W573)+$V574</f>
        <v>7</v>
      </c>
      <c r="X574" s="1" t="n">
        <f aca="false">IF(AND($L574=1,AND(对接源_01水果!$X574="自备筐",N(对接源_01水果!$T574)&lt;&gt;0)),1,0)</f>
        <v>0</v>
      </c>
      <c r="Y574" s="1" t="n">
        <f aca="false">N(Y573)+$X574</f>
        <v>0</v>
      </c>
      <c r="Z574" s="1" t="n">
        <f aca="false">IF(AND($M574=1,对接源_01水果!$D574="原料入库"),1,0)</f>
        <v>0</v>
      </c>
      <c r="AA574" s="1" t="n">
        <f aca="false">N(AA573)+$Z574</f>
        <v>30</v>
      </c>
      <c r="AB574" s="1" t="n">
        <f aca="false">IF(AND($M574=1,LEFT(对接源_01水果!$D574,4)="原料出库"),1,0)</f>
        <v>0</v>
      </c>
      <c r="AC574" s="1" t="n">
        <f aca="false">N(AC573)+$AB574</f>
        <v>19</v>
      </c>
      <c r="AD574" s="1" t="n">
        <f aca="false">IF(AND($M574=1,LEFT(对接源_01水果!$D574,4)="成品出库"),1,0)</f>
        <v>0</v>
      </c>
      <c r="AE574" s="1" t="n">
        <f aca="false">N(AE573)+$AD574</f>
        <v>38</v>
      </c>
      <c r="AF574" s="1" t="n">
        <f aca="false">IF(AND($N574=1,AND(LEFT(对接源_01水果!$D574,4)="包装物料",N(对接源_01水果!$K574)&lt;&gt;0)),1,0)</f>
        <v>0</v>
      </c>
      <c r="AG574" s="90" t="str">
        <f aca="false">IF(对接源_01水果!$AC574="","",对接源_01水果!$AC574)</f>
        <v/>
      </c>
      <c r="AH574" s="1" t="n">
        <f aca="false">IF(AND($N574=1,AND(LEFT(对接源_01水果!$D574,3)="周转筐",N(对接源_01水果!$K574)&lt;&gt;0)),1,0)</f>
        <v>0</v>
      </c>
      <c r="AI574" s="90" t="n">
        <f aca="false">IF(AG574="",0,IF(MATCH(AG574,$AG$4:$AG$1203,0)=ROW()-3,1,0))</f>
        <v>0</v>
      </c>
      <c r="AJ574" s="90" t="n">
        <f aca="false">N(AJ573)+AI574</f>
        <v>4</v>
      </c>
      <c r="AK574" s="1" t="n">
        <f aca="false">N(AK573)+$AJ574</f>
        <v>1156</v>
      </c>
    </row>
    <row r="575" customFormat="false" ht="13.5" hidden="false" customHeight="false" outlineLevel="0" collapsed="false">
      <c r="A575" s="1" t="str">
        <f aca="false">IF(对接源_01水果!$C575="","",对接源_01水果!$C575)</f>
        <v/>
      </c>
      <c r="B575" s="1" t="n">
        <f aca="false">IF(A575="",0,IF(MATCH(A575,$A$4:$A$2403,0)=ROW()-3,1,0))</f>
        <v>0</v>
      </c>
      <c r="C575" s="1" t="n">
        <f aca="false">N(C574)+B575</f>
        <v>13</v>
      </c>
      <c r="K575" s="1" t="n">
        <f aca="false">IF(OR($K$1="",对接源_01水果!$C575="",对接源_01水果!$C575&lt;&gt;$K$1,对接源_01水果!$B575=""),0,IF(OR(N(对接源_01水果!$B575)&lt;$K$2,N(对接源_01水果!$B575)&gt;$K$3),0,1))</f>
        <v>0</v>
      </c>
      <c r="L575" s="1" t="n">
        <f aca="false">IF(OR($L$1="",对接源_01水果!$C575="",对接源_01水果!$C575&lt;&gt;$L$1,对接源_01水果!$B575=""),0,IF(OR(N(对接源_01水果!$B575)&lt;$L$2,N(对接源_01水果!$B575)&gt;$L$3),0,1))</f>
        <v>0</v>
      </c>
      <c r="M575" s="1" t="n">
        <f aca="false">IF(OR($M$1="",对接源_01水果!$C575="",对接源_01水果!$C575&lt;&gt;$M$1,对接源_01水果!$B575=""),0,IF(OR(N(对接源_01水果!$B575)&lt;$M$2,N(对接源_01水果!$B575)&gt;$M$3),0,1))</f>
        <v>0</v>
      </c>
      <c r="N575" s="1" t="n">
        <f aca="false">IF(OR($N$1="",对接源_01水果!$C575="",对接源_01水果!$C575&lt;&gt;$N$1,对接源_01水果!$B575=""),0,IF(OR(N(对接源_01水果!$B575)&lt;$N$2,N(对接源_01水果!$B575)&gt;$N$3),0,1))</f>
        <v>0</v>
      </c>
      <c r="P575" s="1" t="n">
        <f aca="false">IF(AND($K575=1,AND(对接源_01水果!$X575="公司筐",N(对接源_01水果!$T575)&lt;&gt;0)),1,0)</f>
        <v>0</v>
      </c>
      <c r="Q575" s="1" t="n">
        <f aca="false">N(Q574)+$P575</f>
        <v>3</v>
      </c>
      <c r="R575" s="1" t="n">
        <f aca="false">IF(AND($K575=1,AND(对接源_01水果!$X575="公司筐",N(对接源_01水果!$U575)&lt;&gt;0)),1,0)</f>
        <v>0</v>
      </c>
      <c r="S575" s="1" t="n">
        <f aca="false">N(S574)+$R575</f>
        <v>0</v>
      </c>
      <c r="T575" s="1" t="n">
        <f aca="false">IF(AND($K575=1,AND(对接源_01水果!$X575="公司筐",N(对接源_01水果!$V575)&lt;&gt;0)),1,0)</f>
        <v>0</v>
      </c>
      <c r="U575" s="1" t="n">
        <f aca="false">N(U574)+$T575</f>
        <v>28</v>
      </c>
      <c r="V575" s="1" t="n">
        <f aca="false">IF(AND($L575=1,AND(对接源_01水果!$X575="自备筐",N(对接源_01水果!$V575)&lt;&gt;0)),1,0)</f>
        <v>0</v>
      </c>
      <c r="W575" s="1" t="n">
        <f aca="false">N(W574)+$V575</f>
        <v>7</v>
      </c>
      <c r="X575" s="1" t="n">
        <f aca="false">IF(AND($L575=1,AND(对接源_01水果!$X575="自备筐",N(对接源_01水果!$T575)&lt;&gt;0)),1,0)</f>
        <v>0</v>
      </c>
      <c r="Y575" s="1" t="n">
        <f aca="false">N(Y574)+$X575</f>
        <v>0</v>
      </c>
      <c r="Z575" s="1" t="n">
        <f aca="false">IF(AND($M575=1,对接源_01水果!$D575="原料入库"),1,0)</f>
        <v>0</v>
      </c>
      <c r="AA575" s="1" t="n">
        <f aca="false">N(AA574)+$Z575</f>
        <v>30</v>
      </c>
      <c r="AB575" s="1" t="n">
        <f aca="false">IF(AND($M575=1,LEFT(对接源_01水果!$D575,4)="原料出库"),1,0)</f>
        <v>0</v>
      </c>
      <c r="AC575" s="1" t="n">
        <f aca="false">N(AC574)+$AB575</f>
        <v>19</v>
      </c>
      <c r="AD575" s="1" t="n">
        <f aca="false">IF(AND($M575=1,LEFT(对接源_01水果!$D575,4)="成品出库"),1,0)</f>
        <v>0</v>
      </c>
      <c r="AE575" s="1" t="n">
        <f aca="false">N(AE574)+$AD575</f>
        <v>38</v>
      </c>
      <c r="AF575" s="1" t="n">
        <f aca="false">IF(AND($N575=1,AND(LEFT(对接源_01水果!$D575,4)="包装物料",N(对接源_01水果!$K575)&lt;&gt;0)),1,0)</f>
        <v>0</v>
      </c>
      <c r="AG575" s="90" t="str">
        <f aca="false">IF(对接源_01水果!$AC575="","",对接源_01水果!$AC575)</f>
        <v/>
      </c>
      <c r="AH575" s="1" t="n">
        <f aca="false">IF(AND($N575=1,AND(LEFT(对接源_01水果!$D575,3)="周转筐",N(对接源_01水果!$K575)&lt;&gt;0)),1,0)</f>
        <v>0</v>
      </c>
      <c r="AI575" s="90" t="n">
        <f aca="false">IF(AG575="",0,IF(MATCH(AG575,$AG$4:$AG$1203,0)=ROW()-3,1,0))</f>
        <v>0</v>
      </c>
      <c r="AJ575" s="90" t="n">
        <f aca="false">N(AJ574)+AI575</f>
        <v>4</v>
      </c>
      <c r="AK575" s="1" t="n">
        <f aca="false">N(AK574)+$AJ575</f>
        <v>1160</v>
      </c>
    </row>
    <row r="576" customFormat="false" ht="13.5" hidden="false" customHeight="false" outlineLevel="0" collapsed="false">
      <c r="A576" s="1" t="str">
        <f aca="false">IF(对接源_01水果!$C576="","",对接源_01水果!$C576)</f>
        <v/>
      </c>
      <c r="B576" s="1" t="n">
        <f aca="false">IF(A576="",0,IF(MATCH(A576,$A$4:$A$2403,0)=ROW()-3,1,0))</f>
        <v>0</v>
      </c>
      <c r="C576" s="1" t="n">
        <f aca="false">N(C575)+B576</f>
        <v>13</v>
      </c>
      <c r="K576" s="1" t="n">
        <f aca="false">IF(OR($K$1="",对接源_01水果!$C576="",对接源_01水果!$C576&lt;&gt;$K$1,对接源_01水果!$B576=""),0,IF(OR(N(对接源_01水果!$B576)&lt;$K$2,N(对接源_01水果!$B576)&gt;$K$3),0,1))</f>
        <v>0</v>
      </c>
      <c r="L576" s="1" t="n">
        <f aca="false">IF(OR($L$1="",对接源_01水果!$C576="",对接源_01水果!$C576&lt;&gt;$L$1,对接源_01水果!$B576=""),0,IF(OR(N(对接源_01水果!$B576)&lt;$L$2,N(对接源_01水果!$B576)&gt;$L$3),0,1))</f>
        <v>0</v>
      </c>
      <c r="M576" s="1" t="n">
        <f aca="false">IF(OR($M$1="",对接源_01水果!$C576="",对接源_01水果!$C576&lt;&gt;$M$1,对接源_01水果!$B576=""),0,IF(OR(N(对接源_01水果!$B576)&lt;$M$2,N(对接源_01水果!$B576)&gt;$M$3),0,1))</f>
        <v>0</v>
      </c>
      <c r="N576" s="1" t="n">
        <f aca="false">IF(OR($N$1="",对接源_01水果!$C576="",对接源_01水果!$C576&lt;&gt;$N$1,对接源_01水果!$B576=""),0,IF(OR(N(对接源_01水果!$B576)&lt;$N$2,N(对接源_01水果!$B576)&gt;$N$3),0,1))</f>
        <v>0</v>
      </c>
      <c r="P576" s="1" t="n">
        <f aca="false">IF(AND($K576=1,AND(对接源_01水果!$X576="公司筐",N(对接源_01水果!$T576)&lt;&gt;0)),1,0)</f>
        <v>0</v>
      </c>
      <c r="Q576" s="1" t="n">
        <f aca="false">N(Q575)+$P576</f>
        <v>3</v>
      </c>
      <c r="R576" s="1" t="n">
        <f aca="false">IF(AND($K576=1,AND(对接源_01水果!$X576="公司筐",N(对接源_01水果!$U576)&lt;&gt;0)),1,0)</f>
        <v>0</v>
      </c>
      <c r="S576" s="1" t="n">
        <f aca="false">N(S575)+$R576</f>
        <v>0</v>
      </c>
      <c r="T576" s="1" t="n">
        <f aca="false">IF(AND($K576=1,AND(对接源_01水果!$X576="公司筐",N(对接源_01水果!$V576)&lt;&gt;0)),1,0)</f>
        <v>0</v>
      </c>
      <c r="U576" s="1" t="n">
        <f aca="false">N(U575)+$T576</f>
        <v>28</v>
      </c>
      <c r="V576" s="1" t="n">
        <f aca="false">IF(AND($L576=1,AND(对接源_01水果!$X576="自备筐",N(对接源_01水果!$V576)&lt;&gt;0)),1,0)</f>
        <v>0</v>
      </c>
      <c r="W576" s="1" t="n">
        <f aca="false">N(W575)+$V576</f>
        <v>7</v>
      </c>
      <c r="X576" s="1" t="n">
        <f aca="false">IF(AND($L576=1,AND(对接源_01水果!$X576="自备筐",N(对接源_01水果!$T576)&lt;&gt;0)),1,0)</f>
        <v>0</v>
      </c>
      <c r="Y576" s="1" t="n">
        <f aca="false">N(Y575)+$X576</f>
        <v>0</v>
      </c>
      <c r="Z576" s="1" t="n">
        <f aca="false">IF(AND($M576=1,对接源_01水果!$D576="原料入库"),1,0)</f>
        <v>0</v>
      </c>
      <c r="AA576" s="1" t="n">
        <f aca="false">N(AA575)+$Z576</f>
        <v>30</v>
      </c>
      <c r="AB576" s="1" t="n">
        <f aca="false">IF(AND($M576=1,LEFT(对接源_01水果!$D576,4)="原料出库"),1,0)</f>
        <v>0</v>
      </c>
      <c r="AC576" s="1" t="n">
        <f aca="false">N(AC575)+$AB576</f>
        <v>19</v>
      </c>
      <c r="AD576" s="1" t="n">
        <f aca="false">IF(AND($M576=1,LEFT(对接源_01水果!$D576,4)="成品出库"),1,0)</f>
        <v>0</v>
      </c>
      <c r="AE576" s="1" t="n">
        <f aca="false">N(AE575)+$AD576</f>
        <v>38</v>
      </c>
      <c r="AF576" s="1" t="n">
        <f aca="false">IF(AND($N576=1,AND(LEFT(对接源_01水果!$D576,4)="包装物料",N(对接源_01水果!$K576)&lt;&gt;0)),1,0)</f>
        <v>0</v>
      </c>
      <c r="AG576" s="90" t="str">
        <f aca="false">IF(对接源_01水果!$AC576="","",对接源_01水果!$AC576)</f>
        <v/>
      </c>
      <c r="AH576" s="1" t="n">
        <f aca="false">IF(AND($N576=1,AND(LEFT(对接源_01水果!$D576,3)="周转筐",N(对接源_01水果!$K576)&lt;&gt;0)),1,0)</f>
        <v>0</v>
      </c>
      <c r="AI576" s="90" t="n">
        <f aca="false">IF(AG576="",0,IF(MATCH(AG576,$AG$4:$AG$1203,0)=ROW()-3,1,0))</f>
        <v>0</v>
      </c>
      <c r="AJ576" s="90" t="n">
        <f aca="false">N(AJ575)+AI576</f>
        <v>4</v>
      </c>
      <c r="AK576" s="1" t="n">
        <f aca="false">N(AK575)+$AJ576</f>
        <v>1164</v>
      </c>
    </row>
    <row r="577" customFormat="false" ht="13.5" hidden="false" customHeight="false" outlineLevel="0" collapsed="false">
      <c r="A577" s="1" t="str">
        <f aca="false">IF(对接源_01水果!$C577="","",对接源_01水果!$C577)</f>
        <v/>
      </c>
      <c r="B577" s="1" t="n">
        <f aca="false">IF(A577="",0,IF(MATCH(A577,$A$4:$A$2403,0)=ROW()-3,1,0))</f>
        <v>0</v>
      </c>
      <c r="C577" s="1" t="n">
        <f aca="false">N(C576)+B577</f>
        <v>13</v>
      </c>
      <c r="K577" s="1" t="n">
        <f aca="false">IF(OR($K$1="",对接源_01水果!$C577="",对接源_01水果!$C577&lt;&gt;$K$1,对接源_01水果!$B577=""),0,IF(OR(N(对接源_01水果!$B577)&lt;$K$2,N(对接源_01水果!$B577)&gt;$K$3),0,1))</f>
        <v>0</v>
      </c>
      <c r="L577" s="1" t="n">
        <f aca="false">IF(OR($L$1="",对接源_01水果!$C577="",对接源_01水果!$C577&lt;&gt;$L$1,对接源_01水果!$B577=""),0,IF(OR(N(对接源_01水果!$B577)&lt;$L$2,N(对接源_01水果!$B577)&gt;$L$3),0,1))</f>
        <v>0</v>
      </c>
      <c r="M577" s="1" t="n">
        <f aca="false">IF(OR($M$1="",对接源_01水果!$C577="",对接源_01水果!$C577&lt;&gt;$M$1,对接源_01水果!$B577=""),0,IF(OR(N(对接源_01水果!$B577)&lt;$M$2,N(对接源_01水果!$B577)&gt;$M$3),0,1))</f>
        <v>0</v>
      </c>
      <c r="N577" s="1" t="n">
        <f aca="false">IF(OR($N$1="",对接源_01水果!$C577="",对接源_01水果!$C577&lt;&gt;$N$1,对接源_01水果!$B577=""),0,IF(OR(N(对接源_01水果!$B577)&lt;$N$2,N(对接源_01水果!$B577)&gt;$N$3),0,1))</f>
        <v>0</v>
      </c>
      <c r="P577" s="1" t="n">
        <f aca="false">IF(AND($K577=1,AND(对接源_01水果!$X577="公司筐",N(对接源_01水果!$T577)&lt;&gt;0)),1,0)</f>
        <v>0</v>
      </c>
      <c r="Q577" s="1" t="n">
        <f aca="false">N(Q576)+$P577</f>
        <v>3</v>
      </c>
      <c r="R577" s="1" t="n">
        <f aca="false">IF(AND($K577=1,AND(对接源_01水果!$X577="公司筐",N(对接源_01水果!$U577)&lt;&gt;0)),1,0)</f>
        <v>0</v>
      </c>
      <c r="S577" s="1" t="n">
        <f aca="false">N(S576)+$R577</f>
        <v>0</v>
      </c>
      <c r="T577" s="1" t="n">
        <f aca="false">IF(AND($K577=1,AND(对接源_01水果!$X577="公司筐",N(对接源_01水果!$V577)&lt;&gt;0)),1,0)</f>
        <v>0</v>
      </c>
      <c r="U577" s="1" t="n">
        <f aca="false">N(U576)+$T577</f>
        <v>28</v>
      </c>
      <c r="V577" s="1" t="n">
        <f aca="false">IF(AND($L577=1,AND(对接源_01水果!$X577="自备筐",N(对接源_01水果!$V577)&lt;&gt;0)),1,0)</f>
        <v>0</v>
      </c>
      <c r="W577" s="1" t="n">
        <f aca="false">N(W576)+$V577</f>
        <v>7</v>
      </c>
      <c r="X577" s="1" t="n">
        <f aca="false">IF(AND($L577=1,AND(对接源_01水果!$X577="自备筐",N(对接源_01水果!$T577)&lt;&gt;0)),1,0)</f>
        <v>0</v>
      </c>
      <c r="Y577" s="1" t="n">
        <f aca="false">N(Y576)+$X577</f>
        <v>0</v>
      </c>
      <c r="Z577" s="1" t="n">
        <f aca="false">IF(AND($M577=1,对接源_01水果!$D577="原料入库"),1,0)</f>
        <v>0</v>
      </c>
      <c r="AA577" s="1" t="n">
        <f aca="false">N(AA576)+$Z577</f>
        <v>30</v>
      </c>
      <c r="AB577" s="1" t="n">
        <f aca="false">IF(AND($M577=1,LEFT(对接源_01水果!$D577,4)="原料出库"),1,0)</f>
        <v>0</v>
      </c>
      <c r="AC577" s="1" t="n">
        <f aca="false">N(AC576)+$AB577</f>
        <v>19</v>
      </c>
      <c r="AD577" s="1" t="n">
        <f aca="false">IF(AND($M577=1,LEFT(对接源_01水果!$D577,4)="成品出库"),1,0)</f>
        <v>0</v>
      </c>
      <c r="AE577" s="1" t="n">
        <f aca="false">N(AE576)+$AD577</f>
        <v>38</v>
      </c>
      <c r="AF577" s="1" t="n">
        <f aca="false">IF(AND($N577=1,AND(LEFT(对接源_01水果!$D577,4)="包装物料",N(对接源_01水果!$K577)&lt;&gt;0)),1,0)</f>
        <v>0</v>
      </c>
      <c r="AG577" s="90" t="str">
        <f aca="false">IF(对接源_01水果!$AC577="","",对接源_01水果!$AC577)</f>
        <v/>
      </c>
      <c r="AH577" s="1" t="n">
        <f aca="false">IF(AND($N577=1,AND(LEFT(对接源_01水果!$D577,3)="周转筐",N(对接源_01水果!$K577)&lt;&gt;0)),1,0)</f>
        <v>0</v>
      </c>
      <c r="AI577" s="90" t="n">
        <f aca="false">IF(AG577="",0,IF(MATCH(AG577,$AG$4:$AG$1203,0)=ROW()-3,1,0))</f>
        <v>0</v>
      </c>
      <c r="AJ577" s="90" t="n">
        <f aca="false">N(AJ576)+AI577</f>
        <v>4</v>
      </c>
      <c r="AK577" s="1" t="n">
        <f aca="false">N(AK576)+$AJ577</f>
        <v>1168</v>
      </c>
    </row>
    <row r="578" customFormat="false" ht="13.5" hidden="false" customHeight="false" outlineLevel="0" collapsed="false">
      <c r="A578" s="1" t="str">
        <f aca="false">IF(对接源_01水果!$C578="","",对接源_01水果!$C578)</f>
        <v/>
      </c>
      <c r="B578" s="1" t="n">
        <f aca="false">IF(A578="",0,IF(MATCH(A578,$A$4:$A$2403,0)=ROW()-3,1,0))</f>
        <v>0</v>
      </c>
      <c r="C578" s="1" t="n">
        <f aca="false">N(C577)+B578</f>
        <v>13</v>
      </c>
      <c r="K578" s="1" t="n">
        <f aca="false">IF(OR($K$1="",对接源_01水果!$C578="",对接源_01水果!$C578&lt;&gt;$K$1,对接源_01水果!$B578=""),0,IF(OR(N(对接源_01水果!$B578)&lt;$K$2,N(对接源_01水果!$B578)&gt;$K$3),0,1))</f>
        <v>0</v>
      </c>
      <c r="L578" s="1" t="n">
        <f aca="false">IF(OR($L$1="",对接源_01水果!$C578="",对接源_01水果!$C578&lt;&gt;$L$1,对接源_01水果!$B578=""),0,IF(OR(N(对接源_01水果!$B578)&lt;$L$2,N(对接源_01水果!$B578)&gt;$L$3),0,1))</f>
        <v>0</v>
      </c>
      <c r="M578" s="1" t="n">
        <f aca="false">IF(OR($M$1="",对接源_01水果!$C578="",对接源_01水果!$C578&lt;&gt;$M$1,对接源_01水果!$B578=""),0,IF(OR(N(对接源_01水果!$B578)&lt;$M$2,N(对接源_01水果!$B578)&gt;$M$3),0,1))</f>
        <v>0</v>
      </c>
      <c r="N578" s="1" t="n">
        <f aca="false">IF(OR($N$1="",对接源_01水果!$C578="",对接源_01水果!$C578&lt;&gt;$N$1,对接源_01水果!$B578=""),0,IF(OR(N(对接源_01水果!$B578)&lt;$N$2,N(对接源_01水果!$B578)&gt;$N$3),0,1))</f>
        <v>0</v>
      </c>
      <c r="P578" s="1" t="n">
        <f aca="false">IF(AND($K578=1,AND(对接源_01水果!$X578="公司筐",N(对接源_01水果!$T578)&lt;&gt;0)),1,0)</f>
        <v>0</v>
      </c>
      <c r="Q578" s="1" t="n">
        <f aca="false">N(Q577)+$P578</f>
        <v>3</v>
      </c>
      <c r="R578" s="1" t="n">
        <f aca="false">IF(AND($K578=1,AND(对接源_01水果!$X578="公司筐",N(对接源_01水果!$U578)&lt;&gt;0)),1,0)</f>
        <v>0</v>
      </c>
      <c r="S578" s="1" t="n">
        <f aca="false">N(S577)+$R578</f>
        <v>0</v>
      </c>
      <c r="T578" s="1" t="n">
        <f aca="false">IF(AND($K578=1,AND(对接源_01水果!$X578="公司筐",N(对接源_01水果!$V578)&lt;&gt;0)),1,0)</f>
        <v>0</v>
      </c>
      <c r="U578" s="1" t="n">
        <f aca="false">N(U577)+$T578</f>
        <v>28</v>
      </c>
      <c r="V578" s="1" t="n">
        <f aca="false">IF(AND($L578=1,AND(对接源_01水果!$X578="自备筐",N(对接源_01水果!$V578)&lt;&gt;0)),1,0)</f>
        <v>0</v>
      </c>
      <c r="W578" s="1" t="n">
        <f aca="false">N(W577)+$V578</f>
        <v>7</v>
      </c>
      <c r="X578" s="1" t="n">
        <f aca="false">IF(AND($L578=1,AND(对接源_01水果!$X578="自备筐",N(对接源_01水果!$T578)&lt;&gt;0)),1,0)</f>
        <v>0</v>
      </c>
      <c r="Y578" s="1" t="n">
        <f aca="false">N(Y577)+$X578</f>
        <v>0</v>
      </c>
      <c r="Z578" s="1" t="n">
        <f aca="false">IF(AND($M578=1,对接源_01水果!$D578="原料入库"),1,0)</f>
        <v>0</v>
      </c>
      <c r="AA578" s="1" t="n">
        <f aca="false">N(AA577)+$Z578</f>
        <v>30</v>
      </c>
      <c r="AB578" s="1" t="n">
        <f aca="false">IF(AND($M578=1,LEFT(对接源_01水果!$D578,4)="原料出库"),1,0)</f>
        <v>0</v>
      </c>
      <c r="AC578" s="1" t="n">
        <f aca="false">N(AC577)+$AB578</f>
        <v>19</v>
      </c>
      <c r="AD578" s="1" t="n">
        <f aca="false">IF(AND($M578=1,LEFT(对接源_01水果!$D578,4)="成品出库"),1,0)</f>
        <v>0</v>
      </c>
      <c r="AE578" s="1" t="n">
        <f aca="false">N(AE577)+$AD578</f>
        <v>38</v>
      </c>
      <c r="AF578" s="1" t="n">
        <f aca="false">IF(AND($N578=1,AND(LEFT(对接源_01水果!$D578,4)="包装物料",N(对接源_01水果!$K578)&lt;&gt;0)),1,0)</f>
        <v>0</v>
      </c>
      <c r="AG578" s="90" t="str">
        <f aca="false">IF(对接源_01水果!$AC578="","",对接源_01水果!$AC578)</f>
        <v/>
      </c>
      <c r="AH578" s="1" t="n">
        <f aca="false">IF(AND($N578=1,AND(LEFT(对接源_01水果!$D578,3)="周转筐",N(对接源_01水果!$K578)&lt;&gt;0)),1,0)</f>
        <v>0</v>
      </c>
      <c r="AI578" s="90" t="n">
        <f aca="false">IF(AG578="",0,IF(MATCH(AG578,$AG$4:$AG$1203,0)=ROW()-3,1,0))</f>
        <v>0</v>
      </c>
      <c r="AJ578" s="90" t="n">
        <f aca="false">N(AJ577)+AI578</f>
        <v>4</v>
      </c>
      <c r="AK578" s="1" t="n">
        <f aca="false">N(AK577)+$AJ578</f>
        <v>1172</v>
      </c>
    </row>
    <row r="579" customFormat="false" ht="13.5" hidden="false" customHeight="false" outlineLevel="0" collapsed="false">
      <c r="A579" s="1" t="str">
        <f aca="false">IF(对接源_01水果!$C579="","",对接源_01水果!$C579)</f>
        <v/>
      </c>
      <c r="B579" s="1" t="n">
        <f aca="false">IF(A579="",0,IF(MATCH(A579,$A$4:$A$2403,0)=ROW()-3,1,0))</f>
        <v>0</v>
      </c>
      <c r="C579" s="1" t="n">
        <f aca="false">N(C578)+B579</f>
        <v>13</v>
      </c>
      <c r="K579" s="1" t="n">
        <f aca="false">IF(OR($K$1="",对接源_01水果!$C579="",对接源_01水果!$C579&lt;&gt;$K$1,对接源_01水果!$B579=""),0,IF(OR(N(对接源_01水果!$B579)&lt;$K$2,N(对接源_01水果!$B579)&gt;$K$3),0,1))</f>
        <v>0</v>
      </c>
      <c r="L579" s="1" t="n">
        <f aca="false">IF(OR($L$1="",对接源_01水果!$C579="",对接源_01水果!$C579&lt;&gt;$L$1,对接源_01水果!$B579=""),0,IF(OR(N(对接源_01水果!$B579)&lt;$L$2,N(对接源_01水果!$B579)&gt;$L$3),0,1))</f>
        <v>0</v>
      </c>
      <c r="M579" s="1" t="n">
        <f aca="false">IF(OR($M$1="",对接源_01水果!$C579="",对接源_01水果!$C579&lt;&gt;$M$1,对接源_01水果!$B579=""),0,IF(OR(N(对接源_01水果!$B579)&lt;$M$2,N(对接源_01水果!$B579)&gt;$M$3),0,1))</f>
        <v>0</v>
      </c>
      <c r="N579" s="1" t="n">
        <f aca="false">IF(OR($N$1="",对接源_01水果!$C579="",对接源_01水果!$C579&lt;&gt;$N$1,对接源_01水果!$B579=""),0,IF(OR(N(对接源_01水果!$B579)&lt;$N$2,N(对接源_01水果!$B579)&gt;$N$3),0,1))</f>
        <v>0</v>
      </c>
      <c r="P579" s="1" t="n">
        <f aca="false">IF(AND($K579=1,AND(对接源_01水果!$X579="公司筐",N(对接源_01水果!$T579)&lt;&gt;0)),1,0)</f>
        <v>0</v>
      </c>
      <c r="Q579" s="1" t="n">
        <f aca="false">N(Q578)+$P579</f>
        <v>3</v>
      </c>
      <c r="R579" s="1" t="n">
        <f aca="false">IF(AND($K579=1,AND(对接源_01水果!$X579="公司筐",N(对接源_01水果!$U579)&lt;&gt;0)),1,0)</f>
        <v>0</v>
      </c>
      <c r="S579" s="1" t="n">
        <f aca="false">N(S578)+$R579</f>
        <v>0</v>
      </c>
      <c r="T579" s="1" t="n">
        <f aca="false">IF(AND($K579=1,AND(对接源_01水果!$X579="公司筐",N(对接源_01水果!$V579)&lt;&gt;0)),1,0)</f>
        <v>0</v>
      </c>
      <c r="U579" s="1" t="n">
        <f aca="false">N(U578)+$T579</f>
        <v>28</v>
      </c>
      <c r="V579" s="1" t="n">
        <f aca="false">IF(AND($L579=1,AND(对接源_01水果!$X579="自备筐",N(对接源_01水果!$V579)&lt;&gt;0)),1,0)</f>
        <v>0</v>
      </c>
      <c r="W579" s="1" t="n">
        <f aca="false">N(W578)+$V579</f>
        <v>7</v>
      </c>
      <c r="X579" s="1" t="n">
        <f aca="false">IF(AND($L579=1,AND(对接源_01水果!$X579="自备筐",N(对接源_01水果!$T579)&lt;&gt;0)),1,0)</f>
        <v>0</v>
      </c>
      <c r="Y579" s="1" t="n">
        <f aca="false">N(Y578)+$X579</f>
        <v>0</v>
      </c>
      <c r="Z579" s="1" t="n">
        <f aca="false">IF(AND($M579=1,对接源_01水果!$D579="原料入库"),1,0)</f>
        <v>0</v>
      </c>
      <c r="AA579" s="1" t="n">
        <f aca="false">N(AA578)+$Z579</f>
        <v>30</v>
      </c>
      <c r="AB579" s="1" t="n">
        <f aca="false">IF(AND($M579=1,LEFT(对接源_01水果!$D579,4)="原料出库"),1,0)</f>
        <v>0</v>
      </c>
      <c r="AC579" s="1" t="n">
        <f aca="false">N(AC578)+$AB579</f>
        <v>19</v>
      </c>
      <c r="AD579" s="1" t="n">
        <f aca="false">IF(AND($M579=1,LEFT(对接源_01水果!$D579,4)="成品出库"),1,0)</f>
        <v>0</v>
      </c>
      <c r="AE579" s="1" t="n">
        <f aca="false">N(AE578)+$AD579</f>
        <v>38</v>
      </c>
      <c r="AF579" s="1" t="n">
        <f aca="false">IF(AND($N579=1,AND(LEFT(对接源_01水果!$D579,4)="包装物料",N(对接源_01水果!$K579)&lt;&gt;0)),1,0)</f>
        <v>0</v>
      </c>
      <c r="AG579" s="90" t="str">
        <f aca="false">IF(对接源_01水果!$AC579="","",对接源_01水果!$AC579)</f>
        <v/>
      </c>
      <c r="AH579" s="1" t="n">
        <f aca="false">IF(AND($N579=1,AND(LEFT(对接源_01水果!$D579,3)="周转筐",N(对接源_01水果!$K579)&lt;&gt;0)),1,0)</f>
        <v>0</v>
      </c>
      <c r="AI579" s="90" t="n">
        <f aca="false">IF(AG579="",0,IF(MATCH(AG579,$AG$4:$AG$1203,0)=ROW()-3,1,0))</f>
        <v>0</v>
      </c>
      <c r="AJ579" s="90" t="n">
        <f aca="false">N(AJ578)+AI579</f>
        <v>4</v>
      </c>
      <c r="AK579" s="1" t="n">
        <f aca="false">N(AK578)+$AJ579</f>
        <v>1176</v>
      </c>
    </row>
    <row r="580" customFormat="false" ht="13.5" hidden="false" customHeight="false" outlineLevel="0" collapsed="false">
      <c r="A580" s="1" t="str">
        <f aca="false">IF(对接源_01水果!$C580="","",对接源_01水果!$C580)</f>
        <v/>
      </c>
      <c r="B580" s="1" t="n">
        <f aca="false">IF(A580="",0,IF(MATCH(A580,$A$4:$A$2403,0)=ROW()-3,1,0))</f>
        <v>0</v>
      </c>
      <c r="C580" s="1" t="n">
        <f aca="false">N(C579)+B580</f>
        <v>13</v>
      </c>
      <c r="K580" s="1" t="n">
        <f aca="false">IF(OR($K$1="",对接源_01水果!$C580="",对接源_01水果!$C580&lt;&gt;$K$1,对接源_01水果!$B580=""),0,IF(OR(N(对接源_01水果!$B580)&lt;$K$2,N(对接源_01水果!$B580)&gt;$K$3),0,1))</f>
        <v>0</v>
      </c>
      <c r="L580" s="1" t="n">
        <f aca="false">IF(OR($L$1="",对接源_01水果!$C580="",对接源_01水果!$C580&lt;&gt;$L$1,对接源_01水果!$B580=""),0,IF(OR(N(对接源_01水果!$B580)&lt;$L$2,N(对接源_01水果!$B580)&gt;$L$3),0,1))</f>
        <v>0</v>
      </c>
      <c r="M580" s="1" t="n">
        <f aca="false">IF(OR($M$1="",对接源_01水果!$C580="",对接源_01水果!$C580&lt;&gt;$M$1,对接源_01水果!$B580=""),0,IF(OR(N(对接源_01水果!$B580)&lt;$M$2,N(对接源_01水果!$B580)&gt;$M$3),0,1))</f>
        <v>0</v>
      </c>
      <c r="N580" s="1" t="n">
        <f aca="false">IF(OR($N$1="",对接源_01水果!$C580="",对接源_01水果!$C580&lt;&gt;$N$1,对接源_01水果!$B580=""),0,IF(OR(N(对接源_01水果!$B580)&lt;$N$2,N(对接源_01水果!$B580)&gt;$N$3),0,1))</f>
        <v>0</v>
      </c>
      <c r="P580" s="1" t="n">
        <f aca="false">IF(AND($K580=1,AND(对接源_01水果!$X580="公司筐",N(对接源_01水果!$T580)&lt;&gt;0)),1,0)</f>
        <v>0</v>
      </c>
      <c r="Q580" s="1" t="n">
        <f aca="false">N(Q579)+$P580</f>
        <v>3</v>
      </c>
      <c r="R580" s="1" t="n">
        <f aca="false">IF(AND($K580=1,AND(对接源_01水果!$X580="公司筐",N(对接源_01水果!$U580)&lt;&gt;0)),1,0)</f>
        <v>0</v>
      </c>
      <c r="S580" s="1" t="n">
        <f aca="false">N(S579)+$R580</f>
        <v>0</v>
      </c>
      <c r="T580" s="1" t="n">
        <f aca="false">IF(AND($K580=1,AND(对接源_01水果!$X580="公司筐",N(对接源_01水果!$V580)&lt;&gt;0)),1,0)</f>
        <v>0</v>
      </c>
      <c r="U580" s="1" t="n">
        <f aca="false">N(U579)+$T580</f>
        <v>28</v>
      </c>
      <c r="V580" s="1" t="n">
        <f aca="false">IF(AND($L580=1,AND(对接源_01水果!$X580="自备筐",N(对接源_01水果!$V580)&lt;&gt;0)),1,0)</f>
        <v>0</v>
      </c>
      <c r="W580" s="1" t="n">
        <f aca="false">N(W579)+$V580</f>
        <v>7</v>
      </c>
      <c r="X580" s="1" t="n">
        <f aca="false">IF(AND($L580=1,AND(对接源_01水果!$X580="自备筐",N(对接源_01水果!$T580)&lt;&gt;0)),1,0)</f>
        <v>0</v>
      </c>
      <c r="Y580" s="1" t="n">
        <f aca="false">N(Y579)+$X580</f>
        <v>0</v>
      </c>
      <c r="Z580" s="1" t="n">
        <f aca="false">IF(AND($M580=1,对接源_01水果!$D580="原料入库"),1,0)</f>
        <v>0</v>
      </c>
      <c r="AA580" s="1" t="n">
        <f aca="false">N(AA579)+$Z580</f>
        <v>30</v>
      </c>
      <c r="AB580" s="1" t="n">
        <f aca="false">IF(AND($M580=1,LEFT(对接源_01水果!$D580,4)="原料出库"),1,0)</f>
        <v>0</v>
      </c>
      <c r="AC580" s="1" t="n">
        <f aca="false">N(AC579)+$AB580</f>
        <v>19</v>
      </c>
      <c r="AD580" s="1" t="n">
        <f aca="false">IF(AND($M580=1,LEFT(对接源_01水果!$D580,4)="成品出库"),1,0)</f>
        <v>0</v>
      </c>
      <c r="AE580" s="1" t="n">
        <f aca="false">N(AE579)+$AD580</f>
        <v>38</v>
      </c>
      <c r="AF580" s="1" t="n">
        <f aca="false">IF(AND($N580=1,AND(LEFT(对接源_01水果!$D580,4)="包装物料",N(对接源_01水果!$K580)&lt;&gt;0)),1,0)</f>
        <v>0</v>
      </c>
      <c r="AG580" s="90" t="str">
        <f aca="false">IF(对接源_01水果!$AC580="","",对接源_01水果!$AC580)</f>
        <v/>
      </c>
      <c r="AH580" s="1" t="n">
        <f aca="false">IF(AND($N580=1,AND(LEFT(对接源_01水果!$D580,3)="周转筐",N(对接源_01水果!$K580)&lt;&gt;0)),1,0)</f>
        <v>0</v>
      </c>
      <c r="AI580" s="90" t="n">
        <f aca="false">IF(AG580="",0,IF(MATCH(AG580,$AG$4:$AG$1203,0)=ROW()-3,1,0))</f>
        <v>0</v>
      </c>
      <c r="AJ580" s="90" t="n">
        <f aca="false">N(AJ579)+AI580</f>
        <v>4</v>
      </c>
      <c r="AK580" s="1" t="n">
        <f aca="false">N(AK579)+$AJ580</f>
        <v>1180</v>
      </c>
    </row>
    <row r="581" customFormat="false" ht="13.5" hidden="false" customHeight="false" outlineLevel="0" collapsed="false">
      <c r="A581" s="1" t="str">
        <f aca="false">IF(对接源_01水果!$C581="","",对接源_01水果!$C581)</f>
        <v/>
      </c>
      <c r="B581" s="1" t="n">
        <f aca="false">IF(A581="",0,IF(MATCH(A581,$A$4:$A$2403,0)=ROW()-3,1,0))</f>
        <v>0</v>
      </c>
      <c r="C581" s="1" t="n">
        <f aca="false">N(C580)+B581</f>
        <v>13</v>
      </c>
      <c r="K581" s="1" t="n">
        <f aca="false">IF(OR($K$1="",对接源_01水果!$C581="",对接源_01水果!$C581&lt;&gt;$K$1,对接源_01水果!$B581=""),0,IF(OR(N(对接源_01水果!$B581)&lt;$K$2,N(对接源_01水果!$B581)&gt;$K$3),0,1))</f>
        <v>0</v>
      </c>
      <c r="L581" s="1" t="n">
        <f aca="false">IF(OR($L$1="",对接源_01水果!$C581="",对接源_01水果!$C581&lt;&gt;$L$1,对接源_01水果!$B581=""),0,IF(OR(N(对接源_01水果!$B581)&lt;$L$2,N(对接源_01水果!$B581)&gt;$L$3),0,1))</f>
        <v>0</v>
      </c>
      <c r="M581" s="1" t="n">
        <f aca="false">IF(OR($M$1="",对接源_01水果!$C581="",对接源_01水果!$C581&lt;&gt;$M$1,对接源_01水果!$B581=""),0,IF(OR(N(对接源_01水果!$B581)&lt;$M$2,N(对接源_01水果!$B581)&gt;$M$3),0,1))</f>
        <v>0</v>
      </c>
      <c r="N581" s="1" t="n">
        <f aca="false">IF(OR($N$1="",对接源_01水果!$C581="",对接源_01水果!$C581&lt;&gt;$N$1,对接源_01水果!$B581=""),0,IF(OR(N(对接源_01水果!$B581)&lt;$N$2,N(对接源_01水果!$B581)&gt;$N$3),0,1))</f>
        <v>0</v>
      </c>
      <c r="P581" s="1" t="n">
        <f aca="false">IF(AND($K581=1,AND(对接源_01水果!$X581="公司筐",N(对接源_01水果!$T581)&lt;&gt;0)),1,0)</f>
        <v>0</v>
      </c>
      <c r="Q581" s="1" t="n">
        <f aca="false">N(Q580)+$P581</f>
        <v>3</v>
      </c>
      <c r="R581" s="1" t="n">
        <f aca="false">IF(AND($K581=1,AND(对接源_01水果!$X581="公司筐",N(对接源_01水果!$U581)&lt;&gt;0)),1,0)</f>
        <v>0</v>
      </c>
      <c r="S581" s="1" t="n">
        <f aca="false">N(S580)+$R581</f>
        <v>0</v>
      </c>
      <c r="T581" s="1" t="n">
        <f aca="false">IF(AND($K581=1,AND(对接源_01水果!$X581="公司筐",N(对接源_01水果!$V581)&lt;&gt;0)),1,0)</f>
        <v>0</v>
      </c>
      <c r="U581" s="1" t="n">
        <f aca="false">N(U580)+$T581</f>
        <v>28</v>
      </c>
      <c r="V581" s="1" t="n">
        <f aca="false">IF(AND($L581=1,AND(对接源_01水果!$X581="自备筐",N(对接源_01水果!$V581)&lt;&gt;0)),1,0)</f>
        <v>0</v>
      </c>
      <c r="W581" s="1" t="n">
        <f aca="false">N(W580)+$V581</f>
        <v>7</v>
      </c>
      <c r="X581" s="1" t="n">
        <f aca="false">IF(AND($L581=1,AND(对接源_01水果!$X581="自备筐",N(对接源_01水果!$T581)&lt;&gt;0)),1,0)</f>
        <v>0</v>
      </c>
      <c r="Y581" s="1" t="n">
        <f aca="false">N(Y580)+$X581</f>
        <v>0</v>
      </c>
      <c r="Z581" s="1" t="n">
        <f aca="false">IF(AND($M581=1,对接源_01水果!$D581="原料入库"),1,0)</f>
        <v>0</v>
      </c>
      <c r="AA581" s="1" t="n">
        <f aca="false">N(AA580)+$Z581</f>
        <v>30</v>
      </c>
      <c r="AB581" s="1" t="n">
        <f aca="false">IF(AND($M581=1,LEFT(对接源_01水果!$D581,4)="原料出库"),1,0)</f>
        <v>0</v>
      </c>
      <c r="AC581" s="1" t="n">
        <f aca="false">N(AC580)+$AB581</f>
        <v>19</v>
      </c>
      <c r="AD581" s="1" t="n">
        <f aca="false">IF(AND($M581=1,LEFT(对接源_01水果!$D581,4)="成品出库"),1,0)</f>
        <v>0</v>
      </c>
      <c r="AE581" s="1" t="n">
        <f aca="false">N(AE580)+$AD581</f>
        <v>38</v>
      </c>
      <c r="AF581" s="1" t="n">
        <f aca="false">IF(AND($N581=1,AND(LEFT(对接源_01水果!$D581,4)="包装物料",N(对接源_01水果!$K581)&lt;&gt;0)),1,0)</f>
        <v>0</v>
      </c>
      <c r="AG581" s="90" t="str">
        <f aca="false">IF(对接源_01水果!$AC581="","",对接源_01水果!$AC581)</f>
        <v/>
      </c>
      <c r="AH581" s="1" t="n">
        <f aca="false">IF(AND($N581=1,AND(LEFT(对接源_01水果!$D581,3)="周转筐",N(对接源_01水果!$K581)&lt;&gt;0)),1,0)</f>
        <v>0</v>
      </c>
      <c r="AI581" s="90" t="n">
        <f aca="false">IF(AG581="",0,IF(MATCH(AG581,$AG$4:$AG$1203,0)=ROW()-3,1,0))</f>
        <v>0</v>
      </c>
      <c r="AJ581" s="90" t="n">
        <f aca="false">N(AJ580)+AI581</f>
        <v>4</v>
      </c>
      <c r="AK581" s="1" t="n">
        <f aca="false">N(AK580)+$AJ581</f>
        <v>1184</v>
      </c>
    </row>
    <row r="582" customFormat="false" ht="13.5" hidden="false" customHeight="false" outlineLevel="0" collapsed="false">
      <c r="A582" s="1" t="str">
        <f aca="false">IF(对接源_01水果!$C582="","",对接源_01水果!$C582)</f>
        <v/>
      </c>
      <c r="B582" s="1" t="n">
        <f aca="false">IF(A582="",0,IF(MATCH(A582,$A$4:$A$2403,0)=ROW()-3,1,0))</f>
        <v>0</v>
      </c>
      <c r="C582" s="1" t="n">
        <f aca="false">N(C581)+B582</f>
        <v>13</v>
      </c>
      <c r="K582" s="1" t="n">
        <f aca="false">IF(OR($K$1="",对接源_01水果!$C582="",对接源_01水果!$C582&lt;&gt;$K$1,对接源_01水果!$B582=""),0,IF(OR(N(对接源_01水果!$B582)&lt;$K$2,N(对接源_01水果!$B582)&gt;$K$3),0,1))</f>
        <v>0</v>
      </c>
      <c r="L582" s="1" t="n">
        <f aca="false">IF(OR($L$1="",对接源_01水果!$C582="",对接源_01水果!$C582&lt;&gt;$L$1,对接源_01水果!$B582=""),0,IF(OR(N(对接源_01水果!$B582)&lt;$L$2,N(对接源_01水果!$B582)&gt;$L$3),0,1))</f>
        <v>0</v>
      </c>
      <c r="M582" s="1" t="n">
        <f aca="false">IF(OR($M$1="",对接源_01水果!$C582="",对接源_01水果!$C582&lt;&gt;$M$1,对接源_01水果!$B582=""),0,IF(OR(N(对接源_01水果!$B582)&lt;$M$2,N(对接源_01水果!$B582)&gt;$M$3),0,1))</f>
        <v>0</v>
      </c>
      <c r="N582" s="1" t="n">
        <f aca="false">IF(OR($N$1="",对接源_01水果!$C582="",对接源_01水果!$C582&lt;&gt;$N$1,对接源_01水果!$B582=""),0,IF(OR(N(对接源_01水果!$B582)&lt;$N$2,N(对接源_01水果!$B582)&gt;$N$3),0,1))</f>
        <v>0</v>
      </c>
      <c r="P582" s="1" t="n">
        <f aca="false">IF(AND($K582=1,AND(对接源_01水果!$X582="公司筐",N(对接源_01水果!$T582)&lt;&gt;0)),1,0)</f>
        <v>0</v>
      </c>
      <c r="Q582" s="1" t="n">
        <f aca="false">N(Q581)+$P582</f>
        <v>3</v>
      </c>
      <c r="R582" s="1" t="n">
        <f aca="false">IF(AND($K582=1,AND(对接源_01水果!$X582="公司筐",N(对接源_01水果!$U582)&lt;&gt;0)),1,0)</f>
        <v>0</v>
      </c>
      <c r="S582" s="1" t="n">
        <f aca="false">N(S581)+$R582</f>
        <v>0</v>
      </c>
      <c r="T582" s="1" t="n">
        <f aca="false">IF(AND($K582=1,AND(对接源_01水果!$X582="公司筐",N(对接源_01水果!$V582)&lt;&gt;0)),1,0)</f>
        <v>0</v>
      </c>
      <c r="U582" s="1" t="n">
        <f aca="false">N(U581)+$T582</f>
        <v>28</v>
      </c>
      <c r="V582" s="1" t="n">
        <f aca="false">IF(AND($L582=1,AND(对接源_01水果!$X582="自备筐",N(对接源_01水果!$V582)&lt;&gt;0)),1,0)</f>
        <v>0</v>
      </c>
      <c r="W582" s="1" t="n">
        <f aca="false">N(W581)+$V582</f>
        <v>7</v>
      </c>
      <c r="X582" s="1" t="n">
        <f aca="false">IF(AND($L582=1,AND(对接源_01水果!$X582="自备筐",N(对接源_01水果!$T582)&lt;&gt;0)),1,0)</f>
        <v>0</v>
      </c>
      <c r="Y582" s="1" t="n">
        <f aca="false">N(Y581)+$X582</f>
        <v>0</v>
      </c>
      <c r="Z582" s="1" t="n">
        <f aca="false">IF(AND($M582=1,对接源_01水果!$D582="原料入库"),1,0)</f>
        <v>0</v>
      </c>
      <c r="AA582" s="1" t="n">
        <f aca="false">N(AA581)+$Z582</f>
        <v>30</v>
      </c>
      <c r="AB582" s="1" t="n">
        <f aca="false">IF(AND($M582=1,LEFT(对接源_01水果!$D582,4)="原料出库"),1,0)</f>
        <v>0</v>
      </c>
      <c r="AC582" s="1" t="n">
        <f aca="false">N(AC581)+$AB582</f>
        <v>19</v>
      </c>
      <c r="AD582" s="1" t="n">
        <f aca="false">IF(AND($M582=1,LEFT(对接源_01水果!$D582,4)="成品出库"),1,0)</f>
        <v>0</v>
      </c>
      <c r="AE582" s="1" t="n">
        <f aca="false">N(AE581)+$AD582</f>
        <v>38</v>
      </c>
      <c r="AF582" s="1" t="n">
        <f aca="false">IF(AND($N582=1,AND(LEFT(对接源_01水果!$D582,4)="包装物料",N(对接源_01水果!$K582)&lt;&gt;0)),1,0)</f>
        <v>0</v>
      </c>
      <c r="AG582" s="90" t="str">
        <f aca="false">IF(对接源_01水果!$AC582="","",对接源_01水果!$AC582)</f>
        <v/>
      </c>
      <c r="AH582" s="1" t="n">
        <f aca="false">IF(AND($N582=1,AND(LEFT(对接源_01水果!$D582,3)="周转筐",N(对接源_01水果!$K582)&lt;&gt;0)),1,0)</f>
        <v>0</v>
      </c>
      <c r="AI582" s="90" t="n">
        <f aca="false">IF(AG582="",0,IF(MATCH(AG582,$AG$4:$AG$1203,0)=ROW()-3,1,0))</f>
        <v>0</v>
      </c>
      <c r="AJ582" s="90" t="n">
        <f aca="false">N(AJ581)+AI582</f>
        <v>4</v>
      </c>
      <c r="AK582" s="1" t="n">
        <f aca="false">N(AK581)+$AJ582</f>
        <v>1188</v>
      </c>
    </row>
    <row r="583" customFormat="false" ht="13.5" hidden="false" customHeight="false" outlineLevel="0" collapsed="false">
      <c r="A583" s="1" t="str">
        <f aca="false">IF(对接源_01水果!$C583="","",对接源_01水果!$C583)</f>
        <v/>
      </c>
      <c r="B583" s="1" t="n">
        <f aca="false">IF(A583="",0,IF(MATCH(A583,$A$4:$A$2403,0)=ROW()-3,1,0))</f>
        <v>0</v>
      </c>
      <c r="C583" s="1" t="n">
        <f aca="false">N(C582)+B583</f>
        <v>13</v>
      </c>
      <c r="K583" s="1" t="n">
        <f aca="false">IF(OR($K$1="",对接源_01水果!$C583="",对接源_01水果!$C583&lt;&gt;$K$1,对接源_01水果!$B583=""),0,IF(OR(N(对接源_01水果!$B583)&lt;$K$2,N(对接源_01水果!$B583)&gt;$K$3),0,1))</f>
        <v>0</v>
      </c>
      <c r="L583" s="1" t="n">
        <f aca="false">IF(OR($L$1="",对接源_01水果!$C583="",对接源_01水果!$C583&lt;&gt;$L$1,对接源_01水果!$B583=""),0,IF(OR(N(对接源_01水果!$B583)&lt;$L$2,N(对接源_01水果!$B583)&gt;$L$3),0,1))</f>
        <v>0</v>
      </c>
      <c r="M583" s="1" t="n">
        <f aca="false">IF(OR($M$1="",对接源_01水果!$C583="",对接源_01水果!$C583&lt;&gt;$M$1,对接源_01水果!$B583=""),0,IF(OR(N(对接源_01水果!$B583)&lt;$M$2,N(对接源_01水果!$B583)&gt;$M$3),0,1))</f>
        <v>0</v>
      </c>
      <c r="N583" s="1" t="n">
        <f aca="false">IF(OR($N$1="",对接源_01水果!$C583="",对接源_01水果!$C583&lt;&gt;$N$1,对接源_01水果!$B583=""),0,IF(OR(N(对接源_01水果!$B583)&lt;$N$2,N(对接源_01水果!$B583)&gt;$N$3),0,1))</f>
        <v>0</v>
      </c>
      <c r="P583" s="1" t="n">
        <f aca="false">IF(AND($K583=1,AND(对接源_01水果!$X583="公司筐",N(对接源_01水果!$T583)&lt;&gt;0)),1,0)</f>
        <v>0</v>
      </c>
      <c r="Q583" s="1" t="n">
        <f aca="false">N(Q582)+$P583</f>
        <v>3</v>
      </c>
      <c r="R583" s="1" t="n">
        <f aca="false">IF(AND($K583=1,AND(对接源_01水果!$X583="公司筐",N(对接源_01水果!$U583)&lt;&gt;0)),1,0)</f>
        <v>0</v>
      </c>
      <c r="S583" s="1" t="n">
        <f aca="false">N(S582)+$R583</f>
        <v>0</v>
      </c>
      <c r="T583" s="1" t="n">
        <f aca="false">IF(AND($K583=1,AND(对接源_01水果!$X583="公司筐",N(对接源_01水果!$V583)&lt;&gt;0)),1,0)</f>
        <v>0</v>
      </c>
      <c r="U583" s="1" t="n">
        <f aca="false">N(U582)+$T583</f>
        <v>28</v>
      </c>
      <c r="V583" s="1" t="n">
        <f aca="false">IF(AND($L583=1,AND(对接源_01水果!$X583="自备筐",N(对接源_01水果!$V583)&lt;&gt;0)),1,0)</f>
        <v>0</v>
      </c>
      <c r="W583" s="1" t="n">
        <f aca="false">N(W582)+$V583</f>
        <v>7</v>
      </c>
      <c r="X583" s="1" t="n">
        <f aca="false">IF(AND($L583=1,AND(对接源_01水果!$X583="自备筐",N(对接源_01水果!$T583)&lt;&gt;0)),1,0)</f>
        <v>0</v>
      </c>
      <c r="Y583" s="1" t="n">
        <f aca="false">N(Y582)+$X583</f>
        <v>0</v>
      </c>
      <c r="Z583" s="1" t="n">
        <f aca="false">IF(AND($M583=1,对接源_01水果!$D583="原料入库"),1,0)</f>
        <v>0</v>
      </c>
      <c r="AA583" s="1" t="n">
        <f aca="false">N(AA582)+$Z583</f>
        <v>30</v>
      </c>
      <c r="AB583" s="1" t="n">
        <f aca="false">IF(AND($M583=1,LEFT(对接源_01水果!$D583,4)="原料出库"),1,0)</f>
        <v>0</v>
      </c>
      <c r="AC583" s="1" t="n">
        <f aca="false">N(AC582)+$AB583</f>
        <v>19</v>
      </c>
      <c r="AD583" s="1" t="n">
        <f aca="false">IF(AND($M583=1,LEFT(对接源_01水果!$D583,4)="成品出库"),1,0)</f>
        <v>0</v>
      </c>
      <c r="AE583" s="1" t="n">
        <f aca="false">N(AE582)+$AD583</f>
        <v>38</v>
      </c>
      <c r="AF583" s="1" t="n">
        <f aca="false">IF(AND($N583=1,AND(LEFT(对接源_01水果!$D583,4)="包装物料",N(对接源_01水果!$K583)&lt;&gt;0)),1,0)</f>
        <v>0</v>
      </c>
      <c r="AG583" s="90" t="str">
        <f aca="false">IF(对接源_01水果!$AC583="","",对接源_01水果!$AC583)</f>
        <v/>
      </c>
      <c r="AH583" s="1" t="n">
        <f aca="false">IF(AND($N583=1,AND(LEFT(对接源_01水果!$D583,3)="周转筐",N(对接源_01水果!$K583)&lt;&gt;0)),1,0)</f>
        <v>0</v>
      </c>
      <c r="AI583" s="90" t="n">
        <f aca="false">IF(AG583="",0,IF(MATCH(AG583,$AG$4:$AG$1203,0)=ROW()-3,1,0))</f>
        <v>0</v>
      </c>
      <c r="AJ583" s="90" t="n">
        <f aca="false">N(AJ582)+AI583</f>
        <v>4</v>
      </c>
      <c r="AK583" s="1" t="n">
        <f aca="false">N(AK582)+$AJ583</f>
        <v>1192</v>
      </c>
    </row>
    <row r="584" customFormat="false" ht="13.5" hidden="false" customHeight="false" outlineLevel="0" collapsed="false">
      <c r="A584" s="1" t="str">
        <f aca="false">IF(对接源_01水果!$C584="","",对接源_01水果!$C584)</f>
        <v/>
      </c>
      <c r="B584" s="1" t="n">
        <f aca="false">IF(A584="",0,IF(MATCH(A584,$A$4:$A$2403,0)=ROW()-3,1,0))</f>
        <v>0</v>
      </c>
      <c r="C584" s="1" t="n">
        <f aca="false">N(C583)+B584</f>
        <v>13</v>
      </c>
      <c r="K584" s="1" t="n">
        <f aca="false">IF(OR($K$1="",对接源_01水果!$C584="",对接源_01水果!$C584&lt;&gt;$K$1,对接源_01水果!$B584=""),0,IF(OR(N(对接源_01水果!$B584)&lt;$K$2,N(对接源_01水果!$B584)&gt;$K$3),0,1))</f>
        <v>0</v>
      </c>
      <c r="L584" s="1" t="n">
        <f aca="false">IF(OR($L$1="",对接源_01水果!$C584="",对接源_01水果!$C584&lt;&gt;$L$1,对接源_01水果!$B584=""),0,IF(OR(N(对接源_01水果!$B584)&lt;$L$2,N(对接源_01水果!$B584)&gt;$L$3),0,1))</f>
        <v>0</v>
      </c>
      <c r="M584" s="1" t="n">
        <f aca="false">IF(OR($M$1="",对接源_01水果!$C584="",对接源_01水果!$C584&lt;&gt;$M$1,对接源_01水果!$B584=""),0,IF(OR(N(对接源_01水果!$B584)&lt;$M$2,N(对接源_01水果!$B584)&gt;$M$3),0,1))</f>
        <v>0</v>
      </c>
      <c r="N584" s="1" t="n">
        <f aca="false">IF(OR($N$1="",对接源_01水果!$C584="",对接源_01水果!$C584&lt;&gt;$N$1,对接源_01水果!$B584=""),0,IF(OR(N(对接源_01水果!$B584)&lt;$N$2,N(对接源_01水果!$B584)&gt;$N$3),0,1))</f>
        <v>0</v>
      </c>
      <c r="P584" s="1" t="n">
        <f aca="false">IF(AND($K584=1,AND(对接源_01水果!$X584="公司筐",N(对接源_01水果!$T584)&lt;&gt;0)),1,0)</f>
        <v>0</v>
      </c>
      <c r="Q584" s="1" t="n">
        <f aca="false">N(Q583)+$P584</f>
        <v>3</v>
      </c>
      <c r="R584" s="1" t="n">
        <f aca="false">IF(AND($K584=1,AND(对接源_01水果!$X584="公司筐",N(对接源_01水果!$U584)&lt;&gt;0)),1,0)</f>
        <v>0</v>
      </c>
      <c r="S584" s="1" t="n">
        <f aca="false">N(S583)+$R584</f>
        <v>0</v>
      </c>
      <c r="T584" s="1" t="n">
        <f aca="false">IF(AND($K584=1,AND(对接源_01水果!$X584="公司筐",N(对接源_01水果!$V584)&lt;&gt;0)),1,0)</f>
        <v>0</v>
      </c>
      <c r="U584" s="1" t="n">
        <f aca="false">N(U583)+$T584</f>
        <v>28</v>
      </c>
      <c r="V584" s="1" t="n">
        <f aca="false">IF(AND($L584=1,AND(对接源_01水果!$X584="自备筐",N(对接源_01水果!$V584)&lt;&gt;0)),1,0)</f>
        <v>0</v>
      </c>
      <c r="W584" s="1" t="n">
        <f aca="false">N(W583)+$V584</f>
        <v>7</v>
      </c>
      <c r="X584" s="1" t="n">
        <f aca="false">IF(AND($L584=1,AND(对接源_01水果!$X584="自备筐",N(对接源_01水果!$T584)&lt;&gt;0)),1,0)</f>
        <v>0</v>
      </c>
      <c r="Y584" s="1" t="n">
        <f aca="false">N(Y583)+$X584</f>
        <v>0</v>
      </c>
      <c r="Z584" s="1" t="n">
        <f aca="false">IF(AND($M584=1,对接源_01水果!$D584="原料入库"),1,0)</f>
        <v>0</v>
      </c>
      <c r="AA584" s="1" t="n">
        <f aca="false">N(AA583)+$Z584</f>
        <v>30</v>
      </c>
      <c r="AB584" s="1" t="n">
        <f aca="false">IF(AND($M584=1,LEFT(对接源_01水果!$D584,4)="原料出库"),1,0)</f>
        <v>0</v>
      </c>
      <c r="AC584" s="1" t="n">
        <f aca="false">N(AC583)+$AB584</f>
        <v>19</v>
      </c>
      <c r="AD584" s="1" t="n">
        <f aca="false">IF(AND($M584=1,LEFT(对接源_01水果!$D584,4)="成品出库"),1,0)</f>
        <v>0</v>
      </c>
      <c r="AE584" s="1" t="n">
        <f aca="false">N(AE583)+$AD584</f>
        <v>38</v>
      </c>
      <c r="AF584" s="1" t="n">
        <f aca="false">IF(AND($N584=1,AND(LEFT(对接源_01水果!$D584,4)="包装物料",N(对接源_01水果!$K584)&lt;&gt;0)),1,0)</f>
        <v>0</v>
      </c>
      <c r="AG584" s="90" t="str">
        <f aca="false">IF(对接源_01水果!$AC584="","",对接源_01水果!$AC584)</f>
        <v/>
      </c>
      <c r="AH584" s="1" t="n">
        <f aca="false">IF(AND($N584=1,AND(LEFT(对接源_01水果!$D584,3)="周转筐",N(对接源_01水果!$K584)&lt;&gt;0)),1,0)</f>
        <v>0</v>
      </c>
      <c r="AI584" s="90" t="n">
        <f aca="false">IF(AG584="",0,IF(MATCH(AG584,$AG$4:$AG$1203,0)=ROW()-3,1,0))</f>
        <v>0</v>
      </c>
      <c r="AJ584" s="90" t="n">
        <f aca="false">N(AJ583)+AI584</f>
        <v>4</v>
      </c>
      <c r="AK584" s="1" t="n">
        <f aca="false">N(AK583)+$AJ584</f>
        <v>1196</v>
      </c>
    </row>
    <row r="585" customFormat="false" ht="13.5" hidden="false" customHeight="false" outlineLevel="0" collapsed="false">
      <c r="A585" s="1" t="str">
        <f aca="false">IF(对接源_01水果!$C585="","",对接源_01水果!$C585)</f>
        <v/>
      </c>
      <c r="B585" s="1" t="n">
        <f aca="false">IF(A585="",0,IF(MATCH(A585,$A$4:$A$2403,0)=ROW()-3,1,0))</f>
        <v>0</v>
      </c>
      <c r="C585" s="1" t="n">
        <f aca="false">N(C584)+B585</f>
        <v>13</v>
      </c>
      <c r="K585" s="1" t="n">
        <f aca="false">IF(OR($K$1="",对接源_01水果!$C585="",对接源_01水果!$C585&lt;&gt;$K$1,对接源_01水果!$B585=""),0,IF(OR(N(对接源_01水果!$B585)&lt;$K$2,N(对接源_01水果!$B585)&gt;$K$3),0,1))</f>
        <v>0</v>
      </c>
      <c r="L585" s="1" t="n">
        <f aca="false">IF(OR($L$1="",对接源_01水果!$C585="",对接源_01水果!$C585&lt;&gt;$L$1,对接源_01水果!$B585=""),0,IF(OR(N(对接源_01水果!$B585)&lt;$L$2,N(对接源_01水果!$B585)&gt;$L$3),0,1))</f>
        <v>0</v>
      </c>
      <c r="M585" s="1" t="n">
        <f aca="false">IF(OR($M$1="",对接源_01水果!$C585="",对接源_01水果!$C585&lt;&gt;$M$1,对接源_01水果!$B585=""),0,IF(OR(N(对接源_01水果!$B585)&lt;$M$2,N(对接源_01水果!$B585)&gt;$M$3),0,1))</f>
        <v>0</v>
      </c>
      <c r="N585" s="1" t="n">
        <f aca="false">IF(OR($N$1="",对接源_01水果!$C585="",对接源_01水果!$C585&lt;&gt;$N$1,对接源_01水果!$B585=""),0,IF(OR(N(对接源_01水果!$B585)&lt;$N$2,N(对接源_01水果!$B585)&gt;$N$3),0,1))</f>
        <v>0</v>
      </c>
      <c r="P585" s="1" t="n">
        <f aca="false">IF(AND($K585=1,AND(对接源_01水果!$X585="公司筐",N(对接源_01水果!$T585)&lt;&gt;0)),1,0)</f>
        <v>0</v>
      </c>
      <c r="Q585" s="1" t="n">
        <f aca="false">N(Q584)+$P585</f>
        <v>3</v>
      </c>
      <c r="R585" s="1" t="n">
        <f aca="false">IF(AND($K585=1,AND(对接源_01水果!$X585="公司筐",N(对接源_01水果!$U585)&lt;&gt;0)),1,0)</f>
        <v>0</v>
      </c>
      <c r="S585" s="1" t="n">
        <f aca="false">N(S584)+$R585</f>
        <v>0</v>
      </c>
      <c r="T585" s="1" t="n">
        <f aca="false">IF(AND($K585=1,AND(对接源_01水果!$X585="公司筐",N(对接源_01水果!$V585)&lt;&gt;0)),1,0)</f>
        <v>0</v>
      </c>
      <c r="U585" s="1" t="n">
        <f aca="false">N(U584)+$T585</f>
        <v>28</v>
      </c>
      <c r="V585" s="1" t="n">
        <f aca="false">IF(AND($L585=1,AND(对接源_01水果!$X585="自备筐",N(对接源_01水果!$V585)&lt;&gt;0)),1,0)</f>
        <v>0</v>
      </c>
      <c r="W585" s="1" t="n">
        <f aca="false">N(W584)+$V585</f>
        <v>7</v>
      </c>
      <c r="X585" s="1" t="n">
        <f aca="false">IF(AND($L585=1,AND(对接源_01水果!$X585="自备筐",N(对接源_01水果!$T585)&lt;&gt;0)),1,0)</f>
        <v>0</v>
      </c>
      <c r="Y585" s="1" t="n">
        <f aca="false">N(Y584)+$X585</f>
        <v>0</v>
      </c>
      <c r="Z585" s="1" t="n">
        <f aca="false">IF(AND($M585=1,对接源_01水果!$D585="原料入库"),1,0)</f>
        <v>0</v>
      </c>
      <c r="AA585" s="1" t="n">
        <f aca="false">N(AA584)+$Z585</f>
        <v>30</v>
      </c>
      <c r="AB585" s="1" t="n">
        <f aca="false">IF(AND($M585=1,LEFT(对接源_01水果!$D585,4)="原料出库"),1,0)</f>
        <v>0</v>
      </c>
      <c r="AC585" s="1" t="n">
        <f aca="false">N(AC584)+$AB585</f>
        <v>19</v>
      </c>
      <c r="AD585" s="1" t="n">
        <f aca="false">IF(AND($M585=1,LEFT(对接源_01水果!$D585,4)="成品出库"),1,0)</f>
        <v>0</v>
      </c>
      <c r="AE585" s="1" t="n">
        <f aca="false">N(AE584)+$AD585</f>
        <v>38</v>
      </c>
      <c r="AF585" s="1" t="n">
        <f aca="false">IF(AND($N585=1,AND(LEFT(对接源_01水果!$D585,4)="包装物料",N(对接源_01水果!$K585)&lt;&gt;0)),1,0)</f>
        <v>0</v>
      </c>
      <c r="AG585" s="90" t="str">
        <f aca="false">IF(对接源_01水果!$AC585="","",对接源_01水果!$AC585)</f>
        <v/>
      </c>
      <c r="AH585" s="1" t="n">
        <f aca="false">IF(AND($N585=1,AND(LEFT(对接源_01水果!$D585,3)="周转筐",N(对接源_01水果!$K585)&lt;&gt;0)),1,0)</f>
        <v>0</v>
      </c>
      <c r="AI585" s="90" t="n">
        <f aca="false">IF(AG585="",0,IF(MATCH(AG585,$AG$4:$AG$1203,0)=ROW()-3,1,0))</f>
        <v>0</v>
      </c>
      <c r="AJ585" s="90" t="n">
        <f aca="false">N(AJ584)+AI585</f>
        <v>4</v>
      </c>
      <c r="AK585" s="1" t="n">
        <f aca="false">N(AK584)+$AJ585</f>
        <v>1200</v>
      </c>
    </row>
    <row r="586" customFormat="false" ht="13.5" hidden="false" customHeight="false" outlineLevel="0" collapsed="false">
      <c r="A586" s="1" t="str">
        <f aca="false">IF(对接源_01水果!$C586="","",对接源_01水果!$C586)</f>
        <v/>
      </c>
      <c r="B586" s="1" t="n">
        <f aca="false">IF(A586="",0,IF(MATCH(A586,$A$4:$A$2403,0)=ROW()-3,1,0))</f>
        <v>0</v>
      </c>
      <c r="C586" s="1" t="n">
        <f aca="false">N(C585)+B586</f>
        <v>13</v>
      </c>
      <c r="K586" s="1" t="n">
        <f aca="false">IF(OR($K$1="",对接源_01水果!$C586="",对接源_01水果!$C586&lt;&gt;$K$1,对接源_01水果!$B586=""),0,IF(OR(N(对接源_01水果!$B586)&lt;$K$2,N(对接源_01水果!$B586)&gt;$K$3),0,1))</f>
        <v>0</v>
      </c>
      <c r="L586" s="1" t="n">
        <f aca="false">IF(OR($L$1="",对接源_01水果!$C586="",对接源_01水果!$C586&lt;&gt;$L$1,对接源_01水果!$B586=""),0,IF(OR(N(对接源_01水果!$B586)&lt;$L$2,N(对接源_01水果!$B586)&gt;$L$3),0,1))</f>
        <v>0</v>
      </c>
      <c r="M586" s="1" t="n">
        <f aca="false">IF(OR($M$1="",对接源_01水果!$C586="",对接源_01水果!$C586&lt;&gt;$M$1,对接源_01水果!$B586=""),0,IF(OR(N(对接源_01水果!$B586)&lt;$M$2,N(对接源_01水果!$B586)&gt;$M$3),0,1))</f>
        <v>0</v>
      </c>
      <c r="N586" s="1" t="n">
        <f aca="false">IF(OR($N$1="",对接源_01水果!$C586="",对接源_01水果!$C586&lt;&gt;$N$1,对接源_01水果!$B586=""),0,IF(OR(N(对接源_01水果!$B586)&lt;$N$2,N(对接源_01水果!$B586)&gt;$N$3),0,1))</f>
        <v>0</v>
      </c>
      <c r="P586" s="1" t="n">
        <f aca="false">IF(AND($K586=1,AND(对接源_01水果!$X586="公司筐",N(对接源_01水果!$T586)&lt;&gt;0)),1,0)</f>
        <v>0</v>
      </c>
      <c r="Q586" s="1" t="n">
        <f aca="false">N(Q585)+$P586</f>
        <v>3</v>
      </c>
      <c r="R586" s="1" t="n">
        <f aca="false">IF(AND($K586=1,AND(对接源_01水果!$X586="公司筐",N(对接源_01水果!$U586)&lt;&gt;0)),1,0)</f>
        <v>0</v>
      </c>
      <c r="S586" s="1" t="n">
        <f aca="false">N(S585)+$R586</f>
        <v>0</v>
      </c>
      <c r="T586" s="1" t="n">
        <f aca="false">IF(AND($K586=1,AND(对接源_01水果!$X586="公司筐",N(对接源_01水果!$V586)&lt;&gt;0)),1,0)</f>
        <v>0</v>
      </c>
      <c r="U586" s="1" t="n">
        <f aca="false">N(U585)+$T586</f>
        <v>28</v>
      </c>
      <c r="V586" s="1" t="n">
        <f aca="false">IF(AND($L586=1,AND(对接源_01水果!$X586="自备筐",N(对接源_01水果!$V586)&lt;&gt;0)),1,0)</f>
        <v>0</v>
      </c>
      <c r="W586" s="1" t="n">
        <f aca="false">N(W585)+$V586</f>
        <v>7</v>
      </c>
      <c r="X586" s="1" t="n">
        <f aca="false">IF(AND($L586=1,AND(对接源_01水果!$X586="自备筐",N(对接源_01水果!$T586)&lt;&gt;0)),1,0)</f>
        <v>0</v>
      </c>
      <c r="Y586" s="1" t="n">
        <f aca="false">N(Y585)+$X586</f>
        <v>0</v>
      </c>
      <c r="Z586" s="1" t="n">
        <f aca="false">IF(AND($M586=1,对接源_01水果!$D586="原料入库"),1,0)</f>
        <v>0</v>
      </c>
      <c r="AA586" s="1" t="n">
        <f aca="false">N(AA585)+$Z586</f>
        <v>30</v>
      </c>
      <c r="AB586" s="1" t="n">
        <f aca="false">IF(AND($M586=1,LEFT(对接源_01水果!$D586,4)="原料出库"),1,0)</f>
        <v>0</v>
      </c>
      <c r="AC586" s="1" t="n">
        <f aca="false">N(AC585)+$AB586</f>
        <v>19</v>
      </c>
      <c r="AD586" s="1" t="n">
        <f aca="false">IF(AND($M586=1,LEFT(对接源_01水果!$D586,4)="成品出库"),1,0)</f>
        <v>0</v>
      </c>
      <c r="AE586" s="1" t="n">
        <f aca="false">N(AE585)+$AD586</f>
        <v>38</v>
      </c>
      <c r="AF586" s="1" t="n">
        <f aca="false">IF(AND($N586=1,AND(LEFT(对接源_01水果!$D586,4)="包装物料",N(对接源_01水果!$K586)&lt;&gt;0)),1,0)</f>
        <v>0</v>
      </c>
      <c r="AG586" s="90" t="str">
        <f aca="false">IF(对接源_01水果!$AC586="","",对接源_01水果!$AC586)</f>
        <v/>
      </c>
      <c r="AH586" s="1" t="n">
        <f aca="false">IF(AND($N586=1,AND(LEFT(对接源_01水果!$D586,3)="周转筐",N(对接源_01水果!$K586)&lt;&gt;0)),1,0)</f>
        <v>0</v>
      </c>
      <c r="AI586" s="90" t="n">
        <f aca="false">IF(AG586="",0,IF(MATCH(AG586,$AG$4:$AG$1203,0)=ROW()-3,1,0))</f>
        <v>0</v>
      </c>
      <c r="AJ586" s="90" t="n">
        <f aca="false">N(AJ585)+AI586</f>
        <v>4</v>
      </c>
      <c r="AK586" s="1" t="n">
        <f aca="false">N(AK585)+$AJ586</f>
        <v>1204</v>
      </c>
    </row>
    <row r="587" customFormat="false" ht="13.5" hidden="false" customHeight="false" outlineLevel="0" collapsed="false">
      <c r="A587" s="1" t="str">
        <f aca="false">IF(对接源_01水果!$C587="","",对接源_01水果!$C587)</f>
        <v/>
      </c>
      <c r="B587" s="1" t="n">
        <f aca="false">IF(A587="",0,IF(MATCH(A587,$A$4:$A$2403,0)=ROW()-3,1,0))</f>
        <v>0</v>
      </c>
      <c r="C587" s="1" t="n">
        <f aca="false">N(C586)+B587</f>
        <v>13</v>
      </c>
      <c r="K587" s="1" t="n">
        <f aca="false">IF(OR($K$1="",对接源_01水果!$C587="",对接源_01水果!$C587&lt;&gt;$K$1,对接源_01水果!$B587=""),0,IF(OR(N(对接源_01水果!$B587)&lt;$K$2,N(对接源_01水果!$B587)&gt;$K$3),0,1))</f>
        <v>0</v>
      </c>
      <c r="L587" s="1" t="n">
        <f aca="false">IF(OR($L$1="",对接源_01水果!$C587="",对接源_01水果!$C587&lt;&gt;$L$1,对接源_01水果!$B587=""),0,IF(OR(N(对接源_01水果!$B587)&lt;$L$2,N(对接源_01水果!$B587)&gt;$L$3),0,1))</f>
        <v>0</v>
      </c>
      <c r="M587" s="1" t="n">
        <f aca="false">IF(OR($M$1="",对接源_01水果!$C587="",对接源_01水果!$C587&lt;&gt;$M$1,对接源_01水果!$B587=""),0,IF(OR(N(对接源_01水果!$B587)&lt;$M$2,N(对接源_01水果!$B587)&gt;$M$3),0,1))</f>
        <v>0</v>
      </c>
      <c r="N587" s="1" t="n">
        <f aca="false">IF(OR($N$1="",对接源_01水果!$C587="",对接源_01水果!$C587&lt;&gt;$N$1,对接源_01水果!$B587=""),0,IF(OR(N(对接源_01水果!$B587)&lt;$N$2,N(对接源_01水果!$B587)&gt;$N$3),0,1))</f>
        <v>0</v>
      </c>
      <c r="P587" s="1" t="n">
        <f aca="false">IF(AND($K587=1,AND(对接源_01水果!$X587="公司筐",N(对接源_01水果!$T587)&lt;&gt;0)),1,0)</f>
        <v>0</v>
      </c>
      <c r="Q587" s="1" t="n">
        <f aca="false">N(Q586)+$P587</f>
        <v>3</v>
      </c>
      <c r="R587" s="1" t="n">
        <f aca="false">IF(AND($K587=1,AND(对接源_01水果!$X587="公司筐",N(对接源_01水果!$U587)&lt;&gt;0)),1,0)</f>
        <v>0</v>
      </c>
      <c r="S587" s="1" t="n">
        <f aca="false">N(S586)+$R587</f>
        <v>0</v>
      </c>
      <c r="T587" s="1" t="n">
        <f aca="false">IF(AND($K587=1,AND(对接源_01水果!$X587="公司筐",N(对接源_01水果!$V587)&lt;&gt;0)),1,0)</f>
        <v>0</v>
      </c>
      <c r="U587" s="1" t="n">
        <f aca="false">N(U586)+$T587</f>
        <v>28</v>
      </c>
      <c r="V587" s="1" t="n">
        <f aca="false">IF(AND($L587=1,AND(对接源_01水果!$X587="自备筐",N(对接源_01水果!$V587)&lt;&gt;0)),1,0)</f>
        <v>0</v>
      </c>
      <c r="W587" s="1" t="n">
        <f aca="false">N(W586)+$V587</f>
        <v>7</v>
      </c>
      <c r="X587" s="1" t="n">
        <f aca="false">IF(AND($L587=1,AND(对接源_01水果!$X587="自备筐",N(对接源_01水果!$T587)&lt;&gt;0)),1,0)</f>
        <v>0</v>
      </c>
      <c r="Y587" s="1" t="n">
        <f aca="false">N(Y586)+$X587</f>
        <v>0</v>
      </c>
      <c r="Z587" s="1" t="n">
        <f aca="false">IF(AND($M587=1,对接源_01水果!$D587="原料入库"),1,0)</f>
        <v>0</v>
      </c>
      <c r="AA587" s="1" t="n">
        <f aca="false">N(AA586)+$Z587</f>
        <v>30</v>
      </c>
      <c r="AB587" s="1" t="n">
        <f aca="false">IF(AND($M587=1,LEFT(对接源_01水果!$D587,4)="原料出库"),1,0)</f>
        <v>0</v>
      </c>
      <c r="AC587" s="1" t="n">
        <f aca="false">N(AC586)+$AB587</f>
        <v>19</v>
      </c>
      <c r="AD587" s="1" t="n">
        <f aca="false">IF(AND($M587=1,LEFT(对接源_01水果!$D587,4)="成品出库"),1,0)</f>
        <v>0</v>
      </c>
      <c r="AE587" s="1" t="n">
        <f aca="false">N(AE586)+$AD587</f>
        <v>38</v>
      </c>
      <c r="AF587" s="1" t="n">
        <f aca="false">IF(AND($N587=1,AND(LEFT(对接源_01水果!$D587,4)="包装物料",N(对接源_01水果!$K587)&lt;&gt;0)),1,0)</f>
        <v>0</v>
      </c>
      <c r="AG587" s="90" t="str">
        <f aca="false">IF(对接源_01水果!$AC587="","",对接源_01水果!$AC587)</f>
        <v/>
      </c>
      <c r="AH587" s="1" t="n">
        <f aca="false">IF(AND($N587=1,AND(LEFT(对接源_01水果!$D587,3)="周转筐",N(对接源_01水果!$K587)&lt;&gt;0)),1,0)</f>
        <v>0</v>
      </c>
      <c r="AI587" s="90" t="n">
        <f aca="false">IF(AG587="",0,IF(MATCH(AG587,$AG$4:$AG$1203,0)=ROW()-3,1,0))</f>
        <v>0</v>
      </c>
      <c r="AJ587" s="90" t="n">
        <f aca="false">N(AJ586)+AI587</f>
        <v>4</v>
      </c>
      <c r="AK587" s="1" t="n">
        <f aca="false">N(AK586)+$AJ587</f>
        <v>1208</v>
      </c>
    </row>
    <row r="588" customFormat="false" ht="13.5" hidden="false" customHeight="false" outlineLevel="0" collapsed="false">
      <c r="A588" s="1" t="str">
        <f aca="false">IF(对接源_01水果!$C588="","",对接源_01水果!$C588)</f>
        <v/>
      </c>
      <c r="B588" s="1" t="n">
        <f aca="false">IF(A588="",0,IF(MATCH(A588,$A$4:$A$2403,0)=ROW()-3,1,0))</f>
        <v>0</v>
      </c>
      <c r="C588" s="1" t="n">
        <f aca="false">N(C587)+B588</f>
        <v>13</v>
      </c>
      <c r="K588" s="1" t="n">
        <f aca="false">IF(OR($K$1="",对接源_01水果!$C588="",对接源_01水果!$C588&lt;&gt;$K$1,对接源_01水果!$B588=""),0,IF(OR(N(对接源_01水果!$B588)&lt;$K$2,N(对接源_01水果!$B588)&gt;$K$3),0,1))</f>
        <v>0</v>
      </c>
      <c r="L588" s="1" t="n">
        <f aca="false">IF(OR($L$1="",对接源_01水果!$C588="",对接源_01水果!$C588&lt;&gt;$L$1,对接源_01水果!$B588=""),0,IF(OR(N(对接源_01水果!$B588)&lt;$L$2,N(对接源_01水果!$B588)&gt;$L$3),0,1))</f>
        <v>0</v>
      </c>
      <c r="M588" s="1" t="n">
        <f aca="false">IF(OR($M$1="",对接源_01水果!$C588="",对接源_01水果!$C588&lt;&gt;$M$1,对接源_01水果!$B588=""),0,IF(OR(N(对接源_01水果!$B588)&lt;$M$2,N(对接源_01水果!$B588)&gt;$M$3),0,1))</f>
        <v>0</v>
      </c>
      <c r="N588" s="1" t="n">
        <f aca="false">IF(OR($N$1="",对接源_01水果!$C588="",对接源_01水果!$C588&lt;&gt;$N$1,对接源_01水果!$B588=""),0,IF(OR(N(对接源_01水果!$B588)&lt;$N$2,N(对接源_01水果!$B588)&gt;$N$3),0,1))</f>
        <v>0</v>
      </c>
      <c r="P588" s="1" t="n">
        <f aca="false">IF(AND($K588=1,AND(对接源_01水果!$X588="公司筐",N(对接源_01水果!$T588)&lt;&gt;0)),1,0)</f>
        <v>0</v>
      </c>
      <c r="Q588" s="1" t="n">
        <f aca="false">N(Q587)+$P588</f>
        <v>3</v>
      </c>
      <c r="R588" s="1" t="n">
        <f aca="false">IF(AND($K588=1,AND(对接源_01水果!$X588="公司筐",N(对接源_01水果!$U588)&lt;&gt;0)),1,0)</f>
        <v>0</v>
      </c>
      <c r="S588" s="1" t="n">
        <f aca="false">N(S587)+$R588</f>
        <v>0</v>
      </c>
      <c r="T588" s="1" t="n">
        <f aca="false">IF(AND($K588=1,AND(对接源_01水果!$X588="公司筐",N(对接源_01水果!$V588)&lt;&gt;0)),1,0)</f>
        <v>0</v>
      </c>
      <c r="U588" s="1" t="n">
        <f aca="false">N(U587)+$T588</f>
        <v>28</v>
      </c>
      <c r="V588" s="1" t="n">
        <f aca="false">IF(AND($L588=1,AND(对接源_01水果!$X588="自备筐",N(对接源_01水果!$V588)&lt;&gt;0)),1,0)</f>
        <v>0</v>
      </c>
      <c r="W588" s="1" t="n">
        <f aca="false">N(W587)+$V588</f>
        <v>7</v>
      </c>
      <c r="X588" s="1" t="n">
        <f aca="false">IF(AND($L588=1,AND(对接源_01水果!$X588="自备筐",N(对接源_01水果!$T588)&lt;&gt;0)),1,0)</f>
        <v>0</v>
      </c>
      <c r="Y588" s="1" t="n">
        <f aca="false">N(Y587)+$X588</f>
        <v>0</v>
      </c>
      <c r="Z588" s="1" t="n">
        <f aca="false">IF(AND($M588=1,对接源_01水果!$D588="原料入库"),1,0)</f>
        <v>0</v>
      </c>
      <c r="AA588" s="1" t="n">
        <f aca="false">N(AA587)+$Z588</f>
        <v>30</v>
      </c>
      <c r="AB588" s="1" t="n">
        <f aca="false">IF(AND($M588=1,LEFT(对接源_01水果!$D588,4)="原料出库"),1,0)</f>
        <v>0</v>
      </c>
      <c r="AC588" s="1" t="n">
        <f aca="false">N(AC587)+$AB588</f>
        <v>19</v>
      </c>
      <c r="AD588" s="1" t="n">
        <f aca="false">IF(AND($M588=1,LEFT(对接源_01水果!$D588,4)="成品出库"),1,0)</f>
        <v>0</v>
      </c>
      <c r="AE588" s="1" t="n">
        <f aca="false">N(AE587)+$AD588</f>
        <v>38</v>
      </c>
      <c r="AF588" s="1" t="n">
        <f aca="false">IF(AND($N588=1,AND(LEFT(对接源_01水果!$D588,4)="包装物料",N(对接源_01水果!$K588)&lt;&gt;0)),1,0)</f>
        <v>0</v>
      </c>
      <c r="AG588" s="90" t="str">
        <f aca="false">IF(对接源_01水果!$AC588="","",对接源_01水果!$AC588)</f>
        <v/>
      </c>
      <c r="AH588" s="1" t="n">
        <f aca="false">IF(AND($N588=1,AND(LEFT(对接源_01水果!$D588,3)="周转筐",N(对接源_01水果!$K588)&lt;&gt;0)),1,0)</f>
        <v>0</v>
      </c>
      <c r="AI588" s="90" t="n">
        <f aca="false">IF(AG588="",0,IF(MATCH(AG588,$AG$4:$AG$1203,0)=ROW()-3,1,0))</f>
        <v>0</v>
      </c>
      <c r="AJ588" s="90" t="n">
        <f aca="false">N(AJ587)+AI588</f>
        <v>4</v>
      </c>
      <c r="AK588" s="1" t="n">
        <f aca="false">N(AK587)+$AJ588</f>
        <v>1212</v>
      </c>
    </row>
    <row r="589" customFormat="false" ht="13.5" hidden="false" customHeight="false" outlineLevel="0" collapsed="false">
      <c r="A589" s="1" t="str">
        <f aca="false">IF(对接源_01水果!$C589="","",对接源_01水果!$C589)</f>
        <v/>
      </c>
      <c r="B589" s="1" t="n">
        <f aca="false">IF(A589="",0,IF(MATCH(A589,$A$4:$A$2403,0)=ROW()-3,1,0))</f>
        <v>0</v>
      </c>
      <c r="C589" s="1" t="n">
        <f aca="false">N(C588)+B589</f>
        <v>13</v>
      </c>
      <c r="K589" s="1" t="n">
        <f aca="false">IF(OR($K$1="",对接源_01水果!$C589="",对接源_01水果!$C589&lt;&gt;$K$1,对接源_01水果!$B589=""),0,IF(OR(N(对接源_01水果!$B589)&lt;$K$2,N(对接源_01水果!$B589)&gt;$K$3),0,1))</f>
        <v>0</v>
      </c>
      <c r="L589" s="1" t="n">
        <f aca="false">IF(OR($L$1="",对接源_01水果!$C589="",对接源_01水果!$C589&lt;&gt;$L$1,对接源_01水果!$B589=""),0,IF(OR(N(对接源_01水果!$B589)&lt;$L$2,N(对接源_01水果!$B589)&gt;$L$3),0,1))</f>
        <v>0</v>
      </c>
      <c r="M589" s="1" t="n">
        <f aca="false">IF(OR($M$1="",对接源_01水果!$C589="",对接源_01水果!$C589&lt;&gt;$M$1,对接源_01水果!$B589=""),0,IF(OR(N(对接源_01水果!$B589)&lt;$M$2,N(对接源_01水果!$B589)&gt;$M$3),0,1))</f>
        <v>0</v>
      </c>
      <c r="N589" s="1" t="n">
        <f aca="false">IF(OR($N$1="",对接源_01水果!$C589="",对接源_01水果!$C589&lt;&gt;$N$1,对接源_01水果!$B589=""),0,IF(OR(N(对接源_01水果!$B589)&lt;$N$2,N(对接源_01水果!$B589)&gt;$N$3),0,1))</f>
        <v>0</v>
      </c>
      <c r="P589" s="1" t="n">
        <f aca="false">IF(AND($K589=1,AND(对接源_01水果!$X589="公司筐",N(对接源_01水果!$T589)&lt;&gt;0)),1,0)</f>
        <v>0</v>
      </c>
      <c r="Q589" s="1" t="n">
        <f aca="false">N(Q588)+$P589</f>
        <v>3</v>
      </c>
      <c r="R589" s="1" t="n">
        <f aca="false">IF(AND($K589=1,AND(对接源_01水果!$X589="公司筐",N(对接源_01水果!$U589)&lt;&gt;0)),1,0)</f>
        <v>0</v>
      </c>
      <c r="S589" s="1" t="n">
        <f aca="false">N(S588)+$R589</f>
        <v>0</v>
      </c>
      <c r="T589" s="1" t="n">
        <f aca="false">IF(AND($K589=1,AND(对接源_01水果!$X589="公司筐",N(对接源_01水果!$V589)&lt;&gt;0)),1,0)</f>
        <v>0</v>
      </c>
      <c r="U589" s="1" t="n">
        <f aca="false">N(U588)+$T589</f>
        <v>28</v>
      </c>
      <c r="V589" s="1" t="n">
        <f aca="false">IF(AND($L589=1,AND(对接源_01水果!$X589="自备筐",N(对接源_01水果!$V589)&lt;&gt;0)),1,0)</f>
        <v>0</v>
      </c>
      <c r="W589" s="1" t="n">
        <f aca="false">N(W588)+$V589</f>
        <v>7</v>
      </c>
      <c r="X589" s="1" t="n">
        <f aca="false">IF(AND($L589=1,AND(对接源_01水果!$X589="自备筐",N(对接源_01水果!$T589)&lt;&gt;0)),1,0)</f>
        <v>0</v>
      </c>
      <c r="Y589" s="1" t="n">
        <f aca="false">N(Y588)+$X589</f>
        <v>0</v>
      </c>
      <c r="Z589" s="1" t="n">
        <f aca="false">IF(AND($M589=1,对接源_01水果!$D589="原料入库"),1,0)</f>
        <v>0</v>
      </c>
      <c r="AA589" s="1" t="n">
        <f aca="false">N(AA588)+$Z589</f>
        <v>30</v>
      </c>
      <c r="AB589" s="1" t="n">
        <f aca="false">IF(AND($M589=1,LEFT(对接源_01水果!$D589,4)="原料出库"),1,0)</f>
        <v>0</v>
      </c>
      <c r="AC589" s="1" t="n">
        <f aca="false">N(AC588)+$AB589</f>
        <v>19</v>
      </c>
      <c r="AD589" s="1" t="n">
        <f aca="false">IF(AND($M589=1,LEFT(对接源_01水果!$D589,4)="成品出库"),1,0)</f>
        <v>0</v>
      </c>
      <c r="AE589" s="1" t="n">
        <f aca="false">N(AE588)+$AD589</f>
        <v>38</v>
      </c>
      <c r="AF589" s="1" t="n">
        <f aca="false">IF(AND($N589=1,AND(LEFT(对接源_01水果!$D589,4)="包装物料",N(对接源_01水果!$K589)&lt;&gt;0)),1,0)</f>
        <v>0</v>
      </c>
      <c r="AG589" s="90" t="str">
        <f aca="false">IF(对接源_01水果!$AC589="","",对接源_01水果!$AC589)</f>
        <v/>
      </c>
      <c r="AH589" s="1" t="n">
        <f aca="false">IF(AND($N589=1,AND(LEFT(对接源_01水果!$D589,3)="周转筐",N(对接源_01水果!$K589)&lt;&gt;0)),1,0)</f>
        <v>0</v>
      </c>
      <c r="AI589" s="90" t="n">
        <f aca="false">IF(AG589="",0,IF(MATCH(AG589,$AG$4:$AG$1203,0)=ROW()-3,1,0))</f>
        <v>0</v>
      </c>
      <c r="AJ589" s="90" t="n">
        <f aca="false">N(AJ588)+AI589</f>
        <v>4</v>
      </c>
      <c r="AK589" s="1" t="n">
        <f aca="false">N(AK588)+$AJ589</f>
        <v>1216</v>
      </c>
    </row>
    <row r="590" customFormat="false" ht="13.5" hidden="false" customHeight="false" outlineLevel="0" collapsed="false">
      <c r="A590" s="1" t="str">
        <f aca="false">IF(对接源_01水果!$C590="","",对接源_01水果!$C590)</f>
        <v/>
      </c>
      <c r="B590" s="1" t="n">
        <f aca="false">IF(A590="",0,IF(MATCH(A590,$A$4:$A$2403,0)=ROW()-3,1,0))</f>
        <v>0</v>
      </c>
      <c r="C590" s="1" t="n">
        <f aca="false">N(C589)+B590</f>
        <v>13</v>
      </c>
      <c r="K590" s="1" t="n">
        <f aca="false">IF(OR($K$1="",对接源_01水果!$C590="",对接源_01水果!$C590&lt;&gt;$K$1,对接源_01水果!$B590=""),0,IF(OR(N(对接源_01水果!$B590)&lt;$K$2,N(对接源_01水果!$B590)&gt;$K$3),0,1))</f>
        <v>0</v>
      </c>
      <c r="L590" s="1" t="n">
        <f aca="false">IF(OR($L$1="",对接源_01水果!$C590="",对接源_01水果!$C590&lt;&gt;$L$1,对接源_01水果!$B590=""),0,IF(OR(N(对接源_01水果!$B590)&lt;$L$2,N(对接源_01水果!$B590)&gt;$L$3),0,1))</f>
        <v>0</v>
      </c>
      <c r="M590" s="1" t="n">
        <f aca="false">IF(OR($M$1="",对接源_01水果!$C590="",对接源_01水果!$C590&lt;&gt;$M$1,对接源_01水果!$B590=""),0,IF(OR(N(对接源_01水果!$B590)&lt;$M$2,N(对接源_01水果!$B590)&gt;$M$3),0,1))</f>
        <v>0</v>
      </c>
      <c r="N590" s="1" t="n">
        <f aca="false">IF(OR($N$1="",对接源_01水果!$C590="",对接源_01水果!$C590&lt;&gt;$N$1,对接源_01水果!$B590=""),0,IF(OR(N(对接源_01水果!$B590)&lt;$N$2,N(对接源_01水果!$B590)&gt;$N$3),0,1))</f>
        <v>0</v>
      </c>
      <c r="P590" s="1" t="n">
        <f aca="false">IF(AND($K590=1,AND(对接源_01水果!$X590="公司筐",N(对接源_01水果!$T590)&lt;&gt;0)),1,0)</f>
        <v>0</v>
      </c>
      <c r="Q590" s="1" t="n">
        <f aca="false">N(Q589)+$P590</f>
        <v>3</v>
      </c>
      <c r="R590" s="1" t="n">
        <f aca="false">IF(AND($K590=1,AND(对接源_01水果!$X590="公司筐",N(对接源_01水果!$U590)&lt;&gt;0)),1,0)</f>
        <v>0</v>
      </c>
      <c r="S590" s="1" t="n">
        <f aca="false">N(S589)+$R590</f>
        <v>0</v>
      </c>
      <c r="T590" s="1" t="n">
        <f aca="false">IF(AND($K590=1,AND(对接源_01水果!$X590="公司筐",N(对接源_01水果!$V590)&lt;&gt;0)),1,0)</f>
        <v>0</v>
      </c>
      <c r="U590" s="1" t="n">
        <f aca="false">N(U589)+$T590</f>
        <v>28</v>
      </c>
      <c r="V590" s="1" t="n">
        <f aca="false">IF(AND($L590=1,AND(对接源_01水果!$X590="自备筐",N(对接源_01水果!$V590)&lt;&gt;0)),1,0)</f>
        <v>0</v>
      </c>
      <c r="W590" s="1" t="n">
        <f aca="false">N(W589)+$V590</f>
        <v>7</v>
      </c>
      <c r="X590" s="1" t="n">
        <f aca="false">IF(AND($L590=1,AND(对接源_01水果!$X590="自备筐",N(对接源_01水果!$T590)&lt;&gt;0)),1,0)</f>
        <v>0</v>
      </c>
      <c r="Y590" s="1" t="n">
        <f aca="false">N(Y589)+$X590</f>
        <v>0</v>
      </c>
      <c r="Z590" s="1" t="n">
        <f aca="false">IF(AND($M590=1,对接源_01水果!$D590="原料入库"),1,0)</f>
        <v>0</v>
      </c>
      <c r="AA590" s="1" t="n">
        <f aca="false">N(AA589)+$Z590</f>
        <v>30</v>
      </c>
      <c r="AB590" s="1" t="n">
        <f aca="false">IF(AND($M590=1,LEFT(对接源_01水果!$D590,4)="原料出库"),1,0)</f>
        <v>0</v>
      </c>
      <c r="AC590" s="1" t="n">
        <f aca="false">N(AC589)+$AB590</f>
        <v>19</v>
      </c>
      <c r="AD590" s="1" t="n">
        <f aca="false">IF(AND($M590=1,LEFT(对接源_01水果!$D590,4)="成品出库"),1,0)</f>
        <v>0</v>
      </c>
      <c r="AE590" s="1" t="n">
        <f aca="false">N(AE589)+$AD590</f>
        <v>38</v>
      </c>
      <c r="AF590" s="1" t="n">
        <f aca="false">IF(AND($N590=1,AND(LEFT(对接源_01水果!$D590,4)="包装物料",N(对接源_01水果!$K590)&lt;&gt;0)),1,0)</f>
        <v>0</v>
      </c>
      <c r="AG590" s="90" t="str">
        <f aca="false">IF(对接源_01水果!$AC590="","",对接源_01水果!$AC590)</f>
        <v/>
      </c>
      <c r="AH590" s="1" t="n">
        <f aca="false">IF(AND($N590=1,AND(LEFT(对接源_01水果!$D590,3)="周转筐",N(对接源_01水果!$K590)&lt;&gt;0)),1,0)</f>
        <v>0</v>
      </c>
      <c r="AI590" s="90" t="n">
        <f aca="false">IF(AG590="",0,IF(MATCH(AG590,$AG$4:$AG$1203,0)=ROW()-3,1,0))</f>
        <v>0</v>
      </c>
      <c r="AJ590" s="90" t="n">
        <f aca="false">N(AJ589)+AI590</f>
        <v>4</v>
      </c>
      <c r="AK590" s="1" t="n">
        <f aca="false">N(AK589)+$AJ590</f>
        <v>1220</v>
      </c>
    </row>
    <row r="591" customFormat="false" ht="13.5" hidden="false" customHeight="false" outlineLevel="0" collapsed="false">
      <c r="A591" s="1" t="str">
        <f aca="false">IF(对接源_01水果!$C591="","",对接源_01水果!$C591)</f>
        <v/>
      </c>
      <c r="B591" s="1" t="n">
        <f aca="false">IF(A591="",0,IF(MATCH(A591,$A$4:$A$2403,0)=ROW()-3,1,0))</f>
        <v>0</v>
      </c>
      <c r="C591" s="1" t="n">
        <f aca="false">N(C590)+B591</f>
        <v>13</v>
      </c>
      <c r="K591" s="1" t="n">
        <f aca="false">IF(OR($K$1="",对接源_01水果!$C591="",对接源_01水果!$C591&lt;&gt;$K$1,对接源_01水果!$B591=""),0,IF(OR(N(对接源_01水果!$B591)&lt;$K$2,N(对接源_01水果!$B591)&gt;$K$3),0,1))</f>
        <v>0</v>
      </c>
      <c r="L591" s="1" t="n">
        <f aca="false">IF(OR($L$1="",对接源_01水果!$C591="",对接源_01水果!$C591&lt;&gt;$L$1,对接源_01水果!$B591=""),0,IF(OR(N(对接源_01水果!$B591)&lt;$L$2,N(对接源_01水果!$B591)&gt;$L$3),0,1))</f>
        <v>0</v>
      </c>
      <c r="M591" s="1" t="n">
        <f aca="false">IF(OR($M$1="",对接源_01水果!$C591="",对接源_01水果!$C591&lt;&gt;$M$1,对接源_01水果!$B591=""),0,IF(OR(N(对接源_01水果!$B591)&lt;$M$2,N(对接源_01水果!$B591)&gt;$M$3),0,1))</f>
        <v>0</v>
      </c>
      <c r="N591" s="1" t="n">
        <f aca="false">IF(OR($N$1="",对接源_01水果!$C591="",对接源_01水果!$C591&lt;&gt;$N$1,对接源_01水果!$B591=""),0,IF(OR(N(对接源_01水果!$B591)&lt;$N$2,N(对接源_01水果!$B591)&gt;$N$3),0,1))</f>
        <v>0</v>
      </c>
      <c r="P591" s="1" t="n">
        <f aca="false">IF(AND($K591=1,AND(对接源_01水果!$X591="公司筐",N(对接源_01水果!$T591)&lt;&gt;0)),1,0)</f>
        <v>0</v>
      </c>
      <c r="Q591" s="1" t="n">
        <f aca="false">N(Q590)+$P591</f>
        <v>3</v>
      </c>
      <c r="R591" s="1" t="n">
        <f aca="false">IF(AND($K591=1,AND(对接源_01水果!$X591="公司筐",N(对接源_01水果!$U591)&lt;&gt;0)),1,0)</f>
        <v>0</v>
      </c>
      <c r="S591" s="1" t="n">
        <f aca="false">N(S590)+$R591</f>
        <v>0</v>
      </c>
      <c r="T591" s="1" t="n">
        <f aca="false">IF(AND($K591=1,AND(对接源_01水果!$X591="公司筐",N(对接源_01水果!$V591)&lt;&gt;0)),1,0)</f>
        <v>0</v>
      </c>
      <c r="U591" s="1" t="n">
        <f aca="false">N(U590)+$T591</f>
        <v>28</v>
      </c>
      <c r="V591" s="1" t="n">
        <f aca="false">IF(AND($L591=1,AND(对接源_01水果!$X591="自备筐",N(对接源_01水果!$V591)&lt;&gt;0)),1,0)</f>
        <v>0</v>
      </c>
      <c r="W591" s="1" t="n">
        <f aca="false">N(W590)+$V591</f>
        <v>7</v>
      </c>
      <c r="X591" s="1" t="n">
        <f aca="false">IF(AND($L591=1,AND(对接源_01水果!$X591="自备筐",N(对接源_01水果!$T591)&lt;&gt;0)),1,0)</f>
        <v>0</v>
      </c>
      <c r="Y591" s="1" t="n">
        <f aca="false">N(Y590)+$X591</f>
        <v>0</v>
      </c>
      <c r="Z591" s="1" t="n">
        <f aca="false">IF(AND($M591=1,对接源_01水果!$D591="原料入库"),1,0)</f>
        <v>0</v>
      </c>
      <c r="AA591" s="1" t="n">
        <f aca="false">N(AA590)+$Z591</f>
        <v>30</v>
      </c>
      <c r="AB591" s="1" t="n">
        <f aca="false">IF(AND($M591=1,LEFT(对接源_01水果!$D591,4)="原料出库"),1,0)</f>
        <v>0</v>
      </c>
      <c r="AC591" s="1" t="n">
        <f aca="false">N(AC590)+$AB591</f>
        <v>19</v>
      </c>
      <c r="AD591" s="1" t="n">
        <f aca="false">IF(AND($M591=1,LEFT(对接源_01水果!$D591,4)="成品出库"),1,0)</f>
        <v>0</v>
      </c>
      <c r="AE591" s="1" t="n">
        <f aca="false">N(AE590)+$AD591</f>
        <v>38</v>
      </c>
      <c r="AF591" s="1" t="n">
        <f aca="false">IF(AND($N591=1,AND(LEFT(对接源_01水果!$D591,4)="包装物料",N(对接源_01水果!$K591)&lt;&gt;0)),1,0)</f>
        <v>0</v>
      </c>
      <c r="AG591" s="90" t="str">
        <f aca="false">IF(对接源_01水果!$AC591="","",对接源_01水果!$AC591)</f>
        <v/>
      </c>
      <c r="AH591" s="1" t="n">
        <f aca="false">IF(AND($N591=1,AND(LEFT(对接源_01水果!$D591,3)="周转筐",N(对接源_01水果!$K591)&lt;&gt;0)),1,0)</f>
        <v>0</v>
      </c>
      <c r="AI591" s="90" t="n">
        <f aca="false">IF(AG591="",0,IF(MATCH(AG591,$AG$4:$AG$1203,0)=ROW()-3,1,0))</f>
        <v>0</v>
      </c>
      <c r="AJ591" s="90" t="n">
        <f aca="false">N(AJ590)+AI591</f>
        <v>4</v>
      </c>
      <c r="AK591" s="1" t="n">
        <f aca="false">N(AK590)+$AJ591</f>
        <v>1224</v>
      </c>
    </row>
    <row r="592" customFormat="false" ht="13.5" hidden="false" customHeight="false" outlineLevel="0" collapsed="false">
      <c r="A592" s="1" t="str">
        <f aca="false">IF(对接源_01水果!$C592="","",对接源_01水果!$C592)</f>
        <v/>
      </c>
      <c r="B592" s="1" t="n">
        <f aca="false">IF(A592="",0,IF(MATCH(A592,$A$4:$A$2403,0)=ROW()-3,1,0))</f>
        <v>0</v>
      </c>
      <c r="C592" s="1" t="n">
        <f aca="false">N(C591)+B592</f>
        <v>13</v>
      </c>
      <c r="K592" s="1" t="n">
        <f aca="false">IF(OR($K$1="",对接源_01水果!$C592="",对接源_01水果!$C592&lt;&gt;$K$1,对接源_01水果!$B592=""),0,IF(OR(N(对接源_01水果!$B592)&lt;$K$2,N(对接源_01水果!$B592)&gt;$K$3),0,1))</f>
        <v>0</v>
      </c>
      <c r="L592" s="1" t="n">
        <f aca="false">IF(OR($L$1="",对接源_01水果!$C592="",对接源_01水果!$C592&lt;&gt;$L$1,对接源_01水果!$B592=""),0,IF(OR(N(对接源_01水果!$B592)&lt;$L$2,N(对接源_01水果!$B592)&gt;$L$3),0,1))</f>
        <v>0</v>
      </c>
      <c r="M592" s="1" t="n">
        <f aca="false">IF(OR($M$1="",对接源_01水果!$C592="",对接源_01水果!$C592&lt;&gt;$M$1,对接源_01水果!$B592=""),0,IF(OR(N(对接源_01水果!$B592)&lt;$M$2,N(对接源_01水果!$B592)&gt;$M$3),0,1))</f>
        <v>0</v>
      </c>
      <c r="N592" s="1" t="n">
        <f aca="false">IF(OR($N$1="",对接源_01水果!$C592="",对接源_01水果!$C592&lt;&gt;$N$1,对接源_01水果!$B592=""),0,IF(OR(N(对接源_01水果!$B592)&lt;$N$2,N(对接源_01水果!$B592)&gt;$N$3),0,1))</f>
        <v>0</v>
      </c>
      <c r="P592" s="1" t="n">
        <f aca="false">IF(AND($K592=1,AND(对接源_01水果!$X592="公司筐",N(对接源_01水果!$T592)&lt;&gt;0)),1,0)</f>
        <v>0</v>
      </c>
      <c r="Q592" s="1" t="n">
        <f aca="false">N(Q591)+$P592</f>
        <v>3</v>
      </c>
      <c r="R592" s="1" t="n">
        <f aca="false">IF(AND($K592=1,AND(对接源_01水果!$X592="公司筐",N(对接源_01水果!$U592)&lt;&gt;0)),1,0)</f>
        <v>0</v>
      </c>
      <c r="S592" s="1" t="n">
        <f aca="false">N(S591)+$R592</f>
        <v>0</v>
      </c>
      <c r="T592" s="1" t="n">
        <f aca="false">IF(AND($K592=1,AND(对接源_01水果!$X592="公司筐",N(对接源_01水果!$V592)&lt;&gt;0)),1,0)</f>
        <v>0</v>
      </c>
      <c r="U592" s="1" t="n">
        <f aca="false">N(U591)+$T592</f>
        <v>28</v>
      </c>
      <c r="V592" s="1" t="n">
        <f aca="false">IF(AND($L592=1,AND(对接源_01水果!$X592="自备筐",N(对接源_01水果!$V592)&lt;&gt;0)),1,0)</f>
        <v>0</v>
      </c>
      <c r="W592" s="1" t="n">
        <f aca="false">N(W591)+$V592</f>
        <v>7</v>
      </c>
      <c r="X592" s="1" t="n">
        <f aca="false">IF(AND($L592=1,AND(对接源_01水果!$X592="自备筐",N(对接源_01水果!$T592)&lt;&gt;0)),1,0)</f>
        <v>0</v>
      </c>
      <c r="Y592" s="1" t="n">
        <f aca="false">N(Y591)+$X592</f>
        <v>0</v>
      </c>
      <c r="Z592" s="1" t="n">
        <f aca="false">IF(AND($M592=1,对接源_01水果!$D592="原料入库"),1,0)</f>
        <v>0</v>
      </c>
      <c r="AA592" s="1" t="n">
        <f aca="false">N(AA591)+$Z592</f>
        <v>30</v>
      </c>
      <c r="AB592" s="1" t="n">
        <f aca="false">IF(AND($M592=1,LEFT(对接源_01水果!$D592,4)="原料出库"),1,0)</f>
        <v>0</v>
      </c>
      <c r="AC592" s="1" t="n">
        <f aca="false">N(AC591)+$AB592</f>
        <v>19</v>
      </c>
      <c r="AD592" s="1" t="n">
        <f aca="false">IF(AND($M592=1,LEFT(对接源_01水果!$D592,4)="成品出库"),1,0)</f>
        <v>0</v>
      </c>
      <c r="AE592" s="1" t="n">
        <f aca="false">N(AE591)+$AD592</f>
        <v>38</v>
      </c>
      <c r="AF592" s="1" t="n">
        <f aca="false">IF(AND($N592=1,AND(LEFT(对接源_01水果!$D592,4)="包装物料",N(对接源_01水果!$K592)&lt;&gt;0)),1,0)</f>
        <v>0</v>
      </c>
      <c r="AG592" s="90" t="str">
        <f aca="false">IF(对接源_01水果!$AC592="","",对接源_01水果!$AC592)</f>
        <v/>
      </c>
      <c r="AH592" s="1" t="n">
        <f aca="false">IF(AND($N592=1,AND(LEFT(对接源_01水果!$D592,3)="周转筐",N(对接源_01水果!$K592)&lt;&gt;0)),1,0)</f>
        <v>0</v>
      </c>
      <c r="AI592" s="90" t="n">
        <f aca="false">IF(AG592="",0,IF(MATCH(AG592,$AG$4:$AG$1203,0)=ROW()-3,1,0))</f>
        <v>0</v>
      </c>
      <c r="AJ592" s="90" t="n">
        <f aca="false">N(AJ591)+AI592</f>
        <v>4</v>
      </c>
      <c r="AK592" s="1" t="n">
        <f aca="false">N(AK591)+$AJ592</f>
        <v>1228</v>
      </c>
    </row>
    <row r="593" customFormat="false" ht="13.5" hidden="false" customHeight="false" outlineLevel="0" collapsed="false">
      <c r="A593" s="1" t="str">
        <f aca="false">IF(对接源_01水果!$C593="","",对接源_01水果!$C593)</f>
        <v/>
      </c>
      <c r="B593" s="1" t="n">
        <f aca="false">IF(A593="",0,IF(MATCH(A593,$A$4:$A$2403,0)=ROW()-3,1,0))</f>
        <v>0</v>
      </c>
      <c r="C593" s="1" t="n">
        <f aca="false">N(C592)+B593</f>
        <v>13</v>
      </c>
      <c r="K593" s="1" t="n">
        <f aca="false">IF(OR($K$1="",对接源_01水果!$C593="",对接源_01水果!$C593&lt;&gt;$K$1,对接源_01水果!$B593=""),0,IF(OR(N(对接源_01水果!$B593)&lt;$K$2,N(对接源_01水果!$B593)&gt;$K$3),0,1))</f>
        <v>0</v>
      </c>
      <c r="L593" s="1" t="n">
        <f aca="false">IF(OR($L$1="",对接源_01水果!$C593="",对接源_01水果!$C593&lt;&gt;$L$1,对接源_01水果!$B593=""),0,IF(OR(N(对接源_01水果!$B593)&lt;$L$2,N(对接源_01水果!$B593)&gt;$L$3),0,1))</f>
        <v>0</v>
      </c>
      <c r="M593" s="1" t="n">
        <f aca="false">IF(OR($M$1="",对接源_01水果!$C593="",对接源_01水果!$C593&lt;&gt;$M$1,对接源_01水果!$B593=""),0,IF(OR(N(对接源_01水果!$B593)&lt;$M$2,N(对接源_01水果!$B593)&gt;$M$3),0,1))</f>
        <v>0</v>
      </c>
      <c r="N593" s="1" t="n">
        <f aca="false">IF(OR($N$1="",对接源_01水果!$C593="",对接源_01水果!$C593&lt;&gt;$N$1,对接源_01水果!$B593=""),0,IF(OR(N(对接源_01水果!$B593)&lt;$N$2,N(对接源_01水果!$B593)&gt;$N$3),0,1))</f>
        <v>0</v>
      </c>
      <c r="P593" s="1" t="n">
        <f aca="false">IF(AND($K593=1,AND(对接源_01水果!$X593="公司筐",N(对接源_01水果!$T593)&lt;&gt;0)),1,0)</f>
        <v>0</v>
      </c>
      <c r="Q593" s="1" t="n">
        <f aca="false">N(Q592)+$P593</f>
        <v>3</v>
      </c>
      <c r="R593" s="1" t="n">
        <f aca="false">IF(AND($K593=1,AND(对接源_01水果!$X593="公司筐",N(对接源_01水果!$U593)&lt;&gt;0)),1,0)</f>
        <v>0</v>
      </c>
      <c r="S593" s="1" t="n">
        <f aca="false">N(S592)+$R593</f>
        <v>0</v>
      </c>
      <c r="T593" s="1" t="n">
        <f aca="false">IF(AND($K593=1,AND(对接源_01水果!$X593="公司筐",N(对接源_01水果!$V593)&lt;&gt;0)),1,0)</f>
        <v>0</v>
      </c>
      <c r="U593" s="1" t="n">
        <f aca="false">N(U592)+$T593</f>
        <v>28</v>
      </c>
      <c r="V593" s="1" t="n">
        <f aca="false">IF(AND($L593=1,AND(对接源_01水果!$X593="自备筐",N(对接源_01水果!$V593)&lt;&gt;0)),1,0)</f>
        <v>0</v>
      </c>
      <c r="W593" s="1" t="n">
        <f aca="false">N(W592)+$V593</f>
        <v>7</v>
      </c>
      <c r="X593" s="1" t="n">
        <f aca="false">IF(AND($L593=1,AND(对接源_01水果!$X593="自备筐",N(对接源_01水果!$T593)&lt;&gt;0)),1,0)</f>
        <v>0</v>
      </c>
      <c r="Y593" s="1" t="n">
        <f aca="false">N(Y592)+$X593</f>
        <v>0</v>
      </c>
      <c r="Z593" s="1" t="n">
        <f aca="false">IF(AND($M593=1,对接源_01水果!$D593="原料入库"),1,0)</f>
        <v>0</v>
      </c>
      <c r="AA593" s="1" t="n">
        <f aca="false">N(AA592)+$Z593</f>
        <v>30</v>
      </c>
      <c r="AB593" s="1" t="n">
        <f aca="false">IF(AND($M593=1,LEFT(对接源_01水果!$D593,4)="原料出库"),1,0)</f>
        <v>0</v>
      </c>
      <c r="AC593" s="1" t="n">
        <f aca="false">N(AC592)+$AB593</f>
        <v>19</v>
      </c>
      <c r="AD593" s="1" t="n">
        <f aca="false">IF(AND($M593=1,LEFT(对接源_01水果!$D593,4)="成品出库"),1,0)</f>
        <v>0</v>
      </c>
      <c r="AE593" s="1" t="n">
        <f aca="false">N(AE592)+$AD593</f>
        <v>38</v>
      </c>
      <c r="AF593" s="1" t="n">
        <f aca="false">IF(AND($N593=1,AND(LEFT(对接源_01水果!$D593,4)="包装物料",N(对接源_01水果!$K593)&lt;&gt;0)),1,0)</f>
        <v>0</v>
      </c>
      <c r="AG593" s="90" t="str">
        <f aca="false">IF(对接源_01水果!$AC593="","",对接源_01水果!$AC593)</f>
        <v/>
      </c>
      <c r="AH593" s="1" t="n">
        <f aca="false">IF(AND($N593=1,AND(LEFT(对接源_01水果!$D593,3)="周转筐",N(对接源_01水果!$K593)&lt;&gt;0)),1,0)</f>
        <v>0</v>
      </c>
      <c r="AI593" s="90" t="n">
        <f aca="false">IF(AG593="",0,IF(MATCH(AG593,$AG$4:$AG$1203,0)=ROW()-3,1,0))</f>
        <v>0</v>
      </c>
      <c r="AJ593" s="90" t="n">
        <f aca="false">N(AJ592)+AI593</f>
        <v>4</v>
      </c>
      <c r="AK593" s="1" t="n">
        <f aca="false">N(AK592)+$AJ593</f>
        <v>1232</v>
      </c>
    </row>
    <row r="594" customFormat="false" ht="13.5" hidden="false" customHeight="false" outlineLevel="0" collapsed="false">
      <c r="A594" s="1" t="str">
        <f aca="false">IF(对接源_01水果!$C594="","",对接源_01水果!$C594)</f>
        <v/>
      </c>
      <c r="B594" s="1" t="n">
        <f aca="false">IF(A594="",0,IF(MATCH(A594,$A$4:$A$2403,0)=ROW()-3,1,0))</f>
        <v>0</v>
      </c>
      <c r="C594" s="1" t="n">
        <f aca="false">N(C593)+B594</f>
        <v>13</v>
      </c>
      <c r="K594" s="1" t="n">
        <f aca="false">IF(OR($K$1="",对接源_01水果!$C594="",对接源_01水果!$C594&lt;&gt;$K$1,对接源_01水果!$B594=""),0,IF(OR(N(对接源_01水果!$B594)&lt;$K$2,N(对接源_01水果!$B594)&gt;$K$3),0,1))</f>
        <v>0</v>
      </c>
      <c r="L594" s="1" t="n">
        <f aca="false">IF(OR($L$1="",对接源_01水果!$C594="",对接源_01水果!$C594&lt;&gt;$L$1,对接源_01水果!$B594=""),0,IF(OR(N(对接源_01水果!$B594)&lt;$L$2,N(对接源_01水果!$B594)&gt;$L$3),0,1))</f>
        <v>0</v>
      </c>
      <c r="M594" s="1" t="n">
        <f aca="false">IF(OR($M$1="",对接源_01水果!$C594="",对接源_01水果!$C594&lt;&gt;$M$1,对接源_01水果!$B594=""),0,IF(OR(N(对接源_01水果!$B594)&lt;$M$2,N(对接源_01水果!$B594)&gt;$M$3),0,1))</f>
        <v>0</v>
      </c>
      <c r="N594" s="1" t="n">
        <f aca="false">IF(OR($N$1="",对接源_01水果!$C594="",对接源_01水果!$C594&lt;&gt;$N$1,对接源_01水果!$B594=""),0,IF(OR(N(对接源_01水果!$B594)&lt;$N$2,N(对接源_01水果!$B594)&gt;$N$3),0,1))</f>
        <v>0</v>
      </c>
      <c r="P594" s="1" t="n">
        <f aca="false">IF(AND($K594=1,AND(对接源_01水果!$X594="公司筐",N(对接源_01水果!$T594)&lt;&gt;0)),1,0)</f>
        <v>0</v>
      </c>
      <c r="Q594" s="1" t="n">
        <f aca="false">N(Q593)+$P594</f>
        <v>3</v>
      </c>
      <c r="R594" s="1" t="n">
        <f aca="false">IF(AND($K594=1,AND(对接源_01水果!$X594="公司筐",N(对接源_01水果!$U594)&lt;&gt;0)),1,0)</f>
        <v>0</v>
      </c>
      <c r="S594" s="1" t="n">
        <f aca="false">N(S593)+$R594</f>
        <v>0</v>
      </c>
      <c r="T594" s="1" t="n">
        <f aca="false">IF(AND($K594=1,AND(对接源_01水果!$X594="公司筐",N(对接源_01水果!$V594)&lt;&gt;0)),1,0)</f>
        <v>0</v>
      </c>
      <c r="U594" s="1" t="n">
        <f aca="false">N(U593)+$T594</f>
        <v>28</v>
      </c>
      <c r="V594" s="1" t="n">
        <f aca="false">IF(AND($L594=1,AND(对接源_01水果!$X594="自备筐",N(对接源_01水果!$V594)&lt;&gt;0)),1,0)</f>
        <v>0</v>
      </c>
      <c r="W594" s="1" t="n">
        <f aca="false">N(W593)+$V594</f>
        <v>7</v>
      </c>
      <c r="X594" s="1" t="n">
        <f aca="false">IF(AND($L594=1,AND(对接源_01水果!$X594="自备筐",N(对接源_01水果!$T594)&lt;&gt;0)),1,0)</f>
        <v>0</v>
      </c>
      <c r="Y594" s="1" t="n">
        <f aca="false">N(Y593)+$X594</f>
        <v>0</v>
      </c>
      <c r="Z594" s="1" t="n">
        <f aca="false">IF(AND($M594=1,对接源_01水果!$D594="原料入库"),1,0)</f>
        <v>0</v>
      </c>
      <c r="AA594" s="1" t="n">
        <f aca="false">N(AA593)+$Z594</f>
        <v>30</v>
      </c>
      <c r="AB594" s="1" t="n">
        <f aca="false">IF(AND($M594=1,LEFT(对接源_01水果!$D594,4)="原料出库"),1,0)</f>
        <v>0</v>
      </c>
      <c r="AC594" s="1" t="n">
        <f aca="false">N(AC593)+$AB594</f>
        <v>19</v>
      </c>
      <c r="AD594" s="1" t="n">
        <f aca="false">IF(AND($M594=1,LEFT(对接源_01水果!$D594,4)="成品出库"),1,0)</f>
        <v>0</v>
      </c>
      <c r="AE594" s="1" t="n">
        <f aca="false">N(AE593)+$AD594</f>
        <v>38</v>
      </c>
      <c r="AF594" s="1" t="n">
        <f aca="false">IF(AND($N594=1,AND(LEFT(对接源_01水果!$D594,4)="包装物料",N(对接源_01水果!$K594)&lt;&gt;0)),1,0)</f>
        <v>0</v>
      </c>
      <c r="AG594" s="90" t="str">
        <f aca="false">IF(对接源_01水果!$AC594="","",对接源_01水果!$AC594)</f>
        <v/>
      </c>
      <c r="AH594" s="1" t="n">
        <f aca="false">IF(AND($N594=1,AND(LEFT(对接源_01水果!$D594,3)="周转筐",N(对接源_01水果!$K594)&lt;&gt;0)),1,0)</f>
        <v>0</v>
      </c>
      <c r="AI594" s="90" t="n">
        <f aca="false">IF(AG594="",0,IF(MATCH(AG594,$AG$4:$AG$1203,0)=ROW()-3,1,0))</f>
        <v>0</v>
      </c>
      <c r="AJ594" s="90" t="n">
        <f aca="false">N(AJ593)+AI594</f>
        <v>4</v>
      </c>
      <c r="AK594" s="1" t="n">
        <f aca="false">N(AK593)+$AJ594</f>
        <v>1236</v>
      </c>
    </row>
    <row r="595" customFormat="false" ht="13.5" hidden="false" customHeight="false" outlineLevel="0" collapsed="false">
      <c r="A595" s="1" t="str">
        <f aca="false">IF(对接源_01水果!$C595="","",对接源_01水果!$C595)</f>
        <v/>
      </c>
      <c r="B595" s="1" t="n">
        <f aca="false">IF(A595="",0,IF(MATCH(A595,$A$4:$A$2403,0)=ROW()-3,1,0))</f>
        <v>0</v>
      </c>
      <c r="C595" s="1" t="n">
        <f aca="false">N(C594)+B595</f>
        <v>13</v>
      </c>
      <c r="K595" s="1" t="n">
        <f aca="false">IF(OR($K$1="",对接源_01水果!$C595="",对接源_01水果!$C595&lt;&gt;$K$1,对接源_01水果!$B595=""),0,IF(OR(N(对接源_01水果!$B595)&lt;$K$2,N(对接源_01水果!$B595)&gt;$K$3),0,1))</f>
        <v>0</v>
      </c>
      <c r="L595" s="1" t="n">
        <f aca="false">IF(OR($L$1="",对接源_01水果!$C595="",对接源_01水果!$C595&lt;&gt;$L$1,对接源_01水果!$B595=""),0,IF(OR(N(对接源_01水果!$B595)&lt;$L$2,N(对接源_01水果!$B595)&gt;$L$3),0,1))</f>
        <v>0</v>
      </c>
      <c r="M595" s="1" t="n">
        <f aca="false">IF(OR($M$1="",对接源_01水果!$C595="",对接源_01水果!$C595&lt;&gt;$M$1,对接源_01水果!$B595=""),0,IF(OR(N(对接源_01水果!$B595)&lt;$M$2,N(对接源_01水果!$B595)&gt;$M$3),0,1))</f>
        <v>0</v>
      </c>
      <c r="N595" s="1" t="n">
        <f aca="false">IF(OR($N$1="",对接源_01水果!$C595="",对接源_01水果!$C595&lt;&gt;$N$1,对接源_01水果!$B595=""),0,IF(OR(N(对接源_01水果!$B595)&lt;$N$2,N(对接源_01水果!$B595)&gt;$N$3),0,1))</f>
        <v>0</v>
      </c>
      <c r="P595" s="1" t="n">
        <f aca="false">IF(AND($K595=1,AND(对接源_01水果!$X595="公司筐",N(对接源_01水果!$T595)&lt;&gt;0)),1,0)</f>
        <v>0</v>
      </c>
      <c r="Q595" s="1" t="n">
        <f aca="false">N(Q594)+$P595</f>
        <v>3</v>
      </c>
      <c r="R595" s="1" t="n">
        <f aca="false">IF(AND($K595=1,AND(对接源_01水果!$X595="公司筐",N(对接源_01水果!$U595)&lt;&gt;0)),1,0)</f>
        <v>0</v>
      </c>
      <c r="S595" s="1" t="n">
        <f aca="false">N(S594)+$R595</f>
        <v>0</v>
      </c>
      <c r="T595" s="1" t="n">
        <f aca="false">IF(AND($K595=1,AND(对接源_01水果!$X595="公司筐",N(对接源_01水果!$V595)&lt;&gt;0)),1,0)</f>
        <v>0</v>
      </c>
      <c r="U595" s="1" t="n">
        <f aca="false">N(U594)+$T595</f>
        <v>28</v>
      </c>
      <c r="V595" s="1" t="n">
        <f aca="false">IF(AND($L595=1,AND(对接源_01水果!$X595="自备筐",N(对接源_01水果!$V595)&lt;&gt;0)),1,0)</f>
        <v>0</v>
      </c>
      <c r="W595" s="1" t="n">
        <f aca="false">N(W594)+$V595</f>
        <v>7</v>
      </c>
      <c r="X595" s="1" t="n">
        <f aca="false">IF(AND($L595=1,AND(对接源_01水果!$X595="自备筐",N(对接源_01水果!$T595)&lt;&gt;0)),1,0)</f>
        <v>0</v>
      </c>
      <c r="Y595" s="1" t="n">
        <f aca="false">N(Y594)+$X595</f>
        <v>0</v>
      </c>
      <c r="Z595" s="1" t="n">
        <f aca="false">IF(AND($M595=1,对接源_01水果!$D595="原料入库"),1,0)</f>
        <v>0</v>
      </c>
      <c r="AA595" s="1" t="n">
        <f aca="false">N(AA594)+$Z595</f>
        <v>30</v>
      </c>
      <c r="AB595" s="1" t="n">
        <f aca="false">IF(AND($M595=1,LEFT(对接源_01水果!$D595,4)="原料出库"),1,0)</f>
        <v>0</v>
      </c>
      <c r="AC595" s="1" t="n">
        <f aca="false">N(AC594)+$AB595</f>
        <v>19</v>
      </c>
      <c r="AD595" s="1" t="n">
        <f aca="false">IF(AND($M595=1,LEFT(对接源_01水果!$D595,4)="成品出库"),1,0)</f>
        <v>0</v>
      </c>
      <c r="AE595" s="1" t="n">
        <f aca="false">N(AE594)+$AD595</f>
        <v>38</v>
      </c>
      <c r="AF595" s="1" t="n">
        <f aca="false">IF(AND($N595=1,AND(LEFT(对接源_01水果!$D595,4)="包装物料",N(对接源_01水果!$K595)&lt;&gt;0)),1,0)</f>
        <v>0</v>
      </c>
      <c r="AG595" s="90" t="str">
        <f aca="false">IF(对接源_01水果!$AC595="","",对接源_01水果!$AC595)</f>
        <v/>
      </c>
      <c r="AH595" s="1" t="n">
        <f aca="false">IF(AND($N595=1,AND(LEFT(对接源_01水果!$D595,3)="周转筐",N(对接源_01水果!$K595)&lt;&gt;0)),1,0)</f>
        <v>0</v>
      </c>
      <c r="AI595" s="90" t="n">
        <f aca="false">IF(AG595="",0,IF(MATCH(AG595,$AG$4:$AG$1203,0)=ROW()-3,1,0))</f>
        <v>0</v>
      </c>
      <c r="AJ595" s="90" t="n">
        <f aca="false">N(AJ594)+AI595</f>
        <v>4</v>
      </c>
      <c r="AK595" s="1" t="n">
        <f aca="false">N(AK594)+$AJ595</f>
        <v>1240</v>
      </c>
    </row>
    <row r="596" customFormat="false" ht="13.5" hidden="false" customHeight="false" outlineLevel="0" collapsed="false">
      <c r="A596" s="1" t="str">
        <f aca="false">IF(对接源_01水果!$C596="","",对接源_01水果!$C596)</f>
        <v/>
      </c>
      <c r="B596" s="1" t="n">
        <f aca="false">IF(A596="",0,IF(MATCH(A596,$A$4:$A$2403,0)=ROW()-3,1,0))</f>
        <v>0</v>
      </c>
      <c r="C596" s="1" t="n">
        <f aca="false">N(C595)+B596</f>
        <v>13</v>
      </c>
      <c r="K596" s="1" t="n">
        <f aca="false">IF(OR($K$1="",对接源_01水果!$C596="",对接源_01水果!$C596&lt;&gt;$K$1,对接源_01水果!$B596=""),0,IF(OR(N(对接源_01水果!$B596)&lt;$K$2,N(对接源_01水果!$B596)&gt;$K$3),0,1))</f>
        <v>0</v>
      </c>
      <c r="L596" s="1" t="n">
        <f aca="false">IF(OR($L$1="",对接源_01水果!$C596="",对接源_01水果!$C596&lt;&gt;$L$1,对接源_01水果!$B596=""),0,IF(OR(N(对接源_01水果!$B596)&lt;$L$2,N(对接源_01水果!$B596)&gt;$L$3),0,1))</f>
        <v>0</v>
      </c>
      <c r="M596" s="1" t="n">
        <f aca="false">IF(OR($M$1="",对接源_01水果!$C596="",对接源_01水果!$C596&lt;&gt;$M$1,对接源_01水果!$B596=""),0,IF(OR(N(对接源_01水果!$B596)&lt;$M$2,N(对接源_01水果!$B596)&gt;$M$3),0,1))</f>
        <v>0</v>
      </c>
      <c r="N596" s="1" t="n">
        <f aca="false">IF(OR($N$1="",对接源_01水果!$C596="",对接源_01水果!$C596&lt;&gt;$N$1,对接源_01水果!$B596=""),0,IF(OR(N(对接源_01水果!$B596)&lt;$N$2,N(对接源_01水果!$B596)&gt;$N$3),0,1))</f>
        <v>0</v>
      </c>
      <c r="P596" s="1" t="n">
        <f aca="false">IF(AND($K596=1,AND(对接源_01水果!$X596="公司筐",N(对接源_01水果!$T596)&lt;&gt;0)),1,0)</f>
        <v>0</v>
      </c>
      <c r="Q596" s="1" t="n">
        <f aca="false">N(Q595)+$P596</f>
        <v>3</v>
      </c>
      <c r="R596" s="1" t="n">
        <f aca="false">IF(AND($K596=1,AND(对接源_01水果!$X596="公司筐",N(对接源_01水果!$U596)&lt;&gt;0)),1,0)</f>
        <v>0</v>
      </c>
      <c r="S596" s="1" t="n">
        <f aca="false">N(S595)+$R596</f>
        <v>0</v>
      </c>
      <c r="T596" s="1" t="n">
        <f aca="false">IF(AND($K596=1,AND(对接源_01水果!$X596="公司筐",N(对接源_01水果!$V596)&lt;&gt;0)),1,0)</f>
        <v>0</v>
      </c>
      <c r="U596" s="1" t="n">
        <f aca="false">N(U595)+$T596</f>
        <v>28</v>
      </c>
      <c r="V596" s="1" t="n">
        <f aca="false">IF(AND($L596=1,AND(对接源_01水果!$X596="自备筐",N(对接源_01水果!$V596)&lt;&gt;0)),1,0)</f>
        <v>0</v>
      </c>
      <c r="W596" s="1" t="n">
        <f aca="false">N(W595)+$V596</f>
        <v>7</v>
      </c>
      <c r="X596" s="1" t="n">
        <f aca="false">IF(AND($L596=1,AND(对接源_01水果!$X596="自备筐",N(对接源_01水果!$T596)&lt;&gt;0)),1,0)</f>
        <v>0</v>
      </c>
      <c r="Y596" s="1" t="n">
        <f aca="false">N(Y595)+$X596</f>
        <v>0</v>
      </c>
      <c r="Z596" s="1" t="n">
        <f aca="false">IF(AND($M596=1,对接源_01水果!$D596="原料入库"),1,0)</f>
        <v>0</v>
      </c>
      <c r="AA596" s="1" t="n">
        <f aca="false">N(AA595)+$Z596</f>
        <v>30</v>
      </c>
      <c r="AB596" s="1" t="n">
        <f aca="false">IF(AND($M596=1,LEFT(对接源_01水果!$D596,4)="原料出库"),1,0)</f>
        <v>0</v>
      </c>
      <c r="AC596" s="1" t="n">
        <f aca="false">N(AC595)+$AB596</f>
        <v>19</v>
      </c>
      <c r="AD596" s="1" t="n">
        <f aca="false">IF(AND($M596=1,LEFT(对接源_01水果!$D596,4)="成品出库"),1,0)</f>
        <v>0</v>
      </c>
      <c r="AE596" s="1" t="n">
        <f aca="false">N(AE595)+$AD596</f>
        <v>38</v>
      </c>
      <c r="AF596" s="1" t="n">
        <f aca="false">IF(AND($N596=1,AND(LEFT(对接源_01水果!$D596,4)="包装物料",N(对接源_01水果!$K596)&lt;&gt;0)),1,0)</f>
        <v>0</v>
      </c>
      <c r="AG596" s="90" t="str">
        <f aca="false">IF(对接源_01水果!$AC596="","",对接源_01水果!$AC596)</f>
        <v/>
      </c>
      <c r="AH596" s="1" t="n">
        <f aca="false">IF(AND($N596=1,AND(LEFT(对接源_01水果!$D596,3)="周转筐",N(对接源_01水果!$K596)&lt;&gt;0)),1,0)</f>
        <v>0</v>
      </c>
      <c r="AI596" s="90" t="n">
        <f aca="false">IF(AG596="",0,IF(MATCH(AG596,$AG$4:$AG$1203,0)=ROW()-3,1,0))</f>
        <v>0</v>
      </c>
      <c r="AJ596" s="90" t="n">
        <f aca="false">N(AJ595)+AI596</f>
        <v>4</v>
      </c>
      <c r="AK596" s="1" t="n">
        <f aca="false">N(AK595)+$AJ596</f>
        <v>1244</v>
      </c>
    </row>
    <row r="597" customFormat="false" ht="13.5" hidden="false" customHeight="false" outlineLevel="0" collapsed="false">
      <c r="A597" s="1" t="str">
        <f aca="false">IF(对接源_01水果!$C597="","",对接源_01水果!$C597)</f>
        <v/>
      </c>
      <c r="B597" s="1" t="n">
        <f aca="false">IF(A597="",0,IF(MATCH(A597,$A$4:$A$2403,0)=ROW()-3,1,0))</f>
        <v>0</v>
      </c>
      <c r="C597" s="1" t="n">
        <f aca="false">N(C596)+B597</f>
        <v>13</v>
      </c>
      <c r="K597" s="1" t="n">
        <f aca="false">IF(OR($K$1="",对接源_01水果!$C597="",对接源_01水果!$C597&lt;&gt;$K$1,对接源_01水果!$B597=""),0,IF(OR(N(对接源_01水果!$B597)&lt;$K$2,N(对接源_01水果!$B597)&gt;$K$3),0,1))</f>
        <v>0</v>
      </c>
      <c r="L597" s="1" t="n">
        <f aca="false">IF(OR($L$1="",对接源_01水果!$C597="",对接源_01水果!$C597&lt;&gt;$L$1,对接源_01水果!$B597=""),0,IF(OR(N(对接源_01水果!$B597)&lt;$L$2,N(对接源_01水果!$B597)&gt;$L$3),0,1))</f>
        <v>0</v>
      </c>
      <c r="M597" s="1" t="n">
        <f aca="false">IF(OR($M$1="",对接源_01水果!$C597="",对接源_01水果!$C597&lt;&gt;$M$1,对接源_01水果!$B597=""),0,IF(OR(N(对接源_01水果!$B597)&lt;$M$2,N(对接源_01水果!$B597)&gt;$M$3),0,1))</f>
        <v>0</v>
      </c>
      <c r="N597" s="1" t="n">
        <f aca="false">IF(OR($N$1="",对接源_01水果!$C597="",对接源_01水果!$C597&lt;&gt;$N$1,对接源_01水果!$B597=""),0,IF(OR(N(对接源_01水果!$B597)&lt;$N$2,N(对接源_01水果!$B597)&gt;$N$3),0,1))</f>
        <v>0</v>
      </c>
      <c r="P597" s="1" t="n">
        <f aca="false">IF(AND($K597=1,AND(对接源_01水果!$X597="公司筐",N(对接源_01水果!$T597)&lt;&gt;0)),1,0)</f>
        <v>0</v>
      </c>
      <c r="Q597" s="1" t="n">
        <f aca="false">N(Q596)+$P597</f>
        <v>3</v>
      </c>
      <c r="R597" s="1" t="n">
        <f aca="false">IF(AND($K597=1,AND(对接源_01水果!$X597="公司筐",N(对接源_01水果!$U597)&lt;&gt;0)),1,0)</f>
        <v>0</v>
      </c>
      <c r="S597" s="1" t="n">
        <f aca="false">N(S596)+$R597</f>
        <v>0</v>
      </c>
      <c r="T597" s="1" t="n">
        <f aca="false">IF(AND($K597=1,AND(对接源_01水果!$X597="公司筐",N(对接源_01水果!$V597)&lt;&gt;0)),1,0)</f>
        <v>0</v>
      </c>
      <c r="U597" s="1" t="n">
        <f aca="false">N(U596)+$T597</f>
        <v>28</v>
      </c>
      <c r="V597" s="1" t="n">
        <f aca="false">IF(AND($L597=1,AND(对接源_01水果!$X597="自备筐",N(对接源_01水果!$V597)&lt;&gt;0)),1,0)</f>
        <v>0</v>
      </c>
      <c r="W597" s="1" t="n">
        <f aca="false">N(W596)+$V597</f>
        <v>7</v>
      </c>
      <c r="X597" s="1" t="n">
        <f aca="false">IF(AND($L597=1,AND(对接源_01水果!$X597="自备筐",N(对接源_01水果!$T597)&lt;&gt;0)),1,0)</f>
        <v>0</v>
      </c>
      <c r="Y597" s="1" t="n">
        <f aca="false">N(Y596)+$X597</f>
        <v>0</v>
      </c>
      <c r="Z597" s="1" t="n">
        <f aca="false">IF(AND($M597=1,对接源_01水果!$D597="原料入库"),1,0)</f>
        <v>0</v>
      </c>
      <c r="AA597" s="1" t="n">
        <f aca="false">N(AA596)+$Z597</f>
        <v>30</v>
      </c>
      <c r="AB597" s="1" t="n">
        <f aca="false">IF(AND($M597=1,LEFT(对接源_01水果!$D597,4)="原料出库"),1,0)</f>
        <v>0</v>
      </c>
      <c r="AC597" s="1" t="n">
        <f aca="false">N(AC596)+$AB597</f>
        <v>19</v>
      </c>
      <c r="AD597" s="1" t="n">
        <f aca="false">IF(AND($M597=1,LEFT(对接源_01水果!$D597,4)="成品出库"),1,0)</f>
        <v>0</v>
      </c>
      <c r="AE597" s="1" t="n">
        <f aca="false">N(AE596)+$AD597</f>
        <v>38</v>
      </c>
      <c r="AF597" s="1" t="n">
        <f aca="false">IF(AND($N597=1,AND(LEFT(对接源_01水果!$D597,4)="包装物料",N(对接源_01水果!$K597)&lt;&gt;0)),1,0)</f>
        <v>0</v>
      </c>
      <c r="AG597" s="90" t="str">
        <f aca="false">IF(对接源_01水果!$AC597="","",对接源_01水果!$AC597)</f>
        <v/>
      </c>
      <c r="AH597" s="1" t="n">
        <f aca="false">IF(AND($N597=1,AND(LEFT(对接源_01水果!$D597,3)="周转筐",N(对接源_01水果!$K597)&lt;&gt;0)),1,0)</f>
        <v>0</v>
      </c>
      <c r="AI597" s="90" t="n">
        <f aca="false">IF(AG597="",0,IF(MATCH(AG597,$AG$4:$AG$1203,0)=ROW()-3,1,0))</f>
        <v>0</v>
      </c>
      <c r="AJ597" s="90" t="n">
        <f aca="false">N(AJ596)+AI597</f>
        <v>4</v>
      </c>
      <c r="AK597" s="1" t="n">
        <f aca="false">N(AK596)+$AJ597</f>
        <v>1248</v>
      </c>
    </row>
    <row r="598" customFormat="false" ht="13.5" hidden="false" customHeight="false" outlineLevel="0" collapsed="false">
      <c r="A598" s="1" t="str">
        <f aca="false">IF(对接源_01水果!$C598="","",对接源_01水果!$C598)</f>
        <v/>
      </c>
      <c r="B598" s="1" t="n">
        <f aca="false">IF(A598="",0,IF(MATCH(A598,$A$4:$A$2403,0)=ROW()-3,1,0))</f>
        <v>0</v>
      </c>
      <c r="C598" s="1" t="n">
        <f aca="false">N(C597)+B598</f>
        <v>13</v>
      </c>
      <c r="K598" s="1" t="n">
        <f aca="false">IF(OR($K$1="",对接源_01水果!$C598="",对接源_01水果!$C598&lt;&gt;$K$1,对接源_01水果!$B598=""),0,IF(OR(N(对接源_01水果!$B598)&lt;$K$2,N(对接源_01水果!$B598)&gt;$K$3),0,1))</f>
        <v>0</v>
      </c>
      <c r="L598" s="1" t="n">
        <f aca="false">IF(OR($L$1="",对接源_01水果!$C598="",对接源_01水果!$C598&lt;&gt;$L$1,对接源_01水果!$B598=""),0,IF(OR(N(对接源_01水果!$B598)&lt;$L$2,N(对接源_01水果!$B598)&gt;$L$3),0,1))</f>
        <v>0</v>
      </c>
      <c r="M598" s="1" t="n">
        <f aca="false">IF(OR($M$1="",对接源_01水果!$C598="",对接源_01水果!$C598&lt;&gt;$M$1,对接源_01水果!$B598=""),0,IF(OR(N(对接源_01水果!$B598)&lt;$M$2,N(对接源_01水果!$B598)&gt;$M$3),0,1))</f>
        <v>0</v>
      </c>
      <c r="N598" s="1" t="n">
        <f aca="false">IF(OR($N$1="",对接源_01水果!$C598="",对接源_01水果!$C598&lt;&gt;$N$1,对接源_01水果!$B598=""),0,IF(OR(N(对接源_01水果!$B598)&lt;$N$2,N(对接源_01水果!$B598)&gt;$N$3),0,1))</f>
        <v>0</v>
      </c>
      <c r="P598" s="1" t="n">
        <f aca="false">IF(AND($K598=1,AND(对接源_01水果!$X598="公司筐",N(对接源_01水果!$T598)&lt;&gt;0)),1,0)</f>
        <v>0</v>
      </c>
      <c r="Q598" s="1" t="n">
        <f aca="false">N(Q597)+$P598</f>
        <v>3</v>
      </c>
      <c r="R598" s="1" t="n">
        <f aca="false">IF(AND($K598=1,AND(对接源_01水果!$X598="公司筐",N(对接源_01水果!$U598)&lt;&gt;0)),1,0)</f>
        <v>0</v>
      </c>
      <c r="S598" s="1" t="n">
        <f aca="false">N(S597)+$R598</f>
        <v>0</v>
      </c>
      <c r="T598" s="1" t="n">
        <f aca="false">IF(AND($K598=1,AND(对接源_01水果!$X598="公司筐",N(对接源_01水果!$V598)&lt;&gt;0)),1,0)</f>
        <v>0</v>
      </c>
      <c r="U598" s="1" t="n">
        <f aca="false">N(U597)+$T598</f>
        <v>28</v>
      </c>
      <c r="V598" s="1" t="n">
        <f aca="false">IF(AND($L598=1,AND(对接源_01水果!$X598="自备筐",N(对接源_01水果!$V598)&lt;&gt;0)),1,0)</f>
        <v>0</v>
      </c>
      <c r="W598" s="1" t="n">
        <f aca="false">N(W597)+$V598</f>
        <v>7</v>
      </c>
      <c r="X598" s="1" t="n">
        <f aca="false">IF(AND($L598=1,AND(对接源_01水果!$X598="自备筐",N(对接源_01水果!$T598)&lt;&gt;0)),1,0)</f>
        <v>0</v>
      </c>
      <c r="Y598" s="1" t="n">
        <f aca="false">N(Y597)+$X598</f>
        <v>0</v>
      </c>
      <c r="Z598" s="1" t="n">
        <f aca="false">IF(AND($M598=1,对接源_01水果!$D598="原料入库"),1,0)</f>
        <v>0</v>
      </c>
      <c r="AA598" s="1" t="n">
        <f aca="false">N(AA597)+$Z598</f>
        <v>30</v>
      </c>
      <c r="AB598" s="1" t="n">
        <f aca="false">IF(AND($M598=1,LEFT(对接源_01水果!$D598,4)="原料出库"),1,0)</f>
        <v>0</v>
      </c>
      <c r="AC598" s="1" t="n">
        <f aca="false">N(AC597)+$AB598</f>
        <v>19</v>
      </c>
      <c r="AD598" s="1" t="n">
        <f aca="false">IF(AND($M598=1,LEFT(对接源_01水果!$D598,4)="成品出库"),1,0)</f>
        <v>0</v>
      </c>
      <c r="AE598" s="1" t="n">
        <f aca="false">N(AE597)+$AD598</f>
        <v>38</v>
      </c>
      <c r="AF598" s="1" t="n">
        <f aca="false">IF(AND($N598=1,AND(LEFT(对接源_01水果!$D598,4)="包装物料",N(对接源_01水果!$K598)&lt;&gt;0)),1,0)</f>
        <v>0</v>
      </c>
      <c r="AG598" s="90" t="str">
        <f aca="false">IF(对接源_01水果!$AC598="","",对接源_01水果!$AC598)</f>
        <v/>
      </c>
      <c r="AH598" s="1" t="n">
        <f aca="false">IF(AND($N598=1,AND(LEFT(对接源_01水果!$D598,3)="周转筐",N(对接源_01水果!$K598)&lt;&gt;0)),1,0)</f>
        <v>0</v>
      </c>
      <c r="AI598" s="90" t="n">
        <f aca="false">IF(AG598="",0,IF(MATCH(AG598,$AG$4:$AG$1203,0)=ROW()-3,1,0))</f>
        <v>0</v>
      </c>
      <c r="AJ598" s="90" t="n">
        <f aca="false">N(AJ597)+AI598</f>
        <v>4</v>
      </c>
      <c r="AK598" s="1" t="n">
        <f aca="false">N(AK597)+$AJ598</f>
        <v>1252</v>
      </c>
    </row>
    <row r="599" customFormat="false" ht="13.5" hidden="false" customHeight="false" outlineLevel="0" collapsed="false">
      <c r="A599" s="1" t="str">
        <f aca="false">IF(对接源_01水果!$C599="","",对接源_01水果!$C599)</f>
        <v/>
      </c>
      <c r="B599" s="1" t="n">
        <f aca="false">IF(A599="",0,IF(MATCH(A599,$A$4:$A$2403,0)=ROW()-3,1,0))</f>
        <v>0</v>
      </c>
      <c r="C599" s="1" t="n">
        <f aca="false">N(C598)+B599</f>
        <v>13</v>
      </c>
      <c r="K599" s="1" t="n">
        <f aca="false">IF(OR($K$1="",对接源_01水果!$C599="",对接源_01水果!$C599&lt;&gt;$K$1,对接源_01水果!$B599=""),0,IF(OR(N(对接源_01水果!$B599)&lt;$K$2,N(对接源_01水果!$B599)&gt;$K$3),0,1))</f>
        <v>0</v>
      </c>
      <c r="L599" s="1" t="n">
        <f aca="false">IF(OR($L$1="",对接源_01水果!$C599="",对接源_01水果!$C599&lt;&gt;$L$1,对接源_01水果!$B599=""),0,IF(OR(N(对接源_01水果!$B599)&lt;$L$2,N(对接源_01水果!$B599)&gt;$L$3),0,1))</f>
        <v>0</v>
      </c>
      <c r="M599" s="1" t="n">
        <f aca="false">IF(OR($M$1="",对接源_01水果!$C599="",对接源_01水果!$C599&lt;&gt;$M$1,对接源_01水果!$B599=""),0,IF(OR(N(对接源_01水果!$B599)&lt;$M$2,N(对接源_01水果!$B599)&gt;$M$3),0,1))</f>
        <v>0</v>
      </c>
      <c r="N599" s="1" t="n">
        <f aca="false">IF(OR($N$1="",对接源_01水果!$C599="",对接源_01水果!$C599&lt;&gt;$N$1,对接源_01水果!$B599=""),0,IF(OR(N(对接源_01水果!$B599)&lt;$N$2,N(对接源_01水果!$B599)&gt;$N$3),0,1))</f>
        <v>0</v>
      </c>
      <c r="P599" s="1" t="n">
        <f aca="false">IF(AND($K599=1,AND(对接源_01水果!$X599="公司筐",N(对接源_01水果!$T599)&lt;&gt;0)),1,0)</f>
        <v>0</v>
      </c>
      <c r="Q599" s="1" t="n">
        <f aca="false">N(Q598)+$P599</f>
        <v>3</v>
      </c>
      <c r="R599" s="1" t="n">
        <f aca="false">IF(AND($K599=1,AND(对接源_01水果!$X599="公司筐",N(对接源_01水果!$U599)&lt;&gt;0)),1,0)</f>
        <v>0</v>
      </c>
      <c r="S599" s="1" t="n">
        <f aca="false">N(S598)+$R599</f>
        <v>0</v>
      </c>
      <c r="T599" s="1" t="n">
        <f aca="false">IF(AND($K599=1,AND(对接源_01水果!$X599="公司筐",N(对接源_01水果!$V599)&lt;&gt;0)),1,0)</f>
        <v>0</v>
      </c>
      <c r="U599" s="1" t="n">
        <f aca="false">N(U598)+$T599</f>
        <v>28</v>
      </c>
      <c r="V599" s="1" t="n">
        <f aca="false">IF(AND($L599=1,AND(对接源_01水果!$X599="自备筐",N(对接源_01水果!$V599)&lt;&gt;0)),1,0)</f>
        <v>0</v>
      </c>
      <c r="W599" s="1" t="n">
        <f aca="false">N(W598)+$V599</f>
        <v>7</v>
      </c>
      <c r="X599" s="1" t="n">
        <f aca="false">IF(AND($L599=1,AND(对接源_01水果!$X599="自备筐",N(对接源_01水果!$T599)&lt;&gt;0)),1,0)</f>
        <v>0</v>
      </c>
      <c r="Y599" s="1" t="n">
        <f aca="false">N(Y598)+$X599</f>
        <v>0</v>
      </c>
      <c r="Z599" s="1" t="n">
        <f aca="false">IF(AND($M599=1,对接源_01水果!$D599="原料入库"),1,0)</f>
        <v>0</v>
      </c>
      <c r="AA599" s="1" t="n">
        <f aca="false">N(AA598)+$Z599</f>
        <v>30</v>
      </c>
      <c r="AB599" s="1" t="n">
        <f aca="false">IF(AND($M599=1,LEFT(对接源_01水果!$D599,4)="原料出库"),1,0)</f>
        <v>0</v>
      </c>
      <c r="AC599" s="1" t="n">
        <f aca="false">N(AC598)+$AB599</f>
        <v>19</v>
      </c>
      <c r="AD599" s="1" t="n">
        <f aca="false">IF(AND($M599=1,LEFT(对接源_01水果!$D599,4)="成品出库"),1,0)</f>
        <v>0</v>
      </c>
      <c r="AE599" s="1" t="n">
        <f aca="false">N(AE598)+$AD599</f>
        <v>38</v>
      </c>
      <c r="AF599" s="1" t="n">
        <f aca="false">IF(AND($N599=1,AND(LEFT(对接源_01水果!$D599,4)="包装物料",N(对接源_01水果!$K599)&lt;&gt;0)),1,0)</f>
        <v>0</v>
      </c>
      <c r="AG599" s="90" t="str">
        <f aca="false">IF(对接源_01水果!$AC599="","",对接源_01水果!$AC599)</f>
        <v/>
      </c>
      <c r="AH599" s="1" t="n">
        <f aca="false">IF(AND($N599=1,AND(LEFT(对接源_01水果!$D599,3)="周转筐",N(对接源_01水果!$K599)&lt;&gt;0)),1,0)</f>
        <v>0</v>
      </c>
      <c r="AI599" s="90" t="n">
        <f aca="false">IF(AG599="",0,IF(MATCH(AG599,$AG$4:$AG$1203,0)=ROW()-3,1,0))</f>
        <v>0</v>
      </c>
      <c r="AJ599" s="90" t="n">
        <f aca="false">N(AJ598)+AI599</f>
        <v>4</v>
      </c>
      <c r="AK599" s="1" t="n">
        <f aca="false">N(AK598)+$AJ599</f>
        <v>1256</v>
      </c>
    </row>
    <row r="600" customFormat="false" ht="13.5" hidden="false" customHeight="false" outlineLevel="0" collapsed="false">
      <c r="A600" s="1" t="str">
        <f aca="false">IF(对接源_01水果!$C600="","",对接源_01水果!$C600)</f>
        <v/>
      </c>
      <c r="B600" s="1" t="n">
        <f aca="false">IF(A600="",0,IF(MATCH(A600,$A$4:$A$2403,0)=ROW()-3,1,0))</f>
        <v>0</v>
      </c>
      <c r="C600" s="1" t="n">
        <f aca="false">N(C599)+B600</f>
        <v>13</v>
      </c>
      <c r="K600" s="1" t="n">
        <f aca="false">IF(OR($K$1="",对接源_01水果!$C600="",对接源_01水果!$C600&lt;&gt;$K$1,对接源_01水果!$B600=""),0,IF(OR(N(对接源_01水果!$B600)&lt;$K$2,N(对接源_01水果!$B600)&gt;$K$3),0,1))</f>
        <v>0</v>
      </c>
      <c r="L600" s="1" t="n">
        <f aca="false">IF(OR($L$1="",对接源_01水果!$C600="",对接源_01水果!$C600&lt;&gt;$L$1,对接源_01水果!$B600=""),0,IF(OR(N(对接源_01水果!$B600)&lt;$L$2,N(对接源_01水果!$B600)&gt;$L$3),0,1))</f>
        <v>0</v>
      </c>
      <c r="M600" s="1" t="n">
        <f aca="false">IF(OR($M$1="",对接源_01水果!$C600="",对接源_01水果!$C600&lt;&gt;$M$1,对接源_01水果!$B600=""),0,IF(OR(N(对接源_01水果!$B600)&lt;$M$2,N(对接源_01水果!$B600)&gt;$M$3),0,1))</f>
        <v>0</v>
      </c>
      <c r="N600" s="1" t="n">
        <f aca="false">IF(OR($N$1="",对接源_01水果!$C600="",对接源_01水果!$C600&lt;&gt;$N$1,对接源_01水果!$B600=""),0,IF(OR(N(对接源_01水果!$B600)&lt;$N$2,N(对接源_01水果!$B600)&gt;$N$3),0,1))</f>
        <v>0</v>
      </c>
      <c r="P600" s="1" t="n">
        <f aca="false">IF(AND($K600=1,AND(对接源_01水果!$X600="公司筐",N(对接源_01水果!$T600)&lt;&gt;0)),1,0)</f>
        <v>0</v>
      </c>
      <c r="Q600" s="1" t="n">
        <f aca="false">N(Q599)+$P600</f>
        <v>3</v>
      </c>
      <c r="R600" s="1" t="n">
        <f aca="false">IF(AND($K600=1,AND(对接源_01水果!$X600="公司筐",N(对接源_01水果!$U600)&lt;&gt;0)),1,0)</f>
        <v>0</v>
      </c>
      <c r="S600" s="1" t="n">
        <f aca="false">N(S599)+$R600</f>
        <v>0</v>
      </c>
      <c r="T600" s="1" t="n">
        <f aca="false">IF(AND($K600=1,AND(对接源_01水果!$X600="公司筐",N(对接源_01水果!$V600)&lt;&gt;0)),1,0)</f>
        <v>0</v>
      </c>
      <c r="U600" s="1" t="n">
        <f aca="false">N(U599)+$T600</f>
        <v>28</v>
      </c>
      <c r="V600" s="1" t="n">
        <f aca="false">IF(AND($L600=1,AND(对接源_01水果!$X600="自备筐",N(对接源_01水果!$V600)&lt;&gt;0)),1,0)</f>
        <v>0</v>
      </c>
      <c r="W600" s="1" t="n">
        <f aca="false">N(W599)+$V600</f>
        <v>7</v>
      </c>
      <c r="X600" s="1" t="n">
        <f aca="false">IF(AND($L600=1,AND(对接源_01水果!$X600="自备筐",N(对接源_01水果!$T600)&lt;&gt;0)),1,0)</f>
        <v>0</v>
      </c>
      <c r="Y600" s="1" t="n">
        <f aca="false">N(Y599)+$X600</f>
        <v>0</v>
      </c>
      <c r="Z600" s="1" t="n">
        <f aca="false">IF(AND($M600=1,对接源_01水果!$D600="原料入库"),1,0)</f>
        <v>0</v>
      </c>
      <c r="AA600" s="1" t="n">
        <f aca="false">N(AA599)+$Z600</f>
        <v>30</v>
      </c>
      <c r="AB600" s="1" t="n">
        <f aca="false">IF(AND($M600=1,LEFT(对接源_01水果!$D600,4)="原料出库"),1,0)</f>
        <v>0</v>
      </c>
      <c r="AC600" s="1" t="n">
        <f aca="false">N(AC599)+$AB600</f>
        <v>19</v>
      </c>
      <c r="AD600" s="1" t="n">
        <f aca="false">IF(AND($M600=1,LEFT(对接源_01水果!$D600,4)="成品出库"),1,0)</f>
        <v>0</v>
      </c>
      <c r="AE600" s="1" t="n">
        <f aca="false">N(AE599)+$AD600</f>
        <v>38</v>
      </c>
      <c r="AF600" s="1" t="n">
        <f aca="false">IF(AND($N600=1,AND(LEFT(对接源_01水果!$D600,4)="包装物料",N(对接源_01水果!$K600)&lt;&gt;0)),1,0)</f>
        <v>0</v>
      </c>
      <c r="AG600" s="90" t="str">
        <f aca="false">IF(对接源_01水果!$AC600="","",对接源_01水果!$AC600)</f>
        <v/>
      </c>
      <c r="AH600" s="1" t="n">
        <f aca="false">IF(AND($N600=1,AND(LEFT(对接源_01水果!$D600,3)="周转筐",N(对接源_01水果!$K600)&lt;&gt;0)),1,0)</f>
        <v>0</v>
      </c>
      <c r="AI600" s="90" t="n">
        <f aca="false">IF(AG600="",0,IF(MATCH(AG600,$AG$4:$AG$1203,0)=ROW()-3,1,0))</f>
        <v>0</v>
      </c>
      <c r="AJ600" s="90" t="n">
        <f aca="false">N(AJ599)+AI600</f>
        <v>4</v>
      </c>
      <c r="AK600" s="1" t="n">
        <f aca="false">N(AK599)+$AJ600</f>
        <v>1260</v>
      </c>
    </row>
    <row r="601" customFormat="false" ht="13.5" hidden="false" customHeight="false" outlineLevel="0" collapsed="false">
      <c r="A601" s="1" t="str">
        <f aca="false">IF(对接源_01水果!$C601="","",对接源_01水果!$C601)</f>
        <v/>
      </c>
      <c r="B601" s="1" t="n">
        <f aca="false">IF(A601="",0,IF(MATCH(A601,$A$4:$A$2403,0)=ROW()-3,1,0))</f>
        <v>0</v>
      </c>
      <c r="C601" s="1" t="n">
        <f aca="false">N(C600)+B601</f>
        <v>13</v>
      </c>
      <c r="K601" s="1" t="n">
        <f aca="false">IF(OR($K$1="",对接源_01水果!$C601="",对接源_01水果!$C601&lt;&gt;$K$1,对接源_01水果!$B601=""),0,IF(OR(N(对接源_01水果!$B601)&lt;$K$2,N(对接源_01水果!$B601)&gt;$K$3),0,1))</f>
        <v>0</v>
      </c>
      <c r="L601" s="1" t="n">
        <f aca="false">IF(OR($L$1="",对接源_01水果!$C601="",对接源_01水果!$C601&lt;&gt;$L$1,对接源_01水果!$B601=""),0,IF(OR(N(对接源_01水果!$B601)&lt;$L$2,N(对接源_01水果!$B601)&gt;$L$3),0,1))</f>
        <v>0</v>
      </c>
      <c r="M601" s="1" t="n">
        <f aca="false">IF(OR($M$1="",对接源_01水果!$C601="",对接源_01水果!$C601&lt;&gt;$M$1,对接源_01水果!$B601=""),0,IF(OR(N(对接源_01水果!$B601)&lt;$M$2,N(对接源_01水果!$B601)&gt;$M$3),0,1))</f>
        <v>0</v>
      </c>
      <c r="N601" s="1" t="n">
        <f aca="false">IF(OR($N$1="",对接源_01水果!$C601="",对接源_01水果!$C601&lt;&gt;$N$1,对接源_01水果!$B601=""),0,IF(OR(N(对接源_01水果!$B601)&lt;$N$2,N(对接源_01水果!$B601)&gt;$N$3),0,1))</f>
        <v>0</v>
      </c>
      <c r="P601" s="1" t="n">
        <f aca="false">IF(AND($K601=1,AND(对接源_01水果!$X601="公司筐",N(对接源_01水果!$T601)&lt;&gt;0)),1,0)</f>
        <v>0</v>
      </c>
      <c r="Q601" s="1" t="n">
        <f aca="false">N(Q600)+$P601</f>
        <v>3</v>
      </c>
      <c r="R601" s="1" t="n">
        <f aca="false">IF(AND($K601=1,AND(对接源_01水果!$X601="公司筐",N(对接源_01水果!$U601)&lt;&gt;0)),1,0)</f>
        <v>0</v>
      </c>
      <c r="S601" s="1" t="n">
        <f aca="false">N(S600)+$R601</f>
        <v>0</v>
      </c>
      <c r="T601" s="1" t="n">
        <f aca="false">IF(AND($K601=1,AND(对接源_01水果!$X601="公司筐",N(对接源_01水果!$V601)&lt;&gt;0)),1,0)</f>
        <v>0</v>
      </c>
      <c r="U601" s="1" t="n">
        <f aca="false">N(U600)+$T601</f>
        <v>28</v>
      </c>
      <c r="V601" s="1" t="n">
        <f aca="false">IF(AND($L601=1,AND(对接源_01水果!$X601="自备筐",N(对接源_01水果!$V601)&lt;&gt;0)),1,0)</f>
        <v>0</v>
      </c>
      <c r="W601" s="1" t="n">
        <f aca="false">N(W600)+$V601</f>
        <v>7</v>
      </c>
      <c r="X601" s="1" t="n">
        <f aca="false">IF(AND($L601=1,AND(对接源_01水果!$X601="自备筐",N(对接源_01水果!$T601)&lt;&gt;0)),1,0)</f>
        <v>0</v>
      </c>
      <c r="Y601" s="1" t="n">
        <f aca="false">N(Y600)+$X601</f>
        <v>0</v>
      </c>
      <c r="Z601" s="1" t="n">
        <f aca="false">IF(AND($M601=1,对接源_01水果!$D601="原料入库"),1,0)</f>
        <v>0</v>
      </c>
      <c r="AA601" s="1" t="n">
        <f aca="false">N(AA600)+$Z601</f>
        <v>30</v>
      </c>
      <c r="AB601" s="1" t="n">
        <f aca="false">IF(AND($M601=1,LEFT(对接源_01水果!$D601,4)="原料出库"),1,0)</f>
        <v>0</v>
      </c>
      <c r="AC601" s="1" t="n">
        <f aca="false">N(AC600)+$AB601</f>
        <v>19</v>
      </c>
      <c r="AD601" s="1" t="n">
        <f aca="false">IF(AND($M601=1,LEFT(对接源_01水果!$D601,4)="成品出库"),1,0)</f>
        <v>0</v>
      </c>
      <c r="AE601" s="1" t="n">
        <f aca="false">N(AE600)+$AD601</f>
        <v>38</v>
      </c>
      <c r="AF601" s="1" t="n">
        <f aca="false">IF(AND($N601=1,AND(LEFT(对接源_01水果!$D601,4)="包装物料",N(对接源_01水果!$K601)&lt;&gt;0)),1,0)</f>
        <v>0</v>
      </c>
      <c r="AG601" s="90" t="str">
        <f aca="false">IF(对接源_01水果!$AC601="","",对接源_01水果!$AC601)</f>
        <v/>
      </c>
      <c r="AH601" s="1" t="n">
        <f aca="false">IF(AND($N601=1,AND(LEFT(对接源_01水果!$D601,3)="周转筐",N(对接源_01水果!$K601)&lt;&gt;0)),1,0)</f>
        <v>0</v>
      </c>
      <c r="AI601" s="90" t="n">
        <f aca="false">IF(AG601="",0,IF(MATCH(AG601,$AG$4:$AG$1203,0)=ROW()-3,1,0))</f>
        <v>0</v>
      </c>
      <c r="AJ601" s="90" t="n">
        <f aca="false">N(AJ600)+AI601</f>
        <v>4</v>
      </c>
      <c r="AK601" s="1" t="n">
        <f aca="false">N(AK600)+$AJ601</f>
        <v>1264</v>
      </c>
    </row>
    <row r="602" customFormat="false" ht="13.5" hidden="false" customHeight="false" outlineLevel="0" collapsed="false">
      <c r="A602" s="1" t="str">
        <f aca="false">IF(对接源_01水果!$C602="","",对接源_01水果!$C602)</f>
        <v/>
      </c>
      <c r="B602" s="1" t="n">
        <f aca="false">IF(A602="",0,IF(MATCH(A602,$A$4:$A$2403,0)=ROW()-3,1,0))</f>
        <v>0</v>
      </c>
      <c r="C602" s="1" t="n">
        <f aca="false">N(C601)+B602</f>
        <v>13</v>
      </c>
      <c r="K602" s="1" t="n">
        <f aca="false">IF(OR($K$1="",对接源_01水果!$C602="",对接源_01水果!$C602&lt;&gt;$K$1,对接源_01水果!$B602=""),0,IF(OR(N(对接源_01水果!$B602)&lt;$K$2,N(对接源_01水果!$B602)&gt;$K$3),0,1))</f>
        <v>0</v>
      </c>
      <c r="L602" s="1" t="n">
        <f aca="false">IF(OR($L$1="",对接源_01水果!$C602="",对接源_01水果!$C602&lt;&gt;$L$1,对接源_01水果!$B602=""),0,IF(OR(N(对接源_01水果!$B602)&lt;$L$2,N(对接源_01水果!$B602)&gt;$L$3),0,1))</f>
        <v>0</v>
      </c>
      <c r="M602" s="1" t="n">
        <f aca="false">IF(OR($M$1="",对接源_01水果!$C602="",对接源_01水果!$C602&lt;&gt;$M$1,对接源_01水果!$B602=""),0,IF(OR(N(对接源_01水果!$B602)&lt;$M$2,N(对接源_01水果!$B602)&gt;$M$3),0,1))</f>
        <v>0</v>
      </c>
      <c r="N602" s="1" t="n">
        <f aca="false">IF(OR($N$1="",对接源_01水果!$C602="",对接源_01水果!$C602&lt;&gt;$N$1,对接源_01水果!$B602=""),0,IF(OR(N(对接源_01水果!$B602)&lt;$N$2,N(对接源_01水果!$B602)&gt;$N$3),0,1))</f>
        <v>0</v>
      </c>
      <c r="P602" s="1" t="n">
        <f aca="false">IF(AND($K602=1,AND(对接源_01水果!$X602="公司筐",N(对接源_01水果!$T602)&lt;&gt;0)),1,0)</f>
        <v>0</v>
      </c>
      <c r="Q602" s="1" t="n">
        <f aca="false">N(Q601)+$P602</f>
        <v>3</v>
      </c>
      <c r="R602" s="1" t="n">
        <f aca="false">IF(AND($K602=1,AND(对接源_01水果!$X602="公司筐",N(对接源_01水果!$U602)&lt;&gt;0)),1,0)</f>
        <v>0</v>
      </c>
      <c r="S602" s="1" t="n">
        <f aca="false">N(S601)+$R602</f>
        <v>0</v>
      </c>
      <c r="T602" s="1" t="n">
        <f aca="false">IF(AND($K602=1,AND(对接源_01水果!$X602="公司筐",N(对接源_01水果!$V602)&lt;&gt;0)),1,0)</f>
        <v>0</v>
      </c>
      <c r="U602" s="1" t="n">
        <f aca="false">N(U601)+$T602</f>
        <v>28</v>
      </c>
      <c r="V602" s="1" t="n">
        <f aca="false">IF(AND($L602=1,AND(对接源_01水果!$X602="自备筐",N(对接源_01水果!$V602)&lt;&gt;0)),1,0)</f>
        <v>0</v>
      </c>
      <c r="W602" s="1" t="n">
        <f aca="false">N(W601)+$V602</f>
        <v>7</v>
      </c>
      <c r="X602" s="1" t="n">
        <f aca="false">IF(AND($L602=1,AND(对接源_01水果!$X602="自备筐",N(对接源_01水果!$T602)&lt;&gt;0)),1,0)</f>
        <v>0</v>
      </c>
      <c r="Y602" s="1" t="n">
        <f aca="false">N(Y601)+$X602</f>
        <v>0</v>
      </c>
      <c r="Z602" s="1" t="n">
        <f aca="false">IF(AND($M602=1,对接源_01水果!$D602="原料入库"),1,0)</f>
        <v>0</v>
      </c>
      <c r="AA602" s="1" t="n">
        <f aca="false">N(AA601)+$Z602</f>
        <v>30</v>
      </c>
      <c r="AB602" s="1" t="n">
        <f aca="false">IF(AND($M602=1,LEFT(对接源_01水果!$D602,4)="原料出库"),1,0)</f>
        <v>0</v>
      </c>
      <c r="AC602" s="1" t="n">
        <f aca="false">N(AC601)+$AB602</f>
        <v>19</v>
      </c>
      <c r="AD602" s="1" t="n">
        <f aca="false">IF(AND($M602=1,LEFT(对接源_01水果!$D602,4)="成品出库"),1,0)</f>
        <v>0</v>
      </c>
      <c r="AE602" s="1" t="n">
        <f aca="false">N(AE601)+$AD602</f>
        <v>38</v>
      </c>
      <c r="AF602" s="1" t="n">
        <f aca="false">IF(AND($N602=1,AND(LEFT(对接源_01水果!$D602,4)="包装物料",N(对接源_01水果!$K602)&lt;&gt;0)),1,0)</f>
        <v>0</v>
      </c>
      <c r="AG602" s="90" t="str">
        <f aca="false">IF(对接源_01水果!$AC602="","",对接源_01水果!$AC602)</f>
        <v/>
      </c>
      <c r="AH602" s="1" t="n">
        <f aca="false">IF(AND($N602=1,AND(LEFT(对接源_01水果!$D602,3)="周转筐",N(对接源_01水果!$K602)&lt;&gt;0)),1,0)</f>
        <v>0</v>
      </c>
      <c r="AI602" s="90" t="n">
        <f aca="false">IF(AG602="",0,IF(MATCH(AG602,$AG$4:$AG$1203,0)=ROW()-3,1,0))</f>
        <v>0</v>
      </c>
      <c r="AJ602" s="90" t="n">
        <f aca="false">N(AJ601)+AI602</f>
        <v>4</v>
      </c>
      <c r="AK602" s="1" t="n">
        <f aca="false">N(AK601)+$AJ602</f>
        <v>1268</v>
      </c>
    </row>
    <row r="603" customFormat="false" ht="13.5" hidden="false" customHeight="false" outlineLevel="0" collapsed="false">
      <c r="A603" s="1" t="str">
        <f aca="false">IF(对接源_01水果!$C603="","",对接源_01水果!$C603)</f>
        <v/>
      </c>
      <c r="B603" s="1" t="n">
        <f aca="false">IF(A603="",0,IF(MATCH(A603,$A$4:$A$2403,0)=ROW()-3,1,0))</f>
        <v>0</v>
      </c>
      <c r="C603" s="1" t="n">
        <f aca="false">N(C602)+B603</f>
        <v>13</v>
      </c>
      <c r="K603" s="1" t="n">
        <f aca="false">IF(OR($K$1="",对接源_01水果!$C603="",对接源_01水果!$C603&lt;&gt;$K$1,对接源_01水果!$B603=""),0,IF(OR(N(对接源_01水果!$B603)&lt;$K$2,N(对接源_01水果!$B603)&gt;$K$3),0,1))</f>
        <v>0</v>
      </c>
      <c r="L603" s="1" t="n">
        <f aca="false">IF(OR($L$1="",对接源_01水果!$C603="",对接源_01水果!$C603&lt;&gt;$L$1,对接源_01水果!$B603=""),0,IF(OR(N(对接源_01水果!$B603)&lt;$L$2,N(对接源_01水果!$B603)&gt;$L$3),0,1))</f>
        <v>0</v>
      </c>
      <c r="M603" s="1" t="n">
        <f aca="false">IF(OR($M$1="",对接源_01水果!$C603="",对接源_01水果!$C603&lt;&gt;$M$1,对接源_01水果!$B603=""),0,IF(OR(N(对接源_01水果!$B603)&lt;$M$2,N(对接源_01水果!$B603)&gt;$M$3),0,1))</f>
        <v>0</v>
      </c>
      <c r="N603" s="1" t="n">
        <f aca="false">IF(OR($N$1="",对接源_01水果!$C603="",对接源_01水果!$C603&lt;&gt;$N$1,对接源_01水果!$B603=""),0,IF(OR(N(对接源_01水果!$B603)&lt;$N$2,N(对接源_01水果!$B603)&gt;$N$3),0,1))</f>
        <v>0</v>
      </c>
      <c r="P603" s="1" t="n">
        <f aca="false">IF(AND($K603=1,AND(对接源_01水果!$X603="公司筐",N(对接源_01水果!$T603)&lt;&gt;0)),1,0)</f>
        <v>0</v>
      </c>
      <c r="Q603" s="1" t="n">
        <f aca="false">N(Q602)+$P603</f>
        <v>3</v>
      </c>
      <c r="R603" s="1" t="n">
        <f aca="false">IF(AND($K603=1,AND(对接源_01水果!$X603="公司筐",N(对接源_01水果!$U603)&lt;&gt;0)),1,0)</f>
        <v>0</v>
      </c>
      <c r="S603" s="1" t="n">
        <f aca="false">N(S602)+$R603</f>
        <v>0</v>
      </c>
      <c r="T603" s="1" t="n">
        <f aca="false">IF(AND($K603=1,AND(对接源_01水果!$X603="公司筐",N(对接源_01水果!$V603)&lt;&gt;0)),1,0)</f>
        <v>0</v>
      </c>
      <c r="U603" s="1" t="n">
        <f aca="false">N(U602)+$T603</f>
        <v>28</v>
      </c>
      <c r="V603" s="1" t="n">
        <f aca="false">IF(AND($L603=1,AND(对接源_01水果!$X603="自备筐",N(对接源_01水果!$V603)&lt;&gt;0)),1,0)</f>
        <v>0</v>
      </c>
      <c r="W603" s="1" t="n">
        <f aca="false">N(W602)+$V603</f>
        <v>7</v>
      </c>
      <c r="X603" s="1" t="n">
        <f aca="false">IF(AND($L603=1,AND(对接源_01水果!$X603="自备筐",N(对接源_01水果!$T603)&lt;&gt;0)),1,0)</f>
        <v>0</v>
      </c>
      <c r="Y603" s="1" t="n">
        <f aca="false">N(Y602)+$X603</f>
        <v>0</v>
      </c>
      <c r="Z603" s="1" t="n">
        <f aca="false">IF(AND($M603=1,对接源_01水果!$D603="原料入库"),1,0)</f>
        <v>0</v>
      </c>
      <c r="AA603" s="1" t="n">
        <f aca="false">N(AA602)+$Z603</f>
        <v>30</v>
      </c>
      <c r="AB603" s="1" t="n">
        <f aca="false">IF(AND($M603=1,LEFT(对接源_01水果!$D603,4)="原料出库"),1,0)</f>
        <v>0</v>
      </c>
      <c r="AC603" s="1" t="n">
        <f aca="false">N(AC602)+$AB603</f>
        <v>19</v>
      </c>
      <c r="AD603" s="1" t="n">
        <f aca="false">IF(AND($M603=1,LEFT(对接源_01水果!$D603,4)="成品出库"),1,0)</f>
        <v>0</v>
      </c>
      <c r="AE603" s="1" t="n">
        <f aca="false">N(AE602)+$AD603</f>
        <v>38</v>
      </c>
      <c r="AF603" s="1" t="n">
        <f aca="false">IF(AND($N603=1,AND(LEFT(对接源_01水果!$D603,4)="包装物料",N(对接源_01水果!$K603)&lt;&gt;0)),1,0)</f>
        <v>0</v>
      </c>
      <c r="AG603" s="90" t="str">
        <f aca="false">IF(对接源_01水果!$AC603="","",对接源_01水果!$AC603)</f>
        <v/>
      </c>
      <c r="AH603" s="1" t="n">
        <f aca="false">IF(AND($N603=1,AND(LEFT(对接源_01水果!$D603,3)="周转筐",N(对接源_01水果!$K603)&lt;&gt;0)),1,0)</f>
        <v>0</v>
      </c>
      <c r="AI603" s="90" t="n">
        <f aca="false">IF(AG603="",0,IF(MATCH(AG603,$AG$4:$AG$1203,0)=ROW()-3,1,0))</f>
        <v>0</v>
      </c>
      <c r="AJ603" s="90" t="n">
        <f aca="false">N(AJ602)+AI603</f>
        <v>4</v>
      </c>
      <c r="AK603" s="1" t="n">
        <f aca="false">N(AK602)+$AJ603</f>
        <v>1272</v>
      </c>
    </row>
    <row r="604" customFormat="false" ht="13.5" hidden="false" customHeight="false" outlineLevel="0" collapsed="false">
      <c r="A604" s="1" t="str">
        <f aca="false">IF(对接源_01水果!$C604="","",对接源_01水果!$C604)</f>
        <v/>
      </c>
      <c r="B604" s="1" t="n">
        <f aca="false">IF(A604="",0,IF(MATCH(A604,$A$4:$A$2403,0)=ROW()-3,1,0))</f>
        <v>0</v>
      </c>
      <c r="C604" s="1" t="n">
        <f aca="false">N(C603)+B604</f>
        <v>13</v>
      </c>
      <c r="K604" s="1" t="n">
        <f aca="false">IF(OR($K$1="",对接源_01水果!$C604="",对接源_01水果!$C604&lt;&gt;$K$1,对接源_01水果!$B604=""),0,IF(OR(N(对接源_01水果!$B604)&lt;$K$2,N(对接源_01水果!$B604)&gt;$K$3),0,1))</f>
        <v>0</v>
      </c>
      <c r="L604" s="1" t="n">
        <f aca="false">IF(OR($L$1="",对接源_01水果!$C604="",对接源_01水果!$C604&lt;&gt;$L$1,对接源_01水果!$B604=""),0,IF(OR(N(对接源_01水果!$B604)&lt;$L$2,N(对接源_01水果!$B604)&gt;$L$3),0,1))</f>
        <v>0</v>
      </c>
      <c r="M604" s="1" t="n">
        <f aca="false">IF(OR($M$1="",对接源_01水果!$C604="",对接源_01水果!$C604&lt;&gt;$M$1,对接源_01水果!$B604=""),0,IF(OR(N(对接源_01水果!$B604)&lt;$M$2,N(对接源_01水果!$B604)&gt;$M$3),0,1))</f>
        <v>0</v>
      </c>
      <c r="N604" s="1" t="n">
        <f aca="false">IF(OR($N$1="",对接源_01水果!$C604="",对接源_01水果!$C604&lt;&gt;$N$1,对接源_01水果!$B604=""),0,IF(OR(N(对接源_01水果!$B604)&lt;$N$2,N(对接源_01水果!$B604)&gt;$N$3),0,1))</f>
        <v>0</v>
      </c>
      <c r="P604" s="1" t="n">
        <f aca="false">IF(AND($K604=1,AND(对接源_01水果!$X604="公司筐",N(对接源_01水果!$T604)&lt;&gt;0)),1,0)</f>
        <v>0</v>
      </c>
      <c r="Q604" s="1" t="n">
        <f aca="false">N(Q603)+$P604</f>
        <v>3</v>
      </c>
      <c r="R604" s="1" t="n">
        <f aca="false">IF(AND($K604=1,AND(对接源_01水果!$X604="公司筐",N(对接源_01水果!$U604)&lt;&gt;0)),1,0)</f>
        <v>0</v>
      </c>
      <c r="S604" s="1" t="n">
        <f aca="false">N(S603)+$R604</f>
        <v>0</v>
      </c>
      <c r="T604" s="1" t="n">
        <f aca="false">IF(AND($K604=1,AND(对接源_01水果!$X604="公司筐",N(对接源_01水果!$V604)&lt;&gt;0)),1,0)</f>
        <v>0</v>
      </c>
      <c r="U604" s="1" t="n">
        <f aca="false">N(U603)+$T604</f>
        <v>28</v>
      </c>
      <c r="V604" s="1" t="n">
        <f aca="false">IF(AND($L604=1,AND(对接源_01水果!$X604="自备筐",N(对接源_01水果!$V604)&lt;&gt;0)),1,0)</f>
        <v>0</v>
      </c>
      <c r="W604" s="1" t="n">
        <f aca="false">N(W603)+$V604</f>
        <v>7</v>
      </c>
      <c r="X604" s="1" t="n">
        <f aca="false">IF(AND($L604=1,AND(对接源_01水果!$X604="自备筐",N(对接源_01水果!$T604)&lt;&gt;0)),1,0)</f>
        <v>0</v>
      </c>
      <c r="Y604" s="1" t="n">
        <f aca="false">N(Y603)+$X604</f>
        <v>0</v>
      </c>
      <c r="Z604" s="1" t="n">
        <f aca="false">IF(AND($M604=1,对接源_01水果!$D604="原料入库"),1,0)</f>
        <v>0</v>
      </c>
      <c r="AA604" s="1" t="n">
        <f aca="false">N(AA603)+$Z604</f>
        <v>30</v>
      </c>
      <c r="AB604" s="1" t="n">
        <f aca="false">IF(AND($M604=1,LEFT(对接源_01水果!$D604,4)="原料出库"),1,0)</f>
        <v>0</v>
      </c>
      <c r="AC604" s="1" t="n">
        <f aca="false">N(AC603)+$AB604</f>
        <v>19</v>
      </c>
      <c r="AD604" s="1" t="n">
        <f aca="false">IF(AND($M604=1,LEFT(对接源_01水果!$D604,4)="成品出库"),1,0)</f>
        <v>0</v>
      </c>
      <c r="AE604" s="1" t="n">
        <f aca="false">N(AE603)+$AD604</f>
        <v>38</v>
      </c>
      <c r="AF604" s="1" t="n">
        <f aca="false">IF(AND($N604=1,AND(LEFT(对接源_01水果!$D604,4)="包装物料",N(对接源_01水果!$K604)&lt;&gt;0)),1,0)</f>
        <v>0</v>
      </c>
      <c r="AG604" s="90" t="str">
        <f aca="false">IF(对接源_01水果!$AC604="","",对接源_01水果!$AC604)</f>
        <v/>
      </c>
      <c r="AH604" s="1" t="n">
        <f aca="false">IF(AND($N604=1,AND(LEFT(对接源_01水果!$D604,3)="周转筐",N(对接源_01水果!$K604)&lt;&gt;0)),1,0)</f>
        <v>0</v>
      </c>
      <c r="AI604" s="90" t="n">
        <f aca="false">IF(AG604="",0,IF(MATCH(AG604,$AG$4:$AG$1203,0)=ROW()-3,1,0))</f>
        <v>0</v>
      </c>
      <c r="AJ604" s="90" t="n">
        <f aca="false">N(AJ603)+AI604</f>
        <v>4</v>
      </c>
      <c r="AK604" s="1" t="n">
        <f aca="false">N(AK603)+$AJ604</f>
        <v>1276</v>
      </c>
    </row>
    <row r="605" customFormat="false" ht="13.5" hidden="false" customHeight="false" outlineLevel="0" collapsed="false">
      <c r="A605" s="1" t="str">
        <f aca="false">IF(对接源_01水果!$C605="","",对接源_01水果!$C605)</f>
        <v/>
      </c>
      <c r="B605" s="1" t="n">
        <f aca="false">IF(A605="",0,IF(MATCH(A605,$A$4:$A$2403,0)=ROW()-3,1,0))</f>
        <v>0</v>
      </c>
      <c r="C605" s="1" t="n">
        <f aca="false">N(C604)+B605</f>
        <v>13</v>
      </c>
      <c r="K605" s="1" t="n">
        <f aca="false">IF(OR($K$1="",对接源_01水果!$C605="",对接源_01水果!$C605&lt;&gt;$K$1,对接源_01水果!$B605=""),0,IF(OR(N(对接源_01水果!$B605)&lt;$K$2,N(对接源_01水果!$B605)&gt;$K$3),0,1))</f>
        <v>0</v>
      </c>
      <c r="L605" s="1" t="n">
        <f aca="false">IF(OR($L$1="",对接源_01水果!$C605="",对接源_01水果!$C605&lt;&gt;$L$1,对接源_01水果!$B605=""),0,IF(OR(N(对接源_01水果!$B605)&lt;$L$2,N(对接源_01水果!$B605)&gt;$L$3),0,1))</f>
        <v>0</v>
      </c>
      <c r="M605" s="1" t="n">
        <f aca="false">IF(OR($M$1="",对接源_01水果!$C605="",对接源_01水果!$C605&lt;&gt;$M$1,对接源_01水果!$B605=""),0,IF(OR(N(对接源_01水果!$B605)&lt;$M$2,N(对接源_01水果!$B605)&gt;$M$3),0,1))</f>
        <v>0</v>
      </c>
      <c r="N605" s="1" t="n">
        <f aca="false">IF(OR($N$1="",对接源_01水果!$C605="",对接源_01水果!$C605&lt;&gt;$N$1,对接源_01水果!$B605=""),0,IF(OR(N(对接源_01水果!$B605)&lt;$N$2,N(对接源_01水果!$B605)&gt;$N$3),0,1))</f>
        <v>0</v>
      </c>
      <c r="P605" s="1" t="n">
        <f aca="false">IF(AND($K605=1,AND(对接源_01水果!$X605="公司筐",N(对接源_01水果!$T605)&lt;&gt;0)),1,0)</f>
        <v>0</v>
      </c>
      <c r="Q605" s="1" t="n">
        <f aca="false">N(Q604)+$P605</f>
        <v>3</v>
      </c>
      <c r="R605" s="1" t="n">
        <f aca="false">IF(AND($K605=1,AND(对接源_01水果!$X605="公司筐",N(对接源_01水果!$U605)&lt;&gt;0)),1,0)</f>
        <v>0</v>
      </c>
      <c r="S605" s="1" t="n">
        <f aca="false">N(S604)+$R605</f>
        <v>0</v>
      </c>
      <c r="T605" s="1" t="n">
        <f aca="false">IF(AND($K605=1,AND(对接源_01水果!$X605="公司筐",N(对接源_01水果!$V605)&lt;&gt;0)),1,0)</f>
        <v>0</v>
      </c>
      <c r="U605" s="1" t="n">
        <f aca="false">N(U604)+$T605</f>
        <v>28</v>
      </c>
      <c r="V605" s="1" t="n">
        <f aca="false">IF(AND($L605=1,AND(对接源_01水果!$X605="自备筐",N(对接源_01水果!$V605)&lt;&gt;0)),1,0)</f>
        <v>0</v>
      </c>
      <c r="W605" s="1" t="n">
        <f aca="false">N(W604)+$V605</f>
        <v>7</v>
      </c>
      <c r="X605" s="1" t="n">
        <f aca="false">IF(AND($L605=1,AND(对接源_01水果!$X605="自备筐",N(对接源_01水果!$T605)&lt;&gt;0)),1,0)</f>
        <v>0</v>
      </c>
      <c r="Y605" s="1" t="n">
        <f aca="false">N(Y604)+$X605</f>
        <v>0</v>
      </c>
      <c r="Z605" s="1" t="n">
        <f aca="false">IF(AND($M605=1,对接源_01水果!$D605="原料入库"),1,0)</f>
        <v>0</v>
      </c>
      <c r="AA605" s="1" t="n">
        <f aca="false">N(AA604)+$Z605</f>
        <v>30</v>
      </c>
      <c r="AB605" s="1" t="n">
        <f aca="false">IF(AND($M605=1,LEFT(对接源_01水果!$D605,4)="原料出库"),1,0)</f>
        <v>0</v>
      </c>
      <c r="AC605" s="1" t="n">
        <f aca="false">N(AC604)+$AB605</f>
        <v>19</v>
      </c>
      <c r="AD605" s="1" t="n">
        <f aca="false">IF(AND($M605=1,LEFT(对接源_01水果!$D605,4)="成品出库"),1,0)</f>
        <v>0</v>
      </c>
      <c r="AE605" s="1" t="n">
        <f aca="false">N(AE604)+$AD605</f>
        <v>38</v>
      </c>
      <c r="AF605" s="1" t="n">
        <f aca="false">IF(AND($N605=1,AND(LEFT(对接源_01水果!$D605,4)="包装物料",N(对接源_01水果!$K605)&lt;&gt;0)),1,0)</f>
        <v>0</v>
      </c>
      <c r="AG605" s="90" t="str">
        <f aca="false">IF(对接源_01水果!$AC605="","",对接源_01水果!$AC605)</f>
        <v/>
      </c>
      <c r="AH605" s="1" t="n">
        <f aca="false">IF(AND($N605=1,AND(LEFT(对接源_01水果!$D605,3)="周转筐",N(对接源_01水果!$K605)&lt;&gt;0)),1,0)</f>
        <v>0</v>
      </c>
      <c r="AI605" s="90" t="n">
        <f aca="false">IF(AG605="",0,IF(MATCH(AG605,$AG$4:$AG$1203,0)=ROW()-3,1,0))</f>
        <v>0</v>
      </c>
      <c r="AJ605" s="90" t="n">
        <f aca="false">N(AJ604)+AI605</f>
        <v>4</v>
      </c>
      <c r="AK605" s="1" t="n">
        <f aca="false">N(AK604)+$AJ605</f>
        <v>1280</v>
      </c>
    </row>
    <row r="606" customFormat="false" ht="13.5" hidden="false" customHeight="false" outlineLevel="0" collapsed="false">
      <c r="A606" s="1" t="str">
        <f aca="false">IF(对接源_01水果!$C606="","",对接源_01水果!$C606)</f>
        <v/>
      </c>
      <c r="B606" s="1" t="n">
        <f aca="false">IF(A606="",0,IF(MATCH(A606,$A$4:$A$2403,0)=ROW()-3,1,0))</f>
        <v>0</v>
      </c>
      <c r="C606" s="1" t="n">
        <f aca="false">N(C605)+B606</f>
        <v>13</v>
      </c>
      <c r="K606" s="1" t="n">
        <f aca="false">IF(OR($K$1="",对接源_01水果!$C606="",对接源_01水果!$C606&lt;&gt;$K$1,对接源_01水果!$B606=""),0,IF(OR(N(对接源_01水果!$B606)&lt;$K$2,N(对接源_01水果!$B606)&gt;$K$3),0,1))</f>
        <v>0</v>
      </c>
      <c r="L606" s="1" t="n">
        <f aca="false">IF(OR($L$1="",对接源_01水果!$C606="",对接源_01水果!$C606&lt;&gt;$L$1,对接源_01水果!$B606=""),0,IF(OR(N(对接源_01水果!$B606)&lt;$L$2,N(对接源_01水果!$B606)&gt;$L$3),0,1))</f>
        <v>0</v>
      </c>
      <c r="M606" s="1" t="n">
        <f aca="false">IF(OR($M$1="",对接源_01水果!$C606="",对接源_01水果!$C606&lt;&gt;$M$1,对接源_01水果!$B606=""),0,IF(OR(N(对接源_01水果!$B606)&lt;$M$2,N(对接源_01水果!$B606)&gt;$M$3),0,1))</f>
        <v>0</v>
      </c>
      <c r="N606" s="1" t="n">
        <f aca="false">IF(OR($N$1="",对接源_01水果!$C606="",对接源_01水果!$C606&lt;&gt;$N$1,对接源_01水果!$B606=""),0,IF(OR(N(对接源_01水果!$B606)&lt;$N$2,N(对接源_01水果!$B606)&gt;$N$3),0,1))</f>
        <v>0</v>
      </c>
      <c r="P606" s="1" t="n">
        <f aca="false">IF(AND($K606=1,AND(对接源_01水果!$X606="公司筐",N(对接源_01水果!$T606)&lt;&gt;0)),1,0)</f>
        <v>0</v>
      </c>
      <c r="Q606" s="1" t="n">
        <f aca="false">N(Q605)+$P606</f>
        <v>3</v>
      </c>
      <c r="R606" s="1" t="n">
        <f aca="false">IF(AND($K606=1,AND(对接源_01水果!$X606="公司筐",N(对接源_01水果!$U606)&lt;&gt;0)),1,0)</f>
        <v>0</v>
      </c>
      <c r="S606" s="1" t="n">
        <f aca="false">N(S605)+$R606</f>
        <v>0</v>
      </c>
      <c r="T606" s="1" t="n">
        <f aca="false">IF(AND($K606=1,AND(对接源_01水果!$X606="公司筐",N(对接源_01水果!$V606)&lt;&gt;0)),1,0)</f>
        <v>0</v>
      </c>
      <c r="U606" s="1" t="n">
        <f aca="false">N(U605)+$T606</f>
        <v>28</v>
      </c>
      <c r="V606" s="1" t="n">
        <f aca="false">IF(AND($L606=1,AND(对接源_01水果!$X606="自备筐",N(对接源_01水果!$V606)&lt;&gt;0)),1,0)</f>
        <v>0</v>
      </c>
      <c r="W606" s="1" t="n">
        <f aca="false">N(W605)+$V606</f>
        <v>7</v>
      </c>
      <c r="X606" s="1" t="n">
        <f aca="false">IF(AND($L606=1,AND(对接源_01水果!$X606="自备筐",N(对接源_01水果!$T606)&lt;&gt;0)),1,0)</f>
        <v>0</v>
      </c>
      <c r="Y606" s="1" t="n">
        <f aca="false">N(Y605)+$X606</f>
        <v>0</v>
      </c>
      <c r="Z606" s="1" t="n">
        <f aca="false">IF(AND($M606=1,对接源_01水果!$D606="原料入库"),1,0)</f>
        <v>0</v>
      </c>
      <c r="AA606" s="1" t="n">
        <f aca="false">N(AA605)+$Z606</f>
        <v>30</v>
      </c>
      <c r="AB606" s="1" t="n">
        <f aca="false">IF(AND($M606=1,LEFT(对接源_01水果!$D606,4)="原料出库"),1,0)</f>
        <v>0</v>
      </c>
      <c r="AC606" s="1" t="n">
        <f aca="false">N(AC605)+$AB606</f>
        <v>19</v>
      </c>
      <c r="AD606" s="1" t="n">
        <f aca="false">IF(AND($M606=1,LEFT(对接源_01水果!$D606,4)="成品出库"),1,0)</f>
        <v>0</v>
      </c>
      <c r="AE606" s="1" t="n">
        <f aca="false">N(AE605)+$AD606</f>
        <v>38</v>
      </c>
      <c r="AF606" s="1" t="n">
        <f aca="false">IF(AND($N606=1,AND(LEFT(对接源_01水果!$D606,4)="包装物料",N(对接源_01水果!$K606)&lt;&gt;0)),1,0)</f>
        <v>0</v>
      </c>
      <c r="AG606" s="90" t="str">
        <f aca="false">IF(对接源_01水果!$AC606="","",对接源_01水果!$AC606)</f>
        <v/>
      </c>
      <c r="AH606" s="1" t="n">
        <f aca="false">IF(AND($N606=1,AND(LEFT(对接源_01水果!$D606,3)="周转筐",N(对接源_01水果!$K606)&lt;&gt;0)),1,0)</f>
        <v>0</v>
      </c>
      <c r="AI606" s="90" t="n">
        <f aca="false">IF(AG606="",0,IF(MATCH(AG606,$AG$4:$AG$1203,0)=ROW()-3,1,0))</f>
        <v>0</v>
      </c>
      <c r="AJ606" s="90" t="n">
        <f aca="false">N(AJ605)+AI606</f>
        <v>4</v>
      </c>
      <c r="AK606" s="1" t="n">
        <f aca="false">N(AK605)+$AJ606</f>
        <v>1284</v>
      </c>
    </row>
    <row r="607" customFormat="false" ht="13.5" hidden="false" customHeight="false" outlineLevel="0" collapsed="false">
      <c r="A607" s="1" t="str">
        <f aca="false">IF(对接源_01水果!$C607="","",对接源_01水果!$C607)</f>
        <v/>
      </c>
      <c r="B607" s="1" t="n">
        <f aca="false">IF(A607="",0,IF(MATCH(A607,$A$4:$A$2403,0)=ROW()-3,1,0))</f>
        <v>0</v>
      </c>
      <c r="C607" s="1" t="n">
        <f aca="false">N(C606)+B607</f>
        <v>13</v>
      </c>
      <c r="K607" s="1" t="n">
        <f aca="false">IF(OR($K$1="",对接源_01水果!$C607="",对接源_01水果!$C607&lt;&gt;$K$1,对接源_01水果!$B607=""),0,IF(OR(N(对接源_01水果!$B607)&lt;$K$2,N(对接源_01水果!$B607)&gt;$K$3),0,1))</f>
        <v>0</v>
      </c>
      <c r="L607" s="1" t="n">
        <f aca="false">IF(OR($L$1="",对接源_01水果!$C607="",对接源_01水果!$C607&lt;&gt;$L$1,对接源_01水果!$B607=""),0,IF(OR(N(对接源_01水果!$B607)&lt;$L$2,N(对接源_01水果!$B607)&gt;$L$3),0,1))</f>
        <v>0</v>
      </c>
      <c r="M607" s="1" t="n">
        <f aca="false">IF(OR($M$1="",对接源_01水果!$C607="",对接源_01水果!$C607&lt;&gt;$M$1,对接源_01水果!$B607=""),0,IF(OR(N(对接源_01水果!$B607)&lt;$M$2,N(对接源_01水果!$B607)&gt;$M$3),0,1))</f>
        <v>0</v>
      </c>
      <c r="N607" s="1" t="n">
        <f aca="false">IF(OR($N$1="",对接源_01水果!$C607="",对接源_01水果!$C607&lt;&gt;$N$1,对接源_01水果!$B607=""),0,IF(OR(N(对接源_01水果!$B607)&lt;$N$2,N(对接源_01水果!$B607)&gt;$N$3),0,1))</f>
        <v>0</v>
      </c>
      <c r="P607" s="1" t="n">
        <f aca="false">IF(AND($K607=1,AND(对接源_01水果!$X607="公司筐",N(对接源_01水果!$T607)&lt;&gt;0)),1,0)</f>
        <v>0</v>
      </c>
      <c r="Q607" s="1" t="n">
        <f aca="false">N(Q606)+$P607</f>
        <v>3</v>
      </c>
      <c r="R607" s="1" t="n">
        <f aca="false">IF(AND($K607=1,AND(对接源_01水果!$X607="公司筐",N(对接源_01水果!$U607)&lt;&gt;0)),1,0)</f>
        <v>0</v>
      </c>
      <c r="S607" s="1" t="n">
        <f aca="false">N(S606)+$R607</f>
        <v>0</v>
      </c>
      <c r="T607" s="1" t="n">
        <f aca="false">IF(AND($K607=1,AND(对接源_01水果!$X607="公司筐",N(对接源_01水果!$V607)&lt;&gt;0)),1,0)</f>
        <v>0</v>
      </c>
      <c r="U607" s="1" t="n">
        <f aca="false">N(U606)+$T607</f>
        <v>28</v>
      </c>
      <c r="V607" s="1" t="n">
        <f aca="false">IF(AND($L607=1,AND(对接源_01水果!$X607="自备筐",N(对接源_01水果!$V607)&lt;&gt;0)),1,0)</f>
        <v>0</v>
      </c>
      <c r="W607" s="1" t="n">
        <f aca="false">N(W606)+$V607</f>
        <v>7</v>
      </c>
      <c r="X607" s="1" t="n">
        <f aca="false">IF(AND($L607=1,AND(对接源_01水果!$X607="自备筐",N(对接源_01水果!$T607)&lt;&gt;0)),1,0)</f>
        <v>0</v>
      </c>
      <c r="Y607" s="1" t="n">
        <f aca="false">N(Y606)+$X607</f>
        <v>0</v>
      </c>
      <c r="Z607" s="1" t="n">
        <f aca="false">IF(AND($M607=1,对接源_01水果!$D607="原料入库"),1,0)</f>
        <v>0</v>
      </c>
      <c r="AA607" s="1" t="n">
        <f aca="false">N(AA606)+$Z607</f>
        <v>30</v>
      </c>
      <c r="AB607" s="1" t="n">
        <f aca="false">IF(AND($M607=1,LEFT(对接源_01水果!$D607,4)="原料出库"),1,0)</f>
        <v>0</v>
      </c>
      <c r="AC607" s="1" t="n">
        <f aca="false">N(AC606)+$AB607</f>
        <v>19</v>
      </c>
      <c r="AD607" s="1" t="n">
        <f aca="false">IF(AND($M607=1,LEFT(对接源_01水果!$D607,4)="成品出库"),1,0)</f>
        <v>0</v>
      </c>
      <c r="AE607" s="1" t="n">
        <f aca="false">N(AE606)+$AD607</f>
        <v>38</v>
      </c>
      <c r="AF607" s="1" t="n">
        <f aca="false">IF(AND($N607=1,AND(LEFT(对接源_01水果!$D607,4)="包装物料",N(对接源_01水果!$K607)&lt;&gt;0)),1,0)</f>
        <v>0</v>
      </c>
      <c r="AG607" s="90" t="str">
        <f aca="false">IF(对接源_01水果!$AC607="","",对接源_01水果!$AC607)</f>
        <v/>
      </c>
      <c r="AH607" s="1" t="n">
        <f aca="false">IF(AND($N607=1,AND(LEFT(对接源_01水果!$D607,3)="周转筐",N(对接源_01水果!$K607)&lt;&gt;0)),1,0)</f>
        <v>0</v>
      </c>
      <c r="AI607" s="90" t="n">
        <f aca="false">IF(AG607="",0,IF(MATCH(AG607,$AG$4:$AG$1203,0)=ROW()-3,1,0))</f>
        <v>0</v>
      </c>
      <c r="AJ607" s="90" t="n">
        <f aca="false">N(AJ606)+AI607</f>
        <v>4</v>
      </c>
      <c r="AK607" s="1" t="n">
        <f aca="false">N(AK606)+$AJ607</f>
        <v>1288</v>
      </c>
    </row>
    <row r="608" customFormat="false" ht="13.5" hidden="false" customHeight="false" outlineLevel="0" collapsed="false">
      <c r="A608" s="1" t="str">
        <f aca="false">IF(对接源_01水果!$C608="","",对接源_01水果!$C608)</f>
        <v/>
      </c>
      <c r="B608" s="1" t="n">
        <f aca="false">IF(A608="",0,IF(MATCH(A608,$A$4:$A$2403,0)=ROW()-3,1,0))</f>
        <v>0</v>
      </c>
      <c r="C608" s="1" t="n">
        <f aca="false">N(C607)+B608</f>
        <v>13</v>
      </c>
      <c r="K608" s="1" t="n">
        <f aca="false">IF(OR($K$1="",对接源_01水果!$C608="",对接源_01水果!$C608&lt;&gt;$K$1,对接源_01水果!$B608=""),0,IF(OR(N(对接源_01水果!$B608)&lt;$K$2,N(对接源_01水果!$B608)&gt;$K$3),0,1))</f>
        <v>0</v>
      </c>
      <c r="L608" s="1" t="n">
        <f aca="false">IF(OR($L$1="",对接源_01水果!$C608="",对接源_01水果!$C608&lt;&gt;$L$1,对接源_01水果!$B608=""),0,IF(OR(N(对接源_01水果!$B608)&lt;$L$2,N(对接源_01水果!$B608)&gt;$L$3),0,1))</f>
        <v>0</v>
      </c>
      <c r="M608" s="1" t="n">
        <f aca="false">IF(OR($M$1="",对接源_01水果!$C608="",对接源_01水果!$C608&lt;&gt;$M$1,对接源_01水果!$B608=""),0,IF(OR(N(对接源_01水果!$B608)&lt;$M$2,N(对接源_01水果!$B608)&gt;$M$3),0,1))</f>
        <v>0</v>
      </c>
      <c r="N608" s="1" t="n">
        <f aca="false">IF(OR($N$1="",对接源_01水果!$C608="",对接源_01水果!$C608&lt;&gt;$N$1,对接源_01水果!$B608=""),0,IF(OR(N(对接源_01水果!$B608)&lt;$N$2,N(对接源_01水果!$B608)&gt;$N$3),0,1))</f>
        <v>0</v>
      </c>
      <c r="P608" s="1" t="n">
        <f aca="false">IF(AND($K608=1,AND(对接源_01水果!$X608="公司筐",N(对接源_01水果!$T608)&lt;&gt;0)),1,0)</f>
        <v>0</v>
      </c>
      <c r="Q608" s="1" t="n">
        <f aca="false">N(Q607)+$P608</f>
        <v>3</v>
      </c>
      <c r="R608" s="1" t="n">
        <f aca="false">IF(AND($K608=1,AND(对接源_01水果!$X608="公司筐",N(对接源_01水果!$U608)&lt;&gt;0)),1,0)</f>
        <v>0</v>
      </c>
      <c r="S608" s="1" t="n">
        <f aca="false">N(S607)+$R608</f>
        <v>0</v>
      </c>
      <c r="T608" s="1" t="n">
        <f aca="false">IF(AND($K608=1,AND(对接源_01水果!$X608="公司筐",N(对接源_01水果!$V608)&lt;&gt;0)),1,0)</f>
        <v>0</v>
      </c>
      <c r="U608" s="1" t="n">
        <f aca="false">N(U607)+$T608</f>
        <v>28</v>
      </c>
      <c r="V608" s="1" t="n">
        <f aca="false">IF(AND($L608=1,AND(对接源_01水果!$X608="自备筐",N(对接源_01水果!$V608)&lt;&gt;0)),1,0)</f>
        <v>0</v>
      </c>
      <c r="W608" s="1" t="n">
        <f aca="false">N(W607)+$V608</f>
        <v>7</v>
      </c>
      <c r="X608" s="1" t="n">
        <f aca="false">IF(AND($L608=1,AND(对接源_01水果!$X608="自备筐",N(对接源_01水果!$T608)&lt;&gt;0)),1,0)</f>
        <v>0</v>
      </c>
      <c r="Y608" s="1" t="n">
        <f aca="false">N(Y607)+$X608</f>
        <v>0</v>
      </c>
      <c r="Z608" s="1" t="n">
        <f aca="false">IF(AND($M608=1,对接源_01水果!$D608="原料入库"),1,0)</f>
        <v>0</v>
      </c>
      <c r="AA608" s="1" t="n">
        <f aca="false">N(AA607)+$Z608</f>
        <v>30</v>
      </c>
      <c r="AB608" s="1" t="n">
        <f aca="false">IF(AND($M608=1,LEFT(对接源_01水果!$D608,4)="原料出库"),1,0)</f>
        <v>0</v>
      </c>
      <c r="AC608" s="1" t="n">
        <f aca="false">N(AC607)+$AB608</f>
        <v>19</v>
      </c>
      <c r="AD608" s="1" t="n">
        <f aca="false">IF(AND($M608=1,LEFT(对接源_01水果!$D608,4)="成品出库"),1,0)</f>
        <v>0</v>
      </c>
      <c r="AE608" s="1" t="n">
        <f aca="false">N(AE607)+$AD608</f>
        <v>38</v>
      </c>
      <c r="AF608" s="1" t="n">
        <f aca="false">IF(AND($N608=1,AND(LEFT(对接源_01水果!$D608,4)="包装物料",N(对接源_01水果!$K608)&lt;&gt;0)),1,0)</f>
        <v>0</v>
      </c>
      <c r="AG608" s="90" t="str">
        <f aca="false">IF(对接源_01水果!$AC608="","",对接源_01水果!$AC608)</f>
        <v/>
      </c>
      <c r="AH608" s="1" t="n">
        <f aca="false">IF(AND($N608=1,AND(LEFT(对接源_01水果!$D608,3)="周转筐",N(对接源_01水果!$K608)&lt;&gt;0)),1,0)</f>
        <v>0</v>
      </c>
      <c r="AI608" s="90" t="n">
        <f aca="false">IF(AG608="",0,IF(MATCH(AG608,$AG$4:$AG$1203,0)=ROW()-3,1,0))</f>
        <v>0</v>
      </c>
      <c r="AJ608" s="90" t="n">
        <f aca="false">N(AJ607)+AI608</f>
        <v>4</v>
      </c>
      <c r="AK608" s="1" t="n">
        <f aca="false">N(AK607)+$AJ608</f>
        <v>1292</v>
      </c>
    </row>
    <row r="609" customFormat="false" ht="13.5" hidden="false" customHeight="false" outlineLevel="0" collapsed="false">
      <c r="A609" s="1" t="str">
        <f aca="false">IF(对接源_01水果!$C609="","",对接源_01水果!$C609)</f>
        <v/>
      </c>
      <c r="B609" s="1" t="n">
        <f aca="false">IF(A609="",0,IF(MATCH(A609,$A$4:$A$2403,0)=ROW()-3,1,0))</f>
        <v>0</v>
      </c>
      <c r="C609" s="1" t="n">
        <f aca="false">N(C608)+B609</f>
        <v>13</v>
      </c>
      <c r="K609" s="1" t="n">
        <f aca="false">IF(OR($K$1="",对接源_01水果!$C609="",对接源_01水果!$C609&lt;&gt;$K$1,对接源_01水果!$B609=""),0,IF(OR(N(对接源_01水果!$B609)&lt;$K$2,N(对接源_01水果!$B609)&gt;$K$3),0,1))</f>
        <v>0</v>
      </c>
      <c r="L609" s="1" t="n">
        <f aca="false">IF(OR($L$1="",对接源_01水果!$C609="",对接源_01水果!$C609&lt;&gt;$L$1,对接源_01水果!$B609=""),0,IF(OR(N(对接源_01水果!$B609)&lt;$L$2,N(对接源_01水果!$B609)&gt;$L$3),0,1))</f>
        <v>0</v>
      </c>
      <c r="M609" s="1" t="n">
        <f aca="false">IF(OR($M$1="",对接源_01水果!$C609="",对接源_01水果!$C609&lt;&gt;$M$1,对接源_01水果!$B609=""),0,IF(OR(N(对接源_01水果!$B609)&lt;$M$2,N(对接源_01水果!$B609)&gt;$M$3),0,1))</f>
        <v>0</v>
      </c>
      <c r="N609" s="1" t="n">
        <f aca="false">IF(OR($N$1="",对接源_01水果!$C609="",对接源_01水果!$C609&lt;&gt;$N$1,对接源_01水果!$B609=""),0,IF(OR(N(对接源_01水果!$B609)&lt;$N$2,N(对接源_01水果!$B609)&gt;$N$3),0,1))</f>
        <v>0</v>
      </c>
      <c r="P609" s="1" t="n">
        <f aca="false">IF(AND($K609=1,AND(对接源_01水果!$X609="公司筐",N(对接源_01水果!$T609)&lt;&gt;0)),1,0)</f>
        <v>0</v>
      </c>
      <c r="Q609" s="1" t="n">
        <f aca="false">N(Q608)+$P609</f>
        <v>3</v>
      </c>
      <c r="R609" s="1" t="n">
        <f aca="false">IF(AND($K609=1,AND(对接源_01水果!$X609="公司筐",N(对接源_01水果!$U609)&lt;&gt;0)),1,0)</f>
        <v>0</v>
      </c>
      <c r="S609" s="1" t="n">
        <f aca="false">N(S608)+$R609</f>
        <v>0</v>
      </c>
      <c r="T609" s="1" t="n">
        <f aca="false">IF(AND($K609=1,AND(对接源_01水果!$X609="公司筐",N(对接源_01水果!$V609)&lt;&gt;0)),1,0)</f>
        <v>0</v>
      </c>
      <c r="U609" s="1" t="n">
        <f aca="false">N(U608)+$T609</f>
        <v>28</v>
      </c>
      <c r="V609" s="1" t="n">
        <f aca="false">IF(AND($L609=1,AND(对接源_01水果!$X609="自备筐",N(对接源_01水果!$V609)&lt;&gt;0)),1,0)</f>
        <v>0</v>
      </c>
      <c r="W609" s="1" t="n">
        <f aca="false">N(W608)+$V609</f>
        <v>7</v>
      </c>
      <c r="X609" s="1" t="n">
        <f aca="false">IF(AND($L609=1,AND(对接源_01水果!$X609="自备筐",N(对接源_01水果!$T609)&lt;&gt;0)),1,0)</f>
        <v>0</v>
      </c>
      <c r="Y609" s="1" t="n">
        <f aca="false">N(Y608)+$X609</f>
        <v>0</v>
      </c>
      <c r="Z609" s="1" t="n">
        <f aca="false">IF(AND($M609=1,对接源_01水果!$D609="原料入库"),1,0)</f>
        <v>0</v>
      </c>
      <c r="AA609" s="1" t="n">
        <f aca="false">N(AA608)+$Z609</f>
        <v>30</v>
      </c>
      <c r="AB609" s="1" t="n">
        <f aca="false">IF(AND($M609=1,LEFT(对接源_01水果!$D609,4)="原料出库"),1,0)</f>
        <v>0</v>
      </c>
      <c r="AC609" s="1" t="n">
        <f aca="false">N(AC608)+$AB609</f>
        <v>19</v>
      </c>
      <c r="AD609" s="1" t="n">
        <f aca="false">IF(AND($M609=1,LEFT(对接源_01水果!$D609,4)="成品出库"),1,0)</f>
        <v>0</v>
      </c>
      <c r="AE609" s="1" t="n">
        <f aca="false">N(AE608)+$AD609</f>
        <v>38</v>
      </c>
      <c r="AF609" s="1" t="n">
        <f aca="false">IF(AND($N609=1,AND(LEFT(对接源_01水果!$D609,4)="包装物料",N(对接源_01水果!$K609)&lt;&gt;0)),1,0)</f>
        <v>0</v>
      </c>
      <c r="AG609" s="90" t="str">
        <f aca="false">IF(对接源_01水果!$AC609="","",对接源_01水果!$AC609)</f>
        <v/>
      </c>
      <c r="AH609" s="1" t="n">
        <f aca="false">IF(AND($N609=1,AND(LEFT(对接源_01水果!$D609,3)="周转筐",N(对接源_01水果!$K609)&lt;&gt;0)),1,0)</f>
        <v>0</v>
      </c>
      <c r="AI609" s="90" t="n">
        <f aca="false">IF(AG609="",0,IF(MATCH(AG609,$AG$4:$AG$1203,0)=ROW()-3,1,0))</f>
        <v>0</v>
      </c>
      <c r="AJ609" s="90" t="n">
        <f aca="false">N(AJ608)+AI609</f>
        <v>4</v>
      </c>
      <c r="AK609" s="1" t="n">
        <f aca="false">N(AK608)+$AJ609</f>
        <v>1296</v>
      </c>
    </row>
    <row r="610" customFormat="false" ht="13.5" hidden="false" customHeight="false" outlineLevel="0" collapsed="false">
      <c r="A610" s="1" t="str">
        <f aca="false">IF(对接源_01水果!$C610="","",对接源_01水果!$C610)</f>
        <v/>
      </c>
      <c r="B610" s="1" t="n">
        <f aca="false">IF(A610="",0,IF(MATCH(A610,$A$4:$A$2403,0)=ROW()-3,1,0))</f>
        <v>0</v>
      </c>
      <c r="C610" s="1" t="n">
        <f aca="false">N(C609)+B610</f>
        <v>13</v>
      </c>
      <c r="K610" s="1" t="n">
        <f aca="false">IF(OR($K$1="",对接源_01水果!$C610="",对接源_01水果!$C610&lt;&gt;$K$1,对接源_01水果!$B610=""),0,IF(OR(N(对接源_01水果!$B610)&lt;$K$2,N(对接源_01水果!$B610)&gt;$K$3),0,1))</f>
        <v>0</v>
      </c>
      <c r="L610" s="1" t="n">
        <f aca="false">IF(OR($L$1="",对接源_01水果!$C610="",对接源_01水果!$C610&lt;&gt;$L$1,对接源_01水果!$B610=""),0,IF(OR(N(对接源_01水果!$B610)&lt;$L$2,N(对接源_01水果!$B610)&gt;$L$3),0,1))</f>
        <v>0</v>
      </c>
      <c r="M610" s="1" t="n">
        <f aca="false">IF(OR($M$1="",对接源_01水果!$C610="",对接源_01水果!$C610&lt;&gt;$M$1,对接源_01水果!$B610=""),0,IF(OR(N(对接源_01水果!$B610)&lt;$M$2,N(对接源_01水果!$B610)&gt;$M$3),0,1))</f>
        <v>0</v>
      </c>
      <c r="N610" s="1" t="n">
        <f aca="false">IF(OR($N$1="",对接源_01水果!$C610="",对接源_01水果!$C610&lt;&gt;$N$1,对接源_01水果!$B610=""),0,IF(OR(N(对接源_01水果!$B610)&lt;$N$2,N(对接源_01水果!$B610)&gt;$N$3),0,1))</f>
        <v>0</v>
      </c>
      <c r="P610" s="1" t="n">
        <f aca="false">IF(AND($K610=1,AND(对接源_01水果!$X610="公司筐",N(对接源_01水果!$T610)&lt;&gt;0)),1,0)</f>
        <v>0</v>
      </c>
      <c r="Q610" s="1" t="n">
        <f aca="false">N(Q609)+$P610</f>
        <v>3</v>
      </c>
      <c r="R610" s="1" t="n">
        <f aca="false">IF(AND($K610=1,AND(对接源_01水果!$X610="公司筐",N(对接源_01水果!$U610)&lt;&gt;0)),1,0)</f>
        <v>0</v>
      </c>
      <c r="S610" s="1" t="n">
        <f aca="false">N(S609)+$R610</f>
        <v>0</v>
      </c>
      <c r="T610" s="1" t="n">
        <f aca="false">IF(AND($K610=1,AND(对接源_01水果!$X610="公司筐",N(对接源_01水果!$V610)&lt;&gt;0)),1,0)</f>
        <v>0</v>
      </c>
      <c r="U610" s="1" t="n">
        <f aca="false">N(U609)+$T610</f>
        <v>28</v>
      </c>
      <c r="V610" s="1" t="n">
        <f aca="false">IF(AND($L610=1,AND(对接源_01水果!$X610="自备筐",N(对接源_01水果!$V610)&lt;&gt;0)),1,0)</f>
        <v>0</v>
      </c>
      <c r="W610" s="1" t="n">
        <f aca="false">N(W609)+$V610</f>
        <v>7</v>
      </c>
      <c r="X610" s="1" t="n">
        <f aca="false">IF(AND($L610=1,AND(对接源_01水果!$X610="自备筐",N(对接源_01水果!$T610)&lt;&gt;0)),1,0)</f>
        <v>0</v>
      </c>
      <c r="Y610" s="1" t="n">
        <f aca="false">N(Y609)+$X610</f>
        <v>0</v>
      </c>
      <c r="Z610" s="1" t="n">
        <f aca="false">IF(AND($M610=1,对接源_01水果!$D610="原料入库"),1,0)</f>
        <v>0</v>
      </c>
      <c r="AA610" s="1" t="n">
        <f aca="false">N(AA609)+$Z610</f>
        <v>30</v>
      </c>
      <c r="AB610" s="1" t="n">
        <f aca="false">IF(AND($M610=1,LEFT(对接源_01水果!$D610,4)="原料出库"),1,0)</f>
        <v>0</v>
      </c>
      <c r="AC610" s="1" t="n">
        <f aca="false">N(AC609)+$AB610</f>
        <v>19</v>
      </c>
      <c r="AD610" s="1" t="n">
        <f aca="false">IF(AND($M610=1,LEFT(对接源_01水果!$D610,4)="成品出库"),1,0)</f>
        <v>0</v>
      </c>
      <c r="AE610" s="1" t="n">
        <f aca="false">N(AE609)+$AD610</f>
        <v>38</v>
      </c>
      <c r="AF610" s="1" t="n">
        <f aca="false">IF(AND($N610=1,AND(LEFT(对接源_01水果!$D610,4)="包装物料",N(对接源_01水果!$K610)&lt;&gt;0)),1,0)</f>
        <v>0</v>
      </c>
      <c r="AG610" s="90" t="str">
        <f aca="false">IF(对接源_01水果!$AC610="","",对接源_01水果!$AC610)</f>
        <v/>
      </c>
      <c r="AH610" s="1" t="n">
        <f aca="false">IF(AND($N610=1,AND(LEFT(对接源_01水果!$D610,3)="周转筐",N(对接源_01水果!$K610)&lt;&gt;0)),1,0)</f>
        <v>0</v>
      </c>
      <c r="AI610" s="90" t="n">
        <f aca="false">IF(AG610="",0,IF(MATCH(AG610,$AG$4:$AG$1203,0)=ROW()-3,1,0))</f>
        <v>0</v>
      </c>
      <c r="AJ610" s="90" t="n">
        <f aca="false">N(AJ609)+AI610</f>
        <v>4</v>
      </c>
      <c r="AK610" s="1" t="n">
        <f aca="false">N(AK609)+$AJ610</f>
        <v>1300</v>
      </c>
    </row>
    <row r="611" customFormat="false" ht="13.5" hidden="false" customHeight="false" outlineLevel="0" collapsed="false">
      <c r="A611" s="1" t="str">
        <f aca="false">IF(对接源_01水果!$C611="","",对接源_01水果!$C611)</f>
        <v/>
      </c>
      <c r="B611" s="1" t="n">
        <f aca="false">IF(A611="",0,IF(MATCH(A611,$A$4:$A$2403,0)=ROW()-3,1,0))</f>
        <v>0</v>
      </c>
      <c r="C611" s="1" t="n">
        <f aca="false">N(C610)+B611</f>
        <v>13</v>
      </c>
      <c r="K611" s="1" t="n">
        <f aca="false">IF(OR($K$1="",对接源_01水果!$C611="",对接源_01水果!$C611&lt;&gt;$K$1,对接源_01水果!$B611=""),0,IF(OR(N(对接源_01水果!$B611)&lt;$K$2,N(对接源_01水果!$B611)&gt;$K$3),0,1))</f>
        <v>0</v>
      </c>
      <c r="L611" s="1" t="n">
        <f aca="false">IF(OR($L$1="",对接源_01水果!$C611="",对接源_01水果!$C611&lt;&gt;$L$1,对接源_01水果!$B611=""),0,IF(OR(N(对接源_01水果!$B611)&lt;$L$2,N(对接源_01水果!$B611)&gt;$L$3),0,1))</f>
        <v>0</v>
      </c>
      <c r="M611" s="1" t="n">
        <f aca="false">IF(OR($M$1="",对接源_01水果!$C611="",对接源_01水果!$C611&lt;&gt;$M$1,对接源_01水果!$B611=""),0,IF(OR(N(对接源_01水果!$B611)&lt;$M$2,N(对接源_01水果!$B611)&gt;$M$3),0,1))</f>
        <v>0</v>
      </c>
      <c r="N611" s="1" t="n">
        <f aca="false">IF(OR($N$1="",对接源_01水果!$C611="",对接源_01水果!$C611&lt;&gt;$N$1,对接源_01水果!$B611=""),0,IF(OR(N(对接源_01水果!$B611)&lt;$N$2,N(对接源_01水果!$B611)&gt;$N$3),0,1))</f>
        <v>0</v>
      </c>
      <c r="P611" s="1" t="n">
        <f aca="false">IF(AND($K611=1,AND(对接源_01水果!$X611="公司筐",N(对接源_01水果!$T611)&lt;&gt;0)),1,0)</f>
        <v>0</v>
      </c>
      <c r="Q611" s="1" t="n">
        <f aca="false">N(Q610)+$P611</f>
        <v>3</v>
      </c>
      <c r="R611" s="1" t="n">
        <f aca="false">IF(AND($K611=1,AND(对接源_01水果!$X611="公司筐",N(对接源_01水果!$U611)&lt;&gt;0)),1,0)</f>
        <v>0</v>
      </c>
      <c r="S611" s="1" t="n">
        <f aca="false">N(S610)+$R611</f>
        <v>0</v>
      </c>
      <c r="T611" s="1" t="n">
        <f aca="false">IF(AND($K611=1,AND(对接源_01水果!$X611="公司筐",N(对接源_01水果!$V611)&lt;&gt;0)),1,0)</f>
        <v>0</v>
      </c>
      <c r="U611" s="1" t="n">
        <f aca="false">N(U610)+$T611</f>
        <v>28</v>
      </c>
      <c r="V611" s="1" t="n">
        <f aca="false">IF(AND($L611=1,AND(对接源_01水果!$X611="自备筐",N(对接源_01水果!$V611)&lt;&gt;0)),1,0)</f>
        <v>0</v>
      </c>
      <c r="W611" s="1" t="n">
        <f aca="false">N(W610)+$V611</f>
        <v>7</v>
      </c>
      <c r="X611" s="1" t="n">
        <f aca="false">IF(AND($L611=1,AND(对接源_01水果!$X611="自备筐",N(对接源_01水果!$T611)&lt;&gt;0)),1,0)</f>
        <v>0</v>
      </c>
      <c r="Y611" s="1" t="n">
        <f aca="false">N(Y610)+$X611</f>
        <v>0</v>
      </c>
      <c r="Z611" s="1" t="n">
        <f aca="false">IF(AND($M611=1,对接源_01水果!$D611="原料入库"),1,0)</f>
        <v>0</v>
      </c>
      <c r="AA611" s="1" t="n">
        <f aca="false">N(AA610)+$Z611</f>
        <v>30</v>
      </c>
      <c r="AB611" s="1" t="n">
        <f aca="false">IF(AND($M611=1,LEFT(对接源_01水果!$D611,4)="原料出库"),1,0)</f>
        <v>0</v>
      </c>
      <c r="AC611" s="1" t="n">
        <f aca="false">N(AC610)+$AB611</f>
        <v>19</v>
      </c>
      <c r="AD611" s="1" t="n">
        <f aca="false">IF(AND($M611=1,LEFT(对接源_01水果!$D611,4)="成品出库"),1,0)</f>
        <v>0</v>
      </c>
      <c r="AE611" s="1" t="n">
        <f aca="false">N(AE610)+$AD611</f>
        <v>38</v>
      </c>
      <c r="AF611" s="1" t="n">
        <f aca="false">IF(AND($N611=1,AND(LEFT(对接源_01水果!$D611,4)="包装物料",N(对接源_01水果!$K611)&lt;&gt;0)),1,0)</f>
        <v>0</v>
      </c>
      <c r="AG611" s="90" t="str">
        <f aca="false">IF(对接源_01水果!$AC611="","",对接源_01水果!$AC611)</f>
        <v/>
      </c>
      <c r="AH611" s="1" t="n">
        <f aca="false">IF(AND($N611=1,AND(LEFT(对接源_01水果!$D611,3)="周转筐",N(对接源_01水果!$K611)&lt;&gt;0)),1,0)</f>
        <v>0</v>
      </c>
      <c r="AI611" s="90" t="n">
        <f aca="false">IF(AG611="",0,IF(MATCH(AG611,$AG$4:$AG$1203,0)=ROW()-3,1,0))</f>
        <v>0</v>
      </c>
      <c r="AJ611" s="90" t="n">
        <f aca="false">N(AJ610)+AI611</f>
        <v>4</v>
      </c>
      <c r="AK611" s="1" t="n">
        <f aca="false">N(AK610)+$AJ611</f>
        <v>1304</v>
      </c>
    </row>
    <row r="612" customFormat="false" ht="13.5" hidden="false" customHeight="false" outlineLevel="0" collapsed="false">
      <c r="A612" s="1" t="str">
        <f aca="false">IF(对接源_01水果!$C612="","",对接源_01水果!$C612)</f>
        <v/>
      </c>
      <c r="B612" s="1" t="n">
        <f aca="false">IF(A612="",0,IF(MATCH(A612,$A$4:$A$2403,0)=ROW()-3,1,0))</f>
        <v>0</v>
      </c>
      <c r="C612" s="1" t="n">
        <f aca="false">N(C611)+B612</f>
        <v>13</v>
      </c>
      <c r="K612" s="1" t="n">
        <f aca="false">IF(OR($K$1="",对接源_01水果!$C612="",对接源_01水果!$C612&lt;&gt;$K$1,对接源_01水果!$B612=""),0,IF(OR(N(对接源_01水果!$B612)&lt;$K$2,N(对接源_01水果!$B612)&gt;$K$3),0,1))</f>
        <v>0</v>
      </c>
      <c r="L612" s="1" t="n">
        <f aca="false">IF(OR($L$1="",对接源_01水果!$C612="",对接源_01水果!$C612&lt;&gt;$L$1,对接源_01水果!$B612=""),0,IF(OR(N(对接源_01水果!$B612)&lt;$L$2,N(对接源_01水果!$B612)&gt;$L$3),0,1))</f>
        <v>0</v>
      </c>
      <c r="M612" s="1" t="n">
        <f aca="false">IF(OR($M$1="",对接源_01水果!$C612="",对接源_01水果!$C612&lt;&gt;$M$1,对接源_01水果!$B612=""),0,IF(OR(N(对接源_01水果!$B612)&lt;$M$2,N(对接源_01水果!$B612)&gt;$M$3),0,1))</f>
        <v>0</v>
      </c>
      <c r="N612" s="1" t="n">
        <f aca="false">IF(OR($N$1="",对接源_01水果!$C612="",对接源_01水果!$C612&lt;&gt;$N$1,对接源_01水果!$B612=""),0,IF(OR(N(对接源_01水果!$B612)&lt;$N$2,N(对接源_01水果!$B612)&gt;$N$3),0,1))</f>
        <v>0</v>
      </c>
      <c r="P612" s="1" t="n">
        <f aca="false">IF(AND($K612=1,AND(对接源_01水果!$X612="公司筐",N(对接源_01水果!$T612)&lt;&gt;0)),1,0)</f>
        <v>0</v>
      </c>
      <c r="Q612" s="1" t="n">
        <f aca="false">N(Q611)+$P612</f>
        <v>3</v>
      </c>
      <c r="R612" s="1" t="n">
        <f aca="false">IF(AND($K612=1,AND(对接源_01水果!$X612="公司筐",N(对接源_01水果!$U612)&lt;&gt;0)),1,0)</f>
        <v>0</v>
      </c>
      <c r="S612" s="1" t="n">
        <f aca="false">N(S611)+$R612</f>
        <v>0</v>
      </c>
      <c r="T612" s="1" t="n">
        <f aca="false">IF(AND($K612=1,AND(对接源_01水果!$X612="公司筐",N(对接源_01水果!$V612)&lt;&gt;0)),1,0)</f>
        <v>0</v>
      </c>
      <c r="U612" s="1" t="n">
        <f aca="false">N(U611)+$T612</f>
        <v>28</v>
      </c>
      <c r="V612" s="1" t="n">
        <f aca="false">IF(AND($L612=1,AND(对接源_01水果!$X612="自备筐",N(对接源_01水果!$V612)&lt;&gt;0)),1,0)</f>
        <v>0</v>
      </c>
      <c r="W612" s="1" t="n">
        <f aca="false">N(W611)+$V612</f>
        <v>7</v>
      </c>
      <c r="X612" s="1" t="n">
        <f aca="false">IF(AND($L612=1,AND(对接源_01水果!$X612="自备筐",N(对接源_01水果!$T612)&lt;&gt;0)),1,0)</f>
        <v>0</v>
      </c>
      <c r="Y612" s="1" t="n">
        <f aca="false">N(Y611)+$X612</f>
        <v>0</v>
      </c>
      <c r="Z612" s="1" t="n">
        <f aca="false">IF(AND($M612=1,对接源_01水果!$D612="原料入库"),1,0)</f>
        <v>0</v>
      </c>
      <c r="AA612" s="1" t="n">
        <f aca="false">N(AA611)+$Z612</f>
        <v>30</v>
      </c>
      <c r="AB612" s="1" t="n">
        <f aca="false">IF(AND($M612=1,LEFT(对接源_01水果!$D612,4)="原料出库"),1,0)</f>
        <v>0</v>
      </c>
      <c r="AC612" s="1" t="n">
        <f aca="false">N(AC611)+$AB612</f>
        <v>19</v>
      </c>
      <c r="AD612" s="1" t="n">
        <f aca="false">IF(AND($M612=1,LEFT(对接源_01水果!$D612,4)="成品出库"),1,0)</f>
        <v>0</v>
      </c>
      <c r="AE612" s="1" t="n">
        <f aca="false">N(AE611)+$AD612</f>
        <v>38</v>
      </c>
      <c r="AF612" s="1" t="n">
        <f aca="false">IF(AND($N612=1,AND(LEFT(对接源_01水果!$D612,4)="包装物料",N(对接源_01水果!$K612)&lt;&gt;0)),1,0)</f>
        <v>0</v>
      </c>
      <c r="AG612" s="90" t="str">
        <f aca="false">IF(对接源_01水果!$AC612="","",对接源_01水果!$AC612)</f>
        <v/>
      </c>
      <c r="AH612" s="1" t="n">
        <f aca="false">IF(AND($N612=1,AND(LEFT(对接源_01水果!$D612,3)="周转筐",N(对接源_01水果!$K612)&lt;&gt;0)),1,0)</f>
        <v>0</v>
      </c>
      <c r="AI612" s="90" t="n">
        <f aca="false">IF(AG612="",0,IF(MATCH(AG612,$AG$4:$AG$1203,0)=ROW()-3,1,0))</f>
        <v>0</v>
      </c>
      <c r="AJ612" s="90" t="n">
        <f aca="false">N(AJ611)+AI612</f>
        <v>4</v>
      </c>
      <c r="AK612" s="1" t="n">
        <f aca="false">N(AK611)+$AJ612</f>
        <v>1308</v>
      </c>
    </row>
    <row r="613" customFormat="false" ht="13.5" hidden="false" customHeight="false" outlineLevel="0" collapsed="false">
      <c r="A613" s="1" t="str">
        <f aca="false">IF(对接源_01水果!$C613="","",对接源_01水果!$C613)</f>
        <v/>
      </c>
      <c r="B613" s="1" t="n">
        <f aca="false">IF(A613="",0,IF(MATCH(A613,$A$4:$A$2403,0)=ROW()-3,1,0))</f>
        <v>0</v>
      </c>
      <c r="C613" s="1" t="n">
        <f aca="false">N(C612)+B613</f>
        <v>13</v>
      </c>
      <c r="K613" s="1" t="n">
        <f aca="false">IF(OR($K$1="",对接源_01水果!$C613="",对接源_01水果!$C613&lt;&gt;$K$1,对接源_01水果!$B613=""),0,IF(OR(N(对接源_01水果!$B613)&lt;$K$2,N(对接源_01水果!$B613)&gt;$K$3),0,1))</f>
        <v>0</v>
      </c>
      <c r="L613" s="1" t="n">
        <f aca="false">IF(OR($L$1="",对接源_01水果!$C613="",对接源_01水果!$C613&lt;&gt;$L$1,对接源_01水果!$B613=""),0,IF(OR(N(对接源_01水果!$B613)&lt;$L$2,N(对接源_01水果!$B613)&gt;$L$3),0,1))</f>
        <v>0</v>
      </c>
      <c r="M613" s="1" t="n">
        <f aca="false">IF(OR($M$1="",对接源_01水果!$C613="",对接源_01水果!$C613&lt;&gt;$M$1,对接源_01水果!$B613=""),0,IF(OR(N(对接源_01水果!$B613)&lt;$M$2,N(对接源_01水果!$B613)&gt;$M$3),0,1))</f>
        <v>0</v>
      </c>
      <c r="N613" s="1" t="n">
        <f aca="false">IF(OR($N$1="",对接源_01水果!$C613="",对接源_01水果!$C613&lt;&gt;$N$1,对接源_01水果!$B613=""),0,IF(OR(N(对接源_01水果!$B613)&lt;$N$2,N(对接源_01水果!$B613)&gt;$N$3),0,1))</f>
        <v>0</v>
      </c>
      <c r="P613" s="1" t="n">
        <f aca="false">IF(AND($K613=1,AND(对接源_01水果!$X613="公司筐",N(对接源_01水果!$T613)&lt;&gt;0)),1,0)</f>
        <v>0</v>
      </c>
      <c r="Q613" s="1" t="n">
        <f aca="false">N(Q612)+$P613</f>
        <v>3</v>
      </c>
      <c r="R613" s="1" t="n">
        <f aca="false">IF(AND($K613=1,AND(对接源_01水果!$X613="公司筐",N(对接源_01水果!$U613)&lt;&gt;0)),1,0)</f>
        <v>0</v>
      </c>
      <c r="S613" s="1" t="n">
        <f aca="false">N(S612)+$R613</f>
        <v>0</v>
      </c>
      <c r="T613" s="1" t="n">
        <f aca="false">IF(AND($K613=1,AND(对接源_01水果!$X613="公司筐",N(对接源_01水果!$V613)&lt;&gt;0)),1,0)</f>
        <v>0</v>
      </c>
      <c r="U613" s="1" t="n">
        <f aca="false">N(U612)+$T613</f>
        <v>28</v>
      </c>
      <c r="V613" s="1" t="n">
        <f aca="false">IF(AND($L613=1,AND(对接源_01水果!$X613="自备筐",N(对接源_01水果!$V613)&lt;&gt;0)),1,0)</f>
        <v>0</v>
      </c>
      <c r="W613" s="1" t="n">
        <f aca="false">N(W612)+$V613</f>
        <v>7</v>
      </c>
      <c r="X613" s="1" t="n">
        <f aca="false">IF(AND($L613=1,AND(对接源_01水果!$X613="自备筐",N(对接源_01水果!$T613)&lt;&gt;0)),1,0)</f>
        <v>0</v>
      </c>
      <c r="Y613" s="1" t="n">
        <f aca="false">N(Y612)+$X613</f>
        <v>0</v>
      </c>
      <c r="Z613" s="1" t="n">
        <f aca="false">IF(AND($M613=1,对接源_01水果!$D613="原料入库"),1,0)</f>
        <v>0</v>
      </c>
      <c r="AA613" s="1" t="n">
        <f aca="false">N(AA612)+$Z613</f>
        <v>30</v>
      </c>
      <c r="AB613" s="1" t="n">
        <f aca="false">IF(AND($M613=1,LEFT(对接源_01水果!$D613,4)="原料出库"),1,0)</f>
        <v>0</v>
      </c>
      <c r="AC613" s="1" t="n">
        <f aca="false">N(AC612)+$AB613</f>
        <v>19</v>
      </c>
      <c r="AD613" s="1" t="n">
        <f aca="false">IF(AND($M613=1,LEFT(对接源_01水果!$D613,4)="成品出库"),1,0)</f>
        <v>0</v>
      </c>
      <c r="AE613" s="1" t="n">
        <f aca="false">N(AE612)+$AD613</f>
        <v>38</v>
      </c>
      <c r="AF613" s="1" t="n">
        <f aca="false">IF(AND($N613=1,AND(LEFT(对接源_01水果!$D613,4)="包装物料",N(对接源_01水果!$K613)&lt;&gt;0)),1,0)</f>
        <v>0</v>
      </c>
      <c r="AG613" s="90" t="str">
        <f aca="false">IF(对接源_01水果!$AC613="","",对接源_01水果!$AC613)</f>
        <v/>
      </c>
      <c r="AH613" s="1" t="n">
        <f aca="false">IF(AND($N613=1,AND(LEFT(对接源_01水果!$D613,3)="周转筐",N(对接源_01水果!$K613)&lt;&gt;0)),1,0)</f>
        <v>0</v>
      </c>
      <c r="AI613" s="90" t="n">
        <f aca="false">IF(AG613="",0,IF(MATCH(AG613,$AG$4:$AG$1203,0)=ROW()-3,1,0))</f>
        <v>0</v>
      </c>
      <c r="AJ613" s="90" t="n">
        <f aca="false">N(AJ612)+AI613</f>
        <v>4</v>
      </c>
      <c r="AK613" s="1" t="n">
        <f aca="false">N(AK612)+$AJ613</f>
        <v>1312</v>
      </c>
    </row>
    <row r="614" customFormat="false" ht="13.5" hidden="false" customHeight="false" outlineLevel="0" collapsed="false">
      <c r="A614" s="1" t="str">
        <f aca="false">IF(对接源_01水果!$C614="","",对接源_01水果!$C614)</f>
        <v/>
      </c>
      <c r="B614" s="1" t="n">
        <f aca="false">IF(A614="",0,IF(MATCH(A614,$A$4:$A$2403,0)=ROW()-3,1,0))</f>
        <v>0</v>
      </c>
      <c r="C614" s="1" t="n">
        <f aca="false">N(C613)+B614</f>
        <v>13</v>
      </c>
      <c r="K614" s="1" t="n">
        <f aca="false">IF(OR($K$1="",对接源_01水果!$C614="",对接源_01水果!$C614&lt;&gt;$K$1,对接源_01水果!$B614=""),0,IF(OR(N(对接源_01水果!$B614)&lt;$K$2,N(对接源_01水果!$B614)&gt;$K$3),0,1))</f>
        <v>0</v>
      </c>
      <c r="L614" s="1" t="n">
        <f aca="false">IF(OR($L$1="",对接源_01水果!$C614="",对接源_01水果!$C614&lt;&gt;$L$1,对接源_01水果!$B614=""),0,IF(OR(N(对接源_01水果!$B614)&lt;$L$2,N(对接源_01水果!$B614)&gt;$L$3),0,1))</f>
        <v>0</v>
      </c>
      <c r="M614" s="1" t="n">
        <f aca="false">IF(OR($M$1="",对接源_01水果!$C614="",对接源_01水果!$C614&lt;&gt;$M$1,对接源_01水果!$B614=""),0,IF(OR(N(对接源_01水果!$B614)&lt;$M$2,N(对接源_01水果!$B614)&gt;$M$3),0,1))</f>
        <v>0</v>
      </c>
      <c r="N614" s="1" t="n">
        <f aca="false">IF(OR($N$1="",对接源_01水果!$C614="",对接源_01水果!$C614&lt;&gt;$N$1,对接源_01水果!$B614=""),0,IF(OR(N(对接源_01水果!$B614)&lt;$N$2,N(对接源_01水果!$B614)&gt;$N$3),0,1))</f>
        <v>0</v>
      </c>
      <c r="P614" s="1" t="n">
        <f aca="false">IF(AND($K614=1,AND(对接源_01水果!$X614="公司筐",N(对接源_01水果!$T614)&lt;&gt;0)),1,0)</f>
        <v>0</v>
      </c>
      <c r="Q614" s="1" t="n">
        <f aca="false">N(Q613)+$P614</f>
        <v>3</v>
      </c>
      <c r="R614" s="1" t="n">
        <f aca="false">IF(AND($K614=1,AND(对接源_01水果!$X614="公司筐",N(对接源_01水果!$U614)&lt;&gt;0)),1,0)</f>
        <v>0</v>
      </c>
      <c r="S614" s="1" t="n">
        <f aca="false">N(S613)+$R614</f>
        <v>0</v>
      </c>
      <c r="T614" s="1" t="n">
        <f aca="false">IF(AND($K614=1,AND(对接源_01水果!$X614="公司筐",N(对接源_01水果!$V614)&lt;&gt;0)),1,0)</f>
        <v>0</v>
      </c>
      <c r="U614" s="1" t="n">
        <f aca="false">N(U613)+$T614</f>
        <v>28</v>
      </c>
      <c r="V614" s="1" t="n">
        <f aca="false">IF(AND($L614=1,AND(对接源_01水果!$X614="自备筐",N(对接源_01水果!$V614)&lt;&gt;0)),1,0)</f>
        <v>0</v>
      </c>
      <c r="W614" s="1" t="n">
        <f aca="false">N(W613)+$V614</f>
        <v>7</v>
      </c>
      <c r="X614" s="1" t="n">
        <f aca="false">IF(AND($L614=1,AND(对接源_01水果!$X614="自备筐",N(对接源_01水果!$T614)&lt;&gt;0)),1,0)</f>
        <v>0</v>
      </c>
      <c r="Y614" s="1" t="n">
        <f aca="false">N(Y613)+$X614</f>
        <v>0</v>
      </c>
      <c r="Z614" s="1" t="n">
        <f aca="false">IF(AND($M614=1,对接源_01水果!$D614="原料入库"),1,0)</f>
        <v>0</v>
      </c>
      <c r="AA614" s="1" t="n">
        <f aca="false">N(AA613)+$Z614</f>
        <v>30</v>
      </c>
      <c r="AB614" s="1" t="n">
        <f aca="false">IF(AND($M614=1,LEFT(对接源_01水果!$D614,4)="原料出库"),1,0)</f>
        <v>0</v>
      </c>
      <c r="AC614" s="1" t="n">
        <f aca="false">N(AC613)+$AB614</f>
        <v>19</v>
      </c>
      <c r="AD614" s="1" t="n">
        <f aca="false">IF(AND($M614=1,LEFT(对接源_01水果!$D614,4)="成品出库"),1,0)</f>
        <v>0</v>
      </c>
      <c r="AE614" s="1" t="n">
        <f aca="false">N(AE613)+$AD614</f>
        <v>38</v>
      </c>
      <c r="AF614" s="1" t="n">
        <f aca="false">IF(AND($N614=1,AND(LEFT(对接源_01水果!$D614,4)="包装物料",N(对接源_01水果!$K614)&lt;&gt;0)),1,0)</f>
        <v>0</v>
      </c>
      <c r="AG614" s="90" t="str">
        <f aca="false">IF(对接源_01水果!$AC614="","",对接源_01水果!$AC614)</f>
        <v/>
      </c>
      <c r="AH614" s="1" t="n">
        <f aca="false">IF(AND($N614=1,AND(LEFT(对接源_01水果!$D614,3)="周转筐",N(对接源_01水果!$K614)&lt;&gt;0)),1,0)</f>
        <v>0</v>
      </c>
      <c r="AI614" s="90" t="n">
        <f aca="false">IF(AG614="",0,IF(MATCH(AG614,$AG$4:$AG$1203,0)=ROW()-3,1,0))</f>
        <v>0</v>
      </c>
      <c r="AJ614" s="90" t="n">
        <f aca="false">N(AJ613)+AI614</f>
        <v>4</v>
      </c>
      <c r="AK614" s="1" t="n">
        <f aca="false">N(AK613)+$AJ614</f>
        <v>1316</v>
      </c>
    </row>
    <row r="615" customFormat="false" ht="13.5" hidden="false" customHeight="false" outlineLevel="0" collapsed="false">
      <c r="A615" s="1" t="str">
        <f aca="false">IF(对接源_01水果!$C615="","",对接源_01水果!$C615)</f>
        <v/>
      </c>
      <c r="B615" s="1" t="n">
        <f aca="false">IF(A615="",0,IF(MATCH(A615,$A$4:$A$2403,0)=ROW()-3,1,0))</f>
        <v>0</v>
      </c>
      <c r="C615" s="1" t="n">
        <f aca="false">N(C614)+B615</f>
        <v>13</v>
      </c>
      <c r="K615" s="1" t="n">
        <f aca="false">IF(OR($K$1="",对接源_01水果!$C615="",对接源_01水果!$C615&lt;&gt;$K$1,对接源_01水果!$B615=""),0,IF(OR(N(对接源_01水果!$B615)&lt;$K$2,N(对接源_01水果!$B615)&gt;$K$3),0,1))</f>
        <v>0</v>
      </c>
      <c r="L615" s="1" t="n">
        <f aca="false">IF(OR($L$1="",对接源_01水果!$C615="",对接源_01水果!$C615&lt;&gt;$L$1,对接源_01水果!$B615=""),0,IF(OR(N(对接源_01水果!$B615)&lt;$L$2,N(对接源_01水果!$B615)&gt;$L$3),0,1))</f>
        <v>0</v>
      </c>
      <c r="M615" s="1" t="n">
        <f aca="false">IF(OR($M$1="",对接源_01水果!$C615="",对接源_01水果!$C615&lt;&gt;$M$1,对接源_01水果!$B615=""),0,IF(OR(N(对接源_01水果!$B615)&lt;$M$2,N(对接源_01水果!$B615)&gt;$M$3),0,1))</f>
        <v>0</v>
      </c>
      <c r="N615" s="1" t="n">
        <f aca="false">IF(OR($N$1="",对接源_01水果!$C615="",对接源_01水果!$C615&lt;&gt;$N$1,对接源_01水果!$B615=""),0,IF(OR(N(对接源_01水果!$B615)&lt;$N$2,N(对接源_01水果!$B615)&gt;$N$3),0,1))</f>
        <v>0</v>
      </c>
      <c r="P615" s="1" t="n">
        <f aca="false">IF(AND($K615=1,AND(对接源_01水果!$X615="公司筐",N(对接源_01水果!$T615)&lt;&gt;0)),1,0)</f>
        <v>0</v>
      </c>
      <c r="Q615" s="1" t="n">
        <f aca="false">N(Q614)+$P615</f>
        <v>3</v>
      </c>
      <c r="R615" s="1" t="n">
        <f aca="false">IF(AND($K615=1,AND(对接源_01水果!$X615="公司筐",N(对接源_01水果!$U615)&lt;&gt;0)),1,0)</f>
        <v>0</v>
      </c>
      <c r="S615" s="1" t="n">
        <f aca="false">N(S614)+$R615</f>
        <v>0</v>
      </c>
      <c r="T615" s="1" t="n">
        <f aca="false">IF(AND($K615=1,AND(对接源_01水果!$X615="公司筐",N(对接源_01水果!$V615)&lt;&gt;0)),1,0)</f>
        <v>0</v>
      </c>
      <c r="U615" s="1" t="n">
        <f aca="false">N(U614)+$T615</f>
        <v>28</v>
      </c>
      <c r="V615" s="1" t="n">
        <f aca="false">IF(AND($L615=1,AND(对接源_01水果!$X615="自备筐",N(对接源_01水果!$V615)&lt;&gt;0)),1,0)</f>
        <v>0</v>
      </c>
      <c r="W615" s="1" t="n">
        <f aca="false">N(W614)+$V615</f>
        <v>7</v>
      </c>
      <c r="X615" s="1" t="n">
        <f aca="false">IF(AND($L615=1,AND(对接源_01水果!$X615="自备筐",N(对接源_01水果!$T615)&lt;&gt;0)),1,0)</f>
        <v>0</v>
      </c>
      <c r="Y615" s="1" t="n">
        <f aca="false">N(Y614)+$X615</f>
        <v>0</v>
      </c>
      <c r="Z615" s="1" t="n">
        <f aca="false">IF(AND($M615=1,对接源_01水果!$D615="原料入库"),1,0)</f>
        <v>0</v>
      </c>
      <c r="AA615" s="1" t="n">
        <f aca="false">N(AA614)+$Z615</f>
        <v>30</v>
      </c>
      <c r="AB615" s="1" t="n">
        <f aca="false">IF(AND($M615=1,LEFT(对接源_01水果!$D615,4)="原料出库"),1,0)</f>
        <v>0</v>
      </c>
      <c r="AC615" s="1" t="n">
        <f aca="false">N(AC614)+$AB615</f>
        <v>19</v>
      </c>
      <c r="AD615" s="1" t="n">
        <f aca="false">IF(AND($M615=1,LEFT(对接源_01水果!$D615,4)="成品出库"),1,0)</f>
        <v>0</v>
      </c>
      <c r="AE615" s="1" t="n">
        <f aca="false">N(AE614)+$AD615</f>
        <v>38</v>
      </c>
      <c r="AF615" s="1" t="n">
        <f aca="false">IF(AND($N615=1,AND(LEFT(对接源_01水果!$D615,4)="包装物料",N(对接源_01水果!$K615)&lt;&gt;0)),1,0)</f>
        <v>0</v>
      </c>
      <c r="AG615" s="90" t="str">
        <f aca="false">IF(对接源_01水果!$AC615="","",对接源_01水果!$AC615)</f>
        <v/>
      </c>
      <c r="AH615" s="1" t="n">
        <f aca="false">IF(AND($N615=1,AND(LEFT(对接源_01水果!$D615,3)="周转筐",N(对接源_01水果!$K615)&lt;&gt;0)),1,0)</f>
        <v>0</v>
      </c>
      <c r="AI615" s="90" t="n">
        <f aca="false">IF(AG615="",0,IF(MATCH(AG615,$AG$4:$AG$1203,0)=ROW()-3,1,0))</f>
        <v>0</v>
      </c>
      <c r="AJ615" s="90" t="n">
        <f aca="false">N(AJ614)+AI615</f>
        <v>4</v>
      </c>
      <c r="AK615" s="1" t="n">
        <f aca="false">N(AK614)+$AJ615</f>
        <v>1320</v>
      </c>
    </row>
    <row r="616" customFormat="false" ht="13.5" hidden="false" customHeight="false" outlineLevel="0" collapsed="false">
      <c r="A616" s="1" t="str">
        <f aca="false">IF(对接源_01水果!$C616="","",对接源_01水果!$C616)</f>
        <v/>
      </c>
      <c r="B616" s="1" t="n">
        <f aca="false">IF(A616="",0,IF(MATCH(A616,$A$4:$A$2403,0)=ROW()-3,1,0))</f>
        <v>0</v>
      </c>
      <c r="C616" s="1" t="n">
        <f aca="false">N(C615)+B616</f>
        <v>13</v>
      </c>
      <c r="K616" s="1" t="n">
        <f aca="false">IF(OR($K$1="",对接源_01水果!$C616="",对接源_01水果!$C616&lt;&gt;$K$1,对接源_01水果!$B616=""),0,IF(OR(N(对接源_01水果!$B616)&lt;$K$2,N(对接源_01水果!$B616)&gt;$K$3),0,1))</f>
        <v>0</v>
      </c>
      <c r="L616" s="1" t="n">
        <f aca="false">IF(OR($L$1="",对接源_01水果!$C616="",对接源_01水果!$C616&lt;&gt;$L$1,对接源_01水果!$B616=""),0,IF(OR(N(对接源_01水果!$B616)&lt;$L$2,N(对接源_01水果!$B616)&gt;$L$3),0,1))</f>
        <v>0</v>
      </c>
      <c r="M616" s="1" t="n">
        <f aca="false">IF(OR($M$1="",对接源_01水果!$C616="",对接源_01水果!$C616&lt;&gt;$M$1,对接源_01水果!$B616=""),0,IF(OR(N(对接源_01水果!$B616)&lt;$M$2,N(对接源_01水果!$B616)&gt;$M$3),0,1))</f>
        <v>0</v>
      </c>
      <c r="N616" s="1" t="n">
        <f aca="false">IF(OR($N$1="",对接源_01水果!$C616="",对接源_01水果!$C616&lt;&gt;$N$1,对接源_01水果!$B616=""),0,IF(OR(N(对接源_01水果!$B616)&lt;$N$2,N(对接源_01水果!$B616)&gt;$N$3),0,1))</f>
        <v>0</v>
      </c>
      <c r="P616" s="1" t="n">
        <f aca="false">IF(AND($K616=1,AND(对接源_01水果!$X616="公司筐",N(对接源_01水果!$T616)&lt;&gt;0)),1,0)</f>
        <v>0</v>
      </c>
      <c r="Q616" s="1" t="n">
        <f aca="false">N(Q615)+$P616</f>
        <v>3</v>
      </c>
      <c r="R616" s="1" t="n">
        <f aca="false">IF(AND($K616=1,AND(对接源_01水果!$X616="公司筐",N(对接源_01水果!$U616)&lt;&gt;0)),1,0)</f>
        <v>0</v>
      </c>
      <c r="S616" s="1" t="n">
        <f aca="false">N(S615)+$R616</f>
        <v>0</v>
      </c>
      <c r="T616" s="1" t="n">
        <f aca="false">IF(AND($K616=1,AND(对接源_01水果!$X616="公司筐",N(对接源_01水果!$V616)&lt;&gt;0)),1,0)</f>
        <v>0</v>
      </c>
      <c r="U616" s="1" t="n">
        <f aca="false">N(U615)+$T616</f>
        <v>28</v>
      </c>
      <c r="V616" s="1" t="n">
        <f aca="false">IF(AND($L616=1,AND(对接源_01水果!$X616="自备筐",N(对接源_01水果!$V616)&lt;&gt;0)),1,0)</f>
        <v>0</v>
      </c>
      <c r="W616" s="1" t="n">
        <f aca="false">N(W615)+$V616</f>
        <v>7</v>
      </c>
      <c r="X616" s="1" t="n">
        <f aca="false">IF(AND($L616=1,AND(对接源_01水果!$X616="自备筐",N(对接源_01水果!$T616)&lt;&gt;0)),1,0)</f>
        <v>0</v>
      </c>
      <c r="Y616" s="1" t="n">
        <f aca="false">N(Y615)+$X616</f>
        <v>0</v>
      </c>
      <c r="Z616" s="1" t="n">
        <f aca="false">IF(AND($M616=1,对接源_01水果!$D616="原料入库"),1,0)</f>
        <v>0</v>
      </c>
      <c r="AA616" s="1" t="n">
        <f aca="false">N(AA615)+$Z616</f>
        <v>30</v>
      </c>
      <c r="AB616" s="1" t="n">
        <f aca="false">IF(AND($M616=1,LEFT(对接源_01水果!$D616,4)="原料出库"),1,0)</f>
        <v>0</v>
      </c>
      <c r="AC616" s="1" t="n">
        <f aca="false">N(AC615)+$AB616</f>
        <v>19</v>
      </c>
      <c r="AD616" s="1" t="n">
        <f aca="false">IF(AND($M616=1,LEFT(对接源_01水果!$D616,4)="成品出库"),1,0)</f>
        <v>0</v>
      </c>
      <c r="AE616" s="1" t="n">
        <f aca="false">N(AE615)+$AD616</f>
        <v>38</v>
      </c>
      <c r="AF616" s="1" t="n">
        <f aca="false">IF(AND($N616=1,AND(LEFT(对接源_01水果!$D616,4)="包装物料",N(对接源_01水果!$K616)&lt;&gt;0)),1,0)</f>
        <v>0</v>
      </c>
      <c r="AG616" s="90" t="str">
        <f aca="false">IF(对接源_01水果!$AC616="","",对接源_01水果!$AC616)</f>
        <v/>
      </c>
      <c r="AH616" s="1" t="n">
        <f aca="false">IF(AND($N616=1,AND(LEFT(对接源_01水果!$D616,3)="周转筐",N(对接源_01水果!$K616)&lt;&gt;0)),1,0)</f>
        <v>0</v>
      </c>
      <c r="AI616" s="90" t="n">
        <f aca="false">IF(AG616="",0,IF(MATCH(AG616,$AG$4:$AG$1203,0)=ROW()-3,1,0))</f>
        <v>0</v>
      </c>
      <c r="AJ616" s="90" t="n">
        <f aca="false">N(AJ615)+AI616</f>
        <v>4</v>
      </c>
      <c r="AK616" s="1" t="n">
        <f aca="false">N(AK615)+$AJ616</f>
        <v>1324</v>
      </c>
    </row>
    <row r="617" customFormat="false" ht="13.5" hidden="false" customHeight="false" outlineLevel="0" collapsed="false">
      <c r="A617" s="1" t="str">
        <f aca="false">IF(对接源_01水果!$C617="","",对接源_01水果!$C617)</f>
        <v/>
      </c>
      <c r="B617" s="1" t="n">
        <f aca="false">IF(A617="",0,IF(MATCH(A617,$A$4:$A$2403,0)=ROW()-3,1,0))</f>
        <v>0</v>
      </c>
      <c r="C617" s="1" t="n">
        <f aca="false">N(C616)+B617</f>
        <v>13</v>
      </c>
      <c r="K617" s="1" t="n">
        <f aca="false">IF(OR($K$1="",对接源_01水果!$C617="",对接源_01水果!$C617&lt;&gt;$K$1,对接源_01水果!$B617=""),0,IF(OR(N(对接源_01水果!$B617)&lt;$K$2,N(对接源_01水果!$B617)&gt;$K$3),0,1))</f>
        <v>0</v>
      </c>
      <c r="L617" s="1" t="n">
        <f aca="false">IF(OR($L$1="",对接源_01水果!$C617="",对接源_01水果!$C617&lt;&gt;$L$1,对接源_01水果!$B617=""),0,IF(OR(N(对接源_01水果!$B617)&lt;$L$2,N(对接源_01水果!$B617)&gt;$L$3),0,1))</f>
        <v>0</v>
      </c>
      <c r="M617" s="1" t="n">
        <f aca="false">IF(OR($M$1="",对接源_01水果!$C617="",对接源_01水果!$C617&lt;&gt;$M$1,对接源_01水果!$B617=""),0,IF(OR(N(对接源_01水果!$B617)&lt;$M$2,N(对接源_01水果!$B617)&gt;$M$3),0,1))</f>
        <v>0</v>
      </c>
      <c r="N617" s="1" t="n">
        <f aca="false">IF(OR($N$1="",对接源_01水果!$C617="",对接源_01水果!$C617&lt;&gt;$N$1,对接源_01水果!$B617=""),0,IF(OR(N(对接源_01水果!$B617)&lt;$N$2,N(对接源_01水果!$B617)&gt;$N$3),0,1))</f>
        <v>0</v>
      </c>
      <c r="P617" s="1" t="n">
        <f aca="false">IF(AND($K617=1,AND(对接源_01水果!$X617="公司筐",N(对接源_01水果!$T617)&lt;&gt;0)),1,0)</f>
        <v>0</v>
      </c>
      <c r="Q617" s="1" t="n">
        <f aca="false">N(Q616)+$P617</f>
        <v>3</v>
      </c>
      <c r="R617" s="1" t="n">
        <f aca="false">IF(AND($K617=1,AND(对接源_01水果!$X617="公司筐",N(对接源_01水果!$U617)&lt;&gt;0)),1,0)</f>
        <v>0</v>
      </c>
      <c r="S617" s="1" t="n">
        <f aca="false">N(S616)+$R617</f>
        <v>0</v>
      </c>
      <c r="T617" s="1" t="n">
        <f aca="false">IF(AND($K617=1,AND(对接源_01水果!$X617="公司筐",N(对接源_01水果!$V617)&lt;&gt;0)),1,0)</f>
        <v>0</v>
      </c>
      <c r="U617" s="1" t="n">
        <f aca="false">N(U616)+$T617</f>
        <v>28</v>
      </c>
      <c r="V617" s="1" t="n">
        <f aca="false">IF(AND($L617=1,AND(对接源_01水果!$X617="自备筐",N(对接源_01水果!$V617)&lt;&gt;0)),1,0)</f>
        <v>0</v>
      </c>
      <c r="W617" s="1" t="n">
        <f aca="false">N(W616)+$V617</f>
        <v>7</v>
      </c>
      <c r="X617" s="1" t="n">
        <f aca="false">IF(AND($L617=1,AND(对接源_01水果!$X617="自备筐",N(对接源_01水果!$T617)&lt;&gt;0)),1,0)</f>
        <v>0</v>
      </c>
      <c r="Y617" s="1" t="n">
        <f aca="false">N(Y616)+$X617</f>
        <v>0</v>
      </c>
      <c r="Z617" s="1" t="n">
        <f aca="false">IF(AND($M617=1,对接源_01水果!$D617="原料入库"),1,0)</f>
        <v>0</v>
      </c>
      <c r="AA617" s="1" t="n">
        <f aca="false">N(AA616)+$Z617</f>
        <v>30</v>
      </c>
      <c r="AB617" s="1" t="n">
        <f aca="false">IF(AND($M617=1,LEFT(对接源_01水果!$D617,4)="原料出库"),1,0)</f>
        <v>0</v>
      </c>
      <c r="AC617" s="1" t="n">
        <f aca="false">N(AC616)+$AB617</f>
        <v>19</v>
      </c>
      <c r="AD617" s="1" t="n">
        <f aca="false">IF(AND($M617=1,LEFT(对接源_01水果!$D617,4)="成品出库"),1,0)</f>
        <v>0</v>
      </c>
      <c r="AE617" s="1" t="n">
        <f aca="false">N(AE616)+$AD617</f>
        <v>38</v>
      </c>
      <c r="AF617" s="1" t="n">
        <f aca="false">IF(AND($N617=1,AND(LEFT(对接源_01水果!$D617,4)="包装物料",N(对接源_01水果!$K617)&lt;&gt;0)),1,0)</f>
        <v>0</v>
      </c>
      <c r="AG617" s="90" t="str">
        <f aca="false">IF(对接源_01水果!$AC617="","",对接源_01水果!$AC617)</f>
        <v/>
      </c>
      <c r="AH617" s="1" t="n">
        <f aca="false">IF(AND($N617=1,AND(LEFT(对接源_01水果!$D617,3)="周转筐",N(对接源_01水果!$K617)&lt;&gt;0)),1,0)</f>
        <v>0</v>
      </c>
      <c r="AI617" s="90" t="n">
        <f aca="false">IF(AG617="",0,IF(MATCH(AG617,$AG$4:$AG$1203,0)=ROW()-3,1,0))</f>
        <v>0</v>
      </c>
      <c r="AJ617" s="90" t="n">
        <f aca="false">N(AJ616)+AI617</f>
        <v>4</v>
      </c>
      <c r="AK617" s="1" t="n">
        <f aca="false">N(AK616)+$AJ617</f>
        <v>1328</v>
      </c>
    </row>
    <row r="618" customFormat="false" ht="13.5" hidden="false" customHeight="false" outlineLevel="0" collapsed="false">
      <c r="A618" s="1" t="str">
        <f aca="false">IF(对接源_01水果!$C618="","",对接源_01水果!$C618)</f>
        <v/>
      </c>
      <c r="B618" s="1" t="n">
        <f aca="false">IF(A618="",0,IF(MATCH(A618,$A$4:$A$2403,0)=ROW()-3,1,0))</f>
        <v>0</v>
      </c>
      <c r="C618" s="1" t="n">
        <f aca="false">N(C617)+B618</f>
        <v>13</v>
      </c>
      <c r="K618" s="1" t="n">
        <f aca="false">IF(OR($K$1="",对接源_01水果!$C618="",对接源_01水果!$C618&lt;&gt;$K$1,对接源_01水果!$B618=""),0,IF(OR(N(对接源_01水果!$B618)&lt;$K$2,N(对接源_01水果!$B618)&gt;$K$3),0,1))</f>
        <v>0</v>
      </c>
      <c r="L618" s="1" t="n">
        <f aca="false">IF(OR($L$1="",对接源_01水果!$C618="",对接源_01水果!$C618&lt;&gt;$L$1,对接源_01水果!$B618=""),0,IF(OR(N(对接源_01水果!$B618)&lt;$L$2,N(对接源_01水果!$B618)&gt;$L$3),0,1))</f>
        <v>0</v>
      </c>
      <c r="M618" s="1" t="n">
        <f aca="false">IF(OR($M$1="",对接源_01水果!$C618="",对接源_01水果!$C618&lt;&gt;$M$1,对接源_01水果!$B618=""),0,IF(OR(N(对接源_01水果!$B618)&lt;$M$2,N(对接源_01水果!$B618)&gt;$M$3),0,1))</f>
        <v>0</v>
      </c>
      <c r="N618" s="1" t="n">
        <f aca="false">IF(OR($N$1="",对接源_01水果!$C618="",对接源_01水果!$C618&lt;&gt;$N$1,对接源_01水果!$B618=""),0,IF(OR(N(对接源_01水果!$B618)&lt;$N$2,N(对接源_01水果!$B618)&gt;$N$3),0,1))</f>
        <v>0</v>
      </c>
      <c r="P618" s="1" t="n">
        <f aca="false">IF(AND($K618=1,AND(对接源_01水果!$X618="公司筐",N(对接源_01水果!$T618)&lt;&gt;0)),1,0)</f>
        <v>0</v>
      </c>
      <c r="Q618" s="1" t="n">
        <f aca="false">N(Q617)+$P618</f>
        <v>3</v>
      </c>
      <c r="R618" s="1" t="n">
        <f aca="false">IF(AND($K618=1,AND(对接源_01水果!$X618="公司筐",N(对接源_01水果!$U618)&lt;&gt;0)),1,0)</f>
        <v>0</v>
      </c>
      <c r="S618" s="1" t="n">
        <f aca="false">N(S617)+$R618</f>
        <v>0</v>
      </c>
      <c r="T618" s="1" t="n">
        <f aca="false">IF(AND($K618=1,AND(对接源_01水果!$X618="公司筐",N(对接源_01水果!$V618)&lt;&gt;0)),1,0)</f>
        <v>0</v>
      </c>
      <c r="U618" s="1" t="n">
        <f aca="false">N(U617)+$T618</f>
        <v>28</v>
      </c>
      <c r="V618" s="1" t="n">
        <f aca="false">IF(AND($L618=1,AND(对接源_01水果!$X618="自备筐",N(对接源_01水果!$V618)&lt;&gt;0)),1,0)</f>
        <v>0</v>
      </c>
      <c r="W618" s="1" t="n">
        <f aca="false">N(W617)+$V618</f>
        <v>7</v>
      </c>
      <c r="X618" s="1" t="n">
        <f aca="false">IF(AND($L618=1,AND(对接源_01水果!$X618="自备筐",N(对接源_01水果!$T618)&lt;&gt;0)),1,0)</f>
        <v>0</v>
      </c>
      <c r="Y618" s="1" t="n">
        <f aca="false">N(Y617)+$X618</f>
        <v>0</v>
      </c>
      <c r="Z618" s="1" t="n">
        <f aca="false">IF(AND($M618=1,对接源_01水果!$D618="原料入库"),1,0)</f>
        <v>0</v>
      </c>
      <c r="AA618" s="1" t="n">
        <f aca="false">N(AA617)+$Z618</f>
        <v>30</v>
      </c>
      <c r="AB618" s="1" t="n">
        <f aca="false">IF(AND($M618=1,LEFT(对接源_01水果!$D618,4)="原料出库"),1,0)</f>
        <v>0</v>
      </c>
      <c r="AC618" s="1" t="n">
        <f aca="false">N(AC617)+$AB618</f>
        <v>19</v>
      </c>
      <c r="AD618" s="1" t="n">
        <f aca="false">IF(AND($M618=1,LEFT(对接源_01水果!$D618,4)="成品出库"),1,0)</f>
        <v>0</v>
      </c>
      <c r="AE618" s="1" t="n">
        <f aca="false">N(AE617)+$AD618</f>
        <v>38</v>
      </c>
      <c r="AF618" s="1" t="n">
        <f aca="false">IF(AND($N618=1,AND(LEFT(对接源_01水果!$D618,4)="包装物料",N(对接源_01水果!$K618)&lt;&gt;0)),1,0)</f>
        <v>0</v>
      </c>
      <c r="AG618" s="90" t="str">
        <f aca="false">IF(对接源_01水果!$AC618="","",对接源_01水果!$AC618)</f>
        <v/>
      </c>
      <c r="AH618" s="1" t="n">
        <f aca="false">IF(AND($N618=1,AND(LEFT(对接源_01水果!$D618,3)="周转筐",N(对接源_01水果!$K618)&lt;&gt;0)),1,0)</f>
        <v>0</v>
      </c>
      <c r="AI618" s="90" t="n">
        <f aca="false">IF(AG618="",0,IF(MATCH(AG618,$AG$4:$AG$1203,0)=ROW()-3,1,0))</f>
        <v>0</v>
      </c>
      <c r="AJ618" s="90" t="n">
        <f aca="false">N(AJ617)+AI618</f>
        <v>4</v>
      </c>
      <c r="AK618" s="1" t="n">
        <f aca="false">N(AK617)+$AJ618</f>
        <v>1332</v>
      </c>
    </row>
    <row r="619" customFormat="false" ht="13.5" hidden="false" customHeight="false" outlineLevel="0" collapsed="false">
      <c r="A619" s="1" t="str">
        <f aca="false">IF(对接源_01水果!$C619="","",对接源_01水果!$C619)</f>
        <v/>
      </c>
      <c r="B619" s="1" t="n">
        <f aca="false">IF(A619="",0,IF(MATCH(A619,$A$4:$A$2403,0)=ROW()-3,1,0))</f>
        <v>0</v>
      </c>
      <c r="C619" s="1" t="n">
        <f aca="false">N(C618)+B619</f>
        <v>13</v>
      </c>
      <c r="K619" s="1" t="n">
        <f aca="false">IF(OR($K$1="",对接源_01水果!$C619="",对接源_01水果!$C619&lt;&gt;$K$1,对接源_01水果!$B619=""),0,IF(OR(N(对接源_01水果!$B619)&lt;$K$2,N(对接源_01水果!$B619)&gt;$K$3),0,1))</f>
        <v>0</v>
      </c>
      <c r="L619" s="1" t="n">
        <f aca="false">IF(OR($L$1="",对接源_01水果!$C619="",对接源_01水果!$C619&lt;&gt;$L$1,对接源_01水果!$B619=""),0,IF(OR(N(对接源_01水果!$B619)&lt;$L$2,N(对接源_01水果!$B619)&gt;$L$3),0,1))</f>
        <v>0</v>
      </c>
      <c r="M619" s="1" t="n">
        <f aca="false">IF(OR($M$1="",对接源_01水果!$C619="",对接源_01水果!$C619&lt;&gt;$M$1,对接源_01水果!$B619=""),0,IF(OR(N(对接源_01水果!$B619)&lt;$M$2,N(对接源_01水果!$B619)&gt;$M$3),0,1))</f>
        <v>0</v>
      </c>
      <c r="N619" s="1" t="n">
        <f aca="false">IF(OR($N$1="",对接源_01水果!$C619="",对接源_01水果!$C619&lt;&gt;$N$1,对接源_01水果!$B619=""),0,IF(OR(N(对接源_01水果!$B619)&lt;$N$2,N(对接源_01水果!$B619)&gt;$N$3),0,1))</f>
        <v>0</v>
      </c>
      <c r="P619" s="1" t="n">
        <f aca="false">IF(AND($K619=1,AND(对接源_01水果!$X619="公司筐",N(对接源_01水果!$T619)&lt;&gt;0)),1,0)</f>
        <v>0</v>
      </c>
      <c r="Q619" s="1" t="n">
        <f aca="false">N(Q618)+$P619</f>
        <v>3</v>
      </c>
      <c r="R619" s="1" t="n">
        <f aca="false">IF(AND($K619=1,AND(对接源_01水果!$X619="公司筐",N(对接源_01水果!$U619)&lt;&gt;0)),1,0)</f>
        <v>0</v>
      </c>
      <c r="S619" s="1" t="n">
        <f aca="false">N(S618)+$R619</f>
        <v>0</v>
      </c>
      <c r="T619" s="1" t="n">
        <f aca="false">IF(AND($K619=1,AND(对接源_01水果!$X619="公司筐",N(对接源_01水果!$V619)&lt;&gt;0)),1,0)</f>
        <v>0</v>
      </c>
      <c r="U619" s="1" t="n">
        <f aca="false">N(U618)+$T619</f>
        <v>28</v>
      </c>
      <c r="V619" s="1" t="n">
        <f aca="false">IF(AND($L619=1,AND(对接源_01水果!$X619="自备筐",N(对接源_01水果!$V619)&lt;&gt;0)),1,0)</f>
        <v>0</v>
      </c>
      <c r="W619" s="1" t="n">
        <f aca="false">N(W618)+$V619</f>
        <v>7</v>
      </c>
      <c r="X619" s="1" t="n">
        <f aca="false">IF(AND($L619=1,AND(对接源_01水果!$X619="自备筐",N(对接源_01水果!$T619)&lt;&gt;0)),1,0)</f>
        <v>0</v>
      </c>
      <c r="Y619" s="1" t="n">
        <f aca="false">N(Y618)+$X619</f>
        <v>0</v>
      </c>
      <c r="Z619" s="1" t="n">
        <f aca="false">IF(AND($M619=1,对接源_01水果!$D619="原料入库"),1,0)</f>
        <v>0</v>
      </c>
      <c r="AA619" s="1" t="n">
        <f aca="false">N(AA618)+$Z619</f>
        <v>30</v>
      </c>
      <c r="AB619" s="1" t="n">
        <f aca="false">IF(AND($M619=1,LEFT(对接源_01水果!$D619,4)="原料出库"),1,0)</f>
        <v>0</v>
      </c>
      <c r="AC619" s="1" t="n">
        <f aca="false">N(AC618)+$AB619</f>
        <v>19</v>
      </c>
      <c r="AD619" s="1" t="n">
        <f aca="false">IF(AND($M619=1,LEFT(对接源_01水果!$D619,4)="成品出库"),1,0)</f>
        <v>0</v>
      </c>
      <c r="AE619" s="1" t="n">
        <f aca="false">N(AE618)+$AD619</f>
        <v>38</v>
      </c>
      <c r="AF619" s="1" t="n">
        <f aca="false">IF(AND($N619=1,AND(LEFT(对接源_01水果!$D619,4)="包装物料",N(对接源_01水果!$K619)&lt;&gt;0)),1,0)</f>
        <v>0</v>
      </c>
      <c r="AG619" s="90" t="str">
        <f aca="false">IF(对接源_01水果!$AC619="","",对接源_01水果!$AC619)</f>
        <v/>
      </c>
      <c r="AH619" s="1" t="n">
        <f aca="false">IF(AND($N619=1,AND(LEFT(对接源_01水果!$D619,3)="周转筐",N(对接源_01水果!$K619)&lt;&gt;0)),1,0)</f>
        <v>0</v>
      </c>
      <c r="AI619" s="90" t="n">
        <f aca="false">IF(AG619="",0,IF(MATCH(AG619,$AG$4:$AG$1203,0)=ROW()-3,1,0))</f>
        <v>0</v>
      </c>
      <c r="AJ619" s="90" t="n">
        <f aca="false">N(AJ618)+AI619</f>
        <v>4</v>
      </c>
      <c r="AK619" s="1" t="n">
        <f aca="false">N(AK618)+$AJ619</f>
        <v>1336</v>
      </c>
    </row>
    <row r="620" customFormat="false" ht="13.5" hidden="false" customHeight="false" outlineLevel="0" collapsed="false">
      <c r="A620" s="1" t="str">
        <f aca="false">IF(对接源_01水果!$C620="","",对接源_01水果!$C620)</f>
        <v/>
      </c>
      <c r="B620" s="1" t="n">
        <f aca="false">IF(A620="",0,IF(MATCH(A620,$A$4:$A$2403,0)=ROW()-3,1,0))</f>
        <v>0</v>
      </c>
      <c r="C620" s="1" t="n">
        <f aca="false">N(C619)+B620</f>
        <v>13</v>
      </c>
      <c r="K620" s="1" t="n">
        <f aca="false">IF(OR($K$1="",对接源_01水果!$C620="",对接源_01水果!$C620&lt;&gt;$K$1,对接源_01水果!$B620=""),0,IF(OR(N(对接源_01水果!$B620)&lt;$K$2,N(对接源_01水果!$B620)&gt;$K$3),0,1))</f>
        <v>0</v>
      </c>
      <c r="L620" s="1" t="n">
        <f aca="false">IF(OR($L$1="",对接源_01水果!$C620="",对接源_01水果!$C620&lt;&gt;$L$1,对接源_01水果!$B620=""),0,IF(OR(N(对接源_01水果!$B620)&lt;$L$2,N(对接源_01水果!$B620)&gt;$L$3),0,1))</f>
        <v>0</v>
      </c>
      <c r="M620" s="1" t="n">
        <f aca="false">IF(OR($M$1="",对接源_01水果!$C620="",对接源_01水果!$C620&lt;&gt;$M$1,对接源_01水果!$B620=""),0,IF(OR(N(对接源_01水果!$B620)&lt;$M$2,N(对接源_01水果!$B620)&gt;$M$3),0,1))</f>
        <v>0</v>
      </c>
      <c r="N620" s="1" t="n">
        <f aca="false">IF(OR($N$1="",对接源_01水果!$C620="",对接源_01水果!$C620&lt;&gt;$N$1,对接源_01水果!$B620=""),0,IF(OR(N(对接源_01水果!$B620)&lt;$N$2,N(对接源_01水果!$B620)&gt;$N$3),0,1))</f>
        <v>0</v>
      </c>
      <c r="P620" s="1" t="n">
        <f aca="false">IF(AND($K620=1,AND(对接源_01水果!$X620="公司筐",N(对接源_01水果!$T620)&lt;&gt;0)),1,0)</f>
        <v>0</v>
      </c>
      <c r="Q620" s="1" t="n">
        <f aca="false">N(Q619)+$P620</f>
        <v>3</v>
      </c>
      <c r="R620" s="1" t="n">
        <f aca="false">IF(AND($K620=1,AND(对接源_01水果!$X620="公司筐",N(对接源_01水果!$U620)&lt;&gt;0)),1,0)</f>
        <v>0</v>
      </c>
      <c r="S620" s="1" t="n">
        <f aca="false">N(S619)+$R620</f>
        <v>0</v>
      </c>
      <c r="T620" s="1" t="n">
        <f aca="false">IF(AND($K620=1,AND(对接源_01水果!$X620="公司筐",N(对接源_01水果!$V620)&lt;&gt;0)),1,0)</f>
        <v>0</v>
      </c>
      <c r="U620" s="1" t="n">
        <f aca="false">N(U619)+$T620</f>
        <v>28</v>
      </c>
      <c r="V620" s="1" t="n">
        <f aca="false">IF(AND($L620=1,AND(对接源_01水果!$X620="自备筐",N(对接源_01水果!$V620)&lt;&gt;0)),1,0)</f>
        <v>0</v>
      </c>
      <c r="W620" s="1" t="n">
        <f aca="false">N(W619)+$V620</f>
        <v>7</v>
      </c>
      <c r="X620" s="1" t="n">
        <f aca="false">IF(AND($L620=1,AND(对接源_01水果!$X620="自备筐",N(对接源_01水果!$T620)&lt;&gt;0)),1,0)</f>
        <v>0</v>
      </c>
      <c r="Y620" s="1" t="n">
        <f aca="false">N(Y619)+$X620</f>
        <v>0</v>
      </c>
      <c r="Z620" s="1" t="n">
        <f aca="false">IF(AND($M620=1,对接源_01水果!$D620="原料入库"),1,0)</f>
        <v>0</v>
      </c>
      <c r="AA620" s="1" t="n">
        <f aca="false">N(AA619)+$Z620</f>
        <v>30</v>
      </c>
      <c r="AB620" s="1" t="n">
        <f aca="false">IF(AND($M620=1,LEFT(对接源_01水果!$D620,4)="原料出库"),1,0)</f>
        <v>0</v>
      </c>
      <c r="AC620" s="1" t="n">
        <f aca="false">N(AC619)+$AB620</f>
        <v>19</v>
      </c>
      <c r="AD620" s="1" t="n">
        <f aca="false">IF(AND($M620=1,LEFT(对接源_01水果!$D620,4)="成品出库"),1,0)</f>
        <v>0</v>
      </c>
      <c r="AE620" s="1" t="n">
        <f aca="false">N(AE619)+$AD620</f>
        <v>38</v>
      </c>
      <c r="AF620" s="1" t="n">
        <f aca="false">IF(AND($N620=1,AND(LEFT(对接源_01水果!$D620,4)="包装物料",N(对接源_01水果!$K620)&lt;&gt;0)),1,0)</f>
        <v>0</v>
      </c>
      <c r="AG620" s="90" t="str">
        <f aca="false">IF(对接源_01水果!$AC620="","",对接源_01水果!$AC620)</f>
        <v/>
      </c>
      <c r="AH620" s="1" t="n">
        <f aca="false">IF(AND($N620=1,AND(LEFT(对接源_01水果!$D620,3)="周转筐",N(对接源_01水果!$K620)&lt;&gt;0)),1,0)</f>
        <v>0</v>
      </c>
      <c r="AI620" s="90" t="n">
        <f aca="false">IF(AG620="",0,IF(MATCH(AG620,$AG$4:$AG$1203,0)=ROW()-3,1,0))</f>
        <v>0</v>
      </c>
      <c r="AJ620" s="90" t="n">
        <f aca="false">N(AJ619)+AI620</f>
        <v>4</v>
      </c>
      <c r="AK620" s="1" t="n">
        <f aca="false">N(AK619)+$AJ620</f>
        <v>1340</v>
      </c>
    </row>
    <row r="621" customFormat="false" ht="13.5" hidden="false" customHeight="false" outlineLevel="0" collapsed="false">
      <c r="A621" s="1" t="str">
        <f aca="false">IF(对接源_01水果!$C621="","",对接源_01水果!$C621)</f>
        <v/>
      </c>
      <c r="B621" s="1" t="n">
        <f aca="false">IF(A621="",0,IF(MATCH(A621,$A$4:$A$2403,0)=ROW()-3,1,0))</f>
        <v>0</v>
      </c>
      <c r="C621" s="1" t="n">
        <f aca="false">N(C620)+B621</f>
        <v>13</v>
      </c>
      <c r="K621" s="1" t="n">
        <f aca="false">IF(OR($K$1="",对接源_01水果!$C621="",对接源_01水果!$C621&lt;&gt;$K$1,对接源_01水果!$B621=""),0,IF(OR(N(对接源_01水果!$B621)&lt;$K$2,N(对接源_01水果!$B621)&gt;$K$3),0,1))</f>
        <v>0</v>
      </c>
      <c r="L621" s="1" t="n">
        <f aca="false">IF(OR($L$1="",对接源_01水果!$C621="",对接源_01水果!$C621&lt;&gt;$L$1,对接源_01水果!$B621=""),0,IF(OR(N(对接源_01水果!$B621)&lt;$L$2,N(对接源_01水果!$B621)&gt;$L$3),0,1))</f>
        <v>0</v>
      </c>
      <c r="M621" s="1" t="n">
        <f aca="false">IF(OR($M$1="",对接源_01水果!$C621="",对接源_01水果!$C621&lt;&gt;$M$1,对接源_01水果!$B621=""),0,IF(OR(N(对接源_01水果!$B621)&lt;$M$2,N(对接源_01水果!$B621)&gt;$M$3),0,1))</f>
        <v>0</v>
      </c>
      <c r="N621" s="1" t="n">
        <f aca="false">IF(OR($N$1="",对接源_01水果!$C621="",对接源_01水果!$C621&lt;&gt;$N$1,对接源_01水果!$B621=""),0,IF(OR(N(对接源_01水果!$B621)&lt;$N$2,N(对接源_01水果!$B621)&gt;$N$3),0,1))</f>
        <v>0</v>
      </c>
      <c r="P621" s="1" t="n">
        <f aca="false">IF(AND($K621=1,AND(对接源_01水果!$X621="公司筐",N(对接源_01水果!$T621)&lt;&gt;0)),1,0)</f>
        <v>0</v>
      </c>
      <c r="Q621" s="1" t="n">
        <f aca="false">N(Q620)+$P621</f>
        <v>3</v>
      </c>
      <c r="R621" s="1" t="n">
        <f aca="false">IF(AND($K621=1,AND(对接源_01水果!$X621="公司筐",N(对接源_01水果!$U621)&lt;&gt;0)),1,0)</f>
        <v>0</v>
      </c>
      <c r="S621" s="1" t="n">
        <f aca="false">N(S620)+$R621</f>
        <v>0</v>
      </c>
      <c r="T621" s="1" t="n">
        <f aca="false">IF(AND($K621=1,AND(对接源_01水果!$X621="公司筐",N(对接源_01水果!$V621)&lt;&gt;0)),1,0)</f>
        <v>0</v>
      </c>
      <c r="U621" s="1" t="n">
        <f aca="false">N(U620)+$T621</f>
        <v>28</v>
      </c>
      <c r="V621" s="1" t="n">
        <f aca="false">IF(AND($L621=1,AND(对接源_01水果!$X621="自备筐",N(对接源_01水果!$V621)&lt;&gt;0)),1,0)</f>
        <v>0</v>
      </c>
      <c r="W621" s="1" t="n">
        <f aca="false">N(W620)+$V621</f>
        <v>7</v>
      </c>
      <c r="X621" s="1" t="n">
        <f aca="false">IF(AND($L621=1,AND(对接源_01水果!$X621="自备筐",N(对接源_01水果!$T621)&lt;&gt;0)),1,0)</f>
        <v>0</v>
      </c>
      <c r="Y621" s="1" t="n">
        <f aca="false">N(Y620)+$X621</f>
        <v>0</v>
      </c>
      <c r="Z621" s="1" t="n">
        <f aca="false">IF(AND($M621=1,对接源_01水果!$D621="原料入库"),1,0)</f>
        <v>0</v>
      </c>
      <c r="AA621" s="1" t="n">
        <f aca="false">N(AA620)+$Z621</f>
        <v>30</v>
      </c>
      <c r="AB621" s="1" t="n">
        <f aca="false">IF(AND($M621=1,LEFT(对接源_01水果!$D621,4)="原料出库"),1,0)</f>
        <v>0</v>
      </c>
      <c r="AC621" s="1" t="n">
        <f aca="false">N(AC620)+$AB621</f>
        <v>19</v>
      </c>
      <c r="AD621" s="1" t="n">
        <f aca="false">IF(AND($M621=1,LEFT(对接源_01水果!$D621,4)="成品出库"),1,0)</f>
        <v>0</v>
      </c>
      <c r="AE621" s="1" t="n">
        <f aca="false">N(AE620)+$AD621</f>
        <v>38</v>
      </c>
      <c r="AF621" s="1" t="n">
        <f aca="false">IF(AND($N621=1,AND(LEFT(对接源_01水果!$D621,4)="包装物料",N(对接源_01水果!$K621)&lt;&gt;0)),1,0)</f>
        <v>0</v>
      </c>
      <c r="AG621" s="90" t="str">
        <f aca="false">IF(对接源_01水果!$AC621="","",对接源_01水果!$AC621)</f>
        <v/>
      </c>
      <c r="AH621" s="1" t="n">
        <f aca="false">IF(AND($N621=1,AND(LEFT(对接源_01水果!$D621,3)="周转筐",N(对接源_01水果!$K621)&lt;&gt;0)),1,0)</f>
        <v>0</v>
      </c>
      <c r="AI621" s="90" t="n">
        <f aca="false">IF(AG621="",0,IF(MATCH(AG621,$AG$4:$AG$1203,0)=ROW()-3,1,0))</f>
        <v>0</v>
      </c>
      <c r="AJ621" s="90" t="n">
        <f aca="false">N(AJ620)+AI621</f>
        <v>4</v>
      </c>
      <c r="AK621" s="1" t="n">
        <f aca="false">N(AK620)+$AJ621</f>
        <v>1344</v>
      </c>
    </row>
    <row r="622" customFormat="false" ht="13.5" hidden="false" customHeight="false" outlineLevel="0" collapsed="false">
      <c r="A622" s="1" t="str">
        <f aca="false">IF(对接源_01水果!$C622="","",对接源_01水果!$C622)</f>
        <v/>
      </c>
      <c r="B622" s="1" t="n">
        <f aca="false">IF(A622="",0,IF(MATCH(A622,$A$4:$A$2403,0)=ROW()-3,1,0))</f>
        <v>0</v>
      </c>
      <c r="C622" s="1" t="n">
        <f aca="false">N(C621)+B622</f>
        <v>13</v>
      </c>
      <c r="K622" s="1" t="n">
        <f aca="false">IF(OR($K$1="",对接源_01水果!$C622="",对接源_01水果!$C622&lt;&gt;$K$1,对接源_01水果!$B622=""),0,IF(OR(N(对接源_01水果!$B622)&lt;$K$2,N(对接源_01水果!$B622)&gt;$K$3),0,1))</f>
        <v>0</v>
      </c>
      <c r="L622" s="1" t="n">
        <f aca="false">IF(OR($L$1="",对接源_01水果!$C622="",对接源_01水果!$C622&lt;&gt;$L$1,对接源_01水果!$B622=""),0,IF(OR(N(对接源_01水果!$B622)&lt;$L$2,N(对接源_01水果!$B622)&gt;$L$3),0,1))</f>
        <v>0</v>
      </c>
      <c r="M622" s="1" t="n">
        <f aca="false">IF(OR($M$1="",对接源_01水果!$C622="",对接源_01水果!$C622&lt;&gt;$M$1,对接源_01水果!$B622=""),0,IF(OR(N(对接源_01水果!$B622)&lt;$M$2,N(对接源_01水果!$B622)&gt;$M$3),0,1))</f>
        <v>0</v>
      </c>
      <c r="N622" s="1" t="n">
        <f aca="false">IF(OR($N$1="",对接源_01水果!$C622="",对接源_01水果!$C622&lt;&gt;$N$1,对接源_01水果!$B622=""),0,IF(OR(N(对接源_01水果!$B622)&lt;$N$2,N(对接源_01水果!$B622)&gt;$N$3),0,1))</f>
        <v>0</v>
      </c>
      <c r="P622" s="1" t="n">
        <f aca="false">IF(AND($K622=1,AND(对接源_01水果!$X622="公司筐",N(对接源_01水果!$T622)&lt;&gt;0)),1,0)</f>
        <v>0</v>
      </c>
      <c r="Q622" s="1" t="n">
        <f aca="false">N(Q621)+$P622</f>
        <v>3</v>
      </c>
      <c r="R622" s="1" t="n">
        <f aca="false">IF(AND($K622=1,AND(对接源_01水果!$X622="公司筐",N(对接源_01水果!$U622)&lt;&gt;0)),1,0)</f>
        <v>0</v>
      </c>
      <c r="S622" s="1" t="n">
        <f aca="false">N(S621)+$R622</f>
        <v>0</v>
      </c>
      <c r="T622" s="1" t="n">
        <f aca="false">IF(AND($K622=1,AND(对接源_01水果!$X622="公司筐",N(对接源_01水果!$V622)&lt;&gt;0)),1,0)</f>
        <v>0</v>
      </c>
      <c r="U622" s="1" t="n">
        <f aca="false">N(U621)+$T622</f>
        <v>28</v>
      </c>
      <c r="V622" s="1" t="n">
        <f aca="false">IF(AND($L622=1,AND(对接源_01水果!$X622="自备筐",N(对接源_01水果!$V622)&lt;&gt;0)),1,0)</f>
        <v>0</v>
      </c>
      <c r="W622" s="1" t="n">
        <f aca="false">N(W621)+$V622</f>
        <v>7</v>
      </c>
      <c r="X622" s="1" t="n">
        <f aca="false">IF(AND($L622=1,AND(对接源_01水果!$X622="自备筐",N(对接源_01水果!$T622)&lt;&gt;0)),1,0)</f>
        <v>0</v>
      </c>
      <c r="Y622" s="1" t="n">
        <f aca="false">N(Y621)+$X622</f>
        <v>0</v>
      </c>
      <c r="Z622" s="1" t="n">
        <f aca="false">IF(AND($M622=1,对接源_01水果!$D622="原料入库"),1,0)</f>
        <v>0</v>
      </c>
      <c r="AA622" s="1" t="n">
        <f aca="false">N(AA621)+$Z622</f>
        <v>30</v>
      </c>
      <c r="AB622" s="1" t="n">
        <f aca="false">IF(AND($M622=1,LEFT(对接源_01水果!$D622,4)="原料出库"),1,0)</f>
        <v>0</v>
      </c>
      <c r="AC622" s="1" t="n">
        <f aca="false">N(AC621)+$AB622</f>
        <v>19</v>
      </c>
      <c r="AD622" s="1" t="n">
        <f aca="false">IF(AND($M622=1,LEFT(对接源_01水果!$D622,4)="成品出库"),1,0)</f>
        <v>0</v>
      </c>
      <c r="AE622" s="1" t="n">
        <f aca="false">N(AE621)+$AD622</f>
        <v>38</v>
      </c>
      <c r="AF622" s="1" t="n">
        <f aca="false">IF(AND($N622=1,AND(LEFT(对接源_01水果!$D622,4)="包装物料",N(对接源_01水果!$K622)&lt;&gt;0)),1,0)</f>
        <v>0</v>
      </c>
      <c r="AG622" s="90" t="str">
        <f aca="false">IF(对接源_01水果!$AC622="","",对接源_01水果!$AC622)</f>
        <v/>
      </c>
      <c r="AH622" s="1" t="n">
        <f aca="false">IF(AND($N622=1,AND(LEFT(对接源_01水果!$D622,3)="周转筐",N(对接源_01水果!$K622)&lt;&gt;0)),1,0)</f>
        <v>0</v>
      </c>
      <c r="AI622" s="90" t="n">
        <f aca="false">IF(AG622="",0,IF(MATCH(AG622,$AG$4:$AG$1203,0)=ROW()-3,1,0))</f>
        <v>0</v>
      </c>
      <c r="AJ622" s="90" t="n">
        <f aca="false">N(AJ621)+AI622</f>
        <v>4</v>
      </c>
      <c r="AK622" s="1" t="n">
        <f aca="false">N(AK621)+$AJ622</f>
        <v>1348</v>
      </c>
    </row>
    <row r="623" customFormat="false" ht="13.5" hidden="false" customHeight="false" outlineLevel="0" collapsed="false">
      <c r="A623" s="1" t="str">
        <f aca="false">IF(对接源_01水果!$C623="","",对接源_01水果!$C623)</f>
        <v/>
      </c>
      <c r="B623" s="1" t="n">
        <f aca="false">IF(A623="",0,IF(MATCH(A623,$A$4:$A$2403,0)=ROW()-3,1,0))</f>
        <v>0</v>
      </c>
      <c r="C623" s="1" t="n">
        <f aca="false">N(C622)+B623</f>
        <v>13</v>
      </c>
      <c r="K623" s="1" t="n">
        <f aca="false">IF(OR($K$1="",对接源_01水果!$C623="",对接源_01水果!$C623&lt;&gt;$K$1,对接源_01水果!$B623=""),0,IF(OR(N(对接源_01水果!$B623)&lt;$K$2,N(对接源_01水果!$B623)&gt;$K$3),0,1))</f>
        <v>0</v>
      </c>
      <c r="L623" s="1" t="n">
        <f aca="false">IF(OR($L$1="",对接源_01水果!$C623="",对接源_01水果!$C623&lt;&gt;$L$1,对接源_01水果!$B623=""),0,IF(OR(N(对接源_01水果!$B623)&lt;$L$2,N(对接源_01水果!$B623)&gt;$L$3),0,1))</f>
        <v>0</v>
      </c>
      <c r="M623" s="1" t="n">
        <f aca="false">IF(OR($M$1="",对接源_01水果!$C623="",对接源_01水果!$C623&lt;&gt;$M$1,对接源_01水果!$B623=""),0,IF(OR(N(对接源_01水果!$B623)&lt;$M$2,N(对接源_01水果!$B623)&gt;$M$3),0,1))</f>
        <v>0</v>
      </c>
      <c r="N623" s="1" t="n">
        <f aca="false">IF(OR($N$1="",对接源_01水果!$C623="",对接源_01水果!$C623&lt;&gt;$N$1,对接源_01水果!$B623=""),0,IF(OR(N(对接源_01水果!$B623)&lt;$N$2,N(对接源_01水果!$B623)&gt;$N$3),0,1))</f>
        <v>0</v>
      </c>
      <c r="P623" s="1" t="n">
        <f aca="false">IF(AND($K623=1,AND(对接源_01水果!$X623="公司筐",N(对接源_01水果!$T623)&lt;&gt;0)),1,0)</f>
        <v>0</v>
      </c>
      <c r="Q623" s="1" t="n">
        <f aca="false">N(Q622)+$P623</f>
        <v>3</v>
      </c>
      <c r="R623" s="1" t="n">
        <f aca="false">IF(AND($K623=1,AND(对接源_01水果!$X623="公司筐",N(对接源_01水果!$U623)&lt;&gt;0)),1,0)</f>
        <v>0</v>
      </c>
      <c r="S623" s="1" t="n">
        <f aca="false">N(S622)+$R623</f>
        <v>0</v>
      </c>
      <c r="T623" s="1" t="n">
        <f aca="false">IF(AND($K623=1,AND(对接源_01水果!$X623="公司筐",N(对接源_01水果!$V623)&lt;&gt;0)),1,0)</f>
        <v>0</v>
      </c>
      <c r="U623" s="1" t="n">
        <f aca="false">N(U622)+$T623</f>
        <v>28</v>
      </c>
      <c r="V623" s="1" t="n">
        <f aca="false">IF(AND($L623=1,AND(对接源_01水果!$X623="自备筐",N(对接源_01水果!$V623)&lt;&gt;0)),1,0)</f>
        <v>0</v>
      </c>
      <c r="W623" s="1" t="n">
        <f aca="false">N(W622)+$V623</f>
        <v>7</v>
      </c>
      <c r="X623" s="1" t="n">
        <f aca="false">IF(AND($L623=1,AND(对接源_01水果!$X623="自备筐",N(对接源_01水果!$T623)&lt;&gt;0)),1,0)</f>
        <v>0</v>
      </c>
      <c r="Y623" s="1" t="n">
        <f aca="false">N(Y622)+$X623</f>
        <v>0</v>
      </c>
      <c r="Z623" s="1" t="n">
        <f aca="false">IF(AND($M623=1,对接源_01水果!$D623="原料入库"),1,0)</f>
        <v>0</v>
      </c>
      <c r="AA623" s="1" t="n">
        <f aca="false">N(AA622)+$Z623</f>
        <v>30</v>
      </c>
      <c r="AB623" s="1" t="n">
        <f aca="false">IF(AND($M623=1,LEFT(对接源_01水果!$D623,4)="原料出库"),1,0)</f>
        <v>0</v>
      </c>
      <c r="AC623" s="1" t="n">
        <f aca="false">N(AC622)+$AB623</f>
        <v>19</v>
      </c>
      <c r="AD623" s="1" t="n">
        <f aca="false">IF(AND($M623=1,LEFT(对接源_01水果!$D623,4)="成品出库"),1,0)</f>
        <v>0</v>
      </c>
      <c r="AE623" s="1" t="n">
        <f aca="false">N(AE622)+$AD623</f>
        <v>38</v>
      </c>
      <c r="AF623" s="1" t="n">
        <f aca="false">IF(AND($N623=1,AND(LEFT(对接源_01水果!$D623,4)="包装物料",N(对接源_01水果!$K623)&lt;&gt;0)),1,0)</f>
        <v>0</v>
      </c>
      <c r="AG623" s="90" t="str">
        <f aca="false">IF(对接源_01水果!$AC623="","",对接源_01水果!$AC623)</f>
        <v/>
      </c>
      <c r="AH623" s="1" t="n">
        <f aca="false">IF(AND($N623=1,AND(LEFT(对接源_01水果!$D623,3)="周转筐",N(对接源_01水果!$K623)&lt;&gt;0)),1,0)</f>
        <v>0</v>
      </c>
      <c r="AI623" s="90" t="n">
        <f aca="false">IF(AG623="",0,IF(MATCH(AG623,$AG$4:$AG$1203,0)=ROW()-3,1,0))</f>
        <v>0</v>
      </c>
      <c r="AJ623" s="90" t="n">
        <f aca="false">N(AJ622)+AI623</f>
        <v>4</v>
      </c>
      <c r="AK623" s="1" t="n">
        <f aca="false">N(AK622)+$AJ623</f>
        <v>1352</v>
      </c>
    </row>
    <row r="624" customFormat="false" ht="13.5" hidden="false" customHeight="false" outlineLevel="0" collapsed="false">
      <c r="A624" s="1" t="str">
        <f aca="false">IF(对接源_01水果!$C624="","",对接源_01水果!$C624)</f>
        <v/>
      </c>
      <c r="B624" s="1" t="n">
        <f aca="false">IF(A624="",0,IF(MATCH(A624,$A$4:$A$2403,0)=ROW()-3,1,0))</f>
        <v>0</v>
      </c>
      <c r="C624" s="1" t="n">
        <f aca="false">N(C623)+B624</f>
        <v>13</v>
      </c>
      <c r="K624" s="1" t="n">
        <f aca="false">IF(OR($K$1="",对接源_01水果!$C624="",对接源_01水果!$C624&lt;&gt;$K$1,对接源_01水果!$B624=""),0,IF(OR(N(对接源_01水果!$B624)&lt;$K$2,N(对接源_01水果!$B624)&gt;$K$3),0,1))</f>
        <v>0</v>
      </c>
      <c r="L624" s="1" t="n">
        <f aca="false">IF(OR($L$1="",对接源_01水果!$C624="",对接源_01水果!$C624&lt;&gt;$L$1,对接源_01水果!$B624=""),0,IF(OR(N(对接源_01水果!$B624)&lt;$L$2,N(对接源_01水果!$B624)&gt;$L$3),0,1))</f>
        <v>0</v>
      </c>
      <c r="M624" s="1" t="n">
        <f aca="false">IF(OR($M$1="",对接源_01水果!$C624="",对接源_01水果!$C624&lt;&gt;$M$1,对接源_01水果!$B624=""),0,IF(OR(N(对接源_01水果!$B624)&lt;$M$2,N(对接源_01水果!$B624)&gt;$M$3),0,1))</f>
        <v>0</v>
      </c>
      <c r="N624" s="1" t="n">
        <f aca="false">IF(OR($N$1="",对接源_01水果!$C624="",对接源_01水果!$C624&lt;&gt;$N$1,对接源_01水果!$B624=""),0,IF(OR(N(对接源_01水果!$B624)&lt;$N$2,N(对接源_01水果!$B624)&gt;$N$3),0,1))</f>
        <v>0</v>
      </c>
      <c r="P624" s="1" t="n">
        <f aca="false">IF(AND($K624=1,AND(对接源_01水果!$X624="公司筐",N(对接源_01水果!$T624)&lt;&gt;0)),1,0)</f>
        <v>0</v>
      </c>
      <c r="Q624" s="1" t="n">
        <f aca="false">N(Q623)+$P624</f>
        <v>3</v>
      </c>
      <c r="R624" s="1" t="n">
        <f aca="false">IF(AND($K624=1,AND(对接源_01水果!$X624="公司筐",N(对接源_01水果!$U624)&lt;&gt;0)),1,0)</f>
        <v>0</v>
      </c>
      <c r="S624" s="1" t="n">
        <f aca="false">N(S623)+$R624</f>
        <v>0</v>
      </c>
      <c r="T624" s="1" t="n">
        <f aca="false">IF(AND($K624=1,AND(对接源_01水果!$X624="公司筐",N(对接源_01水果!$V624)&lt;&gt;0)),1,0)</f>
        <v>0</v>
      </c>
      <c r="U624" s="1" t="n">
        <f aca="false">N(U623)+$T624</f>
        <v>28</v>
      </c>
      <c r="V624" s="1" t="n">
        <f aca="false">IF(AND($L624=1,AND(对接源_01水果!$X624="自备筐",N(对接源_01水果!$V624)&lt;&gt;0)),1,0)</f>
        <v>0</v>
      </c>
      <c r="W624" s="1" t="n">
        <f aca="false">N(W623)+$V624</f>
        <v>7</v>
      </c>
      <c r="X624" s="1" t="n">
        <f aca="false">IF(AND($L624=1,AND(对接源_01水果!$X624="自备筐",N(对接源_01水果!$T624)&lt;&gt;0)),1,0)</f>
        <v>0</v>
      </c>
      <c r="Y624" s="1" t="n">
        <f aca="false">N(Y623)+$X624</f>
        <v>0</v>
      </c>
      <c r="Z624" s="1" t="n">
        <f aca="false">IF(AND($M624=1,对接源_01水果!$D624="原料入库"),1,0)</f>
        <v>0</v>
      </c>
      <c r="AA624" s="1" t="n">
        <f aca="false">N(AA623)+$Z624</f>
        <v>30</v>
      </c>
      <c r="AB624" s="1" t="n">
        <f aca="false">IF(AND($M624=1,LEFT(对接源_01水果!$D624,4)="原料出库"),1,0)</f>
        <v>0</v>
      </c>
      <c r="AC624" s="1" t="n">
        <f aca="false">N(AC623)+$AB624</f>
        <v>19</v>
      </c>
      <c r="AD624" s="1" t="n">
        <f aca="false">IF(AND($M624=1,LEFT(对接源_01水果!$D624,4)="成品出库"),1,0)</f>
        <v>0</v>
      </c>
      <c r="AE624" s="1" t="n">
        <f aca="false">N(AE623)+$AD624</f>
        <v>38</v>
      </c>
      <c r="AF624" s="1" t="n">
        <f aca="false">IF(AND($N624=1,AND(LEFT(对接源_01水果!$D624,4)="包装物料",N(对接源_01水果!$K624)&lt;&gt;0)),1,0)</f>
        <v>0</v>
      </c>
      <c r="AG624" s="90" t="str">
        <f aca="false">IF(对接源_01水果!$AC624="","",对接源_01水果!$AC624)</f>
        <v/>
      </c>
      <c r="AH624" s="1" t="n">
        <f aca="false">IF(AND($N624=1,AND(LEFT(对接源_01水果!$D624,3)="周转筐",N(对接源_01水果!$K624)&lt;&gt;0)),1,0)</f>
        <v>0</v>
      </c>
      <c r="AI624" s="90" t="n">
        <f aca="false">IF(AG624="",0,IF(MATCH(AG624,$AG$4:$AG$1203,0)=ROW()-3,1,0))</f>
        <v>0</v>
      </c>
      <c r="AJ624" s="90" t="n">
        <f aca="false">N(AJ623)+AI624</f>
        <v>4</v>
      </c>
      <c r="AK624" s="1" t="n">
        <f aca="false">N(AK623)+$AJ624</f>
        <v>1356</v>
      </c>
    </row>
    <row r="625" customFormat="false" ht="13.5" hidden="false" customHeight="false" outlineLevel="0" collapsed="false">
      <c r="A625" s="1" t="str">
        <f aca="false">IF(对接源_01水果!$C625="","",对接源_01水果!$C625)</f>
        <v/>
      </c>
      <c r="B625" s="1" t="n">
        <f aca="false">IF(A625="",0,IF(MATCH(A625,$A$4:$A$2403,0)=ROW()-3,1,0))</f>
        <v>0</v>
      </c>
      <c r="C625" s="1" t="n">
        <f aca="false">N(C624)+B625</f>
        <v>13</v>
      </c>
      <c r="K625" s="1" t="n">
        <f aca="false">IF(OR($K$1="",对接源_01水果!$C625="",对接源_01水果!$C625&lt;&gt;$K$1,对接源_01水果!$B625=""),0,IF(OR(N(对接源_01水果!$B625)&lt;$K$2,N(对接源_01水果!$B625)&gt;$K$3),0,1))</f>
        <v>0</v>
      </c>
      <c r="L625" s="1" t="n">
        <f aca="false">IF(OR($L$1="",对接源_01水果!$C625="",对接源_01水果!$C625&lt;&gt;$L$1,对接源_01水果!$B625=""),0,IF(OR(N(对接源_01水果!$B625)&lt;$L$2,N(对接源_01水果!$B625)&gt;$L$3),0,1))</f>
        <v>0</v>
      </c>
      <c r="M625" s="1" t="n">
        <f aca="false">IF(OR($M$1="",对接源_01水果!$C625="",对接源_01水果!$C625&lt;&gt;$M$1,对接源_01水果!$B625=""),0,IF(OR(N(对接源_01水果!$B625)&lt;$M$2,N(对接源_01水果!$B625)&gt;$M$3),0,1))</f>
        <v>0</v>
      </c>
      <c r="N625" s="1" t="n">
        <f aca="false">IF(OR($N$1="",对接源_01水果!$C625="",对接源_01水果!$C625&lt;&gt;$N$1,对接源_01水果!$B625=""),0,IF(OR(N(对接源_01水果!$B625)&lt;$N$2,N(对接源_01水果!$B625)&gt;$N$3),0,1))</f>
        <v>0</v>
      </c>
      <c r="P625" s="1" t="n">
        <f aca="false">IF(AND($K625=1,AND(对接源_01水果!$X625="公司筐",N(对接源_01水果!$T625)&lt;&gt;0)),1,0)</f>
        <v>0</v>
      </c>
      <c r="Q625" s="1" t="n">
        <f aca="false">N(Q624)+$P625</f>
        <v>3</v>
      </c>
      <c r="R625" s="1" t="n">
        <f aca="false">IF(AND($K625=1,AND(对接源_01水果!$X625="公司筐",N(对接源_01水果!$U625)&lt;&gt;0)),1,0)</f>
        <v>0</v>
      </c>
      <c r="S625" s="1" t="n">
        <f aca="false">N(S624)+$R625</f>
        <v>0</v>
      </c>
      <c r="T625" s="1" t="n">
        <f aca="false">IF(AND($K625=1,AND(对接源_01水果!$X625="公司筐",N(对接源_01水果!$V625)&lt;&gt;0)),1,0)</f>
        <v>0</v>
      </c>
      <c r="U625" s="1" t="n">
        <f aca="false">N(U624)+$T625</f>
        <v>28</v>
      </c>
      <c r="V625" s="1" t="n">
        <f aca="false">IF(AND($L625=1,AND(对接源_01水果!$X625="自备筐",N(对接源_01水果!$V625)&lt;&gt;0)),1,0)</f>
        <v>0</v>
      </c>
      <c r="W625" s="1" t="n">
        <f aca="false">N(W624)+$V625</f>
        <v>7</v>
      </c>
      <c r="X625" s="1" t="n">
        <f aca="false">IF(AND($L625=1,AND(对接源_01水果!$X625="自备筐",N(对接源_01水果!$T625)&lt;&gt;0)),1,0)</f>
        <v>0</v>
      </c>
      <c r="Y625" s="1" t="n">
        <f aca="false">N(Y624)+$X625</f>
        <v>0</v>
      </c>
      <c r="Z625" s="1" t="n">
        <f aca="false">IF(AND($M625=1,对接源_01水果!$D625="原料入库"),1,0)</f>
        <v>0</v>
      </c>
      <c r="AA625" s="1" t="n">
        <f aca="false">N(AA624)+$Z625</f>
        <v>30</v>
      </c>
      <c r="AB625" s="1" t="n">
        <f aca="false">IF(AND($M625=1,LEFT(对接源_01水果!$D625,4)="原料出库"),1,0)</f>
        <v>0</v>
      </c>
      <c r="AC625" s="1" t="n">
        <f aca="false">N(AC624)+$AB625</f>
        <v>19</v>
      </c>
      <c r="AD625" s="1" t="n">
        <f aca="false">IF(AND($M625=1,LEFT(对接源_01水果!$D625,4)="成品出库"),1,0)</f>
        <v>0</v>
      </c>
      <c r="AE625" s="1" t="n">
        <f aca="false">N(AE624)+$AD625</f>
        <v>38</v>
      </c>
      <c r="AF625" s="1" t="n">
        <f aca="false">IF(AND($N625=1,AND(LEFT(对接源_01水果!$D625,4)="包装物料",N(对接源_01水果!$K625)&lt;&gt;0)),1,0)</f>
        <v>0</v>
      </c>
      <c r="AG625" s="90" t="str">
        <f aca="false">IF(对接源_01水果!$AC625="","",对接源_01水果!$AC625)</f>
        <v/>
      </c>
      <c r="AH625" s="1" t="n">
        <f aca="false">IF(AND($N625=1,AND(LEFT(对接源_01水果!$D625,3)="周转筐",N(对接源_01水果!$K625)&lt;&gt;0)),1,0)</f>
        <v>0</v>
      </c>
      <c r="AI625" s="90" t="n">
        <f aca="false">IF(AG625="",0,IF(MATCH(AG625,$AG$4:$AG$1203,0)=ROW()-3,1,0))</f>
        <v>0</v>
      </c>
      <c r="AJ625" s="90" t="n">
        <f aca="false">N(AJ624)+AI625</f>
        <v>4</v>
      </c>
      <c r="AK625" s="1" t="n">
        <f aca="false">N(AK624)+$AJ625</f>
        <v>1360</v>
      </c>
    </row>
    <row r="626" customFormat="false" ht="13.5" hidden="false" customHeight="false" outlineLevel="0" collapsed="false">
      <c r="A626" s="1" t="str">
        <f aca="false">IF(对接源_01水果!$C626="","",对接源_01水果!$C626)</f>
        <v/>
      </c>
      <c r="B626" s="1" t="n">
        <f aca="false">IF(A626="",0,IF(MATCH(A626,$A$4:$A$2403,0)=ROW()-3,1,0))</f>
        <v>0</v>
      </c>
      <c r="C626" s="1" t="n">
        <f aca="false">N(C625)+B626</f>
        <v>13</v>
      </c>
      <c r="K626" s="1" t="n">
        <f aca="false">IF(OR($K$1="",对接源_01水果!$C626="",对接源_01水果!$C626&lt;&gt;$K$1,对接源_01水果!$B626=""),0,IF(OR(N(对接源_01水果!$B626)&lt;$K$2,N(对接源_01水果!$B626)&gt;$K$3),0,1))</f>
        <v>0</v>
      </c>
      <c r="L626" s="1" t="n">
        <f aca="false">IF(OR($L$1="",对接源_01水果!$C626="",对接源_01水果!$C626&lt;&gt;$L$1,对接源_01水果!$B626=""),0,IF(OR(N(对接源_01水果!$B626)&lt;$L$2,N(对接源_01水果!$B626)&gt;$L$3),0,1))</f>
        <v>0</v>
      </c>
      <c r="M626" s="1" t="n">
        <f aca="false">IF(OR($M$1="",对接源_01水果!$C626="",对接源_01水果!$C626&lt;&gt;$M$1,对接源_01水果!$B626=""),0,IF(OR(N(对接源_01水果!$B626)&lt;$M$2,N(对接源_01水果!$B626)&gt;$M$3),0,1))</f>
        <v>0</v>
      </c>
      <c r="N626" s="1" t="n">
        <f aca="false">IF(OR($N$1="",对接源_01水果!$C626="",对接源_01水果!$C626&lt;&gt;$N$1,对接源_01水果!$B626=""),0,IF(OR(N(对接源_01水果!$B626)&lt;$N$2,N(对接源_01水果!$B626)&gt;$N$3),0,1))</f>
        <v>0</v>
      </c>
      <c r="P626" s="1" t="n">
        <f aca="false">IF(AND($K626=1,AND(对接源_01水果!$X626="公司筐",N(对接源_01水果!$T626)&lt;&gt;0)),1,0)</f>
        <v>0</v>
      </c>
      <c r="Q626" s="1" t="n">
        <f aca="false">N(Q625)+$P626</f>
        <v>3</v>
      </c>
      <c r="R626" s="1" t="n">
        <f aca="false">IF(AND($K626=1,AND(对接源_01水果!$X626="公司筐",N(对接源_01水果!$U626)&lt;&gt;0)),1,0)</f>
        <v>0</v>
      </c>
      <c r="S626" s="1" t="n">
        <f aca="false">N(S625)+$R626</f>
        <v>0</v>
      </c>
      <c r="T626" s="1" t="n">
        <f aca="false">IF(AND($K626=1,AND(对接源_01水果!$X626="公司筐",N(对接源_01水果!$V626)&lt;&gt;0)),1,0)</f>
        <v>0</v>
      </c>
      <c r="U626" s="1" t="n">
        <f aca="false">N(U625)+$T626</f>
        <v>28</v>
      </c>
      <c r="V626" s="1" t="n">
        <f aca="false">IF(AND($L626=1,AND(对接源_01水果!$X626="自备筐",N(对接源_01水果!$V626)&lt;&gt;0)),1,0)</f>
        <v>0</v>
      </c>
      <c r="W626" s="1" t="n">
        <f aca="false">N(W625)+$V626</f>
        <v>7</v>
      </c>
      <c r="X626" s="1" t="n">
        <f aca="false">IF(AND($L626=1,AND(对接源_01水果!$X626="自备筐",N(对接源_01水果!$T626)&lt;&gt;0)),1,0)</f>
        <v>0</v>
      </c>
      <c r="Y626" s="1" t="n">
        <f aca="false">N(Y625)+$X626</f>
        <v>0</v>
      </c>
      <c r="Z626" s="1" t="n">
        <f aca="false">IF(AND($M626=1,对接源_01水果!$D626="原料入库"),1,0)</f>
        <v>0</v>
      </c>
      <c r="AA626" s="1" t="n">
        <f aca="false">N(AA625)+$Z626</f>
        <v>30</v>
      </c>
      <c r="AB626" s="1" t="n">
        <f aca="false">IF(AND($M626=1,LEFT(对接源_01水果!$D626,4)="原料出库"),1,0)</f>
        <v>0</v>
      </c>
      <c r="AC626" s="1" t="n">
        <f aca="false">N(AC625)+$AB626</f>
        <v>19</v>
      </c>
      <c r="AD626" s="1" t="n">
        <f aca="false">IF(AND($M626=1,LEFT(对接源_01水果!$D626,4)="成品出库"),1,0)</f>
        <v>0</v>
      </c>
      <c r="AE626" s="1" t="n">
        <f aca="false">N(AE625)+$AD626</f>
        <v>38</v>
      </c>
      <c r="AF626" s="1" t="n">
        <f aca="false">IF(AND($N626=1,AND(LEFT(对接源_01水果!$D626,4)="包装物料",N(对接源_01水果!$K626)&lt;&gt;0)),1,0)</f>
        <v>0</v>
      </c>
      <c r="AG626" s="90" t="str">
        <f aca="false">IF(对接源_01水果!$AC626="","",对接源_01水果!$AC626)</f>
        <v/>
      </c>
      <c r="AH626" s="1" t="n">
        <f aca="false">IF(AND($N626=1,AND(LEFT(对接源_01水果!$D626,3)="周转筐",N(对接源_01水果!$K626)&lt;&gt;0)),1,0)</f>
        <v>0</v>
      </c>
      <c r="AI626" s="90" t="n">
        <f aca="false">IF(AG626="",0,IF(MATCH(AG626,$AG$4:$AG$1203,0)=ROW()-3,1,0))</f>
        <v>0</v>
      </c>
      <c r="AJ626" s="90" t="n">
        <f aca="false">N(AJ625)+AI626</f>
        <v>4</v>
      </c>
      <c r="AK626" s="1" t="n">
        <f aca="false">N(AK625)+$AJ626</f>
        <v>1364</v>
      </c>
    </row>
    <row r="627" customFormat="false" ht="13.5" hidden="false" customHeight="false" outlineLevel="0" collapsed="false">
      <c r="A627" s="1" t="str">
        <f aca="false">IF(对接源_01水果!$C627="","",对接源_01水果!$C627)</f>
        <v/>
      </c>
      <c r="B627" s="1" t="n">
        <f aca="false">IF(A627="",0,IF(MATCH(A627,$A$4:$A$2403,0)=ROW()-3,1,0))</f>
        <v>0</v>
      </c>
      <c r="C627" s="1" t="n">
        <f aca="false">N(C626)+B627</f>
        <v>13</v>
      </c>
      <c r="K627" s="1" t="n">
        <f aca="false">IF(OR($K$1="",对接源_01水果!$C627="",对接源_01水果!$C627&lt;&gt;$K$1,对接源_01水果!$B627=""),0,IF(OR(N(对接源_01水果!$B627)&lt;$K$2,N(对接源_01水果!$B627)&gt;$K$3),0,1))</f>
        <v>0</v>
      </c>
      <c r="L627" s="1" t="n">
        <f aca="false">IF(OR($L$1="",对接源_01水果!$C627="",对接源_01水果!$C627&lt;&gt;$L$1,对接源_01水果!$B627=""),0,IF(OR(N(对接源_01水果!$B627)&lt;$L$2,N(对接源_01水果!$B627)&gt;$L$3),0,1))</f>
        <v>0</v>
      </c>
      <c r="M627" s="1" t="n">
        <f aca="false">IF(OR($M$1="",对接源_01水果!$C627="",对接源_01水果!$C627&lt;&gt;$M$1,对接源_01水果!$B627=""),0,IF(OR(N(对接源_01水果!$B627)&lt;$M$2,N(对接源_01水果!$B627)&gt;$M$3),0,1))</f>
        <v>0</v>
      </c>
      <c r="N627" s="1" t="n">
        <f aca="false">IF(OR($N$1="",对接源_01水果!$C627="",对接源_01水果!$C627&lt;&gt;$N$1,对接源_01水果!$B627=""),0,IF(OR(N(对接源_01水果!$B627)&lt;$N$2,N(对接源_01水果!$B627)&gt;$N$3),0,1))</f>
        <v>0</v>
      </c>
      <c r="P627" s="1" t="n">
        <f aca="false">IF(AND($K627=1,AND(对接源_01水果!$X627="公司筐",N(对接源_01水果!$T627)&lt;&gt;0)),1,0)</f>
        <v>0</v>
      </c>
      <c r="Q627" s="1" t="n">
        <f aca="false">N(Q626)+$P627</f>
        <v>3</v>
      </c>
      <c r="R627" s="1" t="n">
        <f aca="false">IF(AND($K627=1,AND(对接源_01水果!$X627="公司筐",N(对接源_01水果!$U627)&lt;&gt;0)),1,0)</f>
        <v>0</v>
      </c>
      <c r="S627" s="1" t="n">
        <f aca="false">N(S626)+$R627</f>
        <v>0</v>
      </c>
      <c r="T627" s="1" t="n">
        <f aca="false">IF(AND($K627=1,AND(对接源_01水果!$X627="公司筐",N(对接源_01水果!$V627)&lt;&gt;0)),1,0)</f>
        <v>0</v>
      </c>
      <c r="U627" s="1" t="n">
        <f aca="false">N(U626)+$T627</f>
        <v>28</v>
      </c>
      <c r="V627" s="1" t="n">
        <f aca="false">IF(AND($L627=1,AND(对接源_01水果!$X627="自备筐",N(对接源_01水果!$V627)&lt;&gt;0)),1,0)</f>
        <v>0</v>
      </c>
      <c r="W627" s="1" t="n">
        <f aca="false">N(W626)+$V627</f>
        <v>7</v>
      </c>
      <c r="X627" s="1" t="n">
        <f aca="false">IF(AND($L627=1,AND(对接源_01水果!$X627="自备筐",N(对接源_01水果!$T627)&lt;&gt;0)),1,0)</f>
        <v>0</v>
      </c>
      <c r="Y627" s="1" t="n">
        <f aca="false">N(Y626)+$X627</f>
        <v>0</v>
      </c>
      <c r="Z627" s="1" t="n">
        <f aca="false">IF(AND($M627=1,对接源_01水果!$D627="原料入库"),1,0)</f>
        <v>0</v>
      </c>
      <c r="AA627" s="1" t="n">
        <f aca="false">N(AA626)+$Z627</f>
        <v>30</v>
      </c>
      <c r="AB627" s="1" t="n">
        <f aca="false">IF(AND($M627=1,LEFT(对接源_01水果!$D627,4)="原料出库"),1,0)</f>
        <v>0</v>
      </c>
      <c r="AC627" s="1" t="n">
        <f aca="false">N(AC626)+$AB627</f>
        <v>19</v>
      </c>
      <c r="AD627" s="1" t="n">
        <f aca="false">IF(AND($M627=1,LEFT(对接源_01水果!$D627,4)="成品出库"),1,0)</f>
        <v>0</v>
      </c>
      <c r="AE627" s="1" t="n">
        <f aca="false">N(AE626)+$AD627</f>
        <v>38</v>
      </c>
      <c r="AF627" s="1" t="n">
        <f aca="false">IF(AND($N627=1,AND(LEFT(对接源_01水果!$D627,4)="包装物料",N(对接源_01水果!$K627)&lt;&gt;0)),1,0)</f>
        <v>0</v>
      </c>
      <c r="AG627" s="90" t="str">
        <f aca="false">IF(对接源_01水果!$AC627="","",对接源_01水果!$AC627)</f>
        <v/>
      </c>
      <c r="AH627" s="1" t="n">
        <f aca="false">IF(AND($N627=1,AND(LEFT(对接源_01水果!$D627,3)="周转筐",N(对接源_01水果!$K627)&lt;&gt;0)),1,0)</f>
        <v>0</v>
      </c>
      <c r="AI627" s="90" t="n">
        <f aca="false">IF(AG627="",0,IF(MATCH(AG627,$AG$4:$AG$1203,0)=ROW()-3,1,0))</f>
        <v>0</v>
      </c>
      <c r="AJ627" s="90" t="n">
        <f aca="false">N(AJ626)+AI627</f>
        <v>4</v>
      </c>
      <c r="AK627" s="1" t="n">
        <f aca="false">N(AK626)+$AJ627</f>
        <v>1368</v>
      </c>
    </row>
    <row r="628" customFormat="false" ht="13.5" hidden="false" customHeight="false" outlineLevel="0" collapsed="false">
      <c r="A628" s="1" t="str">
        <f aca="false">IF(对接源_01水果!$C628="","",对接源_01水果!$C628)</f>
        <v/>
      </c>
      <c r="B628" s="1" t="n">
        <f aca="false">IF(A628="",0,IF(MATCH(A628,$A$4:$A$2403,0)=ROW()-3,1,0))</f>
        <v>0</v>
      </c>
      <c r="C628" s="1" t="n">
        <f aca="false">N(C627)+B628</f>
        <v>13</v>
      </c>
      <c r="K628" s="1" t="n">
        <f aca="false">IF(OR($K$1="",对接源_01水果!$C628="",对接源_01水果!$C628&lt;&gt;$K$1,对接源_01水果!$B628=""),0,IF(OR(N(对接源_01水果!$B628)&lt;$K$2,N(对接源_01水果!$B628)&gt;$K$3),0,1))</f>
        <v>0</v>
      </c>
      <c r="L628" s="1" t="n">
        <f aca="false">IF(OR($L$1="",对接源_01水果!$C628="",对接源_01水果!$C628&lt;&gt;$L$1,对接源_01水果!$B628=""),0,IF(OR(N(对接源_01水果!$B628)&lt;$L$2,N(对接源_01水果!$B628)&gt;$L$3),0,1))</f>
        <v>0</v>
      </c>
      <c r="M628" s="1" t="n">
        <f aca="false">IF(OR($M$1="",对接源_01水果!$C628="",对接源_01水果!$C628&lt;&gt;$M$1,对接源_01水果!$B628=""),0,IF(OR(N(对接源_01水果!$B628)&lt;$M$2,N(对接源_01水果!$B628)&gt;$M$3),0,1))</f>
        <v>0</v>
      </c>
      <c r="N628" s="1" t="n">
        <f aca="false">IF(OR($N$1="",对接源_01水果!$C628="",对接源_01水果!$C628&lt;&gt;$N$1,对接源_01水果!$B628=""),0,IF(OR(N(对接源_01水果!$B628)&lt;$N$2,N(对接源_01水果!$B628)&gt;$N$3),0,1))</f>
        <v>0</v>
      </c>
      <c r="P628" s="1" t="n">
        <f aca="false">IF(AND($K628=1,AND(对接源_01水果!$X628="公司筐",N(对接源_01水果!$T628)&lt;&gt;0)),1,0)</f>
        <v>0</v>
      </c>
      <c r="Q628" s="1" t="n">
        <f aca="false">N(Q627)+$P628</f>
        <v>3</v>
      </c>
      <c r="R628" s="1" t="n">
        <f aca="false">IF(AND($K628=1,AND(对接源_01水果!$X628="公司筐",N(对接源_01水果!$U628)&lt;&gt;0)),1,0)</f>
        <v>0</v>
      </c>
      <c r="S628" s="1" t="n">
        <f aca="false">N(S627)+$R628</f>
        <v>0</v>
      </c>
      <c r="T628" s="1" t="n">
        <f aca="false">IF(AND($K628=1,AND(对接源_01水果!$X628="公司筐",N(对接源_01水果!$V628)&lt;&gt;0)),1,0)</f>
        <v>0</v>
      </c>
      <c r="U628" s="1" t="n">
        <f aca="false">N(U627)+$T628</f>
        <v>28</v>
      </c>
      <c r="V628" s="1" t="n">
        <f aca="false">IF(AND($L628=1,AND(对接源_01水果!$X628="自备筐",N(对接源_01水果!$V628)&lt;&gt;0)),1,0)</f>
        <v>0</v>
      </c>
      <c r="W628" s="1" t="n">
        <f aca="false">N(W627)+$V628</f>
        <v>7</v>
      </c>
      <c r="X628" s="1" t="n">
        <f aca="false">IF(AND($L628=1,AND(对接源_01水果!$X628="自备筐",N(对接源_01水果!$T628)&lt;&gt;0)),1,0)</f>
        <v>0</v>
      </c>
      <c r="Y628" s="1" t="n">
        <f aca="false">N(Y627)+$X628</f>
        <v>0</v>
      </c>
      <c r="Z628" s="1" t="n">
        <f aca="false">IF(AND($M628=1,对接源_01水果!$D628="原料入库"),1,0)</f>
        <v>0</v>
      </c>
      <c r="AA628" s="1" t="n">
        <f aca="false">N(AA627)+$Z628</f>
        <v>30</v>
      </c>
      <c r="AB628" s="1" t="n">
        <f aca="false">IF(AND($M628=1,LEFT(对接源_01水果!$D628,4)="原料出库"),1,0)</f>
        <v>0</v>
      </c>
      <c r="AC628" s="1" t="n">
        <f aca="false">N(AC627)+$AB628</f>
        <v>19</v>
      </c>
      <c r="AD628" s="1" t="n">
        <f aca="false">IF(AND($M628=1,LEFT(对接源_01水果!$D628,4)="成品出库"),1,0)</f>
        <v>0</v>
      </c>
      <c r="AE628" s="1" t="n">
        <f aca="false">N(AE627)+$AD628</f>
        <v>38</v>
      </c>
      <c r="AF628" s="1" t="n">
        <f aca="false">IF(AND($N628=1,AND(LEFT(对接源_01水果!$D628,4)="包装物料",N(对接源_01水果!$K628)&lt;&gt;0)),1,0)</f>
        <v>0</v>
      </c>
      <c r="AG628" s="90" t="str">
        <f aca="false">IF(对接源_01水果!$AC628="","",对接源_01水果!$AC628)</f>
        <v/>
      </c>
      <c r="AH628" s="1" t="n">
        <f aca="false">IF(AND($N628=1,AND(LEFT(对接源_01水果!$D628,3)="周转筐",N(对接源_01水果!$K628)&lt;&gt;0)),1,0)</f>
        <v>0</v>
      </c>
      <c r="AI628" s="90" t="n">
        <f aca="false">IF(AG628="",0,IF(MATCH(AG628,$AG$4:$AG$1203,0)=ROW()-3,1,0))</f>
        <v>0</v>
      </c>
      <c r="AJ628" s="90" t="n">
        <f aca="false">N(AJ627)+AI628</f>
        <v>4</v>
      </c>
      <c r="AK628" s="1" t="n">
        <f aca="false">N(AK627)+$AJ628</f>
        <v>1372</v>
      </c>
    </row>
    <row r="629" customFormat="false" ht="13.5" hidden="false" customHeight="false" outlineLevel="0" collapsed="false">
      <c r="A629" s="1" t="str">
        <f aca="false">IF(对接源_01水果!$C629="","",对接源_01水果!$C629)</f>
        <v/>
      </c>
      <c r="B629" s="1" t="n">
        <f aca="false">IF(A629="",0,IF(MATCH(A629,$A$4:$A$2403,0)=ROW()-3,1,0))</f>
        <v>0</v>
      </c>
      <c r="C629" s="1" t="n">
        <f aca="false">N(C628)+B629</f>
        <v>13</v>
      </c>
      <c r="K629" s="1" t="n">
        <f aca="false">IF(OR($K$1="",对接源_01水果!$C629="",对接源_01水果!$C629&lt;&gt;$K$1,对接源_01水果!$B629=""),0,IF(OR(N(对接源_01水果!$B629)&lt;$K$2,N(对接源_01水果!$B629)&gt;$K$3),0,1))</f>
        <v>0</v>
      </c>
      <c r="L629" s="1" t="n">
        <f aca="false">IF(OR($L$1="",对接源_01水果!$C629="",对接源_01水果!$C629&lt;&gt;$L$1,对接源_01水果!$B629=""),0,IF(OR(N(对接源_01水果!$B629)&lt;$L$2,N(对接源_01水果!$B629)&gt;$L$3),0,1))</f>
        <v>0</v>
      </c>
      <c r="M629" s="1" t="n">
        <f aca="false">IF(OR($M$1="",对接源_01水果!$C629="",对接源_01水果!$C629&lt;&gt;$M$1,对接源_01水果!$B629=""),0,IF(OR(N(对接源_01水果!$B629)&lt;$M$2,N(对接源_01水果!$B629)&gt;$M$3),0,1))</f>
        <v>0</v>
      </c>
      <c r="N629" s="1" t="n">
        <f aca="false">IF(OR($N$1="",对接源_01水果!$C629="",对接源_01水果!$C629&lt;&gt;$N$1,对接源_01水果!$B629=""),0,IF(OR(N(对接源_01水果!$B629)&lt;$N$2,N(对接源_01水果!$B629)&gt;$N$3),0,1))</f>
        <v>0</v>
      </c>
      <c r="P629" s="1" t="n">
        <f aca="false">IF(AND($K629=1,AND(对接源_01水果!$X629="公司筐",N(对接源_01水果!$T629)&lt;&gt;0)),1,0)</f>
        <v>0</v>
      </c>
      <c r="Q629" s="1" t="n">
        <f aca="false">N(Q628)+$P629</f>
        <v>3</v>
      </c>
      <c r="R629" s="1" t="n">
        <f aca="false">IF(AND($K629=1,AND(对接源_01水果!$X629="公司筐",N(对接源_01水果!$U629)&lt;&gt;0)),1,0)</f>
        <v>0</v>
      </c>
      <c r="S629" s="1" t="n">
        <f aca="false">N(S628)+$R629</f>
        <v>0</v>
      </c>
      <c r="T629" s="1" t="n">
        <f aca="false">IF(AND($K629=1,AND(对接源_01水果!$X629="公司筐",N(对接源_01水果!$V629)&lt;&gt;0)),1,0)</f>
        <v>0</v>
      </c>
      <c r="U629" s="1" t="n">
        <f aca="false">N(U628)+$T629</f>
        <v>28</v>
      </c>
      <c r="V629" s="1" t="n">
        <f aca="false">IF(AND($L629=1,AND(对接源_01水果!$X629="自备筐",N(对接源_01水果!$V629)&lt;&gt;0)),1,0)</f>
        <v>0</v>
      </c>
      <c r="W629" s="1" t="n">
        <f aca="false">N(W628)+$V629</f>
        <v>7</v>
      </c>
      <c r="X629" s="1" t="n">
        <f aca="false">IF(AND($L629=1,AND(对接源_01水果!$X629="自备筐",N(对接源_01水果!$T629)&lt;&gt;0)),1,0)</f>
        <v>0</v>
      </c>
      <c r="Y629" s="1" t="n">
        <f aca="false">N(Y628)+$X629</f>
        <v>0</v>
      </c>
      <c r="Z629" s="1" t="n">
        <f aca="false">IF(AND($M629=1,对接源_01水果!$D629="原料入库"),1,0)</f>
        <v>0</v>
      </c>
      <c r="AA629" s="1" t="n">
        <f aca="false">N(AA628)+$Z629</f>
        <v>30</v>
      </c>
      <c r="AB629" s="1" t="n">
        <f aca="false">IF(AND($M629=1,LEFT(对接源_01水果!$D629,4)="原料出库"),1,0)</f>
        <v>0</v>
      </c>
      <c r="AC629" s="1" t="n">
        <f aca="false">N(AC628)+$AB629</f>
        <v>19</v>
      </c>
      <c r="AD629" s="1" t="n">
        <f aca="false">IF(AND($M629=1,LEFT(对接源_01水果!$D629,4)="成品出库"),1,0)</f>
        <v>0</v>
      </c>
      <c r="AE629" s="1" t="n">
        <f aca="false">N(AE628)+$AD629</f>
        <v>38</v>
      </c>
      <c r="AF629" s="1" t="n">
        <f aca="false">IF(AND($N629=1,AND(LEFT(对接源_01水果!$D629,4)="包装物料",N(对接源_01水果!$K629)&lt;&gt;0)),1,0)</f>
        <v>0</v>
      </c>
      <c r="AG629" s="90" t="str">
        <f aca="false">IF(对接源_01水果!$AC629="","",对接源_01水果!$AC629)</f>
        <v/>
      </c>
      <c r="AH629" s="1" t="n">
        <f aca="false">IF(AND($N629=1,AND(LEFT(对接源_01水果!$D629,3)="周转筐",N(对接源_01水果!$K629)&lt;&gt;0)),1,0)</f>
        <v>0</v>
      </c>
      <c r="AI629" s="90" t="n">
        <f aca="false">IF(AG629="",0,IF(MATCH(AG629,$AG$4:$AG$1203,0)=ROW()-3,1,0))</f>
        <v>0</v>
      </c>
      <c r="AJ629" s="90" t="n">
        <f aca="false">N(AJ628)+AI629</f>
        <v>4</v>
      </c>
      <c r="AK629" s="1" t="n">
        <f aca="false">N(AK628)+$AJ629</f>
        <v>1376</v>
      </c>
    </row>
    <row r="630" customFormat="false" ht="13.5" hidden="false" customHeight="false" outlineLevel="0" collapsed="false">
      <c r="A630" s="1" t="str">
        <f aca="false">IF(对接源_01水果!$C630="","",对接源_01水果!$C630)</f>
        <v/>
      </c>
      <c r="B630" s="1" t="n">
        <f aca="false">IF(A630="",0,IF(MATCH(A630,$A$4:$A$2403,0)=ROW()-3,1,0))</f>
        <v>0</v>
      </c>
      <c r="C630" s="1" t="n">
        <f aca="false">N(C629)+B630</f>
        <v>13</v>
      </c>
      <c r="K630" s="1" t="n">
        <f aca="false">IF(OR($K$1="",对接源_01水果!$C630="",对接源_01水果!$C630&lt;&gt;$K$1,对接源_01水果!$B630=""),0,IF(OR(N(对接源_01水果!$B630)&lt;$K$2,N(对接源_01水果!$B630)&gt;$K$3),0,1))</f>
        <v>0</v>
      </c>
      <c r="L630" s="1" t="n">
        <f aca="false">IF(OR($L$1="",对接源_01水果!$C630="",对接源_01水果!$C630&lt;&gt;$L$1,对接源_01水果!$B630=""),0,IF(OR(N(对接源_01水果!$B630)&lt;$L$2,N(对接源_01水果!$B630)&gt;$L$3),0,1))</f>
        <v>0</v>
      </c>
      <c r="M630" s="1" t="n">
        <f aca="false">IF(OR($M$1="",对接源_01水果!$C630="",对接源_01水果!$C630&lt;&gt;$M$1,对接源_01水果!$B630=""),0,IF(OR(N(对接源_01水果!$B630)&lt;$M$2,N(对接源_01水果!$B630)&gt;$M$3),0,1))</f>
        <v>0</v>
      </c>
      <c r="N630" s="1" t="n">
        <f aca="false">IF(OR($N$1="",对接源_01水果!$C630="",对接源_01水果!$C630&lt;&gt;$N$1,对接源_01水果!$B630=""),0,IF(OR(N(对接源_01水果!$B630)&lt;$N$2,N(对接源_01水果!$B630)&gt;$N$3),0,1))</f>
        <v>0</v>
      </c>
      <c r="P630" s="1" t="n">
        <f aca="false">IF(AND($K630=1,AND(对接源_01水果!$X630="公司筐",N(对接源_01水果!$T630)&lt;&gt;0)),1,0)</f>
        <v>0</v>
      </c>
      <c r="Q630" s="1" t="n">
        <f aca="false">N(Q629)+$P630</f>
        <v>3</v>
      </c>
      <c r="R630" s="1" t="n">
        <f aca="false">IF(AND($K630=1,AND(对接源_01水果!$X630="公司筐",N(对接源_01水果!$U630)&lt;&gt;0)),1,0)</f>
        <v>0</v>
      </c>
      <c r="S630" s="1" t="n">
        <f aca="false">N(S629)+$R630</f>
        <v>0</v>
      </c>
      <c r="T630" s="1" t="n">
        <f aca="false">IF(AND($K630=1,AND(对接源_01水果!$X630="公司筐",N(对接源_01水果!$V630)&lt;&gt;0)),1,0)</f>
        <v>0</v>
      </c>
      <c r="U630" s="1" t="n">
        <f aca="false">N(U629)+$T630</f>
        <v>28</v>
      </c>
      <c r="V630" s="1" t="n">
        <f aca="false">IF(AND($L630=1,AND(对接源_01水果!$X630="自备筐",N(对接源_01水果!$V630)&lt;&gt;0)),1,0)</f>
        <v>0</v>
      </c>
      <c r="W630" s="1" t="n">
        <f aca="false">N(W629)+$V630</f>
        <v>7</v>
      </c>
      <c r="X630" s="1" t="n">
        <f aca="false">IF(AND($L630=1,AND(对接源_01水果!$X630="自备筐",N(对接源_01水果!$T630)&lt;&gt;0)),1,0)</f>
        <v>0</v>
      </c>
      <c r="Y630" s="1" t="n">
        <f aca="false">N(Y629)+$X630</f>
        <v>0</v>
      </c>
      <c r="Z630" s="1" t="n">
        <f aca="false">IF(AND($M630=1,对接源_01水果!$D630="原料入库"),1,0)</f>
        <v>0</v>
      </c>
      <c r="AA630" s="1" t="n">
        <f aca="false">N(AA629)+$Z630</f>
        <v>30</v>
      </c>
      <c r="AB630" s="1" t="n">
        <f aca="false">IF(AND($M630=1,LEFT(对接源_01水果!$D630,4)="原料出库"),1,0)</f>
        <v>0</v>
      </c>
      <c r="AC630" s="1" t="n">
        <f aca="false">N(AC629)+$AB630</f>
        <v>19</v>
      </c>
      <c r="AD630" s="1" t="n">
        <f aca="false">IF(AND($M630=1,LEFT(对接源_01水果!$D630,4)="成品出库"),1,0)</f>
        <v>0</v>
      </c>
      <c r="AE630" s="1" t="n">
        <f aca="false">N(AE629)+$AD630</f>
        <v>38</v>
      </c>
      <c r="AF630" s="1" t="n">
        <f aca="false">IF(AND($N630=1,AND(LEFT(对接源_01水果!$D630,4)="包装物料",N(对接源_01水果!$K630)&lt;&gt;0)),1,0)</f>
        <v>0</v>
      </c>
      <c r="AG630" s="90" t="str">
        <f aca="false">IF(对接源_01水果!$AC630="","",对接源_01水果!$AC630)</f>
        <v/>
      </c>
      <c r="AH630" s="1" t="n">
        <f aca="false">IF(AND($N630=1,AND(LEFT(对接源_01水果!$D630,3)="周转筐",N(对接源_01水果!$K630)&lt;&gt;0)),1,0)</f>
        <v>0</v>
      </c>
      <c r="AI630" s="90" t="n">
        <f aca="false">IF(AG630="",0,IF(MATCH(AG630,$AG$4:$AG$1203,0)=ROW()-3,1,0))</f>
        <v>0</v>
      </c>
      <c r="AJ630" s="90" t="n">
        <f aca="false">N(AJ629)+AI630</f>
        <v>4</v>
      </c>
      <c r="AK630" s="1" t="n">
        <f aca="false">N(AK629)+$AJ630</f>
        <v>1380</v>
      </c>
    </row>
    <row r="631" customFormat="false" ht="13.5" hidden="false" customHeight="false" outlineLevel="0" collapsed="false">
      <c r="A631" s="1" t="str">
        <f aca="false">IF(对接源_01水果!$C631="","",对接源_01水果!$C631)</f>
        <v/>
      </c>
      <c r="B631" s="1" t="n">
        <f aca="false">IF(A631="",0,IF(MATCH(A631,$A$4:$A$2403,0)=ROW()-3,1,0))</f>
        <v>0</v>
      </c>
      <c r="C631" s="1" t="n">
        <f aca="false">N(C630)+B631</f>
        <v>13</v>
      </c>
      <c r="K631" s="1" t="n">
        <f aca="false">IF(OR($K$1="",对接源_01水果!$C631="",对接源_01水果!$C631&lt;&gt;$K$1,对接源_01水果!$B631=""),0,IF(OR(N(对接源_01水果!$B631)&lt;$K$2,N(对接源_01水果!$B631)&gt;$K$3),0,1))</f>
        <v>0</v>
      </c>
      <c r="L631" s="1" t="n">
        <f aca="false">IF(OR($L$1="",对接源_01水果!$C631="",对接源_01水果!$C631&lt;&gt;$L$1,对接源_01水果!$B631=""),0,IF(OR(N(对接源_01水果!$B631)&lt;$L$2,N(对接源_01水果!$B631)&gt;$L$3),0,1))</f>
        <v>0</v>
      </c>
      <c r="M631" s="1" t="n">
        <f aca="false">IF(OR($M$1="",对接源_01水果!$C631="",对接源_01水果!$C631&lt;&gt;$M$1,对接源_01水果!$B631=""),0,IF(OR(N(对接源_01水果!$B631)&lt;$M$2,N(对接源_01水果!$B631)&gt;$M$3),0,1))</f>
        <v>0</v>
      </c>
      <c r="N631" s="1" t="n">
        <f aca="false">IF(OR($N$1="",对接源_01水果!$C631="",对接源_01水果!$C631&lt;&gt;$N$1,对接源_01水果!$B631=""),0,IF(OR(N(对接源_01水果!$B631)&lt;$N$2,N(对接源_01水果!$B631)&gt;$N$3),0,1))</f>
        <v>0</v>
      </c>
      <c r="P631" s="1" t="n">
        <f aca="false">IF(AND($K631=1,AND(对接源_01水果!$X631="公司筐",N(对接源_01水果!$T631)&lt;&gt;0)),1,0)</f>
        <v>0</v>
      </c>
      <c r="Q631" s="1" t="n">
        <f aca="false">N(Q630)+$P631</f>
        <v>3</v>
      </c>
      <c r="R631" s="1" t="n">
        <f aca="false">IF(AND($K631=1,AND(对接源_01水果!$X631="公司筐",N(对接源_01水果!$U631)&lt;&gt;0)),1,0)</f>
        <v>0</v>
      </c>
      <c r="S631" s="1" t="n">
        <f aca="false">N(S630)+$R631</f>
        <v>0</v>
      </c>
      <c r="T631" s="1" t="n">
        <f aca="false">IF(AND($K631=1,AND(对接源_01水果!$X631="公司筐",N(对接源_01水果!$V631)&lt;&gt;0)),1,0)</f>
        <v>0</v>
      </c>
      <c r="U631" s="1" t="n">
        <f aca="false">N(U630)+$T631</f>
        <v>28</v>
      </c>
      <c r="V631" s="1" t="n">
        <f aca="false">IF(AND($L631=1,AND(对接源_01水果!$X631="自备筐",N(对接源_01水果!$V631)&lt;&gt;0)),1,0)</f>
        <v>0</v>
      </c>
      <c r="W631" s="1" t="n">
        <f aca="false">N(W630)+$V631</f>
        <v>7</v>
      </c>
      <c r="X631" s="1" t="n">
        <f aca="false">IF(AND($L631=1,AND(对接源_01水果!$X631="自备筐",N(对接源_01水果!$T631)&lt;&gt;0)),1,0)</f>
        <v>0</v>
      </c>
      <c r="Y631" s="1" t="n">
        <f aca="false">N(Y630)+$X631</f>
        <v>0</v>
      </c>
      <c r="Z631" s="1" t="n">
        <f aca="false">IF(AND($M631=1,对接源_01水果!$D631="原料入库"),1,0)</f>
        <v>0</v>
      </c>
      <c r="AA631" s="1" t="n">
        <f aca="false">N(AA630)+$Z631</f>
        <v>30</v>
      </c>
      <c r="AB631" s="1" t="n">
        <f aca="false">IF(AND($M631=1,LEFT(对接源_01水果!$D631,4)="原料出库"),1,0)</f>
        <v>0</v>
      </c>
      <c r="AC631" s="1" t="n">
        <f aca="false">N(AC630)+$AB631</f>
        <v>19</v>
      </c>
      <c r="AD631" s="1" t="n">
        <f aca="false">IF(AND($M631=1,LEFT(对接源_01水果!$D631,4)="成品出库"),1,0)</f>
        <v>0</v>
      </c>
      <c r="AE631" s="1" t="n">
        <f aca="false">N(AE630)+$AD631</f>
        <v>38</v>
      </c>
      <c r="AF631" s="1" t="n">
        <f aca="false">IF(AND($N631=1,AND(LEFT(对接源_01水果!$D631,4)="包装物料",N(对接源_01水果!$K631)&lt;&gt;0)),1,0)</f>
        <v>0</v>
      </c>
      <c r="AG631" s="90" t="str">
        <f aca="false">IF(对接源_01水果!$AC631="","",对接源_01水果!$AC631)</f>
        <v/>
      </c>
      <c r="AH631" s="1" t="n">
        <f aca="false">IF(AND($N631=1,AND(LEFT(对接源_01水果!$D631,3)="周转筐",N(对接源_01水果!$K631)&lt;&gt;0)),1,0)</f>
        <v>0</v>
      </c>
      <c r="AI631" s="90" t="n">
        <f aca="false">IF(AG631="",0,IF(MATCH(AG631,$AG$4:$AG$1203,0)=ROW()-3,1,0))</f>
        <v>0</v>
      </c>
      <c r="AJ631" s="90" t="n">
        <f aca="false">N(AJ630)+AI631</f>
        <v>4</v>
      </c>
      <c r="AK631" s="1" t="n">
        <f aca="false">N(AK630)+$AJ631</f>
        <v>1384</v>
      </c>
    </row>
    <row r="632" customFormat="false" ht="13.5" hidden="false" customHeight="false" outlineLevel="0" collapsed="false">
      <c r="A632" s="1" t="str">
        <f aca="false">IF(对接源_01水果!$C632="","",对接源_01水果!$C632)</f>
        <v/>
      </c>
      <c r="B632" s="1" t="n">
        <f aca="false">IF(A632="",0,IF(MATCH(A632,$A$4:$A$2403,0)=ROW()-3,1,0))</f>
        <v>0</v>
      </c>
      <c r="C632" s="1" t="n">
        <f aca="false">N(C631)+B632</f>
        <v>13</v>
      </c>
      <c r="K632" s="1" t="n">
        <f aca="false">IF(OR($K$1="",对接源_01水果!$C632="",对接源_01水果!$C632&lt;&gt;$K$1,对接源_01水果!$B632=""),0,IF(OR(N(对接源_01水果!$B632)&lt;$K$2,N(对接源_01水果!$B632)&gt;$K$3),0,1))</f>
        <v>0</v>
      </c>
      <c r="L632" s="1" t="n">
        <f aca="false">IF(OR($L$1="",对接源_01水果!$C632="",对接源_01水果!$C632&lt;&gt;$L$1,对接源_01水果!$B632=""),0,IF(OR(N(对接源_01水果!$B632)&lt;$L$2,N(对接源_01水果!$B632)&gt;$L$3),0,1))</f>
        <v>0</v>
      </c>
      <c r="M632" s="1" t="n">
        <f aca="false">IF(OR($M$1="",对接源_01水果!$C632="",对接源_01水果!$C632&lt;&gt;$M$1,对接源_01水果!$B632=""),0,IF(OR(N(对接源_01水果!$B632)&lt;$M$2,N(对接源_01水果!$B632)&gt;$M$3),0,1))</f>
        <v>0</v>
      </c>
      <c r="N632" s="1" t="n">
        <f aca="false">IF(OR($N$1="",对接源_01水果!$C632="",对接源_01水果!$C632&lt;&gt;$N$1,对接源_01水果!$B632=""),0,IF(OR(N(对接源_01水果!$B632)&lt;$N$2,N(对接源_01水果!$B632)&gt;$N$3),0,1))</f>
        <v>0</v>
      </c>
      <c r="P632" s="1" t="n">
        <f aca="false">IF(AND($K632=1,AND(对接源_01水果!$X632="公司筐",N(对接源_01水果!$T632)&lt;&gt;0)),1,0)</f>
        <v>0</v>
      </c>
      <c r="Q632" s="1" t="n">
        <f aca="false">N(Q631)+$P632</f>
        <v>3</v>
      </c>
      <c r="R632" s="1" t="n">
        <f aca="false">IF(AND($K632=1,AND(对接源_01水果!$X632="公司筐",N(对接源_01水果!$U632)&lt;&gt;0)),1,0)</f>
        <v>0</v>
      </c>
      <c r="S632" s="1" t="n">
        <f aca="false">N(S631)+$R632</f>
        <v>0</v>
      </c>
      <c r="T632" s="1" t="n">
        <f aca="false">IF(AND($K632=1,AND(对接源_01水果!$X632="公司筐",N(对接源_01水果!$V632)&lt;&gt;0)),1,0)</f>
        <v>0</v>
      </c>
      <c r="U632" s="1" t="n">
        <f aca="false">N(U631)+$T632</f>
        <v>28</v>
      </c>
      <c r="V632" s="1" t="n">
        <f aca="false">IF(AND($L632=1,AND(对接源_01水果!$X632="自备筐",N(对接源_01水果!$V632)&lt;&gt;0)),1,0)</f>
        <v>0</v>
      </c>
      <c r="W632" s="1" t="n">
        <f aca="false">N(W631)+$V632</f>
        <v>7</v>
      </c>
      <c r="X632" s="1" t="n">
        <f aca="false">IF(AND($L632=1,AND(对接源_01水果!$X632="自备筐",N(对接源_01水果!$T632)&lt;&gt;0)),1,0)</f>
        <v>0</v>
      </c>
      <c r="Y632" s="1" t="n">
        <f aca="false">N(Y631)+$X632</f>
        <v>0</v>
      </c>
      <c r="Z632" s="1" t="n">
        <f aca="false">IF(AND($M632=1,对接源_01水果!$D632="原料入库"),1,0)</f>
        <v>0</v>
      </c>
      <c r="AA632" s="1" t="n">
        <f aca="false">N(AA631)+$Z632</f>
        <v>30</v>
      </c>
      <c r="AB632" s="1" t="n">
        <f aca="false">IF(AND($M632=1,LEFT(对接源_01水果!$D632,4)="原料出库"),1,0)</f>
        <v>0</v>
      </c>
      <c r="AC632" s="1" t="n">
        <f aca="false">N(AC631)+$AB632</f>
        <v>19</v>
      </c>
      <c r="AD632" s="1" t="n">
        <f aca="false">IF(AND($M632=1,LEFT(对接源_01水果!$D632,4)="成品出库"),1,0)</f>
        <v>0</v>
      </c>
      <c r="AE632" s="1" t="n">
        <f aca="false">N(AE631)+$AD632</f>
        <v>38</v>
      </c>
      <c r="AF632" s="1" t="n">
        <f aca="false">IF(AND($N632=1,AND(LEFT(对接源_01水果!$D632,4)="包装物料",N(对接源_01水果!$K632)&lt;&gt;0)),1,0)</f>
        <v>0</v>
      </c>
      <c r="AG632" s="90" t="str">
        <f aca="false">IF(对接源_01水果!$AC632="","",对接源_01水果!$AC632)</f>
        <v/>
      </c>
      <c r="AH632" s="1" t="n">
        <f aca="false">IF(AND($N632=1,AND(LEFT(对接源_01水果!$D632,3)="周转筐",N(对接源_01水果!$K632)&lt;&gt;0)),1,0)</f>
        <v>0</v>
      </c>
      <c r="AI632" s="90" t="n">
        <f aca="false">IF(AG632="",0,IF(MATCH(AG632,$AG$4:$AG$1203,0)=ROW()-3,1,0))</f>
        <v>0</v>
      </c>
      <c r="AJ632" s="90" t="n">
        <f aca="false">N(AJ631)+AI632</f>
        <v>4</v>
      </c>
      <c r="AK632" s="1" t="n">
        <f aca="false">N(AK631)+$AJ632</f>
        <v>1388</v>
      </c>
    </row>
    <row r="633" customFormat="false" ht="13.5" hidden="false" customHeight="false" outlineLevel="0" collapsed="false">
      <c r="A633" s="1" t="str">
        <f aca="false">IF(对接源_01水果!$C633="","",对接源_01水果!$C633)</f>
        <v/>
      </c>
      <c r="B633" s="1" t="n">
        <f aca="false">IF(A633="",0,IF(MATCH(A633,$A$4:$A$2403,0)=ROW()-3,1,0))</f>
        <v>0</v>
      </c>
      <c r="C633" s="1" t="n">
        <f aca="false">N(C632)+B633</f>
        <v>13</v>
      </c>
      <c r="K633" s="1" t="n">
        <f aca="false">IF(OR($K$1="",对接源_01水果!$C633="",对接源_01水果!$C633&lt;&gt;$K$1,对接源_01水果!$B633=""),0,IF(OR(N(对接源_01水果!$B633)&lt;$K$2,N(对接源_01水果!$B633)&gt;$K$3),0,1))</f>
        <v>0</v>
      </c>
      <c r="L633" s="1" t="n">
        <f aca="false">IF(OR($L$1="",对接源_01水果!$C633="",对接源_01水果!$C633&lt;&gt;$L$1,对接源_01水果!$B633=""),0,IF(OR(N(对接源_01水果!$B633)&lt;$L$2,N(对接源_01水果!$B633)&gt;$L$3),0,1))</f>
        <v>0</v>
      </c>
      <c r="M633" s="1" t="n">
        <f aca="false">IF(OR($M$1="",对接源_01水果!$C633="",对接源_01水果!$C633&lt;&gt;$M$1,对接源_01水果!$B633=""),0,IF(OR(N(对接源_01水果!$B633)&lt;$M$2,N(对接源_01水果!$B633)&gt;$M$3),0,1))</f>
        <v>0</v>
      </c>
      <c r="N633" s="1" t="n">
        <f aca="false">IF(OR($N$1="",对接源_01水果!$C633="",对接源_01水果!$C633&lt;&gt;$N$1,对接源_01水果!$B633=""),0,IF(OR(N(对接源_01水果!$B633)&lt;$N$2,N(对接源_01水果!$B633)&gt;$N$3),0,1))</f>
        <v>0</v>
      </c>
      <c r="P633" s="1" t="n">
        <f aca="false">IF(AND($K633=1,AND(对接源_01水果!$X633="公司筐",N(对接源_01水果!$T633)&lt;&gt;0)),1,0)</f>
        <v>0</v>
      </c>
      <c r="Q633" s="1" t="n">
        <f aca="false">N(Q632)+$P633</f>
        <v>3</v>
      </c>
      <c r="R633" s="1" t="n">
        <f aca="false">IF(AND($K633=1,AND(对接源_01水果!$X633="公司筐",N(对接源_01水果!$U633)&lt;&gt;0)),1,0)</f>
        <v>0</v>
      </c>
      <c r="S633" s="1" t="n">
        <f aca="false">N(S632)+$R633</f>
        <v>0</v>
      </c>
      <c r="T633" s="1" t="n">
        <f aca="false">IF(AND($K633=1,AND(对接源_01水果!$X633="公司筐",N(对接源_01水果!$V633)&lt;&gt;0)),1,0)</f>
        <v>0</v>
      </c>
      <c r="U633" s="1" t="n">
        <f aca="false">N(U632)+$T633</f>
        <v>28</v>
      </c>
      <c r="V633" s="1" t="n">
        <f aca="false">IF(AND($L633=1,AND(对接源_01水果!$X633="自备筐",N(对接源_01水果!$V633)&lt;&gt;0)),1,0)</f>
        <v>0</v>
      </c>
      <c r="W633" s="1" t="n">
        <f aca="false">N(W632)+$V633</f>
        <v>7</v>
      </c>
      <c r="X633" s="1" t="n">
        <f aca="false">IF(AND($L633=1,AND(对接源_01水果!$X633="自备筐",N(对接源_01水果!$T633)&lt;&gt;0)),1,0)</f>
        <v>0</v>
      </c>
      <c r="Y633" s="1" t="n">
        <f aca="false">N(Y632)+$X633</f>
        <v>0</v>
      </c>
      <c r="Z633" s="1" t="n">
        <f aca="false">IF(AND($M633=1,对接源_01水果!$D633="原料入库"),1,0)</f>
        <v>0</v>
      </c>
      <c r="AA633" s="1" t="n">
        <f aca="false">N(AA632)+$Z633</f>
        <v>30</v>
      </c>
      <c r="AB633" s="1" t="n">
        <f aca="false">IF(AND($M633=1,LEFT(对接源_01水果!$D633,4)="原料出库"),1,0)</f>
        <v>0</v>
      </c>
      <c r="AC633" s="1" t="n">
        <f aca="false">N(AC632)+$AB633</f>
        <v>19</v>
      </c>
      <c r="AD633" s="1" t="n">
        <f aca="false">IF(AND($M633=1,LEFT(对接源_01水果!$D633,4)="成品出库"),1,0)</f>
        <v>0</v>
      </c>
      <c r="AE633" s="1" t="n">
        <f aca="false">N(AE632)+$AD633</f>
        <v>38</v>
      </c>
      <c r="AF633" s="1" t="n">
        <f aca="false">IF(AND($N633=1,AND(LEFT(对接源_01水果!$D633,4)="包装物料",N(对接源_01水果!$K633)&lt;&gt;0)),1,0)</f>
        <v>0</v>
      </c>
      <c r="AG633" s="90" t="str">
        <f aca="false">IF(对接源_01水果!$AC633="","",对接源_01水果!$AC633)</f>
        <v/>
      </c>
      <c r="AH633" s="1" t="n">
        <f aca="false">IF(AND($N633=1,AND(LEFT(对接源_01水果!$D633,3)="周转筐",N(对接源_01水果!$K633)&lt;&gt;0)),1,0)</f>
        <v>0</v>
      </c>
      <c r="AI633" s="90" t="n">
        <f aca="false">IF(AG633="",0,IF(MATCH(AG633,$AG$4:$AG$1203,0)=ROW()-3,1,0))</f>
        <v>0</v>
      </c>
      <c r="AJ633" s="90" t="n">
        <f aca="false">N(AJ632)+AI633</f>
        <v>4</v>
      </c>
      <c r="AK633" s="1" t="n">
        <f aca="false">N(AK632)+$AJ633</f>
        <v>1392</v>
      </c>
    </row>
    <row r="634" customFormat="false" ht="13.5" hidden="false" customHeight="false" outlineLevel="0" collapsed="false">
      <c r="A634" s="1" t="str">
        <f aca="false">IF(对接源_01水果!$C634="","",对接源_01水果!$C634)</f>
        <v/>
      </c>
      <c r="B634" s="1" t="n">
        <f aca="false">IF(A634="",0,IF(MATCH(A634,$A$4:$A$2403,0)=ROW()-3,1,0))</f>
        <v>0</v>
      </c>
      <c r="C634" s="1" t="n">
        <f aca="false">N(C633)+B634</f>
        <v>13</v>
      </c>
      <c r="K634" s="1" t="n">
        <f aca="false">IF(OR($K$1="",对接源_01水果!$C634="",对接源_01水果!$C634&lt;&gt;$K$1,对接源_01水果!$B634=""),0,IF(OR(N(对接源_01水果!$B634)&lt;$K$2,N(对接源_01水果!$B634)&gt;$K$3),0,1))</f>
        <v>0</v>
      </c>
      <c r="L634" s="1" t="n">
        <f aca="false">IF(OR($L$1="",对接源_01水果!$C634="",对接源_01水果!$C634&lt;&gt;$L$1,对接源_01水果!$B634=""),0,IF(OR(N(对接源_01水果!$B634)&lt;$L$2,N(对接源_01水果!$B634)&gt;$L$3),0,1))</f>
        <v>0</v>
      </c>
      <c r="M634" s="1" t="n">
        <f aca="false">IF(OR($M$1="",对接源_01水果!$C634="",对接源_01水果!$C634&lt;&gt;$M$1,对接源_01水果!$B634=""),0,IF(OR(N(对接源_01水果!$B634)&lt;$M$2,N(对接源_01水果!$B634)&gt;$M$3),0,1))</f>
        <v>0</v>
      </c>
      <c r="N634" s="1" t="n">
        <f aca="false">IF(OR($N$1="",对接源_01水果!$C634="",对接源_01水果!$C634&lt;&gt;$N$1,对接源_01水果!$B634=""),0,IF(OR(N(对接源_01水果!$B634)&lt;$N$2,N(对接源_01水果!$B634)&gt;$N$3),0,1))</f>
        <v>0</v>
      </c>
      <c r="P634" s="1" t="n">
        <f aca="false">IF(AND($K634=1,AND(对接源_01水果!$X634="公司筐",N(对接源_01水果!$T634)&lt;&gt;0)),1,0)</f>
        <v>0</v>
      </c>
      <c r="Q634" s="1" t="n">
        <f aca="false">N(Q633)+$P634</f>
        <v>3</v>
      </c>
      <c r="R634" s="1" t="n">
        <f aca="false">IF(AND($K634=1,AND(对接源_01水果!$X634="公司筐",N(对接源_01水果!$U634)&lt;&gt;0)),1,0)</f>
        <v>0</v>
      </c>
      <c r="S634" s="1" t="n">
        <f aca="false">N(S633)+$R634</f>
        <v>0</v>
      </c>
      <c r="T634" s="1" t="n">
        <f aca="false">IF(AND($K634=1,AND(对接源_01水果!$X634="公司筐",N(对接源_01水果!$V634)&lt;&gt;0)),1,0)</f>
        <v>0</v>
      </c>
      <c r="U634" s="1" t="n">
        <f aca="false">N(U633)+$T634</f>
        <v>28</v>
      </c>
      <c r="V634" s="1" t="n">
        <f aca="false">IF(AND($L634=1,AND(对接源_01水果!$X634="自备筐",N(对接源_01水果!$V634)&lt;&gt;0)),1,0)</f>
        <v>0</v>
      </c>
      <c r="W634" s="1" t="n">
        <f aca="false">N(W633)+$V634</f>
        <v>7</v>
      </c>
      <c r="X634" s="1" t="n">
        <f aca="false">IF(AND($L634=1,AND(对接源_01水果!$X634="自备筐",N(对接源_01水果!$T634)&lt;&gt;0)),1,0)</f>
        <v>0</v>
      </c>
      <c r="Y634" s="1" t="n">
        <f aca="false">N(Y633)+$X634</f>
        <v>0</v>
      </c>
      <c r="Z634" s="1" t="n">
        <f aca="false">IF(AND($M634=1,对接源_01水果!$D634="原料入库"),1,0)</f>
        <v>0</v>
      </c>
      <c r="AA634" s="1" t="n">
        <f aca="false">N(AA633)+$Z634</f>
        <v>30</v>
      </c>
      <c r="AB634" s="1" t="n">
        <f aca="false">IF(AND($M634=1,LEFT(对接源_01水果!$D634,4)="原料出库"),1,0)</f>
        <v>0</v>
      </c>
      <c r="AC634" s="1" t="n">
        <f aca="false">N(AC633)+$AB634</f>
        <v>19</v>
      </c>
      <c r="AD634" s="1" t="n">
        <f aca="false">IF(AND($M634=1,LEFT(对接源_01水果!$D634,4)="成品出库"),1,0)</f>
        <v>0</v>
      </c>
      <c r="AE634" s="1" t="n">
        <f aca="false">N(AE633)+$AD634</f>
        <v>38</v>
      </c>
      <c r="AF634" s="1" t="n">
        <f aca="false">IF(AND($N634=1,AND(LEFT(对接源_01水果!$D634,4)="包装物料",N(对接源_01水果!$K634)&lt;&gt;0)),1,0)</f>
        <v>0</v>
      </c>
      <c r="AG634" s="90" t="str">
        <f aca="false">IF(对接源_01水果!$AC634="","",对接源_01水果!$AC634)</f>
        <v/>
      </c>
      <c r="AH634" s="1" t="n">
        <f aca="false">IF(AND($N634=1,AND(LEFT(对接源_01水果!$D634,3)="周转筐",N(对接源_01水果!$K634)&lt;&gt;0)),1,0)</f>
        <v>0</v>
      </c>
      <c r="AI634" s="90" t="n">
        <f aca="false">IF(AG634="",0,IF(MATCH(AG634,$AG$4:$AG$1203,0)=ROW()-3,1,0))</f>
        <v>0</v>
      </c>
      <c r="AJ634" s="90" t="n">
        <f aca="false">N(AJ633)+AI634</f>
        <v>4</v>
      </c>
      <c r="AK634" s="1" t="n">
        <f aca="false">N(AK633)+$AJ634</f>
        <v>1396</v>
      </c>
    </row>
    <row r="635" customFormat="false" ht="13.5" hidden="false" customHeight="false" outlineLevel="0" collapsed="false">
      <c r="A635" s="1" t="str">
        <f aca="false">IF(对接源_01水果!$C635="","",对接源_01水果!$C635)</f>
        <v/>
      </c>
      <c r="B635" s="1" t="n">
        <f aca="false">IF(A635="",0,IF(MATCH(A635,$A$4:$A$2403,0)=ROW()-3,1,0))</f>
        <v>0</v>
      </c>
      <c r="C635" s="1" t="n">
        <f aca="false">N(C634)+B635</f>
        <v>13</v>
      </c>
      <c r="K635" s="1" t="n">
        <f aca="false">IF(OR($K$1="",对接源_01水果!$C635="",对接源_01水果!$C635&lt;&gt;$K$1,对接源_01水果!$B635=""),0,IF(OR(N(对接源_01水果!$B635)&lt;$K$2,N(对接源_01水果!$B635)&gt;$K$3),0,1))</f>
        <v>0</v>
      </c>
      <c r="L635" s="1" t="n">
        <f aca="false">IF(OR($L$1="",对接源_01水果!$C635="",对接源_01水果!$C635&lt;&gt;$L$1,对接源_01水果!$B635=""),0,IF(OR(N(对接源_01水果!$B635)&lt;$L$2,N(对接源_01水果!$B635)&gt;$L$3),0,1))</f>
        <v>0</v>
      </c>
      <c r="M635" s="1" t="n">
        <f aca="false">IF(OR($M$1="",对接源_01水果!$C635="",对接源_01水果!$C635&lt;&gt;$M$1,对接源_01水果!$B635=""),0,IF(OR(N(对接源_01水果!$B635)&lt;$M$2,N(对接源_01水果!$B635)&gt;$M$3),0,1))</f>
        <v>0</v>
      </c>
      <c r="N635" s="1" t="n">
        <f aca="false">IF(OR($N$1="",对接源_01水果!$C635="",对接源_01水果!$C635&lt;&gt;$N$1,对接源_01水果!$B635=""),0,IF(OR(N(对接源_01水果!$B635)&lt;$N$2,N(对接源_01水果!$B635)&gt;$N$3),0,1))</f>
        <v>0</v>
      </c>
      <c r="P635" s="1" t="n">
        <f aca="false">IF(AND($K635=1,AND(对接源_01水果!$X635="公司筐",N(对接源_01水果!$T635)&lt;&gt;0)),1,0)</f>
        <v>0</v>
      </c>
      <c r="Q635" s="1" t="n">
        <f aca="false">N(Q634)+$P635</f>
        <v>3</v>
      </c>
      <c r="R635" s="1" t="n">
        <f aca="false">IF(AND($K635=1,AND(对接源_01水果!$X635="公司筐",N(对接源_01水果!$U635)&lt;&gt;0)),1,0)</f>
        <v>0</v>
      </c>
      <c r="S635" s="1" t="n">
        <f aca="false">N(S634)+$R635</f>
        <v>0</v>
      </c>
      <c r="T635" s="1" t="n">
        <f aca="false">IF(AND($K635=1,AND(对接源_01水果!$X635="公司筐",N(对接源_01水果!$V635)&lt;&gt;0)),1,0)</f>
        <v>0</v>
      </c>
      <c r="U635" s="1" t="n">
        <f aca="false">N(U634)+$T635</f>
        <v>28</v>
      </c>
      <c r="V635" s="1" t="n">
        <f aca="false">IF(AND($L635=1,AND(对接源_01水果!$X635="自备筐",N(对接源_01水果!$V635)&lt;&gt;0)),1,0)</f>
        <v>0</v>
      </c>
      <c r="W635" s="1" t="n">
        <f aca="false">N(W634)+$V635</f>
        <v>7</v>
      </c>
      <c r="X635" s="1" t="n">
        <f aca="false">IF(AND($L635=1,AND(对接源_01水果!$X635="自备筐",N(对接源_01水果!$T635)&lt;&gt;0)),1,0)</f>
        <v>0</v>
      </c>
      <c r="Y635" s="1" t="n">
        <f aca="false">N(Y634)+$X635</f>
        <v>0</v>
      </c>
      <c r="Z635" s="1" t="n">
        <f aca="false">IF(AND($M635=1,对接源_01水果!$D635="原料入库"),1,0)</f>
        <v>0</v>
      </c>
      <c r="AA635" s="1" t="n">
        <f aca="false">N(AA634)+$Z635</f>
        <v>30</v>
      </c>
      <c r="AB635" s="1" t="n">
        <f aca="false">IF(AND($M635=1,LEFT(对接源_01水果!$D635,4)="原料出库"),1,0)</f>
        <v>0</v>
      </c>
      <c r="AC635" s="1" t="n">
        <f aca="false">N(AC634)+$AB635</f>
        <v>19</v>
      </c>
      <c r="AD635" s="1" t="n">
        <f aca="false">IF(AND($M635=1,LEFT(对接源_01水果!$D635,4)="成品出库"),1,0)</f>
        <v>0</v>
      </c>
      <c r="AE635" s="1" t="n">
        <f aca="false">N(AE634)+$AD635</f>
        <v>38</v>
      </c>
      <c r="AF635" s="1" t="n">
        <f aca="false">IF(AND($N635=1,AND(LEFT(对接源_01水果!$D635,4)="包装物料",N(对接源_01水果!$K635)&lt;&gt;0)),1,0)</f>
        <v>0</v>
      </c>
      <c r="AG635" s="90" t="str">
        <f aca="false">IF(对接源_01水果!$AC635="","",对接源_01水果!$AC635)</f>
        <v/>
      </c>
      <c r="AH635" s="1" t="n">
        <f aca="false">IF(AND($N635=1,AND(LEFT(对接源_01水果!$D635,3)="周转筐",N(对接源_01水果!$K635)&lt;&gt;0)),1,0)</f>
        <v>0</v>
      </c>
      <c r="AI635" s="90" t="n">
        <f aca="false">IF(AG635="",0,IF(MATCH(AG635,$AG$4:$AG$1203,0)=ROW()-3,1,0))</f>
        <v>0</v>
      </c>
      <c r="AJ635" s="90" t="n">
        <f aca="false">N(AJ634)+AI635</f>
        <v>4</v>
      </c>
      <c r="AK635" s="1" t="n">
        <f aca="false">N(AK634)+$AJ635</f>
        <v>1400</v>
      </c>
    </row>
    <row r="636" customFormat="false" ht="13.5" hidden="false" customHeight="false" outlineLevel="0" collapsed="false">
      <c r="A636" s="1" t="str">
        <f aca="false">IF(对接源_01水果!$C636="","",对接源_01水果!$C636)</f>
        <v/>
      </c>
      <c r="B636" s="1" t="n">
        <f aca="false">IF(A636="",0,IF(MATCH(A636,$A$4:$A$2403,0)=ROW()-3,1,0))</f>
        <v>0</v>
      </c>
      <c r="C636" s="1" t="n">
        <f aca="false">N(C635)+B636</f>
        <v>13</v>
      </c>
      <c r="K636" s="1" t="n">
        <f aca="false">IF(OR($K$1="",对接源_01水果!$C636="",对接源_01水果!$C636&lt;&gt;$K$1,对接源_01水果!$B636=""),0,IF(OR(N(对接源_01水果!$B636)&lt;$K$2,N(对接源_01水果!$B636)&gt;$K$3),0,1))</f>
        <v>0</v>
      </c>
      <c r="L636" s="1" t="n">
        <f aca="false">IF(OR($L$1="",对接源_01水果!$C636="",对接源_01水果!$C636&lt;&gt;$L$1,对接源_01水果!$B636=""),0,IF(OR(N(对接源_01水果!$B636)&lt;$L$2,N(对接源_01水果!$B636)&gt;$L$3),0,1))</f>
        <v>0</v>
      </c>
      <c r="M636" s="1" t="n">
        <f aca="false">IF(OR($M$1="",对接源_01水果!$C636="",对接源_01水果!$C636&lt;&gt;$M$1,对接源_01水果!$B636=""),0,IF(OR(N(对接源_01水果!$B636)&lt;$M$2,N(对接源_01水果!$B636)&gt;$M$3),0,1))</f>
        <v>0</v>
      </c>
      <c r="N636" s="1" t="n">
        <f aca="false">IF(OR($N$1="",对接源_01水果!$C636="",对接源_01水果!$C636&lt;&gt;$N$1,对接源_01水果!$B636=""),0,IF(OR(N(对接源_01水果!$B636)&lt;$N$2,N(对接源_01水果!$B636)&gt;$N$3),0,1))</f>
        <v>0</v>
      </c>
      <c r="P636" s="1" t="n">
        <f aca="false">IF(AND($K636=1,AND(对接源_01水果!$X636="公司筐",N(对接源_01水果!$T636)&lt;&gt;0)),1,0)</f>
        <v>0</v>
      </c>
      <c r="Q636" s="1" t="n">
        <f aca="false">N(Q635)+$P636</f>
        <v>3</v>
      </c>
      <c r="R636" s="1" t="n">
        <f aca="false">IF(AND($K636=1,AND(对接源_01水果!$X636="公司筐",N(对接源_01水果!$U636)&lt;&gt;0)),1,0)</f>
        <v>0</v>
      </c>
      <c r="S636" s="1" t="n">
        <f aca="false">N(S635)+$R636</f>
        <v>0</v>
      </c>
      <c r="T636" s="1" t="n">
        <f aca="false">IF(AND($K636=1,AND(对接源_01水果!$X636="公司筐",N(对接源_01水果!$V636)&lt;&gt;0)),1,0)</f>
        <v>0</v>
      </c>
      <c r="U636" s="1" t="n">
        <f aca="false">N(U635)+$T636</f>
        <v>28</v>
      </c>
      <c r="V636" s="1" t="n">
        <f aca="false">IF(AND($L636=1,AND(对接源_01水果!$X636="自备筐",N(对接源_01水果!$V636)&lt;&gt;0)),1,0)</f>
        <v>0</v>
      </c>
      <c r="W636" s="1" t="n">
        <f aca="false">N(W635)+$V636</f>
        <v>7</v>
      </c>
      <c r="X636" s="1" t="n">
        <f aca="false">IF(AND($L636=1,AND(对接源_01水果!$X636="自备筐",N(对接源_01水果!$T636)&lt;&gt;0)),1,0)</f>
        <v>0</v>
      </c>
      <c r="Y636" s="1" t="n">
        <f aca="false">N(Y635)+$X636</f>
        <v>0</v>
      </c>
      <c r="Z636" s="1" t="n">
        <f aca="false">IF(AND($M636=1,对接源_01水果!$D636="原料入库"),1,0)</f>
        <v>0</v>
      </c>
      <c r="AA636" s="1" t="n">
        <f aca="false">N(AA635)+$Z636</f>
        <v>30</v>
      </c>
      <c r="AB636" s="1" t="n">
        <f aca="false">IF(AND($M636=1,LEFT(对接源_01水果!$D636,4)="原料出库"),1,0)</f>
        <v>0</v>
      </c>
      <c r="AC636" s="1" t="n">
        <f aca="false">N(AC635)+$AB636</f>
        <v>19</v>
      </c>
      <c r="AD636" s="1" t="n">
        <f aca="false">IF(AND($M636=1,LEFT(对接源_01水果!$D636,4)="成品出库"),1,0)</f>
        <v>0</v>
      </c>
      <c r="AE636" s="1" t="n">
        <f aca="false">N(AE635)+$AD636</f>
        <v>38</v>
      </c>
      <c r="AF636" s="1" t="n">
        <f aca="false">IF(AND($N636=1,AND(LEFT(对接源_01水果!$D636,4)="包装物料",N(对接源_01水果!$K636)&lt;&gt;0)),1,0)</f>
        <v>0</v>
      </c>
      <c r="AG636" s="90" t="str">
        <f aca="false">IF(对接源_01水果!$AC636="","",对接源_01水果!$AC636)</f>
        <v/>
      </c>
      <c r="AH636" s="1" t="n">
        <f aca="false">IF(AND($N636=1,AND(LEFT(对接源_01水果!$D636,3)="周转筐",N(对接源_01水果!$K636)&lt;&gt;0)),1,0)</f>
        <v>0</v>
      </c>
      <c r="AI636" s="90" t="n">
        <f aca="false">IF(AG636="",0,IF(MATCH(AG636,$AG$4:$AG$1203,0)=ROW()-3,1,0))</f>
        <v>0</v>
      </c>
      <c r="AJ636" s="90" t="n">
        <f aca="false">N(AJ635)+AI636</f>
        <v>4</v>
      </c>
      <c r="AK636" s="1" t="n">
        <f aca="false">N(AK635)+$AJ636</f>
        <v>1404</v>
      </c>
    </row>
    <row r="637" customFormat="false" ht="13.5" hidden="false" customHeight="false" outlineLevel="0" collapsed="false">
      <c r="A637" s="1" t="str">
        <f aca="false">IF(对接源_01水果!$C637="","",对接源_01水果!$C637)</f>
        <v/>
      </c>
      <c r="B637" s="1" t="n">
        <f aca="false">IF(A637="",0,IF(MATCH(A637,$A$4:$A$2403,0)=ROW()-3,1,0))</f>
        <v>0</v>
      </c>
      <c r="C637" s="1" t="n">
        <f aca="false">N(C636)+B637</f>
        <v>13</v>
      </c>
      <c r="K637" s="1" t="n">
        <f aca="false">IF(OR($K$1="",对接源_01水果!$C637="",对接源_01水果!$C637&lt;&gt;$K$1,对接源_01水果!$B637=""),0,IF(OR(N(对接源_01水果!$B637)&lt;$K$2,N(对接源_01水果!$B637)&gt;$K$3),0,1))</f>
        <v>0</v>
      </c>
      <c r="L637" s="1" t="n">
        <f aca="false">IF(OR($L$1="",对接源_01水果!$C637="",对接源_01水果!$C637&lt;&gt;$L$1,对接源_01水果!$B637=""),0,IF(OR(N(对接源_01水果!$B637)&lt;$L$2,N(对接源_01水果!$B637)&gt;$L$3),0,1))</f>
        <v>0</v>
      </c>
      <c r="M637" s="1" t="n">
        <f aca="false">IF(OR($M$1="",对接源_01水果!$C637="",对接源_01水果!$C637&lt;&gt;$M$1,对接源_01水果!$B637=""),0,IF(OR(N(对接源_01水果!$B637)&lt;$M$2,N(对接源_01水果!$B637)&gt;$M$3),0,1))</f>
        <v>0</v>
      </c>
      <c r="N637" s="1" t="n">
        <f aca="false">IF(OR($N$1="",对接源_01水果!$C637="",对接源_01水果!$C637&lt;&gt;$N$1,对接源_01水果!$B637=""),0,IF(OR(N(对接源_01水果!$B637)&lt;$N$2,N(对接源_01水果!$B637)&gt;$N$3),0,1))</f>
        <v>0</v>
      </c>
      <c r="P637" s="1" t="n">
        <f aca="false">IF(AND($K637=1,AND(对接源_01水果!$X637="公司筐",N(对接源_01水果!$T637)&lt;&gt;0)),1,0)</f>
        <v>0</v>
      </c>
      <c r="Q637" s="1" t="n">
        <f aca="false">N(Q636)+$P637</f>
        <v>3</v>
      </c>
      <c r="R637" s="1" t="n">
        <f aca="false">IF(AND($K637=1,AND(对接源_01水果!$X637="公司筐",N(对接源_01水果!$U637)&lt;&gt;0)),1,0)</f>
        <v>0</v>
      </c>
      <c r="S637" s="1" t="n">
        <f aca="false">N(S636)+$R637</f>
        <v>0</v>
      </c>
      <c r="T637" s="1" t="n">
        <f aca="false">IF(AND($K637=1,AND(对接源_01水果!$X637="公司筐",N(对接源_01水果!$V637)&lt;&gt;0)),1,0)</f>
        <v>0</v>
      </c>
      <c r="U637" s="1" t="n">
        <f aca="false">N(U636)+$T637</f>
        <v>28</v>
      </c>
      <c r="V637" s="1" t="n">
        <f aca="false">IF(AND($L637=1,AND(对接源_01水果!$X637="自备筐",N(对接源_01水果!$V637)&lt;&gt;0)),1,0)</f>
        <v>0</v>
      </c>
      <c r="W637" s="1" t="n">
        <f aca="false">N(W636)+$V637</f>
        <v>7</v>
      </c>
      <c r="X637" s="1" t="n">
        <f aca="false">IF(AND($L637=1,AND(对接源_01水果!$X637="自备筐",N(对接源_01水果!$T637)&lt;&gt;0)),1,0)</f>
        <v>0</v>
      </c>
      <c r="Y637" s="1" t="n">
        <f aca="false">N(Y636)+$X637</f>
        <v>0</v>
      </c>
      <c r="Z637" s="1" t="n">
        <f aca="false">IF(AND($M637=1,对接源_01水果!$D637="原料入库"),1,0)</f>
        <v>0</v>
      </c>
      <c r="AA637" s="1" t="n">
        <f aca="false">N(AA636)+$Z637</f>
        <v>30</v>
      </c>
      <c r="AB637" s="1" t="n">
        <f aca="false">IF(AND($M637=1,LEFT(对接源_01水果!$D637,4)="原料出库"),1,0)</f>
        <v>0</v>
      </c>
      <c r="AC637" s="1" t="n">
        <f aca="false">N(AC636)+$AB637</f>
        <v>19</v>
      </c>
      <c r="AD637" s="1" t="n">
        <f aca="false">IF(AND($M637=1,LEFT(对接源_01水果!$D637,4)="成品出库"),1,0)</f>
        <v>0</v>
      </c>
      <c r="AE637" s="1" t="n">
        <f aca="false">N(AE636)+$AD637</f>
        <v>38</v>
      </c>
      <c r="AF637" s="1" t="n">
        <f aca="false">IF(AND($N637=1,AND(LEFT(对接源_01水果!$D637,4)="包装物料",N(对接源_01水果!$K637)&lt;&gt;0)),1,0)</f>
        <v>0</v>
      </c>
      <c r="AG637" s="90" t="str">
        <f aca="false">IF(对接源_01水果!$AC637="","",对接源_01水果!$AC637)</f>
        <v/>
      </c>
      <c r="AH637" s="1" t="n">
        <f aca="false">IF(AND($N637=1,AND(LEFT(对接源_01水果!$D637,3)="周转筐",N(对接源_01水果!$K637)&lt;&gt;0)),1,0)</f>
        <v>0</v>
      </c>
      <c r="AI637" s="90" t="n">
        <f aca="false">IF(AG637="",0,IF(MATCH(AG637,$AG$4:$AG$1203,0)=ROW()-3,1,0))</f>
        <v>0</v>
      </c>
      <c r="AJ637" s="90" t="n">
        <f aca="false">N(AJ636)+AI637</f>
        <v>4</v>
      </c>
      <c r="AK637" s="1" t="n">
        <f aca="false">N(AK636)+$AJ637</f>
        <v>1408</v>
      </c>
    </row>
    <row r="638" customFormat="false" ht="13.5" hidden="false" customHeight="false" outlineLevel="0" collapsed="false">
      <c r="A638" s="1" t="str">
        <f aca="false">IF(对接源_01水果!$C638="","",对接源_01水果!$C638)</f>
        <v/>
      </c>
      <c r="B638" s="1" t="n">
        <f aca="false">IF(A638="",0,IF(MATCH(A638,$A$4:$A$2403,0)=ROW()-3,1,0))</f>
        <v>0</v>
      </c>
      <c r="C638" s="1" t="n">
        <f aca="false">N(C637)+B638</f>
        <v>13</v>
      </c>
      <c r="K638" s="1" t="n">
        <f aca="false">IF(OR($K$1="",对接源_01水果!$C638="",对接源_01水果!$C638&lt;&gt;$K$1,对接源_01水果!$B638=""),0,IF(OR(N(对接源_01水果!$B638)&lt;$K$2,N(对接源_01水果!$B638)&gt;$K$3),0,1))</f>
        <v>0</v>
      </c>
      <c r="L638" s="1" t="n">
        <f aca="false">IF(OR($L$1="",对接源_01水果!$C638="",对接源_01水果!$C638&lt;&gt;$L$1,对接源_01水果!$B638=""),0,IF(OR(N(对接源_01水果!$B638)&lt;$L$2,N(对接源_01水果!$B638)&gt;$L$3),0,1))</f>
        <v>0</v>
      </c>
      <c r="M638" s="1" t="n">
        <f aca="false">IF(OR($M$1="",对接源_01水果!$C638="",对接源_01水果!$C638&lt;&gt;$M$1,对接源_01水果!$B638=""),0,IF(OR(N(对接源_01水果!$B638)&lt;$M$2,N(对接源_01水果!$B638)&gt;$M$3),0,1))</f>
        <v>0</v>
      </c>
      <c r="N638" s="1" t="n">
        <f aca="false">IF(OR($N$1="",对接源_01水果!$C638="",对接源_01水果!$C638&lt;&gt;$N$1,对接源_01水果!$B638=""),0,IF(OR(N(对接源_01水果!$B638)&lt;$N$2,N(对接源_01水果!$B638)&gt;$N$3),0,1))</f>
        <v>0</v>
      </c>
      <c r="P638" s="1" t="n">
        <f aca="false">IF(AND($K638=1,AND(对接源_01水果!$X638="公司筐",N(对接源_01水果!$T638)&lt;&gt;0)),1,0)</f>
        <v>0</v>
      </c>
      <c r="Q638" s="1" t="n">
        <f aca="false">N(Q637)+$P638</f>
        <v>3</v>
      </c>
      <c r="R638" s="1" t="n">
        <f aca="false">IF(AND($K638=1,AND(对接源_01水果!$X638="公司筐",N(对接源_01水果!$U638)&lt;&gt;0)),1,0)</f>
        <v>0</v>
      </c>
      <c r="S638" s="1" t="n">
        <f aca="false">N(S637)+$R638</f>
        <v>0</v>
      </c>
      <c r="T638" s="1" t="n">
        <f aca="false">IF(AND($K638=1,AND(对接源_01水果!$X638="公司筐",N(对接源_01水果!$V638)&lt;&gt;0)),1,0)</f>
        <v>0</v>
      </c>
      <c r="U638" s="1" t="n">
        <f aca="false">N(U637)+$T638</f>
        <v>28</v>
      </c>
      <c r="V638" s="1" t="n">
        <f aca="false">IF(AND($L638=1,AND(对接源_01水果!$X638="自备筐",N(对接源_01水果!$V638)&lt;&gt;0)),1,0)</f>
        <v>0</v>
      </c>
      <c r="W638" s="1" t="n">
        <f aca="false">N(W637)+$V638</f>
        <v>7</v>
      </c>
      <c r="X638" s="1" t="n">
        <f aca="false">IF(AND($L638=1,AND(对接源_01水果!$X638="自备筐",N(对接源_01水果!$T638)&lt;&gt;0)),1,0)</f>
        <v>0</v>
      </c>
      <c r="Y638" s="1" t="n">
        <f aca="false">N(Y637)+$X638</f>
        <v>0</v>
      </c>
      <c r="Z638" s="1" t="n">
        <f aca="false">IF(AND($M638=1,对接源_01水果!$D638="原料入库"),1,0)</f>
        <v>0</v>
      </c>
      <c r="AA638" s="1" t="n">
        <f aca="false">N(AA637)+$Z638</f>
        <v>30</v>
      </c>
      <c r="AB638" s="1" t="n">
        <f aca="false">IF(AND($M638=1,LEFT(对接源_01水果!$D638,4)="原料出库"),1,0)</f>
        <v>0</v>
      </c>
      <c r="AC638" s="1" t="n">
        <f aca="false">N(AC637)+$AB638</f>
        <v>19</v>
      </c>
      <c r="AD638" s="1" t="n">
        <f aca="false">IF(AND($M638=1,LEFT(对接源_01水果!$D638,4)="成品出库"),1,0)</f>
        <v>0</v>
      </c>
      <c r="AE638" s="1" t="n">
        <f aca="false">N(AE637)+$AD638</f>
        <v>38</v>
      </c>
      <c r="AF638" s="1" t="n">
        <f aca="false">IF(AND($N638=1,AND(LEFT(对接源_01水果!$D638,4)="包装物料",N(对接源_01水果!$K638)&lt;&gt;0)),1,0)</f>
        <v>0</v>
      </c>
      <c r="AG638" s="90" t="str">
        <f aca="false">IF(对接源_01水果!$AC638="","",对接源_01水果!$AC638)</f>
        <v/>
      </c>
      <c r="AH638" s="1" t="n">
        <f aca="false">IF(AND($N638=1,AND(LEFT(对接源_01水果!$D638,3)="周转筐",N(对接源_01水果!$K638)&lt;&gt;0)),1,0)</f>
        <v>0</v>
      </c>
      <c r="AI638" s="90" t="n">
        <f aca="false">IF(AG638="",0,IF(MATCH(AG638,$AG$4:$AG$1203,0)=ROW()-3,1,0))</f>
        <v>0</v>
      </c>
      <c r="AJ638" s="90" t="n">
        <f aca="false">N(AJ637)+AI638</f>
        <v>4</v>
      </c>
      <c r="AK638" s="1" t="n">
        <f aca="false">N(AK637)+$AJ638</f>
        <v>1412</v>
      </c>
    </row>
    <row r="639" customFormat="false" ht="13.5" hidden="false" customHeight="false" outlineLevel="0" collapsed="false">
      <c r="A639" s="1" t="str">
        <f aca="false">IF(对接源_01水果!$C639="","",对接源_01水果!$C639)</f>
        <v/>
      </c>
      <c r="B639" s="1" t="n">
        <f aca="false">IF(A639="",0,IF(MATCH(A639,$A$4:$A$2403,0)=ROW()-3,1,0))</f>
        <v>0</v>
      </c>
      <c r="C639" s="1" t="n">
        <f aca="false">N(C638)+B639</f>
        <v>13</v>
      </c>
      <c r="K639" s="1" t="n">
        <f aca="false">IF(OR($K$1="",对接源_01水果!$C639="",对接源_01水果!$C639&lt;&gt;$K$1,对接源_01水果!$B639=""),0,IF(OR(N(对接源_01水果!$B639)&lt;$K$2,N(对接源_01水果!$B639)&gt;$K$3),0,1))</f>
        <v>0</v>
      </c>
      <c r="L639" s="1" t="n">
        <f aca="false">IF(OR($L$1="",对接源_01水果!$C639="",对接源_01水果!$C639&lt;&gt;$L$1,对接源_01水果!$B639=""),0,IF(OR(N(对接源_01水果!$B639)&lt;$L$2,N(对接源_01水果!$B639)&gt;$L$3),0,1))</f>
        <v>0</v>
      </c>
      <c r="M639" s="1" t="n">
        <f aca="false">IF(OR($M$1="",对接源_01水果!$C639="",对接源_01水果!$C639&lt;&gt;$M$1,对接源_01水果!$B639=""),0,IF(OR(N(对接源_01水果!$B639)&lt;$M$2,N(对接源_01水果!$B639)&gt;$M$3),0,1))</f>
        <v>0</v>
      </c>
      <c r="N639" s="1" t="n">
        <f aca="false">IF(OR($N$1="",对接源_01水果!$C639="",对接源_01水果!$C639&lt;&gt;$N$1,对接源_01水果!$B639=""),0,IF(OR(N(对接源_01水果!$B639)&lt;$N$2,N(对接源_01水果!$B639)&gt;$N$3),0,1))</f>
        <v>0</v>
      </c>
      <c r="P639" s="1" t="n">
        <f aca="false">IF(AND($K639=1,AND(对接源_01水果!$X639="公司筐",N(对接源_01水果!$T639)&lt;&gt;0)),1,0)</f>
        <v>0</v>
      </c>
      <c r="Q639" s="1" t="n">
        <f aca="false">N(Q638)+$P639</f>
        <v>3</v>
      </c>
      <c r="R639" s="1" t="n">
        <f aca="false">IF(AND($K639=1,AND(对接源_01水果!$X639="公司筐",N(对接源_01水果!$U639)&lt;&gt;0)),1,0)</f>
        <v>0</v>
      </c>
      <c r="S639" s="1" t="n">
        <f aca="false">N(S638)+$R639</f>
        <v>0</v>
      </c>
      <c r="T639" s="1" t="n">
        <f aca="false">IF(AND($K639=1,AND(对接源_01水果!$X639="公司筐",N(对接源_01水果!$V639)&lt;&gt;0)),1,0)</f>
        <v>0</v>
      </c>
      <c r="U639" s="1" t="n">
        <f aca="false">N(U638)+$T639</f>
        <v>28</v>
      </c>
      <c r="V639" s="1" t="n">
        <f aca="false">IF(AND($L639=1,AND(对接源_01水果!$X639="自备筐",N(对接源_01水果!$V639)&lt;&gt;0)),1,0)</f>
        <v>0</v>
      </c>
      <c r="W639" s="1" t="n">
        <f aca="false">N(W638)+$V639</f>
        <v>7</v>
      </c>
      <c r="X639" s="1" t="n">
        <f aca="false">IF(AND($L639=1,AND(对接源_01水果!$X639="自备筐",N(对接源_01水果!$T639)&lt;&gt;0)),1,0)</f>
        <v>0</v>
      </c>
      <c r="Y639" s="1" t="n">
        <f aca="false">N(Y638)+$X639</f>
        <v>0</v>
      </c>
      <c r="Z639" s="1" t="n">
        <f aca="false">IF(AND($M639=1,对接源_01水果!$D639="原料入库"),1,0)</f>
        <v>0</v>
      </c>
      <c r="AA639" s="1" t="n">
        <f aca="false">N(AA638)+$Z639</f>
        <v>30</v>
      </c>
      <c r="AB639" s="1" t="n">
        <f aca="false">IF(AND($M639=1,LEFT(对接源_01水果!$D639,4)="原料出库"),1,0)</f>
        <v>0</v>
      </c>
      <c r="AC639" s="1" t="n">
        <f aca="false">N(AC638)+$AB639</f>
        <v>19</v>
      </c>
      <c r="AD639" s="1" t="n">
        <f aca="false">IF(AND($M639=1,LEFT(对接源_01水果!$D639,4)="成品出库"),1,0)</f>
        <v>0</v>
      </c>
      <c r="AE639" s="1" t="n">
        <f aca="false">N(AE638)+$AD639</f>
        <v>38</v>
      </c>
      <c r="AF639" s="1" t="n">
        <f aca="false">IF(AND($N639=1,AND(LEFT(对接源_01水果!$D639,4)="包装物料",N(对接源_01水果!$K639)&lt;&gt;0)),1,0)</f>
        <v>0</v>
      </c>
      <c r="AG639" s="90" t="str">
        <f aca="false">IF(对接源_01水果!$AC639="","",对接源_01水果!$AC639)</f>
        <v/>
      </c>
      <c r="AH639" s="1" t="n">
        <f aca="false">IF(AND($N639=1,AND(LEFT(对接源_01水果!$D639,3)="周转筐",N(对接源_01水果!$K639)&lt;&gt;0)),1,0)</f>
        <v>0</v>
      </c>
      <c r="AI639" s="90" t="n">
        <f aca="false">IF(AG639="",0,IF(MATCH(AG639,$AG$4:$AG$1203,0)=ROW()-3,1,0))</f>
        <v>0</v>
      </c>
      <c r="AJ639" s="90" t="n">
        <f aca="false">N(AJ638)+AI639</f>
        <v>4</v>
      </c>
      <c r="AK639" s="1" t="n">
        <f aca="false">N(AK638)+$AJ639</f>
        <v>1416</v>
      </c>
    </row>
    <row r="640" customFormat="false" ht="13.5" hidden="false" customHeight="false" outlineLevel="0" collapsed="false">
      <c r="A640" s="1" t="str">
        <f aca="false">IF(对接源_01水果!$C640="","",对接源_01水果!$C640)</f>
        <v/>
      </c>
      <c r="B640" s="1" t="n">
        <f aca="false">IF(A640="",0,IF(MATCH(A640,$A$4:$A$2403,0)=ROW()-3,1,0))</f>
        <v>0</v>
      </c>
      <c r="C640" s="1" t="n">
        <f aca="false">N(C639)+B640</f>
        <v>13</v>
      </c>
      <c r="K640" s="1" t="n">
        <f aca="false">IF(OR($K$1="",对接源_01水果!$C640="",对接源_01水果!$C640&lt;&gt;$K$1,对接源_01水果!$B640=""),0,IF(OR(N(对接源_01水果!$B640)&lt;$K$2,N(对接源_01水果!$B640)&gt;$K$3),0,1))</f>
        <v>0</v>
      </c>
      <c r="L640" s="1" t="n">
        <f aca="false">IF(OR($L$1="",对接源_01水果!$C640="",对接源_01水果!$C640&lt;&gt;$L$1,对接源_01水果!$B640=""),0,IF(OR(N(对接源_01水果!$B640)&lt;$L$2,N(对接源_01水果!$B640)&gt;$L$3),0,1))</f>
        <v>0</v>
      </c>
      <c r="M640" s="1" t="n">
        <f aca="false">IF(OR($M$1="",对接源_01水果!$C640="",对接源_01水果!$C640&lt;&gt;$M$1,对接源_01水果!$B640=""),0,IF(OR(N(对接源_01水果!$B640)&lt;$M$2,N(对接源_01水果!$B640)&gt;$M$3),0,1))</f>
        <v>0</v>
      </c>
      <c r="N640" s="1" t="n">
        <f aca="false">IF(OR($N$1="",对接源_01水果!$C640="",对接源_01水果!$C640&lt;&gt;$N$1,对接源_01水果!$B640=""),0,IF(OR(N(对接源_01水果!$B640)&lt;$N$2,N(对接源_01水果!$B640)&gt;$N$3),0,1))</f>
        <v>0</v>
      </c>
      <c r="P640" s="1" t="n">
        <f aca="false">IF(AND($K640=1,AND(对接源_01水果!$X640="公司筐",N(对接源_01水果!$T640)&lt;&gt;0)),1,0)</f>
        <v>0</v>
      </c>
      <c r="Q640" s="1" t="n">
        <f aca="false">N(Q639)+$P640</f>
        <v>3</v>
      </c>
      <c r="R640" s="1" t="n">
        <f aca="false">IF(AND($K640=1,AND(对接源_01水果!$X640="公司筐",N(对接源_01水果!$U640)&lt;&gt;0)),1,0)</f>
        <v>0</v>
      </c>
      <c r="S640" s="1" t="n">
        <f aca="false">N(S639)+$R640</f>
        <v>0</v>
      </c>
      <c r="T640" s="1" t="n">
        <f aca="false">IF(AND($K640=1,AND(对接源_01水果!$X640="公司筐",N(对接源_01水果!$V640)&lt;&gt;0)),1,0)</f>
        <v>0</v>
      </c>
      <c r="U640" s="1" t="n">
        <f aca="false">N(U639)+$T640</f>
        <v>28</v>
      </c>
      <c r="V640" s="1" t="n">
        <f aca="false">IF(AND($L640=1,AND(对接源_01水果!$X640="自备筐",N(对接源_01水果!$V640)&lt;&gt;0)),1,0)</f>
        <v>0</v>
      </c>
      <c r="W640" s="1" t="n">
        <f aca="false">N(W639)+$V640</f>
        <v>7</v>
      </c>
      <c r="X640" s="1" t="n">
        <f aca="false">IF(AND($L640=1,AND(对接源_01水果!$X640="自备筐",N(对接源_01水果!$T640)&lt;&gt;0)),1,0)</f>
        <v>0</v>
      </c>
      <c r="Y640" s="1" t="n">
        <f aca="false">N(Y639)+$X640</f>
        <v>0</v>
      </c>
      <c r="Z640" s="1" t="n">
        <f aca="false">IF(AND($M640=1,对接源_01水果!$D640="原料入库"),1,0)</f>
        <v>0</v>
      </c>
      <c r="AA640" s="1" t="n">
        <f aca="false">N(AA639)+$Z640</f>
        <v>30</v>
      </c>
      <c r="AB640" s="1" t="n">
        <f aca="false">IF(AND($M640=1,LEFT(对接源_01水果!$D640,4)="原料出库"),1,0)</f>
        <v>0</v>
      </c>
      <c r="AC640" s="1" t="n">
        <f aca="false">N(AC639)+$AB640</f>
        <v>19</v>
      </c>
      <c r="AD640" s="1" t="n">
        <f aca="false">IF(AND($M640=1,LEFT(对接源_01水果!$D640,4)="成品出库"),1,0)</f>
        <v>0</v>
      </c>
      <c r="AE640" s="1" t="n">
        <f aca="false">N(AE639)+$AD640</f>
        <v>38</v>
      </c>
      <c r="AF640" s="1" t="n">
        <f aca="false">IF(AND($N640=1,AND(LEFT(对接源_01水果!$D640,4)="包装物料",N(对接源_01水果!$K640)&lt;&gt;0)),1,0)</f>
        <v>0</v>
      </c>
      <c r="AG640" s="90" t="str">
        <f aca="false">IF(对接源_01水果!$AC640="","",对接源_01水果!$AC640)</f>
        <v/>
      </c>
      <c r="AH640" s="1" t="n">
        <f aca="false">IF(AND($N640=1,AND(LEFT(对接源_01水果!$D640,3)="周转筐",N(对接源_01水果!$K640)&lt;&gt;0)),1,0)</f>
        <v>0</v>
      </c>
      <c r="AI640" s="90" t="n">
        <f aca="false">IF(AG640="",0,IF(MATCH(AG640,$AG$4:$AG$1203,0)=ROW()-3,1,0))</f>
        <v>0</v>
      </c>
      <c r="AJ640" s="90" t="n">
        <f aca="false">N(AJ639)+AI640</f>
        <v>4</v>
      </c>
      <c r="AK640" s="1" t="n">
        <f aca="false">N(AK639)+$AJ640</f>
        <v>1420</v>
      </c>
    </row>
    <row r="641" customFormat="false" ht="13.5" hidden="false" customHeight="false" outlineLevel="0" collapsed="false">
      <c r="A641" s="1" t="str">
        <f aca="false">IF(对接源_01水果!$C641="","",对接源_01水果!$C641)</f>
        <v/>
      </c>
      <c r="B641" s="1" t="n">
        <f aca="false">IF(A641="",0,IF(MATCH(A641,$A$4:$A$2403,0)=ROW()-3,1,0))</f>
        <v>0</v>
      </c>
      <c r="C641" s="1" t="n">
        <f aca="false">N(C640)+B641</f>
        <v>13</v>
      </c>
      <c r="K641" s="1" t="n">
        <f aca="false">IF(OR($K$1="",对接源_01水果!$C641="",对接源_01水果!$C641&lt;&gt;$K$1,对接源_01水果!$B641=""),0,IF(OR(N(对接源_01水果!$B641)&lt;$K$2,N(对接源_01水果!$B641)&gt;$K$3),0,1))</f>
        <v>0</v>
      </c>
      <c r="L641" s="1" t="n">
        <f aca="false">IF(OR($L$1="",对接源_01水果!$C641="",对接源_01水果!$C641&lt;&gt;$L$1,对接源_01水果!$B641=""),0,IF(OR(N(对接源_01水果!$B641)&lt;$L$2,N(对接源_01水果!$B641)&gt;$L$3),0,1))</f>
        <v>0</v>
      </c>
      <c r="M641" s="1" t="n">
        <f aca="false">IF(OR($M$1="",对接源_01水果!$C641="",对接源_01水果!$C641&lt;&gt;$M$1,对接源_01水果!$B641=""),0,IF(OR(N(对接源_01水果!$B641)&lt;$M$2,N(对接源_01水果!$B641)&gt;$M$3),0,1))</f>
        <v>0</v>
      </c>
      <c r="N641" s="1" t="n">
        <f aca="false">IF(OR($N$1="",对接源_01水果!$C641="",对接源_01水果!$C641&lt;&gt;$N$1,对接源_01水果!$B641=""),0,IF(OR(N(对接源_01水果!$B641)&lt;$N$2,N(对接源_01水果!$B641)&gt;$N$3),0,1))</f>
        <v>0</v>
      </c>
      <c r="P641" s="1" t="n">
        <f aca="false">IF(AND($K641=1,AND(对接源_01水果!$X641="公司筐",N(对接源_01水果!$T641)&lt;&gt;0)),1,0)</f>
        <v>0</v>
      </c>
      <c r="Q641" s="1" t="n">
        <f aca="false">N(Q640)+$P641</f>
        <v>3</v>
      </c>
      <c r="R641" s="1" t="n">
        <f aca="false">IF(AND($K641=1,AND(对接源_01水果!$X641="公司筐",N(对接源_01水果!$U641)&lt;&gt;0)),1,0)</f>
        <v>0</v>
      </c>
      <c r="S641" s="1" t="n">
        <f aca="false">N(S640)+$R641</f>
        <v>0</v>
      </c>
      <c r="T641" s="1" t="n">
        <f aca="false">IF(AND($K641=1,AND(对接源_01水果!$X641="公司筐",N(对接源_01水果!$V641)&lt;&gt;0)),1,0)</f>
        <v>0</v>
      </c>
      <c r="U641" s="1" t="n">
        <f aca="false">N(U640)+$T641</f>
        <v>28</v>
      </c>
      <c r="V641" s="1" t="n">
        <f aca="false">IF(AND($L641=1,AND(对接源_01水果!$X641="自备筐",N(对接源_01水果!$V641)&lt;&gt;0)),1,0)</f>
        <v>0</v>
      </c>
      <c r="W641" s="1" t="n">
        <f aca="false">N(W640)+$V641</f>
        <v>7</v>
      </c>
      <c r="X641" s="1" t="n">
        <f aca="false">IF(AND($L641=1,AND(对接源_01水果!$X641="自备筐",N(对接源_01水果!$T641)&lt;&gt;0)),1,0)</f>
        <v>0</v>
      </c>
      <c r="Y641" s="1" t="n">
        <f aca="false">N(Y640)+$X641</f>
        <v>0</v>
      </c>
      <c r="Z641" s="1" t="n">
        <f aca="false">IF(AND($M641=1,对接源_01水果!$D641="原料入库"),1,0)</f>
        <v>0</v>
      </c>
      <c r="AA641" s="1" t="n">
        <f aca="false">N(AA640)+$Z641</f>
        <v>30</v>
      </c>
      <c r="AB641" s="1" t="n">
        <f aca="false">IF(AND($M641=1,LEFT(对接源_01水果!$D641,4)="原料出库"),1,0)</f>
        <v>0</v>
      </c>
      <c r="AC641" s="1" t="n">
        <f aca="false">N(AC640)+$AB641</f>
        <v>19</v>
      </c>
      <c r="AD641" s="1" t="n">
        <f aca="false">IF(AND($M641=1,LEFT(对接源_01水果!$D641,4)="成品出库"),1,0)</f>
        <v>0</v>
      </c>
      <c r="AE641" s="1" t="n">
        <f aca="false">N(AE640)+$AD641</f>
        <v>38</v>
      </c>
      <c r="AF641" s="1" t="n">
        <f aca="false">IF(AND($N641=1,AND(LEFT(对接源_01水果!$D641,4)="包装物料",N(对接源_01水果!$K641)&lt;&gt;0)),1,0)</f>
        <v>0</v>
      </c>
      <c r="AG641" s="90" t="str">
        <f aca="false">IF(对接源_01水果!$AC641="","",对接源_01水果!$AC641)</f>
        <v/>
      </c>
      <c r="AH641" s="1" t="n">
        <f aca="false">IF(AND($N641=1,AND(LEFT(对接源_01水果!$D641,3)="周转筐",N(对接源_01水果!$K641)&lt;&gt;0)),1,0)</f>
        <v>0</v>
      </c>
      <c r="AI641" s="90" t="n">
        <f aca="false">IF(AG641="",0,IF(MATCH(AG641,$AG$4:$AG$1203,0)=ROW()-3,1,0))</f>
        <v>0</v>
      </c>
      <c r="AJ641" s="90" t="n">
        <f aca="false">N(AJ640)+AI641</f>
        <v>4</v>
      </c>
      <c r="AK641" s="1" t="n">
        <f aca="false">N(AK640)+$AJ641</f>
        <v>1424</v>
      </c>
    </row>
    <row r="642" customFormat="false" ht="13.5" hidden="false" customHeight="false" outlineLevel="0" collapsed="false">
      <c r="A642" s="1" t="str">
        <f aca="false">IF(对接源_01水果!$C642="","",对接源_01水果!$C642)</f>
        <v/>
      </c>
      <c r="B642" s="1" t="n">
        <f aca="false">IF(A642="",0,IF(MATCH(A642,$A$4:$A$2403,0)=ROW()-3,1,0))</f>
        <v>0</v>
      </c>
      <c r="C642" s="1" t="n">
        <f aca="false">N(C641)+B642</f>
        <v>13</v>
      </c>
      <c r="K642" s="1" t="n">
        <f aca="false">IF(OR($K$1="",对接源_01水果!$C642="",对接源_01水果!$C642&lt;&gt;$K$1,对接源_01水果!$B642=""),0,IF(OR(N(对接源_01水果!$B642)&lt;$K$2,N(对接源_01水果!$B642)&gt;$K$3),0,1))</f>
        <v>0</v>
      </c>
      <c r="L642" s="1" t="n">
        <f aca="false">IF(OR($L$1="",对接源_01水果!$C642="",对接源_01水果!$C642&lt;&gt;$L$1,对接源_01水果!$B642=""),0,IF(OR(N(对接源_01水果!$B642)&lt;$L$2,N(对接源_01水果!$B642)&gt;$L$3),0,1))</f>
        <v>0</v>
      </c>
      <c r="M642" s="1" t="n">
        <f aca="false">IF(OR($M$1="",对接源_01水果!$C642="",对接源_01水果!$C642&lt;&gt;$M$1,对接源_01水果!$B642=""),0,IF(OR(N(对接源_01水果!$B642)&lt;$M$2,N(对接源_01水果!$B642)&gt;$M$3),0,1))</f>
        <v>0</v>
      </c>
      <c r="N642" s="1" t="n">
        <f aca="false">IF(OR($N$1="",对接源_01水果!$C642="",对接源_01水果!$C642&lt;&gt;$N$1,对接源_01水果!$B642=""),0,IF(OR(N(对接源_01水果!$B642)&lt;$N$2,N(对接源_01水果!$B642)&gt;$N$3),0,1))</f>
        <v>0</v>
      </c>
      <c r="P642" s="1" t="n">
        <f aca="false">IF(AND($K642=1,AND(对接源_01水果!$X642="公司筐",N(对接源_01水果!$T642)&lt;&gt;0)),1,0)</f>
        <v>0</v>
      </c>
      <c r="Q642" s="1" t="n">
        <f aca="false">N(Q641)+$P642</f>
        <v>3</v>
      </c>
      <c r="R642" s="1" t="n">
        <f aca="false">IF(AND($K642=1,AND(对接源_01水果!$X642="公司筐",N(对接源_01水果!$U642)&lt;&gt;0)),1,0)</f>
        <v>0</v>
      </c>
      <c r="S642" s="1" t="n">
        <f aca="false">N(S641)+$R642</f>
        <v>0</v>
      </c>
      <c r="T642" s="1" t="n">
        <f aca="false">IF(AND($K642=1,AND(对接源_01水果!$X642="公司筐",N(对接源_01水果!$V642)&lt;&gt;0)),1,0)</f>
        <v>0</v>
      </c>
      <c r="U642" s="1" t="n">
        <f aca="false">N(U641)+$T642</f>
        <v>28</v>
      </c>
      <c r="V642" s="1" t="n">
        <f aca="false">IF(AND($L642=1,AND(对接源_01水果!$X642="自备筐",N(对接源_01水果!$V642)&lt;&gt;0)),1,0)</f>
        <v>0</v>
      </c>
      <c r="W642" s="1" t="n">
        <f aca="false">N(W641)+$V642</f>
        <v>7</v>
      </c>
      <c r="X642" s="1" t="n">
        <f aca="false">IF(AND($L642=1,AND(对接源_01水果!$X642="自备筐",N(对接源_01水果!$T642)&lt;&gt;0)),1,0)</f>
        <v>0</v>
      </c>
      <c r="Y642" s="1" t="n">
        <f aca="false">N(Y641)+$X642</f>
        <v>0</v>
      </c>
      <c r="Z642" s="1" t="n">
        <f aca="false">IF(AND($M642=1,对接源_01水果!$D642="原料入库"),1,0)</f>
        <v>0</v>
      </c>
      <c r="AA642" s="1" t="n">
        <f aca="false">N(AA641)+$Z642</f>
        <v>30</v>
      </c>
      <c r="AB642" s="1" t="n">
        <f aca="false">IF(AND($M642=1,LEFT(对接源_01水果!$D642,4)="原料出库"),1,0)</f>
        <v>0</v>
      </c>
      <c r="AC642" s="1" t="n">
        <f aca="false">N(AC641)+$AB642</f>
        <v>19</v>
      </c>
      <c r="AD642" s="1" t="n">
        <f aca="false">IF(AND($M642=1,LEFT(对接源_01水果!$D642,4)="成品出库"),1,0)</f>
        <v>0</v>
      </c>
      <c r="AE642" s="1" t="n">
        <f aca="false">N(AE641)+$AD642</f>
        <v>38</v>
      </c>
      <c r="AF642" s="1" t="n">
        <f aca="false">IF(AND($N642=1,AND(LEFT(对接源_01水果!$D642,4)="包装物料",N(对接源_01水果!$K642)&lt;&gt;0)),1,0)</f>
        <v>0</v>
      </c>
      <c r="AG642" s="90" t="str">
        <f aca="false">IF(对接源_01水果!$AC642="","",对接源_01水果!$AC642)</f>
        <v/>
      </c>
      <c r="AH642" s="1" t="n">
        <f aca="false">IF(AND($N642=1,AND(LEFT(对接源_01水果!$D642,3)="周转筐",N(对接源_01水果!$K642)&lt;&gt;0)),1,0)</f>
        <v>0</v>
      </c>
      <c r="AI642" s="90" t="n">
        <f aca="false">IF(AG642="",0,IF(MATCH(AG642,$AG$4:$AG$1203,0)=ROW()-3,1,0))</f>
        <v>0</v>
      </c>
      <c r="AJ642" s="90" t="n">
        <f aca="false">N(AJ641)+AI642</f>
        <v>4</v>
      </c>
      <c r="AK642" s="1" t="n">
        <f aca="false">N(AK641)+$AJ642</f>
        <v>1428</v>
      </c>
    </row>
    <row r="643" customFormat="false" ht="13.5" hidden="false" customHeight="false" outlineLevel="0" collapsed="false">
      <c r="A643" s="1" t="str">
        <f aca="false">IF(对接源_01水果!$C643="","",对接源_01水果!$C643)</f>
        <v/>
      </c>
      <c r="B643" s="1" t="n">
        <f aca="false">IF(A643="",0,IF(MATCH(A643,$A$4:$A$2403,0)=ROW()-3,1,0))</f>
        <v>0</v>
      </c>
      <c r="C643" s="1" t="n">
        <f aca="false">N(C642)+B643</f>
        <v>13</v>
      </c>
      <c r="K643" s="1" t="n">
        <f aca="false">IF(OR($K$1="",对接源_01水果!$C643="",对接源_01水果!$C643&lt;&gt;$K$1,对接源_01水果!$B643=""),0,IF(OR(N(对接源_01水果!$B643)&lt;$K$2,N(对接源_01水果!$B643)&gt;$K$3),0,1))</f>
        <v>0</v>
      </c>
      <c r="L643" s="1" t="n">
        <f aca="false">IF(OR($L$1="",对接源_01水果!$C643="",对接源_01水果!$C643&lt;&gt;$L$1,对接源_01水果!$B643=""),0,IF(OR(N(对接源_01水果!$B643)&lt;$L$2,N(对接源_01水果!$B643)&gt;$L$3),0,1))</f>
        <v>0</v>
      </c>
      <c r="M643" s="1" t="n">
        <f aca="false">IF(OR($M$1="",对接源_01水果!$C643="",对接源_01水果!$C643&lt;&gt;$M$1,对接源_01水果!$B643=""),0,IF(OR(N(对接源_01水果!$B643)&lt;$M$2,N(对接源_01水果!$B643)&gt;$M$3),0,1))</f>
        <v>0</v>
      </c>
      <c r="N643" s="1" t="n">
        <f aca="false">IF(OR($N$1="",对接源_01水果!$C643="",对接源_01水果!$C643&lt;&gt;$N$1,对接源_01水果!$B643=""),0,IF(OR(N(对接源_01水果!$B643)&lt;$N$2,N(对接源_01水果!$B643)&gt;$N$3),0,1))</f>
        <v>0</v>
      </c>
      <c r="P643" s="1" t="n">
        <f aca="false">IF(AND($K643=1,AND(对接源_01水果!$X643="公司筐",N(对接源_01水果!$T643)&lt;&gt;0)),1,0)</f>
        <v>0</v>
      </c>
      <c r="Q643" s="1" t="n">
        <f aca="false">N(Q642)+$P643</f>
        <v>3</v>
      </c>
      <c r="R643" s="1" t="n">
        <f aca="false">IF(AND($K643=1,AND(对接源_01水果!$X643="公司筐",N(对接源_01水果!$U643)&lt;&gt;0)),1,0)</f>
        <v>0</v>
      </c>
      <c r="S643" s="1" t="n">
        <f aca="false">N(S642)+$R643</f>
        <v>0</v>
      </c>
      <c r="T643" s="1" t="n">
        <f aca="false">IF(AND($K643=1,AND(对接源_01水果!$X643="公司筐",N(对接源_01水果!$V643)&lt;&gt;0)),1,0)</f>
        <v>0</v>
      </c>
      <c r="U643" s="1" t="n">
        <f aca="false">N(U642)+$T643</f>
        <v>28</v>
      </c>
      <c r="V643" s="1" t="n">
        <f aca="false">IF(AND($L643=1,AND(对接源_01水果!$X643="自备筐",N(对接源_01水果!$V643)&lt;&gt;0)),1,0)</f>
        <v>0</v>
      </c>
      <c r="W643" s="1" t="n">
        <f aca="false">N(W642)+$V643</f>
        <v>7</v>
      </c>
      <c r="X643" s="1" t="n">
        <f aca="false">IF(AND($L643=1,AND(对接源_01水果!$X643="自备筐",N(对接源_01水果!$T643)&lt;&gt;0)),1,0)</f>
        <v>0</v>
      </c>
      <c r="Y643" s="1" t="n">
        <f aca="false">N(Y642)+$X643</f>
        <v>0</v>
      </c>
      <c r="Z643" s="1" t="n">
        <f aca="false">IF(AND($M643=1,对接源_01水果!$D643="原料入库"),1,0)</f>
        <v>0</v>
      </c>
      <c r="AA643" s="1" t="n">
        <f aca="false">N(AA642)+$Z643</f>
        <v>30</v>
      </c>
      <c r="AB643" s="1" t="n">
        <f aca="false">IF(AND($M643=1,LEFT(对接源_01水果!$D643,4)="原料出库"),1,0)</f>
        <v>0</v>
      </c>
      <c r="AC643" s="1" t="n">
        <f aca="false">N(AC642)+$AB643</f>
        <v>19</v>
      </c>
      <c r="AD643" s="1" t="n">
        <f aca="false">IF(AND($M643=1,LEFT(对接源_01水果!$D643,4)="成品出库"),1,0)</f>
        <v>0</v>
      </c>
      <c r="AE643" s="1" t="n">
        <f aca="false">N(AE642)+$AD643</f>
        <v>38</v>
      </c>
      <c r="AF643" s="1" t="n">
        <f aca="false">IF(AND($N643=1,AND(LEFT(对接源_01水果!$D643,4)="包装物料",N(对接源_01水果!$K643)&lt;&gt;0)),1,0)</f>
        <v>0</v>
      </c>
      <c r="AG643" s="90" t="str">
        <f aca="false">IF(对接源_01水果!$AC643="","",对接源_01水果!$AC643)</f>
        <v/>
      </c>
      <c r="AH643" s="1" t="n">
        <f aca="false">IF(AND($N643=1,AND(LEFT(对接源_01水果!$D643,3)="周转筐",N(对接源_01水果!$K643)&lt;&gt;0)),1,0)</f>
        <v>0</v>
      </c>
      <c r="AI643" s="90" t="n">
        <f aca="false">IF(AG643="",0,IF(MATCH(AG643,$AG$4:$AG$1203,0)=ROW()-3,1,0))</f>
        <v>0</v>
      </c>
      <c r="AJ643" s="90" t="n">
        <f aca="false">N(AJ642)+AI643</f>
        <v>4</v>
      </c>
      <c r="AK643" s="1" t="n">
        <f aca="false">N(AK642)+$AJ643</f>
        <v>1432</v>
      </c>
    </row>
    <row r="644" customFormat="false" ht="13.5" hidden="false" customHeight="false" outlineLevel="0" collapsed="false">
      <c r="A644" s="1" t="str">
        <f aca="false">IF(对接源_01水果!$C644="","",对接源_01水果!$C644)</f>
        <v/>
      </c>
      <c r="B644" s="1" t="n">
        <f aca="false">IF(A644="",0,IF(MATCH(A644,$A$4:$A$2403,0)=ROW()-3,1,0))</f>
        <v>0</v>
      </c>
      <c r="C644" s="1" t="n">
        <f aca="false">N(C643)+B644</f>
        <v>13</v>
      </c>
      <c r="K644" s="1" t="n">
        <f aca="false">IF(OR($K$1="",对接源_01水果!$C644="",对接源_01水果!$C644&lt;&gt;$K$1,对接源_01水果!$B644=""),0,IF(OR(N(对接源_01水果!$B644)&lt;$K$2,N(对接源_01水果!$B644)&gt;$K$3),0,1))</f>
        <v>0</v>
      </c>
      <c r="L644" s="1" t="n">
        <f aca="false">IF(OR($L$1="",对接源_01水果!$C644="",对接源_01水果!$C644&lt;&gt;$L$1,对接源_01水果!$B644=""),0,IF(OR(N(对接源_01水果!$B644)&lt;$L$2,N(对接源_01水果!$B644)&gt;$L$3),0,1))</f>
        <v>0</v>
      </c>
      <c r="M644" s="1" t="n">
        <f aca="false">IF(OR($M$1="",对接源_01水果!$C644="",对接源_01水果!$C644&lt;&gt;$M$1,对接源_01水果!$B644=""),0,IF(OR(N(对接源_01水果!$B644)&lt;$M$2,N(对接源_01水果!$B644)&gt;$M$3),0,1))</f>
        <v>0</v>
      </c>
      <c r="N644" s="1" t="n">
        <f aca="false">IF(OR($N$1="",对接源_01水果!$C644="",对接源_01水果!$C644&lt;&gt;$N$1,对接源_01水果!$B644=""),0,IF(OR(N(对接源_01水果!$B644)&lt;$N$2,N(对接源_01水果!$B644)&gt;$N$3),0,1))</f>
        <v>0</v>
      </c>
      <c r="P644" s="1" t="n">
        <f aca="false">IF(AND($K644=1,AND(对接源_01水果!$X644="公司筐",N(对接源_01水果!$T644)&lt;&gt;0)),1,0)</f>
        <v>0</v>
      </c>
      <c r="Q644" s="1" t="n">
        <f aca="false">N(Q643)+$P644</f>
        <v>3</v>
      </c>
      <c r="R644" s="1" t="n">
        <f aca="false">IF(AND($K644=1,AND(对接源_01水果!$X644="公司筐",N(对接源_01水果!$U644)&lt;&gt;0)),1,0)</f>
        <v>0</v>
      </c>
      <c r="S644" s="1" t="n">
        <f aca="false">N(S643)+$R644</f>
        <v>0</v>
      </c>
      <c r="T644" s="1" t="n">
        <f aca="false">IF(AND($K644=1,AND(对接源_01水果!$X644="公司筐",N(对接源_01水果!$V644)&lt;&gt;0)),1,0)</f>
        <v>0</v>
      </c>
      <c r="U644" s="1" t="n">
        <f aca="false">N(U643)+$T644</f>
        <v>28</v>
      </c>
      <c r="V644" s="1" t="n">
        <f aca="false">IF(AND($L644=1,AND(对接源_01水果!$X644="自备筐",N(对接源_01水果!$V644)&lt;&gt;0)),1,0)</f>
        <v>0</v>
      </c>
      <c r="W644" s="1" t="n">
        <f aca="false">N(W643)+$V644</f>
        <v>7</v>
      </c>
      <c r="X644" s="1" t="n">
        <f aca="false">IF(AND($L644=1,AND(对接源_01水果!$X644="自备筐",N(对接源_01水果!$T644)&lt;&gt;0)),1,0)</f>
        <v>0</v>
      </c>
      <c r="Y644" s="1" t="n">
        <f aca="false">N(Y643)+$X644</f>
        <v>0</v>
      </c>
      <c r="Z644" s="1" t="n">
        <f aca="false">IF(AND($M644=1,对接源_01水果!$D644="原料入库"),1,0)</f>
        <v>0</v>
      </c>
      <c r="AA644" s="1" t="n">
        <f aca="false">N(AA643)+$Z644</f>
        <v>30</v>
      </c>
      <c r="AB644" s="1" t="n">
        <f aca="false">IF(AND($M644=1,LEFT(对接源_01水果!$D644,4)="原料出库"),1,0)</f>
        <v>0</v>
      </c>
      <c r="AC644" s="1" t="n">
        <f aca="false">N(AC643)+$AB644</f>
        <v>19</v>
      </c>
      <c r="AD644" s="1" t="n">
        <f aca="false">IF(AND($M644=1,LEFT(对接源_01水果!$D644,4)="成品出库"),1,0)</f>
        <v>0</v>
      </c>
      <c r="AE644" s="1" t="n">
        <f aca="false">N(AE643)+$AD644</f>
        <v>38</v>
      </c>
      <c r="AF644" s="1" t="n">
        <f aca="false">IF(AND($N644=1,AND(LEFT(对接源_01水果!$D644,4)="包装物料",N(对接源_01水果!$K644)&lt;&gt;0)),1,0)</f>
        <v>0</v>
      </c>
      <c r="AG644" s="90" t="str">
        <f aca="false">IF(对接源_01水果!$AC644="","",对接源_01水果!$AC644)</f>
        <v/>
      </c>
      <c r="AH644" s="1" t="n">
        <f aca="false">IF(AND($N644=1,AND(LEFT(对接源_01水果!$D644,3)="周转筐",N(对接源_01水果!$K644)&lt;&gt;0)),1,0)</f>
        <v>0</v>
      </c>
      <c r="AI644" s="90" t="n">
        <f aca="false">IF(AG644="",0,IF(MATCH(AG644,$AG$4:$AG$1203,0)=ROW()-3,1,0))</f>
        <v>0</v>
      </c>
      <c r="AJ644" s="90" t="n">
        <f aca="false">N(AJ643)+AI644</f>
        <v>4</v>
      </c>
      <c r="AK644" s="1" t="n">
        <f aca="false">N(AK643)+$AJ644</f>
        <v>1436</v>
      </c>
    </row>
    <row r="645" customFormat="false" ht="13.5" hidden="false" customHeight="false" outlineLevel="0" collapsed="false">
      <c r="A645" s="1" t="str">
        <f aca="false">IF(对接源_01水果!$C645="","",对接源_01水果!$C645)</f>
        <v/>
      </c>
      <c r="B645" s="1" t="n">
        <f aca="false">IF(A645="",0,IF(MATCH(A645,$A$4:$A$2403,0)=ROW()-3,1,0))</f>
        <v>0</v>
      </c>
      <c r="C645" s="1" t="n">
        <f aca="false">N(C644)+B645</f>
        <v>13</v>
      </c>
      <c r="K645" s="1" t="n">
        <f aca="false">IF(OR($K$1="",对接源_01水果!$C645="",对接源_01水果!$C645&lt;&gt;$K$1,对接源_01水果!$B645=""),0,IF(OR(N(对接源_01水果!$B645)&lt;$K$2,N(对接源_01水果!$B645)&gt;$K$3),0,1))</f>
        <v>0</v>
      </c>
      <c r="L645" s="1" t="n">
        <f aca="false">IF(OR($L$1="",对接源_01水果!$C645="",对接源_01水果!$C645&lt;&gt;$L$1,对接源_01水果!$B645=""),0,IF(OR(N(对接源_01水果!$B645)&lt;$L$2,N(对接源_01水果!$B645)&gt;$L$3),0,1))</f>
        <v>0</v>
      </c>
      <c r="M645" s="1" t="n">
        <f aca="false">IF(OR($M$1="",对接源_01水果!$C645="",对接源_01水果!$C645&lt;&gt;$M$1,对接源_01水果!$B645=""),0,IF(OR(N(对接源_01水果!$B645)&lt;$M$2,N(对接源_01水果!$B645)&gt;$M$3),0,1))</f>
        <v>0</v>
      </c>
      <c r="N645" s="1" t="n">
        <f aca="false">IF(OR($N$1="",对接源_01水果!$C645="",对接源_01水果!$C645&lt;&gt;$N$1,对接源_01水果!$B645=""),0,IF(OR(N(对接源_01水果!$B645)&lt;$N$2,N(对接源_01水果!$B645)&gt;$N$3),0,1))</f>
        <v>0</v>
      </c>
      <c r="P645" s="1" t="n">
        <f aca="false">IF(AND($K645=1,AND(对接源_01水果!$X645="公司筐",N(对接源_01水果!$T645)&lt;&gt;0)),1,0)</f>
        <v>0</v>
      </c>
      <c r="Q645" s="1" t="n">
        <f aca="false">N(Q644)+$P645</f>
        <v>3</v>
      </c>
      <c r="R645" s="1" t="n">
        <f aca="false">IF(AND($K645=1,AND(对接源_01水果!$X645="公司筐",N(对接源_01水果!$U645)&lt;&gt;0)),1,0)</f>
        <v>0</v>
      </c>
      <c r="S645" s="1" t="n">
        <f aca="false">N(S644)+$R645</f>
        <v>0</v>
      </c>
      <c r="T645" s="1" t="n">
        <f aca="false">IF(AND($K645=1,AND(对接源_01水果!$X645="公司筐",N(对接源_01水果!$V645)&lt;&gt;0)),1,0)</f>
        <v>0</v>
      </c>
      <c r="U645" s="1" t="n">
        <f aca="false">N(U644)+$T645</f>
        <v>28</v>
      </c>
      <c r="V645" s="1" t="n">
        <f aca="false">IF(AND($L645=1,AND(对接源_01水果!$X645="自备筐",N(对接源_01水果!$V645)&lt;&gt;0)),1,0)</f>
        <v>0</v>
      </c>
      <c r="W645" s="1" t="n">
        <f aca="false">N(W644)+$V645</f>
        <v>7</v>
      </c>
      <c r="X645" s="1" t="n">
        <f aca="false">IF(AND($L645=1,AND(对接源_01水果!$X645="自备筐",N(对接源_01水果!$T645)&lt;&gt;0)),1,0)</f>
        <v>0</v>
      </c>
      <c r="Y645" s="1" t="n">
        <f aca="false">N(Y644)+$X645</f>
        <v>0</v>
      </c>
      <c r="Z645" s="1" t="n">
        <f aca="false">IF(AND($M645=1,对接源_01水果!$D645="原料入库"),1,0)</f>
        <v>0</v>
      </c>
      <c r="AA645" s="1" t="n">
        <f aca="false">N(AA644)+$Z645</f>
        <v>30</v>
      </c>
      <c r="AB645" s="1" t="n">
        <f aca="false">IF(AND($M645=1,LEFT(对接源_01水果!$D645,4)="原料出库"),1,0)</f>
        <v>0</v>
      </c>
      <c r="AC645" s="1" t="n">
        <f aca="false">N(AC644)+$AB645</f>
        <v>19</v>
      </c>
      <c r="AD645" s="1" t="n">
        <f aca="false">IF(AND($M645=1,LEFT(对接源_01水果!$D645,4)="成品出库"),1,0)</f>
        <v>0</v>
      </c>
      <c r="AE645" s="1" t="n">
        <f aca="false">N(AE644)+$AD645</f>
        <v>38</v>
      </c>
      <c r="AF645" s="1" t="n">
        <f aca="false">IF(AND($N645=1,AND(LEFT(对接源_01水果!$D645,4)="包装物料",N(对接源_01水果!$K645)&lt;&gt;0)),1,0)</f>
        <v>0</v>
      </c>
      <c r="AG645" s="90" t="str">
        <f aca="false">IF(对接源_01水果!$AC645="","",对接源_01水果!$AC645)</f>
        <v/>
      </c>
      <c r="AH645" s="1" t="n">
        <f aca="false">IF(AND($N645=1,AND(LEFT(对接源_01水果!$D645,3)="周转筐",N(对接源_01水果!$K645)&lt;&gt;0)),1,0)</f>
        <v>0</v>
      </c>
      <c r="AI645" s="90" t="n">
        <f aca="false">IF(AG645="",0,IF(MATCH(AG645,$AG$4:$AG$1203,0)=ROW()-3,1,0))</f>
        <v>0</v>
      </c>
      <c r="AJ645" s="90" t="n">
        <f aca="false">N(AJ644)+AI645</f>
        <v>4</v>
      </c>
      <c r="AK645" s="1" t="n">
        <f aca="false">N(AK644)+$AJ645</f>
        <v>1440</v>
      </c>
    </row>
    <row r="646" customFormat="false" ht="13.5" hidden="false" customHeight="false" outlineLevel="0" collapsed="false">
      <c r="A646" s="1" t="str">
        <f aca="false">IF(对接源_01水果!$C646="","",对接源_01水果!$C646)</f>
        <v/>
      </c>
      <c r="B646" s="1" t="n">
        <f aca="false">IF(A646="",0,IF(MATCH(A646,$A$4:$A$2403,0)=ROW()-3,1,0))</f>
        <v>0</v>
      </c>
      <c r="C646" s="1" t="n">
        <f aca="false">N(C645)+B646</f>
        <v>13</v>
      </c>
      <c r="K646" s="1" t="n">
        <f aca="false">IF(OR($K$1="",对接源_01水果!$C646="",对接源_01水果!$C646&lt;&gt;$K$1,对接源_01水果!$B646=""),0,IF(OR(N(对接源_01水果!$B646)&lt;$K$2,N(对接源_01水果!$B646)&gt;$K$3),0,1))</f>
        <v>0</v>
      </c>
      <c r="L646" s="1" t="n">
        <f aca="false">IF(OR($L$1="",对接源_01水果!$C646="",对接源_01水果!$C646&lt;&gt;$L$1,对接源_01水果!$B646=""),0,IF(OR(N(对接源_01水果!$B646)&lt;$L$2,N(对接源_01水果!$B646)&gt;$L$3),0,1))</f>
        <v>0</v>
      </c>
      <c r="M646" s="1" t="n">
        <f aca="false">IF(OR($M$1="",对接源_01水果!$C646="",对接源_01水果!$C646&lt;&gt;$M$1,对接源_01水果!$B646=""),0,IF(OR(N(对接源_01水果!$B646)&lt;$M$2,N(对接源_01水果!$B646)&gt;$M$3),0,1))</f>
        <v>0</v>
      </c>
      <c r="N646" s="1" t="n">
        <f aca="false">IF(OR($N$1="",对接源_01水果!$C646="",对接源_01水果!$C646&lt;&gt;$N$1,对接源_01水果!$B646=""),0,IF(OR(N(对接源_01水果!$B646)&lt;$N$2,N(对接源_01水果!$B646)&gt;$N$3),0,1))</f>
        <v>0</v>
      </c>
      <c r="P646" s="1" t="n">
        <f aca="false">IF(AND($K646=1,AND(对接源_01水果!$X646="公司筐",N(对接源_01水果!$T646)&lt;&gt;0)),1,0)</f>
        <v>0</v>
      </c>
      <c r="Q646" s="1" t="n">
        <f aca="false">N(Q645)+$P646</f>
        <v>3</v>
      </c>
      <c r="R646" s="1" t="n">
        <f aca="false">IF(AND($K646=1,AND(对接源_01水果!$X646="公司筐",N(对接源_01水果!$U646)&lt;&gt;0)),1,0)</f>
        <v>0</v>
      </c>
      <c r="S646" s="1" t="n">
        <f aca="false">N(S645)+$R646</f>
        <v>0</v>
      </c>
      <c r="T646" s="1" t="n">
        <f aca="false">IF(AND($K646=1,AND(对接源_01水果!$X646="公司筐",N(对接源_01水果!$V646)&lt;&gt;0)),1,0)</f>
        <v>0</v>
      </c>
      <c r="U646" s="1" t="n">
        <f aca="false">N(U645)+$T646</f>
        <v>28</v>
      </c>
      <c r="V646" s="1" t="n">
        <f aca="false">IF(AND($L646=1,AND(对接源_01水果!$X646="自备筐",N(对接源_01水果!$V646)&lt;&gt;0)),1,0)</f>
        <v>0</v>
      </c>
      <c r="W646" s="1" t="n">
        <f aca="false">N(W645)+$V646</f>
        <v>7</v>
      </c>
      <c r="X646" s="1" t="n">
        <f aca="false">IF(AND($L646=1,AND(对接源_01水果!$X646="自备筐",N(对接源_01水果!$T646)&lt;&gt;0)),1,0)</f>
        <v>0</v>
      </c>
      <c r="Y646" s="1" t="n">
        <f aca="false">N(Y645)+$X646</f>
        <v>0</v>
      </c>
      <c r="Z646" s="1" t="n">
        <f aca="false">IF(AND($M646=1,对接源_01水果!$D646="原料入库"),1,0)</f>
        <v>0</v>
      </c>
      <c r="AA646" s="1" t="n">
        <f aca="false">N(AA645)+$Z646</f>
        <v>30</v>
      </c>
      <c r="AB646" s="1" t="n">
        <f aca="false">IF(AND($M646=1,LEFT(对接源_01水果!$D646,4)="原料出库"),1,0)</f>
        <v>0</v>
      </c>
      <c r="AC646" s="1" t="n">
        <f aca="false">N(AC645)+$AB646</f>
        <v>19</v>
      </c>
      <c r="AD646" s="1" t="n">
        <f aca="false">IF(AND($M646=1,LEFT(对接源_01水果!$D646,4)="成品出库"),1,0)</f>
        <v>0</v>
      </c>
      <c r="AE646" s="1" t="n">
        <f aca="false">N(AE645)+$AD646</f>
        <v>38</v>
      </c>
      <c r="AF646" s="1" t="n">
        <f aca="false">IF(AND($N646=1,AND(LEFT(对接源_01水果!$D646,4)="包装物料",N(对接源_01水果!$K646)&lt;&gt;0)),1,0)</f>
        <v>0</v>
      </c>
      <c r="AG646" s="90" t="str">
        <f aca="false">IF(对接源_01水果!$AC646="","",对接源_01水果!$AC646)</f>
        <v/>
      </c>
      <c r="AH646" s="1" t="n">
        <f aca="false">IF(AND($N646=1,AND(LEFT(对接源_01水果!$D646,3)="周转筐",N(对接源_01水果!$K646)&lt;&gt;0)),1,0)</f>
        <v>0</v>
      </c>
      <c r="AI646" s="90" t="n">
        <f aca="false">IF(AG646="",0,IF(MATCH(AG646,$AG$4:$AG$1203,0)=ROW()-3,1,0))</f>
        <v>0</v>
      </c>
      <c r="AJ646" s="90" t="n">
        <f aca="false">N(AJ645)+AI646</f>
        <v>4</v>
      </c>
      <c r="AK646" s="1" t="n">
        <f aca="false">N(AK645)+$AJ646</f>
        <v>1444</v>
      </c>
    </row>
    <row r="647" customFormat="false" ht="13.5" hidden="false" customHeight="false" outlineLevel="0" collapsed="false">
      <c r="A647" s="1" t="str">
        <f aca="false">IF(对接源_01水果!$C647="","",对接源_01水果!$C647)</f>
        <v/>
      </c>
      <c r="B647" s="1" t="n">
        <f aca="false">IF(A647="",0,IF(MATCH(A647,$A$4:$A$2403,0)=ROW()-3,1,0))</f>
        <v>0</v>
      </c>
      <c r="C647" s="1" t="n">
        <f aca="false">N(C646)+B647</f>
        <v>13</v>
      </c>
      <c r="K647" s="1" t="n">
        <f aca="false">IF(OR($K$1="",对接源_01水果!$C647="",对接源_01水果!$C647&lt;&gt;$K$1,对接源_01水果!$B647=""),0,IF(OR(N(对接源_01水果!$B647)&lt;$K$2,N(对接源_01水果!$B647)&gt;$K$3),0,1))</f>
        <v>0</v>
      </c>
      <c r="L647" s="1" t="n">
        <f aca="false">IF(OR($L$1="",对接源_01水果!$C647="",对接源_01水果!$C647&lt;&gt;$L$1,对接源_01水果!$B647=""),0,IF(OR(N(对接源_01水果!$B647)&lt;$L$2,N(对接源_01水果!$B647)&gt;$L$3),0,1))</f>
        <v>0</v>
      </c>
      <c r="M647" s="1" t="n">
        <f aca="false">IF(OR($M$1="",对接源_01水果!$C647="",对接源_01水果!$C647&lt;&gt;$M$1,对接源_01水果!$B647=""),0,IF(OR(N(对接源_01水果!$B647)&lt;$M$2,N(对接源_01水果!$B647)&gt;$M$3),0,1))</f>
        <v>0</v>
      </c>
      <c r="N647" s="1" t="n">
        <f aca="false">IF(OR($N$1="",对接源_01水果!$C647="",对接源_01水果!$C647&lt;&gt;$N$1,对接源_01水果!$B647=""),0,IF(OR(N(对接源_01水果!$B647)&lt;$N$2,N(对接源_01水果!$B647)&gt;$N$3),0,1))</f>
        <v>0</v>
      </c>
      <c r="P647" s="1" t="n">
        <f aca="false">IF(AND($K647=1,AND(对接源_01水果!$X647="公司筐",N(对接源_01水果!$T647)&lt;&gt;0)),1,0)</f>
        <v>0</v>
      </c>
      <c r="Q647" s="1" t="n">
        <f aca="false">N(Q646)+$P647</f>
        <v>3</v>
      </c>
      <c r="R647" s="1" t="n">
        <f aca="false">IF(AND($K647=1,AND(对接源_01水果!$X647="公司筐",N(对接源_01水果!$U647)&lt;&gt;0)),1,0)</f>
        <v>0</v>
      </c>
      <c r="S647" s="1" t="n">
        <f aca="false">N(S646)+$R647</f>
        <v>0</v>
      </c>
      <c r="T647" s="1" t="n">
        <f aca="false">IF(AND($K647=1,AND(对接源_01水果!$X647="公司筐",N(对接源_01水果!$V647)&lt;&gt;0)),1,0)</f>
        <v>0</v>
      </c>
      <c r="U647" s="1" t="n">
        <f aca="false">N(U646)+$T647</f>
        <v>28</v>
      </c>
      <c r="V647" s="1" t="n">
        <f aca="false">IF(AND($L647=1,AND(对接源_01水果!$X647="自备筐",N(对接源_01水果!$V647)&lt;&gt;0)),1,0)</f>
        <v>0</v>
      </c>
      <c r="W647" s="1" t="n">
        <f aca="false">N(W646)+$V647</f>
        <v>7</v>
      </c>
      <c r="X647" s="1" t="n">
        <f aca="false">IF(AND($L647=1,AND(对接源_01水果!$X647="自备筐",N(对接源_01水果!$T647)&lt;&gt;0)),1,0)</f>
        <v>0</v>
      </c>
      <c r="Y647" s="1" t="n">
        <f aca="false">N(Y646)+$X647</f>
        <v>0</v>
      </c>
      <c r="Z647" s="1" t="n">
        <f aca="false">IF(AND($M647=1,对接源_01水果!$D647="原料入库"),1,0)</f>
        <v>0</v>
      </c>
      <c r="AA647" s="1" t="n">
        <f aca="false">N(AA646)+$Z647</f>
        <v>30</v>
      </c>
      <c r="AB647" s="1" t="n">
        <f aca="false">IF(AND($M647=1,LEFT(对接源_01水果!$D647,4)="原料出库"),1,0)</f>
        <v>0</v>
      </c>
      <c r="AC647" s="1" t="n">
        <f aca="false">N(AC646)+$AB647</f>
        <v>19</v>
      </c>
      <c r="AD647" s="1" t="n">
        <f aca="false">IF(AND($M647=1,LEFT(对接源_01水果!$D647,4)="成品出库"),1,0)</f>
        <v>0</v>
      </c>
      <c r="AE647" s="1" t="n">
        <f aca="false">N(AE646)+$AD647</f>
        <v>38</v>
      </c>
      <c r="AF647" s="1" t="n">
        <f aca="false">IF(AND($N647=1,AND(LEFT(对接源_01水果!$D647,4)="包装物料",N(对接源_01水果!$K647)&lt;&gt;0)),1,0)</f>
        <v>0</v>
      </c>
      <c r="AG647" s="90" t="str">
        <f aca="false">IF(对接源_01水果!$AC647="","",对接源_01水果!$AC647)</f>
        <v/>
      </c>
      <c r="AH647" s="1" t="n">
        <f aca="false">IF(AND($N647=1,AND(LEFT(对接源_01水果!$D647,3)="周转筐",N(对接源_01水果!$K647)&lt;&gt;0)),1,0)</f>
        <v>0</v>
      </c>
      <c r="AI647" s="90" t="n">
        <f aca="false">IF(AG647="",0,IF(MATCH(AG647,$AG$4:$AG$1203,0)=ROW()-3,1,0))</f>
        <v>0</v>
      </c>
      <c r="AJ647" s="90" t="n">
        <f aca="false">N(AJ646)+AI647</f>
        <v>4</v>
      </c>
      <c r="AK647" s="1" t="n">
        <f aca="false">N(AK646)+$AJ647</f>
        <v>1448</v>
      </c>
    </row>
    <row r="648" customFormat="false" ht="13.5" hidden="false" customHeight="false" outlineLevel="0" collapsed="false">
      <c r="A648" s="1" t="str">
        <f aca="false">IF(对接源_01水果!$C648="","",对接源_01水果!$C648)</f>
        <v/>
      </c>
      <c r="B648" s="1" t="n">
        <f aca="false">IF(A648="",0,IF(MATCH(A648,$A$4:$A$2403,0)=ROW()-3,1,0))</f>
        <v>0</v>
      </c>
      <c r="C648" s="1" t="n">
        <f aca="false">N(C647)+B648</f>
        <v>13</v>
      </c>
      <c r="K648" s="1" t="n">
        <f aca="false">IF(OR($K$1="",对接源_01水果!$C648="",对接源_01水果!$C648&lt;&gt;$K$1,对接源_01水果!$B648=""),0,IF(OR(N(对接源_01水果!$B648)&lt;$K$2,N(对接源_01水果!$B648)&gt;$K$3),0,1))</f>
        <v>0</v>
      </c>
      <c r="L648" s="1" t="n">
        <f aca="false">IF(OR($L$1="",对接源_01水果!$C648="",对接源_01水果!$C648&lt;&gt;$L$1,对接源_01水果!$B648=""),0,IF(OR(N(对接源_01水果!$B648)&lt;$L$2,N(对接源_01水果!$B648)&gt;$L$3),0,1))</f>
        <v>0</v>
      </c>
      <c r="M648" s="1" t="n">
        <f aca="false">IF(OR($M$1="",对接源_01水果!$C648="",对接源_01水果!$C648&lt;&gt;$M$1,对接源_01水果!$B648=""),0,IF(OR(N(对接源_01水果!$B648)&lt;$M$2,N(对接源_01水果!$B648)&gt;$M$3),0,1))</f>
        <v>0</v>
      </c>
      <c r="N648" s="1" t="n">
        <f aca="false">IF(OR($N$1="",对接源_01水果!$C648="",对接源_01水果!$C648&lt;&gt;$N$1,对接源_01水果!$B648=""),0,IF(OR(N(对接源_01水果!$B648)&lt;$N$2,N(对接源_01水果!$B648)&gt;$N$3),0,1))</f>
        <v>0</v>
      </c>
      <c r="P648" s="1" t="n">
        <f aca="false">IF(AND($K648=1,AND(对接源_01水果!$X648="公司筐",N(对接源_01水果!$T648)&lt;&gt;0)),1,0)</f>
        <v>0</v>
      </c>
      <c r="Q648" s="1" t="n">
        <f aca="false">N(Q647)+$P648</f>
        <v>3</v>
      </c>
      <c r="R648" s="1" t="n">
        <f aca="false">IF(AND($K648=1,AND(对接源_01水果!$X648="公司筐",N(对接源_01水果!$U648)&lt;&gt;0)),1,0)</f>
        <v>0</v>
      </c>
      <c r="S648" s="1" t="n">
        <f aca="false">N(S647)+$R648</f>
        <v>0</v>
      </c>
      <c r="T648" s="1" t="n">
        <f aca="false">IF(AND($K648=1,AND(对接源_01水果!$X648="公司筐",N(对接源_01水果!$V648)&lt;&gt;0)),1,0)</f>
        <v>0</v>
      </c>
      <c r="U648" s="1" t="n">
        <f aca="false">N(U647)+$T648</f>
        <v>28</v>
      </c>
      <c r="V648" s="1" t="n">
        <f aca="false">IF(AND($L648=1,AND(对接源_01水果!$X648="自备筐",N(对接源_01水果!$V648)&lt;&gt;0)),1,0)</f>
        <v>0</v>
      </c>
      <c r="W648" s="1" t="n">
        <f aca="false">N(W647)+$V648</f>
        <v>7</v>
      </c>
      <c r="X648" s="1" t="n">
        <f aca="false">IF(AND($L648=1,AND(对接源_01水果!$X648="自备筐",N(对接源_01水果!$T648)&lt;&gt;0)),1,0)</f>
        <v>0</v>
      </c>
      <c r="Y648" s="1" t="n">
        <f aca="false">N(Y647)+$X648</f>
        <v>0</v>
      </c>
      <c r="Z648" s="1" t="n">
        <f aca="false">IF(AND($M648=1,对接源_01水果!$D648="原料入库"),1,0)</f>
        <v>0</v>
      </c>
      <c r="AA648" s="1" t="n">
        <f aca="false">N(AA647)+$Z648</f>
        <v>30</v>
      </c>
      <c r="AB648" s="1" t="n">
        <f aca="false">IF(AND($M648=1,LEFT(对接源_01水果!$D648,4)="原料出库"),1,0)</f>
        <v>0</v>
      </c>
      <c r="AC648" s="1" t="n">
        <f aca="false">N(AC647)+$AB648</f>
        <v>19</v>
      </c>
      <c r="AD648" s="1" t="n">
        <f aca="false">IF(AND($M648=1,LEFT(对接源_01水果!$D648,4)="成品出库"),1,0)</f>
        <v>0</v>
      </c>
      <c r="AE648" s="1" t="n">
        <f aca="false">N(AE647)+$AD648</f>
        <v>38</v>
      </c>
      <c r="AF648" s="1" t="n">
        <f aca="false">IF(AND($N648=1,AND(LEFT(对接源_01水果!$D648,4)="包装物料",N(对接源_01水果!$K648)&lt;&gt;0)),1,0)</f>
        <v>0</v>
      </c>
      <c r="AG648" s="90" t="str">
        <f aca="false">IF(对接源_01水果!$AC648="","",对接源_01水果!$AC648)</f>
        <v/>
      </c>
      <c r="AH648" s="1" t="n">
        <f aca="false">IF(AND($N648=1,AND(LEFT(对接源_01水果!$D648,3)="周转筐",N(对接源_01水果!$K648)&lt;&gt;0)),1,0)</f>
        <v>0</v>
      </c>
      <c r="AI648" s="90" t="n">
        <f aca="false">IF(AG648="",0,IF(MATCH(AG648,$AG$4:$AG$1203,0)=ROW()-3,1,0))</f>
        <v>0</v>
      </c>
      <c r="AJ648" s="90" t="n">
        <f aca="false">N(AJ647)+AI648</f>
        <v>4</v>
      </c>
      <c r="AK648" s="1" t="n">
        <f aca="false">N(AK647)+$AJ648</f>
        <v>1452</v>
      </c>
    </row>
    <row r="649" customFormat="false" ht="13.5" hidden="false" customHeight="false" outlineLevel="0" collapsed="false">
      <c r="A649" s="1" t="str">
        <f aca="false">IF(对接源_01水果!$C649="","",对接源_01水果!$C649)</f>
        <v/>
      </c>
      <c r="B649" s="1" t="n">
        <f aca="false">IF(A649="",0,IF(MATCH(A649,$A$4:$A$2403,0)=ROW()-3,1,0))</f>
        <v>0</v>
      </c>
      <c r="C649" s="1" t="n">
        <f aca="false">N(C648)+B649</f>
        <v>13</v>
      </c>
      <c r="K649" s="1" t="n">
        <f aca="false">IF(OR($K$1="",对接源_01水果!$C649="",对接源_01水果!$C649&lt;&gt;$K$1,对接源_01水果!$B649=""),0,IF(OR(N(对接源_01水果!$B649)&lt;$K$2,N(对接源_01水果!$B649)&gt;$K$3),0,1))</f>
        <v>0</v>
      </c>
      <c r="L649" s="1" t="n">
        <f aca="false">IF(OR($L$1="",对接源_01水果!$C649="",对接源_01水果!$C649&lt;&gt;$L$1,对接源_01水果!$B649=""),0,IF(OR(N(对接源_01水果!$B649)&lt;$L$2,N(对接源_01水果!$B649)&gt;$L$3),0,1))</f>
        <v>0</v>
      </c>
      <c r="M649" s="1" t="n">
        <f aca="false">IF(OR($M$1="",对接源_01水果!$C649="",对接源_01水果!$C649&lt;&gt;$M$1,对接源_01水果!$B649=""),0,IF(OR(N(对接源_01水果!$B649)&lt;$M$2,N(对接源_01水果!$B649)&gt;$M$3),0,1))</f>
        <v>0</v>
      </c>
      <c r="N649" s="1" t="n">
        <f aca="false">IF(OR($N$1="",对接源_01水果!$C649="",对接源_01水果!$C649&lt;&gt;$N$1,对接源_01水果!$B649=""),0,IF(OR(N(对接源_01水果!$B649)&lt;$N$2,N(对接源_01水果!$B649)&gt;$N$3),0,1))</f>
        <v>0</v>
      </c>
      <c r="P649" s="1" t="n">
        <f aca="false">IF(AND($K649=1,AND(对接源_01水果!$X649="公司筐",N(对接源_01水果!$T649)&lt;&gt;0)),1,0)</f>
        <v>0</v>
      </c>
      <c r="Q649" s="1" t="n">
        <f aca="false">N(Q648)+$P649</f>
        <v>3</v>
      </c>
      <c r="R649" s="1" t="n">
        <f aca="false">IF(AND($K649=1,AND(对接源_01水果!$X649="公司筐",N(对接源_01水果!$U649)&lt;&gt;0)),1,0)</f>
        <v>0</v>
      </c>
      <c r="S649" s="1" t="n">
        <f aca="false">N(S648)+$R649</f>
        <v>0</v>
      </c>
      <c r="T649" s="1" t="n">
        <f aca="false">IF(AND($K649=1,AND(对接源_01水果!$X649="公司筐",N(对接源_01水果!$V649)&lt;&gt;0)),1,0)</f>
        <v>0</v>
      </c>
      <c r="U649" s="1" t="n">
        <f aca="false">N(U648)+$T649</f>
        <v>28</v>
      </c>
      <c r="V649" s="1" t="n">
        <f aca="false">IF(AND($L649=1,AND(对接源_01水果!$X649="自备筐",N(对接源_01水果!$V649)&lt;&gt;0)),1,0)</f>
        <v>0</v>
      </c>
      <c r="W649" s="1" t="n">
        <f aca="false">N(W648)+$V649</f>
        <v>7</v>
      </c>
      <c r="X649" s="1" t="n">
        <f aca="false">IF(AND($L649=1,AND(对接源_01水果!$X649="自备筐",N(对接源_01水果!$T649)&lt;&gt;0)),1,0)</f>
        <v>0</v>
      </c>
      <c r="Y649" s="1" t="n">
        <f aca="false">N(Y648)+$X649</f>
        <v>0</v>
      </c>
      <c r="Z649" s="1" t="n">
        <f aca="false">IF(AND($M649=1,对接源_01水果!$D649="原料入库"),1,0)</f>
        <v>0</v>
      </c>
      <c r="AA649" s="1" t="n">
        <f aca="false">N(AA648)+$Z649</f>
        <v>30</v>
      </c>
      <c r="AB649" s="1" t="n">
        <f aca="false">IF(AND($M649=1,LEFT(对接源_01水果!$D649,4)="原料出库"),1,0)</f>
        <v>0</v>
      </c>
      <c r="AC649" s="1" t="n">
        <f aca="false">N(AC648)+$AB649</f>
        <v>19</v>
      </c>
      <c r="AD649" s="1" t="n">
        <f aca="false">IF(AND($M649=1,LEFT(对接源_01水果!$D649,4)="成品出库"),1,0)</f>
        <v>0</v>
      </c>
      <c r="AE649" s="1" t="n">
        <f aca="false">N(AE648)+$AD649</f>
        <v>38</v>
      </c>
      <c r="AF649" s="1" t="n">
        <f aca="false">IF(AND($N649=1,AND(LEFT(对接源_01水果!$D649,4)="包装物料",N(对接源_01水果!$K649)&lt;&gt;0)),1,0)</f>
        <v>0</v>
      </c>
      <c r="AG649" s="90" t="str">
        <f aca="false">IF(对接源_01水果!$AC649="","",对接源_01水果!$AC649)</f>
        <v/>
      </c>
      <c r="AH649" s="1" t="n">
        <f aca="false">IF(AND($N649=1,AND(LEFT(对接源_01水果!$D649,3)="周转筐",N(对接源_01水果!$K649)&lt;&gt;0)),1,0)</f>
        <v>0</v>
      </c>
      <c r="AI649" s="90" t="n">
        <f aca="false">IF(AG649="",0,IF(MATCH(AG649,$AG$4:$AG$1203,0)=ROW()-3,1,0))</f>
        <v>0</v>
      </c>
      <c r="AJ649" s="90" t="n">
        <f aca="false">N(AJ648)+AI649</f>
        <v>4</v>
      </c>
      <c r="AK649" s="1" t="n">
        <f aca="false">N(AK648)+$AJ649</f>
        <v>1456</v>
      </c>
    </row>
    <row r="650" customFormat="false" ht="13.5" hidden="false" customHeight="false" outlineLevel="0" collapsed="false">
      <c r="A650" s="1" t="str">
        <f aca="false">IF(对接源_01水果!$C650="","",对接源_01水果!$C650)</f>
        <v/>
      </c>
      <c r="B650" s="1" t="n">
        <f aca="false">IF(A650="",0,IF(MATCH(A650,$A$4:$A$2403,0)=ROW()-3,1,0))</f>
        <v>0</v>
      </c>
      <c r="C650" s="1" t="n">
        <f aca="false">N(C649)+B650</f>
        <v>13</v>
      </c>
      <c r="K650" s="1" t="n">
        <f aca="false">IF(OR($K$1="",对接源_01水果!$C650="",对接源_01水果!$C650&lt;&gt;$K$1,对接源_01水果!$B650=""),0,IF(OR(N(对接源_01水果!$B650)&lt;$K$2,N(对接源_01水果!$B650)&gt;$K$3),0,1))</f>
        <v>0</v>
      </c>
      <c r="L650" s="1" t="n">
        <f aca="false">IF(OR($L$1="",对接源_01水果!$C650="",对接源_01水果!$C650&lt;&gt;$L$1,对接源_01水果!$B650=""),0,IF(OR(N(对接源_01水果!$B650)&lt;$L$2,N(对接源_01水果!$B650)&gt;$L$3),0,1))</f>
        <v>0</v>
      </c>
      <c r="M650" s="1" t="n">
        <f aca="false">IF(OR($M$1="",对接源_01水果!$C650="",对接源_01水果!$C650&lt;&gt;$M$1,对接源_01水果!$B650=""),0,IF(OR(N(对接源_01水果!$B650)&lt;$M$2,N(对接源_01水果!$B650)&gt;$M$3),0,1))</f>
        <v>0</v>
      </c>
      <c r="N650" s="1" t="n">
        <f aca="false">IF(OR($N$1="",对接源_01水果!$C650="",对接源_01水果!$C650&lt;&gt;$N$1,对接源_01水果!$B650=""),0,IF(OR(N(对接源_01水果!$B650)&lt;$N$2,N(对接源_01水果!$B650)&gt;$N$3),0,1))</f>
        <v>0</v>
      </c>
      <c r="P650" s="1" t="n">
        <f aca="false">IF(AND($K650=1,AND(对接源_01水果!$X650="公司筐",N(对接源_01水果!$T650)&lt;&gt;0)),1,0)</f>
        <v>0</v>
      </c>
      <c r="Q650" s="1" t="n">
        <f aca="false">N(Q649)+$P650</f>
        <v>3</v>
      </c>
      <c r="R650" s="1" t="n">
        <f aca="false">IF(AND($K650=1,AND(对接源_01水果!$X650="公司筐",N(对接源_01水果!$U650)&lt;&gt;0)),1,0)</f>
        <v>0</v>
      </c>
      <c r="S650" s="1" t="n">
        <f aca="false">N(S649)+$R650</f>
        <v>0</v>
      </c>
      <c r="T650" s="1" t="n">
        <f aca="false">IF(AND($K650=1,AND(对接源_01水果!$X650="公司筐",N(对接源_01水果!$V650)&lt;&gt;0)),1,0)</f>
        <v>0</v>
      </c>
      <c r="U650" s="1" t="n">
        <f aca="false">N(U649)+$T650</f>
        <v>28</v>
      </c>
      <c r="V650" s="1" t="n">
        <f aca="false">IF(AND($L650=1,AND(对接源_01水果!$X650="自备筐",N(对接源_01水果!$V650)&lt;&gt;0)),1,0)</f>
        <v>0</v>
      </c>
      <c r="W650" s="1" t="n">
        <f aca="false">N(W649)+$V650</f>
        <v>7</v>
      </c>
      <c r="X650" s="1" t="n">
        <f aca="false">IF(AND($L650=1,AND(对接源_01水果!$X650="自备筐",N(对接源_01水果!$T650)&lt;&gt;0)),1,0)</f>
        <v>0</v>
      </c>
      <c r="Y650" s="1" t="n">
        <f aca="false">N(Y649)+$X650</f>
        <v>0</v>
      </c>
      <c r="Z650" s="1" t="n">
        <f aca="false">IF(AND($M650=1,对接源_01水果!$D650="原料入库"),1,0)</f>
        <v>0</v>
      </c>
      <c r="AA650" s="1" t="n">
        <f aca="false">N(AA649)+$Z650</f>
        <v>30</v>
      </c>
      <c r="AB650" s="1" t="n">
        <f aca="false">IF(AND($M650=1,LEFT(对接源_01水果!$D650,4)="原料出库"),1,0)</f>
        <v>0</v>
      </c>
      <c r="AC650" s="1" t="n">
        <f aca="false">N(AC649)+$AB650</f>
        <v>19</v>
      </c>
      <c r="AD650" s="1" t="n">
        <f aca="false">IF(AND($M650=1,LEFT(对接源_01水果!$D650,4)="成品出库"),1,0)</f>
        <v>0</v>
      </c>
      <c r="AE650" s="1" t="n">
        <f aca="false">N(AE649)+$AD650</f>
        <v>38</v>
      </c>
      <c r="AF650" s="1" t="n">
        <f aca="false">IF(AND($N650=1,AND(LEFT(对接源_01水果!$D650,4)="包装物料",N(对接源_01水果!$K650)&lt;&gt;0)),1,0)</f>
        <v>0</v>
      </c>
      <c r="AG650" s="90" t="str">
        <f aca="false">IF(对接源_01水果!$AC650="","",对接源_01水果!$AC650)</f>
        <v/>
      </c>
      <c r="AH650" s="1" t="n">
        <f aca="false">IF(AND($N650=1,AND(LEFT(对接源_01水果!$D650,3)="周转筐",N(对接源_01水果!$K650)&lt;&gt;0)),1,0)</f>
        <v>0</v>
      </c>
      <c r="AI650" s="90" t="n">
        <f aca="false">IF(AG650="",0,IF(MATCH(AG650,$AG$4:$AG$1203,0)=ROW()-3,1,0))</f>
        <v>0</v>
      </c>
      <c r="AJ650" s="90" t="n">
        <f aca="false">N(AJ649)+AI650</f>
        <v>4</v>
      </c>
      <c r="AK650" s="1" t="n">
        <f aca="false">N(AK649)+$AJ650</f>
        <v>1460</v>
      </c>
    </row>
    <row r="651" customFormat="false" ht="13.5" hidden="false" customHeight="false" outlineLevel="0" collapsed="false">
      <c r="A651" s="1" t="str">
        <f aca="false">IF(对接源_01水果!$C651="","",对接源_01水果!$C651)</f>
        <v/>
      </c>
      <c r="B651" s="1" t="n">
        <f aca="false">IF(A651="",0,IF(MATCH(A651,$A$4:$A$2403,0)=ROW()-3,1,0))</f>
        <v>0</v>
      </c>
      <c r="C651" s="1" t="n">
        <f aca="false">N(C650)+B651</f>
        <v>13</v>
      </c>
      <c r="K651" s="1" t="n">
        <f aca="false">IF(OR($K$1="",对接源_01水果!$C651="",对接源_01水果!$C651&lt;&gt;$K$1,对接源_01水果!$B651=""),0,IF(OR(N(对接源_01水果!$B651)&lt;$K$2,N(对接源_01水果!$B651)&gt;$K$3),0,1))</f>
        <v>0</v>
      </c>
      <c r="L651" s="1" t="n">
        <f aca="false">IF(OR($L$1="",对接源_01水果!$C651="",对接源_01水果!$C651&lt;&gt;$L$1,对接源_01水果!$B651=""),0,IF(OR(N(对接源_01水果!$B651)&lt;$L$2,N(对接源_01水果!$B651)&gt;$L$3),0,1))</f>
        <v>0</v>
      </c>
      <c r="M651" s="1" t="n">
        <f aca="false">IF(OR($M$1="",对接源_01水果!$C651="",对接源_01水果!$C651&lt;&gt;$M$1,对接源_01水果!$B651=""),0,IF(OR(N(对接源_01水果!$B651)&lt;$M$2,N(对接源_01水果!$B651)&gt;$M$3),0,1))</f>
        <v>0</v>
      </c>
      <c r="N651" s="1" t="n">
        <f aca="false">IF(OR($N$1="",对接源_01水果!$C651="",对接源_01水果!$C651&lt;&gt;$N$1,对接源_01水果!$B651=""),0,IF(OR(N(对接源_01水果!$B651)&lt;$N$2,N(对接源_01水果!$B651)&gt;$N$3),0,1))</f>
        <v>0</v>
      </c>
      <c r="P651" s="1" t="n">
        <f aca="false">IF(AND($K651=1,AND(对接源_01水果!$X651="公司筐",N(对接源_01水果!$T651)&lt;&gt;0)),1,0)</f>
        <v>0</v>
      </c>
      <c r="Q651" s="1" t="n">
        <f aca="false">N(Q650)+$P651</f>
        <v>3</v>
      </c>
      <c r="R651" s="1" t="n">
        <f aca="false">IF(AND($K651=1,AND(对接源_01水果!$X651="公司筐",N(对接源_01水果!$U651)&lt;&gt;0)),1,0)</f>
        <v>0</v>
      </c>
      <c r="S651" s="1" t="n">
        <f aca="false">N(S650)+$R651</f>
        <v>0</v>
      </c>
      <c r="T651" s="1" t="n">
        <f aca="false">IF(AND($K651=1,AND(对接源_01水果!$X651="公司筐",N(对接源_01水果!$V651)&lt;&gt;0)),1,0)</f>
        <v>0</v>
      </c>
      <c r="U651" s="1" t="n">
        <f aca="false">N(U650)+$T651</f>
        <v>28</v>
      </c>
      <c r="V651" s="1" t="n">
        <f aca="false">IF(AND($L651=1,AND(对接源_01水果!$X651="自备筐",N(对接源_01水果!$V651)&lt;&gt;0)),1,0)</f>
        <v>0</v>
      </c>
      <c r="W651" s="1" t="n">
        <f aca="false">N(W650)+$V651</f>
        <v>7</v>
      </c>
      <c r="X651" s="1" t="n">
        <f aca="false">IF(AND($L651=1,AND(对接源_01水果!$X651="自备筐",N(对接源_01水果!$T651)&lt;&gt;0)),1,0)</f>
        <v>0</v>
      </c>
      <c r="Y651" s="1" t="n">
        <f aca="false">N(Y650)+$X651</f>
        <v>0</v>
      </c>
      <c r="Z651" s="1" t="n">
        <f aca="false">IF(AND($M651=1,对接源_01水果!$D651="原料入库"),1,0)</f>
        <v>0</v>
      </c>
      <c r="AA651" s="1" t="n">
        <f aca="false">N(AA650)+$Z651</f>
        <v>30</v>
      </c>
      <c r="AB651" s="1" t="n">
        <f aca="false">IF(AND($M651=1,LEFT(对接源_01水果!$D651,4)="原料出库"),1,0)</f>
        <v>0</v>
      </c>
      <c r="AC651" s="1" t="n">
        <f aca="false">N(AC650)+$AB651</f>
        <v>19</v>
      </c>
      <c r="AD651" s="1" t="n">
        <f aca="false">IF(AND($M651=1,LEFT(对接源_01水果!$D651,4)="成品出库"),1,0)</f>
        <v>0</v>
      </c>
      <c r="AE651" s="1" t="n">
        <f aca="false">N(AE650)+$AD651</f>
        <v>38</v>
      </c>
      <c r="AF651" s="1" t="n">
        <f aca="false">IF(AND($N651=1,AND(LEFT(对接源_01水果!$D651,4)="包装物料",N(对接源_01水果!$K651)&lt;&gt;0)),1,0)</f>
        <v>0</v>
      </c>
      <c r="AG651" s="90" t="str">
        <f aca="false">IF(对接源_01水果!$AC651="","",对接源_01水果!$AC651)</f>
        <v/>
      </c>
      <c r="AH651" s="1" t="n">
        <f aca="false">IF(AND($N651=1,AND(LEFT(对接源_01水果!$D651,3)="周转筐",N(对接源_01水果!$K651)&lt;&gt;0)),1,0)</f>
        <v>0</v>
      </c>
      <c r="AI651" s="90" t="n">
        <f aca="false">IF(AG651="",0,IF(MATCH(AG651,$AG$4:$AG$1203,0)=ROW()-3,1,0))</f>
        <v>0</v>
      </c>
      <c r="AJ651" s="90" t="n">
        <f aca="false">N(AJ650)+AI651</f>
        <v>4</v>
      </c>
      <c r="AK651" s="1" t="n">
        <f aca="false">N(AK650)+$AJ651</f>
        <v>1464</v>
      </c>
    </row>
    <row r="652" customFormat="false" ht="13.5" hidden="false" customHeight="false" outlineLevel="0" collapsed="false">
      <c r="A652" s="1" t="str">
        <f aca="false">IF(对接源_01水果!$C652="","",对接源_01水果!$C652)</f>
        <v/>
      </c>
      <c r="B652" s="1" t="n">
        <f aca="false">IF(A652="",0,IF(MATCH(A652,$A$4:$A$2403,0)=ROW()-3,1,0))</f>
        <v>0</v>
      </c>
      <c r="C652" s="1" t="n">
        <f aca="false">N(C651)+B652</f>
        <v>13</v>
      </c>
      <c r="K652" s="1" t="n">
        <f aca="false">IF(OR($K$1="",对接源_01水果!$C652="",对接源_01水果!$C652&lt;&gt;$K$1,对接源_01水果!$B652=""),0,IF(OR(N(对接源_01水果!$B652)&lt;$K$2,N(对接源_01水果!$B652)&gt;$K$3),0,1))</f>
        <v>0</v>
      </c>
      <c r="L652" s="1" t="n">
        <f aca="false">IF(OR($L$1="",对接源_01水果!$C652="",对接源_01水果!$C652&lt;&gt;$L$1,对接源_01水果!$B652=""),0,IF(OR(N(对接源_01水果!$B652)&lt;$L$2,N(对接源_01水果!$B652)&gt;$L$3),0,1))</f>
        <v>0</v>
      </c>
      <c r="M652" s="1" t="n">
        <f aca="false">IF(OR($M$1="",对接源_01水果!$C652="",对接源_01水果!$C652&lt;&gt;$M$1,对接源_01水果!$B652=""),0,IF(OR(N(对接源_01水果!$B652)&lt;$M$2,N(对接源_01水果!$B652)&gt;$M$3),0,1))</f>
        <v>0</v>
      </c>
      <c r="N652" s="1" t="n">
        <f aca="false">IF(OR($N$1="",对接源_01水果!$C652="",对接源_01水果!$C652&lt;&gt;$N$1,对接源_01水果!$B652=""),0,IF(OR(N(对接源_01水果!$B652)&lt;$N$2,N(对接源_01水果!$B652)&gt;$N$3),0,1))</f>
        <v>0</v>
      </c>
      <c r="P652" s="1" t="n">
        <f aca="false">IF(AND($K652=1,AND(对接源_01水果!$X652="公司筐",N(对接源_01水果!$T652)&lt;&gt;0)),1,0)</f>
        <v>0</v>
      </c>
      <c r="Q652" s="1" t="n">
        <f aca="false">N(Q651)+$P652</f>
        <v>3</v>
      </c>
      <c r="R652" s="1" t="n">
        <f aca="false">IF(AND($K652=1,AND(对接源_01水果!$X652="公司筐",N(对接源_01水果!$U652)&lt;&gt;0)),1,0)</f>
        <v>0</v>
      </c>
      <c r="S652" s="1" t="n">
        <f aca="false">N(S651)+$R652</f>
        <v>0</v>
      </c>
      <c r="T652" s="1" t="n">
        <f aca="false">IF(AND($K652=1,AND(对接源_01水果!$X652="公司筐",N(对接源_01水果!$V652)&lt;&gt;0)),1,0)</f>
        <v>0</v>
      </c>
      <c r="U652" s="1" t="n">
        <f aca="false">N(U651)+$T652</f>
        <v>28</v>
      </c>
      <c r="V652" s="1" t="n">
        <f aca="false">IF(AND($L652=1,AND(对接源_01水果!$X652="自备筐",N(对接源_01水果!$V652)&lt;&gt;0)),1,0)</f>
        <v>0</v>
      </c>
      <c r="W652" s="1" t="n">
        <f aca="false">N(W651)+$V652</f>
        <v>7</v>
      </c>
      <c r="X652" s="1" t="n">
        <f aca="false">IF(AND($L652=1,AND(对接源_01水果!$X652="自备筐",N(对接源_01水果!$T652)&lt;&gt;0)),1,0)</f>
        <v>0</v>
      </c>
      <c r="Y652" s="1" t="n">
        <f aca="false">N(Y651)+$X652</f>
        <v>0</v>
      </c>
      <c r="Z652" s="1" t="n">
        <f aca="false">IF(AND($M652=1,对接源_01水果!$D652="原料入库"),1,0)</f>
        <v>0</v>
      </c>
      <c r="AA652" s="1" t="n">
        <f aca="false">N(AA651)+$Z652</f>
        <v>30</v>
      </c>
      <c r="AB652" s="1" t="n">
        <f aca="false">IF(AND($M652=1,LEFT(对接源_01水果!$D652,4)="原料出库"),1,0)</f>
        <v>0</v>
      </c>
      <c r="AC652" s="1" t="n">
        <f aca="false">N(AC651)+$AB652</f>
        <v>19</v>
      </c>
      <c r="AD652" s="1" t="n">
        <f aca="false">IF(AND($M652=1,LEFT(对接源_01水果!$D652,4)="成品出库"),1,0)</f>
        <v>0</v>
      </c>
      <c r="AE652" s="1" t="n">
        <f aca="false">N(AE651)+$AD652</f>
        <v>38</v>
      </c>
      <c r="AF652" s="1" t="n">
        <f aca="false">IF(AND($N652=1,AND(LEFT(对接源_01水果!$D652,4)="包装物料",N(对接源_01水果!$K652)&lt;&gt;0)),1,0)</f>
        <v>0</v>
      </c>
      <c r="AG652" s="90" t="str">
        <f aca="false">IF(对接源_01水果!$AC652="","",对接源_01水果!$AC652)</f>
        <v/>
      </c>
      <c r="AH652" s="1" t="n">
        <f aca="false">IF(AND($N652=1,AND(LEFT(对接源_01水果!$D652,3)="周转筐",N(对接源_01水果!$K652)&lt;&gt;0)),1,0)</f>
        <v>0</v>
      </c>
      <c r="AI652" s="90" t="n">
        <f aca="false">IF(AG652="",0,IF(MATCH(AG652,$AG$4:$AG$1203,0)=ROW()-3,1,0))</f>
        <v>0</v>
      </c>
      <c r="AJ652" s="90" t="n">
        <f aca="false">N(AJ651)+AI652</f>
        <v>4</v>
      </c>
      <c r="AK652" s="1" t="n">
        <f aca="false">N(AK651)+$AJ652</f>
        <v>1468</v>
      </c>
    </row>
    <row r="653" customFormat="false" ht="13.5" hidden="false" customHeight="false" outlineLevel="0" collapsed="false">
      <c r="A653" s="1" t="str">
        <f aca="false">IF(对接源_01水果!$C653="","",对接源_01水果!$C653)</f>
        <v/>
      </c>
      <c r="B653" s="1" t="n">
        <f aca="false">IF(A653="",0,IF(MATCH(A653,$A$4:$A$2403,0)=ROW()-3,1,0))</f>
        <v>0</v>
      </c>
      <c r="C653" s="1" t="n">
        <f aca="false">N(C652)+B653</f>
        <v>13</v>
      </c>
      <c r="K653" s="1" t="n">
        <f aca="false">IF(OR($K$1="",对接源_01水果!$C653="",对接源_01水果!$C653&lt;&gt;$K$1,对接源_01水果!$B653=""),0,IF(OR(N(对接源_01水果!$B653)&lt;$K$2,N(对接源_01水果!$B653)&gt;$K$3),0,1))</f>
        <v>0</v>
      </c>
      <c r="L653" s="1" t="n">
        <f aca="false">IF(OR($L$1="",对接源_01水果!$C653="",对接源_01水果!$C653&lt;&gt;$L$1,对接源_01水果!$B653=""),0,IF(OR(N(对接源_01水果!$B653)&lt;$L$2,N(对接源_01水果!$B653)&gt;$L$3),0,1))</f>
        <v>0</v>
      </c>
      <c r="M653" s="1" t="n">
        <f aca="false">IF(OR($M$1="",对接源_01水果!$C653="",对接源_01水果!$C653&lt;&gt;$M$1,对接源_01水果!$B653=""),0,IF(OR(N(对接源_01水果!$B653)&lt;$M$2,N(对接源_01水果!$B653)&gt;$M$3),0,1))</f>
        <v>0</v>
      </c>
      <c r="N653" s="1" t="n">
        <f aca="false">IF(OR($N$1="",对接源_01水果!$C653="",对接源_01水果!$C653&lt;&gt;$N$1,对接源_01水果!$B653=""),0,IF(OR(N(对接源_01水果!$B653)&lt;$N$2,N(对接源_01水果!$B653)&gt;$N$3),0,1))</f>
        <v>0</v>
      </c>
      <c r="P653" s="1" t="n">
        <f aca="false">IF(AND($K653=1,AND(对接源_01水果!$X653="公司筐",N(对接源_01水果!$T653)&lt;&gt;0)),1,0)</f>
        <v>0</v>
      </c>
      <c r="Q653" s="1" t="n">
        <f aca="false">N(Q652)+$P653</f>
        <v>3</v>
      </c>
      <c r="R653" s="1" t="n">
        <f aca="false">IF(AND($K653=1,AND(对接源_01水果!$X653="公司筐",N(对接源_01水果!$U653)&lt;&gt;0)),1,0)</f>
        <v>0</v>
      </c>
      <c r="S653" s="1" t="n">
        <f aca="false">N(S652)+$R653</f>
        <v>0</v>
      </c>
      <c r="T653" s="1" t="n">
        <f aca="false">IF(AND($K653=1,AND(对接源_01水果!$X653="公司筐",N(对接源_01水果!$V653)&lt;&gt;0)),1,0)</f>
        <v>0</v>
      </c>
      <c r="U653" s="1" t="n">
        <f aca="false">N(U652)+$T653</f>
        <v>28</v>
      </c>
      <c r="V653" s="1" t="n">
        <f aca="false">IF(AND($L653=1,AND(对接源_01水果!$X653="自备筐",N(对接源_01水果!$V653)&lt;&gt;0)),1,0)</f>
        <v>0</v>
      </c>
      <c r="W653" s="1" t="n">
        <f aca="false">N(W652)+$V653</f>
        <v>7</v>
      </c>
      <c r="X653" s="1" t="n">
        <f aca="false">IF(AND($L653=1,AND(对接源_01水果!$X653="自备筐",N(对接源_01水果!$T653)&lt;&gt;0)),1,0)</f>
        <v>0</v>
      </c>
      <c r="Y653" s="1" t="n">
        <f aca="false">N(Y652)+$X653</f>
        <v>0</v>
      </c>
      <c r="Z653" s="1" t="n">
        <f aca="false">IF(AND($M653=1,对接源_01水果!$D653="原料入库"),1,0)</f>
        <v>0</v>
      </c>
      <c r="AA653" s="1" t="n">
        <f aca="false">N(AA652)+$Z653</f>
        <v>30</v>
      </c>
      <c r="AB653" s="1" t="n">
        <f aca="false">IF(AND($M653=1,LEFT(对接源_01水果!$D653,4)="原料出库"),1,0)</f>
        <v>0</v>
      </c>
      <c r="AC653" s="1" t="n">
        <f aca="false">N(AC652)+$AB653</f>
        <v>19</v>
      </c>
      <c r="AD653" s="1" t="n">
        <f aca="false">IF(AND($M653=1,LEFT(对接源_01水果!$D653,4)="成品出库"),1,0)</f>
        <v>0</v>
      </c>
      <c r="AE653" s="1" t="n">
        <f aca="false">N(AE652)+$AD653</f>
        <v>38</v>
      </c>
      <c r="AF653" s="1" t="n">
        <f aca="false">IF(AND($N653=1,AND(LEFT(对接源_01水果!$D653,4)="包装物料",N(对接源_01水果!$K653)&lt;&gt;0)),1,0)</f>
        <v>0</v>
      </c>
      <c r="AG653" s="90" t="str">
        <f aca="false">IF(对接源_01水果!$AC653="","",对接源_01水果!$AC653)</f>
        <v/>
      </c>
      <c r="AH653" s="1" t="n">
        <f aca="false">IF(AND($N653=1,AND(LEFT(对接源_01水果!$D653,3)="周转筐",N(对接源_01水果!$K653)&lt;&gt;0)),1,0)</f>
        <v>0</v>
      </c>
      <c r="AI653" s="90" t="n">
        <f aca="false">IF(AG653="",0,IF(MATCH(AG653,$AG$4:$AG$1203,0)=ROW()-3,1,0))</f>
        <v>0</v>
      </c>
      <c r="AJ653" s="90" t="n">
        <f aca="false">N(AJ652)+AI653</f>
        <v>4</v>
      </c>
      <c r="AK653" s="1" t="n">
        <f aca="false">N(AK652)+$AJ653</f>
        <v>1472</v>
      </c>
    </row>
    <row r="654" customFormat="false" ht="13.5" hidden="false" customHeight="false" outlineLevel="0" collapsed="false">
      <c r="A654" s="1" t="str">
        <f aca="false">IF(对接源_01水果!$C654="","",对接源_01水果!$C654)</f>
        <v/>
      </c>
      <c r="B654" s="1" t="n">
        <f aca="false">IF(A654="",0,IF(MATCH(A654,$A$4:$A$2403,0)=ROW()-3,1,0))</f>
        <v>0</v>
      </c>
      <c r="C654" s="1" t="n">
        <f aca="false">N(C653)+B654</f>
        <v>13</v>
      </c>
      <c r="K654" s="1" t="n">
        <f aca="false">IF(OR($K$1="",对接源_01水果!$C654="",对接源_01水果!$C654&lt;&gt;$K$1,对接源_01水果!$B654=""),0,IF(OR(N(对接源_01水果!$B654)&lt;$K$2,N(对接源_01水果!$B654)&gt;$K$3),0,1))</f>
        <v>0</v>
      </c>
      <c r="L654" s="1" t="n">
        <f aca="false">IF(OR($L$1="",对接源_01水果!$C654="",对接源_01水果!$C654&lt;&gt;$L$1,对接源_01水果!$B654=""),0,IF(OR(N(对接源_01水果!$B654)&lt;$L$2,N(对接源_01水果!$B654)&gt;$L$3),0,1))</f>
        <v>0</v>
      </c>
      <c r="M654" s="1" t="n">
        <f aca="false">IF(OR($M$1="",对接源_01水果!$C654="",对接源_01水果!$C654&lt;&gt;$M$1,对接源_01水果!$B654=""),0,IF(OR(N(对接源_01水果!$B654)&lt;$M$2,N(对接源_01水果!$B654)&gt;$M$3),0,1))</f>
        <v>0</v>
      </c>
      <c r="N654" s="1" t="n">
        <f aca="false">IF(OR($N$1="",对接源_01水果!$C654="",对接源_01水果!$C654&lt;&gt;$N$1,对接源_01水果!$B654=""),0,IF(OR(N(对接源_01水果!$B654)&lt;$N$2,N(对接源_01水果!$B654)&gt;$N$3),0,1))</f>
        <v>0</v>
      </c>
      <c r="P654" s="1" t="n">
        <f aca="false">IF(AND($K654=1,AND(对接源_01水果!$X654="公司筐",N(对接源_01水果!$T654)&lt;&gt;0)),1,0)</f>
        <v>0</v>
      </c>
      <c r="Q654" s="1" t="n">
        <f aca="false">N(Q653)+$P654</f>
        <v>3</v>
      </c>
      <c r="R654" s="1" t="n">
        <f aca="false">IF(AND($K654=1,AND(对接源_01水果!$X654="公司筐",N(对接源_01水果!$U654)&lt;&gt;0)),1,0)</f>
        <v>0</v>
      </c>
      <c r="S654" s="1" t="n">
        <f aca="false">N(S653)+$R654</f>
        <v>0</v>
      </c>
      <c r="T654" s="1" t="n">
        <f aca="false">IF(AND($K654=1,AND(对接源_01水果!$X654="公司筐",N(对接源_01水果!$V654)&lt;&gt;0)),1,0)</f>
        <v>0</v>
      </c>
      <c r="U654" s="1" t="n">
        <f aca="false">N(U653)+$T654</f>
        <v>28</v>
      </c>
      <c r="V654" s="1" t="n">
        <f aca="false">IF(AND($L654=1,AND(对接源_01水果!$X654="自备筐",N(对接源_01水果!$V654)&lt;&gt;0)),1,0)</f>
        <v>0</v>
      </c>
      <c r="W654" s="1" t="n">
        <f aca="false">N(W653)+$V654</f>
        <v>7</v>
      </c>
      <c r="X654" s="1" t="n">
        <f aca="false">IF(AND($L654=1,AND(对接源_01水果!$X654="自备筐",N(对接源_01水果!$T654)&lt;&gt;0)),1,0)</f>
        <v>0</v>
      </c>
      <c r="Y654" s="1" t="n">
        <f aca="false">N(Y653)+$X654</f>
        <v>0</v>
      </c>
      <c r="Z654" s="1" t="n">
        <f aca="false">IF(AND($M654=1,对接源_01水果!$D654="原料入库"),1,0)</f>
        <v>0</v>
      </c>
      <c r="AA654" s="1" t="n">
        <f aca="false">N(AA653)+$Z654</f>
        <v>30</v>
      </c>
      <c r="AB654" s="1" t="n">
        <f aca="false">IF(AND($M654=1,LEFT(对接源_01水果!$D654,4)="原料出库"),1,0)</f>
        <v>0</v>
      </c>
      <c r="AC654" s="1" t="n">
        <f aca="false">N(AC653)+$AB654</f>
        <v>19</v>
      </c>
      <c r="AD654" s="1" t="n">
        <f aca="false">IF(AND($M654=1,LEFT(对接源_01水果!$D654,4)="成品出库"),1,0)</f>
        <v>0</v>
      </c>
      <c r="AE654" s="1" t="n">
        <f aca="false">N(AE653)+$AD654</f>
        <v>38</v>
      </c>
      <c r="AF654" s="1" t="n">
        <f aca="false">IF(AND($N654=1,AND(LEFT(对接源_01水果!$D654,4)="包装物料",N(对接源_01水果!$K654)&lt;&gt;0)),1,0)</f>
        <v>0</v>
      </c>
      <c r="AG654" s="90" t="str">
        <f aca="false">IF(对接源_01水果!$AC654="","",对接源_01水果!$AC654)</f>
        <v/>
      </c>
      <c r="AH654" s="1" t="n">
        <f aca="false">IF(AND($N654=1,AND(LEFT(对接源_01水果!$D654,3)="周转筐",N(对接源_01水果!$K654)&lt;&gt;0)),1,0)</f>
        <v>0</v>
      </c>
      <c r="AI654" s="90" t="n">
        <f aca="false">IF(AG654="",0,IF(MATCH(AG654,$AG$4:$AG$1203,0)=ROW()-3,1,0))</f>
        <v>0</v>
      </c>
      <c r="AJ654" s="90" t="n">
        <f aca="false">N(AJ653)+AI654</f>
        <v>4</v>
      </c>
      <c r="AK654" s="1" t="n">
        <f aca="false">N(AK653)+$AJ654</f>
        <v>1476</v>
      </c>
    </row>
    <row r="655" customFormat="false" ht="13.5" hidden="false" customHeight="false" outlineLevel="0" collapsed="false">
      <c r="A655" s="1" t="str">
        <f aca="false">IF(对接源_01水果!$C655="","",对接源_01水果!$C655)</f>
        <v/>
      </c>
      <c r="B655" s="1" t="n">
        <f aca="false">IF(A655="",0,IF(MATCH(A655,$A$4:$A$2403,0)=ROW()-3,1,0))</f>
        <v>0</v>
      </c>
      <c r="C655" s="1" t="n">
        <f aca="false">N(C654)+B655</f>
        <v>13</v>
      </c>
      <c r="K655" s="1" t="n">
        <f aca="false">IF(OR($K$1="",对接源_01水果!$C655="",对接源_01水果!$C655&lt;&gt;$K$1,对接源_01水果!$B655=""),0,IF(OR(N(对接源_01水果!$B655)&lt;$K$2,N(对接源_01水果!$B655)&gt;$K$3),0,1))</f>
        <v>0</v>
      </c>
      <c r="L655" s="1" t="n">
        <f aca="false">IF(OR($L$1="",对接源_01水果!$C655="",对接源_01水果!$C655&lt;&gt;$L$1,对接源_01水果!$B655=""),0,IF(OR(N(对接源_01水果!$B655)&lt;$L$2,N(对接源_01水果!$B655)&gt;$L$3),0,1))</f>
        <v>0</v>
      </c>
      <c r="M655" s="1" t="n">
        <f aca="false">IF(OR($M$1="",对接源_01水果!$C655="",对接源_01水果!$C655&lt;&gt;$M$1,对接源_01水果!$B655=""),0,IF(OR(N(对接源_01水果!$B655)&lt;$M$2,N(对接源_01水果!$B655)&gt;$M$3),0,1))</f>
        <v>0</v>
      </c>
      <c r="N655" s="1" t="n">
        <f aca="false">IF(OR($N$1="",对接源_01水果!$C655="",对接源_01水果!$C655&lt;&gt;$N$1,对接源_01水果!$B655=""),0,IF(OR(N(对接源_01水果!$B655)&lt;$N$2,N(对接源_01水果!$B655)&gt;$N$3),0,1))</f>
        <v>0</v>
      </c>
      <c r="P655" s="1" t="n">
        <f aca="false">IF(AND($K655=1,AND(对接源_01水果!$X655="公司筐",N(对接源_01水果!$T655)&lt;&gt;0)),1,0)</f>
        <v>0</v>
      </c>
      <c r="Q655" s="1" t="n">
        <f aca="false">N(Q654)+$P655</f>
        <v>3</v>
      </c>
      <c r="R655" s="1" t="n">
        <f aca="false">IF(AND($K655=1,AND(对接源_01水果!$X655="公司筐",N(对接源_01水果!$U655)&lt;&gt;0)),1,0)</f>
        <v>0</v>
      </c>
      <c r="S655" s="1" t="n">
        <f aca="false">N(S654)+$R655</f>
        <v>0</v>
      </c>
      <c r="T655" s="1" t="n">
        <f aca="false">IF(AND($K655=1,AND(对接源_01水果!$X655="公司筐",N(对接源_01水果!$V655)&lt;&gt;0)),1,0)</f>
        <v>0</v>
      </c>
      <c r="U655" s="1" t="n">
        <f aca="false">N(U654)+$T655</f>
        <v>28</v>
      </c>
      <c r="V655" s="1" t="n">
        <f aca="false">IF(AND($L655=1,AND(对接源_01水果!$X655="自备筐",N(对接源_01水果!$V655)&lt;&gt;0)),1,0)</f>
        <v>0</v>
      </c>
      <c r="W655" s="1" t="n">
        <f aca="false">N(W654)+$V655</f>
        <v>7</v>
      </c>
      <c r="X655" s="1" t="n">
        <f aca="false">IF(AND($L655=1,AND(对接源_01水果!$X655="自备筐",N(对接源_01水果!$T655)&lt;&gt;0)),1,0)</f>
        <v>0</v>
      </c>
      <c r="Y655" s="1" t="n">
        <f aca="false">N(Y654)+$X655</f>
        <v>0</v>
      </c>
      <c r="Z655" s="1" t="n">
        <f aca="false">IF(AND($M655=1,对接源_01水果!$D655="原料入库"),1,0)</f>
        <v>0</v>
      </c>
      <c r="AA655" s="1" t="n">
        <f aca="false">N(AA654)+$Z655</f>
        <v>30</v>
      </c>
      <c r="AB655" s="1" t="n">
        <f aca="false">IF(AND($M655=1,LEFT(对接源_01水果!$D655,4)="原料出库"),1,0)</f>
        <v>0</v>
      </c>
      <c r="AC655" s="1" t="n">
        <f aca="false">N(AC654)+$AB655</f>
        <v>19</v>
      </c>
      <c r="AD655" s="1" t="n">
        <f aca="false">IF(AND($M655=1,LEFT(对接源_01水果!$D655,4)="成品出库"),1,0)</f>
        <v>0</v>
      </c>
      <c r="AE655" s="1" t="n">
        <f aca="false">N(AE654)+$AD655</f>
        <v>38</v>
      </c>
      <c r="AF655" s="1" t="n">
        <f aca="false">IF(AND($N655=1,AND(LEFT(对接源_01水果!$D655,4)="包装物料",N(对接源_01水果!$K655)&lt;&gt;0)),1,0)</f>
        <v>0</v>
      </c>
      <c r="AG655" s="90" t="str">
        <f aca="false">IF(对接源_01水果!$AC655="","",对接源_01水果!$AC655)</f>
        <v/>
      </c>
      <c r="AH655" s="1" t="n">
        <f aca="false">IF(AND($N655=1,AND(LEFT(对接源_01水果!$D655,3)="周转筐",N(对接源_01水果!$K655)&lt;&gt;0)),1,0)</f>
        <v>0</v>
      </c>
      <c r="AI655" s="90" t="n">
        <f aca="false">IF(AG655="",0,IF(MATCH(AG655,$AG$4:$AG$1203,0)=ROW()-3,1,0))</f>
        <v>0</v>
      </c>
      <c r="AJ655" s="90" t="n">
        <f aca="false">N(AJ654)+AI655</f>
        <v>4</v>
      </c>
      <c r="AK655" s="1" t="n">
        <f aca="false">N(AK654)+$AJ655</f>
        <v>1480</v>
      </c>
    </row>
    <row r="656" customFormat="false" ht="13.5" hidden="false" customHeight="false" outlineLevel="0" collapsed="false">
      <c r="A656" s="1" t="str">
        <f aca="false">IF(对接源_01水果!$C656="","",对接源_01水果!$C656)</f>
        <v/>
      </c>
      <c r="B656" s="1" t="n">
        <f aca="false">IF(A656="",0,IF(MATCH(A656,$A$4:$A$2403,0)=ROW()-3,1,0))</f>
        <v>0</v>
      </c>
      <c r="C656" s="1" t="n">
        <f aca="false">N(C655)+B656</f>
        <v>13</v>
      </c>
      <c r="K656" s="1" t="n">
        <f aca="false">IF(OR($K$1="",对接源_01水果!$C656="",对接源_01水果!$C656&lt;&gt;$K$1,对接源_01水果!$B656=""),0,IF(OR(N(对接源_01水果!$B656)&lt;$K$2,N(对接源_01水果!$B656)&gt;$K$3),0,1))</f>
        <v>0</v>
      </c>
      <c r="L656" s="1" t="n">
        <f aca="false">IF(OR($L$1="",对接源_01水果!$C656="",对接源_01水果!$C656&lt;&gt;$L$1,对接源_01水果!$B656=""),0,IF(OR(N(对接源_01水果!$B656)&lt;$L$2,N(对接源_01水果!$B656)&gt;$L$3),0,1))</f>
        <v>0</v>
      </c>
      <c r="M656" s="1" t="n">
        <f aca="false">IF(OR($M$1="",对接源_01水果!$C656="",对接源_01水果!$C656&lt;&gt;$M$1,对接源_01水果!$B656=""),0,IF(OR(N(对接源_01水果!$B656)&lt;$M$2,N(对接源_01水果!$B656)&gt;$M$3),0,1))</f>
        <v>0</v>
      </c>
      <c r="N656" s="1" t="n">
        <f aca="false">IF(OR($N$1="",对接源_01水果!$C656="",对接源_01水果!$C656&lt;&gt;$N$1,对接源_01水果!$B656=""),0,IF(OR(N(对接源_01水果!$B656)&lt;$N$2,N(对接源_01水果!$B656)&gt;$N$3),0,1))</f>
        <v>0</v>
      </c>
      <c r="P656" s="1" t="n">
        <f aca="false">IF(AND($K656=1,AND(对接源_01水果!$X656="公司筐",N(对接源_01水果!$T656)&lt;&gt;0)),1,0)</f>
        <v>0</v>
      </c>
      <c r="Q656" s="1" t="n">
        <f aca="false">N(Q655)+$P656</f>
        <v>3</v>
      </c>
      <c r="R656" s="1" t="n">
        <f aca="false">IF(AND($K656=1,AND(对接源_01水果!$X656="公司筐",N(对接源_01水果!$U656)&lt;&gt;0)),1,0)</f>
        <v>0</v>
      </c>
      <c r="S656" s="1" t="n">
        <f aca="false">N(S655)+$R656</f>
        <v>0</v>
      </c>
      <c r="T656" s="1" t="n">
        <f aca="false">IF(AND($K656=1,AND(对接源_01水果!$X656="公司筐",N(对接源_01水果!$V656)&lt;&gt;0)),1,0)</f>
        <v>0</v>
      </c>
      <c r="U656" s="1" t="n">
        <f aca="false">N(U655)+$T656</f>
        <v>28</v>
      </c>
      <c r="V656" s="1" t="n">
        <f aca="false">IF(AND($L656=1,AND(对接源_01水果!$X656="自备筐",N(对接源_01水果!$V656)&lt;&gt;0)),1,0)</f>
        <v>0</v>
      </c>
      <c r="W656" s="1" t="n">
        <f aca="false">N(W655)+$V656</f>
        <v>7</v>
      </c>
      <c r="X656" s="1" t="n">
        <f aca="false">IF(AND($L656=1,AND(对接源_01水果!$X656="自备筐",N(对接源_01水果!$T656)&lt;&gt;0)),1,0)</f>
        <v>0</v>
      </c>
      <c r="Y656" s="1" t="n">
        <f aca="false">N(Y655)+$X656</f>
        <v>0</v>
      </c>
      <c r="Z656" s="1" t="n">
        <f aca="false">IF(AND($M656=1,对接源_01水果!$D656="原料入库"),1,0)</f>
        <v>0</v>
      </c>
      <c r="AA656" s="1" t="n">
        <f aca="false">N(AA655)+$Z656</f>
        <v>30</v>
      </c>
      <c r="AB656" s="1" t="n">
        <f aca="false">IF(AND($M656=1,LEFT(对接源_01水果!$D656,4)="原料出库"),1,0)</f>
        <v>0</v>
      </c>
      <c r="AC656" s="1" t="n">
        <f aca="false">N(AC655)+$AB656</f>
        <v>19</v>
      </c>
      <c r="AD656" s="1" t="n">
        <f aca="false">IF(AND($M656=1,LEFT(对接源_01水果!$D656,4)="成品出库"),1,0)</f>
        <v>0</v>
      </c>
      <c r="AE656" s="1" t="n">
        <f aca="false">N(AE655)+$AD656</f>
        <v>38</v>
      </c>
      <c r="AF656" s="1" t="n">
        <f aca="false">IF(AND($N656=1,AND(LEFT(对接源_01水果!$D656,4)="包装物料",N(对接源_01水果!$K656)&lt;&gt;0)),1,0)</f>
        <v>0</v>
      </c>
      <c r="AG656" s="90" t="str">
        <f aca="false">IF(对接源_01水果!$AC656="","",对接源_01水果!$AC656)</f>
        <v/>
      </c>
      <c r="AH656" s="1" t="n">
        <f aca="false">IF(AND($N656=1,AND(LEFT(对接源_01水果!$D656,3)="周转筐",N(对接源_01水果!$K656)&lt;&gt;0)),1,0)</f>
        <v>0</v>
      </c>
      <c r="AI656" s="90" t="n">
        <f aca="false">IF(AG656="",0,IF(MATCH(AG656,$AG$4:$AG$1203,0)=ROW()-3,1,0))</f>
        <v>0</v>
      </c>
      <c r="AJ656" s="90" t="n">
        <f aca="false">N(AJ655)+AI656</f>
        <v>4</v>
      </c>
      <c r="AK656" s="1" t="n">
        <f aca="false">N(AK655)+$AJ656</f>
        <v>1484</v>
      </c>
    </row>
    <row r="657" customFormat="false" ht="13.5" hidden="false" customHeight="false" outlineLevel="0" collapsed="false">
      <c r="A657" s="1" t="str">
        <f aca="false">IF(对接源_01水果!$C657="","",对接源_01水果!$C657)</f>
        <v/>
      </c>
      <c r="B657" s="1" t="n">
        <f aca="false">IF(A657="",0,IF(MATCH(A657,$A$4:$A$2403,0)=ROW()-3,1,0))</f>
        <v>0</v>
      </c>
      <c r="C657" s="1" t="n">
        <f aca="false">N(C656)+B657</f>
        <v>13</v>
      </c>
      <c r="K657" s="1" t="n">
        <f aca="false">IF(OR($K$1="",对接源_01水果!$C657="",对接源_01水果!$C657&lt;&gt;$K$1,对接源_01水果!$B657=""),0,IF(OR(N(对接源_01水果!$B657)&lt;$K$2,N(对接源_01水果!$B657)&gt;$K$3),0,1))</f>
        <v>0</v>
      </c>
      <c r="L657" s="1" t="n">
        <f aca="false">IF(OR($L$1="",对接源_01水果!$C657="",对接源_01水果!$C657&lt;&gt;$L$1,对接源_01水果!$B657=""),0,IF(OR(N(对接源_01水果!$B657)&lt;$L$2,N(对接源_01水果!$B657)&gt;$L$3),0,1))</f>
        <v>0</v>
      </c>
      <c r="M657" s="1" t="n">
        <f aca="false">IF(OR($M$1="",对接源_01水果!$C657="",对接源_01水果!$C657&lt;&gt;$M$1,对接源_01水果!$B657=""),0,IF(OR(N(对接源_01水果!$B657)&lt;$M$2,N(对接源_01水果!$B657)&gt;$M$3),0,1))</f>
        <v>0</v>
      </c>
      <c r="N657" s="1" t="n">
        <f aca="false">IF(OR($N$1="",对接源_01水果!$C657="",对接源_01水果!$C657&lt;&gt;$N$1,对接源_01水果!$B657=""),0,IF(OR(N(对接源_01水果!$B657)&lt;$N$2,N(对接源_01水果!$B657)&gt;$N$3),0,1))</f>
        <v>0</v>
      </c>
      <c r="P657" s="1" t="n">
        <f aca="false">IF(AND($K657=1,AND(对接源_01水果!$X657="公司筐",N(对接源_01水果!$T657)&lt;&gt;0)),1,0)</f>
        <v>0</v>
      </c>
      <c r="Q657" s="1" t="n">
        <f aca="false">N(Q656)+$P657</f>
        <v>3</v>
      </c>
      <c r="R657" s="1" t="n">
        <f aca="false">IF(AND($K657=1,AND(对接源_01水果!$X657="公司筐",N(对接源_01水果!$U657)&lt;&gt;0)),1,0)</f>
        <v>0</v>
      </c>
      <c r="S657" s="1" t="n">
        <f aca="false">N(S656)+$R657</f>
        <v>0</v>
      </c>
      <c r="T657" s="1" t="n">
        <f aca="false">IF(AND($K657=1,AND(对接源_01水果!$X657="公司筐",N(对接源_01水果!$V657)&lt;&gt;0)),1,0)</f>
        <v>0</v>
      </c>
      <c r="U657" s="1" t="n">
        <f aca="false">N(U656)+$T657</f>
        <v>28</v>
      </c>
      <c r="V657" s="1" t="n">
        <f aca="false">IF(AND($L657=1,AND(对接源_01水果!$X657="自备筐",N(对接源_01水果!$V657)&lt;&gt;0)),1,0)</f>
        <v>0</v>
      </c>
      <c r="W657" s="1" t="n">
        <f aca="false">N(W656)+$V657</f>
        <v>7</v>
      </c>
      <c r="X657" s="1" t="n">
        <f aca="false">IF(AND($L657=1,AND(对接源_01水果!$X657="自备筐",N(对接源_01水果!$T657)&lt;&gt;0)),1,0)</f>
        <v>0</v>
      </c>
      <c r="Y657" s="1" t="n">
        <f aca="false">N(Y656)+$X657</f>
        <v>0</v>
      </c>
      <c r="Z657" s="1" t="n">
        <f aca="false">IF(AND($M657=1,对接源_01水果!$D657="原料入库"),1,0)</f>
        <v>0</v>
      </c>
      <c r="AA657" s="1" t="n">
        <f aca="false">N(AA656)+$Z657</f>
        <v>30</v>
      </c>
      <c r="AB657" s="1" t="n">
        <f aca="false">IF(AND($M657=1,LEFT(对接源_01水果!$D657,4)="原料出库"),1,0)</f>
        <v>0</v>
      </c>
      <c r="AC657" s="1" t="n">
        <f aca="false">N(AC656)+$AB657</f>
        <v>19</v>
      </c>
      <c r="AD657" s="1" t="n">
        <f aca="false">IF(AND($M657=1,LEFT(对接源_01水果!$D657,4)="成品出库"),1,0)</f>
        <v>0</v>
      </c>
      <c r="AE657" s="1" t="n">
        <f aca="false">N(AE656)+$AD657</f>
        <v>38</v>
      </c>
      <c r="AF657" s="1" t="n">
        <f aca="false">IF(AND($N657=1,AND(LEFT(对接源_01水果!$D657,4)="包装物料",N(对接源_01水果!$K657)&lt;&gt;0)),1,0)</f>
        <v>0</v>
      </c>
      <c r="AG657" s="90" t="str">
        <f aca="false">IF(对接源_01水果!$AC657="","",对接源_01水果!$AC657)</f>
        <v/>
      </c>
      <c r="AH657" s="1" t="n">
        <f aca="false">IF(AND($N657=1,AND(LEFT(对接源_01水果!$D657,3)="周转筐",N(对接源_01水果!$K657)&lt;&gt;0)),1,0)</f>
        <v>0</v>
      </c>
      <c r="AI657" s="90" t="n">
        <f aca="false">IF(AG657="",0,IF(MATCH(AG657,$AG$4:$AG$1203,0)=ROW()-3,1,0))</f>
        <v>0</v>
      </c>
      <c r="AJ657" s="90" t="n">
        <f aca="false">N(AJ656)+AI657</f>
        <v>4</v>
      </c>
      <c r="AK657" s="1" t="n">
        <f aca="false">N(AK656)+$AJ657</f>
        <v>1488</v>
      </c>
    </row>
    <row r="658" customFormat="false" ht="13.5" hidden="false" customHeight="false" outlineLevel="0" collapsed="false">
      <c r="A658" s="1" t="str">
        <f aca="false">IF(对接源_01水果!$C658="","",对接源_01水果!$C658)</f>
        <v/>
      </c>
      <c r="B658" s="1" t="n">
        <f aca="false">IF(A658="",0,IF(MATCH(A658,$A$4:$A$2403,0)=ROW()-3,1,0))</f>
        <v>0</v>
      </c>
      <c r="C658" s="1" t="n">
        <f aca="false">N(C657)+B658</f>
        <v>13</v>
      </c>
      <c r="K658" s="1" t="n">
        <f aca="false">IF(OR($K$1="",对接源_01水果!$C658="",对接源_01水果!$C658&lt;&gt;$K$1,对接源_01水果!$B658=""),0,IF(OR(N(对接源_01水果!$B658)&lt;$K$2,N(对接源_01水果!$B658)&gt;$K$3),0,1))</f>
        <v>0</v>
      </c>
      <c r="L658" s="1" t="n">
        <f aca="false">IF(OR($L$1="",对接源_01水果!$C658="",对接源_01水果!$C658&lt;&gt;$L$1,对接源_01水果!$B658=""),0,IF(OR(N(对接源_01水果!$B658)&lt;$L$2,N(对接源_01水果!$B658)&gt;$L$3),0,1))</f>
        <v>0</v>
      </c>
      <c r="M658" s="1" t="n">
        <f aca="false">IF(OR($M$1="",对接源_01水果!$C658="",对接源_01水果!$C658&lt;&gt;$M$1,对接源_01水果!$B658=""),0,IF(OR(N(对接源_01水果!$B658)&lt;$M$2,N(对接源_01水果!$B658)&gt;$M$3),0,1))</f>
        <v>0</v>
      </c>
      <c r="N658" s="1" t="n">
        <f aca="false">IF(OR($N$1="",对接源_01水果!$C658="",对接源_01水果!$C658&lt;&gt;$N$1,对接源_01水果!$B658=""),0,IF(OR(N(对接源_01水果!$B658)&lt;$N$2,N(对接源_01水果!$B658)&gt;$N$3),0,1))</f>
        <v>0</v>
      </c>
      <c r="P658" s="1" t="n">
        <f aca="false">IF(AND($K658=1,AND(对接源_01水果!$X658="公司筐",N(对接源_01水果!$T658)&lt;&gt;0)),1,0)</f>
        <v>0</v>
      </c>
      <c r="Q658" s="1" t="n">
        <f aca="false">N(Q657)+$P658</f>
        <v>3</v>
      </c>
      <c r="R658" s="1" t="n">
        <f aca="false">IF(AND($K658=1,AND(对接源_01水果!$X658="公司筐",N(对接源_01水果!$U658)&lt;&gt;0)),1,0)</f>
        <v>0</v>
      </c>
      <c r="S658" s="1" t="n">
        <f aca="false">N(S657)+$R658</f>
        <v>0</v>
      </c>
      <c r="T658" s="1" t="n">
        <f aca="false">IF(AND($K658=1,AND(对接源_01水果!$X658="公司筐",N(对接源_01水果!$V658)&lt;&gt;0)),1,0)</f>
        <v>0</v>
      </c>
      <c r="U658" s="1" t="n">
        <f aca="false">N(U657)+$T658</f>
        <v>28</v>
      </c>
      <c r="V658" s="1" t="n">
        <f aca="false">IF(AND($L658=1,AND(对接源_01水果!$X658="自备筐",N(对接源_01水果!$V658)&lt;&gt;0)),1,0)</f>
        <v>0</v>
      </c>
      <c r="W658" s="1" t="n">
        <f aca="false">N(W657)+$V658</f>
        <v>7</v>
      </c>
      <c r="X658" s="1" t="n">
        <f aca="false">IF(AND($L658=1,AND(对接源_01水果!$X658="自备筐",N(对接源_01水果!$T658)&lt;&gt;0)),1,0)</f>
        <v>0</v>
      </c>
      <c r="Y658" s="1" t="n">
        <f aca="false">N(Y657)+$X658</f>
        <v>0</v>
      </c>
      <c r="Z658" s="1" t="n">
        <f aca="false">IF(AND($M658=1,对接源_01水果!$D658="原料入库"),1,0)</f>
        <v>0</v>
      </c>
      <c r="AA658" s="1" t="n">
        <f aca="false">N(AA657)+$Z658</f>
        <v>30</v>
      </c>
      <c r="AB658" s="1" t="n">
        <f aca="false">IF(AND($M658=1,LEFT(对接源_01水果!$D658,4)="原料出库"),1,0)</f>
        <v>0</v>
      </c>
      <c r="AC658" s="1" t="n">
        <f aca="false">N(AC657)+$AB658</f>
        <v>19</v>
      </c>
      <c r="AD658" s="1" t="n">
        <f aca="false">IF(AND($M658=1,LEFT(对接源_01水果!$D658,4)="成品出库"),1,0)</f>
        <v>0</v>
      </c>
      <c r="AE658" s="1" t="n">
        <f aca="false">N(AE657)+$AD658</f>
        <v>38</v>
      </c>
      <c r="AF658" s="1" t="n">
        <f aca="false">IF(AND($N658=1,AND(LEFT(对接源_01水果!$D658,4)="包装物料",N(对接源_01水果!$K658)&lt;&gt;0)),1,0)</f>
        <v>0</v>
      </c>
      <c r="AG658" s="90" t="str">
        <f aca="false">IF(对接源_01水果!$AC658="","",对接源_01水果!$AC658)</f>
        <v/>
      </c>
      <c r="AH658" s="1" t="n">
        <f aca="false">IF(AND($N658=1,AND(LEFT(对接源_01水果!$D658,3)="周转筐",N(对接源_01水果!$K658)&lt;&gt;0)),1,0)</f>
        <v>0</v>
      </c>
      <c r="AI658" s="90" t="n">
        <f aca="false">IF(AG658="",0,IF(MATCH(AG658,$AG$4:$AG$1203,0)=ROW()-3,1,0))</f>
        <v>0</v>
      </c>
      <c r="AJ658" s="90" t="n">
        <f aca="false">N(AJ657)+AI658</f>
        <v>4</v>
      </c>
      <c r="AK658" s="1" t="n">
        <f aca="false">N(AK657)+$AJ658</f>
        <v>1492</v>
      </c>
    </row>
    <row r="659" customFormat="false" ht="13.5" hidden="false" customHeight="false" outlineLevel="0" collapsed="false">
      <c r="A659" s="1" t="str">
        <f aca="false">IF(对接源_01水果!$C659="","",对接源_01水果!$C659)</f>
        <v/>
      </c>
      <c r="B659" s="1" t="n">
        <f aca="false">IF(A659="",0,IF(MATCH(A659,$A$4:$A$2403,0)=ROW()-3,1,0))</f>
        <v>0</v>
      </c>
      <c r="C659" s="1" t="n">
        <f aca="false">N(C658)+B659</f>
        <v>13</v>
      </c>
      <c r="K659" s="1" t="n">
        <f aca="false">IF(OR($K$1="",对接源_01水果!$C659="",对接源_01水果!$C659&lt;&gt;$K$1,对接源_01水果!$B659=""),0,IF(OR(N(对接源_01水果!$B659)&lt;$K$2,N(对接源_01水果!$B659)&gt;$K$3),0,1))</f>
        <v>0</v>
      </c>
      <c r="L659" s="1" t="n">
        <f aca="false">IF(OR($L$1="",对接源_01水果!$C659="",对接源_01水果!$C659&lt;&gt;$L$1,对接源_01水果!$B659=""),0,IF(OR(N(对接源_01水果!$B659)&lt;$L$2,N(对接源_01水果!$B659)&gt;$L$3),0,1))</f>
        <v>0</v>
      </c>
      <c r="M659" s="1" t="n">
        <f aca="false">IF(OR($M$1="",对接源_01水果!$C659="",对接源_01水果!$C659&lt;&gt;$M$1,对接源_01水果!$B659=""),0,IF(OR(N(对接源_01水果!$B659)&lt;$M$2,N(对接源_01水果!$B659)&gt;$M$3),0,1))</f>
        <v>0</v>
      </c>
      <c r="N659" s="1" t="n">
        <f aca="false">IF(OR($N$1="",对接源_01水果!$C659="",对接源_01水果!$C659&lt;&gt;$N$1,对接源_01水果!$B659=""),0,IF(OR(N(对接源_01水果!$B659)&lt;$N$2,N(对接源_01水果!$B659)&gt;$N$3),0,1))</f>
        <v>0</v>
      </c>
      <c r="P659" s="1" t="n">
        <f aca="false">IF(AND($K659=1,AND(对接源_01水果!$X659="公司筐",N(对接源_01水果!$T659)&lt;&gt;0)),1,0)</f>
        <v>0</v>
      </c>
      <c r="Q659" s="1" t="n">
        <f aca="false">N(Q658)+$P659</f>
        <v>3</v>
      </c>
      <c r="R659" s="1" t="n">
        <f aca="false">IF(AND($K659=1,AND(对接源_01水果!$X659="公司筐",N(对接源_01水果!$U659)&lt;&gt;0)),1,0)</f>
        <v>0</v>
      </c>
      <c r="S659" s="1" t="n">
        <f aca="false">N(S658)+$R659</f>
        <v>0</v>
      </c>
      <c r="T659" s="1" t="n">
        <f aca="false">IF(AND($K659=1,AND(对接源_01水果!$X659="公司筐",N(对接源_01水果!$V659)&lt;&gt;0)),1,0)</f>
        <v>0</v>
      </c>
      <c r="U659" s="1" t="n">
        <f aca="false">N(U658)+$T659</f>
        <v>28</v>
      </c>
      <c r="V659" s="1" t="n">
        <f aca="false">IF(AND($L659=1,AND(对接源_01水果!$X659="自备筐",N(对接源_01水果!$V659)&lt;&gt;0)),1,0)</f>
        <v>0</v>
      </c>
      <c r="W659" s="1" t="n">
        <f aca="false">N(W658)+$V659</f>
        <v>7</v>
      </c>
      <c r="X659" s="1" t="n">
        <f aca="false">IF(AND($L659=1,AND(对接源_01水果!$X659="自备筐",N(对接源_01水果!$T659)&lt;&gt;0)),1,0)</f>
        <v>0</v>
      </c>
      <c r="Y659" s="1" t="n">
        <f aca="false">N(Y658)+$X659</f>
        <v>0</v>
      </c>
      <c r="Z659" s="1" t="n">
        <f aca="false">IF(AND($M659=1,对接源_01水果!$D659="原料入库"),1,0)</f>
        <v>0</v>
      </c>
      <c r="AA659" s="1" t="n">
        <f aca="false">N(AA658)+$Z659</f>
        <v>30</v>
      </c>
      <c r="AB659" s="1" t="n">
        <f aca="false">IF(AND($M659=1,LEFT(对接源_01水果!$D659,4)="原料出库"),1,0)</f>
        <v>0</v>
      </c>
      <c r="AC659" s="1" t="n">
        <f aca="false">N(AC658)+$AB659</f>
        <v>19</v>
      </c>
      <c r="AD659" s="1" t="n">
        <f aca="false">IF(AND($M659=1,LEFT(对接源_01水果!$D659,4)="成品出库"),1,0)</f>
        <v>0</v>
      </c>
      <c r="AE659" s="1" t="n">
        <f aca="false">N(AE658)+$AD659</f>
        <v>38</v>
      </c>
      <c r="AF659" s="1" t="n">
        <f aca="false">IF(AND($N659=1,AND(LEFT(对接源_01水果!$D659,4)="包装物料",N(对接源_01水果!$K659)&lt;&gt;0)),1,0)</f>
        <v>0</v>
      </c>
      <c r="AG659" s="90" t="str">
        <f aca="false">IF(对接源_01水果!$AC659="","",对接源_01水果!$AC659)</f>
        <v/>
      </c>
      <c r="AH659" s="1" t="n">
        <f aca="false">IF(AND($N659=1,AND(LEFT(对接源_01水果!$D659,3)="周转筐",N(对接源_01水果!$K659)&lt;&gt;0)),1,0)</f>
        <v>0</v>
      </c>
      <c r="AI659" s="90" t="n">
        <f aca="false">IF(AG659="",0,IF(MATCH(AG659,$AG$4:$AG$1203,0)=ROW()-3,1,0))</f>
        <v>0</v>
      </c>
      <c r="AJ659" s="90" t="n">
        <f aca="false">N(AJ658)+AI659</f>
        <v>4</v>
      </c>
      <c r="AK659" s="1" t="n">
        <f aca="false">N(AK658)+$AJ659</f>
        <v>1496</v>
      </c>
    </row>
    <row r="660" customFormat="false" ht="13.5" hidden="false" customHeight="false" outlineLevel="0" collapsed="false">
      <c r="A660" s="1" t="str">
        <f aca="false">IF(对接源_01水果!$C660="","",对接源_01水果!$C660)</f>
        <v/>
      </c>
      <c r="B660" s="1" t="n">
        <f aca="false">IF(A660="",0,IF(MATCH(A660,$A$4:$A$2403,0)=ROW()-3,1,0))</f>
        <v>0</v>
      </c>
      <c r="C660" s="1" t="n">
        <f aca="false">N(C659)+B660</f>
        <v>13</v>
      </c>
      <c r="K660" s="1" t="n">
        <f aca="false">IF(OR($K$1="",对接源_01水果!$C660="",对接源_01水果!$C660&lt;&gt;$K$1,对接源_01水果!$B660=""),0,IF(OR(N(对接源_01水果!$B660)&lt;$K$2,N(对接源_01水果!$B660)&gt;$K$3),0,1))</f>
        <v>0</v>
      </c>
      <c r="L660" s="1" t="n">
        <f aca="false">IF(OR($L$1="",对接源_01水果!$C660="",对接源_01水果!$C660&lt;&gt;$L$1,对接源_01水果!$B660=""),0,IF(OR(N(对接源_01水果!$B660)&lt;$L$2,N(对接源_01水果!$B660)&gt;$L$3),0,1))</f>
        <v>0</v>
      </c>
      <c r="M660" s="1" t="n">
        <f aca="false">IF(OR($M$1="",对接源_01水果!$C660="",对接源_01水果!$C660&lt;&gt;$M$1,对接源_01水果!$B660=""),0,IF(OR(N(对接源_01水果!$B660)&lt;$M$2,N(对接源_01水果!$B660)&gt;$M$3),0,1))</f>
        <v>0</v>
      </c>
      <c r="N660" s="1" t="n">
        <f aca="false">IF(OR($N$1="",对接源_01水果!$C660="",对接源_01水果!$C660&lt;&gt;$N$1,对接源_01水果!$B660=""),0,IF(OR(N(对接源_01水果!$B660)&lt;$N$2,N(对接源_01水果!$B660)&gt;$N$3),0,1))</f>
        <v>0</v>
      </c>
      <c r="P660" s="1" t="n">
        <f aca="false">IF(AND($K660=1,AND(对接源_01水果!$X660="公司筐",N(对接源_01水果!$T660)&lt;&gt;0)),1,0)</f>
        <v>0</v>
      </c>
      <c r="Q660" s="1" t="n">
        <f aca="false">N(Q659)+$P660</f>
        <v>3</v>
      </c>
      <c r="R660" s="1" t="n">
        <f aca="false">IF(AND($K660=1,AND(对接源_01水果!$X660="公司筐",N(对接源_01水果!$U660)&lt;&gt;0)),1,0)</f>
        <v>0</v>
      </c>
      <c r="S660" s="1" t="n">
        <f aca="false">N(S659)+$R660</f>
        <v>0</v>
      </c>
      <c r="T660" s="1" t="n">
        <f aca="false">IF(AND($K660=1,AND(对接源_01水果!$X660="公司筐",N(对接源_01水果!$V660)&lt;&gt;0)),1,0)</f>
        <v>0</v>
      </c>
      <c r="U660" s="1" t="n">
        <f aca="false">N(U659)+$T660</f>
        <v>28</v>
      </c>
      <c r="V660" s="1" t="n">
        <f aca="false">IF(AND($L660=1,AND(对接源_01水果!$X660="自备筐",N(对接源_01水果!$V660)&lt;&gt;0)),1,0)</f>
        <v>0</v>
      </c>
      <c r="W660" s="1" t="n">
        <f aca="false">N(W659)+$V660</f>
        <v>7</v>
      </c>
      <c r="X660" s="1" t="n">
        <f aca="false">IF(AND($L660=1,AND(对接源_01水果!$X660="自备筐",N(对接源_01水果!$T660)&lt;&gt;0)),1,0)</f>
        <v>0</v>
      </c>
      <c r="Y660" s="1" t="n">
        <f aca="false">N(Y659)+$X660</f>
        <v>0</v>
      </c>
      <c r="Z660" s="1" t="n">
        <f aca="false">IF(AND($M660=1,对接源_01水果!$D660="原料入库"),1,0)</f>
        <v>0</v>
      </c>
      <c r="AA660" s="1" t="n">
        <f aca="false">N(AA659)+$Z660</f>
        <v>30</v>
      </c>
      <c r="AB660" s="1" t="n">
        <f aca="false">IF(AND($M660=1,LEFT(对接源_01水果!$D660,4)="原料出库"),1,0)</f>
        <v>0</v>
      </c>
      <c r="AC660" s="1" t="n">
        <f aca="false">N(AC659)+$AB660</f>
        <v>19</v>
      </c>
      <c r="AD660" s="1" t="n">
        <f aca="false">IF(AND($M660=1,LEFT(对接源_01水果!$D660,4)="成品出库"),1,0)</f>
        <v>0</v>
      </c>
      <c r="AE660" s="1" t="n">
        <f aca="false">N(AE659)+$AD660</f>
        <v>38</v>
      </c>
      <c r="AF660" s="1" t="n">
        <f aca="false">IF(AND($N660=1,AND(LEFT(对接源_01水果!$D660,4)="包装物料",N(对接源_01水果!$K660)&lt;&gt;0)),1,0)</f>
        <v>0</v>
      </c>
      <c r="AG660" s="90" t="str">
        <f aca="false">IF(对接源_01水果!$AC660="","",对接源_01水果!$AC660)</f>
        <v/>
      </c>
      <c r="AH660" s="1" t="n">
        <f aca="false">IF(AND($N660=1,AND(LEFT(对接源_01水果!$D660,3)="周转筐",N(对接源_01水果!$K660)&lt;&gt;0)),1,0)</f>
        <v>0</v>
      </c>
      <c r="AI660" s="90" t="n">
        <f aca="false">IF(AG660="",0,IF(MATCH(AG660,$AG$4:$AG$1203,0)=ROW()-3,1,0))</f>
        <v>0</v>
      </c>
      <c r="AJ660" s="90" t="n">
        <f aca="false">N(AJ659)+AI660</f>
        <v>4</v>
      </c>
      <c r="AK660" s="1" t="n">
        <f aca="false">N(AK659)+$AJ660</f>
        <v>1500</v>
      </c>
    </row>
    <row r="661" customFormat="false" ht="13.5" hidden="false" customHeight="false" outlineLevel="0" collapsed="false">
      <c r="A661" s="1" t="str">
        <f aca="false">IF(对接源_01水果!$C661="","",对接源_01水果!$C661)</f>
        <v/>
      </c>
      <c r="B661" s="1" t="n">
        <f aca="false">IF(A661="",0,IF(MATCH(A661,$A$4:$A$2403,0)=ROW()-3,1,0))</f>
        <v>0</v>
      </c>
      <c r="C661" s="1" t="n">
        <f aca="false">N(C660)+B661</f>
        <v>13</v>
      </c>
      <c r="K661" s="1" t="n">
        <f aca="false">IF(OR($K$1="",对接源_01水果!$C661="",对接源_01水果!$C661&lt;&gt;$K$1,对接源_01水果!$B661=""),0,IF(OR(N(对接源_01水果!$B661)&lt;$K$2,N(对接源_01水果!$B661)&gt;$K$3),0,1))</f>
        <v>0</v>
      </c>
      <c r="L661" s="1" t="n">
        <f aca="false">IF(OR($L$1="",对接源_01水果!$C661="",对接源_01水果!$C661&lt;&gt;$L$1,对接源_01水果!$B661=""),0,IF(OR(N(对接源_01水果!$B661)&lt;$L$2,N(对接源_01水果!$B661)&gt;$L$3),0,1))</f>
        <v>0</v>
      </c>
      <c r="M661" s="1" t="n">
        <f aca="false">IF(OR($M$1="",对接源_01水果!$C661="",对接源_01水果!$C661&lt;&gt;$M$1,对接源_01水果!$B661=""),0,IF(OR(N(对接源_01水果!$B661)&lt;$M$2,N(对接源_01水果!$B661)&gt;$M$3),0,1))</f>
        <v>0</v>
      </c>
      <c r="N661" s="1" t="n">
        <f aca="false">IF(OR($N$1="",对接源_01水果!$C661="",对接源_01水果!$C661&lt;&gt;$N$1,对接源_01水果!$B661=""),0,IF(OR(N(对接源_01水果!$B661)&lt;$N$2,N(对接源_01水果!$B661)&gt;$N$3),0,1))</f>
        <v>0</v>
      </c>
      <c r="P661" s="1" t="n">
        <f aca="false">IF(AND($K661=1,AND(对接源_01水果!$X661="公司筐",N(对接源_01水果!$T661)&lt;&gt;0)),1,0)</f>
        <v>0</v>
      </c>
      <c r="Q661" s="1" t="n">
        <f aca="false">N(Q660)+$P661</f>
        <v>3</v>
      </c>
      <c r="R661" s="1" t="n">
        <f aca="false">IF(AND($K661=1,AND(对接源_01水果!$X661="公司筐",N(对接源_01水果!$U661)&lt;&gt;0)),1,0)</f>
        <v>0</v>
      </c>
      <c r="S661" s="1" t="n">
        <f aca="false">N(S660)+$R661</f>
        <v>0</v>
      </c>
      <c r="T661" s="1" t="n">
        <f aca="false">IF(AND($K661=1,AND(对接源_01水果!$X661="公司筐",N(对接源_01水果!$V661)&lt;&gt;0)),1,0)</f>
        <v>0</v>
      </c>
      <c r="U661" s="1" t="n">
        <f aca="false">N(U660)+$T661</f>
        <v>28</v>
      </c>
      <c r="V661" s="1" t="n">
        <f aca="false">IF(AND($L661=1,AND(对接源_01水果!$X661="自备筐",N(对接源_01水果!$V661)&lt;&gt;0)),1,0)</f>
        <v>0</v>
      </c>
      <c r="W661" s="1" t="n">
        <f aca="false">N(W660)+$V661</f>
        <v>7</v>
      </c>
      <c r="X661" s="1" t="n">
        <f aca="false">IF(AND($L661=1,AND(对接源_01水果!$X661="自备筐",N(对接源_01水果!$T661)&lt;&gt;0)),1,0)</f>
        <v>0</v>
      </c>
      <c r="Y661" s="1" t="n">
        <f aca="false">N(Y660)+$X661</f>
        <v>0</v>
      </c>
      <c r="Z661" s="1" t="n">
        <f aca="false">IF(AND($M661=1,对接源_01水果!$D661="原料入库"),1,0)</f>
        <v>0</v>
      </c>
      <c r="AA661" s="1" t="n">
        <f aca="false">N(AA660)+$Z661</f>
        <v>30</v>
      </c>
      <c r="AB661" s="1" t="n">
        <f aca="false">IF(AND($M661=1,LEFT(对接源_01水果!$D661,4)="原料出库"),1,0)</f>
        <v>0</v>
      </c>
      <c r="AC661" s="1" t="n">
        <f aca="false">N(AC660)+$AB661</f>
        <v>19</v>
      </c>
      <c r="AD661" s="1" t="n">
        <f aca="false">IF(AND($M661=1,LEFT(对接源_01水果!$D661,4)="成品出库"),1,0)</f>
        <v>0</v>
      </c>
      <c r="AE661" s="1" t="n">
        <f aca="false">N(AE660)+$AD661</f>
        <v>38</v>
      </c>
      <c r="AF661" s="1" t="n">
        <f aca="false">IF(AND($N661=1,AND(LEFT(对接源_01水果!$D661,4)="包装物料",N(对接源_01水果!$K661)&lt;&gt;0)),1,0)</f>
        <v>0</v>
      </c>
      <c r="AG661" s="90" t="str">
        <f aca="false">IF(对接源_01水果!$AC661="","",对接源_01水果!$AC661)</f>
        <v/>
      </c>
      <c r="AH661" s="1" t="n">
        <f aca="false">IF(AND($N661=1,AND(LEFT(对接源_01水果!$D661,3)="周转筐",N(对接源_01水果!$K661)&lt;&gt;0)),1,0)</f>
        <v>0</v>
      </c>
      <c r="AI661" s="90" t="n">
        <f aca="false">IF(AG661="",0,IF(MATCH(AG661,$AG$4:$AG$1203,0)=ROW()-3,1,0))</f>
        <v>0</v>
      </c>
      <c r="AJ661" s="90" t="n">
        <f aca="false">N(AJ660)+AI661</f>
        <v>4</v>
      </c>
      <c r="AK661" s="1" t="n">
        <f aca="false">N(AK660)+$AJ661</f>
        <v>1504</v>
      </c>
    </row>
    <row r="662" customFormat="false" ht="13.5" hidden="false" customHeight="false" outlineLevel="0" collapsed="false">
      <c r="A662" s="1" t="str">
        <f aca="false">IF(对接源_01水果!$C662="","",对接源_01水果!$C662)</f>
        <v/>
      </c>
      <c r="B662" s="1" t="n">
        <f aca="false">IF(A662="",0,IF(MATCH(A662,$A$4:$A$2403,0)=ROW()-3,1,0))</f>
        <v>0</v>
      </c>
      <c r="C662" s="1" t="n">
        <f aca="false">N(C661)+B662</f>
        <v>13</v>
      </c>
      <c r="K662" s="1" t="n">
        <f aca="false">IF(OR($K$1="",对接源_01水果!$C662="",对接源_01水果!$C662&lt;&gt;$K$1,对接源_01水果!$B662=""),0,IF(OR(N(对接源_01水果!$B662)&lt;$K$2,N(对接源_01水果!$B662)&gt;$K$3),0,1))</f>
        <v>0</v>
      </c>
      <c r="L662" s="1" t="n">
        <f aca="false">IF(OR($L$1="",对接源_01水果!$C662="",对接源_01水果!$C662&lt;&gt;$L$1,对接源_01水果!$B662=""),0,IF(OR(N(对接源_01水果!$B662)&lt;$L$2,N(对接源_01水果!$B662)&gt;$L$3),0,1))</f>
        <v>0</v>
      </c>
      <c r="M662" s="1" t="n">
        <f aca="false">IF(OR($M$1="",对接源_01水果!$C662="",对接源_01水果!$C662&lt;&gt;$M$1,对接源_01水果!$B662=""),0,IF(OR(N(对接源_01水果!$B662)&lt;$M$2,N(对接源_01水果!$B662)&gt;$M$3),0,1))</f>
        <v>0</v>
      </c>
      <c r="N662" s="1" t="n">
        <f aca="false">IF(OR($N$1="",对接源_01水果!$C662="",对接源_01水果!$C662&lt;&gt;$N$1,对接源_01水果!$B662=""),0,IF(OR(N(对接源_01水果!$B662)&lt;$N$2,N(对接源_01水果!$B662)&gt;$N$3),0,1))</f>
        <v>0</v>
      </c>
      <c r="P662" s="1" t="n">
        <f aca="false">IF(AND($K662=1,AND(对接源_01水果!$X662="公司筐",N(对接源_01水果!$T662)&lt;&gt;0)),1,0)</f>
        <v>0</v>
      </c>
      <c r="Q662" s="1" t="n">
        <f aca="false">N(Q661)+$P662</f>
        <v>3</v>
      </c>
      <c r="R662" s="1" t="n">
        <f aca="false">IF(AND($K662=1,AND(对接源_01水果!$X662="公司筐",N(对接源_01水果!$U662)&lt;&gt;0)),1,0)</f>
        <v>0</v>
      </c>
      <c r="S662" s="1" t="n">
        <f aca="false">N(S661)+$R662</f>
        <v>0</v>
      </c>
      <c r="T662" s="1" t="n">
        <f aca="false">IF(AND($K662=1,AND(对接源_01水果!$X662="公司筐",N(对接源_01水果!$V662)&lt;&gt;0)),1,0)</f>
        <v>0</v>
      </c>
      <c r="U662" s="1" t="n">
        <f aca="false">N(U661)+$T662</f>
        <v>28</v>
      </c>
      <c r="V662" s="1" t="n">
        <f aca="false">IF(AND($L662=1,AND(对接源_01水果!$X662="自备筐",N(对接源_01水果!$V662)&lt;&gt;0)),1,0)</f>
        <v>0</v>
      </c>
      <c r="W662" s="1" t="n">
        <f aca="false">N(W661)+$V662</f>
        <v>7</v>
      </c>
      <c r="X662" s="1" t="n">
        <f aca="false">IF(AND($L662=1,AND(对接源_01水果!$X662="自备筐",N(对接源_01水果!$T662)&lt;&gt;0)),1,0)</f>
        <v>0</v>
      </c>
      <c r="Y662" s="1" t="n">
        <f aca="false">N(Y661)+$X662</f>
        <v>0</v>
      </c>
      <c r="Z662" s="1" t="n">
        <f aca="false">IF(AND($M662=1,对接源_01水果!$D662="原料入库"),1,0)</f>
        <v>0</v>
      </c>
      <c r="AA662" s="1" t="n">
        <f aca="false">N(AA661)+$Z662</f>
        <v>30</v>
      </c>
      <c r="AB662" s="1" t="n">
        <f aca="false">IF(AND($M662=1,LEFT(对接源_01水果!$D662,4)="原料出库"),1,0)</f>
        <v>0</v>
      </c>
      <c r="AC662" s="1" t="n">
        <f aca="false">N(AC661)+$AB662</f>
        <v>19</v>
      </c>
      <c r="AD662" s="1" t="n">
        <f aca="false">IF(AND($M662=1,LEFT(对接源_01水果!$D662,4)="成品出库"),1,0)</f>
        <v>0</v>
      </c>
      <c r="AE662" s="1" t="n">
        <f aca="false">N(AE661)+$AD662</f>
        <v>38</v>
      </c>
      <c r="AF662" s="1" t="n">
        <f aca="false">IF(AND($N662=1,AND(LEFT(对接源_01水果!$D662,4)="包装物料",N(对接源_01水果!$K662)&lt;&gt;0)),1,0)</f>
        <v>0</v>
      </c>
      <c r="AG662" s="90" t="str">
        <f aca="false">IF(对接源_01水果!$AC662="","",对接源_01水果!$AC662)</f>
        <v/>
      </c>
      <c r="AH662" s="1" t="n">
        <f aca="false">IF(AND($N662=1,AND(LEFT(对接源_01水果!$D662,3)="周转筐",N(对接源_01水果!$K662)&lt;&gt;0)),1,0)</f>
        <v>0</v>
      </c>
      <c r="AI662" s="90" t="n">
        <f aca="false">IF(AG662="",0,IF(MATCH(AG662,$AG$4:$AG$1203,0)=ROW()-3,1,0))</f>
        <v>0</v>
      </c>
      <c r="AJ662" s="90" t="n">
        <f aca="false">N(AJ661)+AI662</f>
        <v>4</v>
      </c>
      <c r="AK662" s="1" t="n">
        <f aca="false">N(AK661)+$AJ662</f>
        <v>1508</v>
      </c>
    </row>
    <row r="663" customFormat="false" ht="13.5" hidden="false" customHeight="false" outlineLevel="0" collapsed="false">
      <c r="A663" s="1" t="str">
        <f aca="false">IF(对接源_01水果!$C663="","",对接源_01水果!$C663)</f>
        <v/>
      </c>
      <c r="B663" s="1" t="n">
        <f aca="false">IF(A663="",0,IF(MATCH(A663,$A$4:$A$2403,0)=ROW()-3,1,0))</f>
        <v>0</v>
      </c>
      <c r="C663" s="1" t="n">
        <f aca="false">N(C662)+B663</f>
        <v>13</v>
      </c>
      <c r="K663" s="1" t="n">
        <f aca="false">IF(OR($K$1="",对接源_01水果!$C663="",对接源_01水果!$C663&lt;&gt;$K$1,对接源_01水果!$B663=""),0,IF(OR(N(对接源_01水果!$B663)&lt;$K$2,N(对接源_01水果!$B663)&gt;$K$3),0,1))</f>
        <v>0</v>
      </c>
      <c r="L663" s="1" t="n">
        <f aca="false">IF(OR($L$1="",对接源_01水果!$C663="",对接源_01水果!$C663&lt;&gt;$L$1,对接源_01水果!$B663=""),0,IF(OR(N(对接源_01水果!$B663)&lt;$L$2,N(对接源_01水果!$B663)&gt;$L$3),0,1))</f>
        <v>0</v>
      </c>
      <c r="M663" s="1" t="n">
        <f aca="false">IF(OR($M$1="",对接源_01水果!$C663="",对接源_01水果!$C663&lt;&gt;$M$1,对接源_01水果!$B663=""),0,IF(OR(N(对接源_01水果!$B663)&lt;$M$2,N(对接源_01水果!$B663)&gt;$M$3),0,1))</f>
        <v>0</v>
      </c>
      <c r="N663" s="1" t="n">
        <f aca="false">IF(OR($N$1="",对接源_01水果!$C663="",对接源_01水果!$C663&lt;&gt;$N$1,对接源_01水果!$B663=""),0,IF(OR(N(对接源_01水果!$B663)&lt;$N$2,N(对接源_01水果!$B663)&gt;$N$3),0,1))</f>
        <v>0</v>
      </c>
      <c r="P663" s="1" t="n">
        <f aca="false">IF(AND($K663=1,AND(对接源_01水果!$X663="公司筐",N(对接源_01水果!$T663)&lt;&gt;0)),1,0)</f>
        <v>0</v>
      </c>
      <c r="Q663" s="1" t="n">
        <f aca="false">N(Q662)+$P663</f>
        <v>3</v>
      </c>
      <c r="R663" s="1" t="n">
        <f aca="false">IF(AND($K663=1,AND(对接源_01水果!$X663="公司筐",N(对接源_01水果!$U663)&lt;&gt;0)),1,0)</f>
        <v>0</v>
      </c>
      <c r="S663" s="1" t="n">
        <f aca="false">N(S662)+$R663</f>
        <v>0</v>
      </c>
      <c r="T663" s="1" t="n">
        <f aca="false">IF(AND($K663=1,AND(对接源_01水果!$X663="公司筐",N(对接源_01水果!$V663)&lt;&gt;0)),1,0)</f>
        <v>0</v>
      </c>
      <c r="U663" s="1" t="n">
        <f aca="false">N(U662)+$T663</f>
        <v>28</v>
      </c>
      <c r="V663" s="1" t="n">
        <f aca="false">IF(AND($L663=1,AND(对接源_01水果!$X663="自备筐",N(对接源_01水果!$V663)&lt;&gt;0)),1,0)</f>
        <v>0</v>
      </c>
      <c r="W663" s="1" t="n">
        <f aca="false">N(W662)+$V663</f>
        <v>7</v>
      </c>
      <c r="X663" s="1" t="n">
        <f aca="false">IF(AND($L663=1,AND(对接源_01水果!$X663="自备筐",N(对接源_01水果!$T663)&lt;&gt;0)),1,0)</f>
        <v>0</v>
      </c>
      <c r="Y663" s="1" t="n">
        <f aca="false">N(Y662)+$X663</f>
        <v>0</v>
      </c>
      <c r="Z663" s="1" t="n">
        <f aca="false">IF(AND($M663=1,对接源_01水果!$D663="原料入库"),1,0)</f>
        <v>0</v>
      </c>
      <c r="AA663" s="1" t="n">
        <f aca="false">N(AA662)+$Z663</f>
        <v>30</v>
      </c>
      <c r="AB663" s="1" t="n">
        <f aca="false">IF(AND($M663=1,LEFT(对接源_01水果!$D663,4)="原料出库"),1,0)</f>
        <v>0</v>
      </c>
      <c r="AC663" s="1" t="n">
        <f aca="false">N(AC662)+$AB663</f>
        <v>19</v>
      </c>
      <c r="AD663" s="1" t="n">
        <f aca="false">IF(AND($M663=1,LEFT(对接源_01水果!$D663,4)="成品出库"),1,0)</f>
        <v>0</v>
      </c>
      <c r="AE663" s="1" t="n">
        <f aca="false">N(AE662)+$AD663</f>
        <v>38</v>
      </c>
      <c r="AF663" s="1" t="n">
        <f aca="false">IF(AND($N663=1,AND(LEFT(对接源_01水果!$D663,4)="包装物料",N(对接源_01水果!$K663)&lt;&gt;0)),1,0)</f>
        <v>0</v>
      </c>
      <c r="AG663" s="90" t="str">
        <f aca="false">IF(对接源_01水果!$AC663="","",对接源_01水果!$AC663)</f>
        <v/>
      </c>
      <c r="AH663" s="1" t="n">
        <f aca="false">IF(AND($N663=1,AND(LEFT(对接源_01水果!$D663,3)="周转筐",N(对接源_01水果!$K663)&lt;&gt;0)),1,0)</f>
        <v>0</v>
      </c>
      <c r="AI663" s="90" t="n">
        <f aca="false">IF(AG663="",0,IF(MATCH(AG663,$AG$4:$AG$1203,0)=ROW()-3,1,0))</f>
        <v>0</v>
      </c>
      <c r="AJ663" s="90" t="n">
        <f aca="false">N(AJ662)+AI663</f>
        <v>4</v>
      </c>
      <c r="AK663" s="1" t="n">
        <f aca="false">N(AK662)+$AJ663</f>
        <v>1512</v>
      </c>
    </row>
    <row r="664" customFormat="false" ht="13.5" hidden="false" customHeight="false" outlineLevel="0" collapsed="false">
      <c r="A664" s="1" t="str">
        <f aca="false">IF(对接源_01水果!$C664="","",对接源_01水果!$C664)</f>
        <v/>
      </c>
      <c r="B664" s="1" t="n">
        <f aca="false">IF(A664="",0,IF(MATCH(A664,$A$4:$A$2403,0)=ROW()-3,1,0))</f>
        <v>0</v>
      </c>
      <c r="C664" s="1" t="n">
        <f aca="false">N(C663)+B664</f>
        <v>13</v>
      </c>
      <c r="K664" s="1" t="n">
        <f aca="false">IF(OR($K$1="",对接源_01水果!$C664="",对接源_01水果!$C664&lt;&gt;$K$1,对接源_01水果!$B664=""),0,IF(OR(N(对接源_01水果!$B664)&lt;$K$2,N(对接源_01水果!$B664)&gt;$K$3),0,1))</f>
        <v>0</v>
      </c>
      <c r="L664" s="1" t="n">
        <f aca="false">IF(OR($L$1="",对接源_01水果!$C664="",对接源_01水果!$C664&lt;&gt;$L$1,对接源_01水果!$B664=""),0,IF(OR(N(对接源_01水果!$B664)&lt;$L$2,N(对接源_01水果!$B664)&gt;$L$3),0,1))</f>
        <v>0</v>
      </c>
      <c r="M664" s="1" t="n">
        <f aca="false">IF(OR($M$1="",对接源_01水果!$C664="",对接源_01水果!$C664&lt;&gt;$M$1,对接源_01水果!$B664=""),0,IF(OR(N(对接源_01水果!$B664)&lt;$M$2,N(对接源_01水果!$B664)&gt;$M$3),0,1))</f>
        <v>0</v>
      </c>
      <c r="N664" s="1" t="n">
        <f aca="false">IF(OR($N$1="",对接源_01水果!$C664="",对接源_01水果!$C664&lt;&gt;$N$1,对接源_01水果!$B664=""),0,IF(OR(N(对接源_01水果!$B664)&lt;$N$2,N(对接源_01水果!$B664)&gt;$N$3),0,1))</f>
        <v>0</v>
      </c>
      <c r="P664" s="1" t="n">
        <f aca="false">IF(AND($K664=1,AND(对接源_01水果!$X664="公司筐",N(对接源_01水果!$T664)&lt;&gt;0)),1,0)</f>
        <v>0</v>
      </c>
      <c r="Q664" s="1" t="n">
        <f aca="false">N(Q663)+$P664</f>
        <v>3</v>
      </c>
      <c r="R664" s="1" t="n">
        <f aca="false">IF(AND($K664=1,AND(对接源_01水果!$X664="公司筐",N(对接源_01水果!$U664)&lt;&gt;0)),1,0)</f>
        <v>0</v>
      </c>
      <c r="S664" s="1" t="n">
        <f aca="false">N(S663)+$R664</f>
        <v>0</v>
      </c>
      <c r="T664" s="1" t="n">
        <f aca="false">IF(AND($K664=1,AND(对接源_01水果!$X664="公司筐",N(对接源_01水果!$V664)&lt;&gt;0)),1,0)</f>
        <v>0</v>
      </c>
      <c r="U664" s="1" t="n">
        <f aca="false">N(U663)+$T664</f>
        <v>28</v>
      </c>
      <c r="V664" s="1" t="n">
        <f aca="false">IF(AND($L664=1,AND(对接源_01水果!$X664="自备筐",N(对接源_01水果!$V664)&lt;&gt;0)),1,0)</f>
        <v>0</v>
      </c>
      <c r="W664" s="1" t="n">
        <f aca="false">N(W663)+$V664</f>
        <v>7</v>
      </c>
      <c r="X664" s="1" t="n">
        <f aca="false">IF(AND($L664=1,AND(对接源_01水果!$X664="自备筐",N(对接源_01水果!$T664)&lt;&gt;0)),1,0)</f>
        <v>0</v>
      </c>
      <c r="Y664" s="1" t="n">
        <f aca="false">N(Y663)+$X664</f>
        <v>0</v>
      </c>
      <c r="Z664" s="1" t="n">
        <f aca="false">IF(AND($M664=1,对接源_01水果!$D664="原料入库"),1,0)</f>
        <v>0</v>
      </c>
      <c r="AA664" s="1" t="n">
        <f aca="false">N(AA663)+$Z664</f>
        <v>30</v>
      </c>
      <c r="AB664" s="1" t="n">
        <f aca="false">IF(AND($M664=1,LEFT(对接源_01水果!$D664,4)="原料出库"),1,0)</f>
        <v>0</v>
      </c>
      <c r="AC664" s="1" t="n">
        <f aca="false">N(AC663)+$AB664</f>
        <v>19</v>
      </c>
      <c r="AD664" s="1" t="n">
        <f aca="false">IF(AND($M664=1,LEFT(对接源_01水果!$D664,4)="成品出库"),1,0)</f>
        <v>0</v>
      </c>
      <c r="AE664" s="1" t="n">
        <f aca="false">N(AE663)+$AD664</f>
        <v>38</v>
      </c>
      <c r="AF664" s="1" t="n">
        <f aca="false">IF(AND($N664=1,AND(LEFT(对接源_01水果!$D664,4)="包装物料",N(对接源_01水果!$K664)&lt;&gt;0)),1,0)</f>
        <v>0</v>
      </c>
      <c r="AG664" s="90" t="str">
        <f aca="false">IF(对接源_01水果!$AC664="","",对接源_01水果!$AC664)</f>
        <v/>
      </c>
      <c r="AH664" s="1" t="n">
        <f aca="false">IF(AND($N664=1,AND(LEFT(对接源_01水果!$D664,3)="周转筐",N(对接源_01水果!$K664)&lt;&gt;0)),1,0)</f>
        <v>0</v>
      </c>
      <c r="AI664" s="90" t="n">
        <f aca="false">IF(AG664="",0,IF(MATCH(AG664,$AG$4:$AG$1203,0)=ROW()-3,1,0))</f>
        <v>0</v>
      </c>
      <c r="AJ664" s="90" t="n">
        <f aca="false">N(AJ663)+AI664</f>
        <v>4</v>
      </c>
      <c r="AK664" s="1" t="n">
        <f aca="false">N(AK663)+$AJ664</f>
        <v>1516</v>
      </c>
    </row>
    <row r="665" customFormat="false" ht="13.5" hidden="false" customHeight="false" outlineLevel="0" collapsed="false">
      <c r="A665" s="1" t="str">
        <f aca="false">IF(对接源_01水果!$C665="","",对接源_01水果!$C665)</f>
        <v/>
      </c>
      <c r="B665" s="1" t="n">
        <f aca="false">IF(A665="",0,IF(MATCH(A665,$A$4:$A$2403,0)=ROW()-3,1,0))</f>
        <v>0</v>
      </c>
      <c r="C665" s="1" t="n">
        <f aca="false">N(C664)+B665</f>
        <v>13</v>
      </c>
      <c r="K665" s="1" t="n">
        <f aca="false">IF(OR($K$1="",对接源_01水果!$C665="",对接源_01水果!$C665&lt;&gt;$K$1,对接源_01水果!$B665=""),0,IF(OR(N(对接源_01水果!$B665)&lt;$K$2,N(对接源_01水果!$B665)&gt;$K$3),0,1))</f>
        <v>0</v>
      </c>
      <c r="L665" s="1" t="n">
        <f aca="false">IF(OR($L$1="",对接源_01水果!$C665="",对接源_01水果!$C665&lt;&gt;$L$1,对接源_01水果!$B665=""),0,IF(OR(N(对接源_01水果!$B665)&lt;$L$2,N(对接源_01水果!$B665)&gt;$L$3),0,1))</f>
        <v>0</v>
      </c>
      <c r="M665" s="1" t="n">
        <f aca="false">IF(OR($M$1="",对接源_01水果!$C665="",对接源_01水果!$C665&lt;&gt;$M$1,对接源_01水果!$B665=""),0,IF(OR(N(对接源_01水果!$B665)&lt;$M$2,N(对接源_01水果!$B665)&gt;$M$3),0,1))</f>
        <v>0</v>
      </c>
      <c r="N665" s="1" t="n">
        <f aca="false">IF(OR($N$1="",对接源_01水果!$C665="",对接源_01水果!$C665&lt;&gt;$N$1,对接源_01水果!$B665=""),0,IF(OR(N(对接源_01水果!$B665)&lt;$N$2,N(对接源_01水果!$B665)&gt;$N$3),0,1))</f>
        <v>0</v>
      </c>
      <c r="P665" s="1" t="n">
        <f aca="false">IF(AND($K665=1,AND(对接源_01水果!$X665="公司筐",N(对接源_01水果!$T665)&lt;&gt;0)),1,0)</f>
        <v>0</v>
      </c>
      <c r="Q665" s="1" t="n">
        <f aca="false">N(Q664)+$P665</f>
        <v>3</v>
      </c>
      <c r="R665" s="1" t="n">
        <f aca="false">IF(AND($K665=1,AND(对接源_01水果!$X665="公司筐",N(对接源_01水果!$U665)&lt;&gt;0)),1,0)</f>
        <v>0</v>
      </c>
      <c r="S665" s="1" t="n">
        <f aca="false">N(S664)+$R665</f>
        <v>0</v>
      </c>
      <c r="T665" s="1" t="n">
        <f aca="false">IF(AND($K665=1,AND(对接源_01水果!$X665="公司筐",N(对接源_01水果!$V665)&lt;&gt;0)),1,0)</f>
        <v>0</v>
      </c>
      <c r="U665" s="1" t="n">
        <f aca="false">N(U664)+$T665</f>
        <v>28</v>
      </c>
      <c r="V665" s="1" t="n">
        <f aca="false">IF(AND($L665=1,AND(对接源_01水果!$X665="自备筐",N(对接源_01水果!$V665)&lt;&gt;0)),1,0)</f>
        <v>0</v>
      </c>
      <c r="W665" s="1" t="n">
        <f aca="false">N(W664)+$V665</f>
        <v>7</v>
      </c>
      <c r="X665" s="1" t="n">
        <f aca="false">IF(AND($L665=1,AND(对接源_01水果!$X665="自备筐",N(对接源_01水果!$T665)&lt;&gt;0)),1,0)</f>
        <v>0</v>
      </c>
      <c r="Y665" s="1" t="n">
        <f aca="false">N(Y664)+$X665</f>
        <v>0</v>
      </c>
      <c r="Z665" s="1" t="n">
        <f aca="false">IF(AND($M665=1,对接源_01水果!$D665="原料入库"),1,0)</f>
        <v>0</v>
      </c>
      <c r="AA665" s="1" t="n">
        <f aca="false">N(AA664)+$Z665</f>
        <v>30</v>
      </c>
      <c r="AB665" s="1" t="n">
        <f aca="false">IF(AND($M665=1,LEFT(对接源_01水果!$D665,4)="原料出库"),1,0)</f>
        <v>0</v>
      </c>
      <c r="AC665" s="1" t="n">
        <f aca="false">N(AC664)+$AB665</f>
        <v>19</v>
      </c>
      <c r="AD665" s="1" t="n">
        <f aca="false">IF(AND($M665=1,LEFT(对接源_01水果!$D665,4)="成品出库"),1,0)</f>
        <v>0</v>
      </c>
      <c r="AE665" s="1" t="n">
        <f aca="false">N(AE664)+$AD665</f>
        <v>38</v>
      </c>
      <c r="AF665" s="1" t="n">
        <f aca="false">IF(AND($N665=1,AND(LEFT(对接源_01水果!$D665,4)="包装物料",N(对接源_01水果!$K665)&lt;&gt;0)),1,0)</f>
        <v>0</v>
      </c>
      <c r="AG665" s="90" t="str">
        <f aca="false">IF(对接源_01水果!$AC665="","",对接源_01水果!$AC665)</f>
        <v/>
      </c>
      <c r="AH665" s="1" t="n">
        <f aca="false">IF(AND($N665=1,AND(LEFT(对接源_01水果!$D665,3)="周转筐",N(对接源_01水果!$K665)&lt;&gt;0)),1,0)</f>
        <v>0</v>
      </c>
      <c r="AI665" s="90" t="n">
        <f aca="false">IF(AG665="",0,IF(MATCH(AG665,$AG$4:$AG$1203,0)=ROW()-3,1,0))</f>
        <v>0</v>
      </c>
      <c r="AJ665" s="90" t="n">
        <f aca="false">N(AJ664)+AI665</f>
        <v>4</v>
      </c>
      <c r="AK665" s="1" t="n">
        <f aca="false">N(AK664)+$AJ665</f>
        <v>1520</v>
      </c>
    </row>
    <row r="666" customFormat="false" ht="13.5" hidden="false" customHeight="false" outlineLevel="0" collapsed="false">
      <c r="A666" s="1" t="str">
        <f aca="false">IF(对接源_01水果!$C666="","",对接源_01水果!$C666)</f>
        <v/>
      </c>
      <c r="B666" s="1" t="n">
        <f aca="false">IF(A666="",0,IF(MATCH(A666,$A$4:$A$2403,0)=ROW()-3,1,0))</f>
        <v>0</v>
      </c>
      <c r="C666" s="1" t="n">
        <f aca="false">N(C665)+B666</f>
        <v>13</v>
      </c>
      <c r="K666" s="1" t="n">
        <f aca="false">IF(OR($K$1="",对接源_01水果!$C666="",对接源_01水果!$C666&lt;&gt;$K$1,对接源_01水果!$B666=""),0,IF(OR(N(对接源_01水果!$B666)&lt;$K$2,N(对接源_01水果!$B666)&gt;$K$3),0,1))</f>
        <v>0</v>
      </c>
      <c r="L666" s="1" t="n">
        <f aca="false">IF(OR($L$1="",对接源_01水果!$C666="",对接源_01水果!$C666&lt;&gt;$L$1,对接源_01水果!$B666=""),0,IF(OR(N(对接源_01水果!$B666)&lt;$L$2,N(对接源_01水果!$B666)&gt;$L$3),0,1))</f>
        <v>0</v>
      </c>
      <c r="M666" s="1" t="n">
        <f aca="false">IF(OR($M$1="",对接源_01水果!$C666="",对接源_01水果!$C666&lt;&gt;$M$1,对接源_01水果!$B666=""),0,IF(OR(N(对接源_01水果!$B666)&lt;$M$2,N(对接源_01水果!$B666)&gt;$M$3),0,1))</f>
        <v>0</v>
      </c>
      <c r="N666" s="1" t="n">
        <f aca="false">IF(OR($N$1="",对接源_01水果!$C666="",对接源_01水果!$C666&lt;&gt;$N$1,对接源_01水果!$B666=""),0,IF(OR(N(对接源_01水果!$B666)&lt;$N$2,N(对接源_01水果!$B666)&gt;$N$3),0,1))</f>
        <v>0</v>
      </c>
      <c r="P666" s="1" t="n">
        <f aca="false">IF(AND($K666=1,AND(对接源_01水果!$X666="公司筐",N(对接源_01水果!$T666)&lt;&gt;0)),1,0)</f>
        <v>0</v>
      </c>
      <c r="Q666" s="1" t="n">
        <f aca="false">N(Q665)+$P666</f>
        <v>3</v>
      </c>
      <c r="R666" s="1" t="n">
        <f aca="false">IF(AND($K666=1,AND(对接源_01水果!$X666="公司筐",N(对接源_01水果!$U666)&lt;&gt;0)),1,0)</f>
        <v>0</v>
      </c>
      <c r="S666" s="1" t="n">
        <f aca="false">N(S665)+$R666</f>
        <v>0</v>
      </c>
      <c r="T666" s="1" t="n">
        <f aca="false">IF(AND($K666=1,AND(对接源_01水果!$X666="公司筐",N(对接源_01水果!$V666)&lt;&gt;0)),1,0)</f>
        <v>0</v>
      </c>
      <c r="U666" s="1" t="n">
        <f aca="false">N(U665)+$T666</f>
        <v>28</v>
      </c>
      <c r="V666" s="1" t="n">
        <f aca="false">IF(AND($L666=1,AND(对接源_01水果!$X666="自备筐",N(对接源_01水果!$V666)&lt;&gt;0)),1,0)</f>
        <v>0</v>
      </c>
      <c r="W666" s="1" t="n">
        <f aca="false">N(W665)+$V666</f>
        <v>7</v>
      </c>
      <c r="X666" s="1" t="n">
        <f aca="false">IF(AND($L666=1,AND(对接源_01水果!$X666="自备筐",N(对接源_01水果!$T666)&lt;&gt;0)),1,0)</f>
        <v>0</v>
      </c>
      <c r="Y666" s="1" t="n">
        <f aca="false">N(Y665)+$X666</f>
        <v>0</v>
      </c>
      <c r="Z666" s="1" t="n">
        <f aca="false">IF(AND($M666=1,对接源_01水果!$D666="原料入库"),1,0)</f>
        <v>0</v>
      </c>
      <c r="AA666" s="1" t="n">
        <f aca="false">N(AA665)+$Z666</f>
        <v>30</v>
      </c>
      <c r="AB666" s="1" t="n">
        <f aca="false">IF(AND($M666=1,LEFT(对接源_01水果!$D666,4)="原料出库"),1,0)</f>
        <v>0</v>
      </c>
      <c r="AC666" s="1" t="n">
        <f aca="false">N(AC665)+$AB666</f>
        <v>19</v>
      </c>
      <c r="AD666" s="1" t="n">
        <f aca="false">IF(AND($M666=1,LEFT(对接源_01水果!$D666,4)="成品出库"),1,0)</f>
        <v>0</v>
      </c>
      <c r="AE666" s="1" t="n">
        <f aca="false">N(AE665)+$AD666</f>
        <v>38</v>
      </c>
      <c r="AF666" s="1" t="n">
        <f aca="false">IF(AND($N666=1,AND(LEFT(对接源_01水果!$D666,4)="包装物料",N(对接源_01水果!$K666)&lt;&gt;0)),1,0)</f>
        <v>0</v>
      </c>
      <c r="AG666" s="90" t="str">
        <f aca="false">IF(对接源_01水果!$AC666="","",对接源_01水果!$AC666)</f>
        <v/>
      </c>
      <c r="AH666" s="1" t="n">
        <f aca="false">IF(AND($N666=1,AND(LEFT(对接源_01水果!$D666,3)="周转筐",N(对接源_01水果!$K666)&lt;&gt;0)),1,0)</f>
        <v>0</v>
      </c>
      <c r="AI666" s="90" t="n">
        <f aca="false">IF(AG666="",0,IF(MATCH(AG666,$AG$4:$AG$1203,0)=ROW()-3,1,0))</f>
        <v>0</v>
      </c>
      <c r="AJ666" s="90" t="n">
        <f aca="false">N(AJ665)+AI666</f>
        <v>4</v>
      </c>
      <c r="AK666" s="1" t="n">
        <f aca="false">N(AK665)+$AJ666</f>
        <v>1524</v>
      </c>
    </row>
    <row r="667" customFormat="false" ht="13.5" hidden="false" customHeight="false" outlineLevel="0" collapsed="false">
      <c r="A667" s="1" t="str">
        <f aca="false">IF(对接源_01水果!$C667="","",对接源_01水果!$C667)</f>
        <v/>
      </c>
      <c r="B667" s="1" t="n">
        <f aca="false">IF(A667="",0,IF(MATCH(A667,$A$4:$A$2403,0)=ROW()-3,1,0))</f>
        <v>0</v>
      </c>
      <c r="C667" s="1" t="n">
        <f aca="false">N(C666)+B667</f>
        <v>13</v>
      </c>
      <c r="K667" s="1" t="n">
        <f aca="false">IF(OR($K$1="",对接源_01水果!$C667="",对接源_01水果!$C667&lt;&gt;$K$1,对接源_01水果!$B667=""),0,IF(OR(N(对接源_01水果!$B667)&lt;$K$2,N(对接源_01水果!$B667)&gt;$K$3),0,1))</f>
        <v>0</v>
      </c>
      <c r="L667" s="1" t="n">
        <f aca="false">IF(OR($L$1="",对接源_01水果!$C667="",对接源_01水果!$C667&lt;&gt;$L$1,对接源_01水果!$B667=""),0,IF(OR(N(对接源_01水果!$B667)&lt;$L$2,N(对接源_01水果!$B667)&gt;$L$3),0,1))</f>
        <v>0</v>
      </c>
      <c r="M667" s="1" t="n">
        <f aca="false">IF(OR($M$1="",对接源_01水果!$C667="",对接源_01水果!$C667&lt;&gt;$M$1,对接源_01水果!$B667=""),0,IF(OR(N(对接源_01水果!$B667)&lt;$M$2,N(对接源_01水果!$B667)&gt;$M$3),0,1))</f>
        <v>0</v>
      </c>
      <c r="N667" s="1" t="n">
        <f aca="false">IF(OR($N$1="",对接源_01水果!$C667="",对接源_01水果!$C667&lt;&gt;$N$1,对接源_01水果!$B667=""),0,IF(OR(N(对接源_01水果!$B667)&lt;$N$2,N(对接源_01水果!$B667)&gt;$N$3),0,1))</f>
        <v>0</v>
      </c>
      <c r="P667" s="1" t="n">
        <f aca="false">IF(AND($K667=1,AND(对接源_01水果!$X667="公司筐",N(对接源_01水果!$T667)&lt;&gt;0)),1,0)</f>
        <v>0</v>
      </c>
      <c r="Q667" s="1" t="n">
        <f aca="false">N(Q666)+$P667</f>
        <v>3</v>
      </c>
      <c r="R667" s="1" t="n">
        <f aca="false">IF(AND($K667=1,AND(对接源_01水果!$X667="公司筐",N(对接源_01水果!$U667)&lt;&gt;0)),1,0)</f>
        <v>0</v>
      </c>
      <c r="S667" s="1" t="n">
        <f aca="false">N(S666)+$R667</f>
        <v>0</v>
      </c>
      <c r="T667" s="1" t="n">
        <f aca="false">IF(AND($K667=1,AND(对接源_01水果!$X667="公司筐",N(对接源_01水果!$V667)&lt;&gt;0)),1,0)</f>
        <v>0</v>
      </c>
      <c r="U667" s="1" t="n">
        <f aca="false">N(U666)+$T667</f>
        <v>28</v>
      </c>
      <c r="V667" s="1" t="n">
        <f aca="false">IF(AND($L667=1,AND(对接源_01水果!$X667="自备筐",N(对接源_01水果!$V667)&lt;&gt;0)),1,0)</f>
        <v>0</v>
      </c>
      <c r="W667" s="1" t="n">
        <f aca="false">N(W666)+$V667</f>
        <v>7</v>
      </c>
      <c r="X667" s="1" t="n">
        <f aca="false">IF(AND($L667=1,AND(对接源_01水果!$X667="自备筐",N(对接源_01水果!$T667)&lt;&gt;0)),1,0)</f>
        <v>0</v>
      </c>
      <c r="Y667" s="1" t="n">
        <f aca="false">N(Y666)+$X667</f>
        <v>0</v>
      </c>
      <c r="Z667" s="1" t="n">
        <f aca="false">IF(AND($M667=1,对接源_01水果!$D667="原料入库"),1,0)</f>
        <v>0</v>
      </c>
      <c r="AA667" s="1" t="n">
        <f aca="false">N(AA666)+$Z667</f>
        <v>30</v>
      </c>
      <c r="AB667" s="1" t="n">
        <f aca="false">IF(AND($M667=1,LEFT(对接源_01水果!$D667,4)="原料出库"),1,0)</f>
        <v>0</v>
      </c>
      <c r="AC667" s="1" t="n">
        <f aca="false">N(AC666)+$AB667</f>
        <v>19</v>
      </c>
      <c r="AD667" s="1" t="n">
        <f aca="false">IF(AND($M667=1,LEFT(对接源_01水果!$D667,4)="成品出库"),1,0)</f>
        <v>0</v>
      </c>
      <c r="AE667" s="1" t="n">
        <f aca="false">N(AE666)+$AD667</f>
        <v>38</v>
      </c>
      <c r="AF667" s="1" t="n">
        <f aca="false">IF(AND($N667=1,AND(LEFT(对接源_01水果!$D667,4)="包装物料",N(对接源_01水果!$K667)&lt;&gt;0)),1,0)</f>
        <v>0</v>
      </c>
      <c r="AG667" s="90" t="str">
        <f aca="false">IF(对接源_01水果!$AC667="","",对接源_01水果!$AC667)</f>
        <v/>
      </c>
      <c r="AH667" s="1" t="n">
        <f aca="false">IF(AND($N667=1,AND(LEFT(对接源_01水果!$D667,3)="周转筐",N(对接源_01水果!$K667)&lt;&gt;0)),1,0)</f>
        <v>0</v>
      </c>
      <c r="AI667" s="90" t="n">
        <f aca="false">IF(AG667="",0,IF(MATCH(AG667,$AG$4:$AG$1203,0)=ROW()-3,1,0))</f>
        <v>0</v>
      </c>
      <c r="AJ667" s="90" t="n">
        <f aca="false">N(AJ666)+AI667</f>
        <v>4</v>
      </c>
      <c r="AK667" s="1" t="n">
        <f aca="false">N(AK666)+$AJ667</f>
        <v>1528</v>
      </c>
    </row>
    <row r="668" customFormat="false" ht="13.5" hidden="false" customHeight="false" outlineLevel="0" collapsed="false">
      <c r="A668" s="1" t="str">
        <f aca="false">IF(对接源_01水果!$C668="","",对接源_01水果!$C668)</f>
        <v/>
      </c>
      <c r="B668" s="1" t="n">
        <f aca="false">IF(A668="",0,IF(MATCH(A668,$A$4:$A$2403,0)=ROW()-3,1,0))</f>
        <v>0</v>
      </c>
      <c r="C668" s="1" t="n">
        <f aca="false">N(C667)+B668</f>
        <v>13</v>
      </c>
      <c r="K668" s="1" t="n">
        <f aca="false">IF(OR($K$1="",对接源_01水果!$C668="",对接源_01水果!$C668&lt;&gt;$K$1,对接源_01水果!$B668=""),0,IF(OR(N(对接源_01水果!$B668)&lt;$K$2,N(对接源_01水果!$B668)&gt;$K$3),0,1))</f>
        <v>0</v>
      </c>
      <c r="L668" s="1" t="n">
        <f aca="false">IF(OR($L$1="",对接源_01水果!$C668="",对接源_01水果!$C668&lt;&gt;$L$1,对接源_01水果!$B668=""),0,IF(OR(N(对接源_01水果!$B668)&lt;$L$2,N(对接源_01水果!$B668)&gt;$L$3),0,1))</f>
        <v>0</v>
      </c>
      <c r="M668" s="1" t="n">
        <f aca="false">IF(OR($M$1="",对接源_01水果!$C668="",对接源_01水果!$C668&lt;&gt;$M$1,对接源_01水果!$B668=""),0,IF(OR(N(对接源_01水果!$B668)&lt;$M$2,N(对接源_01水果!$B668)&gt;$M$3),0,1))</f>
        <v>0</v>
      </c>
      <c r="N668" s="1" t="n">
        <f aca="false">IF(OR($N$1="",对接源_01水果!$C668="",对接源_01水果!$C668&lt;&gt;$N$1,对接源_01水果!$B668=""),0,IF(OR(N(对接源_01水果!$B668)&lt;$N$2,N(对接源_01水果!$B668)&gt;$N$3),0,1))</f>
        <v>0</v>
      </c>
      <c r="P668" s="1" t="n">
        <f aca="false">IF(AND($K668=1,AND(对接源_01水果!$X668="公司筐",N(对接源_01水果!$T668)&lt;&gt;0)),1,0)</f>
        <v>0</v>
      </c>
      <c r="Q668" s="1" t="n">
        <f aca="false">N(Q667)+$P668</f>
        <v>3</v>
      </c>
      <c r="R668" s="1" t="n">
        <f aca="false">IF(AND($K668=1,AND(对接源_01水果!$X668="公司筐",N(对接源_01水果!$U668)&lt;&gt;0)),1,0)</f>
        <v>0</v>
      </c>
      <c r="S668" s="1" t="n">
        <f aca="false">N(S667)+$R668</f>
        <v>0</v>
      </c>
      <c r="T668" s="1" t="n">
        <f aca="false">IF(AND($K668=1,AND(对接源_01水果!$X668="公司筐",N(对接源_01水果!$V668)&lt;&gt;0)),1,0)</f>
        <v>0</v>
      </c>
      <c r="U668" s="1" t="n">
        <f aca="false">N(U667)+$T668</f>
        <v>28</v>
      </c>
      <c r="V668" s="1" t="n">
        <f aca="false">IF(AND($L668=1,AND(对接源_01水果!$X668="自备筐",N(对接源_01水果!$V668)&lt;&gt;0)),1,0)</f>
        <v>0</v>
      </c>
      <c r="W668" s="1" t="n">
        <f aca="false">N(W667)+$V668</f>
        <v>7</v>
      </c>
      <c r="X668" s="1" t="n">
        <f aca="false">IF(AND($L668=1,AND(对接源_01水果!$X668="自备筐",N(对接源_01水果!$T668)&lt;&gt;0)),1,0)</f>
        <v>0</v>
      </c>
      <c r="Y668" s="1" t="n">
        <f aca="false">N(Y667)+$X668</f>
        <v>0</v>
      </c>
      <c r="Z668" s="1" t="n">
        <f aca="false">IF(AND($M668=1,对接源_01水果!$D668="原料入库"),1,0)</f>
        <v>0</v>
      </c>
      <c r="AA668" s="1" t="n">
        <f aca="false">N(AA667)+$Z668</f>
        <v>30</v>
      </c>
      <c r="AB668" s="1" t="n">
        <f aca="false">IF(AND($M668=1,LEFT(对接源_01水果!$D668,4)="原料出库"),1,0)</f>
        <v>0</v>
      </c>
      <c r="AC668" s="1" t="n">
        <f aca="false">N(AC667)+$AB668</f>
        <v>19</v>
      </c>
      <c r="AD668" s="1" t="n">
        <f aca="false">IF(AND($M668=1,LEFT(对接源_01水果!$D668,4)="成品出库"),1,0)</f>
        <v>0</v>
      </c>
      <c r="AE668" s="1" t="n">
        <f aca="false">N(AE667)+$AD668</f>
        <v>38</v>
      </c>
      <c r="AF668" s="1" t="n">
        <f aca="false">IF(AND($N668=1,AND(LEFT(对接源_01水果!$D668,4)="包装物料",N(对接源_01水果!$K668)&lt;&gt;0)),1,0)</f>
        <v>0</v>
      </c>
      <c r="AG668" s="90" t="str">
        <f aca="false">IF(对接源_01水果!$AC668="","",对接源_01水果!$AC668)</f>
        <v/>
      </c>
      <c r="AH668" s="1" t="n">
        <f aca="false">IF(AND($N668=1,AND(LEFT(对接源_01水果!$D668,3)="周转筐",N(对接源_01水果!$K668)&lt;&gt;0)),1,0)</f>
        <v>0</v>
      </c>
      <c r="AI668" s="90" t="n">
        <f aca="false">IF(AG668="",0,IF(MATCH(AG668,$AG$4:$AG$1203,0)=ROW()-3,1,0))</f>
        <v>0</v>
      </c>
      <c r="AJ668" s="90" t="n">
        <f aca="false">N(AJ667)+AI668</f>
        <v>4</v>
      </c>
      <c r="AK668" s="1" t="n">
        <f aca="false">N(AK667)+$AJ668</f>
        <v>1532</v>
      </c>
    </row>
    <row r="669" customFormat="false" ht="13.5" hidden="false" customHeight="false" outlineLevel="0" collapsed="false">
      <c r="A669" s="1" t="str">
        <f aca="false">IF(对接源_01水果!$C669="","",对接源_01水果!$C669)</f>
        <v/>
      </c>
      <c r="B669" s="1" t="n">
        <f aca="false">IF(A669="",0,IF(MATCH(A669,$A$4:$A$2403,0)=ROW()-3,1,0))</f>
        <v>0</v>
      </c>
      <c r="C669" s="1" t="n">
        <f aca="false">N(C668)+B669</f>
        <v>13</v>
      </c>
      <c r="K669" s="1" t="n">
        <f aca="false">IF(OR($K$1="",对接源_01水果!$C669="",对接源_01水果!$C669&lt;&gt;$K$1,对接源_01水果!$B669=""),0,IF(OR(N(对接源_01水果!$B669)&lt;$K$2,N(对接源_01水果!$B669)&gt;$K$3),0,1))</f>
        <v>0</v>
      </c>
      <c r="L669" s="1" t="n">
        <f aca="false">IF(OR($L$1="",对接源_01水果!$C669="",对接源_01水果!$C669&lt;&gt;$L$1,对接源_01水果!$B669=""),0,IF(OR(N(对接源_01水果!$B669)&lt;$L$2,N(对接源_01水果!$B669)&gt;$L$3),0,1))</f>
        <v>0</v>
      </c>
      <c r="M669" s="1" t="n">
        <f aca="false">IF(OR($M$1="",对接源_01水果!$C669="",对接源_01水果!$C669&lt;&gt;$M$1,对接源_01水果!$B669=""),0,IF(OR(N(对接源_01水果!$B669)&lt;$M$2,N(对接源_01水果!$B669)&gt;$M$3),0,1))</f>
        <v>0</v>
      </c>
      <c r="N669" s="1" t="n">
        <f aca="false">IF(OR($N$1="",对接源_01水果!$C669="",对接源_01水果!$C669&lt;&gt;$N$1,对接源_01水果!$B669=""),0,IF(OR(N(对接源_01水果!$B669)&lt;$N$2,N(对接源_01水果!$B669)&gt;$N$3),0,1))</f>
        <v>0</v>
      </c>
      <c r="P669" s="1" t="n">
        <f aca="false">IF(AND($K669=1,AND(对接源_01水果!$X669="公司筐",N(对接源_01水果!$T669)&lt;&gt;0)),1,0)</f>
        <v>0</v>
      </c>
      <c r="Q669" s="1" t="n">
        <f aca="false">N(Q668)+$P669</f>
        <v>3</v>
      </c>
      <c r="R669" s="1" t="n">
        <f aca="false">IF(AND($K669=1,AND(对接源_01水果!$X669="公司筐",N(对接源_01水果!$U669)&lt;&gt;0)),1,0)</f>
        <v>0</v>
      </c>
      <c r="S669" s="1" t="n">
        <f aca="false">N(S668)+$R669</f>
        <v>0</v>
      </c>
      <c r="T669" s="1" t="n">
        <f aca="false">IF(AND($K669=1,AND(对接源_01水果!$X669="公司筐",N(对接源_01水果!$V669)&lt;&gt;0)),1,0)</f>
        <v>0</v>
      </c>
      <c r="U669" s="1" t="n">
        <f aca="false">N(U668)+$T669</f>
        <v>28</v>
      </c>
      <c r="V669" s="1" t="n">
        <f aca="false">IF(AND($L669=1,AND(对接源_01水果!$X669="自备筐",N(对接源_01水果!$V669)&lt;&gt;0)),1,0)</f>
        <v>0</v>
      </c>
      <c r="W669" s="1" t="n">
        <f aca="false">N(W668)+$V669</f>
        <v>7</v>
      </c>
      <c r="X669" s="1" t="n">
        <f aca="false">IF(AND($L669=1,AND(对接源_01水果!$X669="自备筐",N(对接源_01水果!$T669)&lt;&gt;0)),1,0)</f>
        <v>0</v>
      </c>
      <c r="Y669" s="1" t="n">
        <f aca="false">N(Y668)+$X669</f>
        <v>0</v>
      </c>
      <c r="Z669" s="1" t="n">
        <f aca="false">IF(AND($M669=1,对接源_01水果!$D669="原料入库"),1,0)</f>
        <v>0</v>
      </c>
      <c r="AA669" s="1" t="n">
        <f aca="false">N(AA668)+$Z669</f>
        <v>30</v>
      </c>
      <c r="AB669" s="1" t="n">
        <f aca="false">IF(AND($M669=1,LEFT(对接源_01水果!$D669,4)="原料出库"),1,0)</f>
        <v>0</v>
      </c>
      <c r="AC669" s="1" t="n">
        <f aca="false">N(AC668)+$AB669</f>
        <v>19</v>
      </c>
      <c r="AD669" s="1" t="n">
        <f aca="false">IF(AND($M669=1,LEFT(对接源_01水果!$D669,4)="成品出库"),1,0)</f>
        <v>0</v>
      </c>
      <c r="AE669" s="1" t="n">
        <f aca="false">N(AE668)+$AD669</f>
        <v>38</v>
      </c>
      <c r="AF669" s="1" t="n">
        <f aca="false">IF(AND($N669=1,AND(LEFT(对接源_01水果!$D669,4)="包装物料",N(对接源_01水果!$K669)&lt;&gt;0)),1,0)</f>
        <v>0</v>
      </c>
      <c r="AG669" s="90" t="str">
        <f aca="false">IF(对接源_01水果!$AC669="","",对接源_01水果!$AC669)</f>
        <v/>
      </c>
      <c r="AH669" s="1" t="n">
        <f aca="false">IF(AND($N669=1,AND(LEFT(对接源_01水果!$D669,3)="周转筐",N(对接源_01水果!$K669)&lt;&gt;0)),1,0)</f>
        <v>0</v>
      </c>
      <c r="AI669" s="90" t="n">
        <f aca="false">IF(AG669="",0,IF(MATCH(AG669,$AG$4:$AG$1203,0)=ROW()-3,1,0))</f>
        <v>0</v>
      </c>
      <c r="AJ669" s="90" t="n">
        <f aca="false">N(AJ668)+AI669</f>
        <v>4</v>
      </c>
      <c r="AK669" s="1" t="n">
        <f aca="false">N(AK668)+$AJ669</f>
        <v>1536</v>
      </c>
    </row>
    <row r="670" customFormat="false" ht="13.5" hidden="false" customHeight="false" outlineLevel="0" collapsed="false">
      <c r="A670" s="1" t="str">
        <f aca="false">IF(对接源_01水果!$C670="","",对接源_01水果!$C670)</f>
        <v/>
      </c>
      <c r="B670" s="1" t="n">
        <f aca="false">IF(A670="",0,IF(MATCH(A670,$A$4:$A$2403,0)=ROW()-3,1,0))</f>
        <v>0</v>
      </c>
      <c r="C670" s="1" t="n">
        <f aca="false">N(C669)+B670</f>
        <v>13</v>
      </c>
      <c r="K670" s="1" t="n">
        <f aca="false">IF(OR($K$1="",对接源_01水果!$C670="",对接源_01水果!$C670&lt;&gt;$K$1,对接源_01水果!$B670=""),0,IF(OR(N(对接源_01水果!$B670)&lt;$K$2,N(对接源_01水果!$B670)&gt;$K$3),0,1))</f>
        <v>0</v>
      </c>
      <c r="L670" s="1" t="n">
        <f aca="false">IF(OR($L$1="",对接源_01水果!$C670="",对接源_01水果!$C670&lt;&gt;$L$1,对接源_01水果!$B670=""),0,IF(OR(N(对接源_01水果!$B670)&lt;$L$2,N(对接源_01水果!$B670)&gt;$L$3),0,1))</f>
        <v>0</v>
      </c>
      <c r="M670" s="1" t="n">
        <f aca="false">IF(OR($M$1="",对接源_01水果!$C670="",对接源_01水果!$C670&lt;&gt;$M$1,对接源_01水果!$B670=""),0,IF(OR(N(对接源_01水果!$B670)&lt;$M$2,N(对接源_01水果!$B670)&gt;$M$3),0,1))</f>
        <v>0</v>
      </c>
      <c r="N670" s="1" t="n">
        <f aca="false">IF(OR($N$1="",对接源_01水果!$C670="",对接源_01水果!$C670&lt;&gt;$N$1,对接源_01水果!$B670=""),0,IF(OR(N(对接源_01水果!$B670)&lt;$N$2,N(对接源_01水果!$B670)&gt;$N$3),0,1))</f>
        <v>0</v>
      </c>
      <c r="P670" s="1" t="n">
        <f aca="false">IF(AND($K670=1,AND(对接源_01水果!$X670="公司筐",N(对接源_01水果!$T670)&lt;&gt;0)),1,0)</f>
        <v>0</v>
      </c>
      <c r="Q670" s="1" t="n">
        <f aca="false">N(Q669)+$P670</f>
        <v>3</v>
      </c>
      <c r="R670" s="1" t="n">
        <f aca="false">IF(AND($K670=1,AND(对接源_01水果!$X670="公司筐",N(对接源_01水果!$U670)&lt;&gt;0)),1,0)</f>
        <v>0</v>
      </c>
      <c r="S670" s="1" t="n">
        <f aca="false">N(S669)+$R670</f>
        <v>0</v>
      </c>
      <c r="T670" s="1" t="n">
        <f aca="false">IF(AND($K670=1,AND(对接源_01水果!$X670="公司筐",N(对接源_01水果!$V670)&lt;&gt;0)),1,0)</f>
        <v>0</v>
      </c>
      <c r="U670" s="1" t="n">
        <f aca="false">N(U669)+$T670</f>
        <v>28</v>
      </c>
      <c r="V670" s="1" t="n">
        <f aca="false">IF(AND($L670=1,AND(对接源_01水果!$X670="自备筐",N(对接源_01水果!$V670)&lt;&gt;0)),1,0)</f>
        <v>0</v>
      </c>
      <c r="W670" s="1" t="n">
        <f aca="false">N(W669)+$V670</f>
        <v>7</v>
      </c>
      <c r="X670" s="1" t="n">
        <f aca="false">IF(AND($L670=1,AND(对接源_01水果!$X670="自备筐",N(对接源_01水果!$T670)&lt;&gt;0)),1,0)</f>
        <v>0</v>
      </c>
      <c r="Y670" s="1" t="n">
        <f aca="false">N(Y669)+$X670</f>
        <v>0</v>
      </c>
      <c r="Z670" s="1" t="n">
        <f aca="false">IF(AND($M670=1,对接源_01水果!$D670="原料入库"),1,0)</f>
        <v>0</v>
      </c>
      <c r="AA670" s="1" t="n">
        <f aca="false">N(AA669)+$Z670</f>
        <v>30</v>
      </c>
      <c r="AB670" s="1" t="n">
        <f aca="false">IF(AND($M670=1,LEFT(对接源_01水果!$D670,4)="原料出库"),1,0)</f>
        <v>0</v>
      </c>
      <c r="AC670" s="1" t="n">
        <f aca="false">N(AC669)+$AB670</f>
        <v>19</v>
      </c>
      <c r="AD670" s="1" t="n">
        <f aca="false">IF(AND($M670=1,LEFT(对接源_01水果!$D670,4)="成品出库"),1,0)</f>
        <v>0</v>
      </c>
      <c r="AE670" s="1" t="n">
        <f aca="false">N(AE669)+$AD670</f>
        <v>38</v>
      </c>
      <c r="AF670" s="1" t="n">
        <f aca="false">IF(AND($N670=1,AND(LEFT(对接源_01水果!$D670,4)="包装物料",N(对接源_01水果!$K670)&lt;&gt;0)),1,0)</f>
        <v>0</v>
      </c>
      <c r="AG670" s="90" t="str">
        <f aca="false">IF(对接源_01水果!$AC670="","",对接源_01水果!$AC670)</f>
        <v/>
      </c>
      <c r="AH670" s="1" t="n">
        <f aca="false">IF(AND($N670=1,AND(LEFT(对接源_01水果!$D670,3)="周转筐",N(对接源_01水果!$K670)&lt;&gt;0)),1,0)</f>
        <v>0</v>
      </c>
      <c r="AI670" s="90" t="n">
        <f aca="false">IF(AG670="",0,IF(MATCH(AG670,$AG$4:$AG$1203,0)=ROW()-3,1,0))</f>
        <v>0</v>
      </c>
      <c r="AJ670" s="90" t="n">
        <f aca="false">N(AJ669)+AI670</f>
        <v>4</v>
      </c>
      <c r="AK670" s="1" t="n">
        <f aca="false">N(AK669)+$AJ670</f>
        <v>1540</v>
      </c>
    </row>
    <row r="671" customFormat="false" ht="13.5" hidden="false" customHeight="false" outlineLevel="0" collapsed="false">
      <c r="A671" s="1" t="str">
        <f aca="false">IF(对接源_01水果!$C671="","",对接源_01水果!$C671)</f>
        <v/>
      </c>
      <c r="B671" s="1" t="n">
        <f aca="false">IF(A671="",0,IF(MATCH(A671,$A$4:$A$2403,0)=ROW()-3,1,0))</f>
        <v>0</v>
      </c>
      <c r="C671" s="1" t="n">
        <f aca="false">N(C670)+B671</f>
        <v>13</v>
      </c>
      <c r="K671" s="1" t="n">
        <f aca="false">IF(OR($K$1="",对接源_01水果!$C671="",对接源_01水果!$C671&lt;&gt;$K$1,对接源_01水果!$B671=""),0,IF(OR(N(对接源_01水果!$B671)&lt;$K$2,N(对接源_01水果!$B671)&gt;$K$3),0,1))</f>
        <v>0</v>
      </c>
      <c r="L671" s="1" t="n">
        <f aca="false">IF(OR($L$1="",对接源_01水果!$C671="",对接源_01水果!$C671&lt;&gt;$L$1,对接源_01水果!$B671=""),0,IF(OR(N(对接源_01水果!$B671)&lt;$L$2,N(对接源_01水果!$B671)&gt;$L$3),0,1))</f>
        <v>0</v>
      </c>
      <c r="M671" s="1" t="n">
        <f aca="false">IF(OR($M$1="",对接源_01水果!$C671="",对接源_01水果!$C671&lt;&gt;$M$1,对接源_01水果!$B671=""),0,IF(OR(N(对接源_01水果!$B671)&lt;$M$2,N(对接源_01水果!$B671)&gt;$M$3),0,1))</f>
        <v>0</v>
      </c>
      <c r="N671" s="1" t="n">
        <f aca="false">IF(OR($N$1="",对接源_01水果!$C671="",对接源_01水果!$C671&lt;&gt;$N$1,对接源_01水果!$B671=""),0,IF(OR(N(对接源_01水果!$B671)&lt;$N$2,N(对接源_01水果!$B671)&gt;$N$3),0,1))</f>
        <v>0</v>
      </c>
      <c r="P671" s="1" t="n">
        <f aca="false">IF(AND($K671=1,AND(对接源_01水果!$X671="公司筐",N(对接源_01水果!$T671)&lt;&gt;0)),1,0)</f>
        <v>0</v>
      </c>
      <c r="Q671" s="1" t="n">
        <f aca="false">N(Q670)+$P671</f>
        <v>3</v>
      </c>
      <c r="R671" s="1" t="n">
        <f aca="false">IF(AND($K671=1,AND(对接源_01水果!$X671="公司筐",N(对接源_01水果!$U671)&lt;&gt;0)),1,0)</f>
        <v>0</v>
      </c>
      <c r="S671" s="1" t="n">
        <f aca="false">N(S670)+$R671</f>
        <v>0</v>
      </c>
      <c r="T671" s="1" t="n">
        <f aca="false">IF(AND($K671=1,AND(对接源_01水果!$X671="公司筐",N(对接源_01水果!$V671)&lt;&gt;0)),1,0)</f>
        <v>0</v>
      </c>
      <c r="U671" s="1" t="n">
        <f aca="false">N(U670)+$T671</f>
        <v>28</v>
      </c>
      <c r="V671" s="1" t="n">
        <f aca="false">IF(AND($L671=1,AND(对接源_01水果!$X671="自备筐",N(对接源_01水果!$V671)&lt;&gt;0)),1,0)</f>
        <v>0</v>
      </c>
      <c r="W671" s="1" t="n">
        <f aca="false">N(W670)+$V671</f>
        <v>7</v>
      </c>
      <c r="X671" s="1" t="n">
        <f aca="false">IF(AND($L671=1,AND(对接源_01水果!$X671="自备筐",N(对接源_01水果!$T671)&lt;&gt;0)),1,0)</f>
        <v>0</v>
      </c>
      <c r="Y671" s="1" t="n">
        <f aca="false">N(Y670)+$X671</f>
        <v>0</v>
      </c>
      <c r="Z671" s="1" t="n">
        <f aca="false">IF(AND($M671=1,对接源_01水果!$D671="原料入库"),1,0)</f>
        <v>0</v>
      </c>
      <c r="AA671" s="1" t="n">
        <f aca="false">N(AA670)+$Z671</f>
        <v>30</v>
      </c>
      <c r="AB671" s="1" t="n">
        <f aca="false">IF(AND($M671=1,LEFT(对接源_01水果!$D671,4)="原料出库"),1,0)</f>
        <v>0</v>
      </c>
      <c r="AC671" s="1" t="n">
        <f aca="false">N(AC670)+$AB671</f>
        <v>19</v>
      </c>
      <c r="AD671" s="1" t="n">
        <f aca="false">IF(AND($M671=1,LEFT(对接源_01水果!$D671,4)="成品出库"),1,0)</f>
        <v>0</v>
      </c>
      <c r="AE671" s="1" t="n">
        <f aca="false">N(AE670)+$AD671</f>
        <v>38</v>
      </c>
      <c r="AF671" s="1" t="n">
        <f aca="false">IF(AND($N671=1,AND(LEFT(对接源_01水果!$D671,4)="包装物料",N(对接源_01水果!$K671)&lt;&gt;0)),1,0)</f>
        <v>0</v>
      </c>
      <c r="AG671" s="90" t="str">
        <f aca="false">IF(对接源_01水果!$AC671="","",对接源_01水果!$AC671)</f>
        <v/>
      </c>
      <c r="AH671" s="1" t="n">
        <f aca="false">IF(AND($N671=1,AND(LEFT(对接源_01水果!$D671,3)="周转筐",N(对接源_01水果!$K671)&lt;&gt;0)),1,0)</f>
        <v>0</v>
      </c>
      <c r="AI671" s="90" t="n">
        <f aca="false">IF(AG671="",0,IF(MATCH(AG671,$AG$4:$AG$1203,0)=ROW()-3,1,0))</f>
        <v>0</v>
      </c>
      <c r="AJ671" s="90" t="n">
        <f aca="false">N(AJ670)+AI671</f>
        <v>4</v>
      </c>
      <c r="AK671" s="1" t="n">
        <f aca="false">N(AK670)+$AJ671</f>
        <v>1544</v>
      </c>
    </row>
    <row r="672" customFormat="false" ht="13.5" hidden="false" customHeight="false" outlineLevel="0" collapsed="false">
      <c r="A672" s="1" t="str">
        <f aca="false">IF(对接源_01水果!$C672="","",对接源_01水果!$C672)</f>
        <v/>
      </c>
      <c r="B672" s="1" t="n">
        <f aca="false">IF(A672="",0,IF(MATCH(A672,$A$4:$A$2403,0)=ROW()-3,1,0))</f>
        <v>0</v>
      </c>
      <c r="C672" s="1" t="n">
        <f aca="false">N(C671)+B672</f>
        <v>13</v>
      </c>
      <c r="K672" s="1" t="n">
        <f aca="false">IF(OR($K$1="",对接源_01水果!$C672="",对接源_01水果!$C672&lt;&gt;$K$1,对接源_01水果!$B672=""),0,IF(OR(N(对接源_01水果!$B672)&lt;$K$2,N(对接源_01水果!$B672)&gt;$K$3),0,1))</f>
        <v>0</v>
      </c>
      <c r="L672" s="1" t="n">
        <f aca="false">IF(OR($L$1="",对接源_01水果!$C672="",对接源_01水果!$C672&lt;&gt;$L$1,对接源_01水果!$B672=""),0,IF(OR(N(对接源_01水果!$B672)&lt;$L$2,N(对接源_01水果!$B672)&gt;$L$3),0,1))</f>
        <v>0</v>
      </c>
      <c r="M672" s="1" t="n">
        <f aca="false">IF(OR($M$1="",对接源_01水果!$C672="",对接源_01水果!$C672&lt;&gt;$M$1,对接源_01水果!$B672=""),0,IF(OR(N(对接源_01水果!$B672)&lt;$M$2,N(对接源_01水果!$B672)&gt;$M$3),0,1))</f>
        <v>0</v>
      </c>
      <c r="N672" s="1" t="n">
        <f aca="false">IF(OR($N$1="",对接源_01水果!$C672="",对接源_01水果!$C672&lt;&gt;$N$1,对接源_01水果!$B672=""),0,IF(OR(N(对接源_01水果!$B672)&lt;$N$2,N(对接源_01水果!$B672)&gt;$N$3),0,1))</f>
        <v>0</v>
      </c>
      <c r="P672" s="1" t="n">
        <f aca="false">IF(AND($K672=1,AND(对接源_01水果!$X672="公司筐",N(对接源_01水果!$T672)&lt;&gt;0)),1,0)</f>
        <v>0</v>
      </c>
      <c r="Q672" s="1" t="n">
        <f aca="false">N(Q671)+$P672</f>
        <v>3</v>
      </c>
      <c r="R672" s="1" t="n">
        <f aca="false">IF(AND($K672=1,AND(对接源_01水果!$X672="公司筐",N(对接源_01水果!$U672)&lt;&gt;0)),1,0)</f>
        <v>0</v>
      </c>
      <c r="S672" s="1" t="n">
        <f aca="false">N(S671)+$R672</f>
        <v>0</v>
      </c>
      <c r="T672" s="1" t="n">
        <f aca="false">IF(AND($K672=1,AND(对接源_01水果!$X672="公司筐",N(对接源_01水果!$V672)&lt;&gt;0)),1,0)</f>
        <v>0</v>
      </c>
      <c r="U672" s="1" t="n">
        <f aca="false">N(U671)+$T672</f>
        <v>28</v>
      </c>
      <c r="V672" s="1" t="n">
        <f aca="false">IF(AND($L672=1,AND(对接源_01水果!$X672="自备筐",N(对接源_01水果!$V672)&lt;&gt;0)),1,0)</f>
        <v>0</v>
      </c>
      <c r="W672" s="1" t="n">
        <f aca="false">N(W671)+$V672</f>
        <v>7</v>
      </c>
      <c r="X672" s="1" t="n">
        <f aca="false">IF(AND($L672=1,AND(对接源_01水果!$X672="自备筐",N(对接源_01水果!$T672)&lt;&gt;0)),1,0)</f>
        <v>0</v>
      </c>
      <c r="Y672" s="1" t="n">
        <f aca="false">N(Y671)+$X672</f>
        <v>0</v>
      </c>
      <c r="Z672" s="1" t="n">
        <f aca="false">IF(AND($M672=1,对接源_01水果!$D672="原料入库"),1,0)</f>
        <v>0</v>
      </c>
      <c r="AA672" s="1" t="n">
        <f aca="false">N(AA671)+$Z672</f>
        <v>30</v>
      </c>
      <c r="AB672" s="1" t="n">
        <f aca="false">IF(AND($M672=1,LEFT(对接源_01水果!$D672,4)="原料出库"),1,0)</f>
        <v>0</v>
      </c>
      <c r="AC672" s="1" t="n">
        <f aca="false">N(AC671)+$AB672</f>
        <v>19</v>
      </c>
      <c r="AD672" s="1" t="n">
        <f aca="false">IF(AND($M672=1,LEFT(对接源_01水果!$D672,4)="成品出库"),1,0)</f>
        <v>0</v>
      </c>
      <c r="AE672" s="1" t="n">
        <f aca="false">N(AE671)+$AD672</f>
        <v>38</v>
      </c>
      <c r="AF672" s="1" t="n">
        <f aca="false">IF(AND($N672=1,AND(LEFT(对接源_01水果!$D672,4)="包装物料",N(对接源_01水果!$K672)&lt;&gt;0)),1,0)</f>
        <v>0</v>
      </c>
      <c r="AG672" s="90" t="str">
        <f aca="false">IF(对接源_01水果!$AC672="","",对接源_01水果!$AC672)</f>
        <v/>
      </c>
      <c r="AH672" s="1" t="n">
        <f aca="false">IF(AND($N672=1,AND(LEFT(对接源_01水果!$D672,3)="周转筐",N(对接源_01水果!$K672)&lt;&gt;0)),1,0)</f>
        <v>0</v>
      </c>
      <c r="AI672" s="90" t="n">
        <f aca="false">IF(AG672="",0,IF(MATCH(AG672,$AG$4:$AG$1203,0)=ROW()-3,1,0))</f>
        <v>0</v>
      </c>
      <c r="AJ672" s="90" t="n">
        <f aca="false">N(AJ671)+AI672</f>
        <v>4</v>
      </c>
      <c r="AK672" s="1" t="n">
        <f aca="false">N(AK671)+$AJ672</f>
        <v>1548</v>
      </c>
    </row>
    <row r="673" customFormat="false" ht="13.5" hidden="false" customHeight="false" outlineLevel="0" collapsed="false">
      <c r="A673" s="1" t="str">
        <f aca="false">IF(对接源_01水果!$C673="","",对接源_01水果!$C673)</f>
        <v/>
      </c>
      <c r="B673" s="1" t="n">
        <f aca="false">IF(A673="",0,IF(MATCH(A673,$A$4:$A$2403,0)=ROW()-3,1,0))</f>
        <v>0</v>
      </c>
      <c r="C673" s="1" t="n">
        <f aca="false">N(C672)+B673</f>
        <v>13</v>
      </c>
      <c r="K673" s="1" t="n">
        <f aca="false">IF(OR($K$1="",对接源_01水果!$C673="",对接源_01水果!$C673&lt;&gt;$K$1,对接源_01水果!$B673=""),0,IF(OR(N(对接源_01水果!$B673)&lt;$K$2,N(对接源_01水果!$B673)&gt;$K$3),0,1))</f>
        <v>0</v>
      </c>
      <c r="L673" s="1" t="n">
        <f aca="false">IF(OR($L$1="",对接源_01水果!$C673="",对接源_01水果!$C673&lt;&gt;$L$1,对接源_01水果!$B673=""),0,IF(OR(N(对接源_01水果!$B673)&lt;$L$2,N(对接源_01水果!$B673)&gt;$L$3),0,1))</f>
        <v>0</v>
      </c>
      <c r="M673" s="1" t="n">
        <f aca="false">IF(OR($M$1="",对接源_01水果!$C673="",对接源_01水果!$C673&lt;&gt;$M$1,对接源_01水果!$B673=""),0,IF(OR(N(对接源_01水果!$B673)&lt;$M$2,N(对接源_01水果!$B673)&gt;$M$3),0,1))</f>
        <v>0</v>
      </c>
      <c r="N673" s="1" t="n">
        <f aca="false">IF(OR($N$1="",对接源_01水果!$C673="",对接源_01水果!$C673&lt;&gt;$N$1,对接源_01水果!$B673=""),0,IF(OR(N(对接源_01水果!$B673)&lt;$N$2,N(对接源_01水果!$B673)&gt;$N$3),0,1))</f>
        <v>0</v>
      </c>
      <c r="P673" s="1" t="n">
        <f aca="false">IF(AND($K673=1,AND(对接源_01水果!$X673="公司筐",N(对接源_01水果!$T673)&lt;&gt;0)),1,0)</f>
        <v>0</v>
      </c>
      <c r="Q673" s="1" t="n">
        <f aca="false">N(Q672)+$P673</f>
        <v>3</v>
      </c>
      <c r="R673" s="1" t="n">
        <f aca="false">IF(AND($K673=1,AND(对接源_01水果!$X673="公司筐",N(对接源_01水果!$U673)&lt;&gt;0)),1,0)</f>
        <v>0</v>
      </c>
      <c r="S673" s="1" t="n">
        <f aca="false">N(S672)+$R673</f>
        <v>0</v>
      </c>
      <c r="T673" s="1" t="n">
        <f aca="false">IF(AND($K673=1,AND(对接源_01水果!$X673="公司筐",N(对接源_01水果!$V673)&lt;&gt;0)),1,0)</f>
        <v>0</v>
      </c>
      <c r="U673" s="1" t="n">
        <f aca="false">N(U672)+$T673</f>
        <v>28</v>
      </c>
      <c r="V673" s="1" t="n">
        <f aca="false">IF(AND($L673=1,AND(对接源_01水果!$X673="自备筐",N(对接源_01水果!$V673)&lt;&gt;0)),1,0)</f>
        <v>0</v>
      </c>
      <c r="W673" s="1" t="n">
        <f aca="false">N(W672)+$V673</f>
        <v>7</v>
      </c>
      <c r="X673" s="1" t="n">
        <f aca="false">IF(AND($L673=1,AND(对接源_01水果!$X673="自备筐",N(对接源_01水果!$T673)&lt;&gt;0)),1,0)</f>
        <v>0</v>
      </c>
      <c r="Y673" s="1" t="n">
        <f aca="false">N(Y672)+$X673</f>
        <v>0</v>
      </c>
      <c r="Z673" s="1" t="n">
        <f aca="false">IF(AND($M673=1,对接源_01水果!$D673="原料入库"),1,0)</f>
        <v>0</v>
      </c>
      <c r="AA673" s="1" t="n">
        <f aca="false">N(AA672)+$Z673</f>
        <v>30</v>
      </c>
      <c r="AB673" s="1" t="n">
        <f aca="false">IF(AND($M673=1,LEFT(对接源_01水果!$D673,4)="原料出库"),1,0)</f>
        <v>0</v>
      </c>
      <c r="AC673" s="1" t="n">
        <f aca="false">N(AC672)+$AB673</f>
        <v>19</v>
      </c>
      <c r="AD673" s="1" t="n">
        <f aca="false">IF(AND($M673=1,LEFT(对接源_01水果!$D673,4)="成品出库"),1,0)</f>
        <v>0</v>
      </c>
      <c r="AE673" s="1" t="n">
        <f aca="false">N(AE672)+$AD673</f>
        <v>38</v>
      </c>
      <c r="AF673" s="1" t="n">
        <f aca="false">IF(AND($N673=1,AND(LEFT(对接源_01水果!$D673,4)="包装物料",N(对接源_01水果!$K673)&lt;&gt;0)),1,0)</f>
        <v>0</v>
      </c>
      <c r="AG673" s="90" t="str">
        <f aca="false">IF(对接源_01水果!$AC673="","",对接源_01水果!$AC673)</f>
        <v/>
      </c>
      <c r="AH673" s="1" t="n">
        <f aca="false">IF(AND($N673=1,AND(LEFT(对接源_01水果!$D673,3)="周转筐",N(对接源_01水果!$K673)&lt;&gt;0)),1,0)</f>
        <v>0</v>
      </c>
      <c r="AI673" s="90" t="n">
        <f aca="false">IF(AG673="",0,IF(MATCH(AG673,$AG$4:$AG$1203,0)=ROW()-3,1,0))</f>
        <v>0</v>
      </c>
      <c r="AJ673" s="90" t="n">
        <f aca="false">N(AJ672)+AI673</f>
        <v>4</v>
      </c>
      <c r="AK673" s="1" t="n">
        <f aca="false">N(AK672)+$AJ673</f>
        <v>1552</v>
      </c>
    </row>
    <row r="674" customFormat="false" ht="13.5" hidden="false" customHeight="false" outlineLevel="0" collapsed="false">
      <c r="A674" s="1" t="str">
        <f aca="false">IF(对接源_01水果!$C674="","",对接源_01水果!$C674)</f>
        <v/>
      </c>
      <c r="B674" s="1" t="n">
        <f aca="false">IF(A674="",0,IF(MATCH(A674,$A$4:$A$2403,0)=ROW()-3,1,0))</f>
        <v>0</v>
      </c>
      <c r="C674" s="1" t="n">
        <f aca="false">N(C673)+B674</f>
        <v>13</v>
      </c>
      <c r="K674" s="1" t="n">
        <f aca="false">IF(OR($K$1="",对接源_01水果!$C674="",对接源_01水果!$C674&lt;&gt;$K$1,对接源_01水果!$B674=""),0,IF(OR(N(对接源_01水果!$B674)&lt;$K$2,N(对接源_01水果!$B674)&gt;$K$3),0,1))</f>
        <v>0</v>
      </c>
      <c r="L674" s="1" t="n">
        <f aca="false">IF(OR($L$1="",对接源_01水果!$C674="",对接源_01水果!$C674&lt;&gt;$L$1,对接源_01水果!$B674=""),0,IF(OR(N(对接源_01水果!$B674)&lt;$L$2,N(对接源_01水果!$B674)&gt;$L$3),0,1))</f>
        <v>0</v>
      </c>
      <c r="M674" s="1" t="n">
        <f aca="false">IF(OR($M$1="",对接源_01水果!$C674="",对接源_01水果!$C674&lt;&gt;$M$1,对接源_01水果!$B674=""),0,IF(OR(N(对接源_01水果!$B674)&lt;$M$2,N(对接源_01水果!$B674)&gt;$M$3),0,1))</f>
        <v>0</v>
      </c>
      <c r="N674" s="1" t="n">
        <f aca="false">IF(OR($N$1="",对接源_01水果!$C674="",对接源_01水果!$C674&lt;&gt;$N$1,对接源_01水果!$B674=""),0,IF(OR(N(对接源_01水果!$B674)&lt;$N$2,N(对接源_01水果!$B674)&gt;$N$3),0,1))</f>
        <v>0</v>
      </c>
      <c r="P674" s="1" t="n">
        <f aca="false">IF(AND($K674=1,AND(对接源_01水果!$X674="公司筐",N(对接源_01水果!$T674)&lt;&gt;0)),1,0)</f>
        <v>0</v>
      </c>
      <c r="Q674" s="1" t="n">
        <f aca="false">N(Q673)+$P674</f>
        <v>3</v>
      </c>
      <c r="R674" s="1" t="n">
        <f aca="false">IF(AND($K674=1,AND(对接源_01水果!$X674="公司筐",N(对接源_01水果!$U674)&lt;&gt;0)),1,0)</f>
        <v>0</v>
      </c>
      <c r="S674" s="1" t="n">
        <f aca="false">N(S673)+$R674</f>
        <v>0</v>
      </c>
      <c r="T674" s="1" t="n">
        <f aca="false">IF(AND($K674=1,AND(对接源_01水果!$X674="公司筐",N(对接源_01水果!$V674)&lt;&gt;0)),1,0)</f>
        <v>0</v>
      </c>
      <c r="U674" s="1" t="n">
        <f aca="false">N(U673)+$T674</f>
        <v>28</v>
      </c>
      <c r="V674" s="1" t="n">
        <f aca="false">IF(AND($L674=1,AND(对接源_01水果!$X674="自备筐",N(对接源_01水果!$V674)&lt;&gt;0)),1,0)</f>
        <v>0</v>
      </c>
      <c r="W674" s="1" t="n">
        <f aca="false">N(W673)+$V674</f>
        <v>7</v>
      </c>
      <c r="X674" s="1" t="n">
        <f aca="false">IF(AND($L674=1,AND(对接源_01水果!$X674="自备筐",N(对接源_01水果!$T674)&lt;&gt;0)),1,0)</f>
        <v>0</v>
      </c>
      <c r="Y674" s="1" t="n">
        <f aca="false">N(Y673)+$X674</f>
        <v>0</v>
      </c>
      <c r="Z674" s="1" t="n">
        <f aca="false">IF(AND($M674=1,对接源_01水果!$D674="原料入库"),1,0)</f>
        <v>0</v>
      </c>
      <c r="AA674" s="1" t="n">
        <f aca="false">N(AA673)+$Z674</f>
        <v>30</v>
      </c>
      <c r="AB674" s="1" t="n">
        <f aca="false">IF(AND($M674=1,LEFT(对接源_01水果!$D674,4)="原料出库"),1,0)</f>
        <v>0</v>
      </c>
      <c r="AC674" s="1" t="n">
        <f aca="false">N(AC673)+$AB674</f>
        <v>19</v>
      </c>
      <c r="AD674" s="1" t="n">
        <f aca="false">IF(AND($M674=1,LEFT(对接源_01水果!$D674,4)="成品出库"),1,0)</f>
        <v>0</v>
      </c>
      <c r="AE674" s="1" t="n">
        <f aca="false">N(AE673)+$AD674</f>
        <v>38</v>
      </c>
      <c r="AF674" s="1" t="n">
        <f aca="false">IF(AND($N674=1,AND(LEFT(对接源_01水果!$D674,4)="包装物料",N(对接源_01水果!$K674)&lt;&gt;0)),1,0)</f>
        <v>0</v>
      </c>
      <c r="AG674" s="90" t="str">
        <f aca="false">IF(对接源_01水果!$AC674="","",对接源_01水果!$AC674)</f>
        <v/>
      </c>
      <c r="AH674" s="1" t="n">
        <f aca="false">IF(AND($N674=1,AND(LEFT(对接源_01水果!$D674,3)="周转筐",N(对接源_01水果!$K674)&lt;&gt;0)),1,0)</f>
        <v>0</v>
      </c>
      <c r="AI674" s="90" t="n">
        <f aca="false">IF(AG674="",0,IF(MATCH(AG674,$AG$4:$AG$1203,0)=ROW()-3,1,0))</f>
        <v>0</v>
      </c>
      <c r="AJ674" s="90" t="n">
        <f aca="false">N(AJ673)+AI674</f>
        <v>4</v>
      </c>
      <c r="AK674" s="1" t="n">
        <f aca="false">N(AK673)+$AJ674</f>
        <v>1556</v>
      </c>
    </row>
    <row r="675" customFormat="false" ht="13.5" hidden="false" customHeight="false" outlineLevel="0" collapsed="false">
      <c r="A675" s="1" t="str">
        <f aca="false">IF(对接源_01水果!$C675="","",对接源_01水果!$C675)</f>
        <v/>
      </c>
      <c r="B675" s="1" t="n">
        <f aca="false">IF(A675="",0,IF(MATCH(A675,$A$4:$A$2403,0)=ROW()-3,1,0))</f>
        <v>0</v>
      </c>
      <c r="C675" s="1" t="n">
        <f aca="false">N(C674)+B675</f>
        <v>13</v>
      </c>
      <c r="K675" s="1" t="n">
        <f aca="false">IF(OR($K$1="",对接源_01水果!$C675="",对接源_01水果!$C675&lt;&gt;$K$1,对接源_01水果!$B675=""),0,IF(OR(N(对接源_01水果!$B675)&lt;$K$2,N(对接源_01水果!$B675)&gt;$K$3),0,1))</f>
        <v>0</v>
      </c>
      <c r="L675" s="1" t="n">
        <f aca="false">IF(OR($L$1="",对接源_01水果!$C675="",对接源_01水果!$C675&lt;&gt;$L$1,对接源_01水果!$B675=""),0,IF(OR(N(对接源_01水果!$B675)&lt;$L$2,N(对接源_01水果!$B675)&gt;$L$3),0,1))</f>
        <v>0</v>
      </c>
      <c r="M675" s="1" t="n">
        <f aca="false">IF(OR($M$1="",对接源_01水果!$C675="",对接源_01水果!$C675&lt;&gt;$M$1,对接源_01水果!$B675=""),0,IF(OR(N(对接源_01水果!$B675)&lt;$M$2,N(对接源_01水果!$B675)&gt;$M$3),0,1))</f>
        <v>0</v>
      </c>
      <c r="N675" s="1" t="n">
        <f aca="false">IF(OR($N$1="",对接源_01水果!$C675="",对接源_01水果!$C675&lt;&gt;$N$1,对接源_01水果!$B675=""),0,IF(OR(N(对接源_01水果!$B675)&lt;$N$2,N(对接源_01水果!$B675)&gt;$N$3),0,1))</f>
        <v>0</v>
      </c>
      <c r="P675" s="1" t="n">
        <f aca="false">IF(AND($K675=1,AND(对接源_01水果!$X675="公司筐",N(对接源_01水果!$T675)&lt;&gt;0)),1,0)</f>
        <v>0</v>
      </c>
      <c r="Q675" s="1" t="n">
        <f aca="false">N(Q674)+$P675</f>
        <v>3</v>
      </c>
      <c r="R675" s="1" t="n">
        <f aca="false">IF(AND($K675=1,AND(对接源_01水果!$X675="公司筐",N(对接源_01水果!$U675)&lt;&gt;0)),1,0)</f>
        <v>0</v>
      </c>
      <c r="S675" s="1" t="n">
        <f aca="false">N(S674)+$R675</f>
        <v>0</v>
      </c>
      <c r="T675" s="1" t="n">
        <f aca="false">IF(AND($K675=1,AND(对接源_01水果!$X675="公司筐",N(对接源_01水果!$V675)&lt;&gt;0)),1,0)</f>
        <v>0</v>
      </c>
      <c r="U675" s="1" t="n">
        <f aca="false">N(U674)+$T675</f>
        <v>28</v>
      </c>
      <c r="V675" s="1" t="n">
        <f aca="false">IF(AND($L675=1,AND(对接源_01水果!$X675="自备筐",N(对接源_01水果!$V675)&lt;&gt;0)),1,0)</f>
        <v>0</v>
      </c>
      <c r="W675" s="1" t="n">
        <f aca="false">N(W674)+$V675</f>
        <v>7</v>
      </c>
      <c r="X675" s="1" t="n">
        <f aca="false">IF(AND($L675=1,AND(对接源_01水果!$X675="自备筐",N(对接源_01水果!$T675)&lt;&gt;0)),1,0)</f>
        <v>0</v>
      </c>
      <c r="Y675" s="1" t="n">
        <f aca="false">N(Y674)+$X675</f>
        <v>0</v>
      </c>
      <c r="Z675" s="1" t="n">
        <f aca="false">IF(AND($M675=1,对接源_01水果!$D675="原料入库"),1,0)</f>
        <v>0</v>
      </c>
      <c r="AA675" s="1" t="n">
        <f aca="false">N(AA674)+$Z675</f>
        <v>30</v>
      </c>
      <c r="AB675" s="1" t="n">
        <f aca="false">IF(AND($M675=1,LEFT(对接源_01水果!$D675,4)="原料出库"),1,0)</f>
        <v>0</v>
      </c>
      <c r="AC675" s="1" t="n">
        <f aca="false">N(AC674)+$AB675</f>
        <v>19</v>
      </c>
      <c r="AD675" s="1" t="n">
        <f aca="false">IF(AND($M675=1,LEFT(对接源_01水果!$D675,4)="成品出库"),1,0)</f>
        <v>0</v>
      </c>
      <c r="AE675" s="1" t="n">
        <f aca="false">N(AE674)+$AD675</f>
        <v>38</v>
      </c>
      <c r="AF675" s="1" t="n">
        <f aca="false">IF(AND($N675=1,AND(LEFT(对接源_01水果!$D675,4)="包装物料",N(对接源_01水果!$K675)&lt;&gt;0)),1,0)</f>
        <v>0</v>
      </c>
      <c r="AG675" s="90" t="str">
        <f aca="false">IF(对接源_01水果!$AC675="","",对接源_01水果!$AC675)</f>
        <v/>
      </c>
      <c r="AH675" s="1" t="n">
        <f aca="false">IF(AND($N675=1,AND(LEFT(对接源_01水果!$D675,3)="周转筐",N(对接源_01水果!$K675)&lt;&gt;0)),1,0)</f>
        <v>0</v>
      </c>
      <c r="AI675" s="90" t="n">
        <f aca="false">IF(AG675="",0,IF(MATCH(AG675,$AG$4:$AG$1203,0)=ROW()-3,1,0))</f>
        <v>0</v>
      </c>
      <c r="AJ675" s="90" t="n">
        <f aca="false">N(AJ674)+AI675</f>
        <v>4</v>
      </c>
      <c r="AK675" s="1" t="n">
        <f aca="false">N(AK674)+$AJ675</f>
        <v>1560</v>
      </c>
    </row>
    <row r="676" customFormat="false" ht="13.5" hidden="false" customHeight="false" outlineLevel="0" collapsed="false">
      <c r="A676" s="1" t="str">
        <f aca="false">IF(对接源_01水果!$C676="","",对接源_01水果!$C676)</f>
        <v/>
      </c>
      <c r="B676" s="1" t="n">
        <f aca="false">IF(A676="",0,IF(MATCH(A676,$A$4:$A$2403,0)=ROW()-3,1,0))</f>
        <v>0</v>
      </c>
      <c r="C676" s="1" t="n">
        <f aca="false">N(C675)+B676</f>
        <v>13</v>
      </c>
      <c r="K676" s="1" t="n">
        <f aca="false">IF(OR($K$1="",对接源_01水果!$C676="",对接源_01水果!$C676&lt;&gt;$K$1,对接源_01水果!$B676=""),0,IF(OR(N(对接源_01水果!$B676)&lt;$K$2,N(对接源_01水果!$B676)&gt;$K$3),0,1))</f>
        <v>0</v>
      </c>
      <c r="L676" s="1" t="n">
        <f aca="false">IF(OR($L$1="",对接源_01水果!$C676="",对接源_01水果!$C676&lt;&gt;$L$1,对接源_01水果!$B676=""),0,IF(OR(N(对接源_01水果!$B676)&lt;$L$2,N(对接源_01水果!$B676)&gt;$L$3),0,1))</f>
        <v>0</v>
      </c>
      <c r="M676" s="1" t="n">
        <f aca="false">IF(OR($M$1="",对接源_01水果!$C676="",对接源_01水果!$C676&lt;&gt;$M$1,对接源_01水果!$B676=""),0,IF(OR(N(对接源_01水果!$B676)&lt;$M$2,N(对接源_01水果!$B676)&gt;$M$3),0,1))</f>
        <v>0</v>
      </c>
      <c r="N676" s="1" t="n">
        <f aca="false">IF(OR($N$1="",对接源_01水果!$C676="",对接源_01水果!$C676&lt;&gt;$N$1,对接源_01水果!$B676=""),0,IF(OR(N(对接源_01水果!$B676)&lt;$N$2,N(对接源_01水果!$B676)&gt;$N$3),0,1))</f>
        <v>0</v>
      </c>
      <c r="P676" s="1" t="n">
        <f aca="false">IF(AND($K676=1,AND(对接源_01水果!$X676="公司筐",N(对接源_01水果!$T676)&lt;&gt;0)),1,0)</f>
        <v>0</v>
      </c>
      <c r="Q676" s="1" t="n">
        <f aca="false">N(Q675)+$P676</f>
        <v>3</v>
      </c>
      <c r="R676" s="1" t="n">
        <f aca="false">IF(AND($K676=1,AND(对接源_01水果!$X676="公司筐",N(对接源_01水果!$U676)&lt;&gt;0)),1,0)</f>
        <v>0</v>
      </c>
      <c r="S676" s="1" t="n">
        <f aca="false">N(S675)+$R676</f>
        <v>0</v>
      </c>
      <c r="T676" s="1" t="n">
        <f aca="false">IF(AND($K676=1,AND(对接源_01水果!$X676="公司筐",N(对接源_01水果!$V676)&lt;&gt;0)),1,0)</f>
        <v>0</v>
      </c>
      <c r="U676" s="1" t="n">
        <f aca="false">N(U675)+$T676</f>
        <v>28</v>
      </c>
      <c r="V676" s="1" t="n">
        <f aca="false">IF(AND($L676=1,AND(对接源_01水果!$X676="自备筐",N(对接源_01水果!$V676)&lt;&gt;0)),1,0)</f>
        <v>0</v>
      </c>
      <c r="W676" s="1" t="n">
        <f aca="false">N(W675)+$V676</f>
        <v>7</v>
      </c>
      <c r="X676" s="1" t="n">
        <f aca="false">IF(AND($L676=1,AND(对接源_01水果!$X676="自备筐",N(对接源_01水果!$T676)&lt;&gt;0)),1,0)</f>
        <v>0</v>
      </c>
      <c r="Y676" s="1" t="n">
        <f aca="false">N(Y675)+$X676</f>
        <v>0</v>
      </c>
      <c r="Z676" s="1" t="n">
        <f aca="false">IF(AND($M676=1,对接源_01水果!$D676="原料入库"),1,0)</f>
        <v>0</v>
      </c>
      <c r="AA676" s="1" t="n">
        <f aca="false">N(AA675)+$Z676</f>
        <v>30</v>
      </c>
      <c r="AB676" s="1" t="n">
        <f aca="false">IF(AND($M676=1,LEFT(对接源_01水果!$D676,4)="原料出库"),1,0)</f>
        <v>0</v>
      </c>
      <c r="AC676" s="1" t="n">
        <f aca="false">N(AC675)+$AB676</f>
        <v>19</v>
      </c>
      <c r="AD676" s="1" t="n">
        <f aca="false">IF(AND($M676=1,LEFT(对接源_01水果!$D676,4)="成品出库"),1,0)</f>
        <v>0</v>
      </c>
      <c r="AE676" s="1" t="n">
        <f aca="false">N(AE675)+$AD676</f>
        <v>38</v>
      </c>
      <c r="AF676" s="1" t="n">
        <f aca="false">IF(AND($N676=1,AND(LEFT(对接源_01水果!$D676,4)="包装物料",N(对接源_01水果!$K676)&lt;&gt;0)),1,0)</f>
        <v>0</v>
      </c>
      <c r="AG676" s="90" t="str">
        <f aca="false">IF(对接源_01水果!$AC676="","",对接源_01水果!$AC676)</f>
        <v/>
      </c>
      <c r="AH676" s="1" t="n">
        <f aca="false">IF(AND($N676=1,AND(LEFT(对接源_01水果!$D676,3)="周转筐",N(对接源_01水果!$K676)&lt;&gt;0)),1,0)</f>
        <v>0</v>
      </c>
      <c r="AI676" s="90" t="n">
        <f aca="false">IF(AG676="",0,IF(MATCH(AG676,$AG$4:$AG$1203,0)=ROW()-3,1,0))</f>
        <v>0</v>
      </c>
      <c r="AJ676" s="90" t="n">
        <f aca="false">N(AJ675)+AI676</f>
        <v>4</v>
      </c>
      <c r="AK676" s="1" t="n">
        <f aca="false">N(AK675)+$AJ676</f>
        <v>1564</v>
      </c>
    </row>
    <row r="677" customFormat="false" ht="13.5" hidden="false" customHeight="false" outlineLevel="0" collapsed="false">
      <c r="A677" s="1" t="str">
        <f aca="false">IF(对接源_01水果!$C677="","",对接源_01水果!$C677)</f>
        <v/>
      </c>
      <c r="B677" s="1" t="n">
        <f aca="false">IF(A677="",0,IF(MATCH(A677,$A$4:$A$2403,0)=ROW()-3,1,0))</f>
        <v>0</v>
      </c>
      <c r="C677" s="1" t="n">
        <f aca="false">N(C676)+B677</f>
        <v>13</v>
      </c>
      <c r="K677" s="1" t="n">
        <f aca="false">IF(OR($K$1="",对接源_01水果!$C677="",对接源_01水果!$C677&lt;&gt;$K$1,对接源_01水果!$B677=""),0,IF(OR(N(对接源_01水果!$B677)&lt;$K$2,N(对接源_01水果!$B677)&gt;$K$3),0,1))</f>
        <v>0</v>
      </c>
      <c r="L677" s="1" t="n">
        <f aca="false">IF(OR($L$1="",对接源_01水果!$C677="",对接源_01水果!$C677&lt;&gt;$L$1,对接源_01水果!$B677=""),0,IF(OR(N(对接源_01水果!$B677)&lt;$L$2,N(对接源_01水果!$B677)&gt;$L$3),0,1))</f>
        <v>0</v>
      </c>
      <c r="M677" s="1" t="n">
        <f aca="false">IF(OR($M$1="",对接源_01水果!$C677="",对接源_01水果!$C677&lt;&gt;$M$1,对接源_01水果!$B677=""),0,IF(OR(N(对接源_01水果!$B677)&lt;$M$2,N(对接源_01水果!$B677)&gt;$M$3),0,1))</f>
        <v>0</v>
      </c>
      <c r="N677" s="1" t="n">
        <f aca="false">IF(OR($N$1="",对接源_01水果!$C677="",对接源_01水果!$C677&lt;&gt;$N$1,对接源_01水果!$B677=""),0,IF(OR(N(对接源_01水果!$B677)&lt;$N$2,N(对接源_01水果!$B677)&gt;$N$3),0,1))</f>
        <v>0</v>
      </c>
      <c r="P677" s="1" t="n">
        <f aca="false">IF(AND($K677=1,AND(对接源_01水果!$X677="公司筐",N(对接源_01水果!$T677)&lt;&gt;0)),1,0)</f>
        <v>0</v>
      </c>
      <c r="Q677" s="1" t="n">
        <f aca="false">N(Q676)+$P677</f>
        <v>3</v>
      </c>
      <c r="R677" s="1" t="n">
        <f aca="false">IF(AND($K677=1,AND(对接源_01水果!$X677="公司筐",N(对接源_01水果!$U677)&lt;&gt;0)),1,0)</f>
        <v>0</v>
      </c>
      <c r="S677" s="1" t="n">
        <f aca="false">N(S676)+$R677</f>
        <v>0</v>
      </c>
      <c r="T677" s="1" t="n">
        <f aca="false">IF(AND($K677=1,AND(对接源_01水果!$X677="公司筐",N(对接源_01水果!$V677)&lt;&gt;0)),1,0)</f>
        <v>0</v>
      </c>
      <c r="U677" s="1" t="n">
        <f aca="false">N(U676)+$T677</f>
        <v>28</v>
      </c>
      <c r="V677" s="1" t="n">
        <f aca="false">IF(AND($L677=1,AND(对接源_01水果!$X677="自备筐",N(对接源_01水果!$V677)&lt;&gt;0)),1,0)</f>
        <v>0</v>
      </c>
      <c r="W677" s="1" t="n">
        <f aca="false">N(W676)+$V677</f>
        <v>7</v>
      </c>
      <c r="X677" s="1" t="n">
        <f aca="false">IF(AND($L677=1,AND(对接源_01水果!$X677="自备筐",N(对接源_01水果!$T677)&lt;&gt;0)),1,0)</f>
        <v>0</v>
      </c>
      <c r="Y677" s="1" t="n">
        <f aca="false">N(Y676)+$X677</f>
        <v>0</v>
      </c>
      <c r="Z677" s="1" t="n">
        <f aca="false">IF(AND($M677=1,对接源_01水果!$D677="原料入库"),1,0)</f>
        <v>0</v>
      </c>
      <c r="AA677" s="1" t="n">
        <f aca="false">N(AA676)+$Z677</f>
        <v>30</v>
      </c>
      <c r="AB677" s="1" t="n">
        <f aca="false">IF(AND($M677=1,LEFT(对接源_01水果!$D677,4)="原料出库"),1,0)</f>
        <v>0</v>
      </c>
      <c r="AC677" s="1" t="n">
        <f aca="false">N(AC676)+$AB677</f>
        <v>19</v>
      </c>
      <c r="AD677" s="1" t="n">
        <f aca="false">IF(AND($M677=1,LEFT(对接源_01水果!$D677,4)="成品出库"),1,0)</f>
        <v>0</v>
      </c>
      <c r="AE677" s="1" t="n">
        <f aca="false">N(AE676)+$AD677</f>
        <v>38</v>
      </c>
      <c r="AF677" s="1" t="n">
        <f aca="false">IF(AND($N677=1,AND(LEFT(对接源_01水果!$D677,4)="包装物料",N(对接源_01水果!$K677)&lt;&gt;0)),1,0)</f>
        <v>0</v>
      </c>
      <c r="AG677" s="90" t="str">
        <f aca="false">IF(对接源_01水果!$AC677="","",对接源_01水果!$AC677)</f>
        <v/>
      </c>
      <c r="AH677" s="1" t="n">
        <f aca="false">IF(AND($N677=1,AND(LEFT(对接源_01水果!$D677,3)="周转筐",N(对接源_01水果!$K677)&lt;&gt;0)),1,0)</f>
        <v>0</v>
      </c>
      <c r="AI677" s="90" t="n">
        <f aca="false">IF(AG677="",0,IF(MATCH(AG677,$AG$4:$AG$1203,0)=ROW()-3,1,0))</f>
        <v>0</v>
      </c>
      <c r="AJ677" s="90" t="n">
        <f aca="false">N(AJ676)+AI677</f>
        <v>4</v>
      </c>
      <c r="AK677" s="1" t="n">
        <f aca="false">N(AK676)+$AJ677</f>
        <v>1568</v>
      </c>
    </row>
    <row r="678" customFormat="false" ht="13.5" hidden="false" customHeight="false" outlineLevel="0" collapsed="false">
      <c r="A678" s="1" t="str">
        <f aca="false">IF(对接源_01水果!$C678="","",对接源_01水果!$C678)</f>
        <v/>
      </c>
      <c r="B678" s="1" t="n">
        <f aca="false">IF(A678="",0,IF(MATCH(A678,$A$4:$A$2403,0)=ROW()-3,1,0))</f>
        <v>0</v>
      </c>
      <c r="C678" s="1" t="n">
        <f aca="false">N(C677)+B678</f>
        <v>13</v>
      </c>
      <c r="K678" s="1" t="n">
        <f aca="false">IF(OR($K$1="",对接源_01水果!$C678="",对接源_01水果!$C678&lt;&gt;$K$1,对接源_01水果!$B678=""),0,IF(OR(N(对接源_01水果!$B678)&lt;$K$2,N(对接源_01水果!$B678)&gt;$K$3),0,1))</f>
        <v>0</v>
      </c>
      <c r="L678" s="1" t="n">
        <f aca="false">IF(OR($L$1="",对接源_01水果!$C678="",对接源_01水果!$C678&lt;&gt;$L$1,对接源_01水果!$B678=""),0,IF(OR(N(对接源_01水果!$B678)&lt;$L$2,N(对接源_01水果!$B678)&gt;$L$3),0,1))</f>
        <v>0</v>
      </c>
      <c r="M678" s="1" t="n">
        <f aca="false">IF(OR($M$1="",对接源_01水果!$C678="",对接源_01水果!$C678&lt;&gt;$M$1,对接源_01水果!$B678=""),0,IF(OR(N(对接源_01水果!$B678)&lt;$M$2,N(对接源_01水果!$B678)&gt;$M$3),0,1))</f>
        <v>0</v>
      </c>
      <c r="N678" s="1" t="n">
        <f aca="false">IF(OR($N$1="",对接源_01水果!$C678="",对接源_01水果!$C678&lt;&gt;$N$1,对接源_01水果!$B678=""),0,IF(OR(N(对接源_01水果!$B678)&lt;$N$2,N(对接源_01水果!$B678)&gt;$N$3),0,1))</f>
        <v>0</v>
      </c>
      <c r="P678" s="1" t="n">
        <f aca="false">IF(AND($K678=1,AND(对接源_01水果!$X678="公司筐",N(对接源_01水果!$T678)&lt;&gt;0)),1,0)</f>
        <v>0</v>
      </c>
      <c r="Q678" s="1" t="n">
        <f aca="false">N(Q677)+$P678</f>
        <v>3</v>
      </c>
      <c r="R678" s="1" t="n">
        <f aca="false">IF(AND($K678=1,AND(对接源_01水果!$X678="公司筐",N(对接源_01水果!$U678)&lt;&gt;0)),1,0)</f>
        <v>0</v>
      </c>
      <c r="S678" s="1" t="n">
        <f aca="false">N(S677)+$R678</f>
        <v>0</v>
      </c>
      <c r="T678" s="1" t="n">
        <f aca="false">IF(AND($K678=1,AND(对接源_01水果!$X678="公司筐",N(对接源_01水果!$V678)&lt;&gt;0)),1,0)</f>
        <v>0</v>
      </c>
      <c r="U678" s="1" t="n">
        <f aca="false">N(U677)+$T678</f>
        <v>28</v>
      </c>
      <c r="V678" s="1" t="n">
        <f aca="false">IF(AND($L678=1,AND(对接源_01水果!$X678="自备筐",N(对接源_01水果!$V678)&lt;&gt;0)),1,0)</f>
        <v>0</v>
      </c>
      <c r="W678" s="1" t="n">
        <f aca="false">N(W677)+$V678</f>
        <v>7</v>
      </c>
      <c r="X678" s="1" t="n">
        <f aca="false">IF(AND($L678=1,AND(对接源_01水果!$X678="自备筐",N(对接源_01水果!$T678)&lt;&gt;0)),1,0)</f>
        <v>0</v>
      </c>
      <c r="Y678" s="1" t="n">
        <f aca="false">N(Y677)+$X678</f>
        <v>0</v>
      </c>
      <c r="Z678" s="1" t="n">
        <f aca="false">IF(AND($M678=1,对接源_01水果!$D678="原料入库"),1,0)</f>
        <v>0</v>
      </c>
      <c r="AA678" s="1" t="n">
        <f aca="false">N(AA677)+$Z678</f>
        <v>30</v>
      </c>
      <c r="AB678" s="1" t="n">
        <f aca="false">IF(AND($M678=1,LEFT(对接源_01水果!$D678,4)="原料出库"),1,0)</f>
        <v>0</v>
      </c>
      <c r="AC678" s="1" t="n">
        <f aca="false">N(AC677)+$AB678</f>
        <v>19</v>
      </c>
      <c r="AD678" s="1" t="n">
        <f aca="false">IF(AND($M678=1,LEFT(对接源_01水果!$D678,4)="成品出库"),1,0)</f>
        <v>0</v>
      </c>
      <c r="AE678" s="1" t="n">
        <f aca="false">N(AE677)+$AD678</f>
        <v>38</v>
      </c>
      <c r="AF678" s="1" t="n">
        <f aca="false">IF(AND($N678=1,AND(LEFT(对接源_01水果!$D678,4)="包装物料",N(对接源_01水果!$K678)&lt;&gt;0)),1,0)</f>
        <v>0</v>
      </c>
      <c r="AG678" s="90" t="str">
        <f aca="false">IF(对接源_01水果!$AC678="","",对接源_01水果!$AC678)</f>
        <v/>
      </c>
      <c r="AH678" s="1" t="n">
        <f aca="false">IF(AND($N678=1,AND(LEFT(对接源_01水果!$D678,3)="周转筐",N(对接源_01水果!$K678)&lt;&gt;0)),1,0)</f>
        <v>0</v>
      </c>
      <c r="AI678" s="90" t="n">
        <f aca="false">IF(AG678="",0,IF(MATCH(AG678,$AG$4:$AG$1203,0)=ROW()-3,1,0))</f>
        <v>0</v>
      </c>
      <c r="AJ678" s="90" t="n">
        <f aca="false">N(AJ677)+AI678</f>
        <v>4</v>
      </c>
      <c r="AK678" s="1" t="n">
        <f aca="false">N(AK677)+$AJ678</f>
        <v>1572</v>
      </c>
    </row>
    <row r="679" customFormat="false" ht="13.5" hidden="false" customHeight="false" outlineLevel="0" collapsed="false">
      <c r="A679" s="1" t="str">
        <f aca="false">IF(对接源_01水果!$C679="","",对接源_01水果!$C679)</f>
        <v/>
      </c>
      <c r="B679" s="1" t="n">
        <f aca="false">IF(A679="",0,IF(MATCH(A679,$A$4:$A$2403,0)=ROW()-3,1,0))</f>
        <v>0</v>
      </c>
      <c r="C679" s="1" t="n">
        <f aca="false">N(C678)+B679</f>
        <v>13</v>
      </c>
      <c r="K679" s="1" t="n">
        <f aca="false">IF(OR($K$1="",对接源_01水果!$C679="",对接源_01水果!$C679&lt;&gt;$K$1,对接源_01水果!$B679=""),0,IF(OR(N(对接源_01水果!$B679)&lt;$K$2,N(对接源_01水果!$B679)&gt;$K$3),0,1))</f>
        <v>0</v>
      </c>
      <c r="L679" s="1" t="n">
        <f aca="false">IF(OR($L$1="",对接源_01水果!$C679="",对接源_01水果!$C679&lt;&gt;$L$1,对接源_01水果!$B679=""),0,IF(OR(N(对接源_01水果!$B679)&lt;$L$2,N(对接源_01水果!$B679)&gt;$L$3),0,1))</f>
        <v>0</v>
      </c>
      <c r="M679" s="1" t="n">
        <f aca="false">IF(OR($M$1="",对接源_01水果!$C679="",对接源_01水果!$C679&lt;&gt;$M$1,对接源_01水果!$B679=""),0,IF(OR(N(对接源_01水果!$B679)&lt;$M$2,N(对接源_01水果!$B679)&gt;$M$3),0,1))</f>
        <v>0</v>
      </c>
      <c r="N679" s="1" t="n">
        <f aca="false">IF(OR($N$1="",对接源_01水果!$C679="",对接源_01水果!$C679&lt;&gt;$N$1,对接源_01水果!$B679=""),0,IF(OR(N(对接源_01水果!$B679)&lt;$N$2,N(对接源_01水果!$B679)&gt;$N$3),0,1))</f>
        <v>0</v>
      </c>
      <c r="P679" s="1" t="n">
        <f aca="false">IF(AND($K679=1,AND(对接源_01水果!$X679="公司筐",N(对接源_01水果!$T679)&lt;&gt;0)),1,0)</f>
        <v>0</v>
      </c>
      <c r="Q679" s="1" t="n">
        <f aca="false">N(Q678)+$P679</f>
        <v>3</v>
      </c>
      <c r="R679" s="1" t="n">
        <f aca="false">IF(AND($K679=1,AND(对接源_01水果!$X679="公司筐",N(对接源_01水果!$U679)&lt;&gt;0)),1,0)</f>
        <v>0</v>
      </c>
      <c r="S679" s="1" t="n">
        <f aca="false">N(S678)+$R679</f>
        <v>0</v>
      </c>
      <c r="T679" s="1" t="n">
        <f aca="false">IF(AND($K679=1,AND(对接源_01水果!$X679="公司筐",N(对接源_01水果!$V679)&lt;&gt;0)),1,0)</f>
        <v>0</v>
      </c>
      <c r="U679" s="1" t="n">
        <f aca="false">N(U678)+$T679</f>
        <v>28</v>
      </c>
      <c r="V679" s="1" t="n">
        <f aca="false">IF(AND($L679=1,AND(对接源_01水果!$X679="自备筐",N(对接源_01水果!$V679)&lt;&gt;0)),1,0)</f>
        <v>0</v>
      </c>
      <c r="W679" s="1" t="n">
        <f aca="false">N(W678)+$V679</f>
        <v>7</v>
      </c>
      <c r="X679" s="1" t="n">
        <f aca="false">IF(AND($L679=1,AND(对接源_01水果!$X679="自备筐",N(对接源_01水果!$T679)&lt;&gt;0)),1,0)</f>
        <v>0</v>
      </c>
      <c r="Y679" s="1" t="n">
        <f aca="false">N(Y678)+$X679</f>
        <v>0</v>
      </c>
      <c r="Z679" s="1" t="n">
        <f aca="false">IF(AND($M679=1,对接源_01水果!$D679="原料入库"),1,0)</f>
        <v>0</v>
      </c>
      <c r="AA679" s="1" t="n">
        <f aca="false">N(AA678)+$Z679</f>
        <v>30</v>
      </c>
      <c r="AB679" s="1" t="n">
        <f aca="false">IF(AND($M679=1,LEFT(对接源_01水果!$D679,4)="原料出库"),1,0)</f>
        <v>0</v>
      </c>
      <c r="AC679" s="1" t="n">
        <f aca="false">N(AC678)+$AB679</f>
        <v>19</v>
      </c>
      <c r="AD679" s="1" t="n">
        <f aca="false">IF(AND($M679=1,LEFT(对接源_01水果!$D679,4)="成品出库"),1,0)</f>
        <v>0</v>
      </c>
      <c r="AE679" s="1" t="n">
        <f aca="false">N(AE678)+$AD679</f>
        <v>38</v>
      </c>
      <c r="AF679" s="1" t="n">
        <f aca="false">IF(AND($N679=1,AND(LEFT(对接源_01水果!$D679,4)="包装物料",N(对接源_01水果!$K679)&lt;&gt;0)),1,0)</f>
        <v>0</v>
      </c>
      <c r="AG679" s="90" t="str">
        <f aca="false">IF(对接源_01水果!$AC679="","",对接源_01水果!$AC679)</f>
        <v/>
      </c>
      <c r="AH679" s="1" t="n">
        <f aca="false">IF(AND($N679=1,AND(LEFT(对接源_01水果!$D679,3)="周转筐",N(对接源_01水果!$K679)&lt;&gt;0)),1,0)</f>
        <v>0</v>
      </c>
      <c r="AI679" s="90" t="n">
        <f aca="false">IF(AG679="",0,IF(MATCH(AG679,$AG$4:$AG$1203,0)=ROW()-3,1,0))</f>
        <v>0</v>
      </c>
      <c r="AJ679" s="90" t="n">
        <f aca="false">N(AJ678)+AI679</f>
        <v>4</v>
      </c>
      <c r="AK679" s="1" t="n">
        <f aca="false">N(AK678)+$AJ679</f>
        <v>1576</v>
      </c>
    </row>
    <row r="680" customFormat="false" ht="13.5" hidden="false" customHeight="false" outlineLevel="0" collapsed="false">
      <c r="A680" s="1" t="str">
        <f aca="false">IF(对接源_01水果!$C680="","",对接源_01水果!$C680)</f>
        <v/>
      </c>
      <c r="B680" s="1" t="n">
        <f aca="false">IF(A680="",0,IF(MATCH(A680,$A$4:$A$2403,0)=ROW()-3,1,0))</f>
        <v>0</v>
      </c>
      <c r="C680" s="1" t="n">
        <f aca="false">N(C679)+B680</f>
        <v>13</v>
      </c>
      <c r="K680" s="1" t="n">
        <f aca="false">IF(OR($K$1="",对接源_01水果!$C680="",对接源_01水果!$C680&lt;&gt;$K$1,对接源_01水果!$B680=""),0,IF(OR(N(对接源_01水果!$B680)&lt;$K$2,N(对接源_01水果!$B680)&gt;$K$3),0,1))</f>
        <v>0</v>
      </c>
      <c r="L680" s="1" t="n">
        <f aca="false">IF(OR($L$1="",对接源_01水果!$C680="",对接源_01水果!$C680&lt;&gt;$L$1,对接源_01水果!$B680=""),0,IF(OR(N(对接源_01水果!$B680)&lt;$L$2,N(对接源_01水果!$B680)&gt;$L$3),0,1))</f>
        <v>0</v>
      </c>
      <c r="M680" s="1" t="n">
        <f aca="false">IF(OR($M$1="",对接源_01水果!$C680="",对接源_01水果!$C680&lt;&gt;$M$1,对接源_01水果!$B680=""),0,IF(OR(N(对接源_01水果!$B680)&lt;$M$2,N(对接源_01水果!$B680)&gt;$M$3),0,1))</f>
        <v>0</v>
      </c>
      <c r="N680" s="1" t="n">
        <f aca="false">IF(OR($N$1="",对接源_01水果!$C680="",对接源_01水果!$C680&lt;&gt;$N$1,对接源_01水果!$B680=""),0,IF(OR(N(对接源_01水果!$B680)&lt;$N$2,N(对接源_01水果!$B680)&gt;$N$3),0,1))</f>
        <v>0</v>
      </c>
      <c r="P680" s="1" t="n">
        <f aca="false">IF(AND($K680=1,AND(对接源_01水果!$X680="公司筐",N(对接源_01水果!$T680)&lt;&gt;0)),1,0)</f>
        <v>0</v>
      </c>
      <c r="Q680" s="1" t="n">
        <f aca="false">N(Q679)+$P680</f>
        <v>3</v>
      </c>
      <c r="R680" s="1" t="n">
        <f aca="false">IF(AND($K680=1,AND(对接源_01水果!$X680="公司筐",N(对接源_01水果!$U680)&lt;&gt;0)),1,0)</f>
        <v>0</v>
      </c>
      <c r="S680" s="1" t="n">
        <f aca="false">N(S679)+$R680</f>
        <v>0</v>
      </c>
      <c r="T680" s="1" t="n">
        <f aca="false">IF(AND($K680=1,AND(对接源_01水果!$X680="公司筐",N(对接源_01水果!$V680)&lt;&gt;0)),1,0)</f>
        <v>0</v>
      </c>
      <c r="U680" s="1" t="n">
        <f aca="false">N(U679)+$T680</f>
        <v>28</v>
      </c>
      <c r="V680" s="1" t="n">
        <f aca="false">IF(AND($L680=1,AND(对接源_01水果!$X680="自备筐",N(对接源_01水果!$V680)&lt;&gt;0)),1,0)</f>
        <v>0</v>
      </c>
      <c r="W680" s="1" t="n">
        <f aca="false">N(W679)+$V680</f>
        <v>7</v>
      </c>
      <c r="X680" s="1" t="n">
        <f aca="false">IF(AND($L680=1,AND(对接源_01水果!$X680="自备筐",N(对接源_01水果!$T680)&lt;&gt;0)),1,0)</f>
        <v>0</v>
      </c>
      <c r="Y680" s="1" t="n">
        <f aca="false">N(Y679)+$X680</f>
        <v>0</v>
      </c>
      <c r="Z680" s="1" t="n">
        <f aca="false">IF(AND($M680=1,对接源_01水果!$D680="原料入库"),1,0)</f>
        <v>0</v>
      </c>
      <c r="AA680" s="1" t="n">
        <f aca="false">N(AA679)+$Z680</f>
        <v>30</v>
      </c>
      <c r="AB680" s="1" t="n">
        <f aca="false">IF(AND($M680=1,LEFT(对接源_01水果!$D680,4)="原料出库"),1,0)</f>
        <v>0</v>
      </c>
      <c r="AC680" s="1" t="n">
        <f aca="false">N(AC679)+$AB680</f>
        <v>19</v>
      </c>
      <c r="AD680" s="1" t="n">
        <f aca="false">IF(AND($M680=1,LEFT(对接源_01水果!$D680,4)="成品出库"),1,0)</f>
        <v>0</v>
      </c>
      <c r="AE680" s="1" t="n">
        <f aca="false">N(AE679)+$AD680</f>
        <v>38</v>
      </c>
      <c r="AF680" s="1" t="n">
        <f aca="false">IF(AND($N680=1,AND(LEFT(对接源_01水果!$D680,4)="包装物料",N(对接源_01水果!$K680)&lt;&gt;0)),1,0)</f>
        <v>0</v>
      </c>
      <c r="AG680" s="90" t="str">
        <f aca="false">IF(对接源_01水果!$AC680="","",对接源_01水果!$AC680)</f>
        <v/>
      </c>
      <c r="AH680" s="1" t="n">
        <f aca="false">IF(AND($N680=1,AND(LEFT(对接源_01水果!$D680,3)="周转筐",N(对接源_01水果!$K680)&lt;&gt;0)),1,0)</f>
        <v>0</v>
      </c>
      <c r="AI680" s="90" t="n">
        <f aca="false">IF(AG680="",0,IF(MATCH(AG680,$AG$4:$AG$1203,0)=ROW()-3,1,0))</f>
        <v>0</v>
      </c>
      <c r="AJ680" s="90" t="n">
        <f aca="false">N(AJ679)+AI680</f>
        <v>4</v>
      </c>
      <c r="AK680" s="1" t="n">
        <f aca="false">N(AK679)+$AJ680</f>
        <v>1580</v>
      </c>
    </row>
    <row r="681" customFormat="false" ht="13.5" hidden="false" customHeight="false" outlineLevel="0" collapsed="false">
      <c r="A681" s="1" t="str">
        <f aca="false">IF(对接源_01水果!$C681="","",对接源_01水果!$C681)</f>
        <v/>
      </c>
      <c r="B681" s="1" t="n">
        <f aca="false">IF(A681="",0,IF(MATCH(A681,$A$4:$A$2403,0)=ROW()-3,1,0))</f>
        <v>0</v>
      </c>
      <c r="C681" s="1" t="n">
        <f aca="false">N(C680)+B681</f>
        <v>13</v>
      </c>
      <c r="K681" s="1" t="n">
        <f aca="false">IF(OR($K$1="",对接源_01水果!$C681="",对接源_01水果!$C681&lt;&gt;$K$1,对接源_01水果!$B681=""),0,IF(OR(N(对接源_01水果!$B681)&lt;$K$2,N(对接源_01水果!$B681)&gt;$K$3),0,1))</f>
        <v>0</v>
      </c>
      <c r="L681" s="1" t="n">
        <f aca="false">IF(OR($L$1="",对接源_01水果!$C681="",对接源_01水果!$C681&lt;&gt;$L$1,对接源_01水果!$B681=""),0,IF(OR(N(对接源_01水果!$B681)&lt;$L$2,N(对接源_01水果!$B681)&gt;$L$3),0,1))</f>
        <v>0</v>
      </c>
      <c r="M681" s="1" t="n">
        <f aca="false">IF(OR($M$1="",对接源_01水果!$C681="",对接源_01水果!$C681&lt;&gt;$M$1,对接源_01水果!$B681=""),0,IF(OR(N(对接源_01水果!$B681)&lt;$M$2,N(对接源_01水果!$B681)&gt;$M$3),0,1))</f>
        <v>0</v>
      </c>
      <c r="N681" s="1" t="n">
        <f aca="false">IF(OR($N$1="",对接源_01水果!$C681="",对接源_01水果!$C681&lt;&gt;$N$1,对接源_01水果!$B681=""),0,IF(OR(N(对接源_01水果!$B681)&lt;$N$2,N(对接源_01水果!$B681)&gt;$N$3),0,1))</f>
        <v>0</v>
      </c>
      <c r="P681" s="1" t="n">
        <f aca="false">IF(AND($K681=1,AND(对接源_01水果!$X681="公司筐",N(对接源_01水果!$T681)&lt;&gt;0)),1,0)</f>
        <v>0</v>
      </c>
      <c r="Q681" s="1" t="n">
        <f aca="false">N(Q680)+$P681</f>
        <v>3</v>
      </c>
      <c r="R681" s="1" t="n">
        <f aca="false">IF(AND($K681=1,AND(对接源_01水果!$X681="公司筐",N(对接源_01水果!$U681)&lt;&gt;0)),1,0)</f>
        <v>0</v>
      </c>
      <c r="S681" s="1" t="n">
        <f aca="false">N(S680)+$R681</f>
        <v>0</v>
      </c>
      <c r="T681" s="1" t="n">
        <f aca="false">IF(AND($K681=1,AND(对接源_01水果!$X681="公司筐",N(对接源_01水果!$V681)&lt;&gt;0)),1,0)</f>
        <v>0</v>
      </c>
      <c r="U681" s="1" t="n">
        <f aca="false">N(U680)+$T681</f>
        <v>28</v>
      </c>
      <c r="V681" s="1" t="n">
        <f aca="false">IF(AND($L681=1,AND(对接源_01水果!$X681="自备筐",N(对接源_01水果!$V681)&lt;&gt;0)),1,0)</f>
        <v>0</v>
      </c>
      <c r="W681" s="1" t="n">
        <f aca="false">N(W680)+$V681</f>
        <v>7</v>
      </c>
      <c r="X681" s="1" t="n">
        <f aca="false">IF(AND($L681=1,AND(对接源_01水果!$X681="自备筐",N(对接源_01水果!$T681)&lt;&gt;0)),1,0)</f>
        <v>0</v>
      </c>
      <c r="Y681" s="1" t="n">
        <f aca="false">N(Y680)+$X681</f>
        <v>0</v>
      </c>
      <c r="Z681" s="1" t="n">
        <f aca="false">IF(AND($M681=1,对接源_01水果!$D681="原料入库"),1,0)</f>
        <v>0</v>
      </c>
      <c r="AA681" s="1" t="n">
        <f aca="false">N(AA680)+$Z681</f>
        <v>30</v>
      </c>
      <c r="AB681" s="1" t="n">
        <f aca="false">IF(AND($M681=1,LEFT(对接源_01水果!$D681,4)="原料出库"),1,0)</f>
        <v>0</v>
      </c>
      <c r="AC681" s="1" t="n">
        <f aca="false">N(AC680)+$AB681</f>
        <v>19</v>
      </c>
      <c r="AD681" s="1" t="n">
        <f aca="false">IF(AND($M681=1,LEFT(对接源_01水果!$D681,4)="成品出库"),1,0)</f>
        <v>0</v>
      </c>
      <c r="AE681" s="1" t="n">
        <f aca="false">N(AE680)+$AD681</f>
        <v>38</v>
      </c>
      <c r="AF681" s="1" t="n">
        <f aca="false">IF(AND($N681=1,AND(LEFT(对接源_01水果!$D681,4)="包装物料",N(对接源_01水果!$K681)&lt;&gt;0)),1,0)</f>
        <v>0</v>
      </c>
      <c r="AG681" s="90" t="str">
        <f aca="false">IF(对接源_01水果!$AC681="","",对接源_01水果!$AC681)</f>
        <v/>
      </c>
      <c r="AH681" s="1" t="n">
        <f aca="false">IF(AND($N681=1,AND(LEFT(对接源_01水果!$D681,3)="周转筐",N(对接源_01水果!$K681)&lt;&gt;0)),1,0)</f>
        <v>0</v>
      </c>
      <c r="AI681" s="90" t="n">
        <f aca="false">IF(AG681="",0,IF(MATCH(AG681,$AG$4:$AG$1203,0)=ROW()-3,1,0))</f>
        <v>0</v>
      </c>
      <c r="AJ681" s="90" t="n">
        <f aca="false">N(AJ680)+AI681</f>
        <v>4</v>
      </c>
      <c r="AK681" s="1" t="n">
        <f aca="false">N(AK680)+$AJ681</f>
        <v>1584</v>
      </c>
    </row>
    <row r="682" customFormat="false" ht="13.5" hidden="false" customHeight="false" outlineLevel="0" collapsed="false">
      <c r="A682" s="1" t="str">
        <f aca="false">IF(对接源_01水果!$C682="","",对接源_01水果!$C682)</f>
        <v/>
      </c>
      <c r="B682" s="1" t="n">
        <f aca="false">IF(A682="",0,IF(MATCH(A682,$A$4:$A$2403,0)=ROW()-3,1,0))</f>
        <v>0</v>
      </c>
      <c r="C682" s="1" t="n">
        <f aca="false">N(C681)+B682</f>
        <v>13</v>
      </c>
      <c r="K682" s="1" t="n">
        <f aca="false">IF(OR($K$1="",对接源_01水果!$C682="",对接源_01水果!$C682&lt;&gt;$K$1,对接源_01水果!$B682=""),0,IF(OR(N(对接源_01水果!$B682)&lt;$K$2,N(对接源_01水果!$B682)&gt;$K$3),0,1))</f>
        <v>0</v>
      </c>
      <c r="L682" s="1" t="n">
        <f aca="false">IF(OR($L$1="",对接源_01水果!$C682="",对接源_01水果!$C682&lt;&gt;$L$1,对接源_01水果!$B682=""),0,IF(OR(N(对接源_01水果!$B682)&lt;$L$2,N(对接源_01水果!$B682)&gt;$L$3),0,1))</f>
        <v>0</v>
      </c>
      <c r="M682" s="1" t="n">
        <f aca="false">IF(OR($M$1="",对接源_01水果!$C682="",对接源_01水果!$C682&lt;&gt;$M$1,对接源_01水果!$B682=""),0,IF(OR(N(对接源_01水果!$B682)&lt;$M$2,N(对接源_01水果!$B682)&gt;$M$3),0,1))</f>
        <v>0</v>
      </c>
      <c r="N682" s="1" t="n">
        <f aca="false">IF(OR($N$1="",对接源_01水果!$C682="",对接源_01水果!$C682&lt;&gt;$N$1,对接源_01水果!$B682=""),0,IF(OR(N(对接源_01水果!$B682)&lt;$N$2,N(对接源_01水果!$B682)&gt;$N$3),0,1))</f>
        <v>0</v>
      </c>
      <c r="P682" s="1" t="n">
        <f aca="false">IF(AND($K682=1,AND(对接源_01水果!$X682="公司筐",N(对接源_01水果!$T682)&lt;&gt;0)),1,0)</f>
        <v>0</v>
      </c>
      <c r="Q682" s="1" t="n">
        <f aca="false">N(Q681)+$P682</f>
        <v>3</v>
      </c>
      <c r="R682" s="1" t="n">
        <f aca="false">IF(AND($K682=1,AND(对接源_01水果!$X682="公司筐",N(对接源_01水果!$U682)&lt;&gt;0)),1,0)</f>
        <v>0</v>
      </c>
      <c r="S682" s="1" t="n">
        <f aca="false">N(S681)+$R682</f>
        <v>0</v>
      </c>
      <c r="T682" s="1" t="n">
        <f aca="false">IF(AND($K682=1,AND(对接源_01水果!$X682="公司筐",N(对接源_01水果!$V682)&lt;&gt;0)),1,0)</f>
        <v>0</v>
      </c>
      <c r="U682" s="1" t="n">
        <f aca="false">N(U681)+$T682</f>
        <v>28</v>
      </c>
      <c r="V682" s="1" t="n">
        <f aca="false">IF(AND($L682=1,AND(对接源_01水果!$X682="自备筐",N(对接源_01水果!$V682)&lt;&gt;0)),1,0)</f>
        <v>0</v>
      </c>
      <c r="W682" s="1" t="n">
        <f aca="false">N(W681)+$V682</f>
        <v>7</v>
      </c>
      <c r="X682" s="1" t="n">
        <f aca="false">IF(AND($L682=1,AND(对接源_01水果!$X682="自备筐",N(对接源_01水果!$T682)&lt;&gt;0)),1,0)</f>
        <v>0</v>
      </c>
      <c r="Y682" s="1" t="n">
        <f aca="false">N(Y681)+$X682</f>
        <v>0</v>
      </c>
      <c r="Z682" s="1" t="n">
        <f aca="false">IF(AND($M682=1,对接源_01水果!$D682="原料入库"),1,0)</f>
        <v>0</v>
      </c>
      <c r="AA682" s="1" t="n">
        <f aca="false">N(AA681)+$Z682</f>
        <v>30</v>
      </c>
      <c r="AB682" s="1" t="n">
        <f aca="false">IF(AND($M682=1,LEFT(对接源_01水果!$D682,4)="原料出库"),1,0)</f>
        <v>0</v>
      </c>
      <c r="AC682" s="1" t="n">
        <f aca="false">N(AC681)+$AB682</f>
        <v>19</v>
      </c>
      <c r="AD682" s="1" t="n">
        <f aca="false">IF(AND($M682=1,LEFT(对接源_01水果!$D682,4)="成品出库"),1,0)</f>
        <v>0</v>
      </c>
      <c r="AE682" s="1" t="n">
        <f aca="false">N(AE681)+$AD682</f>
        <v>38</v>
      </c>
      <c r="AF682" s="1" t="n">
        <f aca="false">IF(AND($N682=1,AND(LEFT(对接源_01水果!$D682,4)="包装物料",N(对接源_01水果!$K682)&lt;&gt;0)),1,0)</f>
        <v>0</v>
      </c>
      <c r="AG682" s="90" t="str">
        <f aca="false">IF(对接源_01水果!$AC682="","",对接源_01水果!$AC682)</f>
        <v/>
      </c>
      <c r="AH682" s="1" t="n">
        <f aca="false">IF(AND($N682=1,AND(LEFT(对接源_01水果!$D682,3)="周转筐",N(对接源_01水果!$K682)&lt;&gt;0)),1,0)</f>
        <v>0</v>
      </c>
      <c r="AI682" s="90" t="n">
        <f aca="false">IF(AG682="",0,IF(MATCH(AG682,$AG$4:$AG$1203,0)=ROW()-3,1,0))</f>
        <v>0</v>
      </c>
      <c r="AJ682" s="90" t="n">
        <f aca="false">N(AJ681)+AI682</f>
        <v>4</v>
      </c>
      <c r="AK682" s="1" t="n">
        <f aca="false">N(AK681)+$AJ682</f>
        <v>1588</v>
      </c>
    </row>
    <row r="683" customFormat="false" ht="13.5" hidden="false" customHeight="false" outlineLevel="0" collapsed="false">
      <c r="A683" s="1" t="str">
        <f aca="false">IF(对接源_01水果!$C683="","",对接源_01水果!$C683)</f>
        <v/>
      </c>
      <c r="B683" s="1" t="n">
        <f aca="false">IF(A683="",0,IF(MATCH(A683,$A$4:$A$2403,0)=ROW()-3,1,0))</f>
        <v>0</v>
      </c>
      <c r="C683" s="1" t="n">
        <f aca="false">N(C682)+B683</f>
        <v>13</v>
      </c>
      <c r="K683" s="1" t="n">
        <f aca="false">IF(OR($K$1="",对接源_01水果!$C683="",对接源_01水果!$C683&lt;&gt;$K$1,对接源_01水果!$B683=""),0,IF(OR(N(对接源_01水果!$B683)&lt;$K$2,N(对接源_01水果!$B683)&gt;$K$3),0,1))</f>
        <v>0</v>
      </c>
      <c r="L683" s="1" t="n">
        <f aca="false">IF(OR($L$1="",对接源_01水果!$C683="",对接源_01水果!$C683&lt;&gt;$L$1,对接源_01水果!$B683=""),0,IF(OR(N(对接源_01水果!$B683)&lt;$L$2,N(对接源_01水果!$B683)&gt;$L$3),0,1))</f>
        <v>0</v>
      </c>
      <c r="M683" s="1" t="n">
        <f aca="false">IF(OR($M$1="",对接源_01水果!$C683="",对接源_01水果!$C683&lt;&gt;$M$1,对接源_01水果!$B683=""),0,IF(OR(N(对接源_01水果!$B683)&lt;$M$2,N(对接源_01水果!$B683)&gt;$M$3),0,1))</f>
        <v>0</v>
      </c>
      <c r="N683" s="1" t="n">
        <f aca="false">IF(OR($N$1="",对接源_01水果!$C683="",对接源_01水果!$C683&lt;&gt;$N$1,对接源_01水果!$B683=""),0,IF(OR(N(对接源_01水果!$B683)&lt;$N$2,N(对接源_01水果!$B683)&gt;$N$3),0,1))</f>
        <v>0</v>
      </c>
      <c r="P683" s="1" t="n">
        <f aca="false">IF(AND($K683=1,AND(对接源_01水果!$X683="公司筐",N(对接源_01水果!$T683)&lt;&gt;0)),1,0)</f>
        <v>0</v>
      </c>
      <c r="Q683" s="1" t="n">
        <f aca="false">N(Q682)+$P683</f>
        <v>3</v>
      </c>
      <c r="R683" s="1" t="n">
        <f aca="false">IF(AND($K683=1,AND(对接源_01水果!$X683="公司筐",N(对接源_01水果!$U683)&lt;&gt;0)),1,0)</f>
        <v>0</v>
      </c>
      <c r="S683" s="1" t="n">
        <f aca="false">N(S682)+$R683</f>
        <v>0</v>
      </c>
      <c r="T683" s="1" t="n">
        <f aca="false">IF(AND($K683=1,AND(对接源_01水果!$X683="公司筐",N(对接源_01水果!$V683)&lt;&gt;0)),1,0)</f>
        <v>0</v>
      </c>
      <c r="U683" s="1" t="n">
        <f aca="false">N(U682)+$T683</f>
        <v>28</v>
      </c>
      <c r="V683" s="1" t="n">
        <f aca="false">IF(AND($L683=1,AND(对接源_01水果!$X683="自备筐",N(对接源_01水果!$V683)&lt;&gt;0)),1,0)</f>
        <v>0</v>
      </c>
      <c r="W683" s="1" t="n">
        <f aca="false">N(W682)+$V683</f>
        <v>7</v>
      </c>
      <c r="X683" s="1" t="n">
        <f aca="false">IF(AND($L683=1,AND(对接源_01水果!$X683="自备筐",N(对接源_01水果!$T683)&lt;&gt;0)),1,0)</f>
        <v>0</v>
      </c>
      <c r="Y683" s="1" t="n">
        <f aca="false">N(Y682)+$X683</f>
        <v>0</v>
      </c>
      <c r="Z683" s="1" t="n">
        <f aca="false">IF(AND($M683=1,对接源_01水果!$D683="原料入库"),1,0)</f>
        <v>0</v>
      </c>
      <c r="AA683" s="1" t="n">
        <f aca="false">N(AA682)+$Z683</f>
        <v>30</v>
      </c>
      <c r="AB683" s="1" t="n">
        <f aca="false">IF(AND($M683=1,LEFT(对接源_01水果!$D683,4)="原料出库"),1,0)</f>
        <v>0</v>
      </c>
      <c r="AC683" s="1" t="n">
        <f aca="false">N(AC682)+$AB683</f>
        <v>19</v>
      </c>
      <c r="AD683" s="1" t="n">
        <f aca="false">IF(AND($M683=1,LEFT(对接源_01水果!$D683,4)="成品出库"),1,0)</f>
        <v>0</v>
      </c>
      <c r="AE683" s="1" t="n">
        <f aca="false">N(AE682)+$AD683</f>
        <v>38</v>
      </c>
      <c r="AF683" s="1" t="n">
        <f aca="false">IF(AND($N683=1,AND(LEFT(对接源_01水果!$D683,4)="包装物料",N(对接源_01水果!$K683)&lt;&gt;0)),1,0)</f>
        <v>0</v>
      </c>
      <c r="AG683" s="90" t="str">
        <f aca="false">IF(对接源_01水果!$AC683="","",对接源_01水果!$AC683)</f>
        <v/>
      </c>
      <c r="AH683" s="1" t="n">
        <f aca="false">IF(AND($N683=1,AND(LEFT(对接源_01水果!$D683,3)="周转筐",N(对接源_01水果!$K683)&lt;&gt;0)),1,0)</f>
        <v>0</v>
      </c>
      <c r="AI683" s="90" t="n">
        <f aca="false">IF(AG683="",0,IF(MATCH(AG683,$AG$4:$AG$1203,0)=ROW()-3,1,0))</f>
        <v>0</v>
      </c>
      <c r="AJ683" s="90" t="n">
        <f aca="false">N(AJ682)+AI683</f>
        <v>4</v>
      </c>
      <c r="AK683" s="1" t="n">
        <f aca="false">N(AK682)+$AJ683</f>
        <v>1592</v>
      </c>
    </row>
    <row r="684" customFormat="false" ht="13.5" hidden="false" customHeight="false" outlineLevel="0" collapsed="false">
      <c r="A684" s="1" t="str">
        <f aca="false">IF(对接源_01水果!$C684="","",对接源_01水果!$C684)</f>
        <v/>
      </c>
      <c r="B684" s="1" t="n">
        <f aca="false">IF(A684="",0,IF(MATCH(A684,$A$4:$A$2403,0)=ROW()-3,1,0))</f>
        <v>0</v>
      </c>
      <c r="C684" s="1" t="n">
        <f aca="false">N(C683)+B684</f>
        <v>13</v>
      </c>
      <c r="K684" s="1" t="n">
        <f aca="false">IF(OR($K$1="",对接源_01水果!$C684="",对接源_01水果!$C684&lt;&gt;$K$1,对接源_01水果!$B684=""),0,IF(OR(N(对接源_01水果!$B684)&lt;$K$2,N(对接源_01水果!$B684)&gt;$K$3),0,1))</f>
        <v>0</v>
      </c>
      <c r="L684" s="1" t="n">
        <f aca="false">IF(OR($L$1="",对接源_01水果!$C684="",对接源_01水果!$C684&lt;&gt;$L$1,对接源_01水果!$B684=""),0,IF(OR(N(对接源_01水果!$B684)&lt;$L$2,N(对接源_01水果!$B684)&gt;$L$3),0,1))</f>
        <v>0</v>
      </c>
      <c r="M684" s="1" t="n">
        <f aca="false">IF(OR($M$1="",对接源_01水果!$C684="",对接源_01水果!$C684&lt;&gt;$M$1,对接源_01水果!$B684=""),0,IF(OR(N(对接源_01水果!$B684)&lt;$M$2,N(对接源_01水果!$B684)&gt;$M$3),0,1))</f>
        <v>0</v>
      </c>
      <c r="N684" s="1" t="n">
        <f aca="false">IF(OR($N$1="",对接源_01水果!$C684="",对接源_01水果!$C684&lt;&gt;$N$1,对接源_01水果!$B684=""),0,IF(OR(N(对接源_01水果!$B684)&lt;$N$2,N(对接源_01水果!$B684)&gt;$N$3),0,1))</f>
        <v>0</v>
      </c>
      <c r="P684" s="1" t="n">
        <f aca="false">IF(AND($K684=1,AND(对接源_01水果!$X684="公司筐",N(对接源_01水果!$T684)&lt;&gt;0)),1,0)</f>
        <v>0</v>
      </c>
      <c r="Q684" s="1" t="n">
        <f aca="false">N(Q683)+$P684</f>
        <v>3</v>
      </c>
      <c r="R684" s="1" t="n">
        <f aca="false">IF(AND($K684=1,AND(对接源_01水果!$X684="公司筐",N(对接源_01水果!$U684)&lt;&gt;0)),1,0)</f>
        <v>0</v>
      </c>
      <c r="S684" s="1" t="n">
        <f aca="false">N(S683)+$R684</f>
        <v>0</v>
      </c>
      <c r="T684" s="1" t="n">
        <f aca="false">IF(AND($K684=1,AND(对接源_01水果!$X684="公司筐",N(对接源_01水果!$V684)&lt;&gt;0)),1,0)</f>
        <v>0</v>
      </c>
      <c r="U684" s="1" t="n">
        <f aca="false">N(U683)+$T684</f>
        <v>28</v>
      </c>
      <c r="V684" s="1" t="n">
        <f aca="false">IF(AND($L684=1,AND(对接源_01水果!$X684="自备筐",N(对接源_01水果!$V684)&lt;&gt;0)),1,0)</f>
        <v>0</v>
      </c>
      <c r="W684" s="1" t="n">
        <f aca="false">N(W683)+$V684</f>
        <v>7</v>
      </c>
      <c r="X684" s="1" t="n">
        <f aca="false">IF(AND($L684=1,AND(对接源_01水果!$X684="自备筐",N(对接源_01水果!$T684)&lt;&gt;0)),1,0)</f>
        <v>0</v>
      </c>
      <c r="Y684" s="1" t="n">
        <f aca="false">N(Y683)+$X684</f>
        <v>0</v>
      </c>
      <c r="Z684" s="1" t="n">
        <f aca="false">IF(AND($M684=1,对接源_01水果!$D684="原料入库"),1,0)</f>
        <v>0</v>
      </c>
      <c r="AA684" s="1" t="n">
        <f aca="false">N(AA683)+$Z684</f>
        <v>30</v>
      </c>
      <c r="AB684" s="1" t="n">
        <f aca="false">IF(AND($M684=1,LEFT(对接源_01水果!$D684,4)="原料出库"),1,0)</f>
        <v>0</v>
      </c>
      <c r="AC684" s="1" t="n">
        <f aca="false">N(AC683)+$AB684</f>
        <v>19</v>
      </c>
      <c r="AD684" s="1" t="n">
        <f aca="false">IF(AND($M684=1,LEFT(对接源_01水果!$D684,4)="成品出库"),1,0)</f>
        <v>0</v>
      </c>
      <c r="AE684" s="1" t="n">
        <f aca="false">N(AE683)+$AD684</f>
        <v>38</v>
      </c>
      <c r="AF684" s="1" t="n">
        <f aca="false">IF(AND($N684=1,AND(LEFT(对接源_01水果!$D684,4)="包装物料",N(对接源_01水果!$K684)&lt;&gt;0)),1,0)</f>
        <v>0</v>
      </c>
      <c r="AG684" s="90" t="str">
        <f aca="false">IF(对接源_01水果!$AC684="","",对接源_01水果!$AC684)</f>
        <v/>
      </c>
      <c r="AH684" s="1" t="n">
        <f aca="false">IF(AND($N684=1,AND(LEFT(对接源_01水果!$D684,3)="周转筐",N(对接源_01水果!$K684)&lt;&gt;0)),1,0)</f>
        <v>0</v>
      </c>
      <c r="AI684" s="90" t="n">
        <f aca="false">IF(AG684="",0,IF(MATCH(AG684,$AG$4:$AG$1203,0)=ROW()-3,1,0))</f>
        <v>0</v>
      </c>
      <c r="AJ684" s="90" t="n">
        <f aca="false">N(AJ683)+AI684</f>
        <v>4</v>
      </c>
      <c r="AK684" s="1" t="n">
        <f aca="false">N(AK683)+$AJ684</f>
        <v>1596</v>
      </c>
    </row>
    <row r="685" customFormat="false" ht="13.5" hidden="false" customHeight="false" outlineLevel="0" collapsed="false">
      <c r="A685" s="1" t="str">
        <f aca="false">IF(对接源_01水果!$C685="","",对接源_01水果!$C685)</f>
        <v/>
      </c>
      <c r="B685" s="1" t="n">
        <f aca="false">IF(A685="",0,IF(MATCH(A685,$A$4:$A$2403,0)=ROW()-3,1,0))</f>
        <v>0</v>
      </c>
      <c r="C685" s="1" t="n">
        <f aca="false">N(C684)+B685</f>
        <v>13</v>
      </c>
      <c r="K685" s="1" t="n">
        <f aca="false">IF(OR($K$1="",对接源_01水果!$C685="",对接源_01水果!$C685&lt;&gt;$K$1,对接源_01水果!$B685=""),0,IF(OR(N(对接源_01水果!$B685)&lt;$K$2,N(对接源_01水果!$B685)&gt;$K$3),0,1))</f>
        <v>0</v>
      </c>
      <c r="L685" s="1" t="n">
        <f aca="false">IF(OR($L$1="",对接源_01水果!$C685="",对接源_01水果!$C685&lt;&gt;$L$1,对接源_01水果!$B685=""),0,IF(OR(N(对接源_01水果!$B685)&lt;$L$2,N(对接源_01水果!$B685)&gt;$L$3),0,1))</f>
        <v>0</v>
      </c>
      <c r="M685" s="1" t="n">
        <f aca="false">IF(OR($M$1="",对接源_01水果!$C685="",对接源_01水果!$C685&lt;&gt;$M$1,对接源_01水果!$B685=""),0,IF(OR(N(对接源_01水果!$B685)&lt;$M$2,N(对接源_01水果!$B685)&gt;$M$3),0,1))</f>
        <v>0</v>
      </c>
      <c r="N685" s="1" t="n">
        <f aca="false">IF(OR($N$1="",对接源_01水果!$C685="",对接源_01水果!$C685&lt;&gt;$N$1,对接源_01水果!$B685=""),0,IF(OR(N(对接源_01水果!$B685)&lt;$N$2,N(对接源_01水果!$B685)&gt;$N$3),0,1))</f>
        <v>0</v>
      </c>
      <c r="P685" s="1" t="n">
        <f aca="false">IF(AND($K685=1,AND(对接源_01水果!$X685="公司筐",N(对接源_01水果!$T685)&lt;&gt;0)),1,0)</f>
        <v>0</v>
      </c>
      <c r="Q685" s="1" t="n">
        <f aca="false">N(Q684)+$P685</f>
        <v>3</v>
      </c>
      <c r="R685" s="1" t="n">
        <f aca="false">IF(AND($K685=1,AND(对接源_01水果!$X685="公司筐",N(对接源_01水果!$U685)&lt;&gt;0)),1,0)</f>
        <v>0</v>
      </c>
      <c r="S685" s="1" t="n">
        <f aca="false">N(S684)+$R685</f>
        <v>0</v>
      </c>
      <c r="T685" s="1" t="n">
        <f aca="false">IF(AND($K685=1,AND(对接源_01水果!$X685="公司筐",N(对接源_01水果!$V685)&lt;&gt;0)),1,0)</f>
        <v>0</v>
      </c>
      <c r="U685" s="1" t="n">
        <f aca="false">N(U684)+$T685</f>
        <v>28</v>
      </c>
      <c r="V685" s="1" t="n">
        <f aca="false">IF(AND($L685=1,AND(对接源_01水果!$X685="自备筐",N(对接源_01水果!$V685)&lt;&gt;0)),1,0)</f>
        <v>0</v>
      </c>
      <c r="W685" s="1" t="n">
        <f aca="false">N(W684)+$V685</f>
        <v>7</v>
      </c>
      <c r="X685" s="1" t="n">
        <f aca="false">IF(AND($L685=1,AND(对接源_01水果!$X685="自备筐",N(对接源_01水果!$T685)&lt;&gt;0)),1,0)</f>
        <v>0</v>
      </c>
      <c r="Y685" s="1" t="n">
        <f aca="false">N(Y684)+$X685</f>
        <v>0</v>
      </c>
      <c r="Z685" s="1" t="n">
        <f aca="false">IF(AND($M685=1,对接源_01水果!$D685="原料入库"),1,0)</f>
        <v>0</v>
      </c>
      <c r="AA685" s="1" t="n">
        <f aca="false">N(AA684)+$Z685</f>
        <v>30</v>
      </c>
      <c r="AB685" s="1" t="n">
        <f aca="false">IF(AND($M685=1,LEFT(对接源_01水果!$D685,4)="原料出库"),1,0)</f>
        <v>0</v>
      </c>
      <c r="AC685" s="1" t="n">
        <f aca="false">N(AC684)+$AB685</f>
        <v>19</v>
      </c>
      <c r="AD685" s="1" t="n">
        <f aca="false">IF(AND($M685=1,LEFT(对接源_01水果!$D685,4)="成品出库"),1,0)</f>
        <v>0</v>
      </c>
      <c r="AE685" s="1" t="n">
        <f aca="false">N(AE684)+$AD685</f>
        <v>38</v>
      </c>
      <c r="AF685" s="1" t="n">
        <f aca="false">IF(AND($N685=1,AND(LEFT(对接源_01水果!$D685,4)="包装物料",N(对接源_01水果!$K685)&lt;&gt;0)),1,0)</f>
        <v>0</v>
      </c>
      <c r="AG685" s="90" t="str">
        <f aca="false">IF(对接源_01水果!$AC685="","",对接源_01水果!$AC685)</f>
        <v/>
      </c>
      <c r="AH685" s="1" t="n">
        <f aca="false">IF(AND($N685=1,AND(LEFT(对接源_01水果!$D685,3)="周转筐",N(对接源_01水果!$K685)&lt;&gt;0)),1,0)</f>
        <v>0</v>
      </c>
      <c r="AI685" s="90" t="n">
        <f aca="false">IF(AG685="",0,IF(MATCH(AG685,$AG$4:$AG$1203,0)=ROW()-3,1,0))</f>
        <v>0</v>
      </c>
      <c r="AJ685" s="90" t="n">
        <f aca="false">N(AJ684)+AI685</f>
        <v>4</v>
      </c>
      <c r="AK685" s="1" t="n">
        <f aca="false">N(AK684)+$AJ685</f>
        <v>1600</v>
      </c>
    </row>
    <row r="686" customFormat="false" ht="13.5" hidden="false" customHeight="false" outlineLevel="0" collapsed="false">
      <c r="A686" s="1" t="str">
        <f aca="false">IF(对接源_01水果!$C686="","",对接源_01水果!$C686)</f>
        <v/>
      </c>
      <c r="B686" s="1" t="n">
        <f aca="false">IF(A686="",0,IF(MATCH(A686,$A$4:$A$2403,0)=ROW()-3,1,0))</f>
        <v>0</v>
      </c>
      <c r="C686" s="1" t="n">
        <f aca="false">N(C685)+B686</f>
        <v>13</v>
      </c>
      <c r="K686" s="1" t="n">
        <f aca="false">IF(OR($K$1="",对接源_01水果!$C686="",对接源_01水果!$C686&lt;&gt;$K$1,对接源_01水果!$B686=""),0,IF(OR(N(对接源_01水果!$B686)&lt;$K$2,N(对接源_01水果!$B686)&gt;$K$3),0,1))</f>
        <v>0</v>
      </c>
      <c r="L686" s="1" t="n">
        <f aca="false">IF(OR($L$1="",对接源_01水果!$C686="",对接源_01水果!$C686&lt;&gt;$L$1,对接源_01水果!$B686=""),0,IF(OR(N(对接源_01水果!$B686)&lt;$L$2,N(对接源_01水果!$B686)&gt;$L$3),0,1))</f>
        <v>0</v>
      </c>
      <c r="M686" s="1" t="n">
        <f aca="false">IF(OR($M$1="",对接源_01水果!$C686="",对接源_01水果!$C686&lt;&gt;$M$1,对接源_01水果!$B686=""),0,IF(OR(N(对接源_01水果!$B686)&lt;$M$2,N(对接源_01水果!$B686)&gt;$M$3),0,1))</f>
        <v>0</v>
      </c>
      <c r="N686" s="1" t="n">
        <f aca="false">IF(OR($N$1="",对接源_01水果!$C686="",对接源_01水果!$C686&lt;&gt;$N$1,对接源_01水果!$B686=""),0,IF(OR(N(对接源_01水果!$B686)&lt;$N$2,N(对接源_01水果!$B686)&gt;$N$3),0,1))</f>
        <v>0</v>
      </c>
      <c r="P686" s="1" t="n">
        <f aca="false">IF(AND($K686=1,AND(对接源_01水果!$X686="公司筐",N(对接源_01水果!$T686)&lt;&gt;0)),1,0)</f>
        <v>0</v>
      </c>
      <c r="Q686" s="1" t="n">
        <f aca="false">N(Q685)+$P686</f>
        <v>3</v>
      </c>
      <c r="R686" s="1" t="n">
        <f aca="false">IF(AND($K686=1,AND(对接源_01水果!$X686="公司筐",N(对接源_01水果!$U686)&lt;&gt;0)),1,0)</f>
        <v>0</v>
      </c>
      <c r="S686" s="1" t="n">
        <f aca="false">N(S685)+$R686</f>
        <v>0</v>
      </c>
      <c r="T686" s="1" t="n">
        <f aca="false">IF(AND($K686=1,AND(对接源_01水果!$X686="公司筐",N(对接源_01水果!$V686)&lt;&gt;0)),1,0)</f>
        <v>0</v>
      </c>
      <c r="U686" s="1" t="n">
        <f aca="false">N(U685)+$T686</f>
        <v>28</v>
      </c>
      <c r="V686" s="1" t="n">
        <f aca="false">IF(AND($L686=1,AND(对接源_01水果!$X686="自备筐",N(对接源_01水果!$V686)&lt;&gt;0)),1,0)</f>
        <v>0</v>
      </c>
      <c r="W686" s="1" t="n">
        <f aca="false">N(W685)+$V686</f>
        <v>7</v>
      </c>
      <c r="X686" s="1" t="n">
        <f aca="false">IF(AND($L686=1,AND(对接源_01水果!$X686="自备筐",N(对接源_01水果!$T686)&lt;&gt;0)),1,0)</f>
        <v>0</v>
      </c>
      <c r="Y686" s="1" t="n">
        <f aca="false">N(Y685)+$X686</f>
        <v>0</v>
      </c>
      <c r="Z686" s="1" t="n">
        <f aca="false">IF(AND($M686=1,对接源_01水果!$D686="原料入库"),1,0)</f>
        <v>0</v>
      </c>
      <c r="AA686" s="1" t="n">
        <f aca="false">N(AA685)+$Z686</f>
        <v>30</v>
      </c>
      <c r="AB686" s="1" t="n">
        <f aca="false">IF(AND($M686=1,LEFT(对接源_01水果!$D686,4)="原料出库"),1,0)</f>
        <v>0</v>
      </c>
      <c r="AC686" s="1" t="n">
        <f aca="false">N(AC685)+$AB686</f>
        <v>19</v>
      </c>
      <c r="AD686" s="1" t="n">
        <f aca="false">IF(AND($M686=1,LEFT(对接源_01水果!$D686,4)="成品出库"),1,0)</f>
        <v>0</v>
      </c>
      <c r="AE686" s="1" t="n">
        <f aca="false">N(AE685)+$AD686</f>
        <v>38</v>
      </c>
      <c r="AF686" s="1" t="n">
        <f aca="false">IF(AND($N686=1,AND(LEFT(对接源_01水果!$D686,4)="包装物料",N(对接源_01水果!$K686)&lt;&gt;0)),1,0)</f>
        <v>0</v>
      </c>
      <c r="AG686" s="90" t="str">
        <f aca="false">IF(对接源_01水果!$AC686="","",对接源_01水果!$AC686)</f>
        <v/>
      </c>
      <c r="AH686" s="1" t="n">
        <f aca="false">IF(AND($N686=1,AND(LEFT(对接源_01水果!$D686,3)="周转筐",N(对接源_01水果!$K686)&lt;&gt;0)),1,0)</f>
        <v>0</v>
      </c>
      <c r="AI686" s="90" t="n">
        <f aca="false">IF(AG686="",0,IF(MATCH(AG686,$AG$4:$AG$1203,0)=ROW()-3,1,0))</f>
        <v>0</v>
      </c>
      <c r="AJ686" s="90" t="n">
        <f aca="false">N(AJ685)+AI686</f>
        <v>4</v>
      </c>
      <c r="AK686" s="1" t="n">
        <f aca="false">N(AK685)+$AJ686</f>
        <v>1604</v>
      </c>
    </row>
    <row r="687" customFormat="false" ht="13.5" hidden="false" customHeight="false" outlineLevel="0" collapsed="false">
      <c r="A687" s="1" t="str">
        <f aca="false">IF(对接源_01水果!$C687="","",对接源_01水果!$C687)</f>
        <v/>
      </c>
      <c r="B687" s="1" t="n">
        <f aca="false">IF(A687="",0,IF(MATCH(A687,$A$4:$A$2403,0)=ROW()-3,1,0))</f>
        <v>0</v>
      </c>
      <c r="C687" s="1" t="n">
        <f aca="false">N(C686)+B687</f>
        <v>13</v>
      </c>
      <c r="K687" s="1" t="n">
        <f aca="false">IF(OR($K$1="",对接源_01水果!$C687="",对接源_01水果!$C687&lt;&gt;$K$1,对接源_01水果!$B687=""),0,IF(OR(N(对接源_01水果!$B687)&lt;$K$2,N(对接源_01水果!$B687)&gt;$K$3),0,1))</f>
        <v>0</v>
      </c>
      <c r="L687" s="1" t="n">
        <f aca="false">IF(OR($L$1="",对接源_01水果!$C687="",对接源_01水果!$C687&lt;&gt;$L$1,对接源_01水果!$B687=""),0,IF(OR(N(对接源_01水果!$B687)&lt;$L$2,N(对接源_01水果!$B687)&gt;$L$3),0,1))</f>
        <v>0</v>
      </c>
      <c r="M687" s="1" t="n">
        <f aca="false">IF(OR($M$1="",对接源_01水果!$C687="",对接源_01水果!$C687&lt;&gt;$M$1,对接源_01水果!$B687=""),0,IF(OR(N(对接源_01水果!$B687)&lt;$M$2,N(对接源_01水果!$B687)&gt;$M$3),0,1))</f>
        <v>0</v>
      </c>
      <c r="N687" s="1" t="n">
        <f aca="false">IF(OR($N$1="",对接源_01水果!$C687="",对接源_01水果!$C687&lt;&gt;$N$1,对接源_01水果!$B687=""),0,IF(OR(N(对接源_01水果!$B687)&lt;$N$2,N(对接源_01水果!$B687)&gt;$N$3),0,1))</f>
        <v>0</v>
      </c>
      <c r="P687" s="1" t="n">
        <f aca="false">IF(AND($K687=1,AND(对接源_01水果!$X687="公司筐",N(对接源_01水果!$T687)&lt;&gt;0)),1,0)</f>
        <v>0</v>
      </c>
      <c r="Q687" s="1" t="n">
        <f aca="false">N(Q686)+$P687</f>
        <v>3</v>
      </c>
      <c r="R687" s="1" t="n">
        <f aca="false">IF(AND($K687=1,AND(对接源_01水果!$X687="公司筐",N(对接源_01水果!$U687)&lt;&gt;0)),1,0)</f>
        <v>0</v>
      </c>
      <c r="S687" s="1" t="n">
        <f aca="false">N(S686)+$R687</f>
        <v>0</v>
      </c>
      <c r="T687" s="1" t="n">
        <f aca="false">IF(AND($K687=1,AND(对接源_01水果!$X687="公司筐",N(对接源_01水果!$V687)&lt;&gt;0)),1,0)</f>
        <v>0</v>
      </c>
      <c r="U687" s="1" t="n">
        <f aca="false">N(U686)+$T687</f>
        <v>28</v>
      </c>
      <c r="V687" s="1" t="n">
        <f aca="false">IF(AND($L687=1,AND(对接源_01水果!$X687="自备筐",N(对接源_01水果!$V687)&lt;&gt;0)),1,0)</f>
        <v>0</v>
      </c>
      <c r="W687" s="1" t="n">
        <f aca="false">N(W686)+$V687</f>
        <v>7</v>
      </c>
      <c r="X687" s="1" t="n">
        <f aca="false">IF(AND($L687=1,AND(对接源_01水果!$X687="自备筐",N(对接源_01水果!$T687)&lt;&gt;0)),1,0)</f>
        <v>0</v>
      </c>
      <c r="Y687" s="1" t="n">
        <f aca="false">N(Y686)+$X687</f>
        <v>0</v>
      </c>
      <c r="Z687" s="1" t="n">
        <f aca="false">IF(AND($M687=1,对接源_01水果!$D687="原料入库"),1,0)</f>
        <v>0</v>
      </c>
      <c r="AA687" s="1" t="n">
        <f aca="false">N(AA686)+$Z687</f>
        <v>30</v>
      </c>
      <c r="AB687" s="1" t="n">
        <f aca="false">IF(AND($M687=1,LEFT(对接源_01水果!$D687,4)="原料出库"),1,0)</f>
        <v>0</v>
      </c>
      <c r="AC687" s="1" t="n">
        <f aca="false">N(AC686)+$AB687</f>
        <v>19</v>
      </c>
      <c r="AD687" s="1" t="n">
        <f aca="false">IF(AND($M687=1,LEFT(对接源_01水果!$D687,4)="成品出库"),1,0)</f>
        <v>0</v>
      </c>
      <c r="AE687" s="1" t="n">
        <f aca="false">N(AE686)+$AD687</f>
        <v>38</v>
      </c>
      <c r="AF687" s="1" t="n">
        <f aca="false">IF(AND($N687=1,AND(LEFT(对接源_01水果!$D687,4)="包装物料",N(对接源_01水果!$K687)&lt;&gt;0)),1,0)</f>
        <v>0</v>
      </c>
      <c r="AG687" s="90" t="str">
        <f aca="false">IF(对接源_01水果!$AC687="","",对接源_01水果!$AC687)</f>
        <v/>
      </c>
      <c r="AH687" s="1" t="n">
        <f aca="false">IF(AND($N687=1,AND(LEFT(对接源_01水果!$D687,3)="周转筐",N(对接源_01水果!$K687)&lt;&gt;0)),1,0)</f>
        <v>0</v>
      </c>
      <c r="AI687" s="90" t="n">
        <f aca="false">IF(AG687="",0,IF(MATCH(AG687,$AG$4:$AG$1203,0)=ROW()-3,1,0))</f>
        <v>0</v>
      </c>
      <c r="AJ687" s="90" t="n">
        <f aca="false">N(AJ686)+AI687</f>
        <v>4</v>
      </c>
      <c r="AK687" s="1" t="n">
        <f aca="false">N(AK686)+$AJ687</f>
        <v>1608</v>
      </c>
    </row>
    <row r="688" customFormat="false" ht="13.5" hidden="false" customHeight="false" outlineLevel="0" collapsed="false">
      <c r="A688" s="1" t="str">
        <f aca="false">IF(对接源_01水果!$C688="","",对接源_01水果!$C688)</f>
        <v/>
      </c>
      <c r="B688" s="1" t="n">
        <f aca="false">IF(A688="",0,IF(MATCH(A688,$A$4:$A$2403,0)=ROW()-3,1,0))</f>
        <v>0</v>
      </c>
      <c r="C688" s="1" t="n">
        <f aca="false">N(C687)+B688</f>
        <v>13</v>
      </c>
      <c r="K688" s="1" t="n">
        <f aca="false">IF(OR($K$1="",对接源_01水果!$C688="",对接源_01水果!$C688&lt;&gt;$K$1,对接源_01水果!$B688=""),0,IF(OR(N(对接源_01水果!$B688)&lt;$K$2,N(对接源_01水果!$B688)&gt;$K$3),0,1))</f>
        <v>0</v>
      </c>
      <c r="L688" s="1" t="n">
        <f aca="false">IF(OR($L$1="",对接源_01水果!$C688="",对接源_01水果!$C688&lt;&gt;$L$1,对接源_01水果!$B688=""),0,IF(OR(N(对接源_01水果!$B688)&lt;$L$2,N(对接源_01水果!$B688)&gt;$L$3),0,1))</f>
        <v>0</v>
      </c>
      <c r="M688" s="1" t="n">
        <f aca="false">IF(OR($M$1="",对接源_01水果!$C688="",对接源_01水果!$C688&lt;&gt;$M$1,对接源_01水果!$B688=""),0,IF(OR(N(对接源_01水果!$B688)&lt;$M$2,N(对接源_01水果!$B688)&gt;$M$3),0,1))</f>
        <v>0</v>
      </c>
      <c r="N688" s="1" t="n">
        <f aca="false">IF(OR($N$1="",对接源_01水果!$C688="",对接源_01水果!$C688&lt;&gt;$N$1,对接源_01水果!$B688=""),0,IF(OR(N(对接源_01水果!$B688)&lt;$N$2,N(对接源_01水果!$B688)&gt;$N$3),0,1))</f>
        <v>0</v>
      </c>
      <c r="P688" s="1" t="n">
        <f aca="false">IF(AND($K688=1,AND(对接源_01水果!$X688="公司筐",N(对接源_01水果!$T688)&lt;&gt;0)),1,0)</f>
        <v>0</v>
      </c>
      <c r="Q688" s="1" t="n">
        <f aca="false">N(Q687)+$P688</f>
        <v>3</v>
      </c>
      <c r="R688" s="1" t="n">
        <f aca="false">IF(AND($K688=1,AND(对接源_01水果!$X688="公司筐",N(对接源_01水果!$U688)&lt;&gt;0)),1,0)</f>
        <v>0</v>
      </c>
      <c r="S688" s="1" t="n">
        <f aca="false">N(S687)+$R688</f>
        <v>0</v>
      </c>
      <c r="T688" s="1" t="n">
        <f aca="false">IF(AND($K688=1,AND(对接源_01水果!$X688="公司筐",N(对接源_01水果!$V688)&lt;&gt;0)),1,0)</f>
        <v>0</v>
      </c>
      <c r="U688" s="1" t="n">
        <f aca="false">N(U687)+$T688</f>
        <v>28</v>
      </c>
      <c r="V688" s="1" t="n">
        <f aca="false">IF(AND($L688=1,AND(对接源_01水果!$X688="自备筐",N(对接源_01水果!$V688)&lt;&gt;0)),1,0)</f>
        <v>0</v>
      </c>
      <c r="W688" s="1" t="n">
        <f aca="false">N(W687)+$V688</f>
        <v>7</v>
      </c>
      <c r="X688" s="1" t="n">
        <f aca="false">IF(AND($L688=1,AND(对接源_01水果!$X688="自备筐",N(对接源_01水果!$T688)&lt;&gt;0)),1,0)</f>
        <v>0</v>
      </c>
      <c r="Y688" s="1" t="n">
        <f aca="false">N(Y687)+$X688</f>
        <v>0</v>
      </c>
      <c r="Z688" s="1" t="n">
        <f aca="false">IF(AND($M688=1,对接源_01水果!$D688="原料入库"),1,0)</f>
        <v>0</v>
      </c>
      <c r="AA688" s="1" t="n">
        <f aca="false">N(AA687)+$Z688</f>
        <v>30</v>
      </c>
      <c r="AB688" s="1" t="n">
        <f aca="false">IF(AND($M688=1,LEFT(对接源_01水果!$D688,4)="原料出库"),1,0)</f>
        <v>0</v>
      </c>
      <c r="AC688" s="1" t="n">
        <f aca="false">N(AC687)+$AB688</f>
        <v>19</v>
      </c>
      <c r="AD688" s="1" t="n">
        <f aca="false">IF(AND($M688=1,LEFT(对接源_01水果!$D688,4)="成品出库"),1,0)</f>
        <v>0</v>
      </c>
      <c r="AE688" s="1" t="n">
        <f aca="false">N(AE687)+$AD688</f>
        <v>38</v>
      </c>
      <c r="AF688" s="1" t="n">
        <f aca="false">IF(AND($N688=1,AND(LEFT(对接源_01水果!$D688,4)="包装物料",N(对接源_01水果!$K688)&lt;&gt;0)),1,0)</f>
        <v>0</v>
      </c>
      <c r="AG688" s="90" t="str">
        <f aca="false">IF(对接源_01水果!$AC688="","",对接源_01水果!$AC688)</f>
        <v/>
      </c>
      <c r="AH688" s="1" t="n">
        <f aca="false">IF(AND($N688=1,AND(LEFT(对接源_01水果!$D688,3)="周转筐",N(对接源_01水果!$K688)&lt;&gt;0)),1,0)</f>
        <v>0</v>
      </c>
      <c r="AI688" s="90" t="n">
        <f aca="false">IF(AG688="",0,IF(MATCH(AG688,$AG$4:$AG$1203,0)=ROW()-3,1,0))</f>
        <v>0</v>
      </c>
      <c r="AJ688" s="90" t="n">
        <f aca="false">N(AJ687)+AI688</f>
        <v>4</v>
      </c>
      <c r="AK688" s="1" t="n">
        <f aca="false">N(AK687)+$AJ688</f>
        <v>1612</v>
      </c>
    </row>
    <row r="689" customFormat="false" ht="13.5" hidden="false" customHeight="false" outlineLevel="0" collapsed="false">
      <c r="A689" s="1" t="str">
        <f aca="false">IF(对接源_01水果!$C689="","",对接源_01水果!$C689)</f>
        <v/>
      </c>
      <c r="B689" s="1" t="n">
        <f aca="false">IF(A689="",0,IF(MATCH(A689,$A$4:$A$2403,0)=ROW()-3,1,0))</f>
        <v>0</v>
      </c>
      <c r="C689" s="1" t="n">
        <f aca="false">N(C688)+B689</f>
        <v>13</v>
      </c>
      <c r="K689" s="1" t="n">
        <f aca="false">IF(OR($K$1="",对接源_01水果!$C689="",对接源_01水果!$C689&lt;&gt;$K$1,对接源_01水果!$B689=""),0,IF(OR(N(对接源_01水果!$B689)&lt;$K$2,N(对接源_01水果!$B689)&gt;$K$3),0,1))</f>
        <v>0</v>
      </c>
      <c r="L689" s="1" t="n">
        <f aca="false">IF(OR($L$1="",对接源_01水果!$C689="",对接源_01水果!$C689&lt;&gt;$L$1,对接源_01水果!$B689=""),0,IF(OR(N(对接源_01水果!$B689)&lt;$L$2,N(对接源_01水果!$B689)&gt;$L$3),0,1))</f>
        <v>0</v>
      </c>
      <c r="M689" s="1" t="n">
        <f aca="false">IF(OR($M$1="",对接源_01水果!$C689="",对接源_01水果!$C689&lt;&gt;$M$1,对接源_01水果!$B689=""),0,IF(OR(N(对接源_01水果!$B689)&lt;$M$2,N(对接源_01水果!$B689)&gt;$M$3),0,1))</f>
        <v>0</v>
      </c>
      <c r="N689" s="1" t="n">
        <f aca="false">IF(OR($N$1="",对接源_01水果!$C689="",对接源_01水果!$C689&lt;&gt;$N$1,对接源_01水果!$B689=""),0,IF(OR(N(对接源_01水果!$B689)&lt;$N$2,N(对接源_01水果!$B689)&gt;$N$3),0,1))</f>
        <v>0</v>
      </c>
      <c r="P689" s="1" t="n">
        <f aca="false">IF(AND($K689=1,AND(对接源_01水果!$X689="公司筐",N(对接源_01水果!$T689)&lt;&gt;0)),1,0)</f>
        <v>0</v>
      </c>
      <c r="Q689" s="1" t="n">
        <f aca="false">N(Q688)+$P689</f>
        <v>3</v>
      </c>
      <c r="R689" s="1" t="n">
        <f aca="false">IF(AND($K689=1,AND(对接源_01水果!$X689="公司筐",N(对接源_01水果!$U689)&lt;&gt;0)),1,0)</f>
        <v>0</v>
      </c>
      <c r="S689" s="1" t="n">
        <f aca="false">N(S688)+$R689</f>
        <v>0</v>
      </c>
      <c r="T689" s="1" t="n">
        <f aca="false">IF(AND($K689=1,AND(对接源_01水果!$X689="公司筐",N(对接源_01水果!$V689)&lt;&gt;0)),1,0)</f>
        <v>0</v>
      </c>
      <c r="U689" s="1" t="n">
        <f aca="false">N(U688)+$T689</f>
        <v>28</v>
      </c>
      <c r="V689" s="1" t="n">
        <f aca="false">IF(AND($L689=1,AND(对接源_01水果!$X689="自备筐",N(对接源_01水果!$V689)&lt;&gt;0)),1,0)</f>
        <v>0</v>
      </c>
      <c r="W689" s="1" t="n">
        <f aca="false">N(W688)+$V689</f>
        <v>7</v>
      </c>
      <c r="X689" s="1" t="n">
        <f aca="false">IF(AND($L689=1,AND(对接源_01水果!$X689="自备筐",N(对接源_01水果!$T689)&lt;&gt;0)),1,0)</f>
        <v>0</v>
      </c>
      <c r="Y689" s="1" t="n">
        <f aca="false">N(Y688)+$X689</f>
        <v>0</v>
      </c>
      <c r="Z689" s="1" t="n">
        <f aca="false">IF(AND($M689=1,对接源_01水果!$D689="原料入库"),1,0)</f>
        <v>0</v>
      </c>
      <c r="AA689" s="1" t="n">
        <f aca="false">N(AA688)+$Z689</f>
        <v>30</v>
      </c>
      <c r="AB689" s="1" t="n">
        <f aca="false">IF(AND($M689=1,LEFT(对接源_01水果!$D689,4)="原料出库"),1,0)</f>
        <v>0</v>
      </c>
      <c r="AC689" s="1" t="n">
        <f aca="false">N(AC688)+$AB689</f>
        <v>19</v>
      </c>
      <c r="AD689" s="1" t="n">
        <f aca="false">IF(AND($M689=1,LEFT(对接源_01水果!$D689,4)="成品出库"),1,0)</f>
        <v>0</v>
      </c>
      <c r="AE689" s="1" t="n">
        <f aca="false">N(AE688)+$AD689</f>
        <v>38</v>
      </c>
      <c r="AF689" s="1" t="n">
        <f aca="false">IF(AND($N689=1,AND(LEFT(对接源_01水果!$D689,4)="包装物料",N(对接源_01水果!$K689)&lt;&gt;0)),1,0)</f>
        <v>0</v>
      </c>
      <c r="AG689" s="90" t="str">
        <f aca="false">IF(对接源_01水果!$AC689="","",对接源_01水果!$AC689)</f>
        <v/>
      </c>
      <c r="AH689" s="1" t="n">
        <f aca="false">IF(AND($N689=1,AND(LEFT(对接源_01水果!$D689,3)="周转筐",N(对接源_01水果!$K689)&lt;&gt;0)),1,0)</f>
        <v>0</v>
      </c>
      <c r="AI689" s="90" t="n">
        <f aca="false">IF(AG689="",0,IF(MATCH(AG689,$AG$4:$AG$1203,0)=ROW()-3,1,0))</f>
        <v>0</v>
      </c>
      <c r="AJ689" s="90" t="n">
        <f aca="false">N(AJ688)+AI689</f>
        <v>4</v>
      </c>
      <c r="AK689" s="1" t="n">
        <f aca="false">N(AK688)+$AJ689</f>
        <v>1616</v>
      </c>
    </row>
    <row r="690" customFormat="false" ht="13.5" hidden="false" customHeight="false" outlineLevel="0" collapsed="false">
      <c r="A690" s="1" t="str">
        <f aca="false">IF(对接源_01水果!$C690="","",对接源_01水果!$C690)</f>
        <v/>
      </c>
      <c r="B690" s="1" t="n">
        <f aca="false">IF(A690="",0,IF(MATCH(A690,$A$4:$A$2403,0)=ROW()-3,1,0))</f>
        <v>0</v>
      </c>
      <c r="C690" s="1" t="n">
        <f aca="false">N(C689)+B690</f>
        <v>13</v>
      </c>
      <c r="K690" s="1" t="n">
        <f aca="false">IF(OR($K$1="",对接源_01水果!$C690="",对接源_01水果!$C690&lt;&gt;$K$1,对接源_01水果!$B690=""),0,IF(OR(N(对接源_01水果!$B690)&lt;$K$2,N(对接源_01水果!$B690)&gt;$K$3),0,1))</f>
        <v>0</v>
      </c>
      <c r="L690" s="1" t="n">
        <f aca="false">IF(OR($L$1="",对接源_01水果!$C690="",对接源_01水果!$C690&lt;&gt;$L$1,对接源_01水果!$B690=""),0,IF(OR(N(对接源_01水果!$B690)&lt;$L$2,N(对接源_01水果!$B690)&gt;$L$3),0,1))</f>
        <v>0</v>
      </c>
      <c r="M690" s="1" t="n">
        <f aca="false">IF(OR($M$1="",对接源_01水果!$C690="",对接源_01水果!$C690&lt;&gt;$M$1,对接源_01水果!$B690=""),0,IF(OR(N(对接源_01水果!$B690)&lt;$M$2,N(对接源_01水果!$B690)&gt;$M$3),0,1))</f>
        <v>0</v>
      </c>
      <c r="N690" s="1" t="n">
        <f aca="false">IF(OR($N$1="",对接源_01水果!$C690="",对接源_01水果!$C690&lt;&gt;$N$1,对接源_01水果!$B690=""),0,IF(OR(N(对接源_01水果!$B690)&lt;$N$2,N(对接源_01水果!$B690)&gt;$N$3),0,1))</f>
        <v>0</v>
      </c>
      <c r="P690" s="1" t="n">
        <f aca="false">IF(AND($K690=1,AND(对接源_01水果!$X690="公司筐",N(对接源_01水果!$T690)&lt;&gt;0)),1,0)</f>
        <v>0</v>
      </c>
      <c r="Q690" s="1" t="n">
        <f aca="false">N(Q689)+$P690</f>
        <v>3</v>
      </c>
      <c r="R690" s="1" t="n">
        <f aca="false">IF(AND($K690=1,AND(对接源_01水果!$X690="公司筐",N(对接源_01水果!$U690)&lt;&gt;0)),1,0)</f>
        <v>0</v>
      </c>
      <c r="S690" s="1" t="n">
        <f aca="false">N(S689)+$R690</f>
        <v>0</v>
      </c>
      <c r="T690" s="1" t="n">
        <f aca="false">IF(AND($K690=1,AND(对接源_01水果!$X690="公司筐",N(对接源_01水果!$V690)&lt;&gt;0)),1,0)</f>
        <v>0</v>
      </c>
      <c r="U690" s="1" t="n">
        <f aca="false">N(U689)+$T690</f>
        <v>28</v>
      </c>
      <c r="V690" s="1" t="n">
        <f aca="false">IF(AND($L690=1,AND(对接源_01水果!$X690="自备筐",N(对接源_01水果!$V690)&lt;&gt;0)),1,0)</f>
        <v>0</v>
      </c>
      <c r="W690" s="1" t="n">
        <f aca="false">N(W689)+$V690</f>
        <v>7</v>
      </c>
      <c r="X690" s="1" t="n">
        <f aca="false">IF(AND($L690=1,AND(对接源_01水果!$X690="自备筐",N(对接源_01水果!$T690)&lt;&gt;0)),1,0)</f>
        <v>0</v>
      </c>
      <c r="Y690" s="1" t="n">
        <f aca="false">N(Y689)+$X690</f>
        <v>0</v>
      </c>
      <c r="Z690" s="1" t="n">
        <f aca="false">IF(AND($M690=1,对接源_01水果!$D690="原料入库"),1,0)</f>
        <v>0</v>
      </c>
      <c r="AA690" s="1" t="n">
        <f aca="false">N(AA689)+$Z690</f>
        <v>30</v>
      </c>
      <c r="AB690" s="1" t="n">
        <f aca="false">IF(AND($M690=1,LEFT(对接源_01水果!$D690,4)="原料出库"),1,0)</f>
        <v>0</v>
      </c>
      <c r="AC690" s="1" t="n">
        <f aca="false">N(AC689)+$AB690</f>
        <v>19</v>
      </c>
      <c r="AD690" s="1" t="n">
        <f aca="false">IF(AND($M690=1,LEFT(对接源_01水果!$D690,4)="成品出库"),1,0)</f>
        <v>0</v>
      </c>
      <c r="AE690" s="1" t="n">
        <f aca="false">N(AE689)+$AD690</f>
        <v>38</v>
      </c>
      <c r="AF690" s="1" t="n">
        <f aca="false">IF(AND($N690=1,AND(LEFT(对接源_01水果!$D690,4)="包装物料",N(对接源_01水果!$K690)&lt;&gt;0)),1,0)</f>
        <v>0</v>
      </c>
      <c r="AG690" s="90" t="str">
        <f aca="false">IF(对接源_01水果!$AC690="","",对接源_01水果!$AC690)</f>
        <v/>
      </c>
      <c r="AH690" s="1" t="n">
        <f aca="false">IF(AND($N690=1,AND(LEFT(对接源_01水果!$D690,3)="周转筐",N(对接源_01水果!$K690)&lt;&gt;0)),1,0)</f>
        <v>0</v>
      </c>
      <c r="AI690" s="90" t="n">
        <f aca="false">IF(AG690="",0,IF(MATCH(AG690,$AG$4:$AG$1203,0)=ROW()-3,1,0))</f>
        <v>0</v>
      </c>
      <c r="AJ690" s="90" t="n">
        <f aca="false">N(AJ689)+AI690</f>
        <v>4</v>
      </c>
      <c r="AK690" s="1" t="n">
        <f aca="false">N(AK689)+$AJ690</f>
        <v>1620</v>
      </c>
    </row>
    <row r="691" customFormat="false" ht="13.5" hidden="false" customHeight="false" outlineLevel="0" collapsed="false">
      <c r="A691" s="1" t="str">
        <f aca="false">IF(对接源_01水果!$C691="","",对接源_01水果!$C691)</f>
        <v/>
      </c>
      <c r="B691" s="1" t="n">
        <f aca="false">IF(A691="",0,IF(MATCH(A691,$A$4:$A$2403,0)=ROW()-3,1,0))</f>
        <v>0</v>
      </c>
      <c r="C691" s="1" t="n">
        <f aca="false">N(C690)+B691</f>
        <v>13</v>
      </c>
      <c r="K691" s="1" t="n">
        <f aca="false">IF(OR($K$1="",对接源_01水果!$C691="",对接源_01水果!$C691&lt;&gt;$K$1,对接源_01水果!$B691=""),0,IF(OR(N(对接源_01水果!$B691)&lt;$K$2,N(对接源_01水果!$B691)&gt;$K$3),0,1))</f>
        <v>0</v>
      </c>
      <c r="L691" s="1" t="n">
        <f aca="false">IF(OR($L$1="",对接源_01水果!$C691="",对接源_01水果!$C691&lt;&gt;$L$1,对接源_01水果!$B691=""),0,IF(OR(N(对接源_01水果!$B691)&lt;$L$2,N(对接源_01水果!$B691)&gt;$L$3),0,1))</f>
        <v>0</v>
      </c>
      <c r="M691" s="1" t="n">
        <f aca="false">IF(OR($M$1="",对接源_01水果!$C691="",对接源_01水果!$C691&lt;&gt;$M$1,对接源_01水果!$B691=""),0,IF(OR(N(对接源_01水果!$B691)&lt;$M$2,N(对接源_01水果!$B691)&gt;$M$3),0,1))</f>
        <v>0</v>
      </c>
      <c r="N691" s="1" t="n">
        <f aca="false">IF(OR($N$1="",对接源_01水果!$C691="",对接源_01水果!$C691&lt;&gt;$N$1,对接源_01水果!$B691=""),0,IF(OR(N(对接源_01水果!$B691)&lt;$N$2,N(对接源_01水果!$B691)&gt;$N$3),0,1))</f>
        <v>0</v>
      </c>
      <c r="P691" s="1" t="n">
        <f aca="false">IF(AND($K691=1,AND(对接源_01水果!$X691="公司筐",N(对接源_01水果!$T691)&lt;&gt;0)),1,0)</f>
        <v>0</v>
      </c>
      <c r="Q691" s="1" t="n">
        <f aca="false">N(Q690)+$P691</f>
        <v>3</v>
      </c>
      <c r="R691" s="1" t="n">
        <f aca="false">IF(AND($K691=1,AND(对接源_01水果!$X691="公司筐",N(对接源_01水果!$U691)&lt;&gt;0)),1,0)</f>
        <v>0</v>
      </c>
      <c r="S691" s="1" t="n">
        <f aca="false">N(S690)+$R691</f>
        <v>0</v>
      </c>
      <c r="T691" s="1" t="n">
        <f aca="false">IF(AND($K691=1,AND(对接源_01水果!$X691="公司筐",N(对接源_01水果!$V691)&lt;&gt;0)),1,0)</f>
        <v>0</v>
      </c>
      <c r="U691" s="1" t="n">
        <f aca="false">N(U690)+$T691</f>
        <v>28</v>
      </c>
      <c r="V691" s="1" t="n">
        <f aca="false">IF(AND($L691=1,AND(对接源_01水果!$X691="自备筐",N(对接源_01水果!$V691)&lt;&gt;0)),1,0)</f>
        <v>0</v>
      </c>
      <c r="W691" s="1" t="n">
        <f aca="false">N(W690)+$V691</f>
        <v>7</v>
      </c>
      <c r="X691" s="1" t="n">
        <f aca="false">IF(AND($L691=1,AND(对接源_01水果!$X691="自备筐",N(对接源_01水果!$T691)&lt;&gt;0)),1,0)</f>
        <v>0</v>
      </c>
      <c r="Y691" s="1" t="n">
        <f aca="false">N(Y690)+$X691</f>
        <v>0</v>
      </c>
      <c r="Z691" s="1" t="n">
        <f aca="false">IF(AND($M691=1,对接源_01水果!$D691="原料入库"),1,0)</f>
        <v>0</v>
      </c>
      <c r="AA691" s="1" t="n">
        <f aca="false">N(AA690)+$Z691</f>
        <v>30</v>
      </c>
      <c r="AB691" s="1" t="n">
        <f aca="false">IF(AND($M691=1,LEFT(对接源_01水果!$D691,4)="原料出库"),1,0)</f>
        <v>0</v>
      </c>
      <c r="AC691" s="1" t="n">
        <f aca="false">N(AC690)+$AB691</f>
        <v>19</v>
      </c>
      <c r="AD691" s="1" t="n">
        <f aca="false">IF(AND($M691=1,LEFT(对接源_01水果!$D691,4)="成品出库"),1,0)</f>
        <v>0</v>
      </c>
      <c r="AE691" s="1" t="n">
        <f aca="false">N(AE690)+$AD691</f>
        <v>38</v>
      </c>
      <c r="AF691" s="1" t="n">
        <f aca="false">IF(AND($N691=1,AND(LEFT(对接源_01水果!$D691,4)="包装物料",N(对接源_01水果!$K691)&lt;&gt;0)),1,0)</f>
        <v>0</v>
      </c>
      <c r="AG691" s="90" t="str">
        <f aca="false">IF(对接源_01水果!$AC691="","",对接源_01水果!$AC691)</f>
        <v/>
      </c>
      <c r="AH691" s="1" t="n">
        <f aca="false">IF(AND($N691=1,AND(LEFT(对接源_01水果!$D691,3)="周转筐",N(对接源_01水果!$K691)&lt;&gt;0)),1,0)</f>
        <v>0</v>
      </c>
      <c r="AI691" s="90" t="n">
        <f aca="false">IF(AG691="",0,IF(MATCH(AG691,$AG$4:$AG$1203,0)=ROW()-3,1,0))</f>
        <v>0</v>
      </c>
      <c r="AJ691" s="90" t="n">
        <f aca="false">N(AJ690)+AI691</f>
        <v>4</v>
      </c>
      <c r="AK691" s="1" t="n">
        <f aca="false">N(AK690)+$AJ691</f>
        <v>1624</v>
      </c>
    </row>
    <row r="692" customFormat="false" ht="13.5" hidden="false" customHeight="false" outlineLevel="0" collapsed="false">
      <c r="A692" s="1" t="str">
        <f aca="false">IF(对接源_01水果!$C692="","",对接源_01水果!$C692)</f>
        <v/>
      </c>
      <c r="B692" s="1" t="n">
        <f aca="false">IF(A692="",0,IF(MATCH(A692,$A$4:$A$2403,0)=ROW()-3,1,0))</f>
        <v>0</v>
      </c>
      <c r="C692" s="1" t="n">
        <f aca="false">N(C691)+B692</f>
        <v>13</v>
      </c>
      <c r="K692" s="1" t="n">
        <f aca="false">IF(OR($K$1="",对接源_01水果!$C692="",对接源_01水果!$C692&lt;&gt;$K$1,对接源_01水果!$B692=""),0,IF(OR(N(对接源_01水果!$B692)&lt;$K$2,N(对接源_01水果!$B692)&gt;$K$3),0,1))</f>
        <v>0</v>
      </c>
      <c r="L692" s="1" t="n">
        <f aca="false">IF(OR($L$1="",对接源_01水果!$C692="",对接源_01水果!$C692&lt;&gt;$L$1,对接源_01水果!$B692=""),0,IF(OR(N(对接源_01水果!$B692)&lt;$L$2,N(对接源_01水果!$B692)&gt;$L$3),0,1))</f>
        <v>0</v>
      </c>
      <c r="M692" s="1" t="n">
        <f aca="false">IF(OR($M$1="",对接源_01水果!$C692="",对接源_01水果!$C692&lt;&gt;$M$1,对接源_01水果!$B692=""),0,IF(OR(N(对接源_01水果!$B692)&lt;$M$2,N(对接源_01水果!$B692)&gt;$M$3),0,1))</f>
        <v>0</v>
      </c>
      <c r="N692" s="1" t="n">
        <f aca="false">IF(OR($N$1="",对接源_01水果!$C692="",对接源_01水果!$C692&lt;&gt;$N$1,对接源_01水果!$B692=""),0,IF(OR(N(对接源_01水果!$B692)&lt;$N$2,N(对接源_01水果!$B692)&gt;$N$3),0,1))</f>
        <v>0</v>
      </c>
      <c r="P692" s="1" t="n">
        <f aca="false">IF(AND($K692=1,AND(对接源_01水果!$X692="公司筐",N(对接源_01水果!$T692)&lt;&gt;0)),1,0)</f>
        <v>0</v>
      </c>
      <c r="Q692" s="1" t="n">
        <f aca="false">N(Q691)+$P692</f>
        <v>3</v>
      </c>
      <c r="R692" s="1" t="n">
        <f aca="false">IF(AND($K692=1,AND(对接源_01水果!$X692="公司筐",N(对接源_01水果!$U692)&lt;&gt;0)),1,0)</f>
        <v>0</v>
      </c>
      <c r="S692" s="1" t="n">
        <f aca="false">N(S691)+$R692</f>
        <v>0</v>
      </c>
      <c r="T692" s="1" t="n">
        <f aca="false">IF(AND($K692=1,AND(对接源_01水果!$X692="公司筐",N(对接源_01水果!$V692)&lt;&gt;0)),1,0)</f>
        <v>0</v>
      </c>
      <c r="U692" s="1" t="n">
        <f aca="false">N(U691)+$T692</f>
        <v>28</v>
      </c>
      <c r="V692" s="1" t="n">
        <f aca="false">IF(AND($L692=1,AND(对接源_01水果!$X692="自备筐",N(对接源_01水果!$V692)&lt;&gt;0)),1,0)</f>
        <v>0</v>
      </c>
      <c r="W692" s="1" t="n">
        <f aca="false">N(W691)+$V692</f>
        <v>7</v>
      </c>
      <c r="X692" s="1" t="n">
        <f aca="false">IF(AND($L692=1,AND(对接源_01水果!$X692="自备筐",N(对接源_01水果!$T692)&lt;&gt;0)),1,0)</f>
        <v>0</v>
      </c>
      <c r="Y692" s="1" t="n">
        <f aca="false">N(Y691)+$X692</f>
        <v>0</v>
      </c>
      <c r="Z692" s="1" t="n">
        <f aca="false">IF(AND($M692=1,对接源_01水果!$D692="原料入库"),1,0)</f>
        <v>0</v>
      </c>
      <c r="AA692" s="1" t="n">
        <f aca="false">N(AA691)+$Z692</f>
        <v>30</v>
      </c>
      <c r="AB692" s="1" t="n">
        <f aca="false">IF(AND($M692=1,LEFT(对接源_01水果!$D692,4)="原料出库"),1,0)</f>
        <v>0</v>
      </c>
      <c r="AC692" s="1" t="n">
        <f aca="false">N(AC691)+$AB692</f>
        <v>19</v>
      </c>
      <c r="AD692" s="1" t="n">
        <f aca="false">IF(AND($M692=1,LEFT(对接源_01水果!$D692,4)="成品出库"),1,0)</f>
        <v>0</v>
      </c>
      <c r="AE692" s="1" t="n">
        <f aca="false">N(AE691)+$AD692</f>
        <v>38</v>
      </c>
      <c r="AF692" s="1" t="n">
        <f aca="false">IF(AND($N692=1,AND(LEFT(对接源_01水果!$D692,4)="包装物料",N(对接源_01水果!$K692)&lt;&gt;0)),1,0)</f>
        <v>0</v>
      </c>
      <c r="AG692" s="90" t="str">
        <f aca="false">IF(对接源_01水果!$AC692="","",对接源_01水果!$AC692)</f>
        <v/>
      </c>
      <c r="AH692" s="1" t="n">
        <f aca="false">IF(AND($N692=1,AND(LEFT(对接源_01水果!$D692,3)="周转筐",N(对接源_01水果!$K692)&lt;&gt;0)),1,0)</f>
        <v>0</v>
      </c>
      <c r="AI692" s="90" t="n">
        <f aca="false">IF(AG692="",0,IF(MATCH(AG692,$AG$4:$AG$1203,0)=ROW()-3,1,0))</f>
        <v>0</v>
      </c>
      <c r="AJ692" s="90" t="n">
        <f aca="false">N(AJ691)+AI692</f>
        <v>4</v>
      </c>
      <c r="AK692" s="1" t="n">
        <f aca="false">N(AK691)+$AJ692</f>
        <v>1628</v>
      </c>
    </row>
    <row r="693" customFormat="false" ht="13.5" hidden="false" customHeight="false" outlineLevel="0" collapsed="false">
      <c r="A693" s="1" t="str">
        <f aca="false">IF(对接源_01水果!$C693="","",对接源_01水果!$C693)</f>
        <v/>
      </c>
      <c r="B693" s="1" t="n">
        <f aca="false">IF(A693="",0,IF(MATCH(A693,$A$4:$A$2403,0)=ROW()-3,1,0))</f>
        <v>0</v>
      </c>
      <c r="C693" s="1" t="n">
        <f aca="false">N(C692)+B693</f>
        <v>13</v>
      </c>
      <c r="K693" s="1" t="n">
        <f aca="false">IF(OR($K$1="",对接源_01水果!$C693="",对接源_01水果!$C693&lt;&gt;$K$1,对接源_01水果!$B693=""),0,IF(OR(N(对接源_01水果!$B693)&lt;$K$2,N(对接源_01水果!$B693)&gt;$K$3),0,1))</f>
        <v>0</v>
      </c>
      <c r="L693" s="1" t="n">
        <f aca="false">IF(OR($L$1="",对接源_01水果!$C693="",对接源_01水果!$C693&lt;&gt;$L$1,对接源_01水果!$B693=""),0,IF(OR(N(对接源_01水果!$B693)&lt;$L$2,N(对接源_01水果!$B693)&gt;$L$3),0,1))</f>
        <v>0</v>
      </c>
      <c r="M693" s="1" t="n">
        <f aca="false">IF(OR($M$1="",对接源_01水果!$C693="",对接源_01水果!$C693&lt;&gt;$M$1,对接源_01水果!$B693=""),0,IF(OR(N(对接源_01水果!$B693)&lt;$M$2,N(对接源_01水果!$B693)&gt;$M$3),0,1))</f>
        <v>0</v>
      </c>
      <c r="N693" s="1" t="n">
        <f aca="false">IF(OR($N$1="",对接源_01水果!$C693="",对接源_01水果!$C693&lt;&gt;$N$1,对接源_01水果!$B693=""),0,IF(OR(N(对接源_01水果!$B693)&lt;$N$2,N(对接源_01水果!$B693)&gt;$N$3),0,1))</f>
        <v>0</v>
      </c>
      <c r="P693" s="1" t="n">
        <f aca="false">IF(AND($K693=1,AND(对接源_01水果!$X693="公司筐",N(对接源_01水果!$T693)&lt;&gt;0)),1,0)</f>
        <v>0</v>
      </c>
      <c r="Q693" s="1" t="n">
        <f aca="false">N(Q692)+$P693</f>
        <v>3</v>
      </c>
      <c r="R693" s="1" t="n">
        <f aca="false">IF(AND($K693=1,AND(对接源_01水果!$X693="公司筐",N(对接源_01水果!$U693)&lt;&gt;0)),1,0)</f>
        <v>0</v>
      </c>
      <c r="S693" s="1" t="n">
        <f aca="false">N(S692)+$R693</f>
        <v>0</v>
      </c>
      <c r="T693" s="1" t="n">
        <f aca="false">IF(AND($K693=1,AND(对接源_01水果!$X693="公司筐",N(对接源_01水果!$V693)&lt;&gt;0)),1,0)</f>
        <v>0</v>
      </c>
      <c r="U693" s="1" t="n">
        <f aca="false">N(U692)+$T693</f>
        <v>28</v>
      </c>
      <c r="V693" s="1" t="n">
        <f aca="false">IF(AND($L693=1,AND(对接源_01水果!$X693="自备筐",N(对接源_01水果!$V693)&lt;&gt;0)),1,0)</f>
        <v>0</v>
      </c>
      <c r="W693" s="1" t="n">
        <f aca="false">N(W692)+$V693</f>
        <v>7</v>
      </c>
      <c r="X693" s="1" t="n">
        <f aca="false">IF(AND($L693=1,AND(对接源_01水果!$X693="自备筐",N(对接源_01水果!$T693)&lt;&gt;0)),1,0)</f>
        <v>0</v>
      </c>
      <c r="Y693" s="1" t="n">
        <f aca="false">N(Y692)+$X693</f>
        <v>0</v>
      </c>
      <c r="Z693" s="1" t="n">
        <f aca="false">IF(AND($M693=1,对接源_01水果!$D693="原料入库"),1,0)</f>
        <v>0</v>
      </c>
      <c r="AA693" s="1" t="n">
        <f aca="false">N(AA692)+$Z693</f>
        <v>30</v>
      </c>
      <c r="AB693" s="1" t="n">
        <f aca="false">IF(AND($M693=1,LEFT(对接源_01水果!$D693,4)="原料出库"),1,0)</f>
        <v>0</v>
      </c>
      <c r="AC693" s="1" t="n">
        <f aca="false">N(AC692)+$AB693</f>
        <v>19</v>
      </c>
      <c r="AD693" s="1" t="n">
        <f aca="false">IF(AND($M693=1,LEFT(对接源_01水果!$D693,4)="成品出库"),1,0)</f>
        <v>0</v>
      </c>
      <c r="AE693" s="1" t="n">
        <f aca="false">N(AE692)+$AD693</f>
        <v>38</v>
      </c>
      <c r="AF693" s="1" t="n">
        <f aca="false">IF(AND($N693=1,AND(LEFT(对接源_01水果!$D693,4)="包装物料",N(对接源_01水果!$K693)&lt;&gt;0)),1,0)</f>
        <v>0</v>
      </c>
      <c r="AG693" s="90" t="str">
        <f aca="false">IF(对接源_01水果!$AC693="","",对接源_01水果!$AC693)</f>
        <v/>
      </c>
      <c r="AH693" s="1" t="n">
        <f aca="false">IF(AND($N693=1,AND(LEFT(对接源_01水果!$D693,3)="周转筐",N(对接源_01水果!$K693)&lt;&gt;0)),1,0)</f>
        <v>0</v>
      </c>
      <c r="AI693" s="90" t="n">
        <f aca="false">IF(AG693="",0,IF(MATCH(AG693,$AG$4:$AG$1203,0)=ROW()-3,1,0))</f>
        <v>0</v>
      </c>
      <c r="AJ693" s="90" t="n">
        <f aca="false">N(AJ692)+AI693</f>
        <v>4</v>
      </c>
      <c r="AK693" s="1" t="n">
        <f aca="false">N(AK692)+$AJ693</f>
        <v>1632</v>
      </c>
    </row>
    <row r="694" customFormat="false" ht="13.5" hidden="false" customHeight="false" outlineLevel="0" collapsed="false">
      <c r="A694" s="1" t="str">
        <f aca="false">IF(对接源_01水果!$C694="","",对接源_01水果!$C694)</f>
        <v/>
      </c>
      <c r="B694" s="1" t="n">
        <f aca="false">IF(A694="",0,IF(MATCH(A694,$A$4:$A$2403,0)=ROW()-3,1,0))</f>
        <v>0</v>
      </c>
      <c r="C694" s="1" t="n">
        <f aca="false">N(C693)+B694</f>
        <v>13</v>
      </c>
      <c r="K694" s="1" t="n">
        <f aca="false">IF(OR($K$1="",对接源_01水果!$C694="",对接源_01水果!$C694&lt;&gt;$K$1,对接源_01水果!$B694=""),0,IF(OR(N(对接源_01水果!$B694)&lt;$K$2,N(对接源_01水果!$B694)&gt;$K$3),0,1))</f>
        <v>0</v>
      </c>
      <c r="L694" s="1" t="n">
        <f aca="false">IF(OR($L$1="",对接源_01水果!$C694="",对接源_01水果!$C694&lt;&gt;$L$1,对接源_01水果!$B694=""),0,IF(OR(N(对接源_01水果!$B694)&lt;$L$2,N(对接源_01水果!$B694)&gt;$L$3),0,1))</f>
        <v>0</v>
      </c>
      <c r="M694" s="1" t="n">
        <f aca="false">IF(OR($M$1="",对接源_01水果!$C694="",对接源_01水果!$C694&lt;&gt;$M$1,对接源_01水果!$B694=""),0,IF(OR(N(对接源_01水果!$B694)&lt;$M$2,N(对接源_01水果!$B694)&gt;$M$3),0,1))</f>
        <v>0</v>
      </c>
      <c r="N694" s="1" t="n">
        <f aca="false">IF(OR($N$1="",对接源_01水果!$C694="",对接源_01水果!$C694&lt;&gt;$N$1,对接源_01水果!$B694=""),0,IF(OR(N(对接源_01水果!$B694)&lt;$N$2,N(对接源_01水果!$B694)&gt;$N$3),0,1))</f>
        <v>0</v>
      </c>
      <c r="P694" s="1" t="n">
        <f aca="false">IF(AND($K694=1,AND(对接源_01水果!$X694="公司筐",N(对接源_01水果!$T694)&lt;&gt;0)),1,0)</f>
        <v>0</v>
      </c>
      <c r="Q694" s="1" t="n">
        <f aca="false">N(Q693)+$P694</f>
        <v>3</v>
      </c>
      <c r="R694" s="1" t="n">
        <f aca="false">IF(AND($K694=1,AND(对接源_01水果!$X694="公司筐",N(对接源_01水果!$U694)&lt;&gt;0)),1,0)</f>
        <v>0</v>
      </c>
      <c r="S694" s="1" t="n">
        <f aca="false">N(S693)+$R694</f>
        <v>0</v>
      </c>
      <c r="T694" s="1" t="n">
        <f aca="false">IF(AND($K694=1,AND(对接源_01水果!$X694="公司筐",N(对接源_01水果!$V694)&lt;&gt;0)),1,0)</f>
        <v>0</v>
      </c>
      <c r="U694" s="1" t="n">
        <f aca="false">N(U693)+$T694</f>
        <v>28</v>
      </c>
      <c r="V694" s="1" t="n">
        <f aca="false">IF(AND($L694=1,AND(对接源_01水果!$X694="自备筐",N(对接源_01水果!$V694)&lt;&gt;0)),1,0)</f>
        <v>0</v>
      </c>
      <c r="W694" s="1" t="n">
        <f aca="false">N(W693)+$V694</f>
        <v>7</v>
      </c>
      <c r="X694" s="1" t="n">
        <f aca="false">IF(AND($L694=1,AND(对接源_01水果!$X694="自备筐",N(对接源_01水果!$T694)&lt;&gt;0)),1,0)</f>
        <v>0</v>
      </c>
      <c r="Y694" s="1" t="n">
        <f aca="false">N(Y693)+$X694</f>
        <v>0</v>
      </c>
      <c r="Z694" s="1" t="n">
        <f aca="false">IF(AND($M694=1,对接源_01水果!$D694="原料入库"),1,0)</f>
        <v>0</v>
      </c>
      <c r="AA694" s="1" t="n">
        <f aca="false">N(AA693)+$Z694</f>
        <v>30</v>
      </c>
      <c r="AB694" s="1" t="n">
        <f aca="false">IF(AND($M694=1,LEFT(对接源_01水果!$D694,4)="原料出库"),1,0)</f>
        <v>0</v>
      </c>
      <c r="AC694" s="1" t="n">
        <f aca="false">N(AC693)+$AB694</f>
        <v>19</v>
      </c>
      <c r="AD694" s="1" t="n">
        <f aca="false">IF(AND($M694=1,LEFT(对接源_01水果!$D694,4)="成品出库"),1,0)</f>
        <v>0</v>
      </c>
      <c r="AE694" s="1" t="n">
        <f aca="false">N(AE693)+$AD694</f>
        <v>38</v>
      </c>
      <c r="AF694" s="1" t="n">
        <f aca="false">IF(AND($N694=1,AND(LEFT(对接源_01水果!$D694,4)="包装物料",N(对接源_01水果!$K694)&lt;&gt;0)),1,0)</f>
        <v>0</v>
      </c>
      <c r="AG694" s="90" t="str">
        <f aca="false">IF(对接源_01水果!$AC694="","",对接源_01水果!$AC694)</f>
        <v/>
      </c>
      <c r="AH694" s="1" t="n">
        <f aca="false">IF(AND($N694=1,AND(LEFT(对接源_01水果!$D694,3)="周转筐",N(对接源_01水果!$K694)&lt;&gt;0)),1,0)</f>
        <v>0</v>
      </c>
      <c r="AI694" s="90" t="n">
        <f aca="false">IF(AG694="",0,IF(MATCH(AG694,$AG$4:$AG$1203,0)=ROW()-3,1,0))</f>
        <v>0</v>
      </c>
      <c r="AJ694" s="90" t="n">
        <f aca="false">N(AJ693)+AI694</f>
        <v>4</v>
      </c>
      <c r="AK694" s="1" t="n">
        <f aca="false">N(AK693)+$AJ694</f>
        <v>1636</v>
      </c>
    </row>
    <row r="695" customFormat="false" ht="13.5" hidden="false" customHeight="false" outlineLevel="0" collapsed="false">
      <c r="A695" s="1" t="str">
        <f aca="false">IF(对接源_01水果!$C695="","",对接源_01水果!$C695)</f>
        <v/>
      </c>
      <c r="B695" s="1" t="n">
        <f aca="false">IF(A695="",0,IF(MATCH(A695,$A$4:$A$2403,0)=ROW()-3,1,0))</f>
        <v>0</v>
      </c>
      <c r="C695" s="1" t="n">
        <f aca="false">N(C694)+B695</f>
        <v>13</v>
      </c>
      <c r="K695" s="1" t="n">
        <f aca="false">IF(OR($K$1="",对接源_01水果!$C695="",对接源_01水果!$C695&lt;&gt;$K$1,对接源_01水果!$B695=""),0,IF(OR(N(对接源_01水果!$B695)&lt;$K$2,N(对接源_01水果!$B695)&gt;$K$3),0,1))</f>
        <v>0</v>
      </c>
      <c r="L695" s="1" t="n">
        <f aca="false">IF(OR($L$1="",对接源_01水果!$C695="",对接源_01水果!$C695&lt;&gt;$L$1,对接源_01水果!$B695=""),0,IF(OR(N(对接源_01水果!$B695)&lt;$L$2,N(对接源_01水果!$B695)&gt;$L$3),0,1))</f>
        <v>0</v>
      </c>
      <c r="M695" s="1" t="n">
        <f aca="false">IF(OR($M$1="",对接源_01水果!$C695="",对接源_01水果!$C695&lt;&gt;$M$1,对接源_01水果!$B695=""),0,IF(OR(N(对接源_01水果!$B695)&lt;$M$2,N(对接源_01水果!$B695)&gt;$M$3),0,1))</f>
        <v>0</v>
      </c>
      <c r="N695" s="1" t="n">
        <f aca="false">IF(OR($N$1="",对接源_01水果!$C695="",对接源_01水果!$C695&lt;&gt;$N$1,对接源_01水果!$B695=""),0,IF(OR(N(对接源_01水果!$B695)&lt;$N$2,N(对接源_01水果!$B695)&gt;$N$3),0,1))</f>
        <v>0</v>
      </c>
      <c r="P695" s="1" t="n">
        <f aca="false">IF(AND($K695=1,AND(对接源_01水果!$X695="公司筐",N(对接源_01水果!$T695)&lt;&gt;0)),1,0)</f>
        <v>0</v>
      </c>
      <c r="Q695" s="1" t="n">
        <f aca="false">N(Q694)+$P695</f>
        <v>3</v>
      </c>
      <c r="R695" s="1" t="n">
        <f aca="false">IF(AND($K695=1,AND(对接源_01水果!$X695="公司筐",N(对接源_01水果!$U695)&lt;&gt;0)),1,0)</f>
        <v>0</v>
      </c>
      <c r="S695" s="1" t="n">
        <f aca="false">N(S694)+$R695</f>
        <v>0</v>
      </c>
      <c r="T695" s="1" t="n">
        <f aca="false">IF(AND($K695=1,AND(对接源_01水果!$X695="公司筐",N(对接源_01水果!$V695)&lt;&gt;0)),1,0)</f>
        <v>0</v>
      </c>
      <c r="U695" s="1" t="n">
        <f aca="false">N(U694)+$T695</f>
        <v>28</v>
      </c>
      <c r="V695" s="1" t="n">
        <f aca="false">IF(AND($L695=1,AND(对接源_01水果!$X695="自备筐",N(对接源_01水果!$V695)&lt;&gt;0)),1,0)</f>
        <v>0</v>
      </c>
      <c r="W695" s="1" t="n">
        <f aca="false">N(W694)+$V695</f>
        <v>7</v>
      </c>
      <c r="X695" s="1" t="n">
        <f aca="false">IF(AND($L695=1,AND(对接源_01水果!$X695="自备筐",N(对接源_01水果!$T695)&lt;&gt;0)),1,0)</f>
        <v>0</v>
      </c>
      <c r="Y695" s="1" t="n">
        <f aca="false">N(Y694)+$X695</f>
        <v>0</v>
      </c>
      <c r="Z695" s="1" t="n">
        <f aca="false">IF(AND($M695=1,对接源_01水果!$D695="原料入库"),1,0)</f>
        <v>0</v>
      </c>
      <c r="AA695" s="1" t="n">
        <f aca="false">N(AA694)+$Z695</f>
        <v>30</v>
      </c>
      <c r="AB695" s="1" t="n">
        <f aca="false">IF(AND($M695=1,LEFT(对接源_01水果!$D695,4)="原料出库"),1,0)</f>
        <v>0</v>
      </c>
      <c r="AC695" s="1" t="n">
        <f aca="false">N(AC694)+$AB695</f>
        <v>19</v>
      </c>
      <c r="AD695" s="1" t="n">
        <f aca="false">IF(AND($M695=1,LEFT(对接源_01水果!$D695,4)="成品出库"),1,0)</f>
        <v>0</v>
      </c>
      <c r="AE695" s="1" t="n">
        <f aca="false">N(AE694)+$AD695</f>
        <v>38</v>
      </c>
      <c r="AF695" s="1" t="n">
        <f aca="false">IF(AND($N695=1,AND(LEFT(对接源_01水果!$D695,4)="包装物料",N(对接源_01水果!$K695)&lt;&gt;0)),1,0)</f>
        <v>0</v>
      </c>
      <c r="AG695" s="90" t="str">
        <f aca="false">IF(对接源_01水果!$AC695="","",对接源_01水果!$AC695)</f>
        <v/>
      </c>
      <c r="AH695" s="1" t="n">
        <f aca="false">IF(AND($N695=1,AND(LEFT(对接源_01水果!$D695,3)="周转筐",N(对接源_01水果!$K695)&lt;&gt;0)),1,0)</f>
        <v>0</v>
      </c>
      <c r="AI695" s="90" t="n">
        <f aca="false">IF(AG695="",0,IF(MATCH(AG695,$AG$4:$AG$1203,0)=ROW()-3,1,0))</f>
        <v>0</v>
      </c>
      <c r="AJ695" s="90" t="n">
        <f aca="false">N(AJ694)+AI695</f>
        <v>4</v>
      </c>
      <c r="AK695" s="1" t="n">
        <f aca="false">N(AK694)+$AJ695</f>
        <v>1640</v>
      </c>
    </row>
    <row r="696" customFormat="false" ht="13.5" hidden="false" customHeight="false" outlineLevel="0" collapsed="false">
      <c r="A696" s="1" t="str">
        <f aca="false">IF(对接源_01水果!$C696="","",对接源_01水果!$C696)</f>
        <v/>
      </c>
      <c r="B696" s="1" t="n">
        <f aca="false">IF(A696="",0,IF(MATCH(A696,$A$4:$A$2403,0)=ROW()-3,1,0))</f>
        <v>0</v>
      </c>
      <c r="C696" s="1" t="n">
        <f aca="false">N(C695)+B696</f>
        <v>13</v>
      </c>
      <c r="K696" s="1" t="n">
        <f aca="false">IF(OR($K$1="",对接源_01水果!$C696="",对接源_01水果!$C696&lt;&gt;$K$1,对接源_01水果!$B696=""),0,IF(OR(N(对接源_01水果!$B696)&lt;$K$2,N(对接源_01水果!$B696)&gt;$K$3),0,1))</f>
        <v>0</v>
      </c>
      <c r="L696" s="1" t="n">
        <f aca="false">IF(OR($L$1="",对接源_01水果!$C696="",对接源_01水果!$C696&lt;&gt;$L$1,对接源_01水果!$B696=""),0,IF(OR(N(对接源_01水果!$B696)&lt;$L$2,N(对接源_01水果!$B696)&gt;$L$3),0,1))</f>
        <v>0</v>
      </c>
      <c r="M696" s="1" t="n">
        <f aca="false">IF(OR($M$1="",对接源_01水果!$C696="",对接源_01水果!$C696&lt;&gt;$M$1,对接源_01水果!$B696=""),0,IF(OR(N(对接源_01水果!$B696)&lt;$M$2,N(对接源_01水果!$B696)&gt;$M$3),0,1))</f>
        <v>0</v>
      </c>
      <c r="N696" s="1" t="n">
        <f aca="false">IF(OR($N$1="",对接源_01水果!$C696="",对接源_01水果!$C696&lt;&gt;$N$1,对接源_01水果!$B696=""),0,IF(OR(N(对接源_01水果!$B696)&lt;$N$2,N(对接源_01水果!$B696)&gt;$N$3),0,1))</f>
        <v>0</v>
      </c>
      <c r="P696" s="1" t="n">
        <f aca="false">IF(AND($K696=1,AND(对接源_01水果!$X696="公司筐",N(对接源_01水果!$T696)&lt;&gt;0)),1,0)</f>
        <v>0</v>
      </c>
      <c r="Q696" s="1" t="n">
        <f aca="false">N(Q695)+$P696</f>
        <v>3</v>
      </c>
      <c r="R696" s="1" t="n">
        <f aca="false">IF(AND($K696=1,AND(对接源_01水果!$X696="公司筐",N(对接源_01水果!$U696)&lt;&gt;0)),1,0)</f>
        <v>0</v>
      </c>
      <c r="S696" s="1" t="n">
        <f aca="false">N(S695)+$R696</f>
        <v>0</v>
      </c>
      <c r="T696" s="1" t="n">
        <f aca="false">IF(AND($K696=1,AND(对接源_01水果!$X696="公司筐",N(对接源_01水果!$V696)&lt;&gt;0)),1,0)</f>
        <v>0</v>
      </c>
      <c r="U696" s="1" t="n">
        <f aca="false">N(U695)+$T696</f>
        <v>28</v>
      </c>
      <c r="V696" s="1" t="n">
        <f aca="false">IF(AND($L696=1,AND(对接源_01水果!$X696="自备筐",N(对接源_01水果!$V696)&lt;&gt;0)),1,0)</f>
        <v>0</v>
      </c>
      <c r="W696" s="1" t="n">
        <f aca="false">N(W695)+$V696</f>
        <v>7</v>
      </c>
      <c r="X696" s="1" t="n">
        <f aca="false">IF(AND($L696=1,AND(对接源_01水果!$X696="自备筐",N(对接源_01水果!$T696)&lt;&gt;0)),1,0)</f>
        <v>0</v>
      </c>
      <c r="Y696" s="1" t="n">
        <f aca="false">N(Y695)+$X696</f>
        <v>0</v>
      </c>
      <c r="Z696" s="1" t="n">
        <f aca="false">IF(AND($M696=1,对接源_01水果!$D696="原料入库"),1,0)</f>
        <v>0</v>
      </c>
      <c r="AA696" s="1" t="n">
        <f aca="false">N(AA695)+$Z696</f>
        <v>30</v>
      </c>
      <c r="AB696" s="1" t="n">
        <f aca="false">IF(AND($M696=1,LEFT(对接源_01水果!$D696,4)="原料出库"),1,0)</f>
        <v>0</v>
      </c>
      <c r="AC696" s="1" t="n">
        <f aca="false">N(AC695)+$AB696</f>
        <v>19</v>
      </c>
      <c r="AD696" s="1" t="n">
        <f aca="false">IF(AND($M696=1,LEFT(对接源_01水果!$D696,4)="成品出库"),1,0)</f>
        <v>0</v>
      </c>
      <c r="AE696" s="1" t="n">
        <f aca="false">N(AE695)+$AD696</f>
        <v>38</v>
      </c>
      <c r="AF696" s="1" t="n">
        <f aca="false">IF(AND($N696=1,AND(LEFT(对接源_01水果!$D696,4)="包装物料",N(对接源_01水果!$K696)&lt;&gt;0)),1,0)</f>
        <v>0</v>
      </c>
      <c r="AG696" s="90" t="str">
        <f aca="false">IF(对接源_01水果!$AC696="","",对接源_01水果!$AC696)</f>
        <v/>
      </c>
      <c r="AH696" s="1" t="n">
        <f aca="false">IF(AND($N696=1,AND(LEFT(对接源_01水果!$D696,3)="周转筐",N(对接源_01水果!$K696)&lt;&gt;0)),1,0)</f>
        <v>0</v>
      </c>
      <c r="AI696" s="90" t="n">
        <f aca="false">IF(AG696="",0,IF(MATCH(AG696,$AG$4:$AG$1203,0)=ROW()-3,1,0))</f>
        <v>0</v>
      </c>
      <c r="AJ696" s="90" t="n">
        <f aca="false">N(AJ695)+AI696</f>
        <v>4</v>
      </c>
      <c r="AK696" s="1" t="n">
        <f aca="false">N(AK695)+$AJ696</f>
        <v>1644</v>
      </c>
    </row>
    <row r="697" customFormat="false" ht="13.5" hidden="false" customHeight="false" outlineLevel="0" collapsed="false">
      <c r="A697" s="1" t="str">
        <f aca="false">IF(对接源_01水果!$C697="","",对接源_01水果!$C697)</f>
        <v/>
      </c>
      <c r="B697" s="1" t="n">
        <f aca="false">IF(A697="",0,IF(MATCH(A697,$A$4:$A$2403,0)=ROW()-3,1,0))</f>
        <v>0</v>
      </c>
      <c r="C697" s="1" t="n">
        <f aca="false">N(C696)+B697</f>
        <v>13</v>
      </c>
      <c r="K697" s="1" t="n">
        <f aca="false">IF(OR($K$1="",对接源_01水果!$C697="",对接源_01水果!$C697&lt;&gt;$K$1,对接源_01水果!$B697=""),0,IF(OR(N(对接源_01水果!$B697)&lt;$K$2,N(对接源_01水果!$B697)&gt;$K$3),0,1))</f>
        <v>0</v>
      </c>
      <c r="L697" s="1" t="n">
        <f aca="false">IF(OR($L$1="",对接源_01水果!$C697="",对接源_01水果!$C697&lt;&gt;$L$1,对接源_01水果!$B697=""),0,IF(OR(N(对接源_01水果!$B697)&lt;$L$2,N(对接源_01水果!$B697)&gt;$L$3),0,1))</f>
        <v>0</v>
      </c>
      <c r="M697" s="1" t="n">
        <f aca="false">IF(OR($M$1="",对接源_01水果!$C697="",对接源_01水果!$C697&lt;&gt;$M$1,对接源_01水果!$B697=""),0,IF(OR(N(对接源_01水果!$B697)&lt;$M$2,N(对接源_01水果!$B697)&gt;$M$3),0,1))</f>
        <v>0</v>
      </c>
      <c r="N697" s="1" t="n">
        <f aca="false">IF(OR($N$1="",对接源_01水果!$C697="",对接源_01水果!$C697&lt;&gt;$N$1,对接源_01水果!$B697=""),0,IF(OR(N(对接源_01水果!$B697)&lt;$N$2,N(对接源_01水果!$B697)&gt;$N$3),0,1))</f>
        <v>0</v>
      </c>
      <c r="P697" s="1" t="n">
        <f aca="false">IF(AND($K697=1,AND(对接源_01水果!$X697="公司筐",N(对接源_01水果!$T697)&lt;&gt;0)),1,0)</f>
        <v>0</v>
      </c>
      <c r="Q697" s="1" t="n">
        <f aca="false">N(Q696)+$P697</f>
        <v>3</v>
      </c>
      <c r="R697" s="1" t="n">
        <f aca="false">IF(AND($K697=1,AND(对接源_01水果!$X697="公司筐",N(对接源_01水果!$U697)&lt;&gt;0)),1,0)</f>
        <v>0</v>
      </c>
      <c r="S697" s="1" t="n">
        <f aca="false">N(S696)+$R697</f>
        <v>0</v>
      </c>
      <c r="T697" s="1" t="n">
        <f aca="false">IF(AND($K697=1,AND(对接源_01水果!$X697="公司筐",N(对接源_01水果!$V697)&lt;&gt;0)),1,0)</f>
        <v>0</v>
      </c>
      <c r="U697" s="1" t="n">
        <f aca="false">N(U696)+$T697</f>
        <v>28</v>
      </c>
      <c r="V697" s="1" t="n">
        <f aca="false">IF(AND($L697=1,AND(对接源_01水果!$X697="自备筐",N(对接源_01水果!$V697)&lt;&gt;0)),1,0)</f>
        <v>0</v>
      </c>
      <c r="W697" s="1" t="n">
        <f aca="false">N(W696)+$V697</f>
        <v>7</v>
      </c>
      <c r="X697" s="1" t="n">
        <f aca="false">IF(AND($L697=1,AND(对接源_01水果!$X697="自备筐",N(对接源_01水果!$T697)&lt;&gt;0)),1,0)</f>
        <v>0</v>
      </c>
      <c r="Y697" s="1" t="n">
        <f aca="false">N(Y696)+$X697</f>
        <v>0</v>
      </c>
      <c r="Z697" s="1" t="n">
        <f aca="false">IF(AND($M697=1,对接源_01水果!$D697="原料入库"),1,0)</f>
        <v>0</v>
      </c>
      <c r="AA697" s="1" t="n">
        <f aca="false">N(AA696)+$Z697</f>
        <v>30</v>
      </c>
      <c r="AB697" s="1" t="n">
        <f aca="false">IF(AND($M697=1,LEFT(对接源_01水果!$D697,4)="原料出库"),1,0)</f>
        <v>0</v>
      </c>
      <c r="AC697" s="1" t="n">
        <f aca="false">N(AC696)+$AB697</f>
        <v>19</v>
      </c>
      <c r="AD697" s="1" t="n">
        <f aca="false">IF(AND($M697=1,LEFT(对接源_01水果!$D697,4)="成品出库"),1,0)</f>
        <v>0</v>
      </c>
      <c r="AE697" s="1" t="n">
        <f aca="false">N(AE696)+$AD697</f>
        <v>38</v>
      </c>
      <c r="AF697" s="1" t="n">
        <f aca="false">IF(AND($N697=1,AND(LEFT(对接源_01水果!$D697,4)="包装物料",N(对接源_01水果!$K697)&lt;&gt;0)),1,0)</f>
        <v>0</v>
      </c>
      <c r="AG697" s="90" t="str">
        <f aca="false">IF(对接源_01水果!$AC697="","",对接源_01水果!$AC697)</f>
        <v/>
      </c>
      <c r="AH697" s="1" t="n">
        <f aca="false">IF(AND($N697=1,AND(LEFT(对接源_01水果!$D697,3)="周转筐",N(对接源_01水果!$K697)&lt;&gt;0)),1,0)</f>
        <v>0</v>
      </c>
      <c r="AI697" s="90" t="n">
        <f aca="false">IF(AG697="",0,IF(MATCH(AG697,$AG$4:$AG$1203,0)=ROW()-3,1,0))</f>
        <v>0</v>
      </c>
      <c r="AJ697" s="90" t="n">
        <f aca="false">N(AJ696)+AI697</f>
        <v>4</v>
      </c>
      <c r="AK697" s="1" t="n">
        <f aca="false">N(AK696)+$AJ697</f>
        <v>1648</v>
      </c>
    </row>
    <row r="698" customFormat="false" ht="13.5" hidden="false" customHeight="false" outlineLevel="0" collapsed="false">
      <c r="A698" s="1" t="str">
        <f aca="false">IF(对接源_01水果!$C698="","",对接源_01水果!$C698)</f>
        <v/>
      </c>
      <c r="B698" s="1" t="n">
        <f aca="false">IF(A698="",0,IF(MATCH(A698,$A$4:$A$2403,0)=ROW()-3,1,0))</f>
        <v>0</v>
      </c>
      <c r="C698" s="1" t="n">
        <f aca="false">N(C697)+B698</f>
        <v>13</v>
      </c>
      <c r="K698" s="1" t="n">
        <f aca="false">IF(OR($K$1="",对接源_01水果!$C698="",对接源_01水果!$C698&lt;&gt;$K$1,对接源_01水果!$B698=""),0,IF(OR(N(对接源_01水果!$B698)&lt;$K$2,N(对接源_01水果!$B698)&gt;$K$3),0,1))</f>
        <v>0</v>
      </c>
      <c r="L698" s="1" t="n">
        <f aca="false">IF(OR($L$1="",对接源_01水果!$C698="",对接源_01水果!$C698&lt;&gt;$L$1,对接源_01水果!$B698=""),0,IF(OR(N(对接源_01水果!$B698)&lt;$L$2,N(对接源_01水果!$B698)&gt;$L$3),0,1))</f>
        <v>0</v>
      </c>
      <c r="M698" s="1" t="n">
        <f aca="false">IF(OR($M$1="",对接源_01水果!$C698="",对接源_01水果!$C698&lt;&gt;$M$1,对接源_01水果!$B698=""),0,IF(OR(N(对接源_01水果!$B698)&lt;$M$2,N(对接源_01水果!$B698)&gt;$M$3),0,1))</f>
        <v>0</v>
      </c>
      <c r="N698" s="1" t="n">
        <f aca="false">IF(OR($N$1="",对接源_01水果!$C698="",对接源_01水果!$C698&lt;&gt;$N$1,对接源_01水果!$B698=""),0,IF(OR(N(对接源_01水果!$B698)&lt;$N$2,N(对接源_01水果!$B698)&gt;$N$3),0,1))</f>
        <v>0</v>
      </c>
      <c r="P698" s="1" t="n">
        <f aca="false">IF(AND($K698=1,AND(对接源_01水果!$X698="公司筐",N(对接源_01水果!$T698)&lt;&gt;0)),1,0)</f>
        <v>0</v>
      </c>
      <c r="Q698" s="1" t="n">
        <f aca="false">N(Q697)+$P698</f>
        <v>3</v>
      </c>
      <c r="R698" s="1" t="n">
        <f aca="false">IF(AND($K698=1,AND(对接源_01水果!$X698="公司筐",N(对接源_01水果!$U698)&lt;&gt;0)),1,0)</f>
        <v>0</v>
      </c>
      <c r="S698" s="1" t="n">
        <f aca="false">N(S697)+$R698</f>
        <v>0</v>
      </c>
      <c r="T698" s="1" t="n">
        <f aca="false">IF(AND($K698=1,AND(对接源_01水果!$X698="公司筐",N(对接源_01水果!$V698)&lt;&gt;0)),1,0)</f>
        <v>0</v>
      </c>
      <c r="U698" s="1" t="n">
        <f aca="false">N(U697)+$T698</f>
        <v>28</v>
      </c>
      <c r="V698" s="1" t="n">
        <f aca="false">IF(AND($L698=1,AND(对接源_01水果!$X698="自备筐",N(对接源_01水果!$V698)&lt;&gt;0)),1,0)</f>
        <v>0</v>
      </c>
      <c r="W698" s="1" t="n">
        <f aca="false">N(W697)+$V698</f>
        <v>7</v>
      </c>
      <c r="X698" s="1" t="n">
        <f aca="false">IF(AND($L698=1,AND(对接源_01水果!$X698="自备筐",N(对接源_01水果!$T698)&lt;&gt;0)),1,0)</f>
        <v>0</v>
      </c>
      <c r="Y698" s="1" t="n">
        <f aca="false">N(Y697)+$X698</f>
        <v>0</v>
      </c>
      <c r="Z698" s="1" t="n">
        <f aca="false">IF(AND($M698=1,对接源_01水果!$D698="原料入库"),1,0)</f>
        <v>0</v>
      </c>
      <c r="AA698" s="1" t="n">
        <f aca="false">N(AA697)+$Z698</f>
        <v>30</v>
      </c>
      <c r="AB698" s="1" t="n">
        <f aca="false">IF(AND($M698=1,LEFT(对接源_01水果!$D698,4)="原料出库"),1,0)</f>
        <v>0</v>
      </c>
      <c r="AC698" s="1" t="n">
        <f aca="false">N(AC697)+$AB698</f>
        <v>19</v>
      </c>
      <c r="AD698" s="1" t="n">
        <f aca="false">IF(AND($M698=1,LEFT(对接源_01水果!$D698,4)="成品出库"),1,0)</f>
        <v>0</v>
      </c>
      <c r="AE698" s="1" t="n">
        <f aca="false">N(AE697)+$AD698</f>
        <v>38</v>
      </c>
      <c r="AF698" s="1" t="n">
        <f aca="false">IF(AND($N698=1,AND(LEFT(对接源_01水果!$D698,4)="包装物料",N(对接源_01水果!$K698)&lt;&gt;0)),1,0)</f>
        <v>0</v>
      </c>
      <c r="AG698" s="90" t="str">
        <f aca="false">IF(对接源_01水果!$AC698="","",对接源_01水果!$AC698)</f>
        <v/>
      </c>
      <c r="AH698" s="1" t="n">
        <f aca="false">IF(AND($N698=1,AND(LEFT(对接源_01水果!$D698,3)="周转筐",N(对接源_01水果!$K698)&lt;&gt;0)),1,0)</f>
        <v>0</v>
      </c>
      <c r="AI698" s="90" t="n">
        <f aca="false">IF(AG698="",0,IF(MATCH(AG698,$AG$4:$AG$1203,0)=ROW()-3,1,0))</f>
        <v>0</v>
      </c>
      <c r="AJ698" s="90" t="n">
        <f aca="false">N(AJ697)+AI698</f>
        <v>4</v>
      </c>
      <c r="AK698" s="1" t="n">
        <f aca="false">N(AK697)+$AJ698</f>
        <v>1652</v>
      </c>
    </row>
    <row r="699" customFormat="false" ht="13.5" hidden="false" customHeight="false" outlineLevel="0" collapsed="false">
      <c r="A699" s="1" t="str">
        <f aca="false">IF(对接源_01水果!$C699="","",对接源_01水果!$C699)</f>
        <v/>
      </c>
      <c r="B699" s="1" t="n">
        <f aca="false">IF(A699="",0,IF(MATCH(A699,$A$4:$A$2403,0)=ROW()-3,1,0))</f>
        <v>0</v>
      </c>
      <c r="C699" s="1" t="n">
        <f aca="false">N(C698)+B699</f>
        <v>13</v>
      </c>
      <c r="K699" s="1" t="n">
        <f aca="false">IF(OR($K$1="",对接源_01水果!$C699="",对接源_01水果!$C699&lt;&gt;$K$1,对接源_01水果!$B699=""),0,IF(OR(N(对接源_01水果!$B699)&lt;$K$2,N(对接源_01水果!$B699)&gt;$K$3),0,1))</f>
        <v>0</v>
      </c>
      <c r="L699" s="1" t="n">
        <f aca="false">IF(OR($L$1="",对接源_01水果!$C699="",对接源_01水果!$C699&lt;&gt;$L$1,对接源_01水果!$B699=""),0,IF(OR(N(对接源_01水果!$B699)&lt;$L$2,N(对接源_01水果!$B699)&gt;$L$3),0,1))</f>
        <v>0</v>
      </c>
      <c r="M699" s="1" t="n">
        <f aca="false">IF(OR($M$1="",对接源_01水果!$C699="",对接源_01水果!$C699&lt;&gt;$M$1,对接源_01水果!$B699=""),0,IF(OR(N(对接源_01水果!$B699)&lt;$M$2,N(对接源_01水果!$B699)&gt;$M$3),0,1))</f>
        <v>0</v>
      </c>
      <c r="N699" s="1" t="n">
        <f aca="false">IF(OR($N$1="",对接源_01水果!$C699="",对接源_01水果!$C699&lt;&gt;$N$1,对接源_01水果!$B699=""),0,IF(OR(N(对接源_01水果!$B699)&lt;$N$2,N(对接源_01水果!$B699)&gt;$N$3),0,1))</f>
        <v>0</v>
      </c>
      <c r="P699" s="1" t="n">
        <f aca="false">IF(AND($K699=1,AND(对接源_01水果!$X699="公司筐",N(对接源_01水果!$T699)&lt;&gt;0)),1,0)</f>
        <v>0</v>
      </c>
      <c r="Q699" s="1" t="n">
        <f aca="false">N(Q698)+$P699</f>
        <v>3</v>
      </c>
      <c r="R699" s="1" t="n">
        <f aca="false">IF(AND($K699=1,AND(对接源_01水果!$X699="公司筐",N(对接源_01水果!$U699)&lt;&gt;0)),1,0)</f>
        <v>0</v>
      </c>
      <c r="S699" s="1" t="n">
        <f aca="false">N(S698)+$R699</f>
        <v>0</v>
      </c>
      <c r="T699" s="1" t="n">
        <f aca="false">IF(AND($K699=1,AND(对接源_01水果!$X699="公司筐",N(对接源_01水果!$V699)&lt;&gt;0)),1,0)</f>
        <v>0</v>
      </c>
      <c r="U699" s="1" t="n">
        <f aca="false">N(U698)+$T699</f>
        <v>28</v>
      </c>
      <c r="V699" s="1" t="n">
        <f aca="false">IF(AND($L699=1,AND(对接源_01水果!$X699="自备筐",N(对接源_01水果!$V699)&lt;&gt;0)),1,0)</f>
        <v>0</v>
      </c>
      <c r="W699" s="1" t="n">
        <f aca="false">N(W698)+$V699</f>
        <v>7</v>
      </c>
      <c r="X699" s="1" t="n">
        <f aca="false">IF(AND($L699=1,AND(对接源_01水果!$X699="自备筐",N(对接源_01水果!$T699)&lt;&gt;0)),1,0)</f>
        <v>0</v>
      </c>
      <c r="Y699" s="1" t="n">
        <f aca="false">N(Y698)+$X699</f>
        <v>0</v>
      </c>
      <c r="Z699" s="1" t="n">
        <f aca="false">IF(AND($M699=1,对接源_01水果!$D699="原料入库"),1,0)</f>
        <v>0</v>
      </c>
      <c r="AA699" s="1" t="n">
        <f aca="false">N(AA698)+$Z699</f>
        <v>30</v>
      </c>
      <c r="AB699" s="1" t="n">
        <f aca="false">IF(AND($M699=1,LEFT(对接源_01水果!$D699,4)="原料出库"),1,0)</f>
        <v>0</v>
      </c>
      <c r="AC699" s="1" t="n">
        <f aca="false">N(AC698)+$AB699</f>
        <v>19</v>
      </c>
      <c r="AD699" s="1" t="n">
        <f aca="false">IF(AND($M699=1,LEFT(对接源_01水果!$D699,4)="成品出库"),1,0)</f>
        <v>0</v>
      </c>
      <c r="AE699" s="1" t="n">
        <f aca="false">N(AE698)+$AD699</f>
        <v>38</v>
      </c>
      <c r="AF699" s="1" t="n">
        <f aca="false">IF(AND($N699=1,AND(LEFT(对接源_01水果!$D699,4)="包装物料",N(对接源_01水果!$K699)&lt;&gt;0)),1,0)</f>
        <v>0</v>
      </c>
      <c r="AG699" s="90" t="str">
        <f aca="false">IF(对接源_01水果!$AC699="","",对接源_01水果!$AC699)</f>
        <v/>
      </c>
      <c r="AH699" s="1" t="n">
        <f aca="false">IF(AND($N699=1,AND(LEFT(对接源_01水果!$D699,3)="周转筐",N(对接源_01水果!$K699)&lt;&gt;0)),1,0)</f>
        <v>0</v>
      </c>
      <c r="AI699" s="90" t="n">
        <f aca="false">IF(AG699="",0,IF(MATCH(AG699,$AG$4:$AG$1203,0)=ROW()-3,1,0))</f>
        <v>0</v>
      </c>
      <c r="AJ699" s="90" t="n">
        <f aca="false">N(AJ698)+AI699</f>
        <v>4</v>
      </c>
      <c r="AK699" s="1" t="n">
        <f aca="false">N(AK698)+$AJ699</f>
        <v>1656</v>
      </c>
    </row>
    <row r="700" customFormat="false" ht="13.5" hidden="false" customHeight="false" outlineLevel="0" collapsed="false">
      <c r="A700" s="1" t="str">
        <f aca="false">IF(对接源_01水果!$C700="","",对接源_01水果!$C700)</f>
        <v/>
      </c>
      <c r="B700" s="1" t="n">
        <f aca="false">IF(A700="",0,IF(MATCH(A700,$A$4:$A$2403,0)=ROW()-3,1,0))</f>
        <v>0</v>
      </c>
      <c r="C700" s="1" t="n">
        <f aca="false">N(C699)+B700</f>
        <v>13</v>
      </c>
      <c r="K700" s="1" t="n">
        <f aca="false">IF(OR($K$1="",对接源_01水果!$C700="",对接源_01水果!$C700&lt;&gt;$K$1,对接源_01水果!$B700=""),0,IF(OR(N(对接源_01水果!$B700)&lt;$K$2,N(对接源_01水果!$B700)&gt;$K$3),0,1))</f>
        <v>0</v>
      </c>
      <c r="L700" s="1" t="n">
        <f aca="false">IF(OR($L$1="",对接源_01水果!$C700="",对接源_01水果!$C700&lt;&gt;$L$1,对接源_01水果!$B700=""),0,IF(OR(N(对接源_01水果!$B700)&lt;$L$2,N(对接源_01水果!$B700)&gt;$L$3),0,1))</f>
        <v>0</v>
      </c>
      <c r="M700" s="1" t="n">
        <f aca="false">IF(OR($M$1="",对接源_01水果!$C700="",对接源_01水果!$C700&lt;&gt;$M$1,对接源_01水果!$B700=""),0,IF(OR(N(对接源_01水果!$B700)&lt;$M$2,N(对接源_01水果!$B700)&gt;$M$3),0,1))</f>
        <v>0</v>
      </c>
      <c r="N700" s="1" t="n">
        <f aca="false">IF(OR($N$1="",对接源_01水果!$C700="",对接源_01水果!$C700&lt;&gt;$N$1,对接源_01水果!$B700=""),0,IF(OR(N(对接源_01水果!$B700)&lt;$N$2,N(对接源_01水果!$B700)&gt;$N$3),0,1))</f>
        <v>0</v>
      </c>
      <c r="P700" s="1" t="n">
        <f aca="false">IF(AND($K700=1,AND(对接源_01水果!$X700="公司筐",N(对接源_01水果!$T700)&lt;&gt;0)),1,0)</f>
        <v>0</v>
      </c>
      <c r="Q700" s="1" t="n">
        <f aca="false">N(Q699)+$P700</f>
        <v>3</v>
      </c>
      <c r="R700" s="1" t="n">
        <f aca="false">IF(AND($K700=1,AND(对接源_01水果!$X700="公司筐",N(对接源_01水果!$U700)&lt;&gt;0)),1,0)</f>
        <v>0</v>
      </c>
      <c r="S700" s="1" t="n">
        <f aca="false">N(S699)+$R700</f>
        <v>0</v>
      </c>
      <c r="T700" s="1" t="n">
        <f aca="false">IF(AND($K700=1,AND(对接源_01水果!$X700="公司筐",N(对接源_01水果!$V700)&lt;&gt;0)),1,0)</f>
        <v>0</v>
      </c>
      <c r="U700" s="1" t="n">
        <f aca="false">N(U699)+$T700</f>
        <v>28</v>
      </c>
      <c r="V700" s="1" t="n">
        <f aca="false">IF(AND($L700=1,AND(对接源_01水果!$X700="自备筐",N(对接源_01水果!$V700)&lt;&gt;0)),1,0)</f>
        <v>0</v>
      </c>
      <c r="W700" s="1" t="n">
        <f aca="false">N(W699)+$V700</f>
        <v>7</v>
      </c>
      <c r="X700" s="1" t="n">
        <f aca="false">IF(AND($L700=1,AND(对接源_01水果!$X700="自备筐",N(对接源_01水果!$T700)&lt;&gt;0)),1,0)</f>
        <v>0</v>
      </c>
      <c r="Y700" s="1" t="n">
        <f aca="false">N(Y699)+$X700</f>
        <v>0</v>
      </c>
      <c r="Z700" s="1" t="n">
        <f aca="false">IF(AND($M700=1,对接源_01水果!$D700="原料入库"),1,0)</f>
        <v>0</v>
      </c>
      <c r="AA700" s="1" t="n">
        <f aca="false">N(AA699)+$Z700</f>
        <v>30</v>
      </c>
      <c r="AB700" s="1" t="n">
        <f aca="false">IF(AND($M700=1,LEFT(对接源_01水果!$D700,4)="原料出库"),1,0)</f>
        <v>0</v>
      </c>
      <c r="AC700" s="1" t="n">
        <f aca="false">N(AC699)+$AB700</f>
        <v>19</v>
      </c>
      <c r="AD700" s="1" t="n">
        <f aca="false">IF(AND($M700=1,LEFT(对接源_01水果!$D700,4)="成品出库"),1,0)</f>
        <v>0</v>
      </c>
      <c r="AE700" s="1" t="n">
        <f aca="false">N(AE699)+$AD700</f>
        <v>38</v>
      </c>
      <c r="AF700" s="1" t="n">
        <f aca="false">IF(AND($N700=1,AND(LEFT(对接源_01水果!$D700,4)="包装物料",N(对接源_01水果!$K700)&lt;&gt;0)),1,0)</f>
        <v>0</v>
      </c>
      <c r="AG700" s="90" t="str">
        <f aca="false">IF(对接源_01水果!$AC700="","",对接源_01水果!$AC700)</f>
        <v/>
      </c>
      <c r="AH700" s="1" t="n">
        <f aca="false">IF(AND($N700=1,AND(LEFT(对接源_01水果!$D700,3)="周转筐",N(对接源_01水果!$K700)&lt;&gt;0)),1,0)</f>
        <v>0</v>
      </c>
      <c r="AI700" s="90" t="n">
        <f aca="false">IF(AG700="",0,IF(MATCH(AG700,$AG$4:$AG$1203,0)=ROW()-3,1,0))</f>
        <v>0</v>
      </c>
      <c r="AJ700" s="90" t="n">
        <f aca="false">N(AJ699)+AI700</f>
        <v>4</v>
      </c>
      <c r="AK700" s="1" t="n">
        <f aca="false">N(AK699)+$AJ700</f>
        <v>1660</v>
      </c>
    </row>
    <row r="701" customFormat="false" ht="13.5" hidden="false" customHeight="false" outlineLevel="0" collapsed="false">
      <c r="A701" s="1" t="str">
        <f aca="false">IF(对接源_01水果!$C701="","",对接源_01水果!$C701)</f>
        <v/>
      </c>
      <c r="B701" s="1" t="n">
        <f aca="false">IF(A701="",0,IF(MATCH(A701,$A$4:$A$2403,0)=ROW()-3,1,0))</f>
        <v>0</v>
      </c>
      <c r="C701" s="1" t="n">
        <f aca="false">N(C700)+B701</f>
        <v>13</v>
      </c>
      <c r="K701" s="1" t="n">
        <f aca="false">IF(OR($K$1="",对接源_01水果!$C701="",对接源_01水果!$C701&lt;&gt;$K$1,对接源_01水果!$B701=""),0,IF(OR(N(对接源_01水果!$B701)&lt;$K$2,N(对接源_01水果!$B701)&gt;$K$3),0,1))</f>
        <v>0</v>
      </c>
      <c r="L701" s="1" t="n">
        <f aca="false">IF(OR($L$1="",对接源_01水果!$C701="",对接源_01水果!$C701&lt;&gt;$L$1,对接源_01水果!$B701=""),0,IF(OR(N(对接源_01水果!$B701)&lt;$L$2,N(对接源_01水果!$B701)&gt;$L$3),0,1))</f>
        <v>0</v>
      </c>
      <c r="M701" s="1" t="n">
        <f aca="false">IF(OR($M$1="",对接源_01水果!$C701="",对接源_01水果!$C701&lt;&gt;$M$1,对接源_01水果!$B701=""),0,IF(OR(N(对接源_01水果!$B701)&lt;$M$2,N(对接源_01水果!$B701)&gt;$M$3),0,1))</f>
        <v>0</v>
      </c>
      <c r="N701" s="1" t="n">
        <f aca="false">IF(OR($N$1="",对接源_01水果!$C701="",对接源_01水果!$C701&lt;&gt;$N$1,对接源_01水果!$B701=""),0,IF(OR(N(对接源_01水果!$B701)&lt;$N$2,N(对接源_01水果!$B701)&gt;$N$3),0,1))</f>
        <v>0</v>
      </c>
      <c r="P701" s="1" t="n">
        <f aca="false">IF(AND($K701=1,AND(对接源_01水果!$X701="公司筐",N(对接源_01水果!$T701)&lt;&gt;0)),1,0)</f>
        <v>0</v>
      </c>
      <c r="Q701" s="1" t="n">
        <f aca="false">N(Q700)+$P701</f>
        <v>3</v>
      </c>
      <c r="R701" s="1" t="n">
        <f aca="false">IF(AND($K701=1,AND(对接源_01水果!$X701="公司筐",N(对接源_01水果!$U701)&lt;&gt;0)),1,0)</f>
        <v>0</v>
      </c>
      <c r="S701" s="1" t="n">
        <f aca="false">N(S700)+$R701</f>
        <v>0</v>
      </c>
      <c r="T701" s="1" t="n">
        <f aca="false">IF(AND($K701=1,AND(对接源_01水果!$X701="公司筐",N(对接源_01水果!$V701)&lt;&gt;0)),1,0)</f>
        <v>0</v>
      </c>
      <c r="U701" s="1" t="n">
        <f aca="false">N(U700)+$T701</f>
        <v>28</v>
      </c>
      <c r="V701" s="1" t="n">
        <f aca="false">IF(AND($L701=1,AND(对接源_01水果!$X701="自备筐",N(对接源_01水果!$V701)&lt;&gt;0)),1,0)</f>
        <v>0</v>
      </c>
      <c r="W701" s="1" t="n">
        <f aca="false">N(W700)+$V701</f>
        <v>7</v>
      </c>
      <c r="X701" s="1" t="n">
        <f aca="false">IF(AND($L701=1,AND(对接源_01水果!$X701="自备筐",N(对接源_01水果!$T701)&lt;&gt;0)),1,0)</f>
        <v>0</v>
      </c>
      <c r="Y701" s="1" t="n">
        <f aca="false">N(Y700)+$X701</f>
        <v>0</v>
      </c>
      <c r="Z701" s="1" t="n">
        <f aca="false">IF(AND($M701=1,对接源_01水果!$D701="原料入库"),1,0)</f>
        <v>0</v>
      </c>
      <c r="AA701" s="1" t="n">
        <f aca="false">N(AA700)+$Z701</f>
        <v>30</v>
      </c>
      <c r="AB701" s="1" t="n">
        <f aca="false">IF(AND($M701=1,LEFT(对接源_01水果!$D701,4)="原料出库"),1,0)</f>
        <v>0</v>
      </c>
      <c r="AC701" s="1" t="n">
        <f aca="false">N(AC700)+$AB701</f>
        <v>19</v>
      </c>
      <c r="AD701" s="1" t="n">
        <f aca="false">IF(AND($M701=1,LEFT(对接源_01水果!$D701,4)="成品出库"),1,0)</f>
        <v>0</v>
      </c>
      <c r="AE701" s="1" t="n">
        <f aca="false">N(AE700)+$AD701</f>
        <v>38</v>
      </c>
      <c r="AF701" s="1" t="n">
        <f aca="false">IF(AND($N701=1,AND(LEFT(对接源_01水果!$D701,4)="包装物料",N(对接源_01水果!$K701)&lt;&gt;0)),1,0)</f>
        <v>0</v>
      </c>
      <c r="AG701" s="90" t="str">
        <f aca="false">IF(对接源_01水果!$AC701="","",对接源_01水果!$AC701)</f>
        <v/>
      </c>
      <c r="AH701" s="1" t="n">
        <f aca="false">IF(AND($N701=1,AND(LEFT(对接源_01水果!$D701,3)="周转筐",N(对接源_01水果!$K701)&lt;&gt;0)),1,0)</f>
        <v>0</v>
      </c>
      <c r="AI701" s="90" t="n">
        <f aca="false">IF(AG701="",0,IF(MATCH(AG701,$AG$4:$AG$1203,0)=ROW()-3,1,0))</f>
        <v>0</v>
      </c>
      <c r="AJ701" s="90" t="n">
        <f aca="false">N(AJ700)+AI701</f>
        <v>4</v>
      </c>
      <c r="AK701" s="1" t="n">
        <f aca="false">N(AK700)+$AJ701</f>
        <v>1664</v>
      </c>
    </row>
    <row r="702" customFormat="false" ht="13.5" hidden="false" customHeight="false" outlineLevel="0" collapsed="false">
      <c r="A702" s="1" t="str">
        <f aca="false">IF(对接源_01水果!$C702="","",对接源_01水果!$C702)</f>
        <v/>
      </c>
      <c r="B702" s="1" t="n">
        <f aca="false">IF(A702="",0,IF(MATCH(A702,$A$4:$A$2403,0)=ROW()-3,1,0))</f>
        <v>0</v>
      </c>
      <c r="C702" s="1" t="n">
        <f aca="false">N(C701)+B702</f>
        <v>13</v>
      </c>
      <c r="K702" s="1" t="n">
        <f aca="false">IF(OR($K$1="",对接源_01水果!$C702="",对接源_01水果!$C702&lt;&gt;$K$1,对接源_01水果!$B702=""),0,IF(OR(N(对接源_01水果!$B702)&lt;$K$2,N(对接源_01水果!$B702)&gt;$K$3),0,1))</f>
        <v>0</v>
      </c>
      <c r="L702" s="1" t="n">
        <f aca="false">IF(OR($L$1="",对接源_01水果!$C702="",对接源_01水果!$C702&lt;&gt;$L$1,对接源_01水果!$B702=""),0,IF(OR(N(对接源_01水果!$B702)&lt;$L$2,N(对接源_01水果!$B702)&gt;$L$3),0,1))</f>
        <v>0</v>
      </c>
      <c r="M702" s="1" t="n">
        <f aca="false">IF(OR($M$1="",对接源_01水果!$C702="",对接源_01水果!$C702&lt;&gt;$M$1,对接源_01水果!$B702=""),0,IF(OR(N(对接源_01水果!$B702)&lt;$M$2,N(对接源_01水果!$B702)&gt;$M$3),0,1))</f>
        <v>0</v>
      </c>
      <c r="N702" s="1" t="n">
        <f aca="false">IF(OR($N$1="",对接源_01水果!$C702="",对接源_01水果!$C702&lt;&gt;$N$1,对接源_01水果!$B702=""),0,IF(OR(N(对接源_01水果!$B702)&lt;$N$2,N(对接源_01水果!$B702)&gt;$N$3),0,1))</f>
        <v>0</v>
      </c>
      <c r="P702" s="1" t="n">
        <f aca="false">IF(AND($K702=1,AND(对接源_01水果!$X702="公司筐",N(对接源_01水果!$T702)&lt;&gt;0)),1,0)</f>
        <v>0</v>
      </c>
      <c r="Q702" s="1" t="n">
        <f aca="false">N(Q701)+$P702</f>
        <v>3</v>
      </c>
      <c r="R702" s="1" t="n">
        <f aca="false">IF(AND($K702=1,AND(对接源_01水果!$X702="公司筐",N(对接源_01水果!$U702)&lt;&gt;0)),1,0)</f>
        <v>0</v>
      </c>
      <c r="S702" s="1" t="n">
        <f aca="false">N(S701)+$R702</f>
        <v>0</v>
      </c>
      <c r="T702" s="1" t="n">
        <f aca="false">IF(AND($K702=1,AND(对接源_01水果!$X702="公司筐",N(对接源_01水果!$V702)&lt;&gt;0)),1,0)</f>
        <v>0</v>
      </c>
      <c r="U702" s="1" t="n">
        <f aca="false">N(U701)+$T702</f>
        <v>28</v>
      </c>
      <c r="V702" s="1" t="n">
        <f aca="false">IF(AND($L702=1,AND(对接源_01水果!$X702="自备筐",N(对接源_01水果!$V702)&lt;&gt;0)),1,0)</f>
        <v>0</v>
      </c>
      <c r="W702" s="1" t="n">
        <f aca="false">N(W701)+$V702</f>
        <v>7</v>
      </c>
      <c r="X702" s="1" t="n">
        <f aca="false">IF(AND($L702=1,AND(对接源_01水果!$X702="自备筐",N(对接源_01水果!$T702)&lt;&gt;0)),1,0)</f>
        <v>0</v>
      </c>
      <c r="Y702" s="1" t="n">
        <f aca="false">N(Y701)+$X702</f>
        <v>0</v>
      </c>
      <c r="Z702" s="1" t="n">
        <f aca="false">IF(AND($M702=1,对接源_01水果!$D702="原料入库"),1,0)</f>
        <v>0</v>
      </c>
      <c r="AA702" s="1" t="n">
        <f aca="false">N(AA701)+$Z702</f>
        <v>30</v>
      </c>
      <c r="AB702" s="1" t="n">
        <f aca="false">IF(AND($M702=1,LEFT(对接源_01水果!$D702,4)="原料出库"),1,0)</f>
        <v>0</v>
      </c>
      <c r="AC702" s="1" t="n">
        <f aca="false">N(AC701)+$AB702</f>
        <v>19</v>
      </c>
      <c r="AD702" s="1" t="n">
        <f aca="false">IF(AND($M702=1,LEFT(对接源_01水果!$D702,4)="成品出库"),1,0)</f>
        <v>0</v>
      </c>
      <c r="AE702" s="1" t="n">
        <f aca="false">N(AE701)+$AD702</f>
        <v>38</v>
      </c>
      <c r="AF702" s="1" t="n">
        <f aca="false">IF(AND($N702=1,AND(LEFT(对接源_01水果!$D702,4)="包装物料",N(对接源_01水果!$K702)&lt;&gt;0)),1,0)</f>
        <v>0</v>
      </c>
      <c r="AG702" s="90" t="str">
        <f aca="false">IF(对接源_01水果!$AC702="","",对接源_01水果!$AC702)</f>
        <v/>
      </c>
      <c r="AH702" s="1" t="n">
        <f aca="false">IF(AND($N702=1,AND(LEFT(对接源_01水果!$D702,3)="周转筐",N(对接源_01水果!$K702)&lt;&gt;0)),1,0)</f>
        <v>0</v>
      </c>
      <c r="AI702" s="90" t="n">
        <f aca="false">IF(AG702="",0,IF(MATCH(AG702,$AG$4:$AG$1203,0)=ROW()-3,1,0))</f>
        <v>0</v>
      </c>
      <c r="AJ702" s="90" t="n">
        <f aca="false">N(AJ701)+AI702</f>
        <v>4</v>
      </c>
      <c r="AK702" s="1" t="n">
        <f aca="false">N(AK701)+$AJ702</f>
        <v>1668</v>
      </c>
    </row>
    <row r="703" customFormat="false" ht="13.5" hidden="false" customHeight="false" outlineLevel="0" collapsed="false">
      <c r="A703" s="1" t="str">
        <f aca="false">IF(对接源_01水果!$C703="","",对接源_01水果!$C703)</f>
        <v/>
      </c>
      <c r="B703" s="1" t="n">
        <f aca="false">IF(A703="",0,IF(MATCH(A703,$A$4:$A$2403,0)=ROW()-3,1,0))</f>
        <v>0</v>
      </c>
      <c r="C703" s="1" t="n">
        <f aca="false">N(C702)+B703</f>
        <v>13</v>
      </c>
      <c r="K703" s="1" t="n">
        <f aca="false">IF(OR($K$1="",对接源_01水果!$C703="",对接源_01水果!$C703&lt;&gt;$K$1,对接源_01水果!$B703=""),0,IF(OR(N(对接源_01水果!$B703)&lt;$K$2,N(对接源_01水果!$B703)&gt;$K$3),0,1))</f>
        <v>0</v>
      </c>
      <c r="L703" s="1" t="n">
        <f aca="false">IF(OR($L$1="",对接源_01水果!$C703="",对接源_01水果!$C703&lt;&gt;$L$1,对接源_01水果!$B703=""),0,IF(OR(N(对接源_01水果!$B703)&lt;$L$2,N(对接源_01水果!$B703)&gt;$L$3),0,1))</f>
        <v>0</v>
      </c>
      <c r="M703" s="1" t="n">
        <f aca="false">IF(OR($M$1="",对接源_01水果!$C703="",对接源_01水果!$C703&lt;&gt;$M$1,对接源_01水果!$B703=""),0,IF(OR(N(对接源_01水果!$B703)&lt;$M$2,N(对接源_01水果!$B703)&gt;$M$3),0,1))</f>
        <v>0</v>
      </c>
      <c r="N703" s="1" t="n">
        <f aca="false">IF(OR($N$1="",对接源_01水果!$C703="",对接源_01水果!$C703&lt;&gt;$N$1,对接源_01水果!$B703=""),0,IF(OR(N(对接源_01水果!$B703)&lt;$N$2,N(对接源_01水果!$B703)&gt;$N$3),0,1))</f>
        <v>0</v>
      </c>
      <c r="P703" s="1" t="n">
        <f aca="false">IF(AND($K703=1,AND(对接源_01水果!$X703="公司筐",N(对接源_01水果!$T703)&lt;&gt;0)),1,0)</f>
        <v>0</v>
      </c>
      <c r="Q703" s="1" t="n">
        <f aca="false">N(Q702)+$P703</f>
        <v>3</v>
      </c>
      <c r="R703" s="1" t="n">
        <f aca="false">IF(AND($K703=1,AND(对接源_01水果!$X703="公司筐",N(对接源_01水果!$U703)&lt;&gt;0)),1,0)</f>
        <v>0</v>
      </c>
      <c r="S703" s="1" t="n">
        <f aca="false">N(S702)+$R703</f>
        <v>0</v>
      </c>
      <c r="T703" s="1" t="n">
        <f aca="false">IF(AND($K703=1,AND(对接源_01水果!$X703="公司筐",N(对接源_01水果!$V703)&lt;&gt;0)),1,0)</f>
        <v>0</v>
      </c>
      <c r="U703" s="1" t="n">
        <f aca="false">N(U702)+$T703</f>
        <v>28</v>
      </c>
      <c r="V703" s="1" t="n">
        <f aca="false">IF(AND($L703=1,AND(对接源_01水果!$X703="自备筐",N(对接源_01水果!$V703)&lt;&gt;0)),1,0)</f>
        <v>0</v>
      </c>
      <c r="W703" s="1" t="n">
        <f aca="false">N(W702)+$V703</f>
        <v>7</v>
      </c>
      <c r="X703" s="1" t="n">
        <f aca="false">IF(AND($L703=1,AND(对接源_01水果!$X703="自备筐",N(对接源_01水果!$T703)&lt;&gt;0)),1,0)</f>
        <v>0</v>
      </c>
      <c r="Y703" s="1" t="n">
        <f aca="false">N(Y702)+$X703</f>
        <v>0</v>
      </c>
      <c r="Z703" s="1" t="n">
        <f aca="false">IF(AND($M703=1,对接源_01水果!$D703="原料入库"),1,0)</f>
        <v>0</v>
      </c>
      <c r="AA703" s="1" t="n">
        <f aca="false">N(AA702)+$Z703</f>
        <v>30</v>
      </c>
      <c r="AB703" s="1" t="n">
        <f aca="false">IF(AND($M703=1,LEFT(对接源_01水果!$D703,4)="原料出库"),1,0)</f>
        <v>0</v>
      </c>
      <c r="AC703" s="1" t="n">
        <f aca="false">N(AC702)+$AB703</f>
        <v>19</v>
      </c>
      <c r="AD703" s="1" t="n">
        <f aca="false">IF(AND($M703=1,LEFT(对接源_01水果!$D703,4)="成品出库"),1,0)</f>
        <v>0</v>
      </c>
      <c r="AE703" s="1" t="n">
        <f aca="false">N(AE702)+$AD703</f>
        <v>38</v>
      </c>
      <c r="AF703" s="1" t="n">
        <f aca="false">IF(AND($N703=1,AND(LEFT(对接源_01水果!$D703,4)="包装物料",N(对接源_01水果!$K703)&lt;&gt;0)),1,0)</f>
        <v>0</v>
      </c>
      <c r="AG703" s="90" t="str">
        <f aca="false">IF(对接源_01水果!$AC703="","",对接源_01水果!$AC703)</f>
        <v/>
      </c>
      <c r="AH703" s="1" t="n">
        <f aca="false">IF(AND($N703=1,AND(LEFT(对接源_01水果!$D703,3)="周转筐",N(对接源_01水果!$K703)&lt;&gt;0)),1,0)</f>
        <v>0</v>
      </c>
      <c r="AI703" s="90" t="n">
        <f aca="false">IF(AG703="",0,IF(MATCH(AG703,$AG$4:$AG$1203,0)=ROW()-3,1,0))</f>
        <v>0</v>
      </c>
      <c r="AJ703" s="90" t="n">
        <f aca="false">N(AJ702)+AI703</f>
        <v>4</v>
      </c>
      <c r="AK703" s="1" t="n">
        <f aca="false">N(AK702)+$AJ703</f>
        <v>1672</v>
      </c>
    </row>
    <row r="704" customFormat="false" ht="13.5" hidden="false" customHeight="false" outlineLevel="0" collapsed="false">
      <c r="A704" s="1" t="str">
        <f aca="false">IF(对接源_01水果!$C704="","",对接源_01水果!$C704)</f>
        <v/>
      </c>
      <c r="B704" s="1" t="n">
        <f aca="false">IF(A704="",0,IF(MATCH(A704,$A$4:$A$2403,0)=ROW()-3,1,0))</f>
        <v>0</v>
      </c>
      <c r="C704" s="1" t="n">
        <f aca="false">N(C703)+B704</f>
        <v>13</v>
      </c>
      <c r="K704" s="1" t="n">
        <f aca="false">IF(OR($K$1="",对接源_01水果!$C704="",对接源_01水果!$C704&lt;&gt;$K$1,对接源_01水果!$B704=""),0,IF(OR(N(对接源_01水果!$B704)&lt;$K$2,N(对接源_01水果!$B704)&gt;$K$3),0,1))</f>
        <v>0</v>
      </c>
      <c r="L704" s="1" t="n">
        <f aca="false">IF(OR($L$1="",对接源_01水果!$C704="",对接源_01水果!$C704&lt;&gt;$L$1,对接源_01水果!$B704=""),0,IF(OR(N(对接源_01水果!$B704)&lt;$L$2,N(对接源_01水果!$B704)&gt;$L$3),0,1))</f>
        <v>0</v>
      </c>
      <c r="M704" s="1" t="n">
        <f aca="false">IF(OR($M$1="",对接源_01水果!$C704="",对接源_01水果!$C704&lt;&gt;$M$1,对接源_01水果!$B704=""),0,IF(OR(N(对接源_01水果!$B704)&lt;$M$2,N(对接源_01水果!$B704)&gt;$M$3),0,1))</f>
        <v>0</v>
      </c>
      <c r="N704" s="1" t="n">
        <f aca="false">IF(OR($N$1="",对接源_01水果!$C704="",对接源_01水果!$C704&lt;&gt;$N$1,对接源_01水果!$B704=""),0,IF(OR(N(对接源_01水果!$B704)&lt;$N$2,N(对接源_01水果!$B704)&gt;$N$3),0,1))</f>
        <v>0</v>
      </c>
      <c r="P704" s="1" t="n">
        <f aca="false">IF(AND($K704=1,AND(对接源_01水果!$X704="公司筐",N(对接源_01水果!$T704)&lt;&gt;0)),1,0)</f>
        <v>0</v>
      </c>
      <c r="Q704" s="1" t="n">
        <f aca="false">N(Q703)+$P704</f>
        <v>3</v>
      </c>
      <c r="R704" s="1" t="n">
        <f aca="false">IF(AND($K704=1,AND(对接源_01水果!$X704="公司筐",N(对接源_01水果!$U704)&lt;&gt;0)),1,0)</f>
        <v>0</v>
      </c>
      <c r="S704" s="1" t="n">
        <f aca="false">N(S703)+$R704</f>
        <v>0</v>
      </c>
      <c r="T704" s="1" t="n">
        <f aca="false">IF(AND($K704=1,AND(对接源_01水果!$X704="公司筐",N(对接源_01水果!$V704)&lt;&gt;0)),1,0)</f>
        <v>0</v>
      </c>
      <c r="U704" s="1" t="n">
        <f aca="false">N(U703)+$T704</f>
        <v>28</v>
      </c>
      <c r="V704" s="1" t="n">
        <f aca="false">IF(AND($L704=1,AND(对接源_01水果!$X704="自备筐",N(对接源_01水果!$V704)&lt;&gt;0)),1,0)</f>
        <v>0</v>
      </c>
      <c r="W704" s="1" t="n">
        <f aca="false">N(W703)+$V704</f>
        <v>7</v>
      </c>
      <c r="X704" s="1" t="n">
        <f aca="false">IF(AND($L704=1,AND(对接源_01水果!$X704="自备筐",N(对接源_01水果!$T704)&lt;&gt;0)),1,0)</f>
        <v>0</v>
      </c>
      <c r="Y704" s="1" t="n">
        <f aca="false">N(Y703)+$X704</f>
        <v>0</v>
      </c>
      <c r="Z704" s="1" t="n">
        <f aca="false">IF(AND($M704=1,对接源_01水果!$D704="原料入库"),1,0)</f>
        <v>0</v>
      </c>
      <c r="AA704" s="1" t="n">
        <f aca="false">N(AA703)+$Z704</f>
        <v>30</v>
      </c>
      <c r="AB704" s="1" t="n">
        <f aca="false">IF(AND($M704=1,LEFT(对接源_01水果!$D704,4)="原料出库"),1,0)</f>
        <v>0</v>
      </c>
      <c r="AC704" s="1" t="n">
        <f aca="false">N(AC703)+$AB704</f>
        <v>19</v>
      </c>
      <c r="AD704" s="1" t="n">
        <f aca="false">IF(AND($M704=1,LEFT(对接源_01水果!$D704,4)="成品出库"),1,0)</f>
        <v>0</v>
      </c>
      <c r="AE704" s="1" t="n">
        <f aca="false">N(AE703)+$AD704</f>
        <v>38</v>
      </c>
      <c r="AF704" s="1" t="n">
        <f aca="false">IF(AND($N704=1,AND(LEFT(对接源_01水果!$D704,4)="包装物料",N(对接源_01水果!$K704)&lt;&gt;0)),1,0)</f>
        <v>0</v>
      </c>
      <c r="AG704" s="90" t="str">
        <f aca="false">IF(对接源_01水果!$AC704="","",对接源_01水果!$AC704)</f>
        <v/>
      </c>
      <c r="AH704" s="1" t="n">
        <f aca="false">IF(AND($N704=1,AND(LEFT(对接源_01水果!$D704,3)="周转筐",N(对接源_01水果!$K704)&lt;&gt;0)),1,0)</f>
        <v>0</v>
      </c>
      <c r="AI704" s="90" t="n">
        <f aca="false">IF(AG704="",0,IF(MATCH(AG704,$AG$4:$AG$1203,0)=ROW()-3,1,0))</f>
        <v>0</v>
      </c>
      <c r="AJ704" s="90" t="n">
        <f aca="false">N(AJ703)+AI704</f>
        <v>4</v>
      </c>
      <c r="AK704" s="1" t="n">
        <f aca="false">N(AK703)+$AJ704</f>
        <v>1676</v>
      </c>
    </row>
    <row r="705" customFormat="false" ht="13.5" hidden="false" customHeight="false" outlineLevel="0" collapsed="false">
      <c r="A705" s="1" t="str">
        <f aca="false">IF(对接源_01水果!$C705="","",对接源_01水果!$C705)</f>
        <v/>
      </c>
      <c r="B705" s="1" t="n">
        <f aca="false">IF(A705="",0,IF(MATCH(A705,$A$4:$A$2403,0)=ROW()-3,1,0))</f>
        <v>0</v>
      </c>
      <c r="C705" s="1" t="n">
        <f aca="false">N(C704)+B705</f>
        <v>13</v>
      </c>
      <c r="K705" s="1" t="n">
        <f aca="false">IF(OR($K$1="",对接源_01水果!$C705="",对接源_01水果!$C705&lt;&gt;$K$1,对接源_01水果!$B705=""),0,IF(OR(N(对接源_01水果!$B705)&lt;$K$2,N(对接源_01水果!$B705)&gt;$K$3),0,1))</f>
        <v>0</v>
      </c>
      <c r="L705" s="1" t="n">
        <f aca="false">IF(OR($L$1="",对接源_01水果!$C705="",对接源_01水果!$C705&lt;&gt;$L$1,对接源_01水果!$B705=""),0,IF(OR(N(对接源_01水果!$B705)&lt;$L$2,N(对接源_01水果!$B705)&gt;$L$3),0,1))</f>
        <v>0</v>
      </c>
      <c r="M705" s="1" t="n">
        <f aca="false">IF(OR($M$1="",对接源_01水果!$C705="",对接源_01水果!$C705&lt;&gt;$M$1,对接源_01水果!$B705=""),0,IF(OR(N(对接源_01水果!$B705)&lt;$M$2,N(对接源_01水果!$B705)&gt;$M$3),0,1))</f>
        <v>0</v>
      </c>
      <c r="N705" s="1" t="n">
        <f aca="false">IF(OR($N$1="",对接源_01水果!$C705="",对接源_01水果!$C705&lt;&gt;$N$1,对接源_01水果!$B705=""),0,IF(OR(N(对接源_01水果!$B705)&lt;$N$2,N(对接源_01水果!$B705)&gt;$N$3),0,1))</f>
        <v>0</v>
      </c>
      <c r="P705" s="1" t="n">
        <f aca="false">IF(AND($K705=1,AND(对接源_01水果!$X705="公司筐",N(对接源_01水果!$T705)&lt;&gt;0)),1,0)</f>
        <v>0</v>
      </c>
      <c r="Q705" s="1" t="n">
        <f aca="false">N(Q704)+$P705</f>
        <v>3</v>
      </c>
      <c r="R705" s="1" t="n">
        <f aca="false">IF(AND($K705=1,AND(对接源_01水果!$X705="公司筐",N(对接源_01水果!$U705)&lt;&gt;0)),1,0)</f>
        <v>0</v>
      </c>
      <c r="S705" s="1" t="n">
        <f aca="false">N(S704)+$R705</f>
        <v>0</v>
      </c>
      <c r="T705" s="1" t="n">
        <f aca="false">IF(AND($K705=1,AND(对接源_01水果!$X705="公司筐",N(对接源_01水果!$V705)&lt;&gt;0)),1,0)</f>
        <v>0</v>
      </c>
      <c r="U705" s="1" t="n">
        <f aca="false">N(U704)+$T705</f>
        <v>28</v>
      </c>
      <c r="V705" s="1" t="n">
        <f aca="false">IF(AND($L705=1,AND(对接源_01水果!$X705="自备筐",N(对接源_01水果!$V705)&lt;&gt;0)),1,0)</f>
        <v>0</v>
      </c>
      <c r="W705" s="1" t="n">
        <f aca="false">N(W704)+$V705</f>
        <v>7</v>
      </c>
      <c r="X705" s="1" t="n">
        <f aca="false">IF(AND($L705=1,AND(对接源_01水果!$X705="自备筐",N(对接源_01水果!$T705)&lt;&gt;0)),1,0)</f>
        <v>0</v>
      </c>
      <c r="Y705" s="1" t="n">
        <f aca="false">N(Y704)+$X705</f>
        <v>0</v>
      </c>
      <c r="Z705" s="1" t="n">
        <f aca="false">IF(AND($M705=1,对接源_01水果!$D705="原料入库"),1,0)</f>
        <v>0</v>
      </c>
      <c r="AA705" s="1" t="n">
        <f aca="false">N(AA704)+$Z705</f>
        <v>30</v>
      </c>
      <c r="AB705" s="1" t="n">
        <f aca="false">IF(AND($M705=1,LEFT(对接源_01水果!$D705,4)="原料出库"),1,0)</f>
        <v>0</v>
      </c>
      <c r="AC705" s="1" t="n">
        <f aca="false">N(AC704)+$AB705</f>
        <v>19</v>
      </c>
      <c r="AD705" s="1" t="n">
        <f aca="false">IF(AND($M705=1,LEFT(对接源_01水果!$D705,4)="成品出库"),1,0)</f>
        <v>0</v>
      </c>
      <c r="AE705" s="1" t="n">
        <f aca="false">N(AE704)+$AD705</f>
        <v>38</v>
      </c>
      <c r="AF705" s="1" t="n">
        <f aca="false">IF(AND($N705=1,AND(LEFT(对接源_01水果!$D705,4)="包装物料",N(对接源_01水果!$K705)&lt;&gt;0)),1,0)</f>
        <v>0</v>
      </c>
      <c r="AG705" s="90" t="str">
        <f aca="false">IF(对接源_01水果!$AC705="","",对接源_01水果!$AC705)</f>
        <v/>
      </c>
      <c r="AH705" s="1" t="n">
        <f aca="false">IF(AND($N705=1,AND(LEFT(对接源_01水果!$D705,3)="周转筐",N(对接源_01水果!$K705)&lt;&gt;0)),1,0)</f>
        <v>0</v>
      </c>
      <c r="AI705" s="90" t="n">
        <f aca="false">IF(AG705="",0,IF(MATCH(AG705,$AG$4:$AG$1203,0)=ROW()-3,1,0))</f>
        <v>0</v>
      </c>
      <c r="AJ705" s="90" t="n">
        <f aca="false">N(AJ704)+AI705</f>
        <v>4</v>
      </c>
      <c r="AK705" s="1" t="n">
        <f aca="false">N(AK704)+$AJ705</f>
        <v>1680</v>
      </c>
    </row>
    <row r="706" customFormat="false" ht="13.5" hidden="false" customHeight="false" outlineLevel="0" collapsed="false">
      <c r="A706" s="1" t="str">
        <f aca="false">IF(对接源_01水果!$C706="","",对接源_01水果!$C706)</f>
        <v/>
      </c>
      <c r="B706" s="1" t="n">
        <f aca="false">IF(A706="",0,IF(MATCH(A706,$A$4:$A$2403,0)=ROW()-3,1,0))</f>
        <v>0</v>
      </c>
      <c r="C706" s="1" t="n">
        <f aca="false">N(C705)+B706</f>
        <v>13</v>
      </c>
      <c r="K706" s="1" t="n">
        <f aca="false">IF(OR($K$1="",对接源_01水果!$C706="",对接源_01水果!$C706&lt;&gt;$K$1,对接源_01水果!$B706=""),0,IF(OR(N(对接源_01水果!$B706)&lt;$K$2,N(对接源_01水果!$B706)&gt;$K$3),0,1))</f>
        <v>0</v>
      </c>
      <c r="L706" s="1" t="n">
        <f aca="false">IF(OR($L$1="",对接源_01水果!$C706="",对接源_01水果!$C706&lt;&gt;$L$1,对接源_01水果!$B706=""),0,IF(OR(N(对接源_01水果!$B706)&lt;$L$2,N(对接源_01水果!$B706)&gt;$L$3),0,1))</f>
        <v>0</v>
      </c>
      <c r="M706" s="1" t="n">
        <f aca="false">IF(OR($M$1="",对接源_01水果!$C706="",对接源_01水果!$C706&lt;&gt;$M$1,对接源_01水果!$B706=""),0,IF(OR(N(对接源_01水果!$B706)&lt;$M$2,N(对接源_01水果!$B706)&gt;$M$3),0,1))</f>
        <v>0</v>
      </c>
      <c r="N706" s="1" t="n">
        <f aca="false">IF(OR($N$1="",对接源_01水果!$C706="",对接源_01水果!$C706&lt;&gt;$N$1,对接源_01水果!$B706=""),0,IF(OR(N(对接源_01水果!$B706)&lt;$N$2,N(对接源_01水果!$B706)&gt;$N$3),0,1))</f>
        <v>0</v>
      </c>
      <c r="P706" s="1" t="n">
        <f aca="false">IF(AND($K706=1,AND(对接源_01水果!$X706="公司筐",N(对接源_01水果!$T706)&lt;&gt;0)),1,0)</f>
        <v>0</v>
      </c>
      <c r="Q706" s="1" t="n">
        <f aca="false">N(Q705)+$P706</f>
        <v>3</v>
      </c>
      <c r="R706" s="1" t="n">
        <f aca="false">IF(AND($K706=1,AND(对接源_01水果!$X706="公司筐",N(对接源_01水果!$U706)&lt;&gt;0)),1,0)</f>
        <v>0</v>
      </c>
      <c r="S706" s="1" t="n">
        <f aca="false">N(S705)+$R706</f>
        <v>0</v>
      </c>
      <c r="T706" s="1" t="n">
        <f aca="false">IF(AND($K706=1,AND(对接源_01水果!$X706="公司筐",N(对接源_01水果!$V706)&lt;&gt;0)),1,0)</f>
        <v>0</v>
      </c>
      <c r="U706" s="1" t="n">
        <f aca="false">N(U705)+$T706</f>
        <v>28</v>
      </c>
      <c r="V706" s="1" t="n">
        <f aca="false">IF(AND($L706=1,AND(对接源_01水果!$X706="自备筐",N(对接源_01水果!$V706)&lt;&gt;0)),1,0)</f>
        <v>0</v>
      </c>
      <c r="W706" s="1" t="n">
        <f aca="false">N(W705)+$V706</f>
        <v>7</v>
      </c>
      <c r="X706" s="1" t="n">
        <f aca="false">IF(AND($L706=1,AND(对接源_01水果!$X706="自备筐",N(对接源_01水果!$T706)&lt;&gt;0)),1,0)</f>
        <v>0</v>
      </c>
      <c r="Y706" s="1" t="n">
        <f aca="false">N(Y705)+$X706</f>
        <v>0</v>
      </c>
      <c r="Z706" s="1" t="n">
        <f aca="false">IF(AND($M706=1,对接源_01水果!$D706="原料入库"),1,0)</f>
        <v>0</v>
      </c>
      <c r="AA706" s="1" t="n">
        <f aca="false">N(AA705)+$Z706</f>
        <v>30</v>
      </c>
      <c r="AB706" s="1" t="n">
        <f aca="false">IF(AND($M706=1,LEFT(对接源_01水果!$D706,4)="原料出库"),1,0)</f>
        <v>0</v>
      </c>
      <c r="AC706" s="1" t="n">
        <f aca="false">N(AC705)+$AB706</f>
        <v>19</v>
      </c>
      <c r="AD706" s="1" t="n">
        <f aca="false">IF(AND($M706=1,LEFT(对接源_01水果!$D706,4)="成品出库"),1,0)</f>
        <v>0</v>
      </c>
      <c r="AE706" s="1" t="n">
        <f aca="false">N(AE705)+$AD706</f>
        <v>38</v>
      </c>
      <c r="AF706" s="1" t="n">
        <f aca="false">IF(AND($N706=1,AND(LEFT(对接源_01水果!$D706,4)="包装物料",N(对接源_01水果!$K706)&lt;&gt;0)),1,0)</f>
        <v>0</v>
      </c>
      <c r="AG706" s="90" t="str">
        <f aca="false">IF(对接源_01水果!$AC706="","",对接源_01水果!$AC706)</f>
        <v/>
      </c>
      <c r="AH706" s="1" t="n">
        <f aca="false">IF(AND($N706=1,AND(LEFT(对接源_01水果!$D706,3)="周转筐",N(对接源_01水果!$K706)&lt;&gt;0)),1,0)</f>
        <v>0</v>
      </c>
      <c r="AI706" s="90" t="n">
        <f aca="false">IF(AG706="",0,IF(MATCH(AG706,$AG$4:$AG$1203,0)=ROW()-3,1,0))</f>
        <v>0</v>
      </c>
      <c r="AJ706" s="90" t="n">
        <f aca="false">N(AJ705)+AI706</f>
        <v>4</v>
      </c>
      <c r="AK706" s="1" t="n">
        <f aca="false">N(AK705)+$AJ706</f>
        <v>1684</v>
      </c>
    </row>
    <row r="707" customFormat="false" ht="13.5" hidden="false" customHeight="false" outlineLevel="0" collapsed="false">
      <c r="A707" s="1" t="str">
        <f aca="false">IF(对接源_01水果!$C707="","",对接源_01水果!$C707)</f>
        <v/>
      </c>
      <c r="B707" s="1" t="n">
        <f aca="false">IF(A707="",0,IF(MATCH(A707,$A$4:$A$2403,0)=ROW()-3,1,0))</f>
        <v>0</v>
      </c>
      <c r="C707" s="1" t="n">
        <f aca="false">N(C706)+B707</f>
        <v>13</v>
      </c>
      <c r="K707" s="1" t="n">
        <f aca="false">IF(OR($K$1="",对接源_01水果!$C707="",对接源_01水果!$C707&lt;&gt;$K$1,对接源_01水果!$B707=""),0,IF(OR(N(对接源_01水果!$B707)&lt;$K$2,N(对接源_01水果!$B707)&gt;$K$3),0,1))</f>
        <v>0</v>
      </c>
      <c r="L707" s="1" t="n">
        <f aca="false">IF(OR($L$1="",对接源_01水果!$C707="",对接源_01水果!$C707&lt;&gt;$L$1,对接源_01水果!$B707=""),0,IF(OR(N(对接源_01水果!$B707)&lt;$L$2,N(对接源_01水果!$B707)&gt;$L$3),0,1))</f>
        <v>0</v>
      </c>
      <c r="M707" s="1" t="n">
        <f aca="false">IF(OR($M$1="",对接源_01水果!$C707="",对接源_01水果!$C707&lt;&gt;$M$1,对接源_01水果!$B707=""),0,IF(OR(N(对接源_01水果!$B707)&lt;$M$2,N(对接源_01水果!$B707)&gt;$M$3),0,1))</f>
        <v>0</v>
      </c>
      <c r="N707" s="1" t="n">
        <f aca="false">IF(OR($N$1="",对接源_01水果!$C707="",对接源_01水果!$C707&lt;&gt;$N$1,对接源_01水果!$B707=""),0,IF(OR(N(对接源_01水果!$B707)&lt;$N$2,N(对接源_01水果!$B707)&gt;$N$3),0,1))</f>
        <v>0</v>
      </c>
      <c r="P707" s="1" t="n">
        <f aca="false">IF(AND($K707=1,AND(对接源_01水果!$X707="公司筐",N(对接源_01水果!$T707)&lt;&gt;0)),1,0)</f>
        <v>0</v>
      </c>
      <c r="Q707" s="1" t="n">
        <f aca="false">N(Q706)+$P707</f>
        <v>3</v>
      </c>
      <c r="R707" s="1" t="n">
        <f aca="false">IF(AND($K707=1,AND(对接源_01水果!$X707="公司筐",N(对接源_01水果!$U707)&lt;&gt;0)),1,0)</f>
        <v>0</v>
      </c>
      <c r="S707" s="1" t="n">
        <f aca="false">N(S706)+$R707</f>
        <v>0</v>
      </c>
      <c r="T707" s="1" t="n">
        <f aca="false">IF(AND($K707=1,AND(对接源_01水果!$X707="公司筐",N(对接源_01水果!$V707)&lt;&gt;0)),1,0)</f>
        <v>0</v>
      </c>
      <c r="U707" s="1" t="n">
        <f aca="false">N(U706)+$T707</f>
        <v>28</v>
      </c>
      <c r="V707" s="1" t="n">
        <f aca="false">IF(AND($L707=1,AND(对接源_01水果!$X707="自备筐",N(对接源_01水果!$V707)&lt;&gt;0)),1,0)</f>
        <v>0</v>
      </c>
      <c r="W707" s="1" t="n">
        <f aca="false">N(W706)+$V707</f>
        <v>7</v>
      </c>
      <c r="X707" s="1" t="n">
        <f aca="false">IF(AND($L707=1,AND(对接源_01水果!$X707="自备筐",N(对接源_01水果!$T707)&lt;&gt;0)),1,0)</f>
        <v>0</v>
      </c>
      <c r="Y707" s="1" t="n">
        <f aca="false">N(Y706)+$X707</f>
        <v>0</v>
      </c>
      <c r="Z707" s="1" t="n">
        <f aca="false">IF(AND($M707=1,对接源_01水果!$D707="原料入库"),1,0)</f>
        <v>0</v>
      </c>
      <c r="AA707" s="1" t="n">
        <f aca="false">N(AA706)+$Z707</f>
        <v>30</v>
      </c>
      <c r="AB707" s="1" t="n">
        <f aca="false">IF(AND($M707=1,LEFT(对接源_01水果!$D707,4)="原料出库"),1,0)</f>
        <v>0</v>
      </c>
      <c r="AC707" s="1" t="n">
        <f aca="false">N(AC706)+$AB707</f>
        <v>19</v>
      </c>
      <c r="AD707" s="1" t="n">
        <f aca="false">IF(AND($M707=1,LEFT(对接源_01水果!$D707,4)="成品出库"),1,0)</f>
        <v>0</v>
      </c>
      <c r="AE707" s="1" t="n">
        <f aca="false">N(AE706)+$AD707</f>
        <v>38</v>
      </c>
      <c r="AF707" s="1" t="n">
        <f aca="false">IF(AND($N707=1,AND(LEFT(对接源_01水果!$D707,4)="包装物料",N(对接源_01水果!$K707)&lt;&gt;0)),1,0)</f>
        <v>0</v>
      </c>
      <c r="AG707" s="90" t="str">
        <f aca="false">IF(对接源_01水果!$AC707="","",对接源_01水果!$AC707)</f>
        <v/>
      </c>
      <c r="AH707" s="1" t="n">
        <f aca="false">IF(AND($N707=1,AND(LEFT(对接源_01水果!$D707,3)="周转筐",N(对接源_01水果!$K707)&lt;&gt;0)),1,0)</f>
        <v>0</v>
      </c>
      <c r="AI707" s="90" t="n">
        <f aca="false">IF(AG707="",0,IF(MATCH(AG707,$AG$4:$AG$1203,0)=ROW()-3,1,0))</f>
        <v>0</v>
      </c>
      <c r="AJ707" s="90" t="n">
        <f aca="false">N(AJ706)+AI707</f>
        <v>4</v>
      </c>
      <c r="AK707" s="1" t="n">
        <f aca="false">N(AK706)+$AJ707</f>
        <v>1688</v>
      </c>
    </row>
    <row r="708" customFormat="false" ht="13.5" hidden="false" customHeight="false" outlineLevel="0" collapsed="false">
      <c r="A708" s="1" t="str">
        <f aca="false">IF(对接源_01水果!$C708="","",对接源_01水果!$C708)</f>
        <v/>
      </c>
      <c r="B708" s="1" t="n">
        <f aca="false">IF(A708="",0,IF(MATCH(A708,$A$4:$A$2403,0)=ROW()-3,1,0))</f>
        <v>0</v>
      </c>
      <c r="C708" s="1" t="n">
        <f aca="false">N(C707)+B708</f>
        <v>13</v>
      </c>
      <c r="K708" s="1" t="n">
        <f aca="false">IF(OR($K$1="",对接源_01水果!$C708="",对接源_01水果!$C708&lt;&gt;$K$1,对接源_01水果!$B708=""),0,IF(OR(N(对接源_01水果!$B708)&lt;$K$2,N(对接源_01水果!$B708)&gt;$K$3),0,1))</f>
        <v>0</v>
      </c>
      <c r="L708" s="1" t="n">
        <f aca="false">IF(OR($L$1="",对接源_01水果!$C708="",对接源_01水果!$C708&lt;&gt;$L$1,对接源_01水果!$B708=""),0,IF(OR(N(对接源_01水果!$B708)&lt;$L$2,N(对接源_01水果!$B708)&gt;$L$3),0,1))</f>
        <v>0</v>
      </c>
      <c r="M708" s="1" t="n">
        <f aca="false">IF(OR($M$1="",对接源_01水果!$C708="",对接源_01水果!$C708&lt;&gt;$M$1,对接源_01水果!$B708=""),0,IF(OR(N(对接源_01水果!$B708)&lt;$M$2,N(对接源_01水果!$B708)&gt;$M$3),0,1))</f>
        <v>0</v>
      </c>
      <c r="N708" s="1" t="n">
        <f aca="false">IF(OR($N$1="",对接源_01水果!$C708="",对接源_01水果!$C708&lt;&gt;$N$1,对接源_01水果!$B708=""),0,IF(OR(N(对接源_01水果!$B708)&lt;$N$2,N(对接源_01水果!$B708)&gt;$N$3),0,1))</f>
        <v>0</v>
      </c>
      <c r="P708" s="1" t="n">
        <f aca="false">IF(AND($K708=1,AND(对接源_01水果!$X708="公司筐",N(对接源_01水果!$T708)&lt;&gt;0)),1,0)</f>
        <v>0</v>
      </c>
      <c r="Q708" s="1" t="n">
        <f aca="false">N(Q707)+$P708</f>
        <v>3</v>
      </c>
      <c r="R708" s="1" t="n">
        <f aca="false">IF(AND($K708=1,AND(对接源_01水果!$X708="公司筐",N(对接源_01水果!$U708)&lt;&gt;0)),1,0)</f>
        <v>0</v>
      </c>
      <c r="S708" s="1" t="n">
        <f aca="false">N(S707)+$R708</f>
        <v>0</v>
      </c>
      <c r="T708" s="1" t="n">
        <f aca="false">IF(AND($K708=1,AND(对接源_01水果!$X708="公司筐",N(对接源_01水果!$V708)&lt;&gt;0)),1,0)</f>
        <v>0</v>
      </c>
      <c r="U708" s="1" t="n">
        <f aca="false">N(U707)+$T708</f>
        <v>28</v>
      </c>
      <c r="V708" s="1" t="n">
        <f aca="false">IF(AND($L708=1,AND(对接源_01水果!$X708="自备筐",N(对接源_01水果!$V708)&lt;&gt;0)),1,0)</f>
        <v>0</v>
      </c>
      <c r="W708" s="1" t="n">
        <f aca="false">N(W707)+$V708</f>
        <v>7</v>
      </c>
      <c r="X708" s="1" t="n">
        <f aca="false">IF(AND($L708=1,AND(对接源_01水果!$X708="自备筐",N(对接源_01水果!$T708)&lt;&gt;0)),1,0)</f>
        <v>0</v>
      </c>
      <c r="Y708" s="1" t="n">
        <f aca="false">N(Y707)+$X708</f>
        <v>0</v>
      </c>
      <c r="Z708" s="1" t="n">
        <f aca="false">IF(AND($M708=1,对接源_01水果!$D708="原料入库"),1,0)</f>
        <v>0</v>
      </c>
      <c r="AA708" s="1" t="n">
        <f aca="false">N(AA707)+$Z708</f>
        <v>30</v>
      </c>
      <c r="AB708" s="1" t="n">
        <f aca="false">IF(AND($M708=1,LEFT(对接源_01水果!$D708,4)="原料出库"),1,0)</f>
        <v>0</v>
      </c>
      <c r="AC708" s="1" t="n">
        <f aca="false">N(AC707)+$AB708</f>
        <v>19</v>
      </c>
      <c r="AD708" s="1" t="n">
        <f aca="false">IF(AND($M708=1,LEFT(对接源_01水果!$D708,4)="成品出库"),1,0)</f>
        <v>0</v>
      </c>
      <c r="AE708" s="1" t="n">
        <f aca="false">N(AE707)+$AD708</f>
        <v>38</v>
      </c>
      <c r="AF708" s="1" t="n">
        <f aca="false">IF(AND($N708=1,AND(LEFT(对接源_01水果!$D708,4)="包装物料",N(对接源_01水果!$K708)&lt;&gt;0)),1,0)</f>
        <v>0</v>
      </c>
      <c r="AG708" s="90" t="str">
        <f aca="false">IF(对接源_01水果!$AC708="","",对接源_01水果!$AC708)</f>
        <v/>
      </c>
      <c r="AH708" s="1" t="n">
        <f aca="false">IF(AND($N708=1,AND(LEFT(对接源_01水果!$D708,3)="周转筐",N(对接源_01水果!$K708)&lt;&gt;0)),1,0)</f>
        <v>0</v>
      </c>
      <c r="AI708" s="90" t="n">
        <f aca="false">IF(AG708="",0,IF(MATCH(AG708,$AG$4:$AG$1203,0)=ROW()-3,1,0))</f>
        <v>0</v>
      </c>
      <c r="AJ708" s="90" t="n">
        <f aca="false">N(AJ707)+AI708</f>
        <v>4</v>
      </c>
      <c r="AK708" s="1" t="n">
        <f aca="false">N(AK707)+$AJ708</f>
        <v>1692</v>
      </c>
    </row>
    <row r="709" customFormat="false" ht="13.5" hidden="false" customHeight="false" outlineLevel="0" collapsed="false">
      <c r="A709" s="1" t="str">
        <f aca="false">IF(对接源_01水果!$C709="","",对接源_01水果!$C709)</f>
        <v/>
      </c>
      <c r="B709" s="1" t="n">
        <f aca="false">IF(A709="",0,IF(MATCH(A709,$A$4:$A$2403,0)=ROW()-3,1,0))</f>
        <v>0</v>
      </c>
      <c r="C709" s="1" t="n">
        <f aca="false">N(C708)+B709</f>
        <v>13</v>
      </c>
      <c r="K709" s="1" t="n">
        <f aca="false">IF(OR($K$1="",对接源_01水果!$C709="",对接源_01水果!$C709&lt;&gt;$K$1,对接源_01水果!$B709=""),0,IF(OR(N(对接源_01水果!$B709)&lt;$K$2,N(对接源_01水果!$B709)&gt;$K$3),0,1))</f>
        <v>0</v>
      </c>
      <c r="L709" s="1" t="n">
        <f aca="false">IF(OR($L$1="",对接源_01水果!$C709="",对接源_01水果!$C709&lt;&gt;$L$1,对接源_01水果!$B709=""),0,IF(OR(N(对接源_01水果!$B709)&lt;$L$2,N(对接源_01水果!$B709)&gt;$L$3),0,1))</f>
        <v>0</v>
      </c>
      <c r="M709" s="1" t="n">
        <f aca="false">IF(OR($M$1="",对接源_01水果!$C709="",对接源_01水果!$C709&lt;&gt;$M$1,对接源_01水果!$B709=""),0,IF(OR(N(对接源_01水果!$B709)&lt;$M$2,N(对接源_01水果!$B709)&gt;$M$3),0,1))</f>
        <v>0</v>
      </c>
      <c r="N709" s="1" t="n">
        <f aca="false">IF(OR($N$1="",对接源_01水果!$C709="",对接源_01水果!$C709&lt;&gt;$N$1,对接源_01水果!$B709=""),0,IF(OR(N(对接源_01水果!$B709)&lt;$N$2,N(对接源_01水果!$B709)&gt;$N$3),0,1))</f>
        <v>0</v>
      </c>
      <c r="P709" s="1" t="n">
        <f aca="false">IF(AND($K709=1,AND(对接源_01水果!$X709="公司筐",N(对接源_01水果!$T709)&lt;&gt;0)),1,0)</f>
        <v>0</v>
      </c>
      <c r="Q709" s="1" t="n">
        <f aca="false">N(Q708)+$P709</f>
        <v>3</v>
      </c>
      <c r="R709" s="1" t="n">
        <f aca="false">IF(AND($K709=1,AND(对接源_01水果!$X709="公司筐",N(对接源_01水果!$U709)&lt;&gt;0)),1,0)</f>
        <v>0</v>
      </c>
      <c r="S709" s="1" t="n">
        <f aca="false">N(S708)+$R709</f>
        <v>0</v>
      </c>
      <c r="T709" s="1" t="n">
        <f aca="false">IF(AND($K709=1,AND(对接源_01水果!$X709="公司筐",N(对接源_01水果!$V709)&lt;&gt;0)),1,0)</f>
        <v>0</v>
      </c>
      <c r="U709" s="1" t="n">
        <f aca="false">N(U708)+$T709</f>
        <v>28</v>
      </c>
      <c r="V709" s="1" t="n">
        <f aca="false">IF(AND($L709=1,AND(对接源_01水果!$X709="自备筐",N(对接源_01水果!$V709)&lt;&gt;0)),1,0)</f>
        <v>0</v>
      </c>
      <c r="W709" s="1" t="n">
        <f aca="false">N(W708)+$V709</f>
        <v>7</v>
      </c>
      <c r="X709" s="1" t="n">
        <f aca="false">IF(AND($L709=1,AND(对接源_01水果!$X709="自备筐",N(对接源_01水果!$T709)&lt;&gt;0)),1,0)</f>
        <v>0</v>
      </c>
      <c r="Y709" s="1" t="n">
        <f aca="false">N(Y708)+$X709</f>
        <v>0</v>
      </c>
      <c r="Z709" s="1" t="n">
        <f aca="false">IF(AND($M709=1,对接源_01水果!$D709="原料入库"),1,0)</f>
        <v>0</v>
      </c>
      <c r="AA709" s="1" t="n">
        <f aca="false">N(AA708)+$Z709</f>
        <v>30</v>
      </c>
      <c r="AB709" s="1" t="n">
        <f aca="false">IF(AND($M709=1,LEFT(对接源_01水果!$D709,4)="原料出库"),1,0)</f>
        <v>0</v>
      </c>
      <c r="AC709" s="1" t="n">
        <f aca="false">N(AC708)+$AB709</f>
        <v>19</v>
      </c>
      <c r="AD709" s="1" t="n">
        <f aca="false">IF(AND($M709=1,LEFT(对接源_01水果!$D709,4)="成品出库"),1,0)</f>
        <v>0</v>
      </c>
      <c r="AE709" s="1" t="n">
        <f aca="false">N(AE708)+$AD709</f>
        <v>38</v>
      </c>
      <c r="AF709" s="1" t="n">
        <f aca="false">IF(AND($N709=1,AND(LEFT(对接源_01水果!$D709,4)="包装物料",N(对接源_01水果!$K709)&lt;&gt;0)),1,0)</f>
        <v>0</v>
      </c>
      <c r="AG709" s="90" t="str">
        <f aca="false">IF(对接源_01水果!$AC709="","",对接源_01水果!$AC709)</f>
        <v/>
      </c>
      <c r="AH709" s="1" t="n">
        <f aca="false">IF(AND($N709=1,AND(LEFT(对接源_01水果!$D709,3)="周转筐",N(对接源_01水果!$K709)&lt;&gt;0)),1,0)</f>
        <v>0</v>
      </c>
      <c r="AI709" s="90" t="n">
        <f aca="false">IF(AG709="",0,IF(MATCH(AG709,$AG$4:$AG$1203,0)=ROW()-3,1,0))</f>
        <v>0</v>
      </c>
      <c r="AJ709" s="90" t="n">
        <f aca="false">N(AJ708)+AI709</f>
        <v>4</v>
      </c>
      <c r="AK709" s="1" t="n">
        <f aca="false">N(AK708)+$AJ709</f>
        <v>1696</v>
      </c>
    </row>
    <row r="710" customFormat="false" ht="13.5" hidden="false" customHeight="false" outlineLevel="0" collapsed="false">
      <c r="A710" s="1" t="str">
        <f aca="false">IF(对接源_01水果!$C710="","",对接源_01水果!$C710)</f>
        <v/>
      </c>
      <c r="B710" s="1" t="n">
        <f aca="false">IF(A710="",0,IF(MATCH(A710,$A$4:$A$2403,0)=ROW()-3,1,0))</f>
        <v>0</v>
      </c>
      <c r="C710" s="1" t="n">
        <f aca="false">N(C709)+B710</f>
        <v>13</v>
      </c>
      <c r="K710" s="1" t="n">
        <f aca="false">IF(OR($K$1="",对接源_01水果!$C710="",对接源_01水果!$C710&lt;&gt;$K$1,对接源_01水果!$B710=""),0,IF(OR(N(对接源_01水果!$B710)&lt;$K$2,N(对接源_01水果!$B710)&gt;$K$3),0,1))</f>
        <v>0</v>
      </c>
      <c r="L710" s="1" t="n">
        <f aca="false">IF(OR($L$1="",对接源_01水果!$C710="",对接源_01水果!$C710&lt;&gt;$L$1,对接源_01水果!$B710=""),0,IF(OR(N(对接源_01水果!$B710)&lt;$L$2,N(对接源_01水果!$B710)&gt;$L$3),0,1))</f>
        <v>0</v>
      </c>
      <c r="M710" s="1" t="n">
        <f aca="false">IF(OR($M$1="",对接源_01水果!$C710="",对接源_01水果!$C710&lt;&gt;$M$1,对接源_01水果!$B710=""),0,IF(OR(N(对接源_01水果!$B710)&lt;$M$2,N(对接源_01水果!$B710)&gt;$M$3),0,1))</f>
        <v>0</v>
      </c>
      <c r="N710" s="1" t="n">
        <f aca="false">IF(OR($N$1="",对接源_01水果!$C710="",对接源_01水果!$C710&lt;&gt;$N$1,对接源_01水果!$B710=""),0,IF(OR(N(对接源_01水果!$B710)&lt;$N$2,N(对接源_01水果!$B710)&gt;$N$3),0,1))</f>
        <v>0</v>
      </c>
      <c r="P710" s="1" t="n">
        <f aca="false">IF(AND($K710=1,AND(对接源_01水果!$X710="公司筐",N(对接源_01水果!$T710)&lt;&gt;0)),1,0)</f>
        <v>0</v>
      </c>
      <c r="Q710" s="1" t="n">
        <f aca="false">N(Q709)+$P710</f>
        <v>3</v>
      </c>
      <c r="R710" s="1" t="n">
        <f aca="false">IF(AND($K710=1,AND(对接源_01水果!$X710="公司筐",N(对接源_01水果!$U710)&lt;&gt;0)),1,0)</f>
        <v>0</v>
      </c>
      <c r="S710" s="1" t="n">
        <f aca="false">N(S709)+$R710</f>
        <v>0</v>
      </c>
      <c r="T710" s="1" t="n">
        <f aca="false">IF(AND($K710=1,AND(对接源_01水果!$X710="公司筐",N(对接源_01水果!$V710)&lt;&gt;0)),1,0)</f>
        <v>0</v>
      </c>
      <c r="U710" s="1" t="n">
        <f aca="false">N(U709)+$T710</f>
        <v>28</v>
      </c>
      <c r="V710" s="1" t="n">
        <f aca="false">IF(AND($L710=1,AND(对接源_01水果!$X710="自备筐",N(对接源_01水果!$V710)&lt;&gt;0)),1,0)</f>
        <v>0</v>
      </c>
      <c r="W710" s="1" t="n">
        <f aca="false">N(W709)+$V710</f>
        <v>7</v>
      </c>
      <c r="X710" s="1" t="n">
        <f aca="false">IF(AND($L710=1,AND(对接源_01水果!$X710="自备筐",N(对接源_01水果!$T710)&lt;&gt;0)),1,0)</f>
        <v>0</v>
      </c>
      <c r="Y710" s="1" t="n">
        <f aca="false">N(Y709)+$X710</f>
        <v>0</v>
      </c>
      <c r="Z710" s="1" t="n">
        <f aca="false">IF(AND($M710=1,对接源_01水果!$D710="原料入库"),1,0)</f>
        <v>0</v>
      </c>
      <c r="AA710" s="1" t="n">
        <f aca="false">N(AA709)+$Z710</f>
        <v>30</v>
      </c>
      <c r="AB710" s="1" t="n">
        <f aca="false">IF(AND($M710=1,LEFT(对接源_01水果!$D710,4)="原料出库"),1,0)</f>
        <v>0</v>
      </c>
      <c r="AC710" s="1" t="n">
        <f aca="false">N(AC709)+$AB710</f>
        <v>19</v>
      </c>
      <c r="AD710" s="1" t="n">
        <f aca="false">IF(AND($M710=1,LEFT(对接源_01水果!$D710,4)="成品出库"),1,0)</f>
        <v>0</v>
      </c>
      <c r="AE710" s="1" t="n">
        <f aca="false">N(AE709)+$AD710</f>
        <v>38</v>
      </c>
      <c r="AF710" s="1" t="n">
        <f aca="false">IF(AND($N710=1,AND(LEFT(对接源_01水果!$D710,4)="包装物料",N(对接源_01水果!$K710)&lt;&gt;0)),1,0)</f>
        <v>0</v>
      </c>
      <c r="AG710" s="90" t="str">
        <f aca="false">IF(对接源_01水果!$AC710="","",对接源_01水果!$AC710)</f>
        <v/>
      </c>
      <c r="AH710" s="1" t="n">
        <f aca="false">IF(AND($N710=1,AND(LEFT(对接源_01水果!$D710,3)="周转筐",N(对接源_01水果!$K710)&lt;&gt;0)),1,0)</f>
        <v>0</v>
      </c>
      <c r="AI710" s="90" t="n">
        <f aca="false">IF(AG710="",0,IF(MATCH(AG710,$AG$4:$AG$1203,0)=ROW()-3,1,0))</f>
        <v>0</v>
      </c>
      <c r="AJ710" s="90" t="n">
        <f aca="false">N(AJ709)+AI710</f>
        <v>4</v>
      </c>
      <c r="AK710" s="1" t="n">
        <f aca="false">N(AK709)+$AJ710</f>
        <v>1700</v>
      </c>
    </row>
    <row r="711" customFormat="false" ht="13.5" hidden="false" customHeight="false" outlineLevel="0" collapsed="false">
      <c r="A711" s="1" t="str">
        <f aca="false">IF(对接源_01水果!$C711="","",对接源_01水果!$C711)</f>
        <v/>
      </c>
      <c r="B711" s="1" t="n">
        <f aca="false">IF(A711="",0,IF(MATCH(A711,$A$4:$A$2403,0)=ROW()-3,1,0))</f>
        <v>0</v>
      </c>
      <c r="C711" s="1" t="n">
        <f aca="false">N(C710)+B711</f>
        <v>13</v>
      </c>
      <c r="K711" s="1" t="n">
        <f aca="false">IF(OR($K$1="",对接源_01水果!$C711="",对接源_01水果!$C711&lt;&gt;$K$1,对接源_01水果!$B711=""),0,IF(OR(N(对接源_01水果!$B711)&lt;$K$2,N(对接源_01水果!$B711)&gt;$K$3),0,1))</f>
        <v>0</v>
      </c>
      <c r="L711" s="1" t="n">
        <f aca="false">IF(OR($L$1="",对接源_01水果!$C711="",对接源_01水果!$C711&lt;&gt;$L$1,对接源_01水果!$B711=""),0,IF(OR(N(对接源_01水果!$B711)&lt;$L$2,N(对接源_01水果!$B711)&gt;$L$3),0,1))</f>
        <v>0</v>
      </c>
      <c r="M711" s="1" t="n">
        <f aca="false">IF(OR($M$1="",对接源_01水果!$C711="",对接源_01水果!$C711&lt;&gt;$M$1,对接源_01水果!$B711=""),0,IF(OR(N(对接源_01水果!$B711)&lt;$M$2,N(对接源_01水果!$B711)&gt;$M$3),0,1))</f>
        <v>0</v>
      </c>
      <c r="N711" s="1" t="n">
        <f aca="false">IF(OR($N$1="",对接源_01水果!$C711="",对接源_01水果!$C711&lt;&gt;$N$1,对接源_01水果!$B711=""),0,IF(OR(N(对接源_01水果!$B711)&lt;$N$2,N(对接源_01水果!$B711)&gt;$N$3),0,1))</f>
        <v>0</v>
      </c>
      <c r="P711" s="1" t="n">
        <f aca="false">IF(AND($K711=1,AND(对接源_01水果!$X711="公司筐",N(对接源_01水果!$T711)&lt;&gt;0)),1,0)</f>
        <v>0</v>
      </c>
      <c r="Q711" s="1" t="n">
        <f aca="false">N(Q710)+$P711</f>
        <v>3</v>
      </c>
      <c r="R711" s="1" t="n">
        <f aca="false">IF(AND($K711=1,AND(对接源_01水果!$X711="公司筐",N(对接源_01水果!$U711)&lt;&gt;0)),1,0)</f>
        <v>0</v>
      </c>
      <c r="S711" s="1" t="n">
        <f aca="false">N(S710)+$R711</f>
        <v>0</v>
      </c>
      <c r="T711" s="1" t="n">
        <f aca="false">IF(AND($K711=1,AND(对接源_01水果!$X711="公司筐",N(对接源_01水果!$V711)&lt;&gt;0)),1,0)</f>
        <v>0</v>
      </c>
      <c r="U711" s="1" t="n">
        <f aca="false">N(U710)+$T711</f>
        <v>28</v>
      </c>
      <c r="V711" s="1" t="n">
        <f aca="false">IF(AND($L711=1,AND(对接源_01水果!$X711="自备筐",N(对接源_01水果!$V711)&lt;&gt;0)),1,0)</f>
        <v>0</v>
      </c>
      <c r="W711" s="1" t="n">
        <f aca="false">N(W710)+$V711</f>
        <v>7</v>
      </c>
      <c r="X711" s="1" t="n">
        <f aca="false">IF(AND($L711=1,AND(对接源_01水果!$X711="自备筐",N(对接源_01水果!$T711)&lt;&gt;0)),1,0)</f>
        <v>0</v>
      </c>
      <c r="Y711" s="1" t="n">
        <f aca="false">N(Y710)+$X711</f>
        <v>0</v>
      </c>
      <c r="Z711" s="1" t="n">
        <f aca="false">IF(AND($M711=1,对接源_01水果!$D711="原料入库"),1,0)</f>
        <v>0</v>
      </c>
      <c r="AA711" s="1" t="n">
        <f aca="false">N(AA710)+$Z711</f>
        <v>30</v>
      </c>
      <c r="AB711" s="1" t="n">
        <f aca="false">IF(AND($M711=1,LEFT(对接源_01水果!$D711,4)="原料出库"),1,0)</f>
        <v>0</v>
      </c>
      <c r="AC711" s="1" t="n">
        <f aca="false">N(AC710)+$AB711</f>
        <v>19</v>
      </c>
      <c r="AD711" s="1" t="n">
        <f aca="false">IF(AND($M711=1,LEFT(对接源_01水果!$D711,4)="成品出库"),1,0)</f>
        <v>0</v>
      </c>
      <c r="AE711" s="1" t="n">
        <f aca="false">N(AE710)+$AD711</f>
        <v>38</v>
      </c>
      <c r="AF711" s="1" t="n">
        <f aca="false">IF(AND($N711=1,AND(LEFT(对接源_01水果!$D711,4)="包装物料",N(对接源_01水果!$K711)&lt;&gt;0)),1,0)</f>
        <v>0</v>
      </c>
      <c r="AG711" s="90" t="str">
        <f aca="false">IF(对接源_01水果!$AC711="","",对接源_01水果!$AC711)</f>
        <v/>
      </c>
      <c r="AH711" s="1" t="n">
        <f aca="false">IF(AND($N711=1,AND(LEFT(对接源_01水果!$D711,3)="周转筐",N(对接源_01水果!$K711)&lt;&gt;0)),1,0)</f>
        <v>0</v>
      </c>
      <c r="AI711" s="90" t="n">
        <f aca="false">IF(AG711="",0,IF(MATCH(AG711,$AG$4:$AG$1203,0)=ROW()-3,1,0))</f>
        <v>0</v>
      </c>
      <c r="AJ711" s="90" t="n">
        <f aca="false">N(AJ710)+AI711</f>
        <v>4</v>
      </c>
      <c r="AK711" s="1" t="n">
        <f aca="false">N(AK710)+$AJ711</f>
        <v>1704</v>
      </c>
    </row>
    <row r="712" customFormat="false" ht="13.5" hidden="false" customHeight="false" outlineLevel="0" collapsed="false">
      <c r="A712" s="1" t="str">
        <f aca="false">IF(对接源_01水果!$C712="","",对接源_01水果!$C712)</f>
        <v/>
      </c>
      <c r="B712" s="1" t="n">
        <f aca="false">IF(A712="",0,IF(MATCH(A712,$A$4:$A$2403,0)=ROW()-3,1,0))</f>
        <v>0</v>
      </c>
      <c r="C712" s="1" t="n">
        <f aca="false">N(C711)+B712</f>
        <v>13</v>
      </c>
      <c r="K712" s="1" t="n">
        <f aca="false">IF(OR($K$1="",对接源_01水果!$C712="",对接源_01水果!$C712&lt;&gt;$K$1,对接源_01水果!$B712=""),0,IF(OR(N(对接源_01水果!$B712)&lt;$K$2,N(对接源_01水果!$B712)&gt;$K$3),0,1))</f>
        <v>0</v>
      </c>
      <c r="L712" s="1" t="n">
        <f aca="false">IF(OR($L$1="",对接源_01水果!$C712="",对接源_01水果!$C712&lt;&gt;$L$1,对接源_01水果!$B712=""),0,IF(OR(N(对接源_01水果!$B712)&lt;$L$2,N(对接源_01水果!$B712)&gt;$L$3),0,1))</f>
        <v>0</v>
      </c>
      <c r="M712" s="1" t="n">
        <f aca="false">IF(OR($M$1="",对接源_01水果!$C712="",对接源_01水果!$C712&lt;&gt;$M$1,对接源_01水果!$B712=""),0,IF(OR(N(对接源_01水果!$B712)&lt;$M$2,N(对接源_01水果!$B712)&gt;$M$3),0,1))</f>
        <v>0</v>
      </c>
      <c r="N712" s="1" t="n">
        <f aca="false">IF(OR($N$1="",对接源_01水果!$C712="",对接源_01水果!$C712&lt;&gt;$N$1,对接源_01水果!$B712=""),0,IF(OR(N(对接源_01水果!$B712)&lt;$N$2,N(对接源_01水果!$B712)&gt;$N$3),0,1))</f>
        <v>0</v>
      </c>
      <c r="P712" s="1" t="n">
        <f aca="false">IF(AND($K712=1,AND(对接源_01水果!$X712="公司筐",N(对接源_01水果!$T712)&lt;&gt;0)),1,0)</f>
        <v>0</v>
      </c>
      <c r="Q712" s="1" t="n">
        <f aca="false">N(Q711)+$P712</f>
        <v>3</v>
      </c>
      <c r="R712" s="1" t="n">
        <f aca="false">IF(AND($K712=1,AND(对接源_01水果!$X712="公司筐",N(对接源_01水果!$U712)&lt;&gt;0)),1,0)</f>
        <v>0</v>
      </c>
      <c r="S712" s="1" t="n">
        <f aca="false">N(S711)+$R712</f>
        <v>0</v>
      </c>
      <c r="T712" s="1" t="n">
        <f aca="false">IF(AND($K712=1,AND(对接源_01水果!$X712="公司筐",N(对接源_01水果!$V712)&lt;&gt;0)),1,0)</f>
        <v>0</v>
      </c>
      <c r="U712" s="1" t="n">
        <f aca="false">N(U711)+$T712</f>
        <v>28</v>
      </c>
      <c r="V712" s="1" t="n">
        <f aca="false">IF(AND($L712=1,AND(对接源_01水果!$X712="自备筐",N(对接源_01水果!$V712)&lt;&gt;0)),1,0)</f>
        <v>0</v>
      </c>
      <c r="W712" s="1" t="n">
        <f aca="false">N(W711)+$V712</f>
        <v>7</v>
      </c>
      <c r="X712" s="1" t="n">
        <f aca="false">IF(AND($L712=1,AND(对接源_01水果!$X712="自备筐",N(对接源_01水果!$T712)&lt;&gt;0)),1,0)</f>
        <v>0</v>
      </c>
      <c r="Y712" s="1" t="n">
        <f aca="false">N(Y711)+$X712</f>
        <v>0</v>
      </c>
      <c r="Z712" s="1" t="n">
        <f aca="false">IF(AND($M712=1,对接源_01水果!$D712="原料入库"),1,0)</f>
        <v>0</v>
      </c>
      <c r="AA712" s="1" t="n">
        <f aca="false">N(AA711)+$Z712</f>
        <v>30</v>
      </c>
      <c r="AB712" s="1" t="n">
        <f aca="false">IF(AND($M712=1,LEFT(对接源_01水果!$D712,4)="原料出库"),1,0)</f>
        <v>0</v>
      </c>
      <c r="AC712" s="1" t="n">
        <f aca="false">N(AC711)+$AB712</f>
        <v>19</v>
      </c>
      <c r="AD712" s="1" t="n">
        <f aca="false">IF(AND($M712=1,LEFT(对接源_01水果!$D712,4)="成品出库"),1,0)</f>
        <v>0</v>
      </c>
      <c r="AE712" s="1" t="n">
        <f aca="false">N(AE711)+$AD712</f>
        <v>38</v>
      </c>
      <c r="AF712" s="1" t="n">
        <f aca="false">IF(AND($N712=1,AND(LEFT(对接源_01水果!$D712,4)="包装物料",N(对接源_01水果!$K712)&lt;&gt;0)),1,0)</f>
        <v>0</v>
      </c>
      <c r="AG712" s="90" t="str">
        <f aca="false">IF(对接源_01水果!$AC712="","",对接源_01水果!$AC712)</f>
        <v/>
      </c>
      <c r="AH712" s="1" t="n">
        <f aca="false">IF(AND($N712=1,AND(LEFT(对接源_01水果!$D712,3)="周转筐",N(对接源_01水果!$K712)&lt;&gt;0)),1,0)</f>
        <v>0</v>
      </c>
      <c r="AI712" s="90" t="n">
        <f aca="false">IF(AG712="",0,IF(MATCH(AG712,$AG$4:$AG$1203,0)=ROW()-3,1,0))</f>
        <v>0</v>
      </c>
      <c r="AJ712" s="90" t="n">
        <f aca="false">N(AJ711)+AI712</f>
        <v>4</v>
      </c>
      <c r="AK712" s="1" t="n">
        <f aca="false">N(AK711)+$AJ712</f>
        <v>1708</v>
      </c>
    </row>
    <row r="713" customFormat="false" ht="13.5" hidden="false" customHeight="false" outlineLevel="0" collapsed="false">
      <c r="A713" s="1" t="str">
        <f aca="false">IF(对接源_01水果!$C713="","",对接源_01水果!$C713)</f>
        <v/>
      </c>
      <c r="B713" s="1" t="n">
        <f aca="false">IF(A713="",0,IF(MATCH(A713,$A$4:$A$2403,0)=ROW()-3,1,0))</f>
        <v>0</v>
      </c>
      <c r="C713" s="1" t="n">
        <f aca="false">N(C712)+B713</f>
        <v>13</v>
      </c>
      <c r="K713" s="1" t="n">
        <f aca="false">IF(OR($K$1="",对接源_01水果!$C713="",对接源_01水果!$C713&lt;&gt;$K$1,对接源_01水果!$B713=""),0,IF(OR(N(对接源_01水果!$B713)&lt;$K$2,N(对接源_01水果!$B713)&gt;$K$3),0,1))</f>
        <v>0</v>
      </c>
      <c r="L713" s="1" t="n">
        <f aca="false">IF(OR($L$1="",对接源_01水果!$C713="",对接源_01水果!$C713&lt;&gt;$L$1,对接源_01水果!$B713=""),0,IF(OR(N(对接源_01水果!$B713)&lt;$L$2,N(对接源_01水果!$B713)&gt;$L$3),0,1))</f>
        <v>0</v>
      </c>
      <c r="M713" s="1" t="n">
        <f aca="false">IF(OR($M$1="",对接源_01水果!$C713="",对接源_01水果!$C713&lt;&gt;$M$1,对接源_01水果!$B713=""),0,IF(OR(N(对接源_01水果!$B713)&lt;$M$2,N(对接源_01水果!$B713)&gt;$M$3),0,1))</f>
        <v>0</v>
      </c>
      <c r="N713" s="1" t="n">
        <f aca="false">IF(OR($N$1="",对接源_01水果!$C713="",对接源_01水果!$C713&lt;&gt;$N$1,对接源_01水果!$B713=""),0,IF(OR(N(对接源_01水果!$B713)&lt;$N$2,N(对接源_01水果!$B713)&gt;$N$3),0,1))</f>
        <v>0</v>
      </c>
      <c r="P713" s="1" t="n">
        <f aca="false">IF(AND($K713=1,AND(对接源_01水果!$X713="公司筐",N(对接源_01水果!$T713)&lt;&gt;0)),1,0)</f>
        <v>0</v>
      </c>
      <c r="Q713" s="1" t="n">
        <f aca="false">N(Q712)+$P713</f>
        <v>3</v>
      </c>
      <c r="R713" s="1" t="n">
        <f aca="false">IF(AND($K713=1,AND(对接源_01水果!$X713="公司筐",N(对接源_01水果!$U713)&lt;&gt;0)),1,0)</f>
        <v>0</v>
      </c>
      <c r="S713" s="1" t="n">
        <f aca="false">N(S712)+$R713</f>
        <v>0</v>
      </c>
      <c r="T713" s="1" t="n">
        <f aca="false">IF(AND($K713=1,AND(对接源_01水果!$X713="公司筐",N(对接源_01水果!$V713)&lt;&gt;0)),1,0)</f>
        <v>0</v>
      </c>
      <c r="U713" s="1" t="n">
        <f aca="false">N(U712)+$T713</f>
        <v>28</v>
      </c>
      <c r="V713" s="1" t="n">
        <f aca="false">IF(AND($L713=1,AND(对接源_01水果!$X713="自备筐",N(对接源_01水果!$V713)&lt;&gt;0)),1,0)</f>
        <v>0</v>
      </c>
      <c r="W713" s="1" t="n">
        <f aca="false">N(W712)+$V713</f>
        <v>7</v>
      </c>
      <c r="X713" s="1" t="n">
        <f aca="false">IF(AND($L713=1,AND(对接源_01水果!$X713="自备筐",N(对接源_01水果!$T713)&lt;&gt;0)),1,0)</f>
        <v>0</v>
      </c>
      <c r="Y713" s="1" t="n">
        <f aca="false">N(Y712)+$X713</f>
        <v>0</v>
      </c>
      <c r="Z713" s="1" t="n">
        <f aca="false">IF(AND($M713=1,对接源_01水果!$D713="原料入库"),1,0)</f>
        <v>0</v>
      </c>
      <c r="AA713" s="1" t="n">
        <f aca="false">N(AA712)+$Z713</f>
        <v>30</v>
      </c>
      <c r="AB713" s="1" t="n">
        <f aca="false">IF(AND($M713=1,LEFT(对接源_01水果!$D713,4)="原料出库"),1,0)</f>
        <v>0</v>
      </c>
      <c r="AC713" s="1" t="n">
        <f aca="false">N(AC712)+$AB713</f>
        <v>19</v>
      </c>
      <c r="AD713" s="1" t="n">
        <f aca="false">IF(AND($M713=1,LEFT(对接源_01水果!$D713,4)="成品出库"),1,0)</f>
        <v>0</v>
      </c>
      <c r="AE713" s="1" t="n">
        <f aca="false">N(AE712)+$AD713</f>
        <v>38</v>
      </c>
      <c r="AF713" s="1" t="n">
        <f aca="false">IF(AND($N713=1,AND(LEFT(对接源_01水果!$D713,4)="包装物料",N(对接源_01水果!$K713)&lt;&gt;0)),1,0)</f>
        <v>0</v>
      </c>
      <c r="AG713" s="90" t="str">
        <f aca="false">IF(对接源_01水果!$AC713="","",对接源_01水果!$AC713)</f>
        <v/>
      </c>
      <c r="AH713" s="1" t="n">
        <f aca="false">IF(AND($N713=1,AND(LEFT(对接源_01水果!$D713,3)="周转筐",N(对接源_01水果!$K713)&lt;&gt;0)),1,0)</f>
        <v>0</v>
      </c>
      <c r="AI713" s="90" t="n">
        <f aca="false">IF(AG713="",0,IF(MATCH(AG713,$AG$4:$AG$1203,0)=ROW()-3,1,0))</f>
        <v>0</v>
      </c>
      <c r="AJ713" s="90" t="n">
        <f aca="false">N(AJ712)+AI713</f>
        <v>4</v>
      </c>
      <c r="AK713" s="1" t="n">
        <f aca="false">N(AK712)+$AJ713</f>
        <v>1712</v>
      </c>
    </row>
    <row r="714" customFormat="false" ht="13.5" hidden="false" customHeight="false" outlineLevel="0" collapsed="false">
      <c r="A714" s="1" t="str">
        <f aca="false">IF(对接源_01水果!$C714="","",对接源_01水果!$C714)</f>
        <v/>
      </c>
      <c r="B714" s="1" t="n">
        <f aca="false">IF(A714="",0,IF(MATCH(A714,$A$4:$A$2403,0)=ROW()-3,1,0))</f>
        <v>0</v>
      </c>
      <c r="C714" s="1" t="n">
        <f aca="false">N(C713)+B714</f>
        <v>13</v>
      </c>
      <c r="K714" s="1" t="n">
        <f aca="false">IF(OR($K$1="",对接源_01水果!$C714="",对接源_01水果!$C714&lt;&gt;$K$1,对接源_01水果!$B714=""),0,IF(OR(N(对接源_01水果!$B714)&lt;$K$2,N(对接源_01水果!$B714)&gt;$K$3),0,1))</f>
        <v>0</v>
      </c>
      <c r="L714" s="1" t="n">
        <f aca="false">IF(OR($L$1="",对接源_01水果!$C714="",对接源_01水果!$C714&lt;&gt;$L$1,对接源_01水果!$B714=""),0,IF(OR(N(对接源_01水果!$B714)&lt;$L$2,N(对接源_01水果!$B714)&gt;$L$3),0,1))</f>
        <v>0</v>
      </c>
      <c r="M714" s="1" t="n">
        <f aca="false">IF(OR($M$1="",对接源_01水果!$C714="",对接源_01水果!$C714&lt;&gt;$M$1,对接源_01水果!$B714=""),0,IF(OR(N(对接源_01水果!$B714)&lt;$M$2,N(对接源_01水果!$B714)&gt;$M$3),0,1))</f>
        <v>0</v>
      </c>
      <c r="N714" s="1" t="n">
        <f aca="false">IF(OR($N$1="",对接源_01水果!$C714="",对接源_01水果!$C714&lt;&gt;$N$1,对接源_01水果!$B714=""),0,IF(OR(N(对接源_01水果!$B714)&lt;$N$2,N(对接源_01水果!$B714)&gt;$N$3),0,1))</f>
        <v>0</v>
      </c>
      <c r="P714" s="1" t="n">
        <f aca="false">IF(AND($K714=1,AND(对接源_01水果!$X714="公司筐",N(对接源_01水果!$T714)&lt;&gt;0)),1,0)</f>
        <v>0</v>
      </c>
      <c r="Q714" s="1" t="n">
        <f aca="false">N(Q713)+$P714</f>
        <v>3</v>
      </c>
      <c r="R714" s="1" t="n">
        <f aca="false">IF(AND($K714=1,AND(对接源_01水果!$X714="公司筐",N(对接源_01水果!$U714)&lt;&gt;0)),1,0)</f>
        <v>0</v>
      </c>
      <c r="S714" s="1" t="n">
        <f aca="false">N(S713)+$R714</f>
        <v>0</v>
      </c>
      <c r="T714" s="1" t="n">
        <f aca="false">IF(AND($K714=1,AND(对接源_01水果!$X714="公司筐",N(对接源_01水果!$V714)&lt;&gt;0)),1,0)</f>
        <v>0</v>
      </c>
      <c r="U714" s="1" t="n">
        <f aca="false">N(U713)+$T714</f>
        <v>28</v>
      </c>
      <c r="V714" s="1" t="n">
        <f aca="false">IF(AND($L714=1,AND(对接源_01水果!$X714="自备筐",N(对接源_01水果!$V714)&lt;&gt;0)),1,0)</f>
        <v>0</v>
      </c>
      <c r="W714" s="1" t="n">
        <f aca="false">N(W713)+$V714</f>
        <v>7</v>
      </c>
      <c r="X714" s="1" t="n">
        <f aca="false">IF(AND($L714=1,AND(对接源_01水果!$X714="自备筐",N(对接源_01水果!$T714)&lt;&gt;0)),1,0)</f>
        <v>0</v>
      </c>
      <c r="Y714" s="1" t="n">
        <f aca="false">N(Y713)+$X714</f>
        <v>0</v>
      </c>
      <c r="Z714" s="1" t="n">
        <f aca="false">IF(AND($M714=1,对接源_01水果!$D714="原料入库"),1,0)</f>
        <v>0</v>
      </c>
      <c r="AA714" s="1" t="n">
        <f aca="false">N(AA713)+$Z714</f>
        <v>30</v>
      </c>
      <c r="AB714" s="1" t="n">
        <f aca="false">IF(AND($M714=1,LEFT(对接源_01水果!$D714,4)="原料出库"),1,0)</f>
        <v>0</v>
      </c>
      <c r="AC714" s="1" t="n">
        <f aca="false">N(AC713)+$AB714</f>
        <v>19</v>
      </c>
      <c r="AD714" s="1" t="n">
        <f aca="false">IF(AND($M714=1,LEFT(对接源_01水果!$D714,4)="成品出库"),1,0)</f>
        <v>0</v>
      </c>
      <c r="AE714" s="1" t="n">
        <f aca="false">N(AE713)+$AD714</f>
        <v>38</v>
      </c>
      <c r="AF714" s="1" t="n">
        <f aca="false">IF(AND($N714=1,AND(LEFT(对接源_01水果!$D714,4)="包装物料",N(对接源_01水果!$K714)&lt;&gt;0)),1,0)</f>
        <v>0</v>
      </c>
      <c r="AG714" s="90" t="str">
        <f aca="false">IF(对接源_01水果!$AC714="","",对接源_01水果!$AC714)</f>
        <v/>
      </c>
      <c r="AH714" s="1" t="n">
        <f aca="false">IF(AND($N714=1,AND(LEFT(对接源_01水果!$D714,3)="周转筐",N(对接源_01水果!$K714)&lt;&gt;0)),1,0)</f>
        <v>0</v>
      </c>
      <c r="AI714" s="90" t="n">
        <f aca="false">IF(AG714="",0,IF(MATCH(AG714,$AG$4:$AG$1203,0)=ROW()-3,1,0))</f>
        <v>0</v>
      </c>
      <c r="AJ714" s="90" t="n">
        <f aca="false">N(AJ713)+AI714</f>
        <v>4</v>
      </c>
      <c r="AK714" s="1" t="n">
        <f aca="false">N(AK713)+$AJ714</f>
        <v>1716</v>
      </c>
    </row>
    <row r="715" customFormat="false" ht="13.5" hidden="false" customHeight="false" outlineLevel="0" collapsed="false">
      <c r="A715" s="1" t="str">
        <f aca="false">IF(对接源_01水果!$C715="","",对接源_01水果!$C715)</f>
        <v/>
      </c>
      <c r="B715" s="1" t="n">
        <f aca="false">IF(A715="",0,IF(MATCH(A715,$A$4:$A$2403,0)=ROW()-3,1,0))</f>
        <v>0</v>
      </c>
      <c r="C715" s="1" t="n">
        <f aca="false">N(C714)+B715</f>
        <v>13</v>
      </c>
      <c r="K715" s="1" t="n">
        <f aca="false">IF(OR($K$1="",对接源_01水果!$C715="",对接源_01水果!$C715&lt;&gt;$K$1,对接源_01水果!$B715=""),0,IF(OR(N(对接源_01水果!$B715)&lt;$K$2,N(对接源_01水果!$B715)&gt;$K$3),0,1))</f>
        <v>0</v>
      </c>
      <c r="L715" s="1" t="n">
        <f aca="false">IF(OR($L$1="",对接源_01水果!$C715="",对接源_01水果!$C715&lt;&gt;$L$1,对接源_01水果!$B715=""),0,IF(OR(N(对接源_01水果!$B715)&lt;$L$2,N(对接源_01水果!$B715)&gt;$L$3),0,1))</f>
        <v>0</v>
      </c>
      <c r="M715" s="1" t="n">
        <f aca="false">IF(OR($M$1="",对接源_01水果!$C715="",对接源_01水果!$C715&lt;&gt;$M$1,对接源_01水果!$B715=""),0,IF(OR(N(对接源_01水果!$B715)&lt;$M$2,N(对接源_01水果!$B715)&gt;$M$3),0,1))</f>
        <v>0</v>
      </c>
      <c r="N715" s="1" t="n">
        <f aca="false">IF(OR($N$1="",对接源_01水果!$C715="",对接源_01水果!$C715&lt;&gt;$N$1,对接源_01水果!$B715=""),0,IF(OR(N(对接源_01水果!$B715)&lt;$N$2,N(对接源_01水果!$B715)&gt;$N$3),0,1))</f>
        <v>0</v>
      </c>
      <c r="P715" s="1" t="n">
        <f aca="false">IF(AND($K715=1,AND(对接源_01水果!$X715="公司筐",N(对接源_01水果!$T715)&lt;&gt;0)),1,0)</f>
        <v>0</v>
      </c>
      <c r="Q715" s="1" t="n">
        <f aca="false">N(Q714)+$P715</f>
        <v>3</v>
      </c>
      <c r="R715" s="1" t="n">
        <f aca="false">IF(AND($K715=1,AND(对接源_01水果!$X715="公司筐",N(对接源_01水果!$U715)&lt;&gt;0)),1,0)</f>
        <v>0</v>
      </c>
      <c r="S715" s="1" t="n">
        <f aca="false">N(S714)+$R715</f>
        <v>0</v>
      </c>
      <c r="T715" s="1" t="n">
        <f aca="false">IF(AND($K715=1,AND(对接源_01水果!$X715="公司筐",N(对接源_01水果!$V715)&lt;&gt;0)),1,0)</f>
        <v>0</v>
      </c>
      <c r="U715" s="1" t="n">
        <f aca="false">N(U714)+$T715</f>
        <v>28</v>
      </c>
      <c r="V715" s="1" t="n">
        <f aca="false">IF(AND($L715=1,AND(对接源_01水果!$X715="自备筐",N(对接源_01水果!$V715)&lt;&gt;0)),1,0)</f>
        <v>0</v>
      </c>
      <c r="W715" s="1" t="n">
        <f aca="false">N(W714)+$V715</f>
        <v>7</v>
      </c>
      <c r="X715" s="1" t="n">
        <f aca="false">IF(AND($L715=1,AND(对接源_01水果!$X715="自备筐",N(对接源_01水果!$T715)&lt;&gt;0)),1,0)</f>
        <v>0</v>
      </c>
      <c r="Y715" s="1" t="n">
        <f aca="false">N(Y714)+$X715</f>
        <v>0</v>
      </c>
      <c r="Z715" s="1" t="n">
        <f aca="false">IF(AND($M715=1,对接源_01水果!$D715="原料入库"),1,0)</f>
        <v>0</v>
      </c>
      <c r="AA715" s="1" t="n">
        <f aca="false">N(AA714)+$Z715</f>
        <v>30</v>
      </c>
      <c r="AB715" s="1" t="n">
        <f aca="false">IF(AND($M715=1,LEFT(对接源_01水果!$D715,4)="原料出库"),1,0)</f>
        <v>0</v>
      </c>
      <c r="AC715" s="1" t="n">
        <f aca="false">N(AC714)+$AB715</f>
        <v>19</v>
      </c>
      <c r="AD715" s="1" t="n">
        <f aca="false">IF(AND($M715=1,LEFT(对接源_01水果!$D715,4)="成品出库"),1,0)</f>
        <v>0</v>
      </c>
      <c r="AE715" s="1" t="n">
        <f aca="false">N(AE714)+$AD715</f>
        <v>38</v>
      </c>
      <c r="AF715" s="1" t="n">
        <f aca="false">IF(AND($N715=1,AND(LEFT(对接源_01水果!$D715,4)="包装物料",N(对接源_01水果!$K715)&lt;&gt;0)),1,0)</f>
        <v>0</v>
      </c>
      <c r="AG715" s="90" t="str">
        <f aca="false">IF(对接源_01水果!$AC715="","",对接源_01水果!$AC715)</f>
        <v/>
      </c>
      <c r="AH715" s="1" t="n">
        <f aca="false">IF(AND($N715=1,AND(LEFT(对接源_01水果!$D715,3)="周转筐",N(对接源_01水果!$K715)&lt;&gt;0)),1,0)</f>
        <v>0</v>
      </c>
      <c r="AI715" s="90" t="n">
        <f aca="false">IF(AG715="",0,IF(MATCH(AG715,$AG$4:$AG$1203,0)=ROW()-3,1,0))</f>
        <v>0</v>
      </c>
      <c r="AJ715" s="90" t="n">
        <f aca="false">N(AJ714)+AI715</f>
        <v>4</v>
      </c>
      <c r="AK715" s="1" t="n">
        <f aca="false">N(AK714)+$AJ715</f>
        <v>1720</v>
      </c>
    </row>
    <row r="716" customFormat="false" ht="13.5" hidden="false" customHeight="false" outlineLevel="0" collapsed="false">
      <c r="A716" s="1" t="str">
        <f aca="false">IF(对接源_01水果!$C716="","",对接源_01水果!$C716)</f>
        <v/>
      </c>
      <c r="B716" s="1" t="n">
        <f aca="false">IF(A716="",0,IF(MATCH(A716,$A$4:$A$2403,0)=ROW()-3,1,0))</f>
        <v>0</v>
      </c>
      <c r="C716" s="1" t="n">
        <f aca="false">N(C715)+B716</f>
        <v>13</v>
      </c>
      <c r="K716" s="1" t="n">
        <f aca="false">IF(OR($K$1="",对接源_01水果!$C716="",对接源_01水果!$C716&lt;&gt;$K$1,对接源_01水果!$B716=""),0,IF(OR(N(对接源_01水果!$B716)&lt;$K$2,N(对接源_01水果!$B716)&gt;$K$3),0,1))</f>
        <v>0</v>
      </c>
      <c r="L716" s="1" t="n">
        <f aca="false">IF(OR($L$1="",对接源_01水果!$C716="",对接源_01水果!$C716&lt;&gt;$L$1,对接源_01水果!$B716=""),0,IF(OR(N(对接源_01水果!$B716)&lt;$L$2,N(对接源_01水果!$B716)&gt;$L$3),0,1))</f>
        <v>0</v>
      </c>
      <c r="M716" s="1" t="n">
        <f aca="false">IF(OR($M$1="",对接源_01水果!$C716="",对接源_01水果!$C716&lt;&gt;$M$1,对接源_01水果!$B716=""),0,IF(OR(N(对接源_01水果!$B716)&lt;$M$2,N(对接源_01水果!$B716)&gt;$M$3),0,1))</f>
        <v>0</v>
      </c>
      <c r="N716" s="1" t="n">
        <f aca="false">IF(OR($N$1="",对接源_01水果!$C716="",对接源_01水果!$C716&lt;&gt;$N$1,对接源_01水果!$B716=""),0,IF(OR(N(对接源_01水果!$B716)&lt;$N$2,N(对接源_01水果!$B716)&gt;$N$3),0,1))</f>
        <v>0</v>
      </c>
      <c r="P716" s="1" t="n">
        <f aca="false">IF(AND($K716=1,AND(对接源_01水果!$X716="公司筐",N(对接源_01水果!$T716)&lt;&gt;0)),1,0)</f>
        <v>0</v>
      </c>
      <c r="Q716" s="1" t="n">
        <f aca="false">N(Q715)+$P716</f>
        <v>3</v>
      </c>
      <c r="R716" s="1" t="n">
        <f aca="false">IF(AND($K716=1,AND(对接源_01水果!$X716="公司筐",N(对接源_01水果!$U716)&lt;&gt;0)),1,0)</f>
        <v>0</v>
      </c>
      <c r="S716" s="1" t="n">
        <f aca="false">N(S715)+$R716</f>
        <v>0</v>
      </c>
      <c r="T716" s="1" t="n">
        <f aca="false">IF(AND($K716=1,AND(对接源_01水果!$X716="公司筐",N(对接源_01水果!$V716)&lt;&gt;0)),1,0)</f>
        <v>0</v>
      </c>
      <c r="U716" s="1" t="n">
        <f aca="false">N(U715)+$T716</f>
        <v>28</v>
      </c>
      <c r="V716" s="1" t="n">
        <f aca="false">IF(AND($L716=1,AND(对接源_01水果!$X716="自备筐",N(对接源_01水果!$V716)&lt;&gt;0)),1,0)</f>
        <v>0</v>
      </c>
      <c r="W716" s="1" t="n">
        <f aca="false">N(W715)+$V716</f>
        <v>7</v>
      </c>
      <c r="X716" s="1" t="n">
        <f aca="false">IF(AND($L716=1,AND(对接源_01水果!$X716="自备筐",N(对接源_01水果!$T716)&lt;&gt;0)),1,0)</f>
        <v>0</v>
      </c>
      <c r="Y716" s="1" t="n">
        <f aca="false">N(Y715)+$X716</f>
        <v>0</v>
      </c>
      <c r="Z716" s="1" t="n">
        <f aca="false">IF(AND($M716=1,对接源_01水果!$D716="原料入库"),1,0)</f>
        <v>0</v>
      </c>
      <c r="AA716" s="1" t="n">
        <f aca="false">N(AA715)+$Z716</f>
        <v>30</v>
      </c>
      <c r="AB716" s="1" t="n">
        <f aca="false">IF(AND($M716=1,LEFT(对接源_01水果!$D716,4)="原料出库"),1,0)</f>
        <v>0</v>
      </c>
      <c r="AC716" s="1" t="n">
        <f aca="false">N(AC715)+$AB716</f>
        <v>19</v>
      </c>
      <c r="AD716" s="1" t="n">
        <f aca="false">IF(AND($M716=1,LEFT(对接源_01水果!$D716,4)="成品出库"),1,0)</f>
        <v>0</v>
      </c>
      <c r="AE716" s="1" t="n">
        <f aca="false">N(AE715)+$AD716</f>
        <v>38</v>
      </c>
      <c r="AF716" s="1" t="n">
        <f aca="false">IF(AND($N716=1,AND(LEFT(对接源_01水果!$D716,4)="包装物料",N(对接源_01水果!$K716)&lt;&gt;0)),1,0)</f>
        <v>0</v>
      </c>
      <c r="AG716" s="90" t="str">
        <f aca="false">IF(对接源_01水果!$AC716="","",对接源_01水果!$AC716)</f>
        <v/>
      </c>
      <c r="AH716" s="1" t="n">
        <f aca="false">IF(AND($N716=1,AND(LEFT(对接源_01水果!$D716,3)="周转筐",N(对接源_01水果!$K716)&lt;&gt;0)),1,0)</f>
        <v>0</v>
      </c>
      <c r="AI716" s="90" t="n">
        <f aca="false">IF(AG716="",0,IF(MATCH(AG716,$AG$4:$AG$1203,0)=ROW()-3,1,0))</f>
        <v>0</v>
      </c>
      <c r="AJ716" s="90" t="n">
        <f aca="false">N(AJ715)+AI716</f>
        <v>4</v>
      </c>
      <c r="AK716" s="1" t="n">
        <f aca="false">N(AK715)+$AJ716</f>
        <v>1724</v>
      </c>
    </row>
    <row r="717" customFormat="false" ht="13.5" hidden="false" customHeight="false" outlineLevel="0" collapsed="false">
      <c r="A717" s="1" t="str">
        <f aca="false">IF(对接源_01水果!$C717="","",对接源_01水果!$C717)</f>
        <v/>
      </c>
      <c r="B717" s="1" t="n">
        <f aca="false">IF(A717="",0,IF(MATCH(A717,$A$4:$A$2403,0)=ROW()-3,1,0))</f>
        <v>0</v>
      </c>
      <c r="C717" s="1" t="n">
        <f aca="false">N(C716)+B717</f>
        <v>13</v>
      </c>
      <c r="K717" s="1" t="n">
        <f aca="false">IF(OR($K$1="",对接源_01水果!$C717="",对接源_01水果!$C717&lt;&gt;$K$1,对接源_01水果!$B717=""),0,IF(OR(N(对接源_01水果!$B717)&lt;$K$2,N(对接源_01水果!$B717)&gt;$K$3),0,1))</f>
        <v>0</v>
      </c>
      <c r="L717" s="1" t="n">
        <f aca="false">IF(OR($L$1="",对接源_01水果!$C717="",对接源_01水果!$C717&lt;&gt;$L$1,对接源_01水果!$B717=""),0,IF(OR(N(对接源_01水果!$B717)&lt;$L$2,N(对接源_01水果!$B717)&gt;$L$3),0,1))</f>
        <v>0</v>
      </c>
      <c r="M717" s="1" t="n">
        <f aca="false">IF(OR($M$1="",对接源_01水果!$C717="",对接源_01水果!$C717&lt;&gt;$M$1,对接源_01水果!$B717=""),0,IF(OR(N(对接源_01水果!$B717)&lt;$M$2,N(对接源_01水果!$B717)&gt;$M$3),0,1))</f>
        <v>0</v>
      </c>
      <c r="N717" s="1" t="n">
        <f aca="false">IF(OR($N$1="",对接源_01水果!$C717="",对接源_01水果!$C717&lt;&gt;$N$1,对接源_01水果!$B717=""),0,IF(OR(N(对接源_01水果!$B717)&lt;$N$2,N(对接源_01水果!$B717)&gt;$N$3),0,1))</f>
        <v>0</v>
      </c>
      <c r="P717" s="1" t="n">
        <f aca="false">IF(AND($K717=1,AND(对接源_01水果!$X717="公司筐",N(对接源_01水果!$T717)&lt;&gt;0)),1,0)</f>
        <v>0</v>
      </c>
      <c r="Q717" s="1" t="n">
        <f aca="false">N(Q716)+$P717</f>
        <v>3</v>
      </c>
      <c r="R717" s="1" t="n">
        <f aca="false">IF(AND($K717=1,AND(对接源_01水果!$X717="公司筐",N(对接源_01水果!$U717)&lt;&gt;0)),1,0)</f>
        <v>0</v>
      </c>
      <c r="S717" s="1" t="n">
        <f aca="false">N(S716)+$R717</f>
        <v>0</v>
      </c>
      <c r="T717" s="1" t="n">
        <f aca="false">IF(AND($K717=1,AND(对接源_01水果!$X717="公司筐",N(对接源_01水果!$V717)&lt;&gt;0)),1,0)</f>
        <v>0</v>
      </c>
      <c r="U717" s="1" t="n">
        <f aca="false">N(U716)+$T717</f>
        <v>28</v>
      </c>
      <c r="V717" s="1" t="n">
        <f aca="false">IF(AND($L717=1,AND(对接源_01水果!$X717="自备筐",N(对接源_01水果!$V717)&lt;&gt;0)),1,0)</f>
        <v>0</v>
      </c>
      <c r="W717" s="1" t="n">
        <f aca="false">N(W716)+$V717</f>
        <v>7</v>
      </c>
      <c r="X717" s="1" t="n">
        <f aca="false">IF(AND($L717=1,AND(对接源_01水果!$X717="自备筐",N(对接源_01水果!$T717)&lt;&gt;0)),1,0)</f>
        <v>0</v>
      </c>
      <c r="Y717" s="1" t="n">
        <f aca="false">N(Y716)+$X717</f>
        <v>0</v>
      </c>
      <c r="Z717" s="1" t="n">
        <f aca="false">IF(AND($M717=1,对接源_01水果!$D717="原料入库"),1,0)</f>
        <v>0</v>
      </c>
      <c r="AA717" s="1" t="n">
        <f aca="false">N(AA716)+$Z717</f>
        <v>30</v>
      </c>
      <c r="AB717" s="1" t="n">
        <f aca="false">IF(AND($M717=1,LEFT(对接源_01水果!$D717,4)="原料出库"),1,0)</f>
        <v>0</v>
      </c>
      <c r="AC717" s="1" t="n">
        <f aca="false">N(AC716)+$AB717</f>
        <v>19</v>
      </c>
      <c r="AD717" s="1" t="n">
        <f aca="false">IF(AND($M717=1,LEFT(对接源_01水果!$D717,4)="成品出库"),1,0)</f>
        <v>0</v>
      </c>
      <c r="AE717" s="1" t="n">
        <f aca="false">N(AE716)+$AD717</f>
        <v>38</v>
      </c>
      <c r="AF717" s="1" t="n">
        <f aca="false">IF(AND($N717=1,AND(LEFT(对接源_01水果!$D717,4)="包装物料",N(对接源_01水果!$K717)&lt;&gt;0)),1,0)</f>
        <v>0</v>
      </c>
      <c r="AG717" s="90" t="str">
        <f aca="false">IF(对接源_01水果!$AC717="","",对接源_01水果!$AC717)</f>
        <v/>
      </c>
      <c r="AH717" s="1" t="n">
        <f aca="false">IF(AND($N717=1,AND(LEFT(对接源_01水果!$D717,3)="周转筐",N(对接源_01水果!$K717)&lt;&gt;0)),1,0)</f>
        <v>0</v>
      </c>
      <c r="AI717" s="90" t="n">
        <f aca="false">IF(AG717="",0,IF(MATCH(AG717,$AG$4:$AG$1203,0)=ROW()-3,1,0))</f>
        <v>0</v>
      </c>
      <c r="AJ717" s="90" t="n">
        <f aca="false">N(AJ716)+AI717</f>
        <v>4</v>
      </c>
      <c r="AK717" s="1" t="n">
        <f aca="false">N(AK716)+$AJ717</f>
        <v>1728</v>
      </c>
    </row>
    <row r="718" customFormat="false" ht="13.5" hidden="false" customHeight="false" outlineLevel="0" collapsed="false">
      <c r="A718" s="1" t="str">
        <f aca="false">IF(对接源_01水果!$C718="","",对接源_01水果!$C718)</f>
        <v/>
      </c>
      <c r="B718" s="1" t="n">
        <f aca="false">IF(A718="",0,IF(MATCH(A718,$A$4:$A$2403,0)=ROW()-3,1,0))</f>
        <v>0</v>
      </c>
      <c r="C718" s="1" t="n">
        <f aca="false">N(C717)+B718</f>
        <v>13</v>
      </c>
      <c r="K718" s="1" t="n">
        <f aca="false">IF(OR($K$1="",对接源_01水果!$C718="",对接源_01水果!$C718&lt;&gt;$K$1,对接源_01水果!$B718=""),0,IF(OR(N(对接源_01水果!$B718)&lt;$K$2,N(对接源_01水果!$B718)&gt;$K$3),0,1))</f>
        <v>0</v>
      </c>
      <c r="L718" s="1" t="n">
        <f aca="false">IF(OR($L$1="",对接源_01水果!$C718="",对接源_01水果!$C718&lt;&gt;$L$1,对接源_01水果!$B718=""),0,IF(OR(N(对接源_01水果!$B718)&lt;$L$2,N(对接源_01水果!$B718)&gt;$L$3),0,1))</f>
        <v>0</v>
      </c>
      <c r="M718" s="1" t="n">
        <f aca="false">IF(OR($M$1="",对接源_01水果!$C718="",对接源_01水果!$C718&lt;&gt;$M$1,对接源_01水果!$B718=""),0,IF(OR(N(对接源_01水果!$B718)&lt;$M$2,N(对接源_01水果!$B718)&gt;$M$3),0,1))</f>
        <v>0</v>
      </c>
      <c r="N718" s="1" t="n">
        <f aca="false">IF(OR($N$1="",对接源_01水果!$C718="",对接源_01水果!$C718&lt;&gt;$N$1,对接源_01水果!$B718=""),0,IF(OR(N(对接源_01水果!$B718)&lt;$N$2,N(对接源_01水果!$B718)&gt;$N$3),0,1))</f>
        <v>0</v>
      </c>
      <c r="P718" s="1" t="n">
        <f aca="false">IF(AND($K718=1,AND(对接源_01水果!$X718="公司筐",N(对接源_01水果!$T718)&lt;&gt;0)),1,0)</f>
        <v>0</v>
      </c>
      <c r="Q718" s="1" t="n">
        <f aca="false">N(Q717)+$P718</f>
        <v>3</v>
      </c>
      <c r="R718" s="1" t="n">
        <f aca="false">IF(AND($K718=1,AND(对接源_01水果!$X718="公司筐",N(对接源_01水果!$U718)&lt;&gt;0)),1,0)</f>
        <v>0</v>
      </c>
      <c r="S718" s="1" t="n">
        <f aca="false">N(S717)+$R718</f>
        <v>0</v>
      </c>
      <c r="T718" s="1" t="n">
        <f aca="false">IF(AND($K718=1,AND(对接源_01水果!$X718="公司筐",N(对接源_01水果!$V718)&lt;&gt;0)),1,0)</f>
        <v>0</v>
      </c>
      <c r="U718" s="1" t="n">
        <f aca="false">N(U717)+$T718</f>
        <v>28</v>
      </c>
      <c r="V718" s="1" t="n">
        <f aca="false">IF(AND($L718=1,AND(对接源_01水果!$X718="自备筐",N(对接源_01水果!$V718)&lt;&gt;0)),1,0)</f>
        <v>0</v>
      </c>
      <c r="W718" s="1" t="n">
        <f aca="false">N(W717)+$V718</f>
        <v>7</v>
      </c>
      <c r="X718" s="1" t="n">
        <f aca="false">IF(AND($L718=1,AND(对接源_01水果!$X718="自备筐",N(对接源_01水果!$T718)&lt;&gt;0)),1,0)</f>
        <v>0</v>
      </c>
      <c r="Y718" s="1" t="n">
        <f aca="false">N(Y717)+$X718</f>
        <v>0</v>
      </c>
      <c r="Z718" s="1" t="n">
        <f aca="false">IF(AND($M718=1,对接源_01水果!$D718="原料入库"),1,0)</f>
        <v>0</v>
      </c>
      <c r="AA718" s="1" t="n">
        <f aca="false">N(AA717)+$Z718</f>
        <v>30</v>
      </c>
      <c r="AB718" s="1" t="n">
        <f aca="false">IF(AND($M718=1,LEFT(对接源_01水果!$D718,4)="原料出库"),1,0)</f>
        <v>0</v>
      </c>
      <c r="AC718" s="1" t="n">
        <f aca="false">N(AC717)+$AB718</f>
        <v>19</v>
      </c>
      <c r="AD718" s="1" t="n">
        <f aca="false">IF(AND($M718=1,LEFT(对接源_01水果!$D718,4)="成品出库"),1,0)</f>
        <v>0</v>
      </c>
      <c r="AE718" s="1" t="n">
        <f aca="false">N(AE717)+$AD718</f>
        <v>38</v>
      </c>
      <c r="AF718" s="1" t="n">
        <f aca="false">IF(AND($N718=1,AND(LEFT(对接源_01水果!$D718,4)="包装物料",N(对接源_01水果!$K718)&lt;&gt;0)),1,0)</f>
        <v>0</v>
      </c>
      <c r="AG718" s="90" t="str">
        <f aca="false">IF(对接源_01水果!$AC718="","",对接源_01水果!$AC718)</f>
        <v/>
      </c>
      <c r="AH718" s="1" t="n">
        <f aca="false">IF(AND($N718=1,AND(LEFT(对接源_01水果!$D718,3)="周转筐",N(对接源_01水果!$K718)&lt;&gt;0)),1,0)</f>
        <v>0</v>
      </c>
      <c r="AI718" s="90" t="n">
        <f aca="false">IF(AG718="",0,IF(MATCH(AG718,$AG$4:$AG$1203,0)=ROW()-3,1,0))</f>
        <v>0</v>
      </c>
      <c r="AJ718" s="90" t="n">
        <f aca="false">N(AJ717)+AI718</f>
        <v>4</v>
      </c>
      <c r="AK718" s="1" t="n">
        <f aca="false">N(AK717)+$AJ718</f>
        <v>1732</v>
      </c>
    </row>
    <row r="719" customFormat="false" ht="13.5" hidden="false" customHeight="false" outlineLevel="0" collapsed="false">
      <c r="A719" s="1" t="str">
        <f aca="false">IF(对接源_01水果!$C719="","",对接源_01水果!$C719)</f>
        <v/>
      </c>
      <c r="B719" s="1" t="n">
        <f aca="false">IF(A719="",0,IF(MATCH(A719,$A$4:$A$2403,0)=ROW()-3,1,0))</f>
        <v>0</v>
      </c>
      <c r="C719" s="1" t="n">
        <f aca="false">N(C718)+B719</f>
        <v>13</v>
      </c>
      <c r="K719" s="1" t="n">
        <f aca="false">IF(OR($K$1="",对接源_01水果!$C719="",对接源_01水果!$C719&lt;&gt;$K$1,对接源_01水果!$B719=""),0,IF(OR(N(对接源_01水果!$B719)&lt;$K$2,N(对接源_01水果!$B719)&gt;$K$3),0,1))</f>
        <v>0</v>
      </c>
      <c r="L719" s="1" t="n">
        <f aca="false">IF(OR($L$1="",对接源_01水果!$C719="",对接源_01水果!$C719&lt;&gt;$L$1,对接源_01水果!$B719=""),0,IF(OR(N(对接源_01水果!$B719)&lt;$L$2,N(对接源_01水果!$B719)&gt;$L$3),0,1))</f>
        <v>0</v>
      </c>
      <c r="M719" s="1" t="n">
        <f aca="false">IF(OR($M$1="",对接源_01水果!$C719="",对接源_01水果!$C719&lt;&gt;$M$1,对接源_01水果!$B719=""),0,IF(OR(N(对接源_01水果!$B719)&lt;$M$2,N(对接源_01水果!$B719)&gt;$M$3),0,1))</f>
        <v>0</v>
      </c>
      <c r="N719" s="1" t="n">
        <f aca="false">IF(OR($N$1="",对接源_01水果!$C719="",对接源_01水果!$C719&lt;&gt;$N$1,对接源_01水果!$B719=""),0,IF(OR(N(对接源_01水果!$B719)&lt;$N$2,N(对接源_01水果!$B719)&gt;$N$3),0,1))</f>
        <v>0</v>
      </c>
      <c r="P719" s="1" t="n">
        <f aca="false">IF(AND($K719=1,AND(对接源_01水果!$X719="公司筐",N(对接源_01水果!$T719)&lt;&gt;0)),1,0)</f>
        <v>0</v>
      </c>
      <c r="Q719" s="1" t="n">
        <f aca="false">N(Q718)+$P719</f>
        <v>3</v>
      </c>
      <c r="R719" s="1" t="n">
        <f aca="false">IF(AND($K719=1,AND(对接源_01水果!$X719="公司筐",N(对接源_01水果!$U719)&lt;&gt;0)),1,0)</f>
        <v>0</v>
      </c>
      <c r="S719" s="1" t="n">
        <f aca="false">N(S718)+$R719</f>
        <v>0</v>
      </c>
      <c r="T719" s="1" t="n">
        <f aca="false">IF(AND($K719=1,AND(对接源_01水果!$X719="公司筐",N(对接源_01水果!$V719)&lt;&gt;0)),1,0)</f>
        <v>0</v>
      </c>
      <c r="U719" s="1" t="n">
        <f aca="false">N(U718)+$T719</f>
        <v>28</v>
      </c>
      <c r="V719" s="1" t="n">
        <f aca="false">IF(AND($L719=1,AND(对接源_01水果!$X719="自备筐",N(对接源_01水果!$V719)&lt;&gt;0)),1,0)</f>
        <v>0</v>
      </c>
      <c r="W719" s="1" t="n">
        <f aca="false">N(W718)+$V719</f>
        <v>7</v>
      </c>
      <c r="X719" s="1" t="n">
        <f aca="false">IF(AND($L719=1,AND(对接源_01水果!$X719="自备筐",N(对接源_01水果!$T719)&lt;&gt;0)),1,0)</f>
        <v>0</v>
      </c>
      <c r="Y719" s="1" t="n">
        <f aca="false">N(Y718)+$X719</f>
        <v>0</v>
      </c>
      <c r="Z719" s="1" t="n">
        <f aca="false">IF(AND($M719=1,对接源_01水果!$D719="原料入库"),1,0)</f>
        <v>0</v>
      </c>
      <c r="AA719" s="1" t="n">
        <f aca="false">N(AA718)+$Z719</f>
        <v>30</v>
      </c>
      <c r="AB719" s="1" t="n">
        <f aca="false">IF(AND($M719=1,LEFT(对接源_01水果!$D719,4)="原料出库"),1,0)</f>
        <v>0</v>
      </c>
      <c r="AC719" s="1" t="n">
        <f aca="false">N(AC718)+$AB719</f>
        <v>19</v>
      </c>
      <c r="AD719" s="1" t="n">
        <f aca="false">IF(AND($M719=1,LEFT(对接源_01水果!$D719,4)="成品出库"),1,0)</f>
        <v>0</v>
      </c>
      <c r="AE719" s="1" t="n">
        <f aca="false">N(AE718)+$AD719</f>
        <v>38</v>
      </c>
      <c r="AF719" s="1" t="n">
        <f aca="false">IF(AND($N719=1,AND(LEFT(对接源_01水果!$D719,4)="包装物料",N(对接源_01水果!$K719)&lt;&gt;0)),1,0)</f>
        <v>0</v>
      </c>
      <c r="AG719" s="90" t="str">
        <f aca="false">IF(对接源_01水果!$AC719="","",对接源_01水果!$AC719)</f>
        <v/>
      </c>
      <c r="AH719" s="1" t="n">
        <f aca="false">IF(AND($N719=1,AND(LEFT(对接源_01水果!$D719,3)="周转筐",N(对接源_01水果!$K719)&lt;&gt;0)),1,0)</f>
        <v>0</v>
      </c>
      <c r="AI719" s="90" t="n">
        <f aca="false">IF(AG719="",0,IF(MATCH(AG719,$AG$4:$AG$1203,0)=ROW()-3,1,0))</f>
        <v>0</v>
      </c>
      <c r="AJ719" s="90" t="n">
        <f aca="false">N(AJ718)+AI719</f>
        <v>4</v>
      </c>
      <c r="AK719" s="1" t="n">
        <f aca="false">N(AK718)+$AJ719</f>
        <v>1736</v>
      </c>
    </row>
    <row r="720" customFormat="false" ht="13.5" hidden="false" customHeight="false" outlineLevel="0" collapsed="false">
      <c r="A720" s="1" t="str">
        <f aca="false">IF(对接源_01水果!$C720="","",对接源_01水果!$C720)</f>
        <v/>
      </c>
      <c r="B720" s="1" t="n">
        <f aca="false">IF(A720="",0,IF(MATCH(A720,$A$4:$A$2403,0)=ROW()-3,1,0))</f>
        <v>0</v>
      </c>
      <c r="C720" s="1" t="n">
        <f aca="false">N(C719)+B720</f>
        <v>13</v>
      </c>
      <c r="K720" s="1" t="n">
        <f aca="false">IF(OR($K$1="",对接源_01水果!$C720="",对接源_01水果!$C720&lt;&gt;$K$1,对接源_01水果!$B720=""),0,IF(OR(N(对接源_01水果!$B720)&lt;$K$2,N(对接源_01水果!$B720)&gt;$K$3),0,1))</f>
        <v>0</v>
      </c>
      <c r="L720" s="1" t="n">
        <f aca="false">IF(OR($L$1="",对接源_01水果!$C720="",对接源_01水果!$C720&lt;&gt;$L$1,对接源_01水果!$B720=""),0,IF(OR(N(对接源_01水果!$B720)&lt;$L$2,N(对接源_01水果!$B720)&gt;$L$3),0,1))</f>
        <v>0</v>
      </c>
      <c r="M720" s="1" t="n">
        <f aca="false">IF(OR($M$1="",对接源_01水果!$C720="",对接源_01水果!$C720&lt;&gt;$M$1,对接源_01水果!$B720=""),0,IF(OR(N(对接源_01水果!$B720)&lt;$M$2,N(对接源_01水果!$B720)&gt;$M$3),0,1))</f>
        <v>0</v>
      </c>
      <c r="N720" s="1" t="n">
        <f aca="false">IF(OR($N$1="",对接源_01水果!$C720="",对接源_01水果!$C720&lt;&gt;$N$1,对接源_01水果!$B720=""),0,IF(OR(N(对接源_01水果!$B720)&lt;$N$2,N(对接源_01水果!$B720)&gt;$N$3),0,1))</f>
        <v>0</v>
      </c>
      <c r="P720" s="1" t="n">
        <f aca="false">IF(AND($K720=1,AND(对接源_01水果!$X720="公司筐",N(对接源_01水果!$T720)&lt;&gt;0)),1,0)</f>
        <v>0</v>
      </c>
      <c r="Q720" s="1" t="n">
        <f aca="false">N(Q719)+$P720</f>
        <v>3</v>
      </c>
      <c r="R720" s="1" t="n">
        <f aca="false">IF(AND($K720=1,AND(对接源_01水果!$X720="公司筐",N(对接源_01水果!$U720)&lt;&gt;0)),1,0)</f>
        <v>0</v>
      </c>
      <c r="S720" s="1" t="n">
        <f aca="false">N(S719)+$R720</f>
        <v>0</v>
      </c>
      <c r="T720" s="1" t="n">
        <f aca="false">IF(AND($K720=1,AND(对接源_01水果!$X720="公司筐",N(对接源_01水果!$V720)&lt;&gt;0)),1,0)</f>
        <v>0</v>
      </c>
      <c r="U720" s="1" t="n">
        <f aca="false">N(U719)+$T720</f>
        <v>28</v>
      </c>
      <c r="V720" s="1" t="n">
        <f aca="false">IF(AND($L720=1,AND(对接源_01水果!$X720="自备筐",N(对接源_01水果!$V720)&lt;&gt;0)),1,0)</f>
        <v>0</v>
      </c>
      <c r="W720" s="1" t="n">
        <f aca="false">N(W719)+$V720</f>
        <v>7</v>
      </c>
      <c r="X720" s="1" t="n">
        <f aca="false">IF(AND($L720=1,AND(对接源_01水果!$X720="自备筐",N(对接源_01水果!$T720)&lt;&gt;0)),1,0)</f>
        <v>0</v>
      </c>
      <c r="Y720" s="1" t="n">
        <f aca="false">N(Y719)+$X720</f>
        <v>0</v>
      </c>
      <c r="Z720" s="1" t="n">
        <f aca="false">IF(AND($M720=1,对接源_01水果!$D720="原料入库"),1,0)</f>
        <v>0</v>
      </c>
      <c r="AA720" s="1" t="n">
        <f aca="false">N(AA719)+$Z720</f>
        <v>30</v>
      </c>
      <c r="AB720" s="1" t="n">
        <f aca="false">IF(AND($M720=1,LEFT(对接源_01水果!$D720,4)="原料出库"),1,0)</f>
        <v>0</v>
      </c>
      <c r="AC720" s="1" t="n">
        <f aca="false">N(AC719)+$AB720</f>
        <v>19</v>
      </c>
      <c r="AD720" s="1" t="n">
        <f aca="false">IF(AND($M720=1,LEFT(对接源_01水果!$D720,4)="成品出库"),1,0)</f>
        <v>0</v>
      </c>
      <c r="AE720" s="1" t="n">
        <f aca="false">N(AE719)+$AD720</f>
        <v>38</v>
      </c>
      <c r="AF720" s="1" t="n">
        <f aca="false">IF(AND($N720=1,AND(LEFT(对接源_01水果!$D720,4)="包装物料",N(对接源_01水果!$K720)&lt;&gt;0)),1,0)</f>
        <v>0</v>
      </c>
      <c r="AG720" s="90" t="str">
        <f aca="false">IF(对接源_01水果!$AC720="","",对接源_01水果!$AC720)</f>
        <v/>
      </c>
      <c r="AH720" s="1" t="n">
        <f aca="false">IF(AND($N720=1,AND(LEFT(对接源_01水果!$D720,3)="周转筐",N(对接源_01水果!$K720)&lt;&gt;0)),1,0)</f>
        <v>0</v>
      </c>
      <c r="AI720" s="90" t="n">
        <f aca="false">IF(AG720="",0,IF(MATCH(AG720,$AG$4:$AG$1203,0)=ROW()-3,1,0))</f>
        <v>0</v>
      </c>
      <c r="AJ720" s="90" t="n">
        <f aca="false">N(AJ719)+AI720</f>
        <v>4</v>
      </c>
      <c r="AK720" s="1" t="n">
        <f aca="false">N(AK719)+$AJ720</f>
        <v>1740</v>
      </c>
    </row>
    <row r="721" customFormat="false" ht="13.5" hidden="false" customHeight="false" outlineLevel="0" collapsed="false">
      <c r="A721" s="1" t="str">
        <f aca="false">IF(对接源_01水果!$C721="","",对接源_01水果!$C721)</f>
        <v/>
      </c>
      <c r="B721" s="1" t="n">
        <f aca="false">IF(A721="",0,IF(MATCH(A721,$A$4:$A$2403,0)=ROW()-3,1,0))</f>
        <v>0</v>
      </c>
      <c r="C721" s="1" t="n">
        <f aca="false">N(C720)+B721</f>
        <v>13</v>
      </c>
      <c r="K721" s="1" t="n">
        <f aca="false">IF(OR($K$1="",对接源_01水果!$C721="",对接源_01水果!$C721&lt;&gt;$K$1,对接源_01水果!$B721=""),0,IF(OR(N(对接源_01水果!$B721)&lt;$K$2,N(对接源_01水果!$B721)&gt;$K$3),0,1))</f>
        <v>0</v>
      </c>
      <c r="L721" s="1" t="n">
        <f aca="false">IF(OR($L$1="",对接源_01水果!$C721="",对接源_01水果!$C721&lt;&gt;$L$1,对接源_01水果!$B721=""),0,IF(OR(N(对接源_01水果!$B721)&lt;$L$2,N(对接源_01水果!$B721)&gt;$L$3),0,1))</f>
        <v>0</v>
      </c>
      <c r="M721" s="1" t="n">
        <f aca="false">IF(OR($M$1="",对接源_01水果!$C721="",对接源_01水果!$C721&lt;&gt;$M$1,对接源_01水果!$B721=""),0,IF(OR(N(对接源_01水果!$B721)&lt;$M$2,N(对接源_01水果!$B721)&gt;$M$3),0,1))</f>
        <v>0</v>
      </c>
      <c r="N721" s="1" t="n">
        <f aca="false">IF(OR($N$1="",对接源_01水果!$C721="",对接源_01水果!$C721&lt;&gt;$N$1,对接源_01水果!$B721=""),0,IF(OR(N(对接源_01水果!$B721)&lt;$N$2,N(对接源_01水果!$B721)&gt;$N$3),0,1))</f>
        <v>0</v>
      </c>
      <c r="P721" s="1" t="n">
        <f aca="false">IF(AND($K721=1,AND(对接源_01水果!$X721="公司筐",N(对接源_01水果!$T721)&lt;&gt;0)),1,0)</f>
        <v>0</v>
      </c>
      <c r="Q721" s="1" t="n">
        <f aca="false">N(Q720)+$P721</f>
        <v>3</v>
      </c>
      <c r="R721" s="1" t="n">
        <f aca="false">IF(AND($K721=1,AND(对接源_01水果!$X721="公司筐",N(对接源_01水果!$U721)&lt;&gt;0)),1,0)</f>
        <v>0</v>
      </c>
      <c r="S721" s="1" t="n">
        <f aca="false">N(S720)+$R721</f>
        <v>0</v>
      </c>
      <c r="T721" s="1" t="n">
        <f aca="false">IF(AND($K721=1,AND(对接源_01水果!$X721="公司筐",N(对接源_01水果!$V721)&lt;&gt;0)),1,0)</f>
        <v>0</v>
      </c>
      <c r="U721" s="1" t="n">
        <f aca="false">N(U720)+$T721</f>
        <v>28</v>
      </c>
      <c r="V721" s="1" t="n">
        <f aca="false">IF(AND($L721=1,AND(对接源_01水果!$X721="自备筐",N(对接源_01水果!$V721)&lt;&gt;0)),1,0)</f>
        <v>0</v>
      </c>
      <c r="W721" s="1" t="n">
        <f aca="false">N(W720)+$V721</f>
        <v>7</v>
      </c>
      <c r="X721" s="1" t="n">
        <f aca="false">IF(AND($L721=1,AND(对接源_01水果!$X721="自备筐",N(对接源_01水果!$T721)&lt;&gt;0)),1,0)</f>
        <v>0</v>
      </c>
      <c r="Y721" s="1" t="n">
        <f aca="false">N(Y720)+$X721</f>
        <v>0</v>
      </c>
      <c r="Z721" s="1" t="n">
        <f aca="false">IF(AND($M721=1,对接源_01水果!$D721="原料入库"),1,0)</f>
        <v>0</v>
      </c>
      <c r="AA721" s="1" t="n">
        <f aca="false">N(AA720)+$Z721</f>
        <v>30</v>
      </c>
      <c r="AB721" s="1" t="n">
        <f aca="false">IF(AND($M721=1,LEFT(对接源_01水果!$D721,4)="原料出库"),1,0)</f>
        <v>0</v>
      </c>
      <c r="AC721" s="1" t="n">
        <f aca="false">N(AC720)+$AB721</f>
        <v>19</v>
      </c>
      <c r="AD721" s="1" t="n">
        <f aca="false">IF(AND($M721=1,LEFT(对接源_01水果!$D721,4)="成品出库"),1,0)</f>
        <v>0</v>
      </c>
      <c r="AE721" s="1" t="n">
        <f aca="false">N(AE720)+$AD721</f>
        <v>38</v>
      </c>
      <c r="AF721" s="1" t="n">
        <f aca="false">IF(AND($N721=1,AND(LEFT(对接源_01水果!$D721,4)="包装物料",N(对接源_01水果!$K721)&lt;&gt;0)),1,0)</f>
        <v>0</v>
      </c>
      <c r="AG721" s="90" t="str">
        <f aca="false">IF(对接源_01水果!$AC721="","",对接源_01水果!$AC721)</f>
        <v/>
      </c>
      <c r="AH721" s="1" t="n">
        <f aca="false">IF(AND($N721=1,AND(LEFT(对接源_01水果!$D721,3)="周转筐",N(对接源_01水果!$K721)&lt;&gt;0)),1,0)</f>
        <v>0</v>
      </c>
      <c r="AI721" s="90" t="n">
        <f aca="false">IF(AG721="",0,IF(MATCH(AG721,$AG$4:$AG$1203,0)=ROW()-3,1,0))</f>
        <v>0</v>
      </c>
      <c r="AJ721" s="90" t="n">
        <f aca="false">N(AJ720)+AI721</f>
        <v>4</v>
      </c>
      <c r="AK721" s="1" t="n">
        <f aca="false">N(AK720)+$AJ721</f>
        <v>1744</v>
      </c>
    </row>
    <row r="722" customFormat="false" ht="13.5" hidden="false" customHeight="false" outlineLevel="0" collapsed="false">
      <c r="A722" s="1" t="str">
        <f aca="false">IF(对接源_01水果!$C722="","",对接源_01水果!$C722)</f>
        <v/>
      </c>
      <c r="B722" s="1" t="n">
        <f aca="false">IF(A722="",0,IF(MATCH(A722,$A$4:$A$2403,0)=ROW()-3,1,0))</f>
        <v>0</v>
      </c>
      <c r="C722" s="1" t="n">
        <f aca="false">N(C721)+B722</f>
        <v>13</v>
      </c>
      <c r="K722" s="1" t="n">
        <f aca="false">IF(OR($K$1="",对接源_01水果!$C722="",对接源_01水果!$C722&lt;&gt;$K$1,对接源_01水果!$B722=""),0,IF(OR(N(对接源_01水果!$B722)&lt;$K$2,N(对接源_01水果!$B722)&gt;$K$3),0,1))</f>
        <v>0</v>
      </c>
      <c r="L722" s="1" t="n">
        <f aca="false">IF(OR($L$1="",对接源_01水果!$C722="",对接源_01水果!$C722&lt;&gt;$L$1,对接源_01水果!$B722=""),0,IF(OR(N(对接源_01水果!$B722)&lt;$L$2,N(对接源_01水果!$B722)&gt;$L$3),0,1))</f>
        <v>0</v>
      </c>
      <c r="M722" s="1" t="n">
        <f aca="false">IF(OR($M$1="",对接源_01水果!$C722="",对接源_01水果!$C722&lt;&gt;$M$1,对接源_01水果!$B722=""),0,IF(OR(N(对接源_01水果!$B722)&lt;$M$2,N(对接源_01水果!$B722)&gt;$M$3),0,1))</f>
        <v>0</v>
      </c>
      <c r="N722" s="1" t="n">
        <f aca="false">IF(OR($N$1="",对接源_01水果!$C722="",对接源_01水果!$C722&lt;&gt;$N$1,对接源_01水果!$B722=""),0,IF(OR(N(对接源_01水果!$B722)&lt;$N$2,N(对接源_01水果!$B722)&gt;$N$3),0,1))</f>
        <v>0</v>
      </c>
      <c r="P722" s="1" t="n">
        <f aca="false">IF(AND($K722=1,AND(对接源_01水果!$X722="公司筐",N(对接源_01水果!$T722)&lt;&gt;0)),1,0)</f>
        <v>0</v>
      </c>
      <c r="Q722" s="1" t="n">
        <f aca="false">N(Q721)+$P722</f>
        <v>3</v>
      </c>
      <c r="R722" s="1" t="n">
        <f aca="false">IF(AND($K722=1,AND(对接源_01水果!$X722="公司筐",N(对接源_01水果!$U722)&lt;&gt;0)),1,0)</f>
        <v>0</v>
      </c>
      <c r="S722" s="1" t="n">
        <f aca="false">N(S721)+$R722</f>
        <v>0</v>
      </c>
      <c r="T722" s="1" t="n">
        <f aca="false">IF(AND($K722=1,AND(对接源_01水果!$X722="公司筐",N(对接源_01水果!$V722)&lt;&gt;0)),1,0)</f>
        <v>0</v>
      </c>
      <c r="U722" s="1" t="n">
        <f aca="false">N(U721)+$T722</f>
        <v>28</v>
      </c>
      <c r="V722" s="1" t="n">
        <f aca="false">IF(AND($L722=1,AND(对接源_01水果!$X722="自备筐",N(对接源_01水果!$V722)&lt;&gt;0)),1,0)</f>
        <v>0</v>
      </c>
      <c r="W722" s="1" t="n">
        <f aca="false">N(W721)+$V722</f>
        <v>7</v>
      </c>
      <c r="X722" s="1" t="n">
        <f aca="false">IF(AND($L722=1,AND(对接源_01水果!$X722="自备筐",N(对接源_01水果!$T722)&lt;&gt;0)),1,0)</f>
        <v>0</v>
      </c>
      <c r="Y722" s="1" t="n">
        <f aca="false">N(Y721)+$X722</f>
        <v>0</v>
      </c>
      <c r="Z722" s="1" t="n">
        <f aca="false">IF(AND($M722=1,对接源_01水果!$D722="原料入库"),1,0)</f>
        <v>0</v>
      </c>
      <c r="AA722" s="1" t="n">
        <f aca="false">N(AA721)+$Z722</f>
        <v>30</v>
      </c>
      <c r="AB722" s="1" t="n">
        <f aca="false">IF(AND($M722=1,LEFT(对接源_01水果!$D722,4)="原料出库"),1,0)</f>
        <v>0</v>
      </c>
      <c r="AC722" s="1" t="n">
        <f aca="false">N(AC721)+$AB722</f>
        <v>19</v>
      </c>
      <c r="AD722" s="1" t="n">
        <f aca="false">IF(AND($M722=1,LEFT(对接源_01水果!$D722,4)="成品出库"),1,0)</f>
        <v>0</v>
      </c>
      <c r="AE722" s="1" t="n">
        <f aca="false">N(AE721)+$AD722</f>
        <v>38</v>
      </c>
      <c r="AF722" s="1" t="n">
        <f aca="false">IF(AND($N722=1,AND(LEFT(对接源_01水果!$D722,4)="包装物料",N(对接源_01水果!$K722)&lt;&gt;0)),1,0)</f>
        <v>0</v>
      </c>
      <c r="AG722" s="90" t="str">
        <f aca="false">IF(对接源_01水果!$AC722="","",对接源_01水果!$AC722)</f>
        <v/>
      </c>
      <c r="AH722" s="1" t="n">
        <f aca="false">IF(AND($N722=1,AND(LEFT(对接源_01水果!$D722,3)="周转筐",N(对接源_01水果!$K722)&lt;&gt;0)),1,0)</f>
        <v>0</v>
      </c>
      <c r="AI722" s="90" t="n">
        <f aca="false">IF(AG722="",0,IF(MATCH(AG722,$AG$4:$AG$1203,0)=ROW()-3,1,0))</f>
        <v>0</v>
      </c>
      <c r="AJ722" s="90" t="n">
        <f aca="false">N(AJ721)+AI722</f>
        <v>4</v>
      </c>
      <c r="AK722" s="1" t="n">
        <f aca="false">N(AK721)+$AJ722</f>
        <v>1748</v>
      </c>
    </row>
    <row r="723" customFormat="false" ht="13.5" hidden="false" customHeight="false" outlineLevel="0" collapsed="false">
      <c r="A723" s="1" t="str">
        <f aca="false">IF(对接源_01水果!$C723="","",对接源_01水果!$C723)</f>
        <v/>
      </c>
      <c r="B723" s="1" t="n">
        <f aca="false">IF(A723="",0,IF(MATCH(A723,$A$4:$A$2403,0)=ROW()-3,1,0))</f>
        <v>0</v>
      </c>
      <c r="C723" s="1" t="n">
        <f aca="false">N(C722)+B723</f>
        <v>13</v>
      </c>
      <c r="K723" s="1" t="n">
        <f aca="false">IF(OR($K$1="",对接源_01水果!$C723="",对接源_01水果!$C723&lt;&gt;$K$1,对接源_01水果!$B723=""),0,IF(OR(N(对接源_01水果!$B723)&lt;$K$2,N(对接源_01水果!$B723)&gt;$K$3),0,1))</f>
        <v>0</v>
      </c>
      <c r="L723" s="1" t="n">
        <f aca="false">IF(OR($L$1="",对接源_01水果!$C723="",对接源_01水果!$C723&lt;&gt;$L$1,对接源_01水果!$B723=""),0,IF(OR(N(对接源_01水果!$B723)&lt;$L$2,N(对接源_01水果!$B723)&gt;$L$3),0,1))</f>
        <v>0</v>
      </c>
      <c r="M723" s="1" t="n">
        <f aca="false">IF(OR($M$1="",对接源_01水果!$C723="",对接源_01水果!$C723&lt;&gt;$M$1,对接源_01水果!$B723=""),0,IF(OR(N(对接源_01水果!$B723)&lt;$M$2,N(对接源_01水果!$B723)&gt;$M$3),0,1))</f>
        <v>0</v>
      </c>
      <c r="N723" s="1" t="n">
        <f aca="false">IF(OR($N$1="",对接源_01水果!$C723="",对接源_01水果!$C723&lt;&gt;$N$1,对接源_01水果!$B723=""),0,IF(OR(N(对接源_01水果!$B723)&lt;$N$2,N(对接源_01水果!$B723)&gt;$N$3),0,1))</f>
        <v>0</v>
      </c>
      <c r="P723" s="1" t="n">
        <f aca="false">IF(AND($K723=1,AND(对接源_01水果!$X723="公司筐",N(对接源_01水果!$T723)&lt;&gt;0)),1,0)</f>
        <v>0</v>
      </c>
      <c r="Q723" s="1" t="n">
        <f aca="false">N(Q722)+$P723</f>
        <v>3</v>
      </c>
      <c r="R723" s="1" t="n">
        <f aca="false">IF(AND($K723=1,AND(对接源_01水果!$X723="公司筐",N(对接源_01水果!$U723)&lt;&gt;0)),1,0)</f>
        <v>0</v>
      </c>
      <c r="S723" s="1" t="n">
        <f aca="false">N(S722)+$R723</f>
        <v>0</v>
      </c>
      <c r="T723" s="1" t="n">
        <f aca="false">IF(AND($K723=1,AND(对接源_01水果!$X723="公司筐",N(对接源_01水果!$V723)&lt;&gt;0)),1,0)</f>
        <v>0</v>
      </c>
      <c r="U723" s="1" t="n">
        <f aca="false">N(U722)+$T723</f>
        <v>28</v>
      </c>
      <c r="V723" s="1" t="n">
        <f aca="false">IF(AND($L723=1,AND(对接源_01水果!$X723="自备筐",N(对接源_01水果!$V723)&lt;&gt;0)),1,0)</f>
        <v>0</v>
      </c>
      <c r="W723" s="1" t="n">
        <f aca="false">N(W722)+$V723</f>
        <v>7</v>
      </c>
      <c r="X723" s="1" t="n">
        <f aca="false">IF(AND($L723=1,AND(对接源_01水果!$X723="自备筐",N(对接源_01水果!$T723)&lt;&gt;0)),1,0)</f>
        <v>0</v>
      </c>
      <c r="Y723" s="1" t="n">
        <f aca="false">N(Y722)+$X723</f>
        <v>0</v>
      </c>
      <c r="Z723" s="1" t="n">
        <f aca="false">IF(AND($M723=1,对接源_01水果!$D723="原料入库"),1,0)</f>
        <v>0</v>
      </c>
      <c r="AA723" s="1" t="n">
        <f aca="false">N(AA722)+$Z723</f>
        <v>30</v>
      </c>
      <c r="AB723" s="1" t="n">
        <f aca="false">IF(AND($M723=1,LEFT(对接源_01水果!$D723,4)="原料出库"),1,0)</f>
        <v>0</v>
      </c>
      <c r="AC723" s="1" t="n">
        <f aca="false">N(AC722)+$AB723</f>
        <v>19</v>
      </c>
      <c r="AD723" s="1" t="n">
        <f aca="false">IF(AND($M723=1,LEFT(对接源_01水果!$D723,4)="成品出库"),1,0)</f>
        <v>0</v>
      </c>
      <c r="AE723" s="1" t="n">
        <f aca="false">N(AE722)+$AD723</f>
        <v>38</v>
      </c>
      <c r="AF723" s="1" t="n">
        <f aca="false">IF(AND($N723=1,AND(LEFT(对接源_01水果!$D723,4)="包装物料",N(对接源_01水果!$K723)&lt;&gt;0)),1,0)</f>
        <v>0</v>
      </c>
      <c r="AG723" s="90" t="str">
        <f aca="false">IF(对接源_01水果!$AC723="","",对接源_01水果!$AC723)</f>
        <v/>
      </c>
      <c r="AH723" s="1" t="n">
        <f aca="false">IF(AND($N723=1,AND(LEFT(对接源_01水果!$D723,3)="周转筐",N(对接源_01水果!$K723)&lt;&gt;0)),1,0)</f>
        <v>0</v>
      </c>
      <c r="AI723" s="90" t="n">
        <f aca="false">IF(AG723="",0,IF(MATCH(AG723,$AG$4:$AG$1203,0)=ROW()-3,1,0))</f>
        <v>0</v>
      </c>
      <c r="AJ723" s="90" t="n">
        <f aca="false">N(AJ722)+AI723</f>
        <v>4</v>
      </c>
      <c r="AK723" s="1" t="n">
        <f aca="false">N(AK722)+$AJ723</f>
        <v>1752</v>
      </c>
    </row>
    <row r="724" customFormat="false" ht="13.5" hidden="false" customHeight="false" outlineLevel="0" collapsed="false">
      <c r="A724" s="1" t="str">
        <f aca="false">IF(对接源_01水果!$C724="","",对接源_01水果!$C724)</f>
        <v/>
      </c>
      <c r="B724" s="1" t="n">
        <f aca="false">IF(A724="",0,IF(MATCH(A724,$A$4:$A$2403,0)=ROW()-3,1,0))</f>
        <v>0</v>
      </c>
      <c r="C724" s="1" t="n">
        <f aca="false">N(C723)+B724</f>
        <v>13</v>
      </c>
      <c r="K724" s="1" t="n">
        <f aca="false">IF(OR($K$1="",对接源_01水果!$C724="",对接源_01水果!$C724&lt;&gt;$K$1,对接源_01水果!$B724=""),0,IF(OR(N(对接源_01水果!$B724)&lt;$K$2,N(对接源_01水果!$B724)&gt;$K$3),0,1))</f>
        <v>0</v>
      </c>
      <c r="L724" s="1" t="n">
        <f aca="false">IF(OR($L$1="",对接源_01水果!$C724="",对接源_01水果!$C724&lt;&gt;$L$1,对接源_01水果!$B724=""),0,IF(OR(N(对接源_01水果!$B724)&lt;$L$2,N(对接源_01水果!$B724)&gt;$L$3),0,1))</f>
        <v>0</v>
      </c>
      <c r="M724" s="1" t="n">
        <f aca="false">IF(OR($M$1="",对接源_01水果!$C724="",对接源_01水果!$C724&lt;&gt;$M$1,对接源_01水果!$B724=""),0,IF(OR(N(对接源_01水果!$B724)&lt;$M$2,N(对接源_01水果!$B724)&gt;$M$3),0,1))</f>
        <v>0</v>
      </c>
      <c r="N724" s="1" t="n">
        <f aca="false">IF(OR($N$1="",对接源_01水果!$C724="",对接源_01水果!$C724&lt;&gt;$N$1,对接源_01水果!$B724=""),0,IF(OR(N(对接源_01水果!$B724)&lt;$N$2,N(对接源_01水果!$B724)&gt;$N$3),0,1))</f>
        <v>0</v>
      </c>
      <c r="P724" s="1" t="n">
        <f aca="false">IF(AND($K724=1,AND(对接源_01水果!$X724="公司筐",N(对接源_01水果!$T724)&lt;&gt;0)),1,0)</f>
        <v>0</v>
      </c>
      <c r="Q724" s="1" t="n">
        <f aca="false">N(Q723)+$P724</f>
        <v>3</v>
      </c>
      <c r="R724" s="1" t="n">
        <f aca="false">IF(AND($K724=1,AND(对接源_01水果!$X724="公司筐",N(对接源_01水果!$U724)&lt;&gt;0)),1,0)</f>
        <v>0</v>
      </c>
      <c r="S724" s="1" t="n">
        <f aca="false">N(S723)+$R724</f>
        <v>0</v>
      </c>
      <c r="T724" s="1" t="n">
        <f aca="false">IF(AND($K724=1,AND(对接源_01水果!$X724="公司筐",N(对接源_01水果!$V724)&lt;&gt;0)),1,0)</f>
        <v>0</v>
      </c>
      <c r="U724" s="1" t="n">
        <f aca="false">N(U723)+$T724</f>
        <v>28</v>
      </c>
      <c r="V724" s="1" t="n">
        <f aca="false">IF(AND($L724=1,AND(对接源_01水果!$X724="自备筐",N(对接源_01水果!$V724)&lt;&gt;0)),1,0)</f>
        <v>0</v>
      </c>
      <c r="W724" s="1" t="n">
        <f aca="false">N(W723)+$V724</f>
        <v>7</v>
      </c>
      <c r="X724" s="1" t="n">
        <f aca="false">IF(AND($L724=1,AND(对接源_01水果!$X724="自备筐",N(对接源_01水果!$T724)&lt;&gt;0)),1,0)</f>
        <v>0</v>
      </c>
      <c r="Y724" s="1" t="n">
        <f aca="false">N(Y723)+$X724</f>
        <v>0</v>
      </c>
      <c r="Z724" s="1" t="n">
        <f aca="false">IF(AND($M724=1,对接源_01水果!$D724="原料入库"),1,0)</f>
        <v>0</v>
      </c>
      <c r="AA724" s="1" t="n">
        <f aca="false">N(AA723)+$Z724</f>
        <v>30</v>
      </c>
      <c r="AB724" s="1" t="n">
        <f aca="false">IF(AND($M724=1,LEFT(对接源_01水果!$D724,4)="原料出库"),1,0)</f>
        <v>0</v>
      </c>
      <c r="AC724" s="1" t="n">
        <f aca="false">N(AC723)+$AB724</f>
        <v>19</v>
      </c>
      <c r="AD724" s="1" t="n">
        <f aca="false">IF(AND($M724=1,LEFT(对接源_01水果!$D724,4)="成品出库"),1,0)</f>
        <v>0</v>
      </c>
      <c r="AE724" s="1" t="n">
        <f aca="false">N(AE723)+$AD724</f>
        <v>38</v>
      </c>
      <c r="AF724" s="1" t="n">
        <f aca="false">IF(AND($N724=1,AND(LEFT(对接源_01水果!$D724,4)="包装物料",N(对接源_01水果!$K724)&lt;&gt;0)),1,0)</f>
        <v>0</v>
      </c>
      <c r="AG724" s="90" t="str">
        <f aca="false">IF(对接源_01水果!$AC724="","",对接源_01水果!$AC724)</f>
        <v/>
      </c>
      <c r="AH724" s="1" t="n">
        <f aca="false">IF(AND($N724=1,AND(LEFT(对接源_01水果!$D724,3)="周转筐",N(对接源_01水果!$K724)&lt;&gt;0)),1,0)</f>
        <v>0</v>
      </c>
      <c r="AI724" s="90" t="n">
        <f aca="false">IF(AG724="",0,IF(MATCH(AG724,$AG$4:$AG$1203,0)=ROW()-3,1,0))</f>
        <v>0</v>
      </c>
      <c r="AJ724" s="90" t="n">
        <f aca="false">N(AJ723)+AI724</f>
        <v>4</v>
      </c>
      <c r="AK724" s="1" t="n">
        <f aca="false">N(AK723)+$AJ724</f>
        <v>1756</v>
      </c>
    </row>
    <row r="725" customFormat="false" ht="13.5" hidden="false" customHeight="false" outlineLevel="0" collapsed="false">
      <c r="A725" s="1" t="str">
        <f aca="false">IF(对接源_01水果!$C725="","",对接源_01水果!$C725)</f>
        <v/>
      </c>
      <c r="B725" s="1" t="n">
        <f aca="false">IF(A725="",0,IF(MATCH(A725,$A$4:$A$2403,0)=ROW()-3,1,0))</f>
        <v>0</v>
      </c>
      <c r="C725" s="1" t="n">
        <f aca="false">N(C724)+B725</f>
        <v>13</v>
      </c>
      <c r="K725" s="1" t="n">
        <f aca="false">IF(OR($K$1="",对接源_01水果!$C725="",对接源_01水果!$C725&lt;&gt;$K$1,对接源_01水果!$B725=""),0,IF(OR(N(对接源_01水果!$B725)&lt;$K$2,N(对接源_01水果!$B725)&gt;$K$3),0,1))</f>
        <v>0</v>
      </c>
      <c r="L725" s="1" t="n">
        <f aca="false">IF(OR($L$1="",对接源_01水果!$C725="",对接源_01水果!$C725&lt;&gt;$L$1,对接源_01水果!$B725=""),0,IF(OR(N(对接源_01水果!$B725)&lt;$L$2,N(对接源_01水果!$B725)&gt;$L$3),0,1))</f>
        <v>0</v>
      </c>
      <c r="M725" s="1" t="n">
        <f aca="false">IF(OR($M$1="",对接源_01水果!$C725="",对接源_01水果!$C725&lt;&gt;$M$1,对接源_01水果!$B725=""),0,IF(OR(N(对接源_01水果!$B725)&lt;$M$2,N(对接源_01水果!$B725)&gt;$M$3),0,1))</f>
        <v>0</v>
      </c>
      <c r="N725" s="1" t="n">
        <f aca="false">IF(OR($N$1="",对接源_01水果!$C725="",对接源_01水果!$C725&lt;&gt;$N$1,对接源_01水果!$B725=""),0,IF(OR(N(对接源_01水果!$B725)&lt;$N$2,N(对接源_01水果!$B725)&gt;$N$3),0,1))</f>
        <v>0</v>
      </c>
      <c r="P725" s="1" t="n">
        <f aca="false">IF(AND($K725=1,AND(对接源_01水果!$X725="公司筐",N(对接源_01水果!$T725)&lt;&gt;0)),1,0)</f>
        <v>0</v>
      </c>
      <c r="Q725" s="1" t="n">
        <f aca="false">N(Q724)+$P725</f>
        <v>3</v>
      </c>
      <c r="R725" s="1" t="n">
        <f aca="false">IF(AND($K725=1,AND(对接源_01水果!$X725="公司筐",N(对接源_01水果!$U725)&lt;&gt;0)),1,0)</f>
        <v>0</v>
      </c>
      <c r="S725" s="1" t="n">
        <f aca="false">N(S724)+$R725</f>
        <v>0</v>
      </c>
      <c r="T725" s="1" t="n">
        <f aca="false">IF(AND($K725=1,AND(对接源_01水果!$X725="公司筐",N(对接源_01水果!$V725)&lt;&gt;0)),1,0)</f>
        <v>0</v>
      </c>
      <c r="U725" s="1" t="n">
        <f aca="false">N(U724)+$T725</f>
        <v>28</v>
      </c>
      <c r="V725" s="1" t="n">
        <f aca="false">IF(AND($L725=1,AND(对接源_01水果!$X725="自备筐",N(对接源_01水果!$V725)&lt;&gt;0)),1,0)</f>
        <v>0</v>
      </c>
      <c r="W725" s="1" t="n">
        <f aca="false">N(W724)+$V725</f>
        <v>7</v>
      </c>
      <c r="X725" s="1" t="n">
        <f aca="false">IF(AND($L725=1,AND(对接源_01水果!$X725="自备筐",N(对接源_01水果!$T725)&lt;&gt;0)),1,0)</f>
        <v>0</v>
      </c>
      <c r="Y725" s="1" t="n">
        <f aca="false">N(Y724)+$X725</f>
        <v>0</v>
      </c>
      <c r="Z725" s="1" t="n">
        <f aca="false">IF(AND($M725=1,对接源_01水果!$D725="原料入库"),1,0)</f>
        <v>0</v>
      </c>
      <c r="AA725" s="1" t="n">
        <f aca="false">N(AA724)+$Z725</f>
        <v>30</v>
      </c>
      <c r="AB725" s="1" t="n">
        <f aca="false">IF(AND($M725=1,LEFT(对接源_01水果!$D725,4)="原料出库"),1,0)</f>
        <v>0</v>
      </c>
      <c r="AC725" s="1" t="n">
        <f aca="false">N(AC724)+$AB725</f>
        <v>19</v>
      </c>
      <c r="AD725" s="1" t="n">
        <f aca="false">IF(AND($M725=1,LEFT(对接源_01水果!$D725,4)="成品出库"),1,0)</f>
        <v>0</v>
      </c>
      <c r="AE725" s="1" t="n">
        <f aca="false">N(AE724)+$AD725</f>
        <v>38</v>
      </c>
      <c r="AF725" s="1" t="n">
        <f aca="false">IF(AND($N725=1,AND(LEFT(对接源_01水果!$D725,4)="包装物料",N(对接源_01水果!$K725)&lt;&gt;0)),1,0)</f>
        <v>0</v>
      </c>
      <c r="AG725" s="90" t="str">
        <f aca="false">IF(对接源_01水果!$AC725="","",对接源_01水果!$AC725)</f>
        <v/>
      </c>
      <c r="AH725" s="1" t="n">
        <f aca="false">IF(AND($N725=1,AND(LEFT(对接源_01水果!$D725,3)="周转筐",N(对接源_01水果!$K725)&lt;&gt;0)),1,0)</f>
        <v>0</v>
      </c>
      <c r="AI725" s="90" t="n">
        <f aca="false">IF(AG725="",0,IF(MATCH(AG725,$AG$4:$AG$1203,0)=ROW()-3,1,0))</f>
        <v>0</v>
      </c>
      <c r="AJ725" s="90" t="n">
        <f aca="false">N(AJ724)+AI725</f>
        <v>4</v>
      </c>
      <c r="AK725" s="1" t="n">
        <f aca="false">N(AK724)+$AJ725</f>
        <v>1760</v>
      </c>
    </row>
    <row r="726" customFormat="false" ht="13.5" hidden="false" customHeight="false" outlineLevel="0" collapsed="false">
      <c r="A726" s="1" t="str">
        <f aca="false">IF(对接源_01水果!$C726="","",对接源_01水果!$C726)</f>
        <v/>
      </c>
      <c r="B726" s="1" t="n">
        <f aca="false">IF(A726="",0,IF(MATCH(A726,$A$4:$A$2403,0)=ROW()-3,1,0))</f>
        <v>0</v>
      </c>
      <c r="C726" s="1" t="n">
        <f aca="false">N(C725)+B726</f>
        <v>13</v>
      </c>
      <c r="K726" s="1" t="n">
        <f aca="false">IF(OR($K$1="",对接源_01水果!$C726="",对接源_01水果!$C726&lt;&gt;$K$1,对接源_01水果!$B726=""),0,IF(OR(N(对接源_01水果!$B726)&lt;$K$2,N(对接源_01水果!$B726)&gt;$K$3),0,1))</f>
        <v>0</v>
      </c>
      <c r="L726" s="1" t="n">
        <f aca="false">IF(OR($L$1="",对接源_01水果!$C726="",对接源_01水果!$C726&lt;&gt;$L$1,对接源_01水果!$B726=""),0,IF(OR(N(对接源_01水果!$B726)&lt;$L$2,N(对接源_01水果!$B726)&gt;$L$3),0,1))</f>
        <v>0</v>
      </c>
      <c r="M726" s="1" t="n">
        <f aca="false">IF(OR($M$1="",对接源_01水果!$C726="",对接源_01水果!$C726&lt;&gt;$M$1,对接源_01水果!$B726=""),0,IF(OR(N(对接源_01水果!$B726)&lt;$M$2,N(对接源_01水果!$B726)&gt;$M$3),0,1))</f>
        <v>0</v>
      </c>
      <c r="N726" s="1" t="n">
        <f aca="false">IF(OR($N$1="",对接源_01水果!$C726="",对接源_01水果!$C726&lt;&gt;$N$1,对接源_01水果!$B726=""),0,IF(OR(N(对接源_01水果!$B726)&lt;$N$2,N(对接源_01水果!$B726)&gt;$N$3),0,1))</f>
        <v>0</v>
      </c>
      <c r="P726" s="1" t="n">
        <f aca="false">IF(AND($K726=1,AND(对接源_01水果!$X726="公司筐",N(对接源_01水果!$T726)&lt;&gt;0)),1,0)</f>
        <v>0</v>
      </c>
      <c r="Q726" s="1" t="n">
        <f aca="false">N(Q725)+$P726</f>
        <v>3</v>
      </c>
      <c r="R726" s="1" t="n">
        <f aca="false">IF(AND($K726=1,AND(对接源_01水果!$X726="公司筐",N(对接源_01水果!$U726)&lt;&gt;0)),1,0)</f>
        <v>0</v>
      </c>
      <c r="S726" s="1" t="n">
        <f aca="false">N(S725)+$R726</f>
        <v>0</v>
      </c>
      <c r="T726" s="1" t="n">
        <f aca="false">IF(AND($K726=1,AND(对接源_01水果!$X726="公司筐",N(对接源_01水果!$V726)&lt;&gt;0)),1,0)</f>
        <v>0</v>
      </c>
      <c r="U726" s="1" t="n">
        <f aca="false">N(U725)+$T726</f>
        <v>28</v>
      </c>
      <c r="V726" s="1" t="n">
        <f aca="false">IF(AND($L726=1,AND(对接源_01水果!$X726="自备筐",N(对接源_01水果!$V726)&lt;&gt;0)),1,0)</f>
        <v>0</v>
      </c>
      <c r="W726" s="1" t="n">
        <f aca="false">N(W725)+$V726</f>
        <v>7</v>
      </c>
      <c r="X726" s="1" t="n">
        <f aca="false">IF(AND($L726=1,AND(对接源_01水果!$X726="自备筐",N(对接源_01水果!$T726)&lt;&gt;0)),1,0)</f>
        <v>0</v>
      </c>
      <c r="Y726" s="1" t="n">
        <f aca="false">N(Y725)+$X726</f>
        <v>0</v>
      </c>
      <c r="Z726" s="1" t="n">
        <f aca="false">IF(AND($M726=1,对接源_01水果!$D726="原料入库"),1,0)</f>
        <v>0</v>
      </c>
      <c r="AA726" s="1" t="n">
        <f aca="false">N(AA725)+$Z726</f>
        <v>30</v>
      </c>
      <c r="AB726" s="1" t="n">
        <f aca="false">IF(AND($M726=1,LEFT(对接源_01水果!$D726,4)="原料出库"),1,0)</f>
        <v>0</v>
      </c>
      <c r="AC726" s="1" t="n">
        <f aca="false">N(AC725)+$AB726</f>
        <v>19</v>
      </c>
      <c r="AD726" s="1" t="n">
        <f aca="false">IF(AND($M726=1,LEFT(对接源_01水果!$D726,4)="成品出库"),1,0)</f>
        <v>0</v>
      </c>
      <c r="AE726" s="1" t="n">
        <f aca="false">N(AE725)+$AD726</f>
        <v>38</v>
      </c>
      <c r="AF726" s="1" t="n">
        <f aca="false">IF(AND($N726=1,AND(LEFT(对接源_01水果!$D726,4)="包装物料",N(对接源_01水果!$K726)&lt;&gt;0)),1,0)</f>
        <v>0</v>
      </c>
      <c r="AG726" s="90" t="str">
        <f aca="false">IF(对接源_01水果!$AC726="","",对接源_01水果!$AC726)</f>
        <v/>
      </c>
      <c r="AH726" s="1" t="n">
        <f aca="false">IF(AND($N726=1,AND(LEFT(对接源_01水果!$D726,3)="周转筐",N(对接源_01水果!$K726)&lt;&gt;0)),1,0)</f>
        <v>0</v>
      </c>
      <c r="AI726" s="90" t="n">
        <f aca="false">IF(AG726="",0,IF(MATCH(AG726,$AG$4:$AG$1203,0)=ROW()-3,1,0))</f>
        <v>0</v>
      </c>
      <c r="AJ726" s="90" t="n">
        <f aca="false">N(AJ725)+AI726</f>
        <v>4</v>
      </c>
      <c r="AK726" s="1" t="n">
        <f aca="false">N(AK725)+$AJ726</f>
        <v>1764</v>
      </c>
    </row>
    <row r="727" customFormat="false" ht="13.5" hidden="false" customHeight="false" outlineLevel="0" collapsed="false">
      <c r="A727" s="1" t="str">
        <f aca="false">IF(对接源_01水果!$C727="","",对接源_01水果!$C727)</f>
        <v/>
      </c>
      <c r="B727" s="1" t="n">
        <f aca="false">IF(A727="",0,IF(MATCH(A727,$A$4:$A$2403,0)=ROW()-3,1,0))</f>
        <v>0</v>
      </c>
      <c r="C727" s="1" t="n">
        <f aca="false">N(C726)+B727</f>
        <v>13</v>
      </c>
      <c r="K727" s="1" t="n">
        <f aca="false">IF(OR($K$1="",对接源_01水果!$C727="",对接源_01水果!$C727&lt;&gt;$K$1,对接源_01水果!$B727=""),0,IF(OR(N(对接源_01水果!$B727)&lt;$K$2,N(对接源_01水果!$B727)&gt;$K$3),0,1))</f>
        <v>0</v>
      </c>
      <c r="L727" s="1" t="n">
        <f aca="false">IF(OR($L$1="",对接源_01水果!$C727="",对接源_01水果!$C727&lt;&gt;$L$1,对接源_01水果!$B727=""),0,IF(OR(N(对接源_01水果!$B727)&lt;$L$2,N(对接源_01水果!$B727)&gt;$L$3),0,1))</f>
        <v>0</v>
      </c>
      <c r="M727" s="1" t="n">
        <f aca="false">IF(OR($M$1="",对接源_01水果!$C727="",对接源_01水果!$C727&lt;&gt;$M$1,对接源_01水果!$B727=""),0,IF(OR(N(对接源_01水果!$B727)&lt;$M$2,N(对接源_01水果!$B727)&gt;$M$3),0,1))</f>
        <v>0</v>
      </c>
      <c r="N727" s="1" t="n">
        <f aca="false">IF(OR($N$1="",对接源_01水果!$C727="",对接源_01水果!$C727&lt;&gt;$N$1,对接源_01水果!$B727=""),0,IF(OR(N(对接源_01水果!$B727)&lt;$N$2,N(对接源_01水果!$B727)&gt;$N$3),0,1))</f>
        <v>0</v>
      </c>
      <c r="P727" s="1" t="n">
        <f aca="false">IF(AND($K727=1,AND(对接源_01水果!$X727="公司筐",N(对接源_01水果!$T727)&lt;&gt;0)),1,0)</f>
        <v>0</v>
      </c>
      <c r="Q727" s="1" t="n">
        <f aca="false">N(Q726)+$P727</f>
        <v>3</v>
      </c>
      <c r="R727" s="1" t="n">
        <f aca="false">IF(AND($K727=1,AND(对接源_01水果!$X727="公司筐",N(对接源_01水果!$U727)&lt;&gt;0)),1,0)</f>
        <v>0</v>
      </c>
      <c r="S727" s="1" t="n">
        <f aca="false">N(S726)+$R727</f>
        <v>0</v>
      </c>
      <c r="T727" s="1" t="n">
        <f aca="false">IF(AND($K727=1,AND(对接源_01水果!$X727="公司筐",N(对接源_01水果!$V727)&lt;&gt;0)),1,0)</f>
        <v>0</v>
      </c>
      <c r="U727" s="1" t="n">
        <f aca="false">N(U726)+$T727</f>
        <v>28</v>
      </c>
      <c r="V727" s="1" t="n">
        <f aca="false">IF(AND($L727=1,AND(对接源_01水果!$X727="自备筐",N(对接源_01水果!$V727)&lt;&gt;0)),1,0)</f>
        <v>0</v>
      </c>
      <c r="W727" s="1" t="n">
        <f aca="false">N(W726)+$V727</f>
        <v>7</v>
      </c>
      <c r="X727" s="1" t="n">
        <f aca="false">IF(AND($L727=1,AND(对接源_01水果!$X727="自备筐",N(对接源_01水果!$T727)&lt;&gt;0)),1,0)</f>
        <v>0</v>
      </c>
      <c r="Y727" s="1" t="n">
        <f aca="false">N(Y726)+$X727</f>
        <v>0</v>
      </c>
      <c r="Z727" s="1" t="n">
        <f aca="false">IF(AND($M727=1,对接源_01水果!$D727="原料入库"),1,0)</f>
        <v>0</v>
      </c>
      <c r="AA727" s="1" t="n">
        <f aca="false">N(AA726)+$Z727</f>
        <v>30</v>
      </c>
      <c r="AB727" s="1" t="n">
        <f aca="false">IF(AND($M727=1,LEFT(对接源_01水果!$D727,4)="原料出库"),1,0)</f>
        <v>0</v>
      </c>
      <c r="AC727" s="1" t="n">
        <f aca="false">N(AC726)+$AB727</f>
        <v>19</v>
      </c>
      <c r="AD727" s="1" t="n">
        <f aca="false">IF(AND($M727=1,LEFT(对接源_01水果!$D727,4)="成品出库"),1,0)</f>
        <v>0</v>
      </c>
      <c r="AE727" s="1" t="n">
        <f aca="false">N(AE726)+$AD727</f>
        <v>38</v>
      </c>
      <c r="AF727" s="1" t="n">
        <f aca="false">IF(AND($N727=1,AND(LEFT(对接源_01水果!$D727,4)="包装物料",N(对接源_01水果!$K727)&lt;&gt;0)),1,0)</f>
        <v>0</v>
      </c>
      <c r="AG727" s="90" t="str">
        <f aca="false">IF(对接源_01水果!$AC727="","",对接源_01水果!$AC727)</f>
        <v/>
      </c>
      <c r="AH727" s="1" t="n">
        <f aca="false">IF(AND($N727=1,AND(LEFT(对接源_01水果!$D727,3)="周转筐",N(对接源_01水果!$K727)&lt;&gt;0)),1,0)</f>
        <v>0</v>
      </c>
      <c r="AI727" s="90" t="n">
        <f aca="false">IF(AG727="",0,IF(MATCH(AG727,$AG$4:$AG$1203,0)=ROW()-3,1,0))</f>
        <v>0</v>
      </c>
      <c r="AJ727" s="90" t="n">
        <f aca="false">N(AJ726)+AI727</f>
        <v>4</v>
      </c>
      <c r="AK727" s="1" t="n">
        <f aca="false">N(AK726)+$AJ727</f>
        <v>1768</v>
      </c>
    </row>
    <row r="728" customFormat="false" ht="13.5" hidden="false" customHeight="false" outlineLevel="0" collapsed="false">
      <c r="A728" s="1" t="str">
        <f aca="false">IF(对接源_01水果!$C728="","",对接源_01水果!$C728)</f>
        <v/>
      </c>
      <c r="B728" s="1" t="n">
        <f aca="false">IF(A728="",0,IF(MATCH(A728,$A$4:$A$2403,0)=ROW()-3,1,0))</f>
        <v>0</v>
      </c>
      <c r="C728" s="1" t="n">
        <f aca="false">N(C727)+B728</f>
        <v>13</v>
      </c>
      <c r="K728" s="1" t="n">
        <f aca="false">IF(OR($K$1="",对接源_01水果!$C728="",对接源_01水果!$C728&lt;&gt;$K$1,对接源_01水果!$B728=""),0,IF(OR(N(对接源_01水果!$B728)&lt;$K$2,N(对接源_01水果!$B728)&gt;$K$3),0,1))</f>
        <v>0</v>
      </c>
      <c r="L728" s="1" t="n">
        <f aca="false">IF(OR($L$1="",对接源_01水果!$C728="",对接源_01水果!$C728&lt;&gt;$L$1,对接源_01水果!$B728=""),0,IF(OR(N(对接源_01水果!$B728)&lt;$L$2,N(对接源_01水果!$B728)&gt;$L$3),0,1))</f>
        <v>0</v>
      </c>
      <c r="M728" s="1" t="n">
        <f aca="false">IF(OR($M$1="",对接源_01水果!$C728="",对接源_01水果!$C728&lt;&gt;$M$1,对接源_01水果!$B728=""),0,IF(OR(N(对接源_01水果!$B728)&lt;$M$2,N(对接源_01水果!$B728)&gt;$M$3),0,1))</f>
        <v>0</v>
      </c>
      <c r="N728" s="1" t="n">
        <f aca="false">IF(OR($N$1="",对接源_01水果!$C728="",对接源_01水果!$C728&lt;&gt;$N$1,对接源_01水果!$B728=""),0,IF(OR(N(对接源_01水果!$B728)&lt;$N$2,N(对接源_01水果!$B728)&gt;$N$3),0,1))</f>
        <v>0</v>
      </c>
      <c r="P728" s="1" t="n">
        <f aca="false">IF(AND($K728=1,AND(对接源_01水果!$X728="公司筐",N(对接源_01水果!$T728)&lt;&gt;0)),1,0)</f>
        <v>0</v>
      </c>
      <c r="Q728" s="1" t="n">
        <f aca="false">N(Q727)+$P728</f>
        <v>3</v>
      </c>
      <c r="R728" s="1" t="n">
        <f aca="false">IF(AND($K728=1,AND(对接源_01水果!$X728="公司筐",N(对接源_01水果!$U728)&lt;&gt;0)),1,0)</f>
        <v>0</v>
      </c>
      <c r="S728" s="1" t="n">
        <f aca="false">N(S727)+$R728</f>
        <v>0</v>
      </c>
      <c r="T728" s="1" t="n">
        <f aca="false">IF(AND($K728=1,AND(对接源_01水果!$X728="公司筐",N(对接源_01水果!$V728)&lt;&gt;0)),1,0)</f>
        <v>0</v>
      </c>
      <c r="U728" s="1" t="n">
        <f aca="false">N(U727)+$T728</f>
        <v>28</v>
      </c>
      <c r="V728" s="1" t="n">
        <f aca="false">IF(AND($L728=1,AND(对接源_01水果!$X728="自备筐",N(对接源_01水果!$V728)&lt;&gt;0)),1,0)</f>
        <v>0</v>
      </c>
      <c r="W728" s="1" t="n">
        <f aca="false">N(W727)+$V728</f>
        <v>7</v>
      </c>
      <c r="X728" s="1" t="n">
        <f aca="false">IF(AND($L728=1,AND(对接源_01水果!$X728="自备筐",N(对接源_01水果!$T728)&lt;&gt;0)),1,0)</f>
        <v>0</v>
      </c>
      <c r="Y728" s="1" t="n">
        <f aca="false">N(Y727)+$X728</f>
        <v>0</v>
      </c>
      <c r="Z728" s="1" t="n">
        <f aca="false">IF(AND($M728=1,对接源_01水果!$D728="原料入库"),1,0)</f>
        <v>0</v>
      </c>
      <c r="AA728" s="1" t="n">
        <f aca="false">N(AA727)+$Z728</f>
        <v>30</v>
      </c>
      <c r="AB728" s="1" t="n">
        <f aca="false">IF(AND($M728=1,LEFT(对接源_01水果!$D728,4)="原料出库"),1,0)</f>
        <v>0</v>
      </c>
      <c r="AC728" s="1" t="n">
        <f aca="false">N(AC727)+$AB728</f>
        <v>19</v>
      </c>
      <c r="AD728" s="1" t="n">
        <f aca="false">IF(AND($M728=1,LEFT(对接源_01水果!$D728,4)="成品出库"),1,0)</f>
        <v>0</v>
      </c>
      <c r="AE728" s="1" t="n">
        <f aca="false">N(AE727)+$AD728</f>
        <v>38</v>
      </c>
      <c r="AF728" s="1" t="n">
        <f aca="false">IF(AND($N728=1,AND(LEFT(对接源_01水果!$D728,4)="包装物料",N(对接源_01水果!$K728)&lt;&gt;0)),1,0)</f>
        <v>0</v>
      </c>
      <c r="AG728" s="90" t="str">
        <f aca="false">IF(对接源_01水果!$AC728="","",对接源_01水果!$AC728)</f>
        <v/>
      </c>
      <c r="AH728" s="1" t="n">
        <f aca="false">IF(AND($N728=1,AND(LEFT(对接源_01水果!$D728,3)="周转筐",N(对接源_01水果!$K728)&lt;&gt;0)),1,0)</f>
        <v>0</v>
      </c>
      <c r="AI728" s="90" t="n">
        <f aca="false">IF(AG728="",0,IF(MATCH(AG728,$AG$4:$AG$1203,0)=ROW()-3,1,0))</f>
        <v>0</v>
      </c>
      <c r="AJ728" s="90" t="n">
        <f aca="false">N(AJ727)+AI728</f>
        <v>4</v>
      </c>
      <c r="AK728" s="1" t="n">
        <f aca="false">N(AK727)+$AJ728</f>
        <v>1772</v>
      </c>
    </row>
    <row r="729" customFormat="false" ht="13.5" hidden="false" customHeight="false" outlineLevel="0" collapsed="false">
      <c r="A729" s="1" t="str">
        <f aca="false">IF(对接源_01水果!$C729="","",对接源_01水果!$C729)</f>
        <v/>
      </c>
      <c r="B729" s="1" t="n">
        <f aca="false">IF(A729="",0,IF(MATCH(A729,$A$4:$A$2403,0)=ROW()-3,1,0))</f>
        <v>0</v>
      </c>
      <c r="C729" s="1" t="n">
        <f aca="false">N(C728)+B729</f>
        <v>13</v>
      </c>
      <c r="K729" s="1" t="n">
        <f aca="false">IF(OR($K$1="",对接源_01水果!$C729="",对接源_01水果!$C729&lt;&gt;$K$1,对接源_01水果!$B729=""),0,IF(OR(N(对接源_01水果!$B729)&lt;$K$2,N(对接源_01水果!$B729)&gt;$K$3),0,1))</f>
        <v>0</v>
      </c>
      <c r="L729" s="1" t="n">
        <f aca="false">IF(OR($L$1="",对接源_01水果!$C729="",对接源_01水果!$C729&lt;&gt;$L$1,对接源_01水果!$B729=""),0,IF(OR(N(对接源_01水果!$B729)&lt;$L$2,N(对接源_01水果!$B729)&gt;$L$3),0,1))</f>
        <v>0</v>
      </c>
      <c r="M729" s="1" t="n">
        <f aca="false">IF(OR($M$1="",对接源_01水果!$C729="",对接源_01水果!$C729&lt;&gt;$M$1,对接源_01水果!$B729=""),0,IF(OR(N(对接源_01水果!$B729)&lt;$M$2,N(对接源_01水果!$B729)&gt;$M$3),0,1))</f>
        <v>0</v>
      </c>
      <c r="N729" s="1" t="n">
        <f aca="false">IF(OR($N$1="",对接源_01水果!$C729="",对接源_01水果!$C729&lt;&gt;$N$1,对接源_01水果!$B729=""),0,IF(OR(N(对接源_01水果!$B729)&lt;$N$2,N(对接源_01水果!$B729)&gt;$N$3),0,1))</f>
        <v>0</v>
      </c>
      <c r="P729" s="1" t="n">
        <f aca="false">IF(AND($K729=1,AND(对接源_01水果!$X729="公司筐",N(对接源_01水果!$T729)&lt;&gt;0)),1,0)</f>
        <v>0</v>
      </c>
      <c r="Q729" s="1" t="n">
        <f aca="false">N(Q728)+$P729</f>
        <v>3</v>
      </c>
      <c r="R729" s="1" t="n">
        <f aca="false">IF(AND($K729=1,AND(对接源_01水果!$X729="公司筐",N(对接源_01水果!$U729)&lt;&gt;0)),1,0)</f>
        <v>0</v>
      </c>
      <c r="S729" s="1" t="n">
        <f aca="false">N(S728)+$R729</f>
        <v>0</v>
      </c>
      <c r="T729" s="1" t="n">
        <f aca="false">IF(AND($K729=1,AND(对接源_01水果!$X729="公司筐",N(对接源_01水果!$V729)&lt;&gt;0)),1,0)</f>
        <v>0</v>
      </c>
      <c r="U729" s="1" t="n">
        <f aca="false">N(U728)+$T729</f>
        <v>28</v>
      </c>
      <c r="V729" s="1" t="n">
        <f aca="false">IF(AND($L729=1,AND(对接源_01水果!$X729="自备筐",N(对接源_01水果!$V729)&lt;&gt;0)),1,0)</f>
        <v>0</v>
      </c>
      <c r="W729" s="1" t="n">
        <f aca="false">N(W728)+$V729</f>
        <v>7</v>
      </c>
      <c r="X729" s="1" t="n">
        <f aca="false">IF(AND($L729=1,AND(对接源_01水果!$X729="自备筐",N(对接源_01水果!$T729)&lt;&gt;0)),1,0)</f>
        <v>0</v>
      </c>
      <c r="Y729" s="1" t="n">
        <f aca="false">N(Y728)+$X729</f>
        <v>0</v>
      </c>
      <c r="Z729" s="1" t="n">
        <f aca="false">IF(AND($M729=1,对接源_01水果!$D729="原料入库"),1,0)</f>
        <v>0</v>
      </c>
      <c r="AA729" s="1" t="n">
        <f aca="false">N(AA728)+$Z729</f>
        <v>30</v>
      </c>
      <c r="AB729" s="1" t="n">
        <f aca="false">IF(AND($M729=1,LEFT(对接源_01水果!$D729,4)="原料出库"),1,0)</f>
        <v>0</v>
      </c>
      <c r="AC729" s="1" t="n">
        <f aca="false">N(AC728)+$AB729</f>
        <v>19</v>
      </c>
      <c r="AD729" s="1" t="n">
        <f aca="false">IF(AND($M729=1,LEFT(对接源_01水果!$D729,4)="成品出库"),1,0)</f>
        <v>0</v>
      </c>
      <c r="AE729" s="1" t="n">
        <f aca="false">N(AE728)+$AD729</f>
        <v>38</v>
      </c>
      <c r="AF729" s="1" t="n">
        <f aca="false">IF(AND($N729=1,AND(LEFT(对接源_01水果!$D729,4)="包装物料",N(对接源_01水果!$K729)&lt;&gt;0)),1,0)</f>
        <v>0</v>
      </c>
      <c r="AG729" s="90" t="str">
        <f aca="false">IF(对接源_01水果!$AC729="","",对接源_01水果!$AC729)</f>
        <v/>
      </c>
      <c r="AH729" s="1" t="n">
        <f aca="false">IF(AND($N729=1,AND(LEFT(对接源_01水果!$D729,3)="周转筐",N(对接源_01水果!$K729)&lt;&gt;0)),1,0)</f>
        <v>0</v>
      </c>
      <c r="AI729" s="90" t="n">
        <f aca="false">IF(AG729="",0,IF(MATCH(AG729,$AG$4:$AG$1203,0)=ROW()-3,1,0))</f>
        <v>0</v>
      </c>
      <c r="AJ729" s="90" t="n">
        <f aca="false">N(AJ728)+AI729</f>
        <v>4</v>
      </c>
      <c r="AK729" s="1" t="n">
        <f aca="false">N(AK728)+$AJ729</f>
        <v>1776</v>
      </c>
    </row>
    <row r="730" customFormat="false" ht="13.5" hidden="false" customHeight="false" outlineLevel="0" collapsed="false">
      <c r="A730" s="1" t="str">
        <f aca="false">IF(对接源_01水果!$C730="","",对接源_01水果!$C730)</f>
        <v/>
      </c>
      <c r="B730" s="1" t="n">
        <f aca="false">IF(A730="",0,IF(MATCH(A730,$A$4:$A$2403,0)=ROW()-3,1,0))</f>
        <v>0</v>
      </c>
      <c r="C730" s="1" t="n">
        <f aca="false">N(C729)+B730</f>
        <v>13</v>
      </c>
      <c r="K730" s="1" t="n">
        <f aca="false">IF(OR($K$1="",对接源_01水果!$C730="",对接源_01水果!$C730&lt;&gt;$K$1,对接源_01水果!$B730=""),0,IF(OR(N(对接源_01水果!$B730)&lt;$K$2,N(对接源_01水果!$B730)&gt;$K$3),0,1))</f>
        <v>0</v>
      </c>
      <c r="L730" s="1" t="n">
        <f aca="false">IF(OR($L$1="",对接源_01水果!$C730="",对接源_01水果!$C730&lt;&gt;$L$1,对接源_01水果!$B730=""),0,IF(OR(N(对接源_01水果!$B730)&lt;$L$2,N(对接源_01水果!$B730)&gt;$L$3),0,1))</f>
        <v>0</v>
      </c>
      <c r="M730" s="1" t="n">
        <f aca="false">IF(OR($M$1="",对接源_01水果!$C730="",对接源_01水果!$C730&lt;&gt;$M$1,对接源_01水果!$B730=""),0,IF(OR(N(对接源_01水果!$B730)&lt;$M$2,N(对接源_01水果!$B730)&gt;$M$3),0,1))</f>
        <v>0</v>
      </c>
      <c r="N730" s="1" t="n">
        <f aca="false">IF(OR($N$1="",对接源_01水果!$C730="",对接源_01水果!$C730&lt;&gt;$N$1,对接源_01水果!$B730=""),0,IF(OR(N(对接源_01水果!$B730)&lt;$N$2,N(对接源_01水果!$B730)&gt;$N$3),0,1))</f>
        <v>0</v>
      </c>
      <c r="P730" s="1" t="n">
        <f aca="false">IF(AND($K730=1,AND(对接源_01水果!$X730="公司筐",N(对接源_01水果!$T730)&lt;&gt;0)),1,0)</f>
        <v>0</v>
      </c>
      <c r="Q730" s="1" t="n">
        <f aca="false">N(Q729)+$P730</f>
        <v>3</v>
      </c>
      <c r="R730" s="1" t="n">
        <f aca="false">IF(AND($K730=1,AND(对接源_01水果!$X730="公司筐",N(对接源_01水果!$U730)&lt;&gt;0)),1,0)</f>
        <v>0</v>
      </c>
      <c r="S730" s="1" t="n">
        <f aca="false">N(S729)+$R730</f>
        <v>0</v>
      </c>
      <c r="T730" s="1" t="n">
        <f aca="false">IF(AND($K730=1,AND(对接源_01水果!$X730="公司筐",N(对接源_01水果!$V730)&lt;&gt;0)),1,0)</f>
        <v>0</v>
      </c>
      <c r="U730" s="1" t="n">
        <f aca="false">N(U729)+$T730</f>
        <v>28</v>
      </c>
      <c r="V730" s="1" t="n">
        <f aca="false">IF(AND($L730=1,AND(对接源_01水果!$X730="自备筐",N(对接源_01水果!$V730)&lt;&gt;0)),1,0)</f>
        <v>0</v>
      </c>
      <c r="W730" s="1" t="n">
        <f aca="false">N(W729)+$V730</f>
        <v>7</v>
      </c>
      <c r="X730" s="1" t="n">
        <f aca="false">IF(AND($L730=1,AND(对接源_01水果!$X730="自备筐",N(对接源_01水果!$T730)&lt;&gt;0)),1,0)</f>
        <v>0</v>
      </c>
      <c r="Y730" s="1" t="n">
        <f aca="false">N(Y729)+$X730</f>
        <v>0</v>
      </c>
      <c r="Z730" s="1" t="n">
        <f aca="false">IF(AND($M730=1,对接源_01水果!$D730="原料入库"),1,0)</f>
        <v>0</v>
      </c>
      <c r="AA730" s="1" t="n">
        <f aca="false">N(AA729)+$Z730</f>
        <v>30</v>
      </c>
      <c r="AB730" s="1" t="n">
        <f aca="false">IF(AND($M730=1,LEFT(对接源_01水果!$D730,4)="原料出库"),1,0)</f>
        <v>0</v>
      </c>
      <c r="AC730" s="1" t="n">
        <f aca="false">N(AC729)+$AB730</f>
        <v>19</v>
      </c>
      <c r="AD730" s="1" t="n">
        <f aca="false">IF(AND($M730=1,LEFT(对接源_01水果!$D730,4)="成品出库"),1,0)</f>
        <v>0</v>
      </c>
      <c r="AE730" s="1" t="n">
        <f aca="false">N(AE729)+$AD730</f>
        <v>38</v>
      </c>
      <c r="AF730" s="1" t="n">
        <f aca="false">IF(AND($N730=1,AND(LEFT(对接源_01水果!$D730,4)="包装物料",N(对接源_01水果!$K730)&lt;&gt;0)),1,0)</f>
        <v>0</v>
      </c>
      <c r="AG730" s="90" t="str">
        <f aca="false">IF(对接源_01水果!$AC730="","",对接源_01水果!$AC730)</f>
        <v/>
      </c>
      <c r="AH730" s="1" t="n">
        <f aca="false">IF(AND($N730=1,AND(LEFT(对接源_01水果!$D730,3)="周转筐",N(对接源_01水果!$K730)&lt;&gt;0)),1,0)</f>
        <v>0</v>
      </c>
      <c r="AI730" s="90" t="n">
        <f aca="false">IF(AG730="",0,IF(MATCH(AG730,$AG$4:$AG$1203,0)=ROW()-3,1,0))</f>
        <v>0</v>
      </c>
      <c r="AJ730" s="90" t="n">
        <f aca="false">N(AJ729)+AI730</f>
        <v>4</v>
      </c>
      <c r="AK730" s="1" t="n">
        <f aca="false">N(AK729)+$AJ730</f>
        <v>1780</v>
      </c>
    </row>
    <row r="731" customFormat="false" ht="13.5" hidden="false" customHeight="false" outlineLevel="0" collapsed="false">
      <c r="A731" s="1" t="str">
        <f aca="false">IF(对接源_01水果!$C731="","",对接源_01水果!$C731)</f>
        <v/>
      </c>
      <c r="B731" s="1" t="n">
        <f aca="false">IF(A731="",0,IF(MATCH(A731,$A$4:$A$2403,0)=ROW()-3,1,0))</f>
        <v>0</v>
      </c>
      <c r="C731" s="1" t="n">
        <f aca="false">N(C730)+B731</f>
        <v>13</v>
      </c>
      <c r="K731" s="1" t="n">
        <f aca="false">IF(OR($K$1="",对接源_01水果!$C731="",对接源_01水果!$C731&lt;&gt;$K$1,对接源_01水果!$B731=""),0,IF(OR(N(对接源_01水果!$B731)&lt;$K$2,N(对接源_01水果!$B731)&gt;$K$3),0,1))</f>
        <v>0</v>
      </c>
      <c r="L731" s="1" t="n">
        <f aca="false">IF(OR($L$1="",对接源_01水果!$C731="",对接源_01水果!$C731&lt;&gt;$L$1,对接源_01水果!$B731=""),0,IF(OR(N(对接源_01水果!$B731)&lt;$L$2,N(对接源_01水果!$B731)&gt;$L$3),0,1))</f>
        <v>0</v>
      </c>
      <c r="M731" s="1" t="n">
        <f aca="false">IF(OR($M$1="",对接源_01水果!$C731="",对接源_01水果!$C731&lt;&gt;$M$1,对接源_01水果!$B731=""),0,IF(OR(N(对接源_01水果!$B731)&lt;$M$2,N(对接源_01水果!$B731)&gt;$M$3),0,1))</f>
        <v>0</v>
      </c>
      <c r="N731" s="1" t="n">
        <f aca="false">IF(OR($N$1="",对接源_01水果!$C731="",对接源_01水果!$C731&lt;&gt;$N$1,对接源_01水果!$B731=""),0,IF(OR(N(对接源_01水果!$B731)&lt;$N$2,N(对接源_01水果!$B731)&gt;$N$3),0,1))</f>
        <v>0</v>
      </c>
      <c r="P731" s="1" t="n">
        <f aca="false">IF(AND($K731=1,AND(对接源_01水果!$X731="公司筐",N(对接源_01水果!$T731)&lt;&gt;0)),1,0)</f>
        <v>0</v>
      </c>
      <c r="Q731" s="1" t="n">
        <f aca="false">N(Q730)+$P731</f>
        <v>3</v>
      </c>
      <c r="R731" s="1" t="n">
        <f aca="false">IF(AND($K731=1,AND(对接源_01水果!$X731="公司筐",N(对接源_01水果!$U731)&lt;&gt;0)),1,0)</f>
        <v>0</v>
      </c>
      <c r="S731" s="1" t="n">
        <f aca="false">N(S730)+$R731</f>
        <v>0</v>
      </c>
      <c r="T731" s="1" t="n">
        <f aca="false">IF(AND($K731=1,AND(对接源_01水果!$X731="公司筐",N(对接源_01水果!$V731)&lt;&gt;0)),1,0)</f>
        <v>0</v>
      </c>
      <c r="U731" s="1" t="n">
        <f aca="false">N(U730)+$T731</f>
        <v>28</v>
      </c>
      <c r="V731" s="1" t="n">
        <f aca="false">IF(AND($L731=1,AND(对接源_01水果!$X731="自备筐",N(对接源_01水果!$V731)&lt;&gt;0)),1,0)</f>
        <v>0</v>
      </c>
      <c r="W731" s="1" t="n">
        <f aca="false">N(W730)+$V731</f>
        <v>7</v>
      </c>
      <c r="X731" s="1" t="n">
        <f aca="false">IF(AND($L731=1,AND(对接源_01水果!$X731="自备筐",N(对接源_01水果!$T731)&lt;&gt;0)),1,0)</f>
        <v>0</v>
      </c>
      <c r="Y731" s="1" t="n">
        <f aca="false">N(Y730)+$X731</f>
        <v>0</v>
      </c>
      <c r="Z731" s="1" t="n">
        <f aca="false">IF(AND($M731=1,对接源_01水果!$D731="原料入库"),1,0)</f>
        <v>0</v>
      </c>
      <c r="AA731" s="1" t="n">
        <f aca="false">N(AA730)+$Z731</f>
        <v>30</v>
      </c>
      <c r="AB731" s="1" t="n">
        <f aca="false">IF(AND($M731=1,LEFT(对接源_01水果!$D731,4)="原料出库"),1,0)</f>
        <v>0</v>
      </c>
      <c r="AC731" s="1" t="n">
        <f aca="false">N(AC730)+$AB731</f>
        <v>19</v>
      </c>
      <c r="AD731" s="1" t="n">
        <f aca="false">IF(AND($M731=1,LEFT(对接源_01水果!$D731,4)="成品出库"),1,0)</f>
        <v>0</v>
      </c>
      <c r="AE731" s="1" t="n">
        <f aca="false">N(AE730)+$AD731</f>
        <v>38</v>
      </c>
      <c r="AF731" s="1" t="n">
        <f aca="false">IF(AND($N731=1,AND(LEFT(对接源_01水果!$D731,4)="包装物料",N(对接源_01水果!$K731)&lt;&gt;0)),1,0)</f>
        <v>0</v>
      </c>
      <c r="AG731" s="90" t="str">
        <f aca="false">IF(对接源_01水果!$AC731="","",对接源_01水果!$AC731)</f>
        <v/>
      </c>
      <c r="AH731" s="1" t="n">
        <f aca="false">IF(AND($N731=1,AND(LEFT(对接源_01水果!$D731,3)="周转筐",N(对接源_01水果!$K731)&lt;&gt;0)),1,0)</f>
        <v>0</v>
      </c>
      <c r="AI731" s="90" t="n">
        <f aca="false">IF(AG731="",0,IF(MATCH(AG731,$AG$4:$AG$1203,0)=ROW()-3,1,0))</f>
        <v>0</v>
      </c>
      <c r="AJ731" s="90" t="n">
        <f aca="false">N(AJ730)+AI731</f>
        <v>4</v>
      </c>
      <c r="AK731" s="1" t="n">
        <f aca="false">N(AK730)+$AJ731</f>
        <v>1784</v>
      </c>
    </row>
    <row r="732" customFormat="false" ht="13.5" hidden="false" customHeight="false" outlineLevel="0" collapsed="false">
      <c r="A732" s="1" t="str">
        <f aca="false">IF(对接源_01水果!$C732="","",对接源_01水果!$C732)</f>
        <v/>
      </c>
      <c r="B732" s="1" t="n">
        <f aca="false">IF(A732="",0,IF(MATCH(A732,$A$4:$A$2403,0)=ROW()-3,1,0))</f>
        <v>0</v>
      </c>
      <c r="C732" s="1" t="n">
        <f aca="false">N(C731)+B732</f>
        <v>13</v>
      </c>
      <c r="K732" s="1" t="n">
        <f aca="false">IF(OR($K$1="",对接源_01水果!$C732="",对接源_01水果!$C732&lt;&gt;$K$1,对接源_01水果!$B732=""),0,IF(OR(N(对接源_01水果!$B732)&lt;$K$2,N(对接源_01水果!$B732)&gt;$K$3),0,1))</f>
        <v>0</v>
      </c>
      <c r="L732" s="1" t="n">
        <f aca="false">IF(OR($L$1="",对接源_01水果!$C732="",对接源_01水果!$C732&lt;&gt;$L$1,对接源_01水果!$B732=""),0,IF(OR(N(对接源_01水果!$B732)&lt;$L$2,N(对接源_01水果!$B732)&gt;$L$3),0,1))</f>
        <v>0</v>
      </c>
      <c r="M732" s="1" t="n">
        <f aca="false">IF(OR($M$1="",对接源_01水果!$C732="",对接源_01水果!$C732&lt;&gt;$M$1,对接源_01水果!$B732=""),0,IF(OR(N(对接源_01水果!$B732)&lt;$M$2,N(对接源_01水果!$B732)&gt;$M$3),0,1))</f>
        <v>0</v>
      </c>
      <c r="N732" s="1" t="n">
        <f aca="false">IF(OR($N$1="",对接源_01水果!$C732="",对接源_01水果!$C732&lt;&gt;$N$1,对接源_01水果!$B732=""),0,IF(OR(N(对接源_01水果!$B732)&lt;$N$2,N(对接源_01水果!$B732)&gt;$N$3),0,1))</f>
        <v>0</v>
      </c>
      <c r="P732" s="1" t="n">
        <f aca="false">IF(AND($K732=1,AND(对接源_01水果!$X732="公司筐",N(对接源_01水果!$T732)&lt;&gt;0)),1,0)</f>
        <v>0</v>
      </c>
      <c r="Q732" s="1" t="n">
        <f aca="false">N(Q731)+$P732</f>
        <v>3</v>
      </c>
      <c r="R732" s="1" t="n">
        <f aca="false">IF(AND($K732=1,AND(对接源_01水果!$X732="公司筐",N(对接源_01水果!$U732)&lt;&gt;0)),1,0)</f>
        <v>0</v>
      </c>
      <c r="S732" s="1" t="n">
        <f aca="false">N(S731)+$R732</f>
        <v>0</v>
      </c>
      <c r="T732" s="1" t="n">
        <f aca="false">IF(AND($K732=1,AND(对接源_01水果!$X732="公司筐",N(对接源_01水果!$V732)&lt;&gt;0)),1,0)</f>
        <v>0</v>
      </c>
      <c r="U732" s="1" t="n">
        <f aca="false">N(U731)+$T732</f>
        <v>28</v>
      </c>
      <c r="V732" s="1" t="n">
        <f aca="false">IF(AND($L732=1,AND(对接源_01水果!$X732="自备筐",N(对接源_01水果!$V732)&lt;&gt;0)),1,0)</f>
        <v>0</v>
      </c>
      <c r="W732" s="1" t="n">
        <f aca="false">N(W731)+$V732</f>
        <v>7</v>
      </c>
      <c r="X732" s="1" t="n">
        <f aca="false">IF(AND($L732=1,AND(对接源_01水果!$X732="自备筐",N(对接源_01水果!$T732)&lt;&gt;0)),1,0)</f>
        <v>0</v>
      </c>
      <c r="Y732" s="1" t="n">
        <f aca="false">N(Y731)+$X732</f>
        <v>0</v>
      </c>
      <c r="Z732" s="1" t="n">
        <f aca="false">IF(AND($M732=1,对接源_01水果!$D732="原料入库"),1,0)</f>
        <v>0</v>
      </c>
      <c r="AA732" s="1" t="n">
        <f aca="false">N(AA731)+$Z732</f>
        <v>30</v>
      </c>
      <c r="AB732" s="1" t="n">
        <f aca="false">IF(AND($M732=1,LEFT(对接源_01水果!$D732,4)="原料出库"),1,0)</f>
        <v>0</v>
      </c>
      <c r="AC732" s="1" t="n">
        <f aca="false">N(AC731)+$AB732</f>
        <v>19</v>
      </c>
      <c r="AD732" s="1" t="n">
        <f aca="false">IF(AND($M732=1,LEFT(对接源_01水果!$D732,4)="成品出库"),1,0)</f>
        <v>0</v>
      </c>
      <c r="AE732" s="1" t="n">
        <f aca="false">N(AE731)+$AD732</f>
        <v>38</v>
      </c>
      <c r="AF732" s="1" t="n">
        <f aca="false">IF(AND($N732=1,AND(LEFT(对接源_01水果!$D732,4)="包装物料",N(对接源_01水果!$K732)&lt;&gt;0)),1,0)</f>
        <v>0</v>
      </c>
      <c r="AG732" s="90" t="str">
        <f aca="false">IF(对接源_01水果!$AC732="","",对接源_01水果!$AC732)</f>
        <v/>
      </c>
      <c r="AH732" s="1" t="n">
        <f aca="false">IF(AND($N732=1,AND(LEFT(对接源_01水果!$D732,3)="周转筐",N(对接源_01水果!$K732)&lt;&gt;0)),1,0)</f>
        <v>0</v>
      </c>
      <c r="AI732" s="90" t="n">
        <f aca="false">IF(AG732="",0,IF(MATCH(AG732,$AG$4:$AG$1203,0)=ROW()-3,1,0))</f>
        <v>0</v>
      </c>
      <c r="AJ732" s="90" t="n">
        <f aca="false">N(AJ731)+AI732</f>
        <v>4</v>
      </c>
      <c r="AK732" s="1" t="n">
        <f aca="false">N(AK731)+$AJ732</f>
        <v>1788</v>
      </c>
    </row>
    <row r="733" customFormat="false" ht="13.5" hidden="false" customHeight="false" outlineLevel="0" collapsed="false">
      <c r="A733" s="1" t="str">
        <f aca="false">IF(对接源_01水果!$C733="","",对接源_01水果!$C733)</f>
        <v/>
      </c>
      <c r="B733" s="1" t="n">
        <f aca="false">IF(A733="",0,IF(MATCH(A733,$A$4:$A$2403,0)=ROW()-3,1,0))</f>
        <v>0</v>
      </c>
      <c r="C733" s="1" t="n">
        <f aca="false">N(C732)+B733</f>
        <v>13</v>
      </c>
      <c r="K733" s="1" t="n">
        <f aca="false">IF(OR($K$1="",对接源_01水果!$C733="",对接源_01水果!$C733&lt;&gt;$K$1,对接源_01水果!$B733=""),0,IF(OR(N(对接源_01水果!$B733)&lt;$K$2,N(对接源_01水果!$B733)&gt;$K$3),0,1))</f>
        <v>0</v>
      </c>
      <c r="L733" s="1" t="n">
        <f aca="false">IF(OR($L$1="",对接源_01水果!$C733="",对接源_01水果!$C733&lt;&gt;$L$1,对接源_01水果!$B733=""),0,IF(OR(N(对接源_01水果!$B733)&lt;$L$2,N(对接源_01水果!$B733)&gt;$L$3),0,1))</f>
        <v>0</v>
      </c>
      <c r="M733" s="1" t="n">
        <f aca="false">IF(OR($M$1="",对接源_01水果!$C733="",对接源_01水果!$C733&lt;&gt;$M$1,对接源_01水果!$B733=""),0,IF(OR(N(对接源_01水果!$B733)&lt;$M$2,N(对接源_01水果!$B733)&gt;$M$3),0,1))</f>
        <v>0</v>
      </c>
      <c r="N733" s="1" t="n">
        <f aca="false">IF(OR($N$1="",对接源_01水果!$C733="",对接源_01水果!$C733&lt;&gt;$N$1,对接源_01水果!$B733=""),0,IF(OR(N(对接源_01水果!$B733)&lt;$N$2,N(对接源_01水果!$B733)&gt;$N$3),0,1))</f>
        <v>0</v>
      </c>
      <c r="P733" s="1" t="n">
        <f aca="false">IF(AND($K733=1,AND(对接源_01水果!$X733="公司筐",N(对接源_01水果!$T733)&lt;&gt;0)),1,0)</f>
        <v>0</v>
      </c>
      <c r="Q733" s="1" t="n">
        <f aca="false">N(Q732)+$P733</f>
        <v>3</v>
      </c>
      <c r="R733" s="1" t="n">
        <f aca="false">IF(AND($K733=1,AND(对接源_01水果!$X733="公司筐",N(对接源_01水果!$U733)&lt;&gt;0)),1,0)</f>
        <v>0</v>
      </c>
      <c r="S733" s="1" t="n">
        <f aca="false">N(S732)+$R733</f>
        <v>0</v>
      </c>
      <c r="T733" s="1" t="n">
        <f aca="false">IF(AND($K733=1,AND(对接源_01水果!$X733="公司筐",N(对接源_01水果!$V733)&lt;&gt;0)),1,0)</f>
        <v>0</v>
      </c>
      <c r="U733" s="1" t="n">
        <f aca="false">N(U732)+$T733</f>
        <v>28</v>
      </c>
      <c r="V733" s="1" t="n">
        <f aca="false">IF(AND($L733=1,AND(对接源_01水果!$X733="自备筐",N(对接源_01水果!$V733)&lt;&gt;0)),1,0)</f>
        <v>0</v>
      </c>
      <c r="W733" s="1" t="n">
        <f aca="false">N(W732)+$V733</f>
        <v>7</v>
      </c>
      <c r="X733" s="1" t="n">
        <f aca="false">IF(AND($L733=1,AND(对接源_01水果!$X733="自备筐",N(对接源_01水果!$T733)&lt;&gt;0)),1,0)</f>
        <v>0</v>
      </c>
      <c r="Y733" s="1" t="n">
        <f aca="false">N(Y732)+$X733</f>
        <v>0</v>
      </c>
      <c r="Z733" s="1" t="n">
        <f aca="false">IF(AND($M733=1,对接源_01水果!$D733="原料入库"),1,0)</f>
        <v>0</v>
      </c>
      <c r="AA733" s="1" t="n">
        <f aca="false">N(AA732)+$Z733</f>
        <v>30</v>
      </c>
      <c r="AB733" s="1" t="n">
        <f aca="false">IF(AND($M733=1,LEFT(对接源_01水果!$D733,4)="原料出库"),1,0)</f>
        <v>0</v>
      </c>
      <c r="AC733" s="1" t="n">
        <f aca="false">N(AC732)+$AB733</f>
        <v>19</v>
      </c>
      <c r="AD733" s="1" t="n">
        <f aca="false">IF(AND($M733=1,LEFT(对接源_01水果!$D733,4)="成品出库"),1,0)</f>
        <v>0</v>
      </c>
      <c r="AE733" s="1" t="n">
        <f aca="false">N(AE732)+$AD733</f>
        <v>38</v>
      </c>
      <c r="AF733" s="1" t="n">
        <f aca="false">IF(AND($N733=1,AND(LEFT(对接源_01水果!$D733,4)="包装物料",N(对接源_01水果!$K733)&lt;&gt;0)),1,0)</f>
        <v>0</v>
      </c>
      <c r="AG733" s="90" t="str">
        <f aca="false">IF(对接源_01水果!$AC733="","",对接源_01水果!$AC733)</f>
        <v/>
      </c>
      <c r="AH733" s="1" t="n">
        <f aca="false">IF(AND($N733=1,AND(LEFT(对接源_01水果!$D733,3)="周转筐",N(对接源_01水果!$K733)&lt;&gt;0)),1,0)</f>
        <v>0</v>
      </c>
      <c r="AI733" s="90" t="n">
        <f aca="false">IF(AG733="",0,IF(MATCH(AG733,$AG$4:$AG$1203,0)=ROW()-3,1,0))</f>
        <v>0</v>
      </c>
      <c r="AJ733" s="90" t="n">
        <f aca="false">N(AJ732)+AI733</f>
        <v>4</v>
      </c>
      <c r="AK733" s="1" t="n">
        <f aca="false">N(AK732)+$AJ733</f>
        <v>1792</v>
      </c>
    </row>
    <row r="734" customFormat="false" ht="13.5" hidden="false" customHeight="false" outlineLevel="0" collapsed="false">
      <c r="A734" s="1" t="str">
        <f aca="false">IF(对接源_01水果!$C734="","",对接源_01水果!$C734)</f>
        <v/>
      </c>
      <c r="B734" s="1" t="n">
        <f aca="false">IF(A734="",0,IF(MATCH(A734,$A$4:$A$2403,0)=ROW()-3,1,0))</f>
        <v>0</v>
      </c>
      <c r="C734" s="1" t="n">
        <f aca="false">N(C733)+B734</f>
        <v>13</v>
      </c>
      <c r="K734" s="1" t="n">
        <f aca="false">IF(OR($K$1="",对接源_01水果!$C734="",对接源_01水果!$C734&lt;&gt;$K$1,对接源_01水果!$B734=""),0,IF(OR(N(对接源_01水果!$B734)&lt;$K$2,N(对接源_01水果!$B734)&gt;$K$3),0,1))</f>
        <v>0</v>
      </c>
      <c r="L734" s="1" t="n">
        <f aca="false">IF(OR($L$1="",对接源_01水果!$C734="",对接源_01水果!$C734&lt;&gt;$L$1,对接源_01水果!$B734=""),0,IF(OR(N(对接源_01水果!$B734)&lt;$L$2,N(对接源_01水果!$B734)&gt;$L$3),0,1))</f>
        <v>0</v>
      </c>
      <c r="M734" s="1" t="n">
        <f aca="false">IF(OR($M$1="",对接源_01水果!$C734="",对接源_01水果!$C734&lt;&gt;$M$1,对接源_01水果!$B734=""),0,IF(OR(N(对接源_01水果!$B734)&lt;$M$2,N(对接源_01水果!$B734)&gt;$M$3),0,1))</f>
        <v>0</v>
      </c>
      <c r="N734" s="1" t="n">
        <f aca="false">IF(OR($N$1="",对接源_01水果!$C734="",对接源_01水果!$C734&lt;&gt;$N$1,对接源_01水果!$B734=""),0,IF(OR(N(对接源_01水果!$B734)&lt;$N$2,N(对接源_01水果!$B734)&gt;$N$3),0,1))</f>
        <v>0</v>
      </c>
      <c r="P734" s="1" t="n">
        <f aca="false">IF(AND($K734=1,AND(对接源_01水果!$X734="公司筐",N(对接源_01水果!$T734)&lt;&gt;0)),1,0)</f>
        <v>0</v>
      </c>
      <c r="Q734" s="1" t="n">
        <f aca="false">N(Q733)+$P734</f>
        <v>3</v>
      </c>
      <c r="R734" s="1" t="n">
        <f aca="false">IF(AND($K734=1,AND(对接源_01水果!$X734="公司筐",N(对接源_01水果!$U734)&lt;&gt;0)),1,0)</f>
        <v>0</v>
      </c>
      <c r="S734" s="1" t="n">
        <f aca="false">N(S733)+$R734</f>
        <v>0</v>
      </c>
      <c r="T734" s="1" t="n">
        <f aca="false">IF(AND($K734=1,AND(对接源_01水果!$X734="公司筐",N(对接源_01水果!$V734)&lt;&gt;0)),1,0)</f>
        <v>0</v>
      </c>
      <c r="U734" s="1" t="n">
        <f aca="false">N(U733)+$T734</f>
        <v>28</v>
      </c>
      <c r="V734" s="1" t="n">
        <f aca="false">IF(AND($L734=1,AND(对接源_01水果!$X734="自备筐",N(对接源_01水果!$V734)&lt;&gt;0)),1,0)</f>
        <v>0</v>
      </c>
      <c r="W734" s="1" t="n">
        <f aca="false">N(W733)+$V734</f>
        <v>7</v>
      </c>
      <c r="X734" s="1" t="n">
        <f aca="false">IF(AND($L734=1,AND(对接源_01水果!$X734="自备筐",N(对接源_01水果!$T734)&lt;&gt;0)),1,0)</f>
        <v>0</v>
      </c>
      <c r="Y734" s="1" t="n">
        <f aca="false">N(Y733)+$X734</f>
        <v>0</v>
      </c>
      <c r="Z734" s="1" t="n">
        <f aca="false">IF(AND($M734=1,对接源_01水果!$D734="原料入库"),1,0)</f>
        <v>0</v>
      </c>
      <c r="AA734" s="1" t="n">
        <f aca="false">N(AA733)+$Z734</f>
        <v>30</v>
      </c>
      <c r="AB734" s="1" t="n">
        <f aca="false">IF(AND($M734=1,LEFT(对接源_01水果!$D734,4)="原料出库"),1,0)</f>
        <v>0</v>
      </c>
      <c r="AC734" s="1" t="n">
        <f aca="false">N(AC733)+$AB734</f>
        <v>19</v>
      </c>
      <c r="AD734" s="1" t="n">
        <f aca="false">IF(AND($M734=1,LEFT(对接源_01水果!$D734,4)="成品出库"),1,0)</f>
        <v>0</v>
      </c>
      <c r="AE734" s="1" t="n">
        <f aca="false">N(AE733)+$AD734</f>
        <v>38</v>
      </c>
      <c r="AF734" s="1" t="n">
        <f aca="false">IF(AND($N734=1,AND(LEFT(对接源_01水果!$D734,4)="包装物料",N(对接源_01水果!$K734)&lt;&gt;0)),1,0)</f>
        <v>0</v>
      </c>
      <c r="AG734" s="90" t="str">
        <f aca="false">IF(对接源_01水果!$AC734="","",对接源_01水果!$AC734)</f>
        <v/>
      </c>
      <c r="AH734" s="1" t="n">
        <f aca="false">IF(AND($N734=1,AND(LEFT(对接源_01水果!$D734,3)="周转筐",N(对接源_01水果!$K734)&lt;&gt;0)),1,0)</f>
        <v>0</v>
      </c>
      <c r="AI734" s="90" t="n">
        <f aca="false">IF(AG734="",0,IF(MATCH(AG734,$AG$4:$AG$1203,0)=ROW()-3,1,0))</f>
        <v>0</v>
      </c>
      <c r="AJ734" s="90" t="n">
        <f aca="false">N(AJ733)+AI734</f>
        <v>4</v>
      </c>
      <c r="AK734" s="1" t="n">
        <f aca="false">N(AK733)+$AJ734</f>
        <v>1796</v>
      </c>
    </row>
    <row r="735" customFormat="false" ht="13.5" hidden="false" customHeight="false" outlineLevel="0" collapsed="false">
      <c r="A735" s="1" t="str">
        <f aca="false">IF(对接源_01水果!$C735="","",对接源_01水果!$C735)</f>
        <v/>
      </c>
      <c r="B735" s="1" t="n">
        <f aca="false">IF(A735="",0,IF(MATCH(A735,$A$4:$A$2403,0)=ROW()-3,1,0))</f>
        <v>0</v>
      </c>
      <c r="C735" s="1" t="n">
        <f aca="false">N(C734)+B735</f>
        <v>13</v>
      </c>
      <c r="K735" s="1" t="n">
        <f aca="false">IF(OR($K$1="",对接源_01水果!$C735="",对接源_01水果!$C735&lt;&gt;$K$1,对接源_01水果!$B735=""),0,IF(OR(N(对接源_01水果!$B735)&lt;$K$2,N(对接源_01水果!$B735)&gt;$K$3),0,1))</f>
        <v>0</v>
      </c>
      <c r="L735" s="1" t="n">
        <f aca="false">IF(OR($L$1="",对接源_01水果!$C735="",对接源_01水果!$C735&lt;&gt;$L$1,对接源_01水果!$B735=""),0,IF(OR(N(对接源_01水果!$B735)&lt;$L$2,N(对接源_01水果!$B735)&gt;$L$3),0,1))</f>
        <v>0</v>
      </c>
      <c r="M735" s="1" t="n">
        <f aca="false">IF(OR($M$1="",对接源_01水果!$C735="",对接源_01水果!$C735&lt;&gt;$M$1,对接源_01水果!$B735=""),0,IF(OR(N(对接源_01水果!$B735)&lt;$M$2,N(对接源_01水果!$B735)&gt;$M$3),0,1))</f>
        <v>0</v>
      </c>
      <c r="N735" s="1" t="n">
        <f aca="false">IF(OR($N$1="",对接源_01水果!$C735="",对接源_01水果!$C735&lt;&gt;$N$1,对接源_01水果!$B735=""),0,IF(OR(N(对接源_01水果!$B735)&lt;$N$2,N(对接源_01水果!$B735)&gt;$N$3),0,1))</f>
        <v>0</v>
      </c>
      <c r="P735" s="1" t="n">
        <f aca="false">IF(AND($K735=1,AND(对接源_01水果!$X735="公司筐",N(对接源_01水果!$T735)&lt;&gt;0)),1,0)</f>
        <v>0</v>
      </c>
      <c r="Q735" s="1" t="n">
        <f aca="false">N(Q734)+$P735</f>
        <v>3</v>
      </c>
      <c r="R735" s="1" t="n">
        <f aca="false">IF(AND($K735=1,AND(对接源_01水果!$X735="公司筐",N(对接源_01水果!$U735)&lt;&gt;0)),1,0)</f>
        <v>0</v>
      </c>
      <c r="S735" s="1" t="n">
        <f aca="false">N(S734)+$R735</f>
        <v>0</v>
      </c>
      <c r="T735" s="1" t="n">
        <f aca="false">IF(AND($K735=1,AND(对接源_01水果!$X735="公司筐",N(对接源_01水果!$V735)&lt;&gt;0)),1,0)</f>
        <v>0</v>
      </c>
      <c r="U735" s="1" t="n">
        <f aca="false">N(U734)+$T735</f>
        <v>28</v>
      </c>
      <c r="V735" s="1" t="n">
        <f aca="false">IF(AND($L735=1,AND(对接源_01水果!$X735="自备筐",N(对接源_01水果!$V735)&lt;&gt;0)),1,0)</f>
        <v>0</v>
      </c>
      <c r="W735" s="1" t="n">
        <f aca="false">N(W734)+$V735</f>
        <v>7</v>
      </c>
      <c r="X735" s="1" t="n">
        <f aca="false">IF(AND($L735=1,AND(对接源_01水果!$X735="自备筐",N(对接源_01水果!$T735)&lt;&gt;0)),1,0)</f>
        <v>0</v>
      </c>
      <c r="Y735" s="1" t="n">
        <f aca="false">N(Y734)+$X735</f>
        <v>0</v>
      </c>
      <c r="Z735" s="1" t="n">
        <f aca="false">IF(AND($M735=1,对接源_01水果!$D735="原料入库"),1,0)</f>
        <v>0</v>
      </c>
      <c r="AA735" s="1" t="n">
        <f aca="false">N(AA734)+$Z735</f>
        <v>30</v>
      </c>
      <c r="AB735" s="1" t="n">
        <f aca="false">IF(AND($M735=1,LEFT(对接源_01水果!$D735,4)="原料出库"),1,0)</f>
        <v>0</v>
      </c>
      <c r="AC735" s="1" t="n">
        <f aca="false">N(AC734)+$AB735</f>
        <v>19</v>
      </c>
      <c r="AD735" s="1" t="n">
        <f aca="false">IF(AND($M735=1,LEFT(对接源_01水果!$D735,4)="成品出库"),1,0)</f>
        <v>0</v>
      </c>
      <c r="AE735" s="1" t="n">
        <f aca="false">N(AE734)+$AD735</f>
        <v>38</v>
      </c>
      <c r="AF735" s="1" t="n">
        <f aca="false">IF(AND($N735=1,AND(LEFT(对接源_01水果!$D735,4)="包装物料",N(对接源_01水果!$K735)&lt;&gt;0)),1,0)</f>
        <v>0</v>
      </c>
      <c r="AG735" s="90" t="str">
        <f aca="false">IF(对接源_01水果!$AC735="","",对接源_01水果!$AC735)</f>
        <v/>
      </c>
      <c r="AH735" s="1" t="n">
        <f aca="false">IF(AND($N735=1,AND(LEFT(对接源_01水果!$D735,3)="周转筐",N(对接源_01水果!$K735)&lt;&gt;0)),1,0)</f>
        <v>0</v>
      </c>
      <c r="AI735" s="90" t="n">
        <f aca="false">IF(AG735="",0,IF(MATCH(AG735,$AG$4:$AG$1203,0)=ROW()-3,1,0))</f>
        <v>0</v>
      </c>
      <c r="AJ735" s="90" t="n">
        <f aca="false">N(AJ734)+AI735</f>
        <v>4</v>
      </c>
      <c r="AK735" s="1" t="n">
        <f aca="false">N(AK734)+$AJ735</f>
        <v>1800</v>
      </c>
    </row>
    <row r="736" customFormat="false" ht="13.5" hidden="false" customHeight="false" outlineLevel="0" collapsed="false">
      <c r="A736" s="1" t="str">
        <f aca="false">IF(对接源_01水果!$C736="","",对接源_01水果!$C736)</f>
        <v/>
      </c>
      <c r="B736" s="1" t="n">
        <f aca="false">IF(A736="",0,IF(MATCH(A736,$A$4:$A$2403,0)=ROW()-3,1,0))</f>
        <v>0</v>
      </c>
      <c r="C736" s="1" t="n">
        <f aca="false">N(C735)+B736</f>
        <v>13</v>
      </c>
      <c r="K736" s="1" t="n">
        <f aca="false">IF(OR($K$1="",对接源_01水果!$C736="",对接源_01水果!$C736&lt;&gt;$K$1,对接源_01水果!$B736=""),0,IF(OR(N(对接源_01水果!$B736)&lt;$K$2,N(对接源_01水果!$B736)&gt;$K$3),0,1))</f>
        <v>0</v>
      </c>
      <c r="L736" s="1" t="n">
        <f aca="false">IF(OR($L$1="",对接源_01水果!$C736="",对接源_01水果!$C736&lt;&gt;$L$1,对接源_01水果!$B736=""),0,IF(OR(N(对接源_01水果!$B736)&lt;$L$2,N(对接源_01水果!$B736)&gt;$L$3),0,1))</f>
        <v>0</v>
      </c>
      <c r="M736" s="1" t="n">
        <f aca="false">IF(OR($M$1="",对接源_01水果!$C736="",对接源_01水果!$C736&lt;&gt;$M$1,对接源_01水果!$B736=""),0,IF(OR(N(对接源_01水果!$B736)&lt;$M$2,N(对接源_01水果!$B736)&gt;$M$3),0,1))</f>
        <v>0</v>
      </c>
      <c r="N736" s="1" t="n">
        <f aca="false">IF(OR($N$1="",对接源_01水果!$C736="",对接源_01水果!$C736&lt;&gt;$N$1,对接源_01水果!$B736=""),0,IF(OR(N(对接源_01水果!$B736)&lt;$N$2,N(对接源_01水果!$B736)&gt;$N$3),0,1))</f>
        <v>0</v>
      </c>
      <c r="P736" s="1" t="n">
        <f aca="false">IF(AND($K736=1,AND(对接源_01水果!$X736="公司筐",N(对接源_01水果!$T736)&lt;&gt;0)),1,0)</f>
        <v>0</v>
      </c>
      <c r="Q736" s="1" t="n">
        <f aca="false">N(Q735)+$P736</f>
        <v>3</v>
      </c>
      <c r="R736" s="1" t="n">
        <f aca="false">IF(AND($K736=1,AND(对接源_01水果!$X736="公司筐",N(对接源_01水果!$U736)&lt;&gt;0)),1,0)</f>
        <v>0</v>
      </c>
      <c r="S736" s="1" t="n">
        <f aca="false">N(S735)+$R736</f>
        <v>0</v>
      </c>
      <c r="T736" s="1" t="n">
        <f aca="false">IF(AND($K736=1,AND(对接源_01水果!$X736="公司筐",N(对接源_01水果!$V736)&lt;&gt;0)),1,0)</f>
        <v>0</v>
      </c>
      <c r="U736" s="1" t="n">
        <f aca="false">N(U735)+$T736</f>
        <v>28</v>
      </c>
      <c r="V736" s="1" t="n">
        <f aca="false">IF(AND($L736=1,AND(对接源_01水果!$X736="自备筐",N(对接源_01水果!$V736)&lt;&gt;0)),1,0)</f>
        <v>0</v>
      </c>
      <c r="W736" s="1" t="n">
        <f aca="false">N(W735)+$V736</f>
        <v>7</v>
      </c>
      <c r="X736" s="1" t="n">
        <f aca="false">IF(AND($L736=1,AND(对接源_01水果!$X736="自备筐",N(对接源_01水果!$T736)&lt;&gt;0)),1,0)</f>
        <v>0</v>
      </c>
      <c r="Y736" s="1" t="n">
        <f aca="false">N(Y735)+$X736</f>
        <v>0</v>
      </c>
      <c r="Z736" s="1" t="n">
        <f aca="false">IF(AND($M736=1,对接源_01水果!$D736="原料入库"),1,0)</f>
        <v>0</v>
      </c>
      <c r="AA736" s="1" t="n">
        <f aca="false">N(AA735)+$Z736</f>
        <v>30</v>
      </c>
      <c r="AB736" s="1" t="n">
        <f aca="false">IF(AND($M736=1,LEFT(对接源_01水果!$D736,4)="原料出库"),1,0)</f>
        <v>0</v>
      </c>
      <c r="AC736" s="1" t="n">
        <f aca="false">N(AC735)+$AB736</f>
        <v>19</v>
      </c>
      <c r="AD736" s="1" t="n">
        <f aca="false">IF(AND($M736=1,LEFT(对接源_01水果!$D736,4)="成品出库"),1,0)</f>
        <v>0</v>
      </c>
      <c r="AE736" s="1" t="n">
        <f aca="false">N(AE735)+$AD736</f>
        <v>38</v>
      </c>
      <c r="AF736" s="1" t="n">
        <f aca="false">IF(AND($N736=1,AND(LEFT(对接源_01水果!$D736,4)="包装物料",N(对接源_01水果!$K736)&lt;&gt;0)),1,0)</f>
        <v>0</v>
      </c>
      <c r="AG736" s="90" t="str">
        <f aca="false">IF(对接源_01水果!$AC736="","",对接源_01水果!$AC736)</f>
        <v/>
      </c>
      <c r="AH736" s="1" t="n">
        <f aca="false">IF(AND($N736=1,AND(LEFT(对接源_01水果!$D736,3)="周转筐",N(对接源_01水果!$K736)&lt;&gt;0)),1,0)</f>
        <v>0</v>
      </c>
      <c r="AI736" s="90" t="n">
        <f aca="false">IF(AG736="",0,IF(MATCH(AG736,$AG$4:$AG$1203,0)=ROW()-3,1,0))</f>
        <v>0</v>
      </c>
      <c r="AJ736" s="90" t="n">
        <f aca="false">N(AJ735)+AI736</f>
        <v>4</v>
      </c>
      <c r="AK736" s="1" t="n">
        <f aca="false">N(AK735)+$AJ736</f>
        <v>1804</v>
      </c>
    </row>
    <row r="737" customFormat="false" ht="13.5" hidden="false" customHeight="false" outlineLevel="0" collapsed="false">
      <c r="A737" s="1" t="str">
        <f aca="false">IF(对接源_01水果!$C737="","",对接源_01水果!$C737)</f>
        <v/>
      </c>
      <c r="B737" s="1" t="n">
        <f aca="false">IF(A737="",0,IF(MATCH(A737,$A$4:$A$2403,0)=ROW()-3,1,0))</f>
        <v>0</v>
      </c>
      <c r="C737" s="1" t="n">
        <f aca="false">N(C736)+B737</f>
        <v>13</v>
      </c>
      <c r="K737" s="1" t="n">
        <f aca="false">IF(OR($K$1="",对接源_01水果!$C737="",对接源_01水果!$C737&lt;&gt;$K$1,对接源_01水果!$B737=""),0,IF(OR(N(对接源_01水果!$B737)&lt;$K$2,N(对接源_01水果!$B737)&gt;$K$3),0,1))</f>
        <v>0</v>
      </c>
      <c r="L737" s="1" t="n">
        <f aca="false">IF(OR($L$1="",对接源_01水果!$C737="",对接源_01水果!$C737&lt;&gt;$L$1,对接源_01水果!$B737=""),0,IF(OR(N(对接源_01水果!$B737)&lt;$L$2,N(对接源_01水果!$B737)&gt;$L$3),0,1))</f>
        <v>0</v>
      </c>
      <c r="M737" s="1" t="n">
        <f aca="false">IF(OR($M$1="",对接源_01水果!$C737="",对接源_01水果!$C737&lt;&gt;$M$1,对接源_01水果!$B737=""),0,IF(OR(N(对接源_01水果!$B737)&lt;$M$2,N(对接源_01水果!$B737)&gt;$M$3),0,1))</f>
        <v>0</v>
      </c>
      <c r="N737" s="1" t="n">
        <f aca="false">IF(OR($N$1="",对接源_01水果!$C737="",对接源_01水果!$C737&lt;&gt;$N$1,对接源_01水果!$B737=""),0,IF(OR(N(对接源_01水果!$B737)&lt;$N$2,N(对接源_01水果!$B737)&gt;$N$3),0,1))</f>
        <v>0</v>
      </c>
      <c r="P737" s="1" t="n">
        <f aca="false">IF(AND($K737=1,AND(对接源_01水果!$X737="公司筐",N(对接源_01水果!$T737)&lt;&gt;0)),1,0)</f>
        <v>0</v>
      </c>
      <c r="Q737" s="1" t="n">
        <f aca="false">N(Q736)+$P737</f>
        <v>3</v>
      </c>
      <c r="R737" s="1" t="n">
        <f aca="false">IF(AND($K737=1,AND(对接源_01水果!$X737="公司筐",N(对接源_01水果!$U737)&lt;&gt;0)),1,0)</f>
        <v>0</v>
      </c>
      <c r="S737" s="1" t="n">
        <f aca="false">N(S736)+$R737</f>
        <v>0</v>
      </c>
      <c r="T737" s="1" t="n">
        <f aca="false">IF(AND($K737=1,AND(对接源_01水果!$X737="公司筐",N(对接源_01水果!$V737)&lt;&gt;0)),1,0)</f>
        <v>0</v>
      </c>
      <c r="U737" s="1" t="n">
        <f aca="false">N(U736)+$T737</f>
        <v>28</v>
      </c>
      <c r="V737" s="1" t="n">
        <f aca="false">IF(AND($L737=1,AND(对接源_01水果!$X737="自备筐",N(对接源_01水果!$V737)&lt;&gt;0)),1,0)</f>
        <v>0</v>
      </c>
      <c r="W737" s="1" t="n">
        <f aca="false">N(W736)+$V737</f>
        <v>7</v>
      </c>
      <c r="X737" s="1" t="n">
        <f aca="false">IF(AND($L737=1,AND(对接源_01水果!$X737="自备筐",N(对接源_01水果!$T737)&lt;&gt;0)),1,0)</f>
        <v>0</v>
      </c>
      <c r="Y737" s="1" t="n">
        <f aca="false">N(Y736)+$X737</f>
        <v>0</v>
      </c>
      <c r="Z737" s="1" t="n">
        <f aca="false">IF(AND($M737=1,对接源_01水果!$D737="原料入库"),1,0)</f>
        <v>0</v>
      </c>
      <c r="AA737" s="1" t="n">
        <f aca="false">N(AA736)+$Z737</f>
        <v>30</v>
      </c>
      <c r="AB737" s="1" t="n">
        <f aca="false">IF(AND($M737=1,LEFT(对接源_01水果!$D737,4)="原料出库"),1,0)</f>
        <v>0</v>
      </c>
      <c r="AC737" s="1" t="n">
        <f aca="false">N(AC736)+$AB737</f>
        <v>19</v>
      </c>
      <c r="AD737" s="1" t="n">
        <f aca="false">IF(AND($M737=1,LEFT(对接源_01水果!$D737,4)="成品出库"),1,0)</f>
        <v>0</v>
      </c>
      <c r="AE737" s="1" t="n">
        <f aca="false">N(AE736)+$AD737</f>
        <v>38</v>
      </c>
      <c r="AF737" s="1" t="n">
        <f aca="false">IF(AND($N737=1,AND(LEFT(对接源_01水果!$D737,4)="包装物料",N(对接源_01水果!$K737)&lt;&gt;0)),1,0)</f>
        <v>0</v>
      </c>
      <c r="AG737" s="90" t="str">
        <f aca="false">IF(对接源_01水果!$AC737="","",对接源_01水果!$AC737)</f>
        <v/>
      </c>
      <c r="AH737" s="1" t="n">
        <f aca="false">IF(AND($N737=1,AND(LEFT(对接源_01水果!$D737,3)="周转筐",N(对接源_01水果!$K737)&lt;&gt;0)),1,0)</f>
        <v>0</v>
      </c>
      <c r="AI737" s="90" t="n">
        <f aca="false">IF(AG737="",0,IF(MATCH(AG737,$AG$4:$AG$1203,0)=ROW()-3,1,0))</f>
        <v>0</v>
      </c>
      <c r="AJ737" s="90" t="n">
        <f aca="false">N(AJ736)+AI737</f>
        <v>4</v>
      </c>
      <c r="AK737" s="1" t="n">
        <f aca="false">N(AK736)+$AJ737</f>
        <v>1808</v>
      </c>
    </row>
    <row r="738" customFormat="false" ht="13.5" hidden="false" customHeight="false" outlineLevel="0" collapsed="false">
      <c r="A738" s="1" t="str">
        <f aca="false">IF(对接源_01水果!$C738="","",对接源_01水果!$C738)</f>
        <v/>
      </c>
      <c r="B738" s="1" t="n">
        <f aca="false">IF(A738="",0,IF(MATCH(A738,$A$4:$A$2403,0)=ROW()-3,1,0))</f>
        <v>0</v>
      </c>
      <c r="C738" s="1" t="n">
        <f aca="false">N(C737)+B738</f>
        <v>13</v>
      </c>
      <c r="K738" s="1" t="n">
        <f aca="false">IF(OR($K$1="",对接源_01水果!$C738="",对接源_01水果!$C738&lt;&gt;$K$1,对接源_01水果!$B738=""),0,IF(OR(N(对接源_01水果!$B738)&lt;$K$2,N(对接源_01水果!$B738)&gt;$K$3),0,1))</f>
        <v>0</v>
      </c>
      <c r="L738" s="1" t="n">
        <f aca="false">IF(OR($L$1="",对接源_01水果!$C738="",对接源_01水果!$C738&lt;&gt;$L$1,对接源_01水果!$B738=""),0,IF(OR(N(对接源_01水果!$B738)&lt;$L$2,N(对接源_01水果!$B738)&gt;$L$3),0,1))</f>
        <v>0</v>
      </c>
      <c r="M738" s="1" t="n">
        <f aca="false">IF(OR($M$1="",对接源_01水果!$C738="",对接源_01水果!$C738&lt;&gt;$M$1,对接源_01水果!$B738=""),0,IF(OR(N(对接源_01水果!$B738)&lt;$M$2,N(对接源_01水果!$B738)&gt;$M$3),0,1))</f>
        <v>0</v>
      </c>
      <c r="N738" s="1" t="n">
        <f aca="false">IF(OR($N$1="",对接源_01水果!$C738="",对接源_01水果!$C738&lt;&gt;$N$1,对接源_01水果!$B738=""),0,IF(OR(N(对接源_01水果!$B738)&lt;$N$2,N(对接源_01水果!$B738)&gt;$N$3),0,1))</f>
        <v>0</v>
      </c>
      <c r="P738" s="1" t="n">
        <f aca="false">IF(AND($K738=1,AND(对接源_01水果!$X738="公司筐",N(对接源_01水果!$T738)&lt;&gt;0)),1,0)</f>
        <v>0</v>
      </c>
      <c r="Q738" s="1" t="n">
        <f aca="false">N(Q737)+$P738</f>
        <v>3</v>
      </c>
      <c r="R738" s="1" t="n">
        <f aca="false">IF(AND($K738=1,AND(对接源_01水果!$X738="公司筐",N(对接源_01水果!$U738)&lt;&gt;0)),1,0)</f>
        <v>0</v>
      </c>
      <c r="S738" s="1" t="n">
        <f aca="false">N(S737)+$R738</f>
        <v>0</v>
      </c>
      <c r="T738" s="1" t="n">
        <f aca="false">IF(AND($K738=1,AND(对接源_01水果!$X738="公司筐",N(对接源_01水果!$V738)&lt;&gt;0)),1,0)</f>
        <v>0</v>
      </c>
      <c r="U738" s="1" t="n">
        <f aca="false">N(U737)+$T738</f>
        <v>28</v>
      </c>
      <c r="V738" s="1" t="n">
        <f aca="false">IF(AND($L738=1,AND(对接源_01水果!$X738="自备筐",N(对接源_01水果!$V738)&lt;&gt;0)),1,0)</f>
        <v>0</v>
      </c>
      <c r="W738" s="1" t="n">
        <f aca="false">N(W737)+$V738</f>
        <v>7</v>
      </c>
      <c r="X738" s="1" t="n">
        <f aca="false">IF(AND($L738=1,AND(对接源_01水果!$X738="自备筐",N(对接源_01水果!$T738)&lt;&gt;0)),1,0)</f>
        <v>0</v>
      </c>
      <c r="Y738" s="1" t="n">
        <f aca="false">N(Y737)+$X738</f>
        <v>0</v>
      </c>
      <c r="Z738" s="1" t="n">
        <f aca="false">IF(AND($M738=1,对接源_01水果!$D738="原料入库"),1,0)</f>
        <v>0</v>
      </c>
      <c r="AA738" s="1" t="n">
        <f aca="false">N(AA737)+$Z738</f>
        <v>30</v>
      </c>
      <c r="AB738" s="1" t="n">
        <f aca="false">IF(AND($M738=1,LEFT(对接源_01水果!$D738,4)="原料出库"),1,0)</f>
        <v>0</v>
      </c>
      <c r="AC738" s="1" t="n">
        <f aca="false">N(AC737)+$AB738</f>
        <v>19</v>
      </c>
      <c r="AD738" s="1" t="n">
        <f aca="false">IF(AND($M738=1,LEFT(对接源_01水果!$D738,4)="成品出库"),1,0)</f>
        <v>0</v>
      </c>
      <c r="AE738" s="1" t="n">
        <f aca="false">N(AE737)+$AD738</f>
        <v>38</v>
      </c>
      <c r="AF738" s="1" t="n">
        <f aca="false">IF(AND($N738=1,AND(LEFT(对接源_01水果!$D738,4)="包装物料",N(对接源_01水果!$K738)&lt;&gt;0)),1,0)</f>
        <v>0</v>
      </c>
      <c r="AG738" s="90" t="str">
        <f aca="false">IF(对接源_01水果!$AC738="","",对接源_01水果!$AC738)</f>
        <v/>
      </c>
      <c r="AH738" s="1" t="n">
        <f aca="false">IF(AND($N738=1,AND(LEFT(对接源_01水果!$D738,3)="周转筐",N(对接源_01水果!$K738)&lt;&gt;0)),1,0)</f>
        <v>0</v>
      </c>
      <c r="AI738" s="90" t="n">
        <f aca="false">IF(AG738="",0,IF(MATCH(AG738,$AG$4:$AG$1203,0)=ROW()-3,1,0))</f>
        <v>0</v>
      </c>
      <c r="AJ738" s="90" t="n">
        <f aca="false">N(AJ737)+AI738</f>
        <v>4</v>
      </c>
      <c r="AK738" s="1" t="n">
        <f aca="false">N(AK737)+$AJ738</f>
        <v>1812</v>
      </c>
    </row>
    <row r="739" customFormat="false" ht="13.5" hidden="false" customHeight="false" outlineLevel="0" collapsed="false">
      <c r="A739" s="1" t="str">
        <f aca="false">IF(对接源_01水果!$C739="","",对接源_01水果!$C739)</f>
        <v/>
      </c>
      <c r="B739" s="1" t="n">
        <f aca="false">IF(A739="",0,IF(MATCH(A739,$A$4:$A$2403,0)=ROW()-3,1,0))</f>
        <v>0</v>
      </c>
      <c r="C739" s="1" t="n">
        <f aca="false">N(C738)+B739</f>
        <v>13</v>
      </c>
      <c r="K739" s="1" t="n">
        <f aca="false">IF(OR($K$1="",对接源_01水果!$C739="",对接源_01水果!$C739&lt;&gt;$K$1,对接源_01水果!$B739=""),0,IF(OR(N(对接源_01水果!$B739)&lt;$K$2,N(对接源_01水果!$B739)&gt;$K$3),0,1))</f>
        <v>0</v>
      </c>
      <c r="L739" s="1" t="n">
        <f aca="false">IF(OR($L$1="",对接源_01水果!$C739="",对接源_01水果!$C739&lt;&gt;$L$1,对接源_01水果!$B739=""),0,IF(OR(N(对接源_01水果!$B739)&lt;$L$2,N(对接源_01水果!$B739)&gt;$L$3),0,1))</f>
        <v>0</v>
      </c>
      <c r="M739" s="1" t="n">
        <f aca="false">IF(OR($M$1="",对接源_01水果!$C739="",对接源_01水果!$C739&lt;&gt;$M$1,对接源_01水果!$B739=""),0,IF(OR(N(对接源_01水果!$B739)&lt;$M$2,N(对接源_01水果!$B739)&gt;$M$3),0,1))</f>
        <v>0</v>
      </c>
      <c r="N739" s="1" t="n">
        <f aca="false">IF(OR($N$1="",对接源_01水果!$C739="",对接源_01水果!$C739&lt;&gt;$N$1,对接源_01水果!$B739=""),0,IF(OR(N(对接源_01水果!$B739)&lt;$N$2,N(对接源_01水果!$B739)&gt;$N$3),0,1))</f>
        <v>0</v>
      </c>
      <c r="P739" s="1" t="n">
        <f aca="false">IF(AND($K739=1,AND(对接源_01水果!$X739="公司筐",N(对接源_01水果!$T739)&lt;&gt;0)),1,0)</f>
        <v>0</v>
      </c>
      <c r="Q739" s="1" t="n">
        <f aca="false">N(Q738)+$P739</f>
        <v>3</v>
      </c>
      <c r="R739" s="1" t="n">
        <f aca="false">IF(AND($K739=1,AND(对接源_01水果!$X739="公司筐",N(对接源_01水果!$U739)&lt;&gt;0)),1,0)</f>
        <v>0</v>
      </c>
      <c r="S739" s="1" t="n">
        <f aca="false">N(S738)+$R739</f>
        <v>0</v>
      </c>
      <c r="T739" s="1" t="n">
        <f aca="false">IF(AND($K739=1,AND(对接源_01水果!$X739="公司筐",N(对接源_01水果!$V739)&lt;&gt;0)),1,0)</f>
        <v>0</v>
      </c>
      <c r="U739" s="1" t="n">
        <f aca="false">N(U738)+$T739</f>
        <v>28</v>
      </c>
      <c r="V739" s="1" t="n">
        <f aca="false">IF(AND($L739=1,AND(对接源_01水果!$X739="自备筐",N(对接源_01水果!$V739)&lt;&gt;0)),1,0)</f>
        <v>0</v>
      </c>
      <c r="W739" s="1" t="n">
        <f aca="false">N(W738)+$V739</f>
        <v>7</v>
      </c>
      <c r="X739" s="1" t="n">
        <f aca="false">IF(AND($L739=1,AND(对接源_01水果!$X739="自备筐",N(对接源_01水果!$T739)&lt;&gt;0)),1,0)</f>
        <v>0</v>
      </c>
      <c r="Y739" s="1" t="n">
        <f aca="false">N(Y738)+$X739</f>
        <v>0</v>
      </c>
      <c r="Z739" s="1" t="n">
        <f aca="false">IF(AND($M739=1,对接源_01水果!$D739="原料入库"),1,0)</f>
        <v>0</v>
      </c>
      <c r="AA739" s="1" t="n">
        <f aca="false">N(AA738)+$Z739</f>
        <v>30</v>
      </c>
      <c r="AB739" s="1" t="n">
        <f aca="false">IF(AND($M739=1,LEFT(对接源_01水果!$D739,4)="原料出库"),1,0)</f>
        <v>0</v>
      </c>
      <c r="AC739" s="1" t="n">
        <f aca="false">N(AC738)+$AB739</f>
        <v>19</v>
      </c>
      <c r="AD739" s="1" t="n">
        <f aca="false">IF(AND($M739=1,LEFT(对接源_01水果!$D739,4)="成品出库"),1,0)</f>
        <v>0</v>
      </c>
      <c r="AE739" s="1" t="n">
        <f aca="false">N(AE738)+$AD739</f>
        <v>38</v>
      </c>
      <c r="AF739" s="1" t="n">
        <f aca="false">IF(AND($N739=1,AND(LEFT(对接源_01水果!$D739,4)="包装物料",N(对接源_01水果!$K739)&lt;&gt;0)),1,0)</f>
        <v>0</v>
      </c>
      <c r="AG739" s="90" t="str">
        <f aca="false">IF(对接源_01水果!$AC739="","",对接源_01水果!$AC739)</f>
        <v/>
      </c>
      <c r="AH739" s="1" t="n">
        <f aca="false">IF(AND($N739=1,AND(LEFT(对接源_01水果!$D739,3)="周转筐",N(对接源_01水果!$K739)&lt;&gt;0)),1,0)</f>
        <v>0</v>
      </c>
      <c r="AI739" s="90" t="n">
        <f aca="false">IF(AG739="",0,IF(MATCH(AG739,$AG$4:$AG$1203,0)=ROW()-3,1,0))</f>
        <v>0</v>
      </c>
      <c r="AJ739" s="90" t="n">
        <f aca="false">N(AJ738)+AI739</f>
        <v>4</v>
      </c>
      <c r="AK739" s="1" t="n">
        <f aca="false">N(AK738)+$AJ739</f>
        <v>1816</v>
      </c>
    </row>
    <row r="740" customFormat="false" ht="13.5" hidden="false" customHeight="false" outlineLevel="0" collapsed="false">
      <c r="A740" s="1" t="str">
        <f aca="false">IF(对接源_01水果!$C740="","",对接源_01水果!$C740)</f>
        <v/>
      </c>
      <c r="B740" s="1" t="n">
        <f aca="false">IF(A740="",0,IF(MATCH(A740,$A$4:$A$2403,0)=ROW()-3,1,0))</f>
        <v>0</v>
      </c>
      <c r="C740" s="1" t="n">
        <f aca="false">N(C739)+B740</f>
        <v>13</v>
      </c>
      <c r="K740" s="1" t="n">
        <f aca="false">IF(OR($K$1="",对接源_01水果!$C740="",对接源_01水果!$C740&lt;&gt;$K$1,对接源_01水果!$B740=""),0,IF(OR(N(对接源_01水果!$B740)&lt;$K$2,N(对接源_01水果!$B740)&gt;$K$3),0,1))</f>
        <v>0</v>
      </c>
      <c r="L740" s="1" t="n">
        <f aca="false">IF(OR($L$1="",对接源_01水果!$C740="",对接源_01水果!$C740&lt;&gt;$L$1,对接源_01水果!$B740=""),0,IF(OR(N(对接源_01水果!$B740)&lt;$L$2,N(对接源_01水果!$B740)&gt;$L$3),0,1))</f>
        <v>0</v>
      </c>
      <c r="M740" s="1" t="n">
        <f aca="false">IF(OR($M$1="",对接源_01水果!$C740="",对接源_01水果!$C740&lt;&gt;$M$1,对接源_01水果!$B740=""),0,IF(OR(N(对接源_01水果!$B740)&lt;$M$2,N(对接源_01水果!$B740)&gt;$M$3),0,1))</f>
        <v>0</v>
      </c>
      <c r="N740" s="1" t="n">
        <f aca="false">IF(OR($N$1="",对接源_01水果!$C740="",对接源_01水果!$C740&lt;&gt;$N$1,对接源_01水果!$B740=""),0,IF(OR(N(对接源_01水果!$B740)&lt;$N$2,N(对接源_01水果!$B740)&gt;$N$3),0,1))</f>
        <v>0</v>
      </c>
      <c r="P740" s="1" t="n">
        <f aca="false">IF(AND($K740=1,AND(对接源_01水果!$X740="公司筐",N(对接源_01水果!$T740)&lt;&gt;0)),1,0)</f>
        <v>0</v>
      </c>
      <c r="Q740" s="1" t="n">
        <f aca="false">N(Q739)+$P740</f>
        <v>3</v>
      </c>
      <c r="R740" s="1" t="n">
        <f aca="false">IF(AND($K740=1,AND(对接源_01水果!$X740="公司筐",N(对接源_01水果!$U740)&lt;&gt;0)),1,0)</f>
        <v>0</v>
      </c>
      <c r="S740" s="1" t="n">
        <f aca="false">N(S739)+$R740</f>
        <v>0</v>
      </c>
      <c r="T740" s="1" t="n">
        <f aca="false">IF(AND($K740=1,AND(对接源_01水果!$X740="公司筐",N(对接源_01水果!$V740)&lt;&gt;0)),1,0)</f>
        <v>0</v>
      </c>
      <c r="U740" s="1" t="n">
        <f aca="false">N(U739)+$T740</f>
        <v>28</v>
      </c>
      <c r="V740" s="1" t="n">
        <f aca="false">IF(AND($L740=1,AND(对接源_01水果!$X740="自备筐",N(对接源_01水果!$V740)&lt;&gt;0)),1,0)</f>
        <v>0</v>
      </c>
      <c r="W740" s="1" t="n">
        <f aca="false">N(W739)+$V740</f>
        <v>7</v>
      </c>
      <c r="X740" s="1" t="n">
        <f aca="false">IF(AND($L740=1,AND(对接源_01水果!$X740="自备筐",N(对接源_01水果!$T740)&lt;&gt;0)),1,0)</f>
        <v>0</v>
      </c>
      <c r="Y740" s="1" t="n">
        <f aca="false">N(Y739)+$X740</f>
        <v>0</v>
      </c>
      <c r="Z740" s="1" t="n">
        <f aca="false">IF(AND($M740=1,对接源_01水果!$D740="原料入库"),1,0)</f>
        <v>0</v>
      </c>
      <c r="AA740" s="1" t="n">
        <f aca="false">N(AA739)+$Z740</f>
        <v>30</v>
      </c>
      <c r="AB740" s="1" t="n">
        <f aca="false">IF(AND($M740=1,LEFT(对接源_01水果!$D740,4)="原料出库"),1,0)</f>
        <v>0</v>
      </c>
      <c r="AC740" s="1" t="n">
        <f aca="false">N(AC739)+$AB740</f>
        <v>19</v>
      </c>
      <c r="AD740" s="1" t="n">
        <f aca="false">IF(AND($M740=1,LEFT(对接源_01水果!$D740,4)="成品出库"),1,0)</f>
        <v>0</v>
      </c>
      <c r="AE740" s="1" t="n">
        <f aca="false">N(AE739)+$AD740</f>
        <v>38</v>
      </c>
      <c r="AF740" s="1" t="n">
        <f aca="false">IF(AND($N740=1,AND(LEFT(对接源_01水果!$D740,4)="包装物料",N(对接源_01水果!$K740)&lt;&gt;0)),1,0)</f>
        <v>0</v>
      </c>
      <c r="AG740" s="90" t="str">
        <f aca="false">IF(对接源_01水果!$AC740="","",对接源_01水果!$AC740)</f>
        <v/>
      </c>
      <c r="AH740" s="1" t="n">
        <f aca="false">IF(AND($N740=1,AND(LEFT(对接源_01水果!$D740,3)="周转筐",N(对接源_01水果!$K740)&lt;&gt;0)),1,0)</f>
        <v>0</v>
      </c>
      <c r="AI740" s="90" t="n">
        <f aca="false">IF(AG740="",0,IF(MATCH(AG740,$AG$4:$AG$1203,0)=ROW()-3,1,0))</f>
        <v>0</v>
      </c>
      <c r="AJ740" s="90" t="n">
        <f aca="false">N(AJ739)+AI740</f>
        <v>4</v>
      </c>
      <c r="AK740" s="1" t="n">
        <f aca="false">N(AK739)+$AJ740</f>
        <v>1820</v>
      </c>
    </row>
    <row r="741" customFormat="false" ht="13.5" hidden="false" customHeight="false" outlineLevel="0" collapsed="false">
      <c r="A741" s="1" t="str">
        <f aca="false">IF(对接源_01水果!$C741="","",对接源_01水果!$C741)</f>
        <v/>
      </c>
      <c r="B741" s="1" t="n">
        <f aca="false">IF(A741="",0,IF(MATCH(A741,$A$4:$A$2403,0)=ROW()-3,1,0))</f>
        <v>0</v>
      </c>
      <c r="C741" s="1" t="n">
        <f aca="false">N(C740)+B741</f>
        <v>13</v>
      </c>
      <c r="K741" s="1" t="n">
        <f aca="false">IF(OR($K$1="",对接源_01水果!$C741="",对接源_01水果!$C741&lt;&gt;$K$1,对接源_01水果!$B741=""),0,IF(OR(N(对接源_01水果!$B741)&lt;$K$2,N(对接源_01水果!$B741)&gt;$K$3),0,1))</f>
        <v>0</v>
      </c>
      <c r="L741" s="1" t="n">
        <f aca="false">IF(OR($L$1="",对接源_01水果!$C741="",对接源_01水果!$C741&lt;&gt;$L$1,对接源_01水果!$B741=""),0,IF(OR(N(对接源_01水果!$B741)&lt;$L$2,N(对接源_01水果!$B741)&gt;$L$3),0,1))</f>
        <v>0</v>
      </c>
      <c r="M741" s="1" t="n">
        <f aca="false">IF(OR($M$1="",对接源_01水果!$C741="",对接源_01水果!$C741&lt;&gt;$M$1,对接源_01水果!$B741=""),0,IF(OR(N(对接源_01水果!$B741)&lt;$M$2,N(对接源_01水果!$B741)&gt;$M$3),0,1))</f>
        <v>0</v>
      </c>
      <c r="N741" s="1" t="n">
        <f aca="false">IF(OR($N$1="",对接源_01水果!$C741="",对接源_01水果!$C741&lt;&gt;$N$1,对接源_01水果!$B741=""),0,IF(OR(N(对接源_01水果!$B741)&lt;$N$2,N(对接源_01水果!$B741)&gt;$N$3),0,1))</f>
        <v>0</v>
      </c>
      <c r="P741" s="1" t="n">
        <f aca="false">IF(AND($K741=1,AND(对接源_01水果!$X741="公司筐",N(对接源_01水果!$T741)&lt;&gt;0)),1,0)</f>
        <v>0</v>
      </c>
      <c r="Q741" s="1" t="n">
        <f aca="false">N(Q740)+$P741</f>
        <v>3</v>
      </c>
      <c r="R741" s="1" t="n">
        <f aca="false">IF(AND($K741=1,AND(对接源_01水果!$X741="公司筐",N(对接源_01水果!$U741)&lt;&gt;0)),1,0)</f>
        <v>0</v>
      </c>
      <c r="S741" s="1" t="n">
        <f aca="false">N(S740)+$R741</f>
        <v>0</v>
      </c>
      <c r="T741" s="1" t="n">
        <f aca="false">IF(AND($K741=1,AND(对接源_01水果!$X741="公司筐",N(对接源_01水果!$V741)&lt;&gt;0)),1,0)</f>
        <v>0</v>
      </c>
      <c r="U741" s="1" t="n">
        <f aca="false">N(U740)+$T741</f>
        <v>28</v>
      </c>
      <c r="V741" s="1" t="n">
        <f aca="false">IF(AND($L741=1,AND(对接源_01水果!$X741="自备筐",N(对接源_01水果!$V741)&lt;&gt;0)),1,0)</f>
        <v>0</v>
      </c>
      <c r="W741" s="1" t="n">
        <f aca="false">N(W740)+$V741</f>
        <v>7</v>
      </c>
      <c r="X741" s="1" t="n">
        <f aca="false">IF(AND($L741=1,AND(对接源_01水果!$X741="自备筐",N(对接源_01水果!$T741)&lt;&gt;0)),1,0)</f>
        <v>0</v>
      </c>
      <c r="Y741" s="1" t="n">
        <f aca="false">N(Y740)+$X741</f>
        <v>0</v>
      </c>
      <c r="Z741" s="1" t="n">
        <f aca="false">IF(AND($M741=1,对接源_01水果!$D741="原料入库"),1,0)</f>
        <v>0</v>
      </c>
      <c r="AA741" s="1" t="n">
        <f aca="false">N(AA740)+$Z741</f>
        <v>30</v>
      </c>
      <c r="AB741" s="1" t="n">
        <f aca="false">IF(AND($M741=1,LEFT(对接源_01水果!$D741,4)="原料出库"),1,0)</f>
        <v>0</v>
      </c>
      <c r="AC741" s="1" t="n">
        <f aca="false">N(AC740)+$AB741</f>
        <v>19</v>
      </c>
      <c r="AD741" s="1" t="n">
        <f aca="false">IF(AND($M741=1,LEFT(对接源_01水果!$D741,4)="成品出库"),1,0)</f>
        <v>0</v>
      </c>
      <c r="AE741" s="1" t="n">
        <f aca="false">N(AE740)+$AD741</f>
        <v>38</v>
      </c>
      <c r="AF741" s="1" t="n">
        <f aca="false">IF(AND($N741=1,AND(LEFT(对接源_01水果!$D741,4)="包装物料",N(对接源_01水果!$K741)&lt;&gt;0)),1,0)</f>
        <v>0</v>
      </c>
      <c r="AG741" s="90" t="str">
        <f aca="false">IF(对接源_01水果!$AC741="","",对接源_01水果!$AC741)</f>
        <v/>
      </c>
      <c r="AH741" s="1" t="n">
        <f aca="false">IF(AND($N741=1,AND(LEFT(对接源_01水果!$D741,3)="周转筐",N(对接源_01水果!$K741)&lt;&gt;0)),1,0)</f>
        <v>0</v>
      </c>
      <c r="AI741" s="90" t="n">
        <f aca="false">IF(AG741="",0,IF(MATCH(AG741,$AG$4:$AG$1203,0)=ROW()-3,1,0))</f>
        <v>0</v>
      </c>
      <c r="AJ741" s="90" t="n">
        <f aca="false">N(AJ740)+AI741</f>
        <v>4</v>
      </c>
      <c r="AK741" s="1" t="n">
        <f aca="false">N(AK740)+$AJ741</f>
        <v>1824</v>
      </c>
    </row>
    <row r="742" customFormat="false" ht="13.5" hidden="false" customHeight="false" outlineLevel="0" collapsed="false">
      <c r="A742" s="1" t="str">
        <f aca="false">IF(对接源_01水果!$C742="","",对接源_01水果!$C742)</f>
        <v/>
      </c>
      <c r="B742" s="1" t="n">
        <f aca="false">IF(A742="",0,IF(MATCH(A742,$A$4:$A$2403,0)=ROW()-3,1,0))</f>
        <v>0</v>
      </c>
      <c r="C742" s="1" t="n">
        <f aca="false">N(C741)+B742</f>
        <v>13</v>
      </c>
      <c r="K742" s="1" t="n">
        <f aca="false">IF(OR($K$1="",对接源_01水果!$C742="",对接源_01水果!$C742&lt;&gt;$K$1,对接源_01水果!$B742=""),0,IF(OR(N(对接源_01水果!$B742)&lt;$K$2,N(对接源_01水果!$B742)&gt;$K$3),0,1))</f>
        <v>0</v>
      </c>
      <c r="L742" s="1" t="n">
        <f aca="false">IF(OR($L$1="",对接源_01水果!$C742="",对接源_01水果!$C742&lt;&gt;$L$1,对接源_01水果!$B742=""),0,IF(OR(N(对接源_01水果!$B742)&lt;$L$2,N(对接源_01水果!$B742)&gt;$L$3),0,1))</f>
        <v>0</v>
      </c>
      <c r="M742" s="1" t="n">
        <f aca="false">IF(OR($M$1="",对接源_01水果!$C742="",对接源_01水果!$C742&lt;&gt;$M$1,对接源_01水果!$B742=""),0,IF(OR(N(对接源_01水果!$B742)&lt;$M$2,N(对接源_01水果!$B742)&gt;$M$3),0,1))</f>
        <v>0</v>
      </c>
      <c r="N742" s="1" t="n">
        <f aca="false">IF(OR($N$1="",对接源_01水果!$C742="",对接源_01水果!$C742&lt;&gt;$N$1,对接源_01水果!$B742=""),0,IF(OR(N(对接源_01水果!$B742)&lt;$N$2,N(对接源_01水果!$B742)&gt;$N$3),0,1))</f>
        <v>0</v>
      </c>
      <c r="P742" s="1" t="n">
        <f aca="false">IF(AND($K742=1,AND(对接源_01水果!$X742="公司筐",N(对接源_01水果!$T742)&lt;&gt;0)),1,0)</f>
        <v>0</v>
      </c>
      <c r="Q742" s="1" t="n">
        <f aca="false">N(Q741)+$P742</f>
        <v>3</v>
      </c>
      <c r="R742" s="1" t="n">
        <f aca="false">IF(AND($K742=1,AND(对接源_01水果!$X742="公司筐",N(对接源_01水果!$U742)&lt;&gt;0)),1,0)</f>
        <v>0</v>
      </c>
      <c r="S742" s="1" t="n">
        <f aca="false">N(S741)+$R742</f>
        <v>0</v>
      </c>
      <c r="T742" s="1" t="n">
        <f aca="false">IF(AND($K742=1,AND(对接源_01水果!$X742="公司筐",N(对接源_01水果!$V742)&lt;&gt;0)),1,0)</f>
        <v>0</v>
      </c>
      <c r="U742" s="1" t="n">
        <f aca="false">N(U741)+$T742</f>
        <v>28</v>
      </c>
      <c r="V742" s="1" t="n">
        <f aca="false">IF(AND($L742=1,AND(对接源_01水果!$X742="自备筐",N(对接源_01水果!$V742)&lt;&gt;0)),1,0)</f>
        <v>0</v>
      </c>
      <c r="W742" s="1" t="n">
        <f aca="false">N(W741)+$V742</f>
        <v>7</v>
      </c>
      <c r="X742" s="1" t="n">
        <f aca="false">IF(AND($L742=1,AND(对接源_01水果!$X742="自备筐",N(对接源_01水果!$T742)&lt;&gt;0)),1,0)</f>
        <v>0</v>
      </c>
      <c r="Y742" s="1" t="n">
        <f aca="false">N(Y741)+$X742</f>
        <v>0</v>
      </c>
      <c r="Z742" s="1" t="n">
        <f aca="false">IF(AND($M742=1,对接源_01水果!$D742="原料入库"),1,0)</f>
        <v>0</v>
      </c>
      <c r="AA742" s="1" t="n">
        <f aca="false">N(AA741)+$Z742</f>
        <v>30</v>
      </c>
      <c r="AB742" s="1" t="n">
        <f aca="false">IF(AND($M742=1,LEFT(对接源_01水果!$D742,4)="原料出库"),1,0)</f>
        <v>0</v>
      </c>
      <c r="AC742" s="1" t="n">
        <f aca="false">N(AC741)+$AB742</f>
        <v>19</v>
      </c>
      <c r="AD742" s="1" t="n">
        <f aca="false">IF(AND($M742=1,LEFT(对接源_01水果!$D742,4)="成品出库"),1,0)</f>
        <v>0</v>
      </c>
      <c r="AE742" s="1" t="n">
        <f aca="false">N(AE741)+$AD742</f>
        <v>38</v>
      </c>
      <c r="AF742" s="1" t="n">
        <f aca="false">IF(AND($N742=1,AND(LEFT(对接源_01水果!$D742,4)="包装物料",N(对接源_01水果!$K742)&lt;&gt;0)),1,0)</f>
        <v>0</v>
      </c>
      <c r="AG742" s="90" t="str">
        <f aca="false">IF(对接源_01水果!$AC742="","",对接源_01水果!$AC742)</f>
        <v/>
      </c>
      <c r="AH742" s="1" t="n">
        <f aca="false">IF(AND($N742=1,AND(LEFT(对接源_01水果!$D742,3)="周转筐",N(对接源_01水果!$K742)&lt;&gt;0)),1,0)</f>
        <v>0</v>
      </c>
      <c r="AI742" s="90" t="n">
        <f aca="false">IF(AG742="",0,IF(MATCH(AG742,$AG$4:$AG$1203,0)=ROW()-3,1,0))</f>
        <v>0</v>
      </c>
      <c r="AJ742" s="90" t="n">
        <f aca="false">N(AJ741)+AI742</f>
        <v>4</v>
      </c>
      <c r="AK742" s="1" t="n">
        <f aca="false">N(AK741)+$AJ742</f>
        <v>1828</v>
      </c>
    </row>
    <row r="743" customFormat="false" ht="13.5" hidden="false" customHeight="false" outlineLevel="0" collapsed="false">
      <c r="A743" s="1" t="str">
        <f aca="false">IF(对接源_01水果!$C743="","",对接源_01水果!$C743)</f>
        <v/>
      </c>
      <c r="B743" s="1" t="n">
        <f aca="false">IF(A743="",0,IF(MATCH(A743,$A$4:$A$2403,0)=ROW()-3,1,0))</f>
        <v>0</v>
      </c>
      <c r="C743" s="1" t="n">
        <f aca="false">N(C742)+B743</f>
        <v>13</v>
      </c>
      <c r="K743" s="1" t="n">
        <f aca="false">IF(OR($K$1="",对接源_01水果!$C743="",对接源_01水果!$C743&lt;&gt;$K$1,对接源_01水果!$B743=""),0,IF(OR(N(对接源_01水果!$B743)&lt;$K$2,N(对接源_01水果!$B743)&gt;$K$3),0,1))</f>
        <v>0</v>
      </c>
      <c r="L743" s="1" t="n">
        <f aca="false">IF(OR($L$1="",对接源_01水果!$C743="",对接源_01水果!$C743&lt;&gt;$L$1,对接源_01水果!$B743=""),0,IF(OR(N(对接源_01水果!$B743)&lt;$L$2,N(对接源_01水果!$B743)&gt;$L$3),0,1))</f>
        <v>0</v>
      </c>
      <c r="M743" s="1" t="n">
        <f aca="false">IF(OR($M$1="",对接源_01水果!$C743="",对接源_01水果!$C743&lt;&gt;$M$1,对接源_01水果!$B743=""),0,IF(OR(N(对接源_01水果!$B743)&lt;$M$2,N(对接源_01水果!$B743)&gt;$M$3),0,1))</f>
        <v>0</v>
      </c>
      <c r="N743" s="1" t="n">
        <f aca="false">IF(OR($N$1="",对接源_01水果!$C743="",对接源_01水果!$C743&lt;&gt;$N$1,对接源_01水果!$B743=""),0,IF(OR(N(对接源_01水果!$B743)&lt;$N$2,N(对接源_01水果!$B743)&gt;$N$3),0,1))</f>
        <v>0</v>
      </c>
      <c r="P743" s="1" t="n">
        <f aca="false">IF(AND($K743=1,AND(对接源_01水果!$X743="公司筐",N(对接源_01水果!$T743)&lt;&gt;0)),1,0)</f>
        <v>0</v>
      </c>
      <c r="Q743" s="1" t="n">
        <f aca="false">N(Q742)+$P743</f>
        <v>3</v>
      </c>
      <c r="R743" s="1" t="n">
        <f aca="false">IF(AND($K743=1,AND(对接源_01水果!$X743="公司筐",N(对接源_01水果!$U743)&lt;&gt;0)),1,0)</f>
        <v>0</v>
      </c>
      <c r="S743" s="1" t="n">
        <f aca="false">N(S742)+$R743</f>
        <v>0</v>
      </c>
      <c r="T743" s="1" t="n">
        <f aca="false">IF(AND($K743=1,AND(对接源_01水果!$X743="公司筐",N(对接源_01水果!$V743)&lt;&gt;0)),1,0)</f>
        <v>0</v>
      </c>
      <c r="U743" s="1" t="n">
        <f aca="false">N(U742)+$T743</f>
        <v>28</v>
      </c>
      <c r="V743" s="1" t="n">
        <f aca="false">IF(AND($L743=1,AND(对接源_01水果!$X743="自备筐",N(对接源_01水果!$V743)&lt;&gt;0)),1,0)</f>
        <v>0</v>
      </c>
      <c r="W743" s="1" t="n">
        <f aca="false">N(W742)+$V743</f>
        <v>7</v>
      </c>
      <c r="X743" s="1" t="n">
        <f aca="false">IF(AND($L743=1,AND(对接源_01水果!$X743="自备筐",N(对接源_01水果!$T743)&lt;&gt;0)),1,0)</f>
        <v>0</v>
      </c>
      <c r="Y743" s="1" t="n">
        <f aca="false">N(Y742)+$X743</f>
        <v>0</v>
      </c>
      <c r="Z743" s="1" t="n">
        <f aca="false">IF(AND($M743=1,对接源_01水果!$D743="原料入库"),1,0)</f>
        <v>0</v>
      </c>
      <c r="AA743" s="1" t="n">
        <f aca="false">N(AA742)+$Z743</f>
        <v>30</v>
      </c>
      <c r="AB743" s="1" t="n">
        <f aca="false">IF(AND($M743=1,LEFT(对接源_01水果!$D743,4)="原料出库"),1,0)</f>
        <v>0</v>
      </c>
      <c r="AC743" s="1" t="n">
        <f aca="false">N(AC742)+$AB743</f>
        <v>19</v>
      </c>
      <c r="AD743" s="1" t="n">
        <f aca="false">IF(AND($M743=1,LEFT(对接源_01水果!$D743,4)="成品出库"),1,0)</f>
        <v>0</v>
      </c>
      <c r="AE743" s="1" t="n">
        <f aca="false">N(AE742)+$AD743</f>
        <v>38</v>
      </c>
      <c r="AF743" s="1" t="n">
        <f aca="false">IF(AND($N743=1,AND(LEFT(对接源_01水果!$D743,4)="包装物料",N(对接源_01水果!$K743)&lt;&gt;0)),1,0)</f>
        <v>0</v>
      </c>
      <c r="AG743" s="90" t="str">
        <f aca="false">IF(对接源_01水果!$AC743="","",对接源_01水果!$AC743)</f>
        <v/>
      </c>
      <c r="AH743" s="1" t="n">
        <f aca="false">IF(AND($N743=1,AND(LEFT(对接源_01水果!$D743,3)="周转筐",N(对接源_01水果!$K743)&lt;&gt;0)),1,0)</f>
        <v>0</v>
      </c>
      <c r="AI743" s="90" t="n">
        <f aca="false">IF(AG743="",0,IF(MATCH(AG743,$AG$4:$AG$1203,0)=ROW()-3,1,0))</f>
        <v>0</v>
      </c>
      <c r="AJ743" s="90" t="n">
        <f aca="false">N(AJ742)+AI743</f>
        <v>4</v>
      </c>
      <c r="AK743" s="1" t="n">
        <f aca="false">N(AK742)+$AJ743</f>
        <v>1832</v>
      </c>
    </row>
    <row r="744" customFormat="false" ht="13.5" hidden="false" customHeight="false" outlineLevel="0" collapsed="false">
      <c r="A744" s="1" t="str">
        <f aca="false">IF(对接源_01水果!$C744="","",对接源_01水果!$C744)</f>
        <v/>
      </c>
      <c r="B744" s="1" t="n">
        <f aca="false">IF(A744="",0,IF(MATCH(A744,$A$4:$A$2403,0)=ROW()-3,1,0))</f>
        <v>0</v>
      </c>
      <c r="C744" s="1" t="n">
        <f aca="false">N(C743)+B744</f>
        <v>13</v>
      </c>
      <c r="K744" s="1" t="n">
        <f aca="false">IF(OR($K$1="",对接源_01水果!$C744="",对接源_01水果!$C744&lt;&gt;$K$1,对接源_01水果!$B744=""),0,IF(OR(N(对接源_01水果!$B744)&lt;$K$2,N(对接源_01水果!$B744)&gt;$K$3),0,1))</f>
        <v>0</v>
      </c>
      <c r="L744" s="1" t="n">
        <f aca="false">IF(OR($L$1="",对接源_01水果!$C744="",对接源_01水果!$C744&lt;&gt;$L$1,对接源_01水果!$B744=""),0,IF(OR(N(对接源_01水果!$B744)&lt;$L$2,N(对接源_01水果!$B744)&gt;$L$3),0,1))</f>
        <v>0</v>
      </c>
      <c r="M744" s="1" t="n">
        <f aca="false">IF(OR($M$1="",对接源_01水果!$C744="",对接源_01水果!$C744&lt;&gt;$M$1,对接源_01水果!$B744=""),0,IF(OR(N(对接源_01水果!$B744)&lt;$M$2,N(对接源_01水果!$B744)&gt;$M$3),0,1))</f>
        <v>0</v>
      </c>
      <c r="N744" s="1" t="n">
        <f aca="false">IF(OR($N$1="",对接源_01水果!$C744="",对接源_01水果!$C744&lt;&gt;$N$1,对接源_01水果!$B744=""),0,IF(OR(N(对接源_01水果!$B744)&lt;$N$2,N(对接源_01水果!$B744)&gt;$N$3),0,1))</f>
        <v>0</v>
      </c>
      <c r="P744" s="1" t="n">
        <f aca="false">IF(AND($K744=1,AND(对接源_01水果!$X744="公司筐",N(对接源_01水果!$T744)&lt;&gt;0)),1,0)</f>
        <v>0</v>
      </c>
      <c r="Q744" s="1" t="n">
        <f aca="false">N(Q743)+$P744</f>
        <v>3</v>
      </c>
      <c r="R744" s="1" t="n">
        <f aca="false">IF(AND($K744=1,AND(对接源_01水果!$X744="公司筐",N(对接源_01水果!$U744)&lt;&gt;0)),1,0)</f>
        <v>0</v>
      </c>
      <c r="S744" s="1" t="n">
        <f aca="false">N(S743)+$R744</f>
        <v>0</v>
      </c>
      <c r="T744" s="1" t="n">
        <f aca="false">IF(AND($K744=1,AND(对接源_01水果!$X744="公司筐",N(对接源_01水果!$V744)&lt;&gt;0)),1,0)</f>
        <v>0</v>
      </c>
      <c r="U744" s="1" t="n">
        <f aca="false">N(U743)+$T744</f>
        <v>28</v>
      </c>
      <c r="V744" s="1" t="n">
        <f aca="false">IF(AND($L744=1,AND(对接源_01水果!$X744="自备筐",N(对接源_01水果!$V744)&lt;&gt;0)),1,0)</f>
        <v>0</v>
      </c>
      <c r="W744" s="1" t="n">
        <f aca="false">N(W743)+$V744</f>
        <v>7</v>
      </c>
      <c r="X744" s="1" t="n">
        <f aca="false">IF(AND($L744=1,AND(对接源_01水果!$X744="自备筐",N(对接源_01水果!$T744)&lt;&gt;0)),1,0)</f>
        <v>0</v>
      </c>
      <c r="Y744" s="1" t="n">
        <f aca="false">N(Y743)+$X744</f>
        <v>0</v>
      </c>
      <c r="Z744" s="1" t="n">
        <f aca="false">IF(AND($M744=1,对接源_01水果!$D744="原料入库"),1,0)</f>
        <v>0</v>
      </c>
      <c r="AA744" s="1" t="n">
        <f aca="false">N(AA743)+$Z744</f>
        <v>30</v>
      </c>
      <c r="AB744" s="1" t="n">
        <f aca="false">IF(AND($M744=1,LEFT(对接源_01水果!$D744,4)="原料出库"),1,0)</f>
        <v>0</v>
      </c>
      <c r="AC744" s="1" t="n">
        <f aca="false">N(AC743)+$AB744</f>
        <v>19</v>
      </c>
      <c r="AD744" s="1" t="n">
        <f aca="false">IF(AND($M744=1,LEFT(对接源_01水果!$D744,4)="成品出库"),1,0)</f>
        <v>0</v>
      </c>
      <c r="AE744" s="1" t="n">
        <f aca="false">N(AE743)+$AD744</f>
        <v>38</v>
      </c>
      <c r="AF744" s="1" t="n">
        <f aca="false">IF(AND($N744=1,AND(LEFT(对接源_01水果!$D744,4)="包装物料",N(对接源_01水果!$K744)&lt;&gt;0)),1,0)</f>
        <v>0</v>
      </c>
      <c r="AG744" s="90" t="str">
        <f aca="false">IF(对接源_01水果!$AC744="","",对接源_01水果!$AC744)</f>
        <v/>
      </c>
      <c r="AH744" s="1" t="n">
        <f aca="false">IF(AND($N744=1,AND(LEFT(对接源_01水果!$D744,3)="周转筐",N(对接源_01水果!$K744)&lt;&gt;0)),1,0)</f>
        <v>0</v>
      </c>
      <c r="AI744" s="90" t="n">
        <f aca="false">IF(AG744="",0,IF(MATCH(AG744,$AG$4:$AG$1203,0)=ROW()-3,1,0))</f>
        <v>0</v>
      </c>
      <c r="AJ744" s="90" t="n">
        <f aca="false">N(AJ743)+AI744</f>
        <v>4</v>
      </c>
      <c r="AK744" s="1" t="n">
        <f aca="false">N(AK743)+$AJ744</f>
        <v>1836</v>
      </c>
    </row>
    <row r="745" customFormat="false" ht="13.5" hidden="false" customHeight="false" outlineLevel="0" collapsed="false">
      <c r="A745" s="1" t="str">
        <f aca="false">IF(对接源_01水果!$C745="","",对接源_01水果!$C745)</f>
        <v/>
      </c>
      <c r="B745" s="1" t="n">
        <f aca="false">IF(A745="",0,IF(MATCH(A745,$A$4:$A$2403,0)=ROW()-3,1,0))</f>
        <v>0</v>
      </c>
      <c r="C745" s="1" t="n">
        <f aca="false">N(C744)+B745</f>
        <v>13</v>
      </c>
      <c r="K745" s="1" t="n">
        <f aca="false">IF(OR($K$1="",对接源_01水果!$C745="",对接源_01水果!$C745&lt;&gt;$K$1,对接源_01水果!$B745=""),0,IF(OR(N(对接源_01水果!$B745)&lt;$K$2,N(对接源_01水果!$B745)&gt;$K$3),0,1))</f>
        <v>0</v>
      </c>
      <c r="L745" s="1" t="n">
        <f aca="false">IF(OR($L$1="",对接源_01水果!$C745="",对接源_01水果!$C745&lt;&gt;$L$1,对接源_01水果!$B745=""),0,IF(OR(N(对接源_01水果!$B745)&lt;$L$2,N(对接源_01水果!$B745)&gt;$L$3),0,1))</f>
        <v>0</v>
      </c>
      <c r="M745" s="1" t="n">
        <f aca="false">IF(OR($M$1="",对接源_01水果!$C745="",对接源_01水果!$C745&lt;&gt;$M$1,对接源_01水果!$B745=""),0,IF(OR(N(对接源_01水果!$B745)&lt;$M$2,N(对接源_01水果!$B745)&gt;$M$3),0,1))</f>
        <v>0</v>
      </c>
      <c r="N745" s="1" t="n">
        <f aca="false">IF(OR($N$1="",对接源_01水果!$C745="",对接源_01水果!$C745&lt;&gt;$N$1,对接源_01水果!$B745=""),0,IF(OR(N(对接源_01水果!$B745)&lt;$N$2,N(对接源_01水果!$B745)&gt;$N$3),0,1))</f>
        <v>0</v>
      </c>
      <c r="P745" s="1" t="n">
        <f aca="false">IF(AND($K745=1,AND(对接源_01水果!$X745="公司筐",N(对接源_01水果!$T745)&lt;&gt;0)),1,0)</f>
        <v>0</v>
      </c>
      <c r="Q745" s="1" t="n">
        <f aca="false">N(Q744)+$P745</f>
        <v>3</v>
      </c>
      <c r="R745" s="1" t="n">
        <f aca="false">IF(AND($K745=1,AND(对接源_01水果!$X745="公司筐",N(对接源_01水果!$U745)&lt;&gt;0)),1,0)</f>
        <v>0</v>
      </c>
      <c r="S745" s="1" t="n">
        <f aca="false">N(S744)+$R745</f>
        <v>0</v>
      </c>
      <c r="T745" s="1" t="n">
        <f aca="false">IF(AND($K745=1,AND(对接源_01水果!$X745="公司筐",N(对接源_01水果!$V745)&lt;&gt;0)),1,0)</f>
        <v>0</v>
      </c>
      <c r="U745" s="1" t="n">
        <f aca="false">N(U744)+$T745</f>
        <v>28</v>
      </c>
      <c r="V745" s="1" t="n">
        <f aca="false">IF(AND($L745=1,AND(对接源_01水果!$X745="自备筐",N(对接源_01水果!$V745)&lt;&gt;0)),1,0)</f>
        <v>0</v>
      </c>
      <c r="W745" s="1" t="n">
        <f aca="false">N(W744)+$V745</f>
        <v>7</v>
      </c>
      <c r="X745" s="1" t="n">
        <f aca="false">IF(AND($L745=1,AND(对接源_01水果!$X745="自备筐",N(对接源_01水果!$T745)&lt;&gt;0)),1,0)</f>
        <v>0</v>
      </c>
      <c r="Y745" s="1" t="n">
        <f aca="false">N(Y744)+$X745</f>
        <v>0</v>
      </c>
      <c r="Z745" s="1" t="n">
        <f aca="false">IF(AND($M745=1,对接源_01水果!$D745="原料入库"),1,0)</f>
        <v>0</v>
      </c>
      <c r="AA745" s="1" t="n">
        <f aca="false">N(AA744)+$Z745</f>
        <v>30</v>
      </c>
      <c r="AB745" s="1" t="n">
        <f aca="false">IF(AND($M745=1,LEFT(对接源_01水果!$D745,4)="原料出库"),1,0)</f>
        <v>0</v>
      </c>
      <c r="AC745" s="1" t="n">
        <f aca="false">N(AC744)+$AB745</f>
        <v>19</v>
      </c>
      <c r="AD745" s="1" t="n">
        <f aca="false">IF(AND($M745=1,LEFT(对接源_01水果!$D745,4)="成品出库"),1,0)</f>
        <v>0</v>
      </c>
      <c r="AE745" s="1" t="n">
        <f aca="false">N(AE744)+$AD745</f>
        <v>38</v>
      </c>
      <c r="AF745" s="1" t="n">
        <f aca="false">IF(AND($N745=1,AND(LEFT(对接源_01水果!$D745,4)="包装物料",N(对接源_01水果!$K745)&lt;&gt;0)),1,0)</f>
        <v>0</v>
      </c>
      <c r="AG745" s="90" t="str">
        <f aca="false">IF(对接源_01水果!$AC745="","",对接源_01水果!$AC745)</f>
        <v/>
      </c>
      <c r="AH745" s="1" t="n">
        <f aca="false">IF(AND($N745=1,AND(LEFT(对接源_01水果!$D745,3)="周转筐",N(对接源_01水果!$K745)&lt;&gt;0)),1,0)</f>
        <v>0</v>
      </c>
      <c r="AI745" s="90" t="n">
        <f aca="false">IF(AG745="",0,IF(MATCH(AG745,$AG$4:$AG$1203,0)=ROW()-3,1,0))</f>
        <v>0</v>
      </c>
      <c r="AJ745" s="90" t="n">
        <f aca="false">N(AJ744)+AI745</f>
        <v>4</v>
      </c>
      <c r="AK745" s="1" t="n">
        <f aca="false">N(AK744)+$AJ745</f>
        <v>1840</v>
      </c>
    </row>
    <row r="746" customFormat="false" ht="13.5" hidden="false" customHeight="false" outlineLevel="0" collapsed="false">
      <c r="A746" s="1" t="str">
        <f aca="false">IF(对接源_01水果!$C746="","",对接源_01水果!$C746)</f>
        <v/>
      </c>
      <c r="B746" s="1" t="n">
        <f aca="false">IF(A746="",0,IF(MATCH(A746,$A$4:$A$2403,0)=ROW()-3,1,0))</f>
        <v>0</v>
      </c>
      <c r="C746" s="1" t="n">
        <f aca="false">N(C745)+B746</f>
        <v>13</v>
      </c>
      <c r="K746" s="1" t="n">
        <f aca="false">IF(OR($K$1="",对接源_01水果!$C746="",对接源_01水果!$C746&lt;&gt;$K$1,对接源_01水果!$B746=""),0,IF(OR(N(对接源_01水果!$B746)&lt;$K$2,N(对接源_01水果!$B746)&gt;$K$3),0,1))</f>
        <v>0</v>
      </c>
      <c r="L746" s="1" t="n">
        <f aca="false">IF(OR($L$1="",对接源_01水果!$C746="",对接源_01水果!$C746&lt;&gt;$L$1,对接源_01水果!$B746=""),0,IF(OR(N(对接源_01水果!$B746)&lt;$L$2,N(对接源_01水果!$B746)&gt;$L$3),0,1))</f>
        <v>0</v>
      </c>
      <c r="M746" s="1" t="n">
        <f aca="false">IF(OR($M$1="",对接源_01水果!$C746="",对接源_01水果!$C746&lt;&gt;$M$1,对接源_01水果!$B746=""),0,IF(OR(N(对接源_01水果!$B746)&lt;$M$2,N(对接源_01水果!$B746)&gt;$M$3),0,1))</f>
        <v>0</v>
      </c>
      <c r="N746" s="1" t="n">
        <f aca="false">IF(OR($N$1="",对接源_01水果!$C746="",对接源_01水果!$C746&lt;&gt;$N$1,对接源_01水果!$B746=""),0,IF(OR(N(对接源_01水果!$B746)&lt;$N$2,N(对接源_01水果!$B746)&gt;$N$3),0,1))</f>
        <v>0</v>
      </c>
      <c r="P746" s="1" t="n">
        <f aca="false">IF(AND($K746=1,AND(对接源_01水果!$X746="公司筐",N(对接源_01水果!$T746)&lt;&gt;0)),1,0)</f>
        <v>0</v>
      </c>
      <c r="Q746" s="1" t="n">
        <f aca="false">N(Q745)+$P746</f>
        <v>3</v>
      </c>
      <c r="R746" s="1" t="n">
        <f aca="false">IF(AND($K746=1,AND(对接源_01水果!$X746="公司筐",N(对接源_01水果!$U746)&lt;&gt;0)),1,0)</f>
        <v>0</v>
      </c>
      <c r="S746" s="1" t="n">
        <f aca="false">N(S745)+$R746</f>
        <v>0</v>
      </c>
      <c r="T746" s="1" t="n">
        <f aca="false">IF(AND($K746=1,AND(对接源_01水果!$X746="公司筐",N(对接源_01水果!$V746)&lt;&gt;0)),1,0)</f>
        <v>0</v>
      </c>
      <c r="U746" s="1" t="n">
        <f aca="false">N(U745)+$T746</f>
        <v>28</v>
      </c>
      <c r="V746" s="1" t="n">
        <f aca="false">IF(AND($L746=1,AND(对接源_01水果!$X746="自备筐",N(对接源_01水果!$V746)&lt;&gt;0)),1,0)</f>
        <v>0</v>
      </c>
      <c r="W746" s="1" t="n">
        <f aca="false">N(W745)+$V746</f>
        <v>7</v>
      </c>
      <c r="X746" s="1" t="n">
        <f aca="false">IF(AND($L746=1,AND(对接源_01水果!$X746="自备筐",N(对接源_01水果!$T746)&lt;&gt;0)),1,0)</f>
        <v>0</v>
      </c>
      <c r="Y746" s="1" t="n">
        <f aca="false">N(Y745)+$X746</f>
        <v>0</v>
      </c>
      <c r="Z746" s="1" t="n">
        <f aca="false">IF(AND($M746=1,对接源_01水果!$D746="原料入库"),1,0)</f>
        <v>0</v>
      </c>
      <c r="AA746" s="1" t="n">
        <f aca="false">N(AA745)+$Z746</f>
        <v>30</v>
      </c>
      <c r="AB746" s="1" t="n">
        <f aca="false">IF(AND($M746=1,LEFT(对接源_01水果!$D746,4)="原料出库"),1,0)</f>
        <v>0</v>
      </c>
      <c r="AC746" s="1" t="n">
        <f aca="false">N(AC745)+$AB746</f>
        <v>19</v>
      </c>
      <c r="AD746" s="1" t="n">
        <f aca="false">IF(AND($M746=1,LEFT(对接源_01水果!$D746,4)="成品出库"),1,0)</f>
        <v>0</v>
      </c>
      <c r="AE746" s="1" t="n">
        <f aca="false">N(AE745)+$AD746</f>
        <v>38</v>
      </c>
      <c r="AF746" s="1" t="n">
        <f aca="false">IF(AND($N746=1,AND(LEFT(对接源_01水果!$D746,4)="包装物料",N(对接源_01水果!$K746)&lt;&gt;0)),1,0)</f>
        <v>0</v>
      </c>
      <c r="AG746" s="90" t="str">
        <f aca="false">IF(对接源_01水果!$AC746="","",对接源_01水果!$AC746)</f>
        <v/>
      </c>
      <c r="AH746" s="1" t="n">
        <f aca="false">IF(AND($N746=1,AND(LEFT(对接源_01水果!$D746,3)="周转筐",N(对接源_01水果!$K746)&lt;&gt;0)),1,0)</f>
        <v>0</v>
      </c>
      <c r="AI746" s="90" t="n">
        <f aca="false">IF(AG746="",0,IF(MATCH(AG746,$AG$4:$AG$1203,0)=ROW()-3,1,0))</f>
        <v>0</v>
      </c>
      <c r="AJ746" s="90" t="n">
        <f aca="false">N(AJ745)+AI746</f>
        <v>4</v>
      </c>
      <c r="AK746" s="1" t="n">
        <f aca="false">N(AK745)+$AJ746</f>
        <v>1844</v>
      </c>
    </row>
    <row r="747" customFormat="false" ht="13.5" hidden="false" customHeight="false" outlineLevel="0" collapsed="false">
      <c r="A747" s="1" t="str">
        <f aca="false">IF(对接源_01水果!$C747="","",对接源_01水果!$C747)</f>
        <v/>
      </c>
      <c r="B747" s="1" t="n">
        <f aca="false">IF(A747="",0,IF(MATCH(A747,$A$4:$A$2403,0)=ROW()-3,1,0))</f>
        <v>0</v>
      </c>
      <c r="C747" s="1" t="n">
        <f aca="false">N(C746)+B747</f>
        <v>13</v>
      </c>
      <c r="K747" s="1" t="n">
        <f aca="false">IF(OR($K$1="",对接源_01水果!$C747="",对接源_01水果!$C747&lt;&gt;$K$1,对接源_01水果!$B747=""),0,IF(OR(N(对接源_01水果!$B747)&lt;$K$2,N(对接源_01水果!$B747)&gt;$K$3),0,1))</f>
        <v>0</v>
      </c>
      <c r="L747" s="1" t="n">
        <f aca="false">IF(OR($L$1="",对接源_01水果!$C747="",对接源_01水果!$C747&lt;&gt;$L$1,对接源_01水果!$B747=""),0,IF(OR(N(对接源_01水果!$B747)&lt;$L$2,N(对接源_01水果!$B747)&gt;$L$3),0,1))</f>
        <v>0</v>
      </c>
      <c r="M747" s="1" t="n">
        <f aca="false">IF(OR($M$1="",对接源_01水果!$C747="",对接源_01水果!$C747&lt;&gt;$M$1,对接源_01水果!$B747=""),0,IF(OR(N(对接源_01水果!$B747)&lt;$M$2,N(对接源_01水果!$B747)&gt;$M$3),0,1))</f>
        <v>0</v>
      </c>
      <c r="N747" s="1" t="n">
        <f aca="false">IF(OR($N$1="",对接源_01水果!$C747="",对接源_01水果!$C747&lt;&gt;$N$1,对接源_01水果!$B747=""),0,IF(OR(N(对接源_01水果!$B747)&lt;$N$2,N(对接源_01水果!$B747)&gt;$N$3),0,1))</f>
        <v>0</v>
      </c>
      <c r="P747" s="1" t="n">
        <f aca="false">IF(AND($K747=1,AND(对接源_01水果!$X747="公司筐",N(对接源_01水果!$T747)&lt;&gt;0)),1,0)</f>
        <v>0</v>
      </c>
      <c r="Q747" s="1" t="n">
        <f aca="false">N(Q746)+$P747</f>
        <v>3</v>
      </c>
      <c r="R747" s="1" t="n">
        <f aca="false">IF(AND($K747=1,AND(对接源_01水果!$X747="公司筐",N(对接源_01水果!$U747)&lt;&gt;0)),1,0)</f>
        <v>0</v>
      </c>
      <c r="S747" s="1" t="n">
        <f aca="false">N(S746)+$R747</f>
        <v>0</v>
      </c>
      <c r="T747" s="1" t="n">
        <f aca="false">IF(AND($K747=1,AND(对接源_01水果!$X747="公司筐",N(对接源_01水果!$V747)&lt;&gt;0)),1,0)</f>
        <v>0</v>
      </c>
      <c r="U747" s="1" t="n">
        <f aca="false">N(U746)+$T747</f>
        <v>28</v>
      </c>
      <c r="V747" s="1" t="n">
        <f aca="false">IF(AND($L747=1,AND(对接源_01水果!$X747="自备筐",N(对接源_01水果!$V747)&lt;&gt;0)),1,0)</f>
        <v>0</v>
      </c>
      <c r="W747" s="1" t="n">
        <f aca="false">N(W746)+$V747</f>
        <v>7</v>
      </c>
      <c r="X747" s="1" t="n">
        <f aca="false">IF(AND($L747=1,AND(对接源_01水果!$X747="自备筐",N(对接源_01水果!$T747)&lt;&gt;0)),1,0)</f>
        <v>0</v>
      </c>
      <c r="Y747" s="1" t="n">
        <f aca="false">N(Y746)+$X747</f>
        <v>0</v>
      </c>
      <c r="Z747" s="1" t="n">
        <f aca="false">IF(AND($M747=1,对接源_01水果!$D747="原料入库"),1,0)</f>
        <v>0</v>
      </c>
      <c r="AA747" s="1" t="n">
        <f aca="false">N(AA746)+$Z747</f>
        <v>30</v>
      </c>
      <c r="AB747" s="1" t="n">
        <f aca="false">IF(AND($M747=1,LEFT(对接源_01水果!$D747,4)="原料出库"),1,0)</f>
        <v>0</v>
      </c>
      <c r="AC747" s="1" t="n">
        <f aca="false">N(AC746)+$AB747</f>
        <v>19</v>
      </c>
      <c r="AD747" s="1" t="n">
        <f aca="false">IF(AND($M747=1,LEFT(对接源_01水果!$D747,4)="成品出库"),1,0)</f>
        <v>0</v>
      </c>
      <c r="AE747" s="1" t="n">
        <f aca="false">N(AE746)+$AD747</f>
        <v>38</v>
      </c>
      <c r="AF747" s="1" t="n">
        <f aca="false">IF(AND($N747=1,AND(LEFT(对接源_01水果!$D747,4)="包装物料",N(对接源_01水果!$K747)&lt;&gt;0)),1,0)</f>
        <v>0</v>
      </c>
      <c r="AG747" s="90" t="str">
        <f aca="false">IF(对接源_01水果!$AC747="","",对接源_01水果!$AC747)</f>
        <v/>
      </c>
      <c r="AH747" s="1" t="n">
        <f aca="false">IF(AND($N747=1,AND(LEFT(对接源_01水果!$D747,3)="周转筐",N(对接源_01水果!$K747)&lt;&gt;0)),1,0)</f>
        <v>0</v>
      </c>
      <c r="AI747" s="90" t="n">
        <f aca="false">IF(AG747="",0,IF(MATCH(AG747,$AG$4:$AG$1203,0)=ROW()-3,1,0))</f>
        <v>0</v>
      </c>
      <c r="AJ747" s="90" t="n">
        <f aca="false">N(AJ746)+AI747</f>
        <v>4</v>
      </c>
      <c r="AK747" s="1" t="n">
        <f aca="false">N(AK746)+$AJ747</f>
        <v>1848</v>
      </c>
    </row>
    <row r="748" customFormat="false" ht="13.5" hidden="false" customHeight="false" outlineLevel="0" collapsed="false">
      <c r="A748" s="1" t="str">
        <f aca="false">IF(对接源_01水果!$C748="","",对接源_01水果!$C748)</f>
        <v/>
      </c>
      <c r="B748" s="1" t="n">
        <f aca="false">IF(A748="",0,IF(MATCH(A748,$A$4:$A$2403,0)=ROW()-3,1,0))</f>
        <v>0</v>
      </c>
      <c r="C748" s="1" t="n">
        <f aca="false">N(C747)+B748</f>
        <v>13</v>
      </c>
      <c r="K748" s="1" t="n">
        <f aca="false">IF(OR($K$1="",对接源_01水果!$C748="",对接源_01水果!$C748&lt;&gt;$K$1,对接源_01水果!$B748=""),0,IF(OR(N(对接源_01水果!$B748)&lt;$K$2,N(对接源_01水果!$B748)&gt;$K$3),0,1))</f>
        <v>0</v>
      </c>
      <c r="L748" s="1" t="n">
        <f aca="false">IF(OR($L$1="",对接源_01水果!$C748="",对接源_01水果!$C748&lt;&gt;$L$1,对接源_01水果!$B748=""),0,IF(OR(N(对接源_01水果!$B748)&lt;$L$2,N(对接源_01水果!$B748)&gt;$L$3),0,1))</f>
        <v>0</v>
      </c>
      <c r="M748" s="1" t="n">
        <f aca="false">IF(OR($M$1="",对接源_01水果!$C748="",对接源_01水果!$C748&lt;&gt;$M$1,对接源_01水果!$B748=""),0,IF(OR(N(对接源_01水果!$B748)&lt;$M$2,N(对接源_01水果!$B748)&gt;$M$3),0,1))</f>
        <v>0</v>
      </c>
      <c r="N748" s="1" t="n">
        <f aca="false">IF(OR($N$1="",对接源_01水果!$C748="",对接源_01水果!$C748&lt;&gt;$N$1,对接源_01水果!$B748=""),0,IF(OR(N(对接源_01水果!$B748)&lt;$N$2,N(对接源_01水果!$B748)&gt;$N$3),0,1))</f>
        <v>0</v>
      </c>
      <c r="P748" s="1" t="n">
        <f aca="false">IF(AND($K748=1,AND(对接源_01水果!$X748="公司筐",N(对接源_01水果!$T748)&lt;&gt;0)),1,0)</f>
        <v>0</v>
      </c>
      <c r="Q748" s="1" t="n">
        <f aca="false">N(Q747)+$P748</f>
        <v>3</v>
      </c>
      <c r="R748" s="1" t="n">
        <f aca="false">IF(AND($K748=1,AND(对接源_01水果!$X748="公司筐",N(对接源_01水果!$U748)&lt;&gt;0)),1,0)</f>
        <v>0</v>
      </c>
      <c r="S748" s="1" t="n">
        <f aca="false">N(S747)+$R748</f>
        <v>0</v>
      </c>
      <c r="T748" s="1" t="n">
        <f aca="false">IF(AND($K748=1,AND(对接源_01水果!$X748="公司筐",N(对接源_01水果!$V748)&lt;&gt;0)),1,0)</f>
        <v>0</v>
      </c>
      <c r="U748" s="1" t="n">
        <f aca="false">N(U747)+$T748</f>
        <v>28</v>
      </c>
      <c r="V748" s="1" t="n">
        <f aca="false">IF(AND($L748=1,AND(对接源_01水果!$X748="自备筐",N(对接源_01水果!$V748)&lt;&gt;0)),1,0)</f>
        <v>0</v>
      </c>
      <c r="W748" s="1" t="n">
        <f aca="false">N(W747)+$V748</f>
        <v>7</v>
      </c>
      <c r="X748" s="1" t="n">
        <f aca="false">IF(AND($L748=1,AND(对接源_01水果!$X748="自备筐",N(对接源_01水果!$T748)&lt;&gt;0)),1,0)</f>
        <v>0</v>
      </c>
      <c r="Y748" s="1" t="n">
        <f aca="false">N(Y747)+$X748</f>
        <v>0</v>
      </c>
      <c r="Z748" s="1" t="n">
        <f aca="false">IF(AND($M748=1,对接源_01水果!$D748="原料入库"),1,0)</f>
        <v>0</v>
      </c>
      <c r="AA748" s="1" t="n">
        <f aca="false">N(AA747)+$Z748</f>
        <v>30</v>
      </c>
      <c r="AB748" s="1" t="n">
        <f aca="false">IF(AND($M748=1,LEFT(对接源_01水果!$D748,4)="原料出库"),1,0)</f>
        <v>0</v>
      </c>
      <c r="AC748" s="1" t="n">
        <f aca="false">N(AC747)+$AB748</f>
        <v>19</v>
      </c>
      <c r="AD748" s="1" t="n">
        <f aca="false">IF(AND($M748=1,LEFT(对接源_01水果!$D748,4)="成品出库"),1,0)</f>
        <v>0</v>
      </c>
      <c r="AE748" s="1" t="n">
        <f aca="false">N(AE747)+$AD748</f>
        <v>38</v>
      </c>
      <c r="AF748" s="1" t="n">
        <f aca="false">IF(AND($N748=1,AND(LEFT(对接源_01水果!$D748,4)="包装物料",N(对接源_01水果!$K748)&lt;&gt;0)),1,0)</f>
        <v>0</v>
      </c>
      <c r="AG748" s="90" t="str">
        <f aca="false">IF(对接源_01水果!$AC748="","",对接源_01水果!$AC748)</f>
        <v/>
      </c>
      <c r="AH748" s="1" t="n">
        <f aca="false">IF(AND($N748=1,AND(LEFT(对接源_01水果!$D748,3)="周转筐",N(对接源_01水果!$K748)&lt;&gt;0)),1,0)</f>
        <v>0</v>
      </c>
      <c r="AI748" s="90" t="n">
        <f aca="false">IF(AG748="",0,IF(MATCH(AG748,$AG$4:$AG$1203,0)=ROW()-3,1,0))</f>
        <v>0</v>
      </c>
      <c r="AJ748" s="90" t="n">
        <f aca="false">N(AJ747)+AI748</f>
        <v>4</v>
      </c>
      <c r="AK748" s="1" t="n">
        <f aca="false">N(AK747)+$AJ748</f>
        <v>1852</v>
      </c>
    </row>
    <row r="749" customFormat="false" ht="13.5" hidden="false" customHeight="false" outlineLevel="0" collapsed="false">
      <c r="A749" s="1" t="str">
        <f aca="false">IF(对接源_01水果!$C749="","",对接源_01水果!$C749)</f>
        <v/>
      </c>
      <c r="B749" s="1" t="n">
        <f aca="false">IF(A749="",0,IF(MATCH(A749,$A$4:$A$2403,0)=ROW()-3,1,0))</f>
        <v>0</v>
      </c>
      <c r="C749" s="1" t="n">
        <f aca="false">N(C748)+B749</f>
        <v>13</v>
      </c>
      <c r="K749" s="1" t="n">
        <f aca="false">IF(OR($K$1="",对接源_01水果!$C749="",对接源_01水果!$C749&lt;&gt;$K$1,对接源_01水果!$B749=""),0,IF(OR(N(对接源_01水果!$B749)&lt;$K$2,N(对接源_01水果!$B749)&gt;$K$3),0,1))</f>
        <v>0</v>
      </c>
      <c r="L749" s="1" t="n">
        <f aca="false">IF(OR($L$1="",对接源_01水果!$C749="",对接源_01水果!$C749&lt;&gt;$L$1,对接源_01水果!$B749=""),0,IF(OR(N(对接源_01水果!$B749)&lt;$L$2,N(对接源_01水果!$B749)&gt;$L$3),0,1))</f>
        <v>0</v>
      </c>
      <c r="M749" s="1" t="n">
        <f aca="false">IF(OR($M$1="",对接源_01水果!$C749="",对接源_01水果!$C749&lt;&gt;$M$1,对接源_01水果!$B749=""),0,IF(OR(N(对接源_01水果!$B749)&lt;$M$2,N(对接源_01水果!$B749)&gt;$M$3),0,1))</f>
        <v>0</v>
      </c>
      <c r="N749" s="1" t="n">
        <f aca="false">IF(OR($N$1="",对接源_01水果!$C749="",对接源_01水果!$C749&lt;&gt;$N$1,对接源_01水果!$B749=""),0,IF(OR(N(对接源_01水果!$B749)&lt;$N$2,N(对接源_01水果!$B749)&gt;$N$3),0,1))</f>
        <v>0</v>
      </c>
      <c r="P749" s="1" t="n">
        <f aca="false">IF(AND($K749=1,AND(对接源_01水果!$X749="公司筐",N(对接源_01水果!$T749)&lt;&gt;0)),1,0)</f>
        <v>0</v>
      </c>
      <c r="Q749" s="1" t="n">
        <f aca="false">N(Q748)+$P749</f>
        <v>3</v>
      </c>
      <c r="R749" s="1" t="n">
        <f aca="false">IF(AND($K749=1,AND(对接源_01水果!$X749="公司筐",N(对接源_01水果!$U749)&lt;&gt;0)),1,0)</f>
        <v>0</v>
      </c>
      <c r="S749" s="1" t="n">
        <f aca="false">N(S748)+$R749</f>
        <v>0</v>
      </c>
      <c r="T749" s="1" t="n">
        <f aca="false">IF(AND($K749=1,AND(对接源_01水果!$X749="公司筐",N(对接源_01水果!$V749)&lt;&gt;0)),1,0)</f>
        <v>0</v>
      </c>
      <c r="U749" s="1" t="n">
        <f aca="false">N(U748)+$T749</f>
        <v>28</v>
      </c>
      <c r="V749" s="1" t="n">
        <f aca="false">IF(AND($L749=1,AND(对接源_01水果!$X749="自备筐",N(对接源_01水果!$V749)&lt;&gt;0)),1,0)</f>
        <v>0</v>
      </c>
      <c r="W749" s="1" t="n">
        <f aca="false">N(W748)+$V749</f>
        <v>7</v>
      </c>
      <c r="X749" s="1" t="n">
        <f aca="false">IF(AND($L749=1,AND(对接源_01水果!$X749="自备筐",N(对接源_01水果!$T749)&lt;&gt;0)),1,0)</f>
        <v>0</v>
      </c>
      <c r="Y749" s="1" t="n">
        <f aca="false">N(Y748)+$X749</f>
        <v>0</v>
      </c>
      <c r="Z749" s="1" t="n">
        <f aca="false">IF(AND($M749=1,对接源_01水果!$D749="原料入库"),1,0)</f>
        <v>0</v>
      </c>
      <c r="AA749" s="1" t="n">
        <f aca="false">N(AA748)+$Z749</f>
        <v>30</v>
      </c>
      <c r="AB749" s="1" t="n">
        <f aca="false">IF(AND($M749=1,LEFT(对接源_01水果!$D749,4)="原料出库"),1,0)</f>
        <v>0</v>
      </c>
      <c r="AC749" s="1" t="n">
        <f aca="false">N(AC748)+$AB749</f>
        <v>19</v>
      </c>
      <c r="AD749" s="1" t="n">
        <f aca="false">IF(AND($M749=1,LEFT(对接源_01水果!$D749,4)="成品出库"),1,0)</f>
        <v>0</v>
      </c>
      <c r="AE749" s="1" t="n">
        <f aca="false">N(AE748)+$AD749</f>
        <v>38</v>
      </c>
      <c r="AF749" s="1" t="n">
        <f aca="false">IF(AND($N749=1,AND(LEFT(对接源_01水果!$D749,4)="包装物料",N(对接源_01水果!$K749)&lt;&gt;0)),1,0)</f>
        <v>0</v>
      </c>
      <c r="AG749" s="90" t="str">
        <f aca="false">IF(对接源_01水果!$AC749="","",对接源_01水果!$AC749)</f>
        <v/>
      </c>
      <c r="AH749" s="1" t="n">
        <f aca="false">IF(AND($N749=1,AND(LEFT(对接源_01水果!$D749,3)="周转筐",N(对接源_01水果!$K749)&lt;&gt;0)),1,0)</f>
        <v>0</v>
      </c>
      <c r="AI749" s="90" t="n">
        <f aca="false">IF(AG749="",0,IF(MATCH(AG749,$AG$4:$AG$1203,0)=ROW()-3,1,0))</f>
        <v>0</v>
      </c>
      <c r="AJ749" s="90" t="n">
        <f aca="false">N(AJ748)+AI749</f>
        <v>4</v>
      </c>
      <c r="AK749" s="1" t="n">
        <f aca="false">N(AK748)+$AJ749</f>
        <v>1856</v>
      </c>
    </row>
    <row r="750" customFormat="false" ht="13.5" hidden="false" customHeight="false" outlineLevel="0" collapsed="false">
      <c r="A750" s="1" t="str">
        <f aca="false">IF(对接源_01水果!$C750="","",对接源_01水果!$C750)</f>
        <v/>
      </c>
      <c r="B750" s="1" t="n">
        <f aca="false">IF(A750="",0,IF(MATCH(A750,$A$4:$A$2403,0)=ROW()-3,1,0))</f>
        <v>0</v>
      </c>
      <c r="C750" s="1" t="n">
        <f aca="false">N(C749)+B750</f>
        <v>13</v>
      </c>
      <c r="K750" s="1" t="n">
        <f aca="false">IF(OR($K$1="",对接源_01水果!$C750="",对接源_01水果!$C750&lt;&gt;$K$1,对接源_01水果!$B750=""),0,IF(OR(N(对接源_01水果!$B750)&lt;$K$2,N(对接源_01水果!$B750)&gt;$K$3),0,1))</f>
        <v>0</v>
      </c>
      <c r="L750" s="1" t="n">
        <f aca="false">IF(OR($L$1="",对接源_01水果!$C750="",对接源_01水果!$C750&lt;&gt;$L$1,对接源_01水果!$B750=""),0,IF(OR(N(对接源_01水果!$B750)&lt;$L$2,N(对接源_01水果!$B750)&gt;$L$3),0,1))</f>
        <v>0</v>
      </c>
      <c r="M750" s="1" t="n">
        <f aca="false">IF(OR($M$1="",对接源_01水果!$C750="",对接源_01水果!$C750&lt;&gt;$M$1,对接源_01水果!$B750=""),0,IF(OR(N(对接源_01水果!$B750)&lt;$M$2,N(对接源_01水果!$B750)&gt;$M$3),0,1))</f>
        <v>0</v>
      </c>
      <c r="N750" s="1" t="n">
        <f aca="false">IF(OR($N$1="",对接源_01水果!$C750="",对接源_01水果!$C750&lt;&gt;$N$1,对接源_01水果!$B750=""),0,IF(OR(N(对接源_01水果!$B750)&lt;$N$2,N(对接源_01水果!$B750)&gt;$N$3),0,1))</f>
        <v>0</v>
      </c>
      <c r="P750" s="1" t="n">
        <f aca="false">IF(AND($K750=1,AND(对接源_01水果!$X750="公司筐",N(对接源_01水果!$T750)&lt;&gt;0)),1,0)</f>
        <v>0</v>
      </c>
      <c r="Q750" s="1" t="n">
        <f aca="false">N(Q749)+$P750</f>
        <v>3</v>
      </c>
      <c r="R750" s="1" t="n">
        <f aca="false">IF(AND($K750=1,AND(对接源_01水果!$X750="公司筐",N(对接源_01水果!$U750)&lt;&gt;0)),1,0)</f>
        <v>0</v>
      </c>
      <c r="S750" s="1" t="n">
        <f aca="false">N(S749)+$R750</f>
        <v>0</v>
      </c>
      <c r="T750" s="1" t="n">
        <f aca="false">IF(AND($K750=1,AND(对接源_01水果!$X750="公司筐",N(对接源_01水果!$V750)&lt;&gt;0)),1,0)</f>
        <v>0</v>
      </c>
      <c r="U750" s="1" t="n">
        <f aca="false">N(U749)+$T750</f>
        <v>28</v>
      </c>
      <c r="V750" s="1" t="n">
        <f aca="false">IF(AND($L750=1,AND(对接源_01水果!$X750="自备筐",N(对接源_01水果!$V750)&lt;&gt;0)),1,0)</f>
        <v>0</v>
      </c>
      <c r="W750" s="1" t="n">
        <f aca="false">N(W749)+$V750</f>
        <v>7</v>
      </c>
      <c r="X750" s="1" t="n">
        <f aca="false">IF(AND($L750=1,AND(对接源_01水果!$X750="自备筐",N(对接源_01水果!$T750)&lt;&gt;0)),1,0)</f>
        <v>0</v>
      </c>
      <c r="Y750" s="1" t="n">
        <f aca="false">N(Y749)+$X750</f>
        <v>0</v>
      </c>
      <c r="Z750" s="1" t="n">
        <f aca="false">IF(AND($M750=1,对接源_01水果!$D750="原料入库"),1,0)</f>
        <v>0</v>
      </c>
      <c r="AA750" s="1" t="n">
        <f aca="false">N(AA749)+$Z750</f>
        <v>30</v>
      </c>
      <c r="AB750" s="1" t="n">
        <f aca="false">IF(AND($M750=1,LEFT(对接源_01水果!$D750,4)="原料出库"),1,0)</f>
        <v>0</v>
      </c>
      <c r="AC750" s="1" t="n">
        <f aca="false">N(AC749)+$AB750</f>
        <v>19</v>
      </c>
      <c r="AD750" s="1" t="n">
        <f aca="false">IF(AND($M750=1,LEFT(对接源_01水果!$D750,4)="成品出库"),1,0)</f>
        <v>0</v>
      </c>
      <c r="AE750" s="1" t="n">
        <f aca="false">N(AE749)+$AD750</f>
        <v>38</v>
      </c>
      <c r="AF750" s="1" t="n">
        <f aca="false">IF(AND($N750=1,AND(LEFT(对接源_01水果!$D750,4)="包装物料",N(对接源_01水果!$K750)&lt;&gt;0)),1,0)</f>
        <v>0</v>
      </c>
      <c r="AG750" s="90" t="str">
        <f aca="false">IF(对接源_01水果!$AC750="","",对接源_01水果!$AC750)</f>
        <v/>
      </c>
      <c r="AH750" s="1" t="n">
        <f aca="false">IF(AND($N750=1,AND(LEFT(对接源_01水果!$D750,3)="周转筐",N(对接源_01水果!$K750)&lt;&gt;0)),1,0)</f>
        <v>0</v>
      </c>
      <c r="AI750" s="90" t="n">
        <f aca="false">IF(AG750="",0,IF(MATCH(AG750,$AG$4:$AG$1203,0)=ROW()-3,1,0))</f>
        <v>0</v>
      </c>
      <c r="AJ750" s="90" t="n">
        <f aca="false">N(AJ749)+AI750</f>
        <v>4</v>
      </c>
      <c r="AK750" s="1" t="n">
        <f aca="false">N(AK749)+$AJ750</f>
        <v>1860</v>
      </c>
    </row>
    <row r="751" customFormat="false" ht="13.5" hidden="false" customHeight="false" outlineLevel="0" collapsed="false">
      <c r="A751" s="1" t="str">
        <f aca="false">IF(对接源_01水果!$C751="","",对接源_01水果!$C751)</f>
        <v/>
      </c>
      <c r="B751" s="1" t="n">
        <f aca="false">IF(A751="",0,IF(MATCH(A751,$A$4:$A$2403,0)=ROW()-3,1,0))</f>
        <v>0</v>
      </c>
      <c r="C751" s="1" t="n">
        <f aca="false">N(C750)+B751</f>
        <v>13</v>
      </c>
      <c r="K751" s="1" t="n">
        <f aca="false">IF(OR($K$1="",对接源_01水果!$C751="",对接源_01水果!$C751&lt;&gt;$K$1,对接源_01水果!$B751=""),0,IF(OR(N(对接源_01水果!$B751)&lt;$K$2,N(对接源_01水果!$B751)&gt;$K$3),0,1))</f>
        <v>0</v>
      </c>
      <c r="L751" s="1" t="n">
        <f aca="false">IF(OR($L$1="",对接源_01水果!$C751="",对接源_01水果!$C751&lt;&gt;$L$1,对接源_01水果!$B751=""),0,IF(OR(N(对接源_01水果!$B751)&lt;$L$2,N(对接源_01水果!$B751)&gt;$L$3),0,1))</f>
        <v>0</v>
      </c>
      <c r="M751" s="1" t="n">
        <f aca="false">IF(OR($M$1="",对接源_01水果!$C751="",对接源_01水果!$C751&lt;&gt;$M$1,对接源_01水果!$B751=""),0,IF(OR(N(对接源_01水果!$B751)&lt;$M$2,N(对接源_01水果!$B751)&gt;$M$3),0,1))</f>
        <v>0</v>
      </c>
      <c r="N751" s="1" t="n">
        <f aca="false">IF(OR($N$1="",对接源_01水果!$C751="",对接源_01水果!$C751&lt;&gt;$N$1,对接源_01水果!$B751=""),0,IF(OR(N(对接源_01水果!$B751)&lt;$N$2,N(对接源_01水果!$B751)&gt;$N$3),0,1))</f>
        <v>0</v>
      </c>
      <c r="P751" s="1" t="n">
        <f aca="false">IF(AND($K751=1,AND(对接源_01水果!$X751="公司筐",N(对接源_01水果!$T751)&lt;&gt;0)),1,0)</f>
        <v>0</v>
      </c>
      <c r="Q751" s="1" t="n">
        <f aca="false">N(Q750)+$P751</f>
        <v>3</v>
      </c>
      <c r="R751" s="1" t="n">
        <f aca="false">IF(AND($K751=1,AND(对接源_01水果!$X751="公司筐",N(对接源_01水果!$U751)&lt;&gt;0)),1,0)</f>
        <v>0</v>
      </c>
      <c r="S751" s="1" t="n">
        <f aca="false">N(S750)+$R751</f>
        <v>0</v>
      </c>
      <c r="T751" s="1" t="n">
        <f aca="false">IF(AND($K751=1,AND(对接源_01水果!$X751="公司筐",N(对接源_01水果!$V751)&lt;&gt;0)),1,0)</f>
        <v>0</v>
      </c>
      <c r="U751" s="1" t="n">
        <f aca="false">N(U750)+$T751</f>
        <v>28</v>
      </c>
      <c r="V751" s="1" t="n">
        <f aca="false">IF(AND($L751=1,AND(对接源_01水果!$X751="自备筐",N(对接源_01水果!$V751)&lt;&gt;0)),1,0)</f>
        <v>0</v>
      </c>
      <c r="W751" s="1" t="n">
        <f aca="false">N(W750)+$V751</f>
        <v>7</v>
      </c>
      <c r="X751" s="1" t="n">
        <f aca="false">IF(AND($L751=1,AND(对接源_01水果!$X751="自备筐",N(对接源_01水果!$T751)&lt;&gt;0)),1,0)</f>
        <v>0</v>
      </c>
      <c r="Y751" s="1" t="n">
        <f aca="false">N(Y750)+$X751</f>
        <v>0</v>
      </c>
      <c r="Z751" s="1" t="n">
        <f aca="false">IF(AND($M751=1,对接源_01水果!$D751="原料入库"),1,0)</f>
        <v>0</v>
      </c>
      <c r="AA751" s="1" t="n">
        <f aca="false">N(AA750)+$Z751</f>
        <v>30</v>
      </c>
      <c r="AB751" s="1" t="n">
        <f aca="false">IF(AND($M751=1,LEFT(对接源_01水果!$D751,4)="原料出库"),1,0)</f>
        <v>0</v>
      </c>
      <c r="AC751" s="1" t="n">
        <f aca="false">N(AC750)+$AB751</f>
        <v>19</v>
      </c>
      <c r="AD751" s="1" t="n">
        <f aca="false">IF(AND($M751=1,LEFT(对接源_01水果!$D751,4)="成品出库"),1,0)</f>
        <v>0</v>
      </c>
      <c r="AE751" s="1" t="n">
        <f aca="false">N(AE750)+$AD751</f>
        <v>38</v>
      </c>
      <c r="AF751" s="1" t="n">
        <f aca="false">IF(AND($N751=1,AND(LEFT(对接源_01水果!$D751,4)="包装物料",N(对接源_01水果!$K751)&lt;&gt;0)),1,0)</f>
        <v>0</v>
      </c>
      <c r="AG751" s="90" t="str">
        <f aca="false">IF(对接源_01水果!$AC751="","",对接源_01水果!$AC751)</f>
        <v/>
      </c>
      <c r="AH751" s="1" t="n">
        <f aca="false">IF(AND($N751=1,AND(LEFT(对接源_01水果!$D751,3)="周转筐",N(对接源_01水果!$K751)&lt;&gt;0)),1,0)</f>
        <v>0</v>
      </c>
      <c r="AI751" s="90" t="n">
        <f aca="false">IF(AG751="",0,IF(MATCH(AG751,$AG$4:$AG$1203,0)=ROW()-3,1,0))</f>
        <v>0</v>
      </c>
      <c r="AJ751" s="90" t="n">
        <f aca="false">N(AJ750)+AI751</f>
        <v>4</v>
      </c>
      <c r="AK751" s="1" t="n">
        <f aca="false">N(AK750)+$AJ751</f>
        <v>1864</v>
      </c>
    </row>
    <row r="752" customFormat="false" ht="13.5" hidden="false" customHeight="false" outlineLevel="0" collapsed="false">
      <c r="A752" s="1" t="str">
        <f aca="false">IF(对接源_01水果!$C752="","",对接源_01水果!$C752)</f>
        <v/>
      </c>
      <c r="B752" s="1" t="n">
        <f aca="false">IF(A752="",0,IF(MATCH(A752,$A$4:$A$2403,0)=ROW()-3,1,0))</f>
        <v>0</v>
      </c>
      <c r="C752" s="1" t="n">
        <f aca="false">N(C751)+B752</f>
        <v>13</v>
      </c>
      <c r="K752" s="1" t="n">
        <f aca="false">IF(OR($K$1="",对接源_01水果!$C752="",对接源_01水果!$C752&lt;&gt;$K$1,对接源_01水果!$B752=""),0,IF(OR(N(对接源_01水果!$B752)&lt;$K$2,N(对接源_01水果!$B752)&gt;$K$3),0,1))</f>
        <v>0</v>
      </c>
      <c r="L752" s="1" t="n">
        <f aca="false">IF(OR($L$1="",对接源_01水果!$C752="",对接源_01水果!$C752&lt;&gt;$L$1,对接源_01水果!$B752=""),0,IF(OR(N(对接源_01水果!$B752)&lt;$L$2,N(对接源_01水果!$B752)&gt;$L$3),0,1))</f>
        <v>0</v>
      </c>
      <c r="M752" s="1" t="n">
        <f aca="false">IF(OR($M$1="",对接源_01水果!$C752="",对接源_01水果!$C752&lt;&gt;$M$1,对接源_01水果!$B752=""),0,IF(OR(N(对接源_01水果!$B752)&lt;$M$2,N(对接源_01水果!$B752)&gt;$M$3),0,1))</f>
        <v>0</v>
      </c>
      <c r="N752" s="1" t="n">
        <f aca="false">IF(OR($N$1="",对接源_01水果!$C752="",对接源_01水果!$C752&lt;&gt;$N$1,对接源_01水果!$B752=""),0,IF(OR(N(对接源_01水果!$B752)&lt;$N$2,N(对接源_01水果!$B752)&gt;$N$3),0,1))</f>
        <v>0</v>
      </c>
      <c r="P752" s="1" t="n">
        <f aca="false">IF(AND($K752=1,AND(对接源_01水果!$X752="公司筐",N(对接源_01水果!$T752)&lt;&gt;0)),1,0)</f>
        <v>0</v>
      </c>
      <c r="Q752" s="1" t="n">
        <f aca="false">N(Q751)+$P752</f>
        <v>3</v>
      </c>
      <c r="R752" s="1" t="n">
        <f aca="false">IF(AND($K752=1,AND(对接源_01水果!$X752="公司筐",N(对接源_01水果!$U752)&lt;&gt;0)),1,0)</f>
        <v>0</v>
      </c>
      <c r="S752" s="1" t="n">
        <f aca="false">N(S751)+$R752</f>
        <v>0</v>
      </c>
      <c r="T752" s="1" t="n">
        <f aca="false">IF(AND($K752=1,AND(对接源_01水果!$X752="公司筐",N(对接源_01水果!$V752)&lt;&gt;0)),1,0)</f>
        <v>0</v>
      </c>
      <c r="U752" s="1" t="n">
        <f aca="false">N(U751)+$T752</f>
        <v>28</v>
      </c>
      <c r="V752" s="1" t="n">
        <f aca="false">IF(AND($L752=1,AND(对接源_01水果!$X752="自备筐",N(对接源_01水果!$V752)&lt;&gt;0)),1,0)</f>
        <v>0</v>
      </c>
      <c r="W752" s="1" t="n">
        <f aca="false">N(W751)+$V752</f>
        <v>7</v>
      </c>
      <c r="X752" s="1" t="n">
        <f aca="false">IF(AND($L752=1,AND(对接源_01水果!$X752="自备筐",N(对接源_01水果!$T752)&lt;&gt;0)),1,0)</f>
        <v>0</v>
      </c>
      <c r="Y752" s="1" t="n">
        <f aca="false">N(Y751)+$X752</f>
        <v>0</v>
      </c>
      <c r="Z752" s="1" t="n">
        <f aca="false">IF(AND($M752=1,对接源_01水果!$D752="原料入库"),1,0)</f>
        <v>0</v>
      </c>
      <c r="AA752" s="1" t="n">
        <f aca="false">N(AA751)+$Z752</f>
        <v>30</v>
      </c>
      <c r="AB752" s="1" t="n">
        <f aca="false">IF(AND($M752=1,LEFT(对接源_01水果!$D752,4)="原料出库"),1,0)</f>
        <v>0</v>
      </c>
      <c r="AC752" s="1" t="n">
        <f aca="false">N(AC751)+$AB752</f>
        <v>19</v>
      </c>
      <c r="AD752" s="1" t="n">
        <f aca="false">IF(AND($M752=1,LEFT(对接源_01水果!$D752,4)="成品出库"),1,0)</f>
        <v>0</v>
      </c>
      <c r="AE752" s="1" t="n">
        <f aca="false">N(AE751)+$AD752</f>
        <v>38</v>
      </c>
      <c r="AF752" s="1" t="n">
        <f aca="false">IF(AND($N752=1,AND(LEFT(对接源_01水果!$D752,4)="包装物料",N(对接源_01水果!$K752)&lt;&gt;0)),1,0)</f>
        <v>0</v>
      </c>
      <c r="AG752" s="90" t="str">
        <f aca="false">IF(对接源_01水果!$AC752="","",对接源_01水果!$AC752)</f>
        <v/>
      </c>
      <c r="AH752" s="1" t="n">
        <f aca="false">IF(AND($N752=1,AND(LEFT(对接源_01水果!$D752,3)="周转筐",N(对接源_01水果!$K752)&lt;&gt;0)),1,0)</f>
        <v>0</v>
      </c>
      <c r="AI752" s="90" t="n">
        <f aca="false">IF(AG752="",0,IF(MATCH(AG752,$AG$4:$AG$1203,0)=ROW()-3,1,0))</f>
        <v>0</v>
      </c>
      <c r="AJ752" s="90" t="n">
        <f aca="false">N(AJ751)+AI752</f>
        <v>4</v>
      </c>
      <c r="AK752" s="1" t="n">
        <f aca="false">N(AK751)+$AJ752</f>
        <v>1868</v>
      </c>
    </row>
    <row r="753" customFormat="false" ht="13.5" hidden="false" customHeight="false" outlineLevel="0" collapsed="false">
      <c r="A753" s="1" t="str">
        <f aca="false">IF(对接源_01水果!$C753="","",对接源_01水果!$C753)</f>
        <v/>
      </c>
      <c r="B753" s="1" t="n">
        <f aca="false">IF(A753="",0,IF(MATCH(A753,$A$4:$A$2403,0)=ROW()-3,1,0))</f>
        <v>0</v>
      </c>
      <c r="C753" s="1" t="n">
        <f aca="false">N(C752)+B753</f>
        <v>13</v>
      </c>
      <c r="K753" s="1" t="n">
        <f aca="false">IF(OR($K$1="",对接源_01水果!$C753="",对接源_01水果!$C753&lt;&gt;$K$1,对接源_01水果!$B753=""),0,IF(OR(N(对接源_01水果!$B753)&lt;$K$2,N(对接源_01水果!$B753)&gt;$K$3),0,1))</f>
        <v>0</v>
      </c>
      <c r="L753" s="1" t="n">
        <f aca="false">IF(OR($L$1="",对接源_01水果!$C753="",对接源_01水果!$C753&lt;&gt;$L$1,对接源_01水果!$B753=""),0,IF(OR(N(对接源_01水果!$B753)&lt;$L$2,N(对接源_01水果!$B753)&gt;$L$3),0,1))</f>
        <v>0</v>
      </c>
      <c r="M753" s="1" t="n">
        <f aca="false">IF(OR($M$1="",对接源_01水果!$C753="",对接源_01水果!$C753&lt;&gt;$M$1,对接源_01水果!$B753=""),0,IF(OR(N(对接源_01水果!$B753)&lt;$M$2,N(对接源_01水果!$B753)&gt;$M$3),0,1))</f>
        <v>0</v>
      </c>
      <c r="N753" s="1" t="n">
        <f aca="false">IF(OR($N$1="",对接源_01水果!$C753="",对接源_01水果!$C753&lt;&gt;$N$1,对接源_01水果!$B753=""),0,IF(OR(N(对接源_01水果!$B753)&lt;$N$2,N(对接源_01水果!$B753)&gt;$N$3),0,1))</f>
        <v>0</v>
      </c>
      <c r="P753" s="1" t="n">
        <f aca="false">IF(AND($K753=1,AND(对接源_01水果!$X753="公司筐",N(对接源_01水果!$T753)&lt;&gt;0)),1,0)</f>
        <v>0</v>
      </c>
      <c r="Q753" s="1" t="n">
        <f aca="false">N(Q752)+$P753</f>
        <v>3</v>
      </c>
      <c r="R753" s="1" t="n">
        <f aca="false">IF(AND($K753=1,AND(对接源_01水果!$X753="公司筐",N(对接源_01水果!$U753)&lt;&gt;0)),1,0)</f>
        <v>0</v>
      </c>
      <c r="S753" s="1" t="n">
        <f aca="false">N(S752)+$R753</f>
        <v>0</v>
      </c>
      <c r="T753" s="1" t="n">
        <f aca="false">IF(AND($K753=1,AND(对接源_01水果!$X753="公司筐",N(对接源_01水果!$V753)&lt;&gt;0)),1,0)</f>
        <v>0</v>
      </c>
      <c r="U753" s="1" t="n">
        <f aca="false">N(U752)+$T753</f>
        <v>28</v>
      </c>
      <c r="V753" s="1" t="n">
        <f aca="false">IF(AND($L753=1,AND(对接源_01水果!$X753="自备筐",N(对接源_01水果!$V753)&lt;&gt;0)),1,0)</f>
        <v>0</v>
      </c>
      <c r="W753" s="1" t="n">
        <f aca="false">N(W752)+$V753</f>
        <v>7</v>
      </c>
      <c r="X753" s="1" t="n">
        <f aca="false">IF(AND($L753=1,AND(对接源_01水果!$X753="自备筐",N(对接源_01水果!$T753)&lt;&gt;0)),1,0)</f>
        <v>0</v>
      </c>
      <c r="Y753" s="1" t="n">
        <f aca="false">N(Y752)+$X753</f>
        <v>0</v>
      </c>
      <c r="Z753" s="1" t="n">
        <f aca="false">IF(AND($M753=1,对接源_01水果!$D753="原料入库"),1,0)</f>
        <v>0</v>
      </c>
      <c r="AA753" s="1" t="n">
        <f aca="false">N(AA752)+$Z753</f>
        <v>30</v>
      </c>
      <c r="AB753" s="1" t="n">
        <f aca="false">IF(AND($M753=1,LEFT(对接源_01水果!$D753,4)="原料出库"),1,0)</f>
        <v>0</v>
      </c>
      <c r="AC753" s="1" t="n">
        <f aca="false">N(AC752)+$AB753</f>
        <v>19</v>
      </c>
      <c r="AD753" s="1" t="n">
        <f aca="false">IF(AND($M753=1,LEFT(对接源_01水果!$D753,4)="成品出库"),1,0)</f>
        <v>0</v>
      </c>
      <c r="AE753" s="1" t="n">
        <f aca="false">N(AE752)+$AD753</f>
        <v>38</v>
      </c>
      <c r="AF753" s="1" t="n">
        <f aca="false">IF(AND($N753=1,AND(LEFT(对接源_01水果!$D753,4)="包装物料",N(对接源_01水果!$K753)&lt;&gt;0)),1,0)</f>
        <v>0</v>
      </c>
      <c r="AG753" s="90" t="str">
        <f aca="false">IF(对接源_01水果!$AC753="","",对接源_01水果!$AC753)</f>
        <v/>
      </c>
      <c r="AH753" s="1" t="n">
        <f aca="false">IF(AND($N753=1,AND(LEFT(对接源_01水果!$D753,3)="周转筐",N(对接源_01水果!$K753)&lt;&gt;0)),1,0)</f>
        <v>0</v>
      </c>
      <c r="AI753" s="90" t="n">
        <f aca="false">IF(AG753="",0,IF(MATCH(AG753,$AG$4:$AG$1203,0)=ROW()-3,1,0))</f>
        <v>0</v>
      </c>
      <c r="AJ753" s="90" t="n">
        <f aca="false">N(AJ752)+AI753</f>
        <v>4</v>
      </c>
      <c r="AK753" s="1" t="n">
        <f aca="false">N(AK752)+$AJ753</f>
        <v>1872</v>
      </c>
    </row>
    <row r="754" customFormat="false" ht="13.5" hidden="false" customHeight="false" outlineLevel="0" collapsed="false">
      <c r="A754" s="1" t="str">
        <f aca="false">IF(对接源_01水果!$C754="","",对接源_01水果!$C754)</f>
        <v/>
      </c>
      <c r="B754" s="1" t="n">
        <f aca="false">IF(A754="",0,IF(MATCH(A754,$A$4:$A$2403,0)=ROW()-3,1,0))</f>
        <v>0</v>
      </c>
      <c r="C754" s="1" t="n">
        <f aca="false">N(C753)+B754</f>
        <v>13</v>
      </c>
      <c r="K754" s="1" t="n">
        <f aca="false">IF(OR($K$1="",对接源_01水果!$C754="",对接源_01水果!$C754&lt;&gt;$K$1,对接源_01水果!$B754=""),0,IF(OR(N(对接源_01水果!$B754)&lt;$K$2,N(对接源_01水果!$B754)&gt;$K$3),0,1))</f>
        <v>0</v>
      </c>
      <c r="L754" s="1" t="n">
        <f aca="false">IF(OR($L$1="",对接源_01水果!$C754="",对接源_01水果!$C754&lt;&gt;$L$1,对接源_01水果!$B754=""),0,IF(OR(N(对接源_01水果!$B754)&lt;$L$2,N(对接源_01水果!$B754)&gt;$L$3),0,1))</f>
        <v>0</v>
      </c>
      <c r="M754" s="1" t="n">
        <f aca="false">IF(OR($M$1="",对接源_01水果!$C754="",对接源_01水果!$C754&lt;&gt;$M$1,对接源_01水果!$B754=""),0,IF(OR(N(对接源_01水果!$B754)&lt;$M$2,N(对接源_01水果!$B754)&gt;$M$3),0,1))</f>
        <v>0</v>
      </c>
      <c r="N754" s="1" t="n">
        <f aca="false">IF(OR($N$1="",对接源_01水果!$C754="",对接源_01水果!$C754&lt;&gt;$N$1,对接源_01水果!$B754=""),0,IF(OR(N(对接源_01水果!$B754)&lt;$N$2,N(对接源_01水果!$B754)&gt;$N$3),0,1))</f>
        <v>0</v>
      </c>
      <c r="P754" s="1" t="n">
        <f aca="false">IF(AND($K754=1,AND(对接源_01水果!$X754="公司筐",N(对接源_01水果!$T754)&lt;&gt;0)),1,0)</f>
        <v>0</v>
      </c>
      <c r="Q754" s="1" t="n">
        <f aca="false">N(Q753)+$P754</f>
        <v>3</v>
      </c>
      <c r="R754" s="1" t="n">
        <f aca="false">IF(AND($K754=1,AND(对接源_01水果!$X754="公司筐",N(对接源_01水果!$U754)&lt;&gt;0)),1,0)</f>
        <v>0</v>
      </c>
      <c r="S754" s="1" t="n">
        <f aca="false">N(S753)+$R754</f>
        <v>0</v>
      </c>
      <c r="T754" s="1" t="n">
        <f aca="false">IF(AND($K754=1,AND(对接源_01水果!$X754="公司筐",N(对接源_01水果!$V754)&lt;&gt;0)),1,0)</f>
        <v>0</v>
      </c>
      <c r="U754" s="1" t="n">
        <f aca="false">N(U753)+$T754</f>
        <v>28</v>
      </c>
      <c r="V754" s="1" t="n">
        <f aca="false">IF(AND($L754=1,AND(对接源_01水果!$X754="自备筐",N(对接源_01水果!$V754)&lt;&gt;0)),1,0)</f>
        <v>0</v>
      </c>
      <c r="W754" s="1" t="n">
        <f aca="false">N(W753)+$V754</f>
        <v>7</v>
      </c>
      <c r="X754" s="1" t="n">
        <f aca="false">IF(AND($L754=1,AND(对接源_01水果!$X754="自备筐",N(对接源_01水果!$T754)&lt;&gt;0)),1,0)</f>
        <v>0</v>
      </c>
      <c r="Y754" s="1" t="n">
        <f aca="false">N(Y753)+$X754</f>
        <v>0</v>
      </c>
      <c r="Z754" s="1" t="n">
        <f aca="false">IF(AND($M754=1,对接源_01水果!$D754="原料入库"),1,0)</f>
        <v>0</v>
      </c>
      <c r="AA754" s="1" t="n">
        <f aca="false">N(AA753)+$Z754</f>
        <v>30</v>
      </c>
      <c r="AB754" s="1" t="n">
        <f aca="false">IF(AND($M754=1,LEFT(对接源_01水果!$D754,4)="原料出库"),1,0)</f>
        <v>0</v>
      </c>
      <c r="AC754" s="1" t="n">
        <f aca="false">N(AC753)+$AB754</f>
        <v>19</v>
      </c>
      <c r="AD754" s="1" t="n">
        <f aca="false">IF(AND($M754=1,LEFT(对接源_01水果!$D754,4)="成品出库"),1,0)</f>
        <v>0</v>
      </c>
      <c r="AE754" s="1" t="n">
        <f aca="false">N(AE753)+$AD754</f>
        <v>38</v>
      </c>
      <c r="AF754" s="1" t="n">
        <f aca="false">IF(AND($N754=1,AND(LEFT(对接源_01水果!$D754,4)="包装物料",N(对接源_01水果!$K754)&lt;&gt;0)),1,0)</f>
        <v>0</v>
      </c>
      <c r="AG754" s="90" t="str">
        <f aca="false">IF(对接源_01水果!$AC754="","",对接源_01水果!$AC754)</f>
        <v/>
      </c>
      <c r="AH754" s="1" t="n">
        <f aca="false">IF(AND($N754=1,AND(LEFT(对接源_01水果!$D754,3)="周转筐",N(对接源_01水果!$K754)&lt;&gt;0)),1,0)</f>
        <v>0</v>
      </c>
      <c r="AI754" s="90" t="n">
        <f aca="false">IF(AG754="",0,IF(MATCH(AG754,$AG$4:$AG$1203,0)=ROW()-3,1,0))</f>
        <v>0</v>
      </c>
      <c r="AJ754" s="90" t="n">
        <f aca="false">N(AJ753)+AI754</f>
        <v>4</v>
      </c>
      <c r="AK754" s="1" t="n">
        <f aca="false">N(AK753)+$AJ754</f>
        <v>1876</v>
      </c>
    </row>
    <row r="755" customFormat="false" ht="13.5" hidden="false" customHeight="false" outlineLevel="0" collapsed="false">
      <c r="A755" s="1" t="str">
        <f aca="false">IF(对接源_01水果!$C755="","",对接源_01水果!$C755)</f>
        <v/>
      </c>
      <c r="B755" s="1" t="n">
        <f aca="false">IF(A755="",0,IF(MATCH(A755,$A$4:$A$2403,0)=ROW()-3,1,0))</f>
        <v>0</v>
      </c>
      <c r="C755" s="1" t="n">
        <f aca="false">N(C754)+B755</f>
        <v>13</v>
      </c>
      <c r="K755" s="1" t="n">
        <f aca="false">IF(OR($K$1="",对接源_01水果!$C755="",对接源_01水果!$C755&lt;&gt;$K$1,对接源_01水果!$B755=""),0,IF(OR(N(对接源_01水果!$B755)&lt;$K$2,N(对接源_01水果!$B755)&gt;$K$3),0,1))</f>
        <v>0</v>
      </c>
      <c r="L755" s="1" t="n">
        <f aca="false">IF(OR($L$1="",对接源_01水果!$C755="",对接源_01水果!$C755&lt;&gt;$L$1,对接源_01水果!$B755=""),0,IF(OR(N(对接源_01水果!$B755)&lt;$L$2,N(对接源_01水果!$B755)&gt;$L$3),0,1))</f>
        <v>0</v>
      </c>
      <c r="M755" s="1" t="n">
        <f aca="false">IF(OR($M$1="",对接源_01水果!$C755="",对接源_01水果!$C755&lt;&gt;$M$1,对接源_01水果!$B755=""),0,IF(OR(N(对接源_01水果!$B755)&lt;$M$2,N(对接源_01水果!$B755)&gt;$M$3),0,1))</f>
        <v>0</v>
      </c>
      <c r="N755" s="1" t="n">
        <f aca="false">IF(OR($N$1="",对接源_01水果!$C755="",对接源_01水果!$C755&lt;&gt;$N$1,对接源_01水果!$B755=""),0,IF(OR(N(对接源_01水果!$B755)&lt;$N$2,N(对接源_01水果!$B755)&gt;$N$3),0,1))</f>
        <v>0</v>
      </c>
      <c r="P755" s="1" t="n">
        <f aca="false">IF(AND($K755=1,AND(对接源_01水果!$X755="公司筐",N(对接源_01水果!$T755)&lt;&gt;0)),1,0)</f>
        <v>0</v>
      </c>
      <c r="Q755" s="1" t="n">
        <f aca="false">N(Q754)+$P755</f>
        <v>3</v>
      </c>
      <c r="R755" s="1" t="n">
        <f aca="false">IF(AND($K755=1,AND(对接源_01水果!$X755="公司筐",N(对接源_01水果!$U755)&lt;&gt;0)),1,0)</f>
        <v>0</v>
      </c>
      <c r="S755" s="1" t="n">
        <f aca="false">N(S754)+$R755</f>
        <v>0</v>
      </c>
      <c r="T755" s="1" t="n">
        <f aca="false">IF(AND($K755=1,AND(对接源_01水果!$X755="公司筐",N(对接源_01水果!$V755)&lt;&gt;0)),1,0)</f>
        <v>0</v>
      </c>
      <c r="U755" s="1" t="n">
        <f aca="false">N(U754)+$T755</f>
        <v>28</v>
      </c>
      <c r="V755" s="1" t="n">
        <f aca="false">IF(AND($L755=1,AND(对接源_01水果!$X755="自备筐",N(对接源_01水果!$V755)&lt;&gt;0)),1,0)</f>
        <v>0</v>
      </c>
      <c r="W755" s="1" t="n">
        <f aca="false">N(W754)+$V755</f>
        <v>7</v>
      </c>
      <c r="X755" s="1" t="n">
        <f aca="false">IF(AND($L755=1,AND(对接源_01水果!$X755="自备筐",N(对接源_01水果!$T755)&lt;&gt;0)),1,0)</f>
        <v>0</v>
      </c>
      <c r="Y755" s="1" t="n">
        <f aca="false">N(Y754)+$X755</f>
        <v>0</v>
      </c>
      <c r="Z755" s="1" t="n">
        <f aca="false">IF(AND($M755=1,对接源_01水果!$D755="原料入库"),1,0)</f>
        <v>0</v>
      </c>
      <c r="AA755" s="1" t="n">
        <f aca="false">N(AA754)+$Z755</f>
        <v>30</v>
      </c>
      <c r="AB755" s="1" t="n">
        <f aca="false">IF(AND($M755=1,LEFT(对接源_01水果!$D755,4)="原料出库"),1,0)</f>
        <v>0</v>
      </c>
      <c r="AC755" s="1" t="n">
        <f aca="false">N(AC754)+$AB755</f>
        <v>19</v>
      </c>
      <c r="AD755" s="1" t="n">
        <f aca="false">IF(AND($M755=1,LEFT(对接源_01水果!$D755,4)="成品出库"),1,0)</f>
        <v>0</v>
      </c>
      <c r="AE755" s="1" t="n">
        <f aca="false">N(AE754)+$AD755</f>
        <v>38</v>
      </c>
      <c r="AF755" s="1" t="n">
        <f aca="false">IF(AND($N755=1,AND(LEFT(对接源_01水果!$D755,4)="包装物料",N(对接源_01水果!$K755)&lt;&gt;0)),1,0)</f>
        <v>0</v>
      </c>
      <c r="AG755" s="90" t="str">
        <f aca="false">IF(对接源_01水果!$AC755="","",对接源_01水果!$AC755)</f>
        <v/>
      </c>
      <c r="AH755" s="1" t="n">
        <f aca="false">IF(AND($N755=1,AND(LEFT(对接源_01水果!$D755,3)="周转筐",N(对接源_01水果!$K755)&lt;&gt;0)),1,0)</f>
        <v>0</v>
      </c>
      <c r="AI755" s="90" t="n">
        <f aca="false">IF(AG755="",0,IF(MATCH(AG755,$AG$4:$AG$1203,0)=ROW()-3,1,0))</f>
        <v>0</v>
      </c>
      <c r="AJ755" s="90" t="n">
        <f aca="false">N(AJ754)+AI755</f>
        <v>4</v>
      </c>
      <c r="AK755" s="1" t="n">
        <f aca="false">N(AK754)+$AJ755</f>
        <v>1880</v>
      </c>
    </row>
    <row r="756" customFormat="false" ht="13.5" hidden="false" customHeight="false" outlineLevel="0" collapsed="false">
      <c r="A756" s="1" t="str">
        <f aca="false">IF(对接源_01水果!$C756="","",对接源_01水果!$C756)</f>
        <v/>
      </c>
      <c r="B756" s="1" t="n">
        <f aca="false">IF(A756="",0,IF(MATCH(A756,$A$4:$A$2403,0)=ROW()-3,1,0))</f>
        <v>0</v>
      </c>
      <c r="C756" s="1" t="n">
        <f aca="false">N(C755)+B756</f>
        <v>13</v>
      </c>
      <c r="K756" s="1" t="n">
        <f aca="false">IF(OR($K$1="",对接源_01水果!$C756="",对接源_01水果!$C756&lt;&gt;$K$1,对接源_01水果!$B756=""),0,IF(OR(N(对接源_01水果!$B756)&lt;$K$2,N(对接源_01水果!$B756)&gt;$K$3),0,1))</f>
        <v>0</v>
      </c>
      <c r="L756" s="1" t="n">
        <f aca="false">IF(OR($L$1="",对接源_01水果!$C756="",对接源_01水果!$C756&lt;&gt;$L$1,对接源_01水果!$B756=""),0,IF(OR(N(对接源_01水果!$B756)&lt;$L$2,N(对接源_01水果!$B756)&gt;$L$3),0,1))</f>
        <v>0</v>
      </c>
      <c r="M756" s="1" t="n">
        <f aca="false">IF(OR($M$1="",对接源_01水果!$C756="",对接源_01水果!$C756&lt;&gt;$M$1,对接源_01水果!$B756=""),0,IF(OR(N(对接源_01水果!$B756)&lt;$M$2,N(对接源_01水果!$B756)&gt;$M$3),0,1))</f>
        <v>0</v>
      </c>
      <c r="N756" s="1" t="n">
        <f aca="false">IF(OR($N$1="",对接源_01水果!$C756="",对接源_01水果!$C756&lt;&gt;$N$1,对接源_01水果!$B756=""),0,IF(OR(N(对接源_01水果!$B756)&lt;$N$2,N(对接源_01水果!$B756)&gt;$N$3),0,1))</f>
        <v>0</v>
      </c>
      <c r="P756" s="1" t="n">
        <f aca="false">IF(AND($K756=1,AND(对接源_01水果!$X756="公司筐",N(对接源_01水果!$T756)&lt;&gt;0)),1,0)</f>
        <v>0</v>
      </c>
      <c r="Q756" s="1" t="n">
        <f aca="false">N(Q755)+$P756</f>
        <v>3</v>
      </c>
      <c r="R756" s="1" t="n">
        <f aca="false">IF(AND($K756=1,AND(对接源_01水果!$X756="公司筐",N(对接源_01水果!$U756)&lt;&gt;0)),1,0)</f>
        <v>0</v>
      </c>
      <c r="S756" s="1" t="n">
        <f aca="false">N(S755)+$R756</f>
        <v>0</v>
      </c>
      <c r="T756" s="1" t="n">
        <f aca="false">IF(AND($K756=1,AND(对接源_01水果!$X756="公司筐",N(对接源_01水果!$V756)&lt;&gt;0)),1,0)</f>
        <v>0</v>
      </c>
      <c r="U756" s="1" t="n">
        <f aca="false">N(U755)+$T756</f>
        <v>28</v>
      </c>
      <c r="V756" s="1" t="n">
        <f aca="false">IF(AND($L756=1,AND(对接源_01水果!$X756="自备筐",N(对接源_01水果!$V756)&lt;&gt;0)),1,0)</f>
        <v>0</v>
      </c>
      <c r="W756" s="1" t="n">
        <f aca="false">N(W755)+$V756</f>
        <v>7</v>
      </c>
      <c r="X756" s="1" t="n">
        <f aca="false">IF(AND($L756=1,AND(对接源_01水果!$X756="自备筐",N(对接源_01水果!$T756)&lt;&gt;0)),1,0)</f>
        <v>0</v>
      </c>
      <c r="Y756" s="1" t="n">
        <f aca="false">N(Y755)+$X756</f>
        <v>0</v>
      </c>
      <c r="Z756" s="1" t="n">
        <f aca="false">IF(AND($M756=1,对接源_01水果!$D756="原料入库"),1,0)</f>
        <v>0</v>
      </c>
      <c r="AA756" s="1" t="n">
        <f aca="false">N(AA755)+$Z756</f>
        <v>30</v>
      </c>
      <c r="AB756" s="1" t="n">
        <f aca="false">IF(AND($M756=1,LEFT(对接源_01水果!$D756,4)="原料出库"),1,0)</f>
        <v>0</v>
      </c>
      <c r="AC756" s="1" t="n">
        <f aca="false">N(AC755)+$AB756</f>
        <v>19</v>
      </c>
      <c r="AD756" s="1" t="n">
        <f aca="false">IF(AND($M756=1,LEFT(对接源_01水果!$D756,4)="成品出库"),1,0)</f>
        <v>0</v>
      </c>
      <c r="AE756" s="1" t="n">
        <f aca="false">N(AE755)+$AD756</f>
        <v>38</v>
      </c>
      <c r="AF756" s="1" t="n">
        <f aca="false">IF(AND($N756=1,AND(LEFT(对接源_01水果!$D756,4)="包装物料",N(对接源_01水果!$K756)&lt;&gt;0)),1,0)</f>
        <v>0</v>
      </c>
      <c r="AG756" s="90" t="str">
        <f aca="false">IF(对接源_01水果!$AC756="","",对接源_01水果!$AC756)</f>
        <v/>
      </c>
      <c r="AH756" s="1" t="n">
        <f aca="false">IF(AND($N756=1,AND(LEFT(对接源_01水果!$D756,3)="周转筐",N(对接源_01水果!$K756)&lt;&gt;0)),1,0)</f>
        <v>0</v>
      </c>
      <c r="AI756" s="90" t="n">
        <f aca="false">IF(AG756="",0,IF(MATCH(AG756,$AG$4:$AG$1203,0)=ROW()-3,1,0))</f>
        <v>0</v>
      </c>
      <c r="AJ756" s="90" t="n">
        <f aca="false">N(AJ755)+AI756</f>
        <v>4</v>
      </c>
      <c r="AK756" s="1" t="n">
        <f aca="false">N(AK755)+$AJ756</f>
        <v>1884</v>
      </c>
    </row>
    <row r="757" customFormat="false" ht="13.5" hidden="false" customHeight="false" outlineLevel="0" collapsed="false">
      <c r="A757" s="1" t="str">
        <f aca="false">IF(对接源_01水果!$C757="","",对接源_01水果!$C757)</f>
        <v/>
      </c>
      <c r="B757" s="1" t="n">
        <f aca="false">IF(A757="",0,IF(MATCH(A757,$A$4:$A$2403,0)=ROW()-3,1,0))</f>
        <v>0</v>
      </c>
      <c r="C757" s="1" t="n">
        <f aca="false">N(C756)+B757</f>
        <v>13</v>
      </c>
      <c r="K757" s="1" t="n">
        <f aca="false">IF(OR($K$1="",对接源_01水果!$C757="",对接源_01水果!$C757&lt;&gt;$K$1,对接源_01水果!$B757=""),0,IF(OR(N(对接源_01水果!$B757)&lt;$K$2,N(对接源_01水果!$B757)&gt;$K$3),0,1))</f>
        <v>0</v>
      </c>
      <c r="L757" s="1" t="n">
        <f aca="false">IF(OR($L$1="",对接源_01水果!$C757="",对接源_01水果!$C757&lt;&gt;$L$1,对接源_01水果!$B757=""),0,IF(OR(N(对接源_01水果!$B757)&lt;$L$2,N(对接源_01水果!$B757)&gt;$L$3),0,1))</f>
        <v>0</v>
      </c>
      <c r="M757" s="1" t="n">
        <f aca="false">IF(OR($M$1="",对接源_01水果!$C757="",对接源_01水果!$C757&lt;&gt;$M$1,对接源_01水果!$B757=""),0,IF(OR(N(对接源_01水果!$B757)&lt;$M$2,N(对接源_01水果!$B757)&gt;$M$3),0,1))</f>
        <v>0</v>
      </c>
      <c r="N757" s="1" t="n">
        <f aca="false">IF(OR($N$1="",对接源_01水果!$C757="",对接源_01水果!$C757&lt;&gt;$N$1,对接源_01水果!$B757=""),0,IF(OR(N(对接源_01水果!$B757)&lt;$N$2,N(对接源_01水果!$B757)&gt;$N$3),0,1))</f>
        <v>0</v>
      </c>
      <c r="P757" s="1" t="n">
        <f aca="false">IF(AND($K757=1,AND(对接源_01水果!$X757="公司筐",N(对接源_01水果!$T757)&lt;&gt;0)),1,0)</f>
        <v>0</v>
      </c>
      <c r="Q757" s="1" t="n">
        <f aca="false">N(Q756)+$P757</f>
        <v>3</v>
      </c>
      <c r="R757" s="1" t="n">
        <f aca="false">IF(AND($K757=1,AND(对接源_01水果!$X757="公司筐",N(对接源_01水果!$U757)&lt;&gt;0)),1,0)</f>
        <v>0</v>
      </c>
      <c r="S757" s="1" t="n">
        <f aca="false">N(S756)+$R757</f>
        <v>0</v>
      </c>
      <c r="T757" s="1" t="n">
        <f aca="false">IF(AND($K757=1,AND(对接源_01水果!$X757="公司筐",N(对接源_01水果!$V757)&lt;&gt;0)),1,0)</f>
        <v>0</v>
      </c>
      <c r="U757" s="1" t="n">
        <f aca="false">N(U756)+$T757</f>
        <v>28</v>
      </c>
      <c r="V757" s="1" t="n">
        <f aca="false">IF(AND($L757=1,AND(对接源_01水果!$X757="自备筐",N(对接源_01水果!$V757)&lt;&gt;0)),1,0)</f>
        <v>0</v>
      </c>
      <c r="W757" s="1" t="n">
        <f aca="false">N(W756)+$V757</f>
        <v>7</v>
      </c>
      <c r="X757" s="1" t="n">
        <f aca="false">IF(AND($L757=1,AND(对接源_01水果!$X757="自备筐",N(对接源_01水果!$T757)&lt;&gt;0)),1,0)</f>
        <v>0</v>
      </c>
      <c r="Y757" s="1" t="n">
        <f aca="false">N(Y756)+$X757</f>
        <v>0</v>
      </c>
      <c r="Z757" s="1" t="n">
        <f aca="false">IF(AND($M757=1,对接源_01水果!$D757="原料入库"),1,0)</f>
        <v>0</v>
      </c>
      <c r="AA757" s="1" t="n">
        <f aca="false">N(AA756)+$Z757</f>
        <v>30</v>
      </c>
      <c r="AB757" s="1" t="n">
        <f aca="false">IF(AND($M757=1,LEFT(对接源_01水果!$D757,4)="原料出库"),1,0)</f>
        <v>0</v>
      </c>
      <c r="AC757" s="1" t="n">
        <f aca="false">N(AC756)+$AB757</f>
        <v>19</v>
      </c>
      <c r="AD757" s="1" t="n">
        <f aca="false">IF(AND($M757=1,LEFT(对接源_01水果!$D757,4)="成品出库"),1,0)</f>
        <v>0</v>
      </c>
      <c r="AE757" s="1" t="n">
        <f aca="false">N(AE756)+$AD757</f>
        <v>38</v>
      </c>
      <c r="AF757" s="1" t="n">
        <f aca="false">IF(AND($N757=1,AND(LEFT(对接源_01水果!$D757,4)="包装物料",N(对接源_01水果!$K757)&lt;&gt;0)),1,0)</f>
        <v>0</v>
      </c>
      <c r="AG757" s="90" t="str">
        <f aca="false">IF(对接源_01水果!$AC757="","",对接源_01水果!$AC757)</f>
        <v/>
      </c>
      <c r="AH757" s="1" t="n">
        <f aca="false">IF(AND($N757=1,AND(LEFT(对接源_01水果!$D757,3)="周转筐",N(对接源_01水果!$K757)&lt;&gt;0)),1,0)</f>
        <v>0</v>
      </c>
      <c r="AI757" s="90" t="n">
        <f aca="false">IF(AG757="",0,IF(MATCH(AG757,$AG$4:$AG$1203,0)=ROW()-3,1,0))</f>
        <v>0</v>
      </c>
      <c r="AJ757" s="90" t="n">
        <f aca="false">N(AJ756)+AI757</f>
        <v>4</v>
      </c>
      <c r="AK757" s="1" t="n">
        <f aca="false">N(AK756)+$AJ757</f>
        <v>1888</v>
      </c>
    </row>
    <row r="758" customFormat="false" ht="13.5" hidden="false" customHeight="false" outlineLevel="0" collapsed="false">
      <c r="A758" s="1" t="str">
        <f aca="false">IF(对接源_01水果!$C758="","",对接源_01水果!$C758)</f>
        <v/>
      </c>
      <c r="B758" s="1" t="n">
        <f aca="false">IF(A758="",0,IF(MATCH(A758,$A$4:$A$2403,0)=ROW()-3,1,0))</f>
        <v>0</v>
      </c>
      <c r="C758" s="1" t="n">
        <f aca="false">N(C757)+B758</f>
        <v>13</v>
      </c>
      <c r="K758" s="1" t="n">
        <f aca="false">IF(OR($K$1="",对接源_01水果!$C758="",对接源_01水果!$C758&lt;&gt;$K$1,对接源_01水果!$B758=""),0,IF(OR(N(对接源_01水果!$B758)&lt;$K$2,N(对接源_01水果!$B758)&gt;$K$3),0,1))</f>
        <v>0</v>
      </c>
      <c r="L758" s="1" t="n">
        <f aca="false">IF(OR($L$1="",对接源_01水果!$C758="",对接源_01水果!$C758&lt;&gt;$L$1,对接源_01水果!$B758=""),0,IF(OR(N(对接源_01水果!$B758)&lt;$L$2,N(对接源_01水果!$B758)&gt;$L$3),0,1))</f>
        <v>0</v>
      </c>
      <c r="M758" s="1" t="n">
        <f aca="false">IF(OR($M$1="",对接源_01水果!$C758="",对接源_01水果!$C758&lt;&gt;$M$1,对接源_01水果!$B758=""),0,IF(OR(N(对接源_01水果!$B758)&lt;$M$2,N(对接源_01水果!$B758)&gt;$M$3),0,1))</f>
        <v>0</v>
      </c>
      <c r="N758" s="1" t="n">
        <f aca="false">IF(OR($N$1="",对接源_01水果!$C758="",对接源_01水果!$C758&lt;&gt;$N$1,对接源_01水果!$B758=""),0,IF(OR(N(对接源_01水果!$B758)&lt;$N$2,N(对接源_01水果!$B758)&gt;$N$3),0,1))</f>
        <v>0</v>
      </c>
      <c r="P758" s="1" t="n">
        <f aca="false">IF(AND($K758=1,AND(对接源_01水果!$X758="公司筐",N(对接源_01水果!$T758)&lt;&gt;0)),1,0)</f>
        <v>0</v>
      </c>
      <c r="Q758" s="1" t="n">
        <f aca="false">N(Q757)+$P758</f>
        <v>3</v>
      </c>
      <c r="R758" s="1" t="n">
        <f aca="false">IF(AND($K758=1,AND(对接源_01水果!$X758="公司筐",N(对接源_01水果!$U758)&lt;&gt;0)),1,0)</f>
        <v>0</v>
      </c>
      <c r="S758" s="1" t="n">
        <f aca="false">N(S757)+$R758</f>
        <v>0</v>
      </c>
      <c r="T758" s="1" t="n">
        <f aca="false">IF(AND($K758=1,AND(对接源_01水果!$X758="公司筐",N(对接源_01水果!$V758)&lt;&gt;0)),1,0)</f>
        <v>0</v>
      </c>
      <c r="U758" s="1" t="n">
        <f aca="false">N(U757)+$T758</f>
        <v>28</v>
      </c>
      <c r="V758" s="1" t="n">
        <f aca="false">IF(AND($L758=1,AND(对接源_01水果!$X758="自备筐",N(对接源_01水果!$V758)&lt;&gt;0)),1,0)</f>
        <v>0</v>
      </c>
      <c r="W758" s="1" t="n">
        <f aca="false">N(W757)+$V758</f>
        <v>7</v>
      </c>
      <c r="X758" s="1" t="n">
        <f aca="false">IF(AND($L758=1,AND(对接源_01水果!$X758="自备筐",N(对接源_01水果!$T758)&lt;&gt;0)),1,0)</f>
        <v>0</v>
      </c>
      <c r="Y758" s="1" t="n">
        <f aca="false">N(Y757)+$X758</f>
        <v>0</v>
      </c>
      <c r="Z758" s="1" t="n">
        <f aca="false">IF(AND($M758=1,对接源_01水果!$D758="原料入库"),1,0)</f>
        <v>0</v>
      </c>
      <c r="AA758" s="1" t="n">
        <f aca="false">N(AA757)+$Z758</f>
        <v>30</v>
      </c>
      <c r="AB758" s="1" t="n">
        <f aca="false">IF(AND($M758=1,LEFT(对接源_01水果!$D758,4)="原料出库"),1,0)</f>
        <v>0</v>
      </c>
      <c r="AC758" s="1" t="n">
        <f aca="false">N(AC757)+$AB758</f>
        <v>19</v>
      </c>
      <c r="AD758" s="1" t="n">
        <f aca="false">IF(AND($M758=1,LEFT(对接源_01水果!$D758,4)="成品出库"),1,0)</f>
        <v>0</v>
      </c>
      <c r="AE758" s="1" t="n">
        <f aca="false">N(AE757)+$AD758</f>
        <v>38</v>
      </c>
      <c r="AF758" s="1" t="n">
        <f aca="false">IF(AND($N758=1,AND(LEFT(对接源_01水果!$D758,4)="包装物料",N(对接源_01水果!$K758)&lt;&gt;0)),1,0)</f>
        <v>0</v>
      </c>
      <c r="AG758" s="90" t="str">
        <f aca="false">IF(对接源_01水果!$AC758="","",对接源_01水果!$AC758)</f>
        <v/>
      </c>
      <c r="AH758" s="1" t="n">
        <f aca="false">IF(AND($N758=1,AND(LEFT(对接源_01水果!$D758,3)="周转筐",N(对接源_01水果!$K758)&lt;&gt;0)),1,0)</f>
        <v>0</v>
      </c>
      <c r="AI758" s="90" t="n">
        <f aca="false">IF(AG758="",0,IF(MATCH(AG758,$AG$4:$AG$1203,0)=ROW()-3,1,0))</f>
        <v>0</v>
      </c>
      <c r="AJ758" s="90" t="n">
        <f aca="false">N(AJ757)+AI758</f>
        <v>4</v>
      </c>
      <c r="AK758" s="1" t="n">
        <f aca="false">N(AK757)+$AJ758</f>
        <v>1892</v>
      </c>
    </row>
    <row r="759" customFormat="false" ht="13.5" hidden="false" customHeight="false" outlineLevel="0" collapsed="false">
      <c r="A759" s="1" t="str">
        <f aca="false">IF(对接源_01水果!$C759="","",对接源_01水果!$C759)</f>
        <v/>
      </c>
      <c r="B759" s="1" t="n">
        <f aca="false">IF(A759="",0,IF(MATCH(A759,$A$4:$A$2403,0)=ROW()-3,1,0))</f>
        <v>0</v>
      </c>
      <c r="C759" s="1" t="n">
        <f aca="false">N(C758)+B759</f>
        <v>13</v>
      </c>
      <c r="K759" s="1" t="n">
        <f aca="false">IF(OR($K$1="",对接源_01水果!$C759="",对接源_01水果!$C759&lt;&gt;$K$1,对接源_01水果!$B759=""),0,IF(OR(N(对接源_01水果!$B759)&lt;$K$2,N(对接源_01水果!$B759)&gt;$K$3),0,1))</f>
        <v>0</v>
      </c>
      <c r="L759" s="1" t="n">
        <f aca="false">IF(OR($L$1="",对接源_01水果!$C759="",对接源_01水果!$C759&lt;&gt;$L$1,对接源_01水果!$B759=""),0,IF(OR(N(对接源_01水果!$B759)&lt;$L$2,N(对接源_01水果!$B759)&gt;$L$3),0,1))</f>
        <v>0</v>
      </c>
      <c r="M759" s="1" t="n">
        <f aca="false">IF(OR($M$1="",对接源_01水果!$C759="",对接源_01水果!$C759&lt;&gt;$M$1,对接源_01水果!$B759=""),0,IF(OR(N(对接源_01水果!$B759)&lt;$M$2,N(对接源_01水果!$B759)&gt;$M$3),0,1))</f>
        <v>0</v>
      </c>
      <c r="N759" s="1" t="n">
        <f aca="false">IF(OR($N$1="",对接源_01水果!$C759="",对接源_01水果!$C759&lt;&gt;$N$1,对接源_01水果!$B759=""),0,IF(OR(N(对接源_01水果!$B759)&lt;$N$2,N(对接源_01水果!$B759)&gt;$N$3),0,1))</f>
        <v>0</v>
      </c>
      <c r="P759" s="1" t="n">
        <f aca="false">IF(AND($K759=1,AND(对接源_01水果!$X759="公司筐",N(对接源_01水果!$T759)&lt;&gt;0)),1,0)</f>
        <v>0</v>
      </c>
      <c r="Q759" s="1" t="n">
        <f aca="false">N(Q758)+$P759</f>
        <v>3</v>
      </c>
      <c r="R759" s="1" t="n">
        <f aca="false">IF(AND($K759=1,AND(对接源_01水果!$X759="公司筐",N(对接源_01水果!$U759)&lt;&gt;0)),1,0)</f>
        <v>0</v>
      </c>
      <c r="S759" s="1" t="n">
        <f aca="false">N(S758)+$R759</f>
        <v>0</v>
      </c>
      <c r="T759" s="1" t="n">
        <f aca="false">IF(AND($K759=1,AND(对接源_01水果!$X759="公司筐",N(对接源_01水果!$V759)&lt;&gt;0)),1,0)</f>
        <v>0</v>
      </c>
      <c r="U759" s="1" t="n">
        <f aca="false">N(U758)+$T759</f>
        <v>28</v>
      </c>
      <c r="V759" s="1" t="n">
        <f aca="false">IF(AND($L759=1,AND(对接源_01水果!$X759="自备筐",N(对接源_01水果!$V759)&lt;&gt;0)),1,0)</f>
        <v>0</v>
      </c>
      <c r="W759" s="1" t="n">
        <f aca="false">N(W758)+$V759</f>
        <v>7</v>
      </c>
      <c r="X759" s="1" t="n">
        <f aca="false">IF(AND($L759=1,AND(对接源_01水果!$X759="自备筐",N(对接源_01水果!$T759)&lt;&gt;0)),1,0)</f>
        <v>0</v>
      </c>
      <c r="Y759" s="1" t="n">
        <f aca="false">N(Y758)+$X759</f>
        <v>0</v>
      </c>
      <c r="Z759" s="1" t="n">
        <f aca="false">IF(AND($M759=1,对接源_01水果!$D759="原料入库"),1,0)</f>
        <v>0</v>
      </c>
      <c r="AA759" s="1" t="n">
        <f aca="false">N(AA758)+$Z759</f>
        <v>30</v>
      </c>
      <c r="AB759" s="1" t="n">
        <f aca="false">IF(AND($M759=1,LEFT(对接源_01水果!$D759,4)="原料出库"),1,0)</f>
        <v>0</v>
      </c>
      <c r="AC759" s="1" t="n">
        <f aca="false">N(AC758)+$AB759</f>
        <v>19</v>
      </c>
      <c r="AD759" s="1" t="n">
        <f aca="false">IF(AND($M759=1,LEFT(对接源_01水果!$D759,4)="成品出库"),1,0)</f>
        <v>0</v>
      </c>
      <c r="AE759" s="1" t="n">
        <f aca="false">N(AE758)+$AD759</f>
        <v>38</v>
      </c>
      <c r="AF759" s="1" t="n">
        <f aca="false">IF(AND($N759=1,AND(LEFT(对接源_01水果!$D759,4)="包装物料",N(对接源_01水果!$K759)&lt;&gt;0)),1,0)</f>
        <v>0</v>
      </c>
      <c r="AG759" s="90" t="str">
        <f aca="false">IF(对接源_01水果!$AC759="","",对接源_01水果!$AC759)</f>
        <v/>
      </c>
      <c r="AH759" s="1" t="n">
        <f aca="false">IF(AND($N759=1,AND(LEFT(对接源_01水果!$D759,3)="周转筐",N(对接源_01水果!$K759)&lt;&gt;0)),1,0)</f>
        <v>0</v>
      </c>
      <c r="AI759" s="90" t="n">
        <f aca="false">IF(AG759="",0,IF(MATCH(AG759,$AG$4:$AG$1203,0)=ROW()-3,1,0))</f>
        <v>0</v>
      </c>
      <c r="AJ759" s="90" t="n">
        <f aca="false">N(AJ758)+AI759</f>
        <v>4</v>
      </c>
      <c r="AK759" s="1" t="n">
        <f aca="false">N(AK758)+$AJ759</f>
        <v>1896</v>
      </c>
    </row>
    <row r="760" customFormat="false" ht="13.5" hidden="false" customHeight="false" outlineLevel="0" collapsed="false">
      <c r="A760" s="1" t="str">
        <f aca="false">IF(对接源_01水果!$C760="","",对接源_01水果!$C760)</f>
        <v/>
      </c>
      <c r="B760" s="1" t="n">
        <f aca="false">IF(A760="",0,IF(MATCH(A760,$A$4:$A$2403,0)=ROW()-3,1,0))</f>
        <v>0</v>
      </c>
      <c r="C760" s="1" t="n">
        <f aca="false">N(C759)+B760</f>
        <v>13</v>
      </c>
      <c r="K760" s="1" t="n">
        <f aca="false">IF(OR($K$1="",对接源_01水果!$C760="",对接源_01水果!$C760&lt;&gt;$K$1,对接源_01水果!$B760=""),0,IF(OR(N(对接源_01水果!$B760)&lt;$K$2,N(对接源_01水果!$B760)&gt;$K$3),0,1))</f>
        <v>0</v>
      </c>
      <c r="L760" s="1" t="n">
        <f aca="false">IF(OR($L$1="",对接源_01水果!$C760="",对接源_01水果!$C760&lt;&gt;$L$1,对接源_01水果!$B760=""),0,IF(OR(N(对接源_01水果!$B760)&lt;$L$2,N(对接源_01水果!$B760)&gt;$L$3),0,1))</f>
        <v>0</v>
      </c>
      <c r="M760" s="1" t="n">
        <f aca="false">IF(OR($M$1="",对接源_01水果!$C760="",对接源_01水果!$C760&lt;&gt;$M$1,对接源_01水果!$B760=""),0,IF(OR(N(对接源_01水果!$B760)&lt;$M$2,N(对接源_01水果!$B760)&gt;$M$3),0,1))</f>
        <v>0</v>
      </c>
      <c r="N760" s="1" t="n">
        <f aca="false">IF(OR($N$1="",对接源_01水果!$C760="",对接源_01水果!$C760&lt;&gt;$N$1,对接源_01水果!$B760=""),0,IF(OR(N(对接源_01水果!$B760)&lt;$N$2,N(对接源_01水果!$B760)&gt;$N$3),0,1))</f>
        <v>0</v>
      </c>
      <c r="P760" s="1" t="n">
        <f aca="false">IF(AND($K760=1,AND(对接源_01水果!$X760="公司筐",N(对接源_01水果!$T760)&lt;&gt;0)),1,0)</f>
        <v>0</v>
      </c>
      <c r="Q760" s="1" t="n">
        <f aca="false">N(Q759)+$P760</f>
        <v>3</v>
      </c>
      <c r="R760" s="1" t="n">
        <f aca="false">IF(AND($K760=1,AND(对接源_01水果!$X760="公司筐",N(对接源_01水果!$U760)&lt;&gt;0)),1,0)</f>
        <v>0</v>
      </c>
      <c r="S760" s="1" t="n">
        <f aca="false">N(S759)+$R760</f>
        <v>0</v>
      </c>
      <c r="T760" s="1" t="n">
        <f aca="false">IF(AND($K760=1,AND(对接源_01水果!$X760="公司筐",N(对接源_01水果!$V760)&lt;&gt;0)),1,0)</f>
        <v>0</v>
      </c>
      <c r="U760" s="1" t="n">
        <f aca="false">N(U759)+$T760</f>
        <v>28</v>
      </c>
      <c r="V760" s="1" t="n">
        <f aca="false">IF(AND($L760=1,AND(对接源_01水果!$X760="自备筐",N(对接源_01水果!$V760)&lt;&gt;0)),1,0)</f>
        <v>0</v>
      </c>
      <c r="W760" s="1" t="n">
        <f aca="false">N(W759)+$V760</f>
        <v>7</v>
      </c>
      <c r="X760" s="1" t="n">
        <f aca="false">IF(AND($L760=1,AND(对接源_01水果!$X760="自备筐",N(对接源_01水果!$T760)&lt;&gt;0)),1,0)</f>
        <v>0</v>
      </c>
      <c r="Y760" s="1" t="n">
        <f aca="false">N(Y759)+$X760</f>
        <v>0</v>
      </c>
      <c r="Z760" s="1" t="n">
        <f aca="false">IF(AND($M760=1,对接源_01水果!$D760="原料入库"),1,0)</f>
        <v>0</v>
      </c>
      <c r="AA760" s="1" t="n">
        <f aca="false">N(AA759)+$Z760</f>
        <v>30</v>
      </c>
      <c r="AB760" s="1" t="n">
        <f aca="false">IF(AND($M760=1,LEFT(对接源_01水果!$D760,4)="原料出库"),1,0)</f>
        <v>0</v>
      </c>
      <c r="AC760" s="1" t="n">
        <f aca="false">N(AC759)+$AB760</f>
        <v>19</v>
      </c>
      <c r="AD760" s="1" t="n">
        <f aca="false">IF(AND($M760=1,LEFT(对接源_01水果!$D760,4)="成品出库"),1,0)</f>
        <v>0</v>
      </c>
      <c r="AE760" s="1" t="n">
        <f aca="false">N(AE759)+$AD760</f>
        <v>38</v>
      </c>
      <c r="AF760" s="1" t="n">
        <f aca="false">IF(AND($N760=1,AND(LEFT(对接源_01水果!$D760,4)="包装物料",N(对接源_01水果!$K760)&lt;&gt;0)),1,0)</f>
        <v>0</v>
      </c>
      <c r="AG760" s="90" t="str">
        <f aca="false">IF(对接源_01水果!$AC760="","",对接源_01水果!$AC760)</f>
        <v/>
      </c>
      <c r="AH760" s="1" t="n">
        <f aca="false">IF(AND($N760=1,AND(LEFT(对接源_01水果!$D760,3)="周转筐",N(对接源_01水果!$K760)&lt;&gt;0)),1,0)</f>
        <v>0</v>
      </c>
      <c r="AI760" s="90" t="n">
        <f aca="false">IF(AG760="",0,IF(MATCH(AG760,$AG$4:$AG$1203,0)=ROW()-3,1,0))</f>
        <v>0</v>
      </c>
      <c r="AJ760" s="90" t="n">
        <f aca="false">N(AJ759)+AI760</f>
        <v>4</v>
      </c>
      <c r="AK760" s="1" t="n">
        <f aca="false">N(AK759)+$AJ760</f>
        <v>1900</v>
      </c>
    </row>
    <row r="761" customFormat="false" ht="13.5" hidden="false" customHeight="false" outlineLevel="0" collapsed="false">
      <c r="A761" s="1" t="str">
        <f aca="false">IF(对接源_01水果!$C761="","",对接源_01水果!$C761)</f>
        <v/>
      </c>
      <c r="B761" s="1" t="n">
        <f aca="false">IF(A761="",0,IF(MATCH(A761,$A$4:$A$2403,0)=ROW()-3,1,0))</f>
        <v>0</v>
      </c>
      <c r="C761" s="1" t="n">
        <f aca="false">N(C760)+B761</f>
        <v>13</v>
      </c>
      <c r="K761" s="1" t="n">
        <f aca="false">IF(OR($K$1="",对接源_01水果!$C761="",对接源_01水果!$C761&lt;&gt;$K$1,对接源_01水果!$B761=""),0,IF(OR(N(对接源_01水果!$B761)&lt;$K$2,N(对接源_01水果!$B761)&gt;$K$3),0,1))</f>
        <v>0</v>
      </c>
      <c r="L761" s="1" t="n">
        <f aca="false">IF(OR($L$1="",对接源_01水果!$C761="",对接源_01水果!$C761&lt;&gt;$L$1,对接源_01水果!$B761=""),0,IF(OR(N(对接源_01水果!$B761)&lt;$L$2,N(对接源_01水果!$B761)&gt;$L$3),0,1))</f>
        <v>0</v>
      </c>
      <c r="M761" s="1" t="n">
        <f aca="false">IF(OR($M$1="",对接源_01水果!$C761="",对接源_01水果!$C761&lt;&gt;$M$1,对接源_01水果!$B761=""),0,IF(OR(N(对接源_01水果!$B761)&lt;$M$2,N(对接源_01水果!$B761)&gt;$M$3),0,1))</f>
        <v>0</v>
      </c>
      <c r="N761" s="1" t="n">
        <f aca="false">IF(OR($N$1="",对接源_01水果!$C761="",对接源_01水果!$C761&lt;&gt;$N$1,对接源_01水果!$B761=""),0,IF(OR(N(对接源_01水果!$B761)&lt;$N$2,N(对接源_01水果!$B761)&gt;$N$3),0,1))</f>
        <v>0</v>
      </c>
      <c r="P761" s="1" t="n">
        <f aca="false">IF(AND($K761=1,AND(对接源_01水果!$X761="公司筐",N(对接源_01水果!$T761)&lt;&gt;0)),1,0)</f>
        <v>0</v>
      </c>
      <c r="Q761" s="1" t="n">
        <f aca="false">N(Q760)+$P761</f>
        <v>3</v>
      </c>
      <c r="R761" s="1" t="n">
        <f aca="false">IF(AND($K761=1,AND(对接源_01水果!$X761="公司筐",N(对接源_01水果!$U761)&lt;&gt;0)),1,0)</f>
        <v>0</v>
      </c>
      <c r="S761" s="1" t="n">
        <f aca="false">N(S760)+$R761</f>
        <v>0</v>
      </c>
      <c r="T761" s="1" t="n">
        <f aca="false">IF(AND($K761=1,AND(对接源_01水果!$X761="公司筐",N(对接源_01水果!$V761)&lt;&gt;0)),1,0)</f>
        <v>0</v>
      </c>
      <c r="U761" s="1" t="n">
        <f aca="false">N(U760)+$T761</f>
        <v>28</v>
      </c>
      <c r="V761" s="1" t="n">
        <f aca="false">IF(AND($L761=1,AND(对接源_01水果!$X761="自备筐",N(对接源_01水果!$V761)&lt;&gt;0)),1,0)</f>
        <v>0</v>
      </c>
      <c r="W761" s="1" t="n">
        <f aca="false">N(W760)+$V761</f>
        <v>7</v>
      </c>
      <c r="X761" s="1" t="n">
        <f aca="false">IF(AND($L761=1,AND(对接源_01水果!$X761="自备筐",N(对接源_01水果!$T761)&lt;&gt;0)),1,0)</f>
        <v>0</v>
      </c>
      <c r="Y761" s="1" t="n">
        <f aca="false">N(Y760)+$X761</f>
        <v>0</v>
      </c>
      <c r="Z761" s="1" t="n">
        <f aca="false">IF(AND($M761=1,对接源_01水果!$D761="原料入库"),1,0)</f>
        <v>0</v>
      </c>
      <c r="AA761" s="1" t="n">
        <f aca="false">N(AA760)+$Z761</f>
        <v>30</v>
      </c>
      <c r="AB761" s="1" t="n">
        <f aca="false">IF(AND($M761=1,LEFT(对接源_01水果!$D761,4)="原料出库"),1,0)</f>
        <v>0</v>
      </c>
      <c r="AC761" s="1" t="n">
        <f aca="false">N(AC760)+$AB761</f>
        <v>19</v>
      </c>
      <c r="AD761" s="1" t="n">
        <f aca="false">IF(AND($M761=1,LEFT(对接源_01水果!$D761,4)="成品出库"),1,0)</f>
        <v>0</v>
      </c>
      <c r="AE761" s="1" t="n">
        <f aca="false">N(AE760)+$AD761</f>
        <v>38</v>
      </c>
      <c r="AF761" s="1" t="n">
        <f aca="false">IF(AND($N761=1,AND(LEFT(对接源_01水果!$D761,4)="包装物料",N(对接源_01水果!$K761)&lt;&gt;0)),1,0)</f>
        <v>0</v>
      </c>
      <c r="AG761" s="90" t="str">
        <f aca="false">IF(对接源_01水果!$AC761="","",对接源_01水果!$AC761)</f>
        <v/>
      </c>
      <c r="AH761" s="1" t="n">
        <f aca="false">IF(AND($N761=1,AND(LEFT(对接源_01水果!$D761,3)="周转筐",N(对接源_01水果!$K761)&lt;&gt;0)),1,0)</f>
        <v>0</v>
      </c>
      <c r="AI761" s="90" t="n">
        <f aca="false">IF(AG761="",0,IF(MATCH(AG761,$AG$4:$AG$1203,0)=ROW()-3,1,0))</f>
        <v>0</v>
      </c>
      <c r="AJ761" s="90" t="n">
        <f aca="false">N(AJ760)+AI761</f>
        <v>4</v>
      </c>
      <c r="AK761" s="1" t="n">
        <f aca="false">N(AK760)+$AJ761</f>
        <v>1904</v>
      </c>
    </row>
    <row r="762" customFormat="false" ht="13.5" hidden="false" customHeight="false" outlineLevel="0" collapsed="false">
      <c r="A762" s="1" t="str">
        <f aca="false">IF(对接源_01水果!$C762="","",对接源_01水果!$C762)</f>
        <v/>
      </c>
      <c r="B762" s="1" t="n">
        <f aca="false">IF(A762="",0,IF(MATCH(A762,$A$4:$A$2403,0)=ROW()-3,1,0))</f>
        <v>0</v>
      </c>
      <c r="C762" s="1" t="n">
        <f aca="false">N(C761)+B762</f>
        <v>13</v>
      </c>
      <c r="K762" s="1" t="n">
        <f aca="false">IF(OR($K$1="",对接源_01水果!$C762="",对接源_01水果!$C762&lt;&gt;$K$1,对接源_01水果!$B762=""),0,IF(OR(N(对接源_01水果!$B762)&lt;$K$2,N(对接源_01水果!$B762)&gt;$K$3),0,1))</f>
        <v>0</v>
      </c>
      <c r="L762" s="1" t="n">
        <f aca="false">IF(OR($L$1="",对接源_01水果!$C762="",对接源_01水果!$C762&lt;&gt;$L$1,对接源_01水果!$B762=""),0,IF(OR(N(对接源_01水果!$B762)&lt;$L$2,N(对接源_01水果!$B762)&gt;$L$3),0,1))</f>
        <v>0</v>
      </c>
      <c r="M762" s="1" t="n">
        <f aca="false">IF(OR($M$1="",对接源_01水果!$C762="",对接源_01水果!$C762&lt;&gt;$M$1,对接源_01水果!$B762=""),0,IF(OR(N(对接源_01水果!$B762)&lt;$M$2,N(对接源_01水果!$B762)&gt;$M$3),0,1))</f>
        <v>0</v>
      </c>
      <c r="N762" s="1" t="n">
        <f aca="false">IF(OR($N$1="",对接源_01水果!$C762="",对接源_01水果!$C762&lt;&gt;$N$1,对接源_01水果!$B762=""),0,IF(OR(N(对接源_01水果!$B762)&lt;$N$2,N(对接源_01水果!$B762)&gt;$N$3),0,1))</f>
        <v>0</v>
      </c>
      <c r="P762" s="1" t="n">
        <f aca="false">IF(AND($K762=1,AND(对接源_01水果!$X762="公司筐",N(对接源_01水果!$T762)&lt;&gt;0)),1,0)</f>
        <v>0</v>
      </c>
      <c r="Q762" s="1" t="n">
        <f aca="false">N(Q761)+$P762</f>
        <v>3</v>
      </c>
      <c r="R762" s="1" t="n">
        <f aca="false">IF(AND($K762=1,AND(对接源_01水果!$X762="公司筐",N(对接源_01水果!$U762)&lt;&gt;0)),1,0)</f>
        <v>0</v>
      </c>
      <c r="S762" s="1" t="n">
        <f aca="false">N(S761)+$R762</f>
        <v>0</v>
      </c>
      <c r="T762" s="1" t="n">
        <f aca="false">IF(AND($K762=1,AND(对接源_01水果!$X762="公司筐",N(对接源_01水果!$V762)&lt;&gt;0)),1,0)</f>
        <v>0</v>
      </c>
      <c r="U762" s="1" t="n">
        <f aca="false">N(U761)+$T762</f>
        <v>28</v>
      </c>
      <c r="V762" s="1" t="n">
        <f aca="false">IF(AND($L762=1,AND(对接源_01水果!$X762="自备筐",N(对接源_01水果!$V762)&lt;&gt;0)),1,0)</f>
        <v>0</v>
      </c>
      <c r="W762" s="1" t="n">
        <f aca="false">N(W761)+$V762</f>
        <v>7</v>
      </c>
      <c r="X762" s="1" t="n">
        <f aca="false">IF(AND($L762=1,AND(对接源_01水果!$X762="自备筐",N(对接源_01水果!$T762)&lt;&gt;0)),1,0)</f>
        <v>0</v>
      </c>
      <c r="Y762" s="1" t="n">
        <f aca="false">N(Y761)+$X762</f>
        <v>0</v>
      </c>
      <c r="Z762" s="1" t="n">
        <f aca="false">IF(AND($M762=1,对接源_01水果!$D762="原料入库"),1,0)</f>
        <v>0</v>
      </c>
      <c r="AA762" s="1" t="n">
        <f aca="false">N(AA761)+$Z762</f>
        <v>30</v>
      </c>
      <c r="AB762" s="1" t="n">
        <f aca="false">IF(AND($M762=1,LEFT(对接源_01水果!$D762,4)="原料出库"),1,0)</f>
        <v>0</v>
      </c>
      <c r="AC762" s="1" t="n">
        <f aca="false">N(AC761)+$AB762</f>
        <v>19</v>
      </c>
      <c r="AD762" s="1" t="n">
        <f aca="false">IF(AND($M762=1,LEFT(对接源_01水果!$D762,4)="成品出库"),1,0)</f>
        <v>0</v>
      </c>
      <c r="AE762" s="1" t="n">
        <f aca="false">N(AE761)+$AD762</f>
        <v>38</v>
      </c>
      <c r="AF762" s="1" t="n">
        <f aca="false">IF(AND($N762=1,AND(LEFT(对接源_01水果!$D762,4)="包装物料",N(对接源_01水果!$K762)&lt;&gt;0)),1,0)</f>
        <v>0</v>
      </c>
      <c r="AG762" s="90" t="str">
        <f aca="false">IF(对接源_01水果!$AC762="","",对接源_01水果!$AC762)</f>
        <v/>
      </c>
      <c r="AH762" s="1" t="n">
        <f aca="false">IF(AND($N762=1,AND(LEFT(对接源_01水果!$D762,3)="周转筐",N(对接源_01水果!$K762)&lt;&gt;0)),1,0)</f>
        <v>0</v>
      </c>
      <c r="AI762" s="90" t="n">
        <f aca="false">IF(AG762="",0,IF(MATCH(AG762,$AG$4:$AG$1203,0)=ROW()-3,1,0))</f>
        <v>0</v>
      </c>
      <c r="AJ762" s="90" t="n">
        <f aca="false">N(AJ761)+AI762</f>
        <v>4</v>
      </c>
      <c r="AK762" s="1" t="n">
        <f aca="false">N(AK761)+$AJ762</f>
        <v>1908</v>
      </c>
    </row>
    <row r="763" customFormat="false" ht="13.5" hidden="false" customHeight="false" outlineLevel="0" collapsed="false">
      <c r="A763" s="1" t="str">
        <f aca="false">IF(对接源_01水果!$C763="","",对接源_01水果!$C763)</f>
        <v/>
      </c>
      <c r="B763" s="1" t="n">
        <f aca="false">IF(A763="",0,IF(MATCH(A763,$A$4:$A$2403,0)=ROW()-3,1,0))</f>
        <v>0</v>
      </c>
      <c r="C763" s="1" t="n">
        <f aca="false">N(C762)+B763</f>
        <v>13</v>
      </c>
      <c r="K763" s="1" t="n">
        <f aca="false">IF(OR($K$1="",对接源_01水果!$C763="",对接源_01水果!$C763&lt;&gt;$K$1,对接源_01水果!$B763=""),0,IF(OR(N(对接源_01水果!$B763)&lt;$K$2,N(对接源_01水果!$B763)&gt;$K$3),0,1))</f>
        <v>0</v>
      </c>
      <c r="L763" s="1" t="n">
        <f aca="false">IF(OR($L$1="",对接源_01水果!$C763="",对接源_01水果!$C763&lt;&gt;$L$1,对接源_01水果!$B763=""),0,IF(OR(N(对接源_01水果!$B763)&lt;$L$2,N(对接源_01水果!$B763)&gt;$L$3),0,1))</f>
        <v>0</v>
      </c>
      <c r="M763" s="1" t="n">
        <f aca="false">IF(OR($M$1="",对接源_01水果!$C763="",对接源_01水果!$C763&lt;&gt;$M$1,对接源_01水果!$B763=""),0,IF(OR(N(对接源_01水果!$B763)&lt;$M$2,N(对接源_01水果!$B763)&gt;$M$3),0,1))</f>
        <v>0</v>
      </c>
      <c r="N763" s="1" t="n">
        <f aca="false">IF(OR($N$1="",对接源_01水果!$C763="",对接源_01水果!$C763&lt;&gt;$N$1,对接源_01水果!$B763=""),0,IF(OR(N(对接源_01水果!$B763)&lt;$N$2,N(对接源_01水果!$B763)&gt;$N$3),0,1))</f>
        <v>0</v>
      </c>
      <c r="P763" s="1" t="n">
        <f aca="false">IF(AND($K763=1,AND(对接源_01水果!$X763="公司筐",N(对接源_01水果!$T763)&lt;&gt;0)),1,0)</f>
        <v>0</v>
      </c>
      <c r="Q763" s="1" t="n">
        <f aca="false">N(Q762)+$P763</f>
        <v>3</v>
      </c>
      <c r="R763" s="1" t="n">
        <f aca="false">IF(AND($K763=1,AND(对接源_01水果!$X763="公司筐",N(对接源_01水果!$U763)&lt;&gt;0)),1,0)</f>
        <v>0</v>
      </c>
      <c r="S763" s="1" t="n">
        <f aca="false">N(S762)+$R763</f>
        <v>0</v>
      </c>
      <c r="T763" s="1" t="n">
        <f aca="false">IF(AND($K763=1,AND(对接源_01水果!$X763="公司筐",N(对接源_01水果!$V763)&lt;&gt;0)),1,0)</f>
        <v>0</v>
      </c>
      <c r="U763" s="1" t="n">
        <f aca="false">N(U762)+$T763</f>
        <v>28</v>
      </c>
      <c r="V763" s="1" t="n">
        <f aca="false">IF(AND($L763=1,AND(对接源_01水果!$X763="自备筐",N(对接源_01水果!$V763)&lt;&gt;0)),1,0)</f>
        <v>0</v>
      </c>
      <c r="W763" s="1" t="n">
        <f aca="false">N(W762)+$V763</f>
        <v>7</v>
      </c>
      <c r="X763" s="1" t="n">
        <f aca="false">IF(AND($L763=1,AND(对接源_01水果!$X763="自备筐",N(对接源_01水果!$T763)&lt;&gt;0)),1,0)</f>
        <v>0</v>
      </c>
      <c r="Y763" s="1" t="n">
        <f aca="false">N(Y762)+$X763</f>
        <v>0</v>
      </c>
      <c r="Z763" s="1" t="n">
        <f aca="false">IF(AND($M763=1,对接源_01水果!$D763="原料入库"),1,0)</f>
        <v>0</v>
      </c>
      <c r="AA763" s="1" t="n">
        <f aca="false">N(AA762)+$Z763</f>
        <v>30</v>
      </c>
      <c r="AB763" s="1" t="n">
        <f aca="false">IF(AND($M763=1,LEFT(对接源_01水果!$D763,4)="原料出库"),1,0)</f>
        <v>0</v>
      </c>
      <c r="AC763" s="1" t="n">
        <f aca="false">N(AC762)+$AB763</f>
        <v>19</v>
      </c>
      <c r="AD763" s="1" t="n">
        <f aca="false">IF(AND($M763=1,LEFT(对接源_01水果!$D763,4)="成品出库"),1,0)</f>
        <v>0</v>
      </c>
      <c r="AE763" s="1" t="n">
        <f aca="false">N(AE762)+$AD763</f>
        <v>38</v>
      </c>
      <c r="AF763" s="1" t="n">
        <f aca="false">IF(AND($N763=1,AND(LEFT(对接源_01水果!$D763,4)="包装物料",N(对接源_01水果!$K763)&lt;&gt;0)),1,0)</f>
        <v>0</v>
      </c>
      <c r="AG763" s="90" t="str">
        <f aca="false">IF(对接源_01水果!$AC763="","",对接源_01水果!$AC763)</f>
        <v/>
      </c>
      <c r="AH763" s="1" t="n">
        <f aca="false">IF(AND($N763=1,AND(LEFT(对接源_01水果!$D763,3)="周转筐",N(对接源_01水果!$K763)&lt;&gt;0)),1,0)</f>
        <v>0</v>
      </c>
      <c r="AI763" s="90" t="n">
        <f aca="false">IF(AG763="",0,IF(MATCH(AG763,$AG$4:$AG$1203,0)=ROW()-3,1,0))</f>
        <v>0</v>
      </c>
      <c r="AJ763" s="90" t="n">
        <f aca="false">N(AJ762)+AI763</f>
        <v>4</v>
      </c>
      <c r="AK763" s="1" t="n">
        <f aca="false">N(AK762)+$AJ763</f>
        <v>1912</v>
      </c>
    </row>
    <row r="764" customFormat="false" ht="13.5" hidden="false" customHeight="false" outlineLevel="0" collapsed="false">
      <c r="A764" s="1" t="str">
        <f aca="false">IF(对接源_01水果!$C764="","",对接源_01水果!$C764)</f>
        <v/>
      </c>
      <c r="B764" s="1" t="n">
        <f aca="false">IF(A764="",0,IF(MATCH(A764,$A$4:$A$2403,0)=ROW()-3,1,0))</f>
        <v>0</v>
      </c>
      <c r="C764" s="1" t="n">
        <f aca="false">N(C763)+B764</f>
        <v>13</v>
      </c>
      <c r="K764" s="1" t="n">
        <f aca="false">IF(OR($K$1="",对接源_01水果!$C764="",对接源_01水果!$C764&lt;&gt;$K$1,对接源_01水果!$B764=""),0,IF(OR(N(对接源_01水果!$B764)&lt;$K$2,N(对接源_01水果!$B764)&gt;$K$3),0,1))</f>
        <v>0</v>
      </c>
      <c r="L764" s="1" t="n">
        <f aca="false">IF(OR($L$1="",对接源_01水果!$C764="",对接源_01水果!$C764&lt;&gt;$L$1,对接源_01水果!$B764=""),0,IF(OR(N(对接源_01水果!$B764)&lt;$L$2,N(对接源_01水果!$B764)&gt;$L$3),0,1))</f>
        <v>0</v>
      </c>
      <c r="M764" s="1" t="n">
        <f aca="false">IF(OR($M$1="",对接源_01水果!$C764="",对接源_01水果!$C764&lt;&gt;$M$1,对接源_01水果!$B764=""),0,IF(OR(N(对接源_01水果!$B764)&lt;$M$2,N(对接源_01水果!$B764)&gt;$M$3),0,1))</f>
        <v>0</v>
      </c>
      <c r="N764" s="1" t="n">
        <f aca="false">IF(OR($N$1="",对接源_01水果!$C764="",对接源_01水果!$C764&lt;&gt;$N$1,对接源_01水果!$B764=""),0,IF(OR(N(对接源_01水果!$B764)&lt;$N$2,N(对接源_01水果!$B764)&gt;$N$3),0,1))</f>
        <v>0</v>
      </c>
      <c r="P764" s="1" t="n">
        <f aca="false">IF(AND($K764=1,AND(对接源_01水果!$X764="公司筐",N(对接源_01水果!$T764)&lt;&gt;0)),1,0)</f>
        <v>0</v>
      </c>
      <c r="Q764" s="1" t="n">
        <f aca="false">N(Q763)+$P764</f>
        <v>3</v>
      </c>
      <c r="R764" s="1" t="n">
        <f aca="false">IF(AND($K764=1,AND(对接源_01水果!$X764="公司筐",N(对接源_01水果!$U764)&lt;&gt;0)),1,0)</f>
        <v>0</v>
      </c>
      <c r="S764" s="1" t="n">
        <f aca="false">N(S763)+$R764</f>
        <v>0</v>
      </c>
      <c r="T764" s="1" t="n">
        <f aca="false">IF(AND($K764=1,AND(对接源_01水果!$X764="公司筐",N(对接源_01水果!$V764)&lt;&gt;0)),1,0)</f>
        <v>0</v>
      </c>
      <c r="U764" s="1" t="n">
        <f aca="false">N(U763)+$T764</f>
        <v>28</v>
      </c>
      <c r="V764" s="1" t="n">
        <f aca="false">IF(AND($L764=1,AND(对接源_01水果!$X764="自备筐",N(对接源_01水果!$V764)&lt;&gt;0)),1,0)</f>
        <v>0</v>
      </c>
      <c r="W764" s="1" t="n">
        <f aca="false">N(W763)+$V764</f>
        <v>7</v>
      </c>
      <c r="X764" s="1" t="n">
        <f aca="false">IF(AND($L764=1,AND(对接源_01水果!$X764="自备筐",N(对接源_01水果!$T764)&lt;&gt;0)),1,0)</f>
        <v>0</v>
      </c>
      <c r="Y764" s="1" t="n">
        <f aca="false">N(Y763)+$X764</f>
        <v>0</v>
      </c>
      <c r="Z764" s="1" t="n">
        <f aca="false">IF(AND($M764=1,对接源_01水果!$D764="原料入库"),1,0)</f>
        <v>0</v>
      </c>
      <c r="AA764" s="1" t="n">
        <f aca="false">N(AA763)+$Z764</f>
        <v>30</v>
      </c>
      <c r="AB764" s="1" t="n">
        <f aca="false">IF(AND($M764=1,LEFT(对接源_01水果!$D764,4)="原料出库"),1,0)</f>
        <v>0</v>
      </c>
      <c r="AC764" s="1" t="n">
        <f aca="false">N(AC763)+$AB764</f>
        <v>19</v>
      </c>
      <c r="AD764" s="1" t="n">
        <f aca="false">IF(AND($M764=1,LEFT(对接源_01水果!$D764,4)="成品出库"),1,0)</f>
        <v>0</v>
      </c>
      <c r="AE764" s="1" t="n">
        <f aca="false">N(AE763)+$AD764</f>
        <v>38</v>
      </c>
      <c r="AF764" s="1" t="n">
        <f aca="false">IF(AND($N764=1,AND(LEFT(对接源_01水果!$D764,4)="包装物料",N(对接源_01水果!$K764)&lt;&gt;0)),1,0)</f>
        <v>0</v>
      </c>
      <c r="AG764" s="90" t="str">
        <f aca="false">IF(对接源_01水果!$AC764="","",对接源_01水果!$AC764)</f>
        <v/>
      </c>
      <c r="AH764" s="1" t="n">
        <f aca="false">IF(AND($N764=1,AND(LEFT(对接源_01水果!$D764,3)="周转筐",N(对接源_01水果!$K764)&lt;&gt;0)),1,0)</f>
        <v>0</v>
      </c>
      <c r="AI764" s="90" t="n">
        <f aca="false">IF(AG764="",0,IF(MATCH(AG764,$AG$4:$AG$1203,0)=ROW()-3,1,0))</f>
        <v>0</v>
      </c>
      <c r="AJ764" s="90" t="n">
        <f aca="false">N(AJ763)+AI764</f>
        <v>4</v>
      </c>
      <c r="AK764" s="1" t="n">
        <f aca="false">N(AK763)+$AJ764</f>
        <v>1916</v>
      </c>
    </row>
    <row r="765" customFormat="false" ht="13.5" hidden="false" customHeight="false" outlineLevel="0" collapsed="false">
      <c r="A765" s="1" t="str">
        <f aca="false">IF(对接源_01水果!$C765="","",对接源_01水果!$C765)</f>
        <v/>
      </c>
      <c r="B765" s="1" t="n">
        <f aca="false">IF(A765="",0,IF(MATCH(A765,$A$4:$A$2403,0)=ROW()-3,1,0))</f>
        <v>0</v>
      </c>
      <c r="C765" s="1" t="n">
        <f aca="false">N(C764)+B765</f>
        <v>13</v>
      </c>
      <c r="K765" s="1" t="n">
        <f aca="false">IF(OR($K$1="",对接源_01水果!$C765="",对接源_01水果!$C765&lt;&gt;$K$1,对接源_01水果!$B765=""),0,IF(OR(N(对接源_01水果!$B765)&lt;$K$2,N(对接源_01水果!$B765)&gt;$K$3),0,1))</f>
        <v>0</v>
      </c>
      <c r="L765" s="1" t="n">
        <f aca="false">IF(OR($L$1="",对接源_01水果!$C765="",对接源_01水果!$C765&lt;&gt;$L$1,对接源_01水果!$B765=""),0,IF(OR(N(对接源_01水果!$B765)&lt;$L$2,N(对接源_01水果!$B765)&gt;$L$3),0,1))</f>
        <v>0</v>
      </c>
      <c r="M765" s="1" t="n">
        <f aca="false">IF(OR($M$1="",对接源_01水果!$C765="",对接源_01水果!$C765&lt;&gt;$M$1,对接源_01水果!$B765=""),0,IF(OR(N(对接源_01水果!$B765)&lt;$M$2,N(对接源_01水果!$B765)&gt;$M$3),0,1))</f>
        <v>0</v>
      </c>
      <c r="N765" s="1" t="n">
        <f aca="false">IF(OR($N$1="",对接源_01水果!$C765="",对接源_01水果!$C765&lt;&gt;$N$1,对接源_01水果!$B765=""),0,IF(OR(N(对接源_01水果!$B765)&lt;$N$2,N(对接源_01水果!$B765)&gt;$N$3),0,1))</f>
        <v>0</v>
      </c>
      <c r="P765" s="1" t="n">
        <f aca="false">IF(AND($K765=1,AND(对接源_01水果!$X765="公司筐",N(对接源_01水果!$T765)&lt;&gt;0)),1,0)</f>
        <v>0</v>
      </c>
      <c r="Q765" s="1" t="n">
        <f aca="false">N(Q764)+$P765</f>
        <v>3</v>
      </c>
      <c r="R765" s="1" t="n">
        <f aca="false">IF(AND($K765=1,AND(对接源_01水果!$X765="公司筐",N(对接源_01水果!$U765)&lt;&gt;0)),1,0)</f>
        <v>0</v>
      </c>
      <c r="S765" s="1" t="n">
        <f aca="false">N(S764)+$R765</f>
        <v>0</v>
      </c>
      <c r="T765" s="1" t="n">
        <f aca="false">IF(AND($K765=1,AND(对接源_01水果!$X765="公司筐",N(对接源_01水果!$V765)&lt;&gt;0)),1,0)</f>
        <v>0</v>
      </c>
      <c r="U765" s="1" t="n">
        <f aca="false">N(U764)+$T765</f>
        <v>28</v>
      </c>
      <c r="V765" s="1" t="n">
        <f aca="false">IF(AND($L765=1,AND(对接源_01水果!$X765="自备筐",N(对接源_01水果!$V765)&lt;&gt;0)),1,0)</f>
        <v>0</v>
      </c>
      <c r="W765" s="1" t="n">
        <f aca="false">N(W764)+$V765</f>
        <v>7</v>
      </c>
      <c r="X765" s="1" t="n">
        <f aca="false">IF(AND($L765=1,AND(对接源_01水果!$X765="自备筐",N(对接源_01水果!$T765)&lt;&gt;0)),1,0)</f>
        <v>0</v>
      </c>
      <c r="Y765" s="1" t="n">
        <f aca="false">N(Y764)+$X765</f>
        <v>0</v>
      </c>
      <c r="Z765" s="1" t="n">
        <f aca="false">IF(AND($M765=1,对接源_01水果!$D765="原料入库"),1,0)</f>
        <v>0</v>
      </c>
      <c r="AA765" s="1" t="n">
        <f aca="false">N(AA764)+$Z765</f>
        <v>30</v>
      </c>
      <c r="AB765" s="1" t="n">
        <f aca="false">IF(AND($M765=1,LEFT(对接源_01水果!$D765,4)="原料出库"),1,0)</f>
        <v>0</v>
      </c>
      <c r="AC765" s="1" t="n">
        <f aca="false">N(AC764)+$AB765</f>
        <v>19</v>
      </c>
      <c r="AD765" s="1" t="n">
        <f aca="false">IF(AND($M765=1,LEFT(对接源_01水果!$D765,4)="成品出库"),1,0)</f>
        <v>0</v>
      </c>
      <c r="AE765" s="1" t="n">
        <f aca="false">N(AE764)+$AD765</f>
        <v>38</v>
      </c>
      <c r="AF765" s="1" t="n">
        <f aca="false">IF(AND($N765=1,AND(LEFT(对接源_01水果!$D765,4)="包装物料",N(对接源_01水果!$K765)&lt;&gt;0)),1,0)</f>
        <v>0</v>
      </c>
      <c r="AG765" s="90" t="str">
        <f aca="false">IF(对接源_01水果!$AC765="","",对接源_01水果!$AC765)</f>
        <v/>
      </c>
      <c r="AH765" s="1" t="n">
        <f aca="false">IF(AND($N765=1,AND(LEFT(对接源_01水果!$D765,3)="周转筐",N(对接源_01水果!$K765)&lt;&gt;0)),1,0)</f>
        <v>0</v>
      </c>
      <c r="AI765" s="90" t="n">
        <f aca="false">IF(AG765="",0,IF(MATCH(AG765,$AG$4:$AG$1203,0)=ROW()-3,1,0))</f>
        <v>0</v>
      </c>
      <c r="AJ765" s="90" t="n">
        <f aca="false">N(AJ764)+AI765</f>
        <v>4</v>
      </c>
      <c r="AK765" s="1" t="n">
        <f aca="false">N(AK764)+$AJ765</f>
        <v>1920</v>
      </c>
    </row>
    <row r="766" customFormat="false" ht="13.5" hidden="false" customHeight="false" outlineLevel="0" collapsed="false">
      <c r="A766" s="1" t="str">
        <f aca="false">IF(对接源_01水果!$C766="","",对接源_01水果!$C766)</f>
        <v/>
      </c>
      <c r="B766" s="1" t="n">
        <f aca="false">IF(A766="",0,IF(MATCH(A766,$A$4:$A$2403,0)=ROW()-3,1,0))</f>
        <v>0</v>
      </c>
      <c r="C766" s="1" t="n">
        <f aca="false">N(C765)+B766</f>
        <v>13</v>
      </c>
      <c r="K766" s="1" t="n">
        <f aca="false">IF(OR($K$1="",对接源_01水果!$C766="",对接源_01水果!$C766&lt;&gt;$K$1,对接源_01水果!$B766=""),0,IF(OR(N(对接源_01水果!$B766)&lt;$K$2,N(对接源_01水果!$B766)&gt;$K$3),0,1))</f>
        <v>0</v>
      </c>
      <c r="L766" s="1" t="n">
        <f aca="false">IF(OR($L$1="",对接源_01水果!$C766="",对接源_01水果!$C766&lt;&gt;$L$1,对接源_01水果!$B766=""),0,IF(OR(N(对接源_01水果!$B766)&lt;$L$2,N(对接源_01水果!$B766)&gt;$L$3),0,1))</f>
        <v>0</v>
      </c>
      <c r="M766" s="1" t="n">
        <f aca="false">IF(OR($M$1="",对接源_01水果!$C766="",对接源_01水果!$C766&lt;&gt;$M$1,对接源_01水果!$B766=""),0,IF(OR(N(对接源_01水果!$B766)&lt;$M$2,N(对接源_01水果!$B766)&gt;$M$3),0,1))</f>
        <v>0</v>
      </c>
      <c r="N766" s="1" t="n">
        <f aca="false">IF(OR($N$1="",对接源_01水果!$C766="",对接源_01水果!$C766&lt;&gt;$N$1,对接源_01水果!$B766=""),0,IF(OR(N(对接源_01水果!$B766)&lt;$N$2,N(对接源_01水果!$B766)&gt;$N$3),0,1))</f>
        <v>0</v>
      </c>
      <c r="P766" s="1" t="n">
        <f aca="false">IF(AND($K766=1,AND(对接源_01水果!$X766="公司筐",N(对接源_01水果!$T766)&lt;&gt;0)),1,0)</f>
        <v>0</v>
      </c>
      <c r="Q766" s="1" t="n">
        <f aca="false">N(Q765)+$P766</f>
        <v>3</v>
      </c>
      <c r="R766" s="1" t="n">
        <f aca="false">IF(AND($K766=1,AND(对接源_01水果!$X766="公司筐",N(对接源_01水果!$U766)&lt;&gt;0)),1,0)</f>
        <v>0</v>
      </c>
      <c r="S766" s="1" t="n">
        <f aca="false">N(S765)+$R766</f>
        <v>0</v>
      </c>
      <c r="T766" s="1" t="n">
        <f aca="false">IF(AND($K766=1,AND(对接源_01水果!$X766="公司筐",N(对接源_01水果!$V766)&lt;&gt;0)),1,0)</f>
        <v>0</v>
      </c>
      <c r="U766" s="1" t="n">
        <f aca="false">N(U765)+$T766</f>
        <v>28</v>
      </c>
      <c r="V766" s="1" t="n">
        <f aca="false">IF(AND($L766=1,AND(对接源_01水果!$X766="自备筐",N(对接源_01水果!$V766)&lt;&gt;0)),1,0)</f>
        <v>0</v>
      </c>
      <c r="W766" s="1" t="n">
        <f aca="false">N(W765)+$V766</f>
        <v>7</v>
      </c>
      <c r="X766" s="1" t="n">
        <f aca="false">IF(AND($L766=1,AND(对接源_01水果!$X766="自备筐",N(对接源_01水果!$T766)&lt;&gt;0)),1,0)</f>
        <v>0</v>
      </c>
      <c r="Y766" s="1" t="n">
        <f aca="false">N(Y765)+$X766</f>
        <v>0</v>
      </c>
      <c r="Z766" s="1" t="n">
        <f aca="false">IF(AND($M766=1,对接源_01水果!$D766="原料入库"),1,0)</f>
        <v>0</v>
      </c>
      <c r="AA766" s="1" t="n">
        <f aca="false">N(AA765)+$Z766</f>
        <v>30</v>
      </c>
      <c r="AB766" s="1" t="n">
        <f aca="false">IF(AND($M766=1,LEFT(对接源_01水果!$D766,4)="原料出库"),1,0)</f>
        <v>0</v>
      </c>
      <c r="AC766" s="1" t="n">
        <f aca="false">N(AC765)+$AB766</f>
        <v>19</v>
      </c>
      <c r="AD766" s="1" t="n">
        <f aca="false">IF(AND($M766=1,LEFT(对接源_01水果!$D766,4)="成品出库"),1,0)</f>
        <v>0</v>
      </c>
      <c r="AE766" s="1" t="n">
        <f aca="false">N(AE765)+$AD766</f>
        <v>38</v>
      </c>
      <c r="AF766" s="1" t="n">
        <f aca="false">IF(AND($N766=1,AND(LEFT(对接源_01水果!$D766,4)="包装物料",N(对接源_01水果!$K766)&lt;&gt;0)),1,0)</f>
        <v>0</v>
      </c>
      <c r="AG766" s="90" t="str">
        <f aca="false">IF(对接源_01水果!$AC766="","",对接源_01水果!$AC766)</f>
        <v/>
      </c>
      <c r="AH766" s="1" t="n">
        <f aca="false">IF(AND($N766=1,AND(LEFT(对接源_01水果!$D766,3)="周转筐",N(对接源_01水果!$K766)&lt;&gt;0)),1,0)</f>
        <v>0</v>
      </c>
      <c r="AI766" s="90" t="n">
        <f aca="false">IF(AG766="",0,IF(MATCH(AG766,$AG$4:$AG$1203,0)=ROW()-3,1,0))</f>
        <v>0</v>
      </c>
      <c r="AJ766" s="90" t="n">
        <f aca="false">N(AJ765)+AI766</f>
        <v>4</v>
      </c>
      <c r="AK766" s="1" t="n">
        <f aca="false">N(AK765)+$AJ766</f>
        <v>1924</v>
      </c>
    </row>
    <row r="767" customFormat="false" ht="13.5" hidden="false" customHeight="false" outlineLevel="0" collapsed="false">
      <c r="A767" s="1" t="str">
        <f aca="false">IF(对接源_01水果!$C767="","",对接源_01水果!$C767)</f>
        <v/>
      </c>
      <c r="B767" s="1" t="n">
        <f aca="false">IF(A767="",0,IF(MATCH(A767,$A$4:$A$2403,0)=ROW()-3,1,0))</f>
        <v>0</v>
      </c>
      <c r="C767" s="1" t="n">
        <f aca="false">N(C766)+B767</f>
        <v>13</v>
      </c>
      <c r="K767" s="1" t="n">
        <f aca="false">IF(OR($K$1="",对接源_01水果!$C767="",对接源_01水果!$C767&lt;&gt;$K$1,对接源_01水果!$B767=""),0,IF(OR(N(对接源_01水果!$B767)&lt;$K$2,N(对接源_01水果!$B767)&gt;$K$3),0,1))</f>
        <v>0</v>
      </c>
      <c r="L767" s="1" t="n">
        <f aca="false">IF(OR($L$1="",对接源_01水果!$C767="",对接源_01水果!$C767&lt;&gt;$L$1,对接源_01水果!$B767=""),0,IF(OR(N(对接源_01水果!$B767)&lt;$L$2,N(对接源_01水果!$B767)&gt;$L$3),0,1))</f>
        <v>0</v>
      </c>
      <c r="M767" s="1" t="n">
        <f aca="false">IF(OR($M$1="",对接源_01水果!$C767="",对接源_01水果!$C767&lt;&gt;$M$1,对接源_01水果!$B767=""),0,IF(OR(N(对接源_01水果!$B767)&lt;$M$2,N(对接源_01水果!$B767)&gt;$M$3),0,1))</f>
        <v>0</v>
      </c>
      <c r="N767" s="1" t="n">
        <f aca="false">IF(OR($N$1="",对接源_01水果!$C767="",对接源_01水果!$C767&lt;&gt;$N$1,对接源_01水果!$B767=""),0,IF(OR(N(对接源_01水果!$B767)&lt;$N$2,N(对接源_01水果!$B767)&gt;$N$3),0,1))</f>
        <v>0</v>
      </c>
      <c r="P767" s="1" t="n">
        <f aca="false">IF(AND($K767=1,AND(对接源_01水果!$X767="公司筐",N(对接源_01水果!$T767)&lt;&gt;0)),1,0)</f>
        <v>0</v>
      </c>
      <c r="Q767" s="1" t="n">
        <f aca="false">N(Q766)+$P767</f>
        <v>3</v>
      </c>
      <c r="R767" s="1" t="n">
        <f aca="false">IF(AND($K767=1,AND(对接源_01水果!$X767="公司筐",N(对接源_01水果!$U767)&lt;&gt;0)),1,0)</f>
        <v>0</v>
      </c>
      <c r="S767" s="1" t="n">
        <f aca="false">N(S766)+$R767</f>
        <v>0</v>
      </c>
      <c r="T767" s="1" t="n">
        <f aca="false">IF(AND($K767=1,AND(对接源_01水果!$X767="公司筐",N(对接源_01水果!$V767)&lt;&gt;0)),1,0)</f>
        <v>0</v>
      </c>
      <c r="U767" s="1" t="n">
        <f aca="false">N(U766)+$T767</f>
        <v>28</v>
      </c>
      <c r="V767" s="1" t="n">
        <f aca="false">IF(AND($L767=1,AND(对接源_01水果!$X767="自备筐",N(对接源_01水果!$V767)&lt;&gt;0)),1,0)</f>
        <v>0</v>
      </c>
      <c r="W767" s="1" t="n">
        <f aca="false">N(W766)+$V767</f>
        <v>7</v>
      </c>
      <c r="X767" s="1" t="n">
        <f aca="false">IF(AND($L767=1,AND(对接源_01水果!$X767="自备筐",N(对接源_01水果!$T767)&lt;&gt;0)),1,0)</f>
        <v>0</v>
      </c>
      <c r="Y767" s="1" t="n">
        <f aca="false">N(Y766)+$X767</f>
        <v>0</v>
      </c>
      <c r="Z767" s="1" t="n">
        <f aca="false">IF(AND($M767=1,对接源_01水果!$D767="原料入库"),1,0)</f>
        <v>0</v>
      </c>
      <c r="AA767" s="1" t="n">
        <f aca="false">N(AA766)+$Z767</f>
        <v>30</v>
      </c>
      <c r="AB767" s="1" t="n">
        <f aca="false">IF(AND($M767=1,LEFT(对接源_01水果!$D767,4)="原料出库"),1,0)</f>
        <v>0</v>
      </c>
      <c r="AC767" s="1" t="n">
        <f aca="false">N(AC766)+$AB767</f>
        <v>19</v>
      </c>
      <c r="AD767" s="1" t="n">
        <f aca="false">IF(AND($M767=1,LEFT(对接源_01水果!$D767,4)="成品出库"),1,0)</f>
        <v>0</v>
      </c>
      <c r="AE767" s="1" t="n">
        <f aca="false">N(AE766)+$AD767</f>
        <v>38</v>
      </c>
      <c r="AF767" s="1" t="n">
        <f aca="false">IF(AND($N767=1,AND(LEFT(对接源_01水果!$D767,4)="包装物料",N(对接源_01水果!$K767)&lt;&gt;0)),1,0)</f>
        <v>0</v>
      </c>
      <c r="AG767" s="90" t="str">
        <f aca="false">IF(对接源_01水果!$AC767="","",对接源_01水果!$AC767)</f>
        <v/>
      </c>
      <c r="AH767" s="1" t="n">
        <f aca="false">IF(AND($N767=1,AND(LEFT(对接源_01水果!$D767,3)="周转筐",N(对接源_01水果!$K767)&lt;&gt;0)),1,0)</f>
        <v>0</v>
      </c>
      <c r="AI767" s="90" t="n">
        <f aca="false">IF(AG767="",0,IF(MATCH(AG767,$AG$4:$AG$1203,0)=ROW()-3,1,0))</f>
        <v>0</v>
      </c>
      <c r="AJ767" s="90" t="n">
        <f aca="false">N(AJ766)+AI767</f>
        <v>4</v>
      </c>
      <c r="AK767" s="1" t="n">
        <f aca="false">N(AK766)+$AJ767</f>
        <v>1928</v>
      </c>
    </row>
    <row r="768" customFormat="false" ht="13.5" hidden="false" customHeight="false" outlineLevel="0" collapsed="false">
      <c r="A768" s="1" t="str">
        <f aca="false">IF(对接源_01水果!$C768="","",对接源_01水果!$C768)</f>
        <v/>
      </c>
      <c r="B768" s="1" t="n">
        <f aca="false">IF(A768="",0,IF(MATCH(A768,$A$4:$A$2403,0)=ROW()-3,1,0))</f>
        <v>0</v>
      </c>
      <c r="C768" s="1" t="n">
        <f aca="false">N(C767)+B768</f>
        <v>13</v>
      </c>
      <c r="K768" s="1" t="n">
        <f aca="false">IF(OR($K$1="",对接源_01水果!$C768="",对接源_01水果!$C768&lt;&gt;$K$1,对接源_01水果!$B768=""),0,IF(OR(N(对接源_01水果!$B768)&lt;$K$2,N(对接源_01水果!$B768)&gt;$K$3),0,1))</f>
        <v>0</v>
      </c>
      <c r="L768" s="1" t="n">
        <f aca="false">IF(OR($L$1="",对接源_01水果!$C768="",对接源_01水果!$C768&lt;&gt;$L$1,对接源_01水果!$B768=""),0,IF(OR(N(对接源_01水果!$B768)&lt;$L$2,N(对接源_01水果!$B768)&gt;$L$3),0,1))</f>
        <v>0</v>
      </c>
      <c r="M768" s="1" t="n">
        <f aca="false">IF(OR($M$1="",对接源_01水果!$C768="",对接源_01水果!$C768&lt;&gt;$M$1,对接源_01水果!$B768=""),0,IF(OR(N(对接源_01水果!$B768)&lt;$M$2,N(对接源_01水果!$B768)&gt;$M$3),0,1))</f>
        <v>0</v>
      </c>
      <c r="N768" s="1" t="n">
        <f aca="false">IF(OR($N$1="",对接源_01水果!$C768="",对接源_01水果!$C768&lt;&gt;$N$1,对接源_01水果!$B768=""),0,IF(OR(N(对接源_01水果!$B768)&lt;$N$2,N(对接源_01水果!$B768)&gt;$N$3),0,1))</f>
        <v>0</v>
      </c>
      <c r="P768" s="1" t="n">
        <f aca="false">IF(AND($K768=1,AND(对接源_01水果!$X768="公司筐",N(对接源_01水果!$T768)&lt;&gt;0)),1,0)</f>
        <v>0</v>
      </c>
      <c r="Q768" s="1" t="n">
        <f aca="false">N(Q767)+$P768</f>
        <v>3</v>
      </c>
      <c r="R768" s="1" t="n">
        <f aca="false">IF(AND($K768=1,AND(对接源_01水果!$X768="公司筐",N(对接源_01水果!$U768)&lt;&gt;0)),1,0)</f>
        <v>0</v>
      </c>
      <c r="S768" s="1" t="n">
        <f aca="false">N(S767)+$R768</f>
        <v>0</v>
      </c>
      <c r="T768" s="1" t="n">
        <f aca="false">IF(AND($K768=1,AND(对接源_01水果!$X768="公司筐",N(对接源_01水果!$V768)&lt;&gt;0)),1,0)</f>
        <v>0</v>
      </c>
      <c r="U768" s="1" t="n">
        <f aca="false">N(U767)+$T768</f>
        <v>28</v>
      </c>
      <c r="V768" s="1" t="n">
        <f aca="false">IF(AND($L768=1,AND(对接源_01水果!$X768="自备筐",N(对接源_01水果!$V768)&lt;&gt;0)),1,0)</f>
        <v>0</v>
      </c>
      <c r="W768" s="1" t="n">
        <f aca="false">N(W767)+$V768</f>
        <v>7</v>
      </c>
      <c r="X768" s="1" t="n">
        <f aca="false">IF(AND($L768=1,AND(对接源_01水果!$X768="自备筐",N(对接源_01水果!$T768)&lt;&gt;0)),1,0)</f>
        <v>0</v>
      </c>
      <c r="Y768" s="1" t="n">
        <f aca="false">N(Y767)+$X768</f>
        <v>0</v>
      </c>
      <c r="Z768" s="1" t="n">
        <f aca="false">IF(AND($M768=1,对接源_01水果!$D768="原料入库"),1,0)</f>
        <v>0</v>
      </c>
      <c r="AA768" s="1" t="n">
        <f aca="false">N(AA767)+$Z768</f>
        <v>30</v>
      </c>
      <c r="AB768" s="1" t="n">
        <f aca="false">IF(AND($M768=1,LEFT(对接源_01水果!$D768,4)="原料出库"),1,0)</f>
        <v>0</v>
      </c>
      <c r="AC768" s="1" t="n">
        <f aca="false">N(AC767)+$AB768</f>
        <v>19</v>
      </c>
      <c r="AD768" s="1" t="n">
        <f aca="false">IF(AND($M768=1,LEFT(对接源_01水果!$D768,4)="成品出库"),1,0)</f>
        <v>0</v>
      </c>
      <c r="AE768" s="1" t="n">
        <f aca="false">N(AE767)+$AD768</f>
        <v>38</v>
      </c>
      <c r="AF768" s="1" t="n">
        <f aca="false">IF(AND($N768=1,AND(LEFT(对接源_01水果!$D768,4)="包装物料",N(对接源_01水果!$K768)&lt;&gt;0)),1,0)</f>
        <v>0</v>
      </c>
      <c r="AG768" s="90" t="str">
        <f aca="false">IF(对接源_01水果!$AC768="","",对接源_01水果!$AC768)</f>
        <v/>
      </c>
      <c r="AH768" s="1" t="n">
        <f aca="false">IF(AND($N768=1,AND(LEFT(对接源_01水果!$D768,3)="周转筐",N(对接源_01水果!$K768)&lt;&gt;0)),1,0)</f>
        <v>0</v>
      </c>
      <c r="AI768" s="90" t="n">
        <f aca="false">IF(AG768="",0,IF(MATCH(AG768,$AG$4:$AG$1203,0)=ROW()-3,1,0))</f>
        <v>0</v>
      </c>
      <c r="AJ768" s="90" t="n">
        <f aca="false">N(AJ767)+AI768</f>
        <v>4</v>
      </c>
      <c r="AK768" s="1" t="n">
        <f aca="false">N(AK767)+$AJ768</f>
        <v>1932</v>
      </c>
    </row>
    <row r="769" customFormat="false" ht="13.5" hidden="false" customHeight="false" outlineLevel="0" collapsed="false">
      <c r="A769" s="1" t="str">
        <f aca="false">IF(对接源_01水果!$C769="","",对接源_01水果!$C769)</f>
        <v/>
      </c>
      <c r="B769" s="1" t="n">
        <f aca="false">IF(A769="",0,IF(MATCH(A769,$A$4:$A$2403,0)=ROW()-3,1,0))</f>
        <v>0</v>
      </c>
      <c r="C769" s="1" t="n">
        <f aca="false">N(C768)+B769</f>
        <v>13</v>
      </c>
      <c r="K769" s="1" t="n">
        <f aca="false">IF(OR($K$1="",对接源_01水果!$C769="",对接源_01水果!$C769&lt;&gt;$K$1,对接源_01水果!$B769=""),0,IF(OR(N(对接源_01水果!$B769)&lt;$K$2,N(对接源_01水果!$B769)&gt;$K$3),0,1))</f>
        <v>0</v>
      </c>
      <c r="L769" s="1" t="n">
        <f aca="false">IF(OR($L$1="",对接源_01水果!$C769="",对接源_01水果!$C769&lt;&gt;$L$1,对接源_01水果!$B769=""),0,IF(OR(N(对接源_01水果!$B769)&lt;$L$2,N(对接源_01水果!$B769)&gt;$L$3),0,1))</f>
        <v>0</v>
      </c>
      <c r="M769" s="1" t="n">
        <f aca="false">IF(OR($M$1="",对接源_01水果!$C769="",对接源_01水果!$C769&lt;&gt;$M$1,对接源_01水果!$B769=""),0,IF(OR(N(对接源_01水果!$B769)&lt;$M$2,N(对接源_01水果!$B769)&gt;$M$3),0,1))</f>
        <v>0</v>
      </c>
      <c r="N769" s="1" t="n">
        <f aca="false">IF(OR($N$1="",对接源_01水果!$C769="",对接源_01水果!$C769&lt;&gt;$N$1,对接源_01水果!$B769=""),0,IF(OR(N(对接源_01水果!$B769)&lt;$N$2,N(对接源_01水果!$B769)&gt;$N$3),0,1))</f>
        <v>0</v>
      </c>
      <c r="P769" s="1" t="n">
        <f aca="false">IF(AND($K769=1,AND(对接源_01水果!$X769="公司筐",N(对接源_01水果!$T769)&lt;&gt;0)),1,0)</f>
        <v>0</v>
      </c>
      <c r="Q769" s="1" t="n">
        <f aca="false">N(Q768)+$P769</f>
        <v>3</v>
      </c>
      <c r="R769" s="1" t="n">
        <f aca="false">IF(AND($K769=1,AND(对接源_01水果!$X769="公司筐",N(对接源_01水果!$U769)&lt;&gt;0)),1,0)</f>
        <v>0</v>
      </c>
      <c r="S769" s="1" t="n">
        <f aca="false">N(S768)+$R769</f>
        <v>0</v>
      </c>
      <c r="T769" s="1" t="n">
        <f aca="false">IF(AND($K769=1,AND(对接源_01水果!$X769="公司筐",N(对接源_01水果!$V769)&lt;&gt;0)),1,0)</f>
        <v>0</v>
      </c>
      <c r="U769" s="1" t="n">
        <f aca="false">N(U768)+$T769</f>
        <v>28</v>
      </c>
      <c r="V769" s="1" t="n">
        <f aca="false">IF(AND($L769=1,AND(对接源_01水果!$X769="自备筐",N(对接源_01水果!$V769)&lt;&gt;0)),1,0)</f>
        <v>0</v>
      </c>
      <c r="W769" s="1" t="n">
        <f aca="false">N(W768)+$V769</f>
        <v>7</v>
      </c>
      <c r="X769" s="1" t="n">
        <f aca="false">IF(AND($L769=1,AND(对接源_01水果!$X769="自备筐",N(对接源_01水果!$T769)&lt;&gt;0)),1,0)</f>
        <v>0</v>
      </c>
      <c r="Y769" s="1" t="n">
        <f aca="false">N(Y768)+$X769</f>
        <v>0</v>
      </c>
      <c r="Z769" s="1" t="n">
        <f aca="false">IF(AND($M769=1,对接源_01水果!$D769="原料入库"),1,0)</f>
        <v>0</v>
      </c>
      <c r="AA769" s="1" t="n">
        <f aca="false">N(AA768)+$Z769</f>
        <v>30</v>
      </c>
      <c r="AB769" s="1" t="n">
        <f aca="false">IF(AND($M769=1,LEFT(对接源_01水果!$D769,4)="原料出库"),1,0)</f>
        <v>0</v>
      </c>
      <c r="AC769" s="1" t="n">
        <f aca="false">N(AC768)+$AB769</f>
        <v>19</v>
      </c>
      <c r="AD769" s="1" t="n">
        <f aca="false">IF(AND($M769=1,LEFT(对接源_01水果!$D769,4)="成品出库"),1,0)</f>
        <v>0</v>
      </c>
      <c r="AE769" s="1" t="n">
        <f aca="false">N(AE768)+$AD769</f>
        <v>38</v>
      </c>
      <c r="AF769" s="1" t="n">
        <f aca="false">IF(AND($N769=1,AND(LEFT(对接源_01水果!$D769,4)="包装物料",N(对接源_01水果!$K769)&lt;&gt;0)),1,0)</f>
        <v>0</v>
      </c>
      <c r="AG769" s="90" t="str">
        <f aca="false">IF(对接源_01水果!$AC769="","",对接源_01水果!$AC769)</f>
        <v/>
      </c>
      <c r="AH769" s="1" t="n">
        <f aca="false">IF(AND($N769=1,AND(LEFT(对接源_01水果!$D769,3)="周转筐",N(对接源_01水果!$K769)&lt;&gt;0)),1,0)</f>
        <v>0</v>
      </c>
      <c r="AI769" s="90" t="n">
        <f aca="false">IF(AG769="",0,IF(MATCH(AG769,$AG$4:$AG$1203,0)=ROW()-3,1,0))</f>
        <v>0</v>
      </c>
      <c r="AJ769" s="90" t="n">
        <f aca="false">N(AJ768)+AI769</f>
        <v>4</v>
      </c>
      <c r="AK769" s="1" t="n">
        <f aca="false">N(AK768)+$AJ769</f>
        <v>1936</v>
      </c>
    </row>
    <row r="770" customFormat="false" ht="13.5" hidden="false" customHeight="false" outlineLevel="0" collapsed="false">
      <c r="A770" s="1" t="str">
        <f aca="false">IF(对接源_01水果!$C770="","",对接源_01水果!$C770)</f>
        <v/>
      </c>
      <c r="B770" s="1" t="n">
        <f aca="false">IF(A770="",0,IF(MATCH(A770,$A$4:$A$2403,0)=ROW()-3,1,0))</f>
        <v>0</v>
      </c>
      <c r="C770" s="1" t="n">
        <f aca="false">N(C769)+B770</f>
        <v>13</v>
      </c>
      <c r="K770" s="1" t="n">
        <f aca="false">IF(OR($K$1="",对接源_01水果!$C770="",对接源_01水果!$C770&lt;&gt;$K$1,对接源_01水果!$B770=""),0,IF(OR(N(对接源_01水果!$B770)&lt;$K$2,N(对接源_01水果!$B770)&gt;$K$3),0,1))</f>
        <v>0</v>
      </c>
      <c r="L770" s="1" t="n">
        <f aca="false">IF(OR($L$1="",对接源_01水果!$C770="",对接源_01水果!$C770&lt;&gt;$L$1,对接源_01水果!$B770=""),0,IF(OR(N(对接源_01水果!$B770)&lt;$L$2,N(对接源_01水果!$B770)&gt;$L$3),0,1))</f>
        <v>0</v>
      </c>
      <c r="M770" s="1" t="n">
        <f aca="false">IF(OR($M$1="",对接源_01水果!$C770="",对接源_01水果!$C770&lt;&gt;$M$1,对接源_01水果!$B770=""),0,IF(OR(N(对接源_01水果!$B770)&lt;$M$2,N(对接源_01水果!$B770)&gt;$M$3),0,1))</f>
        <v>0</v>
      </c>
      <c r="N770" s="1" t="n">
        <f aca="false">IF(OR($N$1="",对接源_01水果!$C770="",对接源_01水果!$C770&lt;&gt;$N$1,对接源_01水果!$B770=""),0,IF(OR(N(对接源_01水果!$B770)&lt;$N$2,N(对接源_01水果!$B770)&gt;$N$3),0,1))</f>
        <v>0</v>
      </c>
      <c r="P770" s="1" t="n">
        <f aca="false">IF(AND($K770=1,AND(对接源_01水果!$X770="公司筐",N(对接源_01水果!$T770)&lt;&gt;0)),1,0)</f>
        <v>0</v>
      </c>
      <c r="Q770" s="1" t="n">
        <f aca="false">N(Q769)+$P770</f>
        <v>3</v>
      </c>
      <c r="R770" s="1" t="n">
        <f aca="false">IF(AND($K770=1,AND(对接源_01水果!$X770="公司筐",N(对接源_01水果!$U770)&lt;&gt;0)),1,0)</f>
        <v>0</v>
      </c>
      <c r="S770" s="1" t="n">
        <f aca="false">N(S769)+$R770</f>
        <v>0</v>
      </c>
      <c r="T770" s="1" t="n">
        <f aca="false">IF(AND($K770=1,AND(对接源_01水果!$X770="公司筐",N(对接源_01水果!$V770)&lt;&gt;0)),1,0)</f>
        <v>0</v>
      </c>
      <c r="U770" s="1" t="n">
        <f aca="false">N(U769)+$T770</f>
        <v>28</v>
      </c>
      <c r="V770" s="1" t="n">
        <f aca="false">IF(AND($L770=1,AND(对接源_01水果!$X770="自备筐",N(对接源_01水果!$V770)&lt;&gt;0)),1,0)</f>
        <v>0</v>
      </c>
      <c r="W770" s="1" t="n">
        <f aca="false">N(W769)+$V770</f>
        <v>7</v>
      </c>
      <c r="X770" s="1" t="n">
        <f aca="false">IF(AND($L770=1,AND(对接源_01水果!$X770="自备筐",N(对接源_01水果!$T770)&lt;&gt;0)),1,0)</f>
        <v>0</v>
      </c>
      <c r="Y770" s="1" t="n">
        <f aca="false">N(Y769)+$X770</f>
        <v>0</v>
      </c>
      <c r="Z770" s="1" t="n">
        <f aca="false">IF(AND($M770=1,对接源_01水果!$D770="原料入库"),1,0)</f>
        <v>0</v>
      </c>
      <c r="AA770" s="1" t="n">
        <f aca="false">N(AA769)+$Z770</f>
        <v>30</v>
      </c>
      <c r="AB770" s="1" t="n">
        <f aca="false">IF(AND($M770=1,LEFT(对接源_01水果!$D770,4)="原料出库"),1,0)</f>
        <v>0</v>
      </c>
      <c r="AC770" s="1" t="n">
        <f aca="false">N(AC769)+$AB770</f>
        <v>19</v>
      </c>
      <c r="AD770" s="1" t="n">
        <f aca="false">IF(AND($M770=1,LEFT(对接源_01水果!$D770,4)="成品出库"),1,0)</f>
        <v>0</v>
      </c>
      <c r="AE770" s="1" t="n">
        <f aca="false">N(AE769)+$AD770</f>
        <v>38</v>
      </c>
      <c r="AF770" s="1" t="n">
        <f aca="false">IF(AND($N770=1,AND(LEFT(对接源_01水果!$D770,4)="包装物料",N(对接源_01水果!$K770)&lt;&gt;0)),1,0)</f>
        <v>0</v>
      </c>
      <c r="AG770" s="90" t="str">
        <f aca="false">IF(对接源_01水果!$AC770="","",对接源_01水果!$AC770)</f>
        <v/>
      </c>
      <c r="AH770" s="1" t="n">
        <f aca="false">IF(AND($N770=1,AND(LEFT(对接源_01水果!$D770,3)="周转筐",N(对接源_01水果!$K770)&lt;&gt;0)),1,0)</f>
        <v>0</v>
      </c>
      <c r="AI770" s="90" t="n">
        <f aca="false">IF(AG770="",0,IF(MATCH(AG770,$AG$4:$AG$1203,0)=ROW()-3,1,0))</f>
        <v>0</v>
      </c>
      <c r="AJ770" s="90" t="n">
        <f aca="false">N(AJ769)+AI770</f>
        <v>4</v>
      </c>
      <c r="AK770" s="1" t="n">
        <f aca="false">N(AK769)+$AJ770</f>
        <v>1940</v>
      </c>
    </row>
    <row r="771" customFormat="false" ht="13.5" hidden="false" customHeight="false" outlineLevel="0" collapsed="false">
      <c r="A771" s="1" t="str">
        <f aca="false">IF(对接源_01水果!$C771="","",对接源_01水果!$C771)</f>
        <v/>
      </c>
      <c r="B771" s="1" t="n">
        <f aca="false">IF(A771="",0,IF(MATCH(A771,$A$4:$A$2403,0)=ROW()-3,1,0))</f>
        <v>0</v>
      </c>
      <c r="C771" s="1" t="n">
        <f aca="false">N(C770)+B771</f>
        <v>13</v>
      </c>
      <c r="K771" s="1" t="n">
        <f aca="false">IF(OR($K$1="",对接源_01水果!$C771="",对接源_01水果!$C771&lt;&gt;$K$1,对接源_01水果!$B771=""),0,IF(OR(N(对接源_01水果!$B771)&lt;$K$2,N(对接源_01水果!$B771)&gt;$K$3),0,1))</f>
        <v>0</v>
      </c>
      <c r="L771" s="1" t="n">
        <f aca="false">IF(OR($L$1="",对接源_01水果!$C771="",对接源_01水果!$C771&lt;&gt;$L$1,对接源_01水果!$B771=""),0,IF(OR(N(对接源_01水果!$B771)&lt;$L$2,N(对接源_01水果!$B771)&gt;$L$3),0,1))</f>
        <v>0</v>
      </c>
      <c r="M771" s="1" t="n">
        <f aca="false">IF(OR($M$1="",对接源_01水果!$C771="",对接源_01水果!$C771&lt;&gt;$M$1,对接源_01水果!$B771=""),0,IF(OR(N(对接源_01水果!$B771)&lt;$M$2,N(对接源_01水果!$B771)&gt;$M$3),0,1))</f>
        <v>0</v>
      </c>
      <c r="N771" s="1" t="n">
        <f aca="false">IF(OR($N$1="",对接源_01水果!$C771="",对接源_01水果!$C771&lt;&gt;$N$1,对接源_01水果!$B771=""),0,IF(OR(N(对接源_01水果!$B771)&lt;$N$2,N(对接源_01水果!$B771)&gt;$N$3),0,1))</f>
        <v>0</v>
      </c>
      <c r="P771" s="1" t="n">
        <f aca="false">IF(AND($K771=1,AND(对接源_01水果!$X771="公司筐",N(对接源_01水果!$T771)&lt;&gt;0)),1,0)</f>
        <v>0</v>
      </c>
      <c r="Q771" s="1" t="n">
        <f aca="false">N(Q770)+$P771</f>
        <v>3</v>
      </c>
      <c r="R771" s="1" t="n">
        <f aca="false">IF(AND($K771=1,AND(对接源_01水果!$X771="公司筐",N(对接源_01水果!$U771)&lt;&gt;0)),1,0)</f>
        <v>0</v>
      </c>
      <c r="S771" s="1" t="n">
        <f aca="false">N(S770)+$R771</f>
        <v>0</v>
      </c>
      <c r="T771" s="1" t="n">
        <f aca="false">IF(AND($K771=1,AND(对接源_01水果!$X771="公司筐",N(对接源_01水果!$V771)&lt;&gt;0)),1,0)</f>
        <v>0</v>
      </c>
      <c r="U771" s="1" t="n">
        <f aca="false">N(U770)+$T771</f>
        <v>28</v>
      </c>
      <c r="V771" s="1" t="n">
        <f aca="false">IF(AND($L771=1,AND(对接源_01水果!$X771="自备筐",N(对接源_01水果!$V771)&lt;&gt;0)),1,0)</f>
        <v>0</v>
      </c>
      <c r="W771" s="1" t="n">
        <f aca="false">N(W770)+$V771</f>
        <v>7</v>
      </c>
      <c r="X771" s="1" t="n">
        <f aca="false">IF(AND($L771=1,AND(对接源_01水果!$X771="自备筐",N(对接源_01水果!$T771)&lt;&gt;0)),1,0)</f>
        <v>0</v>
      </c>
      <c r="Y771" s="1" t="n">
        <f aca="false">N(Y770)+$X771</f>
        <v>0</v>
      </c>
      <c r="Z771" s="1" t="n">
        <f aca="false">IF(AND($M771=1,对接源_01水果!$D771="原料入库"),1,0)</f>
        <v>0</v>
      </c>
      <c r="AA771" s="1" t="n">
        <f aca="false">N(AA770)+$Z771</f>
        <v>30</v>
      </c>
      <c r="AB771" s="1" t="n">
        <f aca="false">IF(AND($M771=1,LEFT(对接源_01水果!$D771,4)="原料出库"),1,0)</f>
        <v>0</v>
      </c>
      <c r="AC771" s="1" t="n">
        <f aca="false">N(AC770)+$AB771</f>
        <v>19</v>
      </c>
      <c r="AD771" s="1" t="n">
        <f aca="false">IF(AND($M771=1,LEFT(对接源_01水果!$D771,4)="成品出库"),1,0)</f>
        <v>0</v>
      </c>
      <c r="AE771" s="1" t="n">
        <f aca="false">N(AE770)+$AD771</f>
        <v>38</v>
      </c>
      <c r="AF771" s="1" t="n">
        <f aca="false">IF(AND($N771=1,AND(LEFT(对接源_01水果!$D771,4)="包装物料",N(对接源_01水果!$K771)&lt;&gt;0)),1,0)</f>
        <v>0</v>
      </c>
      <c r="AG771" s="90" t="str">
        <f aca="false">IF(对接源_01水果!$AC771="","",对接源_01水果!$AC771)</f>
        <v/>
      </c>
      <c r="AH771" s="1" t="n">
        <f aca="false">IF(AND($N771=1,AND(LEFT(对接源_01水果!$D771,3)="周转筐",N(对接源_01水果!$K771)&lt;&gt;0)),1,0)</f>
        <v>0</v>
      </c>
      <c r="AI771" s="90" t="n">
        <f aca="false">IF(AG771="",0,IF(MATCH(AG771,$AG$4:$AG$1203,0)=ROW()-3,1,0))</f>
        <v>0</v>
      </c>
      <c r="AJ771" s="90" t="n">
        <f aca="false">N(AJ770)+AI771</f>
        <v>4</v>
      </c>
      <c r="AK771" s="1" t="n">
        <f aca="false">N(AK770)+$AJ771</f>
        <v>1944</v>
      </c>
    </row>
    <row r="772" customFormat="false" ht="13.5" hidden="false" customHeight="false" outlineLevel="0" collapsed="false">
      <c r="A772" s="1" t="str">
        <f aca="false">IF(对接源_01水果!$C772="","",对接源_01水果!$C772)</f>
        <v/>
      </c>
      <c r="B772" s="1" t="n">
        <f aca="false">IF(A772="",0,IF(MATCH(A772,$A$4:$A$2403,0)=ROW()-3,1,0))</f>
        <v>0</v>
      </c>
      <c r="C772" s="1" t="n">
        <f aca="false">N(C771)+B772</f>
        <v>13</v>
      </c>
      <c r="K772" s="1" t="n">
        <f aca="false">IF(OR($K$1="",对接源_01水果!$C772="",对接源_01水果!$C772&lt;&gt;$K$1,对接源_01水果!$B772=""),0,IF(OR(N(对接源_01水果!$B772)&lt;$K$2,N(对接源_01水果!$B772)&gt;$K$3),0,1))</f>
        <v>0</v>
      </c>
      <c r="L772" s="1" t="n">
        <f aca="false">IF(OR($L$1="",对接源_01水果!$C772="",对接源_01水果!$C772&lt;&gt;$L$1,对接源_01水果!$B772=""),0,IF(OR(N(对接源_01水果!$B772)&lt;$L$2,N(对接源_01水果!$B772)&gt;$L$3),0,1))</f>
        <v>0</v>
      </c>
      <c r="M772" s="1" t="n">
        <f aca="false">IF(OR($M$1="",对接源_01水果!$C772="",对接源_01水果!$C772&lt;&gt;$M$1,对接源_01水果!$B772=""),0,IF(OR(N(对接源_01水果!$B772)&lt;$M$2,N(对接源_01水果!$B772)&gt;$M$3),0,1))</f>
        <v>0</v>
      </c>
      <c r="N772" s="1" t="n">
        <f aca="false">IF(OR($N$1="",对接源_01水果!$C772="",对接源_01水果!$C772&lt;&gt;$N$1,对接源_01水果!$B772=""),0,IF(OR(N(对接源_01水果!$B772)&lt;$N$2,N(对接源_01水果!$B772)&gt;$N$3),0,1))</f>
        <v>0</v>
      </c>
      <c r="P772" s="1" t="n">
        <f aca="false">IF(AND($K772=1,AND(对接源_01水果!$X772="公司筐",N(对接源_01水果!$T772)&lt;&gt;0)),1,0)</f>
        <v>0</v>
      </c>
      <c r="Q772" s="1" t="n">
        <f aca="false">N(Q771)+$P772</f>
        <v>3</v>
      </c>
      <c r="R772" s="1" t="n">
        <f aca="false">IF(AND($K772=1,AND(对接源_01水果!$X772="公司筐",N(对接源_01水果!$U772)&lt;&gt;0)),1,0)</f>
        <v>0</v>
      </c>
      <c r="S772" s="1" t="n">
        <f aca="false">N(S771)+$R772</f>
        <v>0</v>
      </c>
      <c r="T772" s="1" t="n">
        <f aca="false">IF(AND($K772=1,AND(对接源_01水果!$X772="公司筐",N(对接源_01水果!$V772)&lt;&gt;0)),1,0)</f>
        <v>0</v>
      </c>
      <c r="U772" s="1" t="n">
        <f aca="false">N(U771)+$T772</f>
        <v>28</v>
      </c>
      <c r="V772" s="1" t="n">
        <f aca="false">IF(AND($L772=1,AND(对接源_01水果!$X772="自备筐",N(对接源_01水果!$V772)&lt;&gt;0)),1,0)</f>
        <v>0</v>
      </c>
      <c r="W772" s="1" t="n">
        <f aca="false">N(W771)+$V772</f>
        <v>7</v>
      </c>
      <c r="X772" s="1" t="n">
        <f aca="false">IF(AND($L772=1,AND(对接源_01水果!$X772="自备筐",N(对接源_01水果!$T772)&lt;&gt;0)),1,0)</f>
        <v>0</v>
      </c>
      <c r="Y772" s="1" t="n">
        <f aca="false">N(Y771)+$X772</f>
        <v>0</v>
      </c>
      <c r="Z772" s="1" t="n">
        <f aca="false">IF(AND($M772=1,对接源_01水果!$D772="原料入库"),1,0)</f>
        <v>0</v>
      </c>
      <c r="AA772" s="1" t="n">
        <f aca="false">N(AA771)+$Z772</f>
        <v>30</v>
      </c>
      <c r="AB772" s="1" t="n">
        <f aca="false">IF(AND($M772=1,LEFT(对接源_01水果!$D772,4)="原料出库"),1,0)</f>
        <v>0</v>
      </c>
      <c r="AC772" s="1" t="n">
        <f aca="false">N(AC771)+$AB772</f>
        <v>19</v>
      </c>
      <c r="AD772" s="1" t="n">
        <f aca="false">IF(AND($M772=1,LEFT(对接源_01水果!$D772,4)="成品出库"),1,0)</f>
        <v>0</v>
      </c>
      <c r="AE772" s="1" t="n">
        <f aca="false">N(AE771)+$AD772</f>
        <v>38</v>
      </c>
      <c r="AF772" s="1" t="n">
        <f aca="false">IF(AND($N772=1,AND(LEFT(对接源_01水果!$D772,4)="包装物料",N(对接源_01水果!$K772)&lt;&gt;0)),1,0)</f>
        <v>0</v>
      </c>
      <c r="AG772" s="90" t="str">
        <f aca="false">IF(对接源_01水果!$AC772="","",对接源_01水果!$AC772)</f>
        <v/>
      </c>
      <c r="AH772" s="1" t="n">
        <f aca="false">IF(AND($N772=1,AND(LEFT(对接源_01水果!$D772,3)="周转筐",N(对接源_01水果!$K772)&lt;&gt;0)),1,0)</f>
        <v>0</v>
      </c>
      <c r="AI772" s="90" t="n">
        <f aca="false">IF(AG772="",0,IF(MATCH(AG772,$AG$4:$AG$1203,0)=ROW()-3,1,0))</f>
        <v>0</v>
      </c>
      <c r="AJ772" s="90" t="n">
        <f aca="false">N(AJ771)+AI772</f>
        <v>4</v>
      </c>
      <c r="AK772" s="1" t="n">
        <f aca="false">N(AK771)+$AJ772</f>
        <v>1948</v>
      </c>
    </row>
    <row r="773" customFormat="false" ht="13.5" hidden="false" customHeight="false" outlineLevel="0" collapsed="false">
      <c r="A773" s="1" t="str">
        <f aca="false">IF(对接源_01水果!$C773="","",对接源_01水果!$C773)</f>
        <v/>
      </c>
      <c r="B773" s="1" t="n">
        <f aca="false">IF(A773="",0,IF(MATCH(A773,$A$4:$A$2403,0)=ROW()-3,1,0))</f>
        <v>0</v>
      </c>
      <c r="C773" s="1" t="n">
        <f aca="false">N(C772)+B773</f>
        <v>13</v>
      </c>
      <c r="K773" s="1" t="n">
        <f aca="false">IF(OR($K$1="",对接源_01水果!$C773="",对接源_01水果!$C773&lt;&gt;$K$1,对接源_01水果!$B773=""),0,IF(OR(N(对接源_01水果!$B773)&lt;$K$2,N(对接源_01水果!$B773)&gt;$K$3),0,1))</f>
        <v>0</v>
      </c>
      <c r="L773" s="1" t="n">
        <f aca="false">IF(OR($L$1="",对接源_01水果!$C773="",对接源_01水果!$C773&lt;&gt;$L$1,对接源_01水果!$B773=""),0,IF(OR(N(对接源_01水果!$B773)&lt;$L$2,N(对接源_01水果!$B773)&gt;$L$3),0,1))</f>
        <v>0</v>
      </c>
      <c r="M773" s="1" t="n">
        <f aca="false">IF(OR($M$1="",对接源_01水果!$C773="",对接源_01水果!$C773&lt;&gt;$M$1,对接源_01水果!$B773=""),0,IF(OR(N(对接源_01水果!$B773)&lt;$M$2,N(对接源_01水果!$B773)&gt;$M$3),0,1))</f>
        <v>0</v>
      </c>
      <c r="N773" s="1" t="n">
        <f aca="false">IF(OR($N$1="",对接源_01水果!$C773="",对接源_01水果!$C773&lt;&gt;$N$1,对接源_01水果!$B773=""),0,IF(OR(N(对接源_01水果!$B773)&lt;$N$2,N(对接源_01水果!$B773)&gt;$N$3),0,1))</f>
        <v>0</v>
      </c>
      <c r="P773" s="1" t="n">
        <f aca="false">IF(AND($K773=1,AND(对接源_01水果!$X773="公司筐",N(对接源_01水果!$T773)&lt;&gt;0)),1,0)</f>
        <v>0</v>
      </c>
      <c r="Q773" s="1" t="n">
        <f aca="false">N(Q772)+$P773</f>
        <v>3</v>
      </c>
      <c r="R773" s="1" t="n">
        <f aca="false">IF(AND($K773=1,AND(对接源_01水果!$X773="公司筐",N(对接源_01水果!$U773)&lt;&gt;0)),1,0)</f>
        <v>0</v>
      </c>
      <c r="S773" s="1" t="n">
        <f aca="false">N(S772)+$R773</f>
        <v>0</v>
      </c>
      <c r="T773" s="1" t="n">
        <f aca="false">IF(AND($K773=1,AND(对接源_01水果!$X773="公司筐",N(对接源_01水果!$V773)&lt;&gt;0)),1,0)</f>
        <v>0</v>
      </c>
      <c r="U773" s="1" t="n">
        <f aca="false">N(U772)+$T773</f>
        <v>28</v>
      </c>
      <c r="V773" s="1" t="n">
        <f aca="false">IF(AND($L773=1,AND(对接源_01水果!$X773="自备筐",N(对接源_01水果!$V773)&lt;&gt;0)),1,0)</f>
        <v>0</v>
      </c>
      <c r="W773" s="1" t="n">
        <f aca="false">N(W772)+$V773</f>
        <v>7</v>
      </c>
      <c r="X773" s="1" t="n">
        <f aca="false">IF(AND($L773=1,AND(对接源_01水果!$X773="自备筐",N(对接源_01水果!$T773)&lt;&gt;0)),1,0)</f>
        <v>0</v>
      </c>
      <c r="Y773" s="1" t="n">
        <f aca="false">N(Y772)+$X773</f>
        <v>0</v>
      </c>
      <c r="Z773" s="1" t="n">
        <f aca="false">IF(AND($M773=1,对接源_01水果!$D773="原料入库"),1,0)</f>
        <v>0</v>
      </c>
      <c r="AA773" s="1" t="n">
        <f aca="false">N(AA772)+$Z773</f>
        <v>30</v>
      </c>
      <c r="AB773" s="1" t="n">
        <f aca="false">IF(AND($M773=1,LEFT(对接源_01水果!$D773,4)="原料出库"),1,0)</f>
        <v>0</v>
      </c>
      <c r="AC773" s="1" t="n">
        <f aca="false">N(AC772)+$AB773</f>
        <v>19</v>
      </c>
      <c r="AD773" s="1" t="n">
        <f aca="false">IF(AND($M773=1,LEFT(对接源_01水果!$D773,4)="成品出库"),1,0)</f>
        <v>0</v>
      </c>
      <c r="AE773" s="1" t="n">
        <f aca="false">N(AE772)+$AD773</f>
        <v>38</v>
      </c>
      <c r="AF773" s="1" t="n">
        <f aca="false">IF(AND($N773=1,AND(LEFT(对接源_01水果!$D773,4)="包装物料",N(对接源_01水果!$K773)&lt;&gt;0)),1,0)</f>
        <v>0</v>
      </c>
      <c r="AG773" s="90" t="str">
        <f aca="false">IF(对接源_01水果!$AC773="","",对接源_01水果!$AC773)</f>
        <v/>
      </c>
      <c r="AH773" s="1" t="n">
        <f aca="false">IF(AND($N773=1,AND(LEFT(对接源_01水果!$D773,3)="周转筐",N(对接源_01水果!$K773)&lt;&gt;0)),1,0)</f>
        <v>0</v>
      </c>
      <c r="AI773" s="90" t="n">
        <f aca="false">IF(AG773="",0,IF(MATCH(AG773,$AG$4:$AG$1203,0)=ROW()-3,1,0))</f>
        <v>0</v>
      </c>
      <c r="AJ773" s="90" t="n">
        <f aca="false">N(AJ772)+AI773</f>
        <v>4</v>
      </c>
      <c r="AK773" s="1" t="n">
        <f aca="false">N(AK772)+$AJ773</f>
        <v>1952</v>
      </c>
    </row>
    <row r="774" customFormat="false" ht="13.5" hidden="false" customHeight="false" outlineLevel="0" collapsed="false">
      <c r="A774" s="1" t="str">
        <f aca="false">IF(对接源_01水果!$C774="","",对接源_01水果!$C774)</f>
        <v/>
      </c>
      <c r="B774" s="1" t="n">
        <f aca="false">IF(A774="",0,IF(MATCH(A774,$A$4:$A$2403,0)=ROW()-3,1,0))</f>
        <v>0</v>
      </c>
      <c r="C774" s="1" t="n">
        <f aca="false">N(C773)+B774</f>
        <v>13</v>
      </c>
      <c r="K774" s="1" t="n">
        <f aca="false">IF(OR($K$1="",对接源_01水果!$C774="",对接源_01水果!$C774&lt;&gt;$K$1,对接源_01水果!$B774=""),0,IF(OR(N(对接源_01水果!$B774)&lt;$K$2,N(对接源_01水果!$B774)&gt;$K$3),0,1))</f>
        <v>0</v>
      </c>
      <c r="L774" s="1" t="n">
        <f aca="false">IF(OR($L$1="",对接源_01水果!$C774="",对接源_01水果!$C774&lt;&gt;$L$1,对接源_01水果!$B774=""),0,IF(OR(N(对接源_01水果!$B774)&lt;$L$2,N(对接源_01水果!$B774)&gt;$L$3),0,1))</f>
        <v>0</v>
      </c>
      <c r="M774" s="1" t="n">
        <f aca="false">IF(OR($M$1="",对接源_01水果!$C774="",对接源_01水果!$C774&lt;&gt;$M$1,对接源_01水果!$B774=""),0,IF(OR(N(对接源_01水果!$B774)&lt;$M$2,N(对接源_01水果!$B774)&gt;$M$3),0,1))</f>
        <v>0</v>
      </c>
      <c r="N774" s="1" t="n">
        <f aca="false">IF(OR($N$1="",对接源_01水果!$C774="",对接源_01水果!$C774&lt;&gt;$N$1,对接源_01水果!$B774=""),0,IF(OR(N(对接源_01水果!$B774)&lt;$N$2,N(对接源_01水果!$B774)&gt;$N$3),0,1))</f>
        <v>0</v>
      </c>
      <c r="P774" s="1" t="n">
        <f aca="false">IF(AND($K774=1,AND(对接源_01水果!$X774="公司筐",N(对接源_01水果!$T774)&lt;&gt;0)),1,0)</f>
        <v>0</v>
      </c>
      <c r="Q774" s="1" t="n">
        <f aca="false">N(Q773)+$P774</f>
        <v>3</v>
      </c>
      <c r="R774" s="1" t="n">
        <f aca="false">IF(AND($K774=1,AND(对接源_01水果!$X774="公司筐",N(对接源_01水果!$U774)&lt;&gt;0)),1,0)</f>
        <v>0</v>
      </c>
      <c r="S774" s="1" t="n">
        <f aca="false">N(S773)+$R774</f>
        <v>0</v>
      </c>
      <c r="T774" s="1" t="n">
        <f aca="false">IF(AND($K774=1,AND(对接源_01水果!$X774="公司筐",N(对接源_01水果!$V774)&lt;&gt;0)),1,0)</f>
        <v>0</v>
      </c>
      <c r="U774" s="1" t="n">
        <f aca="false">N(U773)+$T774</f>
        <v>28</v>
      </c>
      <c r="V774" s="1" t="n">
        <f aca="false">IF(AND($L774=1,AND(对接源_01水果!$X774="自备筐",N(对接源_01水果!$V774)&lt;&gt;0)),1,0)</f>
        <v>0</v>
      </c>
      <c r="W774" s="1" t="n">
        <f aca="false">N(W773)+$V774</f>
        <v>7</v>
      </c>
      <c r="X774" s="1" t="n">
        <f aca="false">IF(AND($L774=1,AND(对接源_01水果!$X774="自备筐",N(对接源_01水果!$T774)&lt;&gt;0)),1,0)</f>
        <v>0</v>
      </c>
      <c r="Y774" s="1" t="n">
        <f aca="false">N(Y773)+$X774</f>
        <v>0</v>
      </c>
      <c r="Z774" s="1" t="n">
        <f aca="false">IF(AND($M774=1,对接源_01水果!$D774="原料入库"),1,0)</f>
        <v>0</v>
      </c>
      <c r="AA774" s="1" t="n">
        <f aca="false">N(AA773)+$Z774</f>
        <v>30</v>
      </c>
      <c r="AB774" s="1" t="n">
        <f aca="false">IF(AND($M774=1,LEFT(对接源_01水果!$D774,4)="原料出库"),1,0)</f>
        <v>0</v>
      </c>
      <c r="AC774" s="1" t="n">
        <f aca="false">N(AC773)+$AB774</f>
        <v>19</v>
      </c>
      <c r="AD774" s="1" t="n">
        <f aca="false">IF(AND($M774=1,LEFT(对接源_01水果!$D774,4)="成品出库"),1,0)</f>
        <v>0</v>
      </c>
      <c r="AE774" s="1" t="n">
        <f aca="false">N(AE773)+$AD774</f>
        <v>38</v>
      </c>
      <c r="AF774" s="1" t="n">
        <f aca="false">IF(AND($N774=1,AND(LEFT(对接源_01水果!$D774,4)="包装物料",N(对接源_01水果!$K774)&lt;&gt;0)),1,0)</f>
        <v>0</v>
      </c>
      <c r="AG774" s="90" t="str">
        <f aca="false">IF(对接源_01水果!$AC774="","",对接源_01水果!$AC774)</f>
        <v/>
      </c>
      <c r="AH774" s="1" t="n">
        <f aca="false">IF(AND($N774=1,AND(LEFT(对接源_01水果!$D774,3)="周转筐",N(对接源_01水果!$K774)&lt;&gt;0)),1,0)</f>
        <v>0</v>
      </c>
      <c r="AI774" s="90" t="n">
        <f aca="false">IF(AG774="",0,IF(MATCH(AG774,$AG$4:$AG$1203,0)=ROW()-3,1,0))</f>
        <v>0</v>
      </c>
      <c r="AJ774" s="90" t="n">
        <f aca="false">N(AJ773)+AI774</f>
        <v>4</v>
      </c>
      <c r="AK774" s="1" t="n">
        <f aca="false">N(AK773)+$AJ774</f>
        <v>1956</v>
      </c>
    </row>
    <row r="775" customFormat="false" ht="13.5" hidden="false" customHeight="false" outlineLevel="0" collapsed="false">
      <c r="A775" s="1" t="str">
        <f aca="false">IF(对接源_01水果!$C775="","",对接源_01水果!$C775)</f>
        <v/>
      </c>
      <c r="B775" s="1" t="n">
        <f aca="false">IF(A775="",0,IF(MATCH(A775,$A$4:$A$2403,0)=ROW()-3,1,0))</f>
        <v>0</v>
      </c>
      <c r="C775" s="1" t="n">
        <f aca="false">N(C774)+B775</f>
        <v>13</v>
      </c>
      <c r="K775" s="1" t="n">
        <f aca="false">IF(OR($K$1="",对接源_01水果!$C775="",对接源_01水果!$C775&lt;&gt;$K$1,对接源_01水果!$B775=""),0,IF(OR(N(对接源_01水果!$B775)&lt;$K$2,N(对接源_01水果!$B775)&gt;$K$3),0,1))</f>
        <v>0</v>
      </c>
      <c r="L775" s="1" t="n">
        <f aca="false">IF(OR($L$1="",对接源_01水果!$C775="",对接源_01水果!$C775&lt;&gt;$L$1,对接源_01水果!$B775=""),0,IF(OR(N(对接源_01水果!$B775)&lt;$L$2,N(对接源_01水果!$B775)&gt;$L$3),0,1))</f>
        <v>0</v>
      </c>
      <c r="M775" s="1" t="n">
        <f aca="false">IF(OR($M$1="",对接源_01水果!$C775="",对接源_01水果!$C775&lt;&gt;$M$1,对接源_01水果!$B775=""),0,IF(OR(N(对接源_01水果!$B775)&lt;$M$2,N(对接源_01水果!$B775)&gt;$M$3),0,1))</f>
        <v>0</v>
      </c>
      <c r="N775" s="1" t="n">
        <f aca="false">IF(OR($N$1="",对接源_01水果!$C775="",对接源_01水果!$C775&lt;&gt;$N$1,对接源_01水果!$B775=""),0,IF(OR(N(对接源_01水果!$B775)&lt;$N$2,N(对接源_01水果!$B775)&gt;$N$3),0,1))</f>
        <v>0</v>
      </c>
      <c r="P775" s="1" t="n">
        <f aca="false">IF(AND($K775=1,AND(对接源_01水果!$X775="公司筐",N(对接源_01水果!$T775)&lt;&gt;0)),1,0)</f>
        <v>0</v>
      </c>
      <c r="Q775" s="1" t="n">
        <f aca="false">N(Q774)+$P775</f>
        <v>3</v>
      </c>
      <c r="R775" s="1" t="n">
        <f aca="false">IF(AND($K775=1,AND(对接源_01水果!$X775="公司筐",N(对接源_01水果!$U775)&lt;&gt;0)),1,0)</f>
        <v>0</v>
      </c>
      <c r="S775" s="1" t="n">
        <f aca="false">N(S774)+$R775</f>
        <v>0</v>
      </c>
      <c r="T775" s="1" t="n">
        <f aca="false">IF(AND($K775=1,AND(对接源_01水果!$X775="公司筐",N(对接源_01水果!$V775)&lt;&gt;0)),1,0)</f>
        <v>0</v>
      </c>
      <c r="U775" s="1" t="n">
        <f aca="false">N(U774)+$T775</f>
        <v>28</v>
      </c>
      <c r="V775" s="1" t="n">
        <f aca="false">IF(AND($L775=1,AND(对接源_01水果!$X775="自备筐",N(对接源_01水果!$V775)&lt;&gt;0)),1,0)</f>
        <v>0</v>
      </c>
      <c r="W775" s="1" t="n">
        <f aca="false">N(W774)+$V775</f>
        <v>7</v>
      </c>
      <c r="X775" s="1" t="n">
        <f aca="false">IF(AND($L775=1,AND(对接源_01水果!$X775="自备筐",N(对接源_01水果!$T775)&lt;&gt;0)),1,0)</f>
        <v>0</v>
      </c>
      <c r="Y775" s="1" t="n">
        <f aca="false">N(Y774)+$X775</f>
        <v>0</v>
      </c>
      <c r="Z775" s="1" t="n">
        <f aca="false">IF(AND($M775=1,对接源_01水果!$D775="原料入库"),1,0)</f>
        <v>0</v>
      </c>
      <c r="AA775" s="1" t="n">
        <f aca="false">N(AA774)+$Z775</f>
        <v>30</v>
      </c>
      <c r="AB775" s="1" t="n">
        <f aca="false">IF(AND($M775=1,LEFT(对接源_01水果!$D775,4)="原料出库"),1,0)</f>
        <v>0</v>
      </c>
      <c r="AC775" s="1" t="n">
        <f aca="false">N(AC774)+$AB775</f>
        <v>19</v>
      </c>
      <c r="AD775" s="1" t="n">
        <f aca="false">IF(AND($M775=1,LEFT(对接源_01水果!$D775,4)="成品出库"),1,0)</f>
        <v>0</v>
      </c>
      <c r="AE775" s="1" t="n">
        <f aca="false">N(AE774)+$AD775</f>
        <v>38</v>
      </c>
      <c r="AF775" s="1" t="n">
        <f aca="false">IF(AND($N775=1,AND(LEFT(对接源_01水果!$D775,4)="包装物料",N(对接源_01水果!$K775)&lt;&gt;0)),1,0)</f>
        <v>0</v>
      </c>
      <c r="AG775" s="90" t="str">
        <f aca="false">IF(对接源_01水果!$AC775="","",对接源_01水果!$AC775)</f>
        <v/>
      </c>
      <c r="AH775" s="1" t="n">
        <f aca="false">IF(AND($N775=1,AND(LEFT(对接源_01水果!$D775,3)="周转筐",N(对接源_01水果!$K775)&lt;&gt;0)),1,0)</f>
        <v>0</v>
      </c>
      <c r="AI775" s="90" t="n">
        <f aca="false">IF(AG775="",0,IF(MATCH(AG775,$AG$4:$AG$1203,0)=ROW()-3,1,0))</f>
        <v>0</v>
      </c>
      <c r="AJ775" s="90" t="n">
        <f aca="false">N(AJ774)+AI775</f>
        <v>4</v>
      </c>
      <c r="AK775" s="1" t="n">
        <f aca="false">N(AK774)+$AJ775</f>
        <v>1960</v>
      </c>
    </row>
    <row r="776" customFormat="false" ht="13.5" hidden="false" customHeight="false" outlineLevel="0" collapsed="false">
      <c r="A776" s="1" t="str">
        <f aca="false">IF(对接源_01水果!$C776="","",对接源_01水果!$C776)</f>
        <v/>
      </c>
      <c r="B776" s="1" t="n">
        <f aca="false">IF(A776="",0,IF(MATCH(A776,$A$4:$A$2403,0)=ROW()-3,1,0))</f>
        <v>0</v>
      </c>
      <c r="C776" s="1" t="n">
        <f aca="false">N(C775)+B776</f>
        <v>13</v>
      </c>
      <c r="K776" s="1" t="n">
        <f aca="false">IF(OR($K$1="",对接源_01水果!$C776="",对接源_01水果!$C776&lt;&gt;$K$1,对接源_01水果!$B776=""),0,IF(OR(N(对接源_01水果!$B776)&lt;$K$2,N(对接源_01水果!$B776)&gt;$K$3),0,1))</f>
        <v>0</v>
      </c>
      <c r="L776" s="1" t="n">
        <f aca="false">IF(OR($L$1="",对接源_01水果!$C776="",对接源_01水果!$C776&lt;&gt;$L$1,对接源_01水果!$B776=""),0,IF(OR(N(对接源_01水果!$B776)&lt;$L$2,N(对接源_01水果!$B776)&gt;$L$3),0,1))</f>
        <v>0</v>
      </c>
      <c r="M776" s="1" t="n">
        <f aca="false">IF(OR($M$1="",对接源_01水果!$C776="",对接源_01水果!$C776&lt;&gt;$M$1,对接源_01水果!$B776=""),0,IF(OR(N(对接源_01水果!$B776)&lt;$M$2,N(对接源_01水果!$B776)&gt;$M$3),0,1))</f>
        <v>0</v>
      </c>
      <c r="N776" s="1" t="n">
        <f aca="false">IF(OR($N$1="",对接源_01水果!$C776="",对接源_01水果!$C776&lt;&gt;$N$1,对接源_01水果!$B776=""),0,IF(OR(N(对接源_01水果!$B776)&lt;$N$2,N(对接源_01水果!$B776)&gt;$N$3),0,1))</f>
        <v>0</v>
      </c>
      <c r="P776" s="1" t="n">
        <f aca="false">IF(AND($K776=1,AND(对接源_01水果!$X776="公司筐",N(对接源_01水果!$T776)&lt;&gt;0)),1,0)</f>
        <v>0</v>
      </c>
      <c r="Q776" s="1" t="n">
        <f aca="false">N(Q775)+$P776</f>
        <v>3</v>
      </c>
      <c r="R776" s="1" t="n">
        <f aca="false">IF(AND($K776=1,AND(对接源_01水果!$X776="公司筐",N(对接源_01水果!$U776)&lt;&gt;0)),1,0)</f>
        <v>0</v>
      </c>
      <c r="S776" s="1" t="n">
        <f aca="false">N(S775)+$R776</f>
        <v>0</v>
      </c>
      <c r="T776" s="1" t="n">
        <f aca="false">IF(AND($K776=1,AND(对接源_01水果!$X776="公司筐",N(对接源_01水果!$V776)&lt;&gt;0)),1,0)</f>
        <v>0</v>
      </c>
      <c r="U776" s="1" t="n">
        <f aca="false">N(U775)+$T776</f>
        <v>28</v>
      </c>
      <c r="V776" s="1" t="n">
        <f aca="false">IF(AND($L776=1,AND(对接源_01水果!$X776="自备筐",N(对接源_01水果!$V776)&lt;&gt;0)),1,0)</f>
        <v>0</v>
      </c>
      <c r="W776" s="1" t="n">
        <f aca="false">N(W775)+$V776</f>
        <v>7</v>
      </c>
      <c r="X776" s="1" t="n">
        <f aca="false">IF(AND($L776=1,AND(对接源_01水果!$X776="自备筐",N(对接源_01水果!$T776)&lt;&gt;0)),1,0)</f>
        <v>0</v>
      </c>
      <c r="Y776" s="1" t="n">
        <f aca="false">N(Y775)+$X776</f>
        <v>0</v>
      </c>
      <c r="Z776" s="1" t="n">
        <f aca="false">IF(AND($M776=1,对接源_01水果!$D776="原料入库"),1,0)</f>
        <v>0</v>
      </c>
      <c r="AA776" s="1" t="n">
        <f aca="false">N(AA775)+$Z776</f>
        <v>30</v>
      </c>
      <c r="AB776" s="1" t="n">
        <f aca="false">IF(AND($M776=1,LEFT(对接源_01水果!$D776,4)="原料出库"),1,0)</f>
        <v>0</v>
      </c>
      <c r="AC776" s="1" t="n">
        <f aca="false">N(AC775)+$AB776</f>
        <v>19</v>
      </c>
      <c r="AD776" s="1" t="n">
        <f aca="false">IF(AND($M776=1,LEFT(对接源_01水果!$D776,4)="成品出库"),1,0)</f>
        <v>0</v>
      </c>
      <c r="AE776" s="1" t="n">
        <f aca="false">N(AE775)+$AD776</f>
        <v>38</v>
      </c>
      <c r="AF776" s="1" t="n">
        <f aca="false">IF(AND($N776=1,AND(LEFT(对接源_01水果!$D776,4)="包装物料",N(对接源_01水果!$K776)&lt;&gt;0)),1,0)</f>
        <v>0</v>
      </c>
      <c r="AG776" s="90" t="str">
        <f aca="false">IF(对接源_01水果!$AC776="","",对接源_01水果!$AC776)</f>
        <v/>
      </c>
      <c r="AH776" s="1" t="n">
        <f aca="false">IF(AND($N776=1,AND(LEFT(对接源_01水果!$D776,3)="周转筐",N(对接源_01水果!$K776)&lt;&gt;0)),1,0)</f>
        <v>0</v>
      </c>
      <c r="AI776" s="90" t="n">
        <f aca="false">IF(AG776="",0,IF(MATCH(AG776,$AG$4:$AG$1203,0)=ROW()-3,1,0))</f>
        <v>0</v>
      </c>
      <c r="AJ776" s="90" t="n">
        <f aca="false">N(AJ775)+AI776</f>
        <v>4</v>
      </c>
      <c r="AK776" s="1" t="n">
        <f aca="false">N(AK775)+$AJ776</f>
        <v>1964</v>
      </c>
    </row>
    <row r="777" customFormat="false" ht="13.5" hidden="false" customHeight="false" outlineLevel="0" collapsed="false">
      <c r="A777" s="1" t="str">
        <f aca="false">IF(对接源_01水果!$C777="","",对接源_01水果!$C777)</f>
        <v/>
      </c>
      <c r="B777" s="1" t="n">
        <f aca="false">IF(A777="",0,IF(MATCH(A777,$A$4:$A$2403,0)=ROW()-3,1,0))</f>
        <v>0</v>
      </c>
      <c r="C777" s="1" t="n">
        <f aca="false">N(C776)+B777</f>
        <v>13</v>
      </c>
      <c r="K777" s="1" t="n">
        <f aca="false">IF(OR($K$1="",对接源_01水果!$C777="",对接源_01水果!$C777&lt;&gt;$K$1,对接源_01水果!$B777=""),0,IF(OR(N(对接源_01水果!$B777)&lt;$K$2,N(对接源_01水果!$B777)&gt;$K$3),0,1))</f>
        <v>0</v>
      </c>
      <c r="L777" s="1" t="n">
        <f aca="false">IF(OR($L$1="",对接源_01水果!$C777="",对接源_01水果!$C777&lt;&gt;$L$1,对接源_01水果!$B777=""),0,IF(OR(N(对接源_01水果!$B777)&lt;$L$2,N(对接源_01水果!$B777)&gt;$L$3),0,1))</f>
        <v>0</v>
      </c>
      <c r="M777" s="1" t="n">
        <f aca="false">IF(OR($M$1="",对接源_01水果!$C777="",对接源_01水果!$C777&lt;&gt;$M$1,对接源_01水果!$B777=""),0,IF(OR(N(对接源_01水果!$B777)&lt;$M$2,N(对接源_01水果!$B777)&gt;$M$3),0,1))</f>
        <v>0</v>
      </c>
      <c r="N777" s="1" t="n">
        <f aca="false">IF(OR($N$1="",对接源_01水果!$C777="",对接源_01水果!$C777&lt;&gt;$N$1,对接源_01水果!$B777=""),0,IF(OR(N(对接源_01水果!$B777)&lt;$N$2,N(对接源_01水果!$B777)&gt;$N$3),0,1))</f>
        <v>0</v>
      </c>
      <c r="P777" s="1" t="n">
        <f aca="false">IF(AND($K777=1,AND(对接源_01水果!$X777="公司筐",N(对接源_01水果!$T777)&lt;&gt;0)),1,0)</f>
        <v>0</v>
      </c>
      <c r="Q777" s="1" t="n">
        <f aca="false">N(Q776)+$P777</f>
        <v>3</v>
      </c>
      <c r="R777" s="1" t="n">
        <f aca="false">IF(AND($K777=1,AND(对接源_01水果!$X777="公司筐",N(对接源_01水果!$U777)&lt;&gt;0)),1,0)</f>
        <v>0</v>
      </c>
      <c r="S777" s="1" t="n">
        <f aca="false">N(S776)+$R777</f>
        <v>0</v>
      </c>
      <c r="T777" s="1" t="n">
        <f aca="false">IF(AND($K777=1,AND(对接源_01水果!$X777="公司筐",N(对接源_01水果!$V777)&lt;&gt;0)),1,0)</f>
        <v>0</v>
      </c>
      <c r="U777" s="1" t="n">
        <f aca="false">N(U776)+$T777</f>
        <v>28</v>
      </c>
      <c r="V777" s="1" t="n">
        <f aca="false">IF(AND($L777=1,AND(对接源_01水果!$X777="自备筐",N(对接源_01水果!$V777)&lt;&gt;0)),1,0)</f>
        <v>0</v>
      </c>
      <c r="W777" s="1" t="n">
        <f aca="false">N(W776)+$V777</f>
        <v>7</v>
      </c>
      <c r="X777" s="1" t="n">
        <f aca="false">IF(AND($L777=1,AND(对接源_01水果!$X777="自备筐",N(对接源_01水果!$T777)&lt;&gt;0)),1,0)</f>
        <v>0</v>
      </c>
      <c r="Y777" s="1" t="n">
        <f aca="false">N(Y776)+$X777</f>
        <v>0</v>
      </c>
      <c r="Z777" s="1" t="n">
        <f aca="false">IF(AND($M777=1,对接源_01水果!$D777="原料入库"),1,0)</f>
        <v>0</v>
      </c>
      <c r="AA777" s="1" t="n">
        <f aca="false">N(AA776)+$Z777</f>
        <v>30</v>
      </c>
      <c r="AB777" s="1" t="n">
        <f aca="false">IF(AND($M777=1,LEFT(对接源_01水果!$D777,4)="原料出库"),1,0)</f>
        <v>0</v>
      </c>
      <c r="AC777" s="1" t="n">
        <f aca="false">N(AC776)+$AB777</f>
        <v>19</v>
      </c>
      <c r="AD777" s="1" t="n">
        <f aca="false">IF(AND($M777=1,LEFT(对接源_01水果!$D777,4)="成品出库"),1,0)</f>
        <v>0</v>
      </c>
      <c r="AE777" s="1" t="n">
        <f aca="false">N(AE776)+$AD777</f>
        <v>38</v>
      </c>
      <c r="AF777" s="1" t="n">
        <f aca="false">IF(AND($N777=1,AND(LEFT(对接源_01水果!$D777,4)="包装物料",N(对接源_01水果!$K777)&lt;&gt;0)),1,0)</f>
        <v>0</v>
      </c>
      <c r="AG777" s="90" t="str">
        <f aca="false">IF(对接源_01水果!$AC777="","",对接源_01水果!$AC777)</f>
        <v/>
      </c>
      <c r="AH777" s="1" t="n">
        <f aca="false">IF(AND($N777=1,AND(LEFT(对接源_01水果!$D777,3)="周转筐",N(对接源_01水果!$K777)&lt;&gt;0)),1,0)</f>
        <v>0</v>
      </c>
      <c r="AI777" s="90" t="n">
        <f aca="false">IF(AG777="",0,IF(MATCH(AG777,$AG$4:$AG$1203,0)=ROW()-3,1,0))</f>
        <v>0</v>
      </c>
      <c r="AJ777" s="90" t="n">
        <f aca="false">N(AJ776)+AI777</f>
        <v>4</v>
      </c>
      <c r="AK777" s="1" t="n">
        <f aca="false">N(AK776)+$AJ777</f>
        <v>1968</v>
      </c>
    </row>
    <row r="778" customFormat="false" ht="13.5" hidden="false" customHeight="false" outlineLevel="0" collapsed="false">
      <c r="A778" s="1" t="str">
        <f aca="false">IF(对接源_01水果!$C778="","",对接源_01水果!$C778)</f>
        <v/>
      </c>
      <c r="B778" s="1" t="n">
        <f aca="false">IF(A778="",0,IF(MATCH(A778,$A$4:$A$2403,0)=ROW()-3,1,0))</f>
        <v>0</v>
      </c>
      <c r="C778" s="1" t="n">
        <f aca="false">N(C777)+B778</f>
        <v>13</v>
      </c>
      <c r="K778" s="1" t="n">
        <f aca="false">IF(OR($K$1="",对接源_01水果!$C778="",对接源_01水果!$C778&lt;&gt;$K$1,对接源_01水果!$B778=""),0,IF(OR(N(对接源_01水果!$B778)&lt;$K$2,N(对接源_01水果!$B778)&gt;$K$3),0,1))</f>
        <v>0</v>
      </c>
      <c r="L778" s="1" t="n">
        <f aca="false">IF(OR($L$1="",对接源_01水果!$C778="",对接源_01水果!$C778&lt;&gt;$L$1,对接源_01水果!$B778=""),0,IF(OR(N(对接源_01水果!$B778)&lt;$L$2,N(对接源_01水果!$B778)&gt;$L$3),0,1))</f>
        <v>0</v>
      </c>
      <c r="M778" s="1" t="n">
        <f aca="false">IF(OR($M$1="",对接源_01水果!$C778="",对接源_01水果!$C778&lt;&gt;$M$1,对接源_01水果!$B778=""),0,IF(OR(N(对接源_01水果!$B778)&lt;$M$2,N(对接源_01水果!$B778)&gt;$M$3),0,1))</f>
        <v>0</v>
      </c>
      <c r="N778" s="1" t="n">
        <f aca="false">IF(OR($N$1="",对接源_01水果!$C778="",对接源_01水果!$C778&lt;&gt;$N$1,对接源_01水果!$B778=""),0,IF(OR(N(对接源_01水果!$B778)&lt;$N$2,N(对接源_01水果!$B778)&gt;$N$3),0,1))</f>
        <v>0</v>
      </c>
      <c r="P778" s="1" t="n">
        <f aca="false">IF(AND($K778=1,AND(对接源_01水果!$X778="公司筐",N(对接源_01水果!$T778)&lt;&gt;0)),1,0)</f>
        <v>0</v>
      </c>
      <c r="Q778" s="1" t="n">
        <f aca="false">N(Q777)+$P778</f>
        <v>3</v>
      </c>
      <c r="R778" s="1" t="n">
        <f aca="false">IF(AND($K778=1,AND(对接源_01水果!$X778="公司筐",N(对接源_01水果!$U778)&lt;&gt;0)),1,0)</f>
        <v>0</v>
      </c>
      <c r="S778" s="1" t="n">
        <f aca="false">N(S777)+$R778</f>
        <v>0</v>
      </c>
      <c r="T778" s="1" t="n">
        <f aca="false">IF(AND($K778=1,AND(对接源_01水果!$X778="公司筐",N(对接源_01水果!$V778)&lt;&gt;0)),1,0)</f>
        <v>0</v>
      </c>
      <c r="U778" s="1" t="n">
        <f aca="false">N(U777)+$T778</f>
        <v>28</v>
      </c>
      <c r="V778" s="1" t="n">
        <f aca="false">IF(AND($L778=1,AND(对接源_01水果!$X778="自备筐",N(对接源_01水果!$V778)&lt;&gt;0)),1,0)</f>
        <v>0</v>
      </c>
      <c r="W778" s="1" t="n">
        <f aca="false">N(W777)+$V778</f>
        <v>7</v>
      </c>
      <c r="X778" s="1" t="n">
        <f aca="false">IF(AND($L778=1,AND(对接源_01水果!$X778="自备筐",N(对接源_01水果!$T778)&lt;&gt;0)),1,0)</f>
        <v>0</v>
      </c>
      <c r="Y778" s="1" t="n">
        <f aca="false">N(Y777)+$X778</f>
        <v>0</v>
      </c>
      <c r="Z778" s="1" t="n">
        <f aca="false">IF(AND($M778=1,对接源_01水果!$D778="原料入库"),1,0)</f>
        <v>0</v>
      </c>
      <c r="AA778" s="1" t="n">
        <f aca="false">N(AA777)+$Z778</f>
        <v>30</v>
      </c>
      <c r="AB778" s="1" t="n">
        <f aca="false">IF(AND($M778=1,LEFT(对接源_01水果!$D778,4)="原料出库"),1,0)</f>
        <v>0</v>
      </c>
      <c r="AC778" s="1" t="n">
        <f aca="false">N(AC777)+$AB778</f>
        <v>19</v>
      </c>
      <c r="AD778" s="1" t="n">
        <f aca="false">IF(AND($M778=1,LEFT(对接源_01水果!$D778,4)="成品出库"),1,0)</f>
        <v>0</v>
      </c>
      <c r="AE778" s="1" t="n">
        <f aca="false">N(AE777)+$AD778</f>
        <v>38</v>
      </c>
      <c r="AF778" s="1" t="n">
        <f aca="false">IF(AND($N778=1,AND(LEFT(对接源_01水果!$D778,4)="包装物料",N(对接源_01水果!$K778)&lt;&gt;0)),1,0)</f>
        <v>0</v>
      </c>
      <c r="AG778" s="90" t="str">
        <f aca="false">IF(对接源_01水果!$AC778="","",对接源_01水果!$AC778)</f>
        <v/>
      </c>
      <c r="AH778" s="1" t="n">
        <f aca="false">IF(AND($N778=1,AND(LEFT(对接源_01水果!$D778,3)="周转筐",N(对接源_01水果!$K778)&lt;&gt;0)),1,0)</f>
        <v>0</v>
      </c>
      <c r="AI778" s="90" t="n">
        <f aca="false">IF(AG778="",0,IF(MATCH(AG778,$AG$4:$AG$1203,0)=ROW()-3,1,0))</f>
        <v>0</v>
      </c>
      <c r="AJ778" s="90" t="n">
        <f aca="false">N(AJ777)+AI778</f>
        <v>4</v>
      </c>
      <c r="AK778" s="1" t="n">
        <f aca="false">N(AK777)+$AJ778</f>
        <v>1972</v>
      </c>
    </row>
    <row r="779" customFormat="false" ht="13.5" hidden="false" customHeight="false" outlineLevel="0" collapsed="false">
      <c r="A779" s="1" t="str">
        <f aca="false">IF(对接源_01水果!$C779="","",对接源_01水果!$C779)</f>
        <v/>
      </c>
      <c r="B779" s="1" t="n">
        <f aca="false">IF(A779="",0,IF(MATCH(A779,$A$4:$A$2403,0)=ROW()-3,1,0))</f>
        <v>0</v>
      </c>
      <c r="C779" s="1" t="n">
        <f aca="false">N(C778)+B779</f>
        <v>13</v>
      </c>
      <c r="K779" s="1" t="n">
        <f aca="false">IF(OR($K$1="",对接源_01水果!$C779="",对接源_01水果!$C779&lt;&gt;$K$1,对接源_01水果!$B779=""),0,IF(OR(N(对接源_01水果!$B779)&lt;$K$2,N(对接源_01水果!$B779)&gt;$K$3),0,1))</f>
        <v>0</v>
      </c>
      <c r="L779" s="1" t="n">
        <f aca="false">IF(OR($L$1="",对接源_01水果!$C779="",对接源_01水果!$C779&lt;&gt;$L$1,对接源_01水果!$B779=""),0,IF(OR(N(对接源_01水果!$B779)&lt;$L$2,N(对接源_01水果!$B779)&gt;$L$3),0,1))</f>
        <v>0</v>
      </c>
      <c r="M779" s="1" t="n">
        <f aca="false">IF(OR($M$1="",对接源_01水果!$C779="",对接源_01水果!$C779&lt;&gt;$M$1,对接源_01水果!$B779=""),0,IF(OR(N(对接源_01水果!$B779)&lt;$M$2,N(对接源_01水果!$B779)&gt;$M$3),0,1))</f>
        <v>0</v>
      </c>
      <c r="N779" s="1" t="n">
        <f aca="false">IF(OR($N$1="",对接源_01水果!$C779="",对接源_01水果!$C779&lt;&gt;$N$1,对接源_01水果!$B779=""),0,IF(OR(N(对接源_01水果!$B779)&lt;$N$2,N(对接源_01水果!$B779)&gt;$N$3),0,1))</f>
        <v>0</v>
      </c>
      <c r="P779" s="1" t="n">
        <f aca="false">IF(AND($K779=1,AND(对接源_01水果!$X779="公司筐",N(对接源_01水果!$T779)&lt;&gt;0)),1,0)</f>
        <v>0</v>
      </c>
      <c r="Q779" s="1" t="n">
        <f aca="false">N(Q778)+$P779</f>
        <v>3</v>
      </c>
      <c r="R779" s="1" t="n">
        <f aca="false">IF(AND($K779=1,AND(对接源_01水果!$X779="公司筐",N(对接源_01水果!$U779)&lt;&gt;0)),1,0)</f>
        <v>0</v>
      </c>
      <c r="S779" s="1" t="n">
        <f aca="false">N(S778)+$R779</f>
        <v>0</v>
      </c>
      <c r="T779" s="1" t="n">
        <f aca="false">IF(AND($K779=1,AND(对接源_01水果!$X779="公司筐",N(对接源_01水果!$V779)&lt;&gt;0)),1,0)</f>
        <v>0</v>
      </c>
      <c r="U779" s="1" t="n">
        <f aca="false">N(U778)+$T779</f>
        <v>28</v>
      </c>
      <c r="V779" s="1" t="n">
        <f aca="false">IF(AND($L779=1,AND(对接源_01水果!$X779="自备筐",N(对接源_01水果!$V779)&lt;&gt;0)),1,0)</f>
        <v>0</v>
      </c>
      <c r="W779" s="1" t="n">
        <f aca="false">N(W778)+$V779</f>
        <v>7</v>
      </c>
      <c r="X779" s="1" t="n">
        <f aca="false">IF(AND($L779=1,AND(对接源_01水果!$X779="自备筐",N(对接源_01水果!$T779)&lt;&gt;0)),1,0)</f>
        <v>0</v>
      </c>
      <c r="Y779" s="1" t="n">
        <f aca="false">N(Y778)+$X779</f>
        <v>0</v>
      </c>
      <c r="Z779" s="1" t="n">
        <f aca="false">IF(AND($M779=1,对接源_01水果!$D779="原料入库"),1,0)</f>
        <v>0</v>
      </c>
      <c r="AA779" s="1" t="n">
        <f aca="false">N(AA778)+$Z779</f>
        <v>30</v>
      </c>
      <c r="AB779" s="1" t="n">
        <f aca="false">IF(AND($M779=1,LEFT(对接源_01水果!$D779,4)="原料出库"),1,0)</f>
        <v>0</v>
      </c>
      <c r="AC779" s="1" t="n">
        <f aca="false">N(AC778)+$AB779</f>
        <v>19</v>
      </c>
      <c r="AD779" s="1" t="n">
        <f aca="false">IF(AND($M779=1,LEFT(对接源_01水果!$D779,4)="成品出库"),1,0)</f>
        <v>0</v>
      </c>
      <c r="AE779" s="1" t="n">
        <f aca="false">N(AE778)+$AD779</f>
        <v>38</v>
      </c>
      <c r="AF779" s="1" t="n">
        <f aca="false">IF(AND($N779=1,AND(LEFT(对接源_01水果!$D779,4)="包装物料",N(对接源_01水果!$K779)&lt;&gt;0)),1,0)</f>
        <v>0</v>
      </c>
      <c r="AG779" s="90" t="str">
        <f aca="false">IF(对接源_01水果!$AC779="","",对接源_01水果!$AC779)</f>
        <v/>
      </c>
      <c r="AH779" s="1" t="n">
        <f aca="false">IF(AND($N779=1,AND(LEFT(对接源_01水果!$D779,3)="周转筐",N(对接源_01水果!$K779)&lt;&gt;0)),1,0)</f>
        <v>0</v>
      </c>
      <c r="AI779" s="90" t="n">
        <f aca="false">IF(AG779="",0,IF(MATCH(AG779,$AG$4:$AG$1203,0)=ROW()-3,1,0))</f>
        <v>0</v>
      </c>
      <c r="AJ779" s="90" t="n">
        <f aca="false">N(AJ778)+AI779</f>
        <v>4</v>
      </c>
      <c r="AK779" s="1" t="n">
        <f aca="false">N(AK778)+$AJ779</f>
        <v>1976</v>
      </c>
    </row>
    <row r="780" customFormat="false" ht="13.5" hidden="false" customHeight="false" outlineLevel="0" collapsed="false">
      <c r="A780" s="1" t="str">
        <f aca="false">IF(对接源_01水果!$C780="","",对接源_01水果!$C780)</f>
        <v/>
      </c>
      <c r="B780" s="1" t="n">
        <f aca="false">IF(A780="",0,IF(MATCH(A780,$A$4:$A$2403,0)=ROW()-3,1,0))</f>
        <v>0</v>
      </c>
      <c r="C780" s="1" t="n">
        <f aca="false">N(C779)+B780</f>
        <v>13</v>
      </c>
      <c r="K780" s="1" t="n">
        <f aca="false">IF(OR($K$1="",对接源_01水果!$C780="",对接源_01水果!$C780&lt;&gt;$K$1,对接源_01水果!$B780=""),0,IF(OR(N(对接源_01水果!$B780)&lt;$K$2,N(对接源_01水果!$B780)&gt;$K$3),0,1))</f>
        <v>0</v>
      </c>
      <c r="L780" s="1" t="n">
        <f aca="false">IF(OR($L$1="",对接源_01水果!$C780="",对接源_01水果!$C780&lt;&gt;$L$1,对接源_01水果!$B780=""),0,IF(OR(N(对接源_01水果!$B780)&lt;$L$2,N(对接源_01水果!$B780)&gt;$L$3),0,1))</f>
        <v>0</v>
      </c>
      <c r="M780" s="1" t="n">
        <f aca="false">IF(OR($M$1="",对接源_01水果!$C780="",对接源_01水果!$C780&lt;&gt;$M$1,对接源_01水果!$B780=""),0,IF(OR(N(对接源_01水果!$B780)&lt;$M$2,N(对接源_01水果!$B780)&gt;$M$3),0,1))</f>
        <v>0</v>
      </c>
      <c r="N780" s="1" t="n">
        <f aca="false">IF(OR($N$1="",对接源_01水果!$C780="",对接源_01水果!$C780&lt;&gt;$N$1,对接源_01水果!$B780=""),0,IF(OR(N(对接源_01水果!$B780)&lt;$N$2,N(对接源_01水果!$B780)&gt;$N$3),0,1))</f>
        <v>0</v>
      </c>
      <c r="P780" s="1" t="n">
        <f aca="false">IF(AND($K780=1,AND(对接源_01水果!$X780="公司筐",N(对接源_01水果!$T780)&lt;&gt;0)),1,0)</f>
        <v>0</v>
      </c>
      <c r="Q780" s="1" t="n">
        <f aca="false">N(Q779)+$P780</f>
        <v>3</v>
      </c>
      <c r="R780" s="1" t="n">
        <f aca="false">IF(AND($K780=1,AND(对接源_01水果!$X780="公司筐",N(对接源_01水果!$U780)&lt;&gt;0)),1,0)</f>
        <v>0</v>
      </c>
      <c r="S780" s="1" t="n">
        <f aca="false">N(S779)+$R780</f>
        <v>0</v>
      </c>
      <c r="T780" s="1" t="n">
        <f aca="false">IF(AND($K780=1,AND(对接源_01水果!$X780="公司筐",N(对接源_01水果!$V780)&lt;&gt;0)),1,0)</f>
        <v>0</v>
      </c>
      <c r="U780" s="1" t="n">
        <f aca="false">N(U779)+$T780</f>
        <v>28</v>
      </c>
      <c r="V780" s="1" t="n">
        <f aca="false">IF(AND($L780=1,AND(对接源_01水果!$X780="自备筐",N(对接源_01水果!$V780)&lt;&gt;0)),1,0)</f>
        <v>0</v>
      </c>
      <c r="W780" s="1" t="n">
        <f aca="false">N(W779)+$V780</f>
        <v>7</v>
      </c>
      <c r="X780" s="1" t="n">
        <f aca="false">IF(AND($L780=1,AND(对接源_01水果!$X780="自备筐",N(对接源_01水果!$T780)&lt;&gt;0)),1,0)</f>
        <v>0</v>
      </c>
      <c r="Y780" s="1" t="n">
        <f aca="false">N(Y779)+$X780</f>
        <v>0</v>
      </c>
      <c r="Z780" s="1" t="n">
        <f aca="false">IF(AND($M780=1,对接源_01水果!$D780="原料入库"),1,0)</f>
        <v>0</v>
      </c>
      <c r="AA780" s="1" t="n">
        <f aca="false">N(AA779)+$Z780</f>
        <v>30</v>
      </c>
      <c r="AB780" s="1" t="n">
        <f aca="false">IF(AND($M780=1,LEFT(对接源_01水果!$D780,4)="原料出库"),1,0)</f>
        <v>0</v>
      </c>
      <c r="AC780" s="1" t="n">
        <f aca="false">N(AC779)+$AB780</f>
        <v>19</v>
      </c>
      <c r="AD780" s="1" t="n">
        <f aca="false">IF(AND($M780=1,LEFT(对接源_01水果!$D780,4)="成品出库"),1,0)</f>
        <v>0</v>
      </c>
      <c r="AE780" s="1" t="n">
        <f aca="false">N(AE779)+$AD780</f>
        <v>38</v>
      </c>
      <c r="AF780" s="1" t="n">
        <f aca="false">IF(AND($N780=1,AND(LEFT(对接源_01水果!$D780,4)="包装物料",N(对接源_01水果!$K780)&lt;&gt;0)),1,0)</f>
        <v>0</v>
      </c>
      <c r="AG780" s="90" t="str">
        <f aca="false">IF(对接源_01水果!$AC780="","",对接源_01水果!$AC780)</f>
        <v/>
      </c>
      <c r="AH780" s="1" t="n">
        <f aca="false">IF(AND($N780=1,AND(LEFT(对接源_01水果!$D780,3)="周转筐",N(对接源_01水果!$K780)&lt;&gt;0)),1,0)</f>
        <v>0</v>
      </c>
      <c r="AI780" s="90" t="n">
        <f aca="false">IF(AG780="",0,IF(MATCH(AG780,$AG$4:$AG$1203,0)=ROW()-3,1,0))</f>
        <v>0</v>
      </c>
      <c r="AJ780" s="90" t="n">
        <f aca="false">N(AJ779)+AI780</f>
        <v>4</v>
      </c>
      <c r="AK780" s="1" t="n">
        <f aca="false">N(AK779)+$AJ780</f>
        <v>1980</v>
      </c>
    </row>
    <row r="781" customFormat="false" ht="13.5" hidden="false" customHeight="false" outlineLevel="0" collapsed="false">
      <c r="A781" s="1" t="str">
        <f aca="false">IF(对接源_01水果!$C781="","",对接源_01水果!$C781)</f>
        <v/>
      </c>
      <c r="B781" s="1" t="n">
        <f aca="false">IF(A781="",0,IF(MATCH(A781,$A$4:$A$2403,0)=ROW()-3,1,0))</f>
        <v>0</v>
      </c>
      <c r="C781" s="1" t="n">
        <f aca="false">N(C780)+B781</f>
        <v>13</v>
      </c>
      <c r="K781" s="1" t="n">
        <f aca="false">IF(OR($K$1="",对接源_01水果!$C781="",对接源_01水果!$C781&lt;&gt;$K$1,对接源_01水果!$B781=""),0,IF(OR(N(对接源_01水果!$B781)&lt;$K$2,N(对接源_01水果!$B781)&gt;$K$3),0,1))</f>
        <v>0</v>
      </c>
      <c r="L781" s="1" t="n">
        <f aca="false">IF(OR($L$1="",对接源_01水果!$C781="",对接源_01水果!$C781&lt;&gt;$L$1,对接源_01水果!$B781=""),0,IF(OR(N(对接源_01水果!$B781)&lt;$L$2,N(对接源_01水果!$B781)&gt;$L$3),0,1))</f>
        <v>0</v>
      </c>
      <c r="M781" s="1" t="n">
        <f aca="false">IF(OR($M$1="",对接源_01水果!$C781="",对接源_01水果!$C781&lt;&gt;$M$1,对接源_01水果!$B781=""),0,IF(OR(N(对接源_01水果!$B781)&lt;$M$2,N(对接源_01水果!$B781)&gt;$M$3),0,1))</f>
        <v>0</v>
      </c>
      <c r="N781" s="1" t="n">
        <f aca="false">IF(OR($N$1="",对接源_01水果!$C781="",对接源_01水果!$C781&lt;&gt;$N$1,对接源_01水果!$B781=""),0,IF(OR(N(对接源_01水果!$B781)&lt;$N$2,N(对接源_01水果!$B781)&gt;$N$3),0,1))</f>
        <v>0</v>
      </c>
      <c r="P781" s="1" t="n">
        <f aca="false">IF(AND($K781=1,AND(对接源_01水果!$X781="公司筐",N(对接源_01水果!$T781)&lt;&gt;0)),1,0)</f>
        <v>0</v>
      </c>
      <c r="Q781" s="1" t="n">
        <f aca="false">N(Q780)+$P781</f>
        <v>3</v>
      </c>
      <c r="R781" s="1" t="n">
        <f aca="false">IF(AND($K781=1,AND(对接源_01水果!$X781="公司筐",N(对接源_01水果!$U781)&lt;&gt;0)),1,0)</f>
        <v>0</v>
      </c>
      <c r="S781" s="1" t="n">
        <f aca="false">N(S780)+$R781</f>
        <v>0</v>
      </c>
      <c r="T781" s="1" t="n">
        <f aca="false">IF(AND($K781=1,AND(对接源_01水果!$X781="公司筐",N(对接源_01水果!$V781)&lt;&gt;0)),1,0)</f>
        <v>0</v>
      </c>
      <c r="U781" s="1" t="n">
        <f aca="false">N(U780)+$T781</f>
        <v>28</v>
      </c>
      <c r="V781" s="1" t="n">
        <f aca="false">IF(AND($L781=1,AND(对接源_01水果!$X781="自备筐",N(对接源_01水果!$V781)&lt;&gt;0)),1,0)</f>
        <v>0</v>
      </c>
      <c r="W781" s="1" t="n">
        <f aca="false">N(W780)+$V781</f>
        <v>7</v>
      </c>
      <c r="X781" s="1" t="n">
        <f aca="false">IF(AND($L781=1,AND(对接源_01水果!$X781="自备筐",N(对接源_01水果!$T781)&lt;&gt;0)),1,0)</f>
        <v>0</v>
      </c>
      <c r="Y781" s="1" t="n">
        <f aca="false">N(Y780)+$X781</f>
        <v>0</v>
      </c>
      <c r="Z781" s="1" t="n">
        <f aca="false">IF(AND($M781=1,对接源_01水果!$D781="原料入库"),1,0)</f>
        <v>0</v>
      </c>
      <c r="AA781" s="1" t="n">
        <f aca="false">N(AA780)+$Z781</f>
        <v>30</v>
      </c>
      <c r="AB781" s="1" t="n">
        <f aca="false">IF(AND($M781=1,LEFT(对接源_01水果!$D781,4)="原料出库"),1,0)</f>
        <v>0</v>
      </c>
      <c r="AC781" s="1" t="n">
        <f aca="false">N(AC780)+$AB781</f>
        <v>19</v>
      </c>
      <c r="AD781" s="1" t="n">
        <f aca="false">IF(AND($M781=1,LEFT(对接源_01水果!$D781,4)="成品出库"),1,0)</f>
        <v>0</v>
      </c>
      <c r="AE781" s="1" t="n">
        <f aca="false">N(AE780)+$AD781</f>
        <v>38</v>
      </c>
      <c r="AF781" s="1" t="n">
        <f aca="false">IF(AND($N781=1,AND(LEFT(对接源_01水果!$D781,4)="包装物料",N(对接源_01水果!$K781)&lt;&gt;0)),1,0)</f>
        <v>0</v>
      </c>
      <c r="AG781" s="90" t="str">
        <f aca="false">IF(对接源_01水果!$AC781="","",对接源_01水果!$AC781)</f>
        <v/>
      </c>
      <c r="AH781" s="1" t="n">
        <f aca="false">IF(AND($N781=1,AND(LEFT(对接源_01水果!$D781,3)="周转筐",N(对接源_01水果!$K781)&lt;&gt;0)),1,0)</f>
        <v>0</v>
      </c>
      <c r="AI781" s="90" t="n">
        <f aca="false">IF(AG781="",0,IF(MATCH(AG781,$AG$4:$AG$1203,0)=ROW()-3,1,0))</f>
        <v>0</v>
      </c>
      <c r="AJ781" s="90" t="n">
        <f aca="false">N(AJ780)+AI781</f>
        <v>4</v>
      </c>
      <c r="AK781" s="1" t="n">
        <f aca="false">N(AK780)+$AJ781</f>
        <v>1984</v>
      </c>
    </row>
    <row r="782" customFormat="false" ht="13.5" hidden="false" customHeight="false" outlineLevel="0" collapsed="false">
      <c r="A782" s="1" t="str">
        <f aca="false">IF(对接源_01水果!$C782="","",对接源_01水果!$C782)</f>
        <v/>
      </c>
      <c r="B782" s="1" t="n">
        <f aca="false">IF(A782="",0,IF(MATCH(A782,$A$4:$A$2403,0)=ROW()-3,1,0))</f>
        <v>0</v>
      </c>
      <c r="C782" s="1" t="n">
        <f aca="false">N(C781)+B782</f>
        <v>13</v>
      </c>
      <c r="K782" s="1" t="n">
        <f aca="false">IF(OR($K$1="",对接源_01水果!$C782="",对接源_01水果!$C782&lt;&gt;$K$1,对接源_01水果!$B782=""),0,IF(OR(N(对接源_01水果!$B782)&lt;$K$2,N(对接源_01水果!$B782)&gt;$K$3),0,1))</f>
        <v>0</v>
      </c>
      <c r="L782" s="1" t="n">
        <f aca="false">IF(OR($L$1="",对接源_01水果!$C782="",对接源_01水果!$C782&lt;&gt;$L$1,对接源_01水果!$B782=""),0,IF(OR(N(对接源_01水果!$B782)&lt;$L$2,N(对接源_01水果!$B782)&gt;$L$3),0,1))</f>
        <v>0</v>
      </c>
      <c r="M782" s="1" t="n">
        <f aca="false">IF(OR($M$1="",对接源_01水果!$C782="",对接源_01水果!$C782&lt;&gt;$M$1,对接源_01水果!$B782=""),0,IF(OR(N(对接源_01水果!$B782)&lt;$M$2,N(对接源_01水果!$B782)&gt;$M$3),0,1))</f>
        <v>0</v>
      </c>
      <c r="N782" s="1" t="n">
        <f aca="false">IF(OR($N$1="",对接源_01水果!$C782="",对接源_01水果!$C782&lt;&gt;$N$1,对接源_01水果!$B782=""),0,IF(OR(N(对接源_01水果!$B782)&lt;$N$2,N(对接源_01水果!$B782)&gt;$N$3),0,1))</f>
        <v>0</v>
      </c>
      <c r="P782" s="1" t="n">
        <f aca="false">IF(AND($K782=1,AND(对接源_01水果!$X782="公司筐",N(对接源_01水果!$T782)&lt;&gt;0)),1,0)</f>
        <v>0</v>
      </c>
      <c r="Q782" s="1" t="n">
        <f aca="false">N(Q781)+$P782</f>
        <v>3</v>
      </c>
      <c r="R782" s="1" t="n">
        <f aca="false">IF(AND($K782=1,AND(对接源_01水果!$X782="公司筐",N(对接源_01水果!$U782)&lt;&gt;0)),1,0)</f>
        <v>0</v>
      </c>
      <c r="S782" s="1" t="n">
        <f aca="false">N(S781)+$R782</f>
        <v>0</v>
      </c>
      <c r="T782" s="1" t="n">
        <f aca="false">IF(AND($K782=1,AND(对接源_01水果!$X782="公司筐",N(对接源_01水果!$V782)&lt;&gt;0)),1,0)</f>
        <v>0</v>
      </c>
      <c r="U782" s="1" t="n">
        <f aca="false">N(U781)+$T782</f>
        <v>28</v>
      </c>
      <c r="V782" s="1" t="n">
        <f aca="false">IF(AND($L782=1,AND(对接源_01水果!$X782="自备筐",N(对接源_01水果!$V782)&lt;&gt;0)),1,0)</f>
        <v>0</v>
      </c>
      <c r="W782" s="1" t="n">
        <f aca="false">N(W781)+$V782</f>
        <v>7</v>
      </c>
      <c r="X782" s="1" t="n">
        <f aca="false">IF(AND($L782=1,AND(对接源_01水果!$X782="自备筐",N(对接源_01水果!$T782)&lt;&gt;0)),1,0)</f>
        <v>0</v>
      </c>
      <c r="Y782" s="1" t="n">
        <f aca="false">N(Y781)+$X782</f>
        <v>0</v>
      </c>
      <c r="Z782" s="1" t="n">
        <f aca="false">IF(AND($M782=1,对接源_01水果!$D782="原料入库"),1,0)</f>
        <v>0</v>
      </c>
      <c r="AA782" s="1" t="n">
        <f aca="false">N(AA781)+$Z782</f>
        <v>30</v>
      </c>
      <c r="AB782" s="1" t="n">
        <f aca="false">IF(AND($M782=1,LEFT(对接源_01水果!$D782,4)="原料出库"),1,0)</f>
        <v>0</v>
      </c>
      <c r="AC782" s="1" t="n">
        <f aca="false">N(AC781)+$AB782</f>
        <v>19</v>
      </c>
      <c r="AD782" s="1" t="n">
        <f aca="false">IF(AND($M782=1,LEFT(对接源_01水果!$D782,4)="成品出库"),1,0)</f>
        <v>0</v>
      </c>
      <c r="AE782" s="1" t="n">
        <f aca="false">N(AE781)+$AD782</f>
        <v>38</v>
      </c>
      <c r="AF782" s="1" t="n">
        <f aca="false">IF(AND($N782=1,AND(LEFT(对接源_01水果!$D782,4)="包装物料",N(对接源_01水果!$K782)&lt;&gt;0)),1,0)</f>
        <v>0</v>
      </c>
      <c r="AG782" s="90" t="str">
        <f aca="false">IF(对接源_01水果!$AC782="","",对接源_01水果!$AC782)</f>
        <v/>
      </c>
      <c r="AH782" s="1" t="n">
        <f aca="false">IF(AND($N782=1,AND(LEFT(对接源_01水果!$D782,3)="周转筐",N(对接源_01水果!$K782)&lt;&gt;0)),1,0)</f>
        <v>0</v>
      </c>
      <c r="AI782" s="90" t="n">
        <f aca="false">IF(AG782="",0,IF(MATCH(AG782,$AG$4:$AG$1203,0)=ROW()-3,1,0))</f>
        <v>0</v>
      </c>
      <c r="AJ782" s="90" t="n">
        <f aca="false">N(AJ781)+AI782</f>
        <v>4</v>
      </c>
      <c r="AK782" s="1" t="n">
        <f aca="false">N(AK781)+$AJ782</f>
        <v>1988</v>
      </c>
    </row>
    <row r="783" customFormat="false" ht="13.5" hidden="false" customHeight="false" outlineLevel="0" collapsed="false">
      <c r="A783" s="1" t="str">
        <f aca="false">IF(对接源_01水果!$C783="","",对接源_01水果!$C783)</f>
        <v/>
      </c>
      <c r="B783" s="1" t="n">
        <f aca="false">IF(A783="",0,IF(MATCH(A783,$A$4:$A$2403,0)=ROW()-3,1,0))</f>
        <v>0</v>
      </c>
      <c r="C783" s="1" t="n">
        <f aca="false">N(C782)+B783</f>
        <v>13</v>
      </c>
      <c r="K783" s="1" t="n">
        <f aca="false">IF(OR($K$1="",对接源_01水果!$C783="",对接源_01水果!$C783&lt;&gt;$K$1,对接源_01水果!$B783=""),0,IF(OR(N(对接源_01水果!$B783)&lt;$K$2,N(对接源_01水果!$B783)&gt;$K$3),0,1))</f>
        <v>0</v>
      </c>
      <c r="L783" s="1" t="n">
        <f aca="false">IF(OR($L$1="",对接源_01水果!$C783="",对接源_01水果!$C783&lt;&gt;$L$1,对接源_01水果!$B783=""),0,IF(OR(N(对接源_01水果!$B783)&lt;$L$2,N(对接源_01水果!$B783)&gt;$L$3),0,1))</f>
        <v>0</v>
      </c>
      <c r="M783" s="1" t="n">
        <f aca="false">IF(OR($M$1="",对接源_01水果!$C783="",对接源_01水果!$C783&lt;&gt;$M$1,对接源_01水果!$B783=""),0,IF(OR(N(对接源_01水果!$B783)&lt;$M$2,N(对接源_01水果!$B783)&gt;$M$3),0,1))</f>
        <v>0</v>
      </c>
      <c r="N783" s="1" t="n">
        <f aca="false">IF(OR($N$1="",对接源_01水果!$C783="",对接源_01水果!$C783&lt;&gt;$N$1,对接源_01水果!$B783=""),0,IF(OR(N(对接源_01水果!$B783)&lt;$N$2,N(对接源_01水果!$B783)&gt;$N$3),0,1))</f>
        <v>0</v>
      </c>
      <c r="P783" s="1" t="n">
        <f aca="false">IF(AND($K783=1,AND(对接源_01水果!$X783="公司筐",N(对接源_01水果!$T783)&lt;&gt;0)),1,0)</f>
        <v>0</v>
      </c>
      <c r="Q783" s="1" t="n">
        <f aca="false">N(Q782)+$P783</f>
        <v>3</v>
      </c>
      <c r="R783" s="1" t="n">
        <f aca="false">IF(AND($K783=1,AND(对接源_01水果!$X783="公司筐",N(对接源_01水果!$U783)&lt;&gt;0)),1,0)</f>
        <v>0</v>
      </c>
      <c r="S783" s="1" t="n">
        <f aca="false">N(S782)+$R783</f>
        <v>0</v>
      </c>
      <c r="T783" s="1" t="n">
        <f aca="false">IF(AND($K783=1,AND(对接源_01水果!$X783="公司筐",N(对接源_01水果!$V783)&lt;&gt;0)),1,0)</f>
        <v>0</v>
      </c>
      <c r="U783" s="1" t="n">
        <f aca="false">N(U782)+$T783</f>
        <v>28</v>
      </c>
      <c r="V783" s="1" t="n">
        <f aca="false">IF(AND($L783=1,AND(对接源_01水果!$X783="自备筐",N(对接源_01水果!$V783)&lt;&gt;0)),1,0)</f>
        <v>0</v>
      </c>
      <c r="W783" s="1" t="n">
        <f aca="false">N(W782)+$V783</f>
        <v>7</v>
      </c>
      <c r="X783" s="1" t="n">
        <f aca="false">IF(AND($L783=1,AND(对接源_01水果!$X783="自备筐",N(对接源_01水果!$T783)&lt;&gt;0)),1,0)</f>
        <v>0</v>
      </c>
      <c r="Y783" s="1" t="n">
        <f aca="false">N(Y782)+$X783</f>
        <v>0</v>
      </c>
      <c r="Z783" s="1" t="n">
        <f aca="false">IF(AND($M783=1,对接源_01水果!$D783="原料入库"),1,0)</f>
        <v>0</v>
      </c>
      <c r="AA783" s="1" t="n">
        <f aca="false">N(AA782)+$Z783</f>
        <v>30</v>
      </c>
      <c r="AB783" s="1" t="n">
        <f aca="false">IF(AND($M783=1,LEFT(对接源_01水果!$D783,4)="原料出库"),1,0)</f>
        <v>0</v>
      </c>
      <c r="AC783" s="1" t="n">
        <f aca="false">N(AC782)+$AB783</f>
        <v>19</v>
      </c>
      <c r="AD783" s="1" t="n">
        <f aca="false">IF(AND($M783=1,LEFT(对接源_01水果!$D783,4)="成品出库"),1,0)</f>
        <v>0</v>
      </c>
      <c r="AE783" s="1" t="n">
        <f aca="false">N(AE782)+$AD783</f>
        <v>38</v>
      </c>
      <c r="AF783" s="1" t="n">
        <f aca="false">IF(AND($N783=1,AND(LEFT(对接源_01水果!$D783,4)="包装物料",N(对接源_01水果!$K783)&lt;&gt;0)),1,0)</f>
        <v>0</v>
      </c>
      <c r="AG783" s="90" t="str">
        <f aca="false">IF(对接源_01水果!$AC783="","",对接源_01水果!$AC783)</f>
        <v/>
      </c>
      <c r="AH783" s="1" t="n">
        <f aca="false">IF(AND($N783=1,AND(LEFT(对接源_01水果!$D783,3)="周转筐",N(对接源_01水果!$K783)&lt;&gt;0)),1,0)</f>
        <v>0</v>
      </c>
      <c r="AI783" s="90" t="n">
        <f aca="false">IF(AG783="",0,IF(MATCH(AG783,$AG$4:$AG$1203,0)=ROW()-3,1,0))</f>
        <v>0</v>
      </c>
      <c r="AJ783" s="90" t="n">
        <f aca="false">N(AJ782)+AI783</f>
        <v>4</v>
      </c>
      <c r="AK783" s="1" t="n">
        <f aca="false">N(AK782)+$AJ783</f>
        <v>1992</v>
      </c>
    </row>
    <row r="784" customFormat="false" ht="13.5" hidden="false" customHeight="false" outlineLevel="0" collapsed="false">
      <c r="A784" s="1" t="str">
        <f aca="false">IF(对接源_01水果!$C784="","",对接源_01水果!$C784)</f>
        <v/>
      </c>
      <c r="B784" s="1" t="n">
        <f aca="false">IF(A784="",0,IF(MATCH(A784,$A$4:$A$2403,0)=ROW()-3,1,0))</f>
        <v>0</v>
      </c>
      <c r="C784" s="1" t="n">
        <f aca="false">N(C783)+B784</f>
        <v>13</v>
      </c>
      <c r="K784" s="1" t="n">
        <f aca="false">IF(OR($K$1="",对接源_01水果!$C784="",对接源_01水果!$C784&lt;&gt;$K$1,对接源_01水果!$B784=""),0,IF(OR(N(对接源_01水果!$B784)&lt;$K$2,N(对接源_01水果!$B784)&gt;$K$3),0,1))</f>
        <v>0</v>
      </c>
      <c r="L784" s="1" t="n">
        <f aca="false">IF(OR($L$1="",对接源_01水果!$C784="",对接源_01水果!$C784&lt;&gt;$L$1,对接源_01水果!$B784=""),0,IF(OR(N(对接源_01水果!$B784)&lt;$L$2,N(对接源_01水果!$B784)&gt;$L$3),0,1))</f>
        <v>0</v>
      </c>
      <c r="M784" s="1" t="n">
        <f aca="false">IF(OR($M$1="",对接源_01水果!$C784="",对接源_01水果!$C784&lt;&gt;$M$1,对接源_01水果!$B784=""),0,IF(OR(N(对接源_01水果!$B784)&lt;$M$2,N(对接源_01水果!$B784)&gt;$M$3),0,1))</f>
        <v>0</v>
      </c>
      <c r="N784" s="1" t="n">
        <f aca="false">IF(OR($N$1="",对接源_01水果!$C784="",对接源_01水果!$C784&lt;&gt;$N$1,对接源_01水果!$B784=""),0,IF(OR(N(对接源_01水果!$B784)&lt;$N$2,N(对接源_01水果!$B784)&gt;$N$3),0,1))</f>
        <v>0</v>
      </c>
      <c r="P784" s="1" t="n">
        <f aca="false">IF(AND($K784=1,AND(对接源_01水果!$X784="公司筐",N(对接源_01水果!$T784)&lt;&gt;0)),1,0)</f>
        <v>0</v>
      </c>
      <c r="Q784" s="1" t="n">
        <f aca="false">N(Q783)+$P784</f>
        <v>3</v>
      </c>
      <c r="R784" s="1" t="n">
        <f aca="false">IF(AND($K784=1,AND(对接源_01水果!$X784="公司筐",N(对接源_01水果!$U784)&lt;&gt;0)),1,0)</f>
        <v>0</v>
      </c>
      <c r="S784" s="1" t="n">
        <f aca="false">N(S783)+$R784</f>
        <v>0</v>
      </c>
      <c r="T784" s="1" t="n">
        <f aca="false">IF(AND($K784=1,AND(对接源_01水果!$X784="公司筐",N(对接源_01水果!$V784)&lt;&gt;0)),1,0)</f>
        <v>0</v>
      </c>
      <c r="U784" s="1" t="n">
        <f aca="false">N(U783)+$T784</f>
        <v>28</v>
      </c>
      <c r="V784" s="1" t="n">
        <f aca="false">IF(AND($L784=1,AND(对接源_01水果!$X784="自备筐",N(对接源_01水果!$V784)&lt;&gt;0)),1,0)</f>
        <v>0</v>
      </c>
      <c r="W784" s="1" t="n">
        <f aca="false">N(W783)+$V784</f>
        <v>7</v>
      </c>
      <c r="X784" s="1" t="n">
        <f aca="false">IF(AND($L784=1,AND(对接源_01水果!$X784="自备筐",N(对接源_01水果!$T784)&lt;&gt;0)),1,0)</f>
        <v>0</v>
      </c>
      <c r="Y784" s="1" t="n">
        <f aca="false">N(Y783)+$X784</f>
        <v>0</v>
      </c>
      <c r="Z784" s="1" t="n">
        <f aca="false">IF(AND($M784=1,对接源_01水果!$D784="原料入库"),1,0)</f>
        <v>0</v>
      </c>
      <c r="AA784" s="1" t="n">
        <f aca="false">N(AA783)+$Z784</f>
        <v>30</v>
      </c>
      <c r="AB784" s="1" t="n">
        <f aca="false">IF(AND($M784=1,LEFT(对接源_01水果!$D784,4)="原料出库"),1,0)</f>
        <v>0</v>
      </c>
      <c r="AC784" s="1" t="n">
        <f aca="false">N(AC783)+$AB784</f>
        <v>19</v>
      </c>
      <c r="AD784" s="1" t="n">
        <f aca="false">IF(AND($M784=1,LEFT(对接源_01水果!$D784,4)="成品出库"),1,0)</f>
        <v>0</v>
      </c>
      <c r="AE784" s="1" t="n">
        <f aca="false">N(AE783)+$AD784</f>
        <v>38</v>
      </c>
      <c r="AF784" s="1" t="n">
        <f aca="false">IF(AND($N784=1,AND(LEFT(对接源_01水果!$D784,4)="包装物料",N(对接源_01水果!$K784)&lt;&gt;0)),1,0)</f>
        <v>0</v>
      </c>
      <c r="AG784" s="90" t="str">
        <f aca="false">IF(对接源_01水果!$AC784="","",对接源_01水果!$AC784)</f>
        <v/>
      </c>
      <c r="AH784" s="1" t="n">
        <f aca="false">IF(AND($N784=1,AND(LEFT(对接源_01水果!$D784,3)="周转筐",N(对接源_01水果!$K784)&lt;&gt;0)),1,0)</f>
        <v>0</v>
      </c>
      <c r="AI784" s="90" t="n">
        <f aca="false">IF(AG784="",0,IF(MATCH(AG784,$AG$4:$AG$1203,0)=ROW()-3,1,0))</f>
        <v>0</v>
      </c>
      <c r="AJ784" s="90" t="n">
        <f aca="false">N(AJ783)+AI784</f>
        <v>4</v>
      </c>
      <c r="AK784" s="1" t="n">
        <f aca="false">N(AK783)+$AJ784</f>
        <v>1996</v>
      </c>
    </row>
    <row r="785" customFormat="false" ht="13.5" hidden="false" customHeight="false" outlineLevel="0" collapsed="false">
      <c r="A785" s="1" t="str">
        <f aca="false">IF(对接源_01水果!$C785="","",对接源_01水果!$C785)</f>
        <v/>
      </c>
      <c r="B785" s="1" t="n">
        <f aca="false">IF(A785="",0,IF(MATCH(A785,$A$4:$A$2403,0)=ROW()-3,1,0))</f>
        <v>0</v>
      </c>
      <c r="C785" s="1" t="n">
        <f aca="false">N(C784)+B785</f>
        <v>13</v>
      </c>
      <c r="K785" s="1" t="n">
        <f aca="false">IF(OR($K$1="",对接源_01水果!$C785="",对接源_01水果!$C785&lt;&gt;$K$1,对接源_01水果!$B785=""),0,IF(OR(N(对接源_01水果!$B785)&lt;$K$2,N(对接源_01水果!$B785)&gt;$K$3),0,1))</f>
        <v>0</v>
      </c>
      <c r="L785" s="1" t="n">
        <f aca="false">IF(OR($L$1="",对接源_01水果!$C785="",对接源_01水果!$C785&lt;&gt;$L$1,对接源_01水果!$B785=""),0,IF(OR(N(对接源_01水果!$B785)&lt;$L$2,N(对接源_01水果!$B785)&gt;$L$3),0,1))</f>
        <v>0</v>
      </c>
      <c r="M785" s="1" t="n">
        <f aca="false">IF(OR($M$1="",对接源_01水果!$C785="",对接源_01水果!$C785&lt;&gt;$M$1,对接源_01水果!$B785=""),0,IF(OR(N(对接源_01水果!$B785)&lt;$M$2,N(对接源_01水果!$B785)&gt;$M$3),0,1))</f>
        <v>0</v>
      </c>
      <c r="N785" s="1" t="n">
        <f aca="false">IF(OR($N$1="",对接源_01水果!$C785="",对接源_01水果!$C785&lt;&gt;$N$1,对接源_01水果!$B785=""),0,IF(OR(N(对接源_01水果!$B785)&lt;$N$2,N(对接源_01水果!$B785)&gt;$N$3),0,1))</f>
        <v>0</v>
      </c>
      <c r="P785" s="1" t="n">
        <f aca="false">IF(AND($K785=1,AND(对接源_01水果!$X785="公司筐",N(对接源_01水果!$T785)&lt;&gt;0)),1,0)</f>
        <v>0</v>
      </c>
      <c r="Q785" s="1" t="n">
        <f aca="false">N(Q784)+$P785</f>
        <v>3</v>
      </c>
      <c r="R785" s="1" t="n">
        <f aca="false">IF(AND($K785=1,AND(对接源_01水果!$X785="公司筐",N(对接源_01水果!$U785)&lt;&gt;0)),1,0)</f>
        <v>0</v>
      </c>
      <c r="S785" s="1" t="n">
        <f aca="false">N(S784)+$R785</f>
        <v>0</v>
      </c>
      <c r="T785" s="1" t="n">
        <f aca="false">IF(AND($K785=1,AND(对接源_01水果!$X785="公司筐",N(对接源_01水果!$V785)&lt;&gt;0)),1,0)</f>
        <v>0</v>
      </c>
      <c r="U785" s="1" t="n">
        <f aca="false">N(U784)+$T785</f>
        <v>28</v>
      </c>
      <c r="V785" s="1" t="n">
        <f aca="false">IF(AND($L785=1,AND(对接源_01水果!$X785="自备筐",N(对接源_01水果!$V785)&lt;&gt;0)),1,0)</f>
        <v>0</v>
      </c>
      <c r="W785" s="1" t="n">
        <f aca="false">N(W784)+$V785</f>
        <v>7</v>
      </c>
      <c r="X785" s="1" t="n">
        <f aca="false">IF(AND($L785=1,AND(对接源_01水果!$X785="自备筐",N(对接源_01水果!$T785)&lt;&gt;0)),1,0)</f>
        <v>0</v>
      </c>
      <c r="Y785" s="1" t="n">
        <f aca="false">N(Y784)+$X785</f>
        <v>0</v>
      </c>
      <c r="Z785" s="1" t="n">
        <f aca="false">IF(AND($M785=1,对接源_01水果!$D785="原料入库"),1,0)</f>
        <v>0</v>
      </c>
      <c r="AA785" s="1" t="n">
        <f aca="false">N(AA784)+$Z785</f>
        <v>30</v>
      </c>
      <c r="AB785" s="1" t="n">
        <f aca="false">IF(AND($M785=1,LEFT(对接源_01水果!$D785,4)="原料出库"),1,0)</f>
        <v>0</v>
      </c>
      <c r="AC785" s="1" t="n">
        <f aca="false">N(AC784)+$AB785</f>
        <v>19</v>
      </c>
      <c r="AD785" s="1" t="n">
        <f aca="false">IF(AND($M785=1,LEFT(对接源_01水果!$D785,4)="成品出库"),1,0)</f>
        <v>0</v>
      </c>
      <c r="AE785" s="1" t="n">
        <f aca="false">N(AE784)+$AD785</f>
        <v>38</v>
      </c>
      <c r="AF785" s="1" t="n">
        <f aca="false">IF(AND($N785=1,AND(LEFT(对接源_01水果!$D785,4)="包装物料",N(对接源_01水果!$K785)&lt;&gt;0)),1,0)</f>
        <v>0</v>
      </c>
      <c r="AG785" s="90" t="str">
        <f aca="false">IF(对接源_01水果!$AC785="","",对接源_01水果!$AC785)</f>
        <v/>
      </c>
      <c r="AH785" s="1" t="n">
        <f aca="false">IF(AND($N785=1,AND(LEFT(对接源_01水果!$D785,3)="周转筐",N(对接源_01水果!$K785)&lt;&gt;0)),1,0)</f>
        <v>0</v>
      </c>
      <c r="AI785" s="90" t="n">
        <f aca="false">IF(AG785="",0,IF(MATCH(AG785,$AG$4:$AG$1203,0)=ROW()-3,1,0))</f>
        <v>0</v>
      </c>
      <c r="AJ785" s="90" t="n">
        <f aca="false">N(AJ784)+AI785</f>
        <v>4</v>
      </c>
      <c r="AK785" s="1" t="n">
        <f aca="false">N(AK784)+$AJ785</f>
        <v>2000</v>
      </c>
    </row>
    <row r="786" customFormat="false" ht="13.5" hidden="false" customHeight="false" outlineLevel="0" collapsed="false">
      <c r="A786" s="1" t="str">
        <f aca="false">IF(对接源_01水果!$C786="","",对接源_01水果!$C786)</f>
        <v/>
      </c>
      <c r="B786" s="1" t="n">
        <f aca="false">IF(A786="",0,IF(MATCH(A786,$A$4:$A$2403,0)=ROW()-3,1,0))</f>
        <v>0</v>
      </c>
      <c r="C786" s="1" t="n">
        <f aca="false">N(C785)+B786</f>
        <v>13</v>
      </c>
      <c r="K786" s="1" t="n">
        <f aca="false">IF(OR($K$1="",对接源_01水果!$C786="",对接源_01水果!$C786&lt;&gt;$K$1,对接源_01水果!$B786=""),0,IF(OR(N(对接源_01水果!$B786)&lt;$K$2,N(对接源_01水果!$B786)&gt;$K$3),0,1))</f>
        <v>0</v>
      </c>
      <c r="L786" s="1" t="n">
        <f aca="false">IF(OR($L$1="",对接源_01水果!$C786="",对接源_01水果!$C786&lt;&gt;$L$1,对接源_01水果!$B786=""),0,IF(OR(N(对接源_01水果!$B786)&lt;$L$2,N(对接源_01水果!$B786)&gt;$L$3),0,1))</f>
        <v>0</v>
      </c>
      <c r="M786" s="1" t="n">
        <f aca="false">IF(OR($M$1="",对接源_01水果!$C786="",对接源_01水果!$C786&lt;&gt;$M$1,对接源_01水果!$B786=""),0,IF(OR(N(对接源_01水果!$B786)&lt;$M$2,N(对接源_01水果!$B786)&gt;$M$3),0,1))</f>
        <v>0</v>
      </c>
      <c r="N786" s="1" t="n">
        <f aca="false">IF(OR($N$1="",对接源_01水果!$C786="",对接源_01水果!$C786&lt;&gt;$N$1,对接源_01水果!$B786=""),0,IF(OR(N(对接源_01水果!$B786)&lt;$N$2,N(对接源_01水果!$B786)&gt;$N$3),0,1))</f>
        <v>0</v>
      </c>
      <c r="P786" s="1" t="n">
        <f aca="false">IF(AND($K786=1,AND(对接源_01水果!$X786="公司筐",N(对接源_01水果!$T786)&lt;&gt;0)),1,0)</f>
        <v>0</v>
      </c>
      <c r="Q786" s="1" t="n">
        <f aca="false">N(Q785)+$P786</f>
        <v>3</v>
      </c>
      <c r="R786" s="1" t="n">
        <f aca="false">IF(AND($K786=1,AND(对接源_01水果!$X786="公司筐",N(对接源_01水果!$U786)&lt;&gt;0)),1,0)</f>
        <v>0</v>
      </c>
      <c r="S786" s="1" t="n">
        <f aca="false">N(S785)+$R786</f>
        <v>0</v>
      </c>
      <c r="T786" s="1" t="n">
        <f aca="false">IF(AND($K786=1,AND(对接源_01水果!$X786="公司筐",N(对接源_01水果!$V786)&lt;&gt;0)),1,0)</f>
        <v>0</v>
      </c>
      <c r="U786" s="1" t="n">
        <f aca="false">N(U785)+$T786</f>
        <v>28</v>
      </c>
      <c r="V786" s="1" t="n">
        <f aca="false">IF(AND($L786=1,AND(对接源_01水果!$X786="自备筐",N(对接源_01水果!$V786)&lt;&gt;0)),1,0)</f>
        <v>0</v>
      </c>
      <c r="W786" s="1" t="n">
        <f aca="false">N(W785)+$V786</f>
        <v>7</v>
      </c>
      <c r="X786" s="1" t="n">
        <f aca="false">IF(AND($L786=1,AND(对接源_01水果!$X786="自备筐",N(对接源_01水果!$T786)&lt;&gt;0)),1,0)</f>
        <v>0</v>
      </c>
      <c r="Y786" s="1" t="n">
        <f aca="false">N(Y785)+$X786</f>
        <v>0</v>
      </c>
      <c r="Z786" s="1" t="n">
        <f aca="false">IF(AND($M786=1,对接源_01水果!$D786="原料入库"),1,0)</f>
        <v>0</v>
      </c>
      <c r="AA786" s="1" t="n">
        <f aca="false">N(AA785)+$Z786</f>
        <v>30</v>
      </c>
      <c r="AB786" s="1" t="n">
        <f aca="false">IF(AND($M786=1,LEFT(对接源_01水果!$D786,4)="原料出库"),1,0)</f>
        <v>0</v>
      </c>
      <c r="AC786" s="1" t="n">
        <f aca="false">N(AC785)+$AB786</f>
        <v>19</v>
      </c>
      <c r="AD786" s="1" t="n">
        <f aca="false">IF(AND($M786=1,LEFT(对接源_01水果!$D786,4)="成品出库"),1,0)</f>
        <v>0</v>
      </c>
      <c r="AE786" s="1" t="n">
        <f aca="false">N(AE785)+$AD786</f>
        <v>38</v>
      </c>
      <c r="AF786" s="1" t="n">
        <f aca="false">IF(AND($N786=1,AND(LEFT(对接源_01水果!$D786,4)="包装物料",N(对接源_01水果!$K786)&lt;&gt;0)),1,0)</f>
        <v>0</v>
      </c>
      <c r="AG786" s="90" t="str">
        <f aca="false">IF(对接源_01水果!$AC786="","",对接源_01水果!$AC786)</f>
        <v/>
      </c>
      <c r="AH786" s="1" t="n">
        <f aca="false">IF(AND($N786=1,AND(LEFT(对接源_01水果!$D786,3)="周转筐",N(对接源_01水果!$K786)&lt;&gt;0)),1,0)</f>
        <v>0</v>
      </c>
      <c r="AI786" s="90" t="n">
        <f aca="false">IF(AG786="",0,IF(MATCH(AG786,$AG$4:$AG$1203,0)=ROW()-3,1,0))</f>
        <v>0</v>
      </c>
      <c r="AJ786" s="90" t="n">
        <f aca="false">N(AJ785)+AI786</f>
        <v>4</v>
      </c>
      <c r="AK786" s="1" t="n">
        <f aca="false">N(AK785)+$AJ786</f>
        <v>2004</v>
      </c>
    </row>
    <row r="787" customFormat="false" ht="13.5" hidden="false" customHeight="false" outlineLevel="0" collapsed="false">
      <c r="A787" s="1" t="str">
        <f aca="false">IF(对接源_01水果!$C787="","",对接源_01水果!$C787)</f>
        <v/>
      </c>
      <c r="B787" s="1" t="n">
        <f aca="false">IF(A787="",0,IF(MATCH(A787,$A$4:$A$2403,0)=ROW()-3,1,0))</f>
        <v>0</v>
      </c>
      <c r="C787" s="1" t="n">
        <f aca="false">N(C786)+B787</f>
        <v>13</v>
      </c>
      <c r="K787" s="1" t="n">
        <f aca="false">IF(OR($K$1="",对接源_01水果!$C787="",对接源_01水果!$C787&lt;&gt;$K$1,对接源_01水果!$B787=""),0,IF(OR(N(对接源_01水果!$B787)&lt;$K$2,N(对接源_01水果!$B787)&gt;$K$3),0,1))</f>
        <v>0</v>
      </c>
      <c r="L787" s="1" t="n">
        <f aca="false">IF(OR($L$1="",对接源_01水果!$C787="",对接源_01水果!$C787&lt;&gt;$L$1,对接源_01水果!$B787=""),0,IF(OR(N(对接源_01水果!$B787)&lt;$L$2,N(对接源_01水果!$B787)&gt;$L$3),0,1))</f>
        <v>0</v>
      </c>
      <c r="M787" s="1" t="n">
        <f aca="false">IF(OR($M$1="",对接源_01水果!$C787="",对接源_01水果!$C787&lt;&gt;$M$1,对接源_01水果!$B787=""),0,IF(OR(N(对接源_01水果!$B787)&lt;$M$2,N(对接源_01水果!$B787)&gt;$M$3),0,1))</f>
        <v>0</v>
      </c>
      <c r="N787" s="1" t="n">
        <f aca="false">IF(OR($N$1="",对接源_01水果!$C787="",对接源_01水果!$C787&lt;&gt;$N$1,对接源_01水果!$B787=""),0,IF(OR(N(对接源_01水果!$B787)&lt;$N$2,N(对接源_01水果!$B787)&gt;$N$3),0,1))</f>
        <v>0</v>
      </c>
      <c r="P787" s="1" t="n">
        <f aca="false">IF(AND($K787=1,AND(对接源_01水果!$X787="公司筐",N(对接源_01水果!$T787)&lt;&gt;0)),1,0)</f>
        <v>0</v>
      </c>
      <c r="Q787" s="1" t="n">
        <f aca="false">N(Q786)+$P787</f>
        <v>3</v>
      </c>
      <c r="R787" s="1" t="n">
        <f aca="false">IF(AND($K787=1,AND(对接源_01水果!$X787="公司筐",N(对接源_01水果!$U787)&lt;&gt;0)),1,0)</f>
        <v>0</v>
      </c>
      <c r="S787" s="1" t="n">
        <f aca="false">N(S786)+$R787</f>
        <v>0</v>
      </c>
      <c r="T787" s="1" t="n">
        <f aca="false">IF(AND($K787=1,AND(对接源_01水果!$X787="公司筐",N(对接源_01水果!$V787)&lt;&gt;0)),1,0)</f>
        <v>0</v>
      </c>
      <c r="U787" s="1" t="n">
        <f aca="false">N(U786)+$T787</f>
        <v>28</v>
      </c>
      <c r="V787" s="1" t="n">
        <f aca="false">IF(AND($L787=1,AND(对接源_01水果!$X787="自备筐",N(对接源_01水果!$V787)&lt;&gt;0)),1,0)</f>
        <v>0</v>
      </c>
      <c r="W787" s="1" t="n">
        <f aca="false">N(W786)+$V787</f>
        <v>7</v>
      </c>
      <c r="X787" s="1" t="n">
        <f aca="false">IF(AND($L787=1,AND(对接源_01水果!$X787="自备筐",N(对接源_01水果!$T787)&lt;&gt;0)),1,0)</f>
        <v>0</v>
      </c>
      <c r="Y787" s="1" t="n">
        <f aca="false">N(Y786)+$X787</f>
        <v>0</v>
      </c>
      <c r="Z787" s="1" t="n">
        <f aca="false">IF(AND($M787=1,对接源_01水果!$D787="原料入库"),1,0)</f>
        <v>0</v>
      </c>
      <c r="AA787" s="1" t="n">
        <f aca="false">N(AA786)+$Z787</f>
        <v>30</v>
      </c>
      <c r="AB787" s="1" t="n">
        <f aca="false">IF(AND($M787=1,LEFT(对接源_01水果!$D787,4)="原料出库"),1,0)</f>
        <v>0</v>
      </c>
      <c r="AC787" s="1" t="n">
        <f aca="false">N(AC786)+$AB787</f>
        <v>19</v>
      </c>
      <c r="AD787" s="1" t="n">
        <f aca="false">IF(AND($M787=1,LEFT(对接源_01水果!$D787,4)="成品出库"),1,0)</f>
        <v>0</v>
      </c>
      <c r="AE787" s="1" t="n">
        <f aca="false">N(AE786)+$AD787</f>
        <v>38</v>
      </c>
      <c r="AF787" s="1" t="n">
        <f aca="false">IF(AND($N787=1,AND(LEFT(对接源_01水果!$D787,4)="包装物料",N(对接源_01水果!$K787)&lt;&gt;0)),1,0)</f>
        <v>0</v>
      </c>
      <c r="AG787" s="90" t="str">
        <f aca="false">IF(对接源_01水果!$AC787="","",对接源_01水果!$AC787)</f>
        <v/>
      </c>
      <c r="AH787" s="1" t="n">
        <f aca="false">IF(AND($N787=1,AND(LEFT(对接源_01水果!$D787,3)="周转筐",N(对接源_01水果!$K787)&lt;&gt;0)),1,0)</f>
        <v>0</v>
      </c>
      <c r="AI787" s="90" t="n">
        <f aca="false">IF(AG787="",0,IF(MATCH(AG787,$AG$4:$AG$1203,0)=ROW()-3,1,0))</f>
        <v>0</v>
      </c>
      <c r="AJ787" s="90" t="n">
        <f aca="false">N(AJ786)+AI787</f>
        <v>4</v>
      </c>
      <c r="AK787" s="1" t="n">
        <f aca="false">N(AK786)+$AJ787</f>
        <v>2008</v>
      </c>
    </row>
    <row r="788" customFormat="false" ht="13.5" hidden="false" customHeight="false" outlineLevel="0" collapsed="false">
      <c r="A788" s="1" t="str">
        <f aca="false">IF(对接源_01水果!$C788="","",对接源_01水果!$C788)</f>
        <v/>
      </c>
      <c r="B788" s="1" t="n">
        <f aca="false">IF(A788="",0,IF(MATCH(A788,$A$4:$A$2403,0)=ROW()-3,1,0))</f>
        <v>0</v>
      </c>
      <c r="C788" s="1" t="n">
        <f aca="false">N(C787)+B788</f>
        <v>13</v>
      </c>
      <c r="K788" s="1" t="n">
        <f aca="false">IF(OR($K$1="",对接源_01水果!$C788="",对接源_01水果!$C788&lt;&gt;$K$1,对接源_01水果!$B788=""),0,IF(OR(N(对接源_01水果!$B788)&lt;$K$2,N(对接源_01水果!$B788)&gt;$K$3),0,1))</f>
        <v>0</v>
      </c>
      <c r="L788" s="1" t="n">
        <f aca="false">IF(OR($L$1="",对接源_01水果!$C788="",对接源_01水果!$C788&lt;&gt;$L$1,对接源_01水果!$B788=""),0,IF(OR(N(对接源_01水果!$B788)&lt;$L$2,N(对接源_01水果!$B788)&gt;$L$3),0,1))</f>
        <v>0</v>
      </c>
      <c r="M788" s="1" t="n">
        <f aca="false">IF(OR($M$1="",对接源_01水果!$C788="",对接源_01水果!$C788&lt;&gt;$M$1,对接源_01水果!$B788=""),0,IF(OR(N(对接源_01水果!$B788)&lt;$M$2,N(对接源_01水果!$B788)&gt;$M$3),0,1))</f>
        <v>0</v>
      </c>
      <c r="N788" s="1" t="n">
        <f aca="false">IF(OR($N$1="",对接源_01水果!$C788="",对接源_01水果!$C788&lt;&gt;$N$1,对接源_01水果!$B788=""),0,IF(OR(N(对接源_01水果!$B788)&lt;$N$2,N(对接源_01水果!$B788)&gt;$N$3),0,1))</f>
        <v>0</v>
      </c>
      <c r="P788" s="1" t="n">
        <f aca="false">IF(AND($K788=1,AND(对接源_01水果!$X788="公司筐",N(对接源_01水果!$T788)&lt;&gt;0)),1,0)</f>
        <v>0</v>
      </c>
      <c r="Q788" s="1" t="n">
        <f aca="false">N(Q787)+$P788</f>
        <v>3</v>
      </c>
      <c r="R788" s="1" t="n">
        <f aca="false">IF(AND($K788=1,AND(对接源_01水果!$X788="公司筐",N(对接源_01水果!$U788)&lt;&gt;0)),1,0)</f>
        <v>0</v>
      </c>
      <c r="S788" s="1" t="n">
        <f aca="false">N(S787)+$R788</f>
        <v>0</v>
      </c>
      <c r="T788" s="1" t="n">
        <f aca="false">IF(AND($K788=1,AND(对接源_01水果!$X788="公司筐",N(对接源_01水果!$V788)&lt;&gt;0)),1,0)</f>
        <v>0</v>
      </c>
      <c r="U788" s="1" t="n">
        <f aca="false">N(U787)+$T788</f>
        <v>28</v>
      </c>
      <c r="V788" s="1" t="n">
        <f aca="false">IF(AND($L788=1,AND(对接源_01水果!$X788="自备筐",N(对接源_01水果!$V788)&lt;&gt;0)),1,0)</f>
        <v>0</v>
      </c>
      <c r="W788" s="1" t="n">
        <f aca="false">N(W787)+$V788</f>
        <v>7</v>
      </c>
      <c r="X788" s="1" t="n">
        <f aca="false">IF(AND($L788=1,AND(对接源_01水果!$X788="自备筐",N(对接源_01水果!$T788)&lt;&gt;0)),1,0)</f>
        <v>0</v>
      </c>
      <c r="Y788" s="1" t="n">
        <f aca="false">N(Y787)+$X788</f>
        <v>0</v>
      </c>
      <c r="Z788" s="1" t="n">
        <f aca="false">IF(AND($M788=1,对接源_01水果!$D788="原料入库"),1,0)</f>
        <v>0</v>
      </c>
      <c r="AA788" s="1" t="n">
        <f aca="false">N(AA787)+$Z788</f>
        <v>30</v>
      </c>
      <c r="AB788" s="1" t="n">
        <f aca="false">IF(AND($M788=1,LEFT(对接源_01水果!$D788,4)="原料出库"),1,0)</f>
        <v>0</v>
      </c>
      <c r="AC788" s="1" t="n">
        <f aca="false">N(AC787)+$AB788</f>
        <v>19</v>
      </c>
      <c r="AD788" s="1" t="n">
        <f aca="false">IF(AND($M788=1,LEFT(对接源_01水果!$D788,4)="成品出库"),1,0)</f>
        <v>0</v>
      </c>
      <c r="AE788" s="1" t="n">
        <f aca="false">N(AE787)+$AD788</f>
        <v>38</v>
      </c>
      <c r="AF788" s="1" t="n">
        <f aca="false">IF(AND($N788=1,AND(LEFT(对接源_01水果!$D788,4)="包装物料",N(对接源_01水果!$K788)&lt;&gt;0)),1,0)</f>
        <v>0</v>
      </c>
      <c r="AG788" s="90" t="str">
        <f aca="false">IF(对接源_01水果!$AC788="","",对接源_01水果!$AC788)</f>
        <v/>
      </c>
      <c r="AH788" s="1" t="n">
        <f aca="false">IF(AND($N788=1,AND(LEFT(对接源_01水果!$D788,3)="周转筐",N(对接源_01水果!$K788)&lt;&gt;0)),1,0)</f>
        <v>0</v>
      </c>
      <c r="AI788" s="90" t="n">
        <f aca="false">IF(AG788="",0,IF(MATCH(AG788,$AG$4:$AG$1203,0)=ROW()-3,1,0))</f>
        <v>0</v>
      </c>
      <c r="AJ788" s="90" t="n">
        <f aca="false">N(AJ787)+AI788</f>
        <v>4</v>
      </c>
      <c r="AK788" s="1" t="n">
        <f aca="false">N(AK787)+$AJ788</f>
        <v>2012</v>
      </c>
    </row>
    <row r="789" customFormat="false" ht="13.5" hidden="false" customHeight="false" outlineLevel="0" collapsed="false">
      <c r="A789" s="1" t="str">
        <f aca="false">IF(对接源_01水果!$C789="","",对接源_01水果!$C789)</f>
        <v/>
      </c>
      <c r="B789" s="1" t="n">
        <f aca="false">IF(A789="",0,IF(MATCH(A789,$A$4:$A$2403,0)=ROW()-3,1,0))</f>
        <v>0</v>
      </c>
      <c r="C789" s="1" t="n">
        <f aca="false">N(C788)+B789</f>
        <v>13</v>
      </c>
      <c r="K789" s="1" t="n">
        <f aca="false">IF(OR($K$1="",对接源_01水果!$C789="",对接源_01水果!$C789&lt;&gt;$K$1,对接源_01水果!$B789=""),0,IF(OR(N(对接源_01水果!$B789)&lt;$K$2,N(对接源_01水果!$B789)&gt;$K$3),0,1))</f>
        <v>0</v>
      </c>
      <c r="L789" s="1" t="n">
        <f aca="false">IF(OR($L$1="",对接源_01水果!$C789="",对接源_01水果!$C789&lt;&gt;$L$1,对接源_01水果!$B789=""),0,IF(OR(N(对接源_01水果!$B789)&lt;$L$2,N(对接源_01水果!$B789)&gt;$L$3),0,1))</f>
        <v>0</v>
      </c>
      <c r="M789" s="1" t="n">
        <f aca="false">IF(OR($M$1="",对接源_01水果!$C789="",对接源_01水果!$C789&lt;&gt;$M$1,对接源_01水果!$B789=""),0,IF(OR(N(对接源_01水果!$B789)&lt;$M$2,N(对接源_01水果!$B789)&gt;$M$3),0,1))</f>
        <v>0</v>
      </c>
      <c r="N789" s="1" t="n">
        <f aca="false">IF(OR($N$1="",对接源_01水果!$C789="",对接源_01水果!$C789&lt;&gt;$N$1,对接源_01水果!$B789=""),0,IF(OR(N(对接源_01水果!$B789)&lt;$N$2,N(对接源_01水果!$B789)&gt;$N$3),0,1))</f>
        <v>0</v>
      </c>
      <c r="P789" s="1" t="n">
        <f aca="false">IF(AND($K789=1,AND(对接源_01水果!$X789="公司筐",N(对接源_01水果!$T789)&lt;&gt;0)),1,0)</f>
        <v>0</v>
      </c>
      <c r="Q789" s="1" t="n">
        <f aca="false">N(Q788)+$P789</f>
        <v>3</v>
      </c>
      <c r="R789" s="1" t="n">
        <f aca="false">IF(AND($K789=1,AND(对接源_01水果!$X789="公司筐",N(对接源_01水果!$U789)&lt;&gt;0)),1,0)</f>
        <v>0</v>
      </c>
      <c r="S789" s="1" t="n">
        <f aca="false">N(S788)+$R789</f>
        <v>0</v>
      </c>
      <c r="T789" s="1" t="n">
        <f aca="false">IF(AND($K789=1,AND(对接源_01水果!$X789="公司筐",N(对接源_01水果!$V789)&lt;&gt;0)),1,0)</f>
        <v>0</v>
      </c>
      <c r="U789" s="1" t="n">
        <f aca="false">N(U788)+$T789</f>
        <v>28</v>
      </c>
      <c r="V789" s="1" t="n">
        <f aca="false">IF(AND($L789=1,AND(对接源_01水果!$X789="自备筐",N(对接源_01水果!$V789)&lt;&gt;0)),1,0)</f>
        <v>0</v>
      </c>
      <c r="W789" s="1" t="n">
        <f aca="false">N(W788)+$V789</f>
        <v>7</v>
      </c>
      <c r="X789" s="1" t="n">
        <f aca="false">IF(AND($L789=1,AND(对接源_01水果!$X789="自备筐",N(对接源_01水果!$T789)&lt;&gt;0)),1,0)</f>
        <v>0</v>
      </c>
      <c r="Y789" s="1" t="n">
        <f aca="false">N(Y788)+$X789</f>
        <v>0</v>
      </c>
      <c r="Z789" s="1" t="n">
        <f aca="false">IF(AND($M789=1,对接源_01水果!$D789="原料入库"),1,0)</f>
        <v>0</v>
      </c>
      <c r="AA789" s="1" t="n">
        <f aca="false">N(AA788)+$Z789</f>
        <v>30</v>
      </c>
      <c r="AB789" s="1" t="n">
        <f aca="false">IF(AND($M789=1,LEFT(对接源_01水果!$D789,4)="原料出库"),1,0)</f>
        <v>0</v>
      </c>
      <c r="AC789" s="1" t="n">
        <f aca="false">N(AC788)+$AB789</f>
        <v>19</v>
      </c>
      <c r="AD789" s="1" t="n">
        <f aca="false">IF(AND($M789=1,LEFT(对接源_01水果!$D789,4)="成品出库"),1,0)</f>
        <v>0</v>
      </c>
      <c r="AE789" s="1" t="n">
        <f aca="false">N(AE788)+$AD789</f>
        <v>38</v>
      </c>
      <c r="AF789" s="1" t="n">
        <f aca="false">IF(AND($N789=1,AND(LEFT(对接源_01水果!$D789,4)="包装物料",N(对接源_01水果!$K789)&lt;&gt;0)),1,0)</f>
        <v>0</v>
      </c>
      <c r="AG789" s="90" t="str">
        <f aca="false">IF(对接源_01水果!$AC789="","",对接源_01水果!$AC789)</f>
        <v/>
      </c>
      <c r="AH789" s="1" t="n">
        <f aca="false">IF(AND($N789=1,AND(LEFT(对接源_01水果!$D789,3)="周转筐",N(对接源_01水果!$K789)&lt;&gt;0)),1,0)</f>
        <v>0</v>
      </c>
      <c r="AI789" s="90" t="n">
        <f aca="false">IF(AG789="",0,IF(MATCH(AG789,$AG$4:$AG$1203,0)=ROW()-3,1,0))</f>
        <v>0</v>
      </c>
      <c r="AJ789" s="90" t="n">
        <f aca="false">N(AJ788)+AI789</f>
        <v>4</v>
      </c>
      <c r="AK789" s="1" t="n">
        <f aca="false">N(AK788)+$AJ789</f>
        <v>2016</v>
      </c>
    </row>
    <row r="790" customFormat="false" ht="13.5" hidden="false" customHeight="false" outlineLevel="0" collapsed="false">
      <c r="A790" s="1" t="str">
        <f aca="false">IF(对接源_01水果!$C790="","",对接源_01水果!$C790)</f>
        <v/>
      </c>
      <c r="B790" s="1" t="n">
        <f aca="false">IF(A790="",0,IF(MATCH(A790,$A$4:$A$2403,0)=ROW()-3,1,0))</f>
        <v>0</v>
      </c>
      <c r="C790" s="1" t="n">
        <f aca="false">N(C789)+B790</f>
        <v>13</v>
      </c>
      <c r="K790" s="1" t="n">
        <f aca="false">IF(OR($K$1="",对接源_01水果!$C790="",对接源_01水果!$C790&lt;&gt;$K$1,对接源_01水果!$B790=""),0,IF(OR(N(对接源_01水果!$B790)&lt;$K$2,N(对接源_01水果!$B790)&gt;$K$3),0,1))</f>
        <v>0</v>
      </c>
      <c r="L790" s="1" t="n">
        <f aca="false">IF(OR($L$1="",对接源_01水果!$C790="",对接源_01水果!$C790&lt;&gt;$L$1,对接源_01水果!$B790=""),0,IF(OR(N(对接源_01水果!$B790)&lt;$L$2,N(对接源_01水果!$B790)&gt;$L$3),0,1))</f>
        <v>0</v>
      </c>
      <c r="M790" s="1" t="n">
        <f aca="false">IF(OR($M$1="",对接源_01水果!$C790="",对接源_01水果!$C790&lt;&gt;$M$1,对接源_01水果!$B790=""),0,IF(OR(N(对接源_01水果!$B790)&lt;$M$2,N(对接源_01水果!$B790)&gt;$M$3),0,1))</f>
        <v>0</v>
      </c>
      <c r="N790" s="1" t="n">
        <f aca="false">IF(OR($N$1="",对接源_01水果!$C790="",对接源_01水果!$C790&lt;&gt;$N$1,对接源_01水果!$B790=""),0,IF(OR(N(对接源_01水果!$B790)&lt;$N$2,N(对接源_01水果!$B790)&gt;$N$3),0,1))</f>
        <v>0</v>
      </c>
      <c r="P790" s="1" t="n">
        <f aca="false">IF(AND($K790=1,AND(对接源_01水果!$X790="公司筐",N(对接源_01水果!$T790)&lt;&gt;0)),1,0)</f>
        <v>0</v>
      </c>
      <c r="Q790" s="1" t="n">
        <f aca="false">N(Q789)+$P790</f>
        <v>3</v>
      </c>
      <c r="R790" s="1" t="n">
        <f aca="false">IF(AND($K790=1,AND(对接源_01水果!$X790="公司筐",N(对接源_01水果!$U790)&lt;&gt;0)),1,0)</f>
        <v>0</v>
      </c>
      <c r="S790" s="1" t="n">
        <f aca="false">N(S789)+$R790</f>
        <v>0</v>
      </c>
      <c r="T790" s="1" t="n">
        <f aca="false">IF(AND($K790=1,AND(对接源_01水果!$X790="公司筐",N(对接源_01水果!$V790)&lt;&gt;0)),1,0)</f>
        <v>0</v>
      </c>
      <c r="U790" s="1" t="n">
        <f aca="false">N(U789)+$T790</f>
        <v>28</v>
      </c>
      <c r="V790" s="1" t="n">
        <f aca="false">IF(AND($L790=1,AND(对接源_01水果!$X790="自备筐",N(对接源_01水果!$V790)&lt;&gt;0)),1,0)</f>
        <v>0</v>
      </c>
      <c r="W790" s="1" t="n">
        <f aca="false">N(W789)+$V790</f>
        <v>7</v>
      </c>
      <c r="X790" s="1" t="n">
        <f aca="false">IF(AND($L790=1,AND(对接源_01水果!$X790="自备筐",N(对接源_01水果!$T790)&lt;&gt;0)),1,0)</f>
        <v>0</v>
      </c>
      <c r="Y790" s="1" t="n">
        <f aca="false">N(Y789)+$X790</f>
        <v>0</v>
      </c>
      <c r="Z790" s="1" t="n">
        <f aca="false">IF(AND($M790=1,对接源_01水果!$D790="原料入库"),1,0)</f>
        <v>0</v>
      </c>
      <c r="AA790" s="1" t="n">
        <f aca="false">N(AA789)+$Z790</f>
        <v>30</v>
      </c>
      <c r="AB790" s="1" t="n">
        <f aca="false">IF(AND($M790=1,LEFT(对接源_01水果!$D790,4)="原料出库"),1,0)</f>
        <v>0</v>
      </c>
      <c r="AC790" s="1" t="n">
        <f aca="false">N(AC789)+$AB790</f>
        <v>19</v>
      </c>
      <c r="AD790" s="1" t="n">
        <f aca="false">IF(AND($M790=1,LEFT(对接源_01水果!$D790,4)="成品出库"),1,0)</f>
        <v>0</v>
      </c>
      <c r="AE790" s="1" t="n">
        <f aca="false">N(AE789)+$AD790</f>
        <v>38</v>
      </c>
      <c r="AF790" s="1" t="n">
        <f aca="false">IF(AND($N790=1,AND(LEFT(对接源_01水果!$D790,4)="包装物料",N(对接源_01水果!$K790)&lt;&gt;0)),1,0)</f>
        <v>0</v>
      </c>
      <c r="AG790" s="90" t="str">
        <f aca="false">IF(对接源_01水果!$AC790="","",对接源_01水果!$AC790)</f>
        <v/>
      </c>
      <c r="AH790" s="1" t="n">
        <f aca="false">IF(AND($N790=1,AND(LEFT(对接源_01水果!$D790,3)="周转筐",N(对接源_01水果!$K790)&lt;&gt;0)),1,0)</f>
        <v>0</v>
      </c>
      <c r="AI790" s="90" t="n">
        <f aca="false">IF(AG790="",0,IF(MATCH(AG790,$AG$4:$AG$1203,0)=ROW()-3,1,0))</f>
        <v>0</v>
      </c>
      <c r="AJ790" s="90" t="n">
        <f aca="false">N(AJ789)+AI790</f>
        <v>4</v>
      </c>
      <c r="AK790" s="1" t="n">
        <f aca="false">N(AK789)+$AJ790</f>
        <v>2020</v>
      </c>
    </row>
    <row r="791" customFormat="false" ht="13.5" hidden="false" customHeight="false" outlineLevel="0" collapsed="false">
      <c r="A791" s="1" t="str">
        <f aca="false">IF(对接源_01水果!$C791="","",对接源_01水果!$C791)</f>
        <v/>
      </c>
      <c r="B791" s="1" t="n">
        <f aca="false">IF(A791="",0,IF(MATCH(A791,$A$4:$A$2403,0)=ROW()-3,1,0))</f>
        <v>0</v>
      </c>
      <c r="C791" s="1" t="n">
        <f aca="false">N(C790)+B791</f>
        <v>13</v>
      </c>
      <c r="K791" s="1" t="n">
        <f aca="false">IF(OR($K$1="",对接源_01水果!$C791="",对接源_01水果!$C791&lt;&gt;$K$1,对接源_01水果!$B791=""),0,IF(OR(N(对接源_01水果!$B791)&lt;$K$2,N(对接源_01水果!$B791)&gt;$K$3),0,1))</f>
        <v>0</v>
      </c>
      <c r="L791" s="1" t="n">
        <f aca="false">IF(OR($L$1="",对接源_01水果!$C791="",对接源_01水果!$C791&lt;&gt;$L$1,对接源_01水果!$B791=""),0,IF(OR(N(对接源_01水果!$B791)&lt;$L$2,N(对接源_01水果!$B791)&gt;$L$3),0,1))</f>
        <v>0</v>
      </c>
      <c r="M791" s="1" t="n">
        <f aca="false">IF(OR($M$1="",对接源_01水果!$C791="",对接源_01水果!$C791&lt;&gt;$M$1,对接源_01水果!$B791=""),0,IF(OR(N(对接源_01水果!$B791)&lt;$M$2,N(对接源_01水果!$B791)&gt;$M$3),0,1))</f>
        <v>0</v>
      </c>
      <c r="N791" s="1" t="n">
        <f aca="false">IF(OR($N$1="",对接源_01水果!$C791="",对接源_01水果!$C791&lt;&gt;$N$1,对接源_01水果!$B791=""),0,IF(OR(N(对接源_01水果!$B791)&lt;$N$2,N(对接源_01水果!$B791)&gt;$N$3),0,1))</f>
        <v>0</v>
      </c>
      <c r="P791" s="1" t="n">
        <f aca="false">IF(AND($K791=1,AND(对接源_01水果!$X791="公司筐",N(对接源_01水果!$T791)&lt;&gt;0)),1,0)</f>
        <v>0</v>
      </c>
      <c r="Q791" s="1" t="n">
        <f aca="false">N(Q790)+$P791</f>
        <v>3</v>
      </c>
      <c r="R791" s="1" t="n">
        <f aca="false">IF(AND($K791=1,AND(对接源_01水果!$X791="公司筐",N(对接源_01水果!$U791)&lt;&gt;0)),1,0)</f>
        <v>0</v>
      </c>
      <c r="S791" s="1" t="n">
        <f aca="false">N(S790)+$R791</f>
        <v>0</v>
      </c>
      <c r="T791" s="1" t="n">
        <f aca="false">IF(AND($K791=1,AND(对接源_01水果!$X791="公司筐",N(对接源_01水果!$V791)&lt;&gt;0)),1,0)</f>
        <v>0</v>
      </c>
      <c r="U791" s="1" t="n">
        <f aca="false">N(U790)+$T791</f>
        <v>28</v>
      </c>
      <c r="V791" s="1" t="n">
        <f aca="false">IF(AND($L791=1,AND(对接源_01水果!$X791="自备筐",N(对接源_01水果!$V791)&lt;&gt;0)),1,0)</f>
        <v>0</v>
      </c>
      <c r="W791" s="1" t="n">
        <f aca="false">N(W790)+$V791</f>
        <v>7</v>
      </c>
      <c r="X791" s="1" t="n">
        <f aca="false">IF(AND($L791=1,AND(对接源_01水果!$X791="自备筐",N(对接源_01水果!$T791)&lt;&gt;0)),1,0)</f>
        <v>0</v>
      </c>
      <c r="Y791" s="1" t="n">
        <f aca="false">N(Y790)+$X791</f>
        <v>0</v>
      </c>
      <c r="Z791" s="1" t="n">
        <f aca="false">IF(AND($M791=1,对接源_01水果!$D791="原料入库"),1,0)</f>
        <v>0</v>
      </c>
      <c r="AA791" s="1" t="n">
        <f aca="false">N(AA790)+$Z791</f>
        <v>30</v>
      </c>
      <c r="AB791" s="1" t="n">
        <f aca="false">IF(AND($M791=1,LEFT(对接源_01水果!$D791,4)="原料出库"),1,0)</f>
        <v>0</v>
      </c>
      <c r="AC791" s="1" t="n">
        <f aca="false">N(AC790)+$AB791</f>
        <v>19</v>
      </c>
      <c r="AD791" s="1" t="n">
        <f aca="false">IF(AND($M791=1,LEFT(对接源_01水果!$D791,4)="成品出库"),1,0)</f>
        <v>0</v>
      </c>
      <c r="AE791" s="1" t="n">
        <f aca="false">N(AE790)+$AD791</f>
        <v>38</v>
      </c>
      <c r="AF791" s="1" t="n">
        <f aca="false">IF(AND($N791=1,AND(LEFT(对接源_01水果!$D791,4)="包装物料",N(对接源_01水果!$K791)&lt;&gt;0)),1,0)</f>
        <v>0</v>
      </c>
      <c r="AG791" s="90" t="str">
        <f aca="false">IF(对接源_01水果!$AC791="","",对接源_01水果!$AC791)</f>
        <v/>
      </c>
      <c r="AH791" s="1" t="n">
        <f aca="false">IF(AND($N791=1,AND(LEFT(对接源_01水果!$D791,3)="周转筐",N(对接源_01水果!$K791)&lt;&gt;0)),1,0)</f>
        <v>0</v>
      </c>
      <c r="AI791" s="90" t="n">
        <f aca="false">IF(AG791="",0,IF(MATCH(AG791,$AG$4:$AG$1203,0)=ROW()-3,1,0))</f>
        <v>0</v>
      </c>
      <c r="AJ791" s="90" t="n">
        <f aca="false">N(AJ790)+AI791</f>
        <v>4</v>
      </c>
      <c r="AK791" s="1" t="n">
        <f aca="false">N(AK790)+$AJ791</f>
        <v>2024</v>
      </c>
    </row>
    <row r="792" customFormat="false" ht="13.5" hidden="false" customHeight="false" outlineLevel="0" collapsed="false">
      <c r="A792" s="1" t="str">
        <f aca="false">IF(对接源_01水果!$C792="","",对接源_01水果!$C792)</f>
        <v/>
      </c>
      <c r="B792" s="1" t="n">
        <f aca="false">IF(A792="",0,IF(MATCH(A792,$A$4:$A$2403,0)=ROW()-3,1,0))</f>
        <v>0</v>
      </c>
      <c r="C792" s="1" t="n">
        <f aca="false">N(C791)+B792</f>
        <v>13</v>
      </c>
      <c r="K792" s="1" t="n">
        <f aca="false">IF(OR($K$1="",对接源_01水果!$C792="",对接源_01水果!$C792&lt;&gt;$K$1,对接源_01水果!$B792=""),0,IF(OR(N(对接源_01水果!$B792)&lt;$K$2,N(对接源_01水果!$B792)&gt;$K$3),0,1))</f>
        <v>0</v>
      </c>
      <c r="L792" s="1" t="n">
        <f aca="false">IF(OR($L$1="",对接源_01水果!$C792="",对接源_01水果!$C792&lt;&gt;$L$1,对接源_01水果!$B792=""),0,IF(OR(N(对接源_01水果!$B792)&lt;$L$2,N(对接源_01水果!$B792)&gt;$L$3),0,1))</f>
        <v>0</v>
      </c>
      <c r="M792" s="1" t="n">
        <f aca="false">IF(OR($M$1="",对接源_01水果!$C792="",对接源_01水果!$C792&lt;&gt;$M$1,对接源_01水果!$B792=""),0,IF(OR(N(对接源_01水果!$B792)&lt;$M$2,N(对接源_01水果!$B792)&gt;$M$3),0,1))</f>
        <v>0</v>
      </c>
      <c r="N792" s="1" t="n">
        <f aca="false">IF(OR($N$1="",对接源_01水果!$C792="",对接源_01水果!$C792&lt;&gt;$N$1,对接源_01水果!$B792=""),0,IF(OR(N(对接源_01水果!$B792)&lt;$N$2,N(对接源_01水果!$B792)&gt;$N$3),0,1))</f>
        <v>0</v>
      </c>
      <c r="P792" s="1" t="n">
        <f aca="false">IF(AND($K792=1,AND(对接源_01水果!$X792="公司筐",N(对接源_01水果!$T792)&lt;&gt;0)),1,0)</f>
        <v>0</v>
      </c>
      <c r="Q792" s="1" t="n">
        <f aca="false">N(Q791)+$P792</f>
        <v>3</v>
      </c>
      <c r="R792" s="1" t="n">
        <f aca="false">IF(AND($K792=1,AND(对接源_01水果!$X792="公司筐",N(对接源_01水果!$U792)&lt;&gt;0)),1,0)</f>
        <v>0</v>
      </c>
      <c r="S792" s="1" t="n">
        <f aca="false">N(S791)+$R792</f>
        <v>0</v>
      </c>
      <c r="T792" s="1" t="n">
        <f aca="false">IF(AND($K792=1,AND(对接源_01水果!$X792="公司筐",N(对接源_01水果!$V792)&lt;&gt;0)),1,0)</f>
        <v>0</v>
      </c>
      <c r="U792" s="1" t="n">
        <f aca="false">N(U791)+$T792</f>
        <v>28</v>
      </c>
      <c r="V792" s="1" t="n">
        <f aca="false">IF(AND($L792=1,AND(对接源_01水果!$X792="自备筐",N(对接源_01水果!$V792)&lt;&gt;0)),1,0)</f>
        <v>0</v>
      </c>
      <c r="W792" s="1" t="n">
        <f aca="false">N(W791)+$V792</f>
        <v>7</v>
      </c>
      <c r="X792" s="1" t="n">
        <f aca="false">IF(AND($L792=1,AND(对接源_01水果!$X792="自备筐",N(对接源_01水果!$T792)&lt;&gt;0)),1,0)</f>
        <v>0</v>
      </c>
      <c r="Y792" s="1" t="n">
        <f aca="false">N(Y791)+$X792</f>
        <v>0</v>
      </c>
      <c r="Z792" s="1" t="n">
        <f aca="false">IF(AND($M792=1,对接源_01水果!$D792="原料入库"),1,0)</f>
        <v>0</v>
      </c>
      <c r="AA792" s="1" t="n">
        <f aca="false">N(AA791)+$Z792</f>
        <v>30</v>
      </c>
      <c r="AB792" s="1" t="n">
        <f aca="false">IF(AND($M792=1,LEFT(对接源_01水果!$D792,4)="原料出库"),1,0)</f>
        <v>0</v>
      </c>
      <c r="AC792" s="1" t="n">
        <f aca="false">N(AC791)+$AB792</f>
        <v>19</v>
      </c>
      <c r="AD792" s="1" t="n">
        <f aca="false">IF(AND($M792=1,LEFT(对接源_01水果!$D792,4)="成品出库"),1,0)</f>
        <v>0</v>
      </c>
      <c r="AE792" s="1" t="n">
        <f aca="false">N(AE791)+$AD792</f>
        <v>38</v>
      </c>
      <c r="AF792" s="1" t="n">
        <f aca="false">IF(AND($N792=1,AND(LEFT(对接源_01水果!$D792,4)="包装物料",N(对接源_01水果!$K792)&lt;&gt;0)),1,0)</f>
        <v>0</v>
      </c>
      <c r="AG792" s="90" t="str">
        <f aca="false">IF(对接源_01水果!$AC792="","",对接源_01水果!$AC792)</f>
        <v/>
      </c>
      <c r="AH792" s="1" t="n">
        <f aca="false">IF(AND($N792=1,AND(LEFT(对接源_01水果!$D792,3)="周转筐",N(对接源_01水果!$K792)&lt;&gt;0)),1,0)</f>
        <v>0</v>
      </c>
      <c r="AI792" s="90" t="n">
        <f aca="false">IF(AG792="",0,IF(MATCH(AG792,$AG$4:$AG$1203,0)=ROW()-3,1,0))</f>
        <v>0</v>
      </c>
      <c r="AJ792" s="90" t="n">
        <f aca="false">N(AJ791)+AI792</f>
        <v>4</v>
      </c>
      <c r="AK792" s="1" t="n">
        <f aca="false">N(AK791)+$AJ792</f>
        <v>2028</v>
      </c>
    </row>
    <row r="793" customFormat="false" ht="13.5" hidden="false" customHeight="false" outlineLevel="0" collapsed="false">
      <c r="A793" s="1" t="str">
        <f aca="false">IF(对接源_01水果!$C793="","",对接源_01水果!$C793)</f>
        <v/>
      </c>
      <c r="B793" s="1" t="n">
        <f aca="false">IF(A793="",0,IF(MATCH(A793,$A$4:$A$2403,0)=ROW()-3,1,0))</f>
        <v>0</v>
      </c>
      <c r="C793" s="1" t="n">
        <f aca="false">N(C792)+B793</f>
        <v>13</v>
      </c>
      <c r="K793" s="1" t="n">
        <f aca="false">IF(OR($K$1="",对接源_01水果!$C793="",对接源_01水果!$C793&lt;&gt;$K$1,对接源_01水果!$B793=""),0,IF(OR(N(对接源_01水果!$B793)&lt;$K$2,N(对接源_01水果!$B793)&gt;$K$3),0,1))</f>
        <v>0</v>
      </c>
      <c r="L793" s="1" t="n">
        <f aca="false">IF(OR($L$1="",对接源_01水果!$C793="",对接源_01水果!$C793&lt;&gt;$L$1,对接源_01水果!$B793=""),0,IF(OR(N(对接源_01水果!$B793)&lt;$L$2,N(对接源_01水果!$B793)&gt;$L$3),0,1))</f>
        <v>0</v>
      </c>
      <c r="M793" s="1" t="n">
        <f aca="false">IF(OR($M$1="",对接源_01水果!$C793="",对接源_01水果!$C793&lt;&gt;$M$1,对接源_01水果!$B793=""),0,IF(OR(N(对接源_01水果!$B793)&lt;$M$2,N(对接源_01水果!$B793)&gt;$M$3),0,1))</f>
        <v>0</v>
      </c>
      <c r="N793" s="1" t="n">
        <f aca="false">IF(OR($N$1="",对接源_01水果!$C793="",对接源_01水果!$C793&lt;&gt;$N$1,对接源_01水果!$B793=""),0,IF(OR(N(对接源_01水果!$B793)&lt;$N$2,N(对接源_01水果!$B793)&gt;$N$3),0,1))</f>
        <v>0</v>
      </c>
      <c r="P793" s="1" t="n">
        <f aca="false">IF(AND($K793=1,AND(对接源_01水果!$X793="公司筐",N(对接源_01水果!$T793)&lt;&gt;0)),1,0)</f>
        <v>0</v>
      </c>
      <c r="Q793" s="1" t="n">
        <f aca="false">N(Q792)+$P793</f>
        <v>3</v>
      </c>
      <c r="R793" s="1" t="n">
        <f aca="false">IF(AND($K793=1,AND(对接源_01水果!$X793="公司筐",N(对接源_01水果!$U793)&lt;&gt;0)),1,0)</f>
        <v>0</v>
      </c>
      <c r="S793" s="1" t="n">
        <f aca="false">N(S792)+$R793</f>
        <v>0</v>
      </c>
      <c r="T793" s="1" t="n">
        <f aca="false">IF(AND($K793=1,AND(对接源_01水果!$X793="公司筐",N(对接源_01水果!$V793)&lt;&gt;0)),1,0)</f>
        <v>0</v>
      </c>
      <c r="U793" s="1" t="n">
        <f aca="false">N(U792)+$T793</f>
        <v>28</v>
      </c>
      <c r="V793" s="1" t="n">
        <f aca="false">IF(AND($L793=1,AND(对接源_01水果!$X793="自备筐",N(对接源_01水果!$V793)&lt;&gt;0)),1,0)</f>
        <v>0</v>
      </c>
      <c r="W793" s="1" t="n">
        <f aca="false">N(W792)+$V793</f>
        <v>7</v>
      </c>
      <c r="X793" s="1" t="n">
        <f aca="false">IF(AND($L793=1,AND(对接源_01水果!$X793="自备筐",N(对接源_01水果!$T793)&lt;&gt;0)),1,0)</f>
        <v>0</v>
      </c>
      <c r="Y793" s="1" t="n">
        <f aca="false">N(Y792)+$X793</f>
        <v>0</v>
      </c>
      <c r="Z793" s="1" t="n">
        <f aca="false">IF(AND($M793=1,对接源_01水果!$D793="原料入库"),1,0)</f>
        <v>0</v>
      </c>
      <c r="AA793" s="1" t="n">
        <f aca="false">N(AA792)+$Z793</f>
        <v>30</v>
      </c>
      <c r="AB793" s="1" t="n">
        <f aca="false">IF(AND($M793=1,LEFT(对接源_01水果!$D793,4)="原料出库"),1,0)</f>
        <v>0</v>
      </c>
      <c r="AC793" s="1" t="n">
        <f aca="false">N(AC792)+$AB793</f>
        <v>19</v>
      </c>
      <c r="AD793" s="1" t="n">
        <f aca="false">IF(AND($M793=1,LEFT(对接源_01水果!$D793,4)="成品出库"),1,0)</f>
        <v>0</v>
      </c>
      <c r="AE793" s="1" t="n">
        <f aca="false">N(AE792)+$AD793</f>
        <v>38</v>
      </c>
      <c r="AF793" s="1" t="n">
        <f aca="false">IF(AND($N793=1,AND(LEFT(对接源_01水果!$D793,4)="包装物料",N(对接源_01水果!$K793)&lt;&gt;0)),1,0)</f>
        <v>0</v>
      </c>
      <c r="AG793" s="90" t="str">
        <f aca="false">IF(对接源_01水果!$AC793="","",对接源_01水果!$AC793)</f>
        <v/>
      </c>
      <c r="AH793" s="1" t="n">
        <f aca="false">IF(AND($N793=1,AND(LEFT(对接源_01水果!$D793,3)="周转筐",N(对接源_01水果!$K793)&lt;&gt;0)),1,0)</f>
        <v>0</v>
      </c>
      <c r="AI793" s="90" t="n">
        <f aca="false">IF(AG793="",0,IF(MATCH(AG793,$AG$4:$AG$1203,0)=ROW()-3,1,0))</f>
        <v>0</v>
      </c>
      <c r="AJ793" s="90" t="n">
        <f aca="false">N(AJ792)+AI793</f>
        <v>4</v>
      </c>
      <c r="AK793" s="1" t="n">
        <f aca="false">N(AK792)+$AJ793</f>
        <v>2032</v>
      </c>
    </row>
    <row r="794" customFormat="false" ht="13.5" hidden="false" customHeight="false" outlineLevel="0" collapsed="false">
      <c r="A794" s="1" t="str">
        <f aca="false">IF(对接源_01水果!$C794="","",对接源_01水果!$C794)</f>
        <v/>
      </c>
      <c r="B794" s="1" t="n">
        <f aca="false">IF(A794="",0,IF(MATCH(A794,$A$4:$A$2403,0)=ROW()-3,1,0))</f>
        <v>0</v>
      </c>
      <c r="C794" s="1" t="n">
        <f aca="false">N(C793)+B794</f>
        <v>13</v>
      </c>
      <c r="K794" s="1" t="n">
        <f aca="false">IF(OR($K$1="",对接源_01水果!$C794="",对接源_01水果!$C794&lt;&gt;$K$1,对接源_01水果!$B794=""),0,IF(OR(N(对接源_01水果!$B794)&lt;$K$2,N(对接源_01水果!$B794)&gt;$K$3),0,1))</f>
        <v>0</v>
      </c>
      <c r="L794" s="1" t="n">
        <f aca="false">IF(OR($L$1="",对接源_01水果!$C794="",对接源_01水果!$C794&lt;&gt;$L$1,对接源_01水果!$B794=""),0,IF(OR(N(对接源_01水果!$B794)&lt;$L$2,N(对接源_01水果!$B794)&gt;$L$3),0,1))</f>
        <v>0</v>
      </c>
      <c r="M794" s="1" t="n">
        <f aca="false">IF(OR($M$1="",对接源_01水果!$C794="",对接源_01水果!$C794&lt;&gt;$M$1,对接源_01水果!$B794=""),0,IF(OR(N(对接源_01水果!$B794)&lt;$M$2,N(对接源_01水果!$B794)&gt;$M$3),0,1))</f>
        <v>0</v>
      </c>
      <c r="N794" s="1" t="n">
        <f aca="false">IF(OR($N$1="",对接源_01水果!$C794="",对接源_01水果!$C794&lt;&gt;$N$1,对接源_01水果!$B794=""),0,IF(OR(N(对接源_01水果!$B794)&lt;$N$2,N(对接源_01水果!$B794)&gt;$N$3),0,1))</f>
        <v>0</v>
      </c>
      <c r="P794" s="1" t="n">
        <f aca="false">IF(AND($K794=1,AND(对接源_01水果!$X794="公司筐",N(对接源_01水果!$T794)&lt;&gt;0)),1,0)</f>
        <v>0</v>
      </c>
      <c r="Q794" s="1" t="n">
        <f aca="false">N(Q793)+$P794</f>
        <v>3</v>
      </c>
      <c r="R794" s="1" t="n">
        <f aca="false">IF(AND($K794=1,AND(对接源_01水果!$X794="公司筐",N(对接源_01水果!$U794)&lt;&gt;0)),1,0)</f>
        <v>0</v>
      </c>
      <c r="S794" s="1" t="n">
        <f aca="false">N(S793)+$R794</f>
        <v>0</v>
      </c>
      <c r="T794" s="1" t="n">
        <f aca="false">IF(AND($K794=1,AND(对接源_01水果!$X794="公司筐",N(对接源_01水果!$V794)&lt;&gt;0)),1,0)</f>
        <v>0</v>
      </c>
      <c r="U794" s="1" t="n">
        <f aca="false">N(U793)+$T794</f>
        <v>28</v>
      </c>
      <c r="V794" s="1" t="n">
        <f aca="false">IF(AND($L794=1,AND(对接源_01水果!$X794="自备筐",N(对接源_01水果!$V794)&lt;&gt;0)),1,0)</f>
        <v>0</v>
      </c>
      <c r="W794" s="1" t="n">
        <f aca="false">N(W793)+$V794</f>
        <v>7</v>
      </c>
      <c r="X794" s="1" t="n">
        <f aca="false">IF(AND($L794=1,AND(对接源_01水果!$X794="自备筐",N(对接源_01水果!$T794)&lt;&gt;0)),1,0)</f>
        <v>0</v>
      </c>
      <c r="Y794" s="1" t="n">
        <f aca="false">N(Y793)+$X794</f>
        <v>0</v>
      </c>
      <c r="Z794" s="1" t="n">
        <f aca="false">IF(AND($M794=1,对接源_01水果!$D794="原料入库"),1,0)</f>
        <v>0</v>
      </c>
      <c r="AA794" s="1" t="n">
        <f aca="false">N(AA793)+$Z794</f>
        <v>30</v>
      </c>
      <c r="AB794" s="1" t="n">
        <f aca="false">IF(AND($M794=1,LEFT(对接源_01水果!$D794,4)="原料出库"),1,0)</f>
        <v>0</v>
      </c>
      <c r="AC794" s="1" t="n">
        <f aca="false">N(AC793)+$AB794</f>
        <v>19</v>
      </c>
      <c r="AD794" s="1" t="n">
        <f aca="false">IF(AND($M794=1,LEFT(对接源_01水果!$D794,4)="成品出库"),1,0)</f>
        <v>0</v>
      </c>
      <c r="AE794" s="1" t="n">
        <f aca="false">N(AE793)+$AD794</f>
        <v>38</v>
      </c>
      <c r="AF794" s="1" t="n">
        <f aca="false">IF(AND($N794=1,AND(LEFT(对接源_01水果!$D794,4)="包装物料",N(对接源_01水果!$K794)&lt;&gt;0)),1,0)</f>
        <v>0</v>
      </c>
      <c r="AG794" s="90" t="str">
        <f aca="false">IF(对接源_01水果!$AC794="","",对接源_01水果!$AC794)</f>
        <v/>
      </c>
      <c r="AH794" s="1" t="n">
        <f aca="false">IF(AND($N794=1,AND(LEFT(对接源_01水果!$D794,3)="周转筐",N(对接源_01水果!$K794)&lt;&gt;0)),1,0)</f>
        <v>0</v>
      </c>
      <c r="AI794" s="90" t="n">
        <f aca="false">IF(AG794="",0,IF(MATCH(AG794,$AG$4:$AG$1203,0)=ROW()-3,1,0))</f>
        <v>0</v>
      </c>
      <c r="AJ794" s="90" t="n">
        <f aca="false">N(AJ793)+AI794</f>
        <v>4</v>
      </c>
      <c r="AK794" s="1" t="n">
        <f aca="false">N(AK793)+$AJ794</f>
        <v>2036</v>
      </c>
    </row>
    <row r="795" customFormat="false" ht="13.5" hidden="false" customHeight="false" outlineLevel="0" collapsed="false">
      <c r="A795" s="1" t="str">
        <f aca="false">IF(对接源_01水果!$C795="","",对接源_01水果!$C795)</f>
        <v/>
      </c>
      <c r="B795" s="1" t="n">
        <f aca="false">IF(A795="",0,IF(MATCH(A795,$A$4:$A$2403,0)=ROW()-3,1,0))</f>
        <v>0</v>
      </c>
      <c r="C795" s="1" t="n">
        <f aca="false">N(C794)+B795</f>
        <v>13</v>
      </c>
      <c r="K795" s="1" t="n">
        <f aca="false">IF(OR($K$1="",对接源_01水果!$C795="",对接源_01水果!$C795&lt;&gt;$K$1,对接源_01水果!$B795=""),0,IF(OR(N(对接源_01水果!$B795)&lt;$K$2,N(对接源_01水果!$B795)&gt;$K$3),0,1))</f>
        <v>0</v>
      </c>
      <c r="L795" s="1" t="n">
        <f aca="false">IF(OR($L$1="",对接源_01水果!$C795="",对接源_01水果!$C795&lt;&gt;$L$1,对接源_01水果!$B795=""),0,IF(OR(N(对接源_01水果!$B795)&lt;$L$2,N(对接源_01水果!$B795)&gt;$L$3),0,1))</f>
        <v>0</v>
      </c>
      <c r="M795" s="1" t="n">
        <f aca="false">IF(OR($M$1="",对接源_01水果!$C795="",对接源_01水果!$C795&lt;&gt;$M$1,对接源_01水果!$B795=""),0,IF(OR(N(对接源_01水果!$B795)&lt;$M$2,N(对接源_01水果!$B795)&gt;$M$3),0,1))</f>
        <v>0</v>
      </c>
      <c r="N795" s="1" t="n">
        <f aca="false">IF(OR($N$1="",对接源_01水果!$C795="",对接源_01水果!$C795&lt;&gt;$N$1,对接源_01水果!$B795=""),0,IF(OR(N(对接源_01水果!$B795)&lt;$N$2,N(对接源_01水果!$B795)&gt;$N$3),0,1))</f>
        <v>0</v>
      </c>
      <c r="P795" s="1" t="n">
        <f aca="false">IF(AND($K795=1,AND(对接源_01水果!$X795="公司筐",N(对接源_01水果!$T795)&lt;&gt;0)),1,0)</f>
        <v>0</v>
      </c>
      <c r="Q795" s="1" t="n">
        <f aca="false">N(Q794)+$P795</f>
        <v>3</v>
      </c>
      <c r="R795" s="1" t="n">
        <f aca="false">IF(AND($K795=1,AND(对接源_01水果!$X795="公司筐",N(对接源_01水果!$U795)&lt;&gt;0)),1,0)</f>
        <v>0</v>
      </c>
      <c r="S795" s="1" t="n">
        <f aca="false">N(S794)+$R795</f>
        <v>0</v>
      </c>
      <c r="T795" s="1" t="n">
        <f aca="false">IF(AND($K795=1,AND(对接源_01水果!$X795="公司筐",N(对接源_01水果!$V795)&lt;&gt;0)),1,0)</f>
        <v>0</v>
      </c>
      <c r="U795" s="1" t="n">
        <f aca="false">N(U794)+$T795</f>
        <v>28</v>
      </c>
      <c r="V795" s="1" t="n">
        <f aca="false">IF(AND($L795=1,AND(对接源_01水果!$X795="自备筐",N(对接源_01水果!$V795)&lt;&gt;0)),1,0)</f>
        <v>0</v>
      </c>
      <c r="W795" s="1" t="n">
        <f aca="false">N(W794)+$V795</f>
        <v>7</v>
      </c>
      <c r="X795" s="1" t="n">
        <f aca="false">IF(AND($L795=1,AND(对接源_01水果!$X795="自备筐",N(对接源_01水果!$T795)&lt;&gt;0)),1,0)</f>
        <v>0</v>
      </c>
      <c r="Y795" s="1" t="n">
        <f aca="false">N(Y794)+$X795</f>
        <v>0</v>
      </c>
      <c r="Z795" s="1" t="n">
        <f aca="false">IF(AND($M795=1,对接源_01水果!$D795="原料入库"),1,0)</f>
        <v>0</v>
      </c>
      <c r="AA795" s="1" t="n">
        <f aca="false">N(AA794)+$Z795</f>
        <v>30</v>
      </c>
      <c r="AB795" s="1" t="n">
        <f aca="false">IF(AND($M795=1,LEFT(对接源_01水果!$D795,4)="原料出库"),1,0)</f>
        <v>0</v>
      </c>
      <c r="AC795" s="1" t="n">
        <f aca="false">N(AC794)+$AB795</f>
        <v>19</v>
      </c>
      <c r="AD795" s="1" t="n">
        <f aca="false">IF(AND($M795=1,LEFT(对接源_01水果!$D795,4)="成品出库"),1,0)</f>
        <v>0</v>
      </c>
      <c r="AE795" s="1" t="n">
        <f aca="false">N(AE794)+$AD795</f>
        <v>38</v>
      </c>
      <c r="AF795" s="1" t="n">
        <f aca="false">IF(AND($N795=1,AND(LEFT(对接源_01水果!$D795,4)="包装物料",N(对接源_01水果!$K795)&lt;&gt;0)),1,0)</f>
        <v>0</v>
      </c>
      <c r="AG795" s="90" t="str">
        <f aca="false">IF(对接源_01水果!$AC795="","",对接源_01水果!$AC795)</f>
        <v/>
      </c>
      <c r="AH795" s="1" t="n">
        <f aca="false">IF(AND($N795=1,AND(LEFT(对接源_01水果!$D795,3)="周转筐",N(对接源_01水果!$K795)&lt;&gt;0)),1,0)</f>
        <v>0</v>
      </c>
      <c r="AI795" s="90" t="n">
        <f aca="false">IF(AG795="",0,IF(MATCH(AG795,$AG$4:$AG$1203,0)=ROW()-3,1,0))</f>
        <v>0</v>
      </c>
      <c r="AJ795" s="90" t="n">
        <f aca="false">N(AJ794)+AI795</f>
        <v>4</v>
      </c>
      <c r="AK795" s="1" t="n">
        <f aca="false">N(AK794)+$AJ795</f>
        <v>2040</v>
      </c>
    </row>
    <row r="796" customFormat="false" ht="13.5" hidden="false" customHeight="false" outlineLevel="0" collapsed="false">
      <c r="A796" s="1" t="str">
        <f aca="false">IF(对接源_01水果!$C796="","",对接源_01水果!$C796)</f>
        <v/>
      </c>
      <c r="B796" s="1" t="n">
        <f aca="false">IF(A796="",0,IF(MATCH(A796,$A$4:$A$2403,0)=ROW()-3,1,0))</f>
        <v>0</v>
      </c>
      <c r="C796" s="1" t="n">
        <f aca="false">N(C795)+B796</f>
        <v>13</v>
      </c>
      <c r="K796" s="1" t="n">
        <f aca="false">IF(OR($K$1="",对接源_01水果!$C796="",对接源_01水果!$C796&lt;&gt;$K$1,对接源_01水果!$B796=""),0,IF(OR(N(对接源_01水果!$B796)&lt;$K$2,N(对接源_01水果!$B796)&gt;$K$3),0,1))</f>
        <v>0</v>
      </c>
      <c r="L796" s="1" t="n">
        <f aca="false">IF(OR($L$1="",对接源_01水果!$C796="",对接源_01水果!$C796&lt;&gt;$L$1,对接源_01水果!$B796=""),0,IF(OR(N(对接源_01水果!$B796)&lt;$L$2,N(对接源_01水果!$B796)&gt;$L$3),0,1))</f>
        <v>0</v>
      </c>
      <c r="M796" s="1" t="n">
        <f aca="false">IF(OR($M$1="",对接源_01水果!$C796="",对接源_01水果!$C796&lt;&gt;$M$1,对接源_01水果!$B796=""),0,IF(OR(N(对接源_01水果!$B796)&lt;$M$2,N(对接源_01水果!$B796)&gt;$M$3),0,1))</f>
        <v>0</v>
      </c>
      <c r="N796" s="1" t="n">
        <f aca="false">IF(OR($N$1="",对接源_01水果!$C796="",对接源_01水果!$C796&lt;&gt;$N$1,对接源_01水果!$B796=""),0,IF(OR(N(对接源_01水果!$B796)&lt;$N$2,N(对接源_01水果!$B796)&gt;$N$3),0,1))</f>
        <v>0</v>
      </c>
      <c r="P796" s="1" t="n">
        <f aca="false">IF(AND($K796=1,AND(对接源_01水果!$X796="公司筐",N(对接源_01水果!$T796)&lt;&gt;0)),1,0)</f>
        <v>0</v>
      </c>
      <c r="Q796" s="1" t="n">
        <f aca="false">N(Q795)+$P796</f>
        <v>3</v>
      </c>
      <c r="R796" s="1" t="n">
        <f aca="false">IF(AND($K796=1,AND(对接源_01水果!$X796="公司筐",N(对接源_01水果!$U796)&lt;&gt;0)),1,0)</f>
        <v>0</v>
      </c>
      <c r="S796" s="1" t="n">
        <f aca="false">N(S795)+$R796</f>
        <v>0</v>
      </c>
      <c r="T796" s="1" t="n">
        <f aca="false">IF(AND($K796=1,AND(对接源_01水果!$X796="公司筐",N(对接源_01水果!$V796)&lt;&gt;0)),1,0)</f>
        <v>0</v>
      </c>
      <c r="U796" s="1" t="n">
        <f aca="false">N(U795)+$T796</f>
        <v>28</v>
      </c>
      <c r="V796" s="1" t="n">
        <f aca="false">IF(AND($L796=1,AND(对接源_01水果!$X796="自备筐",N(对接源_01水果!$V796)&lt;&gt;0)),1,0)</f>
        <v>0</v>
      </c>
      <c r="W796" s="1" t="n">
        <f aca="false">N(W795)+$V796</f>
        <v>7</v>
      </c>
      <c r="X796" s="1" t="n">
        <f aca="false">IF(AND($L796=1,AND(对接源_01水果!$X796="自备筐",N(对接源_01水果!$T796)&lt;&gt;0)),1,0)</f>
        <v>0</v>
      </c>
      <c r="Y796" s="1" t="n">
        <f aca="false">N(Y795)+$X796</f>
        <v>0</v>
      </c>
      <c r="Z796" s="1" t="n">
        <f aca="false">IF(AND($M796=1,对接源_01水果!$D796="原料入库"),1,0)</f>
        <v>0</v>
      </c>
      <c r="AA796" s="1" t="n">
        <f aca="false">N(AA795)+$Z796</f>
        <v>30</v>
      </c>
      <c r="AB796" s="1" t="n">
        <f aca="false">IF(AND($M796=1,LEFT(对接源_01水果!$D796,4)="原料出库"),1,0)</f>
        <v>0</v>
      </c>
      <c r="AC796" s="1" t="n">
        <f aca="false">N(AC795)+$AB796</f>
        <v>19</v>
      </c>
      <c r="AD796" s="1" t="n">
        <f aca="false">IF(AND($M796=1,LEFT(对接源_01水果!$D796,4)="成品出库"),1,0)</f>
        <v>0</v>
      </c>
      <c r="AE796" s="1" t="n">
        <f aca="false">N(AE795)+$AD796</f>
        <v>38</v>
      </c>
      <c r="AF796" s="1" t="n">
        <f aca="false">IF(AND($N796=1,AND(LEFT(对接源_01水果!$D796,4)="包装物料",N(对接源_01水果!$K796)&lt;&gt;0)),1,0)</f>
        <v>0</v>
      </c>
      <c r="AG796" s="90" t="str">
        <f aca="false">IF(对接源_01水果!$AC796="","",对接源_01水果!$AC796)</f>
        <v/>
      </c>
      <c r="AH796" s="1" t="n">
        <f aca="false">IF(AND($N796=1,AND(LEFT(对接源_01水果!$D796,3)="周转筐",N(对接源_01水果!$K796)&lt;&gt;0)),1,0)</f>
        <v>0</v>
      </c>
      <c r="AI796" s="90" t="n">
        <f aca="false">IF(AG796="",0,IF(MATCH(AG796,$AG$4:$AG$1203,0)=ROW()-3,1,0))</f>
        <v>0</v>
      </c>
      <c r="AJ796" s="90" t="n">
        <f aca="false">N(AJ795)+AI796</f>
        <v>4</v>
      </c>
      <c r="AK796" s="1" t="n">
        <f aca="false">N(AK795)+$AJ796</f>
        <v>2044</v>
      </c>
    </row>
    <row r="797" customFormat="false" ht="13.5" hidden="false" customHeight="false" outlineLevel="0" collapsed="false">
      <c r="A797" s="1" t="str">
        <f aca="false">IF(对接源_01水果!$C797="","",对接源_01水果!$C797)</f>
        <v/>
      </c>
      <c r="B797" s="1" t="n">
        <f aca="false">IF(A797="",0,IF(MATCH(A797,$A$4:$A$2403,0)=ROW()-3,1,0))</f>
        <v>0</v>
      </c>
      <c r="C797" s="1" t="n">
        <f aca="false">N(C796)+B797</f>
        <v>13</v>
      </c>
      <c r="K797" s="1" t="n">
        <f aca="false">IF(OR($K$1="",对接源_01水果!$C797="",对接源_01水果!$C797&lt;&gt;$K$1,对接源_01水果!$B797=""),0,IF(OR(N(对接源_01水果!$B797)&lt;$K$2,N(对接源_01水果!$B797)&gt;$K$3),0,1))</f>
        <v>0</v>
      </c>
      <c r="L797" s="1" t="n">
        <f aca="false">IF(OR($L$1="",对接源_01水果!$C797="",对接源_01水果!$C797&lt;&gt;$L$1,对接源_01水果!$B797=""),0,IF(OR(N(对接源_01水果!$B797)&lt;$L$2,N(对接源_01水果!$B797)&gt;$L$3),0,1))</f>
        <v>0</v>
      </c>
      <c r="M797" s="1" t="n">
        <f aca="false">IF(OR($M$1="",对接源_01水果!$C797="",对接源_01水果!$C797&lt;&gt;$M$1,对接源_01水果!$B797=""),0,IF(OR(N(对接源_01水果!$B797)&lt;$M$2,N(对接源_01水果!$B797)&gt;$M$3),0,1))</f>
        <v>0</v>
      </c>
      <c r="N797" s="1" t="n">
        <f aca="false">IF(OR($N$1="",对接源_01水果!$C797="",对接源_01水果!$C797&lt;&gt;$N$1,对接源_01水果!$B797=""),0,IF(OR(N(对接源_01水果!$B797)&lt;$N$2,N(对接源_01水果!$B797)&gt;$N$3),0,1))</f>
        <v>0</v>
      </c>
      <c r="P797" s="1" t="n">
        <f aca="false">IF(AND($K797=1,AND(对接源_01水果!$X797="公司筐",N(对接源_01水果!$T797)&lt;&gt;0)),1,0)</f>
        <v>0</v>
      </c>
      <c r="Q797" s="1" t="n">
        <f aca="false">N(Q796)+$P797</f>
        <v>3</v>
      </c>
      <c r="R797" s="1" t="n">
        <f aca="false">IF(AND($K797=1,AND(对接源_01水果!$X797="公司筐",N(对接源_01水果!$U797)&lt;&gt;0)),1,0)</f>
        <v>0</v>
      </c>
      <c r="S797" s="1" t="n">
        <f aca="false">N(S796)+$R797</f>
        <v>0</v>
      </c>
      <c r="T797" s="1" t="n">
        <f aca="false">IF(AND($K797=1,AND(对接源_01水果!$X797="公司筐",N(对接源_01水果!$V797)&lt;&gt;0)),1,0)</f>
        <v>0</v>
      </c>
      <c r="U797" s="1" t="n">
        <f aca="false">N(U796)+$T797</f>
        <v>28</v>
      </c>
      <c r="V797" s="1" t="n">
        <f aca="false">IF(AND($L797=1,AND(对接源_01水果!$X797="自备筐",N(对接源_01水果!$V797)&lt;&gt;0)),1,0)</f>
        <v>0</v>
      </c>
      <c r="W797" s="1" t="n">
        <f aca="false">N(W796)+$V797</f>
        <v>7</v>
      </c>
      <c r="X797" s="1" t="n">
        <f aca="false">IF(AND($L797=1,AND(对接源_01水果!$X797="自备筐",N(对接源_01水果!$T797)&lt;&gt;0)),1,0)</f>
        <v>0</v>
      </c>
      <c r="Y797" s="1" t="n">
        <f aca="false">N(Y796)+$X797</f>
        <v>0</v>
      </c>
      <c r="Z797" s="1" t="n">
        <f aca="false">IF(AND($M797=1,对接源_01水果!$D797="原料入库"),1,0)</f>
        <v>0</v>
      </c>
      <c r="AA797" s="1" t="n">
        <f aca="false">N(AA796)+$Z797</f>
        <v>30</v>
      </c>
      <c r="AB797" s="1" t="n">
        <f aca="false">IF(AND($M797=1,LEFT(对接源_01水果!$D797,4)="原料出库"),1,0)</f>
        <v>0</v>
      </c>
      <c r="AC797" s="1" t="n">
        <f aca="false">N(AC796)+$AB797</f>
        <v>19</v>
      </c>
      <c r="AD797" s="1" t="n">
        <f aca="false">IF(AND($M797=1,LEFT(对接源_01水果!$D797,4)="成品出库"),1,0)</f>
        <v>0</v>
      </c>
      <c r="AE797" s="1" t="n">
        <f aca="false">N(AE796)+$AD797</f>
        <v>38</v>
      </c>
      <c r="AF797" s="1" t="n">
        <f aca="false">IF(AND($N797=1,AND(LEFT(对接源_01水果!$D797,4)="包装物料",N(对接源_01水果!$K797)&lt;&gt;0)),1,0)</f>
        <v>0</v>
      </c>
      <c r="AG797" s="90" t="str">
        <f aca="false">IF(对接源_01水果!$AC797="","",对接源_01水果!$AC797)</f>
        <v/>
      </c>
      <c r="AH797" s="1" t="n">
        <f aca="false">IF(AND($N797=1,AND(LEFT(对接源_01水果!$D797,3)="周转筐",N(对接源_01水果!$K797)&lt;&gt;0)),1,0)</f>
        <v>0</v>
      </c>
      <c r="AI797" s="90" t="n">
        <f aca="false">IF(AG797="",0,IF(MATCH(AG797,$AG$4:$AG$1203,0)=ROW()-3,1,0))</f>
        <v>0</v>
      </c>
      <c r="AJ797" s="90" t="n">
        <f aca="false">N(AJ796)+AI797</f>
        <v>4</v>
      </c>
      <c r="AK797" s="1" t="n">
        <f aca="false">N(AK796)+$AJ797</f>
        <v>2048</v>
      </c>
    </row>
    <row r="798" customFormat="false" ht="13.5" hidden="false" customHeight="false" outlineLevel="0" collapsed="false">
      <c r="A798" s="1" t="str">
        <f aca="false">IF(对接源_01水果!$C798="","",对接源_01水果!$C798)</f>
        <v/>
      </c>
      <c r="B798" s="1" t="n">
        <f aca="false">IF(A798="",0,IF(MATCH(A798,$A$4:$A$2403,0)=ROW()-3,1,0))</f>
        <v>0</v>
      </c>
      <c r="C798" s="1" t="n">
        <f aca="false">N(C797)+B798</f>
        <v>13</v>
      </c>
      <c r="K798" s="1" t="n">
        <f aca="false">IF(OR($K$1="",对接源_01水果!$C798="",对接源_01水果!$C798&lt;&gt;$K$1,对接源_01水果!$B798=""),0,IF(OR(N(对接源_01水果!$B798)&lt;$K$2,N(对接源_01水果!$B798)&gt;$K$3),0,1))</f>
        <v>0</v>
      </c>
      <c r="L798" s="1" t="n">
        <f aca="false">IF(OR($L$1="",对接源_01水果!$C798="",对接源_01水果!$C798&lt;&gt;$L$1,对接源_01水果!$B798=""),0,IF(OR(N(对接源_01水果!$B798)&lt;$L$2,N(对接源_01水果!$B798)&gt;$L$3),0,1))</f>
        <v>0</v>
      </c>
      <c r="M798" s="1" t="n">
        <f aca="false">IF(OR($M$1="",对接源_01水果!$C798="",对接源_01水果!$C798&lt;&gt;$M$1,对接源_01水果!$B798=""),0,IF(OR(N(对接源_01水果!$B798)&lt;$M$2,N(对接源_01水果!$B798)&gt;$M$3),0,1))</f>
        <v>0</v>
      </c>
      <c r="N798" s="1" t="n">
        <f aca="false">IF(OR($N$1="",对接源_01水果!$C798="",对接源_01水果!$C798&lt;&gt;$N$1,对接源_01水果!$B798=""),0,IF(OR(N(对接源_01水果!$B798)&lt;$N$2,N(对接源_01水果!$B798)&gt;$N$3),0,1))</f>
        <v>0</v>
      </c>
      <c r="P798" s="1" t="n">
        <f aca="false">IF(AND($K798=1,AND(对接源_01水果!$X798="公司筐",N(对接源_01水果!$T798)&lt;&gt;0)),1,0)</f>
        <v>0</v>
      </c>
      <c r="Q798" s="1" t="n">
        <f aca="false">N(Q797)+$P798</f>
        <v>3</v>
      </c>
      <c r="R798" s="1" t="n">
        <f aca="false">IF(AND($K798=1,AND(对接源_01水果!$X798="公司筐",N(对接源_01水果!$U798)&lt;&gt;0)),1,0)</f>
        <v>0</v>
      </c>
      <c r="S798" s="1" t="n">
        <f aca="false">N(S797)+$R798</f>
        <v>0</v>
      </c>
      <c r="T798" s="1" t="n">
        <f aca="false">IF(AND($K798=1,AND(对接源_01水果!$X798="公司筐",N(对接源_01水果!$V798)&lt;&gt;0)),1,0)</f>
        <v>0</v>
      </c>
      <c r="U798" s="1" t="n">
        <f aca="false">N(U797)+$T798</f>
        <v>28</v>
      </c>
      <c r="V798" s="1" t="n">
        <f aca="false">IF(AND($L798=1,AND(对接源_01水果!$X798="自备筐",N(对接源_01水果!$V798)&lt;&gt;0)),1,0)</f>
        <v>0</v>
      </c>
      <c r="W798" s="1" t="n">
        <f aca="false">N(W797)+$V798</f>
        <v>7</v>
      </c>
      <c r="X798" s="1" t="n">
        <f aca="false">IF(AND($L798=1,AND(对接源_01水果!$X798="自备筐",N(对接源_01水果!$T798)&lt;&gt;0)),1,0)</f>
        <v>0</v>
      </c>
      <c r="Y798" s="1" t="n">
        <f aca="false">N(Y797)+$X798</f>
        <v>0</v>
      </c>
      <c r="Z798" s="1" t="n">
        <f aca="false">IF(AND($M798=1,对接源_01水果!$D798="原料入库"),1,0)</f>
        <v>0</v>
      </c>
      <c r="AA798" s="1" t="n">
        <f aca="false">N(AA797)+$Z798</f>
        <v>30</v>
      </c>
      <c r="AB798" s="1" t="n">
        <f aca="false">IF(AND($M798=1,LEFT(对接源_01水果!$D798,4)="原料出库"),1,0)</f>
        <v>0</v>
      </c>
      <c r="AC798" s="1" t="n">
        <f aca="false">N(AC797)+$AB798</f>
        <v>19</v>
      </c>
      <c r="AD798" s="1" t="n">
        <f aca="false">IF(AND($M798=1,LEFT(对接源_01水果!$D798,4)="成品出库"),1,0)</f>
        <v>0</v>
      </c>
      <c r="AE798" s="1" t="n">
        <f aca="false">N(AE797)+$AD798</f>
        <v>38</v>
      </c>
      <c r="AF798" s="1" t="n">
        <f aca="false">IF(AND($N798=1,AND(LEFT(对接源_01水果!$D798,4)="包装物料",N(对接源_01水果!$K798)&lt;&gt;0)),1,0)</f>
        <v>0</v>
      </c>
      <c r="AG798" s="90" t="str">
        <f aca="false">IF(对接源_01水果!$AC798="","",对接源_01水果!$AC798)</f>
        <v/>
      </c>
      <c r="AH798" s="1" t="n">
        <f aca="false">IF(AND($N798=1,AND(LEFT(对接源_01水果!$D798,3)="周转筐",N(对接源_01水果!$K798)&lt;&gt;0)),1,0)</f>
        <v>0</v>
      </c>
      <c r="AI798" s="90" t="n">
        <f aca="false">IF(AG798="",0,IF(MATCH(AG798,$AG$4:$AG$1203,0)=ROW()-3,1,0))</f>
        <v>0</v>
      </c>
      <c r="AJ798" s="90" t="n">
        <f aca="false">N(AJ797)+AI798</f>
        <v>4</v>
      </c>
      <c r="AK798" s="1" t="n">
        <f aca="false">N(AK797)+$AJ798</f>
        <v>2052</v>
      </c>
    </row>
    <row r="799" customFormat="false" ht="13.5" hidden="false" customHeight="false" outlineLevel="0" collapsed="false">
      <c r="A799" s="1" t="str">
        <f aca="false">IF(对接源_01水果!$C799="","",对接源_01水果!$C799)</f>
        <v/>
      </c>
      <c r="B799" s="1" t="n">
        <f aca="false">IF(A799="",0,IF(MATCH(A799,$A$4:$A$2403,0)=ROW()-3,1,0))</f>
        <v>0</v>
      </c>
      <c r="C799" s="1" t="n">
        <f aca="false">N(C798)+B799</f>
        <v>13</v>
      </c>
      <c r="K799" s="1" t="n">
        <f aca="false">IF(OR($K$1="",对接源_01水果!$C799="",对接源_01水果!$C799&lt;&gt;$K$1,对接源_01水果!$B799=""),0,IF(OR(N(对接源_01水果!$B799)&lt;$K$2,N(对接源_01水果!$B799)&gt;$K$3),0,1))</f>
        <v>0</v>
      </c>
      <c r="L799" s="1" t="n">
        <f aca="false">IF(OR($L$1="",对接源_01水果!$C799="",对接源_01水果!$C799&lt;&gt;$L$1,对接源_01水果!$B799=""),0,IF(OR(N(对接源_01水果!$B799)&lt;$L$2,N(对接源_01水果!$B799)&gt;$L$3),0,1))</f>
        <v>0</v>
      </c>
      <c r="M799" s="1" t="n">
        <f aca="false">IF(OR($M$1="",对接源_01水果!$C799="",对接源_01水果!$C799&lt;&gt;$M$1,对接源_01水果!$B799=""),0,IF(OR(N(对接源_01水果!$B799)&lt;$M$2,N(对接源_01水果!$B799)&gt;$M$3),0,1))</f>
        <v>0</v>
      </c>
      <c r="N799" s="1" t="n">
        <f aca="false">IF(OR($N$1="",对接源_01水果!$C799="",对接源_01水果!$C799&lt;&gt;$N$1,对接源_01水果!$B799=""),0,IF(OR(N(对接源_01水果!$B799)&lt;$N$2,N(对接源_01水果!$B799)&gt;$N$3),0,1))</f>
        <v>0</v>
      </c>
      <c r="P799" s="1" t="n">
        <f aca="false">IF(AND($K799=1,AND(对接源_01水果!$X799="公司筐",N(对接源_01水果!$T799)&lt;&gt;0)),1,0)</f>
        <v>0</v>
      </c>
      <c r="Q799" s="1" t="n">
        <f aca="false">N(Q798)+$P799</f>
        <v>3</v>
      </c>
      <c r="R799" s="1" t="n">
        <f aca="false">IF(AND($K799=1,AND(对接源_01水果!$X799="公司筐",N(对接源_01水果!$U799)&lt;&gt;0)),1,0)</f>
        <v>0</v>
      </c>
      <c r="S799" s="1" t="n">
        <f aca="false">N(S798)+$R799</f>
        <v>0</v>
      </c>
      <c r="T799" s="1" t="n">
        <f aca="false">IF(AND($K799=1,AND(对接源_01水果!$X799="公司筐",N(对接源_01水果!$V799)&lt;&gt;0)),1,0)</f>
        <v>0</v>
      </c>
      <c r="U799" s="1" t="n">
        <f aca="false">N(U798)+$T799</f>
        <v>28</v>
      </c>
      <c r="V799" s="1" t="n">
        <f aca="false">IF(AND($L799=1,AND(对接源_01水果!$X799="自备筐",N(对接源_01水果!$V799)&lt;&gt;0)),1,0)</f>
        <v>0</v>
      </c>
      <c r="W799" s="1" t="n">
        <f aca="false">N(W798)+$V799</f>
        <v>7</v>
      </c>
      <c r="X799" s="1" t="n">
        <f aca="false">IF(AND($L799=1,AND(对接源_01水果!$X799="自备筐",N(对接源_01水果!$T799)&lt;&gt;0)),1,0)</f>
        <v>0</v>
      </c>
      <c r="Y799" s="1" t="n">
        <f aca="false">N(Y798)+$X799</f>
        <v>0</v>
      </c>
      <c r="Z799" s="1" t="n">
        <f aca="false">IF(AND($M799=1,对接源_01水果!$D799="原料入库"),1,0)</f>
        <v>0</v>
      </c>
      <c r="AA799" s="1" t="n">
        <f aca="false">N(AA798)+$Z799</f>
        <v>30</v>
      </c>
      <c r="AB799" s="1" t="n">
        <f aca="false">IF(AND($M799=1,LEFT(对接源_01水果!$D799,4)="原料出库"),1,0)</f>
        <v>0</v>
      </c>
      <c r="AC799" s="1" t="n">
        <f aca="false">N(AC798)+$AB799</f>
        <v>19</v>
      </c>
      <c r="AD799" s="1" t="n">
        <f aca="false">IF(AND($M799=1,LEFT(对接源_01水果!$D799,4)="成品出库"),1,0)</f>
        <v>0</v>
      </c>
      <c r="AE799" s="1" t="n">
        <f aca="false">N(AE798)+$AD799</f>
        <v>38</v>
      </c>
      <c r="AF799" s="1" t="n">
        <f aca="false">IF(AND($N799=1,AND(LEFT(对接源_01水果!$D799,4)="包装物料",N(对接源_01水果!$K799)&lt;&gt;0)),1,0)</f>
        <v>0</v>
      </c>
      <c r="AG799" s="90" t="str">
        <f aca="false">IF(对接源_01水果!$AC799="","",对接源_01水果!$AC799)</f>
        <v/>
      </c>
      <c r="AH799" s="1" t="n">
        <f aca="false">IF(AND($N799=1,AND(LEFT(对接源_01水果!$D799,3)="周转筐",N(对接源_01水果!$K799)&lt;&gt;0)),1,0)</f>
        <v>0</v>
      </c>
      <c r="AI799" s="90" t="n">
        <f aca="false">IF(AG799="",0,IF(MATCH(AG799,$AG$4:$AG$1203,0)=ROW()-3,1,0))</f>
        <v>0</v>
      </c>
      <c r="AJ799" s="90" t="n">
        <f aca="false">N(AJ798)+AI799</f>
        <v>4</v>
      </c>
      <c r="AK799" s="1" t="n">
        <f aca="false">N(AK798)+$AJ799</f>
        <v>2056</v>
      </c>
    </row>
    <row r="800" customFormat="false" ht="13.5" hidden="false" customHeight="false" outlineLevel="0" collapsed="false">
      <c r="A800" s="1" t="str">
        <f aca="false">IF(对接源_01水果!$C800="","",对接源_01水果!$C800)</f>
        <v/>
      </c>
      <c r="B800" s="1" t="n">
        <f aca="false">IF(A800="",0,IF(MATCH(A800,$A$4:$A$2403,0)=ROW()-3,1,0))</f>
        <v>0</v>
      </c>
      <c r="C800" s="1" t="n">
        <f aca="false">N(C799)+B800</f>
        <v>13</v>
      </c>
      <c r="K800" s="1" t="n">
        <f aca="false">IF(OR($K$1="",对接源_01水果!$C800="",对接源_01水果!$C800&lt;&gt;$K$1,对接源_01水果!$B800=""),0,IF(OR(N(对接源_01水果!$B800)&lt;$K$2,N(对接源_01水果!$B800)&gt;$K$3),0,1))</f>
        <v>0</v>
      </c>
      <c r="L800" s="1" t="n">
        <f aca="false">IF(OR($L$1="",对接源_01水果!$C800="",对接源_01水果!$C800&lt;&gt;$L$1,对接源_01水果!$B800=""),0,IF(OR(N(对接源_01水果!$B800)&lt;$L$2,N(对接源_01水果!$B800)&gt;$L$3),0,1))</f>
        <v>0</v>
      </c>
      <c r="M800" s="1" t="n">
        <f aca="false">IF(OR($M$1="",对接源_01水果!$C800="",对接源_01水果!$C800&lt;&gt;$M$1,对接源_01水果!$B800=""),0,IF(OR(N(对接源_01水果!$B800)&lt;$M$2,N(对接源_01水果!$B800)&gt;$M$3),0,1))</f>
        <v>0</v>
      </c>
      <c r="N800" s="1" t="n">
        <f aca="false">IF(OR($N$1="",对接源_01水果!$C800="",对接源_01水果!$C800&lt;&gt;$N$1,对接源_01水果!$B800=""),0,IF(OR(N(对接源_01水果!$B800)&lt;$N$2,N(对接源_01水果!$B800)&gt;$N$3),0,1))</f>
        <v>0</v>
      </c>
      <c r="P800" s="1" t="n">
        <f aca="false">IF(AND($K800=1,AND(对接源_01水果!$X800="公司筐",N(对接源_01水果!$T800)&lt;&gt;0)),1,0)</f>
        <v>0</v>
      </c>
      <c r="Q800" s="1" t="n">
        <f aca="false">N(Q799)+$P800</f>
        <v>3</v>
      </c>
      <c r="R800" s="1" t="n">
        <f aca="false">IF(AND($K800=1,AND(对接源_01水果!$X800="公司筐",N(对接源_01水果!$U800)&lt;&gt;0)),1,0)</f>
        <v>0</v>
      </c>
      <c r="S800" s="1" t="n">
        <f aca="false">N(S799)+$R800</f>
        <v>0</v>
      </c>
      <c r="T800" s="1" t="n">
        <f aca="false">IF(AND($K800=1,AND(对接源_01水果!$X800="公司筐",N(对接源_01水果!$V800)&lt;&gt;0)),1,0)</f>
        <v>0</v>
      </c>
      <c r="U800" s="1" t="n">
        <f aca="false">N(U799)+$T800</f>
        <v>28</v>
      </c>
      <c r="V800" s="1" t="n">
        <f aca="false">IF(AND($L800=1,AND(对接源_01水果!$X800="自备筐",N(对接源_01水果!$V800)&lt;&gt;0)),1,0)</f>
        <v>0</v>
      </c>
      <c r="W800" s="1" t="n">
        <f aca="false">N(W799)+$V800</f>
        <v>7</v>
      </c>
      <c r="X800" s="1" t="n">
        <f aca="false">IF(AND($L800=1,AND(对接源_01水果!$X800="自备筐",N(对接源_01水果!$T800)&lt;&gt;0)),1,0)</f>
        <v>0</v>
      </c>
      <c r="Y800" s="1" t="n">
        <f aca="false">N(Y799)+$X800</f>
        <v>0</v>
      </c>
      <c r="Z800" s="1" t="n">
        <f aca="false">IF(AND($M800=1,对接源_01水果!$D800="原料入库"),1,0)</f>
        <v>0</v>
      </c>
      <c r="AA800" s="1" t="n">
        <f aca="false">N(AA799)+$Z800</f>
        <v>30</v>
      </c>
      <c r="AB800" s="1" t="n">
        <f aca="false">IF(AND($M800=1,LEFT(对接源_01水果!$D800,4)="原料出库"),1,0)</f>
        <v>0</v>
      </c>
      <c r="AC800" s="1" t="n">
        <f aca="false">N(AC799)+$AB800</f>
        <v>19</v>
      </c>
      <c r="AD800" s="1" t="n">
        <f aca="false">IF(AND($M800=1,LEFT(对接源_01水果!$D800,4)="成品出库"),1,0)</f>
        <v>0</v>
      </c>
      <c r="AE800" s="1" t="n">
        <f aca="false">N(AE799)+$AD800</f>
        <v>38</v>
      </c>
      <c r="AF800" s="1" t="n">
        <f aca="false">IF(AND($N800=1,AND(LEFT(对接源_01水果!$D800,4)="包装物料",N(对接源_01水果!$K800)&lt;&gt;0)),1,0)</f>
        <v>0</v>
      </c>
      <c r="AG800" s="90" t="str">
        <f aca="false">IF(对接源_01水果!$AC800="","",对接源_01水果!$AC800)</f>
        <v/>
      </c>
      <c r="AH800" s="1" t="n">
        <f aca="false">IF(AND($N800=1,AND(LEFT(对接源_01水果!$D800,3)="周转筐",N(对接源_01水果!$K800)&lt;&gt;0)),1,0)</f>
        <v>0</v>
      </c>
      <c r="AI800" s="90" t="n">
        <f aca="false">IF(AG800="",0,IF(MATCH(AG800,$AG$4:$AG$1203,0)=ROW()-3,1,0))</f>
        <v>0</v>
      </c>
      <c r="AJ800" s="90" t="n">
        <f aca="false">N(AJ799)+AI800</f>
        <v>4</v>
      </c>
      <c r="AK800" s="1" t="n">
        <f aca="false">N(AK799)+$AJ800</f>
        <v>2060</v>
      </c>
    </row>
    <row r="801" customFormat="false" ht="13.5" hidden="false" customHeight="false" outlineLevel="0" collapsed="false">
      <c r="A801" s="1" t="str">
        <f aca="false">IF(对接源_01水果!$C801="","",对接源_01水果!$C801)</f>
        <v/>
      </c>
      <c r="B801" s="1" t="n">
        <f aca="false">IF(A801="",0,IF(MATCH(A801,$A$4:$A$2403,0)=ROW()-3,1,0))</f>
        <v>0</v>
      </c>
      <c r="C801" s="1" t="n">
        <f aca="false">N(C800)+B801</f>
        <v>13</v>
      </c>
      <c r="K801" s="1" t="n">
        <f aca="false">IF(OR($K$1="",对接源_01水果!$C801="",对接源_01水果!$C801&lt;&gt;$K$1,对接源_01水果!$B801=""),0,IF(OR(N(对接源_01水果!$B801)&lt;$K$2,N(对接源_01水果!$B801)&gt;$K$3),0,1))</f>
        <v>0</v>
      </c>
      <c r="L801" s="1" t="n">
        <f aca="false">IF(OR($L$1="",对接源_01水果!$C801="",对接源_01水果!$C801&lt;&gt;$L$1,对接源_01水果!$B801=""),0,IF(OR(N(对接源_01水果!$B801)&lt;$L$2,N(对接源_01水果!$B801)&gt;$L$3),0,1))</f>
        <v>0</v>
      </c>
      <c r="M801" s="1" t="n">
        <f aca="false">IF(OR($M$1="",对接源_01水果!$C801="",对接源_01水果!$C801&lt;&gt;$M$1,对接源_01水果!$B801=""),0,IF(OR(N(对接源_01水果!$B801)&lt;$M$2,N(对接源_01水果!$B801)&gt;$M$3),0,1))</f>
        <v>0</v>
      </c>
      <c r="N801" s="1" t="n">
        <f aca="false">IF(OR($N$1="",对接源_01水果!$C801="",对接源_01水果!$C801&lt;&gt;$N$1,对接源_01水果!$B801=""),0,IF(OR(N(对接源_01水果!$B801)&lt;$N$2,N(对接源_01水果!$B801)&gt;$N$3),0,1))</f>
        <v>0</v>
      </c>
      <c r="P801" s="1" t="n">
        <f aca="false">IF(AND($K801=1,AND(对接源_01水果!$X801="公司筐",N(对接源_01水果!$T801)&lt;&gt;0)),1,0)</f>
        <v>0</v>
      </c>
      <c r="Q801" s="1" t="n">
        <f aca="false">N(Q800)+$P801</f>
        <v>3</v>
      </c>
      <c r="R801" s="1" t="n">
        <f aca="false">IF(AND($K801=1,AND(对接源_01水果!$X801="公司筐",N(对接源_01水果!$U801)&lt;&gt;0)),1,0)</f>
        <v>0</v>
      </c>
      <c r="S801" s="1" t="n">
        <f aca="false">N(S800)+$R801</f>
        <v>0</v>
      </c>
      <c r="T801" s="1" t="n">
        <f aca="false">IF(AND($K801=1,AND(对接源_01水果!$X801="公司筐",N(对接源_01水果!$V801)&lt;&gt;0)),1,0)</f>
        <v>0</v>
      </c>
      <c r="U801" s="1" t="n">
        <f aca="false">N(U800)+$T801</f>
        <v>28</v>
      </c>
      <c r="V801" s="1" t="n">
        <f aca="false">IF(AND($L801=1,AND(对接源_01水果!$X801="自备筐",N(对接源_01水果!$V801)&lt;&gt;0)),1,0)</f>
        <v>0</v>
      </c>
      <c r="W801" s="1" t="n">
        <f aca="false">N(W800)+$V801</f>
        <v>7</v>
      </c>
      <c r="X801" s="1" t="n">
        <f aca="false">IF(AND($L801=1,AND(对接源_01水果!$X801="自备筐",N(对接源_01水果!$T801)&lt;&gt;0)),1,0)</f>
        <v>0</v>
      </c>
      <c r="Y801" s="1" t="n">
        <f aca="false">N(Y800)+$X801</f>
        <v>0</v>
      </c>
      <c r="Z801" s="1" t="n">
        <f aca="false">IF(AND($M801=1,对接源_01水果!$D801="原料入库"),1,0)</f>
        <v>0</v>
      </c>
      <c r="AA801" s="1" t="n">
        <f aca="false">N(AA800)+$Z801</f>
        <v>30</v>
      </c>
      <c r="AB801" s="1" t="n">
        <f aca="false">IF(AND($M801=1,LEFT(对接源_01水果!$D801,4)="原料出库"),1,0)</f>
        <v>0</v>
      </c>
      <c r="AC801" s="1" t="n">
        <f aca="false">N(AC800)+$AB801</f>
        <v>19</v>
      </c>
      <c r="AD801" s="1" t="n">
        <f aca="false">IF(AND($M801=1,LEFT(对接源_01水果!$D801,4)="成品出库"),1,0)</f>
        <v>0</v>
      </c>
      <c r="AE801" s="1" t="n">
        <f aca="false">N(AE800)+$AD801</f>
        <v>38</v>
      </c>
      <c r="AF801" s="1" t="n">
        <f aca="false">IF(AND($N801=1,AND(LEFT(对接源_01水果!$D801,4)="包装物料",N(对接源_01水果!$K801)&lt;&gt;0)),1,0)</f>
        <v>0</v>
      </c>
      <c r="AG801" s="90" t="str">
        <f aca="false">IF(对接源_01水果!$AC801="","",对接源_01水果!$AC801)</f>
        <v/>
      </c>
      <c r="AH801" s="1" t="n">
        <f aca="false">IF(AND($N801=1,AND(LEFT(对接源_01水果!$D801,3)="周转筐",N(对接源_01水果!$K801)&lt;&gt;0)),1,0)</f>
        <v>0</v>
      </c>
      <c r="AI801" s="90" t="n">
        <f aca="false">IF(AG801="",0,IF(MATCH(AG801,$AG$4:$AG$1203,0)=ROW()-3,1,0))</f>
        <v>0</v>
      </c>
      <c r="AJ801" s="90" t="n">
        <f aca="false">N(AJ800)+AI801</f>
        <v>4</v>
      </c>
      <c r="AK801" s="1" t="n">
        <f aca="false">N(AK800)+$AJ801</f>
        <v>2064</v>
      </c>
    </row>
    <row r="802" customFormat="false" ht="13.5" hidden="false" customHeight="false" outlineLevel="0" collapsed="false">
      <c r="A802" s="1" t="str">
        <f aca="false">IF(对接源_01水果!$C802="","",对接源_01水果!$C802)</f>
        <v/>
      </c>
      <c r="B802" s="1" t="n">
        <f aca="false">IF(A802="",0,IF(MATCH(A802,$A$4:$A$2403,0)=ROW()-3,1,0))</f>
        <v>0</v>
      </c>
      <c r="C802" s="1" t="n">
        <f aca="false">N(C801)+B802</f>
        <v>13</v>
      </c>
      <c r="K802" s="1" t="n">
        <f aca="false">IF(OR($K$1="",对接源_01水果!$C802="",对接源_01水果!$C802&lt;&gt;$K$1,对接源_01水果!$B802=""),0,IF(OR(N(对接源_01水果!$B802)&lt;$K$2,N(对接源_01水果!$B802)&gt;$K$3),0,1))</f>
        <v>0</v>
      </c>
      <c r="L802" s="1" t="n">
        <f aca="false">IF(OR($L$1="",对接源_01水果!$C802="",对接源_01水果!$C802&lt;&gt;$L$1,对接源_01水果!$B802=""),0,IF(OR(N(对接源_01水果!$B802)&lt;$L$2,N(对接源_01水果!$B802)&gt;$L$3),0,1))</f>
        <v>0</v>
      </c>
      <c r="M802" s="1" t="n">
        <f aca="false">IF(OR($M$1="",对接源_01水果!$C802="",对接源_01水果!$C802&lt;&gt;$M$1,对接源_01水果!$B802=""),0,IF(OR(N(对接源_01水果!$B802)&lt;$M$2,N(对接源_01水果!$B802)&gt;$M$3),0,1))</f>
        <v>0</v>
      </c>
      <c r="N802" s="1" t="n">
        <f aca="false">IF(OR($N$1="",对接源_01水果!$C802="",对接源_01水果!$C802&lt;&gt;$N$1,对接源_01水果!$B802=""),0,IF(OR(N(对接源_01水果!$B802)&lt;$N$2,N(对接源_01水果!$B802)&gt;$N$3),0,1))</f>
        <v>0</v>
      </c>
      <c r="P802" s="1" t="n">
        <f aca="false">IF(AND($K802=1,AND(对接源_01水果!$X802="公司筐",N(对接源_01水果!$T802)&lt;&gt;0)),1,0)</f>
        <v>0</v>
      </c>
      <c r="Q802" s="1" t="n">
        <f aca="false">N(Q801)+$P802</f>
        <v>3</v>
      </c>
      <c r="R802" s="1" t="n">
        <f aca="false">IF(AND($K802=1,AND(对接源_01水果!$X802="公司筐",N(对接源_01水果!$U802)&lt;&gt;0)),1,0)</f>
        <v>0</v>
      </c>
      <c r="S802" s="1" t="n">
        <f aca="false">N(S801)+$R802</f>
        <v>0</v>
      </c>
      <c r="T802" s="1" t="n">
        <f aca="false">IF(AND($K802=1,AND(对接源_01水果!$X802="公司筐",N(对接源_01水果!$V802)&lt;&gt;0)),1,0)</f>
        <v>0</v>
      </c>
      <c r="U802" s="1" t="n">
        <f aca="false">N(U801)+$T802</f>
        <v>28</v>
      </c>
      <c r="V802" s="1" t="n">
        <f aca="false">IF(AND($L802=1,AND(对接源_01水果!$X802="自备筐",N(对接源_01水果!$V802)&lt;&gt;0)),1,0)</f>
        <v>0</v>
      </c>
      <c r="W802" s="1" t="n">
        <f aca="false">N(W801)+$V802</f>
        <v>7</v>
      </c>
      <c r="X802" s="1" t="n">
        <f aca="false">IF(AND($L802=1,AND(对接源_01水果!$X802="自备筐",N(对接源_01水果!$T802)&lt;&gt;0)),1,0)</f>
        <v>0</v>
      </c>
      <c r="Y802" s="1" t="n">
        <f aca="false">N(Y801)+$X802</f>
        <v>0</v>
      </c>
      <c r="Z802" s="1" t="n">
        <f aca="false">IF(AND($M802=1,对接源_01水果!$D802="原料入库"),1,0)</f>
        <v>0</v>
      </c>
      <c r="AA802" s="1" t="n">
        <f aca="false">N(AA801)+$Z802</f>
        <v>30</v>
      </c>
      <c r="AB802" s="1" t="n">
        <f aca="false">IF(AND($M802=1,LEFT(对接源_01水果!$D802,4)="原料出库"),1,0)</f>
        <v>0</v>
      </c>
      <c r="AC802" s="1" t="n">
        <f aca="false">N(AC801)+$AB802</f>
        <v>19</v>
      </c>
      <c r="AD802" s="1" t="n">
        <f aca="false">IF(AND($M802=1,LEFT(对接源_01水果!$D802,4)="成品出库"),1,0)</f>
        <v>0</v>
      </c>
      <c r="AE802" s="1" t="n">
        <f aca="false">N(AE801)+$AD802</f>
        <v>38</v>
      </c>
      <c r="AF802" s="1" t="n">
        <f aca="false">IF(AND($N802=1,AND(LEFT(对接源_01水果!$D802,4)="包装物料",N(对接源_01水果!$K802)&lt;&gt;0)),1,0)</f>
        <v>0</v>
      </c>
      <c r="AG802" s="90" t="str">
        <f aca="false">IF(对接源_01水果!$AC802="","",对接源_01水果!$AC802)</f>
        <v/>
      </c>
      <c r="AH802" s="1" t="n">
        <f aca="false">IF(AND($N802=1,AND(LEFT(对接源_01水果!$D802,3)="周转筐",N(对接源_01水果!$K802)&lt;&gt;0)),1,0)</f>
        <v>0</v>
      </c>
      <c r="AI802" s="90" t="n">
        <f aca="false">IF(AG802="",0,IF(MATCH(AG802,$AG$4:$AG$1203,0)=ROW()-3,1,0))</f>
        <v>0</v>
      </c>
      <c r="AJ802" s="90" t="n">
        <f aca="false">N(AJ801)+AI802</f>
        <v>4</v>
      </c>
      <c r="AK802" s="1" t="n">
        <f aca="false">N(AK801)+$AJ802</f>
        <v>2068</v>
      </c>
    </row>
    <row r="803" customFormat="false" ht="13.5" hidden="false" customHeight="false" outlineLevel="0" collapsed="false">
      <c r="A803" s="1" t="str">
        <f aca="false">IF(对接源_01水果!$C803="","",对接源_01水果!$C803)</f>
        <v/>
      </c>
      <c r="B803" s="1" t="n">
        <f aca="false">IF(A803="",0,IF(MATCH(A803,$A$4:$A$2403,0)=ROW()-3,1,0))</f>
        <v>0</v>
      </c>
      <c r="C803" s="1" t="n">
        <f aca="false">N(C802)+B803</f>
        <v>13</v>
      </c>
      <c r="K803" s="1" t="n">
        <f aca="false">IF(OR($K$1="",对接源_01水果!$C803="",对接源_01水果!$C803&lt;&gt;$K$1,对接源_01水果!$B803=""),0,IF(OR(N(对接源_01水果!$B803)&lt;$K$2,N(对接源_01水果!$B803)&gt;$K$3),0,1))</f>
        <v>0</v>
      </c>
      <c r="L803" s="1" t="n">
        <f aca="false">IF(OR($L$1="",对接源_01水果!$C803="",对接源_01水果!$C803&lt;&gt;$L$1,对接源_01水果!$B803=""),0,IF(OR(N(对接源_01水果!$B803)&lt;$L$2,N(对接源_01水果!$B803)&gt;$L$3),0,1))</f>
        <v>0</v>
      </c>
      <c r="M803" s="1" t="n">
        <f aca="false">IF(OR($M$1="",对接源_01水果!$C803="",对接源_01水果!$C803&lt;&gt;$M$1,对接源_01水果!$B803=""),0,IF(OR(N(对接源_01水果!$B803)&lt;$M$2,N(对接源_01水果!$B803)&gt;$M$3),0,1))</f>
        <v>0</v>
      </c>
      <c r="N803" s="1" t="n">
        <f aca="false">IF(OR($N$1="",对接源_01水果!$C803="",对接源_01水果!$C803&lt;&gt;$N$1,对接源_01水果!$B803=""),0,IF(OR(N(对接源_01水果!$B803)&lt;$N$2,N(对接源_01水果!$B803)&gt;$N$3),0,1))</f>
        <v>0</v>
      </c>
      <c r="P803" s="1" t="n">
        <f aca="false">IF(AND($K803=1,AND(对接源_01水果!$X803="公司筐",N(对接源_01水果!$T803)&lt;&gt;0)),1,0)</f>
        <v>0</v>
      </c>
      <c r="Q803" s="1" t="n">
        <f aca="false">N(Q802)+$P803</f>
        <v>3</v>
      </c>
      <c r="R803" s="1" t="n">
        <f aca="false">IF(AND($K803=1,AND(对接源_01水果!$X803="公司筐",N(对接源_01水果!$U803)&lt;&gt;0)),1,0)</f>
        <v>0</v>
      </c>
      <c r="S803" s="1" t="n">
        <f aca="false">N(S802)+$R803</f>
        <v>0</v>
      </c>
      <c r="T803" s="1" t="n">
        <f aca="false">IF(AND($K803=1,AND(对接源_01水果!$X803="公司筐",N(对接源_01水果!$V803)&lt;&gt;0)),1,0)</f>
        <v>0</v>
      </c>
      <c r="U803" s="1" t="n">
        <f aca="false">N(U802)+$T803</f>
        <v>28</v>
      </c>
      <c r="V803" s="1" t="n">
        <f aca="false">IF(AND($L803=1,AND(对接源_01水果!$X803="自备筐",N(对接源_01水果!$V803)&lt;&gt;0)),1,0)</f>
        <v>0</v>
      </c>
      <c r="W803" s="1" t="n">
        <f aca="false">N(W802)+$V803</f>
        <v>7</v>
      </c>
      <c r="X803" s="1" t="n">
        <f aca="false">IF(AND($L803=1,AND(对接源_01水果!$X803="自备筐",N(对接源_01水果!$T803)&lt;&gt;0)),1,0)</f>
        <v>0</v>
      </c>
      <c r="Y803" s="1" t="n">
        <f aca="false">N(Y802)+$X803</f>
        <v>0</v>
      </c>
      <c r="Z803" s="1" t="n">
        <f aca="false">IF(AND($M803=1,对接源_01水果!$D803="原料入库"),1,0)</f>
        <v>0</v>
      </c>
      <c r="AA803" s="1" t="n">
        <f aca="false">N(AA802)+$Z803</f>
        <v>30</v>
      </c>
      <c r="AB803" s="1" t="n">
        <f aca="false">IF(AND($M803=1,LEFT(对接源_01水果!$D803,4)="原料出库"),1,0)</f>
        <v>0</v>
      </c>
      <c r="AC803" s="1" t="n">
        <f aca="false">N(AC802)+$AB803</f>
        <v>19</v>
      </c>
      <c r="AD803" s="1" t="n">
        <f aca="false">IF(AND($M803=1,LEFT(对接源_01水果!$D803,4)="成品出库"),1,0)</f>
        <v>0</v>
      </c>
      <c r="AE803" s="1" t="n">
        <f aca="false">N(AE802)+$AD803</f>
        <v>38</v>
      </c>
      <c r="AF803" s="1" t="n">
        <f aca="false">IF(AND($N803=1,AND(LEFT(对接源_01水果!$D803,4)="包装物料",N(对接源_01水果!$K803)&lt;&gt;0)),1,0)</f>
        <v>0</v>
      </c>
      <c r="AG803" s="90" t="str">
        <f aca="false">IF(对接源_01水果!$AC803="","",对接源_01水果!$AC803)</f>
        <v/>
      </c>
      <c r="AH803" s="1" t="n">
        <f aca="false">IF(AND($N803=1,AND(LEFT(对接源_01水果!$D803,3)="周转筐",N(对接源_01水果!$K803)&lt;&gt;0)),1,0)</f>
        <v>0</v>
      </c>
      <c r="AI803" s="90" t="n">
        <f aca="false">IF(AG803="",0,IF(MATCH(AG803,$AG$4:$AG$1203,0)=ROW()-3,1,0))</f>
        <v>0</v>
      </c>
      <c r="AJ803" s="90" t="n">
        <f aca="false">N(AJ802)+AI803</f>
        <v>4</v>
      </c>
      <c r="AK803" s="1" t="n">
        <f aca="false">N(AK802)+$AJ803</f>
        <v>2072</v>
      </c>
    </row>
    <row r="804" customFormat="false" ht="13.5" hidden="false" customHeight="false" outlineLevel="0" collapsed="false">
      <c r="A804" s="1" t="str">
        <f aca="false">IF(对接源_01水果!$C804="","",对接源_01水果!$C804)</f>
        <v/>
      </c>
      <c r="B804" s="1" t="n">
        <f aca="false">IF(A804="",0,IF(MATCH(A804,$A$4:$A$2403,0)=ROW()-3,1,0))</f>
        <v>0</v>
      </c>
      <c r="C804" s="1" t="n">
        <f aca="false">N(C803)+B804</f>
        <v>13</v>
      </c>
      <c r="K804" s="1" t="n">
        <f aca="false">IF(OR($K$1="",对接源_01水果!$C804="",对接源_01水果!$C804&lt;&gt;$K$1,对接源_01水果!$B804=""),0,IF(OR(N(对接源_01水果!$B804)&lt;$K$2,N(对接源_01水果!$B804)&gt;$K$3),0,1))</f>
        <v>0</v>
      </c>
      <c r="L804" s="1" t="n">
        <f aca="false">IF(OR($L$1="",对接源_01水果!$C804="",对接源_01水果!$C804&lt;&gt;$L$1,对接源_01水果!$B804=""),0,IF(OR(N(对接源_01水果!$B804)&lt;$L$2,N(对接源_01水果!$B804)&gt;$L$3),0,1))</f>
        <v>0</v>
      </c>
      <c r="M804" s="1" t="n">
        <f aca="false">IF(OR($M$1="",对接源_01水果!$C804="",对接源_01水果!$C804&lt;&gt;$M$1,对接源_01水果!$B804=""),0,IF(OR(N(对接源_01水果!$B804)&lt;$M$2,N(对接源_01水果!$B804)&gt;$M$3),0,1))</f>
        <v>0</v>
      </c>
      <c r="N804" s="1" t="n">
        <f aca="false">IF(OR($N$1="",对接源_01水果!$C804="",对接源_01水果!$C804&lt;&gt;$N$1,对接源_01水果!$B804=""),0,IF(OR(N(对接源_01水果!$B804)&lt;$N$2,N(对接源_01水果!$B804)&gt;$N$3),0,1))</f>
        <v>0</v>
      </c>
      <c r="P804" s="1" t="n">
        <f aca="false">IF(AND($K804=1,AND(对接源_01水果!$X804="公司筐",N(对接源_01水果!$T804)&lt;&gt;0)),1,0)</f>
        <v>0</v>
      </c>
      <c r="Q804" s="1" t="n">
        <f aca="false">N(Q803)+$P804</f>
        <v>3</v>
      </c>
      <c r="R804" s="1" t="n">
        <f aca="false">IF(AND($K804=1,AND(对接源_01水果!$X804="公司筐",N(对接源_01水果!$U804)&lt;&gt;0)),1,0)</f>
        <v>0</v>
      </c>
      <c r="S804" s="1" t="n">
        <f aca="false">N(S803)+$R804</f>
        <v>0</v>
      </c>
      <c r="T804" s="1" t="n">
        <f aca="false">IF(AND($K804=1,AND(对接源_01水果!$X804="公司筐",N(对接源_01水果!$V804)&lt;&gt;0)),1,0)</f>
        <v>0</v>
      </c>
      <c r="U804" s="1" t="n">
        <f aca="false">N(U803)+$T804</f>
        <v>28</v>
      </c>
      <c r="V804" s="1" t="n">
        <f aca="false">IF(AND($L804=1,AND(对接源_01水果!$X804="自备筐",N(对接源_01水果!$V804)&lt;&gt;0)),1,0)</f>
        <v>0</v>
      </c>
      <c r="W804" s="1" t="n">
        <f aca="false">N(W803)+$V804</f>
        <v>7</v>
      </c>
      <c r="X804" s="1" t="n">
        <f aca="false">IF(AND($L804=1,AND(对接源_01水果!$X804="自备筐",N(对接源_01水果!$T804)&lt;&gt;0)),1,0)</f>
        <v>0</v>
      </c>
      <c r="Y804" s="1" t="n">
        <f aca="false">N(Y803)+$X804</f>
        <v>0</v>
      </c>
      <c r="Z804" s="1" t="n">
        <f aca="false">IF(AND($M804=1,对接源_01水果!$D804="原料入库"),1,0)</f>
        <v>0</v>
      </c>
      <c r="AA804" s="1" t="n">
        <f aca="false">N(AA803)+$Z804</f>
        <v>30</v>
      </c>
      <c r="AB804" s="1" t="n">
        <f aca="false">IF(AND($M804=1,LEFT(对接源_01水果!$D804,4)="原料出库"),1,0)</f>
        <v>0</v>
      </c>
      <c r="AC804" s="1" t="n">
        <f aca="false">N(AC803)+$AB804</f>
        <v>19</v>
      </c>
      <c r="AD804" s="1" t="n">
        <f aca="false">IF(AND($M804=1,LEFT(对接源_01水果!$D804,4)="成品出库"),1,0)</f>
        <v>0</v>
      </c>
      <c r="AE804" s="1" t="n">
        <f aca="false">N(AE803)+$AD804</f>
        <v>38</v>
      </c>
      <c r="AF804" s="1" t="n">
        <f aca="false">IF(AND($N804=1,AND(LEFT(对接源_01水果!$D804,4)="包装物料",N(对接源_01水果!$K804)&lt;&gt;0)),1,0)</f>
        <v>0</v>
      </c>
      <c r="AG804" s="90" t="str">
        <f aca="false">IF(对接源_01水果!$AC804="","",对接源_01水果!$AC804)</f>
        <v/>
      </c>
      <c r="AH804" s="1" t="n">
        <f aca="false">IF(AND($N804=1,AND(LEFT(对接源_01水果!$D804,3)="周转筐",N(对接源_01水果!$K804)&lt;&gt;0)),1,0)</f>
        <v>0</v>
      </c>
      <c r="AI804" s="90" t="n">
        <f aca="false">IF(AG804="",0,IF(MATCH(AG804,$AG$4:$AG$1203,0)=ROW()-3,1,0))</f>
        <v>0</v>
      </c>
      <c r="AJ804" s="90" t="n">
        <f aca="false">N(AJ803)+AI804</f>
        <v>4</v>
      </c>
      <c r="AK804" s="1" t="n">
        <f aca="false">N(AK803)+$AJ804</f>
        <v>2076</v>
      </c>
    </row>
    <row r="805" customFormat="false" ht="13.5" hidden="false" customHeight="false" outlineLevel="0" collapsed="false">
      <c r="A805" s="1" t="str">
        <f aca="false">IF(对接源_01水果!$C805="","",对接源_01水果!$C805)</f>
        <v/>
      </c>
      <c r="B805" s="1" t="n">
        <f aca="false">IF(A805="",0,IF(MATCH(A805,$A$4:$A$2403,0)=ROW()-3,1,0))</f>
        <v>0</v>
      </c>
      <c r="C805" s="1" t="n">
        <f aca="false">N(C804)+B805</f>
        <v>13</v>
      </c>
      <c r="K805" s="1" t="n">
        <f aca="false">IF(OR($K$1="",对接源_01水果!$C805="",对接源_01水果!$C805&lt;&gt;$K$1,对接源_01水果!$B805=""),0,IF(OR(N(对接源_01水果!$B805)&lt;$K$2,N(对接源_01水果!$B805)&gt;$K$3),0,1))</f>
        <v>0</v>
      </c>
      <c r="L805" s="1" t="n">
        <f aca="false">IF(OR($L$1="",对接源_01水果!$C805="",对接源_01水果!$C805&lt;&gt;$L$1,对接源_01水果!$B805=""),0,IF(OR(N(对接源_01水果!$B805)&lt;$L$2,N(对接源_01水果!$B805)&gt;$L$3),0,1))</f>
        <v>0</v>
      </c>
      <c r="M805" s="1" t="n">
        <f aca="false">IF(OR($M$1="",对接源_01水果!$C805="",对接源_01水果!$C805&lt;&gt;$M$1,对接源_01水果!$B805=""),0,IF(OR(N(对接源_01水果!$B805)&lt;$M$2,N(对接源_01水果!$B805)&gt;$M$3),0,1))</f>
        <v>0</v>
      </c>
      <c r="N805" s="1" t="n">
        <f aca="false">IF(OR($N$1="",对接源_01水果!$C805="",对接源_01水果!$C805&lt;&gt;$N$1,对接源_01水果!$B805=""),0,IF(OR(N(对接源_01水果!$B805)&lt;$N$2,N(对接源_01水果!$B805)&gt;$N$3),0,1))</f>
        <v>0</v>
      </c>
      <c r="P805" s="1" t="n">
        <f aca="false">IF(AND($K805=1,AND(对接源_01水果!$X805="公司筐",N(对接源_01水果!$T805)&lt;&gt;0)),1,0)</f>
        <v>0</v>
      </c>
      <c r="Q805" s="1" t="n">
        <f aca="false">N(Q804)+$P805</f>
        <v>3</v>
      </c>
      <c r="R805" s="1" t="n">
        <f aca="false">IF(AND($K805=1,AND(对接源_01水果!$X805="公司筐",N(对接源_01水果!$U805)&lt;&gt;0)),1,0)</f>
        <v>0</v>
      </c>
      <c r="S805" s="1" t="n">
        <f aca="false">N(S804)+$R805</f>
        <v>0</v>
      </c>
      <c r="T805" s="1" t="n">
        <f aca="false">IF(AND($K805=1,AND(对接源_01水果!$X805="公司筐",N(对接源_01水果!$V805)&lt;&gt;0)),1,0)</f>
        <v>0</v>
      </c>
      <c r="U805" s="1" t="n">
        <f aca="false">N(U804)+$T805</f>
        <v>28</v>
      </c>
      <c r="V805" s="1" t="n">
        <f aca="false">IF(AND($L805=1,AND(对接源_01水果!$X805="自备筐",N(对接源_01水果!$V805)&lt;&gt;0)),1,0)</f>
        <v>0</v>
      </c>
      <c r="W805" s="1" t="n">
        <f aca="false">N(W804)+$V805</f>
        <v>7</v>
      </c>
      <c r="X805" s="1" t="n">
        <f aca="false">IF(AND($L805=1,AND(对接源_01水果!$X805="自备筐",N(对接源_01水果!$T805)&lt;&gt;0)),1,0)</f>
        <v>0</v>
      </c>
      <c r="Y805" s="1" t="n">
        <f aca="false">N(Y804)+$X805</f>
        <v>0</v>
      </c>
      <c r="Z805" s="1" t="n">
        <f aca="false">IF(AND($M805=1,对接源_01水果!$D805="原料入库"),1,0)</f>
        <v>0</v>
      </c>
      <c r="AA805" s="1" t="n">
        <f aca="false">N(AA804)+$Z805</f>
        <v>30</v>
      </c>
      <c r="AB805" s="1" t="n">
        <f aca="false">IF(AND($M805=1,LEFT(对接源_01水果!$D805,4)="原料出库"),1,0)</f>
        <v>0</v>
      </c>
      <c r="AC805" s="1" t="n">
        <f aca="false">N(AC804)+$AB805</f>
        <v>19</v>
      </c>
      <c r="AD805" s="1" t="n">
        <f aca="false">IF(AND($M805=1,LEFT(对接源_01水果!$D805,4)="成品出库"),1,0)</f>
        <v>0</v>
      </c>
      <c r="AE805" s="1" t="n">
        <f aca="false">N(AE804)+$AD805</f>
        <v>38</v>
      </c>
      <c r="AF805" s="1" t="n">
        <f aca="false">IF(AND($N805=1,AND(LEFT(对接源_01水果!$D805,4)="包装物料",N(对接源_01水果!$K805)&lt;&gt;0)),1,0)</f>
        <v>0</v>
      </c>
      <c r="AG805" s="90" t="str">
        <f aca="false">IF(对接源_01水果!$AC805="","",对接源_01水果!$AC805)</f>
        <v/>
      </c>
      <c r="AH805" s="1" t="n">
        <f aca="false">IF(AND($N805=1,AND(LEFT(对接源_01水果!$D805,3)="周转筐",N(对接源_01水果!$K805)&lt;&gt;0)),1,0)</f>
        <v>0</v>
      </c>
      <c r="AI805" s="90" t="n">
        <f aca="false">IF(AG805="",0,IF(MATCH(AG805,$AG$4:$AG$1203,0)=ROW()-3,1,0))</f>
        <v>0</v>
      </c>
      <c r="AJ805" s="90" t="n">
        <f aca="false">N(AJ804)+AI805</f>
        <v>4</v>
      </c>
      <c r="AK805" s="1" t="n">
        <f aca="false">N(AK804)+$AJ805</f>
        <v>2080</v>
      </c>
    </row>
    <row r="806" customFormat="false" ht="13.5" hidden="false" customHeight="false" outlineLevel="0" collapsed="false">
      <c r="A806" s="1" t="str">
        <f aca="false">IF(对接源_01水果!$C806="","",对接源_01水果!$C806)</f>
        <v/>
      </c>
      <c r="B806" s="1" t="n">
        <f aca="false">IF(A806="",0,IF(MATCH(A806,$A$4:$A$2403,0)=ROW()-3,1,0))</f>
        <v>0</v>
      </c>
      <c r="C806" s="1" t="n">
        <f aca="false">N(C805)+B806</f>
        <v>13</v>
      </c>
      <c r="K806" s="1" t="n">
        <f aca="false">IF(OR($K$1="",对接源_01水果!$C806="",对接源_01水果!$C806&lt;&gt;$K$1,对接源_01水果!$B806=""),0,IF(OR(N(对接源_01水果!$B806)&lt;$K$2,N(对接源_01水果!$B806)&gt;$K$3),0,1))</f>
        <v>0</v>
      </c>
      <c r="L806" s="1" t="n">
        <f aca="false">IF(OR($L$1="",对接源_01水果!$C806="",对接源_01水果!$C806&lt;&gt;$L$1,对接源_01水果!$B806=""),0,IF(OR(N(对接源_01水果!$B806)&lt;$L$2,N(对接源_01水果!$B806)&gt;$L$3),0,1))</f>
        <v>0</v>
      </c>
      <c r="M806" s="1" t="n">
        <f aca="false">IF(OR($M$1="",对接源_01水果!$C806="",对接源_01水果!$C806&lt;&gt;$M$1,对接源_01水果!$B806=""),0,IF(OR(N(对接源_01水果!$B806)&lt;$M$2,N(对接源_01水果!$B806)&gt;$M$3),0,1))</f>
        <v>0</v>
      </c>
      <c r="N806" s="1" t="n">
        <f aca="false">IF(OR($N$1="",对接源_01水果!$C806="",对接源_01水果!$C806&lt;&gt;$N$1,对接源_01水果!$B806=""),0,IF(OR(N(对接源_01水果!$B806)&lt;$N$2,N(对接源_01水果!$B806)&gt;$N$3),0,1))</f>
        <v>0</v>
      </c>
      <c r="P806" s="1" t="n">
        <f aca="false">IF(AND($K806=1,AND(对接源_01水果!$X806="公司筐",N(对接源_01水果!$T806)&lt;&gt;0)),1,0)</f>
        <v>0</v>
      </c>
      <c r="Q806" s="1" t="n">
        <f aca="false">N(Q805)+$P806</f>
        <v>3</v>
      </c>
      <c r="R806" s="1" t="n">
        <f aca="false">IF(AND($K806=1,AND(对接源_01水果!$X806="公司筐",N(对接源_01水果!$U806)&lt;&gt;0)),1,0)</f>
        <v>0</v>
      </c>
      <c r="S806" s="1" t="n">
        <f aca="false">N(S805)+$R806</f>
        <v>0</v>
      </c>
      <c r="T806" s="1" t="n">
        <f aca="false">IF(AND($K806=1,AND(对接源_01水果!$X806="公司筐",N(对接源_01水果!$V806)&lt;&gt;0)),1,0)</f>
        <v>0</v>
      </c>
      <c r="U806" s="1" t="n">
        <f aca="false">N(U805)+$T806</f>
        <v>28</v>
      </c>
      <c r="V806" s="1" t="n">
        <f aca="false">IF(AND($L806=1,AND(对接源_01水果!$X806="自备筐",N(对接源_01水果!$V806)&lt;&gt;0)),1,0)</f>
        <v>0</v>
      </c>
      <c r="W806" s="1" t="n">
        <f aca="false">N(W805)+$V806</f>
        <v>7</v>
      </c>
      <c r="X806" s="1" t="n">
        <f aca="false">IF(AND($L806=1,AND(对接源_01水果!$X806="自备筐",N(对接源_01水果!$T806)&lt;&gt;0)),1,0)</f>
        <v>0</v>
      </c>
      <c r="Y806" s="1" t="n">
        <f aca="false">N(Y805)+$X806</f>
        <v>0</v>
      </c>
      <c r="Z806" s="1" t="n">
        <f aca="false">IF(AND($M806=1,对接源_01水果!$D806="原料入库"),1,0)</f>
        <v>0</v>
      </c>
      <c r="AA806" s="1" t="n">
        <f aca="false">N(AA805)+$Z806</f>
        <v>30</v>
      </c>
      <c r="AB806" s="1" t="n">
        <f aca="false">IF(AND($M806=1,LEFT(对接源_01水果!$D806,4)="原料出库"),1,0)</f>
        <v>0</v>
      </c>
      <c r="AC806" s="1" t="n">
        <f aca="false">N(AC805)+$AB806</f>
        <v>19</v>
      </c>
      <c r="AD806" s="1" t="n">
        <f aca="false">IF(AND($M806=1,LEFT(对接源_01水果!$D806,4)="成品出库"),1,0)</f>
        <v>0</v>
      </c>
      <c r="AE806" s="1" t="n">
        <f aca="false">N(AE805)+$AD806</f>
        <v>38</v>
      </c>
      <c r="AF806" s="1" t="n">
        <f aca="false">IF(AND($N806=1,AND(LEFT(对接源_01水果!$D806,4)="包装物料",N(对接源_01水果!$K806)&lt;&gt;0)),1,0)</f>
        <v>0</v>
      </c>
      <c r="AG806" s="90" t="str">
        <f aca="false">IF(对接源_01水果!$AC806="","",对接源_01水果!$AC806)</f>
        <v/>
      </c>
      <c r="AH806" s="1" t="n">
        <f aca="false">IF(AND($N806=1,AND(LEFT(对接源_01水果!$D806,3)="周转筐",N(对接源_01水果!$K806)&lt;&gt;0)),1,0)</f>
        <v>0</v>
      </c>
      <c r="AI806" s="90" t="n">
        <f aca="false">IF(AG806="",0,IF(MATCH(AG806,$AG$4:$AG$1203,0)=ROW()-3,1,0))</f>
        <v>0</v>
      </c>
      <c r="AJ806" s="90" t="n">
        <f aca="false">N(AJ805)+AI806</f>
        <v>4</v>
      </c>
      <c r="AK806" s="1" t="n">
        <f aca="false">N(AK805)+$AJ806</f>
        <v>2084</v>
      </c>
    </row>
    <row r="807" customFormat="false" ht="13.5" hidden="false" customHeight="false" outlineLevel="0" collapsed="false">
      <c r="A807" s="1" t="str">
        <f aca="false">IF(对接源_01水果!$C807="","",对接源_01水果!$C807)</f>
        <v/>
      </c>
      <c r="B807" s="1" t="n">
        <f aca="false">IF(A807="",0,IF(MATCH(A807,$A$4:$A$2403,0)=ROW()-3,1,0))</f>
        <v>0</v>
      </c>
      <c r="C807" s="1" t="n">
        <f aca="false">N(C806)+B807</f>
        <v>13</v>
      </c>
      <c r="K807" s="1" t="n">
        <f aca="false">IF(OR($K$1="",对接源_01水果!$C807="",对接源_01水果!$C807&lt;&gt;$K$1,对接源_01水果!$B807=""),0,IF(OR(N(对接源_01水果!$B807)&lt;$K$2,N(对接源_01水果!$B807)&gt;$K$3),0,1))</f>
        <v>0</v>
      </c>
      <c r="L807" s="1" t="n">
        <f aca="false">IF(OR($L$1="",对接源_01水果!$C807="",对接源_01水果!$C807&lt;&gt;$L$1,对接源_01水果!$B807=""),0,IF(OR(N(对接源_01水果!$B807)&lt;$L$2,N(对接源_01水果!$B807)&gt;$L$3),0,1))</f>
        <v>0</v>
      </c>
      <c r="M807" s="1" t="n">
        <f aca="false">IF(OR($M$1="",对接源_01水果!$C807="",对接源_01水果!$C807&lt;&gt;$M$1,对接源_01水果!$B807=""),0,IF(OR(N(对接源_01水果!$B807)&lt;$M$2,N(对接源_01水果!$B807)&gt;$M$3),0,1))</f>
        <v>0</v>
      </c>
      <c r="N807" s="1" t="n">
        <f aca="false">IF(OR($N$1="",对接源_01水果!$C807="",对接源_01水果!$C807&lt;&gt;$N$1,对接源_01水果!$B807=""),0,IF(OR(N(对接源_01水果!$B807)&lt;$N$2,N(对接源_01水果!$B807)&gt;$N$3),0,1))</f>
        <v>0</v>
      </c>
      <c r="P807" s="1" t="n">
        <f aca="false">IF(AND($K807=1,AND(对接源_01水果!$X807="公司筐",N(对接源_01水果!$T807)&lt;&gt;0)),1,0)</f>
        <v>0</v>
      </c>
      <c r="Q807" s="1" t="n">
        <f aca="false">N(Q806)+$P807</f>
        <v>3</v>
      </c>
      <c r="R807" s="1" t="n">
        <f aca="false">IF(AND($K807=1,AND(对接源_01水果!$X807="公司筐",N(对接源_01水果!$U807)&lt;&gt;0)),1,0)</f>
        <v>0</v>
      </c>
      <c r="S807" s="1" t="n">
        <f aca="false">N(S806)+$R807</f>
        <v>0</v>
      </c>
      <c r="T807" s="1" t="n">
        <f aca="false">IF(AND($K807=1,AND(对接源_01水果!$X807="公司筐",N(对接源_01水果!$V807)&lt;&gt;0)),1,0)</f>
        <v>0</v>
      </c>
      <c r="U807" s="1" t="n">
        <f aca="false">N(U806)+$T807</f>
        <v>28</v>
      </c>
      <c r="V807" s="1" t="n">
        <f aca="false">IF(AND($L807=1,AND(对接源_01水果!$X807="自备筐",N(对接源_01水果!$V807)&lt;&gt;0)),1,0)</f>
        <v>0</v>
      </c>
      <c r="W807" s="1" t="n">
        <f aca="false">N(W806)+$V807</f>
        <v>7</v>
      </c>
      <c r="X807" s="1" t="n">
        <f aca="false">IF(AND($L807=1,AND(对接源_01水果!$X807="自备筐",N(对接源_01水果!$T807)&lt;&gt;0)),1,0)</f>
        <v>0</v>
      </c>
      <c r="Y807" s="1" t="n">
        <f aca="false">N(Y806)+$X807</f>
        <v>0</v>
      </c>
      <c r="Z807" s="1" t="n">
        <f aca="false">IF(AND($M807=1,对接源_01水果!$D807="原料入库"),1,0)</f>
        <v>0</v>
      </c>
      <c r="AA807" s="1" t="n">
        <f aca="false">N(AA806)+$Z807</f>
        <v>30</v>
      </c>
      <c r="AB807" s="1" t="n">
        <f aca="false">IF(AND($M807=1,LEFT(对接源_01水果!$D807,4)="原料出库"),1,0)</f>
        <v>0</v>
      </c>
      <c r="AC807" s="1" t="n">
        <f aca="false">N(AC806)+$AB807</f>
        <v>19</v>
      </c>
      <c r="AD807" s="1" t="n">
        <f aca="false">IF(AND($M807=1,LEFT(对接源_01水果!$D807,4)="成品出库"),1,0)</f>
        <v>0</v>
      </c>
      <c r="AE807" s="1" t="n">
        <f aca="false">N(AE806)+$AD807</f>
        <v>38</v>
      </c>
      <c r="AF807" s="1" t="n">
        <f aca="false">IF(AND($N807=1,AND(LEFT(对接源_01水果!$D807,4)="包装物料",N(对接源_01水果!$K807)&lt;&gt;0)),1,0)</f>
        <v>0</v>
      </c>
      <c r="AG807" s="90" t="str">
        <f aca="false">IF(对接源_01水果!$AC807="","",对接源_01水果!$AC807)</f>
        <v/>
      </c>
      <c r="AH807" s="1" t="n">
        <f aca="false">IF(AND($N807=1,AND(LEFT(对接源_01水果!$D807,3)="周转筐",N(对接源_01水果!$K807)&lt;&gt;0)),1,0)</f>
        <v>0</v>
      </c>
      <c r="AI807" s="90" t="n">
        <f aca="false">IF(AG807="",0,IF(MATCH(AG807,$AG$4:$AG$1203,0)=ROW()-3,1,0))</f>
        <v>0</v>
      </c>
      <c r="AJ807" s="90" t="n">
        <f aca="false">N(AJ806)+AI807</f>
        <v>4</v>
      </c>
      <c r="AK807" s="1" t="n">
        <f aca="false">N(AK806)+$AJ807</f>
        <v>2088</v>
      </c>
    </row>
    <row r="808" customFormat="false" ht="13.5" hidden="false" customHeight="false" outlineLevel="0" collapsed="false">
      <c r="A808" s="1" t="str">
        <f aca="false">IF(对接源_01水果!$C808="","",对接源_01水果!$C808)</f>
        <v/>
      </c>
      <c r="B808" s="1" t="n">
        <f aca="false">IF(A808="",0,IF(MATCH(A808,$A$4:$A$2403,0)=ROW()-3,1,0))</f>
        <v>0</v>
      </c>
      <c r="C808" s="1" t="n">
        <f aca="false">N(C807)+B808</f>
        <v>13</v>
      </c>
      <c r="K808" s="1" t="n">
        <f aca="false">IF(OR($K$1="",对接源_01水果!$C808="",对接源_01水果!$C808&lt;&gt;$K$1,对接源_01水果!$B808=""),0,IF(OR(N(对接源_01水果!$B808)&lt;$K$2,N(对接源_01水果!$B808)&gt;$K$3),0,1))</f>
        <v>0</v>
      </c>
      <c r="L808" s="1" t="n">
        <f aca="false">IF(OR($L$1="",对接源_01水果!$C808="",对接源_01水果!$C808&lt;&gt;$L$1,对接源_01水果!$B808=""),0,IF(OR(N(对接源_01水果!$B808)&lt;$L$2,N(对接源_01水果!$B808)&gt;$L$3),0,1))</f>
        <v>0</v>
      </c>
      <c r="M808" s="1" t="n">
        <f aca="false">IF(OR($M$1="",对接源_01水果!$C808="",对接源_01水果!$C808&lt;&gt;$M$1,对接源_01水果!$B808=""),0,IF(OR(N(对接源_01水果!$B808)&lt;$M$2,N(对接源_01水果!$B808)&gt;$M$3),0,1))</f>
        <v>0</v>
      </c>
      <c r="N808" s="1" t="n">
        <f aca="false">IF(OR($N$1="",对接源_01水果!$C808="",对接源_01水果!$C808&lt;&gt;$N$1,对接源_01水果!$B808=""),0,IF(OR(N(对接源_01水果!$B808)&lt;$N$2,N(对接源_01水果!$B808)&gt;$N$3),0,1))</f>
        <v>0</v>
      </c>
      <c r="P808" s="1" t="n">
        <f aca="false">IF(AND($K808=1,AND(对接源_01水果!$X808="公司筐",N(对接源_01水果!$T808)&lt;&gt;0)),1,0)</f>
        <v>0</v>
      </c>
      <c r="Q808" s="1" t="n">
        <f aca="false">N(Q807)+$P808</f>
        <v>3</v>
      </c>
      <c r="R808" s="1" t="n">
        <f aca="false">IF(AND($K808=1,AND(对接源_01水果!$X808="公司筐",N(对接源_01水果!$U808)&lt;&gt;0)),1,0)</f>
        <v>0</v>
      </c>
      <c r="S808" s="1" t="n">
        <f aca="false">N(S807)+$R808</f>
        <v>0</v>
      </c>
      <c r="T808" s="1" t="n">
        <f aca="false">IF(AND($K808=1,AND(对接源_01水果!$X808="公司筐",N(对接源_01水果!$V808)&lt;&gt;0)),1,0)</f>
        <v>0</v>
      </c>
      <c r="U808" s="1" t="n">
        <f aca="false">N(U807)+$T808</f>
        <v>28</v>
      </c>
      <c r="V808" s="1" t="n">
        <f aca="false">IF(AND($L808=1,AND(对接源_01水果!$X808="自备筐",N(对接源_01水果!$V808)&lt;&gt;0)),1,0)</f>
        <v>0</v>
      </c>
      <c r="W808" s="1" t="n">
        <f aca="false">N(W807)+$V808</f>
        <v>7</v>
      </c>
      <c r="X808" s="1" t="n">
        <f aca="false">IF(AND($L808=1,AND(对接源_01水果!$X808="自备筐",N(对接源_01水果!$T808)&lt;&gt;0)),1,0)</f>
        <v>0</v>
      </c>
      <c r="Y808" s="1" t="n">
        <f aca="false">N(Y807)+$X808</f>
        <v>0</v>
      </c>
      <c r="Z808" s="1" t="n">
        <f aca="false">IF(AND($M808=1,对接源_01水果!$D808="原料入库"),1,0)</f>
        <v>0</v>
      </c>
      <c r="AA808" s="1" t="n">
        <f aca="false">N(AA807)+$Z808</f>
        <v>30</v>
      </c>
      <c r="AB808" s="1" t="n">
        <f aca="false">IF(AND($M808=1,LEFT(对接源_01水果!$D808,4)="原料出库"),1,0)</f>
        <v>0</v>
      </c>
      <c r="AC808" s="1" t="n">
        <f aca="false">N(AC807)+$AB808</f>
        <v>19</v>
      </c>
      <c r="AD808" s="1" t="n">
        <f aca="false">IF(AND($M808=1,LEFT(对接源_01水果!$D808,4)="成品出库"),1,0)</f>
        <v>0</v>
      </c>
      <c r="AE808" s="1" t="n">
        <f aca="false">N(AE807)+$AD808</f>
        <v>38</v>
      </c>
      <c r="AF808" s="1" t="n">
        <f aca="false">IF(AND($N808=1,AND(LEFT(对接源_01水果!$D808,4)="包装物料",N(对接源_01水果!$K808)&lt;&gt;0)),1,0)</f>
        <v>0</v>
      </c>
      <c r="AG808" s="90" t="str">
        <f aca="false">IF(对接源_01水果!$AC808="","",对接源_01水果!$AC808)</f>
        <v/>
      </c>
      <c r="AH808" s="1" t="n">
        <f aca="false">IF(AND($N808=1,AND(LEFT(对接源_01水果!$D808,3)="周转筐",N(对接源_01水果!$K808)&lt;&gt;0)),1,0)</f>
        <v>0</v>
      </c>
      <c r="AI808" s="90" t="n">
        <f aca="false">IF(AG808="",0,IF(MATCH(AG808,$AG$4:$AG$1203,0)=ROW()-3,1,0))</f>
        <v>0</v>
      </c>
      <c r="AJ808" s="90" t="n">
        <f aca="false">N(AJ807)+AI808</f>
        <v>4</v>
      </c>
      <c r="AK808" s="1" t="n">
        <f aca="false">N(AK807)+$AJ808</f>
        <v>2092</v>
      </c>
    </row>
    <row r="809" customFormat="false" ht="13.5" hidden="false" customHeight="false" outlineLevel="0" collapsed="false">
      <c r="A809" s="1" t="str">
        <f aca="false">IF(对接源_01水果!$C809="","",对接源_01水果!$C809)</f>
        <v/>
      </c>
      <c r="B809" s="1" t="n">
        <f aca="false">IF(A809="",0,IF(MATCH(A809,$A$4:$A$2403,0)=ROW()-3,1,0))</f>
        <v>0</v>
      </c>
      <c r="C809" s="1" t="n">
        <f aca="false">N(C808)+B809</f>
        <v>13</v>
      </c>
      <c r="K809" s="1" t="n">
        <f aca="false">IF(OR($K$1="",对接源_01水果!$C809="",对接源_01水果!$C809&lt;&gt;$K$1,对接源_01水果!$B809=""),0,IF(OR(N(对接源_01水果!$B809)&lt;$K$2,N(对接源_01水果!$B809)&gt;$K$3),0,1))</f>
        <v>0</v>
      </c>
      <c r="L809" s="1" t="n">
        <f aca="false">IF(OR($L$1="",对接源_01水果!$C809="",对接源_01水果!$C809&lt;&gt;$L$1,对接源_01水果!$B809=""),0,IF(OR(N(对接源_01水果!$B809)&lt;$L$2,N(对接源_01水果!$B809)&gt;$L$3),0,1))</f>
        <v>0</v>
      </c>
      <c r="M809" s="1" t="n">
        <f aca="false">IF(OR($M$1="",对接源_01水果!$C809="",对接源_01水果!$C809&lt;&gt;$M$1,对接源_01水果!$B809=""),0,IF(OR(N(对接源_01水果!$B809)&lt;$M$2,N(对接源_01水果!$B809)&gt;$M$3),0,1))</f>
        <v>0</v>
      </c>
      <c r="N809" s="1" t="n">
        <f aca="false">IF(OR($N$1="",对接源_01水果!$C809="",对接源_01水果!$C809&lt;&gt;$N$1,对接源_01水果!$B809=""),0,IF(OR(N(对接源_01水果!$B809)&lt;$N$2,N(对接源_01水果!$B809)&gt;$N$3),0,1))</f>
        <v>0</v>
      </c>
      <c r="P809" s="1" t="n">
        <f aca="false">IF(AND($K809=1,AND(对接源_01水果!$X809="公司筐",N(对接源_01水果!$T809)&lt;&gt;0)),1,0)</f>
        <v>0</v>
      </c>
      <c r="Q809" s="1" t="n">
        <f aca="false">N(Q808)+$P809</f>
        <v>3</v>
      </c>
      <c r="R809" s="1" t="n">
        <f aca="false">IF(AND($K809=1,AND(对接源_01水果!$X809="公司筐",N(对接源_01水果!$U809)&lt;&gt;0)),1,0)</f>
        <v>0</v>
      </c>
      <c r="S809" s="1" t="n">
        <f aca="false">N(S808)+$R809</f>
        <v>0</v>
      </c>
      <c r="T809" s="1" t="n">
        <f aca="false">IF(AND($K809=1,AND(对接源_01水果!$X809="公司筐",N(对接源_01水果!$V809)&lt;&gt;0)),1,0)</f>
        <v>0</v>
      </c>
      <c r="U809" s="1" t="n">
        <f aca="false">N(U808)+$T809</f>
        <v>28</v>
      </c>
      <c r="V809" s="1" t="n">
        <f aca="false">IF(AND($L809=1,AND(对接源_01水果!$X809="自备筐",N(对接源_01水果!$V809)&lt;&gt;0)),1,0)</f>
        <v>0</v>
      </c>
      <c r="W809" s="1" t="n">
        <f aca="false">N(W808)+$V809</f>
        <v>7</v>
      </c>
      <c r="X809" s="1" t="n">
        <f aca="false">IF(AND($L809=1,AND(对接源_01水果!$X809="自备筐",N(对接源_01水果!$T809)&lt;&gt;0)),1,0)</f>
        <v>0</v>
      </c>
      <c r="Y809" s="1" t="n">
        <f aca="false">N(Y808)+$X809</f>
        <v>0</v>
      </c>
      <c r="Z809" s="1" t="n">
        <f aca="false">IF(AND($M809=1,对接源_01水果!$D809="原料入库"),1,0)</f>
        <v>0</v>
      </c>
      <c r="AA809" s="1" t="n">
        <f aca="false">N(AA808)+$Z809</f>
        <v>30</v>
      </c>
      <c r="AB809" s="1" t="n">
        <f aca="false">IF(AND($M809=1,LEFT(对接源_01水果!$D809,4)="原料出库"),1,0)</f>
        <v>0</v>
      </c>
      <c r="AC809" s="1" t="n">
        <f aca="false">N(AC808)+$AB809</f>
        <v>19</v>
      </c>
      <c r="AD809" s="1" t="n">
        <f aca="false">IF(AND($M809=1,LEFT(对接源_01水果!$D809,4)="成品出库"),1,0)</f>
        <v>0</v>
      </c>
      <c r="AE809" s="1" t="n">
        <f aca="false">N(AE808)+$AD809</f>
        <v>38</v>
      </c>
      <c r="AF809" s="1" t="n">
        <f aca="false">IF(AND($N809=1,AND(LEFT(对接源_01水果!$D809,4)="包装物料",N(对接源_01水果!$K809)&lt;&gt;0)),1,0)</f>
        <v>0</v>
      </c>
      <c r="AG809" s="90" t="str">
        <f aca="false">IF(对接源_01水果!$AC809="","",对接源_01水果!$AC809)</f>
        <v/>
      </c>
      <c r="AH809" s="1" t="n">
        <f aca="false">IF(AND($N809=1,AND(LEFT(对接源_01水果!$D809,3)="周转筐",N(对接源_01水果!$K809)&lt;&gt;0)),1,0)</f>
        <v>0</v>
      </c>
      <c r="AI809" s="90" t="n">
        <f aca="false">IF(AG809="",0,IF(MATCH(AG809,$AG$4:$AG$1203,0)=ROW()-3,1,0))</f>
        <v>0</v>
      </c>
      <c r="AJ809" s="90" t="n">
        <f aca="false">N(AJ808)+AI809</f>
        <v>4</v>
      </c>
      <c r="AK809" s="1" t="n">
        <f aca="false">N(AK808)+$AJ809</f>
        <v>2096</v>
      </c>
    </row>
    <row r="810" customFormat="false" ht="13.5" hidden="false" customHeight="false" outlineLevel="0" collapsed="false">
      <c r="A810" s="1" t="str">
        <f aca="false">IF(对接源_01水果!$C810="","",对接源_01水果!$C810)</f>
        <v/>
      </c>
      <c r="B810" s="1" t="n">
        <f aca="false">IF(A810="",0,IF(MATCH(A810,$A$4:$A$2403,0)=ROW()-3,1,0))</f>
        <v>0</v>
      </c>
      <c r="C810" s="1" t="n">
        <f aca="false">N(C809)+B810</f>
        <v>13</v>
      </c>
      <c r="K810" s="1" t="n">
        <f aca="false">IF(OR($K$1="",对接源_01水果!$C810="",对接源_01水果!$C810&lt;&gt;$K$1,对接源_01水果!$B810=""),0,IF(OR(N(对接源_01水果!$B810)&lt;$K$2,N(对接源_01水果!$B810)&gt;$K$3),0,1))</f>
        <v>0</v>
      </c>
      <c r="L810" s="1" t="n">
        <f aca="false">IF(OR($L$1="",对接源_01水果!$C810="",对接源_01水果!$C810&lt;&gt;$L$1,对接源_01水果!$B810=""),0,IF(OR(N(对接源_01水果!$B810)&lt;$L$2,N(对接源_01水果!$B810)&gt;$L$3),0,1))</f>
        <v>0</v>
      </c>
      <c r="M810" s="1" t="n">
        <f aca="false">IF(OR($M$1="",对接源_01水果!$C810="",对接源_01水果!$C810&lt;&gt;$M$1,对接源_01水果!$B810=""),0,IF(OR(N(对接源_01水果!$B810)&lt;$M$2,N(对接源_01水果!$B810)&gt;$M$3),0,1))</f>
        <v>0</v>
      </c>
      <c r="N810" s="1" t="n">
        <f aca="false">IF(OR($N$1="",对接源_01水果!$C810="",对接源_01水果!$C810&lt;&gt;$N$1,对接源_01水果!$B810=""),0,IF(OR(N(对接源_01水果!$B810)&lt;$N$2,N(对接源_01水果!$B810)&gt;$N$3),0,1))</f>
        <v>0</v>
      </c>
      <c r="P810" s="1" t="n">
        <f aca="false">IF(AND($K810=1,AND(对接源_01水果!$X810="公司筐",N(对接源_01水果!$T810)&lt;&gt;0)),1,0)</f>
        <v>0</v>
      </c>
      <c r="Q810" s="1" t="n">
        <f aca="false">N(Q809)+$P810</f>
        <v>3</v>
      </c>
      <c r="R810" s="1" t="n">
        <f aca="false">IF(AND($K810=1,AND(对接源_01水果!$X810="公司筐",N(对接源_01水果!$U810)&lt;&gt;0)),1,0)</f>
        <v>0</v>
      </c>
      <c r="S810" s="1" t="n">
        <f aca="false">N(S809)+$R810</f>
        <v>0</v>
      </c>
      <c r="T810" s="1" t="n">
        <f aca="false">IF(AND($K810=1,AND(对接源_01水果!$X810="公司筐",N(对接源_01水果!$V810)&lt;&gt;0)),1,0)</f>
        <v>0</v>
      </c>
      <c r="U810" s="1" t="n">
        <f aca="false">N(U809)+$T810</f>
        <v>28</v>
      </c>
      <c r="V810" s="1" t="n">
        <f aca="false">IF(AND($L810=1,AND(对接源_01水果!$X810="自备筐",N(对接源_01水果!$V810)&lt;&gt;0)),1,0)</f>
        <v>0</v>
      </c>
      <c r="W810" s="1" t="n">
        <f aca="false">N(W809)+$V810</f>
        <v>7</v>
      </c>
      <c r="X810" s="1" t="n">
        <f aca="false">IF(AND($L810=1,AND(对接源_01水果!$X810="自备筐",N(对接源_01水果!$T810)&lt;&gt;0)),1,0)</f>
        <v>0</v>
      </c>
      <c r="Y810" s="1" t="n">
        <f aca="false">N(Y809)+$X810</f>
        <v>0</v>
      </c>
      <c r="Z810" s="1" t="n">
        <f aca="false">IF(AND($M810=1,对接源_01水果!$D810="原料入库"),1,0)</f>
        <v>0</v>
      </c>
      <c r="AA810" s="1" t="n">
        <f aca="false">N(AA809)+$Z810</f>
        <v>30</v>
      </c>
      <c r="AB810" s="1" t="n">
        <f aca="false">IF(AND($M810=1,LEFT(对接源_01水果!$D810,4)="原料出库"),1,0)</f>
        <v>0</v>
      </c>
      <c r="AC810" s="1" t="n">
        <f aca="false">N(AC809)+$AB810</f>
        <v>19</v>
      </c>
      <c r="AD810" s="1" t="n">
        <f aca="false">IF(AND($M810=1,LEFT(对接源_01水果!$D810,4)="成品出库"),1,0)</f>
        <v>0</v>
      </c>
      <c r="AE810" s="1" t="n">
        <f aca="false">N(AE809)+$AD810</f>
        <v>38</v>
      </c>
      <c r="AF810" s="1" t="n">
        <f aca="false">IF(AND($N810=1,AND(LEFT(对接源_01水果!$D810,4)="包装物料",N(对接源_01水果!$K810)&lt;&gt;0)),1,0)</f>
        <v>0</v>
      </c>
      <c r="AG810" s="90" t="str">
        <f aca="false">IF(对接源_01水果!$AC810="","",对接源_01水果!$AC810)</f>
        <v/>
      </c>
      <c r="AH810" s="1" t="n">
        <f aca="false">IF(AND($N810=1,AND(LEFT(对接源_01水果!$D810,3)="周转筐",N(对接源_01水果!$K810)&lt;&gt;0)),1,0)</f>
        <v>0</v>
      </c>
      <c r="AI810" s="90" t="n">
        <f aca="false">IF(AG810="",0,IF(MATCH(AG810,$AG$4:$AG$1203,0)=ROW()-3,1,0))</f>
        <v>0</v>
      </c>
      <c r="AJ810" s="90" t="n">
        <f aca="false">N(AJ809)+AI810</f>
        <v>4</v>
      </c>
      <c r="AK810" s="1" t="n">
        <f aca="false">N(AK809)+$AJ810</f>
        <v>2100</v>
      </c>
    </row>
    <row r="811" customFormat="false" ht="13.5" hidden="false" customHeight="false" outlineLevel="0" collapsed="false">
      <c r="A811" s="1" t="str">
        <f aca="false">IF(对接源_01水果!$C811="","",对接源_01水果!$C811)</f>
        <v/>
      </c>
      <c r="B811" s="1" t="n">
        <f aca="false">IF(A811="",0,IF(MATCH(A811,$A$4:$A$2403,0)=ROW()-3,1,0))</f>
        <v>0</v>
      </c>
      <c r="C811" s="1" t="n">
        <f aca="false">N(C810)+B811</f>
        <v>13</v>
      </c>
      <c r="K811" s="1" t="n">
        <f aca="false">IF(OR($K$1="",对接源_01水果!$C811="",对接源_01水果!$C811&lt;&gt;$K$1,对接源_01水果!$B811=""),0,IF(OR(N(对接源_01水果!$B811)&lt;$K$2,N(对接源_01水果!$B811)&gt;$K$3),0,1))</f>
        <v>0</v>
      </c>
      <c r="L811" s="1" t="n">
        <f aca="false">IF(OR($L$1="",对接源_01水果!$C811="",对接源_01水果!$C811&lt;&gt;$L$1,对接源_01水果!$B811=""),0,IF(OR(N(对接源_01水果!$B811)&lt;$L$2,N(对接源_01水果!$B811)&gt;$L$3),0,1))</f>
        <v>0</v>
      </c>
      <c r="M811" s="1" t="n">
        <f aca="false">IF(OR($M$1="",对接源_01水果!$C811="",对接源_01水果!$C811&lt;&gt;$M$1,对接源_01水果!$B811=""),0,IF(OR(N(对接源_01水果!$B811)&lt;$M$2,N(对接源_01水果!$B811)&gt;$M$3),0,1))</f>
        <v>0</v>
      </c>
      <c r="N811" s="1" t="n">
        <f aca="false">IF(OR($N$1="",对接源_01水果!$C811="",对接源_01水果!$C811&lt;&gt;$N$1,对接源_01水果!$B811=""),0,IF(OR(N(对接源_01水果!$B811)&lt;$N$2,N(对接源_01水果!$B811)&gt;$N$3),0,1))</f>
        <v>0</v>
      </c>
      <c r="P811" s="1" t="n">
        <f aca="false">IF(AND($K811=1,AND(对接源_01水果!$X811="公司筐",N(对接源_01水果!$T811)&lt;&gt;0)),1,0)</f>
        <v>0</v>
      </c>
      <c r="Q811" s="1" t="n">
        <f aca="false">N(Q810)+$P811</f>
        <v>3</v>
      </c>
      <c r="R811" s="1" t="n">
        <f aca="false">IF(AND($K811=1,AND(对接源_01水果!$X811="公司筐",N(对接源_01水果!$U811)&lt;&gt;0)),1,0)</f>
        <v>0</v>
      </c>
      <c r="S811" s="1" t="n">
        <f aca="false">N(S810)+$R811</f>
        <v>0</v>
      </c>
      <c r="T811" s="1" t="n">
        <f aca="false">IF(AND($K811=1,AND(对接源_01水果!$X811="公司筐",N(对接源_01水果!$V811)&lt;&gt;0)),1,0)</f>
        <v>0</v>
      </c>
      <c r="U811" s="1" t="n">
        <f aca="false">N(U810)+$T811</f>
        <v>28</v>
      </c>
      <c r="V811" s="1" t="n">
        <f aca="false">IF(AND($L811=1,AND(对接源_01水果!$X811="自备筐",N(对接源_01水果!$V811)&lt;&gt;0)),1,0)</f>
        <v>0</v>
      </c>
      <c r="W811" s="1" t="n">
        <f aca="false">N(W810)+$V811</f>
        <v>7</v>
      </c>
      <c r="X811" s="1" t="n">
        <f aca="false">IF(AND($L811=1,AND(对接源_01水果!$X811="自备筐",N(对接源_01水果!$T811)&lt;&gt;0)),1,0)</f>
        <v>0</v>
      </c>
      <c r="Y811" s="1" t="n">
        <f aca="false">N(Y810)+$X811</f>
        <v>0</v>
      </c>
      <c r="Z811" s="1" t="n">
        <f aca="false">IF(AND($M811=1,对接源_01水果!$D811="原料入库"),1,0)</f>
        <v>0</v>
      </c>
      <c r="AA811" s="1" t="n">
        <f aca="false">N(AA810)+$Z811</f>
        <v>30</v>
      </c>
      <c r="AB811" s="1" t="n">
        <f aca="false">IF(AND($M811=1,LEFT(对接源_01水果!$D811,4)="原料出库"),1,0)</f>
        <v>0</v>
      </c>
      <c r="AC811" s="1" t="n">
        <f aca="false">N(AC810)+$AB811</f>
        <v>19</v>
      </c>
      <c r="AD811" s="1" t="n">
        <f aca="false">IF(AND($M811=1,LEFT(对接源_01水果!$D811,4)="成品出库"),1,0)</f>
        <v>0</v>
      </c>
      <c r="AE811" s="1" t="n">
        <f aca="false">N(AE810)+$AD811</f>
        <v>38</v>
      </c>
      <c r="AF811" s="1" t="n">
        <f aca="false">IF(AND($N811=1,AND(LEFT(对接源_01水果!$D811,4)="包装物料",N(对接源_01水果!$K811)&lt;&gt;0)),1,0)</f>
        <v>0</v>
      </c>
      <c r="AG811" s="90" t="str">
        <f aca="false">IF(对接源_01水果!$AC811="","",对接源_01水果!$AC811)</f>
        <v/>
      </c>
      <c r="AH811" s="1" t="n">
        <f aca="false">IF(AND($N811=1,AND(LEFT(对接源_01水果!$D811,3)="周转筐",N(对接源_01水果!$K811)&lt;&gt;0)),1,0)</f>
        <v>0</v>
      </c>
      <c r="AI811" s="90" t="n">
        <f aca="false">IF(AG811="",0,IF(MATCH(AG811,$AG$4:$AG$1203,0)=ROW()-3,1,0))</f>
        <v>0</v>
      </c>
      <c r="AJ811" s="90" t="n">
        <f aca="false">N(AJ810)+AI811</f>
        <v>4</v>
      </c>
      <c r="AK811" s="1" t="n">
        <f aca="false">N(AK810)+$AJ811</f>
        <v>2104</v>
      </c>
    </row>
    <row r="812" customFormat="false" ht="13.5" hidden="false" customHeight="false" outlineLevel="0" collapsed="false">
      <c r="A812" s="1" t="str">
        <f aca="false">IF(对接源_01水果!$C812="","",对接源_01水果!$C812)</f>
        <v/>
      </c>
      <c r="B812" s="1" t="n">
        <f aca="false">IF(A812="",0,IF(MATCH(A812,$A$4:$A$2403,0)=ROW()-3,1,0))</f>
        <v>0</v>
      </c>
      <c r="C812" s="1" t="n">
        <f aca="false">N(C811)+B812</f>
        <v>13</v>
      </c>
      <c r="K812" s="1" t="n">
        <f aca="false">IF(OR($K$1="",对接源_01水果!$C812="",对接源_01水果!$C812&lt;&gt;$K$1,对接源_01水果!$B812=""),0,IF(OR(N(对接源_01水果!$B812)&lt;$K$2,N(对接源_01水果!$B812)&gt;$K$3),0,1))</f>
        <v>0</v>
      </c>
      <c r="L812" s="1" t="n">
        <f aca="false">IF(OR($L$1="",对接源_01水果!$C812="",对接源_01水果!$C812&lt;&gt;$L$1,对接源_01水果!$B812=""),0,IF(OR(N(对接源_01水果!$B812)&lt;$L$2,N(对接源_01水果!$B812)&gt;$L$3),0,1))</f>
        <v>0</v>
      </c>
      <c r="M812" s="1" t="n">
        <f aca="false">IF(OR($M$1="",对接源_01水果!$C812="",对接源_01水果!$C812&lt;&gt;$M$1,对接源_01水果!$B812=""),0,IF(OR(N(对接源_01水果!$B812)&lt;$M$2,N(对接源_01水果!$B812)&gt;$M$3),0,1))</f>
        <v>0</v>
      </c>
      <c r="N812" s="1" t="n">
        <f aca="false">IF(OR($N$1="",对接源_01水果!$C812="",对接源_01水果!$C812&lt;&gt;$N$1,对接源_01水果!$B812=""),0,IF(OR(N(对接源_01水果!$B812)&lt;$N$2,N(对接源_01水果!$B812)&gt;$N$3),0,1))</f>
        <v>0</v>
      </c>
      <c r="P812" s="1" t="n">
        <f aca="false">IF(AND($K812=1,AND(对接源_01水果!$X812="公司筐",N(对接源_01水果!$T812)&lt;&gt;0)),1,0)</f>
        <v>0</v>
      </c>
      <c r="Q812" s="1" t="n">
        <f aca="false">N(Q811)+$P812</f>
        <v>3</v>
      </c>
      <c r="R812" s="1" t="n">
        <f aca="false">IF(AND($K812=1,AND(对接源_01水果!$X812="公司筐",N(对接源_01水果!$U812)&lt;&gt;0)),1,0)</f>
        <v>0</v>
      </c>
      <c r="S812" s="1" t="n">
        <f aca="false">N(S811)+$R812</f>
        <v>0</v>
      </c>
      <c r="T812" s="1" t="n">
        <f aca="false">IF(AND($K812=1,AND(对接源_01水果!$X812="公司筐",N(对接源_01水果!$V812)&lt;&gt;0)),1,0)</f>
        <v>0</v>
      </c>
      <c r="U812" s="1" t="n">
        <f aca="false">N(U811)+$T812</f>
        <v>28</v>
      </c>
      <c r="V812" s="1" t="n">
        <f aca="false">IF(AND($L812=1,AND(对接源_01水果!$X812="自备筐",N(对接源_01水果!$V812)&lt;&gt;0)),1,0)</f>
        <v>0</v>
      </c>
      <c r="W812" s="1" t="n">
        <f aca="false">N(W811)+$V812</f>
        <v>7</v>
      </c>
      <c r="X812" s="1" t="n">
        <f aca="false">IF(AND($L812=1,AND(对接源_01水果!$X812="自备筐",N(对接源_01水果!$T812)&lt;&gt;0)),1,0)</f>
        <v>0</v>
      </c>
      <c r="Y812" s="1" t="n">
        <f aca="false">N(Y811)+$X812</f>
        <v>0</v>
      </c>
      <c r="Z812" s="1" t="n">
        <f aca="false">IF(AND($M812=1,对接源_01水果!$D812="原料入库"),1,0)</f>
        <v>0</v>
      </c>
      <c r="AA812" s="1" t="n">
        <f aca="false">N(AA811)+$Z812</f>
        <v>30</v>
      </c>
      <c r="AB812" s="1" t="n">
        <f aca="false">IF(AND($M812=1,LEFT(对接源_01水果!$D812,4)="原料出库"),1,0)</f>
        <v>0</v>
      </c>
      <c r="AC812" s="1" t="n">
        <f aca="false">N(AC811)+$AB812</f>
        <v>19</v>
      </c>
      <c r="AD812" s="1" t="n">
        <f aca="false">IF(AND($M812=1,LEFT(对接源_01水果!$D812,4)="成品出库"),1,0)</f>
        <v>0</v>
      </c>
      <c r="AE812" s="1" t="n">
        <f aca="false">N(AE811)+$AD812</f>
        <v>38</v>
      </c>
      <c r="AF812" s="1" t="n">
        <f aca="false">IF(AND($N812=1,AND(LEFT(对接源_01水果!$D812,4)="包装物料",N(对接源_01水果!$K812)&lt;&gt;0)),1,0)</f>
        <v>0</v>
      </c>
      <c r="AG812" s="90" t="str">
        <f aca="false">IF(对接源_01水果!$AC812="","",对接源_01水果!$AC812)</f>
        <v/>
      </c>
      <c r="AH812" s="1" t="n">
        <f aca="false">IF(AND($N812=1,AND(LEFT(对接源_01水果!$D812,3)="周转筐",N(对接源_01水果!$K812)&lt;&gt;0)),1,0)</f>
        <v>0</v>
      </c>
      <c r="AI812" s="90" t="n">
        <f aca="false">IF(AG812="",0,IF(MATCH(AG812,$AG$4:$AG$1203,0)=ROW()-3,1,0))</f>
        <v>0</v>
      </c>
      <c r="AJ812" s="90" t="n">
        <f aca="false">N(AJ811)+AI812</f>
        <v>4</v>
      </c>
      <c r="AK812" s="1" t="n">
        <f aca="false">N(AK811)+$AJ812</f>
        <v>2108</v>
      </c>
    </row>
    <row r="813" customFormat="false" ht="13.5" hidden="false" customHeight="false" outlineLevel="0" collapsed="false">
      <c r="A813" s="1" t="str">
        <f aca="false">IF(对接源_01水果!$C813="","",对接源_01水果!$C813)</f>
        <v/>
      </c>
      <c r="B813" s="1" t="n">
        <f aca="false">IF(A813="",0,IF(MATCH(A813,$A$4:$A$2403,0)=ROW()-3,1,0))</f>
        <v>0</v>
      </c>
      <c r="C813" s="1" t="n">
        <f aca="false">N(C812)+B813</f>
        <v>13</v>
      </c>
      <c r="K813" s="1" t="n">
        <f aca="false">IF(OR($K$1="",对接源_01水果!$C813="",对接源_01水果!$C813&lt;&gt;$K$1,对接源_01水果!$B813=""),0,IF(OR(N(对接源_01水果!$B813)&lt;$K$2,N(对接源_01水果!$B813)&gt;$K$3),0,1))</f>
        <v>0</v>
      </c>
      <c r="L813" s="1" t="n">
        <f aca="false">IF(OR($L$1="",对接源_01水果!$C813="",对接源_01水果!$C813&lt;&gt;$L$1,对接源_01水果!$B813=""),0,IF(OR(N(对接源_01水果!$B813)&lt;$L$2,N(对接源_01水果!$B813)&gt;$L$3),0,1))</f>
        <v>0</v>
      </c>
      <c r="M813" s="1" t="n">
        <f aca="false">IF(OR($M$1="",对接源_01水果!$C813="",对接源_01水果!$C813&lt;&gt;$M$1,对接源_01水果!$B813=""),0,IF(OR(N(对接源_01水果!$B813)&lt;$M$2,N(对接源_01水果!$B813)&gt;$M$3),0,1))</f>
        <v>0</v>
      </c>
      <c r="N813" s="1" t="n">
        <f aca="false">IF(OR($N$1="",对接源_01水果!$C813="",对接源_01水果!$C813&lt;&gt;$N$1,对接源_01水果!$B813=""),0,IF(OR(N(对接源_01水果!$B813)&lt;$N$2,N(对接源_01水果!$B813)&gt;$N$3),0,1))</f>
        <v>0</v>
      </c>
      <c r="P813" s="1" t="n">
        <f aca="false">IF(AND($K813=1,AND(对接源_01水果!$X813="公司筐",N(对接源_01水果!$T813)&lt;&gt;0)),1,0)</f>
        <v>0</v>
      </c>
      <c r="Q813" s="1" t="n">
        <f aca="false">N(Q812)+$P813</f>
        <v>3</v>
      </c>
      <c r="R813" s="1" t="n">
        <f aca="false">IF(AND($K813=1,AND(对接源_01水果!$X813="公司筐",N(对接源_01水果!$U813)&lt;&gt;0)),1,0)</f>
        <v>0</v>
      </c>
      <c r="S813" s="1" t="n">
        <f aca="false">N(S812)+$R813</f>
        <v>0</v>
      </c>
      <c r="T813" s="1" t="n">
        <f aca="false">IF(AND($K813=1,AND(对接源_01水果!$X813="公司筐",N(对接源_01水果!$V813)&lt;&gt;0)),1,0)</f>
        <v>0</v>
      </c>
      <c r="U813" s="1" t="n">
        <f aca="false">N(U812)+$T813</f>
        <v>28</v>
      </c>
      <c r="V813" s="1" t="n">
        <f aca="false">IF(AND($L813=1,AND(对接源_01水果!$X813="自备筐",N(对接源_01水果!$V813)&lt;&gt;0)),1,0)</f>
        <v>0</v>
      </c>
      <c r="W813" s="1" t="n">
        <f aca="false">N(W812)+$V813</f>
        <v>7</v>
      </c>
      <c r="X813" s="1" t="n">
        <f aca="false">IF(AND($L813=1,AND(对接源_01水果!$X813="自备筐",N(对接源_01水果!$T813)&lt;&gt;0)),1,0)</f>
        <v>0</v>
      </c>
      <c r="Y813" s="1" t="n">
        <f aca="false">N(Y812)+$X813</f>
        <v>0</v>
      </c>
      <c r="Z813" s="1" t="n">
        <f aca="false">IF(AND($M813=1,对接源_01水果!$D813="原料入库"),1,0)</f>
        <v>0</v>
      </c>
      <c r="AA813" s="1" t="n">
        <f aca="false">N(AA812)+$Z813</f>
        <v>30</v>
      </c>
      <c r="AB813" s="1" t="n">
        <f aca="false">IF(AND($M813=1,LEFT(对接源_01水果!$D813,4)="原料出库"),1,0)</f>
        <v>0</v>
      </c>
      <c r="AC813" s="1" t="n">
        <f aca="false">N(AC812)+$AB813</f>
        <v>19</v>
      </c>
      <c r="AD813" s="1" t="n">
        <f aca="false">IF(AND($M813=1,LEFT(对接源_01水果!$D813,4)="成品出库"),1,0)</f>
        <v>0</v>
      </c>
      <c r="AE813" s="1" t="n">
        <f aca="false">N(AE812)+$AD813</f>
        <v>38</v>
      </c>
      <c r="AF813" s="1" t="n">
        <f aca="false">IF(AND($N813=1,AND(LEFT(对接源_01水果!$D813,4)="包装物料",N(对接源_01水果!$K813)&lt;&gt;0)),1,0)</f>
        <v>0</v>
      </c>
      <c r="AG813" s="90" t="str">
        <f aca="false">IF(对接源_01水果!$AC813="","",对接源_01水果!$AC813)</f>
        <v/>
      </c>
      <c r="AH813" s="1" t="n">
        <f aca="false">IF(AND($N813=1,AND(LEFT(对接源_01水果!$D813,3)="周转筐",N(对接源_01水果!$K813)&lt;&gt;0)),1,0)</f>
        <v>0</v>
      </c>
      <c r="AI813" s="90" t="n">
        <f aca="false">IF(AG813="",0,IF(MATCH(AG813,$AG$4:$AG$1203,0)=ROW()-3,1,0))</f>
        <v>0</v>
      </c>
      <c r="AJ813" s="90" t="n">
        <f aca="false">N(AJ812)+AI813</f>
        <v>4</v>
      </c>
      <c r="AK813" s="1" t="n">
        <f aca="false">N(AK812)+$AJ813</f>
        <v>2112</v>
      </c>
    </row>
    <row r="814" customFormat="false" ht="13.5" hidden="false" customHeight="false" outlineLevel="0" collapsed="false">
      <c r="A814" s="1" t="str">
        <f aca="false">IF(对接源_01水果!$C814="","",对接源_01水果!$C814)</f>
        <v/>
      </c>
      <c r="B814" s="1" t="n">
        <f aca="false">IF(A814="",0,IF(MATCH(A814,$A$4:$A$2403,0)=ROW()-3,1,0))</f>
        <v>0</v>
      </c>
      <c r="C814" s="1" t="n">
        <f aca="false">N(C813)+B814</f>
        <v>13</v>
      </c>
      <c r="K814" s="1" t="n">
        <f aca="false">IF(OR($K$1="",对接源_01水果!$C814="",对接源_01水果!$C814&lt;&gt;$K$1,对接源_01水果!$B814=""),0,IF(OR(N(对接源_01水果!$B814)&lt;$K$2,N(对接源_01水果!$B814)&gt;$K$3),0,1))</f>
        <v>0</v>
      </c>
      <c r="L814" s="1" t="n">
        <f aca="false">IF(OR($L$1="",对接源_01水果!$C814="",对接源_01水果!$C814&lt;&gt;$L$1,对接源_01水果!$B814=""),0,IF(OR(N(对接源_01水果!$B814)&lt;$L$2,N(对接源_01水果!$B814)&gt;$L$3),0,1))</f>
        <v>0</v>
      </c>
      <c r="M814" s="1" t="n">
        <f aca="false">IF(OR($M$1="",对接源_01水果!$C814="",对接源_01水果!$C814&lt;&gt;$M$1,对接源_01水果!$B814=""),0,IF(OR(N(对接源_01水果!$B814)&lt;$M$2,N(对接源_01水果!$B814)&gt;$M$3),0,1))</f>
        <v>0</v>
      </c>
      <c r="N814" s="1" t="n">
        <f aca="false">IF(OR($N$1="",对接源_01水果!$C814="",对接源_01水果!$C814&lt;&gt;$N$1,对接源_01水果!$B814=""),0,IF(OR(N(对接源_01水果!$B814)&lt;$N$2,N(对接源_01水果!$B814)&gt;$N$3),0,1))</f>
        <v>0</v>
      </c>
      <c r="P814" s="1" t="n">
        <f aca="false">IF(AND($K814=1,AND(对接源_01水果!$X814="公司筐",N(对接源_01水果!$T814)&lt;&gt;0)),1,0)</f>
        <v>0</v>
      </c>
      <c r="Q814" s="1" t="n">
        <f aca="false">N(Q813)+$P814</f>
        <v>3</v>
      </c>
      <c r="R814" s="1" t="n">
        <f aca="false">IF(AND($K814=1,AND(对接源_01水果!$X814="公司筐",N(对接源_01水果!$U814)&lt;&gt;0)),1,0)</f>
        <v>0</v>
      </c>
      <c r="S814" s="1" t="n">
        <f aca="false">N(S813)+$R814</f>
        <v>0</v>
      </c>
      <c r="T814" s="1" t="n">
        <f aca="false">IF(AND($K814=1,AND(对接源_01水果!$X814="公司筐",N(对接源_01水果!$V814)&lt;&gt;0)),1,0)</f>
        <v>0</v>
      </c>
      <c r="U814" s="1" t="n">
        <f aca="false">N(U813)+$T814</f>
        <v>28</v>
      </c>
      <c r="V814" s="1" t="n">
        <f aca="false">IF(AND($L814=1,AND(对接源_01水果!$X814="自备筐",N(对接源_01水果!$V814)&lt;&gt;0)),1,0)</f>
        <v>0</v>
      </c>
      <c r="W814" s="1" t="n">
        <f aca="false">N(W813)+$V814</f>
        <v>7</v>
      </c>
      <c r="X814" s="1" t="n">
        <f aca="false">IF(AND($L814=1,AND(对接源_01水果!$X814="自备筐",N(对接源_01水果!$T814)&lt;&gt;0)),1,0)</f>
        <v>0</v>
      </c>
      <c r="Y814" s="1" t="n">
        <f aca="false">N(Y813)+$X814</f>
        <v>0</v>
      </c>
      <c r="Z814" s="1" t="n">
        <f aca="false">IF(AND($M814=1,对接源_01水果!$D814="原料入库"),1,0)</f>
        <v>0</v>
      </c>
      <c r="AA814" s="1" t="n">
        <f aca="false">N(AA813)+$Z814</f>
        <v>30</v>
      </c>
      <c r="AB814" s="1" t="n">
        <f aca="false">IF(AND($M814=1,LEFT(对接源_01水果!$D814,4)="原料出库"),1,0)</f>
        <v>0</v>
      </c>
      <c r="AC814" s="1" t="n">
        <f aca="false">N(AC813)+$AB814</f>
        <v>19</v>
      </c>
      <c r="AD814" s="1" t="n">
        <f aca="false">IF(AND($M814=1,LEFT(对接源_01水果!$D814,4)="成品出库"),1,0)</f>
        <v>0</v>
      </c>
      <c r="AE814" s="1" t="n">
        <f aca="false">N(AE813)+$AD814</f>
        <v>38</v>
      </c>
      <c r="AF814" s="1" t="n">
        <f aca="false">IF(AND($N814=1,AND(LEFT(对接源_01水果!$D814,4)="包装物料",N(对接源_01水果!$K814)&lt;&gt;0)),1,0)</f>
        <v>0</v>
      </c>
      <c r="AG814" s="90" t="str">
        <f aca="false">IF(对接源_01水果!$AC814="","",对接源_01水果!$AC814)</f>
        <v/>
      </c>
      <c r="AH814" s="1" t="n">
        <f aca="false">IF(AND($N814=1,AND(LEFT(对接源_01水果!$D814,3)="周转筐",N(对接源_01水果!$K814)&lt;&gt;0)),1,0)</f>
        <v>0</v>
      </c>
      <c r="AI814" s="90" t="n">
        <f aca="false">IF(AG814="",0,IF(MATCH(AG814,$AG$4:$AG$1203,0)=ROW()-3,1,0))</f>
        <v>0</v>
      </c>
      <c r="AJ814" s="90" t="n">
        <f aca="false">N(AJ813)+AI814</f>
        <v>4</v>
      </c>
      <c r="AK814" s="1" t="n">
        <f aca="false">N(AK813)+$AJ814</f>
        <v>2116</v>
      </c>
    </row>
    <row r="815" customFormat="false" ht="13.5" hidden="false" customHeight="false" outlineLevel="0" collapsed="false">
      <c r="A815" s="1" t="str">
        <f aca="false">IF(对接源_01水果!$C815="","",对接源_01水果!$C815)</f>
        <v/>
      </c>
      <c r="B815" s="1" t="n">
        <f aca="false">IF(A815="",0,IF(MATCH(A815,$A$4:$A$2403,0)=ROW()-3,1,0))</f>
        <v>0</v>
      </c>
      <c r="C815" s="1" t="n">
        <f aca="false">N(C814)+B815</f>
        <v>13</v>
      </c>
      <c r="K815" s="1" t="n">
        <f aca="false">IF(OR($K$1="",对接源_01水果!$C815="",对接源_01水果!$C815&lt;&gt;$K$1,对接源_01水果!$B815=""),0,IF(OR(N(对接源_01水果!$B815)&lt;$K$2,N(对接源_01水果!$B815)&gt;$K$3),0,1))</f>
        <v>0</v>
      </c>
      <c r="L815" s="1" t="n">
        <f aca="false">IF(OR($L$1="",对接源_01水果!$C815="",对接源_01水果!$C815&lt;&gt;$L$1,对接源_01水果!$B815=""),0,IF(OR(N(对接源_01水果!$B815)&lt;$L$2,N(对接源_01水果!$B815)&gt;$L$3),0,1))</f>
        <v>0</v>
      </c>
      <c r="M815" s="1" t="n">
        <f aca="false">IF(OR($M$1="",对接源_01水果!$C815="",对接源_01水果!$C815&lt;&gt;$M$1,对接源_01水果!$B815=""),0,IF(OR(N(对接源_01水果!$B815)&lt;$M$2,N(对接源_01水果!$B815)&gt;$M$3),0,1))</f>
        <v>0</v>
      </c>
      <c r="N815" s="1" t="n">
        <f aca="false">IF(OR($N$1="",对接源_01水果!$C815="",对接源_01水果!$C815&lt;&gt;$N$1,对接源_01水果!$B815=""),0,IF(OR(N(对接源_01水果!$B815)&lt;$N$2,N(对接源_01水果!$B815)&gt;$N$3),0,1))</f>
        <v>0</v>
      </c>
      <c r="P815" s="1" t="n">
        <f aca="false">IF(AND($K815=1,AND(对接源_01水果!$X815="公司筐",N(对接源_01水果!$T815)&lt;&gt;0)),1,0)</f>
        <v>0</v>
      </c>
      <c r="Q815" s="1" t="n">
        <f aca="false">N(Q814)+$P815</f>
        <v>3</v>
      </c>
      <c r="R815" s="1" t="n">
        <f aca="false">IF(AND($K815=1,AND(对接源_01水果!$X815="公司筐",N(对接源_01水果!$U815)&lt;&gt;0)),1,0)</f>
        <v>0</v>
      </c>
      <c r="S815" s="1" t="n">
        <f aca="false">N(S814)+$R815</f>
        <v>0</v>
      </c>
      <c r="T815" s="1" t="n">
        <f aca="false">IF(AND($K815=1,AND(对接源_01水果!$X815="公司筐",N(对接源_01水果!$V815)&lt;&gt;0)),1,0)</f>
        <v>0</v>
      </c>
      <c r="U815" s="1" t="n">
        <f aca="false">N(U814)+$T815</f>
        <v>28</v>
      </c>
      <c r="V815" s="1" t="n">
        <f aca="false">IF(AND($L815=1,AND(对接源_01水果!$X815="自备筐",N(对接源_01水果!$V815)&lt;&gt;0)),1,0)</f>
        <v>0</v>
      </c>
      <c r="W815" s="1" t="n">
        <f aca="false">N(W814)+$V815</f>
        <v>7</v>
      </c>
      <c r="X815" s="1" t="n">
        <f aca="false">IF(AND($L815=1,AND(对接源_01水果!$X815="自备筐",N(对接源_01水果!$T815)&lt;&gt;0)),1,0)</f>
        <v>0</v>
      </c>
      <c r="Y815" s="1" t="n">
        <f aca="false">N(Y814)+$X815</f>
        <v>0</v>
      </c>
      <c r="Z815" s="1" t="n">
        <f aca="false">IF(AND($M815=1,对接源_01水果!$D815="原料入库"),1,0)</f>
        <v>0</v>
      </c>
      <c r="AA815" s="1" t="n">
        <f aca="false">N(AA814)+$Z815</f>
        <v>30</v>
      </c>
      <c r="AB815" s="1" t="n">
        <f aca="false">IF(AND($M815=1,LEFT(对接源_01水果!$D815,4)="原料出库"),1,0)</f>
        <v>0</v>
      </c>
      <c r="AC815" s="1" t="n">
        <f aca="false">N(AC814)+$AB815</f>
        <v>19</v>
      </c>
      <c r="AD815" s="1" t="n">
        <f aca="false">IF(AND($M815=1,LEFT(对接源_01水果!$D815,4)="成品出库"),1,0)</f>
        <v>0</v>
      </c>
      <c r="AE815" s="1" t="n">
        <f aca="false">N(AE814)+$AD815</f>
        <v>38</v>
      </c>
      <c r="AF815" s="1" t="n">
        <f aca="false">IF(AND($N815=1,AND(LEFT(对接源_01水果!$D815,4)="包装物料",N(对接源_01水果!$K815)&lt;&gt;0)),1,0)</f>
        <v>0</v>
      </c>
      <c r="AG815" s="90" t="str">
        <f aca="false">IF(对接源_01水果!$AC815="","",对接源_01水果!$AC815)</f>
        <v/>
      </c>
      <c r="AH815" s="1" t="n">
        <f aca="false">IF(AND($N815=1,AND(LEFT(对接源_01水果!$D815,3)="周转筐",N(对接源_01水果!$K815)&lt;&gt;0)),1,0)</f>
        <v>0</v>
      </c>
      <c r="AI815" s="90" t="n">
        <f aca="false">IF(AG815="",0,IF(MATCH(AG815,$AG$4:$AG$1203,0)=ROW()-3,1,0))</f>
        <v>0</v>
      </c>
      <c r="AJ815" s="90" t="n">
        <f aca="false">N(AJ814)+AI815</f>
        <v>4</v>
      </c>
      <c r="AK815" s="1" t="n">
        <f aca="false">N(AK814)+$AJ815</f>
        <v>2120</v>
      </c>
    </row>
    <row r="816" customFormat="false" ht="13.5" hidden="false" customHeight="false" outlineLevel="0" collapsed="false">
      <c r="A816" s="1" t="str">
        <f aca="false">IF(对接源_01水果!$C816="","",对接源_01水果!$C816)</f>
        <v/>
      </c>
      <c r="B816" s="1" t="n">
        <f aca="false">IF(A816="",0,IF(MATCH(A816,$A$4:$A$2403,0)=ROW()-3,1,0))</f>
        <v>0</v>
      </c>
      <c r="C816" s="1" t="n">
        <f aca="false">N(C815)+B816</f>
        <v>13</v>
      </c>
      <c r="K816" s="1" t="n">
        <f aca="false">IF(OR($K$1="",对接源_01水果!$C816="",对接源_01水果!$C816&lt;&gt;$K$1,对接源_01水果!$B816=""),0,IF(OR(N(对接源_01水果!$B816)&lt;$K$2,N(对接源_01水果!$B816)&gt;$K$3),0,1))</f>
        <v>0</v>
      </c>
      <c r="L816" s="1" t="n">
        <f aca="false">IF(OR($L$1="",对接源_01水果!$C816="",对接源_01水果!$C816&lt;&gt;$L$1,对接源_01水果!$B816=""),0,IF(OR(N(对接源_01水果!$B816)&lt;$L$2,N(对接源_01水果!$B816)&gt;$L$3),0,1))</f>
        <v>0</v>
      </c>
      <c r="M816" s="1" t="n">
        <f aca="false">IF(OR($M$1="",对接源_01水果!$C816="",对接源_01水果!$C816&lt;&gt;$M$1,对接源_01水果!$B816=""),0,IF(OR(N(对接源_01水果!$B816)&lt;$M$2,N(对接源_01水果!$B816)&gt;$M$3),0,1))</f>
        <v>0</v>
      </c>
      <c r="N816" s="1" t="n">
        <f aca="false">IF(OR($N$1="",对接源_01水果!$C816="",对接源_01水果!$C816&lt;&gt;$N$1,对接源_01水果!$B816=""),0,IF(OR(N(对接源_01水果!$B816)&lt;$N$2,N(对接源_01水果!$B816)&gt;$N$3),0,1))</f>
        <v>0</v>
      </c>
      <c r="P816" s="1" t="n">
        <f aca="false">IF(AND($K816=1,AND(对接源_01水果!$X816="公司筐",N(对接源_01水果!$T816)&lt;&gt;0)),1,0)</f>
        <v>0</v>
      </c>
      <c r="Q816" s="1" t="n">
        <f aca="false">N(Q815)+$P816</f>
        <v>3</v>
      </c>
      <c r="R816" s="1" t="n">
        <f aca="false">IF(AND($K816=1,AND(对接源_01水果!$X816="公司筐",N(对接源_01水果!$U816)&lt;&gt;0)),1,0)</f>
        <v>0</v>
      </c>
      <c r="S816" s="1" t="n">
        <f aca="false">N(S815)+$R816</f>
        <v>0</v>
      </c>
      <c r="T816" s="1" t="n">
        <f aca="false">IF(AND($K816=1,AND(对接源_01水果!$X816="公司筐",N(对接源_01水果!$V816)&lt;&gt;0)),1,0)</f>
        <v>0</v>
      </c>
      <c r="U816" s="1" t="n">
        <f aca="false">N(U815)+$T816</f>
        <v>28</v>
      </c>
      <c r="V816" s="1" t="n">
        <f aca="false">IF(AND($L816=1,AND(对接源_01水果!$X816="自备筐",N(对接源_01水果!$V816)&lt;&gt;0)),1,0)</f>
        <v>0</v>
      </c>
      <c r="W816" s="1" t="n">
        <f aca="false">N(W815)+$V816</f>
        <v>7</v>
      </c>
      <c r="X816" s="1" t="n">
        <f aca="false">IF(AND($L816=1,AND(对接源_01水果!$X816="自备筐",N(对接源_01水果!$T816)&lt;&gt;0)),1,0)</f>
        <v>0</v>
      </c>
      <c r="Y816" s="1" t="n">
        <f aca="false">N(Y815)+$X816</f>
        <v>0</v>
      </c>
      <c r="Z816" s="1" t="n">
        <f aca="false">IF(AND($M816=1,对接源_01水果!$D816="原料入库"),1,0)</f>
        <v>0</v>
      </c>
      <c r="AA816" s="1" t="n">
        <f aca="false">N(AA815)+$Z816</f>
        <v>30</v>
      </c>
      <c r="AB816" s="1" t="n">
        <f aca="false">IF(AND($M816=1,LEFT(对接源_01水果!$D816,4)="原料出库"),1,0)</f>
        <v>0</v>
      </c>
      <c r="AC816" s="1" t="n">
        <f aca="false">N(AC815)+$AB816</f>
        <v>19</v>
      </c>
      <c r="AD816" s="1" t="n">
        <f aca="false">IF(AND($M816=1,LEFT(对接源_01水果!$D816,4)="成品出库"),1,0)</f>
        <v>0</v>
      </c>
      <c r="AE816" s="1" t="n">
        <f aca="false">N(AE815)+$AD816</f>
        <v>38</v>
      </c>
      <c r="AF816" s="1" t="n">
        <f aca="false">IF(AND($N816=1,AND(LEFT(对接源_01水果!$D816,4)="包装物料",N(对接源_01水果!$K816)&lt;&gt;0)),1,0)</f>
        <v>0</v>
      </c>
      <c r="AG816" s="90" t="str">
        <f aca="false">IF(对接源_01水果!$AC816="","",对接源_01水果!$AC816)</f>
        <v/>
      </c>
      <c r="AH816" s="1" t="n">
        <f aca="false">IF(AND($N816=1,AND(LEFT(对接源_01水果!$D816,3)="周转筐",N(对接源_01水果!$K816)&lt;&gt;0)),1,0)</f>
        <v>0</v>
      </c>
      <c r="AI816" s="90" t="n">
        <f aca="false">IF(AG816="",0,IF(MATCH(AG816,$AG$4:$AG$1203,0)=ROW()-3,1,0))</f>
        <v>0</v>
      </c>
      <c r="AJ816" s="90" t="n">
        <f aca="false">N(AJ815)+AI816</f>
        <v>4</v>
      </c>
      <c r="AK816" s="1" t="n">
        <f aca="false">N(AK815)+$AJ816</f>
        <v>2124</v>
      </c>
    </row>
    <row r="817" customFormat="false" ht="13.5" hidden="false" customHeight="false" outlineLevel="0" collapsed="false">
      <c r="A817" s="1" t="str">
        <f aca="false">IF(对接源_01水果!$C817="","",对接源_01水果!$C817)</f>
        <v/>
      </c>
      <c r="B817" s="1" t="n">
        <f aca="false">IF(A817="",0,IF(MATCH(A817,$A$4:$A$2403,0)=ROW()-3,1,0))</f>
        <v>0</v>
      </c>
      <c r="C817" s="1" t="n">
        <f aca="false">N(C816)+B817</f>
        <v>13</v>
      </c>
      <c r="K817" s="1" t="n">
        <f aca="false">IF(OR($K$1="",对接源_01水果!$C817="",对接源_01水果!$C817&lt;&gt;$K$1,对接源_01水果!$B817=""),0,IF(OR(N(对接源_01水果!$B817)&lt;$K$2,N(对接源_01水果!$B817)&gt;$K$3),0,1))</f>
        <v>0</v>
      </c>
      <c r="L817" s="1" t="n">
        <f aca="false">IF(OR($L$1="",对接源_01水果!$C817="",对接源_01水果!$C817&lt;&gt;$L$1,对接源_01水果!$B817=""),0,IF(OR(N(对接源_01水果!$B817)&lt;$L$2,N(对接源_01水果!$B817)&gt;$L$3),0,1))</f>
        <v>0</v>
      </c>
      <c r="M817" s="1" t="n">
        <f aca="false">IF(OR($M$1="",对接源_01水果!$C817="",对接源_01水果!$C817&lt;&gt;$M$1,对接源_01水果!$B817=""),0,IF(OR(N(对接源_01水果!$B817)&lt;$M$2,N(对接源_01水果!$B817)&gt;$M$3),0,1))</f>
        <v>0</v>
      </c>
      <c r="N817" s="1" t="n">
        <f aca="false">IF(OR($N$1="",对接源_01水果!$C817="",对接源_01水果!$C817&lt;&gt;$N$1,对接源_01水果!$B817=""),0,IF(OR(N(对接源_01水果!$B817)&lt;$N$2,N(对接源_01水果!$B817)&gt;$N$3),0,1))</f>
        <v>0</v>
      </c>
      <c r="P817" s="1" t="n">
        <f aca="false">IF(AND($K817=1,AND(对接源_01水果!$X817="公司筐",N(对接源_01水果!$T817)&lt;&gt;0)),1,0)</f>
        <v>0</v>
      </c>
      <c r="Q817" s="1" t="n">
        <f aca="false">N(Q816)+$P817</f>
        <v>3</v>
      </c>
      <c r="R817" s="1" t="n">
        <f aca="false">IF(AND($K817=1,AND(对接源_01水果!$X817="公司筐",N(对接源_01水果!$U817)&lt;&gt;0)),1,0)</f>
        <v>0</v>
      </c>
      <c r="S817" s="1" t="n">
        <f aca="false">N(S816)+$R817</f>
        <v>0</v>
      </c>
      <c r="T817" s="1" t="n">
        <f aca="false">IF(AND($K817=1,AND(对接源_01水果!$X817="公司筐",N(对接源_01水果!$V817)&lt;&gt;0)),1,0)</f>
        <v>0</v>
      </c>
      <c r="U817" s="1" t="n">
        <f aca="false">N(U816)+$T817</f>
        <v>28</v>
      </c>
      <c r="V817" s="1" t="n">
        <f aca="false">IF(AND($L817=1,AND(对接源_01水果!$X817="自备筐",N(对接源_01水果!$V817)&lt;&gt;0)),1,0)</f>
        <v>0</v>
      </c>
      <c r="W817" s="1" t="n">
        <f aca="false">N(W816)+$V817</f>
        <v>7</v>
      </c>
      <c r="X817" s="1" t="n">
        <f aca="false">IF(AND($L817=1,AND(对接源_01水果!$X817="自备筐",N(对接源_01水果!$T817)&lt;&gt;0)),1,0)</f>
        <v>0</v>
      </c>
      <c r="Y817" s="1" t="n">
        <f aca="false">N(Y816)+$X817</f>
        <v>0</v>
      </c>
      <c r="Z817" s="1" t="n">
        <f aca="false">IF(AND($M817=1,对接源_01水果!$D817="原料入库"),1,0)</f>
        <v>0</v>
      </c>
      <c r="AA817" s="1" t="n">
        <f aca="false">N(AA816)+$Z817</f>
        <v>30</v>
      </c>
      <c r="AB817" s="1" t="n">
        <f aca="false">IF(AND($M817=1,LEFT(对接源_01水果!$D817,4)="原料出库"),1,0)</f>
        <v>0</v>
      </c>
      <c r="AC817" s="1" t="n">
        <f aca="false">N(AC816)+$AB817</f>
        <v>19</v>
      </c>
      <c r="AD817" s="1" t="n">
        <f aca="false">IF(AND($M817=1,LEFT(对接源_01水果!$D817,4)="成品出库"),1,0)</f>
        <v>0</v>
      </c>
      <c r="AE817" s="1" t="n">
        <f aca="false">N(AE816)+$AD817</f>
        <v>38</v>
      </c>
      <c r="AF817" s="1" t="n">
        <f aca="false">IF(AND($N817=1,AND(LEFT(对接源_01水果!$D817,4)="包装物料",N(对接源_01水果!$K817)&lt;&gt;0)),1,0)</f>
        <v>0</v>
      </c>
      <c r="AG817" s="90" t="str">
        <f aca="false">IF(对接源_01水果!$AC817="","",对接源_01水果!$AC817)</f>
        <v/>
      </c>
      <c r="AH817" s="1" t="n">
        <f aca="false">IF(AND($N817=1,AND(LEFT(对接源_01水果!$D817,3)="周转筐",N(对接源_01水果!$K817)&lt;&gt;0)),1,0)</f>
        <v>0</v>
      </c>
      <c r="AI817" s="90" t="n">
        <f aca="false">IF(AG817="",0,IF(MATCH(AG817,$AG$4:$AG$1203,0)=ROW()-3,1,0))</f>
        <v>0</v>
      </c>
      <c r="AJ817" s="90" t="n">
        <f aca="false">N(AJ816)+AI817</f>
        <v>4</v>
      </c>
      <c r="AK817" s="1" t="n">
        <f aca="false">N(AK816)+$AJ817</f>
        <v>2128</v>
      </c>
    </row>
    <row r="818" customFormat="false" ht="13.5" hidden="false" customHeight="false" outlineLevel="0" collapsed="false">
      <c r="A818" s="1" t="str">
        <f aca="false">IF(对接源_01水果!$C818="","",对接源_01水果!$C818)</f>
        <v/>
      </c>
      <c r="B818" s="1" t="n">
        <f aca="false">IF(A818="",0,IF(MATCH(A818,$A$4:$A$2403,0)=ROW()-3,1,0))</f>
        <v>0</v>
      </c>
      <c r="C818" s="1" t="n">
        <f aca="false">N(C817)+B818</f>
        <v>13</v>
      </c>
      <c r="K818" s="1" t="n">
        <f aca="false">IF(OR($K$1="",对接源_01水果!$C818="",对接源_01水果!$C818&lt;&gt;$K$1,对接源_01水果!$B818=""),0,IF(OR(N(对接源_01水果!$B818)&lt;$K$2,N(对接源_01水果!$B818)&gt;$K$3),0,1))</f>
        <v>0</v>
      </c>
      <c r="L818" s="1" t="n">
        <f aca="false">IF(OR($L$1="",对接源_01水果!$C818="",对接源_01水果!$C818&lt;&gt;$L$1,对接源_01水果!$B818=""),0,IF(OR(N(对接源_01水果!$B818)&lt;$L$2,N(对接源_01水果!$B818)&gt;$L$3),0,1))</f>
        <v>0</v>
      </c>
      <c r="M818" s="1" t="n">
        <f aca="false">IF(OR($M$1="",对接源_01水果!$C818="",对接源_01水果!$C818&lt;&gt;$M$1,对接源_01水果!$B818=""),0,IF(OR(N(对接源_01水果!$B818)&lt;$M$2,N(对接源_01水果!$B818)&gt;$M$3),0,1))</f>
        <v>0</v>
      </c>
      <c r="N818" s="1" t="n">
        <f aca="false">IF(OR($N$1="",对接源_01水果!$C818="",对接源_01水果!$C818&lt;&gt;$N$1,对接源_01水果!$B818=""),0,IF(OR(N(对接源_01水果!$B818)&lt;$N$2,N(对接源_01水果!$B818)&gt;$N$3),0,1))</f>
        <v>0</v>
      </c>
      <c r="P818" s="1" t="n">
        <f aca="false">IF(AND($K818=1,AND(对接源_01水果!$X818="公司筐",N(对接源_01水果!$T818)&lt;&gt;0)),1,0)</f>
        <v>0</v>
      </c>
      <c r="Q818" s="1" t="n">
        <f aca="false">N(Q817)+$P818</f>
        <v>3</v>
      </c>
      <c r="R818" s="1" t="n">
        <f aca="false">IF(AND($K818=1,AND(对接源_01水果!$X818="公司筐",N(对接源_01水果!$U818)&lt;&gt;0)),1,0)</f>
        <v>0</v>
      </c>
      <c r="S818" s="1" t="n">
        <f aca="false">N(S817)+$R818</f>
        <v>0</v>
      </c>
      <c r="T818" s="1" t="n">
        <f aca="false">IF(AND($K818=1,AND(对接源_01水果!$X818="公司筐",N(对接源_01水果!$V818)&lt;&gt;0)),1,0)</f>
        <v>0</v>
      </c>
      <c r="U818" s="1" t="n">
        <f aca="false">N(U817)+$T818</f>
        <v>28</v>
      </c>
      <c r="V818" s="1" t="n">
        <f aca="false">IF(AND($L818=1,AND(对接源_01水果!$X818="自备筐",N(对接源_01水果!$V818)&lt;&gt;0)),1,0)</f>
        <v>0</v>
      </c>
      <c r="W818" s="1" t="n">
        <f aca="false">N(W817)+$V818</f>
        <v>7</v>
      </c>
      <c r="X818" s="1" t="n">
        <f aca="false">IF(AND($L818=1,AND(对接源_01水果!$X818="自备筐",N(对接源_01水果!$T818)&lt;&gt;0)),1,0)</f>
        <v>0</v>
      </c>
      <c r="Y818" s="1" t="n">
        <f aca="false">N(Y817)+$X818</f>
        <v>0</v>
      </c>
      <c r="Z818" s="1" t="n">
        <f aca="false">IF(AND($M818=1,对接源_01水果!$D818="原料入库"),1,0)</f>
        <v>0</v>
      </c>
      <c r="AA818" s="1" t="n">
        <f aca="false">N(AA817)+$Z818</f>
        <v>30</v>
      </c>
      <c r="AB818" s="1" t="n">
        <f aca="false">IF(AND($M818=1,LEFT(对接源_01水果!$D818,4)="原料出库"),1,0)</f>
        <v>0</v>
      </c>
      <c r="AC818" s="1" t="n">
        <f aca="false">N(AC817)+$AB818</f>
        <v>19</v>
      </c>
      <c r="AD818" s="1" t="n">
        <f aca="false">IF(AND($M818=1,LEFT(对接源_01水果!$D818,4)="成品出库"),1,0)</f>
        <v>0</v>
      </c>
      <c r="AE818" s="1" t="n">
        <f aca="false">N(AE817)+$AD818</f>
        <v>38</v>
      </c>
      <c r="AF818" s="1" t="n">
        <f aca="false">IF(AND($N818=1,AND(LEFT(对接源_01水果!$D818,4)="包装物料",N(对接源_01水果!$K818)&lt;&gt;0)),1,0)</f>
        <v>0</v>
      </c>
      <c r="AG818" s="90" t="str">
        <f aca="false">IF(对接源_01水果!$AC818="","",对接源_01水果!$AC818)</f>
        <v/>
      </c>
      <c r="AH818" s="1" t="n">
        <f aca="false">IF(AND($N818=1,AND(LEFT(对接源_01水果!$D818,3)="周转筐",N(对接源_01水果!$K818)&lt;&gt;0)),1,0)</f>
        <v>0</v>
      </c>
      <c r="AI818" s="90" t="n">
        <f aca="false">IF(AG818="",0,IF(MATCH(AG818,$AG$4:$AG$1203,0)=ROW()-3,1,0))</f>
        <v>0</v>
      </c>
      <c r="AJ818" s="90" t="n">
        <f aca="false">N(AJ817)+AI818</f>
        <v>4</v>
      </c>
      <c r="AK818" s="1" t="n">
        <f aca="false">N(AK817)+$AJ818</f>
        <v>2132</v>
      </c>
    </row>
    <row r="819" customFormat="false" ht="13.5" hidden="false" customHeight="false" outlineLevel="0" collapsed="false">
      <c r="A819" s="1" t="str">
        <f aca="false">IF(对接源_01水果!$C819="","",对接源_01水果!$C819)</f>
        <v/>
      </c>
      <c r="B819" s="1" t="n">
        <f aca="false">IF(A819="",0,IF(MATCH(A819,$A$4:$A$2403,0)=ROW()-3,1,0))</f>
        <v>0</v>
      </c>
      <c r="C819" s="1" t="n">
        <f aca="false">N(C818)+B819</f>
        <v>13</v>
      </c>
      <c r="K819" s="1" t="n">
        <f aca="false">IF(OR($K$1="",对接源_01水果!$C819="",对接源_01水果!$C819&lt;&gt;$K$1,对接源_01水果!$B819=""),0,IF(OR(N(对接源_01水果!$B819)&lt;$K$2,N(对接源_01水果!$B819)&gt;$K$3),0,1))</f>
        <v>0</v>
      </c>
      <c r="L819" s="1" t="n">
        <f aca="false">IF(OR($L$1="",对接源_01水果!$C819="",对接源_01水果!$C819&lt;&gt;$L$1,对接源_01水果!$B819=""),0,IF(OR(N(对接源_01水果!$B819)&lt;$L$2,N(对接源_01水果!$B819)&gt;$L$3),0,1))</f>
        <v>0</v>
      </c>
      <c r="M819" s="1" t="n">
        <f aca="false">IF(OR($M$1="",对接源_01水果!$C819="",对接源_01水果!$C819&lt;&gt;$M$1,对接源_01水果!$B819=""),0,IF(OR(N(对接源_01水果!$B819)&lt;$M$2,N(对接源_01水果!$B819)&gt;$M$3),0,1))</f>
        <v>0</v>
      </c>
      <c r="N819" s="1" t="n">
        <f aca="false">IF(OR($N$1="",对接源_01水果!$C819="",对接源_01水果!$C819&lt;&gt;$N$1,对接源_01水果!$B819=""),0,IF(OR(N(对接源_01水果!$B819)&lt;$N$2,N(对接源_01水果!$B819)&gt;$N$3),0,1))</f>
        <v>0</v>
      </c>
      <c r="P819" s="1" t="n">
        <f aca="false">IF(AND($K819=1,AND(对接源_01水果!$X819="公司筐",N(对接源_01水果!$T819)&lt;&gt;0)),1,0)</f>
        <v>0</v>
      </c>
      <c r="Q819" s="1" t="n">
        <f aca="false">N(Q818)+$P819</f>
        <v>3</v>
      </c>
      <c r="R819" s="1" t="n">
        <f aca="false">IF(AND($K819=1,AND(对接源_01水果!$X819="公司筐",N(对接源_01水果!$U819)&lt;&gt;0)),1,0)</f>
        <v>0</v>
      </c>
      <c r="S819" s="1" t="n">
        <f aca="false">N(S818)+$R819</f>
        <v>0</v>
      </c>
      <c r="T819" s="1" t="n">
        <f aca="false">IF(AND($K819=1,AND(对接源_01水果!$X819="公司筐",N(对接源_01水果!$V819)&lt;&gt;0)),1,0)</f>
        <v>0</v>
      </c>
      <c r="U819" s="1" t="n">
        <f aca="false">N(U818)+$T819</f>
        <v>28</v>
      </c>
      <c r="V819" s="1" t="n">
        <f aca="false">IF(AND($L819=1,AND(对接源_01水果!$X819="自备筐",N(对接源_01水果!$V819)&lt;&gt;0)),1,0)</f>
        <v>0</v>
      </c>
      <c r="W819" s="1" t="n">
        <f aca="false">N(W818)+$V819</f>
        <v>7</v>
      </c>
      <c r="X819" s="1" t="n">
        <f aca="false">IF(AND($L819=1,AND(对接源_01水果!$X819="自备筐",N(对接源_01水果!$T819)&lt;&gt;0)),1,0)</f>
        <v>0</v>
      </c>
      <c r="Y819" s="1" t="n">
        <f aca="false">N(Y818)+$X819</f>
        <v>0</v>
      </c>
      <c r="Z819" s="1" t="n">
        <f aca="false">IF(AND($M819=1,对接源_01水果!$D819="原料入库"),1,0)</f>
        <v>0</v>
      </c>
      <c r="AA819" s="1" t="n">
        <f aca="false">N(AA818)+$Z819</f>
        <v>30</v>
      </c>
      <c r="AB819" s="1" t="n">
        <f aca="false">IF(AND($M819=1,LEFT(对接源_01水果!$D819,4)="原料出库"),1,0)</f>
        <v>0</v>
      </c>
      <c r="AC819" s="1" t="n">
        <f aca="false">N(AC818)+$AB819</f>
        <v>19</v>
      </c>
      <c r="AD819" s="1" t="n">
        <f aca="false">IF(AND($M819=1,LEFT(对接源_01水果!$D819,4)="成品出库"),1,0)</f>
        <v>0</v>
      </c>
      <c r="AE819" s="1" t="n">
        <f aca="false">N(AE818)+$AD819</f>
        <v>38</v>
      </c>
      <c r="AF819" s="1" t="n">
        <f aca="false">IF(AND($N819=1,AND(LEFT(对接源_01水果!$D819,4)="包装物料",N(对接源_01水果!$K819)&lt;&gt;0)),1,0)</f>
        <v>0</v>
      </c>
      <c r="AG819" s="90" t="str">
        <f aca="false">IF(对接源_01水果!$AC819="","",对接源_01水果!$AC819)</f>
        <v/>
      </c>
      <c r="AH819" s="1" t="n">
        <f aca="false">IF(AND($N819=1,AND(LEFT(对接源_01水果!$D819,3)="周转筐",N(对接源_01水果!$K819)&lt;&gt;0)),1,0)</f>
        <v>0</v>
      </c>
      <c r="AI819" s="90" t="n">
        <f aca="false">IF(AG819="",0,IF(MATCH(AG819,$AG$4:$AG$1203,0)=ROW()-3,1,0))</f>
        <v>0</v>
      </c>
      <c r="AJ819" s="90" t="n">
        <f aca="false">N(AJ818)+AI819</f>
        <v>4</v>
      </c>
      <c r="AK819" s="1" t="n">
        <f aca="false">N(AK818)+$AJ819</f>
        <v>2136</v>
      </c>
    </row>
    <row r="820" customFormat="false" ht="13.5" hidden="false" customHeight="false" outlineLevel="0" collapsed="false">
      <c r="A820" s="1" t="str">
        <f aca="false">IF(对接源_01水果!$C820="","",对接源_01水果!$C820)</f>
        <v/>
      </c>
      <c r="B820" s="1" t="n">
        <f aca="false">IF(A820="",0,IF(MATCH(A820,$A$4:$A$2403,0)=ROW()-3,1,0))</f>
        <v>0</v>
      </c>
      <c r="C820" s="1" t="n">
        <f aca="false">N(C819)+B820</f>
        <v>13</v>
      </c>
      <c r="K820" s="1" t="n">
        <f aca="false">IF(OR($K$1="",对接源_01水果!$C820="",对接源_01水果!$C820&lt;&gt;$K$1,对接源_01水果!$B820=""),0,IF(OR(N(对接源_01水果!$B820)&lt;$K$2,N(对接源_01水果!$B820)&gt;$K$3),0,1))</f>
        <v>0</v>
      </c>
      <c r="L820" s="1" t="n">
        <f aca="false">IF(OR($L$1="",对接源_01水果!$C820="",对接源_01水果!$C820&lt;&gt;$L$1,对接源_01水果!$B820=""),0,IF(OR(N(对接源_01水果!$B820)&lt;$L$2,N(对接源_01水果!$B820)&gt;$L$3),0,1))</f>
        <v>0</v>
      </c>
      <c r="M820" s="1" t="n">
        <f aca="false">IF(OR($M$1="",对接源_01水果!$C820="",对接源_01水果!$C820&lt;&gt;$M$1,对接源_01水果!$B820=""),0,IF(OR(N(对接源_01水果!$B820)&lt;$M$2,N(对接源_01水果!$B820)&gt;$M$3),0,1))</f>
        <v>0</v>
      </c>
      <c r="N820" s="1" t="n">
        <f aca="false">IF(OR($N$1="",对接源_01水果!$C820="",对接源_01水果!$C820&lt;&gt;$N$1,对接源_01水果!$B820=""),0,IF(OR(N(对接源_01水果!$B820)&lt;$N$2,N(对接源_01水果!$B820)&gt;$N$3),0,1))</f>
        <v>0</v>
      </c>
      <c r="P820" s="1" t="n">
        <f aca="false">IF(AND($K820=1,AND(对接源_01水果!$X820="公司筐",N(对接源_01水果!$T820)&lt;&gt;0)),1,0)</f>
        <v>0</v>
      </c>
      <c r="Q820" s="1" t="n">
        <f aca="false">N(Q819)+$P820</f>
        <v>3</v>
      </c>
      <c r="R820" s="1" t="n">
        <f aca="false">IF(AND($K820=1,AND(对接源_01水果!$X820="公司筐",N(对接源_01水果!$U820)&lt;&gt;0)),1,0)</f>
        <v>0</v>
      </c>
      <c r="S820" s="1" t="n">
        <f aca="false">N(S819)+$R820</f>
        <v>0</v>
      </c>
      <c r="T820" s="1" t="n">
        <f aca="false">IF(AND($K820=1,AND(对接源_01水果!$X820="公司筐",N(对接源_01水果!$V820)&lt;&gt;0)),1,0)</f>
        <v>0</v>
      </c>
      <c r="U820" s="1" t="n">
        <f aca="false">N(U819)+$T820</f>
        <v>28</v>
      </c>
      <c r="V820" s="1" t="n">
        <f aca="false">IF(AND($L820=1,AND(对接源_01水果!$X820="自备筐",N(对接源_01水果!$V820)&lt;&gt;0)),1,0)</f>
        <v>0</v>
      </c>
      <c r="W820" s="1" t="n">
        <f aca="false">N(W819)+$V820</f>
        <v>7</v>
      </c>
      <c r="X820" s="1" t="n">
        <f aca="false">IF(AND($L820=1,AND(对接源_01水果!$X820="自备筐",N(对接源_01水果!$T820)&lt;&gt;0)),1,0)</f>
        <v>0</v>
      </c>
      <c r="Y820" s="1" t="n">
        <f aca="false">N(Y819)+$X820</f>
        <v>0</v>
      </c>
      <c r="Z820" s="1" t="n">
        <f aca="false">IF(AND($M820=1,对接源_01水果!$D820="原料入库"),1,0)</f>
        <v>0</v>
      </c>
      <c r="AA820" s="1" t="n">
        <f aca="false">N(AA819)+$Z820</f>
        <v>30</v>
      </c>
      <c r="AB820" s="1" t="n">
        <f aca="false">IF(AND($M820=1,LEFT(对接源_01水果!$D820,4)="原料出库"),1,0)</f>
        <v>0</v>
      </c>
      <c r="AC820" s="1" t="n">
        <f aca="false">N(AC819)+$AB820</f>
        <v>19</v>
      </c>
      <c r="AD820" s="1" t="n">
        <f aca="false">IF(AND($M820=1,LEFT(对接源_01水果!$D820,4)="成品出库"),1,0)</f>
        <v>0</v>
      </c>
      <c r="AE820" s="1" t="n">
        <f aca="false">N(AE819)+$AD820</f>
        <v>38</v>
      </c>
      <c r="AF820" s="1" t="n">
        <f aca="false">IF(AND($N820=1,AND(LEFT(对接源_01水果!$D820,4)="包装物料",N(对接源_01水果!$K820)&lt;&gt;0)),1,0)</f>
        <v>0</v>
      </c>
      <c r="AG820" s="90" t="str">
        <f aca="false">IF(对接源_01水果!$AC820="","",对接源_01水果!$AC820)</f>
        <v/>
      </c>
      <c r="AH820" s="1" t="n">
        <f aca="false">IF(AND($N820=1,AND(LEFT(对接源_01水果!$D820,3)="周转筐",N(对接源_01水果!$K820)&lt;&gt;0)),1,0)</f>
        <v>0</v>
      </c>
      <c r="AI820" s="90" t="n">
        <f aca="false">IF(AG820="",0,IF(MATCH(AG820,$AG$4:$AG$1203,0)=ROW()-3,1,0))</f>
        <v>0</v>
      </c>
      <c r="AJ820" s="90" t="n">
        <f aca="false">N(AJ819)+AI820</f>
        <v>4</v>
      </c>
      <c r="AK820" s="1" t="n">
        <f aca="false">N(AK819)+$AJ820</f>
        <v>2140</v>
      </c>
    </row>
    <row r="821" customFormat="false" ht="13.5" hidden="false" customHeight="false" outlineLevel="0" collapsed="false">
      <c r="A821" s="1" t="str">
        <f aca="false">IF(对接源_01水果!$C821="","",对接源_01水果!$C821)</f>
        <v/>
      </c>
      <c r="B821" s="1" t="n">
        <f aca="false">IF(A821="",0,IF(MATCH(A821,$A$4:$A$2403,0)=ROW()-3,1,0))</f>
        <v>0</v>
      </c>
      <c r="C821" s="1" t="n">
        <f aca="false">N(C820)+B821</f>
        <v>13</v>
      </c>
      <c r="K821" s="1" t="n">
        <f aca="false">IF(OR($K$1="",对接源_01水果!$C821="",对接源_01水果!$C821&lt;&gt;$K$1,对接源_01水果!$B821=""),0,IF(OR(N(对接源_01水果!$B821)&lt;$K$2,N(对接源_01水果!$B821)&gt;$K$3),0,1))</f>
        <v>0</v>
      </c>
      <c r="L821" s="1" t="n">
        <f aca="false">IF(OR($L$1="",对接源_01水果!$C821="",对接源_01水果!$C821&lt;&gt;$L$1,对接源_01水果!$B821=""),0,IF(OR(N(对接源_01水果!$B821)&lt;$L$2,N(对接源_01水果!$B821)&gt;$L$3),0,1))</f>
        <v>0</v>
      </c>
      <c r="M821" s="1" t="n">
        <f aca="false">IF(OR($M$1="",对接源_01水果!$C821="",对接源_01水果!$C821&lt;&gt;$M$1,对接源_01水果!$B821=""),0,IF(OR(N(对接源_01水果!$B821)&lt;$M$2,N(对接源_01水果!$B821)&gt;$M$3),0,1))</f>
        <v>0</v>
      </c>
      <c r="N821" s="1" t="n">
        <f aca="false">IF(OR($N$1="",对接源_01水果!$C821="",对接源_01水果!$C821&lt;&gt;$N$1,对接源_01水果!$B821=""),0,IF(OR(N(对接源_01水果!$B821)&lt;$N$2,N(对接源_01水果!$B821)&gt;$N$3),0,1))</f>
        <v>0</v>
      </c>
      <c r="P821" s="1" t="n">
        <f aca="false">IF(AND($K821=1,AND(对接源_01水果!$X821="公司筐",N(对接源_01水果!$T821)&lt;&gt;0)),1,0)</f>
        <v>0</v>
      </c>
      <c r="Q821" s="1" t="n">
        <f aca="false">N(Q820)+$P821</f>
        <v>3</v>
      </c>
      <c r="R821" s="1" t="n">
        <f aca="false">IF(AND($K821=1,AND(对接源_01水果!$X821="公司筐",N(对接源_01水果!$U821)&lt;&gt;0)),1,0)</f>
        <v>0</v>
      </c>
      <c r="S821" s="1" t="n">
        <f aca="false">N(S820)+$R821</f>
        <v>0</v>
      </c>
      <c r="T821" s="1" t="n">
        <f aca="false">IF(AND($K821=1,AND(对接源_01水果!$X821="公司筐",N(对接源_01水果!$V821)&lt;&gt;0)),1,0)</f>
        <v>0</v>
      </c>
      <c r="U821" s="1" t="n">
        <f aca="false">N(U820)+$T821</f>
        <v>28</v>
      </c>
      <c r="V821" s="1" t="n">
        <f aca="false">IF(AND($L821=1,AND(对接源_01水果!$X821="自备筐",N(对接源_01水果!$V821)&lt;&gt;0)),1,0)</f>
        <v>0</v>
      </c>
      <c r="W821" s="1" t="n">
        <f aca="false">N(W820)+$V821</f>
        <v>7</v>
      </c>
      <c r="X821" s="1" t="n">
        <f aca="false">IF(AND($L821=1,AND(对接源_01水果!$X821="自备筐",N(对接源_01水果!$T821)&lt;&gt;0)),1,0)</f>
        <v>0</v>
      </c>
      <c r="Y821" s="1" t="n">
        <f aca="false">N(Y820)+$X821</f>
        <v>0</v>
      </c>
      <c r="Z821" s="1" t="n">
        <f aca="false">IF(AND($M821=1,对接源_01水果!$D821="原料入库"),1,0)</f>
        <v>0</v>
      </c>
      <c r="AA821" s="1" t="n">
        <f aca="false">N(AA820)+$Z821</f>
        <v>30</v>
      </c>
      <c r="AB821" s="1" t="n">
        <f aca="false">IF(AND($M821=1,LEFT(对接源_01水果!$D821,4)="原料出库"),1,0)</f>
        <v>0</v>
      </c>
      <c r="AC821" s="1" t="n">
        <f aca="false">N(AC820)+$AB821</f>
        <v>19</v>
      </c>
      <c r="AD821" s="1" t="n">
        <f aca="false">IF(AND($M821=1,LEFT(对接源_01水果!$D821,4)="成品出库"),1,0)</f>
        <v>0</v>
      </c>
      <c r="AE821" s="1" t="n">
        <f aca="false">N(AE820)+$AD821</f>
        <v>38</v>
      </c>
      <c r="AF821" s="1" t="n">
        <f aca="false">IF(AND($N821=1,AND(LEFT(对接源_01水果!$D821,4)="包装物料",N(对接源_01水果!$K821)&lt;&gt;0)),1,0)</f>
        <v>0</v>
      </c>
      <c r="AG821" s="90" t="str">
        <f aca="false">IF(对接源_01水果!$AC821="","",对接源_01水果!$AC821)</f>
        <v/>
      </c>
      <c r="AH821" s="1" t="n">
        <f aca="false">IF(AND($N821=1,AND(LEFT(对接源_01水果!$D821,3)="周转筐",N(对接源_01水果!$K821)&lt;&gt;0)),1,0)</f>
        <v>0</v>
      </c>
      <c r="AI821" s="90" t="n">
        <f aca="false">IF(AG821="",0,IF(MATCH(AG821,$AG$4:$AG$1203,0)=ROW()-3,1,0))</f>
        <v>0</v>
      </c>
      <c r="AJ821" s="90" t="n">
        <f aca="false">N(AJ820)+AI821</f>
        <v>4</v>
      </c>
      <c r="AK821" s="1" t="n">
        <f aca="false">N(AK820)+$AJ821</f>
        <v>2144</v>
      </c>
    </row>
    <row r="822" customFormat="false" ht="13.5" hidden="false" customHeight="false" outlineLevel="0" collapsed="false">
      <c r="A822" s="1" t="str">
        <f aca="false">IF(对接源_01水果!$C822="","",对接源_01水果!$C822)</f>
        <v/>
      </c>
      <c r="B822" s="1" t="n">
        <f aca="false">IF(A822="",0,IF(MATCH(A822,$A$4:$A$2403,0)=ROW()-3,1,0))</f>
        <v>0</v>
      </c>
      <c r="C822" s="1" t="n">
        <f aca="false">N(C821)+B822</f>
        <v>13</v>
      </c>
      <c r="K822" s="1" t="n">
        <f aca="false">IF(OR($K$1="",对接源_01水果!$C822="",对接源_01水果!$C822&lt;&gt;$K$1,对接源_01水果!$B822=""),0,IF(OR(N(对接源_01水果!$B822)&lt;$K$2,N(对接源_01水果!$B822)&gt;$K$3),0,1))</f>
        <v>0</v>
      </c>
      <c r="L822" s="1" t="n">
        <f aca="false">IF(OR($L$1="",对接源_01水果!$C822="",对接源_01水果!$C822&lt;&gt;$L$1,对接源_01水果!$B822=""),0,IF(OR(N(对接源_01水果!$B822)&lt;$L$2,N(对接源_01水果!$B822)&gt;$L$3),0,1))</f>
        <v>0</v>
      </c>
      <c r="M822" s="1" t="n">
        <f aca="false">IF(OR($M$1="",对接源_01水果!$C822="",对接源_01水果!$C822&lt;&gt;$M$1,对接源_01水果!$B822=""),0,IF(OR(N(对接源_01水果!$B822)&lt;$M$2,N(对接源_01水果!$B822)&gt;$M$3),0,1))</f>
        <v>0</v>
      </c>
      <c r="N822" s="1" t="n">
        <f aca="false">IF(OR($N$1="",对接源_01水果!$C822="",对接源_01水果!$C822&lt;&gt;$N$1,对接源_01水果!$B822=""),0,IF(OR(N(对接源_01水果!$B822)&lt;$N$2,N(对接源_01水果!$B822)&gt;$N$3),0,1))</f>
        <v>0</v>
      </c>
      <c r="P822" s="1" t="n">
        <f aca="false">IF(AND($K822=1,AND(对接源_01水果!$X822="公司筐",N(对接源_01水果!$T822)&lt;&gt;0)),1,0)</f>
        <v>0</v>
      </c>
      <c r="Q822" s="1" t="n">
        <f aca="false">N(Q821)+$P822</f>
        <v>3</v>
      </c>
      <c r="R822" s="1" t="n">
        <f aca="false">IF(AND($K822=1,AND(对接源_01水果!$X822="公司筐",N(对接源_01水果!$U822)&lt;&gt;0)),1,0)</f>
        <v>0</v>
      </c>
      <c r="S822" s="1" t="n">
        <f aca="false">N(S821)+$R822</f>
        <v>0</v>
      </c>
      <c r="T822" s="1" t="n">
        <f aca="false">IF(AND($K822=1,AND(对接源_01水果!$X822="公司筐",N(对接源_01水果!$V822)&lt;&gt;0)),1,0)</f>
        <v>0</v>
      </c>
      <c r="U822" s="1" t="n">
        <f aca="false">N(U821)+$T822</f>
        <v>28</v>
      </c>
      <c r="V822" s="1" t="n">
        <f aca="false">IF(AND($L822=1,AND(对接源_01水果!$X822="自备筐",N(对接源_01水果!$V822)&lt;&gt;0)),1,0)</f>
        <v>0</v>
      </c>
      <c r="W822" s="1" t="n">
        <f aca="false">N(W821)+$V822</f>
        <v>7</v>
      </c>
      <c r="X822" s="1" t="n">
        <f aca="false">IF(AND($L822=1,AND(对接源_01水果!$X822="自备筐",N(对接源_01水果!$T822)&lt;&gt;0)),1,0)</f>
        <v>0</v>
      </c>
      <c r="Y822" s="1" t="n">
        <f aca="false">N(Y821)+$X822</f>
        <v>0</v>
      </c>
      <c r="Z822" s="1" t="n">
        <f aca="false">IF(AND($M822=1,对接源_01水果!$D822="原料入库"),1,0)</f>
        <v>0</v>
      </c>
      <c r="AA822" s="1" t="n">
        <f aca="false">N(AA821)+$Z822</f>
        <v>30</v>
      </c>
      <c r="AB822" s="1" t="n">
        <f aca="false">IF(AND($M822=1,LEFT(对接源_01水果!$D822,4)="原料出库"),1,0)</f>
        <v>0</v>
      </c>
      <c r="AC822" s="1" t="n">
        <f aca="false">N(AC821)+$AB822</f>
        <v>19</v>
      </c>
      <c r="AD822" s="1" t="n">
        <f aca="false">IF(AND($M822=1,LEFT(对接源_01水果!$D822,4)="成品出库"),1,0)</f>
        <v>0</v>
      </c>
      <c r="AE822" s="1" t="n">
        <f aca="false">N(AE821)+$AD822</f>
        <v>38</v>
      </c>
      <c r="AF822" s="1" t="n">
        <f aca="false">IF(AND($N822=1,AND(LEFT(对接源_01水果!$D822,4)="包装物料",N(对接源_01水果!$K822)&lt;&gt;0)),1,0)</f>
        <v>0</v>
      </c>
      <c r="AG822" s="90" t="str">
        <f aca="false">IF(对接源_01水果!$AC822="","",对接源_01水果!$AC822)</f>
        <v/>
      </c>
      <c r="AH822" s="1" t="n">
        <f aca="false">IF(AND($N822=1,AND(LEFT(对接源_01水果!$D822,3)="周转筐",N(对接源_01水果!$K822)&lt;&gt;0)),1,0)</f>
        <v>0</v>
      </c>
      <c r="AI822" s="90" t="n">
        <f aca="false">IF(AG822="",0,IF(MATCH(AG822,$AG$4:$AG$1203,0)=ROW()-3,1,0))</f>
        <v>0</v>
      </c>
      <c r="AJ822" s="90" t="n">
        <f aca="false">N(AJ821)+AI822</f>
        <v>4</v>
      </c>
      <c r="AK822" s="1" t="n">
        <f aca="false">N(AK821)+$AJ822</f>
        <v>2148</v>
      </c>
    </row>
    <row r="823" customFormat="false" ht="13.5" hidden="false" customHeight="false" outlineLevel="0" collapsed="false">
      <c r="A823" s="1" t="str">
        <f aca="false">IF(对接源_01水果!$C823="","",对接源_01水果!$C823)</f>
        <v/>
      </c>
      <c r="B823" s="1" t="n">
        <f aca="false">IF(A823="",0,IF(MATCH(A823,$A$4:$A$2403,0)=ROW()-3,1,0))</f>
        <v>0</v>
      </c>
      <c r="C823" s="1" t="n">
        <f aca="false">N(C822)+B823</f>
        <v>13</v>
      </c>
      <c r="K823" s="1" t="n">
        <f aca="false">IF(OR($K$1="",对接源_01水果!$C823="",对接源_01水果!$C823&lt;&gt;$K$1,对接源_01水果!$B823=""),0,IF(OR(N(对接源_01水果!$B823)&lt;$K$2,N(对接源_01水果!$B823)&gt;$K$3),0,1))</f>
        <v>0</v>
      </c>
      <c r="L823" s="1" t="n">
        <f aca="false">IF(OR($L$1="",对接源_01水果!$C823="",对接源_01水果!$C823&lt;&gt;$L$1,对接源_01水果!$B823=""),0,IF(OR(N(对接源_01水果!$B823)&lt;$L$2,N(对接源_01水果!$B823)&gt;$L$3),0,1))</f>
        <v>0</v>
      </c>
      <c r="M823" s="1" t="n">
        <f aca="false">IF(OR($M$1="",对接源_01水果!$C823="",对接源_01水果!$C823&lt;&gt;$M$1,对接源_01水果!$B823=""),0,IF(OR(N(对接源_01水果!$B823)&lt;$M$2,N(对接源_01水果!$B823)&gt;$M$3),0,1))</f>
        <v>0</v>
      </c>
      <c r="N823" s="1" t="n">
        <f aca="false">IF(OR($N$1="",对接源_01水果!$C823="",对接源_01水果!$C823&lt;&gt;$N$1,对接源_01水果!$B823=""),0,IF(OR(N(对接源_01水果!$B823)&lt;$N$2,N(对接源_01水果!$B823)&gt;$N$3),0,1))</f>
        <v>0</v>
      </c>
      <c r="P823" s="1" t="n">
        <f aca="false">IF(AND($K823=1,AND(对接源_01水果!$X823="公司筐",N(对接源_01水果!$T823)&lt;&gt;0)),1,0)</f>
        <v>0</v>
      </c>
      <c r="Q823" s="1" t="n">
        <f aca="false">N(Q822)+$P823</f>
        <v>3</v>
      </c>
      <c r="R823" s="1" t="n">
        <f aca="false">IF(AND($K823=1,AND(对接源_01水果!$X823="公司筐",N(对接源_01水果!$U823)&lt;&gt;0)),1,0)</f>
        <v>0</v>
      </c>
      <c r="S823" s="1" t="n">
        <f aca="false">N(S822)+$R823</f>
        <v>0</v>
      </c>
      <c r="T823" s="1" t="n">
        <f aca="false">IF(AND($K823=1,AND(对接源_01水果!$X823="公司筐",N(对接源_01水果!$V823)&lt;&gt;0)),1,0)</f>
        <v>0</v>
      </c>
      <c r="U823" s="1" t="n">
        <f aca="false">N(U822)+$T823</f>
        <v>28</v>
      </c>
      <c r="V823" s="1" t="n">
        <f aca="false">IF(AND($L823=1,AND(对接源_01水果!$X823="自备筐",N(对接源_01水果!$V823)&lt;&gt;0)),1,0)</f>
        <v>0</v>
      </c>
      <c r="W823" s="1" t="n">
        <f aca="false">N(W822)+$V823</f>
        <v>7</v>
      </c>
      <c r="X823" s="1" t="n">
        <f aca="false">IF(AND($L823=1,AND(对接源_01水果!$X823="自备筐",N(对接源_01水果!$T823)&lt;&gt;0)),1,0)</f>
        <v>0</v>
      </c>
      <c r="Y823" s="1" t="n">
        <f aca="false">N(Y822)+$X823</f>
        <v>0</v>
      </c>
      <c r="Z823" s="1" t="n">
        <f aca="false">IF(AND($M823=1,对接源_01水果!$D823="原料入库"),1,0)</f>
        <v>0</v>
      </c>
      <c r="AA823" s="1" t="n">
        <f aca="false">N(AA822)+$Z823</f>
        <v>30</v>
      </c>
      <c r="AB823" s="1" t="n">
        <f aca="false">IF(AND($M823=1,LEFT(对接源_01水果!$D823,4)="原料出库"),1,0)</f>
        <v>0</v>
      </c>
      <c r="AC823" s="1" t="n">
        <f aca="false">N(AC822)+$AB823</f>
        <v>19</v>
      </c>
      <c r="AD823" s="1" t="n">
        <f aca="false">IF(AND($M823=1,LEFT(对接源_01水果!$D823,4)="成品出库"),1,0)</f>
        <v>0</v>
      </c>
      <c r="AE823" s="1" t="n">
        <f aca="false">N(AE822)+$AD823</f>
        <v>38</v>
      </c>
      <c r="AF823" s="1" t="n">
        <f aca="false">IF(AND($N823=1,AND(LEFT(对接源_01水果!$D823,4)="包装物料",N(对接源_01水果!$K823)&lt;&gt;0)),1,0)</f>
        <v>0</v>
      </c>
      <c r="AG823" s="90" t="str">
        <f aca="false">IF(对接源_01水果!$AC823="","",对接源_01水果!$AC823)</f>
        <v/>
      </c>
      <c r="AH823" s="1" t="n">
        <f aca="false">IF(AND($N823=1,AND(LEFT(对接源_01水果!$D823,3)="周转筐",N(对接源_01水果!$K823)&lt;&gt;0)),1,0)</f>
        <v>0</v>
      </c>
      <c r="AI823" s="90" t="n">
        <f aca="false">IF(AG823="",0,IF(MATCH(AG823,$AG$4:$AG$1203,0)=ROW()-3,1,0))</f>
        <v>0</v>
      </c>
      <c r="AJ823" s="90" t="n">
        <f aca="false">N(AJ822)+AI823</f>
        <v>4</v>
      </c>
      <c r="AK823" s="1" t="n">
        <f aca="false">N(AK822)+$AJ823</f>
        <v>2152</v>
      </c>
    </row>
    <row r="824" customFormat="false" ht="13.5" hidden="false" customHeight="false" outlineLevel="0" collapsed="false">
      <c r="A824" s="1" t="str">
        <f aca="false">IF(对接源_01水果!$C824="","",对接源_01水果!$C824)</f>
        <v/>
      </c>
      <c r="B824" s="1" t="n">
        <f aca="false">IF(A824="",0,IF(MATCH(A824,$A$4:$A$2403,0)=ROW()-3,1,0))</f>
        <v>0</v>
      </c>
      <c r="C824" s="1" t="n">
        <f aca="false">N(C823)+B824</f>
        <v>13</v>
      </c>
      <c r="K824" s="1" t="n">
        <f aca="false">IF(OR($K$1="",对接源_01水果!$C824="",对接源_01水果!$C824&lt;&gt;$K$1,对接源_01水果!$B824=""),0,IF(OR(N(对接源_01水果!$B824)&lt;$K$2,N(对接源_01水果!$B824)&gt;$K$3),0,1))</f>
        <v>0</v>
      </c>
      <c r="L824" s="1" t="n">
        <f aca="false">IF(OR($L$1="",对接源_01水果!$C824="",对接源_01水果!$C824&lt;&gt;$L$1,对接源_01水果!$B824=""),0,IF(OR(N(对接源_01水果!$B824)&lt;$L$2,N(对接源_01水果!$B824)&gt;$L$3),0,1))</f>
        <v>0</v>
      </c>
      <c r="M824" s="1" t="n">
        <f aca="false">IF(OR($M$1="",对接源_01水果!$C824="",对接源_01水果!$C824&lt;&gt;$M$1,对接源_01水果!$B824=""),0,IF(OR(N(对接源_01水果!$B824)&lt;$M$2,N(对接源_01水果!$B824)&gt;$M$3),0,1))</f>
        <v>0</v>
      </c>
      <c r="N824" s="1" t="n">
        <f aca="false">IF(OR($N$1="",对接源_01水果!$C824="",对接源_01水果!$C824&lt;&gt;$N$1,对接源_01水果!$B824=""),0,IF(OR(N(对接源_01水果!$B824)&lt;$N$2,N(对接源_01水果!$B824)&gt;$N$3),0,1))</f>
        <v>0</v>
      </c>
      <c r="P824" s="1" t="n">
        <f aca="false">IF(AND($K824=1,AND(对接源_01水果!$X824="公司筐",N(对接源_01水果!$T824)&lt;&gt;0)),1,0)</f>
        <v>0</v>
      </c>
      <c r="Q824" s="1" t="n">
        <f aca="false">N(Q823)+$P824</f>
        <v>3</v>
      </c>
      <c r="R824" s="1" t="n">
        <f aca="false">IF(AND($K824=1,AND(对接源_01水果!$X824="公司筐",N(对接源_01水果!$U824)&lt;&gt;0)),1,0)</f>
        <v>0</v>
      </c>
      <c r="S824" s="1" t="n">
        <f aca="false">N(S823)+$R824</f>
        <v>0</v>
      </c>
      <c r="T824" s="1" t="n">
        <f aca="false">IF(AND($K824=1,AND(对接源_01水果!$X824="公司筐",N(对接源_01水果!$V824)&lt;&gt;0)),1,0)</f>
        <v>0</v>
      </c>
      <c r="U824" s="1" t="n">
        <f aca="false">N(U823)+$T824</f>
        <v>28</v>
      </c>
      <c r="V824" s="1" t="n">
        <f aca="false">IF(AND($L824=1,AND(对接源_01水果!$X824="自备筐",N(对接源_01水果!$V824)&lt;&gt;0)),1,0)</f>
        <v>0</v>
      </c>
      <c r="W824" s="1" t="n">
        <f aca="false">N(W823)+$V824</f>
        <v>7</v>
      </c>
      <c r="X824" s="1" t="n">
        <f aca="false">IF(AND($L824=1,AND(对接源_01水果!$X824="自备筐",N(对接源_01水果!$T824)&lt;&gt;0)),1,0)</f>
        <v>0</v>
      </c>
      <c r="Y824" s="1" t="n">
        <f aca="false">N(Y823)+$X824</f>
        <v>0</v>
      </c>
      <c r="Z824" s="1" t="n">
        <f aca="false">IF(AND($M824=1,对接源_01水果!$D824="原料入库"),1,0)</f>
        <v>0</v>
      </c>
      <c r="AA824" s="1" t="n">
        <f aca="false">N(AA823)+$Z824</f>
        <v>30</v>
      </c>
      <c r="AB824" s="1" t="n">
        <f aca="false">IF(AND($M824=1,LEFT(对接源_01水果!$D824,4)="原料出库"),1,0)</f>
        <v>0</v>
      </c>
      <c r="AC824" s="1" t="n">
        <f aca="false">N(AC823)+$AB824</f>
        <v>19</v>
      </c>
      <c r="AD824" s="1" t="n">
        <f aca="false">IF(AND($M824=1,LEFT(对接源_01水果!$D824,4)="成品出库"),1,0)</f>
        <v>0</v>
      </c>
      <c r="AE824" s="1" t="n">
        <f aca="false">N(AE823)+$AD824</f>
        <v>38</v>
      </c>
      <c r="AF824" s="1" t="n">
        <f aca="false">IF(AND($N824=1,AND(LEFT(对接源_01水果!$D824,4)="包装物料",N(对接源_01水果!$K824)&lt;&gt;0)),1,0)</f>
        <v>0</v>
      </c>
      <c r="AG824" s="90" t="str">
        <f aca="false">IF(对接源_01水果!$AC824="","",对接源_01水果!$AC824)</f>
        <v/>
      </c>
      <c r="AH824" s="1" t="n">
        <f aca="false">IF(AND($N824=1,AND(LEFT(对接源_01水果!$D824,3)="周转筐",N(对接源_01水果!$K824)&lt;&gt;0)),1,0)</f>
        <v>0</v>
      </c>
      <c r="AI824" s="90" t="n">
        <f aca="false">IF(AG824="",0,IF(MATCH(AG824,$AG$4:$AG$1203,0)=ROW()-3,1,0))</f>
        <v>0</v>
      </c>
      <c r="AJ824" s="90" t="n">
        <f aca="false">N(AJ823)+AI824</f>
        <v>4</v>
      </c>
      <c r="AK824" s="1" t="n">
        <f aca="false">N(AK823)+$AJ824</f>
        <v>2156</v>
      </c>
    </row>
    <row r="825" customFormat="false" ht="13.5" hidden="false" customHeight="false" outlineLevel="0" collapsed="false">
      <c r="A825" s="1" t="str">
        <f aca="false">IF(对接源_01水果!$C825="","",对接源_01水果!$C825)</f>
        <v/>
      </c>
      <c r="B825" s="1" t="n">
        <f aca="false">IF(A825="",0,IF(MATCH(A825,$A$4:$A$2403,0)=ROW()-3,1,0))</f>
        <v>0</v>
      </c>
      <c r="C825" s="1" t="n">
        <f aca="false">N(C824)+B825</f>
        <v>13</v>
      </c>
      <c r="K825" s="1" t="n">
        <f aca="false">IF(OR($K$1="",对接源_01水果!$C825="",对接源_01水果!$C825&lt;&gt;$K$1,对接源_01水果!$B825=""),0,IF(OR(N(对接源_01水果!$B825)&lt;$K$2,N(对接源_01水果!$B825)&gt;$K$3),0,1))</f>
        <v>0</v>
      </c>
      <c r="L825" s="1" t="n">
        <f aca="false">IF(OR($L$1="",对接源_01水果!$C825="",对接源_01水果!$C825&lt;&gt;$L$1,对接源_01水果!$B825=""),0,IF(OR(N(对接源_01水果!$B825)&lt;$L$2,N(对接源_01水果!$B825)&gt;$L$3),0,1))</f>
        <v>0</v>
      </c>
      <c r="M825" s="1" t="n">
        <f aca="false">IF(OR($M$1="",对接源_01水果!$C825="",对接源_01水果!$C825&lt;&gt;$M$1,对接源_01水果!$B825=""),0,IF(OR(N(对接源_01水果!$B825)&lt;$M$2,N(对接源_01水果!$B825)&gt;$M$3),0,1))</f>
        <v>0</v>
      </c>
      <c r="N825" s="1" t="n">
        <f aca="false">IF(OR($N$1="",对接源_01水果!$C825="",对接源_01水果!$C825&lt;&gt;$N$1,对接源_01水果!$B825=""),0,IF(OR(N(对接源_01水果!$B825)&lt;$N$2,N(对接源_01水果!$B825)&gt;$N$3),0,1))</f>
        <v>0</v>
      </c>
      <c r="P825" s="1" t="n">
        <f aca="false">IF(AND($K825=1,AND(对接源_01水果!$X825="公司筐",N(对接源_01水果!$T825)&lt;&gt;0)),1,0)</f>
        <v>0</v>
      </c>
      <c r="Q825" s="1" t="n">
        <f aca="false">N(Q824)+$P825</f>
        <v>3</v>
      </c>
      <c r="R825" s="1" t="n">
        <f aca="false">IF(AND($K825=1,AND(对接源_01水果!$X825="公司筐",N(对接源_01水果!$U825)&lt;&gt;0)),1,0)</f>
        <v>0</v>
      </c>
      <c r="S825" s="1" t="n">
        <f aca="false">N(S824)+$R825</f>
        <v>0</v>
      </c>
      <c r="T825" s="1" t="n">
        <f aca="false">IF(AND($K825=1,AND(对接源_01水果!$X825="公司筐",N(对接源_01水果!$V825)&lt;&gt;0)),1,0)</f>
        <v>0</v>
      </c>
      <c r="U825" s="1" t="n">
        <f aca="false">N(U824)+$T825</f>
        <v>28</v>
      </c>
      <c r="V825" s="1" t="n">
        <f aca="false">IF(AND($L825=1,AND(对接源_01水果!$X825="自备筐",N(对接源_01水果!$V825)&lt;&gt;0)),1,0)</f>
        <v>0</v>
      </c>
      <c r="W825" s="1" t="n">
        <f aca="false">N(W824)+$V825</f>
        <v>7</v>
      </c>
      <c r="X825" s="1" t="n">
        <f aca="false">IF(AND($L825=1,AND(对接源_01水果!$X825="自备筐",N(对接源_01水果!$T825)&lt;&gt;0)),1,0)</f>
        <v>0</v>
      </c>
      <c r="Y825" s="1" t="n">
        <f aca="false">N(Y824)+$X825</f>
        <v>0</v>
      </c>
      <c r="Z825" s="1" t="n">
        <f aca="false">IF(AND($M825=1,对接源_01水果!$D825="原料入库"),1,0)</f>
        <v>0</v>
      </c>
      <c r="AA825" s="1" t="n">
        <f aca="false">N(AA824)+$Z825</f>
        <v>30</v>
      </c>
      <c r="AB825" s="1" t="n">
        <f aca="false">IF(AND($M825=1,LEFT(对接源_01水果!$D825,4)="原料出库"),1,0)</f>
        <v>0</v>
      </c>
      <c r="AC825" s="1" t="n">
        <f aca="false">N(AC824)+$AB825</f>
        <v>19</v>
      </c>
      <c r="AD825" s="1" t="n">
        <f aca="false">IF(AND($M825=1,LEFT(对接源_01水果!$D825,4)="成品出库"),1,0)</f>
        <v>0</v>
      </c>
      <c r="AE825" s="1" t="n">
        <f aca="false">N(AE824)+$AD825</f>
        <v>38</v>
      </c>
      <c r="AF825" s="1" t="n">
        <f aca="false">IF(AND($N825=1,AND(LEFT(对接源_01水果!$D825,4)="包装物料",N(对接源_01水果!$K825)&lt;&gt;0)),1,0)</f>
        <v>0</v>
      </c>
      <c r="AG825" s="90" t="str">
        <f aca="false">IF(对接源_01水果!$AC825="","",对接源_01水果!$AC825)</f>
        <v/>
      </c>
      <c r="AH825" s="1" t="n">
        <f aca="false">IF(AND($N825=1,AND(LEFT(对接源_01水果!$D825,3)="周转筐",N(对接源_01水果!$K825)&lt;&gt;0)),1,0)</f>
        <v>0</v>
      </c>
      <c r="AI825" s="90" t="n">
        <f aca="false">IF(AG825="",0,IF(MATCH(AG825,$AG$4:$AG$1203,0)=ROW()-3,1,0))</f>
        <v>0</v>
      </c>
      <c r="AJ825" s="90" t="n">
        <f aca="false">N(AJ824)+AI825</f>
        <v>4</v>
      </c>
      <c r="AK825" s="1" t="n">
        <f aca="false">N(AK824)+$AJ825</f>
        <v>2160</v>
      </c>
    </row>
    <row r="826" customFormat="false" ht="13.5" hidden="false" customHeight="false" outlineLevel="0" collapsed="false">
      <c r="A826" s="1" t="str">
        <f aca="false">IF(对接源_01水果!$C826="","",对接源_01水果!$C826)</f>
        <v/>
      </c>
      <c r="B826" s="1" t="n">
        <f aca="false">IF(A826="",0,IF(MATCH(A826,$A$4:$A$2403,0)=ROW()-3,1,0))</f>
        <v>0</v>
      </c>
      <c r="C826" s="1" t="n">
        <f aca="false">N(C825)+B826</f>
        <v>13</v>
      </c>
      <c r="K826" s="1" t="n">
        <f aca="false">IF(OR($K$1="",对接源_01水果!$C826="",对接源_01水果!$C826&lt;&gt;$K$1,对接源_01水果!$B826=""),0,IF(OR(N(对接源_01水果!$B826)&lt;$K$2,N(对接源_01水果!$B826)&gt;$K$3),0,1))</f>
        <v>0</v>
      </c>
      <c r="L826" s="1" t="n">
        <f aca="false">IF(OR($L$1="",对接源_01水果!$C826="",对接源_01水果!$C826&lt;&gt;$L$1,对接源_01水果!$B826=""),0,IF(OR(N(对接源_01水果!$B826)&lt;$L$2,N(对接源_01水果!$B826)&gt;$L$3),0,1))</f>
        <v>0</v>
      </c>
      <c r="M826" s="1" t="n">
        <f aca="false">IF(OR($M$1="",对接源_01水果!$C826="",对接源_01水果!$C826&lt;&gt;$M$1,对接源_01水果!$B826=""),0,IF(OR(N(对接源_01水果!$B826)&lt;$M$2,N(对接源_01水果!$B826)&gt;$M$3),0,1))</f>
        <v>0</v>
      </c>
      <c r="N826" s="1" t="n">
        <f aca="false">IF(OR($N$1="",对接源_01水果!$C826="",对接源_01水果!$C826&lt;&gt;$N$1,对接源_01水果!$B826=""),0,IF(OR(N(对接源_01水果!$B826)&lt;$N$2,N(对接源_01水果!$B826)&gt;$N$3),0,1))</f>
        <v>0</v>
      </c>
      <c r="P826" s="1" t="n">
        <f aca="false">IF(AND($K826=1,AND(对接源_01水果!$X826="公司筐",N(对接源_01水果!$T826)&lt;&gt;0)),1,0)</f>
        <v>0</v>
      </c>
      <c r="Q826" s="1" t="n">
        <f aca="false">N(Q825)+$P826</f>
        <v>3</v>
      </c>
      <c r="R826" s="1" t="n">
        <f aca="false">IF(AND($K826=1,AND(对接源_01水果!$X826="公司筐",N(对接源_01水果!$U826)&lt;&gt;0)),1,0)</f>
        <v>0</v>
      </c>
      <c r="S826" s="1" t="n">
        <f aca="false">N(S825)+$R826</f>
        <v>0</v>
      </c>
      <c r="T826" s="1" t="n">
        <f aca="false">IF(AND($K826=1,AND(对接源_01水果!$X826="公司筐",N(对接源_01水果!$V826)&lt;&gt;0)),1,0)</f>
        <v>0</v>
      </c>
      <c r="U826" s="1" t="n">
        <f aca="false">N(U825)+$T826</f>
        <v>28</v>
      </c>
      <c r="V826" s="1" t="n">
        <f aca="false">IF(AND($L826=1,AND(对接源_01水果!$X826="自备筐",N(对接源_01水果!$V826)&lt;&gt;0)),1,0)</f>
        <v>0</v>
      </c>
      <c r="W826" s="1" t="n">
        <f aca="false">N(W825)+$V826</f>
        <v>7</v>
      </c>
      <c r="X826" s="1" t="n">
        <f aca="false">IF(AND($L826=1,AND(对接源_01水果!$X826="自备筐",N(对接源_01水果!$T826)&lt;&gt;0)),1,0)</f>
        <v>0</v>
      </c>
      <c r="Y826" s="1" t="n">
        <f aca="false">N(Y825)+$X826</f>
        <v>0</v>
      </c>
      <c r="Z826" s="1" t="n">
        <f aca="false">IF(AND($M826=1,对接源_01水果!$D826="原料入库"),1,0)</f>
        <v>0</v>
      </c>
      <c r="AA826" s="1" t="n">
        <f aca="false">N(AA825)+$Z826</f>
        <v>30</v>
      </c>
      <c r="AB826" s="1" t="n">
        <f aca="false">IF(AND($M826=1,LEFT(对接源_01水果!$D826,4)="原料出库"),1,0)</f>
        <v>0</v>
      </c>
      <c r="AC826" s="1" t="n">
        <f aca="false">N(AC825)+$AB826</f>
        <v>19</v>
      </c>
      <c r="AD826" s="1" t="n">
        <f aca="false">IF(AND($M826=1,LEFT(对接源_01水果!$D826,4)="成品出库"),1,0)</f>
        <v>0</v>
      </c>
      <c r="AE826" s="1" t="n">
        <f aca="false">N(AE825)+$AD826</f>
        <v>38</v>
      </c>
      <c r="AF826" s="1" t="n">
        <f aca="false">IF(AND($N826=1,AND(LEFT(对接源_01水果!$D826,4)="包装物料",N(对接源_01水果!$K826)&lt;&gt;0)),1,0)</f>
        <v>0</v>
      </c>
      <c r="AG826" s="90" t="str">
        <f aca="false">IF(对接源_01水果!$AC826="","",对接源_01水果!$AC826)</f>
        <v/>
      </c>
      <c r="AH826" s="1" t="n">
        <f aca="false">IF(AND($N826=1,AND(LEFT(对接源_01水果!$D826,3)="周转筐",N(对接源_01水果!$K826)&lt;&gt;0)),1,0)</f>
        <v>0</v>
      </c>
      <c r="AI826" s="90" t="n">
        <f aca="false">IF(AG826="",0,IF(MATCH(AG826,$AG$4:$AG$1203,0)=ROW()-3,1,0))</f>
        <v>0</v>
      </c>
      <c r="AJ826" s="90" t="n">
        <f aca="false">N(AJ825)+AI826</f>
        <v>4</v>
      </c>
      <c r="AK826" s="1" t="n">
        <f aca="false">N(AK825)+$AJ826</f>
        <v>2164</v>
      </c>
    </row>
    <row r="827" customFormat="false" ht="13.5" hidden="false" customHeight="false" outlineLevel="0" collapsed="false">
      <c r="A827" s="1" t="str">
        <f aca="false">IF(对接源_01水果!$C827="","",对接源_01水果!$C827)</f>
        <v/>
      </c>
      <c r="B827" s="1" t="n">
        <f aca="false">IF(A827="",0,IF(MATCH(A827,$A$4:$A$2403,0)=ROW()-3,1,0))</f>
        <v>0</v>
      </c>
      <c r="C827" s="1" t="n">
        <f aca="false">N(C826)+B827</f>
        <v>13</v>
      </c>
      <c r="K827" s="1" t="n">
        <f aca="false">IF(OR($K$1="",对接源_01水果!$C827="",对接源_01水果!$C827&lt;&gt;$K$1,对接源_01水果!$B827=""),0,IF(OR(N(对接源_01水果!$B827)&lt;$K$2,N(对接源_01水果!$B827)&gt;$K$3),0,1))</f>
        <v>0</v>
      </c>
      <c r="L827" s="1" t="n">
        <f aca="false">IF(OR($L$1="",对接源_01水果!$C827="",对接源_01水果!$C827&lt;&gt;$L$1,对接源_01水果!$B827=""),0,IF(OR(N(对接源_01水果!$B827)&lt;$L$2,N(对接源_01水果!$B827)&gt;$L$3),0,1))</f>
        <v>0</v>
      </c>
      <c r="M827" s="1" t="n">
        <f aca="false">IF(OR($M$1="",对接源_01水果!$C827="",对接源_01水果!$C827&lt;&gt;$M$1,对接源_01水果!$B827=""),0,IF(OR(N(对接源_01水果!$B827)&lt;$M$2,N(对接源_01水果!$B827)&gt;$M$3),0,1))</f>
        <v>0</v>
      </c>
      <c r="N827" s="1" t="n">
        <f aca="false">IF(OR($N$1="",对接源_01水果!$C827="",对接源_01水果!$C827&lt;&gt;$N$1,对接源_01水果!$B827=""),0,IF(OR(N(对接源_01水果!$B827)&lt;$N$2,N(对接源_01水果!$B827)&gt;$N$3),0,1))</f>
        <v>0</v>
      </c>
      <c r="P827" s="1" t="n">
        <f aca="false">IF(AND($K827=1,AND(对接源_01水果!$X827="公司筐",N(对接源_01水果!$T827)&lt;&gt;0)),1,0)</f>
        <v>0</v>
      </c>
      <c r="Q827" s="1" t="n">
        <f aca="false">N(Q826)+$P827</f>
        <v>3</v>
      </c>
      <c r="R827" s="1" t="n">
        <f aca="false">IF(AND($K827=1,AND(对接源_01水果!$X827="公司筐",N(对接源_01水果!$U827)&lt;&gt;0)),1,0)</f>
        <v>0</v>
      </c>
      <c r="S827" s="1" t="n">
        <f aca="false">N(S826)+$R827</f>
        <v>0</v>
      </c>
      <c r="T827" s="1" t="n">
        <f aca="false">IF(AND($K827=1,AND(对接源_01水果!$X827="公司筐",N(对接源_01水果!$V827)&lt;&gt;0)),1,0)</f>
        <v>0</v>
      </c>
      <c r="U827" s="1" t="n">
        <f aca="false">N(U826)+$T827</f>
        <v>28</v>
      </c>
      <c r="V827" s="1" t="n">
        <f aca="false">IF(AND($L827=1,AND(对接源_01水果!$X827="自备筐",N(对接源_01水果!$V827)&lt;&gt;0)),1,0)</f>
        <v>0</v>
      </c>
      <c r="W827" s="1" t="n">
        <f aca="false">N(W826)+$V827</f>
        <v>7</v>
      </c>
      <c r="X827" s="1" t="n">
        <f aca="false">IF(AND($L827=1,AND(对接源_01水果!$X827="自备筐",N(对接源_01水果!$T827)&lt;&gt;0)),1,0)</f>
        <v>0</v>
      </c>
      <c r="Y827" s="1" t="n">
        <f aca="false">N(Y826)+$X827</f>
        <v>0</v>
      </c>
      <c r="Z827" s="1" t="n">
        <f aca="false">IF(AND($M827=1,对接源_01水果!$D827="原料入库"),1,0)</f>
        <v>0</v>
      </c>
      <c r="AA827" s="1" t="n">
        <f aca="false">N(AA826)+$Z827</f>
        <v>30</v>
      </c>
      <c r="AB827" s="1" t="n">
        <f aca="false">IF(AND($M827=1,LEFT(对接源_01水果!$D827,4)="原料出库"),1,0)</f>
        <v>0</v>
      </c>
      <c r="AC827" s="1" t="n">
        <f aca="false">N(AC826)+$AB827</f>
        <v>19</v>
      </c>
      <c r="AD827" s="1" t="n">
        <f aca="false">IF(AND($M827=1,LEFT(对接源_01水果!$D827,4)="成品出库"),1,0)</f>
        <v>0</v>
      </c>
      <c r="AE827" s="1" t="n">
        <f aca="false">N(AE826)+$AD827</f>
        <v>38</v>
      </c>
      <c r="AF827" s="1" t="n">
        <f aca="false">IF(AND($N827=1,AND(LEFT(对接源_01水果!$D827,4)="包装物料",N(对接源_01水果!$K827)&lt;&gt;0)),1,0)</f>
        <v>0</v>
      </c>
      <c r="AG827" s="90" t="str">
        <f aca="false">IF(对接源_01水果!$AC827="","",对接源_01水果!$AC827)</f>
        <v/>
      </c>
      <c r="AH827" s="1" t="n">
        <f aca="false">IF(AND($N827=1,AND(LEFT(对接源_01水果!$D827,3)="周转筐",N(对接源_01水果!$K827)&lt;&gt;0)),1,0)</f>
        <v>0</v>
      </c>
      <c r="AI827" s="90" t="n">
        <f aca="false">IF(AG827="",0,IF(MATCH(AG827,$AG$4:$AG$1203,0)=ROW()-3,1,0))</f>
        <v>0</v>
      </c>
      <c r="AJ827" s="90" t="n">
        <f aca="false">N(AJ826)+AI827</f>
        <v>4</v>
      </c>
      <c r="AK827" s="1" t="n">
        <f aca="false">N(AK826)+$AJ827</f>
        <v>2168</v>
      </c>
    </row>
    <row r="828" customFormat="false" ht="13.5" hidden="false" customHeight="false" outlineLevel="0" collapsed="false">
      <c r="A828" s="1" t="str">
        <f aca="false">IF(对接源_01水果!$C828="","",对接源_01水果!$C828)</f>
        <v/>
      </c>
      <c r="B828" s="1" t="n">
        <f aca="false">IF(A828="",0,IF(MATCH(A828,$A$4:$A$2403,0)=ROW()-3,1,0))</f>
        <v>0</v>
      </c>
      <c r="C828" s="1" t="n">
        <f aca="false">N(C827)+B828</f>
        <v>13</v>
      </c>
      <c r="K828" s="1" t="n">
        <f aca="false">IF(OR($K$1="",对接源_01水果!$C828="",对接源_01水果!$C828&lt;&gt;$K$1,对接源_01水果!$B828=""),0,IF(OR(N(对接源_01水果!$B828)&lt;$K$2,N(对接源_01水果!$B828)&gt;$K$3),0,1))</f>
        <v>0</v>
      </c>
      <c r="L828" s="1" t="n">
        <f aca="false">IF(OR($L$1="",对接源_01水果!$C828="",对接源_01水果!$C828&lt;&gt;$L$1,对接源_01水果!$B828=""),0,IF(OR(N(对接源_01水果!$B828)&lt;$L$2,N(对接源_01水果!$B828)&gt;$L$3),0,1))</f>
        <v>0</v>
      </c>
      <c r="M828" s="1" t="n">
        <f aca="false">IF(OR($M$1="",对接源_01水果!$C828="",对接源_01水果!$C828&lt;&gt;$M$1,对接源_01水果!$B828=""),0,IF(OR(N(对接源_01水果!$B828)&lt;$M$2,N(对接源_01水果!$B828)&gt;$M$3),0,1))</f>
        <v>0</v>
      </c>
      <c r="N828" s="1" t="n">
        <f aca="false">IF(OR($N$1="",对接源_01水果!$C828="",对接源_01水果!$C828&lt;&gt;$N$1,对接源_01水果!$B828=""),0,IF(OR(N(对接源_01水果!$B828)&lt;$N$2,N(对接源_01水果!$B828)&gt;$N$3),0,1))</f>
        <v>0</v>
      </c>
      <c r="P828" s="1" t="n">
        <f aca="false">IF(AND($K828=1,AND(对接源_01水果!$X828="公司筐",N(对接源_01水果!$T828)&lt;&gt;0)),1,0)</f>
        <v>0</v>
      </c>
      <c r="Q828" s="1" t="n">
        <f aca="false">N(Q827)+$P828</f>
        <v>3</v>
      </c>
      <c r="R828" s="1" t="n">
        <f aca="false">IF(AND($K828=1,AND(对接源_01水果!$X828="公司筐",N(对接源_01水果!$U828)&lt;&gt;0)),1,0)</f>
        <v>0</v>
      </c>
      <c r="S828" s="1" t="n">
        <f aca="false">N(S827)+$R828</f>
        <v>0</v>
      </c>
      <c r="T828" s="1" t="n">
        <f aca="false">IF(AND($K828=1,AND(对接源_01水果!$X828="公司筐",N(对接源_01水果!$V828)&lt;&gt;0)),1,0)</f>
        <v>0</v>
      </c>
      <c r="U828" s="1" t="n">
        <f aca="false">N(U827)+$T828</f>
        <v>28</v>
      </c>
      <c r="V828" s="1" t="n">
        <f aca="false">IF(AND($L828=1,AND(对接源_01水果!$X828="自备筐",N(对接源_01水果!$V828)&lt;&gt;0)),1,0)</f>
        <v>0</v>
      </c>
      <c r="W828" s="1" t="n">
        <f aca="false">N(W827)+$V828</f>
        <v>7</v>
      </c>
      <c r="X828" s="1" t="n">
        <f aca="false">IF(AND($L828=1,AND(对接源_01水果!$X828="自备筐",N(对接源_01水果!$T828)&lt;&gt;0)),1,0)</f>
        <v>0</v>
      </c>
      <c r="Y828" s="1" t="n">
        <f aca="false">N(Y827)+$X828</f>
        <v>0</v>
      </c>
      <c r="Z828" s="1" t="n">
        <f aca="false">IF(AND($M828=1,对接源_01水果!$D828="原料入库"),1,0)</f>
        <v>0</v>
      </c>
      <c r="AA828" s="1" t="n">
        <f aca="false">N(AA827)+$Z828</f>
        <v>30</v>
      </c>
      <c r="AB828" s="1" t="n">
        <f aca="false">IF(AND($M828=1,LEFT(对接源_01水果!$D828,4)="原料出库"),1,0)</f>
        <v>0</v>
      </c>
      <c r="AC828" s="1" t="n">
        <f aca="false">N(AC827)+$AB828</f>
        <v>19</v>
      </c>
      <c r="AD828" s="1" t="n">
        <f aca="false">IF(AND($M828=1,LEFT(对接源_01水果!$D828,4)="成品出库"),1,0)</f>
        <v>0</v>
      </c>
      <c r="AE828" s="1" t="n">
        <f aca="false">N(AE827)+$AD828</f>
        <v>38</v>
      </c>
      <c r="AF828" s="1" t="n">
        <f aca="false">IF(AND($N828=1,AND(LEFT(对接源_01水果!$D828,4)="包装物料",N(对接源_01水果!$K828)&lt;&gt;0)),1,0)</f>
        <v>0</v>
      </c>
      <c r="AG828" s="90" t="str">
        <f aca="false">IF(对接源_01水果!$AC828="","",对接源_01水果!$AC828)</f>
        <v/>
      </c>
      <c r="AH828" s="1" t="n">
        <f aca="false">IF(AND($N828=1,AND(LEFT(对接源_01水果!$D828,3)="周转筐",N(对接源_01水果!$K828)&lt;&gt;0)),1,0)</f>
        <v>0</v>
      </c>
      <c r="AI828" s="90" t="n">
        <f aca="false">IF(AG828="",0,IF(MATCH(AG828,$AG$4:$AG$1203,0)=ROW()-3,1,0))</f>
        <v>0</v>
      </c>
      <c r="AJ828" s="90" t="n">
        <f aca="false">N(AJ827)+AI828</f>
        <v>4</v>
      </c>
      <c r="AK828" s="1" t="n">
        <f aca="false">N(AK827)+$AJ828</f>
        <v>2172</v>
      </c>
    </row>
    <row r="829" customFormat="false" ht="13.5" hidden="false" customHeight="false" outlineLevel="0" collapsed="false">
      <c r="A829" s="1" t="str">
        <f aca="false">IF(对接源_01水果!$C829="","",对接源_01水果!$C829)</f>
        <v/>
      </c>
      <c r="B829" s="1" t="n">
        <f aca="false">IF(A829="",0,IF(MATCH(A829,$A$4:$A$2403,0)=ROW()-3,1,0))</f>
        <v>0</v>
      </c>
      <c r="C829" s="1" t="n">
        <f aca="false">N(C828)+B829</f>
        <v>13</v>
      </c>
      <c r="K829" s="1" t="n">
        <f aca="false">IF(OR($K$1="",对接源_01水果!$C829="",对接源_01水果!$C829&lt;&gt;$K$1,对接源_01水果!$B829=""),0,IF(OR(N(对接源_01水果!$B829)&lt;$K$2,N(对接源_01水果!$B829)&gt;$K$3),0,1))</f>
        <v>0</v>
      </c>
      <c r="L829" s="1" t="n">
        <f aca="false">IF(OR($L$1="",对接源_01水果!$C829="",对接源_01水果!$C829&lt;&gt;$L$1,对接源_01水果!$B829=""),0,IF(OR(N(对接源_01水果!$B829)&lt;$L$2,N(对接源_01水果!$B829)&gt;$L$3),0,1))</f>
        <v>0</v>
      </c>
      <c r="M829" s="1" t="n">
        <f aca="false">IF(OR($M$1="",对接源_01水果!$C829="",对接源_01水果!$C829&lt;&gt;$M$1,对接源_01水果!$B829=""),0,IF(OR(N(对接源_01水果!$B829)&lt;$M$2,N(对接源_01水果!$B829)&gt;$M$3),0,1))</f>
        <v>0</v>
      </c>
      <c r="N829" s="1" t="n">
        <f aca="false">IF(OR($N$1="",对接源_01水果!$C829="",对接源_01水果!$C829&lt;&gt;$N$1,对接源_01水果!$B829=""),0,IF(OR(N(对接源_01水果!$B829)&lt;$N$2,N(对接源_01水果!$B829)&gt;$N$3),0,1))</f>
        <v>0</v>
      </c>
      <c r="P829" s="1" t="n">
        <f aca="false">IF(AND($K829=1,AND(对接源_01水果!$X829="公司筐",N(对接源_01水果!$T829)&lt;&gt;0)),1,0)</f>
        <v>0</v>
      </c>
      <c r="Q829" s="1" t="n">
        <f aca="false">N(Q828)+$P829</f>
        <v>3</v>
      </c>
      <c r="R829" s="1" t="n">
        <f aca="false">IF(AND($K829=1,AND(对接源_01水果!$X829="公司筐",N(对接源_01水果!$U829)&lt;&gt;0)),1,0)</f>
        <v>0</v>
      </c>
      <c r="S829" s="1" t="n">
        <f aca="false">N(S828)+$R829</f>
        <v>0</v>
      </c>
      <c r="T829" s="1" t="n">
        <f aca="false">IF(AND($K829=1,AND(对接源_01水果!$X829="公司筐",N(对接源_01水果!$V829)&lt;&gt;0)),1,0)</f>
        <v>0</v>
      </c>
      <c r="U829" s="1" t="n">
        <f aca="false">N(U828)+$T829</f>
        <v>28</v>
      </c>
      <c r="V829" s="1" t="n">
        <f aca="false">IF(AND($L829=1,AND(对接源_01水果!$X829="自备筐",N(对接源_01水果!$V829)&lt;&gt;0)),1,0)</f>
        <v>0</v>
      </c>
      <c r="W829" s="1" t="n">
        <f aca="false">N(W828)+$V829</f>
        <v>7</v>
      </c>
      <c r="X829" s="1" t="n">
        <f aca="false">IF(AND($L829=1,AND(对接源_01水果!$X829="自备筐",N(对接源_01水果!$T829)&lt;&gt;0)),1,0)</f>
        <v>0</v>
      </c>
      <c r="Y829" s="1" t="n">
        <f aca="false">N(Y828)+$X829</f>
        <v>0</v>
      </c>
      <c r="Z829" s="1" t="n">
        <f aca="false">IF(AND($M829=1,对接源_01水果!$D829="原料入库"),1,0)</f>
        <v>0</v>
      </c>
      <c r="AA829" s="1" t="n">
        <f aca="false">N(AA828)+$Z829</f>
        <v>30</v>
      </c>
      <c r="AB829" s="1" t="n">
        <f aca="false">IF(AND($M829=1,LEFT(对接源_01水果!$D829,4)="原料出库"),1,0)</f>
        <v>0</v>
      </c>
      <c r="AC829" s="1" t="n">
        <f aca="false">N(AC828)+$AB829</f>
        <v>19</v>
      </c>
      <c r="AD829" s="1" t="n">
        <f aca="false">IF(AND($M829=1,LEFT(对接源_01水果!$D829,4)="成品出库"),1,0)</f>
        <v>0</v>
      </c>
      <c r="AE829" s="1" t="n">
        <f aca="false">N(AE828)+$AD829</f>
        <v>38</v>
      </c>
      <c r="AF829" s="1" t="n">
        <f aca="false">IF(AND($N829=1,AND(LEFT(对接源_01水果!$D829,4)="包装物料",N(对接源_01水果!$K829)&lt;&gt;0)),1,0)</f>
        <v>0</v>
      </c>
      <c r="AG829" s="90" t="str">
        <f aca="false">IF(对接源_01水果!$AC829="","",对接源_01水果!$AC829)</f>
        <v/>
      </c>
      <c r="AH829" s="1" t="n">
        <f aca="false">IF(AND($N829=1,AND(LEFT(对接源_01水果!$D829,3)="周转筐",N(对接源_01水果!$K829)&lt;&gt;0)),1,0)</f>
        <v>0</v>
      </c>
      <c r="AI829" s="90" t="n">
        <f aca="false">IF(AG829="",0,IF(MATCH(AG829,$AG$4:$AG$1203,0)=ROW()-3,1,0))</f>
        <v>0</v>
      </c>
      <c r="AJ829" s="90" t="n">
        <f aca="false">N(AJ828)+AI829</f>
        <v>4</v>
      </c>
      <c r="AK829" s="1" t="n">
        <f aca="false">N(AK828)+$AJ829</f>
        <v>2176</v>
      </c>
    </row>
    <row r="830" customFormat="false" ht="13.5" hidden="false" customHeight="false" outlineLevel="0" collapsed="false">
      <c r="A830" s="1" t="str">
        <f aca="false">IF(对接源_01水果!$C830="","",对接源_01水果!$C830)</f>
        <v/>
      </c>
      <c r="B830" s="1" t="n">
        <f aca="false">IF(A830="",0,IF(MATCH(A830,$A$4:$A$2403,0)=ROW()-3,1,0))</f>
        <v>0</v>
      </c>
      <c r="C830" s="1" t="n">
        <f aca="false">N(C829)+B830</f>
        <v>13</v>
      </c>
      <c r="K830" s="1" t="n">
        <f aca="false">IF(OR($K$1="",对接源_01水果!$C830="",对接源_01水果!$C830&lt;&gt;$K$1,对接源_01水果!$B830=""),0,IF(OR(N(对接源_01水果!$B830)&lt;$K$2,N(对接源_01水果!$B830)&gt;$K$3),0,1))</f>
        <v>0</v>
      </c>
      <c r="L830" s="1" t="n">
        <f aca="false">IF(OR($L$1="",对接源_01水果!$C830="",对接源_01水果!$C830&lt;&gt;$L$1,对接源_01水果!$B830=""),0,IF(OR(N(对接源_01水果!$B830)&lt;$L$2,N(对接源_01水果!$B830)&gt;$L$3),0,1))</f>
        <v>0</v>
      </c>
      <c r="M830" s="1" t="n">
        <f aca="false">IF(OR($M$1="",对接源_01水果!$C830="",对接源_01水果!$C830&lt;&gt;$M$1,对接源_01水果!$B830=""),0,IF(OR(N(对接源_01水果!$B830)&lt;$M$2,N(对接源_01水果!$B830)&gt;$M$3),0,1))</f>
        <v>0</v>
      </c>
      <c r="N830" s="1" t="n">
        <f aca="false">IF(OR($N$1="",对接源_01水果!$C830="",对接源_01水果!$C830&lt;&gt;$N$1,对接源_01水果!$B830=""),0,IF(OR(N(对接源_01水果!$B830)&lt;$N$2,N(对接源_01水果!$B830)&gt;$N$3),0,1))</f>
        <v>0</v>
      </c>
      <c r="P830" s="1" t="n">
        <f aca="false">IF(AND($K830=1,AND(对接源_01水果!$X830="公司筐",N(对接源_01水果!$T830)&lt;&gt;0)),1,0)</f>
        <v>0</v>
      </c>
      <c r="Q830" s="1" t="n">
        <f aca="false">N(Q829)+$P830</f>
        <v>3</v>
      </c>
      <c r="R830" s="1" t="n">
        <f aca="false">IF(AND($K830=1,AND(对接源_01水果!$X830="公司筐",N(对接源_01水果!$U830)&lt;&gt;0)),1,0)</f>
        <v>0</v>
      </c>
      <c r="S830" s="1" t="n">
        <f aca="false">N(S829)+$R830</f>
        <v>0</v>
      </c>
      <c r="T830" s="1" t="n">
        <f aca="false">IF(AND($K830=1,AND(对接源_01水果!$X830="公司筐",N(对接源_01水果!$V830)&lt;&gt;0)),1,0)</f>
        <v>0</v>
      </c>
      <c r="U830" s="1" t="n">
        <f aca="false">N(U829)+$T830</f>
        <v>28</v>
      </c>
      <c r="V830" s="1" t="n">
        <f aca="false">IF(AND($L830=1,AND(对接源_01水果!$X830="自备筐",N(对接源_01水果!$V830)&lt;&gt;0)),1,0)</f>
        <v>0</v>
      </c>
      <c r="W830" s="1" t="n">
        <f aca="false">N(W829)+$V830</f>
        <v>7</v>
      </c>
      <c r="X830" s="1" t="n">
        <f aca="false">IF(AND($L830=1,AND(对接源_01水果!$X830="自备筐",N(对接源_01水果!$T830)&lt;&gt;0)),1,0)</f>
        <v>0</v>
      </c>
      <c r="Y830" s="1" t="n">
        <f aca="false">N(Y829)+$X830</f>
        <v>0</v>
      </c>
      <c r="Z830" s="1" t="n">
        <f aca="false">IF(AND($M830=1,对接源_01水果!$D830="原料入库"),1,0)</f>
        <v>0</v>
      </c>
      <c r="AA830" s="1" t="n">
        <f aca="false">N(AA829)+$Z830</f>
        <v>30</v>
      </c>
      <c r="AB830" s="1" t="n">
        <f aca="false">IF(AND($M830=1,LEFT(对接源_01水果!$D830,4)="原料出库"),1,0)</f>
        <v>0</v>
      </c>
      <c r="AC830" s="1" t="n">
        <f aca="false">N(AC829)+$AB830</f>
        <v>19</v>
      </c>
      <c r="AD830" s="1" t="n">
        <f aca="false">IF(AND($M830=1,LEFT(对接源_01水果!$D830,4)="成品出库"),1,0)</f>
        <v>0</v>
      </c>
      <c r="AE830" s="1" t="n">
        <f aca="false">N(AE829)+$AD830</f>
        <v>38</v>
      </c>
      <c r="AF830" s="1" t="n">
        <f aca="false">IF(AND($N830=1,AND(LEFT(对接源_01水果!$D830,4)="包装物料",N(对接源_01水果!$K830)&lt;&gt;0)),1,0)</f>
        <v>0</v>
      </c>
      <c r="AG830" s="90" t="str">
        <f aca="false">IF(对接源_01水果!$AC830="","",对接源_01水果!$AC830)</f>
        <v/>
      </c>
      <c r="AH830" s="1" t="n">
        <f aca="false">IF(AND($N830=1,AND(LEFT(对接源_01水果!$D830,3)="周转筐",N(对接源_01水果!$K830)&lt;&gt;0)),1,0)</f>
        <v>0</v>
      </c>
      <c r="AI830" s="90" t="n">
        <f aca="false">IF(AG830="",0,IF(MATCH(AG830,$AG$4:$AG$1203,0)=ROW()-3,1,0))</f>
        <v>0</v>
      </c>
      <c r="AJ830" s="90" t="n">
        <f aca="false">N(AJ829)+AI830</f>
        <v>4</v>
      </c>
      <c r="AK830" s="1" t="n">
        <f aca="false">N(AK829)+$AJ830</f>
        <v>2180</v>
      </c>
    </row>
    <row r="831" customFormat="false" ht="13.5" hidden="false" customHeight="false" outlineLevel="0" collapsed="false">
      <c r="A831" s="1" t="str">
        <f aca="false">IF(对接源_01水果!$C831="","",对接源_01水果!$C831)</f>
        <v/>
      </c>
      <c r="B831" s="1" t="n">
        <f aca="false">IF(A831="",0,IF(MATCH(A831,$A$4:$A$2403,0)=ROW()-3,1,0))</f>
        <v>0</v>
      </c>
      <c r="C831" s="1" t="n">
        <f aca="false">N(C830)+B831</f>
        <v>13</v>
      </c>
      <c r="K831" s="1" t="n">
        <f aca="false">IF(OR($K$1="",对接源_01水果!$C831="",对接源_01水果!$C831&lt;&gt;$K$1,对接源_01水果!$B831=""),0,IF(OR(N(对接源_01水果!$B831)&lt;$K$2,N(对接源_01水果!$B831)&gt;$K$3),0,1))</f>
        <v>0</v>
      </c>
      <c r="L831" s="1" t="n">
        <f aca="false">IF(OR($L$1="",对接源_01水果!$C831="",对接源_01水果!$C831&lt;&gt;$L$1,对接源_01水果!$B831=""),0,IF(OR(N(对接源_01水果!$B831)&lt;$L$2,N(对接源_01水果!$B831)&gt;$L$3),0,1))</f>
        <v>0</v>
      </c>
      <c r="M831" s="1" t="n">
        <f aca="false">IF(OR($M$1="",对接源_01水果!$C831="",对接源_01水果!$C831&lt;&gt;$M$1,对接源_01水果!$B831=""),0,IF(OR(N(对接源_01水果!$B831)&lt;$M$2,N(对接源_01水果!$B831)&gt;$M$3),0,1))</f>
        <v>0</v>
      </c>
      <c r="N831" s="1" t="n">
        <f aca="false">IF(OR($N$1="",对接源_01水果!$C831="",对接源_01水果!$C831&lt;&gt;$N$1,对接源_01水果!$B831=""),0,IF(OR(N(对接源_01水果!$B831)&lt;$N$2,N(对接源_01水果!$B831)&gt;$N$3),0,1))</f>
        <v>0</v>
      </c>
      <c r="P831" s="1" t="n">
        <f aca="false">IF(AND($K831=1,AND(对接源_01水果!$X831="公司筐",N(对接源_01水果!$T831)&lt;&gt;0)),1,0)</f>
        <v>0</v>
      </c>
      <c r="Q831" s="1" t="n">
        <f aca="false">N(Q830)+$P831</f>
        <v>3</v>
      </c>
      <c r="R831" s="1" t="n">
        <f aca="false">IF(AND($K831=1,AND(对接源_01水果!$X831="公司筐",N(对接源_01水果!$U831)&lt;&gt;0)),1,0)</f>
        <v>0</v>
      </c>
      <c r="S831" s="1" t="n">
        <f aca="false">N(S830)+$R831</f>
        <v>0</v>
      </c>
      <c r="T831" s="1" t="n">
        <f aca="false">IF(AND($K831=1,AND(对接源_01水果!$X831="公司筐",N(对接源_01水果!$V831)&lt;&gt;0)),1,0)</f>
        <v>0</v>
      </c>
      <c r="U831" s="1" t="n">
        <f aca="false">N(U830)+$T831</f>
        <v>28</v>
      </c>
      <c r="V831" s="1" t="n">
        <f aca="false">IF(AND($L831=1,AND(对接源_01水果!$X831="自备筐",N(对接源_01水果!$V831)&lt;&gt;0)),1,0)</f>
        <v>0</v>
      </c>
      <c r="W831" s="1" t="n">
        <f aca="false">N(W830)+$V831</f>
        <v>7</v>
      </c>
      <c r="X831" s="1" t="n">
        <f aca="false">IF(AND($L831=1,AND(对接源_01水果!$X831="自备筐",N(对接源_01水果!$T831)&lt;&gt;0)),1,0)</f>
        <v>0</v>
      </c>
      <c r="Y831" s="1" t="n">
        <f aca="false">N(Y830)+$X831</f>
        <v>0</v>
      </c>
      <c r="Z831" s="1" t="n">
        <f aca="false">IF(AND($M831=1,对接源_01水果!$D831="原料入库"),1,0)</f>
        <v>0</v>
      </c>
      <c r="AA831" s="1" t="n">
        <f aca="false">N(AA830)+$Z831</f>
        <v>30</v>
      </c>
      <c r="AB831" s="1" t="n">
        <f aca="false">IF(AND($M831=1,LEFT(对接源_01水果!$D831,4)="原料出库"),1,0)</f>
        <v>0</v>
      </c>
      <c r="AC831" s="1" t="n">
        <f aca="false">N(AC830)+$AB831</f>
        <v>19</v>
      </c>
      <c r="AD831" s="1" t="n">
        <f aca="false">IF(AND($M831=1,LEFT(对接源_01水果!$D831,4)="成品出库"),1,0)</f>
        <v>0</v>
      </c>
      <c r="AE831" s="1" t="n">
        <f aca="false">N(AE830)+$AD831</f>
        <v>38</v>
      </c>
      <c r="AF831" s="1" t="n">
        <f aca="false">IF(AND($N831=1,AND(LEFT(对接源_01水果!$D831,4)="包装物料",N(对接源_01水果!$K831)&lt;&gt;0)),1,0)</f>
        <v>0</v>
      </c>
      <c r="AG831" s="90" t="str">
        <f aca="false">IF(对接源_01水果!$AC831="","",对接源_01水果!$AC831)</f>
        <v/>
      </c>
      <c r="AH831" s="1" t="n">
        <f aca="false">IF(AND($N831=1,AND(LEFT(对接源_01水果!$D831,3)="周转筐",N(对接源_01水果!$K831)&lt;&gt;0)),1,0)</f>
        <v>0</v>
      </c>
      <c r="AI831" s="90" t="n">
        <f aca="false">IF(AG831="",0,IF(MATCH(AG831,$AG$4:$AG$1203,0)=ROW()-3,1,0))</f>
        <v>0</v>
      </c>
      <c r="AJ831" s="90" t="n">
        <f aca="false">N(AJ830)+AI831</f>
        <v>4</v>
      </c>
      <c r="AK831" s="1" t="n">
        <f aca="false">N(AK830)+$AJ831</f>
        <v>2184</v>
      </c>
    </row>
    <row r="832" customFormat="false" ht="13.5" hidden="false" customHeight="false" outlineLevel="0" collapsed="false">
      <c r="A832" s="1" t="str">
        <f aca="false">IF(对接源_01水果!$C832="","",对接源_01水果!$C832)</f>
        <v/>
      </c>
      <c r="B832" s="1" t="n">
        <f aca="false">IF(A832="",0,IF(MATCH(A832,$A$4:$A$2403,0)=ROW()-3,1,0))</f>
        <v>0</v>
      </c>
      <c r="C832" s="1" t="n">
        <f aca="false">N(C831)+B832</f>
        <v>13</v>
      </c>
      <c r="K832" s="1" t="n">
        <f aca="false">IF(OR($K$1="",对接源_01水果!$C832="",对接源_01水果!$C832&lt;&gt;$K$1,对接源_01水果!$B832=""),0,IF(OR(N(对接源_01水果!$B832)&lt;$K$2,N(对接源_01水果!$B832)&gt;$K$3),0,1))</f>
        <v>0</v>
      </c>
      <c r="L832" s="1" t="n">
        <f aca="false">IF(OR($L$1="",对接源_01水果!$C832="",对接源_01水果!$C832&lt;&gt;$L$1,对接源_01水果!$B832=""),0,IF(OR(N(对接源_01水果!$B832)&lt;$L$2,N(对接源_01水果!$B832)&gt;$L$3),0,1))</f>
        <v>0</v>
      </c>
      <c r="M832" s="1" t="n">
        <f aca="false">IF(OR($M$1="",对接源_01水果!$C832="",对接源_01水果!$C832&lt;&gt;$M$1,对接源_01水果!$B832=""),0,IF(OR(N(对接源_01水果!$B832)&lt;$M$2,N(对接源_01水果!$B832)&gt;$M$3),0,1))</f>
        <v>0</v>
      </c>
      <c r="N832" s="1" t="n">
        <f aca="false">IF(OR($N$1="",对接源_01水果!$C832="",对接源_01水果!$C832&lt;&gt;$N$1,对接源_01水果!$B832=""),0,IF(OR(N(对接源_01水果!$B832)&lt;$N$2,N(对接源_01水果!$B832)&gt;$N$3),0,1))</f>
        <v>0</v>
      </c>
      <c r="P832" s="1" t="n">
        <f aca="false">IF(AND($K832=1,AND(对接源_01水果!$X832="公司筐",N(对接源_01水果!$T832)&lt;&gt;0)),1,0)</f>
        <v>0</v>
      </c>
      <c r="Q832" s="1" t="n">
        <f aca="false">N(Q831)+$P832</f>
        <v>3</v>
      </c>
      <c r="R832" s="1" t="n">
        <f aca="false">IF(AND($K832=1,AND(对接源_01水果!$X832="公司筐",N(对接源_01水果!$U832)&lt;&gt;0)),1,0)</f>
        <v>0</v>
      </c>
      <c r="S832" s="1" t="n">
        <f aca="false">N(S831)+$R832</f>
        <v>0</v>
      </c>
      <c r="T832" s="1" t="n">
        <f aca="false">IF(AND($K832=1,AND(对接源_01水果!$X832="公司筐",N(对接源_01水果!$V832)&lt;&gt;0)),1,0)</f>
        <v>0</v>
      </c>
      <c r="U832" s="1" t="n">
        <f aca="false">N(U831)+$T832</f>
        <v>28</v>
      </c>
      <c r="V832" s="1" t="n">
        <f aca="false">IF(AND($L832=1,AND(对接源_01水果!$X832="自备筐",N(对接源_01水果!$V832)&lt;&gt;0)),1,0)</f>
        <v>0</v>
      </c>
      <c r="W832" s="1" t="n">
        <f aca="false">N(W831)+$V832</f>
        <v>7</v>
      </c>
      <c r="X832" s="1" t="n">
        <f aca="false">IF(AND($L832=1,AND(对接源_01水果!$X832="自备筐",N(对接源_01水果!$T832)&lt;&gt;0)),1,0)</f>
        <v>0</v>
      </c>
      <c r="Y832" s="1" t="n">
        <f aca="false">N(Y831)+$X832</f>
        <v>0</v>
      </c>
      <c r="Z832" s="1" t="n">
        <f aca="false">IF(AND($M832=1,对接源_01水果!$D832="原料入库"),1,0)</f>
        <v>0</v>
      </c>
      <c r="AA832" s="1" t="n">
        <f aca="false">N(AA831)+$Z832</f>
        <v>30</v>
      </c>
      <c r="AB832" s="1" t="n">
        <f aca="false">IF(AND($M832=1,LEFT(对接源_01水果!$D832,4)="原料出库"),1,0)</f>
        <v>0</v>
      </c>
      <c r="AC832" s="1" t="n">
        <f aca="false">N(AC831)+$AB832</f>
        <v>19</v>
      </c>
      <c r="AD832" s="1" t="n">
        <f aca="false">IF(AND($M832=1,LEFT(对接源_01水果!$D832,4)="成品出库"),1,0)</f>
        <v>0</v>
      </c>
      <c r="AE832" s="1" t="n">
        <f aca="false">N(AE831)+$AD832</f>
        <v>38</v>
      </c>
      <c r="AF832" s="1" t="n">
        <f aca="false">IF(AND($N832=1,AND(LEFT(对接源_01水果!$D832,4)="包装物料",N(对接源_01水果!$K832)&lt;&gt;0)),1,0)</f>
        <v>0</v>
      </c>
      <c r="AG832" s="90" t="str">
        <f aca="false">IF(对接源_01水果!$AC832="","",对接源_01水果!$AC832)</f>
        <v/>
      </c>
      <c r="AH832" s="1" t="n">
        <f aca="false">IF(AND($N832=1,AND(LEFT(对接源_01水果!$D832,3)="周转筐",N(对接源_01水果!$K832)&lt;&gt;0)),1,0)</f>
        <v>0</v>
      </c>
      <c r="AI832" s="90" t="n">
        <f aca="false">IF(AG832="",0,IF(MATCH(AG832,$AG$4:$AG$1203,0)=ROW()-3,1,0))</f>
        <v>0</v>
      </c>
      <c r="AJ832" s="90" t="n">
        <f aca="false">N(AJ831)+AI832</f>
        <v>4</v>
      </c>
      <c r="AK832" s="1" t="n">
        <f aca="false">N(AK831)+$AJ832</f>
        <v>2188</v>
      </c>
    </row>
    <row r="833" customFormat="false" ht="13.5" hidden="false" customHeight="false" outlineLevel="0" collapsed="false">
      <c r="A833" s="1" t="str">
        <f aca="false">IF(对接源_01水果!$C833="","",对接源_01水果!$C833)</f>
        <v/>
      </c>
      <c r="B833" s="1" t="n">
        <f aca="false">IF(A833="",0,IF(MATCH(A833,$A$4:$A$2403,0)=ROW()-3,1,0))</f>
        <v>0</v>
      </c>
      <c r="C833" s="1" t="n">
        <f aca="false">N(C832)+B833</f>
        <v>13</v>
      </c>
      <c r="K833" s="1" t="n">
        <f aca="false">IF(OR($K$1="",对接源_01水果!$C833="",对接源_01水果!$C833&lt;&gt;$K$1,对接源_01水果!$B833=""),0,IF(OR(N(对接源_01水果!$B833)&lt;$K$2,N(对接源_01水果!$B833)&gt;$K$3),0,1))</f>
        <v>0</v>
      </c>
      <c r="L833" s="1" t="n">
        <f aca="false">IF(OR($L$1="",对接源_01水果!$C833="",对接源_01水果!$C833&lt;&gt;$L$1,对接源_01水果!$B833=""),0,IF(OR(N(对接源_01水果!$B833)&lt;$L$2,N(对接源_01水果!$B833)&gt;$L$3),0,1))</f>
        <v>0</v>
      </c>
      <c r="M833" s="1" t="n">
        <f aca="false">IF(OR($M$1="",对接源_01水果!$C833="",对接源_01水果!$C833&lt;&gt;$M$1,对接源_01水果!$B833=""),0,IF(OR(N(对接源_01水果!$B833)&lt;$M$2,N(对接源_01水果!$B833)&gt;$M$3),0,1))</f>
        <v>0</v>
      </c>
      <c r="N833" s="1" t="n">
        <f aca="false">IF(OR($N$1="",对接源_01水果!$C833="",对接源_01水果!$C833&lt;&gt;$N$1,对接源_01水果!$B833=""),0,IF(OR(N(对接源_01水果!$B833)&lt;$N$2,N(对接源_01水果!$B833)&gt;$N$3),0,1))</f>
        <v>0</v>
      </c>
      <c r="P833" s="1" t="n">
        <f aca="false">IF(AND($K833=1,AND(对接源_01水果!$X833="公司筐",N(对接源_01水果!$T833)&lt;&gt;0)),1,0)</f>
        <v>0</v>
      </c>
      <c r="Q833" s="1" t="n">
        <f aca="false">N(Q832)+$P833</f>
        <v>3</v>
      </c>
      <c r="R833" s="1" t="n">
        <f aca="false">IF(AND($K833=1,AND(对接源_01水果!$X833="公司筐",N(对接源_01水果!$U833)&lt;&gt;0)),1,0)</f>
        <v>0</v>
      </c>
      <c r="S833" s="1" t="n">
        <f aca="false">N(S832)+$R833</f>
        <v>0</v>
      </c>
      <c r="T833" s="1" t="n">
        <f aca="false">IF(AND($K833=1,AND(对接源_01水果!$X833="公司筐",N(对接源_01水果!$V833)&lt;&gt;0)),1,0)</f>
        <v>0</v>
      </c>
      <c r="U833" s="1" t="n">
        <f aca="false">N(U832)+$T833</f>
        <v>28</v>
      </c>
      <c r="V833" s="1" t="n">
        <f aca="false">IF(AND($L833=1,AND(对接源_01水果!$X833="自备筐",N(对接源_01水果!$V833)&lt;&gt;0)),1,0)</f>
        <v>0</v>
      </c>
      <c r="W833" s="1" t="n">
        <f aca="false">N(W832)+$V833</f>
        <v>7</v>
      </c>
      <c r="X833" s="1" t="n">
        <f aca="false">IF(AND($L833=1,AND(对接源_01水果!$X833="自备筐",N(对接源_01水果!$T833)&lt;&gt;0)),1,0)</f>
        <v>0</v>
      </c>
      <c r="Y833" s="1" t="n">
        <f aca="false">N(Y832)+$X833</f>
        <v>0</v>
      </c>
      <c r="Z833" s="1" t="n">
        <f aca="false">IF(AND($M833=1,对接源_01水果!$D833="原料入库"),1,0)</f>
        <v>0</v>
      </c>
      <c r="AA833" s="1" t="n">
        <f aca="false">N(AA832)+$Z833</f>
        <v>30</v>
      </c>
      <c r="AB833" s="1" t="n">
        <f aca="false">IF(AND($M833=1,LEFT(对接源_01水果!$D833,4)="原料出库"),1,0)</f>
        <v>0</v>
      </c>
      <c r="AC833" s="1" t="n">
        <f aca="false">N(AC832)+$AB833</f>
        <v>19</v>
      </c>
      <c r="AD833" s="1" t="n">
        <f aca="false">IF(AND($M833=1,LEFT(对接源_01水果!$D833,4)="成品出库"),1,0)</f>
        <v>0</v>
      </c>
      <c r="AE833" s="1" t="n">
        <f aca="false">N(AE832)+$AD833</f>
        <v>38</v>
      </c>
      <c r="AF833" s="1" t="n">
        <f aca="false">IF(AND($N833=1,AND(LEFT(对接源_01水果!$D833,4)="包装物料",N(对接源_01水果!$K833)&lt;&gt;0)),1,0)</f>
        <v>0</v>
      </c>
      <c r="AG833" s="90" t="str">
        <f aca="false">IF(对接源_01水果!$AC833="","",对接源_01水果!$AC833)</f>
        <v/>
      </c>
      <c r="AH833" s="1" t="n">
        <f aca="false">IF(AND($N833=1,AND(LEFT(对接源_01水果!$D833,3)="周转筐",N(对接源_01水果!$K833)&lt;&gt;0)),1,0)</f>
        <v>0</v>
      </c>
      <c r="AI833" s="90" t="n">
        <f aca="false">IF(AG833="",0,IF(MATCH(AG833,$AG$4:$AG$1203,0)=ROW()-3,1,0))</f>
        <v>0</v>
      </c>
      <c r="AJ833" s="90" t="n">
        <f aca="false">N(AJ832)+AI833</f>
        <v>4</v>
      </c>
      <c r="AK833" s="1" t="n">
        <f aca="false">N(AK832)+$AJ833</f>
        <v>2192</v>
      </c>
    </row>
    <row r="834" customFormat="false" ht="13.5" hidden="false" customHeight="false" outlineLevel="0" collapsed="false">
      <c r="A834" s="1" t="str">
        <f aca="false">IF(对接源_01水果!$C834="","",对接源_01水果!$C834)</f>
        <v/>
      </c>
      <c r="B834" s="1" t="n">
        <f aca="false">IF(A834="",0,IF(MATCH(A834,$A$4:$A$2403,0)=ROW()-3,1,0))</f>
        <v>0</v>
      </c>
      <c r="C834" s="1" t="n">
        <f aca="false">N(C833)+B834</f>
        <v>13</v>
      </c>
      <c r="K834" s="1" t="n">
        <f aca="false">IF(OR($K$1="",对接源_01水果!$C834="",对接源_01水果!$C834&lt;&gt;$K$1,对接源_01水果!$B834=""),0,IF(OR(N(对接源_01水果!$B834)&lt;$K$2,N(对接源_01水果!$B834)&gt;$K$3),0,1))</f>
        <v>0</v>
      </c>
      <c r="L834" s="1" t="n">
        <f aca="false">IF(OR($L$1="",对接源_01水果!$C834="",对接源_01水果!$C834&lt;&gt;$L$1,对接源_01水果!$B834=""),0,IF(OR(N(对接源_01水果!$B834)&lt;$L$2,N(对接源_01水果!$B834)&gt;$L$3),0,1))</f>
        <v>0</v>
      </c>
      <c r="M834" s="1" t="n">
        <f aca="false">IF(OR($M$1="",对接源_01水果!$C834="",对接源_01水果!$C834&lt;&gt;$M$1,对接源_01水果!$B834=""),0,IF(OR(N(对接源_01水果!$B834)&lt;$M$2,N(对接源_01水果!$B834)&gt;$M$3),0,1))</f>
        <v>0</v>
      </c>
      <c r="N834" s="1" t="n">
        <f aca="false">IF(OR($N$1="",对接源_01水果!$C834="",对接源_01水果!$C834&lt;&gt;$N$1,对接源_01水果!$B834=""),0,IF(OR(N(对接源_01水果!$B834)&lt;$N$2,N(对接源_01水果!$B834)&gt;$N$3),0,1))</f>
        <v>0</v>
      </c>
      <c r="P834" s="1" t="n">
        <f aca="false">IF(AND($K834=1,AND(对接源_01水果!$X834="公司筐",N(对接源_01水果!$T834)&lt;&gt;0)),1,0)</f>
        <v>0</v>
      </c>
      <c r="Q834" s="1" t="n">
        <f aca="false">N(Q833)+$P834</f>
        <v>3</v>
      </c>
      <c r="R834" s="1" t="n">
        <f aca="false">IF(AND($K834=1,AND(对接源_01水果!$X834="公司筐",N(对接源_01水果!$U834)&lt;&gt;0)),1,0)</f>
        <v>0</v>
      </c>
      <c r="S834" s="1" t="n">
        <f aca="false">N(S833)+$R834</f>
        <v>0</v>
      </c>
      <c r="T834" s="1" t="n">
        <f aca="false">IF(AND($K834=1,AND(对接源_01水果!$X834="公司筐",N(对接源_01水果!$V834)&lt;&gt;0)),1,0)</f>
        <v>0</v>
      </c>
      <c r="U834" s="1" t="n">
        <f aca="false">N(U833)+$T834</f>
        <v>28</v>
      </c>
      <c r="V834" s="1" t="n">
        <f aca="false">IF(AND($L834=1,AND(对接源_01水果!$X834="自备筐",N(对接源_01水果!$V834)&lt;&gt;0)),1,0)</f>
        <v>0</v>
      </c>
      <c r="W834" s="1" t="n">
        <f aca="false">N(W833)+$V834</f>
        <v>7</v>
      </c>
      <c r="X834" s="1" t="n">
        <f aca="false">IF(AND($L834=1,AND(对接源_01水果!$X834="自备筐",N(对接源_01水果!$T834)&lt;&gt;0)),1,0)</f>
        <v>0</v>
      </c>
      <c r="Y834" s="1" t="n">
        <f aca="false">N(Y833)+$X834</f>
        <v>0</v>
      </c>
      <c r="Z834" s="1" t="n">
        <f aca="false">IF(AND($M834=1,对接源_01水果!$D834="原料入库"),1,0)</f>
        <v>0</v>
      </c>
      <c r="AA834" s="1" t="n">
        <f aca="false">N(AA833)+$Z834</f>
        <v>30</v>
      </c>
      <c r="AB834" s="1" t="n">
        <f aca="false">IF(AND($M834=1,LEFT(对接源_01水果!$D834,4)="原料出库"),1,0)</f>
        <v>0</v>
      </c>
      <c r="AC834" s="1" t="n">
        <f aca="false">N(AC833)+$AB834</f>
        <v>19</v>
      </c>
      <c r="AD834" s="1" t="n">
        <f aca="false">IF(AND($M834=1,LEFT(对接源_01水果!$D834,4)="成品出库"),1,0)</f>
        <v>0</v>
      </c>
      <c r="AE834" s="1" t="n">
        <f aca="false">N(AE833)+$AD834</f>
        <v>38</v>
      </c>
      <c r="AF834" s="1" t="n">
        <f aca="false">IF(AND($N834=1,AND(LEFT(对接源_01水果!$D834,4)="包装物料",N(对接源_01水果!$K834)&lt;&gt;0)),1,0)</f>
        <v>0</v>
      </c>
      <c r="AG834" s="90" t="str">
        <f aca="false">IF(对接源_01水果!$AC834="","",对接源_01水果!$AC834)</f>
        <v/>
      </c>
      <c r="AH834" s="1" t="n">
        <f aca="false">IF(AND($N834=1,AND(LEFT(对接源_01水果!$D834,3)="周转筐",N(对接源_01水果!$K834)&lt;&gt;0)),1,0)</f>
        <v>0</v>
      </c>
      <c r="AI834" s="90" t="n">
        <f aca="false">IF(AG834="",0,IF(MATCH(AG834,$AG$4:$AG$1203,0)=ROW()-3,1,0))</f>
        <v>0</v>
      </c>
      <c r="AJ834" s="90" t="n">
        <f aca="false">N(AJ833)+AI834</f>
        <v>4</v>
      </c>
      <c r="AK834" s="1" t="n">
        <f aca="false">N(AK833)+$AJ834</f>
        <v>2196</v>
      </c>
    </row>
    <row r="835" customFormat="false" ht="13.5" hidden="false" customHeight="false" outlineLevel="0" collapsed="false">
      <c r="A835" s="1" t="str">
        <f aca="false">IF(对接源_01水果!$C835="","",对接源_01水果!$C835)</f>
        <v/>
      </c>
      <c r="B835" s="1" t="n">
        <f aca="false">IF(A835="",0,IF(MATCH(A835,$A$4:$A$2403,0)=ROW()-3,1,0))</f>
        <v>0</v>
      </c>
      <c r="C835" s="1" t="n">
        <f aca="false">N(C834)+B835</f>
        <v>13</v>
      </c>
      <c r="K835" s="1" t="n">
        <f aca="false">IF(OR($K$1="",对接源_01水果!$C835="",对接源_01水果!$C835&lt;&gt;$K$1,对接源_01水果!$B835=""),0,IF(OR(N(对接源_01水果!$B835)&lt;$K$2,N(对接源_01水果!$B835)&gt;$K$3),0,1))</f>
        <v>0</v>
      </c>
      <c r="L835" s="1" t="n">
        <f aca="false">IF(OR($L$1="",对接源_01水果!$C835="",对接源_01水果!$C835&lt;&gt;$L$1,对接源_01水果!$B835=""),0,IF(OR(N(对接源_01水果!$B835)&lt;$L$2,N(对接源_01水果!$B835)&gt;$L$3),0,1))</f>
        <v>0</v>
      </c>
      <c r="M835" s="1" t="n">
        <f aca="false">IF(OR($M$1="",对接源_01水果!$C835="",对接源_01水果!$C835&lt;&gt;$M$1,对接源_01水果!$B835=""),0,IF(OR(N(对接源_01水果!$B835)&lt;$M$2,N(对接源_01水果!$B835)&gt;$M$3),0,1))</f>
        <v>0</v>
      </c>
      <c r="N835" s="1" t="n">
        <f aca="false">IF(OR($N$1="",对接源_01水果!$C835="",对接源_01水果!$C835&lt;&gt;$N$1,对接源_01水果!$B835=""),0,IF(OR(N(对接源_01水果!$B835)&lt;$N$2,N(对接源_01水果!$B835)&gt;$N$3),0,1))</f>
        <v>0</v>
      </c>
      <c r="P835" s="1" t="n">
        <f aca="false">IF(AND($K835=1,AND(对接源_01水果!$X835="公司筐",N(对接源_01水果!$T835)&lt;&gt;0)),1,0)</f>
        <v>0</v>
      </c>
      <c r="Q835" s="1" t="n">
        <f aca="false">N(Q834)+$P835</f>
        <v>3</v>
      </c>
      <c r="R835" s="1" t="n">
        <f aca="false">IF(AND($K835=1,AND(对接源_01水果!$X835="公司筐",N(对接源_01水果!$U835)&lt;&gt;0)),1,0)</f>
        <v>0</v>
      </c>
      <c r="S835" s="1" t="n">
        <f aca="false">N(S834)+$R835</f>
        <v>0</v>
      </c>
      <c r="T835" s="1" t="n">
        <f aca="false">IF(AND($K835=1,AND(对接源_01水果!$X835="公司筐",N(对接源_01水果!$V835)&lt;&gt;0)),1,0)</f>
        <v>0</v>
      </c>
      <c r="U835" s="1" t="n">
        <f aca="false">N(U834)+$T835</f>
        <v>28</v>
      </c>
      <c r="V835" s="1" t="n">
        <f aca="false">IF(AND($L835=1,AND(对接源_01水果!$X835="自备筐",N(对接源_01水果!$V835)&lt;&gt;0)),1,0)</f>
        <v>0</v>
      </c>
      <c r="W835" s="1" t="n">
        <f aca="false">N(W834)+$V835</f>
        <v>7</v>
      </c>
      <c r="X835" s="1" t="n">
        <f aca="false">IF(AND($L835=1,AND(对接源_01水果!$X835="自备筐",N(对接源_01水果!$T835)&lt;&gt;0)),1,0)</f>
        <v>0</v>
      </c>
      <c r="Y835" s="1" t="n">
        <f aca="false">N(Y834)+$X835</f>
        <v>0</v>
      </c>
      <c r="Z835" s="1" t="n">
        <f aca="false">IF(AND($M835=1,对接源_01水果!$D835="原料入库"),1,0)</f>
        <v>0</v>
      </c>
      <c r="AA835" s="1" t="n">
        <f aca="false">N(AA834)+$Z835</f>
        <v>30</v>
      </c>
      <c r="AB835" s="1" t="n">
        <f aca="false">IF(AND($M835=1,LEFT(对接源_01水果!$D835,4)="原料出库"),1,0)</f>
        <v>0</v>
      </c>
      <c r="AC835" s="1" t="n">
        <f aca="false">N(AC834)+$AB835</f>
        <v>19</v>
      </c>
      <c r="AD835" s="1" t="n">
        <f aca="false">IF(AND($M835=1,LEFT(对接源_01水果!$D835,4)="成品出库"),1,0)</f>
        <v>0</v>
      </c>
      <c r="AE835" s="1" t="n">
        <f aca="false">N(AE834)+$AD835</f>
        <v>38</v>
      </c>
      <c r="AF835" s="1" t="n">
        <f aca="false">IF(AND($N835=1,AND(LEFT(对接源_01水果!$D835,4)="包装物料",N(对接源_01水果!$K835)&lt;&gt;0)),1,0)</f>
        <v>0</v>
      </c>
      <c r="AG835" s="90" t="str">
        <f aca="false">IF(对接源_01水果!$AC835="","",对接源_01水果!$AC835)</f>
        <v/>
      </c>
      <c r="AH835" s="1" t="n">
        <f aca="false">IF(AND($N835=1,AND(LEFT(对接源_01水果!$D835,3)="周转筐",N(对接源_01水果!$K835)&lt;&gt;0)),1,0)</f>
        <v>0</v>
      </c>
      <c r="AI835" s="90" t="n">
        <f aca="false">IF(AG835="",0,IF(MATCH(AG835,$AG$4:$AG$1203,0)=ROW()-3,1,0))</f>
        <v>0</v>
      </c>
      <c r="AJ835" s="90" t="n">
        <f aca="false">N(AJ834)+AI835</f>
        <v>4</v>
      </c>
      <c r="AK835" s="1" t="n">
        <f aca="false">N(AK834)+$AJ835</f>
        <v>2200</v>
      </c>
    </row>
    <row r="836" customFormat="false" ht="13.5" hidden="false" customHeight="false" outlineLevel="0" collapsed="false">
      <c r="A836" s="1" t="str">
        <f aca="false">IF(对接源_01水果!$C836="","",对接源_01水果!$C836)</f>
        <v/>
      </c>
      <c r="B836" s="1" t="n">
        <f aca="false">IF(A836="",0,IF(MATCH(A836,$A$4:$A$2403,0)=ROW()-3,1,0))</f>
        <v>0</v>
      </c>
      <c r="C836" s="1" t="n">
        <f aca="false">N(C835)+B836</f>
        <v>13</v>
      </c>
      <c r="K836" s="1" t="n">
        <f aca="false">IF(OR($K$1="",对接源_01水果!$C836="",对接源_01水果!$C836&lt;&gt;$K$1,对接源_01水果!$B836=""),0,IF(OR(N(对接源_01水果!$B836)&lt;$K$2,N(对接源_01水果!$B836)&gt;$K$3),0,1))</f>
        <v>0</v>
      </c>
      <c r="L836" s="1" t="n">
        <f aca="false">IF(OR($L$1="",对接源_01水果!$C836="",对接源_01水果!$C836&lt;&gt;$L$1,对接源_01水果!$B836=""),0,IF(OR(N(对接源_01水果!$B836)&lt;$L$2,N(对接源_01水果!$B836)&gt;$L$3),0,1))</f>
        <v>0</v>
      </c>
      <c r="M836" s="1" t="n">
        <f aca="false">IF(OR($M$1="",对接源_01水果!$C836="",对接源_01水果!$C836&lt;&gt;$M$1,对接源_01水果!$B836=""),0,IF(OR(N(对接源_01水果!$B836)&lt;$M$2,N(对接源_01水果!$B836)&gt;$M$3),0,1))</f>
        <v>0</v>
      </c>
      <c r="N836" s="1" t="n">
        <f aca="false">IF(OR($N$1="",对接源_01水果!$C836="",对接源_01水果!$C836&lt;&gt;$N$1,对接源_01水果!$B836=""),0,IF(OR(N(对接源_01水果!$B836)&lt;$N$2,N(对接源_01水果!$B836)&gt;$N$3),0,1))</f>
        <v>0</v>
      </c>
      <c r="P836" s="1" t="n">
        <f aca="false">IF(AND($K836=1,AND(对接源_01水果!$X836="公司筐",N(对接源_01水果!$T836)&lt;&gt;0)),1,0)</f>
        <v>0</v>
      </c>
      <c r="Q836" s="1" t="n">
        <f aca="false">N(Q835)+$P836</f>
        <v>3</v>
      </c>
      <c r="R836" s="1" t="n">
        <f aca="false">IF(AND($K836=1,AND(对接源_01水果!$X836="公司筐",N(对接源_01水果!$U836)&lt;&gt;0)),1,0)</f>
        <v>0</v>
      </c>
      <c r="S836" s="1" t="n">
        <f aca="false">N(S835)+$R836</f>
        <v>0</v>
      </c>
      <c r="T836" s="1" t="n">
        <f aca="false">IF(AND($K836=1,AND(对接源_01水果!$X836="公司筐",N(对接源_01水果!$V836)&lt;&gt;0)),1,0)</f>
        <v>0</v>
      </c>
      <c r="U836" s="1" t="n">
        <f aca="false">N(U835)+$T836</f>
        <v>28</v>
      </c>
      <c r="V836" s="1" t="n">
        <f aca="false">IF(AND($L836=1,AND(对接源_01水果!$X836="自备筐",N(对接源_01水果!$V836)&lt;&gt;0)),1,0)</f>
        <v>0</v>
      </c>
      <c r="W836" s="1" t="n">
        <f aca="false">N(W835)+$V836</f>
        <v>7</v>
      </c>
      <c r="X836" s="1" t="n">
        <f aca="false">IF(AND($L836=1,AND(对接源_01水果!$X836="自备筐",N(对接源_01水果!$T836)&lt;&gt;0)),1,0)</f>
        <v>0</v>
      </c>
      <c r="Y836" s="1" t="n">
        <f aca="false">N(Y835)+$X836</f>
        <v>0</v>
      </c>
      <c r="Z836" s="1" t="n">
        <f aca="false">IF(AND($M836=1,对接源_01水果!$D836="原料入库"),1,0)</f>
        <v>0</v>
      </c>
      <c r="AA836" s="1" t="n">
        <f aca="false">N(AA835)+$Z836</f>
        <v>30</v>
      </c>
      <c r="AB836" s="1" t="n">
        <f aca="false">IF(AND($M836=1,LEFT(对接源_01水果!$D836,4)="原料出库"),1,0)</f>
        <v>0</v>
      </c>
      <c r="AC836" s="1" t="n">
        <f aca="false">N(AC835)+$AB836</f>
        <v>19</v>
      </c>
      <c r="AD836" s="1" t="n">
        <f aca="false">IF(AND($M836=1,LEFT(对接源_01水果!$D836,4)="成品出库"),1,0)</f>
        <v>0</v>
      </c>
      <c r="AE836" s="1" t="n">
        <f aca="false">N(AE835)+$AD836</f>
        <v>38</v>
      </c>
      <c r="AF836" s="1" t="n">
        <f aca="false">IF(AND($N836=1,AND(LEFT(对接源_01水果!$D836,4)="包装物料",N(对接源_01水果!$K836)&lt;&gt;0)),1,0)</f>
        <v>0</v>
      </c>
      <c r="AG836" s="90" t="str">
        <f aca="false">IF(对接源_01水果!$AC836="","",对接源_01水果!$AC836)</f>
        <v/>
      </c>
      <c r="AH836" s="1" t="n">
        <f aca="false">IF(AND($N836=1,AND(LEFT(对接源_01水果!$D836,3)="周转筐",N(对接源_01水果!$K836)&lt;&gt;0)),1,0)</f>
        <v>0</v>
      </c>
      <c r="AI836" s="90" t="n">
        <f aca="false">IF(AG836="",0,IF(MATCH(AG836,$AG$4:$AG$1203,0)=ROW()-3,1,0))</f>
        <v>0</v>
      </c>
      <c r="AJ836" s="90" t="n">
        <f aca="false">N(AJ835)+AI836</f>
        <v>4</v>
      </c>
      <c r="AK836" s="1" t="n">
        <f aca="false">N(AK835)+$AJ836</f>
        <v>2204</v>
      </c>
    </row>
    <row r="837" customFormat="false" ht="13.5" hidden="false" customHeight="false" outlineLevel="0" collapsed="false">
      <c r="A837" s="1" t="str">
        <f aca="false">IF(对接源_01水果!$C837="","",对接源_01水果!$C837)</f>
        <v/>
      </c>
      <c r="B837" s="1" t="n">
        <f aca="false">IF(A837="",0,IF(MATCH(A837,$A$4:$A$2403,0)=ROW()-3,1,0))</f>
        <v>0</v>
      </c>
      <c r="C837" s="1" t="n">
        <f aca="false">N(C836)+B837</f>
        <v>13</v>
      </c>
      <c r="K837" s="1" t="n">
        <f aca="false">IF(OR($K$1="",对接源_01水果!$C837="",对接源_01水果!$C837&lt;&gt;$K$1,对接源_01水果!$B837=""),0,IF(OR(N(对接源_01水果!$B837)&lt;$K$2,N(对接源_01水果!$B837)&gt;$K$3),0,1))</f>
        <v>0</v>
      </c>
      <c r="L837" s="1" t="n">
        <f aca="false">IF(OR($L$1="",对接源_01水果!$C837="",对接源_01水果!$C837&lt;&gt;$L$1,对接源_01水果!$B837=""),0,IF(OR(N(对接源_01水果!$B837)&lt;$L$2,N(对接源_01水果!$B837)&gt;$L$3),0,1))</f>
        <v>0</v>
      </c>
      <c r="M837" s="1" t="n">
        <f aca="false">IF(OR($M$1="",对接源_01水果!$C837="",对接源_01水果!$C837&lt;&gt;$M$1,对接源_01水果!$B837=""),0,IF(OR(N(对接源_01水果!$B837)&lt;$M$2,N(对接源_01水果!$B837)&gt;$M$3),0,1))</f>
        <v>0</v>
      </c>
      <c r="N837" s="1" t="n">
        <f aca="false">IF(OR($N$1="",对接源_01水果!$C837="",对接源_01水果!$C837&lt;&gt;$N$1,对接源_01水果!$B837=""),0,IF(OR(N(对接源_01水果!$B837)&lt;$N$2,N(对接源_01水果!$B837)&gt;$N$3),0,1))</f>
        <v>0</v>
      </c>
      <c r="P837" s="1" t="n">
        <f aca="false">IF(AND($K837=1,AND(对接源_01水果!$X837="公司筐",N(对接源_01水果!$T837)&lt;&gt;0)),1,0)</f>
        <v>0</v>
      </c>
      <c r="Q837" s="1" t="n">
        <f aca="false">N(Q836)+$P837</f>
        <v>3</v>
      </c>
      <c r="R837" s="1" t="n">
        <f aca="false">IF(AND($K837=1,AND(对接源_01水果!$X837="公司筐",N(对接源_01水果!$U837)&lt;&gt;0)),1,0)</f>
        <v>0</v>
      </c>
      <c r="S837" s="1" t="n">
        <f aca="false">N(S836)+$R837</f>
        <v>0</v>
      </c>
      <c r="T837" s="1" t="n">
        <f aca="false">IF(AND($K837=1,AND(对接源_01水果!$X837="公司筐",N(对接源_01水果!$V837)&lt;&gt;0)),1,0)</f>
        <v>0</v>
      </c>
      <c r="U837" s="1" t="n">
        <f aca="false">N(U836)+$T837</f>
        <v>28</v>
      </c>
      <c r="V837" s="1" t="n">
        <f aca="false">IF(AND($L837=1,AND(对接源_01水果!$X837="自备筐",N(对接源_01水果!$V837)&lt;&gt;0)),1,0)</f>
        <v>0</v>
      </c>
      <c r="W837" s="1" t="n">
        <f aca="false">N(W836)+$V837</f>
        <v>7</v>
      </c>
      <c r="X837" s="1" t="n">
        <f aca="false">IF(AND($L837=1,AND(对接源_01水果!$X837="自备筐",N(对接源_01水果!$T837)&lt;&gt;0)),1,0)</f>
        <v>0</v>
      </c>
      <c r="Y837" s="1" t="n">
        <f aca="false">N(Y836)+$X837</f>
        <v>0</v>
      </c>
      <c r="Z837" s="1" t="n">
        <f aca="false">IF(AND($M837=1,对接源_01水果!$D837="原料入库"),1,0)</f>
        <v>0</v>
      </c>
      <c r="AA837" s="1" t="n">
        <f aca="false">N(AA836)+$Z837</f>
        <v>30</v>
      </c>
      <c r="AB837" s="1" t="n">
        <f aca="false">IF(AND($M837=1,LEFT(对接源_01水果!$D837,4)="原料出库"),1,0)</f>
        <v>0</v>
      </c>
      <c r="AC837" s="1" t="n">
        <f aca="false">N(AC836)+$AB837</f>
        <v>19</v>
      </c>
      <c r="AD837" s="1" t="n">
        <f aca="false">IF(AND($M837=1,LEFT(对接源_01水果!$D837,4)="成品出库"),1,0)</f>
        <v>0</v>
      </c>
      <c r="AE837" s="1" t="n">
        <f aca="false">N(AE836)+$AD837</f>
        <v>38</v>
      </c>
      <c r="AF837" s="1" t="n">
        <f aca="false">IF(AND($N837=1,AND(LEFT(对接源_01水果!$D837,4)="包装物料",N(对接源_01水果!$K837)&lt;&gt;0)),1,0)</f>
        <v>0</v>
      </c>
      <c r="AG837" s="90" t="str">
        <f aca="false">IF(对接源_01水果!$AC837="","",对接源_01水果!$AC837)</f>
        <v/>
      </c>
      <c r="AH837" s="1" t="n">
        <f aca="false">IF(AND($N837=1,AND(LEFT(对接源_01水果!$D837,3)="周转筐",N(对接源_01水果!$K837)&lt;&gt;0)),1,0)</f>
        <v>0</v>
      </c>
      <c r="AI837" s="90" t="n">
        <f aca="false">IF(AG837="",0,IF(MATCH(AG837,$AG$4:$AG$1203,0)=ROW()-3,1,0))</f>
        <v>0</v>
      </c>
      <c r="AJ837" s="90" t="n">
        <f aca="false">N(AJ836)+AI837</f>
        <v>4</v>
      </c>
      <c r="AK837" s="1" t="n">
        <f aca="false">N(AK836)+$AJ837</f>
        <v>2208</v>
      </c>
    </row>
    <row r="838" customFormat="false" ht="13.5" hidden="false" customHeight="false" outlineLevel="0" collapsed="false">
      <c r="A838" s="1" t="str">
        <f aca="false">IF(对接源_01水果!$C838="","",对接源_01水果!$C838)</f>
        <v/>
      </c>
      <c r="B838" s="1" t="n">
        <f aca="false">IF(A838="",0,IF(MATCH(A838,$A$4:$A$2403,0)=ROW()-3,1,0))</f>
        <v>0</v>
      </c>
      <c r="C838" s="1" t="n">
        <f aca="false">N(C837)+B838</f>
        <v>13</v>
      </c>
      <c r="K838" s="1" t="n">
        <f aca="false">IF(OR($K$1="",对接源_01水果!$C838="",对接源_01水果!$C838&lt;&gt;$K$1,对接源_01水果!$B838=""),0,IF(OR(N(对接源_01水果!$B838)&lt;$K$2,N(对接源_01水果!$B838)&gt;$K$3),0,1))</f>
        <v>0</v>
      </c>
      <c r="L838" s="1" t="n">
        <f aca="false">IF(OR($L$1="",对接源_01水果!$C838="",对接源_01水果!$C838&lt;&gt;$L$1,对接源_01水果!$B838=""),0,IF(OR(N(对接源_01水果!$B838)&lt;$L$2,N(对接源_01水果!$B838)&gt;$L$3),0,1))</f>
        <v>0</v>
      </c>
      <c r="M838" s="1" t="n">
        <f aca="false">IF(OR($M$1="",对接源_01水果!$C838="",对接源_01水果!$C838&lt;&gt;$M$1,对接源_01水果!$B838=""),0,IF(OR(N(对接源_01水果!$B838)&lt;$M$2,N(对接源_01水果!$B838)&gt;$M$3),0,1))</f>
        <v>0</v>
      </c>
      <c r="N838" s="1" t="n">
        <f aca="false">IF(OR($N$1="",对接源_01水果!$C838="",对接源_01水果!$C838&lt;&gt;$N$1,对接源_01水果!$B838=""),0,IF(OR(N(对接源_01水果!$B838)&lt;$N$2,N(对接源_01水果!$B838)&gt;$N$3),0,1))</f>
        <v>0</v>
      </c>
      <c r="P838" s="1" t="n">
        <f aca="false">IF(AND($K838=1,AND(对接源_01水果!$X838="公司筐",N(对接源_01水果!$T838)&lt;&gt;0)),1,0)</f>
        <v>0</v>
      </c>
      <c r="Q838" s="1" t="n">
        <f aca="false">N(Q837)+$P838</f>
        <v>3</v>
      </c>
      <c r="R838" s="1" t="n">
        <f aca="false">IF(AND($K838=1,AND(对接源_01水果!$X838="公司筐",N(对接源_01水果!$U838)&lt;&gt;0)),1,0)</f>
        <v>0</v>
      </c>
      <c r="S838" s="1" t="n">
        <f aca="false">N(S837)+$R838</f>
        <v>0</v>
      </c>
      <c r="T838" s="1" t="n">
        <f aca="false">IF(AND($K838=1,AND(对接源_01水果!$X838="公司筐",N(对接源_01水果!$V838)&lt;&gt;0)),1,0)</f>
        <v>0</v>
      </c>
      <c r="U838" s="1" t="n">
        <f aca="false">N(U837)+$T838</f>
        <v>28</v>
      </c>
      <c r="V838" s="1" t="n">
        <f aca="false">IF(AND($L838=1,AND(对接源_01水果!$X838="自备筐",N(对接源_01水果!$V838)&lt;&gt;0)),1,0)</f>
        <v>0</v>
      </c>
      <c r="W838" s="1" t="n">
        <f aca="false">N(W837)+$V838</f>
        <v>7</v>
      </c>
      <c r="X838" s="1" t="n">
        <f aca="false">IF(AND($L838=1,AND(对接源_01水果!$X838="自备筐",N(对接源_01水果!$T838)&lt;&gt;0)),1,0)</f>
        <v>0</v>
      </c>
      <c r="Y838" s="1" t="n">
        <f aca="false">N(Y837)+$X838</f>
        <v>0</v>
      </c>
      <c r="Z838" s="1" t="n">
        <f aca="false">IF(AND($M838=1,对接源_01水果!$D838="原料入库"),1,0)</f>
        <v>0</v>
      </c>
      <c r="AA838" s="1" t="n">
        <f aca="false">N(AA837)+$Z838</f>
        <v>30</v>
      </c>
      <c r="AB838" s="1" t="n">
        <f aca="false">IF(AND($M838=1,LEFT(对接源_01水果!$D838,4)="原料出库"),1,0)</f>
        <v>0</v>
      </c>
      <c r="AC838" s="1" t="n">
        <f aca="false">N(AC837)+$AB838</f>
        <v>19</v>
      </c>
      <c r="AD838" s="1" t="n">
        <f aca="false">IF(AND($M838=1,LEFT(对接源_01水果!$D838,4)="成品出库"),1,0)</f>
        <v>0</v>
      </c>
      <c r="AE838" s="1" t="n">
        <f aca="false">N(AE837)+$AD838</f>
        <v>38</v>
      </c>
      <c r="AF838" s="1" t="n">
        <f aca="false">IF(AND($N838=1,AND(LEFT(对接源_01水果!$D838,4)="包装物料",N(对接源_01水果!$K838)&lt;&gt;0)),1,0)</f>
        <v>0</v>
      </c>
      <c r="AG838" s="90" t="str">
        <f aca="false">IF(对接源_01水果!$AC838="","",对接源_01水果!$AC838)</f>
        <v/>
      </c>
      <c r="AH838" s="1" t="n">
        <f aca="false">IF(AND($N838=1,AND(LEFT(对接源_01水果!$D838,3)="周转筐",N(对接源_01水果!$K838)&lt;&gt;0)),1,0)</f>
        <v>0</v>
      </c>
      <c r="AI838" s="90" t="n">
        <f aca="false">IF(AG838="",0,IF(MATCH(AG838,$AG$4:$AG$1203,0)=ROW()-3,1,0))</f>
        <v>0</v>
      </c>
      <c r="AJ838" s="90" t="n">
        <f aca="false">N(AJ837)+AI838</f>
        <v>4</v>
      </c>
      <c r="AK838" s="1" t="n">
        <f aca="false">N(AK837)+$AJ838</f>
        <v>2212</v>
      </c>
    </row>
    <row r="839" customFormat="false" ht="13.5" hidden="false" customHeight="false" outlineLevel="0" collapsed="false">
      <c r="A839" s="1" t="str">
        <f aca="false">IF(对接源_01水果!$C839="","",对接源_01水果!$C839)</f>
        <v/>
      </c>
      <c r="B839" s="1" t="n">
        <f aca="false">IF(A839="",0,IF(MATCH(A839,$A$4:$A$2403,0)=ROW()-3,1,0))</f>
        <v>0</v>
      </c>
      <c r="C839" s="1" t="n">
        <f aca="false">N(C838)+B839</f>
        <v>13</v>
      </c>
      <c r="K839" s="1" t="n">
        <f aca="false">IF(OR($K$1="",对接源_01水果!$C839="",对接源_01水果!$C839&lt;&gt;$K$1,对接源_01水果!$B839=""),0,IF(OR(N(对接源_01水果!$B839)&lt;$K$2,N(对接源_01水果!$B839)&gt;$K$3),0,1))</f>
        <v>0</v>
      </c>
      <c r="L839" s="1" t="n">
        <f aca="false">IF(OR($L$1="",对接源_01水果!$C839="",对接源_01水果!$C839&lt;&gt;$L$1,对接源_01水果!$B839=""),0,IF(OR(N(对接源_01水果!$B839)&lt;$L$2,N(对接源_01水果!$B839)&gt;$L$3),0,1))</f>
        <v>0</v>
      </c>
      <c r="M839" s="1" t="n">
        <f aca="false">IF(OR($M$1="",对接源_01水果!$C839="",对接源_01水果!$C839&lt;&gt;$M$1,对接源_01水果!$B839=""),0,IF(OR(N(对接源_01水果!$B839)&lt;$M$2,N(对接源_01水果!$B839)&gt;$M$3),0,1))</f>
        <v>0</v>
      </c>
      <c r="N839" s="1" t="n">
        <f aca="false">IF(OR($N$1="",对接源_01水果!$C839="",对接源_01水果!$C839&lt;&gt;$N$1,对接源_01水果!$B839=""),0,IF(OR(N(对接源_01水果!$B839)&lt;$N$2,N(对接源_01水果!$B839)&gt;$N$3),0,1))</f>
        <v>0</v>
      </c>
      <c r="P839" s="1" t="n">
        <f aca="false">IF(AND($K839=1,AND(对接源_01水果!$X839="公司筐",N(对接源_01水果!$T839)&lt;&gt;0)),1,0)</f>
        <v>0</v>
      </c>
      <c r="Q839" s="1" t="n">
        <f aca="false">N(Q838)+$P839</f>
        <v>3</v>
      </c>
      <c r="R839" s="1" t="n">
        <f aca="false">IF(AND($K839=1,AND(对接源_01水果!$X839="公司筐",N(对接源_01水果!$U839)&lt;&gt;0)),1,0)</f>
        <v>0</v>
      </c>
      <c r="S839" s="1" t="n">
        <f aca="false">N(S838)+$R839</f>
        <v>0</v>
      </c>
      <c r="T839" s="1" t="n">
        <f aca="false">IF(AND($K839=1,AND(对接源_01水果!$X839="公司筐",N(对接源_01水果!$V839)&lt;&gt;0)),1,0)</f>
        <v>0</v>
      </c>
      <c r="U839" s="1" t="n">
        <f aca="false">N(U838)+$T839</f>
        <v>28</v>
      </c>
      <c r="V839" s="1" t="n">
        <f aca="false">IF(AND($L839=1,AND(对接源_01水果!$X839="自备筐",N(对接源_01水果!$V839)&lt;&gt;0)),1,0)</f>
        <v>0</v>
      </c>
      <c r="W839" s="1" t="n">
        <f aca="false">N(W838)+$V839</f>
        <v>7</v>
      </c>
      <c r="X839" s="1" t="n">
        <f aca="false">IF(AND($L839=1,AND(对接源_01水果!$X839="自备筐",N(对接源_01水果!$T839)&lt;&gt;0)),1,0)</f>
        <v>0</v>
      </c>
      <c r="Y839" s="1" t="n">
        <f aca="false">N(Y838)+$X839</f>
        <v>0</v>
      </c>
      <c r="Z839" s="1" t="n">
        <f aca="false">IF(AND($M839=1,对接源_01水果!$D839="原料入库"),1,0)</f>
        <v>0</v>
      </c>
      <c r="AA839" s="1" t="n">
        <f aca="false">N(AA838)+$Z839</f>
        <v>30</v>
      </c>
      <c r="AB839" s="1" t="n">
        <f aca="false">IF(AND($M839=1,LEFT(对接源_01水果!$D839,4)="原料出库"),1,0)</f>
        <v>0</v>
      </c>
      <c r="AC839" s="1" t="n">
        <f aca="false">N(AC838)+$AB839</f>
        <v>19</v>
      </c>
      <c r="AD839" s="1" t="n">
        <f aca="false">IF(AND($M839=1,LEFT(对接源_01水果!$D839,4)="成品出库"),1,0)</f>
        <v>0</v>
      </c>
      <c r="AE839" s="1" t="n">
        <f aca="false">N(AE838)+$AD839</f>
        <v>38</v>
      </c>
      <c r="AF839" s="1" t="n">
        <f aca="false">IF(AND($N839=1,AND(LEFT(对接源_01水果!$D839,4)="包装物料",N(对接源_01水果!$K839)&lt;&gt;0)),1,0)</f>
        <v>0</v>
      </c>
      <c r="AG839" s="90" t="str">
        <f aca="false">IF(对接源_01水果!$AC839="","",对接源_01水果!$AC839)</f>
        <v/>
      </c>
      <c r="AH839" s="1" t="n">
        <f aca="false">IF(AND($N839=1,AND(LEFT(对接源_01水果!$D839,3)="周转筐",N(对接源_01水果!$K839)&lt;&gt;0)),1,0)</f>
        <v>0</v>
      </c>
      <c r="AI839" s="90" t="n">
        <f aca="false">IF(AG839="",0,IF(MATCH(AG839,$AG$4:$AG$1203,0)=ROW()-3,1,0))</f>
        <v>0</v>
      </c>
      <c r="AJ839" s="90" t="n">
        <f aca="false">N(AJ838)+AI839</f>
        <v>4</v>
      </c>
      <c r="AK839" s="1" t="n">
        <f aca="false">N(AK838)+$AJ839</f>
        <v>2216</v>
      </c>
    </row>
    <row r="840" customFormat="false" ht="13.5" hidden="false" customHeight="false" outlineLevel="0" collapsed="false">
      <c r="A840" s="1" t="str">
        <f aca="false">IF(对接源_01水果!$C840="","",对接源_01水果!$C840)</f>
        <v/>
      </c>
      <c r="B840" s="1" t="n">
        <f aca="false">IF(A840="",0,IF(MATCH(A840,$A$4:$A$2403,0)=ROW()-3,1,0))</f>
        <v>0</v>
      </c>
      <c r="C840" s="1" t="n">
        <f aca="false">N(C839)+B840</f>
        <v>13</v>
      </c>
      <c r="K840" s="1" t="n">
        <f aca="false">IF(OR($K$1="",对接源_01水果!$C840="",对接源_01水果!$C840&lt;&gt;$K$1,对接源_01水果!$B840=""),0,IF(OR(N(对接源_01水果!$B840)&lt;$K$2,N(对接源_01水果!$B840)&gt;$K$3),0,1))</f>
        <v>0</v>
      </c>
      <c r="L840" s="1" t="n">
        <f aca="false">IF(OR($L$1="",对接源_01水果!$C840="",对接源_01水果!$C840&lt;&gt;$L$1,对接源_01水果!$B840=""),0,IF(OR(N(对接源_01水果!$B840)&lt;$L$2,N(对接源_01水果!$B840)&gt;$L$3),0,1))</f>
        <v>0</v>
      </c>
      <c r="M840" s="1" t="n">
        <f aca="false">IF(OR($M$1="",对接源_01水果!$C840="",对接源_01水果!$C840&lt;&gt;$M$1,对接源_01水果!$B840=""),0,IF(OR(N(对接源_01水果!$B840)&lt;$M$2,N(对接源_01水果!$B840)&gt;$M$3),0,1))</f>
        <v>0</v>
      </c>
      <c r="N840" s="1" t="n">
        <f aca="false">IF(OR($N$1="",对接源_01水果!$C840="",对接源_01水果!$C840&lt;&gt;$N$1,对接源_01水果!$B840=""),0,IF(OR(N(对接源_01水果!$B840)&lt;$N$2,N(对接源_01水果!$B840)&gt;$N$3),0,1))</f>
        <v>0</v>
      </c>
      <c r="P840" s="1" t="n">
        <f aca="false">IF(AND($K840=1,AND(对接源_01水果!$X840="公司筐",N(对接源_01水果!$T840)&lt;&gt;0)),1,0)</f>
        <v>0</v>
      </c>
      <c r="Q840" s="1" t="n">
        <f aca="false">N(Q839)+$P840</f>
        <v>3</v>
      </c>
      <c r="R840" s="1" t="n">
        <f aca="false">IF(AND($K840=1,AND(对接源_01水果!$X840="公司筐",N(对接源_01水果!$U840)&lt;&gt;0)),1,0)</f>
        <v>0</v>
      </c>
      <c r="S840" s="1" t="n">
        <f aca="false">N(S839)+$R840</f>
        <v>0</v>
      </c>
      <c r="T840" s="1" t="n">
        <f aca="false">IF(AND($K840=1,AND(对接源_01水果!$X840="公司筐",N(对接源_01水果!$V840)&lt;&gt;0)),1,0)</f>
        <v>0</v>
      </c>
      <c r="U840" s="1" t="n">
        <f aca="false">N(U839)+$T840</f>
        <v>28</v>
      </c>
      <c r="V840" s="1" t="n">
        <f aca="false">IF(AND($L840=1,AND(对接源_01水果!$X840="自备筐",N(对接源_01水果!$V840)&lt;&gt;0)),1,0)</f>
        <v>0</v>
      </c>
      <c r="W840" s="1" t="n">
        <f aca="false">N(W839)+$V840</f>
        <v>7</v>
      </c>
      <c r="X840" s="1" t="n">
        <f aca="false">IF(AND($L840=1,AND(对接源_01水果!$X840="自备筐",N(对接源_01水果!$T840)&lt;&gt;0)),1,0)</f>
        <v>0</v>
      </c>
      <c r="Y840" s="1" t="n">
        <f aca="false">N(Y839)+$X840</f>
        <v>0</v>
      </c>
      <c r="Z840" s="1" t="n">
        <f aca="false">IF(AND($M840=1,对接源_01水果!$D840="原料入库"),1,0)</f>
        <v>0</v>
      </c>
      <c r="AA840" s="1" t="n">
        <f aca="false">N(AA839)+$Z840</f>
        <v>30</v>
      </c>
      <c r="AB840" s="1" t="n">
        <f aca="false">IF(AND($M840=1,LEFT(对接源_01水果!$D840,4)="原料出库"),1,0)</f>
        <v>0</v>
      </c>
      <c r="AC840" s="1" t="n">
        <f aca="false">N(AC839)+$AB840</f>
        <v>19</v>
      </c>
      <c r="AD840" s="1" t="n">
        <f aca="false">IF(AND($M840=1,LEFT(对接源_01水果!$D840,4)="成品出库"),1,0)</f>
        <v>0</v>
      </c>
      <c r="AE840" s="1" t="n">
        <f aca="false">N(AE839)+$AD840</f>
        <v>38</v>
      </c>
      <c r="AF840" s="1" t="n">
        <f aca="false">IF(AND($N840=1,AND(LEFT(对接源_01水果!$D840,4)="包装物料",N(对接源_01水果!$K840)&lt;&gt;0)),1,0)</f>
        <v>0</v>
      </c>
      <c r="AG840" s="90" t="str">
        <f aca="false">IF(对接源_01水果!$AC840="","",对接源_01水果!$AC840)</f>
        <v/>
      </c>
      <c r="AH840" s="1" t="n">
        <f aca="false">IF(AND($N840=1,AND(LEFT(对接源_01水果!$D840,3)="周转筐",N(对接源_01水果!$K840)&lt;&gt;0)),1,0)</f>
        <v>0</v>
      </c>
      <c r="AI840" s="90" t="n">
        <f aca="false">IF(AG840="",0,IF(MATCH(AG840,$AG$4:$AG$1203,0)=ROW()-3,1,0))</f>
        <v>0</v>
      </c>
      <c r="AJ840" s="90" t="n">
        <f aca="false">N(AJ839)+AI840</f>
        <v>4</v>
      </c>
      <c r="AK840" s="1" t="n">
        <f aca="false">N(AK839)+$AJ840</f>
        <v>2220</v>
      </c>
    </row>
    <row r="841" customFormat="false" ht="13.5" hidden="false" customHeight="false" outlineLevel="0" collapsed="false">
      <c r="A841" s="1" t="str">
        <f aca="false">IF(对接源_01水果!$C841="","",对接源_01水果!$C841)</f>
        <v/>
      </c>
      <c r="B841" s="1" t="n">
        <f aca="false">IF(A841="",0,IF(MATCH(A841,$A$4:$A$2403,0)=ROW()-3,1,0))</f>
        <v>0</v>
      </c>
      <c r="C841" s="1" t="n">
        <f aca="false">N(C840)+B841</f>
        <v>13</v>
      </c>
      <c r="K841" s="1" t="n">
        <f aca="false">IF(OR($K$1="",对接源_01水果!$C841="",对接源_01水果!$C841&lt;&gt;$K$1,对接源_01水果!$B841=""),0,IF(OR(N(对接源_01水果!$B841)&lt;$K$2,N(对接源_01水果!$B841)&gt;$K$3),0,1))</f>
        <v>0</v>
      </c>
      <c r="L841" s="1" t="n">
        <f aca="false">IF(OR($L$1="",对接源_01水果!$C841="",对接源_01水果!$C841&lt;&gt;$L$1,对接源_01水果!$B841=""),0,IF(OR(N(对接源_01水果!$B841)&lt;$L$2,N(对接源_01水果!$B841)&gt;$L$3),0,1))</f>
        <v>0</v>
      </c>
      <c r="M841" s="1" t="n">
        <f aca="false">IF(OR($M$1="",对接源_01水果!$C841="",对接源_01水果!$C841&lt;&gt;$M$1,对接源_01水果!$B841=""),0,IF(OR(N(对接源_01水果!$B841)&lt;$M$2,N(对接源_01水果!$B841)&gt;$M$3),0,1))</f>
        <v>0</v>
      </c>
      <c r="N841" s="1" t="n">
        <f aca="false">IF(OR($N$1="",对接源_01水果!$C841="",对接源_01水果!$C841&lt;&gt;$N$1,对接源_01水果!$B841=""),0,IF(OR(N(对接源_01水果!$B841)&lt;$N$2,N(对接源_01水果!$B841)&gt;$N$3),0,1))</f>
        <v>0</v>
      </c>
      <c r="P841" s="1" t="n">
        <f aca="false">IF(AND($K841=1,AND(对接源_01水果!$X841="公司筐",N(对接源_01水果!$T841)&lt;&gt;0)),1,0)</f>
        <v>0</v>
      </c>
      <c r="Q841" s="1" t="n">
        <f aca="false">N(Q840)+$P841</f>
        <v>3</v>
      </c>
      <c r="R841" s="1" t="n">
        <f aca="false">IF(AND($K841=1,AND(对接源_01水果!$X841="公司筐",N(对接源_01水果!$U841)&lt;&gt;0)),1,0)</f>
        <v>0</v>
      </c>
      <c r="S841" s="1" t="n">
        <f aca="false">N(S840)+$R841</f>
        <v>0</v>
      </c>
      <c r="T841" s="1" t="n">
        <f aca="false">IF(AND($K841=1,AND(对接源_01水果!$X841="公司筐",N(对接源_01水果!$V841)&lt;&gt;0)),1,0)</f>
        <v>0</v>
      </c>
      <c r="U841" s="1" t="n">
        <f aca="false">N(U840)+$T841</f>
        <v>28</v>
      </c>
      <c r="V841" s="1" t="n">
        <f aca="false">IF(AND($L841=1,AND(对接源_01水果!$X841="自备筐",N(对接源_01水果!$V841)&lt;&gt;0)),1,0)</f>
        <v>0</v>
      </c>
      <c r="W841" s="1" t="n">
        <f aca="false">N(W840)+$V841</f>
        <v>7</v>
      </c>
      <c r="X841" s="1" t="n">
        <f aca="false">IF(AND($L841=1,AND(对接源_01水果!$X841="自备筐",N(对接源_01水果!$T841)&lt;&gt;0)),1,0)</f>
        <v>0</v>
      </c>
      <c r="Y841" s="1" t="n">
        <f aca="false">N(Y840)+$X841</f>
        <v>0</v>
      </c>
      <c r="Z841" s="1" t="n">
        <f aca="false">IF(AND($M841=1,对接源_01水果!$D841="原料入库"),1,0)</f>
        <v>0</v>
      </c>
      <c r="AA841" s="1" t="n">
        <f aca="false">N(AA840)+$Z841</f>
        <v>30</v>
      </c>
      <c r="AB841" s="1" t="n">
        <f aca="false">IF(AND($M841=1,LEFT(对接源_01水果!$D841,4)="原料出库"),1,0)</f>
        <v>0</v>
      </c>
      <c r="AC841" s="1" t="n">
        <f aca="false">N(AC840)+$AB841</f>
        <v>19</v>
      </c>
      <c r="AD841" s="1" t="n">
        <f aca="false">IF(AND($M841=1,LEFT(对接源_01水果!$D841,4)="成品出库"),1,0)</f>
        <v>0</v>
      </c>
      <c r="AE841" s="1" t="n">
        <f aca="false">N(AE840)+$AD841</f>
        <v>38</v>
      </c>
      <c r="AF841" s="1" t="n">
        <f aca="false">IF(AND($N841=1,AND(LEFT(对接源_01水果!$D841,4)="包装物料",N(对接源_01水果!$K841)&lt;&gt;0)),1,0)</f>
        <v>0</v>
      </c>
      <c r="AG841" s="90" t="str">
        <f aca="false">IF(对接源_01水果!$AC841="","",对接源_01水果!$AC841)</f>
        <v/>
      </c>
      <c r="AH841" s="1" t="n">
        <f aca="false">IF(AND($N841=1,AND(LEFT(对接源_01水果!$D841,3)="周转筐",N(对接源_01水果!$K841)&lt;&gt;0)),1,0)</f>
        <v>0</v>
      </c>
      <c r="AI841" s="90" t="n">
        <f aca="false">IF(AG841="",0,IF(MATCH(AG841,$AG$4:$AG$1203,0)=ROW()-3,1,0))</f>
        <v>0</v>
      </c>
      <c r="AJ841" s="90" t="n">
        <f aca="false">N(AJ840)+AI841</f>
        <v>4</v>
      </c>
      <c r="AK841" s="1" t="n">
        <f aca="false">N(AK840)+$AJ841</f>
        <v>2224</v>
      </c>
    </row>
    <row r="842" customFormat="false" ht="13.5" hidden="false" customHeight="false" outlineLevel="0" collapsed="false">
      <c r="A842" s="1" t="str">
        <f aca="false">IF(对接源_01水果!$C842="","",对接源_01水果!$C842)</f>
        <v/>
      </c>
      <c r="B842" s="1" t="n">
        <f aca="false">IF(A842="",0,IF(MATCH(A842,$A$4:$A$2403,0)=ROW()-3,1,0))</f>
        <v>0</v>
      </c>
      <c r="C842" s="1" t="n">
        <f aca="false">N(C841)+B842</f>
        <v>13</v>
      </c>
      <c r="K842" s="1" t="n">
        <f aca="false">IF(OR($K$1="",对接源_01水果!$C842="",对接源_01水果!$C842&lt;&gt;$K$1,对接源_01水果!$B842=""),0,IF(OR(N(对接源_01水果!$B842)&lt;$K$2,N(对接源_01水果!$B842)&gt;$K$3),0,1))</f>
        <v>0</v>
      </c>
      <c r="L842" s="1" t="n">
        <f aca="false">IF(OR($L$1="",对接源_01水果!$C842="",对接源_01水果!$C842&lt;&gt;$L$1,对接源_01水果!$B842=""),0,IF(OR(N(对接源_01水果!$B842)&lt;$L$2,N(对接源_01水果!$B842)&gt;$L$3),0,1))</f>
        <v>0</v>
      </c>
      <c r="M842" s="1" t="n">
        <f aca="false">IF(OR($M$1="",对接源_01水果!$C842="",对接源_01水果!$C842&lt;&gt;$M$1,对接源_01水果!$B842=""),0,IF(OR(N(对接源_01水果!$B842)&lt;$M$2,N(对接源_01水果!$B842)&gt;$M$3),0,1))</f>
        <v>0</v>
      </c>
      <c r="N842" s="1" t="n">
        <f aca="false">IF(OR($N$1="",对接源_01水果!$C842="",对接源_01水果!$C842&lt;&gt;$N$1,对接源_01水果!$B842=""),0,IF(OR(N(对接源_01水果!$B842)&lt;$N$2,N(对接源_01水果!$B842)&gt;$N$3),0,1))</f>
        <v>0</v>
      </c>
      <c r="P842" s="1" t="n">
        <f aca="false">IF(AND($K842=1,AND(对接源_01水果!$X842="公司筐",N(对接源_01水果!$T842)&lt;&gt;0)),1,0)</f>
        <v>0</v>
      </c>
      <c r="Q842" s="1" t="n">
        <f aca="false">N(Q841)+$P842</f>
        <v>3</v>
      </c>
      <c r="R842" s="1" t="n">
        <f aca="false">IF(AND($K842=1,AND(对接源_01水果!$X842="公司筐",N(对接源_01水果!$U842)&lt;&gt;0)),1,0)</f>
        <v>0</v>
      </c>
      <c r="S842" s="1" t="n">
        <f aca="false">N(S841)+$R842</f>
        <v>0</v>
      </c>
      <c r="T842" s="1" t="n">
        <f aca="false">IF(AND($K842=1,AND(对接源_01水果!$X842="公司筐",N(对接源_01水果!$V842)&lt;&gt;0)),1,0)</f>
        <v>0</v>
      </c>
      <c r="U842" s="1" t="n">
        <f aca="false">N(U841)+$T842</f>
        <v>28</v>
      </c>
      <c r="V842" s="1" t="n">
        <f aca="false">IF(AND($L842=1,AND(对接源_01水果!$X842="自备筐",N(对接源_01水果!$V842)&lt;&gt;0)),1,0)</f>
        <v>0</v>
      </c>
      <c r="W842" s="1" t="n">
        <f aca="false">N(W841)+$V842</f>
        <v>7</v>
      </c>
      <c r="X842" s="1" t="n">
        <f aca="false">IF(AND($L842=1,AND(对接源_01水果!$X842="自备筐",N(对接源_01水果!$T842)&lt;&gt;0)),1,0)</f>
        <v>0</v>
      </c>
      <c r="Y842" s="1" t="n">
        <f aca="false">N(Y841)+$X842</f>
        <v>0</v>
      </c>
      <c r="Z842" s="1" t="n">
        <f aca="false">IF(AND($M842=1,对接源_01水果!$D842="原料入库"),1,0)</f>
        <v>0</v>
      </c>
      <c r="AA842" s="1" t="n">
        <f aca="false">N(AA841)+$Z842</f>
        <v>30</v>
      </c>
      <c r="AB842" s="1" t="n">
        <f aca="false">IF(AND($M842=1,LEFT(对接源_01水果!$D842,4)="原料出库"),1,0)</f>
        <v>0</v>
      </c>
      <c r="AC842" s="1" t="n">
        <f aca="false">N(AC841)+$AB842</f>
        <v>19</v>
      </c>
      <c r="AD842" s="1" t="n">
        <f aca="false">IF(AND($M842=1,LEFT(对接源_01水果!$D842,4)="成品出库"),1,0)</f>
        <v>0</v>
      </c>
      <c r="AE842" s="1" t="n">
        <f aca="false">N(AE841)+$AD842</f>
        <v>38</v>
      </c>
      <c r="AF842" s="1" t="n">
        <f aca="false">IF(AND($N842=1,AND(LEFT(对接源_01水果!$D842,4)="包装物料",N(对接源_01水果!$K842)&lt;&gt;0)),1,0)</f>
        <v>0</v>
      </c>
      <c r="AG842" s="90" t="str">
        <f aca="false">IF(对接源_01水果!$AC842="","",对接源_01水果!$AC842)</f>
        <v/>
      </c>
      <c r="AH842" s="1" t="n">
        <f aca="false">IF(AND($N842=1,AND(LEFT(对接源_01水果!$D842,3)="周转筐",N(对接源_01水果!$K842)&lt;&gt;0)),1,0)</f>
        <v>0</v>
      </c>
      <c r="AI842" s="90" t="n">
        <f aca="false">IF(AG842="",0,IF(MATCH(AG842,$AG$4:$AG$1203,0)=ROW()-3,1,0))</f>
        <v>0</v>
      </c>
      <c r="AJ842" s="90" t="n">
        <f aca="false">N(AJ841)+AI842</f>
        <v>4</v>
      </c>
      <c r="AK842" s="1" t="n">
        <f aca="false">N(AK841)+$AJ842</f>
        <v>2228</v>
      </c>
    </row>
    <row r="843" customFormat="false" ht="13.5" hidden="false" customHeight="false" outlineLevel="0" collapsed="false">
      <c r="A843" s="1" t="str">
        <f aca="false">IF(对接源_01水果!$C843="","",对接源_01水果!$C843)</f>
        <v/>
      </c>
      <c r="B843" s="1" t="n">
        <f aca="false">IF(A843="",0,IF(MATCH(A843,$A$4:$A$2403,0)=ROW()-3,1,0))</f>
        <v>0</v>
      </c>
      <c r="C843" s="1" t="n">
        <f aca="false">N(C842)+B843</f>
        <v>13</v>
      </c>
      <c r="K843" s="1" t="n">
        <f aca="false">IF(OR($K$1="",对接源_01水果!$C843="",对接源_01水果!$C843&lt;&gt;$K$1,对接源_01水果!$B843=""),0,IF(OR(N(对接源_01水果!$B843)&lt;$K$2,N(对接源_01水果!$B843)&gt;$K$3),0,1))</f>
        <v>0</v>
      </c>
      <c r="L843" s="1" t="n">
        <f aca="false">IF(OR($L$1="",对接源_01水果!$C843="",对接源_01水果!$C843&lt;&gt;$L$1,对接源_01水果!$B843=""),0,IF(OR(N(对接源_01水果!$B843)&lt;$L$2,N(对接源_01水果!$B843)&gt;$L$3),0,1))</f>
        <v>0</v>
      </c>
      <c r="M843" s="1" t="n">
        <f aca="false">IF(OR($M$1="",对接源_01水果!$C843="",对接源_01水果!$C843&lt;&gt;$M$1,对接源_01水果!$B843=""),0,IF(OR(N(对接源_01水果!$B843)&lt;$M$2,N(对接源_01水果!$B843)&gt;$M$3),0,1))</f>
        <v>0</v>
      </c>
      <c r="N843" s="1" t="n">
        <f aca="false">IF(OR($N$1="",对接源_01水果!$C843="",对接源_01水果!$C843&lt;&gt;$N$1,对接源_01水果!$B843=""),0,IF(OR(N(对接源_01水果!$B843)&lt;$N$2,N(对接源_01水果!$B843)&gt;$N$3),0,1))</f>
        <v>0</v>
      </c>
      <c r="P843" s="1" t="n">
        <f aca="false">IF(AND($K843=1,AND(对接源_01水果!$X843="公司筐",N(对接源_01水果!$T843)&lt;&gt;0)),1,0)</f>
        <v>0</v>
      </c>
      <c r="Q843" s="1" t="n">
        <f aca="false">N(Q842)+$P843</f>
        <v>3</v>
      </c>
      <c r="R843" s="1" t="n">
        <f aca="false">IF(AND($K843=1,AND(对接源_01水果!$X843="公司筐",N(对接源_01水果!$U843)&lt;&gt;0)),1,0)</f>
        <v>0</v>
      </c>
      <c r="S843" s="1" t="n">
        <f aca="false">N(S842)+$R843</f>
        <v>0</v>
      </c>
      <c r="T843" s="1" t="n">
        <f aca="false">IF(AND($K843=1,AND(对接源_01水果!$X843="公司筐",N(对接源_01水果!$V843)&lt;&gt;0)),1,0)</f>
        <v>0</v>
      </c>
      <c r="U843" s="1" t="n">
        <f aca="false">N(U842)+$T843</f>
        <v>28</v>
      </c>
      <c r="V843" s="1" t="n">
        <f aca="false">IF(AND($L843=1,AND(对接源_01水果!$X843="自备筐",N(对接源_01水果!$V843)&lt;&gt;0)),1,0)</f>
        <v>0</v>
      </c>
      <c r="W843" s="1" t="n">
        <f aca="false">N(W842)+$V843</f>
        <v>7</v>
      </c>
      <c r="X843" s="1" t="n">
        <f aca="false">IF(AND($L843=1,AND(对接源_01水果!$X843="自备筐",N(对接源_01水果!$T843)&lt;&gt;0)),1,0)</f>
        <v>0</v>
      </c>
      <c r="Y843" s="1" t="n">
        <f aca="false">N(Y842)+$X843</f>
        <v>0</v>
      </c>
      <c r="Z843" s="1" t="n">
        <f aca="false">IF(AND($M843=1,对接源_01水果!$D843="原料入库"),1,0)</f>
        <v>0</v>
      </c>
      <c r="AA843" s="1" t="n">
        <f aca="false">N(AA842)+$Z843</f>
        <v>30</v>
      </c>
      <c r="AB843" s="1" t="n">
        <f aca="false">IF(AND($M843=1,LEFT(对接源_01水果!$D843,4)="原料出库"),1,0)</f>
        <v>0</v>
      </c>
      <c r="AC843" s="1" t="n">
        <f aca="false">N(AC842)+$AB843</f>
        <v>19</v>
      </c>
      <c r="AD843" s="1" t="n">
        <f aca="false">IF(AND($M843=1,LEFT(对接源_01水果!$D843,4)="成品出库"),1,0)</f>
        <v>0</v>
      </c>
      <c r="AE843" s="1" t="n">
        <f aca="false">N(AE842)+$AD843</f>
        <v>38</v>
      </c>
      <c r="AF843" s="1" t="n">
        <f aca="false">IF(AND($N843=1,AND(LEFT(对接源_01水果!$D843,4)="包装物料",N(对接源_01水果!$K843)&lt;&gt;0)),1,0)</f>
        <v>0</v>
      </c>
      <c r="AG843" s="90" t="str">
        <f aca="false">IF(对接源_01水果!$AC843="","",对接源_01水果!$AC843)</f>
        <v/>
      </c>
      <c r="AH843" s="1" t="n">
        <f aca="false">IF(AND($N843=1,AND(LEFT(对接源_01水果!$D843,3)="周转筐",N(对接源_01水果!$K843)&lt;&gt;0)),1,0)</f>
        <v>0</v>
      </c>
      <c r="AI843" s="90" t="n">
        <f aca="false">IF(AG843="",0,IF(MATCH(AG843,$AG$4:$AG$1203,0)=ROW()-3,1,0))</f>
        <v>0</v>
      </c>
      <c r="AJ843" s="90" t="n">
        <f aca="false">N(AJ842)+AI843</f>
        <v>4</v>
      </c>
      <c r="AK843" s="1" t="n">
        <f aca="false">N(AK842)+$AJ843</f>
        <v>2232</v>
      </c>
    </row>
    <row r="844" customFormat="false" ht="13.5" hidden="false" customHeight="false" outlineLevel="0" collapsed="false">
      <c r="A844" s="1" t="str">
        <f aca="false">IF(对接源_01水果!$C844="","",对接源_01水果!$C844)</f>
        <v/>
      </c>
      <c r="B844" s="1" t="n">
        <f aca="false">IF(A844="",0,IF(MATCH(A844,$A$4:$A$2403,0)=ROW()-3,1,0))</f>
        <v>0</v>
      </c>
      <c r="C844" s="1" t="n">
        <f aca="false">N(C843)+B844</f>
        <v>13</v>
      </c>
      <c r="K844" s="1" t="n">
        <f aca="false">IF(OR($K$1="",对接源_01水果!$C844="",对接源_01水果!$C844&lt;&gt;$K$1,对接源_01水果!$B844=""),0,IF(OR(N(对接源_01水果!$B844)&lt;$K$2,N(对接源_01水果!$B844)&gt;$K$3),0,1))</f>
        <v>0</v>
      </c>
      <c r="L844" s="1" t="n">
        <f aca="false">IF(OR($L$1="",对接源_01水果!$C844="",对接源_01水果!$C844&lt;&gt;$L$1,对接源_01水果!$B844=""),0,IF(OR(N(对接源_01水果!$B844)&lt;$L$2,N(对接源_01水果!$B844)&gt;$L$3),0,1))</f>
        <v>0</v>
      </c>
      <c r="M844" s="1" t="n">
        <f aca="false">IF(OR($M$1="",对接源_01水果!$C844="",对接源_01水果!$C844&lt;&gt;$M$1,对接源_01水果!$B844=""),0,IF(OR(N(对接源_01水果!$B844)&lt;$M$2,N(对接源_01水果!$B844)&gt;$M$3),0,1))</f>
        <v>0</v>
      </c>
      <c r="N844" s="1" t="n">
        <f aca="false">IF(OR($N$1="",对接源_01水果!$C844="",对接源_01水果!$C844&lt;&gt;$N$1,对接源_01水果!$B844=""),0,IF(OR(N(对接源_01水果!$B844)&lt;$N$2,N(对接源_01水果!$B844)&gt;$N$3),0,1))</f>
        <v>0</v>
      </c>
      <c r="P844" s="1" t="n">
        <f aca="false">IF(AND($K844=1,AND(对接源_01水果!$X844="公司筐",N(对接源_01水果!$T844)&lt;&gt;0)),1,0)</f>
        <v>0</v>
      </c>
      <c r="Q844" s="1" t="n">
        <f aca="false">N(Q843)+$P844</f>
        <v>3</v>
      </c>
      <c r="R844" s="1" t="n">
        <f aca="false">IF(AND($K844=1,AND(对接源_01水果!$X844="公司筐",N(对接源_01水果!$U844)&lt;&gt;0)),1,0)</f>
        <v>0</v>
      </c>
      <c r="S844" s="1" t="n">
        <f aca="false">N(S843)+$R844</f>
        <v>0</v>
      </c>
      <c r="T844" s="1" t="n">
        <f aca="false">IF(AND($K844=1,AND(对接源_01水果!$X844="公司筐",N(对接源_01水果!$V844)&lt;&gt;0)),1,0)</f>
        <v>0</v>
      </c>
      <c r="U844" s="1" t="n">
        <f aca="false">N(U843)+$T844</f>
        <v>28</v>
      </c>
      <c r="V844" s="1" t="n">
        <f aca="false">IF(AND($L844=1,AND(对接源_01水果!$X844="自备筐",N(对接源_01水果!$V844)&lt;&gt;0)),1,0)</f>
        <v>0</v>
      </c>
      <c r="W844" s="1" t="n">
        <f aca="false">N(W843)+$V844</f>
        <v>7</v>
      </c>
      <c r="X844" s="1" t="n">
        <f aca="false">IF(AND($L844=1,AND(对接源_01水果!$X844="自备筐",N(对接源_01水果!$T844)&lt;&gt;0)),1,0)</f>
        <v>0</v>
      </c>
      <c r="Y844" s="1" t="n">
        <f aca="false">N(Y843)+$X844</f>
        <v>0</v>
      </c>
      <c r="Z844" s="1" t="n">
        <f aca="false">IF(AND($M844=1,对接源_01水果!$D844="原料入库"),1,0)</f>
        <v>0</v>
      </c>
      <c r="AA844" s="1" t="n">
        <f aca="false">N(AA843)+$Z844</f>
        <v>30</v>
      </c>
      <c r="AB844" s="1" t="n">
        <f aca="false">IF(AND($M844=1,LEFT(对接源_01水果!$D844,4)="原料出库"),1,0)</f>
        <v>0</v>
      </c>
      <c r="AC844" s="1" t="n">
        <f aca="false">N(AC843)+$AB844</f>
        <v>19</v>
      </c>
      <c r="AD844" s="1" t="n">
        <f aca="false">IF(AND($M844=1,LEFT(对接源_01水果!$D844,4)="成品出库"),1,0)</f>
        <v>0</v>
      </c>
      <c r="AE844" s="1" t="n">
        <f aca="false">N(AE843)+$AD844</f>
        <v>38</v>
      </c>
      <c r="AF844" s="1" t="n">
        <f aca="false">IF(AND($N844=1,AND(LEFT(对接源_01水果!$D844,4)="包装物料",N(对接源_01水果!$K844)&lt;&gt;0)),1,0)</f>
        <v>0</v>
      </c>
      <c r="AG844" s="90" t="str">
        <f aca="false">IF(对接源_01水果!$AC844="","",对接源_01水果!$AC844)</f>
        <v/>
      </c>
      <c r="AH844" s="1" t="n">
        <f aca="false">IF(AND($N844=1,AND(LEFT(对接源_01水果!$D844,3)="周转筐",N(对接源_01水果!$K844)&lt;&gt;0)),1,0)</f>
        <v>0</v>
      </c>
      <c r="AI844" s="90" t="n">
        <f aca="false">IF(AG844="",0,IF(MATCH(AG844,$AG$4:$AG$1203,0)=ROW()-3,1,0))</f>
        <v>0</v>
      </c>
      <c r="AJ844" s="90" t="n">
        <f aca="false">N(AJ843)+AI844</f>
        <v>4</v>
      </c>
      <c r="AK844" s="1" t="n">
        <f aca="false">N(AK843)+$AJ844</f>
        <v>2236</v>
      </c>
    </row>
    <row r="845" customFormat="false" ht="13.5" hidden="false" customHeight="false" outlineLevel="0" collapsed="false">
      <c r="A845" s="1" t="str">
        <f aca="false">IF(对接源_01水果!$C845="","",对接源_01水果!$C845)</f>
        <v/>
      </c>
      <c r="B845" s="1" t="n">
        <f aca="false">IF(A845="",0,IF(MATCH(A845,$A$4:$A$2403,0)=ROW()-3,1,0))</f>
        <v>0</v>
      </c>
      <c r="C845" s="1" t="n">
        <f aca="false">N(C844)+B845</f>
        <v>13</v>
      </c>
      <c r="K845" s="1" t="n">
        <f aca="false">IF(OR($K$1="",对接源_01水果!$C845="",对接源_01水果!$C845&lt;&gt;$K$1,对接源_01水果!$B845=""),0,IF(OR(N(对接源_01水果!$B845)&lt;$K$2,N(对接源_01水果!$B845)&gt;$K$3),0,1))</f>
        <v>0</v>
      </c>
      <c r="L845" s="1" t="n">
        <f aca="false">IF(OR($L$1="",对接源_01水果!$C845="",对接源_01水果!$C845&lt;&gt;$L$1,对接源_01水果!$B845=""),0,IF(OR(N(对接源_01水果!$B845)&lt;$L$2,N(对接源_01水果!$B845)&gt;$L$3),0,1))</f>
        <v>0</v>
      </c>
      <c r="M845" s="1" t="n">
        <f aca="false">IF(OR($M$1="",对接源_01水果!$C845="",对接源_01水果!$C845&lt;&gt;$M$1,对接源_01水果!$B845=""),0,IF(OR(N(对接源_01水果!$B845)&lt;$M$2,N(对接源_01水果!$B845)&gt;$M$3),0,1))</f>
        <v>0</v>
      </c>
      <c r="N845" s="1" t="n">
        <f aca="false">IF(OR($N$1="",对接源_01水果!$C845="",对接源_01水果!$C845&lt;&gt;$N$1,对接源_01水果!$B845=""),0,IF(OR(N(对接源_01水果!$B845)&lt;$N$2,N(对接源_01水果!$B845)&gt;$N$3),0,1))</f>
        <v>0</v>
      </c>
      <c r="P845" s="1" t="n">
        <f aca="false">IF(AND($K845=1,AND(对接源_01水果!$X845="公司筐",N(对接源_01水果!$T845)&lt;&gt;0)),1,0)</f>
        <v>0</v>
      </c>
      <c r="Q845" s="1" t="n">
        <f aca="false">N(Q844)+$P845</f>
        <v>3</v>
      </c>
      <c r="R845" s="1" t="n">
        <f aca="false">IF(AND($K845=1,AND(对接源_01水果!$X845="公司筐",N(对接源_01水果!$U845)&lt;&gt;0)),1,0)</f>
        <v>0</v>
      </c>
      <c r="S845" s="1" t="n">
        <f aca="false">N(S844)+$R845</f>
        <v>0</v>
      </c>
      <c r="T845" s="1" t="n">
        <f aca="false">IF(AND($K845=1,AND(对接源_01水果!$X845="公司筐",N(对接源_01水果!$V845)&lt;&gt;0)),1,0)</f>
        <v>0</v>
      </c>
      <c r="U845" s="1" t="n">
        <f aca="false">N(U844)+$T845</f>
        <v>28</v>
      </c>
      <c r="V845" s="1" t="n">
        <f aca="false">IF(AND($L845=1,AND(对接源_01水果!$X845="自备筐",N(对接源_01水果!$V845)&lt;&gt;0)),1,0)</f>
        <v>0</v>
      </c>
      <c r="W845" s="1" t="n">
        <f aca="false">N(W844)+$V845</f>
        <v>7</v>
      </c>
      <c r="X845" s="1" t="n">
        <f aca="false">IF(AND($L845=1,AND(对接源_01水果!$X845="自备筐",N(对接源_01水果!$T845)&lt;&gt;0)),1,0)</f>
        <v>0</v>
      </c>
      <c r="Y845" s="1" t="n">
        <f aca="false">N(Y844)+$X845</f>
        <v>0</v>
      </c>
      <c r="Z845" s="1" t="n">
        <f aca="false">IF(AND($M845=1,对接源_01水果!$D845="原料入库"),1,0)</f>
        <v>0</v>
      </c>
      <c r="AA845" s="1" t="n">
        <f aca="false">N(AA844)+$Z845</f>
        <v>30</v>
      </c>
      <c r="AB845" s="1" t="n">
        <f aca="false">IF(AND($M845=1,LEFT(对接源_01水果!$D845,4)="原料出库"),1,0)</f>
        <v>0</v>
      </c>
      <c r="AC845" s="1" t="n">
        <f aca="false">N(AC844)+$AB845</f>
        <v>19</v>
      </c>
      <c r="AD845" s="1" t="n">
        <f aca="false">IF(AND($M845=1,LEFT(对接源_01水果!$D845,4)="成品出库"),1,0)</f>
        <v>0</v>
      </c>
      <c r="AE845" s="1" t="n">
        <f aca="false">N(AE844)+$AD845</f>
        <v>38</v>
      </c>
      <c r="AF845" s="1" t="n">
        <f aca="false">IF(AND($N845=1,AND(LEFT(对接源_01水果!$D845,4)="包装物料",N(对接源_01水果!$K845)&lt;&gt;0)),1,0)</f>
        <v>0</v>
      </c>
      <c r="AG845" s="90" t="str">
        <f aca="false">IF(对接源_01水果!$AC845="","",对接源_01水果!$AC845)</f>
        <v/>
      </c>
      <c r="AH845" s="1" t="n">
        <f aca="false">IF(AND($N845=1,AND(LEFT(对接源_01水果!$D845,3)="周转筐",N(对接源_01水果!$K845)&lt;&gt;0)),1,0)</f>
        <v>0</v>
      </c>
      <c r="AI845" s="90" t="n">
        <f aca="false">IF(AG845="",0,IF(MATCH(AG845,$AG$4:$AG$1203,0)=ROW()-3,1,0))</f>
        <v>0</v>
      </c>
      <c r="AJ845" s="90" t="n">
        <f aca="false">N(AJ844)+AI845</f>
        <v>4</v>
      </c>
      <c r="AK845" s="1" t="n">
        <f aca="false">N(AK844)+$AJ845</f>
        <v>2240</v>
      </c>
    </row>
    <row r="846" customFormat="false" ht="13.5" hidden="false" customHeight="false" outlineLevel="0" collapsed="false">
      <c r="A846" s="1" t="str">
        <f aca="false">IF(对接源_01水果!$C846="","",对接源_01水果!$C846)</f>
        <v/>
      </c>
      <c r="B846" s="1" t="n">
        <f aca="false">IF(A846="",0,IF(MATCH(A846,$A$4:$A$2403,0)=ROW()-3,1,0))</f>
        <v>0</v>
      </c>
      <c r="C846" s="1" t="n">
        <f aca="false">N(C845)+B846</f>
        <v>13</v>
      </c>
      <c r="K846" s="1" t="n">
        <f aca="false">IF(OR($K$1="",对接源_01水果!$C846="",对接源_01水果!$C846&lt;&gt;$K$1,对接源_01水果!$B846=""),0,IF(OR(N(对接源_01水果!$B846)&lt;$K$2,N(对接源_01水果!$B846)&gt;$K$3),0,1))</f>
        <v>0</v>
      </c>
      <c r="L846" s="1" t="n">
        <f aca="false">IF(OR($L$1="",对接源_01水果!$C846="",对接源_01水果!$C846&lt;&gt;$L$1,对接源_01水果!$B846=""),0,IF(OR(N(对接源_01水果!$B846)&lt;$L$2,N(对接源_01水果!$B846)&gt;$L$3),0,1))</f>
        <v>0</v>
      </c>
      <c r="M846" s="1" t="n">
        <f aca="false">IF(OR($M$1="",对接源_01水果!$C846="",对接源_01水果!$C846&lt;&gt;$M$1,对接源_01水果!$B846=""),0,IF(OR(N(对接源_01水果!$B846)&lt;$M$2,N(对接源_01水果!$B846)&gt;$M$3),0,1))</f>
        <v>0</v>
      </c>
      <c r="N846" s="1" t="n">
        <f aca="false">IF(OR($N$1="",对接源_01水果!$C846="",对接源_01水果!$C846&lt;&gt;$N$1,对接源_01水果!$B846=""),0,IF(OR(N(对接源_01水果!$B846)&lt;$N$2,N(对接源_01水果!$B846)&gt;$N$3),0,1))</f>
        <v>0</v>
      </c>
      <c r="P846" s="1" t="n">
        <f aca="false">IF(AND($K846=1,AND(对接源_01水果!$X846="公司筐",N(对接源_01水果!$T846)&lt;&gt;0)),1,0)</f>
        <v>0</v>
      </c>
      <c r="Q846" s="1" t="n">
        <f aca="false">N(Q845)+$P846</f>
        <v>3</v>
      </c>
      <c r="R846" s="1" t="n">
        <f aca="false">IF(AND($K846=1,AND(对接源_01水果!$X846="公司筐",N(对接源_01水果!$U846)&lt;&gt;0)),1,0)</f>
        <v>0</v>
      </c>
      <c r="S846" s="1" t="n">
        <f aca="false">N(S845)+$R846</f>
        <v>0</v>
      </c>
      <c r="T846" s="1" t="n">
        <f aca="false">IF(AND($K846=1,AND(对接源_01水果!$X846="公司筐",N(对接源_01水果!$V846)&lt;&gt;0)),1,0)</f>
        <v>0</v>
      </c>
      <c r="U846" s="1" t="n">
        <f aca="false">N(U845)+$T846</f>
        <v>28</v>
      </c>
      <c r="V846" s="1" t="n">
        <f aca="false">IF(AND($L846=1,AND(对接源_01水果!$X846="自备筐",N(对接源_01水果!$V846)&lt;&gt;0)),1,0)</f>
        <v>0</v>
      </c>
      <c r="W846" s="1" t="n">
        <f aca="false">N(W845)+$V846</f>
        <v>7</v>
      </c>
      <c r="X846" s="1" t="n">
        <f aca="false">IF(AND($L846=1,AND(对接源_01水果!$X846="自备筐",N(对接源_01水果!$T846)&lt;&gt;0)),1,0)</f>
        <v>0</v>
      </c>
      <c r="Y846" s="1" t="n">
        <f aca="false">N(Y845)+$X846</f>
        <v>0</v>
      </c>
      <c r="Z846" s="1" t="n">
        <f aca="false">IF(AND($M846=1,对接源_01水果!$D846="原料入库"),1,0)</f>
        <v>0</v>
      </c>
      <c r="AA846" s="1" t="n">
        <f aca="false">N(AA845)+$Z846</f>
        <v>30</v>
      </c>
      <c r="AB846" s="1" t="n">
        <f aca="false">IF(AND($M846=1,LEFT(对接源_01水果!$D846,4)="原料出库"),1,0)</f>
        <v>0</v>
      </c>
      <c r="AC846" s="1" t="n">
        <f aca="false">N(AC845)+$AB846</f>
        <v>19</v>
      </c>
      <c r="AD846" s="1" t="n">
        <f aca="false">IF(AND($M846=1,LEFT(对接源_01水果!$D846,4)="成品出库"),1,0)</f>
        <v>0</v>
      </c>
      <c r="AE846" s="1" t="n">
        <f aca="false">N(AE845)+$AD846</f>
        <v>38</v>
      </c>
      <c r="AF846" s="1" t="n">
        <f aca="false">IF(AND($N846=1,AND(LEFT(对接源_01水果!$D846,4)="包装物料",N(对接源_01水果!$K846)&lt;&gt;0)),1,0)</f>
        <v>0</v>
      </c>
      <c r="AG846" s="90" t="str">
        <f aca="false">IF(对接源_01水果!$AC846="","",对接源_01水果!$AC846)</f>
        <v/>
      </c>
      <c r="AH846" s="1" t="n">
        <f aca="false">IF(AND($N846=1,AND(LEFT(对接源_01水果!$D846,3)="周转筐",N(对接源_01水果!$K846)&lt;&gt;0)),1,0)</f>
        <v>0</v>
      </c>
      <c r="AI846" s="90" t="n">
        <f aca="false">IF(AG846="",0,IF(MATCH(AG846,$AG$4:$AG$1203,0)=ROW()-3,1,0))</f>
        <v>0</v>
      </c>
      <c r="AJ846" s="90" t="n">
        <f aca="false">N(AJ845)+AI846</f>
        <v>4</v>
      </c>
      <c r="AK846" s="1" t="n">
        <f aca="false">N(AK845)+$AJ846</f>
        <v>2244</v>
      </c>
    </row>
    <row r="847" customFormat="false" ht="13.5" hidden="false" customHeight="false" outlineLevel="0" collapsed="false">
      <c r="A847" s="1" t="str">
        <f aca="false">IF(对接源_01水果!$C847="","",对接源_01水果!$C847)</f>
        <v/>
      </c>
      <c r="B847" s="1" t="n">
        <f aca="false">IF(A847="",0,IF(MATCH(A847,$A$4:$A$2403,0)=ROW()-3,1,0))</f>
        <v>0</v>
      </c>
      <c r="C847" s="1" t="n">
        <f aca="false">N(C846)+B847</f>
        <v>13</v>
      </c>
      <c r="K847" s="1" t="n">
        <f aca="false">IF(OR($K$1="",对接源_01水果!$C847="",对接源_01水果!$C847&lt;&gt;$K$1,对接源_01水果!$B847=""),0,IF(OR(N(对接源_01水果!$B847)&lt;$K$2,N(对接源_01水果!$B847)&gt;$K$3),0,1))</f>
        <v>0</v>
      </c>
      <c r="L847" s="1" t="n">
        <f aca="false">IF(OR($L$1="",对接源_01水果!$C847="",对接源_01水果!$C847&lt;&gt;$L$1,对接源_01水果!$B847=""),0,IF(OR(N(对接源_01水果!$B847)&lt;$L$2,N(对接源_01水果!$B847)&gt;$L$3),0,1))</f>
        <v>0</v>
      </c>
      <c r="M847" s="1" t="n">
        <f aca="false">IF(OR($M$1="",对接源_01水果!$C847="",对接源_01水果!$C847&lt;&gt;$M$1,对接源_01水果!$B847=""),0,IF(OR(N(对接源_01水果!$B847)&lt;$M$2,N(对接源_01水果!$B847)&gt;$M$3),0,1))</f>
        <v>0</v>
      </c>
      <c r="N847" s="1" t="n">
        <f aca="false">IF(OR($N$1="",对接源_01水果!$C847="",对接源_01水果!$C847&lt;&gt;$N$1,对接源_01水果!$B847=""),0,IF(OR(N(对接源_01水果!$B847)&lt;$N$2,N(对接源_01水果!$B847)&gt;$N$3),0,1))</f>
        <v>0</v>
      </c>
      <c r="P847" s="1" t="n">
        <f aca="false">IF(AND($K847=1,AND(对接源_01水果!$X847="公司筐",N(对接源_01水果!$T847)&lt;&gt;0)),1,0)</f>
        <v>0</v>
      </c>
      <c r="Q847" s="1" t="n">
        <f aca="false">N(Q846)+$P847</f>
        <v>3</v>
      </c>
      <c r="R847" s="1" t="n">
        <f aca="false">IF(AND($K847=1,AND(对接源_01水果!$X847="公司筐",N(对接源_01水果!$U847)&lt;&gt;0)),1,0)</f>
        <v>0</v>
      </c>
      <c r="S847" s="1" t="n">
        <f aca="false">N(S846)+$R847</f>
        <v>0</v>
      </c>
      <c r="T847" s="1" t="n">
        <f aca="false">IF(AND($K847=1,AND(对接源_01水果!$X847="公司筐",N(对接源_01水果!$V847)&lt;&gt;0)),1,0)</f>
        <v>0</v>
      </c>
      <c r="U847" s="1" t="n">
        <f aca="false">N(U846)+$T847</f>
        <v>28</v>
      </c>
      <c r="V847" s="1" t="n">
        <f aca="false">IF(AND($L847=1,AND(对接源_01水果!$X847="自备筐",N(对接源_01水果!$V847)&lt;&gt;0)),1,0)</f>
        <v>0</v>
      </c>
      <c r="W847" s="1" t="n">
        <f aca="false">N(W846)+$V847</f>
        <v>7</v>
      </c>
      <c r="X847" s="1" t="n">
        <f aca="false">IF(AND($L847=1,AND(对接源_01水果!$X847="自备筐",N(对接源_01水果!$T847)&lt;&gt;0)),1,0)</f>
        <v>0</v>
      </c>
      <c r="Y847" s="1" t="n">
        <f aca="false">N(Y846)+$X847</f>
        <v>0</v>
      </c>
      <c r="Z847" s="1" t="n">
        <f aca="false">IF(AND($M847=1,对接源_01水果!$D847="原料入库"),1,0)</f>
        <v>0</v>
      </c>
      <c r="AA847" s="1" t="n">
        <f aca="false">N(AA846)+$Z847</f>
        <v>30</v>
      </c>
      <c r="AB847" s="1" t="n">
        <f aca="false">IF(AND($M847=1,LEFT(对接源_01水果!$D847,4)="原料出库"),1,0)</f>
        <v>0</v>
      </c>
      <c r="AC847" s="1" t="n">
        <f aca="false">N(AC846)+$AB847</f>
        <v>19</v>
      </c>
      <c r="AD847" s="1" t="n">
        <f aca="false">IF(AND($M847=1,LEFT(对接源_01水果!$D847,4)="成品出库"),1,0)</f>
        <v>0</v>
      </c>
      <c r="AE847" s="1" t="n">
        <f aca="false">N(AE846)+$AD847</f>
        <v>38</v>
      </c>
      <c r="AF847" s="1" t="n">
        <f aca="false">IF(AND($N847=1,AND(LEFT(对接源_01水果!$D847,4)="包装物料",N(对接源_01水果!$K847)&lt;&gt;0)),1,0)</f>
        <v>0</v>
      </c>
      <c r="AG847" s="90" t="str">
        <f aca="false">IF(对接源_01水果!$AC847="","",对接源_01水果!$AC847)</f>
        <v/>
      </c>
      <c r="AH847" s="1" t="n">
        <f aca="false">IF(AND($N847=1,AND(LEFT(对接源_01水果!$D847,3)="周转筐",N(对接源_01水果!$K847)&lt;&gt;0)),1,0)</f>
        <v>0</v>
      </c>
      <c r="AI847" s="90" t="n">
        <f aca="false">IF(AG847="",0,IF(MATCH(AG847,$AG$4:$AG$1203,0)=ROW()-3,1,0))</f>
        <v>0</v>
      </c>
      <c r="AJ847" s="90" t="n">
        <f aca="false">N(AJ846)+AI847</f>
        <v>4</v>
      </c>
      <c r="AK847" s="1" t="n">
        <f aca="false">N(AK846)+$AJ847</f>
        <v>2248</v>
      </c>
    </row>
    <row r="848" customFormat="false" ht="13.5" hidden="false" customHeight="false" outlineLevel="0" collapsed="false">
      <c r="A848" s="1" t="str">
        <f aca="false">IF(对接源_01水果!$C848="","",对接源_01水果!$C848)</f>
        <v/>
      </c>
      <c r="B848" s="1" t="n">
        <f aca="false">IF(A848="",0,IF(MATCH(A848,$A$4:$A$2403,0)=ROW()-3,1,0))</f>
        <v>0</v>
      </c>
      <c r="C848" s="1" t="n">
        <f aca="false">N(C847)+B848</f>
        <v>13</v>
      </c>
      <c r="K848" s="1" t="n">
        <f aca="false">IF(OR($K$1="",对接源_01水果!$C848="",对接源_01水果!$C848&lt;&gt;$K$1,对接源_01水果!$B848=""),0,IF(OR(N(对接源_01水果!$B848)&lt;$K$2,N(对接源_01水果!$B848)&gt;$K$3),0,1))</f>
        <v>0</v>
      </c>
      <c r="L848" s="1" t="n">
        <f aca="false">IF(OR($L$1="",对接源_01水果!$C848="",对接源_01水果!$C848&lt;&gt;$L$1,对接源_01水果!$B848=""),0,IF(OR(N(对接源_01水果!$B848)&lt;$L$2,N(对接源_01水果!$B848)&gt;$L$3),0,1))</f>
        <v>0</v>
      </c>
      <c r="M848" s="1" t="n">
        <f aca="false">IF(OR($M$1="",对接源_01水果!$C848="",对接源_01水果!$C848&lt;&gt;$M$1,对接源_01水果!$B848=""),0,IF(OR(N(对接源_01水果!$B848)&lt;$M$2,N(对接源_01水果!$B848)&gt;$M$3),0,1))</f>
        <v>0</v>
      </c>
      <c r="N848" s="1" t="n">
        <f aca="false">IF(OR($N$1="",对接源_01水果!$C848="",对接源_01水果!$C848&lt;&gt;$N$1,对接源_01水果!$B848=""),0,IF(OR(N(对接源_01水果!$B848)&lt;$N$2,N(对接源_01水果!$B848)&gt;$N$3),0,1))</f>
        <v>0</v>
      </c>
      <c r="P848" s="1" t="n">
        <f aca="false">IF(AND($K848=1,AND(对接源_01水果!$X848="公司筐",N(对接源_01水果!$T848)&lt;&gt;0)),1,0)</f>
        <v>0</v>
      </c>
      <c r="Q848" s="1" t="n">
        <f aca="false">N(Q847)+$P848</f>
        <v>3</v>
      </c>
      <c r="R848" s="1" t="n">
        <f aca="false">IF(AND($K848=1,AND(对接源_01水果!$X848="公司筐",N(对接源_01水果!$U848)&lt;&gt;0)),1,0)</f>
        <v>0</v>
      </c>
      <c r="S848" s="1" t="n">
        <f aca="false">N(S847)+$R848</f>
        <v>0</v>
      </c>
      <c r="T848" s="1" t="n">
        <f aca="false">IF(AND($K848=1,AND(对接源_01水果!$X848="公司筐",N(对接源_01水果!$V848)&lt;&gt;0)),1,0)</f>
        <v>0</v>
      </c>
      <c r="U848" s="1" t="n">
        <f aca="false">N(U847)+$T848</f>
        <v>28</v>
      </c>
      <c r="V848" s="1" t="n">
        <f aca="false">IF(AND($L848=1,AND(对接源_01水果!$X848="自备筐",N(对接源_01水果!$V848)&lt;&gt;0)),1,0)</f>
        <v>0</v>
      </c>
      <c r="W848" s="1" t="n">
        <f aca="false">N(W847)+$V848</f>
        <v>7</v>
      </c>
      <c r="X848" s="1" t="n">
        <f aca="false">IF(AND($L848=1,AND(对接源_01水果!$X848="自备筐",N(对接源_01水果!$T848)&lt;&gt;0)),1,0)</f>
        <v>0</v>
      </c>
      <c r="Y848" s="1" t="n">
        <f aca="false">N(Y847)+$X848</f>
        <v>0</v>
      </c>
      <c r="Z848" s="1" t="n">
        <f aca="false">IF(AND($M848=1,对接源_01水果!$D848="原料入库"),1,0)</f>
        <v>0</v>
      </c>
      <c r="AA848" s="1" t="n">
        <f aca="false">N(AA847)+$Z848</f>
        <v>30</v>
      </c>
      <c r="AB848" s="1" t="n">
        <f aca="false">IF(AND($M848=1,LEFT(对接源_01水果!$D848,4)="原料出库"),1,0)</f>
        <v>0</v>
      </c>
      <c r="AC848" s="1" t="n">
        <f aca="false">N(AC847)+$AB848</f>
        <v>19</v>
      </c>
      <c r="AD848" s="1" t="n">
        <f aca="false">IF(AND($M848=1,LEFT(对接源_01水果!$D848,4)="成品出库"),1,0)</f>
        <v>0</v>
      </c>
      <c r="AE848" s="1" t="n">
        <f aca="false">N(AE847)+$AD848</f>
        <v>38</v>
      </c>
      <c r="AF848" s="1" t="n">
        <f aca="false">IF(AND($N848=1,AND(LEFT(对接源_01水果!$D848,4)="包装物料",N(对接源_01水果!$K848)&lt;&gt;0)),1,0)</f>
        <v>0</v>
      </c>
      <c r="AG848" s="90" t="str">
        <f aca="false">IF(对接源_01水果!$AC848="","",对接源_01水果!$AC848)</f>
        <v/>
      </c>
      <c r="AH848" s="1" t="n">
        <f aca="false">IF(AND($N848=1,AND(LEFT(对接源_01水果!$D848,3)="周转筐",N(对接源_01水果!$K848)&lt;&gt;0)),1,0)</f>
        <v>0</v>
      </c>
      <c r="AI848" s="90" t="n">
        <f aca="false">IF(AG848="",0,IF(MATCH(AG848,$AG$4:$AG$1203,0)=ROW()-3,1,0))</f>
        <v>0</v>
      </c>
      <c r="AJ848" s="90" t="n">
        <f aca="false">N(AJ847)+AI848</f>
        <v>4</v>
      </c>
      <c r="AK848" s="1" t="n">
        <f aca="false">N(AK847)+$AJ848</f>
        <v>2252</v>
      </c>
    </row>
    <row r="849" customFormat="false" ht="13.5" hidden="false" customHeight="false" outlineLevel="0" collapsed="false">
      <c r="A849" s="1" t="str">
        <f aca="false">IF(对接源_01水果!$C849="","",对接源_01水果!$C849)</f>
        <v/>
      </c>
      <c r="B849" s="1" t="n">
        <f aca="false">IF(A849="",0,IF(MATCH(A849,$A$4:$A$2403,0)=ROW()-3,1,0))</f>
        <v>0</v>
      </c>
      <c r="C849" s="1" t="n">
        <f aca="false">N(C848)+B849</f>
        <v>13</v>
      </c>
      <c r="K849" s="1" t="n">
        <f aca="false">IF(OR($K$1="",对接源_01水果!$C849="",对接源_01水果!$C849&lt;&gt;$K$1,对接源_01水果!$B849=""),0,IF(OR(N(对接源_01水果!$B849)&lt;$K$2,N(对接源_01水果!$B849)&gt;$K$3),0,1))</f>
        <v>0</v>
      </c>
      <c r="L849" s="1" t="n">
        <f aca="false">IF(OR($L$1="",对接源_01水果!$C849="",对接源_01水果!$C849&lt;&gt;$L$1,对接源_01水果!$B849=""),0,IF(OR(N(对接源_01水果!$B849)&lt;$L$2,N(对接源_01水果!$B849)&gt;$L$3),0,1))</f>
        <v>0</v>
      </c>
      <c r="M849" s="1" t="n">
        <f aca="false">IF(OR($M$1="",对接源_01水果!$C849="",对接源_01水果!$C849&lt;&gt;$M$1,对接源_01水果!$B849=""),0,IF(OR(N(对接源_01水果!$B849)&lt;$M$2,N(对接源_01水果!$B849)&gt;$M$3),0,1))</f>
        <v>0</v>
      </c>
      <c r="N849" s="1" t="n">
        <f aca="false">IF(OR($N$1="",对接源_01水果!$C849="",对接源_01水果!$C849&lt;&gt;$N$1,对接源_01水果!$B849=""),0,IF(OR(N(对接源_01水果!$B849)&lt;$N$2,N(对接源_01水果!$B849)&gt;$N$3),0,1))</f>
        <v>0</v>
      </c>
      <c r="P849" s="1" t="n">
        <f aca="false">IF(AND($K849=1,AND(对接源_01水果!$X849="公司筐",N(对接源_01水果!$T849)&lt;&gt;0)),1,0)</f>
        <v>0</v>
      </c>
      <c r="Q849" s="1" t="n">
        <f aca="false">N(Q848)+$P849</f>
        <v>3</v>
      </c>
      <c r="R849" s="1" t="n">
        <f aca="false">IF(AND($K849=1,AND(对接源_01水果!$X849="公司筐",N(对接源_01水果!$U849)&lt;&gt;0)),1,0)</f>
        <v>0</v>
      </c>
      <c r="S849" s="1" t="n">
        <f aca="false">N(S848)+$R849</f>
        <v>0</v>
      </c>
      <c r="T849" s="1" t="n">
        <f aca="false">IF(AND($K849=1,AND(对接源_01水果!$X849="公司筐",N(对接源_01水果!$V849)&lt;&gt;0)),1,0)</f>
        <v>0</v>
      </c>
      <c r="U849" s="1" t="n">
        <f aca="false">N(U848)+$T849</f>
        <v>28</v>
      </c>
      <c r="V849" s="1" t="n">
        <f aca="false">IF(AND($L849=1,AND(对接源_01水果!$X849="自备筐",N(对接源_01水果!$V849)&lt;&gt;0)),1,0)</f>
        <v>0</v>
      </c>
      <c r="W849" s="1" t="n">
        <f aca="false">N(W848)+$V849</f>
        <v>7</v>
      </c>
      <c r="X849" s="1" t="n">
        <f aca="false">IF(AND($L849=1,AND(对接源_01水果!$X849="自备筐",N(对接源_01水果!$T849)&lt;&gt;0)),1,0)</f>
        <v>0</v>
      </c>
      <c r="Y849" s="1" t="n">
        <f aca="false">N(Y848)+$X849</f>
        <v>0</v>
      </c>
      <c r="Z849" s="1" t="n">
        <f aca="false">IF(AND($M849=1,对接源_01水果!$D849="原料入库"),1,0)</f>
        <v>0</v>
      </c>
      <c r="AA849" s="1" t="n">
        <f aca="false">N(AA848)+$Z849</f>
        <v>30</v>
      </c>
      <c r="AB849" s="1" t="n">
        <f aca="false">IF(AND($M849=1,LEFT(对接源_01水果!$D849,4)="原料出库"),1,0)</f>
        <v>0</v>
      </c>
      <c r="AC849" s="1" t="n">
        <f aca="false">N(AC848)+$AB849</f>
        <v>19</v>
      </c>
      <c r="AD849" s="1" t="n">
        <f aca="false">IF(AND($M849=1,LEFT(对接源_01水果!$D849,4)="成品出库"),1,0)</f>
        <v>0</v>
      </c>
      <c r="AE849" s="1" t="n">
        <f aca="false">N(AE848)+$AD849</f>
        <v>38</v>
      </c>
      <c r="AF849" s="1" t="n">
        <f aca="false">IF(AND($N849=1,AND(LEFT(对接源_01水果!$D849,4)="包装物料",N(对接源_01水果!$K849)&lt;&gt;0)),1,0)</f>
        <v>0</v>
      </c>
      <c r="AG849" s="90" t="str">
        <f aca="false">IF(对接源_01水果!$AC849="","",对接源_01水果!$AC849)</f>
        <v/>
      </c>
      <c r="AH849" s="1" t="n">
        <f aca="false">IF(AND($N849=1,AND(LEFT(对接源_01水果!$D849,3)="周转筐",N(对接源_01水果!$K849)&lt;&gt;0)),1,0)</f>
        <v>0</v>
      </c>
      <c r="AI849" s="90" t="n">
        <f aca="false">IF(AG849="",0,IF(MATCH(AG849,$AG$4:$AG$1203,0)=ROW()-3,1,0))</f>
        <v>0</v>
      </c>
      <c r="AJ849" s="90" t="n">
        <f aca="false">N(AJ848)+AI849</f>
        <v>4</v>
      </c>
      <c r="AK849" s="1" t="n">
        <f aca="false">N(AK848)+$AJ849</f>
        <v>2256</v>
      </c>
    </row>
    <row r="850" customFormat="false" ht="13.5" hidden="false" customHeight="false" outlineLevel="0" collapsed="false">
      <c r="A850" s="1" t="str">
        <f aca="false">IF(对接源_01水果!$C850="","",对接源_01水果!$C850)</f>
        <v/>
      </c>
      <c r="B850" s="1" t="n">
        <f aca="false">IF(A850="",0,IF(MATCH(A850,$A$4:$A$2403,0)=ROW()-3,1,0))</f>
        <v>0</v>
      </c>
      <c r="C850" s="1" t="n">
        <f aca="false">N(C849)+B850</f>
        <v>13</v>
      </c>
      <c r="K850" s="1" t="n">
        <f aca="false">IF(OR($K$1="",对接源_01水果!$C850="",对接源_01水果!$C850&lt;&gt;$K$1,对接源_01水果!$B850=""),0,IF(OR(N(对接源_01水果!$B850)&lt;$K$2,N(对接源_01水果!$B850)&gt;$K$3),0,1))</f>
        <v>0</v>
      </c>
      <c r="L850" s="1" t="n">
        <f aca="false">IF(OR($L$1="",对接源_01水果!$C850="",对接源_01水果!$C850&lt;&gt;$L$1,对接源_01水果!$B850=""),0,IF(OR(N(对接源_01水果!$B850)&lt;$L$2,N(对接源_01水果!$B850)&gt;$L$3),0,1))</f>
        <v>0</v>
      </c>
      <c r="M850" s="1" t="n">
        <f aca="false">IF(OR($M$1="",对接源_01水果!$C850="",对接源_01水果!$C850&lt;&gt;$M$1,对接源_01水果!$B850=""),0,IF(OR(N(对接源_01水果!$B850)&lt;$M$2,N(对接源_01水果!$B850)&gt;$M$3),0,1))</f>
        <v>0</v>
      </c>
      <c r="N850" s="1" t="n">
        <f aca="false">IF(OR($N$1="",对接源_01水果!$C850="",对接源_01水果!$C850&lt;&gt;$N$1,对接源_01水果!$B850=""),0,IF(OR(N(对接源_01水果!$B850)&lt;$N$2,N(对接源_01水果!$B850)&gt;$N$3),0,1))</f>
        <v>0</v>
      </c>
      <c r="P850" s="1" t="n">
        <f aca="false">IF(AND($K850=1,AND(对接源_01水果!$X850="公司筐",N(对接源_01水果!$T850)&lt;&gt;0)),1,0)</f>
        <v>0</v>
      </c>
      <c r="Q850" s="1" t="n">
        <f aca="false">N(Q849)+$P850</f>
        <v>3</v>
      </c>
      <c r="R850" s="1" t="n">
        <f aca="false">IF(AND($K850=1,AND(对接源_01水果!$X850="公司筐",N(对接源_01水果!$U850)&lt;&gt;0)),1,0)</f>
        <v>0</v>
      </c>
      <c r="S850" s="1" t="n">
        <f aca="false">N(S849)+$R850</f>
        <v>0</v>
      </c>
      <c r="T850" s="1" t="n">
        <f aca="false">IF(AND($K850=1,AND(对接源_01水果!$X850="公司筐",N(对接源_01水果!$V850)&lt;&gt;0)),1,0)</f>
        <v>0</v>
      </c>
      <c r="U850" s="1" t="n">
        <f aca="false">N(U849)+$T850</f>
        <v>28</v>
      </c>
      <c r="V850" s="1" t="n">
        <f aca="false">IF(AND($L850=1,AND(对接源_01水果!$X850="自备筐",N(对接源_01水果!$V850)&lt;&gt;0)),1,0)</f>
        <v>0</v>
      </c>
      <c r="W850" s="1" t="n">
        <f aca="false">N(W849)+$V850</f>
        <v>7</v>
      </c>
      <c r="X850" s="1" t="n">
        <f aca="false">IF(AND($L850=1,AND(对接源_01水果!$X850="自备筐",N(对接源_01水果!$T850)&lt;&gt;0)),1,0)</f>
        <v>0</v>
      </c>
      <c r="Y850" s="1" t="n">
        <f aca="false">N(Y849)+$X850</f>
        <v>0</v>
      </c>
      <c r="Z850" s="1" t="n">
        <f aca="false">IF(AND($M850=1,对接源_01水果!$D850="原料入库"),1,0)</f>
        <v>0</v>
      </c>
      <c r="AA850" s="1" t="n">
        <f aca="false">N(AA849)+$Z850</f>
        <v>30</v>
      </c>
      <c r="AB850" s="1" t="n">
        <f aca="false">IF(AND($M850=1,LEFT(对接源_01水果!$D850,4)="原料出库"),1,0)</f>
        <v>0</v>
      </c>
      <c r="AC850" s="1" t="n">
        <f aca="false">N(AC849)+$AB850</f>
        <v>19</v>
      </c>
      <c r="AD850" s="1" t="n">
        <f aca="false">IF(AND($M850=1,LEFT(对接源_01水果!$D850,4)="成品出库"),1,0)</f>
        <v>0</v>
      </c>
      <c r="AE850" s="1" t="n">
        <f aca="false">N(AE849)+$AD850</f>
        <v>38</v>
      </c>
      <c r="AF850" s="1" t="n">
        <f aca="false">IF(AND($N850=1,AND(LEFT(对接源_01水果!$D850,4)="包装物料",N(对接源_01水果!$K850)&lt;&gt;0)),1,0)</f>
        <v>0</v>
      </c>
      <c r="AG850" s="90" t="str">
        <f aca="false">IF(对接源_01水果!$AC850="","",对接源_01水果!$AC850)</f>
        <v/>
      </c>
      <c r="AH850" s="1" t="n">
        <f aca="false">IF(AND($N850=1,AND(LEFT(对接源_01水果!$D850,3)="周转筐",N(对接源_01水果!$K850)&lt;&gt;0)),1,0)</f>
        <v>0</v>
      </c>
      <c r="AI850" s="90" t="n">
        <f aca="false">IF(AG850="",0,IF(MATCH(AG850,$AG$4:$AG$1203,0)=ROW()-3,1,0))</f>
        <v>0</v>
      </c>
      <c r="AJ850" s="90" t="n">
        <f aca="false">N(AJ849)+AI850</f>
        <v>4</v>
      </c>
      <c r="AK850" s="1" t="n">
        <f aca="false">N(AK849)+$AJ850</f>
        <v>2260</v>
      </c>
    </row>
    <row r="851" customFormat="false" ht="13.5" hidden="false" customHeight="false" outlineLevel="0" collapsed="false">
      <c r="A851" s="1" t="str">
        <f aca="false">IF(对接源_01水果!$C851="","",对接源_01水果!$C851)</f>
        <v/>
      </c>
      <c r="B851" s="1" t="n">
        <f aca="false">IF(A851="",0,IF(MATCH(A851,$A$4:$A$2403,0)=ROW()-3,1,0))</f>
        <v>0</v>
      </c>
      <c r="C851" s="1" t="n">
        <f aca="false">N(C850)+B851</f>
        <v>13</v>
      </c>
      <c r="K851" s="1" t="n">
        <f aca="false">IF(OR($K$1="",对接源_01水果!$C851="",对接源_01水果!$C851&lt;&gt;$K$1,对接源_01水果!$B851=""),0,IF(OR(N(对接源_01水果!$B851)&lt;$K$2,N(对接源_01水果!$B851)&gt;$K$3),0,1))</f>
        <v>0</v>
      </c>
      <c r="L851" s="1" t="n">
        <f aca="false">IF(OR($L$1="",对接源_01水果!$C851="",对接源_01水果!$C851&lt;&gt;$L$1,对接源_01水果!$B851=""),0,IF(OR(N(对接源_01水果!$B851)&lt;$L$2,N(对接源_01水果!$B851)&gt;$L$3),0,1))</f>
        <v>0</v>
      </c>
      <c r="M851" s="1" t="n">
        <f aca="false">IF(OR($M$1="",对接源_01水果!$C851="",对接源_01水果!$C851&lt;&gt;$M$1,对接源_01水果!$B851=""),0,IF(OR(N(对接源_01水果!$B851)&lt;$M$2,N(对接源_01水果!$B851)&gt;$M$3),0,1))</f>
        <v>0</v>
      </c>
      <c r="N851" s="1" t="n">
        <f aca="false">IF(OR($N$1="",对接源_01水果!$C851="",对接源_01水果!$C851&lt;&gt;$N$1,对接源_01水果!$B851=""),0,IF(OR(N(对接源_01水果!$B851)&lt;$N$2,N(对接源_01水果!$B851)&gt;$N$3),0,1))</f>
        <v>0</v>
      </c>
      <c r="P851" s="1" t="n">
        <f aca="false">IF(AND($K851=1,AND(对接源_01水果!$X851="公司筐",N(对接源_01水果!$T851)&lt;&gt;0)),1,0)</f>
        <v>0</v>
      </c>
      <c r="Q851" s="1" t="n">
        <f aca="false">N(Q850)+$P851</f>
        <v>3</v>
      </c>
      <c r="R851" s="1" t="n">
        <f aca="false">IF(AND($K851=1,AND(对接源_01水果!$X851="公司筐",N(对接源_01水果!$U851)&lt;&gt;0)),1,0)</f>
        <v>0</v>
      </c>
      <c r="S851" s="1" t="n">
        <f aca="false">N(S850)+$R851</f>
        <v>0</v>
      </c>
      <c r="T851" s="1" t="n">
        <f aca="false">IF(AND($K851=1,AND(对接源_01水果!$X851="公司筐",N(对接源_01水果!$V851)&lt;&gt;0)),1,0)</f>
        <v>0</v>
      </c>
      <c r="U851" s="1" t="n">
        <f aca="false">N(U850)+$T851</f>
        <v>28</v>
      </c>
      <c r="V851" s="1" t="n">
        <f aca="false">IF(AND($L851=1,AND(对接源_01水果!$X851="自备筐",N(对接源_01水果!$V851)&lt;&gt;0)),1,0)</f>
        <v>0</v>
      </c>
      <c r="W851" s="1" t="n">
        <f aca="false">N(W850)+$V851</f>
        <v>7</v>
      </c>
      <c r="X851" s="1" t="n">
        <f aca="false">IF(AND($L851=1,AND(对接源_01水果!$X851="自备筐",N(对接源_01水果!$T851)&lt;&gt;0)),1,0)</f>
        <v>0</v>
      </c>
      <c r="Y851" s="1" t="n">
        <f aca="false">N(Y850)+$X851</f>
        <v>0</v>
      </c>
      <c r="Z851" s="1" t="n">
        <f aca="false">IF(AND($M851=1,对接源_01水果!$D851="原料入库"),1,0)</f>
        <v>0</v>
      </c>
      <c r="AA851" s="1" t="n">
        <f aca="false">N(AA850)+$Z851</f>
        <v>30</v>
      </c>
      <c r="AB851" s="1" t="n">
        <f aca="false">IF(AND($M851=1,LEFT(对接源_01水果!$D851,4)="原料出库"),1,0)</f>
        <v>0</v>
      </c>
      <c r="AC851" s="1" t="n">
        <f aca="false">N(AC850)+$AB851</f>
        <v>19</v>
      </c>
      <c r="AD851" s="1" t="n">
        <f aca="false">IF(AND($M851=1,LEFT(对接源_01水果!$D851,4)="成品出库"),1,0)</f>
        <v>0</v>
      </c>
      <c r="AE851" s="1" t="n">
        <f aca="false">N(AE850)+$AD851</f>
        <v>38</v>
      </c>
      <c r="AF851" s="1" t="n">
        <f aca="false">IF(AND($N851=1,AND(LEFT(对接源_01水果!$D851,4)="包装物料",N(对接源_01水果!$K851)&lt;&gt;0)),1,0)</f>
        <v>0</v>
      </c>
      <c r="AG851" s="90" t="str">
        <f aca="false">IF(对接源_01水果!$AC851="","",对接源_01水果!$AC851)</f>
        <v/>
      </c>
      <c r="AH851" s="1" t="n">
        <f aca="false">IF(AND($N851=1,AND(LEFT(对接源_01水果!$D851,3)="周转筐",N(对接源_01水果!$K851)&lt;&gt;0)),1,0)</f>
        <v>0</v>
      </c>
      <c r="AI851" s="90" t="n">
        <f aca="false">IF(AG851="",0,IF(MATCH(AG851,$AG$4:$AG$1203,0)=ROW()-3,1,0))</f>
        <v>0</v>
      </c>
      <c r="AJ851" s="90" t="n">
        <f aca="false">N(AJ850)+AI851</f>
        <v>4</v>
      </c>
      <c r="AK851" s="1" t="n">
        <f aca="false">N(AK850)+$AJ851</f>
        <v>2264</v>
      </c>
    </row>
    <row r="852" customFormat="false" ht="13.5" hidden="false" customHeight="false" outlineLevel="0" collapsed="false">
      <c r="A852" s="1" t="str">
        <f aca="false">IF(对接源_01水果!$C852="","",对接源_01水果!$C852)</f>
        <v/>
      </c>
      <c r="B852" s="1" t="n">
        <f aca="false">IF(A852="",0,IF(MATCH(A852,$A$4:$A$2403,0)=ROW()-3,1,0))</f>
        <v>0</v>
      </c>
      <c r="C852" s="1" t="n">
        <f aca="false">N(C851)+B852</f>
        <v>13</v>
      </c>
      <c r="K852" s="1" t="n">
        <f aca="false">IF(OR($K$1="",对接源_01水果!$C852="",对接源_01水果!$C852&lt;&gt;$K$1,对接源_01水果!$B852=""),0,IF(OR(N(对接源_01水果!$B852)&lt;$K$2,N(对接源_01水果!$B852)&gt;$K$3),0,1))</f>
        <v>0</v>
      </c>
      <c r="L852" s="1" t="n">
        <f aca="false">IF(OR($L$1="",对接源_01水果!$C852="",对接源_01水果!$C852&lt;&gt;$L$1,对接源_01水果!$B852=""),0,IF(OR(N(对接源_01水果!$B852)&lt;$L$2,N(对接源_01水果!$B852)&gt;$L$3),0,1))</f>
        <v>0</v>
      </c>
      <c r="M852" s="1" t="n">
        <f aca="false">IF(OR($M$1="",对接源_01水果!$C852="",对接源_01水果!$C852&lt;&gt;$M$1,对接源_01水果!$B852=""),0,IF(OR(N(对接源_01水果!$B852)&lt;$M$2,N(对接源_01水果!$B852)&gt;$M$3),0,1))</f>
        <v>0</v>
      </c>
      <c r="N852" s="1" t="n">
        <f aca="false">IF(OR($N$1="",对接源_01水果!$C852="",对接源_01水果!$C852&lt;&gt;$N$1,对接源_01水果!$B852=""),0,IF(OR(N(对接源_01水果!$B852)&lt;$N$2,N(对接源_01水果!$B852)&gt;$N$3),0,1))</f>
        <v>0</v>
      </c>
      <c r="P852" s="1" t="n">
        <f aca="false">IF(AND($K852=1,AND(对接源_01水果!$X852="公司筐",N(对接源_01水果!$T852)&lt;&gt;0)),1,0)</f>
        <v>0</v>
      </c>
      <c r="Q852" s="1" t="n">
        <f aca="false">N(Q851)+$P852</f>
        <v>3</v>
      </c>
      <c r="R852" s="1" t="n">
        <f aca="false">IF(AND($K852=1,AND(对接源_01水果!$X852="公司筐",N(对接源_01水果!$U852)&lt;&gt;0)),1,0)</f>
        <v>0</v>
      </c>
      <c r="S852" s="1" t="n">
        <f aca="false">N(S851)+$R852</f>
        <v>0</v>
      </c>
      <c r="T852" s="1" t="n">
        <f aca="false">IF(AND($K852=1,AND(对接源_01水果!$X852="公司筐",N(对接源_01水果!$V852)&lt;&gt;0)),1,0)</f>
        <v>0</v>
      </c>
      <c r="U852" s="1" t="n">
        <f aca="false">N(U851)+$T852</f>
        <v>28</v>
      </c>
      <c r="V852" s="1" t="n">
        <f aca="false">IF(AND($L852=1,AND(对接源_01水果!$X852="自备筐",N(对接源_01水果!$V852)&lt;&gt;0)),1,0)</f>
        <v>0</v>
      </c>
      <c r="W852" s="1" t="n">
        <f aca="false">N(W851)+$V852</f>
        <v>7</v>
      </c>
      <c r="X852" s="1" t="n">
        <f aca="false">IF(AND($L852=1,AND(对接源_01水果!$X852="自备筐",N(对接源_01水果!$T852)&lt;&gt;0)),1,0)</f>
        <v>0</v>
      </c>
      <c r="Y852" s="1" t="n">
        <f aca="false">N(Y851)+$X852</f>
        <v>0</v>
      </c>
      <c r="Z852" s="1" t="n">
        <f aca="false">IF(AND($M852=1,对接源_01水果!$D852="原料入库"),1,0)</f>
        <v>0</v>
      </c>
      <c r="AA852" s="1" t="n">
        <f aca="false">N(AA851)+$Z852</f>
        <v>30</v>
      </c>
      <c r="AB852" s="1" t="n">
        <f aca="false">IF(AND($M852=1,LEFT(对接源_01水果!$D852,4)="原料出库"),1,0)</f>
        <v>0</v>
      </c>
      <c r="AC852" s="1" t="n">
        <f aca="false">N(AC851)+$AB852</f>
        <v>19</v>
      </c>
      <c r="AD852" s="1" t="n">
        <f aca="false">IF(AND($M852=1,LEFT(对接源_01水果!$D852,4)="成品出库"),1,0)</f>
        <v>0</v>
      </c>
      <c r="AE852" s="1" t="n">
        <f aca="false">N(AE851)+$AD852</f>
        <v>38</v>
      </c>
      <c r="AF852" s="1" t="n">
        <f aca="false">IF(AND($N852=1,AND(LEFT(对接源_01水果!$D852,4)="包装物料",N(对接源_01水果!$K852)&lt;&gt;0)),1,0)</f>
        <v>0</v>
      </c>
      <c r="AG852" s="90" t="str">
        <f aca="false">IF(对接源_01水果!$AC852="","",对接源_01水果!$AC852)</f>
        <v/>
      </c>
      <c r="AH852" s="1" t="n">
        <f aca="false">IF(AND($N852=1,AND(LEFT(对接源_01水果!$D852,3)="周转筐",N(对接源_01水果!$K852)&lt;&gt;0)),1,0)</f>
        <v>0</v>
      </c>
      <c r="AI852" s="90" t="n">
        <f aca="false">IF(AG852="",0,IF(MATCH(AG852,$AG$4:$AG$1203,0)=ROW()-3,1,0))</f>
        <v>0</v>
      </c>
      <c r="AJ852" s="90" t="n">
        <f aca="false">N(AJ851)+AI852</f>
        <v>4</v>
      </c>
      <c r="AK852" s="1" t="n">
        <f aca="false">N(AK851)+$AJ852</f>
        <v>2268</v>
      </c>
    </row>
    <row r="853" customFormat="false" ht="13.5" hidden="false" customHeight="false" outlineLevel="0" collapsed="false">
      <c r="A853" s="1" t="str">
        <f aca="false">IF(对接源_01水果!$C853="","",对接源_01水果!$C853)</f>
        <v/>
      </c>
      <c r="B853" s="1" t="n">
        <f aca="false">IF(A853="",0,IF(MATCH(A853,$A$4:$A$2403,0)=ROW()-3,1,0))</f>
        <v>0</v>
      </c>
      <c r="C853" s="1" t="n">
        <f aca="false">N(C852)+B853</f>
        <v>13</v>
      </c>
      <c r="K853" s="1" t="n">
        <f aca="false">IF(OR($K$1="",对接源_01水果!$C853="",对接源_01水果!$C853&lt;&gt;$K$1,对接源_01水果!$B853=""),0,IF(OR(N(对接源_01水果!$B853)&lt;$K$2,N(对接源_01水果!$B853)&gt;$K$3),0,1))</f>
        <v>0</v>
      </c>
      <c r="L853" s="1" t="n">
        <f aca="false">IF(OR($L$1="",对接源_01水果!$C853="",对接源_01水果!$C853&lt;&gt;$L$1,对接源_01水果!$B853=""),0,IF(OR(N(对接源_01水果!$B853)&lt;$L$2,N(对接源_01水果!$B853)&gt;$L$3),0,1))</f>
        <v>0</v>
      </c>
      <c r="M853" s="1" t="n">
        <f aca="false">IF(OR($M$1="",对接源_01水果!$C853="",对接源_01水果!$C853&lt;&gt;$M$1,对接源_01水果!$B853=""),0,IF(OR(N(对接源_01水果!$B853)&lt;$M$2,N(对接源_01水果!$B853)&gt;$M$3),0,1))</f>
        <v>0</v>
      </c>
      <c r="N853" s="1" t="n">
        <f aca="false">IF(OR($N$1="",对接源_01水果!$C853="",对接源_01水果!$C853&lt;&gt;$N$1,对接源_01水果!$B853=""),0,IF(OR(N(对接源_01水果!$B853)&lt;$N$2,N(对接源_01水果!$B853)&gt;$N$3),0,1))</f>
        <v>0</v>
      </c>
      <c r="P853" s="1" t="n">
        <f aca="false">IF(AND($K853=1,AND(对接源_01水果!$X853="公司筐",N(对接源_01水果!$T853)&lt;&gt;0)),1,0)</f>
        <v>0</v>
      </c>
      <c r="Q853" s="1" t="n">
        <f aca="false">N(Q852)+$P853</f>
        <v>3</v>
      </c>
      <c r="R853" s="1" t="n">
        <f aca="false">IF(AND($K853=1,AND(对接源_01水果!$X853="公司筐",N(对接源_01水果!$U853)&lt;&gt;0)),1,0)</f>
        <v>0</v>
      </c>
      <c r="S853" s="1" t="n">
        <f aca="false">N(S852)+$R853</f>
        <v>0</v>
      </c>
      <c r="T853" s="1" t="n">
        <f aca="false">IF(AND($K853=1,AND(对接源_01水果!$X853="公司筐",N(对接源_01水果!$V853)&lt;&gt;0)),1,0)</f>
        <v>0</v>
      </c>
      <c r="U853" s="1" t="n">
        <f aca="false">N(U852)+$T853</f>
        <v>28</v>
      </c>
      <c r="V853" s="1" t="n">
        <f aca="false">IF(AND($L853=1,AND(对接源_01水果!$X853="自备筐",N(对接源_01水果!$V853)&lt;&gt;0)),1,0)</f>
        <v>0</v>
      </c>
      <c r="W853" s="1" t="n">
        <f aca="false">N(W852)+$V853</f>
        <v>7</v>
      </c>
      <c r="X853" s="1" t="n">
        <f aca="false">IF(AND($L853=1,AND(对接源_01水果!$X853="自备筐",N(对接源_01水果!$T853)&lt;&gt;0)),1,0)</f>
        <v>0</v>
      </c>
      <c r="Y853" s="1" t="n">
        <f aca="false">N(Y852)+$X853</f>
        <v>0</v>
      </c>
      <c r="Z853" s="1" t="n">
        <f aca="false">IF(AND($M853=1,对接源_01水果!$D853="原料入库"),1,0)</f>
        <v>0</v>
      </c>
      <c r="AA853" s="1" t="n">
        <f aca="false">N(AA852)+$Z853</f>
        <v>30</v>
      </c>
      <c r="AB853" s="1" t="n">
        <f aca="false">IF(AND($M853=1,LEFT(对接源_01水果!$D853,4)="原料出库"),1,0)</f>
        <v>0</v>
      </c>
      <c r="AC853" s="1" t="n">
        <f aca="false">N(AC852)+$AB853</f>
        <v>19</v>
      </c>
      <c r="AD853" s="1" t="n">
        <f aca="false">IF(AND($M853=1,LEFT(对接源_01水果!$D853,4)="成品出库"),1,0)</f>
        <v>0</v>
      </c>
      <c r="AE853" s="1" t="n">
        <f aca="false">N(AE852)+$AD853</f>
        <v>38</v>
      </c>
      <c r="AF853" s="1" t="n">
        <f aca="false">IF(AND($N853=1,AND(LEFT(对接源_01水果!$D853,4)="包装物料",N(对接源_01水果!$K853)&lt;&gt;0)),1,0)</f>
        <v>0</v>
      </c>
      <c r="AG853" s="90" t="str">
        <f aca="false">IF(对接源_01水果!$AC853="","",对接源_01水果!$AC853)</f>
        <v/>
      </c>
      <c r="AH853" s="1" t="n">
        <f aca="false">IF(AND($N853=1,AND(LEFT(对接源_01水果!$D853,3)="周转筐",N(对接源_01水果!$K853)&lt;&gt;0)),1,0)</f>
        <v>0</v>
      </c>
      <c r="AI853" s="90" t="n">
        <f aca="false">IF(AG853="",0,IF(MATCH(AG853,$AG$4:$AG$1203,0)=ROW()-3,1,0))</f>
        <v>0</v>
      </c>
      <c r="AJ853" s="90" t="n">
        <f aca="false">N(AJ852)+AI853</f>
        <v>4</v>
      </c>
      <c r="AK853" s="1" t="n">
        <f aca="false">N(AK852)+$AJ853</f>
        <v>2272</v>
      </c>
    </row>
    <row r="854" customFormat="false" ht="13.5" hidden="false" customHeight="false" outlineLevel="0" collapsed="false">
      <c r="A854" s="1" t="str">
        <f aca="false">IF(对接源_01水果!$C854="","",对接源_01水果!$C854)</f>
        <v/>
      </c>
      <c r="B854" s="1" t="n">
        <f aca="false">IF(A854="",0,IF(MATCH(A854,$A$4:$A$2403,0)=ROW()-3,1,0))</f>
        <v>0</v>
      </c>
      <c r="C854" s="1" t="n">
        <f aca="false">N(C853)+B854</f>
        <v>13</v>
      </c>
      <c r="K854" s="1" t="n">
        <f aca="false">IF(OR($K$1="",对接源_01水果!$C854="",对接源_01水果!$C854&lt;&gt;$K$1,对接源_01水果!$B854=""),0,IF(OR(N(对接源_01水果!$B854)&lt;$K$2,N(对接源_01水果!$B854)&gt;$K$3),0,1))</f>
        <v>0</v>
      </c>
      <c r="L854" s="1" t="n">
        <f aca="false">IF(OR($L$1="",对接源_01水果!$C854="",对接源_01水果!$C854&lt;&gt;$L$1,对接源_01水果!$B854=""),0,IF(OR(N(对接源_01水果!$B854)&lt;$L$2,N(对接源_01水果!$B854)&gt;$L$3),0,1))</f>
        <v>0</v>
      </c>
      <c r="M854" s="1" t="n">
        <f aca="false">IF(OR($M$1="",对接源_01水果!$C854="",对接源_01水果!$C854&lt;&gt;$M$1,对接源_01水果!$B854=""),0,IF(OR(N(对接源_01水果!$B854)&lt;$M$2,N(对接源_01水果!$B854)&gt;$M$3),0,1))</f>
        <v>0</v>
      </c>
      <c r="N854" s="1" t="n">
        <f aca="false">IF(OR($N$1="",对接源_01水果!$C854="",对接源_01水果!$C854&lt;&gt;$N$1,对接源_01水果!$B854=""),0,IF(OR(N(对接源_01水果!$B854)&lt;$N$2,N(对接源_01水果!$B854)&gt;$N$3),0,1))</f>
        <v>0</v>
      </c>
      <c r="P854" s="1" t="n">
        <f aca="false">IF(AND($K854=1,AND(对接源_01水果!$X854="公司筐",N(对接源_01水果!$T854)&lt;&gt;0)),1,0)</f>
        <v>0</v>
      </c>
      <c r="Q854" s="1" t="n">
        <f aca="false">N(Q853)+$P854</f>
        <v>3</v>
      </c>
      <c r="R854" s="1" t="n">
        <f aca="false">IF(AND($K854=1,AND(对接源_01水果!$X854="公司筐",N(对接源_01水果!$U854)&lt;&gt;0)),1,0)</f>
        <v>0</v>
      </c>
      <c r="S854" s="1" t="n">
        <f aca="false">N(S853)+$R854</f>
        <v>0</v>
      </c>
      <c r="T854" s="1" t="n">
        <f aca="false">IF(AND($K854=1,AND(对接源_01水果!$X854="公司筐",N(对接源_01水果!$V854)&lt;&gt;0)),1,0)</f>
        <v>0</v>
      </c>
      <c r="U854" s="1" t="n">
        <f aca="false">N(U853)+$T854</f>
        <v>28</v>
      </c>
      <c r="V854" s="1" t="n">
        <f aca="false">IF(AND($L854=1,AND(对接源_01水果!$X854="自备筐",N(对接源_01水果!$V854)&lt;&gt;0)),1,0)</f>
        <v>0</v>
      </c>
      <c r="W854" s="1" t="n">
        <f aca="false">N(W853)+$V854</f>
        <v>7</v>
      </c>
      <c r="X854" s="1" t="n">
        <f aca="false">IF(AND($L854=1,AND(对接源_01水果!$X854="自备筐",N(对接源_01水果!$T854)&lt;&gt;0)),1,0)</f>
        <v>0</v>
      </c>
      <c r="Y854" s="1" t="n">
        <f aca="false">N(Y853)+$X854</f>
        <v>0</v>
      </c>
      <c r="Z854" s="1" t="n">
        <f aca="false">IF(AND($M854=1,对接源_01水果!$D854="原料入库"),1,0)</f>
        <v>0</v>
      </c>
      <c r="AA854" s="1" t="n">
        <f aca="false">N(AA853)+$Z854</f>
        <v>30</v>
      </c>
      <c r="AB854" s="1" t="n">
        <f aca="false">IF(AND($M854=1,LEFT(对接源_01水果!$D854,4)="原料出库"),1,0)</f>
        <v>0</v>
      </c>
      <c r="AC854" s="1" t="n">
        <f aca="false">N(AC853)+$AB854</f>
        <v>19</v>
      </c>
      <c r="AD854" s="1" t="n">
        <f aca="false">IF(AND($M854=1,LEFT(对接源_01水果!$D854,4)="成品出库"),1,0)</f>
        <v>0</v>
      </c>
      <c r="AE854" s="1" t="n">
        <f aca="false">N(AE853)+$AD854</f>
        <v>38</v>
      </c>
      <c r="AF854" s="1" t="n">
        <f aca="false">IF(AND($N854=1,AND(LEFT(对接源_01水果!$D854,4)="包装物料",N(对接源_01水果!$K854)&lt;&gt;0)),1,0)</f>
        <v>0</v>
      </c>
      <c r="AG854" s="90" t="str">
        <f aca="false">IF(对接源_01水果!$AC854="","",对接源_01水果!$AC854)</f>
        <v/>
      </c>
      <c r="AH854" s="1" t="n">
        <f aca="false">IF(AND($N854=1,AND(LEFT(对接源_01水果!$D854,3)="周转筐",N(对接源_01水果!$K854)&lt;&gt;0)),1,0)</f>
        <v>0</v>
      </c>
      <c r="AI854" s="90" t="n">
        <f aca="false">IF(AG854="",0,IF(MATCH(AG854,$AG$4:$AG$1203,0)=ROW()-3,1,0))</f>
        <v>0</v>
      </c>
      <c r="AJ854" s="90" t="n">
        <f aca="false">N(AJ853)+AI854</f>
        <v>4</v>
      </c>
      <c r="AK854" s="1" t="n">
        <f aca="false">N(AK853)+$AJ854</f>
        <v>2276</v>
      </c>
    </row>
    <row r="855" customFormat="false" ht="13.5" hidden="false" customHeight="false" outlineLevel="0" collapsed="false">
      <c r="A855" s="1" t="str">
        <f aca="false">IF(对接源_01水果!$C855="","",对接源_01水果!$C855)</f>
        <v/>
      </c>
      <c r="B855" s="1" t="n">
        <f aca="false">IF(A855="",0,IF(MATCH(A855,$A$4:$A$2403,0)=ROW()-3,1,0))</f>
        <v>0</v>
      </c>
      <c r="C855" s="1" t="n">
        <f aca="false">N(C854)+B855</f>
        <v>13</v>
      </c>
      <c r="K855" s="1" t="n">
        <f aca="false">IF(OR($K$1="",对接源_01水果!$C855="",对接源_01水果!$C855&lt;&gt;$K$1,对接源_01水果!$B855=""),0,IF(OR(N(对接源_01水果!$B855)&lt;$K$2,N(对接源_01水果!$B855)&gt;$K$3),0,1))</f>
        <v>0</v>
      </c>
      <c r="L855" s="1" t="n">
        <f aca="false">IF(OR($L$1="",对接源_01水果!$C855="",对接源_01水果!$C855&lt;&gt;$L$1,对接源_01水果!$B855=""),0,IF(OR(N(对接源_01水果!$B855)&lt;$L$2,N(对接源_01水果!$B855)&gt;$L$3),0,1))</f>
        <v>0</v>
      </c>
      <c r="M855" s="1" t="n">
        <f aca="false">IF(OR($M$1="",对接源_01水果!$C855="",对接源_01水果!$C855&lt;&gt;$M$1,对接源_01水果!$B855=""),0,IF(OR(N(对接源_01水果!$B855)&lt;$M$2,N(对接源_01水果!$B855)&gt;$M$3),0,1))</f>
        <v>0</v>
      </c>
      <c r="N855" s="1" t="n">
        <f aca="false">IF(OR($N$1="",对接源_01水果!$C855="",对接源_01水果!$C855&lt;&gt;$N$1,对接源_01水果!$B855=""),0,IF(OR(N(对接源_01水果!$B855)&lt;$N$2,N(对接源_01水果!$B855)&gt;$N$3),0,1))</f>
        <v>0</v>
      </c>
      <c r="P855" s="1" t="n">
        <f aca="false">IF(AND($K855=1,AND(对接源_01水果!$X855="公司筐",N(对接源_01水果!$T855)&lt;&gt;0)),1,0)</f>
        <v>0</v>
      </c>
      <c r="Q855" s="1" t="n">
        <f aca="false">N(Q854)+$P855</f>
        <v>3</v>
      </c>
      <c r="R855" s="1" t="n">
        <f aca="false">IF(AND($K855=1,AND(对接源_01水果!$X855="公司筐",N(对接源_01水果!$U855)&lt;&gt;0)),1,0)</f>
        <v>0</v>
      </c>
      <c r="S855" s="1" t="n">
        <f aca="false">N(S854)+$R855</f>
        <v>0</v>
      </c>
      <c r="T855" s="1" t="n">
        <f aca="false">IF(AND($K855=1,AND(对接源_01水果!$X855="公司筐",N(对接源_01水果!$V855)&lt;&gt;0)),1,0)</f>
        <v>0</v>
      </c>
      <c r="U855" s="1" t="n">
        <f aca="false">N(U854)+$T855</f>
        <v>28</v>
      </c>
      <c r="V855" s="1" t="n">
        <f aca="false">IF(AND($L855=1,AND(对接源_01水果!$X855="自备筐",N(对接源_01水果!$V855)&lt;&gt;0)),1,0)</f>
        <v>0</v>
      </c>
      <c r="W855" s="1" t="n">
        <f aca="false">N(W854)+$V855</f>
        <v>7</v>
      </c>
      <c r="X855" s="1" t="n">
        <f aca="false">IF(AND($L855=1,AND(对接源_01水果!$X855="自备筐",N(对接源_01水果!$T855)&lt;&gt;0)),1,0)</f>
        <v>0</v>
      </c>
      <c r="Y855" s="1" t="n">
        <f aca="false">N(Y854)+$X855</f>
        <v>0</v>
      </c>
      <c r="Z855" s="1" t="n">
        <f aca="false">IF(AND($M855=1,对接源_01水果!$D855="原料入库"),1,0)</f>
        <v>0</v>
      </c>
      <c r="AA855" s="1" t="n">
        <f aca="false">N(AA854)+$Z855</f>
        <v>30</v>
      </c>
      <c r="AB855" s="1" t="n">
        <f aca="false">IF(AND($M855=1,LEFT(对接源_01水果!$D855,4)="原料出库"),1,0)</f>
        <v>0</v>
      </c>
      <c r="AC855" s="1" t="n">
        <f aca="false">N(AC854)+$AB855</f>
        <v>19</v>
      </c>
      <c r="AD855" s="1" t="n">
        <f aca="false">IF(AND($M855=1,LEFT(对接源_01水果!$D855,4)="成品出库"),1,0)</f>
        <v>0</v>
      </c>
      <c r="AE855" s="1" t="n">
        <f aca="false">N(AE854)+$AD855</f>
        <v>38</v>
      </c>
      <c r="AF855" s="1" t="n">
        <f aca="false">IF(AND($N855=1,AND(LEFT(对接源_01水果!$D855,4)="包装物料",N(对接源_01水果!$K855)&lt;&gt;0)),1,0)</f>
        <v>0</v>
      </c>
      <c r="AG855" s="90" t="str">
        <f aca="false">IF(对接源_01水果!$AC855="","",对接源_01水果!$AC855)</f>
        <v/>
      </c>
      <c r="AH855" s="1" t="n">
        <f aca="false">IF(AND($N855=1,AND(LEFT(对接源_01水果!$D855,3)="周转筐",N(对接源_01水果!$K855)&lt;&gt;0)),1,0)</f>
        <v>0</v>
      </c>
      <c r="AI855" s="90" t="n">
        <f aca="false">IF(AG855="",0,IF(MATCH(AG855,$AG$4:$AG$1203,0)=ROW()-3,1,0))</f>
        <v>0</v>
      </c>
      <c r="AJ855" s="90" t="n">
        <f aca="false">N(AJ854)+AI855</f>
        <v>4</v>
      </c>
      <c r="AK855" s="1" t="n">
        <f aca="false">N(AK854)+$AJ855</f>
        <v>2280</v>
      </c>
    </row>
    <row r="856" customFormat="false" ht="13.5" hidden="false" customHeight="false" outlineLevel="0" collapsed="false">
      <c r="A856" s="1" t="str">
        <f aca="false">IF(对接源_01水果!$C856="","",对接源_01水果!$C856)</f>
        <v/>
      </c>
      <c r="B856" s="1" t="n">
        <f aca="false">IF(A856="",0,IF(MATCH(A856,$A$4:$A$2403,0)=ROW()-3,1,0))</f>
        <v>0</v>
      </c>
      <c r="C856" s="1" t="n">
        <f aca="false">N(C855)+B856</f>
        <v>13</v>
      </c>
      <c r="K856" s="1" t="n">
        <f aca="false">IF(OR($K$1="",对接源_01水果!$C856="",对接源_01水果!$C856&lt;&gt;$K$1,对接源_01水果!$B856=""),0,IF(OR(N(对接源_01水果!$B856)&lt;$K$2,N(对接源_01水果!$B856)&gt;$K$3),0,1))</f>
        <v>0</v>
      </c>
      <c r="L856" s="1" t="n">
        <f aca="false">IF(OR($L$1="",对接源_01水果!$C856="",对接源_01水果!$C856&lt;&gt;$L$1,对接源_01水果!$B856=""),0,IF(OR(N(对接源_01水果!$B856)&lt;$L$2,N(对接源_01水果!$B856)&gt;$L$3),0,1))</f>
        <v>0</v>
      </c>
      <c r="M856" s="1" t="n">
        <f aca="false">IF(OR($M$1="",对接源_01水果!$C856="",对接源_01水果!$C856&lt;&gt;$M$1,对接源_01水果!$B856=""),0,IF(OR(N(对接源_01水果!$B856)&lt;$M$2,N(对接源_01水果!$B856)&gt;$M$3),0,1))</f>
        <v>0</v>
      </c>
      <c r="N856" s="1" t="n">
        <f aca="false">IF(OR($N$1="",对接源_01水果!$C856="",对接源_01水果!$C856&lt;&gt;$N$1,对接源_01水果!$B856=""),0,IF(OR(N(对接源_01水果!$B856)&lt;$N$2,N(对接源_01水果!$B856)&gt;$N$3),0,1))</f>
        <v>0</v>
      </c>
      <c r="P856" s="1" t="n">
        <f aca="false">IF(AND($K856=1,AND(对接源_01水果!$X856="公司筐",N(对接源_01水果!$T856)&lt;&gt;0)),1,0)</f>
        <v>0</v>
      </c>
      <c r="Q856" s="1" t="n">
        <f aca="false">N(Q855)+$P856</f>
        <v>3</v>
      </c>
      <c r="R856" s="1" t="n">
        <f aca="false">IF(AND($K856=1,AND(对接源_01水果!$X856="公司筐",N(对接源_01水果!$U856)&lt;&gt;0)),1,0)</f>
        <v>0</v>
      </c>
      <c r="S856" s="1" t="n">
        <f aca="false">N(S855)+$R856</f>
        <v>0</v>
      </c>
      <c r="T856" s="1" t="n">
        <f aca="false">IF(AND($K856=1,AND(对接源_01水果!$X856="公司筐",N(对接源_01水果!$V856)&lt;&gt;0)),1,0)</f>
        <v>0</v>
      </c>
      <c r="U856" s="1" t="n">
        <f aca="false">N(U855)+$T856</f>
        <v>28</v>
      </c>
      <c r="V856" s="1" t="n">
        <f aca="false">IF(AND($L856=1,AND(对接源_01水果!$X856="自备筐",N(对接源_01水果!$V856)&lt;&gt;0)),1,0)</f>
        <v>0</v>
      </c>
      <c r="W856" s="1" t="n">
        <f aca="false">N(W855)+$V856</f>
        <v>7</v>
      </c>
      <c r="X856" s="1" t="n">
        <f aca="false">IF(AND($L856=1,AND(对接源_01水果!$X856="自备筐",N(对接源_01水果!$T856)&lt;&gt;0)),1,0)</f>
        <v>0</v>
      </c>
      <c r="Y856" s="1" t="n">
        <f aca="false">N(Y855)+$X856</f>
        <v>0</v>
      </c>
      <c r="Z856" s="1" t="n">
        <f aca="false">IF(AND($M856=1,对接源_01水果!$D856="原料入库"),1,0)</f>
        <v>0</v>
      </c>
      <c r="AA856" s="1" t="n">
        <f aca="false">N(AA855)+$Z856</f>
        <v>30</v>
      </c>
      <c r="AB856" s="1" t="n">
        <f aca="false">IF(AND($M856=1,LEFT(对接源_01水果!$D856,4)="原料出库"),1,0)</f>
        <v>0</v>
      </c>
      <c r="AC856" s="1" t="n">
        <f aca="false">N(AC855)+$AB856</f>
        <v>19</v>
      </c>
      <c r="AD856" s="1" t="n">
        <f aca="false">IF(AND($M856=1,LEFT(对接源_01水果!$D856,4)="成品出库"),1,0)</f>
        <v>0</v>
      </c>
      <c r="AE856" s="1" t="n">
        <f aca="false">N(AE855)+$AD856</f>
        <v>38</v>
      </c>
      <c r="AF856" s="1" t="n">
        <f aca="false">IF(AND($N856=1,AND(LEFT(对接源_01水果!$D856,4)="包装物料",N(对接源_01水果!$K856)&lt;&gt;0)),1,0)</f>
        <v>0</v>
      </c>
      <c r="AG856" s="90" t="str">
        <f aca="false">IF(对接源_01水果!$AC856="","",对接源_01水果!$AC856)</f>
        <v/>
      </c>
      <c r="AH856" s="1" t="n">
        <f aca="false">IF(AND($N856=1,AND(LEFT(对接源_01水果!$D856,3)="周转筐",N(对接源_01水果!$K856)&lt;&gt;0)),1,0)</f>
        <v>0</v>
      </c>
      <c r="AI856" s="90" t="n">
        <f aca="false">IF(AG856="",0,IF(MATCH(AG856,$AG$4:$AG$1203,0)=ROW()-3,1,0))</f>
        <v>0</v>
      </c>
      <c r="AJ856" s="90" t="n">
        <f aca="false">N(AJ855)+AI856</f>
        <v>4</v>
      </c>
      <c r="AK856" s="1" t="n">
        <f aca="false">N(AK855)+$AJ856</f>
        <v>2284</v>
      </c>
    </row>
    <row r="857" customFormat="false" ht="13.5" hidden="false" customHeight="false" outlineLevel="0" collapsed="false">
      <c r="A857" s="1" t="str">
        <f aca="false">IF(对接源_01水果!$C857="","",对接源_01水果!$C857)</f>
        <v/>
      </c>
      <c r="B857" s="1" t="n">
        <f aca="false">IF(A857="",0,IF(MATCH(A857,$A$4:$A$2403,0)=ROW()-3,1,0))</f>
        <v>0</v>
      </c>
      <c r="C857" s="1" t="n">
        <f aca="false">N(C856)+B857</f>
        <v>13</v>
      </c>
      <c r="K857" s="1" t="n">
        <f aca="false">IF(OR($K$1="",对接源_01水果!$C857="",对接源_01水果!$C857&lt;&gt;$K$1,对接源_01水果!$B857=""),0,IF(OR(N(对接源_01水果!$B857)&lt;$K$2,N(对接源_01水果!$B857)&gt;$K$3),0,1))</f>
        <v>0</v>
      </c>
      <c r="L857" s="1" t="n">
        <f aca="false">IF(OR($L$1="",对接源_01水果!$C857="",对接源_01水果!$C857&lt;&gt;$L$1,对接源_01水果!$B857=""),0,IF(OR(N(对接源_01水果!$B857)&lt;$L$2,N(对接源_01水果!$B857)&gt;$L$3),0,1))</f>
        <v>0</v>
      </c>
      <c r="M857" s="1" t="n">
        <f aca="false">IF(OR($M$1="",对接源_01水果!$C857="",对接源_01水果!$C857&lt;&gt;$M$1,对接源_01水果!$B857=""),0,IF(OR(N(对接源_01水果!$B857)&lt;$M$2,N(对接源_01水果!$B857)&gt;$M$3),0,1))</f>
        <v>0</v>
      </c>
      <c r="N857" s="1" t="n">
        <f aca="false">IF(OR($N$1="",对接源_01水果!$C857="",对接源_01水果!$C857&lt;&gt;$N$1,对接源_01水果!$B857=""),0,IF(OR(N(对接源_01水果!$B857)&lt;$N$2,N(对接源_01水果!$B857)&gt;$N$3),0,1))</f>
        <v>0</v>
      </c>
      <c r="P857" s="1" t="n">
        <f aca="false">IF(AND($K857=1,AND(对接源_01水果!$X857="公司筐",N(对接源_01水果!$T857)&lt;&gt;0)),1,0)</f>
        <v>0</v>
      </c>
      <c r="Q857" s="1" t="n">
        <f aca="false">N(Q856)+$P857</f>
        <v>3</v>
      </c>
      <c r="R857" s="1" t="n">
        <f aca="false">IF(AND($K857=1,AND(对接源_01水果!$X857="公司筐",N(对接源_01水果!$U857)&lt;&gt;0)),1,0)</f>
        <v>0</v>
      </c>
      <c r="S857" s="1" t="n">
        <f aca="false">N(S856)+$R857</f>
        <v>0</v>
      </c>
      <c r="T857" s="1" t="n">
        <f aca="false">IF(AND($K857=1,AND(对接源_01水果!$X857="公司筐",N(对接源_01水果!$V857)&lt;&gt;0)),1,0)</f>
        <v>0</v>
      </c>
      <c r="U857" s="1" t="n">
        <f aca="false">N(U856)+$T857</f>
        <v>28</v>
      </c>
      <c r="V857" s="1" t="n">
        <f aca="false">IF(AND($L857=1,AND(对接源_01水果!$X857="自备筐",N(对接源_01水果!$V857)&lt;&gt;0)),1,0)</f>
        <v>0</v>
      </c>
      <c r="W857" s="1" t="n">
        <f aca="false">N(W856)+$V857</f>
        <v>7</v>
      </c>
      <c r="X857" s="1" t="n">
        <f aca="false">IF(AND($L857=1,AND(对接源_01水果!$X857="自备筐",N(对接源_01水果!$T857)&lt;&gt;0)),1,0)</f>
        <v>0</v>
      </c>
      <c r="Y857" s="1" t="n">
        <f aca="false">N(Y856)+$X857</f>
        <v>0</v>
      </c>
      <c r="Z857" s="1" t="n">
        <f aca="false">IF(AND($M857=1,对接源_01水果!$D857="原料入库"),1,0)</f>
        <v>0</v>
      </c>
      <c r="AA857" s="1" t="n">
        <f aca="false">N(AA856)+$Z857</f>
        <v>30</v>
      </c>
      <c r="AB857" s="1" t="n">
        <f aca="false">IF(AND($M857=1,LEFT(对接源_01水果!$D857,4)="原料出库"),1,0)</f>
        <v>0</v>
      </c>
      <c r="AC857" s="1" t="n">
        <f aca="false">N(AC856)+$AB857</f>
        <v>19</v>
      </c>
      <c r="AD857" s="1" t="n">
        <f aca="false">IF(AND($M857=1,LEFT(对接源_01水果!$D857,4)="成品出库"),1,0)</f>
        <v>0</v>
      </c>
      <c r="AE857" s="1" t="n">
        <f aca="false">N(AE856)+$AD857</f>
        <v>38</v>
      </c>
      <c r="AF857" s="1" t="n">
        <f aca="false">IF(AND($N857=1,AND(LEFT(对接源_01水果!$D857,4)="包装物料",N(对接源_01水果!$K857)&lt;&gt;0)),1,0)</f>
        <v>0</v>
      </c>
      <c r="AG857" s="90" t="str">
        <f aca="false">IF(对接源_01水果!$AC857="","",对接源_01水果!$AC857)</f>
        <v/>
      </c>
      <c r="AH857" s="1" t="n">
        <f aca="false">IF(AND($N857=1,AND(LEFT(对接源_01水果!$D857,3)="周转筐",N(对接源_01水果!$K857)&lt;&gt;0)),1,0)</f>
        <v>0</v>
      </c>
      <c r="AI857" s="90" t="n">
        <f aca="false">IF(AG857="",0,IF(MATCH(AG857,$AG$4:$AG$1203,0)=ROW()-3,1,0))</f>
        <v>0</v>
      </c>
      <c r="AJ857" s="90" t="n">
        <f aca="false">N(AJ856)+AI857</f>
        <v>4</v>
      </c>
      <c r="AK857" s="1" t="n">
        <f aca="false">N(AK856)+$AJ857</f>
        <v>2288</v>
      </c>
    </row>
    <row r="858" customFormat="false" ht="13.5" hidden="false" customHeight="false" outlineLevel="0" collapsed="false">
      <c r="A858" s="1" t="str">
        <f aca="false">IF(对接源_01水果!$C858="","",对接源_01水果!$C858)</f>
        <v/>
      </c>
      <c r="B858" s="1" t="n">
        <f aca="false">IF(A858="",0,IF(MATCH(A858,$A$4:$A$2403,0)=ROW()-3,1,0))</f>
        <v>0</v>
      </c>
      <c r="C858" s="1" t="n">
        <f aca="false">N(C857)+B858</f>
        <v>13</v>
      </c>
      <c r="K858" s="1" t="n">
        <f aca="false">IF(OR($K$1="",对接源_01水果!$C858="",对接源_01水果!$C858&lt;&gt;$K$1,对接源_01水果!$B858=""),0,IF(OR(N(对接源_01水果!$B858)&lt;$K$2,N(对接源_01水果!$B858)&gt;$K$3),0,1))</f>
        <v>0</v>
      </c>
      <c r="L858" s="1" t="n">
        <f aca="false">IF(OR($L$1="",对接源_01水果!$C858="",对接源_01水果!$C858&lt;&gt;$L$1,对接源_01水果!$B858=""),0,IF(OR(N(对接源_01水果!$B858)&lt;$L$2,N(对接源_01水果!$B858)&gt;$L$3),0,1))</f>
        <v>0</v>
      </c>
      <c r="M858" s="1" t="n">
        <f aca="false">IF(OR($M$1="",对接源_01水果!$C858="",对接源_01水果!$C858&lt;&gt;$M$1,对接源_01水果!$B858=""),0,IF(OR(N(对接源_01水果!$B858)&lt;$M$2,N(对接源_01水果!$B858)&gt;$M$3),0,1))</f>
        <v>0</v>
      </c>
      <c r="N858" s="1" t="n">
        <f aca="false">IF(OR($N$1="",对接源_01水果!$C858="",对接源_01水果!$C858&lt;&gt;$N$1,对接源_01水果!$B858=""),0,IF(OR(N(对接源_01水果!$B858)&lt;$N$2,N(对接源_01水果!$B858)&gt;$N$3),0,1))</f>
        <v>0</v>
      </c>
      <c r="P858" s="1" t="n">
        <f aca="false">IF(AND($K858=1,AND(对接源_01水果!$X858="公司筐",N(对接源_01水果!$T858)&lt;&gt;0)),1,0)</f>
        <v>0</v>
      </c>
      <c r="Q858" s="1" t="n">
        <f aca="false">N(Q857)+$P858</f>
        <v>3</v>
      </c>
      <c r="R858" s="1" t="n">
        <f aca="false">IF(AND($K858=1,AND(对接源_01水果!$X858="公司筐",N(对接源_01水果!$U858)&lt;&gt;0)),1,0)</f>
        <v>0</v>
      </c>
      <c r="S858" s="1" t="n">
        <f aca="false">N(S857)+$R858</f>
        <v>0</v>
      </c>
      <c r="T858" s="1" t="n">
        <f aca="false">IF(AND($K858=1,AND(对接源_01水果!$X858="公司筐",N(对接源_01水果!$V858)&lt;&gt;0)),1,0)</f>
        <v>0</v>
      </c>
      <c r="U858" s="1" t="n">
        <f aca="false">N(U857)+$T858</f>
        <v>28</v>
      </c>
      <c r="V858" s="1" t="n">
        <f aca="false">IF(AND($L858=1,AND(对接源_01水果!$X858="自备筐",N(对接源_01水果!$V858)&lt;&gt;0)),1,0)</f>
        <v>0</v>
      </c>
      <c r="W858" s="1" t="n">
        <f aca="false">N(W857)+$V858</f>
        <v>7</v>
      </c>
      <c r="X858" s="1" t="n">
        <f aca="false">IF(AND($L858=1,AND(对接源_01水果!$X858="自备筐",N(对接源_01水果!$T858)&lt;&gt;0)),1,0)</f>
        <v>0</v>
      </c>
      <c r="Y858" s="1" t="n">
        <f aca="false">N(Y857)+$X858</f>
        <v>0</v>
      </c>
      <c r="Z858" s="1" t="n">
        <f aca="false">IF(AND($M858=1,对接源_01水果!$D858="原料入库"),1,0)</f>
        <v>0</v>
      </c>
      <c r="AA858" s="1" t="n">
        <f aca="false">N(AA857)+$Z858</f>
        <v>30</v>
      </c>
      <c r="AB858" s="1" t="n">
        <f aca="false">IF(AND($M858=1,LEFT(对接源_01水果!$D858,4)="原料出库"),1,0)</f>
        <v>0</v>
      </c>
      <c r="AC858" s="1" t="n">
        <f aca="false">N(AC857)+$AB858</f>
        <v>19</v>
      </c>
      <c r="AD858" s="1" t="n">
        <f aca="false">IF(AND($M858=1,LEFT(对接源_01水果!$D858,4)="成品出库"),1,0)</f>
        <v>0</v>
      </c>
      <c r="AE858" s="1" t="n">
        <f aca="false">N(AE857)+$AD858</f>
        <v>38</v>
      </c>
      <c r="AF858" s="1" t="n">
        <f aca="false">IF(AND($N858=1,AND(LEFT(对接源_01水果!$D858,4)="包装物料",N(对接源_01水果!$K858)&lt;&gt;0)),1,0)</f>
        <v>0</v>
      </c>
      <c r="AG858" s="90" t="str">
        <f aca="false">IF(对接源_01水果!$AC858="","",对接源_01水果!$AC858)</f>
        <v/>
      </c>
      <c r="AH858" s="1" t="n">
        <f aca="false">IF(AND($N858=1,AND(LEFT(对接源_01水果!$D858,3)="周转筐",N(对接源_01水果!$K858)&lt;&gt;0)),1,0)</f>
        <v>0</v>
      </c>
      <c r="AI858" s="90" t="n">
        <f aca="false">IF(AG858="",0,IF(MATCH(AG858,$AG$4:$AG$1203,0)=ROW()-3,1,0))</f>
        <v>0</v>
      </c>
      <c r="AJ858" s="90" t="n">
        <f aca="false">N(AJ857)+AI858</f>
        <v>4</v>
      </c>
      <c r="AK858" s="1" t="n">
        <f aca="false">N(AK857)+$AJ858</f>
        <v>2292</v>
      </c>
    </row>
    <row r="859" customFormat="false" ht="13.5" hidden="false" customHeight="false" outlineLevel="0" collapsed="false">
      <c r="A859" s="1" t="str">
        <f aca="false">IF(对接源_01水果!$C859="","",对接源_01水果!$C859)</f>
        <v/>
      </c>
      <c r="B859" s="1" t="n">
        <f aca="false">IF(A859="",0,IF(MATCH(A859,$A$4:$A$2403,0)=ROW()-3,1,0))</f>
        <v>0</v>
      </c>
      <c r="C859" s="1" t="n">
        <f aca="false">N(C858)+B859</f>
        <v>13</v>
      </c>
      <c r="K859" s="1" t="n">
        <f aca="false">IF(OR($K$1="",对接源_01水果!$C859="",对接源_01水果!$C859&lt;&gt;$K$1,对接源_01水果!$B859=""),0,IF(OR(N(对接源_01水果!$B859)&lt;$K$2,N(对接源_01水果!$B859)&gt;$K$3),0,1))</f>
        <v>0</v>
      </c>
      <c r="L859" s="1" t="n">
        <f aca="false">IF(OR($L$1="",对接源_01水果!$C859="",对接源_01水果!$C859&lt;&gt;$L$1,对接源_01水果!$B859=""),0,IF(OR(N(对接源_01水果!$B859)&lt;$L$2,N(对接源_01水果!$B859)&gt;$L$3),0,1))</f>
        <v>0</v>
      </c>
      <c r="M859" s="1" t="n">
        <f aca="false">IF(OR($M$1="",对接源_01水果!$C859="",对接源_01水果!$C859&lt;&gt;$M$1,对接源_01水果!$B859=""),0,IF(OR(N(对接源_01水果!$B859)&lt;$M$2,N(对接源_01水果!$B859)&gt;$M$3),0,1))</f>
        <v>0</v>
      </c>
      <c r="N859" s="1" t="n">
        <f aca="false">IF(OR($N$1="",对接源_01水果!$C859="",对接源_01水果!$C859&lt;&gt;$N$1,对接源_01水果!$B859=""),0,IF(OR(N(对接源_01水果!$B859)&lt;$N$2,N(对接源_01水果!$B859)&gt;$N$3),0,1))</f>
        <v>0</v>
      </c>
      <c r="P859" s="1" t="n">
        <f aca="false">IF(AND($K859=1,AND(对接源_01水果!$X859="公司筐",N(对接源_01水果!$T859)&lt;&gt;0)),1,0)</f>
        <v>0</v>
      </c>
      <c r="Q859" s="1" t="n">
        <f aca="false">N(Q858)+$P859</f>
        <v>3</v>
      </c>
      <c r="R859" s="1" t="n">
        <f aca="false">IF(AND($K859=1,AND(对接源_01水果!$X859="公司筐",N(对接源_01水果!$U859)&lt;&gt;0)),1,0)</f>
        <v>0</v>
      </c>
      <c r="S859" s="1" t="n">
        <f aca="false">N(S858)+$R859</f>
        <v>0</v>
      </c>
      <c r="T859" s="1" t="n">
        <f aca="false">IF(AND($K859=1,AND(对接源_01水果!$X859="公司筐",N(对接源_01水果!$V859)&lt;&gt;0)),1,0)</f>
        <v>0</v>
      </c>
      <c r="U859" s="1" t="n">
        <f aca="false">N(U858)+$T859</f>
        <v>28</v>
      </c>
      <c r="V859" s="1" t="n">
        <f aca="false">IF(AND($L859=1,AND(对接源_01水果!$X859="自备筐",N(对接源_01水果!$V859)&lt;&gt;0)),1,0)</f>
        <v>0</v>
      </c>
      <c r="W859" s="1" t="n">
        <f aca="false">N(W858)+$V859</f>
        <v>7</v>
      </c>
      <c r="X859" s="1" t="n">
        <f aca="false">IF(AND($L859=1,AND(对接源_01水果!$X859="自备筐",N(对接源_01水果!$T859)&lt;&gt;0)),1,0)</f>
        <v>0</v>
      </c>
      <c r="Y859" s="1" t="n">
        <f aca="false">N(Y858)+$X859</f>
        <v>0</v>
      </c>
      <c r="Z859" s="1" t="n">
        <f aca="false">IF(AND($M859=1,对接源_01水果!$D859="原料入库"),1,0)</f>
        <v>0</v>
      </c>
      <c r="AA859" s="1" t="n">
        <f aca="false">N(AA858)+$Z859</f>
        <v>30</v>
      </c>
      <c r="AB859" s="1" t="n">
        <f aca="false">IF(AND($M859=1,LEFT(对接源_01水果!$D859,4)="原料出库"),1,0)</f>
        <v>0</v>
      </c>
      <c r="AC859" s="1" t="n">
        <f aca="false">N(AC858)+$AB859</f>
        <v>19</v>
      </c>
      <c r="AD859" s="1" t="n">
        <f aca="false">IF(AND($M859=1,LEFT(对接源_01水果!$D859,4)="成品出库"),1,0)</f>
        <v>0</v>
      </c>
      <c r="AE859" s="1" t="n">
        <f aca="false">N(AE858)+$AD859</f>
        <v>38</v>
      </c>
      <c r="AF859" s="1" t="n">
        <f aca="false">IF(AND($N859=1,AND(LEFT(对接源_01水果!$D859,4)="包装物料",N(对接源_01水果!$K859)&lt;&gt;0)),1,0)</f>
        <v>0</v>
      </c>
      <c r="AG859" s="90" t="str">
        <f aca="false">IF(对接源_01水果!$AC859="","",对接源_01水果!$AC859)</f>
        <v/>
      </c>
      <c r="AH859" s="1" t="n">
        <f aca="false">IF(AND($N859=1,AND(LEFT(对接源_01水果!$D859,3)="周转筐",N(对接源_01水果!$K859)&lt;&gt;0)),1,0)</f>
        <v>0</v>
      </c>
      <c r="AI859" s="90" t="n">
        <f aca="false">IF(AG859="",0,IF(MATCH(AG859,$AG$4:$AG$1203,0)=ROW()-3,1,0))</f>
        <v>0</v>
      </c>
      <c r="AJ859" s="90" t="n">
        <f aca="false">N(AJ858)+AI859</f>
        <v>4</v>
      </c>
      <c r="AK859" s="1" t="n">
        <f aca="false">N(AK858)+$AJ859</f>
        <v>2296</v>
      </c>
    </row>
    <row r="860" customFormat="false" ht="13.5" hidden="false" customHeight="false" outlineLevel="0" collapsed="false">
      <c r="A860" s="1" t="str">
        <f aca="false">IF(对接源_01水果!$C860="","",对接源_01水果!$C860)</f>
        <v/>
      </c>
      <c r="B860" s="1" t="n">
        <f aca="false">IF(A860="",0,IF(MATCH(A860,$A$4:$A$2403,0)=ROW()-3,1,0))</f>
        <v>0</v>
      </c>
      <c r="C860" s="1" t="n">
        <f aca="false">N(C859)+B860</f>
        <v>13</v>
      </c>
      <c r="K860" s="1" t="n">
        <f aca="false">IF(OR($K$1="",对接源_01水果!$C860="",对接源_01水果!$C860&lt;&gt;$K$1,对接源_01水果!$B860=""),0,IF(OR(N(对接源_01水果!$B860)&lt;$K$2,N(对接源_01水果!$B860)&gt;$K$3),0,1))</f>
        <v>0</v>
      </c>
      <c r="L860" s="1" t="n">
        <f aca="false">IF(OR($L$1="",对接源_01水果!$C860="",对接源_01水果!$C860&lt;&gt;$L$1,对接源_01水果!$B860=""),0,IF(OR(N(对接源_01水果!$B860)&lt;$L$2,N(对接源_01水果!$B860)&gt;$L$3),0,1))</f>
        <v>0</v>
      </c>
      <c r="M860" s="1" t="n">
        <f aca="false">IF(OR($M$1="",对接源_01水果!$C860="",对接源_01水果!$C860&lt;&gt;$M$1,对接源_01水果!$B860=""),0,IF(OR(N(对接源_01水果!$B860)&lt;$M$2,N(对接源_01水果!$B860)&gt;$M$3),0,1))</f>
        <v>0</v>
      </c>
      <c r="N860" s="1" t="n">
        <f aca="false">IF(OR($N$1="",对接源_01水果!$C860="",对接源_01水果!$C860&lt;&gt;$N$1,对接源_01水果!$B860=""),0,IF(OR(N(对接源_01水果!$B860)&lt;$N$2,N(对接源_01水果!$B860)&gt;$N$3),0,1))</f>
        <v>0</v>
      </c>
      <c r="P860" s="1" t="n">
        <f aca="false">IF(AND($K860=1,AND(对接源_01水果!$X860="公司筐",N(对接源_01水果!$T860)&lt;&gt;0)),1,0)</f>
        <v>0</v>
      </c>
      <c r="Q860" s="1" t="n">
        <f aca="false">N(Q859)+$P860</f>
        <v>3</v>
      </c>
      <c r="R860" s="1" t="n">
        <f aca="false">IF(AND($K860=1,AND(对接源_01水果!$X860="公司筐",N(对接源_01水果!$U860)&lt;&gt;0)),1,0)</f>
        <v>0</v>
      </c>
      <c r="S860" s="1" t="n">
        <f aca="false">N(S859)+$R860</f>
        <v>0</v>
      </c>
      <c r="T860" s="1" t="n">
        <f aca="false">IF(AND($K860=1,AND(对接源_01水果!$X860="公司筐",N(对接源_01水果!$V860)&lt;&gt;0)),1,0)</f>
        <v>0</v>
      </c>
      <c r="U860" s="1" t="n">
        <f aca="false">N(U859)+$T860</f>
        <v>28</v>
      </c>
      <c r="V860" s="1" t="n">
        <f aca="false">IF(AND($L860=1,AND(对接源_01水果!$X860="自备筐",N(对接源_01水果!$V860)&lt;&gt;0)),1,0)</f>
        <v>0</v>
      </c>
      <c r="W860" s="1" t="n">
        <f aca="false">N(W859)+$V860</f>
        <v>7</v>
      </c>
      <c r="X860" s="1" t="n">
        <f aca="false">IF(AND($L860=1,AND(对接源_01水果!$X860="自备筐",N(对接源_01水果!$T860)&lt;&gt;0)),1,0)</f>
        <v>0</v>
      </c>
      <c r="Y860" s="1" t="n">
        <f aca="false">N(Y859)+$X860</f>
        <v>0</v>
      </c>
      <c r="Z860" s="1" t="n">
        <f aca="false">IF(AND($M860=1,对接源_01水果!$D860="原料入库"),1,0)</f>
        <v>0</v>
      </c>
      <c r="AA860" s="1" t="n">
        <f aca="false">N(AA859)+$Z860</f>
        <v>30</v>
      </c>
      <c r="AB860" s="1" t="n">
        <f aca="false">IF(AND($M860=1,LEFT(对接源_01水果!$D860,4)="原料出库"),1,0)</f>
        <v>0</v>
      </c>
      <c r="AC860" s="1" t="n">
        <f aca="false">N(AC859)+$AB860</f>
        <v>19</v>
      </c>
      <c r="AD860" s="1" t="n">
        <f aca="false">IF(AND($M860=1,LEFT(对接源_01水果!$D860,4)="成品出库"),1,0)</f>
        <v>0</v>
      </c>
      <c r="AE860" s="1" t="n">
        <f aca="false">N(AE859)+$AD860</f>
        <v>38</v>
      </c>
      <c r="AF860" s="1" t="n">
        <f aca="false">IF(AND($N860=1,AND(LEFT(对接源_01水果!$D860,4)="包装物料",N(对接源_01水果!$K860)&lt;&gt;0)),1,0)</f>
        <v>0</v>
      </c>
      <c r="AG860" s="90" t="str">
        <f aca="false">IF(对接源_01水果!$AC860="","",对接源_01水果!$AC860)</f>
        <v/>
      </c>
      <c r="AH860" s="1" t="n">
        <f aca="false">IF(AND($N860=1,AND(LEFT(对接源_01水果!$D860,3)="周转筐",N(对接源_01水果!$K860)&lt;&gt;0)),1,0)</f>
        <v>0</v>
      </c>
      <c r="AI860" s="90" t="n">
        <f aca="false">IF(AG860="",0,IF(MATCH(AG860,$AG$4:$AG$1203,0)=ROW()-3,1,0))</f>
        <v>0</v>
      </c>
      <c r="AJ860" s="90" t="n">
        <f aca="false">N(AJ859)+AI860</f>
        <v>4</v>
      </c>
      <c r="AK860" s="1" t="n">
        <f aca="false">N(AK859)+$AJ860</f>
        <v>2300</v>
      </c>
    </row>
    <row r="861" customFormat="false" ht="13.5" hidden="false" customHeight="false" outlineLevel="0" collapsed="false">
      <c r="A861" s="1" t="str">
        <f aca="false">IF(对接源_01水果!$C861="","",对接源_01水果!$C861)</f>
        <v/>
      </c>
      <c r="B861" s="1" t="n">
        <f aca="false">IF(A861="",0,IF(MATCH(A861,$A$4:$A$2403,0)=ROW()-3,1,0))</f>
        <v>0</v>
      </c>
      <c r="C861" s="1" t="n">
        <f aca="false">N(C860)+B861</f>
        <v>13</v>
      </c>
      <c r="K861" s="1" t="n">
        <f aca="false">IF(OR($K$1="",对接源_01水果!$C861="",对接源_01水果!$C861&lt;&gt;$K$1,对接源_01水果!$B861=""),0,IF(OR(N(对接源_01水果!$B861)&lt;$K$2,N(对接源_01水果!$B861)&gt;$K$3),0,1))</f>
        <v>0</v>
      </c>
      <c r="L861" s="1" t="n">
        <f aca="false">IF(OR($L$1="",对接源_01水果!$C861="",对接源_01水果!$C861&lt;&gt;$L$1,对接源_01水果!$B861=""),0,IF(OR(N(对接源_01水果!$B861)&lt;$L$2,N(对接源_01水果!$B861)&gt;$L$3),0,1))</f>
        <v>0</v>
      </c>
      <c r="M861" s="1" t="n">
        <f aca="false">IF(OR($M$1="",对接源_01水果!$C861="",对接源_01水果!$C861&lt;&gt;$M$1,对接源_01水果!$B861=""),0,IF(OR(N(对接源_01水果!$B861)&lt;$M$2,N(对接源_01水果!$B861)&gt;$M$3),0,1))</f>
        <v>0</v>
      </c>
      <c r="N861" s="1" t="n">
        <f aca="false">IF(OR($N$1="",对接源_01水果!$C861="",对接源_01水果!$C861&lt;&gt;$N$1,对接源_01水果!$B861=""),0,IF(OR(N(对接源_01水果!$B861)&lt;$N$2,N(对接源_01水果!$B861)&gt;$N$3),0,1))</f>
        <v>0</v>
      </c>
      <c r="P861" s="1" t="n">
        <f aca="false">IF(AND($K861=1,AND(对接源_01水果!$X861="公司筐",N(对接源_01水果!$T861)&lt;&gt;0)),1,0)</f>
        <v>0</v>
      </c>
      <c r="Q861" s="1" t="n">
        <f aca="false">N(Q860)+$P861</f>
        <v>3</v>
      </c>
      <c r="R861" s="1" t="n">
        <f aca="false">IF(AND($K861=1,AND(对接源_01水果!$X861="公司筐",N(对接源_01水果!$U861)&lt;&gt;0)),1,0)</f>
        <v>0</v>
      </c>
      <c r="S861" s="1" t="n">
        <f aca="false">N(S860)+$R861</f>
        <v>0</v>
      </c>
      <c r="T861" s="1" t="n">
        <f aca="false">IF(AND($K861=1,AND(对接源_01水果!$X861="公司筐",N(对接源_01水果!$V861)&lt;&gt;0)),1,0)</f>
        <v>0</v>
      </c>
      <c r="U861" s="1" t="n">
        <f aca="false">N(U860)+$T861</f>
        <v>28</v>
      </c>
      <c r="V861" s="1" t="n">
        <f aca="false">IF(AND($L861=1,AND(对接源_01水果!$X861="自备筐",N(对接源_01水果!$V861)&lt;&gt;0)),1,0)</f>
        <v>0</v>
      </c>
      <c r="W861" s="1" t="n">
        <f aca="false">N(W860)+$V861</f>
        <v>7</v>
      </c>
      <c r="X861" s="1" t="n">
        <f aca="false">IF(AND($L861=1,AND(对接源_01水果!$X861="自备筐",N(对接源_01水果!$T861)&lt;&gt;0)),1,0)</f>
        <v>0</v>
      </c>
      <c r="Y861" s="1" t="n">
        <f aca="false">N(Y860)+$X861</f>
        <v>0</v>
      </c>
      <c r="Z861" s="1" t="n">
        <f aca="false">IF(AND($M861=1,对接源_01水果!$D861="原料入库"),1,0)</f>
        <v>0</v>
      </c>
      <c r="AA861" s="1" t="n">
        <f aca="false">N(AA860)+$Z861</f>
        <v>30</v>
      </c>
      <c r="AB861" s="1" t="n">
        <f aca="false">IF(AND($M861=1,LEFT(对接源_01水果!$D861,4)="原料出库"),1,0)</f>
        <v>0</v>
      </c>
      <c r="AC861" s="1" t="n">
        <f aca="false">N(AC860)+$AB861</f>
        <v>19</v>
      </c>
      <c r="AD861" s="1" t="n">
        <f aca="false">IF(AND($M861=1,LEFT(对接源_01水果!$D861,4)="成品出库"),1,0)</f>
        <v>0</v>
      </c>
      <c r="AE861" s="1" t="n">
        <f aca="false">N(AE860)+$AD861</f>
        <v>38</v>
      </c>
      <c r="AF861" s="1" t="n">
        <f aca="false">IF(AND($N861=1,AND(LEFT(对接源_01水果!$D861,4)="包装物料",N(对接源_01水果!$K861)&lt;&gt;0)),1,0)</f>
        <v>0</v>
      </c>
      <c r="AG861" s="90" t="str">
        <f aca="false">IF(对接源_01水果!$AC861="","",对接源_01水果!$AC861)</f>
        <v/>
      </c>
      <c r="AH861" s="1" t="n">
        <f aca="false">IF(AND($N861=1,AND(LEFT(对接源_01水果!$D861,3)="周转筐",N(对接源_01水果!$K861)&lt;&gt;0)),1,0)</f>
        <v>0</v>
      </c>
      <c r="AI861" s="90" t="n">
        <f aca="false">IF(AG861="",0,IF(MATCH(AG861,$AG$4:$AG$1203,0)=ROW()-3,1,0))</f>
        <v>0</v>
      </c>
      <c r="AJ861" s="90" t="n">
        <f aca="false">N(AJ860)+AI861</f>
        <v>4</v>
      </c>
      <c r="AK861" s="1" t="n">
        <f aca="false">N(AK860)+$AJ861</f>
        <v>2304</v>
      </c>
    </row>
    <row r="862" customFormat="false" ht="13.5" hidden="false" customHeight="false" outlineLevel="0" collapsed="false">
      <c r="A862" s="1" t="str">
        <f aca="false">IF(对接源_01水果!$C862="","",对接源_01水果!$C862)</f>
        <v/>
      </c>
      <c r="B862" s="1" t="n">
        <f aca="false">IF(A862="",0,IF(MATCH(A862,$A$4:$A$2403,0)=ROW()-3,1,0))</f>
        <v>0</v>
      </c>
      <c r="C862" s="1" t="n">
        <f aca="false">N(C861)+B862</f>
        <v>13</v>
      </c>
      <c r="K862" s="1" t="n">
        <f aca="false">IF(OR($K$1="",对接源_01水果!$C862="",对接源_01水果!$C862&lt;&gt;$K$1,对接源_01水果!$B862=""),0,IF(OR(N(对接源_01水果!$B862)&lt;$K$2,N(对接源_01水果!$B862)&gt;$K$3),0,1))</f>
        <v>0</v>
      </c>
      <c r="L862" s="1" t="n">
        <f aca="false">IF(OR($L$1="",对接源_01水果!$C862="",对接源_01水果!$C862&lt;&gt;$L$1,对接源_01水果!$B862=""),0,IF(OR(N(对接源_01水果!$B862)&lt;$L$2,N(对接源_01水果!$B862)&gt;$L$3),0,1))</f>
        <v>0</v>
      </c>
      <c r="M862" s="1" t="n">
        <f aca="false">IF(OR($M$1="",对接源_01水果!$C862="",对接源_01水果!$C862&lt;&gt;$M$1,对接源_01水果!$B862=""),0,IF(OR(N(对接源_01水果!$B862)&lt;$M$2,N(对接源_01水果!$B862)&gt;$M$3),0,1))</f>
        <v>0</v>
      </c>
      <c r="N862" s="1" t="n">
        <f aca="false">IF(OR($N$1="",对接源_01水果!$C862="",对接源_01水果!$C862&lt;&gt;$N$1,对接源_01水果!$B862=""),0,IF(OR(N(对接源_01水果!$B862)&lt;$N$2,N(对接源_01水果!$B862)&gt;$N$3),0,1))</f>
        <v>0</v>
      </c>
      <c r="P862" s="1" t="n">
        <f aca="false">IF(AND($K862=1,AND(对接源_01水果!$X862="公司筐",N(对接源_01水果!$T862)&lt;&gt;0)),1,0)</f>
        <v>0</v>
      </c>
      <c r="Q862" s="1" t="n">
        <f aca="false">N(Q861)+$P862</f>
        <v>3</v>
      </c>
      <c r="R862" s="1" t="n">
        <f aca="false">IF(AND($K862=1,AND(对接源_01水果!$X862="公司筐",N(对接源_01水果!$U862)&lt;&gt;0)),1,0)</f>
        <v>0</v>
      </c>
      <c r="S862" s="1" t="n">
        <f aca="false">N(S861)+$R862</f>
        <v>0</v>
      </c>
      <c r="T862" s="1" t="n">
        <f aca="false">IF(AND($K862=1,AND(对接源_01水果!$X862="公司筐",N(对接源_01水果!$V862)&lt;&gt;0)),1,0)</f>
        <v>0</v>
      </c>
      <c r="U862" s="1" t="n">
        <f aca="false">N(U861)+$T862</f>
        <v>28</v>
      </c>
      <c r="V862" s="1" t="n">
        <f aca="false">IF(AND($L862=1,AND(对接源_01水果!$X862="自备筐",N(对接源_01水果!$V862)&lt;&gt;0)),1,0)</f>
        <v>0</v>
      </c>
      <c r="W862" s="1" t="n">
        <f aca="false">N(W861)+$V862</f>
        <v>7</v>
      </c>
      <c r="X862" s="1" t="n">
        <f aca="false">IF(AND($L862=1,AND(对接源_01水果!$X862="自备筐",N(对接源_01水果!$T862)&lt;&gt;0)),1,0)</f>
        <v>0</v>
      </c>
      <c r="Y862" s="1" t="n">
        <f aca="false">N(Y861)+$X862</f>
        <v>0</v>
      </c>
      <c r="Z862" s="1" t="n">
        <f aca="false">IF(AND($M862=1,对接源_01水果!$D862="原料入库"),1,0)</f>
        <v>0</v>
      </c>
      <c r="AA862" s="1" t="n">
        <f aca="false">N(AA861)+$Z862</f>
        <v>30</v>
      </c>
      <c r="AB862" s="1" t="n">
        <f aca="false">IF(AND($M862=1,LEFT(对接源_01水果!$D862,4)="原料出库"),1,0)</f>
        <v>0</v>
      </c>
      <c r="AC862" s="1" t="n">
        <f aca="false">N(AC861)+$AB862</f>
        <v>19</v>
      </c>
      <c r="AD862" s="1" t="n">
        <f aca="false">IF(AND($M862=1,LEFT(对接源_01水果!$D862,4)="成品出库"),1,0)</f>
        <v>0</v>
      </c>
      <c r="AE862" s="1" t="n">
        <f aca="false">N(AE861)+$AD862</f>
        <v>38</v>
      </c>
      <c r="AF862" s="1" t="n">
        <f aca="false">IF(AND($N862=1,AND(LEFT(对接源_01水果!$D862,4)="包装物料",N(对接源_01水果!$K862)&lt;&gt;0)),1,0)</f>
        <v>0</v>
      </c>
      <c r="AG862" s="90" t="str">
        <f aca="false">IF(对接源_01水果!$AC862="","",对接源_01水果!$AC862)</f>
        <v/>
      </c>
      <c r="AH862" s="1" t="n">
        <f aca="false">IF(AND($N862=1,AND(LEFT(对接源_01水果!$D862,3)="周转筐",N(对接源_01水果!$K862)&lt;&gt;0)),1,0)</f>
        <v>0</v>
      </c>
      <c r="AI862" s="90" t="n">
        <f aca="false">IF(AG862="",0,IF(MATCH(AG862,$AG$4:$AG$1203,0)=ROW()-3,1,0))</f>
        <v>0</v>
      </c>
      <c r="AJ862" s="90" t="n">
        <f aca="false">N(AJ861)+AI862</f>
        <v>4</v>
      </c>
      <c r="AK862" s="1" t="n">
        <f aca="false">N(AK861)+$AJ862</f>
        <v>2308</v>
      </c>
    </row>
    <row r="863" customFormat="false" ht="13.5" hidden="false" customHeight="false" outlineLevel="0" collapsed="false">
      <c r="A863" s="1" t="str">
        <f aca="false">IF(对接源_01水果!$C863="","",对接源_01水果!$C863)</f>
        <v/>
      </c>
      <c r="B863" s="1" t="n">
        <f aca="false">IF(A863="",0,IF(MATCH(A863,$A$4:$A$2403,0)=ROW()-3,1,0))</f>
        <v>0</v>
      </c>
      <c r="C863" s="1" t="n">
        <f aca="false">N(C862)+B863</f>
        <v>13</v>
      </c>
      <c r="K863" s="1" t="n">
        <f aca="false">IF(OR($K$1="",对接源_01水果!$C863="",对接源_01水果!$C863&lt;&gt;$K$1,对接源_01水果!$B863=""),0,IF(OR(N(对接源_01水果!$B863)&lt;$K$2,N(对接源_01水果!$B863)&gt;$K$3),0,1))</f>
        <v>0</v>
      </c>
      <c r="L863" s="1" t="n">
        <f aca="false">IF(OR($L$1="",对接源_01水果!$C863="",对接源_01水果!$C863&lt;&gt;$L$1,对接源_01水果!$B863=""),0,IF(OR(N(对接源_01水果!$B863)&lt;$L$2,N(对接源_01水果!$B863)&gt;$L$3),0,1))</f>
        <v>0</v>
      </c>
      <c r="M863" s="1" t="n">
        <f aca="false">IF(OR($M$1="",对接源_01水果!$C863="",对接源_01水果!$C863&lt;&gt;$M$1,对接源_01水果!$B863=""),0,IF(OR(N(对接源_01水果!$B863)&lt;$M$2,N(对接源_01水果!$B863)&gt;$M$3),0,1))</f>
        <v>0</v>
      </c>
      <c r="N863" s="1" t="n">
        <f aca="false">IF(OR($N$1="",对接源_01水果!$C863="",对接源_01水果!$C863&lt;&gt;$N$1,对接源_01水果!$B863=""),0,IF(OR(N(对接源_01水果!$B863)&lt;$N$2,N(对接源_01水果!$B863)&gt;$N$3),0,1))</f>
        <v>0</v>
      </c>
      <c r="P863" s="1" t="n">
        <f aca="false">IF(AND($K863=1,AND(对接源_01水果!$X863="公司筐",N(对接源_01水果!$T863)&lt;&gt;0)),1,0)</f>
        <v>0</v>
      </c>
      <c r="Q863" s="1" t="n">
        <f aca="false">N(Q862)+$P863</f>
        <v>3</v>
      </c>
      <c r="R863" s="1" t="n">
        <f aca="false">IF(AND($K863=1,AND(对接源_01水果!$X863="公司筐",N(对接源_01水果!$U863)&lt;&gt;0)),1,0)</f>
        <v>0</v>
      </c>
      <c r="S863" s="1" t="n">
        <f aca="false">N(S862)+$R863</f>
        <v>0</v>
      </c>
      <c r="T863" s="1" t="n">
        <f aca="false">IF(AND($K863=1,AND(对接源_01水果!$X863="公司筐",N(对接源_01水果!$V863)&lt;&gt;0)),1,0)</f>
        <v>0</v>
      </c>
      <c r="U863" s="1" t="n">
        <f aca="false">N(U862)+$T863</f>
        <v>28</v>
      </c>
      <c r="V863" s="1" t="n">
        <f aca="false">IF(AND($L863=1,AND(对接源_01水果!$X863="自备筐",N(对接源_01水果!$V863)&lt;&gt;0)),1,0)</f>
        <v>0</v>
      </c>
      <c r="W863" s="1" t="n">
        <f aca="false">N(W862)+$V863</f>
        <v>7</v>
      </c>
      <c r="X863" s="1" t="n">
        <f aca="false">IF(AND($L863=1,AND(对接源_01水果!$X863="自备筐",N(对接源_01水果!$T863)&lt;&gt;0)),1,0)</f>
        <v>0</v>
      </c>
      <c r="Y863" s="1" t="n">
        <f aca="false">N(Y862)+$X863</f>
        <v>0</v>
      </c>
      <c r="Z863" s="1" t="n">
        <f aca="false">IF(AND($M863=1,对接源_01水果!$D863="原料入库"),1,0)</f>
        <v>0</v>
      </c>
      <c r="AA863" s="1" t="n">
        <f aca="false">N(AA862)+$Z863</f>
        <v>30</v>
      </c>
      <c r="AB863" s="1" t="n">
        <f aca="false">IF(AND($M863=1,LEFT(对接源_01水果!$D863,4)="原料出库"),1,0)</f>
        <v>0</v>
      </c>
      <c r="AC863" s="1" t="n">
        <f aca="false">N(AC862)+$AB863</f>
        <v>19</v>
      </c>
      <c r="AD863" s="1" t="n">
        <f aca="false">IF(AND($M863=1,LEFT(对接源_01水果!$D863,4)="成品出库"),1,0)</f>
        <v>0</v>
      </c>
      <c r="AE863" s="1" t="n">
        <f aca="false">N(AE862)+$AD863</f>
        <v>38</v>
      </c>
      <c r="AF863" s="1" t="n">
        <f aca="false">IF(AND($N863=1,AND(LEFT(对接源_01水果!$D863,4)="包装物料",N(对接源_01水果!$K863)&lt;&gt;0)),1,0)</f>
        <v>0</v>
      </c>
      <c r="AG863" s="90" t="str">
        <f aca="false">IF(对接源_01水果!$AC863="","",对接源_01水果!$AC863)</f>
        <v/>
      </c>
      <c r="AH863" s="1" t="n">
        <f aca="false">IF(AND($N863=1,AND(LEFT(对接源_01水果!$D863,3)="周转筐",N(对接源_01水果!$K863)&lt;&gt;0)),1,0)</f>
        <v>0</v>
      </c>
      <c r="AI863" s="90" t="n">
        <f aca="false">IF(AG863="",0,IF(MATCH(AG863,$AG$4:$AG$1203,0)=ROW()-3,1,0))</f>
        <v>0</v>
      </c>
      <c r="AJ863" s="90" t="n">
        <f aca="false">N(AJ862)+AI863</f>
        <v>4</v>
      </c>
      <c r="AK863" s="1" t="n">
        <f aca="false">N(AK862)+$AJ863</f>
        <v>2312</v>
      </c>
    </row>
    <row r="864" customFormat="false" ht="13.5" hidden="false" customHeight="false" outlineLevel="0" collapsed="false">
      <c r="A864" s="1" t="str">
        <f aca="false">IF(对接源_01水果!$C864="","",对接源_01水果!$C864)</f>
        <v/>
      </c>
      <c r="B864" s="1" t="n">
        <f aca="false">IF(A864="",0,IF(MATCH(A864,$A$4:$A$2403,0)=ROW()-3,1,0))</f>
        <v>0</v>
      </c>
      <c r="C864" s="1" t="n">
        <f aca="false">N(C863)+B864</f>
        <v>13</v>
      </c>
      <c r="K864" s="1" t="n">
        <f aca="false">IF(OR($K$1="",对接源_01水果!$C864="",对接源_01水果!$C864&lt;&gt;$K$1,对接源_01水果!$B864=""),0,IF(OR(N(对接源_01水果!$B864)&lt;$K$2,N(对接源_01水果!$B864)&gt;$K$3),0,1))</f>
        <v>0</v>
      </c>
      <c r="L864" s="1" t="n">
        <f aca="false">IF(OR($L$1="",对接源_01水果!$C864="",对接源_01水果!$C864&lt;&gt;$L$1,对接源_01水果!$B864=""),0,IF(OR(N(对接源_01水果!$B864)&lt;$L$2,N(对接源_01水果!$B864)&gt;$L$3),0,1))</f>
        <v>0</v>
      </c>
      <c r="M864" s="1" t="n">
        <f aca="false">IF(OR($M$1="",对接源_01水果!$C864="",对接源_01水果!$C864&lt;&gt;$M$1,对接源_01水果!$B864=""),0,IF(OR(N(对接源_01水果!$B864)&lt;$M$2,N(对接源_01水果!$B864)&gt;$M$3),0,1))</f>
        <v>0</v>
      </c>
      <c r="N864" s="1" t="n">
        <f aca="false">IF(OR($N$1="",对接源_01水果!$C864="",对接源_01水果!$C864&lt;&gt;$N$1,对接源_01水果!$B864=""),0,IF(OR(N(对接源_01水果!$B864)&lt;$N$2,N(对接源_01水果!$B864)&gt;$N$3),0,1))</f>
        <v>0</v>
      </c>
      <c r="P864" s="1" t="n">
        <f aca="false">IF(AND($K864=1,AND(对接源_01水果!$X864="公司筐",N(对接源_01水果!$T864)&lt;&gt;0)),1,0)</f>
        <v>0</v>
      </c>
      <c r="Q864" s="1" t="n">
        <f aca="false">N(Q863)+$P864</f>
        <v>3</v>
      </c>
      <c r="R864" s="1" t="n">
        <f aca="false">IF(AND($K864=1,AND(对接源_01水果!$X864="公司筐",N(对接源_01水果!$U864)&lt;&gt;0)),1,0)</f>
        <v>0</v>
      </c>
      <c r="S864" s="1" t="n">
        <f aca="false">N(S863)+$R864</f>
        <v>0</v>
      </c>
      <c r="T864" s="1" t="n">
        <f aca="false">IF(AND($K864=1,AND(对接源_01水果!$X864="公司筐",N(对接源_01水果!$V864)&lt;&gt;0)),1,0)</f>
        <v>0</v>
      </c>
      <c r="U864" s="1" t="n">
        <f aca="false">N(U863)+$T864</f>
        <v>28</v>
      </c>
      <c r="V864" s="1" t="n">
        <f aca="false">IF(AND($L864=1,AND(对接源_01水果!$X864="自备筐",N(对接源_01水果!$V864)&lt;&gt;0)),1,0)</f>
        <v>0</v>
      </c>
      <c r="W864" s="1" t="n">
        <f aca="false">N(W863)+$V864</f>
        <v>7</v>
      </c>
      <c r="X864" s="1" t="n">
        <f aca="false">IF(AND($L864=1,AND(对接源_01水果!$X864="自备筐",N(对接源_01水果!$T864)&lt;&gt;0)),1,0)</f>
        <v>0</v>
      </c>
      <c r="Y864" s="1" t="n">
        <f aca="false">N(Y863)+$X864</f>
        <v>0</v>
      </c>
      <c r="Z864" s="1" t="n">
        <f aca="false">IF(AND($M864=1,对接源_01水果!$D864="原料入库"),1,0)</f>
        <v>0</v>
      </c>
      <c r="AA864" s="1" t="n">
        <f aca="false">N(AA863)+$Z864</f>
        <v>30</v>
      </c>
      <c r="AB864" s="1" t="n">
        <f aca="false">IF(AND($M864=1,LEFT(对接源_01水果!$D864,4)="原料出库"),1,0)</f>
        <v>0</v>
      </c>
      <c r="AC864" s="1" t="n">
        <f aca="false">N(AC863)+$AB864</f>
        <v>19</v>
      </c>
      <c r="AD864" s="1" t="n">
        <f aca="false">IF(AND($M864=1,LEFT(对接源_01水果!$D864,4)="成品出库"),1,0)</f>
        <v>0</v>
      </c>
      <c r="AE864" s="1" t="n">
        <f aca="false">N(AE863)+$AD864</f>
        <v>38</v>
      </c>
      <c r="AF864" s="1" t="n">
        <f aca="false">IF(AND($N864=1,AND(LEFT(对接源_01水果!$D864,4)="包装物料",N(对接源_01水果!$K864)&lt;&gt;0)),1,0)</f>
        <v>0</v>
      </c>
      <c r="AG864" s="90" t="str">
        <f aca="false">IF(对接源_01水果!$AC864="","",对接源_01水果!$AC864)</f>
        <v/>
      </c>
      <c r="AH864" s="1" t="n">
        <f aca="false">IF(AND($N864=1,AND(LEFT(对接源_01水果!$D864,3)="周转筐",N(对接源_01水果!$K864)&lt;&gt;0)),1,0)</f>
        <v>0</v>
      </c>
      <c r="AI864" s="90" t="n">
        <f aca="false">IF(AG864="",0,IF(MATCH(AG864,$AG$4:$AG$1203,0)=ROW()-3,1,0))</f>
        <v>0</v>
      </c>
      <c r="AJ864" s="90" t="n">
        <f aca="false">N(AJ863)+AI864</f>
        <v>4</v>
      </c>
      <c r="AK864" s="1" t="n">
        <f aca="false">N(AK863)+$AJ864</f>
        <v>2316</v>
      </c>
    </row>
    <row r="865" customFormat="false" ht="13.5" hidden="false" customHeight="false" outlineLevel="0" collapsed="false">
      <c r="A865" s="1" t="str">
        <f aca="false">IF(对接源_01水果!$C865="","",对接源_01水果!$C865)</f>
        <v/>
      </c>
      <c r="B865" s="1" t="n">
        <f aca="false">IF(A865="",0,IF(MATCH(A865,$A$4:$A$2403,0)=ROW()-3,1,0))</f>
        <v>0</v>
      </c>
      <c r="C865" s="1" t="n">
        <f aca="false">N(C864)+B865</f>
        <v>13</v>
      </c>
      <c r="K865" s="1" t="n">
        <f aca="false">IF(OR($K$1="",对接源_01水果!$C865="",对接源_01水果!$C865&lt;&gt;$K$1,对接源_01水果!$B865=""),0,IF(OR(N(对接源_01水果!$B865)&lt;$K$2,N(对接源_01水果!$B865)&gt;$K$3),0,1))</f>
        <v>0</v>
      </c>
      <c r="L865" s="1" t="n">
        <f aca="false">IF(OR($L$1="",对接源_01水果!$C865="",对接源_01水果!$C865&lt;&gt;$L$1,对接源_01水果!$B865=""),0,IF(OR(N(对接源_01水果!$B865)&lt;$L$2,N(对接源_01水果!$B865)&gt;$L$3),0,1))</f>
        <v>0</v>
      </c>
      <c r="M865" s="1" t="n">
        <f aca="false">IF(OR($M$1="",对接源_01水果!$C865="",对接源_01水果!$C865&lt;&gt;$M$1,对接源_01水果!$B865=""),0,IF(OR(N(对接源_01水果!$B865)&lt;$M$2,N(对接源_01水果!$B865)&gt;$M$3),0,1))</f>
        <v>0</v>
      </c>
      <c r="N865" s="1" t="n">
        <f aca="false">IF(OR($N$1="",对接源_01水果!$C865="",对接源_01水果!$C865&lt;&gt;$N$1,对接源_01水果!$B865=""),0,IF(OR(N(对接源_01水果!$B865)&lt;$N$2,N(对接源_01水果!$B865)&gt;$N$3),0,1))</f>
        <v>0</v>
      </c>
      <c r="P865" s="1" t="n">
        <f aca="false">IF(AND($K865=1,AND(对接源_01水果!$X865="公司筐",N(对接源_01水果!$T865)&lt;&gt;0)),1,0)</f>
        <v>0</v>
      </c>
      <c r="Q865" s="1" t="n">
        <f aca="false">N(Q864)+$P865</f>
        <v>3</v>
      </c>
      <c r="R865" s="1" t="n">
        <f aca="false">IF(AND($K865=1,AND(对接源_01水果!$X865="公司筐",N(对接源_01水果!$U865)&lt;&gt;0)),1,0)</f>
        <v>0</v>
      </c>
      <c r="S865" s="1" t="n">
        <f aca="false">N(S864)+$R865</f>
        <v>0</v>
      </c>
      <c r="T865" s="1" t="n">
        <f aca="false">IF(AND($K865=1,AND(对接源_01水果!$X865="公司筐",N(对接源_01水果!$V865)&lt;&gt;0)),1,0)</f>
        <v>0</v>
      </c>
      <c r="U865" s="1" t="n">
        <f aca="false">N(U864)+$T865</f>
        <v>28</v>
      </c>
      <c r="V865" s="1" t="n">
        <f aca="false">IF(AND($L865=1,AND(对接源_01水果!$X865="自备筐",N(对接源_01水果!$V865)&lt;&gt;0)),1,0)</f>
        <v>0</v>
      </c>
      <c r="W865" s="1" t="n">
        <f aca="false">N(W864)+$V865</f>
        <v>7</v>
      </c>
      <c r="X865" s="1" t="n">
        <f aca="false">IF(AND($L865=1,AND(对接源_01水果!$X865="自备筐",N(对接源_01水果!$T865)&lt;&gt;0)),1,0)</f>
        <v>0</v>
      </c>
      <c r="Y865" s="1" t="n">
        <f aca="false">N(Y864)+$X865</f>
        <v>0</v>
      </c>
      <c r="Z865" s="1" t="n">
        <f aca="false">IF(AND($M865=1,对接源_01水果!$D865="原料入库"),1,0)</f>
        <v>0</v>
      </c>
      <c r="AA865" s="1" t="n">
        <f aca="false">N(AA864)+$Z865</f>
        <v>30</v>
      </c>
      <c r="AB865" s="1" t="n">
        <f aca="false">IF(AND($M865=1,LEFT(对接源_01水果!$D865,4)="原料出库"),1,0)</f>
        <v>0</v>
      </c>
      <c r="AC865" s="1" t="n">
        <f aca="false">N(AC864)+$AB865</f>
        <v>19</v>
      </c>
      <c r="AD865" s="1" t="n">
        <f aca="false">IF(AND($M865=1,LEFT(对接源_01水果!$D865,4)="成品出库"),1,0)</f>
        <v>0</v>
      </c>
      <c r="AE865" s="1" t="n">
        <f aca="false">N(AE864)+$AD865</f>
        <v>38</v>
      </c>
      <c r="AF865" s="1" t="n">
        <f aca="false">IF(AND($N865=1,AND(LEFT(对接源_01水果!$D865,4)="包装物料",N(对接源_01水果!$K865)&lt;&gt;0)),1,0)</f>
        <v>0</v>
      </c>
      <c r="AG865" s="90" t="str">
        <f aca="false">IF(对接源_01水果!$AC865="","",对接源_01水果!$AC865)</f>
        <v/>
      </c>
      <c r="AH865" s="1" t="n">
        <f aca="false">IF(AND($N865=1,AND(LEFT(对接源_01水果!$D865,3)="周转筐",N(对接源_01水果!$K865)&lt;&gt;0)),1,0)</f>
        <v>0</v>
      </c>
      <c r="AI865" s="90" t="n">
        <f aca="false">IF(AG865="",0,IF(MATCH(AG865,$AG$4:$AG$1203,0)=ROW()-3,1,0))</f>
        <v>0</v>
      </c>
      <c r="AJ865" s="90" t="n">
        <f aca="false">N(AJ864)+AI865</f>
        <v>4</v>
      </c>
      <c r="AK865" s="1" t="n">
        <f aca="false">N(AK864)+$AJ865</f>
        <v>2320</v>
      </c>
    </row>
    <row r="866" customFormat="false" ht="13.5" hidden="false" customHeight="false" outlineLevel="0" collapsed="false">
      <c r="A866" s="1" t="str">
        <f aca="false">IF(对接源_01水果!$C866="","",对接源_01水果!$C866)</f>
        <v/>
      </c>
      <c r="B866" s="1" t="n">
        <f aca="false">IF(A866="",0,IF(MATCH(A866,$A$4:$A$2403,0)=ROW()-3,1,0))</f>
        <v>0</v>
      </c>
      <c r="C866" s="1" t="n">
        <f aca="false">N(C865)+B866</f>
        <v>13</v>
      </c>
      <c r="K866" s="1" t="n">
        <f aca="false">IF(OR($K$1="",对接源_01水果!$C866="",对接源_01水果!$C866&lt;&gt;$K$1,对接源_01水果!$B866=""),0,IF(OR(N(对接源_01水果!$B866)&lt;$K$2,N(对接源_01水果!$B866)&gt;$K$3),0,1))</f>
        <v>0</v>
      </c>
      <c r="L866" s="1" t="n">
        <f aca="false">IF(OR($L$1="",对接源_01水果!$C866="",对接源_01水果!$C866&lt;&gt;$L$1,对接源_01水果!$B866=""),0,IF(OR(N(对接源_01水果!$B866)&lt;$L$2,N(对接源_01水果!$B866)&gt;$L$3),0,1))</f>
        <v>0</v>
      </c>
      <c r="M866" s="1" t="n">
        <f aca="false">IF(OR($M$1="",对接源_01水果!$C866="",对接源_01水果!$C866&lt;&gt;$M$1,对接源_01水果!$B866=""),0,IF(OR(N(对接源_01水果!$B866)&lt;$M$2,N(对接源_01水果!$B866)&gt;$M$3),0,1))</f>
        <v>0</v>
      </c>
      <c r="N866" s="1" t="n">
        <f aca="false">IF(OR($N$1="",对接源_01水果!$C866="",对接源_01水果!$C866&lt;&gt;$N$1,对接源_01水果!$B866=""),0,IF(OR(N(对接源_01水果!$B866)&lt;$N$2,N(对接源_01水果!$B866)&gt;$N$3),0,1))</f>
        <v>0</v>
      </c>
      <c r="P866" s="1" t="n">
        <f aca="false">IF(AND($K866=1,AND(对接源_01水果!$X866="公司筐",N(对接源_01水果!$T866)&lt;&gt;0)),1,0)</f>
        <v>0</v>
      </c>
      <c r="Q866" s="1" t="n">
        <f aca="false">N(Q865)+$P866</f>
        <v>3</v>
      </c>
      <c r="R866" s="1" t="n">
        <f aca="false">IF(AND($K866=1,AND(对接源_01水果!$X866="公司筐",N(对接源_01水果!$U866)&lt;&gt;0)),1,0)</f>
        <v>0</v>
      </c>
      <c r="S866" s="1" t="n">
        <f aca="false">N(S865)+$R866</f>
        <v>0</v>
      </c>
      <c r="T866" s="1" t="n">
        <f aca="false">IF(AND($K866=1,AND(对接源_01水果!$X866="公司筐",N(对接源_01水果!$V866)&lt;&gt;0)),1,0)</f>
        <v>0</v>
      </c>
      <c r="U866" s="1" t="n">
        <f aca="false">N(U865)+$T866</f>
        <v>28</v>
      </c>
      <c r="V866" s="1" t="n">
        <f aca="false">IF(AND($L866=1,AND(对接源_01水果!$X866="自备筐",N(对接源_01水果!$V866)&lt;&gt;0)),1,0)</f>
        <v>0</v>
      </c>
      <c r="W866" s="1" t="n">
        <f aca="false">N(W865)+$V866</f>
        <v>7</v>
      </c>
      <c r="X866" s="1" t="n">
        <f aca="false">IF(AND($L866=1,AND(对接源_01水果!$X866="自备筐",N(对接源_01水果!$T866)&lt;&gt;0)),1,0)</f>
        <v>0</v>
      </c>
      <c r="Y866" s="1" t="n">
        <f aca="false">N(Y865)+$X866</f>
        <v>0</v>
      </c>
      <c r="Z866" s="1" t="n">
        <f aca="false">IF(AND($M866=1,对接源_01水果!$D866="原料入库"),1,0)</f>
        <v>0</v>
      </c>
      <c r="AA866" s="1" t="n">
        <f aca="false">N(AA865)+$Z866</f>
        <v>30</v>
      </c>
      <c r="AB866" s="1" t="n">
        <f aca="false">IF(AND($M866=1,LEFT(对接源_01水果!$D866,4)="原料出库"),1,0)</f>
        <v>0</v>
      </c>
      <c r="AC866" s="1" t="n">
        <f aca="false">N(AC865)+$AB866</f>
        <v>19</v>
      </c>
      <c r="AD866" s="1" t="n">
        <f aca="false">IF(AND($M866=1,LEFT(对接源_01水果!$D866,4)="成品出库"),1,0)</f>
        <v>0</v>
      </c>
      <c r="AE866" s="1" t="n">
        <f aca="false">N(AE865)+$AD866</f>
        <v>38</v>
      </c>
      <c r="AF866" s="1" t="n">
        <f aca="false">IF(AND($N866=1,AND(LEFT(对接源_01水果!$D866,4)="包装物料",N(对接源_01水果!$K866)&lt;&gt;0)),1,0)</f>
        <v>0</v>
      </c>
      <c r="AG866" s="90" t="str">
        <f aca="false">IF(对接源_01水果!$AC866="","",对接源_01水果!$AC866)</f>
        <v/>
      </c>
      <c r="AH866" s="1" t="n">
        <f aca="false">IF(AND($N866=1,AND(LEFT(对接源_01水果!$D866,3)="周转筐",N(对接源_01水果!$K866)&lt;&gt;0)),1,0)</f>
        <v>0</v>
      </c>
      <c r="AI866" s="90" t="n">
        <f aca="false">IF(AG866="",0,IF(MATCH(AG866,$AG$4:$AG$1203,0)=ROW()-3,1,0))</f>
        <v>0</v>
      </c>
      <c r="AJ866" s="90" t="n">
        <f aca="false">N(AJ865)+AI866</f>
        <v>4</v>
      </c>
      <c r="AK866" s="1" t="n">
        <f aca="false">N(AK865)+$AJ866</f>
        <v>2324</v>
      </c>
    </row>
    <row r="867" customFormat="false" ht="13.5" hidden="false" customHeight="false" outlineLevel="0" collapsed="false">
      <c r="A867" s="1" t="str">
        <f aca="false">IF(对接源_01水果!$C867="","",对接源_01水果!$C867)</f>
        <v/>
      </c>
      <c r="B867" s="1" t="n">
        <f aca="false">IF(A867="",0,IF(MATCH(A867,$A$4:$A$2403,0)=ROW()-3,1,0))</f>
        <v>0</v>
      </c>
      <c r="C867" s="1" t="n">
        <f aca="false">N(C866)+B867</f>
        <v>13</v>
      </c>
      <c r="K867" s="1" t="n">
        <f aca="false">IF(OR($K$1="",对接源_01水果!$C867="",对接源_01水果!$C867&lt;&gt;$K$1,对接源_01水果!$B867=""),0,IF(OR(N(对接源_01水果!$B867)&lt;$K$2,N(对接源_01水果!$B867)&gt;$K$3),0,1))</f>
        <v>0</v>
      </c>
      <c r="L867" s="1" t="n">
        <f aca="false">IF(OR($L$1="",对接源_01水果!$C867="",对接源_01水果!$C867&lt;&gt;$L$1,对接源_01水果!$B867=""),0,IF(OR(N(对接源_01水果!$B867)&lt;$L$2,N(对接源_01水果!$B867)&gt;$L$3),0,1))</f>
        <v>0</v>
      </c>
      <c r="M867" s="1" t="n">
        <f aca="false">IF(OR($M$1="",对接源_01水果!$C867="",对接源_01水果!$C867&lt;&gt;$M$1,对接源_01水果!$B867=""),0,IF(OR(N(对接源_01水果!$B867)&lt;$M$2,N(对接源_01水果!$B867)&gt;$M$3),0,1))</f>
        <v>0</v>
      </c>
      <c r="N867" s="1" t="n">
        <f aca="false">IF(OR($N$1="",对接源_01水果!$C867="",对接源_01水果!$C867&lt;&gt;$N$1,对接源_01水果!$B867=""),0,IF(OR(N(对接源_01水果!$B867)&lt;$N$2,N(对接源_01水果!$B867)&gt;$N$3),0,1))</f>
        <v>0</v>
      </c>
      <c r="P867" s="1" t="n">
        <f aca="false">IF(AND($K867=1,AND(对接源_01水果!$X867="公司筐",N(对接源_01水果!$T867)&lt;&gt;0)),1,0)</f>
        <v>0</v>
      </c>
      <c r="Q867" s="1" t="n">
        <f aca="false">N(Q866)+$P867</f>
        <v>3</v>
      </c>
      <c r="R867" s="1" t="n">
        <f aca="false">IF(AND($K867=1,AND(对接源_01水果!$X867="公司筐",N(对接源_01水果!$U867)&lt;&gt;0)),1,0)</f>
        <v>0</v>
      </c>
      <c r="S867" s="1" t="n">
        <f aca="false">N(S866)+$R867</f>
        <v>0</v>
      </c>
      <c r="T867" s="1" t="n">
        <f aca="false">IF(AND($K867=1,AND(对接源_01水果!$X867="公司筐",N(对接源_01水果!$V867)&lt;&gt;0)),1,0)</f>
        <v>0</v>
      </c>
      <c r="U867" s="1" t="n">
        <f aca="false">N(U866)+$T867</f>
        <v>28</v>
      </c>
      <c r="V867" s="1" t="n">
        <f aca="false">IF(AND($L867=1,AND(对接源_01水果!$X867="自备筐",N(对接源_01水果!$V867)&lt;&gt;0)),1,0)</f>
        <v>0</v>
      </c>
      <c r="W867" s="1" t="n">
        <f aca="false">N(W866)+$V867</f>
        <v>7</v>
      </c>
      <c r="X867" s="1" t="n">
        <f aca="false">IF(AND($L867=1,AND(对接源_01水果!$X867="自备筐",N(对接源_01水果!$T867)&lt;&gt;0)),1,0)</f>
        <v>0</v>
      </c>
      <c r="Y867" s="1" t="n">
        <f aca="false">N(Y866)+$X867</f>
        <v>0</v>
      </c>
      <c r="Z867" s="1" t="n">
        <f aca="false">IF(AND($M867=1,对接源_01水果!$D867="原料入库"),1,0)</f>
        <v>0</v>
      </c>
      <c r="AA867" s="1" t="n">
        <f aca="false">N(AA866)+$Z867</f>
        <v>30</v>
      </c>
      <c r="AB867" s="1" t="n">
        <f aca="false">IF(AND($M867=1,LEFT(对接源_01水果!$D867,4)="原料出库"),1,0)</f>
        <v>0</v>
      </c>
      <c r="AC867" s="1" t="n">
        <f aca="false">N(AC866)+$AB867</f>
        <v>19</v>
      </c>
      <c r="AD867" s="1" t="n">
        <f aca="false">IF(AND($M867=1,LEFT(对接源_01水果!$D867,4)="成品出库"),1,0)</f>
        <v>0</v>
      </c>
      <c r="AE867" s="1" t="n">
        <f aca="false">N(AE866)+$AD867</f>
        <v>38</v>
      </c>
      <c r="AF867" s="1" t="n">
        <f aca="false">IF(AND($N867=1,AND(LEFT(对接源_01水果!$D867,4)="包装物料",N(对接源_01水果!$K867)&lt;&gt;0)),1,0)</f>
        <v>0</v>
      </c>
      <c r="AG867" s="90" t="str">
        <f aca="false">IF(对接源_01水果!$AC867="","",对接源_01水果!$AC867)</f>
        <v/>
      </c>
      <c r="AH867" s="1" t="n">
        <f aca="false">IF(AND($N867=1,AND(LEFT(对接源_01水果!$D867,3)="周转筐",N(对接源_01水果!$K867)&lt;&gt;0)),1,0)</f>
        <v>0</v>
      </c>
      <c r="AI867" s="90" t="n">
        <f aca="false">IF(AG867="",0,IF(MATCH(AG867,$AG$4:$AG$1203,0)=ROW()-3,1,0))</f>
        <v>0</v>
      </c>
      <c r="AJ867" s="90" t="n">
        <f aca="false">N(AJ866)+AI867</f>
        <v>4</v>
      </c>
      <c r="AK867" s="1" t="n">
        <f aca="false">N(AK866)+$AJ867</f>
        <v>2328</v>
      </c>
    </row>
    <row r="868" customFormat="false" ht="13.5" hidden="false" customHeight="false" outlineLevel="0" collapsed="false">
      <c r="A868" s="1" t="str">
        <f aca="false">IF(对接源_01水果!$C868="","",对接源_01水果!$C868)</f>
        <v/>
      </c>
      <c r="B868" s="1" t="n">
        <f aca="false">IF(A868="",0,IF(MATCH(A868,$A$4:$A$2403,0)=ROW()-3,1,0))</f>
        <v>0</v>
      </c>
      <c r="C868" s="1" t="n">
        <f aca="false">N(C867)+B868</f>
        <v>13</v>
      </c>
      <c r="K868" s="1" t="n">
        <f aca="false">IF(OR($K$1="",对接源_01水果!$C868="",对接源_01水果!$C868&lt;&gt;$K$1,对接源_01水果!$B868=""),0,IF(OR(N(对接源_01水果!$B868)&lt;$K$2,N(对接源_01水果!$B868)&gt;$K$3),0,1))</f>
        <v>0</v>
      </c>
      <c r="L868" s="1" t="n">
        <f aca="false">IF(OR($L$1="",对接源_01水果!$C868="",对接源_01水果!$C868&lt;&gt;$L$1,对接源_01水果!$B868=""),0,IF(OR(N(对接源_01水果!$B868)&lt;$L$2,N(对接源_01水果!$B868)&gt;$L$3),0,1))</f>
        <v>0</v>
      </c>
      <c r="M868" s="1" t="n">
        <f aca="false">IF(OR($M$1="",对接源_01水果!$C868="",对接源_01水果!$C868&lt;&gt;$M$1,对接源_01水果!$B868=""),0,IF(OR(N(对接源_01水果!$B868)&lt;$M$2,N(对接源_01水果!$B868)&gt;$M$3),0,1))</f>
        <v>0</v>
      </c>
      <c r="N868" s="1" t="n">
        <f aca="false">IF(OR($N$1="",对接源_01水果!$C868="",对接源_01水果!$C868&lt;&gt;$N$1,对接源_01水果!$B868=""),0,IF(OR(N(对接源_01水果!$B868)&lt;$N$2,N(对接源_01水果!$B868)&gt;$N$3),0,1))</f>
        <v>0</v>
      </c>
      <c r="P868" s="1" t="n">
        <f aca="false">IF(AND($K868=1,AND(对接源_01水果!$X868="公司筐",N(对接源_01水果!$T868)&lt;&gt;0)),1,0)</f>
        <v>0</v>
      </c>
      <c r="Q868" s="1" t="n">
        <f aca="false">N(Q867)+$P868</f>
        <v>3</v>
      </c>
      <c r="R868" s="1" t="n">
        <f aca="false">IF(AND($K868=1,AND(对接源_01水果!$X868="公司筐",N(对接源_01水果!$U868)&lt;&gt;0)),1,0)</f>
        <v>0</v>
      </c>
      <c r="S868" s="1" t="n">
        <f aca="false">N(S867)+$R868</f>
        <v>0</v>
      </c>
      <c r="T868" s="1" t="n">
        <f aca="false">IF(AND($K868=1,AND(对接源_01水果!$X868="公司筐",N(对接源_01水果!$V868)&lt;&gt;0)),1,0)</f>
        <v>0</v>
      </c>
      <c r="U868" s="1" t="n">
        <f aca="false">N(U867)+$T868</f>
        <v>28</v>
      </c>
      <c r="V868" s="1" t="n">
        <f aca="false">IF(AND($L868=1,AND(对接源_01水果!$X868="自备筐",N(对接源_01水果!$V868)&lt;&gt;0)),1,0)</f>
        <v>0</v>
      </c>
      <c r="W868" s="1" t="n">
        <f aca="false">N(W867)+$V868</f>
        <v>7</v>
      </c>
      <c r="X868" s="1" t="n">
        <f aca="false">IF(AND($L868=1,AND(对接源_01水果!$X868="自备筐",N(对接源_01水果!$T868)&lt;&gt;0)),1,0)</f>
        <v>0</v>
      </c>
      <c r="Y868" s="1" t="n">
        <f aca="false">N(Y867)+$X868</f>
        <v>0</v>
      </c>
      <c r="Z868" s="1" t="n">
        <f aca="false">IF(AND($M868=1,对接源_01水果!$D868="原料入库"),1,0)</f>
        <v>0</v>
      </c>
      <c r="AA868" s="1" t="n">
        <f aca="false">N(AA867)+$Z868</f>
        <v>30</v>
      </c>
      <c r="AB868" s="1" t="n">
        <f aca="false">IF(AND($M868=1,LEFT(对接源_01水果!$D868,4)="原料出库"),1,0)</f>
        <v>0</v>
      </c>
      <c r="AC868" s="1" t="n">
        <f aca="false">N(AC867)+$AB868</f>
        <v>19</v>
      </c>
      <c r="AD868" s="1" t="n">
        <f aca="false">IF(AND($M868=1,LEFT(对接源_01水果!$D868,4)="成品出库"),1,0)</f>
        <v>0</v>
      </c>
      <c r="AE868" s="1" t="n">
        <f aca="false">N(AE867)+$AD868</f>
        <v>38</v>
      </c>
      <c r="AF868" s="1" t="n">
        <f aca="false">IF(AND($N868=1,AND(LEFT(对接源_01水果!$D868,4)="包装物料",N(对接源_01水果!$K868)&lt;&gt;0)),1,0)</f>
        <v>0</v>
      </c>
      <c r="AG868" s="90" t="str">
        <f aca="false">IF(对接源_01水果!$AC868="","",对接源_01水果!$AC868)</f>
        <v/>
      </c>
      <c r="AH868" s="1" t="n">
        <f aca="false">IF(AND($N868=1,AND(LEFT(对接源_01水果!$D868,3)="周转筐",N(对接源_01水果!$K868)&lt;&gt;0)),1,0)</f>
        <v>0</v>
      </c>
      <c r="AI868" s="90" t="n">
        <f aca="false">IF(AG868="",0,IF(MATCH(AG868,$AG$4:$AG$1203,0)=ROW()-3,1,0))</f>
        <v>0</v>
      </c>
      <c r="AJ868" s="90" t="n">
        <f aca="false">N(AJ867)+AI868</f>
        <v>4</v>
      </c>
      <c r="AK868" s="1" t="n">
        <f aca="false">N(AK867)+$AJ868</f>
        <v>2332</v>
      </c>
    </row>
    <row r="869" customFormat="false" ht="13.5" hidden="false" customHeight="false" outlineLevel="0" collapsed="false">
      <c r="A869" s="1" t="str">
        <f aca="false">IF(对接源_01水果!$C869="","",对接源_01水果!$C869)</f>
        <v/>
      </c>
      <c r="B869" s="1" t="n">
        <f aca="false">IF(A869="",0,IF(MATCH(A869,$A$4:$A$2403,0)=ROW()-3,1,0))</f>
        <v>0</v>
      </c>
      <c r="C869" s="1" t="n">
        <f aca="false">N(C868)+B869</f>
        <v>13</v>
      </c>
      <c r="K869" s="1" t="n">
        <f aca="false">IF(OR($K$1="",对接源_01水果!$C869="",对接源_01水果!$C869&lt;&gt;$K$1,对接源_01水果!$B869=""),0,IF(OR(N(对接源_01水果!$B869)&lt;$K$2,N(对接源_01水果!$B869)&gt;$K$3),0,1))</f>
        <v>0</v>
      </c>
      <c r="L869" s="1" t="n">
        <f aca="false">IF(OR($L$1="",对接源_01水果!$C869="",对接源_01水果!$C869&lt;&gt;$L$1,对接源_01水果!$B869=""),0,IF(OR(N(对接源_01水果!$B869)&lt;$L$2,N(对接源_01水果!$B869)&gt;$L$3),0,1))</f>
        <v>0</v>
      </c>
      <c r="M869" s="1" t="n">
        <f aca="false">IF(OR($M$1="",对接源_01水果!$C869="",对接源_01水果!$C869&lt;&gt;$M$1,对接源_01水果!$B869=""),0,IF(OR(N(对接源_01水果!$B869)&lt;$M$2,N(对接源_01水果!$B869)&gt;$M$3),0,1))</f>
        <v>0</v>
      </c>
      <c r="N869" s="1" t="n">
        <f aca="false">IF(OR($N$1="",对接源_01水果!$C869="",对接源_01水果!$C869&lt;&gt;$N$1,对接源_01水果!$B869=""),0,IF(OR(N(对接源_01水果!$B869)&lt;$N$2,N(对接源_01水果!$B869)&gt;$N$3),0,1))</f>
        <v>0</v>
      </c>
      <c r="P869" s="1" t="n">
        <f aca="false">IF(AND($K869=1,AND(对接源_01水果!$X869="公司筐",N(对接源_01水果!$T869)&lt;&gt;0)),1,0)</f>
        <v>0</v>
      </c>
      <c r="Q869" s="1" t="n">
        <f aca="false">N(Q868)+$P869</f>
        <v>3</v>
      </c>
      <c r="R869" s="1" t="n">
        <f aca="false">IF(AND($K869=1,AND(对接源_01水果!$X869="公司筐",N(对接源_01水果!$U869)&lt;&gt;0)),1,0)</f>
        <v>0</v>
      </c>
      <c r="S869" s="1" t="n">
        <f aca="false">N(S868)+$R869</f>
        <v>0</v>
      </c>
      <c r="T869" s="1" t="n">
        <f aca="false">IF(AND($K869=1,AND(对接源_01水果!$X869="公司筐",N(对接源_01水果!$V869)&lt;&gt;0)),1,0)</f>
        <v>0</v>
      </c>
      <c r="U869" s="1" t="n">
        <f aca="false">N(U868)+$T869</f>
        <v>28</v>
      </c>
      <c r="V869" s="1" t="n">
        <f aca="false">IF(AND($L869=1,AND(对接源_01水果!$X869="自备筐",N(对接源_01水果!$V869)&lt;&gt;0)),1,0)</f>
        <v>0</v>
      </c>
      <c r="W869" s="1" t="n">
        <f aca="false">N(W868)+$V869</f>
        <v>7</v>
      </c>
      <c r="X869" s="1" t="n">
        <f aca="false">IF(AND($L869=1,AND(对接源_01水果!$X869="自备筐",N(对接源_01水果!$T869)&lt;&gt;0)),1,0)</f>
        <v>0</v>
      </c>
      <c r="Y869" s="1" t="n">
        <f aca="false">N(Y868)+$X869</f>
        <v>0</v>
      </c>
      <c r="Z869" s="1" t="n">
        <f aca="false">IF(AND($M869=1,对接源_01水果!$D869="原料入库"),1,0)</f>
        <v>0</v>
      </c>
      <c r="AA869" s="1" t="n">
        <f aca="false">N(AA868)+$Z869</f>
        <v>30</v>
      </c>
      <c r="AB869" s="1" t="n">
        <f aca="false">IF(AND($M869=1,LEFT(对接源_01水果!$D869,4)="原料出库"),1,0)</f>
        <v>0</v>
      </c>
      <c r="AC869" s="1" t="n">
        <f aca="false">N(AC868)+$AB869</f>
        <v>19</v>
      </c>
      <c r="AD869" s="1" t="n">
        <f aca="false">IF(AND($M869=1,LEFT(对接源_01水果!$D869,4)="成品出库"),1,0)</f>
        <v>0</v>
      </c>
      <c r="AE869" s="1" t="n">
        <f aca="false">N(AE868)+$AD869</f>
        <v>38</v>
      </c>
      <c r="AF869" s="1" t="n">
        <f aca="false">IF(AND($N869=1,AND(LEFT(对接源_01水果!$D869,4)="包装物料",N(对接源_01水果!$K869)&lt;&gt;0)),1,0)</f>
        <v>0</v>
      </c>
      <c r="AG869" s="90" t="str">
        <f aca="false">IF(对接源_01水果!$AC869="","",对接源_01水果!$AC869)</f>
        <v/>
      </c>
      <c r="AH869" s="1" t="n">
        <f aca="false">IF(AND($N869=1,AND(LEFT(对接源_01水果!$D869,3)="周转筐",N(对接源_01水果!$K869)&lt;&gt;0)),1,0)</f>
        <v>0</v>
      </c>
      <c r="AI869" s="90" t="n">
        <f aca="false">IF(AG869="",0,IF(MATCH(AG869,$AG$4:$AG$1203,0)=ROW()-3,1,0))</f>
        <v>0</v>
      </c>
      <c r="AJ869" s="90" t="n">
        <f aca="false">N(AJ868)+AI869</f>
        <v>4</v>
      </c>
      <c r="AK869" s="1" t="n">
        <f aca="false">N(AK868)+$AJ869</f>
        <v>2336</v>
      </c>
    </row>
    <row r="870" customFormat="false" ht="13.5" hidden="false" customHeight="false" outlineLevel="0" collapsed="false">
      <c r="A870" s="1" t="str">
        <f aca="false">IF(对接源_01水果!$C870="","",对接源_01水果!$C870)</f>
        <v/>
      </c>
      <c r="B870" s="1" t="n">
        <f aca="false">IF(A870="",0,IF(MATCH(A870,$A$4:$A$2403,0)=ROW()-3,1,0))</f>
        <v>0</v>
      </c>
      <c r="C870" s="1" t="n">
        <f aca="false">N(C869)+B870</f>
        <v>13</v>
      </c>
      <c r="K870" s="1" t="n">
        <f aca="false">IF(OR($K$1="",对接源_01水果!$C870="",对接源_01水果!$C870&lt;&gt;$K$1,对接源_01水果!$B870=""),0,IF(OR(N(对接源_01水果!$B870)&lt;$K$2,N(对接源_01水果!$B870)&gt;$K$3),0,1))</f>
        <v>0</v>
      </c>
      <c r="L870" s="1" t="n">
        <f aca="false">IF(OR($L$1="",对接源_01水果!$C870="",对接源_01水果!$C870&lt;&gt;$L$1,对接源_01水果!$B870=""),0,IF(OR(N(对接源_01水果!$B870)&lt;$L$2,N(对接源_01水果!$B870)&gt;$L$3),0,1))</f>
        <v>0</v>
      </c>
      <c r="M870" s="1" t="n">
        <f aca="false">IF(OR($M$1="",对接源_01水果!$C870="",对接源_01水果!$C870&lt;&gt;$M$1,对接源_01水果!$B870=""),0,IF(OR(N(对接源_01水果!$B870)&lt;$M$2,N(对接源_01水果!$B870)&gt;$M$3),0,1))</f>
        <v>0</v>
      </c>
      <c r="N870" s="1" t="n">
        <f aca="false">IF(OR($N$1="",对接源_01水果!$C870="",对接源_01水果!$C870&lt;&gt;$N$1,对接源_01水果!$B870=""),0,IF(OR(N(对接源_01水果!$B870)&lt;$N$2,N(对接源_01水果!$B870)&gt;$N$3),0,1))</f>
        <v>0</v>
      </c>
      <c r="P870" s="1" t="n">
        <f aca="false">IF(AND($K870=1,AND(对接源_01水果!$X870="公司筐",N(对接源_01水果!$T870)&lt;&gt;0)),1,0)</f>
        <v>0</v>
      </c>
      <c r="Q870" s="1" t="n">
        <f aca="false">N(Q869)+$P870</f>
        <v>3</v>
      </c>
      <c r="R870" s="1" t="n">
        <f aca="false">IF(AND($K870=1,AND(对接源_01水果!$X870="公司筐",N(对接源_01水果!$U870)&lt;&gt;0)),1,0)</f>
        <v>0</v>
      </c>
      <c r="S870" s="1" t="n">
        <f aca="false">N(S869)+$R870</f>
        <v>0</v>
      </c>
      <c r="T870" s="1" t="n">
        <f aca="false">IF(AND($K870=1,AND(对接源_01水果!$X870="公司筐",N(对接源_01水果!$V870)&lt;&gt;0)),1,0)</f>
        <v>0</v>
      </c>
      <c r="U870" s="1" t="n">
        <f aca="false">N(U869)+$T870</f>
        <v>28</v>
      </c>
      <c r="V870" s="1" t="n">
        <f aca="false">IF(AND($L870=1,AND(对接源_01水果!$X870="自备筐",N(对接源_01水果!$V870)&lt;&gt;0)),1,0)</f>
        <v>0</v>
      </c>
      <c r="W870" s="1" t="n">
        <f aca="false">N(W869)+$V870</f>
        <v>7</v>
      </c>
      <c r="X870" s="1" t="n">
        <f aca="false">IF(AND($L870=1,AND(对接源_01水果!$X870="自备筐",N(对接源_01水果!$T870)&lt;&gt;0)),1,0)</f>
        <v>0</v>
      </c>
      <c r="Y870" s="1" t="n">
        <f aca="false">N(Y869)+$X870</f>
        <v>0</v>
      </c>
      <c r="Z870" s="1" t="n">
        <f aca="false">IF(AND($M870=1,对接源_01水果!$D870="原料入库"),1,0)</f>
        <v>0</v>
      </c>
      <c r="AA870" s="1" t="n">
        <f aca="false">N(AA869)+$Z870</f>
        <v>30</v>
      </c>
      <c r="AB870" s="1" t="n">
        <f aca="false">IF(AND($M870=1,LEFT(对接源_01水果!$D870,4)="原料出库"),1,0)</f>
        <v>0</v>
      </c>
      <c r="AC870" s="1" t="n">
        <f aca="false">N(AC869)+$AB870</f>
        <v>19</v>
      </c>
      <c r="AD870" s="1" t="n">
        <f aca="false">IF(AND($M870=1,LEFT(对接源_01水果!$D870,4)="成品出库"),1,0)</f>
        <v>0</v>
      </c>
      <c r="AE870" s="1" t="n">
        <f aca="false">N(AE869)+$AD870</f>
        <v>38</v>
      </c>
      <c r="AF870" s="1" t="n">
        <f aca="false">IF(AND($N870=1,AND(LEFT(对接源_01水果!$D870,4)="包装物料",N(对接源_01水果!$K870)&lt;&gt;0)),1,0)</f>
        <v>0</v>
      </c>
      <c r="AG870" s="90" t="str">
        <f aca="false">IF(对接源_01水果!$AC870="","",对接源_01水果!$AC870)</f>
        <v/>
      </c>
      <c r="AH870" s="1" t="n">
        <f aca="false">IF(AND($N870=1,AND(LEFT(对接源_01水果!$D870,3)="周转筐",N(对接源_01水果!$K870)&lt;&gt;0)),1,0)</f>
        <v>0</v>
      </c>
      <c r="AI870" s="90" t="n">
        <f aca="false">IF(AG870="",0,IF(MATCH(AG870,$AG$4:$AG$1203,0)=ROW()-3,1,0))</f>
        <v>0</v>
      </c>
      <c r="AJ870" s="90" t="n">
        <f aca="false">N(AJ869)+AI870</f>
        <v>4</v>
      </c>
      <c r="AK870" s="1" t="n">
        <f aca="false">N(AK869)+$AJ870</f>
        <v>2340</v>
      </c>
    </row>
    <row r="871" customFormat="false" ht="13.5" hidden="false" customHeight="false" outlineLevel="0" collapsed="false">
      <c r="A871" s="1" t="str">
        <f aca="false">IF(对接源_01水果!$C871="","",对接源_01水果!$C871)</f>
        <v/>
      </c>
      <c r="B871" s="1" t="n">
        <f aca="false">IF(A871="",0,IF(MATCH(A871,$A$4:$A$2403,0)=ROW()-3,1,0))</f>
        <v>0</v>
      </c>
      <c r="C871" s="1" t="n">
        <f aca="false">N(C870)+B871</f>
        <v>13</v>
      </c>
      <c r="K871" s="1" t="n">
        <f aca="false">IF(OR($K$1="",对接源_01水果!$C871="",对接源_01水果!$C871&lt;&gt;$K$1,对接源_01水果!$B871=""),0,IF(OR(N(对接源_01水果!$B871)&lt;$K$2,N(对接源_01水果!$B871)&gt;$K$3),0,1))</f>
        <v>0</v>
      </c>
      <c r="L871" s="1" t="n">
        <f aca="false">IF(OR($L$1="",对接源_01水果!$C871="",对接源_01水果!$C871&lt;&gt;$L$1,对接源_01水果!$B871=""),0,IF(OR(N(对接源_01水果!$B871)&lt;$L$2,N(对接源_01水果!$B871)&gt;$L$3),0,1))</f>
        <v>0</v>
      </c>
      <c r="M871" s="1" t="n">
        <f aca="false">IF(OR($M$1="",对接源_01水果!$C871="",对接源_01水果!$C871&lt;&gt;$M$1,对接源_01水果!$B871=""),0,IF(OR(N(对接源_01水果!$B871)&lt;$M$2,N(对接源_01水果!$B871)&gt;$M$3),0,1))</f>
        <v>0</v>
      </c>
      <c r="N871" s="1" t="n">
        <f aca="false">IF(OR($N$1="",对接源_01水果!$C871="",对接源_01水果!$C871&lt;&gt;$N$1,对接源_01水果!$B871=""),0,IF(OR(N(对接源_01水果!$B871)&lt;$N$2,N(对接源_01水果!$B871)&gt;$N$3),0,1))</f>
        <v>0</v>
      </c>
      <c r="P871" s="1" t="n">
        <f aca="false">IF(AND($K871=1,AND(对接源_01水果!$X871="公司筐",N(对接源_01水果!$T871)&lt;&gt;0)),1,0)</f>
        <v>0</v>
      </c>
      <c r="Q871" s="1" t="n">
        <f aca="false">N(Q870)+$P871</f>
        <v>3</v>
      </c>
      <c r="R871" s="1" t="n">
        <f aca="false">IF(AND($K871=1,AND(对接源_01水果!$X871="公司筐",N(对接源_01水果!$U871)&lt;&gt;0)),1,0)</f>
        <v>0</v>
      </c>
      <c r="S871" s="1" t="n">
        <f aca="false">N(S870)+$R871</f>
        <v>0</v>
      </c>
      <c r="T871" s="1" t="n">
        <f aca="false">IF(AND($K871=1,AND(对接源_01水果!$X871="公司筐",N(对接源_01水果!$V871)&lt;&gt;0)),1,0)</f>
        <v>0</v>
      </c>
      <c r="U871" s="1" t="n">
        <f aca="false">N(U870)+$T871</f>
        <v>28</v>
      </c>
      <c r="V871" s="1" t="n">
        <f aca="false">IF(AND($L871=1,AND(对接源_01水果!$X871="自备筐",N(对接源_01水果!$V871)&lt;&gt;0)),1,0)</f>
        <v>0</v>
      </c>
      <c r="W871" s="1" t="n">
        <f aca="false">N(W870)+$V871</f>
        <v>7</v>
      </c>
      <c r="X871" s="1" t="n">
        <f aca="false">IF(AND($L871=1,AND(对接源_01水果!$X871="自备筐",N(对接源_01水果!$T871)&lt;&gt;0)),1,0)</f>
        <v>0</v>
      </c>
      <c r="Y871" s="1" t="n">
        <f aca="false">N(Y870)+$X871</f>
        <v>0</v>
      </c>
      <c r="Z871" s="1" t="n">
        <f aca="false">IF(AND($M871=1,对接源_01水果!$D871="原料入库"),1,0)</f>
        <v>0</v>
      </c>
      <c r="AA871" s="1" t="n">
        <f aca="false">N(AA870)+$Z871</f>
        <v>30</v>
      </c>
      <c r="AB871" s="1" t="n">
        <f aca="false">IF(AND($M871=1,LEFT(对接源_01水果!$D871,4)="原料出库"),1,0)</f>
        <v>0</v>
      </c>
      <c r="AC871" s="1" t="n">
        <f aca="false">N(AC870)+$AB871</f>
        <v>19</v>
      </c>
      <c r="AD871" s="1" t="n">
        <f aca="false">IF(AND($M871=1,LEFT(对接源_01水果!$D871,4)="成品出库"),1,0)</f>
        <v>0</v>
      </c>
      <c r="AE871" s="1" t="n">
        <f aca="false">N(AE870)+$AD871</f>
        <v>38</v>
      </c>
      <c r="AF871" s="1" t="n">
        <f aca="false">IF(AND($N871=1,AND(LEFT(对接源_01水果!$D871,4)="包装物料",N(对接源_01水果!$K871)&lt;&gt;0)),1,0)</f>
        <v>0</v>
      </c>
      <c r="AG871" s="90" t="str">
        <f aca="false">IF(对接源_01水果!$AC871="","",对接源_01水果!$AC871)</f>
        <v/>
      </c>
      <c r="AH871" s="1" t="n">
        <f aca="false">IF(AND($N871=1,AND(LEFT(对接源_01水果!$D871,3)="周转筐",N(对接源_01水果!$K871)&lt;&gt;0)),1,0)</f>
        <v>0</v>
      </c>
      <c r="AI871" s="90" t="n">
        <f aca="false">IF(AG871="",0,IF(MATCH(AG871,$AG$4:$AG$1203,0)=ROW()-3,1,0))</f>
        <v>0</v>
      </c>
      <c r="AJ871" s="90" t="n">
        <f aca="false">N(AJ870)+AI871</f>
        <v>4</v>
      </c>
      <c r="AK871" s="1" t="n">
        <f aca="false">N(AK870)+$AJ871</f>
        <v>2344</v>
      </c>
    </row>
    <row r="872" customFormat="false" ht="13.5" hidden="false" customHeight="false" outlineLevel="0" collapsed="false">
      <c r="A872" s="1" t="str">
        <f aca="false">IF(对接源_01水果!$C872="","",对接源_01水果!$C872)</f>
        <v/>
      </c>
      <c r="B872" s="1" t="n">
        <f aca="false">IF(A872="",0,IF(MATCH(A872,$A$4:$A$2403,0)=ROW()-3,1,0))</f>
        <v>0</v>
      </c>
      <c r="C872" s="1" t="n">
        <f aca="false">N(C871)+B872</f>
        <v>13</v>
      </c>
      <c r="K872" s="1" t="n">
        <f aca="false">IF(OR($K$1="",对接源_01水果!$C872="",对接源_01水果!$C872&lt;&gt;$K$1,对接源_01水果!$B872=""),0,IF(OR(N(对接源_01水果!$B872)&lt;$K$2,N(对接源_01水果!$B872)&gt;$K$3),0,1))</f>
        <v>0</v>
      </c>
      <c r="L872" s="1" t="n">
        <f aca="false">IF(OR($L$1="",对接源_01水果!$C872="",对接源_01水果!$C872&lt;&gt;$L$1,对接源_01水果!$B872=""),0,IF(OR(N(对接源_01水果!$B872)&lt;$L$2,N(对接源_01水果!$B872)&gt;$L$3),0,1))</f>
        <v>0</v>
      </c>
      <c r="M872" s="1" t="n">
        <f aca="false">IF(OR($M$1="",对接源_01水果!$C872="",对接源_01水果!$C872&lt;&gt;$M$1,对接源_01水果!$B872=""),0,IF(OR(N(对接源_01水果!$B872)&lt;$M$2,N(对接源_01水果!$B872)&gt;$M$3),0,1))</f>
        <v>0</v>
      </c>
      <c r="N872" s="1" t="n">
        <f aca="false">IF(OR($N$1="",对接源_01水果!$C872="",对接源_01水果!$C872&lt;&gt;$N$1,对接源_01水果!$B872=""),0,IF(OR(N(对接源_01水果!$B872)&lt;$N$2,N(对接源_01水果!$B872)&gt;$N$3),0,1))</f>
        <v>0</v>
      </c>
      <c r="P872" s="1" t="n">
        <f aca="false">IF(AND($K872=1,AND(对接源_01水果!$X872="公司筐",N(对接源_01水果!$T872)&lt;&gt;0)),1,0)</f>
        <v>0</v>
      </c>
      <c r="Q872" s="1" t="n">
        <f aca="false">N(Q871)+$P872</f>
        <v>3</v>
      </c>
      <c r="R872" s="1" t="n">
        <f aca="false">IF(AND($K872=1,AND(对接源_01水果!$X872="公司筐",N(对接源_01水果!$U872)&lt;&gt;0)),1,0)</f>
        <v>0</v>
      </c>
      <c r="S872" s="1" t="n">
        <f aca="false">N(S871)+$R872</f>
        <v>0</v>
      </c>
      <c r="T872" s="1" t="n">
        <f aca="false">IF(AND($K872=1,AND(对接源_01水果!$X872="公司筐",N(对接源_01水果!$V872)&lt;&gt;0)),1,0)</f>
        <v>0</v>
      </c>
      <c r="U872" s="1" t="n">
        <f aca="false">N(U871)+$T872</f>
        <v>28</v>
      </c>
      <c r="V872" s="1" t="n">
        <f aca="false">IF(AND($L872=1,AND(对接源_01水果!$X872="自备筐",N(对接源_01水果!$V872)&lt;&gt;0)),1,0)</f>
        <v>0</v>
      </c>
      <c r="W872" s="1" t="n">
        <f aca="false">N(W871)+$V872</f>
        <v>7</v>
      </c>
      <c r="X872" s="1" t="n">
        <f aca="false">IF(AND($L872=1,AND(对接源_01水果!$X872="自备筐",N(对接源_01水果!$T872)&lt;&gt;0)),1,0)</f>
        <v>0</v>
      </c>
      <c r="Y872" s="1" t="n">
        <f aca="false">N(Y871)+$X872</f>
        <v>0</v>
      </c>
      <c r="Z872" s="1" t="n">
        <f aca="false">IF(AND($M872=1,对接源_01水果!$D872="原料入库"),1,0)</f>
        <v>0</v>
      </c>
      <c r="AA872" s="1" t="n">
        <f aca="false">N(AA871)+$Z872</f>
        <v>30</v>
      </c>
      <c r="AB872" s="1" t="n">
        <f aca="false">IF(AND($M872=1,LEFT(对接源_01水果!$D872,4)="原料出库"),1,0)</f>
        <v>0</v>
      </c>
      <c r="AC872" s="1" t="n">
        <f aca="false">N(AC871)+$AB872</f>
        <v>19</v>
      </c>
      <c r="AD872" s="1" t="n">
        <f aca="false">IF(AND($M872=1,LEFT(对接源_01水果!$D872,4)="成品出库"),1,0)</f>
        <v>0</v>
      </c>
      <c r="AE872" s="1" t="n">
        <f aca="false">N(AE871)+$AD872</f>
        <v>38</v>
      </c>
      <c r="AF872" s="1" t="n">
        <f aca="false">IF(AND($N872=1,AND(LEFT(对接源_01水果!$D872,4)="包装物料",N(对接源_01水果!$K872)&lt;&gt;0)),1,0)</f>
        <v>0</v>
      </c>
      <c r="AG872" s="90" t="str">
        <f aca="false">IF(对接源_01水果!$AC872="","",对接源_01水果!$AC872)</f>
        <v/>
      </c>
      <c r="AH872" s="1" t="n">
        <f aca="false">IF(AND($N872=1,AND(LEFT(对接源_01水果!$D872,3)="周转筐",N(对接源_01水果!$K872)&lt;&gt;0)),1,0)</f>
        <v>0</v>
      </c>
      <c r="AI872" s="90" t="n">
        <f aca="false">IF(AG872="",0,IF(MATCH(AG872,$AG$4:$AG$1203,0)=ROW()-3,1,0))</f>
        <v>0</v>
      </c>
      <c r="AJ872" s="90" t="n">
        <f aca="false">N(AJ871)+AI872</f>
        <v>4</v>
      </c>
      <c r="AK872" s="1" t="n">
        <f aca="false">N(AK871)+$AJ872</f>
        <v>2348</v>
      </c>
    </row>
    <row r="873" customFormat="false" ht="13.5" hidden="false" customHeight="false" outlineLevel="0" collapsed="false">
      <c r="A873" s="1" t="str">
        <f aca="false">IF(对接源_01水果!$C873="","",对接源_01水果!$C873)</f>
        <v/>
      </c>
      <c r="B873" s="1" t="n">
        <f aca="false">IF(A873="",0,IF(MATCH(A873,$A$4:$A$2403,0)=ROW()-3,1,0))</f>
        <v>0</v>
      </c>
      <c r="C873" s="1" t="n">
        <f aca="false">N(C872)+B873</f>
        <v>13</v>
      </c>
      <c r="K873" s="1" t="n">
        <f aca="false">IF(OR($K$1="",对接源_01水果!$C873="",对接源_01水果!$C873&lt;&gt;$K$1,对接源_01水果!$B873=""),0,IF(OR(N(对接源_01水果!$B873)&lt;$K$2,N(对接源_01水果!$B873)&gt;$K$3),0,1))</f>
        <v>0</v>
      </c>
      <c r="L873" s="1" t="n">
        <f aca="false">IF(OR($L$1="",对接源_01水果!$C873="",对接源_01水果!$C873&lt;&gt;$L$1,对接源_01水果!$B873=""),0,IF(OR(N(对接源_01水果!$B873)&lt;$L$2,N(对接源_01水果!$B873)&gt;$L$3),0,1))</f>
        <v>0</v>
      </c>
      <c r="M873" s="1" t="n">
        <f aca="false">IF(OR($M$1="",对接源_01水果!$C873="",对接源_01水果!$C873&lt;&gt;$M$1,对接源_01水果!$B873=""),0,IF(OR(N(对接源_01水果!$B873)&lt;$M$2,N(对接源_01水果!$B873)&gt;$M$3),0,1))</f>
        <v>0</v>
      </c>
      <c r="N873" s="1" t="n">
        <f aca="false">IF(OR($N$1="",对接源_01水果!$C873="",对接源_01水果!$C873&lt;&gt;$N$1,对接源_01水果!$B873=""),0,IF(OR(N(对接源_01水果!$B873)&lt;$N$2,N(对接源_01水果!$B873)&gt;$N$3),0,1))</f>
        <v>0</v>
      </c>
      <c r="P873" s="1" t="n">
        <f aca="false">IF(AND($K873=1,AND(对接源_01水果!$X873="公司筐",N(对接源_01水果!$T873)&lt;&gt;0)),1,0)</f>
        <v>0</v>
      </c>
      <c r="Q873" s="1" t="n">
        <f aca="false">N(Q872)+$P873</f>
        <v>3</v>
      </c>
      <c r="R873" s="1" t="n">
        <f aca="false">IF(AND($K873=1,AND(对接源_01水果!$X873="公司筐",N(对接源_01水果!$U873)&lt;&gt;0)),1,0)</f>
        <v>0</v>
      </c>
      <c r="S873" s="1" t="n">
        <f aca="false">N(S872)+$R873</f>
        <v>0</v>
      </c>
      <c r="T873" s="1" t="n">
        <f aca="false">IF(AND($K873=1,AND(对接源_01水果!$X873="公司筐",N(对接源_01水果!$V873)&lt;&gt;0)),1,0)</f>
        <v>0</v>
      </c>
      <c r="U873" s="1" t="n">
        <f aca="false">N(U872)+$T873</f>
        <v>28</v>
      </c>
      <c r="V873" s="1" t="n">
        <f aca="false">IF(AND($L873=1,AND(对接源_01水果!$X873="自备筐",N(对接源_01水果!$V873)&lt;&gt;0)),1,0)</f>
        <v>0</v>
      </c>
      <c r="W873" s="1" t="n">
        <f aca="false">N(W872)+$V873</f>
        <v>7</v>
      </c>
      <c r="X873" s="1" t="n">
        <f aca="false">IF(AND($L873=1,AND(对接源_01水果!$X873="自备筐",N(对接源_01水果!$T873)&lt;&gt;0)),1,0)</f>
        <v>0</v>
      </c>
      <c r="Y873" s="1" t="n">
        <f aca="false">N(Y872)+$X873</f>
        <v>0</v>
      </c>
      <c r="Z873" s="1" t="n">
        <f aca="false">IF(AND($M873=1,对接源_01水果!$D873="原料入库"),1,0)</f>
        <v>0</v>
      </c>
      <c r="AA873" s="1" t="n">
        <f aca="false">N(AA872)+$Z873</f>
        <v>30</v>
      </c>
      <c r="AB873" s="1" t="n">
        <f aca="false">IF(AND($M873=1,LEFT(对接源_01水果!$D873,4)="原料出库"),1,0)</f>
        <v>0</v>
      </c>
      <c r="AC873" s="1" t="n">
        <f aca="false">N(AC872)+$AB873</f>
        <v>19</v>
      </c>
      <c r="AD873" s="1" t="n">
        <f aca="false">IF(AND($M873=1,LEFT(对接源_01水果!$D873,4)="成品出库"),1,0)</f>
        <v>0</v>
      </c>
      <c r="AE873" s="1" t="n">
        <f aca="false">N(AE872)+$AD873</f>
        <v>38</v>
      </c>
      <c r="AF873" s="1" t="n">
        <f aca="false">IF(AND($N873=1,AND(LEFT(对接源_01水果!$D873,4)="包装物料",N(对接源_01水果!$K873)&lt;&gt;0)),1,0)</f>
        <v>0</v>
      </c>
      <c r="AG873" s="90" t="str">
        <f aca="false">IF(对接源_01水果!$AC873="","",对接源_01水果!$AC873)</f>
        <v/>
      </c>
      <c r="AH873" s="1" t="n">
        <f aca="false">IF(AND($N873=1,AND(LEFT(对接源_01水果!$D873,3)="周转筐",N(对接源_01水果!$K873)&lt;&gt;0)),1,0)</f>
        <v>0</v>
      </c>
      <c r="AI873" s="90" t="n">
        <f aca="false">IF(AG873="",0,IF(MATCH(AG873,$AG$4:$AG$1203,0)=ROW()-3,1,0))</f>
        <v>0</v>
      </c>
      <c r="AJ873" s="90" t="n">
        <f aca="false">N(AJ872)+AI873</f>
        <v>4</v>
      </c>
      <c r="AK873" s="1" t="n">
        <f aca="false">N(AK872)+$AJ873</f>
        <v>2352</v>
      </c>
    </row>
    <row r="874" customFormat="false" ht="13.5" hidden="false" customHeight="false" outlineLevel="0" collapsed="false">
      <c r="A874" s="1" t="str">
        <f aca="false">IF(对接源_01水果!$C874="","",对接源_01水果!$C874)</f>
        <v/>
      </c>
      <c r="B874" s="1" t="n">
        <f aca="false">IF(A874="",0,IF(MATCH(A874,$A$4:$A$2403,0)=ROW()-3,1,0))</f>
        <v>0</v>
      </c>
      <c r="C874" s="1" t="n">
        <f aca="false">N(C873)+B874</f>
        <v>13</v>
      </c>
      <c r="K874" s="1" t="n">
        <f aca="false">IF(OR($K$1="",对接源_01水果!$C874="",对接源_01水果!$C874&lt;&gt;$K$1,对接源_01水果!$B874=""),0,IF(OR(N(对接源_01水果!$B874)&lt;$K$2,N(对接源_01水果!$B874)&gt;$K$3),0,1))</f>
        <v>0</v>
      </c>
      <c r="L874" s="1" t="n">
        <f aca="false">IF(OR($L$1="",对接源_01水果!$C874="",对接源_01水果!$C874&lt;&gt;$L$1,对接源_01水果!$B874=""),0,IF(OR(N(对接源_01水果!$B874)&lt;$L$2,N(对接源_01水果!$B874)&gt;$L$3),0,1))</f>
        <v>0</v>
      </c>
      <c r="M874" s="1" t="n">
        <f aca="false">IF(OR($M$1="",对接源_01水果!$C874="",对接源_01水果!$C874&lt;&gt;$M$1,对接源_01水果!$B874=""),0,IF(OR(N(对接源_01水果!$B874)&lt;$M$2,N(对接源_01水果!$B874)&gt;$M$3),0,1))</f>
        <v>0</v>
      </c>
      <c r="N874" s="1" t="n">
        <f aca="false">IF(OR($N$1="",对接源_01水果!$C874="",对接源_01水果!$C874&lt;&gt;$N$1,对接源_01水果!$B874=""),0,IF(OR(N(对接源_01水果!$B874)&lt;$N$2,N(对接源_01水果!$B874)&gt;$N$3),0,1))</f>
        <v>0</v>
      </c>
      <c r="P874" s="1" t="n">
        <f aca="false">IF(AND($K874=1,AND(对接源_01水果!$X874="公司筐",N(对接源_01水果!$T874)&lt;&gt;0)),1,0)</f>
        <v>0</v>
      </c>
      <c r="Q874" s="1" t="n">
        <f aca="false">N(Q873)+$P874</f>
        <v>3</v>
      </c>
      <c r="R874" s="1" t="n">
        <f aca="false">IF(AND($K874=1,AND(对接源_01水果!$X874="公司筐",N(对接源_01水果!$U874)&lt;&gt;0)),1,0)</f>
        <v>0</v>
      </c>
      <c r="S874" s="1" t="n">
        <f aca="false">N(S873)+$R874</f>
        <v>0</v>
      </c>
      <c r="T874" s="1" t="n">
        <f aca="false">IF(AND($K874=1,AND(对接源_01水果!$X874="公司筐",N(对接源_01水果!$V874)&lt;&gt;0)),1,0)</f>
        <v>0</v>
      </c>
      <c r="U874" s="1" t="n">
        <f aca="false">N(U873)+$T874</f>
        <v>28</v>
      </c>
      <c r="V874" s="1" t="n">
        <f aca="false">IF(AND($L874=1,AND(对接源_01水果!$X874="自备筐",N(对接源_01水果!$V874)&lt;&gt;0)),1,0)</f>
        <v>0</v>
      </c>
      <c r="W874" s="1" t="n">
        <f aca="false">N(W873)+$V874</f>
        <v>7</v>
      </c>
      <c r="X874" s="1" t="n">
        <f aca="false">IF(AND($L874=1,AND(对接源_01水果!$X874="自备筐",N(对接源_01水果!$T874)&lt;&gt;0)),1,0)</f>
        <v>0</v>
      </c>
      <c r="Y874" s="1" t="n">
        <f aca="false">N(Y873)+$X874</f>
        <v>0</v>
      </c>
      <c r="Z874" s="1" t="n">
        <f aca="false">IF(AND($M874=1,对接源_01水果!$D874="原料入库"),1,0)</f>
        <v>0</v>
      </c>
      <c r="AA874" s="1" t="n">
        <f aca="false">N(AA873)+$Z874</f>
        <v>30</v>
      </c>
      <c r="AB874" s="1" t="n">
        <f aca="false">IF(AND($M874=1,LEFT(对接源_01水果!$D874,4)="原料出库"),1,0)</f>
        <v>0</v>
      </c>
      <c r="AC874" s="1" t="n">
        <f aca="false">N(AC873)+$AB874</f>
        <v>19</v>
      </c>
      <c r="AD874" s="1" t="n">
        <f aca="false">IF(AND($M874=1,LEFT(对接源_01水果!$D874,4)="成品出库"),1,0)</f>
        <v>0</v>
      </c>
      <c r="AE874" s="1" t="n">
        <f aca="false">N(AE873)+$AD874</f>
        <v>38</v>
      </c>
      <c r="AF874" s="1" t="n">
        <f aca="false">IF(AND($N874=1,AND(LEFT(对接源_01水果!$D874,4)="包装物料",N(对接源_01水果!$K874)&lt;&gt;0)),1,0)</f>
        <v>0</v>
      </c>
      <c r="AG874" s="90" t="str">
        <f aca="false">IF(对接源_01水果!$AC874="","",对接源_01水果!$AC874)</f>
        <v/>
      </c>
      <c r="AH874" s="1" t="n">
        <f aca="false">IF(AND($N874=1,AND(LEFT(对接源_01水果!$D874,3)="周转筐",N(对接源_01水果!$K874)&lt;&gt;0)),1,0)</f>
        <v>0</v>
      </c>
      <c r="AI874" s="90" t="n">
        <f aca="false">IF(AG874="",0,IF(MATCH(AG874,$AG$4:$AG$1203,0)=ROW()-3,1,0))</f>
        <v>0</v>
      </c>
      <c r="AJ874" s="90" t="n">
        <f aca="false">N(AJ873)+AI874</f>
        <v>4</v>
      </c>
      <c r="AK874" s="1" t="n">
        <f aca="false">N(AK873)+$AJ874</f>
        <v>2356</v>
      </c>
    </row>
    <row r="875" customFormat="false" ht="13.5" hidden="false" customHeight="false" outlineLevel="0" collapsed="false">
      <c r="A875" s="1" t="str">
        <f aca="false">IF(对接源_01水果!$C875="","",对接源_01水果!$C875)</f>
        <v/>
      </c>
      <c r="B875" s="1" t="n">
        <f aca="false">IF(A875="",0,IF(MATCH(A875,$A$4:$A$2403,0)=ROW()-3,1,0))</f>
        <v>0</v>
      </c>
      <c r="C875" s="1" t="n">
        <f aca="false">N(C874)+B875</f>
        <v>13</v>
      </c>
      <c r="K875" s="1" t="n">
        <f aca="false">IF(OR($K$1="",对接源_01水果!$C875="",对接源_01水果!$C875&lt;&gt;$K$1,对接源_01水果!$B875=""),0,IF(OR(N(对接源_01水果!$B875)&lt;$K$2,N(对接源_01水果!$B875)&gt;$K$3),0,1))</f>
        <v>0</v>
      </c>
      <c r="L875" s="1" t="n">
        <f aca="false">IF(OR($L$1="",对接源_01水果!$C875="",对接源_01水果!$C875&lt;&gt;$L$1,对接源_01水果!$B875=""),0,IF(OR(N(对接源_01水果!$B875)&lt;$L$2,N(对接源_01水果!$B875)&gt;$L$3),0,1))</f>
        <v>0</v>
      </c>
      <c r="M875" s="1" t="n">
        <f aca="false">IF(OR($M$1="",对接源_01水果!$C875="",对接源_01水果!$C875&lt;&gt;$M$1,对接源_01水果!$B875=""),0,IF(OR(N(对接源_01水果!$B875)&lt;$M$2,N(对接源_01水果!$B875)&gt;$M$3),0,1))</f>
        <v>0</v>
      </c>
      <c r="N875" s="1" t="n">
        <f aca="false">IF(OR($N$1="",对接源_01水果!$C875="",对接源_01水果!$C875&lt;&gt;$N$1,对接源_01水果!$B875=""),0,IF(OR(N(对接源_01水果!$B875)&lt;$N$2,N(对接源_01水果!$B875)&gt;$N$3),0,1))</f>
        <v>0</v>
      </c>
      <c r="P875" s="1" t="n">
        <f aca="false">IF(AND($K875=1,AND(对接源_01水果!$X875="公司筐",N(对接源_01水果!$T875)&lt;&gt;0)),1,0)</f>
        <v>0</v>
      </c>
      <c r="Q875" s="1" t="n">
        <f aca="false">N(Q874)+$P875</f>
        <v>3</v>
      </c>
      <c r="R875" s="1" t="n">
        <f aca="false">IF(AND($K875=1,AND(对接源_01水果!$X875="公司筐",N(对接源_01水果!$U875)&lt;&gt;0)),1,0)</f>
        <v>0</v>
      </c>
      <c r="S875" s="1" t="n">
        <f aca="false">N(S874)+$R875</f>
        <v>0</v>
      </c>
      <c r="T875" s="1" t="n">
        <f aca="false">IF(AND($K875=1,AND(对接源_01水果!$X875="公司筐",N(对接源_01水果!$V875)&lt;&gt;0)),1,0)</f>
        <v>0</v>
      </c>
      <c r="U875" s="1" t="n">
        <f aca="false">N(U874)+$T875</f>
        <v>28</v>
      </c>
      <c r="V875" s="1" t="n">
        <f aca="false">IF(AND($L875=1,AND(对接源_01水果!$X875="自备筐",N(对接源_01水果!$V875)&lt;&gt;0)),1,0)</f>
        <v>0</v>
      </c>
      <c r="W875" s="1" t="n">
        <f aca="false">N(W874)+$V875</f>
        <v>7</v>
      </c>
      <c r="X875" s="1" t="n">
        <f aca="false">IF(AND($L875=1,AND(对接源_01水果!$X875="自备筐",N(对接源_01水果!$T875)&lt;&gt;0)),1,0)</f>
        <v>0</v>
      </c>
      <c r="Y875" s="1" t="n">
        <f aca="false">N(Y874)+$X875</f>
        <v>0</v>
      </c>
      <c r="Z875" s="1" t="n">
        <f aca="false">IF(AND($M875=1,对接源_01水果!$D875="原料入库"),1,0)</f>
        <v>0</v>
      </c>
      <c r="AA875" s="1" t="n">
        <f aca="false">N(AA874)+$Z875</f>
        <v>30</v>
      </c>
      <c r="AB875" s="1" t="n">
        <f aca="false">IF(AND($M875=1,LEFT(对接源_01水果!$D875,4)="原料出库"),1,0)</f>
        <v>0</v>
      </c>
      <c r="AC875" s="1" t="n">
        <f aca="false">N(AC874)+$AB875</f>
        <v>19</v>
      </c>
      <c r="AD875" s="1" t="n">
        <f aca="false">IF(AND($M875=1,LEFT(对接源_01水果!$D875,4)="成品出库"),1,0)</f>
        <v>0</v>
      </c>
      <c r="AE875" s="1" t="n">
        <f aca="false">N(AE874)+$AD875</f>
        <v>38</v>
      </c>
      <c r="AF875" s="1" t="n">
        <f aca="false">IF(AND($N875=1,AND(LEFT(对接源_01水果!$D875,4)="包装物料",N(对接源_01水果!$K875)&lt;&gt;0)),1,0)</f>
        <v>0</v>
      </c>
      <c r="AG875" s="90" t="str">
        <f aca="false">IF(对接源_01水果!$AC875="","",对接源_01水果!$AC875)</f>
        <v/>
      </c>
      <c r="AH875" s="1" t="n">
        <f aca="false">IF(AND($N875=1,AND(LEFT(对接源_01水果!$D875,3)="周转筐",N(对接源_01水果!$K875)&lt;&gt;0)),1,0)</f>
        <v>0</v>
      </c>
      <c r="AI875" s="90" t="n">
        <f aca="false">IF(AG875="",0,IF(MATCH(AG875,$AG$4:$AG$1203,0)=ROW()-3,1,0))</f>
        <v>0</v>
      </c>
      <c r="AJ875" s="90" t="n">
        <f aca="false">N(AJ874)+AI875</f>
        <v>4</v>
      </c>
      <c r="AK875" s="1" t="n">
        <f aca="false">N(AK874)+$AJ875</f>
        <v>2360</v>
      </c>
    </row>
    <row r="876" customFormat="false" ht="13.5" hidden="false" customHeight="false" outlineLevel="0" collapsed="false">
      <c r="A876" s="1" t="str">
        <f aca="false">IF(对接源_01水果!$C876="","",对接源_01水果!$C876)</f>
        <v/>
      </c>
      <c r="B876" s="1" t="n">
        <f aca="false">IF(A876="",0,IF(MATCH(A876,$A$4:$A$2403,0)=ROW()-3,1,0))</f>
        <v>0</v>
      </c>
      <c r="C876" s="1" t="n">
        <f aca="false">N(C875)+B876</f>
        <v>13</v>
      </c>
      <c r="K876" s="1" t="n">
        <f aca="false">IF(OR($K$1="",对接源_01水果!$C876="",对接源_01水果!$C876&lt;&gt;$K$1,对接源_01水果!$B876=""),0,IF(OR(N(对接源_01水果!$B876)&lt;$K$2,N(对接源_01水果!$B876)&gt;$K$3),0,1))</f>
        <v>0</v>
      </c>
      <c r="L876" s="1" t="n">
        <f aca="false">IF(OR($L$1="",对接源_01水果!$C876="",对接源_01水果!$C876&lt;&gt;$L$1,对接源_01水果!$B876=""),0,IF(OR(N(对接源_01水果!$B876)&lt;$L$2,N(对接源_01水果!$B876)&gt;$L$3),0,1))</f>
        <v>0</v>
      </c>
      <c r="M876" s="1" t="n">
        <f aca="false">IF(OR($M$1="",对接源_01水果!$C876="",对接源_01水果!$C876&lt;&gt;$M$1,对接源_01水果!$B876=""),0,IF(OR(N(对接源_01水果!$B876)&lt;$M$2,N(对接源_01水果!$B876)&gt;$M$3),0,1))</f>
        <v>0</v>
      </c>
      <c r="N876" s="1" t="n">
        <f aca="false">IF(OR($N$1="",对接源_01水果!$C876="",对接源_01水果!$C876&lt;&gt;$N$1,对接源_01水果!$B876=""),0,IF(OR(N(对接源_01水果!$B876)&lt;$N$2,N(对接源_01水果!$B876)&gt;$N$3),0,1))</f>
        <v>0</v>
      </c>
      <c r="P876" s="1" t="n">
        <f aca="false">IF(AND($K876=1,AND(对接源_01水果!$X876="公司筐",N(对接源_01水果!$T876)&lt;&gt;0)),1,0)</f>
        <v>0</v>
      </c>
      <c r="Q876" s="1" t="n">
        <f aca="false">N(Q875)+$P876</f>
        <v>3</v>
      </c>
      <c r="R876" s="1" t="n">
        <f aca="false">IF(AND($K876=1,AND(对接源_01水果!$X876="公司筐",N(对接源_01水果!$U876)&lt;&gt;0)),1,0)</f>
        <v>0</v>
      </c>
      <c r="S876" s="1" t="n">
        <f aca="false">N(S875)+$R876</f>
        <v>0</v>
      </c>
      <c r="T876" s="1" t="n">
        <f aca="false">IF(AND($K876=1,AND(对接源_01水果!$X876="公司筐",N(对接源_01水果!$V876)&lt;&gt;0)),1,0)</f>
        <v>0</v>
      </c>
      <c r="U876" s="1" t="n">
        <f aca="false">N(U875)+$T876</f>
        <v>28</v>
      </c>
      <c r="V876" s="1" t="n">
        <f aca="false">IF(AND($L876=1,AND(对接源_01水果!$X876="自备筐",N(对接源_01水果!$V876)&lt;&gt;0)),1,0)</f>
        <v>0</v>
      </c>
      <c r="W876" s="1" t="n">
        <f aca="false">N(W875)+$V876</f>
        <v>7</v>
      </c>
      <c r="X876" s="1" t="n">
        <f aca="false">IF(AND($L876=1,AND(对接源_01水果!$X876="自备筐",N(对接源_01水果!$T876)&lt;&gt;0)),1,0)</f>
        <v>0</v>
      </c>
      <c r="Y876" s="1" t="n">
        <f aca="false">N(Y875)+$X876</f>
        <v>0</v>
      </c>
      <c r="Z876" s="1" t="n">
        <f aca="false">IF(AND($M876=1,对接源_01水果!$D876="原料入库"),1,0)</f>
        <v>0</v>
      </c>
      <c r="AA876" s="1" t="n">
        <f aca="false">N(AA875)+$Z876</f>
        <v>30</v>
      </c>
      <c r="AB876" s="1" t="n">
        <f aca="false">IF(AND($M876=1,LEFT(对接源_01水果!$D876,4)="原料出库"),1,0)</f>
        <v>0</v>
      </c>
      <c r="AC876" s="1" t="n">
        <f aca="false">N(AC875)+$AB876</f>
        <v>19</v>
      </c>
      <c r="AD876" s="1" t="n">
        <f aca="false">IF(AND($M876=1,LEFT(对接源_01水果!$D876,4)="成品出库"),1,0)</f>
        <v>0</v>
      </c>
      <c r="AE876" s="1" t="n">
        <f aca="false">N(AE875)+$AD876</f>
        <v>38</v>
      </c>
      <c r="AF876" s="1" t="n">
        <f aca="false">IF(AND($N876=1,AND(LEFT(对接源_01水果!$D876,4)="包装物料",N(对接源_01水果!$K876)&lt;&gt;0)),1,0)</f>
        <v>0</v>
      </c>
      <c r="AG876" s="90" t="str">
        <f aca="false">IF(对接源_01水果!$AC876="","",对接源_01水果!$AC876)</f>
        <v/>
      </c>
      <c r="AH876" s="1" t="n">
        <f aca="false">IF(AND($N876=1,AND(LEFT(对接源_01水果!$D876,3)="周转筐",N(对接源_01水果!$K876)&lt;&gt;0)),1,0)</f>
        <v>0</v>
      </c>
      <c r="AI876" s="90" t="n">
        <f aca="false">IF(AG876="",0,IF(MATCH(AG876,$AG$4:$AG$1203,0)=ROW()-3,1,0))</f>
        <v>0</v>
      </c>
      <c r="AJ876" s="90" t="n">
        <f aca="false">N(AJ875)+AI876</f>
        <v>4</v>
      </c>
      <c r="AK876" s="1" t="n">
        <f aca="false">N(AK875)+$AJ876</f>
        <v>2364</v>
      </c>
    </row>
    <row r="877" customFormat="false" ht="13.5" hidden="false" customHeight="false" outlineLevel="0" collapsed="false">
      <c r="A877" s="1" t="str">
        <f aca="false">IF(对接源_01水果!$C877="","",对接源_01水果!$C877)</f>
        <v/>
      </c>
      <c r="B877" s="1" t="n">
        <f aca="false">IF(A877="",0,IF(MATCH(A877,$A$4:$A$2403,0)=ROW()-3,1,0))</f>
        <v>0</v>
      </c>
      <c r="C877" s="1" t="n">
        <f aca="false">N(C876)+B877</f>
        <v>13</v>
      </c>
      <c r="K877" s="1" t="n">
        <f aca="false">IF(OR($K$1="",对接源_01水果!$C877="",对接源_01水果!$C877&lt;&gt;$K$1,对接源_01水果!$B877=""),0,IF(OR(N(对接源_01水果!$B877)&lt;$K$2,N(对接源_01水果!$B877)&gt;$K$3),0,1))</f>
        <v>0</v>
      </c>
      <c r="L877" s="1" t="n">
        <f aca="false">IF(OR($L$1="",对接源_01水果!$C877="",对接源_01水果!$C877&lt;&gt;$L$1,对接源_01水果!$B877=""),0,IF(OR(N(对接源_01水果!$B877)&lt;$L$2,N(对接源_01水果!$B877)&gt;$L$3),0,1))</f>
        <v>0</v>
      </c>
      <c r="M877" s="1" t="n">
        <f aca="false">IF(OR($M$1="",对接源_01水果!$C877="",对接源_01水果!$C877&lt;&gt;$M$1,对接源_01水果!$B877=""),0,IF(OR(N(对接源_01水果!$B877)&lt;$M$2,N(对接源_01水果!$B877)&gt;$M$3),0,1))</f>
        <v>0</v>
      </c>
      <c r="N877" s="1" t="n">
        <f aca="false">IF(OR($N$1="",对接源_01水果!$C877="",对接源_01水果!$C877&lt;&gt;$N$1,对接源_01水果!$B877=""),0,IF(OR(N(对接源_01水果!$B877)&lt;$N$2,N(对接源_01水果!$B877)&gt;$N$3),0,1))</f>
        <v>0</v>
      </c>
      <c r="P877" s="1" t="n">
        <f aca="false">IF(AND($K877=1,AND(对接源_01水果!$X877="公司筐",N(对接源_01水果!$T877)&lt;&gt;0)),1,0)</f>
        <v>0</v>
      </c>
      <c r="Q877" s="1" t="n">
        <f aca="false">N(Q876)+$P877</f>
        <v>3</v>
      </c>
      <c r="R877" s="1" t="n">
        <f aca="false">IF(AND($K877=1,AND(对接源_01水果!$X877="公司筐",N(对接源_01水果!$U877)&lt;&gt;0)),1,0)</f>
        <v>0</v>
      </c>
      <c r="S877" s="1" t="n">
        <f aca="false">N(S876)+$R877</f>
        <v>0</v>
      </c>
      <c r="T877" s="1" t="n">
        <f aca="false">IF(AND($K877=1,AND(对接源_01水果!$X877="公司筐",N(对接源_01水果!$V877)&lt;&gt;0)),1,0)</f>
        <v>0</v>
      </c>
      <c r="U877" s="1" t="n">
        <f aca="false">N(U876)+$T877</f>
        <v>28</v>
      </c>
      <c r="V877" s="1" t="n">
        <f aca="false">IF(AND($L877=1,AND(对接源_01水果!$X877="自备筐",N(对接源_01水果!$V877)&lt;&gt;0)),1,0)</f>
        <v>0</v>
      </c>
      <c r="W877" s="1" t="n">
        <f aca="false">N(W876)+$V877</f>
        <v>7</v>
      </c>
      <c r="X877" s="1" t="n">
        <f aca="false">IF(AND($L877=1,AND(对接源_01水果!$X877="自备筐",N(对接源_01水果!$T877)&lt;&gt;0)),1,0)</f>
        <v>0</v>
      </c>
      <c r="Y877" s="1" t="n">
        <f aca="false">N(Y876)+$X877</f>
        <v>0</v>
      </c>
      <c r="Z877" s="1" t="n">
        <f aca="false">IF(AND($M877=1,对接源_01水果!$D877="原料入库"),1,0)</f>
        <v>0</v>
      </c>
      <c r="AA877" s="1" t="n">
        <f aca="false">N(AA876)+$Z877</f>
        <v>30</v>
      </c>
      <c r="AB877" s="1" t="n">
        <f aca="false">IF(AND($M877=1,LEFT(对接源_01水果!$D877,4)="原料出库"),1,0)</f>
        <v>0</v>
      </c>
      <c r="AC877" s="1" t="n">
        <f aca="false">N(AC876)+$AB877</f>
        <v>19</v>
      </c>
      <c r="AD877" s="1" t="n">
        <f aca="false">IF(AND($M877=1,LEFT(对接源_01水果!$D877,4)="成品出库"),1,0)</f>
        <v>0</v>
      </c>
      <c r="AE877" s="1" t="n">
        <f aca="false">N(AE876)+$AD877</f>
        <v>38</v>
      </c>
      <c r="AF877" s="1" t="n">
        <f aca="false">IF(AND($N877=1,AND(LEFT(对接源_01水果!$D877,4)="包装物料",N(对接源_01水果!$K877)&lt;&gt;0)),1,0)</f>
        <v>0</v>
      </c>
      <c r="AG877" s="90" t="str">
        <f aca="false">IF(对接源_01水果!$AC877="","",对接源_01水果!$AC877)</f>
        <v/>
      </c>
      <c r="AH877" s="1" t="n">
        <f aca="false">IF(AND($N877=1,AND(LEFT(对接源_01水果!$D877,3)="周转筐",N(对接源_01水果!$K877)&lt;&gt;0)),1,0)</f>
        <v>0</v>
      </c>
      <c r="AI877" s="90" t="n">
        <f aca="false">IF(AG877="",0,IF(MATCH(AG877,$AG$4:$AG$1203,0)=ROW()-3,1,0))</f>
        <v>0</v>
      </c>
      <c r="AJ877" s="90" t="n">
        <f aca="false">N(AJ876)+AI877</f>
        <v>4</v>
      </c>
      <c r="AK877" s="1" t="n">
        <f aca="false">N(AK876)+$AJ877</f>
        <v>2368</v>
      </c>
    </row>
    <row r="878" customFormat="false" ht="13.5" hidden="false" customHeight="false" outlineLevel="0" collapsed="false">
      <c r="A878" s="1" t="str">
        <f aca="false">IF(对接源_01水果!$C878="","",对接源_01水果!$C878)</f>
        <v/>
      </c>
      <c r="B878" s="1" t="n">
        <f aca="false">IF(A878="",0,IF(MATCH(A878,$A$4:$A$2403,0)=ROW()-3,1,0))</f>
        <v>0</v>
      </c>
      <c r="C878" s="1" t="n">
        <f aca="false">N(C877)+B878</f>
        <v>13</v>
      </c>
      <c r="K878" s="1" t="n">
        <f aca="false">IF(OR($K$1="",对接源_01水果!$C878="",对接源_01水果!$C878&lt;&gt;$K$1,对接源_01水果!$B878=""),0,IF(OR(N(对接源_01水果!$B878)&lt;$K$2,N(对接源_01水果!$B878)&gt;$K$3),0,1))</f>
        <v>0</v>
      </c>
      <c r="L878" s="1" t="n">
        <f aca="false">IF(OR($L$1="",对接源_01水果!$C878="",对接源_01水果!$C878&lt;&gt;$L$1,对接源_01水果!$B878=""),0,IF(OR(N(对接源_01水果!$B878)&lt;$L$2,N(对接源_01水果!$B878)&gt;$L$3),0,1))</f>
        <v>0</v>
      </c>
      <c r="M878" s="1" t="n">
        <f aca="false">IF(OR($M$1="",对接源_01水果!$C878="",对接源_01水果!$C878&lt;&gt;$M$1,对接源_01水果!$B878=""),0,IF(OR(N(对接源_01水果!$B878)&lt;$M$2,N(对接源_01水果!$B878)&gt;$M$3),0,1))</f>
        <v>0</v>
      </c>
      <c r="N878" s="1" t="n">
        <f aca="false">IF(OR($N$1="",对接源_01水果!$C878="",对接源_01水果!$C878&lt;&gt;$N$1,对接源_01水果!$B878=""),0,IF(OR(N(对接源_01水果!$B878)&lt;$N$2,N(对接源_01水果!$B878)&gt;$N$3),0,1))</f>
        <v>0</v>
      </c>
      <c r="P878" s="1" t="n">
        <f aca="false">IF(AND($K878=1,AND(对接源_01水果!$X878="公司筐",N(对接源_01水果!$T878)&lt;&gt;0)),1,0)</f>
        <v>0</v>
      </c>
      <c r="Q878" s="1" t="n">
        <f aca="false">N(Q877)+$P878</f>
        <v>3</v>
      </c>
      <c r="R878" s="1" t="n">
        <f aca="false">IF(AND($K878=1,AND(对接源_01水果!$X878="公司筐",N(对接源_01水果!$U878)&lt;&gt;0)),1,0)</f>
        <v>0</v>
      </c>
      <c r="S878" s="1" t="n">
        <f aca="false">N(S877)+$R878</f>
        <v>0</v>
      </c>
      <c r="T878" s="1" t="n">
        <f aca="false">IF(AND($K878=1,AND(对接源_01水果!$X878="公司筐",N(对接源_01水果!$V878)&lt;&gt;0)),1,0)</f>
        <v>0</v>
      </c>
      <c r="U878" s="1" t="n">
        <f aca="false">N(U877)+$T878</f>
        <v>28</v>
      </c>
      <c r="V878" s="1" t="n">
        <f aca="false">IF(AND($L878=1,AND(对接源_01水果!$X878="自备筐",N(对接源_01水果!$V878)&lt;&gt;0)),1,0)</f>
        <v>0</v>
      </c>
      <c r="W878" s="1" t="n">
        <f aca="false">N(W877)+$V878</f>
        <v>7</v>
      </c>
      <c r="X878" s="1" t="n">
        <f aca="false">IF(AND($L878=1,AND(对接源_01水果!$X878="自备筐",N(对接源_01水果!$T878)&lt;&gt;0)),1,0)</f>
        <v>0</v>
      </c>
      <c r="Y878" s="1" t="n">
        <f aca="false">N(Y877)+$X878</f>
        <v>0</v>
      </c>
      <c r="Z878" s="1" t="n">
        <f aca="false">IF(AND($M878=1,对接源_01水果!$D878="原料入库"),1,0)</f>
        <v>0</v>
      </c>
      <c r="AA878" s="1" t="n">
        <f aca="false">N(AA877)+$Z878</f>
        <v>30</v>
      </c>
      <c r="AB878" s="1" t="n">
        <f aca="false">IF(AND($M878=1,LEFT(对接源_01水果!$D878,4)="原料出库"),1,0)</f>
        <v>0</v>
      </c>
      <c r="AC878" s="1" t="n">
        <f aca="false">N(AC877)+$AB878</f>
        <v>19</v>
      </c>
      <c r="AD878" s="1" t="n">
        <f aca="false">IF(AND($M878=1,LEFT(对接源_01水果!$D878,4)="成品出库"),1,0)</f>
        <v>0</v>
      </c>
      <c r="AE878" s="1" t="n">
        <f aca="false">N(AE877)+$AD878</f>
        <v>38</v>
      </c>
      <c r="AF878" s="1" t="n">
        <f aca="false">IF(AND($N878=1,AND(LEFT(对接源_01水果!$D878,4)="包装物料",N(对接源_01水果!$K878)&lt;&gt;0)),1,0)</f>
        <v>0</v>
      </c>
      <c r="AG878" s="90" t="str">
        <f aca="false">IF(对接源_01水果!$AC878="","",对接源_01水果!$AC878)</f>
        <v/>
      </c>
      <c r="AH878" s="1" t="n">
        <f aca="false">IF(AND($N878=1,AND(LEFT(对接源_01水果!$D878,3)="周转筐",N(对接源_01水果!$K878)&lt;&gt;0)),1,0)</f>
        <v>0</v>
      </c>
      <c r="AI878" s="90" t="n">
        <f aca="false">IF(AG878="",0,IF(MATCH(AG878,$AG$4:$AG$1203,0)=ROW()-3,1,0))</f>
        <v>0</v>
      </c>
      <c r="AJ878" s="90" t="n">
        <f aca="false">N(AJ877)+AI878</f>
        <v>4</v>
      </c>
      <c r="AK878" s="1" t="n">
        <f aca="false">N(AK877)+$AJ878</f>
        <v>2372</v>
      </c>
    </row>
    <row r="879" customFormat="false" ht="13.5" hidden="false" customHeight="false" outlineLevel="0" collapsed="false">
      <c r="A879" s="1" t="str">
        <f aca="false">IF(对接源_01水果!$C879="","",对接源_01水果!$C879)</f>
        <v/>
      </c>
      <c r="B879" s="1" t="n">
        <f aca="false">IF(A879="",0,IF(MATCH(A879,$A$4:$A$2403,0)=ROW()-3,1,0))</f>
        <v>0</v>
      </c>
      <c r="C879" s="1" t="n">
        <f aca="false">N(C878)+B879</f>
        <v>13</v>
      </c>
      <c r="K879" s="1" t="n">
        <f aca="false">IF(OR($K$1="",对接源_01水果!$C879="",对接源_01水果!$C879&lt;&gt;$K$1,对接源_01水果!$B879=""),0,IF(OR(N(对接源_01水果!$B879)&lt;$K$2,N(对接源_01水果!$B879)&gt;$K$3),0,1))</f>
        <v>0</v>
      </c>
      <c r="L879" s="1" t="n">
        <f aca="false">IF(OR($L$1="",对接源_01水果!$C879="",对接源_01水果!$C879&lt;&gt;$L$1,对接源_01水果!$B879=""),0,IF(OR(N(对接源_01水果!$B879)&lt;$L$2,N(对接源_01水果!$B879)&gt;$L$3),0,1))</f>
        <v>0</v>
      </c>
      <c r="M879" s="1" t="n">
        <f aca="false">IF(OR($M$1="",对接源_01水果!$C879="",对接源_01水果!$C879&lt;&gt;$M$1,对接源_01水果!$B879=""),0,IF(OR(N(对接源_01水果!$B879)&lt;$M$2,N(对接源_01水果!$B879)&gt;$M$3),0,1))</f>
        <v>0</v>
      </c>
      <c r="N879" s="1" t="n">
        <f aca="false">IF(OR($N$1="",对接源_01水果!$C879="",对接源_01水果!$C879&lt;&gt;$N$1,对接源_01水果!$B879=""),0,IF(OR(N(对接源_01水果!$B879)&lt;$N$2,N(对接源_01水果!$B879)&gt;$N$3),0,1))</f>
        <v>0</v>
      </c>
      <c r="P879" s="1" t="n">
        <f aca="false">IF(AND($K879=1,AND(对接源_01水果!$X879="公司筐",N(对接源_01水果!$T879)&lt;&gt;0)),1,0)</f>
        <v>0</v>
      </c>
      <c r="Q879" s="1" t="n">
        <f aca="false">N(Q878)+$P879</f>
        <v>3</v>
      </c>
      <c r="R879" s="1" t="n">
        <f aca="false">IF(AND($K879=1,AND(对接源_01水果!$X879="公司筐",N(对接源_01水果!$U879)&lt;&gt;0)),1,0)</f>
        <v>0</v>
      </c>
      <c r="S879" s="1" t="n">
        <f aca="false">N(S878)+$R879</f>
        <v>0</v>
      </c>
      <c r="T879" s="1" t="n">
        <f aca="false">IF(AND($K879=1,AND(对接源_01水果!$X879="公司筐",N(对接源_01水果!$V879)&lt;&gt;0)),1,0)</f>
        <v>0</v>
      </c>
      <c r="U879" s="1" t="n">
        <f aca="false">N(U878)+$T879</f>
        <v>28</v>
      </c>
      <c r="V879" s="1" t="n">
        <f aca="false">IF(AND($L879=1,AND(对接源_01水果!$X879="自备筐",N(对接源_01水果!$V879)&lt;&gt;0)),1,0)</f>
        <v>0</v>
      </c>
      <c r="W879" s="1" t="n">
        <f aca="false">N(W878)+$V879</f>
        <v>7</v>
      </c>
      <c r="X879" s="1" t="n">
        <f aca="false">IF(AND($L879=1,AND(对接源_01水果!$X879="自备筐",N(对接源_01水果!$T879)&lt;&gt;0)),1,0)</f>
        <v>0</v>
      </c>
      <c r="Y879" s="1" t="n">
        <f aca="false">N(Y878)+$X879</f>
        <v>0</v>
      </c>
      <c r="Z879" s="1" t="n">
        <f aca="false">IF(AND($M879=1,对接源_01水果!$D879="原料入库"),1,0)</f>
        <v>0</v>
      </c>
      <c r="AA879" s="1" t="n">
        <f aca="false">N(AA878)+$Z879</f>
        <v>30</v>
      </c>
      <c r="AB879" s="1" t="n">
        <f aca="false">IF(AND($M879=1,LEFT(对接源_01水果!$D879,4)="原料出库"),1,0)</f>
        <v>0</v>
      </c>
      <c r="AC879" s="1" t="n">
        <f aca="false">N(AC878)+$AB879</f>
        <v>19</v>
      </c>
      <c r="AD879" s="1" t="n">
        <f aca="false">IF(AND($M879=1,LEFT(对接源_01水果!$D879,4)="成品出库"),1,0)</f>
        <v>0</v>
      </c>
      <c r="AE879" s="1" t="n">
        <f aca="false">N(AE878)+$AD879</f>
        <v>38</v>
      </c>
      <c r="AF879" s="1" t="n">
        <f aca="false">IF(AND($N879=1,AND(LEFT(对接源_01水果!$D879,4)="包装物料",N(对接源_01水果!$K879)&lt;&gt;0)),1,0)</f>
        <v>0</v>
      </c>
      <c r="AG879" s="90" t="str">
        <f aca="false">IF(对接源_01水果!$AC879="","",对接源_01水果!$AC879)</f>
        <v/>
      </c>
      <c r="AH879" s="1" t="n">
        <f aca="false">IF(AND($N879=1,AND(LEFT(对接源_01水果!$D879,3)="周转筐",N(对接源_01水果!$K879)&lt;&gt;0)),1,0)</f>
        <v>0</v>
      </c>
      <c r="AI879" s="90" t="n">
        <f aca="false">IF(AG879="",0,IF(MATCH(AG879,$AG$4:$AG$1203,0)=ROW()-3,1,0))</f>
        <v>0</v>
      </c>
      <c r="AJ879" s="90" t="n">
        <f aca="false">N(AJ878)+AI879</f>
        <v>4</v>
      </c>
      <c r="AK879" s="1" t="n">
        <f aca="false">N(AK878)+$AJ879</f>
        <v>2376</v>
      </c>
    </row>
    <row r="880" customFormat="false" ht="13.5" hidden="false" customHeight="false" outlineLevel="0" collapsed="false">
      <c r="A880" s="1" t="str">
        <f aca="false">IF(对接源_01水果!$C880="","",对接源_01水果!$C880)</f>
        <v/>
      </c>
      <c r="B880" s="1" t="n">
        <f aca="false">IF(A880="",0,IF(MATCH(A880,$A$4:$A$2403,0)=ROW()-3,1,0))</f>
        <v>0</v>
      </c>
      <c r="C880" s="1" t="n">
        <f aca="false">N(C879)+B880</f>
        <v>13</v>
      </c>
      <c r="K880" s="1" t="n">
        <f aca="false">IF(OR($K$1="",对接源_01水果!$C880="",对接源_01水果!$C880&lt;&gt;$K$1,对接源_01水果!$B880=""),0,IF(OR(N(对接源_01水果!$B880)&lt;$K$2,N(对接源_01水果!$B880)&gt;$K$3),0,1))</f>
        <v>0</v>
      </c>
      <c r="L880" s="1" t="n">
        <f aca="false">IF(OR($L$1="",对接源_01水果!$C880="",对接源_01水果!$C880&lt;&gt;$L$1,对接源_01水果!$B880=""),0,IF(OR(N(对接源_01水果!$B880)&lt;$L$2,N(对接源_01水果!$B880)&gt;$L$3),0,1))</f>
        <v>0</v>
      </c>
      <c r="M880" s="1" t="n">
        <f aca="false">IF(OR($M$1="",对接源_01水果!$C880="",对接源_01水果!$C880&lt;&gt;$M$1,对接源_01水果!$B880=""),0,IF(OR(N(对接源_01水果!$B880)&lt;$M$2,N(对接源_01水果!$B880)&gt;$M$3),0,1))</f>
        <v>0</v>
      </c>
      <c r="N880" s="1" t="n">
        <f aca="false">IF(OR($N$1="",对接源_01水果!$C880="",对接源_01水果!$C880&lt;&gt;$N$1,对接源_01水果!$B880=""),0,IF(OR(N(对接源_01水果!$B880)&lt;$N$2,N(对接源_01水果!$B880)&gt;$N$3),0,1))</f>
        <v>0</v>
      </c>
      <c r="P880" s="1" t="n">
        <f aca="false">IF(AND($K880=1,AND(对接源_01水果!$X880="公司筐",N(对接源_01水果!$T880)&lt;&gt;0)),1,0)</f>
        <v>0</v>
      </c>
      <c r="Q880" s="1" t="n">
        <f aca="false">N(Q879)+$P880</f>
        <v>3</v>
      </c>
      <c r="R880" s="1" t="n">
        <f aca="false">IF(AND($K880=1,AND(对接源_01水果!$X880="公司筐",N(对接源_01水果!$U880)&lt;&gt;0)),1,0)</f>
        <v>0</v>
      </c>
      <c r="S880" s="1" t="n">
        <f aca="false">N(S879)+$R880</f>
        <v>0</v>
      </c>
      <c r="T880" s="1" t="n">
        <f aca="false">IF(AND($K880=1,AND(对接源_01水果!$X880="公司筐",N(对接源_01水果!$V880)&lt;&gt;0)),1,0)</f>
        <v>0</v>
      </c>
      <c r="U880" s="1" t="n">
        <f aca="false">N(U879)+$T880</f>
        <v>28</v>
      </c>
      <c r="V880" s="1" t="n">
        <f aca="false">IF(AND($L880=1,AND(对接源_01水果!$X880="自备筐",N(对接源_01水果!$V880)&lt;&gt;0)),1,0)</f>
        <v>0</v>
      </c>
      <c r="W880" s="1" t="n">
        <f aca="false">N(W879)+$V880</f>
        <v>7</v>
      </c>
      <c r="X880" s="1" t="n">
        <f aca="false">IF(AND($L880=1,AND(对接源_01水果!$X880="自备筐",N(对接源_01水果!$T880)&lt;&gt;0)),1,0)</f>
        <v>0</v>
      </c>
      <c r="Y880" s="1" t="n">
        <f aca="false">N(Y879)+$X880</f>
        <v>0</v>
      </c>
      <c r="Z880" s="1" t="n">
        <f aca="false">IF(AND($M880=1,对接源_01水果!$D880="原料入库"),1,0)</f>
        <v>0</v>
      </c>
      <c r="AA880" s="1" t="n">
        <f aca="false">N(AA879)+$Z880</f>
        <v>30</v>
      </c>
      <c r="AB880" s="1" t="n">
        <f aca="false">IF(AND($M880=1,LEFT(对接源_01水果!$D880,4)="原料出库"),1,0)</f>
        <v>0</v>
      </c>
      <c r="AC880" s="1" t="n">
        <f aca="false">N(AC879)+$AB880</f>
        <v>19</v>
      </c>
      <c r="AD880" s="1" t="n">
        <f aca="false">IF(AND($M880=1,LEFT(对接源_01水果!$D880,4)="成品出库"),1,0)</f>
        <v>0</v>
      </c>
      <c r="AE880" s="1" t="n">
        <f aca="false">N(AE879)+$AD880</f>
        <v>38</v>
      </c>
      <c r="AF880" s="1" t="n">
        <f aca="false">IF(AND($N880=1,AND(LEFT(对接源_01水果!$D880,4)="包装物料",N(对接源_01水果!$K880)&lt;&gt;0)),1,0)</f>
        <v>0</v>
      </c>
      <c r="AG880" s="90" t="str">
        <f aca="false">IF(对接源_01水果!$AC880="","",对接源_01水果!$AC880)</f>
        <v/>
      </c>
      <c r="AH880" s="1" t="n">
        <f aca="false">IF(AND($N880=1,AND(LEFT(对接源_01水果!$D880,3)="周转筐",N(对接源_01水果!$K880)&lt;&gt;0)),1,0)</f>
        <v>0</v>
      </c>
      <c r="AI880" s="90" t="n">
        <f aca="false">IF(AG880="",0,IF(MATCH(AG880,$AG$4:$AG$1203,0)=ROW()-3,1,0))</f>
        <v>0</v>
      </c>
      <c r="AJ880" s="90" t="n">
        <f aca="false">N(AJ879)+AI880</f>
        <v>4</v>
      </c>
      <c r="AK880" s="1" t="n">
        <f aca="false">N(AK879)+$AJ880</f>
        <v>2380</v>
      </c>
    </row>
    <row r="881" customFormat="false" ht="13.5" hidden="false" customHeight="false" outlineLevel="0" collapsed="false">
      <c r="A881" s="1" t="str">
        <f aca="false">IF(对接源_01水果!$C881="","",对接源_01水果!$C881)</f>
        <v/>
      </c>
      <c r="B881" s="1" t="n">
        <f aca="false">IF(A881="",0,IF(MATCH(A881,$A$4:$A$2403,0)=ROW()-3,1,0))</f>
        <v>0</v>
      </c>
      <c r="C881" s="1" t="n">
        <f aca="false">N(C880)+B881</f>
        <v>13</v>
      </c>
      <c r="K881" s="1" t="n">
        <f aca="false">IF(OR($K$1="",对接源_01水果!$C881="",对接源_01水果!$C881&lt;&gt;$K$1,对接源_01水果!$B881=""),0,IF(OR(N(对接源_01水果!$B881)&lt;$K$2,N(对接源_01水果!$B881)&gt;$K$3),0,1))</f>
        <v>0</v>
      </c>
      <c r="L881" s="1" t="n">
        <f aca="false">IF(OR($L$1="",对接源_01水果!$C881="",对接源_01水果!$C881&lt;&gt;$L$1,对接源_01水果!$B881=""),0,IF(OR(N(对接源_01水果!$B881)&lt;$L$2,N(对接源_01水果!$B881)&gt;$L$3),0,1))</f>
        <v>0</v>
      </c>
      <c r="M881" s="1" t="n">
        <f aca="false">IF(OR($M$1="",对接源_01水果!$C881="",对接源_01水果!$C881&lt;&gt;$M$1,对接源_01水果!$B881=""),0,IF(OR(N(对接源_01水果!$B881)&lt;$M$2,N(对接源_01水果!$B881)&gt;$M$3),0,1))</f>
        <v>0</v>
      </c>
      <c r="N881" s="1" t="n">
        <f aca="false">IF(OR($N$1="",对接源_01水果!$C881="",对接源_01水果!$C881&lt;&gt;$N$1,对接源_01水果!$B881=""),0,IF(OR(N(对接源_01水果!$B881)&lt;$N$2,N(对接源_01水果!$B881)&gt;$N$3),0,1))</f>
        <v>0</v>
      </c>
      <c r="P881" s="1" t="n">
        <f aca="false">IF(AND($K881=1,AND(对接源_01水果!$X881="公司筐",N(对接源_01水果!$T881)&lt;&gt;0)),1,0)</f>
        <v>0</v>
      </c>
      <c r="Q881" s="1" t="n">
        <f aca="false">N(Q880)+$P881</f>
        <v>3</v>
      </c>
      <c r="R881" s="1" t="n">
        <f aca="false">IF(AND($K881=1,AND(对接源_01水果!$X881="公司筐",N(对接源_01水果!$U881)&lt;&gt;0)),1,0)</f>
        <v>0</v>
      </c>
      <c r="S881" s="1" t="n">
        <f aca="false">N(S880)+$R881</f>
        <v>0</v>
      </c>
      <c r="T881" s="1" t="n">
        <f aca="false">IF(AND($K881=1,AND(对接源_01水果!$X881="公司筐",N(对接源_01水果!$V881)&lt;&gt;0)),1,0)</f>
        <v>0</v>
      </c>
      <c r="U881" s="1" t="n">
        <f aca="false">N(U880)+$T881</f>
        <v>28</v>
      </c>
      <c r="V881" s="1" t="n">
        <f aca="false">IF(AND($L881=1,AND(对接源_01水果!$X881="自备筐",N(对接源_01水果!$V881)&lt;&gt;0)),1,0)</f>
        <v>0</v>
      </c>
      <c r="W881" s="1" t="n">
        <f aca="false">N(W880)+$V881</f>
        <v>7</v>
      </c>
      <c r="X881" s="1" t="n">
        <f aca="false">IF(AND($L881=1,AND(对接源_01水果!$X881="自备筐",N(对接源_01水果!$T881)&lt;&gt;0)),1,0)</f>
        <v>0</v>
      </c>
      <c r="Y881" s="1" t="n">
        <f aca="false">N(Y880)+$X881</f>
        <v>0</v>
      </c>
      <c r="Z881" s="1" t="n">
        <f aca="false">IF(AND($M881=1,对接源_01水果!$D881="原料入库"),1,0)</f>
        <v>0</v>
      </c>
      <c r="AA881" s="1" t="n">
        <f aca="false">N(AA880)+$Z881</f>
        <v>30</v>
      </c>
      <c r="AB881" s="1" t="n">
        <f aca="false">IF(AND($M881=1,LEFT(对接源_01水果!$D881,4)="原料出库"),1,0)</f>
        <v>0</v>
      </c>
      <c r="AC881" s="1" t="n">
        <f aca="false">N(AC880)+$AB881</f>
        <v>19</v>
      </c>
      <c r="AD881" s="1" t="n">
        <f aca="false">IF(AND($M881=1,LEFT(对接源_01水果!$D881,4)="成品出库"),1,0)</f>
        <v>0</v>
      </c>
      <c r="AE881" s="1" t="n">
        <f aca="false">N(AE880)+$AD881</f>
        <v>38</v>
      </c>
      <c r="AF881" s="1" t="n">
        <f aca="false">IF(AND($N881=1,AND(LEFT(对接源_01水果!$D881,4)="包装物料",N(对接源_01水果!$K881)&lt;&gt;0)),1,0)</f>
        <v>0</v>
      </c>
      <c r="AG881" s="90" t="str">
        <f aca="false">IF(对接源_01水果!$AC881="","",对接源_01水果!$AC881)</f>
        <v/>
      </c>
      <c r="AH881" s="1" t="n">
        <f aca="false">IF(AND($N881=1,AND(LEFT(对接源_01水果!$D881,3)="周转筐",N(对接源_01水果!$K881)&lt;&gt;0)),1,0)</f>
        <v>0</v>
      </c>
      <c r="AI881" s="90" t="n">
        <f aca="false">IF(AG881="",0,IF(MATCH(AG881,$AG$4:$AG$1203,0)=ROW()-3,1,0))</f>
        <v>0</v>
      </c>
      <c r="AJ881" s="90" t="n">
        <f aca="false">N(AJ880)+AI881</f>
        <v>4</v>
      </c>
      <c r="AK881" s="1" t="n">
        <f aca="false">N(AK880)+$AJ881</f>
        <v>2384</v>
      </c>
    </row>
    <row r="882" customFormat="false" ht="13.5" hidden="false" customHeight="false" outlineLevel="0" collapsed="false">
      <c r="A882" s="1" t="str">
        <f aca="false">IF(对接源_01水果!$C882="","",对接源_01水果!$C882)</f>
        <v/>
      </c>
      <c r="B882" s="1" t="n">
        <f aca="false">IF(A882="",0,IF(MATCH(A882,$A$4:$A$2403,0)=ROW()-3,1,0))</f>
        <v>0</v>
      </c>
      <c r="C882" s="1" t="n">
        <f aca="false">N(C881)+B882</f>
        <v>13</v>
      </c>
      <c r="K882" s="1" t="n">
        <f aca="false">IF(OR($K$1="",对接源_01水果!$C882="",对接源_01水果!$C882&lt;&gt;$K$1,对接源_01水果!$B882=""),0,IF(OR(N(对接源_01水果!$B882)&lt;$K$2,N(对接源_01水果!$B882)&gt;$K$3),0,1))</f>
        <v>0</v>
      </c>
      <c r="L882" s="1" t="n">
        <f aca="false">IF(OR($L$1="",对接源_01水果!$C882="",对接源_01水果!$C882&lt;&gt;$L$1,对接源_01水果!$B882=""),0,IF(OR(N(对接源_01水果!$B882)&lt;$L$2,N(对接源_01水果!$B882)&gt;$L$3),0,1))</f>
        <v>0</v>
      </c>
      <c r="M882" s="1" t="n">
        <f aca="false">IF(OR($M$1="",对接源_01水果!$C882="",对接源_01水果!$C882&lt;&gt;$M$1,对接源_01水果!$B882=""),0,IF(OR(N(对接源_01水果!$B882)&lt;$M$2,N(对接源_01水果!$B882)&gt;$M$3),0,1))</f>
        <v>0</v>
      </c>
      <c r="N882" s="1" t="n">
        <f aca="false">IF(OR($N$1="",对接源_01水果!$C882="",对接源_01水果!$C882&lt;&gt;$N$1,对接源_01水果!$B882=""),0,IF(OR(N(对接源_01水果!$B882)&lt;$N$2,N(对接源_01水果!$B882)&gt;$N$3),0,1))</f>
        <v>0</v>
      </c>
      <c r="P882" s="1" t="n">
        <f aca="false">IF(AND($K882=1,AND(对接源_01水果!$X882="公司筐",N(对接源_01水果!$T882)&lt;&gt;0)),1,0)</f>
        <v>0</v>
      </c>
      <c r="Q882" s="1" t="n">
        <f aca="false">N(Q881)+$P882</f>
        <v>3</v>
      </c>
      <c r="R882" s="1" t="n">
        <f aca="false">IF(AND($K882=1,AND(对接源_01水果!$X882="公司筐",N(对接源_01水果!$U882)&lt;&gt;0)),1,0)</f>
        <v>0</v>
      </c>
      <c r="S882" s="1" t="n">
        <f aca="false">N(S881)+$R882</f>
        <v>0</v>
      </c>
      <c r="T882" s="1" t="n">
        <f aca="false">IF(AND($K882=1,AND(对接源_01水果!$X882="公司筐",N(对接源_01水果!$V882)&lt;&gt;0)),1,0)</f>
        <v>0</v>
      </c>
      <c r="U882" s="1" t="n">
        <f aca="false">N(U881)+$T882</f>
        <v>28</v>
      </c>
      <c r="V882" s="1" t="n">
        <f aca="false">IF(AND($L882=1,AND(对接源_01水果!$X882="自备筐",N(对接源_01水果!$V882)&lt;&gt;0)),1,0)</f>
        <v>0</v>
      </c>
      <c r="W882" s="1" t="n">
        <f aca="false">N(W881)+$V882</f>
        <v>7</v>
      </c>
      <c r="X882" s="1" t="n">
        <f aca="false">IF(AND($L882=1,AND(对接源_01水果!$X882="自备筐",N(对接源_01水果!$T882)&lt;&gt;0)),1,0)</f>
        <v>0</v>
      </c>
      <c r="Y882" s="1" t="n">
        <f aca="false">N(Y881)+$X882</f>
        <v>0</v>
      </c>
      <c r="Z882" s="1" t="n">
        <f aca="false">IF(AND($M882=1,对接源_01水果!$D882="原料入库"),1,0)</f>
        <v>0</v>
      </c>
      <c r="AA882" s="1" t="n">
        <f aca="false">N(AA881)+$Z882</f>
        <v>30</v>
      </c>
      <c r="AB882" s="1" t="n">
        <f aca="false">IF(AND($M882=1,LEFT(对接源_01水果!$D882,4)="原料出库"),1,0)</f>
        <v>0</v>
      </c>
      <c r="AC882" s="1" t="n">
        <f aca="false">N(AC881)+$AB882</f>
        <v>19</v>
      </c>
      <c r="AD882" s="1" t="n">
        <f aca="false">IF(AND($M882=1,LEFT(对接源_01水果!$D882,4)="成品出库"),1,0)</f>
        <v>0</v>
      </c>
      <c r="AE882" s="1" t="n">
        <f aca="false">N(AE881)+$AD882</f>
        <v>38</v>
      </c>
      <c r="AF882" s="1" t="n">
        <f aca="false">IF(AND($N882=1,AND(LEFT(对接源_01水果!$D882,4)="包装物料",N(对接源_01水果!$K882)&lt;&gt;0)),1,0)</f>
        <v>0</v>
      </c>
      <c r="AG882" s="90" t="str">
        <f aca="false">IF(对接源_01水果!$AC882="","",对接源_01水果!$AC882)</f>
        <v/>
      </c>
      <c r="AH882" s="1" t="n">
        <f aca="false">IF(AND($N882=1,AND(LEFT(对接源_01水果!$D882,3)="周转筐",N(对接源_01水果!$K882)&lt;&gt;0)),1,0)</f>
        <v>0</v>
      </c>
      <c r="AI882" s="90" t="n">
        <f aca="false">IF(AG882="",0,IF(MATCH(AG882,$AG$4:$AG$1203,0)=ROW()-3,1,0))</f>
        <v>0</v>
      </c>
      <c r="AJ882" s="90" t="n">
        <f aca="false">N(AJ881)+AI882</f>
        <v>4</v>
      </c>
      <c r="AK882" s="1" t="n">
        <f aca="false">N(AK881)+$AJ882</f>
        <v>2388</v>
      </c>
    </row>
    <row r="883" customFormat="false" ht="13.5" hidden="false" customHeight="false" outlineLevel="0" collapsed="false">
      <c r="A883" s="1" t="str">
        <f aca="false">IF(对接源_01水果!$C883="","",对接源_01水果!$C883)</f>
        <v/>
      </c>
      <c r="B883" s="1" t="n">
        <f aca="false">IF(A883="",0,IF(MATCH(A883,$A$4:$A$2403,0)=ROW()-3,1,0))</f>
        <v>0</v>
      </c>
      <c r="C883" s="1" t="n">
        <f aca="false">N(C882)+B883</f>
        <v>13</v>
      </c>
      <c r="K883" s="1" t="n">
        <f aca="false">IF(OR($K$1="",对接源_01水果!$C883="",对接源_01水果!$C883&lt;&gt;$K$1,对接源_01水果!$B883=""),0,IF(OR(N(对接源_01水果!$B883)&lt;$K$2,N(对接源_01水果!$B883)&gt;$K$3),0,1))</f>
        <v>0</v>
      </c>
      <c r="L883" s="1" t="n">
        <f aca="false">IF(OR($L$1="",对接源_01水果!$C883="",对接源_01水果!$C883&lt;&gt;$L$1,对接源_01水果!$B883=""),0,IF(OR(N(对接源_01水果!$B883)&lt;$L$2,N(对接源_01水果!$B883)&gt;$L$3),0,1))</f>
        <v>0</v>
      </c>
      <c r="M883" s="1" t="n">
        <f aca="false">IF(OR($M$1="",对接源_01水果!$C883="",对接源_01水果!$C883&lt;&gt;$M$1,对接源_01水果!$B883=""),0,IF(OR(N(对接源_01水果!$B883)&lt;$M$2,N(对接源_01水果!$B883)&gt;$M$3),0,1))</f>
        <v>0</v>
      </c>
      <c r="N883" s="1" t="n">
        <f aca="false">IF(OR($N$1="",对接源_01水果!$C883="",对接源_01水果!$C883&lt;&gt;$N$1,对接源_01水果!$B883=""),0,IF(OR(N(对接源_01水果!$B883)&lt;$N$2,N(对接源_01水果!$B883)&gt;$N$3),0,1))</f>
        <v>0</v>
      </c>
      <c r="P883" s="1" t="n">
        <f aca="false">IF(AND($K883=1,AND(对接源_01水果!$X883="公司筐",N(对接源_01水果!$T883)&lt;&gt;0)),1,0)</f>
        <v>0</v>
      </c>
      <c r="Q883" s="1" t="n">
        <f aca="false">N(Q882)+$P883</f>
        <v>3</v>
      </c>
      <c r="R883" s="1" t="n">
        <f aca="false">IF(AND($K883=1,AND(对接源_01水果!$X883="公司筐",N(对接源_01水果!$U883)&lt;&gt;0)),1,0)</f>
        <v>0</v>
      </c>
      <c r="S883" s="1" t="n">
        <f aca="false">N(S882)+$R883</f>
        <v>0</v>
      </c>
      <c r="T883" s="1" t="n">
        <f aca="false">IF(AND($K883=1,AND(对接源_01水果!$X883="公司筐",N(对接源_01水果!$V883)&lt;&gt;0)),1,0)</f>
        <v>0</v>
      </c>
      <c r="U883" s="1" t="n">
        <f aca="false">N(U882)+$T883</f>
        <v>28</v>
      </c>
      <c r="V883" s="1" t="n">
        <f aca="false">IF(AND($L883=1,AND(对接源_01水果!$X883="自备筐",N(对接源_01水果!$V883)&lt;&gt;0)),1,0)</f>
        <v>0</v>
      </c>
      <c r="W883" s="1" t="n">
        <f aca="false">N(W882)+$V883</f>
        <v>7</v>
      </c>
      <c r="X883" s="1" t="n">
        <f aca="false">IF(AND($L883=1,AND(对接源_01水果!$X883="自备筐",N(对接源_01水果!$T883)&lt;&gt;0)),1,0)</f>
        <v>0</v>
      </c>
      <c r="Y883" s="1" t="n">
        <f aca="false">N(Y882)+$X883</f>
        <v>0</v>
      </c>
      <c r="Z883" s="1" t="n">
        <f aca="false">IF(AND($M883=1,对接源_01水果!$D883="原料入库"),1,0)</f>
        <v>0</v>
      </c>
      <c r="AA883" s="1" t="n">
        <f aca="false">N(AA882)+$Z883</f>
        <v>30</v>
      </c>
      <c r="AB883" s="1" t="n">
        <f aca="false">IF(AND($M883=1,LEFT(对接源_01水果!$D883,4)="原料出库"),1,0)</f>
        <v>0</v>
      </c>
      <c r="AC883" s="1" t="n">
        <f aca="false">N(AC882)+$AB883</f>
        <v>19</v>
      </c>
      <c r="AD883" s="1" t="n">
        <f aca="false">IF(AND($M883=1,LEFT(对接源_01水果!$D883,4)="成品出库"),1,0)</f>
        <v>0</v>
      </c>
      <c r="AE883" s="1" t="n">
        <f aca="false">N(AE882)+$AD883</f>
        <v>38</v>
      </c>
      <c r="AF883" s="1" t="n">
        <f aca="false">IF(AND($N883=1,AND(LEFT(对接源_01水果!$D883,4)="包装物料",N(对接源_01水果!$K883)&lt;&gt;0)),1,0)</f>
        <v>0</v>
      </c>
      <c r="AG883" s="90" t="str">
        <f aca="false">IF(对接源_01水果!$AC883="","",对接源_01水果!$AC883)</f>
        <v/>
      </c>
      <c r="AH883" s="1" t="n">
        <f aca="false">IF(AND($N883=1,AND(LEFT(对接源_01水果!$D883,3)="周转筐",N(对接源_01水果!$K883)&lt;&gt;0)),1,0)</f>
        <v>0</v>
      </c>
      <c r="AI883" s="90" t="n">
        <f aca="false">IF(AG883="",0,IF(MATCH(AG883,$AG$4:$AG$1203,0)=ROW()-3,1,0))</f>
        <v>0</v>
      </c>
      <c r="AJ883" s="90" t="n">
        <f aca="false">N(AJ882)+AI883</f>
        <v>4</v>
      </c>
      <c r="AK883" s="1" t="n">
        <f aca="false">N(AK882)+$AJ883</f>
        <v>2392</v>
      </c>
    </row>
    <row r="884" customFormat="false" ht="13.5" hidden="false" customHeight="false" outlineLevel="0" collapsed="false">
      <c r="A884" s="1" t="str">
        <f aca="false">IF(对接源_01水果!$C884="","",对接源_01水果!$C884)</f>
        <v/>
      </c>
      <c r="B884" s="1" t="n">
        <f aca="false">IF(A884="",0,IF(MATCH(A884,$A$4:$A$2403,0)=ROW()-3,1,0))</f>
        <v>0</v>
      </c>
      <c r="C884" s="1" t="n">
        <f aca="false">N(C883)+B884</f>
        <v>13</v>
      </c>
      <c r="K884" s="1" t="n">
        <f aca="false">IF(OR($K$1="",对接源_01水果!$C884="",对接源_01水果!$C884&lt;&gt;$K$1,对接源_01水果!$B884=""),0,IF(OR(N(对接源_01水果!$B884)&lt;$K$2,N(对接源_01水果!$B884)&gt;$K$3),0,1))</f>
        <v>0</v>
      </c>
      <c r="L884" s="1" t="n">
        <f aca="false">IF(OR($L$1="",对接源_01水果!$C884="",对接源_01水果!$C884&lt;&gt;$L$1,对接源_01水果!$B884=""),0,IF(OR(N(对接源_01水果!$B884)&lt;$L$2,N(对接源_01水果!$B884)&gt;$L$3),0,1))</f>
        <v>0</v>
      </c>
      <c r="M884" s="1" t="n">
        <f aca="false">IF(OR($M$1="",对接源_01水果!$C884="",对接源_01水果!$C884&lt;&gt;$M$1,对接源_01水果!$B884=""),0,IF(OR(N(对接源_01水果!$B884)&lt;$M$2,N(对接源_01水果!$B884)&gt;$M$3),0,1))</f>
        <v>0</v>
      </c>
      <c r="N884" s="1" t="n">
        <f aca="false">IF(OR($N$1="",对接源_01水果!$C884="",对接源_01水果!$C884&lt;&gt;$N$1,对接源_01水果!$B884=""),0,IF(OR(N(对接源_01水果!$B884)&lt;$N$2,N(对接源_01水果!$B884)&gt;$N$3),0,1))</f>
        <v>0</v>
      </c>
      <c r="P884" s="1" t="n">
        <f aca="false">IF(AND($K884=1,AND(对接源_01水果!$X884="公司筐",N(对接源_01水果!$T884)&lt;&gt;0)),1,0)</f>
        <v>0</v>
      </c>
      <c r="Q884" s="1" t="n">
        <f aca="false">N(Q883)+$P884</f>
        <v>3</v>
      </c>
      <c r="R884" s="1" t="n">
        <f aca="false">IF(AND($K884=1,AND(对接源_01水果!$X884="公司筐",N(对接源_01水果!$U884)&lt;&gt;0)),1,0)</f>
        <v>0</v>
      </c>
      <c r="S884" s="1" t="n">
        <f aca="false">N(S883)+$R884</f>
        <v>0</v>
      </c>
      <c r="T884" s="1" t="n">
        <f aca="false">IF(AND($K884=1,AND(对接源_01水果!$X884="公司筐",N(对接源_01水果!$V884)&lt;&gt;0)),1,0)</f>
        <v>0</v>
      </c>
      <c r="U884" s="1" t="n">
        <f aca="false">N(U883)+$T884</f>
        <v>28</v>
      </c>
      <c r="V884" s="1" t="n">
        <f aca="false">IF(AND($L884=1,AND(对接源_01水果!$X884="自备筐",N(对接源_01水果!$V884)&lt;&gt;0)),1,0)</f>
        <v>0</v>
      </c>
      <c r="W884" s="1" t="n">
        <f aca="false">N(W883)+$V884</f>
        <v>7</v>
      </c>
      <c r="X884" s="1" t="n">
        <f aca="false">IF(AND($L884=1,AND(对接源_01水果!$X884="自备筐",N(对接源_01水果!$T884)&lt;&gt;0)),1,0)</f>
        <v>0</v>
      </c>
      <c r="Y884" s="1" t="n">
        <f aca="false">N(Y883)+$X884</f>
        <v>0</v>
      </c>
      <c r="Z884" s="1" t="n">
        <f aca="false">IF(AND($M884=1,对接源_01水果!$D884="原料入库"),1,0)</f>
        <v>0</v>
      </c>
      <c r="AA884" s="1" t="n">
        <f aca="false">N(AA883)+$Z884</f>
        <v>30</v>
      </c>
      <c r="AB884" s="1" t="n">
        <f aca="false">IF(AND($M884=1,LEFT(对接源_01水果!$D884,4)="原料出库"),1,0)</f>
        <v>0</v>
      </c>
      <c r="AC884" s="1" t="n">
        <f aca="false">N(AC883)+$AB884</f>
        <v>19</v>
      </c>
      <c r="AD884" s="1" t="n">
        <f aca="false">IF(AND($M884=1,LEFT(对接源_01水果!$D884,4)="成品出库"),1,0)</f>
        <v>0</v>
      </c>
      <c r="AE884" s="1" t="n">
        <f aca="false">N(AE883)+$AD884</f>
        <v>38</v>
      </c>
      <c r="AF884" s="1" t="n">
        <f aca="false">IF(AND($N884=1,AND(LEFT(对接源_01水果!$D884,4)="包装物料",N(对接源_01水果!$K884)&lt;&gt;0)),1,0)</f>
        <v>0</v>
      </c>
      <c r="AG884" s="90" t="str">
        <f aca="false">IF(对接源_01水果!$AC884="","",对接源_01水果!$AC884)</f>
        <v/>
      </c>
      <c r="AH884" s="1" t="n">
        <f aca="false">IF(AND($N884=1,AND(LEFT(对接源_01水果!$D884,3)="周转筐",N(对接源_01水果!$K884)&lt;&gt;0)),1,0)</f>
        <v>0</v>
      </c>
      <c r="AI884" s="90" t="n">
        <f aca="false">IF(AG884="",0,IF(MATCH(AG884,$AG$4:$AG$1203,0)=ROW()-3,1,0))</f>
        <v>0</v>
      </c>
      <c r="AJ884" s="90" t="n">
        <f aca="false">N(AJ883)+AI884</f>
        <v>4</v>
      </c>
      <c r="AK884" s="1" t="n">
        <f aca="false">N(AK883)+$AJ884</f>
        <v>2396</v>
      </c>
    </row>
    <row r="885" customFormat="false" ht="13.5" hidden="false" customHeight="false" outlineLevel="0" collapsed="false">
      <c r="A885" s="1" t="str">
        <f aca="false">IF(对接源_01水果!$C885="","",对接源_01水果!$C885)</f>
        <v/>
      </c>
      <c r="B885" s="1" t="n">
        <f aca="false">IF(A885="",0,IF(MATCH(A885,$A$4:$A$2403,0)=ROW()-3,1,0))</f>
        <v>0</v>
      </c>
      <c r="C885" s="1" t="n">
        <f aca="false">N(C884)+B885</f>
        <v>13</v>
      </c>
      <c r="K885" s="1" t="n">
        <f aca="false">IF(OR($K$1="",对接源_01水果!$C885="",对接源_01水果!$C885&lt;&gt;$K$1,对接源_01水果!$B885=""),0,IF(OR(N(对接源_01水果!$B885)&lt;$K$2,N(对接源_01水果!$B885)&gt;$K$3),0,1))</f>
        <v>0</v>
      </c>
      <c r="L885" s="1" t="n">
        <f aca="false">IF(OR($L$1="",对接源_01水果!$C885="",对接源_01水果!$C885&lt;&gt;$L$1,对接源_01水果!$B885=""),0,IF(OR(N(对接源_01水果!$B885)&lt;$L$2,N(对接源_01水果!$B885)&gt;$L$3),0,1))</f>
        <v>0</v>
      </c>
      <c r="M885" s="1" t="n">
        <f aca="false">IF(OR($M$1="",对接源_01水果!$C885="",对接源_01水果!$C885&lt;&gt;$M$1,对接源_01水果!$B885=""),0,IF(OR(N(对接源_01水果!$B885)&lt;$M$2,N(对接源_01水果!$B885)&gt;$M$3),0,1))</f>
        <v>0</v>
      </c>
      <c r="N885" s="1" t="n">
        <f aca="false">IF(OR($N$1="",对接源_01水果!$C885="",对接源_01水果!$C885&lt;&gt;$N$1,对接源_01水果!$B885=""),0,IF(OR(N(对接源_01水果!$B885)&lt;$N$2,N(对接源_01水果!$B885)&gt;$N$3),0,1))</f>
        <v>0</v>
      </c>
      <c r="P885" s="1" t="n">
        <f aca="false">IF(AND($K885=1,AND(对接源_01水果!$X885="公司筐",N(对接源_01水果!$T885)&lt;&gt;0)),1,0)</f>
        <v>0</v>
      </c>
      <c r="Q885" s="1" t="n">
        <f aca="false">N(Q884)+$P885</f>
        <v>3</v>
      </c>
      <c r="R885" s="1" t="n">
        <f aca="false">IF(AND($K885=1,AND(对接源_01水果!$X885="公司筐",N(对接源_01水果!$U885)&lt;&gt;0)),1,0)</f>
        <v>0</v>
      </c>
      <c r="S885" s="1" t="n">
        <f aca="false">N(S884)+$R885</f>
        <v>0</v>
      </c>
      <c r="T885" s="1" t="n">
        <f aca="false">IF(AND($K885=1,AND(对接源_01水果!$X885="公司筐",N(对接源_01水果!$V885)&lt;&gt;0)),1,0)</f>
        <v>0</v>
      </c>
      <c r="U885" s="1" t="n">
        <f aca="false">N(U884)+$T885</f>
        <v>28</v>
      </c>
      <c r="V885" s="1" t="n">
        <f aca="false">IF(AND($L885=1,AND(对接源_01水果!$X885="自备筐",N(对接源_01水果!$V885)&lt;&gt;0)),1,0)</f>
        <v>0</v>
      </c>
      <c r="W885" s="1" t="n">
        <f aca="false">N(W884)+$V885</f>
        <v>7</v>
      </c>
      <c r="X885" s="1" t="n">
        <f aca="false">IF(AND($L885=1,AND(对接源_01水果!$X885="自备筐",N(对接源_01水果!$T885)&lt;&gt;0)),1,0)</f>
        <v>0</v>
      </c>
      <c r="Y885" s="1" t="n">
        <f aca="false">N(Y884)+$X885</f>
        <v>0</v>
      </c>
      <c r="Z885" s="1" t="n">
        <f aca="false">IF(AND($M885=1,对接源_01水果!$D885="原料入库"),1,0)</f>
        <v>0</v>
      </c>
      <c r="AA885" s="1" t="n">
        <f aca="false">N(AA884)+$Z885</f>
        <v>30</v>
      </c>
      <c r="AB885" s="1" t="n">
        <f aca="false">IF(AND($M885=1,LEFT(对接源_01水果!$D885,4)="原料出库"),1,0)</f>
        <v>0</v>
      </c>
      <c r="AC885" s="1" t="n">
        <f aca="false">N(AC884)+$AB885</f>
        <v>19</v>
      </c>
      <c r="AD885" s="1" t="n">
        <f aca="false">IF(AND($M885=1,LEFT(对接源_01水果!$D885,4)="成品出库"),1,0)</f>
        <v>0</v>
      </c>
      <c r="AE885" s="1" t="n">
        <f aca="false">N(AE884)+$AD885</f>
        <v>38</v>
      </c>
      <c r="AF885" s="1" t="n">
        <f aca="false">IF(AND($N885=1,AND(LEFT(对接源_01水果!$D885,4)="包装物料",N(对接源_01水果!$K885)&lt;&gt;0)),1,0)</f>
        <v>0</v>
      </c>
      <c r="AG885" s="90" t="str">
        <f aca="false">IF(对接源_01水果!$AC885="","",对接源_01水果!$AC885)</f>
        <v/>
      </c>
      <c r="AH885" s="1" t="n">
        <f aca="false">IF(AND($N885=1,AND(LEFT(对接源_01水果!$D885,3)="周转筐",N(对接源_01水果!$K885)&lt;&gt;0)),1,0)</f>
        <v>0</v>
      </c>
      <c r="AI885" s="90" t="n">
        <f aca="false">IF(AG885="",0,IF(MATCH(AG885,$AG$4:$AG$1203,0)=ROW()-3,1,0))</f>
        <v>0</v>
      </c>
      <c r="AJ885" s="90" t="n">
        <f aca="false">N(AJ884)+AI885</f>
        <v>4</v>
      </c>
      <c r="AK885" s="1" t="n">
        <f aca="false">N(AK884)+$AJ885</f>
        <v>2400</v>
      </c>
    </row>
    <row r="886" customFormat="false" ht="13.5" hidden="false" customHeight="false" outlineLevel="0" collapsed="false">
      <c r="A886" s="1" t="str">
        <f aca="false">IF(对接源_01水果!$C886="","",对接源_01水果!$C886)</f>
        <v/>
      </c>
      <c r="B886" s="1" t="n">
        <f aca="false">IF(A886="",0,IF(MATCH(A886,$A$4:$A$2403,0)=ROW()-3,1,0))</f>
        <v>0</v>
      </c>
      <c r="C886" s="1" t="n">
        <f aca="false">N(C885)+B886</f>
        <v>13</v>
      </c>
      <c r="K886" s="1" t="n">
        <f aca="false">IF(OR($K$1="",对接源_01水果!$C886="",对接源_01水果!$C886&lt;&gt;$K$1,对接源_01水果!$B886=""),0,IF(OR(N(对接源_01水果!$B886)&lt;$K$2,N(对接源_01水果!$B886)&gt;$K$3),0,1))</f>
        <v>0</v>
      </c>
      <c r="L886" s="1" t="n">
        <f aca="false">IF(OR($L$1="",对接源_01水果!$C886="",对接源_01水果!$C886&lt;&gt;$L$1,对接源_01水果!$B886=""),0,IF(OR(N(对接源_01水果!$B886)&lt;$L$2,N(对接源_01水果!$B886)&gt;$L$3),0,1))</f>
        <v>0</v>
      </c>
      <c r="M886" s="1" t="n">
        <f aca="false">IF(OR($M$1="",对接源_01水果!$C886="",对接源_01水果!$C886&lt;&gt;$M$1,对接源_01水果!$B886=""),0,IF(OR(N(对接源_01水果!$B886)&lt;$M$2,N(对接源_01水果!$B886)&gt;$M$3),0,1))</f>
        <v>0</v>
      </c>
      <c r="N886" s="1" t="n">
        <f aca="false">IF(OR($N$1="",对接源_01水果!$C886="",对接源_01水果!$C886&lt;&gt;$N$1,对接源_01水果!$B886=""),0,IF(OR(N(对接源_01水果!$B886)&lt;$N$2,N(对接源_01水果!$B886)&gt;$N$3),0,1))</f>
        <v>0</v>
      </c>
      <c r="P886" s="1" t="n">
        <f aca="false">IF(AND($K886=1,AND(对接源_01水果!$X886="公司筐",N(对接源_01水果!$T886)&lt;&gt;0)),1,0)</f>
        <v>0</v>
      </c>
      <c r="Q886" s="1" t="n">
        <f aca="false">N(Q885)+$P886</f>
        <v>3</v>
      </c>
      <c r="R886" s="1" t="n">
        <f aca="false">IF(AND($K886=1,AND(对接源_01水果!$X886="公司筐",N(对接源_01水果!$U886)&lt;&gt;0)),1,0)</f>
        <v>0</v>
      </c>
      <c r="S886" s="1" t="n">
        <f aca="false">N(S885)+$R886</f>
        <v>0</v>
      </c>
      <c r="T886" s="1" t="n">
        <f aca="false">IF(AND($K886=1,AND(对接源_01水果!$X886="公司筐",N(对接源_01水果!$V886)&lt;&gt;0)),1,0)</f>
        <v>0</v>
      </c>
      <c r="U886" s="1" t="n">
        <f aca="false">N(U885)+$T886</f>
        <v>28</v>
      </c>
      <c r="V886" s="1" t="n">
        <f aca="false">IF(AND($L886=1,AND(对接源_01水果!$X886="自备筐",N(对接源_01水果!$V886)&lt;&gt;0)),1,0)</f>
        <v>0</v>
      </c>
      <c r="W886" s="1" t="n">
        <f aca="false">N(W885)+$V886</f>
        <v>7</v>
      </c>
      <c r="X886" s="1" t="n">
        <f aca="false">IF(AND($L886=1,AND(对接源_01水果!$X886="自备筐",N(对接源_01水果!$T886)&lt;&gt;0)),1,0)</f>
        <v>0</v>
      </c>
      <c r="Y886" s="1" t="n">
        <f aca="false">N(Y885)+$X886</f>
        <v>0</v>
      </c>
      <c r="Z886" s="1" t="n">
        <f aca="false">IF(AND($M886=1,对接源_01水果!$D886="原料入库"),1,0)</f>
        <v>0</v>
      </c>
      <c r="AA886" s="1" t="n">
        <f aca="false">N(AA885)+$Z886</f>
        <v>30</v>
      </c>
      <c r="AB886" s="1" t="n">
        <f aca="false">IF(AND($M886=1,LEFT(对接源_01水果!$D886,4)="原料出库"),1,0)</f>
        <v>0</v>
      </c>
      <c r="AC886" s="1" t="n">
        <f aca="false">N(AC885)+$AB886</f>
        <v>19</v>
      </c>
      <c r="AD886" s="1" t="n">
        <f aca="false">IF(AND($M886=1,LEFT(对接源_01水果!$D886,4)="成品出库"),1,0)</f>
        <v>0</v>
      </c>
      <c r="AE886" s="1" t="n">
        <f aca="false">N(AE885)+$AD886</f>
        <v>38</v>
      </c>
      <c r="AF886" s="1" t="n">
        <f aca="false">IF(AND($N886=1,AND(LEFT(对接源_01水果!$D886,4)="包装物料",N(对接源_01水果!$K886)&lt;&gt;0)),1,0)</f>
        <v>0</v>
      </c>
      <c r="AG886" s="90" t="str">
        <f aca="false">IF(对接源_01水果!$AC886="","",对接源_01水果!$AC886)</f>
        <v/>
      </c>
      <c r="AH886" s="1" t="n">
        <f aca="false">IF(AND($N886=1,AND(LEFT(对接源_01水果!$D886,3)="周转筐",N(对接源_01水果!$K886)&lt;&gt;0)),1,0)</f>
        <v>0</v>
      </c>
      <c r="AI886" s="90" t="n">
        <f aca="false">IF(AG886="",0,IF(MATCH(AG886,$AG$4:$AG$1203,0)=ROW()-3,1,0))</f>
        <v>0</v>
      </c>
      <c r="AJ886" s="90" t="n">
        <f aca="false">N(AJ885)+AI886</f>
        <v>4</v>
      </c>
      <c r="AK886" s="1" t="n">
        <f aca="false">N(AK885)+$AJ886</f>
        <v>2404</v>
      </c>
    </row>
    <row r="887" customFormat="false" ht="13.5" hidden="false" customHeight="false" outlineLevel="0" collapsed="false">
      <c r="A887" s="1" t="str">
        <f aca="false">IF(对接源_01水果!$C887="","",对接源_01水果!$C887)</f>
        <v/>
      </c>
      <c r="B887" s="1" t="n">
        <f aca="false">IF(A887="",0,IF(MATCH(A887,$A$4:$A$2403,0)=ROW()-3,1,0))</f>
        <v>0</v>
      </c>
      <c r="C887" s="1" t="n">
        <f aca="false">N(C886)+B887</f>
        <v>13</v>
      </c>
      <c r="K887" s="1" t="n">
        <f aca="false">IF(OR($K$1="",对接源_01水果!$C887="",对接源_01水果!$C887&lt;&gt;$K$1,对接源_01水果!$B887=""),0,IF(OR(N(对接源_01水果!$B887)&lt;$K$2,N(对接源_01水果!$B887)&gt;$K$3),0,1))</f>
        <v>0</v>
      </c>
      <c r="L887" s="1" t="n">
        <f aca="false">IF(OR($L$1="",对接源_01水果!$C887="",对接源_01水果!$C887&lt;&gt;$L$1,对接源_01水果!$B887=""),0,IF(OR(N(对接源_01水果!$B887)&lt;$L$2,N(对接源_01水果!$B887)&gt;$L$3),0,1))</f>
        <v>0</v>
      </c>
      <c r="M887" s="1" t="n">
        <f aca="false">IF(OR($M$1="",对接源_01水果!$C887="",对接源_01水果!$C887&lt;&gt;$M$1,对接源_01水果!$B887=""),0,IF(OR(N(对接源_01水果!$B887)&lt;$M$2,N(对接源_01水果!$B887)&gt;$M$3),0,1))</f>
        <v>0</v>
      </c>
      <c r="N887" s="1" t="n">
        <f aca="false">IF(OR($N$1="",对接源_01水果!$C887="",对接源_01水果!$C887&lt;&gt;$N$1,对接源_01水果!$B887=""),0,IF(OR(N(对接源_01水果!$B887)&lt;$N$2,N(对接源_01水果!$B887)&gt;$N$3),0,1))</f>
        <v>0</v>
      </c>
      <c r="P887" s="1" t="n">
        <f aca="false">IF(AND($K887=1,AND(对接源_01水果!$X887="公司筐",N(对接源_01水果!$T887)&lt;&gt;0)),1,0)</f>
        <v>0</v>
      </c>
      <c r="Q887" s="1" t="n">
        <f aca="false">N(Q886)+$P887</f>
        <v>3</v>
      </c>
      <c r="R887" s="1" t="n">
        <f aca="false">IF(AND($K887=1,AND(对接源_01水果!$X887="公司筐",N(对接源_01水果!$U887)&lt;&gt;0)),1,0)</f>
        <v>0</v>
      </c>
      <c r="S887" s="1" t="n">
        <f aca="false">N(S886)+$R887</f>
        <v>0</v>
      </c>
      <c r="T887" s="1" t="n">
        <f aca="false">IF(AND($K887=1,AND(对接源_01水果!$X887="公司筐",N(对接源_01水果!$V887)&lt;&gt;0)),1,0)</f>
        <v>0</v>
      </c>
      <c r="U887" s="1" t="n">
        <f aca="false">N(U886)+$T887</f>
        <v>28</v>
      </c>
      <c r="V887" s="1" t="n">
        <f aca="false">IF(AND($L887=1,AND(对接源_01水果!$X887="自备筐",N(对接源_01水果!$V887)&lt;&gt;0)),1,0)</f>
        <v>0</v>
      </c>
      <c r="W887" s="1" t="n">
        <f aca="false">N(W886)+$V887</f>
        <v>7</v>
      </c>
      <c r="X887" s="1" t="n">
        <f aca="false">IF(AND($L887=1,AND(对接源_01水果!$X887="自备筐",N(对接源_01水果!$T887)&lt;&gt;0)),1,0)</f>
        <v>0</v>
      </c>
      <c r="Y887" s="1" t="n">
        <f aca="false">N(Y886)+$X887</f>
        <v>0</v>
      </c>
      <c r="Z887" s="1" t="n">
        <f aca="false">IF(AND($M887=1,对接源_01水果!$D887="原料入库"),1,0)</f>
        <v>0</v>
      </c>
      <c r="AA887" s="1" t="n">
        <f aca="false">N(AA886)+$Z887</f>
        <v>30</v>
      </c>
      <c r="AB887" s="1" t="n">
        <f aca="false">IF(AND($M887=1,LEFT(对接源_01水果!$D887,4)="原料出库"),1,0)</f>
        <v>0</v>
      </c>
      <c r="AC887" s="1" t="n">
        <f aca="false">N(AC886)+$AB887</f>
        <v>19</v>
      </c>
      <c r="AD887" s="1" t="n">
        <f aca="false">IF(AND($M887=1,LEFT(对接源_01水果!$D887,4)="成品出库"),1,0)</f>
        <v>0</v>
      </c>
      <c r="AE887" s="1" t="n">
        <f aca="false">N(AE886)+$AD887</f>
        <v>38</v>
      </c>
      <c r="AF887" s="1" t="n">
        <f aca="false">IF(AND($N887=1,AND(LEFT(对接源_01水果!$D887,4)="包装物料",N(对接源_01水果!$K887)&lt;&gt;0)),1,0)</f>
        <v>0</v>
      </c>
      <c r="AG887" s="90" t="str">
        <f aca="false">IF(对接源_01水果!$AC887="","",对接源_01水果!$AC887)</f>
        <v/>
      </c>
      <c r="AH887" s="1" t="n">
        <f aca="false">IF(AND($N887=1,AND(LEFT(对接源_01水果!$D887,3)="周转筐",N(对接源_01水果!$K887)&lt;&gt;0)),1,0)</f>
        <v>0</v>
      </c>
      <c r="AI887" s="90" t="n">
        <f aca="false">IF(AG887="",0,IF(MATCH(AG887,$AG$4:$AG$1203,0)=ROW()-3,1,0))</f>
        <v>0</v>
      </c>
      <c r="AJ887" s="90" t="n">
        <f aca="false">N(AJ886)+AI887</f>
        <v>4</v>
      </c>
      <c r="AK887" s="1" t="n">
        <f aca="false">N(AK886)+$AJ887</f>
        <v>2408</v>
      </c>
    </row>
    <row r="888" customFormat="false" ht="13.5" hidden="false" customHeight="false" outlineLevel="0" collapsed="false">
      <c r="A888" s="1" t="str">
        <f aca="false">IF(对接源_01水果!$C888="","",对接源_01水果!$C888)</f>
        <v/>
      </c>
      <c r="B888" s="1" t="n">
        <f aca="false">IF(A888="",0,IF(MATCH(A888,$A$4:$A$2403,0)=ROW()-3,1,0))</f>
        <v>0</v>
      </c>
      <c r="C888" s="1" t="n">
        <f aca="false">N(C887)+B888</f>
        <v>13</v>
      </c>
      <c r="K888" s="1" t="n">
        <f aca="false">IF(OR($K$1="",对接源_01水果!$C888="",对接源_01水果!$C888&lt;&gt;$K$1,对接源_01水果!$B888=""),0,IF(OR(N(对接源_01水果!$B888)&lt;$K$2,N(对接源_01水果!$B888)&gt;$K$3),0,1))</f>
        <v>0</v>
      </c>
      <c r="L888" s="1" t="n">
        <f aca="false">IF(OR($L$1="",对接源_01水果!$C888="",对接源_01水果!$C888&lt;&gt;$L$1,对接源_01水果!$B888=""),0,IF(OR(N(对接源_01水果!$B888)&lt;$L$2,N(对接源_01水果!$B888)&gt;$L$3),0,1))</f>
        <v>0</v>
      </c>
      <c r="M888" s="1" t="n">
        <f aca="false">IF(OR($M$1="",对接源_01水果!$C888="",对接源_01水果!$C888&lt;&gt;$M$1,对接源_01水果!$B888=""),0,IF(OR(N(对接源_01水果!$B888)&lt;$M$2,N(对接源_01水果!$B888)&gt;$M$3),0,1))</f>
        <v>0</v>
      </c>
      <c r="N888" s="1" t="n">
        <f aca="false">IF(OR($N$1="",对接源_01水果!$C888="",对接源_01水果!$C888&lt;&gt;$N$1,对接源_01水果!$B888=""),0,IF(OR(N(对接源_01水果!$B888)&lt;$N$2,N(对接源_01水果!$B888)&gt;$N$3),0,1))</f>
        <v>0</v>
      </c>
      <c r="P888" s="1" t="n">
        <f aca="false">IF(AND($K888=1,AND(对接源_01水果!$X888="公司筐",N(对接源_01水果!$T888)&lt;&gt;0)),1,0)</f>
        <v>0</v>
      </c>
      <c r="Q888" s="1" t="n">
        <f aca="false">N(Q887)+$P888</f>
        <v>3</v>
      </c>
      <c r="R888" s="1" t="n">
        <f aca="false">IF(AND($K888=1,AND(对接源_01水果!$X888="公司筐",N(对接源_01水果!$U888)&lt;&gt;0)),1,0)</f>
        <v>0</v>
      </c>
      <c r="S888" s="1" t="n">
        <f aca="false">N(S887)+$R888</f>
        <v>0</v>
      </c>
      <c r="T888" s="1" t="n">
        <f aca="false">IF(AND($K888=1,AND(对接源_01水果!$X888="公司筐",N(对接源_01水果!$V888)&lt;&gt;0)),1,0)</f>
        <v>0</v>
      </c>
      <c r="U888" s="1" t="n">
        <f aca="false">N(U887)+$T888</f>
        <v>28</v>
      </c>
      <c r="V888" s="1" t="n">
        <f aca="false">IF(AND($L888=1,AND(对接源_01水果!$X888="自备筐",N(对接源_01水果!$V888)&lt;&gt;0)),1,0)</f>
        <v>0</v>
      </c>
      <c r="W888" s="1" t="n">
        <f aca="false">N(W887)+$V888</f>
        <v>7</v>
      </c>
      <c r="X888" s="1" t="n">
        <f aca="false">IF(AND($L888=1,AND(对接源_01水果!$X888="自备筐",N(对接源_01水果!$T888)&lt;&gt;0)),1,0)</f>
        <v>0</v>
      </c>
      <c r="Y888" s="1" t="n">
        <f aca="false">N(Y887)+$X888</f>
        <v>0</v>
      </c>
      <c r="Z888" s="1" t="n">
        <f aca="false">IF(AND($M888=1,对接源_01水果!$D888="原料入库"),1,0)</f>
        <v>0</v>
      </c>
      <c r="AA888" s="1" t="n">
        <f aca="false">N(AA887)+$Z888</f>
        <v>30</v>
      </c>
      <c r="AB888" s="1" t="n">
        <f aca="false">IF(AND($M888=1,LEFT(对接源_01水果!$D888,4)="原料出库"),1,0)</f>
        <v>0</v>
      </c>
      <c r="AC888" s="1" t="n">
        <f aca="false">N(AC887)+$AB888</f>
        <v>19</v>
      </c>
      <c r="AD888" s="1" t="n">
        <f aca="false">IF(AND($M888=1,LEFT(对接源_01水果!$D888,4)="成品出库"),1,0)</f>
        <v>0</v>
      </c>
      <c r="AE888" s="1" t="n">
        <f aca="false">N(AE887)+$AD888</f>
        <v>38</v>
      </c>
      <c r="AF888" s="1" t="n">
        <f aca="false">IF(AND($N888=1,AND(LEFT(对接源_01水果!$D888,4)="包装物料",N(对接源_01水果!$K888)&lt;&gt;0)),1,0)</f>
        <v>0</v>
      </c>
      <c r="AG888" s="90" t="str">
        <f aca="false">IF(对接源_01水果!$AC888="","",对接源_01水果!$AC888)</f>
        <v/>
      </c>
      <c r="AH888" s="1" t="n">
        <f aca="false">IF(AND($N888=1,AND(LEFT(对接源_01水果!$D888,3)="周转筐",N(对接源_01水果!$K888)&lt;&gt;0)),1,0)</f>
        <v>0</v>
      </c>
      <c r="AI888" s="90" t="n">
        <f aca="false">IF(AG888="",0,IF(MATCH(AG888,$AG$4:$AG$1203,0)=ROW()-3,1,0))</f>
        <v>0</v>
      </c>
      <c r="AJ888" s="90" t="n">
        <f aca="false">N(AJ887)+AI888</f>
        <v>4</v>
      </c>
      <c r="AK888" s="1" t="n">
        <f aca="false">N(AK887)+$AJ888</f>
        <v>2412</v>
      </c>
    </row>
    <row r="889" customFormat="false" ht="13.5" hidden="false" customHeight="false" outlineLevel="0" collapsed="false">
      <c r="A889" s="1" t="str">
        <f aca="false">IF(对接源_01水果!$C889="","",对接源_01水果!$C889)</f>
        <v/>
      </c>
      <c r="B889" s="1" t="n">
        <f aca="false">IF(A889="",0,IF(MATCH(A889,$A$4:$A$2403,0)=ROW()-3,1,0))</f>
        <v>0</v>
      </c>
      <c r="C889" s="1" t="n">
        <f aca="false">N(C888)+B889</f>
        <v>13</v>
      </c>
      <c r="K889" s="1" t="n">
        <f aca="false">IF(OR($K$1="",对接源_01水果!$C889="",对接源_01水果!$C889&lt;&gt;$K$1,对接源_01水果!$B889=""),0,IF(OR(N(对接源_01水果!$B889)&lt;$K$2,N(对接源_01水果!$B889)&gt;$K$3),0,1))</f>
        <v>0</v>
      </c>
      <c r="L889" s="1" t="n">
        <f aca="false">IF(OR($L$1="",对接源_01水果!$C889="",对接源_01水果!$C889&lt;&gt;$L$1,对接源_01水果!$B889=""),0,IF(OR(N(对接源_01水果!$B889)&lt;$L$2,N(对接源_01水果!$B889)&gt;$L$3),0,1))</f>
        <v>0</v>
      </c>
      <c r="M889" s="1" t="n">
        <f aca="false">IF(OR($M$1="",对接源_01水果!$C889="",对接源_01水果!$C889&lt;&gt;$M$1,对接源_01水果!$B889=""),0,IF(OR(N(对接源_01水果!$B889)&lt;$M$2,N(对接源_01水果!$B889)&gt;$M$3),0,1))</f>
        <v>0</v>
      </c>
      <c r="N889" s="1" t="n">
        <f aca="false">IF(OR($N$1="",对接源_01水果!$C889="",对接源_01水果!$C889&lt;&gt;$N$1,对接源_01水果!$B889=""),0,IF(OR(N(对接源_01水果!$B889)&lt;$N$2,N(对接源_01水果!$B889)&gt;$N$3),0,1))</f>
        <v>0</v>
      </c>
      <c r="P889" s="1" t="n">
        <f aca="false">IF(AND($K889=1,AND(对接源_01水果!$X889="公司筐",N(对接源_01水果!$T889)&lt;&gt;0)),1,0)</f>
        <v>0</v>
      </c>
      <c r="Q889" s="1" t="n">
        <f aca="false">N(Q888)+$P889</f>
        <v>3</v>
      </c>
      <c r="R889" s="1" t="n">
        <f aca="false">IF(AND($K889=1,AND(对接源_01水果!$X889="公司筐",N(对接源_01水果!$U889)&lt;&gt;0)),1,0)</f>
        <v>0</v>
      </c>
      <c r="S889" s="1" t="n">
        <f aca="false">N(S888)+$R889</f>
        <v>0</v>
      </c>
      <c r="T889" s="1" t="n">
        <f aca="false">IF(AND($K889=1,AND(对接源_01水果!$X889="公司筐",N(对接源_01水果!$V889)&lt;&gt;0)),1,0)</f>
        <v>0</v>
      </c>
      <c r="U889" s="1" t="n">
        <f aca="false">N(U888)+$T889</f>
        <v>28</v>
      </c>
      <c r="V889" s="1" t="n">
        <f aca="false">IF(AND($L889=1,AND(对接源_01水果!$X889="自备筐",N(对接源_01水果!$V889)&lt;&gt;0)),1,0)</f>
        <v>0</v>
      </c>
      <c r="W889" s="1" t="n">
        <f aca="false">N(W888)+$V889</f>
        <v>7</v>
      </c>
      <c r="X889" s="1" t="n">
        <f aca="false">IF(AND($L889=1,AND(对接源_01水果!$X889="自备筐",N(对接源_01水果!$T889)&lt;&gt;0)),1,0)</f>
        <v>0</v>
      </c>
      <c r="Y889" s="1" t="n">
        <f aca="false">N(Y888)+$X889</f>
        <v>0</v>
      </c>
      <c r="Z889" s="1" t="n">
        <f aca="false">IF(AND($M889=1,对接源_01水果!$D889="原料入库"),1,0)</f>
        <v>0</v>
      </c>
      <c r="AA889" s="1" t="n">
        <f aca="false">N(AA888)+$Z889</f>
        <v>30</v>
      </c>
      <c r="AB889" s="1" t="n">
        <f aca="false">IF(AND($M889=1,LEFT(对接源_01水果!$D889,4)="原料出库"),1,0)</f>
        <v>0</v>
      </c>
      <c r="AC889" s="1" t="n">
        <f aca="false">N(AC888)+$AB889</f>
        <v>19</v>
      </c>
      <c r="AD889" s="1" t="n">
        <f aca="false">IF(AND($M889=1,LEFT(对接源_01水果!$D889,4)="成品出库"),1,0)</f>
        <v>0</v>
      </c>
      <c r="AE889" s="1" t="n">
        <f aca="false">N(AE888)+$AD889</f>
        <v>38</v>
      </c>
      <c r="AF889" s="1" t="n">
        <f aca="false">IF(AND($N889=1,AND(LEFT(对接源_01水果!$D889,4)="包装物料",N(对接源_01水果!$K889)&lt;&gt;0)),1,0)</f>
        <v>0</v>
      </c>
      <c r="AG889" s="90" t="str">
        <f aca="false">IF(对接源_01水果!$AC889="","",对接源_01水果!$AC889)</f>
        <v/>
      </c>
      <c r="AH889" s="1" t="n">
        <f aca="false">IF(AND($N889=1,AND(LEFT(对接源_01水果!$D889,3)="周转筐",N(对接源_01水果!$K889)&lt;&gt;0)),1,0)</f>
        <v>0</v>
      </c>
      <c r="AI889" s="90" t="n">
        <f aca="false">IF(AG889="",0,IF(MATCH(AG889,$AG$4:$AG$1203,0)=ROW()-3,1,0))</f>
        <v>0</v>
      </c>
      <c r="AJ889" s="90" t="n">
        <f aca="false">N(AJ888)+AI889</f>
        <v>4</v>
      </c>
      <c r="AK889" s="1" t="n">
        <f aca="false">N(AK888)+$AJ889</f>
        <v>2416</v>
      </c>
    </row>
    <row r="890" customFormat="false" ht="13.5" hidden="false" customHeight="false" outlineLevel="0" collapsed="false">
      <c r="A890" s="1" t="str">
        <f aca="false">IF(对接源_01水果!$C890="","",对接源_01水果!$C890)</f>
        <v/>
      </c>
      <c r="B890" s="1" t="n">
        <f aca="false">IF(A890="",0,IF(MATCH(A890,$A$4:$A$2403,0)=ROW()-3,1,0))</f>
        <v>0</v>
      </c>
      <c r="C890" s="1" t="n">
        <f aca="false">N(C889)+B890</f>
        <v>13</v>
      </c>
      <c r="K890" s="1" t="n">
        <f aca="false">IF(OR($K$1="",对接源_01水果!$C890="",对接源_01水果!$C890&lt;&gt;$K$1,对接源_01水果!$B890=""),0,IF(OR(N(对接源_01水果!$B890)&lt;$K$2,N(对接源_01水果!$B890)&gt;$K$3),0,1))</f>
        <v>0</v>
      </c>
      <c r="L890" s="1" t="n">
        <f aca="false">IF(OR($L$1="",对接源_01水果!$C890="",对接源_01水果!$C890&lt;&gt;$L$1,对接源_01水果!$B890=""),0,IF(OR(N(对接源_01水果!$B890)&lt;$L$2,N(对接源_01水果!$B890)&gt;$L$3),0,1))</f>
        <v>0</v>
      </c>
      <c r="M890" s="1" t="n">
        <f aca="false">IF(OR($M$1="",对接源_01水果!$C890="",对接源_01水果!$C890&lt;&gt;$M$1,对接源_01水果!$B890=""),0,IF(OR(N(对接源_01水果!$B890)&lt;$M$2,N(对接源_01水果!$B890)&gt;$M$3),0,1))</f>
        <v>0</v>
      </c>
      <c r="N890" s="1" t="n">
        <f aca="false">IF(OR($N$1="",对接源_01水果!$C890="",对接源_01水果!$C890&lt;&gt;$N$1,对接源_01水果!$B890=""),0,IF(OR(N(对接源_01水果!$B890)&lt;$N$2,N(对接源_01水果!$B890)&gt;$N$3),0,1))</f>
        <v>0</v>
      </c>
      <c r="P890" s="1" t="n">
        <f aca="false">IF(AND($K890=1,AND(对接源_01水果!$X890="公司筐",N(对接源_01水果!$T890)&lt;&gt;0)),1,0)</f>
        <v>0</v>
      </c>
      <c r="Q890" s="1" t="n">
        <f aca="false">N(Q889)+$P890</f>
        <v>3</v>
      </c>
      <c r="R890" s="1" t="n">
        <f aca="false">IF(AND($K890=1,AND(对接源_01水果!$X890="公司筐",N(对接源_01水果!$U890)&lt;&gt;0)),1,0)</f>
        <v>0</v>
      </c>
      <c r="S890" s="1" t="n">
        <f aca="false">N(S889)+$R890</f>
        <v>0</v>
      </c>
      <c r="T890" s="1" t="n">
        <f aca="false">IF(AND($K890=1,AND(对接源_01水果!$X890="公司筐",N(对接源_01水果!$V890)&lt;&gt;0)),1,0)</f>
        <v>0</v>
      </c>
      <c r="U890" s="1" t="n">
        <f aca="false">N(U889)+$T890</f>
        <v>28</v>
      </c>
      <c r="V890" s="1" t="n">
        <f aca="false">IF(AND($L890=1,AND(对接源_01水果!$X890="自备筐",N(对接源_01水果!$V890)&lt;&gt;0)),1,0)</f>
        <v>0</v>
      </c>
      <c r="W890" s="1" t="n">
        <f aca="false">N(W889)+$V890</f>
        <v>7</v>
      </c>
      <c r="X890" s="1" t="n">
        <f aca="false">IF(AND($L890=1,AND(对接源_01水果!$X890="自备筐",N(对接源_01水果!$T890)&lt;&gt;0)),1,0)</f>
        <v>0</v>
      </c>
      <c r="Y890" s="1" t="n">
        <f aca="false">N(Y889)+$X890</f>
        <v>0</v>
      </c>
      <c r="Z890" s="1" t="n">
        <f aca="false">IF(AND($M890=1,对接源_01水果!$D890="原料入库"),1,0)</f>
        <v>0</v>
      </c>
      <c r="AA890" s="1" t="n">
        <f aca="false">N(AA889)+$Z890</f>
        <v>30</v>
      </c>
      <c r="AB890" s="1" t="n">
        <f aca="false">IF(AND($M890=1,LEFT(对接源_01水果!$D890,4)="原料出库"),1,0)</f>
        <v>0</v>
      </c>
      <c r="AC890" s="1" t="n">
        <f aca="false">N(AC889)+$AB890</f>
        <v>19</v>
      </c>
      <c r="AD890" s="1" t="n">
        <f aca="false">IF(AND($M890=1,LEFT(对接源_01水果!$D890,4)="成品出库"),1,0)</f>
        <v>0</v>
      </c>
      <c r="AE890" s="1" t="n">
        <f aca="false">N(AE889)+$AD890</f>
        <v>38</v>
      </c>
      <c r="AF890" s="1" t="n">
        <f aca="false">IF(AND($N890=1,AND(LEFT(对接源_01水果!$D890,4)="包装物料",N(对接源_01水果!$K890)&lt;&gt;0)),1,0)</f>
        <v>0</v>
      </c>
      <c r="AG890" s="90" t="str">
        <f aca="false">IF(对接源_01水果!$AC890="","",对接源_01水果!$AC890)</f>
        <v/>
      </c>
      <c r="AH890" s="1" t="n">
        <f aca="false">IF(AND($N890=1,AND(LEFT(对接源_01水果!$D890,3)="周转筐",N(对接源_01水果!$K890)&lt;&gt;0)),1,0)</f>
        <v>0</v>
      </c>
      <c r="AI890" s="90" t="n">
        <f aca="false">IF(AG890="",0,IF(MATCH(AG890,$AG$4:$AG$1203,0)=ROW()-3,1,0))</f>
        <v>0</v>
      </c>
      <c r="AJ890" s="90" t="n">
        <f aca="false">N(AJ889)+AI890</f>
        <v>4</v>
      </c>
      <c r="AK890" s="1" t="n">
        <f aca="false">N(AK889)+$AJ890</f>
        <v>2420</v>
      </c>
    </row>
    <row r="891" customFormat="false" ht="13.5" hidden="false" customHeight="false" outlineLevel="0" collapsed="false">
      <c r="A891" s="1" t="str">
        <f aca="false">IF(对接源_01水果!$C891="","",对接源_01水果!$C891)</f>
        <v/>
      </c>
      <c r="B891" s="1" t="n">
        <f aca="false">IF(A891="",0,IF(MATCH(A891,$A$4:$A$2403,0)=ROW()-3,1,0))</f>
        <v>0</v>
      </c>
      <c r="C891" s="1" t="n">
        <f aca="false">N(C890)+B891</f>
        <v>13</v>
      </c>
      <c r="K891" s="1" t="n">
        <f aca="false">IF(OR($K$1="",对接源_01水果!$C891="",对接源_01水果!$C891&lt;&gt;$K$1,对接源_01水果!$B891=""),0,IF(OR(N(对接源_01水果!$B891)&lt;$K$2,N(对接源_01水果!$B891)&gt;$K$3),0,1))</f>
        <v>0</v>
      </c>
      <c r="L891" s="1" t="n">
        <f aca="false">IF(OR($L$1="",对接源_01水果!$C891="",对接源_01水果!$C891&lt;&gt;$L$1,对接源_01水果!$B891=""),0,IF(OR(N(对接源_01水果!$B891)&lt;$L$2,N(对接源_01水果!$B891)&gt;$L$3),0,1))</f>
        <v>0</v>
      </c>
      <c r="M891" s="1" t="n">
        <f aca="false">IF(OR($M$1="",对接源_01水果!$C891="",对接源_01水果!$C891&lt;&gt;$M$1,对接源_01水果!$B891=""),0,IF(OR(N(对接源_01水果!$B891)&lt;$M$2,N(对接源_01水果!$B891)&gt;$M$3),0,1))</f>
        <v>0</v>
      </c>
      <c r="N891" s="1" t="n">
        <f aca="false">IF(OR($N$1="",对接源_01水果!$C891="",对接源_01水果!$C891&lt;&gt;$N$1,对接源_01水果!$B891=""),0,IF(OR(N(对接源_01水果!$B891)&lt;$N$2,N(对接源_01水果!$B891)&gt;$N$3),0,1))</f>
        <v>0</v>
      </c>
      <c r="P891" s="1" t="n">
        <f aca="false">IF(AND($K891=1,AND(对接源_01水果!$X891="公司筐",N(对接源_01水果!$T891)&lt;&gt;0)),1,0)</f>
        <v>0</v>
      </c>
      <c r="Q891" s="1" t="n">
        <f aca="false">N(Q890)+$P891</f>
        <v>3</v>
      </c>
      <c r="R891" s="1" t="n">
        <f aca="false">IF(AND($K891=1,AND(对接源_01水果!$X891="公司筐",N(对接源_01水果!$U891)&lt;&gt;0)),1,0)</f>
        <v>0</v>
      </c>
      <c r="S891" s="1" t="n">
        <f aca="false">N(S890)+$R891</f>
        <v>0</v>
      </c>
      <c r="T891" s="1" t="n">
        <f aca="false">IF(AND($K891=1,AND(对接源_01水果!$X891="公司筐",N(对接源_01水果!$V891)&lt;&gt;0)),1,0)</f>
        <v>0</v>
      </c>
      <c r="U891" s="1" t="n">
        <f aca="false">N(U890)+$T891</f>
        <v>28</v>
      </c>
      <c r="V891" s="1" t="n">
        <f aca="false">IF(AND($L891=1,AND(对接源_01水果!$X891="自备筐",N(对接源_01水果!$V891)&lt;&gt;0)),1,0)</f>
        <v>0</v>
      </c>
      <c r="W891" s="1" t="n">
        <f aca="false">N(W890)+$V891</f>
        <v>7</v>
      </c>
      <c r="X891" s="1" t="n">
        <f aca="false">IF(AND($L891=1,AND(对接源_01水果!$X891="自备筐",N(对接源_01水果!$T891)&lt;&gt;0)),1,0)</f>
        <v>0</v>
      </c>
      <c r="Y891" s="1" t="n">
        <f aca="false">N(Y890)+$X891</f>
        <v>0</v>
      </c>
      <c r="Z891" s="1" t="n">
        <f aca="false">IF(AND($M891=1,对接源_01水果!$D891="原料入库"),1,0)</f>
        <v>0</v>
      </c>
      <c r="AA891" s="1" t="n">
        <f aca="false">N(AA890)+$Z891</f>
        <v>30</v>
      </c>
      <c r="AB891" s="1" t="n">
        <f aca="false">IF(AND($M891=1,LEFT(对接源_01水果!$D891,4)="原料出库"),1,0)</f>
        <v>0</v>
      </c>
      <c r="AC891" s="1" t="n">
        <f aca="false">N(AC890)+$AB891</f>
        <v>19</v>
      </c>
      <c r="AD891" s="1" t="n">
        <f aca="false">IF(AND($M891=1,LEFT(对接源_01水果!$D891,4)="成品出库"),1,0)</f>
        <v>0</v>
      </c>
      <c r="AE891" s="1" t="n">
        <f aca="false">N(AE890)+$AD891</f>
        <v>38</v>
      </c>
      <c r="AF891" s="1" t="n">
        <f aca="false">IF(AND($N891=1,AND(LEFT(对接源_01水果!$D891,4)="包装物料",N(对接源_01水果!$K891)&lt;&gt;0)),1,0)</f>
        <v>0</v>
      </c>
      <c r="AG891" s="90" t="str">
        <f aca="false">IF(对接源_01水果!$AC891="","",对接源_01水果!$AC891)</f>
        <v/>
      </c>
      <c r="AH891" s="1" t="n">
        <f aca="false">IF(AND($N891=1,AND(LEFT(对接源_01水果!$D891,3)="周转筐",N(对接源_01水果!$K891)&lt;&gt;0)),1,0)</f>
        <v>0</v>
      </c>
      <c r="AI891" s="90" t="n">
        <f aca="false">IF(AG891="",0,IF(MATCH(AG891,$AG$4:$AG$1203,0)=ROW()-3,1,0))</f>
        <v>0</v>
      </c>
      <c r="AJ891" s="90" t="n">
        <f aca="false">N(AJ890)+AI891</f>
        <v>4</v>
      </c>
      <c r="AK891" s="1" t="n">
        <f aca="false">N(AK890)+$AJ891</f>
        <v>2424</v>
      </c>
    </row>
    <row r="892" customFormat="false" ht="13.5" hidden="false" customHeight="false" outlineLevel="0" collapsed="false">
      <c r="A892" s="1" t="str">
        <f aca="false">IF(对接源_01水果!$C892="","",对接源_01水果!$C892)</f>
        <v/>
      </c>
      <c r="B892" s="1" t="n">
        <f aca="false">IF(A892="",0,IF(MATCH(A892,$A$4:$A$2403,0)=ROW()-3,1,0))</f>
        <v>0</v>
      </c>
      <c r="C892" s="1" t="n">
        <f aca="false">N(C891)+B892</f>
        <v>13</v>
      </c>
      <c r="K892" s="1" t="n">
        <f aca="false">IF(OR($K$1="",对接源_01水果!$C892="",对接源_01水果!$C892&lt;&gt;$K$1,对接源_01水果!$B892=""),0,IF(OR(N(对接源_01水果!$B892)&lt;$K$2,N(对接源_01水果!$B892)&gt;$K$3),0,1))</f>
        <v>0</v>
      </c>
      <c r="L892" s="1" t="n">
        <f aca="false">IF(OR($L$1="",对接源_01水果!$C892="",对接源_01水果!$C892&lt;&gt;$L$1,对接源_01水果!$B892=""),0,IF(OR(N(对接源_01水果!$B892)&lt;$L$2,N(对接源_01水果!$B892)&gt;$L$3),0,1))</f>
        <v>0</v>
      </c>
      <c r="M892" s="1" t="n">
        <f aca="false">IF(OR($M$1="",对接源_01水果!$C892="",对接源_01水果!$C892&lt;&gt;$M$1,对接源_01水果!$B892=""),0,IF(OR(N(对接源_01水果!$B892)&lt;$M$2,N(对接源_01水果!$B892)&gt;$M$3),0,1))</f>
        <v>0</v>
      </c>
      <c r="N892" s="1" t="n">
        <f aca="false">IF(OR($N$1="",对接源_01水果!$C892="",对接源_01水果!$C892&lt;&gt;$N$1,对接源_01水果!$B892=""),0,IF(OR(N(对接源_01水果!$B892)&lt;$N$2,N(对接源_01水果!$B892)&gt;$N$3),0,1))</f>
        <v>0</v>
      </c>
      <c r="P892" s="1" t="n">
        <f aca="false">IF(AND($K892=1,AND(对接源_01水果!$X892="公司筐",N(对接源_01水果!$T892)&lt;&gt;0)),1,0)</f>
        <v>0</v>
      </c>
      <c r="Q892" s="1" t="n">
        <f aca="false">N(Q891)+$P892</f>
        <v>3</v>
      </c>
      <c r="R892" s="1" t="n">
        <f aca="false">IF(AND($K892=1,AND(对接源_01水果!$X892="公司筐",N(对接源_01水果!$U892)&lt;&gt;0)),1,0)</f>
        <v>0</v>
      </c>
      <c r="S892" s="1" t="n">
        <f aca="false">N(S891)+$R892</f>
        <v>0</v>
      </c>
      <c r="T892" s="1" t="n">
        <f aca="false">IF(AND($K892=1,AND(对接源_01水果!$X892="公司筐",N(对接源_01水果!$V892)&lt;&gt;0)),1,0)</f>
        <v>0</v>
      </c>
      <c r="U892" s="1" t="n">
        <f aca="false">N(U891)+$T892</f>
        <v>28</v>
      </c>
      <c r="V892" s="1" t="n">
        <f aca="false">IF(AND($L892=1,AND(对接源_01水果!$X892="自备筐",N(对接源_01水果!$V892)&lt;&gt;0)),1,0)</f>
        <v>0</v>
      </c>
      <c r="W892" s="1" t="n">
        <f aca="false">N(W891)+$V892</f>
        <v>7</v>
      </c>
      <c r="X892" s="1" t="n">
        <f aca="false">IF(AND($L892=1,AND(对接源_01水果!$X892="自备筐",N(对接源_01水果!$T892)&lt;&gt;0)),1,0)</f>
        <v>0</v>
      </c>
      <c r="Y892" s="1" t="n">
        <f aca="false">N(Y891)+$X892</f>
        <v>0</v>
      </c>
      <c r="Z892" s="1" t="n">
        <f aca="false">IF(AND($M892=1,对接源_01水果!$D892="原料入库"),1,0)</f>
        <v>0</v>
      </c>
      <c r="AA892" s="1" t="n">
        <f aca="false">N(AA891)+$Z892</f>
        <v>30</v>
      </c>
      <c r="AB892" s="1" t="n">
        <f aca="false">IF(AND($M892=1,LEFT(对接源_01水果!$D892,4)="原料出库"),1,0)</f>
        <v>0</v>
      </c>
      <c r="AC892" s="1" t="n">
        <f aca="false">N(AC891)+$AB892</f>
        <v>19</v>
      </c>
      <c r="AD892" s="1" t="n">
        <f aca="false">IF(AND($M892=1,LEFT(对接源_01水果!$D892,4)="成品出库"),1,0)</f>
        <v>0</v>
      </c>
      <c r="AE892" s="1" t="n">
        <f aca="false">N(AE891)+$AD892</f>
        <v>38</v>
      </c>
      <c r="AF892" s="1" t="n">
        <f aca="false">IF(AND($N892=1,AND(LEFT(对接源_01水果!$D892,4)="包装物料",N(对接源_01水果!$K892)&lt;&gt;0)),1,0)</f>
        <v>0</v>
      </c>
      <c r="AG892" s="90" t="str">
        <f aca="false">IF(对接源_01水果!$AC892="","",对接源_01水果!$AC892)</f>
        <v/>
      </c>
      <c r="AH892" s="1" t="n">
        <f aca="false">IF(AND($N892=1,AND(LEFT(对接源_01水果!$D892,3)="周转筐",N(对接源_01水果!$K892)&lt;&gt;0)),1,0)</f>
        <v>0</v>
      </c>
      <c r="AI892" s="90" t="n">
        <f aca="false">IF(AG892="",0,IF(MATCH(AG892,$AG$4:$AG$1203,0)=ROW()-3,1,0))</f>
        <v>0</v>
      </c>
      <c r="AJ892" s="90" t="n">
        <f aca="false">N(AJ891)+AI892</f>
        <v>4</v>
      </c>
      <c r="AK892" s="1" t="n">
        <f aca="false">N(AK891)+$AJ892</f>
        <v>2428</v>
      </c>
    </row>
    <row r="893" customFormat="false" ht="13.5" hidden="false" customHeight="false" outlineLevel="0" collapsed="false">
      <c r="A893" s="1" t="str">
        <f aca="false">IF(对接源_01水果!$C893="","",对接源_01水果!$C893)</f>
        <v/>
      </c>
      <c r="B893" s="1" t="n">
        <f aca="false">IF(A893="",0,IF(MATCH(A893,$A$4:$A$2403,0)=ROW()-3,1,0))</f>
        <v>0</v>
      </c>
      <c r="C893" s="1" t="n">
        <f aca="false">N(C892)+B893</f>
        <v>13</v>
      </c>
      <c r="K893" s="1" t="n">
        <f aca="false">IF(OR($K$1="",对接源_01水果!$C893="",对接源_01水果!$C893&lt;&gt;$K$1,对接源_01水果!$B893=""),0,IF(OR(N(对接源_01水果!$B893)&lt;$K$2,N(对接源_01水果!$B893)&gt;$K$3),0,1))</f>
        <v>0</v>
      </c>
      <c r="L893" s="1" t="n">
        <f aca="false">IF(OR($L$1="",对接源_01水果!$C893="",对接源_01水果!$C893&lt;&gt;$L$1,对接源_01水果!$B893=""),0,IF(OR(N(对接源_01水果!$B893)&lt;$L$2,N(对接源_01水果!$B893)&gt;$L$3),0,1))</f>
        <v>0</v>
      </c>
      <c r="M893" s="1" t="n">
        <f aca="false">IF(OR($M$1="",对接源_01水果!$C893="",对接源_01水果!$C893&lt;&gt;$M$1,对接源_01水果!$B893=""),0,IF(OR(N(对接源_01水果!$B893)&lt;$M$2,N(对接源_01水果!$B893)&gt;$M$3),0,1))</f>
        <v>0</v>
      </c>
      <c r="N893" s="1" t="n">
        <f aca="false">IF(OR($N$1="",对接源_01水果!$C893="",对接源_01水果!$C893&lt;&gt;$N$1,对接源_01水果!$B893=""),0,IF(OR(N(对接源_01水果!$B893)&lt;$N$2,N(对接源_01水果!$B893)&gt;$N$3),0,1))</f>
        <v>0</v>
      </c>
      <c r="P893" s="1" t="n">
        <f aca="false">IF(AND($K893=1,AND(对接源_01水果!$X893="公司筐",N(对接源_01水果!$T893)&lt;&gt;0)),1,0)</f>
        <v>0</v>
      </c>
      <c r="Q893" s="1" t="n">
        <f aca="false">N(Q892)+$P893</f>
        <v>3</v>
      </c>
      <c r="R893" s="1" t="n">
        <f aca="false">IF(AND($K893=1,AND(对接源_01水果!$X893="公司筐",N(对接源_01水果!$U893)&lt;&gt;0)),1,0)</f>
        <v>0</v>
      </c>
      <c r="S893" s="1" t="n">
        <f aca="false">N(S892)+$R893</f>
        <v>0</v>
      </c>
      <c r="T893" s="1" t="n">
        <f aca="false">IF(AND($K893=1,AND(对接源_01水果!$X893="公司筐",N(对接源_01水果!$V893)&lt;&gt;0)),1,0)</f>
        <v>0</v>
      </c>
      <c r="U893" s="1" t="n">
        <f aca="false">N(U892)+$T893</f>
        <v>28</v>
      </c>
      <c r="V893" s="1" t="n">
        <f aca="false">IF(AND($L893=1,AND(对接源_01水果!$X893="自备筐",N(对接源_01水果!$V893)&lt;&gt;0)),1,0)</f>
        <v>0</v>
      </c>
      <c r="W893" s="1" t="n">
        <f aca="false">N(W892)+$V893</f>
        <v>7</v>
      </c>
      <c r="X893" s="1" t="n">
        <f aca="false">IF(AND($L893=1,AND(对接源_01水果!$X893="自备筐",N(对接源_01水果!$T893)&lt;&gt;0)),1,0)</f>
        <v>0</v>
      </c>
      <c r="Y893" s="1" t="n">
        <f aca="false">N(Y892)+$X893</f>
        <v>0</v>
      </c>
      <c r="Z893" s="1" t="n">
        <f aca="false">IF(AND($M893=1,对接源_01水果!$D893="原料入库"),1,0)</f>
        <v>0</v>
      </c>
      <c r="AA893" s="1" t="n">
        <f aca="false">N(AA892)+$Z893</f>
        <v>30</v>
      </c>
      <c r="AB893" s="1" t="n">
        <f aca="false">IF(AND($M893=1,LEFT(对接源_01水果!$D893,4)="原料出库"),1,0)</f>
        <v>0</v>
      </c>
      <c r="AC893" s="1" t="n">
        <f aca="false">N(AC892)+$AB893</f>
        <v>19</v>
      </c>
      <c r="AD893" s="1" t="n">
        <f aca="false">IF(AND($M893=1,LEFT(对接源_01水果!$D893,4)="成品出库"),1,0)</f>
        <v>0</v>
      </c>
      <c r="AE893" s="1" t="n">
        <f aca="false">N(AE892)+$AD893</f>
        <v>38</v>
      </c>
      <c r="AF893" s="1" t="n">
        <f aca="false">IF(AND($N893=1,AND(LEFT(对接源_01水果!$D893,4)="包装物料",N(对接源_01水果!$K893)&lt;&gt;0)),1,0)</f>
        <v>0</v>
      </c>
      <c r="AG893" s="90" t="str">
        <f aca="false">IF(对接源_01水果!$AC893="","",对接源_01水果!$AC893)</f>
        <v/>
      </c>
      <c r="AH893" s="1" t="n">
        <f aca="false">IF(AND($N893=1,AND(LEFT(对接源_01水果!$D893,3)="周转筐",N(对接源_01水果!$K893)&lt;&gt;0)),1,0)</f>
        <v>0</v>
      </c>
      <c r="AI893" s="90" t="n">
        <f aca="false">IF(AG893="",0,IF(MATCH(AG893,$AG$4:$AG$1203,0)=ROW()-3,1,0))</f>
        <v>0</v>
      </c>
      <c r="AJ893" s="90" t="n">
        <f aca="false">N(AJ892)+AI893</f>
        <v>4</v>
      </c>
      <c r="AK893" s="1" t="n">
        <f aca="false">N(AK892)+$AJ893</f>
        <v>2432</v>
      </c>
    </row>
    <row r="894" customFormat="false" ht="13.5" hidden="false" customHeight="false" outlineLevel="0" collapsed="false">
      <c r="A894" s="1" t="str">
        <f aca="false">IF(对接源_01水果!$C894="","",对接源_01水果!$C894)</f>
        <v/>
      </c>
      <c r="B894" s="1" t="n">
        <f aca="false">IF(A894="",0,IF(MATCH(A894,$A$4:$A$2403,0)=ROW()-3,1,0))</f>
        <v>0</v>
      </c>
      <c r="C894" s="1" t="n">
        <f aca="false">N(C893)+B894</f>
        <v>13</v>
      </c>
      <c r="K894" s="1" t="n">
        <f aca="false">IF(OR($K$1="",对接源_01水果!$C894="",对接源_01水果!$C894&lt;&gt;$K$1,对接源_01水果!$B894=""),0,IF(OR(N(对接源_01水果!$B894)&lt;$K$2,N(对接源_01水果!$B894)&gt;$K$3),0,1))</f>
        <v>0</v>
      </c>
      <c r="L894" s="1" t="n">
        <f aca="false">IF(OR($L$1="",对接源_01水果!$C894="",对接源_01水果!$C894&lt;&gt;$L$1,对接源_01水果!$B894=""),0,IF(OR(N(对接源_01水果!$B894)&lt;$L$2,N(对接源_01水果!$B894)&gt;$L$3),0,1))</f>
        <v>0</v>
      </c>
      <c r="M894" s="1" t="n">
        <f aca="false">IF(OR($M$1="",对接源_01水果!$C894="",对接源_01水果!$C894&lt;&gt;$M$1,对接源_01水果!$B894=""),0,IF(OR(N(对接源_01水果!$B894)&lt;$M$2,N(对接源_01水果!$B894)&gt;$M$3),0,1))</f>
        <v>0</v>
      </c>
      <c r="N894" s="1" t="n">
        <f aca="false">IF(OR($N$1="",对接源_01水果!$C894="",对接源_01水果!$C894&lt;&gt;$N$1,对接源_01水果!$B894=""),0,IF(OR(N(对接源_01水果!$B894)&lt;$N$2,N(对接源_01水果!$B894)&gt;$N$3),0,1))</f>
        <v>0</v>
      </c>
      <c r="P894" s="1" t="n">
        <f aca="false">IF(AND($K894=1,AND(对接源_01水果!$X894="公司筐",N(对接源_01水果!$T894)&lt;&gt;0)),1,0)</f>
        <v>0</v>
      </c>
      <c r="Q894" s="1" t="n">
        <f aca="false">N(Q893)+$P894</f>
        <v>3</v>
      </c>
      <c r="R894" s="1" t="n">
        <f aca="false">IF(AND($K894=1,AND(对接源_01水果!$X894="公司筐",N(对接源_01水果!$U894)&lt;&gt;0)),1,0)</f>
        <v>0</v>
      </c>
      <c r="S894" s="1" t="n">
        <f aca="false">N(S893)+$R894</f>
        <v>0</v>
      </c>
      <c r="T894" s="1" t="n">
        <f aca="false">IF(AND($K894=1,AND(对接源_01水果!$X894="公司筐",N(对接源_01水果!$V894)&lt;&gt;0)),1,0)</f>
        <v>0</v>
      </c>
      <c r="U894" s="1" t="n">
        <f aca="false">N(U893)+$T894</f>
        <v>28</v>
      </c>
      <c r="V894" s="1" t="n">
        <f aca="false">IF(AND($L894=1,AND(对接源_01水果!$X894="自备筐",N(对接源_01水果!$V894)&lt;&gt;0)),1,0)</f>
        <v>0</v>
      </c>
      <c r="W894" s="1" t="n">
        <f aca="false">N(W893)+$V894</f>
        <v>7</v>
      </c>
      <c r="X894" s="1" t="n">
        <f aca="false">IF(AND($L894=1,AND(对接源_01水果!$X894="自备筐",N(对接源_01水果!$T894)&lt;&gt;0)),1,0)</f>
        <v>0</v>
      </c>
      <c r="Y894" s="1" t="n">
        <f aca="false">N(Y893)+$X894</f>
        <v>0</v>
      </c>
      <c r="Z894" s="1" t="n">
        <f aca="false">IF(AND($M894=1,对接源_01水果!$D894="原料入库"),1,0)</f>
        <v>0</v>
      </c>
      <c r="AA894" s="1" t="n">
        <f aca="false">N(AA893)+$Z894</f>
        <v>30</v>
      </c>
      <c r="AB894" s="1" t="n">
        <f aca="false">IF(AND($M894=1,LEFT(对接源_01水果!$D894,4)="原料出库"),1,0)</f>
        <v>0</v>
      </c>
      <c r="AC894" s="1" t="n">
        <f aca="false">N(AC893)+$AB894</f>
        <v>19</v>
      </c>
      <c r="AD894" s="1" t="n">
        <f aca="false">IF(AND($M894=1,LEFT(对接源_01水果!$D894,4)="成品出库"),1,0)</f>
        <v>0</v>
      </c>
      <c r="AE894" s="1" t="n">
        <f aca="false">N(AE893)+$AD894</f>
        <v>38</v>
      </c>
      <c r="AF894" s="1" t="n">
        <f aca="false">IF(AND($N894=1,AND(LEFT(对接源_01水果!$D894,4)="包装物料",N(对接源_01水果!$K894)&lt;&gt;0)),1,0)</f>
        <v>0</v>
      </c>
      <c r="AG894" s="90" t="str">
        <f aca="false">IF(对接源_01水果!$AC894="","",对接源_01水果!$AC894)</f>
        <v/>
      </c>
      <c r="AH894" s="1" t="n">
        <f aca="false">IF(AND($N894=1,AND(LEFT(对接源_01水果!$D894,3)="周转筐",N(对接源_01水果!$K894)&lt;&gt;0)),1,0)</f>
        <v>0</v>
      </c>
      <c r="AI894" s="90" t="n">
        <f aca="false">IF(AG894="",0,IF(MATCH(AG894,$AG$4:$AG$1203,0)=ROW()-3,1,0))</f>
        <v>0</v>
      </c>
      <c r="AJ894" s="90" t="n">
        <f aca="false">N(AJ893)+AI894</f>
        <v>4</v>
      </c>
      <c r="AK894" s="1" t="n">
        <f aca="false">N(AK893)+$AJ894</f>
        <v>2436</v>
      </c>
    </row>
    <row r="895" customFormat="false" ht="13.5" hidden="false" customHeight="false" outlineLevel="0" collapsed="false">
      <c r="A895" s="1" t="str">
        <f aca="false">IF(对接源_01水果!$C895="","",对接源_01水果!$C895)</f>
        <v/>
      </c>
      <c r="B895" s="1" t="n">
        <f aca="false">IF(A895="",0,IF(MATCH(A895,$A$4:$A$2403,0)=ROW()-3,1,0))</f>
        <v>0</v>
      </c>
      <c r="C895" s="1" t="n">
        <f aca="false">N(C894)+B895</f>
        <v>13</v>
      </c>
      <c r="K895" s="1" t="n">
        <f aca="false">IF(OR($K$1="",对接源_01水果!$C895="",对接源_01水果!$C895&lt;&gt;$K$1,对接源_01水果!$B895=""),0,IF(OR(N(对接源_01水果!$B895)&lt;$K$2,N(对接源_01水果!$B895)&gt;$K$3),0,1))</f>
        <v>0</v>
      </c>
      <c r="L895" s="1" t="n">
        <f aca="false">IF(OR($L$1="",对接源_01水果!$C895="",对接源_01水果!$C895&lt;&gt;$L$1,对接源_01水果!$B895=""),0,IF(OR(N(对接源_01水果!$B895)&lt;$L$2,N(对接源_01水果!$B895)&gt;$L$3),0,1))</f>
        <v>0</v>
      </c>
      <c r="M895" s="1" t="n">
        <f aca="false">IF(OR($M$1="",对接源_01水果!$C895="",对接源_01水果!$C895&lt;&gt;$M$1,对接源_01水果!$B895=""),0,IF(OR(N(对接源_01水果!$B895)&lt;$M$2,N(对接源_01水果!$B895)&gt;$M$3),0,1))</f>
        <v>0</v>
      </c>
      <c r="N895" s="1" t="n">
        <f aca="false">IF(OR($N$1="",对接源_01水果!$C895="",对接源_01水果!$C895&lt;&gt;$N$1,对接源_01水果!$B895=""),0,IF(OR(N(对接源_01水果!$B895)&lt;$N$2,N(对接源_01水果!$B895)&gt;$N$3),0,1))</f>
        <v>0</v>
      </c>
      <c r="P895" s="1" t="n">
        <f aca="false">IF(AND($K895=1,AND(对接源_01水果!$X895="公司筐",N(对接源_01水果!$T895)&lt;&gt;0)),1,0)</f>
        <v>0</v>
      </c>
      <c r="Q895" s="1" t="n">
        <f aca="false">N(Q894)+$P895</f>
        <v>3</v>
      </c>
      <c r="R895" s="1" t="n">
        <f aca="false">IF(AND($K895=1,AND(对接源_01水果!$X895="公司筐",N(对接源_01水果!$U895)&lt;&gt;0)),1,0)</f>
        <v>0</v>
      </c>
      <c r="S895" s="1" t="n">
        <f aca="false">N(S894)+$R895</f>
        <v>0</v>
      </c>
      <c r="T895" s="1" t="n">
        <f aca="false">IF(AND($K895=1,AND(对接源_01水果!$X895="公司筐",N(对接源_01水果!$V895)&lt;&gt;0)),1,0)</f>
        <v>0</v>
      </c>
      <c r="U895" s="1" t="n">
        <f aca="false">N(U894)+$T895</f>
        <v>28</v>
      </c>
      <c r="V895" s="1" t="n">
        <f aca="false">IF(AND($L895=1,AND(对接源_01水果!$X895="自备筐",N(对接源_01水果!$V895)&lt;&gt;0)),1,0)</f>
        <v>0</v>
      </c>
      <c r="W895" s="1" t="n">
        <f aca="false">N(W894)+$V895</f>
        <v>7</v>
      </c>
      <c r="X895" s="1" t="n">
        <f aca="false">IF(AND($L895=1,AND(对接源_01水果!$X895="自备筐",N(对接源_01水果!$T895)&lt;&gt;0)),1,0)</f>
        <v>0</v>
      </c>
      <c r="Y895" s="1" t="n">
        <f aca="false">N(Y894)+$X895</f>
        <v>0</v>
      </c>
      <c r="Z895" s="1" t="n">
        <f aca="false">IF(AND($M895=1,对接源_01水果!$D895="原料入库"),1,0)</f>
        <v>0</v>
      </c>
      <c r="AA895" s="1" t="n">
        <f aca="false">N(AA894)+$Z895</f>
        <v>30</v>
      </c>
      <c r="AB895" s="1" t="n">
        <f aca="false">IF(AND($M895=1,LEFT(对接源_01水果!$D895,4)="原料出库"),1,0)</f>
        <v>0</v>
      </c>
      <c r="AC895" s="1" t="n">
        <f aca="false">N(AC894)+$AB895</f>
        <v>19</v>
      </c>
      <c r="AD895" s="1" t="n">
        <f aca="false">IF(AND($M895=1,LEFT(对接源_01水果!$D895,4)="成品出库"),1,0)</f>
        <v>0</v>
      </c>
      <c r="AE895" s="1" t="n">
        <f aca="false">N(AE894)+$AD895</f>
        <v>38</v>
      </c>
      <c r="AF895" s="1" t="n">
        <f aca="false">IF(AND($N895=1,AND(LEFT(对接源_01水果!$D895,4)="包装物料",N(对接源_01水果!$K895)&lt;&gt;0)),1,0)</f>
        <v>0</v>
      </c>
      <c r="AG895" s="90" t="str">
        <f aca="false">IF(对接源_01水果!$AC895="","",对接源_01水果!$AC895)</f>
        <v/>
      </c>
      <c r="AH895" s="1" t="n">
        <f aca="false">IF(AND($N895=1,AND(LEFT(对接源_01水果!$D895,3)="周转筐",N(对接源_01水果!$K895)&lt;&gt;0)),1,0)</f>
        <v>0</v>
      </c>
      <c r="AI895" s="90" t="n">
        <f aca="false">IF(AG895="",0,IF(MATCH(AG895,$AG$4:$AG$1203,0)=ROW()-3,1,0))</f>
        <v>0</v>
      </c>
      <c r="AJ895" s="90" t="n">
        <f aca="false">N(AJ894)+AI895</f>
        <v>4</v>
      </c>
      <c r="AK895" s="1" t="n">
        <f aca="false">N(AK894)+$AJ895</f>
        <v>2440</v>
      </c>
    </row>
    <row r="896" customFormat="false" ht="13.5" hidden="false" customHeight="false" outlineLevel="0" collapsed="false">
      <c r="A896" s="1" t="str">
        <f aca="false">IF(对接源_01水果!$C896="","",对接源_01水果!$C896)</f>
        <v/>
      </c>
      <c r="B896" s="1" t="n">
        <f aca="false">IF(A896="",0,IF(MATCH(A896,$A$4:$A$2403,0)=ROW()-3,1,0))</f>
        <v>0</v>
      </c>
      <c r="C896" s="1" t="n">
        <f aca="false">N(C895)+B896</f>
        <v>13</v>
      </c>
      <c r="K896" s="1" t="n">
        <f aca="false">IF(OR($K$1="",对接源_01水果!$C896="",对接源_01水果!$C896&lt;&gt;$K$1,对接源_01水果!$B896=""),0,IF(OR(N(对接源_01水果!$B896)&lt;$K$2,N(对接源_01水果!$B896)&gt;$K$3),0,1))</f>
        <v>0</v>
      </c>
      <c r="L896" s="1" t="n">
        <f aca="false">IF(OR($L$1="",对接源_01水果!$C896="",对接源_01水果!$C896&lt;&gt;$L$1,对接源_01水果!$B896=""),0,IF(OR(N(对接源_01水果!$B896)&lt;$L$2,N(对接源_01水果!$B896)&gt;$L$3),0,1))</f>
        <v>0</v>
      </c>
      <c r="M896" s="1" t="n">
        <f aca="false">IF(OR($M$1="",对接源_01水果!$C896="",对接源_01水果!$C896&lt;&gt;$M$1,对接源_01水果!$B896=""),0,IF(OR(N(对接源_01水果!$B896)&lt;$M$2,N(对接源_01水果!$B896)&gt;$M$3),0,1))</f>
        <v>0</v>
      </c>
      <c r="N896" s="1" t="n">
        <f aca="false">IF(OR($N$1="",对接源_01水果!$C896="",对接源_01水果!$C896&lt;&gt;$N$1,对接源_01水果!$B896=""),0,IF(OR(N(对接源_01水果!$B896)&lt;$N$2,N(对接源_01水果!$B896)&gt;$N$3),0,1))</f>
        <v>0</v>
      </c>
      <c r="P896" s="1" t="n">
        <f aca="false">IF(AND($K896=1,AND(对接源_01水果!$X896="公司筐",N(对接源_01水果!$T896)&lt;&gt;0)),1,0)</f>
        <v>0</v>
      </c>
      <c r="Q896" s="1" t="n">
        <f aca="false">N(Q895)+$P896</f>
        <v>3</v>
      </c>
      <c r="R896" s="1" t="n">
        <f aca="false">IF(AND($K896=1,AND(对接源_01水果!$X896="公司筐",N(对接源_01水果!$U896)&lt;&gt;0)),1,0)</f>
        <v>0</v>
      </c>
      <c r="S896" s="1" t="n">
        <f aca="false">N(S895)+$R896</f>
        <v>0</v>
      </c>
      <c r="T896" s="1" t="n">
        <f aca="false">IF(AND($K896=1,AND(对接源_01水果!$X896="公司筐",N(对接源_01水果!$V896)&lt;&gt;0)),1,0)</f>
        <v>0</v>
      </c>
      <c r="U896" s="1" t="n">
        <f aca="false">N(U895)+$T896</f>
        <v>28</v>
      </c>
      <c r="V896" s="1" t="n">
        <f aca="false">IF(AND($L896=1,AND(对接源_01水果!$X896="自备筐",N(对接源_01水果!$V896)&lt;&gt;0)),1,0)</f>
        <v>0</v>
      </c>
      <c r="W896" s="1" t="n">
        <f aca="false">N(W895)+$V896</f>
        <v>7</v>
      </c>
      <c r="X896" s="1" t="n">
        <f aca="false">IF(AND($L896=1,AND(对接源_01水果!$X896="自备筐",N(对接源_01水果!$T896)&lt;&gt;0)),1,0)</f>
        <v>0</v>
      </c>
      <c r="Y896" s="1" t="n">
        <f aca="false">N(Y895)+$X896</f>
        <v>0</v>
      </c>
      <c r="Z896" s="1" t="n">
        <f aca="false">IF(AND($M896=1,对接源_01水果!$D896="原料入库"),1,0)</f>
        <v>0</v>
      </c>
      <c r="AA896" s="1" t="n">
        <f aca="false">N(AA895)+$Z896</f>
        <v>30</v>
      </c>
      <c r="AB896" s="1" t="n">
        <f aca="false">IF(AND($M896=1,LEFT(对接源_01水果!$D896,4)="原料出库"),1,0)</f>
        <v>0</v>
      </c>
      <c r="AC896" s="1" t="n">
        <f aca="false">N(AC895)+$AB896</f>
        <v>19</v>
      </c>
      <c r="AD896" s="1" t="n">
        <f aca="false">IF(AND($M896=1,LEFT(对接源_01水果!$D896,4)="成品出库"),1,0)</f>
        <v>0</v>
      </c>
      <c r="AE896" s="1" t="n">
        <f aca="false">N(AE895)+$AD896</f>
        <v>38</v>
      </c>
      <c r="AF896" s="1" t="n">
        <f aca="false">IF(AND($N896=1,AND(LEFT(对接源_01水果!$D896,4)="包装物料",N(对接源_01水果!$K896)&lt;&gt;0)),1,0)</f>
        <v>0</v>
      </c>
      <c r="AG896" s="90" t="str">
        <f aca="false">IF(对接源_01水果!$AC896="","",对接源_01水果!$AC896)</f>
        <v/>
      </c>
      <c r="AH896" s="1" t="n">
        <f aca="false">IF(AND($N896=1,AND(LEFT(对接源_01水果!$D896,3)="周转筐",N(对接源_01水果!$K896)&lt;&gt;0)),1,0)</f>
        <v>0</v>
      </c>
      <c r="AI896" s="90" t="n">
        <f aca="false">IF(AG896="",0,IF(MATCH(AG896,$AG$4:$AG$1203,0)=ROW()-3,1,0))</f>
        <v>0</v>
      </c>
      <c r="AJ896" s="90" t="n">
        <f aca="false">N(AJ895)+AI896</f>
        <v>4</v>
      </c>
      <c r="AK896" s="1" t="n">
        <f aca="false">N(AK895)+$AJ896</f>
        <v>2444</v>
      </c>
    </row>
    <row r="897" customFormat="false" ht="13.5" hidden="false" customHeight="false" outlineLevel="0" collapsed="false">
      <c r="A897" s="1" t="str">
        <f aca="false">IF(对接源_01水果!$C897="","",对接源_01水果!$C897)</f>
        <v/>
      </c>
      <c r="B897" s="1" t="n">
        <f aca="false">IF(A897="",0,IF(MATCH(A897,$A$4:$A$2403,0)=ROW()-3,1,0))</f>
        <v>0</v>
      </c>
      <c r="C897" s="1" t="n">
        <f aca="false">N(C896)+B897</f>
        <v>13</v>
      </c>
      <c r="K897" s="1" t="n">
        <f aca="false">IF(OR($K$1="",对接源_01水果!$C897="",对接源_01水果!$C897&lt;&gt;$K$1,对接源_01水果!$B897=""),0,IF(OR(N(对接源_01水果!$B897)&lt;$K$2,N(对接源_01水果!$B897)&gt;$K$3),0,1))</f>
        <v>0</v>
      </c>
      <c r="L897" s="1" t="n">
        <f aca="false">IF(OR($L$1="",对接源_01水果!$C897="",对接源_01水果!$C897&lt;&gt;$L$1,对接源_01水果!$B897=""),0,IF(OR(N(对接源_01水果!$B897)&lt;$L$2,N(对接源_01水果!$B897)&gt;$L$3),0,1))</f>
        <v>0</v>
      </c>
      <c r="M897" s="1" t="n">
        <f aca="false">IF(OR($M$1="",对接源_01水果!$C897="",对接源_01水果!$C897&lt;&gt;$M$1,对接源_01水果!$B897=""),0,IF(OR(N(对接源_01水果!$B897)&lt;$M$2,N(对接源_01水果!$B897)&gt;$M$3),0,1))</f>
        <v>0</v>
      </c>
      <c r="N897" s="1" t="n">
        <f aca="false">IF(OR($N$1="",对接源_01水果!$C897="",对接源_01水果!$C897&lt;&gt;$N$1,对接源_01水果!$B897=""),0,IF(OR(N(对接源_01水果!$B897)&lt;$N$2,N(对接源_01水果!$B897)&gt;$N$3),0,1))</f>
        <v>0</v>
      </c>
      <c r="P897" s="1" t="n">
        <f aca="false">IF(AND($K897=1,AND(对接源_01水果!$X897="公司筐",N(对接源_01水果!$T897)&lt;&gt;0)),1,0)</f>
        <v>0</v>
      </c>
      <c r="Q897" s="1" t="n">
        <f aca="false">N(Q896)+$P897</f>
        <v>3</v>
      </c>
      <c r="R897" s="1" t="n">
        <f aca="false">IF(AND($K897=1,AND(对接源_01水果!$X897="公司筐",N(对接源_01水果!$U897)&lt;&gt;0)),1,0)</f>
        <v>0</v>
      </c>
      <c r="S897" s="1" t="n">
        <f aca="false">N(S896)+$R897</f>
        <v>0</v>
      </c>
      <c r="T897" s="1" t="n">
        <f aca="false">IF(AND($K897=1,AND(对接源_01水果!$X897="公司筐",N(对接源_01水果!$V897)&lt;&gt;0)),1,0)</f>
        <v>0</v>
      </c>
      <c r="U897" s="1" t="n">
        <f aca="false">N(U896)+$T897</f>
        <v>28</v>
      </c>
      <c r="V897" s="1" t="n">
        <f aca="false">IF(AND($L897=1,AND(对接源_01水果!$X897="自备筐",N(对接源_01水果!$V897)&lt;&gt;0)),1,0)</f>
        <v>0</v>
      </c>
      <c r="W897" s="1" t="n">
        <f aca="false">N(W896)+$V897</f>
        <v>7</v>
      </c>
      <c r="X897" s="1" t="n">
        <f aca="false">IF(AND($L897=1,AND(对接源_01水果!$X897="自备筐",N(对接源_01水果!$T897)&lt;&gt;0)),1,0)</f>
        <v>0</v>
      </c>
      <c r="Y897" s="1" t="n">
        <f aca="false">N(Y896)+$X897</f>
        <v>0</v>
      </c>
      <c r="Z897" s="1" t="n">
        <f aca="false">IF(AND($M897=1,对接源_01水果!$D897="原料入库"),1,0)</f>
        <v>0</v>
      </c>
      <c r="AA897" s="1" t="n">
        <f aca="false">N(AA896)+$Z897</f>
        <v>30</v>
      </c>
      <c r="AB897" s="1" t="n">
        <f aca="false">IF(AND($M897=1,LEFT(对接源_01水果!$D897,4)="原料出库"),1,0)</f>
        <v>0</v>
      </c>
      <c r="AC897" s="1" t="n">
        <f aca="false">N(AC896)+$AB897</f>
        <v>19</v>
      </c>
      <c r="AD897" s="1" t="n">
        <f aca="false">IF(AND($M897=1,LEFT(对接源_01水果!$D897,4)="成品出库"),1,0)</f>
        <v>0</v>
      </c>
      <c r="AE897" s="1" t="n">
        <f aca="false">N(AE896)+$AD897</f>
        <v>38</v>
      </c>
      <c r="AF897" s="1" t="n">
        <f aca="false">IF(AND($N897=1,AND(LEFT(对接源_01水果!$D897,4)="包装物料",N(对接源_01水果!$K897)&lt;&gt;0)),1,0)</f>
        <v>0</v>
      </c>
      <c r="AG897" s="90" t="str">
        <f aca="false">IF(对接源_01水果!$AC897="","",对接源_01水果!$AC897)</f>
        <v/>
      </c>
      <c r="AH897" s="1" t="n">
        <f aca="false">IF(AND($N897=1,AND(LEFT(对接源_01水果!$D897,3)="周转筐",N(对接源_01水果!$K897)&lt;&gt;0)),1,0)</f>
        <v>0</v>
      </c>
      <c r="AI897" s="90" t="n">
        <f aca="false">IF(AG897="",0,IF(MATCH(AG897,$AG$4:$AG$1203,0)=ROW()-3,1,0))</f>
        <v>0</v>
      </c>
      <c r="AJ897" s="90" t="n">
        <f aca="false">N(AJ896)+AI897</f>
        <v>4</v>
      </c>
      <c r="AK897" s="1" t="n">
        <f aca="false">N(AK896)+$AJ897</f>
        <v>2448</v>
      </c>
    </row>
    <row r="898" customFormat="false" ht="13.5" hidden="false" customHeight="false" outlineLevel="0" collapsed="false">
      <c r="A898" s="1" t="str">
        <f aca="false">IF(对接源_01水果!$C898="","",对接源_01水果!$C898)</f>
        <v/>
      </c>
      <c r="B898" s="1" t="n">
        <f aca="false">IF(A898="",0,IF(MATCH(A898,$A$4:$A$2403,0)=ROW()-3,1,0))</f>
        <v>0</v>
      </c>
      <c r="C898" s="1" t="n">
        <f aca="false">N(C897)+B898</f>
        <v>13</v>
      </c>
      <c r="K898" s="1" t="n">
        <f aca="false">IF(OR($K$1="",对接源_01水果!$C898="",对接源_01水果!$C898&lt;&gt;$K$1,对接源_01水果!$B898=""),0,IF(OR(N(对接源_01水果!$B898)&lt;$K$2,N(对接源_01水果!$B898)&gt;$K$3),0,1))</f>
        <v>0</v>
      </c>
      <c r="L898" s="1" t="n">
        <f aca="false">IF(OR($L$1="",对接源_01水果!$C898="",对接源_01水果!$C898&lt;&gt;$L$1,对接源_01水果!$B898=""),0,IF(OR(N(对接源_01水果!$B898)&lt;$L$2,N(对接源_01水果!$B898)&gt;$L$3),0,1))</f>
        <v>0</v>
      </c>
      <c r="M898" s="1" t="n">
        <f aca="false">IF(OR($M$1="",对接源_01水果!$C898="",对接源_01水果!$C898&lt;&gt;$M$1,对接源_01水果!$B898=""),0,IF(OR(N(对接源_01水果!$B898)&lt;$M$2,N(对接源_01水果!$B898)&gt;$M$3),0,1))</f>
        <v>0</v>
      </c>
      <c r="N898" s="1" t="n">
        <f aca="false">IF(OR($N$1="",对接源_01水果!$C898="",对接源_01水果!$C898&lt;&gt;$N$1,对接源_01水果!$B898=""),0,IF(OR(N(对接源_01水果!$B898)&lt;$N$2,N(对接源_01水果!$B898)&gt;$N$3),0,1))</f>
        <v>0</v>
      </c>
      <c r="P898" s="1" t="n">
        <f aca="false">IF(AND($K898=1,AND(对接源_01水果!$X898="公司筐",N(对接源_01水果!$T898)&lt;&gt;0)),1,0)</f>
        <v>0</v>
      </c>
      <c r="Q898" s="1" t="n">
        <f aca="false">N(Q897)+$P898</f>
        <v>3</v>
      </c>
      <c r="R898" s="1" t="n">
        <f aca="false">IF(AND($K898=1,AND(对接源_01水果!$X898="公司筐",N(对接源_01水果!$U898)&lt;&gt;0)),1,0)</f>
        <v>0</v>
      </c>
      <c r="S898" s="1" t="n">
        <f aca="false">N(S897)+$R898</f>
        <v>0</v>
      </c>
      <c r="T898" s="1" t="n">
        <f aca="false">IF(AND($K898=1,AND(对接源_01水果!$X898="公司筐",N(对接源_01水果!$V898)&lt;&gt;0)),1,0)</f>
        <v>0</v>
      </c>
      <c r="U898" s="1" t="n">
        <f aca="false">N(U897)+$T898</f>
        <v>28</v>
      </c>
      <c r="V898" s="1" t="n">
        <f aca="false">IF(AND($L898=1,AND(对接源_01水果!$X898="自备筐",N(对接源_01水果!$V898)&lt;&gt;0)),1,0)</f>
        <v>0</v>
      </c>
      <c r="W898" s="1" t="n">
        <f aca="false">N(W897)+$V898</f>
        <v>7</v>
      </c>
      <c r="X898" s="1" t="n">
        <f aca="false">IF(AND($L898=1,AND(对接源_01水果!$X898="自备筐",N(对接源_01水果!$T898)&lt;&gt;0)),1,0)</f>
        <v>0</v>
      </c>
      <c r="Y898" s="1" t="n">
        <f aca="false">N(Y897)+$X898</f>
        <v>0</v>
      </c>
      <c r="Z898" s="1" t="n">
        <f aca="false">IF(AND($M898=1,对接源_01水果!$D898="原料入库"),1,0)</f>
        <v>0</v>
      </c>
      <c r="AA898" s="1" t="n">
        <f aca="false">N(AA897)+$Z898</f>
        <v>30</v>
      </c>
      <c r="AB898" s="1" t="n">
        <f aca="false">IF(AND($M898=1,LEFT(对接源_01水果!$D898,4)="原料出库"),1,0)</f>
        <v>0</v>
      </c>
      <c r="AC898" s="1" t="n">
        <f aca="false">N(AC897)+$AB898</f>
        <v>19</v>
      </c>
      <c r="AD898" s="1" t="n">
        <f aca="false">IF(AND($M898=1,LEFT(对接源_01水果!$D898,4)="成品出库"),1,0)</f>
        <v>0</v>
      </c>
      <c r="AE898" s="1" t="n">
        <f aca="false">N(AE897)+$AD898</f>
        <v>38</v>
      </c>
      <c r="AF898" s="1" t="n">
        <f aca="false">IF(AND($N898=1,AND(LEFT(对接源_01水果!$D898,4)="包装物料",N(对接源_01水果!$K898)&lt;&gt;0)),1,0)</f>
        <v>0</v>
      </c>
      <c r="AG898" s="90" t="str">
        <f aca="false">IF(对接源_01水果!$AC898="","",对接源_01水果!$AC898)</f>
        <v/>
      </c>
      <c r="AH898" s="1" t="n">
        <f aca="false">IF(AND($N898=1,AND(LEFT(对接源_01水果!$D898,3)="周转筐",N(对接源_01水果!$K898)&lt;&gt;0)),1,0)</f>
        <v>0</v>
      </c>
      <c r="AI898" s="90" t="n">
        <f aca="false">IF(AG898="",0,IF(MATCH(AG898,$AG$4:$AG$1203,0)=ROW()-3,1,0))</f>
        <v>0</v>
      </c>
      <c r="AJ898" s="90" t="n">
        <f aca="false">N(AJ897)+AI898</f>
        <v>4</v>
      </c>
      <c r="AK898" s="1" t="n">
        <f aca="false">N(AK897)+$AJ898</f>
        <v>2452</v>
      </c>
    </row>
    <row r="899" customFormat="false" ht="13.5" hidden="false" customHeight="false" outlineLevel="0" collapsed="false">
      <c r="A899" s="1" t="str">
        <f aca="false">IF(对接源_01水果!$C899="","",对接源_01水果!$C899)</f>
        <v/>
      </c>
      <c r="B899" s="1" t="n">
        <f aca="false">IF(A899="",0,IF(MATCH(A899,$A$4:$A$2403,0)=ROW()-3,1,0))</f>
        <v>0</v>
      </c>
      <c r="C899" s="1" t="n">
        <f aca="false">N(C898)+B899</f>
        <v>13</v>
      </c>
      <c r="K899" s="1" t="n">
        <f aca="false">IF(OR($K$1="",对接源_01水果!$C899="",对接源_01水果!$C899&lt;&gt;$K$1,对接源_01水果!$B899=""),0,IF(OR(N(对接源_01水果!$B899)&lt;$K$2,N(对接源_01水果!$B899)&gt;$K$3),0,1))</f>
        <v>0</v>
      </c>
      <c r="L899" s="1" t="n">
        <f aca="false">IF(OR($L$1="",对接源_01水果!$C899="",对接源_01水果!$C899&lt;&gt;$L$1,对接源_01水果!$B899=""),0,IF(OR(N(对接源_01水果!$B899)&lt;$L$2,N(对接源_01水果!$B899)&gt;$L$3),0,1))</f>
        <v>0</v>
      </c>
      <c r="M899" s="1" t="n">
        <f aca="false">IF(OR($M$1="",对接源_01水果!$C899="",对接源_01水果!$C899&lt;&gt;$M$1,对接源_01水果!$B899=""),0,IF(OR(N(对接源_01水果!$B899)&lt;$M$2,N(对接源_01水果!$B899)&gt;$M$3),0,1))</f>
        <v>0</v>
      </c>
      <c r="N899" s="1" t="n">
        <f aca="false">IF(OR($N$1="",对接源_01水果!$C899="",对接源_01水果!$C899&lt;&gt;$N$1,对接源_01水果!$B899=""),0,IF(OR(N(对接源_01水果!$B899)&lt;$N$2,N(对接源_01水果!$B899)&gt;$N$3),0,1))</f>
        <v>0</v>
      </c>
      <c r="P899" s="1" t="n">
        <f aca="false">IF(AND($K899=1,AND(对接源_01水果!$X899="公司筐",N(对接源_01水果!$T899)&lt;&gt;0)),1,0)</f>
        <v>0</v>
      </c>
      <c r="Q899" s="1" t="n">
        <f aca="false">N(Q898)+$P899</f>
        <v>3</v>
      </c>
      <c r="R899" s="1" t="n">
        <f aca="false">IF(AND($K899=1,AND(对接源_01水果!$X899="公司筐",N(对接源_01水果!$U899)&lt;&gt;0)),1,0)</f>
        <v>0</v>
      </c>
      <c r="S899" s="1" t="n">
        <f aca="false">N(S898)+$R899</f>
        <v>0</v>
      </c>
      <c r="T899" s="1" t="n">
        <f aca="false">IF(AND($K899=1,AND(对接源_01水果!$X899="公司筐",N(对接源_01水果!$V899)&lt;&gt;0)),1,0)</f>
        <v>0</v>
      </c>
      <c r="U899" s="1" t="n">
        <f aca="false">N(U898)+$T899</f>
        <v>28</v>
      </c>
      <c r="V899" s="1" t="n">
        <f aca="false">IF(AND($L899=1,AND(对接源_01水果!$X899="自备筐",N(对接源_01水果!$V899)&lt;&gt;0)),1,0)</f>
        <v>0</v>
      </c>
      <c r="W899" s="1" t="n">
        <f aca="false">N(W898)+$V899</f>
        <v>7</v>
      </c>
      <c r="X899" s="1" t="n">
        <f aca="false">IF(AND($L899=1,AND(对接源_01水果!$X899="自备筐",N(对接源_01水果!$T899)&lt;&gt;0)),1,0)</f>
        <v>0</v>
      </c>
      <c r="Y899" s="1" t="n">
        <f aca="false">N(Y898)+$X899</f>
        <v>0</v>
      </c>
      <c r="Z899" s="1" t="n">
        <f aca="false">IF(AND($M899=1,对接源_01水果!$D899="原料入库"),1,0)</f>
        <v>0</v>
      </c>
      <c r="AA899" s="1" t="n">
        <f aca="false">N(AA898)+$Z899</f>
        <v>30</v>
      </c>
      <c r="AB899" s="1" t="n">
        <f aca="false">IF(AND($M899=1,LEFT(对接源_01水果!$D899,4)="原料出库"),1,0)</f>
        <v>0</v>
      </c>
      <c r="AC899" s="1" t="n">
        <f aca="false">N(AC898)+$AB899</f>
        <v>19</v>
      </c>
      <c r="AD899" s="1" t="n">
        <f aca="false">IF(AND($M899=1,LEFT(对接源_01水果!$D899,4)="成品出库"),1,0)</f>
        <v>0</v>
      </c>
      <c r="AE899" s="1" t="n">
        <f aca="false">N(AE898)+$AD899</f>
        <v>38</v>
      </c>
      <c r="AF899" s="1" t="n">
        <f aca="false">IF(AND($N899=1,AND(LEFT(对接源_01水果!$D899,4)="包装物料",N(对接源_01水果!$K899)&lt;&gt;0)),1,0)</f>
        <v>0</v>
      </c>
      <c r="AG899" s="90" t="str">
        <f aca="false">IF(对接源_01水果!$AC899="","",对接源_01水果!$AC899)</f>
        <v/>
      </c>
      <c r="AH899" s="1" t="n">
        <f aca="false">IF(AND($N899=1,AND(LEFT(对接源_01水果!$D899,3)="周转筐",N(对接源_01水果!$K899)&lt;&gt;0)),1,0)</f>
        <v>0</v>
      </c>
      <c r="AI899" s="90" t="n">
        <f aca="false">IF(AG899="",0,IF(MATCH(AG899,$AG$4:$AG$1203,0)=ROW()-3,1,0))</f>
        <v>0</v>
      </c>
      <c r="AJ899" s="90" t="n">
        <f aca="false">N(AJ898)+AI899</f>
        <v>4</v>
      </c>
      <c r="AK899" s="1" t="n">
        <f aca="false">N(AK898)+$AJ899</f>
        <v>2456</v>
      </c>
    </row>
    <row r="900" customFormat="false" ht="13.5" hidden="false" customHeight="false" outlineLevel="0" collapsed="false">
      <c r="A900" s="1" t="str">
        <f aca="false">IF(对接源_01水果!$C900="","",对接源_01水果!$C900)</f>
        <v/>
      </c>
      <c r="B900" s="1" t="n">
        <f aca="false">IF(A900="",0,IF(MATCH(A900,$A$4:$A$2403,0)=ROW()-3,1,0))</f>
        <v>0</v>
      </c>
      <c r="C900" s="1" t="n">
        <f aca="false">N(C899)+B900</f>
        <v>13</v>
      </c>
      <c r="K900" s="1" t="n">
        <f aca="false">IF(OR($K$1="",对接源_01水果!$C900="",对接源_01水果!$C900&lt;&gt;$K$1,对接源_01水果!$B900=""),0,IF(OR(N(对接源_01水果!$B900)&lt;$K$2,N(对接源_01水果!$B900)&gt;$K$3),0,1))</f>
        <v>0</v>
      </c>
      <c r="L900" s="1" t="n">
        <f aca="false">IF(OR($L$1="",对接源_01水果!$C900="",对接源_01水果!$C900&lt;&gt;$L$1,对接源_01水果!$B900=""),0,IF(OR(N(对接源_01水果!$B900)&lt;$L$2,N(对接源_01水果!$B900)&gt;$L$3),0,1))</f>
        <v>0</v>
      </c>
      <c r="M900" s="1" t="n">
        <f aca="false">IF(OR($M$1="",对接源_01水果!$C900="",对接源_01水果!$C900&lt;&gt;$M$1,对接源_01水果!$B900=""),0,IF(OR(N(对接源_01水果!$B900)&lt;$M$2,N(对接源_01水果!$B900)&gt;$M$3),0,1))</f>
        <v>0</v>
      </c>
      <c r="N900" s="1" t="n">
        <f aca="false">IF(OR($N$1="",对接源_01水果!$C900="",对接源_01水果!$C900&lt;&gt;$N$1,对接源_01水果!$B900=""),0,IF(OR(N(对接源_01水果!$B900)&lt;$N$2,N(对接源_01水果!$B900)&gt;$N$3),0,1))</f>
        <v>0</v>
      </c>
      <c r="P900" s="1" t="n">
        <f aca="false">IF(AND($K900=1,AND(对接源_01水果!$X900="公司筐",N(对接源_01水果!$T900)&lt;&gt;0)),1,0)</f>
        <v>0</v>
      </c>
      <c r="Q900" s="1" t="n">
        <f aca="false">N(Q899)+$P900</f>
        <v>3</v>
      </c>
      <c r="R900" s="1" t="n">
        <f aca="false">IF(AND($K900=1,AND(对接源_01水果!$X900="公司筐",N(对接源_01水果!$U900)&lt;&gt;0)),1,0)</f>
        <v>0</v>
      </c>
      <c r="S900" s="1" t="n">
        <f aca="false">N(S899)+$R900</f>
        <v>0</v>
      </c>
      <c r="T900" s="1" t="n">
        <f aca="false">IF(AND($K900=1,AND(对接源_01水果!$X900="公司筐",N(对接源_01水果!$V900)&lt;&gt;0)),1,0)</f>
        <v>0</v>
      </c>
      <c r="U900" s="1" t="n">
        <f aca="false">N(U899)+$T900</f>
        <v>28</v>
      </c>
      <c r="V900" s="1" t="n">
        <f aca="false">IF(AND($L900=1,AND(对接源_01水果!$X900="自备筐",N(对接源_01水果!$V900)&lt;&gt;0)),1,0)</f>
        <v>0</v>
      </c>
      <c r="W900" s="1" t="n">
        <f aca="false">N(W899)+$V900</f>
        <v>7</v>
      </c>
      <c r="X900" s="1" t="n">
        <f aca="false">IF(AND($L900=1,AND(对接源_01水果!$X900="自备筐",N(对接源_01水果!$T900)&lt;&gt;0)),1,0)</f>
        <v>0</v>
      </c>
      <c r="Y900" s="1" t="n">
        <f aca="false">N(Y899)+$X900</f>
        <v>0</v>
      </c>
      <c r="Z900" s="1" t="n">
        <f aca="false">IF(AND($M900=1,对接源_01水果!$D900="原料入库"),1,0)</f>
        <v>0</v>
      </c>
      <c r="AA900" s="1" t="n">
        <f aca="false">N(AA899)+$Z900</f>
        <v>30</v>
      </c>
      <c r="AB900" s="1" t="n">
        <f aca="false">IF(AND($M900=1,LEFT(对接源_01水果!$D900,4)="原料出库"),1,0)</f>
        <v>0</v>
      </c>
      <c r="AC900" s="1" t="n">
        <f aca="false">N(AC899)+$AB900</f>
        <v>19</v>
      </c>
      <c r="AD900" s="1" t="n">
        <f aca="false">IF(AND($M900=1,LEFT(对接源_01水果!$D900,4)="成品出库"),1,0)</f>
        <v>0</v>
      </c>
      <c r="AE900" s="1" t="n">
        <f aca="false">N(AE899)+$AD900</f>
        <v>38</v>
      </c>
      <c r="AF900" s="1" t="n">
        <f aca="false">IF(AND($N900=1,AND(LEFT(对接源_01水果!$D900,4)="包装物料",N(对接源_01水果!$K900)&lt;&gt;0)),1,0)</f>
        <v>0</v>
      </c>
      <c r="AG900" s="90" t="str">
        <f aca="false">IF(对接源_01水果!$AC900="","",对接源_01水果!$AC900)</f>
        <v/>
      </c>
      <c r="AH900" s="1" t="n">
        <f aca="false">IF(AND($N900=1,AND(LEFT(对接源_01水果!$D900,3)="周转筐",N(对接源_01水果!$K900)&lt;&gt;0)),1,0)</f>
        <v>0</v>
      </c>
      <c r="AI900" s="90" t="n">
        <f aca="false">IF(AG900="",0,IF(MATCH(AG900,$AG$4:$AG$1203,0)=ROW()-3,1,0))</f>
        <v>0</v>
      </c>
      <c r="AJ900" s="90" t="n">
        <f aca="false">N(AJ899)+AI900</f>
        <v>4</v>
      </c>
      <c r="AK900" s="1" t="n">
        <f aca="false">N(AK899)+$AJ900</f>
        <v>2460</v>
      </c>
    </row>
    <row r="901" customFormat="false" ht="13.5" hidden="false" customHeight="false" outlineLevel="0" collapsed="false">
      <c r="A901" s="1" t="str">
        <f aca="false">IF(对接源_01水果!$C901="","",对接源_01水果!$C901)</f>
        <v/>
      </c>
      <c r="B901" s="1" t="n">
        <f aca="false">IF(A901="",0,IF(MATCH(A901,$A$4:$A$2403,0)=ROW()-3,1,0))</f>
        <v>0</v>
      </c>
      <c r="C901" s="1" t="n">
        <f aca="false">N(C900)+B901</f>
        <v>13</v>
      </c>
      <c r="K901" s="1" t="n">
        <f aca="false">IF(OR($K$1="",对接源_01水果!$C901="",对接源_01水果!$C901&lt;&gt;$K$1,对接源_01水果!$B901=""),0,IF(OR(N(对接源_01水果!$B901)&lt;$K$2,N(对接源_01水果!$B901)&gt;$K$3),0,1))</f>
        <v>0</v>
      </c>
      <c r="L901" s="1" t="n">
        <f aca="false">IF(OR($L$1="",对接源_01水果!$C901="",对接源_01水果!$C901&lt;&gt;$L$1,对接源_01水果!$B901=""),0,IF(OR(N(对接源_01水果!$B901)&lt;$L$2,N(对接源_01水果!$B901)&gt;$L$3),0,1))</f>
        <v>0</v>
      </c>
      <c r="M901" s="1" t="n">
        <f aca="false">IF(OR($M$1="",对接源_01水果!$C901="",对接源_01水果!$C901&lt;&gt;$M$1,对接源_01水果!$B901=""),0,IF(OR(N(对接源_01水果!$B901)&lt;$M$2,N(对接源_01水果!$B901)&gt;$M$3),0,1))</f>
        <v>0</v>
      </c>
      <c r="N901" s="1" t="n">
        <f aca="false">IF(OR($N$1="",对接源_01水果!$C901="",对接源_01水果!$C901&lt;&gt;$N$1,对接源_01水果!$B901=""),0,IF(OR(N(对接源_01水果!$B901)&lt;$N$2,N(对接源_01水果!$B901)&gt;$N$3),0,1))</f>
        <v>0</v>
      </c>
      <c r="P901" s="1" t="n">
        <f aca="false">IF(AND($K901=1,AND(对接源_01水果!$X901="公司筐",N(对接源_01水果!$T901)&lt;&gt;0)),1,0)</f>
        <v>0</v>
      </c>
      <c r="Q901" s="1" t="n">
        <f aca="false">N(Q900)+$P901</f>
        <v>3</v>
      </c>
      <c r="R901" s="1" t="n">
        <f aca="false">IF(AND($K901=1,AND(对接源_01水果!$X901="公司筐",N(对接源_01水果!$U901)&lt;&gt;0)),1,0)</f>
        <v>0</v>
      </c>
      <c r="S901" s="1" t="n">
        <f aca="false">N(S900)+$R901</f>
        <v>0</v>
      </c>
      <c r="T901" s="1" t="n">
        <f aca="false">IF(AND($K901=1,AND(对接源_01水果!$X901="公司筐",N(对接源_01水果!$V901)&lt;&gt;0)),1,0)</f>
        <v>0</v>
      </c>
      <c r="U901" s="1" t="n">
        <f aca="false">N(U900)+$T901</f>
        <v>28</v>
      </c>
      <c r="V901" s="1" t="n">
        <f aca="false">IF(AND($L901=1,AND(对接源_01水果!$X901="自备筐",N(对接源_01水果!$V901)&lt;&gt;0)),1,0)</f>
        <v>0</v>
      </c>
      <c r="W901" s="1" t="n">
        <f aca="false">N(W900)+$V901</f>
        <v>7</v>
      </c>
      <c r="X901" s="1" t="n">
        <f aca="false">IF(AND($L901=1,AND(对接源_01水果!$X901="自备筐",N(对接源_01水果!$T901)&lt;&gt;0)),1,0)</f>
        <v>0</v>
      </c>
      <c r="Y901" s="1" t="n">
        <f aca="false">N(Y900)+$X901</f>
        <v>0</v>
      </c>
      <c r="Z901" s="1" t="n">
        <f aca="false">IF(AND($M901=1,对接源_01水果!$D901="原料入库"),1,0)</f>
        <v>0</v>
      </c>
      <c r="AA901" s="1" t="n">
        <f aca="false">N(AA900)+$Z901</f>
        <v>30</v>
      </c>
      <c r="AB901" s="1" t="n">
        <f aca="false">IF(AND($M901=1,LEFT(对接源_01水果!$D901,4)="原料出库"),1,0)</f>
        <v>0</v>
      </c>
      <c r="AC901" s="1" t="n">
        <f aca="false">N(AC900)+$AB901</f>
        <v>19</v>
      </c>
      <c r="AD901" s="1" t="n">
        <f aca="false">IF(AND($M901=1,LEFT(对接源_01水果!$D901,4)="成品出库"),1,0)</f>
        <v>0</v>
      </c>
      <c r="AE901" s="1" t="n">
        <f aca="false">N(AE900)+$AD901</f>
        <v>38</v>
      </c>
      <c r="AF901" s="1" t="n">
        <f aca="false">IF(AND($N901=1,AND(LEFT(对接源_01水果!$D901,4)="包装物料",N(对接源_01水果!$K901)&lt;&gt;0)),1,0)</f>
        <v>0</v>
      </c>
      <c r="AG901" s="90" t="str">
        <f aca="false">IF(对接源_01水果!$AC901="","",对接源_01水果!$AC901)</f>
        <v/>
      </c>
      <c r="AH901" s="1" t="n">
        <f aca="false">IF(AND($N901=1,AND(LEFT(对接源_01水果!$D901,3)="周转筐",N(对接源_01水果!$K901)&lt;&gt;0)),1,0)</f>
        <v>0</v>
      </c>
      <c r="AI901" s="90" t="n">
        <f aca="false">IF(AG901="",0,IF(MATCH(AG901,$AG$4:$AG$1203,0)=ROW()-3,1,0))</f>
        <v>0</v>
      </c>
      <c r="AJ901" s="90" t="n">
        <f aca="false">N(AJ900)+AI901</f>
        <v>4</v>
      </c>
      <c r="AK901" s="1" t="n">
        <f aca="false">N(AK900)+$AJ901</f>
        <v>2464</v>
      </c>
    </row>
    <row r="902" customFormat="false" ht="13.5" hidden="false" customHeight="false" outlineLevel="0" collapsed="false">
      <c r="A902" s="1" t="str">
        <f aca="false">IF(对接源_01水果!$C902="","",对接源_01水果!$C902)</f>
        <v/>
      </c>
      <c r="B902" s="1" t="n">
        <f aca="false">IF(A902="",0,IF(MATCH(A902,$A$4:$A$2403,0)=ROW()-3,1,0))</f>
        <v>0</v>
      </c>
      <c r="C902" s="1" t="n">
        <f aca="false">N(C901)+B902</f>
        <v>13</v>
      </c>
      <c r="K902" s="1" t="n">
        <f aca="false">IF(OR($K$1="",对接源_01水果!$C902="",对接源_01水果!$C902&lt;&gt;$K$1,对接源_01水果!$B902=""),0,IF(OR(N(对接源_01水果!$B902)&lt;$K$2,N(对接源_01水果!$B902)&gt;$K$3),0,1))</f>
        <v>0</v>
      </c>
      <c r="L902" s="1" t="n">
        <f aca="false">IF(OR($L$1="",对接源_01水果!$C902="",对接源_01水果!$C902&lt;&gt;$L$1,对接源_01水果!$B902=""),0,IF(OR(N(对接源_01水果!$B902)&lt;$L$2,N(对接源_01水果!$B902)&gt;$L$3),0,1))</f>
        <v>0</v>
      </c>
      <c r="M902" s="1" t="n">
        <f aca="false">IF(OR($M$1="",对接源_01水果!$C902="",对接源_01水果!$C902&lt;&gt;$M$1,对接源_01水果!$B902=""),0,IF(OR(N(对接源_01水果!$B902)&lt;$M$2,N(对接源_01水果!$B902)&gt;$M$3),0,1))</f>
        <v>0</v>
      </c>
      <c r="N902" s="1" t="n">
        <f aca="false">IF(OR($N$1="",对接源_01水果!$C902="",对接源_01水果!$C902&lt;&gt;$N$1,对接源_01水果!$B902=""),0,IF(OR(N(对接源_01水果!$B902)&lt;$N$2,N(对接源_01水果!$B902)&gt;$N$3),0,1))</f>
        <v>0</v>
      </c>
      <c r="P902" s="1" t="n">
        <f aca="false">IF(AND($K902=1,AND(对接源_01水果!$X902="公司筐",N(对接源_01水果!$T902)&lt;&gt;0)),1,0)</f>
        <v>0</v>
      </c>
      <c r="Q902" s="1" t="n">
        <f aca="false">N(Q901)+$P902</f>
        <v>3</v>
      </c>
      <c r="R902" s="1" t="n">
        <f aca="false">IF(AND($K902=1,AND(对接源_01水果!$X902="公司筐",N(对接源_01水果!$U902)&lt;&gt;0)),1,0)</f>
        <v>0</v>
      </c>
      <c r="S902" s="1" t="n">
        <f aca="false">N(S901)+$R902</f>
        <v>0</v>
      </c>
      <c r="T902" s="1" t="n">
        <f aca="false">IF(AND($K902=1,AND(对接源_01水果!$X902="公司筐",N(对接源_01水果!$V902)&lt;&gt;0)),1,0)</f>
        <v>0</v>
      </c>
      <c r="U902" s="1" t="n">
        <f aca="false">N(U901)+$T902</f>
        <v>28</v>
      </c>
      <c r="V902" s="1" t="n">
        <f aca="false">IF(AND($L902=1,AND(对接源_01水果!$X902="自备筐",N(对接源_01水果!$V902)&lt;&gt;0)),1,0)</f>
        <v>0</v>
      </c>
      <c r="W902" s="1" t="n">
        <f aca="false">N(W901)+$V902</f>
        <v>7</v>
      </c>
      <c r="X902" s="1" t="n">
        <f aca="false">IF(AND($L902=1,AND(对接源_01水果!$X902="自备筐",N(对接源_01水果!$T902)&lt;&gt;0)),1,0)</f>
        <v>0</v>
      </c>
      <c r="Y902" s="1" t="n">
        <f aca="false">N(Y901)+$X902</f>
        <v>0</v>
      </c>
      <c r="Z902" s="1" t="n">
        <f aca="false">IF(AND($M902=1,对接源_01水果!$D902="原料入库"),1,0)</f>
        <v>0</v>
      </c>
      <c r="AA902" s="1" t="n">
        <f aca="false">N(AA901)+$Z902</f>
        <v>30</v>
      </c>
      <c r="AB902" s="1" t="n">
        <f aca="false">IF(AND($M902=1,LEFT(对接源_01水果!$D902,4)="原料出库"),1,0)</f>
        <v>0</v>
      </c>
      <c r="AC902" s="1" t="n">
        <f aca="false">N(AC901)+$AB902</f>
        <v>19</v>
      </c>
      <c r="AD902" s="1" t="n">
        <f aca="false">IF(AND($M902=1,LEFT(对接源_01水果!$D902,4)="成品出库"),1,0)</f>
        <v>0</v>
      </c>
      <c r="AE902" s="1" t="n">
        <f aca="false">N(AE901)+$AD902</f>
        <v>38</v>
      </c>
      <c r="AF902" s="1" t="n">
        <f aca="false">IF(AND($N902=1,AND(LEFT(对接源_01水果!$D902,4)="包装物料",N(对接源_01水果!$K902)&lt;&gt;0)),1,0)</f>
        <v>0</v>
      </c>
      <c r="AG902" s="90" t="str">
        <f aca="false">IF(对接源_01水果!$AC902="","",对接源_01水果!$AC902)</f>
        <v/>
      </c>
      <c r="AH902" s="1" t="n">
        <f aca="false">IF(AND($N902=1,AND(LEFT(对接源_01水果!$D902,3)="周转筐",N(对接源_01水果!$K902)&lt;&gt;0)),1,0)</f>
        <v>0</v>
      </c>
      <c r="AI902" s="90" t="n">
        <f aca="false">IF(AG902="",0,IF(MATCH(AG902,$AG$4:$AG$1203,0)=ROW()-3,1,0))</f>
        <v>0</v>
      </c>
      <c r="AJ902" s="90" t="n">
        <f aca="false">N(AJ901)+AI902</f>
        <v>4</v>
      </c>
      <c r="AK902" s="1" t="n">
        <f aca="false">N(AK901)+$AJ902</f>
        <v>2468</v>
      </c>
    </row>
    <row r="903" customFormat="false" ht="13.5" hidden="false" customHeight="false" outlineLevel="0" collapsed="false">
      <c r="A903" s="1" t="str">
        <f aca="false">IF(对接源_01水果!$C903="","",对接源_01水果!$C903)</f>
        <v/>
      </c>
      <c r="B903" s="1" t="n">
        <f aca="false">IF(A903="",0,IF(MATCH(A903,$A$4:$A$2403,0)=ROW()-3,1,0))</f>
        <v>0</v>
      </c>
      <c r="C903" s="1" t="n">
        <f aca="false">N(C902)+B903</f>
        <v>13</v>
      </c>
      <c r="K903" s="1" t="n">
        <f aca="false">IF(OR($K$1="",对接源_01水果!$C903="",对接源_01水果!$C903&lt;&gt;$K$1,对接源_01水果!$B903=""),0,IF(OR(N(对接源_01水果!$B903)&lt;$K$2,N(对接源_01水果!$B903)&gt;$K$3),0,1))</f>
        <v>0</v>
      </c>
      <c r="L903" s="1" t="n">
        <f aca="false">IF(OR($L$1="",对接源_01水果!$C903="",对接源_01水果!$C903&lt;&gt;$L$1,对接源_01水果!$B903=""),0,IF(OR(N(对接源_01水果!$B903)&lt;$L$2,N(对接源_01水果!$B903)&gt;$L$3),0,1))</f>
        <v>0</v>
      </c>
      <c r="M903" s="1" t="n">
        <f aca="false">IF(OR($M$1="",对接源_01水果!$C903="",对接源_01水果!$C903&lt;&gt;$M$1,对接源_01水果!$B903=""),0,IF(OR(N(对接源_01水果!$B903)&lt;$M$2,N(对接源_01水果!$B903)&gt;$M$3),0,1))</f>
        <v>0</v>
      </c>
      <c r="N903" s="1" t="n">
        <f aca="false">IF(OR($N$1="",对接源_01水果!$C903="",对接源_01水果!$C903&lt;&gt;$N$1,对接源_01水果!$B903=""),0,IF(OR(N(对接源_01水果!$B903)&lt;$N$2,N(对接源_01水果!$B903)&gt;$N$3),0,1))</f>
        <v>0</v>
      </c>
      <c r="P903" s="1" t="n">
        <f aca="false">IF(AND($K903=1,AND(对接源_01水果!$X903="公司筐",N(对接源_01水果!$T903)&lt;&gt;0)),1,0)</f>
        <v>0</v>
      </c>
      <c r="Q903" s="1" t="n">
        <f aca="false">N(Q902)+$P903</f>
        <v>3</v>
      </c>
      <c r="R903" s="1" t="n">
        <f aca="false">IF(AND($K903=1,AND(对接源_01水果!$X903="公司筐",N(对接源_01水果!$U903)&lt;&gt;0)),1,0)</f>
        <v>0</v>
      </c>
      <c r="S903" s="1" t="n">
        <f aca="false">N(S902)+$R903</f>
        <v>0</v>
      </c>
      <c r="T903" s="1" t="n">
        <f aca="false">IF(AND($K903=1,AND(对接源_01水果!$X903="公司筐",N(对接源_01水果!$V903)&lt;&gt;0)),1,0)</f>
        <v>0</v>
      </c>
      <c r="U903" s="1" t="n">
        <f aca="false">N(U902)+$T903</f>
        <v>28</v>
      </c>
      <c r="V903" s="1" t="n">
        <f aca="false">IF(AND($L903=1,AND(对接源_01水果!$X903="自备筐",N(对接源_01水果!$V903)&lt;&gt;0)),1,0)</f>
        <v>0</v>
      </c>
      <c r="W903" s="1" t="n">
        <f aca="false">N(W902)+$V903</f>
        <v>7</v>
      </c>
      <c r="X903" s="1" t="n">
        <f aca="false">IF(AND($L903=1,AND(对接源_01水果!$X903="自备筐",N(对接源_01水果!$T903)&lt;&gt;0)),1,0)</f>
        <v>0</v>
      </c>
      <c r="Y903" s="1" t="n">
        <f aca="false">N(Y902)+$X903</f>
        <v>0</v>
      </c>
      <c r="Z903" s="1" t="n">
        <f aca="false">IF(AND($M903=1,对接源_01水果!$D903="原料入库"),1,0)</f>
        <v>0</v>
      </c>
      <c r="AA903" s="1" t="n">
        <f aca="false">N(AA902)+$Z903</f>
        <v>30</v>
      </c>
      <c r="AB903" s="1" t="n">
        <f aca="false">IF(AND($M903=1,LEFT(对接源_01水果!$D903,4)="原料出库"),1,0)</f>
        <v>0</v>
      </c>
      <c r="AC903" s="1" t="n">
        <f aca="false">N(AC902)+$AB903</f>
        <v>19</v>
      </c>
      <c r="AD903" s="1" t="n">
        <f aca="false">IF(AND($M903=1,LEFT(对接源_01水果!$D903,4)="成品出库"),1,0)</f>
        <v>0</v>
      </c>
      <c r="AE903" s="1" t="n">
        <f aca="false">N(AE902)+$AD903</f>
        <v>38</v>
      </c>
      <c r="AF903" s="1" t="n">
        <f aca="false">IF(AND($N903=1,AND(LEFT(对接源_01水果!$D903,4)="包装物料",N(对接源_01水果!$K903)&lt;&gt;0)),1,0)</f>
        <v>0</v>
      </c>
      <c r="AG903" s="90" t="str">
        <f aca="false">IF(对接源_01水果!$AC903="","",对接源_01水果!$AC903)</f>
        <v/>
      </c>
      <c r="AH903" s="1" t="n">
        <f aca="false">IF(AND($N903=1,AND(LEFT(对接源_01水果!$D903,3)="周转筐",N(对接源_01水果!$K903)&lt;&gt;0)),1,0)</f>
        <v>0</v>
      </c>
      <c r="AI903" s="90" t="n">
        <f aca="false">IF(AG903="",0,IF(MATCH(AG903,$AG$4:$AG$1203,0)=ROW()-3,1,0))</f>
        <v>0</v>
      </c>
      <c r="AJ903" s="90" t="n">
        <f aca="false">N(AJ902)+AI903</f>
        <v>4</v>
      </c>
      <c r="AK903" s="1" t="n">
        <f aca="false">N(AK902)+$AJ903</f>
        <v>2472</v>
      </c>
    </row>
    <row r="904" customFormat="false" ht="13.5" hidden="false" customHeight="false" outlineLevel="0" collapsed="false">
      <c r="A904" s="1" t="str">
        <f aca="false">IF(对接源_01水果!$C904="","",对接源_01水果!$C904)</f>
        <v/>
      </c>
      <c r="B904" s="1" t="n">
        <f aca="false">IF(A904="",0,IF(MATCH(A904,$A$4:$A$2403,0)=ROW()-3,1,0))</f>
        <v>0</v>
      </c>
      <c r="C904" s="1" t="n">
        <f aca="false">N(C903)+B904</f>
        <v>13</v>
      </c>
      <c r="K904" s="1" t="n">
        <f aca="false">IF(OR($K$1="",对接源_01水果!$C904="",对接源_01水果!$C904&lt;&gt;$K$1,对接源_01水果!$B904=""),0,IF(OR(N(对接源_01水果!$B904)&lt;$K$2,N(对接源_01水果!$B904)&gt;$K$3),0,1))</f>
        <v>0</v>
      </c>
      <c r="L904" s="1" t="n">
        <f aca="false">IF(OR($L$1="",对接源_01水果!$C904="",对接源_01水果!$C904&lt;&gt;$L$1,对接源_01水果!$B904=""),0,IF(OR(N(对接源_01水果!$B904)&lt;$L$2,N(对接源_01水果!$B904)&gt;$L$3),0,1))</f>
        <v>0</v>
      </c>
      <c r="M904" s="1" t="n">
        <f aca="false">IF(OR($M$1="",对接源_01水果!$C904="",对接源_01水果!$C904&lt;&gt;$M$1,对接源_01水果!$B904=""),0,IF(OR(N(对接源_01水果!$B904)&lt;$M$2,N(对接源_01水果!$B904)&gt;$M$3),0,1))</f>
        <v>0</v>
      </c>
      <c r="N904" s="1" t="n">
        <f aca="false">IF(OR($N$1="",对接源_01水果!$C904="",对接源_01水果!$C904&lt;&gt;$N$1,对接源_01水果!$B904=""),0,IF(OR(N(对接源_01水果!$B904)&lt;$N$2,N(对接源_01水果!$B904)&gt;$N$3),0,1))</f>
        <v>0</v>
      </c>
      <c r="P904" s="1" t="n">
        <f aca="false">IF(AND($K904=1,AND(对接源_01水果!$X904="公司筐",N(对接源_01水果!$T904)&lt;&gt;0)),1,0)</f>
        <v>0</v>
      </c>
      <c r="Q904" s="1" t="n">
        <f aca="false">N(Q903)+$P904</f>
        <v>3</v>
      </c>
      <c r="R904" s="1" t="n">
        <f aca="false">IF(AND($K904=1,AND(对接源_01水果!$X904="公司筐",N(对接源_01水果!$U904)&lt;&gt;0)),1,0)</f>
        <v>0</v>
      </c>
      <c r="S904" s="1" t="n">
        <f aca="false">N(S903)+$R904</f>
        <v>0</v>
      </c>
      <c r="T904" s="1" t="n">
        <f aca="false">IF(AND($K904=1,AND(对接源_01水果!$X904="公司筐",N(对接源_01水果!$V904)&lt;&gt;0)),1,0)</f>
        <v>0</v>
      </c>
      <c r="U904" s="1" t="n">
        <f aca="false">N(U903)+$T904</f>
        <v>28</v>
      </c>
      <c r="V904" s="1" t="n">
        <f aca="false">IF(AND($L904=1,AND(对接源_01水果!$X904="自备筐",N(对接源_01水果!$V904)&lt;&gt;0)),1,0)</f>
        <v>0</v>
      </c>
      <c r="W904" s="1" t="n">
        <f aca="false">N(W903)+$V904</f>
        <v>7</v>
      </c>
      <c r="X904" s="1" t="n">
        <f aca="false">IF(AND($L904=1,AND(对接源_01水果!$X904="自备筐",N(对接源_01水果!$T904)&lt;&gt;0)),1,0)</f>
        <v>0</v>
      </c>
      <c r="Y904" s="1" t="n">
        <f aca="false">N(Y903)+$X904</f>
        <v>0</v>
      </c>
      <c r="Z904" s="1" t="n">
        <f aca="false">IF(AND($M904=1,对接源_01水果!$D904="原料入库"),1,0)</f>
        <v>0</v>
      </c>
      <c r="AA904" s="1" t="n">
        <f aca="false">N(AA903)+$Z904</f>
        <v>30</v>
      </c>
      <c r="AB904" s="1" t="n">
        <f aca="false">IF(AND($M904=1,LEFT(对接源_01水果!$D904,4)="原料出库"),1,0)</f>
        <v>0</v>
      </c>
      <c r="AC904" s="1" t="n">
        <f aca="false">N(AC903)+$AB904</f>
        <v>19</v>
      </c>
      <c r="AD904" s="1" t="n">
        <f aca="false">IF(AND($M904=1,LEFT(对接源_01水果!$D904,4)="成品出库"),1,0)</f>
        <v>0</v>
      </c>
      <c r="AE904" s="1" t="n">
        <f aca="false">N(AE903)+$AD904</f>
        <v>38</v>
      </c>
      <c r="AF904" s="1" t="n">
        <f aca="false">IF(AND($N904=1,AND(LEFT(对接源_01水果!$D904,4)="包装物料",N(对接源_01水果!$K904)&lt;&gt;0)),1,0)</f>
        <v>0</v>
      </c>
      <c r="AG904" s="90" t="str">
        <f aca="false">IF(对接源_01水果!$AC904="","",对接源_01水果!$AC904)</f>
        <v/>
      </c>
      <c r="AH904" s="1" t="n">
        <f aca="false">IF(AND($N904=1,AND(LEFT(对接源_01水果!$D904,3)="周转筐",N(对接源_01水果!$K904)&lt;&gt;0)),1,0)</f>
        <v>0</v>
      </c>
      <c r="AI904" s="90" t="n">
        <f aca="false">IF(AG904="",0,IF(MATCH(AG904,$AG$4:$AG$1203,0)=ROW()-3,1,0))</f>
        <v>0</v>
      </c>
      <c r="AJ904" s="90" t="n">
        <f aca="false">N(AJ903)+AI904</f>
        <v>4</v>
      </c>
      <c r="AK904" s="1" t="n">
        <f aca="false">N(AK903)+$AJ904</f>
        <v>2476</v>
      </c>
    </row>
    <row r="905" customFormat="false" ht="13.5" hidden="false" customHeight="false" outlineLevel="0" collapsed="false">
      <c r="A905" s="1" t="str">
        <f aca="false">IF(对接源_01水果!$C905="","",对接源_01水果!$C905)</f>
        <v/>
      </c>
      <c r="B905" s="1" t="n">
        <f aca="false">IF(A905="",0,IF(MATCH(A905,$A$4:$A$2403,0)=ROW()-3,1,0))</f>
        <v>0</v>
      </c>
      <c r="C905" s="1" t="n">
        <f aca="false">N(C904)+B905</f>
        <v>13</v>
      </c>
      <c r="K905" s="1" t="n">
        <f aca="false">IF(OR($K$1="",对接源_01水果!$C905="",对接源_01水果!$C905&lt;&gt;$K$1,对接源_01水果!$B905=""),0,IF(OR(N(对接源_01水果!$B905)&lt;$K$2,N(对接源_01水果!$B905)&gt;$K$3),0,1))</f>
        <v>0</v>
      </c>
      <c r="L905" s="1" t="n">
        <f aca="false">IF(OR($L$1="",对接源_01水果!$C905="",对接源_01水果!$C905&lt;&gt;$L$1,对接源_01水果!$B905=""),0,IF(OR(N(对接源_01水果!$B905)&lt;$L$2,N(对接源_01水果!$B905)&gt;$L$3),0,1))</f>
        <v>0</v>
      </c>
      <c r="M905" s="1" t="n">
        <f aca="false">IF(OR($M$1="",对接源_01水果!$C905="",对接源_01水果!$C905&lt;&gt;$M$1,对接源_01水果!$B905=""),0,IF(OR(N(对接源_01水果!$B905)&lt;$M$2,N(对接源_01水果!$B905)&gt;$M$3),0,1))</f>
        <v>0</v>
      </c>
      <c r="N905" s="1" t="n">
        <f aca="false">IF(OR($N$1="",对接源_01水果!$C905="",对接源_01水果!$C905&lt;&gt;$N$1,对接源_01水果!$B905=""),0,IF(OR(N(对接源_01水果!$B905)&lt;$N$2,N(对接源_01水果!$B905)&gt;$N$3),0,1))</f>
        <v>0</v>
      </c>
      <c r="P905" s="1" t="n">
        <f aca="false">IF(AND($K905=1,AND(对接源_01水果!$X905="公司筐",N(对接源_01水果!$T905)&lt;&gt;0)),1,0)</f>
        <v>0</v>
      </c>
      <c r="Q905" s="1" t="n">
        <f aca="false">N(Q904)+$P905</f>
        <v>3</v>
      </c>
      <c r="R905" s="1" t="n">
        <f aca="false">IF(AND($K905=1,AND(对接源_01水果!$X905="公司筐",N(对接源_01水果!$U905)&lt;&gt;0)),1,0)</f>
        <v>0</v>
      </c>
      <c r="S905" s="1" t="n">
        <f aca="false">N(S904)+$R905</f>
        <v>0</v>
      </c>
      <c r="T905" s="1" t="n">
        <f aca="false">IF(AND($K905=1,AND(对接源_01水果!$X905="公司筐",N(对接源_01水果!$V905)&lt;&gt;0)),1,0)</f>
        <v>0</v>
      </c>
      <c r="U905" s="1" t="n">
        <f aca="false">N(U904)+$T905</f>
        <v>28</v>
      </c>
      <c r="V905" s="1" t="n">
        <f aca="false">IF(AND($L905=1,AND(对接源_01水果!$X905="自备筐",N(对接源_01水果!$V905)&lt;&gt;0)),1,0)</f>
        <v>0</v>
      </c>
      <c r="W905" s="1" t="n">
        <f aca="false">N(W904)+$V905</f>
        <v>7</v>
      </c>
      <c r="X905" s="1" t="n">
        <f aca="false">IF(AND($L905=1,AND(对接源_01水果!$X905="自备筐",N(对接源_01水果!$T905)&lt;&gt;0)),1,0)</f>
        <v>0</v>
      </c>
      <c r="Y905" s="1" t="n">
        <f aca="false">N(Y904)+$X905</f>
        <v>0</v>
      </c>
      <c r="Z905" s="1" t="n">
        <f aca="false">IF(AND($M905=1,对接源_01水果!$D905="原料入库"),1,0)</f>
        <v>0</v>
      </c>
      <c r="AA905" s="1" t="n">
        <f aca="false">N(AA904)+$Z905</f>
        <v>30</v>
      </c>
      <c r="AB905" s="1" t="n">
        <f aca="false">IF(AND($M905=1,LEFT(对接源_01水果!$D905,4)="原料出库"),1,0)</f>
        <v>0</v>
      </c>
      <c r="AC905" s="1" t="n">
        <f aca="false">N(AC904)+$AB905</f>
        <v>19</v>
      </c>
      <c r="AD905" s="1" t="n">
        <f aca="false">IF(AND($M905=1,LEFT(对接源_01水果!$D905,4)="成品出库"),1,0)</f>
        <v>0</v>
      </c>
      <c r="AE905" s="1" t="n">
        <f aca="false">N(AE904)+$AD905</f>
        <v>38</v>
      </c>
      <c r="AF905" s="1" t="n">
        <f aca="false">IF(AND($N905=1,AND(LEFT(对接源_01水果!$D905,4)="包装物料",N(对接源_01水果!$K905)&lt;&gt;0)),1,0)</f>
        <v>0</v>
      </c>
      <c r="AG905" s="90" t="str">
        <f aca="false">IF(对接源_01水果!$AC905="","",对接源_01水果!$AC905)</f>
        <v/>
      </c>
      <c r="AH905" s="1" t="n">
        <f aca="false">IF(AND($N905=1,AND(LEFT(对接源_01水果!$D905,3)="周转筐",N(对接源_01水果!$K905)&lt;&gt;0)),1,0)</f>
        <v>0</v>
      </c>
      <c r="AI905" s="90" t="n">
        <f aca="false">IF(AG905="",0,IF(MATCH(AG905,$AG$4:$AG$1203,0)=ROW()-3,1,0))</f>
        <v>0</v>
      </c>
      <c r="AJ905" s="90" t="n">
        <f aca="false">N(AJ904)+AI905</f>
        <v>4</v>
      </c>
      <c r="AK905" s="1" t="n">
        <f aca="false">N(AK904)+$AJ905</f>
        <v>2480</v>
      </c>
    </row>
    <row r="906" customFormat="false" ht="13.5" hidden="false" customHeight="false" outlineLevel="0" collapsed="false">
      <c r="A906" s="1" t="str">
        <f aca="false">IF(对接源_01水果!$C906="","",对接源_01水果!$C906)</f>
        <v/>
      </c>
      <c r="B906" s="1" t="n">
        <f aca="false">IF(A906="",0,IF(MATCH(A906,$A$4:$A$2403,0)=ROW()-3,1,0))</f>
        <v>0</v>
      </c>
      <c r="C906" s="1" t="n">
        <f aca="false">N(C905)+B906</f>
        <v>13</v>
      </c>
      <c r="K906" s="1" t="n">
        <f aca="false">IF(OR($K$1="",对接源_01水果!$C906="",对接源_01水果!$C906&lt;&gt;$K$1,对接源_01水果!$B906=""),0,IF(OR(N(对接源_01水果!$B906)&lt;$K$2,N(对接源_01水果!$B906)&gt;$K$3),0,1))</f>
        <v>0</v>
      </c>
      <c r="L906" s="1" t="n">
        <f aca="false">IF(OR($L$1="",对接源_01水果!$C906="",对接源_01水果!$C906&lt;&gt;$L$1,对接源_01水果!$B906=""),0,IF(OR(N(对接源_01水果!$B906)&lt;$L$2,N(对接源_01水果!$B906)&gt;$L$3),0,1))</f>
        <v>0</v>
      </c>
      <c r="M906" s="1" t="n">
        <f aca="false">IF(OR($M$1="",对接源_01水果!$C906="",对接源_01水果!$C906&lt;&gt;$M$1,对接源_01水果!$B906=""),0,IF(OR(N(对接源_01水果!$B906)&lt;$M$2,N(对接源_01水果!$B906)&gt;$M$3),0,1))</f>
        <v>0</v>
      </c>
      <c r="N906" s="1" t="n">
        <f aca="false">IF(OR($N$1="",对接源_01水果!$C906="",对接源_01水果!$C906&lt;&gt;$N$1,对接源_01水果!$B906=""),0,IF(OR(N(对接源_01水果!$B906)&lt;$N$2,N(对接源_01水果!$B906)&gt;$N$3),0,1))</f>
        <v>0</v>
      </c>
      <c r="P906" s="1" t="n">
        <f aca="false">IF(AND($K906=1,AND(对接源_01水果!$X906="公司筐",N(对接源_01水果!$T906)&lt;&gt;0)),1,0)</f>
        <v>0</v>
      </c>
      <c r="Q906" s="1" t="n">
        <f aca="false">N(Q905)+$P906</f>
        <v>3</v>
      </c>
      <c r="R906" s="1" t="n">
        <f aca="false">IF(AND($K906=1,AND(对接源_01水果!$X906="公司筐",N(对接源_01水果!$U906)&lt;&gt;0)),1,0)</f>
        <v>0</v>
      </c>
      <c r="S906" s="1" t="n">
        <f aca="false">N(S905)+$R906</f>
        <v>0</v>
      </c>
      <c r="T906" s="1" t="n">
        <f aca="false">IF(AND($K906=1,AND(对接源_01水果!$X906="公司筐",N(对接源_01水果!$V906)&lt;&gt;0)),1,0)</f>
        <v>0</v>
      </c>
      <c r="U906" s="1" t="n">
        <f aca="false">N(U905)+$T906</f>
        <v>28</v>
      </c>
      <c r="V906" s="1" t="n">
        <f aca="false">IF(AND($L906=1,AND(对接源_01水果!$X906="自备筐",N(对接源_01水果!$V906)&lt;&gt;0)),1,0)</f>
        <v>0</v>
      </c>
      <c r="W906" s="1" t="n">
        <f aca="false">N(W905)+$V906</f>
        <v>7</v>
      </c>
      <c r="X906" s="1" t="n">
        <f aca="false">IF(AND($L906=1,AND(对接源_01水果!$X906="自备筐",N(对接源_01水果!$T906)&lt;&gt;0)),1,0)</f>
        <v>0</v>
      </c>
      <c r="Y906" s="1" t="n">
        <f aca="false">N(Y905)+$X906</f>
        <v>0</v>
      </c>
      <c r="Z906" s="1" t="n">
        <f aca="false">IF(AND($M906=1,对接源_01水果!$D906="原料入库"),1,0)</f>
        <v>0</v>
      </c>
      <c r="AA906" s="1" t="n">
        <f aca="false">N(AA905)+$Z906</f>
        <v>30</v>
      </c>
      <c r="AB906" s="1" t="n">
        <f aca="false">IF(AND($M906=1,LEFT(对接源_01水果!$D906,4)="原料出库"),1,0)</f>
        <v>0</v>
      </c>
      <c r="AC906" s="1" t="n">
        <f aca="false">N(AC905)+$AB906</f>
        <v>19</v>
      </c>
      <c r="AD906" s="1" t="n">
        <f aca="false">IF(AND($M906=1,LEFT(对接源_01水果!$D906,4)="成品出库"),1,0)</f>
        <v>0</v>
      </c>
      <c r="AE906" s="1" t="n">
        <f aca="false">N(AE905)+$AD906</f>
        <v>38</v>
      </c>
      <c r="AF906" s="1" t="n">
        <f aca="false">IF(AND($N906=1,AND(LEFT(对接源_01水果!$D906,4)="包装物料",N(对接源_01水果!$K906)&lt;&gt;0)),1,0)</f>
        <v>0</v>
      </c>
      <c r="AG906" s="90" t="str">
        <f aca="false">IF(对接源_01水果!$AC906="","",对接源_01水果!$AC906)</f>
        <v/>
      </c>
      <c r="AH906" s="1" t="n">
        <f aca="false">IF(AND($N906=1,AND(LEFT(对接源_01水果!$D906,3)="周转筐",N(对接源_01水果!$K906)&lt;&gt;0)),1,0)</f>
        <v>0</v>
      </c>
      <c r="AI906" s="90" t="n">
        <f aca="false">IF(AG906="",0,IF(MATCH(AG906,$AG$4:$AG$1203,0)=ROW()-3,1,0))</f>
        <v>0</v>
      </c>
      <c r="AJ906" s="90" t="n">
        <f aca="false">N(AJ905)+AI906</f>
        <v>4</v>
      </c>
      <c r="AK906" s="1" t="n">
        <f aca="false">N(AK905)+$AJ906</f>
        <v>2484</v>
      </c>
    </row>
    <row r="907" customFormat="false" ht="13.5" hidden="false" customHeight="false" outlineLevel="0" collapsed="false">
      <c r="A907" s="1" t="str">
        <f aca="false">IF(对接源_01水果!$C907="","",对接源_01水果!$C907)</f>
        <v/>
      </c>
      <c r="B907" s="1" t="n">
        <f aca="false">IF(A907="",0,IF(MATCH(A907,$A$4:$A$2403,0)=ROW()-3,1,0))</f>
        <v>0</v>
      </c>
      <c r="C907" s="1" t="n">
        <f aca="false">N(C906)+B907</f>
        <v>13</v>
      </c>
      <c r="K907" s="1" t="n">
        <f aca="false">IF(OR($K$1="",对接源_01水果!$C907="",对接源_01水果!$C907&lt;&gt;$K$1,对接源_01水果!$B907=""),0,IF(OR(N(对接源_01水果!$B907)&lt;$K$2,N(对接源_01水果!$B907)&gt;$K$3),0,1))</f>
        <v>0</v>
      </c>
      <c r="L907" s="1" t="n">
        <f aca="false">IF(OR($L$1="",对接源_01水果!$C907="",对接源_01水果!$C907&lt;&gt;$L$1,对接源_01水果!$B907=""),0,IF(OR(N(对接源_01水果!$B907)&lt;$L$2,N(对接源_01水果!$B907)&gt;$L$3),0,1))</f>
        <v>0</v>
      </c>
      <c r="M907" s="1" t="n">
        <f aca="false">IF(OR($M$1="",对接源_01水果!$C907="",对接源_01水果!$C907&lt;&gt;$M$1,对接源_01水果!$B907=""),0,IF(OR(N(对接源_01水果!$B907)&lt;$M$2,N(对接源_01水果!$B907)&gt;$M$3),0,1))</f>
        <v>0</v>
      </c>
      <c r="N907" s="1" t="n">
        <f aca="false">IF(OR($N$1="",对接源_01水果!$C907="",对接源_01水果!$C907&lt;&gt;$N$1,对接源_01水果!$B907=""),0,IF(OR(N(对接源_01水果!$B907)&lt;$N$2,N(对接源_01水果!$B907)&gt;$N$3),0,1))</f>
        <v>0</v>
      </c>
      <c r="P907" s="1" t="n">
        <f aca="false">IF(AND($K907=1,AND(对接源_01水果!$X907="公司筐",N(对接源_01水果!$T907)&lt;&gt;0)),1,0)</f>
        <v>0</v>
      </c>
      <c r="Q907" s="1" t="n">
        <f aca="false">N(Q906)+$P907</f>
        <v>3</v>
      </c>
      <c r="R907" s="1" t="n">
        <f aca="false">IF(AND($K907=1,AND(对接源_01水果!$X907="公司筐",N(对接源_01水果!$U907)&lt;&gt;0)),1,0)</f>
        <v>0</v>
      </c>
      <c r="S907" s="1" t="n">
        <f aca="false">N(S906)+$R907</f>
        <v>0</v>
      </c>
      <c r="T907" s="1" t="n">
        <f aca="false">IF(AND($K907=1,AND(对接源_01水果!$X907="公司筐",N(对接源_01水果!$V907)&lt;&gt;0)),1,0)</f>
        <v>0</v>
      </c>
      <c r="U907" s="1" t="n">
        <f aca="false">N(U906)+$T907</f>
        <v>28</v>
      </c>
      <c r="V907" s="1" t="n">
        <f aca="false">IF(AND($L907=1,AND(对接源_01水果!$X907="自备筐",N(对接源_01水果!$V907)&lt;&gt;0)),1,0)</f>
        <v>0</v>
      </c>
      <c r="W907" s="1" t="n">
        <f aca="false">N(W906)+$V907</f>
        <v>7</v>
      </c>
      <c r="X907" s="1" t="n">
        <f aca="false">IF(AND($L907=1,AND(对接源_01水果!$X907="自备筐",N(对接源_01水果!$T907)&lt;&gt;0)),1,0)</f>
        <v>0</v>
      </c>
      <c r="Y907" s="1" t="n">
        <f aca="false">N(Y906)+$X907</f>
        <v>0</v>
      </c>
      <c r="Z907" s="1" t="n">
        <f aca="false">IF(AND($M907=1,对接源_01水果!$D907="原料入库"),1,0)</f>
        <v>0</v>
      </c>
      <c r="AA907" s="1" t="n">
        <f aca="false">N(AA906)+$Z907</f>
        <v>30</v>
      </c>
      <c r="AB907" s="1" t="n">
        <f aca="false">IF(AND($M907=1,LEFT(对接源_01水果!$D907,4)="原料出库"),1,0)</f>
        <v>0</v>
      </c>
      <c r="AC907" s="1" t="n">
        <f aca="false">N(AC906)+$AB907</f>
        <v>19</v>
      </c>
      <c r="AD907" s="1" t="n">
        <f aca="false">IF(AND($M907=1,LEFT(对接源_01水果!$D907,4)="成品出库"),1,0)</f>
        <v>0</v>
      </c>
      <c r="AE907" s="1" t="n">
        <f aca="false">N(AE906)+$AD907</f>
        <v>38</v>
      </c>
      <c r="AF907" s="1" t="n">
        <f aca="false">IF(AND($N907=1,AND(LEFT(对接源_01水果!$D907,4)="包装物料",N(对接源_01水果!$K907)&lt;&gt;0)),1,0)</f>
        <v>0</v>
      </c>
      <c r="AG907" s="90" t="str">
        <f aca="false">IF(对接源_01水果!$AC907="","",对接源_01水果!$AC907)</f>
        <v/>
      </c>
      <c r="AH907" s="1" t="n">
        <f aca="false">IF(AND($N907=1,AND(LEFT(对接源_01水果!$D907,3)="周转筐",N(对接源_01水果!$K907)&lt;&gt;0)),1,0)</f>
        <v>0</v>
      </c>
      <c r="AI907" s="90" t="n">
        <f aca="false">IF(AG907="",0,IF(MATCH(AG907,$AG$4:$AG$1203,0)=ROW()-3,1,0))</f>
        <v>0</v>
      </c>
      <c r="AJ907" s="90" t="n">
        <f aca="false">N(AJ906)+AI907</f>
        <v>4</v>
      </c>
      <c r="AK907" s="1" t="n">
        <f aca="false">N(AK906)+$AJ907</f>
        <v>2488</v>
      </c>
    </row>
    <row r="908" customFormat="false" ht="13.5" hidden="false" customHeight="false" outlineLevel="0" collapsed="false">
      <c r="A908" s="1" t="str">
        <f aca="false">IF(对接源_01水果!$C908="","",对接源_01水果!$C908)</f>
        <v/>
      </c>
      <c r="B908" s="1" t="n">
        <f aca="false">IF(A908="",0,IF(MATCH(A908,$A$4:$A$2403,0)=ROW()-3,1,0))</f>
        <v>0</v>
      </c>
      <c r="C908" s="1" t="n">
        <f aca="false">N(C907)+B908</f>
        <v>13</v>
      </c>
      <c r="K908" s="1" t="n">
        <f aca="false">IF(OR($K$1="",对接源_01水果!$C908="",对接源_01水果!$C908&lt;&gt;$K$1,对接源_01水果!$B908=""),0,IF(OR(N(对接源_01水果!$B908)&lt;$K$2,N(对接源_01水果!$B908)&gt;$K$3),0,1))</f>
        <v>0</v>
      </c>
      <c r="L908" s="1" t="n">
        <f aca="false">IF(OR($L$1="",对接源_01水果!$C908="",对接源_01水果!$C908&lt;&gt;$L$1,对接源_01水果!$B908=""),0,IF(OR(N(对接源_01水果!$B908)&lt;$L$2,N(对接源_01水果!$B908)&gt;$L$3),0,1))</f>
        <v>0</v>
      </c>
      <c r="M908" s="1" t="n">
        <f aca="false">IF(OR($M$1="",对接源_01水果!$C908="",对接源_01水果!$C908&lt;&gt;$M$1,对接源_01水果!$B908=""),0,IF(OR(N(对接源_01水果!$B908)&lt;$M$2,N(对接源_01水果!$B908)&gt;$M$3),0,1))</f>
        <v>0</v>
      </c>
      <c r="N908" s="1" t="n">
        <f aca="false">IF(OR($N$1="",对接源_01水果!$C908="",对接源_01水果!$C908&lt;&gt;$N$1,对接源_01水果!$B908=""),0,IF(OR(N(对接源_01水果!$B908)&lt;$N$2,N(对接源_01水果!$B908)&gt;$N$3),0,1))</f>
        <v>0</v>
      </c>
      <c r="P908" s="1" t="n">
        <f aca="false">IF(AND($K908=1,AND(对接源_01水果!$X908="公司筐",N(对接源_01水果!$T908)&lt;&gt;0)),1,0)</f>
        <v>0</v>
      </c>
      <c r="Q908" s="1" t="n">
        <f aca="false">N(Q907)+$P908</f>
        <v>3</v>
      </c>
      <c r="R908" s="1" t="n">
        <f aca="false">IF(AND($K908=1,AND(对接源_01水果!$X908="公司筐",N(对接源_01水果!$U908)&lt;&gt;0)),1,0)</f>
        <v>0</v>
      </c>
      <c r="S908" s="1" t="n">
        <f aca="false">N(S907)+$R908</f>
        <v>0</v>
      </c>
      <c r="T908" s="1" t="n">
        <f aca="false">IF(AND($K908=1,AND(对接源_01水果!$X908="公司筐",N(对接源_01水果!$V908)&lt;&gt;0)),1,0)</f>
        <v>0</v>
      </c>
      <c r="U908" s="1" t="n">
        <f aca="false">N(U907)+$T908</f>
        <v>28</v>
      </c>
      <c r="V908" s="1" t="n">
        <f aca="false">IF(AND($L908=1,AND(对接源_01水果!$X908="自备筐",N(对接源_01水果!$V908)&lt;&gt;0)),1,0)</f>
        <v>0</v>
      </c>
      <c r="W908" s="1" t="n">
        <f aca="false">N(W907)+$V908</f>
        <v>7</v>
      </c>
      <c r="X908" s="1" t="n">
        <f aca="false">IF(AND($L908=1,AND(对接源_01水果!$X908="自备筐",N(对接源_01水果!$T908)&lt;&gt;0)),1,0)</f>
        <v>0</v>
      </c>
      <c r="Y908" s="1" t="n">
        <f aca="false">N(Y907)+$X908</f>
        <v>0</v>
      </c>
      <c r="Z908" s="1" t="n">
        <f aca="false">IF(AND($M908=1,对接源_01水果!$D908="原料入库"),1,0)</f>
        <v>0</v>
      </c>
      <c r="AA908" s="1" t="n">
        <f aca="false">N(AA907)+$Z908</f>
        <v>30</v>
      </c>
      <c r="AB908" s="1" t="n">
        <f aca="false">IF(AND($M908=1,LEFT(对接源_01水果!$D908,4)="原料出库"),1,0)</f>
        <v>0</v>
      </c>
      <c r="AC908" s="1" t="n">
        <f aca="false">N(AC907)+$AB908</f>
        <v>19</v>
      </c>
      <c r="AD908" s="1" t="n">
        <f aca="false">IF(AND($M908=1,LEFT(对接源_01水果!$D908,4)="成品出库"),1,0)</f>
        <v>0</v>
      </c>
      <c r="AE908" s="1" t="n">
        <f aca="false">N(AE907)+$AD908</f>
        <v>38</v>
      </c>
      <c r="AF908" s="1" t="n">
        <f aca="false">IF(AND($N908=1,AND(LEFT(对接源_01水果!$D908,4)="包装物料",N(对接源_01水果!$K908)&lt;&gt;0)),1,0)</f>
        <v>0</v>
      </c>
      <c r="AG908" s="90" t="str">
        <f aca="false">IF(对接源_01水果!$AC908="","",对接源_01水果!$AC908)</f>
        <v/>
      </c>
      <c r="AH908" s="1" t="n">
        <f aca="false">IF(AND($N908=1,AND(LEFT(对接源_01水果!$D908,3)="周转筐",N(对接源_01水果!$K908)&lt;&gt;0)),1,0)</f>
        <v>0</v>
      </c>
      <c r="AI908" s="90" t="n">
        <f aca="false">IF(AG908="",0,IF(MATCH(AG908,$AG$4:$AG$1203,0)=ROW()-3,1,0))</f>
        <v>0</v>
      </c>
      <c r="AJ908" s="90" t="n">
        <f aca="false">N(AJ907)+AI908</f>
        <v>4</v>
      </c>
      <c r="AK908" s="1" t="n">
        <f aca="false">N(AK907)+$AJ908</f>
        <v>2492</v>
      </c>
    </row>
    <row r="909" customFormat="false" ht="13.5" hidden="false" customHeight="false" outlineLevel="0" collapsed="false">
      <c r="A909" s="1" t="str">
        <f aca="false">IF(对接源_01水果!$C909="","",对接源_01水果!$C909)</f>
        <v/>
      </c>
      <c r="B909" s="1" t="n">
        <f aca="false">IF(A909="",0,IF(MATCH(A909,$A$4:$A$2403,0)=ROW()-3,1,0))</f>
        <v>0</v>
      </c>
      <c r="C909" s="1" t="n">
        <f aca="false">N(C908)+B909</f>
        <v>13</v>
      </c>
      <c r="K909" s="1" t="n">
        <f aca="false">IF(OR($K$1="",对接源_01水果!$C909="",对接源_01水果!$C909&lt;&gt;$K$1,对接源_01水果!$B909=""),0,IF(OR(N(对接源_01水果!$B909)&lt;$K$2,N(对接源_01水果!$B909)&gt;$K$3),0,1))</f>
        <v>0</v>
      </c>
      <c r="L909" s="1" t="n">
        <f aca="false">IF(OR($L$1="",对接源_01水果!$C909="",对接源_01水果!$C909&lt;&gt;$L$1,对接源_01水果!$B909=""),0,IF(OR(N(对接源_01水果!$B909)&lt;$L$2,N(对接源_01水果!$B909)&gt;$L$3),0,1))</f>
        <v>0</v>
      </c>
      <c r="M909" s="1" t="n">
        <f aca="false">IF(OR($M$1="",对接源_01水果!$C909="",对接源_01水果!$C909&lt;&gt;$M$1,对接源_01水果!$B909=""),0,IF(OR(N(对接源_01水果!$B909)&lt;$M$2,N(对接源_01水果!$B909)&gt;$M$3),0,1))</f>
        <v>0</v>
      </c>
      <c r="N909" s="1" t="n">
        <f aca="false">IF(OR($N$1="",对接源_01水果!$C909="",对接源_01水果!$C909&lt;&gt;$N$1,对接源_01水果!$B909=""),0,IF(OR(N(对接源_01水果!$B909)&lt;$N$2,N(对接源_01水果!$B909)&gt;$N$3),0,1))</f>
        <v>0</v>
      </c>
      <c r="P909" s="1" t="n">
        <f aca="false">IF(AND($K909=1,AND(对接源_01水果!$X909="公司筐",N(对接源_01水果!$T909)&lt;&gt;0)),1,0)</f>
        <v>0</v>
      </c>
      <c r="Q909" s="1" t="n">
        <f aca="false">N(Q908)+$P909</f>
        <v>3</v>
      </c>
      <c r="R909" s="1" t="n">
        <f aca="false">IF(AND($K909=1,AND(对接源_01水果!$X909="公司筐",N(对接源_01水果!$U909)&lt;&gt;0)),1,0)</f>
        <v>0</v>
      </c>
      <c r="S909" s="1" t="n">
        <f aca="false">N(S908)+$R909</f>
        <v>0</v>
      </c>
      <c r="T909" s="1" t="n">
        <f aca="false">IF(AND($K909=1,AND(对接源_01水果!$X909="公司筐",N(对接源_01水果!$V909)&lt;&gt;0)),1,0)</f>
        <v>0</v>
      </c>
      <c r="U909" s="1" t="n">
        <f aca="false">N(U908)+$T909</f>
        <v>28</v>
      </c>
      <c r="V909" s="1" t="n">
        <f aca="false">IF(AND($L909=1,AND(对接源_01水果!$X909="自备筐",N(对接源_01水果!$V909)&lt;&gt;0)),1,0)</f>
        <v>0</v>
      </c>
      <c r="W909" s="1" t="n">
        <f aca="false">N(W908)+$V909</f>
        <v>7</v>
      </c>
      <c r="X909" s="1" t="n">
        <f aca="false">IF(AND($L909=1,AND(对接源_01水果!$X909="自备筐",N(对接源_01水果!$T909)&lt;&gt;0)),1,0)</f>
        <v>0</v>
      </c>
      <c r="Y909" s="1" t="n">
        <f aca="false">N(Y908)+$X909</f>
        <v>0</v>
      </c>
      <c r="Z909" s="1" t="n">
        <f aca="false">IF(AND($M909=1,对接源_01水果!$D909="原料入库"),1,0)</f>
        <v>0</v>
      </c>
      <c r="AA909" s="1" t="n">
        <f aca="false">N(AA908)+$Z909</f>
        <v>30</v>
      </c>
      <c r="AB909" s="1" t="n">
        <f aca="false">IF(AND($M909=1,LEFT(对接源_01水果!$D909,4)="原料出库"),1,0)</f>
        <v>0</v>
      </c>
      <c r="AC909" s="1" t="n">
        <f aca="false">N(AC908)+$AB909</f>
        <v>19</v>
      </c>
      <c r="AD909" s="1" t="n">
        <f aca="false">IF(AND($M909=1,LEFT(对接源_01水果!$D909,4)="成品出库"),1,0)</f>
        <v>0</v>
      </c>
      <c r="AE909" s="1" t="n">
        <f aca="false">N(AE908)+$AD909</f>
        <v>38</v>
      </c>
      <c r="AF909" s="1" t="n">
        <f aca="false">IF(AND($N909=1,AND(LEFT(对接源_01水果!$D909,4)="包装物料",N(对接源_01水果!$K909)&lt;&gt;0)),1,0)</f>
        <v>0</v>
      </c>
      <c r="AG909" s="90" t="str">
        <f aca="false">IF(对接源_01水果!$AC909="","",对接源_01水果!$AC909)</f>
        <v/>
      </c>
      <c r="AH909" s="1" t="n">
        <f aca="false">IF(AND($N909=1,AND(LEFT(对接源_01水果!$D909,3)="周转筐",N(对接源_01水果!$K909)&lt;&gt;0)),1,0)</f>
        <v>0</v>
      </c>
      <c r="AI909" s="90" t="n">
        <f aca="false">IF(AG909="",0,IF(MATCH(AG909,$AG$4:$AG$1203,0)=ROW()-3,1,0))</f>
        <v>0</v>
      </c>
      <c r="AJ909" s="90" t="n">
        <f aca="false">N(AJ908)+AI909</f>
        <v>4</v>
      </c>
      <c r="AK909" s="1" t="n">
        <f aca="false">N(AK908)+$AJ909</f>
        <v>2496</v>
      </c>
    </row>
    <row r="910" customFormat="false" ht="13.5" hidden="false" customHeight="false" outlineLevel="0" collapsed="false">
      <c r="A910" s="1" t="str">
        <f aca="false">IF(对接源_01水果!$C910="","",对接源_01水果!$C910)</f>
        <v/>
      </c>
      <c r="B910" s="1" t="n">
        <f aca="false">IF(A910="",0,IF(MATCH(A910,$A$4:$A$2403,0)=ROW()-3,1,0))</f>
        <v>0</v>
      </c>
      <c r="C910" s="1" t="n">
        <f aca="false">N(C909)+B910</f>
        <v>13</v>
      </c>
      <c r="K910" s="1" t="n">
        <f aca="false">IF(OR($K$1="",对接源_01水果!$C910="",对接源_01水果!$C910&lt;&gt;$K$1,对接源_01水果!$B910=""),0,IF(OR(N(对接源_01水果!$B910)&lt;$K$2,N(对接源_01水果!$B910)&gt;$K$3),0,1))</f>
        <v>0</v>
      </c>
      <c r="L910" s="1" t="n">
        <f aca="false">IF(OR($L$1="",对接源_01水果!$C910="",对接源_01水果!$C910&lt;&gt;$L$1,对接源_01水果!$B910=""),0,IF(OR(N(对接源_01水果!$B910)&lt;$L$2,N(对接源_01水果!$B910)&gt;$L$3),0,1))</f>
        <v>0</v>
      </c>
      <c r="M910" s="1" t="n">
        <f aca="false">IF(OR($M$1="",对接源_01水果!$C910="",对接源_01水果!$C910&lt;&gt;$M$1,对接源_01水果!$B910=""),0,IF(OR(N(对接源_01水果!$B910)&lt;$M$2,N(对接源_01水果!$B910)&gt;$M$3),0,1))</f>
        <v>0</v>
      </c>
      <c r="N910" s="1" t="n">
        <f aca="false">IF(OR($N$1="",对接源_01水果!$C910="",对接源_01水果!$C910&lt;&gt;$N$1,对接源_01水果!$B910=""),0,IF(OR(N(对接源_01水果!$B910)&lt;$N$2,N(对接源_01水果!$B910)&gt;$N$3),0,1))</f>
        <v>0</v>
      </c>
      <c r="P910" s="1" t="n">
        <f aca="false">IF(AND($K910=1,AND(对接源_01水果!$X910="公司筐",N(对接源_01水果!$T910)&lt;&gt;0)),1,0)</f>
        <v>0</v>
      </c>
      <c r="Q910" s="1" t="n">
        <f aca="false">N(Q909)+$P910</f>
        <v>3</v>
      </c>
      <c r="R910" s="1" t="n">
        <f aca="false">IF(AND($K910=1,AND(对接源_01水果!$X910="公司筐",N(对接源_01水果!$U910)&lt;&gt;0)),1,0)</f>
        <v>0</v>
      </c>
      <c r="S910" s="1" t="n">
        <f aca="false">N(S909)+$R910</f>
        <v>0</v>
      </c>
      <c r="T910" s="1" t="n">
        <f aca="false">IF(AND($K910=1,AND(对接源_01水果!$X910="公司筐",N(对接源_01水果!$V910)&lt;&gt;0)),1,0)</f>
        <v>0</v>
      </c>
      <c r="U910" s="1" t="n">
        <f aca="false">N(U909)+$T910</f>
        <v>28</v>
      </c>
      <c r="V910" s="1" t="n">
        <f aca="false">IF(AND($L910=1,AND(对接源_01水果!$X910="自备筐",N(对接源_01水果!$V910)&lt;&gt;0)),1,0)</f>
        <v>0</v>
      </c>
      <c r="W910" s="1" t="n">
        <f aca="false">N(W909)+$V910</f>
        <v>7</v>
      </c>
      <c r="X910" s="1" t="n">
        <f aca="false">IF(AND($L910=1,AND(对接源_01水果!$X910="自备筐",N(对接源_01水果!$T910)&lt;&gt;0)),1,0)</f>
        <v>0</v>
      </c>
      <c r="Y910" s="1" t="n">
        <f aca="false">N(Y909)+$X910</f>
        <v>0</v>
      </c>
      <c r="Z910" s="1" t="n">
        <f aca="false">IF(AND($M910=1,对接源_01水果!$D910="原料入库"),1,0)</f>
        <v>0</v>
      </c>
      <c r="AA910" s="1" t="n">
        <f aca="false">N(AA909)+$Z910</f>
        <v>30</v>
      </c>
      <c r="AB910" s="1" t="n">
        <f aca="false">IF(AND($M910=1,LEFT(对接源_01水果!$D910,4)="原料出库"),1,0)</f>
        <v>0</v>
      </c>
      <c r="AC910" s="1" t="n">
        <f aca="false">N(AC909)+$AB910</f>
        <v>19</v>
      </c>
      <c r="AD910" s="1" t="n">
        <f aca="false">IF(AND($M910=1,LEFT(对接源_01水果!$D910,4)="成品出库"),1,0)</f>
        <v>0</v>
      </c>
      <c r="AE910" s="1" t="n">
        <f aca="false">N(AE909)+$AD910</f>
        <v>38</v>
      </c>
      <c r="AF910" s="1" t="n">
        <f aca="false">IF(AND($N910=1,AND(LEFT(对接源_01水果!$D910,4)="包装物料",N(对接源_01水果!$K910)&lt;&gt;0)),1,0)</f>
        <v>0</v>
      </c>
      <c r="AG910" s="90" t="str">
        <f aca="false">IF(对接源_01水果!$AC910="","",对接源_01水果!$AC910)</f>
        <v/>
      </c>
      <c r="AH910" s="1" t="n">
        <f aca="false">IF(AND($N910=1,AND(LEFT(对接源_01水果!$D910,3)="周转筐",N(对接源_01水果!$K910)&lt;&gt;0)),1,0)</f>
        <v>0</v>
      </c>
      <c r="AI910" s="90" t="n">
        <f aca="false">IF(AG910="",0,IF(MATCH(AG910,$AG$4:$AG$1203,0)=ROW()-3,1,0))</f>
        <v>0</v>
      </c>
      <c r="AJ910" s="90" t="n">
        <f aca="false">N(AJ909)+AI910</f>
        <v>4</v>
      </c>
      <c r="AK910" s="1" t="n">
        <f aca="false">N(AK909)+$AJ910</f>
        <v>2500</v>
      </c>
    </row>
    <row r="911" customFormat="false" ht="13.5" hidden="false" customHeight="false" outlineLevel="0" collapsed="false">
      <c r="A911" s="1" t="str">
        <f aca="false">IF(对接源_01水果!$C911="","",对接源_01水果!$C911)</f>
        <v/>
      </c>
      <c r="B911" s="1" t="n">
        <f aca="false">IF(A911="",0,IF(MATCH(A911,$A$4:$A$2403,0)=ROW()-3,1,0))</f>
        <v>0</v>
      </c>
      <c r="C911" s="1" t="n">
        <f aca="false">N(C910)+B911</f>
        <v>13</v>
      </c>
      <c r="K911" s="1" t="n">
        <f aca="false">IF(OR($K$1="",对接源_01水果!$C911="",对接源_01水果!$C911&lt;&gt;$K$1,对接源_01水果!$B911=""),0,IF(OR(N(对接源_01水果!$B911)&lt;$K$2,N(对接源_01水果!$B911)&gt;$K$3),0,1))</f>
        <v>0</v>
      </c>
      <c r="L911" s="1" t="n">
        <f aca="false">IF(OR($L$1="",对接源_01水果!$C911="",对接源_01水果!$C911&lt;&gt;$L$1,对接源_01水果!$B911=""),0,IF(OR(N(对接源_01水果!$B911)&lt;$L$2,N(对接源_01水果!$B911)&gt;$L$3),0,1))</f>
        <v>0</v>
      </c>
      <c r="M911" s="1" t="n">
        <f aca="false">IF(OR($M$1="",对接源_01水果!$C911="",对接源_01水果!$C911&lt;&gt;$M$1,对接源_01水果!$B911=""),0,IF(OR(N(对接源_01水果!$B911)&lt;$M$2,N(对接源_01水果!$B911)&gt;$M$3),0,1))</f>
        <v>0</v>
      </c>
      <c r="N911" s="1" t="n">
        <f aca="false">IF(OR($N$1="",对接源_01水果!$C911="",对接源_01水果!$C911&lt;&gt;$N$1,对接源_01水果!$B911=""),0,IF(OR(N(对接源_01水果!$B911)&lt;$N$2,N(对接源_01水果!$B911)&gt;$N$3),0,1))</f>
        <v>0</v>
      </c>
      <c r="P911" s="1" t="n">
        <f aca="false">IF(AND($K911=1,AND(对接源_01水果!$X911="公司筐",N(对接源_01水果!$T911)&lt;&gt;0)),1,0)</f>
        <v>0</v>
      </c>
      <c r="Q911" s="1" t="n">
        <f aca="false">N(Q910)+$P911</f>
        <v>3</v>
      </c>
      <c r="R911" s="1" t="n">
        <f aca="false">IF(AND($K911=1,AND(对接源_01水果!$X911="公司筐",N(对接源_01水果!$U911)&lt;&gt;0)),1,0)</f>
        <v>0</v>
      </c>
      <c r="S911" s="1" t="n">
        <f aca="false">N(S910)+$R911</f>
        <v>0</v>
      </c>
      <c r="T911" s="1" t="n">
        <f aca="false">IF(AND($K911=1,AND(对接源_01水果!$X911="公司筐",N(对接源_01水果!$V911)&lt;&gt;0)),1,0)</f>
        <v>0</v>
      </c>
      <c r="U911" s="1" t="n">
        <f aca="false">N(U910)+$T911</f>
        <v>28</v>
      </c>
      <c r="V911" s="1" t="n">
        <f aca="false">IF(AND($L911=1,AND(对接源_01水果!$X911="自备筐",N(对接源_01水果!$V911)&lt;&gt;0)),1,0)</f>
        <v>0</v>
      </c>
      <c r="W911" s="1" t="n">
        <f aca="false">N(W910)+$V911</f>
        <v>7</v>
      </c>
      <c r="X911" s="1" t="n">
        <f aca="false">IF(AND($L911=1,AND(对接源_01水果!$X911="自备筐",N(对接源_01水果!$T911)&lt;&gt;0)),1,0)</f>
        <v>0</v>
      </c>
      <c r="Y911" s="1" t="n">
        <f aca="false">N(Y910)+$X911</f>
        <v>0</v>
      </c>
      <c r="Z911" s="1" t="n">
        <f aca="false">IF(AND($M911=1,对接源_01水果!$D911="原料入库"),1,0)</f>
        <v>0</v>
      </c>
      <c r="AA911" s="1" t="n">
        <f aca="false">N(AA910)+$Z911</f>
        <v>30</v>
      </c>
      <c r="AB911" s="1" t="n">
        <f aca="false">IF(AND($M911=1,LEFT(对接源_01水果!$D911,4)="原料出库"),1,0)</f>
        <v>0</v>
      </c>
      <c r="AC911" s="1" t="n">
        <f aca="false">N(AC910)+$AB911</f>
        <v>19</v>
      </c>
      <c r="AD911" s="1" t="n">
        <f aca="false">IF(AND($M911=1,LEFT(对接源_01水果!$D911,4)="成品出库"),1,0)</f>
        <v>0</v>
      </c>
      <c r="AE911" s="1" t="n">
        <f aca="false">N(AE910)+$AD911</f>
        <v>38</v>
      </c>
      <c r="AF911" s="1" t="n">
        <f aca="false">IF(AND($N911=1,AND(LEFT(对接源_01水果!$D911,4)="包装物料",N(对接源_01水果!$K911)&lt;&gt;0)),1,0)</f>
        <v>0</v>
      </c>
      <c r="AG911" s="90" t="str">
        <f aca="false">IF(对接源_01水果!$AC911="","",对接源_01水果!$AC911)</f>
        <v/>
      </c>
      <c r="AH911" s="1" t="n">
        <f aca="false">IF(AND($N911=1,AND(LEFT(对接源_01水果!$D911,3)="周转筐",N(对接源_01水果!$K911)&lt;&gt;0)),1,0)</f>
        <v>0</v>
      </c>
      <c r="AI911" s="90" t="n">
        <f aca="false">IF(AG911="",0,IF(MATCH(AG911,$AG$4:$AG$1203,0)=ROW()-3,1,0))</f>
        <v>0</v>
      </c>
      <c r="AJ911" s="90" t="n">
        <f aca="false">N(AJ910)+AI911</f>
        <v>4</v>
      </c>
      <c r="AK911" s="1" t="n">
        <f aca="false">N(AK910)+$AJ911</f>
        <v>2504</v>
      </c>
    </row>
    <row r="912" customFormat="false" ht="13.5" hidden="false" customHeight="false" outlineLevel="0" collapsed="false">
      <c r="A912" s="1" t="str">
        <f aca="false">IF(对接源_01水果!$C912="","",对接源_01水果!$C912)</f>
        <v/>
      </c>
      <c r="B912" s="1" t="n">
        <f aca="false">IF(A912="",0,IF(MATCH(A912,$A$4:$A$2403,0)=ROW()-3,1,0))</f>
        <v>0</v>
      </c>
      <c r="C912" s="1" t="n">
        <f aca="false">N(C911)+B912</f>
        <v>13</v>
      </c>
      <c r="K912" s="1" t="n">
        <f aca="false">IF(OR($K$1="",对接源_01水果!$C912="",对接源_01水果!$C912&lt;&gt;$K$1,对接源_01水果!$B912=""),0,IF(OR(N(对接源_01水果!$B912)&lt;$K$2,N(对接源_01水果!$B912)&gt;$K$3),0,1))</f>
        <v>0</v>
      </c>
      <c r="L912" s="1" t="n">
        <f aca="false">IF(OR($L$1="",对接源_01水果!$C912="",对接源_01水果!$C912&lt;&gt;$L$1,对接源_01水果!$B912=""),0,IF(OR(N(对接源_01水果!$B912)&lt;$L$2,N(对接源_01水果!$B912)&gt;$L$3),0,1))</f>
        <v>0</v>
      </c>
      <c r="M912" s="1" t="n">
        <f aca="false">IF(OR($M$1="",对接源_01水果!$C912="",对接源_01水果!$C912&lt;&gt;$M$1,对接源_01水果!$B912=""),0,IF(OR(N(对接源_01水果!$B912)&lt;$M$2,N(对接源_01水果!$B912)&gt;$M$3),0,1))</f>
        <v>0</v>
      </c>
      <c r="N912" s="1" t="n">
        <f aca="false">IF(OR($N$1="",对接源_01水果!$C912="",对接源_01水果!$C912&lt;&gt;$N$1,对接源_01水果!$B912=""),0,IF(OR(N(对接源_01水果!$B912)&lt;$N$2,N(对接源_01水果!$B912)&gt;$N$3),0,1))</f>
        <v>0</v>
      </c>
      <c r="P912" s="1" t="n">
        <f aca="false">IF(AND($K912=1,AND(对接源_01水果!$X912="公司筐",N(对接源_01水果!$T912)&lt;&gt;0)),1,0)</f>
        <v>0</v>
      </c>
      <c r="Q912" s="1" t="n">
        <f aca="false">N(Q911)+$P912</f>
        <v>3</v>
      </c>
      <c r="R912" s="1" t="n">
        <f aca="false">IF(AND($K912=1,AND(对接源_01水果!$X912="公司筐",N(对接源_01水果!$U912)&lt;&gt;0)),1,0)</f>
        <v>0</v>
      </c>
      <c r="S912" s="1" t="n">
        <f aca="false">N(S911)+$R912</f>
        <v>0</v>
      </c>
      <c r="T912" s="1" t="n">
        <f aca="false">IF(AND($K912=1,AND(对接源_01水果!$X912="公司筐",N(对接源_01水果!$V912)&lt;&gt;0)),1,0)</f>
        <v>0</v>
      </c>
      <c r="U912" s="1" t="n">
        <f aca="false">N(U911)+$T912</f>
        <v>28</v>
      </c>
      <c r="V912" s="1" t="n">
        <f aca="false">IF(AND($L912=1,AND(对接源_01水果!$X912="自备筐",N(对接源_01水果!$V912)&lt;&gt;0)),1,0)</f>
        <v>0</v>
      </c>
      <c r="W912" s="1" t="n">
        <f aca="false">N(W911)+$V912</f>
        <v>7</v>
      </c>
      <c r="X912" s="1" t="n">
        <f aca="false">IF(AND($L912=1,AND(对接源_01水果!$X912="自备筐",N(对接源_01水果!$T912)&lt;&gt;0)),1,0)</f>
        <v>0</v>
      </c>
      <c r="Y912" s="1" t="n">
        <f aca="false">N(Y911)+$X912</f>
        <v>0</v>
      </c>
      <c r="Z912" s="1" t="n">
        <f aca="false">IF(AND($M912=1,对接源_01水果!$D912="原料入库"),1,0)</f>
        <v>0</v>
      </c>
      <c r="AA912" s="1" t="n">
        <f aca="false">N(AA911)+$Z912</f>
        <v>30</v>
      </c>
      <c r="AB912" s="1" t="n">
        <f aca="false">IF(AND($M912=1,LEFT(对接源_01水果!$D912,4)="原料出库"),1,0)</f>
        <v>0</v>
      </c>
      <c r="AC912" s="1" t="n">
        <f aca="false">N(AC911)+$AB912</f>
        <v>19</v>
      </c>
      <c r="AD912" s="1" t="n">
        <f aca="false">IF(AND($M912=1,LEFT(对接源_01水果!$D912,4)="成品出库"),1,0)</f>
        <v>0</v>
      </c>
      <c r="AE912" s="1" t="n">
        <f aca="false">N(AE911)+$AD912</f>
        <v>38</v>
      </c>
      <c r="AF912" s="1" t="n">
        <f aca="false">IF(AND($N912=1,AND(LEFT(对接源_01水果!$D912,4)="包装物料",N(对接源_01水果!$K912)&lt;&gt;0)),1,0)</f>
        <v>0</v>
      </c>
      <c r="AG912" s="90" t="str">
        <f aca="false">IF(对接源_01水果!$AC912="","",对接源_01水果!$AC912)</f>
        <v/>
      </c>
      <c r="AH912" s="1" t="n">
        <f aca="false">IF(AND($N912=1,AND(LEFT(对接源_01水果!$D912,3)="周转筐",N(对接源_01水果!$K912)&lt;&gt;0)),1,0)</f>
        <v>0</v>
      </c>
      <c r="AI912" s="90" t="n">
        <f aca="false">IF(AG912="",0,IF(MATCH(AG912,$AG$4:$AG$1203,0)=ROW()-3,1,0))</f>
        <v>0</v>
      </c>
      <c r="AJ912" s="90" t="n">
        <f aca="false">N(AJ911)+AI912</f>
        <v>4</v>
      </c>
      <c r="AK912" s="1" t="n">
        <f aca="false">N(AK911)+$AJ912</f>
        <v>2508</v>
      </c>
    </row>
    <row r="913" customFormat="false" ht="13.5" hidden="false" customHeight="false" outlineLevel="0" collapsed="false">
      <c r="A913" s="1" t="str">
        <f aca="false">IF(对接源_01水果!$C913="","",对接源_01水果!$C913)</f>
        <v/>
      </c>
      <c r="B913" s="1" t="n">
        <f aca="false">IF(A913="",0,IF(MATCH(A913,$A$4:$A$2403,0)=ROW()-3,1,0))</f>
        <v>0</v>
      </c>
      <c r="C913" s="1" t="n">
        <f aca="false">N(C912)+B913</f>
        <v>13</v>
      </c>
      <c r="K913" s="1" t="n">
        <f aca="false">IF(OR($K$1="",对接源_01水果!$C913="",对接源_01水果!$C913&lt;&gt;$K$1,对接源_01水果!$B913=""),0,IF(OR(N(对接源_01水果!$B913)&lt;$K$2,N(对接源_01水果!$B913)&gt;$K$3),0,1))</f>
        <v>0</v>
      </c>
      <c r="L913" s="1" t="n">
        <f aca="false">IF(OR($L$1="",对接源_01水果!$C913="",对接源_01水果!$C913&lt;&gt;$L$1,对接源_01水果!$B913=""),0,IF(OR(N(对接源_01水果!$B913)&lt;$L$2,N(对接源_01水果!$B913)&gt;$L$3),0,1))</f>
        <v>0</v>
      </c>
      <c r="M913" s="1" t="n">
        <f aca="false">IF(OR($M$1="",对接源_01水果!$C913="",对接源_01水果!$C913&lt;&gt;$M$1,对接源_01水果!$B913=""),0,IF(OR(N(对接源_01水果!$B913)&lt;$M$2,N(对接源_01水果!$B913)&gt;$M$3),0,1))</f>
        <v>0</v>
      </c>
      <c r="N913" s="1" t="n">
        <f aca="false">IF(OR($N$1="",对接源_01水果!$C913="",对接源_01水果!$C913&lt;&gt;$N$1,对接源_01水果!$B913=""),0,IF(OR(N(对接源_01水果!$B913)&lt;$N$2,N(对接源_01水果!$B913)&gt;$N$3),0,1))</f>
        <v>0</v>
      </c>
      <c r="P913" s="1" t="n">
        <f aca="false">IF(AND($K913=1,AND(对接源_01水果!$X913="公司筐",N(对接源_01水果!$T913)&lt;&gt;0)),1,0)</f>
        <v>0</v>
      </c>
      <c r="Q913" s="1" t="n">
        <f aca="false">N(Q912)+$P913</f>
        <v>3</v>
      </c>
      <c r="R913" s="1" t="n">
        <f aca="false">IF(AND($K913=1,AND(对接源_01水果!$X913="公司筐",N(对接源_01水果!$U913)&lt;&gt;0)),1,0)</f>
        <v>0</v>
      </c>
      <c r="S913" s="1" t="n">
        <f aca="false">N(S912)+$R913</f>
        <v>0</v>
      </c>
      <c r="T913" s="1" t="n">
        <f aca="false">IF(AND($K913=1,AND(对接源_01水果!$X913="公司筐",N(对接源_01水果!$V913)&lt;&gt;0)),1,0)</f>
        <v>0</v>
      </c>
      <c r="U913" s="1" t="n">
        <f aca="false">N(U912)+$T913</f>
        <v>28</v>
      </c>
      <c r="V913" s="1" t="n">
        <f aca="false">IF(AND($L913=1,AND(对接源_01水果!$X913="自备筐",N(对接源_01水果!$V913)&lt;&gt;0)),1,0)</f>
        <v>0</v>
      </c>
      <c r="W913" s="1" t="n">
        <f aca="false">N(W912)+$V913</f>
        <v>7</v>
      </c>
      <c r="X913" s="1" t="n">
        <f aca="false">IF(AND($L913=1,AND(对接源_01水果!$X913="自备筐",N(对接源_01水果!$T913)&lt;&gt;0)),1,0)</f>
        <v>0</v>
      </c>
      <c r="Y913" s="1" t="n">
        <f aca="false">N(Y912)+$X913</f>
        <v>0</v>
      </c>
      <c r="Z913" s="1" t="n">
        <f aca="false">IF(AND($M913=1,对接源_01水果!$D913="原料入库"),1,0)</f>
        <v>0</v>
      </c>
      <c r="AA913" s="1" t="n">
        <f aca="false">N(AA912)+$Z913</f>
        <v>30</v>
      </c>
      <c r="AB913" s="1" t="n">
        <f aca="false">IF(AND($M913=1,LEFT(对接源_01水果!$D913,4)="原料出库"),1,0)</f>
        <v>0</v>
      </c>
      <c r="AC913" s="1" t="n">
        <f aca="false">N(AC912)+$AB913</f>
        <v>19</v>
      </c>
      <c r="AD913" s="1" t="n">
        <f aca="false">IF(AND($M913=1,LEFT(对接源_01水果!$D913,4)="成品出库"),1,0)</f>
        <v>0</v>
      </c>
      <c r="AE913" s="1" t="n">
        <f aca="false">N(AE912)+$AD913</f>
        <v>38</v>
      </c>
      <c r="AF913" s="1" t="n">
        <f aca="false">IF(AND($N913=1,AND(LEFT(对接源_01水果!$D913,4)="包装物料",N(对接源_01水果!$K913)&lt;&gt;0)),1,0)</f>
        <v>0</v>
      </c>
      <c r="AG913" s="90" t="str">
        <f aca="false">IF(对接源_01水果!$AC913="","",对接源_01水果!$AC913)</f>
        <v/>
      </c>
      <c r="AH913" s="1" t="n">
        <f aca="false">IF(AND($N913=1,AND(LEFT(对接源_01水果!$D913,3)="周转筐",N(对接源_01水果!$K913)&lt;&gt;0)),1,0)</f>
        <v>0</v>
      </c>
      <c r="AI913" s="90" t="n">
        <f aca="false">IF(AG913="",0,IF(MATCH(AG913,$AG$4:$AG$1203,0)=ROW()-3,1,0))</f>
        <v>0</v>
      </c>
      <c r="AJ913" s="90" t="n">
        <f aca="false">N(AJ912)+AI913</f>
        <v>4</v>
      </c>
      <c r="AK913" s="1" t="n">
        <f aca="false">N(AK912)+$AJ913</f>
        <v>2512</v>
      </c>
    </row>
    <row r="914" customFormat="false" ht="13.5" hidden="false" customHeight="false" outlineLevel="0" collapsed="false">
      <c r="A914" s="1" t="str">
        <f aca="false">IF(对接源_01水果!$C914="","",对接源_01水果!$C914)</f>
        <v/>
      </c>
      <c r="B914" s="1" t="n">
        <f aca="false">IF(A914="",0,IF(MATCH(A914,$A$4:$A$2403,0)=ROW()-3,1,0))</f>
        <v>0</v>
      </c>
      <c r="C914" s="1" t="n">
        <f aca="false">N(C913)+B914</f>
        <v>13</v>
      </c>
      <c r="K914" s="1" t="n">
        <f aca="false">IF(OR($K$1="",对接源_01水果!$C914="",对接源_01水果!$C914&lt;&gt;$K$1,对接源_01水果!$B914=""),0,IF(OR(N(对接源_01水果!$B914)&lt;$K$2,N(对接源_01水果!$B914)&gt;$K$3),0,1))</f>
        <v>0</v>
      </c>
      <c r="L914" s="1" t="n">
        <f aca="false">IF(OR($L$1="",对接源_01水果!$C914="",对接源_01水果!$C914&lt;&gt;$L$1,对接源_01水果!$B914=""),0,IF(OR(N(对接源_01水果!$B914)&lt;$L$2,N(对接源_01水果!$B914)&gt;$L$3),0,1))</f>
        <v>0</v>
      </c>
      <c r="M914" s="1" t="n">
        <f aca="false">IF(OR($M$1="",对接源_01水果!$C914="",对接源_01水果!$C914&lt;&gt;$M$1,对接源_01水果!$B914=""),0,IF(OR(N(对接源_01水果!$B914)&lt;$M$2,N(对接源_01水果!$B914)&gt;$M$3),0,1))</f>
        <v>0</v>
      </c>
      <c r="N914" s="1" t="n">
        <f aca="false">IF(OR($N$1="",对接源_01水果!$C914="",对接源_01水果!$C914&lt;&gt;$N$1,对接源_01水果!$B914=""),0,IF(OR(N(对接源_01水果!$B914)&lt;$N$2,N(对接源_01水果!$B914)&gt;$N$3),0,1))</f>
        <v>0</v>
      </c>
      <c r="P914" s="1" t="n">
        <f aca="false">IF(AND($K914=1,AND(对接源_01水果!$X914="公司筐",N(对接源_01水果!$T914)&lt;&gt;0)),1,0)</f>
        <v>0</v>
      </c>
      <c r="Q914" s="1" t="n">
        <f aca="false">N(Q913)+$P914</f>
        <v>3</v>
      </c>
      <c r="R914" s="1" t="n">
        <f aca="false">IF(AND($K914=1,AND(对接源_01水果!$X914="公司筐",N(对接源_01水果!$U914)&lt;&gt;0)),1,0)</f>
        <v>0</v>
      </c>
      <c r="S914" s="1" t="n">
        <f aca="false">N(S913)+$R914</f>
        <v>0</v>
      </c>
      <c r="T914" s="1" t="n">
        <f aca="false">IF(AND($K914=1,AND(对接源_01水果!$X914="公司筐",N(对接源_01水果!$V914)&lt;&gt;0)),1,0)</f>
        <v>0</v>
      </c>
      <c r="U914" s="1" t="n">
        <f aca="false">N(U913)+$T914</f>
        <v>28</v>
      </c>
      <c r="V914" s="1" t="n">
        <f aca="false">IF(AND($L914=1,AND(对接源_01水果!$X914="自备筐",N(对接源_01水果!$V914)&lt;&gt;0)),1,0)</f>
        <v>0</v>
      </c>
      <c r="W914" s="1" t="n">
        <f aca="false">N(W913)+$V914</f>
        <v>7</v>
      </c>
      <c r="X914" s="1" t="n">
        <f aca="false">IF(AND($L914=1,AND(对接源_01水果!$X914="自备筐",N(对接源_01水果!$T914)&lt;&gt;0)),1,0)</f>
        <v>0</v>
      </c>
      <c r="Y914" s="1" t="n">
        <f aca="false">N(Y913)+$X914</f>
        <v>0</v>
      </c>
      <c r="Z914" s="1" t="n">
        <f aca="false">IF(AND($M914=1,对接源_01水果!$D914="原料入库"),1,0)</f>
        <v>0</v>
      </c>
      <c r="AA914" s="1" t="n">
        <f aca="false">N(AA913)+$Z914</f>
        <v>30</v>
      </c>
      <c r="AB914" s="1" t="n">
        <f aca="false">IF(AND($M914=1,LEFT(对接源_01水果!$D914,4)="原料出库"),1,0)</f>
        <v>0</v>
      </c>
      <c r="AC914" s="1" t="n">
        <f aca="false">N(AC913)+$AB914</f>
        <v>19</v>
      </c>
      <c r="AD914" s="1" t="n">
        <f aca="false">IF(AND($M914=1,LEFT(对接源_01水果!$D914,4)="成品出库"),1,0)</f>
        <v>0</v>
      </c>
      <c r="AE914" s="1" t="n">
        <f aca="false">N(AE913)+$AD914</f>
        <v>38</v>
      </c>
      <c r="AF914" s="1" t="n">
        <f aca="false">IF(AND($N914=1,AND(LEFT(对接源_01水果!$D914,4)="包装物料",N(对接源_01水果!$K914)&lt;&gt;0)),1,0)</f>
        <v>0</v>
      </c>
      <c r="AG914" s="90" t="str">
        <f aca="false">IF(对接源_01水果!$AC914="","",对接源_01水果!$AC914)</f>
        <v/>
      </c>
      <c r="AH914" s="1" t="n">
        <f aca="false">IF(AND($N914=1,AND(LEFT(对接源_01水果!$D914,3)="周转筐",N(对接源_01水果!$K914)&lt;&gt;0)),1,0)</f>
        <v>0</v>
      </c>
      <c r="AI914" s="90" t="n">
        <f aca="false">IF(AG914="",0,IF(MATCH(AG914,$AG$4:$AG$1203,0)=ROW()-3,1,0))</f>
        <v>0</v>
      </c>
      <c r="AJ914" s="90" t="n">
        <f aca="false">N(AJ913)+AI914</f>
        <v>4</v>
      </c>
      <c r="AK914" s="1" t="n">
        <f aca="false">N(AK913)+$AJ914</f>
        <v>2516</v>
      </c>
    </row>
    <row r="915" customFormat="false" ht="13.5" hidden="false" customHeight="false" outlineLevel="0" collapsed="false">
      <c r="A915" s="1" t="str">
        <f aca="false">IF(对接源_01水果!$C915="","",对接源_01水果!$C915)</f>
        <v/>
      </c>
      <c r="B915" s="1" t="n">
        <f aca="false">IF(A915="",0,IF(MATCH(A915,$A$4:$A$2403,0)=ROW()-3,1,0))</f>
        <v>0</v>
      </c>
      <c r="C915" s="1" t="n">
        <f aca="false">N(C914)+B915</f>
        <v>13</v>
      </c>
      <c r="K915" s="1" t="n">
        <f aca="false">IF(OR($K$1="",对接源_01水果!$C915="",对接源_01水果!$C915&lt;&gt;$K$1,对接源_01水果!$B915=""),0,IF(OR(N(对接源_01水果!$B915)&lt;$K$2,N(对接源_01水果!$B915)&gt;$K$3),0,1))</f>
        <v>0</v>
      </c>
      <c r="L915" s="1" t="n">
        <f aca="false">IF(OR($L$1="",对接源_01水果!$C915="",对接源_01水果!$C915&lt;&gt;$L$1,对接源_01水果!$B915=""),0,IF(OR(N(对接源_01水果!$B915)&lt;$L$2,N(对接源_01水果!$B915)&gt;$L$3),0,1))</f>
        <v>0</v>
      </c>
      <c r="M915" s="1" t="n">
        <f aca="false">IF(OR($M$1="",对接源_01水果!$C915="",对接源_01水果!$C915&lt;&gt;$M$1,对接源_01水果!$B915=""),0,IF(OR(N(对接源_01水果!$B915)&lt;$M$2,N(对接源_01水果!$B915)&gt;$M$3),0,1))</f>
        <v>0</v>
      </c>
      <c r="N915" s="1" t="n">
        <f aca="false">IF(OR($N$1="",对接源_01水果!$C915="",对接源_01水果!$C915&lt;&gt;$N$1,对接源_01水果!$B915=""),0,IF(OR(N(对接源_01水果!$B915)&lt;$N$2,N(对接源_01水果!$B915)&gt;$N$3),0,1))</f>
        <v>0</v>
      </c>
      <c r="P915" s="1" t="n">
        <f aca="false">IF(AND($K915=1,AND(对接源_01水果!$X915="公司筐",N(对接源_01水果!$T915)&lt;&gt;0)),1,0)</f>
        <v>0</v>
      </c>
      <c r="Q915" s="1" t="n">
        <f aca="false">N(Q914)+$P915</f>
        <v>3</v>
      </c>
      <c r="R915" s="1" t="n">
        <f aca="false">IF(AND($K915=1,AND(对接源_01水果!$X915="公司筐",N(对接源_01水果!$U915)&lt;&gt;0)),1,0)</f>
        <v>0</v>
      </c>
      <c r="S915" s="1" t="n">
        <f aca="false">N(S914)+$R915</f>
        <v>0</v>
      </c>
      <c r="T915" s="1" t="n">
        <f aca="false">IF(AND($K915=1,AND(对接源_01水果!$X915="公司筐",N(对接源_01水果!$V915)&lt;&gt;0)),1,0)</f>
        <v>0</v>
      </c>
      <c r="U915" s="1" t="n">
        <f aca="false">N(U914)+$T915</f>
        <v>28</v>
      </c>
      <c r="V915" s="1" t="n">
        <f aca="false">IF(AND($L915=1,AND(对接源_01水果!$X915="自备筐",N(对接源_01水果!$V915)&lt;&gt;0)),1,0)</f>
        <v>0</v>
      </c>
      <c r="W915" s="1" t="n">
        <f aca="false">N(W914)+$V915</f>
        <v>7</v>
      </c>
      <c r="X915" s="1" t="n">
        <f aca="false">IF(AND($L915=1,AND(对接源_01水果!$X915="自备筐",N(对接源_01水果!$T915)&lt;&gt;0)),1,0)</f>
        <v>0</v>
      </c>
      <c r="Y915" s="1" t="n">
        <f aca="false">N(Y914)+$X915</f>
        <v>0</v>
      </c>
      <c r="Z915" s="1" t="n">
        <f aca="false">IF(AND($M915=1,对接源_01水果!$D915="原料入库"),1,0)</f>
        <v>0</v>
      </c>
      <c r="AA915" s="1" t="n">
        <f aca="false">N(AA914)+$Z915</f>
        <v>30</v>
      </c>
      <c r="AB915" s="1" t="n">
        <f aca="false">IF(AND($M915=1,LEFT(对接源_01水果!$D915,4)="原料出库"),1,0)</f>
        <v>0</v>
      </c>
      <c r="AC915" s="1" t="n">
        <f aca="false">N(AC914)+$AB915</f>
        <v>19</v>
      </c>
      <c r="AD915" s="1" t="n">
        <f aca="false">IF(AND($M915=1,LEFT(对接源_01水果!$D915,4)="成品出库"),1,0)</f>
        <v>0</v>
      </c>
      <c r="AE915" s="1" t="n">
        <f aca="false">N(AE914)+$AD915</f>
        <v>38</v>
      </c>
      <c r="AF915" s="1" t="n">
        <f aca="false">IF(AND($N915=1,AND(LEFT(对接源_01水果!$D915,4)="包装物料",N(对接源_01水果!$K915)&lt;&gt;0)),1,0)</f>
        <v>0</v>
      </c>
      <c r="AG915" s="90" t="str">
        <f aca="false">IF(对接源_01水果!$AC915="","",对接源_01水果!$AC915)</f>
        <v/>
      </c>
      <c r="AH915" s="1" t="n">
        <f aca="false">IF(AND($N915=1,AND(LEFT(对接源_01水果!$D915,3)="周转筐",N(对接源_01水果!$K915)&lt;&gt;0)),1,0)</f>
        <v>0</v>
      </c>
      <c r="AI915" s="90" t="n">
        <f aca="false">IF(AG915="",0,IF(MATCH(AG915,$AG$4:$AG$1203,0)=ROW()-3,1,0))</f>
        <v>0</v>
      </c>
      <c r="AJ915" s="90" t="n">
        <f aca="false">N(AJ914)+AI915</f>
        <v>4</v>
      </c>
      <c r="AK915" s="1" t="n">
        <f aca="false">N(AK914)+$AJ915</f>
        <v>2520</v>
      </c>
    </row>
    <row r="916" customFormat="false" ht="13.5" hidden="false" customHeight="false" outlineLevel="0" collapsed="false">
      <c r="A916" s="1" t="str">
        <f aca="false">IF(对接源_01水果!$C916="","",对接源_01水果!$C916)</f>
        <v/>
      </c>
      <c r="B916" s="1" t="n">
        <f aca="false">IF(A916="",0,IF(MATCH(A916,$A$4:$A$2403,0)=ROW()-3,1,0))</f>
        <v>0</v>
      </c>
      <c r="C916" s="1" t="n">
        <f aca="false">N(C915)+B916</f>
        <v>13</v>
      </c>
      <c r="K916" s="1" t="n">
        <f aca="false">IF(OR($K$1="",对接源_01水果!$C916="",对接源_01水果!$C916&lt;&gt;$K$1,对接源_01水果!$B916=""),0,IF(OR(N(对接源_01水果!$B916)&lt;$K$2,N(对接源_01水果!$B916)&gt;$K$3),0,1))</f>
        <v>0</v>
      </c>
      <c r="L916" s="1" t="n">
        <f aca="false">IF(OR($L$1="",对接源_01水果!$C916="",对接源_01水果!$C916&lt;&gt;$L$1,对接源_01水果!$B916=""),0,IF(OR(N(对接源_01水果!$B916)&lt;$L$2,N(对接源_01水果!$B916)&gt;$L$3),0,1))</f>
        <v>0</v>
      </c>
      <c r="M916" s="1" t="n">
        <f aca="false">IF(OR($M$1="",对接源_01水果!$C916="",对接源_01水果!$C916&lt;&gt;$M$1,对接源_01水果!$B916=""),0,IF(OR(N(对接源_01水果!$B916)&lt;$M$2,N(对接源_01水果!$B916)&gt;$M$3),0,1))</f>
        <v>0</v>
      </c>
      <c r="N916" s="1" t="n">
        <f aca="false">IF(OR($N$1="",对接源_01水果!$C916="",对接源_01水果!$C916&lt;&gt;$N$1,对接源_01水果!$B916=""),0,IF(OR(N(对接源_01水果!$B916)&lt;$N$2,N(对接源_01水果!$B916)&gt;$N$3),0,1))</f>
        <v>0</v>
      </c>
      <c r="P916" s="1" t="n">
        <f aca="false">IF(AND($K916=1,AND(对接源_01水果!$X916="公司筐",N(对接源_01水果!$T916)&lt;&gt;0)),1,0)</f>
        <v>0</v>
      </c>
      <c r="Q916" s="1" t="n">
        <f aca="false">N(Q915)+$P916</f>
        <v>3</v>
      </c>
      <c r="R916" s="1" t="n">
        <f aca="false">IF(AND($K916=1,AND(对接源_01水果!$X916="公司筐",N(对接源_01水果!$U916)&lt;&gt;0)),1,0)</f>
        <v>0</v>
      </c>
      <c r="S916" s="1" t="n">
        <f aca="false">N(S915)+$R916</f>
        <v>0</v>
      </c>
      <c r="T916" s="1" t="n">
        <f aca="false">IF(AND($K916=1,AND(对接源_01水果!$X916="公司筐",N(对接源_01水果!$V916)&lt;&gt;0)),1,0)</f>
        <v>0</v>
      </c>
      <c r="U916" s="1" t="n">
        <f aca="false">N(U915)+$T916</f>
        <v>28</v>
      </c>
      <c r="V916" s="1" t="n">
        <f aca="false">IF(AND($L916=1,AND(对接源_01水果!$X916="自备筐",N(对接源_01水果!$V916)&lt;&gt;0)),1,0)</f>
        <v>0</v>
      </c>
      <c r="W916" s="1" t="n">
        <f aca="false">N(W915)+$V916</f>
        <v>7</v>
      </c>
      <c r="X916" s="1" t="n">
        <f aca="false">IF(AND($L916=1,AND(对接源_01水果!$X916="自备筐",N(对接源_01水果!$T916)&lt;&gt;0)),1,0)</f>
        <v>0</v>
      </c>
      <c r="Y916" s="1" t="n">
        <f aca="false">N(Y915)+$X916</f>
        <v>0</v>
      </c>
      <c r="Z916" s="1" t="n">
        <f aca="false">IF(AND($M916=1,对接源_01水果!$D916="原料入库"),1,0)</f>
        <v>0</v>
      </c>
      <c r="AA916" s="1" t="n">
        <f aca="false">N(AA915)+$Z916</f>
        <v>30</v>
      </c>
      <c r="AB916" s="1" t="n">
        <f aca="false">IF(AND($M916=1,LEFT(对接源_01水果!$D916,4)="原料出库"),1,0)</f>
        <v>0</v>
      </c>
      <c r="AC916" s="1" t="n">
        <f aca="false">N(AC915)+$AB916</f>
        <v>19</v>
      </c>
      <c r="AD916" s="1" t="n">
        <f aca="false">IF(AND($M916=1,LEFT(对接源_01水果!$D916,4)="成品出库"),1,0)</f>
        <v>0</v>
      </c>
      <c r="AE916" s="1" t="n">
        <f aca="false">N(AE915)+$AD916</f>
        <v>38</v>
      </c>
      <c r="AF916" s="1" t="n">
        <f aca="false">IF(AND($N916=1,AND(LEFT(对接源_01水果!$D916,4)="包装物料",N(对接源_01水果!$K916)&lt;&gt;0)),1,0)</f>
        <v>0</v>
      </c>
      <c r="AG916" s="90" t="str">
        <f aca="false">IF(对接源_01水果!$AC916="","",对接源_01水果!$AC916)</f>
        <v/>
      </c>
      <c r="AH916" s="1" t="n">
        <f aca="false">IF(AND($N916=1,AND(LEFT(对接源_01水果!$D916,3)="周转筐",N(对接源_01水果!$K916)&lt;&gt;0)),1,0)</f>
        <v>0</v>
      </c>
      <c r="AI916" s="90" t="n">
        <f aca="false">IF(AG916="",0,IF(MATCH(AG916,$AG$4:$AG$1203,0)=ROW()-3,1,0))</f>
        <v>0</v>
      </c>
      <c r="AJ916" s="90" t="n">
        <f aca="false">N(AJ915)+AI916</f>
        <v>4</v>
      </c>
      <c r="AK916" s="1" t="n">
        <f aca="false">N(AK915)+$AJ916</f>
        <v>2524</v>
      </c>
    </row>
    <row r="917" customFormat="false" ht="13.5" hidden="false" customHeight="false" outlineLevel="0" collapsed="false">
      <c r="A917" s="1" t="str">
        <f aca="false">IF(对接源_01水果!$C917="","",对接源_01水果!$C917)</f>
        <v/>
      </c>
      <c r="B917" s="1" t="n">
        <f aca="false">IF(A917="",0,IF(MATCH(A917,$A$4:$A$2403,0)=ROW()-3,1,0))</f>
        <v>0</v>
      </c>
      <c r="C917" s="1" t="n">
        <f aca="false">N(C916)+B917</f>
        <v>13</v>
      </c>
      <c r="K917" s="1" t="n">
        <f aca="false">IF(OR($K$1="",对接源_01水果!$C917="",对接源_01水果!$C917&lt;&gt;$K$1,对接源_01水果!$B917=""),0,IF(OR(N(对接源_01水果!$B917)&lt;$K$2,N(对接源_01水果!$B917)&gt;$K$3),0,1))</f>
        <v>0</v>
      </c>
      <c r="L917" s="1" t="n">
        <f aca="false">IF(OR($L$1="",对接源_01水果!$C917="",对接源_01水果!$C917&lt;&gt;$L$1,对接源_01水果!$B917=""),0,IF(OR(N(对接源_01水果!$B917)&lt;$L$2,N(对接源_01水果!$B917)&gt;$L$3),0,1))</f>
        <v>0</v>
      </c>
      <c r="M917" s="1" t="n">
        <f aca="false">IF(OR($M$1="",对接源_01水果!$C917="",对接源_01水果!$C917&lt;&gt;$M$1,对接源_01水果!$B917=""),0,IF(OR(N(对接源_01水果!$B917)&lt;$M$2,N(对接源_01水果!$B917)&gt;$M$3),0,1))</f>
        <v>0</v>
      </c>
      <c r="N917" s="1" t="n">
        <f aca="false">IF(OR($N$1="",对接源_01水果!$C917="",对接源_01水果!$C917&lt;&gt;$N$1,对接源_01水果!$B917=""),0,IF(OR(N(对接源_01水果!$B917)&lt;$N$2,N(对接源_01水果!$B917)&gt;$N$3),0,1))</f>
        <v>0</v>
      </c>
      <c r="P917" s="1" t="n">
        <f aca="false">IF(AND($K917=1,AND(对接源_01水果!$X917="公司筐",N(对接源_01水果!$T917)&lt;&gt;0)),1,0)</f>
        <v>0</v>
      </c>
      <c r="Q917" s="1" t="n">
        <f aca="false">N(Q916)+$P917</f>
        <v>3</v>
      </c>
      <c r="R917" s="1" t="n">
        <f aca="false">IF(AND($K917=1,AND(对接源_01水果!$X917="公司筐",N(对接源_01水果!$U917)&lt;&gt;0)),1,0)</f>
        <v>0</v>
      </c>
      <c r="S917" s="1" t="n">
        <f aca="false">N(S916)+$R917</f>
        <v>0</v>
      </c>
      <c r="T917" s="1" t="n">
        <f aca="false">IF(AND($K917=1,AND(对接源_01水果!$X917="公司筐",N(对接源_01水果!$V917)&lt;&gt;0)),1,0)</f>
        <v>0</v>
      </c>
      <c r="U917" s="1" t="n">
        <f aca="false">N(U916)+$T917</f>
        <v>28</v>
      </c>
      <c r="V917" s="1" t="n">
        <f aca="false">IF(AND($L917=1,AND(对接源_01水果!$X917="自备筐",N(对接源_01水果!$V917)&lt;&gt;0)),1,0)</f>
        <v>0</v>
      </c>
      <c r="W917" s="1" t="n">
        <f aca="false">N(W916)+$V917</f>
        <v>7</v>
      </c>
      <c r="X917" s="1" t="n">
        <f aca="false">IF(AND($L917=1,AND(对接源_01水果!$X917="自备筐",N(对接源_01水果!$T917)&lt;&gt;0)),1,0)</f>
        <v>0</v>
      </c>
      <c r="Y917" s="1" t="n">
        <f aca="false">N(Y916)+$X917</f>
        <v>0</v>
      </c>
      <c r="Z917" s="1" t="n">
        <f aca="false">IF(AND($M917=1,对接源_01水果!$D917="原料入库"),1,0)</f>
        <v>0</v>
      </c>
      <c r="AA917" s="1" t="n">
        <f aca="false">N(AA916)+$Z917</f>
        <v>30</v>
      </c>
      <c r="AB917" s="1" t="n">
        <f aca="false">IF(AND($M917=1,LEFT(对接源_01水果!$D917,4)="原料出库"),1,0)</f>
        <v>0</v>
      </c>
      <c r="AC917" s="1" t="n">
        <f aca="false">N(AC916)+$AB917</f>
        <v>19</v>
      </c>
      <c r="AD917" s="1" t="n">
        <f aca="false">IF(AND($M917=1,LEFT(对接源_01水果!$D917,4)="成品出库"),1,0)</f>
        <v>0</v>
      </c>
      <c r="AE917" s="1" t="n">
        <f aca="false">N(AE916)+$AD917</f>
        <v>38</v>
      </c>
      <c r="AF917" s="1" t="n">
        <f aca="false">IF(AND($N917=1,AND(LEFT(对接源_01水果!$D917,4)="包装物料",N(对接源_01水果!$K917)&lt;&gt;0)),1,0)</f>
        <v>0</v>
      </c>
      <c r="AG917" s="90" t="str">
        <f aca="false">IF(对接源_01水果!$AC917="","",对接源_01水果!$AC917)</f>
        <v/>
      </c>
      <c r="AH917" s="1" t="n">
        <f aca="false">IF(AND($N917=1,AND(LEFT(对接源_01水果!$D917,3)="周转筐",N(对接源_01水果!$K917)&lt;&gt;0)),1,0)</f>
        <v>0</v>
      </c>
      <c r="AI917" s="90" t="n">
        <f aca="false">IF(AG917="",0,IF(MATCH(AG917,$AG$4:$AG$1203,0)=ROW()-3,1,0))</f>
        <v>0</v>
      </c>
      <c r="AJ917" s="90" t="n">
        <f aca="false">N(AJ916)+AI917</f>
        <v>4</v>
      </c>
      <c r="AK917" s="1" t="n">
        <f aca="false">N(AK916)+$AJ917</f>
        <v>2528</v>
      </c>
    </row>
    <row r="918" customFormat="false" ht="13.5" hidden="false" customHeight="false" outlineLevel="0" collapsed="false">
      <c r="A918" s="1" t="str">
        <f aca="false">IF(对接源_01水果!$C918="","",对接源_01水果!$C918)</f>
        <v/>
      </c>
      <c r="B918" s="1" t="n">
        <f aca="false">IF(A918="",0,IF(MATCH(A918,$A$4:$A$2403,0)=ROW()-3,1,0))</f>
        <v>0</v>
      </c>
      <c r="C918" s="1" t="n">
        <f aca="false">N(C917)+B918</f>
        <v>13</v>
      </c>
      <c r="K918" s="1" t="n">
        <f aca="false">IF(OR($K$1="",对接源_01水果!$C918="",对接源_01水果!$C918&lt;&gt;$K$1,对接源_01水果!$B918=""),0,IF(OR(N(对接源_01水果!$B918)&lt;$K$2,N(对接源_01水果!$B918)&gt;$K$3),0,1))</f>
        <v>0</v>
      </c>
      <c r="L918" s="1" t="n">
        <f aca="false">IF(OR($L$1="",对接源_01水果!$C918="",对接源_01水果!$C918&lt;&gt;$L$1,对接源_01水果!$B918=""),0,IF(OR(N(对接源_01水果!$B918)&lt;$L$2,N(对接源_01水果!$B918)&gt;$L$3),0,1))</f>
        <v>0</v>
      </c>
      <c r="M918" s="1" t="n">
        <f aca="false">IF(OR($M$1="",对接源_01水果!$C918="",对接源_01水果!$C918&lt;&gt;$M$1,对接源_01水果!$B918=""),0,IF(OR(N(对接源_01水果!$B918)&lt;$M$2,N(对接源_01水果!$B918)&gt;$M$3),0,1))</f>
        <v>0</v>
      </c>
      <c r="N918" s="1" t="n">
        <f aca="false">IF(OR($N$1="",对接源_01水果!$C918="",对接源_01水果!$C918&lt;&gt;$N$1,对接源_01水果!$B918=""),0,IF(OR(N(对接源_01水果!$B918)&lt;$N$2,N(对接源_01水果!$B918)&gt;$N$3),0,1))</f>
        <v>0</v>
      </c>
      <c r="P918" s="1" t="n">
        <f aca="false">IF(AND($K918=1,AND(对接源_01水果!$X918="公司筐",N(对接源_01水果!$T918)&lt;&gt;0)),1,0)</f>
        <v>0</v>
      </c>
      <c r="Q918" s="1" t="n">
        <f aca="false">N(Q917)+$P918</f>
        <v>3</v>
      </c>
      <c r="R918" s="1" t="n">
        <f aca="false">IF(AND($K918=1,AND(对接源_01水果!$X918="公司筐",N(对接源_01水果!$U918)&lt;&gt;0)),1,0)</f>
        <v>0</v>
      </c>
      <c r="S918" s="1" t="n">
        <f aca="false">N(S917)+$R918</f>
        <v>0</v>
      </c>
      <c r="T918" s="1" t="n">
        <f aca="false">IF(AND($K918=1,AND(对接源_01水果!$X918="公司筐",N(对接源_01水果!$V918)&lt;&gt;0)),1,0)</f>
        <v>0</v>
      </c>
      <c r="U918" s="1" t="n">
        <f aca="false">N(U917)+$T918</f>
        <v>28</v>
      </c>
      <c r="V918" s="1" t="n">
        <f aca="false">IF(AND($L918=1,AND(对接源_01水果!$X918="自备筐",N(对接源_01水果!$V918)&lt;&gt;0)),1,0)</f>
        <v>0</v>
      </c>
      <c r="W918" s="1" t="n">
        <f aca="false">N(W917)+$V918</f>
        <v>7</v>
      </c>
      <c r="X918" s="1" t="n">
        <f aca="false">IF(AND($L918=1,AND(对接源_01水果!$X918="自备筐",N(对接源_01水果!$T918)&lt;&gt;0)),1,0)</f>
        <v>0</v>
      </c>
      <c r="Y918" s="1" t="n">
        <f aca="false">N(Y917)+$X918</f>
        <v>0</v>
      </c>
      <c r="Z918" s="1" t="n">
        <f aca="false">IF(AND($M918=1,对接源_01水果!$D918="原料入库"),1,0)</f>
        <v>0</v>
      </c>
      <c r="AA918" s="1" t="n">
        <f aca="false">N(AA917)+$Z918</f>
        <v>30</v>
      </c>
      <c r="AB918" s="1" t="n">
        <f aca="false">IF(AND($M918=1,LEFT(对接源_01水果!$D918,4)="原料出库"),1,0)</f>
        <v>0</v>
      </c>
      <c r="AC918" s="1" t="n">
        <f aca="false">N(AC917)+$AB918</f>
        <v>19</v>
      </c>
      <c r="AD918" s="1" t="n">
        <f aca="false">IF(AND($M918=1,LEFT(对接源_01水果!$D918,4)="成品出库"),1,0)</f>
        <v>0</v>
      </c>
      <c r="AE918" s="1" t="n">
        <f aca="false">N(AE917)+$AD918</f>
        <v>38</v>
      </c>
      <c r="AF918" s="1" t="n">
        <f aca="false">IF(AND($N918=1,AND(LEFT(对接源_01水果!$D918,4)="包装物料",N(对接源_01水果!$K918)&lt;&gt;0)),1,0)</f>
        <v>0</v>
      </c>
      <c r="AG918" s="90" t="str">
        <f aca="false">IF(对接源_01水果!$AC918="","",对接源_01水果!$AC918)</f>
        <v/>
      </c>
      <c r="AH918" s="1" t="n">
        <f aca="false">IF(AND($N918=1,AND(LEFT(对接源_01水果!$D918,3)="周转筐",N(对接源_01水果!$K918)&lt;&gt;0)),1,0)</f>
        <v>0</v>
      </c>
      <c r="AI918" s="90" t="n">
        <f aca="false">IF(AG918="",0,IF(MATCH(AG918,$AG$4:$AG$1203,0)=ROW()-3,1,0))</f>
        <v>0</v>
      </c>
      <c r="AJ918" s="90" t="n">
        <f aca="false">N(AJ917)+AI918</f>
        <v>4</v>
      </c>
      <c r="AK918" s="1" t="n">
        <f aca="false">N(AK917)+$AJ918</f>
        <v>2532</v>
      </c>
    </row>
    <row r="919" customFormat="false" ht="13.5" hidden="false" customHeight="false" outlineLevel="0" collapsed="false">
      <c r="A919" s="1" t="str">
        <f aca="false">IF(对接源_01水果!$C919="","",对接源_01水果!$C919)</f>
        <v/>
      </c>
      <c r="B919" s="1" t="n">
        <f aca="false">IF(A919="",0,IF(MATCH(A919,$A$4:$A$2403,0)=ROW()-3,1,0))</f>
        <v>0</v>
      </c>
      <c r="C919" s="1" t="n">
        <f aca="false">N(C918)+B919</f>
        <v>13</v>
      </c>
      <c r="K919" s="1" t="n">
        <f aca="false">IF(OR($K$1="",对接源_01水果!$C919="",对接源_01水果!$C919&lt;&gt;$K$1,对接源_01水果!$B919=""),0,IF(OR(N(对接源_01水果!$B919)&lt;$K$2,N(对接源_01水果!$B919)&gt;$K$3),0,1))</f>
        <v>0</v>
      </c>
      <c r="L919" s="1" t="n">
        <f aca="false">IF(OR($L$1="",对接源_01水果!$C919="",对接源_01水果!$C919&lt;&gt;$L$1,对接源_01水果!$B919=""),0,IF(OR(N(对接源_01水果!$B919)&lt;$L$2,N(对接源_01水果!$B919)&gt;$L$3),0,1))</f>
        <v>0</v>
      </c>
      <c r="M919" s="1" t="n">
        <f aca="false">IF(OR($M$1="",对接源_01水果!$C919="",对接源_01水果!$C919&lt;&gt;$M$1,对接源_01水果!$B919=""),0,IF(OR(N(对接源_01水果!$B919)&lt;$M$2,N(对接源_01水果!$B919)&gt;$M$3),0,1))</f>
        <v>0</v>
      </c>
      <c r="N919" s="1" t="n">
        <f aca="false">IF(OR($N$1="",对接源_01水果!$C919="",对接源_01水果!$C919&lt;&gt;$N$1,对接源_01水果!$B919=""),0,IF(OR(N(对接源_01水果!$B919)&lt;$N$2,N(对接源_01水果!$B919)&gt;$N$3),0,1))</f>
        <v>0</v>
      </c>
      <c r="P919" s="1" t="n">
        <f aca="false">IF(AND($K919=1,AND(对接源_01水果!$X919="公司筐",N(对接源_01水果!$T919)&lt;&gt;0)),1,0)</f>
        <v>0</v>
      </c>
      <c r="Q919" s="1" t="n">
        <f aca="false">N(Q918)+$P919</f>
        <v>3</v>
      </c>
      <c r="R919" s="1" t="n">
        <f aca="false">IF(AND($K919=1,AND(对接源_01水果!$X919="公司筐",N(对接源_01水果!$U919)&lt;&gt;0)),1,0)</f>
        <v>0</v>
      </c>
      <c r="S919" s="1" t="n">
        <f aca="false">N(S918)+$R919</f>
        <v>0</v>
      </c>
      <c r="T919" s="1" t="n">
        <f aca="false">IF(AND($K919=1,AND(对接源_01水果!$X919="公司筐",N(对接源_01水果!$V919)&lt;&gt;0)),1,0)</f>
        <v>0</v>
      </c>
      <c r="U919" s="1" t="n">
        <f aca="false">N(U918)+$T919</f>
        <v>28</v>
      </c>
      <c r="V919" s="1" t="n">
        <f aca="false">IF(AND($L919=1,AND(对接源_01水果!$X919="自备筐",N(对接源_01水果!$V919)&lt;&gt;0)),1,0)</f>
        <v>0</v>
      </c>
      <c r="W919" s="1" t="n">
        <f aca="false">N(W918)+$V919</f>
        <v>7</v>
      </c>
      <c r="X919" s="1" t="n">
        <f aca="false">IF(AND($L919=1,AND(对接源_01水果!$X919="自备筐",N(对接源_01水果!$T919)&lt;&gt;0)),1,0)</f>
        <v>0</v>
      </c>
      <c r="Y919" s="1" t="n">
        <f aca="false">N(Y918)+$X919</f>
        <v>0</v>
      </c>
      <c r="Z919" s="1" t="n">
        <f aca="false">IF(AND($M919=1,对接源_01水果!$D919="原料入库"),1,0)</f>
        <v>0</v>
      </c>
      <c r="AA919" s="1" t="n">
        <f aca="false">N(AA918)+$Z919</f>
        <v>30</v>
      </c>
      <c r="AB919" s="1" t="n">
        <f aca="false">IF(AND($M919=1,LEFT(对接源_01水果!$D919,4)="原料出库"),1,0)</f>
        <v>0</v>
      </c>
      <c r="AC919" s="1" t="n">
        <f aca="false">N(AC918)+$AB919</f>
        <v>19</v>
      </c>
      <c r="AD919" s="1" t="n">
        <f aca="false">IF(AND($M919=1,LEFT(对接源_01水果!$D919,4)="成品出库"),1,0)</f>
        <v>0</v>
      </c>
      <c r="AE919" s="1" t="n">
        <f aca="false">N(AE918)+$AD919</f>
        <v>38</v>
      </c>
      <c r="AF919" s="1" t="n">
        <f aca="false">IF(AND($N919=1,AND(LEFT(对接源_01水果!$D919,4)="包装物料",N(对接源_01水果!$K919)&lt;&gt;0)),1,0)</f>
        <v>0</v>
      </c>
      <c r="AG919" s="90" t="str">
        <f aca="false">IF(对接源_01水果!$AC919="","",对接源_01水果!$AC919)</f>
        <v/>
      </c>
      <c r="AH919" s="1" t="n">
        <f aca="false">IF(AND($N919=1,AND(LEFT(对接源_01水果!$D919,3)="周转筐",N(对接源_01水果!$K919)&lt;&gt;0)),1,0)</f>
        <v>0</v>
      </c>
      <c r="AI919" s="90" t="n">
        <f aca="false">IF(AG919="",0,IF(MATCH(AG919,$AG$4:$AG$1203,0)=ROW()-3,1,0))</f>
        <v>0</v>
      </c>
      <c r="AJ919" s="90" t="n">
        <f aca="false">N(AJ918)+AI919</f>
        <v>4</v>
      </c>
      <c r="AK919" s="1" t="n">
        <f aca="false">N(AK918)+$AJ919</f>
        <v>2536</v>
      </c>
    </row>
    <row r="920" customFormat="false" ht="13.5" hidden="false" customHeight="false" outlineLevel="0" collapsed="false">
      <c r="A920" s="1" t="str">
        <f aca="false">IF(对接源_01水果!$C920="","",对接源_01水果!$C920)</f>
        <v/>
      </c>
      <c r="B920" s="1" t="n">
        <f aca="false">IF(A920="",0,IF(MATCH(A920,$A$4:$A$2403,0)=ROW()-3,1,0))</f>
        <v>0</v>
      </c>
      <c r="C920" s="1" t="n">
        <f aca="false">N(C919)+B920</f>
        <v>13</v>
      </c>
      <c r="K920" s="1" t="n">
        <f aca="false">IF(OR($K$1="",对接源_01水果!$C920="",对接源_01水果!$C920&lt;&gt;$K$1,对接源_01水果!$B920=""),0,IF(OR(N(对接源_01水果!$B920)&lt;$K$2,N(对接源_01水果!$B920)&gt;$K$3),0,1))</f>
        <v>0</v>
      </c>
      <c r="L920" s="1" t="n">
        <f aca="false">IF(OR($L$1="",对接源_01水果!$C920="",对接源_01水果!$C920&lt;&gt;$L$1,对接源_01水果!$B920=""),0,IF(OR(N(对接源_01水果!$B920)&lt;$L$2,N(对接源_01水果!$B920)&gt;$L$3),0,1))</f>
        <v>0</v>
      </c>
      <c r="M920" s="1" t="n">
        <f aca="false">IF(OR($M$1="",对接源_01水果!$C920="",对接源_01水果!$C920&lt;&gt;$M$1,对接源_01水果!$B920=""),0,IF(OR(N(对接源_01水果!$B920)&lt;$M$2,N(对接源_01水果!$B920)&gt;$M$3),0,1))</f>
        <v>0</v>
      </c>
      <c r="N920" s="1" t="n">
        <f aca="false">IF(OR($N$1="",对接源_01水果!$C920="",对接源_01水果!$C920&lt;&gt;$N$1,对接源_01水果!$B920=""),0,IF(OR(N(对接源_01水果!$B920)&lt;$N$2,N(对接源_01水果!$B920)&gt;$N$3),0,1))</f>
        <v>0</v>
      </c>
      <c r="P920" s="1" t="n">
        <f aca="false">IF(AND($K920=1,AND(对接源_01水果!$X920="公司筐",N(对接源_01水果!$T920)&lt;&gt;0)),1,0)</f>
        <v>0</v>
      </c>
      <c r="Q920" s="1" t="n">
        <f aca="false">N(Q919)+$P920</f>
        <v>3</v>
      </c>
      <c r="R920" s="1" t="n">
        <f aca="false">IF(AND($K920=1,AND(对接源_01水果!$X920="公司筐",N(对接源_01水果!$U920)&lt;&gt;0)),1,0)</f>
        <v>0</v>
      </c>
      <c r="S920" s="1" t="n">
        <f aca="false">N(S919)+$R920</f>
        <v>0</v>
      </c>
      <c r="T920" s="1" t="n">
        <f aca="false">IF(AND($K920=1,AND(对接源_01水果!$X920="公司筐",N(对接源_01水果!$V920)&lt;&gt;0)),1,0)</f>
        <v>0</v>
      </c>
      <c r="U920" s="1" t="n">
        <f aca="false">N(U919)+$T920</f>
        <v>28</v>
      </c>
      <c r="V920" s="1" t="n">
        <f aca="false">IF(AND($L920=1,AND(对接源_01水果!$X920="自备筐",N(对接源_01水果!$V920)&lt;&gt;0)),1,0)</f>
        <v>0</v>
      </c>
      <c r="W920" s="1" t="n">
        <f aca="false">N(W919)+$V920</f>
        <v>7</v>
      </c>
      <c r="X920" s="1" t="n">
        <f aca="false">IF(AND($L920=1,AND(对接源_01水果!$X920="自备筐",N(对接源_01水果!$T920)&lt;&gt;0)),1,0)</f>
        <v>0</v>
      </c>
      <c r="Y920" s="1" t="n">
        <f aca="false">N(Y919)+$X920</f>
        <v>0</v>
      </c>
      <c r="Z920" s="1" t="n">
        <f aca="false">IF(AND($M920=1,对接源_01水果!$D920="原料入库"),1,0)</f>
        <v>0</v>
      </c>
      <c r="AA920" s="1" t="n">
        <f aca="false">N(AA919)+$Z920</f>
        <v>30</v>
      </c>
      <c r="AB920" s="1" t="n">
        <f aca="false">IF(AND($M920=1,LEFT(对接源_01水果!$D920,4)="原料出库"),1,0)</f>
        <v>0</v>
      </c>
      <c r="AC920" s="1" t="n">
        <f aca="false">N(AC919)+$AB920</f>
        <v>19</v>
      </c>
      <c r="AD920" s="1" t="n">
        <f aca="false">IF(AND($M920=1,LEFT(对接源_01水果!$D920,4)="成品出库"),1,0)</f>
        <v>0</v>
      </c>
      <c r="AE920" s="1" t="n">
        <f aca="false">N(AE919)+$AD920</f>
        <v>38</v>
      </c>
      <c r="AF920" s="1" t="n">
        <f aca="false">IF(AND($N920=1,AND(LEFT(对接源_01水果!$D920,4)="包装物料",N(对接源_01水果!$K920)&lt;&gt;0)),1,0)</f>
        <v>0</v>
      </c>
      <c r="AG920" s="90" t="str">
        <f aca="false">IF(对接源_01水果!$AC920="","",对接源_01水果!$AC920)</f>
        <v/>
      </c>
      <c r="AH920" s="1" t="n">
        <f aca="false">IF(AND($N920=1,AND(LEFT(对接源_01水果!$D920,3)="周转筐",N(对接源_01水果!$K920)&lt;&gt;0)),1,0)</f>
        <v>0</v>
      </c>
      <c r="AI920" s="90" t="n">
        <f aca="false">IF(AG920="",0,IF(MATCH(AG920,$AG$4:$AG$1203,0)=ROW()-3,1,0))</f>
        <v>0</v>
      </c>
      <c r="AJ920" s="90" t="n">
        <f aca="false">N(AJ919)+AI920</f>
        <v>4</v>
      </c>
      <c r="AK920" s="1" t="n">
        <f aca="false">N(AK919)+$AJ920</f>
        <v>2540</v>
      </c>
    </row>
    <row r="921" customFormat="false" ht="13.5" hidden="false" customHeight="false" outlineLevel="0" collapsed="false">
      <c r="A921" s="1" t="str">
        <f aca="false">IF(对接源_01水果!$C921="","",对接源_01水果!$C921)</f>
        <v/>
      </c>
      <c r="B921" s="1" t="n">
        <f aca="false">IF(A921="",0,IF(MATCH(A921,$A$4:$A$2403,0)=ROW()-3,1,0))</f>
        <v>0</v>
      </c>
      <c r="C921" s="1" t="n">
        <f aca="false">N(C920)+B921</f>
        <v>13</v>
      </c>
      <c r="K921" s="1" t="n">
        <f aca="false">IF(OR($K$1="",对接源_01水果!$C921="",对接源_01水果!$C921&lt;&gt;$K$1,对接源_01水果!$B921=""),0,IF(OR(N(对接源_01水果!$B921)&lt;$K$2,N(对接源_01水果!$B921)&gt;$K$3),0,1))</f>
        <v>0</v>
      </c>
      <c r="L921" s="1" t="n">
        <f aca="false">IF(OR($L$1="",对接源_01水果!$C921="",对接源_01水果!$C921&lt;&gt;$L$1,对接源_01水果!$B921=""),0,IF(OR(N(对接源_01水果!$B921)&lt;$L$2,N(对接源_01水果!$B921)&gt;$L$3),0,1))</f>
        <v>0</v>
      </c>
      <c r="M921" s="1" t="n">
        <f aca="false">IF(OR($M$1="",对接源_01水果!$C921="",对接源_01水果!$C921&lt;&gt;$M$1,对接源_01水果!$B921=""),0,IF(OR(N(对接源_01水果!$B921)&lt;$M$2,N(对接源_01水果!$B921)&gt;$M$3),0,1))</f>
        <v>0</v>
      </c>
      <c r="N921" s="1" t="n">
        <f aca="false">IF(OR($N$1="",对接源_01水果!$C921="",对接源_01水果!$C921&lt;&gt;$N$1,对接源_01水果!$B921=""),0,IF(OR(N(对接源_01水果!$B921)&lt;$N$2,N(对接源_01水果!$B921)&gt;$N$3),0,1))</f>
        <v>0</v>
      </c>
      <c r="P921" s="1" t="n">
        <f aca="false">IF(AND($K921=1,AND(对接源_01水果!$X921="公司筐",N(对接源_01水果!$T921)&lt;&gt;0)),1,0)</f>
        <v>0</v>
      </c>
      <c r="Q921" s="1" t="n">
        <f aca="false">N(Q920)+$P921</f>
        <v>3</v>
      </c>
      <c r="R921" s="1" t="n">
        <f aca="false">IF(AND($K921=1,AND(对接源_01水果!$X921="公司筐",N(对接源_01水果!$U921)&lt;&gt;0)),1,0)</f>
        <v>0</v>
      </c>
      <c r="S921" s="1" t="n">
        <f aca="false">N(S920)+$R921</f>
        <v>0</v>
      </c>
      <c r="T921" s="1" t="n">
        <f aca="false">IF(AND($K921=1,AND(对接源_01水果!$X921="公司筐",N(对接源_01水果!$V921)&lt;&gt;0)),1,0)</f>
        <v>0</v>
      </c>
      <c r="U921" s="1" t="n">
        <f aca="false">N(U920)+$T921</f>
        <v>28</v>
      </c>
      <c r="V921" s="1" t="n">
        <f aca="false">IF(AND($L921=1,AND(对接源_01水果!$X921="自备筐",N(对接源_01水果!$V921)&lt;&gt;0)),1,0)</f>
        <v>0</v>
      </c>
      <c r="W921" s="1" t="n">
        <f aca="false">N(W920)+$V921</f>
        <v>7</v>
      </c>
      <c r="X921" s="1" t="n">
        <f aca="false">IF(AND($L921=1,AND(对接源_01水果!$X921="自备筐",N(对接源_01水果!$T921)&lt;&gt;0)),1,0)</f>
        <v>0</v>
      </c>
      <c r="Y921" s="1" t="n">
        <f aca="false">N(Y920)+$X921</f>
        <v>0</v>
      </c>
      <c r="Z921" s="1" t="n">
        <f aca="false">IF(AND($M921=1,对接源_01水果!$D921="原料入库"),1,0)</f>
        <v>0</v>
      </c>
      <c r="AA921" s="1" t="n">
        <f aca="false">N(AA920)+$Z921</f>
        <v>30</v>
      </c>
      <c r="AB921" s="1" t="n">
        <f aca="false">IF(AND($M921=1,LEFT(对接源_01水果!$D921,4)="原料出库"),1,0)</f>
        <v>0</v>
      </c>
      <c r="AC921" s="1" t="n">
        <f aca="false">N(AC920)+$AB921</f>
        <v>19</v>
      </c>
      <c r="AD921" s="1" t="n">
        <f aca="false">IF(AND($M921=1,LEFT(对接源_01水果!$D921,4)="成品出库"),1,0)</f>
        <v>0</v>
      </c>
      <c r="AE921" s="1" t="n">
        <f aca="false">N(AE920)+$AD921</f>
        <v>38</v>
      </c>
      <c r="AF921" s="1" t="n">
        <f aca="false">IF(AND($N921=1,AND(LEFT(对接源_01水果!$D921,4)="包装物料",N(对接源_01水果!$K921)&lt;&gt;0)),1,0)</f>
        <v>0</v>
      </c>
      <c r="AG921" s="90" t="str">
        <f aca="false">IF(对接源_01水果!$AC921="","",对接源_01水果!$AC921)</f>
        <v/>
      </c>
      <c r="AH921" s="1" t="n">
        <f aca="false">IF(AND($N921=1,AND(LEFT(对接源_01水果!$D921,3)="周转筐",N(对接源_01水果!$K921)&lt;&gt;0)),1,0)</f>
        <v>0</v>
      </c>
      <c r="AI921" s="90" t="n">
        <f aca="false">IF(AG921="",0,IF(MATCH(AG921,$AG$4:$AG$1203,0)=ROW()-3,1,0))</f>
        <v>0</v>
      </c>
      <c r="AJ921" s="90" t="n">
        <f aca="false">N(AJ920)+AI921</f>
        <v>4</v>
      </c>
      <c r="AK921" s="1" t="n">
        <f aca="false">N(AK920)+$AJ921</f>
        <v>2544</v>
      </c>
    </row>
    <row r="922" customFormat="false" ht="13.5" hidden="false" customHeight="false" outlineLevel="0" collapsed="false">
      <c r="A922" s="1" t="str">
        <f aca="false">IF(对接源_01水果!$C922="","",对接源_01水果!$C922)</f>
        <v/>
      </c>
      <c r="B922" s="1" t="n">
        <f aca="false">IF(A922="",0,IF(MATCH(A922,$A$4:$A$2403,0)=ROW()-3,1,0))</f>
        <v>0</v>
      </c>
      <c r="C922" s="1" t="n">
        <f aca="false">N(C921)+B922</f>
        <v>13</v>
      </c>
      <c r="K922" s="1" t="n">
        <f aca="false">IF(OR($K$1="",对接源_01水果!$C922="",对接源_01水果!$C922&lt;&gt;$K$1,对接源_01水果!$B922=""),0,IF(OR(N(对接源_01水果!$B922)&lt;$K$2,N(对接源_01水果!$B922)&gt;$K$3),0,1))</f>
        <v>0</v>
      </c>
      <c r="L922" s="1" t="n">
        <f aca="false">IF(OR($L$1="",对接源_01水果!$C922="",对接源_01水果!$C922&lt;&gt;$L$1,对接源_01水果!$B922=""),0,IF(OR(N(对接源_01水果!$B922)&lt;$L$2,N(对接源_01水果!$B922)&gt;$L$3),0,1))</f>
        <v>0</v>
      </c>
      <c r="M922" s="1" t="n">
        <f aca="false">IF(OR($M$1="",对接源_01水果!$C922="",对接源_01水果!$C922&lt;&gt;$M$1,对接源_01水果!$B922=""),0,IF(OR(N(对接源_01水果!$B922)&lt;$M$2,N(对接源_01水果!$B922)&gt;$M$3),0,1))</f>
        <v>0</v>
      </c>
      <c r="N922" s="1" t="n">
        <f aca="false">IF(OR($N$1="",对接源_01水果!$C922="",对接源_01水果!$C922&lt;&gt;$N$1,对接源_01水果!$B922=""),0,IF(OR(N(对接源_01水果!$B922)&lt;$N$2,N(对接源_01水果!$B922)&gt;$N$3),0,1))</f>
        <v>0</v>
      </c>
      <c r="P922" s="1" t="n">
        <f aca="false">IF(AND($K922=1,AND(对接源_01水果!$X922="公司筐",N(对接源_01水果!$T922)&lt;&gt;0)),1,0)</f>
        <v>0</v>
      </c>
      <c r="Q922" s="1" t="n">
        <f aca="false">N(Q921)+$P922</f>
        <v>3</v>
      </c>
      <c r="R922" s="1" t="n">
        <f aca="false">IF(AND($K922=1,AND(对接源_01水果!$X922="公司筐",N(对接源_01水果!$U922)&lt;&gt;0)),1,0)</f>
        <v>0</v>
      </c>
      <c r="S922" s="1" t="n">
        <f aca="false">N(S921)+$R922</f>
        <v>0</v>
      </c>
      <c r="T922" s="1" t="n">
        <f aca="false">IF(AND($K922=1,AND(对接源_01水果!$X922="公司筐",N(对接源_01水果!$V922)&lt;&gt;0)),1,0)</f>
        <v>0</v>
      </c>
      <c r="U922" s="1" t="n">
        <f aca="false">N(U921)+$T922</f>
        <v>28</v>
      </c>
      <c r="V922" s="1" t="n">
        <f aca="false">IF(AND($L922=1,AND(对接源_01水果!$X922="自备筐",N(对接源_01水果!$V922)&lt;&gt;0)),1,0)</f>
        <v>0</v>
      </c>
      <c r="W922" s="1" t="n">
        <f aca="false">N(W921)+$V922</f>
        <v>7</v>
      </c>
      <c r="X922" s="1" t="n">
        <f aca="false">IF(AND($L922=1,AND(对接源_01水果!$X922="自备筐",N(对接源_01水果!$T922)&lt;&gt;0)),1,0)</f>
        <v>0</v>
      </c>
      <c r="Y922" s="1" t="n">
        <f aca="false">N(Y921)+$X922</f>
        <v>0</v>
      </c>
      <c r="Z922" s="1" t="n">
        <f aca="false">IF(AND($M922=1,对接源_01水果!$D922="原料入库"),1,0)</f>
        <v>0</v>
      </c>
      <c r="AA922" s="1" t="n">
        <f aca="false">N(AA921)+$Z922</f>
        <v>30</v>
      </c>
      <c r="AB922" s="1" t="n">
        <f aca="false">IF(AND($M922=1,LEFT(对接源_01水果!$D922,4)="原料出库"),1,0)</f>
        <v>0</v>
      </c>
      <c r="AC922" s="1" t="n">
        <f aca="false">N(AC921)+$AB922</f>
        <v>19</v>
      </c>
      <c r="AD922" s="1" t="n">
        <f aca="false">IF(AND($M922=1,LEFT(对接源_01水果!$D922,4)="成品出库"),1,0)</f>
        <v>0</v>
      </c>
      <c r="AE922" s="1" t="n">
        <f aca="false">N(AE921)+$AD922</f>
        <v>38</v>
      </c>
      <c r="AF922" s="1" t="n">
        <f aca="false">IF(AND($N922=1,AND(LEFT(对接源_01水果!$D922,4)="包装物料",N(对接源_01水果!$K922)&lt;&gt;0)),1,0)</f>
        <v>0</v>
      </c>
      <c r="AG922" s="90" t="str">
        <f aca="false">IF(对接源_01水果!$AC922="","",对接源_01水果!$AC922)</f>
        <v/>
      </c>
      <c r="AH922" s="1" t="n">
        <f aca="false">IF(AND($N922=1,AND(LEFT(对接源_01水果!$D922,3)="周转筐",N(对接源_01水果!$K922)&lt;&gt;0)),1,0)</f>
        <v>0</v>
      </c>
      <c r="AI922" s="90" t="n">
        <f aca="false">IF(AG922="",0,IF(MATCH(AG922,$AG$4:$AG$1203,0)=ROW()-3,1,0))</f>
        <v>0</v>
      </c>
      <c r="AJ922" s="90" t="n">
        <f aca="false">N(AJ921)+AI922</f>
        <v>4</v>
      </c>
      <c r="AK922" s="1" t="n">
        <f aca="false">N(AK921)+$AJ922</f>
        <v>2548</v>
      </c>
    </row>
    <row r="923" customFormat="false" ht="13.5" hidden="false" customHeight="false" outlineLevel="0" collapsed="false">
      <c r="A923" s="1" t="str">
        <f aca="false">IF(对接源_01水果!$C923="","",对接源_01水果!$C923)</f>
        <v/>
      </c>
      <c r="B923" s="1" t="n">
        <f aca="false">IF(A923="",0,IF(MATCH(A923,$A$4:$A$2403,0)=ROW()-3,1,0))</f>
        <v>0</v>
      </c>
      <c r="C923" s="1" t="n">
        <f aca="false">N(C922)+B923</f>
        <v>13</v>
      </c>
      <c r="K923" s="1" t="n">
        <f aca="false">IF(OR($K$1="",对接源_01水果!$C923="",对接源_01水果!$C923&lt;&gt;$K$1,对接源_01水果!$B923=""),0,IF(OR(N(对接源_01水果!$B923)&lt;$K$2,N(对接源_01水果!$B923)&gt;$K$3),0,1))</f>
        <v>0</v>
      </c>
      <c r="L923" s="1" t="n">
        <f aca="false">IF(OR($L$1="",对接源_01水果!$C923="",对接源_01水果!$C923&lt;&gt;$L$1,对接源_01水果!$B923=""),0,IF(OR(N(对接源_01水果!$B923)&lt;$L$2,N(对接源_01水果!$B923)&gt;$L$3),0,1))</f>
        <v>0</v>
      </c>
      <c r="M923" s="1" t="n">
        <f aca="false">IF(OR($M$1="",对接源_01水果!$C923="",对接源_01水果!$C923&lt;&gt;$M$1,对接源_01水果!$B923=""),0,IF(OR(N(对接源_01水果!$B923)&lt;$M$2,N(对接源_01水果!$B923)&gt;$M$3),0,1))</f>
        <v>0</v>
      </c>
      <c r="N923" s="1" t="n">
        <f aca="false">IF(OR($N$1="",对接源_01水果!$C923="",对接源_01水果!$C923&lt;&gt;$N$1,对接源_01水果!$B923=""),0,IF(OR(N(对接源_01水果!$B923)&lt;$N$2,N(对接源_01水果!$B923)&gt;$N$3),0,1))</f>
        <v>0</v>
      </c>
      <c r="P923" s="1" t="n">
        <f aca="false">IF(AND($K923=1,AND(对接源_01水果!$X923="公司筐",N(对接源_01水果!$T923)&lt;&gt;0)),1,0)</f>
        <v>0</v>
      </c>
      <c r="Q923" s="1" t="n">
        <f aca="false">N(Q922)+$P923</f>
        <v>3</v>
      </c>
      <c r="R923" s="1" t="n">
        <f aca="false">IF(AND($K923=1,AND(对接源_01水果!$X923="公司筐",N(对接源_01水果!$U923)&lt;&gt;0)),1,0)</f>
        <v>0</v>
      </c>
      <c r="S923" s="1" t="n">
        <f aca="false">N(S922)+$R923</f>
        <v>0</v>
      </c>
      <c r="T923" s="1" t="n">
        <f aca="false">IF(AND($K923=1,AND(对接源_01水果!$X923="公司筐",N(对接源_01水果!$V923)&lt;&gt;0)),1,0)</f>
        <v>0</v>
      </c>
      <c r="U923" s="1" t="n">
        <f aca="false">N(U922)+$T923</f>
        <v>28</v>
      </c>
      <c r="V923" s="1" t="n">
        <f aca="false">IF(AND($L923=1,AND(对接源_01水果!$X923="自备筐",N(对接源_01水果!$V923)&lt;&gt;0)),1,0)</f>
        <v>0</v>
      </c>
      <c r="W923" s="1" t="n">
        <f aca="false">N(W922)+$V923</f>
        <v>7</v>
      </c>
      <c r="X923" s="1" t="n">
        <f aca="false">IF(AND($L923=1,AND(对接源_01水果!$X923="自备筐",N(对接源_01水果!$T923)&lt;&gt;0)),1,0)</f>
        <v>0</v>
      </c>
      <c r="Y923" s="1" t="n">
        <f aca="false">N(Y922)+$X923</f>
        <v>0</v>
      </c>
      <c r="Z923" s="1" t="n">
        <f aca="false">IF(AND($M923=1,对接源_01水果!$D923="原料入库"),1,0)</f>
        <v>0</v>
      </c>
      <c r="AA923" s="1" t="n">
        <f aca="false">N(AA922)+$Z923</f>
        <v>30</v>
      </c>
      <c r="AB923" s="1" t="n">
        <f aca="false">IF(AND($M923=1,LEFT(对接源_01水果!$D923,4)="原料出库"),1,0)</f>
        <v>0</v>
      </c>
      <c r="AC923" s="1" t="n">
        <f aca="false">N(AC922)+$AB923</f>
        <v>19</v>
      </c>
      <c r="AD923" s="1" t="n">
        <f aca="false">IF(AND($M923=1,LEFT(对接源_01水果!$D923,4)="成品出库"),1,0)</f>
        <v>0</v>
      </c>
      <c r="AE923" s="1" t="n">
        <f aca="false">N(AE922)+$AD923</f>
        <v>38</v>
      </c>
      <c r="AF923" s="1" t="n">
        <f aca="false">IF(AND($N923=1,AND(LEFT(对接源_01水果!$D923,4)="包装物料",N(对接源_01水果!$K923)&lt;&gt;0)),1,0)</f>
        <v>0</v>
      </c>
      <c r="AG923" s="90" t="str">
        <f aca="false">IF(对接源_01水果!$AC923="","",对接源_01水果!$AC923)</f>
        <v/>
      </c>
      <c r="AH923" s="1" t="n">
        <f aca="false">IF(AND($N923=1,AND(LEFT(对接源_01水果!$D923,3)="周转筐",N(对接源_01水果!$K923)&lt;&gt;0)),1,0)</f>
        <v>0</v>
      </c>
      <c r="AI923" s="90" t="n">
        <f aca="false">IF(AG923="",0,IF(MATCH(AG923,$AG$4:$AG$1203,0)=ROW()-3,1,0))</f>
        <v>0</v>
      </c>
      <c r="AJ923" s="90" t="n">
        <f aca="false">N(AJ922)+AI923</f>
        <v>4</v>
      </c>
      <c r="AK923" s="1" t="n">
        <f aca="false">N(AK922)+$AJ923</f>
        <v>2552</v>
      </c>
    </row>
    <row r="924" customFormat="false" ht="13.5" hidden="false" customHeight="false" outlineLevel="0" collapsed="false">
      <c r="A924" s="1" t="str">
        <f aca="false">IF(对接源_01水果!$C924="","",对接源_01水果!$C924)</f>
        <v/>
      </c>
      <c r="B924" s="1" t="n">
        <f aca="false">IF(A924="",0,IF(MATCH(A924,$A$4:$A$2403,0)=ROW()-3,1,0))</f>
        <v>0</v>
      </c>
      <c r="C924" s="1" t="n">
        <f aca="false">N(C923)+B924</f>
        <v>13</v>
      </c>
      <c r="K924" s="1" t="n">
        <f aca="false">IF(OR($K$1="",对接源_01水果!$C924="",对接源_01水果!$C924&lt;&gt;$K$1,对接源_01水果!$B924=""),0,IF(OR(N(对接源_01水果!$B924)&lt;$K$2,N(对接源_01水果!$B924)&gt;$K$3),0,1))</f>
        <v>0</v>
      </c>
      <c r="L924" s="1" t="n">
        <f aca="false">IF(OR($L$1="",对接源_01水果!$C924="",对接源_01水果!$C924&lt;&gt;$L$1,对接源_01水果!$B924=""),0,IF(OR(N(对接源_01水果!$B924)&lt;$L$2,N(对接源_01水果!$B924)&gt;$L$3),0,1))</f>
        <v>0</v>
      </c>
      <c r="M924" s="1" t="n">
        <f aca="false">IF(OR($M$1="",对接源_01水果!$C924="",对接源_01水果!$C924&lt;&gt;$M$1,对接源_01水果!$B924=""),0,IF(OR(N(对接源_01水果!$B924)&lt;$M$2,N(对接源_01水果!$B924)&gt;$M$3),0,1))</f>
        <v>0</v>
      </c>
      <c r="N924" s="1" t="n">
        <f aca="false">IF(OR($N$1="",对接源_01水果!$C924="",对接源_01水果!$C924&lt;&gt;$N$1,对接源_01水果!$B924=""),0,IF(OR(N(对接源_01水果!$B924)&lt;$N$2,N(对接源_01水果!$B924)&gt;$N$3),0,1))</f>
        <v>0</v>
      </c>
      <c r="P924" s="1" t="n">
        <f aca="false">IF(AND($K924=1,AND(对接源_01水果!$X924="公司筐",N(对接源_01水果!$T924)&lt;&gt;0)),1,0)</f>
        <v>0</v>
      </c>
      <c r="Q924" s="1" t="n">
        <f aca="false">N(Q923)+$P924</f>
        <v>3</v>
      </c>
      <c r="R924" s="1" t="n">
        <f aca="false">IF(AND($K924=1,AND(对接源_01水果!$X924="公司筐",N(对接源_01水果!$U924)&lt;&gt;0)),1,0)</f>
        <v>0</v>
      </c>
      <c r="S924" s="1" t="n">
        <f aca="false">N(S923)+$R924</f>
        <v>0</v>
      </c>
      <c r="T924" s="1" t="n">
        <f aca="false">IF(AND($K924=1,AND(对接源_01水果!$X924="公司筐",N(对接源_01水果!$V924)&lt;&gt;0)),1,0)</f>
        <v>0</v>
      </c>
      <c r="U924" s="1" t="n">
        <f aca="false">N(U923)+$T924</f>
        <v>28</v>
      </c>
      <c r="V924" s="1" t="n">
        <f aca="false">IF(AND($L924=1,AND(对接源_01水果!$X924="自备筐",N(对接源_01水果!$V924)&lt;&gt;0)),1,0)</f>
        <v>0</v>
      </c>
      <c r="W924" s="1" t="n">
        <f aca="false">N(W923)+$V924</f>
        <v>7</v>
      </c>
      <c r="X924" s="1" t="n">
        <f aca="false">IF(AND($L924=1,AND(对接源_01水果!$X924="自备筐",N(对接源_01水果!$T924)&lt;&gt;0)),1,0)</f>
        <v>0</v>
      </c>
      <c r="Y924" s="1" t="n">
        <f aca="false">N(Y923)+$X924</f>
        <v>0</v>
      </c>
      <c r="Z924" s="1" t="n">
        <f aca="false">IF(AND($M924=1,对接源_01水果!$D924="原料入库"),1,0)</f>
        <v>0</v>
      </c>
      <c r="AA924" s="1" t="n">
        <f aca="false">N(AA923)+$Z924</f>
        <v>30</v>
      </c>
      <c r="AB924" s="1" t="n">
        <f aca="false">IF(AND($M924=1,LEFT(对接源_01水果!$D924,4)="原料出库"),1,0)</f>
        <v>0</v>
      </c>
      <c r="AC924" s="1" t="n">
        <f aca="false">N(AC923)+$AB924</f>
        <v>19</v>
      </c>
      <c r="AD924" s="1" t="n">
        <f aca="false">IF(AND($M924=1,LEFT(对接源_01水果!$D924,4)="成品出库"),1,0)</f>
        <v>0</v>
      </c>
      <c r="AE924" s="1" t="n">
        <f aca="false">N(AE923)+$AD924</f>
        <v>38</v>
      </c>
      <c r="AF924" s="1" t="n">
        <f aca="false">IF(AND($N924=1,AND(LEFT(对接源_01水果!$D924,4)="包装物料",N(对接源_01水果!$K924)&lt;&gt;0)),1,0)</f>
        <v>0</v>
      </c>
      <c r="AG924" s="90" t="str">
        <f aca="false">IF(对接源_01水果!$AC924="","",对接源_01水果!$AC924)</f>
        <v/>
      </c>
      <c r="AH924" s="1" t="n">
        <f aca="false">IF(AND($N924=1,AND(LEFT(对接源_01水果!$D924,3)="周转筐",N(对接源_01水果!$K924)&lt;&gt;0)),1,0)</f>
        <v>0</v>
      </c>
      <c r="AI924" s="90" t="n">
        <f aca="false">IF(AG924="",0,IF(MATCH(AG924,$AG$4:$AG$1203,0)=ROW()-3,1,0))</f>
        <v>0</v>
      </c>
      <c r="AJ924" s="90" t="n">
        <f aca="false">N(AJ923)+AI924</f>
        <v>4</v>
      </c>
      <c r="AK924" s="1" t="n">
        <f aca="false">N(AK923)+$AJ924</f>
        <v>2556</v>
      </c>
    </row>
    <row r="925" customFormat="false" ht="13.5" hidden="false" customHeight="false" outlineLevel="0" collapsed="false">
      <c r="A925" s="1" t="str">
        <f aca="false">IF(对接源_01水果!$C925="","",对接源_01水果!$C925)</f>
        <v/>
      </c>
      <c r="B925" s="1" t="n">
        <f aca="false">IF(A925="",0,IF(MATCH(A925,$A$4:$A$2403,0)=ROW()-3,1,0))</f>
        <v>0</v>
      </c>
      <c r="C925" s="1" t="n">
        <f aca="false">N(C924)+B925</f>
        <v>13</v>
      </c>
      <c r="K925" s="1" t="n">
        <f aca="false">IF(OR($K$1="",对接源_01水果!$C925="",对接源_01水果!$C925&lt;&gt;$K$1,对接源_01水果!$B925=""),0,IF(OR(N(对接源_01水果!$B925)&lt;$K$2,N(对接源_01水果!$B925)&gt;$K$3),0,1))</f>
        <v>0</v>
      </c>
      <c r="L925" s="1" t="n">
        <f aca="false">IF(OR($L$1="",对接源_01水果!$C925="",对接源_01水果!$C925&lt;&gt;$L$1,对接源_01水果!$B925=""),0,IF(OR(N(对接源_01水果!$B925)&lt;$L$2,N(对接源_01水果!$B925)&gt;$L$3),0,1))</f>
        <v>0</v>
      </c>
      <c r="M925" s="1" t="n">
        <f aca="false">IF(OR($M$1="",对接源_01水果!$C925="",对接源_01水果!$C925&lt;&gt;$M$1,对接源_01水果!$B925=""),0,IF(OR(N(对接源_01水果!$B925)&lt;$M$2,N(对接源_01水果!$B925)&gt;$M$3),0,1))</f>
        <v>0</v>
      </c>
      <c r="N925" s="1" t="n">
        <f aca="false">IF(OR($N$1="",对接源_01水果!$C925="",对接源_01水果!$C925&lt;&gt;$N$1,对接源_01水果!$B925=""),0,IF(OR(N(对接源_01水果!$B925)&lt;$N$2,N(对接源_01水果!$B925)&gt;$N$3),0,1))</f>
        <v>0</v>
      </c>
      <c r="P925" s="1" t="n">
        <f aca="false">IF(AND($K925=1,AND(对接源_01水果!$X925="公司筐",N(对接源_01水果!$T925)&lt;&gt;0)),1,0)</f>
        <v>0</v>
      </c>
      <c r="Q925" s="1" t="n">
        <f aca="false">N(Q924)+$P925</f>
        <v>3</v>
      </c>
      <c r="R925" s="1" t="n">
        <f aca="false">IF(AND($K925=1,AND(对接源_01水果!$X925="公司筐",N(对接源_01水果!$U925)&lt;&gt;0)),1,0)</f>
        <v>0</v>
      </c>
      <c r="S925" s="1" t="n">
        <f aca="false">N(S924)+$R925</f>
        <v>0</v>
      </c>
      <c r="T925" s="1" t="n">
        <f aca="false">IF(AND($K925=1,AND(对接源_01水果!$X925="公司筐",N(对接源_01水果!$V925)&lt;&gt;0)),1,0)</f>
        <v>0</v>
      </c>
      <c r="U925" s="1" t="n">
        <f aca="false">N(U924)+$T925</f>
        <v>28</v>
      </c>
      <c r="V925" s="1" t="n">
        <f aca="false">IF(AND($L925=1,AND(对接源_01水果!$X925="自备筐",N(对接源_01水果!$V925)&lt;&gt;0)),1,0)</f>
        <v>0</v>
      </c>
      <c r="W925" s="1" t="n">
        <f aca="false">N(W924)+$V925</f>
        <v>7</v>
      </c>
      <c r="X925" s="1" t="n">
        <f aca="false">IF(AND($L925=1,AND(对接源_01水果!$X925="自备筐",N(对接源_01水果!$T925)&lt;&gt;0)),1,0)</f>
        <v>0</v>
      </c>
      <c r="Y925" s="1" t="n">
        <f aca="false">N(Y924)+$X925</f>
        <v>0</v>
      </c>
      <c r="Z925" s="1" t="n">
        <f aca="false">IF(AND($M925=1,对接源_01水果!$D925="原料入库"),1,0)</f>
        <v>0</v>
      </c>
      <c r="AA925" s="1" t="n">
        <f aca="false">N(AA924)+$Z925</f>
        <v>30</v>
      </c>
      <c r="AB925" s="1" t="n">
        <f aca="false">IF(AND($M925=1,LEFT(对接源_01水果!$D925,4)="原料出库"),1,0)</f>
        <v>0</v>
      </c>
      <c r="AC925" s="1" t="n">
        <f aca="false">N(AC924)+$AB925</f>
        <v>19</v>
      </c>
      <c r="AD925" s="1" t="n">
        <f aca="false">IF(AND($M925=1,LEFT(对接源_01水果!$D925,4)="成品出库"),1,0)</f>
        <v>0</v>
      </c>
      <c r="AE925" s="1" t="n">
        <f aca="false">N(AE924)+$AD925</f>
        <v>38</v>
      </c>
      <c r="AF925" s="1" t="n">
        <f aca="false">IF(AND($N925=1,AND(LEFT(对接源_01水果!$D925,4)="包装物料",N(对接源_01水果!$K925)&lt;&gt;0)),1,0)</f>
        <v>0</v>
      </c>
      <c r="AG925" s="90" t="str">
        <f aca="false">IF(对接源_01水果!$AC925="","",对接源_01水果!$AC925)</f>
        <v/>
      </c>
      <c r="AH925" s="1" t="n">
        <f aca="false">IF(AND($N925=1,AND(LEFT(对接源_01水果!$D925,3)="周转筐",N(对接源_01水果!$K925)&lt;&gt;0)),1,0)</f>
        <v>0</v>
      </c>
      <c r="AI925" s="90" t="n">
        <f aca="false">IF(AG925="",0,IF(MATCH(AG925,$AG$4:$AG$1203,0)=ROW()-3,1,0))</f>
        <v>0</v>
      </c>
      <c r="AJ925" s="90" t="n">
        <f aca="false">N(AJ924)+AI925</f>
        <v>4</v>
      </c>
      <c r="AK925" s="1" t="n">
        <f aca="false">N(AK924)+$AJ925</f>
        <v>2560</v>
      </c>
    </row>
    <row r="926" customFormat="false" ht="13.5" hidden="false" customHeight="false" outlineLevel="0" collapsed="false">
      <c r="A926" s="1" t="str">
        <f aca="false">IF(对接源_01水果!$C926="","",对接源_01水果!$C926)</f>
        <v/>
      </c>
      <c r="B926" s="1" t="n">
        <f aca="false">IF(A926="",0,IF(MATCH(A926,$A$4:$A$2403,0)=ROW()-3,1,0))</f>
        <v>0</v>
      </c>
      <c r="C926" s="1" t="n">
        <f aca="false">N(C925)+B926</f>
        <v>13</v>
      </c>
      <c r="K926" s="1" t="n">
        <f aca="false">IF(OR($K$1="",对接源_01水果!$C926="",对接源_01水果!$C926&lt;&gt;$K$1,对接源_01水果!$B926=""),0,IF(OR(N(对接源_01水果!$B926)&lt;$K$2,N(对接源_01水果!$B926)&gt;$K$3),0,1))</f>
        <v>0</v>
      </c>
      <c r="L926" s="1" t="n">
        <f aca="false">IF(OR($L$1="",对接源_01水果!$C926="",对接源_01水果!$C926&lt;&gt;$L$1,对接源_01水果!$B926=""),0,IF(OR(N(对接源_01水果!$B926)&lt;$L$2,N(对接源_01水果!$B926)&gt;$L$3),0,1))</f>
        <v>0</v>
      </c>
      <c r="M926" s="1" t="n">
        <f aca="false">IF(OR($M$1="",对接源_01水果!$C926="",对接源_01水果!$C926&lt;&gt;$M$1,对接源_01水果!$B926=""),0,IF(OR(N(对接源_01水果!$B926)&lt;$M$2,N(对接源_01水果!$B926)&gt;$M$3),0,1))</f>
        <v>0</v>
      </c>
      <c r="N926" s="1" t="n">
        <f aca="false">IF(OR($N$1="",对接源_01水果!$C926="",对接源_01水果!$C926&lt;&gt;$N$1,对接源_01水果!$B926=""),0,IF(OR(N(对接源_01水果!$B926)&lt;$N$2,N(对接源_01水果!$B926)&gt;$N$3),0,1))</f>
        <v>0</v>
      </c>
      <c r="P926" s="1" t="n">
        <f aca="false">IF(AND($K926=1,AND(对接源_01水果!$X926="公司筐",N(对接源_01水果!$T926)&lt;&gt;0)),1,0)</f>
        <v>0</v>
      </c>
      <c r="Q926" s="1" t="n">
        <f aca="false">N(Q925)+$P926</f>
        <v>3</v>
      </c>
      <c r="R926" s="1" t="n">
        <f aca="false">IF(AND($K926=1,AND(对接源_01水果!$X926="公司筐",N(对接源_01水果!$U926)&lt;&gt;0)),1,0)</f>
        <v>0</v>
      </c>
      <c r="S926" s="1" t="n">
        <f aca="false">N(S925)+$R926</f>
        <v>0</v>
      </c>
      <c r="T926" s="1" t="n">
        <f aca="false">IF(AND($K926=1,AND(对接源_01水果!$X926="公司筐",N(对接源_01水果!$V926)&lt;&gt;0)),1,0)</f>
        <v>0</v>
      </c>
      <c r="U926" s="1" t="n">
        <f aca="false">N(U925)+$T926</f>
        <v>28</v>
      </c>
      <c r="V926" s="1" t="n">
        <f aca="false">IF(AND($L926=1,AND(对接源_01水果!$X926="自备筐",N(对接源_01水果!$V926)&lt;&gt;0)),1,0)</f>
        <v>0</v>
      </c>
      <c r="W926" s="1" t="n">
        <f aca="false">N(W925)+$V926</f>
        <v>7</v>
      </c>
      <c r="X926" s="1" t="n">
        <f aca="false">IF(AND($L926=1,AND(对接源_01水果!$X926="自备筐",N(对接源_01水果!$T926)&lt;&gt;0)),1,0)</f>
        <v>0</v>
      </c>
      <c r="Y926" s="1" t="n">
        <f aca="false">N(Y925)+$X926</f>
        <v>0</v>
      </c>
      <c r="Z926" s="1" t="n">
        <f aca="false">IF(AND($M926=1,对接源_01水果!$D926="原料入库"),1,0)</f>
        <v>0</v>
      </c>
      <c r="AA926" s="1" t="n">
        <f aca="false">N(AA925)+$Z926</f>
        <v>30</v>
      </c>
      <c r="AB926" s="1" t="n">
        <f aca="false">IF(AND($M926=1,LEFT(对接源_01水果!$D926,4)="原料出库"),1,0)</f>
        <v>0</v>
      </c>
      <c r="AC926" s="1" t="n">
        <f aca="false">N(AC925)+$AB926</f>
        <v>19</v>
      </c>
      <c r="AD926" s="1" t="n">
        <f aca="false">IF(AND($M926=1,LEFT(对接源_01水果!$D926,4)="成品出库"),1,0)</f>
        <v>0</v>
      </c>
      <c r="AE926" s="1" t="n">
        <f aca="false">N(AE925)+$AD926</f>
        <v>38</v>
      </c>
      <c r="AF926" s="1" t="n">
        <f aca="false">IF(AND($N926=1,AND(LEFT(对接源_01水果!$D926,4)="包装物料",N(对接源_01水果!$K926)&lt;&gt;0)),1,0)</f>
        <v>0</v>
      </c>
      <c r="AG926" s="90" t="str">
        <f aca="false">IF(对接源_01水果!$AC926="","",对接源_01水果!$AC926)</f>
        <v/>
      </c>
      <c r="AH926" s="1" t="n">
        <f aca="false">IF(AND($N926=1,AND(LEFT(对接源_01水果!$D926,3)="周转筐",N(对接源_01水果!$K926)&lt;&gt;0)),1,0)</f>
        <v>0</v>
      </c>
      <c r="AI926" s="90" t="n">
        <f aca="false">IF(AG926="",0,IF(MATCH(AG926,$AG$4:$AG$1203,0)=ROW()-3,1,0))</f>
        <v>0</v>
      </c>
      <c r="AJ926" s="90" t="n">
        <f aca="false">N(AJ925)+AI926</f>
        <v>4</v>
      </c>
      <c r="AK926" s="1" t="n">
        <f aca="false">N(AK925)+$AJ926</f>
        <v>2564</v>
      </c>
    </row>
    <row r="927" customFormat="false" ht="13.5" hidden="false" customHeight="false" outlineLevel="0" collapsed="false">
      <c r="A927" s="1" t="str">
        <f aca="false">IF(对接源_01水果!$C927="","",对接源_01水果!$C927)</f>
        <v/>
      </c>
      <c r="B927" s="1" t="n">
        <f aca="false">IF(A927="",0,IF(MATCH(A927,$A$4:$A$2403,0)=ROW()-3,1,0))</f>
        <v>0</v>
      </c>
      <c r="C927" s="1" t="n">
        <f aca="false">N(C926)+B927</f>
        <v>13</v>
      </c>
      <c r="K927" s="1" t="n">
        <f aca="false">IF(OR($K$1="",对接源_01水果!$C927="",对接源_01水果!$C927&lt;&gt;$K$1,对接源_01水果!$B927=""),0,IF(OR(N(对接源_01水果!$B927)&lt;$K$2,N(对接源_01水果!$B927)&gt;$K$3),0,1))</f>
        <v>0</v>
      </c>
      <c r="L927" s="1" t="n">
        <f aca="false">IF(OR($L$1="",对接源_01水果!$C927="",对接源_01水果!$C927&lt;&gt;$L$1,对接源_01水果!$B927=""),0,IF(OR(N(对接源_01水果!$B927)&lt;$L$2,N(对接源_01水果!$B927)&gt;$L$3),0,1))</f>
        <v>0</v>
      </c>
      <c r="M927" s="1" t="n">
        <f aca="false">IF(OR($M$1="",对接源_01水果!$C927="",对接源_01水果!$C927&lt;&gt;$M$1,对接源_01水果!$B927=""),0,IF(OR(N(对接源_01水果!$B927)&lt;$M$2,N(对接源_01水果!$B927)&gt;$M$3),0,1))</f>
        <v>0</v>
      </c>
      <c r="N927" s="1" t="n">
        <f aca="false">IF(OR($N$1="",对接源_01水果!$C927="",对接源_01水果!$C927&lt;&gt;$N$1,对接源_01水果!$B927=""),0,IF(OR(N(对接源_01水果!$B927)&lt;$N$2,N(对接源_01水果!$B927)&gt;$N$3),0,1))</f>
        <v>0</v>
      </c>
      <c r="P927" s="1" t="n">
        <f aca="false">IF(AND($K927=1,AND(对接源_01水果!$X927="公司筐",N(对接源_01水果!$T927)&lt;&gt;0)),1,0)</f>
        <v>0</v>
      </c>
      <c r="Q927" s="1" t="n">
        <f aca="false">N(Q926)+$P927</f>
        <v>3</v>
      </c>
      <c r="R927" s="1" t="n">
        <f aca="false">IF(AND($K927=1,AND(对接源_01水果!$X927="公司筐",N(对接源_01水果!$U927)&lt;&gt;0)),1,0)</f>
        <v>0</v>
      </c>
      <c r="S927" s="1" t="n">
        <f aca="false">N(S926)+$R927</f>
        <v>0</v>
      </c>
      <c r="T927" s="1" t="n">
        <f aca="false">IF(AND($K927=1,AND(对接源_01水果!$X927="公司筐",N(对接源_01水果!$V927)&lt;&gt;0)),1,0)</f>
        <v>0</v>
      </c>
      <c r="U927" s="1" t="n">
        <f aca="false">N(U926)+$T927</f>
        <v>28</v>
      </c>
      <c r="V927" s="1" t="n">
        <f aca="false">IF(AND($L927=1,AND(对接源_01水果!$X927="自备筐",N(对接源_01水果!$V927)&lt;&gt;0)),1,0)</f>
        <v>0</v>
      </c>
      <c r="W927" s="1" t="n">
        <f aca="false">N(W926)+$V927</f>
        <v>7</v>
      </c>
      <c r="X927" s="1" t="n">
        <f aca="false">IF(AND($L927=1,AND(对接源_01水果!$X927="自备筐",N(对接源_01水果!$T927)&lt;&gt;0)),1,0)</f>
        <v>0</v>
      </c>
      <c r="Y927" s="1" t="n">
        <f aca="false">N(Y926)+$X927</f>
        <v>0</v>
      </c>
      <c r="Z927" s="1" t="n">
        <f aca="false">IF(AND($M927=1,对接源_01水果!$D927="原料入库"),1,0)</f>
        <v>0</v>
      </c>
      <c r="AA927" s="1" t="n">
        <f aca="false">N(AA926)+$Z927</f>
        <v>30</v>
      </c>
      <c r="AB927" s="1" t="n">
        <f aca="false">IF(AND($M927=1,LEFT(对接源_01水果!$D927,4)="原料出库"),1,0)</f>
        <v>0</v>
      </c>
      <c r="AC927" s="1" t="n">
        <f aca="false">N(AC926)+$AB927</f>
        <v>19</v>
      </c>
      <c r="AD927" s="1" t="n">
        <f aca="false">IF(AND($M927=1,LEFT(对接源_01水果!$D927,4)="成品出库"),1,0)</f>
        <v>0</v>
      </c>
      <c r="AE927" s="1" t="n">
        <f aca="false">N(AE926)+$AD927</f>
        <v>38</v>
      </c>
      <c r="AF927" s="1" t="n">
        <f aca="false">IF(AND($N927=1,AND(LEFT(对接源_01水果!$D927,4)="包装物料",N(对接源_01水果!$K927)&lt;&gt;0)),1,0)</f>
        <v>0</v>
      </c>
      <c r="AG927" s="90" t="str">
        <f aca="false">IF(对接源_01水果!$AC927="","",对接源_01水果!$AC927)</f>
        <v/>
      </c>
      <c r="AH927" s="1" t="n">
        <f aca="false">IF(AND($N927=1,AND(LEFT(对接源_01水果!$D927,3)="周转筐",N(对接源_01水果!$K927)&lt;&gt;0)),1,0)</f>
        <v>0</v>
      </c>
      <c r="AI927" s="90" t="n">
        <f aca="false">IF(AG927="",0,IF(MATCH(AG927,$AG$4:$AG$1203,0)=ROW()-3,1,0))</f>
        <v>0</v>
      </c>
      <c r="AJ927" s="90" t="n">
        <f aca="false">N(AJ926)+AI927</f>
        <v>4</v>
      </c>
      <c r="AK927" s="1" t="n">
        <f aca="false">N(AK926)+$AJ927</f>
        <v>2568</v>
      </c>
    </row>
    <row r="928" customFormat="false" ht="13.5" hidden="false" customHeight="false" outlineLevel="0" collapsed="false">
      <c r="A928" s="1" t="str">
        <f aca="false">IF(对接源_01水果!$C928="","",对接源_01水果!$C928)</f>
        <v/>
      </c>
      <c r="B928" s="1" t="n">
        <f aca="false">IF(A928="",0,IF(MATCH(A928,$A$4:$A$2403,0)=ROW()-3,1,0))</f>
        <v>0</v>
      </c>
      <c r="C928" s="1" t="n">
        <f aca="false">N(C927)+B928</f>
        <v>13</v>
      </c>
      <c r="K928" s="1" t="n">
        <f aca="false">IF(OR($K$1="",对接源_01水果!$C928="",对接源_01水果!$C928&lt;&gt;$K$1,对接源_01水果!$B928=""),0,IF(OR(N(对接源_01水果!$B928)&lt;$K$2,N(对接源_01水果!$B928)&gt;$K$3),0,1))</f>
        <v>0</v>
      </c>
      <c r="L928" s="1" t="n">
        <f aca="false">IF(OR($L$1="",对接源_01水果!$C928="",对接源_01水果!$C928&lt;&gt;$L$1,对接源_01水果!$B928=""),0,IF(OR(N(对接源_01水果!$B928)&lt;$L$2,N(对接源_01水果!$B928)&gt;$L$3),0,1))</f>
        <v>0</v>
      </c>
      <c r="M928" s="1" t="n">
        <f aca="false">IF(OR($M$1="",对接源_01水果!$C928="",对接源_01水果!$C928&lt;&gt;$M$1,对接源_01水果!$B928=""),0,IF(OR(N(对接源_01水果!$B928)&lt;$M$2,N(对接源_01水果!$B928)&gt;$M$3),0,1))</f>
        <v>0</v>
      </c>
      <c r="N928" s="1" t="n">
        <f aca="false">IF(OR($N$1="",对接源_01水果!$C928="",对接源_01水果!$C928&lt;&gt;$N$1,对接源_01水果!$B928=""),0,IF(OR(N(对接源_01水果!$B928)&lt;$N$2,N(对接源_01水果!$B928)&gt;$N$3),0,1))</f>
        <v>0</v>
      </c>
      <c r="P928" s="1" t="n">
        <f aca="false">IF(AND($K928=1,AND(对接源_01水果!$X928="公司筐",N(对接源_01水果!$T928)&lt;&gt;0)),1,0)</f>
        <v>0</v>
      </c>
      <c r="Q928" s="1" t="n">
        <f aca="false">N(Q927)+$P928</f>
        <v>3</v>
      </c>
      <c r="R928" s="1" t="n">
        <f aca="false">IF(AND($K928=1,AND(对接源_01水果!$X928="公司筐",N(对接源_01水果!$U928)&lt;&gt;0)),1,0)</f>
        <v>0</v>
      </c>
      <c r="S928" s="1" t="n">
        <f aca="false">N(S927)+$R928</f>
        <v>0</v>
      </c>
      <c r="T928" s="1" t="n">
        <f aca="false">IF(AND($K928=1,AND(对接源_01水果!$X928="公司筐",N(对接源_01水果!$V928)&lt;&gt;0)),1,0)</f>
        <v>0</v>
      </c>
      <c r="U928" s="1" t="n">
        <f aca="false">N(U927)+$T928</f>
        <v>28</v>
      </c>
      <c r="V928" s="1" t="n">
        <f aca="false">IF(AND($L928=1,AND(对接源_01水果!$X928="自备筐",N(对接源_01水果!$V928)&lt;&gt;0)),1,0)</f>
        <v>0</v>
      </c>
      <c r="W928" s="1" t="n">
        <f aca="false">N(W927)+$V928</f>
        <v>7</v>
      </c>
      <c r="X928" s="1" t="n">
        <f aca="false">IF(AND($L928=1,AND(对接源_01水果!$X928="自备筐",N(对接源_01水果!$T928)&lt;&gt;0)),1,0)</f>
        <v>0</v>
      </c>
      <c r="Y928" s="1" t="n">
        <f aca="false">N(Y927)+$X928</f>
        <v>0</v>
      </c>
      <c r="Z928" s="1" t="n">
        <f aca="false">IF(AND($M928=1,对接源_01水果!$D928="原料入库"),1,0)</f>
        <v>0</v>
      </c>
      <c r="AA928" s="1" t="n">
        <f aca="false">N(AA927)+$Z928</f>
        <v>30</v>
      </c>
      <c r="AB928" s="1" t="n">
        <f aca="false">IF(AND($M928=1,LEFT(对接源_01水果!$D928,4)="原料出库"),1,0)</f>
        <v>0</v>
      </c>
      <c r="AC928" s="1" t="n">
        <f aca="false">N(AC927)+$AB928</f>
        <v>19</v>
      </c>
      <c r="AD928" s="1" t="n">
        <f aca="false">IF(AND($M928=1,LEFT(对接源_01水果!$D928,4)="成品出库"),1,0)</f>
        <v>0</v>
      </c>
      <c r="AE928" s="1" t="n">
        <f aca="false">N(AE927)+$AD928</f>
        <v>38</v>
      </c>
      <c r="AF928" s="1" t="n">
        <f aca="false">IF(AND($N928=1,AND(LEFT(对接源_01水果!$D928,4)="包装物料",N(对接源_01水果!$K928)&lt;&gt;0)),1,0)</f>
        <v>0</v>
      </c>
      <c r="AG928" s="90" t="str">
        <f aca="false">IF(对接源_01水果!$AC928="","",对接源_01水果!$AC928)</f>
        <v/>
      </c>
      <c r="AH928" s="1" t="n">
        <f aca="false">IF(AND($N928=1,AND(LEFT(对接源_01水果!$D928,3)="周转筐",N(对接源_01水果!$K928)&lt;&gt;0)),1,0)</f>
        <v>0</v>
      </c>
      <c r="AI928" s="90" t="n">
        <f aca="false">IF(AG928="",0,IF(MATCH(AG928,$AG$4:$AG$1203,0)=ROW()-3,1,0))</f>
        <v>0</v>
      </c>
      <c r="AJ928" s="90" t="n">
        <f aca="false">N(AJ927)+AI928</f>
        <v>4</v>
      </c>
      <c r="AK928" s="1" t="n">
        <f aca="false">N(AK927)+$AJ928</f>
        <v>2572</v>
      </c>
    </row>
    <row r="929" customFormat="false" ht="13.5" hidden="false" customHeight="false" outlineLevel="0" collapsed="false">
      <c r="A929" s="1" t="str">
        <f aca="false">IF(对接源_01水果!$C929="","",对接源_01水果!$C929)</f>
        <v/>
      </c>
      <c r="B929" s="1" t="n">
        <f aca="false">IF(A929="",0,IF(MATCH(A929,$A$4:$A$2403,0)=ROW()-3,1,0))</f>
        <v>0</v>
      </c>
      <c r="C929" s="1" t="n">
        <f aca="false">N(C928)+B929</f>
        <v>13</v>
      </c>
      <c r="K929" s="1" t="n">
        <f aca="false">IF(OR($K$1="",对接源_01水果!$C929="",对接源_01水果!$C929&lt;&gt;$K$1,对接源_01水果!$B929=""),0,IF(OR(N(对接源_01水果!$B929)&lt;$K$2,N(对接源_01水果!$B929)&gt;$K$3),0,1))</f>
        <v>0</v>
      </c>
      <c r="L929" s="1" t="n">
        <f aca="false">IF(OR($L$1="",对接源_01水果!$C929="",对接源_01水果!$C929&lt;&gt;$L$1,对接源_01水果!$B929=""),0,IF(OR(N(对接源_01水果!$B929)&lt;$L$2,N(对接源_01水果!$B929)&gt;$L$3),0,1))</f>
        <v>0</v>
      </c>
      <c r="M929" s="1" t="n">
        <f aca="false">IF(OR($M$1="",对接源_01水果!$C929="",对接源_01水果!$C929&lt;&gt;$M$1,对接源_01水果!$B929=""),0,IF(OR(N(对接源_01水果!$B929)&lt;$M$2,N(对接源_01水果!$B929)&gt;$M$3),0,1))</f>
        <v>0</v>
      </c>
      <c r="N929" s="1" t="n">
        <f aca="false">IF(OR($N$1="",对接源_01水果!$C929="",对接源_01水果!$C929&lt;&gt;$N$1,对接源_01水果!$B929=""),0,IF(OR(N(对接源_01水果!$B929)&lt;$N$2,N(对接源_01水果!$B929)&gt;$N$3),0,1))</f>
        <v>0</v>
      </c>
      <c r="P929" s="1" t="n">
        <f aca="false">IF(AND($K929=1,AND(对接源_01水果!$X929="公司筐",N(对接源_01水果!$T929)&lt;&gt;0)),1,0)</f>
        <v>0</v>
      </c>
      <c r="Q929" s="1" t="n">
        <f aca="false">N(Q928)+$P929</f>
        <v>3</v>
      </c>
      <c r="R929" s="1" t="n">
        <f aca="false">IF(AND($K929=1,AND(对接源_01水果!$X929="公司筐",N(对接源_01水果!$U929)&lt;&gt;0)),1,0)</f>
        <v>0</v>
      </c>
      <c r="S929" s="1" t="n">
        <f aca="false">N(S928)+$R929</f>
        <v>0</v>
      </c>
      <c r="T929" s="1" t="n">
        <f aca="false">IF(AND($K929=1,AND(对接源_01水果!$X929="公司筐",N(对接源_01水果!$V929)&lt;&gt;0)),1,0)</f>
        <v>0</v>
      </c>
      <c r="U929" s="1" t="n">
        <f aca="false">N(U928)+$T929</f>
        <v>28</v>
      </c>
      <c r="V929" s="1" t="n">
        <f aca="false">IF(AND($L929=1,AND(对接源_01水果!$X929="自备筐",N(对接源_01水果!$V929)&lt;&gt;0)),1,0)</f>
        <v>0</v>
      </c>
      <c r="W929" s="1" t="n">
        <f aca="false">N(W928)+$V929</f>
        <v>7</v>
      </c>
      <c r="X929" s="1" t="n">
        <f aca="false">IF(AND($L929=1,AND(对接源_01水果!$X929="自备筐",N(对接源_01水果!$T929)&lt;&gt;0)),1,0)</f>
        <v>0</v>
      </c>
      <c r="Y929" s="1" t="n">
        <f aca="false">N(Y928)+$X929</f>
        <v>0</v>
      </c>
      <c r="Z929" s="1" t="n">
        <f aca="false">IF(AND($M929=1,对接源_01水果!$D929="原料入库"),1,0)</f>
        <v>0</v>
      </c>
      <c r="AA929" s="1" t="n">
        <f aca="false">N(AA928)+$Z929</f>
        <v>30</v>
      </c>
      <c r="AB929" s="1" t="n">
        <f aca="false">IF(AND($M929=1,LEFT(对接源_01水果!$D929,4)="原料出库"),1,0)</f>
        <v>0</v>
      </c>
      <c r="AC929" s="1" t="n">
        <f aca="false">N(AC928)+$AB929</f>
        <v>19</v>
      </c>
      <c r="AD929" s="1" t="n">
        <f aca="false">IF(AND($M929=1,LEFT(对接源_01水果!$D929,4)="成品出库"),1,0)</f>
        <v>0</v>
      </c>
      <c r="AE929" s="1" t="n">
        <f aca="false">N(AE928)+$AD929</f>
        <v>38</v>
      </c>
      <c r="AF929" s="1" t="n">
        <f aca="false">IF(AND($N929=1,AND(LEFT(对接源_01水果!$D929,4)="包装物料",N(对接源_01水果!$K929)&lt;&gt;0)),1,0)</f>
        <v>0</v>
      </c>
      <c r="AG929" s="90" t="str">
        <f aca="false">IF(对接源_01水果!$AC929="","",对接源_01水果!$AC929)</f>
        <v/>
      </c>
      <c r="AH929" s="1" t="n">
        <f aca="false">IF(AND($N929=1,AND(LEFT(对接源_01水果!$D929,3)="周转筐",N(对接源_01水果!$K929)&lt;&gt;0)),1,0)</f>
        <v>0</v>
      </c>
      <c r="AI929" s="90" t="n">
        <f aca="false">IF(AG929="",0,IF(MATCH(AG929,$AG$4:$AG$1203,0)=ROW()-3,1,0))</f>
        <v>0</v>
      </c>
      <c r="AJ929" s="90" t="n">
        <f aca="false">N(AJ928)+AI929</f>
        <v>4</v>
      </c>
      <c r="AK929" s="1" t="n">
        <f aca="false">N(AK928)+$AJ929</f>
        <v>2576</v>
      </c>
    </row>
    <row r="930" customFormat="false" ht="13.5" hidden="false" customHeight="false" outlineLevel="0" collapsed="false">
      <c r="A930" s="1" t="str">
        <f aca="false">IF(对接源_01水果!$C930="","",对接源_01水果!$C930)</f>
        <v/>
      </c>
      <c r="B930" s="1" t="n">
        <f aca="false">IF(A930="",0,IF(MATCH(A930,$A$4:$A$2403,0)=ROW()-3,1,0))</f>
        <v>0</v>
      </c>
      <c r="C930" s="1" t="n">
        <f aca="false">N(C929)+B930</f>
        <v>13</v>
      </c>
      <c r="K930" s="1" t="n">
        <f aca="false">IF(OR($K$1="",对接源_01水果!$C930="",对接源_01水果!$C930&lt;&gt;$K$1,对接源_01水果!$B930=""),0,IF(OR(N(对接源_01水果!$B930)&lt;$K$2,N(对接源_01水果!$B930)&gt;$K$3),0,1))</f>
        <v>0</v>
      </c>
      <c r="L930" s="1" t="n">
        <f aca="false">IF(OR($L$1="",对接源_01水果!$C930="",对接源_01水果!$C930&lt;&gt;$L$1,对接源_01水果!$B930=""),0,IF(OR(N(对接源_01水果!$B930)&lt;$L$2,N(对接源_01水果!$B930)&gt;$L$3),0,1))</f>
        <v>0</v>
      </c>
      <c r="M930" s="1" t="n">
        <f aca="false">IF(OR($M$1="",对接源_01水果!$C930="",对接源_01水果!$C930&lt;&gt;$M$1,对接源_01水果!$B930=""),0,IF(OR(N(对接源_01水果!$B930)&lt;$M$2,N(对接源_01水果!$B930)&gt;$M$3),0,1))</f>
        <v>0</v>
      </c>
      <c r="N930" s="1" t="n">
        <f aca="false">IF(OR($N$1="",对接源_01水果!$C930="",对接源_01水果!$C930&lt;&gt;$N$1,对接源_01水果!$B930=""),0,IF(OR(N(对接源_01水果!$B930)&lt;$N$2,N(对接源_01水果!$B930)&gt;$N$3),0,1))</f>
        <v>0</v>
      </c>
      <c r="P930" s="1" t="n">
        <f aca="false">IF(AND($K930=1,AND(对接源_01水果!$X930="公司筐",N(对接源_01水果!$T930)&lt;&gt;0)),1,0)</f>
        <v>0</v>
      </c>
      <c r="Q930" s="1" t="n">
        <f aca="false">N(Q929)+$P930</f>
        <v>3</v>
      </c>
      <c r="R930" s="1" t="n">
        <f aca="false">IF(AND($K930=1,AND(对接源_01水果!$X930="公司筐",N(对接源_01水果!$U930)&lt;&gt;0)),1,0)</f>
        <v>0</v>
      </c>
      <c r="S930" s="1" t="n">
        <f aca="false">N(S929)+$R930</f>
        <v>0</v>
      </c>
      <c r="T930" s="1" t="n">
        <f aca="false">IF(AND($K930=1,AND(对接源_01水果!$X930="公司筐",N(对接源_01水果!$V930)&lt;&gt;0)),1,0)</f>
        <v>0</v>
      </c>
      <c r="U930" s="1" t="n">
        <f aca="false">N(U929)+$T930</f>
        <v>28</v>
      </c>
      <c r="V930" s="1" t="n">
        <f aca="false">IF(AND($L930=1,AND(对接源_01水果!$X930="自备筐",N(对接源_01水果!$V930)&lt;&gt;0)),1,0)</f>
        <v>0</v>
      </c>
      <c r="W930" s="1" t="n">
        <f aca="false">N(W929)+$V930</f>
        <v>7</v>
      </c>
      <c r="X930" s="1" t="n">
        <f aca="false">IF(AND($L930=1,AND(对接源_01水果!$X930="自备筐",N(对接源_01水果!$T930)&lt;&gt;0)),1,0)</f>
        <v>0</v>
      </c>
      <c r="Y930" s="1" t="n">
        <f aca="false">N(Y929)+$X930</f>
        <v>0</v>
      </c>
      <c r="Z930" s="1" t="n">
        <f aca="false">IF(AND($M930=1,对接源_01水果!$D930="原料入库"),1,0)</f>
        <v>0</v>
      </c>
      <c r="AA930" s="1" t="n">
        <f aca="false">N(AA929)+$Z930</f>
        <v>30</v>
      </c>
      <c r="AB930" s="1" t="n">
        <f aca="false">IF(AND($M930=1,LEFT(对接源_01水果!$D930,4)="原料出库"),1,0)</f>
        <v>0</v>
      </c>
      <c r="AC930" s="1" t="n">
        <f aca="false">N(AC929)+$AB930</f>
        <v>19</v>
      </c>
      <c r="AD930" s="1" t="n">
        <f aca="false">IF(AND($M930=1,LEFT(对接源_01水果!$D930,4)="成品出库"),1,0)</f>
        <v>0</v>
      </c>
      <c r="AE930" s="1" t="n">
        <f aca="false">N(AE929)+$AD930</f>
        <v>38</v>
      </c>
      <c r="AF930" s="1" t="n">
        <f aca="false">IF(AND($N930=1,AND(LEFT(对接源_01水果!$D930,4)="包装物料",N(对接源_01水果!$K930)&lt;&gt;0)),1,0)</f>
        <v>0</v>
      </c>
      <c r="AG930" s="90" t="str">
        <f aca="false">IF(对接源_01水果!$AC930="","",对接源_01水果!$AC930)</f>
        <v/>
      </c>
      <c r="AH930" s="1" t="n">
        <f aca="false">IF(AND($N930=1,AND(LEFT(对接源_01水果!$D930,3)="周转筐",N(对接源_01水果!$K930)&lt;&gt;0)),1,0)</f>
        <v>0</v>
      </c>
      <c r="AI930" s="90" t="n">
        <f aca="false">IF(AG930="",0,IF(MATCH(AG930,$AG$4:$AG$1203,0)=ROW()-3,1,0))</f>
        <v>0</v>
      </c>
      <c r="AJ930" s="90" t="n">
        <f aca="false">N(AJ929)+AI930</f>
        <v>4</v>
      </c>
      <c r="AK930" s="1" t="n">
        <f aca="false">N(AK929)+$AJ930</f>
        <v>2580</v>
      </c>
    </row>
    <row r="931" customFormat="false" ht="13.5" hidden="false" customHeight="false" outlineLevel="0" collapsed="false">
      <c r="A931" s="1" t="str">
        <f aca="false">IF(对接源_01水果!$C931="","",对接源_01水果!$C931)</f>
        <v/>
      </c>
      <c r="B931" s="1" t="n">
        <f aca="false">IF(A931="",0,IF(MATCH(A931,$A$4:$A$2403,0)=ROW()-3,1,0))</f>
        <v>0</v>
      </c>
      <c r="C931" s="1" t="n">
        <f aca="false">N(C930)+B931</f>
        <v>13</v>
      </c>
      <c r="K931" s="1" t="n">
        <f aca="false">IF(OR($K$1="",对接源_01水果!$C931="",对接源_01水果!$C931&lt;&gt;$K$1,对接源_01水果!$B931=""),0,IF(OR(N(对接源_01水果!$B931)&lt;$K$2,N(对接源_01水果!$B931)&gt;$K$3),0,1))</f>
        <v>0</v>
      </c>
      <c r="L931" s="1" t="n">
        <f aca="false">IF(OR($L$1="",对接源_01水果!$C931="",对接源_01水果!$C931&lt;&gt;$L$1,对接源_01水果!$B931=""),0,IF(OR(N(对接源_01水果!$B931)&lt;$L$2,N(对接源_01水果!$B931)&gt;$L$3),0,1))</f>
        <v>0</v>
      </c>
      <c r="M931" s="1" t="n">
        <f aca="false">IF(OR($M$1="",对接源_01水果!$C931="",对接源_01水果!$C931&lt;&gt;$M$1,对接源_01水果!$B931=""),0,IF(OR(N(对接源_01水果!$B931)&lt;$M$2,N(对接源_01水果!$B931)&gt;$M$3),0,1))</f>
        <v>0</v>
      </c>
      <c r="N931" s="1" t="n">
        <f aca="false">IF(OR($N$1="",对接源_01水果!$C931="",对接源_01水果!$C931&lt;&gt;$N$1,对接源_01水果!$B931=""),0,IF(OR(N(对接源_01水果!$B931)&lt;$N$2,N(对接源_01水果!$B931)&gt;$N$3),0,1))</f>
        <v>0</v>
      </c>
      <c r="P931" s="1" t="n">
        <f aca="false">IF(AND($K931=1,AND(对接源_01水果!$X931="公司筐",N(对接源_01水果!$T931)&lt;&gt;0)),1,0)</f>
        <v>0</v>
      </c>
      <c r="Q931" s="1" t="n">
        <f aca="false">N(Q930)+$P931</f>
        <v>3</v>
      </c>
      <c r="R931" s="1" t="n">
        <f aca="false">IF(AND($K931=1,AND(对接源_01水果!$X931="公司筐",N(对接源_01水果!$U931)&lt;&gt;0)),1,0)</f>
        <v>0</v>
      </c>
      <c r="S931" s="1" t="n">
        <f aca="false">N(S930)+$R931</f>
        <v>0</v>
      </c>
      <c r="T931" s="1" t="n">
        <f aca="false">IF(AND($K931=1,AND(对接源_01水果!$X931="公司筐",N(对接源_01水果!$V931)&lt;&gt;0)),1,0)</f>
        <v>0</v>
      </c>
      <c r="U931" s="1" t="n">
        <f aca="false">N(U930)+$T931</f>
        <v>28</v>
      </c>
      <c r="V931" s="1" t="n">
        <f aca="false">IF(AND($L931=1,AND(对接源_01水果!$X931="自备筐",N(对接源_01水果!$V931)&lt;&gt;0)),1,0)</f>
        <v>0</v>
      </c>
      <c r="W931" s="1" t="n">
        <f aca="false">N(W930)+$V931</f>
        <v>7</v>
      </c>
      <c r="X931" s="1" t="n">
        <f aca="false">IF(AND($L931=1,AND(对接源_01水果!$X931="自备筐",N(对接源_01水果!$T931)&lt;&gt;0)),1,0)</f>
        <v>0</v>
      </c>
      <c r="Y931" s="1" t="n">
        <f aca="false">N(Y930)+$X931</f>
        <v>0</v>
      </c>
      <c r="Z931" s="1" t="n">
        <f aca="false">IF(AND($M931=1,对接源_01水果!$D931="原料入库"),1,0)</f>
        <v>0</v>
      </c>
      <c r="AA931" s="1" t="n">
        <f aca="false">N(AA930)+$Z931</f>
        <v>30</v>
      </c>
      <c r="AB931" s="1" t="n">
        <f aca="false">IF(AND($M931=1,LEFT(对接源_01水果!$D931,4)="原料出库"),1,0)</f>
        <v>0</v>
      </c>
      <c r="AC931" s="1" t="n">
        <f aca="false">N(AC930)+$AB931</f>
        <v>19</v>
      </c>
      <c r="AD931" s="1" t="n">
        <f aca="false">IF(AND($M931=1,LEFT(对接源_01水果!$D931,4)="成品出库"),1,0)</f>
        <v>0</v>
      </c>
      <c r="AE931" s="1" t="n">
        <f aca="false">N(AE930)+$AD931</f>
        <v>38</v>
      </c>
      <c r="AF931" s="1" t="n">
        <f aca="false">IF(AND($N931=1,AND(LEFT(对接源_01水果!$D931,4)="包装物料",N(对接源_01水果!$K931)&lt;&gt;0)),1,0)</f>
        <v>0</v>
      </c>
      <c r="AG931" s="90" t="str">
        <f aca="false">IF(对接源_01水果!$AC931="","",对接源_01水果!$AC931)</f>
        <v/>
      </c>
      <c r="AH931" s="1" t="n">
        <f aca="false">IF(AND($N931=1,AND(LEFT(对接源_01水果!$D931,3)="周转筐",N(对接源_01水果!$K931)&lt;&gt;0)),1,0)</f>
        <v>0</v>
      </c>
      <c r="AI931" s="90" t="n">
        <f aca="false">IF(AG931="",0,IF(MATCH(AG931,$AG$4:$AG$1203,0)=ROW()-3,1,0))</f>
        <v>0</v>
      </c>
      <c r="AJ931" s="90" t="n">
        <f aca="false">N(AJ930)+AI931</f>
        <v>4</v>
      </c>
      <c r="AK931" s="1" t="n">
        <f aca="false">N(AK930)+$AJ931</f>
        <v>2584</v>
      </c>
    </row>
    <row r="932" customFormat="false" ht="13.5" hidden="false" customHeight="false" outlineLevel="0" collapsed="false">
      <c r="A932" s="1" t="str">
        <f aca="false">IF(对接源_01水果!$C932="","",对接源_01水果!$C932)</f>
        <v/>
      </c>
      <c r="B932" s="1" t="n">
        <f aca="false">IF(A932="",0,IF(MATCH(A932,$A$4:$A$2403,0)=ROW()-3,1,0))</f>
        <v>0</v>
      </c>
      <c r="C932" s="1" t="n">
        <f aca="false">N(C931)+B932</f>
        <v>13</v>
      </c>
      <c r="K932" s="1" t="n">
        <f aca="false">IF(OR($K$1="",对接源_01水果!$C932="",对接源_01水果!$C932&lt;&gt;$K$1,对接源_01水果!$B932=""),0,IF(OR(N(对接源_01水果!$B932)&lt;$K$2,N(对接源_01水果!$B932)&gt;$K$3),0,1))</f>
        <v>0</v>
      </c>
      <c r="L932" s="1" t="n">
        <f aca="false">IF(OR($L$1="",对接源_01水果!$C932="",对接源_01水果!$C932&lt;&gt;$L$1,对接源_01水果!$B932=""),0,IF(OR(N(对接源_01水果!$B932)&lt;$L$2,N(对接源_01水果!$B932)&gt;$L$3),0,1))</f>
        <v>0</v>
      </c>
      <c r="M932" s="1" t="n">
        <f aca="false">IF(OR($M$1="",对接源_01水果!$C932="",对接源_01水果!$C932&lt;&gt;$M$1,对接源_01水果!$B932=""),0,IF(OR(N(对接源_01水果!$B932)&lt;$M$2,N(对接源_01水果!$B932)&gt;$M$3),0,1))</f>
        <v>0</v>
      </c>
      <c r="N932" s="1" t="n">
        <f aca="false">IF(OR($N$1="",对接源_01水果!$C932="",对接源_01水果!$C932&lt;&gt;$N$1,对接源_01水果!$B932=""),0,IF(OR(N(对接源_01水果!$B932)&lt;$N$2,N(对接源_01水果!$B932)&gt;$N$3),0,1))</f>
        <v>0</v>
      </c>
      <c r="P932" s="1" t="n">
        <f aca="false">IF(AND($K932=1,AND(对接源_01水果!$X932="公司筐",N(对接源_01水果!$T932)&lt;&gt;0)),1,0)</f>
        <v>0</v>
      </c>
      <c r="Q932" s="1" t="n">
        <f aca="false">N(Q931)+$P932</f>
        <v>3</v>
      </c>
      <c r="R932" s="1" t="n">
        <f aca="false">IF(AND($K932=1,AND(对接源_01水果!$X932="公司筐",N(对接源_01水果!$U932)&lt;&gt;0)),1,0)</f>
        <v>0</v>
      </c>
      <c r="S932" s="1" t="n">
        <f aca="false">N(S931)+$R932</f>
        <v>0</v>
      </c>
      <c r="T932" s="1" t="n">
        <f aca="false">IF(AND($K932=1,AND(对接源_01水果!$X932="公司筐",N(对接源_01水果!$V932)&lt;&gt;0)),1,0)</f>
        <v>0</v>
      </c>
      <c r="U932" s="1" t="n">
        <f aca="false">N(U931)+$T932</f>
        <v>28</v>
      </c>
      <c r="V932" s="1" t="n">
        <f aca="false">IF(AND($L932=1,AND(对接源_01水果!$X932="自备筐",N(对接源_01水果!$V932)&lt;&gt;0)),1,0)</f>
        <v>0</v>
      </c>
      <c r="W932" s="1" t="n">
        <f aca="false">N(W931)+$V932</f>
        <v>7</v>
      </c>
      <c r="X932" s="1" t="n">
        <f aca="false">IF(AND($L932=1,AND(对接源_01水果!$X932="自备筐",N(对接源_01水果!$T932)&lt;&gt;0)),1,0)</f>
        <v>0</v>
      </c>
      <c r="Y932" s="1" t="n">
        <f aca="false">N(Y931)+$X932</f>
        <v>0</v>
      </c>
      <c r="Z932" s="1" t="n">
        <f aca="false">IF(AND($M932=1,对接源_01水果!$D932="原料入库"),1,0)</f>
        <v>0</v>
      </c>
      <c r="AA932" s="1" t="n">
        <f aca="false">N(AA931)+$Z932</f>
        <v>30</v>
      </c>
      <c r="AB932" s="1" t="n">
        <f aca="false">IF(AND($M932=1,LEFT(对接源_01水果!$D932,4)="原料出库"),1,0)</f>
        <v>0</v>
      </c>
      <c r="AC932" s="1" t="n">
        <f aca="false">N(AC931)+$AB932</f>
        <v>19</v>
      </c>
      <c r="AD932" s="1" t="n">
        <f aca="false">IF(AND($M932=1,LEFT(对接源_01水果!$D932,4)="成品出库"),1,0)</f>
        <v>0</v>
      </c>
      <c r="AE932" s="1" t="n">
        <f aca="false">N(AE931)+$AD932</f>
        <v>38</v>
      </c>
      <c r="AF932" s="1" t="n">
        <f aca="false">IF(AND($N932=1,AND(LEFT(对接源_01水果!$D932,4)="包装物料",N(对接源_01水果!$K932)&lt;&gt;0)),1,0)</f>
        <v>0</v>
      </c>
      <c r="AG932" s="90" t="str">
        <f aca="false">IF(对接源_01水果!$AC932="","",对接源_01水果!$AC932)</f>
        <v/>
      </c>
      <c r="AH932" s="1" t="n">
        <f aca="false">IF(AND($N932=1,AND(LEFT(对接源_01水果!$D932,3)="周转筐",N(对接源_01水果!$K932)&lt;&gt;0)),1,0)</f>
        <v>0</v>
      </c>
      <c r="AI932" s="90" t="n">
        <f aca="false">IF(AG932="",0,IF(MATCH(AG932,$AG$4:$AG$1203,0)=ROW()-3,1,0))</f>
        <v>0</v>
      </c>
      <c r="AJ932" s="90" t="n">
        <f aca="false">N(AJ931)+AI932</f>
        <v>4</v>
      </c>
      <c r="AK932" s="1" t="n">
        <f aca="false">N(AK931)+$AJ932</f>
        <v>2588</v>
      </c>
    </row>
    <row r="933" customFormat="false" ht="13.5" hidden="false" customHeight="false" outlineLevel="0" collapsed="false">
      <c r="A933" s="1" t="str">
        <f aca="false">IF(对接源_01水果!$C933="","",对接源_01水果!$C933)</f>
        <v/>
      </c>
      <c r="B933" s="1" t="n">
        <f aca="false">IF(A933="",0,IF(MATCH(A933,$A$4:$A$2403,0)=ROW()-3,1,0))</f>
        <v>0</v>
      </c>
      <c r="C933" s="1" t="n">
        <f aca="false">N(C932)+B933</f>
        <v>13</v>
      </c>
      <c r="K933" s="1" t="n">
        <f aca="false">IF(OR($K$1="",对接源_01水果!$C933="",对接源_01水果!$C933&lt;&gt;$K$1,对接源_01水果!$B933=""),0,IF(OR(N(对接源_01水果!$B933)&lt;$K$2,N(对接源_01水果!$B933)&gt;$K$3),0,1))</f>
        <v>0</v>
      </c>
      <c r="L933" s="1" t="n">
        <f aca="false">IF(OR($L$1="",对接源_01水果!$C933="",对接源_01水果!$C933&lt;&gt;$L$1,对接源_01水果!$B933=""),0,IF(OR(N(对接源_01水果!$B933)&lt;$L$2,N(对接源_01水果!$B933)&gt;$L$3),0,1))</f>
        <v>0</v>
      </c>
      <c r="M933" s="1" t="n">
        <f aca="false">IF(OR($M$1="",对接源_01水果!$C933="",对接源_01水果!$C933&lt;&gt;$M$1,对接源_01水果!$B933=""),0,IF(OR(N(对接源_01水果!$B933)&lt;$M$2,N(对接源_01水果!$B933)&gt;$M$3),0,1))</f>
        <v>0</v>
      </c>
      <c r="N933" s="1" t="n">
        <f aca="false">IF(OR($N$1="",对接源_01水果!$C933="",对接源_01水果!$C933&lt;&gt;$N$1,对接源_01水果!$B933=""),0,IF(OR(N(对接源_01水果!$B933)&lt;$N$2,N(对接源_01水果!$B933)&gt;$N$3),0,1))</f>
        <v>0</v>
      </c>
      <c r="P933" s="1" t="n">
        <f aca="false">IF(AND($K933=1,AND(对接源_01水果!$X933="公司筐",N(对接源_01水果!$T933)&lt;&gt;0)),1,0)</f>
        <v>0</v>
      </c>
      <c r="Q933" s="1" t="n">
        <f aca="false">N(Q932)+$P933</f>
        <v>3</v>
      </c>
      <c r="R933" s="1" t="n">
        <f aca="false">IF(AND($K933=1,AND(对接源_01水果!$X933="公司筐",N(对接源_01水果!$U933)&lt;&gt;0)),1,0)</f>
        <v>0</v>
      </c>
      <c r="S933" s="1" t="n">
        <f aca="false">N(S932)+$R933</f>
        <v>0</v>
      </c>
      <c r="T933" s="1" t="n">
        <f aca="false">IF(AND($K933=1,AND(对接源_01水果!$X933="公司筐",N(对接源_01水果!$V933)&lt;&gt;0)),1,0)</f>
        <v>0</v>
      </c>
      <c r="U933" s="1" t="n">
        <f aca="false">N(U932)+$T933</f>
        <v>28</v>
      </c>
      <c r="V933" s="1" t="n">
        <f aca="false">IF(AND($L933=1,AND(对接源_01水果!$X933="自备筐",N(对接源_01水果!$V933)&lt;&gt;0)),1,0)</f>
        <v>0</v>
      </c>
      <c r="W933" s="1" t="n">
        <f aca="false">N(W932)+$V933</f>
        <v>7</v>
      </c>
      <c r="X933" s="1" t="n">
        <f aca="false">IF(AND($L933=1,AND(对接源_01水果!$X933="自备筐",N(对接源_01水果!$T933)&lt;&gt;0)),1,0)</f>
        <v>0</v>
      </c>
      <c r="Y933" s="1" t="n">
        <f aca="false">N(Y932)+$X933</f>
        <v>0</v>
      </c>
      <c r="Z933" s="1" t="n">
        <f aca="false">IF(AND($M933=1,对接源_01水果!$D933="原料入库"),1,0)</f>
        <v>0</v>
      </c>
      <c r="AA933" s="1" t="n">
        <f aca="false">N(AA932)+$Z933</f>
        <v>30</v>
      </c>
      <c r="AB933" s="1" t="n">
        <f aca="false">IF(AND($M933=1,LEFT(对接源_01水果!$D933,4)="原料出库"),1,0)</f>
        <v>0</v>
      </c>
      <c r="AC933" s="1" t="n">
        <f aca="false">N(AC932)+$AB933</f>
        <v>19</v>
      </c>
      <c r="AD933" s="1" t="n">
        <f aca="false">IF(AND($M933=1,LEFT(对接源_01水果!$D933,4)="成品出库"),1,0)</f>
        <v>0</v>
      </c>
      <c r="AE933" s="1" t="n">
        <f aca="false">N(AE932)+$AD933</f>
        <v>38</v>
      </c>
      <c r="AF933" s="1" t="n">
        <f aca="false">IF(AND($N933=1,AND(LEFT(对接源_01水果!$D933,4)="包装物料",N(对接源_01水果!$K933)&lt;&gt;0)),1,0)</f>
        <v>0</v>
      </c>
      <c r="AG933" s="90" t="str">
        <f aca="false">IF(对接源_01水果!$AC933="","",对接源_01水果!$AC933)</f>
        <v/>
      </c>
      <c r="AH933" s="1" t="n">
        <f aca="false">IF(AND($N933=1,AND(LEFT(对接源_01水果!$D933,3)="周转筐",N(对接源_01水果!$K933)&lt;&gt;0)),1,0)</f>
        <v>0</v>
      </c>
      <c r="AI933" s="90" t="n">
        <f aca="false">IF(AG933="",0,IF(MATCH(AG933,$AG$4:$AG$1203,0)=ROW()-3,1,0))</f>
        <v>0</v>
      </c>
      <c r="AJ933" s="90" t="n">
        <f aca="false">N(AJ932)+AI933</f>
        <v>4</v>
      </c>
      <c r="AK933" s="1" t="n">
        <f aca="false">N(AK932)+$AJ933</f>
        <v>2592</v>
      </c>
    </row>
    <row r="934" customFormat="false" ht="13.5" hidden="false" customHeight="false" outlineLevel="0" collapsed="false">
      <c r="A934" s="1" t="str">
        <f aca="false">IF(对接源_01水果!$C934="","",对接源_01水果!$C934)</f>
        <v/>
      </c>
      <c r="B934" s="1" t="n">
        <f aca="false">IF(A934="",0,IF(MATCH(A934,$A$4:$A$2403,0)=ROW()-3,1,0))</f>
        <v>0</v>
      </c>
      <c r="C934" s="1" t="n">
        <f aca="false">N(C933)+B934</f>
        <v>13</v>
      </c>
      <c r="K934" s="1" t="n">
        <f aca="false">IF(OR($K$1="",对接源_01水果!$C934="",对接源_01水果!$C934&lt;&gt;$K$1,对接源_01水果!$B934=""),0,IF(OR(N(对接源_01水果!$B934)&lt;$K$2,N(对接源_01水果!$B934)&gt;$K$3),0,1))</f>
        <v>0</v>
      </c>
      <c r="L934" s="1" t="n">
        <f aca="false">IF(OR($L$1="",对接源_01水果!$C934="",对接源_01水果!$C934&lt;&gt;$L$1,对接源_01水果!$B934=""),0,IF(OR(N(对接源_01水果!$B934)&lt;$L$2,N(对接源_01水果!$B934)&gt;$L$3),0,1))</f>
        <v>0</v>
      </c>
      <c r="M934" s="1" t="n">
        <f aca="false">IF(OR($M$1="",对接源_01水果!$C934="",对接源_01水果!$C934&lt;&gt;$M$1,对接源_01水果!$B934=""),0,IF(OR(N(对接源_01水果!$B934)&lt;$M$2,N(对接源_01水果!$B934)&gt;$M$3),0,1))</f>
        <v>0</v>
      </c>
      <c r="N934" s="1" t="n">
        <f aca="false">IF(OR($N$1="",对接源_01水果!$C934="",对接源_01水果!$C934&lt;&gt;$N$1,对接源_01水果!$B934=""),0,IF(OR(N(对接源_01水果!$B934)&lt;$N$2,N(对接源_01水果!$B934)&gt;$N$3),0,1))</f>
        <v>0</v>
      </c>
      <c r="P934" s="1" t="n">
        <f aca="false">IF(AND($K934=1,AND(对接源_01水果!$X934="公司筐",N(对接源_01水果!$T934)&lt;&gt;0)),1,0)</f>
        <v>0</v>
      </c>
      <c r="Q934" s="1" t="n">
        <f aca="false">N(Q933)+$P934</f>
        <v>3</v>
      </c>
      <c r="R934" s="1" t="n">
        <f aca="false">IF(AND($K934=1,AND(对接源_01水果!$X934="公司筐",N(对接源_01水果!$U934)&lt;&gt;0)),1,0)</f>
        <v>0</v>
      </c>
      <c r="S934" s="1" t="n">
        <f aca="false">N(S933)+$R934</f>
        <v>0</v>
      </c>
      <c r="T934" s="1" t="n">
        <f aca="false">IF(AND($K934=1,AND(对接源_01水果!$X934="公司筐",N(对接源_01水果!$V934)&lt;&gt;0)),1,0)</f>
        <v>0</v>
      </c>
      <c r="U934" s="1" t="n">
        <f aca="false">N(U933)+$T934</f>
        <v>28</v>
      </c>
      <c r="V934" s="1" t="n">
        <f aca="false">IF(AND($L934=1,AND(对接源_01水果!$X934="自备筐",N(对接源_01水果!$V934)&lt;&gt;0)),1,0)</f>
        <v>0</v>
      </c>
      <c r="W934" s="1" t="n">
        <f aca="false">N(W933)+$V934</f>
        <v>7</v>
      </c>
      <c r="X934" s="1" t="n">
        <f aca="false">IF(AND($L934=1,AND(对接源_01水果!$X934="自备筐",N(对接源_01水果!$T934)&lt;&gt;0)),1,0)</f>
        <v>0</v>
      </c>
      <c r="Y934" s="1" t="n">
        <f aca="false">N(Y933)+$X934</f>
        <v>0</v>
      </c>
      <c r="Z934" s="1" t="n">
        <f aca="false">IF(AND($M934=1,对接源_01水果!$D934="原料入库"),1,0)</f>
        <v>0</v>
      </c>
      <c r="AA934" s="1" t="n">
        <f aca="false">N(AA933)+$Z934</f>
        <v>30</v>
      </c>
      <c r="AB934" s="1" t="n">
        <f aca="false">IF(AND($M934=1,LEFT(对接源_01水果!$D934,4)="原料出库"),1,0)</f>
        <v>0</v>
      </c>
      <c r="AC934" s="1" t="n">
        <f aca="false">N(AC933)+$AB934</f>
        <v>19</v>
      </c>
      <c r="AD934" s="1" t="n">
        <f aca="false">IF(AND($M934=1,LEFT(对接源_01水果!$D934,4)="成品出库"),1,0)</f>
        <v>0</v>
      </c>
      <c r="AE934" s="1" t="n">
        <f aca="false">N(AE933)+$AD934</f>
        <v>38</v>
      </c>
      <c r="AF934" s="1" t="n">
        <f aca="false">IF(AND($N934=1,AND(LEFT(对接源_01水果!$D934,4)="包装物料",N(对接源_01水果!$K934)&lt;&gt;0)),1,0)</f>
        <v>0</v>
      </c>
      <c r="AG934" s="90" t="str">
        <f aca="false">IF(对接源_01水果!$AC934="","",对接源_01水果!$AC934)</f>
        <v/>
      </c>
      <c r="AH934" s="1" t="n">
        <f aca="false">IF(AND($N934=1,AND(LEFT(对接源_01水果!$D934,3)="周转筐",N(对接源_01水果!$K934)&lt;&gt;0)),1,0)</f>
        <v>0</v>
      </c>
      <c r="AI934" s="90" t="n">
        <f aca="false">IF(AG934="",0,IF(MATCH(AG934,$AG$4:$AG$1203,0)=ROW()-3,1,0))</f>
        <v>0</v>
      </c>
      <c r="AJ934" s="90" t="n">
        <f aca="false">N(AJ933)+AI934</f>
        <v>4</v>
      </c>
      <c r="AK934" s="1" t="n">
        <f aca="false">N(AK933)+$AJ934</f>
        <v>2596</v>
      </c>
    </row>
    <row r="935" customFormat="false" ht="13.5" hidden="false" customHeight="false" outlineLevel="0" collapsed="false">
      <c r="A935" s="1" t="str">
        <f aca="false">IF(对接源_01水果!$C935="","",对接源_01水果!$C935)</f>
        <v/>
      </c>
      <c r="B935" s="1" t="n">
        <f aca="false">IF(A935="",0,IF(MATCH(A935,$A$4:$A$2403,0)=ROW()-3,1,0))</f>
        <v>0</v>
      </c>
      <c r="C935" s="1" t="n">
        <f aca="false">N(C934)+B935</f>
        <v>13</v>
      </c>
      <c r="K935" s="1" t="n">
        <f aca="false">IF(OR($K$1="",对接源_01水果!$C935="",对接源_01水果!$C935&lt;&gt;$K$1,对接源_01水果!$B935=""),0,IF(OR(N(对接源_01水果!$B935)&lt;$K$2,N(对接源_01水果!$B935)&gt;$K$3),0,1))</f>
        <v>0</v>
      </c>
      <c r="L935" s="1" t="n">
        <f aca="false">IF(OR($L$1="",对接源_01水果!$C935="",对接源_01水果!$C935&lt;&gt;$L$1,对接源_01水果!$B935=""),0,IF(OR(N(对接源_01水果!$B935)&lt;$L$2,N(对接源_01水果!$B935)&gt;$L$3),0,1))</f>
        <v>0</v>
      </c>
      <c r="M935" s="1" t="n">
        <f aca="false">IF(OR($M$1="",对接源_01水果!$C935="",对接源_01水果!$C935&lt;&gt;$M$1,对接源_01水果!$B935=""),0,IF(OR(N(对接源_01水果!$B935)&lt;$M$2,N(对接源_01水果!$B935)&gt;$M$3),0,1))</f>
        <v>0</v>
      </c>
      <c r="N935" s="1" t="n">
        <f aca="false">IF(OR($N$1="",对接源_01水果!$C935="",对接源_01水果!$C935&lt;&gt;$N$1,对接源_01水果!$B935=""),0,IF(OR(N(对接源_01水果!$B935)&lt;$N$2,N(对接源_01水果!$B935)&gt;$N$3),0,1))</f>
        <v>0</v>
      </c>
      <c r="P935" s="1" t="n">
        <f aca="false">IF(AND($K935=1,AND(对接源_01水果!$X935="公司筐",N(对接源_01水果!$T935)&lt;&gt;0)),1,0)</f>
        <v>0</v>
      </c>
      <c r="Q935" s="1" t="n">
        <f aca="false">N(Q934)+$P935</f>
        <v>3</v>
      </c>
      <c r="R935" s="1" t="n">
        <f aca="false">IF(AND($K935=1,AND(对接源_01水果!$X935="公司筐",N(对接源_01水果!$U935)&lt;&gt;0)),1,0)</f>
        <v>0</v>
      </c>
      <c r="S935" s="1" t="n">
        <f aca="false">N(S934)+$R935</f>
        <v>0</v>
      </c>
      <c r="T935" s="1" t="n">
        <f aca="false">IF(AND($K935=1,AND(对接源_01水果!$X935="公司筐",N(对接源_01水果!$V935)&lt;&gt;0)),1,0)</f>
        <v>0</v>
      </c>
      <c r="U935" s="1" t="n">
        <f aca="false">N(U934)+$T935</f>
        <v>28</v>
      </c>
      <c r="V935" s="1" t="n">
        <f aca="false">IF(AND($L935=1,AND(对接源_01水果!$X935="自备筐",N(对接源_01水果!$V935)&lt;&gt;0)),1,0)</f>
        <v>0</v>
      </c>
      <c r="W935" s="1" t="n">
        <f aca="false">N(W934)+$V935</f>
        <v>7</v>
      </c>
      <c r="X935" s="1" t="n">
        <f aca="false">IF(AND($L935=1,AND(对接源_01水果!$X935="自备筐",N(对接源_01水果!$T935)&lt;&gt;0)),1,0)</f>
        <v>0</v>
      </c>
      <c r="Y935" s="1" t="n">
        <f aca="false">N(Y934)+$X935</f>
        <v>0</v>
      </c>
      <c r="Z935" s="1" t="n">
        <f aca="false">IF(AND($M935=1,对接源_01水果!$D935="原料入库"),1,0)</f>
        <v>0</v>
      </c>
      <c r="AA935" s="1" t="n">
        <f aca="false">N(AA934)+$Z935</f>
        <v>30</v>
      </c>
      <c r="AB935" s="1" t="n">
        <f aca="false">IF(AND($M935=1,LEFT(对接源_01水果!$D935,4)="原料出库"),1,0)</f>
        <v>0</v>
      </c>
      <c r="AC935" s="1" t="n">
        <f aca="false">N(AC934)+$AB935</f>
        <v>19</v>
      </c>
      <c r="AD935" s="1" t="n">
        <f aca="false">IF(AND($M935=1,LEFT(对接源_01水果!$D935,4)="成品出库"),1,0)</f>
        <v>0</v>
      </c>
      <c r="AE935" s="1" t="n">
        <f aca="false">N(AE934)+$AD935</f>
        <v>38</v>
      </c>
      <c r="AF935" s="1" t="n">
        <f aca="false">IF(AND($N935=1,AND(LEFT(对接源_01水果!$D935,4)="包装物料",N(对接源_01水果!$K935)&lt;&gt;0)),1,0)</f>
        <v>0</v>
      </c>
      <c r="AG935" s="90" t="str">
        <f aca="false">IF(对接源_01水果!$AC935="","",对接源_01水果!$AC935)</f>
        <v/>
      </c>
      <c r="AH935" s="1" t="n">
        <f aca="false">IF(AND($N935=1,AND(LEFT(对接源_01水果!$D935,3)="周转筐",N(对接源_01水果!$K935)&lt;&gt;0)),1,0)</f>
        <v>0</v>
      </c>
      <c r="AI935" s="90" t="n">
        <f aca="false">IF(AG935="",0,IF(MATCH(AG935,$AG$4:$AG$1203,0)=ROW()-3,1,0))</f>
        <v>0</v>
      </c>
      <c r="AJ935" s="90" t="n">
        <f aca="false">N(AJ934)+AI935</f>
        <v>4</v>
      </c>
      <c r="AK935" s="1" t="n">
        <f aca="false">N(AK934)+$AJ935</f>
        <v>2600</v>
      </c>
    </row>
    <row r="936" customFormat="false" ht="13.5" hidden="false" customHeight="false" outlineLevel="0" collapsed="false">
      <c r="A936" s="1" t="str">
        <f aca="false">IF(对接源_01水果!$C936="","",对接源_01水果!$C936)</f>
        <v/>
      </c>
      <c r="B936" s="1" t="n">
        <f aca="false">IF(A936="",0,IF(MATCH(A936,$A$4:$A$2403,0)=ROW()-3,1,0))</f>
        <v>0</v>
      </c>
      <c r="C936" s="1" t="n">
        <f aca="false">N(C935)+B936</f>
        <v>13</v>
      </c>
      <c r="K936" s="1" t="n">
        <f aca="false">IF(OR($K$1="",对接源_01水果!$C936="",对接源_01水果!$C936&lt;&gt;$K$1,对接源_01水果!$B936=""),0,IF(OR(N(对接源_01水果!$B936)&lt;$K$2,N(对接源_01水果!$B936)&gt;$K$3),0,1))</f>
        <v>0</v>
      </c>
      <c r="L936" s="1" t="n">
        <f aca="false">IF(OR($L$1="",对接源_01水果!$C936="",对接源_01水果!$C936&lt;&gt;$L$1,对接源_01水果!$B936=""),0,IF(OR(N(对接源_01水果!$B936)&lt;$L$2,N(对接源_01水果!$B936)&gt;$L$3),0,1))</f>
        <v>0</v>
      </c>
      <c r="M936" s="1" t="n">
        <f aca="false">IF(OR($M$1="",对接源_01水果!$C936="",对接源_01水果!$C936&lt;&gt;$M$1,对接源_01水果!$B936=""),0,IF(OR(N(对接源_01水果!$B936)&lt;$M$2,N(对接源_01水果!$B936)&gt;$M$3),0,1))</f>
        <v>0</v>
      </c>
      <c r="N936" s="1" t="n">
        <f aca="false">IF(OR($N$1="",对接源_01水果!$C936="",对接源_01水果!$C936&lt;&gt;$N$1,对接源_01水果!$B936=""),0,IF(OR(N(对接源_01水果!$B936)&lt;$N$2,N(对接源_01水果!$B936)&gt;$N$3),0,1))</f>
        <v>0</v>
      </c>
      <c r="P936" s="1" t="n">
        <f aca="false">IF(AND($K936=1,AND(对接源_01水果!$X936="公司筐",N(对接源_01水果!$T936)&lt;&gt;0)),1,0)</f>
        <v>0</v>
      </c>
      <c r="Q936" s="1" t="n">
        <f aca="false">N(Q935)+$P936</f>
        <v>3</v>
      </c>
      <c r="R936" s="1" t="n">
        <f aca="false">IF(AND($K936=1,AND(对接源_01水果!$X936="公司筐",N(对接源_01水果!$U936)&lt;&gt;0)),1,0)</f>
        <v>0</v>
      </c>
      <c r="S936" s="1" t="n">
        <f aca="false">N(S935)+$R936</f>
        <v>0</v>
      </c>
      <c r="T936" s="1" t="n">
        <f aca="false">IF(AND($K936=1,AND(对接源_01水果!$X936="公司筐",N(对接源_01水果!$V936)&lt;&gt;0)),1,0)</f>
        <v>0</v>
      </c>
      <c r="U936" s="1" t="n">
        <f aca="false">N(U935)+$T936</f>
        <v>28</v>
      </c>
      <c r="V936" s="1" t="n">
        <f aca="false">IF(AND($L936=1,AND(对接源_01水果!$X936="自备筐",N(对接源_01水果!$V936)&lt;&gt;0)),1,0)</f>
        <v>0</v>
      </c>
      <c r="W936" s="1" t="n">
        <f aca="false">N(W935)+$V936</f>
        <v>7</v>
      </c>
      <c r="X936" s="1" t="n">
        <f aca="false">IF(AND($L936=1,AND(对接源_01水果!$X936="自备筐",N(对接源_01水果!$T936)&lt;&gt;0)),1,0)</f>
        <v>0</v>
      </c>
      <c r="Y936" s="1" t="n">
        <f aca="false">N(Y935)+$X936</f>
        <v>0</v>
      </c>
      <c r="Z936" s="1" t="n">
        <f aca="false">IF(AND($M936=1,对接源_01水果!$D936="原料入库"),1,0)</f>
        <v>0</v>
      </c>
      <c r="AA936" s="1" t="n">
        <f aca="false">N(AA935)+$Z936</f>
        <v>30</v>
      </c>
      <c r="AB936" s="1" t="n">
        <f aca="false">IF(AND($M936=1,LEFT(对接源_01水果!$D936,4)="原料出库"),1,0)</f>
        <v>0</v>
      </c>
      <c r="AC936" s="1" t="n">
        <f aca="false">N(AC935)+$AB936</f>
        <v>19</v>
      </c>
      <c r="AD936" s="1" t="n">
        <f aca="false">IF(AND($M936=1,LEFT(对接源_01水果!$D936,4)="成品出库"),1,0)</f>
        <v>0</v>
      </c>
      <c r="AE936" s="1" t="n">
        <f aca="false">N(AE935)+$AD936</f>
        <v>38</v>
      </c>
      <c r="AF936" s="1" t="n">
        <f aca="false">IF(AND($N936=1,AND(LEFT(对接源_01水果!$D936,4)="包装物料",N(对接源_01水果!$K936)&lt;&gt;0)),1,0)</f>
        <v>0</v>
      </c>
      <c r="AG936" s="90" t="str">
        <f aca="false">IF(对接源_01水果!$AC936="","",对接源_01水果!$AC936)</f>
        <v/>
      </c>
      <c r="AH936" s="1" t="n">
        <f aca="false">IF(AND($N936=1,AND(LEFT(对接源_01水果!$D936,3)="周转筐",N(对接源_01水果!$K936)&lt;&gt;0)),1,0)</f>
        <v>0</v>
      </c>
      <c r="AI936" s="90" t="n">
        <f aca="false">IF(AG936="",0,IF(MATCH(AG936,$AG$4:$AG$1203,0)=ROW()-3,1,0))</f>
        <v>0</v>
      </c>
      <c r="AJ936" s="90" t="n">
        <f aca="false">N(AJ935)+AI936</f>
        <v>4</v>
      </c>
      <c r="AK936" s="1" t="n">
        <f aca="false">N(AK935)+$AJ936</f>
        <v>2604</v>
      </c>
    </row>
    <row r="937" customFormat="false" ht="13.5" hidden="false" customHeight="false" outlineLevel="0" collapsed="false">
      <c r="A937" s="1" t="str">
        <f aca="false">IF(对接源_01水果!$C937="","",对接源_01水果!$C937)</f>
        <v/>
      </c>
      <c r="B937" s="1" t="n">
        <f aca="false">IF(A937="",0,IF(MATCH(A937,$A$4:$A$2403,0)=ROW()-3,1,0))</f>
        <v>0</v>
      </c>
      <c r="C937" s="1" t="n">
        <f aca="false">N(C936)+B937</f>
        <v>13</v>
      </c>
      <c r="K937" s="1" t="n">
        <f aca="false">IF(OR($K$1="",对接源_01水果!$C937="",对接源_01水果!$C937&lt;&gt;$K$1,对接源_01水果!$B937=""),0,IF(OR(N(对接源_01水果!$B937)&lt;$K$2,N(对接源_01水果!$B937)&gt;$K$3),0,1))</f>
        <v>0</v>
      </c>
      <c r="L937" s="1" t="n">
        <f aca="false">IF(OR($L$1="",对接源_01水果!$C937="",对接源_01水果!$C937&lt;&gt;$L$1,对接源_01水果!$B937=""),0,IF(OR(N(对接源_01水果!$B937)&lt;$L$2,N(对接源_01水果!$B937)&gt;$L$3),0,1))</f>
        <v>0</v>
      </c>
      <c r="M937" s="1" t="n">
        <f aca="false">IF(OR($M$1="",对接源_01水果!$C937="",对接源_01水果!$C937&lt;&gt;$M$1,对接源_01水果!$B937=""),0,IF(OR(N(对接源_01水果!$B937)&lt;$M$2,N(对接源_01水果!$B937)&gt;$M$3),0,1))</f>
        <v>0</v>
      </c>
      <c r="N937" s="1" t="n">
        <f aca="false">IF(OR($N$1="",对接源_01水果!$C937="",对接源_01水果!$C937&lt;&gt;$N$1,对接源_01水果!$B937=""),0,IF(OR(N(对接源_01水果!$B937)&lt;$N$2,N(对接源_01水果!$B937)&gt;$N$3),0,1))</f>
        <v>0</v>
      </c>
      <c r="P937" s="1" t="n">
        <f aca="false">IF(AND($K937=1,AND(对接源_01水果!$X937="公司筐",N(对接源_01水果!$T937)&lt;&gt;0)),1,0)</f>
        <v>0</v>
      </c>
      <c r="Q937" s="1" t="n">
        <f aca="false">N(Q936)+$P937</f>
        <v>3</v>
      </c>
      <c r="R937" s="1" t="n">
        <f aca="false">IF(AND($K937=1,AND(对接源_01水果!$X937="公司筐",N(对接源_01水果!$U937)&lt;&gt;0)),1,0)</f>
        <v>0</v>
      </c>
      <c r="S937" s="1" t="n">
        <f aca="false">N(S936)+$R937</f>
        <v>0</v>
      </c>
      <c r="T937" s="1" t="n">
        <f aca="false">IF(AND($K937=1,AND(对接源_01水果!$X937="公司筐",N(对接源_01水果!$V937)&lt;&gt;0)),1,0)</f>
        <v>0</v>
      </c>
      <c r="U937" s="1" t="n">
        <f aca="false">N(U936)+$T937</f>
        <v>28</v>
      </c>
      <c r="V937" s="1" t="n">
        <f aca="false">IF(AND($L937=1,AND(对接源_01水果!$X937="自备筐",N(对接源_01水果!$V937)&lt;&gt;0)),1,0)</f>
        <v>0</v>
      </c>
      <c r="W937" s="1" t="n">
        <f aca="false">N(W936)+$V937</f>
        <v>7</v>
      </c>
      <c r="X937" s="1" t="n">
        <f aca="false">IF(AND($L937=1,AND(对接源_01水果!$X937="自备筐",N(对接源_01水果!$T937)&lt;&gt;0)),1,0)</f>
        <v>0</v>
      </c>
      <c r="Y937" s="1" t="n">
        <f aca="false">N(Y936)+$X937</f>
        <v>0</v>
      </c>
      <c r="Z937" s="1" t="n">
        <f aca="false">IF(AND($M937=1,对接源_01水果!$D937="原料入库"),1,0)</f>
        <v>0</v>
      </c>
      <c r="AA937" s="1" t="n">
        <f aca="false">N(AA936)+$Z937</f>
        <v>30</v>
      </c>
      <c r="AB937" s="1" t="n">
        <f aca="false">IF(AND($M937=1,LEFT(对接源_01水果!$D937,4)="原料出库"),1,0)</f>
        <v>0</v>
      </c>
      <c r="AC937" s="1" t="n">
        <f aca="false">N(AC936)+$AB937</f>
        <v>19</v>
      </c>
      <c r="AD937" s="1" t="n">
        <f aca="false">IF(AND($M937=1,LEFT(对接源_01水果!$D937,4)="成品出库"),1,0)</f>
        <v>0</v>
      </c>
      <c r="AE937" s="1" t="n">
        <f aca="false">N(AE936)+$AD937</f>
        <v>38</v>
      </c>
      <c r="AF937" s="1" t="n">
        <f aca="false">IF(AND($N937=1,AND(LEFT(对接源_01水果!$D937,4)="包装物料",N(对接源_01水果!$K937)&lt;&gt;0)),1,0)</f>
        <v>0</v>
      </c>
      <c r="AG937" s="90" t="str">
        <f aca="false">IF(对接源_01水果!$AC937="","",对接源_01水果!$AC937)</f>
        <v/>
      </c>
      <c r="AH937" s="1" t="n">
        <f aca="false">IF(AND($N937=1,AND(LEFT(对接源_01水果!$D937,3)="周转筐",N(对接源_01水果!$K937)&lt;&gt;0)),1,0)</f>
        <v>0</v>
      </c>
      <c r="AI937" s="90" t="n">
        <f aca="false">IF(AG937="",0,IF(MATCH(AG937,$AG$4:$AG$1203,0)=ROW()-3,1,0))</f>
        <v>0</v>
      </c>
      <c r="AJ937" s="90" t="n">
        <f aca="false">N(AJ936)+AI937</f>
        <v>4</v>
      </c>
      <c r="AK937" s="1" t="n">
        <f aca="false">N(AK936)+$AJ937</f>
        <v>2608</v>
      </c>
    </row>
    <row r="938" customFormat="false" ht="13.5" hidden="false" customHeight="false" outlineLevel="0" collapsed="false">
      <c r="A938" s="1" t="str">
        <f aca="false">IF(对接源_01水果!$C938="","",对接源_01水果!$C938)</f>
        <v/>
      </c>
      <c r="B938" s="1" t="n">
        <f aca="false">IF(A938="",0,IF(MATCH(A938,$A$4:$A$2403,0)=ROW()-3,1,0))</f>
        <v>0</v>
      </c>
      <c r="C938" s="1" t="n">
        <f aca="false">N(C937)+B938</f>
        <v>13</v>
      </c>
      <c r="K938" s="1" t="n">
        <f aca="false">IF(OR($K$1="",对接源_01水果!$C938="",对接源_01水果!$C938&lt;&gt;$K$1,对接源_01水果!$B938=""),0,IF(OR(N(对接源_01水果!$B938)&lt;$K$2,N(对接源_01水果!$B938)&gt;$K$3),0,1))</f>
        <v>0</v>
      </c>
      <c r="L938" s="1" t="n">
        <f aca="false">IF(OR($L$1="",对接源_01水果!$C938="",对接源_01水果!$C938&lt;&gt;$L$1,对接源_01水果!$B938=""),0,IF(OR(N(对接源_01水果!$B938)&lt;$L$2,N(对接源_01水果!$B938)&gt;$L$3),0,1))</f>
        <v>0</v>
      </c>
      <c r="M938" s="1" t="n">
        <f aca="false">IF(OR($M$1="",对接源_01水果!$C938="",对接源_01水果!$C938&lt;&gt;$M$1,对接源_01水果!$B938=""),0,IF(OR(N(对接源_01水果!$B938)&lt;$M$2,N(对接源_01水果!$B938)&gt;$M$3),0,1))</f>
        <v>0</v>
      </c>
      <c r="N938" s="1" t="n">
        <f aca="false">IF(OR($N$1="",对接源_01水果!$C938="",对接源_01水果!$C938&lt;&gt;$N$1,对接源_01水果!$B938=""),0,IF(OR(N(对接源_01水果!$B938)&lt;$N$2,N(对接源_01水果!$B938)&gt;$N$3),0,1))</f>
        <v>0</v>
      </c>
      <c r="P938" s="1" t="n">
        <f aca="false">IF(AND($K938=1,AND(对接源_01水果!$X938="公司筐",N(对接源_01水果!$T938)&lt;&gt;0)),1,0)</f>
        <v>0</v>
      </c>
      <c r="Q938" s="1" t="n">
        <f aca="false">N(Q937)+$P938</f>
        <v>3</v>
      </c>
      <c r="R938" s="1" t="n">
        <f aca="false">IF(AND($K938=1,AND(对接源_01水果!$X938="公司筐",N(对接源_01水果!$U938)&lt;&gt;0)),1,0)</f>
        <v>0</v>
      </c>
      <c r="S938" s="1" t="n">
        <f aca="false">N(S937)+$R938</f>
        <v>0</v>
      </c>
      <c r="T938" s="1" t="n">
        <f aca="false">IF(AND($K938=1,AND(对接源_01水果!$X938="公司筐",N(对接源_01水果!$V938)&lt;&gt;0)),1,0)</f>
        <v>0</v>
      </c>
      <c r="U938" s="1" t="n">
        <f aca="false">N(U937)+$T938</f>
        <v>28</v>
      </c>
      <c r="V938" s="1" t="n">
        <f aca="false">IF(AND($L938=1,AND(对接源_01水果!$X938="自备筐",N(对接源_01水果!$V938)&lt;&gt;0)),1,0)</f>
        <v>0</v>
      </c>
      <c r="W938" s="1" t="n">
        <f aca="false">N(W937)+$V938</f>
        <v>7</v>
      </c>
      <c r="X938" s="1" t="n">
        <f aca="false">IF(AND($L938=1,AND(对接源_01水果!$X938="自备筐",N(对接源_01水果!$T938)&lt;&gt;0)),1,0)</f>
        <v>0</v>
      </c>
      <c r="Y938" s="1" t="n">
        <f aca="false">N(Y937)+$X938</f>
        <v>0</v>
      </c>
      <c r="Z938" s="1" t="n">
        <f aca="false">IF(AND($M938=1,对接源_01水果!$D938="原料入库"),1,0)</f>
        <v>0</v>
      </c>
      <c r="AA938" s="1" t="n">
        <f aca="false">N(AA937)+$Z938</f>
        <v>30</v>
      </c>
      <c r="AB938" s="1" t="n">
        <f aca="false">IF(AND($M938=1,LEFT(对接源_01水果!$D938,4)="原料出库"),1,0)</f>
        <v>0</v>
      </c>
      <c r="AC938" s="1" t="n">
        <f aca="false">N(AC937)+$AB938</f>
        <v>19</v>
      </c>
      <c r="AD938" s="1" t="n">
        <f aca="false">IF(AND($M938=1,LEFT(对接源_01水果!$D938,4)="成品出库"),1,0)</f>
        <v>0</v>
      </c>
      <c r="AE938" s="1" t="n">
        <f aca="false">N(AE937)+$AD938</f>
        <v>38</v>
      </c>
      <c r="AF938" s="1" t="n">
        <f aca="false">IF(AND($N938=1,AND(LEFT(对接源_01水果!$D938,4)="包装物料",N(对接源_01水果!$K938)&lt;&gt;0)),1,0)</f>
        <v>0</v>
      </c>
      <c r="AG938" s="90" t="str">
        <f aca="false">IF(对接源_01水果!$AC938="","",对接源_01水果!$AC938)</f>
        <v/>
      </c>
      <c r="AH938" s="1" t="n">
        <f aca="false">IF(AND($N938=1,AND(LEFT(对接源_01水果!$D938,3)="周转筐",N(对接源_01水果!$K938)&lt;&gt;0)),1,0)</f>
        <v>0</v>
      </c>
      <c r="AI938" s="90" t="n">
        <f aca="false">IF(AG938="",0,IF(MATCH(AG938,$AG$4:$AG$1203,0)=ROW()-3,1,0))</f>
        <v>0</v>
      </c>
      <c r="AJ938" s="90" t="n">
        <f aca="false">N(AJ937)+AI938</f>
        <v>4</v>
      </c>
      <c r="AK938" s="1" t="n">
        <f aca="false">N(AK937)+$AJ938</f>
        <v>2612</v>
      </c>
    </row>
    <row r="939" customFormat="false" ht="13.5" hidden="false" customHeight="false" outlineLevel="0" collapsed="false">
      <c r="A939" s="1" t="str">
        <f aca="false">IF(对接源_01水果!$C939="","",对接源_01水果!$C939)</f>
        <v/>
      </c>
      <c r="B939" s="1" t="n">
        <f aca="false">IF(A939="",0,IF(MATCH(A939,$A$4:$A$2403,0)=ROW()-3,1,0))</f>
        <v>0</v>
      </c>
      <c r="C939" s="1" t="n">
        <f aca="false">N(C938)+B939</f>
        <v>13</v>
      </c>
      <c r="K939" s="1" t="n">
        <f aca="false">IF(OR($K$1="",对接源_01水果!$C939="",对接源_01水果!$C939&lt;&gt;$K$1,对接源_01水果!$B939=""),0,IF(OR(N(对接源_01水果!$B939)&lt;$K$2,N(对接源_01水果!$B939)&gt;$K$3),0,1))</f>
        <v>0</v>
      </c>
      <c r="L939" s="1" t="n">
        <f aca="false">IF(OR($L$1="",对接源_01水果!$C939="",对接源_01水果!$C939&lt;&gt;$L$1,对接源_01水果!$B939=""),0,IF(OR(N(对接源_01水果!$B939)&lt;$L$2,N(对接源_01水果!$B939)&gt;$L$3),0,1))</f>
        <v>0</v>
      </c>
      <c r="M939" s="1" t="n">
        <f aca="false">IF(OR($M$1="",对接源_01水果!$C939="",对接源_01水果!$C939&lt;&gt;$M$1,对接源_01水果!$B939=""),0,IF(OR(N(对接源_01水果!$B939)&lt;$M$2,N(对接源_01水果!$B939)&gt;$M$3),0,1))</f>
        <v>0</v>
      </c>
      <c r="N939" s="1" t="n">
        <f aca="false">IF(OR($N$1="",对接源_01水果!$C939="",对接源_01水果!$C939&lt;&gt;$N$1,对接源_01水果!$B939=""),0,IF(OR(N(对接源_01水果!$B939)&lt;$N$2,N(对接源_01水果!$B939)&gt;$N$3),0,1))</f>
        <v>0</v>
      </c>
      <c r="P939" s="1" t="n">
        <f aca="false">IF(AND($K939=1,AND(对接源_01水果!$X939="公司筐",N(对接源_01水果!$T939)&lt;&gt;0)),1,0)</f>
        <v>0</v>
      </c>
      <c r="Q939" s="1" t="n">
        <f aca="false">N(Q938)+$P939</f>
        <v>3</v>
      </c>
      <c r="R939" s="1" t="n">
        <f aca="false">IF(AND($K939=1,AND(对接源_01水果!$X939="公司筐",N(对接源_01水果!$U939)&lt;&gt;0)),1,0)</f>
        <v>0</v>
      </c>
      <c r="S939" s="1" t="n">
        <f aca="false">N(S938)+$R939</f>
        <v>0</v>
      </c>
      <c r="T939" s="1" t="n">
        <f aca="false">IF(AND($K939=1,AND(对接源_01水果!$X939="公司筐",N(对接源_01水果!$V939)&lt;&gt;0)),1,0)</f>
        <v>0</v>
      </c>
      <c r="U939" s="1" t="n">
        <f aca="false">N(U938)+$T939</f>
        <v>28</v>
      </c>
      <c r="V939" s="1" t="n">
        <f aca="false">IF(AND($L939=1,AND(对接源_01水果!$X939="自备筐",N(对接源_01水果!$V939)&lt;&gt;0)),1,0)</f>
        <v>0</v>
      </c>
      <c r="W939" s="1" t="n">
        <f aca="false">N(W938)+$V939</f>
        <v>7</v>
      </c>
      <c r="X939" s="1" t="n">
        <f aca="false">IF(AND($L939=1,AND(对接源_01水果!$X939="自备筐",N(对接源_01水果!$T939)&lt;&gt;0)),1,0)</f>
        <v>0</v>
      </c>
      <c r="Y939" s="1" t="n">
        <f aca="false">N(Y938)+$X939</f>
        <v>0</v>
      </c>
      <c r="Z939" s="1" t="n">
        <f aca="false">IF(AND($M939=1,对接源_01水果!$D939="原料入库"),1,0)</f>
        <v>0</v>
      </c>
      <c r="AA939" s="1" t="n">
        <f aca="false">N(AA938)+$Z939</f>
        <v>30</v>
      </c>
      <c r="AB939" s="1" t="n">
        <f aca="false">IF(AND($M939=1,LEFT(对接源_01水果!$D939,4)="原料出库"),1,0)</f>
        <v>0</v>
      </c>
      <c r="AC939" s="1" t="n">
        <f aca="false">N(AC938)+$AB939</f>
        <v>19</v>
      </c>
      <c r="AD939" s="1" t="n">
        <f aca="false">IF(AND($M939=1,LEFT(对接源_01水果!$D939,4)="成品出库"),1,0)</f>
        <v>0</v>
      </c>
      <c r="AE939" s="1" t="n">
        <f aca="false">N(AE938)+$AD939</f>
        <v>38</v>
      </c>
      <c r="AF939" s="1" t="n">
        <f aca="false">IF(AND($N939=1,AND(LEFT(对接源_01水果!$D939,4)="包装物料",N(对接源_01水果!$K939)&lt;&gt;0)),1,0)</f>
        <v>0</v>
      </c>
      <c r="AG939" s="90" t="str">
        <f aca="false">IF(对接源_01水果!$AC939="","",对接源_01水果!$AC939)</f>
        <v/>
      </c>
      <c r="AH939" s="1" t="n">
        <f aca="false">IF(AND($N939=1,AND(LEFT(对接源_01水果!$D939,3)="周转筐",N(对接源_01水果!$K939)&lt;&gt;0)),1,0)</f>
        <v>0</v>
      </c>
      <c r="AI939" s="90" t="n">
        <f aca="false">IF(AG939="",0,IF(MATCH(AG939,$AG$4:$AG$1203,0)=ROW()-3,1,0))</f>
        <v>0</v>
      </c>
      <c r="AJ939" s="90" t="n">
        <f aca="false">N(AJ938)+AI939</f>
        <v>4</v>
      </c>
      <c r="AK939" s="1" t="n">
        <f aca="false">N(AK938)+$AJ939</f>
        <v>2616</v>
      </c>
    </row>
    <row r="940" customFormat="false" ht="13.5" hidden="false" customHeight="false" outlineLevel="0" collapsed="false">
      <c r="A940" s="1" t="str">
        <f aca="false">IF(对接源_01水果!$C940="","",对接源_01水果!$C940)</f>
        <v/>
      </c>
      <c r="B940" s="1" t="n">
        <f aca="false">IF(A940="",0,IF(MATCH(A940,$A$4:$A$2403,0)=ROW()-3,1,0))</f>
        <v>0</v>
      </c>
      <c r="C940" s="1" t="n">
        <f aca="false">N(C939)+B940</f>
        <v>13</v>
      </c>
      <c r="K940" s="1" t="n">
        <f aca="false">IF(OR($K$1="",对接源_01水果!$C940="",对接源_01水果!$C940&lt;&gt;$K$1,对接源_01水果!$B940=""),0,IF(OR(N(对接源_01水果!$B940)&lt;$K$2,N(对接源_01水果!$B940)&gt;$K$3),0,1))</f>
        <v>0</v>
      </c>
      <c r="L940" s="1" t="n">
        <f aca="false">IF(OR($L$1="",对接源_01水果!$C940="",对接源_01水果!$C940&lt;&gt;$L$1,对接源_01水果!$B940=""),0,IF(OR(N(对接源_01水果!$B940)&lt;$L$2,N(对接源_01水果!$B940)&gt;$L$3),0,1))</f>
        <v>0</v>
      </c>
      <c r="M940" s="1" t="n">
        <f aca="false">IF(OR($M$1="",对接源_01水果!$C940="",对接源_01水果!$C940&lt;&gt;$M$1,对接源_01水果!$B940=""),0,IF(OR(N(对接源_01水果!$B940)&lt;$M$2,N(对接源_01水果!$B940)&gt;$M$3),0,1))</f>
        <v>0</v>
      </c>
      <c r="N940" s="1" t="n">
        <f aca="false">IF(OR($N$1="",对接源_01水果!$C940="",对接源_01水果!$C940&lt;&gt;$N$1,对接源_01水果!$B940=""),0,IF(OR(N(对接源_01水果!$B940)&lt;$N$2,N(对接源_01水果!$B940)&gt;$N$3),0,1))</f>
        <v>0</v>
      </c>
      <c r="P940" s="1" t="n">
        <f aca="false">IF(AND($K940=1,AND(对接源_01水果!$X940="公司筐",N(对接源_01水果!$T940)&lt;&gt;0)),1,0)</f>
        <v>0</v>
      </c>
      <c r="Q940" s="1" t="n">
        <f aca="false">N(Q939)+$P940</f>
        <v>3</v>
      </c>
      <c r="R940" s="1" t="n">
        <f aca="false">IF(AND($K940=1,AND(对接源_01水果!$X940="公司筐",N(对接源_01水果!$U940)&lt;&gt;0)),1,0)</f>
        <v>0</v>
      </c>
      <c r="S940" s="1" t="n">
        <f aca="false">N(S939)+$R940</f>
        <v>0</v>
      </c>
      <c r="T940" s="1" t="n">
        <f aca="false">IF(AND($K940=1,AND(对接源_01水果!$X940="公司筐",N(对接源_01水果!$V940)&lt;&gt;0)),1,0)</f>
        <v>0</v>
      </c>
      <c r="U940" s="1" t="n">
        <f aca="false">N(U939)+$T940</f>
        <v>28</v>
      </c>
      <c r="V940" s="1" t="n">
        <f aca="false">IF(AND($L940=1,AND(对接源_01水果!$X940="自备筐",N(对接源_01水果!$V940)&lt;&gt;0)),1,0)</f>
        <v>0</v>
      </c>
      <c r="W940" s="1" t="n">
        <f aca="false">N(W939)+$V940</f>
        <v>7</v>
      </c>
      <c r="X940" s="1" t="n">
        <f aca="false">IF(AND($L940=1,AND(对接源_01水果!$X940="自备筐",N(对接源_01水果!$T940)&lt;&gt;0)),1,0)</f>
        <v>0</v>
      </c>
      <c r="Y940" s="1" t="n">
        <f aca="false">N(Y939)+$X940</f>
        <v>0</v>
      </c>
      <c r="Z940" s="1" t="n">
        <f aca="false">IF(AND($M940=1,对接源_01水果!$D940="原料入库"),1,0)</f>
        <v>0</v>
      </c>
      <c r="AA940" s="1" t="n">
        <f aca="false">N(AA939)+$Z940</f>
        <v>30</v>
      </c>
      <c r="AB940" s="1" t="n">
        <f aca="false">IF(AND($M940=1,LEFT(对接源_01水果!$D940,4)="原料出库"),1,0)</f>
        <v>0</v>
      </c>
      <c r="AC940" s="1" t="n">
        <f aca="false">N(AC939)+$AB940</f>
        <v>19</v>
      </c>
      <c r="AD940" s="1" t="n">
        <f aca="false">IF(AND($M940=1,LEFT(对接源_01水果!$D940,4)="成品出库"),1,0)</f>
        <v>0</v>
      </c>
      <c r="AE940" s="1" t="n">
        <f aca="false">N(AE939)+$AD940</f>
        <v>38</v>
      </c>
      <c r="AF940" s="1" t="n">
        <f aca="false">IF(AND($N940=1,AND(LEFT(对接源_01水果!$D940,4)="包装物料",N(对接源_01水果!$K940)&lt;&gt;0)),1,0)</f>
        <v>0</v>
      </c>
      <c r="AG940" s="90" t="str">
        <f aca="false">IF(对接源_01水果!$AC940="","",对接源_01水果!$AC940)</f>
        <v/>
      </c>
      <c r="AH940" s="1" t="n">
        <f aca="false">IF(AND($N940=1,AND(LEFT(对接源_01水果!$D940,3)="周转筐",N(对接源_01水果!$K940)&lt;&gt;0)),1,0)</f>
        <v>0</v>
      </c>
      <c r="AI940" s="90" t="n">
        <f aca="false">IF(AG940="",0,IF(MATCH(AG940,$AG$4:$AG$1203,0)=ROW()-3,1,0))</f>
        <v>0</v>
      </c>
      <c r="AJ940" s="90" t="n">
        <f aca="false">N(AJ939)+AI940</f>
        <v>4</v>
      </c>
      <c r="AK940" s="1" t="n">
        <f aca="false">N(AK939)+$AJ940</f>
        <v>2620</v>
      </c>
    </row>
    <row r="941" customFormat="false" ht="13.5" hidden="false" customHeight="false" outlineLevel="0" collapsed="false">
      <c r="A941" s="1" t="str">
        <f aca="false">IF(对接源_01水果!$C941="","",对接源_01水果!$C941)</f>
        <v/>
      </c>
      <c r="B941" s="1" t="n">
        <f aca="false">IF(A941="",0,IF(MATCH(A941,$A$4:$A$2403,0)=ROW()-3,1,0))</f>
        <v>0</v>
      </c>
      <c r="C941" s="1" t="n">
        <f aca="false">N(C940)+B941</f>
        <v>13</v>
      </c>
      <c r="K941" s="1" t="n">
        <f aca="false">IF(OR($K$1="",对接源_01水果!$C941="",对接源_01水果!$C941&lt;&gt;$K$1,对接源_01水果!$B941=""),0,IF(OR(N(对接源_01水果!$B941)&lt;$K$2,N(对接源_01水果!$B941)&gt;$K$3),0,1))</f>
        <v>0</v>
      </c>
      <c r="L941" s="1" t="n">
        <f aca="false">IF(OR($L$1="",对接源_01水果!$C941="",对接源_01水果!$C941&lt;&gt;$L$1,对接源_01水果!$B941=""),0,IF(OR(N(对接源_01水果!$B941)&lt;$L$2,N(对接源_01水果!$B941)&gt;$L$3),0,1))</f>
        <v>0</v>
      </c>
      <c r="M941" s="1" t="n">
        <f aca="false">IF(OR($M$1="",对接源_01水果!$C941="",对接源_01水果!$C941&lt;&gt;$M$1,对接源_01水果!$B941=""),0,IF(OR(N(对接源_01水果!$B941)&lt;$M$2,N(对接源_01水果!$B941)&gt;$M$3),0,1))</f>
        <v>0</v>
      </c>
      <c r="N941" s="1" t="n">
        <f aca="false">IF(OR($N$1="",对接源_01水果!$C941="",对接源_01水果!$C941&lt;&gt;$N$1,对接源_01水果!$B941=""),0,IF(OR(N(对接源_01水果!$B941)&lt;$N$2,N(对接源_01水果!$B941)&gt;$N$3),0,1))</f>
        <v>0</v>
      </c>
      <c r="P941" s="1" t="n">
        <f aca="false">IF(AND($K941=1,AND(对接源_01水果!$X941="公司筐",N(对接源_01水果!$T941)&lt;&gt;0)),1,0)</f>
        <v>0</v>
      </c>
      <c r="Q941" s="1" t="n">
        <f aca="false">N(Q940)+$P941</f>
        <v>3</v>
      </c>
      <c r="R941" s="1" t="n">
        <f aca="false">IF(AND($K941=1,AND(对接源_01水果!$X941="公司筐",N(对接源_01水果!$U941)&lt;&gt;0)),1,0)</f>
        <v>0</v>
      </c>
      <c r="S941" s="1" t="n">
        <f aca="false">N(S940)+$R941</f>
        <v>0</v>
      </c>
      <c r="T941" s="1" t="n">
        <f aca="false">IF(AND($K941=1,AND(对接源_01水果!$X941="公司筐",N(对接源_01水果!$V941)&lt;&gt;0)),1,0)</f>
        <v>0</v>
      </c>
      <c r="U941" s="1" t="n">
        <f aca="false">N(U940)+$T941</f>
        <v>28</v>
      </c>
      <c r="V941" s="1" t="n">
        <f aca="false">IF(AND($L941=1,AND(对接源_01水果!$X941="自备筐",N(对接源_01水果!$V941)&lt;&gt;0)),1,0)</f>
        <v>0</v>
      </c>
      <c r="W941" s="1" t="n">
        <f aca="false">N(W940)+$V941</f>
        <v>7</v>
      </c>
      <c r="X941" s="1" t="n">
        <f aca="false">IF(AND($L941=1,AND(对接源_01水果!$X941="自备筐",N(对接源_01水果!$T941)&lt;&gt;0)),1,0)</f>
        <v>0</v>
      </c>
      <c r="Y941" s="1" t="n">
        <f aca="false">N(Y940)+$X941</f>
        <v>0</v>
      </c>
      <c r="Z941" s="1" t="n">
        <f aca="false">IF(AND($M941=1,对接源_01水果!$D941="原料入库"),1,0)</f>
        <v>0</v>
      </c>
      <c r="AA941" s="1" t="n">
        <f aca="false">N(AA940)+$Z941</f>
        <v>30</v>
      </c>
      <c r="AB941" s="1" t="n">
        <f aca="false">IF(AND($M941=1,LEFT(对接源_01水果!$D941,4)="原料出库"),1,0)</f>
        <v>0</v>
      </c>
      <c r="AC941" s="1" t="n">
        <f aca="false">N(AC940)+$AB941</f>
        <v>19</v>
      </c>
      <c r="AD941" s="1" t="n">
        <f aca="false">IF(AND($M941=1,LEFT(对接源_01水果!$D941,4)="成品出库"),1,0)</f>
        <v>0</v>
      </c>
      <c r="AE941" s="1" t="n">
        <f aca="false">N(AE940)+$AD941</f>
        <v>38</v>
      </c>
      <c r="AF941" s="1" t="n">
        <f aca="false">IF(AND($N941=1,AND(LEFT(对接源_01水果!$D941,4)="包装物料",N(对接源_01水果!$K941)&lt;&gt;0)),1,0)</f>
        <v>0</v>
      </c>
      <c r="AG941" s="90" t="str">
        <f aca="false">IF(对接源_01水果!$AC941="","",对接源_01水果!$AC941)</f>
        <v/>
      </c>
      <c r="AH941" s="1" t="n">
        <f aca="false">IF(AND($N941=1,AND(LEFT(对接源_01水果!$D941,3)="周转筐",N(对接源_01水果!$K941)&lt;&gt;0)),1,0)</f>
        <v>0</v>
      </c>
      <c r="AI941" s="90" t="n">
        <f aca="false">IF(AG941="",0,IF(MATCH(AG941,$AG$4:$AG$1203,0)=ROW()-3,1,0))</f>
        <v>0</v>
      </c>
      <c r="AJ941" s="90" t="n">
        <f aca="false">N(AJ940)+AI941</f>
        <v>4</v>
      </c>
      <c r="AK941" s="1" t="n">
        <f aca="false">N(AK940)+$AJ941</f>
        <v>2624</v>
      </c>
    </row>
    <row r="942" customFormat="false" ht="13.5" hidden="false" customHeight="false" outlineLevel="0" collapsed="false">
      <c r="A942" s="1" t="str">
        <f aca="false">IF(对接源_01水果!$C942="","",对接源_01水果!$C942)</f>
        <v/>
      </c>
      <c r="B942" s="1" t="n">
        <f aca="false">IF(A942="",0,IF(MATCH(A942,$A$4:$A$2403,0)=ROW()-3,1,0))</f>
        <v>0</v>
      </c>
      <c r="C942" s="1" t="n">
        <f aca="false">N(C941)+B942</f>
        <v>13</v>
      </c>
      <c r="K942" s="1" t="n">
        <f aca="false">IF(OR($K$1="",对接源_01水果!$C942="",对接源_01水果!$C942&lt;&gt;$K$1,对接源_01水果!$B942=""),0,IF(OR(N(对接源_01水果!$B942)&lt;$K$2,N(对接源_01水果!$B942)&gt;$K$3),0,1))</f>
        <v>0</v>
      </c>
      <c r="L942" s="1" t="n">
        <f aca="false">IF(OR($L$1="",对接源_01水果!$C942="",对接源_01水果!$C942&lt;&gt;$L$1,对接源_01水果!$B942=""),0,IF(OR(N(对接源_01水果!$B942)&lt;$L$2,N(对接源_01水果!$B942)&gt;$L$3),0,1))</f>
        <v>0</v>
      </c>
      <c r="M942" s="1" t="n">
        <f aca="false">IF(OR($M$1="",对接源_01水果!$C942="",对接源_01水果!$C942&lt;&gt;$M$1,对接源_01水果!$B942=""),0,IF(OR(N(对接源_01水果!$B942)&lt;$M$2,N(对接源_01水果!$B942)&gt;$M$3),0,1))</f>
        <v>0</v>
      </c>
      <c r="N942" s="1" t="n">
        <f aca="false">IF(OR($N$1="",对接源_01水果!$C942="",对接源_01水果!$C942&lt;&gt;$N$1,对接源_01水果!$B942=""),0,IF(OR(N(对接源_01水果!$B942)&lt;$N$2,N(对接源_01水果!$B942)&gt;$N$3),0,1))</f>
        <v>0</v>
      </c>
      <c r="P942" s="1" t="n">
        <f aca="false">IF(AND($K942=1,AND(对接源_01水果!$X942="公司筐",N(对接源_01水果!$T942)&lt;&gt;0)),1,0)</f>
        <v>0</v>
      </c>
      <c r="Q942" s="1" t="n">
        <f aca="false">N(Q941)+$P942</f>
        <v>3</v>
      </c>
      <c r="R942" s="1" t="n">
        <f aca="false">IF(AND($K942=1,AND(对接源_01水果!$X942="公司筐",N(对接源_01水果!$U942)&lt;&gt;0)),1,0)</f>
        <v>0</v>
      </c>
      <c r="S942" s="1" t="n">
        <f aca="false">N(S941)+$R942</f>
        <v>0</v>
      </c>
      <c r="T942" s="1" t="n">
        <f aca="false">IF(AND($K942=1,AND(对接源_01水果!$X942="公司筐",N(对接源_01水果!$V942)&lt;&gt;0)),1,0)</f>
        <v>0</v>
      </c>
      <c r="U942" s="1" t="n">
        <f aca="false">N(U941)+$T942</f>
        <v>28</v>
      </c>
      <c r="V942" s="1" t="n">
        <f aca="false">IF(AND($L942=1,AND(对接源_01水果!$X942="自备筐",N(对接源_01水果!$V942)&lt;&gt;0)),1,0)</f>
        <v>0</v>
      </c>
      <c r="W942" s="1" t="n">
        <f aca="false">N(W941)+$V942</f>
        <v>7</v>
      </c>
      <c r="X942" s="1" t="n">
        <f aca="false">IF(AND($L942=1,AND(对接源_01水果!$X942="自备筐",N(对接源_01水果!$T942)&lt;&gt;0)),1,0)</f>
        <v>0</v>
      </c>
      <c r="Y942" s="1" t="n">
        <f aca="false">N(Y941)+$X942</f>
        <v>0</v>
      </c>
      <c r="Z942" s="1" t="n">
        <f aca="false">IF(AND($M942=1,对接源_01水果!$D942="原料入库"),1,0)</f>
        <v>0</v>
      </c>
      <c r="AA942" s="1" t="n">
        <f aca="false">N(AA941)+$Z942</f>
        <v>30</v>
      </c>
      <c r="AB942" s="1" t="n">
        <f aca="false">IF(AND($M942=1,LEFT(对接源_01水果!$D942,4)="原料出库"),1,0)</f>
        <v>0</v>
      </c>
      <c r="AC942" s="1" t="n">
        <f aca="false">N(AC941)+$AB942</f>
        <v>19</v>
      </c>
      <c r="AD942" s="1" t="n">
        <f aca="false">IF(AND($M942=1,LEFT(对接源_01水果!$D942,4)="成品出库"),1,0)</f>
        <v>0</v>
      </c>
      <c r="AE942" s="1" t="n">
        <f aca="false">N(AE941)+$AD942</f>
        <v>38</v>
      </c>
      <c r="AF942" s="1" t="n">
        <f aca="false">IF(AND($N942=1,AND(LEFT(对接源_01水果!$D942,4)="包装物料",N(对接源_01水果!$K942)&lt;&gt;0)),1,0)</f>
        <v>0</v>
      </c>
      <c r="AG942" s="90" t="str">
        <f aca="false">IF(对接源_01水果!$AC942="","",对接源_01水果!$AC942)</f>
        <v/>
      </c>
      <c r="AH942" s="1" t="n">
        <f aca="false">IF(AND($N942=1,AND(LEFT(对接源_01水果!$D942,3)="周转筐",N(对接源_01水果!$K942)&lt;&gt;0)),1,0)</f>
        <v>0</v>
      </c>
      <c r="AI942" s="90" t="n">
        <f aca="false">IF(AG942="",0,IF(MATCH(AG942,$AG$4:$AG$1203,0)=ROW()-3,1,0))</f>
        <v>0</v>
      </c>
      <c r="AJ942" s="90" t="n">
        <f aca="false">N(AJ941)+AI942</f>
        <v>4</v>
      </c>
      <c r="AK942" s="1" t="n">
        <f aca="false">N(AK941)+$AJ942</f>
        <v>2628</v>
      </c>
    </row>
    <row r="943" customFormat="false" ht="13.5" hidden="false" customHeight="false" outlineLevel="0" collapsed="false">
      <c r="A943" s="1" t="str">
        <f aca="false">IF(对接源_01水果!$C943="","",对接源_01水果!$C943)</f>
        <v/>
      </c>
      <c r="B943" s="1" t="n">
        <f aca="false">IF(A943="",0,IF(MATCH(A943,$A$4:$A$2403,0)=ROW()-3,1,0))</f>
        <v>0</v>
      </c>
      <c r="C943" s="1" t="n">
        <f aca="false">N(C942)+B943</f>
        <v>13</v>
      </c>
      <c r="K943" s="1" t="n">
        <f aca="false">IF(OR($K$1="",对接源_01水果!$C943="",对接源_01水果!$C943&lt;&gt;$K$1,对接源_01水果!$B943=""),0,IF(OR(N(对接源_01水果!$B943)&lt;$K$2,N(对接源_01水果!$B943)&gt;$K$3),0,1))</f>
        <v>0</v>
      </c>
      <c r="L943" s="1" t="n">
        <f aca="false">IF(OR($L$1="",对接源_01水果!$C943="",对接源_01水果!$C943&lt;&gt;$L$1,对接源_01水果!$B943=""),0,IF(OR(N(对接源_01水果!$B943)&lt;$L$2,N(对接源_01水果!$B943)&gt;$L$3),0,1))</f>
        <v>0</v>
      </c>
      <c r="M943" s="1" t="n">
        <f aca="false">IF(OR($M$1="",对接源_01水果!$C943="",对接源_01水果!$C943&lt;&gt;$M$1,对接源_01水果!$B943=""),0,IF(OR(N(对接源_01水果!$B943)&lt;$M$2,N(对接源_01水果!$B943)&gt;$M$3),0,1))</f>
        <v>0</v>
      </c>
      <c r="N943" s="1" t="n">
        <f aca="false">IF(OR($N$1="",对接源_01水果!$C943="",对接源_01水果!$C943&lt;&gt;$N$1,对接源_01水果!$B943=""),0,IF(OR(N(对接源_01水果!$B943)&lt;$N$2,N(对接源_01水果!$B943)&gt;$N$3),0,1))</f>
        <v>0</v>
      </c>
      <c r="P943" s="1" t="n">
        <f aca="false">IF(AND($K943=1,AND(对接源_01水果!$X943="公司筐",N(对接源_01水果!$T943)&lt;&gt;0)),1,0)</f>
        <v>0</v>
      </c>
      <c r="Q943" s="1" t="n">
        <f aca="false">N(Q942)+$P943</f>
        <v>3</v>
      </c>
      <c r="R943" s="1" t="n">
        <f aca="false">IF(AND($K943=1,AND(对接源_01水果!$X943="公司筐",N(对接源_01水果!$U943)&lt;&gt;0)),1,0)</f>
        <v>0</v>
      </c>
      <c r="S943" s="1" t="n">
        <f aca="false">N(S942)+$R943</f>
        <v>0</v>
      </c>
      <c r="T943" s="1" t="n">
        <f aca="false">IF(AND($K943=1,AND(对接源_01水果!$X943="公司筐",N(对接源_01水果!$V943)&lt;&gt;0)),1,0)</f>
        <v>0</v>
      </c>
      <c r="U943" s="1" t="n">
        <f aca="false">N(U942)+$T943</f>
        <v>28</v>
      </c>
      <c r="V943" s="1" t="n">
        <f aca="false">IF(AND($L943=1,AND(对接源_01水果!$X943="自备筐",N(对接源_01水果!$V943)&lt;&gt;0)),1,0)</f>
        <v>0</v>
      </c>
      <c r="W943" s="1" t="n">
        <f aca="false">N(W942)+$V943</f>
        <v>7</v>
      </c>
      <c r="X943" s="1" t="n">
        <f aca="false">IF(AND($L943=1,AND(对接源_01水果!$X943="自备筐",N(对接源_01水果!$T943)&lt;&gt;0)),1,0)</f>
        <v>0</v>
      </c>
      <c r="Y943" s="1" t="n">
        <f aca="false">N(Y942)+$X943</f>
        <v>0</v>
      </c>
      <c r="Z943" s="1" t="n">
        <f aca="false">IF(AND($M943=1,对接源_01水果!$D943="原料入库"),1,0)</f>
        <v>0</v>
      </c>
      <c r="AA943" s="1" t="n">
        <f aca="false">N(AA942)+$Z943</f>
        <v>30</v>
      </c>
      <c r="AB943" s="1" t="n">
        <f aca="false">IF(AND($M943=1,LEFT(对接源_01水果!$D943,4)="原料出库"),1,0)</f>
        <v>0</v>
      </c>
      <c r="AC943" s="1" t="n">
        <f aca="false">N(AC942)+$AB943</f>
        <v>19</v>
      </c>
      <c r="AD943" s="1" t="n">
        <f aca="false">IF(AND($M943=1,LEFT(对接源_01水果!$D943,4)="成品出库"),1,0)</f>
        <v>0</v>
      </c>
      <c r="AE943" s="1" t="n">
        <f aca="false">N(AE942)+$AD943</f>
        <v>38</v>
      </c>
      <c r="AF943" s="1" t="n">
        <f aca="false">IF(AND($N943=1,AND(LEFT(对接源_01水果!$D943,4)="包装物料",N(对接源_01水果!$K943)&lt;&gt;0)),1,0)</f>
        <v>0</v>
      </c>
      <c r="AG943" s="90" t="str">
        <f aca="false">IF(对接源_01水果!$AC943="","",对接源_01水果!$AC943)</f>
        <v/>
      </c>
      <c r="AH943" s="1" t="n">
        <f aca="false">IF(AND($N943=1,AND(LEFT(对接源_01水果!$D943,3)="周转筐",N(对接源_01水果!$K943)&lt;&gt;0)),1,0)</f>
        <v>0</v>
      </c>
      <c r="AI943" s="90" t="n">
        <f aca="false">IF(AG943="",0,IF(MATCH(AG943,$AG$4:$AG$1203,0)=ROW()-3,1,0))</f>
        <v>0</v>
      </c>
      <c r="AJ943" s="90" t="n">
        <f aca="false">N(AJ942)+AI943</f>
        <v>4</v>
      </c>
      <c r="AK943" s="1" t="n">
        <f aca="false">N(AK942)+$AJ943</f>
        <v>2632</v>
      </c>
    </row>
    <row r="944" customFormat="false" ht="13.5" hidden="false" customHeight="false" outlineLevel="0" collapsed="false">
      <c r="A944" s="1" t="str">
        <f aca="false">IF(对接源_01水果!$C944="","",对接源_01水果!$C944)</f>
        <v/>
      </c>
      <c r="B944" s="1" t="n">
        <f aca="false">IF(A944="",0,IF(MATCH(A944,$A$4:$A$2403,0)=ROW()-3,1,0))</f>
        <v>0</v>
      </c>
      <c r="C944" s="1" t="n">
        <f aca="false">N(C943)+B944</f>
        <v>13</v>
      </c>
      <c r="K944" s="1" t="n">
        <f aca="false">IF(OR($K$1="",对接源_01水果!$C944="",对接源_01水果!$C944&lt;&gt;$K$1,对接源_01水果!$B944=""),0,IF(OR(N(对接源_01水果!$B944)&lt;$K$2,N(对接源_01水果!$B944)&gt;$K$3),0,1))</f>
        <v>0</v>
      </c>
      <c r="L944" s="1" t="n">
        <f aca="false">IF(OR($L$1="",对接源_01水果!$C944="",对接源_01水果!$C944&lt;&gt;$L$1,对接源_01水果!$B944=""),0,IF(OR(N(对接源_01水果!$B944)&lt;$L$2,N(对接源_01水果!$B944)&gt;$L$3),0,1))</f>
        <v>0</v>
      </c>
      <c r="M944" s="1" t="n">
        <f aca="false">IF(OR($M$1="",对接源_01水果!$C944="",对接源_01水果!$C944&lt;&gt;$M$1,对接源_01水果!$B944=""),0,IF(OR(N(对接源_01水果!$B944)&lt;$M$2,N(对接源_01水果!$B944)&gt;$M$3),0,1))</f>
        <v>0</v>
      </c>
      <c r="N944" s="1" t="n">
        <f aca="false">IF(OR($N$1="",对接源_01水果!$C944="",对接源_01水果!$C944&lt;&gt;$N$1,对接源_01水果!$B944=""),0,IF(OR(N(对接源_01水果!$B944)&lt;$N$2,N(对接源_01水果!$B944)&gt;$N$3),0,1))</f>
        <v>0</v>
      </c>
      <c r="P944" s="1" t="n">
        <f aca="false">IF(AND($K944=1,AND(对接源_01水果!$X944="公司筐",N(对接源_01水果!$T944)&lt;&gt;0)),1,0)</f>
        <v>0</v>
      </c>
      <c r="Q944" s="1" t="n">
        <f aca="false">N(Q943)+$P944</f>
        <v>3</v>
      </c>
      <c r="R944" s="1" t="n">
        <f aca="false">IF(AND($K944=1,AND(对接源_01水果!$X944="公司筐",N(对接源_01水果!$U944)&lt;&gt;0)),1,0)</f>
        <v>0</v>
      </c>
      <c r="S944" s="1" t="n">
        <f aca="false">N(S943)+$R944</f>
        <v>0</v>
      </c>
      <c r="T944" s="1" t="n">
        <f aca="false">IF(AND($K944=1,AND(对接源_01水果!$X944="公司筐",N(对接源_01水果!$V944)&lt;&gt;0)),1,0)</f>
        <v>0</v>
      </c>
      <c r="U944" s="1" t="n">
        <f aca="false">N(U943)+$T944</f>
        <v>28</v>
      </c>
      <c r="V944" s="1" t="n">
        <f aca="false">IF(AND($L944=1,AND(对接源_01水果!$X944="自备筐",N(对接源_01水果!$V944)&lt;&gt;0)),1,0)</f>
        <v>0</v>
      </c>
      <c r="W944" s="1" t="n">
        <f aca="false">N(W943)+$V944</f>
        <v>7</v>
      </c>
      <c r="X944" s="1" t="n">
        <f aca="false">IF(AND($L944=1,AND(对接源_01水果!$X944="自备筐",N(对接源_01水果!$T944)&lt;&gt;0)),1,0)</f>
        <v>0</v>
      </c>
      <c r="Y944" s="1" t="n">
        <f aca="false">N(Y943)+$X944</f>
        <v>0</v>
      </c>
      <c r="Z944" s="1" t="n">
        <f aca="false">IF(AND($M944=1,对接源_01水果!$D944="原料入库"),1,0)</f>
        <v>0</v>
      </c>
      <c r="AA944" s="1" t="n">
        <f aca="false">N(AA943)+$Z944</f>
        <v>30</v>
      </c>
      <c r="AB944" s="1" t="n">
        <f aca="false">IF(AND($M944=1,LEFT(对接源_01水果!$D944,4)="原料出库"),1,0)</f>
        <v>0</v>
      </c>
      <c r="AC944" s="1" t="n">
        <f aca="false">N(AC943)+$AB944</f>
        <v>19</v>
      </c>
      <c r="AD944" s="1" t="n">
        <f aca="false">IF(AND($M944=1,LEFT(对接源_01水果!$D944,4)="成品出库"),1,0)</f>
        <v>0</v>
      </c>
      <c r="AE944" s="1" t="n">
        <f aca="false">N(AE943)+$AD944</f>
        <v>38</v>
      </c>
      <c r="AF944" s="1" t="n">
        <f aca="false">IF(AND($N944=1,AND(LEFT(对接源_01水果!$D944,4)="包装物料",N(对接源_01水果!$K944)&lt;&gt;0)),1,0)</f>
        <v>0</v>
      </c>
      <c r="AG944" s="90" t="str">
        <f aca="false">IF(对接源_01水果!$AC944="","",对接源_01水果!$AC944)</f>
        <v/>
      </c>
      <c r="AH944" s="1" t="n">
        <f aca="false">IF(AND($N944=1,AND(LEFT(对接源_01水果!$D944,3)="周转筐",N(对接源_01水果!$K944)&lt;&gt;0)),1,0)</f>
        <v>0</v>
      </c>
      <c r="AI944" s="90" t="n">
        <f aca="false">IF(AG944="",0,IF(MATCH(AG944,$AG$4:$AG$1203,0)=ROW()-3,1,0))</f>
        <v>0</v>
      </c>
      <c r="AJ944" s="90" t="n">
        <f aca="false">N(AJ943)+AI944</f>
        <v>4</v>
      </c>
      <c r="AK944" s="1" t="n">
        <f aca="false">N(AK943)+$AJ944</f>
        <v>2636</v>
      </c>
    </row>
    <row r="945" customFormat="false" ht="13.5" hidden="false" customHeight="false" outlineLevel="0" collapsed="false">
      <c r="A945" s="1" t="str">
        <f aca="false">IF(对接源_01水果!$C945="","",对接源_01水果!$C945)</f>
        <v/>
      </c>
      <c r="B945" s="1" t="n">
        <f aca="false">IF(A945="",0,IF(MATCH(A945,$A$4:$A$2403,0)=ROW()-3,1,0))</f>
        <v>0</v>
      </c>
      <c r="C945" s="1" t="n">
        <f aca="false">N(C944)+B945</f>
        <v>13</v>
      </c>
      <c r="K945" s="1" t="n">
        <f aca="false">IF(OR($K$1="",对接源_01水果!$C945="",对接源_01水果!$C945&lt;&gt;$K$1,对接源_01水果!$B945=""),0,IF(OR(N(对接源_01水果!$B945)&lt;$K$2,N(对接源_01水果!$B945)&gt;$K$3),0,1))</f>
        <v>0</v>
      </c>
      <c r="L945" s="1" t="n">
        <f aca="false">IF(OR($L$1="",对接源_01水果!$C945="",对接源_01水果!$C945&lt;&gt;$L$1,对接源_01水果!$B945=""),0,IF(OR(N(对接源_01水果!$B945)&lt;$L$2,N(对接源_01水果!$B945)&gt;$L$3),0,1))</f>
        <v>0</v>
      </c>
      <c r="M945" s="1" t="n">
        <f aca="false">IF(OR($M$1="",对接源_01水果!$C945="",对接源_01水果!$C945&lt;&gt;$M$1,对接源_01水果!$B945=""),0,IF(OR(N(对接源_01水果!$B945)&lt;$M$2,N(对接源_01水果!$B945)&gt;$M$3),0,1))</f>
        <v>0</v>
      </c>
      <c r="N945" s="1" t="n">
        <f aca="false">IF(OR($N$1="",对接源_01水果!$C945="",对接源_01水果!$C945&lt;&gt;$N$1,对接源_01水果!$B945=""),0,IF(OR(N(对接源_01水果!$B945)&lt;$N$2,N(对接源_01水果!$B945)&gt;$N$3),0,1))</f>
        <v>0</v>
      </c>
      <c r="P945" s="1" t="n">
        <f aca="false">IF(AND($K945=1,AND(对接源_01水果!$X945="公司筐",N(对接源_01水果!$T945)&lt;&gt;0)),1,0)</f>
        <v>0</v>
      </c>
      <c r="Q945" s="1" t="n">
        <f aca="false">N(Q944)+$P945</f>
        <v>3</v>
      </c>
      <c r="R945" s="1" t="n">
        <f aca="false">IF(AND($K945=1,AND(对接源_01水果!$X945="公司筐",N(对接源_01水果!$U945)&lt;&gt;0)),1,0)</f>
        <v>0</v>
      </c>
      <c r="S945" s="1" t="n">
        <f aca="false">N(S944)+$R945</f>
        <v>0</v>
      </c>
      <c r="T945" s="1" t="n">
        <f aca="false">IF(AND($K945=1,AND(对接源_01水果!$X945="公司筐",N(对接源_01水果!$V945)&lt;&gt;0)),1,0)</f>
        <v>0</v>
      </c>
      <c r="U945" s="1" t="n">
        <f aca="false">N(U944)+$T945</f>
        <v>28</v>
      </c>
      <c r="V945" s="1" t="n">
        <f aca="false">IF(AND($L945=1,AND(对接源_01水果!$X945="自备筐",N(对接源_01水果!$V945)&lt;&gt;0)),1,0)</f>
        <v>0</v>
      </c>
      <c r="W945" s="1" t="n">
        <f aca="false">N(W944)+$V945</f>
        <v>7</v>
      </c>
      <c r="X945" s="1" t="n">
        <f aca="false">IF(AND($L945=1,AND(对接源_01水果!$X945="自备筐",N(对接源_01水果!$T945)&lt;&gt;0)),1,0)</f>
        <v>0</v>
      </c>
      <c r="Y945" s="1" t="n">
        <f aca="false">N(Y944)+$X945</f>
        <v>0</v>
      </c>
      <c r="Z945" s="1" t="n">
        <f aca="false">IF(AND($M945=1,对接源_01水果!$D945="原料入库"),1,0)</f>
        <v>0</v>
      </c>
      <c r="AA945" s="1" t="n">
        <f aca="false">N(AA944)+$Z945</f>
        <v>30</v>
      </c>
      <c r="AB945" s="1" t="n">
        <f aca="false">IF(AND($M945=1,LEFT(对接源_01水果!$D945,4)="原料出库"),1,0)</f>
        <v>0</v>
      </c>
      <c r="AC945" s="1" t="n">
        <f aca="false">N(AC944)+$AB945</f>
        <v>19</v>
      </c>
      <c r="AD945" s="1" t="n">
        <f aca="false">IF(AND($M945=1,LEFT(对接源_01水果!$D945,4)="成品出库"),1,0)</f>
        <v>0</v>
      </c>
      <c r="AE945" s="1" t="n">
        <f aca="false">N(AE944)+$AD945</f>
        <v>38</v>
      </c>
      <c r="AF945" s="1" t="n">
        <f aca="false">IF(AND($N945=1,AND(LEFT(对接源_01水果!$D945,4)="包装物料",N(对接源_01水果!$K945)&lt;&gt;0)),1,0)</f>
        <v>0</v>
      </c>
      <c r="AG945" s="90" t="str">
        <f aca="false">IF(对接源_01水果!$AC945="","",对接源_01水果!$AC945)</f>
        <v/>
      </c>
      <c r="AH945" s="1" t="n">
        <f aca="false">IF(AND($N945=1,AND(LEFT(对接源_01水果!$D945,3)="周转筐",N(对接源_01水果!$K945)&lt;&gt;0)),1,0)</f>
        <v>0</v>
      </c>
      <c r="AI945" s="90" t="n">
        <f aca="false">IF(AG945="",0,IF(MATCH(AG945,$AG$4:$AG$1203,0)=ROW()-3,1,0))</f>
        <v>0</v>
      </c>
      <c r="AJ945" s="90" t="n">
        <f aca="false">N(AJ944)+AI945</f>
        <v>4</v>
      </c>
      <c r="AK945" s="1" t="n">
        <f aca="false">N(AK944)+$AJ945</f>
        <v>2640</v>
      </c>
    </row>
    <row r="946" customFormat="false" ht="13.5" hidden="false" customHeight="false" outlineLevel="0" collapsed="false">
      <c r="A946" s="1" t="str">
        <f aca="false">IF(对接源_01水果!$C946="","",对接源_01水果!$C946)</f>
        <v/>
      </c>
      <c r="B946" s="1" t="n">
        <f aca="false">IF(A946="",0,IF(MATCH(A946,$A$4:$A$2403,0)=ROW()-3,1,0))</f>
        <v>0</v>
      </c>
      <c r="C946" s="1" t="n">
        <f aca="false">N(C945)+B946</f>
        <v>13</v>
      </c>
      <c r="K946" s="1" t="n">
        <f aca="false">IF(OR($K$1="",对接源_01水果!$C946="",对接源_01水果!$C946&lt;&gt;$K$1,对接源_01水果!$B946=""),0,IF(OR(N(对接源_01水果!$B946)&lt;$K$2,N(对接源_01水果!$B946)&gt;$K$3),0,1))</f>
        <v>0</v>
      </c>
      <c r="L946" s="1" t="n">
        <f aca="false">IF(OR($L$1="",对接源_01水果!$C946="",对接源_01水果!$C946&lt;&gt;$L$1,对接源_01水果!$B946=""),0,IF(OR(N(对接源_01水果!$B946)&lt;$L$2,N(对接源_01水果!$B946)&gt;$L$3),0,1))</f>
        <v>0</v>
      </c>
      <c r="M946" s="1" t="n">
        <f aca="false">IF(OR($M$1="",对接源_01水果!$C946="",对接源_01水果!$C946&lt;&gt;$M$1,对接源_01水果!$B946=""),0,IF(OR(N(对接源_01水果!$B946)&lt;$M$2,N(对接源_01水果!$B946)&gt;$M$3),0,1))</f>
        <v>0</v>
      </c>
      <c r="N946" s="1" t="n">
        <f aca="false">IF(OR($N$1="",对接源_01水果!$C946="",对接源_01水果!$C946&lt;&gt;$N$1,对接源_01水果!$B946=""),0,IF(OR(N(对接源_01水果!$B946)&lt;$N$2,N(对接源_01水果!$B946)&gt;$N$3),0,1))</f>
        <v>0</v>
      </c>
      <c r="P946" s="1" t="n">
        <f aca="false">IF(AND($K946=1,AND(对接源_01水果!$X946="公司筐",N(对接源_01水果!$T946)&lt;&gt;0)),1,0)</f>
        <v>0</v>
      </c>
      <c r="Q946" s="1" t="n">
        <f aca="false">N(Q945)+$P946</f>
        <v>3</v>
      </c>
      <c r="R946" s="1" t="n">
        <f aca="false">IF(AND($K946=1,AND(对接源_01水果!$X946="公司筐",N(对接源_01水果!$U946)&lt;&gt;0)),1,0)</f>
        <v>0</v>
      </c>
      <c r="S946" s="1" t="n">
        <f aca="false">N(S945)+$R946</f>
        <v>0</v>
      </c>
      <c r="T946" s="1" t="n">
        <f aca="false">IF(AND($K946=1,AND(对接源_01水果!$X946="公司筐",N(对接源_01水果!$V946)&lt;&gt;0)),1,0)</f>
        <v>0</v>
      </c>
      <c r="U946" s="1" t="n">
        <f aca="false">N(U945)+$T946</f>
        <v>28</v>
      </c>
      <c r="V946" s="1" t="n">
        <f aca="false">IF(AND($L946=1,AND(对接源_01水果!$X946="自备筐",N(对接源_01水果!$V946)&lt;&gt;0)),1,0)</f>
        <v>0</v>
      </c>
      <c r="W946" s="1" t="n">
        <f aca="false">N(W945)+$V946</f>
        <v>7</v>
      </c>
      <c r="X946" s="1" t="n">
        <f aca="false">IF(AND($L946=1,AND(对接源_01水果!$X946="自备筐",N(对接源_01水果!$T946)&lt;&gt;0)),1,0)</f>
        <v>0</v>
      </c>
      <c r="Y946" s="1" t="n">
        <f aca="false">N(Y945)+$X946</f>
        <v>0</v>
      </c>
      <c r="Z946" s="1" t="n">
        <f aca="false">IF(AND($M946=1,对接源_01水果!$D946="原料入库"),1,0)</f>
        <v>0</v>
      </c>
      <c r="AA946" s="1" t="n">
        <f aca="false">N(AA945)+$Z946</f>
        <v>30</v>
      </c>
      <c r="AB946" s="1" t="n">
        <f aca="false">IF(AND($M946=1,LEFT(对接源_01水果!$D946,4)="原料出库"),1,0)</f>
        <v>0</v>
      </c>
      <c r="AC946" s="1" t="n">
        <f aca="false">N(AC945)+$AB946</f>
        <v>19</v>
      </c>
      <c r="AD946" s="1" t="n">
        <f aca="false">IF(AND($M946=1,LEFT(对接源_01水果!$D946,4)="成品出库"),1,0)</f>
        <v>0</v>
      </c>
      <c r="AE946" s="1" t="n">
        <f aca="false">N(AE945)+$AD946</f>
        <v>38</v>
      </c>
      <c r="AF946" s="1" t="n">
        <f aca="false">IF(AND($N946=1,AND(LEFT(对接源_01水果!$D946,4)="包装物料",N(对接源_01水果!$K946)&lt;&gt;0)),1,0)</f>
        <v>0</v>
      </c>
      <c r="AG946" s="90" t="str">
        <f aca="false">IF(对接源_01水果!$AC946="","",对接源_01水果!$AC946)</f>
        <v/>
      </c>
      <c r="AH946" s="1" t="n">
        <f aca="false">IF(AND($N946=1,AND(LEFT(对接源_01水果!$D946,3)="周转筐",N(对接源_01水果!$K946)&lt;&gt;0)),1,0)</f>
        <v>0</v>
      </c>
      <c r="AI946" s="90" t="n">
        <f aca="false">IF(AG946="",0,IF(MATCH(AG946,$AG$4:$AG$1203,0)=ROW()-3,1,0))</f>
        <v>0</v>
      </c>
      <c r="AJ946" s="90" t="n">
        <f aca="false">N(AJ945)+AI946</f>
        <v>4</v>
      </c>
      <c r="AK946" s="1" t="n">
        <f aca="false">N(AK945)+$AJ946</f>
        <v>2644</v>
      </c>
    </row>
    <row r="947" customFormat="false" ht="13.5" hidden="false" customHeight="false" outlineLevel="0" collapsed="false">
      <c r="A947" s="1" t="str">
        <f aca="false">IF(对接源_01水果!$C947="","",对接源_01水果!$C947)</f>
        <v/>
      </c>
      <c r="B947" s="1" t="n">
        <f aca="false">IF(A947="",0,IF(MATCH(A947,$A$4:$A$2403,0)=ROW()-3,1,0))</f>
        <v>0</v>
      </c>
      <c r="C947" s="1" t="n">
        <f aca="false">N(C946)+B947</f>
        <v>13</v>
      </c>
      <c r="K947" s="1" t="n">
        <f aca="false">IF(OR($K$1="",对接源_01水果!$C947="",对接源_01水果!$C947&lt;&gt;$K$1,对接源_01水果!$B947=""),0,IF(OR(N(对接源_01水果!$B947)&lt;$K$2,N(对接源_01水果!$B947)&gt;$K$3),0,1))</f>
        <v>0</v>
      </c>
      <c r="L947" s="1" t="n">
        <f aca="false">IF(OR($L$1="",对接源_01水果!$C947="",对接源_01水果!$C947&lt;&gt;$L$1,对接源_01水果!$B947=""),0,IF(OR(N(对接源_01水果!$B947)&lt;$L$2,N(对接源_01水果!$B947)&gt;$L$3),0,1))</f>
        <v>0</v>
      </c>
      <c r="M947" s="1" t="n">
        <f aca="false">IF(OR($M$1="",对接源_01水果!$C947="",对接源_01水果!$C947&lt;&gt;$M$1,对接源_01水果!$B947=""),0,IF(OR(N(对接源_01水果!$B947)&lt;$M$2,N(对接源_01水果!$B947)&gt;$M$3),0,1))</f>
        <v>0</v>
      </c>
      <c r="N947" s="1" t="n">
        <f aca="false">IF(OR($N$1="",对接源_01水果!$C947="",对接源_01水果!$C947&lt;&gt;$N$1,对接源_01水果!$B947=""),0,IF(OR(N(对接源_01水果!$B947)&lt;$N$2,N(对接源_01水果!$B947)&gt;$N$3),0,1))</f>
        <v>0</v>
      </c>
      <c r="P947" s="1" t="n">
        <f aca="false">IF(AND($K947=1,AND(对接源_01水果!$X947="公司筐",N(对接源_01水果!$T947)&lt;&gt;0)),1,0)</f>
        <v>0</v>
      </c>
      <c r="Q947" s="1" t="n">
        <f aca="false">N(Q946)+$P947</f>
        <v>3</v>
      </c>
      <c r="R947" s="1" t="n">
        <f aca="false">IF(AND($K947=1,AND(对接源_01水果!$X947="公司筐",N(对接源_01水果!$U947)&lt;&gt;0)),1,0)</f>
        <v>0</v>
      </c>
      <c r="S947" s="1" t="n">
        <f aca="false">N(S946)+$R947</f>
        <v>0</v>
      </c>
      <c r="T947" s="1" t="n">
        <f aca="false">IF(AND($K947=1,AND(对接源_01水果!$X947="公司筐",N(对接源_01水果!$V947)&lt;&gt;0)),1,0)</f>
        <v>0</v>
      </c>
      <c r="U947" s="1" t="n">
        <f aca="false">N(U946)+$T947</f>
        <v>28</v>
      </c>
      <c r="V947" s="1" t="n">
        <f aca="false">IF(AND($L947=1,AND(对接源_01水果!$X947="自备筐",N(对接源_01水果!$V947)&lt;&gt;0)),1,0)</f>
        <v>0</v>
      </c>
      <c r="W947" s="1" t="n">
        <f aca="false">N(W946)+$V947</f>
        <v>7</v>
      </c>
      <c r="X947" s="1" t="n">
        <f aca="false">IF(AND($L947=1,AND(对接源_01水果!$X947="自备筐",N(对接源_01水果!$T947)&lt;&gt;0)),1,0)</f>
        <v>0</v>
      </c>
      <c r="Y947" s="1" t="n">
        <f aca="false">N(Y946)+$X947</f>
        <v>0</v>
      </c>
      <c r="Z947" s="1" t="n">
        <f aca="false">IF(AND($M947=1,对接源_01水果!$D947="原料入库"),1,0)</f>
        <v>0</v>
      </c>
      <c r="AA947" s="1" t="n">
        <f aca="false">N(AA946)+$Z947</f>
        <v>30</v>
      </c>
      <c r="AB947" s="1" t="n">
        <f aca="false">IF(AND($M947=1,LEFT(对接源_01水果!$D947,4)="原料出库"),1,0)</f>
        <v>0</v>
      </c>
      <c r="AC947" s="1" t="n">
        <f aca="false">N(AC946)+$AB947</f>
        <v>19</v>
      </c>
      <c r="AD947" s="1" t="n">
        <f aca="false">IF(AND($M947=1,LEFT(对接源_01水果!$D947,4)="成品出库"),1,0)</f>
        <v>0</v>
      </c>
      <c r="AE947" s="1" t="n">
        <f aca="false">N(AE946)+$AD947</f>
        <v>38</v>
      </c>
      <c r="AF947" s="1" t="n">
        <f aca="false">IF(AND($N947=1,AND(LEFT(对接源_01水果!$D947,4)="包装物料",N(对接源_01水果!$K947)&lt;&gt;0)),1,0)</f>
        <v>0</v>
      </c>
      <c r="AG947" s="90" t="str">
        <f aca="false">IF(对接源_01水果!$AC947="","",对接源_01水果!$AC947)</f>
        <v/>
      </c>
      <c r="AH947" s="1" t="n">
        <f aca="false">IF(AND($N947=1,AND(LEFT(对接源_01水果!$D947,3)="周转筐",N(对接源_01水果!$K947)&lt;&gt;0)),1,0)</f>
        <v>0</v>
      </c>
      <c r="AI947" s="90" t="n">
        <f aca="false">IF(AG947="",0,IF(MATCH(AG947,$AG$4:$AG$1203,0)=ROW()-3,1,0))</f>
        <v>0</v>
      </c>
      <c r="AJ947" s="90" t="n">
        <f aca="false">N(AJ946)+AI947</f>
        <v>4</v>
      </c>
      <c r="AK947" s="1" t="n">
        <f aca="false">N(AK946)+$AJ947</f>
        <v>2648</v>
      </c>
    </row>
    <row r="948" customFormat="false" ht="13.5" hidden="false" customHeight="false" outlineLevel="0" collapsed="false">
      <c r="A948" s="1" t="str">
        <f aca="false">IF(对接源_01水果!$C948="","",对接源_01水果!$C948)</f>
        <v/>
      </c>
      <c r="B948" s="1" t="n">
        <f aca="false">IF(A948="",0,IF(MATCH(A948,$A$4:$A$2403,0)=ROW()-3,1,0))</f>
        <v>0</v>
      </c>
      <c r="C948" s="1" t="n">
        <f aca="false">N(C947)+B948</f>
        <v>13</v>
      </c>
      <c r="K948" s="1" t="n">
        <f aca="false">IF(OR($K$1="",对接源_01水果!$C948="",对接源_01水果!$C948&lt;&gt;$K$1,对接源_01水果!$B948=""),0,IF(OR(N(对接源_01水果!$B948)&lt;$K$2,N(对接源_01水果!$B948)&gt;$K$3),0,1))</f>
        <v>0</v>
      </c>
      <c r="L948" s="1" t="n">
        <f aca="false">IF(OR($L$1="",对接源_01水果!$C948="",对接源_01水果!$C948&lt;&gt;$L$1,对接源_01水果!$B948=""),0,IF(OR(N(对接源_01水果!$B948)&lt;$L$2,N(对接源_01水果!$B948)&gt;$L$3),0,1))</f>
        <v>0</v>
      </c>
      <c r="M948" s="1" t="n">
        <f aca="false">IF(OR($M$1="",对接源_01水果!$C948="",对接源_01水果!$C948&lt;&gt;$M$1,对接源_01水果!$B948=""),0,IF(OR(N(对接源_01水果!$B948)&lt;$M$2,N(对接源_01水果!$B948)&gt;$M$3),0,1))</f>
        <v>0</v>
      </c>
      <c r="N948" s="1" t="n">
        <f aca="false">IF(OR($N$1="",对接源_01水果!$C948="",对接源_01水果!$C948&lt;&gt;$N$1,对接源_01水果!$B948=""),0,IF(OR(N(对接源_01水果!$B948)&lt;$N$2,N(对接源_01水果!$B948)&gt;$N$3),0,1))</f>
        <v>0</v>
      </c>
      <c r="P948" s="1" t="n">
        <f aca="false">IF(AND($K948=1,AND(对接源_01水果!$X948="公司筐",N(对接源_01水果!$T948)&lt;&gt;0)),1,0)</f>
        <v>0</v>
      </c>
      <c r="Q948" s="1" t="n">
        <f aca="false">N(Q947)+$P948</f>
        <v>3</v>
      </c>
      <c r="R948" s="1" t="n">
        <f aca="false">IF(AND($K948=1,AND(对接源_01水果!$X948="公司筐",N(对接源_01水果!$U948)&lt;&gt;0)),1,0)</f>
        <v>0</v>
      </c>
      <c r="S948" s="1" t="n">
        <f aca="false">N(S947)+$R948</f>
        <v>0</v>
      </c>
      <c r="T948" s="1" t="n">
        <f aca="false">IF(AND($K948=1,AND(对接源_01水果!$X948="公司筐",N(对接源_01水果!$V948)&lt;&gt;0)),1,0)</f>
        <v>0</v>
      </c>
      <c r="U948" s="1" t="n">
        <f aca="false">N(U947)+$T948</f>
        <v>28</v>
      </c>
      <c r="V948" s="1" t="n">
        <f aca="false">IF(AND($L948=1,AND(对接源_01水果!$X948="自备筐",N(对接源_01水果!$V948)&lt;&gt;0)),1,0)</f>
        <v>0</v>
      </c>
      <c r="W948" s="1" t="n">
        <f aca="false">N(W947)+$V948</f>
        <v>7</v>
      </c>
      <c r="X948" s="1" t="n">
        <f aca="false">IF(AND($L948=1,AND(对接源_01水果!$X948="自备筐",N(对接源_01水果!$T948)&lt;&gt;0)),1,0)</f>
        <v>0</v>
      </c>
      <c r="Y948" s="1" t="n">
        <f aca="false">N(Y947)+$X948</f>
        <v>0</v>
      </c>
      <c r="Z948" s="1" t="n">
        <f aca="false">IF(AND($M948=1,对接源_01水果!$D948="原料入库"),1,0)</f>
        <v>0</v>
      </c>
      <c r="AA948" s="1" t="n">
        <f aca="false">N(AA947)+$Z948</f>
        <v>30</v>
      </c>
      <c r="AB948" s="1" t="n">
        <f aca="false">IF(AND($M948=1,LEFT(对接源_01水果!$D948,4)="原料出库"),1,0)</f>
        <v>0</v>
      </c>
      <c r="AC948" s="1" t="n">
        <f aca="false">N(AC947)+$AB948</f>
        <v>19</v>
      </c>
      <c r="AD948" s="1" t="n">
        <f aca="false">IF(AND($M948=1,LEFT(对接源_01水果!$D948,4)="成品出库"),1,0)</f>
        <v>0</v>
      </c>
      <c r="AE948" s="1" t="n">
        <f aca="false">N(AE947)+$AD948</f>
        <v>38</v>
      </c>
      <c r="AF948" s="1" t="n">
        <f aca="false">IF(AND($N948=1,AND(LEFT(对接源_01水果!$D948,4)="包装物料",N(对接源_01水果!$K948)&lt;&gt;0)),1,0)</f>
        <v>0</v>
      </c>
      <c r="AG948" s="90" t="str">
        <f aca="false">IF(对接源_01水果!$AC948="","",对接源_01水果!$AC948)</f>
        <v/>
      </c>
      <c r="AH948" s="1" t="n">
        <f aca="false">IF(AND($N948=1,AND(LEFT(对接源_01水果!$D948,3)="周转筐",N(对接源_01水果!$K948)&lt;&gt;0)),1,0)</f>
        <v>0</v>
      </c>
      <c r="AI948" s="90" t="n">
        <f aca="false">IF(AG948="",0,IF(MATCH(AG948,$AG$4:$AG$1203,0)=ROW()-3,1,0))</f>
        <v>0</v>
      </c>
      <c r="AJ948" s="90" t="n">
        <f aca="false">N(AJ947)+AI948</f>
        <v>4</v>
      </c>
      <c r="AK948" s="1" t="n">
        <f aca="false">N(AK947)+$AJ948</f>
        <v>2652</v>
      </c>
    </row>
    <row r="949" customFormat="false" ht="13.5" hidden="false" customHeight="false" outlineLevel="0" collapsed="false">
      <c r="A949" s="1" t="str">
        <f aca="false">IF(对接源_01水果!$C949="","",对接源_01水果!$C949)</f>
        <v/>
      </c>
      <c r="B949" s="1" t="n">
        <f aca="false">IF(A949="",0,IF(MATCH(A949,$A$4:$A$2403,0)=ROW()-3,1,0))</f>
        <v>0</v>
      </c>
      <c r="C949" s="1" t="n">
        <f aca="false">N(C948)+B949</f>
        <v>13</v>
      </c>
      <c r="K949" s="1" t="n">
        <f aca="false">IF(OR($K$1="",对接源_01水果!$C949="",对接源_01水果!$C949&lt;&gt;$K$1,对接源_01水果!$B949=""),0,IF(OR(N(对接源_01水果!$B949)&lt;$K$2,N(对接源_01水果!$B949)&gt;$K$3),0,1))</f>
        <v>0</v>
      </c>
      <c r="L949" s="1" t="n">
        <f aca="false">IF(OR($L$1="",对接源_01水果!$C949="",对接源_01水果!$C949&lt;&gt;$L$1,对接源_01水果!$B949=""),0,IF(OR(N(对接源_01水果!$B949)&lt;$L$2,N(对接源_01水果!$B949)&gt;$L$3),0,1))</f>
        <v>0</v>
      </c>
      <c r="M949" s="1" t="n">
        <f aca="false">IF(OR($M$1="",对接源_01水果!$C949="",对接源_01水果!$C949&lt;&gt;$M$1,对接源_01水果!$B949=""),0,IF(OR(N(对接源_01水果!$B949)&lt;$M$2,N(对接源_01水果!$B949)&gt;$M$3),0,1))</f>
        <v>0</v>
      </c>
      <c r="N949" s="1" t="n">
        <f aca="false">IF(OR($N$1="",对接源_01水果!$C949="",对接源_01水果!$C949&lt;&gt;$N$1,对接源_01水果!$B949=""),0,IF(OR(N(对接源_01水果!$B949)&lt;$N$2,N(对接源_01水果!$B949)&gt;$N$3),0,1))</f>
        <v>0</v>
      </c>
      <c r="P949" s="1" t="n">
        <f aca="false">IF(AND($K949=1,AND(对接源_01水果!$X949="公司筐",N(对接源_01水果!$T949)&lt;&gt;0)),1,0)</f>
        <v>0</v>
      </c>
      <c r="Q949" s="1" t="n">
        <f aca="false">N(Q948)+$P949</f>
        <v>3</v>
      </c>
      <c r="R949" s="1" t="n">
        <f aca="false">IF(AND($K949=1,AND(对接源_01水果!$X949="公司筐",N(对接源_01水果!$U949)&lt;&gt;0)),1,0)</f>
        <v>0</v>
      </c>
      <c r="S949" s="1" t="n">
        <f aca="false">N(S948)+$R949</f>
        <v>0</v>
      </c>
      <c r="T949" s="1" t="n">
        <f aca="false">IF(AND($K949=1,AND(对接源_01水果!$X949="公司筐",N(对接源_01水果!$V949)&lt;&gt;0)),1,0)</f>
        <v>0</v>
      </c>
      <c r="U949" s="1" t="n">
        <f aca="false">N(U948)+$T949</f>
        <v>28</v>
      </c>
      <c r="V949" s="1" t="n">
        <f aca="false">IF(AND($L949=1,AND(对接源_01水果!$X949="自备筐",N(对接源_01水果!$V949)&lt;&gt;0)),1,0)</f>
        <v>0</v>
      </c>
      <c r="W949" s="1" t="n">
        <f aca="false">N(W948)+$V949</f>
        <v>7</v>
      </c>
      <c r="X949" s="1" t="n">
        <f aca="false">IF(AND($L949=1,AND(对接源_01水果!$X949="自备筐",N(对接源_01水果!$T949)&lt;&gt;0)),1,0)</f>
        <v>0</v>
      </c>
      <c r="Y949" s="1" t="n">
        <f aca="false">N(Y948)+$X949</f>
        <v>0</v>
      </c>
      <c r="Z949" s="1" t="n">
        <f aca="false">IF(AND($M949=1,对接源_01水果!$D949="原料入库"),1,0)</f>
        <v>0</v>
      </c>
      <c r="AA949" s="1" t="n">
        <f aca="false">N(AA948)+$Z949</f>
        <v>30</v>
      </c>
      <c r="AB949" s="1" t="n">
        <f aca="false">IF(AND($M949=1,LEFT(对接源_01水果!$D949,4)="原料出库"),1,0)</f>
        <v>0</v>
      </c>
      <c r="AC949" s="1" t="n">
        <f aca="false">N(AC948)+$AB949</f>
        <v>19</v>
      </c>
      <c r="AD949" s="1" t="n">
        <f aca="false">IF(AND($M949=1,LEFT(对接源_01水果!$D949,4)="成品出库"),1,0)</f>
        <v>0</v>
      </c>
      <c r="AE949" s="1" t="n">
        <f aca="false">N(AE948)+$AD949</f>
        <v>38</v>
      </c>
      <c r="AF949" s="1" t="n">
        <f aca="false">IF(AND($N949=1,AND(LEFT(对接源_01水果!$D949,4)="包装物料",N(对接源_01水果!$K949)&lt;&gt;0)),1,0)</f>
        <v>0</v>
      </c>
      <c r="AG949" s="90" t="str">
        <f aca="false">IF(对接源_01水果!$AC949="","",对接源_01水果!$AC949)</f>
        <v/>
      </c>
      <c r="AH949" s="1" t="n">
        <f aca="false">IF(AND($N949=1,AND(LEFT(对接源_01水果!$D949,3)="周转筐",N(对接源_01水果!$K949)&lt;&gt;0)),1,0)</f>
        <v>0</v>
      </c>
      <c r="AI949" s="90" t="n">
        <f aca="false">IF(AG949="",0,IF(MATCH(AG949,$AG$4:$AG$1203,0)=ROW()-3,1,0))</f>
        <v>0</v>
      </c>
      <c r="AJ949" s="90" t="n">
        <f aca="false">N(AJ948)+AI949</f>
        <v>4</v>
      </c>
      <c r="AK949" s="1" t="n">
        <f aca="false">N(AK948)+$AJ949</f>
        <v>2656</v>
      </c>
    </row>
    <row r="950" customFormat="false" ht="13.5" hidden="false" customHeight="false" outlineLevel="0" collapsed="false">
      <c r="A950" s="1" t="str">
        <f aca="false">IF(对接源_01水果!$C950="","",对接源_01水果!$C950)</f>
        <v/>
      </c>
      <c r="B950" s="1" t="n">
        <f aca="false">IF(A950="",0,IF(MATCH(A950,$A$4:$A$2403,0)=ROW()-3,1,0))</f>
        <v>0</v>
      </c>
      <c r="C950" s="1" t="n">
        <f aca="false">N(C949)+B950</f>
        <v>13</v>
      </c>
      <c r="K950" s="1" t="n">
        <f aca="false">IF(OR($K$1="",对接源_01水果!$C950="",对接源_01水果!$C950&lt;&gt;$K$1,对接源_01水果!$B950=""),0,IF(OR(N(对接源_01水果!$B950)&lt;$K$2,N(对接源_01水果!$B950)&gt;$K$3),0,1))</f>
        <v>0</v>
      </c>
      <c r="L950" s="1" t="n">
        <f aca="false">IF(OR($L$1="",对接源_01水果!$C950="",对接源_01水果!$C950&lt;&gt;$L$1,对接源_01水果!$B950=""),0,IF(OR(N(对接源_01水果!$B950)&lt;$L$2,N(对接源_01水果!$B950)&gt;$L$3),0,1))</f>
        <v>0</v>
      </c>
      <c r="M950" s="1" t="n">
        <f aca="false">IF(OR($M$1="",对接源_01水果!$C950="",对接源_01水果!$C950&lt;&gt;$M$1,对接源_01水果!$B950=""),0,IF(OR(N(对接源_01水果!$B950)&lt;$M$2,N(对接源_01水果!$B950)&gt;$M$3),0,1))</f>
        <v>0</v>
      </c>
      <c r="N950" s="1" t="n">
        <f aca="false">IF(OR($N$1="",对接源_01水果!$C950="",对接源_01水果!$C950&lt;&gt;$N$1,对接源_01水果!$B950=""),0,IF(OR(N(对接源_01水果!$B950)&lt;$N$2,N(对接源_01水果!$B950)&gt;$N$3),0,1))</f>
        <v>0</v>
      </c>
      <c r="P950" s="1" t="n">
        <f aca="false">IF(AND($K950=1,AND(对接源_01水果!$X950="公司筐",N(对接源_01水果!$T950)&lt;&gt;0)),1,0)</f>
        <v>0</v>
      </c>
      <c r="Q950" s="1" t="n">
        <f aca="false">N(Q949)+$P950</f>
        <v>3</v>
      </c>
      <c r="R950" s="1" t="n">
        <f aca="false">IF(AND($K950=1,AND(对接源_01水果!$X950="公司筐",N(对接源_01水果!$U950)&lt;&gt;0)),1,0)</f>
        <v>0</v>
      </c>
      <c r="S950" s="1" t="n">
        <f aca="false">N(S949)+$R950</f>
        <v>0</v>
      </c>
      <c r="T950" s="1" t="n">
        <f aca="false">IF(AND($K950=1,AND(对接源_01水果!$X950="公司筐",N(对接源_01水果!$V950)&lt;&gt;0)),1,0)</f>
        <v>0</v>
      </c>
      <c r="U950" s="1" t="n">
        <f aca="false">N(U949)+$T950</f>
        <v>28</v>
      </c>
      <c r="V950" s="1" t="n">
        <f aca="false">IF(AND($L950=1,AND(对接源_01水果!$X950="自备筐",N(对接源_01水果!$V950)&lt;&gt;0)),1,0)</f>
        <v>0</v>
      </c>
      <c r="W950" s="1" t="n">
        <f aca="false">N(W949)+$V950</f>
        <v>7</v>
      </c>
      <c r="X950" s="1" t="n">
        <f aca="false">IF(AND($L950=1,AND(对接源_01水果!$X950="自备筐",N(对接源_01水果!$T950)&lt;&gt;0)),1,0)</f>
        <v>0</v>
      </c>
      <c r="Y950" s="1" t="n">
        <f aca="false">N(Y949)+$X950</f>
        <v>0</v>
      </c>
      <c r="Z950" s="1" t="n">
        <f aca="false">IF(AND($M950=1,对接源_01水果!$D950="原料入库"),1,0)</f>
        <v>0</v>
      </c>
      <c r="AA950" s="1" t="n">
        <f aca="false">N(AA949)+$Z950</f>
        <v>30</v>
      </c>
      <c r="AB950" s="1" t="n">
        <f aca="false">IF(AND($M950=1,LEFT(对接源_01水果!$D950,4)="原料出库"),1,0)</f>
        <v>0</v>
      </c>
      <c r="AC950" s="1" t="n">
        <f aca="false">N(AC949)+$AB950</f>
        <v>19</v>
      </c>
      <c r="AD950" s="1" t="n">
        <f aca="false">IF(AND($M950=1,LEFT(对接源_01水果!$D950,4)="成品出库"),1,0)</f>
        <v>0</v>
      </c>
      <c r="AE950" s="1" t="n">
        <f aca="false">N(AE949)+$AD950</f>
        <v>38</v>
      </c>
      <c r="AF950" s="1" t="n">
        <f aca="false">IF(AND($N950=1,AND(LEFT(对接源_01水果!$D950,4)="包装物料",N(对接源_01水果!$K950)&lt;&gt;0)),1,0)</f>
        <v>0</v>
      </c>
      <c r="AG950" s="90" t="str">
        <f aca="false">IF(对接源_01水果!$AC950="","",对接源_01水果!$AC950)</f>
        <v/>
      </c>
      <c r="AH950" s="1" t="n">
        <f aca="false">IF(AND($N950=1,AND(LEFT(对接源_01水果!$D950,3)="周转筐",N(对接源_01水果!$K950)&lt;&gt;0)),1,0)</f>
        <v>0</v>
      </c>
      <c r="AI950" s="90" t="n">
        <f aca="false">IF(AG950="",0,IF(MATCH(AG950,$AG$4:$AG$1203,0)=ROW()-3,1,0))</f>
        <v>0</v>
      </c>
      <c r="AJ950" s="90" t="n">
        <f aca="false">N(AJ949)+AI950</f>
        <v>4</v>
      </c>
      <c r="AK950" s="1" t="n">
        <f aca="false">N(AK949)+$AJ950</f>
        <v>2660</v>
      </c>
    </row>
    <row r="951" customFormat="false" ht="13.5" hidden="false" customHeight="false" outlineLevel="0" collapsed="false">
      <c r="A951" s="1" t="str">
        <f aca="false">IF(对接源_01水果!$C951="","",对接源_01水果!$C951)</f>
        <v/>
      </c>
      <c r="B951" s="1" t="n">
        <f aca="false">IF(A951="",0,IF(MATCH(A951,$A$4:$A$2403,0)=ROW()-3,1,0))</f>
        <v>0</v>
      </c>
      <c r="C951" s="1" t="n">
        <f aca="false">N(C950)+B951</f>
        <v>13</v>
      </c>
      <c r="K951" s="1" t="n">
        <f aca="false">IF(OR($K$1="",对接源_01水果!$C951="",对接源_01水果!$C951&lt;&gt;$K$1,对接源_01水果!$B951=""),0,IF(OR(N(对接源_01水果!$B951)&lt;$K$2,N(对接源_01水果!$B951)&gt;$K$3),0,1))</f>
        <v>0</v>
      </c>
      <c r="L951" s="1" t="n">
        <f aca="false">IF(OR($L$1="",对接源_01水果!$C951="",对接源_01水果!$C951&lt;&gt;$L$1,对接源_01水果!$B951=""),0,IF(OR(N(对接源_01水果!$B951)&lt;$L$2,N(对接源_01水果!$B951)&gt;$L$3),0,1))</f>
        <v>0</v>
      </c>
      <c r="M951" s="1" t="n">
        <f aca="false">IF(OR($M$1="",对接源_01水果!$C951="",对接源_01水果!$C951&lt;&gt;$M$1,对接源_01水果!$B951=""),0,IF(OR(N(对接源_01水果!$B951)&lt;$M$2,N(对接源_01水果!$B951)&gt;$M$3),0,1))</f>
        <v>0</v>
      </c>
      <c r="N951" s="1" t="n">
        <f aca="false">IF(OR($N$1="",对接源_01水果!$C951="",对接源_01水果!$C951&lt;&gt;$N$1,对接源_01水果!$B951=""),0,IF(OR(N(对接源_01水果!$B951)&lt;$N$2,N(对接源_01水果!$B951)&gt;$N$3),0,1))</f>
        <v>0</v>
      </c>
      <c r="P951" s="1" t="n">
        <f aca="false">IF(AND($K951=1,AND(对接源_01水果!$X951="公司筐",N(对接源_01水果!$T951)&lt;&gt;0)),1,0)</f>
        <v>0</v>
      </c>
      <c r="Q951" s="1" t="n">
        <f aca="false">N(Q950)+$P951</f>
        <v>3</v>
      </c>
      <c r="R951" s="1" t="n">
        <f aca="false">IF(AND($K951=1,AND(对接源_01水果!$X951="公司筐",N(对接源_01水果!$U951)&lt;&gt;0)),1,0)</f>
        <v>0</v>
      </c>
      <c r="S951" s="1" t="n">
        <f aca="false">N(S950)+$R951</f>
        <v>0</v>
      </c>
      <c r="T951" s="1" t="n">
        <f aca="false">IF(AND($K951=1,AND(对接源_01水果!$X951="公司筐",N(对接源_01水果!$V951)&lt;&gt;0)),1,0)</f>
        <v>0</v>
      </c>
      <c r="U951" s="1" t="n">
        <f aca="false">N(U950)+$T951</f>
        <v>28</v>
      </c>
      <c r="V951" s="1" t="n">
        <f aca="false">IF(AND($L951=1,AND(对接源_01水果!$X951="自备筐",N(对接源_01水果!$V951)&lt;&gt;0)),1,0)</f>
        <v>0</v>
      </c>
      <c r="W951" s="1" t="n">
        <f aca="false">N(W950)+$V951</f>
        <v>7</v>
      </c>
      <c r="X951" s="1" t="n">
        <f aca="false">IF(AND($L951=1,AND(对接源_01水果!$X951="自备筐",N(对接源_01水果!$T951)&lt;&gt;0)),1,0)</f>
        <v>0</v>
      </c>
      <c r="Y951" s="1" t="n">
        <f aca="false">N(Y950)+$X951</f>
        <v>0</v>
      </c>
      <c r="Z951" s="1" t="n">
        <f aca="false">IF(AND($M951=1,对接源_01水果!$D951="原料入库"),1,0)</f>
        <v>0</v>
      </c>
      <c r="AA951" s="1" t="n">
        <f aca="false">N(AA950)+$Z951</f>
        <v>30</v>
      </c>
      <c r="AB951" s="1" t="n">
        <f aca="false">IF(AND($M951=1,LEFT(对接源_01水果!$D951,4)="原料出库"),1,0)</f>
        <v>0</v>
      </c>
      <c r="AC951" s="1" t="n">
        <f aca="false">N(AC950)+$AB951</f>
        <v>19</v>
      </c>
      <c r="AD951" s="1" t="n">
        <f aca="false">IF(AND($M951=1,LEFT(对接源_01水果!$D951,4)="成品出库"),1,0)</f>
        <v>0</v>
      </c>
      <c r="AE951" s="1" t="n">
        <f aca="false">N(AE950)+$AD951</f>
        <v>38</v>
      </c>
      <c r="AF951" s="1" t="n">
        <f aca="false">IF(AND($N951=1,AND(LEFT(对接源_01水果!$D951,4)="包装物料",N(对接源_01水果!$K951)&lt;&gt;0)),1,0)</f>
        <v>0</v>
      </c>
      <c r="AG951" s="90" t="str">
        <f aca="false">IF(对接源_01水果!$AC951="","",对接源_01水果!$AC951)</f>
        <v/>
      </c>
      <c r="AH951" s="1" t="n">
        <f aca="false">IF(AND($N951=1,AND(LEFT(对接源_01水果!$D951,3)="周转筐",N(对接源_01水果!$K951)&lt;&gt;0)),1,0)</f>
        <v>0</v>
      </c>
      <c r="AI951" s="90" t="n">
        <f aca="false">IF(AG951="",0,IF(MATCH(AG951,$AG$4:$AG$1203,0)=ROW()-3,1,0))</f>
        <v>0</v>
      </c>
      <c r="AJ951" s="90" t="n">
        <f aca="false">N(AJ950)+AI951</f>
        <v>4</v>
      </c>
      <c r="AK951" s="1" t="n">
        <f aca="false">N(AK950)+$AJ951</f>
        <v>2664</v>
      </c>
    </row>
    <row r="952" customFormat="false" ht="13.5" hidden="false" customHeight="false" outlineLevel="0" collapsed="false">
      <c r="A952" s="1" t="str">
        <f aca="false">IF(对接源_01水果!$C952="","",对接源_01水果!$C952)</f>
        <v/>
      </c>
      <c r="B952" s="1" t="n">
        <f aca="false">IF(A952="",0,IF(MATCH(A952,$A$4:$A$2403,0)=ROW()-3,1,0))</f>
        <v>0</v>
      </c>
      <c r="C952" s="1" t="n">
        <f aca="false">N(C951)+B952</f>
        <v>13</v>
      </c>
      <c r="K952" s="1" t="n">
        <f aca="false">IF(OR($K$1="",对接源_01水果!$C952="",对接源_01水果!$C952&lt;&gt;$K$1,对接源_01水果!$B952=""),0,IF(OR(N(对接源_01水果!$B952)&lt;$K$2,N(对接源_01水果!$B952)&gt;$K$3),0,1))</f>
        <v>0</v>
      </c>
      <c r="L952" s="1" t="n">
        <f aca="false">IF(OR($L$1="",对接源_01水果!$C952="",对接源_01水果!$C952&lt;&gt;$L$1,对接源_01水果!$B952=""),0,IF(OR(N(对接源_01水果!$B952)&lt;$L$2,N(对接源_01水果!$B952)&gt;$L$3),0,1))</f>
        <v>0</v>
      </c>
      <c r="M952" s="1" t="n">
        <f aca="false">IF(OR($M$1="",对接源_01水果!$C952="",对接源_01水果!$C952&lt;&gt;$M$1,对接源_01水果!$B952=""),0,IF(OR(N(对接源_01水果!$B952)&lt;$M$2,N(对接源_01水果!$B952)&gt;$M$3),0,1))</f>
        <v>0</v>
      </c>
      <c r="N952" s="1" t="n">
        <f aca="false">IF(OR($N$1="",对接源_01水果!$C952="",对接源_01水果!$C952&lt;&gt;$N$1,对接源_01水果!$B952=""),0,IF(OR(N(对接源_01水果!$B952)&lt;$N$2,N(对接源_01水果!$B952)&gt;$N$3),0,1))</f>
        <v>0</v>
      </c>
      <c r="P952" s="1" t="n">
        <f aca="false">IF(AND($K952=1,AND(对接源_01水果!$X952="公司筐",N(对接源_01水果!$T952)&lt;&gt;0)),1,0)</f>
        <v>0</v>
      </c>
      <c r="Q952" s="1" t="n">
        <f aca="false">N(Q951)+$P952</f>
        <v>3</v>
      </c>
      <c r="R952" s="1" t="n">
        <f aca="false">IF(AND($K952=1,AND(对接源_01水果!$X952="公司筐",N(对接源_01水果!$U952)&lt;&gt;0)),1,0)</f>
        <v>0</v>
      </c>
      <c r="S952" s="1" t="n">
        <f aca="false">N(S951)+$R952</f>
        <v>0</v>
      </c>
      <c r="T952" s="1" t="n">
        <f aca="false">IF(AND($K952=1,AND(对接源_01水果!$X952="公司筐",N(对接源_01水果!$V952)&lt;&gt;0)),1,0)</f>
        <v>0</v>
      </c>
      <c r="U952" s="1" t="n">
        <f aca="false">N(U951)+$T952</f>
        <v>28</v>
      </c>
      <c r="V952" s="1" t="n">
        <f aca="false">IF(AND($L952=1,AND(对接源_01水果!$X952="自备筐",N(对接源_01水果!$V952)&lt;&gt;0)),1,0)</f>
        <v>0</v>
      </c>
      <c r="W952" s="1" t="n">
        <f aca="false">N(W951)+$V952</f>
        <v>7</v>
      </c>
      <c r="X952" s="1" t="n">
        <f aca="false">IF(AND($L952=1,AND(对接源_01水果!$X952="自备筐",N(对接源_01水果!$T952)&lt;&gt;0)),1,0)</f>
        <v>0</v>
      </c>
      <c r="Y952" s="1" t="n">
        <f aca="false">N(Y951)+$X952</f>
        <v>0</v>
      </c>
      <c r="Z952" s="1" t="n">
        <f aca="false">IF(AND($M952=1,对接源_01水果!$D952="原料入库"),1,0)</f>
        <v>0</v>
      </c>
      <c r="AA952" s="1" t="n">
        <f aca="false">N(AA951)+$Z952</f>
        <v>30</v>
      </c>
      <c r="AB952" s="1" t="n">
        <f aca="false">IF(AND($M952=1,LEFT(对接源_01水果!$D952,4)="原料出库"),1,0)</f>
        <v>0</v>
      </c>
      <c r="AC952" s="1" t="n">
        <f aca="false">N(AC951)+$AB952</f>
        <v>19</v>
      </c>
      <c r="AD952" s="1" t="n">
        <f aca="false">IF(AND($M952=1,LEFT(对接源_01水果!$D952,4)="成品出库"),1,0)</f>
        <v>0</v>
      </c>
      <c r="AE952" s="1" t="n">
        <f aca="false">N(AE951)+$AD952</f>
        <v>38</v>
      </c>
      <c r="AF952" s="1" t="n">
        <f aca="false">IF(AND($N952=1,AND(LEFT(对接源_01水果!$D952,4)="包装物料",N(对接源_01水果!$K952)&lt;&gt;0)),1,0)</f>
        <v>0</v>
      </c>
      <c r="AG952" s="90" t="str">
        <f aca="false">IF(对接源_01水果!$AC952="","",对接源_01水果!$AC952)</f>
        <v/>
      </c>
      <c r="AH952" s="1" t="n">
        <f aca="false">IF(AND($N952=1,AND(LEFT(对接源_01水果!$D952,3)="周转筐",N(对接源_01水果!$K952)&lt;&gt;0)),1,0)</f>
        <v>0</v>
      </c>
      <c r="AI952" s="90" t="n">
        <f aca="false">IF(AG952="",0,IF(MATCH(AG952,$AG$4:$AG$1203,0)=ROW()-3,1,0))</f>
        <v>0</v>
      </c>
      <c r="AJ952" s="90" t="n">
        <f aca="false">N(AJ951)+AI952</f>
        <v>4</v>
      </c>
      <c r="AK952" s="1" t="n">
        <f aca="false">N(AK951)+$AJ952</f>
        <v>2668</v>
      </c>
    </row>
    <row r="953" customFormat="false" ht="13.5" hidden="false" customHeight="false" outlineLevel="0" collapsed="false">
      <c r="A953" s="1" t="str">
        <f aca="false">IF(对接源_01水果!$C953="","",对接源_01水果!$C953)</f>
        <v/>
      </c>
      <c r="B953" s="1" t="n">
        <f aca="false">IF(A953="",0,IF(MATCH(A953,$A$4:$A$2403,0)=ROW()-3,1,0))</f>
        <v>0</v>
      </c>
      <c r="C953" s="1" t="n">
        <f aca="false">N(C952)+B953</f>
        <v>13</v>
      </c>
      <c r="K953" s="1" t="n">
        <f aca="false">IF(OR($K$1="",对接源_01水果!$C953="",对接源_01水果!$C953&lt;&gt;$K$1,对接源_01水果!$B953=""),0,IF(OR(N(对接源_01水果!$B953)&lt;$K$2,N(对接源_01水果!$B953)&gt;$K$3),0,1))</f>
        <v>0</v>
      </c>
      <c r="L953" s="1" t="n">
        <f aca="false">IF(OR($L$1="",对接源_01水果!$C953="",对接源_01水果!$C953&lt;&gt;$L$1,对接源_01水果!$B953=""),0,IF(OR(N(对接源_01水果!$B953)&lt;$L$2,N(对接源_01水果!$B953)&gt;$L$3),0,1))</f>
        <v>0</v>
      </c>
      <c r="M953" s="1" t="n">
        <f aca="false">IF(OR($M$1="",对接源_01水果!$C953="",对接源_01水果!$C953&lt;&gt;$M$1,对接源_01水果!$B953=""),0,IF(OR(N(对接源_01水果!$B953)&lt;$M$2,N(对接源_01水果!$B953)&gt;$M$3),0,1))</f>
        <v>0</v>
      </c>
      <c r="N953" s="1" t="n">
        <f aca="false">IF(OR($N$1="",对接源_01水果!$C953="",对接源_01水果!$C953&lt;&gt;$N$1,对接源_01水果!$B953=""),0,IF(OR(N(对接源_01水果!$B953)&lt;$N$2,N(对接源_01水果!$B953)&gt;$N$3),0,1))</f>
        <v>0</v>
      </c>
      <c r="P953" s="1" t="n">
        <f aca="false">IF(AND($K953=1,AND(对接源_01水果!$X953="公司筐",N(对接源_01水果!$T953)&lt;&gt;0)),1,0)</f>
        <v>0</v>
      </c>
      <c r="Q953" s="1" t="n">
        <f aca="false">N(Q952)+$P953</f>
        <v>3</v>
      </c>
      <c r="R953" s="1" t="n">
        <f aca="false">IF(AND($K953=1,AND(对接源_01水果!$X953="公司筐",N(对接源_01水果!$U953)&lt;&gt;0)),1,0)</f>
        <v>0</v>
      </c>
      <c r="S953" s="1" t="n">
        <f aca="false">N(S952)+$R953</f>
        <v>0</v>
      </c>
      <c r="T953" s="1" t="n">
        <f aca="false">IF(AND($K953=1,AND(对接源_01水果!$X953="公司筐",N(对接源_01水果!$V953)&lt;&gt;0)),1,0)</f>
        <v>0</v>
      </c>
      <c r="U953" s="1" t="n">
        <f aca="false">N(U952)+$T953</f>
        <v>28</v>
      </c>
      <c r="V953" s="1" t="n">
        <f aca="false">IF(AND($L953=1,AND(对接源_01水果!$X953="自备筐",N(对接源_01水果!$V953)&lt;&gt;0)),1,0)</f>
        <v>0</v>
      </c>
      <c r="W953" s="1" t="n">
        <f aca="false">N(W952)+$V953</f>
        <v>7</v>
      </c>
      <c r="X953" s="1" t="n">
        <f aca="false">IF(AND($L953=1,AND(对接源_01水果!$X953="自备筐",N(对接源_01水果!$T953)&lt;&gt;0)),1,0)</f>
        <v>0</v>
      </c>
      <c r="Y953" s="1" t="n">
        <f aca="false">N(Y952)+$X953</f>
        <v>0</v>
      </c>
      <c r="Z953" s="1" t="n">
        <f aca="false">IF(AND($M953=1,对接源_01水果!$D953="原料入库"),1,0)</f>
        <v>0</v>
      </c>
      <c r="AA953" s="1" t="n">
        <f aca="false">N(AA952)+$Z953</f>
        <v>30</v>
      </c>
      <c r="AB953" s="1" t="n">
        <f aca="false">IF(AND($M953=1,LEFT(对接源_01水果!$D953,4)="原料出库"),1,0)</f>
        <v>0</v>
      </c>
      <c r="AC953" s="1" t="n">
        <f aca="false">N(AC952)+$AB953</f>
        <v>19</v>
      </c>
      <c r="AD953" s="1" t="n">
        <f aca="false">IF(AND($M953=1,LEFT(对接源_01水果!$D953,4)="成品出库"),1,0)</f>
        <v>0</v>
      </c>
      <c r="AE953" s="1" t="n">
        <f aca="false">N(AE952)+$AD953</f>
        <v>38</v>
      </c>
      <c r="AF953" s="1" t="n">
        <f aca="false">IF(AND($N953=1,AND(LEFT(对接源_01水果!$D953,4)="包装物料",N(对接源_01水果!$K953)&lt;&gt;0)),1,0)</f>
        <v>0</v>
      </c>
      <c r="AG953" s="90" t="str">
        <f aca="false">IF(对接源_01水果!$AC953="","",对接源_01水果!$AC953)</f>
        <v/>
      </c>
      <c r="AH953" s="1" t="n">
        <f aca="false">IF(AND($N953=1,AND(LEFT(对接源_01水果!$D953,3)="周转筐",N(对接源_01水果!$K953)&lt;&gt;0)),1,0)</f>
        <v>0</v>
      </c>
      <c r="AI953" s="90" t="n">
        <f aca="false">IF(AG953="",0,IF(MATCH(AG953,$AG$4:$AG$1203,0)=ROW()-3,1,0))</f>
        <v>0</v>
      </c>
      <c r="AJ953" s="90" t="n">
        <f aca="false">N(AJ952)+AI953</f>
        <v>4</v>
      </c>
      <c r="AK953" s="1" t="n">
        <f aca="false">N(AK952)+$AJ953</f>
        <v>2672</v>
      </c>
    </row>
    <row r="954" customFormat="false" ht="13.5" hidden="false" customHeight="false" outlineLevel="0" collapsed="false">
      <c r="A954" s="1" t="str">
        <f aca="false">IF(对接源_01水果!$C954="","",对接源_01水果!$C954)</f>
        <v/>
      </c>
      <c r="B954" s="1" t="n">
        <f aca="false">IF(A954="",0,IF(MATCH(A954,$A$4:$A$2403,0)=ROW()-3,1,0))</f>
        <v>0</v>
      </c>
      <c r="C954" s="1" t="n">
        <f aca="false">N(C953)+B954</f>
        <v>13</v>
      </c>
      <c r="K954" s="1" t="n">
        <f aca="false">IF(OR($K$1="",对接源_01水果!$C954="",对接源_01水果!$C954&lt;&gt;$K$1,对接源_01水果!$B954=""),0,IF(OR(N(对接源_01水果!$B954)&lt;$K$2,N(对接源_01水果!$B954)&gt;$K$3),0,1))</f>
        <v>0</v>
      </c>
      <c r="L954" s="1" t="n">
        <f aca="false">IF(OR($L$1="",对接源_01水果!$C954="",对接源_01水果!$C954&lt;&gt;$L$1,对接源_01水果!$B954=""),0,IF(OR(N(对接源_01水果!$B954)&lt;$L$2,N(对接源_01水果!$B954)&gt;$L$3),0,1))</f>
        <v>0</v>
      </c>
      <c r="M954" s="1" t="n">
        <f aca="false">IF(OR($M$1="",对接源_01水果!$C954="",对接源_01水果!$C954&lt;&gt;$M$1,对接源_01水果!$B954=""),0,IF(OR(N(对接源_01水果!$B954)&lt;$M$2,N(对接源_01水果!$B954)&gt;$M$3),0,1))</f>
        <v>0</v>
      </c>
      <c r="N954" s="1" t="n">
        <f aca="false">IF(OR($N$1="",对接源_01水果!$C954="",对接源_01水果!$C954&lt;&gt;$N$1,对接源_01水果!$B954=""),0,IF(OR(N(对接源_01水果!$B954)&lt;$N$2,N(对接源_01水果!$B954)&gt;$N$3),0,1))</f>
        <v>0</v>
      </c>
      <c r="P954" s="1" t="n">
        <f aca="false">IF(AND($K954=1,AND(对接源_01水果!$X954="公司筐",N(对接源_01水果!$T954)&lt;&gt;0)),1,0)</f>
        <v>0</v>
      </c>
      <c r="Q954" s="1" t="n">
        <f aca="false">N(Q953)+$P954</f>
        <v>3</v>
      </c>
      <c r="R954" s="1" t="n">
        <f aca="false">IF(AND($K954=1,AND(对接源_01水果!$X954="公司筐",N(对接源_01水果!$U954)&lt;&gt;0)),1,0)</f>
        <v>0</v>
      </c>
      <c r="S954" s="1" t="n">
        <f aca="false">N(S953)+$R954</f>
        <v>0</v>
      </c>
      <c r="T954" s="1" t="n">
        <f aca="false">IF(AND($K954=1,AND(对接源_01水果!$X954="公司筐",N(对接源_01水果!$V954)&lt;&gt;0)),1,0)</f>
        <v>0</v>
      </c>
      <c r="U954" s="1" t="n">
        <f aca="false">N(U953)+$T954</f>
        <v>28</v>
      </c>
      <c r="V954" s="1" t="n">
        <f aca="false">IF(AND($L954=1,AND(对接源_01水果!$X954="自备筐",N(对接源_01水果!$V954)&lt;&gt;0)),1,0)</f>
        <v>0</v>
      </c>
      <c r="W954" s="1" t="n">
        <f aca="false">N(W953)+$V954</f>
        <v>7</v>
      </c>
      <c r="X954" s="1" t="n">
        <f aca="false">IF(AND($L954=1,AND(对接源_01水果!$X954="自备筐",N(对接源_01水果!$T954)&lt;&gt;0)),1,0)</f>
        <v>0</v>
      </c>
      <c r="Y954" s="1" t="n">
        <f aca="false">N(Y953)+$X954</f>
        <v>0</v>
      </c>
      <c r="Z954" s="1" t="n">
        <f aca="false">IF(AND($M954=1,对接源_01水果!$D954="原料入库"),1,0)</f>
        <v>0</v>
      </c>
      <c r="AA954" s="1" t="n">
        <f aca="false">N(AA953)+$Z954</f>
        <v>30</v>
      </c>
      <c r="AB954" s="1" t="n">
        <f aca="false">IF(AND($M954=1,LEFT(对接源_01水果!$D954,4)="原料出库"),1,0)</f>
        <v>0</v>
      </c>
      <c r="AC954" s="1" t="n">
        <f aca="false">N(AC953)+$AB954</f>
        <v>19</v>
      </c>
      <c r="AD954" s="1" t="n">
        <f aca="false">IF(AND($M954=1,LEFT(对接源_01水果!$D954,4)="成品出库"),1,0)</f>
        <v>0</v>
      </c>
      <c r="AE954" s="1" t="n">
        <f aca="false">N(AE953)+$AD954</f>
        <v>38</v>
      </c>
      <c r="AF954" s="1" t="n">
        <f aca="false">IF(AND($N954=1,AND(LEFT(对接源_01水果!$D954,4)="包装物料",N(对接源_01水果!$K954)&lt;&gt;0)),1,0)</f>
        <v>0</v>
      </c>
      <c r="AG954" s="90" t="str">
        <f aca="false">IF(对接源_01水果!$AC954="","",对接源_01水果!$AC954)</f>
        <v/>
      </c>
      <c r="AH954" s="1" t="n">
        <f aca="false">IF(AND($N954=1,AND(LEFT(对接源_01水果!$D954,3)="周转筐",N(对接源_01水果!$K954)&lt;&gt;0)),1,0)</f>
        <v>0</v>
      </c>
      <c r="AI954" s="90" t="n">
        <f aca="false">IF(AG954="",0,IF(MATCH(AG954,$AG$4:$AG$1203,0)=ROW()-3,1,0))</f>
        <v>0</v>
      </c>
      <c r="AJ954" s="90" t="n">
        <f aca="false">N(AJ953)+AI954</f>
        <v>4</v>
      </c>
      <c r="AK954" s="1" t="n">
        <f aca="false">N(AK953)+$AJ954</f>
        <v>2676</v>
      </c>
    </row>
    <row r="955" customFormat="false" ht="13.5" hidden="false" customHeight="false" outlineLevel="0" collapsed="false">
      <c r="A955" s="1" t="str">
        <f aca="false">IF(对接源_01水果!$C955="","",对接源_01水果!$C955)</f>
        <v/>
      </c>
      <c r="B955" s="1" t="n">
        <f aca="false">IF(A955="",0,IF(MATCH(A955,$A$4:$A$2403,0)=ROW()-3,1,0))</f>
        <v>0</v>
      </c>
      <c r="C955" s="1" t="n">
        <f aca="false">N(C954)+B955</f>
        <v>13</v>
      </c>
      <c r="K955" s="1" t="n">
        <f aca="false">IF(OR($K$1="",对接源_01水果!$C955="",对接源_01水果!$C955&lt;&gt;$K$1,对接源_01水果!$B955=""),0,IF(OR(N(对接源_01水果!$B955)&lt;$K$2,N(对接源_01水果!$B955)&gt;$K$3),0,1))</f>
        <v>0</v>
      </c>
      <c r="L955" s="1" t="n">
        <f aca="false">IF(OR($L$1="",对接源_01水果!$C955="",对接源_01水果!$C955&lt;&gt;$L$1,对接源_01水果!$B955=""),0,IF(OR(N(对接源_01水果!$B955)&lt;$L$2,N(对接源_01水果!$B955)&gt;$L$3),0,1))</f>
        <v>0</v>
      </c>
      <c r="M955" s="1" t="n">
        <f aca="false">IF(OR($M$1="",对接源_01水果!$C955="",对接源_01水果!$C955&lt;&gt;$M$1,对接源_01水果!$B955=""),0,IF(OR(N(对接源_01水果!$B955)&lt;$M$2,N(对接源_01水果!$B955)&gt;$M$3),0,1))</f>
        <v>0</v>
      </c>
      <c r="N955" s="1" t="n">
        <f aca="false">IF(OR($N$1="",对接源_01水果!$C955="",对接源_01水果!$C955&lt;&gt;$N$1,对接源_01水果!$B955=""),0,IF(OR(N(对接源_01水果!$B955)&lt;$N$2,N(对接源_01水果!$B955)&gt;$N$3),0,1))</f>
        <v>0</v>
      </c>
      <c r="P955" s="1" t="n">
        <f aca="false">IF(AND($K955=1,AND(对接源_01水果!$X955="公司筐",N(对接源_01水果!$T955)&lt;&gt;0)),1,0)</f>
        <v>0</v>
      </c>
      <c r="Q955" s="1" t="n">
        <f aca="false">N(Q954)+$P955</f>
        <v>3</v>
      </c>
      <c r="R955" s="1" t="n">
        <f aca="false">IF(AND($K955=1,AND(对接源_01水果!$X955="公司筐",N(对接源_01水果!$U955)&lt;&gt;0)),1,0)</f>
        <v>0</v>
      </c>
      <c r="S955" s="1" t="n">
        <f aca="false">N(S954)+$R955</f>
        <v>0</v>
      </c>
      <c r="T955" s="1" t="n">
        <f aca="false">IF(AND($K955=1,AND(对接源_01水果!$X955="公司筐",N(对接源_01水果!$V955)&lt;&gt;0)),1,0)</f>
        <v>0</v>
      </c>
      <c r="U955" s="1" t="n">
        <f aca="false">N(U954)+$T955</f>
        <v>28</v>
      </c>
      <c r="V955" s="1" t="n">
        <f aca="false">IF(AND($L955=1,AND(对接源_01水果!$X955="自备筐",N(对接源_01水果!$V955)&lt;&gt;0)),1,0)</f>
        <v>0</v>
      </c>
      <c r="W955" s="1" t="n">
        <f aca="false">N(W954)+$V955</f>
        <v>7</v>
      </c>
      <c r="X955" s="1" t="n">
        <f aca="false">IF(AND($L955=1,AND(对接源_01水果!$X955="自备筐",N(对接源_01水果!$T955)&lt;&gt;0)),1,0)</f>
        <v>0</v>
      </c>
      <c r="Y955" s="1" t="n">
        <f aca="false">N(Y954)+$X955</f>
        <v>0</v>
      </c>
      <c r="Z955" s="1" t="n">
        <f aca="false">IF(AND($M955=1,对接源_01水果!$D955="原料入库"),1,0)</f>
        <v>0</v>
      </c>
      <c r="AA955" s="1" t="n">
        <f aca="false">N(AA954)+$Z955</f>
        <v>30</v>
      </c>
      <c r="AB955" s="1" t="n">
        <f aca="false">IF(AND($M955=1,LEFT(对接源_01水果!$D955,4)="原料出库"),1,0)</f>
        <v>0</v>
      </c>
      <c r="AC955" s="1" t="n">
        <f aca="false">N(AC954)+$AB955</f>
        <v>19</v>
      </c>
      <c r="AD955" s="1" t="n">
        <f aca="false">IF(AND($M955=1,LEFT(对接源_01水果!$D955,4)="成品出库"),1,0)</f>
        <v>0</v>
      </c>
      <c r="AE955" s="1" t="n">
        <f aca="false">N(AE954)+$AD955</f>
        <v>38</v>
      </c>
      <c r="AF955" s="1" t="n">
        <f aca="false">IF(AND($N955=1,AND(LEFT(对接源_01水果!$D955,4)="包装物料",N(对接源_01水果!$K955)&lt;&gt;0)),1,0)</f>
        <v>0</v>
      </c>
      <c r="AG955" s="90" t="str">
        <f aca="false">IF(对接源_01水果!$AC955="","",对接源_01水果!$AC955)</f>
        <v/>
      </c>
      <c r="AH955" s="1" t="n">
        <f aca="false">IF(AND($N955=1,AND(LEFT(对接源_01水果!$D955,3)="周转筐",N(对接源_01水果!$K955)&lt;&gt;0)),1,0)</f>
        <v>0</v>
      </c>
      <c r="AI955" s="90" t="n">
        <f aca="false">IF(AG955="",0,IF(MATCH(AG955,$AG$4:$AG$1203,0)=ROW()-3,1,0))</f>
        <v>0</v>
      </c>
      <c r="AJ955" s="90" t="n">
        <f aca="false">N(AJ954)+AI955</f>
        <v>4</v>
      </c>
      <c r="AK955" s="1" t="n">
        <f aca="false">N(AK954)+$AJ955</f>
        <v>2680</v>
      </c>
    </row>
    <row r="956" customFormat="false" ht="13.5" hidden="false" customHeight="false" outlineLevel="0" collapsed="false">
      <c r="A956" s="1" t="str">
        <f aca="false">IF(对接源_01水果!$C956="","",对接源_01水果!$C956)</f>
        <v/>
      </c>
      <c r="B956" s="1" t="n">
        <f aca="false">IF(A956="",0,IF(MATCH(A956,$A$4:$A$2403,0)=ROW()-3,1,0))</f>
        <v>0</v>
      </c>
      <c r="C956" s="1" t="n">
        <f aca="false">N(C955)+B956</f>
        <v>13</v>
      </c>
      <c r="K956" s="1" t="n">
        <f aca="false">IF(OR($K$1="",对接源_01水果!$C956="",对接源_01水果!$C956&lt;&gt;$K$1,对接源_01水果!$B956=""),0,IF(OR(N(对接源_01水果!$B956)&lt;$K$2,N(对接源_01水果!$B956)&gt;$K$3),0,1))</f>
        <v>0</v>
      </c>
      <c r="L956" s="1" t="n">
        <f aca="false">IF(OR($L$1="",对接源_01水果!$C956="",对接源_01水果!$C956&lt;&gt;$L$1,对接源_01水果!$B956=""),0,IF(OR(N(对接源_01水果!$B956)&lt;$L$2,N(对接源_01水果!$B956)&gt;$L$3),0,1))</f>
        <v>0</v>
      </c>
      <c r="M956" s="1" t="n">
        <f aca="false">IF(OR($M$1="",对接源_01水果!$C956="",对接源_01水果!$C956&lt;&gt;$M$1,对接源_01水果!$B956=""),0,IF(OR(N(对接源_01水果!$B956)&lt;$M$2,N(对接源_01水果!$B956)&gt;$M$3),0,1))</f>
        <v>0</v>
      </c>
      <c r="N956" s="1" t="n">
        <f aca="false">IF(OR($N$1="",对接源_01水果!$C956="",对接源_01水果!$C956&lt;&gt;$N$1,对接源_01水果!$B956=""),0,IF(OR(N(对接源_01水果!$B956)&lt;$N$2,N(对接源_01水果!$B956)&gt;$N$3),0,1))</f>
        <v>0</v>
      </c>
      <c r="P956" s="1" t="n">
        <f aca="false">IF(AND($K956=1,AND(对接源_01水果!$X956="公司筐",N(对接源_01水果!$T956)&lt;&gt;0)),1,0)</f>
        <v>0</v>
      </c>
      <c r="Q956" s="1" t="n">
        <f aca="false">N(Q955)+$P956</f>
        <v>3</v>
      </c>
      <c r="R956" s="1" t="n">
        <f aca="false">IF(AND($K956=1,AND(对接源_01水果!$X956="公司筐",N(对接源_01水果!$U956)&lt;&gt;0)),1,0)</f>
        <v>0</v>
      </c>
      <c r="S956" s="1" t="n">
        <f aca="false">N(S955)+$R956</f>
        <v>0</v>
      </c>
      <c r="T956" s="1" t="n">
        <f aca="false">IF(AND($K956=1,AND(对接源_01水果!$X956="公司筐",N(对接源_01水果!$V956)&lt;&gt;0)),1,0)</f>
        <v>0</v>
      </c>
      <c r="U956" s="1" t="n">
        <f aca="false">N(U955)+$T956</f>
        <v>28</v>
      </c>
      <c r="V956" s="1" t="n">
        <f aca="false">IF(AND($L956=1,AND(对接源_01水果!$X956="自备筐",N(对接源_01水果!$V956)&lt;&gt;0)),1,0)</f>
        <v>0</v>
      </c>
      <c r="W956" s="1" t="n">
        <f aca="false">N(W955)+$V956</f>
        <v>7</v>
      </c>
      <c r="X956" s="1" t="n">
        <f aca="false">IF(AND($L956=1,AND(对接源_01水果!$X956="自备筐",N(对接源_01水果!$T956)&lt;&gt;0)),1,0)</f>
        <v>0</v>
      </c>
      <c r="Y956" s="1" t="n">
        <f aca="false">N(Y955)+$X956</f>
        <v>0</v>
      </c>
      <c r="Z956" s="1" t="n">
        <f aca="false">IF(AND($M956=1,对接源_01水果!$D956="原料入库"),1,0)</f>
        <v>0</v>
      </c>
      <c r="AA956" s="1" t="n">
        <f aca="false">N(AA955)+$Z956</f>
        <v>30</v>
      </c>
      <c r="AB956" s="1" t="n">
        <f aca="false">IF(AND($M956=1,LEFT(对接源_01水果!$D956,4)="原料出库"),1,0)</f>
        <v>0</v>
      </c>
      <c r="AC956" s="1" t="n">
        <f aca="false">N(AC955)+$AB956</f>
        <v>19</v>
      </c>
      <c r="AD956" s="1" t="n">
        <f aca="false">IF(AND($M956=1,LEFT(对接源_01水果!$D956,4)="成品出库"),1,0)</f>
        <v>0</v>
      </c>
      <c r="AE956" s="1" t="n">
        <f aca="false">N(AE955)+$AD956</f>
        <v>38</v>
      </c>
      <c r="AF956" s="1" t="n">
        <f aca="false">IF(AND($N956=1,AND(LEFT(对接源_01水果!$D956,4)="包装物料",N(对接源_01水果!$K956)&lt;&gt;0)),1,0)</f>
        <v>0</v>
      </c>
      <c r="AG956" s="90" t="str">
        <f aca="false">IF(对接源_01水果!$AC956="","",对接源_01水果!$AC956)</f>
        <v/>
      </c>
      <c r="AH956" s="1" t="n">
        <f aca="false">IF(AND($N956=1,AND(LEFT(对接源_01水果!$D956,3)="周转筐",N(对接源_01水果!$K956)&lt;&gt;0)),1,0)</f>
        <v>0</v>
      </c>
      <c r="AI956" s="90" t="n">
        <f aca="false">IF(AG956="",0,IF(MATCH(AG956,$AG$4:$AG$1203,0)=ROW()-3,1,0))</f>
        <v>0</v>
      </c>
      <c r="AJ956" s="90" t="n">
        <f aca="false">N(AJ955)+AI956</f>
        <v>4</v>
      </c>
      <c r="AK956" s="1" t="n">
        <f aca="false">N(AK955)+$AJ956</f>
        <v>2684</v>
      </c>
    </row>
    <row r="957" customFormat="false" ht="13.5" hidden="false" customHeight="false" outlineLevel="0" collapsed="false">
      <c r="A957" s="1" t="str">
        <f aca="false">IF(对接源_01水果!$C957="","",对接源_01水果!$C957)</f>
        <v/>
      </c>
      <c r="B957" s="1" t="n">
        <f aca="false">IF(A957="",0,IF(MATCH(A957,$A$4:$A$2403,0)=ROW()-3,1,0))</f>
        <v>0</v>
      </c>
      <c r="C957" s="1" t="n">
        <f aca="false">N(C956)+B957</f>
        <v>13</v>
      </c>
      <c r="K957" s="1" t="n">
        <f aca="false">IF(OR($K$1="",对接源_01水果!$C957="",对接源_01水果!$C957&lt;&gt;$K$1,对接源_01水果!$B957=""),0,IF(OR(N(对接源_01水果!$B957)&lt;$K$2,N(对接源_01水果!$B957)&gt;$K$3),0,1))</f>
        <v>0</v>
      </c>
      <c r="L957" s="1" t="n">
        <f aca="false">IF(OR($L$1="",对接源_01水果!$C957="",对接源_01水果!$C957&lt;&gt;$L$1,对接源_01水果!$B957=""),0,IF(OR(N(对接源_01水果!$B957)&lt;$L$2,N(对接源_01水果!$B957)&gt;$L$3),0,1))</f>
        <v>0</v>
      </c>
      <c r="M957" s="1" t="n">
        <f aca="false">IF(OR($M$1="",对接源_01水果!$C957="",对接源_01水果!$C957&lt;&gt;$M$1,对接源_01水果!$B957=""),0,IF(OR(N(对接源_01水果!$B957)&lt;$M$2,N(对接源_01水果!$B957)&gt;$M$3),0,1))</f>
        <v>0</v>
      </c>
      <c r="N957" s="1" t="n">
        <f aca="false">IF(OR($N$1="",对接源_01水果!$C957="",对接源_01水果!$C957&lt;&gt;$N$1,对接源_01水果!$B957=""),0,IF(OR(N(对接源_01水果!$B957)&lt;$N$2,N(对接源_01水果!$B957)&gt;$N$3),0,1))</f>
        <v>0</v>
      </c>
      <c r="P957" s="1" t="n">
        <f aca="false">IF(AND($K957=1,AND(对接源_01水果!$X957="公司筐",N(对接源_01水果!$T957)&lt;&gt;0)),1,0)</f>
        <v>0</v>
      </c>
      <c r="Q957" s="1" t="n">
        <f aca="false">N(Q956)+$P957</f>
        <v>3</v>
      </c>
      <c r="R957" s="1" t="n">
        <f aca="false">IF(AND($K957=1,AND(对接源_01水果!$X957="公司筐",N(对接源_01水果!$U957)&lt;&gt;0)),1,0)</f>
        <v>0</v>
      </c>
      <c r="S957" s="1" t="n">
        <f aca="false">N(S956)+$R957</f>
        <v>0</v>
      </c>
      <c r="T957" s="1" t="n">
        <f aca="false">IF(AND($K957=1,AND(对接源_01水果!$X957="公司筐",N(对接源_01水果!$V957)&lt;&gt;0)),1,0)</f>
        <v>0</v>
      </c>
      <c r="U957" s="1" t="n">
        <f aca="false">N(U956)+$T957</f>
        <v>28</v>
      </c>
      <c r="V957" s="1" t="n">
        <f aca="false">IF(AND($L957=1,AND(对接源_01水果!$X957="自备筐",N(对接源_01水果!$V957)&lt;&gt;0)),1,0)</f>
        <v>0</v>
      </c>
      <c r="W957" s="1" t="n">
        <f aca="false">N(W956)+$V957</f>
        <v>7</v>
      </c>
      <c r="X957" s="1" t="n">
        <f aca="false">IF(AND($L957=1,AND(对接源_01水果!$X957="自备筐",N(对接源_01水果!$T957)&lt;&gt;0)),1,0)</f>
        <v>0</v>
      </c>
      <c r="Y957" s="1" t="n">
        <f aca="false">N(Y956)+$X957</f>
        <v>0</v>
      </c>
      <c r="Z957" s="1" t="n">
        <f aca="false">IF(AND($M957=1,对接源_01水果!$D957="原料入库"),1,0)</f>
        <v>0</v>
      </c>
      <c r="AA957" s="1" t="n">
        <f aca="false">N(AA956)+$Z957</f>
        <v>30</v>
      </c>
      <c r="AB957" s="1" t="n">
        <f aca="false">IF(AND($M957=1,LEFT(对接源_01水果!$D957,4)="原料出库"),1,0)</f>
        <v>0</v>
      </c>
      <c r="AC957" s="1" t="n">
        <f aca="false">N(AC956)+$AB957</f>
        <v>19</v>
      </c>
      <c r="AD957" s="1" t="n">
        <f aca="false">IF(AND($M957=1,LEFT(对接源_01水果!$D957,4)="成品出库"),1,0)</f>
        <v>0</v>
      </c>
      <c r="AE957" s="1" t="n">
        <f aca="false">N(AE956)+$AD957</f>
        <v>38</v>
      </c>
      <c r="AF957" s="1" t="n">
        <f aca="false">IF(AND($N957=1,AND(LEFT(对接源_01水果!$D957,4)="包装物料",N(对接源_01水果!$K957)&lt;&gt;0)),1,0)</f>
        <v>0</v>
      </c>
      <c r="AG957" s="90" t="str">
        <f aca="false">IF(对接源_01水果!$AC957="","",对接源_01水果!$AC957)</f>
        <v/>
      </c>
      <c r="AH957" s="1" t="n">
        <f aca="false">IF(AND($N957=1,AND(LEFT(对接源_01水果!$D957,3)="周转筐",N(对接源_01水果!$K957)&lt;&gt;0)),1,0)</f>
        <v>0</v>
      </c>
      <c r="AI957" s="90" t="n">
        <f aca="false">IF(AG957="",0,IF(MATCH(AG957,$AG$4:$AG$1203,0)=ROW()-3,1,0))</f>
        <v>0</v>
      </c>
      <c r="AJ957" s="90" t="n">
        <f aca="false">N(AJ956)+AI957</f>
        <v>4</v>
      </c>
      <c r="AK957" s="1" t="n">
        <f aca="false">N(AK956)+$AJ957</f>
        <v>2688</v>
      </c>
    </row>
    <row r="958" customFormat="false" ht="13.5" hidden="false" customHeight="false" outlineLevel="0" collapsed="false">
      <c r="A958" s="1" t="str">
        <f aca="false">IF(对接源_01水果!$C958="","",对接源_01水果!$C958)</f>
        <v/>
      </c>
      <c r="B958" s="1" t="n">
        <f aca="false">IF(A958="",0,IF(MATCH(A958,$A$4:$A$2403,0)=ROW()-3,1,0))</f>
        <v>0</v>
      </c>
      <c r="C958" s="1" t="n">
        <f aca="false">N(C957)+B958</f>
        <v>13</v>
      </c>
      <c r="K958" s="1" t="n">
        <f aca="false">IF(OR($K$1="",对接源_01水果!$C958="",对接源_01水果!$C958&lt;&gt;$K$1,对接源_01水果!$B958=""),0,IF(OR(N(对接源_01水果!$B958)&lt;$K$2,N(对接源_01水果!$B958)&gt;$K$3),0,1))</f>
        <v>0</v>
      </c>
      <c r="L958" s="1" t="n">
        <f aca="false">IF(OR($L$1="",对接源_01水果!$C958="",对接源_01水果!$C958&lt;&gt;$L$1,对接源_01水果!$B958=""),0,IF(OR(N(对接源_01水果!$B958)&lt;$L$2,N(对接源_01水果!$B958)&gt;$L$3),0,1))</f>
        <v>0</v>
      </c>
      <c r="M958" s="1" t="n">
        <f aca="false">IF(OR($M$1="",对接源_01水果!$C958="",对接源_01水果!$C958&lt;&gt;$M$1,对接源_01水果!$B958=""),0,IF(OR(N(对接源_01水果!$B958)&lt;$M$2,N(对接源_01水果!$B958)&gt;$M$3),0,1))</f>
        <v>0</v>
      </c>
      <c r="N958" s="1" t="n">
        <f aca="false">IF(OR($N$1="",对接源_01水果!$C958="",对接源_01水果!$C958&lt;&gt;$N$1,对接源_01水果!$B958=""),0,IF(OR(N(对接源_01水果!$B958)&lt;$N$2,N(对接源_01水果!$B958)&gt;$N$3),0,1))</f>
        <v>0</v>
      </c>
      <c r="P958" s="1" t="n">
        <f aca="false">IF(AND($K958=1,AND(对接源_01水果!$X958="公司筐",N(对接源_01水果!$T958)&lt;&gt;0)),1,0)</f>
        <v>0</v>
      </c>
      <c r="Q958" s="1" t="n">
        <f aca="false">N(Q957)+$P958</f>
        <v>3</v>
      </c>
      <c r="R958" s="1" t="n">
        <f aca="false">IF(AND($K958=1,AND(对接源_01水果!$X958="公司筐",N(对接源_01水果!$U958)&lt;&gt;0)),1,0)</f>
        <v>0</v>
      </c>
      <c r="S958" s="1" t="n">
        <f aca="false">N(S957)+$R958</f>
        <v>0</v>
      </c>
      <c r="T958" s="1" t="n">
        <f aca="false">IF(AND($K958=1,AND(对接源_01水果!$X958="公司筐",N(对接源_01水果!$V958)&lt;&gt;0)),1,0)</f>
        <v>0</v>
      </c>
      <c r="U958" s="1" t="n">
        <f aca="false">N(U957)+$T958</f>
        <v>28</v>
      </c>
      <c r="V958" s="1" t="n">
        <f aca="false">IF(AND($L958=1,AND(对接源_01水果!$X958="自备筐",N(对接源_01水果!$V958)&lt;&gt;0)),1,0)</f>
        <v>0</v>
      </c>
      <c r="W958" s="1" t="n">
        <f aca="false">N(W957)+$V958</f>
        <v>7</v>
      </c>
      <c r="X958" s="1" t="n">
        <f aca="false">IF(AND($L958=1,AND(对接源_01水果!$X958="自备筐",N(对接源_01水果!$T958)&lt;&gt;0)),1,0)</f>
        <v>0</v>
      </c>
      <c r="Y958" s="1" t="n">
        <f aca="false">N(Y957)+$X958</f>
        <v>0</v>
      </c>
      <c r="Z958" s="1" t="n">
        <f aca="false">IF(AND($M958=1,对接源_01水果!$D958="原料入库"),1,0)</f>
        <v>0</v>
      </c>
      <c r="AA958" s="1" t="n">
        <f aca="false">N(AA957)+$Z958</f>
        <v>30</v>
      </c>
      <c r="AB958" s="1" t="n">
        <f aca="false">IF(AND($M958=1,LEFT(对接源_01水果!$D958,4)="原料出库"),1,0)</f>
        <v>0</v>
      </c>
      <c r="AC958" s="1" t="n">
        <f aca="false">N(AC957)+$AB958</f>
        <v>19</v>
      </c>
      <c r="AD958" s="1" t="n">
        <f aca="false">IF(AND($M958=1,LEFT(对接源_01水果!$D958,4)="成品出库"),1,0)</f>
        <v>0</v>
      </c>
      <c r="AE958" s="1" t="n">
        <f aca="false">N(AE957)+$AD958</f>
        <v>38</v>
      </c>
      <c r="AF958" s="1" t="n">
        <f aca="false">IF(AND($N958=1,AND(LEFT(对接源_01水果!$D958,4)="包装物料",N(对接源_01水果!$K958)&lt;&gt;0)),1,0)</f>
        <v>0</v>
      </c>
      <c r="AG958" s="90" t="str">
        <f aca="false">IF(对接源_01水果!$AC958="","",对接源_01水果!$AC958)</f>
        <v/>
      </c>
      <c r="AH958" s="1" t="n">
        <f aca="false">IF(AND($N958=1,AND(LEFT(对接源_01水果!$D958,3)="周转筐",N(对接源_01水果!$K958)&lt;&gt;0)),1,0)</f>
        <v>0</v>
      </c>
      <c r="AI958" s="90" t="n">
        <f aca="false">IF(AG958="",0,IF(MATCH(AG958,$AG$4:$AG$1203,0)=ROW()-3,1,0))</f>
        <v>0</v>
      </c>
      <c r="AJ958" s="90" t="n">
        <f aca="false">N(AJ957)+AI958</f>
        <v>4</v>
      </c>
      <c r="AK958" s="1" t="n">
        <f aca="false">N(AK957)+$AJ958</f>
        <v>2692</v>
      </c>
    </row>
    <row r="959" customFormat="false" ht="13.5" hidden="false" customHeight="false" outlineLevel="0" collapsed="false">
      <c r="A959" s="1" t="str">
        <f aca="false">IF(对接源_01水果!$C959="","",对接源_01水果!$C959)</f>
        <v/>
      </c>
      <c r="B959" s="1" t="n">
        <f aca="false">IF(A959="",0,IF(MATCH(A959,$A$4:$A$2403,0)=ROW()-3,1,0))</f>
        <v>0</v>
      </c>
      <c r="C959" s="1" t="n">
        <f aca="false">N(C958)+B959</f>
        <v>13</v>
      </c>
      <c r="K959" s="1" t="n">
        <f aca="false">IF(OR($K$1="",对接源_01水果!$C959="",对接源_01水果!$C959&lt;&gt;$K$1,对接源_01水果!$B959=""),0,IF(OR(N(对接源_01水果!$B959)&lt;$K$2,N(对接源_01水果!$B959)&gt;$K$3),0,1))</f>
        <v>0</v>
      </c>
      <c r="L959" s="1" t="n">
        <f aca="false">IF(OR($L$1="",对接源_01水果!$C959="",对接源_01水果!$C959&lt;&gt;$L$1,对接源_01水果!$B959=""),0,IF(OR(N(对接源_01水果!$B959)&lt;$L$2,N(对接源_01水果!$B959)&gt;$L$3),0,1))</f>
        <v>0</v>
      </c>
      <c r="M959" s="1" t="n">
        <f aca="false">IF(OR($M$1="",对接源_01水果!$C959="",对接源_01水果!$C959&lt;&gt;$M$1,对接源_01水果!$B959=""),0,IF(OR(N(对接源_01水果!$B959)&lt;$M$2,N(对接源_01水果!$B959)&gt;$M$3),0,1))</f>
        <v>0</v>
      </c>
      <c r="N959" s="1" t="n">
        <f aca="false">IF(OR($N$1="",对接源_01水果!$C959="",对接源_01水果!$C959&lt;&gt;$N$1,对接源_01水果!$B959=""),0,IF(OR(N(对接源_01水果!$B959)&lt;$N$2,N(对接源_01水果!$B959)&gt;$N$3),0,1))</f>
        <v>0</v>
      </c>
      <c r="P959" s="1" t="n">
        <f aca="false">IF(AND($K959=1,AND(对接源_01水果!$X959="公司筐",N(对接源_01水果!$T959)&lt;&gt;0)),1,0)</f>
        <v>0</v>
      </c>
      <c r="Q959" s="1" t="n">
        <f aca="false">N(Q958)+$P959</f>
        <v>3</v>
      </c>
      <c r="R959" s="1" t="n">
        <f aca="false">IF(AND($K959=1,AND(对接源_01水果!$X959="公司筐",N(对接源_01水果!$U959)&lt;&gt;0)),1,0)</f>
        <v>0</v>
      </c>
      <c r="S959" s="1" t="n">
        <f aca="false">N(S958)+$R959</f>
        <v>0</v>
      </c>
      <c r="T959" s="1" t="n">
        <f aca="false">IF(AND($K959=1,AND(对接源_01水果!$X959="公司筐",N(对接源_01水果!$V959)&lt;&gt;0)),1,0)</f>
        <v>0</v>
      </c>
      <c r="U959" s="1" t="n">
        <f aca="false">N(U958)+$T959</f>
        <v>28</v>
      </c>
      <c r="V959" s="1" t="n">
        <f aca="false">IF(AND($L959=1,AND(对接源_01水果!$X959="自备筐",N(对接源_01水果!$V959)&lt;&gt;0)),1,0)</f>
        <v>0</v>
      </c>
      <c r="W959" s="1" t="n">
        <f aca="false">N(W958)+$V959</f>
        <v>7</v>
      </c>
      <c r="X959" s="1" t="n">
        <f aca="false">IF(AND($L959=1,AND(对接源_01水果!$X959="自备筐",N(对接源_01水果!$T959)&lt;&gt;0)),1,0)</f>
        <v>0</v>
      </c>
      <c r="Y959" s="1" t="n">
        <f aca="false">N(Y958)+$X959</f>
        <v>0</v>
      </c>
      <c r="Z959" s="1" t="n">
        <f aca="false">IF(AND($M959=1,对接源_01水果!$D959="原料入库"),1,0)</f>
        <v>0</v>
      </c>
      <c r="AA959" s="1" t="n">
        <f aca="false">N(AA958)+$Z959</f>
        <v>30</v>
      </c>
      <c r="AB959" s="1" t="n">
        <f aca="false">IF(AND($M959=1,LEFT(对接源_01水果!$D959,4)="原料出库"),1,0)</f>
        <v>0</v>
      </c>
      <c r="AC959" s="1" t="n">
        <f aca="false">N(AC958)+$AB959</f>
        <v>19</v>
      </c>
      <c r="AD959" s="1" t="n">
        <f aca="false">IF(AND($M959=1,LEFT(对接源_01水果!$D959,4)="成品出库"),1,0)</f>
        <v>0</v>
      </c>
      <c r="AE959" s="1" t="n">
        <f aca="false">N(AE958)+$AD959</f>
        <v>38</v>
      </c>
      <c r="AF959" s="1" t="n">
        <f aca="false">IF(AND($N959=1,AND(LEFT(对接源_01水果!$D959,4)="包装物料",N(对接源_01水果!$K959)&lt;&gt;0)),1,0)</f>
        <v>0</v>
      </c>
      <c r="AG959" s="90" t="str">
        <f aca="false">IF(对接源_01水果!$AC959="","",对接源_01水果!$AC959)</f>
        <v/>
      </c>
      <c r="AH959" s="1" t="n">
        <f aca="false">IF(AND($N959=1,AND(LEFT(对接源_01水果!$D959,3)="周转筐",N(对接源_01水果!$K959)&lt;&gt;0)),1,0)</f>
        <v>0</v>
      </c>
      <c r="AI959" s="90" t="n">
        <f aca="false">IF(AG959="",0,IF(MATCH(AG959,$AG$4:$AG$1203,0)=ROW()-3,1,0))</f>
        <v>0</v>
      </c>
      <c r="AJ959" s="90" t="n">
        <f aca="false">N(AJ958)+AI959</f>
        <v>4</v>
      </c>
      <c r="AK959" s="1" t="n">
        <f aca="false">N(AK958)+$AJ959</f>
        <v>2696</v>
      </c>
    </row>
    <row r="960" customFormat="false" ht="13.5" hidden="false" customHeight="false" outlineLevel="0" collapsed="false">
      <c r="A960" s="1" t="str">
        <f aca="false">IF(对接源_01水果!$C960="","",对接源_01水果!$C960)</f>
        <v/>
      </c>
      <c r="B960" s="1" t="n">
        <f aca="false">IF(A960="",0,IF(MATCH(A960,$A$4:$A$2403,0)=ROW()-3,1,0))</f>
        <v>0</v>
      </c>
      <c r="C960" s="1" t="n">
        <f aca="false">N(C959)+B960</f>
        <v>13</v>
      </c>
      <c r="K960" s="1" t="n">
        <f aca="false">IF(OR($K$1="",对接源_01水果!$C960="",对接源_01水果!$C960&lt;&gt;$K$1,对接源_01水果!$B960=""),0,IF(OR(N(对接源_01水果!$B960)&lt;$K$2,N(对接源_01水果!$B960)&gt;$K$3),0,1))</f>
        <v>0</v>
      </c>
      <c r="L960" s="1" t="n">
        <f aca="false">IF(OR($L$1="",对接源_01水果!$C960="",对接源_01水果!$C960&lt;&gt;$L$1,对接源_01水果!$B960=""),0,IF(OR(N(对接源_01水果!$B960)&lt;$L$2,N(对接源_01水果!$B960)&gt;$L$3),0,1))</f>
        <v>0</v>
      </c>
      <c r="M960" s="1" t="n">
        <f aca="false">IF(OR($M$1="",对接源_01水果!$C960="",对接源_01水果!$C960&lt;&gt;$M$1,对接源_01水果!$B960=""),0,IF(OR(N(对接源_01水果!$B960)&lt;$M$2,N(对接源_01水果!$B960)&gt;$M$3),0,1))</f>
        <v>0</v>
      </c>
      <c r="N960" s="1" t="n">
        <f aca="false">IF(OR($N$1="",对接源_01水果!$C960="",对接源_01水果!$C960&lt;&gt;$N$1,对接源_01水果!$B960=""),0,IF(OR(N(对接源_01水果!$B960)&lt;$N$2,N(对接源_01水果!$B960)&gt;$N$3),0,1))</f>
        <v>0</v>
      </c>
      <c r="P960" s="1" t="n">
        <f aca="false">IF(AND($K960=1,AND(对接源_01水果!$X960="公司筐",N(对接源_01水果!$T960)&lt;&gt;0)),1,0)</f>
        <v>0</v>
      </c>
      <c r="Q960" s="1" t="n">
        <f aca="false">N(Q959)+$P960</f>
        <v>3</v>
      </c>
      <c r="R960" s="1" t="n">
        <f aca="false">IF(AND($K960=1,AND(对接源_01水果!$X960="公司筐",N(对接源_01水果!$U960)&lt;&gt;0)),1,0)</f>
        <v>0</v>
      </c>
      <c r="S960" s="1" t="n">
        <f aca="false">N(S959)+$R960</f>
        <v>0</v>
      </c>
      <c r="T960" s="1" t="n">
        <f aca="false">IF(AND($K960=1,AND(对接源_01水果!$X960="公司筐",N(对接源_01水果!$V960)&lt;&gt;0)),1,0)</f>
        <v>0</v>
      </c>
      <c r="U960" s="1" t="n">
        <f aca="false">N(U959)+$T960</f>
        <v>28</v>
      </c>
      <c r="V960" s="1" t="n">
        <f aca="false">IF(AND($L960=1,AND(对接源_01水果!$X960="自备筐",N(对接源_01水果!$V960)&lt;&gt;0)),1,0)</f>
        <v>0</v>
      </c>
      <c r="W960" s="1" t="n">
        <f aca="false">N(W959)+$V960</f>
        <v>7</v>
      </c>
      <c r="X960" s="1" t="n">
        <f aca="false">IF(AND($L960=1,AND(对接源_01水果!$X960="自备筐",N(对接源_01水果!$T960)&lt;&gt;0)),1,0)</f>
        <v>0</v>
      </c>
      <c r="Y960" s="1" t="n">
        <f aca="false">N(Y959)+$X960</f>
        <v>0</v>
      </c>
      <c r="Z960" s="1" t="n">
        <f aca="false">IF(AND($M960=1,对接源_01水果!$D960="原料入库"),1,0)</f>
        <v>0</v>
      </c>
      <c r="AA960" s="1" t="n">
        <f aca="false">N(AA959)+$Z960</f>
        <v>30</v>
      </c>
      <c r="AB960" s="1" t="n">
        <f aca="false">IF(AND($M960=1,LEFT(对接源_01水果!$D960,4)="原料出库"),1,0)</f>
        <v>0</v>
      </c>
      <c r="AC960" s="1" t="n">
        <f aca="false">N(AC959)+$AB960</f>
        <v>19</v>
      </c>
      <c r="AD960" s="1" t="n">
        <f aca="false">IF(AND($M960=1,LEFT(对接源_01水果!$D960,4)="成品出库"),1,0)</f>
        <v>0</v>
      </c>
      <c r="AE960" s="1" t="n">
        <f aca="false">N(AE959)+$AD960</f>
        <v>38</v>
      </c>
      <c r="AF960" s="1" t="n">
        <f aca="false">IF(AND($N960=1,AND(LEFT(对接源_01水果!$D960,4)="包装物料",N(对接源_01水果!$K960)&lt;&gt;0)),1,0)</f>
        <v>0</v>
      </c>
      <c r="AG960" s="90" t="str">
        <f aca="false">IF(对接源_01水果!$AC960="","",对接源_01水果!$AC960)</f>
        <v/>
      </c>
      <c r="AH960" s="1" t="n">
        <f aca="false">IF(AND($N960=1,AND(LEFT(对接源_01水果!$D960,3)="周转筐",N(对接源_01水果!$K960)&lt;&gt;0)),1,0)</f>
        <v>0</v>
      </c>
      <c r="AI960" s="90" t="n">
        <f aca="false">IF(AG960="",0,IF(MATCH(AG960,$AG$4:$AG$1203,0)=ROW()-3,1,0))</f>
        <v>0</v>
      </c>
      <c r="AJ960" s="90" t="n">
        <f aca="false">N(AJ959)+AI960</f>
        <v>4</v>
      </c>
      <c r="AK960" s="1" t="n">
        <f aca="false">N(AK959)+$AJ960</f>
        <v>2700</v>
      </c>
    </row>
    <row r="961" customFormat="false" ht="13.5" hidden="false" customHeight="false" outlineLevel="0" collapsed="false">
      <c r="A961" s="1" t="str">
        <f aca="false">IF(对接源_01水果!$C961="","",对接源_01水果!$C961)</f>
        <v/>
      </c>
      <c r="B961" s="1" t="n">
        <f aca="false">IF(A961="",0,IF(MATCH(A961,$A$4:$A$2403,0)=ROW()-3,1,0))</f>
        <v>0</v>
      </c>
      <c r="C961" s="1" t="n">
        <f aca="false">N(C960)+B961</f>
        <v>13</v>
      </c>
      <c r="K961" s="1" t="n">
        <f aca="false">IF(OR($K$1="",对接源_01水果!$C961="",对接源_01水果!$C961&lt;&gt;$K$1,对接源_01水果!$B961=""),0,IF(OR(N(对接源_01水果!$B961)&lt;$K$2,N(对接源_01水果!$B961)&gt;$K$3),0,1))</f>
        <v>0</v>
      </c>
      <c r="L961" s="1" t="n">
        <f aca="false">IF(OR($L$1="",对接源_01水果!$C961="",对接源_01水果!$C961&lt;&gt;$L$1,对接源_01水果!$B961=""),0,IF(OR(N(对接源_01水果!$B961)&lt;$L$2,N(对接源_01水果!$B961)&gt;$L$3),0,1))</f>
        <v>0</v>
      </c>
      <c r="M961" s="1" t="n">
        <f aca="false">IF(OR($M$1="",对接源_01水果!$C961="",对接源_01水果!$C961&lt;&gt;$M$1,对接源_01水果!$B961=""),0,IF(OR(N(对接源_01水果!$B961)&lt;$M$2,N(对接源_01水果!$B961)&gt;$M$3),0,1))</f>
        <v>0</v>
      </c>
      <c r="N961" s="1" t="n">
        <f aca="false">IF(OR($N$1="",对接源_01水果!$C961="",对接源_01水果!$C961&lt;&gt;$N$1,对接源_01水果!$B961=""),0,IF(OR(N(对接源_01水果!$B961)&lt;$N$2,N(对接源_01水果!$B961)&gt;$N$3),0,1))</f>
        <v>0</v>
      </c>
      <c r="P961" s="1" t="n">
        <f aca="false">IF(AND($K961=1,AND(对接源_01水果!$X961="公司筐",N(对接源_01水果!$T961)&lt;&gt;0)),1,0)</f>
        <v>0</v>
      </c>
      <c r="Q961" s="1" t="n">
        <f aca="false">N(Q960)+$P961</f>
        <v>3</v>
      </c>
      <c r="R961" s="1" t="n">
        <f aca="false">IF(AND($K961=1,AND(对接源_01水果!$X961="公司筐",N(对接源_01水果!$U961)&lt;&gt;0)),1,0)</f>
        <v>0</v>
      </c>
      <c r="S961" s="1" t="n">
        <f aca="false">N(S960)+$R961</f>
        <v>0</v>
      </c>
      <c r="T961" s="1" t="n">
        <f aca="false">IF(AND($K961=1,AND(对接源_01水果!$X961="公司筐",N(对接源_01水果!$V961)&lt;&gt;0)),1,0)</f>
        <v>0</v>
      </c>
      <c r="U961" s="1" t="n">
        <f aca="false">N(U960)+$T961</f>
        <v>28</v>
      </c>
      <c r="V961" s="1" t="n">
        <f aca="false">IF(AND($L961=1,AND(对接源_01水果!$X961="自备筐",N(对接源_01水果!$V961)&lt;&gt;0)),1,0)</f>
        <v>0</v>
      </c>
      <c r="W961" s="1" t="n">
        <f aca="false">N(W960)+$V961</f>
        <v>7</v>
      </c>
      <c r="X961" s="1" t="n">
        <f aca="false">IF(AND($L961=1,AND(对接源_01水果!$X961="自备筐",N(对接源_01水果!$T961)&lt;&gt;0)),1,0)</f>
        <v>0</v>
      </c>
      <c r="Y961" s="1" t="n">
        <f aca="false">N(Y960)+$X961</f>
        <v>0</v>
      </c>
      <c r="Z961" s="1" t="n">
        <f aca="false">IF(AND($M961=1,对接源_01水果!$D961="原料入库"),1,0)</f>
        <v>0</v>
      </c>
      <c r="AA961" s="1" t="n">
        <f aca="false">N(AA960)+$Z961</f>
        <v>30</v>
      </c>
      <c r="AB961" s="1" t="n">
        <f aca="false">IF(AND($M961=1,LEFT(对接源_01水果!$D961,4)="原料出库"),1,0)</f>
        <v>0</v>
      </c>
      <c r="AC961" s="1" t="n">
        <f aca="false">N(AC960)+$AB961</f>
        <v>19</v>
      </c>
      <c r="AD961" s="1" t="n">
        <f aca="false">IF(AND($M961=1,LEFT(对接源_01水果!$D961,4)="成品出库"),1,0)</f>
        <v>0</v>
      </c>
      <c r="AE961" s="1" t="n">
        <f aca="false">N(AE960)+$AD961</f>
        <v>38</v>
      </c>
      <c r="AF961" s="1" t="n">
        <f aca="false">IF(AND($N961=1,AND(LEFT(对接源_01水果!$D961,4)="包装物料",N(对接源_01水果!$K961)&lt;&gt;0)),1,0)</f>
        <v>0</v>
      </c>
      <c r="AG961" s="90" t="str">
        <f aca="false">IF(对接源_01水果!$AC961="","",对接源_01水果!$AC961)</f>
        <v/>
      </c>
      <c r="AH961" s="1" t="n">
        <f aca="false">IF(AND($N961=1,AND(LEFT(对接源_01水果!$D961,3)="周转筐",N(对接源_01水果!$K961)&lt;&gt;0)),1,0)</f>
        <v>0</v>
      </c>
      <c r="AI961" s="90" t="n">
        <f aca="false">IF(AG961="",0,IF(MATCH(AG961,$AG$4:$AG$1203,0)=ROW()-3,1,0))</f>
        <v>0</v>
      </c>
      <c r="AJ961" s="90" t="n">
        <f aca="false">N(AJ960)+AI961</f>
        <v>4</v>
      </c>
      <c r="AK961" s="1" t="n">
        <f aca="false">N(AK960)+$AJ961</f>
        <v>2704</v>
      </c>
    </row>
    <row r="962" customFormat="false" ht="13.5" hidden="false" customHeight="false" outlineLevel="0" collapsed="false">
      <c r="A962" s="1" t="str">
        <f aca="false">IF(对接源_01水果!$C962="","",对接源_01水果!$C962)</f>
        <v/>
      </c>
      <c r="B962" s="1" t="n">
        <f aca="false">IF(A962="",0,IF(MATCH(A962,$A$4:$A$2403,0)=ROW()-3,1,0))</f>
        <v>0</v>
      </c>
      <c r="C962" s="1" t="n">
        <f aca="false">N(C961)+B962</f>
        <v>13</v>
      </c>
      <c r="K962" s="1" t="n">
        <f aca="false">IF(OR($K$1="",对接源_01水果!$C962="",对接源_01水果!$C962&lt;&gt;$K$1,对接源_01水果!$B962=""),0,IF(OR(N(对接源_01水果!$B962)&lt;$K$2,N(对接源_01水果!$B962)&gt;$K$3),0,1))</f>
        <v>0</v>
      </c>
      <c r="L962" s="1" t="n">
        <f aca="false">IF(OR($L$1="",对接源_01水果!$C962="",对接源_01水果!$C962&lt;&gt;$L$1,对接源_01水果!$B962=""),0,IF(OR(N(对接源_01水果!$B962)&lt;$L$2,N(对接源_01水果!$B962)&gt;$L$3),0,1))</f>
        <v>0</v>
      </c>
      <c r="M962" s="1" t="n">
        <f aca="false">IF(OR($M$1="",对接源_01水果!$C962="",对接源_01水果!$C962&lt;&gt;$M$1,对接源_01水果!$B962=""),0,IF(OR(N(对接源_01水果!$B962)&lt;$M$2,N(对接源_01水果!$B962)&gt;$M$3),0,1))</f>
        <v>0</v>
      </c>
      <c r="N962" s="1" t="n">
        <f aca="false">IF(OR($N$1="",对接源_01水果!$C962="",对接源_01水果!$C962&lt;&gt;$N$1,对接源_01水果!$B962=""),0,IF(OR(N(对接源_01水果!$B962)&lt;$N$2,N(对接源_01水果!$B962)&gt;$N$3),0,1))</f>
        <v>0</v>
      </c>
      <c r="P962" s="1" t="n">
        <f aca="false">IF(AND($K962=1,AND(对接源_01水果!$X962="公司筐",N(对接源_01水果!$T962)&lt;&gt;0)),1,0)</f>
        <v>0</v>
      </c>
      <c r="Q962" s="1" t="n">
        <f aca="false">N(Q961)+$P962</f>
        <v>3</v>
      </c>
      <c r="R962" s="1" t="n">
        <f aca="false">IF(AND($K962=1,AND(对接源_01水果!$X962="公司筐",N(对接源_01水果!$U962)&lt;&gt;0)),1,0)</f>
        <v>0</v>
      </c>
      <c r="S962" s="1" t="n">
        <f aca="false">N(S961)+$R962</f>
        <v>0</v>
      </c>
      <c r="T962" s="1" t="n">
        <f aca="false">IF(AND($K962=1,AND(对接源_01水果!$X962="公司筐",N(对接源_01水果!$V962)&lt;&gt;0)),1,0)</f>
        <v>0</v>
      </c>
      <c r="U962" s="1" t="n">
        <f aca="false">N(U961)+$T962</f>
        <v>28</v>
      </c>
      <c r="V962" s="1" t="n">
        <f aca="false">IF(AND($L962=1,AND(对接源_01水果!$X962="自备筐",N(对接源_01水果!$V962)&lt;&gt;0)),1,0)</f>
        <v>0</v>
      </c>
      <c r="W962" s="1" t="n">
        <f aca="false">N(W961)+$V962</f>
        <v>7</v>
      </c>
      <c r="X962" s="1" t="n">
        <f aca="false">IF(AND($L962=1,AND(对接源_01水果!$X962="自备筐",N(对接源_01水果!$T962)&lt;&gt;0)),1,0)</f>
        <v>0</v>
      </c>
      <c r="Y962" s="1" t="n">
        <f aca="false">N(Y961)+$X962</f>
        <v>0</v>
      </c>
      <c r="Z962" s="1" t="n">
        <f aca="false">IF(AND($M962=1,对接源_01水果!$D962="原料入库"),1,0)</f>
        <v>0</v>
      </c>
      <c r="AA962" s="1" t="n">
        <f aca="false">N(AA961)+$Z962</f>
        <v>30</v>
      </c>
      <c r="AB962" s="1" t="n">
        <f aca="false">IF(AND($M962=1,LEFT(对接源_01水果!$D962,4)="原料出库"),1,0)</f>
        <v>0</v>
      </c>
      <c r="AC962" s="1" t="n">
        <f aca="false">N(AC961)+$AB962</f>
        <v>19</v>
      </c>
      <c r="AD962" s="1" t="n">
        <f aca="false">IF(AND($M962=1,LEFT(对接源_01水果!$D962,4)="成品出库"),1,0)</f>
        <v>0</v>
      </c>
      <c r="AE962" s="1" t="n">
        <f aca="false">N(AE961)+$AD962</f>
        <v>38</v>
      </c>
      <c r="AF962" s="1" t="n">
        <f aca="false">IF(AND($N962=1,AND(LEFT(对接源_01水果!$D962,4)="包装物料",N(对接源_01水果!$K962)&lt;&gt;0)),1,0)</f>
        <v>0</v>
      </c>
      <c r="AG962" s="90" t="str">
        <f aca="false">IF(对接源_01水果!$AC962="","",对接源_01水果!$AC962)</f>
        <v/>
      </c>
      <c r="AH962" s="1" t="n">
        <f aca="false">IF(AND($N962=1,AND(LEFT(对接源_01水果!$D962,3)="周转筐",N(对接源_01水果!$K962)&lt;&gt;0)),1,0)</f>
        <v>0</v>
      </c>
      <c r="AI962" s="90" t="n">
        <f aca="false">IF(AG962="",0,IF(MATCH(AG962,$AG$4:$AG$1203,0)=ROW()-3,1,0))</f>
        <v>0</v>
      </c>
      <c r="AJ962" s="90" t="n">
        <f aca="false">N(AJ961)+AI962</f>
        <v>4</v>
      </c>
      <c r="AK962" s="1" t="n">
        <f aca="false">N(AK961)+$AJ962</f>
        <v>2708</v>
      </c>
    </row>
    <row r="963" customFormat="false" ht="13.5" hidden="false" customHeight="false" outlineLevel="0" collapsed="false">
      <c r="A963" s="1" t="str">
        <f aca="false">IF(对接源_01水果!$C963="","",对接源_01水果!$C963)</f>
        <v/>
      </c>
      <c r="B963" s="1" t="n">
        <f aca="false">IF(A963="",0,IF(MATCH(A963,$A$4:$A$2403,0)=ROW()-3,1,0))</f>
        <v>0</v>
      </c>
      <c r="C963" s="1" t="n">
        <f aca="false">N(C962)+B963</f>
        <v>13</v>
      </c>
      <c r="K963" s="1" t="n">
        <f aca="false">IF(OR($K$1="",对接源_01水果!$C963="",对接源_01水果!$C963&lt;&gt;$K$1,对接源_01水果!$B963=""),0,IF(OR(N(对接源_01水果!$B963)&lt;$K$2,N(对接源_01水果!$B963)&gt;$K$3),0,1))</f>
        <v>0</v>
      </c>
      <c r="L963" s="1" t="n">
        <f aca="false">IF(OR($L$1="",对接源_01水果!$C963="",对接源_01水果!$C963&lt;&gt;$L$1,对接源_01水果!$B963=""),0,IF(OR(N(对接源_01水果!$B963)&lt;$L$2,N(对接源_01水果!$B963)&gt;$L$3),0,1))</f>
        <v>0</v>
      </c>
      <c r="M963" s="1" t="n">
        <f aca="false">IF(OR($M$1="",对接源_01水果!$C963="",对接源_01水果!$C963&lt;&gt;$M$1,对接源_01水果!$B963=""),0,IF(OR(N(对接源_01水果!$B963)&lt;$M$2,N(对接源_01水果!$B963)&gt;$M$3),0,1))</f>
        <v>0</v>
      </c>
      <c r="N963" s="1" t="n">
        <f aca="false">IF(OR($N$1="",对接源_01水果!$C963="",对接源_01水果!$C963&lt;&gt;$N$1,对接源_01水果!$B963=""),0,IF(OR(N(对接源_01水果!$B963)&lt;$N$2,N(对接源_01水果!$B963)&gt;$N$3),0,1))</f>
        <v>0</v>
      </c>
      <c r="P963" s="1" t="n">
        <f aca="false">IF(AND($K963=1,AND(对接源_01水果!$X963="公司筐",N(对接源_01水果!$T963)&lt;&gt;0)),1,0)</f>
        <v>0</v>
      </c>
      <c r="Q963" s="1" t="n">
        <f aca="false">N(Q962)+$P963</f>
        <v>3</v>
      </c>
      <c r="R963" s="1" t="n">
        <f aca="false">IF(AND($K963=1,AND(对接源_01水果!$X963="公司筐",N(对接源_01水果!$U963)&lt;&gt;0)),1,0)</f>
        <v>0</v>
      </c>
      <c r="S963" s="1" t="n">
        <f aca="false">N(S962)+$R963</f>
        <v>0</v>
      </c>
      <c r="T963" s="1" t="n">
        <f aca="false">IF(AND($K963=1,AND(对接源_01水果!$X963="公司筐",N(对接源_01水果!$V963)&lt;&gt;0)),1,0)</f>
        <v>0</v>
      </c>
      <c r="U963" s="1" t="n">
        <f aca="false">N(U962)+$T963</f>
        <v>28</v>
      </c>
      <c r="V963" s="1" t="n">
        <f aca="false">IF(AND($L963=1,AND(对接源_01水果!$X963="自备筐",N(对接源_01水果!$V963)&lt;&gt;0)),1,0)</f>
        <v>0</v>
      </c>
      <c r="W963" s="1" t="n">
        <f aca="false">N(W962)+$V963</f>
        <v>7</v>
      </c>
      <c r="X963" s="1" t="n">
        <f aca="false">IF(AND($L963=1,AND(对接源_01水果!$X963="自备筐",N(对接源_01水果!$T963)&lt;&gt;0)),1,0)</f>
        <v>0</v>
      </c>
      <c r="Y963" s="1" t="n">
        <f aca="false">N(Y962)+$X963</f>
        <v>0</v>
      </c>
      <c r="Z963" s="1" t="n">
        <f aca="false">IF(AND($M963=1,对接源_01水果!$D963="原料入库"),1,0)</f>
        <v>0</v>
      </c>
      <c r="AA963" s="1" t="n">
        <f aca="false">N(AA962)+$Z963</f>
        <v>30</v>
      </c>
      <c r="AB963" s="1" t="n">
        <f aca="false">IF(AND($M963=1,LEFT(对接源_01水果!$D963,4)="原料出库"),1,0)</f>
        <v>0</v>
      </c>
      <c r="AC963" s="1" t="n">
        <f aca="false">N(AC962)+$AB963</f>
        <v>19</v>
      </c>
      <c r="AD963" s="1" t="n">
        <f aca="false">IF(AND($M963=1,LEFT(对接源_01水果!$D963,4)="成品出库"),1,0)</f>
        <v>0</v>
      </c>
      <c r="AE963" s="1" t="n">
        <f aca="false">N(AE962)+$AD963</f>
        <v>38</v>
      </c>
      <c r="AF963" s="1" t="n">
        <f aca="false">IF(AND($N963=1,AND(LEFT(对接源_01水果!$D963,4)="包装物料",N(对接源_01水果!$K963)&lt;&gt;0)),1,0)</f>
        <v>0</v>
      </c>
      <c r="AG963" s="90" t="str">
        <f aca="false">IF(对接源_01水果!$AC963="","",对接源_01水果!$AC963)</f>
        <v/>
      </c>
      <c r="AH963" s="1" t="n">
        <f aca="false">IF(AND($N963=1,AND(LEFT(对接源_01水果!$D963,3)="周转筐",N(对接源_01水果!$K963)&lt;&gt;0)),1,0)</f>
        <v>0</v>
      </c>
      <c r="AI963" s="90" t="n">
        <f aca="false">IF(AG963="",0,IF(MATCH(AG963,$AG$4:$AG$1203,0)=ROW()-3,1,0))</f>
        <v>0</v>
      </c>
      <c r="AJ963" s="90" t="n">
        <f aca="false">N(AJ962)+AI963</f>
        <v>4</v>
      </c>
      <c r="AK963" s="1" t="n">
        <f aca="false">N(AK962)+$AJ963</f>
        <v>2712</v>
      </c>
    </row>
    <row r="964" customFormat="false" ht="13.5" hidden="false" customHeight="false" outlineLevel="0" collapsed="false">
      <c r="A964" s="1" t="str">
        <f aca="false">IF(对接源_01水果!$C964="","",对接源_01水果!$C964)</f>
        <v/>
      </c>
      <c r="B964" s="1" t="n">
        <f aca="false">IF(A964="",0,IF(MATCH(A964,$A$4:$A$2403,0)=ROW()-3,1,0))</f>
        <v>0</v>
      </c>
      <c r="C964" s="1" t="n">
        <f aca="false">N(C963)+B964</f>
        <v>13</v>
      </c>
      <c r="K964" s="1" t="n">
        <f aca="false">IF(OR($K$1="",对接源_01水果!$C964="",对接源_01水果!$C964&lt;&gt;$K$1,对接源_01水果!$B964=""),0,IF(OR(N(对接源_01水果!$B964)&lt;$K$2,N(对接源_01水果!$B964)&gt;$K$3),0,1))</f>
        <v>0</v>
      </c>
      <c r="L964" s="1" t="n">
        <f aca="false">IF(OR($L$1="",对接源_01水果!$C964="",对接源_01水果!$C964&lt;&gt;$L$1,对接源_01水果!$B964=""),0,IF(OR(N(对接源_01水果!$B964)&lt;$L$2,N(对接源_01水果!$B964)&gt;$L$3),0,1))</f>
        <v>0</v>
      </c>
      <c r="M964" s="1" t="n">
        <f aca="false">IF(OR($M$1="",对接源_01水果!$C964="",对接源_01水果!$C964&lt;&gt;$M$1,对接源_01水果!$B964=""),0,IF(OR(N(对接源_01水果!$B964)&lt;$M$2,N(对接源_01水果!$B964)&gt;$M$3),0,1))</f>
        <v>0</v>
      </c>
      <c r="N964" s="1" t="n">
        <f aca="false">IF(OR($N$1="",对接源_01水果!$C964="",对接源_01水果!$C964&lt;&gt;$N$1,对接源_01水果!$B964=""),0,IF(OR(N(对接源_01水果!$B964)&lt;$N$2,N(对接源_01水果!$B964)&gt;$N$3),0,1))</f>
        <v>0</v>
      </c>
      <c r="P964" s="1" t="n">
        <f aca="false">IF(AND($K964=1,AND(对接源_01水果!$X964="公司筐",N(对接源_01水果!$T964)&lt;&gt;0)),1,0)</f>
        <v>0</v>
      </c>
      <c r="Q964" s="1" t="n">
        <f aca="false">N(Q963)+$P964</f>
        <v>3</v>
      </c>
      <c r="R964" s="1" t="n">
        <f aca="false">IF(AND($K964=1,AND(对接源_01水果!$X964="公司筐",N(对接源_01水果!$U964)&lt;&gt;0)),1,0)</f>
        <v>0</v>
      </c>
      <c r="S964" s="1" t="n">
        <f aca="false">N(S963)+$R964</f>
        <v>0</v>
      </c>
      <c r="T964" s="1" t="n">
        <f aca="false">IF(AND($K964=1,AND(对接源_01水果!$X964="公司筐",N(对接源_01水果!$V964)&lt;&gt;0)),1,0)</f>
        <v>0</v>
      </c>
      <c r="U964" s="1" t="n">
        <f aca="false">N(U963)+$T964</f>
        <v>28</v>
      </c>
      <c r="V964" s="1" t="n">
        <f aca="false">IF(AND($L964=1,AND(对接源_01水果!$X964="自备筐",N(对接源_01水果!$V964)&lt;&gt;0)),1,0)</f>
        <v>0</v>
      </c>
      <c r="W964" s="1" t="n">
        <f aca="false">N(W963)+$V964</f>
        <v>7</v>
      </c>
      <c r="X964" s="1" t="n">
        <f aca="false">IF(AND($L964=1,AND(对接源_01水果!$X964="自备筐",N(对接源_01水果!$T964)&lt;&gt;0)),1,0)</f>
        <v>0</v>
      </c>
      <c r="Y964" s="1" t="n">
        <f aca="false">N(Y963)+$X964</f>
        <v>0</v>
      </c>
      <c r="Z964" s="1" t="n">
        <f aca="false">IF(AND($M964=1,对接源_01水果!$D964="原料入库"),1,0)</f>
        <v>0</v>
      </c>
      <c r="AA964" s="1" t="n">
        <f aca="false">N(AA963)+$Z964</f>
        <v>30</v>
      </c>
      <c r="AB964" s="1" t="n">
        <f aca="false">IF(AND($M964=1,LEFT(对接源_01水果!$D964,4)="原料出库"),1,0)</f>
        <v>0</v>
      </c>
      <c r="AC964" s="1" t="n">
        <f aca="false">N(AC963)+$AB964</f>
        <v>19</v>
      </c>
      <c r="AD964" s="1" t="n">
        <f aca="false">IF(AND($M964=1,LEFT(对接源_01水果!$D964,4)="成品出库"),1,0)</f>
        <v>0</v>
      </c>
      <c r="AE964" s="1" t="n">
        <f aca="false">N(AE963)+$AD964</f>
        <v>38</v>
      </c>
      <c r="AF964" s="1" t="n">
        <f aca="false">IF(AND($N964=1,AND(LEFT(对接源_01水果!$D964,4)="包装物料",N(对接源_01水果!$K964)&lt;&gt;0)),1,0)</f>
        <v>0</v>
      </c>
      <c r="AG964" s="90" t="str">
        <f aca="false">IF(对接源_01水果!$AC964="","",对接源_01水果!$AC964)</f>
        <v/>
      </c>
      <c r="AH964" s="1" t="n">
        <f aca="false">IF(AND($N964=1,AND(LEFT(对接源_01水果!$D964,3)="周转筐",N(对接源_01水果!$K964)&lt;&gt;0)),1,0)</f>
        <v>0</v>
      </c>
      <c r="AI964" s="90" t="n">
        <f aca="false">IF(AG964="",0,IF(MATCH(AG964,$AG$4:$AG$1203,0)=ROW()-3,1,0))</f>
        <v>0</v>
      </c>
      <c r="AJ964" s="90" t="n">
        <f aca="false">N(AJ963)+AI964</f>
        <v>4</v>
      </c>
      <c r="AK964" s="1" t="n">
        <f aca="false">N(AK963)+$AJ964</f>
        <v>2716</v>
      </c>
    </row>
    <row r="965" customFormat="false" ht="13.5" hidden="false" customHeight="false" outlineLevel="0" collapsed="false">
      <c r="A965" s="1" t="str">
        <f aca="false">IF(对接源_01水果!$C965="","",对接源_01水果!$C965)</f>
        <v/>
      </c>
      <c r="B965" s="1" t="n">
        <f aca="false">IF(A965="",0,IF(MATCH(A965,$A$4:$A$2403,0)=ROW()-3,1,0))</f>
        <v>0</v>
      </c>
      <c r="C965" s="1" t="n">
        <f aca="false">N(C964)+B965</f>
        <v>13</v>
      </c>
      <c r="K965" s="1" t="n">
        <f aca="false">IF(OR($K$1="",对接源_01水果!$C965="",对接源_01水果!$C965&lt;&gt;$K$1,对接源_01水果!$B965=""),0,IF(OR(N(对接源_01水果!$B965)&lt;$K$2,N(对接源_01水果!$B965)&gt;$K$3),0,1))</f>
        <v>0</v>
      </c>
      <c r="L965" s="1" t="n">
        <f aca="false">IF(OR($L$1="",对接源_01水果!$C965="",对接源_01水果!$C965&lt;&gt;$L$1,对接源_01水果!$B965=""),0,IF(OR(N(对接源_01水果!$B965)&lt;$L$2,N(对接源_01水果!$B965)&gt;$L$3),0,1))</f>
        <v>0</v>
      </c>
      <c r="M965" s="1" t="n">
        <f aca="false">IF(OR($M$1="",对接源_01水果!$C965="",对接源_01水果!$C965&lt;&gt;$M$1,对接源_01水果!$B965=""),0,IF(OR(N(对接源_01水果!$B965)&lt;$M$2,N(对接源_01水果!$B965)&gt;$M$3),0,1))</f>
        <v>0</v>
      </c>
      <c r="N965" s="1" t="n">
        <f aca="false">IF(OR($N$1="",对接源_01水果!$C965="",对接源_01水果!$C965&lt;&gt;$N$1,对接源_01水果!$B965=""),0,IF(OR(N(对接源_01水果!$B965)&lt;$N$2,N(对接源_01水果!$B965)&gt;$N$3),0,1))</f>
        <v>0</v>
      </c>
      <c r="P965" s="1" t="n">
        <f aca="false">IF(AND($K965=1,AND(对接源_01水果!$X965="公司筐",N(对接源_01水果!$T965)&lt;&gt;0)),1,0)</f>
        <v>0</v>
      </c>
      <c r="Q965" s="1" t="n">
        <f aca="false">N(Q964)+$P965</f>
        <v>3</v>
      </c>
      <c r="R965" s="1" t="n">
        <f aca="false">IF(AND($K965=1,AND(对接源_01水果!$X965="公司筐",N(对接源_01水果!$U965)&lt;&gt;0)),1,0)</f>
        <v>0</v>
      </c>
      <c r="S965" s="1" t="n">
        <f aca="false">N(S964)+$R965</f>
        <v>0</v>
      </c>
      <c r="T965" s="1" t="n">
        <f aca="false">IF(AND($K965=1,AND(对接源_01水果!$X965="公司筐",N(对接源_01水果!$V965)&lt;&gt;0)),1,0)</f>
        <v>0</v>
      </c>
      <c r="U965" s="1" t="n">
        <f aca="false">N(U964)+$T965</f>
        <v>28</v>
      </c>
      <c r="V965" s="1" t="n">
        <f aca="false">IF(AND($L965=1,AND(对接源_01水果!$X965="自备筐",N(对接源_01水果!$V965)&lt;&gt;0)),1,0)</f>
        <v>0</v>
      </c>
      <c r="W965" s="1" t="n">
        <f aca="false">N(W964)+$V965</f>
        <v>7</v>
      </c>
      <c r="X965" s="1" t="n">
        <f aca="false">IF(AND($L965=1,AND(对接源_01水果!$X965="自备筐",N(对接源_01水果!$T965)&lt;&gt;0)),1,0)</f>
        <v>0</v>
      </c>
      <c r="Y965" s="1" t="n">
        <f aca="false">N(Y964)+$X965</f>
        <v>0</v>
      </c>
      <c r="Z965" s="1" t="n">
        <f aca="false">IF(AND($M965=1,对接源_01水果!$D965="原料入库"),1,0)</f>
        <v>0</v>
      </c>
      <c r="AA965" s="1" t="n">
        <f aca="false">N(AA964)+$Z965</f>
        <v>30</v>
      </c>
      <c r="AB965" s="1" t="n">
        <f aca="false">IF(AND($M965=1,LEFT(对接源_01水果!$D965,4)="原料出库"),1,0)</f>
        <v>0</v>
      </c>
      <c r="AC965" s="1" t="n">
        <f aca="false">N(AC964)+$AB965</f>
        <v>19</v>
      </c>
      <c r="AD965" s="1" t="n">
        <f aca="false">IF(AND($M965=1,LEFT(对接源_01水果!$D965,4)="成品出库"),1,0)</f>
        <v>0</v>
      </c>
      <c r="AE965" s="1" t="n">
        <f aca="false">N(AE964)+$AD965</f>
        <v>38</v>
      </c>
      <c r="AF965" s="1" t="n">
        <f aca="false">IF(AND($N965=1,AND(LEFT(对接源_01水果!$D965,4)="包装物料",N(对接源_01水果!$K965)&lt;&gt;0)),1,0)</f>
        <v>0</v>
      </c>
      <c r="AG965" s="90" t="str">
        <f aca="false">IF(对接源_01水果!$AC965="","",对接源_01水果!$AC965)</f>
        <v/>
      </c>
      <c r="AH965" s="1" t="n">
        <f aca="false">IF(AND($N965=1,AND(LEFT(对接源_01水果!$D965,3)="周转筐",N(对接源_01水果!$K965)&lt;&gt;0)),1,0)</f>
        <v>0</v>
      </c>
      <c r="AI965" s="90" t="n">
        <f aca="false">IF(AG965="",0,IF(MATCH(AG965,$AG$4:$AG$1203,0)=ROW()-3,1,0))</f>
        <v>0</v>
      </c>
      <c r="AJ965" s="90" t="n">
        <f aca="false">N(AJ964)+AI965</f>
        <v>4</v>
      </c>
      <c r="AK965" s="1" t="n">
        <f aca="false">N(AK964)+$AJ965</f>
        <v>2720</v>
      </c>
    </row>
    <row r="966" customFormat="false" ht="13.5" hidden="false" customHeight="false" outlineLevel="0" collapsed="false">
      <c r="A966" s="1" t="str">
        <f aca="false">IF(对接源_01水果!$C966="","",对接源_01水果!$C966)</f>
        <v/>
      </c>
      <c r="B966" s="1" t="n">
        <f aca="false">IF(A966="",0,IF(MATCH(A966,$A$4:$A$2403,0)=ROW()-3,1,0))</f>
        <v>0</v>
      </c>
      <c r="C966" s="1" t="n">
        <f aca="false">N(C965)+B966</f>
        <v>13</v>
      </c>
      <c r="K966" s="1" t="n">
        <f aca="false">IF(OR($K$1="",对接源_01水果!$C966="",对接源_01水果!$C966&lt;&gt;$K$1,对接源_01水果!$B966=""),0,IF(OR(N(对接源_01水果!$B966)&lt;$K$2,N(对接源_01水果!$B966)&gt;$K$3),0,1))</f>
        <v>0</v>
      </c>
      <c r="L966" s="1" t="n">
        <f aca="false">IF(OR($L$1="",对接源_01水果!$C966="",对接源_01水果!$C966&lt;&gt;$L$1,对接源_01水果!$B966=""),0,IF(OR(N(对接源_01水果!$B966)&lt;$L$2,N(对接源_01水果!$B966)&gt;$L$3),0,1))</f>
        <v>0</v>
      </c>
      <c r="M966" s="1" t="n">
        <f aca="false">IF(OR($M$1="",对接源_01水果!$C966="",对接源_01水果!$C966&lt;&gt;$M$1,对接源_01水果!$B966=""),0,IF(OR(N(对接源_01水果!$B966)&lt;$M$2,N(对接源_01水果!$B966)&gt;$M$3),0,1))</f>
        <v>0</v>
      </c>
      <c r="N966" s="1" t="n">
        <f aca="false">IF(OR($N$1="",对接源_01水果!$C966="",对接源_01水果!$C966&lt;&gt;$N$1,对接源_01水果!$B966=""),0,IF(OR(N(对接源_01水果!$B966)&lt;$N$2,N(对接源_01水果!$B966)&gt;$N$3),0,1))</f>
        <v>0</v>
      </c>
      <c r="P966" s="1" t="n">
        <f aca="false">IF(AND($K966=1,AND(对接源_01水果!$X966="公司筐",N(对接源_01水果!$T966)&lt;&gt;0)),1,0)</f>
        <v>0</v>
      </c>
      <c r="Q966" s="1" t="n">
        <f aca="false">N(Q965)+$P966</f>
        <v>3</v>
      </c>
      <c r="R966" s="1" t="n">
        <f aca="false">IF(AND($K966=1,AND(对接源_01水果!$X966="公司筐",N(对接源_01水果!$U966)&lt;&gt;0)),1,0)</f>
        <v>0</v>
      </c>
      <c r="S966" s="1" t="n">
        <f aca="false">N(S965)+$R966</f>
        <v>0</v>
      </c>
      <c r="T966" s="1" t="n">
        <f aca="false">IF(AND($K966=1,AND(对接源_01水果!$X966="公司筐",N(对接源_01水果!$V966)&lt;&gt;0)),1,0)</f>
        <v>0</v>
      </c>
      <c r="U966" s="1" t="n">
        <f aca="false">N(U965)+$T966</f>
        <v>28</v>
      </c>
      <c r="V966" s="1" t="n">
        <f aca="false">IF(AND($L966=1,AND(对接源_01水果!$X966="自备筐",N(对接源_01水果!$V966)&lt;&gt;0)),1,0)</f>
        <v>0</v>
      </c>
      <c r="W966" s="1" t="n">
        <f aca="false">N(W965)+$V966</f>
        <v>7</v>
      </c>
      <c r="X966" s="1" t="n">
        <f aca="false">IF(AND($L966=1,AND(对接源_01水果!$X966="自备筐",N(对接源_01水果!$T966)&lt;&gt;0)),1,0)</f>
        <v>0</v>
      </c>
      <c r="Y966" s="1" t="n">
        <f aca="false">N(Y965)+$X966</f>
        <v>0</v>
      </c>
      <c r="Z966" s="1" t="n">
        <f aca="false">IF(AND($M966=1,对接源_01水果!$D966="原料入库"),1,0)</f>
        <v>0</v>
      </c>
      <c r="AA966" s="1" t="n">
        <f aca="false">N(AA965)+$Z966</f>
        <v>30</v>
      </c>
      <c r="AB966" s="1" t="n">
        <f aca="false">IF(AND($M966=1,LEFT(对接源_01水果!$D966,4)="原料出库"),1,0)</f>
        <v>0</v>
      </c>
      <c r="AC966" s="1" t="n">
        <f aca="false">N(AC965)+$AB966</f>
        <v>19</v>
      </c>
      <c r="AD966" s="1" t="n">
        <f aca="false">IF(AND($M966=1,LEFT(对接源_01水果!$D966,4)="成品出库"),1,0)</f>
        <v>0</v>
      </c>
      <c r="AE966" s="1" t="n">
        <f aca="false">N(AE965)+$AD966</f>
        <v>38</v>
      </c>
      <c r="AF966" s="1" t="n">
        <f aca="false">IF(AND($N966=1,AND(LEFT(对接源_01水果!$D966,4)="包装物料",N(对接源_01水果!$K966)&lt;&gt;0)),1,0)</f>
        <v>0</v>
      </c>
      <c r="AG966" s="90" t="str">
        <f aca="false">IF(对接源_01水果!$AC966="","",对接源_01水果!$AC966)</f>
        <v/>
      </c>
      <c r="AH966" s="1" t="n">
        <f aca="false">IF(AND($N966=1,AND(LEFT(对接源_01水果!$D966,3)="周转筐",N(对接源_01水果!$K966)&lt;&gt;0)),1,0)</f>
        <v>0</v>
      </c>
      <c r="AI966" s="90" t="n">
        <f aca="false">IF(AG966="",0,IF(MATCH(AG966,$AG$4:$AG$1203,0)=ROW()-3,1,0))</f>
        <v>0</v>
      </c>
      <c r="AJ966" s="90" t="n">
        <f aca="false">N(AJ965)+AI966</f>
        <v>4</v>
      </c>
      <c r="AK966" s="1" t="n">
        <f aca="false">N(AK965)+$AJ966</f>
        <v>2724</v>
      </c>
    </row>
    <row r="967" customFormat="false" ht="13.5" hidden="false" customHeight="false" outlineLevel="0" collapsed="false">
      <c r="A967" s="1" t="str">
        <f aca="false">IF(对接源_01水果!$C967="","",对接源_01水果!$C967)</f>
        <v/>
      </c>
      <c r="B967" s="1" t="n">
        <f aca="false">IF(A967="",0,IF(MATCH(A967,$A$4:$A$2403,0)=ROW()-3,1,0))</f>
        <v>0</v>
      </c>
      <c r="C967" s="1" t="n">
        <f aca="false">N(C966)+B967</f>
        <v>13</v>
      </c>
      <c r="K967" s="1" t="n">
        <f aca="false">IF(OR($K$1="",对接源_01水果!$C967="",对接源_01水果!$C967&lt;&gt;$K$1,对接源_01水果!$B967=""),0,IF(OR(N(对接源_01水果!$B967)&lt;$K$2,N(对接源_01水果!$B967)&gt;$K$3),0,1))</f>
        <v>0</v>
      </c>
      <c r="L967" s="1" t="n">
        <f aca="false">IF(OR($L$1="",对接源_01水果!$C967="",对接源_01水果!$C967&lt;&gt;$L$1,对接源_01水果!$B967=""),0,IF(OR(N(对接源_01水果!$B967)&lt;$L$2,N(对接源_01水果!$B967)&gt;$L$3),0,1))</f>
        <v>0</v>
      </c>
      <c r="M967" s="1" t="n">
        <f aca="false">IF(OR($M$1="",对接源_01水果!$C967="",对接源_01水果!$C967&lt;&gt;$M$1,对接源_01水果!$B967=""),0,IF(OR(N(对接源_01水果!$B967)&lt;$M$2,N(对接源_01水果!$B967)&gt;$M$3),0,1))</f>
        <v>0</v>
      </c>
      <c r="N967" s="1" t="n">
        <f aca="false">IF(OR($N$1="",对接源_01水果!$C967="",对接源_01水果!$C967&lt;&gt;$N$1,对接源_01水果!$B967=""),0,IF(OR(N(对接源_01水果!$B967)&lt;$N$2,N(对接源_01水果!$B967)&gt;$N$3),0,1))</f>
        <v>0</v>
      </c>
      <c r="P967" s="1" t="n">
        <f aca="false">IF(AND($K967=1,AND(对接源_01水果!$X967="公司筐",N(对接源_01水果!$T967)&lt;&gt;0)),1,0)</f>
        <v>0</v>
      </c>
      <c r="Q967" s="1" t="n">
        <f aca="false">N(Q966)+$P967</f>
        <v>3</v>
      </c>
      <c r="R967" s="1" t="n">
        <f aca="false">IF(AND($K967=1,AND(对接源_01水果!$X967="公司筐",N(对接源_01水果!$U967)&lt;&gt;0)),1,0)</f>
        <v>0</v>
      </c>
      <c r="S967" s="1" t="n">
        <f aca="false">N(S966)+$R967</f>
        <v>0</v>
      </c>
      <c r="T967" s="1" t="n">
        <f aca="false">IF(AND($K967=1,AND(对接源_01水果!$X967="公司筐",N(对接源_01水果!$V967)&lt;&gt;0)),1,0)</f>
        <v>0</v>
      </c>
      <c r="U967" s="1" t="n">
        <f aca="false">N(U966)+$T967</f>
        <v>28</v>
      </c>
      <c r="V967" s="1" t="n">
        <f aca="false">IF(AND($L967=1,AND(对接源_01水果!$X967="自备筐",N(对接源_01水果!$V967)&lt;&gt;0)),1,0)</f>
        <v>0</v>
      </c>
      <c r="W967" s="1" t="n">
        <f aca="false">N(W966)+$V967</f>
        <v>7</v>
      </c>
      <c r="X967" s="1" t="n">
        <f aca="false">IF(AND($L967=1,AND(对接源_01水果!$X967="自备筐",N(对接源_01水果!$T967)&lt;&gt;0)),1,0)</f>
        <v>0</v>
      </c>
      <c r="Y967" s="1" t="n">
        <f aca="false">N(Y966)+$X967</f>
        <v>0</v>
      </c>
      <c r="Z967" s="1" t="n">
        <f aca="false">IF(AND($M967=1,对接源_01水果!$D967="原料入库"),1,0)</f>
        <v>0</v>
      </c>
      <c r="AA967" s="1" t="n">
        <f aca="false">N(AA966)+$Z967</f>
        <v>30</v>
      </c>
      <c r="AB967" s="1" t="n">
        <f aca="false">IF(AND($M967=1,LEFT(对接源_01水果!$D967,4)="原料出库"),1,0)</f>
        <v>0</v>
      </c>
      <c r="AC967" s="1" t="n">
        <f aca="false">N(AC966)+$AB967</f>
        <v>19</v>
      </c>
      <c r="AD967" s="1" t="n">
        <f aca="false">IF(AND($M967=1,LEFT(对接源_01水果!$D967,4)="成品出库"),1,0)</f>
        <v>0</v>
      </c>
      <c r="AE967" s="1" t="n">
        <f aca="false">N(AE966)+$AD967</f>
        <v>38</v>
      </c>
      <c r="AF967" s="1" t="n">
        <f aca="false">IF(AND($N967=1,AND(LEFT(对接源_01水果!$D967,4)="包装物料",N(对接源_01水果!$K967)&lt;&gt;0)),1,0)</f>
        <v>0</v>
      </c>
      <c r="AG967" s="90" t="str">
        <f aca="false">IF(对接源_01水果!$AC967="","",对接源_01水果!$AC967)</f>
        <v/>
      </c>
      <c r="AH967" s="1" t="n">
        <f aca="false">IF(AND($N967=1,AND(LEFT(对接源_01水果!$D967,3)="周转筐",N(对接源_01水果!$K967)&lt;&gt;0)),1,0)</f>
        <v>0</v>
      </c>
      <c r="AI967" s="90" t="n">
        <f aca="false">IF(AG967="",0,IF(MATCH(AG967,$AG$4:$AG$1203,0)=ROW()-3,1,0))</f>
        <v>0</v>
      </c>
      <c r="AJ967" s="90" t="n">
        <f aca="false">N(AJ966)+AI967</f>
        <v>4</v>
      </c>
      <c r="AK967" s="1" t="n">
        <f aca="false">N(AK966)+$AJ967</f>
        <v>2728</v>
      </c>
    </row>
    <row r="968" customFormat="false" ht="13.5" hidden="false" customHeight="false" outlineLevel="0" collapsed="false">
      <c r="A968" s="1" t="str">
        <f aca="false">IF(对接源_01水果!$C968="","",对接源_01水果!$C968)</f>
        <v/>
      </c>
      <c r="B968" s="1" t="n">
        <f aca="false">IF(A968="",0,IF(MATCH(A968,$A$4:$A$2403,0)=ROW()-3,1,0))</f>
        <v>0</v>
      </c>
      <c r="C968" s="1" t="n">
        <f aca="false">N(C967)+B968</f>
        <v>13</v>
      </c>
      <c r="K968" s="1" t="n">
        <f aca="false">IF(OR($K$1="",对接源_01水果!$C968="",对接源_01水果!$C968&lt;&gt;$K$1,对接源_01水果!$B968=""),0,IF(OR(N(对接源_01水果!$B968)&lt;$K$2,N(对接源_01水果!$B968)&gt;$K$3),0,1))</f>
        <v>0</v>
      </c>
      <c r="L968" s="1" t="n">
        <f aca="false">IF(OR($L$1="",对接源_01水果!$C968="",对接源_01水果!$C968&lt;&gt;$L$1,对接源_01水果!$B968=""),0,IF(OR(N(对接源_01水果!$B968)&lt;$L$2,N(对接源_01水果!$B968)&gt;$L$3),0,1))</f>
        <v>0</v>
      </c>
      <c r="M968" s="1" t="n">
        <f aca="false">IF(OR($M$1="",对接源_01水果!$C968="",对接源_01水果!$C968&lt;&gt;$M$1,对接源_01水果!$B968=""),0,IF(OR(N(对接源_01水果!$B968)&lt;$M$2,N(对接源_01水果!$B968)&gt;$M$3),0,1))</f>
        <v>0</v>
      </c>
      <c r="N968" s="1" t="n">
        <f aca="false">IF(OR($N$1="",对接源_01水果!$C968="",对接源_01水果!$C968&lt;&gt;$N$1,对接源_01水果!$B968=""),0,IF(OR(N(对接源_01水果!$B968)&lt;$N$2,N(对接源_01水果!$B968)&gt;$N$3),0,1))</f>
        <v>0</v>
      </c>
      <c r="P968" s="1" t="n">
        <f aca="false">IF(AND($K968=1,AND(对接源_01水果!$X968="公司筐",N(对接源_01水果!$T968)&lt;&gt;0)),1,0)</f>
        <v>0</v>
      </c>
      <c r="Q968" s="1" t="n">
        <f aca="false">N(Q967)+$P968</f>
        <v>3</v>
      </c>
      <c r="R968" s="1" t="n">
        <f aca="false">IF(AND($K968=1,AND(对接源_01水果!$X968="公司筐",N(对接源_01水果!$U968)&lt;&gt;0)),1,0)</f>
        <v>0</v>
      </c>
      <c r="S968" s="1" t="n">
        <f aca="false">N(S967)+$R968</f>
        <v>0</v>
      </c>
      <c r="T968" s="1" t="n">
        <f aca="false">IF(AND($K968=1,AND(对接源_01水果!$X968="公司筐",N(对接源_01水果!$V968)&lt;&gt;0)),1,0)</f>
        <v>0</v>
      </c>
      <c r="U968" s="1" t="n">
        <f aca="false">N(U967)+$T968</f>
        <v>28</v>
      </c>
      <c r="V968" s="1" t="n">
        <f aca="false">IF(AND($L968=1,AND(对接源_01水果!$X968="自备筐",N(对接源_01水果!$V968)&lt;&gt;0)),1,0)</f>
        <v>0</v>
      </c>
      <c r="W968" s="1" t="n">
        <f aca="false">N(W967)+$V968</f>
        <v>7</v>
      </c>
      <c r="X968" s="1" t="n">
        <f aca="false">IF(AND($L968=1,AND(对接源_01水果!$X968="自备筐",N(对接源_01水果!$T968)&lt;&gt;0)),1,0)</f>
        <v>0</v>
      </c>
      <c r="Y968" s="1" t="n">
        <f aca="false">N(Y967)+$X968</f>
        <v>0</v>
      </c>
      <c r="Z968" s="1" t="n">
        <f aca="false">IF(AND($M968=1,对接源_01水果!$D968="原料入库"),1,0)</f>
        <v>0</v>
      </c>
      <c r="AA968" s="1" t="n">
        <f aca="false">N(AA967)+$Z968</f>
        <v>30</v>
      </c>
      <c r="AB968" s="1" t="n">
        <f aca="false">IF(AND($M968=1,LEFT(对接源_01水果!$D968,4)="原料出库"),1,0)</f>
        <v>0</v>
      </c>
      <c r="AC968" s="1" t="n">
        <f aca="false">N(AC967)+$AB968</f>
        <v>19</v>
      </c>
      <c r="AD968" s="1" t="n">
        <f aca="false">IF(AND($M968=1,LEFT(对接源_01水果!$D968,4)="成品出库"),1,0)</f>
        <v>0</v>
      </c>
      <c r="AE968" s="1" t="n">
        <f aca="false">N(AE967)+$AD968</f>
        <v>38</v>
      </c>
      <c r="AF968" s="1" t="n">
        <f aca="false">IF(AND($N968=1,AND(LEFT(对接源_01水果!$D968,4)="包装物料",N(对接源_01水果!$K968)&lt;&gt;0)),1,0)</f>
        <v>0</v>
      </c>
      <c r="AG968" s="90" t="str">
        <f aca="false">IF(对接源_01水果!$AC968="","",对接源_01水果!$AC968)</f>
        <v/>
      </c>
      <c r="AH968" s="1" t="n">
        <f aca="false">IF(AND($N968=1,AND(LEFT(对接源_01水果!$D968,3)="周转筐",N(对接源_01水果!$K968)&lt;&gt;0)),1,0)</f>
        <v>0</v>
      </c>
      <c r="AI968" s="90" t="n">
        <f aca="false">IF(AG968="",0,IF(MATCH(AG968,$AG$4:$AG$1203,0)=ROW()-3,1,0))</f>
        <v>0</v>
      </c>
      <c r="AJ968" s="90" t="n">
        <f aca="false">N(AJ967)+AI968</f>
        <v>4</v>
      </c>
      <c r="AK968" s="1" t="n">
        <f aca="false">N(AK967)+$AJ968</f>
        <v>2732</v>
      </c>
    </row>
    <row r="969" customFormat="false" ht="13.5" hidden="false" customHeight="false" outlineLevel="0" collapsed="false">
      <c r="A969" s="1" t="str">
        <f aca="false">IF(对接源_01水果!$C969="","",对接源_01水果!$C969)</f>
        <v/>
      </c>
      <c r="B969" s="1" t="n">
        <f aca="false">IF(A969="",0,IF(MATCH(A969,$A$4:$A$2403,0)=ROW()-3,1,0))</f>
        <v>0</v>
      </c>
      <c r="C969" s="1" t="n">
        <f aca="false">N(C968)+B969</f>
        <v>13</v>
      </c>
      <c r="K969" s="1" t="n">
        <f aca="false">IF(OR($K$1="",对接源_01水果!$C969="",对接源_01水果!$C969&lt;&gt;$K$1,对接源_01水果!$B969=""),0,IF(OR(N(对接源_01水果!$B969)&lt;$K$2,N(对接源_01水果!$B969)&gt;$K$3),0,1))</f>
        <v>0</v>
      </c>
      <c r="L969" s="1" t="n">
        <f aca="false">IF(OR($L$1="",对接源_01水果!$C969="",对接源_01水果!$C969&lt;&gt;$L$1,对接源_01水果!$B969=""),0,IF(OR(N(对接源_01水果!$B969)&lt;$L$2,N(对接源_01水果!$B969)&gt;$L$3),0,1))</f>
        <v>0</v>
      </c>
      <c r="M969" s="1" t="n">
        <f aca="false">IF(OR($M$1="",对接源_01水果!$C969="",对接源_01水果!$C969&lt;&gt;$M$1,对接源_01水果!$B969=""),0,IF(OR(N(对接源_01水果!$B969)&lt;$M$2,N(对接源_01水果!$B969)&gt;$M$3),0,1))</f>
        <v>0</v>
      </c>
      <c r="N969" s="1" t="n">
        <f aca="false">IF(OR($N$1="",对接源_01水果!$C969="",对接源_01水果!$C969&lt;&gt;$N$1,对接源_01水果!$B969=""),0,IF(OR(N(对接源_01水果!$B969)&lt;$N$2,N(对接源_01水果!$B969)&gt;$N$3),0,1))</f>
        <v>0</v>
      </c>
      <c r="P969" s="1" t="n">
        <f aca="false">IF(AND($K969=1,AND(对接源_01水果!$X969="公司筐",N(对接源_01水果!$T969)&lt;&gt;0)),1,0)</f>
        <v>0</v>
      </c>
      <c r="Q969" s="1" t="n">
        <f aca="false">N(Q968)+$P969</f>
        <v>3</v>
      </c>
      <c r="R969" s="1" t="n">
        <f aca="false">IF(AND($K969=1,AND(对接源_01水果!$X969="公司筐",N(对接源_01水果!$U969)&lt;&gt;0)),1,0)</f>
        <v>0</v>
      </c>
      <c r="S969" s="1" t="n">
        <f aca="false">N(S968)+$R969</f>
        <v>0</v>
      </c>
      <c r="T969" s="1" t="n">
        <f aca="false">IF(AND($K969=1,AND(对接源_01水果!$X969="公司筐",N(对接源_01水果!$V969)&lt;&gt;0)),1,0)</f>
        <v>0</v>
      </c>
      <c r="U969" s="1" t="n">
        <f aca="false">N(U968)+$T969</f>
        <v>28</v>
      </c>
      <c r="V969" s="1" t="n">
        <f aca="false">IF(AND($L969=1,AND(对接源_01水果!$X969="自备筐",N(对接源_01水果!$V969)&lt;&gt;0)),1,0)</f>
        <v>0</v>
      </c>
      <c r="W969" s="1" t="n">
        <f aca="false">N(W968)+$V969</f>
        <v>7</v>
      </c>
      <c r="X969" s="1" t="n">
        <f aca="false">IF(AND($L969=1,AND(对接源_01水果!$X969="自备筐",N(对接源_01水果!$T969)&lt;&gt;0)),1,0)</f>
        <v>0</v>
      </c>
      <c r="Y969" s="1" t="n">
        <f aca="false">N(Y968)+$X969</f>
        <v>0</v>
      </c>
      <c r="Z969" s="1" t="n">
        <f aca="false">IF(AND($M969=1,对接源_01水果!$D969="原料入库"),1,0)</f>
        <v>0</v>
      </c>
      <c r="AA969" s="1" t="n">
        <f aca="false">N(AA968)+$Z969</f>
        <v>30</v>
      </c>
      <c r="AB969" s="1" t="n">
        <f aca="false">IF(AND($M969=1,LEFT(对接源_01水果!$D969,4)="原料出库"),1,0)</f>
        <v>0</v>
      </c>
      <c r="AC969" s="1" t="n">
        <f aca="false">N(AC968)+$AB969</f>
        <v>19</v>
      </c>
      <c r="AD969" s="1" t="n">
        <f aca="false">IF(AND($M969=1,LEFT(对接源_01水果!$D969,4)="成品出库"),1,0)</f>
        <v>0</v>
      </c>
      <c r="AE969" s="1" t="n">
        <f aca="false">N(AE968)+$AD969</f>
        <v>38</v>
      </c>
      <c r="AF969" s="1" t="n">
        <f aca="false">IF(AND($N969=1,AND(LEFT(对接源_01水果!$D969,4)="包装物料",N(对接源_01水果!$K969)&lt;&gt;0)),1,0)</f>
        <v>0</v>
      </c>
      <c r="AG969" s="90" t="str">
        <f aca="false">IF(对接源_01水果!$AC969="","",对接源_01水果!$AC969)</f>
        <v/>
      </c>
      <c r="AH969" s="1" t="n">
        <f aca="false">IF(AND($N969=1,AND(LEFT(对接源_01水果!$D969,3)="周转筐",N(对接源_01水果!$K969)&lt;&gt;0)),1,0)</f>
        <v>0</v>
      </c>
      <c r="AI969" s="90" t="n">
        <f aca="false">IF(AG969="",0,IF(MATCH(AG969,$AG$4:$AG$1203,0)=ROW()-3,1,0))</f>
        <v>0</v>
      </c>
      <c r="AJ969" s="90" t="n">
        <f aca="false">N(AJ968)+AI969</f>
        <v>4</v>
      </c>
      <c r="AK969" s="1" t="n">
        <f aca="false">N(AK968)+$AJ969</f>
        <v>2736</v>
      </c>
    </row>
    <row r="970" customFormat="false" ht="13.5" hidden="false" customHeight="false" outlineLevel="0" collapsed="false">
      <c r="A970" s="1" t="str">
        <f aca="false">IF(对接源_01水果!$C970="","",对接源_01水果!$C970)</f>
        <v/>
      </c>
      <c r="B970" s="1" t="n">
        <f aca="false">IF(A970="",0,IF(MATCH(A970,$A$4:$A$2403,0)=ROW()-3,1,0))</f>
        <v>0</v>
      </c>
      <c r="C970" s="1" t="n">
        <f aca="false">N(C969)+B970</f>
        <v>13</v>
      </c>
      <c r="K970" s="1" t="n">
        <f aca="false">IF(OR($K$1="",对接源_01水果!$C970="",对接源_01水果!$C970&lt;&gt;$K$1,对接源_01水果!$B970=""),0,IF(OR(N(对接源_01水果!$B970)&lt;$K$2,N(对接源_01水果!$B970)&gt;$K$3),0,1))</f>
        <v>0</v>
      </c>
      <c r="L970" s="1" t="n">
        <f aca="false">IF(OR($L$1="",对接源_01水果!$C970="",对接源_01水果!$C970&lt;&gt;$L$1,对接源_01水果!$B970=""),0,IF(OR(N(对接源_01水果!$B970)&lt;$L$2,N(对接源_01水果!$B970)&gt;$L$3),0,1))</f>
        <v>0</v>
      </c>
      <c r="M970" s="1" t="n">
        <f aca="false">IF(OR($M$1="",对接源_01水果!$C970="",对接源_01水果!$C970&lt;&gt;$M$1,对接源_01水果!$B970=""),0,IF(OR(N(对接源_01水果!$B970)&lt;$M$2,N(对接源_01水果!$B970)&gt;$M$3),0,1))</f>
        <v>0</v>
      </c>
      <c r="N970" s="1" t="n">
        <f aca="false">IF(OR($N$1="",对接源_01水果!$C970="",对接源_01水果!$C970&lt;&gt;$N$1,对接源_01水果!$B970=""),0,IF(OR(N(对接源_01水果!$B970)&lt;$N$2,N(对接源_01水果!$B970)&gt;$N$3),0,1))</f>
        <v>0</v>
      </c>
      <c r="P970" s="1" t="n">
        <f aca="false">IF(AND($K970=1,AND(对接源_01水果!$X970="公司筐",N(对接源_01水果!$T970)&lt;&gt;0)),1,0)</f>
        <v>0</v>
      </c>
      <c r="Q970" s="1" t="n">
        <f aca="false">N(Q969)+$P970</f>
        <v>3</v>
      </c>
      <c r="R970" s="1" t="n">
        <f aca="false">IF(AND($K970=1,AND(对接源_01水果!$X970="公司筐",N(对接源_01水果!$U970)&lt;&gt;0)),1,0)</f>
        <v>0</v>
      </c>
      <c r="S970" s="1" t="n">
        <f aca="false">N(S969)+$R970</f>
        <v>0</v>
      </c>
      <c r="T970" s="1" t="n">
        <f aca="false">IF(AND($K970=1,AND(对接源_01水果!$X970="公司筐",N(对接源_01水果!$V970)&lt;&gt;0)),1,0)</f>
        <v>0</v>
      </c>
      <c r="U970" s="1" t="n">
        <f aca="false">N(U969)+$T970</f>
        <v>28</v>
      </c>
      <c r="V970" s="1" t="n">
        <f aca="false">IF(AND($L970=1,AND(对接源_01水果!$X970="自备筐",N(对接源_01水果!$V970)&lt;&gt;0)),1,0)</f>
        <v>0</v>
      </c>
      <c r="W970" s="1" t="n">
        <f aca="false">N(W969)+$V970</f>
        <v>7</v>
      </c>
      <c r="X970" s="1" t="n">
        <f aca="false">IF(AND($L970=1,AND(对接源_01水果!$X970="自备筐",N(对接源_01水果!$T970)&lt;&gt;0)),1,0)</f>
        <v>0</v>
      </c>
      <c r="Y970" s="1" t="n">
        <f aca="false">N(Y969)+$X970</f>
        <v>0</v>
      </c>
      <c r="Z970" s="1" t="n">
        <f aca="false">IF(AND($M970=1,对接源_01水果!$D970="原料入库"),1,0)</f>
        <v>0</v>
      </c>
      <c r="AA970" s="1" t="n">
        <f aca="false">N(AA969)+$Z970</f>
        <v>30</v>
      </c>
      <c r="AB970" s="1" t="n">
        <f aca="false">IF(AND($M970=1,LEFT(对接源_01水果!$D970,4)="原料出库"),1,0)</f>
        <v>0</v>
      </c>
      <c r="AC970" s="1" t="n">
        <f aca="false">N(AC969)+$AB970</f>
        <v>19</v>
      </c>
      <c r="AD970" s="1" t="n">
        <f aca="false">IF(AND($M970=1,LEFT(对接源_01水果!$D970,4)="成品出库"),1,0)</f>
        <v>0</v>
      </c>
      <c r="AE970" s="1" t="n">
        <f aca="false">N(AE969)+$AD970</f>
        <v>38</v>
      </c>
      <c r="AF970" s="1" t="n">
        <f aca="false">IF(AND($N970=1,AND(LEFT(对接源_01水果!$D970,4)="包装物料",N(对接源_01水果!$K970)&lt;&gt;0)),1,0)</f>
        <v>0</v>
      </c>
      <c r="AG970" s="90" t="str">
        <f aca="false">IF(对接源_01水果!$AC970="","",对接源_01水果!$AC970)</f>
        <v/>
      </c>
      <c r="AH970" s="1" t="n">
        <f aca="false">IF(AND($N970=1,AND(LEFT(对接源_01水果!$D970,3)="周转筐",N(对接源_01水果!$K970)&lt;&gt;0)),1,0)</f>
        <v>0</v>
      </c>
      <c r="AI970" s="90" t="n">
        <f aca="false">IF(AG970="",0,IF(MATCH(AG970,$AG$4:$AG$1203,0)=ROW()-3,1,0))</f>
        <v>0</v>
      </c>
      <c r="AJ970" s="90" t="n">
        <f aca="false">N(AJ969)+AI970</f>
        <v>4</v>
      </c>
      <c r="AK970" s="1" t="n">
        <f aca="false">N(AK969)+$AJ970</f>
        <v>2740</v>
      </c>
    </row>
    <row r="971" customFormat="false" ht="13.5" hidden="false" customHeight="false" outlineLevel="0" collapsed="false">
      <c r="A971" s="1" t="str">
        <f aca="false">IF(对接源_01水果!$C971="","",对接源_01水果!$C971)</f>
        <v/>
      </c>
      <c r="B971" s="1" t="n">
        <f aca="false">IF(A971="",0,IF(MATCH(A971,$A$4:$A$2403,0)=ROW()-3,1,0))</f>
        <v>0</v>
      </c>
      <c r="C971" s="1" t="n">
        <f aca="false">N(C970)+B971</f>
        <v>13</v>
      </c>
      <c r="K971" s="1" t="n">
        <f aca="false">IF(OR($K$1="",对接源_01水果!$C971="",对接源_01水果!$C971&lt;&gt;$K$1,对接源_01水果!$B971=""),0,IF(OR(N(对接源_01水果!$B971)&lt;$K$2,N(对接源_01水果!$B971)&gt;$K$3),0,1))</f>
        <v>0</v>
      </c>
      <c r="L971" s="1" t="n">
        <f aca="false">IF(OR($L$1="",对接源_01水果!$C971="",对接源_01水果!$C971&lt;&gt;$L$1,对接源_01水果!$B971=""),0,IF(OR(N(对接源_01水果!$B971)&lt;$L$2,N(对接源_01水果!$B971)&gt;$L$3),0,1))</f>
        <v>0</v>
      </c>
      <c r="M971" s="1" t="n">
        <f aca="false">IF(OR($M$1="",对接源_01水果!$C971="",对接源_01水果!$C971&lt;&gt;$M$1,对接源_01水果!$B971=""),0,IF(OR(N(对接源_01水果!$B971)&lt;$M$2,N(对接源_01水果!$B971)&gt;$M$3),0,1))</f>
        <v>0</v>
      </c>
      <c r="N971" s="1" t="n">
        <f aca="false">IF(OR($N$1="",对接源_01水果!$C971="",对接源_01水果!$C971&lt;&gt;$N$1,对接源_01水果!$B971=""),0,IF(OR(N(对接源_01水果!$B971)&lt;$N$2,N(对接源_01水果!$B971)&gt;$N$3),0,1))</f>
        <v>0</v>
      </c>
      <c r="P971" s="1" t="n">
        <f aca="false">IF(AND($K971=1,AND(对接源_01水果!$X971="公司筐",N(对接源_01水果!$T971)&lt;&gt;0)),1,0)</f>
        <v>0</v>
      </c>
      <c r="Q971" s="1" t="n">
        <f aca="false">N(Q970)+$P971</f>
        <v>3</v>
      </c>
      <c r="R971" s="1" t="n">
        <f aca="false">IF(AND($K971=1,AND(对接源_01水果!$X971="公司筐",N(对接源_01水果!$U971)&lt;&gt;0)),1,0)</f>
        <v>0</v>
      </c>
      <c r="S971" s="1" t="n">
        <f aca="false">N(S970)+$R971</f>
        <v>0</v>
      </c>
      <c r="T971" s="1" t="n">
        <f aca="false">IF(AND($K971=1,AND(对接源_01水果!$X971="公司筐",N(对接源_01水果!$V971)&lt;&gt;0)),1,0)</f>
        <v>0</v>
      </c>
      <c r="U971" s="1" t="n">
        <f aca="false">N(U970)+$T971</f>
        <v>28</v>
      </c>
      <c r="V971" s="1" t="n">
        <f aca="false">IF(AND($L971=1,AND(对接源_01水果!$X971="自备筐",N(对接源_01水果!$V971)&lt;&gt;0)),1,0)</f>
        <v>0</v>
      </c>
      <c r="W971" s="1" t="n">
        <f aca="false">N(W970)+$V971</f>
        <v>7</v>
      </c>
      <c r="X971" s="1" t="n">
        <f aca="false">IF(AND($L971=1,AND(对接源_01水果!$X971="自备筐",N(对接源_01水果!$T971)&lt;&gt;0)),1,0)</f>
        <v>0</v>
      </c>
      <c r="Y971" s="1" t="n">
        <f aca="false">N(Y970)+$X971</f>
        <v>0</v>
      </c>
      <c r="Z971" s="1" t="n">
        <f aca="false">IF(AND($M971=1,对接源_01水果!$D971="原料入库"),1,0)</f>
        <v>0</v>
      </c>
      <c r="AA971" s="1" t="n">
        <f aca="false">N(AA970)+$Z971</f>
        <v>30</v>
      </c>
      <c r="AB971" s="1" t="n">
        <f aca="false">IF(AND($M971=1,LEFT(对接源_01水果!$D971,4)="原料出库"),1,0)</f>
        <v>0</v>
      </c>
      <c r="AC971" s="1" t="n">
        <f aca="false">N(AC970)+$AB971</f>
        <v>19</v>
      </c>
      <c r="AD971" s="1" t="n">
        <f aca="false">IF(AND($M971=1,LEFT(对接源_01水果!$D971,4)="成品出库"),1,0)</f>
        <v>0</v>
      </c>
      <c r="AE971" s="1" t="n">
        <f aca="false">N(AE970)+$AD971</f>
        <v>38</v>
      </c>
      <c r="AF971" s="1" t="n">
        <f aca="false">IF(AND($N971=1,AND(LEFT(对接源_01水果!$D971,4)="包装物料",N(对接源_01水果!$K971)&lt;&gt;0)),1,0)</f>
        <v>0</v>
      </c>
      <c r="AG971" s="90" t="str">
        <f aca="false">IF(对接源_01水果!$AC971="","",对接源_01水果!$AC971)</f>
        <v/>
      </c>
      <c r="AH971" s="1" t="n">
        <f aca="false">IF(AND($N971=1,AND(LEFT(对接源_01水果!$D971,3)="周转筐",N(对接源_01水果!$K971)&lt;&gt;0)),1,0)</f>
        <v>0</v>
      </c>
      <c r="AI971" s="90" t="n">
        <f aca="false">IF(AG971="",0,IF(MATCH(AG971,$AG$4:$AG$1203,0)=ROW()-3,1,0))</f>
        <v>0</v>
      </c>
      <c r="AJ971" s="90" t="n">
        <f aca="false">N(AJ970)+AI971</f>
        <v>4</v>
      </c>
      <c r="AK971" s="1" t="n">
        <f aca="false">N(AK970)+$AJ971</f>
        <v>2744</v>
      </c>
    </row>
    <row r="972" customFormat="false" ht="13.5" hidden="false" customHeight="false" outlineLevel="0" collapsed="false">
      <c r="A972" s="1" t="str">
        <f aca="false">IF(对接源_01水果!$C972="","",对接源_01水果!$C972)</f>
        <v/>
      </c>
      <c r="B972" s="1" t="n">
        <f aca="false">IF(A972="",0,IF(MATCH(A972,$A$4:$A$2403,0)=ROW()-3,1,0))</f>
        <v>0</v>
      </c>
      <c r="C972" s="1" t="n">
        <f aca="false">N(C971)+B972</f>
        <v>13</v>
      </c>
      <c r="K972" s="1" t="n">
        <f aca="false">IF(OR($K$1="",对接源_01水果!$C972="",对接源_01水果!$C972&lt;&gt;$K$1,对接源_01水果!$B972=""),0,IF(OR(N(对接源_01水果!$B972)&lt;$K$2,N(对接源_01水果!$B972)&gt;$K$3),0,1))</f>
        <v>0</v>
      </c>
      <c r="L972" s="1" t="n">
        <f aca="false">IF(OR($L$1="",对接源_01水果!$C972="",对接源_01水果!$C972&lt;&gt;$L$1,对接源_01水果!$B972=""),0,IF(OR(N(对接源_01水果!$B972)&lt;$L$2,N(对接源_01水果!$B972)&gt;$L$3),0,1))</f>
        <v>0</v>
      </c>
      <c r="M972" s="1" t="n">
        <f aca="false">IF(OR($M$1="",对接源_01水果!$C972="",对接源_01水果!$C972&lt;&gt;$M$1,对接源_01水果!$B972=""),0,IF(OR(N(对接源_01水果!$B972)&lt;$M$2,N(对接源_01水果!$B972)&gt;$M$3),0,1))</f>
        <v>0</v>
      </c>
      <c r="N972" s="1" t="n">
        <f aca="false">IF(OR($N$1="",对接源_01水果!$C972="",对接源_01水果!$C972&lt;&gt;$N$1,对接源_01水果!$B972=""),0,IF(OR(N(对接源_01水果!$B972)&lt;$N$2,N(对接源_01水果!$B972)&gt;$N$3),0,1))</f>
        <v>0</v>
      </c>
      <c r="P972" s="1" t="n">
        <f aca="false">IF(AND($K972=1,AND(对接源_01水果!$X972="公司筐",N(对接源_01水果!$T972)&lt;&gt;0)),1,0)</f>
        <v>0</v>
      </c>
      <c r="Q972" s="1" t="n">
        <f aca="false">N(Q971)+$P972</f>
        <v>3</v>
      </c>
      <c r="R972" s="1" t="n">
        <f aca="false">IF(AND($K972=1,AND(对接源_01水果!$X972="公司筐",N(对接源_01水果!$U972)&lt;&gt;0)),1,0)</f>
        <v>0</v>
      </c>
      <c r="S972" s="1" t="n">
        <f aca="false">N(S971)+$R972</f>
        <v>0</v>
      </c>
      <c r="T972" s="1" t="n">
        <f aca="false">IF(AND($K972=1,AND(对接源_01水果!$X972="公司筐",N(对接源_01水果!$V972)&lt;&gt;0)),1,0)</f>
        <v>0</v>
      </c>
      <c r="U972" s="1" t="n">
        <f aca="false">N(U971)+$T972</f>
        <v>28</v>
      </c>
      <c r="V972" s="1" t="n">
        <f aca="false">IF(AND($L972=1,AND(对接源_01水果!$X972="自备筐",N(对接源_01水果!$V972)&lt;&gt;0)),1,0)</f>
        <v>0</v>
      </c>
      <c r="W972" s="1" t="n">
        <f aca="false">N(W971)+$V972</f>
        <v>7</v>
      </c>
      <c r="X972" s="1" t="n">
        <f aca="false">IF(AND($L972=1,AND(对接源_01水果!$X972="自备筐",N(对接源_01水果!$T972)&lt;&gt;0)),1,0)</f>
        <v>0</v>
      </c>
      <c r="Y972" s="1" t="n">
        <f aca="false">N(Y971)+$X972</f>
        <v>0</v>
      </c>
      <c r="Z972" s="1" t="n">
        <f aca="false">IF(AND($M972=1,对接源_01水果!$D972="原料入库"),1,0)</f>
        <v>0</v>
      </c>
      <c r="AA972" s="1" t="n">
        <f aca="false">N(AA971)+$Z972</f>
        <v>30</v>
      </c>
      <c r="AB972" s="1" t="n">
        <f aca="false">IF(AND($M972=1,LEFT(对接源_01水果!$D972,4)="原料出库"),1,0)</f>
        <v>0</v>
      </c>
      <c r="AC972" s="1" t="n">
        <f aca="false">N(AC971)+$AB972</f>
        <v>19</v>
      </c>
      <c r="AD972" s="1" t="n">
        <f aca="false">IF(AND($M972=1,LEFT(对接源_01水果!$D972,4)="成品出库"),1,0)</f>
        <v>0</v>
      </c>
      <c r="AE972" s="1" t="n">
        <f aca="false">N(AE971)+$AD972</f>
        <v>38</v>
      </c>
      <c r="AF972" s="1" t="n">
        <f aca="false">IF(AND($N972=1,AND(LEFT(对接源_01水果!$D972,4)="包装物料",N(对接源_01水果!$K972)&lt;&gt;0)),1,0)</f>
        <v>0</v>
      </c>
      <c r="AG972" s="90" t="str">
        <f aca="false">IF(对接源_01水果!$AC972="","",对接源_01水果!$AC972)</f>
        <v/>
      </c>
      <c r="AH972" s="1" t="n">
        <f aca="false">IF(AND($N972=1,AND(LEFT(对接源_01水果!$D972,3)="周转筐",N(对接源_01水果!$K972)&lt;&gt;0)),1,0)</f>
        <v>0</v>
      </c>
      <c r="AI972" s="90" t="n">
        <f aca="false">IF(AG972="",0,IF(MATCH(AG972,$AG$4:$AG$1203,0)=ROW()-3,1,0))</f>
        <v>0</v>
      </c>
      <c r="AJ972" s="90" t="n">
        <f aca="false">N(AJ971)+AI972</f>
        <v>4</v>
      </c>
      <c r="AK972" s="1" t="n">
        <f aca="false">N(AK971)+$AJ972</f>
        <v>2748</v>
      </c>
    </row>
    <row r="973" customFormat="false" ht="13.5" hidden="false" customHeight="false" outlineLevel="0" collapsed="false">
      <c r="A973" s="1" t="str">
        <f aca="false">IF(对接源_01水果!$C973="","",对接源_01水果!$C973)</f>
        <v/>
      </c>
      <c r="B973" s="1" t="n">
        <f aca="false">IF(A973="",0,IF(MATCH(A973,$A$4:$A$2403,0)=ROW()-3,1,0))</f>
        <v>0</v>
      </c>
      <c r="C973" s="1" t="n">
        <f aca="false">N(C972)+B973</f>
        <v>13</v>
      </c>
      <c r="K973" s="1" t="n">
        <f aca="false">IF(OR($K$1="",对接源_01水果!$C973="",对接源_01水果!$C973&lt;&gt;$K$1,对接源_01水果!$B973=""),0,IF(OR(N(对接源_01水果!$B973)&lt;$K$2,N(对接源_01水果!$B973)&gt;$K$3),0,1))</f>
        <v>0</v>
      </c>
      <c r="L973" s="1" t="n">
        <f aca="false">IF(OR($L$1="",对接源_01水果!$C973="",对接源_01水果!$C973&lt;&gt;$L$1,对接源_01水果!$B973=""),0,IF(OR(N(对接源_01水果!$B973)&lt;$L$2,N(对接源_01水果!$B973)&gt;$L$3),0,1))</f>
        <v>0</v>
      </c>
      <c r="M973" s="1" t="n">
        <f aca="false">IF(OR($M$1="",对接源_01水果!$C973="",对接源_01水果!$C973&lt;&gt;$M$1,对接源_01水果!$B973=""),0,IF(OR(N(对接源_01水果!$B973)&lt;$M$2,N(对接源_01水果!$B973)&gt;$M$3),0,1))</f>
        <v>0</v>
      </c>
      <c r="N973" s="1" t="n">
        <f aca="false">IF(OR($N$1="",对接源_01水果!$C973="",对接源_01水果!$C973&lt;&gt;$N$1,对接源_01水果!$B973=""),0,IF(OR(N(对接源_01水果!$B973)&lt;$N$2,N(对接源_01水果!$B973)&gt;$N$3),0,1))</f>
        <v>0</v>
      </c>
      <c r="P973" s="1" t="n">
        <f aca="false">IF(AND($K973=1,AND(对接源_01水果!$X973="公司筐",N(对接源_01水果!$T973)&lt;&gt;0)),1,0)</f>
        <v>0</v>
      </c>
      <c r="Q973" s="1" t="n">
        <f aca="false">N(Q972)+$P973</f>
        <v>3</v>
      </c>
      <c r="R973" s="1" t="n">
        <f aca="false">IF(AND($K973=1,AND(对接源_01水果!$X973="公司筐",N(对接源_01水果!$U973)&lt;&gt;0)),1,0)</f>
        <v>0</v>
      </c>
      <c r="S973" s="1" t="n">
        <f aca="false">N(S972)+$R973</f>
        <v>0</v>
      </c>
      <c r="T973" s="1" t="n">
        <f aca="false">IF(AND($K973=1,AND(对接源_01水果!$X973="公司筐",N(对接源_01水果!$V973)&lt;&gt;0)),1,0)</f>
        <v>0</v>
      </c>
      <c r="U973" s="1" t="n">
        <f aca="false">N(U972)+$T973</f>
        <v>28</v>
      </c>
      <c r="V973" s="1" t="n">
        <f aca="false">IF(AND($L973=1,AND(对接源_01水果!$X973="自备筐",N(对接源_01水果!$V973)&lt;&gt;0)),1,0)</f>
        <v>0</v>
      </c>
      <c r="W973" s="1" t="n">
        <f aca="false">N(W972)+$V973</f>
        <v>7</v>
      </c>
      <c r="X973" s="1" t="n">
        <f aca="false">IF(AND($L973=1,AND(对接源_01水果!$X973="自备筐",N(对接源_01水果!$T973)&lt;&gt;0)),1,0)</f>
        <v>0</v>
      </c>
      <c r="Y973" s="1" t="n">
        <f aca="false">N(Y972)+$X973</f>
        <v>0</v>
      </c>
      <c r="Z973" s="1" t="n">
        <f aca="false">IF(AND($M973=1,对接源_01水果!$D973="原料入库"),1,0)</f>
        <v>0</v>
      </c>
      <c r="AA973" s="1" t="n">
        <f aca="false">N(AA972)+$Z973</f>
        <v>30</v>
      </c>
      <c r="AB973" s="1" t="n">
        <f aca="false">IF(AND($M973=1,LEFT(对接源_01水果!$D973,4)="原料出库"),1,0)</f>
        <v>0</v>
      </c>
      <c r="AC973" s="1" t="n">
        <f aca="false">N(AC972)+$AB973</f>
        <v>19</v>
      </c>
      <c r="AD973" s="1" t="n">
        <f aca="false">IF(AND($M973=1,LEFT(对接源_01水果!$D973,4)="成品出库"),1,0)</f>
        <v>0</v>
      </c>
      <c r="AE973" s="1" t="n">
        <f aca="false">N(AE972)+$AD973</f>
        <v>38</v>
      </c>
      <c r="AF973" s="1" t="n">
        <f aca="false">IF(AND($N973=1,AND(LEFT(对接源_01水果!$D973,4)="包装物料",N(对接源_01水果!$K973)&lt;&gt;0)),1,0)</f>
        <v>0</v>
      </c>
      <c r="AG973" s="90" t="str">
        <f aca="false">IF(对接源_01水果!$AC973="","",对接源_01水果!$AC973)</f>
        <v/>
      </c>
      <c r="AH973" s="1" t="n">
        <f aca="false">IF(AND($N973=1,AND(LEFT(对接源_01水果!$D973,3)="周转筐",N(对接源_01水果!$K973)&lt;&gt;0)),1,0)</f>
        <v>0</v>
      </c>
      <c r="AI973" s="90" t="n">
        <f aca="false">IF(AG973="",0,IF(MATCH(AG973,$AG$4:$AG$1203,0)=ROW()-3,1,0))</f>
        <v>0</v>
      </c>
      <c r="AJ973" s="90" t="n">
        <f aca="false">N(AJ972)+AI973</f>
        <v>4</v>
      </c>
      <c r="AK973" s="1" t="n">
        <f aca="false">N(AK972)+$AJ973</f>
        <v>2752</v>
      </c>
    </row>
    <row r="974" customFormat="false" ht="13.5" hidden="false" customHeight="false" outlineLevel="0" collapsed="false">
      <c r="A974" s="1" t="str">
        <f aca="false">IF(对接源_01水果!$C974="","",对接源_01水果!$C974)</f>
        <v/>
      </c>
      <c r="B974" s="1" t="n">
        <f aca="false">IF(A974="",0,IF(MATCH(A974,$A$4:$A$2403,0)=ROW()-3,1,0))</f>
        <v>0</v>
      </c>
      <c r="C974" s="1" t="n">
        <f aca="false">N(C973)+B974</f>
        <v>13</v>
      </c>
      <c r="K974" s="1" t="n">
        <f aca="false">IF(OR($K$1="",对接源_01水果!$C974="",对接源_01水果!$C974&lt;&gt;$K$1,对接源_01水果!$B974=""),0,IF(OR(N(对接源_01水果!$B974)&lt;$K$2,N(对接源_01水果!$B974)&gt;$K$3),0,1))</f>
        <v>0</v>
      </c>
      <c r="L974" s="1" t="n">
        <f aca="false">IF(OR($L$1="",对接源_01水果!$C974="",对接源_01水果!$C974&lt;&gt;$L$1,对接源_01水果!$B974=""),0,IF(OR(N(对接源_01水果!$B974)&lt;$L$2,N(对接源_01水果!$B974)&gt;$L$3),0,1))</f>
        <v>0</v>
      </c>
      <c r="M974" s="1" t="n">
        <f aca="false">IF(OR($M$1="",对接源_01水果!$C974="",对接源_01水果!$C974&lt;&gt;$M$1,对接源_01水果!$B974=""),0,IF(OR(N(对接源_01水果!$B974)&lt;$M$2,N(对接源_01水果!$B974)&gt;$M$3),0,1))</f>
        <v>0</v>
      </c>
      <c r="N974" s="1" t="n">
        <f aca="false">IF(OR($N$1="",对接源_01水果!$C974="",对接源_01水果!$C974&lt;&gt;$N$1,对接源_01水果!$B974=""),0,IF(OR(N(对接源_01水果!$B974)&lt;$N$2,N(对接源_01水果!$B974)&gt;$N$3),0,1))</f>
        <v>0</v>
      </c>
      <c r="P974" s="1" t="n">
        <f aca="false">IF(AND($K974=1,AND(对接源_01水果!$X974="公司筐",N(对接源_01水果!$T974)&lt;&gt;0)),1,0)</f>
        <v>0</v>
      </c>
      <c r="Q974" s="1" t="n">
        <f aca="false">N(Q973)+$P974</f>
        <v>3</v>
      </c>
      <c r="R974" s="1" t="n">
        <f aca="false">IF(AND($K974=1,AND(对接源_01水果!$X974="公司筐",N(对接源_01水果!$U974)&lt;&gt;0)),1,0)</f>
        <v>0</v>
      </c>
      <c r="S974" s="1" t="n">
        <f aca="false">N(S973)+$R974</f>
        <v>0</v>
      </c>
      <c r="T974" s="1" t="n">
        <f aca="false">IF(AND($K974=1,AND(对接源_01水果!$X974="公司筐",N(对接源_01水果!$V974)&lt;&gt;0)),1,0)</f>
        <v>0</v>
      </c>
      <c r="U974" s="1" t="n">
        <f aca="false">N(U973)+$T974</f>
        <v>28</v>
      </c>
      <c r="V974" s="1" t="n">
        <f aca="false">IF(AND($L974=1,AND(对接源_01水果!$X974="自备筐",N(对接源_01水果!$V974)&lt;&gt;0)),1,0)</f>
        <v>0</v>
      </c>
      <c r="W974" s="1" t="n">
        <f aca="false">N(W973)+$V974</f>
        <v>7</v>
      </c>
      <c r="X974" s="1" t="n">
        <f aca="false">IF(AND($L974=1,AND(对接源_01水果!$X974="自备筐",N(对接源_01水果!$T974)&lt;&gt;0)),1,0)</f>
        <v>0</v>
      </c>
      <c r="Y974" s="1" t="n">
        <f aca="false">N(Y973)+$X974</f>
        <v>0</v>
      </c>
      <c r="Z974" s="1" t="n">
        <f aca="false">IF(AND($M974=1,对接源_01水果!$D974="原料入库"),1,0)</f>
        <v>0</v>
      </c>
      <c r="AA974" s="1" t="n">
        <f aca="false">N(AA973)+$Z974</f>
        <v>30</v>
      </c>
      <c r="AB974" s="1" t="n">
        <f aca="false">IF(AND($M974=1,LEFT(对接源_01水果!$D974,4)="原料出库"),1,0)</f>
        <v>0</v>
      </c>
      <c r="AC974" s="1" t="n">
        <f aca="false">N(AC973)+$AB974</f>
        <v>19</v>
      </c>
      <c r="AD974" s="1" t="n">
        <f aca="false">IF(AND($M974=1,LEFT(对接源_01水果!$D974,4)="成品出库"),1,0)</f>
        <v>0</v>
      </c>
      <c r="AE974" s="1" t="n">
        <f aca="false">N(AE973)+$AD974</f>
        <v>38</v>
      </c>
      <c r="AF974" s="1" t="n">
        <f aca="false">IF(AND($N974=1,AND(LEFT(对接源_01水果!$D974,4)="包装物料",N(对接源_01水果!$K974)&lt;&gt;0)),1,0)</f>
        <v>0</v>
      </c>
      <c r="AG974" s="90" t="str">
        <f aca="false">IF(对接源_01水果!$AC974="","",对接源_01水果!$AC974)</f>
        <v/>
      </c>
      <c r="AH974" s="1" t="n">
        <f aca="false">IF(AND($N974=1,AND(LEFT(对接源_01水果!$D974,3)="周转筐",N(对接源_01水果!$K974)&lt;&gt;0)),1,0)</f>
        <v>0</v>
      </c>
      <c r="AI974" s="90" t="n">
        <f aca="false">IF(AG974="",0,IF(MATCH(AG974,$AG$4:$AG$1203,0)=ROW()-3,1,0))</f>
        <v>0</v>
      </c>
      <c r="AJ974" s="90" t="n">
        <f aca="false">N(AJ973)+AI974</f>
        <v>4</v>
      </c>
      <c r="AK974" s="1" t="n">
        <f aca="false">N(AK973)+$AJ974</f>
        <v>2756</v>
      </c>
    </row>
    <row r="975" customFormat="false" ht="13.5" hidden="false" customHeight="false" outlineLevel="0" collapsed="false">
      <c r="A975" s="1" t="str">
        <f aca="false">IF(对接源_01水果!$C975="","",对接源_01水果!$C975)</f>
        <v/>
      </c>
      <c r="B975" s="1" t="n">
        <f aca="false">IF(A975="",0,IF(MATCH(A975,$A$4:$A$2403,0)=ROW()-3,1,0))</f>
        <v>0</v>
      </c>
      <c r="C975" s="1" t="n">
        <f aca="false">N(C974)+B975</f>
        <v>13</v>
      </c>
      <c r="K975" s="1" t="n">
        <f aca="false">IF(OR($K$1="",对接源_01水果!$C975="",对接源_01水果!$C975&lt;&gt;$K$1,对接源_01水果!$B975=""),0,IF(OR(N(对接源_01水果!$B975)&lt;$K$2,N(对接源_01水果!$B975)&gt;$K$3),0,1))</f>
        <v>0</v>
      </c>
      <c r="L975" s="1" t="n">
        <f aca="false">IF(OR($L$1="",对接源_01水果!$C975="",对接源_01水果!$C975&lt;&gt;$L$1,对接源_01水果!$B975=""),0,IF(OR(N(对接源_01水果!$B975)&lt;$L$2,N(对接源_01水果!$B975)&gt;$L$3),0,1))</f>
        <v>0</v>
      </c>
      <c r="M975" s="1" t="n">
        <f aca="false">IF(OR($M$1="",对接源_01水果!$C975="",对接源_01水果!$C975&lt;&gt;$M$1,对接源_01水果!$B975=""),0,IF(OR(N(对接源_01水果!$B975)&lt;$M$2,N(对接源_01水果!$B975)&gt;$M$3),0,1))</f>
        <v>0</v>
      </c>
      <c r="N975" s="1" t="n">
        <f aca="false">IF(OR($N$1="",对接源_01水果!$C975="",对接源_01水果!$C975&lt;&gt;$N$1,对接源_01水果!$B975=""),0,IF(OR(N(对接源_01水果!$B975)&lt;$N$2,N(对接源_01水果!$B975)&gt;$N$3),0,1))</f>
        <v>0</v>
      </c>
      <c r="P975" s="1" t="n">
        <f aca="false">IF(AND($K975=1,AND(对接源_01水果!$X975="公司筐",N(对接源_01水果!$T975)&lt;&gt;0)),1,0)</f>
        <v>0</v>
      </c>
      <c r="Q975" s="1" t="n">
        <f aca="false">N(Q974)+$P975</f>
        <v>3</v>
      </c>
      <c r="R975" s="1" t="n">
        <f aca="false">IF(AND($K975=1,AND(对接源_01水果!$X975="公司筐",N(对接源_01水果!$U975)&lt;&gt;0)),1,0)</f>
        <v>0</v>
      </c>
      <c r="S975" s="1" t="n">
        <f aca="false">N(S974)+$R975</f>
        <v>0</v>
      </c>
      <c r="T975" s="1" t="n">
        <f aca="false">IF(AND($K975=1,AND(对接源_01水果!$X975="公司筐",N(对接源_01水果!$V975)&lt;&gt;0)),1,0)</f>
        <v>0</v>
      </c>
      <c r="U975" s="1" t="n">
        <f aca="false">N(U974)+$T975</f>
        <v>28</v>
      </c>
      <c r="V975" s="1" t="n">
        <f aca="false">IF(AND($L975=1,AND(对接源_01水果!$X975="自备筐",N(对接源_01水果!$V975)&lt;&gt;0)),1,0)</f>
        <v>0</v>
      </c>
      <c r="W975" s="1" t="n">
        <f aca="false">N(W974)+$V975</f>
        <v>7</v>
      </c>
      <c r="X975" s="1" t="n">
        <f aca="false">IF(AND($L975=1,AND(对接源_01水果!$X975="自备筐",N(对接源_01水果!$T975)&lt;&gt;0)),1,0)</f>
        <v>0</v>
      </c>
      <c r="Y975" s="1" t="n">
        <f aca="false">N(Y974)+$X975</f>
        <v>0</v>
      </c>
      <c r="Z975" s="1" t="n">
        <f aca="false">IF(AND($M975=1,对接源_01水果!$D975="原料入库"),1,0)</f>
        <v>0</v>
      </c>
      <c r="AA975" s="1" t="n">
        <f aca="false">N(AA974)+$Z975</f>
        <v>30</v>
      </c>
      <c r="AB975" s="1" t="n">
        <f aca="false">IF(AND($M975=1,LEFT(对接源_01水果!$D975,4)="原料出库"),1,0)</f>
        <v>0</v>
      </c>
      <c r="AC975" s="1" t="n">
        <f aca="false">N(AC974)+$AB975</f>
        <v>19</v>
      </c>
      <c r="AD975" s="1" t="n">
        <f aca="false">IF(AND($M975=1,LEFT(对接源_01水果!$D975,4)="成品出库"),1,0)</f>
        <v>0</v>
      </c>
      <c r="AE975" s="1" t="n">
        <f aca="false">N(AE974)+$AD975</f>
        <v>38</v>
      </c>
      <c r="AF975" s="1" t="n">
        <f aca="false">IF(AND($N975=1,AND(LEFT(对接源_01水果!$D975,4)="包装物料",N(对接源_01水果!$K975)&lt;&gt;0)),1,0)</f>
        <v>0</v>
      </c>
      <c r="AG975" s="90" t="str">
        <f aca="false">IF(对接源_01水果!$AC975="","",对接源_01水果!$AC975)</f>
        <v/>
      </c>
      <c r="AH975" s="1" t="n">
        <f aca="false">IF(AND($N975=1,AND(LEFT(对接源_01水果!$D975,3)="周转筐",N(对接源_01水果!$K975)&lt;&gt;0)),1,0)</f>
        <v>0</v>
      </c>
      <c r="AI975" s="90" t="n">
        <f aca="false">IF(AG975="",0,IF(MATCH(AG975,$AG$4:$AG$1203,0)=ROW()-3,1,0))</f>
        <v>0</v>
      </c>
      <c r="AJ975" s="90" t="n">
        <f aca="false">N(AJ974)+AI975</f>
        <v>4</v>
      </c>
      <c r="AK975" s="1" t="n">
        <f aca="false">N(AK974)+$AJ975</f>
        <v>2760</v>
      </c>
    </row>
    <row r="976" customFormat="false" ht="13.5" hidden="false" customHeight="false" outlineLevel="0" collapsed="false">
      <c r="A976" s="1" t="str">
        <f aca="false">IF(对接源_01水果!$C976="","",对接源_01水果!$C976)</f>
        <v/>
      </c>
      <c r="B976" s="1" t="n">
        <f aca="false">IF(A976="",0,IF(MATCH(A976,$A$4:$A$2403,0)=ROW()-3,1,0))</f>
        <v>0</v>
      </c>
      <c r="C976" s="1" t="n">
        <f aca="false">N(C975)+B976</f>
        <v>13</v>
      </c>
      <c r="K976" s="1" t="n">
        <f aca="false">IF(OR($K$1="",对接源_01水果!$C976="",对接源_01水果!$C976&lt;&gt;$K$1,对接源_01水果!$B976=""),0,IF(OR(N(对接源_01水果!$B976)&lt;$K$2,N(对接源_01水果!$B976)&gt;$K$3),0,1))</f>
        <v>0</v>
      </c>
      <c r="L976" s="1" t="n">
        <f aca="false">IF(OR($L$1="",对接源_01水果!$C976="",对接源_01水果!$C976&lt;&gt;$L$1,对接源_01水果!$B976=""),0,IF(OR(N(对接源_01水果!$B976)&lt;$L$2,N(对接源_01水果!$B976)&gt;$L$3),0,1))</f>
        <v>0</v>
      </c>
      <c r="M976" s="1" t="n">
        <f aca="false">IF(OR($M$1="",对接源_01水果!$C976="",对接源_01水果!$C976&lt;&gt;$M$1,对接源_01水果!$B976=""),0,IF(OR(N(对接源_01水果!$B976)&lt;$M$2,N(对接源_01水果!$B976)&gt;$M$3),0,1))</f>
        <v>0</v>
      </c>
      <c r="N976" s="1" t="n">
        <f aca="false">IF(OR($N$1="",对接源_01水果!$C976="",对接源_01水果!$C976&lt;&gt;$N$1,对接源_01水果!$B976=""),0,IF(OR(N(对接源_01水果!$B976)&lt;$N$2,N(对接源_01水果!$B976)&gt;$N$3),0,1))</f>
        <v>0</v>
      </c>
      <c r="P976" s="1" t="n">
        <f aca="false">IF(AND($K976=1,AND(对接源_01水果!$X976="公司筐",N(对接源_01水果!$T976)&lt;&gt;0)),1,0)</f>
        <v>0</v>
      </c>
      <c r="Q976" s="1" t="n">
        <f aca="false">N(Q975)+$P976</f>
        <v>3</v>
      </c>
      <c r="R976" s="1" t="n">
        <f aca="false">IF(AND($K976=1,AND(对接源_01水果!$X976="公司筐",N(对接源_01水果!$U976)&lt;&gt;0)),1,0)</f>
        <v>0</v>
      </c>
      <c r="S976" s="1" t="n">
        <f aca="false">N(S975)+$R976</f>
        <v>0</v>
      </c>
      <c r="T976" s="1" t="n">
        <f aca="false">IF(AND($K976=1,AND(对接源_01水果!$X976="公司筐",N(对接源_01水果!$V976)&lt;&gt;0)),1,0)</f>
        <v>0</v>
      </c>
      <c r="U976" s="1" t="n">
        <f aca="false">N(U975)+$T976</f>
        <v>28</v>
      </c>
      <c r="V976" s="1" t="n">
        <f aca="false">IF(AND($L976=1,AND(对接源_01水果!$X976="自备筐",N(对接源_01水果!$V976)&lt;&gt;0)),1,0)</f>
        <v>0</v>
      </c>
      <c r="W976" s="1" t="n">
        <f aca="false">N(W975)+$V976</f>
        <v>7</v>
      </c>
      <c r="X976" s="1" t="n">
        <f aca="false">IF(AND($L976=1,AND(对接源_01水果!$X976="自备筐",N(对接源_01水果!$T976)&lt;&gt;0)),1,0)</f>
        <v>0</v>
      </c>
      <c r="Y976" s="1" t="n">
        <f aca="false">N(Y975)+$X976</f>
        <v>0</v>
      </c>
      <c r="Z976" s="1" t="n">
        <f aca="false">IF(AND($M976=1,对接源_01水果!$D976="原料入库"),1,0)</f>
        <v>0</v>
      </c>
      <c r="AA976" s="1" t="n">
        <f aca="false">N(AA975)+$Z976</f>
        <v>30</v>
      </c>
      <c r="AB976" s="1" t="n">
        <f aca="false">IF(AND($M976=1,LEFT(对接源_01水果!$D976,4)="原料出库"),1,0)</f>
        <v>0</v>
      </c>
      <c r="AC976" s="1" t="n">
        <f aca="false">N(AC975)+$AB976</f>
        <v>19</v>
      </c>
      <c r="AD976" s="1" t="n">
        <f aca="false">IF(AND($M976=1,LEFT(对接源_01水果!$D976,4)="成品出库"),1,0)</f>
        <v>0</v>
      </c>
      <c r="AE976" s="1" t="n">
        <f aca="false">N(AE975)+$AD976</f>
        <v>38</v>
      </c>
      <c r="AF976" s="1" t="n">
        <f aca="false">IF(AND($N976=1,AND(LEFT(对接源_01水果!$D976,4)="包装物料",N(对接源_01水果!$K976)&lt;&gt;0)),1,0)</f>
        <v>0</v>
      </c>
      <c r="AG976" s="90" t="str">
        <f aca="false">IF(对接源_01水果!$AC976="","",对接源_01水果!$AC976)</f>
        <v/>
      </c>
      <c r="AH976" s="1" t="n">
        <f aca="false">IF(AND($N976=1,AND(LEFT(对接源_01水果!$D976,3)="周转筐",N(对接源_01水果!$K976)&lt;&gt;0)),1,0)</f>
        <v>0</v>
      </c>
      <c r="AI976" s="90" t="n">
        <f aca="false">IF(AG976="",0,IF(MATCH(AG976,$AG$4:$AG$1203,0)=ROW()-3,1,0))</f>
        <v>0</v>
      </c>
      <c r="AJ976" s="90" t="n">
        <f aca="false">N(AJ975)+AI976</f>
        <v>4</v>
      </c>
      <c r="AK976" s="1" t="n">
        <f aca="false">N(AK975)+$AJ976</f>
        <v>2764</v>
      </c>
    </row>
    <row r="977" customFormat="false" ht="13.5" hidden="false" customHeight="false" outlineLevel="0" collapsed="false">
      <c r="A977" s="1" t="str">
        <f aca="false">IF(对接源_01水果!$C977="","",对接源_01水果!$C977)</f>
        <v/>
      </c>
      <c r="B977" s="1" t="n">
        <f aca="false">IF(A977="",0,IF(MATCH(A977,$A$4:$A$2403,0)=ROW()-3,1,0))</f>
        <v>0</v>
      </c>
      <c r="C977" s="1" t="n">
        <f aca="false">N(C976)+B977</f>
        <v>13</v>
      </c>
      <c r="K977" s="1" t="n">
        <f aca="false">IF(OR($K$1="",对接源_01水果!$C977="",对接源_01水果!$C977&lt;&gt;$K$1,对接源_01水果!$B977=""),0,IF(OR(N(对接源_01水果!$B977)&lt;$K$2,N(对接源_01水果!$B977)&gt;$K$3),0,1))</f>
        <v>0</v>
      </c>
      <c r="L977" s="1" t="n">
        <f aca="false">IF(OR($L$1="",对接源_01水果!$C977="",对接源_01水果!$C977&lt;&gt;$L$1,对接源_01水果!$B977=""),0,IF(OR(N(对接源_01水果!$B977)&lt;$L$2,N(对接源_01水果!$B977)&gt;$L$3),0,1))</f>
        <v>0</v>
      </c>
      <c r="M977" s="1" t="n">
        <f aca="false">IF(OR($M$1="",对接源_01水果!$C977="",对接源_01水果!$C977&lt;&gt;$M$1,对接源_01水果!$B977=""),0,IF(OR(N(对接源_01水果!$B977)&lt;$M$2,N(对接源_01水果!$B977)&gt;$M$3),0,1))</f>
        <v>0</v>
      </c>
      <c r="N977" s="1" t="n">
        <f aca="false">IF(OR($N$1="",对接源_01水果!$C977="",对接源_01水果!$C977&lt;&gt;$N$1,对接源_01水果!$B977=""),0,IF(OR(N(对接源_01水果!$B977)&lt;$N$2,N(对接源_01水果!$B977)&gt;$N$3),0,1))</f>
        <v>0</v>
      </c>
      <c r="P977" s="1" t="n">
        <f aca="false">IF(AND($K977=1,AND(对接源_01水果!$X977="公司筐",N(对接源_01水果!$T977)&lt;&gt;0)),1,0)</f>
        <v>0</v>
      </c>
      <c r="Q977" s="1" t="n">
        <f aca="false">N(Q976)+$P977</f>
        <v>3</v>
      </c>
      <c r="R977" s="1" t="n">
        <f aca="false">IF(AND($K977=1,AND(对接源_01水果!$X977="公司筐",N(对接源_01水果!$U977)&lt;&gt;0)),1,0)</f>
        <v>0</v>
      </c>
      <c r="S977" s="1" t="n">
        <f aca="false">N(S976)+$R977</f>
        <v>0</v>
      </c>
      <c r="T977" s="1" t="n">
        <f aca="false">IF(AND($K977=1,AND(对接源_01水果!$X977="公司筐",N(对接源_01水果!$V977)&lt;&gt;0)),1,0)</f>
        <v>0</v>
      </c>
      <c r="U977" s="1" t="n">
        <f aca="false">N(U976)+$T977</f>
        <v>28</v>
      </c>
      <c r="V977" s="1" t="n">
        <f aca="false">IF(AND($L977=1,AND(对接源_01水果!$X977="自备筐",N(对接源_01水果!$V977)&lt;&gt;0)),1,0)</f>
        <v>0</v>
      </c>
      <c r="W977" s="1" t="n">
        <f aca="false">N(W976)+$V977</f>
        <v>7</v>
      </c>
      <c r="X977" s="1" t="n">
        <f aca="false">IF(AND($L977=1,AND(对接源_01水果!$X977="自备筐",N(对接源_01水果!$T977)&lt;&gt;0)),1,0)</f>
        <v>0</v>
      </c>
      <c r="Y977" s="1" t="n">
        <f aca="false">N(Y976)+$X977</f>
        <v>0</v>
      </c>
      <c r="Z977" s="1" t="n">
        <f aca="false">IF(AND($M977=1,对接源_01水果!$D977="原料入库"),1,0)</f>
        <v>0</v>
      </c>
      <c r="AA977" s="1" t="n">
        <f aca="false">N(AA976)+$Z977</f>
        <v>30</v>
      </c>
      <c r="AB977" s="1" t="n">
        <f aca="false">IF(AND($M977=1,LEFT(对接源_01水果!$D977,4)="原料出库"),1,0)</f>
        <v>0</v>
      </c>
      <c r="AC977" s="1" t="n">
        <f aca="false">N(AC976)+$AB977</f>
        <v>19</v>
      </c>
      <c r="AD977" s="1" t="n">
        <f aca="false">IF(AND($M977=1,LEFT(对接源_01水果!$D977,4)="成品出库"),1,0)</f>
        <v>0</v>
      </c>
      <c r="AE977" s="1" t="n">
        <f aca="false">N(AE976)+$AD977</f>
        <v>38</v>
      </c>
      <c r="AF977" s="1" t="n">
        <f aca="false">IF(AND($N977=1,AND(LEFT(对接源_01水果!$D977,4)="包装物料",N(对接源_01水果!$K977)&lt;&gt;0)),1,0)</f>
        <v>0</v>
      </c>
      <c r="AG977" s="90" t="str">
        <f aca="false">IF(对接源_01水果!$AC977="","",对接源_01水果!$AC977)</f>
        <v/>
      </c>
      <c r="AH977" s="1" t="n">
        <f aca="false">IF(AND($N977=1,AND(LEFT(对接源_01水果!$D977,3)="周转筐",N(对接源_01水果!$K977)&lt;&gt;0)),1,0)</f>
        <v>0</v>
      </c>
      <c r="AI977" s="90" t="n">
        <f aca="false">IF(AG977="",0,IF(MATCH(AG977,$AG$4:$AG$1203,0)=ROW()-3,1,0))</f>
        <v>0</v>
      </c>
      <c r="AJ977" s="90" t="n">
        <f aca="false">N(AJ976)+AI977</f>
        <v>4</v>
      </c>
      <c r="AK977" s="1" t="n">
        <f aca="false">N(AK976)+$AJ977</f>
        <v>2768</v>
      </c>
    </row>
    <row r="978" customFormat="false" ht="13.5" hidden="false" customHeight="false" outlineLevel="0" collapsed="false">
      <c r="A978" s="1" t="str">
        <f aca="false">IF(对接源_01水果!$C978="","",对接源_01水果!$C978)</f>
        <v/>
      </c>
      <c r="B978" s="1" t="n">
        <f aca="false">IF(A978="",0,IF(MATCH(A978,$A$4:$A$2403,0)=ROW()-3,1,0))</f>
        <v>0</v>
      </c>
      <c r="C978" s="1" t="n">
        <f aca="false">N(C977)+B978</f>
        <v>13</v>
      </c>
      <c r="K978" s="1" t="n">
        <f aca="false">IF(OR($K$1="",对接源_01水果!$C978="",对接源_01水果!$C978&lt;&gt;$K$1,对接源_01水果!$B978=""),0,IF(OR(N(对接源_01水果!$B978)&lt;$K$2,N(对接源_01水果!$B978)&gt;$K$3),0,1))</f>
        <v>0</v>
      </c>
      <c r="L978" s="1" t="n">
        <f aca="false">IF(OR($L$1="",对接源_01水果!$C978="",对接源_01水果!$C978&lt;&gt;$L$1,对接源_01水果!$B978=""),0,IF(OR(N(对接源_01水果!$B978)&lt;$L$2,N(对接源_01水果!$B978)&gt;$L$3),0,1))</f>
        <v>0</v>
      </c>
      <c r="M978" s="1" t="n">
        <f aca="false">IF(OR($M$1="",对接源_01水果!$C978="",对接源_01水果!$C978&lt;&gt;$M$1,对接源_01水果!$B978=""),0,IF(OR(N(对接源_01水果!$B978)&lt;$M$2,N(对接源_01水果!$B978)&gt;$M$3),0,1))</f>
        <v>0</v>
      </c>
      <c r="N978" s="1" t="n">
        <f aca="false">IF(OR($N$1="",对接源_01水果!$C978="",对接源_01水果!$C978&lt;&gt;$N$1,对接源_01水果!$B978=""),0,IF(OR(N(对接源_01水果!$B978)&lt;$N$2,N(对接源_01水果!$B978)&gt;$N$3),0,1))</f>
        <v>0</v>
      </c>
      <c r="P978" s="1" t="n">
        <f aca="false">IF(AND($K978=1,AND(对接源_01水果!$X978="公司筐",N(对接源_01水果!$T978)&lt;&gt;0)),1,0)</f>
        <v>0</v>
      </c>
      <c r="Q978" s="1" t="n">
        <f aca="false">N(Q977)+$P978</f>
        <v>3</v>
      </c>
      <c r="R978" s="1" t="n">
        <f aca="false">IF(AND($K978=1,AND(对接源_01水果!$X978="公司筐",N(对接源_01水果!$U978)&lt;&gt;0)),1,0)</f>
        <v>0</v>
      </c>
      <c r="S978" s="1" t="n">
        <f aca="false">N(S977)+$R978</f>
        <v>0</v>
      </c>
      <c r="T978" s="1" t="n">
        <f aca="false">IF(AND($K978=1,AND(对接源_01水果!$X978="公司筐",N(对接源_01水果!$V978)&lt;&gt;0)),1,0)</f>
        <v>0</v>
      </c>
      <c r="U978" s="1" t="n">
        <f aca="false">N(U977)+$T978</f>
        <v>28</v>
      </c>
      <c r="V978" s="1" t="n">
        <f aca="false">IF(AND($L978=1,AND(对接源_01水果!$X978="自备筐",N(对接源_01水果!$V978)&lt;&gt;0)),1,0)</f>
        <v>0</v>
      </c>
      <c r="W978" s="1" t="n">
        <f aca="false">N(W977)+$V978</f>
        <v>7</v>
      </c>
      <c r="X978" s="1" t="n">
        <f aca="false">IF(AND($L978=1,AND(对接源_01水果!$X978="自备筐",N(对接源_01水果!$T978)&lt;&gt;0)),1,0)</f>
        <v>0</v>
      </c>
      <c r="Y978" s="1" t="n">
        <f aca="false">N(Y977)+$X978</f>
        <v>0</v>
      </c>
      <c r="Z978" s="1" t="n">
        <f aca="false">IF(AND($M978=1,对接源_01水果!$D978="原料入库"),1,0)</f>
        <v>0</v>
      </c>
      <c r="AA978" s="1" t="n">
        <f aca="false">N(AA977)+$Z978</f>
        <v>30</v>
      </c>
      <c r="AB978" s="1" t="n">
        <f aca="false">IF(AND($M978=1,LEFT(对接源_01水果!$D978,4)="原料出库"),1,0)</f>
        <v>0</v>
      </c>
      <c r="AC978" s="1" t="n">
        <f aca="false">N(AC977)+$AB978</f>
        <v>19</v>
      </c>
      <c r="AD978" s="1" t="n">
        <f aca="false">IF(AND($M978=1,LEFT(对接源_01水果!$D978,4)="成品出库"),1,0)</f>
        <v>0</v>
      </c>
      <c r="AE978" s="1" t="n">
        <f aca="false">N(AE977)+$AD978</f>
        <v>38</v>
      </c>
      <c r="AF978" s="1" t="n">
        <f aca="false">IF(AND($N978=1,AND(LEFT(对接源_01水果!$D978,4)="包装物料",N(对接源_01水果!$K978)&lt;&gt;0)),1,0)</f>
        <v>0</v>
      </c>
      <c r="AG978" s="90" t="str">
        <f aca="false">IF(对接源_01水果!$AC978="","",对接源_01水果!$AC978)</f>
        <v/>
      </c>
      <c r="AH978" s="1" t="n">
        <f aca="false">IF(AND($N978=1,AND(LEFT(对接源_01水果!$D978,3)="周转筐",N(对接源_01水果!$K978)&lt;&gt;0)),1,0)</f>
        <v>0</v>
      </c>
      <c r="AI978" s="90" t="n">
        <f aca="false">IF(AG978="",0,IF(MATCH(AG978,$AG$4:$AG$1203,0)=ROW()-3,1,0))</f>
        <v>0</v>
      </c>
      <c r="AJ978" s="90" t="n">
        <f aca="false">N(AJ977)+AI978</f>
        <v>4</v>
      </c>
      <c r="AK978" s="1" t="n">
        <f aca="false">N(AK977)+$AJ978</f>
        <v>2772</v>
      </c>
    </row>
    <row r="979" customFormat="false" ht="13.5" hidden="false" customHeight="false" outlineLevel="0" collapsed="false">
      <c r="A979" s="1" t="str">
        <f aca="false">IF(对接源_01水果!$C979="","",对接源_01水果!$C979)</f>
        <v/>
      </c>
      <c r="B979" s="1" t="n">
        <f aca="false">IF(A979="",0,IF(MATCH(A979,$A$4:$A$2403,0)=ROW()-3,1,0))</f>
        <v>0</v>
      </c>
      <c r="C979" s="1" t="n">
        <f aca="false">N(C978)+B979</f>
        <v>13</v>
      </c>
      <c r="K979" s="1" t="n">
        <f aca="false">IF(OR($K$1="",对接源_01水果!$C979="",对接源_01水果!$C979&lt;&gt;$K$1,对接源_01水果!$B979=""),0,IF(OR(N(对接源_01水果!$B979)&lt;$K$2,N(对接源_01水果!$B979)&gt;$K$3),0,1))</f>
        <v>0</v>
      </c>
      <c r="L979" s="1" t="n">
        <f aca="false">IF(OR($L$1="",对接源_01水果!$C979="",对接源_01水果!$C979&lt;&gt;$L$1,对接源_01水果!$B979=""),0,IF(OR(N(对接源_01水果!$B979)&lt;$L$2,N(对接源_01水果!$B979)&gt;$L$3),0,1))</f>
        <v>0</v>
      </c>
      <c r="M979" s="1" t="n">
        <f aca="false">IF(OR($M$1="",对接源_01水果!$C979="",对接源_01水果!$C979&lt;&gt;$M$1,对接源_01水果!$B979=""),0,IF(OR(N(对接源_01水果!$B979)&lt;$M$2,N(对接源_01水果!$B979)&gt;$M$3),0,1))</f>
        <v>0</v>
      </c>
      <c r="N979" s="1" t="n">
        <f aca="false">IF(OR($N$1="",对接源_01水果!$C979="",对接源_01水果!$C979&lt;&gt;$N$1,对接源_01水果!$B979=""),0,IF(OR(N(对接源_01水果!$B979)&lt;$N$2,N(对接源_01水果!$B979)&gt;$N$3),0,1))</f>
        <v>0</v>
      </c>
      <c r="P979" s="1" t="n">
        <f aca="false">IF(AND($K979=1,AND(对接源_01水果!$X979="公司筐",N(对接源_01水果!$T979)&lt;&gt;0)),1,0)</f>
        <v>0</v>
      </c>
      <c r="Q979" s="1" t="n">
        <f aca="false">N(Q978)+$P979</f>
        <v>3</v>
      </c>
      <c r="R979" s="1" t="n">
        <f aca="false">IF(AND($K979=1,AND(对接源_01水果!$X979="公司筐",N(对接源_01水果!$U979)&lt;&gt;0)),1,0)</f>
        <v>0</v>
      </c>
      <c r="S979" s="1" t="n">
        <f aca="false">N(S978)+$R979</f>
        <v>0</v>
      </c>
      <c r="T979" s="1" t="n">
        <f aca="false">IF(AND($K979=1,AND(对接源_01水果!$X979="公司筐",N(对接源_01水果!$V979)&lt;&gt;0)),1,0)</f>
        <v>0</v>
      </c>
      <c r="U979" s="1" t="n">
        <f aca="false">N(U978)+$T979</f>
        <v>28</v>
      </c>
      <c r="V979" s="1" t="n">
        <f aca="false">IF(AND($L979=1,AND(对接源_01水果!$X979="自备筐",N(对接源_01水果!$V979)&lt;&gt;0)),1,0)</f>
        <v>0</v>
      </c>
      <c r="W979" s="1" t="n">
        <f aca="false">N(W978)+$V979</f>
        <v>7</v>
      </c>
      <c r="X979" s="1" t="n">
        <f aca="false">IF(AND($L979=1,AND(对接源_01水果!$X979="自备筐",N(对接源_01水果!$T979)&lt;&gt;0)),1,0)</f>
        <v>0</v>
      </c>
      <c r="Y979" s="1" t="n">
        <f aca="false">N(Y978)+$X979</f>
        <v>0</v>
      </c>
      <c r="Z979" s="1" t="n">
        <f aca="false">IF(AND($M979=1,对接源_01水果!$D979="原料入库"),1,0)</f>
        <v>0</v>
      </c>
      <c r="AA979" s="1" t="n">
        <f aca="false">N(AA978)+$Z979</f>
        <v>30</v>
      </c>
      <c r="AB979" s="1" t="n">
        <f aca="false">IF(AND($M979=1,LEFT(对接源_01水果!$D979,4)="原料出库"),1,0)</f>
        <v>0</v>
      </c>
      <c r="AC979" s="1" t="n">
        <f aca="false">N(AC978)+$AB979</f>
        <v>19</v>
      </c>
      <c r="AD979" s="1" t="n">
        <f aca="false">IF(AND($M979=1,LEFT(对接源_01水果!$D979,4)="成品出库"),1,0)</f>
        <v>0</v>
      </c>
      <c r="AE979" s="1" t="n">
        <f aca="false">N(AE978)+$AD979</f>
        <v>38</v>
      </c>
      <c r="AF979" s="1" t="n">
        <f aca="false">IF(AND($N979=1,AND(LEFT(对接源_01水果!$D979,4)="包装物料",N(对接源_01水果!$K979)&lt;&gt;0)),1,0)</f>
        <v>0</v>
      </c>
      <c r="AG979" s="90" t="str">
        <f aca="false">IF(对接源_01水果!$AC979="","",对接源_01水果!$AC979)</f>
        <v/>
      </c>
      <c r="AH979" s="1" t="n">
        <f aca="false">IF(AND($N979=1,AND(LEFT(对接源_01水果!$D979,3)="周转筐",N(对接源_01水果!$K979)&lt;&gt;0)),1,0)</f>
        <v>0</v>
      </c>
      <c r="AI979" s="90" t="n">
        <f aca="false">IF(AG979="",0,IF(MATCH(AG979,$AG$4:$AG$1203,0)=ROW()-3,1,0))</f>
        <v>0</v>
      </c>
      <c r="AJ979" s="90" t="n">
        <f aca="false">N(AJ978)+AI979</f>
        <v>4</v>
      </c>
      <c r="AK979" s="1" t="n">
        <f aca="false">N(AK978)+$AJ979</f>
        <v>2776</v>
      </c>
    </row>
    <row r="980" customFormat="false" ht="13.5" hidden="false" customHeight="false" outlineLevel="0" collapsed="false">
      <c r="A980" s="1" t="str">
        <f aca="false">IF(对接源_01水果!$C980="","",对接源_01水果!$C980)</f>
        <v/>
      </c>
      <c r="B980" s="1" t="n">
        <f aca="false">IF(A980="",0,IF(MATCH(A980,$A$4:$A$2403,0)=ROW()-3,1,0))</f>
        <v>0</v>
      </c>
      <c r="C980" s="1" t="n">
        <f aca="false">N(C979)+B980</f>
        <v>13</v>
      </c>
      <c r="K980" s="1" t="n">
        <f aca="false">IF(OR($K$1="",对接源_01水果!$C980="",对接源_01水果!$C980&lt;&gt;$K$1,对接源_01水果!$B980=""),0,IF(OR(N(对接源_01水果!$B980)&lt;$K$2,N(对接源_01水果!$B980)&gt;$K$3),0,1))</f>
        <v>0</v>
      </c>
      <c r="L980" s="1" t="n">
        <f aca="false">IF(OR($L$1="",对接源_01水果!$C980="",对接源_01水果!$C980&lt;&gt;$L$1,对接源_01水果!$B980=""),0,IF(OR(N(对接源_01水果!$B980)&lt;$L$2,N(对接源_01水果!$B980)&gt;$L$3),0,1))</f>
        <v>0</v>
      </c>
      <c r="M980" s="1" t="n">
        <f aca="false">IF(OR($M$1="",对接源_01水果!$C980="",对接源_01水果!$C980&lt;&gt;$M$1,对接源_01水果!$B980=""),0,IF(OR(N(对接源_01水果!$B980)&lt;$M$2,N(对接源_01水果!$B980)&gt;$M$3),0,1))</f>
        <v>0</v>
      </c>
      <c r="N980" s="1" t="n">
        <f aca="false">IF(OR($N$1="",对接源_01水果!$C980="",对接源_01水果!$C980&lt;&gt;$N$1,对接源_01水果!$B980=""),0,IF(OR(N(对接源_01水果!$B980)&lt;$N$2,N(对接源_01水果!$B980)&gt;$N$3),0,1))</f>
        <v>0</v>
      </c>
      <c r="P980" s="1" t="n">
        <f aca="false">IF(AND($K980=1,AND(对接源_01水果!$X980="公司筐",N(对接源_01水果!$T980)&lt;&gt;0)),1,0)</f>
        <v>0</v>
      </c>
      <c r="Q980" s="1" t="n">
        <f aca="false">N(Q979)+$P980</f>
        <v>3</v>
      </c>
      <c r="R980" s="1" t="n">
        <f aca="false">IF(AND($K980=1,AND(对接源_01水果!$X980="公司筐",N(对接源_01水果!$U980)&lt;&gt;0)),1,0)</f>
        <v>0</v>
      </c>
      <c r="S980" s="1" t="n">
        <f aca="false">N(S979)+$R980</f>
        <v>0</v>
      </c>
      <c r="T980" s="1" t="n">
        <f aca="false">IF(AND($K980=1,AND(对接源_01水果!$X980="公司筐",N(对接源_01水果!$V980)&lt;&gt;0)),1,0)</f>
        <v>0</v>
      </c>
      <c r="U980" s="1" t="n">
        <f aca="false">N(U979)+$T980</f>
        <v>28</v>
      </c>
      <c r="V980" s="1" t="n">
        <f aca="false">IF(AND($L980=1,AND(对接源_01水果!$X980="自备筐",N(对接源_01水果!$V980)&lt;&gt;0)),1,0)</f>
        <v>0</v>
      </c>
      <c r="W980" s="1" t="n">
        <f aca="false">N(W979)+$V980</f>
        <v>7</v>
      </c>
      <c r="X980" s="1" t="n">
        <f aca="false">IF(AND($L980=1,AND(对接源_01水果!$X980="自备筐",N(对接源_01水果!$T980)&lt;&gt;0)),1,0)</f>
        <v>0</v>
      </c>
      <c r="Y980" s="1" t="n">
        <f aca="false">N(Y979)+$X980</f>
        <v>0</v>
      </c>
      <c r="Z980" s="1" t="n">
        <f aca="false">IF(AND($M980=1,对接源_01水果!$D980="原料入库"),1,0)</f>
        <v>0</v>
      </c>
      <c r="AA980" s="1" t="n">
        <f aca="false">N(AA979)+$Z980</f>
        <v>30</v>
      </c>
      <c r="AB980" s="1" t="n">
        <f aca="false">IF(AND($M980=1,LEFT(对接源_01水果!$D980,4)="原料出库"),1,0)</f>
        <v>0</v>
      </c>
      <c r="AC980" s="1" t="n">
        <f aca="false">N(AC979)+$AB980</f>
        <v>19</v>
      </c>
      <c r="AD980" s="1" t="n">
        <f aca="false">IF(AND($M980=1,LEFT(对接源_01水果!$D980,4)="成品出库"),1,0)</f>
        <v>0</v>
      </c>
      <c r="AE980" s="1" t="n">
        <f aca="false">N(AE979)+$AD980</f>
        <v>38</v>
      </c>
      <c r="AF980" s="1" t="n">
        <f aca="false">IF(AND($N980=1,AND(LEFT(对接源_01水果!$D980,4)="包装物料",N(对接源_01水果!$K980)&lt;&gt;0)),1,0)</f>
        <v>0</v>
      </c>
      <c r="AG980" s="90" t="str">
        <f aca="false">IF(对接源_01水果!$AC980="","",对接源_01水果!$AC980)</f>
        <v/>
      </c>
      <c r="AH980" s="1" t="n">
        <f aca="false">IF(AND($N980=1,AND(LEFT(对接源_01水果!$D980,3)="周转筐",N(对接源_01水果!$K980)&lt;&gt;0)),1,0)</f>
        <v>0</v>
      </c>
      <c r="AI980" s="90" t="n">
        <f aca="false">IF(AG980="",0,IF(MATCH(AG980,$AG$4:$AG$1203,0)=ROW()-3,1,0))</f>
        <v>0</v>
      </c>
      <c r="AJ980" s="90" t="n">
        <f aca="false">N(AJ979)+AI980</f>
        <v>4</v>
      </c>
      <c r="AK980" s="1" t="n">
        <f aca="false">N(AK979)+$AJ980</f>
        <v>2780</v>
      </c>
    </row>
    <row r="981" customFormat="false" ht="13.5" hidden="false" customHeight="false" outlineLevel="0" collapsed="false">
      <c r="A981" s="1" t="str">
        <f aca="false">IF(对接源_01水果!$C981="","",对接源_01水果!$C981)</f>
        <v/>
      </c>
      <c r="B981" s="1" t="n">
        <f aca="false">IF(A981="",0,IF(MATCH(A981,$A$4:$A$2403,0)=ROW()-3,1,0))</f>
        <v>0</v>
      </c>
      <c r="C981" s="1" t="n">
        <f aca="false">N(C980)+B981</f>
        <v>13</v>
      </c>
      <c r="K981" s="1" t="n">
        <f aca="false">IF(OR($K$1="",对接源_01水果!$C981="",对接源_01水果!$C981&lt;&gt;$K$1,对接源_01水果!$B981=""),0,IF(OR(N(对接源_01水果!$B981)&lt;$K$2,N(对接源_01水果!$B981)&gt;$K$3),0,1))</f>
        <v>0</v>
      </c>
      <c r="L981" s="1" t="n">
        <f aca="false">IF(OR($L$1="",对接源_01水果!$C981="",对接源_01水果!$C981&lt;&gt;$L$1,对接源_01水果!$B981=""),0,IF(OR(N(对接源_01水果!$B981)&lt;$L$2,N(对接源_01水果!$B981)&gt;$L$3),0,1))</f>
        <v>0</v>
      </c>
      <c r="M981" s="1" t="n">
        <f aca="false">IF(OR($M$1="",对接源_01水果!$C981="",对接源_01水果!$C981&lt;&gt;$M$1,对接源_01水果!$B981=""),0,IF(OR(N(对接源_01水果!$B981)&lt;$M$2,N(对接源_01水果!$B981)&gt;$M$3),0,1))</f>
        <v>0</v>
      </c>
      <c r="N981" s="1" t="n">
        <f aca="false">IF(OR($N$1="",对接源_01水果!$C981="",对接源_01水果!$C981&lt;&gt;$N$1,对接源_01水果!$B981=""),0,IF(OR(N(对接源_01水果!$B981)&lt;$N$2,N(对接源_01水果!$B981)&gt;$N$3),0,1))</f>
        <v>0</v>
      </c>
      <c r="P981" s="1" t="n">
        <f aca="false">IF(AND($K981=1,AND(对接源_01水果!$X981="公司筐",N(对接源_01水果!$T981)&lt;&gt;0)),1,0)</f>
        <v>0</v>
      </c>
      <c r="Q981" s="1" t="n">
        <f aca="false">N(Q980)+$P981</f>
        <v>3</v>
      </c>
      <c r="R981" s="1" t="n">
        <f aca="false">IF(AND($K981=1,AND(对接源_01水果!$X981="公司筐",N(对接源_01水果!$U981)&lt;&gt;0)),1,0)</f>
        <v>0</v>
      </c>
      <c r="S981" s="1" t="n">
        <f aca="false">N(S980)+$R981</f>
        <v>0</v>
      </c>
      <c r="T981" s="1" t="n">
        <f aca="false">IF(AND($K981=1,AND(对接源_01水果!$X981="公司筐",N(对接源_01水果!$V981)&lt;&gt;0)),1,0)</f>
        <v>0</v>
      </c>
      <c r="U981" s="1" t="n">
        <f aca="false">N(U980)+$T981</f>
        <v>28</v>
      </c>
      <c r="V981" s="1" t="n">
        <f aca="false">IF(AND($L981=1,AND(对接源_01水果!$X981="自备筐",N(对接源_01水果!$V981)&lt;&gt;0)),1,0)</f>
        <v>0</v>
      </c>
      <c r="W981" s="1" t="n">
        <f aca="false">N(W980)+$V981</f>
        <v>7</v>
      </c>
      <c r="X981" s="1" t="n">
        <f aca="false">IF(AND($L981=1,AND(对接源_01水果!$X981="自备筐",N(对接源_01水果!$T981)&lt;&gt;0)),1,0)</f>
        <v>0</v>
      </c>
      <c r="Y981" s="1" t="n">
        <f aca="false">N(Y980)+$X981</f>
        <v>0</v>
      </c>
      <c r="Z981" s="1" t="n">
        <f aca="false">IF(AND($M981=1,对接源_01水果!$D981="原料入库"),1,0)</f>
        <v>0</v>
      </c>
      <c r="AA981" s="1" t="n">
        <f aca="false">N(AA980)+$Z981</f>
        <v>30</v>
      </c>
      <c r="AB981" s="1" t="n">
        <f aca="false">IF(AND($M981=1,LEFT(对接源_01水果!$D981,4)="原料出库"),1,0)</f>
        <v>0</v>
      </c>
      <c r="AC981" s="1" t="n">
        <f aca="false">N(AC980)+$AB981</f>
        <v>19</v>
      </c>
      <c r="AD981" s="1" t="n">
        <f aca="false">IF(AND($M981=1,LEFT(对接源_01水果!$D981,4)="成品出库"),1,0)</f>
        <v>0</v>
      </c>
      <c r="AE981" s="1" t="n">
        <f aca="false">N(AE980)+$AD981</f>
        <v>38</v>
      </c>
      <c r="AF981" s="1" t="n">
        <f aca="false">IF(AND($N981=1,AND(LEFT(对接源_01水果!$D981,4)="包装物料",N(对接源_01水果!$K981)&lt;&gt;0)),1,0)</f>
        <v>0</v>
      </c>
      <c r="AG981" s="90" t="str">
        <f aca="false">IF(对接源_01水果!$AC981="","",对接源_01水果!$AC981)</f>
        <v/>
      </c>
      <c r="AH981" s="1" t="n">
        <f aca="false">IF(AND($N981=1,AND(LEFT(对接源_01水果!$D981,3)="周转筐",N(对接源_01水果!$K981)&lt;&gt;0)),1,0)</f>
        <v>0</v>
      </c>
      <c r="AI981" s="90" t="n">
        <f aca="false">IF(AG981="",0,IF(MATCH(AG981,$AG$4:$AG$1203,0)=ROW()-3,1,0))</f>
        <v>0</v>
      </c>
      <c r="AJ981" s="90" t="n">
        <f aca="false">N(AJ980)+AI981</f>
        <v>4</v>
      </c>
      <c r="AK981" s="1" t="n">
        <f aca="false">N(AK980)+$AJ981</f>
        <v>2784</v>
      </c>
    </row>
    <row r="982" customFormat="false" ht="13.5" hidden="false" customHeight="false" outlineLevel="0" collapsed="false">
      <c r="A982" s="1" t="str">
        <f aca="false">IF(对接源_01水果!$C982="","",对接源_01水果!$C982)</f>
        <v/>
      </c>
      <c r="B982" s="1" t="n">
        <f aca="false">IF(A982="",0,IF(MATCH(A982,$A$4:$A$2403,0)=ROW()-3,1,0))</f>
        <v>0</v>
      </c>
      <c r="C982" s="1" t="n">
        <f aca="false">N(C981)+B982</f>
        <v>13</v>
      </c>
      <c r="K982" s="1" t="n">
        <f aca="false">IF(OR($K$1="",对接源_01水果!$C982="",对接源_01水果!$C982&lt;&gt;$K$1,对接源_01水果!$B982=""),0,IF(OR(N(对接源_01水果!$B982)&lt;$K$2,N(对接源_01水果!$B982)&gt;$K$3),0,1))</f>
        <v>0</v>
      </c>
      <c r="L982" s="1" t="n">
        <f aca="false">IF(OR($L$1="",对接源_01水果!$C982="",对接源_01水果!$C982&lt;&gt;$L$1,对接源_01水果!$B982=""),0,IF(OR(N(对接源_01水果!$B982)&lt;$L$2,N(对接源_01水果!$B982)&gt;$L$3),0,1))</f>
        <v>0</v>
      </c>
      <c r="M982" s="1" t="n">
        <f aca="false">IF(OR($M$1="",对接源_01水果!$C982="",对接源_01水果!$C982&lt;&gt;$M$1,对接源_01水果!$B982=""),0,IF(OR(N(对接源_01水果!$B982)&lt;$M$2,N(对接源_01水果!$B982)&gt;$M$3),0,1))</f>
        <v>0</v>
      </c>
      <c r="N982" s="1" t="n">
        <f aca="false">IF(OR($N$1="",对接源_01水果!$C982="",对接源_01水果!$C982&lt;&gt;$N$1,对接源_01水果!$B982=""),0,IF(OR(N(对接源_01水果!$B982)&lt;$N$2,N(对接源_01水果!$B982)&gt;$N$3),0,1))</f>
        <v>0</v>
      </c>
      <c r="P982" s="1" t="n">
        <f aca="false">IF(AND($K982=1,AND(对接源_01水果!$X982="公司筐",N(对接源_01水果!$T982)&lt;&gt;0)),1,0)</f>
        <v>0</v>
      </c>
      <c r="Q982" s="1" t="n">
        <f aca="false">N(Q981)+$P982</f>
        <v>3</v>
      </c>
      <c r="R982" s="1" t="n">
        <f aca="false">IF(AND($K982=1,AND(对接源_01水果!$X982="公司筐",N(对接源_01水果!$U982)&lt;&gt;0)),1,0)</f>
        <v>0</v>
      </c>
      <c r="S982" s="1" t="n">
        <f aca="false">N(S981)+$R982</f>
        <v>0</v>
      </c>
      <c r="T982" s="1" t="n">
        <f aca="false">IF(AND($K982=1,AND(对接源_01水果!$X982="公司筐",N(对接源_01水果!$V982)&lt;&gt;0)),1,0)</f>
        <v>0</v>
      </c>
      <c r="U982" s="1" t="n">
        <f aca="false">N(U981)+$T982</f>
        <v>28</v>
      </c>
      <c r="V982" s="1" t="n">
        <f aca="false">IF(AND($L982=1,AND(对接源_01水果!$X982="自备筐",N(对接源_01水果!$V982)&lt;&gt;0)),1,0)</f>
        <v>0</v>
      </c>
      <c r="W982" s="1" t="n">
        <f aca="false">N(W981)+$V982</f>
        <v>7</v>
      </c>
      <c r="X982" s="1" t="n">
        <f aca="false">IF(AND($L982=1,AND(对接源_01水果!$X982="自备筐",N(对接源_01水果!$T982)&lt;&gt;0)),1,0)</f>
        <v>0</v>
      </c>
      <c r="Y982" s="1" t="n">
        <f aca="false">N(Y981)+$X982</f>
        <v>0</v>
      </c>
      <c r="Z982" s="1" t="n">
        <f aca="false">IF(AND($M982=1,对接源_01水果!$D982="原料入库"),1,0)</f>
        <v>0</v>
      </c>
      <c r="AA982" s="1" t="n">
        <f aca="false">N(AA981)+$Z982</f>
        <v>30</v>
      </c>
      <c r="AB982" s="1" t="n">
        <f aca="false">IF(AND($M982=1,LEFT(对接源_01水果!$D982,4)="原料出库"),1,0)</f>
        <v>0</v>
      </c>
      <c r="AC982" s="1" t="n">
        <f aca="false">N(AC981)+$AB982</f>
        <v>19</v>
      </c>
      <c r="AD982" s="1" t="n">
        <f aca="false">IF(AND($M982=1,LEFT(对接源_01水果!$D982,4)="成品出库"),1,0)</f>
        <v>0</v>
      </c>
      <c r="AE982" s="1" t="n">
        <f aca="false">N(AE981)+$AD982</f>
        <v>38</v>
      </c>
      <c r="AF982" s="1" t="n">
        <f aca="false">IF(AND($N982=1,AND(LEFT(对接源_01水果!$D982,4)="包装物料",N(对接源_01水果!$K982)&lt;&gt;0)),1,0)</f>
        <v>0</v>
      </c>
      <c r="AG982" s="90" t="str">
        <f aca="false">IF(对接源_01水果!$AC982="","",对接源_01水果!$AC982)</f>
        <v/>
      </c>
      <c r="AH982" s="1" t="n">
        <f aca="false">IF(AND($N982=1,AND(LEFT(对接源_01水果!$D982,3)="周转筐",N(对接源_01水果!$K982)&lt;&gt;0)),1,0)</f>
        <v>0</v>
      </c>
      <c r="AI982" s="90" t="n">
        <f aca="false">IF(AG982="",0,IF(MATCH(AG982,$AG$4:$AG$1203,0)=ROW()-3,1,0))</f>
        <v>0</v>
      </c>
      <c r="AJ982" s="90" t="n">
        <f aca="false">N(AJ981)+AI982</f>
        <v>4</v>
      </c>
      <c r="AK982" s="1" t="n">
        <f aca="false">N(AK981)+$AJ982</f>
        <v>2788</v>
      </c>
    </row>
    <row r="983" customFormat="false" ht="13.5" hidden="false" customHeight="false" outlineLevel="0" collapsed="false">
      <c r="A983" s="1" t="str">
        <f aca="false">IF(对接源_01水果!$C983="","",对接源_01水果!$C983)</f>
        <v/>
      </c>
      <c r="B983" s="1" t="n">
        <f aca="false">IF(A983="",0,IF(MATCH(A983,$A$4:$A$2403,0)=ROW()-3,1,0))</f>
        <v>0</v>
      </c>
      <c r="C983" s="1" t="n">
        <f aca="false">N(C982)+B983</f>
        <v>13</v>
      </c>
      <c r="K983" s="1" t="n">
        <f aca="false">IF(OR($K$1="",对接源_01水果!$C983="",对接源_01水果!$C983&lt;&gt;$K$1,对接源_01水果!$B983=""),0,IF(OR(N(对接源_01水果!$B983)&lt;$K$2,N(对接源_01水果!$B983)&gt;$K$3),0,1))</f>
        <v>0</v>
      </c>
      <c r="L983" s="1" t="n">
        <f aca="false">IF(OR($L$1="",对接源_01水果!$C983="",对接源_01水果!$C983&lt;&gt;$L$1,对接源_01水果!$B983=""),0,IF(OR(N(对接源_01水果!$B983)&lt;$L$2,N(对接源_01水果!$B983)&gt;$L$3),0,1))</f>
        <v>0</v>
      </c>
      <c r="M983" s="1" t="n">
        <f aca="false">IF(OR($M$1="",对接源_01水果!$C983="",对接源_01水果!$C983&lt;&gt;$M$1,对接源_01水果!$B983=""),0,IF(OR(N(对接源_01水果!$B983)&lt;$M$2,N(对接源_01水果!$B983)&gt;$M$3),0,1))</f>
        <v>0</v>
      </c>
      <c r="N983" s="1" t="n">
        <f aca="false">IF(OR($N$1="",对接源_01水果!$C983="",对接源_01水果!$C983&lt;&gt;$N$1,对接源_01水果!$B983=""),0,IF(OR(N(对接源_01水果!$B983)&lt;$N$2,N(对接源_01水果!$B983)&gt;$N$3),0,1))</f>
        <v>0</v>
      </c>
      <c r="P983" s="1" t="n">
        <f aca="false">IF(AND($K983=1,AND(对接源_01水果!$X983="公司筐",N(对接源_01水果!$T983)&lt;&gt;0)),1,0)</f>
        <v>0</v>
      </c>
      <c r="Q983" s="1" t="n">
        <f aca="false">N(Q982)+$P983</f>
        <v>3</v>
      </c>
      <c r="R983" s="1" t="n">
        <f aca="false">IF(AND($K983=1,AND(对接源_01水果!$X983="公司筐",N(对接源_01水果!$U983)&lt;&gt;0)),1,0)</f>
        <v>0</v>
      </c>
      <c r="S983" s="1" t="n">
        <f aca="false">N(S982)+$R983</f>
        <v>0</v>
      </c>
      <c r="T983" s="1" t="n">
        <f aca="false">IF(AND($K983=1,AND(对接源_01水果!$X983="公司筐",N(对接源_01水果!$V983)&lt;&gt;0)),1,0)</f>
        <v>0</v>
      </c>
      <c r="U983" s="1" t="n">
        <f aca="false">N(U982)+$T983</f>
        <v>28</v>
      </c>
      <c r="V983" s="1" t="n">
        <f aca="false">IF(AND($L983=1,AND(对接源_01水果!$X983="自备筐",N(对接源_01水果!$V983)&lt;&gt;0)),1,0)</f>
        <v>0</v>
      </c>
      <c r="W983" s="1" t="n">
        <f aca="false">N(W982)+$V983</f>
        <v>7</v>
      </c>
      <c r="X983" s="1" t="n">
        <f aca="false">IF(AND($L983=1,AND(对接源_01水果!$X983="自备筐",N(对接源_01水果!$T983)&lt;&gt;0)),1,0)</f>
        <v>0</v>
      </c>
      <c r="Y983" s="1" t="n">
        <f aca="false">N(Y982)+$X983</f>
        <v>0</v>
      </c>
      <c r="Z983" s="1" t="n">
        <f aca="false">IF(AND($M983=1,对接源_01水果!$D983="原料入库"),1,0)</f>
        <v>0</v>
      </c>
      <c r="AA983" s="1" t="n">
        <f aca="false">N(AA982)+$Z983</f>
        <v>30</v>
      </c>
      <c r="AB983" s="1" t="n">
        <f aca="false">IF(AND($M983=1,LEFT(对接源_01水果!$D983,4)="原料出库"),1,0)</f>
        <v>0</v>
      </c>
      <c r="AC983" s="1" t="n">
        <f aca="false">N(AC982)+$AB983</f>
        <v>19</v>
      </c>
      <c r="AD983" s="1" t="n">
        <f aca="false">IF(AND($M983=1,LEFT(对接源_01水果!$D983,4)="成品出库"),1,0)</f>
        <v>0</v>
      </c>
      <c r="AE983" s="1" t="n">
        <f aca="false">N(AE982)+$AD983</f>
        <v>38</v>
      </c>
      <c r="AF983" s="1" t="n">
        <f aca="false">IF(AND($N983=1,AND(LEFT(对接源_01水果!$D983,4)="包装物料",N(对接源_01水果!$K983)&lt;&gt;0)),1,0)</f>
        <v>0</v>
      </c>
      <c r="AG983" s="90" t="str">
        <f aca="false">IF(对接源_01水果!$AC983="","",对接源_01水果!$AC983)</f>
        <v/>
      </c>
      <c r="AH983" s="1" t="n">
        <f aca="false">IF(AND($N983=1,AND(LEFT(对接源_01水果!$D983,3)="周转筐",N(对接源_01水果!$K983)&lt;&gt;0)),1,0)</f>
        <v>0</v>
      </c>
      <c r="AI983" s="90" t="n">
        <f aca="false">IF(AG983="",0,IF(MATCH(AG983,$AG$4:$AG$1203,0)=ROW()-3,1,0))</f>
        <v>0</v>
      </c>
      <c r="AJ983" s="90" t="n">
        <f aca="false">N(AJ982)+AI983</f>
        <v>4</v>
      </c>
      <c r="AK983" s="1" t="n">
        <f aca="false">N(AK982)+$AJ983</f>
        <v>2792</v>
      </c>
    </row>
    <row r="984" customFormat="false" ht="13.5" hidden="false" customHeight="false" outlineLevel="0" collapsed="false">
      <c r="A984" s="1" t="str">
        <f aca="false">IF(对接源_01水果!$C984="","",对接源_01水果!$C984)</f>
        <v/>
      </c>
      <c r="B984" s="1" t="n">
        <f aca="false">IF(A984="",0,IF(MATCH(A984,$A$4:$A$2403,0)=ROW()-3,1,0))</f>
        <v>0</v>
      </c>
      <c r="C984" s="1" t="n">
        <f aca="false">N(C983)+B984</f>
        <v>13</v>
      </c>
      <c r="K984" s="1" t="n">
        <f aca="false">IF(OR($K$1="",对接源_01水果!$C984="",对接源_01水果!$C984&lt;&gt;$K$1,对接源_01水果!$B984=""),0,IF(OR(N(对接源_01水果!$B984)&lt;$K$2,N(对接源_01水果!$B984)&gt;$K$3),0,1))</f>
        <v>0</v>
      </c>
      <c r="L984" s="1" t="n">
        <f aca="false">IF(OR($L$1="",对接源_01水果!$C984="",对接源_01水果!$C984&lt;&gt;$L$1,对接源_01水果!$B984=""),0,IF(OR(N(对接源_01水果!$B984)&lt;$L$2,N(对接源_01水果!$B984)&gt;$L$3),0,1))</f>
        <v>0</v>
      </c>
      <c r="M984" s="1" t="n">
        <f aca="false">IF(OR($M$1="",对接源_01水果!$C984="",对接源_01水果!$C984&lt;&gt;$M$1,对接源_01水果!$B984=""),0,IF(OR(N(对接源_01水果!$B984)&lt;$M$2,N(对接源_01水果!$B984)&gt;$M$3),0,1))</f>
        <v>0</v>
      </c>
      <c r="N984" s="1" t="n">
        <f aca="false">IF(OR($N$1="",对接源_01水果!$C984="",对接源_01水果!$C984&lt;&gt;$N$1,对接源_01水果!$B984=""),0,IF(OR(N(对接源_01水果!$B984)&lt;$N$2,N(对接源_01水果!$B984)&gt;$N$3),0,1))</f>
        <v>0</v>
      </c>
      <c r="P984" s="1" t="n">
        <f aca="false">IF(AND($K984=1,AND(对接源_01水果!$X984="公司筐",N(对接源_01水果!$T984)&lt;&gt;0)),1,0)</f>
        <v>0</v>
      </c>
      <c r="Q984" s="1" t="n">
        <f aca="false">N(Q983)+$P984</f>
        <v>3</v>
      </c>
      <c r="R984" s="1" t="n">
        <f aca="false">IF(AND($K984=1,AND(对接源_01水果!$X984="公司筐",N(对接源_01水果!$U984)&lt;&gt;0)),1,0)</f>
        <v>0</v>
      </c>
      <c r="S984" s="1" t="n">
        <f aca="false">N(S983)+$R984</f>
        <v>0</v>
      </c>
      <c r="T984" s="1" t="n">
        <f aca="false">IF(AND($K984=1,AND(对接源_01水果!$X984="公司筐",N(对接源_01水果!$V984)&lt;&gt;0)),1,0)</f>
        <v>0</v>
      </c>
      <c r="U984" s="1" t="n">
        <f aca="false">N(U983)+$T984</f>
        <v>28</v>
      </c>
      <c r="V984" s="1" t="n">
        <f aca="false">IF(AND($L984=1,AND(对接源_01水果!$X984="自备筐",N(对接源_01水果!$V984)&lt;&gt;0)),1,0)</f>
        <v>0</v>
      </c>
      <c r="W984" s="1" t="n">
        <f aca="false">N(W983)+$V984</f>
        <v>7</v>
      </c>
      <c r="X984" s="1" t="n">
        <f aca="false">IF(AND($L984=1,AND(对接源_01水果!$X984="自备筐",N(对接源_01水果!$T984)&lt;&gt;0)),1,0)</f>
        <v>0</v>
      </c>
      <c r="Y984" s="1" t="n">
        <f aca="false">N(Y983)+$X984</f>
        <v>0</v>
      </c>
      <c r="Z984" s="1" t="n">
        <f aca="false">IF(AND($M984=1,对接源_01水果!$D984="原料入库"),1,0)</f>
        <v>0</v>
      </c>
      <c r="AA984" s="1" t="n">
        <f aca="false">N(AA983)+$Z984</f>
        <v>30</v>
      </c>
      <c r="AB984" s="1" t="n">
        <f aca="false">IF(AND($M984=1,LEFT(对接源_01水果!$D984,4)="原料出库"),1,0)</f>
        <v>0</v>
      </c>
      <c r="AC984" s="1" t="n">
        <f aca="false">N(AC983)+$AB984</f>
        <v>19</v>
      </c>
      <c r="AD984" s="1" t="n">
        <f aca="false">IF(AND($M984=1,LEFT(对接源_01水果!$D984,4)="成品出库"),1,0)</f>
        <v>0</v>
      </c>
      <c r="AE984" s="1" t="n">
        <f aca="false">N(AE983)+$AD984</f>
        <v>38</v>
      </c>
      <c r="AF984" s="1" t="n">
        <f aca="false">IF(AND($N984=1,AND(LEFT(对接源_01水果!$D984,4)="包装物料",N(对接源_01水果!$K984)&lt;&gt;0)),1,0)</f>
        <v>0</v>
      </c>
      <c r="AG984" s="90" t="str">
        <f aca="false">IF(对接源_01水果!$AC984="","",对接源_01水果!$AC984)</f>
        <v/>
      </c>
      <c r="AH984" s="1" t="n">
        <f aca="false">IF(AND($N984=1,AND(LEFT(对接源_01水果!$D984,3)="周转筐",N(对接源_01水果!$K984)&lt;&gt;0)),1,0)</f>
        <v>0</v>
      </c>
      <c r="AI984" s="90" t="n">
        <f aca="false">IF(AG984="",0,IF(MATCH(AG984,$AG$4:$AG$1203,0)=ROW()-3,1,0))</f>
        <v>0</v>
      </c>
      <c r="AJ984" s="90" t="n">
        <f aca="false">N(AJ983)+AI984</f>
        <v>4</v>
      </c>
      <c r="AK984" s="1" t="n">
        <f aca="false">N(AK983)+$AJ984</f>
        <v>2796</v>
      </c>
    </row>
    <row r="985" customFormat="false" ht="13.5" hidden="false" customHeight="false" outlineLevel="0" collapsed="false">
      <c r="A985" s="1" t="str">
        <f aca="false">IF(对接源_01水果!$C985="","",对接源_01水果!$C985)</f>
        <v/>
      </c>
      <c r="B985" s="1" t="n">
        <f aca="false">IF(A985="",0,IF(MATCH(A985,$A$4:$A$2403,0)=ROW()-3,1,0))</f>
        <v>0</v>
      </c>
      <c r="C985" s="1" t="n">
        <f aca="false">N(C984)+B985</f>
        <v>13</v>
      </c>
      <c r="K985" s="1" t="n">
        <f aca="false">IF(OR($K$1="",对接源_01水果!$C985="",对接源_01水果!$C985&lt;&gt;$K$1,对接源_01水果!$B985=""),0,IF(OR(N(对接源_01水果!$B985)&lt;$K$2,N(对接源_01水果!$B985)&gt;$K$3),0,1))</f>
        <v>0</v>
      </c>
      <c r="L985" s="1" t="n">
        <f aca="false">IF(OR($L$1="",对接源_01水果!$C985="",对接源_01水果!$C985&lt;&gt;$L$1,对接源_01水果!$B985=""),0,IF(OR(N(对接源_01水果!$B985)&lt;$L$2,N(对接源_01水果!$B985)&gt;$L$3),0,1))</f>
        <v>0</v>
      </c>
      <c r="M985" s="1" t="n">
        <f aca="false">IF(OR($M$1="",对接源_01水果!$C985="",对接源_01水果!$C985&lt;&gt;$M$1,对接源_01水果!$B985=""),0,IF(OR(N(对接源_01水果!$B985)&lt;$M$2,N(对接源_01水果!$B985)&gt;$M$3),0,1))</f>
        <v>0</v>
      </c>
      <c r="N985" s="1" t="n">
        <f aca="false">IF(OR($N$1="",对接源_01水果!$C985="",对接源_01水果!$C985&lt;&gt;$N$1,对接源_01水果!$B985=""),0,IF(OR(N(对接源_01水果!$B985)&lt;$N$2,N(对接源_01水果!$B985)&gt;$N$3),0,1))</f>
        <v>0</v>
      </c>
      <c r="P985" s="1" t="n">
        <f aca="false">IF(AND($K985=1,AND(对接源_01水果!$X985="公司筐",N(对接源_01水果!$T985)&lt;&gt;0)),1,0)</f>
        <v>0</v>
      </c>
      <c r="Q985" s="1" t="n">
        <f aca="false">N(Q984)+$P985</f>
        <v>3</v>
      </c>
      <c r="R985" s="1" t="n">
        <f aca="false">IF(AND($K985=1,AND(对接源_01水果!$X985="公司筐",N(对接源_01水果!$U985)&lt;&gt;0)),1,0)</f>
        <v>0</v>
      </c>
      <c r="S985" s="1" t="n">
        <f aca="false">N(S984)+$R985</f>
        <v>0</v>
      </c>
      <c r="T985" s="1" t="n">
        <f aca="false">IF(AND($K985=1,AND(对接源_01水果!$X985="公司筐",N(对接源_01水果!$V985)&lt;&gt;0)),1,0)</f>
        <v>0</v>
      </c>
      <c r="U985" s="1" t="n">
        <f aca="false">N(U984)+$T985</f>
        <v>28</v>
      </c>
      <c r="V985" s="1" t="n">
        <f aca="false">IF(AND($L985=1,AND(对接源_01水果!$X985="自备筐",N(对接源_01水果!$V985)&lt;&gt;0)),1,0)</f>
        <v>0</v>
      </c>
      <c r="W985" s="1" t="n">
        <f aca="false">N(W984)+$V985</f>
        <v>7</v>
      </c>
      <c r="X985" s="1" t="n">
        <f aca="false">IF(AND($L985=1,AND(对接源_01水果!$X985="自备筐",N(对接源_01水果!$T985)&lt;&gt;0)),1,0)</f>
        <v>0</v>
      </c>
      <c r="Y985" s="1" t="n">
        <f aca="false">N(Y984)+$X985</f>
        <v>0</v>
      </c>
      <c r="Z985" s="1" t="n">
        <f aca="false">IF(AND($M985=1,对接源_01水果!$D985="原料入库"),1,0)</f>
        <v>0</v>
      </c>
      <c r="AA985" s="1" t="n">
        <f aca="false">N(AA984)+$Z985</f>
        <v>30</v>
      </c>
      <c r="AB985" s="1" t="n">
        <f aca="false">IF(AND($M985=1,LEFT(对接源_01水果!$D985,4)="原料出库"),1,0)</f>
        <v>0</v>
      </c>
      <c r="AC985" s="1" t="n">
        <f aca="false">N(AC984)+$AB985</f>
        <v>19</v>
      </c>
      <c r="AD985" s="1" t="n">
        <f aca="false">IF(AND($M985=1,LEFT(对接源_01水果!$D985,4)="成品出库"),1,0)</f>
        <v>0</v>
      </c>
      <c r="AE985" s="1" t="n">
        <f aca="false">N(AE984)+$AD985</f>
        <v>38</v>
      </c>
      <c r="AF985" s="1" t="n">
        <f aca="false">IF(AND($N985=1,AND(LEFT(对接源_01水果!$D985,4)="包装物料",N(对接源_01水果!$K985)&lt;&gt;0)),1,0)</f>
        <v>0</v>
      </c>
      <c r="AG985" s="90" t="str">
        <f aca="false">IF(对接源_01水果!$AC985="","",对接源_01水果!$AC985)</f>
        <v/>
      </c>
      <c r="AH985" s="1" t="n">
        <f aca="false">IF(AND($N985=1,AND(LEFT(对接源_01水果!$D985,3)="周转筐",N(对接源_01水果!$K985)&lt;&gt;0)),1,0)</f>
        <v>0</v>
      </c>
      <c r="AI985" s="90" t="n">
        <f aca="false">IF(AG985="",0,IF(MATCH(AG985,$AG$4:$AG$1203,0)=ROW()-3,1,0))</f>
        <v>0</v>
      </c>
      <c r="AJ985" s="90" t="n">
        <f aca="false">N(AJ984)+AI985</f>
        <v>4</v>
      </c>
      <c r="AK985" s="1" t="n">
        <f aca="false">N(AK984)+$AJ985</f>
        <v>2800</v>
      </c>
    </row>
    <row r="986" customFormat="false" ht="13.5" hidden="false" customHeight="false" outlineLevel="0" collapsed="false">
      <c r="A986" s="1" t="str">
        <f aca="false">IF(对接源_01水果!$C986="","",对接源_01水果!$C986)</f>
        <v/>
      </c>
      <c r="B986" s="1" t="n">
        <f aca="false">IF(A986="",0,IF(MATCH(A986,$A$4:$A$2403,0)=ROW()-3,1,0))</f>
        <v>0</v>
      </c>
      <c r="C986" s="1" t="n">
        <f aca="false">N(C985)+B986</f>
        <v>13</v>
      </c>
      <c r="K986" s="1" t="n">
        <f aca="false">IF(OR($K$1="",对接源_01水果!$C986="",对接源_01水果!$C986&lt;&gt;$K$1,对接源_01水果!$B986=""),0,IF(OR(N(对接源_01水果!$B986)&lt;$K$2,N(对接源_01水果!$B986)&gt;$K$3),0,1))</f>
        <v>0</v>
      </c>
      <c r="L986" s="1" t="n">
        <f aca="false">IF(OR($L$1="",对接源_01水果!$C986="",对接源_01水果!$C986&lt;&gt;$L$1,对接源_01水果!$B986=""),0,IF(OR(N(对接源_01水果!$B986)&lt;$L$2,N(对接源_01水果!$B986)&gt;$L$3),0,1))</f>
        <v>0</v>
      </c>
      <c r="M986" s="1" t="n">
        <f aca="false">IF(OR($M$1="",对接源_01水果!$C986="",对接源_01水果!$C986&lt;&gt;$M$1,对接源_01水果!$B986=""),0,IF(OR(N(对接源_01水果!$B986)&lt;$M$2,N(对接源_01水果!$B986)&gt;$M$3),0,1))</f>
        <v>0</v>
      </c>
      <c r="N986" s="1" t="n">
        <f aca="false">IF(OR($N$1="",对接源_01水果!$C986="",对接源_01水果!$C986&lt;&gt;$N$1,对接源_01水果!$B986=""),0,IF(OR(N(对接源_01水果!$B986)&lt;$N$2,N(对接源_01水果!$B986)&gt;$N$3),0,1))</f>
        <v>0</v>
      </c>
      <c r="P986" s="1" t="n">
        <f aca="false">IF(AND($K986=1,AND(对接源_01水果!$X986="公司筐",N(对接源_01水果!$T986)&lt;&gt;0)),1,0)</f>
        <v>0</v>
      </c>
      <c r="Q986" s="1" t="n">
        <f aca="false">N(Q985)+$P986</f>
        <v>3</v>
      </c>
      <c r="R986" s="1" t="n">
        <f aca="false">IF(AND($K986=1,AND(对接源_01水果!$X986="公司筐",N(对接源_01水果!$U986)&lt;&gt;0)),1,0)</f>
        <v>0</v>
      </c>
      <c r="S986" s="1" t="n">
        <f aca="false">N(S985)+$R986</f>
        <v>0</v>
      </c>
      <c r="T986" s="1" t="n">
        <f aca="false">IF(AND($K986=1,AND(对接源_01水果!$X986="公司筐",N(对接源_01水果!$V986)&lt;&gt;0)),1,0)</f>
        <v>0</v>
      </c>
      <c r="U986" s="1" t="n">
        <f aca="false">N(U985)+$T986</f>
        <v>28</v>
      </c>
      <c r="V986" s="1" t="n">
        <f aca="false">IF(AND($L986=1,AND(对接源_01水果!$X986="自备筐",N(对接源_01水果!$V986)&lt;&gt;0)),1,0)</f>
        <v>0</v>
      </c>
      <c r="W986" s="1" t="n">
        <f aca="false">N(W985)+$V986</f>
        <v>7</v>
      </c>
      <c r="X986" s="1" t="n">
        <f aca="false">IF(AND($L986=1,AND(对接源_01水果!$X986="自备筐",N(对接源_01水果!$T986)&lt;&gt;0)),1,0)</f>
        <v>0</v>
      </c>
      <c r="Y986" s="1" t="n">
        <f aca="false">N(Y985)+$X986</f>
        <v>0</v>
      </c>
      <c r="Z986" s="1" t="n">
        <f aca="false">IF(AND($M986=1,对接源_01水果!$D986="原料入库"),1,0)</f>
        <v>0</v>
      </c>
      <c r="AA986" s="1" t="n">
        <f aca="false">N(AA985)+$Z986</f>
        <v>30</v>
      </c>
      <c r="AB986" s="1" t="n">
        <f aca="false">IF(AND($M986=1,LEFT(对接源_01水果!$D986,4)="原料出库"),1,0)</f>
        <v>0</v>
      </c>
      <c r="AC986" s="1" t="n">
        <f aca="false">N(AC985)+$AB986</f>
        <v>19</v>
      </c>
      <c r="AD986" s="1" t="n">
        <f aca="false">IF(AND($M986=1,LEFT(对接源_01水果!$D986,4)="成品出库"),1,0)</f>
        <v>0</v>
      </c>
      <c r="AE986" s="1" t="n">
        <f aca="false">N(AE985)+$AD986</f>
        <v>38</v>
      </c>
      <c r="AF986" s="1" t="n">
        <f aca="false">IF(AND($N986=1,AND(LEFT(对接源_01水果!$D986,4)="包装物料",N(对接源_01水果!$K986)&lt;&gt;0)),1,0)</f>
        <v>0</v>
      </c>
      <c r="AG986" s="90" t="str">
        <f aca="false">IF(对接源_01水果!$AC986="","",对接源_01水果!$AC986)</f>
        <v/>
      </c>
      <c r="AH986" s="1" t="n">
        <f aca="false">IF(AND($N986=1,AND(LEFT(对接源_01水果!$D986,3)="周转筐",N(对接源_01水果!$K986)&lt;&gt;0)),1,0)</f>
        <v>0</v>
      </c>
      <c r="AI986" s="90" t="n">
        <f aca="false">IF(AG986="",0,IF(MATCH(AG986,$AG$4:$AG$1203,0)=ROW()-3,1,0))</f>
        <v>0</v>
      </c>
      <c r="AJ986" s="90" t="n">
        <f aca="false">N(AJ985)+AI986</f>
        <v>4</v>
      </c>
      <c r="AK986" s="1" t="n">
        <f aca="false">N(AK985)+$AJ986</f>
        <v>2804</v>
      </c>
    </row>
    <row r="987" customFormat="false" ht="13.5" hidden="false" customHeight="false" outlineLevel="0" collapsed="false">
      <c r="A987" s="1" t="str">
        <f aca="false">IF(对接源_01水果!$C987="","",对接源_01水果!$C987)</f>
        <v/>
      </c>
      <c r="B987" s="1" t="n">
        <f aca="false">IF(A987="",0,IF(MATCH(A987,$A$4:$A$2403,0)=ROW()-3,1,0))</f>
        <v>0</v>
      </c>
      <c r="C987" s="1" t="n">
        <f aca="false">N(C986)+B987</f>
        <v>13</v>
      </c>
      <c r="K987" s="1" t="n">
        <f aca="false">IF(OR($K$1="",对接源_01水果!$C987="",对接源_01水果!$C987&lt;&gt;$K$1,对接源_01水果!$B987=""),0,IF(OR(N(对接源_01水果!$B987)&lt;$K$2,N(对接源_01水果!$B987)&gt;$K$3),0,1))</f>
        <v>0</v>
      </c>
      <c r="L987" s="1" t="n">
        <f aca="false">IF(OR($L$1="",对接源_01水果!$C987="",对接源_01水果!$C987&lt;&gt;$L$1,对接源_01水果!$B987=""),0,IF(OR(N(对接源_01水果!$B987)&lt;$L$2,N(对接源_01水果!$B987)&gt;$L$3),0,1))</f>
        <v>0</v>
      </c>
      <c r="M987" s="1" t="n">
        <f aca="false">IF(OR($M$1="",对接源_01水果!$C987="",对接源_01水果!$C987&lt;&gt;$M$1,对接源_01水果!$B987=""),0,IF(OR(N(对接源_01水果!$B987)&lt;$M$2,N(对接源_01水果!$B987)&gt;$M$3),0,1))</f>
        <v>0</v>
      </c>
      <c r="N987" s="1" t="n">
        <f aca="false">IF(OR($N$1="",对接源_01水果!$C987="",对接源_01水果!$C987&lt;&gt;$N$1,对接源_01水果!$B987=""),0,IF(OR(N(对接源_01水果!$B987)&lt;$N$2,N(对接源_01水果!$B987)&gt;$N$3),0,1))</f>
        <v>0</v>
      </c>
      <c r="P987" s="1" t="n">
        <f aca="false">IF(AND($K987=1,AND(对接源_01水果!$X987="公司筐",N(对接源_01水果!$T987)&lt;&gt;0)),1,0)</f>
        <v>0</v>
      </c>
      <c r="Q987" s="1" t="n">
        <f aca="false">N(Q986)+$P987</f>
        <v>3</v>
      </c>
      <c r="R987" s="1" t="n">
        <f aca="false">IF(AND($K987=1,AND(对接源_01水果!$X987="公司筐",N(对接源_01水果!$U987)&lt;&gt;0)),1,0)</f>
        <v>0</v>
      </c>
      <c r="S987" s="1" t="n">
        <f aca="false">N(S986)+$R987</f>
        <v>0</v>
      </c>
      <c r="T987" s="1" t="n">
        <f aca="false">IF(AND($K987=1,AND(对接源_01水果!$X987="公司筐",N(对接源_01水果!$V987)&lt;&gt;0)),1,0)</f>
        <v>0</v>
      </c>
      <c r="U987" s="1" t="n">
        <f aca="false">N(U986)+$T987</f>
        <v>28</v>
      </c>
      <c r="V987" s="1" t="n">
        <f aca="false">IF(AND($L987=1,AND(对接源_01水果!$X987="自备筐",N(对接源_01水果!$V987)&lt;&gt;0)),1,0)</f>
        <v>0</v>
      </c>
      <c r="W987" s="1" t="n">
        <f aca="false">N(W986)+$V987</f>
        <v>7</v>
      </c>
      <c r="X987" s="1" t="n">
        <f aca="false">IF(AND($L987=1,AND(对接源_01水果!$X987="自备筐",N(对接源_01水果!$T987)&lt;&gt;0)),1,0)</f>
        <v>0</v>
      </c>
      <c r="Y987" s="1" t="n">
        <f aca="false">N(Y986)+$X987</f>
        <v>0</v>
      </c>
      <c r="Z987" s="1" t="n">
        <f aca="false">IF(AND($M987=1,对接源_01水果!$D987="原料入库"),1,0)</f>
        <v>0</v>
      </c>
      <c r="AA987" s="1" t="n">
        <f aca="false">N(AA986)+$Z987</f>
        <v>30</v>
      </c>
      <c r="AB987" s="1" t="n">
        <f aca="false">IF(AND($M987=1,LEFT(对接源_01水果!$D987,4)="原料出库"),1,0)</f>
        <v>0</v>
      </c>
      <c r="AC987" s="1" t="n">
        <f aca="false">N(AC986)+$AB987</f>
        <v>19</v>
      </c>
      <c r="AD987" s="1" t="n">
        <f aca="false">IF(AND($M987=1,LEFT(对接源_01水果!$D987,4)="成品出库"),1,0)</f>
        <v>0</v>
      </c>
      <c r="AE987" s="1" t="n">
        <f aca="false">N(AE986)+$AD987</f>
        <v>38</v>
      </c>
      <c r="AF987" s="1" t="n">
        <f aca="false">IF(AND($N987=1,AND(LEFT(对接源_01水果!$D987,4)="包装物料",N(对接源_01水果!$K987)&lt;&gt;0)),1,0)</f>
        <v>0</v>
      </c>
      <c r="AG987" s="90" t="str">
        <f aca="false">IF(对接源_01水果!$AC987="","",对接源_01水果!$AC987)</f>
        <v/>
      </c>
      <c r="AH987" s="1" t="n">
        <f aca="false">IF(AND($N987=1,AND(LEFT(对接源_01水果!$D987,3)="周转筐",N(对接源_01水果!$K987)&lt;&gt;0)),1,0)</f>
        <v>0</v>
      </c>
      <c r="AI987" s="90" t="n">
        <f aca="false">IF(AG987="",0,IF(MATCH(AG987,$AG$4:$AG$1203,0)=ROW()-3,1,0))</f>
        <v>0</v>
      </c>
      <c r="AJ987" s="90" t="n">
        <f aca="false">N(AJ986)+AI987</f>
        <v>4</v>
      </c>
      <c r="AK987" s="1" t="n">
        <f aca="false">N(AK986)+$AJ987</f>
        <v>2808</v>
      </c>
    </row>
    <row r="988" customFormat="false" ht="13.5" hidden="false" customHeight="false" outlineLevel="0" collapsed="false">
      <c r="A988" s="1" t="str">
        <f aca="false">IF(对接源_01水果!$C988="","",对接源_01水果!$C988)</f>
        <v/>
      </c>
      <c r="B988" s="1" t="n">
        <f aca="false">IF(A988="",0,IF(MATCH(A988,$A$4:$A$2403,0)=ROW()-3,1,0))</f>
        <v>0</v>
      </c>
      <c r="C988" s="1" t="n">
        <f aca="false">N(C987)+B988</f>
        <v>13</v>
      </c>
      <c r="K988" s="1" t="n">
        <f aca="false">IF(OR($K$1="",对接源_01水果!$C988="",对接源_01水果!$C988&lt;&gt;$K$1,对接源_01水果!$B988=""),0,IF(OR(N(对接源_01水果!$B988)&lt;$K$2,N(对接源_01水果!$B988)&gt;$K$3),0,1))</f>
        <v>0</v>
      </c>
      <c r="L988" s="1" t="n">
        <f aca="false">IF(OR($L$1="",对接源_01水果!$C988="",对接源_01水果!$C988&lt;&gt;$L$1,对接源_01水果!$B988=""),0,IF(OR(N(对接源_01水果!$B988)&lt;$L$2,N(对接源_01水果!$B988)&gt;$L$3),0,1))</f>
        <v>0</v>
      </c>
      <c r="M988" s="1" t="n">
        <f aca="false">IF(OR($M$1="",对接源_01水果!$C988="",对接源_01水果!$C988&lt;&gt;$M$1,对接源_01水果!$B988=""),0,IF(OR(N(对接源_01水果!$B988)&lt;$M$2,N(对接源_01水果!$B988)&gt;$M$3),0,1))</f>
        <v>0</v>
      </c>
      <c r="N988" s="1" t="n">
        <f aca="false">IF(OR($N$1="",对接源_01水果!$C988="",对接源_01水果!$C988&lt;&gt;$N$1,对接源_01水果!$B988=""),0,IF(OR(N(对接源_01水果!$B988)&lt;$N$2,N(对接源_01水果!$B988)&gt;$N$3),0,1))</f>
        <v>0</v>
      </c>
      <c r="P988" s="1" t="n">
        <f aca="false">IF(AND($K988=1,AND(对接源_01水果!$X988="公司筐",N(对接源_01水果!$T988)&lt;&gt;0)),1,0)</f>
        <v>0</v>
      </c>
      <c r="Q988" s="1" t="n">
        <f aca="false">N(Q987)+$P988</f>
        <v>3</v>
      </c>
      <c r="R988" s="1" t="n">
        <f aca="false">IF(AND($K988=1,AND(对接源_01水果!$X988="公司筐",N(对接源_01水果!$U988)&lt;&gt;0)),1,0)</f>
        <v>0</v>
      </c>
      <c r="S988" s="1" t="n">
        <f aca="false">N(S987)+$R988</f>
        <v>0</v>
      </c>
      <c r="T988" s="1" t="n">
        <f aca="false">IF(AND($K988=1,AND(对接源_01水果!$X988="公司筐",N(对接源_01水果!$V988)&lt;&gt;0)),1,0)</f>
        <v>0</v>
      </c>
      <c r="U988" s="1" t="n">
        <f aca="false">N(U987)+$T988</f>
        <v>28</v>
      </c>
      <c r="V988" s="1" t="n">
        <f aca="false">IF(AND($L988=1,AND(对接源_01水果!$X988="自备筐",N(对接源_01水果!$V988)&lt;&gt;0)),1,0)</f>
        <v>0</v>
      </c>
      <c r="W988" s="1" t="n">
        <f aca="false">N(W987)+$V988</f>
        <v>7</v>
      </c>
      <c r="X988" s="1" t="n">
        <f aca="false">IF(AND($L988=1,AND(对接源_01水果!$X988="自备筐",N(对接源_01水果!$T988)&lt;&gt;0)),1,0)</f>
        <v>0</v>
      </c>
      <c r="Y988" s="1" t="n">
        <f aca="false">N(Y987)+$X988</f>
        <v>0</v>
      </c>
      <c r="Z988" s="1" t="n">
        <f aca="false">IF(AND($M988=1,对接源_01水果!$D988="原料入库"),1,0)</f>
        <v>0</v>
      </c>
      <c r="AA988" s="1" t="n">
        <f aca="false">N(AA987)+$Z988</f>
        <v>30</v>
      </c>
      <c r="AB988" s="1" t="n">
        <f aca="false">IF(AND($M988=1,LEFT(对接源_01水果!$D988,4)="原料出库"),1,0)</f>
        <v>0</v>
      </c>
      <c r="AC988" s="1" t="n">
        <f aca="false">N(AC987)+$AB988</f>
        <v>19</v>
      </c>
      <c r="AD988" s="1" t="n">
        <f aca="false">IF(AND($M988=1,LEFT(对接源_01水果!$D988,4)="成品出库"),1,0)</f>
        <v>0</v>
      </c>
      <c r="AE988" s="1" t="n">
        <f aca="false">N(AE987)+$AD988</f>
        <v>38</v>
      </c>
      <c r="AF988" s="1" t="n">
        <f aca="false">IF(AND($N988=1,AND(LEFT(对接源_01水果!$D988,4)="包装物料",N(对接源_01水果!$K988)&lt;&gt;0)),1,0)</f>
        <v>0</v>
      </c>
      <c r="AG988" s="90" t="str">
        <f aca="false">IF(对接源_01水果!$AC988="","",对接源_01水果!$AC988)</f>
        <v/>
      </c>
      <c r="AH988" s="1" t="n">
        <f aca="false">IF(AND($N988=1,AND(LEFT(对接源_01水果!$D988,3)="周转筐",N(对接源_01水果!$K988)&lt;&gt;0)),1,0)</f>
        <v>0</v>
      </c>
      <c r="AI988" s="90" t="n">
        <f aca="false">IF(AG988="",0,IF(MATCH(AG988,$AG$4:$AG$1203,0)=ROW()-3,1,0))</f>
        <v>0</v>
      </c>
      <c r="AJ988" s="90" t="n">
        <f aca="false">N(AJ987)+AI988</f>
        <v>4</v>
      </c>
      <c r="AK988" s="1" t="n">
        <f aca="false">N(AK987)+$AJ988</f>
        <v>2812</v>
      </c>
    </row>
    <row r="989" customFormat="false" ht="13.5" hidden="false" customHeight="false" outlineLevel="0" collapsed="false">
      <c r="A989" s="1" t="str">
        <f aca="false">IF(对接源_01水果!$C989="","",对接源_01水果!$C989)</f>
        <v/>
      </c>
      <c r="B989" s="1" t="n">
        <f aca="false">IF(A989="",0,IF(MATCH(A989,$A$4:$A$2403,0)=ROW()-3,1,0))</f>
        <v>0</v>
      </c>
      <c r="C989" s="1" t="n">
        <f aca="false">N(C988)+B989</f>
        <v>13</v>
      </c>
      <c r="K989" s="1" t="n">
        <f aca="false">IF(OR($K$1="",对接源_01水果!$C989="",对接源_01水果!$C989&lt;&gt;$K$1,对接源_01水果!$B989=""),0,IF(OR(N(对接源_01水果!$B989)&lt;$K$2,N(对接源_01水果!$B989)&gt;$K$3),0,1))</f>
        <v>0</v>
      </c>
      <c r="L989" s="1" t="n">
        <f aca="false">IF(OR($L$1="",对接源_01水果!$C989="",对接源_01水果!$C989&lt;&gt;$L$1,对接源_01水果!$B989=""),0,IF(OR(N(对接源_01水果!$B989)&lt;$L$2,N(对接源_01水果!$B989)&gt;$L$3),0,1))</f>
        <v>0</v>
      </c>
      <c r="M989" s="1" t="n">
        <f aca="false">IF(OR($M$1="",对接源_01水果!$C989="",对接源_01水果!$C989&lt;&gt;$M$1,对接源_01水果!$B989=""),0,IF(OR(N(对接源_01水果!$B989)&lt;$M$2,N(对接源_01水果!$B989)&gt;$M$3),0,1))</f>
        <v>0</v>
      </c>
      <c r="N989" s="1" t="n">
        <f aca="false">IF(OR($N$1="",对接源_01水果!$C989="",对接源_01水果!$C989&lt;&gt;$N$1,对接源_01水果!$B989=""),0,IF(OR(N(对接源_01水果!$B989)&lt;$N$2,N(对接源_01水果!$B989)&gt;$N$3),0,1))</f>
        <v>0</v>
      </c>
      <c r="P989" s="1" t="n">
        <f aca="false">IF(AND($K989=1,AND(对接源_01水果!$X989="公司筐",N(对接源_01水果!$T989)&lt;&gt;0)),1,0)</f>
        <v>0</v>
      </c>
      <c r="Q989" s="1" t="n">
        <f aca="false">N(Q988)+$P989</f>
        <v>3</v>
      </c>
      <c r="R989" s="1" t="n">
        <f aca="false">IF(AND($K989=1,AND(对接源_01水果!$X989="公司筐",N(对接源_01水果!$U989)&lt;&gt;0)),1,0)</f>
        <v>0</v>
      </c>
      <c r="S989" s="1" t="n">
        <f aca="false">N(S988)+$R989</f>
        <v>0</v>
      </c>
      <c r="T989" s="1" t="n">
        <f aca="false">IF(AND($K989=1,AND(对接源_01水果!$X989="公司筐",N(对接源_01水果!$V989)&lt;&gt;0)),1,0)</f>
        <v>0</v>
      </c>
      <c r="U989" s="1" t="n">
        <f aca="false">N(U988)+$T989</f>
        <v>28</v>
      </c>
      <c r="V989" s="1" t="n">
        <f aca="false">IF(AND($L989=1,AND(对接源_01水果!$X989="自备筐",N(对接源_01水果!$V989)&lt;&gt;0)),1,0)</f>
        <v>0</v>
      </c>
      <c r="W989" s="1" t="n">
        <f aca="false">N(W988)+$V989</f>
        <v>7</v>
      </c>
      <c r="X989" s="1" t="n">
        <f aca="false">IF(AND($L989=1,AND(对接源_01水果!$X989="自备筐",N(对接源_01水果!$T989)&lt;&gt;0)),1,0)</f>
        <v>0</v>
      </c>
      <c r="Y989" s="1" t="n">
        <f aca="false">N(Y988)+$X989</f>
        <v>0</v>
      </c>
      <c r="Z989" s="1" t="n">
        <f aca="false">IF(AND($M989=1,对接源_01水果!$D989="原料入库"),1,0)</f>
        <v>0</v>
      </c>
      <c r="AA989" s="1" t="n">
        <f aca="false">N(AA988)+$Z989</f>
        <v>30</v>
      </c>
      <c r="AB989" s="1" t="n">
        <f aca="false">IF(AND($M989=1,LEFT(对接源_01水果!$D989,4)="原料出库"),1,0)</f>
        <v>0</v>
      </c>
      <c r="AC989" s="1" t="n">
        <f aca="false">N(AC988)+$AB989</f>
        <v>19</v>
      </c>
      <c r="AD989" s="1" t="n">
        <f aca="false">IF(AND($M989=1,LEFT(对接源_01水果!$D989,4)="成品出库"),1,0)</f>
        <v>0</v>
      </c>
      <c r="AE989" s="1" t="n">
        <f aca="false">N(AE988)+$AD989</f>
        <v>38</v>
      </c>
      <c r="AF989" s="1" t="n">
        <f aca="false">IF(AND($N989=1,AND(LEFT(对接源_01水果!$D989,4)="包装物料",N(对接源_01水果!$K989)&lt;&gt;0)),1,0)</f>
        <v>0</v>
      </c>
      <c r="AG989" s="90" t="str">
        <f aca="false">IF(对接源_01水果!$AC989="","",对接源_01水果!$AC989)</f>
        <v/>
      </c>
      <c r="AH989" s="1" t="n">
        <f aca="false">IF(AND($N989=1,AND(LEFT(对接源_01水果!$D989,3)="周转筐",N(对接源_01水果!$K989)&lt;&gt;0)),1,0)</f>
        <v>0</v>
      </c>
      <c r="AI989" s="90" t="n">
        <f aca="false">IF(AG989="",0,IF(MATCH(AG989,$AG$4:$AG$1203,0)=ROW()-3,1,0))</f>
        <v>0</v>
      </c>
      <c r="AJ989" s="90" t="n">
        <f aca="false">N(AJ988)+AI989</f>
        <v>4</v>
      </c>
      <c r="AK989" s="1" t="n">
        <f aca="false">N(AK988)+$AJ989</f>
        <v>2816</v>
      </c>
    </row>
    <row r="990" customFormat="false" ht="13.5" hidden="false" customHeight="false" outlineLevel="0" collapsed="false">
      <c r="A990" s="1" t="str">
        <f aca="false">IF(对接源_01水果!$C990="","",对接源_01水果!$C990)</f>
        <v/>
      </c>
      <c r="B990" s="1" t="n">
        <f aca="false">IF(A990="",0,IF(MATCH(A990,$A$4:$A$2403,0)=ROW()-3,1,0))</f>
        <v>0</v>
      </c>
      <c r="C990" s="1" t="n">
        <f aca="false">N(C989)+B990</f>
        <v>13</v>
      </c>
      <c r="K990" s="1" t="n">
        <f aca="false">IF(OR($K$1="",对接源_01水果!$C990="",对接源_01水果!$C990&lt;&gt;$K$1,对接源_01水果!$B990=""),0,IF(OR(N(对接源_01水果!$B990)&lt;$K$2,N(对接源_01水果!$B990)&gt;$K$3),0,1))</f>
        <v>0</v>
      </c>
      <c r="L990" s="1" t="n">
        <f aca="false">IF(OR($L$1="",对接源_01水果!$C990="",对接源_01水果!$C990&lt;&gt;$L$1,对接源_01水果!$B990=""),0,IF(OR(N(对接源_01水果!$B990)&lt;$L$2,N(对接源_01水果!$B990)&gt;$L$3),0,1))</f>
        <v>0</v>
      </c>
      <c r="M990" s="1" t="n">
        <f aca="false">IF(OR($M$1="",对接源_01水果!$C990="",对接源_01水果!$C990&lt;&gt;$M$1,对接源_01水果!$B990=""),0,IF(OR(N(对接源_01水果!$B990)&lt;$M$2,N(对接源_01水果!$B990)&gt;$M$3),0,1))</f>
        <v>0</v>
      </c>
      <c r="N990" s="1" t="n">
        <f aca="false">IF(OR($N$1="",对接源_01水果!$C990="",对接源_01水果!$C990&lt;&gt;$N$1,对接源_01水果!$B990=""),0,IF(OR(N(对接源_01水果!$B990)&lt;$N$2,N(对接源_01水果!$B990)&gt;$N$3),0,1))</f>
        <v>0</v>
      </c>
      <c r="P990" s="1" t="n">
        <f aca="false">IF(AND($K990=1,AND(对接源_01水果!$X990="公司筐",N(对接源_01水果!$T990)&lt;&gt;0)),1,0)</f>
        <v>0</v>
      </c>
      <c r="Q990" s="1" t="n">
        <f aca="false">N(Q989)+$P990</f>
        <v>3</v>
      </c>
      <c r="R990" s="1" t="n">
        <f aca="false">IF(AND($K990=1,AND(对接源_01水果!$X990="公司筐",N(对接源_01水果!$U990)&lt;&gt;0)),1,0)</f>
        <v>0</v>
      </c>
      <c r="S990" s="1" t="n">
        <f aca="false">N(S989)+$R990</f>
        <v>0</v>
      </c>
      <c r="T990" s="1" t="n">
        <f aca="false">IF(AND($K990=1,AND(对接源_01水果!$X990="公司筐",N(对接源_01水果!$V990)&lt;&gt;0)),1,0)</f>
        <v>0</v>
      </c>
      <c r="U990" s="1" t="n">
        <f aca="false">N(U989)+$T990</f>
        <v>28</v>
      </c>
      <c r="V990" s="1" t="n">
        <f aca="false">IF(AND($L990=1,AND(对接源_01水果!$X990="自备筐",N(对接源_01水果!$V990)&lt;&gt;0)),1,0)</f>
        <v>0</v>
      </c>
      <c r="W990" s="1" t="n">
        <f aca="false">N(W989)+$V990</f>
        <v>7</v>
      </c>
      <c r="X990" s="1" t="n">
        <f aca="false">IF(AND($L990=1,AND(对接源_01水果!$X990="自备筐",N(对接源_01水果!$T990)&lt;&gt;0)),1,0)</f>
        <v>0</v>
      </c>
      <c r="Y990" s="1" t="n">
        <f aca="false">N(Y989)+$X990</f>
        <v>0</v>
      </c>
      <c r="Z990" s="1" t="n">
        <f aca="false">IF(AND($M990=1,对接源_01水果!$D990="原料入库"),1,0)</f>
        <v>0</v>
      </c>
      <c r="AA990" s="1" t="n">
        <f aca="false">N(AA989)+$Z990</f>
        <v>30</v>
      </c>
      <c r="AB990" s="1" t="n">
        <f aca="false">IF(AND($M990=1,LEFT(对接源_01水果!$D990,4)="原料出库"),1,0)</f>
        <v>0</v>
      </c>
      <c r="AC990" s="1" t="n">
        <f aca="false">N(AC989)+$AB990</f>
        <v>19</v>
      </c>
      <c r="AD990" s="1" t="n">
        <f aca="false">IF(AND($M990=1,LEFT(对接源_01水果!$D990,4)="成品出库"),1,0)</f>
        <v>0</v>
      </c>
      <c r="AE990" s="1" t="n">
        <f aca="false">N(AE989)+$AD990</f>
        <v>38</v>
      </c>
      <c r="AF990" s="1" t="n">
        <f aca="false">IF(AND($N990=1,AND(LEFT(对接源_01水果!$D990,4)="包装物料",N(对接源_01水果!$K990)&lt;&gt;0)),1,0)</f>
        <v>0</v>
      </c>
      <c r="AG990" s="90" t="str">
        <f aca="false">IF(对接源_01水果!$AC990="","",对接源_01水果!$AC990)</f>
        <v/>
      </c>
      <c r="AH990" s="1" t="n">
        <f aca="false">IF(AND($N990=1,AND(LEFT(对接源_01水果!$D990,3)="周转筐",N(对接源_01水果!$K990)&lt;&gt;0)),1,0)</f>
        <v>0</v>
      </c>
      <c r="AI990" s="90" t="n">
        <f aca="false">IF(AG990="",0,IF(MATCH(AG990,$AG$4:$AG$1203,0)=ROW()-3,1,0))</f>
        <v>0</v>
      </c>
      <c r="AJ990" s="90" t="n">
        <f aca="false">N(AJ989)+AI990</f>
        <v>4</v>
      </c>
      <c r="AK990" s="1" t="n">
        <f aca="false">N(AK989)+$AJ990</f>
        <v>2820</v>
      </c>
    </row>
    <row r="991" customFormat="false" ht="13.5" hidden="false" customHeight="false" outlineLevel="0" collapsed="false">
      <c r="A991" s="1" t="str">
        <f aca="false">IF(对接源_01水果!$C991="","",对接源_01水果!$C991)</f>
        <v/>
      </c>
      <c r="B991" s="1" t="n">
        <f aca="false">IF(A991="",0,IF(MATCH(A991,$A$4:$A$2403,0)=ROW()-3,1,0))</f>
        <v>0</v>
      </c>
      <c r="C991" s="1" t="n">
        <f aca="false">N(C990)+B991</f>
        <v>13</v>
      </c>
      <c r="K991" s="1" t="n">
        <f aca="false">IF(OR($K$1="",对接源_01水果!$C991="",对接源_01水果!$C991&lt;&gt;$K$1,对接源_01水果!$B991=""),0,IF(OR(N(对接源_01水果!$B991)&lt;$K$2,N(对接源_01水果!$B991)&gt;$K$3),0,1))</f>
        <v>0</v>
      </c>
      <c r="L991" s="1" t="n">
        <f aca="false">IF(OR($L$1="",对接源_01水果!$C991="",对接源_01水果!$C991&lt;&gt;$L$1,对接源_01水果!$B991=""),0,IF(OR(N(对接源_01水果!$B991)&lt;$L$2,N(对接源_01水果!$B991)&gt;$L$3),0,1))</f>
        <v>0</v>
      </c>
      <c r="M991" s="1" t="n">
        <f aca="false">IF(OR($M$1="",对接源_01水果!$C991="",对接源_01水果!$C991&lt;&gt;$M$1,对接源_01水果!$B991=""),0,IF(OR(N(对接源_01水果!$B991)&lt;$M$2,N(对接源_01水果!$B991)&gt;$M$3),0,1))</f>
        <v>0</v>
      </c>
      <c r="N991" s="1" t="n">
        <f aca="false">IF(OR($N$1="",对接源_01水果!$C991="",对接源_01水果!$C991&lt;&gt;$N$1,对接源_01水果!$B991=""),0,IF(OR(N(对接源_01水果!$B991)&lt;$N$2,N(对接源_01水果!$B991)&gt;$N$3),0,1))</f>
        <v>0</v>
      </c>
      <c r="P991" s="1" t="n">
        <f aca="false">IF(AND($K991=1,AND(对接源_01水果!$X991="公司筐",N(对接源_01水果!$T991)&lt;&gt;0)),1,0)</f>
        <v>0</v>
      </c>
      <c r="Q991" s="1" t="n">
        <f aca="false">N(Q990)+$P991</f>
        <v>3</v>
      </c>
      <c r="R991" s="1" t="n">
        <f aca="false">IF(AND($K991=1,AND(对接源_01水果!$X991="公司筐",N(对接源_01水果!$U991)&lt;&gt;0)),1,0)</f>
        <v>0</v>
      </c>
      <c r="S991" s="1" t="n">
        <f aca="false">N(S990)+$R991</f>
        <v>0</v>
      </c>
      <c r="T991" s="1" t="n">
        <f aca="false">IF(AND($K991=1,AND(对接源_01水果!$X991="公司筐",N(对接源_01水果!$V991)&lt;&gt;0)),1,0)</f>
        <v>0</v>
      </c>
      <c r="U991" s="1" t="n">
        <f aca="false">N(U990)+$T991</f>
        <v>28</v>
      </c>
      <c r="V991" s="1" t="n">
        <f aca="false">IF(AND($L991=1,AND(对接源_01水果!$X991="自备筐",N(对接源_01水果!$V991)&lt;&gt;0)),1,0)</f>
        <v>0</v>
      </c>
      <c r="W991" s="1" t="n">
        <f aca="false">N(W990)+$V991</f>
        <v>7</v>
      </c>
      <c r="X991" s="1" t="n">
        <f aca="false">IF(AND($L991=1,AND(对接源_01水果!$X991="自备筐",N(对接源_01水果!$T991)&lt;&gt;0)),1,0)</f>
        <v>0</v>
      </c>
      <c r="Y991" s="1" t="n">
        <f aca="false">N(Y990)+$X991</f>
        <v>0</v>
      </c>
      <c r="Z991" s="1" t="n">
        <f aca="false">IF(AND($M991=1,对接源_01水果!$D991="原料入库"),1,0)</f>
        <v>0</v>
      </c>
      <c r="AA991" s="1" t="n">
        <f aca="false">N(AA990)+$Z991</f>
        <v>30</v>
      </c>
      <c r="AB991" s="1" t="n">
        <f aca="false">IF(AND($M991=1,LEFT(对接源_01水果!$D991,4)="原料出库"),1,0)</f>
        <v>0</v>
      </c>
      <c r="AC991" s="1" t="n">
        <f aca="false">N(AC990)+$AB991</f>
        <v>19</v>
      </c>
      <c r="AD991" s="1" t="n">
        <f aca="false">IF(AND($M991=1,LEFT(对接源_01水果!$D991,4)="成品出库"),1,0)</f>
        <v>0</v>
      </c>
      <c r="AE991" s="1" t="n">
        <f aca="false">N(AE990)+$AD991</f>
        <v>38</v>
      </c>
      <c r="AF991" s="1" t="n">
        <f aca="false">IF(AND($N991=1,AND(LEFT(对接源_01水果!$D991,4)="包装物料",N(对接源_01水果!$K991)&lt;&gt;0)),1,0)</f>
        <v>0</v>
      </c>
      <c r="AG991" s="90" t="str">
        <f aca="false">IF(对接源_01水果!$AC991="","",对接源_01水果!$AC991)</f>
        <v/>
      </c>
      <c r="AH991" s="1" t="n">
        <f aca="false">IF(AND($N991=1,AND(LEFT(对接源_01水果!$D991,3)="周转筐",N(对接源_01水果!$K991)&lt;&gt;0)),1,0)</f>
        <v>0</v>
      </c>
      <c r="AI991" s="90" t="n">
        <f aca="false">IF(AG991="",0,IF(MATCH(AG991,$AG$4:$AG$1203,0)=ROW()-3,1,0))</f>
        <v>0</v>
      </c>
      <c r="AJ991" s="90" t="n">
        <f aca="false">N(AJ990)+AI991</f>
        <v>4</v>
      </c>
      <c r="AK991" s="1" t="n">
        <f aca="false">N(AK990)+$AJ991</f>
        <v>2824</v>
      </c>
    </row>
    <row r="992" customFormat="false" ht="13.5" hidden="false" customHeight="false" outlineLevel="0" collapsed="false">
      <c r="A992" s="1" t="str">
        <f aca="false">IF(对接源_01水果!$C992="","",对接源_01水果!$C992)</f>
        <v/>
      </c>
      <c r="B992" s="1" t="n">
        <f aca="false">IF(A992="",0,IF(MATCH(A992,$A$4:$A$2403,0)=ROW()-3,1,0))</f>
        <v>0</v>
      </c>
      <c r="C992" s="1" t="n">
        <f aca="false">N(C991)+B992</f>
        <v>13</v>
      </c>
      <c r="K992" s="1" t="n">
        <f aca="false">IF(OR($K$1="",对接源_01水果!$C992="",对接源_01水果!$C992&lt;&gt;$K$1,对接源_01水果!$B992=""),0,IF(OR(N(对接源_01水果!$B992)&lt;$K$2,N(对接源_01水果!$B992)&gt;$K$3),0,1))</f>
        <v>0</v>
      </c>
      <c r="L992" s="1" t="n">
        <f aca="false">IF(OR($L$1="",对接源_01水果!$C992="",对接源_01水果!$C992&lt;&gt;$L$1,对接源_01水果!$B992=""),0,IF(OR(N(对接源_01水果!$B992)&lt;$L$2,N(对接源_01水果!$B992)&gt;$L$3),0,1))</f>
        <v>0</v>
      </c>
      <c r="M992" s="1" t="n">
        <f aca="false">IF(OR($M$1="",对接源_01水果!$C992="",对接源_01水果!$C992&lt;&gt;$M$1,对接源_01水果!$B992=""),0,IF(OR(N(对接源_01水果!$B992)&lt;$M$2,N(对接源_01水果!$B992)&gt;$M$3),0,1))</f>
        <v>0</v>
      </c>
      <c r="N992" s="1" t="n">
        <f aca="false">IF(OR($N$1="",对接源_01水果!$C992="",对接源_01水果!$C992&lt;&gt;$N$1,对接源_01水果!$B992=""),0,IF(OR(N(对接源_01水果!$B992)&lt;$N$2,N(对接源_01水果!$B992)&gt;$N$3),0,1))</f>
        <v>0</v>
      </c>
      <c r="P992" s="1" t="n">
        <f aca="false">IF(AND($K992=1,AND(对接源_01水果!$X992="公司筐",N(对接源_01水果!$T992)&lt;&gt;0)),1,0)</f>
        <v>0</v>
      </c>
      <c r="Q992" s="1" t="n">
        <f aca="false">N(Q991)+$P992</f>
        <v>3</v>
      </c>
      <c r="R992" s="1" t="n">
        <f aca="false">IF(AND($K992=1,AND(对接源_01水果!$X992="公司筐",N(对接源_01水果!$U992)&lt;&gt;0)),1,0)</f>
        <v>0</v>
      </c>
      <c r="S992" s="1" t="n">
        <f aca="false">N(S991)+$R992</f>
        <v>0</v>
      </c>
      <c r="T992" s="1" t="n">
        <f aca="false">IF(AND($K992=1,AND(对接源_01水果!$X992="公司筐",N(对接源_01水果!$V992)&lt;&gt;0)),1,0)</f>
        <v>0</v>
      </c>
      <c r="U992" s="1" t="n">
        <f aca="false">N(U991)+$T992</f>
        <v>28</v>
      </c>
      <c r="V992" s="1" t="n">
        <f aca="false">IF(AND($L992=1,AND(对接源_01水果!$X992="自备筐",N(对接源_01水果!$V992)&lt;&gt;0)),1,0)</f>
        <v>0</v>
      </c>
      <c r="W992" s="1" t="n">
        <f aca="false">N(W991)+$V992</f>
        <v>7</v>
      </c>
      <c r="X992" s="1" t="n">
        <f aca="false">IF(AND($L992=1,AND(对接源_01水果!$X992="自备筐",N(对接源_01水果!$T992)&lt;&gt;0)),1,0)</f>
        <v>0</v>
      </c>
      <c r="Y992" s="1" t="n">
        <f aca="false">N(Y991)+$X992</f>
        <v>0</v>
      </c>
      <c r="Z992" s="1" t="n">
        <f aca="false">IF(AND($M992=1,对接源_01水果!$D992="原料入库"),1,0)</f>
        <v>0</v>
      </c>
      <c r="AA992" s="1" t="n">
        <f aca="false">N(AA991)+$Z992</f>
        <v>30</v>
      </c>
      <c r="AB992" s="1" t="n">
        <f aca="false">IF(AND($M992=1,LEFT(对接源_01水果!$D992,4)="原料出库"),1,0)</f>
        <v>0</v>
      </c>
      <c r="AC992" s="1" t="n">
        <f aca="false">N(AC991)+$AB992</f>
        <v>19</v>
      </c>
      <c r="AD992" s="1" t="n">
        <f aca="false">IF(AND($M992=1,LEFT(对接源_01水果!$D992,4)="成品出库"),1,0)</f>
        <v>0</v>
      </c>
      <c r="AE992" s="1" t="n">
        <f aca="false">N(AE991)+$AD992</f>
        <v>38</v>
      </c>
      <c r="AF992" s="1" t="n">
        <f aca="false">IF(AND($N992=1,AND(LEFT(对接源_01水果!$D992,4)="包装物料",N(对接源_01水果!$K992)&lt;&gt;0)),1,0)</f>
        <v>0</v>
      </c>
      <c r="AG992" s="90" t="str">
        <f aca="false">IF(对接源_01水果!$AC992="","",对接源_01水果!$AC992)</f>
        <v/>
      </c>
      <c r="AH992" s="1" t="n">
        <f aca="false">IF(AND($N992=1,AND(LEFT(对接源_01水果!$D992,3)="周转筐",N(对接源_01水果!$K992)&lt;&gt;0)),1,0)</f>
        <v>0</v>
      </c>
      <c r="AI992" s="90" t="n">
        <f aca="false">IF(AG992="",0,IF(MATCH(AG992,$AG$4:$AG$1203,0)=ROW()-3,1,0))</f>
        <v>0</v>
      </c>
      <c r="AJ992" s="90" t="n">
        <f aca="false">N(AJ991)+AI992</f>
        <v>4</v>
      </c>
      <c r="AK992" s="1" t="n">
        <f aca="false">N(AK991)+$AJ992</f>
        <v>2828</v>
      </c>
    </row>
    <row r="993" customFormat="false" ht="13.5" hidden="false" customHeight="false" outlineLevel="0" collapsed="false">
      <c r="A993" s="1" t="str">
        <f aca="false">IF(对接源_01水果!$C993="","",对接源_01水果!$C993)</f>
        <v/>
      </c>
      <c r="B993" s="1" t="n">
        <f aca="false">IF(A993="",0,IF(MATCH(A993,$A$4:$A$2403,0)=ROW()-3,1,0))</f>
        <v>0</v>
      </c>
      <c r="C993" s="1" t="n">
        <f aca="false">N(C992)+B993</f>
        <v>13</v>
      </c>
      <c r="K993" s="1" t="n">
        <f aca="false">IF(OR($K$1="",对接源_01水果!$C993="",对接源_01水果!$C993&lt;&gt;$K$1,对接源_01水果!$B993=""),0,IF(OR(N(对接源_01水果!$B993)&lt;$K$2,N(对接源_01水果!$B993)&gt;$K$3),0,1))</f>
        <v>0</v>
      </c>
      <c r="L993" s="1" t="n">
        <f aca="false">IF(OR($L$1="",对接源_01水果!$C993="",对接源_01水果!$C993&lt;&gt;$L$1,对接源_01水果!$B993=""),0,IF(OR(N(对接源_01水果!$B993)&lt;$L$2,N(对接源_01水果!$B993)&gt;$L$3),0,1))</f>
        <v>0</v>
      </c>
      <c r="M993" s="1" t="n">
        <f aca="false">IF(OR($M$1="",对接源_01水果!$C993="",对接源_01水果!$C993&lt;&gt;$M$1,对接源_01水果!$B993=""),0,IF(OR(N(对接源_01水果!$B993)&lt;$M$2,N(对接源_01水果!$B993)&gt;$M$3),0,1))</f>
        <v>0</v>
      </c>
      <c r="N993" s="1" t="n">
        <f aca="false">IF(OR($N$1="",对接源_01水果!$C993="",对接源_01水果!$C993&lt;&gt;$N$1,对接源_01水果!$B993=""),0,IF(OR(N(对接源_01水果!$B993)&lt;$N$2,N(对接源_01水果!$B993)&gt;$N$3),0,1))</f>
        <v>0</v>
      </c>
      <c r="P993" s="1" t="n">
        <f aca="false">IF(AND($K993=1,AND(对接源_01水果!$X993="公司筐",N(对接源_01水果!$T993)&lt;&gt;0)),1,0)</f>
        <v>0</v>
      </c>
      <c r="Q993" s="1" t="n">
        <f aca="false">N(Q992)+$P993</f>
        <v>3</v>
      </c>
      <c r="R993" s="1" t="n">
        <f aca="false">IF(AND($K993=1,AND(对接源_01水果!$X993="公司筐",N(对接源_01水果!$U993)&lt;&gt;0)),1,0)</f>
        <v>0</v>
      </c>
      <c r="S993" s="1" t="n">
        <f aca="false">N(S992)+$R993</f>
        <v>0</v>
      </c>
      <c r="T993" s="1" t="n">
        <f aca="false">IF(AND($K993=1,AND(对接源_01水果!$X993="公司筐",N(对接源_01水果!$V993)&lt;&gt;0)),1,0)</f>
        <v>0</v>
      </c>
      <c r="U993" s="1" t="n">
        <f aca="false">N(U992)+$T993</f>
        <v>28</v>
      </c>
      <c r="V993" s="1" t="n">
        <f aca="false">IF(AND($L993=1,AND(对接源_01水果!$X993="自备筐",N(对接源_01水果!$V993)&lt;&gt;0)),1,0)</f>
        <v>0</v>
      </c>
      <c r="W993" s="1" t="n">
        <f aca="false">N(W992)+$V993</f>
        <v>7</v>
      </c>
      <c r="X993" s="1" t="n">
        <f aca="false">IF(AND($L993=1,AND(对接源_01水果!$X993="自备筐",N(对接源_01水果!$T993)&lt;&gt;0)),1,0)</f>
        <v>0</v>
      </c>
      <c r="Y993" s="1" t="n">
        <f aca="false">N(Y992)+$X993</f>
        <v>0</v>
      </c>
      <c r="Z993" s="1" t="n">
        <f aca="false">IF(AND($M993=1,对接源_01水果!$D993="原料入库"),1,0)</f>
        <v>0</v>
      </c>
      <c r="AA993" s="1" t="n">
        <f aca="false">N(AA992)+$Z993</f>
        <v>30</v>
      </c>
      <c r="AB993" s="1" t="n">
        <f aca="false">IF(AND($M993=1,LEFT(对接源_01水果!$D993,4)="原料出库"),1,0)</f>
        <v>0</v>
      </c>
      <c r="AC993" s="1" t="n">
        <f aca="false">N(AC992)+$AB993</f>
        <v>19</v>
      </c>
      <c r="AD993" s="1" t="n">
        <f aca="false">IF(AND($M993=1,LEFT(对接源_01水果!$D993,4)="成品出库"),1,0)</f>
        <v>0</v>
      </c>
      <c r="AE993" s="1" t="n">
        <f aca="false">N(AE992)+$AD993</f>
        <v>38</v>
      </c>
      <c r="AF993" s="1" t="n">
        <f aca="false">IF(AND($N993=1,AND(LEFT(对接源_01水果!$D993,4)="包装物料",N(对接源_01水果!$K993)&lt;&gt;0)),1,0)</f>
        <v>0</v>
      </c>
      <c r="AG993" s="90" t="str">
        <f aca="false">IF(对接源_01水果!$AC993="","",对接源_01水果!$AC993)</f>
        <v/>
      </c>
      <c r="AH993" s="1" t="n">
        <f aca="false">IF(AND($N993=1,AND(LEFT(对接源_01水果!$D993,3)="周转筐",N(对接源_01水果!$K993)&lt;&gt;0)),1,0)</f>
        <v>0</v>
      </c>
      <c r="AI993" s="90" t="n">
        <f aca="false">IF(AG993="",0,IF(MATCH(AG993,$AG$4:$AG$1203,0)=ROW()-3,1,0))</f>
        <v>0</v>
      </c>
      <c r="AJ993" s="90" t="n">
        <f aca="false">N(AJ992)+AI993</f>
        <v>4</v>
      </c>
      <c r="AK993" s="1" t="n">
        <f aca="false">N(AK992)+$AJ993</f>
        <v>2832</v>
      </c>
    </row>
    <row r="994" customFormat="false" ht="13.5" hidden="false" customHeight="false" outlineLevel="0" collapsed="false">
      <c r="A994" s="1" t="str">
        <f aca="false">IF(对接源_01水果!$C994="","",对接源_01水果!$C994)</f>
        <v/>
      </c>
      <c r="B994" s="1" t="n">
        <f aca="false">IF(A994="",0,IF(MATCH(A994,$A$4:$A$2403,0)=ROW()-3,1,0))</f>
        <v>0</v>
      </c>
      <c r="C994" s="1" t="n">
        <f aca="false">N(C993)+B994</f>
        <v>13</v>
      </c>
      <c r="K994" s="1" t="n">
        <f aca="false">IF(OR($K$1="",对接源_01水果!$C994="",对接源_01水果!$C994&lt;&gt;$K$1,对接源_01水果!$B994=""),0,IF(OR(N(对接源_01水果!$B994)&lt;$K$2,N(对接源_01水果!$B994)&gt;$K$3),0,1))</f>
        <v>0</v>
      </c>
      <c r="L994" s="1" t="n">
        <f aca="false">IF(OR($L$1="",对接源_01水果!$C994="",对接源_01水果!$C994&lt;&gt;$L$1,对接源_01水果!$B994=""),0,IF(OR(N(对接源_01水果!$B994)&lt;$L$2,N(对接源_01水果!$B994)&gt;$L$3),0,1))</f>
        <v>0</v>
      </c>
      <c r="M994" s="1" t="n">
        <f aca="false">IF(OR($M$1="",对接源_01水果!$C994="",对接源_01水果!$C994&lt;&gt;$M$1,对接源_01水果!$B994=""),0,IF(OR(N(对接源_01水果!$B994)&lt;$M$2,N(对接源_01水果!$B994)&gt;$M$3),0,1))</f>
        <v>0</v>
      </c>
      <c r="N994" s="1" t="n">
        <f aca="false">IF(OR($N$1="",对接源_01水果!$C994="",对接源_01水果!$C994&lt;&gt;$N$1,对接源_01水果!$B994=""),0,IF(OR(N(对接源_01水果!$B994)&lt;$N$2,N(对接源_01水果!$B994)&gt;$N$3),0,1))</f>
        <v>0</v>
      </c>
      <c r="P994" s="1" t="n">
        <f aca="false">IF(AND($K994=1,AND(对接源_01水果!$X994="公司筐",N(对接源_01水果!$T994)&lt;&gt;0)),1,0)</f>
        <v>0</v>
      </c>
      <c r="Q994" s="1" t="n">
        <f aca="false">N(Q993)+$P994</f>
        <v>3</v>
      </c>
      <c r="R994" s="1" t="n">
        <f aca="false">IF(AND($K994=1,AND(对接源_01水果!$X994="公司筐",N(对接源_01水果!$U994)&lt;&gt;0)),1,0)</f>
        <v>0</v>
      </c>
      <c r="S994" s="1" t="n">
        <f aca="false">N(S993)+$R994</f>
        <v>0</v>
      </c>
      <c r="T994" s="1" t="n">
        <f aca="false">IF(AND($K994=1,AND(对接源_01水果!$X994="公司筐",N(对接源_01水果!$V994)&lt;&gt;0)),1,0)</f>
        <v>0</v>
      </c>
      <c r="U994" s="1" t="n">
        <f aca="false">N(U993)+$T994</f>
        <v>28</v>
      </c>
      <c r="V994" s="1" t="n">
        <f aca="false">IF(AND($L994=1,AND(对接源_01水果!$X994="自备筐",N(对接源_01水果!$V994)&lt;&gt;0)),1,0)</f>
        <v>0</v>
      </c>
      <c r="W994" s="1" t="n">
        <f aca="false">N(W993)+$V994</f>
        <v>7</v>
      </c>
      <c r="X994" s="1" t="n">
        <f aca="false">IF(AND($L994=1,AND(对接源_01水果!$X994="自备筐",N(对接源_01水果!$T994)&lt;&gt;0)),1,0)</f>
        <v>0</v>
      </c>
      <c r="Y994" s="1" t="n">
        <f aca="false">N(Y993)+$X994</f>
        <v>0</v>
      </c>
      <c r="Z994" s="1" t="n">
        <f aca="false">IF(AND($M994=1,对接源_01水果!$D994="原料入库"),1,0)</f>
        <v>0</v>
      </c>
      <c r="AA994" s="1" t="n">
        <f aca="false">N(AA993)+$Z994</f>
        <v>30</v>
      </c>
      <c r="AB994" s="1" t="n">
        <f aca="false">IF(AND($M994=1,LEFT(对接源_01水果!$D994,4)="原料出库"),1,0)</f>
        <v>0</v>
      </c>
      <c r="AC994" s="1" t="n">
        <f aca="false">N(AC993)+$AB994</f>
        <v>19</v>
      </c>
      <c r="AD994" s="1" t="n">
        <f aca="false">IF(AND($M994=1,LEFT(对接源_01水果!$D994,4)="成品出库"),1,0)</f>
        <v>0</v>
      </c>
      <c r="AE994" s="1" t="n">
        <f aca="false">N(AE993)+$AD994</f>
        <v>38</v>
      </c>
      <c r="AF994" s="1" t="n">
        <f aca="false">IF(AND($N994=1,AND(LEFT(对接源_01水果!$D994,4)="包装物料",N(对接源_01水果!$K994)&lt;&gt;0)),1,0)</f>
        <v>0</v>
      </c>
      <c r="AG994" s="90" t="str">
        <f aca="false">IF(对接源_01水果!$AC994="","",对接源_01水果!$AC994)</f>
        <v/>
      </c>
      <c r="AH994" s="1" t="n">
        <f aca="false">IF(AND($N994=1,AND(LEFT(对接源_01水果!$D994,3)="周转筐",N(对接源_01水果!$K994)&lt;&gt;0)),1,0)</f>
        <v>0</v>
      </c>
      <c r="AI994" s="90" t="n">
        <f aca="false">IF(AG994="",0,IF(MATCH(AG994,$AG$4:$AG$1203,0)=ROW()-3,1,0))</f>
        <v>0</v>
      </c>
      <c r="AJ994" s="90" t="n">
        <f aca="false">N(AJ993)+AI994</f>
        <v>4</v>
      </c>
      <c r="AK994" s="1" t="n">
        <f aca="false">N(AK993)+$AJ994</f>
        <v>2836</v>
      </c>
    </row>
    <row r="995" customFormat="false" ht="13.5" hidden="false" customHeight="false" outlineLevel="0" collapsed="false">
      <c r="A995" s="1" t="str">
        <f aca="false">IF(对接源_01水果!$C995="","",对接源_01水果!$C995)</f>
        <v/>
      </c>
      <c r="B995" s="1" t="n">
        <f aca="false">IF(A995="",0,IF(MATCH(A995,$A$4:$A$2403,0)=ROW()-3,1,0))</f>
        <v>0</v>
      </c>
      <c r="C995" s="1" t="n">
        <f aca="false">N(C994)+B995</f>
        <v>13</v>
      </c>
      <c r="K995" s="1" t="n">
        <f aca="false">IF(OR($K$1="",对接源_01水果!$C995="",对接源_01水果!$C995&lt;&gt;$K$1,对接源_01水果!$B995=""),0,IF(OR(N(对接源_01水果!$B995)&lt;$K$2,N(对接源_01水果!$B995)&gt;$K$3),0,1))</f>
        <v>0</v>
      </c>
      <c r="L995" s="1" t="n">
        <f aca="false">IF(OR($L$1="",对接源_01水果!$C995="",对接源_01水果!$C995&lt;&gt;$L$1,对接源_01水果!$B995=""),0,IF(OR(N(对接源_01水果!$B995)&lt;$L$2,N(对接源_01水果!$B995)&gt;$L$3),0,1))</f>
        <v>0</v>
      </c>
      <c r="M995" s="1" t="n">
        <f aca="false">IF(OR($M$1="",对接源_01水果!$C995="",对接源_01水果!$C995&lt;&gt;$M$1,对接源_01水果!$B995=""),0,IF(OR(N(对接源_01水果!$B995)&lt;$M$2,N(对接源_01水果!$B995)&gt;$M$3),0,1))</f>
        <v>0</v>
      </c>
      <c r="N995" s="1" t="n">
        <f aca="false">IF(OR($N$1="",对接源_01水果!$C995="",对接源_01水果!$C995&lt;&gt;$N$1,对接源_01水果!$B995=""),0,IF(OR(N(对接源_01水果!$B995)&lt;$N$2,N(对接源_01水果!$B995)&gt;$N$3),0,1))</f>
        <v>0</v>
      </c>
      <c r="P995" s="1" t="n">
        <f aca="false">IF(AND($K995=1,AND(对接源_01水果!$X995="公司筐",N(对接源_01水果!$T995)&lt;&gt;0)),1,0)</f>
        <v>0</v>
      </c>
      <c r="Q995" s="1" t="n">
        <f aca="false">N(Q994)+$P995</f>
        <v>3</v>
      </c>
      <c r="R995" s="1" t="n">
        <f aca="false">IF(AND($K995=1,AND(对接源_01水果!$X995="公司筐",N(对接源_01水果!$U995)&lt;&gt;0)),1,0)</f>
        <v>0</v>
      </c>
      <c r="S995" s="1" t="n">
        <f aca="false">N(S994)+$R995</f>
        <v>0</v>
      </c>
      <c r="T995" s="1" t="n">
        <f aca="false">IF(AND($K995=1,AND(对接源_01水果!$X995="公司筐",N(对接源_01水果!$V995)&lt;&gt;0)),1,0)</f>
        <v>0</v>
      </c>
      <c r="U995" s="1" t="n">
        <f aca="false">N(U994)+$T995</f>
        <v>28</v>
      </c>
      <c r="V995" s="1" t="n">
        <f aca="false">IF(AND($L995=1,AND(对接源_01水果!$X995="自备筐",N(对接源_01水果!$V995)&lt;&gt;0)),1,0)</f>
        <v>0</v>
      </c>
      <c r="W995" s="1" t="n">
        <f aca="false">N(W994)+$V995</f>
        <v>7</v>
      </c>
      <c r="X995" s="1" t="n">
        <f aca="false">IF(AND($L995=1,AND(对接源_01水果!$X995="自备筐",N(对接源_01水果!$T995)&lt;&gt;0)),1,0)</f>
        <v>0</v>
      </c>
      <c r="Y995" s="1" t="n">
        <f aca="false">N(Y994)+$X995</f>
        <v>0</v>
      </c>
      <c r="Z995" s="1" t="n">
        <f aca="false">IF(AND($M995=1,对接源_01水果!$D995="原料入库"),1,0)</f>
        <v>0</v>
      </c>
      <c r="AA995" s="1" t="n">
        <f aca="false">N(AA994)+$Z995</f>
        <v>30</v>
      </c>
      <c r="AB995" s="1" t="n">
        <f aca="false">IF(AND($M995=1,LEFT(对接源_01水果!$D995,4)="原料出库"),1,0)</f>
        <v>0</v>
      </c>
      <c r="AC995" s="1" t="n">
        <f aca="false">N(AC994)+$AB995</f>
        <v>19</v>
      </c>
      <c r="AD995" s="1" t="n">
        <f aca="false">IF(AND($M995=1,LEFT(对接源_01水果!$D995,4)="成品出库"),1,0)</f>
        <v>0</v>
      </c>
      <c r="AE995" s="1" t="n">
        <f aca="false">N(AE994)+$AD995</f>
        <v>38</v>
      </c>
      <c r="AF995" s="1" t="n">
        <f aca="false">IF(AND($N995=1,AND(LEFT(对接源_01水果!$D995,4)="包装物料",N(对接源_01水果!$K995)&lt;&gt;0)),1,0)</f>
        <v>0</v>
      </c>
      <c r="AG995" s="90" t="str">
        <f aca="false">IF(对接源_01水果!$AC995="","",对接源_01水果!$AC995)</f>
        <v/>
      </c>
      <c r="AH995" s="1" t="n">
        <f aca="false">IF(AND($N995=1,AND(LEFT(对接源_01水果!$D995,3)="周转筐",N(对接源_01水果!$K995)&lt;&gt;0)),1,0)</f>
        <v>0</v>
      </c>
      <c r="AI995" s="90" t="n">
        <f aca="false">IF(AG995="",0,IF(MATCH(AG995,$AG$4:$AG$1203,0)=ROW()-3,1,0))</f>
        <v>0</v>
      </c>
      <c r="AJ995" s="90" t="n">
        <f aca="false">N(AJ994)+AI995</f>
        <v>4</v>
      </c>
      <c r="AK995" s="1" t="n">
        <f aca="false">N(AK994)+$AJ995</f>
        <v>2840</v>
      </c>
    </row>
    <row r="996" customFormat="false" ht="13.5" hidden="false" customHeight="false" outlineLevel="0" collapsed="false">
      <c r="A996" s="1" t="str">
        <f aca="false">IF(对接源_01水果!$C996="","",对接源_01水果!$C996)</f>
        <v/>
      </c>
      <c r="B996" s="1" t="n">
        <f aca="false">IF(A996="",0,IF(MATCH(A996,$A$4:$A$2403,0)=ROW()-3,1,0))</f>
        <v>0</v>
      </c>
      <c r="C996" s="1" t="n">
        <f aca="false">N(C995)+B996</f>
        <v>13</v>
      </c>
      <c r="K996" s="1" t="n">
        <f aca="false">IF(OR($K$1="",对接源_01水果!$C996="",对接源_01水果!$C996&lt;&gt;$K$1,对接源_01水果!$B996=""),0,IF(OR(N(对接源_01水果!$B996)&lt;$K$2,N(对接源_01水果!$B996)&gt;$K$3),0,1))</f>
        <v>0</v>
      </c>
      <c r="L996" s="1" t="n">
        <f aca="false">IF(OR($L$1="",对接源_01水果!$C996="",对接源_01水果!$C996&lt;&gt;$L$1,对接源_01水果!$B996=""),0,IF(OR(N(对接源_01水果!$B996)&lt;$L$2,N(对接源_01水果!$B996)&gt;$L$3),0,1))</f>
        <v>0</v>
      </c>
      <c r="M996" s="1" t="n">
        <f aca="false">IF(OR($M$1="",对接源_01水果!$C996="",对接源_01水果!$C996&lt;&gt;$M$1,对接源_01水果!$B996=""),0,IF(OR(N(对接源_01水果!$B996)&lt;$M$2,N(对接源_01水果!$B996)&gt;$M$3),0,1))</f>
        <v>0</v>
      </c>
      <c r="N996" s="1" t="n">
        <f aca="false">IF(OR($N$1="",对接源_01水果!$C996="",对接源_01水果!$C996&lt;&gt;$N$1,对接源_01水果!$B996=""),0,IF(OR(N(对接源_01水果!$B996)&lt;$N$2,N(对接源_01水果!$B996)&gt;$N$3),0,1))</f>
        <v>0</v>
      </c>
      <c r="P996" s="1" t="n">
        <f aca="false">IF(AND($K996=1,AND(对接源_01水果!$X996="公司筐",N(对接源_01水果!$T996)&lt;&gt;0)),1,0)</f>
        <v>0</v>
      </c>
      <c r="Q996" s="1" t="n">
        <f aca="false">N(Q995)+$P996</f>
        <v>3</v>
      </c>
      <c r="R996" s="1" t="n">
        <f aca="false">IF(AND($K996=1,AND(对接源_01水果!$X996="公司筐",N(对接源_01水果!$U996)&lt;&gt;0)),1,0)</f>
        <v>0</v>
      </c>
      <c r="S996" s="1" t="n">
        <f aca="false">N(S995)+$R996</f>
        <v>0</v>
      </c>
      <c r="T996" s="1" t="n">
        <f aca="false">IF(AND($K996=1,AND(对接源_01水果!$X996="公司筐",N(对接源_01水果!$V996)&lt;&gt;0)),1,0)</f>
        <v>0</v>
      </c>
      <c r="U996" s="1" t="n">
        <f aca="false">N(U995)+$T996</f>
        <v>28</v>
      </c>
      <c r="V996" s="1" t="n">
        <f aca="false">IF(AND($L996=1,AND(对接源_01水果!$X996="自备筐",N(对接源_01水果!$V996)&lt;&gt;0)),1,0)</f>
        <v>0</v>
      </c>
      <c r="W996" s="1" t="n">
        <f aca="false">N(W995)+$V996</f>
        <v>7</v>
      </c>
      <c r="X996" s="1" t="n">
        <f aca="false">IF(AND($L996=1,AND(对接源_01水果!$X996="自备筐",N(对接源_01水果!$T996)&lt;&gt;0)),1,0)</f>
        <v>0</v>
      </c>
      <c r="Y996" s="1" t="n">
        <f aca="false">N(Y995)+$X996</f>
        <v>0</v>
      </c>
      <c r="Z996" s="1" t="n">
        <f aca="false">IF(AND($M996=1,对接源_01水果!$D996="原料入库"),1,0)</f>
        <v>0</v>
      </c>
      <c r="AA996" s="1" t="n">
        <f aca="false">N(AA995)+$Z996</f>
        <v>30</v>
      </c>
      <c r="AB996" s="1" t="n">
        <f aca="false">IF(AND($M996=1,LEFT(对接源_01水果!$D996,4)="原料出库"),1,0)</f>
        <v>0</v>
      </c>
      <c r="AC996" s="1" t="n">
        <f aca="false">N(AC995)+$AB996</f>
        <v>19</v>
      </c>
      <c r="AD996" s="1" t="n">
        <f aca="false">IF(AND($M996=1,LEFT(对接源_01水果!$D996,4)="成品出库"),1,0)</f>
        <v>0</v>
      </c>
      <c r="AE996" s="1" t="n">
        <f aca="false">N(AE995)+$AD996</f>
        <v>38</v>
      </c>
      <c r="AF996" s="1" t="n">
        <f aca="false">IF(AND($N996=1,AND(LEFT(对接源_01水果!$D996,4)="包装物料",N(对接源_01水果!$K996)&lt;&gt;0)),1,0)</f>
        <v>0</v>
      </c>
      <c r="AG996" s="90" t="str">
        <f aca="false">IF(对接源_01水果!$AC996="","",对接源_01水果!$AC996)</f>
        <v/>
      </c>
      <c r="AH996" s="1" t="n">
        <f aca="false">IF(AND($N996=1,AND(LEFT(对接源_01水果!$D996,3)="周转筐",N(对接源_01水果!$K996)&lt;&gt;0)),1,0)</f>
        <v>0</v>
      </c>
      <c r="AI996" s="90" t="n">
        <f aca="false">IF(AG996="",0,IF(MATCH(AG996,$AG$4:$AG$1203,0)=ROW()-3,1,0))</f>
        <v>0</v>
      </c>
      <c r="AJ996" s="90" t="n">
        <f aca="false">N(AJ995)+AI996</f>
        <v>4</v>
      </c>
      <c r="AK996" s="1" t="n">
        <f aca="false">N(AK995)+$AJ996</f>
        <v>2844</v>
      </c>
    </row>
    <row r="997" customFormat="false" ht="13.5" hidden="false" customHeight="false" outlineLevel="0" collapsed="false">
      <c r="A997" s="1" t="str">
        <f aca="false">IF(对接源_01水果!$C997="","",对接源_01水果!$C997)</f>
        <v/>
      </c>
      <c r="B997" s="1" t="n">
        <f aca="false">IF(A997="",0,IF(MATCH(A997,$A$4:$A$2403,0)=ROW()-3,1,0))</f>
        <v>0</v>
      </c>
      <c r="C997" s="1" t="n">
        <f aca="false">N(C996)+B997</f>
        <v>13</v>
      </c>
      <c r="K997" s="1" t="n">
        <f aca="false">IF(OR($K$1="",对接源_01水果!$C997="",对接源_01水果!$C997&lt;&gt;$K$1,对接源_01水果!$B997=""),0,IF(OR(N(对接源_01水果!$B997)&lt;$K$2,N(对接源_01水果!$B997)&gt;$K$3),0,1))</f>
        <v>0</v>
      </c>
      <c r="L997" s="1" t="n">
        <f aca="false">IF(OR($L$1="",对接源_01水果!$C997="",对接源_01水果!$C997&lt;&gt;$L$1,对接源_01水果!$B997=""),0,IF(OR(N(对接源_01水果!$B997)&lt;$L$2,N(对接源_01水果!$B997)&gt;$L$3),0,1))</f>
        <v>0</v>
      </c>
      <c r="M997" s="1" t="n">
        <f aca="false">IF(OR($M$1="",对接源_01水果!$C997="",对接源_01水果!$C997&lt;&gt;$M$1,对接源_01水果!$B997=""),0,IF(OR(N(对接源_01水果!$B997)&lt;$M$2,N(对接源_01水果!$B997)&gt;$M$3),0,1))</f>
        <v>0</v>
      </c>
      <c r="N997" s="1" t="n">
        <f aca="false">IF(OR($N$1="",对接源_01水果!$C997="",对接源_01水果!$C997&lt;&gt;$N$1,对接源_01水果!$B997=""),0,IF(OR(N(对接源_01水果!$B997)&lt;$N$2,N(对接源_01水果!$B997)&gt;$N$3),0,1))</f>
        <v>0</v>
      </c>
      <c r="P997" s="1" t="n">
        <f aca="false">IF(AND($K997=1,AND(对接源_01水果!$X997="公司筐",N(对接源_01水果!$T997)&lt;&gt;0)),1,0)</f>
        <v>0</v>
      </c>
      <c r="Q997" s="1" t="n">
        <f aca="false">N(Q996)+$P997</f>
        <v>3</v>
      </c>
      <c r="R997" s="1" t="n">
        <f aca="false">IF(AND($K997=1,AND(对接源_01水果!$X997="公司筐",N(对接源_01水果!$U997)&lt;&gt;0)),1,0)</f>
        <v>0</v>
      </c>
      <c r="S997" s="1" t="n">
        <f aca="false">N(S996)+$R997</f>
        <v>0</v>
      </c>
      <c r="T997" s="1" t="n">
        <f aca="false">IF(AND($K997=1,AND(对接源_01水果!$X997="公司筐",N(对接源_01水果!$V997)&lt;&gt;0)),1,0)</f>
        <v>0</v>
      </c>
      <c r="U997" s="1" t="n">
        <f aca="false">N(U996)+$T997</f>
        <v>28</v>
      </c>
      <c r="V997" s="1" t="n">
        <f aca="false">IF(AND($L997=1,AND(对接源_01水果!$X997="自备筐",N(对接源_01水果!$V997)&lt;&gt;0)),1,0)</f>
        <v>0</v>
      </c>
      <c r="W997" s="1" t="n">
        <f aca="false">N(W996)+$V997</f>
        <v>7</v>
      </c>
      <c r="X997" s="1" t="n">
        <f aca="false">IF(AND($L997=1,AND(对接源_01水果!$X997="自备筐",N(对接源_01水果!$T997)&lt;&gt;0)),1,0)</f>
        <v>0</v>
      </c>
      <c r="Y997" s="1" t="n">
        <f aca="false">N(Y996)+$X997</f>
        <v>0</v>
      </c>
      <c r="Z997" s="1" t="n">
        <f aca="false">IF(AND($M997=1,对接源_01水果!$D997="原料入库"),1,0)</f>
        <v>0</v>
      </c>
      <c r="AA997" s="1" t="n">
        <f aca="false">N(AA996)+$Z997</f>
        <v>30</v>
      </c>
      <c r="AB997" s="1" t="n">
        <f aca="false">IF(AND($M997=1,LEFT(对接源_01水果!$D997,4)="原料出库"),1,0)</f>
        <v>0</v>
      </c>
      <c r="AC997" s="1" t="n">
        <f aca="false">N(AC996)+$AB997</f>
        <v>19</v>
      </c>
      <c r="AD997" s="1" t="n">
        <f aca="false">IF(AND($M997=1,LEFT(对接源_01水果!$D997,4)="成品出库"),1,0)</f>
        <v>0</v>
      </c>
      <c r="AE997" s="1" t="n">
        <f aca="false">N(AE996)+$AD997</f>
        <v>38</v>
      </c>
      <c r="AF997" s="1" t="n">
        <f aca="false">IF(AND($N997=1,AND(LEFT(对接源_01水果!$D997,4)="包装物料",N(对接源_01水果!$K997)&lt;&gt;0)),1,0)</f>
        <v>0</v>
      </c>
      <c r="AG997" s="90" t="str">
        <f aca="false">IF(对接源_01水果!$AC997="","",对接源_01水果!$AC997)</f>
        <v/>
      </c>
      <c r="AH997" s="1" t="n">
        <f aca="false">IF(AND($N997=1,AND(LEFT(对接源_01水果!$D997,3)="周转筐",N(对接源_01水果!$K997)&lt;&gt;0)),1,0)</f>
        <v>0</v>
      </c>
      <c r="AI997" s="90" t="n">
        <f aca="false">IF(AG997="",0,IF(MATCH(AG997,$AG$4:$AG$1203,0)=ROW()-3,1,0))</f>
        <v>0</v>
      </c>
      <c r="AJ997" s="90" t="n">
        <f aca="false">N(AJ996)+AI997</f>
        <v>4</v>
      </c>
      <c r="AK997" s="1" t="n">
        <f aca="false">N(AK996)+$AJ997</f>
        <v>2848</v>
      </c>
    </row>
    <row r="998" customFormat="false" ht="13.5" hidden="false" customHeight="false" outlineLevel="0" collapsed="false">
      <c r="A998" s="1" t="str">
        <f aca="false">IF(对接源_01水果!$C998="","",对接源_01水果!$C998)</f>
        <v/>
      </c>
      <c r="B998" s="1" t="n">
        <f aca="false">IF(A998="",0,IF(MATCH(A998,$A$4:$A$2403,0)=ROW()-3,1,0))</f>
        <v>0</v>
      </c>
      <c r="C998" s="1" t="n">
        <f aca="false">N(C997)+B998</f>
        <v>13</v>
      </c>
      <c r="K998" s="1" t="n">
        <f aca="false">IF(OR($K$1="",对接源_01水果!$C998="",对接源_01水果!$C998&lt;&gt;$K$1,对接源_01水果!$B998=""),0,IF(OR(N(对接源_01水果!$B998)&lt;$K$2,N(对接源_01水果!$B998)&gt;$K$3),0,1))</f>
        <v>0</v>
      </c>
      <c r="L998" s="1" t="n">
        <f aca="false">IF(OR($L$1="",对接源_01水果!$C998="",对接源_01水果!$C998&lt;&gt;$L$1,对接源_01水果!$B998=""),0,IF(OR(N(对接源_01水果!$B998)&lt;$L$2,N(对接源_01水果!$B998)&gt;$L$3),0,1))</f>
        <v>0</v>
      </c>
      <c r="M998" s="1" t="n">
        <f aca="false">IF(OR($M$1="",对接源_01水果!$C998="",对接源_01水果!$C998&lt;&gt;$M$1,对接源_01水果!$B998=""),0,IF(OR(N(对接源_01水果!$B998)&lt;$M$2,N(对接源_01水果!$B998)&gt;$M$3),0,1))</f>
        <v>0</v>
      </c>
      <c r="N998" s="1" t="n">
        <f aca="false">IF(OR($N$1="",对接源_01水果!$C998="",对接源_01水果!$C998&lt;&gt;$N$1,对接源_01水果!$B998=""),0,IF(OR(N(对接源_01水果!$B998)&lt;$N$2,N(对接源_01水果!$B998)&gt;$N$3),0,1))</f>
        <v>0</v>
      </c>
      <c r="P998" s="1" t="n">
        <f aca="false">IF(AND($K998=1,AND(对接源_01水果!$X998="公司筐",N(对接源_01水果!$T998)&lt;&gt;0)),1,0)</f>
        <v>0</v>
      </c>
      <c r="Q998" s="1" t="n">
        <f aca="false">N(Q997)+$P998</f>
        <v>3</v>
      </c>
      <c r="R998" s="1" t="n">
        <f aca="false">IF(AND($K998=1,AND(对接源_01水果!$X998="公司筐",N(对接源_01水果!$U998)&lt;&gt;0)),1,0)</f>
        <v>0</v>
      </c>
      <c r="S998" s="1" t="n">
        <f aca="false">N(S997)+$R998</f>
        <v>0</v>
      </c>
      <c r="T998" s="1" t="n">
        <f aca="false">IF(AND($K998=1,AND(对接源_01水果!$X998="公司筐",N(对接源_01水果!$V998)&lt;&gt;0)),1,0)</f>
        <v>0</v>
      </c>
      <c r="U998" s="1" t="n">
        <f aca="false">N(U997)+$T998</f>
        <v>28</v>
      </c>
      <c r="V998" s="1" t="n">
        <f aca="false">IF(AND($L998=1,AND(对接源_01水果!$X998="自备筐",N(对接源_01水果!$V998)&lt;&gt;0)),1,0)</f>
        <v>0</v>
      </c>
      <c r="W998" s="1" t="n">
        <f aca="false">N(W997)+$V998</f>
        <v>7</v>
      </c>
      <c r="X998" s="1" t="n">
        <f aca="false">IF(AND($L998=1,AND(对接源_01水果!$X998="自备筐",N(对接源_01水果!$T998)&lt;&gt;0)),1,0)</f>
        <v>0</v>
      </c>
      <c r="Y998" s="1" t="n">
        <f aca="false">N(Y997)+$X998</f>
        <v>0</v>
      </c>
      <c r="Z998" s="1" t="n">
        <f aca="false">IF(AND($M998=1,对接源_01水果!$D998="原料入库"),1,0)</f>
        <v>0</v>
      </c>
      <c r="AA998" s="1" t="n">
        <f aca="false">N(AA997)+$Z998</f>
        <v>30</v>
      </c>
      <c r="AB998" s="1" t="n">
        <f aca="false">IF(AND($M998=1,LEFT(对接源_01水果!$D998,4)="原料出库"),1,0)</f>
        <v>0</v>
      </c>
      <c r="AC998" s="1" t="n">
        <f aca="false">N(AC997)+$AB998</f>
        <v>19</v>
      </c>
      <c r="AD998" s="1" t="n">
        <f aca="false">IF(AND($M998=1,LEFT(对接源_01水果!$D998,4)="成品出库"),1,0)</f>
        <v>0</v>
      </c>
      <c r="AE998" s="1" t="n">
        <f aca="false">N(AE997)+$AD998</f>
        <v>38</v>
      </c>
      <c r="AF998" s="1" t="n">
        <f aca="false">IF(AND($N998=1,AND(LEFT(对接源_01水果!$D998,4)="包装物料",N(对接源_01水果!$K998)&lt;&gt;0)),1,0)</f>
        <v>0</v>
      </c>
      <c r="AG998" s="90" t="str">
        <f aca="false">IF(对接源_01水果!$AC998="","",对接源_01水果!$AC998)</f>
        <v/>
      </c>
      <c r="AH998" s="1" t="n">
        <f aca="false">IF(AND($N998=1,AND(LEFT(对接源_01水果!$D998,3)="周转筐",N(对接源_01水果!$K998)&lt;&gt;0)),1,0)</f>
        <v>0</v>
      </c>
      <c r="AI998" s="90" t="n">
        <f aca="false">IF(AG998="",0,IF(MATCH(AG998,$AG$4:$AG$1203,0)=ROW()-3,1,0))</f>
        <v>0</v>
      </c>
      <c r="AJ998" s="90" t="n">
        <f aca="false">N(AJ997)+AI998</f>
        <v>4</v>
      </c>
      <c r="AK998" s="1" t="n">
        <f aca="false">N(AK997)+$AJ998</f>
        <v>2852</v>
      </c>
    </row>
    <row r="999" customFormat="false" ht="13.5" hidden="false" customHeight="false" outlineLevel="0" collapsed="false">
      <c r="A999" s="1" t="str">
        <f aca="false">IF(对接源_01水果!$C999="","",对接源_01水果!$C999)</f>
        <v/>
      </c>
      <c r="B999" s="1" t="n">
        <f aca="false">IF(A999="",0,IF(MATCH(A999,$A$4:$A$2403,0)=ROW()-3,1,0))</f>
        <v>0</v>
      </c>
      <c r="C999" s="1" t="n">
        <f aca="false">N(C998)+B999</f>
        <v>13</v>
      </c>
      <c r="K999" s="1" t="n">
        <f aca="false">IF(OR($K$1="",对接源_01水果!$C999="",对接源_01水果!$C999&lt;&gt;$K$1,对接源_01水果!$B999=""),0,IF(OR(N(对接源_01水果!$B999)&lt;$K$2,N(对接源_01水果!$B999)&gt;$K$3),0,1))</f>
        <v>0</v>
      </c>
      <c r="L999" s="1" t="n">
        <f aca="false">IF(OR($L$1="",对接源_01水果!$C999="",对接源_01水果!$C999&lt;&gt;$L$1,对接源_01水果!$B999=""),0,IF(OR(N(对接源_01水果!$B999)&lt;$L$2,N(对接源_01水果!$B999)&gt;$L$3),0,1))</f>
        <v>0</v>
      </c>
      <c r="M999" s="1" t="n">
        <f aca="false">IF(OR($M$1="",对接源_01水果!$C999="",对接源_01水果!$C999&lt;&gt;$M$1,对接源_01水果!$B999=""),0,IF(OR(N(对接源_01水果!$B999)&lt;$M$2,N(对接源_01水果!$B999)&gt;$M$3),0,1))</f>
        <v>0</v>
      </c>
      <c r="N999" s="1" t="n">
        <f aca="false">IF(OR($N$1="",对接源_01水果!$C999="",对接源_01水果!$C999&lt;&gt;$N$1,对接源_01水果!$B999=""),0,IF(OR(N(对接源_01水果!$B999)&lt;$N$2,N(对接源_01水果!$B999)&gt;$N$3),0,1))</f>
        <v>0</v>
      </c>
      <c r="P999" s="1" t="n">
        <f aca="false">IF(AND($K999=1,AND(对接源_01水果!$X999="公司筐",N(对接源_01水果!$T999)&lt;&gt;0)),1,0)</f>
        <v>0</v>
      </c>
      <c r="Q999" s="1" t="n">
        <f aca="false">N(Q998)+$P999</f>
        <v>3</v>
      </c>
      <c r="R999" s="1" t="n">
        <f aca="false">IF(AND($K999=1,AND(对接源_01水果!$X999="公司筐",N(对接源_01水果!$U999)&lt;&gt;0)),1,0)</f>
        <v>0</v>
      </c>
      <c r="S999" s="1" t="n">
        <f aca="false">N(S998)+$R999</f>
        <v>0</v>
      </c>
      <c r="T999" s="1" t="n">
        <f aca="false">IF(AND($K999=1,AND(对接源_01水果!$X999="公司筐",N(对接源_01水果!$V999)&lt;&gt;0)),1,0)</f>
        <v>0</v>
      </c>
      <c r="U999" s="1" t="n">
        <f aca="false">N(U998)+$T999</f>
        <v>28</v>
      </c>
      <c r="V999" s="1" t="n">
        <f aca="false">IF(AND($L999=1,AND(对接源_01水果!$X999="自备筐",N(对接源_01水果!$V999)&lt;&gt;0)),1,0)</f>
        <v>0</v>
      </c>
      <c r="W999" s="1" t="n">
        <f aca="false">N(W998)+$V999</f>
        <v>7</v>
      </c>
      <c r="X999" s="1" t="n">
        <f aca="false">IF(AND($L999=1,AND(对接源_01水果!$X999="自备筐",N(对接源_01水果!$T999)&lt;&gt;0)),1,0)</f>
        <v>0</v>
      </c>
      <c r="Y999" s="1" t="n">
        <f aca="false">N(Y998)+$X999</f>
        <v>0</v>
      </c>
      <c r="Z999" s="1" t="n">
        <f aca="false">IF(AND($M999=1,对接源_01水果!$D999="原料入库"),1,0)</f>
        <v>0</v>
      </c>
      <c r="AA999" s="1" t="n">
        <f aca="false">N(AA998)+$Z999</f>
        <v>30</v>
      </c>
      <c r="AB999" s="1" t="n">
        <f aca="false">IF(AND($M999=1,LEFT(对接源_01水果!$D999,4)="原料出库"),1,0)</f>
        <v>0</v>
      </c>
      <c r="AC999" s="1" t="n">
        <f aca="false">N(AC998)+$AB999</f>
        <v>19</v>
      </c>
      <c r="AD999" s="1" t="n">
        <f aca="false">IF(AND($M999=1,LEFT(对接源_01水果!$D999,4)="成品出库"),1,0)</f>
        <v>0</v>
      </c>
      <c r="AE999" s="1" t="n">
        <f aca="false">N(AE998)+$AD999</f>
        <v>38</v>
      </c>
      <c r="AF999" s="1" t="n">
        <f aca="false">IF(AND($N999=1,AND(LEFT(对接源_01水果!$D999,4)="包装物料",N(对接源_01水果!$K999)&lt;&gt;0)),1,0)</f>
        <v>0</v>
      </c>
      <c r="AG999" s="90" t="str">
        <f aca="false">IF(对接源_01水果!$AC999="","",对接源_01水果!$AC999)</f>
        <v/>
      </c>
      <c r="AH999" s="1" t="n">
        <f aca="false">IF(AND($N999=1,AND(LEFT(对接源_01水果!$D999,3)="周转筐",N(对接源_01水果!$K999)&lt;&gt;0)),1,0)</f>
        <v>0</v>
      </c>
      <c r="AI999" s="90" t="n">
        <f aca="false">IF(AG999="",0,IF(MATCH(AG999,$AG$4:$AG$1203,0)=ROW()-3,1,0))</f>
        <v>0</v>
      </c>
      <c r="AJ999" s="90" t="n">
        <f aca="false">N(AJ998)+AI999</f>
        <v>4</v>
      </c>
      <c r="AK999" s="1" t="n">
        <f aca="false">N(AK998)+$AJ999</f>
        <v>2856</v>
      </c>
    </row>
    <row r="1000" customFormat="false" ht="13.5" hidden="false" customHeight="false" outlineLevel="0" collapsed="false">
      <c r="A1000" s="1" t="str">
        <f aca="false">IF(对接源_01水果!$C1000="","",对接源_01水果!$C1000)</f>
        <v/>
      </c>
      <c r="B1000" s="1" t="n">
        <f aca="false">IF(A1000="",0,IF(MATCH(A1000,$A$4:$A$2403,0)=ROW()-3,1,0))</f>
        <v>0</v>
      </c>
      <c r="C1000" s="1" t="n">
        <f aca="false">N(C999)+B1000</f>
        <v>13</v>
      </c>
      <c r="K1000" s="1" t="n">
        <f aca="false">IF(OR($K$1="",对接源_01水果!$C1000="",对接源_01水果!$C1000&lt;&gt;$K$1,对接源_01水果!$B1000=""),0,IF(OR(N(对接源_01水果!$B1000)&lt;$K$2,N(对接源_01水果!$B1000)&gt;$K$3),0,1))</f>
        <v>0</v>
      </c>
      <c r="L1000" s="1" t="n">
        <f aca="false">IF(OR($L$1="",对接源_01水果!$C1000="",对接源_01水果!$C1000&lt;&gt;$L$1,对接源_01水果!$B1000=""),0,IF(OR(N(对接源_01水果!$B1000)&lt;$L$2,N(对接源_01水果!$B1000)&gt;$L$3),0,1))</f>
        <v>0</v>
      </c>
      <c r="M1000" s="1" t="n">
        <f aca="false">IF(OR($M$1="",对接源_01水果!$C1000="",对接源_01水果!$C1000&lt;&gt;$M$1,对接源_01水果!$B1000=""),0,IF(OR(N(对接源_01水果!$B1000)&lt;$M$2,N(对接源_01水果!$B1000)&gt;$M$3),0,1))</f>
        <v>0</v>
      </c>
      <c r="N1000" s="1" t="n">
        <f aca="false">IF(OR($N$1="",对接源_01水果!$C1000="",对接源_01水果!$C1000&lt;&gt;$N$1,对接源_01水果!$B1000=""),0,IF(OR(N(对接源_01水果!$B1000)&lt;$N$2,N(对接源_01水果!$B1000)&gt;$N$3),0,1))</f>
        <v>0</v>
      </c>
      <c r="P1000" s="1" t="n">
        <f aca="false">IF(AND($K1000=1,AND(对接源_01水果!$X1000="公司筐",N(对接源_01水果!$T1000)&lt;&gt;0)),1,0)</f>
        <v>0</v>
      </c>
      <c r="Q1000" s="1" t="n">
        <f aca="false">N(Q999)+$P1000</f>
        <v>3</v>
      </c>
      <c r="R1000" s="1" t="n">
        <f aca="false">IF(AND($K1000=1,AND(对接源_01水果!$X1000="公司筐",N(对接源_01水果!$U1000)&lt;&gt;0)),1,0)</f>
        <v>0</v>
      </c>
      <c r="S1000" s="1" t="n">
        <f aca="false">N(S999)+$R1000</f>
        <v>0</v>
      </c>
      <c r="T1000" s="1" t="n">
        <f aca="false">IF(AND($K1000=1,AND(对接源_01水果!$X1000="公司筐",N(对接源_01水果!$V1000)&lt;&gt;0)),1,0)</f>
        <v>0</v>
      </c>
      <c r="U1000" s="1" t="n">
        <f aca="false">N(U999)+$T1000</f>
        <v>28</v>
      </c>
      <c r="V1000" s="1" t="n">
        <f aca="false">IF(AND($L1000=1,AND(对接源_01水果!$X1000="自备筐",N(对接源_01水果!$V1000)&lt;&gt;0)),1,0)</f>
        <v>0</v>
      </c>
      <c r="W1000" s="1" t="n">
        <f aca="false">N(W999)+$V1000</f>
        <v>7</v>
      </c>
      <c r="X1000" s="1" t="n">
        <f aca="false">IF(AND($L1000=1,AND(对接源_01水果!$X1000="自备筐",N(对接源_01水果!$T1000)&lt;&gt;0)),1,0)</f>
        <v>0</v>
      </c>
      <c r="Y1000" s="1" t="n">
        <f aca="false">N(Y999)+$X1000</f>
        <v>0</v>
      </c>
      <c r="Z1000" s="1" t="n">
        <f aca="false">IF(AND($M1000=1,对接源_01水果!$D1000="原料入库"),1,0)</f>
        <v>0</v>
      </c>
      <c r="AA1000" s="1" t="n">
        <f aca="false">N(AA999)+$Z1000</f>
        <v>30</v>
      </c>
      <c r="AB1000" s="1" t="n">
        <f aca="false">IF(AND($M1000=1,LEFT(对接源_01水果!$D1000,4)="原料出库"),1,0)</f>
        <v>0</v>
      </c>
      <c r="AC1000" s="1" t="n">
        <f aca="false">N(AC999)+$AB1000</f>
        <v>19</v>
      </c>
      <c r="AD1000" s="1" t="n">
        <f aca="false">IF(AND($M1000=1,LEFT(对接源_01水果!$D1000,4)="成品出库"),1,0)</f>
        <v>0</v>
      </c>
      <c r="AE1000" s="1" t="n">
        <f aca="false">N(AE999)+$AD1000</f>
        <v>38</v>
      </c>
      <c r="AF1000" s="1" t="n">
        <f aca="false">IF(AND($N1000=1,AND(LEFT(对接源_01水果!$D1000,4)="包装物料",N(对接源_01水果!$K1000)&lt;&gt;0)),1,0)</f>
        <v>0</v>
      </c>
      <c r="AG1000" s="90" t="str">
        <f aca="false">IF(对接源_01水果!$AC1000="","",对接源_01水果!$AC1000)</f>
        <v/>
      </c>
      <c r="AH1000" s="1" t="n">
        <f aca="false">IF(AND($N1000=1,AND(LEFT(对接源_01水果!$D1000,3)="周转筐",N(对接源_01水果!$K1000)&lt;&gt;0)),1,0)</f>
        <v>0</v>
      </c>
      <c r="AI1000" s="90" t="n">
        <f aca="false">IF(AG1000="",0,IF(MATCH(AG1000,$AG$4:$AG$1203,0)=ROW()-3,1,0))</f>
        <v>0</v>
      </c>
      <c r="AJ1000" s="90" t="n">
        <f aca="false">N(AJ999)+AI1000</f>
        <v>4</v>
      </c>
      <c r="AK1000" s="1" t="n">
        <f aca="false">N(AK999)+$AJ1000</f>
        <v>2860</v>
      </c>
    </row>
    <row r="1001" customFormat="false" ht="13.5" hidden="false" customHeight="false" outlineLevel="0" collapsed="false">
      <c r="A1001" s="1" t="str">
        <f aca="false">IF(对接源_01水果!$C1001="","",对接源_01水果!$C1001)</f>
        <v/>
      </c>
      <c r="B1001" s="1" t="n">
        <f aca="false">IF(A1001="",0,IF(MATCH(A1001,$A$4:$A$2403,0)=ROW()-3,1,0))</f>
        <v>0</v>
      </c>
      <c r="C1001" s="1" t="n">
        <f aca="false">N(C1000)+B1001</f>
        <v>13</v>
      </c>
      <c r="K1001" s="1" t="n">
        <f aca="false">IF(OR($K$1="",对接源_01水果!$C1001="",对接源_01水果!$C1001&lt;&gt;$K$1,对接源_01水果!$B1001=""),0,IF(OR(N(对接源_01水果!$B1001)&lt;$K$2,N(对接源_01水果!$B1001)&gt;$K$3),0,1))</f>
        <v>0</v>
      </c>
      <c r="L1001" s="1" t="n">
        <f aca="false">IF(OR($L$1="",对接源_01水果!$C1001="",对接源_01水果!$C1001&lt;&gt;$L$1,对接源_01水果!$B1001=""),0,IF(OR(N(对接源_01水果!$B1001)&lt;$L$2,N(对接源_01水果!$B1001)&gt;$L$3),0,1))</f>
        <v>0</v>
      </c>
      <c r="M1001" s="1" t="n">
        <f aca="false">IF(OR($M$1="",对接源_01水果!$C1001="",对接源_01水果!$C1001&lt;&gt;$M$1,对接源_01水果!$B1001=""),0,IF(OR(N(对接源_01水果!$B1001)&lt;$M$2,N(对接源_01水果!$B1001)&gt;$M$3),0,1))</f>
        <v>0</v>
      </c>
      <c r="N1001" s="1" t="n">
        <f aca="false">IF(OR($N$1="",对接源_01水果!$C1001="",对接源_01水果!$C1001&lt;&gt;$N$1,对接源_01水果!$B1001=""),0,IF(OR(N(对接源_01水果!$B1001)&lt;$N$2,N(对接源_01水果!$B1001)&gt;$N$3),0,1))</f>
        <v>0</v>
      </c>
      <c r="P1001" s="1" t="n">
        <f aca="false">IF(AND($K1001=1,AND(对接源_01水果!$X1001="公司筐",N(对接源_01水果!$T1001)&lt;&gt;0)),1,0)</f>
        <v>0</v>
      </c>
      <c r="Q1001" s="1" t="n">
        <f aca="false">N(Q1000)+$P1001</f>
        <v>3</v>
      </c>
      <c r="R1001" s="1" t="n">
        <f aca="false">IF(AND($K1001=1,AND(对接源_01水果!$X1001="公司筐",N(对接源_01水果!$U1001)&lt;&gt;0)),1,0)</f>
        <v>0</v>
      </c>
      <c r="S1001" s="1" t="n">
        <f aca="false">N(S1000)+$R1001</f>
        <v>0</v>
      </c>
      <c r="T1001" s="1" t="n">
        <f aca="false">IF(AND($K1001=1,AND(对接源_01水果!$X1001="公司筐",N(对接源_01水果!$V1001)&lt;&gt;0)),1,0)</f>
        <v>0</v>
      </c>
      <c r="U1001" s="1" t="n">
        <f aca="false">N(U1000)+$T1001</f>
        <v>28</v>
      </c>
      <c r="V1001" s="1" t="n">
        <f aca="false">IF(AND($L1001=1,AND(对接源_01水果!$X1001="自备筐",N(对接源_01水果!$V1001)&lt;&gt;0)),1,0)</f>
        <v>0</v>
      </c>
      <c r="W1001" s="1" t="n">
        <f aca="false">N(W1000)+$V1001</f>
        <v>7</v>
      </c>
      <c r="X1001" s="1" t="n">
        <f aca="false">IF(AND($L1001=1,AND(对接源_01水果!$X1001="自备筐",N(对接源_01水果!$T1001)&lt;&gt;0)),1,0)</f>
        <v>0</v>
      </c>
      <c r="Y1001" s="1" t="n">
        <f aca="false">N(Y1000)+$X1001</f>
        <v>0</v>
      </c>
      <c r="Z1001" s="1" t="n">
        <f aca="false">IF(AND($M1001=1,对接源_01水果!$D1001="原料入库"),1,0)</f>
        <v>0</v>
      </c>
      <c r="AA1001" s="1" t="n">
        <f aca="false">N(AA1000)+$Z1001</f>
        <v>30</v>
      </c>
      <c r="AB1001" s="1" t="n">
        <f aca="false">IF(AND($M1001=1,LEFT(对接源_01水果!$D1001,4)="原料出库"),1,0)</f>
        <v>0</v>
      </c>
      <c r="AC1001" s="1" t="n">
        <f aca="false">N(AC1000)+$AB1001</f>
        <v>19</v>
      </c>
      <c r="AD1001" s="1" t="n">
        <f aca="false">IF(AND($M1001=1,LEFT(对接源_01水果!$D1001,4)="成品出库"),1,0)</f>
        <v>0</v>
      </c>
      <c r="AE1001" s="1" t="n">
        <f aca="false">N(AE1000)+$AD1001</f>
        <v>38</v>
      </c>
      <c r="AF1001" s="1" t="n">
        <f aca="false">IF(AND($N1001=1,AND(LEFT(对接源_01水果!$D1001,4)="包装物料",N(对接源_01水果!$K1001)&lt;&gt;0)),1,0)</f>
        <v>0</v>
      </c>
      <c r="AG1001" s="90" t="str">
        <f aca="false">IF(对接源_01水果!$AC1001="","",对接源_01水果!$AC1001)</f>
        <v/>
      </c>
      <c r="AH1001" s="1" t="n">
        <f aca="false">IF(AND($N1001=1,AND(LEFT(对接源_01水果!$D1001,3)="周转筐",N(对接源_01水果!$K1001)&lt;&gt;0)),1,0)</f>
        <v>0</v>
      </c>
      <c r="AI1001" s="90" t="n">
        <f aca="false">IF(AG1001="",0,IF(MATCH(AG1001,$AG$4:$AG$1203,0)=ROW()-3,1,0))</f>
        <v>0</v>
      </c>
      <c r="AJ1001" s="90" t="n">
        <f aca="false">N(AJ1000)+AI1001</f>
        <v>4</v>
      </c>
      <c r="AK1001" s="1" t="n">
        <f aca="false">N(AK1000)+$AJ1001</f>
        <v>2864</v>
      </c>
    </row>
    <row r="1002" customFormat="false" ht="13.5" hidden="false" customHeight="false" outlineLevel="0" collapsed="false">
      <c r="A1002" s="1" t="str">
        <f aca="false">IF(对接源_01水果!$C1002="","",对接源_01水果!$C1002)</f>
        <v/>
      </c>
      <c r="B1002" s="1" t="n">
        <f aca="false">IF(A1002="",0,IF(MATCH(A1002,$A$4:$A$2403,0)=ROW()-3,1,0))</f>
        <v>0</v>
      </c>
      <c r="C1002" s="1" t="n">
        <f aca="false">N(C1001)+B1002</f>
        <v>13</v>
      </c>
      <c r="K1002" s="1" t="n">
        <f aca="false">IF(OR($K$1="",对接源_01水果!$C1002="",对接源_01水果!$C1002&lt;&gt;$K$1,对接源_01水果!$B1002=""),0,IF(OR(N(对接源_01水果!$B1002)&lt;$K$2,N(对接源_01水果!$B1002)&gt;$K$3),0,1))</f>
        <v>0</v>
      </c>
      <c r="L1002" s="1" t="n">
        <f aca="false">IF(OR($L$1="",对接源_01水果!$C1002="",对接源_01水果!$C1002&lt;&gt;$L$1,对接源_01水果!$B1002=""),0,IF(OR(N(对接源_01水果!$B1002)&lt;$L$2,N(对接源_01水果!$B1002)&gt;$L$3),0,1))</f>
        <v>0</v>
      </c>
      <c r="M1002" s="1" t="n">
        <f aca="false">IF(OR($M$1="",对接源_01水果!$C1002="",对接源_01水果!$C1002&lt;&gt;$M$1,对接源_01水果!$B1002=""),0,IF(OR(N(对接源_01水果!$B1002)&lt;$M$2,N(对接源_01水果!$B1002)&gt;$M$3),0,1))</f>
        <v>0</v>
      </c>
      <c r="N1002" s="1" t="n">
        <f aca="false">IF(OR($N$1="",对接源_01水果!$C1002="",对接源_01水果!$C1002&lt;&gt;$N$1,对接源_01水果!$B1002=""),0,IF(OR(N(对接源_01水果!$B1002)&lt;$N$2,N(对接源_01水果!$B1002)&gt;$N$3),0,1))</f>
        <v>0</v>
      </c>
      <c r="P1002" s="1" t="n">
        <f aca="false">IF(AND($K1002=1,AND(对接源_01水果!$X1002="公司筐",N(对接源_01水果!$T1002)&lt;&gt;0)),1,0)</f>
        <v>0</v>
      </c>
      <c r="Q1002" s="1" t="n">
        <f aca="false">N(Q1001)+$P1002</f>
        <v>3</v>
      </c>
      <c r="R1002" s="1" t="n">
        <f aca="false">IF(AND($K1002=1,AND(对接源_01水果!$X1002="公司筐",N(对接源_01水果!$U1002)&lt;&gt;0)),1,0)</f>
        <v>0</v>
      </c>
      <c r="S1002" s="1" t="n">
        <f aca="false">N(S1001)+$R1002</f>
        <v>0</v>
      </c>
      <c r="T1002" s="1" t="n">
        <f aca="false">IF(AND($K1002=1,AND(对接源_01水果!$X1002="公司筐",N(对接源_01水果!$V1002)&lt;&gt;0)),1,0)</f>
        <v>0</v>
      </c>
      <c r="U1002" s="1" t="n">
        <f aca="false">N(U1001)+$T1002</f>
        <v>28</v>
      </c>
      <c r="V1002" s="1" t="n">
        <f aca="false">IF(AND($L1002=1,AND(对接源_01水果!$X1002="自备筐",N(对接源_01水果!$V1002)&lt;&gt;0)),1,0)</f>
        <v>0</v>
      </c>
      <c r="W1002" s="1" t="n">
        <f aca="false">N(W1001)+$V1002</f>
        <v>7</v>
      </c>
      <c r="X1002" s="1" t="n">
        <f aca="false">IF(AND($L1002=1,AND(对接源_01水果!$X1002="自备筐",N(对接源_01水果!$T1002)&lt;&gt;0)),1,0)</f>
        <v>0</v>
      </c>
      <c r="Y1002" s="1" t="n">
        <f aca="false">N(Y1001)+$X1002</f>
        <v>0</v>
      </c>
      <c r="Z1002" s="1" t="n">
        <f aca="false">IF(AND($M1002=1,对接源_01水果!$D1002="原料入库"),1,0)</f>
        <v>0</v>
      </c>
      <c r="AA1002" s="1" t="n">
        <f aca="false">N(AA1001)+$Z1002</f>
        <v>30</v>
      </c>
      <c r="AB1002" s="1" t="n">
        <f aca="false">IF(AND($M1002=1,LEFT(对接源_01水果!$D1002,4)="原料出库"),1,0)</f>
        <v>0</v>
      </c>
      <c r="AC1002" s="1" t="n">
        <f aca="false">N(AC1001)+$AB1002</f>
        <v>19</v>
      </c>
      <c r="AD1002" s="1" t="n">
        <f aca="false">IF(AND($M1002=1,LEFT(对接源_01水果!$D1002,4)="成品出库"),1,0)</f>
        <v>0</v>
      </c>
      <c r="AE1002" s="1" t="n">
        <f aca="false">N(AE1001)+$AD1002</f>
        <v>38</v>
      </c>
      <c r="AF1002" s="1" t="n">
        <f aca="false">IF(AND($N1002=1,AND(LEFT(对接源_01水果!$D1002,4)="包装物料",N(对接源_01水果!$K1002)&lt;&gt;0)),1,0)</f>
        <v>0</v>
      </c>
      <c r="AG1002" s="90" t="str">
        <f aca="false">IF(对接源_01水果!$AC1002="","",对接源_01水果!$AC1002)</f>
        <v/>
      </c>
      <c r="AH1002" s="1" t="n">
        <f aca="false">IF(AND($N1002=1,AND(LEFT(对接源_01水果!$D1002,3)="周转筐",N(对接源_01水果!$K1002)&lt;&gt;0)),1,0)</f>
        <v>0</v>
      </c>
      <c r="AI1002" s="90" t="n">
        <f aca="false">IF(AG1002="",0,IF(MATCH(AG1002,$AG$4:$AG$1203,0)=ROW()-3,1,0))</f>
        <v>0</v>
      </c>
      <c r="AJ1002" s="90" t="n">
        <f aca="false">N(AJ1001)+AI1002</f>
        <v>4</v>
      </c>
      <c r="AK1002" s="1" t="n">
        <f aca="false">N(AK1001)+$AJ1002</f>
        <v>2868</v>
      </c>
    </row>
    <row r="1003" customFormat="false" ht="13.5" hidden="false" customHeight="false" outlineLevel="0" collapsed="false">
      <c r="A1003" s="1" t="str">
        <f aca="false">IF(对接源_01水果!$C1003="","",对接源_01水果!$C1003)</f>
        <v/>
      </c>
      <c r="B1003" s="1" t="n">
        <f aca="false">IF(A1003="",0,IF(MATCH(A1003,$A$4:$A$2403,0)=ROW()-3,1,0))</f>
        <v>0</v>
      </c>
      <c r="C1003" s="1" t="n">
        <f aca="false">N(C1002)+B1003</f>
        <v>13</v>
      </c>
      <c r="K1003" s="1" t="n">
        <f aca="false">IF(OR($K$1="",对接源_01水果!$C1003="",对接源_01水果!$C1003&lt;&gt;$K$1,对接源_01水果!$B1003=""),0,IF(OR(N(对接源_01水果!$B1003)&lt;$K$2,N(对接源_01水果!$B1003)&gt;$K$3),0,1))</f>
        <v>0</v>
      </c>
      <c r="L1003" s="1" t="n">
        <f aca="false">IF(OR($L$1="",对接源_01水果!$C1003="",对接源_01水果!$C1003&lt;&gt;$L$1,对接源_01水果!$B1003=""),0,IF(OR(N(对接源_01水果!$B1003)&lt;$L$2,N(对接源_01水果!$B1003)&gt;$L$3),0,1))</f>
        <v>0</v>
      </c>
      <c r="M1003" s="1" t="n">
        <f aca="false">IF(OR($M$1="",对接源_01水果!$C1003="",对接源_01水果!$C1003&lt;&gt;$M$1,对接源_01水果!$B1003=""),0,IF(OR(N(对接源_01水果!$B1003)&lt;$M$2,N(对接源_01水果!$B1003)&gt;$M$3),0,1))</f>
        <v>0</v>
      </c>
      <c r="N1003" s="1" t="n">
        <f aca="false">IF(OR($N$1="",对接源_01水果!$C1003="",对接源_01水果!$C1003&lt;&gt;$N$1,对接源_01水果!$B1003=""),0,IF(OR(N(对接源_01水果!$B1003)&lt;$N$2,N(对接源_01水果!$B1003)&gt;$N$3),0,1))</f>
        <v>0</v>
      </c>
      <c r="P1003" s="1" t="n">
        <f aca="false">IF(AND($K1003=1,AND(对接源_01水果!$X1003="公司筐",N(对接源_01水果!$T1003)&lt;&gt;0)),1,0)</f>
        <v>0</v>
      </c>
      <c r="Q1003" s="1" t="n">
        <f aca="false">N(Q1002)+$P1003</f>
        <v>3</v>
      </c>
      <c r="R1003" s="1" t="n">
        <f aca="false">IF(AND($K1003=1,AND(对接源_01水果!$X1003="公司筐",N(对接源_01水果!$U1003)&lt;&gt;0)),1,0)</f>
        <v>0</v>
      </c>
      <c r="S1003" s="1" t="n">
        <f aca="false">N(S1002)+$R1003</f>
        <v>0</v>
      </c>
      <c r="T1003" s="1" t="n">
        <f aca="false">IF(AND($K1003=1,AND(对接源_01水果!$X1003="公司筐",N(对接源_01水果!$V1003)&lt;&gt;0)),1,0)</f>
        <v>0</v>
      </c>
      <c r="U1003" s="1" t="n">
        <f aca="false">N(U1002)+$T1003</f>
        <v>28</v>
      </c>
      <c r="V1003" s="1" t="n">
        <f aca="false">IF(AND($L1003=1,AND(对接源_01水果!$X1003="自备筐",N(对接源_01水果!$V1003)&lt;&gt;0)),1,0)</f>
        <v>0</v>
      </c>
      <c r="W1003" s="1" t="n">
        <f aca="false">N(W1002)+$V1003</f>
        <v>7</v>
      </c>
      <c r="X1003" s="1" t="n">
        <f aca="false">IF(AND($L1003=1,AND(对接源_01水果!$X1003="自备筐",N(对接源_01水果!$T1003)&lt;&gt;0)),1,0)</f>
        <v>0</v>
      </c>
      <c r="Y1003" s="1" t="n">
        <f aca="false">N(Y1002)+$X1003</f>
        <v>0</v>
      </c>
      <c r="Z1003" s="1" t="n">
        <f aca="false">IF(AND($M1003=1,对接源_01水果!$D1003="原料入库"),1,0)</f>
        <v>0</v>
      </c>
      <c r="AA1003" s="1" t="n">
        <f aca="false">N(AA1002)+$Z1003</f>
        <v>30</v>
      </c>
      <c r="AB1003" s="1" t="n">
        <f aca="false">IF(AND($M1003=1,LEFT(对接源_01水果!$D1003,4)="原料出库"),1,0)</f>
        <v>0</v>
      </c>
      <c r="AC1003" s="1" t="n">
        <f aca="false">N(AC1002)+$AB1003</f>
        <v>19</v>
      </c>
      <c r="AD1003" s="1" t="n">
        <f aca="false">IF(AND($M1003=1,LEFT(对接源_01水果!$D1003,4)="成品出库"),1,0)</f>
        <v>0</v>
      </c>
      <c r="AE1003" s="1" t="n">
        <f aca="false">N(AE1002)+$AD1003</f>
        <v>38</v>
      </c>
      <c r="AF1003" s="1" t="n">
        <f aca="false">IF(AND($N1003=1,AND(LEFT(对接源_01水果!$D1003,4)="包装物料",N(对接源_01水果!$K1003)&lt;&gt;0)),1,0)</f>
        <v>0</v>
      </c>
      <c r="AG1003" s="90" t="str">
        <f aca="false">IF(对接源_01水果!$AC1003="","",对接源_01水果!$AC1003)</f>
        <v/>
      </c>
      <c r="AH1003" s="1" t="n">
        <f aca="false">IF(AND($N1003=1,AND(LEFT(对接源_01水果!$D1003,3)="周转筐",N(对接源_01水果!$K1003)&lt;&gt;0)),1,0)</f>
        <v>0</v>
      </c>
      <c r="AI1003" s="90" t="n">
        <f aca="false">IF(AG1003="",0,IF(MATCH(AG1003,$AG$4:$AG$1203,0)=ROW()-3,1,0))</f>
        <v>0</v>
      </c>
      <c r="AJ1003" s="90" t="n">
        <f aca="false">N(AJ1002)+AI1003</f>
        <v>4</v>
      </c>
      <c r="AK1003" s="1" t="n">
        <f aca="false">N(AK1002)+$AJ1003</f>
        <v>2872</v>
      </c>
    </row>
    <row r="1004" customFormat="false" ht="13.5" hidden="false" customHeight="false" outlineLevel="0" collapsed="false">
      <c r="A1004" s="1" t="str">
        <f aca="false">IF(对接源_01水果!$C1004="","",对接源_01水果!$C1004)</f>
        <v/>
      </c>
      <c r="B1004" s="1" t="n">
        <f aca="false">IF(A1004="",0,IF(MATCH(A1004,$A$4:$A$2403,0)=ROW()-3,1,0))</f>
        <v>0</v>
      </c>
      <c r="C1004" s="1" t="n">
        <f aca="false">N(C1003)+B1004</f>
        <v>13</v>
      </c>
      <c r="K1004" s="1" t="n">
        <f aca="false">IF(OR($K$1="",对接源_01水果!$C1004="",对接源_01水果!$C1004&lt;&gt;$K$1,对接源_01水果!$B1004=""),0,IF(OR(N(对接源_01水果!$B1004)&lt;$K$2,N(对接源_01水果!$B1004)&gt;$K$3),0,1))</f>
        <v>0</v>
      </c>
      <c r="L1004" s="1" t="n">
        <f aca="false">IF(OR($L$1="",对接源_01水果!$C1004="",对接源_01水果!$C1004&lt;&gt;$L$1,对接源_01水果!$B1004=""),0,IF(OR(N(对接源_01水果!$B1004)&lt;$L$2,N(对接源_01水果!$B1004)&gt;$L$3),0,1))</f>
        <v>0</v>
      </c>
      <c r="M1004" s="1" t="n">
        <f aca="false">IF(OR($M$1="",对接源_01水果!$C1004="",对接源_01水果!$C1004&lt;&gt;$M$1,对接源_01水果!$B1004=""),0,IF(OR(N(对接源_01水果!$B1004)&lt;$M$2,N(对接源_01水果!$B1004)&gt;$M$3),0,1))</f>
        <v>0</v>
      </c>
      <c r="N1004" s="1" t="n">
        <f aca="false">IF(OR($N$1="",对接源_01水果!$C1004="",对接源_01水果!$C1004&lt;&gt;$N$1,对接源_01水果!$B1004=""),0,IF(OR(N(对接源_01水果!$B1004)&lt;$N$2,N(对接源_01水果!$B1004)&gt;$N$3),0,1))</f>
        <v>0</v>
      </c>
      <c r="P1004" s="1" t="n">
        <f aca="false">IF(AND($K1004=1,AND(对接源_01水果!$X1004="公司筐",N(对接源_01水果!$T1004)&lt;&gt;0)),1,0)</f>
        <v>0</v>
      </c>
      <c r="Q1004" s="1" t="n">
        <f aca="false">N(Q1003)+$P1004</f>
        <v>3</v>
      </c>
      <c r="R1004" s="1" t="n">
        <f aca="false">IF(AND($K1004=1,AND(对接源_01水果!$X1004="公司筐",N(对接源_01水果!$U1004)&lt;&gt;0)),1,0)</f>
        <v>0</v>
      </c>
      <c r="S1004" s="1" t="n">
        <f aca="false">N(S1003)+$R1004</f>
        <v>0</v>
      </c>
      <c r="T1004" s="1" t="n">
        <f aca="false">IF(AND($K1004=1,AND(对接源_01水果!$X1004="公司筐",N(对接源_01水果!$V1004)&lt;&gt;0)),1,0)</f>
        <v>0</v>
      </c>
      <c r="U1004" s="1" t="n">
        <f aca="false">N(U1003)+$T1004</f>
        <v>28</v>
      </c>
      <c r="V1004" s="1" t="n">
        <f aca="false">IF(AND($L1004=1,AND(对接源_01水果!$X1004="自备筐",N(对接源_01水果!$V1004)&lt;&gt;0)),1,0)</f>
        <v>0</v>
      </c>
      <c r="W1004" s="1" t="n">
        <f aca="false">N(W1003)+$V1004</f>
        <v>7</v>
      </c>
      <c r="X1004" s="1" t="n">
        <f aca="false">IF(AND($L1004=1,AND(对接源_01水果!$X1004="自备筐",N(对接源_01水果!$T1004)&lt;&gt;0)),1,0)</f>
        <v>0</v>
      </c>
      <c r="Y1004" s="1" t="n">
        <f aca="false">N(Y1003)+$X1004</f>
        <v>0</v>
      </c>
      <c r="Z1004" s="1" t="n">
        <f aca="false">IF(AND($M1004=1,对接源_01水果!$D1004="原料入库"),1,0)</f>
        <v>0</v>
      </c>
      <c r="AA1004" s="1" t="n">
        <f aca="false">N(AA1003)+$Z1004</f>
        <v>30</v>
      </c>
      <c r="AB1004" s="1" t="n">
        <f aca="false">IF(AND($M1004=1,LEFT(对接源_01水果!$D1004,4)="原料出库"),1,0)</f>
        <v>0</v>
      </c>
      <c r="AC1004" s="1" t="n">
        <f aca="false">N(AC1003)+$AB1004</f>
        <v>19</v>
      </c>
      <c r="AD1004" s="1" t="n">
        <f aca="false">IF(AND($M1004=1,LEFT(对接源_01水果!$D1004,4)="成品出库"),1,0)</f>
        <v>0</v>
      </c>
      <c r="AE1004" s="1" t="n">
        <f aca="false">N(AE1003)+$AD1004</f>
        <v>38</v>
      </c>
      <c r="AF1004" s="1" t="n">
        <f aca="false">IF(AND($N1004=1,AND(LEFT(对接源_01水果!$D1004,4)="包装物料",N(对接源_01水果!$K1004)&lt;&gt;0)),1,0)</f>
        <v>0</v>
      </c>
      <c r="AG1004" s="90" t="str">
        <f aca="false">IF(对接源_01水果!$AC1004="","",对接源_01水果!$AC1004)</f>
        <v/>
      </c>
      <c r="AH1004" s="1" t="n">
        <f aca="false">IF(AND($N1004=1,AND(LEFT(对接源_01水果!$D1004,3)="周转筐",N(对接源_01水果!$K1004)&lt;&gt;0)),1,0)</f>
        <v>0</v>
      </c>
      <c r="AI1004" s="90" t="n">
        <f aca="false">IF(AG1004="",0,IF(MATCH(AG1004,$AG$4:$AG$1203,0)=ROW()-3,1,0))</f>
        <v>0</v>
      </c>
      <c r="AJ1004" s="90" t="n">
        <f aca="false">N(AJ1003)+AI1004</f>
        <v>4</v>
      </c>
      <c r="AK1004" s="1" t="n">
        <f aca="false">N(AK1003)+$AJ1004</f>
        <v>2876</v>
      </c>
    </row>
    <row r="1005" customFormat="false" ht="13.5" hidden="false" customHeight="false" outlineLevel="0" collapsed="false">
      <c r="A1005" s="1" t="str">
        <f aca="false">IF(对接源_01水果!$C1005="","",对接源_01水果!$C1005)</f>
        <v/>
      </c>
      <c r="B1005" s="1" t="n">
        <f aca="false">IF(A1005="",0,IF(MATCH(A1005,$A$4:$A$2403,0)=ROW()-3,1,0))</f>
        <v>0</v>
      </c>
      <c r="C1005" s="1" t="n">
        <f aca="false">N(C1004)+B1005</f>
        <v>13</v>
      </c>
      <c r="K1005" s="1" t="n">
        <f aca="false">IF(OR($K$1="",对接源_01水果!$C1005="",对接源_01水果!$C1005&lt;&gt;$K$1,对接源_01水果!$B1005=""),0,IF(OR(N(对接源_01水果!$B1005)&lt;$K$2,N(对接源_01水果!$B1005)&gt;$K$3),0,1))</f>
        <v>0</v>
      </c>
      <c r="L1005" s="1" t="n">
        <f aca="false">IF(OR($L$1="",对接源_01水果!$C1005="",对接源_01水果!$C1005&lt;&gt;$L$1,对接源_01水果!$B1005=""),0,IF(OR(N(对接源_01水果!$B1005)&lt;$L$2,N(对接源_01水果!$B1005)&gt;$L$3),0,1))</f>
        <v>0</v>
      </c>
      <c r="M1005" s="1" t="n">
        <f aca="false">IF(OR($M$1="",对接源_01水果!$C1005="",对接源_01水果!$C1005&lt;&gt;$M$1,对接源_01水果!$B1005=""),0,IF(OR(N(对接源_01水果!$B1005)&lt;$M$2,N(对接源_01水果!$B1005)&gt;$M$3),0,1))</f>
        <v>0</v>
      </c>
      <c r="N1005" s="1" t="n">
        <f aca="false">IF(OR($N$1="",对接源_01水果!$C1005="",对接源_01水果!$C1005&lt;&gt;$N$1,对接源_01水果!$B1005=""),0,IF(OR(N(对接源_01水果!$B1005)&lt;$N$2,N(对接源_01水果!$B1005)&gt;$N$3),0,1))</f>
        <v>0</v>
      </c>
      <c r="P1005" s="1" t="n">
        <f aca="false">IF(AND($K1005=1,AND(对接源_01水果!$X1005="公司筐",N(对接源_01水果!$T1005)&lt;&gt;0)),1,0)</f>
        <v>0</v>
      </c>
      <c r="Q1005" s="1" t="n">
        <f aca="false">N(Q1004)+$P1005</f>
        <v>3</v>
      </c>
      <c r="R1005" s="1" t="n">
        <f aca="false">IF(AND($K1005=1,AND(对接源_01水果!$X1005="公司筐",N(对接源_01水果!$U1005)&lt;&gt;0)),1,0)</f>
        <v>0</v>
      </c>
      <c r="S1005" s="1" t="n">
        <f aca="false">N(S1004)+$R1005</f>
        <v>0</v>
      </c>
      <c r="T1005" s="1" t="n">
        <f aca="false">IF(AND($K1005=1,AND(对接源_01水果!$X1005="公司筐",N(对接源_01水果!$V1005)&lt;&gt;0)),1,0)</f>
        <v>0</v>
      </c>
      <c r="U1005" s="1" t="n">
        <f aca="false">N(U1004)+$T1005</f>
        <v>28</v>
      </c>
      <c r="V1005" s="1" t="n">
        <f aca="false">IF(AND($L1005=1,AND(对接源_01水果!$X1005="自备筐",N(对接源_01水果!$V1005)&lt;&gt;0)),1,0)</f>
        <v>0</v>
      </c>
      <c r="W1005" s="1" t="n">
        <f aca="false">N(W1004)+$V1005</f>
        <v>7</v>
      </c>
      <c r="X1005" s="1" t="n">
        <f aca="false">IF(AND($L1005=1,AND(对接源_01水果!$X1005="自备筐",N(对接源_01水果!$T1005)&lt;&gt;0)),1,0)</f>
        <v>0</v>
      </c>
      <c r="Y1005" s="1" t="n">
        <f aca="false">N(Y1004)+$X1005</f>
        <v>0</v>
      </c>
      <c r="Z1005" s="1" t="n">
        <f aca="false">IF(AND($M1005=1,对接源_01水果!$D1005="原料入库"),1,0)</f>
        <v>0</v>
      </c>
      <c r="AA1005" s="1" t="n">
        <f aca="false">N(AA1004)+$Z1005</f>
        <v>30</v>
      </c>
      <c r="AB1005" s="1" t="n">
        <f aca="false">IF(AND($M1005=1,LEFT(对接源_01水果!$D1005,4)="原料出库"),1,0)</f>
        <v>0</v>
      </c>
      <c r="AC1005" s="1" t="n">
        <f aca="false">N(AC1004)+$AB1005</f>
        <v>19</v>
      </c>
      <c r="AD1005" s="1" t="n">
        <f aca="false">IF(AND($M1005=1,LEFT(对接源_01水果!$D1005,4)="成品出库"),1,0)</f>
        <v>0</v>
      </c>
      <c r="AE1005" s="1" t="n">
        <f aca="false">N(AE1004)+$AD1005</f>
        <v>38</v>
      </c>
      <c r="AF1005" s="1" t="n">
        <f aca="false">IF(AND($N1005=1,AND(LEFT(对接源_01水果!$D1005,4)="包装物料",N(对接源_01水果!$K1005)&lt;&gt;0)),1,0)</f>
        <v>0</v>
      </c>
      <c r="AG1005" s="90" t="str">
        <f aca="false">IF(对接源_01水果!$AC1005="","",对接源_01水果!$AC1005)</f>
        <v/>
      </c>
      <c r="AH1005" s="1" t="n">
        <f aca="false">IF(AND($N1005=1,AND(LEFT(对接源_01水果!$D1005,3)="周转筐",N(对接源_01水果!$K1005)&lt;&gt;0)),1,0)</f>
        <v>0</v>
      </c>
      <c r="AI1005" s="90" t="n">
        <f aca="false">IF(AG1005="",0,IF(MATCH(AG1005,$AG$4:$AG$1203,0)=ROW()-3,1,0))</f>
        <v>0</v>
      </c>
      <c r="AJ1005" s="90" t="n">
        <f aca="false">N(AJ1004)+AI1005</f>
        <v>4</v>
      </c>
      <c r="AK1005" s="1" t="n">
        <f aca="false">N(AK1004)+$AJ1005</f>
        <v>2880</v>
      </c>
    </row>
    <row r="1006" customFormat="false" ht="13.5" hidden="false" customHeight="false" outlineLevel="0" collapsed="false">
      <c r="A1006" s="1" t="str">
        <f aca="false">IF(对接源_01水果!$C1006="","",对接源_01水果!$C1006)</f>
        <v/>
      </c>
      <c r="B1006" s="1" t="n">
        <f aca="false">IF(A1006="",0,IF(MATCH(A1006,$A$4:$A$2403,0)=ROW()-3,1,0))</f>
        <v>0</v>
      </c>
      <c r="C1006" s="1" t="n">
        <f aca="false">N(C1005)+B1006</f>
        <v>13</v>
      </c>
      <c r="K1006" s="1" t="n">
        <f aca="false">IF(OR($K$1="",对接源_01水果!$C1006="",对接源_01水果!$C1006&lt;&gt;$K$1,对接源_01水果!$B1006=""),0,IF(OR(N(对接源_01水果!$B1006)&lt;$K$2,N(对接源_01水果!$B1006)&gt;$K$3),0,1))</f>
        <v>0</v>
      </c>
      <c r="L1006" s="1" t="n">
        <f aca="false">IF(OR($L$1="",对接源_01水果!$C1006="",对接源_01水果!$C1006&lt;&gt;$L$1,对接源_01水果!$B1006=""),0,IF(OR(N(对接源_01水果!$B1006)&lt;$L$2,N(对接源_01水果!$B1006)&gt;$L$3),0,1))</f>
        <v>0</v>
      </c>
      <c r="M1006" s="1" t="n">
        <f aca="false">IF(OR($M$1="",对接源_01水果!$C1006="",对接源_01水果!$C1006&lt;&gt;$M$1,对接源_01水果!$B1006=""),0,IF(OR(N(对接源_01水果!$B1006)&lt;$M$2,N(对接源_01水果!$B1006)&gt;$M$3),0,1))</f>
        <v>0</v>
      </c>
      <c r="N1006" s="1" t="n">
        <f aca="false">IF(OR($N$1="",对接源_01水果!$C1006="",对接源_01水果!$C1006&lt;&gt;$N$1,对接源_01水果!$B1006=""),0,IF(OR(N(对接源_01水果!$B1006)&lt;$N$2,N(对接源_01水果!$B1006)&gt;$N$3),0,1))</f>
        <v>0</v>
      </c>
      <c r="P1006" s="1" t="n">
        <f aca="false">IF(AND($K1006=1,AND(对接源_01水果!$X1006="公司筐",N(对接源_01水果!$T1006)&lt;&gt;0)),1,0)</f>
        <v>0</v>
      </c>
      <c r="Q1006" s="1" t="n">
        <f aca="false">N(Q1005)+$P1006</f>
        <v>3</v>
      </c>
      <c r="R1006" s="1" t="n">
        <f aca="false">IF(AND($K1006=1,AND(对接源_01水果!$X1006="公司筐",N(对接源_01水果!$U1006)&lt;&gt;0)),1,0)</f>
        <v>0</v>
      </c>
      <c r="S1006" s="1" t="n">
        <f aca="false">N(S1005)+$R1006</f>
        <v>0</v>
      </c>
      <c r="T1006" s="1" t="n">
        <f aca="false">IF(AND($K1006=1,AND(对接源_01水果!$X1006="公司筐",N(对接源_01水果!$V1006)&lt;&gt;0)),1,0)</f>
        <v>0</v>
      </c>
      <c r="U1006" s="1" t="n">
        <f aca="false">N(U1005)+$T1006</f>
        <v>28</v>
      </c>
      <c r="V1006" s="1" t="n">
        <f aca="false">IF(AND($L1006=1,AND(对接源_01水果!$X1006="自备筐",N(对接源_01水果!$V1006)&lt;&gt;0)),1,0)</f>
        <v>0</v>
      </c>
      <c r="W1006" s="1" t="n">
        <f aca="false">N(W1005)+$V1006</f>
        <v>7</v>
      </c>
      <c r="X1006" s="1" t="n">
        <f aca="false">IF(AND($L1006=1,AND(对接源_01水果!$X1006="自备筐",N(对接源_01水果!$T1006)&lt;&gt;0)),1,0)</f>
        <v>0</v>
      </c>
      <c r="Y1006" s="1" t="n">
        <f aca="false">N(Y1005)+$X1006</f>
        <v>0</v>
      </c>
      <c r="Z1006" s="1" t="n">
        <f aca="false">IF(AND($M1006=1,对接源_01水果!$D1006="原料入库"),1,0)</f>
        <v>0</v>
      </c>
      <c r="AA1006" s="1" t="n">
        <f aca="false">N(AA1005)+$Z1006</f>
        <v>30</v>
      </c>
      <c r="AB1006" s="1" t="n">
        <f aca="false">IF(AND($M1006=1,LEFT(对接源_01水果!$D1006,4)="原料出库"),1,0)</f>
        <v>0</v>
      </c>
      <c r="AC1006" s="1" t="n">
        <f aca="false">N(AC1005)+$AB1006</f>
        <v>19</v>
      </c>
      <c r="AD1006" s="1" t="n">
        <f aca="false">IF(AND($M1006=1,LEFT(对接源_01水果!$D1006,4)="成品出库"),1,0)</f>
        <v>0</v>
      </c>
      <c r="AE1006" s="1" t="n">
        <f aca="false">N(AE1005)+$AD1006</f>
        <v>38</v>
      </c>
      <c r="AF1006" s="1" t="n">
        <f aca="false">IF(AND($N1006=1,AND(LEFT(对接源_01水果!$D1006,4)="包装物料",N(对接源_01水果!$K1006)&lt;&gt;0)),1,0)</f>
        <v>0</v>
      </c>
      <c r="AG1006" s="90" t="str">
        <f aca="false">IF(对接源_01水果!$AC1006="","",对接源_01水果!$AC1006)</f>
        <v/>
      </c>
      <c r="AH1006" s="1" t="n">
        <f aca="false">IF(AND($N1006=1,AND(LEFT(对接源_01水果!$D1006,3)="周转筐",N(对接源_01水果!$K1006)&lt;&gt;0)),1,0)</f>
        <v>0</v>
      </c>
      <c r="AI1006" s="90" t="n">
        <f aca="false">IF(AG1006="",0,IF(MATCH(AG1006,$AG$4:$AG$1203,0)=ROW()-3,1,0))</f>
        <v>0</v>
      </c>
      <c r="AJ1006" s="90" t="n">
        <f aca="false">N(AJ1005)+AI1006</f>
        <v>4</v>
      </c>
      <c r="AK1006" s="1" t="n">
        <f aca="false">N(AK1005)+$AJ1006</f>
        <v>2884</v>
      </c>
    </row>
    <row r="1007" customFormat="false" ht="13.5" hidden="false" customHeight="false" outlineLevel="0" collapsed="false">
      <c r="A1007" s="1" t="str">
        <f aca="false">IF(对接源_01水果!$C1007="","",对接源_01水果!$C1007)</f>
        <v/>
      </c>
      <c r="B1007" s="1" t="n">
        <f aca="false">IF(A1007="",0,IF(MATCH(A1007,$A$4:$A$2403,0)=ROW()-3,1,0))</f>
        <v>0</v>
      </c>
      <c r="C1007" s="1" t="n">
        <f aca="false">N(C1006)+B1007</f>
        <v>13</v>
      </c>
      <c r="K1007" s="1" t="n">
        <f aca="false">IF(OR($K$1="",对接源_01水果!$C1007="",对接源_01水果!$C1007&lt;&gt;$K$1,对接源_01水果!$B1007=""),0,IF(OR(N(对接源_01水果!$B1007)&lt;$K$2,N(对接源_01水果!$B1007)&gt;$K$3),0,1))</f>
        <v>0</v>
      </c>
      <c r="L1007" s="1" t="n">
        <f aca="false">IF(OR($L$1="",对接源_01水果!$C1007="",对接源_01水果!$C1007&lt;&gt;$L$1,对接源_01水果!$B1007=""),0,IF(OR(N(对接源_01水果!$B1007)&lt;$L$2,N(对接源_01水果!$B1007)&gt;$L$3),0,1))</f>
        <v>0</v>
      </c>
      <c r="M1007" s="1" t="n">
        <f aca="false">IF(OR($M$1="",对接源_01水果!$C1007="",对接源_01水果!$C1007&lt;&gt;$M$1,对接源_01水果!$B1007=""),0,IF(OR(N(对接源_01水果!$B1007)&lt;$M$2,N(对接源_01水果!$B1007)&gt;$M$3),0,1))</f>
        <v>0</v>
      </c>
      <c r="N1007" s="1" t="n">
        <f aca="false">IF(OR($N$1="",对接源_01水果!$C1007="",对接源_01水果!$C1007&lt;&gt;$N$1,对接源_01水果!$B1007=""),0,IF(OR(N(对接源_01水果!$B1007)&lt;$N$2,N(对接源_01水果!$B1007)&gt;$N$3),0,1))</f>
        <v>0</v>
      </c>
      <c r="P1007" s="1" t="n">
        <f aca="false">IF(AND($K1007=1,AND(对接源_01水果!$X1007="公司筐",N(对接源_01水果!$T1007)&lt;&gt;0)),1,0)</f>
        <v>0</v>
      </c>
      <c r="Q1007" s="1" t="n">
        <f aca="false">N(Q1006)+$P1007</f>
        <v>3</v>
      </c>
      <c r="R1007" s="1" t="n">
        <f aca="false">IF(AND($K1007=1,AND(对接源_01水果!$X1007="公司筐",N(对接源_01水果!$U1007)&lt;&gt;0)),1,0)</f>
        <v>0</v>
      </c>
      <c r="S1007" s="1" t="n">
        <f aca="false">N(S1006)+$R1007</f>
        <v>0</v>
      </c>
      <c r="T1007" s="1" t="n">
        <f aca="false">IF(AND($K1007=1,AND(对接源_01水果!$X1007="公司筐",N(对接源_01水果!$V1007)&lt;&gt;0)),1,0)</f>
        <v>0</v>
      </c>
      <c r="U1007" s="1" t="n">
        <f aca="false">N(U1006)+$T1007</f>
        <v>28</v>
      </c>
      <c r="V1007" s="1" t="n">
        <f aca="false">IF(AND($L1007=1,AND(对接源_01水果!$X1007="自备筐",N(对接源_01水果!$V1007)&lt;&gt;0)),1,0)</f>
        <v>0</v>
      </c>
      <c r="W1007" s="1" t="n">
        <f aca="false">N(W1006)+$V1007</f>
        <v>7</v>
      </c>
      <c r="X1007" s="1" t="n">
        <f aca="false">IF(AND($L1007=1,AND(对接源_01水果!$X1007="自备筐",N(对接源_01水果!$T1007)&lt;&gt;0)),1,0)</f>
        <v>0</v>
      </c>
      <c r="Y1007" s="1" t="n">
        <f aca="false">N(Y1006)+$X1007</f>
        <v>0</v>
      </c>
      <c r="Z1007" s="1" t="n">
        <f aca="false">IF(AND($M1007=1,对接源_01水果!$D1007="原料入库"),1,0)</f>
        <v>0</v>
      </c>
      <c r="AA1007" s="1" t="n">
        <f aca="false">N(AA1006)+$Z1007</f>
        <v>30</v>
      </c>
      <c r="AB1007" s="1" t="n">
        <f aca="false">IF(AND($M1007=1,LEFT(对接源_01水果!$D1007,4)="原料出库"),1,0)</f>
        <v>0</v>
      </c>
      <c r="AC1007" s="1" t="n">
        <f aca="false">N(AC1006)+$AB1007</f>
        <v>19</v>
      </c>
      <c r="AD1007" s="1" t="n">
        <f aca="false">IF(AND($M1007=1,LEFT(对接源_01水果!$D1007,4)="成品出库"),1,0)</f>
        <v>0</v>
      </c>
      <c r="AE1007" s="1" t="n">
        <f aca="false">N(AE1006)+$AD1007</f>
        <v>38</v>
      </c>
      <c r="AF1007" s="1" t="n">
        <f aca="false">IF(AND($N1007=1,AND(LEFT(对接源_01水果!$D1007,4)="包装物料",N(对接源_01水果!$K1007)&lt;&gt;0)),1,0)</f>
        <v>0</v>
      </c>
      <c r="AG1007" s="90" t="str">
        <f aca="false">IF(对接源_01水果!$AC1007="","",对接源_01水果!$AC1007)</f>
        <v/>
      </c>
      <c r="AH1007" s="1" t="n">
        <f aca="false">IF(AND($N1007=1,AND(LEFT(对接源_01水果!$D1007,3)="周转筐",N(对接源_01水果!$K1007)&lt;&gt;0)),1,0)</f>
        <v>0</v>
      </c>
      <c r="AI1007" s="90" t="n">
        <f aca="false">IF(AG1007="",0,IF(MATCH(AG1007,$AG$4:$AG$1203,0)=ROW()-3,1,0))</f>
        <v>0</v>
      </c>
      <c r="AJ1007" s="90" t="n">
        <f aca="false">N(AJ1006)+AI1007</f>
        <v>4</v>
      </c>
      <c r="AK1007" s="1" t="n">
        <f aca="false">N(AK1006)+$AJ1007</f>
        <v>2888</v>
      </c>
    </row>
    <row r="1008" customFormat="false" ht="13.5" hidden="false" customHeight="false" outlineLevel="0" collapsed="false">
      <c r="A1008" s="1" t="str">
        <f aca="false">IF(对接源_01水果!$C1008="","",对接源_01水果!$C1008)</f>
        <v/>
      </c>
      <c r="B1008" s="1" t="n">
        <f aca="false">IF(A1008="",0,IF(MATCH(A1008,$A$4:$A$2403,0)=ROW()-3,1,0))</f>
        <v>0</v>
      </c>
      <c r="C1008" s="1" t="n">
        <f aca="false">N(C1007)+B1008</f>
        <v>13</v>
      </c>
      <c r="K1008" s="1" t="n">
        <f aca="false">IF(OR($K$1="",对接源_01水果!$C1008="",对接源_01水果!$C1008&lt;&gt;$K$1,对接源_01水果!$B1008=""),0,IF(OR(N(对接源_01水果!$B1008)&lt;$K$2,N(对接源_01水果!$B1008)&gt;$K$3),0,1))</f>
        <v>0</v>
      </c>
      <c r="L1008" s="1" t="n">
        <f aca="false">IF(OR($L$1="",对接源_01水果!$C1008="",对接源_01水果!$C1008&lt;&gt;$L$1,对接源_01水果!$B1008=""),0,IF(OR(N(对接源_01水果!$B1008)&lt;$L$2,N(对接源_01水果!$B1008)&gt;$L$3),0,1))</f>
        <v>0</v>
      </c>
      <c r="M1008" s="1" t="n">
        <f aca="false">IF(OR($M$1="",对接源_01水果!$C1008="",对接源_01水果!$C1008&lt;&gt;$M$1,对接源_01水果!$B1008=""),0,IF(OR(N(对接源_01水果!$B1008)&lt;$M$2,N(对接源_01水果!$B1008)&gt;$M$3),0,1))</f>
        <v>0</v>
      </c>
      <c r="N1008" s="1" t="n">
        <f aca="false">IF(OR($N$1="",对接源_01水果!$C1008="",对接源_01水果!$C1008&lt;&gt;$N$1,对接源_01水果!$B1008=""),0,IF(OR(N(对接源_01水果!$B1008)&lt;$N$2,N(对接源_01水果!$B1008)&gt;$N$3),0,1))</f>
        <v>0</v>
      </c>
      <c r="P1008" s="1" t="n">
        <f aca="false">IF(AND($K1008=1,AND(对接源_01水果!$X1008="公司筐",N(对接源_01水果!$T1008)&lt;&gt;0)),1,0)</f>
        <v>0</v>
      </c>
      <c r="Q1008" s="1" t="n">
        <f aca="false">N(Q1007)+$P1008</f>
        <v>3</v>
      </c>
      <c r="R1008" s="1" t="n">
        <f aca="false">IF(AND($K1008=1,AND(对接源_01水果!$X1008="公司筐",N(对接源_01水果!$U1008)&lt;&gt;0)),1,0)</f>
        <v>0</v>
      </c>
      <c r="S1008" s="1" t="n">
        <f aca="false">N(S1007)+$R1008</f>
        <v>0</v>
      </c>
      <c r="T1008" s="1" t="n">
        <f aca="false">IF(AND($K1008=1,AND(对接源_01水果!$X1008="公司筐",N(对接源_01水果!$V1008)&lt;&gt;0)),1,0)</f>
        <v>0</v>
      </c>
      <c r="U1008" s="1" t="n">
        <f aca="false">N(U1007)+$T1008</f>
        <v>28</v>
      </c>
      <c r="V1008" s="1" t="n">
        <f aca="false">IF(AND($L1008=1,AND(对接源_01水果!$X1008="自备筐",N(对接源_01水果!$V1008)&lt;&gt;0)),1,0)</f>
        <v>0</v>
      </c>
      <c r="W1008" s="1" t="n">
        <f aca="false">N(W1007)+$V1008</f>
        <v>7</v>
      </c>
      <c r="X1008" s="1" t="n">
        <f aca="false">IF(AND($L1008=1,AND(对接源_01水果!$X1008="自备筐",N(对接源_01水果!$T1008)&lt;&gt;0)),1,0)</f>
        <v>0</v>
      </c>
      <c r="Y1008" s="1" t="n">
        <f aca="false">N(Y1007)+$X1008</f>
        <v>0</v>
      </c>
      <c r="Z1008" s="1" t="n">
        <f aca="false">IF(AND($M1008=1,对接源_01水果!$D1008="原料入库"),1,0)</f>
        <v>0</v>
      </c>
      <c r="AA1008" s="1" t="n">
        <f aca="false">N(AA1007)+$Z1008</f>
        <v>30</v>
      </c>
      <c r="AB1008" s="1" t="n">
        <f aca="false">IF(AND($M1008=1,LEFT(对接源_01水果!$D1008,4)="原料出库"),1,0)</f>
        <v>0</v>
      </c>
      <c r="AC1008" s="1" t="n">
        <f aca="false">N(AC1007)+$AB1008</f>
        <v>19</v>
      </c>
      <c r="AD1008" s="1" t="n">
        <f aca="false">IF(AND($M1008=1,LEFT(对接源_01水果!$D1008,4)="成品出库"),1,0)</f>
        <v>0</v>
      </c>
      <c r="AE1008" s="1" t="n">
        <f aca="false">N(AE1007)+$AD1008</f>
        <v>38</v>
      </c>
      <c r="AF1008" s="1" t="n">
        <f aca="false">IF(AND($N1008=1,AND(LEFT(对接源_01水果!$D1008,4)="包装物料",N(对接源_01水果!$K1008)&lt;&gt;0)),1,0)</f>
        <v>0</v>
      </c>
      <c r="AG1008" s="90" t="str">
        <f aca="false">IF(对接源_01水果!$AC1008="","",对接源_01水果!$AC1008)</f>
        <v/>
      </c>
      <c r="AH1008" s="1" t="n">
        <f aca="false">IF(AND($N1008=1,AND(LEFT(对接源_01水果!$D1008,3)="周转筐",N(对接源_01水果!$K1008)&lt;&gt;0)),1,0)</f>
        <v>0</v>
      </c>
      <c r="AI1008" s="90" t="n">
        <f aca="false">IF(AG1008="",0,IF(MATCH(AG1008,$AG$4:$AG$1203,0)=ROW()-3,1,0))</f>
        <v>0</v>
      </c>
      <c r="AJ1008" s="90" t="n">
        <f aca="false">N(AJ1007)+AI1008</f>
        <v>4</v>
      </c>
      <c r="AK1008" s="1" t="n">
        <f aca="false">N(AK1007)+$AJ1008</f>
        <v>2892</v>
      </c>
    </row>
    <row r="1009" customFormat="false" ht="13.5" hidden="false" customHeight="false" outlineLevel="0" collapsed="false">
      <c r="A1009" s="1" t="str">
        <f aca="false">IF(对接源_01水果!$C1009="","",对接源_01水果!$C1009)</f>
        <v/>
      </c>
      <c r="B1009" s="1" t="n">
        <f aca="false">IF(A1009="",0,IF(MATCH(A1009,$A$4:$A$2403,0)=ROW()-3,1,0))</f>
        <v>0</v>
      </c>
      <c r="C1009" s="1" t="n">
        <f aca="false">N(C1008)+B1009</f>
        <v>13</v>
      </c>
      <c r="K1009" s="1" t="n">
        <f aca="false">IF(OR($K$1="",对接源_01水果!$C1009="",对接源_01水果!$C1009&lt;&gt;$K$1,对接源_01水果!$B1009=""),0,IF(OR(N(对接源_01水果!$B1009)&lt;$K$2,N(对接源_01水果!$B1009)&gt;$K$3),0,1))</f>
        <v>0</v>
      </c>
      <c r="L1009" s="1" t="n">
        <f aca="false">IF(OR($L$1="",对接源_01水果!$C1009="",对接源_01水果!$C1009&lt;&gt;$L$1,对接源_01水果!$B1009=""),0,IF(OR(N(对接源_01水果!$B1009)&lt;$L$2,N(对接源_01水果!$B1009)&gt;$L$3),0,1))</f>
        <v>0</v>
      </c>
      <c r="M1009" s="1" t="n">
        <f aca="false">IF(OR($M$1="",对接源_01水果!$C1009="",对接源_01水果!$C1009&lt;&gt;$M$1,对接源_01水果!$B1009=""),0,IF(OR(N(对接源_01水果!$B1009)&lt;$M$2,N(对接源_01水果!$B1009)&gt;$M$3),0,1))</f>
        <v>0</v>
      </c>
      <c r="N1009" s="1" t="n">
        <f aca="false">IF(OR($N$1="",对接源_01水果!$C1009="",对接源_01水果!$C1009&lt;&gt;$N$1,对接源_01水果!$B1009=""),0,IF(OR(N(对接源_01水果!$B1009)&lt;$N$2,N(对接源_01水果!$B1009)&gt;$N$3),0,1))</f>
        <v>0</v>
      </c>
      <c r="P1009" s="1" t="n">
        <f aca="false">IF(AND($K1009=1,AND(对接源_01水果!$X1009="公司筐",N(对接源_01水果!$T1009)&lt;&gt;0)),1,0)</f>
        <v>0</v>
      </c>
      <c r="Q1009" s="1" t="n">
        <f aca="false">N(Q1008)+$P1009</f>
        <v>3</v>
      </c>
      <c r="R1009" s="1" t="n">
        <f aca="false">IF(AND($K1009=1,AND(对接源_01水果!$X1009="公司筐",N(对接源_01水果!$U1009)&lt;&gt;0)),1,0)</f>
        <v>0</v>
      </c>
      <c r="S1009" s="1" t="n">
        <f aca="false">N(S1008)+$R1009</f>
        <v>0</v>
      </c>
      <c r="T1009" s="1" t="n">
        <f aca="false">IF(AND($K1009=1,AND(对接源_01水果!$X1009="公司筐",N(对接源_01水果!$V1009)&lt;&gt;0)),1,0)</f>
        <v>0</v>
      </c>
      <c r="U1009" s="1" t="n">
        <f aca="false">N(U1008)+$T1009</f>
        <v>28</v>
      </c>
      <c r="V1009" s="1" t="n">
        <f aca="false">IF(AND($L1009=1,AND(对接源_01水果!$X1009="自备筐",N(对接源_01水果!$V1009)&lt;&gt;0)),1,0)</f>
        <v>0</v>
      </c>
      <c r="W1009" s="1" t="n">
        <f aca="false">N(W1008)+$V1009</f>
        <v>7</v>
      </c>
      <c r="X1009" s="1" t="n">
        <f aca="false">IF(AND($L1009=1,AND(对接源_01水果!$X1009="自备筐",N(对接源_01水果!$T1009)&lt;&gt;0)),1,0)</f>
        <v>0</v>
      </c>
      <c r="Y1009" s="1" t="n">
        <f aca="false">N(Y1008)+$X1009</f>
        <v>0</v>
      </c>
      <c r="Z1009" s="1" t="n">
        <f aca="false">IF(AND($M1009=1,对接源_01水果!$D1009="原料入库"),1,0)</f>
        <v>0</v>
      </c>
      <c r="AA1009" s="1" t="n">
        <f aca="false">N(AA1008)+$Z1009</f>
        <v>30</v>
      </c>
      <c r="AB1009" s="1" t="n">
        <f aca="false">IF(AND($M1009=1,LEFT(对接源_01水果!$D1009,4)="原料出库"),1,0)</f>
        <v>0</v>
      </c>
      <c r="AC1009" s="1" t="n">
        <f aca="false">N(AC1008)+$AB1009</f>
        <v>19</v>
      </c>
      <c r="AD1009" s="1" t="n">
        <f aca="false">IF(AND($M1009=1,LEFT(对接源_01水果!$D1009,4)="成品出库"),1,0)</f>
        <v>0</v>
      </c>
      <c r="AE1009" s="1" t="n">
        <f aca="false">N(AE1008)+$AD1009</f>
        <v>38</v>
      </c>
      <c r="AF1009" s="1" t="n">
        <f aca="false">IF(AND($N1009=1,AND(LEFT(对接源_01水果!$D1009,4)="包装物料",N(对接源_01水果!$K1009)&lt;&gt;0)),1,0)</f>
        <v>0</v>
      </c>
      <c r="AG1009" s="90" t="str">
        <f aca="false">IF(对接源_01水果!$AC1009="","",对接源_01水果!$AC1009)</f>
        <v/>
      </c>
      <c r="AH1009" s="1" t="n">
        <f aca="false">IF(AND($N1009=1,AND(LEFT(对接源_01水果!$D1009,3)="周转筐",N(对接源_01水果!$K1009)&lt;&gt;0)),1,0)</f>
        <v>0</v>
      </c>
      <c r="AI1009" s="90" t="n">
        <f aca="false">IF(AG1009="",0,IF(MATCH(AG1009,$AG$4:$AG$1203,0)=ROW()-3,1,0))</f>
        <v>0</v>
      </c>
      <c r="AJ1009" s="90" t="n">
        <f aca="false">N(AJ1008)+AI1009</f>
        <v>4</v>
      </c>
      <c r="AK1009" s="1" t="n">
        <f aca="false">N(AK1008)+$AJ1009</f>
        <v>2896</v>
      </c>
    </row>
    <row r="1010" customFormat="false" ht="13.5" hidden="false" customHeight="false" outlineLevel="0" collapsed="false">
      <c r="A1010" s="1" t="str">
        <f aca="false">IF(对接源_01水果!$C1010="","",对接源_01水果!$C1010)</f>
        <v/>
      </c>
      <c r="B1010" s="1" t="n">
        <f aca="false">IF(A1010="",0,IF(MATCH(A1010,$A$4:$A$2403,0)=ROW()-3,1,0))</f>
        <v>0</v>
      </c>
      <c r="C1010" s="1" t="n">
        <f aca="false">N(C1009)+B1010</f>
        <v>13</v>
      </c>
      <c r="K1010" s="1" t="n">
        <f aca="false">IF(OR($K$1="",对接源_01水果!$C1010="",对接源_01水果!$C1010&lt;&gt;$K$1,对接源_01水果!$B1010=""),0,IF(OR(N(对接源_01水果!$B1010)&lt;$K$2,N(对接源_01水果!$B1010)&gt;$K$3),0,1))</f>
        <v>0</v>
      </c>
      <c r="L1010" s="1" t="n">
        <f aca="false">IF(OR($L$1="",对接源_01水果!$C1010="",对接源_01水果!$C1010&lt;&gt;$L$1,对接源_01水果!$B1010=""),0,IF(OR(N(对接源_01水果!$B1010)&lt;$L$2,N(对接源_01水果!$B1010)&gt;$L$3),0,1))</f>
        <v>0</v>
      </c>
      <c r="M1010" s="1" t="n">
        <f aca="false">IF(OR($M$1="",对接源_01水果!$C1010="",对接源_01水果!$C1010&lt;&gt;$M$1,对接源_01水果!$B1010=""),0,IF(OR(N(对接源_01水果!$B1010)&lt;$M$2,N(对接源_01水果!$B1010)&gt;$M$3),0,1))</f>
        <v>0</v>
      </c>
      <c r="N1010" s="1" t="n">
        <f aca="false">IF(OR($N$1="",对接源_01水果!$C1010="",对接源_01水果!$C1010&lt;&gt;$N$1,对接源_01水果!$B1010=""),0,IF(OR(N(对接源_01水果!$B1010)&lt;$N$2,N(对接源_01水果!$B1010)&gt;$N$3),0,1))</f>
        <v>0</v>
      </c>
      <c r="P1010" s="1" t="n">
        <f aca="false">IF(AND($K1010=1,AND(对接源_01水果!$X1010="公司筐",N(对接源_01水果!$T1010)&lt;&gt;0)),1,0)</f>
        <v>0</v>
      </c>
      <c r="Q1010" s="1" t="n">
        <f aca="false">N(Q1009)+$P1010</f>
        <v>3</v>
      </c>
      <c r="R1010" s="1" t="n">
        <f aca="false">IF(AND($K1010=1,AND(对接源_01水果!$X1010="公司筐",N(对接源_01水果!$U1010)&lt;&gt;0)),1,0)</f>
        <v>0</v>
      </c>
      <c r="S1010" s="1" t="n">
        <f aca="false">N(S1009)+$R1010</f>
        <v>0</v>
      </c>
      <c r="T1010" s="1" t="n">
        <f aca="false">IF(AND($K1010=1,AND(对接源_01水果!$X1010="公司筐",N(对接源_01水果!$V1010)&lt;&gt;0)),1,0)</f>
        <v>0</v>
      </c>
      <c r="U1010" s="1" t="n">
        <f aca="false">N(U1009)+$T1010</f>
        <v>28</v>
      </c>
      <c r="V1010" s="1" t="n">
        <f aca="false">IF(AND($L1010=1,AND(对接源_01水果!$X1010="自备筐",N(对接源_01水果!$V1010)&lt;&gt;0)),1,0)</f>
        <v>0</v>
      </c>
      <c r="W1010" s="1" t="n">
        <f aca="false">N(W1009)+$V1010</f>
        <v>7</v>
      </c>
      <c r="X1010" s="1" t="n">
        <f aca="false">IF(AND($L1010=1,AND(对接源_01水果!$X1010="自备筐",N(对接源_01水果!$T1010)&lt;&gt;0)),1,0)</f>
        <v>0</v>
      </c>
      <c r="Y1010" s="1" t="n">
        <f aca="false">N(Y1009)+$X1010</f>
        <v>0</v>
      </c>
      <c r="Z1010" s="1" t="n">
        <f aca="false">IF(AND($M1010=1,对接源_01水果!$D1010="原料入库"),1,0)</f>
        <v>0</v>
      </c>
      <c r="AA1010" s="1" t="n">
        <f aca="false">N(AA1009)+$Z1010</f>
        <v>30</v>
      </c>
      <c r="AB1010" s="1" t="n">
        <f aca="false">IF(AND($M1010=1,LEFT(对接源_01水果!$D1010,4)="原料出库"),1,0)</f>
        <v>0</v>
      </c>
      <c r="AC1010" s="1" t="n">
        <f aca="false">N(AC1009)+$AB1010</f>
        <v>19</v>
      </c>
      <c r="AD1010" s="1" t="n">
        <f aca="false">IF(AND($M1010=1,LEFT(对接源_01水果!$D1010,4)="成品出库"),1,0)</f>
        <v>0</v>
      </c>
      <c r="AE1010" s="1" t="n">
        <f aca="false">N(AE1009)+$AD1010</f>
        <v>38</v>
      </c>
      <c r="AF1010" s="1" t="n">
        <f aca="false">IF(AND($N1010=1,AND(LEFT(对接源_01水果!$D1010,4)="包装物料",N(对接源_01水果!$K1010)&lt;&gt;0)),1,0)</f>
        <v>0</v>
      </c>
      <c r="AG1010" s="90" t="str">
        <f aca="false">IF(对接源_01水果!$AC1010="","",对接源_01水果!$AC1010)</f>
        <v/>
      </c>
      <c r="AH1010" s="1" t="n">
        <f aca="false">IF(AND($N1010=1,AND(LEFT(对接源_01水果!$D1010,3)="周转筐",N(对接源_01水果!$K1010)&lt;&gt;0)),1,0)</f>
        <v>0</v>
      </c>
      <c r="AI1010" s="90" t="n">
        <f aca="false">IF(AG1010="",0,IF(MATCH(AG1010,$AG$4:$AG$1203,0)=ROW()-3,1,0))</f>
        <v>0</v>
      </c>
      <c r="AJ1010" s="90" t="n">
        <f aca="false">N(AJ1009)+AI1010</f>
        <v>4</v>
      </c>
      <c r="AK1010" s="1" t="n">
        <f aca="false">N(AK1009)+$AJ1010</f>
        <v>2900</v>
      </c>
    </row>
    <row r="1011" customFormat="false" ht="13.5" hidden="false" customHeight="false" outlineLevel="0" collapsed="false">
      <c r="A1011" s="1" t="str">
        <f aca="false">IF(对接源_01水果!$C1011="","",对接源_01水果!$C1011)</f>
        <v/>
      </c>
      <c r="B1011" s="1" t="n">
        <f aca="false">IF(A1011="",0,IF(MATCH(A1011,$A$4:$A$2403,0)=ROW()-3,1,0))</f>
        <v>0</v>
      </c>
      <c r="C1011" s="1" t="n">
        <f aca="false">N(C1010)+B1011</f>
        <v>13</v>
      </c>
      <c r="K1011" s="1" t="n">
        <f aca="false">IF(OR($K$1="",对接源_01水果!$C1011="",对接源_01水果!$C1011&lt;&gt;$K$1,对接源_01水果!$B1011=""),0,IF(OR(N(对接源_01水果!$B1011)&lt;$K$2,N(对接源_01水果!$B1011)&gt;$K$3),0,1))</f>
        <v>0</v>
      </c>
      <c r="L1011" s="1" t="n">
        <f aca="false">IF(OR($L$1="",对接源_01水果!$C1011="",对接源_01水果!$C1011&lt;&gt;$L$1,对接源_01水果!$B1011=""),0,IF(OR(N(对接源_01水果!$B1011)&lt;$L$2,N(对接源_01水果!$B1011)&gt;$L$3),0,1))</f>
        <v>0</v>
      </c>
      <c r="M1011" s="1" t="n">
        <f aca="false">IF(OR($M$1="",对接源_01水果!$C1011="",对接源_01水果!$C1011&lt;&gt;$M$1,对接源_01水果!$B1011=""),0,IF(OR(N(对接源_01水果!$B1011)&lt;$M$2,N(对接源_01水果!$B1011)&gt;$M$3),0,1))</f>
        <v>0</v>
      </c>
      <c r="N1011" s="1" t="n">
        <f aca="false">IF(OR($N$1="",对接源_01水果!$C1011="",对接源_01水果!$C1011&lt;&gt;$N$1,对接源_01水果!$B1011=""),0,IF(OR(N(对接源_01水果!$B1011)&lt;$N$2,N(对接源_01水果!$B1011)&gt;$N$3),0,1))</f>
        <v>0</v>
      </c>
      <c r="P1011" s="1" t="n">
        <f aca="false">IF(AND($K1011=1,AND(对接源_01水果!$X1011="公司筐",N(对接源_01水果!$T1011)&lt;&gt;0)),1,0)</f>
        <v>0</v>
      </c>
      <c r="Q1011" s="1" t="n">
        <f aca="false">N(Q1010)+$P1011</f>
        <v>3</v>
      </c>
      <c r="R1011" s="1" t="n">
        <f aca="false">IF(AND($K1011=1,AND(对接源_01水果!$X1011="公司筐",N(对接源_01水果!$U1011)&lt;&gt;0)),1,0)</f>
        <v>0</v>
      </c>
      <c r="S1011" s="1" t="n">
        <f aca="false">N(S1010)+$R1011</f>
        <v>0</v>
      </c>
      <c r="T1011" s="1" t="n">
        <f aca="false">IF(AND($K1011=1,AND(对接源_01水果!$X1011="公司筐",N(对接源_01水果!$V1011)&lt;&gt;0)),1,0)</f>
        <v>0</v>
      </c>
      <c r="U1011" s="1" t="n">
        <f aca="false">N(U1010)+$T1011</f>
        <v>28</v>
      </c>
      <c r="V1011" s="1" t="n">
        <f aca="false">IF(AND($L1011=1,AND(对接源_01水果!$X1011="自备筐",N(对接源_01水果!$V1011)&lt;&gt;0)),1,0)</f>
        <v>0</v>
      </c>
      <c r="W1011" s="1" t="n">
        <f aca="false">N(W1010)+$V1011</f>
        <v>7</v>
      </c>
      <c r="X1011" s="1" t="n">
        <f aca="false">IF(AND($L1011=1,AND(对接源_01水果!$X1011="自备筐",N(对接源_01水果!$T1011)&lt;&gt;0)),1,0)</f>
        <v>0</v>
      </c>
      <c r="Y1011" s="1" t="n">
        <f aca="false">N(Y1010)+$X1011</f>
        <v>0</v>
      </c>
      <c r="Z1011" s="1" t="n">
        <f aca="false">IF(AND($M1011=1,对接源_01水果!$D1011="原料入库"),1,0)</f>
        <v>0</v>
      </c>
      <c r="AA1011" s="1" t="n">
        <f aca="false">N(AA1010)+$Z1011</f>
        <v>30</v>
      </c>
      <c r="AB1011" s="1" t="n">
        <f aca="false">IF(AND($M1011=1,LEFT(对接源_01水果!$D1011,4)="原料出库"),1,0)</f>
        <v>0</v>
      </c>
      <c r="AC1011" s="1" t="n">
        <f aca="false">N(AC1010)+$AB1011</f>
        <v>19</v>
      </c>
      <c r="AD1011" s="1" t="n">
        <f aca="false">IF(AND($M1011=1,LEFT(对接源_01水果!$D1011,4)="成品出库"),1,0)</f>
        <v>0</v>
      </c>
      <c r="AE1011" s="1" t="n">
        <f aca="false">N(AE1010)+$AD1011</f>
        <v>38</v>
      </c>
      <c r="AF1011" s="1" t="n">
        <f aca="false">IF(AND($N1011=1,AND(LEFT(对接源_01水果!$D1011,4)="包装物料",N(对接源_01水果!$K1011)&lt;&gt;0)),1,0)</f>
        <v>0</v>
      </c>
      <c r="AG1011" s="90" t="str">
        <f aca="false">IF(对接源_01水果!$AC1011="","",对接源_01水果!$AC1011)</f>
        <v/>
      </c>
      <c r="AH1011" s="1" t="n">
        <f aca="false">IF(AND($N1011=1,AND(LEFT(对接源_01水果!$D1011,3)="周转筐",N(对接源_01水果!$K1011)&lt;&gt;0)),1,0)</f>
        <v>0</v>
      </c>
      <c r="AI1011" s="90" t="n">
        <f aca="false">IF(AG1011="",0,IF(MATCH(AG1011,$AG$4:$AG$1203,0)=ROW()-3,1,0))</f>
        <v>0</v>
      </c>
      <c r="AJ1011" s="90" t="n">
        <f aca="false">N(AJ1010)+AI1011</f>
        <v>4</v>
      </c>
      <c r="AK1011" s="1" t="n">
        <f aca="false">N(AK1010)+$AJ1011</f>
        <v>2904</v>
      </c>
    </row>
    <row r="1012" customFormat="false" ht="13.5" hidden="false" customHeight="false" outlineLevel="0" collapsed="false">
      <c r="A1012" s="1" t="str">
        <f aca="false">IF(对接源_01水果!$C1012="","",对接源_01水果!$C1012)</f>
        <v/>
      </c>
      <c r="B1012" s="1" t="n">
        <f aca="false">IF(A1012="",0,IF(MATCH(A1012,$A$4:$A$2403,0)=ROW()-3,1,0))</f>
        <v>0</v>
      </c>
      <c r="C1012" s="1" t="n">
        <f aca="false">N(C1011)+B1012</f>
        <v>13</v>
      </c>
      <c r="K1012" s="1" t="n">
        <f aca="false">IF(OR($K$1="",对接源_01水果!$C1012="",对接源_01水果!$C1012&lt;&gt;$K$1,对接源_01水果!$B1012=""),0,IF(OR(N(对接源_01水果!$B1012)&lt;$K$2,N(对接源_01水果!$B1012)&gt;$K$3),0,1))</f>
        <v>0</v>
      </c>
      <c r="L1012" s="1" t="n">
        <f aca="false">IF(OR($L$1="",对接源_01水果!$C1012="",对接源_01水果!$C1012&lt;&gt;$L$1,对接源_01水果!$B1012=""),0,IF(OR(N(对接源_01水果!$B1012)&lt;$L$2,N(对接源_01水果!$B1012)&gt;$L$3),0,1))</f>
        <v>0</v>
      </c>
      <c r="M1012" s="1" t="n">
        <f aca="false">IF(OR($M$1="",对接源_01水果!$C1012="",对接源_01水果!$C1012&lt;&gt;$M$1,对接源_01水果!$B1012=""),0,IF(OR(N(对接源_01水果!$B1012)&lt;$M$2,N(对接源_01水果!$B1012)&gt;$M$3),0,1))</f>
        <v>0</v>
      </c>
      <c r="N1012" s="1" t="n">
        <f aca="false">IF(OR($N$1="",对接源_01水果!$C1012="",对接源_01水果!$C1012&lt;&gt;$N$1,对接源_01水果!$B1012=""),0,IF(OR(N(对接源_01水果!$B1012)&lt;$N$2,N(对接源_01水果!$B1012)&gt;$N$3),0,1))</f>
        <v>0</v>
      </c>
      <c r="P1012" s="1" t="n">
        <f aca="false">IF(AND($K1012=1,AND(对接源_01水果!$X1012="公司筐",N(对接源_01水果!$T1012)&lt;&gt;0)),1,0)</f>
        <v>0</v>
      </c>
      <c r="Q1012" s="1" t="n">
        <f aca="false">N(Q1011)+$P1012</f>
        <v>3</v>
      </c>
      <c r="R1012" s="1" t="n">
        <f aca="false">IF(AND($K1012=1,AND(对接源_01水果!$X1012="公司筐",N(对接源_01水果!$U1012)&lt;&gt;0)),1,0)</f>
        <v>0</v>
      </c>
      <c r="S1012" s="1" t="n">
        <f aca="false">N(S1011)+$R1012</f>
        <v>0</v>
      </c>
      <c r="T1012" s="1" t="n">
        <f aca="false">IF(AND($K1012=1,AND(对接源_01水果!$X1012="公司筐",N(对接源_01水果!$V1012)&lt;&gt;0)),1,0)</f>
        <v>0</v>
      </c>
      <c r="U1012" s="1" t="n">
        <f aca="false">N(U1011)+$T1012</f>
        <v>28</v>
      </c>
      <c r="V1012" s="1" t="n">
        <f aca="false">IF(AND($L1012=1,AND(对接源_01水果!$X1012="自备筐",N(对接源_01水果!$V1012)&lt;&gt;0)),1,0)</f>
        <v>0</v>
      </c>
      <c r="W1012" s="1" t="n">
        <f aca="false">N(W1011)+$V1012</f>
        <v>7</v>
      </c>
      <c r="X1012" s="1" t="n">
        <f aca="false">IF(AND($L1012=1,AND(对接源_01水果!$X1012="自备筐",N(对接源_01水果!$T1012)&lt;&gt;0)),1,0)</f>
        <v>0</v>
      </c>
      <c r="Y1012" s="1" t="n">
        <f aca="false">N(Y1011)+$X1012</f>
        <v>0</v>
      </c>
      <c r="Z1012" s="1" t="n">
        <f aca="false">IF(AND($M1012=1,对接源_01水果!$D1012="原料入库"),1,0)</f>
        <v>0</v>
      </c>
      <c r="AA1012" s="1" t="n">
        <f aca="false">N(AA1011)+$Z1012</f>
        <v>30</v>
      </c>
      <c r="AB1012" s="1" t="n">
        <f aca="false">IF(AND($M1012=1,LEFT(对接源_01水果!$D1012,4)="原料出库"),1,0)</f>
        <v>0</v>
      </c>
      <c r="AC1012" s="1" t="n">
        <f aca="false">N(AC1011)+$AB1012</f>
        <v>19</v>
      </c>
      <c r="AD1012" s="1" t="n">
        <f aca="false">IF(AND($M1012=1,LEFT(对接源_01水果!$D1012,4)="成品出库"),1,0)</f>
        <v>0</v>
      </c>
      <c r="AE1012" s="1" t="n">
        <f aca="false">N(AE1011)+$AD1012</f>
        <v>38</v>
      </c>
      <c r="AF1012" s="1" t="n">
        <f aca="false">IF(AND($N1012=1,AND(LEFT(对接源_01水果!$D1012,4)="包装物料",N(对接源_01水果!$K1012)&lt;&gt;0)),1,0)</f>
        <v>0</v>
      </c>
      <c r="AG1012" s="90" t="str">
        <f aca="false">IF(对接源_01水果!$AC1012="","",对接源_01水果!$AC1012)</f>
        <v/>
      </c>
      <c r="AH1012" s="1" t="n">
        <f aca="false">IF(AND($N1012=1,AND(LEFT(对接源_01水果!$D1012,3)="周转筐",N(对接源_01水果!$K1012)&lt;&gt;0)),1,0)</f>
        <v>0</v>
      </c>
      <c r="AI1012" s="90" t="n">
        <f aca="false">IF(AG1012="",0,IF(MATCH(AG1012,$AG$4:$AG$1203,0)=ROW()-3,1,0))</f>
        <v>0</v>
      </c>
      <c r="AJ1012" s="90" t="n">
        <f aca="false">N(AJ1011)+AI1012</f>
        <v>4</v>
      </c>
      <c r="AK1012" s="1" t="n">
        <f aca="false">N(AK1011)+$AJ1012</f>
        <v>2908</v>
      </c>
    </row>
    <row r="1013" customFormat="false" ht="13.5" hidden="false" customHeight="false" outlineLevel="0" collapsed="false">
      <c r="A1013" s="1" t="str">
        <f aca="false">IF(对接源_01水果!$C1013="","",对接源_01水果!$C1013)</f>
        <v/>
      </c>
      <c r="B1013" s="1" t="n">
        <f aca="false">IF(A1013="",0,IF(MATCH(A1013,$A$4:$A$2403,0)=ROW()-3,1,0))</f>
        <v>0</v>
      </c>
      <c r="C1013" s="1" t="n">
        <f aca="false">N(C1012)+B1013</f>
        <v>13</v>
      </c>
      <c r="K1013" s="1" t="n">
        <f aca="false">IF(OR($K$1="",对接源_01水果!$C1013="",对接源_01水果!$C1013&lt;&gt;$K$1,对接源_01水果!$B1013=""),0,IF(OR(N(对接源_01水果!$B1013)&lt;$K$2,N(对接源_01水果!$B1013)&gt;$K$3),0,1))</f>
        <v>0</v>
      </c>
      <c r="L1013" s="1" t="n">
        <f aca="false">IF(OR($L$1="",对接源_01水果!$C1013="",对接源_01水果!$C1013&lt;&gt;$L$1,对接源_01水果!$B1013=""),0,IF(OR(N(对接源_01水果!$B1013)&lt;$L$2,N(对接源_01水果!$B1013)&gt;$L$3),0,1))</f>
        <v>0</v>
      </c>
      <c r="M1013" s="1" t="n">
        <f aca="false">IF(OR($M$1="",对接源_01水果!$C1013="",对接源_01水果!$C1013&lt;&gt;$M$1,对接源_01水果!$B1013=""),0,IF(OR(N(对接源_01水果!$B1013)&lt;$M$2,N(对接源_01水果!$B1013)&gt;$M$3),0,1))</f>
        <v>0</v>
      </c>
      <c r="N1013" s="1" t="n">
        <f aca="false">IF(OR($N$1="",对接源_01水果!$C1013="",对接源_01水果!$C1013&lt;&gt;$N$1,对接源_01水果!$B1013=""),0,IF(OR(N(对接源_01水果!$B1013)&lt;$N$2,N(对接源_01水果!$B1013)&gt;$N$3),0,1))</f>
        <v>0</v>
      </c>
      <c r="P1013" s="1" t="n">
        <f aca="false">IF(AND($K1013=1,AND(对接源_01水果!$X1013="公司筐",N(对接源_01水果!$T1013)&lt;&gt;0)),1,0)</f>
        <v>0</v>
      </c>
      <c r="Q1013" s="1" t="n">
        <f aca="false">N(Q1012)+$P1013</f>
        <v>3</v>
      </c>
      <c r="R1013" s="1" t="n">
        <f aca="false">IF(AND($K1013=1,AND(对接源_01水果!$X1013="公司筐",N(对接源_01水果!$U1013)&lt;&gt;0)),1,0)</f>
        <v>0</v>
      </c>
      <c r="S1013" s="1" t="n">
        <f aca="false">N(S1012)+$R1013</f>
        <v>0</v>
      </c>
      <c r="T1013" s="1" t="n">
        <f aca="false">IF(AND($K1013=1,AND(对接源_01水果!$X1013="公司筐",N(对接源_01水果!$V1013)&lt;&gt;0)),1,0)</f>
        <v>0</v>
      </c>
      <c r="U1013" s="1" t="n">
        <f aca="false">N(U1012)+$T1013</f>
        <v>28</v>
      </c>
      <c r="V1013" s="1" t="n">
        <f aca="false">IF(AND($L1013=1,AND(对接源_01水果!$X1013="自备筐",N(对接源_01水果!$V1013)&lt;&gt;0)),1,0)</f>
        <v>0</v>
      </c>
      <c r="W1013" s="1" t="n">
        <f aca="false">N(W1012)+$V1013</f>
        <v>7</v>
      </c>
      <c r="X1013" s="1" t="n">
        <f aca="false">IF(AND($L1013=1,AND(对接源_01水果!$X1013="自备筐",N(对接源_01水果!$T1013)&lt;&gt;0)),1,0)</f>
        <v>0</v>
      </c>
      <c r="Y1013" s="1" t="n">
        <f aca="false">N(Y1012)+$X1013</f>
        <v>0</v>
      </c>
      <c r="Z1013" s="1" t="n">
        <f aca="false">IF(AND($M1013=1,对接源_01水果!$D1013="原料入库"),1,0)</f>
        <v>0</v>
      </c>
      <c r="AA1013" s="1" t="n">
        <f aca="false">N(AA1012)+$Z1013</f>
        <v>30</v>
      </c>
      <c r="AB1013" s="1" t="n">
        <f aca="false">IF(AND($M1013=1,LEFT(对接源_01水果!$D1013,4)="原料出库"),1,0)</f>
        <v>0</v>
      </c>
      <c r="AC1013" s="1" t="n">
        <f aca="false">N(AC1012)+$AB1013</f>
        <v>19</v>
      </c>
      <c r="AD1013" s="1" t="n">
        <f aca="false">IF(AND($M1013=1,LEFT(对接源_01水果!$D1013,4)="成品出库"),1,0)</f>
        <v>0</v>
      </c>
      <c r="AE1013" s="1" t="n">
        <f aca="false">N(AE1012)+$AD1013</f>
        <v>38</v>
      </c>
      <c r="AF1013" s="1" t="n">
        <f aca="false">IF(AND($N1013=1,AND(LEFT(对接源_01水果!$D1013,4)="包装物料",N(对接源_01水果!$K1013)&lt;&gt;0)),1,0)</f>
        <v>0</v>
      </c>
      <c r="AG1013" s="90" t="str">
        <f aca="false">IF(对接源_01水果!$AC1013="","",对接源_01水果!$AC1013)</f>
        <v/>
      </c>
      <c r="AH1013" s="1" t="n">
        <f aca="false">IF(AND($N1013=1,AND(LEFT(对接源_01水果!$D1013,3)="周转筐",N(对接源_01水果!$K1013)&lt;&gt;0)),1,0)</f>
        <v>0</v>
      </c>
      <c r="AI1013" s="90" t="n">
        <f aca="false">IF(AG1013="",0,IF(MATCH(AG1013,$AG$4:$AG$1203,0)=ROW()-3,1,0))</f>
        <v>0</v>
      </c>
      <c r="AJ1013" s="90" t="n">
        <f aca="false">N(AJ1012)+AI1013</f>
        <v>4</v>
      </c>
      <c r="AK1013" s="1" t="n">
        <f aca="false">N(AK1012)+$AJ1013</f>
        <v>2912</v>
      </c>
    </row>
    <row r="1014" customFormat="false" ht="13.5" hidden="false" customHeight="false" outlineLevel="0" collapsed="false">
      <c r="A1014" s="1" t="str">
        <f aca="false">IF(对接源_01水果!$C1014="","",对接源_01水果!$C1014)</f>
        <v/>
      </c>
      <c r="B1014" s="1" t="n">
        <f aca="false">IF(A1014="",0,IF(MATCH(A1014,$A$4:$A$2403,0)=ROW()-3,1,0))</f>
        <v>0</v>
      </c>
      <c r="C1014" s="1" t="n">
        <f aca="false">N(C1013)+B1014</f>
        <v>13</v>
      </c>
      <c r="K1014" s="1" t="n">
        <f aca="false">IF(OR($K$1="",对接源_01水果!$C1014="",对接源_01水果!$C1014&lt;&gt;$K$1,对接源_01水果!$B1014=""),0,IF(OR(N(对接源_01水果!$B1014)&lt;$K$2,N(对接源_01水果!$B1014)&gt;$K$3),0,1))</f>
        <v>0</v>
      </c>
      <c r="L1014" s="1" t="n">
        <f aca="false">IF(OR($L$1="",对接源_01水果!$C1014="",对接源_01水果!$C1014&lt;&gt;$L$1,对接源_01水果!$B1014=""),0,IF(OR(N(对接源_01水果!$B1014)&lt;$L$2,N(对接源_01水果!$B1014)&gt;$L$3),0,1))</f>
        <v>0</v>
      </c>
      <c r="M1014" s="1" t="n">
        <f aca="false">IF(OR($M$1="",对接源_01水果!$C1014="",对接源_01水果!$C1014&lt;&gt;$M$1,对接源_01水果!$B1014=""),0,IF(OR(N(对接源_01水果!$B1014)&lt;$M$2,N(对接源_01水果!$B1014)&gt;$M$3),0,1))</f>
        <v>0</v>
      </c>
      <c r="N1014" s="1" t="n">
        <f aca="false">IF(OR($N$1="",对接源_01水果!$C1014="",对接源_01水果!$C1014&lt;&gt;$N$1,对接源_01水果!$B1014=""),0,IF(OR(N(对接源_01水果!$B1014)&lt;$N$2,N(对接源_01水果!$B1014)&gt;$N$3),0,1))</f>
        <v>0</v>
      </c>
      <c r="P1014" s="1" t="n">
        <f aca="false">IF(AND($K1014=1,AND(对接源_01水果!$X1014="公司筐",N(对接源_01水果!$T1014)&lt;&gt;0)),1,0)</f>
        <v>0</v>
      </c>
      <c r="Q1014" s="1" t="n">
        <f aca="false">N(Q1013)+$P1014</f>
        <v>3</v>
      </c>
      <c r="R1014" s="1" t="n">
        <f aca="false">IF(AND($K1014=1,AND(对接源_01水果!$X1014="公司筐",N(对接源_01水果!$U1014)&lt;&gt;0)),1,0)</f>
        <v>0</v>
      </c>
      <c r="S1014" s="1" t="n">
        <f aca="false">N(S1013)+$R1014</f>
        <v>0</v>
      </c>
      <c r="T1014" s="1" t="n">
        <f aca="false">IF(AND($K1014=1,AND(对接源_01水果!$X1014="公司筐",N(对接源_01水果!$V1014)&lt;&gt;0)),1,0)</f>
        <v>0</v>
      </c>
      <c r="U1014" s="1" t="n">
        <f aca="false">N(U1013)+$T1014</f>
        <v>28</v>
      </c>
      <c r="V1014" s="1" t="n">
        <f aca="false">IF(AND($L1014=1,AND(对接源_01水果!$X1014="自备筐",N(对接源_01水果!$V1014)&lt;&gt;0)),1,0)</f>
        <v>0</v>
      </c>
      <c r="W1014" s="1" t="n">
        <f aca="false">N(W1013)+$V1014</f>
        <v>7</v>
      </c>
      <c r="X1014" s="1" t="n">
        <f aca="false">IF(AND($L1014=1,AND(对接源_01水果!$X1014="自备筐",N(对接源_01水果!$T1014)&lt;&gt;0)),1,0)</f>
        <v>0</v>
      </c>
      <c r="Y1014" s="1" t="n">
        <f aca="false">N(Y1013)+$X1014</f>
        <v>0</v>
      </c>
      <c r="Z1014" s="1" t="n">
        <f aca="false">IF(AND($M1014=1,对接源_01水果!$D1014="原料入库"),1,0)</f>
        <v>0</v>
      </c>
      <c r="AA1014" s="1" t="n">
        <f aca="false">N(AA1013)+$Z1014</f>
        <v>30</v>
      </c>
      <c r="AB1014" s="1" t="n">
        <f aca="false">IF(AND($M1014=1,LEFT(对接源_01水果!$D1014,4)="原料出库"),1,0)</f>
        <v>0</v>
      </c>
      <c r="AC1014" s="1" t="n">
        <f aca="false">N(AC1013)+$AB1014</f>
        <v>19</v>
      </c>
      <c r="AD1014" s="1" t="n">
        <f aca="false">IF(AND($M1014=1,LEFT(对接源_01水果!$D1014,4)="成品出库"),1,0)</f>
        <v>0</v>
      </c>
      <c r="AE1014" s="1" t="n">
        <f aca="false">N(AE1013)+$AD1014</f>
        <v>38</v>
      </c>
      <c r="AF1014" s="1" t="n">
        <f aca="false">IF(AND($N1014=1,AND(LEFT(对接源_01水果!$D1014,4)="包装物料",N(对接源_01水果!$K1014)&lt;&gt;0)),1,0)</f>
        <v>0</v>
      </c>
      <c r="AG1014" s="90" t="str">
        <f aca="false">IF(对接源_01水果!$AC1014="","",对接源_01水果!$AC1014)</f>
        <v/>
      </c>
      <c r="AH1014" s="1" t="n">
        <f aca="false">IF(AND($N1014=1,AND(LEFT(对接源_01水果!$D1014,3)="周转筐",N(对接源_01水果!$K1014)&lt;&gt;0)),1,0)</f>
        <v>0</v>
      </c>
      <c r="AI1014" s="90" t="n">
        <f aca="false">IF(AG1014="",0,IF(MATCH(AG1014,$AG$4:$AG$1203,0)=ROW()-3,1,0))</f>
        <v>0</v>
      </c>
      <c r="AJ1014" s="90" t="n">
        <f aca="false">N(AJ1013)+AI1014</f>
        <v>4</v>
      </c>
      <c r="AK1014" s="1" t="n">
        <f aca="false">N(AK1013)+$AJ1014</f>
        <v>2916</v>
      </c>
    </row>
    <row r="1015" customFormat="false" ht="13.5" hidden="false" customHeight="false" outlineLevel="0" collapsed="false">
      <c r="A1015" s="1" t="str">
        <f aca="false">IF(对接源_01水果!$C1015="","",对接源_01水果!$C1015)</f>
        <v/>
      </c>
      <c r="B1015" s="1" t="n">
        <f aca="false">IF(A1015="",0,IF(MATCH(A1015,$A$4:$A$2403,0)=ROW()-3,1,0))</f>
        <v>0</v>
      </c>
      <c r="C1015" s="1" t="n">
        <f aca="false">N(C1014)+B1015</f>
        <v>13</v>
      </c>
      <c r="K1015" s="1" t="n">
        <f aca="false">IF(OR($K$1="",对接源_01水果!$C1015="",对接源_01水果!$C1015&lt;&gt;$K$1,对接源_01水果!$B1015=""),0,IF(OR(N(对接源_01水果!$B1015)&lt;$K$2,N(对接源_01水果!$B1015)&gt;$K$3),0,1))</f>
        <v>0</v>
      </c>
      <c r="L1015" s="1" t="n">
        <f aca="false">IF(OR($L$1="",对接源_01水果!$C1015="",对接源_01水果!$C1015&lt;&gt;$L$1,对接源_01水果!$B1015=""),0,IF(OR(N(对接源_01水果!$B1015)&lt;$L$2,N(对接源_01水果!$B1015)&gt;$L$3),0,1))</f>
        <v>0</v>
      </c>
      <c r="M1015" s="1" t="n">
        <f aca="false">IF(OR($M$1="",对接源_01水果!$C1015="",对接源_01水果!$C1015&lt;&gt;$M$1,对接源_01水果!$B1015=""),0,IF(OR(N(对接源_01水果!$B1015)&lt;$M$2,N(对接源_01水果!$B1015)&gt;$M$3),0,1))</f>
        <v>0</v>
      </c>
      <c r="N1015" s="1" t="n">
        <f aca="false">IF(OR($N$1="",对接源_01水果!$C1015="",对接源_01水果!$C1015&lt;&gt;$N$1,对接源_01水果!$B1015=""),0,IF(OR(N(对接源_01水果!$B1015)&lt;$N$2,N(对接源_01水果!$B1015)&gt;$N$3),0,1))</f>
        <v>0</v>
      </c>
      <c r="P1015" s="1" t="n">
        <f aca="false">IF(AND($K1015=1,AND(对接源_01水果!$X1015="公司筐",N(对接源_01水果!$T1015)&lt;&gt;0)),1,0)</f>
        <v>0</v>
      </c>
      <c r="Q1015" s="1" t="n">
        <f aca="false">N(Q1014)+$P1015</f>
        <v>3</v>
      </c>
      <c r="R1015" s="1" t="n">
        <f aca="false">IF(AND($K1015=1,AND(对接源_01水果!$X1015="公司筐",N(对接源_01水果!$U1015)&lt;&gt;0)),1,0)</f>
        <v>0</v>
      </c>
      <c r="S1015" s="1" t="n">
        <f aca="false">N(S1014)+$R1015</f>
        <v>0</v>
      </c>
      <c r="T1015" s="1" t="n">
        <f aca="false">IF(AND($K1015=1,AND(对接源_01水果!$X1015="公司筐",N(对接源_01水果!$V1015)&lt;&gt;0)),1,0)</f>
        <v>0</v>
      </c>
      <c r="U1015" s="1" t="n">
        <f aca="false">N(U1014)+$T1015</f>
        <v>28</v>
      </c>
      <c r="V1015" s="1" t="n">
        <f aca="false">IF(AND($L1015=1,AND(对接源_01水果!$X1015="自备筐",N(对接源_01水果!$V1015)&lt;&gt;0)),1,0)</f>
        <v>0</v>
      </c>
      <c r="W1015" s="1" t="n">
        <f aca="false">N(W1014)+$V1015</f>
        <v>7</v>
      </c>
      <c r="X1015" s="1" t="n">
        <f aca="false">IF(AND($L1015=1,AND(对接源_01水果!$X1015="自备筐",N(对接源_01水果!$T1015)&lt;&gt;0)),1,0)</f>
        <v>0</v>
      </c>
      <c r="Y1015" s="1" t="n">
        <f aca="false">N(Y1014)+$X1015</f>
        <v>0</v>
      </c>
      <c r="Z1015" s="1" t="n">
        <f aca="false">IF(AND($M1015=1,对接源_01水果!$D1015="原料入库"),1,0)</f>
        <v>0</v>
      </c>
      <c r="AA1015" s="1" t="n">
        <f aca="false">N(AA1014)+$Z1015</f>
        <v>30</v>
      </c>
      <c r="AB1015" s="1" t="n">
        <f aca="false">IF(AND($M1015=1,LEFT(对接源_01水果!$D1015,4)="原料出库"),1,0)</f>
        <v>0</v>
      </c>
      <c r="AC1015" s="1" t="n">
        <f aca="false">N(AC1014)+$AB1015</f>
        <v>19</v>
      </c>
      <c r="AD1015" s="1" t="n">
        <f aca="false">IF(AND($M1015=1,LEFT(对接源_01水果!$D1015,4)="成品出库"),1,0)</f>
        <v>0</v>
      </c>
      <c r="AE1015" s="1" t="n">
        <f aca="false">N(AE1014)+$AD1015</f>
        <v>38</v>
      </c>
      <c r="AF1015" s="1" t="n">
        <f aca="false">IF(AND($N1015=1,AND(LEFT(对接源_01水果!$D1015,4)="包装物料",N(对接源_01水果!$K1015)&lt;&gt;0)),1,0)</f>
        <v>0</v>
      </c>
      <c r="AG1015" s="90" t="str">
        <f aca="false">IF(对接源_01水果!$AC1015="","",对接源_01水果!$AC1015)</f>
        <v/>
      </c>
      <c r="AH1015" s="1" t="n">
        <f aca="false">IF(AND($N1015=1,AND(LEFT(对接源_01水果!$D1015,3)="周转筐",N(对接源_01水果!$K1015)&lt;&gt;0)),1,0)</f>
        <v>0</v>
      </c>
      <c r="AI1015" s="90" t="n">
        <f aca="false">IF(AG1015="",0,IF(MATCH(AG1015,$AG$4:$AG$1203,0)=ROW()-3,1,0))</f>
        <v>0</v>
      </c>
      <c r="AJ1015" s="90" t="n">
        <f aca="false">N(AJ1014)+AI1015</f>
        <v>4</v>
      </c>
      <c r="AK1015" s="1" t="n">
        <f aca="false">N(AK1014)+$AJ1015</f>
        <v>2920</v>
      </c>
    </row>
    <row r="1016" customFormat="false" ht="13.5" hidden="false" customHeight="false" outlineLevel="0" collapsed="false">
      <c r="A1016" s="1" t="str">
        <f aca="false">IF(对接源_01水果!$C1016="","",对接源_01水果!$C1016)</f>
        <v/>
      </c>
      <c r="B1016" s="1" t="n">
        <f aca="false">IF(A1016="",0,IF(MATCH(A1016,$A$4:$A$2403,0)=ROW()-3,1,0))</f>
        <v>0</v>
      </c>
      <c r="C1016" s="1" t="n">
        <f aca="false">N(C1015)+B1016</f>
        <v>13</v>
      </c>
      <c r="K1016" s="1" t="n">
        <f aca="false">IF(OR($K$1="",对接源_01水果!$C1016="",对接源_01水果!$C1016&lt;&gt;$K$1,对接源_01水果!$B1016=""),0,IF(OR(N(对接源_01水果!$B1016)&lt;$K$2,N(对接源_01水果!$B1016)&gt;$K$3),0,1))</f>
        <v>0</v>
      </c>
      <c r="L1016" s="1" t="n">
        <f aca="false">IF(OR($L$1="",对接源_01水果!$C1016="",对接源_01水果!$C1016&lt;&gt;$L$1,对接源_01水果!$B1016=""),0,IF(OR(N(对接源_01水果!$B1016)&lt;$L$2,N(对接源_01水果!$B1016)&gt;$L$3),0,1))</f>
        <v>0</v>
      </c>
      <c r="M1016" s="1" t="n">
        <f aca="false">IF(OR($M$1="",对接源_01水果!$C1016="",对接源_01水果!$C1016&lt;&gt;$M$1,对接源_01水果!$B1016=""),0,IF(OR(N(对接源_01水果!$B1016)&lt;$M$2,N(对接源_01水果!$B1016)&gt;$M$3),0,1))</f>
        <v>0</v>
      </c>
      <c r="N1016" s="1" t="n">
        <f aca="false">IF(OR($N$1="",对接源_01水果!$C1016="",对接源_01水果!$C1016&lt;&gt;$N$1,对接源_01水果!$B1016=""),0,IF(OR(N(对接源_01水果!$B1016)&lt;$N$2,N(对接源_01水果!$B1016)&gt;$N$3),0,1))</f>
        <v>0</v>
      </c>
      <c r="P1016" s="1" t="n">
        <f aca="false">IF(AND($K1016=1,AND(对接源_01水果!$X1016="公司筐",N(对接源_01水果!$T1016)&lt;&gt;0)),1,0)</f>
        <v>0</v>
      </c>
      <c r="Q1016" s="1" t="n">
        <f aca="false">N(Q1015)+$P1016</f>
        <v>3</v>
      </c>
      <c r="R1016" s="1" t="n">
        <f aca="false">IF(AND($K1016=1,AND(对接源_01水果!$X1016="公司筐",N(对接源_01水果!$U1016)&lt;&gt;0)),1,0)</f>
        <v>0</v>
      </c>
      <c r="S1016" s="1" t="n">
        <f aca="false">N(S1015)+$R1016</f>
        <v>0</v>
      </c>
      <c r="T1016" s="1" t="n">
        <f aca="false">IF(AND($K1016=1,AND(对接源_01水果!$X1016="公司筐",N(对接源_01水果!$V1016)&lt;&gt;0)),1,0)</f>
        <v>0</v>
      </c>
      <c r="U1016" s="1" t="n">
        <f aca="false">N(U1015)+$T1016</f>
        <v>28</v>
      </c>
      <c r="V1016" s="1" t="n">
        <f aca="false">IF(AND($L1016=1,AND(对接源_01水果!$X1016="自备筐",N(对接源_01水果!$V1016)&lt;&gt;0)),1,0)</f>
        <v>0</v>
      </c>
      <c r="W1016" s="1" t="n">
        <f aca="false">N(W1015)+$V1016</f>
        <v>7</v>
      </c>
      <c r="X1016" s="1" t="n">
        <f aca="false">IF(AND($L1016=1,AND(对接源_01水果!$X1016="自备筐",N(对接源_01水果!$T1016)&lt;&gt;0)),1,0)</f>
        <v>0</v>
      </c>
      <c r="Y1016" s="1" t="n">
        <f aca="false">N(Y1015)+$X1016</f>
        <v>0</v>
      </c>
      <c r="Z1016" s="1" t="n">
        <f aca="false">IF(AND($M1016=1,对接源_01水果!$D1016="原料入库"),1,0)</f>
        <v>0</v>
      </c>
      <c r="AA1016" s="1" t="n">
        <f aca="false">N(AA1015)+$Z1016</f>
        <v>30</v>
      </c>
      <c r="AB1016" s="1" t="n">
        <f aca="false">IF(AND($M1016=1,LEFT(对接源_01水果!$D1016,4)="原料出库"),1,0)</f>
        <v>0</v>
      </c>
      <c r="AC1016" s="1" t="n">
        <f aca="false">N(AC1015)+$AB1016</f>
        <v>19</v>
      </c>
      <c r="AD1016" s="1" t="n">
        <f aca="false">IF(AND($M1016=1,LEFT(对接源_01水果!$D1016,4)="成品出库"),1,0)</f>
        <v>0</v>
      </c>
      <c r="AE1016" s="1" t="n">
        <f aca="false">N(AE1015)+$AD1016</f>
        <v>38</v>
      </c>
      <c r="AF1016" s="1" t="n">
        <f aca="false">IF(AND($N1016=1,AND(LEFT(对接源_01水果!$D1016,4)="包装物料",N(对接源_01水果!$K1016)&lt;&gt;0)),1,0)</f>
        <v>0</v>
      </c>
      <c r="AG1016" s="90" t="str">
        <f aca="false">IF(对接源_01水果!$AC1016="","",对接源_01水果!$AC1016)</f>
        <v/>
      </c>
      <c r="AH1016" s="1" t="n">
        <f aca="false">IF(AND($N1016=1,AND(LEFT(对接源_01水果!$D1016,3)="周转筐",N(对接源_01水果!$K1016)&lt;&gt;0)),1,0)</f>
        <v>0</v>
      </c>
      <c r="AI1016" s="90" t="n">
        <f aca="false">IF(AG1016="",0,IF(MATCH(AG1016,$AG$4:$AG$1203,0)=ROW()-3,1,0))</f>
        <v>0</v>
      </c>
      <c r="AJ1016" s="90" t="n">
        <f aca="false">N(AJ1015)+AI1016</f>
        <v>4</v>
      </c>
      <c r="AK1016" s="1" t="n">
        <f aca="false">N(AK1015)+$AJ1016</f>
        <v>2924</v>
      </c>
    </row>
    <row r="1017" customFormat="false" ht="13.5" hidden="false" customHeight="false" outlineLevel="0" collapsed="false">
      <c r="A1017" s="1" t="str">
        <f aca="false">IF(对接源_01水果!$C1017="","",对接源_01水果!$C1017)</f>
        <v/>
      </c>
      <c r="B1017" s="1" t="n">
        <f aca="false">IF(A1017="",0,IF(MATCH(A1017,$A$4:$A$2403,0)=ROW()-3,1,0))</f>
        <v>0</v>
      </c>
      <c r="C1017" s="1" t="n">
        <f aca="false">N(C1016)+B1017</f>
        <v>13</v>
      </c>
      <c r="K1017" s="1" t="n">
        <f aca="false">IF(OR($K$1="",对接源_01水果!$C1017="",对接源_01水果!$C1017&lt;&gt;$K$1,对接源_01水果!$B1017=""),0,IF(OR(N(对接源_01水果!$B1017)&lt;$K$2,N(对接源_01水果!$B1017)&gt;$K$3),0,1))</f>
        <v>0</v>
      </c>
      <c r="L1017" s="1" t="n">
        <f aca="false">IF(OR($L$1="",对接源_01水果!$C1017="",对接源_01水果!$C1017&lt;&gt;$L$1,对接源_01水果!$B1017=""),0,IF(OR(N(对接源_01水果!$B1017)&lt;$L$2,N(对接源_01水果!$B1017)&gt;$L$3),0,1))</f>
        <v>0</v>
      </c>
      <c r="M1017" s="1" t="n">
        <f aca="false">IF(OR($M$1="",对接源_01水果!$C1017="",对接源_01水果!$C1017&lt;&gt;$M$1,对接源_01水果!$B1017=""),0,IF(OR(N(对接源_01水果!$B1017)&lt;$M$2,N(对接源_01水果!$B1017)&gt;$M$3),0,1))</f>
        <v>0</v>
      </c>
      <c r="N1017" s="1" t="n">
        <f aca="false">IF(OR($N$1="",对接源_01水果!$C1017="",对接源_01水果!$C1017&lt;&gt;$N$1,对接源_01水果!$B1017=""),0,IF(OR(N(对接源_01水果!$B1017)&lt;$N$2,N(对接源_01水果!$B1017)&gt;$N$3),0,1))</f>
        <v>0</v>
      </c>
      <c r="P1017" s="1" t="n">
        <f aca="false">IF(AND($K1017=1,AND(对接源_01水果!$X1017="公司筐",N(对接源_01水果!$T1017)&lt;&gt;0)),1,0)</f>
        <v>0</v>
      </c>
      <c r="Q1017" s="1" t="n">
        <f aca="false">N(Q1016)+$P1017</f>
        <v>3</v>
      </c>
      <c r="R1017" s="1" t="n">
        <f aca="false">IF(AND($K1017=1,AND(对接源_01水果!$X1017="公司筐",N(对接源_01水果!$U1017)&lt;&gt;0)),1,0)</f>
        <v>0</v>
      </c>
      <c r="S1017" s="1" t="n">
        <f aca="false">N(S1016)+$R1017</f>
        <v>0</v>
      </c>
      <c r="T1017" s="1" t="n">
        <f aca="false">IF(AND($K1017=1,AND(对接源_01水果!$X1017="公司筐",N(对接源_01水果!$V1017)&lt;&gt;0)),1,0)</f>
        <v>0</v>
      </c>
      <c r="U1017" s="1" t="n">
        <f aca="false">N(U1016)+$T1017</f>
        <v>28</v>
      </c>
      <c r="V1017" s="1" t="n">
        <f aca="false">IF(AND($L1017=1,AND(对接源_01水果!$X1017="自备筐",N(对接源_01水果!$V1017)&lt;&gt;0)),1,0)</f>
        <v>0</v>
      </c>
      <c r="W1017" s="1" t="n">
        <f aca="false">N(W1016)+$V1017</f>
        <v>7</v>
      </c>
      <c r="X1017" s="1" t="n">
        <f aca="false">IF(AND($L1017=1,AND(对接源_01水果!$X1017="自备筐",N(对接源_01水果!$T1017)&lt;&gt;0)),1,0)</f>
        <v>0</v>
      </c>
      <c r="Y1017" s="1" t="n">
        <f aca="false">N(Y1016)+$X1017</f>
        <v>0</v>
      </c>
      <c r="Z1017" s="1" t="n">
        <f aca="false">IF(AND($M1017=1,对接源_01水果!$D1017="原料入库"),1,0)</f>
        <v>0</v>
      </c>
      <c r="AA1017" s="1" t="n">
        <f aca="false">N(AA1016)+$Z1017</f>
        <v>30</v>
      </c>
      <c r="AB1017" s="1" t="n">
        <f aca="false">IF(AND($M1017=1,LEFT(对接源_01水果!$D1017,4)="原料出库"),1,0)</f>
        <v>0</v>
      </c>
      <c r="AC1017" s="1" t="n">
        <f aca="false">N(AC1016)+$AB1017</f>
        <v>19</v>
      </c>
      <c r="AD1017" s="1" t="n">
        <f aca="false">IF(AND($M1017=1,LEFT(对接源_01水果!$D1017,4)="成品出库"),1,0)</f>
        <v>0</v>
      </c>
      <c r="AE1017" s="1" t="n">
        <f aca="false">N(AE1016)+$AD1017</f>
        <v>38</v>
      </c>
      <c r="AF1017" s="1" t="n">
        <f aca="false">IF(AND($N1017=1,AND(LEFT(对接源_01水果!$D1017,4)="包装物料",N(对接源_01水果!$K1017)&lt;&gt;0)),1,0)</f>
        <v>0</v>
      </c>
      <c r="AG1017" s="90" t="str">
        <f aca="false">IF(对接源_01水果!$AC1017="","",对接源_01水果!$AC1017)</f>
        <v/>
      </c>
      <c r="AH1017" s="1" t="n">
        <f aca="false">IF(AND($N1017=1,AND(LEFT(对接源_01水果!$D1017,3)="周转筐",N(对接源_01水果!$K1017)&lt;&gt;0)),1,0)</f>
        <v>0</v>
      </c>
      <c r="AI1017" s="90" t="n">
        <f aca="false">IF(AG1017="",0,IF(MATCH(AG1017,$AG$4:$AG$1203,0)=ROW()-3,1,0))</f>
        <v>0</v>
      </c>
      <c r="AJ1017" s="90" t="n">
        <f aca="false">N(AJ1016)+AI1017</f>
        <v>4</v>
      </c>
      <c r="AK1017" s="1" t="n">
        <f aca="false">N(AK1016)+$AJ1017</f>
        <v>2928</v>
      </c>
    </row>
    <row r="1018" customFormat="false" ht="13.5" hidden="false" customHeight="false" outlineLevel="0" collapsed="false">
      <c r="A1018" s="1" t="str">
        <f aca="false">IF(对接源_01水果!$C1018="","",对接源_01水果!$C1018)</f>
        <v/>
      </c>
      <c r="B1018" s="1" t="n">
        <f aca="false">IF(A1018="",0,IF(MATCH(A1018,$A$4:$A$2403,0)=ROW()-3,1,0))</f>
        <v>0</v>
      </c>
      <c r="C1018" s="1" t="n">
        <f aca="false">N(C1017)+B1018</f>
        <v>13</v>
      </c>
      <c r="K1018" s="1" t="n">
        <f aca="false">IF(OR($K$1="",对接源_01水果!$C1018="",对接源_01水果!$C1018&lt;&gt;$K$1,对接源_01水果!$B1018=""),0,IF(OR(N(对接源_01水果!$B1018)&lt;$K$2,N(对接源_01水果!$B1018)&gt;$K$3),0,1))</f>
        <v>0</v>
      </c>
      <c r="L1018" s="1" t="n">
        <f aca="false">IF(OR($L$1="",对接源_01水果!$C1018="",对接源_01水果!$C1018&lt;&gt;$L$1,对接源_01水果!$B1018=""),0,IF(OR(N(对接源_01水果!$B1018)&lt;$L$2,N(对接源_01水果!$B1018)&gt;$L$3),0,1))</f>
        <v>0</v>
      </c>
      <c r="M1018" s="1" t="n">
        <f aca="false">IF(OR($M$1="",对接源_01水果!$C1018="",对接源_01水果!$C1018&lt;&gt;$M$1,对接源_01水果!$B1018=""),0,IF(OR(N(对接源_01水果!$B1018)&lt;$M$2,N(对接源_01水果!$B1018)&gt;$M$3),0,1))</f>
        <v>0</v>
      </c>
      <c r="N1018" s="1" t="n">
        <f aca="false">IF(OR($N$1="",对接源_01水果!$C1018="",对接源_01水果!$C1018&lt;&gt;$N$1,对接源_01水果!$B1018=""),0,IF(OR(N(对接源_01水果!$B1018)&lt;$N$2,N(对接源_01水果!$B1018)&gt;$N$3),0,1))</f>
        <v>0</v>
      </c>
      <c r="P1018" s="1" t="n">
        <f aca="false">IF(AND($K1018=1,AND(对接源_01水果!$X1018="公司筐",N(对接源_01水果!$T1018)&lt;&gt;0)),1,0)</f>
        <v>0</v>
      </c>
      <c r="Q1018" s="1" t="n">
        <f aca="false">N(Q1017)+$P1018</f>
        <v>3</v>
      </c>
      <c r="R1018" s="1" t="n">
        <f aca="false">IF(AND($K1018=1,AND(对接源_01水果!$X1018="公司筐",N(对接源_01水果!$U1018)&lt;&gt;0)),1,0)</f>
        <v>0</v>
      </c>
      <c r="S1018" s="1" t="n">
        <f aca="false">N(S1017)+$R1018</f>
        <v>0</v>
      </c>
      <c r="T1018" s="1" t="n">
        <f aca="false">IF(AND($K1018=1,AND(对接源_01水果!$X1018="公司筐",N(对接源_01水果!$V1018)&lt;&gt;0)),1,0)</f>
        <v>0</v>
      </c>
      <c r="U1018" s="1" t="n">
        <f aca="false">N(U1017)+$T1018</f>
        <v>28</v>
      </c>
      <c r="V1018" s="1" t="n">
        <f aca="false">IF(AND($L1018=1,AND(对接源_01水果!$X1018="自备筐",N(对接源_01水果!$V1018)&lt;&gt;0)),1,0)</f>
        <v>0</v>
      </c>
      <c r="W1018" s="1" t="n">
        <f aca="false">N(W1017)+$V1018</f>
        <v>7</v>
      </c>
      <c r="X1018" s="1" t="n">
        <f aca="false">IF(AND($L1018=1,AND(对接源_01水果!$X1018="自备筐",N(对接源_01水果!$T1018)&lt;&gt;0)),1,0)</f>
        <v>0</v>
      </c>
      <c r="Y1018" s="1" t="n">
        <f aca="false">N(Y1017)+$X1018</f>
        <v>0</v>
      </c>
      <c r="Z1018" s="1" t="n">
        <f aca="false">IF(AND($M1018=1,对接源_01水果!$D1018="原料入库"),1,0)</f>
        <v>0</v>
      </c>
      <c r="AA1018" s="1" t="n">
        <f aca="false">N(AA1017)+$Z1018</f>
        <v>30</v>
      </c>
      <c r="AB1018" s="1" t="n">
        <f aca="false">IF(AND($M1018=1,LEFT(对接源_01水果!$D1018,4)="原料出库"),1,0)</f>
        <v>0</v>
      </c>
      <c r="AC1018" s="1" t="n">
        <f aca="false">N(AC1017)+$AB1018</f>
        <v>19</v>
      </c>
      <c r="AD1018" s="1" t="n">
        <f aca="false">IF(AND($M1018=1,LEFT(对接源_01水果!$D1018,4)="成品出库"),1,0)</f>
        <v>0</v>
      </c>
      <c r="AE1018" s="1" t="n">
        <f aca="false">N(AE1017)+$AD1018</f>
        <v>38</v>
      </c>
      <c r="AF1018" s="1" t="n">
        <f aca="false">IF(AND($N1018=1,AND(LEFT(对接源_01水果!$D1018,4)="包装物料",N(对接源_01水果!$K1018)&lt;&gt;0)),1,0)</f>
        <v>0</v>
      </c>
      <c r="AG1018" s="90" t="str">
        <f aca="false">IF(对接源_01水果!$AC1018="","",对接源_01水果!$AC1018)</f>
        <v/>
      </c>
      <c r="AH1018" s="1" t="n">
        <f aca="false">IF(AND($N1018=1,AND(LEFT(对接源_01水果!$D1018,3)="周转筐",N(对接源_01水果!$K1018)&lt;&gt;0)),1,0)</f>
        <v>0</v>
      </c>
      <c r="AI1018" s="90" t="n">
        <f aca="false">IF(AG1018="",0,IF(MATCH(AG1018,$AG$4:$AG$1203,0)=ROW()-3,1,0))</f>
        <v>0</v>
      </c>
      <c r="AJ1018" s="90" t="n">
        <f aca="false">N(AJ1017)+AI1018</f>
        <v>4</v>
      </c>
      <c r="AK1018" s="1" t="n">
        <f aca="false">N(AK1017)+$AJ1018</f>
        <v>2932</v>
      </c>
    </row>
    <row r="1019" customFormat="false" ht="13.5" hidden="false" customHeight="false" outlineLevel="0" collapsed="false">
      <c r="A1019" s="1" t="str">
        <f aca="false">IF(对接源_01水果!$C1019="","",对接源_01水果!$C1019)</f>
        <v/>
      </c>
      <c r="B1019" s="1" t="n">
        <f aca="false">IF(A1019="",0,IF(MATCH(A1019,$A$4:$A$2403,0)=ROW()-3,1,0))</f>
        <v>0</v>
      </c>
      <c r="C1019" s="1" t="n">
        <f aca="false">N(C1018)+B1019</f>
        <v>13</v>
      </c>
      <c r="K1019" s="1" t="n">
        <f aca="false">IF(OR($K$1="",对接源_01水果!$C1019="",对接源_01水果!$C1019&lt;&gt;$K$1,对接源_01水果!$B1019=""),0,IF(OR(N(对接源_01水果!$B1019)&lt;$K$2,N(对接源_01水果!$B1019)&gt;$K$3),0,1))</f>
        <v>0</v>
      </c>
      <c r="L1019" s="1" t="n">
        <f aca="false">IF(OR($L$1="",对接源_01水果!$C1019="",对接源_01水果!$C1019&lt;&gt;$L$1,对接源_01水果!$B1019=""),0,IF(OR(N(对接源_01水果!$B1019)&lt;$L$2,N(对接源_01水果!$B1019)&gt;$L$3),0,1))</f>
        <v>0</v>
      </c>
      <c r="M1019" s="1" t="n">
        <f aca="false">IF(OR($M$1="",对接源_01水果!$C1019="",对接源_01水果!$C1019&lt;&gt;$M$1,对接源_01水果!$B1019=""),0,IF(OR(N(对接源_01水果!$B1019)&lt;$M$2,N(对接源_01水果!$B1019)&gt;$M$3),0,1))</f>
        <v>0</v>
      </c>
      <c r="N1019" s="1" t="n">
        <f aca="false">IF(OR($N$1="",对接源_01水果!$C1019="",对接源_01水果!$C1019&lt;&gt;$N$1,对接源_01水果!$B1019=""),0,IF(OR(N(对接源_01水果!$B1019)&lt;$N$2,N(对接源_01水果!$B1019)&gt;$N$3),0,1))</f>
        <v>0</v>
      </c>
      <c r="P1019" s="1" t="n">
        <f aca="false">IF(AND($K1019=1,AND(对接源_01水果!$X1019="公司筐",N(对接源_01水果!$T1019)&lt;&gt;0)),1,0)</f>
        <v>0</v>
      </c>
      <c r="Q1019" s="1" t="n">
        <f aca="false">N(Q1018)+$P1019</f>
        <v>3</v>
      </c>
      <c r="R1019" s="1" t="n">
        <f aca="false">IF(AND($K1019=1,AND(对接源_01水果!$X1019="公司筐",N(对接源_01水果!$U1019)&lt;&gt;0)),1,0)</f>
        <v>0</v>
      </c>
      <c r="S1019" s="1" t="n">
        <f aca="false">N(S1018)+$R1019</f>
        <v>0</v>
      </c>
      <c r="T1019" s="1" t="n">
        <f aca="false">IF(AND($K1019=1,AND(对接源_01水果!$X1019="公司筐",N(对接源_01水果!$V1019)&lt;&gt;0)),1,0)</f>
        <v>0</v>
      </c>
      <c r="U1019" s="1" t="n">
        <f aca="false">N(U1018)+$T1019</f>
        <v>28</v>
      </c>
      <c r="V1019" s="1" t="n">
        <f aca="false">IF(AND($L1019=1,AND(对接源_01水果!$X1019="自备筐",N(对接源_01水果!$V1019)&lt;&gt;0)),1,0)</f>
        <v>0</v>
      </c>
      <c r="W1019" s="1" t="n">
        <f aca="false">N(W1018)+$V1019</f>
        <v>7</v>
      </c>
      <c r="X1019" s="1" t="n">
        <f aca="false">IF(AND($L1019=1,AND(对接源_01水果!$X1019="自备筐",N(对接源_01水果!$T1019)&lt;&gt;0)),1,0)</f>
        <v>0</v>
      </c>
      <c r="Y1019" s="1" t="n">
        <f aca="false">N(Y1018)+$X1019</f>
        <v>0</v>
      </c>
      <c r="Z1019" s="1" t="n">
        <f aca="false">IF(AND($M1019=1,对接源_01水果!$D1019="原料入库"),1,0)</f>
        <v>0</v>
      </c>
      <c r="AA1019" s="1" t="n">
        <f aca="false">N(AA1018)+$Z1019</f>
        <v>30</v>
      </c>
      <c r="AB1019" s="1" t="n">
        <f aca="false">IF(AND($M1019=1,LEFT(对接源_01水果!$D1019,4)="原料出库"),1,0)</f>
        <v>0</v>
      </c>
      <c r="AC1019" s="1" t="n">
        <f aca="false">N(AC1018)+$AB1019</f>
        <v>19</v>
      </c>
      <c r="AD1019" s="1" t="n">
        <f aca="false">IF(AND($M1019=1,LEFT(对接源_01水果!$D1019,4)="成品出库"),1,0)</f>
        <v>0</v>
      </c>
      <c r="AE1019" s="1" t="n">
        <f aca="false">N(AE1018)+$AD1019</f>
        <v>38</v>
      </c>
      <c r="AF1019" s="1" t="n">
        <f aca="false">IF(AND($N1019=1,AND(LEFT(对接源_01水果!$D1019,4)="包装物料",N(对接源_01水果!$K1019)&lt;&gt;0)),1,0)</f>
        <v>0</v>
      </c>
      <c r="AG1019" s="90" t="str">
        <f aca="false">IF(对接源_01水果!$AC1019="","",对接源_01水果!$AC1019)</f>
        <v/>
      </c>
      <c r="AH1019" s="1" t="n">
        <f aca="false">IF(AND($N1019=1,AND(LEFT(对接源_01水果!$D1019,3)="周转筐",N(对接源_01水果!$K1019)&lt;&gt;0)),1,0)</f>
        <v>0</v>
      </c>
      <c r="AI1019" s="90" t="n">
        <f aca="false">IF(AG1019="",0,IF(MATCH(AG1019,$AG$4:$AG$1203,0)=ROW()-3,1,0))</f>
        <v>0</v>
      </c>
      <c r="AJ1019" s="90" t="n">
        <f aca="false">N(AJ1018)+AI1019</f>
        <v>4</v>
      </c>
      <c r="AK1019" s="1" t="n">
        <f aca="false">N(AK1018)+$AJ1019</f>
        <v>2936</v>
      </c>
    </row>
    <row r="1020" customFormat="false" ht="13.5" hidden="false" customHeight="false" outlineLevel="0" collapsed="false">
      <c r="A1020" s="1" t="str">
        <f aca="false">IF(对接源_01水果!$C1020="","",对接源_01水果!$C1020)</f>
        <v/>
      </c>
      <c r="B1020" s="1" t="n">
        <f aca="false">IF(A1020="",0,IF(MATCH(A1020,$A$4:$A$2403,0)=ROW()-3,1,0))</f>
        <v>0</v>
      </c>
      <c r="C1020" s="1" t="n">
        <f aca="false">N(C1019)+B1020</f>
        <v>13</v>
      </c>
      <c r="K1020" s="1" t="n">
        <f aca="false">IF(OR($K$1="",对接源_01水果!$C1020="",对接源_01水果!$C1020&lt;&gt;$K$1,对接源_01水果!$B1020=""),0,IF(OR(N(对接源_01水果!$B1020)&lt;$K$2,N(对接源_01水果!$B1020)&gt;$K$3),0,1))</f>
        <v>0</v>
      </c>
      <c r="L1020" s="1" t="n">
        <f aca="false">IF(OR($L$1="",对接源_01水果!$C1020="",对接源_01水果!$C1020&lt;&gt;$L$1,对接源_01水果!$B1020=""),0,IF(OR(N(对接源_01水果!$B1020)&lt;$L$2,N(对接源_01水果!$B1020)&gt;$L$3),0,1))</f>
        <v>0</v>
      </c>
      <c r="M1020" s="1" t="n">
        <f aca="false">IF(OR($M$1="",对接源_01水果!$C1020="",对接源_01水果!$C1020&lt;&gt;$M$1,对接源_01水果!$B1020=""),0,IF(OR(N(对接源_01水果!$B1020)&lt;$M$2,N(对接源_01水果!$B1020)&gt;$M$3),0,1))</f>
        <v>0</v>
      </c>
      <c r="N1020" s="1" t="n">
        <f aca="false">IF(OR($N$1="",对接源_01水果!$C1020="",对接源_01水果!$C1020&lt;&gt;$N$1,对接源_01水果!$B1020=""),0,IF(OR(N(对接源_01水果!$B1020)&lt;$N$2,N(对接源_01水果!$B1020)&gt;$N$3),0,1))</f>
        <v>0</v>
      </c>
      <c r="P1020" s="1" t="n">
        <f aca="false">IF(AND($K1020=1,AND(对接源_01水果!$X1020="公司筐",N(对接源_01水果!$T1020)&lt;&gt;0)),1,0)</f>
        <v>0</v>
      </c>
      <c r="Q1020" s="1" t="n">
        <f aca="false">N(Q1019)+$P1020</f>
        <v>3</v>
      </c>
      <c r="R1020" s="1" t="n">
        <f aca="false">IF(AND($K1020=1,AND(对接源_01水果!$X1020="公司筐",N(对接源_01水果!$U1020)&lt;&gt;0)),1,0)</f>
        <v>0</v>
      </c>
      <c r="S1020" s="1" t="n">
        <f aca="false">N(S1019)+$R1020</f>
        <v>0</v>
      </c>
      <c r="T1020" s="1" t="n">
        <f aca="false">IF(AND($K1020=1,AND(对接源_01水果!$X1020="公司筐",N(对接源_01水果!$V1020)&lt;&gt;0)),1,0)</f>
        <v>0</v>
      </c>
      <c r="U1020" s="1" t="n">
        <f aca="false">N(U1019)+$T1020</f>
        <v>28</v>
      </c>
      <c r="V1020" s="1" t="n">
        <f aca="false">IF(AND($L1020=1,AND(对接源_01水果!$X1020="自备筐",N(对接源_01水果!$V1020)&lt;&gt;0)),1,0)</f>
        <v>0</v>
      </c>
      <c r="W1020" s="1" t="n">
        <f aca="false">N(W1019)+$V1020</f>
        <v>7</v>
      </c>
      <c r="X1020" s="1" t="n">
        <f aca="false">IF(AND($L1020=1,AND(对接源_01水果!$X1020="自备筐",N(对接源_01水果!$T1020)&lt;&gt;0)),1,0)</f>
        <v>0</v>
      </c>
      <c r="Y1020" s="1" t="n">
        <f aca="false">N(Y1019)+$X1020</f>
        <v>0</v>
      </c>
      <c r="Z1020" s="1" t="n">
        <f aca="false">IF(AND($M1020=1,对接源_01水果!$D1020="原料入库"),1,0)</f>
        <v>0</v>
      </c>
      <c r="AA1020" s="1" t="n">
        <f aca="false">N(AA1019)+$Z1020</f>
        <v>30</v>
      </c>
      <c r="AB1020" s="1" t="n">
        <f aca="false">IF(AND($M1020=1,LEFT(对接源_01水果!$D1020,4)="原料出库"),1,0)</f>
        <v>0</v>
      </c>
      <c r="AC1020" s="1" t="n">
        <f aca="false">N(AC1019)+$AB1020</f>
        <v>19</v>
      </c>
      <c r="AD1020" s="1" t="n">
        <f aca="false">IF(AND($M1020=1,LEFT(对接源_01水果!$D1020,4)="成品出库"),1,0)</f>
        <v>0</v>
      </c>
      <c r="AE1020" s="1" t="n">
        <f aca="false">N(AE1019)+$AD1020</f>
        <v>38</v>
      </c>
      <c r="AF1020" s="1" t="n">
        <f aca="false">IF(AND($N1020=1,AND(LEFT(对接源_01水果!$D1020,4)="包装物料",N(对接源_01水果!$K1020)&lt;&gt;0)),1,0)</f>
        <v>0</v>
      </c>
      <c r="AG1020" s="90" t="str">
        <f aca="false">IF(对接源_01水果!$AC1020="","",对接源_01水果!$AC1020)</f>
        <v/>
      </c>
      <c r="AH1020" s="1" t="n">
        <f aca="false">IF(AND($N1020=1,AND(LEFT(对接源_01水果!$D1020,3)="周转筐",N(对接源_01水果!$K1020)&lt;&gt;0)),1,0)</f>
        <v>0</v>
      </c>
      <c r="AI1020" s="90" t="n">
        <f aca="false">IF(AG1020="",0,IF(MATCH(AG1020,$AG$4:$AG$1203,0)=ROW()-3,1,0))</f>
        <v>0</v>
      </c>
      <c r="AJ1020" s="90" t="n">
        <f aca="false">N(AJ1019)+AI1020</f>
        <v>4</v>
      </c>
      <c r="AK1020" s="1" t="n">
        <f aca="false">N(AK1019)+$AJ1020</f>
        <v>2940</v>
      </c>
    </row>
    <row r="1021" customFormat="false" ht="13.5" hidden="false" customHeight="false" outlineLevel="0" collapsed="false">
      <c r="A1021" s="1" t="str">
        <f aca="false">IF(对接源_01水果!$C1021="","",对接源_01水果!$C1021)</f>
        <v/>
      </c>
      <c r="B1021" s="1" t="n">
        <f aca="false">IF(A1021="",0,IF(MATCH(A1021,$A$4:$A$2403,0)=ROW()-3,1,0))</f>
        <v>0</v>
      </c>
      <c r="C1021" s="1" t="n">
        <f aca="false">N(C1020)+B1021</f>
        <v>13</v>
      </c>
      <c r="K1021" s="1" t="n">
        <f aca="false">IF(OR($K$1="",对接源_01水果!$C1021="",对接源_01水果!$C1021&lt;&gt;$K$1,对接源_01水果!$B1021=""),0,IF(OR(N(对接源_01水果!$B1021)&lt;$K$2,N(对接源_01水果!$B1021)&gt;$K$3),0,1))</f>
        <v>0</v>
      </c>
      <c r="L1021" s="1" t="n">
        <f aca="false">IF(OR($L$1="",对接源_01水果!$C1021="",对接源_01水果!$C1021&lt;&gt;$L$1,对接源_01水果!$B1021=""),0,IF(OR(N(对接源_01水果!$B1021)&lt;$L$2,N(对接源_01水果!$B1021)&gt;$L$3),0,1))</f>
        <v>0</v>
      </c>
      <c r="M1021" s="1" t="n">
        <f aca="false">IF(OR($M$1="",对接源_01水果!$C1021="",对接源_01水果!$C1021&lt;&gt;$M$1,对接源_01水果!$B1021=""),0,IF(OR(N(对接源_01水果!$B1021)&lt;$M$2,N(对接源_01水果!$B1021)&gt;$M$3),0,1))</f>
        <v>0</v>
      </c>
      <c r="N1021" s="1" t="n">
        <f aca="false">IF(OR($N$1="",对接源_01水果!$C1021="",对接源_01水果!$C1021&lt;&gt;$N$1,对接源_01水果!$B1021=""),0,IF(OR(N(对接源_01水果!$B1021)&lt;$N$2,N(对接源_01水果!$B1021)&gt;$N$3),0,1))</f>
        <v>0</v>
      </c>
      <c r="P1021" s="1" t="n">
        <f aca="false">IF(AND($K1021=1,AND(对接源_01水果!$X1021="公司筐",N(对接源_01水果!$T1021)&lt;&gt;0)),1,0)</f>
        <v>0</v>
      </c>
      <c r="Q1021" s="1" t="n">
        <f aca="false">N(Q1020)+$P1021</f>
        <v>3</v>
      </c>
      <c r="R1021" s="1" t="n">
        <f aca="false">IF(AND($K1021=1,AND(对接源_01水果!$X1021="公司筐",N(对接源_01水果!$U1021)&lt;&gt;0)),1,0)</f>
        <v>0</v>
      </c>
      <c r="S1021" s="1" t="n">
        <f aca="false">N(S1020)+$R1021</f>
        <v>0</v>
      </c>
      <c r="T1021" s="1" t="n">
        <f aca="false">IF(AND($K1021=1,AND(对接源_01水果!$X1021="公司筐",N(对接源_01水果!$V1021)&lt;&gt;0)),1,0)</f>
        <v>0</v>
      </c>
      <c r="U1021" s="1" t="n">
        <f aca="false">N(U1020)+$T1021</f>
        <v>28</v>
      </c>
      <c r="V1021" s="1" t="n">
        <f aca="false">IF(AND($L1021=1,AND(对接源_01水果!$X1021="自备筐",N(对接源_01水果!$V1021)&lt;&gt;0)),1,0)</f>
        <v>0</v>
      </c>
      <c r="W1021" s="1" t="n">
        <f aca="false">N(W1020)+$V1021</f>
        <v>7</v>
      </c>
      <c r="X1021" s="1" t="n">
        <f aca="false">IF(AND($L1021=1,AND(对接源_01水果!$X1021="自备筐",N(对接源_01水果!$T1021)&lt;&gt;0)),1,0)</f>
        <v>0</v>
      </c>
      <c r="Y1021" s="1" t="n">
        <f aca="false">N(Y1020)+$X1021</f>
        <v>0</v>
      </c>
      <c r="Z1021" s="1" t="n">
        <f aca="false">IF(AND($M1021=1,对接源_01水果!$D1021="原料入库"),1,0)</f>
        <v>0</v>
      </c>
      <c r="AA1021" s="1" t="n">
        <f aca="false">N(AA1020)+$Z1021</f>
        <v>30</v>
      </c>
      <c r="AB1021" s="1" t="n">
        <f aca="false">IF(AND($M1021=1,LEFT(对接源_01水果!$D1021,4)="原料出库"),1,0)</f>
        <v>0</v>
      </c>
      <c r="AC1021" s="1" t="n">
        <f aca="false">N(AC1020)+$AB1021</f>
        <v>19</v>
      </c>
      <c r="AD1021" s="1" t="n">
        <f aca="false">IF(AND($M1021=1,LEFT(对接源_01水果!$D1021,4)="成品出库"),1,0)</f>
        <v>0</v>
      </c>
      <c r="AE1021" s="1" t="n">
        <f aca="false">N(AE1020)+$AD1021</f>
        <v>38</v>
      </c>
      <c r="AF1021" s="1" t="n">
        <f aca="false">IF(AND($N1021=1,AND(LEFT(对接源_01水果!$D1021,4)="包装物料",N(对接源_01水果!$K1021)&lt;&gt;0)),1,0)</f>
        <v>0</v>
      </c>
      <c r="AG1021" s="90" t="str">
        <f aca="false">IF(对接源_01水果!$AC1021="","",对接源_01水果!$AC1021)</f>
        <v/>
      </c>
      <c r="AH1021" s="1" t="n">
        <f aca="false">IF(AND($N1021=1,AND(LEFT(对接源_01水果!$D1021,3)="周转筐",N(对接源_01水果!$K1021)&lt;&gt;0)),1,0)</f>
        <v>0</v>
      </c>
      <c r="AI1021" s="90" t="n">
        <f aca="false">IF(AG1021="",0,IF(MATCH(AG1021,$AG$4:$AG$1203,0)=ROW()-3,1,0))</f>
        <v>0</v>
      </c>
      <c r="AJ1021" s="90" t="n">
        <f aca="false">N(AJ1020)+AI1021</f>
        <v>4</v>
      </c>
      <c r="AK1021" s="1" t="n">
        <f aca="false">N(AK1020)+$AJ1021</f>
        <v>2944</v>
      </c>
    </row>
    <row r="1022" customFormat="false" ht="13.5" hidden="false" customHeight="false" outlineLevel="0" collapsed="false">
      <c r="A1022" s="1" t="str">
        <f aca="false">IF(对接源_01水果!$C1022="","",对接源_01水果!$C1022)</f>
        <v/>
      </c>
      <c r="B1022" s="1" t="n">
        <f aca="false">IF(A1022="",0,IF(MATCH(A1022,$A$4:$A$2403,0)=ROW()-3,1,0))</f>
        <v>0</v>
      </c>
      <c r="C1022" s="1" t="n">
        <f aca="false">N(C1021)+B1022</f>
        <v>13</v>
      </c>
      <c r="K1022" s="1" t="n">
        <f aca="false">IF(OR($K$1="",对接源_01水果!$C1022="",对接源_01水果!$C1022&lt;&gt;$K$1,对接源_01水果!$B1022=""),0,IF(OR(N(对接源_01水果!$B1022)&lt;$K$2,N(对接源_01水果!$B1022)&gt;$K$3),0,1))</f>
        <v>0</v>
      </c>
      <c r="L1022" s="1" t="n">
        <f aca="false">IF(OR($L$1="",对接源_01水果!$C1022="",对接源_01水果!$C1022&lt;&gt;$L$1,对接源_01水果!$B1022=""),0,IF(OR(N(对接源_01水果!$B1022)&lt;$L$2,N(对接源_01水果!$B1022)&gt;$L$3),0,1))</f>
        <v>0</v>
      </c>
      <c r="M1022" s="1" t="n">
        <f aca="false">IF(OR($M$1="",对接源_01水果!$C1022="",对接源_01水果!$C1022&lt;&gt;$M$1,对接源_01水果!$B1022=""),0,IF(OR(N(对接源_01水果!$B1022)&lt;$M$2,N(对接源_01水果!$B1022)&gt;$M$3),0,1))</f>
        <v>0</v>
      </c>
      <c r="N1022" s="1" t="n">
        <f aca="false">IF(OR($N$1="",对接源_01水果!$C1022="",对接源_01水果!$C1022&lt;&gt;$N$1,对接源_01水果!$B1022=""),0,IF(OR(N(对接源_01水果!$B1022)&lt;$N$2,N(对接源_01水果!$B1022)&gt;$N$3),0,1))</f>
        <v>0</v>
      </c>
      <c r="P1022" s="1" t="n">
        <f aca="false">IF(AND($K1022=1,AND(对接源_01水果!$X1022="公司筐",N(对接源_01水果!$T1022)&lt;&gt;0)),1,0)</f>
        <v>0</v>
      </c>
      <c r="Q1022" s="1" t="n">
        <f aca="false">N(Q1021)+$P1022</f>
        <v>3</v>
      </c>
      <c r="R1022" s="1" t="n">
        <f aca="false">IF(AND($K1022=1,AND(对接源_01水果!$X1022="公司筐",N(对接源_01水果!$U1022)&lt;&gt;0)),1,0)</f>
        <v>0</v>
      </c>
      <c r="S1022" s="1" t="n">
        <f aca="false">N(S1021)+$R1022</f>
        <v>0</v>
      </c>
      <c r="T1022" s="1" t="n">
        <f aca="false">IF(AND($K1022=1,AND(对接源_01水果!$X1022="公司筐",N(对接源_01水果!$V1022)&lt;&gt;0)),1,0)</f>
        <v>0</v>
      </c>
      <c r="U1022" s="1" t="n">
        <f aca="false">N(U1021)+$T1022</f>
        <v>28</v>
      </c>
      <c r="V1022" s="1" t="n">
        <f aca="false">IF(AND($L1022=1,AND(对接源_01水果!$X1022="自备筐",N(对接源_01水果!$V1022)&lt;&gt;0)),1,0)</f>
        <v>0</v>
      </c>
      <c r="W1022" s="1" t="n">
        <f aca="false">N(W1021)+$V1022</f>
        <v>7</v>
      </c>
      <c r="X1022" s="1" t="n">
        <f aca="false">IF(AND($L1022=1,AND(对接源_01水果!$X1022="自备筐",N(对接源_01水果!$T1022)&lt;&gt;0)),1,0)</f>
        <v>0</v>
      </c>
      <c r="Y1022" s="1" t="n">
        <f aca="false">N(Y1021)+$X1022</f>
        <v>0</v>
      </c>
      <c r="Z1022" s="1" t="n">
        <f aca="false">IF(AND($M1022=1,对接源_01水果!$D1022="原料入库"),1,0)</f>
        <v>0</v>
      </c>
      <c r="AA1022" s="1" t="n">
        <f aca="false">N(AA1021)+$Z1022</f>
        <v>30</v>
      </c>
      <c r="AB1022" s="1" t="n">
        <f aca="false">IF(AND($M1022=1,LEFT(对接源_01水果!$D1022,4)="原料出库"),1,0)</f>
        <v>0</v>
      </c>
      <c r="AC1022" s="1" t="n">
        <f aca="false">N(AC1021)+$AB1022</f>
        <v>19</v>
      </c>
      <c r="AD1022" s="1" t="n">
        <f aca="false">IF(AND($M1022=1,LEFT(对接源_01水果!$D1022,4)="成品出库"),1,0)</f>
        <v>0</v>
      </c>
      <c r="AE1022" s="1" t="n">
        <f aca="false">N(AE1021)+$AD1022</f>
        <v>38</v>
      </c>
      <c r="AF1022" s="1" t="n">
        <f aca="false">IF(AND($N1022=1,AND(LEFT(对接源_01水果!$D1022,4)="包装物料",N(对接源_01水果!$K1022)&lt;&gt;0)),1,0)</f>
        <v>0</v>
      </c>
      <c r="AG1022" s="90" t="str">
        <f aca="false">IF(对接源_01水果!$AC1022="","",对接源_01水果!$AC1022)</f>
        <v/>
      </c>
      <c r="AH1022" s="1" t="n">
        <f aca="false">IF(AND($N1022=1,AND(LEFT(对接源_01水果!$D1022,3)="周转筐",N(对接源_01水果!$K1022)&lt;&gt;0)),1,0)</f>
        <v>0</v>
      </c>
      <c r="AI1022" s="90" t="n">
        <f aca="false">IF(AG1022="",0,IF(MATCH(AG1022,$AG$4:$AG$1203,0)=ROW()-3,1,0))</f>
        <v>0</v>
      </c>
      <c r="AJ1022" s="90" t="n">
        <f aca="false">N(AJ1021)+AI1022</f>
        <v>4</v>
      </c>
      <c r="AK1022" s="1" t="n">
        <f aca="false">N(AK1021)+$AJ1022</f>
        <v>2948</v>
      </c>
    </row>
    <row r="1023" customFormat="false" ht="13.5" hidden="false" customHeight="false" outlineLevel="0" collapsed="false">
      <c r="A1023" s="1" t="str">
        <f aca="false">IF(对接源_01水果!$C1023="","",对接源_01水果!$C1023)</f>
        <v/>
      </c>
      <c r="B1023" s="1" t="n">
        <f aca="false">IF(A1023="",0,IF(MATCH(A1023,$A$4:$A$2403,0)=ROW()-3,1,0))</f>
        <v>0</v>
      </c>
      <c r="C1023" s="1" t="n">
        <f aca="false">N(C1022)+B1023</f>
        <v>13</v>
      </c>
      <c r="K1023" s="1" t="n">
        <f aca="false">IF(OR($K$1="",对接源_01水果!$C1023="",对接源_01水果!$C1023&lt;&gt;$K$1,对接源_01水果!$B1023=""),0,IF(OR(N(对接源_01水果!$B1023)&lt;$K$2,N(对接源_01水果!$B1023)&gt;$K$3),0,1))</f>
        <v>0</v>
      </c>
      <c r="L1023" s="1" t="n">
        <f aca="false">IF(OR($L$1="",对接源_01水果!$C1023="",对接源_01水果!$C1023&lt;&gt;$L$1,对接源_01水果!$B1023=""),0,IF(OR(N(对接源_01水果!$B1023)&lt;$L$2,N(对接源_01水果!$B1023)&gt;$L$3),0,1))</f>
        <v>0</v>
      </c>
      <c r="M1023" s="1" t="n">
        <f aca="false">IF(OR($M$1="",对接源_01水果!$C1023="",对接源_01水果!$C1023&lt;&gt;$M$1,对接源_01水果!$B1023=""),0,IF(OR(N(对接源_01水果!$B1023)&lt;$M$2,N(对接源_01水果!$B1023)&gt;$M$3),0,1))</f>
        <v>0</v>
      </c>
      <c r="N1023" s="1" t="n">
        <f aca="false">IF(OR($N$1="",对接源_01水果!$C1023="",对接源_01水果!$C1023&lt;&gt;$N$1,对接源_01水果!$B1023=""),0,IF(OR(N(对接源_01水果!$B1023)&lt;$N$2,N(对接源_01水果!$B1023)&gt;$N$3),0,1))</f>
        <v>0</v>
      </c>
      <c r="P1023" s="1" t="n">
        <f aca="false">IF(AND($K1023=1,AND(对接源_01水果!$X1023="公司筐",N(对接源_01水果!$T1023)&lt;&gt;0)),1,0)</f>
        <v>0</v>
      </c>
      <c r="Q1023" s="1" t="n">
        <f aca="false">N(Q1022)+$P1023</f>
        <v>3</v>
      </c>
      <c r="R1023" s="1" t="n">
        <f aca="false">IF(AND($K1023=1,AND(对接源_01水果!$X1023="公司筐",N(对接源_01水果!$U1023)&lt;&gt;0)),1,0)</f>
        <v>0</v>
      </c>
      <c r="S1023" s="1" t="n">
        <f aca="false">N(S1022)+$R1023</f>
        <v>0</v>
      </c>
      <c r="T1023" s="1" t="n">
        <f aca="false">IF(AND($K1023=1,AND(对接源_01水果!$X1023="公司筐",N(对接源_01水果!$V1023)&lt;&gt;0)),1,0)</f>
        <v>0</v>
      </c>
      <c r="U1023" s="1" t="n">
        <f aca="false">N(U1022)+$T1023</f>
        <v>28</v>
      </c>
      <c r="V1023" s="1" t="n">
        <f aca="false">IF(AND($L1023=1,AND(对接源_01水果!$X1023="自备筐",N(对接源_01水果!$V1023)&lt;&gt;0)),1,0)</f>
        <v>0</v>
      </c>
      <c r="W1023" s="1" t="n">
        <f aca="false">N(W1022)+$V1023</f>
        <v>7</v>
      </c>
      <c r="X1023" s="1" t="n">
        <f aca="false">IF(AND($L1023=1,AND(对接源_01水果!$X1023="自备筐",N(对接源_01水果!$T1023)&lt;&gt;0)),1,0)</f>
        <v>0</v>
      </c>
      <c r="Y1023" s="1" t="n">
        <f aca="false">N(Y1022)+$X1023</f>
        <v>0</v>
      </c>
      <c r="Z1023" s="1" t="n">
        <f aca="false">IF(AND($M1023=1,对接源_01水果!$D1023="原料入库"),1,0)</f>
        <v>0</v>
      </c>
      <c r="AA1023" s="1" t="n">
        <f aca="false">N(AA1022)+$Z1023</f>
        <v>30</v>
      </c>
      <c r="AB1023" s="1" t="n">
        <f aca="false">IF(AND($M1023=1,LEFT(对接源_01水果!$D1023,4)="原料出库"),1,0)</f>
        <v>0</v>
      </c>
      <c r="AC1023" s="1" t="n">
        <f aca="false">N(AC1022)+$AB1023</f>
        <v>19</v>
      </c>
      <c r="AD1023" s="1" t="n">
        <f aca="false">IF(AND($M1023=1,LEFT(对接源_01水果!$D1023,4)="成品出库"),1,0)</f>
        <v>0</v>
      </c>
      <c r="AE1023" s="1" t="n">
        <f aca="false">N(AE1022)+$AD1023</f>
        <v>38</v>
      </c>
      <c r="AF1023" s="1" t="n">
        <f aca="false">IF(AND($N1023=1,AND(LEFT(对接源_01水果!$D1023,4)="包装物料",N(对接源_01水果!$K1023)&lt;&gt;0)),1,0)</f>
        <v>0</v>
      </c>
      <c r="AG1023" s="90" t="str">
        <f aca="false">IF(对接源_01水果!$AC1023="","",对接源_01水果!$AC1023)</f>
        <v/>
      </c>
      <c r="AH1023" s="1" t="n">
        <f aca="false">IF(AND($N1023=1,AND(LEFT(对接源_01水果!$D1023,3)="周转筐",N(对接源_01水果!$K1023)&lt;&gt;0)),1,0)</f>
        <v>0</v>
      </c>
      <c r="AI1023" s="90" t="n">
        <f aca="false">IF(AG1023="",0,IF(MATCH(AG1023,$AG$4:$AG$1203,0)=ROW()-3,1,0))</f>
        <v>0</v>
      </c>
      <c r="AJ1023" s="90" t="n">
        <f aca="false">N(AJ1022)+AI1023</f>
        <v>4</v>
      </c>
      <c r="AK1023" s="1" t="n">
        <f aca="false">N(AK1022)+$AJ1023</f>
        <v>2952</v>
      </c>
    </row>
    <row r="1024" customFormat="false" ht="13.5" hidden="false" customHeight="false" outlineLevel="0" collapsed="false">
      <c r="A1024" s="1" t="str">
        <f aca="false">IF(对接源_01水果!$C1024="","",对接源_01水果!$C1024)</f>
        <v/>
      </c>
      <c r="B1024" s="1" t="n">
        <f aca="false">IF(A1024="",0,IF(MATCH(A1024,$A$4:$A$2403,0)=ROW()-3,1,0))</f>
        <v>0</v>
      </c>
      <c r="C1024" s="1" t="n">
        <f aca="false">N(C1023)+B1024</f>
        <v>13</v>
      </c>
      <c r="K1024" s="1" t="n">
        <f aca="false">IF(OR($K$1="",对接源_01水果!$C1024="",对接源_01水果!$C1024&lt;&gt;$K$1,对接源_01水果!$B1024=""),0,IF(OR(N(对接源_01水果!$B1024)&lt;$K$2,N(对接源_01水果!$B1024)&gt;$K$3),0,1))</f>
        <v>0</v>
      </c>
      <c r="L1024" s="1" t="n">
        <f aca="false">IF(OR($L$1="",对接源_01水果!$C1024="",对接源_01水果!$C1024&lt;&gt;$L$1,对接源_01水果!$B1024=""),0,IF(OR(N(对接源_01水果!$B1024)&lt;$L$2,N(对接源_01水果!$B1024)&gt;$L$3),0,1))</f>
        <v>0</v>
      </c>
      <c r="M1024" s="1" t="n">
        <f aca="false">IF(OR($M$1="",对接源_01水果!$C1024="",对接源_01水果!$C1024&lt;&gt;$M$1,对接源_01水果!$B1024=""),0,IF(OR(N(对接源_01水果!$B1024)&lt;$M$2,N(对接源_01水果!$B1024)&gt;$M$3),0,1))</f>
        <v>0</v>
      </c>
      <c r="N1024" s="1" t="n">
        <f aca="false">IF(OR($N$1="",对接源_01水果!$C1024="",对接源_01水果!$C1024&lt;&gt;$N$1,对接源_01水果!$B1024=""),0,IF(OR(N(对接源_01水果!$B1024)&lt;$N$2,N(对接源_01水果!$B1024)&gt;$N$3),0,1))</f>
        <v>0</v>
      </c>
      <c r="P1024" s="1" t="n">
        <f aca="false">IF(AND($K1024=1,AND(对接源_01水果!$X1024="公司筐",N(对接源_01水果!$T1024)&lt;&gt;0)),1,0)</f>
        <v>0</v>
      </c>
      <c r="Q1024" s="1" t="n">
        <f aca="false">N(Q1023)+$P1024</f>
        <v>3</v>
      </c>
      <c r="R1024" s="1" t="n">
        <f aca="false">IF(AND($K1024=1,AND(对接源_01水果!$X1024="公司筐",N(对接源_01水果!$U1024)&lt;&gt;0)),1,0)</f>
        <v>0</v>
      </c>
      <c r="S1024" s="1" t="n">
        <f aca="false">N(S1023)+$R1024</f>
        <v>0</v>
      </c>
      <c r="T1024" s="1" t="n">
        <f aca="false">IF(AND($K1024=1,AND(对接源_01水果!$X1024="公司筐",N(对接源_01水果!$V1024)&lt;&gt;0)),1,0)</f>
        <v>0</v>
      </c>
      <c r="U1024" s="1" t="n">
        <f aca="false">N(U1023)+$T1024</f>
        <v>28</v>
      </c>
      <c r="V1024" s="1" t="n">
        <f aca="false">IF(AND($L1024=1,AND(对接源_01水果!$X1024="自备筐",N(对接源_01水果!$V1024)&lt;&gt;0)),1,0)</f>
        <v>0</v>
      </c>
      <c r="W1024" s="1" t="n">
        <f aca="false">N(W1023)+$V1024</f>
        <v>7</v>
      </c>
      <c r="X1024" s="1" t="n">
        <f aca="false">IF(AND($L1024=1,AND(对接源_01水果!$X1024="自备筐",N(对接源_01水果!$T1024)&lt;&gt;0)),1,0)</f>
        <v>0</v>
      </c>
      <c r="Y1024" s="1" t="n">
        <f aca="false">N(Y1023)+$X1024</f>
        <v>0</v>
      </c>
      <c r="Z1024" s="1" t="n">
        <f aca="false">IF(AND($M1024=1,对接源_01水果!$D1024="原料入库"),1,0)</f>
        <v>0</v>
      </c>
      <c r="AA1024" s="1" t="n">
        <f aca="false">N(AA1023)+$Z1024</f>
        <v>30</v>
      </c>
      <c r="AB1024" s="1" t="n">
        <f aca="false">IF(AND($M1024=1,LEFT(对接源_01水果!$D1024,4)="原料出库"),1,0)</f>
        <v>0</v>
      </c>
      <c r="AC1024" s="1" t="n">
        <f aca="false">N(AC1023)+$AB1024</f>
        <v>19</v>
      </c>
      <c r="AD1024" s="1" t="n">
        <f aca="false">IF(AND($M1024=1,LEFT(对接源_01水果!$D1024,4)="成品出库"),1,0)</f>
        <v>0</v>
      </c>
      <c r="AE1024" s="1" t="n">
        <f aca="false">N(AE1023)+$AD1024</f>
        <v>38</v>
      </c>
      <c r="AF1024" s="1" t="n">
        <f aca="false">IF(AND($N1024=1,AND(LEFT(对接源_01水果!$D1024,4)="包装物料",N(对接源_01水果!$K1024)&lt;&gt;0)),1,0)</f>
        <v>0</v>
      </c>
      <c r="AG1024" s="90" t="str">
        <f aca="false">IF(对接源_01水果!$AC1024="","",对接源_01水果!$AC1024)</f>
        <v/>
      </c>
      <c r="AH1024" s="1" t="n">
        <f aca="false">IF(AND($N1024=1,AND(LEFT(对接源_01水果!$D1024,3)="周转筐",N(对接源_01水果!$K1024)&lt;&gt;0)),1,0)</f>
        <v>0</v>
      </c>
      <c r="AI1024" s="90" t="n">
        <f aca="false">IF(AG1024="",0,IF(MATCH(AG1024,$AG$4:$AG$1203,0)=ROW()-3,1,0))</f>
        <v>0</v>
      </c>
      <c r="AJ1024" s="90" t="n">
        <f aca="false">N(AJ1023)+AI1024</f>
        <v>4</v>
      </c>
      <c r="AK1024" s="1" t="n">
        <f aca="false">N(AK1023)+$AJ1024</f>
        <v>2956</v>
      </c>
    </row>
    <row r="1025" customFormat="false" ht="13.5" hidden="false" customHeight="false" outlineLevel="0" collapsed="false">
      <c r="A1025" s="1" t="str">
        <f aca="false">IF(对接源_01水果!$C1025="","",对接源_01水果!$C1025)</f>
        <v/>
      </c>
      <c r="B1025" s="1" t="n">
        <f aca="false">IF(A1025="",0,IF(MATCH(A1025,$A$4:$A$2403,0)=ROW()-3,1,0))</f>
        <v>0</v>
      </c>
      <c r="C1025" s="1" t="n">
        <f aca="false">N(C1024)+B1025</f>
        <v>13</v>
      </c>
      <c r="K1025" s="1" t="n">
        <f aca="false">IF(OR($K$1="",对接源_01水果!$C1025="",对接源_01水果!$C1025&lt;&gt;$K$1,对接源_01水果!$B1025=""),0,IF(OR(N(对接源_01水果!$B1025)&lt;$K$2,N(对接源_01水果!$B1025)&gt;$K$3),0,1))</f>
        <v>0</v>
      </c>
      <c r="L1025" s="1" t="n">
        <f aca="false">IF(OR($L$1="",对接源_01水果!$C1025="",对接源_01水果!$C1025&lt;&gt;$L$1,对接源_01水果!$B1025=""),0,IF(OR(N(对接源_01水果!$B1025)&lt;$L$2,N(对接源_01水果!$B1025)&gt;$L$3),0,1))</f>
        <v>0</v>
      </c>
      <c r="M1025" s="1" t="n">
        <f aca="false">IF(OR($M$1="",对接源_01水果!$C1025="",对接源_01水果!$C1025&lt;&gt;$M$1,对接源_01水果!$B1025=""),0,IF(OR(N(对接源_01水果!$B1025)&lt;$M$2,N(对接源_01水果!$B1025)&gt;$M$3),0,1))</f>
        <v>0</v>
      </c>
      <c r="N1025" s="1" t="n">
        <f aca="false">IF(OR($N$1="",对接源_01水果!$C1025="",对接源_01水果!$C1025&lt;&gt;$N$1,对接源_01水果!$B1025=""),0,IF(OR(N(对接源_01水果!$B1025)&lt;$N$2,N(对接源_01水果!$B1025)&gt;$N$3),0,1))</f>
        <v>0</v>
      </c>
      <c r="P1025" s="1" t="n">
        <f aca="false">IF(AND($K1025=1,AND(对接源_01水果!$X1025="公司筐",N(对接源_01水果!$T1025)&lt;&gt;0)),1,0)</f>
        <v>0</v>
      </c>
      <c r="Q1025" s="1" t="n">
        <f aca="false">N(Q1024)+$P1025</f>
        <v>3</v>
      </c>
      <c r="R1025" s="1" t="n">
        <f aca="false">IF(AND($K1025=1,AND(对接源_01水果!$X1025="公司筐",N(对接源_01水果!$U1025)&lt;&gt;0)),1,0)</f>
        <v>0</v>
      </c>
      <c r="S1025" s="1" t="n">
        <f aca="false">N(S1024)+$R1025</f>
        <v>0</v>
      </c>
      <c r="T1025" s="1" t="n">
        <f aca="false">IF(AND($K1025=1,AND(对接源_01水果!$X1025="公司筐",N(对接源_01水果!$V1025)&lt;&gt;0)),1,0)</f>
        <v>0</v>
      </c>
      <c r="U1025" s="1" t="n">
        <f aca="false">N(U1024)+$T1025</f>
        <v>28</v>
      </c>
      <c r="V1025" s="1" t="n">
        <f aca="false">IF(AND($L1025=1,AND(对接源_01水果!$X1025="自备筐",N(对接源_01水果!$V1025)&lt;&gt;0)),1,0)</f>
        <v>0</v>
      </c>
      <c r="W1025" s="1" t="n">
        <f aca="false">N(W1024)+$V1025</f>
        <v>7</v>
      </c>
      <c r="X1025" s="1" t="n">
        <f aca="false">IF(AND($L1025=1,AND(对接源_01水果!$X1025="自备筐",N(对接源_01水果!$T1025)&lt;&gt;0)),1,0)</f>
        <v>0</v>
      </c>
      <c r="Y1025" s="1" t="n">
        <f aca="false">N(Y1024)+$X1025</f>
        <v>0</v>
      </c>
      <c r="Z1025" s="1" t="n">
        <f aca="false">IF(AND($M1025=1,对接源_01水果!$D1025="原料入库"),1,0)</f>
        <v>0</v>
      </c>
      <c r="AA1025" s="1" t="n">
        <f aca="false">N(AA1024)+$Z1025</f>
        <v>30</v>
      </c>
      <c r="AB1025" s="1" t="n">
        <f aca="false">IF(AND($M1025=1,LEFT(对接源_01水果!$D1025,4)="原料出库"),1,0)</f>
        <v>0</v>
      </c>
      <c r="AC1025" s="1" t="n">
        <f aca="false">N(AC1024)+$AB1025</f>
        <v>19</v>
      </c>
      <c r="AD1025" s="1" t="n">
        <f aca="false">IF(AND($M1025=1,LEFT(对接源_01水果!$D1025,4)="成品出库"),1,0)</f>
        <v>0</v>
      </c>
      <c r="AE1025" s="1" t="n">
        <f aca="false">N(AE1024)+$AD1025</f>
        <v>38</v>
      </c>
      <c r="AF1025" s="1" t="n">
        <f aca="false">IF(AND($N1025=1,AND(LEFT(对接源_01水果!$D1025,4)="包装物料",N(对接源_01水果!$K1025)&lt;&gt;0)),1,0)</f>
        <v>0</v>
      </c>
      <c r="AG1025" s="90" t="str">
        <f aca="false">IF(对接源_01水果!$AC1025="","",对接源_01水果!$AC1025)</f>
        <v/>
      </c>
      <c r="AH1025" s="1" t="n">
        <f aca="false">IF(AND($N1025=1,AND(LEFT(对接源_01水果!$D1025,3)="周转筐",N(对接源_01水果!$K1025)&lt;&gt;0)),1,0)</f>
        <v>0</v>
      </c>
      <c r="AI1025" s="90" t="n">
        <f aca="false">IF(AG1025="",0,IF(MATCH(AG1025,$AG$4:$AG$1203,0)=ROW()-3,1,0))</f>
        <v>0</v>
      </c>
      <c r="AJ1025" s="90" t="n">
        <f aca="false">N(AJ1024)+AI1025</f>
        <v>4</v>
      </c>
      <c r="AK1025" s="1" t="n">
        <f aca="false">N(AK1024)+$AJ1025</f>
        <v>2960</v>
      </c>
    </row>
    <row r="1026" customFormat="false" ht="13.5" hidden="false" customHeight="false" outlineLevel="0" collapsed="false">
      <c r="A1026" s="1" t="str">
        <f aca="false">IF(对接源_01水果!$C1026="","",对接源_01水果!$C1026)</f>
        <v/>
      </c>
      <c r="B1026" s="1" t="n">
        <f aca="false">IF(A1026="",0,IF(MATCH(A1026,$A$4:$A$2403,0)=ROW()-3,1,0))</f>
        <v>0</v>
      </c>
      <c r="C1026" s="1" t="n">
        <f aca="false">N(C1025)+B1026</f>
        <v>13</v>
      </c>
      <c r="K1026" s="1" t="n">
        <f aca="false">IF(OR($K$1="",对接源_01水果!$C1026="",对接源_01水果!$C1026&lt;&gt;$K$1,对接源_01水果!$B1026=""),0,IF(OR(N(对接源_01水果!$B1026)&lt;$K$2,N(对接源_01水果!$B1026)&gt;$K$3),0,1))</f>
        <v>0</v>
      </c>
      <c r="L1026" s="1" t="n">
        <f aca="false">IF(OR($L$1="",对接源_01水果!$C1026="",对接源_01水果!$C1026&lt;&gt;$L$1,对接源_01水果!$B1026=""),0,IF(OR(N(对接源_01水果!$B1026)&lt;$L$2,N(对接源_01水果!$B1026)&gt;$L$3),0,1))</f>
        <v>0</v>
      </c>
      <c r="M1026" s="1" t="n">
        <f aca="false">IF(OR($M$1="",对接源_01水果!$C1026="",对接源_01水果!$C1026&lt;&gt;$M$1,对接源_01水果!$B1026=""),0,IF(OR(N(对接源_01水果!$B1026)&lt;$M$2,N(对接源_01水果!$B1026)&gt;$M$3),0,1))</f>
        <v>0</v>
      </c>
      <c r="N1026" s="1" t="n">
        <f aca="false">IF(OR($N$1="",对接源_01水果!$C1026="",对接源_01水果!$C1026&lt;&gt;$N$1,对接源_01水果!$B1026=""),0,IF(OR(N(对接源_01水果!$B1026)&lt;$N$2,N(对接源_01水果!$B1026)&gt;$N$3),0,1))</f>
        <v>0</v>
      </c>
      <c r="P1026" s="1" t="n">
        <f aca="false">IF(AND($K1026=1,AND(对接源_01水果!$X1026="公司筐",N(对接源_01水果!$T1026)&lt;&gt;0)),1,0)</f>
        <v>0</v>
      </c>
      <c r="Q1026" s="1" t="n">
        <f aca="false">N(Q1025)+$P1026</f>
        <v>3</v>
      </c>
      <c r="R1026" s="1" t="n">
        <f aca="false">IF(AND($K1026=1,AND(对接源_01水果!$X1026="公司筐",N(对接源_01水果!$U1026)&lt;&gt;0)),1,0)</f>
        <v>0</v>
      </c>
      <c r="S1026" s="1" t="n">
        <f aca="false">N(S1025)+$R1026</f>
        <v>0</v>
      </c>
      <c r="T1026" s="1" t="n">
        <f aca="false">IF(AND($K1026=1,AND(对接源_01水果!$X1026="公司筐",N(对接源_01水果!$V1026)&lt;&gt;0)),1,0)</f>
        <v>0</v>
      </c>
      <c r="U1026" s="1" t="n">
        <f aca="false">N(U1025)+$T1026</f>
        <v>28</v>
      </c>
      <c r="V1026" s="1" t="n">
        <f aca="false">IF(AND($L1026=1,AND(对接源_01水果!$X1026="自备筐",N(对接源_01水果!$V1026)&lt;&gt;0)),1,0)</f>
        <v>0</v>
      </c>
      <c r="W1026" s="1" t="n">
        <f aca="false">N(W1025)+$V1026</f>
        <v>7</v>
      </c>
      <c r="X1026" s="1" t="n">
        <f aca="false">IF(AND($L1026=1,AND(对接源_01水果!$X1026="自备筐",N(对接源_01水果!$T1026)&lt;&gt;0)),1,0)</f>
        <v>0</v>
      </c>
      <c r="Y1026" s="1" t="n">
        <f aca="false">N(Y1025)+$X1026</f>
        <v>0</v>
      </c>
      <c r="Z1026" s="1" t="n">
        <f aca="false">IF(AND($M1026=1,对接源_01水果!$D1026="原料入库"),1,0)</f>
        <v>0</v>
      </c>
      <c r="AA1026" s="1" t="n">
        <f aca="false">N(AA1025)+$Z1026</f>
        <v>30</v>
      </c>
      <c r="AB1026" s="1" t="n">
        <f aca="false">IF(AND($M1026=1,LEFT(对接源_01水果!$D1026,4)="原料出库"),1,0)</f>
        <v>0</v>
      </c>
      <c r="AC1026" s="1" t="n">
        <f aca="false">N(AC1025)+$AB1026</f>
        <v>19</v>
      </c>
      <c r="AD1026" s="1" t="n">
        <f aca="false">IF(AND($M1026=1,LEFT(对接源_01水果!$D1026,4)="成品出库"),1,0)</f>
        <v>0</v>
      </c>
      <c r="AE1026" s="1" t="n">
        <f aca="false">N(AE1025)+$AD1026</f>
        <v>38</v>
      </c>
      <c r="AF1026" s="1" t="n">
        <f aca="false">IF(AND($N1026=1,AND(LEFT(对接源_01水果!$D1026,4)="包装物料",N(对接源_01水果!$K1026)&lt;&gt;0)),1,0)</f>
        <v>0</v>
      </c>
      <c r="AG1026" s="90" t="str">
        <f aca="false">IF(对接源_01水果!$AC1026="","",对接源_01水果!$AC1026)</f>
        <v/>
      </c>
      <c r="AH1026" s="1" t="n">
        <f aca="false">IF(AND($N1026=1,AND(LEFT(对接源_01水果!$D1026,3)="周转筐",N(对接源_01水果!$K1026)&lt;&gt;0)),1,0)</f>
        <v>0</v>
      </c>
      <c r="AI1026" s="90" t="n">
        <f aca="false">IF(AG1026="",0,IF(MATCH(AG1026,$AG$4:$AG$1203,0)=ROW()-3,1,0))</f>
        <v>0</v>
      </c>
      <c r="AJ1026" s="90" t="n">
        <f aca="false">N(AJ1025)+AI1026</f>
        <v>4</v>
      </c>
      <c r="AK1026" s="1" t="n">
        <f aca="false">N(AK1025)+$AJ1026</f>
        <v>2964</v>
      </c>
    </row>
    <row r="1027" customFormat="false" ht="13.5" hidden="false" customHeight="false" outlineLevel="0" collapsed="false">
      <c r="A1027" s="1" t="str">
        <f aca="false">IF(对接源_01水果!$C1027="","",对接源_01水果!$C1027)</f>
        <v/>
      </c>
      <c r="B1027" s="1" t="n">
        <f aca="false">IF(A1027="",0,IF(MATCH(A1027,$A$4:$A$2403,0)=ROW()-3,1,0))</f>
        <v>0</v>
      </c>
      <c r="C1027" s="1" t="n">
        <f aca="false">N(C1026)+B1027</f>
        <v>13</v>
      </c>
      <c r="K1027" s="1" t="n">
        <f aca="false">IF(OR($K$1="",对接源_01水果!$C1027="",对接源_01水果!$C1027&lt;&gt;$K$1,对接源_01水果!$B1027=""),0,IF(OR(N(对接源_01水果!$B1027)&lt;$K$2,N(对接源_01水果!$B1027)&gt;$K$3),0,1))</f>
        <v>0</v>
      </c>
      <c r="L1027" s="1" t="n">
        <f aca="false">IF(OR($L$1="",对接源_01水果!$C1027="",对接源_01水果!$C1027&lt;&gt;$L$1,对接源_01水果!$B1027=""),0,IF(OR(N(对接源_01水果!$B1027)&lt;$L$2,N(对接源_01水果!$B1027)&gt;$L$3),0,1))</f>
        <v>0</v>
      </c>
      <c r="M1027" s="1" t="n">
        <f aca="false">IF(OR($M$1="",对接源_01水果!$C1027="",对接源_01水果!$C1027&lt;&gt;$M$1,对接源_01水果!$B1027=""),0,IF(OR(N(对接源_01水果!$B1027)&lt;$M$2,N(对接源_01水果!$B1027)&gt;$M$3),0,1))</f>
        <v>0</v>
      </c>
      <c r="N1027" s="1" t="n">
        <f aca="false">IF(OR($N$1="",对接源_01水果!$C1027="",对接源_01水果!$C1027&lt;&gt;$N$1,对接源_01水果!$B1027=""),0,IF(OR(N(对接源_01水果!$B1027)&lt;$N$2,N(对接源_01水果!$B1027)&gt;$N$3),0,1))</f>
        <v>0</v>
      </c>
      <c r="P1027" s="1" t="n">
        <f aca="false">IF(AND($K1027=1,AND(对接源_01水果!$X1027="公司筐",N(对接源_01水果!$T1027)&lt;&gt;0)),1,0)</f>
        <v>0</v>
      </c>
      <c r="Q1027" s="1" t="n">
        <f aca="false">N(Q1026)+$P1027</f>
        <v>3</v>
      </c>
      <c r="R1027" s="1" t="n">
        <f aca="false">IF(AND($K1027=1,AND(对接源_01水果!$X1027="公司筐",N(对接源_01水果!$U1027)&lt;&gt;0)),1,0)</f>
        <v>0</v>
      </c>
      <c r="S1027" s="1" t="n">
        <f aca="false">N(S1026)+$R1027</f>
        <v>0</v>
      </c>
      <c r="T1027" s="1" t="n">
        <f aca="false">IF(AND($K1027=1,AND(对接源_01水果!$X1027="公司筐",N(对接源_01水果!$V1027)&lt;&gt;0)),1,0)</f>
        <v>0</v>
      </c>
      <c r="U1027" s="1" t="n">
        <f aca="false">N(U1026)+$T1027</f>
        <v>28</v>
      </c>
      <c r="V1027" s="1" t="n">
        <f aca="false">IF(AND($L1027=1,AND(对接源_01水果!$X1027="自备筐",N(对接源_01水果!$V1027)&lt;&gt;0)),1,0)</f>
        <v>0</v>
      </c>
      <c r="W1027" s="1" t="n">
        <f aca="false">N(W1026)+$V1027</f>
        <v>7</v>
      </c>
      <c r="X1027" s="1" t="n">
        <f aca="false">IF(AND($L1027=1,AND(对接源_01水果!$X1027="自备筐",N(对接源_01水果!$T1027)&lt;&gt;0)),1,0)</f>
        <v>0</v>
      </c>
      <c r="Y1027" s="1" t="n">
        <f aca="false">N(Y1026)+$X1027</f>
        <v>0</v>
      </c>
      <c r="Z1027" s="1" t="n">
        <f aca="false">IF(AND($M1027=1,对接源_01水果!$D1027="原料入库"),1,0)</f>
        <v>0</v>
      </c>
      <c r="AA1027" s="1" t="n">
        <f aca="false">N(AA1026)+$Z1027</f>
        <v>30</v>
      </c>
      <c r="AB1027" s="1" t="n">
        <f aca="false">IF(AND($M1027=1,LEFT(对接源_01水果!$D1027,4)="原料出库"),1,0)</f>
        <v>0</v>
      </c>
      <c r="AC1027" s="1" t="n">
        <f aca="false">N(AC1026)+$AB1027</f>
        <v>19</v>
      </c>
      <c r="AD1027" s="1" t="n">
        <f aca="false">IF(AND($M1027=1,LEFT(对接源_01水果!$D1027,4)="成品出库"),1,0)</f>
        <v>0</v>
      </c>
      <c r="AE1027" s="1" t="n">
        <f aca="false">N(AE1026)+$AD1027</f>
        <v>38</v>
      </c>
      <c r="AF1027" s="1" t="n">
        <f aca="false">IF(AND($N1027=1,AND(LEFT(对接源_01水果!$D1027,4)="包装物料",N(对接源_01水果!$K1027)&lt;&gt;0)),1,0)</f>
        <v>0</v>
      </c>
      <c r="AG1027" s="90" t="str">
        <f aca="false">IF(对接源_01水果!$AC1027="","",对接源_01水果!$AC1027)</f>
        <v/>
      </c>
      <c r="AH1027" s="1" t="n">
        <f aca="false">IF(AND($N1027=1,AND(LEFT(对接源_01水果!$D1027,3)="周转筐",N(对接源_01水果!$K1027)&lt;&gt;0)),1,0)</f>
        <v>0</v>
      </c>
      <c r="AI1027" s="90" t="n">
        <f aca="false">IF(AG1027="",0,IF(MATCH(AG1027,$AG$4:$AG$1203,0)=ROW()-3,1,0))</f>
        <v>0</v>
      </c>
      <c r="AJ1027" s="90" t="n">
        <f aca="false">N(AJ1026)+AI1027</f>
        <v>4</v>
      </c>
      <c r="AK1027" s="1" t="n">
        <f aca="false">N(AK1026)+$AJ1027</f>
        <v>2968</v>
      </c>
    </row>
    <row r="1028" customFormat="false" ht="13.5" hidden="false" customHeight="false" outlineLevel="0" collapsed="false">
      <c r="A1028" s="1" t="str">
        <f aca="false">IF(对接源_01水果!$C1028="","",对接源_01水果!$C1028)</f>
        <v/>
      </c>
      <c r="B1028" s="1" t="n">
        <f aca="false">IF(A1028="",0,IF(MATCH(A1028,$A$4:$A$2403,0)=ROW()-3,1,0))</f>
        <v>0</v>
      </c>
      <c r="C1028" s="1" t="n">
        <f aca="false">N(C1027)+B1028</f>
        <v>13</v>
      </c>
      <c r="K1028" s="1" t="n">
        <f aca="false">IF(OR($K$1="",对接源_01水果!$C1028="",对接源_01水果!$C1028&lt;&gt;$K$1,对接源_01水果!$B1028=""),0,IF(OR(N(对接源_01水果!$B1028)&lt;$K$2,N(对接源_01水果!$B1028)&gt;$K$3),0,1))</f>
        <v>0</v>
      </c>
      <c r="L1028" s="1" t="n">
        <f aca="false">IF(OR($L$1="",对接源_01水果!$C1028="",对接源_01水果!$C1028&lt;&gt;$L$1,对接源_01水果!$B1028=""),0,IF(OR(N(对接源_01水果!$B1028)&lt;$L$2,N(对接源_01水果!$B1028)&gt;$L$3),0,1))</f>
        <v>0</v>
      </c>
      <c r="M1028" s="1" t="n">
        <f aca="false">IF(OR($M$1="",对接源_01水果!$C1028="",对接源_01水果!$C1028&lt;&gt;$M$1,对接源_01水果!$B1028=""),0,IF(OR(N(对接源_01水果!$B1028)&lt;$M$2,N(对接源_01水果!$B1028)&gt;$M$3),0,1))</f>
        <v>0</v>
      </c>
      <c r="N1028" s="1" t="n">
        <f aca="false">IF(OR($N$1="",对接源_01水果!$C1028="",对接源_01水果!$C1028&lt;&gt;$N$1,对接源_01水果!$B1028=""),0,IF(OR(N(对接源_01水果!$B1028)&lt;$N$2,N(对接源_01水果!$B1028)&gt;$N$3),0,1))</f>
        <v>0</v>
      </c>
      <c r="P1028" s="1" t="n">
        <f aca="false">IF(AND($K1028=1,AND(对接源_01水果!$X1028="公司筐",N(对接源_01水果!$T1028)&lt;&gt;0)),1,0)</f>
        <v>0</v>
      </c>
      <c r="Q1028" s="1" t="n">
        <f aca="false">N(Q1027)+$P1028</f>
        <v>3</v>
      </c>
      <c r="R1028" s="1" t="n">
        <f aca="false">IF(AND($K1028=1,AND(对接源_01水果!$X1028="公司筐",N(对接源_01水果!$U1028)&lt;&gt;0)),1,0)</f>
        <v>0</v>
      </c>
      <c r="S1028" s="1" t="n">
        <f aca="false">N(S1027)+$R1028</f>
        <v>0</v>
      </c>
      <c r="T1028" s="1" t="n">
        <f aca="false">IF(AND($K1028=1,AND(对接源_01水果!$X1028="公司筐",N(对接源_01水果!$V1028)&lt;&gt;0)),1,0)</f>
        <v>0</v>
      </c>
      <c r="U1028" s="1" t="n">
        <f aca="false">N(U1027)+$T1028</f>
        <v>28</v>
      </c>
      <c r="V1028" s="1" t="n">
        <f aca="false">IF(AND($L1028=1,AND(对接源_01水果!$X1028="自备筐",N(对接源_01水果!$V1028)&lt;&gt;0)),1,0)</f>
        <v>0</v>
      </c>
      <c r="W1028" s="1" t="n">
        <f aca="false">N(W1027)+$V1028</f>
        <v>7</v>
      </c>
      <c r="X1028" s="1" t="n">
        <f aca="false">IF(AND($L1028=1,AND(对接源_01水果!$X1028="自备筐",N(对接源_01水果!$T1028)&lt;&gt;0)),1,0)</f>
        <v>0</v>
      </c>
      <c r="Y1028" s="1" t="n">
        <f aca="false">N(Y1027)+$X1028</f>
        <v>0</v>
      </c>
      <c r="Z1028" s="1" t="n">
        <f aca="false">IF(AND($M1028=1,对接源_01水果!$D1028="原料入库"),1,0)</f>
        <v>0</v>
      </c>
      <c r="AA1028" s="1" t="n">
        <f aca="false">N(AA1027)+$Z1028</f>
        <v>30</v>
      </c>
      <c r="AB1028" s="1" t="n">
        <f aca="false">IF(AND($M1028=1,LEFT(对接源_01水果!$D1028,4)="原料出库"),1,0)</f>
        <v>0</v>
      </c>
      <c r="AC1028" s="1" t="n">
        <f aca="false">N(AC1027)+$AB1028</f>
        <v>19</v>
      </c>
      <c r="AD1028" s="1" t="n">
        <f aca="false">IF(AND($M1028=1,LEFT(对接源_01水果!$D1028,4)="成品出库"),1,0)</f>
        <v>0</v>
      </c>
      <c r="AE1028" s="1" t="n">
        <f aca="false">N(AE1027)+$AD1028</f>
        <v>38</v>
      </c>
      <c r="AF1028" s="1" t="n">
        <f aca="false">IF(AND($N1028=1,AND(LEFT(对接源_01水果!$D1028,4)="包装物料",N(对接源_01水果!$K1028)&lt;&gt;0)),1,0)</f>
        <v>0</v>
      </c>
      <c r="AG1028" s="90" t="str">
        <f aca="false">IF(对接源_01水果!$AC1028="","",对接源_01水果!$AC1028)</f>
        <v/>
      </c>
      <c r="AH1028" s="1" t="n">
        <f aca="false">IF(AND($N1028=1,AND(LEFT(对接源_01水果!$D1028,3)="周转筐",N(对接源_01水果!$K1028)&lt;&gt;0)),1,0)</f>
        <v>0</v>
      </c>
      <c r="AI1028" s="90" t="n">
        <f aca="false">IF(AG1028="",0,IF(MATCH(AG1028,$AG$4:$AG$1203,0)=ROW()-3,1,0))</f>
        <v>0</v>
      </c>
      <c r="AJ1028" s="90" t="n">
        <f aca="false">N(AJ1027)+AI1028</f>
        <v>4</v>
      </c>
      <c r="AK1028" s="1" t="n">
        <f aca="false">N(AK1027)+$AJ1028</f>
        <v>2972</v>
      </c>
    </row>
    <row r="1029" customFormat="false" ht="13.5" hidden="false" customHeight="false" outlineLevel="0" collapsed="false">
      <c r="A1029" s="1" t="str">
        <f aca="false">IF(对接源_01水果!$C1029="","",对接源_01水果!$C1029)</f>
        <v/>
      </c>
      <c r="B1029" s="1" t="n">
        <f aca="false">IF(A1029="",0,IF(MATCH(A1029,$A$4:$A$2403,0)=ROW()-3,1,0))</f>
        <v>0</v>
      </c>
      <c r="C1029" s="1" t="n">
        <f aca="false">N(C1028)+B1029</f>
        <v>13</v>
      </c>
      <c r="K1029" s="1" t="n">
        <f aca="false">IF(OR($K$1="",对接源_01水果!$C1029="",对接源_01水果!$C1029&lt;&gt;$K$1,对接源_01水果!$B1029=""),0,IF(OR(N(对接源_01水果!$B1029)&lt;$K$2,N(对接源_01水果!$B1029)&gt;$K$3),0,1))</f>
        <v>0</v>
      </c>
      <c r="L1029" s="1" t="n">
        <f aca="false">IF(OR($L$1="",对接源_01水果!$C1029="",对接源_01水果!$C1029&lt;&gt;$L$1,对接源_01水果!$B1029=""),0,IF(OR(N(对接源_01水果!$B1029)&lt;$L$2,N(对接源_01水果!$B1029)&gt;$L$3),0,1))</f>
        <v>0</v>
      </c>
      <c r="M1029" s="1" t="n">
        <f aca="false">IF(OR($M$1="",对接源_01水果!$C1029="",对接源_01水果!$C1029&lt;&gt;$M$1,对接源_01水果!$B1029=""),0,IF(OR(N(对接源_01水果!$B1029)&lt;$M$2,N(对接源_01水果!$B1029)&gt;$M$3),0,1))</f>
        <v>0</v>
      </c>
      <c r="N1029" s="1" t="n">
        <f aca="false">IF(OR($N$1="",对接源_01水果!$C1029="",对接源_01水果!$C1029&lt;&gt;$N$1,对接源_01水果!$B1029=""),0,IF(OR(N(对接源_01水果!$B1029)&lt;$N$2,N(对接源_01水果!$B1029)&gt;$N$3),0,1))</f>
        <v>0</v>
      </c>
      <c r="P1029" s="1" t="n">
        <f aca="false">IF(AND($K1029=1,AND(对接源_01水果!$X1029="公司筐",N(对接源_01水果!$T1029)&lt;&gt;0)),1,0)</f>
        <v>0</v>
      </c>
      <c r="Q1029" s="1" t="n">
        <f aca="false">N(Q1028)+$P1029</f>
        <v>3</v>
      </c>
      <c r="R1029" s="1" t="n">
        <f aca="false">IF(AND($K1029=1,AND(对接源_01水果!$X1029="公司筐",N(对接源_01水果!$U1029)&lt;&gt;0)),1,0)</f>
        <v>0</v>
      </c>
      <c r="S1029" s="1" t="n">
        <f aca="false">N(S1028)+$R1029</f>
        <v>0</v>
      </c>
      <c r="T1029" s="1" t="n">
        <f aca="false">IF(AND($K1029=1,AND(对接源_01水果!$X1029="公司筐",N(对接源_01水果!$V1029)&lt;&gt;0)),1,0)</f>
        <v>0</v>
      </c>
      <c r="U1029" s="1" t="n">
        <f aca="false">N(U1028)+$T1029</f>
        <v>28</v>
      </c>
      <c r="V1029" s="1" t="n">
        <f aca="false">IF(AND($L1029=1,AND(对接源_01水果!$X1029="自备筐",N(对接源_01水果!$V1029)&lt;&gt;0)),1,0)</f>
        <v>0</v>
      </c>
      <c r="W1029" s="1" t="n">
        <f aca="false">N(W1028)+$V1029</f>
        <v>7</v>
      </c>
      <c r="X1029" s="1" t="n">
        <f aca="false">IF(AND($L1029=1,AND(对接源_01水果!$X1029="自备筐",N(对接源_01水果!$T1029)&lt;&gt;0)),1,0)</f>
        <v>0</v>
      </c>
      <c r="Y1029" s="1" t="n">
        <f aca="false">N(Y1028)+$X1029</f>
        <v>0</v>
      </c>
      <c r="Z1029" s="1" t="n">
        <f aca="false">IF(AND($M1029=1,对接源_01水果!$D1029="原料入库"),1,0)</f>
        <v>0</v>
      </c>
      <c r="AA1029" s="1" t="n">
        <f aca="false">N(AA1028)+$Z1029</f>
        <v>30</v>
      </c>
      <c r="AB1029" s="1" t="n">
        <f aca="false">IF(AND($M1029=1,LEFT(对接源_01水果!$D1029,4)="原料出库"),1,0)</f>
        <v>0</v>
      </c>
      <c r="AC1029" s="1" t="n">
        <f aca="false">N(AC1028)+$AB1029</f>
        <v>19</v>
      </c>
      <c r="AD1029" s="1" t="n">
        <f aca="false">IF(AND($M1029=1,LEFT(对接源_01水果!$D1029,4)="成品出库"),1,0)</f>
        <v>0</v>
      </c>
      <c r="AE1029" s="1" t="n">
        <f aca="false">N(AE1028)+$AD1029</f>
        <v>38</v>
      </c>
      <c r="AF1029" s="1" t="n">
        <f aca="false">IF(AND($N1029=1,AND(LEFT(对接源_01水果!$D1029,4)="包装物料",N(对接源_01水果!$K1029)&lt;&gt;0)),1,0)</f>
        <v>0</v>
      </c>
      <c r="AG1029" s="90" t="str">
        <f aca="false">IF(对接源_01水果!$AC1029="","",对接源_01水果!$AC1029)</f>
        <v/>
      </c>
      <c r="AH1029" s="1" t="n">
        <f aca="false">IF(AND($N1029=1,AND(LEFT(对接源_01水果!$D1029,3)="周转筐",N(对接源_01水果!$K1029)&lt;&gt;0)),1,0)</f>
        <v>0</v>
      </c>
      <c r="AI1029" s="90" t="n">
        <f aca="false">IF(AG1029="",0,IF(MATCH(AG1029,$AG$4:$AG$1203,0)=ROW()-3,1,0))</f>
        <v>0</v>
      </c>
      <c r="AJ1029" s="90" t="n">
        <f aca="false">N(AJ1028)+AI1029</f>
        <v>4</v>
      </c>
      <c r="AK1029" s="1" t="n">
        <f aca="false">N(AK1028)+$AJ1029</f>
        <v>2976</v>
      </c>
    </row>
    <row r="1030" customFormat="false" ht="13.5" hidden="false" customHeight="false" outlineLevel="0" collapsed="false">
      <c r="A1030" s="1" t="str">
        <f aca="false">IF(对接源_01水果!$C1030="","",对接源_01水果!$C1030)</f>
        <v/>
      </c>
      <c r="B1030" s="1" t="n">
        <f aca="false">IF(A1030="",0,IF(MATCH(A1030,$A$4:$A$2403,0)=ROW()-3,1,0))</f>
        <v>0</v>
      </c>
      <c r="C1030" s="1" t="n">
        <f aca="false">N(C1029)+B1030</f>
        <v>13</v>
      </c>
      <c r="K1030" s="1" t="n">
        <f aca="false">IF(OR($K$1="",对接源_01水果!$C1030="",对接源_01水果!$C1030&lt;&gt;$K$1,对接源_01水果!$B1030=""),0,IF(OR(N(对接源_01水果!$B1030)&lt;$K$2,N(对接源_01水果!$B1030)&gt;$K$3),0,1))</f>
        <v>0</v>
      </c>
      <c r="L1030" s="1" t="n">
        <f aca="false">IF(OR($L$1="",对接源_01水果!$C1030="",对接源_01水果!$C1030&lt;&gt;$L$1,对接源_01水果!$B1030=""),0,IF(OR(N(对接源_01水果!$B1030)&lt;$L$2,N(对接源_01水果!$B1030)&gt;$L$3),0,1))</f>
        <v>0</v>
      </c>
      <c r="M1030" s="1" t="n">
        <f aca="false">IF(OR($M$1="",对接源_01水果!$C1030="",对接源_01水果!$C1030&lt;&gt;$M$1,对接源_01水果!$B1030=""),0,IF(OR(N(对接源_01水果!$B1030)&lt;$M$2,N(对接源_01水果!$B1030)&gt;$M$3),0,1))</f>
        <v>0</v>
      </c>
      <c r="N1030" s="1" t="n">
        <f aca="false">IF(OR($N$1="",对接源_01水果!$C1030="",对接源_01水果!$C1030&lt;&gt;$N$1,对接源_01水果!$B1030=""),0,IF(OR(N(对接源_01水果!$B1030)&lt;$N$2,N(对接源_01水果!$B1030)&gt;$N$3),0,1))</f>
        <v>0</v>
      </c>
      <c r="P1030" s="1" t="n">
        <f aca="false">IF(AND($K1030=1,AND(对接源_01水果!$X1030="公司筐",N(对接源_01水果!$T1030)&lt;&gt;0)),1,0)</f>
        <v>0</v>
      </c>
      <c r="Q1030" s="1" t="n">
        <f aca="false">N(Q1029)+$P1030</f>
        <v>3</v>
      </c>
      <c r="R1030" s="1" t="n">
        <f aca="false">IF(AND($K1030=1,AND(对接源_01水果!$X1030="公司筐",N(对接源_01水果!$U1030)&lt;&gt;0)),1,0)</f>
        <v>0</v>
      </c>
      <c r="S1030" s="1" t="n">
        <f aca="false">N(S1029)+$R1030</f>
        <v>0</v>
      </c>
      <c r="T1030" s="1" t="n">
        <f aca="false">IF(AND($K1030=1,AND(对接源_01水果!$X1030="公司筐",N(对接源_01水果!$V1030)&lt;&gt;0)),1,0)</f>
        <v>0</v>
      </c>
      <c r="U1030" s="1" t="n">
        <f aca="false">N(U1029)+$T1030</f>
        <v>28</v>
      </c>
      <c r="V1030" s="1" t="n">
        <f aca="false">IF(AND($L1030=1,AND(对接源_01水果!$X1030="自备筐",N(对接源_01水果!$V1030)&lt;&gt;0)),1,0)</f>
        <v>0</v>
      </c>
      <c r="W1030" s="1" t="n">
        <f aca="false">N(W1029)+$V1030</f>
        <v>7</v>
      </c>
      <c r="X1030" s="1" t="n">
        <f aca="false">IF(AND($L1030=1,AND(对接源_01水果!$X1030="自备筐",N(对接源_01水果!$T1030)&lt;&gt;0)),1,0)</f>
        <v>0</v>
      </c>
      <c r="Y1030" s="1" t="n">
        <f aca="false">N(Y1029)+$X1030</f>
        <v>0</v>
      </c>
      <c r="Z1030" s="1" t="n">
        <f aca="false">IF(AND($M1030=1,对接源_01水果!$D1030="原料入库"),1,0)</f>
        <v>0</v>
      </c>
      <c r="AA1030" s="1" t="n">
        <f aca="false">N(AA1029)+$Z1030</f>
        <v>30</v>
      </c>
      <c r="AB1030" s="1" t="n">
        <f aca="false">IF(AND($M1030=1,LEFT(对接源_01水果!$D1030,4)="原料出库"),1,0)</f>
        <v>0</v>
      </c>
      <c r="AC1030" s="1" t="n">
        <f aca="false">N(AC1029)+$AB1030</f>
        <v>19</v>
      </c>
      <c r="AD1030" s="1" t="n">
        <f aca="false">IF(AND($M1030=1,LEFT(对接源_01水果!$D1030,4)="成品出库"),1,0)</f>
        <v>0</v>
      </c>
      <c r="AE1030" s="1" t="n">
        <f aca="false">N(AE1029)+$AD1030</f>
        <v>38</v>
      </c>
      <c r="AF1030" s="1" t="n">
        <f aca="false">IF(AND($N1030=1,AND(LEFT(对接源_01水果!$D1030,4)="包装物料",N(对接源_01水果!$K1030)&lt;&gt;0)),1,0)</f>
        <v>0</v>
      </c>
      <c r="AG1030" s="90" t="str">
        <f aca="false">IF(对接源_01水果!$AC1030="","",对接源_01水果!$AC1030)</f>
        <v/>
      </c>
      <c r="AH1030" s="1" t="n">
        <f aca="false">IF(AND($N1030=1,AND(LEFT(对接源_01水果!$D1030,3)="周转筐",N(对接源_01水果!$K1030)&lt;&gt;0)),1,0)</f>
        <v>0</v>
      </c>
      <c r="AI1030" s="90" t="n">
        <f aca="false">IF(AG1030="",0,IF(MATCH(AG1030,$AG$4:$AG$1203,0)=ROW()-3,1,0))</f>
        <v>0</v>
      </c>
      <c r="AJ1030" s="90" t="n">
        <f aca="false">N(AJ1029)+AI1030</f>
        <v>4</v>
      </c>
      <c r="AK1030" s="1" t="n">
        <f aca="false">N(AK1029)+$AJ1030</f>
        <v>2980</v>
      </c>
    </row>
    <row r="1031" customFormat="false" ht="13.5" hidden="false" customHeight="false" outlineLevel="0" collapsed="false">
      <c r="A1031" s="1" t="str">
        <f aca="false">IF(对接源_01水果!$C1031="","",对接源_01水果!$C1031)</f>
        <v/>
      </c>
      <c r="B1031" s="1" t="n">
        <f aca="false">IF(A1031="",0,IF(MATCH(A1031,$A$4:$A$2403,0)=ROW()-3,1,0))</f>
        <v>0</v>
      </c>
      <c r="C1031" s="1" t="n">
        <f aca="false">N(C1030)+B1031</f>
        <v>13</v>
      </c>
      <c r="K1031" s="1" t="n">
        <f aca="false">IF(OR($K$1="",对接源_01水果!$C1031="",对接源_01水果!$C1031&lt;&gt;$K$1,对接源_01水果!$B1031=""),0,IF(OR(N(对接源_01水果!$B1031)&lt;$K$2,N(对接源_01水果!$B1031)&gt;$K$3),0,1))</f>
        <v>0</v>
      </c>
      <c r="L1031" s="1" t="n">
        <f aca="false">IF(OR($L$1="",对接源_01水果!$C1031="",对接源_01水果!$C1031&lt;&gt;$L$1,对接源_01水果!$B1031=""),0,IF(OR(N(对接源_01水果!$B1031)&lt;$L$2,N(对接源_01水果!$B1031)&gt;$L$3),0,1))</f>
        <v>0</v>
      </c>
      <c r="M1031" s="1" t="n">
        <f aca="false">IF(OR($M$1="",对接源_01水果!$C1031="",对接源_01水果!$C1031&lt;&gt;$M$1,对接源_01水果!$B1031=""),0,IF(OR(N(对接源_01水果!$B1031)&lt;$M$2,N(对接源_01水果!$B1031)&gt;$M$3),0,1))</f>
        <v>0</v>
      </c>
      <c r="N1031" s="1" t="n">
        <f aca="false">IF(OR($N$1="",对接源_01水果!$C1031="",对接源_01水果!$C1031&lt;&gt;$N$1,对接源_01水果!$B1031=""),0,IF(OR(N(对接源_01水果!$B1031)&lt;$N$2,N(对接源_01水果!$B1031)&gt;$N$3),0,1))</f>
        <v>0</v>
      </c>
      <c r="P1031" s="1" t="n">
        <f aca="false">IF(AND($K1031=1,AND(对接源_01水果!$X1031="公司筐",N(对接源_01水果!$T1031)&lt;&gt;0)),1,0)</f>
        <v>0</v>
      </c>
      <c r="Q1031" s="1" t="n">
        <f aca="false">N(Q1030)+$P1031</f>
        <v>3</v>
      </c>
      <c r="R1031" s="1" t="n">
        <f aca="false">IF(AND($K1031=1,AND(对接源_01水果!$X1031="公司筐",N(对接源_01水果!$U1031)&lt;&gt;0)),1,0)</f>
        <v>0</v>
      </c>
      <c r="S1031" s="1" t="n">
        <f aca="false">N(S1030)+$R1031</f>
        <v>0</v>
      </c>
      <c r="T1031" s="1" t="n">
        <f aca="false">IF(AND($K1031=1,AND(对接源_01水果!$X1031="公司筐",N(对接源_01水果!$V1031)&lt;&gt;0)),1,0)</f>
        <v>0</v>
      </c>
      <c r="U1031" s="1" t="n">
        <f aca="false">N(U1030)+$T1031</f>
        <v>28</v>
      </c>
      <c r="V1031" s="1" t="n">
        <f aca="false">IF(AND($L1031=1,AND(对接源_01水果!$X1031="自备筐",N(对接源_01水果!$V1031)&lt;&gt;0)),1,0)</f>
        <v>0</v>
      </c>
      <c r="W1031" s="1" t="n">
        <f aca="false">N(W1030)+$V1031</f>
        <v>7</v>
      </c>
      <c r="X1031" s="1" t="n">
        <f aca="false">IF(AND($L1031=1,AND(对接源_01水果!$X1031="自备筐",N(对接源_01水果!$T1031)&lt;&gt;0)),1,0)</f>
        <v>0</v>
      </c>
      <c r="Y1031" s="1" t="n">
        <f aca="false">N(Y1030)+$X1031</f>
        <v>0</v>
      </c>
      <c r="Z1031" s="1" t="n">
        <f aca="false">IF(AND($M1031=1,对接源_01水果!$D1031="原料入库"),1,0)</f>
        <v>0</v>
      </c>
      <c r="AA1031" s="1" t="n">
        <f aca="false">N(AA1030)+$Z1031</f>
        <v>30</v>
      </c>
      <c r="AB1031" s="1" t="n">
        <f aca="false">IF(AND($M1031=1,LEFT(对接源_01水果!$D1031,4)="原料出库"),1,0)</f>
        <v>0</v>
      </c>
      <c r="AC1031" s="1" t="n">
        <f aca="false">N(AC1030)+$AB1031</f>
        <v>19</v>
      </c>
      <c r="AD1031" s="1" t="n">
        <f aca="false">IF(AND($M1031=1,LEFT(对接源_01水果!$D1031,4)="成品出库"),1,0)</f>
        <v>0</v>
      </c>
      <c r="AE1031" s="1" t="n">
        <f aca="false">N(AE1030)+$AD1031</f>
        <v>38</v>
      </c>
      <c r="AF1031" s="1" t="n">
        <f aca="false">IF(AND($N1031=1,AND(LEFT(对接源_01水果!$D1031,4)="包装物料",N(对接源_01水果!$K1031)&lt;&gt;0)),1,0)</f>
        <v>0</v>
      </c>
      <c r="AG1031" s="90" t="str">
        <f aca="false">IF(对接源_01水果!$AC1031="","",对接源_01水果!$AC1031)</f>
        <v/>
      </c>
      <c r="AH1031" s="1" t="n">
        <f aca="false">IF(AND($N1031=1,AND(LEFT(对接源_01水果!$D1031,3)="周转筐",N(对接源_01水果!$K1031)&lt;&gt;0)),1,0)</f>
        <v>0</v>
      </c>
      <c r="AI1031" s="90" t="n">
        <f aca="false">IF(AG1031="",0,IF(MATCH(AG1031,$AG$4:$AG$1203,0)=ROW()-3,1,0))</f>
        <v>0</v>
      </c>
      <c r="AJ1031" s="90" t="n">
        <f aca="false">N(AJ1030)+AI1031</f>
        <v>4</v>
      </c>
      <c r="AK1031" s="1" t="n">
        <f aca="false">N(AK1030)+$AJ1031</f>
        <v>2984</v>
      </c>
    </row>
    <row r="1032" customFormat="false" ht="13.5" hidden="false" customHeight="false" outlineLevel="0" collapsed="false">
      <c r="A1032" s="1" t="str">
        <f aca="false">IF(对接源_01水果!$C1032="","",对接源_01水果!$C1032)</f>
        <v/>
      </c>
      <c r="B1032" s="1" t="n">
        <f aca="false">IF(A1032="",0,IF(MATCH(A1032,$A$4:$A$2403,0)=ROW()-3,1,0))</f>
        <v>0</v>
      </c>
      <c r="C1032" s="1" t="n">
        <f aca="false">N(C1031)+B1032</f>
        <v>13</v>
      </c>
      <c r="K1032" s="1" t="n">
        <f aca="false">IF(OR($K$1="",对接源_01水果!$C1032="",对接源_01水果!$C1032&lt;&gt;$K$1,对接源_01水果!$B1032=""),0,IF(OR(N(对接源_01水果!$B1032)&lt;$K$2,N(对接源_01水果!$B1032)&gt;$K$3),0,1))</f>
        <v>0</v>
      </c>
      <c r="L1032" s="1" t="n">
        <f aca="false">IF(OR($L$1="",对接源_01水果!$C1032="",对接源_01水果!$C1032&lt;&gt;$L$1,对接源_01水果!$B1032=""),0,IF(OR(N(对接源_01水果!$B1032)&lt;$L$2,N(对接源_01水果!$B1032)&gt;$L$3),0,1))</f>
        <v>0</v>
      </c>
      <c r="M1032" s="1" t="n">
        <f aca="false">IF(OR($M$1="",对接源_01水果!$C1032="",对接源_01水果!$C1032&lt;&gt;$M$1,对接源_01水果!$B1032=""),0,IF(OR(N(对接源_01水果!$B1032)&lt;$M$2,N(对接源_01水果!$B1032)&gt;$M$3),0,1))</f>
        <v>0</v>
      </c>
      <c r="N1032" s="1" t="n">
        <f aca="false">IF(OR($N$1="",对接源_01水果!$C1032="",对接源_01水果!$C1032&lt;&gt;$N$1,对接源_01水果!$B1032=""),0,IF(OR(N(对接源_01水果!$B1032)&lt;$N$2,N(对接源_01水果!$B1032)&gt;$N$3),0,1))</f>
        <v>0</v>
      </c>
      <c r="P1032" s="1" t="n">
        <f aca="false">IF(AND($K1032=1,AND(对接源_01水果!$X1032="公司筐",N(对接源_01水果!$T1032)&lt;&gt;0)),1,0)</f>
        <v>0</v>
      </c>
      <c r="Q1032" s="1" t="n">
        <f aca="false">N(Q1031)+$P1032</f>
        <v>3</v>
      </c>
      <c r="R1032" s="1" t="n">
        <f aca="false">IF(AND($K1032=1,AND(对接源_01水果!$X1032="公司筐",N(对接源_01水果!$U1032)&lt;&gt;0)),1,0)</f>
        <v>0</v>
      </c>
      <c r="S1032" s="1" t="n">
        <f aca="false">N(S1031)+$R1032</f>
        <v>0</v>
      </c>
      <c r="T1032" s="1" t="n">
        <f aca="false">IF(AND($K1032=1,AND(对接源_01水果!$X1032="公司筐",N(对接源_01水果!$V1032)&lt;&gt;0)),1,0)</f>
        <v>0</v>
      </c>
      <c r="U1032" s="1" t="n">
        <f aca="false">N(U1031)+$T1032</f>
        <v>28</v>
      </c>
      <c r="V1032" s="1" t="n">
        <f aca="false">IF(AND($L1032=1,AND(对接源_01水果!$X1032="自备筐",N(对接源_01水果!$V1032)&lt;&gt;0)),1,0)</f>
        <v>0</v>
      </c>
      <c r="W1032" s="1" t="n">
        <f aca="false">N(W1031)+$V1032</f>
        <v>7</v>
      </c>
      <c r="X1032" s="1" t="n">
        <f aca="false">IF(AND($L1032=1,AND(对接源_01水果!$X1032="自备筐",N(对接源_01水果!$T1032)&lt;&gt;0)),1,0)</f>
        <v>0</v>
      </c>
      <c r="Y1032" s="1" t="n">
        <f aca="false">N(Y1031)+$X1032</f>
        <v>0</v>
      </c>
      <c r="Z1032" s="1" t="n">
        <f aca="false">IF(AND($M1032=1,对接源_01水果!$D1032="原料入库"),1,0)</f>
        <v>0</v>
      </c>
      <c r="AA1032" s="1" t="n">
        <f aca="false">N(AA1031)+$Z1032</f>
        <v>30</v>
      </c>
      <c r="AB1032" s="1" t="n">
        <f aca="false">IF(AND($M1032=1,LEFT(对接源_01水果!$D1032,4)="原料出库"),1,0)</f>
        <v>0</v>
      </c>
      <c r="AC1032" s="1" t="n">
        <f aca="false">N(AC1031)+$AB1032</f>
        <v>19</v>
      </c>
      <c r="AD1032" s="1" t="n">
        <f aca="false">IF(AND($M1032=1,LEFT(对接源_01水果!$D1032,4)="成品出库"),1,0)</f>
        <v>0</v>
      </c>
      <c r="AE1032" s="1" t="n">
        <f aca="false">N(AE1031)+$AD1032</f>
        <v>38</v>
      </c>
      <c r="AF1032" s="1" t="n">
        <f aca="false">IF(AND($N1032=1,AND(LEFT(对接源_01水果!$D1032,4)="包装物料",N(对接源_01水果!$K1032)&lt;&gt;0)),1,0)</f>
        <v>0</v>
      </c>
      <c r="AG1032" s="90" t="str">
        <f aca="false">IF(对接源_01水果!$AC1032="","",对接源_01水果!$AC1032)</f>
        <v/>
      </c>
      <c r="AH1032" s="1" t="n">
        <f aca="false">IF(AND($N1032=1,AND(LEFT(对接源_01水果!$D1032,3)="周转筐",N(对接源_01水果!$K1032)&lt;&gt;0)),1,0)</f>
        <v>0</v>
      </c>
      <c r="AI1032" s="90" t="n">
        <f aca="false">IF(AG1032="",0,IF(MATCH(AG1032,$AG$4:$AG$1203,0)=ROW()-3,1,0))</f>
        <v>0</v>
      </c>
      <c r="AJ1032" s="90" t="n">
        <f aca="false">N(AJ1031)+AI1032</f>
        <v>4</v>
      </c>
      <c r="AK1032" s="1" t="n">
        <f aca="false">N(AK1031)+$AJ1032</f>
        <v>2988</v>
      </c>
    </row>
    <row r="1033" customFormat="false" ht="13.5" hidden="false" customHeight="false" outlineLevel="0" collapsed="false">
      <c r="A1033" s="1" t="str">
        <f aca="false">IF(对接源_01水果!$C1033="","",对接源_01水果!$C1033)</f>
        <v/>
      </c>
      <c r="B1033" s="1" t="n">
        <f aca="false">IF(A1033="",0,IF(MATCH(A1033,$A$4:$A$2403,0)=ROW()-3,1,0))</f>
        <v>0</v>
      </c>
      <c r="C1033" s="1" t="n">
        <f aca="false">N(C1032)+B1033</f>
        <v>13</v>
      </c>
      <c r="K1033" s="1" t="n">
        <f aca="false">IF(OR($K$1="",对接源_01水果!$C1033="",对接源_01水果!$C1033&lt;&gt;$K$1,对接源_01水果!$B1033=""),0,IF(OR(N(对接源_01水果!$B1033)&lt;$K$2,N(对接源_01水果!$B1033)&gt;$K$3),0,1))</f>
        <v>0</v>
      </c>
      <c r="L1033" s="1" t="n">
        <f aca="false">IF(OR($L$1="",对接源_01水果!$C1033="",对接源_01水果!$C1033&lt;&gt;$L$1,对接源_01水果!$B1033=""),0,IF(OR(N(对接源_01水果!$B1033)&lt;$L$2,N(对接源_01水果!$B1033)&gt;$L$3),0,1))</f>
        <v>0</v>
      </c>
      <c r="M1033" s="1" t="n">
        <f aca="false">IF(OR($M$1="",对接源_01水果!$C1033="",对接源_01水果!$C1033&lt;&gt;$M$1,对接源_01水果!$B1033=""),0,IF(OR(N(对接源_01水果!$B1033)&lt;$M$2,N(对接源_01水果!$B1033)&gt;$M$3),0,1))</f>
        <v>0</v>
      </c>
      <c r="N1033" s="1" t="n">
        <f aca="false">IF(OR($N$1="",对接源_01水果!$C1033="",对接源_01水果!$C1033&lt;&gt;$N$1,对接源_01水果!$B1033=""),0,IF(OR(N(对接源_01水果!$B1033)&lt;$N$2,N(对接源_01水果!$B1033)&gt;$N$3),0,1))</f>
        <v>0</v>
      </c>
      <c r="P1033" s="1" t="n">
        <f aca="false">IF(AND($K1033=1,AND(对接源_01水果!$X1033="公司筐",N(对接源_01水果!$T1033)&lt;&gt;0)),1,0)</f>
        <v>0</v>
      </c>
      <c r="Q1033" s="1" t="n">
        <f aca="false">N(Q1032)+$P1033</f>
        <v>3</v>
      </c>
      <c r="R1033" s="1" t="n">
        <f aca="false">IF(AND($K1033=1,AND(对接源_01水果!$X1033="公司筐",N(对接源_01水果!$U1033)&lt;&gt;0)),1,0)</f>
        <v>0</v>
      </c>
      <c r="S1033" s="1" t="n">
        <f aca="false">N(S1032)+$R1033</f>
        <v>0</v>
      </c>
      <c r="T1033" s="1" t="n">
        <f aca="false">IF(AND($K1033=1,AND(对接源_01水果!$X1033="公司筐",N(对接源_01水果!$V1033)&lt;&gt;0)),1,0)</f>
        <v>0</v>
      </c>
      <c r="U1033" s="1" t="n">
        <f aca="false">N(U1032)+$T1033</f>
        <v>28</v>
      </c>
      <c r="V1033" s="1" t="n">
        <f aca="false">IF(AND($L1033=1,AND(对接源_01水果!$X1033="自备筐",N(对接源_01水果!$V1033)&lt;&gt;0)),1,0)</f>
        <v>0</v>
      </c>
      <c r="W1033" s="1" t="n">
        <f aca="false">N(W1032)+$V1033</f>
        <v>7</v>
      </c>
      <c r="X1033" s="1" t="n">
        <f aca="false">IF(AND($L1033=1,AND(对接源_01水果!$X1033="自备筐",N(对接源_01水果!$T1033)&lt;&gt;0)),1,0)</f>
        <v>0</v>
      </c>
      <c r="Y1033" s="1" t="n">
        <f aca="false">N(Y1032)+$X1033</f>
        <v>0</v>
      </c>
      <c r="Z1033" s="1" t="n">
        <f aca="false">IF(AND($M1033=1,对接源_01水果!$D1033="原料入库"),1,0)</f>
        <v>0</v>
      </c>
      <c r="AA1033" s="1" t="n">
        <f aca="false">N(AA1032)+$Z1033</f>
        <v>30</v>
      </c>
      <c r="AB1033" s="1" t="n">
        <f aca="false">IF(AND($M1033=1,LEFT(对接源_01水果!$D1033,4)="原料出库"),1,0)</f>
        <v>0</v>
      </c>
      <c r="AC1033" s="1" t="n">
        <f aca="false">N(AC1032)+$AB1033</f>
        <v>19</v>
      </c>
      <c r="AD1033" s="1" t="n">
        <f aca="false">IF(AND($M1033=1,LEFT(对接源_01水果!$D1033,4)="成品出库"),1,0)</f>
        <v>0</v>
      </c>
      <c r="AE1033" s="1" t="n">
        <f aca="false">N(AE1032)+$AD1033</f>
        <v>38</v>
      </c>
      <c r="AF1033" s="1" t="n">
        <f aca="false">IF(AND($N1033=1,AND(LEFT(对接源_01水果!$D1033,4)="包装物料",N(对接源_01水果!$K1033)&lt;&gt;0)),1,0)</f>
        <v>0</v>
      </c>
      <c r="AG1033" s="90" t="str">
        <f aca="false">IF(对接源_01水果!$AC1033="","",对接源_01水果!$AC1033)</f>
        <v/>
      </c>
      <c r="AH1033" s="1" t="n">
        <f aca="false">IF(AND($N1033=1,AND(LEFT(对接源_01水果!$D1033,3)="周转筐",N(对接源_01水果!$K1033)&lt;&gt;0)),1,0)</f>
        <v>0</v>
      </c>
      <c r="AI1033" s="90" t="n">
        <f aca="false">IF(AG1033="",0,IF(MATCH(AG1033,$AG$4:$AG$1203,0)=ROW()-3,1,0))</f>
        <v>0</v>
      </c>
      <c r="AJ1033" s="90" t="n">
        <f aca="false">N(AJ1032)+AI1033</f>
        <v>4</v>
      </c>
      <c r="AK1033" s="1" t="n">
        <f aca="false">N(AK1032)+$AJ1033</f>
        <v>2992</v>
      </c>
    </row>
    <row r="1034" customFormat="false" ht="13.5" hidden="false" customHeight="false" outlineLevel="0" collapsed="false">
      <c r="A1034" s="1" t="str">
        <f aca="false">IF(对接源_01水果!$C1034="","",对接源_01水果!$C1034)</f>
        <v/>
      </c>
      <c r="B1034" s="1" t="n">
        <f aca="false">IF(A1034="",0,IF(MATCH(A1034,$A$4:$A$2403,0)=ROW()-3,1,0))</f>
        <v>0</v>
      </c>
      <c r="C1034" s="1" t="n">
        <f aca="false">N(C1033)+B1034</f>
        <v>13</v>
      </c>
      <c r="K1034" s="1" t="n">
        <f aca="false">IF(OR($K$1="",对接源_01水果!$C1034="",对接源_01水果!$C1034&lt;&gt;$K$1,对接源_01水果!$B1034=""),0,IF(OR(N(对接源_01水果!$B1034)&lt;$K$2,N(对接源_01水果!$B1034)&gt;$K$3),0,1))</f>
        <v>0</v>
      </c>
      <c r="L1034" s="1" t="n">
        <f aca="false">IF(OR($L$1="",对接源_01水果!$C1034="",对接源_01水果!$C1034&lt;&gt;$L$1,对接源_01水果!$B1034=""),0,IF(OR(N(对接源_01水果!$B1034)&lt;$L$2,N(对接源_01水果!$B1034)&gt;$L$3),0,1))</f>
        <v>0</v>
      </c>
      <c r="M1034" s="1" t="n">
        <f aca="false">IF(OR($M$1="",对接源_01水果!$C1034="",对接源_01水果!$C1034&lt;&gt;$M$1,对接源_01水果!$B1034=""),0,IF(OR(N(对接源_01水果!$B1034)&lt;$M$2,N(对接源_01水果!$B1034)&gt;$M$3),0,1))</f>
        <v>0</v>
      </c>
      <c r="N1034" s="1" t="n">
        <f aca="false">IF(OR($N$1="",对接源_01水果!$C1034="",对接源_01水果!$C1034&lt;&gt;$N$1,对接源_01水果!$B1034=""),0,IF(OR(N(对接源_01水果!$B1034)&lt;$N$2,N(对接源_01水果!$B1034)&gt;$N$3),0,1))</f>
        <v>0</v>
      </c>
      <c r="P1034" s="1" t="n">
        <f aca="false">IF(AND($K1034=1,AND(对接源_01水果!$X1034="公司筐",N(对接源_01水果!$T1034)&lt;&gt;0)),1,0)</f>
        <v>0</v>
      </c>
      <c r="Q1034" s="1" t="n">
        <f aca="false">N(Q1033)+$P1034</f>
        <v>3</v>
      </c>
      <c r="R1034" s="1" t="n">
        <f aca="false">IF(AND($K1034=1,AND(对接源_01水果!$X1034="公司筐",N(对接源_01水果!$U1034)&lt;&gt;0)),1,0)</f>
        <v>0</v>
      </c>
      <c r="S1034" s="1" t="n">
        <f aca="false">N(S1033)+$R1034</f>
        <v>0</v>
      </c>
      <c r="T1034" s="1" t="n">
        <f aca="false">IF(AND($K1034=1,AND(对接源_01水果!$X1034="公司筐",N(对接源_01水果!$V1034)&lt;&gt;0)),1,0)</f>
        <v>0</v>
      </c>
      <c r="U1034" s="1" t="n">
        <f aca="false">N(U1033)+$T1034</f>
        <v>28</v>
      </c>
      <c r="V1034" s="1" t="n">
        <f aca="false">IF(AND($L1034=1,AND(对接源_01水果!$X1034="自备筐",N(对接源_01水果!$V1034)&lt;&gt;0)),1,0)</f>
        <v>0</v>
      </c>
      <c r="W1034" s="1" t="n">
        <f aca="false">N(W1033)+$V1034</f>
        <v>7</v>
      </c>
      <c r="X1034" s="1" t="n">
        <f aca="false">IF(AND($L1034=1,AND(对接源_01水果!$X1034="自备筐",N(对接源_01水果!$T1034)&lt;&gt;0)),1,0)</f>
        <v>0</v>
      </c>
      <c r="Y1034" s="1" t="n">
        <f aca="false">N(Y1033)+$X1034</f>
        <v>0</v>
      </c>
      <c r="Z1034" s="1" t="n">
        <f aca="false">IF(AND($M1034=1,对接源_01水果!$D1034="原料入库"),1,0)</f>
        <v>0</v>
      </c>
      <c r="AA1034" s="1" t="n">
        <f aca="false">N(AA1033)+$Z1034</f>
        <v>30</v>
      </c>
      <c r="AB1034" s="1" t="n">
        <f aca="false">IF(AND($M1034=1,LEFT(对接源_01水果!$D1034,4)="原料出库"),1,0)</f>
        <v>0</v>
      </c>
      <c r="AC1034" s="1" t="n">
        <f aca="false">N(AC1033)+$AB1034</f>
        <v>19</v>
      </c>
      <c r="AD1034" s="1" t="n">
        <f aca="false">IF(AND($M1034=1,LEFT(对接源_01水果!$D1034,4)="成品出库"),1,0)</f>
        <v>0</v>
      </c>
      <c r="AE1034" s="1" t="n">
        <f aca="false">N(AE1033)+$AD1034</f>
        <v>38</v>
      </c>
      <c r="AF1034" s="1" t="n">
        <f aca="false">IF(AND($N1034=1,AND(LEFT(对接源_01水果!$D1034,4)="包装物料",N(对接源_01水果!$K1034)&lt;&gt;0)),1,0)</f>
        <v>0</v>
      </c>
      <c r="AG1034" s="90" t="str">
        <f aca="false">IF(对接源_01水果!$AC1034="","",对接源_01水果!$AC1034)</f>
        <v/>
      </c>
      <c r="AH1034" s="1" t="n">
        <f aca="false">IF(AND($N1034=1,AND(LEFT(对接源_01水果!$D1034,3)="周转筐",N(对接源_01水果!$K1034)&lt;&gt;0)),1,0)</f>
        <v>0</v>
      </c>
      <c r="AI1034" s="90" t="n">
        <f aca="false">IF(AG1034="",0,IF(MATCH(AG1034,$AG$4:$AG$1203,0)=ROW()-3,1,0))</f>
        <v>0</v>
      </c>
      <c r="AJ1034" s="90" t="n">
        <f aca="false">N(AJ1033)+AI1034</f>
        <v>4</v>
      </c>
      <c r="AK1034" s="1" t="n">
        <f aca="false">N(AK1033)+$AJ1034</f>
        <v>2996</v>
      </c>
    </row>
    <row r="1035" customFormat="false" ht="13.5" hidden="false" customHeight="false" outlineLevel="0" collapsed="false">
      <c r="A1035" s="1" t="str">
        <f aca="false">IF(对接源_01水果!$C1035="","",对接源_01水果!$C1035)</f>
        <v/>
      </c>
      <c r="B1035" s="1" t="n">
        <f aca="false">IF(A1035="",0,IF(MATCH(A1035,$A$4:$A$2403,0)=ROW()-3,1,0))</f>
        <v>0</v>
      </c>
      <c r="C1035" s="1" t="n">
        <f aca="false">N(C1034)+B1035</f>
        <v>13</v>
      </c>
      <c r="K1035" s="1" t="n">
        <f aca="false">IF(OR($K$1="",对接源_01水果!$C1035="",对接源_01水果!$C1035&lt;&gt;$K$1,对接源_01水果!$B1035=""),0,IF(OR(N(对接源_01水果!$B1035)&lt;$K$2,N(对接源_01水果!$B1035)&gt;$K$3),0,1))</f>
        <v>0</v>
      </c>
      <c r="L1035" s="1" t="n">
        <f aca="false">IF(OR($L$1="",对接源_01水果!$C1035="",对接源_01水果!$C1035&lt;&gt;$L$1,对接源_01水果!$B1035=""),0,IF(OR(N(对接源_01水果!$B1035)&lt;$L$2,N(对接源_01水果!$B1035)&gt;$L$3),0,1))</f>
        <v>0</v>
      </c>
      <c r="M1035" s="1" t="n">
        <f aca="false">IF(OR($M$1="",对接源_01水果!$C1035="",对接源_01水果!$C1035&lt;&gt;$M$1,对接源_01水果!$B1035=""),0,IF(OR(N(对接源_01水果!$B1035)&lt;$M$2,N(对接源_01水果!$B1035)&gt;$M$3),0,1))</f>
        <v>0</v>
      </c>
      <c r="N1035" s="1" t="n">
        <f aca="false">IF(OR($N$1="",对接源_01水果!$C1035="",对接源_01水果!$C1035&lt;&gt;$N$1,对接源_01水果!$B1035=""),0,IF(OR(N(对接源_01水果!$B1035)&lt;$N$2,N(对接源_01水果!$B1035)&gt;$N$3),0,1))</f>
        <v>0</v>
      </c>
      <c r="P1035" s="1" t="n">
        <f aca="false">IF(AND($K1035=1,AND(对接源_01水果!$X1035="公司筐",N(对接源_01水果!$T1035)&lt;&gt;0)),1,0)</f>
        <v>0</v>
      </c>
      <c r="Q1035" s="1" t="n">
        <f aca="false">N(Q1034)+$P1035</f>
        <v>3</v>
      </c>
      <c r="R1035" s="1" t="n">
        <f aca="false">IF(AND($K1035=1,AND(对接源_01水果!$X1035="公司筐",N(对接源_01水果!$U1035)&lt;&gt;0)),1,0)</f>
        <v>0</v>
      </c>
      <c r="S1035" s="1" t="n">
        <f aca="false">N(S1034)+$R1035</f>
        <v>0</v>
      </c>
      <c r="T1035" s="1" t="n">
        <f aca="false">IF(AND($K1035=1,AND(对接源_01水果!$X1035="公司筐",N(对接源_01水果!$V1035)&lt;&gt;0)),1,0)</f>
        <v>0</v>
      </c>
      <c r="U1035" s="1" t="n">
        <f aca="false">N(U1034)+$T1035</f>
        <v>28</v>
      </c>
      <c r="V1035" s="1" t="n">
        <f aca="false">IF(AND($L1035=1,AND(对接源_01水果!$X1035="自备筐",N(对接源_01水果!$V1035)&lt;&gt;0)),1,0)</f>
        <v>0</v>
      </c>
      <c r="W1035" s="1" t="n">
        <f aca="false">N(W1034)+$V1035</f>
        <v>7</v>
      </c>
      <c r="X1035" s="1" t="n">
        <f aca="false">IF(AND($L1035=1,AND(对接源_01水果!$X1035="自备筐",N(对接源_01水果!$T1035)&lt;&gt;0)),1,0)</f>
        <v>0</v>
      </c>
      <c r="Y1035" s="1" t="n">
        <f aca="false">N(Y1034)+$X1035</f>
        <v>0</v>
      </c>
      <c r="Z1035" s="1" t="n">
        <f aca="false">IF(AND($M1035=1,对接源_01水果!$D1035="原料入库"),1,0)</f>
        <v>0</v>
      </c>
      <c r="AA1035" s="1" t="n">
        <f aca="false">N(AA1034)+$Z1035</f>
        <v>30</v>
      </c>
      <c r="AB1035" s="1" t="n">
        <f aca="false">IF(AND($M1035=1,LEFT(对接源_01水果!$D1035,4)="原料出库"),1,0)</f>
        <v>0</v>
      </c>
      <c r="AC1035" s="1" t="n">
        <f aca="false">N(AC1034)+$AB1035</f>
        <v>19</v>
      </c>
      <c r="AD1035" s="1" t="n">
        <f aca="false">IF(AND($M1035=1,LEFT(对接源_01水果!$D1035,4)="成品出库"),1,0)</f>
        <v>0</v>
      </c>
      <c r="AE1035" s="1" t="n">
        <f aca="false">N(AE1034)+$AD1035</f>
        <v>38</v>
      </c>
      <c r="AF1035" s="1" t="n">
        <f aca="false">IF(AND($N1035=1,AND(LEFT(对接源_01水果!$D1035,4)="包装物料",N(对接源_01水果!$K1035)&lt;&gt;0)),1,0)</f>
        <v>0</v>
      </c>
      <c r="AG1035" s="90" t="str">
        <f aca="false">IF(对接源_01水果!$AC1035="","",对接源_01水果!$AC1035)</f>
        <v/>
      </c>
      <c r="AH1035" s="1" t="n">
        <f aca="false">IF(AND($N1035=1,AND(LEFT(对接源_01水果!$D1035,3)="周转筐",N(对接源_01水果!$K1035)&lt;&gt;0)),1,0)</f>
        <v>0</v>
      </c>
      <c r="AI1035" s="90" t="n">
        <f aca="false">IF(AG1035="",0,IF(MATCH(AG1035,$AG$4:$AG$1203,0)=ROW()-3,1,0))</f>
        <v>0</v>
      </c>
      <c r="AJ1035" s="90" t="n">
        <f aca="false">N(AJ1034)+AI1035</f>
        <v>4</v>
      </c>
      <c r="AK1035" s="1" t="n">
        <f aca="false">N(AK1034)+$AJ1035</f>
        <v>3000</v>
      </c>
    </row>
    <row r="1036" customFormat="false" ht="13.5" hidden="false" customHeight="false" outlineLevel="0" collapsed="false">
      <c r="A1036" s="1" t="str">
        <f aca="false">IF(对接源_01水果!$C1036="","",对接源_01水果!$C1036)</f>
        <v/>
      </c>
      <c r="B1036" s="1" t="n">
        <f aca="false">IF(A1036="",0,IF(MATCH(A1036,$A$4:$A$2403,0)=ROW()-3,1,0))</f>
        <v>0</v>
      </c>
      <c r="C1036" s="1" t="n">
        <f aca="false">N(C1035)+B1036</f>
        <v>13</v>
      </c>
      <c r="K1036" s="1" t="n">
        <f aca="false">IF(OR($K$1="",对接源_01水果!$C1036="",对接源_01水果!$C1036&lt;&gt;$K$1,对接源_01水果!$B1036=""),0,IF(OR(N(对接源_01水果!$B1036)&lt;$K$2,N(对接源_01水果!$B1036)&gt;$K$3),0,1))</f>
        <v>0</v>
      </c>
      <c r="L1036" s="1" t="n">
        <f aca="false">IF(OR($L$1="",对接源_01水果!$C1036="",对接源_01水果!$C1036&lt;&gt;$L$1,对接源_01水果!$B1036=""),0,IF(OR(N(对接源_01水果!$B1036)&lt;$L$2,N(对接源_01水果!$B1036)&gt;$L$3),0,1))</f>
        <v>0</v>
      </c>
      <c r="M1036" s="1" t="n">
        <f aca="false">IF(OR($M$1="",对接源_01水果!$C1036="",对接源_01水果!$C1036&lt;&gt;$M$1,对接源_01水果!$B1036=""),0,IF(OR(N(对接源_01水果!$B1036)&lt;$M$2,N(对接源_01水果!$B1036)&gt;$M$3),0,1))</f>
        <v>0</v>
      </c>
      <c r="N1036" s="1" t="n">
        <f aca="false">IF(OR($N$1="",对接源_01水果!$C1036="",对接源_01水果!$C1036&lt;&gt;$N$1,对接源_01水果!$B1036=""),0,IF(OR(N(对接源_01水果!$B1036)&lt;$N$2,N(对接源_01水果!$B1036)&gt;$N$3),0,1))</f>
        <v>0</v>
      </c>
      <c r="P1036" s="1" t="n">
        <f aca="false">IF(AND($K1036=1,AND(对接源_01水果!$X1036="公司筐",N(对接源_01水果!$T1036)&lt;&gt;0)),1,0)</f>
        <v>0</v>
      </c>
      <c r="Q1036" s="1" t="n">
        <f aca="false">N(Q1035)+$P1036</f>
        <v>3</v>
      </c>
      <c r="R1036" s="1" t="n">
        <f aca="false">IF(AND($K1036=1,AND(对接源_01水果!$X1036="公司筐",N(对接源_01水果!$U1036)&lt;&gt;0)),1,0)</f>
        <v>0</v>
      </c>
      <c r="S1036" s="1" t="n">
        <f aca="false">N(S1035)+$R1036</f>
        <v>0</v>
      </c>
      <c r="T1036" s="1" t="n">
        <f aca="false">IF(AND($K1036=1,AND(对接源_01水果!$X1036="公司筐",N(对接源_01水果!$V1036)&lt;&gt;0)),1,0)</f>
        <v>0</v>
      </c>
      <c r="U1036" s="1" t="n">
        <f aca="false">N(U1035)+$T1036</f>
        <v>28</v>
      </c>
      <c r="V1036" s="1" t="n">
        <f aca="false">IF(AND($L1036=1,AND(对接源_01水果!$X1036="自备筐",N(对接源_01水果!$V1036)&lt;&gt;0)),1,0)</f>
        <v>0</v>
      </c>
      <c r="W1036" s="1" t="n">
        <f aca="false">N(W1035)+$V1036</f>
        <v>7</v>
      </c>
      <c r="X1036" s="1" t="n">
        <f aca="false">IF(AND($L1036=1,AND(对接源_01水果!$X1036="自备筐",N(对接源_01水果!$T1036)&lt;&gt;0)),1,0)</f>
        <v>0</v>
      </c>
      <c r="Y1036" s="1" t="n">
        <f aca="false">N(Y1035)+$X1036</f>
        <v>0</v>
      </c>
      <c r="Z1036" s="1" t="n">
        <f aca="false">IF(AND($M1036=1,对接源_01水果!$D1036="原料入库"),1,0)</f>
        <v>0</v>
      </c>
      <c r="AA1036" s="1" t="n">
        <f aca="false">N(AA1035)+$Z1036</f>
        <v>30</v>
      </c>
      <c r="AB1036" s="1" t="n">
        <f aca="false">IF(AND($M1036=1,LEFT(对接源_01水果!$D1036,4)="原料出库"),1,0)</f>
        <v>0</v>
      </c>
      <c r="AC1036" s="1" t="n">
        <f aca="false">N(AC1035)+$AB1036</f>
        <v>19</v>
      </c>
      <c r="AD1036" s="1" t="n">
        <f aca="false">IF(AND($M1036=1,LEFT(对接源_01水果!$D1036,4)="成品出库"),1,0)</f>
        <v>0</v>
      </c>
      <c r="AE1036" s="1" t="n">
        <f aca="false">N(AE1035)+$AD1036</f>
        <v>38</v>
      </c>
      <c r="AF1036" s="1" t="n">
        <f aca="false">IF(AND($N1036=1,AND(LEFT(对接源_01水果!$D1036,4)="包装物料",N(对接源_01水果!$K1036)&lt;&gt;0)),1,0)</f>
        <v>0</v>
      </c>
      <c r="AG1036" s="90" t="str">
        <f aca="false">IF(对接源_01水果!$AC1036="","",对接源_01水果!$AC1036)</f>
        <v/>
      </c>
      <c r="AH1036" s="1" t="n">
        <f aca="false">IF(AND($N1036=1,AND(LEFT(对接源_01水果!$D1036,3)="周转筐",N(对接源_01水果!$K1036)&lt;&gt;0)),1,0)</f>
        <v>0</v>
      </c>
      <c r="AI1036" s="90" t="n">
        <f aca="false">IF(AG1036="",0,IF(MATCH(AG1036,$AG$4:$AG$1203,0)=ROW()-3,1,0))</f>
        <v>0</v>
      </c>
      <c r="AJ1036" s="90" t="n">
        <f aca="false">N(AJ1035)+AI1036</f>
        <v>4</v>
      </c>
      <c r="AK1036" s="1" t="n">
        <f aca="false">N(AK1035)+$AJ1036</f>
        <v>3004</v>
      </c>
    </row>
    <row r="1037" customFormat="false" ht="13.5" hidden="false" customHeight="false" outlineLevel="0" collapsed="false">
      <c r="A1037" s="1" t="str">
        <f aca="false">IF(对接源_01水果!$C1037="","",对接源_01水果!$C1037)</f>
        <v/>
      </c>
      <c r="B1037" s="1" t="n">
        <f aca="false">IF(A1037="",0,IF(MATCH(A1037,$A$4:$A$2403,0)=ROW()-3,1,0))</f>
        <v>0</v>
      </c>
      <c r="C1037" s="1" t="n">
        <f aca="false">N(C1036)+B1037</f>
        <v>13</v>
      </c>
      <c r="K1037" s="1" t="n">
        <f aca="false">IF(OR($K$1="",对接源_01水果!$C1037="",对接源_01水果!$C1037&lt;&gt;$K$1,对接源_01水果!$B1037=""),0,IF(OR(N(对接源_01水果!$B1037)&lt;$K$2,N(对接源_01水果!$B1037)&gt;$K$3),0,1))</f>
        <v>0</v>
      </c>
      <c r="L1037" s="1" t="n">
        <f aca="false">IF(OR($L$1="",对接源_01水果!$C1037="",对接源_01水果!$C1037&lt;&gt;$L$1,对接源_01水果!$B1037=""),0,IF(OR(N(对接源_01水果!$B1037)&lt;$L$2,N(对接源_01水果!$B1037)&gt;$L$3),0,1))</f>
        <v>0</v>
      </c>
      <c r="M1037" s="1" t="n">
        <f aca="false">IF(OR($M$1="",对接源_01水果!$C1037="",对接源_01水果!$C1037&lt;&gt;$M$1,对接源_01水果!$B1037=""),0,IF(OR(N(对接源_01水果!$B1037)&lt;$M$2,N(对接源_01水果!$B1037)&gt;$M$3),0,1))</f>
        <v>0</v>
      </c>
      <c r="N1037" s="1" t="n">
        <f aca="false">IF(OR($N$1="",对接源_01水果!$C1037="",对接源_01水果!$C1037&lt;&gt;$N$1,对接源_01水果!$B1037=""),0,IF(OR(N(对接源_01水果!$B1037)&lt;$N$2,N(对接源_01水果!$B1037)&gt;$N$3),0,1))</f>
        <v>0</v>
      </c>
      <c r="P1037" s="1" t="n">
        <f aca="false">IF(AND($K1037=1,AND(对接源_01水果!$X1037="公司筐",N(对接源_01水果!$T1037)&lt;&gt;0)),1,0)</f>
        <v>0</v>
      </c>
      <c r="Q1037" s="1" t="n">
        <f aca="false">N(Q1036)+$P1037</f>
        <v>3</v>
      </c>
      <c r="R1037" s="1" t="n">
        <f aca="false">IF(AND($K1037=1,AND(对接源_01水果!$X1037="公司筐",N(对接源_01水果!$U1037)&lt;&gt;0)),1,0)</f>
        <v>0</v>
      </c>
      <c r="S1037" s="1" t="n">
        <f aca="false">N(S1036)+$R1037</f>
        <v>0</v>
      </c>
      <c r="T1037" s="1" t="n">
        <f aca="false">IF(AND($K1037=1,AND(对接源_01水果!$X1037="公司筐",N(对接源_01水果!$V1037)&lt;&gt;0)),1,0)</f>
        <v>0</v>
      </c>
      <c r="U1037" s="1" t="n">
        <f aca="false">N(U1036)+$T1037</f>
        <v>28</v>
      </c>
      <c r="V1037" s="1" t="n">
        <f aca="false">IF(AND($L1037=1,AND(对接源_01水果!$X1037="自备筐",N(对接源_01水果!$V1037)&lt;&gt;0)),1,0)</f>
        <v>0</v>
      </c>
      <c r="W1037" s="1" t="n">
        <f aca="false">N(W1036)+$V1037</f>
        <v>7</v>
      </c>
      <c r="X1037" s="1" t="n">
        <f aca="false">IF(AND($L1037=1,AND(对接源_01水果!$X1037="自备筐",N(对接源_01水果!$T1037)&lt;&gt;0)),1,0)</f>
        <v>0</v>
      </c>
      <c r="Y1037" s="1" t="n">
        <f aca="false">N(Y1036)+$X1037</f>
        <v>0</v>
      </c>
      <c r="Z1037" s="1" t="n">
        <f aca="false">IF(AND($M1037=1,对接源_01水果!$D1037="原料入库"),1,0)</f>
        <v>0</v>
      </c>
      <c r="AA1037" s="1" t="n">
        <f aca="false">N(AA1036)+$Z1037</f>
        <v>30</v>
      </c>
      <c r="AB1037" s="1" t="n">
        <f aca="false">IF(AND($M1037=1,LEFT(对接源_01水果!$D1037,4)="原料出库"),1,0)</f>
        <v>0</v>
      </c>
      <c r="AC1037" s="1" t="n">
        <f aca="false">N(AC1036)+$AB1037</f>
        <v>19</v>
      </c>
      <c r="AD1037" s="1" t="n">
        <f aca="false">IF(AND($M1037=1,LEFT(对接源_01水果!$D1037,4)="成品出库"),1,0)</f>
        <v>0</v>
      </c>
      <c r="AE1037" s="1" t="n">
        <f aca="false">N(AE1036)+$AD1037</f>
        <v>38</v>
      </c>
      <c r="AF1037" s="1" t="n">
        <f aca="false">IF(AND($N1037=1,AND(LEFT(对接源_01水果!$D1037,4)="包装物料",N(对接源_01水果!$K1037)&lt;&gt;0)),1,0)</f>
        <v>0</v>
      </c>
      <c r="AG1037" s="90" t="str">
        <f aca="false">IF(对接源_01水果!$AC1037="","",对接源_01水果!$AC1037)</f>
        <v/>
      </c>
      <c r="AH1037" s="1" t="n">
        <f aca="false">IF(AND($N1037=1,AND(LEFT(对接源_01水果!$D1037,3)="周转筐",N(对接源_01水果!$K1037)&lt;&gt;0)),1,0)</f>
        <v>0</v>
      </c>
      <c r="AI1037" s="90" t="n">
        <f aca="false">IF(AG1037="",0,IF(MATCH(AG1037,$AG$4:$AG$1203,0)=ROW()-3,1,0))</f>
        <v>0</v>
      </c>
      <c r="AJ1037" s="90" t="n">
        <f aca="false">N(AJ1036)+AI1037</f>
        <v>4</v>
      </c>
      <c r="AK1037" s="1" t="n">
        <f aca="false">N(AK1036)+$AJ1037</f>
        <v>3008</v>
      </c>
    </row>
    <row r="1038" customFormat="false" ht="13.5" hidden="false" customHeight="false" outlineLevel="0" collapsed="false">
      <c r="A1038" s="1" t="str">
        <f aca="false">IF(对接源_01水果!$C1038="","",对接源_01水果!$C1038)</f>
        <v/>
      </c>
      <c r="B1038" s="1" t="n">
        <f aca="false">IF(A1038="",0,IF(MATCH(A1038,$A$4:$A$2403,0)=ROW()-3,1,0))</f>
        <v>0</v>
      </c>
      <c r="C1038" s="1" t="n">
        <f aca="false">N(C1037)+B1038</f>
        <v>13</v>
      </c>
      <c r="K1038" s="1" t="n">
        <f aca="false">IF(OR($K$1="",对接源_01水果!$C1038="",对接源_01水果!$C1038&lt;&gt;$K$1,对接源_01水果!$B1038=""),0,IF(OR(N(对接源_01水果!$B1038)&lt;$K$2,N(对接源_01水果!$B1038)&gt;$K$3),0,1))</f>
        <v>0</v>
      </c>
      <c r="L1038" s="1" t="n">
        <f aca="false">IF(OR($L$1="",对接源_01水果!$C1038="",对接源_01水果!$C1038&lt;&gt;$L$1,对接源_01水果!$B1038=""),0,IF(OR(N(对接源_01水果!$B1038)&lt;$L$2,N(对接源_01水果!$B1038)&gt;$L$3),0,1))</f>
        <v>0</v>
      </c>
      <c r="M1038" s="1" t="n">
        <f aca="false">IF(OR($M$1="",对接源_01水果!$C1038="",对接源_01水果!$C1038&lt;&gt;$M$1,对接源_01水果!$B1038=""),0,IF(OR(N(对接源_01水果!$B1038)&lt;$M$2,N(对接源_01水果!$B1038)&gt;$M$3),0,1))</f>
        <v>0</v>
      </c>
      <c r="N1038" s="1" t="n">
        <f aca="false">IF(OR($N$1="",对接源_01水果!$C1038="",对接源_01水果!$C1038&lt;&gt;$N$1,对接源_01水果!$B1038=""),0,IF(OR(N(对接源_01水果!$B1038)&lt;$N$2,N(对接源_01水果!$B1038)&gt;$N$3),0,1))</f>
        <v>0</v>
      </c>
      <c r="P1038" s="1" t="n">
        <f aca="false">IF(AND($K1038=1,AND(对接源_01水果!$X1038="公司筐",N(对接源_01水果!$T1038)&lt;&gt;0)),1,0)</f>
        <v>0</v>
      </c>
      <c r="Q1038" s="1" t="n">
        <f aca="false">N(Q1037)+$P1038</f>
        <v>3</v>
      </c>
      <c r="R1038" s="1" t="n">
        <f aca="false">IF(AND($K1038=1,AND(对接源_01水果!$X1038="公司筐",N(对接源_01水果!$U1038)&lt;&gt;0)),1,0)</f>
        <v>0</v>
      </c>
      <c r="S1038" s="1" t="n">
        <f aca="false">N(S1037)+$R1038</f>
        <v>0</v>
      </c>
      <c r="T1038" s="1" t="n">
        <f aca="false">IF(AND($K1038=1,AND(对接源_01水果!$X1038="公司筐",N(对接源_01水果!$V1038)&lt;&gt;0)),1,0)</f>
        <v>0</v>
      </c>
      <c r="U1038" s="1" t="n">
        <f aca="false">N(U1037)+$T1038</f>
        <v>28</v>
      </c>
      <c r="V1038" s="1" t="n">
        <f aca="false">IF(AND($L1038=1,AND(对接源_01水果!$X1038="自备筐",N(对接源_01水果!$V1038)&lt;&gt;0)),1,0)</f>
        <v>0</v>
      </c>
      <c r="W1038" s="1" t="n">
        <f aca="false">N(W1037)+$V1038</f>
        <v>7</v>
      </c>
      <c r="X1038" s="1" t="n">
        <f aca="false">IF(AND($L1038=1,AND(对接源_01水果!$X1038="自备筐",N(对接源_01水果!$T1038)&lt;&gt;0)),1,0)</f>
        <v>0</v>
      </c>
      <c r="Y1038" s="1" t="n">
        <f aca="false">N(Y1037)+$X1038</f>
        <v>0</v>
      </c>
      <c r="Z1038" s="1" t="n">
        <f aca="false">IF(AND($M1038=1,对接源_01水果!$D1038="原料入库"),1,0)</f>
        <v>0</v>
      </c>
      <c r="AA1038" s="1" t="n">
        <f aca="false">N(AA1037)+$Z1038</f>
        <v>30</v>
      </c>
      <c r="AB1038" s="1" t="n">
        <f aca="false">IF(AND($M1038=1,LEFT(对接源_01水果!$D1038,4)="原料出库"),1,0)</f>
        <v>0</v>
      </c>
      <c r="AC1038" s="1" t="n">
        <f aca="false">N(AC1037)+$AB1038</f>
        <v>19</v>
      </c>
      <c r="AD1038" s="1" t="n">
        <f aca="false">IF(AND($M1038=1,LEFT(对接源_01水果!$D1038,4)="成品出库"),1,0)</f>
        <v>0</v>
      </c>
      <c r="AE1038" s="1" t="n">
        <f aca="false">N(AE1037)+$AD1038</f>
        <v>38</v>
      </c>
      <c r="AF1038" s="1" t="n">
        <f aca="false">IF(AND($N1038=1,AND(LEFT(对接源_01水果!$D1038,4)="包装物料",N(对接源_01水果!$K1038)&lt;&gt;0)),1,0)</f>
        <v>0</v>
      </c>
      <c r="AG1038" s="90" t="str">
        <f aca="false">IF(对接源_01水果!$AC1038="","",对接源_01水果!$AC1038)</f>
        <v/>
      </c>
      <c r="AH1038" s="1" t="n">
        <f aca="false">IF(AND($N1038=1,AND(LEFT(对接源_01水果!$D1038,3)="周转筐",N(对接源_01水果!$K1038)&lt;&gt;0)),1,0)</f>
        <v>0</v>
      </c>
      <c r="AI1038" s="90" t="n">
        <f aca="false">IF(AG1038="",0,IF(MATCH(AG1038,$AG$4:$AG$1203,0)=ROW()-3,1,0))</f>
        <v>0</v>
      </c>
      <c r="AJ1038" s="90" t="n">
        <f aca="false">N(AJ1037)+AI1038</f>
        <v>4</v>
      </c>
      <c r="AK1038" s="1" t="n">
        <f aca="false">N(AK1037)+$AJ1038</f>
        <v>3012</v>
      </c>
    </row>
    <row r="1039" customFormat="false" ht="13.5" hidden="false" customHeight="false" outlineLevel="0" collapsed="false">
      <c r="A1039" s="1" t="str">
        <f aca="false">IF(对接源_01水果!$C1039="","",对接源_01水果!$C1039)</f>
        <v/>
      </c>
      <c r="B1039" s="1" t="n">
        <f aca="false">IF(A1039="",0,IF(MATCH(A1039,$A$4:$A$2403,0)=ROW()-3,1,0))</f>
        <v>0</v>
      </c>
      <c r="C1039" s="1" t="n">
        <f aca="false">N(C1038)+B1039</f>
        <v>13</v>
      </c>
      <c r="K1039" s="1" t="n">
        <f aca="false">IF(OR($K$1="",对接源_01水果!$C1039="",对接源_01水果!$C1039&lt;&gt;$K$1,对接源_01水果!$B1039=""),0,IF(OR(N(对接源_01水果!$B1039)&lt;$K$2,N(对接源_01水果!$B1039)&gt;$K$3),0,1))</f>
        <v>0</v>
      </c>
      <c r="L1039" s="1" t="n">
        <f aca="false">IF(OR($L$1="",对接源_01水果!$C1039="",对接源_01水果!$C1039&lt;&gt;$L$1,对接源_01水果!$B1039=""),0,IF(OR(N(对接源_01水果!$B1039)&lt;$L$2,N(对接源_01水果!$B1039)&gt;$L$3),0,1))</f>
        <v>0</v>
      </c>
      <c r="M1039" s="1" t="n">
        <f aca="false">IF(OR($M$1="",对接源_01水果!$C1039="",对接源_01水果!$C1039&lt;&gt;$M$1,对接源_01水果!$B1039=""),0,IF(OR(N(对接源_01水果!$B1039)&lt;$M$2,N(对接源_01水果!$B1039)&gt;$M$3),0,1))</f>
        <v>0</v>
      </c>
      <c r="N1039" s="1" t="n">
        <f aca="false">IF(OR($N$1="",对接源_01水果!$C1039="",对接源_01水果!$C1039&lt;&gt;$N$1,对接源_01水果!$B1039=""),0,IF(OR(N(对接源_01水果!$B1039)&lt;$N$2,N(对接源_01水果!$B1039)&gt;$N$3),0,1))</f>
        <v>0</v>
      </c>
      <c r="P1039" s="1" t="n">
        <f aca="false">IF(AND($K1039=1,AND(对接源_01水果!$X1039="公司筐",N(对接源_01水果!$T1039)&lt;&gt;0)),1,0)</f>
        <v>0</v>
      </c>
      <c r="Q1039" s="1" t="n">
        <f aca="false">N(Q1038)+$P1039</f>
        <v>3</v>
      </c>
      <c r="R1039" s="1" t="n">
        <f aca="false">IF(AND($K1039=1,AND(对接源_01水果!$X1039="公司筐",N(对接源_01水果!$U1039)&lt;&gt;0)),1,0)</f>
        <v>0</v>
      </c>
      <c r="S1039" s="1" t="n">
        <f aca="false">N(S1038)+$R1039</f>
        <v>0</v>
      </c>
      <c r="T1039" s="1" t="n">
        <f aca="false">IF(AND($K1039=1,AND(对接源_01水果!$X1039="公司筐",N(对接源_01水果!$V1039)&lt;&gt;0)),1,0)</f>
        <v>0</v>
      </c>
      <c r="U1039" s="1" t="n">
        <f aca="false">N(U1038)+$T1039</f>
        <v>28</v>
      </c>
      <c r="V1039" s="1" t="n">
        <f aca="false">IF(AND($L1039=1,AND(对接源_01水果!$X1039="自备筐",N(对接源_01水果!$V1039)&lt;&gt;0)),1,0)</f>
        <v>0</v>
      </c>
      <c r="W1039" s="1" t="n">
        <f aca="false">N(W1038)+$V1039</f>
        <v>7</v>
      </c>
      <c r="X1039" s="1" t="n">
        <f aca="false">IF(AND($L1039=1,AND(对接源_01水果!$X1039="自备筐",N(对接源_01水果!$T1039)&lt;&gt;0)),1,0)</f>
        <v>0</v>
      </c>
      <c r="Y1039" s="1" t="n">
        <f aca="false">N(Y1038)+$X1039</f>
        <v>0</v>
      </c>
      <c r="Z1039" s="1" t="n">
        <f aca="false">IF(AND($M1039=1,对接源_01水果!$D1039="原料入库"),1,0)</f>
        <v>0</v>
      </c>
      <c r="AA1039" s="1" t="n">
        <f aca="false">N(AA1038)+$Z1039</f>
        <v>30</v>
      </c>
      <c r="AB1039" s="1" t="n">
        <f aca="false">IF(AND($M1039=1,LEFT(对接源_01水果!$D1039,4)="原料出库"),1,0)</f>
        <v>0</v>
      </c>
      <c r="AC1039" s="1" t="n">
        <f aca="false">N(AC1038)+$AB1039</f>
        <v>19</v>
      </c>
      <c r="AD1039" s="1" t="n">
        <f aca="false">IF(AND($M1039=1,LEFT(对接源_01水果!$D1039,4)="成品出库"),1,0)</f>
        <v>0</v>
      </c>
      <c r="AE1039" s="1" t="n">
        <f aca="false">N(AE1038)+$AD1039</f>
        <v>38</v>
      </c>
      <c r="AF1039" s="1" t="n">
        <f aca="false">IF(AND($N1039=1,AND(LEFT(对接源_01水果!$D1039,4)="包装物料",N(对接源_01水果!$K1039)&lt;&gt;0)),1,0)</f>
        <v>0</v>
      </c>
      <c r="AG1039" s="90" t="str">
        <f aca="false">IF(对接源_01水果!$AC1039="","",对接源_01水果!$AC1039)</f>
        <v/>
      </c>
      <c r="AH1039" s="1" t="n">
        <f aca="false">IF(AND($N1039=1,AND(LEFT(对接源_01水果!$D1039,3)="周转筐",N(对接源_01水果!$K1039)&lt;&gt;0)),1,0)</f>
        <v>0</v>
      </c>
      <c r="AI1039" s="90" t="n">
        <f aca="false">IF(AG1039="",0,IF(MATCH(AG1039,$AG$4:$AG$1203,0)=ROW()-3,1,0))</f>
        <v>0</v>
      </c>
      <c r="AJ1039" s="90" t="n">
        <f aca="false">N(AJ1038)+AI1039</f>
        <v>4</v>
      </c>
      <c r="AK1039" s="1" t="n">
        <f aca="false">N(AK1038)+$AJ1039</f>
        <v>3016</v>
      </c>
    </row>
    <row r="1040" customFormat="false" ht="13.5" hidden="false" customHeight="false" outlineLevel="0" collapsed="false">
      <c r="A1040" s="1" t="str">
        <f aca="false">IF(对接源_01水果!$C1040="","",对接源_01水果!$C1040)</f>
        <v/>
      </c>
      <c r="B1040" s="1" t="n">
        <f aca="false">IF(A1040="",0,IF(MATCH(A1040,$A$4:$A$2403,0)=ROW()-3,1,0))</f>
        <v>0</v>
      </c>
      <c r="C1040" s="1" t="n">
        <f aca="false">N(C1039)+B1040</f>
        <v>13</v>
      </c>
      <c r="K1040" s="1" t="n">
        <f aca="false">IF(OR($K$1="",对接源_01水果!$C1040="",对接源_01水果!$C1040&lt;&gt;$K$1,对接源_01水果!$B1040=""),0,IF(OR(N(对接源_01水果!$B1040)&lt;$K$2,N(对接源_01水果!$B1040)&gt;$K$3),0,1))</f>
        <v>0</v>
      </c>
      <c r="L1040" s="1" t="n">
        <f aca="false">IF(OR($L$1="",对接源_01水果!$C1040="",对接源_01水果!$C1040&lt;&gt;$L$1,对接源_01水果!$B1040=""),0,IF(OR(N(对接源_01水果!$B1040)&lt;$L$2,N(对接源_01水果!$B1040)&gt;$L$3),0,1))</f>
        <v>0</v>
      </c>
      <c r="M1040" s="1" t="n">
        <f aca="false">IF(OR($M$1="",对接源_01水果!$C1040="",对接源_01水果!$C1040&lt;&gt;$M$1,对接源_01水果!$B1040=""),0,IF(OR(N(对接源_01水果!$B1040)&lt;$M$2,N(对接源_01水果!$B1040)&gt;$M$3),0,1))</f>
        <v>0</v>
      </c>
      <c r="N1040" s="1" t="n">
        <f aca="false">IF(OR($N$1="",对接源_01水果!$C1040="",对接源_01水果!$C1040&lt;&gt;$N$1,对接源_01水果!$B1040=""),0,IF(OR(N(对接源_01水果!$B1040)&lt;$N$2,N(对接源_01水果!$B1040)&gt;$N$3),0,1))</f>
        <v>0</v>
      </c>
      <c r="P1040" s="1" t="n">
        <f aca="false">IF(AND($K1040=1,AND(对接源_01水果!$X1040="公司筐",N(对接源_01水果!$T1040)&lt;&gt;0)),1,0)</f>
        <v>0</v>
      </c>
      <c r="Q1040" s="1" t="n">
        <f aca="false">N(Q1039)+$P1040</f>
        <v>3</v>
      </c>
      <c r="R1040" s="1" t="n">
        <f aca="false">IF(AND($K1040=1,AND(对接源_01水果!$X1040="公司筐",N(对接源_01水果!$U1040)&lt;&gt;0)),1,0)</f>
        <v>0</v>
      </c>
      <c r="S1040" s="1" t="n">
        <f aca="false">N(S1039)+$R1040</f>
        <v>0</v>
      </c>
      <c r="T1040" s="1" t="n">
        <f aca="false">IF(AND($K1040=1,AND(对接源_01水果!$X1040="公司筐",N(对接源_01水果!$V1040)&lt;&gt;0)),1,0)</f>
        <v>0</v>
      </c>
      <c r="U1040" s="1" t="n">
        <f aca="false">N(U1039)+$T1040</f>
        <v>28</v>
      </c>
      <c r="V1040" s="1" t="n">
        <f aca="false">IF(AND($L1040=1,AND(对接源_01水果!$X1040="自备筐",N(对接源_01水果!$V1040)&lt;&gt;0)),1,0)</f>
        <v>0</v>
      </c>
      <c r="W1040" s="1" t="n">
        <f aca="false">N(W1039)+$V1040</f>
        <v>7</v>
      </c>
      <c r="X1040" s="1" t="n">
        <f aca="false">IF(AND($L1040=1,AND(对接源_01水果!$X1040="自备筐",N(对接源_01水果!$T1040)&lt;&gt;0)),1,0)</f>
        <v>0</v>
      </c>
      <c r="Y1040" s="1" t="n">
        <f aca="false">N(Y1039)+$X1040</f>
        <v>0</v>
      </c>
      <c r="Z1040" s="1" t="n">
        <f aca="false">IF(AND($M1040=1,对接源_01水果!$D1040="原料入库"),1,0)</f>
        <v>0</v>
      </c>
      <c r="AA1040" s="1" t="n">
        <f aca="false">N(AA1039)+$Z1040</f>
        <v>30</v>
      </c>
      <c r="AB1040" s="1" t="n">
        <f aca="false">IF(AND($M1040=1,LEFT(对接源_01水果!$D1040,4)="原料出库"),1,0)</f>
        <v>0</v>
      </c>
      <c r="AC1040" s="1" t="n">
        <f aca="false">N(AC1039)+$AB1040</f>
        <v>19</v>
      </c>
      <c r="AD1040" s="1" t="n">
        <f aca="false">IF(AND($M1040=1,LEFT(对接源_01水果!$D1040,4)="成品出库"),1,0)</f>
        <v>0</v>
      </c>
      <c r="AE1040" s="1" t="n">
        <f aca="false">N(AE1039)+$AD1040</f>
        <v>38</v>
      </c>
      <c r="AF1040" s="1" t="n">
        <f aca="false">IF(AND($N1040=1,AND(LEFT(对接源_01水果!$D1040,4)="包装物料",N(对接源_01水果!$K1040)&lt;&gt;0)),1,0)</f>
        <v>0</v>
      </c>
      <c r="AG1040" s="90" t="str">
        <f aca="false">IF(对接源_01水果!$AC1040="","",对接源_01水果!$AC1040)</f>
        <v/>
      </c>
      <c r="AH1040" s="1" t="n">
        <f aca="false">IF(AND($N1040=1,AND(LEFT(对接源_01水果!$D1040,3)="周转筐",N(对接源_01水果!$K1040)&lt;&gt;0)),1,0)</f>
        <v>0</v>
      </c>
      <c r="AI1040" s="90" t="n">
        <f aca="false">IF(AG1040="",0,IF(MATCH(AG1040,$AG$4:$AG$1203,0)=ROW()-3,1,0))</f>
        <v>0</v>
      </c>
      <c r="AJ1040" s="90" t="n">
        <f aca="false">N(AJ1039)+AI1040</f>
        <v>4</v>
      </c>
      <c r="AK1040" s="1" t="n">
        <f aca="false">N(AK1039)+$AJ1040</f>
        <v>3020</v>
      </c>
    </row>
    <row r="1041" customFormat="false" ht="13.5" hidden="false" customHeight="false" outlineLevel="0" collapsed="false">
      <c r="A1041" s="1" t="str">
        <f aca="false">IF(对接源_01水果!$C1041="","",对接源_01水果!$C1041)</f>
        <v/>
      </c>
      <c r="B1041" s="1" t="n">
        <f aca="false">IF(A1041="",0,IF(MATCH(A1041,$A$4:$A$2403,0)=ROW()-3,1,0))</f>
        <v>0</v>
      </c>
      <c r="C1041" s="1" t="n">
        <f aca="false">N(C1040)+B1041</f>
        <v>13</v>
      </c>
      <c r="K1041" s="1" t="n">
        <f aca="false">IF(OR($K$1="",对接源_01水果!$C1041="",对接源_01水果!$C1041&lt;&gt;$K$1,对接源_01水果!$B1041=""),0,IF(OR(N(对接源_01水果!$B1041)&lt;$K$2,N(对接源_01水果!$B1041)&gt;$K$3),0,1))</f>
        <v>0</v>
      </c>
      <c r="L1041" s="1" t="n">
        <f aca="false">IF(OR($L$1="",对接源_01水果!$C1041="",对接源_01水果!$C1041&lt;&gt;$L$1,对接源_01水果!$B1041=""),0,IF(OR(N(对接源_01水果!$B1041)&lt;$L$2,N(对接源_01水果!$B1041)&gt;$L$3),0,1))</f>
        <v>0</v>
      </c>
      <c r="M1041" s="1" t="n">
        <f aca="false">IF(OR($M$1="",对接源_01水果!$C1041="",对接源_01水果!$C1041&lt;&gt;$M$1,对接源_01水果!$B1041=""),0,IF(OR(N(对接源_01水果!$B1041)&lt;$M$2,N(对接源_01水果!$B1041)&gt;$M$3),0,1))</f>
        <v>0</v>
      </c>
      <c r="N1041" s="1" t="n">
        <f aca="false">IF(OR($N$1="",对接源_01水果!$C1041="",对接源_01水果!$C1041&lt;&gt;$N$1,对接源_01水果!$B1041=""),0,IF(OR(N(对接源_01水果!$B1041)&lt;$N$2,N(对接源_01水果!$B1041)&gt;$N$3),0,1))</f>
        <v>0</v>
      </c>
      <c r="P1041" s="1" t="n">
        <f aca="false">IF(AND($K1041=1,AND(对接源_01水果!$X1041="公司筐",N(对接源_01水果!$T1041)&lt;&gt;0)),1,0)</f>
        <v>0</v>
      </c>
      <c r="Q1041" s="1" t="n">
        <f aca="false">N(Q1040)+$P1041</f>
        <v>3</v>
      </c>
      <c r="R1041" s="1" t="n">
        <f aca="false">IF(AND($K1041=1,AND(对接源_01水果!$X1041="公司筐",N(对接源_01水果!$U1041)&lt;&gt;0)),1,0)</f>
        <v>0</v>
      </c>
      <c r="S1041" s="1" t="n">
        <f aca="false">N(S1040)+$R1041</f>
        <v>0</v>
      </c>
      <c r="T1041" s="1" t="n">
        <f aca="false">IF(AND($K1041=1,AND(对接源_01水果!$X1041="公司筐",N(对接源_01水果!$V1041)&lt;&gt;0)),1,0)</f>
        <v>0</v>
      </c>
      <c r="U1041" s="1" t="n">
        <f aca="false">N(U1040)+$T1041</f>
        <v>28</v>
      </c>
      <c r="V1041" s="1" t="n">
        <f aca="false">IF(AND($L1041=1,AND(对接源_01水果!$X1041="自备筐",N(对接源_01水果!$V1041)&lt;&gt;0)),1,0)</f>
        <v>0</v>
      </c>
      <c r="W1041" s="1" t="n">
        <f aca="false">N(W1040)+$V1041</f>
        <v>7</v>
      </c>
      <c r="X1041" s="1" t="n">
        <f aca="false">IF(AND($L1041=1,AND(对接源_01水果!$X1041="自备筐",N(对接源_01水果!$T1041)&lt;&gt;0)),1,0)</f>
        <v>0</v>
      </c>
      <c r="Y1041" s="1" t="n">
        <f aca="false">N(Y1040)+$X1041</f>
        <v>0</v>
      </c>
      <c r="Z1041" s="1" t="n">
        <f aca="false">IF(AND($M1041=1,对接源_01水果!$D1041="原料入库"),1,0)</f>
        <v>0</v>
      </c>
      <c r="AA1041" s="1" t="n">
        <f aca="false">N(AA1040)+$Z1041</f>
        <v>30</v>
      </c>
      <c r="AB1041" s="1" t="n">
        <f aca="false">IF(AND($M1041=1,LEFT(对接源_01水果!$D1041,4)="原料出库"),1,0)</f>
        <v>0</v>
      </c>
      <c r="AC1041" s="1" t="n">
        <f aca="false">N(AC1040)+$AB1041</f>
        <v>19</v>
      </c>
      <c r="AD1041" s="1" t="n">
        <f aca="false">IF(AND($M1041=1,LEFT(对接源_01水果!$D1041,4)="成品出库"),1,0)</f>
        <v>0</v>
      </c>
      <c r="AE1041" s="1" t="n">
        <f aca="false">N(AE1040)+$AD1041</f>
        <v>38</v>
      </c>
      <c r="AF1041" s="1" t="n">
        <f aca="false">IF(AND($N1041=1,AND(LEFT(对接源_01水果!$D1041,4)="包装物料",N(对接源_01水果!$K1041)&lt;&gt;0)),1,0)</f>
        <v>0</v>
      </c>
      <c r="AG1041" s="90" t="str">
        <f aca="false">IF(对接源_01水果!$AC1041="","",对接源_01水果!$AC1041)</f>
        <v/>
      </c>
      <c r="AH1041" s="1" t="n">
        <f aca="false">IF(AND($N1041=1,AND(LEFT(对接源_01水果!$D1041,3)="周转筐",N(对接源_01水果!$K1041)&lt;&gt;0)),1,0)</f>
        <v>0</v>
      </c>
      <c r="AI1041" s="90" t="n">
        <f aca="false">IF(AG1041="",0,IF(MATCH(AG1041,$AG$4:$AG$1203,0)=ROW()-3,1,0))</f>
        <v>0</v>
      </c>
      <c r="AJ1041" s="90" t="n">
        <f aca="false">N(AJ1040)+AI1041</f>
        <v>4</v>
      </c>
      <c r="AK1041" s="1" t="n">
        <f aca="false">N(AK1040)+$AJ1041</f>
        <v>3024</v>
      </c>
    </row>
    <row r="1042" customFormat="false" ht="13.5" hidden="false" customHeight="false" outlineLevel="0" collapsed="false">
      <c r="A1042" s="1" t="str">
        <f aca="false">IF(对接源_01水果!$C1042="","",对接源_01水果!$C1042)</f>
        <v/>
      </c>
      <c r="B1042" s="1" t="n">
        <f aca="false">IF(A1042="",0,IF(MATCH(A1042,$A$4:$A$2403,0)=ROW()-3,1,0))</f>
        <v>0</v>
      </c>
      <c r="C1042" s="1" t="n">
        <f aca="false">N(C1041)+B1042</f>
        <v>13</v>
      </c>
      <c r="K1042" s="1" t="n">
        <f aca="false">IF(OR($K$1="",对接源_01水果!$C1042="",对接源_01水果!$C1042&lt;&gt;$K$1,对接源_01水果!$B1042=""),0,IF(OR(N(对接源_01水果!$B1042)&lt;$K$2,N(对接源_01水果!$B1042)&gt;$K$3),0,1))</f>
        <v>0</v>
      </c>
      <c r="L1042" s="1" t="n">
        <f aca="false">IF(OR($L$1="",对接源_01水果!$C1042="",对接源_01水果!$C1042&lt;&gt;$L$1,对接源_01水果!$B1042=""),0,IF(OR(N(对接源_01水果!$B1042)&lt;$L$2,N(对接源_01水果!$B1042)&gt;$L$3),0,1))</f>
        <v>0</v>
      </c>
      <c r="M1042" s="1" t="n">
        <f aca="false">IF(OR($M$1="",对接源_01水果!$C1042="",对接源_01水果!$C1042&lt;&gt;$M$1,对接源_01水果!$B1042=""),0,IF(OR(N(对接源_01水果!$B1042)&lt;$M$2,N(对接源_01水果!$B1042)&gt;$M$3),0,1))</f>
        <v>0</v>
      </c>
      <c r="N1042" s="1" t="n">
        <f aca="false">IF(OR($N$1="",对接源_01水果!$C1042="",对接源_01水果!$C1042&lt;&gt;$N$1,对接源_01水果!$B1042=""),0,IF(OR(N(对接源_01水果!$B1042)&lt;$N$2,N(对接源_01水果!$B1042)&gt;$N$3),0,1))</f>
        <v>0</v>
      </c>
      <c r="P1042" s="1" t="n">
        <f aca="false">IF(AND($K1042=1,AND(对接源_01水果!$X1042="公司筐",N(对接源_01水果!$T1042)&lt;&gt;0)),1,0)</f>
        <v>0</v>
      </c>
      <c r="Q1042" s="1" t="n">
        <f aca="false">N(Q1041)+$P1042</f>
        <v>3</v>
      </c>
      <c r="R1042" s="1" t="n">
        <f aca="false">IF(AND($K1042=1,AND(对接源_01水果!$X1042="公司筐",N(对接源_01水果!$U1042)&lt;&gt;0)),1,0)</f>
        <v>0</v>
      </c>
      <c r="S1042" s="1" t="n">
        <f aca="false">N(S1041)+$R1042</f>
        <v>0</v>
      </c>
      <c r="T1042" s="1" t="n">
        <f aca="false">IF(AND($K1042=1,AND(对接源_01水果!$X1042="公司筐",N(对接源_01水果!$V1042)&lt;&gt;0)),1,0)</f>
        <v>0</v>
      </c>
      <c r="U1042" s="1" t="n">
        <f aca="false">N(U1041)+$T1042</f>
        <v>28</v>
      </c>
      <c r="V1042" s="1" t="n">
        <f aca="false">IF(AND($L1042=1,AND(对接源_01水果!$X1042="自备筐",N(对接源_01水果!$V1042)&lt;&gt;0)),1,0)</f>
        <v>0</v>
      </c>
      <c r="W1042" s="1" t="n">
        <f aca="false">N(W1041)+$V1042</f>
        <v>7</v>
      </c>
      <c r="X1042" s="1" t="n">
        <f aca="false">IF(AND($L1042=1,AND(对接源_01水果!$X1042="自备筐",N(对接源_01水果!$T1042)&lt;&gt;0)),1,0)</f>
        <v>0</v>
      </c>
      <c r="Y1042" s="1" t="n">
        <f aca="false">N(Y1041)+$X1042</f>
        <v>0</v>
      </c>
      <c r="Z1042" s="1" t="n">
        <f aca="false">IF(AND($M1042=1,对接源_01水果!$D1042="原料入库"),1,0)</f>
        <v>0</v>
      </c>
      <c r="AA1042" s="1" t="n">
        <f aca="false">N(AA1041)+$Z1042</f>
        <v>30</v>
      </c>
      <c r="AB1042" s="1" t="n">
        <f aca="false">IF(AND($M1042=1,LEFT(对接源_01水果!$D1042,4)="原料出库"),1,0)</f>
        <v>0</v>
      </c>
      <c r="AC1042" s="1" t="n">
        <f aca="false">N(AC1041)+$AB1042</f>
        <v>19</v>
      </c>
      <c r="AD1042" s="1" t="n">
        <f aca="false">IF(AND($M1042=1,LEFT(对接源_01水果!$D1042,4)="成品出库"),1,0)</f>
        <v>0</v>
      </c>
      <c r="AE1042" s="1" t="n">
        <f aca="false">N(AE1041)+$AD1042</f>
        <v>38</v>
      </c>
      <c r="AF1042" s="1" t="n">
        <f aca="false">IF(AND($N1042=1,AND(LEFT(对接源_01水果!$D1042,4)="包装物料",N(对接源_01水果!$K1042)&lt;&gt;0)),1,0)</f>
        <v>0</v>
      </c>
      <c r="AG1042" s="90" t="str">
        <f aca="false">IF(对接源_01水果!$AC1042="","",对接源_01水果!$AC1042)</f>
        <v/>
      </c>
      <c r="AH1042" s="1" t="n">
        <f aca="false">IF(AND($N1042=1,AND(LEFT(对接源_01水果!$D1042,3)="周转筐",N(对接源_01水果!$K1042)&lt;&gt;0)),1,0)</f>
        <v>0</v>
      </c>
      <c r="AI1042" s="90" t="n">
        <f aca="false">IF(AG1042="",0,IF(MATCH(AG1042,$AG$4:$AG$1203,0)=ROW()-3,1,0))</f>
        <v>0</v>
      </c>
      <c r="AJ1042" s="90" t="n">
        <f aca="false">N(AJ1041)+AI1042</f>
        <v>4</v>
      </c>
      <c r="AK1042" s="1" t="n">
        <f aca="false">N(AK1041)+$AJ1042</f>
        <v>3028</v>
      </c>
    </row>
    <row r="1043" customFormat="false" ht="13.5" hidden="false" customHeight="false" outlineLevel="0" collapsed="false">
      <c r="A1043" s="1" t="str">
        <f aca="false">IF(对接源_01水果!$C1043="","",对接源_01水果!$C1043)</f>
        <v/>
      </c>
      <c r="B1043" s="1" t="n">
        <f aca="false">IF(A1043="",0,IF(MATCH(A1043,$A$4:$A$2403,0)=ROW()-3,1,0))</f>
        <v>0</v>
      </c>
      <c r="C1043" s="1" t="n">
        <f aca="false">N(C1042)+B1043</f>
        <v>13</v>
      </c>
      <c r="K1043" s="1" t="n">
        <f aca="false">IF(OR($K$1="",对接源_01水果!$C1043="",对接源_01水果!$C1043&lt;&gt;$K$1,对接源_01水果!$B1043=""),0,IF(OR(N(对接源_01水果!$B1043)&lt;$K$2,N(对接源_01水果!$B1043)&gt;$K$3),0,1))</f>
        <v>0</v>
      </c>
      <c r="L1043" s="1" t="n">
        <f aca="false">IF(OR($L$1="",对接源_01水果!$C1043="",对接源_01水果!$C1043&lt;&gt;$L$1,对接源_01水果!$B1043=""),0,IF(OR(N(对接源_01水果!$B1043)&lt;$L$2,N(对接源_01水果!$B1043)&gt;$L$3),0,1))</f>
        <v>0</v>
      </c>
      <c r="M1043" s="1" t="n">
        <f aca="false">IF(OR($M$1="",对接源_01水果!$C1043="",对接源_01水果!$C1043&lt;&gt;$M$1,对接源_01水果!$B1043=""),0,IF(OR(N(对接源_01水果!$B1043)&lt;$M$2,N(对接源_01水果!$B1043)&gt;$M$3),0,1))</f>
        <v>0</v>
      </c>
      <c r="N1043" s="1" t="n">
        <f aca="false">IF(OR($N$1="",对接源_01水果!$C1043="",对接源_01水果!$C1043&lt;&gt;$N$1,对接源_01水果!$B1043=""),0,IF(OR(N(对接源_01水果!$B1043)&lt;$N$2,N(对接源_01水果!$B1043)&gt;$N$3),0,1))</f>
        <v>0</v>
      </c>
      <c r="P1043" s="1" t="n">
        <f aca="false">IF(AND($K1043=1,AND(对接源_01水果!$X1043="公司筐",N(对接源_01水果!$T1043)&lt;&gt;0)),1,0)</f>
        <v>0</v>
      </c>
      <c r="Q1043" s="1" t="n">
        <f aca="false">N(Q1042)+$P1043</f>
        <v>3</v>
      </c>
      <c r="R1043" s="1" t="n">
        <f aca="false">IF(AND($K1043=1,AND(对接源_01水果!$X1043="公司筐",N(对接源_01水果!$U1043)&lt;&gt;0)),1,0)</f>
        <v>0</v>
      </c>
      <c r="S1043" s="1" t="n">
        <f aca="false">N(S1042)+$R1043</f>
        <v>0</v>
      </c>
      <c r="T1043" s="1" t="n">
        <f aca="false">IF(AND($K1043=1,AND(对接源_01水果!$X1043="公司筐",N(对接源_01水果!$V1043)&lt;&gt;0)),1,0)</f>
        <v>0</v>
      </c>
      <c r="U1043" s="1" t="n">
        <f aca="false">N(U1042)+$T1043</f>
        <v>28</v>
      </c>
      <c r="V1043" s="1" t="n">
        <f aca="false">IF(AND($L1043=1,AND(对接源_01水果!$X1043="自备筐",N(对接源_01水果!$V1043)&lt;&gt;0)),1,0)</f>
        <v>0</v>
      </c>
      <c r="W1043" s="1" t="n">
        <f aca="false">N(W1042)+$V1043</f>
        <v>7</v>
      </c>
      <c r="X1043" s="1" t="n">
        <f aca="false">IF(AND($L1043=1,AND(对接源_01水果!$X1043="自备筐",N(对接源_01水果!$T1043)&lt;&gt;0)),1,0)</f>
        <v>0</v>
      </c>
      <c r="Y1043" s="1" t="n">
        <f aca="false">N(Y1042)+$X1043</f>
        <v>0</v>
      </c>
      <c r="Z1043" s="1" t="n">
        <f aca="false">IF(AND($M1043=1,对接源_01水果!$D1043="原料入库"),1,0)</f>
        <v>0</v>
      </c>
      <c r="AA1043" s="1" t="n">
        <f aca="false">N(AA1042)+$Z1043</f>
        <v>30</v>
      </c>
      <c r="AB1043" s="1" t="n">
        <f aca="false">IF(AND($M1043=1,LEFT(对接源_01水果!$D1043,4)="原料出库"),1,0)</f>
        <v>0</v>
      </c>
      <c r="AC1043" s="1" t="n">
        <f aca="false">N(AC1042)+$AB1043</f>
        <v>19</v>
      </c>
      <c r="AD1043" s="1" t="n">
        <f aca="false">IF(AND($M1043=1,LEFT(对接源_01水果!$D1043,4)="成品出库"),1,0)</f>
        <v>0</v>
      </c>
      <c r="AE1043" s="1" t="n">
        <f aca="false">N(AE1042)+$AD1043</f>
        <v>38</v>
      </c>
      <c r="AF1043" s="1" t="n">
        <f aca="false">IF(AND($N1043=1,AND(LEFT(对接源_01水果!$D1043,4)="包装物料",N(对接源_01水果!$K1043)&lt;&gt;0)),1,0)</f>
        <v>0</v>
      </c>
      <c r="AG1043" s="90" t="str">
        <f aca="false">IF(对接源_01水果!$AC1043="","",对接源_01水果!$AC1043)</f>
        <v/>
      </c>
      <c r="AH1043" s="1" t="n">
        <f aca="false">IF(AND($N1043=1,AND(LEFT(对接源_01水果!$D1043,3)="周转筐",N(对接源_01水果!$K1043)&lt;&gt;0)),1,0)</f>
        <v>0</v>
      </c>
      <c r="AI1043" s="90" t="n">
        <f aca="false">IF(AG1043="",0,IF(MATCH(AG1043,$AG$4:$AG$1203,0)=ROW()-3,1,0))</f>
        <v>0</v>
      </c>
      <c r="AJ1043" s="90" t="n">
        <f aca="false">N(AJ1042)+AI1043</f>
        <v>4</v>
      </c>
      <c r="AK1043" s="1" t="n">
        <f aca="false">N(AK1042)+$AJ1043</f>
        <v>3032</v>
      </c>
    </row>
    <row r="1044" customFormat="false" ht="13.5" hidden="false" customHeight="false" outlineLevel="0" collapsed="false">
      <c r="A1044" s="1" t="str">
        <f aca="false">IF(对接源_01水果!$C1044="","",对接源_01水果!$C1044)</f>
        <v/>
      </c>
      <c r="B1044" s="1" t="n">
        <f aca="false">IF(A1044="",0,IF(MATCH(A1044,$A$4:$A$2403,0)=ROW()-3,1,0))</f>
        <v>0</v>
      </c>
      <c r="C1044" s="1" t="n">
        <f aca="false">N(C1043)+B1044</f>
        <v>13</v>
      </c>
      <c r="K1044" s="1" t="n">
        <f aca="false">IF(OR($K$1="",对接源_01水果!$C1044="",对接源_01水果!$C1044&lt;&gt;$K$1,对接源_01水果!$B1044=""),0,IF(OR(N(对接源_01水果!$B1044)&lt;$K$2,N(对接源_01水果!$B1044)&gt;$K$3),0,1))</f>
        <v>0</v>
      </c>
      <c r="L1044" s="1" t="n">
        <f aca="false">IF(OR($L$1="",对接源_01水果!$C1044="",对接源_01水果!$C1044&lt;&gt;$L$1,对接源_01水果!$B1044=""),0,IF(OR(N(对接源_01水果!$B1044)&lt;$L$2,N(对接源_01水果!$B1044)&gt;$L$3),0,1))</f>
        <v>0</v>
      </c>
      <c r="M1044" s="1" t="n">
        <f aca="false">IF(OR($M$1="",对接源_01水果!$C1044="",对接源_01水果!$C1044&lt;&gt;$M$1,对接源_01水果!$B1044=""),0,IF(OR(N(对接源_01水果!$B1044)&lt;$M$2,N(对接源_01水果!$B1044)&gt;$M$3),0,1))</f>
        <v>0</v>
      </c>
      <c r="N1044" s="1" t="n">
        <f aca="false">IF(OR($N$1="",对接源_01水果!$C1044="",对接源_01水果!$C1044&lt;&gt;$N$1,对接源_01水果!$B1044=""),0,IF(OR(N(对接源_01水果!$B1044)&lt;$N$2,N(对接源_01水果!$B1044)&gt;$N$3),0,1))</f>
        <v>0</v>
      </c>
      <c r="P1044" s="1" t="n">
        <f aca="false">IF(AND($K1044=1,AND(对接源_01水果!$X1044="公司筐",N(对接源_01水果!$T1044)&lt;&gt;0)),1,0)</f>
        <v>0</v>
      </c>
      <c r="Q1044" s="1" t="n">
        <f aca="false">N(Q1043)+$P1044</f>
        <v>3</v>
      </c>
      <c r="R1044" s="1" t="n">
        <f aca="false">IF(AND($K1044=1,AND(对接源_01水果!$X1044="公司筐",N(对接源_01水果!$U1044)&lt;&gt;0)),1,0)</f>
        <v>0</v>
      </c>
      <c r="S1044" s="1" t="n">
        <f aca="false">N(S1043)+$R1044</f>
        <v>0</v>
      </c>
      <c r="T1044" s="1" t="n">
        <f aca="false">IF(AND($K1044=1,AND(对接源_01水果!$X1044="公司筐",N(对接源_01水果!$V1044)&lt;&gt;0)),1,0)</f>
        <v>0</v>
      </c>
      <c r="U1044" s="1" t="n">
        <f aca="false">N(U1043)+$T1044</f>
        <v>28</v>
      </c>
      <c r="V1044" s="1" t="n">
        <f aca="false">IF(AND($L1044=1,AND(对接源_01水果!$X1044="自备筐",N(对接源_01水果!$V1044)&lt;&gt;0)),1,0)</f>
        <v>0</v>
      </c>
      <c r="W1044" s="1" t="n">
        <f aca="false">N(W1043)+$V1044</f>
        <v>7</v>
      </c>
      <c r="X1044" s="1" t="n">
        <f aca="false">IF(AND($L1044=1,AND(对接源_01水果!$X1044="自备筐",N(对接源_01水果!$T1044)&lt;&gt;0)),1,0)</f>
        <v>0</v>
      </c>
      <c r="Y1044" s="1" t="n">
        <f aca="false">N(Y1043)+$X1044</f>
        <v>0</v>
      </c>
      <c r="Z1044" s="1" t="n">
        <f aca="false">IF(AND($M1044=1,对接源_01水果!$D1044="原料入库"),1,0)</f>
        <v>0</v>
      </c>
      <c r="AA1044" s="1" t="n">
        <f aca="false">N(AA1043)+$Z1044</f>
        <v>30</v>
      </c>
      <c r="AB1044" s="1" t="n">
        <f aca="false">IF(AND($M1044=1,LEFT(对接源_01水果!$D1044,4)="原料出库"),1,0)</f>
        <v>0</v>
      </c>
      <c r="AC1044" s="1" t="n">
        <f aca="false">N(AC1043)+$AB1044</f>
        <v>19</v>
      </c>
      <c r="AD1044" s="1" t="n">
        <f aca="false">IF(AND($M1044=1,LEFT(对接源_01水果!$D1044,4)="成品出库"),1,0)</f>
        <v>0</v>
      </c>
      <c r="AE1044" s="1" t="n">
        <f aca="false">N(AE1043)+$AD1044</f>
        <v>38</v>
      </c>
      <c r="AF1044" s="1" t="n">
        <f aca="false">IF(AND($N1044=1,AND(LEFT(对接源_01水果!$D1044,4)="包装物料",N(对接源_01水果!$K1044)&lt;&gt;0)),1,0)</f>
        <v>0</v>
      </c>
      <c r="AG1044" s="90" t="str">
        <f aca="false">IF(对接源_01水果!$AC1044="","",对接源_01水果!$AC1044)</f>
        <v/>
      </c>
      <c r="AH1044" s="1" t="n">
        <f aca="false">IF(AND($N1044=1,AND(LEFT(对接源_01水果!$D1044,3)="周转筐",N(对接源_01水果!$K1044)&lt;&gt;0)),1,0)</f>
        <v>0</v>
      </c>
      <c r="AI1044" s="90" t="n">
        <f aca="false">IF(AG1044="",0,IF(MATCH(AG1044,$AG$4:$AG$1203,0)=ROW()-3,1,0))</f>
        <v>0</v>
      </c>
      <c r="AJ1044" s="90" t="n">
        <f aca="false">N(AJ1043)+AI1044</f>
        <v>4</v>
      </c>
      <c r="AK1044" s="1" t="n">
        <f aca="false">N(AK1043)+$AJ1044</f>
        <v>3036</v>
      </c>
    </row>
    <row r="1045" customFormat="false" ht="13.5" hidden="false" customHeight="false" outlineLevel="0" collapsed="false">
      <c r="A1045" s="1" t="str">
        <f aca="false">IF(对接源_01水果!$C1045="","",对接源_01水果!$C1045)</f>
        <v/>
      </c>
      <c r="B1045" s="1" t="n">
        <f aca="false">IF(A1045="",0,IF(MATCH(A1045,$A$4:$A$2403,0)=ROW()-3,1,0))</f>
        <v>0</v>
      </c>
      <c r="C1045" s="1" t="n">
        <f aca="false">N(C1044)+B1045</f>
        <v>13</v>
      </c>
      <c r="K1045" s="1" t="n">
        <f aca="false">IF(OR($K$1="",对接源_01水果!$C1045="",对接源_01水果!$C1045&lt;&gt;$K$1,对接源_01水果!$B1045=""),0,IF(OR(N(对接源_01水果!$B1045)&lt;$K$2,N(对接源_01水果!$B1045)&gt;$K$3),0,1))</f>
        <v>0</v>
      </c>
      <c r="L1045" s="1" t="n">
        <f aca="false">IF(OR($L$1="",对接源_01水果!$C1045="",对接源_01水果!$C1045&lt;&gt;$L$1,对接源_01水果!$B1045=""),0,IF(OR(N(对接源_01水果!$B1045)&lt;$L$2,N(对接源_01水果!$B1045)&gt;$L$3),0,1))</f>
        <v>0</v>
      </c>
      <c r="M1045" s="1" t="n">
        <f aca="false">IF(OR($M$1="",对接源_01水果!$C1045="",对接源_01水果!$C1045&lt;&gt;$M$1,对接源_01水果!$B1045=""),0,IF(OR(N(对接源_01水果!$B1045)&lt;$M$2,N(对接源_01水果!$B1045)&gt;$M$3),0,1))</f>
        <v>0</v>
      </c>
      <c r="N1045" s="1" t="n">
        <f aca="false">IF(OR($N$1="",对接源_01水果!$C1045="",对接源_01水果!$C1045&lt;&gt;$N$1,对接源_01水果!$B1045=""),0,IF(OR(N(对接源_01水果!$B1045)&lt;$N$2,N(对接源_01水果!$B1045)&gt;$N$3),0,1))</f>
        <v>0</v>
      </c>
      <c r="P1045" s="1" t="n">
        <f aca="false">IF(AND($K1045=1,AND(对接源_01水果!$X1045="公司筐",N(对接源_01水果!$T1045)&lt;&gt;0)),1,0)</f>
        <v>0</v>
      </c>
      <c r="Q1045" s="1" t="n">
        <f aca="false">N(Q1044)+$P1045</f>
        <v>3</v>
      </c>
      <c r="R1045" s="1" t="n">
        <f aca="false">IF(AND($K1045=1,AND(对接源_01水果!$X1045="公司筐",N(对接源_01水果!$U1045)&lt;&gt;0)),1,0)</f>
        <v>0</v>
      </c>
      <c r="S1045" s="1" t="n">
        <f aca="false">N(S1044)+$R1045</f>
        <v>0</v>
      </c>
      <c r="T1045" s="1" t="n">
        <f aca="false">IF(AND($K1045=1,AND(对接源_01水果!$X1045="公司筐",N(对接源_01水果!$V1045)&lt;&gt;0)),1,0)</f>
        <v>0</v>
      </c>
      <c r="U1045" s="1" t="n">
        <f aca="false">N(U1044)+$T1045</f>
        <v>28</v>
      </c>
      <c r="V1045" s="1" t="n">
        <f aca="false">IF(AND($L1045=1,AND(对接源_01水果!$X1045="自备筐",N(对接源_01水果!$V1045)&lt;&gt;0)),1,0)</f>
        <v>0</v>
      </c>
      <c r="W1045" s="1" t="n">
        <f aca="false">N(W1044)+$V1045</f>
        <v>7</v>
      </c>
      <c r="X1045" s="1" t="n">
        <f aca="false">IF(AND($L1045=1,AND(对接源_01水果!$X1045="自备筐",N(对接源_01水果!$T1045)&lt;&gt;0)),1,0)</f>
        <v>0</v>
      </c>
      <c r="Y1045" s="1" t="n">
        <f aca="false">N(Y1044)+$X1045</f>
        <v>0</v>
      </c>
      <c r="Z1045" s="1" t="n">
        <f aca="false">IF(AND($M1045=1,对接源_01水果!$D1045="原料入库"),1,0)</f>
        <v>0</v>
      </c>
      <c r="AA1045" s="1" t="n">
        <f aca="false">N(AA1044)+$Z1045</f>
        <v>30</v>
      </c>
      <c r="AB1045" s="1" t="n">
        <f aca="false">IF(AND($M1045=1,LEFT(对接源_01水果!$D1045,4)="原料出库"),1,0)</f>
        <v>0</v>
      </c>
      <c r="AC1045" s="1" t="n">
        <f aca="false">N(AC1044)+$AB1045</f>
        <v>19</v>
      </c>
      <c r="AD1045" s="1" t="n">
        <f aca="false">IF(AND($M1045=1,LEFT(对接源_01水果!$D1045,4)="成品出库"),1,0)</f>
        <v>0</v>
      </c>
      <c r="AE1045" s="1" t="n">
        <f aca="false">N(AE1044)+$AD1045</f>
        <v>38</v>
      </c>
      <c r="AF1045" s="1" t="n">
        <f aca="false">IF(AND($N1045=1,AND(LEFT(对接源_01水果!$D1045,4)="包装物料",N(对接源_01水果!$K1045)&lt;&gt;0)),1,0)</f>
        <v>0</v>
      </c>
      <c r="AG1045" s="90" t="str">
        <f aca="false">IF(对接源_01水果!$AC1045="","",对接源_01水果!$AC1045)</f>
        <v/>
      </c>
      <c r="AH1045" s="1" t="n">
        <f aca="false">IF(AND($N1045=1,AND(LEFT(对接源_01水果!$D1045,3)="周转筐",N(对接源_01水果!$K1045)&lt;&gt;0)),1,0)</f>
        <v>0</v>
      </c>
      <c r="AI1045" s="90" t="n">
        <f aca="false">IF(AG1045="",0,IF(MATCH(AG1045,$AG$4:$AG$1203,0)=ROW()-3,1,0))</f>
        <v>0</v>
      </c>
      <c r="AJ1045" s="90" t="n">
        <f aca="false">N(AJ1044)+AI1045</f>
        <v>4</v>
      </c>
      <c r="AK1045" s="1" t="n">
        <f aca="false">N(AK1044)+$AJ1045</f>
        <v>3040</v>
      </c>
    </row>
    <row r="1046" customFormat="false" ht="13.5" hidden="false" customHeight="false" outlineLevel="0" collapsed="false">
      <c r="A1046" s="1" t="str">
        <f aca="false">IF(对接源_01水果!$C1046="","",对接源_01水果!$C1046)</f>
        <v/>
      </c>
      <c r="B1046" s="1" t="n">
        <f aca="false">IF(A1046="",0,IF(MATCH(A1046,$A$4:$A$2403,0)=ROW()-3,1,0))</f>
        <v>0</v>
      </c>
      <c r="C1046" s="1" t="n">
        <f aca="false">N(C1045)+B1046</f>
        <v>13</v>
      </c>
      <c r="K1046" s="1" t="n">
        <f aca="false">IF(OR($K$1="",对接源_01水果!$C1046="",对接源_01水果!$C1046&lt;&gt;$K$1,对接源_01水果!$B1046=""),0,IF(OR(N(对接源_01水果!$B1046)&lt;$K$2,N(对接源_01水果!$B1046)&gt;$K$3),0,1))</f>
        <v>0</v>
      </c>
      <c r="L1046" s="1" t="n">
        <f aca="false">IF(OR($L$1="",对接源_01水果!$C1046="",对接源_01水果!$C1046&lt;&gt;$L$1,对接源_01水果!$B1046=""),0,IF(OR(N(对接源_01水果!$B1046)&lt;$L$2,N(对接源_01水果!$B1046)&gt;$L$3),0,1))</f>
        <v>0</v>
      </c>
      <c r="M1046" s="1" t="n">
        <f aca="false">IF(OR($M$1="",对接源_01水果!$C1046="",对接源_01水果!$C1046&lt;&gt;$M$1,对接源_01水果!$B1046=""),0,IF(OR(N(对接源_01水果!$B1046)&lt;$M$2,N(对接源_01水果!$B1046)&gt;$M$3),0,1))</f>
        <v>0</v>
      </c>
      <c r="N1046" s="1" t="n">
        <f aca="false">IF(OR($N$1="",对接源_01水果!$C1046="",对接源_01水果!$C1046&lt;&gt;$N$1,对接源_01水果!$B1046=""),0,IF(OR(N(对接源_01水果!$B1046)&lt;$N$2,N(对接源_01水果!$B1046)&gt;$N$3),0,1))</f>
        <v>0</v>
      </c>
      <c r="P1046" s="1" t="n">
        <f aca="false">IF(AND($K1046=1,AND(对接源_01水果!$X1046="公司筐",N(对接源_01水果!$T1046)&lt;&gt;0)),1,0)</f>
        <v>0</v>
      </c>
      <c r="Q1046" s="1" t="n">
        <f aca="false">N(Q1045)+$P1046</f>
        <v>3</v>
      </c>
      <c r="R1046" s="1" t="n">
        <f aca="false">IF(AND($K1046=1,AND(对接源_01水果!$X1046="公司筐",N(对接源_01水果!$U1046)&lt;&gt;0)),1,0)</f>
        <v>0</v>
      </c>
      <c r="S1046" s="1" t="n">
        <f aca="false">N(S1045)+$R1046</f>
        <v>0</v>
      </c>
      <c r="T1046" s="1" t="n">
        <f aca="false">IF(AND($K1046=1,AND(对接源_01水果!$X1046="公司筐",N(对接源_01水果!$V1046)&lt;&gt;0)),1,0)</f>
        <v>0</v>
      </c>
      <c r="U1046" s="1" t="n">
        <f aca="false">N(U1045)+$T1046</f>
        <v>28</v>
      </c>
      <c r="V1046" s="1" t="n">
        <f aca="false">IF(AND($L1046=1,AND(对接源_01水果!$X1046="自备筐",N(对接源_01水果!$V1046)&lt;&gt;0)),1,0)</f>
        <v>0</v>
      </c>
      <c r="W1046" s="1" t="n">
        <f aca="false">N(W1045)+$V1046</f>
        <v>7</v>
      </c>
      <c r="X1046" s="1" t="n">
        <f aca="false">IF(AND($L1046=1,AND(对接源_01水果!$X1046="自备筐",N(对接源_01水果!$T1046)&lt;&gt;0)),1,0)</f>
        <v>0</v>
      </c>
      <c r="Y1046" s="1" t="n">
        <f aca="false">N(Y1045)+$X1046</f>
        <v>0</v>
      </c>
      <c r="Z1046" s="1" t="n">
        <f aca="false">IF(AND($M1046=1,对接源_01水果!$D1046="原料入库"),1,0)</f>
        <v>0</v>
      </c>
      <c r="AA1046" s="1" t="n">
        <f aca="false">N(AA1045)+$Z1046</f>
        <v>30</v>
      </c>
      <c r="AB1046" s="1" t="n">
        <f aca="false">IF(AND($M1046=1,LEFT(对接源_01水果!$D1046,4)="原料出库"),1,0)</f>
        <v>0</v>
      </c>
      <c r="AC1046" s="1" t="n">
        <f aca="false">N(AC1045)+$AB1046</f>
        <v>19</v>
      </c>
      <c r="AD1046" s="1" t="n">
        <f aca="false">IF(AND($M1046=1,LEFT(对接源_01水果!$D1046,4)="成品出库"),1,0)</f>
        <v>0</v>
      </c>
      <c r="AE1046" s="1" t="n">
        <f aca="false">N(AE1045)+$AD1046</f>
        <v>38</v>
      </c>
      <c r="AF1046" s="1" t="n">
        <f aca="false">IF(AND($N1046=1,AND(LEFT(对接源_01水果!$D1046,4)="包装物料",N(对接源_01水果!$K1046)&lt;&gt;0)),1,0)</f>
        <v>0</v>
      </c>
      <c r="AG1046" s="90" t="str">
        <f aca="false">IF(对接源_01水果!$AC1046="","",对接源_01水果!$AC1046)</f>
        <v/>
      </c>
      <c r="AH1046" s="1" t="n">
        <f aca="false">IF(AND($N1046=1,AND(LEFT(对接源_01水果!$D1046,3)="周转筐",N(对接源_01水果!$K1046)&lt;&gt;0)),1,0)</f>
        <v>0</v>
      </c>
      <c r="AI1046" s="90" t="n">
        <f aca="false">IF(AG1046="",0,IF(MATCH(AG1046,$AG$4:$AG$1203,0)=ROW()-3,1,0))</f>
        <v>0</v>
      </c>
      <c r="AJ1046" s="90" t="n">
        <f aca="false">N(AJ1045)+AI1046</f>
        <v>4</v>
      </c>
      <c r="AK1046" s="1" t="n">
        <f aca="false">N(AK1045)+$AJ1046</f>
        <v>3044</v>
      </c>
    </row>
    <row r="1047" customFormat="false" ht="13.5" hidden="false" customHeight="false" outlineLevel="0" collapsed="false">
      <c r="A1047" s="1" t="str">
        <f aca="false">IF(对接源_01水果!$C1047="","",对接源_01水果!$C1047)</f>
        <v/>
      </c>
      <c r="B1047" s="1" t="n">
        <f aca="false">IF(A1047="",0,IF(MATCH(A1047,$A$4:$A$2403,0)=ROW()-3,1,0))</f>
        <v>0</v>
      </c>
      <c r="C1047" s="1" t="n">
        <f aca="false">N(C1046)+B1047</f>
        <v>13</v>
      </c>
      <c r="K1047" s="1" t="n">
        <f aca="false">IF(OR($K$1="",对接源_01水果!$C1047="",对接源_01水果!$C1047&lt;&gt;$K$1,对接源_01水果!$B1047=""),0,IF(OR(N(对接源_01水果!$B1047)&lt;$K$2,N(对接源_01水果!$B1047)&gt;$K$3),0,1))</f>
        <v>0</v>
      </c>
      <c r="L1047" s="1" t="n">
        <f aca="false">IF(OR($L$1="",对接源_01水果!$C1047="",对接源_01水果!$C1047&lt;&gt;$L$1,对接源_01水果!$B1047=""),0,IF(OR(N(对接源_01水果!$B1047)&lt;$L$2,N(对接源_01水果!$B1047)&gt;$L$3),0,1))</f>
        <v>0</v>
      </c>
      <c r="M1047" s="1" t="n">
        <f aca="false">IF(OR($M$1="",对接源_01水果!$C1047="",对接源_01水果!$C1047&lt;&gt;$M$1,对接源_01水果!$B1047=""),0,IF(OR(N(对接源_01水果!$B1047)&lt;$M$2,N(对接源_01水果!$B1047)&gt;$M$3),0,1))</f>
        <v>0</v>
      </c>
      <c r="N1047" s="1" t="n">
        <f aca="false">IF(OR($N$1="",对接源_01水果!$C1047="",对接源_01水果!$C1047&lt;&gt;$N$1,对接源_01水果!$B1047=""),0,IF(OR(N(对接源_01水果!$B1047)&lt;$N$2,N(对接源_01水果!$B1047)&gt;$N$3),0,1))</f>
        <v>0</v>
      </c>
      <c r="P1047" s="1" t="n">
        <f aca="false">IF(AND($K1047=1,AND(对接源_01水果!$X1047="公司筐",N(对接源_01水果!$T1047)&lt;&gt;0)),1,0)</f>
        <v>0</v>
      </c>
      <c r="Q1047" s="1" t="n">
        <f aca="false">N(Q1046)+$P1047</f>
        <v>3</v>
      </c>
      <c r="R1047" s="1" t="n">
        <f aca="false">IF(AND($K1047=1,AND(对接源_01水果!$X1047="公司筐",N(对接源_01水果!$U1047)&lt;&gt;0)),1,0)</f>
        <v>0</v>
      </c>
      <c r="S1047" s="1" t="n">
        <f aca="false">N(S1046)+$R1047</f>
        <v>0</v>
      </c>
      <c r="T1047" s="1" t="n">
        <f aca="false">IF(AND($K1047=1,AND(对接源_01水果!$X1047="公司筐",N(对接源_01水果!$V1047)&lt;&gt;0)),1,0)</f>
        <v>0</v>
      </c>
      <c r="U1047" s="1" t="n">
        <f aca="false">N(U1046)+$T1047</f>
        <v>28</v>
      </c>
      <c r="V1047" s="1" t="n">
        <f aca="false">IF(AND($L1047=1,AND(对接源_01水果!$X1047="自备筐",N(对接源_01水果!$V1047)&lt;&gt;0)),1,0)</f>
        <v>0</v>
      </c>
      <c r="W1047" s="1" t="n">
        <f aca="false">N(W1046)+$V1047</f>
        <v>7</v>
      </c>
      <c r="X1047" s="1" t="n">
        <f aca="false">IF(AND($L1047=1,AND(对接源_01水果!$X1047="自备筐",N(对接源_01水果!$T1047)&lt;&gt;0)),1,0)</f>
        <v>0</v>
      </c>
      <c r="Y1047" s="1" t="n">
        <f aca="false">N(Y1046)+$X1047</f>
        <v>0</v>
      </c>
      <c r="Z1047" s="1" t="n">
        <f aca="false">IF(AND($M1047=1,对接源_01水果!$D1047="原料入库"),1,0)</f>
        <v>0</v>
      </c>
      <c r="AA1047" s="1" t="n">
        <f aca="false">N(AA1046)+$Z1047</f>
        <v>30</v>
      </c>
      <c r="AB1047" s="1" t="n">
        <f aca="false">IF(AND($M1047=1,LEFT(对接源_01水果!$D1047,4)="原料出库"),1,0)</f>
        <v>0</v>
      </c>
      <c r="AC1047" s="1" t="n">
        <f aca="false">N(AC1046)+$AB1047</f>
        <v>19</v>
      </c>
      <c r="AD1047" s="1" t="n">
        <f aca="false">IF(AND($M1047=1,LEFT(对接源_01水果!$D1047,4)="成品出库"),1,0)</f>
        <v>0</v>
      </c>
      <c r="AE1047" s="1" t="n">
        <f aca="false">N(AE1046)+$AD1047</f>
        <v>38</v>
      </c>
      <c r="AF1047" s="1" t="n">
        <f aca="false">IF(AND($N1047=1,AND(LEFT(对接源_01水果!$D1047,4)="包装物料",N(对接源_01水果!$K1047)&lt;&gt;0)),1,0)</f>
        <v>0</v>
      </c>
      <c r="AG1047" s="90" t="str">
        <f aca="false">IF(对接源_01水果!$AC1047="","",对接源_01水果!$AC1047)</f>
        <v/>
      </c>
      <c r="AH1047" s="1" t="n">
        <f aca="false">IF(AND($N1047=1,AND(LEFT(对接源_01水果!$D1047,3)="周转筐",N(对接源_01水果!$K1047)&lt;&gt;0)),1,0)</f>
        <v>0</v>
      </c>
      <c r="AI1047" s="90" t="n">
        <f aca="false">IF(AG1047="",0,IF(MATCH(AG1047,$AG$4:$AG$1203,0)=ROW()-3,1,0))</f>
        <v>0</v>
      </c>
      <c r="AJ1047" s="90" t="n">
        <f aca="false">N(AJ1046)+AI1047</f>
        <v>4</v>
      </c>
      <c r="AK1047" s="1" t="n">
        <f aca="false">N(AK1046)+$AJ1047</f>
        <v>3048</v>
      </c>
    </row>
    <row r="1048" customFormat="false" ht="13.5" hidden="false" customHeight="false" outlineLevel="0" collapsed="false">
      <c r="A1048" s="1" t="str">
        <f aca="false">IF(对接源_01水果!$C1048="","",对接源_01水果!$C1048)</f>
        <v/>
      </c>
      <c r="B1048" s="1" t="n">
        <f aca="false">IF(A1048="",0,IF(MATCH(A1048,$A$4:$A$2403,0)=ROW()-3,1,0))</f>
        <v>0</v>
      </c>
      <c r="C1048" s="1" t="n">
        <f aca="false">N(C1047)+B1048</f>
        <v>13</v>
      </c>
      <c r="K1048" s="1" t="n">
        <f aca="false">IF(OR($K$1="",对接源_01水果!$C1048="",对接源_01水果!$C1048&lt;&gt;$K$1,对接源_01水果!$B1048=""),0,IF(OR(N(对接源_01水果!$B1048)&lt;$K$2,N(对接源_01水果!$B1048)&gt;$K$3),0,1))</f>
        <v>0</v>
      </c>
      <c r="L1048" s="1" t="n">
        <f aca="false">IF(OR($L$1="",对接源_01水果!$C1048="",对接源_01水果!$C1048&lt;&gt;$L$1,对接源_01水果!$B1048=""),0,IF(OR(N(对接源_01水果!$B1048)&lt;$L$2,N(对接源_01水果!$B1048)&gt;$L$3),0,1))</f>
        <v>0</v>
      </c>
      <c r="M1048" s="1" t="n">
        <f aca="false">IF(OR($M$1="",对接源_01水果!$C1048="",对接源_01水果!$C1048&lt;&gt;$M$1,对接源_01水果!$B1048=""),0,IF(OR(N(对接源_01水果!$B1048)&lt;$M$2,N(对接源_01水果!$B1048)&gt;$M$3),0,1))</f>
        <v>0</v>
      </c>
      <c r="N1048" s="1" t="n">
        <f aca="false">IF(OR($N$1="",对接源_01水果!$C1048="",对接源_01水果!$C1048&lt;&gt;$N$1,对接源_01水果!$B1048=""),0,IF(OR(N(对接源_01水果!$B1048)&lt;$N$2,N(对接源_01水果!$B1048)&gt;$N$3),0,1))</f>
        <v>0</v>
      </c>
      <c r="P1048" s="1" t="n">
        <f aca="false">IF(AND($K1048=1,AND(对接源_01水果!$X1048="公司筐",N(对接源_01水果!$T1048)&lt;&gt;0)),1,0)</f>
        <v>0</v>
      </c>
      <c r="Q1048" s="1" t="n">
        <f aca="false">N(Q1047)+$P1048</f>
        <v>3</v>
      </c>
      <c r="R1048" s="1" t="n">
        <f aca="false">IF(AND($K1048=1,AND(对接源_01水果!$X1048="公司筐",N(对接源_01水果!$U1048)&lt;&gt;0)),1,0)</f>
        <v>0</v>
      </c>
      <c r="S1048" s="1" t="n">
        <f aca="false">N(S1047)+$R1048</f>
        <v>0</v>
      </c>
      <c r="T1048" s="1" t="n">
        <f aca="false">IF(AND($K1048=1,AND(对接源_01水果!$X1048="公司筐",N(对接源_01水果!$V1048)&lt;&gt;0)),1,0)</f>
        <v>0</v>
      </c>
      <c r="U1048" s="1" t="n">
        <f aca="false">N(U1047)+$T1048</f>
        <v>28</v>
      </c>
      <c r="V1048" s="1" t="n">
        <f aca="false">IF(AND($L1048=1,AND(对接源_01水果!$X1048="自备筐",N(对接源_01水果!$V1048)&lt;&gt;0)),1,0)</f>
        <v>0</v>
      </c>
      <c r="W1048" s="1" t="n">
        <f aca="false">N(W1047)+$V1048</f>
        <v>7</v>
      </c>
      <c r="X1048" s="1" t="n">
        <f aca="false">IF(AND($L1048=1,AND(对接源_01水果!$X1048="自备筐",N(对接源_01水果!$T1048)&lt;&gt;0)),1,0)</f>
        <v>0</v>
      </c>
      <c r="Y1048" s="1" t="n">
        <f aca="false">N(Y1047)+$X1048</f>
        <v>0</v>
      </c>
      <c r="Z1048" s="1" t="n">
        <f aca="false">IF(AND($M1048=1,对接源_01水果!$D1048="原料入库"),1,0)</f>
        <v>0</v>
      </c>
      <c r="AA1048" s="1" t="n">
        <f aca="false">N(AA1047)+$Z1048</f>
        <v>30</v>
      </c>
      <c r="AB1048" s="1" t="n">
        <f aca="false">IF(AND($M1048=1,LEFT(对接源_01水果!$D1048,4)="原料出库"),1,0)</f>
        <v>0</v>
      </c>
      <c r="AC1048" s="1" t="n">
        <f aca="false">N(AC1047)+$AB1048</f>
        <v>19</v>
      </c>
      <c r="AD1048" s="1" t="n">
        <f aca="false">IF(AND($M1048=1,LEFT(对接源_01水果!$D1048,4)="成品出库"),1,0)</f>
        <v>0</v>
      </c>
      <c r="AE1048" s="1" t="n">
        <f aca="false">N(AE1047)+$AD1048</f>
        <v>38</v>
      </c>
      <c r="AF1048" s="1" t="n">
        <f aca="false">IF(AND($N1048=1,AND(LEFT(对接源_01水果!$D1048,4)="包装物料",N(对接源_01水果!$K1048)&lt;&gt;0)),1,0)</f>
        <v>0</v>
      </c>
      <c r="AG1048" s="90" t="str">
        <f aca="false">IF(对接源_01水果!$AC1048="","",对接源_01水果!$AC1048)</f>
        <v/>
      </c>
      <c r="AH1048" s="1" t="n">
        <f aca="false">IF(AND($N1048=1,AND(LEFT(对接源_01水果!$D1048,3)="周转筐",N(对接源_01水果!$K1048)&lt;&gt;0)),1,0)</f>
        <v>0</v>
      </c>
      <c r="AI1048" s="90" t="n">
        <f aca="false">IF(AG1048="",0,IF(MATCH(AG1048,$AG$4:$AG$1203,0)=ROW()-3,1,0))</f>
        <v>0</v>
      </c>
      <c r="AJ1048" s="90" t="n">
        <f aca="false">N(AJ1047)+AI1048</f>
        <v>4</v>
      </c>
      <c r="AK1048" s="1" t="n">
        <f aca="false">N(AK1047)+$AJ1048</f>
        <v>3052</v>
      </c>
    </row>
    <row r="1049" customFormat="false" ht="13.5" hidden="false" customHeight="false" outlineLevel="0" collapsed="false">
      <c r="A1049" s="1" t="str">
        <f aca="false">IF(对接源_01水果!$C1049="","",对接源_01水果!$C1049)</f>
        <v/>
      </c>
      <c r="B1049" s="1" t="n">
        <f aca="false">IF(A1049="",0,IF(MATCH(A1049,$A$4:$A$2403,0)=ROW()-3,1,0))</f>
        <v>0</v>
      </c>
      <c r="C1049" s="1" t="n">
        <f aca="false">N(C1048)+B1049</f>
        <v>13</v>
      </c>
      <c r="K1049" s="1" t="n">
        <f aca="false">IF(OR($K$1="",对接源_01水果!$C1049="",对接源_01水果!$C1049&lt;&gt;$K$1,对接源_01水果!$B1049=""),0,IF(OR(N(对接源_01水果!$B1049)&lt;$K$2,N(对接源_01水果!$B1049)&gt;$K$3),0,1))</f>
        <v>0</v>
      </c>
      <c r="L1049" s="1" t="n">
        <f aca="false">IF(OR($L$1="",对接源_01水果!$C1049="",对接源_01水果!$C1049&lt;&gt;$L$1,对接源_01水果!$B1049=""),0,IF(OR(N(对接源_01水果!$B1049)&lt;$L$2,N(对接源_01水果!$B1049)&gt;$L$3),0,1))</f>
        <v>0</v>
      </c>
      <c r="M1049" s="1" t="n">
        <f aca="false">IF(OR($M$1="",对接源_01水果!$C1049="",对接源_01水果!$C1049&lt;&gt;$M$1,对接源_01水果!$B1049=""),0,IF(OR(N(对接源_01水果!$B1049)&lt;$M$2,N(对接源_01水果!$B1049)&gt;$M$3),0,1))</f>
        <v>0</v>
      </c>
      <c r="N1049" s="1" t="n">
        <f aca="false">IF(OR($N$1="",对接源_01水果!$C1049="",对接源_01水果!$C1049&lt;&gt;$N$1,对接源_01水果!$B1049=""),0,IF(OR(N(对接源_01水果!$B1049)&lt;$N$2,N(对接源_01水果!$B1049)&gt;$N$3),0,1))</f>
        <v>0</v>
      </c>
      <c r="P1049" s="1" t="n">
        <f aca="false">IF(AND($K1049=1,AND(对接源_01水果!$X1049="公司筐",N(对接源_01水果!$T1049)&lt;&gt;0)),1,0)</f>
        <v>0</v>
      </c>
      <c r="Q1049" s="1" t="n">
        <f aca="false">N(Q1048)+$P1049</f>
        <v>3</v>
      </c>
      <c r="R1049" s="1" t="n">
        <f aca="false">IF(AND($K1049=1,AND(对接源_01水果!$X1049="公司筐",N(对接源_01水果!$U1049)&lt;&gt;0)),1,0)</f>
        <v>0</v>
      </c>
      <c r="S1049" s="1" t="n">
        <f aca="false">N(S1048)+$R1049</f>
        <v>0</v>
      </c>
      <c r="T1049" s="1" t="n">
        <f aca="false">IF(AND($K1049=1,AND(对接源_01水果!$X1049="公司筐",N(对接源_01水果!$V1049)&lt;&gt;0)),1,0)</f>
        <v>0</v>
      </c>
      <c r="U1049" s="1" t="n">
        <f aca="false">N(U1048)+$T1049</f>
        <v>28</v>
      </c>
      <c r="V1049" s="1" t="n">
        <f aca="false">IF(AND($L1049=1,AND(对接源_01水果!$X1049="自备筐",N(对接源_01水果!$V1049)&lt;&gt;0)),1,0)</f>
        <v>0</v>
      </c>
      <c r="W1049" s="1" t="n">
        <f aca="false">N(W1048)+$V1049</f>
        <v>7</v>
      </c>
      <c r="X1049" s="1" t="n">
        <f aca="false">IF(AND($L1049=1,AND(对接源_01水果!$X1049="自备筐",N(对接源_01水果!$T1049)&lt;&gt;0)),1,0)</f>
        <v>0</v>
      </c>
      <c r="Y1049" s="1" t="n">
        <f aca="false">N(Y1048)+$X1049</f>
        <v>0</v>
      </c>
      <c r="Z1049" s="1" t="n">
        <f aca="false">IF(AND($M1049=1,对接源_01水果!$D1049="原料入库"),1,0)</f>
        <v>0</v>
      </c>
      <c r="AA1049" s="1" t="n">
        <f aca="false">N(AA1048)+$Z1049</f>
        <v>30</v>
      </c>
      <c r="AB1049" s="1" t="n">
        <f aca="false">IF(AND($M1049=1,LEFT(对接源_01水果!$D1049,4)="原料出库"),1,0)</f>
        <v>0</v>
      </c>
      <c r="AC1049" s="1" t="n">
        <f aca="false">N(AC1048)+$AB1049</f>
        <v>19</v>
      </c>
      <c r="AD1049" s="1" t="n">
        <f aca="false">IF(AND($M1049=1,LEFT(对接源_01水果!$D1049,4)="成品出库"),1,0)</f>
        <v>0</v>
      </c>
      <c r="AE1049" s="1" t="n">
        <f aca="false">N(AE1048)+$AD1049</f>
        <v>38</v>
      </c>
      <c r="AF1049" s="1" t="n">
        <f aca="false">IF(AND($N1049=1,AND(LEFT(对接源_01水果!$D1049,4)="包装物料",N(对接源_01水果!$K1049)&lt;&gt;0)),1,0)</f>
        <v>0</v>
      </c>
      <c r="AG1049" s="90" t="str">
        <f aca="false">IF(对接源_01水果!$AC1049="","",对接源_01水果!$AC1049)</f>
        <v/>
      </c>
      <c r="AH1049" s="1" t="n">
        <f aca="false">IF(AND($N1049=1,AND(LEFT(对接源_01水果!$D1049,3)="周转筐",N(对接源_01水果!$K1049)&lt;&gt;0)),1,0)</f>
        <v>0</v>
      </c>
      <c r="AI1049" s="90" t="n">
        <f aca="false">IF(AG1049="",0,IF(MATCH(AG1049,$AG$4:$AG$1203,0)=ROW()-3,1,0))</f>
        <v>0</v>
      </c>
      <c r="AJ1049" s="90" t="n">
        <f aca="false">N(AJ1048)+AI1049</f>
        <v>4</v>
      </c>
      <c r="AK1049" s="1" t="n">
        <f aca="false">N(AK1048)+$AJ1049</f>
        <v>3056</v>
      </c>
    </row>
    <row r="1050" customFormat="false" ht="13.5" hidden="false" customHeight="false" outlineLevel="0" collapsed="false">
      <c r="A1050" s="1" t="str">
        <f aca="false">IF(对接源_01水果!$C1050="","",对接源_01水果!$C1050)</f>
        <v/>
      </c>
      <c r="B1050" s="1" t="n">
        <f aca="false">IF(A1050="",0,IF(MATCH(A1050,$A$4:$A$2403,0)=ROW()-3,1,0))</f>
        <v>0</v>
      </c>
      <c r="C1050" s="1" t="n">
        <f aca="false">N(C1049)+B1050</f>
        <v>13</v>
      </c>
      <c r="K1050" s="1" t="n">
        <f aca="false">IF(OR($K$1="",对接源_01水果!$C1050="",对接源_01水果!$C1050&lt;&gt;$K$1,对接源_01水果!$B1050=""),0,IF(OR(N(对接源_01水果!$B1050)&lt;$K$2,N(对接源_01水果!$B1050)&gt;$K$3),0,1))</f>
        <v>0</v>
      </c>
      <c r="L1050" s="1" t="n">
        <f aca="false">IF(OR($L$1="",对接源_01水果!$C1050="",对接源_01水果!$C1050&lt;&gt;$L$1,对接源_01水果!$B1050=""),0,IF(OR(N(对接源_01水果!$B1050)&lt;$L$2,N(对接源_01水果!$B1050)&gt;$L$3),0,1))</f>
        <v>0</v>
      </c>
      <c r="M1050" s="1" t="n">
        <f aca="false">IF(OR($M$1="",对接源_01水果!$C1050="",对接源_01水果!$C1050&lt;&gt;$M$1,对接源_01水果!$B1050=""),0,IF(OR(N(对接源_01水果!$B1050)&lt;$M$2,N(对接源_01水果!$B1050)&gt;$M$3),0,1))</f>
        <v>0</v>
      </c>
      <c r="N1050" s="1" t="n">
        <f aca="false">IF(OR($N$1="",对接源_01水果!$C1050="",对接源_01水果!$C1050&lt;&gt;$N$1,对接源_01水果!$B1050=""),0,IF(OR(N(对接源_01水果!$B1050)&lt;$N$2,N(对接源_01水果!$B1050)&gt;$N$3),0,1))</f>
        <v>0</v>
      </c>
      <c r="P1050" s="1" t="n">
        <f aca="false">IF(AND($K1050=1,AND(对接源_01水果!$X1050="公司筐",N(对接源_01水果!$T1050)&lt;&gt;0)),1,0)</f>
        <v>0</v>
      </c>
      <c r="Q1050" s="1" t="n">
        <f aca="false">N(Q1049)+$P1050</f>
        <v>3</v>
      </c>
      <c r="R1050" s="1" t="n">
        <f aca="false">IF(AND($K1050=1,AND(对接源_01水果!$X1050="公司筐",N(对接源_01水果!$U1050)&lt;&gt;0)),1,0)</f>
        <v>0</v>
      </c>
      <c r="S1050" s="1" t="n">
        <f aca="false">N(S1049)+$R1050</f>
        <v>0</v>
      </c>
      <c r="T1050" s="1" t="n">
        <f aca="false">IF(AND($K1050=1,AND(对接源_01水果!$X1050="公司筐",N(对接源_01水果!$V1050)&lt;&gt;0)),1,0)</f>
        <v>0</v>
      </c>
      <c r="U1050" s="1" t="n">
        <f aca="false">N(U1049)+$T1050</f>
        <v>28</v>
      </c>
      <c r="V1050" s="1" t="n">
        <f aca="false">IF(AND($L1050=1,AND(对接源_01水果!$X1050="自备筐",N(对接源_01水果!$V1050)&lt;&gt;0)),1,0)</f>
        <v>0</v>
      </c>
      <c r="W1050" s="1" t="n">
        <f aca="false">N(W1049)+$V1050</f>
        <v>7</v>
      </c>
      <c r="X1050" s="1" t="n">
        <f aca="false">IF(AND($L1050=1,AND(对接源_01水果!$X1050="自备筐",N(对接源_01水果!$T1050)&lt;&gt;0)),1,0)</f>
        <v>0</v>
      </c>
      <c r="Y1050" s="1" t="n">
        <f aca="false">N(Y1049)+$X1050</f>
        <v>0</v>
      </c>
      <c r="Z1050" s="1" t="n">
        <f aca="false">IF(AND($M1050=1,对接源_01水果!$D1050="原料入库"),1,0)</f>
        <v>0</v>
      </c>
      <c r="AA1050" s="1" t="n">
        <f aca="false">N(AA1049)+$Z1050</f>
        <v>30</v>
      </c>
      <c r="AB1050" s="1" t="n">
        <f aca="false">IF(AND($M1050=1,LEFT(对接源_01水果!$D1050,4)="原料出库"),1,0)</f>
        <v>0</v>
      </c>
      <c r="AC1050" s="1" t="n">
        <f aca="false">N(AC1049)+$AB1050</f>
        <v>19</v>
      </c>
      <c r="AD1050" s="1" t="n">
        <f aca="false">IF(AND($M1050=1,LEFT(对接源_01水果!$D1050,4)="成品出库"),1,0)</f>
        <v>0</v>
      </c>
      <c r="AE1050" s="1" t="n">
        <f aca="false">N(AE1049)+$AD1050</f>
        <v>38</v>
      </c>
      <c r="AF1050" s="1" t="n">
        <f aca="false">IF(AND($N1050=1,AND(LEFT(对接源_01水果!$D1050,4)="包装物料",N(对接源_01水果!$K1050)&lt;&gt;0)),1,0)</f>
        <v>0</v>
      </c>
      <c r="AG1050" s="90" t="str">
        <f aca="false">IF(对接源_01水果!$AC1050="","",对接源_01水果!$AC1050)</f>
        <v/>
      </c>
      <c r="AH1050" s="1" t="n">
        <f aca="false">IF(AND($N1050=1,AND(LEFT(对接源_01水果!$D1050,3)="周转筐",N(对接源_01水果!$K1050)&lt;&gt;0)),1,0)</f>
        <v>0</v>
      </c>
      <c r="AI1050" s="90" t="n">
        <f aca="false">IF(AG1050="",0,IF(MATCH(AG1050,$AG$4:$AG$1203,0)=ROW()-3,1,0))</f>
        <v>0</v>
      </c>
      <c r="AJ1050" s="90" t="n">
        <f aca="false">N(AJ1049)+AI1050</f>
        <v>4</v>
      </c>
      <c r="AK1050" s="1" t="n">
        <f aca="false">N(AK1049)+$AJ1050</f>
        <v>3060</v>
      </c>
    </row>
    <row r="1051" customFormat="false" ht="13.5" hidden="false" customHeight="false" outlineLevel="0" collapsed="false">
      <c r="A1051" s="1" t="str">
        <f aca="false">IF(对接源_01水果!$C1051="","",对接源_01水果!$C1051)</f>
        <v/>
      </c>
      <c r="B1051" s="1" t="n">
        <f aca="false">IF(A1051="",0,IF(MATCH(A1051,$A$4:$A$2403,0)=ROW()-3,1,0))</f>
        <v>0</v>
      </c>
      <c r="C1051" s="1" t="n">
        <f aca="false">N(C1050)+B1051</f>
        <v>13</v>
      </c>
      <c r="K1051" s="1" t="n">
        <f aca="false">IF(OR($K$1="",对接源_01水果!$C1051="",对接源_01水果!$C1051&lt;&gt;$K$1,对接源_01水果!$B1051=""),0,IF(OR(N(对接源_01水果!$B1051)&lt;$K$2,N(对接源_01水果!$B1051)&gt;$K$3),0,1))</f>
        <v>0</v>
      </c>
      <c r="L1051" s="1" t="n">
        <f aca="false">IF(OR($L$1="",对接源_01水果!$C1051="",对接源_01水果!$C1051&lt;&gt;$L$1,对接源_01水果!$B1051=""),0,IF(OR(N(对接源_01水果!$B1051)&lt;$L$2,N(对接源_01水果!$B1051)&gt;$L$3),0,1))</f>
        <v>0</v>
      </c>
      <c r="M1051" s="1" t="n">
        <f aca="false">IF(OR($M$1="",对接源_01水果!$C1051="",对接源_01水果!$C1051&lt;&gt;$M$1,对接源_01水果!$B1051=""),0,IF(OR(N(对接源_01水果!$B1051)&lt;$M$2,N(对接源_01水果!$B1051)&gt;$M$3),0,1))</f>
        <v>0</v>
      </c>
      <c r="N1051" s="1" t="n">
        <f aca="false">IF(OR($N$1="",对接源_01水果!$C1051="",对接源_01水果!$C1051&lt;&gt;$N$1,对接源_01水果!$B1051=""),0,IF(OR(N(对接源_01水果!$B1051)&lt;$N$2,N(对接源_01水果!$B1051)&gt;$N$3),0,1))</f>
        <v>0</v>
      </c>
      <c r="P1051" s="1" t="n">
        <f aca="false">IF(AND($K1051=1,AND(对接源_01水果!$X1051="公司筐",N(对接源_01水果!$T1051)&lt;&gt;0)),1,0)</f>
        <v>0</v>
      </c>
      <c r="Q1051" s="1" t="n">
        <f aca="false">N(Q1050)+$P1051</f>
        <v>3</v>
      </c>
      <c r="R1051" s="1" t="n">
        <f aca="false">IF(AND($K1051=1,AND(对接源_01水果!$X1051="公司筐",N(对接源_01水果!$U1051)&lt;&gt;0)),1,0)</f>
        <v>0</v>
      </c>
      <c r="S1051" s="1" t="n">
        <f aca="false">N(S1050)+$R1051</f>
        <v>0</v>
      </c>
      <c r="T1051" s="1" t="n">
        <f aca="false">IF(AND($K1051=1,AND(对接源_01水果!$X1051="公司筐",N(对接源_01水果!$V1051)&lt;&gt;0)),1,0)</f>
        <v>0</v>
      </c>
      <c r="U1051" s="1" t="n">
        <f aca="false">N(U1050)+$T1051</f>
        <v>28</v>
      </c>
      <c r="V1051" s="1" t="n">
        <f aca="false">IF(AND($L1051=1,AND(对接源_01水果!$X1051="自备筐",N(对接源_01水果!$V1051)&lt;&gt;0)),1,0)</f>
        <v>0</v>
      </c>
      <c r="W1051" s="1" t="n">
        <f aca="false">N(W1050)+$V1051</f>
        <v>7</v>
      </c>
      <c r="X1051" s="1" t="n">
        <f aca="false">IF(AND($L1051=1,AND(对接源_01水果!$X1051="自备筐",N(对接源_01水果!$T1051)&lt;&gt;0)),1,0)</f>
        <v>0</v>
      </c>
      <c r="Y1051" s="1" t="n">
        <f aca="false">N(Y1050)+$X1051</f>
        <v>0</v>
      </c>
      <c r="Z1051" s="1" t="n">
        <f aca="false">IF(AND($M1051=1,对接源_01水果!$D1051="原料入库"),1,0)</f>
        <v>0</v>
      </c>
      <c r="AA1051" s="1" t="n">
        <f aca="false">N(AA1050)+$Z1051</f>
        <v>30</v>
      </c>
      <c r="AB1051" s="1" t="n">
        <f aca="false">IF(AND($M1051=1,LEFT(对接源_01水果!$D1051,4)="原料出库"),1,0)</f>
        <v>0</v>
      </c>
      <c r="AC1051" s="1" t="n">
        <f aca="false">N(AC1050)+$AB1051</f>
        <v>19</v>
      </c>
      <c r="AD1051" s="1" t="n">
        <f aca="false">IF(AND($M1051=1,LEFT(对接源_01水果!$D1051,4)="成品出库"),1,0)</f>
        <v>0</v>
      </c>
      <c r="AE1051" s="1" t="n">
        <f aca="false">N(AE1050)+$AD1051</f>
        <v>38</v>
      </c>
      <c r="AF1051" s="1" t="n">
        <f aca="false">IF(AND($N1051=1,AND(LEFT(对接源_01水果!$D1051,4)="包装物料",N(对接源_01水果!$K1051)&lt;&gt;0)),1,0)</f>
        <v>0</v>
      </c>
      <c r="AG1051" s="90" t="str">
        <f aca="false">IF(对接源_01水果!$AC1051="","",对接源_01水果!$AC1051)</f>
        <v/>
      </c>
      <c r="AH1051" s="1" t="n">
        <f aca="false">IF(AND($N1051=1,AND(LEFT(对接源_01水果!$D1051,3)="周转筐",N(对接源_01水果!$K1051)&lt;&gt;0)),1,0)</f>
        <v>0</v>
      </c>
      <c r="AI1051" s="90" t="n">
        <f aca="false">IF(AG1051="",0,IF(MATCH(AG1051,$AG$4:$AG$1203,0)=ROW()-3,1,0))</f>
        <v>0</v>
      </c>
      <c r="AJ1051" s="90" t="n">
        <f aca="false">N(AJ1050)+AI1051</f>
        <v>4</v>
      </c>
      <c r="AK1051" s="1" t="n">
        <f aca="false">N(AK1050)+$AJ1051</f>
        <v>3064</v>
      </c>
    </row>
    <row r="1052" customFormat="false" ht="13.5" hidden="false" customHeight="false" outlineLevel="0" collapsed="false">
      <c r="A1052" s="1" t="str">
        <f aca="false">IF(对接源_01水果!$C1052="","",对接源_01水果!$C1052)</f>
        <v/>
      </c>
      <c r="B1052" s="1" t="n">
        <f aca="false">IF(A1052="",0,IF(MATCH(A1052,$A$4:$A$2403,0)=ROW()-3,1,0))</f>
        <v>0</v>
      </c>
      <c r="C1052" s="1" t="n">
        <f aca="false">N(C1051)+B1052</f>
        <v>13</v>
      </c>
      <c r="K1052" s="1" t="n">
        <f aca="false">IF(OR($K$1="",对接源_01水果!$C1052="",对接源_01水果!$C1052&lt;&gt;$K$1,对接源_01水果!$B1052=""),0,IF(OR(N(对接源_01水果!$B1052)&lt;$K$2,N(对接源_01水果!$B1052)&gt;$K$3),0,1))</f>
        <v>0</v>
      </c>
      <c r="L1052" s="1" t="n">
        <f aca="false">IF(OR($L$1="",对接源_01水果!$C1052="",对接源_01水果!$C1052&lt;&gt;$L$1,对接源_01水果!$B1052=""),0,IF(OR(N(对接源_01水果!$B1052)&lt;$L$2,N(对接源_01水果!$B1052)&gt;$L$3),0,1))</f>
        <v>0</v>
      </c>
      <c r="M1052" s="1" t="n">
        <f aca="false">IF(OR($M$1="",对接源_01水果!$C1052="",对接源_01水果!$C1052&lt;&gt;$M$1,对接源_01水果!$B1052=""),0,IF(OR(N(对接源_01水果!$B1052)&lt;$M$2,N(对接源_01水果!$B1052)&gt;$M$3),0,1))</f>
        <v>0</v>
      </c>
      <c r="N1052" s="1" t="n">
        <f aca="false">IF(OR($N$1="",对接源_01水果!$C1052="",对接源_01水果!$C1052&lt;&gt;$N$1,对接源_01水果!$B1052=""),0,IF(OR(N(对接源_01水果!$B1052)&lt;$N$2,N(对接源_01水果!$B1052)&gt;$N$3),0,1))</f>
        <v>0</v>
      </c>
      <c r="P1052" s="1" t="n">
        <f aca="false">IF(AND($K1052=1,AND(对接源_01水果!$X1052="公司筐",N(对接源_01水果!$T1052)&lt;&gt;0)),1,0)</f>
        <v>0</v>
      </c>
      <c r="Q1052" s="1" t="n">
        <f aca="false">N(Q1051)+$P1052</f>
        <v>3</v>
      </c>
      <c r="R1052" s="1" t="n">
        <f aca="false">IF(AND($K1052=1,AND(对接源_01水果!$X1052="公司筐",N(对接源_01水果!$U1052)&lt;&gt;0)),1,0)</f>
        <v>0</v>
      </c>
      <c r="S1052" s="1" t="n">
        <f aca="false">N(S1051)+$R1052</f>
        <v>0</v>
      </c>
      <c r="T1052" s="1" t="n">
        <f aca="false">IF(AND($K1052=1,AND(对接源_01水果!$X1052="公司筐",N(对接源_01水果!$V1052)&lt;&gt;0)),1,0)</f>
        <v>0</v>
      </c>
      <c r="U1052" s="1" t="n">
        <f aca="false">N(U1051)+$T1052</f>
        <v>28</v>
      </c>
      <c r="V1052" s="1" t="n">
        <f aca="false">IF(AND($L1052=1,AND(对接源_01水果!$X1052="自备筐",N(对接源_01水果!$V1052)&lt;&gt;0)),1,0)</f>
        <v>0</v>
      </c>
      <c r="W1052" s="1" t="n">
        <f aca="false">N(W1051)+$V1052</f>
        <v>7</v>
      </c>
      <c r="X1052" s="1" t="n">
        <f aca="false">IF(AND($L1052=1,AND(对接源_01水果!$X1052="自备筐",N(对接源_01水果!$T1052)&lt;&gt;0)),1,0)</f>
        <v>0</v>
      </c>
      <c r="Y1052" s="1" t="n">
        <f aca="false">N(Y1051)+$X1052</f>
        <v>0</v>
      </c>
      <c r="Z1052" s="1" t="n">
        <f aca="false">IF(AND($M1052=1,对接源_01水果!$D1052="原料入库"),1,0)</f>
        <v>0</v>
      </c>
      <c r="AA1052" s="1" t="n">
        <f aca="false">N(AA1051)+$Z1052</f>
        <v>30</v>
      </c>
      <c r="AB1052" s="1" t="n">
        <f aca="false">IF(AND($M1052=1,LEFT(对接源_01水果!$D1052,4)="原料出库"),1,0)</f>
        <v>0</v>
      </c>
      <c r="AC1052" s="1" t="n">
        <f aca="false">N(AC1051)+$AB1052</f>
        <v>19</v>
      </c>
      <c r="AD1052" s="1" t="n">
        <f aca="false">IF(AND($M1052=1,LEFT(对接源_01水果!$D1052,4)="成品出库"),1,0)</f>
        <v>0</v>
      </c>
      <c r="AE1052" s="1" t="n">
        <f aca="false">N(AE1051)+$AD1052</f>
        <v>38</v>
      </c>
      <c r="AF1052" s="1" t="n">
        <f aca="false">IF(AND($N1052=1,AND(LEFT(对接源_01水果!$D1052,4)="包装物料",N(对接源_01水果!$K1052)&lt;&gt;0)),1,0)</f>
        <v>0</v>
      </c>
      <c r="AG1052" s="90" t="str">
        <f aca="false">IF(对接源_01水果!$AC1052="","",对接源_01水果!$AC1052)</f>
        <v/>
      </c>
      <c r="AH1052" s="1" t="n">
        <f aca="false">IF(AND($N1052=1,AND(LEFT(对接源_01水果!$D1052,3)="周转筐",N(对接源_01水果!$K1052)&lt;&gt;0)),1,0)</f>
        <v>0</v>
      </c>
      <c r="AI1052" s="90" t="n">
        <f aca="false">IF(AG1052="",0,IF(MATCH(AG1052,$AG$4:$AG$1203,0)=ROW()-3,1,0))</f>
        <v>0</v>
      </c>
      <c r="AJ1052" s="90" t="n">
        <f aca="false">N(AJ1051)+AI1052</f>
        <v>4</v>
      </c>
      <c r="AK1052" s="1" t="n">
        <f aca="false">N(AK1051)+$AJ1052</f>
        <v>3068</v>
      </c>
    </row>
    <row r="1053" customFormat="false" ht="13.5" hidden="false" customHeight="false" outlineLevel="0" collapsed="false">
      <c r="A1053" s="1" t="str">
        <f aca="false">IF(对接源_01水果!$C1053="","",对接源_01水果!$C1053)</f>
        <v/>
      </c>
      <c r="B1053" s="1" t="n">
        <f aca="false">IF(A1053="",0,IF(MATCH(A1053,$A$4:$A$2403,0)=ROW()-3,1,0))</f>
        <v>0</v>
      </c>
      <c r="C1053" s="1" t="n">
        <f aca="false">N(C1052)+B1053</f>
        <v>13</v>
      </c>
      <c r="K1053" s="1" t="n">
        <f aca="false">IF(OR($K$1="",对接源_01水果!$C1053="",对接源_01水果!$C1053&lt;&gt;$K$1,对接源_01水果!$B1053=""),0,IF(OR(N(对接源_01水果!$B1053)&lt;$K$2,N(对接源_01水果!$B1053)&gt;$K$3),0,1))</f>
        <v>0</v>
      </c>
      <c r="L1053" s="1" t="n">
        <f aca="false">IF(OR($L$1="",对接源_01水果!$C1053="",对接源_01水果!$C1053&lt;&gt;$L$1,对接源_01水果!$B1053=""),0,IF(OR(N(对接源_01水果!$B1053)&lt;$L$2,N(对接源_01水果!$B1053)&gt;$L$3),0,1))</f>
        <v>0</v>
      </c>
      <c r="M1053" s="1" t="n">
        <f aca="false">IF(OR($M$1="",对接源_01水果!$C1053="",对接源_01水果!$C1053&lt;&gt;$M$1,对接源_01水果!$B1053=""),0,IF(OR(N(对接源_01水果!$B1053)&lt;$M$2,N(对接源_01水果!$B1053)&gt;$M$3),0,1))</f>
        <v>0</v>
      </c>
      <c r="N1053" s="1" t="n">
        <f aca="false">IF(OR($N$1="",对接源_01水果!$C1053="",对接源_01水果!$C1053&lt;&gt;$N$1,对接源_01水果!$B1053=""),0,IF(OR(N(对接源_01水果!$B1053)&lt;$N$2,N(对接源_01水果!$B1053)&gt;$N$3),0,1))</f>
        <v>0</v>
      </c>
      <c r="P1053" s="1" t="n">
        <f aca="false">IF(AND($K1053=1,AND(对接源_01水果!$X1053="公司筐",N(对接源_01水果!$T1053)&lt;&gt;0)),1,0)</f>
        <v>0</v>
      </c>
      <c r="Q1053" s="1" t="n">
        <f aca="false">N(Q1052)+$P1053</f>
        <v>3</v>
      </c>
      <c r="R1053" s="1" t="n">
        <f aca="false">IF(AND($K1053=1,AND(对接源_01水果!$X1053="公司筐",N(对接源_01水果!$U1053)&lt;&gt;0)),1,0)</f>
        <v>0</v>
      </c>
      <c r="S1053" s="1" t="n">
        <f aca="false">N(S1052)+$R1053</f>
        <v>0</v>
      </c>
      <c r="T1053" s="1" t="n">
        <f aca="false">IF(AND($K1053=1,AND(对接源_01水果!$X1053="公司筐",N(对接源_01水果!$V1053)&lt;&gt;0)),1,0)</f>
        <v>0</v>
      </c>
      <c r="U1053" s="1" t="n">
        <f aca="false">N(U1052)+$T1053</f>
        <v>28</v>
      </c>
      <c r="V1053" s="1" t="n">
        <f aca="false">IF(AND($L1053=1,AND(对接源_01水果!$X1053="自备筐",N(对接源_01水果!$V1053)&lt;&gt;0)),1,0)</f>
        <v>0</v>
      </c>
      <c r="W1053" s="1" t="n">
        <f aca="false">N(W1052)+$V1053</f>
        <v>7</v>
      </c>
      <c r="X1053" s="1" t="n">
        <f aca="false">IF(AND($L1053=1,AND(对接源_01水果!$X1053="自备筐",N(对接源_01水果!$T1053)&lt;&gt;0)),1,0)</f>
        <v>0</v>
      </c>
      <c r="Y1053" s="1" t="n">
        <f aca="false">N(Y1052)+$X1053</f>
        <v>0</v>
      </c>
      <c r="Z1053" s="1" t="n">
        <f aca="false">IF(AND($M1053=1,对接源_01水果!$D1053="原料入库"),1,0)</f>
        <v>0</v>
      </c>
      <c r="AA1053" s="1" t="n">
        <f aca="false">N(AA1052)+$Z1053</f>
        <v>30</v>
      </c>
      <c r="AB1053" s="1" t="n">
        <f aca="false">IF(AND($M1053=1,LEFT(对接源_01水果!$D1053,4)="原料出库"),1,0)</f>
        <v>0</v>
      </c>
      <c r="AC1053" s="1" t="n">
        <f aca="false">N(AC1052)+$AB1053</f>
        <v>19</v>
      </c>
      <c r="AD1053" s="1" t="n">
        <f aca="false">IF(AND($M1053=1,LEFT(对接源_01水果!$D1053,4)="成品出库"),1,0)</f>
        <v>0</v>
      </c>
      <c r="AE1053" s="1" t="n">
        <f aca="false">N(AE1052)+$AD1053</f>
        <v>38</v>
      </c>
      <c r="AF1053" s="1" t="n">
        <f aca="false">IF(AND($N1053=1,AND(LEFT(对接源_01水果!$D1053,4)="包装物料",N(对接源_01水果!$K1053)&lt;&gt;0)),1,0)</f>
        <v>0</v>
      </c>
      <c r="AG1053" s="90" t="str">
        <f aca="false">IF(对接源_01水果!$AC1053="","",对接源_01水果!$AC1053)</f>
        <v/>
      </c>
      <c r="AH1053" s="1" t="n">
        <f aca="false">IF(AND($N1053=1,AND(LEFT(对接源_01水果!$D1053,3)="周转筐",N(对接源_01水果!$K1053)&lt;&gt;0)),1,0)</f>
        <v>0</v>
      </c>
      <c r="AI1053" s="90" t="n">
        <f aca="false">IF(AG1053="",0,IF(MATCH(AG1053,$AG$4:$AG$1203,0)=ROW()-3,1,0))</f>
        <v>0</v>
      </c>
      <c r="AJ1053" s="90" t="n">
        <f aca="false">N(AJ1052)+AI1053</f>
        <v>4</v>
      </c>
      <c r="AK1053" s="1" t="n">
        <f aca="false">N(AK1052)+$AJ1053</f>
        <v>3072</v>
      </c>
    </row>
    <row r="1054" customFormat="false" ht="13.5" hidden="false" customHeight="false" outlineLevel="0" collapsed="false">
      <c r="A1054" s="1" t="str">
        <f aca="false">IF(对接源_01水果!$C1054="","",对接源_01水果!$C1054)</f>
        <v/>
      </c>
      <c r="B1054" s="1" t="n">
        <f aca="false">IF(A1054="",0,IF(MATCH(A1054,$A$4:$A$2403,0)=ROW()-3,1,0))</f>
        <v>0</v>
      </c>
      <c r="C1054" s="1" t="n">
        <f aca="false">N(C1053)+B1054</f>
        <v>13</v>
      </c>
      <c r="K1054" s="1" t="n">
        <f aca="false">IF(OR($K$1="",对接源_01水果!$C1054="",对接源_01水果!$C1054&lt;&gt;$K$1,对接源_01水果!$B1054=""),0,IF(OR(N(对接源_01水果!$B1054)&lt;$K$2,N(对接源_01水果!$B1054)&gt;$K$3),0,1))</f>
        <v>0</v>
      </c>
      <c r="L1054" s="1" t="n">
        <f aca="false">IF(OR($L$1="",对接源_01水果!$C1054="",对接源_01水果!$C1054&lt;&gt;$L$1,对接源_01水果!$B1054=""),0,IF(OR(N(对接源_01水果!$B1054)&lt;$L$2,N(对接源_01水果!$B1054)&gt;$L$3),0,1))</f>
        <v>0</v>
      </c>
      <c r="M1054" s="1" t="n">
        <f aca="false">IF(OR($M$1="",对接源_01水果!$C1054="",对接源_01水果!$C1054&lt;&gt;$M$1,对接源_01水果!$B1054=""),0,IF(OR(N(对接源_01水果!$B1054)&lt;$M$2,N(对接源_01水果!$B1054)&gt;$M$3),0,1))</f>
        <v>0</v>
      </c>
      <c r="N1054" s="1" t="n">
        <f aca="false">IF(OR($N$1="",对接源_01水果!$C1054="",对接源_01水果!$C1054&lt;&gt;$N$1,对接源_01水果!$B1054=""),0,IF(OR(N(对接源_01水果!$B1054)&lt;$N$2,N(对接源_01水果!$B1054)&gt;$N$3),0,1))</f>
        <v>0</v>
      </c>
      <c r="P1054" s="1" t="n">
        <f aca="false">IF(AND($K1054=1,AND(对接源_01水果!$X1054="公司筐",N(对接源_01水果!$T1054)&lt;&gt;0)),1,0)</f>
        <v>0</v>
      </c>
      <c r="Q1054" s="1" t="n">
        <f aca="false">N(Q1053)+$P1054</f>
        <v>3</v>
      </c>
      <c r="R1054" s="1" t="n">
        <f aca="false">IF(AND($K1054=1,AND(对接源_01水果!$X1054="公司筐",N(对接源_01水果!$U1054)&lt;&gt;0)),1,0)</f>
        <v>0</v>
      </c>
      <c r="S1054" s="1" t="n">
        <f aca="false">N(S1053)+$R1054</f>
        <v>0</v>
      </c>
      <c r="T1054" s="1" t="n">
        <f aca="false">IF(AND($K1054=1,AND(对接源_01水果!$X1054="公司筐",N(对接源_01水果!$V1054)&lt;&gt;0)),1,0)</f>
        <v>0</v>
      </c>
      <c r="U1054" s="1" t="n">
        <f aca="false">N(U1053)+$T1054</f>
        <v>28</v>
      </c>
      <c r="V1054" s="1" t="n">
        <f aca="false">IF(AND($L1054=1,AND(对接源_01水果!$X1054="自备筐",N(对接源_01水果!$V1054)&lt;&gt;0)),1,0)</f>
        <v>0</v>
      </c>
      <c r="W1054" s="1" t="n">
        <f aca="false">N(W1053)+$V1054</f>
        <v>7</v>
      </c>
      <c r="X1054" s="1" t="n">
        <f aca="false">IF(AND($L1054=1,AND(对接源_01水果!$X1054="自备筐",N(对接源_01水果!$T1054)&lt;&gt;0)),1,0)</f>
        <v>0</v>
      </c>
      <c r="Y1054" s="1" t="n">
        <f aca="false">N(Y1053)+$X1054</f>
        <v>0</v>
      </c>
      <c r="Z1054" s="1" t="n">
        <f aca="false">IF(AND($M1054=1,对接源_01水果!$D1054="原料入库"),1,0)</f>
        <v>0</v>
      </c>
      <c r="AA1054" s="1" t="n">
        <f aca="false">N(AA1053)+$Z1054</f>
        <v>30</v>
      </c>
      <c r="AB1054" s="1" t="n">
        <f aca="false">IF(AND($M1054=1,LEFT(对接源_01水果!$D1054,4)="原料出库"),1,0)</f>
        <v>0</v>
      </c>
      <c r="AC1054" s="1" t="n">
        <f aca="false">N(AC1053)+$AB1054</f>
        <v>19</v>
      </c>
      <c r="AD1054" s="1" t="n">
        <f aca="false">IF(AND($M1054=1,LEFT(对接源_01水果!$D1054,4)="成品出库"),1,0)</f>
        <v>0</v>
      </c>
      <c r="AE1054" s="1" t="n">
        <f aca="false">N(AE1053)+$AD1054</f>
        <v>38</v>
      </c>
      <c r="AF1054" s="1" t="n">
        <f aca="false">IF(AND($N1054=1,AND(LEFT(对接源_01水果!$D1054,4)="包装物料",N(对接源_01水果!$K1054)&lt;&gt;0)),1,0)</f>
        <v>0</v>
      </c>
      <c r="AG1054" s="90" t="str">
        <f aca="false">IF(对接源_01水果!$AC1054="","",对接源_01水果!$AC1054)</f>
        <v/>
      </c>
      <c r="AH1054" s="1" t="n">
        <f aca="false">IF(AND($N1054=1,AND(LEFT(对接源_01水果!$D1054,3)="周转筐",N(对接源_01水果!$K1054)&lt;&gt;0)),1,0)</f>
        <v>0</v>
      </c>
      <c r="AI1054" s="90" t="n">
        <f aca="false">IF(AG1054="",0,IF(MATCH(AG1054,$AG$4:$AG$1203,0)=ROW()-3,1,0))</f>
        <v>0</v>
      </c>
      <c r="AJ1054" s="90" t="n">
        <f aca="false">N(AJ1053)+AI1054</f>
        <v>4</v>
      </c>
      <c r="AK1054" s="1" t="n">
        <f aca="false">N(AK1053)+$AJ1054</f>
        <v>3076</v>
      </c>
    </row>
    <row r="1055" customFormat="false" ht="13.5" hidden="false" customHeight="false" outlineLevel="0" collapsed="false">
      <c r="A1055" s="1" t="str">
        <f aca="false">IF(对接源_01水果!$C1055="","",对接源_01水果!$C1055)</f>
        <v/>
      </c>
      <c r="B1055" s="1" t="n">
        <f aca="false">IF(A1055="",0,IF(MATCH(A1055,$A$4:$A$2403,0)=ROW()-3,1,0))</f>
        <v>0</v>
      </c>
      <c r="C1055" s="1" t="n">
        <f aca="false">N(C1054)+B1055</f>
        <v>13</v>
      </c>
      <c r="K1055" s="1" t="n">
        <f aca="false">IF(OR($K$1="",对接源_01水果!$C1055="",对接源_01水果!$C1055&lt;&gt;$K$1,对接源_01水果!$B1055=""),0,IF(OR(N(对接源_01水果!$B1055)&lt;$K$2,N(对接源_01水果!$B1055)&gt;$K$3),0,1))</f>
        <v>0</v>
      </c>
      <c r="L1055" s="1" t="n">
        <f aca="false">IF(OR($L$1="",对接源_01水果!$C1055="",对接源_01水果!$C1055&lt;&gt;$L$1,对接源_01水果!$B1055=""),0,IF(OR(N(对接源_01水果!$B1055)&lt;$L$2,N(对接源_01水果!$B1055)&gt;$L$3),0,1))</f>
        <v>0</v>
      </c>
      <c r="M1055" s="1" t="n">
        <f aca="false">IF(OR($M$1="",对接源_01水果!$C1055="",对接源_01水果!$C1055&lt;&gt;$M$1,对接源_01水果!$B1055=""),0,IF(OR(N(对接源_01水果!$B1055)&lt;$M$2,N(对接源_01水果!$B1055)&gt;$M$3),0,1))</f>
        <v>0</v>
      </c>
      <c r="N1055" s="1" t="n">
        <f aca="false">IF(OR($N$1="",对接源_01水果!$C1055="",对接源_01水果!$C1055&lt;&gt;$N$1,对接源_01水果!$B1055=""),0,IF(OR(N(对接源_01水果!$B1055)&lt;$N$2,N(对接源_01水果!$B1055)&gt;$N$3),0,1))</f>
        <v>0</v>
      </c>
      <c r="P1055" s="1" t="n">
        <f aca="false">IF(AND($K1055=1,AND(对接源_01水果!$X1055="公司筐",N(对接源_01水果!$T1055)&lt;&gt;0)),1,0)</f>
        <v>0</v>
      </c>
      <c r="Q1055" s="1" t="n">
        <f aca="false">N(Q1054)+$P1055</f>
        <v>3</v>
      </c>
      <c r="R1055" s="1" t="n">
        <f aca="false">IF(AND($K1055=1,AND(对接源_01水果!$X1055="公司筐",N(对接源_01水果!$U1055)&lt;&gt;0)),1,0)</f>
        <v>0</v>
      </c>
      <c r="S1055" s="1" t="n">
        <f aca="false">N(S1054)+$R1055</f>
        <v>0</v>
      </c>
      <c r="T1055" s="1" t="n">
        <f aca="false">IF(AND($K1055=1,AND(对接源_01水果!$X1055="公司筐",N(对接源_01水果!$V1055)&lt;&gt;0)),1,0)</f>
        <v>0</v>
      </c>
      <c r="U1055" s="1" t="n">
        <f aca="false">N(U1054)+$T1055</f>
        <v>28</v>
      </c>
      <c r="V1055" s="1" t="n">
        <f aca="false">IF(AND($L1055=1,AND(对接源_01水果!$X1055="自备筐",N(对接源_01水果!$V1055)&lt;&gt;0)),1,0)</f>
        <v>0</v>
      </c>
      <c r="W1055" s="1" t="n">
        <f aca="false">N(W1054)+$V1055</f>
        <v>7</v>
      </c>
      <c r="X1055" s="1" t="n">
        <f aca="false">IF(AND($L1055=1,AND(对接源_01水果!$X1055="自备筐",N(对接源_01水果!$T1055)&lt;&gt;0)),1,0)</f>
        <v>0</v>
      </c>
      <c r="Y1055" s="1" t="n">
        <f aca="false">N(Y1054)+$X1055</f>
        <v>0</v>
      </c>
      <c r="Z1055" s="1" t="n">
        <f aca="false">IF(AND($M1055=1,对接源_01水果!$D1055="原料入库"),1,0)</f>
        <v>0</v>
      </c>
      <c r="AA1055" s="1" t="n">
        <f aca="false">N(AA1054)+$Z1055</f>
        <v>30</v>
      </c>
      <c r="AB1055" s="1" t="n">
        <f aca="false">IF(AND($M1055=1,LEFT(对接源_01水果!$D1055,4)="原料出库"),1,0)</f>
        <v>0</v>
      </c>
      <c r="AC1055" s="1" t="n">
        <f aca="false">N(AC1054)+$AB1055</f>
        <v>19</v>
      </c>
      <c r="AD1055" s="1" t="n">
        <f aca="false">IF(AND($M1055=1,LEFT(对接源_01水果!$D1055,4)="成品出库"),1,0)</f>
        <v>0</v>
      </c>
      <c r="AE1055" s="1" t="n">
        <f aca="false">N(AE1054)+$AD1055</f>
        <v>38</v>
      </c>
      <c r="AF1055" s="1" t="n">
        <f aca="false">IF(AND($N1055=1,AND(LEFT(对接源_01水果!$D1055,4)="包装物料",N(对接源_01水果!$K1055)&lt;&gt;0)),1,0)</f>
        <v>0</v>
      </c>
      <c r="AG1055" s="90" t="str">
        <f aca="false">IF(对接源_01水果!$AC1055="","",对接源_01水果!$AC1055)</f>
        <v/>
      </c>
      <c r="AH1055" s="1" t="n">
        <f aca="false">IF(AND($N1055=1,AND(LEFT(对接源_01水果!$D1055,3)="周转筐",N(对接源_01水果!$K1055)&lt;&gt;0)),1,0)</f>
        <v>0</v>
      </c>
      <c r="AI1055" s="90" t="n">
        <f aca="false">IF(AG1055="",0,IF(MATCH(AG1055,$AG$4:$AG$1203,0)=ROW()-3,1,0))</f>
        <v>0</v>
      </c>
      <c r="AJ1055" s="90" t="n">
        <f aca="false">N(AJ1054)+AI1055</f>
        <v>4</v>
      </c>
      <c r="AK1055" s="1" t="n">
        <f aca="false">N(AK1054)+$AJ1055</f>
        <v>3080</v>
      </c>
    </row>
    <row r="1056" customFormat="false" ht="13.5" hidden="false" customHeight="false" outlineLevel="0" collapsed="false">
      <c r="A1056" s="1" t="str">
        <f aca="false">IF(对接源_01水果!$C1056="","",对接源_01水果!$C1056)</f>
        <v/>
      </c>
      <c r="B1056" s="1" t="n">
        <f aca="false">IF(A1056="",0,IF(MATCH(A1056,$A$4:$A$2403,0)=ROW()-3,1,0))</f>
        <v>0</v>
      </c>
      <c r="C1056" s="1" t="n">
        <f aca="false">N(C1055)+B1056</f>
        <v>13</v>
      </c>
      <c r="K1056" s="1" t="n">
        <f aca="false">IF(OR($K$1="",对接源_01水果!$C1056="",对接源_01水果!$C1056&lt;&gt;$K$1,对接源_01水果!$B1056=""),0,IF(OR(N(对接源_01水果!$B1056)&lt;$K$2,N(对接源_01水果!$B1056)&gt;$K$3),0,1))</f>
        <v>0</v>
      </c>
      <c r="L1056" s="1" t="n">
        <f aca="false">IF(OR($L$1="",对接源_01水果!$C1056="",对接源_01水果!$C1056&lt;&gt;$L$1,对接源_01水果!$B1056=""),0,IF(OR(N(对接源_01水果!$B1056)&lt;$L$2,N(对接源_01水果!$B1056)&gt;$L$3),0,1))</f>
        <v>0</v>
      </c>
      <c r="M1056" s="1" t="n">
        <f aca="false">IF(OR($M$1="",对接源_01水果!$C1056="",对接源_01水果!$C1056&lt;&gt;$M$1,对接源_01水果!$B1056=""),0,IF(OR(N(对接源_01水果!$B1056)&lt;$M$2,N(对接源_01水果!$B1056)&gt;$M$3),0,1))</f>
        <v>0</v>
      </c>
      <c r="N1056" s="1" t="n">
        <f aca="false">IF(OR($N$1="",对接源_01水果!$C1056="",对接源_01水果!$C1056&lt;&gt;$N$1,对接源_01水果!$B1056=""),0,IF(OR(N(对接源_01水果!$B1056)&lt;$N$2,N(对接源_01水果!$B1056)&gt;$N$3),0,1))</f>
        <v>0</v>
      </c>
      <c r="P1056" s="1" t="n">
        <f aca="false">IF(AND($K1056=1,AND(对接源_01水果!$X1056="公司筐",N(对接源_01水果!$T1056)&lt;&gt;0)),1,0)</f>
        <v>0</v>
      </c>
      <c r="Q1056" s="1" t="n">
        <f aca="false">N(Q1055)+$P1056</f>
        <v>3</v>
      </c>
      <c r="R1056" s="1" t="n">
        <f aca="false">IF(AND($K1056=1,AND(对接源_01水果!$X1056="公司筐",N(对接源_01水果!$U1056)&lt;&gt;0)),1,0)</f>
        <v>0</v>
      </c>
      <c r="S1056" s="1" t="n">
        <f aca="false">N(S1055)+$R1056</f>
        <v>0</v>
      </c>
      <c r="T1056" s="1" t="n">
        <f aca="false">IF(AND($K1056=1,AND(对接源_01水果!$X1056="公司筐",N(对接源_01水果!$V1056)&lt;&gt;0)),1,0)</f>
        <v>0</v>
      </c>
      <c r="U1056" s="1" t="n">
        <f aca="false">N(U1055)+$T1056</f>
        <v>28</v>
      </c>
      <c r="V1056" s="1" t="n">
        <f aca="false">IF(AND($L1056=1,AND(对接源_01水果!$X1056="自备筐",N(对接源_01水果!$V1056)&lt;&gt;0)),1,0)</f>
        <v>0</v>
      </c>
      <c r="W1056" s="1" t="n">
        <f aca="false">N(W1055)+$V1056</f>
        <v>7</v>
      </c>
      <c r="X1056" s="1" t="n">
        <f aca="false">IF(AND($L1056=1,AND(对接源_01水果!$X1056="自备筐",N(对接源_01水果!$T1056)&lt;&gt;0)),1,0)</f>
        <v>0</v>
      </c>
      <c r="Y1056" s="1" t="n">
        <f aca="false">N(Y1055)+$X1056</f>
        <v>0</v>
      </c>
      <c r="Z1056" s="1" t="n">
        <f aca="false">IF(AND($M1056=1,对接源_01水果!$D1056="原料入库"),1,0)</f>
        <v>0</v>
      </c>
      <c r="AA1056" s="1" t="n">
        <f aca="false">N(AA1055)+$Z1056</f>
        <v>30</v>
      </c>
      <c r="AB1056" s="1" t="n">
        <f aca="false">IF(AND($M1056=1,LEFT(对接源_01水果!$D1056,4)="原料出库"),1,0)</f>
        <v>0</v>
      </c>
      <c r="AC1056" s="1" t="n">
        <f aca="false">N(AC1055)+$AB1056</f>
        <v>19</v>
      </c>
      <c r="AD1056" s="1" t="n">
        <f aca="false">IF(AND($M1056=1,LEFT(对接源_01水果!$D1056,4)="成品出库"),1,0)</f>
        <v>0</v>
      </c>
      <c r="AE1056" s="1" t="n">
        <f aca="false">N(AE1055)+$AD1056</f>
        <v>38</v>
      </c>
      <c r="AF1056" s="1" t="n">
        <f aca="false">IF(AND($N1056=1,AND(LEFT(对接源_01水果!$D1056,4)="包装物料",N(对接源_01水果!$K1056)&lt;&gt;0)),1,0)</f>
        <v>0</v>
      </c>
      <c r="AG1056" s="90" t="str">
        <f aca="false">IF(对接源_01水果!$AC1056="","",对接源_01水果!$AC1056)</f>
        <v/>
      </c>
      <c r="AH1056" s="1" t="n">
        <f aca="false">IF(AND($N1056=1,AND(LEFT(对接源_01水果!$D1056,3)="周转筐",N(对接源_01水果!$K1056)&lt;&gt;0)),1,0)</f>
        <v>0</v>
      </c>
      <c r="AI1056" s="90" t="n">
        <f aca="false">IF(AG1056="",0,IF(MATCH(AG1056,$AG$4:$AG$1203,0)=ROW()-3,1,0))</f>
        <v>0</v>
      </c>
      <c r="AJ1056" s="90" t="n">
        <f aca="false">N(AJ1055)+AI1056</f>
        <v>4</v>
      </c>
      <c r="AK1056" s="1" t="n">
        <f aca="false">N(AK1055)+$AJ1056</f>
        <v>3084</v>
      </c>
    </row>
    <row r="1057" customFormat="false" ht="13.5" hidden="false" customHeight="false" outlineLevel="0" collapsed="false">
      <c r="A1057" s="1" t="str">
        <f aca="false">IF(对接源_01水果!$C1057="","",对接源_01水果!$C1057)</f>
        <v/>
      </c>
      <c r="B1057" s="1" t="n">
        <f aca="false">IF(A1057="",0,IF(MATCH(A1057,$A$4:$A$2403,0)=ROW()-3,1,0))</f>
        <v>0</v>
      </c>
      <c r="C1057" s="1" t="n">
        <f aca="false">N(C1056)+B1057</f>
        <v>13</v>
      </c>
      <c r="K1057" s="1" t="n">
        <f aca="false">IF(OR($K$1="",对接源_01水果!$C1057="",对接源_01水果!$C1057&lt;&gt;$K$1,对接源_01水果!$B1057=""),0,IF(OR(N(对接源_01水果!$B1057)&lt;$K$2,N(对接源_01水果!$B1057)&gt;$K$3),0,1))</f>
        <v>0</v>
      </c>
      <c r="L1057" s="1" t="n">
        <f aca="false">IF(OR($L$1="",对接源_01水果!$C1057="",对接源_01水果!$C1057&lt;&gt;$L$1,对接源_01水果!$B1057=""),0,IF(OR(N(对接源_01水果!$B1057)&lt;$L$2,N(对接源_01水果!$B1057)&gt;$L$3),0,1))</f>
        <v>0</v>
      </c>
      <c r="M1057" s="1" t="n">
        <f aca="false">IF(OR($M$1="",对接源_01水果!$C1057="",对接源_01水果!$C1057&lt;&gt;$M$1,对接源_01水果!$B1057=""),0,IF(OR(N(对接源_01水果!$B1057)&lt;$M$2,N(对接源_01水果!$B1057)&gt;$M$3),0,1))</f>
        <v>0</v>
      </c>
      <c r="N1057" s="1" t="n">
        <f aca="false">IF(OR($N$1="",对接源_01水果!$C1057="",对接源_01水果!$C1057&lt;&gt;$N$1,对接源_01水果!$B1057=""),0,IF(OR(N(对接源_01水果!$B1057)&lt;$N$2,N(对接源_01水果!$B1057)&gt;$N$3),0,1))</f>
        <v>0</v>
      </c>
      <c r="P1057" s="1" t="n">
        <f aca="false">IF(AND($K1057=1,AND(对接源_01水果!$X1057="公司筐",N(对接源_01水果!$T1057)&lt;&gt;0)),1,0)</f>
        <v>0</v>
      </c>
      <c r="Q1057" s="1" t="n">
        <f aca="false">N(Q1056)+$P1057</f>
        <v>3</v>
      </c>
      <c r="R1057" s="1" t="n">
        <f aca="false">IF(AND($K1057=1,AND(对接源_01水果!$X1057="公司筐",N(对接源_01水果!$U1057)&lt;&gt;0)),1,0)</f>
        <v>0</v>
      </c>
      <c r="S1057" s="1" t="n">
        <f aca="false">N(S1056)+$R1057</f>
        <v>0</v>
      </c>
      <c r="T1057" s="1" t="n">
        <f aca="false">IF(AND($K1057=1,AND(对接源_01水果!$X1057="公司筐",N(对接源_01水果!$V1057)&lt;&gt;0)),1,0)</f>
        <v>0</v>
      </c>
      <c r="U1057" s="1" t="n">
        <f aca="false">N(U1056)+$T1057</f>
        <v>28</v>
      </c>
      <c r="V1057" s="1" t="n">
        <f aca="false">IF(AND($L1057=1,AND(对接源_01水果!$X1057="自备筐",N(对接源_01水果!$V1057)&lt;&gt;0)),1,0)</f>
        <v>0</v>
      </c>
      <c r="W1057" s="1" t="n">
        <f aca="false">N(W1056)+$V1057</f>
        <v>7</v>
      </c>
      <c r="X1057" s="1" t="n">
        <f aca="false">IF(AND($L1057=1,AND(对接源_01水果!$X1057="自备筐",N(对接源_01水果!$T1057)&lt;&gt;0)),1,0)</f>
        <v>0</v>
      </c>
      <c r="Y1057" s="1" t="n">
        <f aca="false">N(Y1056)+$X1057</f>
        <v>0</v>
      </c>
      <c r="Z1057" s="1" t="n">
        <f aca="false">IF(AND($M1057=1,对接源_01水果!$D1057="原料入库"),1,0)</f>
        <v>0</v>
      </c>
      <c r="AA1057" s="1" t="n">
        <f aca="false">N(AA1056)+$Z1057</f>
        <v>30</v>
      </c>
      <c r="AB1057" s="1" t="n">
        <f aca="false">IF(AND($M1057=1,LEFT(对接源_01水果!$D1057,4)="原料出库"),1,0)</f>
        <v>0</v>
      </c>
      <c r="AC1057" s="1" t="n">
        <f aca="false">N(AC1056)+$AB1057</f>
        <v>19</v>
      </c>
      <c r="AD1057" s="1" t="n">
        <f aca="false">IF(AND($M1057=1,LEFT(对接源_01水果!$D1057,4)="成品出库"),1,0)</f>
        <v>0</v>
      </c>
      <c r="AE1057" s="1" t="n">
        <f aca="false">N(AE1056)+$AD1057</f>
        <v>38</v>
      </c>
      <c r="AF1057" s="1" t="n">
        <f aca="false">IF(AND($N1057=1,AND(LEFT(对接源_01水果!$D1057,4)="包装物料",N(对接源_01水果!$K1057)&lt;&gt;0)),1,0)</f>
        <v>0</v>
      </c>
      <c r="AG1057" s="90" t="str">
        <f aca="false">IF(对接源_01水果!$AC1057="","",对接源_01水果!$AC1057)</f>
        <v/>
      </c>
      <c r="AH1057" s="1" t="n">
        <f aca="false">IF(AND($N1057=1,AND(LEFT(对接源_01水果!$D1057,3)="周转筐",N(对接源_01水果!$K1057)&lt;&gt;0)),1,0)</f>
        <v>0</v>
      </c>
      <c r="AI1057" s="90" t="n">
        <f aca="false">IF(AG1057="",0,IF(MATCH(AG1057,$AG$4:$AG$1203,0)=ROW()-3,1,0))</f>
        <v>0</v>
      </c>
      <c r="AJ1057" s="90" t="n">
        <f aca="false">N(AJ1056)+AI1057</f>
        <v>4</v>
      </c>
      <c r="AK1057" s="1" t="n">
        <f aca="false">N(AK1056)+$AJ1057</f>
        <v>3088</v>
      </c>
    </row>
    <row r="1058" customFormat="false" ht="13.5" hidden="false" customHeight="false" outlineLevel="0" collapsed="false">
      <c r="A1058" s="1" t="str">
        <f aca="false">IF(对接源_01水果!$C1058="","",对接源_01水果!$C1058)</f>
        <v/>
      </c>
      <c r="B1058" s="1" t="n">
        <f aca="false">IF(A1058="",0,IF(MATCH(A1058,$A$4:$A$2403,0)=ROW()-3,1,0))</f>
        <v>0</v>
      </c>
      <c r="C1058" s="1" t="n">
        <f aca="false">N(C1057)+B1058</f>
        <v>13</v>
      </c>
      <c r="K1058" s="1" t="n">
        <f aca="false">IF(OR($K$1="",对接源_01水果!$C1058="",对接源_01水果!$C1058&lt;&gt;$K$1,对接源_01水果!$B1058=""),0,IF(OR(N(对接源_01水果!$B1058)&lt;$K$2,N(对接源_01水果!$B1058)&gt;$K$3),0,1))</f>
        <v>0</v>
      </c>
      <c r="L1058" s="1" t="n">
        <f aca="false">IF(OR($L$1="",对接源_01水果!$C1058="",对接源_01水果!$C1058&lt;&gt;$L$1,对接源_01水果!$B1058=""),0,IF(OR(N(对接源_01水果!$B1058)&lt;$L$2,N(对接源_01水果!$B1058)&gt;$L$3),0,1))</f>
        <v>0</v>
      </c>
      <c r="M1058" s="1" t="n">
        <f aca="false">IF(OR($M$1="",对接源_01水果!$C1058="",对接源_01水果!$C1058&lt;&gt;$M$1,对接源_01水果!$B1058=""),0,IF(OR(N(对接源_01水果!$B1058)&lt;$M$2,N(对接源_01水果!$B1058)&gt;$M$3),0,1))</f>
        <v>0</v>
      </c>
      <c r="N1058" s="1" t="n">
        <f aca="false">IF(OR($N$1="",对接源_01水果!$C1058="",对接源_01水果!$C1058&lt;&gt;$N$1,对接源_01水果!$B1058=""),0,IF(OR(N(对接源_01水果!$B1058)&lt;$N$2,N(对接源_01水果!$B1058)&gt;$N$3),0,1))</f>
        <v>0</v>
      </c>
      <c r="P1058" s="1" t="n">
        <f aca="false">IF(AND($K1058=1,AND(对接源_01水果!$X1058="公司筐",N(对接源_01水果!$T1058)&lt;&gt;0)),1,0)</f>
        <v>0</v>
      </c>
      <c r="Q1058" s="1" t="n">
        <f aca="false">N(Q1057)+$P1058</f>
        <v>3</v>
      </c>
      <c r="R1058" s="1" t="n">
        <f aca="false">IF(AND($K1058=1,AND(对接源_01水果!$X1058="公司筐",N(对接源_01水果!$U1058)&lt;&gt;0)),1,0)</f>
        <v>0</v>
      </c>
      <c r="S1058" s="1" t="n">
        <f aca="false">N(S1057)+$R1058</f>
        <v>0</v>
      </c>
      <c r="T1058" s="1" t="n">
        <f aca="false">IF(AND($K1058=1,AND(对接源_01水果!$X1058="公司筐",N(对接源_01水果!$V1058)&lt;&gt;0)),1,0)</f>
        <v>0</v>
      </c>
      <c r="U1058" s="1" t="n">
        <f aca="false">N(U1057)+$T1058</f>
        <v>28</v>
      </c>
      <c r="V1058" s="1" t="n">
        <f aca="false">IF(AND($L1058=1,AND(对接源_01水果!$X1058="自备筐",N(对接源_01水果!$V1058)&lt;&gt;0)),1,0)</f>
        <v>0</v>
      </c>
      <c r="W1058" s="1" t="n">
        <f aca="false">N(W1057)+$V1058</f>
        <v>7</v>
      </c>
      <c r="X1058" s="1" t="n">
        <f aca="false">IF(AND($L1058=1,AND(对接源_01水果!$X1058="自备筐",N(对接源_01水果!$T1058)&lt;&gt;0)),1,0)</f>
        <v>0</v>
      </c>
      <c r="Y1058" s="1" t="n">
        <f aca="false">N(Y1057)+$X1058</f>
        <v>0</v>
      </c>
      <c r="Z1058" s="1" t="n">
        <f aca="false">IF(AND($M1058=1,对接源_01水果!$D1058="原料入库"),1,0)</f>
        <v>0</v>
      </c>
      <c r="AA1058" s="1" t="n">
        <f aca="false">N(AA1057)+$Z1058</f>
        <v>30</v>
      </c>
      <c r="AB1058" s="1" t="n">
        <f aca="false">IF(AND($M1058=1,LEFT(对接源_01水果!$D1058,4)="原料出库"),1,0)</f>
        <v>0</v>
      </c>
      <c r="AC1058" s="1" t="n">
        <f aca="false">N(AC1057)+$AB1058</f>
        <v>19</v>
      </c>
      <c r="AD1058" s="1" t="n">
        <f aca="false">IF(AND($M1058=1,LEFT(对接源_01水果!$D1058,4)="成品出库"),1,0)</f>
        <v>0</v>
      </c>
      <c r="AE1058" s="1" t="n">
        <f aca="false">N(AE1057)+$AD1058</f>
        <v>38</v>
      </c>
      <c r="AF1058" s="1" t="n">
        <f aca="false">IF(AND($N1058=1,AND(LEFT(对接源_01水果!$D1058,4)="包装物料",N(对接源_01水果!$K1058)&lt;&gt;0)),1,0)</f>
        <v>0</v>
      </c>
      <c r="AG1058" s="90" t="str">
        <f aca="false">IF(对接源_01水果!$AC1058="","",对接源_01水果!$AC1058)</f>
        <v/>
      </c>
      <c r="AH1058" s="1" t="n">
        <f aca="false">IF(AND($N1058=1,AND(LEFT(对接源_01水果!$D1058,3)="周转筐",N(对接源_01水果!$K1058)&lt;&gt;0)),1,0)</f>
        <v>0</v>
      </c>
      <c r="AI1058" s="90" t="n">
        <f aca="false">IF(AG1058="",0,IF(MATCH(AG1058,$AG$4:$AG$1203,0)=ROW()-3,1,0))</f>
        <v>0</v>
      </c>
      <c r="AJ1058" s="90" t="n">
        <f aca="false">N(AJ1057)+AI1058</f>
        <v>4</v>
      </c>
      <c r="AK1058" s="1" t="n">
        <f aca="false">N(AK1057)+$AJ1058</f>
        <v>3092</v>
      </c>
    </row>
    <row r="1059" customFormat="false" ht="13.5" hidden="false" customHeight="false" outlineLevel="0" collapsed="false">
      <c r="A1059" s="1" t="str">
        <f aca="false">IF(对接源_01水果!$C1059="","",对接源_01水果!$C1059)</f>
        <v/>
      </c>
      <c r="B1059" s="1" t="n">
        <f aca="false">IF(A1059="",0,IF(MATCH(A1059,$A$4:$A$2403,0)=ROW()-3,1,0))</f>
        <v>0</v>
      </c>
      <c r="C1059" s="1" t="n">
        <f aca="false">N(C1058)+B1059</f>
        <v>13</v>
      </c>
      <c r="K1059" s="1" t="n">
        <f aca="false">IF(OR($K$1="",对接源_01水果!$C1059="",对接源_01水果!$C1059&lt;&gt;$K$1,对接源_01水果!$B1059=""),0,IF(OR(N(对接源_01水果!$B1059)&lt;$K$2,N(对接源_01水果!$B1059)&gt;$K$3),0,1))</f>
        <v>0</v>
      </c>
      <c r="L1059" s="1" t="n">
        <f aca="false">IF(OR($L$1="",对接源_01水果!$C1059="",对接源_01水果!$C1059&lt;&gt;$L$1,对接源_01水果!$B1059=""),0,IF(OR(N(对接源_01水果!$B1059)&lt;$L$2,N(对接源_01水果!$B1059)&gt;$L$3),0,1))</f>
        <v>0</v>
      </c>
      <c r="M1059" s="1" t="n">
        <f aca="false">IF(OR($M$1="",对接源_01水果!$C1059="",对接源_01水果!$C1059&lt;&gt;$M$1,对接源_01水果!$B1059=""),0,IF(OR(N(对接源_01水果!$B1059)&lt;$M$2,N(对接源_01水果!$B1059)&gt;$M$3),0,1))</f>
        <v>0</v>
      </c>
      <c r="N1059" s="1" t="n">
        <f aca="false">IF(OR($N$1="",对接源_01水果!$C1059="",对接源_01水果!$C1059&lt;&gt;$N$1,对接源_01水果!$B1059=""),0,IF(OR(N(对接源_01水果!$B1059)&lt;$N$2,N(对接源_01水果!$B1059)&gt;$N$3),0,1))</f>
        <v>0</v>
      </c>
      <c r="P1059" s="1" t="n">
        <f aca="false">IF(AND($K1059=1,AND(对接源_01水果!$X1059="公司筐",N(对接源_01水果!$T1059)&lt;&gt;0)),1,0)</f>
        <v>0</v>
      </c>
      <c r="Q1059" s="1" t="n">
        <f aca="false">N(Q1058)+$P1059</f>
        <v>3</v>
      </c>
      <c r="R1059" s="1" t="n">
        <f aca="false">IF(AND($K1059=1,AND(对接源_01水果!$X1059="公司筐",N(对接源_01水果!$U1059)&lt;&gt;0)),1,0)</f>
        <v>0</v>
      </c>
      <c r="S1059" s="1" t="n">
        <f aca="false">N(S1058)+$R1059</f>
        <v>0</v>
      </c>
      <c r="T1059" s="1" t="n">
        <f aca="false">IF(AND($K1059=1,AND(对接源_01水果!$X1059="公司筐",N(对接源_01水果!$V1059)&lt;&gt;0)),1,0)</f>
        <v>0</v>
      </c>
      <c r="U1059" s="1" t="n">
        <f aca="false">N(U1058)+$T1059</f>
        <v>28</v>
      </c>
      <c r="V1059" s="1" t="n">
        <f aca="false">IF(AND($L1059=1,AND(对接源_01水果!$X1059="自备筐",N(对接源_01水果!$V1059)&lt;&gt;0)),1,0)</f>
        <v>0</v>
      </c>
      <c r="W1059" s="1" t="n">
        <f aca="false">N(W1058)+$V1059</f>
        <v>7</v>
      </c>
      <c r="X1059" s="1" t="n">
        <f aca="false">IF(AND($L1059=1,AND(对接源_01水果!$X1059="自备筐",N(对接源_01水果!$T1059)&lt;&gt;0)),1,0)</f>
        <v>0</v>
      </c>
      <c r="Y1059" s="1" t="n">
        <f aca="false">N(Y1058)+$X1059</f>
        <v>0</v>
      </c>
      <c r="Z1059" s="1" t="n">
        <f aca="false">IF(AND($M1059=1,对接源_01水果!$D1059="原料入库"),1,0)</f>
        <v>0</v>
      </c>
      <c r="AA1059" s="1" t="n">
        <f aca="false">N(AA1058)+$Z1059</f>
        <v>30</v>
      </c>
      <c r="AB1059" s="1" t="n">
        <f aca="false">IF(AND($M1059=1,LEFT(对接源_01水果!$D1059,4)="原料出库"),1,0)</f>
        <v>0</v>
      </c>
      <c r="AC1059" s="1" t="n">
        <f aca="false">N(AC1058)+$AB1059</f>
        <v>19</v>
      </c>
      <c r="AD1059" s="1" t="n">
        <f aca="false">IF(AND($M1059=1,LEFT(对接源_01水果!$D1059,4)="成品出库"),1,0)</f>
        <v>0</v>
      </c>
      <c r="AE1059" s="1" t="n">
        <f aca="false">N(AE1058)+$AD1059</f>
        <v>38</v>
      </c>
      <c r="AF1059" s="1" t="n">
        <f aca="false">IF(AND($N1059=1,AND(LEFT(对接源_01水果!$D1059,4)="包装物料",N(对接源_01水果!$K1059)&lt;&gt;0)),1,0)</f>
        <v>0</v>
      </c>
      <c r="AG1059" s="90" t="str">
        <f aca="false">IF(对接源_01水果!$AC1059="","",对接源_01水果!$AC1059)</f>
        <v/>
      </c>
      <c r="AH1059" s="1" t="n">
        <f aca="false">IF(AND($N1059=1,AND(LEFT(对接源_01水果!$D1059,3)="周转筐",N(对接源_01水果!$K1059)&lt;&gt;0)),1,0)</f>
        <v>0</v>
      </c>
      <c r="AI1059" s="90" t="n">
        <f aca="false">IF(AG1059="",0,IF(MATCH(AG1059,$AG$4:$AG$1203,0)=ROW()-3,1,0))</f>
        <v>0</v>
      </c>
      <c r="AJ1059" s="90" t="n">
        <f aca="false">N(AJ1058)+AI1059</f>
        <v>4</v>
      </c>
      <c r="AK1059" s="1" t="n">
        <f aca="false">N(AK1058)+$AJ1059</f>
        <v>3096</v>
      </c>
    </row>
    <row r="1060" customFormat="false" ht="13.5" hidden="false" customHeight="false" outlineLevel="0" collapsed="false">
      <c r="A1060" s="1" t="str">
        <f aca="false">IF(对接源_01水果!$C1060="","",对接源_01水果!$C1060)</f>
        <v/>
      </c>
      <c r="B1060" s="1" t="n">
        <f aca="false">IF(A1060="",0,IF(MATCH(A1060,$A$4:$A$2403,0)=ROW()-3,1,0))</f>
        <v>0</v>
      </c>
      <c r="C1060" s="1" t="n">
        <f aca="false">N(C1059)+B1060</f>
        <v>13</v>
      </c>
      <c r="K1060" s="1" t="n">
        <f aca="false">IF(OR($K$1="",对接源_01水果!$C1060="",对接源_01水果!$C1060&lt;&gt;$K$1,对接源_01水果!$B1060=""),0,IF(OR(N(对接源_01水果!$B1060)&lt;$K$2,N(对接源_01水果!$B1060)&gt;$K$3),0,1))</f>
        <v>0</v>
      </c>
      <c r="L1060" s="1" t="n">
        <f aca="false">IF(OR($L$1="",对接源_01水果!$C1060="",对接源_01水果!$C1060&lt;&gt;$L$1,对接源_01水果!$B1060=""),0,IF(OR(N(对接源_01水果!$B1060)&lt;$L$2,N(对接源_01水果!$B1060)&gt;$L$3),0,1))</f>
        <v>0</v>
      </c>
      <c r="M1060" s="1" t="n">
        <f aca="false">IF(OR($M$1="",对接源_01水果!$C1060="",对接源_01水果!$C1060&lt;&gt;$M$1,对接源_01水果!$B1060=""),0,IF(OR(N(对接源_01水果!$B1060)&lt;$M$2,N(对接源_01水果!$B1060)&gt;$M$3),0,1))</f>
        <v>0</v>
      </c>
      <c r="N1060" s="1" t="n">
        <f aca="false">IF(OR($N$1="",对接源_01水果!$C1060="",对接源_01水果!$C1060&lt;&gt;$N$1,对接源_01水果!$B1060=""),0,IF(OR(N(对接源_01水果!$B1060)&lt;$N$2,N(对接源_01水果!$B1060)&gt;$N$3),0,1))</f>
        <v>0</v>
      </c>
      <c r="P1060" s="1" t="n">
        <f aca="false">IF(AND($K1060=1,AND(对接源_01水果!$X1060="公司筐",N(对接源_01水果!$T1060)&lt;&gt;0)),1,0)</f>
        <v>0</v>
      </c>
      <c r="Q1060" s="1" t="n">
        <f aca="false">N(Q1059)+$P1060</f>
        <v>3</v>
      </c>
      <c r="R1060" s="1" t="n">
        <f aca="false">IF(AND($K1060=1,AND(对接源_01水果!$X1060="公司筐",N(对接源_01水果!$U1060)&lt;&gt;0)),1,0)</f>
        <v>0</v>
      </c>
      <c r="S1060" s="1" t="n">
        <f aca="false">N(S1059)+$R1060</f>
        <v>0</v>
      </c>
      <c r="T1060" s="1" t="n">
        <f aca="false">IF(AND($K1060=1,AND(对接源_01水果!$X1060="公司筐",N(对接源_01水果!$V1060)&lt;&gt;0)),1,0)</f>
        <v>0</v>
      </c>
      <c r="U1060" s="1" t="n">
        <f aca="false">N(U1059)+$T1060</f>
        <v>28</v>
      </c>
      <c r="V1060" s="1" t="n">
        <f aca="false">IF(AND($L1060=1,AND(对接源_01水果!$X1060="自备筐",N(对接源_01水果!$V1060)&lt;&gt;0)),1,0)</f>
        <v>0</v>
      </c>
      <c r="W1060" s="1" t="n">
        <f aca="false">N(W1059)+$V1060</f>
        <v>7</v>
      </c>
      <c r="X1060" s="1" t="n">
        <f aca="false">IF(AND($L1060=1,AND(对接源_01水果!$X1060="自备筐",N(对接源_01水果!$T1060)&lt;&gt;0)),1,0)</f>
        <v>0</v>
      </c>
      <c r="Y1060" s="1" t="n">
        <f aca="false">N(Y1059)+$X1060</f>
        <v>0</v>
      </c>
      <c r="Z1060" s="1" t="n">
        <f aca="false">IF(AND($M1060=1,对接源_01水果!$D1060="原料入库"),1,0)</f>
        <v>0</v>
      </c>
      <c r="AA1060" s="1" t="n">
        <f aca="false">N(AA1059)+$Z1060</f>
        <v>30</v>
      </c>
      <c r="AB1060" s="1" t="n">
        <f aca="false">IF(AND($M1060=1,LEFT(对接源_01水果!$D1060,4)="原料出库"),1,0)</f>
        <v>0</v>
      </c>
      <c r="AC1060" s="1" t="n">
        <f aca="false">N(AC1059)+$AB1060</f>
        <v>19</v>
      </c>
      <c r="AD1060" s="1" t="n">
        <f aca="false">IF(AND($M1060=1,LEFT(对接源_01水果!$D1060,4)="成品出库"),1,0)</f>
        <v>0</v>
      </c>
      <c r="AE1060" s="1" t="n">
        <f aca="false">N(AE1059)+$AD1060</f>
        <v>38</v>
      </c>
      <c r="AF1060" s="1" t="n">
        <f aca="false">IF(AND($N1060=1,AND(LEFT(对接源_01水果!$D1060,4)="包装物料",N(对接源_01水果!$K1060)&lt;&gt;0)),1,0)</f>
        <v>0</v>
      </c>
      <c r="AG1060" s="90" t="str">
        <f aca="false">IF(对接源_01水果!$AC1060="","",对接源_01水果!$AC1060)</f>
        <v/>
      </c>
      <c r="AH1060" s="1" t="n">
        <f aca="false">IF(AND($N1060=1,AND(LEFT(对接源_01水果!$D1060,3)="周转筐",N(对接源_01水果!$K1060)&lt;&gt;0)),1,0)</f>
        <v>0</v>
      </c>
      <c r="AI1060" s="90" t="n">
        <f aca="false">IF(AG1060="",0,IF(MATCH(AG1060,$AG$4:$AG$1203,0)=ROW()-3,1,0))</f>
        <v>0</v>
      </c>
      <c r="AJ1060" s="90" t="n">
        <f aca="false">N(AJ1059)+AI1060</f>
        <v>4</v>
      </c>
      <c r="AK1060" s="1" t="n">
        <f aca="false">N(AK1059)+$AJ1060</f>
        <v>3100</v>
      </c>
    </row>
    <row r="1061" customFormat="false" ht="13.5" hidden="false" customHeight="false" outlineLevel="0" collapsed="false">
      <c r="A1061" s="1" t="str">
        <f aca="false">IF(对接源_01水果!$C1061="","",对接源_01水果!$C1061)</f>
        <v/>
      </c>
      <c r="B1061" s="1" t="n">
        <f aca="false">IF(A1061="",0,IF(MATCH(A1061,$A$4:$A$2403,0)=ROW()-3,1,0))</f>
        <v>0</v>
      </c>
      <c r="C1061" s="1" t="n">
        <f aca="false">N(C1060)+B1061</f>
        <v>13</v>
      </c>
      <c r="K1061" s="1" t="n">
        <f aca="false">IF(OR($K$1="",对接源_01水果!$C1061="",对接源_01水果!$C1061&lt;&gt;$K$1,对接源_01水果!$B1061=""),0,IF(OR(N(对接源_01水果!$B1061)&lt;$K$2,N(对接源_01水果!$B1061)&gt;$K$3),0,1))</f>
        <v>0</v>
      </c>
      <c r="L1061" s="1" t="n">
        <f aca="false">IF(OR($L$1="",对接源_01水果!$C1061="",对接源_01水果!$C1061&lt;&gt;$L$1,对接源_01水果!$B1061=""),0,IF(OR(N(对接源_01水果!$B1061)&lt;$L$2,N(对接源_01水果!$B1061)&gt;$L$3),0,1))</f>
        <v>0</v>
      </c>
      <c r="M1061" s="1" t="n">
        <f aca="false">IF(OR($M$1="",对接源_01水果!$C1061="",对接源_01水果!$C1061&lt;&gt;$M$1,对接源_01水果!$B1061=""),0,IF(OR(N(对接源_01水果!$B1061)&lt;$M$2,N(对接源_01水果!$B1061)&gt;$M$3),0,1))</f>
        <v>0</v>
      </c>
      <c r="N1061" s="1" t="n">
        <f aca="false">IF(OR($N$1="",对接源_01水果!$C1061="",对接源_01水果!$C1061&lt;&gt;$N$1,对接源_01水果!$B1061=""),0,IF(OR(N(对接源_01水果!$B1061)&lt;$N$2,N(对接源_01水果!$B1061)&gt;$N$3),0,1))</f>
        <v>0</v>
      </c>
      <c r="P1061" s="1" t="n">
        <f aca="false">IF(AND($K1061=1,AND(对接源_01水果!$X1061="公司筐",N(对接源_01水果!$T1061)&lt;&gt;0)),1,0)</f>
        <v>0</v>
      </c>
      <c r="Q1061" s="1" t="n">
        <f aca="false">N(Q1060)+$P1061</f>
        <v>3</v>
      </c>
      <c r="R1061" s="1" t="n">
        <f aca="false">IF(AND($K1061=1,AND(对接源_01水果!$X1061="公司筐",N(对接源_01水果!$U1061)&lt;&gt;0)),1,0)</f>
        <v>0</v>
      </c>
      <c r="S1061" s="1" t="n">
        <f aca="false">N(S1060)+$R1061</f>
        <v>0</v>
      </c>
      <c r="T1061" s="1" t="n">
        <f aca="false">IF(AND($K1061=1,AND(对接源_01水果!$X1061="公司筐",N(对接源_01水果!$V1061)&lt;&gt;0)),1,0)</f>
        <v>0</v>
      </c>
      <c r="U1061" s="1" t="n">
        <f aca="false">N(U1060)+$T1061</f>
        <v>28</v>
      </c>
      <c r="V1061" s="1" t="n">
        <f aca="false">IF(AND($L1061=1,AND(对接源_01水果!$X1061="自备筐",N(对接源_01水果!$V1061)&lt;&gt;0)),1,0)</f>
        <v>0</v>
      </c>
      <c r="W1061" s="1" t="n">
        <f aca="false">N(W1060)+$V1061</f>
        <v>7</v>
      </c>
      <c r="X1061" s="1" t="n">
        <f aca="false">IF(AND($L1061=1,AND(对接源_01水果!$X1061="自备筐",N(对接源_01水果!$T1061)&lt;&gt;0)),1,0)</f>
        <v>0</v>
      </c>
      <c r="Y1061" s="1" t="n">
        <f aca="false">N(Y1060)+$X1061</f>
        <v>0</v>
      </c>
      <c r="Z1061" s="1" t="n">
        <f aca="false">IF(AND($M1061=1,对接源_01水果!$D1061="原料入库"),1,0)</f>
        <v>0</v>
      </c>
      <c r="AA1061" s="1" t="n">
        <f aca="false">N(AA1060)+$Z1061</f>
        <v>30</v>
      </c>
      <c r="AB1061" s="1" t="n">
        <f aca="false">IF(AND($M1061=1,LEFT(对接源_01水果!$D1061,4)="原料出库"),1,0)</f>
        <v>0</v>
      </c>
      <c r="AC1061" s="1" t="n">
        <f aca="false">N(AC1060)+$AB1061</f>
        <v>19</v>
      </c>
      <c r="AD1061" s="1" t="n">
        <f aca="false">IF(AND($M1061=1,LEFT(对接源_01水果!$D1061,4)="成品出库"),1,0)</f>
        <v>0</v>
      </c>
      <c r="AE1061" s="1" t="n">
        <f aca="false">N(AE1060)+$AD1061</f>
        <v>38</v>
      </c>
      <c r="AF1061" s="1" t="n">
        <f aca="false">IF(AND($N1061=1,AND(LEFT(对接源_01水果!$D1061,4)="包装物料",N(对接源_01水果!$K1061)&lt;&gt;0)),1,0)</f>
        <v>0</v>
      </c>
      <c r="AG1061" s="90" t="str">
        <f aca="false">IF(对接源_01水果!$AC1061="","",对接源_01水果!$AC1061)</f>
        <v/>
      </c>
      <c r="AH1061" s="1" t="n">
        <f aca="false">IF(AND($N1061=1,AND(LEFT(对接源_01水果!$D1061,3)="周转筐",N(对接源_01水果!$K1061)&lt;&gt;0)),1,0)</f>
        <v>0</v>
      </c>
      <c r="AI1061" s="90" t="n">
        <f aca="false">IF(AG1061="",0,IF(MATCH(AG1061,$AG$4:$AG$1203,0)=ROW()-3,1,0))</f>
        <v>0</v>
      </c>
      <c r="AJ1061" s="90" t="n">
        <f aca="false">N(AJ1060)+AI1061</f>
        <v>4</v>
      </c>
      <c r="AK1061" s="1" t="n">
        <f aca="false">N(AK1060)+$AJ1061</f>
        <v>3104</v>
      </c>
    </row>
    <row r="1062" customFormat="false" ht="13.5" hidden="false" customHeight="false" outlineLevel="0" collapsed="false">
      <c r="A1062" s="1" t="str">
        <f aca="false">IF(对接源_01水果!$C1062="","",对接源_01水果!$C1062)</f>
        <v/>
      </c>
      <c r="B1062" s="1" t="n">
        <f aca="false">IF(A1062="",0,IF(MATCH(A1062,$A$4:$A$2403,0)=ROW()-3,1,0))</f>
        <v>0</v>
      </c>
      <c r="C1062" s="1" t="n">
        <f aca="false">N(C1061)+B1062</f>
        <v>13</v>
      </c>
      <c r="K1062" s="1" t="n">
        <f aca="false">IF(OR($K$1="",对接源_01水果!$C1062="",对接源_01水果!$C1062&lt;&gt;$K$1,对接源_01水果!$B1062=""),0,IF(OR(N(对接源_01水果!$B1062)&lt;$K$2,N(对接源_01水果!$B1062)&gt;$K$3),0,1))</f>
        <v>0</v>
      </c>
      <c r="L1062" s="1" t="n">
        <f aca="false">IF(OR($L$1="",对接源_01水果!$C1062="",对接源_01水果!$C1062&lt;&gt;$L$1,对接源_01水果!$B1062=""),0,IF(OR(N(对接源_01水果!$B1062)&lt;$L$2,N(对接源_01水果!$B1062)&gt;$L$3),0,1))</f>
        <v>0</v>
      </c>
      <c r="M1062" s="1" t="n">
        <f aca="false">IF(OR($M$1="",对接源_01水果!$C1062="",对接源_01水果!$C1062&lt;&gt;$M$1,对接源_01水果!$B1062=""),0,IF(OR(N(对接源_01水果!$B1062)&lt;$M$2,N(对接源_01水果!$B1062)&gt;$M$3),0,1))</f>
        <v>0</v>
      </c>
      <c r="N1062" s="1" t="n">
        <f aca="false">IF(OR($N$1="",对接源_01水果!$C1062="",对接源_01水果!$C1062&lt;&gt;$N$1,对接源_01水果!$B1062=""),0,IF(OR(N(对接源_01水果!$B1062)&lt;$N$2,N(对接源_01水果!$B1062)&gt;$N$3),0,1))</f>
        <v>0</v>
      </c>
      <c r="P1062" s="1" t="n">
        <f aca="false">IF(AND($K1062=1,AND(对接源_01水果!$X1062="公司筐",N(对接源_01水果!$T1062)&lt;&gt;0)),1,0)</f>
        <v>0</v>
      </c>
      <c r="Q1062" s="1" t="n">
        <f aca="false">N(Q1061)+$P1062</f>
        <v>3</v>
      </c>
      <c r="R1062" s="1" t="n">
        <f aca="false">IF(AND($K1062=1,AND(对接源_01水果!$X1062="公司筐",N(对接源_01水果!$U1062)&lt;&gt;0)),1,0)</f>
        <v>0</v>
      </c>
      <c r="S1062" s="1" t="n">
        <f aca="false">N(S1061)+$R1062</f>
        <v>0</v>
      </c>
      <c r="T1062" s="1" t="n">
        <f aca="false">IF(AND($K1062=1,AND(对接源_01水果!$X1062="公司筐",N(对接源_01水果!$V1062)&lt;&gt;0)),1,0)</f>
        <v>0</v>
      </c>
      <c r="U1062" s="1" t="n">
        <f aca="false">N(U1061)+$T1062</f>
        <v>28</v>
      </c>
      <c r="V1062" s="1" t="n">
        <f aca="false">IF(AND($L1062=1,AND(对接源_01水果!$X1062="自备筐",N(对接源_01水果!$V1062)&lt;&gt;0)),1,0)</f>
        <v>0</v>
      </c>
      <c r="W1062" s="1" t="n">
        <f aca="false">N(W1061)+$V1062</f>
        <v>7</v>
      </c>
      <c r="X1062" s="1" t="n">
        <f aca="false">IF(AND($L1062=1,AND(对接源_01水果!$X1062="自备筐",N(对接源_01水果!$T1062)&lt;&gt;0)),1,0)</f>
        <v>0</v>
      </c>
      <c r="Y1062" s="1" t="n">
        <f aca="false">N(Y1061)+$X1062</f>
        <v>0</v>
      </c>
      <c r="Z1062" s="1" t="n">
        <f aca="false">IF(AND($M1062=1,对接源_01水果!$D1062="原料入库"),1,0)</f>
        <v>0</v>
      </c>
      <c r="AA1062" s="1" t="n">
        <f aca="false">N(AA1061)+$Z1062</f>
        <v>30</v>
      </c>
      <c r="AB1062" s="1" t="n">
        <f aca="false">IF(AND($M1062=1,LEFT(对接源_01水果!$D1062,4)="原料出库"),1,0)</f>
        <v>0</v>
      </c>
      <c r="AC1062" s="1" t="n">
        <f aca="false">N(AC1061)+$AB1062</f>
        <v>19</v>
      </c>
      <c r="AD1062" s="1" t="n">
        <f aca="false">IF(AND($M1062=1,LEFT(对接源_01水果!$D1062,4)="成品出库"),1,0)</f>
        <v>0</v>
      </c>
      <c r="AE1062" s="1" t="n">
        <f aca="false">N(AE1061)+$AD1062</f>
        <v>38</v>
      </c>
      <c r="AF1062" s="1" t="n">
        <f aca="false">IF(AND($N1062=1,AND(LEFT(对接源_01水果!$D1062,4)="包装物料",N(对接源_01水果!$K1062)&lt;&gt;0)),1,0)</f>
        <v>0</v>
      </c>
      <c r="AG1062" s="90" t="str">
        <f aca="false">IF(对接源_01水果!$AC1062="","",对接源_01水果!$AC1062)</f>
        <v/>
      </c>
      <c r="AH1062" s="1" t="n">
        <f aca="false">IF(AND($N1062=1,AND(LEFT(对接源_01水果!$D1062,3)="周转筐",N(对接源_01水果!$K1062)&lt;&gt;0)),1,0)</f>
        <v>0</v>
      </c>
      <c r="AI1062" s="90" t="n">
        <f aca="false">IF(AG1062="",0,IF(MATCH(AG1062,$AG$4:$AG$1203,0)=ROW()-3,1,0))</f>
        <v>0</v>
      </c>
      <c r="AJ1062" s="90" t="n">
        <f aca="false">N(AJ1061)+AI1062</f>
        <v>4</v>
      </c>
      <c r="AK1062" s="1" t="n">
        <f aca="false">N(AK1061)+$AJ1062</f>
        <v>3108</v>
      </c>
    </row>
    <row r="1063" customFormat="false" ht="13.5" hidden="false" customHeight="false" outlineLevel="0" collapsed="false">
      <c r="A1063" s="1" t="str">
        <f aca="false">IF(对接源_01水果!$C1063="","",对接源_01水果!$C1063)</f>
        <v/>
      </c>
      <c r="B1063" s="1" t="n">
        <f aca="false">IF(A1063="",0,IF(MATCH(A1063,$A$4:$A$2403,0)=ROW()-3,1,0))</f>
        <v>0</v>
      </c>
      <c r="C1063" s="1" t="n">
        <f aca="false">N(C1062)+B1063</f>
        <v>13</v>
      </c>
      <c r="K1063" s="1" t="n">
        <f aca="false">IF(OR($K$1="",对接源_01水果!$C1063="",对接源_01水果!$C1063&lt;&gt;$K$1,对接源_01水果!$B1063=""),0,IF(OR(N(对接源_01水果!$B1063)&lt;$K$2,N(对接源_01水果!$B1063)&gt;$K$3),0,1))</f>
        <v>0</v>
      </c>
      <c r="L1063" s="1" t="n">
        <f aca="false">IF(OR($L$1="",对接源_01水果!$C1063="",对接源_01水果!$C1063&lt;&gt;$L$1,对接源_01水果!$B1063=""),0,IF(OR(N(对接源_01水果!$B1063)&lt;$L$2,N(对接源_01水果!$B1063)&gt;$L$3),0,1))</f>
        <v>0</v>
      </c>
      <c r="M1063" s="1" t="n">
        <f aca="false">IF(OR($M$1="",对接源_01水果!$C1063="",对接源_01水果!$C1063&lt;&gt;$M$1,对接源_01水果!$B1063=""),0,IF(OR(N(对接源_01水果!$B1063)&lt;$M$2,N(对接源_01水果!$B1063)&gt;$M$3),0,1))</f>
        <v>0</v>
      </c>
      <c r="N1063" s="1" t="n">
        <f aca="false">IF(OR($N$1="",对接源_01水果!$C1063="",对接源_01水果!$C1063&lt;&gt;$N$1,对接源_01水果!$B1063=""),0,IF(OR(N(对接源_01水果!$B1063)&lt;$N$2,N(对接源_01水果!$B1063)&gt;$N$3),0,1))</f>
        <v>0</v>
      </c>
      <c r="P1063" s="1" t="n">
        <f aca="false">IF(AND($K1063=1,AND(对接源_01水果!$X1063="公司筐",N(对接源_01水果!$T1063)&lt;&gt;0)),1,0)</f>
        <v>0</v>
      </c>
      <c r="Q1063" s="1" t="n">
        <f aca="false">N(Q1062)+$P1063</f>
        <v>3</v>
      </c>
      <c r="R1063" s="1" t="n">
        <f aca="false">IF(AND($K1063=1,AND(对接源_01水果!$X1063="公司筐",N(对接源_01水果!$U1063)&lt;&gt;0)),1,0)</f>
        <v>0</v>
      </c>
      <c r="S1063" s="1" t="n">
        <f aca="false">N(S1062)+$R1063</f>
        <v>0</v>
      </c>
      <c r="T1063" s="1" t="n">
        <f aca="false">IF(AND($K1063=1,AND(对接源_01水果!$X1063="公司筐",N(对接源_01水果!$V1063)&lt;&gt;0)),1,0)</f>
        <v>0</v>
      </c>
      <c r="U1063" s="1" t="n">
        <f aca="false">N(U1062)+$T1063</f>
        <v>28</v>
      </c>
      <c r="V1063" s="1" t="n">
        <f aca="false">IF(AND($L1063=1,AND(对接源_01水果!$X1063="自备筐",N(对接源_01水果!$V1063)&lt;&gt;0)),1,0)</f>
        <v>0</v>
      </c>
      <c r="W1063" s="1" t="n">
        <f aca="false">N(W1062)+$V1063</f>
        <v>7</v>
      </c>
      <c r="X1063" s="1" t="n">
        <f aca="false">IF(AND($L1063=1,AND(对接源_01水果!$X1063="自备筐",N(对接源_01水果!$T1063)&lt;&gt;0)),1,0)</f>
        <v>0</v>
      </c>
      <c r="Y1063" s="1" t="n">
        <f aca="false">N(Y1062)+$X1063</f>
        <v>0</v>
      </c>
      <c r="Z1063" s="1" t="n">
        <f aca="false">IF(AND($M1063=1,对接源_01水果!$D1063="原料入库"),1,0)</f>
        <v>0</v>
      </c>
      <c r="AA1063" s="1" t="n">
        <f aca="false">N(AA1062)+$Z1063</f>
        <v>30</v>
      </c>
      <c r="AB1063" s="1" t="n">
        <f aca="false">IF(AND($M1063=1,LEFT(对接源_01水果!$D1063,4)="原料出库"),1,0)</f>
        <v>0</v>
      </c>
      <c r="AC1063" s="1" t="n">
        <f aca="false">N(AC1062)+$AB1063</f>
        <v>19</v>
      </c>
      <c r="AD1063" s="1" t="n">
        <f aca="false">IF(AND($M1063=1,LEFT(对接源_01水果!$D1063,4)="成品出库"),1,0)</f>
        <v>0</v>
      </c>
      <c r="AE1063" s="1" t="n">
        <f aca="false">N(AE1062)+$AD1063</f>
        <v>38</v>
      </c>
      <c r="AF1063" s="1" t="n">
        <f aca="false">IF(AND($N1063=1,AND(LEFT(对接源_01水果!$D1063,4)="包装物料",N(对接源_01水果!$K1063)&lt;&gt;0)),1,0)</f>
        <v>0</v>
      </c>
      <c r="AG1063" s="90" t="str">
        <f aca="false">IF(对接源_01水果!$AC1063="","",对接源_01水果!$AC1063)</f>
        <v/>
      </c>
      <c r="AH1063" s="1" t="n">
        <f aca="false">IF(AND($N1063=1,AND(LEFT(对接源_01水果!$D1063,3)="周转筐",N(对接源_01水果!$K1063)&lt;&gt;0)),1,0)</f>
        <v>0</v>
      </c>
      <c r="AI1063" s="90" t="n">
        <f aca="false">IF(AG1063="",0,IF(MATCH(AG1063,$AG$4:$AG$1203,0)=ROW()-3,1,0))</f>
        <v>0</v>
      </c>
      <c r="AJ1063" s="90" t="n">
        <f aca="false">N(AJ1062)+AI1063</f>
        <v>4</v>
      </c>
      <c r="AK1063" s="1" t="n">
        <f aca="false">N(AK1062)+$AJ1063</f>
        <v>3112</v>
      </c>
    </row>
    <row r="1064" customFormat="false" ht="13.5" hidden="false" customHeight="false" outlineLevel="0" collapsed="false">
      <c r="A1064" s="1" t="str">
        <f aca="false">IF(对接源_01水果!$C1064="","",对接源_01水果!$C1064)</f>
        <v/>
      </c>
      <c r="B1064" s="1" t="n">
        <f aca="false">IF(A1064="",0,IF(MATCH(A1064,$A$4:$A$2403,0)=ROW()-3,1,0))</f>
        <v>0</v>
      </c>
      <c r="C1064" s="1" t="n">
        <f aca="false">N(C1063)+B1064</f>
        <v>13</v>
      </c>
      <c r="K1064" s="1" t="n">
        <f aca="false">IF(OR($K$1="",对接源_01水果!$C1064="",对接源_01水果!$C1064&lt;&gt;$K$1,对接源_01水果!$B1064=""),0,IF(OR(N(对接源_01水果!$B1064)&lt;$K$2,N(对接源_01水果!$B1064)&gt;$K$3),0,1))</f>
        <v>0</v>
      </c>
      <c r="L1064" s="1" t="n">
        <f aca="false">IF(OR($L$1="",对接源_01水果!$C1064="",对接源_01水果!$C1064&lt;&gt;$L$1,对接源_01水果!$B1064=""),0,IF(OR(N(对接源_01水果!$B1064)&lt;$L$2,N(对接源_01水果!$B1064)&gt;$L$3),0,1))</f>
        <v>0</v>
      </c>
      <c r="M1064" s="1" t="n">
        <f aca="false">IF(OR($M$1="",对接源_01水果!$C1064="",对接源_01水果!$C1064&lt;&gt;$M$1,对接源_01水果!$B1064=""),0,IF(OR(N(对接源_01水果!$B1064)&lt;$M$2,N(对接源_01水果!$B1064)&gt;$M$3),0,1))</f>
        <v>0</v>
      </c>
      <c r="N1064" s="1" t="n">
        <f aca="false">IF(OR($N$1="",对接源_01水果!$C1064="",对接源_01水果!$C1064&lt;&gt;$N$1,对接源_01水果!$B1064=""),0,IF(OR(N(对接源_01水果!$B1064)&lt;$N$2,N(对接源_01水果!$B1064)&gt;$N$3),0,1))</f>
        <v>0</v>
      </c>
      <c r="P1064" s="1" t="n">
        <f aca="false">IF(AND($K1064=1,AND(对接源_01水果!$X1064="公司筐",N(对接源_01水果!$T1064)&lt;&gt;0)),1,0)</f>
        <v>0</v>
      </c>
      <c r="Q1064" s="1" t="n">
        <f aca="false">N(Q1063)+$P1064</f>
        <v>3</v>
      </c>
      <c r="R1064" s="1" t="n">
        <f aca="false">IF(AND($K1064=1,AND(对接源_01水果!$X1064="公司筐",N(对接源_01水果!$U1064)&lt;&gt;0)),1,0)</f>
        <v>0</v>
      </c>
      <c r="S1064" s="1" t="n">
        <f aca="false">N(S1063)+$R1064</f>
        <v>0</v>
      </c>
      <c r="T1064" s="1" t="n">
        <f aca="false">IF(AND($K1064=1,AND(对接源_01水果!$X1064="公司筐",N(对接源_01水果!$V1064)&lt;&gt;0)),1,0)</f>
        <v>0</v>
      </c>
      <c r="U1064" s="1" t="n">
        <f aca="false">N(U1063)+$T1064</f>
        <v>28</v>
      </c>
      <c r="V1064" s="1" t="n">
        <f aca="false">IF(AND($L1064=1,AND(对接源_01水果!$X1064="自备筐",N(对接源_01水果!$V1064)&lt;&gt;0)),1,0)</f>
        <v>0</v>
      </c>
      <c r="W1064" s="1" t="n">
        <f aca="false">N(W1063)+$V1064</f>
        <v>7</v>
      </c>
      <c r="X1064" s="1" t="n">
        <f aca="false">IF(AND($L1064=1,AND(对接源_01水果!$X1064="自备筐",N(对接源_01水果!$T1064)&lt;&gt;0)),1,0)</f>
        <v>0</v>
      </c>
      <c r="Y1064" s="1" t="n">
        <f aca="false">N(Y1063)+$X1064</f>
        <v>0</v>
      </c>
      <c r="Z1064" s="1" t="n">
        <f aca="false">IF(AND($M1064=1,对接源_01水果!$D1064="原料入库"),1,0)</f>
        <v>0</v>
      </c>
      <c r="AA1064" s="1" t="n">
        <f aca="false">N(AA1063)+$Z1064</f>
        <v>30</v>
      </c>
      <c r="AB1064" s="1" t="n">
        <f aca="false">IF(AND($M1064=1,LEFT(对接源_01水果!$D1064,4)="原料出库"),1,0)</f>
        <v>0</v>
      </c>
      <c r="AC1064" s="1" t="n">
        <f aca="false">N(AC1063)+$AB1064</f>
        <v>19</v>
      </c>
      <c r="AD1064" s="1" t="n">
        <f aca="false">IF(AND($M1064=1,LEFT(对接源_01水果!$D1064,4)="成品出库"),1,0)</f>
        <v>0</v>
      </c>
      <c r="AE1064" s="1" t="n">
        <f aca="false">N(AE1063)+$AD1064</f>
        <v>38</v>
      </c>
      <c r="AF1064" s="1" t="n">
        <f aca="false">IF(AND($N1064=1,AND(LEFT(对接源_01水果!$D1064,4)="包装物料",N(对接源_01水果!$K1064)&lt;&gt;0)),1,0)</f>
        <v>0</v>
      </c>
      <c r="AG1064" s="90" t="str">
        <f aca="false">IF(对接源_01水果!$AC1064="","",对接源_01水果!$AC1064)</f>
        <v/>
      </c>
      <c r="AH1064" s="1" t="n">
        <f aca="false">IF(AND($N1064=1,AND(LEFT(对接源_01水果!$D1064,3)="周转筐",N(对接源_01水果!$K1064)&lt;&gt;0)),1,0)</f>
        <v>0</v>
      </c>
      <c r="AI1064" s="90" t="n">
        <f aca="false">IF(AG1064="",0,IF(MATCH(AG1064,$AG$4:$AG$1203,0)=ROW()-3,1,0))</f>
        <v>0</v>
      </c>
      <c r="AJ1064" s="90" t="n">
        <f aca="false">N(AJ1063)+AI1064</f>
        <v>4</v>
      </c>
      <c r="AK1064" s="1" t="n">
        <f aca="false">N(AK1063)+$AJ1064</f>
        <v>3116</v>
      </c>
    </row>
    <row r="1065" customFormat="false" ht="13.5" hidden="false" customHeight="false" outlineLevel="0" collapsed="false">
      <c r="A1065" s="1" t="str">
        <f aca="false">IF(对接源_01水果!$C1065="","",对接源_01水果!$C1065)</f>
        <v/>
      </c>
      <c r="B1065" s="1" t="n">
        <f aca="false">IF(A1065="",0,IF(MATCH(A1065,$A$4:$A$2403,0)=ROW()-3,1,0))</f>
        <v>0</v>
      </c>
      <c r="C1065" s="1" t="n">
        <f aca="false">N(C1064)+B1065</f>
        <v>13</v>
      </c>
      <c r="K1065" s="1" t="n">
        <f aca="false">IF(OR($K$1="",对接源_01水果!$C1065="",对接源_01水果!$C1065&lt;&gt;$K$1,对接源_01水果!$B1065=""),0,IF(OR(N(对接源_01水果!$B1065)&lt;$K$2,N(对接源_01水果!$B1065)&gt;$K$3),0,1))</f>
        <v>0</v>
      </c>
      <c r="L1065" s="1" t="n">
        <f aca="false">IF(OR($L$1="",对接源_01水果!$C1065="",对接源_01水果!$C1065&lt;&gt;$L$1,对接源_01水果!$B1065=""),0,IF(OR(N(对接源_01水果!$B1065)&lt;$L$2,N(对接源_01水果!$B1065)&gt;$L$3),0,1))</f>
        <v>0</v>
      </c>
      <c r="M1065" s="1" t="n">
        <f aca="false">IF(OR($M$1="",对接源_01水果!$C1065="",对接源_01水果!$C1065&lt;&gt;$M$1,对接源_01水果!$B1065=""),0,IF(OR(N(对接源_01水果!$B1065)&lt;$M$2,N(对接源_01水果!$B1065)&gt;$M$3),0,1))</f>
        <v>0</v>
      </c>
      <c r="N1065" s="1" t="n">
        <f aca="false">IF(OR($N$1="",对接源_01水果!$C1065="",对接源_01水果!$C1065&lt;&gt;$N$1,对接源_01水果!$B1065=""),0,IF(OR(N(对接源_01水果!$B1065)&lt;$N$2,N(对接源_01水果!$B1065)&gt;$N$3),0,1))</f>
        <v>0</v>
      </c>
      <c r="P1065" s="1" t="n">
        <f aca="false">IF(AND($K1065=1,AND(对接源_01水果!$X1065="公司筐",N(对接源_01水果!$T1065)&lt;&gt;0)),1,0)</f>
        <v>0</v>
      </c>
      <c r="Q1065" s="1" t="n">
        <f aca="false">N(Q1064)+$P1065</f>
        <v>3</v>
      </c>
      <c r="R1065" s="1" t="n">
        <f aca="false">IF(AND($K1065=1,AND(对接源_01水果!$X1065="公司筐",N(对接源_01水果!$U1065)&lt;&gt;0)),1,0)</f>
        <v>0</v>
      </c>
      <c r="S1065" s="1" t="n">
        <f aca="false">N(S1064)+$R1065</f>
        <v>0</v>
      </c>
      <c r="T1065" s="1" t="n">
        <f aca="false">IF(AND($K1065=1,AND(对接源_01水果!$X1065="公司筐",N(对接源_01水果!$V1065)&lt;&gt;0)),1,0)</f>
        <v>0</v>
      </c>
      <c r="U1065" s="1" t="n">
        <f aca="false">N(U1064)+$T1065</f>
        <v>28</v>
      </c>
      <c r="V1065" s="1" t="n">
        <f aca="false">IF(AND($L1065=1,AND(对接源_01水果!$X1065="自备筐",N(对接源_01水果!$V1065)&lt;&gt;0)),1,0)</f>
        <v>0</v>
      </c>
      <c r="W1065" s="1" t="n">
        <f aca="false">N(W1064)+$V1065</f>
        <v>7</v>
      </c>
      <c r="X1065" s="1" t="n">
        <f aca="false">IF(AND($L1065=1,AND(对接源_01水果!$X1065="自备筐",N(对接源_01水果!$T1065)&lt;&gt;0)),1,0)</f>
        <v>0</v>
      </c>
      <c r="Y1065" s="1" t="n">
        <f aca="false">N(Y1064)+$X1065</f>
        <v>0</v>
      </c>
      <c r="Z1065" s="1" t="n">
        <f aca="false">IF(AND($M1065=1,对接源_01水果!$D1065="原料入库"),1,0)</f>
        <v>0</v>
      </c>
      <c r="AA1065" s="1" t="n">
        <f aca="false">N(AA1064)+$Z1065</f>
        <v>30</v>
      </c>
      <c r="AB1065" s="1" t="n">
        <f aca="false">IF(AND($M1065=1,LEFT(对接源_01水果!$D1065,4)="原料出库"),1,0)</f>
        <v>0</v>
      </c>
      <c r="AC1065" s="1" t="n">
        <f aca="false">N(AC1064)+$AB1065</f>
        <v>19</v>
      </c>
      <c r="AD1065" s="1" t="n">
        <f aca="false">IF(AND($M1065=1,LEFT(对接源_01水果!$D1065,4)="成品出库"),1,0)</f>
        <v>0</v>
      </c>
      <c r="AE1065" s="1" t="n">
        <f aca="false">N(AE1064)+$AD1065</f>
        <v>38</v>
      </c>
      <c r="AF1065" s="1" t="n">
        <f aca="false">IF(AND($N1065=1,AND(LEFT(对接源_01水果!$D1065,4)="包装物料",N(对接源_01水果!$K1065)&lt;&gt;0)),1,0)</f>
        <v>0</v>
      </c>
      <c r="AG1065" s="90" t="str">
        <f aca="false">IF(对接源_01水果!$AC1065="","",对接源_01水果!$AC1065)</f>
        <v/>
      </c>
      <c r="AH1065" s="1" t="n">
        <f aca="false">IF(AND($N1065=1,AND(LEFT(对接源_01水果!$D1065,3)="周转筐",N(对接源_01水果!$K1065)&lt;&gt;0)),1,0)</f>
        <v>0</v>
      </c>
      <c r="AI1065" s="90" t="n">
        <f aca="false">IF(AG1065="",0,IF(MATCH(AG1065,$AG$4:$AG$1203,0)=ROW()-3,1,0))</f>
        <v>0</v>
      </c>
      <c r="AJ1065" s="90" t="n">
        <f aca="false">N(AJ1064)+AI1065</f>
        <v>4</v>
      </c>
      <c r="AK1065" s="1" t="n">
        <f aca="false">N(AK1064)+$AJ1065</f>
        <v>3120</v>
      </c>
    </row>
    <row r="1066" customFormat="false" ht="13.5" hidden="false" customHeight="false" outlineLevel="0" collapsed="false">
      <c r="A1066" s="1" t="str">
        <f aca="false">IF(对接源_01水果!$C1066="","",对接源_01水果!$C1066)</f>
        <v/>
      </c>
      <c r="B1066" s="1" t="n">
        <f aca="false">IF(A1066="",0,IF(MATCH(A1066,$A$4:$A$2403,0)=ROW()-3,1,0))</f>
        <v>0</v>
      </c>
      <c r="C1066" s="1" t="n">
        <f aca="false">N(C1065)+B1066</f>
        <v>13</v>
      </c>
      <c r="K1066" s="1" t="n">
        <f aca="false">IF(OR($K$1="",对接源_01水果!$C1066="",对接源_01水果!$C1066&lt;&gt;$K$1,对接源_01水果!$B1066=""),0,IF(OR(N(对接源_01水果!$B1066)&lt;$K$2,N(对接源_01水果!$B1066)&gt;$K$3),0,1))</f>
        <v>0</v>
      </c>
      <c r="L1066" s="1" t="n">
        <f aca="false">IF(OR($L$1="",对接源_01水果!$C1066="",对接源_01水果!$C1066&lt;&gt;$L$1,对接源_01水果!$B1066=""),0,IF(OR(N(对接源_01水果!$B1066)&lt;$L$2,N(对接源_01水果!$B1066)&gt;$L$3),0,1))</f>
        <v>0</v>
      </c>
      <c r="M1066" s="1" t="n">
        <f aca="false">IF(OR($M$1="",对接源_01水果!$C1066="",对接源_01水果!$C1066&lt;&gt;$M$1,对接源_01水果!$B1066=""),0,IF(OR(N(对接源_01水果!$B1066)&lt;$M$2,N(对接源_01水果!$B1066)&gt;$M$3),0,1))</f>
        <v>0</v>
      </c>
      <c r="N1066" s="1" t="n">
        <f aca="false">IF(OR($N$1="",对接源_01水果!$C1066="",对接源_01水果!$C1066&lt;&gt;$N$1,对接源_01水果!$B1066=""),0,IF(OR(N(对接源_01水果!$B1066)&lt;$N$2,N(对接源_01水果!$B1066)&gt;$N$3),0,1))</f>
        <v>0</v>
      </c>
      <c r="P1066" s="1" t="n">
        <f aca="false">IF(AND($K1066=1,AND(对接源_01水果!$X1066="公司筐",N(对接源_01水果!$T1066)&lt;&gt;0)),1,0)</f>
        <v>0</v>
      </c>
      <c r="Q1066" s="1" t="n">
        <f aca="false">N(Q1065)+$P1066</f>
        <v>3</v>
      </c>
      <c r="R1066" s="1" t="n">
        <f aca="false">IF(AND($K1066=1,AND(对接源_01水果!$X1066="公司筐",N(对接源_01水果!$U1066)&lt;&gt;0)),1,0)</f>
        <v>0</v>
      </c>
      <c r="S1066" s="1" t="n">
        <f aca="false">N(S1065)+$R1066</f>
        <v>0</v>
      </c>
      <c r="T1066" s="1" t="n">
        <f aca="false">IF(AND($K1066=1,AND(对接源_01水果!$X1066="公司筐",N(对接源_01水果!$V1066)&lt;&gt;0)),1,0)</f>
        <v>0</v>
      </c>
      <c r="U1066" s="1" t="n">
        <f aca="false">N(U1065)+$T1066</f>
        <v>28</v>
      </c>
      <c r="V1066" s="1" t="n">
        <f aca="false">IF(AND($L1066=1,AND(对接源_01水果!$X1066="自备筐",N(对接源_01水果!$V1066)&lt;&gt;0)),1,0)</f>
        <v>0</v>
      </c>
      <c r="W1066" s="1" t="n">
        <f aca="false">N(W1065)+$V1066</f>
        <v>7</v>
      </c>
      <c r="X1066" s="1" t="n">
        <f aca="false">IF(AND($L1066=1,AND(对接源_01水果!$X1066="自备筐",N(对接源_01水果!$T1066)&lt;&gt;0)),1,0)</f>
        <v>0</v>
      </c>
      <c r="Y1066" s="1" t="n">
        <f aca="false">N(Y1065)+$X1066</f>
        <v>0</v>
      </c>
      <c r="Z1066" s="1" t="n">
        <f aca="false">IF(AND($M1066=1,对接源_01水果!$D1066="原料入库"),1,0)</f>
        <v>0</v>
      </c>
      <c r="AA1066" s="1" t="n">
        <f aca="false">N(AA1065)+$Z1066</f>
        <v>30</v>
      </c>
      <c r="AB1066" s="1" t="n">
        <f aca="false">IF(AND($M1066=1,LEFT(对接源_01水果!$D1066,4)="原料出库"),1,0)</f>
        <v>0</v>
      </c>
      <c r="AC1066" s="1" t="n">
        <f aca="false">N(AC1065)+$AB1066</f>
        <v>19</v>
      </c>
      <c r="AD1066" s="1" t="n">
        <f aca="false">IF(AND($M1066=1,LEFT(对接源_01水果!$D1066,4)="成品出库"),1,0)</f>
        <v>0</v>
      </c>
      <c r="AE1066" s="1" t="n">
        <f aca="false">N(AE1065)+$AD1066</f>
        <v>38</v>
      </c>
      <c r="AF1066" s="1" t="n">
        <f aca="false">IF(AND($N1066=1,AND(LEFT(对接源_01水果!$D1066,4)="包装物料",N(对接源_01水果!$K1066)&lt;&gt;0)),1,0)</f>
        <v>0</v>
      </c>
      <c r="AG1066" s="90" t="str">
        <f aca="false">IF(对接源_01水果!$AC1066="","",对接源_01水果!$AC1066)</f>
        <v/>
      </c>
      <c r="AH1066" s="1" t="n">
        <f aca="false">IF(AND($N1066=1,AND(LEFT(对接源_01水果!$D1066,3)="周转筐",N(对接源_01水果!$K1066)&lt;&gt;0)),1,0)</f>
        <v>0</v>
      </c>
      <c r="AI1066" s="90" t="n">
        <f aca="false">IF(AG1066="",0,IF(MATCH(AG1066,$AG$4:$AG$1203,0)=ROW()-3,1,0))</f>
        <v>0</v>
      </c>
      <c r="AJ1066" s="90" t="n">
        <f aca="false">N(AJ1065)+AI1066</f>
        <v>4</v>
      </c>
      <c r="AK1066" s="1" t="n">
        <f aca="false">N(AK1065)+$AJ1066</f>
        <v>3124</v>
      </c>
    </row>
    <row r="1067" customFormat="false" ht="13.5" hidden="false" customHeight="false" outlineLevel="0" collapsed="false">
      <c r="A1067" s="1" t="str">
        <f aca="false">IF(对接源_01水果!$C1067="","",对接源_01水果!$C1067)</f>
        <v/>
      </c>
      <c r="B1067" s="1" t="n">
        <f aca="false">IF(A1067="",0,IF(MATCH(A1067,$A$4:$A$2403,0)=ROW()-3,1,0))</f>
        <v>0</v>
      </c>
      <c r="C1067" s="1" t="n">
        <f aca="false">N(C1066)+B1067</f>
        <v>13</v>
      </c>
      <c r="K1067" s="1" t="n">
        <f aca="false">IF(OR($K$1="",对接源_01水果!$C1067="",对接源_01水果!$C1067&lt;&gt;$K$1,对接源_01水果!$B1067=""),0,IF(OR(N(对接源_01水果!$B1067)&lt;$K$2,N(对接源_01水果!$B1067)&gt;$K$3),0,1))</f>
        <v>0</v>
      </c>
      <c r="L1067" s="1" t="n">
        <f aca="false">IF(OR($L$1="",对接源_01水果!$C1067="",对接源_01水果!$C1067&lt;&gt;$L$1,对接源_01水果!$B1067=""),0,IF(OR(N(对接源_01水果!$B1067)&lt;$L$2,N(对接源_01水果!$B1067)&gt;$L$3),0,1))</f>
        <v>0</v>
      </c>
      <c r="M1067" s="1" t="n">
        <f aca="false">IF(OR($M$1="",对接源_01水果!$C1067="",对接源_01水果!$C1067&lt;&gt;$M$1,对接源_01水果!$B1067=""),0,IF(OR(N(对接源_01水果!$B1067)&lt;$M$2,N(对接源_01水果!$B1067)&gt;$M$3),0,1))</f>
        <v>0</v>
      </c>
      <c r="N1067" s="1" t="n">
        <f aca="false">IF(OR($N$1="",对接源_01水果!$C1067="",对接源_01水果!$C1067&lt;&gt;$N$1,对接源_01水果!$B1067=""),0,IF(OR(N(对接源_01水果!$B1067)&lt;$N$2,N(对接源_01水果!$B1067)&gt;$N$3),0,1))</f>
        <v>0</v>
      </c>
      <c r="P1067" s="1" t="n">
        <f aca="false">IF(AND($K1067=1,AND(对接源_01水果!$X1067="公司筐",N(对接源_01水果!$T1067)&lt;&gt;0)),1,0)</f>
        <v>0</v>
      </c>
      <c r="Q1067" s="1" t="n">
        <f aca="false">N(Q1066)+$P1067</f>
        <v>3</v>
      </c>
      <c r="R1067" s="1" t="n">
        <f aca="false">IF(AND($K1067=1,AND(对接源_01水果!$X1067="公司筐",N(对接源_01水果!$U1067)&lt;&gt;0)),1,0)</f>
        <v>0</v>
      </c>
      <c r="S1067" s="1" t="n">
        <f aca="false">N(S1066)+$R1067</f>
        <v>0</v>
      </c>
      <c r="T1067" s="1" t="n">
        <f aca="false">IF(AND($K1067=1,AND(对接源_01水果!$X1067="公司筐",N(对接源_01水果!$V1067)&lt;&gt;0)),1,0)</f>
        <v>0</v>
      </c>
      <c r="U1067" s="1" t="n">
        <f aca="false">N(U1066)+$T1067</f>
        <v>28</v>
      </c>
      <c r="V1067" s="1" t="n">
        <f aca="false">IF(AND($L1067=1,AND(对接源_01水果!$X1067="自备筐",N(对接源_01水果!$V1067)&lt;&gt;0)),1,0)</f>
        <v>0</v>
      </c>
      <c r="W1067" s="1" t="n">
        <f aca="false">N(W1066)+$V1067</f>
        <v>7</v>
      </c>
      <c r="X1067" s="1" t="n">
        <f aca="false">IF(AND($L1067=1,AND(对接源_01水果!$X1067="自备筐",N(对接源_01水果!$T1067)&lt;&gt;0)),1,0)</f>
        <v>0</v>
      </c>
      <c r="Y1067" s="1" t="n">
        <f aca="false">N(Y1066)+$X1067</f>
        <v>0</v>
      </c>
      <c r="Z1067" s="1" t="n">
        <f aca="false">IF(AND($M1067=1,对接源_01水果!$D1067="原料入库"),1,0)</f>
        <v>0</v>
      </c>
      <c r="AA1067" s="1" t="n">
        <f aca="false">N(AA1066)+$Z1067</f>
        <v>30</v>
      </c>
      <c r="AB1067" s="1" t="n">
        <f aca="false">IF(AND($M1067=1,LEFT(对接源_01水果!$D1067,4)="原料出库"),1,0)</f>
        <v>0</v>
      </c>
      <c r="AC1067" s="1" t="n">
        <f aca="false">N(AC1066)+$AB1067</f>
        <v>19</v>
      </c>
      <c r="AD1067" s="1" t="n">
        <f aca="false">IF(AND($M1067=1,LEFT(对接源_01水果!$D1067,4)="成品出库"),1,0)</f>
        <v>0</v>
      </c>
      <c r="AE1067" s="1" t="n">
        <f aca="false">N(AE1066)+$AD1067</f>
        <v>38</v>
      </c>
      <c r="AF1067" s="1" t="n">
        <f aca="false">IF(AND($N1067=1,AND(LEFT(对接源_01水果!$D1067,4)="包装物料",N(对接源_01水果!$K1067)&lt;&gt;0)),1,0)</f>
        <v>0</v>
      </c>
      <c r="AG1067" s="90" t="str">
        <f aca="false">IF(对接源_01水果!$AC1067="","",对接源_01水果!$AC1067)</f>
        <v/>
      </c>
      <c r="AH1067" s="1" t="n">
        <f aca="false">IF(AND($N1067=1,AND(LEFT(对接源_01水果!$D1067,3)="周转筐",N(对接源_01水果!$K1067)&lt;&gt;0)),1,0)</f>
        <v>0</v>
      </c>
      <c r="AI1067" s="90" t="n">
        <f aca="false">IF(AG1067="",0,IF(MATCH(AG1067,$AG$4:$AG$1203,0)=ROW()-3,1,0))</f>
        <v>0</v>
      </c>
      <c r="AJ1067" s="90" t="n">
        <f aca="false">N(AJ1066)+AI1067</f>
        <v>4</v>
      </c>
      <c r="AK1067" s="1" t="n">
        <f aca="false">N(AK1066)+$AJ1067</f>
        <v>3128</v>
      </c>
    </row>
    <row r="1068" customFormat="false" ht="13.5" hidden="false" customHeight="false" outlineLevel="0" collapsed="false">
      <c r="A1068" s="1" t="str">
        <f aca="false">IF(对接源_01水果!$C1068="","",对接源_01水果!$C1068)</f>
        <v/>
      </c>
      <c r="B1068" s="1" t="n">
        <f aca="false">IF(A1068="",0,IF(MATCH(A1068,$A$4:$A$2403,0)=ROW()-3,1,0))</f>
        <v>0</v>
      </c>
      <c r="C1068" s="1" t="n">
        <f aca="false">N(C1067)+B1068</f>
        <v>13</v>
      </c>
      <c r="K1068" s="1" t="n">
        <f aca="false">IF(OR($K$1="",对接源_01水果!$C1068="",对接源_01水果!$C1068&lt;&gt;$K$1,对接源_01水果!$B1068=""),0,IF(OR(N(对接源_01水果!$B1068)&lt;$K$2,N(对接源_01水果!$B1068)&gt;$K$3),0,1))</f>
        <v>0</v>
      </c>
      <c r="L1068" s="1" t="n">
        <f aca="false">IF(OR($L$1="",对接源_01水果!$C1068="",对接源_01水果!$C1068&lt;&gt;$L$1,对接源_01水果!$B1068=""),0,IF(OR(N(对接源_01水果!$B1068)&lt;$L$2,N(对接源_01水果!$B1068)&gt;$L$3),0,1))</f>
        <v>0</v>
      </c>
      <c r="M1068" s="1" t="n">
        <f aca="false">IF(OR($M$1="",对接源_01水果!$C1068="",对接源_01水果!$C1068&lt;&gt;$M$1,对接源_01水果!$B1068=""),0,IF(OR(N(对接源_01水果!$B1068)&lt;$M$2,N(对接源_01水果!$B1068)&gt;$M$3),0,1))</f>
        <v>0</v>
      </c>
      <c r="N1068" s="1" t="n">
        <f aca="false">IF(OR($N$1="",对接源_01水果!$C1068="",对接源_01水果!$C1068&lt;&gt;$N$1,对接源_01水果!$B1068=""),0,IF(OR(N(对接源_01水果!$B1068)&lt;$N$2,N(对接源_01水果!$B1068)&gt;$N$3),0,1))</f>
        <v>0</v>
      </c>
      <c r="P1068" s="1" t="n">
        <f aca="false">IF(AND($K1068=1,AND(对接源_01水果!$X1068="公司筐",N(对接源_01水果!$T1068)&lt;&gt;0)),1,0)</f>
        <v>0</v>
      </c>
      <c r="Q1068" s="1" t="n">
        <f aca="false">N(Q1067)+$P1068</f>
        <v>3</v>
      </c>
      <c r="R1068" s="1" t="n">
        <f aca="false">IF(AND($K1068=1,AND(对接源_01水果!$X1068="公司筐",N(对接源_01水果!$U1068)&lt;&gt;0)),1,0)</f>
        <v>0</v>
      </c>
      <c r="S1068" s="1" t="n">
        <f aca="false">N(S1067)+$R1068</f>
        <v>0</v>
      </c>
      <c r="T1068" s="1" t="n">
        <f aca="false">IF(AND($K1068=1,AND(对接源_01水果!$X1068="公司筐",N(对接源_01水果!$V1068)&lt;&gt;0)),1,0)</f>
        <v>0</v>
      </c>
      <c r="U1068" s="1" t="n">
        <f aca="false">N(U1067)+$T1068</f>
        <v>28</v>
      </c>
      <c r="V1068" s="1" t="n">
        <f aca="false">IF(AND($L1068=1,AND(对接源_01水果!$X1068="自备筐",N(对接源_01水果!$V1068)&lt;&gt;0)),1,0)</f>
        <v>0</v>
      </c>
      <c r="W1068" s="1" t="n">
        <f aca="false">N(W1067)+$V1068</f>
        <v>7</v>
      </c>
      <c r="X1068" s="1" t="n">
        <f aca="false">IF(AND($L1068=1,AND(对接源_01水果!$X1068="自备筐",N(对接源_01水果!$T1068)&lt;&gt;0)),1,0)</f>
        <v>0</v>
      </c>
      <c r="Y1068" s="1" t="n">
        <f aca="false">N(Y1067)+$X1068</f>
        <v>0</v>
      </c>
      <c r="Z1068" s="1" t="n">
        <f aca="false">IF(AND($M1068=1,对接源_01水果!$D1068="原料入库"),1,0)</f>
        <v>0</v>
      </c>
      <c r="AA1068" s="1" t="n">
        <f aca="false">N(AA1067)+$Z1068</f>
        <v>30</v>
      </c>
      <c r="AB1068" s="1" t="n">
        <f aca="false">IF(AND($M1068=1,LEFT(对接源_01水果!$D1068,4)="原料出库"),1,0)</f>
        <v>0</v>
      </c>
      <c r="AC1068" s="1" t="n">
        <f aca="false">N(AC1067)+$AB1068</f>
        <v>19</v>
      </c>
      <c r="AD1068" s="1" t="n">
        <f aca="false">IF(AND($M1068=1,LEFT(对接源_01水果!$D1068,4)="成品出库"),1,0)</f>
        <v>0</v>
      </c>
      <c r="AE1068" s="1" t="n">
        <f aca="false">N(AE1067)+$AD1068</f>
        <v>38</v>
      </c>
      <c r="AF1068" s="1" t="n">
        <f aca="false">IF(AND($N1068=1,AND(LEFT(对接源_01水果!$D1068,4)="包装物料",N(对接源_01水果!$K1068)&lt;&gt;0)),1,0)</f>
        <v>0</v>
      </c>
      <c r="AG1068" s="90" t="str">
        <f aca="false">IF(对接源_01水果!$AC1068="","",对接源_01水果!$AC1068)</f>
        <v/>
      </c>
      <c r="AH1068" s="1" t="n">
        <f aca="false">IF(AND($N1068=1,AND(LEFT(对接源_01水果!$D1068,3)="周转筐",N(对接源_01水果!$K1068)&lt;&gt;0)),1,0)</f>
        <v>0</v>
      </c>
      <c r="AI1068" s="90" t="n">
        <f aca="false">IF(AG1068="",0,IF(MATCH(AG1068,$AG$4:$AG$1203,0)=ROW()-3,1,0))</f>
        <v>0</v>
      </c>
      <c r="AJ1068" s="90" t="n">
        <f aca="false">N(AJ1067)+AI1068</f>
        <v>4</v>
      </c>
      <c r="AK1068" s="1" t="n">
        <f aca="false">N(AK1067)+$AJ1068</f>
        <v>3132</v>
      </c>
    </row>
    <row r="1069" customFormat="false" ht="13.5" hidden="false" customHeight="false" outlineLevel="0" collapsed="false">
      <c r="A1069" s="1" t="str">
        <f aca="false">IF(对接源_01水果!$C1069="","",对接源_01水果!$C1069)</f>
        <v/>
      </c>
      <c r="B1069" s="1" t="n">
        <f aca="false">IF(A1069="",0,IF(MATCH(A1069,$A$4:$A$2403,0)=ROW()-3,1,0))</f>
        <v>0</v>
      </c>
      <c r="C1069" s="1" t="n">
        <f aca="false">N(C1068)+B1069</f>
        <v>13</v>
      </c>
      <c r="K1069" s="1" t="n">
        <f aca="false">IF(OR($K$1="",对接源_01水果!$C1069="",对接源_01水果!$C1069&lt;&gt;$K$1,对接源_01水果!$B1069=""),0,IF(OR(N(对接源_01水果!$B1069)&lt;$K$2,N(对接源_01水果!$B1069)&gt;$K$3),0,1))</f>
        <v>0</v>
      </c>
      <c r="L1069" s="1" t="n">
        <f aca="false">IF(OR($L$1="",对接源_01水果!$C1069="",对接源_01水果!$C1069&lt;&gt;$L$1,对接源_01水果!$B1069=""),0,IF(OR(N(对接源_01水果!$B1069)&lt;$L$2,N(对接源_01水果!$B1069)&gt;$L$3),0,1))</f>
        <v>0</v>
      </c>
      <c r="M1069" s="1" t="n">
        <f aca="false">IF(OR($M$1="",对接源_01水果!$C1069="",对接源_01水果!$C1069&lt;&gt;$M$1,对接源_01水果!$B1069=""),0,IF(OR(N(对接源_01水果!$B1069)&lt;$M$2,N(对接源_01水果!$B1069)&gt;$M$3),0,1))</f>
        <v>0</v>
      </c>
      <c r="N1069" s="1" t="n">
        <f aca="false">IF(OR($N$1="",对接源_01水果!$C1069="",对接源_01水果!$C1069&lt;&gt;$N$1,对接源_01水果!$B1069=""),0,IF(OR(N(对接源_01水果!$B1069)&lt;$N$2,N(对接源_01水果!$B1069)&gt;$N$3),0,1))</f>
        <v>0</v>
      </c>
      <c r="P1069" s="1" t="n">
        <f aca="false">IF(AND($K1069=1,AND(对接源_01水果!$X1069="公司筐",N(对接源_01水果!$T1069)&lt;&gt;0)),1,0)</f>
        <v>0</v>
      </c>
      <c r="Q1069" s="1" t="n">
        <f aca="false">N(Q1068)+$P1069</f>
        <v>3</v>
      </c>
      <c r="R1069" s="1" t="n">
        <f aca="false">IF(AND($K1069=1,AND(对接源_01水果!$X1069="公司筐",N(对接源_01水果!$U1069)&lt;&gt;0)),1,0)</f>
        <v>0</v>
      </c>
      <c r="S1069" s="1" t="n">
        <f aca="false">N(S1068)+$R1069</f>
        <v>0</v>
      </c>
      <c r="T1069" s="1" t="n">
        <f aca="false">IF(AND($K1069=1,AND(对接源_01水果!$X1069="公司筐",N(对接源_01水果!$V1069)&lt;&gt;0)),1,0)</f>
        <v>0</v>
      </c>
      <c r="U1069" s="1" t="n">
        <f aca="false">N(U1068)+$T1069</f>
        <v>28</v>
      </c>
      <c r="V1069" s="1" t="n">
        <f aca="false">IF(AND($L1069=1,AND(对接源_01水果!$X1069="自备筐",N(对接源_01水果!$V1069)&lt;&gt;0)),1,0)</f>
        <v>0</v>
      </c>
      <c r="W1069" s="1" t="n">
        <f aca="false">N(W1068)+$V1069</f>
        <v>7</v>
      </c>
      <c r="X1069" s="1" t="n">
        <f aca="false">IF(AND($L1069=1,AND(对接源_01水果!$X1069="自备筐",N(对接源_01水果!$T1069)&lt;&gt;0)),1,0)</f>
        <v>0</v>
      </c>
      <c r="Y1069" s="1" t="n">
        <f aca="false">N(Y1068)+$X1069</f>
        <v>0</v>
      </c>
      <c r="Z1069" s="1" t="n">
        <f aca="false">IF(AND($M1069=1,对接源_01水果!$D1069="原料入库"),1,0)</f>
        <v>0</v>
      </c>
      <c r="AA1069" s="1" t="n">
        <f aca="false">N(AA1068)+$Z1069</f>
        <v>30</v>
      </c>
      <c r="AB1069" s="1" t="n">
        <f aca="false">IF(AND($M1069=1,LEFT(对接源_01水果!$D1069,4)="原料出库"),1,0)</f>
        <v>0</v>
      </c>
      <c r="AC1069" s="1" t="n">
        <f aca="false">N(AC1068)+$AB1069</f>
        <v>19</v>
      </c>
      <c r="AD1069" s="1" t="n">
        <f aca="false">IF(AND($M1069=1,LEFT(对接源_01水果!$D1069,4)="成品出库"),1,0)</f>
        <v>0</v>
      </c>
      <c r="AE1069" s="1" t="n">
        <f aca="false">N(AE1068)+$AD1069</f>
        <v>38</v>
      </c>
      <c r="AF1069" s="1" t="n">
        <f aca="false">IF(AND($N1069=1,AND(LEFT(对接源_01水果!$D1069,4)="包装物料",N(对接源_01水果!$K1069)&lt;&gt;0)),1,0)</f>
        <v>0</v>
      </c>
      <c r="AG1069" s="90" t="str">
        <f aca="false">IF(对接源_01水果!$AC1069="","",对接源_01水果!$AC1069)</f>
        <v/>
      </c>
      <c r="AH1069" s="1" t="n">
        <f aca="false">IF(AND($N1069=1,AND(LEFT(对接源_01水果!$D1069,3)="周转筐",N(对接源_01水果!$K1069)&lt;&gt;0)),1,0)</f>
        <v>0</v>
      </c>
      <c r="AI1069" s="90" t="n">
        <f aca="false">IF(AG1069="",0,IF(MATCH(AG1069,$AG$4:$AG$1203,0)=ROW()-3,1,0))</f>
        <v>0</v>
      </c>
      <c r="AJ1069" s="90" t="n">
        <f aca="false">N(AJ1068)+AI1069</f>
        <v>4</v>
      </c>
      <c r="AK1069" s="1" t="n">
        <f aca="false">N(AK1068)+$AJ1069</f>
        <v>3136</v>
      </c>
    </row>
    <row r="1070" customFormat="false" ht="13.5" hidden="false" customHeight="false" outlineLevel="0" collapsed="false">
      <c r="A1070" s="1" t="str">
        <f aca="false">IF(对接源_01水果!$C1070="","",对接源_01水果!$C1070)</f>
        <v/>
      </c>
      <c r="B1070" s="1" t="n">
        <f aca="false">IF(A1070="",0,IF(MATCH(A1070,$A$4:$A$2403,0)=ROW()-3,1,0))</f>
        <v>0</v>
      </c>
      <c r="C1070" s="1" t="n">
        <f aca="false">N(C1069)+B1070</f>
        <v>13</v>
      </c>
      <c r="K1070" s="1" t="n">
        <f aca="false">IF(OR($K$1="",对接源_01水果!$C1070="",对接源_01水果!$C1070&lt;&gt;$K$1,对接源_01水果!$B1070=""),0,IF(OR(N(对接源_01水果!$B1070)&lt;$K$2,N(对接源_01水果!$B1070)&gt;$K$3),0,1))</f>
        <v>0</v>
      </c>
      <c r="L1070" s="1" t="n">
        <f aca="false">IF(OR($L$1="",对接源_01水果!$C1070="",对接源_01水果!$C1070&lt;&gt;$L$1,对接源_01水果!$B1070=""),0,IF(OR(N(对接源_01水果!$B1070)&lt;$L$2,N(对接源_01水果!$B1070)&gt;$L$3),0,1))</f>
        <v>0</v>
      </c>
      <c r="M1070" s="1" t="n">
        <f aca="false">IF(OR($M$1="",对接源_01水果!$C1070="",对接源_01水果!$C1070&lt;&gt;$M$1,对接源_01水果!$B1070=""),0,IF(OR(N(对接源_01水果!$B1070)&lt;$M$2,N(对接源_01水果!$B1070)&gt;$M$3),0,1))</f>
        <v>0</v>
      </c>
      <c r="N1070" s="1" t="n">
        <f aca="false">IF(OR($N$1="",对接源_01水果!$C1070="",对接源_01水果!$C1070&lt;&gt;$N$1,对接源_01水果!$B1070=""),0,IF(OR(N(对接源_01水果!$B1070)&lt;$N$2,N(对接源_01水果!$B1070)&gt;$N$3),0,1))</f>
        <v>0</v>
      </c>
      <c r="P1070" s="1" t="n">
        <f aca="false">IF(AND($K1070=1,AND(对接源_01水果!$X1070="公司筐",N(对接源_01水果!$T1070)&lt;&gt;0)),1,0)</f>
        <v>0</v>
      </c>
      <c r="Q1070" s="1" t="n">
        <f aca="false">N(Q1069)+$P1070</f>
        <v>3</v>
      </c>
      <c r="R1070" s="1" t="n">
        <f aca="false">IF(AND($K1070=1,AND(对接源_01水果!$X1070="公司筐",N(对接源_01水果!$U1070)&lt;&gt;0)),1,0)</f>
        <v>0</v>
      </c>
      <c r="S1070" s="1" t="n">
        <f aca="false">N(S1069)+$R1070</f>
        <v>0</v>
      </c>
      <c r="T1070" s="1" t="n">
        <f aca="false">IF(AND($K1070=1,AND(对接源_01水果!$X1070="公司筐",N(对接源_01水果!$V1070)&lt;&gt;0)),1,0)</f>
        <v>0</v>
      </c>
      <c r="U1070" s="1" t="n">
        <f aca="false">N(U1069)+$T1070</f>
        <v>28</v>
      </c>
      <c r="V1070" s="1" t="n">
        <f aca="false">IF(AND($L1070=1,AND(对接源_01水果!$X1070="自备筐",N(对接源_01水果!$V1070)&lt;&gt;0)),1,0)</f>
        <v>0</v>
      </c>
      <c r="W1070" s="1" t="n">
        <f aca="false">N(W1069)+$V1070</f>
        <v>7</v>
      </c>
      <c r="X1070" s="1" t="n">
        <f aca="false">IF(AND($L1070=1,AND(对接源_01水果!$X1070="自备筐",N(对接源_01水果!$T1070)&lt;&gt;0)),1,0)</f>
        <v>0</v>
      </c>
      <c r="Y1070" s="1" t="n">
        <f aca="false">N(Y1069)+$X1070</f>
        <v>0</v>
      </c>
      <c r="Z1070" s="1" t="n">
        <f aca="false">IF(AND($M1070=1,对接源_01水果!$D1070="原料入库"),1,0)</f>
        <v>0</v>
      </c>
      <c r="AA1070" s="1" t="n">
        <f aca="false">N(AA1069)+$Z1070</f>
        <v>30</v>
      </c>
      <c r="AB1070" s="1" t="n">
        <f aca="false">IF(AND($M1070=1,LEFT(对接源_01水果!$D1070,4)="原料出库"),1,0)</f>
        <v>0</v>
      </c>
      <c r="AC1070" s="1" t="n">
        <f aca="false">N(AC1069)+$AB1070</f>
        <v>19</v>
      </c>
      <c r="AD1070" s="1" t="n">
        <f aca="false">IF(AND($M1070=1,LEFT(对接源_01水果!$D1070,4)="成品出库"),1,0)</f>
        <v>0</v>
      </c>
      <c r="AE1070" s="1" t="n">
        <f aca="false">N(AE1069)+$AD1070</f>
        <v>38</v>
      </c>
      <c r="AF1070" s="1" t="n">
        <f aca="false">IF(AND($N1070=1,AND(LEFT(对接源_01水果!$D1070,4)="包装物料",N(对接源_01水果!$K1070)&lt;&gt;0)),1,0)</f>
        <v>0</v>
      </c>
      <c r="AG1070" s="90" t="str">
        <f aca="false">IF(对接源_01水果!$AC1070="","",对接源_01水果!$AC1070)</f>
        <v/>
      </c>
      <c r="AH1070" s="1" t="n">
        <f aca="false">IF(AND($N1070=1,AND(LEFT(对接源_01水果!$D1070,3)="周转筐",N(对接源_01水果!$K1070)&lt;&gt;0)),1,0)</f>
        <v>0</v>
      </c>
      <c r="AI1070" s="90" t="n">
        <f aca="false">IF(AG1070="",0,IF(MATCH(AG1070,$AG$4:$AG$1203,0)=ROW()-3,1,0))</f>
        <v>0</v>
      </c>
      <c r="AJ1070" s="90" t="n">
        <f aca="false">N(AJ1069)+AI1070</f>
        <v>4</v>
      </c>
      <c r="AK1070" s="1" t="n">
        <f aca="false">N(AK1069)+$AJ1070</f>
        <v>3140</v>
      </c>
    </row>
    <row r="1071" customFormat="false" ht="13.5" hidden="false" customHeight="false" outlineLevel="0" collapsed="false">
      <c r="A1071" s="1" t="str">
        <f aca="false">IF(对接源_01水果!$C1071="","",对接源_01水果!$C1071)</f>
        <v/>
      </c>
      <c r="B1071" s="1" t="n">
        <f aca="false">IF(A1071="",0,IF(MATCH(A1071,$A$4:$A$2403,0)=ROW()-3,1,0))</f>
        <v>0</v>
      </c>
      <c r="C1071" s="1" t="n">
        <f aca="false">N(C1070)+B1071</f>
        <v>13</v>
      </c>
      <c r="K1071" s="1" t="n">
        <f aca="false">IF(OR($K$1="",对接源_01水果!$C1071="",对接源_01水果!$C1071&lt;&gt;$K$1,对接源_01水果!$B1071=""),0,IF(OR(N(对接源_01水果!$B1071)&lt;$K$2,N(对接源_01水果!$B1071)&gt;$K$3),0,1))</f>
        <v>0</v>
      </c>
      <c r="L1071" s="1" t="n">
        <f aca="false">IF(OR($L$1="",对接源_01水果!$C1071="",对接源_01水果!$C1071&lt;&gt;$L$1,对接源_01水果!$B1071=""),0,IF(OR(N(对接源_01水果!$B1071)&lt;$L$2,N(对接源_01水果!$B1071)&gt;$L$3),0,1))</f>
        <v>0</v>
      </c>
      <c r="M1071" s="1" t="n">
        <f aca="false">IF(OR($M$1="",对接源_01水果!$C1071="",对接源_01水果!$C1071&lt;&gt;$M$1,对接源_01水果!$B1071=""),0,IF(OR(N(对接源_01水果!$B1071)&lt;$M$2,N(对接源_01水果!$B1071)&gt;$M$3),0,1))</f>
        <v>0</v>
      </c>
      <c r="N1071" s="1" t="n">
        <f aca="false">IF(OR($N$1="",对接源_01水果!$C1071="",对接源_01水果!$C1071&lt;&gt;$N$1,对接源_01水果!$B1071=""),0,IF(OR(N(对接源_01水果!$B1071)&lt;$N$2,N(对接源_01水果!$B1071)&gt;$N$3),0,1))</f>
        <v>0</v>
      </c>
      <c r="P1071" s="1" t="n">
        <f aca="false">IF(AND($K1071=1,AND(对接源_01水果!$X1071="公司筐",N(对接源_01水果!$T1071)&lt;&gt;0)),1,0)</f>
        <v>0</v>
      </c>
      <c r="Q1071" s="1" t="n">
        <f aca="false">N(Q1070)+$P1071</f>
        <v>3</v>
      </c>
      <c r="R1071" s="1" t="n">
        <f aca="false">IF(AND($K1071=1,AND(对接源_01水果!$X1071="公司筐",N(对接源_01水果!$U1071)&lt;&gt;0)),1,0)</f>
        <v>0</v>
      </c>
      <c r="S1071" s="1" t="n">
        <f aca="false">N(S1070)+$R1071</f>
        <v>0</v>
      </c>
      <c r="T1071" s="1" t="n">
        <f aca="false">IF(AND($K1071=1,AND(对接源_01水果!$X1071="公司筐",N(对接源_01水果!$V1071)&lt;&gt;0)),1,0)</f>
        <v>0</v>
      </c>
      <c r="U1071" s="1" t="n">
        <f aca="false">N(U1070)+$T1071</f>
        <v>28</v>
      </c>
      <c r="V1071" s="1" t="n">
        <f aca="false">IF(AND($L1071=1,AND(对接源_01水果!$X1071="自备筐",N(对接源_01水果!$V1071)&lt;&gt;0)),1,0)</f>
        <v>0</v>
      </c>
      <c r="W1071" s="1" t="n">
        <f aca="false">N(W1070)+$V1071</f>
        <v>7</v>
      </c>
      <c r="X1071" s="1" t="n">
        <f aca="false">IF(AND($L1071=1,AND(对接源_01水果!$X1071="自备筐",N(对接源_01水果!$T1071)&lt;&gt;0)),1,0)</f>
        <v>0</v>
      </c>
      <c r="Y1071" s="1" t="n">
        <f aca="false">N(Y1070)+$X1071</f>
        <v>0</v>
      </c>
      <c r="Z1071" s="1" t="n">
        <f aca="false">IF(AND($M1071=1,对接源_01水果!$D1071="原料入库"),1,0)</f>
        <v>0</v>
      </c>
      <c r="AA1071" s="1" t="n">
        <f aca="false">N(AA1070)+$Z1071</f>
        <v>30</v>
      </c>
      <c r="AB1071" s="1" t="n">
        <f aca="false">IF(AND($M1071=1,LEFT(对接源_01水果!$D1071,4)="原料出库"),1,0)</f>
        <v>0</v>
      </c>
      <c r="AC1071" s="1" t="n">
        <f aca="false">N(AC1070)+$AB1071</f>
        <v>19</v>
      </c>
      <c r="AD1071" s="1" t="n">
        <f aca="false">IF(AND($M1071=1,LEFT(对接源_01水果!$D1071,4)="成品出库"),1,0)</f>
        <v>0</v>
      </c>
      <c r="AE1071" s="1" t="n">
        <f aca="false">N(AE1070)+$AD1071</f>
        <v>38</v>
      </c>
      <c r="AF1071" s="1" t="n">
        <f aca="false">IF(AND($N1071=1,AND(LEFT(对接源_01水果!$D1071,4)="包装物料",N(对接源_01水果!$K1071)&lt;&gt;0)),1,0)</f>
        <v>0</v>
      </c>
      <c r="AG1071" s="90" t="str">
        <f aca="false">IF(对接源_01水果!$AC1071="","",对接源_01水果!$AC1071)</f>
        <v/>
      </c>
      <c r="AH1071" s="1" t="n">
        <f aca="false">IF(AND($N1071=1,AND(LEFT(对接源_01水果!$D1071,3)="周转筐",N(对接源_01水果!$K1071)&lt;&gt;0)),1,0)</f>
        <v>0</v>
      </c>
      <c r="AI1071" s="90" t="n">
        <f aca="false">IF(AG1071="",0,IF(MATCH(AG1071,$AG$4:$AG$1203,0)=ROW()-3,1,0))</f>
        <v>0</v>
      </c>
      <c r="AJ1071" s="90" t="n">
        <f aca="false">N(AJ1070)+AI1071</f>
        <v>4</v>
      </c>
      <c r="AK1071" s="1" t="n">
        <f aca="false">N(AK1070)+$AJ1071</f>
        <v>3144</v>
      </c>
    </row>
    <row r="1072" customFormat="false" ht="13.5" hidden="false" customHeight="false" outlineLevel="0" collapsed="false">
      <c r="A1072" s="1" t="str">
        <f aca="false">IF(对接源_01水果!$C1072="","",对接源_01水果!$C1072)</f>
        <v/>
      </c>
      <c r="B1072" s="1" t="n">
        <f aca="false">IF(A1072="",0,IF(MATCH(A1072,$A$4:$A$2403,0)=ROW()-3,1,0))</f>
        <v>0</v>
      </c>
      <c r="C1072" s="1" t="n">
        <f aca="false">N(C1071)+B1072</f>
        <v>13</v>
      </c>
      <c r="K1072" s="1" t="n">
        <f aca="false">IF(OR($K$1="",对接源_01水果!$C1072="",对接源_01水果!$C1072&lt;&gt;$K$1,对接源_01水果!$B1072=""),0,IF(OR(N(对接源_01水果!$B1072)&lt;$K$2,N(对接源_01水果!$B1072)&gt;$K$3),0,1))</f>
        <v>0</v>
      </c>
      <c r="L1072" s="1" t="n">
        <f aca="false">IF(OR($L$1="",对接源_01水果!$C1072="",对接源_01水果!$C1072&lt;&gt;$L$1,对接源_01水果!$B1072=""),0,IF(OR(N(对接源_01水果!$B1072)&lt;$L$2,N(对接源_01水果!$B1072)&gt;$L$3),0,1))</f>
        <v>0</v>
      </c>
      <c r="M1072" s="1" t="n">
        <f aca="false">IF(OR($M$1="",对接源_01水果!$C1072="",对接源_01水果!$C1072&lt;&gt;$M$1,对接源_01水果!$B1072=""),0,IF(OR(N(对接源_01水果!$B1072)&lt;$M$2,N(对接源_01水果!$B1072)&gt;$M$3),0,1))</f>
        <v>0</v>
      </c>
      <c r="N1072" s="1" t="n">
        <f aca="false">IF(OR($N$1="",对接源_01水果!$C1072="",对接源_01水果!$C1072&lt;&gt;$N$1,对接源_01水果!$B1072=""),0,IF(OR(N(对接源_01水果!$B1072)&lt;$N$2,N(对接源_01水果!$B1072)&gt;$N$3),0,1))</f>
        <v>0</v>
      </c>
      <c r="P1072" s="1" t="n">
        <f aca="false">IF(AND($K1072=1,AND(对接源_01水果!$X1072="公司筐",N(对接源_01水果!$T1072)&lt;&gt;0)),1,0)</f>
        <v>0</v>
      </c>
      <c r="Q1072" s="1" t="n">
        <f aca="false">N(Q1071)+$P1072</f>
        <v>3</v>
      </c>
      <c r="R1072" s="1" t="n">
        <f aca="false">IF(AND($K1072=1,AND(对接源_01水果!$X1072="公司筐",N(对接源_01水果!$U1072)&lt;&gt;0)),1,0)</f>
        <v>0</v>
      </c>
      <c r="S1072" s="1" t="n">
        <f aca="false">N(S1071)+$R1072</f>
        <v>0</v>
      </c>
      <c r="T1072" s="1" t="n">
        <f aca="false">IF(AND($K1072=1,AND(对接源_01水果!$X1072="公司筐",N(对接源_01水果!$V1072)&lt;&gt;0)),1,0)</f>
        <v>0</v>
      </c>
      <c r="U1072" s="1" t="n">
        <f aca="false">N(U1071)+$T1072</f>
        <v>28</v>
      </c>
      <c r="V1072" s="1" t="n">
        <f aca="false">IF(AND($L1072=1,AND(对接源_01水果!$X1072="自备筐",N(对接源_01水果!$V1072)&lt;&gt;0)),1,0)</f>
        <v>0</v>
      </c>
      <c r="W1072" s="1" t="n">
        <f aca="false">N(W1071)+$V1072</f>
        <v>7</v>
      </c>
      <c r="X1072" s="1" t="n">
        <f aca="false">IF(AND($L1072=1,AND(对接源_01水果!$X1072="自备筐",N(对接源_01水果!$T1072)&lt;&gt;0)),1,0)</f>
        <v>0</v>
      </c>
      <c r="Y1072" s="1" t="n">
        <f aca="false">N(Y1071)+$X1072</f>
        <v>0</v>
      </c>
      <c r="Z1072" s="1" t="n">
        <f aca="false">IF(AND($M1072=1,对接源_01水果!$D1072="原料入库"),1,0)</f>
        <v>0</v>
      </c>
      <c r="AA1072" s="1" t="n">
        <f aca="false">N(AA1071)+$Z1072</f>
        <v>30</v>
      </c>
      <c r="AB1072" s="1" t="n">
        <f aca="false">IF(AND($M1072=1,LEFT(对接源_01水果!$D1072,4)="原料出库"),1,0)</f>
        <v>0</v>
      </c>
      <c r="AC1072" s="1" t="n">
        <f aca="false">N(AC1071)+$AB1072</f>
        <v>19</v>
      </c>
      <c r="AD1072" s="1" t="n">
        <f aca="false">IF(AND($M1072=1,LEFT(对接源_01水果!$D1072,4)="成品出库"),1,0)</f>
        <v>0</v>
      </c>
      <c r="AE1072" s="1" t="n">
        <f aca="false">N(AE1071)+$AD1072</f>
        <v>38</v>
      </c>
      <c r="AF1072" s="1" t="n">
        <f aca="false">IF(AND($N1072=1,AND(LEFT(对接源_01水果!$D1072,4)="包装物料",N(对接源_01水果!$K1072)&lt;&gt;0)),1,0)</f>
        <v>0</v>
      </c>
      <c r="AG1072" s="90" t="str">
        <f aca="false">IF(对接源_01水果!$AC1072="","",对接源_01水果!$AC1072)</f>
        <v/>
      </c>
      <c r="AH1072" s="1" t="n">
        <f aca="false">IF(AND($N1072=1,AND(LEFT(对接源_01水果!$D1072,3)="周转筐",N(对接源_01水果!$K1072)&lt;&gt;0)),1,0)</f>
        <v>0</v>
      </c>
      <c r="AI1072" s="90" t="n">
        <f aca="false">IF(AG1072="",0,IF(MATCH(AG1072,$AG$4:$AG$1203,0)=ROW()-3,1,0))</f>
        <v>0</v>
      </c>
      <c r="AJ1072" s="90" t="n">
        <f aca="false">N(AJ1071)+AI1072</f>
        <v>4</v>
      </c>
      <c r="AK1072" s="1" t="n">
        <f aca="false">N(AK1071)+$AJ1072</f>
        <v>3148</v>
      </c>
    </row>
    <row r="1073" customFormat="false" ht="13.5" hidden="false" customHeight="false" outlineLevel="0" collapsed="false">
      <c r="A1073" s="1" t="str">
        <f aca="false">IF(对接源_01水果!$C1073="","",对接源_01水果!$C1073)</f>
        <v/>
      </c>
      <c r="B1073" s="1" t="n">
        <f aca="false">IF(A1073="",0,IF(MATCH(A1073,$A$4:$A$2403,0)=ROW()-3,1,0))</f>
        <v>0</v>
      </c>
      <c r="C1073" s="1" t="n">
        <f aca="false">N(C1072)+B1073</f>
        <v>13</v>
      </c>
      <c r="K1073" s="1" t="n">
        <f aca="false">IF(OR($K$1="",对接源_01水果!$C1073="",对接源_01水果!$C1073&lt;&gt;$K$1,对接源_01水果!$B1073=""),0,IF(OR(N(对接源_01水果!$B1073)&lt;$K$2,N(对接源_01水果!$B1073)&gt;$K$3),0,1))</f>
        <v>0</v>
      </c>
      <c r="L1073" s="1" t="n">
        <f aca="false">IF(OR($L$1="",对接源_01水果!$C1073="",对接源_01水果!$C1073&lt;&gt;$L$1,对接源_01水果!$B1073=""),0,IF(OR(N(对接源_01水果!$B1073)&lt;$L$2,N(对接源_01水果!$B1073)&gt;$L$3),0,1))</f>
        <v>0</v>
      </c>
      <c r="M1073" s="1" t="n">
        <f aca="false">IF(OR($M$1="",对接源_01水果!$C1073="",对接源_01水果!$C1073&lt;&gt;$M$1,对接源_01水果!$B1073=""),0,IF(OR(N(对接源_01水果!$B1073)&lt;$M$2,N(对接源_01水果!$B1073)&gt;$M$3),0,1))</f>
        <v>0</v>
      </c>
      <c r="N1073" s="1" t="n">
        <f aca="false">IF(OR($N$1="",对接源_01水果!$C1073="",对接源_01水果!$C1073&lt;&gt;$N$1,对接源_01水果!$B1073=""),0,IF(OR(N(对接源_01水果!$B1073)&lt;$N$2,N(对接源_01水果!$B1073)&gt;$N$3),0,1))</f>
        <v>0</v>
      </c>
      <c r="P1073" s="1" t="n">
        <f aca="false">IF(AND($K1073=1,AND(对接源_01水果!$X1073="公司筐",N(对接源_01水果!$T1073)&lt;&gt;0)),1,0)</f>
        <v>0</v>
      </c>
      <c r="Q1073" s="1" t="n">
        <f aca="false">N(Q1072)+$P1073</f>
        <v>3</v>
      </c>
      <c r="R1073" s="1" t="n">
        <f aca="false">IF(AND($K1073=1,AND(对接源_01水果!$X1073="公司筐",N(对接源_01水果!$U1073)&lt;&gt;0)),1,0)</f>
        <v>0</v>
      </c>
      <c r="S1073" s="1" t="n">
        <f aca="false">N(S1072)+$R1073</f>
        <v>0</v>
      </c>
      <c r="T1073" s="1" t="n">
        <f aca="false">IF(AND($K1073=1,AND(对接源_01水果!$X1073="公司筐",N(对接源_01水果!$V1073)&lt;&gt;0)),1,0)</f>
        <v>0</v>
      </c>
      <c r="U1073" s="1" t="n">
        <f aca="false">N(U1072)+$T1073</f>
        <v>28</v>
      </c>
      <c r="V1073" s="1" t="n">
        <f aca="false">IF(AND($L1073=1,AND(对接源_01水果!$X1073="自备筐",N(对接源_01水果!$V1073)&lt;&gt;0)),1,0)</f>
        <v>0</v>
      </c>
      <c r="W1073" s="1" t="n">
        <f aca="false">N(W1072)+$V1073</f>
        <v>7</v>
      </c>
      <c r="X1073" s="1" t="n">
        <f aca="false">IF(AND($L1073=1,AND(对接源_01水果!$X1073="自备筐",N(对接源_01水果!$T1073)&lt;&gt;0)),1,0)</f>
        <v>0</v>
      </c>
      <c r="Y1073" s="1" t="n">
        <f aca="false">N(Y1072)+$X1073</f>
        <v>0</v>
      </c>
      <c r="Z1073" s="1" t="n">
        <f aca="false">IF(AND($M1073=1,对接源_01水果!$D1073="原料入库"),1,0)</f>
        <v>0</v>
      </c>
      <c r="AA1073" s="1" t="n">
        <f aca="false">N(AA1072)+$Z1073</f>
        <v>30</v>
      </c>
      <c r="AB1073" s="1" t="n">
        <f aca="false">IF(AND($M1073=1,LEFT(对接源_01水果!$D1073,4)="原料出库"),1,0)</f>
        <v>0</v>
      </c>
      <c r="AC1073" s="1" t="n">
        <f aca="false">N(AC1072)+$AB1073</f>
        <v>19</v>
      </c>
      <c r="AD1073" s="1" t="n">
        <f aca="false">IF(AND($M1073=1,LEFT(对接源_01水果!$D1073,4)="成品出库"),1,0)</f>
        <v>0</v>
      </c>
      <c r="AE1073" s="1" t="n">
        <f aca="false">N(AE1072)+$AD1073</f>
        <v>38</v>
      </c>
      <c r="AF1073" s="1" t="n">
        <f aca="false">IF(AND($N1073=1,AND(LEFT(对接源_01水果!$D1073,4)="包装物料",N(对接源_01水果!$K1073)&lt;&gt;0)),1,0)</f>
        <v>0</v>
      </c>
      <c r="AG1073" s="90" t="str">
        <f aca="false">IF(对接源_01水果!$AC1073="","",对接源_01水果!$AC1073)</f>
        <v/>
      </c>
      <c r="AH1073" s="1" t="n">
        <f aca="false">IF(AND($N1073=1,AND(LEFT(对接源_01水果!$D1073,3)="周转筐",N(对接源_01水果!$K1073)&lt;&gt;0)),1,0)</f>
        <v>0</v>
      </c>
      <c r="AI1073" s="90" t="n">
        <f aca="false">IF(AG1073="",0,IF(MATCH(AG1073,$AG$4:$AG$1203,0)=ROW()-3,1,0))</f>
        <v>0</v>
      </c>
      <c r="AJ1073" s="90" t="n">
        <f aca="false">N(AJ1072)+AI1073</f>
        <v>4</v>
      </c>
      <c r="AK1073" s="1" t="n">
        <f aca="false">N(AK1072)+$AJ1073</f>
        <v>3152</v>
      </c>
    </row>
    <row r="1074" customFormat="false" ht="13.5" hidden="false" customHeight="false" outlineLevel="0" collapsed="false">
      <c r="A1074" s="1" t="str">
        <f aca="false">IF(对接源_01水果!$C1074="","",对接源_01水果!$C1074)</f>
        <v/>
      </c>
      <c r="B1074" s="1" t="n">
        <f aca="false">IF(A1074="",0,IF(MATCH(A1074,$A$4:$A$2403,0)=ROW()-3,1,0))</f>
        <v>0</v>
      </c>
      <c r="C1074" s="1" t="n">
        <f aca="false">N(C1073)+B1074</f>
        <v>13</v>
      </c>
      <c r="K1074" s="1" t="n">
        <f aca="false">IF(OR($K$1="",对接源_01水果!$C1074="",对接源_01水果!$C1074&lt;&gt;$K$1,对接源_01水果!$B1074=""),0,IF(OR(N(对接源_01水果!$B1074)&lt;$K$2,N(对接源_01水果!$B1074)&gt;$K$3),0,1))</f>
        <v>0</v>
      </c>
      <c r="L1074" s="1" t="n">
        <f aca="false">IF(OR($L$1="",对接源_01水果!$C1074="",对接源_01水果!$C1074&lt;&gt;$L$1,对接源_01水果!$B1074=""),0,IF(OR(N(对接源_01水果!$B1074)&lt;$L$2,N(对接源_01水果!$B1074)&gt;$L$3),0,1))</f>
        <v>0</v>
      </c>
      <c r="M1074" s="1" t="n">
        <f aca="false">IF(OR($M$1="",对接源_01水果!$C1074="",对接源_01水果!$C1074&lt;&gt;$M$1,对接源_01水果!$B1074=""),0,IF(OR(N(对接源_01水果!$B1074)&lt;$M$2,N(对接源_01水果!$B1074)&gt;$M$3),0,1))</f>
        <v>0</v>
      </c>
      <c r="N1074" s="1" t="n">
        <f aca="false">IF(OR($N$1="",对接源_01水果!$C1074="",对接源_01水果!$C1074&lt;&gt;$N$1,对接源_01水果!$B1074=""),0,IF(OR(N(对接源_01水果!$B1074)&lt;$N$2,N(对接源_01水果!$B1074)&gt;$N$3),0,1))</f>
        <v>0</v>
      </c>
      <c r="P1074" s="1" t="n">
        <f aca="false">IF(AND($K1074=1,AND(对接源_01水果!$X1074="公司筐",N(对接源_01水果!$T1074)&lt;&gt;0)),1,0)</f>
        <v>0</v>
      </c>
      <c r="Q1074" s="1" t="n">
        <f aca="false">N(Q1073)+$P1074</f>
        <v>3</v>
      </c>
      <c r="R1074" s="1" t="n">
        <f aca="false">IF(AND($K1074=1,AND(对接源_01水果!$X1074="公司筐",N(对接源_01水果!$U1074)&lt;&gt;0)),1,0)</f>
        <v>0</v>
      </c>
      <c r="S1074" s="1" t="n">
        <f aca="false">N(S1073)+$R1074</f>
        <v>0</v>
      </c>
      <c r="T1074" s="1" t="n">
        <f aca="false">IF(AND($K1074=1,AND(对接源_01水果!$X1074="公司筐",N(对接源_01水果!$V1074)&lt;&gt;0)),1,0)</f>
        <v>0</v>
      </c>
      <c r="U1074" s="1" t="n">
        <f aca="false">N(U1073)+$T1074</f>
        <v>28</v>
      </c>
      <c r="V1074" s="1" t="n">
        <f aca="false">IF(AND($L1074=1,AND(对接源_01水果!$X1074="自备筐",N(对接源_01水果!$V1074)&lt;&gt;0)),1,0)</f>
        <v>0</v>
      </c>
      <c r="W1074" s="1" t="n">
        <f aca="false">N(W1073)+$V1074</f>
        <v>7</v>
      </c>
      <c r="X1074" s="1" t="n">
        <f aca="false">IF(AND($L1074=1,AND(对接源_01水果!$X1074="自备筐",N(对接源_01水果!$T1074)&lt;&gt;0)),1,0)</f>
        <v>0</v>
      </c>
      <c r="Y1074" s="1" t="n">
        <f aca="false">N(Y1073)+$X1074</f>
        <v>0</v>
      </c>
      <c r="Z1074" s="1" t="n">
        <f aca="false">IF(AND($M1074=1,对接源_01水果!$D1074="原料入库"),1,0)</f>
        <v>0</v>
      </c>
      <c r="AA1074" s="1" t="n">
        <f aca="false">N(AA1073)+$Z1074</f>
        <v>30</v>
      </c>
      <c r="AB1074" s="1" t="n">
        <f aca="false">IF(AND($M1074=1,LEFT(对接源_01水果!$D1074,4)="原料出库"),1,0)</f>
        <v>0</v>
      </c>
      <c r="AC1074" s="1" t="n">
        <f aca="false">N(AC1073)+$AB1074</f>
        <v>19</v>
      </c>
      <c r="AD1074" s="1" t="n">
        <f aca="false">IF(AND($M1074=1,LEFT(对接源_01水果!$D1074,4)="成品出库"),1,0)</f>
        <v>0</v>
      </c>
      <c r="AE1074" s="1" t="n">
        <f aca="false">N(AE1073)+$AD1074</f>
        <v>38</v>
      </c>
      <c r="AF1074" s="1" t="n">
        <f aca="false">IF(AND($N1074=1,AND(LEFT(对接源_01水果!$D1074,4)="包装物料",N(对接源_01水果!$K1074)&lt;&gt;0)),1,0)</f>
        <v>0</v>
      </c>
      <c r="AG1074" s="90" t="str">
        <f aca="false">IF(对接源_01水果!$AC1074="","",对接源_01水果!$AC1074)</f>
        <v/>
      </c>
      <c r="AH1074" s="1" t="n">
        <f aca="false">IF(AND($N1074=1,AND(LEFT(对接源_01水果!$D1074,3)="周转筐",N(对接源_01水果!$K1074)&lt;&gt;0)),1,0)</f>
        <v>0</v>
      </c>
      <c r="AI1074" s="90" t="n">
        <f aca="false">IF(AG1074="",0,IF(MATCH(AG1074,$AG$4:$AG$1203,0)=ROW()-3,1,0))</f>
        <v>0</v>
      </c>
      <c r="AJ1074" s="90" t="n">
        <f aca="false">N(AJ1073)+AI1074</f>
        <v>4</v>
      </c>
      <c r="AK1074" s="1" t="n">
        <f aca="false">N(AK1073)+$AJ1074</f>
        <v>3156</v>
      </c>
    </row>
    <row r="1075" customFormat="false" ht="13.5" hidden="false" customHeight="false" outlineLevel="0" collapsed="false">
      <c r="A1075" s="1" t="str">
        <f aca="false">IF(对接源_01水果!$C1075="","",对接源_01水果!$C1075)</f>
        <v/>
      </c>
      <c r="B1075" s="1" t="n">
        <f aca="false">IF(A1075="",0,IF(MATCH(A1075,$A$4:$A$2403,0)=ROW()-3,1,0))</f>
        <v>0</v>
      </c>
      <c r="C1075" s="1" t="n">
        <f aca="false">N(C1074)+B1075</f>
        <v>13</v>
      </c>
      <c r="K1075" s="1" t="n">
        <f aca="false">IF(OR($K$1="",对接源_01水果!$C1075="",对接源_01水果!$C1075&lt;&gt;$K$1,对接源_01水果!$B1075=""),0,IF(OR(N(对接源_01水果!$B1075)&lt;$K$2,N(对接源_01水果!$B1075)&gt;$K$3),0,1))</f>
        <v>0</v>
      </c>
      <c r="L1075" s="1" t="n">
        <f aca="false">IF(OR($L$1="",对接源_01水果!$C1075="",对接源_01水果!$C1075&lt;&gt;$L$1,对接源_01水果!$B1075=""),0,IF(OR(N(对接源_01水果!$B1075)&lt;$L$2,N(对接源_01水果!$B1075)&gt;$L$3),0,1))</f>
        <v>0</v>
      </c>
      <c r="M1075" s="1" t="n">
        <f aca="false">IF(OR($M$1="",对接源_01水果!$C1075="",对接源_01水果!$C1075&lt;&gt;$M$1,对接源_01水果!$B1075=""),0,IF(OR(N(对接源_01水果!$B1075)&lt;$M$2,N(对接源_01水果!$B1075)&gt;$M$3),0,1))</f>
        <v>0</v>
      </c>
      <c r="N1075" s="1" t="n">
        <f aca="false">IF(OR($N$1="",对接源_01水果!$C1075="",对接源_01水果!$C1075&lt;&gt;$N$1,对接源_01水果!$B1075=""),0,IF(OR(N(对接源_01水果!$B1075)&lt;$N$2,N(对接源_01水果!$B1075)&gt;$N$3),0,1))</f>
        <v>0</v>
      </c>
      <c r="P1075" s="1" t="n">
        <f aca="false">IF(AND($K1075=1,AND(对接源_01水果!$X1075="公司筐",N(对接源_01水果!$T1075)&lt;&gt;0)),1,0)</f>
        <v>0</v>
      </c>
      <c r="Q1075" s="1" t="n">
        <f aca="false">N(Q1074)+$P1075</f>
        <v>3</v>
      </c>
      <c r="R1075" s="1" t="n">
        <f aca="false">IF(AND($K1075=1,AND(对接源_01水果!$X1075="公司筐",N(对接源_01水果!$U1075)&lt;&gt;0)),1,0)</f>
        <v>0</v>
      </c>
      <c r="S1075" s="1" t="n">
        <f aca="false">N(S1074)+$R1075</f>
        <v>0</v>
      </c>
      <c r="T1075" s="1" t="n">
        <f aca="false">IF(AND($K1075=1,AND(对接源_01水果!$X1075="公司筐",N(对接源_01水果!$V1075)&lt;&gt;0)),1,0)</f>
        <v>0</v>
      </c>
      <c r="U1075" s="1" t="n">
        <f aca="false">N(U1074)+$T1075</f>
        <v>28</v>
      </c>
      <c r="V1075" s="1" t="n">
        <f aca="false">IF(AND($L1075=1,AND(对接源_01水果!$X1075="自备筐",N(对接源_01水果!$V1075)&lt;&gt;0)),1,0)</f>
        <v>0</v>
      </c>
      <c r="W1075" s="1" t="n">
        <f aca="false">N(W1074)+$V1075</f>
        <v>7</v>
      </c>
      <c r="X1075" s="1" t="n">
        <f aca="false">IF(AND($L1075=1,AND(对接源_01水果!$X1075="自备筐",N(对接源_01水果!$T1075)&lt;&gt;0)),1,0)</f>
        <v>0</v>
      </c>
      <c r="Y1075" s="1" t="n">
        <f aca="false">N(Y1074)+$X1075</f>
        <v>0</v>
      </c>
      <c r="Z1075" s="1" t="n">
        <f aca="false">IF(AND($M1075=1,对接源_01水果!$D1075="原料入库"),1,0)</f>
        <v>0</v>
      </c>
      <c r="AA1075" s="1" t="n">
        <f aca="false">N(AA1074)+$Z1075</f>
        <v>30</v>
      </c>
      <c r="AB1075" s="1" t="n">
        <f aca="false">IF(AND($M1075=1,LEFT(对接源_01水果!$D1075,4)="原料出库"),1,0)</f>
        <v>0</v>
      </c>
      <c r="AC1075" s="1" t="n">
        <f aca="false">N(AC1074)+$AB1075</f>
        <v>19</v>
      </c>
      <c r="AD1075" s="1" t="n">
        <f aca="false">IF(AND($M1075=1,LEFT(对接源_01水果!$D1075,4)="成品出库"),1,0)</f>
        <v>0</v>
      </c>
      <c r="AE1075" s="1" t="n">
        <f aca="false">N(AE1074)+$AD1075</f>
        <v>38</v>
      </c>
      <c r="AF1075" s="1" t="n">
        <f aca="false">IF(AND($N1075=1,AND(LEFT(对接源_01水果!$D1075,4)="包装物料",N(对接源_01水果!$K1075)&lt;&gt;0)),1,0)</f>
        <v>0</v>
      </c>
      <c r="AG1075" s="90" t="str">
        <f aca="false">IF(对接源_01水果!$AC1075="","",对接源_01水果!$AC1075)</f>
        <v/>
      </c>
      <c r="AH1075" s="1" t="n">
        <f aca="false">IF(AND($N1075=1,AND(LEFT(对接源_01水果!$D1075,3)="周转筐",N(对接源_01水果!$K1075)&lt;&gt;0)),1,0)</f>
        <v>0</v>
      </c>
      <c r="AI1075" s="90" t="n">
        <f aca="false">IF(AG1075="",0,IF(MATCH(AG1075,$AG$4:$AG$1203,0)=ROW()-3,1,0))</f>
        <v>0</v>
      </c>
      <c r="AJ1075" s="90" t="n">
        <f aca="false">N(AJ1074)+AI1075</f>
        <v>4</v>
      </c>
      <c r="AK1075" s="1" t="n">
        <f aca="false">N(AK1074)+$AJ1075</f>
        <v>3160</v>
      </c>
    </row>
    <row r="1076" customFormat="false" ht="13.5" hidden="false" customHeight="false" outlineLevel="0" collapsed="false">
      <c r="A1076" s="1" t="str">
        <f aca="false">IF(对接源_01水果!$C1076="","",对接源_01水果!$C1076)</f>
        <v/>
      </c>
      <c r="B1076" s="1" t="n">
        <f aca="false">IF(A1076="",0,IF(MATCH(A1076,$A$4:$A$2403,0)=ROW()-3,1,0))</f>
        <v>0</v>
      </c>
      <c r="C1076" s="1" t="n">
        <f aca="false">N(C1075)+B1076</f>
        <v>13</v>
      </c>
      <c r="K1076" s="1" t="n">
        <f aca="false">IF(OR($K$1="",对接源_01水果!$C1076="",对接源_01水果!$C1076&lt;&gt;$K$1,对接源_01水果!$B1076=""),0,IF(OR(N(对接源_01水果!$B1076)&lt;$K$2,N(对接源_01水果!$B1076)&gt;$K$3),0,1))</f>
        <v>0</v>
      </c>
      <c r="L1076" s="1" t="n">
        <f aca="false">IF(OR($L$1="",对接源_01水果!$C1076="",对接源_01水果!$C1076&lt;&gt;$L$1,对接源_01水果!$B1076=""),0,IF(OR(N(对接源_01水果!$B1076)&lt;$L$2,N(对接源_01水果!$B1076)&gt;$L$3),0,1))</f>
        <v>0</v>
      </c>
      <c r="M1076" s="1" t="n">
        <f aca="false">IF(OR($M$1="",对接源_01水果!$C1076="",对接源_01水果!$C1076&lt;&gt;$M$1,对接源_01水果!$B1076=""),0,IF(OR(N(对接源_01水果!$B1076)&lt;$M$2,N(对接源_01水果!$B1076)&gt;$M$3),0,1))</f>
        <v>0</v>
      </c>
      <c r="N1076" s="1" t="n">
        <f aca="false">IF(OR($N$1="",对接源_01水果!$C1076="",对接源_01水果!$C1076&lt;&gt;$N$1,对接源_01水果!$B1076=""),0,IF(OR(N(对接源_01水果!$B1076)&lt;$N$2,N(对接源_01水果!$B1076)&gt;$N$3),0,1))</f>
        <v>0</v>
      </c>
      <c r="P1076" s="1" t="n">
        <f aca="false">IF(AND($K1076=1,AND(对接源_01水果!$X1076="公司筐",N(对接源_01水果!$T1076)&lt;&gt;0)),1,0)</f>
        <v>0</v>
      </c>
      <c r="Q1076" s="1" t="n">
        <f aca="false">N(Q1075)+$P1076</f>
        <v>3</v>
      </c>
      <c r="R1076" s="1" t="n">
        <f aca="false">IF(AND($K1076=1,AND(对接源_01水果!$X1076="公司筐",N(对接源_01水果!$U1076)&lt;&gt;0)),1,0)</f>
        <v>0</v>
      </c>
      <c r="S1076" s="1" t="n">
        <f aca="false">N(S1075)+$R1076</f>
        <v>0</v>
      </c>
      <c r="T1076" s="1" t="n">
        <f aca="false">IF(AND($K1076=1,AND(对接源_01水果!$X1076="公司筐",N(对接源_01水果!$V1076)&lt;&gt;0)),1,0)</f>
        <v>0</v>
      </c>
      <c r="U1076" s="1" t="n">
        <f aca="false">N(U1075)+$T1076</f>
        <v>28</v>
      </c>
      <c r="V1076" s="1" t="n">
        <f aca="false">IF(AND($L1076=1,AND(对接源_01水果!$X1076="自备筐",N(对接源_01水果!$V1076)&lt;&gt;0)),1,0)</f>
        <v>0</v>
      </c>
      <c r="W1076" s="1" t="n">
        <f aca="false">N(W1075)+$V1076</f>
        <v>7</v>
      </c>
      <c r="X1076" s="1" t="n">
        <f aca="false">IF(AND($L1076=1,AND(对接源_01水果!$X1076="自备筐",N(对接源_01水果!$T1076)&lt;&gt;0)),1,0)</f>
        <v>0</v>
      </c>
      <c r="Y1076" s="1" t="n">
        <f aca="false">N(Y1075)+$X1076</f>
        <v>0</v>
      </c>
      <c r="Z1076" s="1" t="n">
        <f aca="false">IF(AND($M1076=1,对接源_01水果!$D1076="原料入库"),1,0)</f>
        <v>0</v>
      </c>
      <c r="AA1076" s="1" t="n">
        <f aca="false">N(AA1075)+$Z1076</f>
        <v>30</v>
      </c>
      <c r="AB1076" s="1" t="n">
        <f aca="false">IF(AND($M1076=1,LEFT(对接源_01水果!$D1076,4)="原料出库"),1,0)</f>
        <v>0</v>
      </c>
      <c r="AC1076" s="1" t="n">
        <f aca="false">N(AC1075)+$AB1076</f>
        <v>19</v>
      </c>
      <c r="AD1076" s="1" t="n">
        <f aca="false">IF(AND($M1076=1,LEFT(对接源_01水果!$D1076,4)="成品出库"),1,0)</f>
        <v>0</v>
      </c>
      <c r="AE1076" s="1" t="n">
        <f aca="false">N(AE1075)+$AD1076</f>
        <v>38</v>
      </c>
      <c r="AF1076" s="1" t="n">
        <f aca="false">IF(AND($N1076=1,AND(LEFT(对接源_01水果!$D1076,4)="包装物料",N(对接源_01水果!$K1076)&lt;&gt;0)),1,0)</f>
        <v>0</v>
      </c>
      <c r="AG1076" s="90" t="str">
        <f aca="false">IF(对接源_01水果!$AC1076="","",对接源_01水果!$AC1076)</f>
        <v/>
      </c>
      <c r="AH1076" s="1" t="n">
        <f aca="false">IF(AND($N1076=1,AND(LEFT(对接源_01水果!$D1076,3)="周转筐",N(对接源_01水果!$K1076)&lt;&gt;0)),1,0)</f>
        <v>0</v>
      </c>
      <c r="AI1076" s="90" t="n">
        <f aca="false">IF(AG1076="",0,IF(MATCH(AG1076,$AG$4:$AG$1203,0)=ROW()-3,1,0))</f>
        <v>0</v>
      </c>
      <c r="AJ1076" s="90" t="n">
        <f aca="false">N(AJ1075)+AI1076</f>
        <v>4</v>
      </c>
      <c r="AK1076" s="1" t="n">
        <f aca="false">N(AK1075)+$AJ1076</f>
        <v>3164</v>
      </c>
    </row>
    <row r="1077" customFormat="false" ht="13.5" hidden="false" customHeight="false" outlineLevel="0" collapsed="false">
      <c r="A1077" s="1" t="str">
        <f aca="false">IF(对接源_01水果!$C1077="","",对接源_01水果!$C1077)</f>
        <v/>
      </c>
      <c r="B1077" s="1" t="n">
        <f aca="false">IF(A1077="",0,IF(MATCH(A1077,$A$4:$A$2403,0)=ROW()-3,1,0))</f>
        <v>0</v>
      </c>
      <c r="C1077" s="1" t="n">
        <f aca="false">N(C1076)+B1077</f>
        <v>13</v>
      </c>
      <c r="K1077" s="1" t="n">
        <f aca="false">IF(OR($K$1="",对接源_01水果!$C1077="",对接源_01水果!$C1077&lt;&gt;$K$1,对接源_01水果!$B1077=""),0,IF(OR(N(对接源_01水果!$B1077)&lt;$K$2,N(对接源_01水果!$B1077)&gt;$K$3),0,1))</f>
        <v>0</v>
      </c>
      <c r="L1077" s="1" t="n">
        <f aca="false">IF(OR($L$1="",对接源_01水果!$C1077="",对接源_01水果!$C1077&lt;&gt;$L$1,对接源_01水果!$B1077=""),0,IF(OR(N(对接源_01水果!$B1077)&lt;$L$2,N(对接源_01水果!$B1077)&gt;$L$3),0,1))</f>
        <v>0</v>
      </c>
      <c r="M1077" s="1" t="n">
        <f aca="false">IF(OR($M$1="",对接源_01水果!$C1077="",对接源_01水果!$C1077&lt;&gt;$M$1,对接源_01水果!$B1077=""),0,IF(OR(N(对接源_01水果!$B1077)&lt;$M$2,N(对接源_01水果!$B1077)&gt;$M$3),0,1))</f>
        <v>0</v>
      </c>
      <c r="N1077" s="1" t="n">
        <f aca="false">IF(OR($N$1="",对接源_01水果!$C1077="",对接源_01水果!$C1077&lt;&gt;$N$1,对接源_01水果!$B1077=""),0,IF(OR(N(对接源_01水果!$B1077)&lt;$N$2,N(对接源_01水果!$B1077)&gt;$N$3),0,1))</f>
        <v>0</v>
      </c>
      <c r="P1077" s="1" t="n">
        <f aca="false">IF(AND($K1077=1,AND(对接源_01水果!$X1077="公司筐",N(对接源_01水果!$T1077)&lt;&gt;0)),1,0)</f>
        <v>0</v>
      </c>
      <c r="Q1077" s="1" t="n">
        <f aca="false">N(Q1076)+$P1077</f>
        <v>3</v>
      </c>
      <c r="R1077" s="1" t="n">
        <f aca="false">IF(AND($K1077=1,AND(对接源_01水果!$X1077="公司筐",N(对接源_01水果!$U1077)&lt;&gt;0)),1,0)</f>
        <v>0</v>
      </c>
      <c r="S1077" s="1" t="n">
        <f aca="false">N(S1076)+$R1077</f>
        <v>0</v>
      </c>
      <c r="T1077" s="1" t="n">
        <f aca="false">IF(AND($K1077=1,AND(对接源_01水果!$X1077="公司筐",N(对接源_01水果!$V1077)&lt;&gt;0)),1,0)</f>
        <v>0</v>
      </c>
      <c r="U1077" s="1" t="n">
        <f aca="false">N(U1076)+$T1077</f>
        <v>28</v>
      </c>
      <c r="V1077" s="1" t="n">
        <f aca="false">IF(AND($L1077=1,AND(对接源_01水果!$X1077="自备筐",N(对接源_01水果!$V1077)&lt;&gt;0)),1,0)</f>
        <v>0</v>
      </c>
      <c r="W1077" s="1" t="n">
        <f aca="false">N(W1076)+$V1077</f>
        <v>7</v>
      </c>
      <c r="X1077" s="1" t="n">
        <f aca="false">IF(AND($L1077=1,AND(对接源_01水果!$X1077="自备筐",N(对接源_01水果!$T1077)&lt;&gt;0)),1,0)</f>
        <v>0</v>
      </c>
      <c r="Y1077" s="1" t="n">
        <f aca="false">N(Y1076)+$X1077</f>
        <v>0</v>
      </c>
      <c r="Z1077" s="1" t="n">
        <f aca="false">IF(AND($M1077=1,对接源_01水果!$D1077="原料入库"),1,0)</f>
        <v>0</v>
      </c>
      <c r="AA1077" s="1" t="n">
        <f aca="false">N(AA1076)+$Z1077</f>
        <v>30</v>
      </c>
      <c r="AB1077" s="1" t="n">
        <f aca="false">IF(AND($M1077=1,LEFT(对接源_01水果!$D1077,4)="原料出库"),1,0)</f>
        <v>0</v>
      </c>
      <c r="AC1077" s="1" t="n">
        <f aca="false">N(AC1076)+$AB1077</f>
        <v>19</v>
      </c>
      <c r="AD1077" s="1" t="n">
        <f aca="false">IF(AND($M1077=1,LEFT(对接源_01水果!$D1077,4)="成品出库"),1,0)</f>
        <v>0</v>
      </c>
      <c r="AE1077" s="1" t="n">
        <f aca="false">N(AE1076)+$AD1077</f>
        <v>38</v>
      </c>
      <c r="AF1077" s="1" t="n">
        <f aca="false">IF(AND($N1077=1,AND(LEFT(对接源_01水果!$D1077,4)="包装物料",N(对接源_01水果!$K1077)&lt;&gt;0)),1,0)</f>
        <v>0</v>
      </c>
      <c r="AG1077" s="90" t="str">
        <f aca="false">IF(对接源_01水果!$AC1077="","",对接源_01水果!$AC1077)</f>
        <v/>
      </c>
      <c r="AH1077" s="1" t="n">
        <f aca="false">IF(AND($N1077=1,AND(LEFT(对接源_01水果!$D1077,3)="周转筐",N(对接源_01水果!$K1077)&lt;&gt;0)),1,0)</f>
        <v>0</v>
      </c>
      <c r="AI1077" s="90" t="n">
        <f aca="false">IF(AG1077="",0,IF(MATCH(AG1077,$AG$4:$AG$1203,0)=ROW()-3,1,0))</f>
        <v>0</v>
      </c>
      <c r="AJ1077" s="90" t="n">
        <f aca="false">N(AJ1076)+AI1077</f>
        <v>4</v>
      </c>
      <c r="AK1077" s="1" t="n">
        <f aca="false">N(AK1076)+$AJ1077</f>
        <v>3168</v>
      </c>
    </row>
    <row r="1078" customFormat="false" ht="13.5" hidden="false" customHeight="false" outlineLevel="0" collapsed="false">
      <c r="A1078" s="1" t="str">
        <f aca="false">IF(对接源_01水果!$C1078="","",对接源_01水果!$C1078)</f>
        <v/>
      </c>
      <c r="B1078" s="1" t="n">
        <f aca="false">IF(A1078="",0,IF(MATCH(A1078,$A$4:$A$2403,0)=ROW()-3,1,0))</f>
        <v>0</v>
      </c>
      <c r="C1078" s="1" t="n">
        <f aca="false">N(C1077)+B1078</f>
        <v>13</v>
      </c>
      <c r="K1078" s="1" t="n">
        <f aca="false">IF(OR($K$1="",对接源_01水果!$C1078="",对接源_01水果!$C1078&lt;&gt;$K$1,对接源_01水果!$B1078=""),0,IF(OR(N(对接源_01水果!$B1078)&lt;$K$2,N(对接源_01水果!$B1078)&gt;$K$3),0,1))</f>
        <v>0</v>
      </c>
      <c r="L1078" s="1" t="n">
        <f aca="false">IF(OR($L$1="",对接源_01水果!$C1078="",对接源_01水果!$C1078&lt;&gt;$L$1,对接源_01水果!$B1078=""),0,IF(OR(N(对接源_01水果!$B1078)&lt;$L$2,N(对接源_01水果!$B1078)&gt;$L$3),0,1))</f>
        <v>0</v>
      </c>
      <c r="M1078" s="1" t="n">
        <f aca="false">IF(OR($M$1="",对接源_01水果!$C1078="",对接源_01水果!$C1078&lt;&gt;$M$1,对接源_01水果!$B1078=""),0,IF(OR(N(对接源_01水果!$B1078)&lt;$M$2,N(对接源_01水果!$B1078)&gt;$M$3),0,1))</f>
        <v>0</v>
      </c>
      <c r="N1078" s="1" t="n">
        <f aca="false">IF(OR($N$1="",对接源_01水果!$C1078="",对接源_01水果!$C1078&lt;&gt;$N$1,对接源_01水果!$B1078=""),0,IF(OR(N(对接源_01水果!$B1078)&lt;$N$2,N(对接源_01水果!$B1078)&gt;$N$3),0,1))</f>
        <v>0</v>
      </c>
      <c r="P1078" s="1" t="n">
        <f aca="false">IF(AND($K1078=1,AND(对接源_01水果!$X1078="公司筐",N(对接源_01水果!$T1078)&lt;&gt;0)),1,0)</f>
        <v>0</v>
      </c>
      <c r="Q1078" s="1" t="n">
        <f aca="false">N(Q1077)+$P1078</f>
        <v>3</v>
      </c>
      <c r="R1078" s="1" t="n">
        <f aca="false">IF(AND($K1078=1,AND(对接源_01水果!$X1078="公司筐",N(对接源_01水果!$U1078)&lt;&gt;0)),1,0)</f>
        <v>0</v>
      </c>
      <c r="S1078" s="1" t="n">
        <f aca="false">N(S1077)+$R1078</f>
        <v>0</v>
      </c>
      <c r="T1078" s="1" t="n">
        <f aca="false">IF(AND($K1078=1,AND(对接源_01水果!$X1078="公司筐",N(对接源_01水果!$V1078)&lt;&gt;0)),1,0)</f>
        <v>0</v>
      </c>
      <c r="U1078" s="1" t="n">
        <f aca="false">N(U1077)+$T1078</f>
        <v>28</v>
      </c>
      <c r="V1078" s="1" t="n">
        <f aca="false">IF(AND($L1078=1,AND(对接源_01水果!$X1078="自备筐",N(对接源_01水果!$V1078)&lt;&gt;0)),1,0)</f>
        <v>0</v>
      </c>
      <c r="W1078" s="1" t="n">
        <f aca="false">N(W1077)+$V1078</f>
        <v>7</v>
      </c>
      <c r="X1078" s="1" t="n">
        <f aca="false">IF(AND($L1078=1,AND(对接源_01水果!$X1078="自备筐",N(对接源_01水果!$T1078)&lt;&gt;0)),1,0)</f>
        <v>0</v>
      </c>
      <c r="Y1078" s="1" t="n">
        <f aca="false">N(Y1077)+$X1078</f>
        <v>0</v>
      </c>
      <c r="Z1078" s="1" t="n">
        <f aca="false">IF(AND($M1078=1,对接源_01水果!$D1078="原料入库"),1,0)</f>
        <v>0</v>
      </c>
      <c r="AA1078" s="1" t="n">
        <f aca="false">N(AA1077)+$Z1078</f>
        <v>30</v>
      </c>
      <c r="AB1078" s="1" t="n">
        <f aca="false">IF(AND($M1078=1,LEFT(对接源_01水果!$D1078,4)="原料出库"),1,0)</f>
        <v>0</v>
      </c>
      <c r="AC1078" s="1" t="n">
        <f aca="false">N(AC1077)+$AB1078</f>
        <v>19</v>
      </c>
      <c r="AD1078" s="1" t="n">
        <f aca="false">IF(AND($M1078=1,LEFT(对接源_01水果!$D1078,4)="成品出库"),1,0)</f>
        <v>0</v>
      </c>
      <c r="AE1078" s="1" t="n">
        <f aca="false">N(AE1077)+$AD1078</f>
        <v>38</v>
      </c>
      <c r="AF1078" s="1" t="n">
        <f aca="false">IF(AND($N1078=1,AND(LEFT(对接源_01水果!$D1078,4)="包装物料",N(对接源_01水果!$K1078)&lt;&gt;0)),1,0)</f>
        <v>0</v>
      </c>
      <c r="AG1078" s="90" t="str">
        <f aca="false">IF(对接源_01水果!$AC1078="","",对接源_01水果!$AC1078)</f>
        <v/>
      </c>
      <c r="AH1078" s="1" t="n">
        <f aca="false">IF(AND($N1078=1,AND(LEFT(对接源_01水果!$D1078,3)="周转筐",N(对接源_01水果!$K1078)&lt;&gt;0)),1,0)</f>
        <v>0</v>
      </c>
      <c r="AI1078" s="90" t="n">
        <f aca="false">IF(AG1078="",0,IF(MATCH(AG1078,$AG$4:$AG$1203,0)=ROW()-3,1,0))</f>
        <v>0</v>
      </c>
      <c r="AJ1078" s="90" t="n">
        <f aca="false">N(AJ1077)+AI1078</f>
        <v>4</v>
      </c>
      <c r="AK1078" s="1" t="n">
        <f aca="false">N(AK1077)+$AJ1078</f>
        <v>3172</v>
      </c>
    </row>
    <row r="1079" customFormat="false" ht="13.5" hidden="false" customHeight="false" outlineLevel="0" collapsed="false">
      <c r="A1079" s="1" t="str">
        <f aca="false">IF(对接源_01水果!$C1079="","",对接源_01水果!$C1079)</f>
        <v/>
      </c>
      <c r="B1079" s="1" t="n">
        <f aca="false">IF(A1079="",0,IF(MATCH(A1079,$A$4:$A$2403,0)=ROW()-3,1,0))</f>
        <v>0</v>
      </c>
      <c r="C1079" s="1" t="n">
        <f aca="false">N(C1078)+B1079</f>
        <v>13</v>
      </c>
      <c r="K1079" s="1" t="n">
        <f aca="false">IF(OR($K$1="",对接源_01水果!$C1079="",对接源_01水果!$C1079&lt;&gt;$K$1,对接源_01水果!$B1079=""),0,IF(OR(N(对接源_01水果!$B1079)&lt;$K$2,N(对接源_01水果!$B1079)&gt;$K$3),0,1))</f>
        <v>0</v>
      </c>
      <c r="L1079" s="1" t="n">
        <f aca="false">IF(OR($L$1="",对接源_01水果!$C1079="",对接源_01水果!$C1079&lt;&gt;$L$1,对接源_01水果!$B1079=""),0,IF(OR(N(对接源_01水果!$B1079)&lt;$L$2,N(对接源_01水果!$B1079)&gt;$L$3),0,1))</f>
        <v>0</v>
      </c>
      <c r="M1079" s="1" t="n">
        <f aca="false">IF(OR($M$1="",对接源_01水果!$C1079="",对接源_01水果!$C1079&lt;&gt;$M$1,对接源_01水果!$B1079=""),0,IF(OR(N(对接源_01水果!$B1079)&lt;$M$2,N(对接源_01水果!$B1079)&gt;$M$3),0,1))</f>
        <v>0</v>
      </c>
      <c r="N1079" s="1" t="n">
        <f aca="false">IF(OR($N$1="",对接源_01水果!$C1079="",对接源_01水果!$C1079&lt;&gt;$N$1,对接源_01水果!$B1079=""),0,IF(OR(N(对接源_01水果!$B1079)&lt;$N$2,N(对接源_01水果!$B1079)&gt;$N$3),0,1))</f>
        <v>0</v>
      </c>
      <c r="P1079" s="1" t="n">
        <f aca="false">IF(AND($K1079=1,AND(对接源_01水果!$X1079="公司筐",N(对接源_01水果!$T1079)&lt;&gt;0)),1,0)</f>
        <v>0</v>
      </c>
      <c r="Q1079" s="1" t="n">
        <f aca="false">N(Q1078)+$P1079</f>
        <v>3</v>
      </c>
      <c r="R1079" s="1" t="n">
        <f aca="false">IF(AND($K1079=1,AND(对接源_01水果!$X1079="公司筐",N(对接源_01水果!$U1079)&lt;&gt;0)),1,0)</f>
        <v>0</v>
      </c>
      <c r="S1079" s="1" t="n">
        <f aca="false">N(S1078)+$R1079</f>
        <v>0</v>
      </c>
      <c r="T1079" s="1" t="n">
        <f aca="false">IF(AND($K1079=1,AND(对接源_01水果!$X1079="公司筐",N(对接源_01水果!$V1079)&lt;&gt;0)),1,0)</f>
        <v>0</v>
      </c>
      <c r="U1079" s="1" t="n">
        <f aca="false">N(U1078)+$T1079</f>
        <v>28</v>
      </c>
      <c r="V1079" s="1" t="n">
        <f aca="false">IF(AND($L1079=1,AND(对接源_01水果!$X1079="自备筐",N(对接源_01水果!$V1079)&lt;&gt;0)),1,0)</f>
        <v>0</v>
      </c>
      <c r="W1079" s="1" t="n">
        <f aca="false">N(W1078)+$V1079</f>
        <v>7</v>
      </c>
      <c r="X1079" s="1" t="n">
        <f aca="false">IF(AND($L1079=1,AND(对接源_01水果!$X1079="自备筐",N(对接源_01水果!$T1079)&lt;&gt;0)),1,0)</f>
        <v>0</v>
      </c>
      <c r="Y1079" s="1" t="n">
        <f aca="false">N(Y1078)+$X1079</f>
        <v>0</v>
      </c>
      <c r="Z1079" s="1" t="n">
        <f aca="false">IF(AND($M1079=1,对接源_01水果!$D1079="原料入库"),1,0)</f>
        <v>0</v>
      </c>
      <c r="AA1079" s="1" t="n">
        <f aca="false">N(AA1078)+$Z1079</f>
        <v>30</v>
      </c>
      <c r="AB1079" s="1" t="n">
        <f aca="false">IF(AND($M1079=1,LEFT(对接源_01水果!$D1079,4)="原料出库"),1,0)</f>
        <v>0</v>
      </c>
      <c r="AC1079" s="1" t="n">
        <f aca="false">N(AC1078)+$AB1079</f>
        <v>19</v>
      </c>
      <c r="AD1079" s="1" t="n">
        <f aca="false">IF(AND($M1079=1,LEFT(对接源_01水果!$D1079,4)="成品出库"),1,0)</f>
        <v>0</v>
      </c>
      <c r="AE1079" s="1" t="n">
        <f aca="false">N(AE1078)+$AD1079</f>
        <v>38</v>
      </c>
      <c r="AF1079" s="1" t="n">
        <f aca="false">IF(AND($N1079=1,AND(LEFT(对接源_01水果!$D1079,4)="包装物料",N(对接源_01水果!$K1079)&lt;&gt;0)),1,0)</f>
        <v>0</v>
      </c>
      <c r="AG1079" s="90" t="str">
        <f aca="false">IF(对接源_01水果!$AC1079="","",对接源_01水果!$AC1079)</f>
        <v/>
      </c>
      <c r="AH1079" s="1" t="n">
        <f aca="false">IF(AND($N1079=1,AND(LEFT(对接源_01水果!$D1079,3)="周转筐",N(对接源_01水果!$K1079)&lt;&gt;0)),1,0)</f>
        <v>0</v>
      </c>
      <c r="AI1079" s="90" t="n">
        <f aca="false">IF(AG1079="",0,IF(MATCH(AG1079,$AG$4:$AG$1203,0)=ROW()-3,1,0))</f>
        <v>0</v>
      </c>
      <c r="AJ1079" s="90" t="n">
        <f aca="false">N(AJ1078)+AI1079</f>
        <v>4</v>
      </c>
      <c r="AK1079" s="1" t="n">
        <f aca="false">N(AK1078)+$AJ1079</f>
        <v>3176</v>
      </c>
    </row>
    <row r="1080" customFormat="false" ht="13.5" hidden="false" customHeight="false" outlineLevel="0" collapsed="false">
      <c r="A1080" s="1" t="str">
        <f aca="false">IF(对接源_01水果!$C1080="","",对接源_01水果!$C1080)</f>
        <v/>
      </c>
      <c r="B1080" s="1" t="n">
        <f aca="false">IF(A1080="",0,IF(MATCH(A1080,$A$4:$A$2403,0)=ROW()-3,1,0))</f>
        <v>0</v>
      </c>
      <c r="C1080" s="1" t="n">
        <f aca="false">N(C1079)+B1080</f>
        <v>13</v>
      </c>
      <c r="K1080" s="1" t="n">
        <f aca="false">IF(OR($K$1="",对接源_01水果!$C1080="",对接源_01水果!$C1080&lt;&gt;$K$1,对接源_01水果!$B1080=""),0,IF(OR(N(对接源_01水果!$B1080)&lt;$K$2,N(对接源_01水果!$B1080)&gt;$K$3),0,1))</f>
        <v>0</v>
      </c>
      <c r="L1080" s="1" t="n">
        <f aca="false">IF(OR($L$1="",对接源_01水果!$C1080="",对接源_01水果!$C1080&lt;&gt;$L$1,对接源_01水果!$B1080=""),0,IF(OR(N(对接源_01水果!$B1080)&lt;$L$2,N(对接源_01水果!$B1080)&gt;$L$3),0,1))</f>
        <v>0</v>
      </c>
      <c r="M1080" s="1" t="n">
        <f aca="false">IF(OR($M$1="",对接源_01水果!$C1080="",对接源_01水果!$C1080&lt;&gt;$M$1,对接源_01水果!$B1080=""),0,IF(OR(N(对接源_01水果!$B1080)&lt;$M$2,N(对接源_01水果!$B1080)&gt;$M$3),0,1))</f>
        <v>0</v>
      </c>
      <c r="N1080" s="1" t="n">
        <f aca="false">IF(OR($N$1="",对接源_01水果!$C1080="",对接源_01水果!$C1080&lt;&gt;$N$1,对接源_01水果!$B1080=""),0,IF(OR(N(对接源_01水果!$B1080)&lt;$N$2,N(对接源_01水果!$B1080)&gt;$N$3),0,1))</f>
        <v>0</v>
      </c>
      <c r="P1080" s="1" t="n">
        <f aca="false">IF(AND($K1080=1,AND(对接源_01水果!$X1080="公司筐",N(对接源_01水果!$T1080)&lt;&gt;0)),1,0)</f>
        <v>0</v>
      </c>
      <c r="Q1080" s="1" t="n">
        <f aca="false">N(Q1079)+$P1080</f>
        <v>3</v>
      </c>
      <c r="R1080" s="1" t="n">
        <f aca="false">IF(AND($K1080=1,AND(对接源_01水果!$X1080="公司筐",N(对接源_01水果!$U1080)&lt;&gt;0)),1,0)</f>
        <v>0</v>
      </c>
      <c r="S1080" s="1" t="n">
        <f aca="false">N(S1079)+$R1080</f>
        <v>0</v>
      </c>
      <c r="T1080" s="1" t="n">
        <f aca="false">IF(AND($K1080=1,AND(对接源_01水果!$X1080="公司筐",N(对接源_01水果!$V1080)&lt;&gt;0)),1,0)</f>
        <v>0</v>
      </c>
      <c r="U1080" s="1" t="n">
        <f aca="false">N(U1079)+$T1080</f>
        <v>28</v>
      </c>
      <c r="V1080" s="1" t="n">
        <f aca="false">IF(AND($L1080=1,AND(对接源_01水果!$X1080="自备筐",N(对接源_01水果!$V1080)&lt;&gt;0)),1,0)</f>
        <v>0</v>
      </c>
      <c r="W1080" s="1" t="n">
        <f aca="false">N(W1079)+$V1080</f>
        <v>7</v>
      </c>
      <c r="X1080" s="1" t="n">
        <f aca="false">IF(AND($L1080=1,AND(对接源_01水果!$X1080="自备筐",N(对接源_01水果!$T1080)&lt;&gt;0)),1,0)</f>
        <v>0</v>
      </c>
      <c r="Y1080" s="1" t="n">
        <f aca="false">N(Y1079)+$X1080</f>
        <v>0</v>
      </c>
      <c r="Z1080" s="1" t="n">
        <f aca="false">IF(AND($M1080=1,对接源_01水果!$D1080="原料入库"),1,0)</f>
        <v>0</v>
      </c>
      <c r="AA1080" s="1" t="n">
        <f aca="false">N(AA1079)+$Z1080</f>
        <v>30</v>
      </c>
      <c r="AB1080" s="1" t="n">
        <f aca="false">IF(AND($M1080=1,LEFT(对接源_01水果!$D1080,4)="原料出库"),1,0)</f>
        <v>0</v>
      </c>
      <c r="AC1080" s="1" t="n">
        <f aca="false">N(AC1079)+$AB1080</f>
        <v>19</v>
      </c>
      <c r="AD1080" s="1" t="n">
        <f aca="false">IF(AND($M1080=1,LEFT(对接源_01水果!$D1080,4)="成品出库"),1,0)</f>
        <v>0</v>
      </c>
      <c r="AE1080" s="1" t="n">
        <f aca="false">N(AE1079)+$AD1080</f>
        <v>38</v>
      </c>
      <c r="AF1080" s="1" t="n">
        <f aca="false">IF(AND($N1080=1,AND(LEFT(对接源_01水果!$D1080,4)="包装物料",N(对接源_01水果!$K1080)&lt;&gt;0)),1,0)</f>
        <v>0</v>
      </c>
      <c r="AG1080" s="90" t="str">
        <f aca="false">IF(对接源_01水果!$AC1080="","",对接源_01水果!$AC1080)</f>
        <v/>
      </c>
      <c r="AH1080" s="1" t="n">
        <f aca="false">IF(AND($N1080=1,AND(LEFT(对接源_01水果!$D1080,3)="周转筐",N(对接源_01水果!$K1080)&lt;&gt;0)),1,0)</f>
        <v>0</v>
      </c>
      <c r="AI1080" s="90" t="n">
        <f aca="false">IF(AG1080="",0,IF(MATCH(AG1080,$AG$4:$AG$1203,0)=ROW()-3,1,0))</f>
        <v>0</v>
      </c>
      <c r="AJ1080" s="90" t="n">
        <f aca="false">N(AJ1079)+AI1080</f>
        <v>4</v>
      </c>
      <c r="AK1080" s="1" t="n">
        <f aca="false">N(AK1079)+$AJ1080</f>
        <v>3180</v>
      </c>
    </row>
    <row r="1081" customFormat="false" ht="13.5" hidden="false" customHeight="false" outlineLevel="0" collapsed="false">
      <c r="A1081" s="1" t="str">
        <f aca="false">IF(对接源_01水果!$C1081="","",对接源_01水果!$C1081)</f>
        <v/>
      </c>
      <c r="B1081" s="1" t="n">
        <f aca="false">IF(A1081="",0,IF(MATCH(A1081,$A$4:$A$2403,0)=ROW()-3,1,0))</f>
        <v>0</v>
      </c>
      <c r="C1081" s="1" t="n">
        <f aca="false">N(C1080)+B1081</f>
        <v>13</v>
      </c>
      <c r="K1081" s="1" t="n">
        <f aca="false">IF(OR($K$1="",对接源_01水果!$C1081="",对接源_01水果!$C1081&lt;&gt;$K$1,对接源_01水果!$B1081=""),0,IF(OR(N(对接源_01水果!$B1081)&lt;$K$2,N(对接源_01水果!$B1081)&gt;$K$3),0,1))</f>
        <v>0</v>
      </c>
      <c r="L1081" s="1" t="n">
        <f aca="false">IF(OR($L$1="",对接源_01水果!$C1081="",对接源_01水果!$C1081&lt;&gt;$L$1,对接源_01水果!$B1081=""),0,IF(OR(N(对接源_01水果!$B1081)&lt;$L$2,N(对接源_01水果!$B1081)&gt;$L$3),0,1))</f>
        <v>0</v>
      </c>
      <c r="M1081" s="1" t="n">
        <f aca="false">IF(OR($M$1="",对接源_01水果!$C1081="",对接源_01水果!$C1081&lt;&gt;$M$1,对接源_01水果!$B1081=""),0,IF(OR(N(对接源_01水果!$B1081)&lt;$M$2,N(对接源_01水果!$B1081)&gt;$M$3),0,1))</f>
        <v>0</v>
      </c>
      <c r="N1081" s="1" t="n">
        <f aca="false">IF(OR($N$1="",对接源_01水果!$C1081="",对接源_01水果!$C1081&lt;&gt;$N$1,对接源_01水果!$B1081=""),0,IF(OR(N(对接源_01水果!$B1081)&lt;$N$2,N(对接源_01水果!$B1081)&gt;$N$3),0,1))</f>
        <v>0</v>
      </c>
      <c r="P1081" s="1" t="n">
        <f aca="false">IF(AND($K1081=1,AND(对接源_01水果!$X1081="公司筐",N(对接源_01水果!$T1081)&lt;&gt;0)),1,0)</f>
        <v>0</v>
      </c>
      <c r="Q1081" s="1" t="n">
        <f aca="false">N(Q1080)+$P1081</f>
        <v>3</v>
      </c>
      <c r="R1081" s="1" t="n">
        <f aca="false">IF(AND($K1081=1,AND(对接源_01水果!$X1081="公司筐",N(对接源_01水果!$U1081)&lt;&gt;0)),1,0)</f>
        <v>0</v>
      </c>
      <c r="S1081" s="1" t="n">
        <f aca="false">N(S1080)+$R1081</f>
        <v>0</v>
      </c>
      <c r="T1081" s="1" t="n">
        <f aca="false">IF(AND($K1081=1,AND(对接源_01水果!$X1081="公司筐",N(对接源_01水果!$V1081)&lt;&gt;0)),1,0)</f>
        <v>0</v>
      </c>
      <c r="U1081" s="1" t="n">
        <f aca="false">N(U1080)+$T1081</f>
        <v>28</v>
      </c>
      <c r="V1081" s="1" t="n">
        <f aca="false">IF(AND($L1081=1,AND(对接源_01水果!$X1081="自备筐",N(对接源_01水果!$V1081)&lt;&gt;0)),1,0)</f>
        <v>0</v>
      </c>
      <c r="W1081" s="1" t="n">
        <f aca="false">N(W1080)+$V1081</f>
        <v>7</v>
      </c>
      <c r="X1081" s="1" t="n">
        <f aca="false">IF(AND($L1081=1,AND(对接源_01水果!$X1081="自备筐",N(对接源_01水果!$T1081)&lt;&gt;0)),1,0)</f>
        <v>0</v>
      </c>
      <c r="Y1081" s="1" t="n">
        <f aca="false">N(Y1080)+$X1081</f>
        <v>0</v>
      </c>
      <c r="Z1081" s="1" t="n">
        <f aca="false">IF(AND($M1081=1,对接源_01水果!$D1081="原料入库"),1,0)</f>
        <v>0</v>
      </c>
      <c r="AA1081" s="1" t="n">
        <f aca="false">N(AA1080)+$Z1081</f>
        <v>30</v>
      </c>
      <c r="AB1081" s="1" t="n">
        <f aca="false">IF(AND($M1081=1,LEFT(对接源_01水果!$D1081,4)="原料出库"),1,0)</f>
        <v>0</v>
      </c>
      <c r="AC1081" s="1" t="n">
        <f aca="false">N(AC1080)+$AB1081</f>
        <v>19</v>
      </c>
      <c r="AD1081" s="1" t="n">
        <f aca="false">IF(AND($M1081=1,LEFT(对接源_01水果!$D1081,4)="成品出库"),1,0)</f>
        <v>0</v>
      </c>
      <c r="AE1081" s="1" t="n">
        <f aca="false">N(AE1080)+$AD1081</f>
        <v>38</v>
      </c>
      <c r="AF1081" s="1" t="n">
        <f aca="false">IF(AND($N1081=1,AND(LEFT(对接源_01水果!$D1081,4)="包装物料",N(对接源_01水果!$K1081)&lt;&gt;0)),1,0)</f>
        <v>0</v>
      </c>
      <c r="AG1081" s="90" t="str">
        <f aca="false">IF(对接源_01水果!$AC1081="","",对接源_01水果!$AC1081)</f>
        <v/>
      </c>
      <c r="AH1081" s="1" t="n">
        <f aca="false">IF(AND($N1081=1,AND(LEFT(对接源_01水果!$D1081,3)="周转筐",N(对接源_01水果!$K1081)&lt;&gt;0)),1,0)</f>
        <v>0</v>
      </c>
      <c r="AI1081" s="90" t="n">
        <f aca="false">IF(AG1081="",0,IF(MATCH(AG1081,$AG$4:$AG$1203,0)=ROW()-3,1,0))</f>
        <v>0</v>
      </c>
      <c r="AJ1081" s="90" t="n">
        <f aca="false">N(AJ1080)+AI1081</f>
        <v>4</v>
      </c>
      <c r="AK1081" s="1" t="n">
        <f aca="false">N(AK1080)+$AJ1081</f>
        <v>3184</v>
      </c>
    </row>
    <row r="1082" customFormat="false" ht="13.5" hidden="false" customHeight="false" outlineLevel="0" collapsed="false">
      <c r="A1082" s="1" t="str">
        <f aca="false">IF(对接源_01水果!$C1082="","",对接源_01水果!$C1082)</f>
        <v/>
      </c>
      <c r="B1082" s="1" t="n">
        <f aca="false">IF(A1082="",0,IF(MATCH(A1082,$A$4:$A$2403,0)=ROW()-3,1,0))</f>
        <v>0</v>
      </c>
      <c r="C1082" s="1" t="n">
        <f aca="false">N(C1081)+B1082</f>
        <v>13</v>
      </c>
      <c r="K1082" s="1" t="n">
        <f aca="false">IF(OR($K$1="",对接源_01水果!$C1082="",对接源_01水果!$C1082&lt;&gt;$K$1,对接源_01水果!$B1082=""),0,IF(OR(N(对接源_01水果!$B1082)&lt;$K$2,N(对接源_01水果!$B1082)&gt;$K$3),0,1))</f>
        <v>0</v>
      </c>
      <c r="L1082" s="1" t="n">
        <f aca="false">IF(OR($L$1="",对接源_01水果!$C1082="",对接源_01水果!$C1082&lt;&gt;$L$1,对接源_01水果!$B1082=""),0,IF(OR(N(对接源_01水果!$B1082)&lt;$L$2,N(对接源_01水果!$B1082)&gt;$L$3),0,1))</f>
        <v>0</v>
      </c>
      <c r="M1082" s="1" t="n">
        <f aca="false">IF(OR($M$1="",对接源_01水果!$C1082="",对接源_01水果!$C1082&lt;&gt;$M$1,对接源_01水果!$B1082=""),0,IF(OR(N(对接源_01水果!$B1082)&lt;$M$2,N(对接源_01水果!$B1082)&gt;$M$3),0,1))</f>
        <v>0</v>
      </c>
      <c r="N1082" s="1" t="n">
        <f aca="false">IF(OR($N$1="",对接源_01水果!$C1082="",对接源_01水果!$C1082&lt;&gt;$N$1,对接源_01水果!$B1082=""),0,IF(OR(N(对接源_01水果!$B1082)&lt;$N$2,N(对接源_01水果!$B1082)&gt;$N$3),0,1))</f>
        <v>0</v>
      </c>
      <c r="P1082" s="1" t="n">
        <f aca="false">IF(AND($K1082=1,AND(对接源_01水果!$X1082="公司筐",N(对接源_01水果!$T1082)&lt;&gt;0)),1,0)</f>
        <v>0</v>
      </c>
      <c r="Q1082" s="1" t="n">
        <f aca="false">N(Q1081)+$P1082</f>
        <v>3</v>
      </c>
      <c r="R1082" s="1" t="n">
        <f aca="false">IF(AND($K1082=1,AND(对接源_01水果!$X1082="公司筐",N(对接源_01水果!$U1082)&lt;&gt;0)),1,0)</f>
        <v>0</v>
      </c>
      <c r="S1082" s="1" t="n">
        <f aca="false">N(S1081)+$R1082</f>
        <v>0</v>
      </c>
      <c r="T1082" s="1" t="n">
        <f aca="false">IF(AND($K1082=1,AND(对接源_01水果!$X1082="公司筐",N(对接源_01水果!$V1082)&lt;&gt;0)),1,0)</f>
        <v>0</v>
      </c>
      <c r="U1082" s="1" t="n">
        <f aca="false">N(U1081)+$T1082</f>
        <v>28</v>
      </c>
      <c r="V1082" s="1" t="n">
        <f aca="false">IF(AND($L1082=1,AND(对接源_01水果!$X1082="自备筐",N(对接源_01水果!$V1082)&lt;&gt;0)),1,0)</f>
        <v>0</v>
      </c>
      <c r="W1082" s="1" t="n">
        <f aca="false">N(W1081)+$V1082</f>
        <v>7</v>
      </c>
      <c r="X1082" s="1" t="n">
        <f aca="false">IF(AND($L1082=1,AND(对接源_01水果!$X1082="自备筐",N(对接源_01水果!$T1082)&lt;&gt;0)),1,0)</f>
        <v>0</v>
      </c>
      <c r="Y1082" s="1" t="n">
        <f aca="false">N(Y1081)+$X1082</f>
        <v>0</v>
      </c>
      <c r="Z1082" s="1" t="n">
        <f aca="false">IF(AND($M1082=1,对接源_01水果!$D1082="原料入库"),1,0)</f>
        <v>0</v>
      </c>
      <c r="AA1082" s="1" t="n">
        <f aca="false">N(AA1081)+$Z1082</f>
        <v>30</v>
      </c>
      <c r="AB1082" s="1" t="n">
        <f aca="false">IF(AND($M1082=1,LEFT(对接源_01水果!$D1082,4)="原料出库"),1,0)</f>
        <v>0</v>
      </c>
      <c r="AC1082" s="1" t="n">
        <f aca="false">N(AC1081)+$AB1082</f>
        <v>19</v>
      </c>
      <c r="AD1082" s="1" t="n">
        <f aca="false">IF(AND($M1082=1,LEFT(对接源_01水果!$D1082,4)="成品出库"),1,0)</f>
        <v>0</v>
      </c>
      <c r="AE1082" s="1" t="n">
        <f aca="false">N(AE1081)+$AD1082</f>
        <v>38</v>
      </c>
      <c r="AF1082" s="1" t="n">
        <f aca="false">IF(AND($N1082=1,AND(LEFT(对接源_01水果!$D1082,4)="包装物料",N(对接源_01水果!$K1082)&lt;&gt;0)),1,0)</f>
        <v>0</v>
      </c>
      <c r="AG1082" s="90" t="str">
        <f aca="false">IF(对接源_01水果!$AC1082="","",对接源_01水果!$AC1082)</f>
        <v/>
      </c>
      <c r="AH1082" s="1" t="n">
        <f aca="false">IF(AND($N1082=1,AND(LEFT(对接源_01水果!$D1082,3)="周转筐",N(对接源_01水果!$K1082)&lt;&gt;0)),1,0)</f>
        <v>0</v>
      </c>
      <c r="AI1082" s="90" t="n">
        <f aca="false">IF(AG1082="",0,IF(MATCH(AG1082,$AG$4:$AG$1203,0)=ROW()-3,1,0))</f>
        <v>0</v>
      </c>
      <c r="AJ1082" s="90" t="n">
        <f aca="false">N(AJ1081)+AI1082</f>
        <v>4</v>
      </c>
      <c r="AK1082" s="1" t="n">
        <f aca="false">N(AK1081)+$AJ1082</f>
        <v>3188</v>
      </c>
    </row>
    <row r="1083" customFormat="false" ht="13.5" hidden="false" customHeight="false" outlineLevel="0" collapsed="false">
      <c r="A1083" s="1" t="str">
        <f aca="false">IF(对接源_01水果!$C1083="","",对接源_01水果!$C1083)</f>
        <v/>
      </c>
      <c r="B1083" s="1" t="n">
        <f aca="false">IF(A1083="",0,IF(MATCH(A1083,$A$4:$A$2403,0)=ROW()-3,1,0))</f>
        <v>0</v>
      </c>
      <c r="C1083" s="1" t="n">
        <f aca="false">N(C1082)+B1083</f>
        <v>13</v>
      </c>
      <c r="K1083" s="1" t="n">
        <f aca="false">IF(OR($K$1="",对接源_01水果!$C1083="",对接源_01水果!$C1083&lt;&gt;$K$1,对接源_01水果!$B1083=""),0,IF(OR(N(对接源_01水果!$B1083)&lt;$K$2,N(对接源_01水果!$B1083)&gt;$K$3),0,1))</f>
        <v>0</v>
      </c>
      <c r="L1083" s="1" t="n">
        <f aca="false">IF(OR($L$1="",对接源_01水果!$C1083="",对接源_01水果!$C1083&lt;&gt;$L$1,对接源_01水果!$B1083=""),0,IF(OR(N(对接源_01水果!$B1083)&lt;$L$2,N(对接源_01水果!$B1083)&gt;$L$3),0,1))</f>
        <v>0</v>
      </c>
      <c r="M1083" s="1" t="n">
        <f aca="false">IF(OR($M$1="",对接源_01水果!$C1083="",对接源_01水果!$C1083&lt;&gt;$M$1,对接源_01水果!$B1083=""),0,IF(OR(N(对接源_01水果!$B1083)&lt;$M$2,N(对接源_01水果!$B1083)&gt;$M$3),0,1))</f>
        <v>0</v>
      </c>
      <c r="N1083" s="1" t="n">
        <f aca="false">IF(OR($N$1="",对接源_01水果!$C1083="",对接源_01水果!$C1083&lt;&gt;$N$1,对接源_01水果!$B1083=""),0,IF(OR(N(对接源_01水果!$B1083)&lt;$N$2,N(对接源_01水果!$B1083)&gt;$N$3),0,1))</f>
        <v>0</v>
      </c>
      <c r="P1083" s="1" t="n">
        <f aca="false">IF(AND($K1083=1,AND(对接源_01水果!$X1083="公司筐",N(对接源_01水果!$T1083)&lt;&gt;0)),1,0)</f>
        <v>0</v>
      </c>
      <c r="Q1083" s="1" t="n">
        <f aca="false">N(Q1082)+$P1083</f>
        <v>3</v>
      </c>
      <c r="R1083" s="1" t="n">
        <f aca="false">IF(AND($K1083=1,AND(对接源_01水果!$X1083="公司筐",N(对接源_01水果!$U1083)&lt;&gt;0)),1,0)</f>
        <v>0</v>
      </c>
      <c r="S1083" s="1" t="n">
        <f aca="false">N(S1082)+$R1083</f>
        <v>0</v>
      </c>
      <c r="T1083" s="1" t="n">
        <f aca="false">IF(AND($K1083=1,AND(对接源_01水果!$X1083="公司筐",N(对接源_01水果!$V1083)&lt;&gt;0)),1,0)</f>
        <v>0</v>
      </c>
      <c r="U1083" s="1" t="n">
        <f aca="false">N(U1082)+$T1083</f>
        <v>28</v>
      </c>
      <c r="V1083" s="1" t="n">
        <f aca="false">IF(AND($L1083=1,AND(对接源_01水果!$X1083="自备筐",N(对接源_01水果!$V1083)&lt;&gt;0)),1,0)</f>
        <v>0</v>
      </c>
      <c r="W1083" s="1" t="n">
        <f aca="false">N(W1082)+$V1083</f>
        <v>7</v>
      </c>
      <c r="X1083" s="1" t="n">
        <f aca="false">IF(AND($L1083=1,AND(对接源_01水果!$X1083="自备筐",N(对接源_01水果!$T1083)&lt;&gt;0)),1,0)</f>
        <v>0</v>
      </c>
      <c r="Y1083" s="1" t="n">
        <f aca="false">N(Y1082)+$X1083</f>
        <v>0</v>
      </c>
      <c r="Z1083" s="1" t="n">
        <f aca="false">IF(AND($M1083=1,对接源_01水果!$D1083="原料入库"),1,0)</f>
        <v>0</v>
      </c>
      <c r="AA1083" s="1" t="n">
        <f aca="false">N(AA1082)+$Z1083</f>
        <v>30</v>
      </c>
      <c r="AB1083" s="1" t="n">
        <f aca="false">IF(AND($M1083=1,LEFT(对接源_01水果!$D1083,4)="原料出库"),1,0)</f>
        <v>0</v>
      </c>
      <c r="AC1083" s="1" t="n">
        <f aca="false">N(AC1082)+$AB1083</f>
        <v>19</v>
      </c>
      <c r="AD1083" s="1" t="n">
        <f aca="false">IF(AND($M1083=1,LEFT(对接源_01水果!$D1083,4)="成品出库"),1,0)</f>
        <v>0</v>
      </c>
      <c r="AE1083" s="1" t="n">
        <f aca="false">N(AE1082)+$AD1083</f>
        <v>38</v>
      </c>
      <c r="AF1083" s="1" t="n">
        <f aca="false">IF(AND($N1083=1,AND(LEFT(对接源_01水果!$D1083,4)="包装物料",N(对接源_01水果!$K1083)&lt;&gt;0)),1,0)</f>
        <v>0</v>
      </c>
      <c r="AG1083" s="90" t="str">
        <f aca="false">IF(对接源_01水果!$AC1083="","",对接源_01水果!$AC1083)</f>
        <v/>
      </c>
      <c r="AH1083" s="1" t="n">
        <f aca="false">IF(AND($N1083=1,AND(LEFT(对接源_01水果!$D1083,3)="周转筐",N(对接源_01水果!$K1083)&lt;&gt;0)),1,0)</f>
        <v>0</v>
      </c>
      <c r="AI1083" s="90" t="n">
        <f aca="false">IF(AG1083="",0,IF(MATCH(AG1083,$AG$4:$AG$1203,0)=ROW()-3,1,0))</f>
        <v>0</v>
      </c>
      <c r="AJ1083" s="90" t="n">
        <f aca="false">N(AJ1082)+AI1083</f>
        <v>4</v>
      </c>
      <c r="AK1083" s="1" t="n">
        <f aca="false">N(AK1082)+$AJ1083</f>
        <v>3192</v>
      </c>
    </row>
    <row r="1084" customFormat="false" ht="13.5" hidden="false" customHeight="false" outlineLevel="0" collapsed="false">
      <c r="A1084" s="1" t="str">
        <f aca="false">IF(对接源_01水果!$C1084="","",对接源_01水果!$C1084)</f>
        <v/>
      </c>
      <c r="B1084" s="1" t="n">
        <f aca="false">IF(A1084="",0,IF(MATCH(A1084,$A$4:$A$2403,0)=ROW()-3,1,0))</f>
        <v>0</v>
      </c>
      <c r="C1084" s="1" t="n">
        <f aca="false">N(C1083)+B1084</f>
        <v>13</v>
      </c>
      <c r="K1084" s="1" t="n">
        <f aca="false">IF(OR($K$1="",对接源_01水果!$C1084="",对接源_01水果!$C1084&lt;&gt;$K$1,对接源_01水果!$B1084=""),0,IF(OR(N(对接源_01水果!$B1084)&lt;$K$2,N(对接源_01水果!$B1084)&gt;$K$3),0,1))</f>
        <v>0</v>
      </c>
      <c r="L1084" s="1" t="n">
        <f aca="false">IF(OR($L$1="",对接源_01水果!$C1084="",对接源_01水果!$C1084&lt;&gt;$L$1,对接源_01水果!$B1084=""),0,IF(OR(N(对接源_01水果!$B1084)&lt;$L$2,N(对接源_01水果!$B1084)&gt;$L$3),0,1))</f>
        <v>0</v>
      </c>
      <c r="M1084" s="1" t="n">
        <f aca="false">IF(OR($M$1="",对接源_01水果!$C1084="",对接源_01水果!$C1084&lt;&gt;$M$1,对接源_01水果!$B1084=""),0,IF(OR(N(对接源_01水果!$B1084)&lt;$M$2,N(对接源_01水果!$B1084)&gt;$M$3),0,1))</f>
        <v>0</v>
      </c>
      <c r="N1084" s="1" t="n">
        <f aca="false">IF(OR($N$1="",对接源_01水果!$C1084="",对接源_01水果!$C1084&lt;&gt;$N$1,对接源_01水果!$B1084=""),0,IF(OR(N(对接源_01水果!$B1084)&lt;$N$2,N(对接源_01水果!$B1084)&gt;$N$3),0,1))</f>
        <v>0</v>
      </c>
      <c r="P1084" s="1" t="n">
        <f aca="false">IF(AND($K1084=1,AND(对接源_01水果!$X1084="公司筐",N(对接源_01水果!$T1084)&lt;&gt;0)),1,0)</f>
        <v>0</v>
      </c>
      <c r="Q1084" s="1" t="n">
        <f aca="false">N(Q1083)+$P1084</f>
        <v>3</v>
      </c>
      <c r="R1084" s="1" t="n">
        <f aca="false">IF(AND($K1084=1,AND(对接源_01水果!$X1084="公司筐",N(对接源_01水果!$U1084)&lt;&gt;0)),1,0)</f>
        <v>0</v>
      </c>
      <c r="S1084" s="1" t="n">
        <f aca="false">N(S1083)+$R1084</f>
        <v>0</v>
      </c>
      <c r="T1084" s="1" t="n">
        <f aca="false">IF(AND($K1084=1,AND(对接源_01水果!$X1084="公司筐",N(对接源_01水果!$V1084)&lt;&gt;0)),1,0)</f>
        <v>0</v>
      </c>
      <c r="U1084" s="1" t="n">
        <f aca="false">N(U1083)+$T1084</f>
        <v>28</v>
      </c>
      <c r="V1084" s="1" t="n">
        <f aca="false">IF(AND($L1084=1,AND(对接源_01水果!$X1084="自备筐",N(对接源_01水果!$V1084)&lt;&gt;0)),1,0)</f>
        <v>0</v>
      </c>
      <c r="W1084" s="1" t="n">
        <f aca="false">N(W1083)+$V1084</f>
        <v>7</v>
      </c>
      <c r="X1084" s="1" t="n">
        <f aca="false">IF(AND($L1084=1,AND(对接源_01水果!$X1084="自备筐",N(对接源_01水果!$T1084)&lt;&gt;0)),1,0)</f>
        <v>0</v>
      </c>
      <c r="Y1084" s="1" t="n">
        <f aca="false">N(Y1083)+$X1084</f>
        <v>0</v>
      </c>
      <c r="Z1084" s="1" t="n">
        <f aca="false">IF(AND($M1084=1,对接源_01水果!$D1084="原料入库"),1,0)</f>
        <v>0</v>
      </c>
      <c r="AA1084" s="1" t="n">
        <f aca="false">N(AA1083)+$Z1084</f>
        <v>30</v>
      </c>
      <c r="AB1084" s="1" t="n">
        <f aca="false">IF(AND($M1084=1,LEFT(对接源_01水果!$D1084,4)="原料出库"),1,0)</f>
        <v>0</v>
      </c>
      <c r="AC1084" s="1" t="n">
        <f aca="false">N(AC1083)+$AB1084</f>
        <v>19</v>
      </c>
      <c r="AD1084" s="1" t="n">
        <f aca="false">IF(AND($M1084=1,LEFT(对接源_01水果!$D1084,4)="成品出库"),1,0)</f>
        <v>0</v>
      </c>
      <c r="AE1084" s="1" t="n">
        <f aca="false">N(AE1083)+$AD1084</f>
        <v>38</v>
      </c>
      <c r="AF1084" s="1" t="n">
        <f aca="false">IF(AND($N1084=1,AND(LEFT(对接源_01水果!$D1084,4)="包装物料",N(对接源_01水果!$K1084)&lt;&gt;0)),1,0)</f>
        <v>0</v>
      </c>
      <c r="AG1084" s="90" t="str">
        <f aca="false">IF(对接源_01水果!$AC1084="","",对接源_01水果!$AC1084)</f>
        <v/>
      </c>
      <c r="AH1084" s="1" t="n">
        <f aca="false">IF(AND($N1084=1,AND(LEFT(对接源_01水果!$D1084,3)="周转筐",N(对接源_01水果!$K1084)&lt;&gt;0)),1,0)</f>
        <v>0</v>
      </c>
      <c r="AI1084" s="90" t="n">
        <f aca="false">IF(AG1084="",0,IF(MATCH(AG1084,$AG$4:$AG$1203,0)=ROW()-3,1,0))</f>
        <v>0</v>
      </c>
      <c r="AJ1084" s="90" t="n">
        <f aca="false">N(AJ1083)+AI1084</f>
        <v>4</v>
      </c>
      <c r="AK1084" s="1" t="n">
        <f aca="false">N(AK1083)+$AJ1084</f>
        <v>3196</v>
      </c>
    </row>
    <row r="1085" customFormat="false" ht="13.5" hidden="false" customHeight="false" outlineLevel="0" collapsed="false">
      <c r="A1085" s="1" t="str">
        <f aca="false">IF(对接源_01水果!$C1085="","",对接源_01水果!$C1085)</f>
        <v/>
      </c>
      <c r="B1085" s="1" t="n">
        <f aca="false">IF(A1085="",0,IF(MATCH(A1085,$A$4:$A$2403,0)=ROW()-3,1,0))</f>
        <v>0</v>
      </c>
      <c r="C1085" s="1" t="n">
        <f aca="false">N(C1084)+B1085</f>
        <v>13</v>
      </c>
      <c r="K1085" s="1" t="n">
        <f aca="false">IF(OR($K$1="",对接源_01水果!$C1085="",对接源_01水果!$C1085&lt;&gt;$K$1,对接源_01水果!$B1085=""),0,IF(OR(N(对接源_01水果!$B1085)&lt;$K$2,N(对接源_01水果!$B1085)&gt;$K$3),0,1))</f>
        <v>0</v>
      </c>
      <c r="L1085" s="1" t="n">
        <f aca="false">IF(OR($L$1="",对接源_01水果!$C1085="",对接源_01水果!$C1085&lt;&gt;$L$1,对接源_01水果!$B1085=""),0,IF(OR(N(对接源_01水果!$B1085)&lt;$L$2,N(对接源_01水果!$B1085)&gt;$L$3),0,1))</f>
        <v>0</v>
      </c>
      <c r="M1085" s="1" t="n">
        <f aca="false">IF(OR($M$1="",对接源_01水果!$C1085="",对接源_01水果!$C1085&lt;&gt;$M$1,对接源_01水果!$B1085=""),0,IF(OR(N(对接源_01水果!$B1085)&lt;$M$2,N(对接源_01水果!$B1085)&gt;$M$3),0,1))</f>
        <v>0</v>
      </c>
      <c r="N1085" s="1" t="n">
        <f aca="false">IF(OR($N$1="",对接源_01水果!$C1085="",对接源_01水果!$C1085&lt;&gt;$N$1,对接源_01水果!$B1085=""),0,IF(OR(N(对接源_01水果!$B1085)&lt;$N$2,N(对接源_01水果!$B1085)&gt;$N$3),0,1))</f>
        <v>0</v>
      </c>
      <c r="P1085" s="1" t="n">
        <f aca="false">IF(AND($K1085=1,AND(对接源_01水果!$X1085="公司筐",N(对接源_01水果!$T1085)&lt;&gt;0)),1,0)</f>
        <v>0</v>
      </c>
      <c r="Q1085" s="1" t="n">
        <f aca="false">N(Q1084)+$P1085</f>
        <v>3</v>
      </c>
      <c r="R1085" s="1" t="n">
        <f aca="false">IF(AND($K1085=1,AND(对接源_01水果!$X1085="公司筐",N(对接源_01水果!$U1085)&lt;&gt;0)),1,0)</f>
        <v>0</v>
      </c>
      <c r="S1085" s="1" t="n">
        <f aca="false">N(S1084)+$R1085</f>
        <v>0</v>
      </c>
      <c r="T1085" s="1" t="n">
        <f aca="false">IF(AND($K1085=1,AND(对接源_01水果!$X1085="公司筐",N(对接源_01水果!$V1085)&lt;&gt;0)),1,0)</f>
        <v>0</v>
      </c>
      <c r="U1085" s="1" t="n">
        <f aca="false">N(U1084)+$T1085</f>
        <v>28</v>
      </c>
      <c r="V1085" s="1" t="n">
        <f aca="false">IF(AND($L1085=1,AND(对接源_01水果!$X1085="自备筐",N(对接源_01水果!$V1085)&lt;&gt;0)),1,0)</f>
        <v>0</v>
      </c>
      <c r="W1085" s="1" t="n">
        <f aca="false">N(W1084)+$V1085</f>
        <v>7</v>
      </c>
      <c r="X1085" s="1" t="n">
        <f aca="false">IF(AND($L1085=1,AND(对接源_01水果!$X1085="自备筐",N(对接源_01水果!$T1085)&lt;&gt;0)),1,0)</f>
        <v>0</v>
      </c>
      <c r="Y1085" s="1" t="n">
        <f aca="false">N(Y1084)+$X1085</f>
        <v>0</v>
      </c>
      <c r="Z1085" s="1" t="n">
        <f aca="false">IF(AND($M1085=1,对接源_01水果!$D1085="原料入库"),1,0)</f>
        <v>0</v>
      </c>
      <c r="AA1085" s="1" t="n">
        <f aca="false">N(AA1084)+$Z1085</f>
        <v>30</v>
      </c>
      <c r="AB1085" s="1" t="n">
        <f aca="false">IF(AND($M1085=1,LEFT(对接源_01水果!$D1085,4)="原料出库"),1,0)</f>
        <v>0</v>
      </c>
      <c r="AC1085" s="1" t="n">
        <f aca="false">N(AC1084)+$AB1085</f>
        <v>19</v>
      </c>
      <c r="AD1085" s="1" t="n">
        <f aca="false">IF(AND($M1085=1,LEFT(对接源_01水果!$D1085,4)="成品出库"),1,0)</f>
        <v>0</v>
      </c>
      <c r="AE1085" s="1" t="n">
        <f aca="false">N(AE1084)+$AD1085</f>
        <v>38</v>
      </c>
      <c r="AF1085" s="1" t="n">
        <f aca="false">IF(AND($N1085=1,AND(LEFT(对接源_01水果!$D1085,4)="包装物料",N(对接源_01水果!$K1085)&lt;&gt;0)),1,0)</f>
        <v>0</v>
      </c>
      <c r="AG1085" s="90" t="str">
        <f aca="false">IF(对接源_01水果!$AC1085="","",对接源_01水果!$AC1085)</f>
        <v/>
      </c>
      <c r="AH1085" s="1" t="n">
        <f aca="false">IF(AND($N1085=1,AND(LEFT(对接源_01水果!$D1085,3)="周转筐",N(对接源_01水果!$K1085)&lt;&gt;0)),1,0)</f>
        <v>0</v>
      </c>
      <c r="AI1085" s="90" t="n">
        <f aca="false">IF(AG1085="",0,IF(MATCH(AG1085,$AG$4:$AG$1203,0)=ROW()-3,1,0))</f>
        <v>0</v>
      </c>
      <c r="AJ1085" s="90" t="n">
        <f aca="false">N(AJ1084)+AI1085</f>
        <v>4</v>
      </c>
      <c r="AK1085" s="1" t="n">
        <f aca="false">N(AK1084)+$AJ1085</f>
        <v>3200</v>
      </c>
    </row>
    <row r="1086" customFormat="false" ht="13.5" hidden="false" customHeight="false" outlineLevel="0" collapsed="false">
      <c r="A1086" s="1" t="str">
        <f aca="false">IF(对接源_01水果!$C1086="","",对接源_01水果!$C1086)</f>
        <v/>
      </c>
      <c r="B1086" s="1" t="n">
        <f aca="false">IF(A1086="",0,IF(MATCH(A1086,$A$4:$A$2403,0)=ROW()-3,1,0))</f>
        <v>0</v>
      </c>
      <c r="C1086" s="1" t="n">
        <f aca="false">N(C1085)+B1086</f>
        <v>13</v>
      </c>
      <c r="K1086" s="1" t="n">
        <f aca="false">IF(OR($K$1="",对接源_01水果!$C1086="",对接源_01水果!$C1086&lt;&gt;$K$1,对接源_01水果!$B1086=""),0,IF(OR(N(对接源_01水果!$B1086)&lt;$K$2,N(对接源_01水果!$B1086)&gt;$K$3),0,1))</f>
        <v>0</v>
      </c>
      <c r="L1086" s="1" t="n">
        <f aca="false">IF(OR($L$1="",对接源_01水果!$C1086="",对接源_01水果!$C1086&lt;&gt;$L$1,对接源_01水果!$B1086=""),0,IF(OR(N(对接源_01水果!$B1086)&lt;$L$2,N(对接源_01水果!$B1086)&gt;$L$3),0,1))</f>
        <v>0</v>
      </c>
      <c r="M1086" s="1" t="n">
        <f aca="false">IF(OR($M$1="",对接源_01水果!$C1086="",对接源_01水果!$C1086&lt;&gt;$M$1,对接源_01水果!$B1086=""),0,IF(OR(N(对接源_01水果!$B1086)&lt;$M$2,N(对接源_01水果!$B1086)&gt;$M$3),0,1))</f>
        <v>0</v>
      </c>
      <c r="N1086" s="1" t="n">
        <f aca="false">IF(OR($N$1="",对接源_01水果!$C1086="",对接源_01水果!$C1086&lt;&gt;$N$1,对接源_01水果!$B1086=""),0,IF(OR(N(对接源_01水果!$B1086)&lt;$N$2,N(对接源_01水果!$B1086)&gt;$N$3),0,1))</f>
        <v>0</v>
      </c>
      <c r="P1086" s="1" t="n">
        <f aca="false">IF(AND($K1086=1,AND(对接源_01水果!$X1086="公司筐",N(对接源_01水果!$T1086)&lt;&gt;0)),1,0)</f>
        <v>0</v>
      </c>
      <c r="Q1086" s="1" t="n">
        <f aca="false">N(Q1085)+$P1086</f>
        <v>3</v>
      </c>
      <c r="R1086" s="1" t="n">
        <f aca="false">IF(AND($K1086=1,AND(对接源_01水果!$X1086="公司筐",N(对接源_01水果!$U1086)&lt;&gt;0)),1,0)</f>
        <v>0</v>
      </c>
      <c r="S1086" s="1" t="n">
        <f aca="false">N(S1085)+$R1086</f>
        <v>0</v>
      </c>
      <c r="T1086" s="1" t="n">
        <f aca="false">IF(AND($K1086=1,AND(对接源_01水果!$X1086="公司筐",N(对接源_01水果!$V1086)&lt;&gt;0)),1,0)</f>
        <v>0</v>
      </c>
      <c r="U1086" s="1" t="n">
        <f aca="false">N(U1085)+$T1086</f>
        <v>28</v>
      </c>
      <c r="V1086" s="1" t="n">
        <f aca="false">IF(AND($L1086=1,AND(对接源_01水果!$X1086="自备筐",N(对接源_01水果!$V1086)&lt;&gt;0)),1,0)</f>
        <v>0</v>
      </c>
      <c r="W1086" s="1" t="n">
        <f aca="false">N(W1085)+$V1086</f>
        <v>7</v>
      </c>
      <c r="X1086" s="1" t="n">
        <f aca="false">IF(AND($L1086=1,AND(对接源_01水果!$X1086="自备筐",N(对接源_01水果!$T1086)&lt;&gt;0)),1,0)</f>
        <v>0</v>
      </c>
      <c r="Y1086" s="1" t="n">
        <f aca="false">N(Y1085)+$X1086</f>
        <v>0</v>
      </c>
      <c r="Z1086" s="1" t="n">
        <f aca="false">IF(AND($M1086=1,对接源_01水果!$D1086="原料入库"),1,0)</f>
        <v>0</v>
      </c>
      <c r="AA1086" s="1" t="n">
        <f aca="false">N(AA1085)+$Z1086</f>
        <v>30</v>
      </c>
      <c r="AB1086" s="1" t="n">
        <f aca="false">IF(AND($M1086=1,LEFT(对接源_01水果!$D1086,4)="原料出库"),1,0)</f>
        <v>0</v>
      </c>
      <c r="AC1086" s="1" t="n">
        <f aca="false">N(AC1085)+$AB1086</f>
        <v>19</v>
      </c>
      <c r="AD1086" s="1" t="n">
        <f aca="false">IF(AND($M1086=1,LEFT(对接源_01水果!$D1086,4)="成品出库"),1,0)</f>
        <v>0</v>
      </c>
      <c r="AE1086" s="1" t="n">
        <f aca="false">N(AE1085)+$AD1086</f>
        <v>38</v>
      </c>
      <c r="AF1086" s="1" t="n">
        <f aca="false">IF(AND($N1086=1,AND(LEFT(对接源_01水果!$D1086,4)="包装物料",N(对接源_01水果!$K1086)&lt;&gt;0)),1,0)</f>
        <v>0</v>
      </c>
      <c r="AG1086" s="90" t="str">
        <f aca="false">IF(对接源_01水果!$AC1086="","",对接源_01水果!$AC1086)</f>
        <v/>
      </c>
      <c r="AH1086" s="1" t="n">
        <f aca="false">IF(AND($N1086=1,AND(LEFT(对接源_01水果!$D1086,3)="周转筐",N(对接源_01水果!$K1086)&lt;&gt;0)),1,0)</f>
        <v>0</v>
      </c>
      <c r="AI1086" s="90" t="n">
        <f aca="false">IF(AG1086="",0,IF(MATCH(AG1086,$AG$4:$AG$1203,0)=ROW()-3,1,0))</f>
        <v>0</v>
      </c>
      <c r="AJ1086" s="90" t="n">
        <f aca="false">N(AJ1085)+AI1086</f>
        <v>4</v>
      </c>
      <c r="AK1086" s="1" t="n">
        <f aca="false">N(AK1085)+$AJ1086</f>
        <v>3204</v>
      </c>
    </row>
    <row r="1087" customFormat="false" ht="13.5" hidden="false" customHeight="false" outlineLevel="0" collapsed="false">
      <c r="A1087" s="1" t="str">
        <f aca="false">IF(对接源_01水果!$C1087="","",对接源_01水果!$C1087)</f>
        <v/>
      </c>
      <c r="B1087" s="1" t="n">
        <f aca="false">IF(A1087="",0,IF(MATCH(A1087,$A$4:$A$2403,0)=ROW()-3,1,0))</f>
        <v>0</v>
      </c>
      <c r="C1087" s="1" t="n">
        <f aca="false">N(C1086)+B1087</f>
        <v>13</v>
      </c>
      <c r="K1087" s="1" t="n">
        <f aca="false">IF(OR($K$1="",对接源_01水果!$C1087="",对接源_01水果!$C1087&lt;&gt;$K$1,对接源_01水果!$B1087=""),0,IF(OR(N(对接源_01水果!$B1087)&lt;$K$2,N(对接源_01水果!$B1087)&gt;$K$3),0,1))</f>
        <v>0</v>
      </c>
      <c r="L1087" s="1" t="n">
        <f aca="false">IF(OR($L$1="",对接源_01水果!$C1087="",对接源_01水果!$C1087&lt;&gt;$L$1,对接源_01水果!$B1087=""),0,IF(OR(N(对接源_01水果!$B1087)&lt;$L$2,N(对接源_01水果!$B1087)&gt;$L$3),0,1))</f>
        <v>0</v>
      </c>
      <c r="M1087" s="1" t="n">
        <f aca="false">IF(OR($M$1="",对接源_01水果!$C1087="",对接源_01水果!$C1087&lt;&gt;$M$1,对接源_01水果!$B1087=""),0,IF(OR(N(对接源_01水果!$B1087)&lt;$M$2,N(对接源_01水果!$B1087)&gt;$M$3),0,1))</f>
        <v>0</v>
      </c>
      <c r="N1087" s="1" t="n">
        <f aca="false">IF(OR($N$1="",对接源_01水果!$C1087="",对接源_01水果!$C1087&lt;&gt;$N$1,对接源_01水果!$B1087=""),0,IF(OR(N(对接源_01水果!$B1087)&lt;$N$2,N(对接源_01水果!$B1087)&gt;$N$3),0,1))</f>
        <v>0</v>
      </c>
      <c r="P1087" s="1" t="n">
        <f aca="false">IF(AND($K1087=1,AND(对接源_01水果!$X1087="公司筐",N(对接源_01水果!$T1087)&lt;&gt;0)),1,0)</f>
        <v>0</v>
      </c>
      <c r="Q1087" s="1" t="n">
        <f aca="false">N(Q1086)+$P1087</f>
        <v>3</v>
      </c>
      <c r="R1087" s="1" t="n">
        <f aca="false">IF(AND($K1087=1,AND(对接源_01水果!$X1087="公司筐",N(对接源_01水果!$U1087)&lt;&gt;0)),1,0)</f>
        <v>0</v>
      </c>
      <c r="S1087" s="1" t="n">
        <f aca="false">N(S1086)+$R1087</f>
        <v>0</v>
      </c>
      <c r="T1087" s="1" t="n">
        <f aca="false">IF(AND($K1087=1,AND(对接源_01水果!$X1087="公司筐",N(对接源_01水果!$V1087)&lt;&gt;0)),1,0)</f>
        <v>0</v>
      </c>
      <c r="U1087" s="1" t="n">
        <f aca="false">N(U1086)+$T1087</f>
        <v>28</v>
      </c>
      <c r="V1087" s="1" t="n">
        <f aca="false">IF(AND($L1087=1,AND(对接源_01水果!$X1087="自备筐",N(对接源_01水果!$V1087)&lt;&gt;0)),1,0)</f>
        <v>0</v>
      </c>
      <c r="W1087" s="1" t="n">
        <f aca="false">N(W1086)+$V1087</f>
        <v>7</v>
      </c>
      <c r="X1087" s="1" t="n">
        <f aca="false">IF(AND($L1087=1,AND(对接源_01水果!$X1087="自备筐",N(对接源_01水果!$T1087)&lt;&gt;0)),1,0)</f>
        <v>0</v>
      </c>
      <c r="Y1087" s="1" t="n">
        <f aca="false">N(Y1086)+$X1087</f>
        <v>0</v>
      </c>
      <c r="Z1087" s="1" t="n">
        <f aca="false">IF(AND($M1087=1,对接源_01水果!$D1087="原料入库"),1,0)</f>
        <v>0</v>
      </c>
      <c r="AA1087" s="1" t="n">
        <f aca="false">N(AA1086)+$Z1087</f>
        <v>30</v>
      </c>
      <c r="AB1087" s="1" t="n">
        <f aca="false">IF(AND($M1087=1,LEFT(对接源_01水果!$D1087,4)="原料出库"),1,0)</f>
        <v>0</v>
      </c>
      <c r="AC1087" s="1" t="n">
        <f aca="false">N(AC1086)+$AB1087</f>
        <v>19</v>
      </c>
      <c r="AD1087" s="1" t="n">
        <f aca="false">IF(AND($M1087=1,LEFT(对接源_01水果!$D1087,4)="成品出库"),1,0)</f>
        <v>0</v>
      </c>
      <c r="AE1087" s="1" t="n">
        <f aca="false">N(AE1086)+$AD1087</f>
        <v>38</v>
      </c>
      <c r="AF1087" s="1" t="n">
        <f aca="false">IF(AND($N1087=1,AND(LEFT(对接源_01水果!$D1087,4)="包装物料",N(对接源_01水果!$K1087)&lt;&gt;0)),1,0)</f>
        <v>0</v>
      </c>
      <c r="AG1087" s="90" t="str">
        <f aca="false">IF(对接源_01水果!$AC1087="","",对接源_01水果!$AC1087)</f>
        <v/>
      </c>
      <c r="AH1087" s="1" t="n">
        <f aca="false">IF(AND($N1087=1,AND(LEFT(对接源_01水果!$D1087,3)="周转筐",N(对接源_01水果!$K1087)&lt;&gt;0)),1,0)</f>
        <v>0</v>
      </c>
      <c r="AI1087" s="90" t="n">
        <f aca="false">IF(AG1087="",0,IF(MATCH(AG1087,$AG$4:$AG$1203,0)=ROW()-3,1,0))</f>
        <v>0</v>
      </c>
      <c r="AJ1087" s="90" t="n">
        <f aca="false">N(AJ1086)+AI1087</f>
        <v>4</v>
      </c>
      <c r="AK1087" s="1" t="n">
        <f aca="false">N(AK1086)+$AJ1087</f>
        <v>3208</v>
      </c>
    </row>
    <row r="1088" customFormat="false" ht="13.5" hidden="false" customHeight="false" outlineLevel="0" collapsed="false">
      <c r="A1088" s="1" t="str">
        <f aca="false">IF(对接源_01水果!$C1088="","",对接源_01水果!$C1088)</f>
        <v/>
      </c>
      <c r="B1088" s="1" t="n">
        <f aca="false">IF(A1088="",0,IF(MATCH(A1088,$A$4:$A$2403,0)=ROW()-3,1,0))</f>
        <v>0</v>
      </c>
      <c r="C1088" s="1" t="n">
        <f aca="false">N(C1087)+B1088</f>
        <v>13</v>
      </c>
      <c r="K1088" s="1" t="n">
        <f aca="false">IF(OR($K$1="",对接源_01水果!$C1088="",对接源_01水果!$C1088&lt;&gt;$K$1,对接源_01水果!$B1088=""),0,IF(OR(N(对接源_01水果!$B1088)&lt;$K$2,N(对接源_01水果!$B1088)&gt;$K$3),0,1))</f>
        <v>0</v>
      </c>
      <c r="L1088" s="1" t="n">
        <f aca="false">IF(OR($L$1="",对接源_01水果!$C1088="",对接源_01水果!$C1088&lt;&gt;$L$1,对接源_01水果!$B1088=""),0,IF(OR(N(对接源_01水果!$B1088)&lt;$L$2,N(对接源_01水果!$B1088)&gt;$L$3),0,1))</f>
        <v>0</v>
      </c>
      <c r="M1088" s="1" t="n">
        <f aca="false">IF(OR($M$1="",对接源_01水果!$C1088="",对接源_01水果!$C1088&lt;&gt;$M$1,对接源_01水果!$B1088=""),0,IF(OR(N(对接源_01水果!$B1088)&lt;$M$2,N(对接源_01水果!$B1088)&gt;$M$3),0,1))</f>
        <v>0</v>
      </c>
      <c r="N1088" s="1" t="n">
        <f aca="false">IF(OR($N$1="",对接源_01水果!$C1088="",对接源_01水果!$C1088&lt;&gt;$N$1,对接源_01水果!$B1088=""),0,IF(OR(N(对接源_01水果!$B1088)&lt;$N$2,N(对接源_01水果!$B1088)&gt;$N$3),0,1))</f>
        <v>0</v>
      </c>
      <c r="P1088" s="1" t="n">
        <f aca="false">IF(AND($K1088=1,AND(对接源_01水果!$X1088="公司筐",N(对接源_01水果!$T1088)&lt;&gt;0)),1,0)</f>
        <v>0</v>
      </c>
      <c r="Q1088" s="1" t="n">
        <f aca="false">N(Q1087)+$P1088</f>
        <v>3</v>
      </c>
      <c r="R1088" s="1" t="n">
        <f aca="false">IF(AND($K1088=1,AND(对接源_01水果!$X1088="公司筐",N(对接源_01水果!$U1088)&lt;&gt;0)),1,0)</f>
        <v>0</v>
      </c>
      <c r="S1088" s="1" t="n">
        <f aca="false">N(S1087)+$R1088</f>
        <v>0</v>
      </c>
      <c r="T1088" s="1" t="n">
        <f aca="false">IF(AND($K1088=1,AND(对接源_01水果!$X1088="公司筐",N(对接源_01水果!$V1088)&lt;&gt;0)),1,0)</f>
        <v>0</v>
      </c>
      <c r="U1088" s="1" t="n">
        <f aca="false">N(U1087)+$T1088</f>
        <v>28</v>
      </c>
      <c r="V1088" s="1" t="n">
        <f aca="false">IF(AND($L1088=1,AND(对接源_01水果!$X1088="自备筐",N(对接源_01水果!$V1088)&lt;&gt;0)),1,0)</f>
        <v>0</v>
      </c>
      <c r="W1088" s="1" t="n">
        <f aca="false">N(W1087)+$V1088</f>
        <v>7</v>
      </c>
      <c r="X1088" s="1" t="n">
        <f aca="false">IF(AND($L1088=1,AND(对接源_01水果!$X1088="自备筐",N(对接源_01水果!$T1088)&lt;&gt;0)),1,0)</f>
        <v>0</v>
      </c>
      <c r="Y1088" s="1" t="n">
        <f aca="false">N(Y1087)+$X1088</f>
        <v>0</v>
      </c>
      <c r="Z1088" s="1" t="n">
        <f aca="false">IF(AND($M1088=1,对接源_01水果!$D1088="原料入库"),1,0)</f>
        <v>0</v>
      </c>
      <c r="AA1088" s="1" t="n">
        <f aca="false">N(AA1087)+$Z1088</f>
        <v>30</v>
      </c>
      <c r="AB1088" s="1" t="n">
        <f aca="false">IF(AND($M1088=1,LEFT(对接源_01水果!$D1088,4)="原料出库"),1,0)</f>
        <v>0</v>
      </c>
      <c r="AC1088" s="1" t="n">
        <f aca="false">N(AC1087)+$AB1088</f>
        <v>19</v>
      </c>
      <c r="AD1088" s="1" t="n">
        <f aca="false">IF(AND($M1088=1,LEFT(对接源_01水果!$D1088,4)="成品出库"),1,0)</f>
        <v>0</v>
      </c>
      <c r="AE1088" s="1" t="n">
        <f aca="false">N(AE1087)+$AD1088</f>
        <v>38</v>
      </c>
      <c r="AF1088" s="1" t="n">
        <f aca="false">IF(AND($N1088=1,AND(LEFT(对接源_01水果!$D1088,4)="包装物料",N(对接源_01水果!$K1088)&lt;&gt;0)),1,0)</f>
        <v>0</v>
      </c>
      <c r="AG1088" s="90" t="str">
        <f aca="false">IF(对接源_01水果!$AC1088="","",对接源_01水果!$AC1088)</f>
        <v/>
      </c>
      <c r="AH1088" s="1" t="n">
        <f aca="false">IF(AND($N1088=1,AND(LEFT(对接源_01水果!$D1088,3)="周转筐",N(对接源_01水果!$K1088)&lt;&gt;0)),1,0)</f>
        <v>0</v>
      </c>
      <c r="AI1088" s="90" t="n">
        <f aca="false">IF(AG1088="",0,IF(MATCH(AG1088,$AG$4:$AG$1203,0)=ROW()-3,1,0))</f>
        <v>0</v>
      </c>
      <c r="AJ1088" s="90" t="n">
        <f aca="false">N(AJ1087)+AI1088</f>
        <v>4</v>
      </c>
      <c r="AK1088" s="1" t="n">
        <f aca="false">N(AK1087)+$AJ1088</f>
        <v>3212</v>
      </c>
    </row>
    <row r="1089" customFormat="false" ht="13.5" hidden="false" customHeight="false" outlineLevel="0" collapsed="false">
      <c r="A1089" s="1" t="str">
        <f aca="false">IF(对接源_01水果!$C1089="","",对接源_01水果!$C1089)</f>
        <v/>
      </c>
      <c r="B1089" s="1" t="n">
        <f aca="false">IF(A1089="",0,IF(MATCH(A1089,$A$4:$A$2403,0)=ROW()-3,1,0))</f>
        <v>0</v>
      </c>
      <c r="C1089" s="1" t="n">
        <f aca="false">N(C1088)+B1089</f>
        <v>13</v>
      </c>
      <c r="K1089" s="1" t="n">
        <f aca="false">IF(OR($K$1="",对接源_01水果!$C1089="",对接源_01水果!$C1089&lt;&gt;$K$1,对接源_01水果!$B1089=""),0,IF(OR(N(对接源_01水果!$B1089)&lt;$K$2,N(对接源_01水果!$B1089)&gt;$K$3),0,1))</f>
        <v>0</v>
      </c>
      <c r="L1089" s="1" t="n">
        <f aca="false">IF(OR($L$1="",对接源_01水果!$C1089="",对接源_01水果!$C1089&lt;&gt;$L$1,对接源_01水果!$B1089=""),0,IF(OR(N(对接源_01水果!$B1089)&lt;$L$2,N(对接源_01水果!$B1089)&gt;$L$3),0,1))</f>
        <v>0</v>
      </c>
      <c r="M1089" s="1" t="n">
        <f aca="false">IF(OR($M$1="",对接源_01水果!$C1089="",对接源_01水果!$C1089&lt;&gt;$M$1,对接源_01水果!$B1089=""),0,IF(OR(N(对接源_01水果!$B1089)&lt;$M$2,N(对接源_01水果!$B1089)&gt;$M$3),0,1))</f>
        <v>0</v>
      </c>
      <c r="N1089" s="1" t="n">
        <f aca="false">IF(OR($N$1="",对接源_01水果!$C1089="",对接源_01水果!$C1089&lt;&gt;$N$1,对接源_01水果!$B1089=""),0,IF(OR(N(对接源_01水果!$B1089)&lt;$N$2,N(对接源_01水果!$B1089)&gt;$N$3),0,1))</f>
        <v>0</v>
      </c>
      <c r="P1089" s="1" t="n">
        <f aca="false">IF(AND($K1089=1,AND(对接源_01水果!$X1089="公司筐",N(对接源_01水果!$T1089)&lt;&gt;0)),1,0)</f>
        <v>0</v>
      </c>
      <c r="Q1089" s="1" t="n">
        <f aca="false">N(Q1088)+$P1089</f>
        <v>3</v>
      </c>
      <c r="R1089" s="1" t="n">
        <f aca="false">IF(AND($K1089=1,AND(对接源_01水果!$X1089="公司筐",N(对接源_01水果!$U1089)&lt;&gt;0)),1,0)</f>
        <v>0</v>
      </c>
      <c r="S1089" s="1" t="n">
        <f aca="false">N(S1088)+$R1089</f>
        <v>0</v>
      </c>
      <c r="T1089" s="1" t="n">
        <f aca="false">IF(AND($K1089=1,AND(对接源_01水果!$X1089="公司筐",N(对接源_01水果!$V1089)&lt;&gt;0)),1,0)</f>
        <v>0</v>
      </c>
      <c r="U1089" s="1" t="n">
        <f aca="false">N(U1088)+$T1089</f>
        <v>28</v>
      </c>
      <c r="V1089" s="1" t="n">
        <f aca="false">IF(AND($L1089=1,AND(对接源_01水果!$X1089="自备筐",N(对接源_01水果!$V1089)&lt;&gt;0)),1,0)</f>
        <v>0</v>
      </c>
      <c r="W1089" s="1" t="n">
        <f aca="false">N(W1088)+$V1089</f>
        <v>7</v>
      </c>
      <c r="X1089" s="1" t="n">
        <f aca="false">IF(AND($L1089=1,AND(对接源_01水果!$X1089="自备筐",N(对接源_01水果!$T1089)&lt;&gt;0)),1,0)</f>
        <v>0</v>
      </c>
      <c r="Y1089" s="1" t="n">
        <f aca="false">N(Y1088)+$X1089</f>
        <v>0</v>
      </c>
      <c r="Z1089" s="1" t="n">
        <f aca="false">IF(AND($M1089=1,对接源_01水果!$D1089="原料入库"),1,0)</f>
        <v>0</v>
      </c>
      <c r="AA1089" s="1" t="n">
        <f aca="false">N(AA1088)+$Z1089</f>
        <v>30</v>
      </c>
      <c r="AB1089" s="1" t="n">
        <f aca="false">IF(AND($M1089=1,LEFT(对接源_01水果!$D1089,4)="原料出库"),1,0)</f>
        <v>0</v>
      </c>
      <c r="AC1089" s="1" t="n">
        <f aca="false">N(AC1088)+$AB1089</f>
        <v>19</v>
      </c>
      <c r="AD1089" s="1" t="n">
        <f aca="false">IF(AND($M1089=1,LEFT(对接源_01水果!$D1089,4)="成品出库"),1,0)</f>
        <v>0</v>
      </c>
      <c r="AE1089" s="1" t="n">
        <f aca="false">N(AE1088)+$AD1089</f>
        <v>38</v>
      </c>
      <c r="AF1089" s="1" t="n">
        <f aca="false">IF(AND($N1089=1,AND(LEFT(对接源_01水果!$D1089,4)="包装物料",N(对接源_01水果!$K1089)&lt;&gt;0)),1,0)</f>
        <v>0</v>
      </c>
      <c r="AG1089" s="90" t="str">
        <f aca="false">IF(对接源_01水果!$AC1089="","",对接源_01水果!$AC1089)</f>
        <v/>
      </c>
      <c r="AH1089" s="1" t="n">
        <f aca="false">IF(AND($N1089=1,AND(LEFT(对接源_01水果!$D1089,3)="周转筐",N(对接源_01水果!$K1089)&lt;&gt;0)),1,0)</f>
        <v>0</v>
      </c>
      <c r="AI1089" s="90" t="n">
        <f aca="false">IF(AG1089="",0,IF(MATCH(AG1089,$AG$4:$AG$1203,0)=ROW()-3,1,0))</f>
        <v>0</v>
      </c>
      <c r="AJ1089" s="90" t="n">
        <f aca="false">N(AJ1088)+AI1089</f>
        <v>4</v>
      </c>
      <c r="AK1089" s="1" t="n">
        <f aca="false">N(AK1088)+$AJ1089</f>
        <v>3216</v>
      </c>
    </row>
    <row r="1090" customFormat="false" ht="13.5" hidden="false" customHeight="false" outlineLevel="0" collapsed="false">
      <c r="A1090" s="1" t="str">
        <f aca="false">IF(对接源_01水果!$C1090="","",对接源_01水果!$C1090)</f>
        <v/>
      </c>
      <c r="B1090" s="1" t="n">
        <f aca="false">IF(A1090="",0,IF(MATCH(A1090,$A$4:$A$2403,0)=ROW()-3,1,0))</f>
        <v>0</v>
      </c>
      <c r="C1090" s="1" t="n">
        <f aca="false">N(C1089)+B1090</f>
        <v>13</v>
      </c>
      <c r="K1090" s="1" t="n">
        <f aca="false">IF(OR($K$1="",对接源_01水果!$C1090="",对接源_01水果!$C1090&lt;&gt;$K$1,对接源_01水果!$B1090=""),0,IF(OR(N(对接源_01水果!$B1090)&lt;$K$2,N(对接源_01水果!$B1090)&gt;$K$3),0,1))</f>
        <v>0</v>
      </c>
      <c r="L1090" s="1" t="n">
        <f aca="false">IF(OR($L$1="",对接源_01水果!$C1090="",对接源_01水果!$C1090&lt;&gt;$L$1,对接源_01水果!$B1090=""),0,IF(OR(N(对接源_01水果!$B1090)&lt;$L$2,N(对接源_01水果!$B1090)&gt;$L$3),0,1))</f>
        <v>0</v>
      </c>
      <c r="M1090" s="1" t="n">
        <f aca="false">IF(OR($M$1="",对接源_01水果!$C1090="",对接源_01水果!$C1090&lt;&gt;$M$1,对接源_01水果!$B1090=""),0,IF(OR(N(对接源_01水果!$B1090)&lt;$M$2,N(对接源_01水果!$B1090)&gt;$M$3),0,1))</f>
        <v>0</v>
      </c>
      <c r="N1090" s="1" t="n">
        <f aca="false">IF(OR($N$1="",对接源_01水果!$C1090="",对接源_01水果!$C1090&lt;&gt;$N$1,对接源_01水果!$B1090=""),0,IF(OR(N(对接源_01水果!$B1090)&lt;$N$2,N(对接源_01水果!$B1090)&gt;$N$3),0,1))</f>
        <v>0</v>
      </c>
      <c r="P1090" s="1" t="n">
        <f aca="false">IF(AND($K1090=1,AND(对接源_01水果!$X1090="公司筐",N(对接源_01水果!$T1090)&lt;&gt;0)),1,0)</f>
        <v>0</v>
      </c>
      <c r="Q1090" s="1" t="n">
        <f aca="false">N(Q1089)+$P1090</f>
        <v>3</v>
      </c>
      <c r="R1090" s="1" t="n">
        <f aca="false">IF(AND($K1090=1,AND(对接源_01水果!$X1090="公司筐",N(对接源_01水果!$U1090)&lt;&gt;0)),1,0)</f>
        <v>0</v>
      </c>
      <c r="S1090" s="1" t="n">
        <f aca="false">N(S1089)+$R1090</f>
        <v>0</v>
      </c>
      <c r="T1090" s="1" t="n">
        <f aca="false">IF(AND($K1090=1,AND(对接源_01水果!$X1090="公司筐",N(对接源_01水果!$V1090)&lt;&gt;0)),1,0)</f>
        <v>0</v>
      </c>
      <c r="U1090" s="1" t="n">
        <f aca="false">N(U1089)+$T1090</f>
        <v>28</v>
      </c>
      <c r="V1090" s="1" t="n">
        <f aca="false">IF(AND($L1090=1,AND(对接源_01水果!$X1090="自备筐",N(对接源_01水果!$V1090)&lt;&gt;0)),1,0)</f>
        <v>0</v>
      </c>
      <c r="W1090" s="1" t="n">
        <f aca="false">N(W1089)+$V1090</f>
        <v>7</v>
      </c>
      <c r="X1090" s="1" t="n">
        <f aca="false">IF(AND($L1090=1,AND(对接源_01水果!$X1090="自备筐",N(对接源_01水果!$T1090)&lt;&gt;0)),1,0)</f>
        <v>0</v>
      </c>
      <c r="Y1090" s="1" t="n">
        <f aca="false">N(Y1089)+$X1090</f>
        <v>0</v>
      </c>
      <c r="Z1090" s="1" t="n">
        <f aca="false">IF(AND($M1090=1,对接源_01水果!$D1090="原料入库"),1,0)</f>
        <v>0</v>
      </c>
      <c r="AA1090" s="1" t="n">
        <f aca="false">N(AA1089)+$Z1090</f>
        <v>30</v>
      </c>
      <c r="AB1090" s="1" t="n">
        <f aca="false">IF(AND($M1090=1,LEFT(对接源_01水果!$D1090,4)="原料出库"),1,0)</f>
        <v>0</v>
      </c>
      <c r="AC1090" s="1" t="n">
        <f aca="false">N(AC1089)+$AB1090</f>
        <v>19</v>
      </c>
      <c r="AD1090" s="1" t="n">
        <f aca="false">IF(AND($M1090=1,LEFT(对接源_01水果!$D1090,4)="成品出库"),1,0)</f>
        <v>0</v>
      </c>
      <c r="AE1090" s="1" t="n">
        <f aca="false">N(AE1089)+$AD1090</f>
        <v>38</v>
      </c>
      <c r="AF1090" s="1" t="n">
        <f aca="false">IF(AND($N1090=1,AND(LEFT(对接源_01水果!$D1090,4)="包装物料",N(对接源_01水果!$K1090)&lt;&gt;0)),1,0)</f>
        <v>0</v>
      </c>
      <c r="AG1090" s="90" t="str">
        <f aca="false">IF(对接源_01水果!$AC1090="","",对接源_01水果!$AC1090)</f>
        <v/>
      </c>
      <c r="AH1090" s="1" t="n">
        <f aca="false">IF(AND($N1090=1,AND(LEFT(对接源_01水果!$D1090,3)="周转筐",N(对接源_01水果!$K1090)&lt;&gt;0)),1,0)</f>
        <v>0</v>
      </c>
      <c r="AI1090" s="90" t="n">
        <f aca="false">IF(AG1090="",0,IF(MATCH(AG1090,$AG$4:$AG$1203,0)=ROW()-3,1,0))</f>
        <v>0</v>
      </c>
      <c r="AJ1090" s="90" t="n">
        <f aca="false">N(AJ1089)+AI1090</f>
        <v>4</v>
      </c>
      <c r="AK1090" s="1" t="n">
        <f aca="false">N(AK1089)+$AJ1090</f>
        <v>3220</v>
      </c>
    </row>
    <row r="1091" customFormat="false" ht="13.5" hidden="false" customHeight="false" outlineLevel="0" collapsed="false">
      <c r="A1091" s="1" t="str">
        <f aca="false">IF(对接源_01水果!$C1091="","",对接源_01水果!$C1091)</f>
        <v/>
      </c>
      <c r="B1091" s="1" t="n">
        <f aca="false">IF(A1091="",0,IF(MATCH(A1091,$A$4:$A$2403,0)=ROW()-3,1,0))</f>
        <v>0</v>
      </c>
      <c r="C1091" s="1" t="n">
        <f aca="false">N(C1090)+B1091</f>
        <v>13</v>
      </c>
      <c r="K1091" s="1" t="n">
        <f aca="false">IF(OR($K$1="",对接源_01水果!$C1091="",对接源_01水果!$C1091&lt;&gt;$K$1,对接源_01水果!$B1091=""),0,IF(OR(N(对接源_01水果!$B1091)&lt;$K$2,N(对接源_01水果!$B1091)&gt;$K$3),0,1))</f>
        <v>0</v>
      </c>
      <c r="L1091" s="1" t="n">
        <f aca="false">IF(OR($L$1="",对接源_01水果!$C1091="",对接源_01水果!$C1091&lt;&gt;$L$1,对接源_01水果!$B1091=""),0,IF(OR(N(对接源_01水果!$B1091)&lt;$L$2,N(对接源_01水果!$B1091)&gt;$L$3),0,1))</f>
        <v>0</v>
      </c>
      <c r="M1091" s="1" t="n">
        <f aca="false">IF(OR($M$1="",对接源_01水果!$C1091="",对接源_01水果!$C1091&lt;&gt;$M$1,对接源_01水果!$B1091=""),0,IF(OR(N(对接源_01水果!$B1091)&lt;$M$2,N(对接源_01水果!$B1091)&gt;$M$3),0,1))</f>
        <v>0</v>
      </c>
      <c r="N1091" s="1" t="n">
        <f aca="false">IF(OR($N$1="",对接源_01水果!$C1091="",对接源_01水果!$C1091&lt;&gt;$N$1,对接源_01水果!$B1091=""),0,IF(OR(N(对接源_01水果!$B1091)&lt;$N$2,N(对接源_01水果!$B1091)&gt;$N$3),0,1))</f>
        <v>0</v>
      </c>
      <c r="P1091" s="1" t="n">
        <f aca="false">IF(AND($K1091=1,AND(对接源_01水果!$X1091="公司筐",N(对接源_01水果!$T1091)&lt;&gt;0)),1,0)</f>
        <v>0</v>
      </c>
      <c r="Q1091" s="1" t="n">
        <f aca="false">N(Q1090)+$P1091</f>
        <v>3</v>
      </c>
      <c r="R1091" s="1" t="n">
        <f aca="false">IF(AND($K1091=1,AND(对接源_01水果!$X1091="公司筐",N(对接源_01水果!$U1091)&lt;&gt;0)),1,0)</f>
        <v>0</v>
      </c>
      <c r="S1091" s="1" t="n">
        <f aca="false">N(S1090)+$R1091</f>
        <v>0</v>
      </c>
      <c r="T1091" s="1" t="n">
        <f aca="false">IF(AND($K1091=1,AND(对接源_01水果!$X1091="公司筐",N(对接源_01水果!$V1091)&lt;&gt;0)),1,0)</f>
        <v>0</v>
      </c>
      <c r="U1091" s="1" t="n">
        <f aca="false">N(U1090)+$T1091</f>
        <v>28</v>
      </c>
      <c r="V1091" s="1" t="n">
        <f aca="false">IF(AND($L1091=1,AND(对接源_01水果!$X1091="自备筐",N(对接源_01水果!$V1091)&lt;&gt;0)),1,0)</f>
        <v>0</v>
      </c>
      <c r="W1091" s="1" t="n">
        <f aca="false">N(W1090)+$V1091</f>
        <v>7</v>
      </c>
      <c r="X1091" s="1" t="n">
        <f aca="false">IF(AND($L1091=1,AND(对接源_01水果!$X1091="自备筐",N(对接源_01水果!$T1091)&lt;&gt;0)),1,0)</f>
        <v>0</v>
      </c>
      <c r="Y1091" s="1" t="n">
        <f aca="false">N(Y1090)+$X1091</f>
        <v>0</v>
      </c>
      <c r="Z1091" s="1" t="n">
        <f aca="false">IF(AND($M1091=1,对接源_01水果!$D1091="原料入库"),1,0)</f>
        <v>0</v>
      </c>
      <c r="AA1091" s="1" t="n">
        <f aca="false">N(AA1090)+$Z1091</f>
        <v>30</v>
      </c>
      <c r="AB1091" s="1" t="n">
        <f aca="false">IF(AND($M1091=1,LEFT(对接源_01水果!$D1091,4)="原料出库"),1,0)</f>
        <v>0</v>
      </c>
      <c r="AC1091" s="1" t="n">
        <f aca="false">N(AC1090)+$AB1091</f>
        <v>19</v>
      </c>
      <c r="AD1091" s="1" t="n">
        <f aca="false">IF(AND($M1091=1,LEFT(对接源_01水果!$D1091,4)="成品出库"),1,0)</f>
        <v>0</v>
      </c>
      <c r="AE1091" s="1" t="n">
        <f aca="false">N(AE1090)+$AD1091</f>
        <v>38</v>
      </c>
      <c r="AF1091" s="1" t="n">
        <f aca="false">IF(AND($N1091=1,AND(LEFT(对接源_01水果!$D1091,4)="包装物料",N(对接源_01水果!$K1091)&lt;&gt;0)),1,0)</f>
        <v>0</v>
      </c>
      <c r="AG1091" s="90" t="str">
        <f aca="false">IF(对接源_01水果!$AC1091="","",对接源_01水果!$AC1091)</f>
        <v/>
      </c>
      <c r="AH1091" s="1" t="n">
        <f aca="false">IF(AND($N1091=1,AND(LEFT(对接源_01水果!$D1091,3)="周转筐",N(对接源_01水果!$K1091)&lt;&gt;0)),1,0)</f>
        <v>0</v>
      </c>
      <c r="AI1091" s="90" t="n">
        <f aca="false">IF(AG1091="",0,IF(MATCH(AG1091,$AG$4:$AG$1203,0)=ROW()-3,1,0))</f>
        <v>0</v>
      </c>
      <c r="AJ1091" s="90" t="n">
        <f aca="false">N(AJ1090)+AI1091</f>
        <v>4</v>
      </c>
      <c r="AK1091" s="1" t="n">
        <f aca="false">N(AK1090)+$AJ1091</f>
        <v>3224</v>
      </c>
    </row>
    <row r="1092" customFormat="false" ht="13.5" hidden="false" customHeight="false" outlineLevel="0" collapsed="false">
      <c r="A1092" s="1" t="str">
        <f aca="false">IF(对接源_01水果!$C1092="","",对接源_01水果!$C1092)</f>
        <v/>
      </c>
      <c r="B1092" s="1" t="n">
        <f aca="false">IF(A1092="",0,IF(MATCH(A1092,$A$4:$A$2403,0)=ROW()-3,1,0))</f>
        <v>0</v>
      </c>
      <c r="C1092" s="1" t="n">
        <f aca="false">N(C1091)+B1092</f>
        <v>13</v>
      </c>
      <c r="K1092" s="1" t="n">
        <f aca="false">IF(OR($K$1="",对接源_01水果!$C1092="",对接源_01水果!$C1092&lt;&gt;$K$1,对接源_01水果!$B1092=""),0,IF(OR(N(对接源_01水果!$B1092)&lt;$K$2,N(对接源_01水果!$B1092)&gt;$K$3),0,1))</f>
        <v>0</v>
      </c>
      <c r="L1092" s="1" t="n">
        <f aca="false">IF(OR($L$1="",对接源_01水果!$C1092="",对接源_01水果!$C1092&lt;&gt;$L$1,对接源_01水果!$B1092=""),0,IF(OR(N(对接源_01水果!$B1092)&lt;$L$2,N(对接源_01水果!$B1092)&gt;$L$3),0,1))</f>
        <v>0</v>
      </c>
      <c r="M1092" s="1" t="n">
        <f aca="false">IF(OR($M$1="",对接源_01水果!$C1092="",对接源_01水果!$C1092&lt;&gt;$M$1,对接源_01水果!$B1092=""),0,IF(OR(N(对接源_01水果!$B1092)&lt;$M$2,N(对接源_01水果!$B1092)&gt;$M$3),0,1))</f>
        <v>0</v>
      </c>
      <c r="N1092" s="1" t="n">
        <f aca="false">IF(OR($N$1="",对接源_01水果!$C1092="",对接源_01水果!$C1092&lt;&gt;$N$1,对接源_01水果!$B1092=""),0,IF(OR(N(对接源_01水果!$B1092)&lt;$N$2,N(对接源_01水果!$B1092)&gt;$N$3),0,1))</f>
        <v>0</v>
      </c>
      <c r="P1092" s="1" t="n">
        <f aca="false">IF(AND($K1092=1,AND(对接源_01水果!$X1092="公司筐",N(对接源_01水果!$T1092)&lt;&gt;0)),1,0)</f>
        <v>0</v>
      </c>
      <c r="Q1092" s="1" t="n">
        <f aca="false">N(Q1091)+$P1092</f>
        <v>3</v>
      </c>
      <c r="R1092" s="1" t="n">
        <f aca="false">IF(AND($K1092=1,AND(对接源_01水果!$X1092="公司筐",N(对接源_01水果!$U1092)&lt;&gt;0)),1,0)</f>
        <v>0</v>
      </c>
      <c r="S1092" s="1" t="n">
        <f aca="false">N(S1091)+$R1092</f>
        <v>0</v>
      </c>
      <c r="T1092" s="1" t="n">
        <f aca="false">IF(AND($K1092=1,AND(对接源_01水果!$X1092="公司筐",N(对接源_01水果!$V1092)&lt;&gt;0)),1,0)</f>
        <v>0</v>
      </c>
      <c r="U1092" s="1" t="n">
        <f aca="false">N(U1091)+$T1092</f>
        <v>28</v>
      </c>
      <c r="V1092" s="1" t="n">
        <f aca="false">IF(AND($L1092=1,AND(对接源_01水果!$X1092="自备筐",N(对接源_01水果!$V1092)&lt;&gt;0)),1,0)</f>
        <v>0</v>
      </c>
      <c r="W1092" s="1" t="n">
        <f aca="false">N(W1091)+$V1092</f>
        <v>7</v>
      </c>
      <c r="X1092" s="1" t="n">
        <f aca="false">IF(AND($L1092=1,AND(对接源_01水果!$X1092="自备筐",N(对接源_01水果!$T1092)&lt;&gt;0)),1,0)</f>
        <v>0</v>
      </c>
      <c r="Y1092" s="1" t="n">
        <f aca="false">N(Y1091)+$X1092</f>
        <v>0</v>
      </c>
      <c r="Z1092" s="1" t="n">
        <f aca="false">IF(AND($M1092=1,对接源_01水果!$D1092="原料入库"),1,0)</f>
        <v>0</v>
      </c>
      <c r="AA1092" s="1" t="n">
        <f aca="false">N(AA1091)+$Z1092</f>
        <v>30</v>
      </c>
      <c r="AB1092" s="1" t="n">
        <f aca="false">IF(AND($M1092=1,LEFT(对接源_01水果!$D1092,4)="原料出库"),1,0)</f>
        <v>0</v>
      </c>
      <c r="AC1092" s="1" t="n">
        <f aca="false">N(AC1091)+$AB1092</f>
        <v>19</v>
      </c>
      <c r="AD1092" s="1" t="n">
        <f aca="false">IF(AND($M1092=1,LEFT(对接源_01水果!$D1092,4)="成品出库"),1,0)</f>
        <v>0</v>
      </c>
      <c r="AE1092" s="1" t="n">
        <f aca="false">N(AE1091)+$AD1092</f>
        <v>38</v>
      </c>
      <c r="AF1092" s="1" t="n">
        <f aca="false">IF(AND($N1092=1,AND(LEFT(对接源_01水果!$D1092,4)="包装物料",N(对接源_01水果!$K1092)&lt;&gt;0)),1,0)</f>
        <v>0</v>
      </c>
      <c r="AG1092" s="90" t="str">
        <f aca="false">IF(对接源_01水果!$AC1092="","",对接源_01水果!$AC1092)</f>
        <v/>
      </c>
      <c r="AH1092" s="1" t="n">
        <f aca="false">IF(AND($N1092=1,AND(LEFT(对接源_01水果!$D1092,3)="周转筐",N(对接源_01水果!$K1092)&lt;&gt;0)),1,0)</f>
        <v>0</v>
      </c>
      <c r="AI1092" s="90" t="n">
        <f aca="false">IF(AG1092="",0,IF(MATCH(AG1092,$AG$4:$AG$1203,0)=ROW()-3,1,0))</f>
        <v>0</v>
      </c>
      <c r="AJ1092" s="90" t="n">
        <f aca="false">N(AJ1091)+AI1092</f>
        <v>4</v>
      </c>
      <c r="AK1092" s="1" t="n">
        <f aca="false">N(AK1091)+$AJ1092</f>
        <v>3228</v>
      </c>
    </row>
    <row r="1093" customFormat="false" ht="13.5" hidden="false" customHeight="false" outlineLevel="0" collapsed="false">
      <c r="A1093" s="1" t="str">
        <f aca="false">IF(对接源_01水果!$C1093="","",对接源_01水果!$C1093)</f>
        <v/>
      </c>
      <c r="B1093" s="1" t="n">
        <f aca="false">IF(A1093="",0,IF(MATCH(A1093,$A$4:$A$2403,0)=ROW()-3,1,0))</f>
        <v>0</v>
      </c>
      <c r="C1093" s="1" t="n">
        <f aca="false">N(C1092)+B1093</f>
        <v>13</v>
      </c>
      <c r="K1093" s="1" t="n">
        <f aca="false">IF(OR($K$1="",对接源_01水果!$C1093="",对接源_01水果!$C1093&lt;&gt;$K$1,对接源_01水果!$B1093=""),0,IF(OR(N(对接源_01水果!$B1093)&lt;$K$2,N(对接源_01水果!$B1093)&gt;$K$3),0,1))</f>
        <v>0</v>
      </c>
      <c r="L1093" s="1" t="n">
        <f aca="false">IF(OR($L$1="",对接源_01水果!$C1093="",对接源_01水果!$C1093&lt;&gt;$L$1,对接源_01水果!$B1093=""),0,IF(OR(N(对接源_01水果!$B1093)&lt;$L$2,N(对接源_01水果!$B1093)&gt;$L$3),0,1))</f>
        <v>0</v>
      </c>
      <c r="M1093" s="1" t="n">
        <f aca="false">IF(OR($M$1="",对接源_01水果!$C1093="",对接源_01水果!$C1093&lt;&gt;$M$1,对接源_01水果!$B1093=""),0,IF(OR(N(对接源_01水果!$B1093)&lt;$M$2,N(对接源_01水果!$B1093)&gt;$M$3),0,1))</f>
        <v>0</v>
      </c>
      <c r="N1093" s="1" t="n">
        <f aca="false">IF(OR($N$1="",对接源_01水果!$C1093="",对接源_01水果!$C1093&lt;&gt;$N$1,对接源_01水果!$B1093=""),0,IF(OR(N(对接源_01水果!$B1093)&lt;$N$2,N(对接源_01水果!$B1093)&gt;$N$3),0,1))</f>
        <v>0</v>
      </c>
      <c r="P1093" s="1" t="n">
        <f aca="false">IF(AND($K1093=1,AND(对接源_01水果!$X1093="公司筐",N(对接源_01水果!$T1093)&lt;&gt;0)),1,0)</f>
        <v>0</v>
      </c>
      <c r="Q1093" s="1" t="n">
        <f aca="false">N(Q1092)+$P1093</f>
        <v>3</v>
      </c>
      <c r="R1093" s="1" t="n">
        <f aca="false">IF(AND($K1093=1,AND(对接源_01水果!$X1093="公司筐",N(对接源_01水果!$U1093)&lt;&gt;0)),1,0)</f>
        <v>0</v>
      </c>
      <c r="S1093" s="1" t="n">
        <f aca="false">N(S1092)+$R1093</f>
        <v>0</v>
      </c>
      <c r="T1093" s="1" t="n">
        <f aca="false">IF(AND($K1093=1,AND(对接源_01水果!$X1093="公司筐",N(对接源_01水果!$V1093)&lt;&gt;0)),1,0)</f>
        <v>0</v>
      </c>
      <c r="U1093" s="1" t="n">
        <f aca="false">N(U1092)+$T1093</f>
        <v>28</v>
      </c>
      <c r="V1093" s="1" t="n">
        <f aca="false">IF(AND($L1093=1,AND(对接源_01水果!$X1093="自备筐",N(对接源_01水果!$V1093)&lt;&gt;0)),1,0)</f>
        <v>0</v>
      </c>
      <c r="W1093" s="1" t="n">
        <f aca="false">N(W1092)+$V1093</f>
        <v>7</v>
      </c>
      <c r="X1093" s="1" t="n">
        <f aca="false">IF(AND($L1093=1,AND(对接源_01水果!$X1093="自备筐",N(对接源_01水果!$T1093)&lt;&gt;0)),1,0)</f>
        <v>0</v>
      </c>
      <c r="Y1093" s="1" t="n">
        <f aca="false">N(Y1092)+$X1093</f>
        <v>0</v>
      </c>
      <c r="Z1093" s="1" t="n">
        <f aca="false">IF(AND($M1093=1,对接源_01水果!$D1093="原料入库"),1,0)</f>
        <v>0</v>
      </c>
      <c r="AA1093" s="1" t="n">
        <f aca="false">N(AA1092)+$Z1093</f>
        <v>30</v>
      </c>
      <c r="AB1093" s="1" t="n">
        <f aca="false">IF(AND($M1093=1,LEFT(对接源_01水果!$D1093,4)="原料出库"),1,0)</f>
        <v>0</v>
      </c>
      <c r="AC1093" s="1" t="n">
        <f aca="false">N(AC1092)+$AB1093</f>
        <v>19</v>
      </c>
      <c r="AD1093" s="1" t="n">
        <f aca="false">IF(AND($M1093=1,LEFT(对接源_01水果!$D1093,4)="成品出库"),1,0)</f>
        <v>0</v>
      </c>
      <c r="AE1093" s="1" t="n">
        <f aca="false">N(AE1092)+$AD1093</f>
        <v>38</v>
      </c>
      <c r="AF1093" s="1" t="n">
        <f aca="false">IF(AND($N1093=1,AND(LEFT(对接源_01水果!$D1093,4)="包装物料",N(对接源_01水果!$K1093)&lt;&gt;0)),1,0)</f>
        <v>0</v>
      </c>
      <c r="AG1093" s="90" t="str">
        <f aca="false">IF(对接源_01水果!$AC1093="","",对接源_01水果!$AC1093)</f>
        <v/>
      </c>
      <c r="AH1093" s="1" t="n">
        <f aca="false">IF(AND($N1093=1,AND(LEFT(对接源_01水果!$D1093,3)="周转筐",N(对接源_01水果!$K1093)&lt;&gt;0)),1,0)</f>
        <v>0</v>
      </c>
      <c r="AI1093" s="90" t="n">
        <f aca="false">IF(AG1093="",0,IF(MATCH(AG1093,$AG$4:$AG$1203,0)=ROW()-3,1,0))</f>
        <v>0</v>
      </c>
      <c r="AJ1093" s="90" t="n">
        <f aca="false">N(AJ1092)+AI1093</f>
        <v>4</v>
      </c>
      <c r="AK1093" s="1" t="n">
        <f aca="false">N(AK1092)+$AJ1093</f>
        <v>3232</v>
      </c>
    </row>
    <row r="1094" customFormat="false" ht="13.5" hidden="false" customHeight="false" outlineLevel="0" collapsed="false">
      <c r="A1094" s="1" t="str">
        <f aca="false">IF(对接源_01水果!$C1094="","",对接源_01水果!$C1094)</f>
        <v/>
      </c>
      <c r="B1094" s="1" t="n">
        <f aca="false">IF(A1094="",0,IF(MATCH(A1094,$A$4:$A$2403,0)=ROW()-3,1,0))</f>
        <v>0</v>
      </c>
      <c r="C1094" s="1" t="n">
        <f aca="false">N(C1093)+B1094</f>
        <v>13</v>
      </c>
      <c r="K1094" s="1" t="n">
        <f aca="false">IF(OR($K$1="",对接源_01水果!$C1094="",对接源_01水果!$C1094&lt;&gt;$K$1,对接源_01水果!$B1094=""),0,IF(OR(N(对接源_01水果!$B1094)&lt;$K$2,N(对接源_01水果!$B1094)&gt;$K$3),0,1))</f>
        <v>0</v>
      </c>
      <c r="L1094" s="1" t="n">
        <f aca="false">IF(OR($L$1="",对接源_01水果!$C1094="",对接源_01水果!$C1094&lt;&gt;$L$1,对接源_01水果!$B1094=""),0,IF(OR(N(对接源_01水果!$B1094)&lt;$L$2,N(对接源_01水果!$B1094)&gt;$L$3),0,1))</f>
        <v>0</v>
      </c>
      <c r="M1094" s="1" t="n">
        <f aca="false">IF(OR($M$1="",对接源_01水果!$C1094="",对接源_01水果!$C1094&lt;&gt;$M$1,对接源_01水果!$B1094=""),0,IF(OR(N(对接源_01水果!$B1094)&lt;$M$2,N(对接源_01水果!$B1094)&gt;$M$3),0,1))</f>
        <v>0</v>
      </c>
      <c r="N1094" s="1" t="n">
        <f aca="false">IF(OR($N$1="",对接源_01水果!$C1094="",对接源_01水果!$C1094&lt;&gt;$N$1,对接源_01水果!$B1094=""),0,IF(OR(N(对接源_01水果!$B1094)&lt;$N$2,N(对接源_01水果!$B1094)&gt;$N$3),0,1))</f>
        <v>0</v>
      </c>
      <c r="P1094" s="1" t="n">
        <f aca="false">IF(AND($K1094=1,AND(对接源_01水果!$X1094="公司筐",N(对接源_01水果!$T1094)&lt;&gt;0)),1,0)</f>
        <v>0</v>
      </c>
      <c r="Q1094" s="1" t="n">
        <f aca="false">N(Q1093)+$P1094</f>
        <v>3</v>
      </c>
      <c r="R1094" s="1" t="n">
        <f aca="false">IF(AND($K1094=1,AND(对接源_01水果!$X1094="公司筐",N(对接源_01水果!$U1094)&lt;&gt;0)),1,0)</f>
        <v>0</v>
      </c>
      <c r="S1094" s="1" t="n">
        <f aca="false">N(S1093)+$R1094</f>
        <v>0</v>
      </c>
      <c r="T1094" s="1" t="n">
        <f aca="false">IF(AND($K1094=1,AND(对接源_01水果!$X1094="公司筐",N(对接源_01水果!$V1094)&lt;&gt;0)),1,0)</f>
        <v>0</v>
      </c>
      <c r="U1094" s="1" t="n">
        <f aca="false">N(U1093)+$T1094</f>
        <v>28</v>
      </c>
      <c r="V1094" s="1" t="n">
        <f aca="false">IF(AND($L1094=1,AND(对接源_01水果!$X1094="自备筐",N(对接源_01水果!$V1094)&lt;&gt;0)),1,0)</f>
        <v>0</v>
      </c>
      <c r="W1094" s="1" t="n">
        <f aca="false">N(W1093)+$V1094</f>
        <v>7</v>
      </c>
      <c r="X1094" s="1" t="n">
        <f aca="false">IF(AND($L1094=1,AND(对接源_01水果!$X1094="自备筐",N(对接源_01水果!$T1094)&lt;&gt;0)),1,0)</f>
        <v>0</v>
      </c>
      <c r="Y1094" s="1" t="n">
        <f aca="false">N(Y1093)+$X1094</f>
        <v>0</v>
      </c>
      <c r="Z1094" s="1" t="n">
        <f aca="false">IF(AND($M1094=1,对接源_01水果!$D1094="原料入库"),1,0)</f>
        <v>0</v>
      </c>
      <c r="AA1094" s="1" t="n">
        <f aca="false">N(AA1093)+$Z1094</f>
        <v>30</v>
      </c>
      <c r="AB1094" s="1" t="n">
        <f aca="false">IF(AND($M1094=1,LEFT(对接源_01水果!$D1094,4)="原料出库"),1,0)</f>
        <v>0</v>
      </c>
      <c r="AC1094" s="1" t="n">
        <f aca="false">N(AC1093)+$AB1094</f>
        <v>19</v>
      </c>
      <c r="AD1094" s="1" t="n">
        <f aca="false">IF(AND($M1094=1,LEFT(对接源_01水果!$D1094,4)="成品出库"),1,0)</f>
        <v>0</v>
      </c>
      <c r="AE1094" s="1" t="n">
        <f aca="false">N(AE1093)+$AD1094</f>
        <v>38</v>
      </c>
      <c r="AF1094" s="1" t="n">
        <f aca="false">IF(AND($N1094=1,AND(LEFT(对接源_01水果!$D1094,4)="包装物料",N(对接源_01水果!$K1094)&lt;&gt;0)),1,0)</f>
        <v>0</v>
      </c>
      <c r="AG1094" s="90" t="str">
        <f aca="false">IF(对接源_01水果!$AC1094="","",对接源_01水果!$AC1094)</f>
        <v/>
      </c>
      <c r="AH1094" s="1" t="n">
        <f aca="false">IF(AND($N1094=1,AND(LEFT(对接源_01水果!$D1094,3)="周转筐",N(对接源_01水果!$K1094)&lt;&gt;0)),1,0)</f>
        <v>0</v>
      </c>
      <c r="AI1094" s="90" t="n">
        <f aca="false">IF(AG1094="",0,IF(MATCH(AG1094,$AG$4:$AG$1203,0)=ROW()-3,1,0))</f>
        <v>0</v>
      </c>
      <c r="AJ1094" s="90" t="n">
        <f aca="false">N(AJ1093)+AI1094</f>
        <v>4</v>
      </c>
      <c r="AK1094" s="1" t="n">
        <f aca="false">N(AK1093)+$AJ1094</f>
        <v>3236</v>
      </c>
    </row>
    <row r="1095" customFormat="false" ht="13.5" hidden="false" customHeight="false" outlineLevel="0" collapsed="false">
      <c r="A1095" s="1" t="str">
        <f aca="false">IF(对接源_01水果!$C1095="","",对接源_01水果!$C1095)</f>
        <v/>
      </c>
      <c r="B1095" s="1" t="n">
        <f aca="false">IF(A1095="",0,IF(MATCH(A1095,$A$4:$A$2403,0)=ROW()-3,1,0))</f>
        <v>0</v>
      </c>
      <c r="C1095" s="1" t="n">
        <f aca="false">N(C1094)+B1095</f>
        <v>13</v>
      </c>
      <c r="K1095" s="1" t="n">
        <f aca="false">IF(OR($K$1="",对接源_01水果!$C1095="",对接源_01水果!$C1095&lt;&gt;$K$1,对接源_01水果!$B1095=""),0,IF(OR(N(对接源_01水果!$B1095)&lt;$K$2,N(对接源_01水果!$B1095)&gt;$K$3),0,1))</f>
        <v>0</v>
      </c>
      <c r="L1095" s="1" t="n">
        <f aca="false">IF(OR($L$1="",对接源_01水果!$C1095="",对接源_01水果!$C1095&lt;&gt;$L$1,对接源_01水果!$B1095=""),0,IF(OR(N(对接源_01水果!$B1095)&lt;$L$2,N(对接源_01水果!$B1095)&gt;$L$3),0,1))</f>
        <v>0</v>
      </c>
      <c r="M1095" s="1" t="n">
        <f aca="false">IF(OR($M$1="",对接源_01水果!$C1095="",对接源_01水果!$C1095&lt;&gt;$M$1,对接源_01水果!$B1095=""),0,IF(OR(N(对接源_01水果!$B1095)&lt;$M$2,N(对接源_01水果!$B1095)&gt;$M$3),0,1))</f>
        <v>0</v>
      </c>
      <c r="N1095" s="1" t="n">
        <f aca="false">IF(OR($N$1="",对接源_01水果!$C1095="",对接源_01水果!$C1095&lt;&gt;$N$1,对接源_01水果!$B1095=""),0,IF(OR(N(对接源_01水果!$B1095)&lt;$N$2,N(对接源_01水果!$B1095)&gt;$N$3),0,1))</f>
        <v>0</v>
      </c>
      <c r="P1095" s="1" t="n">
        <f aca="false">IF(AND($K1095=1,AND(对接源_01水果!$X1095="公司筐",N(对接源_01水果!$T1095)&lt;&gt;0)),1,0)</f>
        <v>0</v>
      </c>
      <c r="Q1095" s="1" t="n">
        <f aca="false">N(Q1094)+$P1095</f>
        <v>3</v>
      </c>
      <c r="R1095" s="1" t="n">
        <f aca="false">IF(AND($K1095=1,AND(对接源_01水果!$X1095="公司筐",N(对接源_01水果!$U1095)&lt;&gt;0)),1,0)</f>
        <v>0</v>
      </c>
      <c r="S1095" s="1" t="n">
        <f aca="false">N(S1094)+$R1095</f>
        <v>0</v>
      </c>
      <c r="T1095" s="1" t="n">
        <f aca="false">IF(AND($K1095=1,AND(对接源_01水果!$X1095="公司筐",N(对接源_01水果!$V1095)&lt;&gt;0)),1,0)</f>
        <v>0</v>
      </c>
      <c r="U1095" s="1" t="n">
        <f aca="false">N(U1094)+$T1095</f>
        <v>28</v>
      </c>
      <c r="V1095" s="1" t="n">
        <f aca="false">IF(AND($L1095=1,AND(对接源_01水果!$X1095="自备筐",N(对接源_01水果!$V1095)&lt;&gt;0)),1,0)</f>
        <v>0</v>
      </c>
      <c r="W1095" s="1" t="n">
        <f aca="false">N(W1094)+$V1095</f>
        <v>7</v>
      </c>
      <c r="X1095" s="1" t="n">
        <f aca="false">IF(AND($L1095=1,AND(对接源_01水果!$X1095="自备筐",N(对接源_01水果!$T1095)&lt;&gt;0)),1,0)</f>
        <v>0</v>
      </c>
      <c r="Y1095" s="1" t="n">
        <f aca="false">N(Y1094)+$X1095</f>
        <v>0</v>
      </c>
      <c r="Z1095" s="1" t="n">
        <f aca="false">IF(AND($M1095=1,对接源_01水果!$D1095="原料入库"),1,0)</f>
        <v>0</v>
      </c>
      <c r="AA1095" s="1" t="n">
        <f aca="false">N(AA1094)+$Z1095</f>
        <v>30</v>
      </c>
      <c r="AB1095" s="1" t="n">
        <f aca="false">IF(AND($M1095=1,LEFT(对接源_01水果!$D1095,4)="原料出库"),1,0)</f>
        <v>0</v>
      </c>
      <c r="AC1095" s="1" t="n">
        <f aca="false">N(AC1094)+$AB1095</f>
        <v>19</v>
      </c>
      <c r="AD1095" s="1" t="n">
        <f aca="false">IF(AND($M1095=1,LEFT(对接源_01水果!$D1095,4)="成品出库"),1,0)</f>
        <v>0</v>
      </c>
      <c r="AE1095" s="1" t="n">
        <f aca="false">N(AE1094)+$AD1095</f>
        <v>38</v>
      </c>
      <c r="AF1095" s="1" t="n">
        <f aca="false">IF(AND($N1095=1,AND(LEFT(对接源_01水果!$D1095,4)="包装物料",N(对接源_01水果!$K1095)&lt;&gt;0)),1,0)</f>
        <v>0</v>
      </c>
      <c r="AG1095" s="90" t="str">
        <f aca="false">IF(对接源_01水果!$AC1095="","",对接源_01水果!$AC1095)</f>
        <v/>
      </c>
      <c r="AH1095" s="1" t="n">
        <f aca="false">IF(AND($N1095=1,AND(LEFT(对接源_01水果!$D1095,3)="周转筐",N(对接源_01水果!$K1095)&lt;&gt;0)),1,0)</f>
        <v>0</v>
      </c>
      <c r="AI1095" s="90" t="n">
        <f aca="false">IF(AG1095="",0,IF(MATCH(AG1095,$AG$4:$AG$1203,0)=ROW()-3,1,0))</f>
        <v>0</v>
      </c>
      <c r="AJ1095" s="90" t="n">
        <f aca="false">N(AJ1094)+AI1095</f>
        <v>4</v>
      </c>
      <c r="AK1095" s="1" t="n">
        <f aca="false">N(AK1094)+$AJ1095</f>
        <v>3240</v>
      </c>
    </row>
    <row r="1096" customFormat="false" ht="13.5" hidden="false" customHeight="false" outlineLevel="0" collapsed="false">
      <c r="A1096" s="1" t="str">
        <f aca="false">IF(对接源_01水果!$C1096="","",对接源_01水果!$C1096)</f>
        <v/>
      </c>
      <c r="B1096" s="1" t="n">
        <f aca="false">IF(A1096="",0,IF(MATCH(A1096,$A$4:$A$2403,0)=ROW()-3,1,0))</f>
        <v>0</v>
      </c>
      <c r="C1096" s="1" t="n">
        <f aca="false">N(C1095)+B1096</f>
        <v>13</v>
      </c>
      <c r="K1096" s="1" t="n">
        <f aca="false">IF(OR($K$1="",对接源_01水果!$C1096="",对接源_01水果!$C1096&lt;&gt;$K$1,对接源_01水果!$B1096=""),0,IF(OR(N(对接源_01水果!$B1096)&lt;$K$2,N(对接源_01水果!$B1096)&gt;$K$3),0,1))</f>
        <v>0</v>
      </c>
      <c r="L1096" s="1" t="n">
        <f aca="false">IF(OR($L$1="",对接源_01水果!$C1096="",对接源_01水果!$C1096&lt;&gt;$L$1,对接源_01水果!$B1096=""),0,IF(OR(N(对接源_01水果!$B1096)&lt;$L$2,N(对接源_01水果!$B1096)&gt;$L$3),0,1))</f>
        <v>0</v>
      </c>
      <c r="M1096" s="1" t="n">
        <f aca="false">IF(OR($M$1="",对接源_01水果!$C1096="",对接源_01水果!$C1096&lt;&gt;$M$1,对接源_01水果!$B1096=""),0,IF(OR(N(对接源_01水果!$B1096)&lt;$M$2,N(对接源_01水果!$B1096)&gt;$M$3),0,1))</f>
        <v>0</v>
      </c>
      <c r="N1096" s="1" t="n">
        <f aca="false">IF(OR($N$1="",对接源_01水果!$C1096="",对接源_01水果!$C1096&lt;&gt;$N$1,对接源_01水果!$B1096=""),0,IF(OR(N(对接源_01水果!$B1096)&lt;$N$2,N(对接源_01水果!$B1096)&gt;$N$3),0,1))</f>
        <v>0</v>
      </c>
      <c r="P1096" s="1" t="n">
        <f aca="false">IF(AND($K1096=1,AND(对接源_01水果!$X1096="公司筐",N(对接源_01水果!$T1096)&lt;&gt;0)),1,0)</f>
        <v>0</v>
      </c>
      <c r="Q1096" s="1" t="n">
        <f aca="false">N(Q1095)+$P1096</f>
        <v>3</v>
      </c>
      <c r="R1096" s="1" t="n">
        <f aca="false">IF(AND($K1096=1,AND(对接源_01水果!$X1096="公司筐",N(对接源_01水果!$U1096)&lt;&gt;0)),1,0)</f>
        <v>0</v>
      </c>
      <c r="S1096" s="1" t="n">
        <f aca="false">N(S1095)+$R1096</f>
        <v>0</v>
      </c>
      <c r="T1096" s="1" t="n">
        <f aca="false">IF(AND($K1096=1,AND(对接源_01水果!$X1096="公司筐",N(对接源_01水果!$V1096)&lt;&gt;0)),1,0)</f>
        <v>0</v>
      </c>
      <c r="U1096" s="1" t="n">
        <f aca="false">N(U1095)+$T1096</f>
        <v>28</v>
      </c>
      <c r="V1096" s="1" t="n">
        <f aca="false">IF(AND($L1096=1,AND(对接源_01水果!$X1096="自备筐",N(对接源_01水果!$V1096)&lt;&gt;0)),1,0)</f>
        <v>0</v>
      </c>
      <c r="W1096" s="1" t="n">
        <f aca="false">N(W1095)+$V1096</f>
        <v>7</v>
      </c>
      <c r="X1096" s="1" t="n">
        <f aca="false">IF(AND($L1096=1,AND(对接源_01水果!$X1096="自备筐",N(对接源_01水果!$T1096)&lt;&gt;0)),1,0)</f>
        <v>0</v>
      </c>
      <c r="Y1096" s="1" t="n">
        <f aca="false">N(Y1095)+$X1096</f>
        <v>0</v>
      </c>
      <c r="Z1096" s="1" t="n">
        <f aca="false">IF(AND($M1096=1,对接源_01水果!$D1096="原料入库"),1,0)</f>
        <v>0</v>
      </c>
      <c r="AA1096" s="1" t="n">
        <f aca="false">N(AA1095)+$Z1096</f>
        <v>30</v>
      </c>
      <c r="AB1096" s="1" t="n">
        <f aca="false">IF(AND($M1096=1,LEFT(对接源_01水果!$D1096,4)="原料出库"),1,0)</f>
        <v>0</v>
      </c>
      <c r="AC1096" s="1" t="n">
        <f aca="false">N(AC1095)+$AB1096</f>
        <v>19</v>
      </c>
      <c r="AD1096" s="1" t="n">
        <f aca="false">IF(AND($M1096=1,LEFT(对接源_01水果!$D1096,4)="成品出库"),1,0)</f>
        <v>0</v>
      </c>
      <c r="AE1096" s="1" t="n">
        <f aca="false">N(AE1095)+$AD1096</f>
        <v>38</v>
      </c>
      <c r="AF1096" s="1" t="n">
        <f aca="false">IF(AND($N1096=1,AND(LEFT(对接源_01水果!$D1096,4)="包装物料",N(对接源_01水果!$K1096)&lt;&gt;0)),1,0)</f>
        <v>0</v>
      </c>
      <c r="AG1096" s="90" t="str">
        <f aca="false">IF(对接源_01水果!$AC1096="","",对接源_01水果!$AC1096)</f>
        <v/>
      </c>
      <c r="AH1096" s="1" t="n">
        <f aca="false">IF(AND($N1096=1,AND(LEFT(对接源_01水果!$D1096,3)="周转筐",N(对接源_01水果!$K1096)&lt;&gt;0)),1,0)</f>
        <v>0</v>
      </c>
      <c r="AI1096" s="90" t="n">
        <f aca="false">IF(AG1096="",0,IF(MATCH(AG1096,$AG$4:$AG$1203,0)=ROW()-3,1,0))</f>
        <v>0</v>
      </c>
      <c r="AJ1096" s="90" t="n">
        <f aca="false">N(AJ1095)+AI1096</f>
        <v>4</v>
      </c>
      <c r="AK1096" s="1" t="n">
        <f aca="false">N(AK1095)+$AJ1096</f>
        <v>3244</v>
      </c>
    </row>
    <row r="1097" customFormat="false" ht="13.5" hidden="false" customHeight="false" outlineLevel="0" collapsed="false">
      <c r="A1097" s="1" t="str">
        <f aca="false">IF(对接源_01水果!$C1097="","",对接源_01水果!$C1097)</f>
        <v/>
      </c>
      <c r="B1097" s="1" t="n">
        <f aca="false">IF(A1097="",0,IF(MATCH(A1097,$A$4:$A$2403,0)=ROW()-3,1,0))</f>
        <v>0</v>
      </c>
      <c r="C1097" s="1" t="n">
        <f aca="false">N(C1096)+B1097</f>
        <v>13</v>
      </c>
      <c r="K1097" s="1" t="n">
        <f aca="false">IF(OR($K$1="",对接源_01水果!$C1097="",对接源_01水果!$C1097&lt;&gt;$K$1,对接源_01水果!$B1097=""),0,IF(OR(N(对接源_01水果!$B1097)&lt;$K$2,N(对接源_01水果!$B1097)&gt;$K$3),0,1))</f>
        <v>0</v>
      </c>
      <c r="L1097" s="1" t="n">
        <f aca="false">IF(OR($L$1="",对接源_01水果!$C1097="",对接源_01水果!$C1097&lt;&gt;$L$1,对接源_01水果!$B1097=""),0,IF(OR(N(对接源_01水果!$B1097)&lt;$L$2,N(对接源_01水果!$B1097)&gt;$L$3),0,1))</f>
        <v>0</v>
      </c>
      <c r="M1097" s="1" t="n">
        <f aca="false">IF(OR($M$1="",对接源_01水果!$C1097="",对接源_01水果!$C1097&lt;&gt;$M$1,对接源_01水果!$B1097=""),0,IF(OR(N(对接源_01水果!$B1097)&lt;$M$2,N(对接源_01水果!$B1097)&gt;$M$3),0,1))</f>
        <v>0</v>
      </c>
      <c r="N1097" s="1" t="n">
        <f aca="false">IF(OR($N$1="",对接源_01水果!$C1097="",对接源_01水果!$C1097&lt;&gt;$N$1,对接源_01水果!$B1097=""),0,IF(OR(N(对接源_01水果!$B1097)&lt;$N$2,N(对接源_01水果!$B1097)&gt;$N$3),0,1))</f>
        <v>0</v>
      </c>
      <c r="P1097" s="1" t="n">
        <f aca="false">IF(AND($K1097=1,AND(对接源_01水果!$X1097="公司筐",N(对接源_01水果!$T1097)&lt;&gt;0)),1,0)</f>
        <v>0</v>
      </c>
      <c r="Q1097" s="1" t="n">
        <f aca="false">N(Q1096)+$P1097</f>
        <v>3</v>
      </c>
      <c r="R1097" s="1" t="n">
        <f aca="false">IF(AND($K1097=1,AND(对接源_01水果!$X1097="公司筐",N(对接源_01水果!$U1097)&lt;&gt;0)),1,0)</f>
        <v>0</v>
      </c>
      <c r="S1097" s="1" t="n">
        <f aca="false">N(S1096)+$R1097</f>
        <v>0</v>
      </c>
      <c r="T1097" s="1" t="n">
        <f aca="false">IF(AND($K1097=1,AND(对接源_01水果!$X1097="公司筐",N(对接源_01水果!$V1097)&lt;&gt;0)),1,0)</f>
        <v>0</v>
      </c>
      <c r="U1097" s="1" t="n">
        <f aca="false">N(U1096)+$T1097</f>
        <v>28</v>
      </c>
      <c r="V1097" s="1" t="n">
        <f aca="false">IF(AND($L1097=1,AND(对接源_01水果!$X1097="自备筐",N(对接源_01水果!$V1097)&lt;&gt;0)),1,0)</f>
        <v>0</v>
      </c>
      <c r="W1097" s="1" t="n">
        <f aca="false">N(W1096)+$V1097</f>
        <v>7</v>
      </c>
      <c r="X1097" s="1" t="n">
        <f aca="false">IF(AND($L1097=1,AND(对接源_01水果!$X1097="自备筐",N(对接源_01水果!$T1097)&lt;&gt;0)),1,0)</f>
        <v>0</v>
      </c>
      <c r="Y1097" s="1" t="n">
        <f aca="false">N(Y1096)+$X1097</f>
        <v>0</v>
      </c>
      <c r="Z1097" s="1" t="n">
        <f aca="false">IF(AND($M1097=1,对接源_01水果!$D1097="原料入库"),1,0)</f>
        <v>0</v>
      </c>
      <c r="AA1097" s="1" t="n">
        <f aca="false">N(AA1096)+$Z1097</f>
        <v>30</v>
      </c>
      <c r="AB1097" s="1" t="n">
        <f aca="false">IF(AND($M1097=1,LEFT(对接源_01水果!$D1097,4)="原料出库"),1,0)</f>
        <v>0</v>
      </c>
      <c r="AC1097" s="1" t="n">
        <f aca="false">N(AC1096)+$AB1097</f>
        <v>19</v>
      </c>
      <c r="AD1097" s="1" t="n">
        <f aca="false">IF(AND($M1097=1,LEFT(对接源_01水果!$D1097,4)="成品出库"),1,0)</f>
        <v>0</v>
      </c>
      <c r="AE1097" s="1" t="n">
        <f aca="false">N(AE1096)+$AD1097</f>
        <v>38</v>
      </c>
      <c r="AF1097" s="1" t="n">
        <f aca="false">IF(AND($N1097=1,AND(LEFT(对接源_01水果!$D1097,4)="包装物料",N(对接源_01水果!$K1097)&lt;&gt;0)),1,0)</f>
        <v>0</v>
      </c>
      <c r="AG1097" s="90" t="str">
        <f aca="false">IF(对接源_01水果!$AC1097="","",对接源_01水果!$AC1097)</f>
        <v/>
      </c>
      <c r="AH1097" s="1" t="n">
        <f aca="false">IF(AND($N1097=1,AND(LEFT(对接源_01水果!$D1097,3)="周转筐",N(对接源_01水果!$K1097)&lt;&gt;0)),1,0)</f>
        <v>0</v>
      </c>
      <c r="AI1097" s="90" t="n">
        <f aca="false">IF(AG1097="",0,IF(MATCH(AG1097,$AG$4:$AG$1203,0)=ROW()-3,1,0))</f>
        <v>0</v>
      </c>
      <c r="AJ1097" s="90" t="n">
        <f aca="false">N(AJ1096)+AI1097</f>
        <v>4</v>
      </c>
      <c r="AK1097" s="1" t="n">
        <f aca="false">N(AK1096)+$AJ1097</f>
        <v>3248</v>
      </c>
    </row>
    <row r="1098" customFormat="false" ht="13.5" hidden="false" customHeight="false" outlineLevel="0" collapsed="false">
      <c r="A1098" s="1" t="str">
        <f aca="false">IF(对接源_01水果!$C1098="","",对接源_01水果!$C1098)</f>
        <v/>
      </c>
      <c r="B1098" s="1" t="n">
        <f aca="false">IF(A1098="",0,IF(MATCH(A1098,$A$4:$A$2403,0)=ROW()-3,1,0))</f>
        <v>0</v>
      </c>
      <c r="C1098" s="1" t="n">
        <f aca="false">N(C1097)+B1098</f>
        <v>13</v>
      </c>
      <c r="K1098" s="1" t="n">
        <f aca="false">IF(OR($K$1="",对接源_01水果!$C1098="",对接源_01水果!$C1098&lt;&gt;$K$1,对接源_01水果!$B1098=""),0,IF(OR(N(对接源_01水果!$B1098)&lt;$K$2,N(对接源_01水果!$B1098)&gt;$K$3),0,1))</f>
        <v>0</v>
      </c>
      <c r="L1098" s="1" t="n">
        <f aca="false">IF(OR($L$1="",对接源_01水果!$C1098="",对接源_01水果!$C1098&lt;&gt;$L$1,对接源_01水果!$B1098=""),0,IF(OR(N(对接源_01水果!$B1098)&lt;$L$2,N(对接源_01水果!$B1098)&gt;$L$3),0,1))</f>
        <v>0</v>
      </c>
      <c r="M1098" s="1" t="n">
        <f aca="false">IF(OR($M$1="",对接源_01水果!$C1098="",对接源_01水果!$C1098&lt;&gt;$M$1,对接源_01水果!$B1098=""),0,IF(OR(N(对接源_01水果!$B1098)&lt;$M$2,N(对接源_01水果!$B1098)&gt;$M$3),0,1))</f>
        <v>0</v>
      </c>
      <c r="N1098" s="1" t="n">
        <f aca="false">IF(OR($N$1="",对接源_01水果!$C1098="",对接源_01水果!$C1098&lt;&gt;$N$1,对接源_01水果!$B1098=""),0,IF(OR(N(对接源_01水果!$B1098)&lt;$N$2,N(对接源_01水果!$B1098)&gt;$N$3),0,1))</f>
        <v>0</v>
      </c>
      <c r="P1098" s="1" t="n">
        <f aca="false">IF(AND($K1098=1,AND(对接源_01水果!$X1098="公司筐",N(对接源_01水果!$T1098)&lt;&gt;0)),1,0)</f>
        <v>0</v>
      </c>
      <c r="Q1098" s="1" t="n">
        <f aca="false">N(Q1097)+$P1098</f>
        <v>3</v>
      </c>
      <c r="R1098" s="1" t="n">
        <f aca="false">IF(AND($K1098=1,AND(对接源_01水果!$X1098="公司筐",N(对接源_01水果!$U1098)&lt;&gt;0)),1,0)</f>
        <v>0</v>
      </c>
      <c r="S1098" s="1" t="n">
        <f aca="false">N(S1097)+$R1098</f>
        <v>0</v>
      </c>
      <c r="T1098" s="1" t="n">
        <f aca="false">IF(AND($K1098=1,AND(对接源_01水果!$X1098="公司筐",N(对接源_01水果!$V1098)&lt;&gt;0)),1,0)</f>
        <v>0</v>
      </c>
      <c r="U1098" s="1" t="n">
        <f aca="false">N(U1097)+$T1098</f>
        <v>28</v>
      </c>
      <c r="V1098" s="1" t="n">
        <f aca="false">IF(AND($L1098=1,AND(对接源_01水果!$X1098="自备筐",N(对接源_01水果!$V1098)&lt;&gt;0)),1,0)</f>
        <v>0</v>
      </c>
      <c r="W1098" s="1" t="n">
        <f aca="false">N(W1097)+$V1098</f>
        <v>7</v>
      </c>
      <c r="X1098" s="1" t="n">
        <f aca="false">IF(AND($L1098=1,AND(对接源_01水果!$X1098="自备筐",N(对接源_01水果!$T1098)&lt;&gt;0)),1,0)</f>
        <v>0</v>
      </c>
      <c r="Y1098" s="1" t="n">
        <f aca="false">N(Y1097)+$X1098</f>
        <v>0</v>
      </c>
      <c r="Z1098" s="1" t="n">
        <f aca="false">IF(AND($M1098=1,对接源_01水果!$D1098="原料入库"),1,0)</f>
        <v>0</v>
      </c>
      <c r="AA1098" s="1" t="n">
        <f aca="false">N(AA1097)+$Z1098</f>
        <v>30</v>
      </c>
      <c r="AB1098" s="1" t="n">
        <f aca="false">IF(AND($M1098=1,LEFT(对接源_01水果!$D1098,4)="原料出库"),1,0)</f>
        <v>0</v>
      </c>
      <c r="AC1098" s="1" t="n">
        <f aca="false">N(AC1097)+$AB1098</f>
        <v>19</v>
      </c>
      <c r="AD1098" s="1" t="n">
        <f aca="false">IF(AND($M1098=1,LEFT(对接源_01水果!$D1098,4)="成品出库"),1,0)</f>
        <v>0</v>
      </c>
      <c r="AE1098" s="1" t="n">
        <f aca="false">N(AE1097)+$AD1098</f>
        <v>38</v>
      </c>
      <c r="AF1098" s="1" t="n">
        <f aca="false">IF(AND($N1098=1,AND(LEFT(对接源_01水果!$D1098,4)="包装物料",N(对接源_01水果!$K1098)&lt;&gt;0)),1,0)</f>
        <v>0</v>
      </c>
      <c r="AG1098" s="90" t="str">
        <f aca="false">IF(对接源_01水果!$AC1098="","",对接源_01水果!$AC1098)</f>
        <v/>
      </c>
      <c r="AH1098" s="1" t="n">
        <f aca="false">IF(AND($N1098=1,AND(LEFT(对接源_01水果!$D1098,3)="周转筐",N(对接源_01水果!$K1098)&lt;&gt;0)),1,0)</f>
        <v>0</v>
      </c>
      <c r="AI1098" s="90" t="n">
        <f aca="false">IF(AG1098="",0,IF(MATCH(AG1098,$AG$4:$AG$1203,0)=ROW()-3,1,0))</f>
        <v>0</v>
      </c>
      <c r="AJ1098" s="90" t="n">
        <f aca="false">N(AJ1097)+AI1098</f>
        <v>4</v>
      </c>
      <c r="AK1098" s="1" t="n">
        <f aca="false">N(AK1097)+$AJ1098</f>
        <v>3252</v>
      </c>
    </row>
    <row r="1099" customFormat="false" ht="13.5" hidden="false" customHeight="false" outlineLevel="0" collapsed="false">
      <c r="A1099" s="1" t="str">
        <f aca="false">IF(对接源_01水果!$C1099="","",对接源_01水果!$C1099)</f>
        <v/>
      </c>
      <c r="B1099" s="1" t="n">
        <f aca="false">IF(A1099="",0,IF(MATCH(A1099,$A$4:$A$2403,0)=ROW()-3,1,0))</f>
        <v>0</v>
      </c>
      <c r="C1099" s="1" t="n">
        <f aca="false">N(C1098)+B1099</f>
        <v>13</v>
      </c>
      <c r="K1099" s="1" t="n">
        <f aca="false">IF(OR($K$1="",对接源_01水果!$C1099="",对接源_01水果!$C1099&lt;&gt;$K$1,对接源_01水果!$B1099=""),0,IF(OR(N(对接源_01水果!$B1099)&lt;$K$2,N(对接源_01水果!$B1099)&gt;$K$3),0,1))</f>
        <v>0</v>
      </c>
      <c r="L1099" s="1" t="n">
        <f aca="false">IF(OR($L$1="",对接源_01水果!$C1099="",对接源_01水果!$C1099&lt;&gt;$L$1,对接源_01水果!$B1099=""),0,IF(OR(N(对接源_01水果!$B1099)&lt;$L$2,N(对接源_01水果!$B1099)&gt;$L$3),0,1))</f>
        <v>0</v>
      </c>
      <c r="M1099" s="1" t="n">
        <f aca="false">IF(OR($M$1="",对接源_01水果!$C1099="",对接源_01水果!$C1099&lt;&gt;$M$1,对接源_01水果!$B1099=""),0,IF(OR(N(对接源_01水果!$B1099)&lt;$M$2,N(对接源_01水果!$B1099)&gt;$M$3),0,1))</f>
        <v>0</v>
      </c>
      <c r="N1099" s="1" t="n">
        <f aca="false">IF(OR($N$1="",对接源_01水果!$C1099="",对接源_01水果!$C1099&lt;&gt;$N$1,对接源_01水果!$B1099=""),0,IF(OR(N(对接源_01水果!$B1099)&lt;$N$2,N(对接源_01水果!$B1099)&gt;$N$3),0,1))</f>
        <v>0</v>
      </c>
      <c r="P1099" s="1" t="n">
        <f aca="false">IF(AND($K1099=1,AND(对接源_01水果!$X1099="公司筐",N(对接源_01水果!$T1099)&lt;&gt;0)),1,0)</f>
        <v>0</v>
      </c>
      <c r="Q1099" s="1" t="n">
        <f aca="false">N(Q1098)+$P1099</f>
        <v>3</v>
      </c>
      <c r="R1099" s="1" t="n">
        <f aca="false">IF(AND($K1099=1,AND(对接源_01水果!$X1099="公司筐",N(对接源_01水果!$U1099)&lt;&gt;0)),1,0)</f>
        <v>0</v>
      </c>
      <c r="S1099" s="1" t="n">
        <f aca="false">N(S1098)+$R1099</f>
        <v>0</v>
      </c>
      <c r="T1099" s="1" t="n">
        <f aca="false">IF(AND($K1099=1,AND(对接源_01水果!$X1099="公司筐",N(对接源_01水果!$V1099)&lt;&gt;0)),1,0)</f>
        <v>0</v>
      </c>
      <c r="U1099" s="1" t="n">
        <f aca="false">N(U1098)+$T1099</f>
        <v>28</v>
      </c>
      <c r="V1099" s="1" t="n">
        <f aca="false">IF(AND($L1099=1,AND(对接源_01水果!$X1099="自备筐",N(对接源_01水果!$V1099)&lt;&gt;0)),1,0)</f>
        <v>0</v>
      </c>
      <c r="W1099" s="1" t="n">
        <f aca="false">N(W1098)+$V1099</f>
        <v>7</v>
      </c>
      <c r="X1099" s="1" t="n">
        <f aca="false">IF(AND($L1099=1,AND(对接源_01水果!$X1099="自备筐",N(对接源_01水果!$T1099)&lt;&gt;0)),1,0)</f>
        <v>0</v>
      </c>
      <c r="Y1099" s="1" t="n">
        <f aca="false">N(Y1098)+$X1099</f>
        <v>0</v>
      </c>
      <c r="Z1099" s="1" t="n">
        <f aca="false">IF(AND($M1099=1,对接源_01水果!$D1099="原料入库"),1,0)</f>
        <v>0</v>
      </c>
      <c r="AA1099" s="1" t="n">
        <f aca="false">N(AA1098)+$Z1099</f>
        <v>30</v>
      </c>
      <c r="AB1099" s="1" t="n">
        <f aca="false">IF(AND($M1099=1,LEFT(对接源_01水果!$D1099,4)="原料出库"),1,0)</f>
        <v>0</v>
      </c>
      <c r="AC1099" s="1" t="n">
        <f aca="false">N(AC1098)+$AB1099</f>
        <v>19</v>
      </c>
      <c r="AD1099" s="1" t="n">
        <f aca="false">IF(AND($M1099=1,LEFT(对接源_01水果!$D1099,4)="成品出库"),1,0)</f>
        <v>0</v>
      </c>
      <c r="AE1099" s="1" t="n">
        <f aca="false">N(AE1098)+$AD1099</f>
        <v>38</v>
      </c>
      <c r="AF1099" s="1" t="n">
        <f aca="false">IF(AND($N1099=1,AND(LEFT(对接源_01水果!$D1099,4)="包装物料",N(对接源_01水果!$K1099)&lt;&gt;0)),1,0)</f>
        <v>0</v>
      </c>
      <c r="AG1099" s="90" t="str">
        <f aca="false">IF(对接源_01水果!$AC1099="","",对接源_01水果!$AC1099)</f>
        <v/>
      </c>
      <c r="AH1099" s="1" t="n">
        <f aca="false">IF(AND($N1099=1,AND(LEFT(对接源_01水果!$D1099,3)="周转筐",N(对接源_01水果!$K1099)&lt;&gt;0)),1,0)</f>
        <v>0</v>
      </c>
      <c r="AI1099" s="90" t="n">
        <f aca="false">IF(AG1099="",0,IF(MATCH(AG1099,$AG$4:$AG$1203,0)=ROW()-3,1,0))</f>
        <v>0</v>
      </c>
      <c r="AJ1099" s="90" t="n">
        <f aca="false">N(AJ1098)+AI1099</f>
        <v>4</v>
      </c>
      <c r="AK1099" s="1" t="n">
        <f aca="false">N(AK1098)+$AJ1099</f>
        <v>3256</v>
      </c>
    </row>
    <row r="1100" customFormat="false" ht="13.5" hidden="false" customHeight="false" outlineLevel="0" collapsed="false">
      <c r="A1100" s="1" t="str">
        <f aca="false">IF(对接源_01水果!$C1100="","",对接源_01水果!$C1100)</f>
        <v/>
      </c>
      <c r="B1100" s="1" t="n">
        <f aca="false">IF(A1100="",0,IF(MATCH(A1100,$A$4:$A$2403,0)=ROW()-3,1,0))</f>
        <v>0</v>
      </c>
      <c r="C1100" s="1" t="n">
        <f aca="false">N(C1099)+B1100</f>
        <v>13</v>
      </c>
      <c r="K1100" s="1" t="n">
        <f aca="false">IF(OR($K$1="",对接源_01水果!$C1100="",对接源_01水果!$C1100&lt;&gt;$K$1,对接源_01水果!$B1100=""),0,IF(OR(N(对接源_01水果!$B1100)&lt;$K$2,N(对接源_01水果!$B1100)&gt;$K$3),0,1))</f>
        <v>0</v>
      </c>
      <c r="L1100" s="1" t="n">
        <f aca="false">IF(OR($L$1="",对接源_01水果!$C1100="",对接源_01水果!$C1100&lt;&gt;$L$1,对接源_01水果!$B1100=""),0,IF(OR(N(对接源_01水果!$B1100)&lt;$L$2,N(对接源_01水果!$B1100)&gt;$L$3),0,1))</f>
        <v>0</v>
      </c>
      <c r="M1100" s="1" t="n">
        <f aca="false">IF(OR($M$1="",对接源_01水果!$C1100="",对接源_01水果!$C1100&lt;&gt;$M$1,对接源_01水果!$B1100=""),0,IF(OR(N(对接源_01水果!$B1100)&lt;$M$2,N(对接源_01水果!$B1100)&gt;$M$3),0,1))</f>
        <v>0</v>
      </c>
      <c r="N1100" s="1" t="n">
        <f aca="false">IF(OR($N$1="",对接源_01水果!$C1100="",对接源_01水果!$C1100&lt;&gt;$N$1,对接源_01水果!$B1100=""),0,IF(OR(N(对接源_01水果!$B1100)&lt;$N$2,N(对接源_01水果!$B1100)&gt;$N$3),0,1))</f>
        <v>0</v>
      </c>
      <c r="P1100" s="1" t="n">
        <f aca="false">IF(AND($K1100=1,AND(对接源_01水果!$X1100="公司筐",N(对接源_01水果!$T1100)&lt;&gt;0)),1,0)</f>
        <v>0</v>
      </c>
      <c r="Q1100" s="1" t="n">
        <f aca="false">N(Q1099)+$P1100</f>
        <v>3</v>
      </c>
      <c r="R1100" s="1" t="n">
        <f aca="false">IF(AND($K1100=1,AND(对接源_01水果!$X1100="公司筐",N(对接源_01水果!$U1100)&lt;&gt;0)),1,0)</f>
        <v>0</v>
      </c>
      <c r="S1100" s="1" t="n">
        <f aca="false">N(S1099)+$R1100</f>
        <v>0</v>
      </c>
      <c r="T1100" s="1" t="n">
        <f aca="false">IF(AND($K1100=1,AND(对接源_01水果!$X1100="公司筐",N(对接源_01水果!$V1100)&lt;&gt;0)),1,0)</f>
        <v>0</v>
      </c>
      <c r="U1100" s="1" t="n">
        <f aca="false">N(U1099)+$T1100</f>
        <v>28</v>
      </c>
      <c r="V1100" s="1" t="n">
        <f aca="false">IF(AND($L1100=1,AND(对接源_01水果!$X1100="自备筐",N(对接源_01水果!$V1100)&lt;&gt;0)),1,0)</f>
        <v>0</v>
      </c>
      <c r="W1100" s="1" t="n">
        <f aca="false">N(W1099)+$V1100</f>
        <v>7</v>
      </c>
      <c r="X1100" s="1" t="n">
        <f aca="false">IF(AND($L1100=1,AND(对接源_01水果!$X1100="自备筐",N(对接源_01水果!$T1100)&lt;&gt;0)),1,0)</f>
        <v>0</v>
      </c>
      <c r="Y1100" s="1" t="n">
        <f aca="false">N(Y1099)+$X1100</f>
        <v>0</v>
      </c>
      <c r="Z1100" s="1" t="n">
        <f aca="false">IF(AND($M1100=1,对接源_01水果!$D1100="原料入库"),1,0)</f>
        <v>0</v>
      </c>
      <c r="AA1100" s="1" t="n">
        <f aca="false">N(AA1099)+$Z1100</f>
        <v>30</v>
      </c>
      <c r="AB1100" s="1" t="n">
        <f aca="false">IF(AND($M1100=1,LEFT(对接源_01水果!$D1100,4)="原料出库"),1,0)</f>
        <v>0</v>
      </c>
      <c r="AC1100" s="1" t="n">
        <f aca="false">N(AC1099)+$AB1100</f>
        <v>19</v>
      </c>
      <c r="AD1100" s="1" t="n">
        <f aca="false">IF(AND($M1100=1,LEFT(对接源_01水果!$D1100,4)="成品出库"),1,0)</f>
        <v>0</v>
      </c>
      <c r="AE1100" s="1" t="n">
        <f aca="false">N(AE1099)+$AD1100</f>
        <v>38</v>
      </c>
      <c r="AF1100" s="1" t="n">
        <f aca="false">IF(AND($N1100=1,AND(LEFT(对接源_01水果!$D1100,4)="包装物料",N(对接源_01水果!$K1100)&lt;&gt;0)),1,0)</f>
        <v>0</v>
      </c>
      <c r="AG1100" s="90" t="str">
        <f aca="false">IF(对接源_01水果!$AC1100="","",对接源_01水果!$AC1100)</f>
        <v/>
      </c>
      <c r="AH1100" s="1" t="n">
        <f aca="false">IF(AND($N1100=1,AND(LEFT(对接源_01水果!$D1100,3)="周转筐",N(对接源_01水果!$K1100)&lt;&gt;0)),1,0)</f>
        <v>0</v>
      </c>
      <c r="AI1100" s="90" t="n">
        <f aca="false">IF(AG1100="",0,IF(MATCH(AG1100,$AG$4:$AG$1203,0)=ROW()-3,1,0))</f>
        <v>0</v>
      </c>
      <c r="AJ1100" s="90" t="n">
        <f aca="false">N(AJ1099)+AI1100</f>
        <v>4</v>
      </c>
      <c r="AK1100" s="1" t="n">
        <f aca="false">N(AK1099)+$AJ1100</f>
        <v>3260</v>
      </c>
    </row>
    <row r="1101" customFormat="false" ht="13.5" hidden="false" customHeight="false" outlineLevel="0" collapsed="false">
      <c r="A1101" s="1" t="str">
        <f aca="false">IF(对接源_01水果!$C1101="","",对接源_01水果!$C1101)</f>
        <v/>
      </c>
      <c r="B1101" s="1" t="n">
        <f aca="false">IF(A1101="",0,IF(MATCH(A1101,$A$4:$A$2403,0)=ROW()-3,1,0))</f>
        <v>0</v>
      </c>
      <c r="C1101" s="1" t="n">
        <f aca="false">N(C1100)+B1101</f>
        <v>13</v>
      </c>
      <c r="K1101" s="1" t="n">
        <f aca="false">IF(OR($K$1="",对接源_01水果!$C1101="",对接源_01水果!$C1101&lt;&gt;$K$1,对接源_01水果!$B1101=""),0,IF(OR(N(对接源_01水果!$B1101)&lt;$K$2,N(对接源_01水果!$B1101)&gt;$K$3),0,1))</f>
        <v>0</v>
      </c>
      <c r="L1101" s="1" t="n">
        <f aca="false">IF(OR($L$1="",对接源_01水果!$C1101="",对接源_01水果!$C1101&lt;&gt;$L$1,对接源_01水果!$B1101=""),0,IF(OR(N(对接源_01水果!$B1101)&lt;$L$2,N(对接源_01水果!$B1101)&gt;$L$3),0,1))</f>
        <v>0</v>
      </c>
      <c r="M1101" s="1" t="n">
        <f aca="false">IF(OR($M$1="",对接源_01水果!$C1101="",对接源_01水果!$C1101&lt;&gt;$M$1,对接源_01水果!$B1101=""),0,IF(OR(N(对接源_01水果!$B1101)&lt;$M$2,N(对接源_01水果!$B1101)&gt;$M$3),0,1))</f>
        <v>0</v>
      </c>
      <c r="N1101" s="1" t="n">
        <f aca="false">IF(OR($N$1="",对接源_01水果!$C1101="",对接源_01水果!$C1101&lt;&gt;$N$1,对接源_01水果!$B1101=""),0,IF(OR(N(对接源_01水果!$B1101)&lt;$N$2,N(对接源_01水果!$B1101)&gt;$N$3),0,1))</f>
        <v>0</v>
      </c>
      <c r="P1101" s="1" t="n">
        <f aca="false">IF(AND($K1101=1,AND(对接源_01水果!$X1101="公司筐",N(对接源_01水果!$T1101)&lt;&gt;0)),1,0)</f>
        <v>0</v>
      </c>
      <c r="Q1101" s="1" t="n">
        <f aca="false">N(Q1100)+$P1101</f>
        <v>3</v>
      </c>
      <c r="R1101" s="1" t="n">
        <f aca="false">IF(AND($K1101=1,AND(对接源_01水果!$X1101="公司筐",N(对接源_01水果!$U1101)&lt;&gt;0)),1,0)</f>
        <v>0</v>
      </c>
      <c r="S1101" s="1" t="n">
        <f aca="false">N(S1100)+$R1101</f>
        <v>0</v>
      </c>
      <c r="T1101" s="1" t="n">
        <f aca="false">IF(AND($K1101=1,AND(对接源_01水果!$X1101="公司筐",N(对接源_01水果!$V1101)&lt;&gt;0)),1,0)</f>
        <v>0</v>
      </c>
      <c r="U1101" s="1" t="n">
        <f aca="false">N(U1100)+$T1101</f>
        <v>28</v>
      </c>
      <c r="V1101" s="1" t="n">
        <f aca="false">IF(AND($L1101=1,AND(对接源_01水果!$X1101="自备筐",N(对接源_01水果!$V1101)&lt;&gt;0)),1,0)</f>
        <v>0</v>
      </c>
      <c r="W1101" s="1" t="n">
        <f aca="false">N(W1100)+$V1101</f>
        <v>7</v>
      </c>
      <c r="X1101" s="1" t="n">
        <f aca="false">IF(AND($L1101=1,AND(对接源_01水果!$X1101="自备筐",N(对接源_01水果!$T1101)&lt;&gt;0)),1,0)</f>
        <v>0</v>
      </c>
      <c r="Y1101" s="1" t="n">
        <f aca="false">N(Y1100)+$X1101</f>
        <v>0</v>
      </c>
      <c r="Z1101" s="1" t="n">
        <f aca="false">IF(AND($M1101=1,对接源_01水果!$D1101="原料入库"),1,0)</f>
        <v>0</v>
      </c>
      <c r="AA1101" s="1" t="n">
        <f aca="false">N(AA1100)+$Z1101</f>
        <v>30</v>
      </c>
      <c r="AB1101" s="1" t="n">
        <f aca="false">IF(AND($M1101=1,LEFT(对接源_01水果!$D1101,4)="原料出库"),1,0)</f>
        <v>0</v>
      </c>
      <c r="AC1101" s="1" t="n">
        <f aca="false">N(AC1100)+$AB1101</f>
        <v>19</v>
      </c>
      <c r="AD1101" s="1" t="n">
        <f aca="false">IF(AND($M1101=1,LEFT(对接源_01水果!$D1101,4)="成品出库"),1,0)</f>
        <v>0</v>
      </c>
      <c r="AE1101" s="1" t="n">
        <f aca="false">N(AE1100)+$AD1101</f>
        <v>38</v>
      </c>
      <c r="AF1101" s="1" t="n">
        <f aca="false">IF(AND($N1101=1,AND(LEFT(对接源_01水果!$D1101,4)="包装物料",N(对接源_01水果!$K1101)&lt;&gt;0)),1,0)</f>
        <v>0</v>
      </c>
      <c r="AG1101" s="90" t="str">
        <f aca="false">IF(对接源_01水果!$AC1101="","",对接源_01水果!$AC1101)</f>
        <v/>
      </c>
      <c r="AH1101" s="1" t="n">
        <f aca="false">IF(AND($N1101=1,AND(LEFT(对接源_01水果!$D1101,3)="周转筐",N(对接源_01水果!$K1101)&lt;&gt;0)),1,0)</f>
        <v>0</v>
      </c>
      <c r="AI1101" s="90" t="n">
        <f aca="false">IF(AG1101="",0,IF(MATCH(AG1101,$AG$4:$AG$1203,0)=ROW()-3,1,0))</f>
        <v>0</v>
      </c>
      <c r="AJ1101" s="90" t="n">
        <f aca="false">N(AJ1100)+AI1101</f>
        <v>4</v>
      </c>
      <c r="AK1101" s="1" t="n">
        <f aca="false">N(AK1100)+$AJ1101</f>
        <v>3264</v>
      </c>
    </row>
    <row r="1102" customFormat="false" ht="13.5" hidden="false" customHeight="false" outlineLevel="0" collapsed="false">
      <c r="A1102" s="1" t="str">
        <f aca="false">IF(对接源_01水果!$C1102="","",对接源_01水果!$C1102)</f>
        <v/>
      </c>
      <c r="B1102" s="1" t="n">
        <f aca="false">IF(A1102="",0,IF(MATCH(A1102,$A$4:$A$2403,0)=ROW()-3,1,0))</f>
        <v>0</v>
      </c>
      <c r="C1102" s="1" t="n">
        <f aca="false">N(C1101)+B1102</f>
        <v>13</v>
      </c>
      <c r="K1102" s="1" t="n">
        <f aca="false">IF(OR($K$1="",对接源_01水果!$C1102="",对接源_01水果!$C1102&lt;&gt;$K$1,对接源_01水果!$B1102=""),0,IF(OR(N(对接源_01水果!$B1102)&lt;$K$2,N(对接源_01水果!$B1102)&gt;$K$3),0,1))</f>
        <v>0</v>
      </c>
      <c r="L1102" s="1" t="n">
        <f aca="false">IF(OR($L$1="",对接源_01水果!$C1102="",对接源_01水果!$C1102&lt;&gt;$L$1,对接源_01水果!$B1102=""),0,IF(OR(N(对接源_01水果!$B1102)&lt;$L$2,N(对接源_01水果!$B1102)&gt;$L$3),0,1))</f>
        <v>0</v>
      </c>
      <c r="M1102" s="1" t="n">
        <f aca="false">IF(OR($M$1="",对接源_01水果!$C1102="",对接源_01水果!$C1102&lt;&gt;$M$1,对接源_01水果!$B1102=""),0,IF(OR(N(对接源_01水果!$B1102)&lt;$M$2,N(对接源_01水果!$B1102)&gt;$M$3),0,1))</f>
        <v>0</v>
      </c>
      <c r="N1102" s="1" t="n">
        <f aca="false">IF(OR($N$1="",对接源_01水果!$C1102="",对接源_01水果!$C1102&lt;&gt;$N$1,对接源_01水果!$B1102=""),0,IF(OR(N(对接源_01水果!$B1102)&lt;$N$2,N(对接源_01水果!$B1102)&gt;$N$3),0,1))</f>
        <v>0</v>
      </c>
      <c r="P1102" s="1" t="n">
        <f aca="false">IF(AND($K1102=1,AND(对接源_01水果!$X1102="公司筐",N(对接源_01水果!$T1102)&lt;&gt;0)),1,0)</f>
        <v>0</v>
      </c>
      <c r="Q1102" s="1" t="n">
        <f aca="false">N(Q1101)+$P1102</f>
        <v>3</v>
      </c>
      <c r="R1102" s="1" t="n">
        <f aca="false">IF(AND($K1102=1,AND(对接源_01水果!$X1102="公司筐",N(对接源_01水果!$U1102)&lt;&gt;0)),1,0)</f>
        <v>0</v>
      </c>
      <c r="S1102" s="1" t="n">
        <f aca="false">N(S1101)+$R1102</f>
        <v>0</v>
      </c>
      <c r="T1102" s="1" t="n">
        <f aca="false">IF(AND($K1102=1,AND(对接源_01水果!$X1102="公司筐",N(对接源_01水果!$V1102)&lt;&gt;0)),1,0)</f>
        <v>0</v>
      </c>
      <c r="U1102" s="1" t="n">
        <f aca="false">N(U1101)+$T1102</f>
        <v>28</v>
      </c>
      <c r="V1102" s="1" t="n">
        <f aca="false">IF(AND($L1102=1,AND(对接源_01水果!$X1102="自备筐",N(对接源_01水果!$V1102)&lt;&gt;0)),1,0)</f>
        <v>0</v>
      </c>
      <c r="W1102" s="1" t="n">
        <f aca="false">N(W1101)+$V1102</f>
        <v>7</v>
      </c>
      <c r="X1102" s="1" t="n">
        <f aca="false">IF(AND($L1102=1,AND(对接源_01水果!$X1102="自备筐",N(对接源_01水果!$T1102)&lt;&gt;0)),1,0)</f>
        <v>0</v>
      </c>
      <c r="Y1102" s="1" t="n">
        <f aca="false">N(Y1101)+$X1102</f>
        <v>0</v>
      </c>
      <c r="Z1102" s="1" t="n">
        <f aca="false">IF(AND($M1102=1,对接源_01水果!$D1102="原料入库"),1,0)</f>
        <v>0</v>
      </c>
      <c r="AA1102" s="1" t="n">
        <f aca="false">N(AA1101)+$Z1102</f>
        <v>30</v>
      </c>
      <c r="AB1102" s="1" t="n">
        <f aca="false">IF(AND($M1102=1,LEFT(对接源_01水果!$D1102,4)="原料出库"),1,0)</f>
        <v>0</v>
      </c>
      <c r="AC1102" s="1" t="n">
        <f aca="false">N(AC1101)+$AB1102</f>
        <v>19</v>
      </c>
      <c r="AD1102" s="1" t="n">
        <f aca="false">IF(AND($M1102=1,LEFT(对接源_01水果!$D1102,4)="成品出库"),1,0)</f>
        <v>0</v>
      </c>
      <c r="AE1102" s="1" t="n">
        <f aca="false">N(AE1101)+$AD1102</f>
        <v>38</v>
      </c>
      <c r="AF1102" s="1" t="n">
        <f aca="false">IF(AND($N1102=1,AND(LEFT(对接源_01水果!$D1102,4)="包装物料",N(对接源_01水果!$K1102)&lt;&gt;0)),1,0)</f>
        <v>0</v>
      </c>
      <c r="AG1102" s="90" t="str">
        <f aca="false">IF(对接源_01水果!$AC1102="","",对接源_01水果!$AC1102)</f>
        <v/>
      </c>
      <c r="AH1102" s="1" t="n">
        <f aca="false">IF(AND($N1102=1,AND(LEFT(对接源_01水果!$D1102,3)="周转筐",N(对接源_01水果!$K1102)&lt;&gt;0)),1,0)</f>
        <v>0</v>
      </c>
      <c r="AI1102" s="90" t="n">
        <f aca="false">IF(AG1102="",0,IF(MATCH(AG1102,$AG$4:$AG$1203,0)=ROW()-3,1,0))</f>
        <v>0</v>
      </c>
      <c r="AJ1102" s="90" t="n">
        <f aca="false">N(AJ1101)+AI1102</f>
        <v>4</v>
      </c>
      <c r="AK1102" s="1" t="n">
        <f aca="false">N(AK1101)+$AJ1102</f>
        <v>3268</v>
      </c>
    </row>
    <row r="1103" customFormat="false" ht="13.5" hidden="false" customHeight="false" outlineLevel="0" collapsed="false">
      <c r="A1103" s="1" t="str">
        <f aca="false">IF(对接源_01水果!$C1103="","",对接源_01水果!$C1103)</f>
        <v/>
      </c>
      <c r="B1103" s="1" t="n">
        <f aca="false">IF(A1103="",0,IF(MATCH(A1103,$A$4:$A$2403,0)=ROW()-3,1,0))</f>
        <v>0</v>
      </c>
      <c r="C1103" s="1" t="n">
        <f aca="false">N(C1102)+B1103</f>
        <v>13</v>
      </c>
      <c r="K1103" s="1" t="n">
        <f aca="false">IF(OR($K$1="",对接源_01水果!$C1103="",对接源_01水果!$C1103&lt;&gt;$K$1,对接源_01水果!$B1103=""),0,IF(OR(N(对接源_01水果!$B1103)&lt;$K$2,N(对接源_01水果!$B1103)&gt;$K$3),0,1))</f>
        <v>0</v>
      </c>
      <c r="L1103" s="1" t="n">
        <f aca="false">IF(OR($L$1="",对接源_01水果!$C1103="",对接源_01水果!$C1103&lt;&gt;$L$1,对接源_01水果!$B1103=""),0,IF(OR(N(对接源_01水果!$B1103)&lt;$L$2,N(对接源_01水果!$B1103)&gt;$L$3),0,1))</f>
        <v>0</v>
      </c>
      <c r="M1103" s="1" t="n">
        <f aca="false">IF(OR($M$1="",对接源_01水果!$C1103="",对接源_01水果!$C1103&lt;&gt;$M$1,对接源_01水果!$B1103=""),0,IF(OR(N(对接源_01水果!$B1103)&lt;$M$2,N(对接源_01水果!$B1103)&gt;$M$3),0,1))</f>
        <v>0</v>
      </c>
      <c r="N1103" s="1" t="n">
        <f aca="false">IF(OR($N$1="",对接源_01水果!$C1103="",对接源_01水果!$C1103&lt;&gt;$N$1,对接源_01水果!$B1103=""),0,IF(OR(N(对接源_01水果!$B1103)&lt;$N$2,N(对接源_01水果!$B1103)&gt;$N$3),0,1))</f>
        <v>0</v>
      </c>
      <c r="P1103" s="1" t="n">
        <f aca="false">IF(AND($K1103=1,AND(对接源_01水果!$X1103="公司筐",N(对接源_01水果!$T1103)&lt;&gt;0)),1,0)</f>
        <v>0</v>
      </c>
      <c r="Q1103" s="1" t="n">
        <f aca="false">N(Q1102)+$P1103</f>
        <v>3</v>
      </c>
      <c r="R1103" s="1" t="n">
        <f aca="false">IF(AND($K1103=1,AND(对接源_01水果!$X1103="公司筐",N(对接源_01水果!$U1103)&lt;&gt;0)),1,0)</f>
        <v>0</v>
      </c>
      <c r="S1103" s="1" t="n">
        <f aca="false">N(S1102)+$R1103</f>
        <v>0</v>
      </c>
      <c r="T1103" s="1" t="n">
        <f aca="false">IF(AND($K1103=1,AND(对接源_01水果!$X1103="公司筐",N(对接源_01水果!$V1103)&lt;&gt;0)),1,0)</f>
        <v>0</v>
      </c>
      <c r="U1103" s="1" t="n">
        <f aca="false">N(U1102)+$T1103</f>
        <v>28</v>
      </c>
      <c r="V1103" s="1" t="n">
        <f aca="false">IF(AND($L1103=1,AND(对接源_01水果!$X1103="自备筐",N(对接源_01水果!$V1103)&lt;&gt;0)),1,0)</f>
        <v>0</v>
      </c>
      <c r="W1103" s="1" t="n">
        <f aca="false">N(W1102)+$V1103</f>
        <v>7</v>
      </c>
      <c r="X1103" s="1" t="n">
        <f aca="false">IF(AND($L1103=1,AND(对接源_01水果!$X1103="自备筐",N(对接源_01水果!$T1103)&lt;&gt;0)),1,0)</f>
        <v>0</v>
      </c>
      <c r="Y1103" s="1" t="n">
        <f aca="false">N(Y1102)+$X1103</f>
        <v>0</v>
      </c>
      <c r="Z1103" s="1" t="n">
        <f aca="false">IF(AND($M1103=1,对接源_01水果!$D1103="原料入库"),1,0)</f>
        <v>0</v>
      </c>
      <c r="AA1103" s="1" t="n">
        <f aca="false">N(AA1102)+$Z1103</f>
        <v>30</v>
      </c>
      <c r="AB1103" s="1" t="n">
        <f aca="false">IF(AND($M1103=1,LEFT(对接源_01水果!$D1103,4)="原料出库"),1,0)</f>
        <v>0</v>
      </c>
      <c r="AC1103" s="1" t="n">
        <f aca="false">N(AC1102)+$AB1103</f>
        <v>19</v>
      </c>
      <c r="AD1103" s="1" t="n">
        <f aca="false">IF(AND($M1103=1,LEFT(对接源_01水果!$D1103,4)="成品出库"),1,0)</f>
        <v>0</v>
      </c>
      <c r="AE1103" s="1" t="n">
        <f aca="false">N(AE1102)+$AD1103</f>
        <v>38</v>
      </c>
      <c r="AF1103" s="1" t="n">
        <f aca="false">IF(AND($N1103=1,AND(LEFT(对接源_01水果!$D1103,4)="包装物料",N(对接源_01水果!$K1103)&lt;&gt;0)),1,0)</f>
        <v>0</v>
      </c>
      <c r="AG1103" s="90" t="str">
        <f aca="false">IF(对接源_01水果!$AC1103="","",对接源_01水果!$AC1103)</f>
        <v/>
      </c>
      <c r="AH1103" s="1" t="n">
        <f aca="false">IF(AND($N1103=1,AND(LEFT(对接源_01水果!$D1103,3)="周转筐",N(对接源_01水果!$K1103)&lt;&gt;0)),1,0)</f>
        <v>0</v>
      </c>
      <c r="AI1103" s="90" t="n">
        <f aca="false">IF(AG1103="",0,IF(MATCH(AG1103,$AG$4:$AG$1203,0)=ROW()-3,1,0))</f>
        <v>0</v>
      </c>
      <c r="AJ1103" s="90" t="n">
        <f aca="false">N(AJ1102)+AI1103</f>
        <v>4</v>
      </c>
      <c r="AK1103" s="1" t="n">
        <f aca="false">N(AK1102)+$AJ1103</f>
        <v>3272</v>
      </c>
    </row>
    <row r="1104" customFormat="false" ht="13.5" hidden="false" customHeight="false" outlineLevel="0" collapsed="false">
      <c r="A1104" s="1" t="str">
        <f aca="false">IF(对接源_01水果!$C1104="","",对接源_01水果!$C1104)</f>
        <v/>
      </c>
      <c r="B1104" s="1" t="n">
        <f aca="false">IF(A1104="",0,IF(MATCH(A1104,$A$4:$A$2403,0)=ROW()-3,1,0))</f>
        <v>0</v>
      </c>
      <c r="C1104" s="1" t="n">
        <f aca="false">N(C1103)+B1104</f>
        <v>13</v>
      </c>
      <c r="K1104" s="1" t="n">
        <f aca="false">IF(OR($K$1="",对接源_01水果!$C1104="",对接源_01水果!$C1104&lt;&gt;$K$1,对接源_01水果!$B1104=""),0,IF(OR(N(对接源_01水果!$B1104)&lt;$K$2,N(对接源_01水果!$B1104)&gt;$K$3),0,1))</f>
        <v>0</v>
      </c>
      <c r="L1104" s="1" t="n">
        <f aca="false">IF(OR($L$1="",对接源_01水果!$C1104="",对接源_01水果!$C1104&lt;&gt;$L$1,对接源_01水果!$B1104=""),0,IF(OR(N(对接源_01水果!$B1104)&lt;$L$2,N(对接源_01水果!$B1104)&gt;$L$3),0,1))</f>
        <v>0</v>
      </c>
      <c r="M1104" s="1" t="n">
        <f aca="false">IF(OR($M$1="",对接源_01水果!$C1104="",对接源_01水果!$C1104&lt;&gt;$M$1,对接源_01水果!$B1104=""),0,IF(OR(N(对接源_01水果!$B1104)&lt;$M$2,N(对接源_01水果!$B1104)&gt;$M$3),0,1))</f>
        <v>0</v>
      </c>
      <c r="N1104" s="1" t="n">
        <f aca="false">IF(OR($N$1="",对接源_01水果!$C1104="",对接源_01水果!$C1104&lt;&gt;$N$1,对接源_01水果!$B1104=""),0,IF(OR(N(对接源_01水果!$B1104)&lt;$N$2,N(对接源_01水果!$B1104)&gt;$N$3),0,1))</f>
        <v>0</v>
      </c>
      <c r="P1104" s="1" t="n">
        <f aca="false">IF(AND($K1104=1,AND(对接源_01水果!$X1104="公司筐",N(对接源_01水果!$T1104)&lt;&gt;0)),1,0)</f>
        <v>0</v>
      </c>
      <c r="Q1104" s="1" t="n">
        <f aca="false">N(Q1103)+$P1104</f>
        <v>3</v>
      </c>
      <c r="R1104" s="1" t="n">
        <f aca="false">IF(AND($K1104=1,AND(对接源_01水果!$X1104="公司筐",N(对接源_01水果!$U1104)&lt;&gt;0)),1,0)</f>
        <v>0</v>
      </c>
      <c r="S1104" s="1" t="n">
        <f aca="false">N(S1103)+$R1104</f>
        <v>0</v>
      </c>
      <c r="T1104" s="1" t="n">
        <f aca="false">IF(AND($K1104=1,AND(对接源_01水果!$X1104="公司筐",N(对接源_01水果!$V1104)&lt;&gt;0)),1,0)</f>
        <v>0</v>
      </c>
      <c r="U1104" s="1" t="n">
        <f aca="false">N(U1103)+$T1104</f>
        <v>28</v>
      </c>
      <c r="V1104" s="1" t="n">
        <f aca="false">IF(AND($L1104=1,AND(对接源_01水果!$X1104="自备筐",N(对接源_01水果!$V1104)&lt;&gt;0)),1,0)</f>
        <v>0</v>
      </c>
      <c r="W1104" s="1" t="n">
        <f aca="false">N(W1103)+$V1104</f>
        <v>7</v>
      </c>
      <c r="X1104" s="1" t="n">
        <f aca="false">IF(AND($L1104=1,AND(对接源_01水果!$X1104="自备筐",N(对接源_01水果!$T1104)&lt;&gt;0)),1,0)</f>
        <v>0</v>
      </c>
      <c r="Y1104" s="1" t="n">
        <f aca="false">N(Y1103)+$X1104</f>
        <v>0</v>
      </c>
      <c r="Z1104" s="1" t="n">
        <f aca="false">IF(AND($M1104=1,对接源_01水果!$D1104="原料入库"),1,0)</f>
        <v>0</v>
      </c>
      <c r="AA1104" s="1" t="n">
        <f aca="false">N(AA1103)+$Z1104</f>
        <v>30</v>
      </c>
      <c r="AB1104" s="1" t="n">
        <f aca="false">IF(AND($M1104=1,LEFT(对接源_01水果!$D1104,4)="原料出库"),1,0)</f>
        <v>0</v>
      </c>
      <c r="AC1104" s="1" t="n">
        <f aca="false">N(AC1103)+$AB1104</f>
        <v>19</v>
      </c>
      <c r="AD1104" s="1" t="n">
        <f aca="false">IF(AND($M1104=1,LEFT(对接源_01水果!$D1104,4)="成品出库"),1,0)</f>
        <v>0</v>
      </c>
      <c r="AE1104" s="1" t="n">
        <f aca="false">N(AE1103)+$AD1104</f>
        <v>38</v>
      </c>
      <c r="AF1104" s="1" t="n">
        <f aca="false">IF(AND($N1104=1,AND(LEFT(对接源_01水果!$D1104,4)="包装物料",N(对接源_01水果!$K1104)&lt;&gt;0)),1,0)</f>
        <v>0</v>
      </c>
      <c r="AG1104" s="90" t="str">
        <f aca="false">IF(对接源_01水果!$AC1104="","",对接源_01水果!$AC1104)</f>
        <v/>
      </c>
      <c r="AH1104" s="1" t="n">
        <f aca="false">IF(AND($N1104=1,AND(LEFT(对接源_01水果!$D1104,3)="周转筐",N(对接源_01水果!$K1104)&lt;&gt;0)),1,0)</f>
        <v>0</v>
      </c>
      <c r="AI1104" s="90" t="n">
        <f aca="false">IF(AG1104="",0,IF(MATCH(AG1104,$AG$4:$AG$1203,0)=ROW()-3,1,0))</f>
        <v>0</v>
      </c>
      <c r="AJ1104" s="90" t="n">
        <f aca="false">N(AJ1103)+AI1104</f>
        <v>4</v>
      </c>
      <c r="AK1104" s="1" t="n">
        <f aca="false">N(AK1103)+$AJ1104</f>
        <v>3276</v>
      </c>
    </row>
    <row r="1105" customFormat="false" ht="13.5" hidden="false" customHeight="false" outlineLevel="0" collapsed="false">
      <c r="A1105" s="1" t="str">
        <f aca="false">IF(对接源_01水果!$C1105="","",对接源_01水果!$C1105)</f>
        <v/>
      </c>
      <c r="B1105" s="1" t="n">
        <f aca="false">IF(A1105="",0,IF(MATCH(A1105,$A$4:$A$2403,0)=ROW()-3,1,0))</f>
        <v>0</v>
      </c>
      <c r="C1105" s="1" t="n">
        <f aca="false">N(C1104)+B1105</f>
        <v>13</v>
      </c>
      <c r="K1105" s="1" t="n">
        <f aca="false">IF(OR($K$1="",对接源_01水果!$C1105="",对接源_01水果!$C1105&lt;&gt;$K$1,对接源_01水果!$B1105=""),0,IF(OR(N(对接源_01水果!$B1105)&lt;$K$2,N(对接源_01水果!$B1105)&gt;$K$3),0,1))</f>
        <v>0</v>
      </c>
      <c r="L1105" s="1" t="n">
        <f aca="false">IF(OR($L$1="",对接源_01水果!$C1105="",对接源_01水果!$C1105&lt;&gt;$L$1,对接源_01水果!$B1105=""),0,IF(OR(N(对接源_01水果!$B1105)&lt;$L$2,N(对接源_01水果!$B1105)&gt;$L$3),0,1))</f>
        <v>0</v>
      </c>
      <c r="M1105" s="1" t="n">
        <f aca="false">IF(OR($M$1="",对接源_01水果!$C1105="",对接源_01水果!$C1105&lt;&gt;$M$1,对接源_01水果!$B1105=""),0,IF(OR(N(对接源_01水果!$B1105)&lt;$M$2,N(对接源_01水果!$B1105)&gt;$M$3),0,1))</f>
        <v>0</v>
      </c>
      <c r="N1105" s="1" t="n">
        <f aca="false">IF(OR($N$1="",对接源_01水果!$C1105="",对接源_01水果!$C1105&lt;&gt;$N$1,对接源_01水果!$B1105=""),0,IF(OR(N(对接源_01水果!$B1105)&lt;$N$2,N(对接源_01水果!$B1105)&gt;$N$3),0,1))</f>
        <v>0</v>
      </c>
      <c r="P1105" s="1" t="n">
        <f aca="false">IF(AND($K1105=1,AND(对接源_01水果!$X1105="公司筐",N(对接源_01水果!$T1105)&lt;&gt;0)),1,0)</f>
        <v>0</v>
      </c>
      <c r="Q1105" s="1" t="n">
        <f aca="false">N(Q1104)+$P1105</f>
        <v>3</v>
      </c>
      <c r="R1105" s="1" t="n">
        <f aca="false">IF(AND($K1105=1,AND(对接源_01水果!$X1105="公司筐",N(对接源_01水果!$U1105)&lt;&gt;0)),1,0)</f>
        <v>0</v>
      </c>
      <c r="S1105" s="1" t="n">
        <f aca="false">N(S1104)+$R1105</f>
        <v>0</v>
      </c>
      <c r="T1105" s="1" t="n">
        <f aca="false">IF(AND($K1105=1,AND(对接源_01水果!$X1105="公司筐",N(对接源_01水果!$V1105)&lt;&gt;0)),1,0)</f>
        <v>0</v>
      </c>
      <c r="U1105" s="1" t="n">
        <f aca="false">N(U1104)+$T1105</f>
        <v>28</v>
      </c>
      <c r="V1105" s="1" t="n">
        <f aca="false">IF(AND($L1105=1,AND(对接源_01水果!$X1105="自备筐",N(对接源_01水果!$V1105)&lt;&gt;0)),1,0)</f>
        <v>0</v>
      </c>
      <c r="W1105" s="1" t="n">
        <f aca="false">N(W1104)+$V1105</f>
        <v>7</v>
      </c>
      <c r="X1105" s="1" t="n">
        <f aca="false">IF(AND($L1105=1,AND(对接源_01水果!$X1105="自备筐",N(对接源_01水果!$T1105)&lt;&gt;0)),1,0)</f>
        <v>0</v>
      </c>
      <c r="Y1105" s="1" t="n">
        <f aca="false">N(Y1104)+$X1105</f>
        <v>0</v>
      </c>
      <c r="Z1105" s="1" t="n">
        <f aca="false">IF(AND($M1105=1,对接源_01水果!$D1105="原料入库"),1,0)</f>
        <v>0</v>
      </c>
      <c r="AA1105" s="1" t="n">
        <f aca="false">N(AA1104)+$Z1105</f>
        <v>30</v>
      </c>
      <c r="AB1105" s="1" t="n">
        <f aca="false">IF(AND($M1105=1,LEFT(对接源_01水果!$D1105,4)="原料出库"),1,0)</f>
        <v>0</v>
      </c>
      <c r="AC1105" s="1" t="n">
        <f aca="false">N(AC1104)+$AB1105</f>
        <v>19</v>
      </c>
      <c r="AD1105" s="1" t="n">
        <f aca="false">IF(AND($M1105=1,LEFT(对接源_01水果!$D1105,4)="成品出库"),1,0)</f>
        <v>0</v>
      </c>
      <c r="AE1105" s="1" t="n">
        <f aca="false">N(AE1104)+$AD1105</f>
        <v>38</v>
      </c>
      <c r="AF1105" s="1" t="n">
        <f aca="false">IF(AND($N1105=1,AND(LEFT(对接源_01水果!$D1105,4)="包装物料",N(对接源_01水果!$K1105)&lt;&gt;0)),1,0)</f>
        <v>0</v>
      </c>
      <c r="AG1105" s="90" t="str">
        <f aca="false">IF(对接源_01水果!$AC1105="","",对接源_01水果!$AC1105)</f>
        <v/>
      </c>
      <c r="AH1105" s="1" t="n">
        <f aca="false">IF(AND($N1105=1,AND(LEFT(对接源_01水果!$D1105,3)="周转筐",N(对接源_01水果!$K1105)&lt;&gt;0)),1,0)</f>
        <v>0</v>
      </c>
      <c r="AI1105" s="90" t="n">
        <f aca="false">IF(AG1105="",0,IF(MATCH(AG1105,$AG$4:$AG$1203,0)=ROW()-3,1,0))</f>
        <v>0</v>
      </c>
      <c r="AJ1105" s="90" t="n">
        <f aca="false">N(AJ1104)+AI1105</f>
        <v>4</v>
      </c>
      <c r="AK1105" s="1" t="n">
        <f aca="false">N(AK1104)+$AJ1105</f>
        <v>3280</v>
      </c>
    </row>
    <row r="1106" customFormat="false" ht="13.5" hidden="false" customHeight="false" outlineLevel="0" collapsed="false">
      <c r="A1106" s="1" t="str">
        <f aca="false">IF(对接源_01水果!$C1106="","",对接源_01水果!$C1106)</f>
        <v/>
      </c>
      <c r="B1106" s="1" t="n">
        <f aca="false">IF(A1106="",0,IF(MATCH(A1106,$A$4:$A$2403,0)=ROW()-3,1,0))</f>
        <v>0</v>
      </c>
      <c r="C1106" s="1" t="n">
        <f aca="false">N(C1105)+B1106</f>
        <v>13</v>
      </c>
      <c r="K1106" s="1" t="n">
        <f aca="false">IF(OR($K$1="",对接源_01水果!$C1106="",对接源_01水果!$C1106&lt;&gt;$K$1,对接源_01水果!$B1106=""),0,IF(OR(N(对接源_01水果!$B1106)&lt;$K$2,N(对接源_01水果!$B1106)&gt;$K$3),0,1))</f>
        <v>0</v>
      </c>
      <c r="L1106" s="1" t="n">
        <f aca="false">IF(OR($L$1="",对接源_01水果!$C1106="",对接源_01水果!$C1106&lt;&gt;$L$1,对接源_01水果!$B1106=""),0,IF(OR(N(对接源_01水果!$B1106)&lt;$L$2,N(对接源_01水果!$B1106)&gt;$L$3),0,1))</f>
        <v>0</v>
      </c>
      <c r="M1106" s="1" t="n">
        <f aca="false">IF(OR($M$1="",对接源_01水果!$C1106="",对接源_01水果!$C1106&lt;&gt;$M$1,对接源_01水果!$B1106=""),0,IF(OR(N(对接源_01水果!$B1106)&lt;$M$2,N(对接源_01水果!$B1106)&gt;$M$3),0,1))</f>
        <v>0</v>
      </c>
      <c r="N1106" s="1" t="n">
        <f aca="false">IF(OR($N$1="",对接源_01水果!$C1106="",对接源_01水果!$C1106&lt;&gt;$N$1,对接源_01水果!$B1106=""),0,IF(OR(N(对接源_01水果!$B1106)&lt;$N$2,N(对接源_01水果!$B1106)&gt;$N$3),0,1))</f>
        <v>0</v>
      </c>
      <c r="P1106" s="1" t="n">
        <f aca="false">IF(AND($K1106=1,AND(对接源_01水果!$X1106="公司筐",N(对接源_01水果!$T1106)&lt;&gt;0)),1,0)</f>
        <v>0</v>
      </c>
      <c r="Q1106" s="1" t="n">
        <f aca="false">N(Q1105)+$P1106</f>
        <v>3</v>
      </c>
      <c r="R1106" s="1" t="n">
        <f aca="false">IF(AND($K1106=1,AND(对接源_01水果!$X1106="公司筐",N(对接源_01水果!$U1106)&lt;&gt;0)),1,0)</f>
        <v>0</v>
      </c>
      <c r="S1106" s="1" t="n">
        <f aca="false">N(S1105)+$R1106</f>
        <v>0</v>
      </c>
      <c r="T1106" s="1" t="n">
        <f aca="false">IF(AND($K1106=1,AND(对接源_01水果!$X1106="公司筐",N(对接源_01水果!$V1106)&lt;&gt;0)),1,0)</f>
        <v>0</v>
      </c>
      <c r="U1106" s="1" t="n">
        <f aca="false">N(U1105)+$T1106</f>
        <v>28</v>
      </c>
      <c r="V1106" s="1" t="n">
        <f aca="false">IF(AND($L1106=1,AND(对接源_01水果!$X1106="自备筐",N(对接源_01水果!$V1106)&lt;&gt;0)),1,0)</f>
        <v>0</v>
      </c>
      <c r="W1106" s="1" t="n">
        <f aca="false">N(W1105)+$V1106</f>
        <v>7</v>
      </c>
      <c r="X1106" s="1" t="n">
        <f aca="false">IF(AND($L1106=1,AND(对接源_01水果!$X1106="自备筐",N(对接源_01水果!$T1106)&lt;&gt;0)),1,0)</f>
        <v>0</v>
      </c>
      <c r="Y1106" s="1" t="n">
        <f aca="false">N(Y1105)+$X1106</f>
        <v>0</v>
      </c>
      <c r="Z1106" s="1" t="n">
        <f aca="false">IF(AND($M1106=1,对接源_01水果!$D1106="原料入库"),1,0)</f>
        <v>0</v>
      </c>
      <c r="AA1106" s="1" t="n">
        <f aca="false">N(AA1105)+$Z1106</f>
        <v>30</v>
      </c>
      <c r="AB1106" s="1" t="n">
        <f aca="false">IF(AND($M1106=1,LEFT(对接源_01水果!$D1106,4)="原料出库"),1,0)</f>
        <v>0</v>
      </c>
      <c r="AC1106" s="1" t="n">
        <f aca="false">N(AC1105)+$AB1106</f>
        <v>19</v>
      </c>
      <c r="AD1106" s="1" t="n">
        <f aca="false">IF(AND($M1106=1,LEFT(对接源_01水果!$D1106,4)="成品出库"),1,0)</f>
        <v>0</v>
      </c>
      <c r="AE1106" s="1" t="n">
        <f aca="false">N(AE1105)+$AD1106</f>
        <v>38</v>
      </c>
      <c r="AF1106" s="1" t="n">
        <f aca="false">IF(AND($N1106=1,AND(LEFT(对接源_01水果!$D1106,4)="包装物料",N(对接源_01水果!$K1106)&lt;&gt;0)),1,0)</f>
        <v>0</v>
      </c>
      <c r="AG1106" s="90" t="str">
        <f aca="false">IF(对接源_01水果!$AC1106="","",对接源_01水果!$AC1106)</f>
        <v/>
      </c>
      <c r="AH1106" s="1" t="n">
        <f aca="false">IF(AND($N1106=1,AND(LEFT(对接源_01水果!$D1106,3)="周转筐",N(对接源_01水果!$K1106)&lt;&gt;0)),1,0)</f>
        <v>0</v>
      </c>
      <c r="AI1106" s="90" t="n">
        <f aca="false">IF(AG1106="",0,IF(MATCH(AG1106,$AG$4:$AG$1203,0)=ROW()-3,1,0))</f>
        <v>0</v>
      </c>
      <c r="AJ1106" s="90" t="n">
        <f aca="false">N(AJ1105)+AI1106</f>
        <v>4</v>
      </c>
      <c r="AK1106" s="1" t="n">
        <f aca="false">N(AK1105)+$AJ1106</f>
        <v>3284</v>
      </c>
    </row>
    <row r="1107" customFormat="false" ht="13.5" hidden="false" customHeight="false" outlineLevel="0" collapsed="false">
      <c r="A1107" s="1" t="str">
        <f aca="false">IF(对接源_01水果!$C1107="","",对接源_01水果!$C1107)</f>
        <v/>
      </c>
      <c r="B1107" s="1" t="n">
        <f aca="false">IF(A1107="",0,IF(MATCH(A1107,$A$4:$A$2403,0)=ROW()-3,1,0))</f>
        <v>0</v>
      </c>
      <c r="C1107" s="1" t="n">
        <f aca="false">N(C1106)+B1107</f>
        <v>13</v>
      </c>
      <c r="K1107" s="1" t="n">
        <f aca="false">IF(OR($K$1="",对接源_01水果!$C1107="",对接源_01水果!$C1107&lt;&gt;$K$1,对接源_01水果!$B1107=""),0,IF(OR(N(对接源_01水果!$B1107)&lt;$K$2,N(对接源_01水果!$B1107)&gt;$K$3),0,1))</f>
        <v>0</v>
      </c>
      <c r="L1107" s="1" t="n">
        <f aca="false">IF(OR($L$1="",对接源_01水果!$C1107="",对接源_01水果!$C1107&lt;&gt;$L$1,对接源_01水果!$B1107=""),0,IF(OR(N(对接源_01水果!$B1107)&lt;$L$2,N(对接源_01水果!$B1107)&gt;$L$3),0,1))</f>
        <v>0</v>
      </c>
      <c r="M1107" s="1" t="n">
        <f aca="false">IF(OR($M$1="",对接源_01水果!$C1107="",对接源_01水果!$C1107&lt;&gt;$M$1,对接源_01水果!$B1107=""),0,IF(OR(N(对接源_01水果!$B1107)&lt;$M$2,N(对接源_01水果!$B1107)&gt;$M$3),0,1))</f>
        <v>0</v>
      </c>
      <c r="N1107" s="1" t="n">
        <f aca="false">IF(OR($N$1="",对接源_01水果!$C1107="",对接源_01水果!$C1107&lt;&gt;$N$1,对接源_01水果!$B1107=""),0,IF(OR(N(对接源_01水果!$B1107)&lt;$N$2,N(对接源_01水果!$B1107)&gt;$N$3),0,1))</f>
        <v>0</v>
      </c>
      <c r="P1107" s="1" t="n">
        <f aca="false">IF(AND($K1107=1,AND(对接源_01水果!$X1107="公司筐",N(对接源_01水果!$T1107)&lt;&gt;0)),1,0)</f>
        <v>0</v>
      </c>
      <c r="Q1107" s="1" t="n">
        <f aca="false">N(Q1106)+$P1107</f>
        <v>3</v>
      </c>
      <c r="R1107" s="1" t="n">
        <f aca="false">IF(AND($K1107=1,AND(对接源_01水果!$X1107="公司筐",N(对接源_01水果!$U1107)&lt;&gt;0)),1,0)</f>
        <v>0</v>
      </c>
      <c r="S1107" s="1" t="n">
        <f aca="false">N(S1106)+$R1107</f>
        <v>0</v>
      </c>
      <c r="T1107" s="1" t="n">
        <f aca="false">IF(AND($K1107=1,AND(对接源_01水果!$X1107="公司筐",N(对接源_01水果!$V1107)&lt;&gt;0)),1,0)</f>
        <v>0</v>
      </c>
      <c r="U1107" s="1" t="n">
        <f aca="false">N(U1106)+$T1107</f>
        <v>28</v>
      </c>
      <c r="V1107" s="1" t="n">
        <f aca="false">IF(AND($L1107=1,AND(对接源_01水果!$X1107="自备筐",N(对接源_01水果!$V1107)&lt;&gt;0)),1,0)</f>
        <v>0</v>
      </c>
      <c r="W1107" s="1" t="n">
        <f aca="false">N(W1106)+$V1107</f>
        <v>7</v>
      </c>
      <c r="X1107" s="1" t="n">
        <f aca="false">IF(AND($L1107=1,AND(对接源_01水果!$X1107="自备筐",N(对接源_01水果!$T1107)&lt;&gt;0)),1,0)</f>
        <v>0</v>
      </c>
      <c r="Y1107" s="1" t="n">
        <f aca="false">N(Y1106)+$X1107</f>
        <v>0</v>
      </c>
      <c r="Z1107" s="1" t="n">
        <f aca="false">IF(AND($M1107=1,对接源_01水果!$D1107="原料入库"),1,0)</f>
        <v>0</v>
      </c>
      <c r="AA1107" s="1" t="n">
        <f aca="false">N(AA1106)+$Z1107</f>
        <v>30</v>
      </c>
      <c r="AB1107" s="1" t="n">
        <f aca="false">IF(AND($M1107=1,LEFT(对接源_01水果!$D1107,4)="原料出库"),1,0)</f>
        <v>0</v>
      </c>
      <c r="AC1107" s="1" t="n">
        <f aca="false">N(AC1106)+$AB1107</f>
        <v>19</v>
      </c>
      <c r="AD1107" s="1" t="n">
        <f aca="false">IF(AND($M1107=1,LEFT(对接源_01水果!$D1107,4)="成品出库"),1,0)</f>
        <v>0</v>
      </c>
      <c r="AE1107" s="1" t="n">
        <f aca="false">N(AE1106)+$AD1107</f>
        <v>38</v>
      </c>
      <c r="AF1107" s="1" t="n">
        <f aca="false">IF(AND($N1107=1,AND(LEFT(对接源_01水果!$D1107,4)="包装物料",N(对接源_01水果!$K1107)&lt;&gt;0)),1,0)</f>
        <v>0</v>
      </c>
      <c r="AG1107" s="90" t="str">
        <f aca="false">IF(对接源_01水果!$AC1107="","",对接源_01水果!$AC1107)</f>
        <v/>
      </c>
      <c r="AH1107" s="1" t="n">
        <f aca="false">IF(AND($N1107=1,AND(LEFT(对接源_01水果!$D1107,3)="周转筐",N(对接源_01水果!$K1107)&lt;&gt;0)),1,0)</f>
        <v>0</v>
      </c>
      <c r="AI1107" s="90" t="n">
        <f aca="false">IF(AG1107="",0,IF(MATCH(AG1107,$AG$4:$AG$1203,0)=ROW()-3,1,0))</f>
        <v>0</v>
      </c>
      <c r="AJ1107" s="90" t="n">
        <f aca="false">N(AJ1106)+AI1107</f>
        <v>4</v>
      </c>
      <c r="AK1107" s="1" t="n">
        <f aca="false">N(AK1106)+$AJ1107</f>
        <v>3288</v>
      </c>
    </row>
    <row r="1108" customFormat="false" ht="13.5" hidden="false" customHeight="false" outlineLevel="0" collapsed="false">
      <c r="A1108" s="1" t="str">
        <f aca="false">IF(对接源_01水果!$C1108="","",对接源_01水果!$C1108)</f>
        <v/>
      </c>
      <c r="B1108" s="1" t="n">
        <f aca="false">IF(A1108="",0,IF(MATCH(A1108,$A$4:$A$2403,0)=ROW()-3,1,0))</f>
        <v>0</v>
      </c>
      <c r="C1108" s="1" t="n">
        <f aca="false">N(C1107)+B1108</f>
        <v>13</v>
      </c>
      <c r="K1108" s="1" t="n">
        <f aca="false">IF(OR($K$1="",对接源_01水果!$C1108="",对接源_01水果!$C1108&lt;&gt;$K$1,对接源_01水果!$B1108=""),0,IF(OR(N(对接源_01水果!$B1108)&lt;$K$2,N(对接源_01水果!$B1108)&gt;$K$3),0,1))</f>
        <v>0</v>
      </c>
      <c r="L1108" s="1" t="n">
        <f aca="false">IF(OR($L$1="",对接源_01水果!$C1108="",对接源_01水果!$C1108&lt;&gt;$L$1,对接源_01水果!$B1108=""),0,IF(OR(N(对接源_01水果!$B1108)&lt;$L$2,N(对接源_01水果!$B1108)&gt;$L$3),0,1))</f>
        <v>0</v>
      </c>
      <c r="M1108" s="1" t="n">
        <f aca="false">IF(OR($M$1="",对接源_01水果!$C1108="",对接源_01水果!$C1108&lt;&gt;$M$1,对接源_01水果!$B1108=""),0,IF(OR(N(对接源_01水果!$B1108)&lt;$M$2,N(对接源_01水果!$B1108)&gt;$M$3),0,1))</f>
        <v>0</v>
      </c>
      <c r="N1108" s="1" t="n">
        <f aca="false">IF(OR($N$1="",对接源_01水果!$C1108="",对接源_01水果!$C1108&lt;&gt;$N$1,对接源_01水果!$B1108=""),0,IF(OR(N(对接源_01水果!$B1108)&lt;$N$2,N(对接源_01水果!$B1108)&gt;$N$3),0,1))</f>
        <v>0</v>
      </c>
      <c r="P1108" s="1" t="n">
        <f aca="false">IF(AND($K1108=1,AND(对接源_01水果!$X1108="公司筐",N(对接源_01水果!$T1108)&lt;&gt;0)),1,0)</f>
        <v>0</v>
      </c>
      <c r="Q1108" s="1" t="n">
        <f aca="false">N(Q1107)+$P1108</f>
        <v>3</v>
      </c>
      <c r="R1108" s="1" t="n">
        <f aca="false">IF(AND($K1108=1,AND(对接源_01水果!$X1108="公司筐",N(对接源_01水果!$U1108)&lt;&gt;0)),1,0)</f>
        <v>0</v>
      </c>
      <c r="S1108" s="1" t="n">
        <f aca="false">N(S1107)+$R1108</f>
        <v>0</v>
      </c>
      <c r="T1108" s="1" t="n">
        <f aca="false">IF(AND($K1108=1,AND(对接源_01水果!$X1108="公司筐",N(对接源_01水果!$V1108)&lt;&gt;0)),1,0)</f>
        <v>0</v>
      </c>
      <c r="U1108" s="1" t="n">
        <f aca="false">N(U1107)+$T1108</f>
        <v>28</v>
      </c>
      <c r="V1108" s="1" t="n">
        <f aca="false">IF(AND($L1108=1,AND(对接源_01水果!$X1108="自备筐",N(对接源_01水果!$V1108)&lt;&gt;0)),1,0)</f>
        <v>0</v>
      </c>
      <c r="W1108" s="1" t="n">
        <f aca="false">N(W1107)+$V1108</f>
        <v>7</v>
      </c>
      <c r="X1108" s="1" t="n">
        <f aca="false">IF(AND($L1108=1,AND(对接源_01水果!$X1108="自备筐",N(对接源_01水果!$T1108)&lt;&gt;0)),1,0)</f>
        <v>0</v>
      </c>
      <c r="Y1108" s="1" t="n">
        <f aca="false">N(Y1107)+$X1108</f>
        <v>0</v>
      </c>
      <c r="Z1108" s="1" t="n">
        <f aca="false">IF(AND($M1108=1,对接源_01水果!$D1108="原料入库"),1,0)</f>
        <v>0</v>
      </c>
      <c r="AA1108" s="1" t="n">
        <f aca="false">N(AA1107)+$Z1108</f>
        <v>30</v>
      </c>
      <c r="AB1108" s="1" t="n">
        <f aca="false">IF(AND($M1108=1,LEFT(对接源_01水果!$D1108,4)="原料出库"),1,0)</f>
        <v>0</v>
      </c>
      <c r="AC1108" s="1" t="n">
        <f aca="false">N(AC1107)+$AB1108</f>
        <v>19</v>
      </c>
      <c r="AD1108" s="1" t="n">
        <f aca="false">IF(AND($M1108=1,LEFT(对接源_01水果!$D1108,4)="成品出库"),1,0)</f>
        <v>0</v>
      </c>
      <c r="AE1108" s="1" t="n">
        <f aca="false">N(AE1107)+$AD1108</f>
        <v>38</v>
      </c>
      <c r="AF1108" s="1" t="n">
        <f aca="false">IF(AND($N1108=1,AND(LEFT(对接源_01水果!$D1108,4)="包装物料",N(对接源_01水果!$K1108)&lt;&gt;0)),1,0)</f>
        <v>0</v>
      </c>
      <c r="AG1108" s="90" t="str">
        <f aca="false">IF(对接源_01水果!$AC1108="","",对接源_01水果!$AC1108)</f>
        <v/>
      </c>
      <c r="AH1108" s="1" t="n">
        <f aca="false">IF(AND($N1108=1,AND(LEFT(对接源_01水果!$D1108,3)="周转筐",N(对接源_01水果!$K1108)&lt;&gt;0)),1,0)</f>
        <v>0</v>
      </c>
      <c r="AI1108" s="90" t="n">
        <f aca="false">IF(AG1108="",0,IF(MATCH(AG1108,$AG$4:$AG$1203,0)=ROW()-3,1,0))</f>
        <v>0</v>
      </c>
      <c r="AJ1108" s="90" t="n">
        <f aca="false">N(AJ1107)+AI1108</f>
        <v>4</v>
      </c>
      <c r="AK1108" s="1" t="n">
        <f aca="false">N(AK1107)+$AJ1108</f>
        <v>3292</v>
      </c>
    </row>
    <row r="1109" customFormat="false" ht="13.5" hidden="false" customHeight="false" outlineLevel="0" collapsed="false">
      <c r="A1109" s="1" t="str">
        <f aca="false">IF(对接源_01水果!$C1109="","",对接源_01水果!$C1109)</f>
        <v/>
      </c>
      <c r="B1109" s="1" t="n">
        <f aca="false">IF(A1109="",0,IF(MATCH(A1109,$A$4:$A$2403,0)=ROW()-3,1,0))</f>
        <v>0</v>
      </c>
      <c r="C1109" s="1" t="n">
        <f aca="false">N(C1108)+B1109</f>
        <v>13</v>
      </c>
      <c r="K1109" s="1" t="n">
        <f aca="false">IF(OR($K$1="",对接源_01水果!$C1109="",对接源_01水果!$C1109&lt;&gt;$K$1,对接源_01水果!$B1109=""),0,IF(OR(N(对接源_01水果!$B1109)&lt;$K$2,N(对接源_01水果!$B1109)&gt;$K$3),0,1))</f>
        <v>0</v>
      </c>
      <c r="L1109" s="1" t="n">
        <f aca="false">IF(OR($L$1="",对接源_01水果!$C1109="",对接源_01水果!$C1109&lt;&gt;$L$1,对接源_01水果!$B1109=""),0,IF(OR(N(对接源_01水果!$B1109)&lt;$L$2,N(对接源_01水果!$B1109)&gt;$L$3),0,1))</f>
        <v>0</v>
      </c>
      <c r="M1109" s="1" t="n">
        <f aca="false">IF(OR($M$1="",对接源_01水果!$C1109="",对接源_01水果!$C1109&lt;&gt;$M$1,对接源_01水果!$B1109=""),0,IF(OR(N(对接源_01水果!$B1109)&lt;$M$2,N(对接源_01水果!$B1109)&gt;$M$3),0,1))</f>
        <v>0</v>
      </c>
      <c r="N1109" s="1" t="n">
        <f aca="false">IF(OR($N$1="",对接源_01水果!$C1109="",对接源_01水果!$C1109&lt;&gt;$N$1,对接源_01水果!$B1109=""),0,IF(OR(N(对接源_01水果!$B1109)&lt;$N$2,N(对接源_01水果!$B1109)&gt;$N$3),0,1))</f>
        <v>0</v>
      </c>
      <c r="P1109" s="1" t="n">
        <f aca="false">IF(AND($K1109=1,AND(对接源_01水果!$X1109="公司筐",N(对接源_01水果!$T1109)&lt;&gt;0)),1,0)</f>
        <v>0</v>
      </c>
      <c r="Q1109" s="1" t="n">
        <f aca="false">N(Q1108)+$P1109</f>
        <v>3</v>
      </c>
      <c r="R1109" s="1" t="n">
        <f aca="false">IF(AND($K1109=1,AND(对接源_01水果!$X1109="公司筐",N(对接源_01水果!$U1109)&lt;&gt;0)),1,0)</f>
        <v>0</v>
      </c>
      <c r="S1109" s="1" t="n">
        <f aca="false">N(S1108)+$R1109</f>
        <v>0</v>
      </c>
      <c r="T1109" s="1" t="n">
        <f aca="false">IF(AND($K1109=1,AND(对接源_01水果!$X1109="公司筐",N(对接源_01水果!$V1109)&lt;&gt;0)),1,0)</f>
        <v>0</v>
      </c>
      <c r="U1109" s="1" t="n">
        <f aca="false">N(U1108)+$T1109</f>
        <v>28</v>
      </c>
      <c r="V1109" s="1" t="n">
        <f aca="false">IF(AND($L1109=1,AND(对接源_01水果!$X1109="自备筐",N(对接源_01水果!$V1109)&lt;&gt;0)),1,0)</f>
        <v>0</v>
      </c>
      <c r="W1109" s="1" t="n">
        <f aca="false">N(W1108)+$V1109</f>
        <v>7</v>
      </c>
      <c r="X1109" s="1" t="n">
        <f aca="false">IF(AND($L1109=1,AND(对接源_01水果!$X1109="自备筐",N(对接源_01水果!$T1109)&lt;&gt;0)),1,0)</f>
        <v>0</v>
      </c>
      <c r="Y1109" s="1" t="n">
        <f aca="false">N(Y1108)+$X1109</f>
        <v>0</v>
      </c>
      <c r="Z1109" s="1" t="n">
        <f aca="false">IF(AND($M1109=1,对接源_01水果!$D1109="原料入库"),1,0)</f>
        <v>0</v>
      </c>
      <c r="AA1109" s="1" t="n">
        <f aca="false">N(AA1108)+$Z1109</f>
        <v>30</v>
      </c>
      <c r="AB1109" s="1" t="n">
        <f aca="false">IF(AND($M1109=1,LEFT(对接源_01水果!$D1109,4)="原料出库"),1,0)</f>
        <v>0</v>
      </c>
      <c r="AC1109" s="1" t="n">
        <f aca="false">N(AC1108)+$AB1109</f>
        <v>19</v>
      </c>
      <c r="AD1109" s="1" t="n">
        <f aca="false">IF(AND($M1109=1,LEFT(对接源_01水果!$D1109,4)="成品出库"),1,0)</f>
        <v>0</v>
      </c>
      <c r="AE1109" s="1" t="n">
        <f aca="false">N(AE1108)+$AD1109</f>
        <v>38</v>
      </c>
      <c r="AF1109" s="1" t="n">
        <f aca="false">IF(AND($N1109=1,AND(LEFT(对接源_01水果!$D1109,4)="包装物料",N(对接源_01水果!$K1109)&lt;&gt;0)),1,0)</f>
        <v>0</v>
      </c>
      <c r="AG1109" s="90" t="str">
        <f aca="false">IF(对接源_01水果!$AC1109="","",对接源_01水果!$AC1109)</f>
        <v/>
      </c>
      <c r="AH1109" s="1" t="n">
        <f aca="false">IF(AND($N1109=1,AND(LEFT(对接源_01水果!$D1109,3)="周转筐",N(对接源_01水果!$K1109)&lt;&gt;0)),1,0)</f>
        <v>0</v>
      </c>
      <c r="AI1109" s="90" t="n">
        <f aca="false">IF(AG1109="",0,IF(MATCH(AG1109,$AG$4:$AG$1203,0)=ROW()-3,1,0))</f>
        <v>0</v>
      </c>
      <c r="AJ1109" s="90" t="n">
        <f aca="false">N(AJ1108)+AI1109</f>
        <v>4</v>
      </c>
      <c r="AK1109" s="1" t="n">
        <f aca="false">N(AK1108)+$AJ1109</f>
        <v>3296</v>
      </c>
    </row>
    <row r="1110" customFormat="false" ht="13.5" hidden="false" customHeight="false" outlineLevel="0" collapsed="false">
      <c r="A1110" s="1" t="str">
        <f aca="false">IF(对接源_01水果!$C1110="","",对接源_01水果!$C1110)</f>
        <v/>
      </c>
      <c r="B1110" s="1" t="n">
        <f aca="false">IF(A1110="",0,IF(MATCH(A1110,$A$4:$A$2403,0)=ROW()-3,1,0))</f>
        <v>0</v>
      </c>
      <c r="C1110" s="1" t="n">
        <f aca="false">N(C1109)+B1110</f>
        <v>13</v>
      </c>
      <c r="K1110" s="1" t="n">
        <f aca="false">IF(OR($K$1="",对接源_01水果!$C1110="",对接源_01水果!$C1110&lt;&gt;$K$1,对接源_01水果!$B1110=""),0,IF(OR(N(对接源_01水果!$B1110)&lt;$K$2,N(对接源_01水果!$B1110)&gt;$K$3),0,1))</f>
        <v>0</v>
      </c>
      <c r="L1110" s="1" t="n">
        <f aca="false">IF(OR($L$1="",对接源_01水果!$C1110="",对接源_01水果!$C1110&lt;&gt;$L$1,对接源_01水果!$B1110=""),0,IF(OR(N(对接源_01水果!$B1110)&lt;$L$2,N(对接源_01水果!$B1110)&gt;$L$3),0,1))</f>
        <v>0</v>
      </c>
      <c r="M1110" s="1" t="n">
        <f aca="false">IF(OR($M$1="",对接源_01水果!$C1110="",对接源_01水果!$C1110&lt;&gt;$M$1,对接源_01水果!$B1110=""),0,IF(OR(N(对接源_01水果!$B1110)&lt;$M$2,N(对接源_01水果!$B1110)&gt;$M$3),0,1))</f>
        <v>0</v>
      </c>
      <c r="N1110" s="1" t="n">
        <f aca="false">IF(OR($N$1="",对接源_01水果!$C1110="",对接源_01水果!$C1110&lt;&gt;$N$1,对接源_01水果!$B1110=""),0,IF(OR(N(对接源_01水果!$B1110)&lt;$N$2,N(对接源_01水果!$B1110)&gt;$N$3),0,1))</f>
        <v>0</v>
      </c>
      <c r="P1110" s="1" t="n">
        <f aca="false">IF(AND($K1110=1,AND(对接源_01水果!$X1110="公司筐",N(对接源_01水果!$T1110)&lt;&gt;0)),1,0)</f>
        <v>0</v>
      </c>
      <c r="Q1110" s="1" t="n">
        <f aca="false">N(Q1109)+$P1110</f>
        <v>3</v>
      </c>
      <c r="R1110" s="1" t="n">
        <f aca="false">IF(AND($K1110=1,AND(对接源_01水果!$X1110="公司筐",N(对接源_01水果!$U1110)&lt;&gt;0)),1,0)</f>
        <v>0</v>
      </c>
      <c r="S1110" s="1" t="n">
        <f aca="false">N(S1109)+$R1110</f>
        <v>0</v>
      </c>
      <c r="T1110" s="1" t="n">
        <f aca="false">IF(AND($K1110=1,AND(对接源_01水果!$X1110="公司筐",N(对接源_01水果!$V1110)&lt;&gt;0)),1,0)</f>
        <v>0</v>
      </c>
      <c r="U1110" s="1" t="n">
        <f aca="false">N(U1109)+$T1110</f>
        <v>28</v>
      </c>
      <c r="V1110" s="1" t="n">
        <f aca="false">IF(AND($L1110=1,AND(对接源_01水果!$X1110="自备筐",N(对接源_01水果!$V1110)&lt;&gt;0)),1,0)</f>
        <v>0</v>
      </c>
      <c r="W1110" s="1" t="n">
        <f aca="false">N(W1109)+$V1110</f>
        <v>7</v>
      </c>
      <c r="X1110" s="1" t="n">
        <f aca="false">IF(AND($L1110=1,AND(对接源_01水果!$X1110="自备筐",N(对接源_01水果!$T1110)&lt;&gt;0)),1,0)</f>
        <v>0</v>
      </c>
      <c r="Y1110" s="1" t="n">
        <f aca="false">N(Y1109)+$X1110</f>
        <v>0</v>
      </c>
      <c r="Z1110" s="1" t="n">
        <f aca="false">IF(AND($M1110=1,对接源_01水果!$D1110="原料入库"),1,0)</f>
        <v>0</v>
      </c>
      <c r="AA1110" s="1" t="n">
        <f aca="false">N(AA1109)+$Z1110</f>
        <v>30</v>
      </c>
      <c r="AB1110" s="1" t="n">
        <f aca="false">IF(AND($M1110=1,LEFT(对接源_01水果!$D1110,4)="原料出库"),1,0)</f>
        <v>0</v>
      </c>
      <c r="AC1110" s="1" t="n">
        <f aca="false">N(AC1109)+$AB1110</f>
        <v>19</v>
      </c>
      <c r="AD1110" s="1" t="n">
        <f aca="false">IF(AND($M1110=1,LEFT(对接源_01水果!$D1110,4)="成品出库"),1,0)</f>
        <v>0</v>
      </c>
      <c r="AE1110" s="1" t="n">
        <f aca="false">N(AE1109)+$AD1110</f>
        <v>38</v>
      </c>
      <c r="AF1110" s="1" t="n">
        <f aca="false">IF(AND($N1110=1,AND(LEFT(对接源_01水果!$D1110,4)="包装物料",N(对接源_01水果!$K1110)&lt;&gt;0)),1,0)</f>
        <v>0</v>
      </c>
      <c r="AG1110" s="90" t="str">
        <f aca="false">IF(对接源_01水果!$AC1110="","",对接源_01水果!$AC1110)</f>
        <v/>
      </c>
      <c r="AH1110" s="1" t="n">
        <f aca="false">IF(AND($N1110=1,AND(LEFT(对接源_01水果!$D1110,3)="周转筐",N(对接源_01水果!$K1110)&lt;&gt;0)),1,0)</f>
        <v>0</v>
      </c>
      <c r="AI1110" s="90" t="n">
        <f aca="false">IF(AG1110="",0,IF(MATCH(AG1110,$AG$4:$AG$1203,0)=ROW()-3,1,0))</f>
        <v>0</v>
      </c>
      <c r="AJ1110" s="90" t="n">
        <f aca="false">N(AJ1109)+AI1110</f>
        <v>4</v>
      </c>
      <c r="AK1110" s="1" t="n">
        <f aca="false">N(AK1109)+$AJ1110</f>
        <v>3300</v>
      </c>
    </row>
    <row r="1111" customFormat="false" ht="13.5" hidden="false" customHeight="false" outlineLevel="0" collapsed="false">
      <c r="A1111" s="1" t="str">
        <f aca="false">IF(对接源_01水果!$C1111="","",对接源_01水果!$C1111)</f>
        <v/>
      </c>
      <c r="B1111" s="1" t="n">
        <f aca="false">IF(A1111="",0,IF(MATCH(A1111,$A$4:$A$2403,0)=ROW()-3,1,0))</f>
        <v>0</v>
      </c>
      <c r="C1111" s="1" t="n">
        <f aca="false">N(C1110)+B1111</f>
        <v>13</v>
      </c>
      <c r="K1111" s="1" t="n">
        <f aca="false">IF(OR($K$1="",对接源_01水果!$C1111="",对接源_01水果!$C1111&lt;&gt;$K$1,对接源_01水果!$B1111=""),0,IF(OR(N(对接源_01水果!$B1111)&lt;$K$2,N(对接源_01水果!$B1111)&gt;$K$3),0,1))</f>
        <v>0</v>
      </c>
      <c r="L1111" s="1" t="n">
        <f aca="false">IF(OR($L$1="",对接源_01水果!$C1111="",对接源_01水果!$C1111&lt;&gt;$L$1,对接源_01水果!$B1111=""),0,IF(OR(N(对接源_01水果!$B1111)&lt;$L$2,N(对接源_01水果!$B1111)&gt;$L$3),0,1))</f>
        <v>0</v>
      </c>
      <c r="M1111" s="1" t="n">
        <f aca="false">IF(OR($M$1="",对接源_01水果!$C1111="",对接源_01水果!$C1111&lt;&gt;$M$1,对接源_01水果!$B1111=""),0,IF(OR(N(对接源_01水果!$B1111)&lt;$M$2,N(对接源_01水果!$B1111)&gt;$M$3),0,1))</f>
        <v>0</v>
      </c>
      <c r="N1111" s="1" t="n">
        <f aca="false">IF(OR($N$1="",对接源_01水果!$C1111="",对接源_01水果!$C1111&lt;&gt;$N$1,对接源_01水果!$B1111=""),0,IF(OR(N(对接源_01水果!$B1111)&lt;$N$2,N(对接源_01水果!$B1111)&gt;$N$3),0,1))</f>
        <v>0</v>
      </c>
      <c r="P1111" s="1" t="n">
        <f aca="false">IF(AND($K1111=1,AND(对接源_01水果!$X1111="公司筐",N(对接源_01水果!$T1111)&lt;&gt;0)),1,0)</f>
        <v>0</v>
      </c>
      <c r="Q1111" s="1" t="n">
        <f aca="false">N(Q1110)+$P1111</f>
        <v>3</v>
      </c>
      <c r="R1111" s="1" t="n">
        <f aca="false">IF(AND($K1111=1,AND(对接源_01水果!$X1111="公司筐",N(对接源_01水果!$U1111)&lt;&gt;0)),1,0)</f>
        <v>0</v>
      </c>
      <c r="S1111" s="1" t="n">
        <f aca="false">N(S1110)+$R1111</f>
        <v>0</v>
      </c>
      <c r="T1111" s="1" t="n">
        <f aca="false">IF(AND($K1111=1,AND(对接源_01水果!$X1111="公司筐",N(对接源_01水果!$V1111)&lt;&gt;0)),1,0)</f>
        <v>0</v>
      </c>
      <c r="U1111" s="1" t="n">
        <f aca="false">N(U1110)+$T1111</f>
        <v>28</v>
      </c>
      <c r="V1111" s="1" t="n">
        <f aca="false">IF(AND($L1111=1,AND(对接源_01水果!$X1111="自备筐",N(对接源_01水果!$V1111)&lt;&gt;0)),1,0)</f>
        <v>0</v>
      </c>
      <c r="W1111" s="1" t="n">
        <f aca="false">N(W1110)+$V1111</f>
        <v>7</v>
      </c>
      <c r="X1111" s="1" t="n">
        <f aca="false">IF(AND($L1111=1,AND(对接源_01水果!$X1111="自备筐",N(对接源_01水果!$T1111)&lt;&gt;0)),1,0)</f>
        <v>0</v>
      </c>
      <c r="Y1111" s="1" t="n">
        <f aca="false">N(Y1110)+$X1111</f>
        <v>0</v>
      </c>
      <c r="Z1111" s="1" t="n">
        <f aca="false">IF(AND($M1111=1,对接源_01水果!$D1111="原料入库"),1,0)</f>
        <v>0</v>
      </c>
      <c r="AA1111" s="1" t="n">
        <f aca="false">N(AA1110)+$Z1111</f>
        <v>30</v>
      </c>
      <c r="AB1111" s="1" t="n">
        <f aca="false">IF(AND($M1111=1,LEFT(对接源_01水果!$D1111,4)="原料出库"),1,0)</f>
        <v>0</v>
      </c>
      <c r="AC1111" s="1" t="n">
        <f aca="false">N(AC1110)+$AB1111</f>
        <v>19</v>
      </c>
      <c r="AD1111" s="1" t="n">
        <f aca="false">IF(AND($M1111=1,LEFT(对接源_01水果!$D1111,4)="成品出库"),1,0)</f>
        <v>0</v>
      </c>
      <c r="AE1111" s="1" t="n">
        <f aca="false">N(AE1110)+$AD1111</f>
        <v>38</v>
      </c>
      <c r="AF1111" s="1" t="n">
        <f aca="false">IF(AND($N1111=1,AND(LEFT(对接源_01水果!$D1111,4)="包装物料",N(对接源_01水果!$K1111)&lt;&gt;0)),1,0)</f>
        <v>0</v>
      </c>
      <c r="AG1111" s="90" t="str">
        <f aca="false">IF(对接源_01水果!$AC1111="","",对接源_01水果!$AC1111)</f>
        <v/>
      </c>
      <c r="AH1111" s="1" t="n">
        <f aca="false">IF(AND($N1111=1,AND(LEFT(对接源_01水果!$D1111,3)="周转筐",N(对接源_01水果!$K1111)&lt;&gt;0)),1,0)</f>
        <v>0</v>
      </c>
      <c r="AI1111" s="90" t="n">
        <f aca="false">IF(AG1111="",0,IF(MATCH(AG1111,$AG$4:$AG$1203,0)=ROW()-3,1,0))</f>
        <v>0</v>
      </c>
      <c r="AJ1111" s="90" t="n">
        <f aca="false">N(AJ1110)+AI1111</f>
        <v>4</v>
      </c>
      <c r="AK1111" s="1" t="n">
        <f aca="false">N(AK1110)+$AJ1111</f>
        <v>3304</v>
      </c>
    </row>
    <row r="1112" customFormat="false" ht="13.5" hidden="false" customHeight="false" outlineLevel="0" collapsed="false">
      <c r="A1112" s="1" t="str">
        <f aca="false">IF(对接源_01水果!$C1112="","",对接源_01水果!$C1112)</f>
        <v/>
      </c>
      <c r="B1112" s="1" t="n">
        <f aca="false">IF(A1112="",0,IF(MATCH(A1112,$A$4:$A$2403,0)=ROW()-3,1,0))</f>
        <v>0</v>
      </c>
      <c r="C1112" s="1" t="n">
        <f aca="false">N(C1111)+B1112</f>
        <v>13</v>
      </c>
      <c r="K1112" s="1" t="n">
        <f aca="false">IF(OR($K$1="",对接源_01水果!$C1112="",对接源_01水果!$C1112&lt;&gt;$K$1,对接源_01水果!$B1112=""),0,IF(OR(N(对接源_01水果!$B1112)&lt;$K$2,N(对接源_01水果!$B1112)&gt;$K$3),0,1))</f>
        <v>0</v>
      </c>
      <c r="L1112" s="1" t="n">
        <f aca="false">IF(OR($L$1="",对接源_01水果!$C1112="",对接源_01水果!$C1112&lt;&gt;$L$1,对接源_01水果!$B1112=""),0,IF(OR(N(对接源_01水果!$B1112)&lt;$L$2,N(对接源_01水果!$B1112)&gt;$L$3),0,1))</f>
        <v>0</v>
      </c>
      <c r="M1112" s="1" t="n">
        <f aca="false">IF(OR($M$1="",对接源_01水果!$C1112="",对接源_01水果!$C1112&lt;&gt;$M$1,对接源_01水果!$B1112=""),0,IF(OR(N(对接源_01水果!$B1112)&lt;$M$2,N(对接源_01水果!$B1112)&gt;$M$3),0,1))</f>
        <v>0</v>
      </c>
      <c r="N1112" s="1" t="n">
        <f aca="false">IF(OR($N$1="",对接源_01水果!$C1112="",对接源_01水果!$C1112&lt;&gt;$N$1,对接源_01水果!$B1112=""),0,IF(OR(N(对接源_01水果!$B1112)&lt;$N$2,N(对接源_01水果!$B1112)&gt;$N$3),0,1))</f>
        <v>0</v>
      </c>
      <c r="P1112" s="1" t="n">
        <f aca="false">IF(AND($K1112=1,AND(对接源_01水果!$X1112="公司筐",N(对接源_01水果!$T1112)&lt;&gt;0)),1,0)</f>
        <v>0</v>
      </c>
      <c r="Q1112" s="1" t="n">
        <f aca="false">N(Q1111)+$P1112</f>
        <v>3</v>
      </c>
      <c r="R1112" s="1" t="n">
        <f aca="false">IF(AND($K1112=1,AND(对接源_01水果!$X1112="公司筐",N(对接源_01水果!$U1112)&lt;&gt;0)),1,0)</f>
        <v>0</v>
      </c>
      <c r="S1112" s="1" t="n">
        <f aca="false">N(S1111)+$R1112</f>
        <v>0</v>
      </c>
      <c r="T1112" s="1" t="n">
        <f aca="false">IF(AND($K1112=1,AND(对接源_01水果!$X1112="公司筐",N(对接源_01水果!$V1112)&lt;&gt;0)),1,0)</f>
        <v>0</v>
      </c>
      <c r="U1112" s="1" t="n">
        <f aca="false">N(U1111)+$T1112</f>
        <v>28</v>
      </c>
      <c r="V1112" s="1" t="n">
        <f aca="false">IF(AND($L1112=1,AND(对接源_01水果!$X1112="自备筐",N(对接源_01水果!$V1112)&lt;&gt;0)),1,0)</f>
        <v>0</v>
      </c>
      <c r="W1112" s="1" t="n">
        <f aca="false">N(W1111)+$V1112</f>
        <v>7</v>
      </c>
      <c r="X1112" s="1" t="n">
        <f aca="false">IF(AND($L1112=1,AND(对接源_01水果!$X1112="自备筐",N(对接源_01水果!$T1112)&lt;&gt;0)),1,0)</f>
        <v>0</v>
      </c>
      <c r="Y1112" s="1" t="n">
        <f aca="false">N(Y1111)+$X1112</f>
        <v>0</v>
      </c>
      <c r="Z1112" s="1" t="n">
        <f aca="false">IF(AND($M1112=1,对接源_01水果!$D1112="原料入库"),1,0)</f>
        <v>0</v>
      </c>
      <c r="AA1112" s="1" t="n">
        <f aca="false">N(AA1111)+$Z1112</f>
        <v>30</v>
      </c>
      <c r="AB1112" s="1" t="n">
        <f aca="false">IF(AND($M1112=1,LEFT(对接源_01水果!$D1112,4)="原料出库"),1,0)</f>
        <v>0</v>
      </c>
      <c r="AC1112" s="1" t="n">
        <f aca="false">N(AC1111)+$AB1112</f>
        <v>19</v>
      </c>
      <c r="AD1112" s="1" t="n">
        <f aca="false">IF(AND($M1112=1,LEFT(对接源_01水果!$D1112,4)="成品出库"),1,0)</f>
        <v>0</v>
      </c>
      <c r="AE1112" s="1" t="n">
        <f aca="false">N(AE1111)+$AD1112</f>
        <v>38</v>
      </c>
      <c r="AF1112" s="1" t="n">
        <f aca="false">IF(AND($N1112=1,AND(LEFT(对接源_01水果!$D1112,4)="包装物料",N(对接源_01水果!$K1112)&lt;&gt;0)),1,0)</f>
        <v>0</v>
      </c>
      <c r="AG1112" s="90" t="str">
        <f aca="false">IF(对接源_01水果!$AC1112="","",对接源_01水果!$AC1112)</f>
        <v/>
      </c>
      <c r="AH1112" s="1" t="n">
        <f aca="false">IF(AND($N1112=1,AND(LEFT(对接源_01水果!$D1112,3)="周转筐",N(对接源_01水果!$K1112)&lt;&gt;0)),1,0)</f>
        <v>0</v>
      </c>
      <c r="AI1112" s="90" t="n">
        <f aca="false">IF(AG1112="",0,IF(MATCH(AG1112,$AG$4:$AG$1203,0)=ROW()-3,1,0))</f>
        <v>0</v>
      </c>
      <c r="AJ1112" s="90" t="n">
        <f aca="false">N(AJ1111)+AI1112</f>
        <v>4</v>
      </c>
      <c r="AK1112" s="1" t="n">
        <f aca="false">N(AK1111)+$AJ1112</f>
        <v>3308</v>
      </c>
    </row>
    <row r="1113" customFormat="false" ht="13.5" hidden="false" customHeight="false" outlineLevel="0" collapsed="false">
      <c r="A1113" s="1" t="str">
        <f aca="false">IF(对接源_01水果!$C1113="","",对接源_01水果!$C1113)</f>
        <v/>
      </c>
      <c r="B1113" s="1" t="n">
        <f aca="false">IF(A1113="",0,IF(MATCH(A1113,$A$4:$A$2403,0)=ROW()-3,1,0))</f>
        <v>0</v>
      </c>
      <c r="C1113" s="1" t="n">
        <f aca="false">N(C1112)+B1113</f>
        <v>13</v>
      </c>
      <c r="K1113" s="1" t="n">
        <f aca="false">IF(OR($K$1="",对接源_01水果!$C1113="",对接源_01水果!$C1113&lt;&gt;$K$1,对接源_01水果!$B1113=""),0,IF(OR(N(对接源_01水果!$B1113)&lt;$K$2,N(对接源_01水果!$B1113)&gt;$K$3),0,1))</f>
        <v>0</v>
      </c>
      <c r="L1113" s="1" t="n">
        <f aca="false">IF(OR($L$1="",对接源_01水果!$C1113="",对接源_01水果!$C1113&lt;&gt;$L$1,对接源_01水果!$B1113=""),0,IF(OR(N(对接源_01水果!$B1113)&lt;$L$2,N(对接源_01水果!$B1113)&gt;$L$3),0,1))</f>
        <v>0</v>
      </c>
      <c r="M1113" s="1" t="n">
        <f aca="false">IF(OR($M$1="",对接源_01水果!$C1113="",对接源_01水果!$C1113&lt;&gt;$M$1,对接源_01水果!$B1113=""),0,IF(OR(N(对接源_01水果!$B1113)&lt;$M$2,N(对接源_01水果!$B1113)&gt;$M$3),0,1))</f>
        <v>0</v>
      </c>
      <c r="N1113" s="1" t="n">
        <f aca="false">IF(OR($N$1="",对接源_01水果!$C1113="",对接源_01水果!$C1113&lt;&gt;$N$1,对接源_01水果!$B1113=""),0,IF(OR(N(对接源_01水果!$B1113)&lt;$N$2,N(对接源_01水果!$B1113)&gt;$N$3),0,1))</f>
        <v>0</v>
      </c>
      <c r="P1113" s="1" t="n">
        <f aca="false">IF(AND($K1113=1,AND(对接源_01水果!$X1113="公司筐",N(对接源_01水果!$T1113)&lt;&gt;0)),1,0)</f>
        <v>0</v>
      </c>
      <c r="Q1113" s="1" t="n">
        <f aca="false">N(Q1112)+$P1113</f>
        <v>3</v>
      </c>
      <c r="R1113" s="1" t="n">
        <f aca="false">IF(AND($K1113=1,AND(对接源_01水果!$X1113="公司筐",N(对接源_01水果!$U1113)&lt;&gt;0)),1,0)</f>
        <v>0</v>
      </c>
      <c r="S1113" s="1" t="n">
        <f aca="false">N(S1112)+$R1113</f>
        <v>0</v>
      </c>
      <c r="T1113" s="1" t="n">
        <f aca="false">IF(AND($K1113=1,AND(对接源_01水果!$X1113="公司筐",N(对接源_01水果!$V1113)&lt;&gt;0)),1,0)</f>
        <v>0</v>
      </c>
      <c r="U1113" s="1" t="n">
        <f aca="false">N(U1112)+$T1113</f>
        <v>28</v>
      </c>
      <c r="V1113" s="1" t="n">
        <f aca="false">IF(AND($L1113=1,AND(对接源_01水果!$X1113="自备筐",N(对接源_01水果!$V1113)&lt;&gt;0)),1,0)</f>
        <v>0</v>
      </c>
      <c r="W1113" s="1" t="n">
        <f aca="false">N(W1112)+$V1113</f>
        <v>7</v>
      </c>
      <c r="X1113" s="1" t="n">
        <f aca="false">IF(AND($L1113=1,AND(对接源_01水果!$X1113="自备筐",N(对接源_01水果!$T1113)&lt;&gt;0)),1,0)</f>
        <v>0</v>
      </c>
      <c r="Y1113" s="1" t="n">
        <f aca="false">N(Y1112)+$X1113</f>
        <v>0</v>
      </c>
      <c r="Z1113" s="1" t="n">
        <f aca="false">IF(AND($M1113=1,对接源_01水果!$D1113="原料入库"),1,0)</f>
        <v>0</v>
      </c>
      <c r="AA1113" s="1" t="n">
        <f aca="false">N(AA1112)+$Z1113</f>
        <v>30</v>
      </c>
      <c r="AB1113" s="1" t="n">
        <f aca="false">IF(AND($M1113=1,LEFT(对接源_01水果!$D1113,4)="原料出库"),1,0)</f>
        <v>0</v>
      </c>
      <c r="AC1113" s="1" t="n">
        <f aca="false">N(AC1112)+$AB1113</f>
        <v>19</v>
      </c>
      <c r="AD1113" s="1" t="n">
        <f aca="false">IF(AND($M1113=1,LEFT(对接源_01水果!$D1113,4)="成品出库"),1,0)</f>
        <v>0</v>
      </c>
      <c r="AE1113" s="1" t="n">
        <f aca="false">N(AE1112)+$AD1113</f>
        <v>38</v>
      </c>
      <c r="AF1113" s="1" t="n">
        <f aca="false">IF(AND($N1113=1,AND(LEFT(对接源_01水果!$D1113,4)="包装物料",N(对接源_01水果!$K1113)&lt;&gt;0)),1,0)</f>
        <v>0</v>
      </c>
      <c r="AG1113" s="90" t="str">
        <f aca="false">IF(对接源_01水果!$AC1113="","",对接源_01水果!$AC1113)</f>
        <v/>
      </c>
      <c r="AH1113" s="1" t="n">
        <f aca="false">IF(AND($N1113=1,AND(LEFT(对接源_01水果!$D1113,3)="周转筐",N(对接源_01水果!$K1113)&lt;&gt;0)),1,0)</f>
        <v>0</v>
      </c>
      <c r="AI1113" s="90" t="n">
        <f aca="false">IF(AG1113="",0,IF(MATCH(AG1113,$AG$4:$AG$1203,0)=ROW()-3,1,0))</f>
        <v>0</v>
      </c>
      <c r="AJ1113" s="90" t="n">
        <f aca="false">N(AJ1112)+AI1113</f>
        <v>4</v>
      </c>
      <c r="AK1113" s="1" t="n">
        <f aca="false">N(AK1112)+$AJ1113</f>
        <v>3312</v>
      </c>
    </row>
    <row r="1114" customFormat="false" ht="13.5" hidden="false" customHeight="false" outlineLevel="0" collapsed="false">
      <c r="A1114" s="1" t="str">
        <f aca="false">IF(对接源_01水果!$C1114="","",对接源_01水果!$C1114)</f>
        <v/>
      </c>
      <c r="B1114" s="1" t="n">
        <f aca="false">IF(A1114="",0,IF(MATCH(A1114,$A$4:$A$2403,0)=ROW()-3,1,0))</f>
        <v>0</v>
      </c>
      <c r="C1114" s="1" t="n">
        <f aca="false">N(C1113)+B1114</f>
        <v>13</v>
      </c>
      <c r="K1114" s="1" t="n">
        <f aca="false">IF(OR($K$1="",对接源_01水果!$C1114="",对接源_01水果!$C1114&lt;&gt;$K$1,对接源_01水果!$B1114=""),0,IF(OR(N(对接源_01水果!$B1114)&lt;$K$2,N(对接源_01水果!$B1114)&gt;$K$3),0,1))</f>
        <v>0</v>
      </c>
      <c r="L1114" s="1" t="n">
        <f aca="false">IF(OR($L$1="",对接源_01水果!$C1114="",对接源_01水果!$C1114&lt;&gt;$L$1,对接源_01水果!$B1114=""),0,IF(OR(N(对接源_01水果!$B1114)&lt;$L$2,N(对接源_01水果!$B1114)&gt;$L$3),0,1))</f>
        <v>0</v>
      </c>
      <c r="M1114" s="1" t="n">
        <f aca="false">IF(OR($M$1="",对接源_01水果!$C1114="",对接源_01水果!$C1114&lt;&gt;$M$1,对接源_01水果!$B1114=""),0,IF(OR(N(对接源_01水果!$B1114)&lt;$M$2,N(对接源_01水果!$B1114)&gt;$M$3),0,1))</f>
        <v>0</v>
      </c>
      <c r="N1114" s="1" t="n">
        <f aca="false">IF(OR($N$1="",对接源_01水果!$C1114="",对接源_01水果!$C1114&lt;&gt;$N$1,对接源_01水果!$B1114=""),0,IF(OR(N(对接源_01水果!$B1114)&lt;$N$2,N(对接源_01水果!$B1114)&gt;$N$3),0,1))</f>
        <v>0</v>
      </c>
      <c r="P1114" s="1" t="n">
        <f aca="false">IF(AND($K1114=1,AND(对接源_01水果!$X1114="公司筐",N(对接源_01水果!$T1114)&lt;&gt;0)),1,0)</f>
        <v>0</v>
      </c>
      <c r="Q1114" s="1" t="n">
        <f aca="false">N(Q1113)+$P1114</f>
        <v>3</v>
      </c>
      <c r="R1114" s="1" t="n">
        <f aca="false">IF(AND($K1114=1,AND(对接源_01水果!$X1114="公司筐",N(对接源_01水果!$U1114)&lt;&gt;0)),1,0)</f>
        <v>0</v>
      </c>
      <c r="S1114" s="1" t="n">
        <f aca="false">N(S1113)+$R1114</f>
        <v>0</v>
      </c>
      <c r="T1114" s="1" t="n">
        <f aca="false">IF(AND($K1114=1,AND(对接源_01水果!$X1114="公司筐",N(对接源_01水果!$V1114)&lt;&gt;0)),1,0)</f>
        <v>0</v>
      </c>
      <c r="U1114" s="1" t="n">
        <f aca="false">N(U1113)+$T1114</f>
        <v>28</v>
      </c>
      <c r="V1114" s="1" t="n">
        <f aca="false">IF(AND($L1114=1,AND(对接源_01水果!$X1114="自备筐",N(对接源_01水果!$V1114)&lt;&gt;0)),1,0)</f>
        <v>0</v>
      </c>
      <c r="W1114" s="1" t="n">
        <f aca="false">N(W1113)+$V1114</f>
        <v>7</v>
      </c>
      <c r="X1114" s="1" t="n">
        <f aca="false">IF(AND($L1114=1,AND(对接源_01水果!$X1114="自备筐",N(对接源_01水果!$T1114)&lt;&gt;0)),1,0)</f>
        <v>0</v>
      </c>
      <c r="Y1114" s="1" t="n">
        <f aca="false">N(Y1113)+$X1114</f>
        <v>0</v>
      </c>
      <c r="Z1114" s="1" t="n">
        <f aca="false">IF(AND($M1114=1,对接源_01水果!$D1114="原料入库"),1,0)</f>
        <v>0</v>
      </c>
      <c r="AA1114" s="1" t="n">
        <f aca="false">N(AA1113)+$Z1114</f>
        <v>30</v>
      </c>
      <c r="AB1114" s="1" t="n">
        <f aca="false">IF(AND($M1114=1,LEFT(对接源_01水果!$D1114,4)="原料出库"),1,0)</f>
        <v>0</v>
      </c>
      <c r="AC1114" s="1" t="n">
        <f aca="false">N(AC1113)+$AB1114</f>
        <v>19</v>
      </c>
      <c r="AD1114" s="1" t="n">
        <f aca="false">IF(AND($M1114=1,LEFT(对接源_01水果!$D1114,4)="成品出库"),1,0)</f>
        <v>0</v>
      </c>
      <c r="AE1114" s="1" t="n">
        <f aca="false">N(AE1113)+$AD1114</f>
        <v>38</v>
      </c>
      <c r="AF1114" s="1" t="n">
        <f aca="false">IF(AND($N1114=1,AND(LEFT(对接源_01水果!$D1114,4)="包装物料",N(对接源_01水果!$K1114)&lt;&gt;0)),1,0)</f>
        <v>0</v>
      </c>
      <c r="AG1114" s="90" t="str">
        <f aca="false">IF(对接源_01水果!$AC1114="","",对接源_01水果!$AC1114)</f>
        <v/>
      </c>
      <c r="AH1114" s="1" t="n">
        <f aca="false">IF(AND($N1114=1,AND(LEFT(对接源_01水果!$D1114,3)="周转筐",N(对接源_01水果!$K1114)&lt;&gt;0)),1,0)</f>
        <v>0</v>
      </c>
      <c r="AI1114" s="90" t="n">
        <f aca="false">IF(AG1114="",0,IF(MATCH(AG1114,$AG$4:$AG$1203,0)=ROW()-3,1,0))</f>
        <v>0</v>
      </c>
      <c r="AJ1114" s="90" t="n">
        <f aca="false">N(AJ1113)+AI1114</f>
        <v>4</v>
      </c>
      <c r="AK1114" s="1" t="n">
        <f aca="false">N(AK1113)+$AJ1114</f>
        <v>3316</v>
      </c>
    </row>
    <row r="1115" customFormat="false" ht="13.5" hidden="false" customHeight="false" outlineLevel="0" collapsed="false">
      <c r="A1115" s="1" t="str">
        <f aca="false">IF(对接源_01水果!$C1115="","",对接源_01水果!$C1115)</f>
        <v/>
      </c>
      <c r="B1115" s="1" t="n">
        <f aca="false">IF(A1115="",0,IF(MATCH(A1115,$A$4:$A$2403,0)=ROW()-3,1,0))</f>
        <v>0</v>
      </c>
      <c r="C1115" s="1" t="n">
        <f aca="false">N(C1114)+B1115</f>
        <v>13</v>
      </c>
      <c r="K1115" s="1" t="n">
        <f aca="false">IF(OR($K$1="",对接源_01水果!$C1115="",对接源_01水果!$C1115&lt;&gt;$K$1,对接源_01水果!$B1115=""),0,IF(OR(N(对接源_01水果!$B1115)&lt;$K$2,N(对接源_01水果!$B1115)&gt;$K$3),0,1))</f>
        <v>0</v>
      </c>
      <c r="L1115" s="1" t="n">
        <f aca="false">IF(OR($L$1="",对接源_01水果!$C1115="",对接源_01水果!$C1115&lt;&gt;$L$1,对接源_01水果!$B1115=""),0,IF(OR(N(对接源_01水果!$B1115)&lt;$L$2,N(对接源_01水果!$B1115)&gt;$L$3),0,1))</f>
        <v>0</v>
      </c>
      <c r="M1115" s="1" t="n">
        <f aca="false">IF(OR($M$1="",对接源_01水果!$C1115="",对接源_01水果!$C1115&lt;&gt;$M$1,对接源_01水果!$B1115=""),0,IF(OR(N(对接源_01水果!$B1115)&lt;$M$2,N(对接源_01水果!$B1115)&gt;$M$3),0,1))</f>
        <v>0</v>
      </c>
      <c r="N1115" s="1" t="n">
        <f aca="false">IF(OR($N$1="",对接源_01水果!$C1115="",对接源_01水果!$C1115&lt;&gt;$N$1,对接源_01水果!$B1115=""),0,IF(OR(N(对接源_01水果!$B1115)&lt;$N$2,N(对接源_01水果!$B1115)&gt;$N$3),0,1))</f>
        <v>0</v>
      </c>
      <c r="P1115" s="1" t="n">
        <f aca="false">IF(AND($K1115=1,AND(对接源_01水果!$X1115="公司筐",N(对接源_01水果!$T1115)&lt;&gt;0)),1,0)</f>
        <v>0</v>
      </c>
      <c r="Q1115" s="1" t="n">
        <f aca="false">N(Q1114)+$P1115</f>
        <v>3</v>
      </c>
      <c r="R1115" s="1" t="n">
        <f aca="false">IF(AND($K1115=1,AND(对接源_01水果!$X1115="公司筐",N(对接源_01水果!$U1115)&lt;&gt;0)),1,0)</f>
        <v>0</v>
      </c>
      <c r="S1115" s="1" t="n">
        <f aca="false">N(S1114)+$R1115</f>
        <v>0</v>
      </c>
      <c r="T1115" s="1" t="n">
        <f aca="false">IF(AND($K1115=1,AND(对接源_01水果!$X1115="公司筐",N(对接源_01水果!$V1115)&lt;&gt;0)),1,0)</f>
        <v>0</v>
      </c>
      <c r="U1115" s="1" t="n">
        <f aca="false">N(U1114)+$T1115</f>
        <v>28</v>
      </c>
      <c r="V1115" s="1" t="n">
        <f aca="false">IF(AND($L1115=1,AND(对接源_01水果!$X1115="自备筐",N(对接源_01水果!$V1115)&lt;&gt;0)),1,0)</f>
        <v>0</v>
      </c>
      <c r="W1115" s="1" t="n">
        <f aca="false">N(W1114)+$V1115</f>
        <v>7</v>
      </c>
      <c r="X1115" s="1" t="n">
        <f aca="false">IF(AND($L1115=1,AND(对接源_01水果!$X1115="自备筐",N(对接源_01水果!$T1115)&lt;&gt;0)),1,0)</f>
        <v>0</v>
      </c>
      <c r="Y1115" s="1" t="n">
        <f aca="false">N(Y1114)+$X1115</f>
        <v>0</v>
      </c>
      <c r="Z1115" s="1" t="n">
        <f aca="false">IF(AND($M1115=1,对接源_01水果!$D1115="原料入库"),1,0)</f>
        <v>0</v>
      </c>
      <c r="AA1115" s="1" t="n">
        <f aca="false">N(AA1114)+$Z1115</f>
        <v>30</v>
      </c>
      <c r="AB1115" s="1" t="n">
        <f aca="false">IF(AND($M1115=1,LEFT(对接源_01水果!$D1115,4)="原料出库"),1,0)</f>
        <v>0</v>
      </c>
      <c r="AC1115" s="1" t="n">
        <f aca="false">N(AC1114)+$AB1115</f>
        <v>19</v>
      </c>
      <c r="AD1115" s="1" t="n">
        <f aca="false">IF(AND($M1115=1,LEFT(对接源_01水果!$D1115,4)="成品出库"),1,0)</f>
        <v>0</v>
      </c>
      <c r="AE1115" s="1" t="n">
        <f aca="false">N(AE1114)+$AD1115</f>
        <v>38</v>
      </c>
      <c r="AF1115" s="1" t="n">
        <f aca="false">IF(AND($N1115=1,AND(LEFT(对接源_01水果!$D1115,4)="包装物料",N(对接源_01水果!$K1115)&lt;&gt;0)),1,0)</f>
        <v>0</v>
      </c>
      <c r="AG1115" s="90" t="str">
        <f aca="false">IF(对接源_01水果!$AC1115="","",对接源_01水果!$AC1115)</f>
        <v/>
      </c>
      <c r="AH1115" s="1" t="n">
        <f aca="false">IF(AND($N1115=1,AND(LEFT(对接源_01水果!$D1115,3)="周转筐",N(对接源_01水果!$K1115)&lt;&gt;0)),1,0)</f>
        <v>0</v>
      </c>
      <c r="AI1115" s="90" t="n">
        <f aca="false">IF(AG1115="",0,IF(MATCH(AG1115,$AG$4:$AG$1203,0)=ROW()-3,1,0))</f>
        <v>0</v>
      </c>
      <c r="AJ1115" s="90" t="n">
        <f aca="false">N(AJ1114)+AI1115</f>
        <v>4</v>
      </c>
      <c r="AK1115" s="1" t="n">
        <f aca="false">N(AK1114)+$AJ1115</f>
        <v>3320</v>
      </c>
    </row>
    <row r="1116" customFormat="false" ht="13.5" hidden="false" customHeight="false" outlineLevel="0" collapsed="false">
      <c r="A1116" s="1" t="str">
        <f aca="false">IF(对接源_01水果!$C1116="","",对接源_01水果!$C1116)</f>
        <v/>
      </c>
      <c r="B1116" s="1" t="n">
        <f aca="false">IF(A1116="",0,IF(MATCH(A1116,$A$4:$A$2403,0)=ROW()-3,1,0))</f>
        <v>0</v>
      </c>
      <c r="C1116" s="1" t="n">
        <f aca="false">N(C1115)+B1116</f>
        <v>13</v>
      </c>
      <c r="K1116" s="1" t="n">
        <f aca="false">IF(OR($K$1="",对接源_01水果!$C1116="",对接源_01水果!$C1116&lt;&gt;$K$1,对接源_01水果!$B1116=""),0,IF(OR(N(对接源_01水果!$B1116)&lt;$K$2,N(对接源_01水果!$B1116)&gt;$K$3),0,1))</f>
        <v>0</v>
      </c>
      <c r="L1116" s="1" t="n">
        <f aca="false">IF(OR($L$1="",对接源_01水果!$C1116="",对接源_01水果!$C1116&lt;&gt;$L$1,对接源_01水果!$B1116=""),0,IF(OR(N(对接源_01水果!$B1116)&lt;$L$2,N(对接源_01水果!$B1116)&gt;$L$3),0,1))</f>
        <v>0</v>
      </c>
      <c r="M1116" s="1" t="n">
        <f aca="false">IF(OR($M$1="",对接源_01水果!$C1116="",对接源_01水果!$C1116&lt;&gt;$M$1,对接源_01水果!$B1116=""),0,IF(OR(N(对接源_01水果!$B1116)&lt;$M$2,N(对接源_01水果!$B1116)&gt;$M$3),0,1))</f>
        <v>0</v>
      </c>
      <c r="N1116" s="1" t="n">
        <f aca="false">IF(OR($N$1="",对接源_01水果!$C1116="",对接源_01水果!$C1116&lt;&gt;$N$1,对接源_01水果!$B1116=""),0,IF(OR(N(对接源_01水果!$B1116)&lt;$N$2,N(对接源_01水果!$B1116)&gt;$N$3),0,1))</f>
        <v>0</v>
      </c>
      <c r="P1116" s="1" t="n">
        <f aca="false">IF(AND($K1116=1,AND(对接源_01水果!$X1116="公司筐",N(对接源_01水果!$T1116)&lt;&gt;0)),1,0)</f>
        <v>0</v>
      </c>
      <c r="Q1116" s="1" t="n">
        <f aca="false">N(Q1115)+$P1116</f>
        <v>3</v>
      </c>
      <c r="R1116" s="1" t="n">
        <f aca="false">IF(AND($K1116=1,AND(对接源_01水果!$X1116="公司筐",N(对接源_01水果!$U1116)&lt;&gt;0)),1,0)</f>
        <v>0</v>
      </c>
      <c r="S1116" s="1" t="n">
        <f aca="false">N(S1115)+$R1116</f>
        <v>0</v>
      </c>
      <c r="T1116" s="1" t="n">
        <f aca="false">IF(AND($K1116=1,AND(对接源_01水果!$X1116="公司筐",N(对接源_01水果!$V1116)&lt;&gt;0)),1,0)</f>
        <v>0</v>
      </c>
      <c r="U1116" s="1" t="n">
        <f aca="false">N(U1115)+$T1116</f>
        <v>28</v>
      </c>
      <c r="V1116" s="1" t="n">
        <f aca="false">IF(AND($L1116=1,AND(对接源_01水果!$X1116="自备筐",N(对接源_01水果!$V1116)&lt;&gt;0)),1,0)</f>
        <v>0</v>
      </c>
      <c r="W1116" s="1" t="n">
        <f aca="false">N(W1115)+$V1116</f>
        <v>7</v>
      </c>
      <c r="X1116" s="1" t="n">
        <f aca="false">IF(AND($L1116=1,AND(对接源_01水果!$X1116="自备筐",N(对接源_01水果!$T1116)&lt;&gt;0)),1,0)</f>
        <v>0</v>
      </c>
      <c r="Y1116" s="1" t="n">
        <f aca="false">N(Y1115)+$X1116</f>
        <v>0</v>
      </c>
      <c r="Z1116" s="1" t="n">
        <f aca="false">IF(AND($M1116=1,对接源_01水果!$D1116="原料入库"),1,0)</f>
        <v>0</v>
      </c>
      <c r="AA1116" s="1" t="n">
        <f aca="false">N(AA1115)+$Z1116</f>
        <v>30</v>
      </c>
      <c r="AB1116" s="1" t="n">
        <f aca="false">IF(AND($M1116=1,LEFT(对接源_01水果!$D1116,4)="原料出库"),1,0)</f>
        <v>0</v>
      </c>
      <c r="AC1116" s="1" t="n">
        <f aca="false">N(AC1115)+$AB1116</f>
        <v>19</v>
      </c>
      <c r="AD1116" s="1" t="n">
        <f aca="false">IF(AND($M1116=1,LEFT(对接源_01水果!$D1116,4)="成品出库"),1,0)</f>
        <v>0</v>
      </c>
      <c r="AE1116" s="1" t="n">
        <f aca="false">N(AE1115)+$AD1116</f>
        <v>38</v>
      </c>
      <c r="AF1116" s="1" t="n">
        <f aca="false">IF(AND($N1116=1,AND(LEFT(对接源_01水果!$D1116,4)="包装物料",N(对接源_01水果!$K1116)&lt;&gt;0)),1,0)</f>
        <v>0</v>
      </c>
      <c r="AG1116" s="90" t="str">
        <f aca="false">IF(对接源_01水果!$AC1116="","",对接源_01水果!$AC1116)</f>
        <v/>
      </c>
      <c r="AH1116" s="1" t="n">
        <f aca="false">IF(AND($N1116=1,AND(LEFT(对接源_01水果!$D1116,3)="周转筐",N(对接源_01水果!$K1116)&lt;&gt;0)),1,0)</f>
        <v>0</v>
      </c>
      <c r="AI1116" s="90" t="n">
        <f aca="false">IF(AG1116="",0,IF(MATCH(AG1116,$AG$4:$AG$1203,0)=ROW()-3,1,0))</f>
        <v>0</v>
      </c>
      <c r="AJ1116" s="90" t="n">
        <f aca="false">N(AJ1115)+AI1116</f>
        <v>4</v>
      </c>
      <c r="AK1116" s="1" t="n">
        <f aca="false">N(AK1115)+$AJ1116</f>
        <v>3324</v>
      </c>
    </row>
    <row r="1117" customFormat="false" ht="13.5" hidden="false" customHeight="false" outlineLevel="0" collapsed="false">
      <c r="A1117" s="1" t="str">
        <f aca="false">IF(对接源_01水果!$C1117="","",对接源_01水果!$C1117)</f>
        <v/>
      </c>
      <c r="B1117" s="1" t="n">
        <f aca="false">IF(A1117="",0,IF(MATCH(A1117,$A$4:$A$2403,0)=ROW()-3,1,0))</f>
        <v>0</v>
      </c>
      <c r="C1117" s="1" t="n">
        <f aca="false">N(C1116)+B1117</f>
        <v>13</v>
      </c>
      <c r="K1117" s="1" t="n">
        <f aca="false">IF(OR($K$1="",对接源_01水果!$C1117="",对接源_01水果!$C1117&lt;&gt;$K$1,对接源_01水果!$B1117=""),0,IF(OR(N(对接源_01水果!$B1117)&lt;$K$2,N(对接源_01水果!$B1117)&gt;$K$3),0,1))</f>
        <v>0</v>
      </c>
      <c r="L1117" s="1" t="n">
        <f aca="false">IF(OR($L$1="",对接源_01水果!$C1117="",对接源_01水果!$C1117&lt;&gt;$L$1,对接源_01水果!$B1117=""),0,IF(OR(N(对接源_01水果!$B1117)&lt;$L$2,N(对接源_01水果!$B1117)&gt;$L$3),0,1))</f>
        <v>0</v>
      </c>
      <c r="M1117" s="1" t="n">
        <f aca="false">IF(OR($M$1="",对接源_01水果!$C1117="",对接源_01水果!$C1117&lt;&gt;$M$1,对接源_01水果!$B1117=""),0,IF(OR(N(对接源_01水果!$B1117)&lt;$M$2,N(对接源_01水果!$B1117)&gt;$M$3),0,1))</f>
        <v>0</v>
      </c>
      <c r="N1117" s="1" t="n">
        <f aca="false">IF(OR($N$1="",对接源_01水果!$C1117="",对接源_01水果!$C1117&lt;&gt;$N$1,对接源_01水果!$B1117=""),0,IF(OR(N(对接源_01水果!$B1117)&lt;$N$2,N(对接源_01水果!$B1117)&gt;$N$3),0,1))</f>
        <v>0</v>
      </c>
      <c r="P1117" s="1" t="n">
        <f aca="false">IF(AND($K1117=1,AND(对接源_01水果!$X1117="公司筐",N(对接源_01水果!$T1117)&lt;&gt;0)),1,0)</f>
        <v>0</v>
      </c>
      <c r="Q1117" s="1" t="n">
        <f aca="false">N(Q1116)+$P1117</f>
        <v>3</v>
      </c>
      <c r="R1117" s="1" t="n">
        <f aca="false">IF(AND($K1117=1,AND(对接源_01水果!$X1117="公司筐",N(对接源_01水果!$U1117)&lt;&gt;0)),1,0)</f>
        <v>0</v>
      </c>
      <c r="S1117" s="1" t="n">
        <f aca="false">N(S1116)+$R1117</f>
        <v>0</v>
      </c>
      <c r="T1117" s="1" t="n">
        <f aca="false">IF(AND($K1117=1,AND(对接源_01水果!$X1117="公司筐",N(对接源_01水果!$V1117)&lt;&gt;0)),1,0)</f>
        <v>0</v>
      </c>
      <c r="U1117" s="1" t="n">
        <f aca="false">N(U1116)+$T1117</f>
        <v>28</v>
      </c>
      <c r="V1117" s="1" t="n">
        <f aca="false">IF(AND($L1117=1,AND(对接源_01水果!$X1117="自备筐",N(对接源_01水果!$V1117)&lt;&gt;0)),1,0)</f>
        <v>0</v>
      </c>
      <c r="W1117" s="1" t="n">
        <f aca="false">N(W1116)+$V1117</f>
        <v>7</v>
      </c>
      <c r="X1117" s="1" t="n">
        <f aca="false">IF(AND($L1117=1,AND(对接源_01水果!$X1117="自备筐",N(对接源_01水果!$T1117)&lt;&gt;0)),1,0)</f>
        <v>0</v>
      </c>
      <c r="Y1117" s="1" t="n">
        <f aca="false">N(Y1116)+$X1117</f>
        <v>0</v>
      </c>
      <c r="Z1117" s="1" t="n">
        <f aca="false">IF(AND($M1117=1,对接源_01水果!$D1117="原料入库"),1,0)</f>
        <v>0</v>
      </c>
      <c r="AA1117" s="1" t="n">
        <f aca="false">N(AA1116)+$Z1117</f>
        <v>30</v>
      </c>
      <c r="AB1117" s="1" t="n">
        <f aca="false">IF(AND($M1117=1,LEFT(对接源_01水果!$D1117,4)="原料出库"),1,0)</f>
        <v>0</v>
      </c>
      <c r="AC1117" s="1" t="n">
        <f aca="false">N(AC1116)+$AB1117</f>
        <v>19</v>
      </c>
      <c r="AD1117" s="1" t="n">
        <f aca="false">IF(AND($M1117=1,LEFT(对接源_01水果!$D1117,4)="成品出库"),1,0)</f>
        <v>0</v>
      </c>
      <c r="AE1117" s="1" t="n">
        <f aca="false">N(AE1116)+$AD1117</f>
        <v>38</v>
      </c>
      <c r="AF1117" s="1" t="n">
        <f aca="false">IF(AND($N1117=1,AND(LEFT(对接源_01水果!$D1117,4)="包装物料",N(对接源_01水果!$K1117)&lt;&gt;0)),1,0)</f>
        <v>0</v>
      </c>
      <c r="AG1117" s="90" t="str">
        <f aca="false">IF(对接源_01水果!$AC1117="","",对接源_01水果!$AC1117)</f>
        <v/>
      </c>
      <c r="AH1117" s="1" t="n">
        <f aca="false">IF(AND($N1117=1,AND(LEFT(对接源_01水果!$D1117,3)="周转筐",N(对接源_01水果!$K1117)&lt;&gt;0)),1,0)</f>
        <v>0</v>
      </c>
      <c r="AI1117" s="90" t="n">
        <f aca="false">IF(AG1117="",0,IF(MATCH(AG1117,$AG$4:$AG$1203,0)=ROW()-3,1,0))</f>
        <v>0</v>
      </c>
      <c r="AJ1117" s="90" t="n">
        <f aca="false">N(AJ1116)+AI1117</f>
        <v>4</v>
      </c>
      <c r="AK1117" s="1" t="n">
        <f aca="false">N(AK1116)+$AJ1117</f>
        <v>3328</v>
      </c>
    </row>
    <row r="1118" customFormat="false" ht="13.5" hidden="false" customHeight="false" outlineLevel="0" collapsed="false">
      <c r="A1118" s="1" t="str">
        <f aca="false">IF(对接源_01水果!$C1118="","",对接源_01水果!$C1118)</f>
        <v/>
      </c>
      <c r="B1118" s="1" t="n">
        <f aca="false">IF(A1118="",0,IF(MATCH(A1118,$A$4:$A$2403,0)=ROW()-3,1,0))</f>
        <v>0</v>
      </c>
      <c r="C1118" s="1" t="n">
        <f aca="false">N(C1117)+B1118</f>
        <v>13</v>
      </c>
      <c r="K1118" s="1" t="n">
        <f aca="false">IF(OR($K$1="",对接源_01水果!$C1118="",对接源_01水果!$C1118&lt;&gt;$K$1,对接源_01水果!$B1118=""),0,IF(OR(N(对接源_01水果!$B1118)&lt;$K$2,N(对接源_01水果!$B1118)&gt;$K$3),0,1))</f>
        <v>0</v>
      </c>
      <c r="L1118" s="1" t="n">
        <f aca="false">IF(OR($L$1="",对接源_01水果!$C1118="",对接源_01水果!$C1118&lt;&gt;$L$1,对接源_01水果!$B1118=""),0,IF(OR(N(对接源_01水果!$B1118)&lt;$L$2,N(对接源_01水果!$B1118)&gt;$L$3),0,1))</f>
        <v>0</v>
      </c>
      <c r="M1118" s="1" t="n">
        <f aca="false">IF(OR($M$1="",对接源_01水果!$C1118="",对接源_01水果!$C1118&lt;&gt;$M$1,对接源_01水果!$B1118=""),0,IF(OR(N(对接源_01水果!$B1118)&lt;$M$2,N(对接源_01水果!$B1118)&gt;$M$3),0,1))</f>
        <v>0</v>
      </c>
      <c r="N1118" s="1" t="n">
        <f aca="false">IF(OR($N$1="",对接源_01水果!$C1118="",对接源_01水果!$C1118&lt;&gt;$N$1,对接源_01水果!$B1118=""),0,IF(OR(N(对接源_01水果!$B1118)&lt;$N$2,N(对接源_01水果!$B1118)&gt;$N$3),0,1))</f>
        <v>0</v>
      </c>
      <c r="P1118" s="1" t="n">
        <f aca="false">IF(AND($K1118=1,AND(对接源_01水果!$X1118="公司筐",N(对接源_01水果!$T1118)&lt;&gt;0)),1,0)</f>
        <v>0</v>
      </c>
      <c r="Q1118" s="1" t="n">
        <f aca="false">N(Q1117)+$P1118</f>
        <v>3</v>
      </c>
      <c r="R1118" s="1" t="n">
        <f aca="false">IF(AND($K1118=1,AND(对接源_01水果!$X1118="公司筐",N(对接源_01水果!$U1118)&lt;&gt;0)),1,0)</f>
        <v>0</v>
      </c>
      <c r="S1118" s="1" t="n">
        <f aca="false">N(S1117)+$R1118</f>
        <v>0</v>
      </c>
      <c r="T1118" s="1" t="n">
        <f aca="false">IF(AND($K1118=1,AND(对接源_01水果!$X1118="公司筐",N(对接源_01水果!$V1118)&lt;&gt;0)),1,0)</f>
        <v>0</v>
      </c>
      <c r="U1118" s="1" t="n">
        <f aca="false">N(U1117)+$T1118</f>
        <v>28</v>
      </c>
      <c r="V1118" s="1" t="n">
        <f aca="false">IF(AND($L1118=1,AND(对接源_01水果!$X1118="自备筐",N(对接源_01水果!$V1118)&lt;&gt;0)),1,0)</f>
        <v>0</v>
      </c>
      <c r="W1118" s="1" t="n">
        <f aca="false">N(W1117)+$V1118</f>
        <v>7</v>
      </c>
      <c r="X1118" s="1" t="n">
        <f aca="false">IF(AND($L1118=1,AND(对接源_01水果!$X1118="自备筐",N(对接源_01水果!$T1118)&lt;&gt;0)),1,0)</f>
        <v>0</v>
      </c>
      <c r="Y1118" s="1" t="n">
        <f aca="false">N(Y1117)+$X1118</f>
        <v>0</v>
      </c>
      <c r="Z1118" s="1" t="n">
        <f aca="false">IF(AND($M1118=1,对接源_01水果!$D1118="原料入库"),1,0)</f>
        <v>0</v>
      </c>
      <c r="AA1118" s="1" t="n">
        <f aca="false">N(AA1117)+$Z1118</f>
        <v>30</v>
      </c>
      <c r="AB1118" s="1" t="n">
        <f aca="false">IF(AND($M1118=1,LEFT(对接源_01水果!$D1118,4)="原料出库"),1,0)</f>
        <v>0</v>
      </c>
      <c r="AC1118" s="1" t="n">
        <f aca="false">N(AC1117)+$AB1118</f>
        <v>19</v>
      </c>
      <c r="AD1118" s="1" t="n">
        <f aca="false">IF(AND($M1118=1,LEFT(对接源_01水果!$D1118,4)="成品出库"),1,0)</f>
        <v>0</v>
      </c>
      <c r="AE1118" s="1" t="n">
        <f aca="false">N(AE1117)+$AD1118</f>
        <v>38</v>
      </c>
      <c r="AF1118" s="1" t="n">
        <f aca="false">IF(AND($N1118=1,AND(LEFT(对接源_01水果!$D1118,4)="包装物料",N(对接源_01水果!$K1118)&lt;&gt;0)),1,0)</f>
        <v>0</v>
      </c>
      <c r="AG1118" s="90" t="str">
        <f aca="false">IF(对接源_01水果!$AC1118="","",对接源_01水果!$AC1118)</f>
        <v/>
      </c>
      <c r="AH1118" s="1" t="n">
        <f aca="false">IF(AND($N1118=1,AND(LEFT(对接源_01水果!$D1118,3)="周转筐",N(对接源_01水果!$K1118)&lt;&gt;0)),1,0)</f>
        <v>0</v>
      </c>
      <c r="AI1118" s="90" t="n">
        <f aca="false">IF(AG1118="",0,IF(MATCH(AG1118,$AG$4:$AG$1203,0)=ROW()-3,1,0))</f>
        <v>0</v>
      </c>
      <c r="AJ1118" s="90" t="n">
        <f aca="false">N(AJ1117)+AI1118</f>
        <v>4</v>
      </c>
      <c r="AK1118" s="1" t="n">
        <f aca="false">N(AK1117)+$AJ1118</f>
        <v>3332</v>
      </c>
    </row>
    <row r="1119" customFormat="false" ht="13.5" hidden="false" customHeight="false" outlineLevel="0" collapsed="false">
      <c r="A1119" s="1" t="str">
        <f aca="false">IF(对接源_01水果!$C1119="","",对接源_01水果!$C1119)</f>
        <v/>
      </c>
      <c r="B1119" s="1" t="n">
        <f aca="false">IF(A1119="",0,IF(MATCH(A1119,$A$4:$A$2403,0)=ROW()-3,1,0))</f>
        <v>0</v>
      </c>
      <c r="C1119" s="1" t="n">
        <f aca="false">N(C1118)+B1119</f>
        <v>13</v>
      </c>
      <c r="K1119" s="1" t="n">
        <f aca="false">IF(OR($K$1="",对接源_01水果!$C1119="",对接源_01水果!$C1119&lt;&gt;$K$1,对接源_01水果!$B1119=""),0,IF(OR(N(对接源_01水果!$B1119)&lt;$K$2,N(对接源_01水果!$B1119)&gt;$K$3),0,1))</f>
        <v>0</v>
      </c>
      <c r="L1119" s="1" t="n">
        <f aca="false">IF(OR($L$1="",对接源_01水果!$C1119="",对接源_01水果!$C1119&lt;&gt;$L$1,对接源_01水果!$B1119=""),0,IF(OR(N(对接源_01水果!$B1119)&lt;$L$2,N(对接源_01水果!$B1119)&gt;$L$3),0,1))</f>
        <v>0</v>
      </c>
      <c r="M1119" s="1" t="n">
        <f aca="false">IF(OR($M$1="",对接源_01水果!$C1119="",对接源_01水果!$C1119&lt;&gt;$M$1,对接源_01水果!$B1119=""),0,IF(OR(N(对接源_01水果!$B1119)&lt;$M$2,N(对接源_01水果!$B1119)&gt;$M$3),0,1))</f>
        <v>0</v>
      </c>
      <c r="N1119" s="1" t="n">
        <f aca="false">IF(OR($N$1="",对接源_01水果!$C1119="",对接源_01水果!$C1119&lt;&gt;$N$1,对接源_01水果!$B1119=""),0,IF(OR(N(对接源_01水果!$B1119)&lt;$N$2,N(对接源_01水果!$B1119)&gt;$N$3),0,1))</f>
        <v>0</v>
      </c>
      <c r="P1119" s="1" t="n">
        <f aca="false">IF(AND($K1119=1,AND(对接源_01水果!$X1119="公司筐",N(对接源_01水果!$T1119)&lt;&gt;0)),1,0)</f>
        <v>0</v>
      </c>
      <c r="Q1119" s="1" t="n">
        <f aca="false">N(Q1118)+$P1119</f>
        <v>3</v>
      </c>
      <c r="R1119" s="1" t="n">
        <f aca="false">IF(AND($K1119=1,AND(对接源_01水果!$X1119="公司筐",N(对接源_01水果!$U1119)&lt;&gt;0)),1,0)</f>
        <v>0</v>
      </c>
      <c r="S1119" s="1" t="n">
        <f aca="false">N(S1118)+$R1119</f>
        <v>0</v>
      </c>
      <c r="T1119" s="1" t="n">
        <f aca="false">IF(AND($K1119=1,AND(对接源_01水果!$X1119="公司筐",N(对接源_01水果!$V1119)&lt;&gt;0)),1,0)</f>
        <v>0</v>
      </c>
      <c r="U1119" s="1" t="n">
        <f aca="false">N(U1118)+$T1119</f>
        <v>28</v>
      </c>
      <c r="V1119" s="1" t="n">
        <f aca="false">IF(AND($L1119=1,AND(对接源_01水果!$X1119="自备筐",N(对接源_01水果!$V1119)&lt;&gt;0)),1,0)</f>
        <v>0</v>
      </c>
      <c r="W1119" s="1" t="n">
        <f aca="false">N(W1118)+$V1119</f>
        <v>7</v>
      </c>
      <c r="X1119" s="1" t="n">
        <f aca="false">IF(AND($L1119=1,AND(对接源_01水果!$X1119="自备筐",N(对接源_01水果!$T1119)&lt;&gt;0)),1,0)</f>
        <v>0</v>
      </c>
      <c r="Y1119" s="1" t="n">
        <f aca="false">N(Y1118)+$X1119</f>
        <v>0</v>
      </c>
      <c r="Z1119" s="1" t="n">
        <f aca="false">IF(AND($M1119=1,对接源_01水果!$D1119="原料入库"),1,0)</f>
        <v>0</v>
      </c>
      <c r="AA1119" s="1" t="n">
        <f aca="false">N(AA1118)+$Z1119</f>
        <v>30</v>
      </c>
      <c r="AB1119" s="1" t="n">
        <f aca="false">IF(AND($M1119=1,LEFT(对接源_01水果!$D1119,4)="原料出库"),1,0)</f>
        <v>0</v>
      </c>
      <c r="AC1119" s="1" t="n">
        <f aca="false">N(AC1118)+$AB1119</f>
        <v>19</v>
      </c>
      <c r="AD1119" s="1" t="n">
        <f aca="false">IF(AND($M1119=1,LEFT(对接源_01水果!$D1119,4)="成品出库"),1,0)</f>
        <v>0</v>
      </c>
      <c r="AE1119" s="1" t="n">
        <f aca="false">N(AE1118)+$AD1119</f>
        <v>38</v>
      </c>
      <c r="AF1119" s="1" t="n">
        <f aca="false">IF(AND($N1119=1,AND(LEFT(对接源_01水果!$D1119,4)="包装物料",N(对接源_01水果!$K1119)&lt;&gt;0)),1,0)</f>
        <v>0</v>
      </c>
      <c r="AG1119" s="90" t="str">
        <f aca="false">IF(对接源_01水果!$AC1119="","",对接源_01水果!$AC1119)</f>
        <v/>
      </c>
      <c r="AH1119" s="1" t="n">
        <f aca="false">IF(AND($N1119=1,AND(LEFT(对接源_01水果!$D1119,3)="周转筐",N(对接源_01水果!$K1119)&lt;&gt;0)),1,0)</f>
        <v>0</v>
      </c>
      <c r="AI1119" s="90" t="n">
        <f aca="false">IF(AG1119="",0,IF(MATCH(AG1119,$AG$4:$AG$1203,0)=ROW()-3,1,0))</f>
        <v>0</v>
      </c>
      <c r="AJ1119" s="90" t="n">
        <f aca="false">N(AJ1118)+AI1119</f>
        <v>4</v>
      </c>
      <c r="AK1119" s="1" t="n">
        <f aca="false">N(AK1118)+$AJ1119</f>
        <v>3336</v>
      </c>
    </row>
    <row r="1120" customFormat="false" ht="13.5" hidden="false" customHeight="false" outlineLevel="0" collapsed="false">
      <c r="A1120" s="1" t="str">
        <f aca="false">IF(对接源_01水果!$C1120="","",对接源_01水果!$C1120)</f>
        <v/>
      </c>
      <c r="B1120" s="1" t="n">
        <f aca="false">IF(A1120="",0,IF(MATCH(A1120,$A$4:$A$2403,0)=ROW()-3,1,0))</f>
        <v>0</v>
      </c>
      <c r="C1120" s="1" t="n">
        <f aca="false">N(C1119)+B1120</f>
        <v>13</v>
      </c>
      <c r="K1120" s="1" t="n">
        <f aca="false">IF(OR($K$1="",对接源_01水果!$C1120="",对接源_01水果!$C1120&lt;&gt;$K$1,对接源_01水果!$B1120=""),0,IF(OR(N(对接源_01水果!$B1120)&lt;$K$2,N(对接源_01水果!$B1120)&gt;$K$3),0,1))</f>
        <v>0</v>
      </c>
      <c r="L1120" s="1" t="n">
        <f aca="false">IF(OR($L$1="",对接源_01水果!$C1120="",对接源_01水果!$C1120&lt;&gt;$L$1,对接源_01水果!$B1120=""),0,IF(OR(N(对接源_01水果!$B1120)&lt;$L$2,N(对接源_01水果!$B1120)&gt;$L$3),0,1))</f>
        <v>0</v>
      </c>
      <c r="M1120" s="1" t="n">
        <f aca="false">IF(OR($M$1="",对接源_01水果!$C1120="",对接源_01水果!$C1120&lt;&gt;$M$1,对接源_01水果!$B1120=""),0,IF(OR(N(对接源_01水果!$B1120)&lt;$M$2,N(对接源_01水果!$B1120)&gt;$M$3),0,1))</f>
        <v>0</v>
      </c>
      <c r="N1120" s="1" t="n">
        <f aca="false">IF(OR($N$1="",对接源_01水果!$C1120="",对接源_01水果!$C1120&lt;&gt;$N$1,对接源_01水果!$B1120=""),0,IF(OR(N(对接源_01水果!$B1120)&lt;$N$2,N(对接源_01水果!$B1120)&gt;$N$3),0,1))</f>
        <v>0</v>
      </c>
      <c r="P1120" s="1" t="n">
        <f aca="false">IF(AND($K1120=1,AND(对接源_01水果!$X1120="公司筐",N(对接源_01水果!$T1120)&lt;&gt;0)),1,0)</f>
        <v>0</v>
      </c>
      <c r="Q1120" s="1" t="n">
        <f aca="false">N(Q1119)+$P1120</f>
        <v>3</v>
      </c>
      <c r="R1120" s="1" t="n">
        <f aca="false">IF(AND($K1120=1,AND(对接源_01水果!$X1120="公司筐",N(对接源_01水果!$U1120)&lt;&gt;0)),1,0)</f>
        <v>0</v>
      </c>
      <c r="S1120" s="1" t="n">
        <f aca="false">N(S1119)+$R1120</f>
        <v>0</v>
      </c>
      <c r="T1120" s="1" t="n">
        <f aca="false">IF(AND($K1120=1,AND(对接源_01水果!$X1120="公司筐",N(对接源_01水果!$V1120)&lt;&gt;0)),1,0)</f>
        <v>0</v>
      </c>
      <c r="U1120" s="1" t="n">
        <f aca="false">N(U1119)+$T1120</f>
        <v>28</v>
      </c>
      <c r="V1120" s="1" t="n">
        <f aca="false">IF(AND($L1120=1,AND(对接源_01水果!$X1120="自备筐",N(对接源_01水果!$V1120)&lt;&gt;0)),1,0)</f>
        <v>0</v>
      </c>
      <c r="W1120" s="1" t="n">
        <f aca="false">N(W1119)+$V1120</f>
        <v>7</v>
      </c>
      <c r="X1120" s="1" t="n">
        <f aca="false">IF(AND($L1120=1,AND(对接源_01水果!$X1120="自备筐",N(对接源_01水果!$T1120)&lt;&gt;0)),1,0)</f>
        <v>0</v>
      </c>
      <c r="Y1120" s="1" t="n">
        <f aca="false">N(Y1119)+$X1120</f>
        <v>0</v>
      </c>
      <c r="Z1120" s="1" t="n">
        <f aca="false">IF(AND($M1120=1,对接源_01水果!$D1120="原料入库"),1,0)</f>
        <v>0</v>
      </c>
      <c r="AA1120" s="1" t="n">
        <f aca="false">N(AA1119)+$Z1120</f>
        <v>30</v>
      </c>
      <c r="AB1120" s="1" t="n">
        <f aca="false">IF(AND($M1120=1,LEFT(对接源_01水果!$D1120,4)="原料出库"),1,0)</f>
        <v>0</v>
      </c>
      <c r="AC1120" s="1" t="n">
        <f aca="false">N(AC1119)+$AB1120</f>
        <v>19</v>
      </c>
      <c r="AD1120" s="1" t="n">
        <f aca="false">IF(AND($M1120=1,LEFT(对接源_01水果!$D1120,4)="成品出库"),1,0)</f>
        <v>0</v>
      </c>
      <c r="AE1120" s="1" t="n">
        <f aca="false">N(AE1119)+$AD1120</f>
        <v>38</v>
      </c>
      <c r="AF1120" s="1" t="n">
        <f aca="false">IF(AND($N1120=1,AND(LEFT(对接源_01水果!$D1120,4)="包装物料",N(对接源_01水果!$K1120)&lt;&gt;0)),1,0)</f>
        <v>0</v>
      </c>
      <c r="AG1120" s="90" t="str">
        <f aca="false">IF(对接源_01水果!$AC1120="","",对接源_01水果!$AC1120)</f>
        <v/>
      </c>
      <c r="AH1120" s="1" t="n">
        <f aca="false">IF(AND($N1120=1,AND(LEFT(对接源_01水果!$D1120,3)="周转筐",N(对接源_01水果!$K1120)&lt;&gt;0)),1,0)</f>
        <v>0</v>
      </c>
      <c r="AI1120" s="90" t="n">
        <f aca="false">IF(AG1120="",0,IF(MATCH(AG1120,$AG$4:$AG$1203,0)=ROW()-3,1,0))</f>
        <v>0</v>
      </c>
      <c r="AJ1120" s="90" t="n">
        <f aca="false">N(AJ1119)+AI1120</f>
        <v>4</v>
      </c>
      <c r="AK1120" s="1" t="n">
        <f aca="false">N(AK1119)+$AJ1120</f>
        <v>3340</v>
      </c>
    </row>
    <row r="1121" customFormat="false" ht="13.5" hidden="false" customHeight="false" outlineLevel="0" collapsed="false">
      <c r="A1121" s="1" t="str">
        <f aca="false">IF(对接源_01水果!$C1121="","",对接源_01水果!$C1121)</f>
        <v/>
      </c>
      <c r="B1121" s="1" t="n">
        <f aca="false">IF(A1121="",0,IF(MATCH(A1121,$A$4:$A$2403,0)=ROW()-3,1,0))</f>
        <v>0</v>
      </c>
      <c r="C1121" s="1" t="n">
        <f aca="false">N(C1120)+B1121</f>
        <v>13</v>
      </c>
      <c r="K1121" s="1" t="n">
        <f aca="false">IF(OR($K$1="",对接源_01水果!$C1121="",对接源_01水果!$C1121&lt;&gt;$K$1,对接源_01水果!$B1121=""),0,IF(OR(N(对接源_01水果!$B1121)&lt;$K$2,N(对接源_01水果!$B1121)&gt;$K$3),0,1))</f>
        <v>0</v>
      </c>
      <c r="L1121" s="1" t="n">
        <f aca="false">IF(OR($L$1="",对接源_01水果!$C1121="",对接源_01水果!$C1121&lt;&gt;$L$1,对接源_01水果!$B1121=""),0,IF(OR(N(对接源_01水果!$B1121)&lt;$L$2,N(对接源_01水果!$B1121)&gt;$L$3),0,1))</f>
        <v>0</v>
      </c>
      <c r="M1121" s="1" t="n">
        <f aca="false">IF(OR($M$1="",对接源_01水果!$C1121="",对接源_01水果!$C1121&lt;&gt;$M$1,对接源_01水果!$B1121=""),0,IF(OR(N(对接源_01水果!$B1121)&lt;$M$2,N(对接源_01水果!$B1121)&gt;$M$3),0,1))</f>
        <v>0</v>
      </c>
      <c r="N1121" s="1" t="n">
        <f aca="false">IF(OR($N$1="",对接源_01水果!$C1121="",对接源_01水果!$C1121&lt;&gt;$N$1,对接源_01水果!$B1121=""),0,IF(OR(N(对接源_01水果!$B1121)&lt;$N$2,N(对接源_01水果!$B1121)&gt;$N$3),0,1))</f>
        <v>0</v>
      </c>
      <c r="P1121" s="1" t="n">
        <f aca="false">IF(AND($K1121=1,AND(对接源_01水果!$X1121="公司筐",N(对接源_01水果!$T1121)&lt;&gt;0)),1,0)</f>
        <v>0</v>
      </c>
      <c r="Q1121" s="1" t="n">
        <f aca="false">N(Q1120)+$P1121</f>
        <v>3</v>
      </c>
      <c r="R1121" s="1" t="n">
        <f aca="false">IF(AND($K1121=1,AND(对接源_01水果!$X1121="公司筐",N(对接源_01水果!$U1121)&lt;&gt;0)),1,0)</f>
        <v>0</v>
      </c>
      <c r="S1121" s="1" t="n">
        <f aca="false">N(S1120)+$R1121</f>
        <v>0</v>
      </c>
      <c r="T1121" s="1" t="n">
        <f aca="false">IF(AND($K1121=1,AND(对接源_01水果!$X1121="公司筐",N(对接源_01水果!$V1121)&lt;&gt;0)),1,0)</f>
        <v>0</v>
      </c>
      <c r="U1121" s="1" t="n">
        <f aca="false">N(U1120)+$T1121</f>
        <v>28</v>
      </c>
      <c r="V1121" s="1" t="n">
        <f aca="false">IF(AND($L1121=1,AND(对接源_01水果!$X1121="自备筐",N(对接源_01水果!$V1121)&lt;&gt;0)),1,0)</f>
        <v>0</v>
      </c>
      <c r="W1121" s="1" t="n">
        <f aca="false">N(W1120)+$V1121</f>
        <v>7</v>
      </c>
      <c r="X1121" s="1" t="n">
        <f aca="false">IF(AND($L1121=1,AND(对接源_01水果!$X1121="自备筐",N(对接源_01水果!$T1121)&lt;&gt;0)),1,0)</f>
        <v>0</v>
      </c>
      <c r="Y1121" s="1" t="n">
        <f aca="false">N(Y1120)+$X1121</f>
        <v>0</v>
      </c>
      <c r="Z1121" s="1" t="n">
        <f aca="false">IF(AND($M1121=1,对接源_01水果!$D1121="原料入库"),1,0)</f>
        <v>0</v>
      </c>
      <c r="AA1121" s="1" t="n">
        <f aca="false">N(AA1120)+$Z1121</f>
        <v>30</v>
      </c>
      <c r="AB1121" s="1" t="n">
        <f aca="false">IF(AND($M1121=1,LEFT(对接源_01水果!$D1121,4)="原料出库"),1,0)</f>
        <v>0</v>
      </c>
      <c r="AC1121" s="1" t="n">
        <f aca="false">N(AC1120)+$AB1121</f>
        <v>19</v>
      </c>
      <c r="AD1121" s="1" t="n">
        <f aca="false">IF(AND($M1121=1,LEFT(对接源_01水果!$D1121,4)="成品出库"),1,0)</f>
        <v>0</v>
      </c>
      <c r="AE1121" s="1" t="n">
        <f aca="false">N(AE1120)+$AD1121</f>
        <v>38</v>
      </c>
      <c r="AF1121" s="1" t="n">
        <f aca="false">IF(AND($N1121=1,AND(LEFT(对接源_01水果!$D1121,4)="包装物料",N(对接源_01水果!$K1121)&lt;&gt;0)),1,0)</f>
        <v>0</v>
      </c>
      <c r="AG1121" s="90" t="str">
        <f aca="false">IF(对接源_01水果!$AC1121="","",对接源_01水果!$AC1121)</f>
        <v/>
      </c>
      <c r="AH1121" s="1" t="n">
        <f aca="false">IF(AND($N1121=1,AND(LEFT(对接源_01水果!$D1121,3)="周转筐",N(对接源_01水果!$K1121)&lt;&gt;0)),1,0)</f>
        <v>0</v>
      </c>
      <c r="AI1121" s="90" t="n">
        <f aca="false">IF(AG1121="",0,IF(MATCH(AG1121,$AG$4:$AG$1203,0)=ROW()-3,1,0))</f>
        <v>0</v>
      </c>
      <c r="AJ1121" s="90" t="n">
        <f aca="false">N(AJ1120)+AI1121</f>
        <v>4</v>
      </c>
      <c r="AK1121" s="1" t="n">
        <f aca="false">N(AK1120)+$AJ1121</f>
        <v>3344</v>
      </c>
    </row>
    <row r="1122" customFormat="false" ht="13.5" hidden="false" customHeight="false" outlineLevel="0" collapsed="false">
      <c r="A1122" s="1" t="str">
        <f aca="false">IF(对接源_01水果!$C1122="","",对接源_01水果!$C1122)</f>
        <v/>
      </c>
      <c r="B1122" s="1" t="n">
        <f aca="false">IF(A1122="",0,IF(MATCH(A1122,$A$4:$A$2403,0)=ROW()-3,1,0))</f>
        <v>0</v>
      </c>
      <c r="C1122" s="1" t="n">
        <f aca="false">N(C1121)+B1122</f>
        <v>13</v>
      </c>
      <c r="K1122" s="1" t="n">
        <f aca="false">IF(OR($K$1="",对接源_01水果!$C1122="",对接源_01水果!$C1122&lt;&gt;$K$1,对接源_01水果!$B1122=""),0,IF(OR(N(对接源_01水果!$B1122)&lt;$K$2,N(对接源_01水果!$B1122)&gt;$K$3),0,1))</f>
        <v>0</v>
      </c>
      <c r="L1122" s="1" t="n">
        <f aca="false">IF(OR($L$1="",对接源_01水果!$C1122="",对接源_01水果!$C1122&lt;&gt;$L$1,对接源_01水果!$B1122=""),0,IF(OR(N(对接源_01水果!$B1122)&lt;$L$2,N(对接源_01水果!$B1122)&gt;$L$3),0,1))</f>
        <v>0</v>
      </c>
      <c r="M1122" s="1" t="n">
        <f aca="false">IF(OR($M$1="",对接源_01水果!$C1122="",对接源_01水果!$C1122&lt;&gt;$M$1,对接源_01水果!$B1122=""),0,IF(OR(N(对接源_01水果!$B1122)&lt;$M$2,N(对接源_01水果!$B1122)&gt;$M$3),0,1))</f>
        <v>0</v>
      </c>
      <c r="N1122" s="1" t="n">
        <f aca="false">IF(OR($N$1="",对接源_01水果!$C1122="",对接源_01水果!$C1122&lt;&gt;$N$1,对接源_01水果!$B1122=""),0,IF(OR(N(对接源_01水果!$B1122)&lt;$N$2,N(对接源_01水果!$B1122)&gt;$N$3),0,1))</f>
        <v>0</v>
      </c>
      <c r="P1122" s="1" t="n">
        <f aca="false">IF(AND($K1122=1,AND(对接源_01水果!$X1122="公司筐",N(对接源_01水果!$T1122)&lt;&gt;0)),1,0)</f>
        <v>0</v>
      </c>
      <c r="Q1122" s="1" t="n">
        <f aca="false">N(Q1121)+$P1122</f>
        <v>3</v>
      </c>
      <c r="R1122" s="1" t="n">
        <f aca="false">IF(AND($K1122=1,AND(对接源_01水果!$X1122="公司筐",N(对接源_01水果!$U1122)&lt;&gt;0)),1,0)</f>
        <v>0</v>
      </c>
      <c r="S1122" s="1" t="n">
        <f aca="false">N(S1121)+$R1122</f>
        <v>0</v>
      </c>
      <c r="T1122" s="1" t="n">
        <f aca="false">IF(AND($K1122=1,AND(对接源_01水果!$X1122="公司筐",N(对接源_01水果!$V1122)&lt;&gt;0)),1,0)</f>
        <v>0</v>
      </c>
      <c r="U1122" s="1" t="n">
        <f aca="false">N(U1121)+$T1122</f>
        <v>28</v>
      </c>
      <c r="V1122" s="1" t="n">
        <f aca="false">IF(AND($L1122=1,AND(对接源_01水果!$X1122="自备筐",N(对接源_01水果!$V1122)&lt;&gt;0)),1,0)</f>
        <v>0</v>
      </c>
      <c r="W1122" s="1" t="n">
        <f aca="false">N(W1121)+$V1122</f>
        <v>7</v>
      </c>
      <c r="X1122" s="1" t="n">
        <f aca="false">IF(AND($L1122=1,AND(对接源_01水果!$X1122="自备筐",N(对接源_01水果!$T1122)&lt;&gt;0)),1,0)</f>
        <v>0</v>
      </c>
      <c r="Y1122" s="1" t="n">
        <f aca="false">N(Y1121)+$X1122</f>
        <v>0</v>
      </c>
      <c r="Z1122" s="1" t="n">
        <f aca="false">IF(AND($M1122=1,对接源_01水果!$D1122="原料入库"),1,0)</f>
        <v>0</v>
      </c>
      <c r="AA1122" s="1" t="n">
        <f aca="false">N(AA1121)+$Z1122</f>
        <v>30</v>
      </c>
      <c r="AB1122" s="1" t="n">
        <f aca="false">IF(AND($M1122=1,LEFT(对接源_01水果!$D1122,4)="原料出库"),1,0)</f>
        <v>0</v>
      </c>
      <c r="AC1122" s="1" t="n">
        <f aca="false">N(AC1121)+$AB1122</f>
        <v>19</v>
      </c>
      <c r="AD1122" s="1" t="n">
        <f aca="false">IF(AND($M1122=1,LEFT(对接源_01水果!$D1122,4)="成品出库"),1,0)</f>
        <v>0</v>
      </c>
      <c r="AE1122" s="1" t="n">
        <f aca="false">N(AE1121)+$AD1122</f>
        <v>38</v>
      </c>
      <c r="AF1122" s="1" t="n">
        <f aca="false">IF(AND($N1122=1,AND(LEFT(对接源_01水果!$D1122,4)="包装物料",N(对接源_01水果!$K1122)&lt;&gt;0)),1,0)</f>
        <v>0</v>
      </c>
      <c r="AG1122" s="90" t="str">
        <f aca="false">IF(对接源_01水果!$AC1122="","",对接源_01水果!$AC1122)</f>
        <v/>
      </c>
      <c r="AH1122" s="1" t="n">
        <f aca="false">IF(AND($N1122=1,AND(LEFT(对接源_01水果!$D1122,3)="周转筐",N(对接源_01水果!$K1122)&lt;&gt;0)),1,0)</f>
        <v>0</v>
      </c>
      <c r="AI1122" s="90" t="n">
        <f aca="false">IF(AG1122="",0,IF(MATCH(AG1122,$AG$4:$AG$1203,0)=ROW()-3,1,0))</f>
        <v>0</v>
      </c>
      <c r="AJ1122" s="90" t="n">
        <f aca="false">N(AJ1121)+AI1122</f>
        <v>4</v>
      </c>
      <c r="AK1122" s="1" t="n">
        <f aca="false">N(AK1121)+$AJ1122</f>
        <v>3348</v>
      </c>
    </row>
    <row r="1123" customFormat="false" ht="13.5" hidden="false" customHeight="false" outlineLevel="0" collapsed="false">
      <c r="A1123" s="1" t="str">
        <f aca="false">IF(对接源_01水果!$C1123="","",对接源_01水果!$C1123)</f>
        <v/>
      </c>
      <c r="B1123" s="1" t="n">
        <f aca="false">IF(A1123="",0,IF(MATCH(A1123,$A$4:$A$2403,0)=ROW()-3,1,0))</f>
        <v>0</v>
      </c>
      <c r="C1123" s="1" t="n">
        <f aca="false">N(C1122)+B1123</f>
        <v>13</v>
      </c>
      <c r="K1123" s="1" t="n">
        <f aca="false">IF(OR($K$1="",对接源_01水果!$C1123="",对接源_01水果!$C1123&lt;&gt;$K$1,对接源_01水果!$B1123=""),0,IF(OR(N(对接源_01水果!$B1123)&lt;$K$2,N(对接源_01水果!$B1123)&gt;$K$3),0,1))</f>
        <v>0</v>
      </c>
      <c r="L1123" s="1" t="n">
        <f aca="false">IF(OR($L$1="",对接源_01水果!$C1123="",对接源_01水果!$C1123&lt;&gt;$L$1,对接源_01水果!$B1123=""),0,IF(OR(N(对接源_01水果!$B1123)&lt;$L$2,N(对接源_01水果!$B1123)&gt;$L$3),0,1))</f>
        <v>0</v>
      </c>
      <c r="M1123" s="1" t="n">
        <f aca="false">IF(OR($M$1="",对接源_01水果!$C1123="",对接源_01水果!$C1123&lt;&gt;$M$1,对接源_01水果!$B1123=""),0,IF(OR(N(对接源_01水果!$B1123)&lt;$M$2,N(对接源_01水果!$B1123)&gt;$M$3),0,1))</f>
        <v>0</v>
      </c>
      <c r="N1123" s="1" t="n">
        <f aca="false">IF(OR($N$1="",对接源_01水果!$C1123="",对接源_01水果!$C1123&lt;&gt;$N$1,对接源_01水果!$B1123=""),0,IF(OR(N(对接源_01水果!$B1123)&lt;$N$2,N(对接源_01水果!$B1123)&gt;$N$3),0,1))</f>
        <v>0</v>
      </c>
      <c r="P1123" s="1" t="n">
        <f aca="false">IF(AND($K1123=1,AND(对接源_01水果!$X1123="公司筐",N(对接源_01水果!$T1123)&lt;&gt;0)),1,0)</f>
        <v>0</v>
      </c>
      <c r="Q1123" s="1" t="n">
        <f aca="false">N(Q1122)+$P1123</f>
        <v>3</v>
      </c>
      <c r="R1123" s="1" t="n">
        <f aca="false">IF(AND($K1123=1,AND(对接源_01水果!$X1123="公司筐",N(对接源_01水果!$U1123)&lt;&gt;0)),1,0)</f>
        <v>0</v>
      </c>
      <c r="S1123" s="1" t="n">
        <f aca="false">N(S1122)+$R1123</f>
        <v>0</v>
      </c>
      <c r="T1123" s="1" t="n">
        <f aca="false">IF(AND($K1123=1,AND(对接源_01水果!$X1123="公司筐",N(对接源_01水果!$V1123)&lt;&gt;0)),1,0)</f>
        <v>0</v>
      </c>
      <c r="U1123" s="1" t="n">
        <f aca="false">N(U1122)+$T1123</f>
        <v>28</v>
      </c>
      <c r="V1123" s="1" t="n">
        <f aca="false">IF(AND($L1123=1,AND(对接源_01水果!$X1123="自备筐",N(对接源_01水果!$V1123)&lt;&gt;0)),1,0)</f>
        <v>0</v>
      </c>
      <c r="W1123" s="1" t="n">
        <f aca="false">N(W1122)+$V1123</f>
        <v>7</v>
      </c>
      <c r="X1123" s="1" t="n">
        <f aca="false">IF(AND($L1123=1,AND(对接源_01水果!$X1123="自备筐",N(对接源_01水果!$T1123)&lt;&gt;0)),1,0)</f>
        <v>0</v>
      </c>
      <c r="Y1123" s="1" t="n">
        <f aca="false">N(Y1122)+$X1123</f>
        <v>0</v>
      </c>
      <c r="Z1123" s="1" t="n">
        <f aca="false">IF(AND($M1123=1,对接源_01水果!$D1123="原料入库"),1,0)</f>
        <v>0</v>
      </c>
      <c r="AA1123" s="1" t="n">
        <f aca="false">N(AA1122)+$Z1123</f>
        <v>30</v>
      </c>
      <c r="AB1123" s="1" t="n">
        <f aca="false">IF(AND($M1123=1,LEFT(对接源_01水果!$D1123,4)="原料出库"),1,0)</f>
        <v>0</v>
      </c>
      <c r="AC1123" s="1" t="n">
        <f aca="false">N(AC1122)+$AB1123</f>
        <v>19</v>
      </c>
      <c r="AD1123" s="1" t="n">
        <f aca="false">IF(AND($M1123=1,LEFT(对接源_01水果!$D1123,4)="成品出库"),1,0)</f>
        <v>0</v>
      </c>
      <c r="AE1123" s="1" t="n">
        <f aca="false">N(AE1122)+$AD1123</f>
        <v>38</v>
      </c>
      <c r="AF1123" s="1" t="n">
        <f aca="false">IF(AND($N1123=1,AND(LEFT(对接源_01水果!$D1123,4)="包装物料",N(对接源_01水果!$K1123)&lt;&gt;0)),1,0)</f>
        <v>0</v>
      </c>
      <c r="AG1123" s="90" t="str">
        <f aca="false">IF(对接源_01水果!$AC1123="","",对接源_01水果!$AC1123)</f>
        <v/>
      </c>
      <c r="AH1123" s="1" t="n">
        <f aca="false">IF(AND($N1123=1,AND(LEFT(对接源_01水果!$D1123,3)="周转筐",N(对接源_01水果!$K1123)&lt;&gt;0)),1,0)</f>
        <v>0</v>
      </c>
      <c r="AI1123" s="90" t="n">
        <f aca="false">IF(AG1123="",0,IF(MATCH(AG1123,$AG$4:$AG$1203,0)=ROW()-3,1,0))</f>
        <v>0</v>
      </c>
      <c r="AJ1123" s="90" t="n">
        <f aca="false">N(AJ1122)+AI1123</f>
        <v>4</v>
      </c>
      <c r="AK1123" s="1" t="n">
        <f aca="false">N(AK1122)+$AJ1123</f>
        <v>3352</v>
      </c>
    </row>
    <row r="1124" customFormat="false" ht="13.5" hidden="false" customHeight="false" outlineLevel="0" collapsed="false">
      <c r="A1124" s="1" t="str">
        <f aca="false">IF(对接源_01水果!$C1124="","",对接源_01水果!$C1124)</f>
        <v/>
      </c>
      <c r="B1124" s="1" t="n">
        <f aca="false">IF(A1124="",0,IF(MATCH(A1124,$A$4:$A$2403,0)=ROW()-3,1,0))</f>
        <v>0</v>
      </c>
      <c r="C1124" s="1" t="n">
        <f aca="false">N(C1123)+B1124</f>
        <v>13</v>
      </c>
      <c r="K1124" s="1" t="n">
        <f aca="false">IF(OR($K$1="",对接源_01水果!$C1124="",对接源_01水果!$C1124&lt;&gt;$K$1,对接源_01水果!$B1124=""),0,IF(OR(N(对接源_01水果!$B1124)&lt;$K$2,N(对接源_01水果!$B1124)&gt;$K$3),0,1))</f>
        <v>0</v>
      </c>
      <c r="L1124" s="1" t="n">
        <f aca="false">IF(OR($L$1="",对接源_01水果!$C1124="",对接源_01水果!$C1124&lt;&gt;$L$1,对接源_01水果!$B1124=""),0,IF(OR(N(对接源_01水果!$B1124)&lt;$L$2,N(对接源_01水果!$B1124)&gt;$L$3),0,1))</f>
        <v>0</v>
      </c>
      <c r="M1124" s="1" t="n">
        <f aca="false">IF(OR($M$1="",对接源_01水果!$C1124="",对接源_01水果!$C1124&lt;&gt;$M$1,对接源_01水果!$B1124=""),0,IF(OR(N(对接源_01水果!$B1124)&lt;$M$2,N(对接源_01水果!$B1124)&gt;$M$3),0,1))</f>
        <v>0</v>
      </c>
      <c r="N1124" s="1" t="n">
        <f aca="false">IF(OR($N$1="",对接源_01水果!$C1124="",对接源_01水果!$C1124&lt;&gt;$N$1,对接源_01水果!$B1124=""),0,IF(OR(N(对接源_01水果!$B1124)&lt;$N$2,N(对接源_01水果!$B1124)&gt;$N$3),0,1))</f>
        <v>0</v>
      </c>
      <c r="P1124" s="1" t="n">
        <f aca="false">IF(AND($K1124=1,AND(对接源_01水果!$X1124="公司筐",N(对接源_01水果!$T1124)&lt;&gt;0)),1,0)</f>
        <v>0</v>
      </c>
      <c r="Q1124" s="1" t="n">
        <f aca="false">N(Q1123)+$P1124</f>
        <v>3</v>
      </c>
      <c r="R1124" s="1" t="n">
        <f aca="false">IF(AND($K1124=1,AND(对接源_01水果!$X1124="公司筐",N(对接源_01水果!$U1124)&lt;&gt;0)),1,0)</f>
        <v>0</v>
      </c>
      <c r="S1124" s="1" t="n">
        <f aca="false">N(S1123)+$R1124</f>
        <v>0</v>
      </c>
      <c r="T1124" s="1" t="n">
        <f aca="false">IF(AND($K1124=1,AND(对接源_01水果!$X1124="公司筐",N(对接源_01水果!$V1124)&lt;&gt;0)),1,0)</f>
        <v>0</v>
      </c>
      <c r="U1124" s="1" t="n">
        <f aca="false">N(U1123)+$T1124</f>
        <v>28</v>
      </c>
      <c r="V1124" s="1" t="n">
        <f aca="false">IF(AND($L1124=1,AND(对接源_01水果!$X1124="自备筐",N(对接源_01水果!$V1124)&lt;&gt;0)),1,0)</f>
        <v>0</v>
      </c>
      <c r="W1124" s="1" t="n">
        <f aca="false">N(W1123)+$V1124</f>
        <v>7</v>
      </c>
      <c r="X1124" s="1" t="n">
        <f aca="false">IF(AND($L1124=1,AND(对接源_01水果!$X1124="自备筐",N(对接源_01水果!$T1124)&lt;&gt;0)),1,0)</f>
        <v>0</v>
      </c>
      <c r="Y1124" s="1" t="n">
        <f aca="false">N(Y1123)+$X1124</f>
        <v>0</v>
      </c>
      <c r="Z1124" s="1" t="n">
        <f aca="false">IF(AND($M1124=1,对接源_01水果!$D1124="原料入库"),1,0)</f>
        <v>0</v>
      </c>
      <c r="AA1124" s="1" t="n">
        <f aca="false">N(AA1123)+$Z1124</f>
        <v>30</v>
      </c>
      <c r="AB1124" s="1" t="n">
        <f aca="false">IF(AND($M1124=1,LEFT(对接源_01水果!$D1124,4)="原料出库"),1,0)</f>
        <v>0</v>
      </c>
      <c r="AC1124" s="1" t="n">
        <f aca="false">N(AC1123)+$AB1124</f>
        <v>19</v>
      </c>
      <c r="AD1124" s="1" t="n">
        <f aca="false">IF(AND($M1124=1,LEFT(对接源_01水果!$D1124,4)="成品出库"),1,0)</f>
        <v>0</v>
      </c>
      <c r="AE1124" s="1" t="n">
        <f aca="false">N(AE1123)+$AD1124</f>
        <v>38</v>
      </c>
      <c r="AF1124" s="1" t="n">
        <f aca="false">IF(AND($N1124=1,AND(LEFT(对接源_01水果!$D1124,4)="包装物料",N(对接源_01水果!$K1124)&lt;&gt;0)),1,0)</f>
        <v>0</v>
      </c>
      <c r="AG1124" s="90" t="str">
        <f aca="false">IF(对接源_01水果!$AC1124="","",对接源_01水果!$AC1124)</f>
        <v/>
      </c>
      <c r="AH1124" s="1" t="n">
        <f aca="false">IF(AND($N1124=1,AND(LEFT(对接源_01水果!$D1124,3)="周转筐",N(对接源_01水果!$K1124)&lt;&gt;0)),1,0)</f>
        <v>0</v>
      </c>
      <c r="AI1124" s="90" t="n">
        <f aca="false">IF(AG1124="",0,IF(MATCH(AG1124,$AG$4:$AG$1203,0)=ROW()-3,1,0))</f>
        <v>0</v>
      </c>
      <c r="AJ1124" s="90" t="n">
        <f aca="false">N(AJ1123)+AI1124</f>
        <v>4</v>
      </c>
      <c r="AK1124" s="1" t="n">
        <f aca="false">N(AK1123)+$AJ1124</f>
        <v>3356</v>
      </c>
    </row>
    <row r="1125" customFormat="false" ht="13.5" hidden="false" customHeight="false" outlineLevel="0" collapsed="false">
      <c r="A1125" s="1" t="str">
        <f aca="false">IF(对接源_01水果!$C1125="","",对接源_01水果!$C1125)</f>
        <v/>
      </c>
      <c r="B1125" s="1" t="n">
        <f aca="false">IF(A1125="",0,IF(MATCH(A1125,$A$4:$A$2403,0)=ROW()-3,1,0))</f>
        <v>0</v>
      </c>
      <c r="C1125" s="1" t="n">
        <f aca="false">N(C1124)+B1125</f>
        <v>13</v>
      </c>
      <c r="K1125" s="1" t="n">
        <f aca="false">IF(OR($K$1="",对接源_01水果!$C1125="",对接源_01水果!$C1125&lt;&gt;$K$1,对接源_01水果!$B1125=""),0,IF(OR(N(对接源_01水果!$B1125)&lt;$K$2,N(对接源_01水果!$B1125)&gt;$K$3),0,1))</f>
        <v>0</v>
      </c>
      <c r="L1125" s="1" t="n">
        <f aca="false">IF(OR($L$1="",对接源_01水果!$C1125="",对接源_01水果!$C1125&lt;&gt;$L$1,对接源_01水果!$B1125=""),0,IF(OR(N(对接源_01水果!$B1125)&lt;$L$2,N(对接源_01水果!$B1125)&gt;$L$3),0,1))</f>
        <v>0</v>
      </c>
      <c r="M1125" s="1" t="n">
        <f aca="false">IF(OR($M$1="",对接源_01水果!$C1125="",对接源_01水果!$C1125&lt;&gt;$M$1,对接源_01水果!$B1125=""),0,IF(OR(N(对接源_01水果!$B1125)&lt;$M$2,N(对接源_01水果!$B1125)&gt;$M$3),0,1))</f>
        <v>0</v>
      </c>
      <c r="N1125" s="1" t="n">
        <f aca="false">IF(OR($N$1="",对接源_01水果!$C1125="",对接源_01水果!$C1125&lt;&gt;$N$1,对接源_01水果!$B1125=""),0,IF(OR(N(对接源_01水果!$B1125)&lt;$N$2,N(对接源_01水果!$B1125)&gt;$N$3),0,1))</f>
        <v>0</v>
      </c>
      <c r="P1125" s="1" t="n">
        <f aca="false">IF(AND($K1125=1,AND(对接源_01水果!$X1125="公司筐",N(对接源_01水果!$T1125)&lt;&gt;0)),1,0)</f>
        <v>0</v>
      </c>
      <c r="Q1125" s="1" t="n">
        <f aca="false">N(Q1124)+$P1125</f>
        <v>3</v>
      </c>
      <c r="R1125" s="1" t="n">
        <f aca="false">IF(AND($K1125=1,AND(对接源_01水果!$X1125="公司筐",N(对接源_01水果!$U1125)&lt;&gt;0)),1,0)</f>
        <v>0</v>
      </c>
      <c r="S1125" s="1" t="n">
        <f aca="false">N(S1124)+$R1125</f>
        <v>0</v>
      </c>
      <c r="T1125" s="1" t="n">
        <f aca="false">IF(AND($K1125=1,AND(对接源_01水果!$X1125="公司筐",N(对接源_01水果!$V1125)&lt;&gt;0)),1,0)</f>
        <v>0</v>
      </c>
      <c r="U1125" s="1" t="n">
        <f aca="false">N(U1124)+$T1125</f>
        <v>28</v>
      </c>
      <c r="V1125" s="1" t="n">
        <f aca="false">IF(AND($L1125=1,AND(对接源_01水果!$X1125="自备筐",N(对接源_01水果!$V1125)&lt;&gt;0)),1,0)</f>
        <v>0</v>
      </c>
      <c r="W1125" s="1" t="n">
        <f aca="false">N(W1124)+$V1125</f>
        <v>7</v>
      </c>
      <c r="X1125" s="1" t="n">
        <f aca="false">IF(AND($L1125=1,AND(对接源_01水果!$X1125="自备筐",N(对接源_01水果!$T1125)&lt;&gt;0)),1,0)</f>
        <v>0</v>
      </c>
      <c r="Y1125" s="1" t="n">
        <f aca="false">N(Y1124)+$X1125</f>
        <v>0</v>
      </c>
      <c r="Z1125" s="1" t="n">
        <f aca="false">IF(AND($M1125=1,对接源_01水果!$D1125="原料入库"),1,0)</f>
        <v>0</v>
      </c>
      <c r="AA1125" s="1" t="n">
        <f aca="false">N(AA1124)+$Z1125</f>
        <v>30</v>
      </c>
      <c r="AB1125" s="1" t="n">
        <f aca="false">IF(AND($M1125=1,LEFT(对接源_01水果!$D1125,4)="原料出库"),1,0)</f>
        <v>0</v>
      </c>
      <c r="AC1125" s="1" t="n">
        <f aca="false">N(AC1124)+$AB1125</f>
        <v>19</v>
      </c>
      <c r="AD1125" s="1" t="n">
        <f aca="false">IF(AND($M1125=1,LEFT(对接源_01水果!$D1125,4)="成品出库"),1,0)</f>
        <v>0</v>
      </c>
      <c r="AE1125" s="1" t="n">
        <f aca="false">N(AE1124)+$AD1125</f>
        <v>38</v>
      </c>
      <c r="AF1125" s="1" t="n">
        <f aca="false">IF(AND($N1125=1,AND(LEFT(对接源_01水果!$D1125,4)="包装物料",N(对接源_01水果!$K1125)&lt;&gt;0)),1,0)</f>
        <v>0</v>
      </c>
      <c r="AG1125" s="90" t="str">
        <f aca="false">IF(对接源_01水果!$AC1125="","",对接源_01水果!$AC1125)</f>
        <v/>
      </c>
      <c r="AH1125" s="1" t="n">
        <f aca="false">IF(AND($N1125=1,AND(LEFT(对接源_01水果!$D1125,3)="周转筐",N(对接源_01水果!$K1125)&lt;&gt;0)),1,0)</f>
        <v>0</v>
      </c>
      <c r="AI1125" s="90" t="n">
        <f aca="false">IF(AG1125="",0,IF(MATCH(AG1125,$AG$4:$AG$1203,0)=ROW()-3,1,0))</f>
        <v>0</v>
      </c>
      <c r="AJ1125" s="90" t="n">
        <f aca="false">N(AJ1124)+AI1125</f>
        <v>4</v>
      </c>
      <c r="AK1125" s="1" t="n">
        <f aca="false">N(AK1124)+$AJ1125</f>
        <v>3360</v>
      </c>
    </row>
    <row r="1126" customFormat="false" ht="13.5" hidden="false" customHeight="false" outlineLevel="0" collapsed="false">
      <c r="A1126" s="1" t="str">
        <f aca="false">IF(对接源_01水果!$C1126="","",对接源_01水果!$C1126)</f>
        <v/>
      </c>
      <c r="B1126" s="1" t="n">
        <f aca="false">IF(A1126="",0,IF(MATCH(A1126,$A$4:$A$2403,0)=ROW()-3,1,0))</f>
        <v>0</v>
      </c>
      <c r="C1126" s="1" t="n">
        <f aca="false">N(C1125)+B1126</f>
        <v>13</v>
      </c>
      <c r="K1126" s="1" t="n">
        <f aca="false">IF(OR($K$1="",对接源_01水果!$C1126="",对接源_01水果!$C1126&lt;&gt;$K$1,对接源_01水果!$B1126=""),0,IF(OR(N(对接源_01水果!$B1126)&lt;$K$2,N(对接源_01水果!$B1126)&gt;$K$3),0,1))</f>
        <v>0</v>
      </c>
      <c r="L1126" s="1" t="n">
        <f aca="false">IF(OR($L$1="",对接源_01水果!$C1126="",对接源_01水果!$C1126&lt;&gt;$L$1,对接源_01水果!$B1126=""),0,IF(OR(N(对接源_01水果!$B1126)&lt;$L$2,N(对接源_01水果!$B1126)&gt;$L$3),0,1))</f>
        <v>0</v>
      </c>
      <c r="M1126" s="1" t="n">
        <f aca="false">IF(OR($M$1="",对接源_01水果!$C1126="",对接源_01水果!$C1126&lt;&gt;$M$1,对接源_01水果!$B1126=""),0,IF(OR(N(对接源_01水果!$B1126)&lt;$M$2,N(对接源_01水果!$B1126)&gt;$M$3),0,1))</f>
        <v>0</v>
      </c>
      <c r="N1126" s="1" t="n">
        <f aca="false">IF(OR($N$1="",对接源_01水果!$C1126="",对接源_01水果!$C1126&lt;&gt;$N$1,对接源_01水果!$B1126=""),0,IF(OR(N(对接源_01水果!$B1126)&lt;$N$2,N(对接源_01水果!$B1126)&gt;$N$3),0,1))</f>
        <v>0</v>
      </c>
      <c r="P1126" s="1" t="n">
        <f aca="false">IF(AND($K1126=1,AND(对接源_01水果!$X1126="公司筐",N(对接源_01水果!$T1126)&lt;&gt;0)),1,0)</f>
        <v>0</v>
      </c>
      <c r="Q1126" s="1" t="n">
        <f aca="false">N(Q1125)+$P1126</f>
        <v>3</v>
      </c>
      <c r="R1126" s="1" t="n">
        <f aca="false">IF(AND($K1126=1,AND(对接源_01水果!$X1126="公司筐",N(对接源_01水果!$U1126)&lt;&gt;0)),1,0)</f>
        <v>0</v>
      </c>
      <c r="S1126" s="1" t="n">
        <f aca="false">N(S1125)+$R1126</f>
        <v>0</v>
      </c>
      <c r="T1126" s="1" t="n">
        <f aca="false">IF(AND($K1126=1,AND(对接源_01水果!$X1126="公司筐",N(对接源_01水果!$V1126)&lt;&gt;0)),1,0)</f>
        <v>0</v>
      </c>
      <c r="U1126" s="1" t="n">
        <f aca="false">N(U1125)+$T1126</f>
        <v>28</v>
      </c>
      <c r="V1126" s="1" t="n">
        <f aca="false">IF(AND($L1126=1,AND(对接源_01水果!$X1126="自备筐",N(对接源_01水果!$V1126)&lt;&gt;0)),1,0)</f>
        <v>0</v>
      </c>
      <c r="W1126" s="1" t="n">
        <f aca="false">N(W1125)+$V1126</f>
        <v>7</v>
      </c>
      <c r="X1126" s="1" t="n">
        <f aca="false">IF(AND($L1126=1,AND(对接源_01水果!$X1126="自备筐",N(对接源_01水果!$T1126)&lt;&gt;0)),1,0)</f>
        <v>0</v>
      </c>
      <c r="Y1126" s="1" t="n">
        <f aca="false">N(Y1125)+$X1126</f>
        <v>0</v>
      </c>
      <c r="Z1126" s="1" t="n">
        <f aca="false">IF(AND($M1126=1,对接源_01水果!$D1126="原料入库"),1,0)</f>
        <v>0</v>
      </c>
      <c r="AA1126" s="1" t="n">
        <f aca="false">N(AA1125)+$Z1126</f>
        <v>30</v>
      </c>
      <c r="AB1126" s="1" t="n">
        <f aca="false">IF(AND($M1126=1,LEFT(对接源_01水果!$D1126,4)="原料出库"),1,0)</f>
        <v>0</v>
      </c>
      <c r="AC1126" s="1" t="n">
        <f aca="false">N(AC1125)+$AB1126</f>
        <v>19</v>
      </c>
      <c r="AD1126" s="1" t="n">
        <f aca="false">IF(AND($M1126=1,LEFT(对接源_01水果!$D1126,4)="成品出库"),1,0)</f>
        <v>0</v>
      </c>
      <c r="AE1126" s="1" t="n">
        <f aca="false">N(AE1125)+$AD1126</f>
        <v>38</v>
      </c>
      <c r="AF1126" s="1" t="n">
        <f aca="false">IF(AND($N1126=1,AND(LEFT(对接源_01水果!$D1126,4)="包装物料",N(对接源_01水果!$K1126)&lt;&gt;0)),1,0)</f>
        <v>0</v>
      </c>
      <c r="AG1126" s="90" t="str">
        <f aca="false">IF(对接源_01水果!$AC1126="","",对接源_01水果!$AC1126)</f>
        <v/>
      </c>
      <c r="AH1126" s="1" t="n">
        <f aca="false">IF(AND($N1126=1,AND(LEFT(对接源_01水果!$D1126,3)="周转筐",N(对接源_01水果!$K1126)&lt;&gt;0)),1,0)</f>
        <v>0</v>
      </c>
      <c r="AI1126" s="90" t="n">
        <f aca="false">IF(AG1126="",0,IF(MATCH(AG1126,$AG$4:$AG$1203,0)=ROW()-3,1,0))</f>
        <v>0</v>
      </c>
      <c r="AJ1126" s="90" t="n">
        <f aca="false">N(AJ1125)+AI1126</f>
        <v>4</v>
      </c>
      <c r="AK1126" s="1" t="n">
        <f aca="false">N(AK1125)+$AJ1126</f>
        <v>3364</v>
      </c>
    </row>
    <row r="1127" customFormat="false" ht="13.5" hidden="false" customHeight="false" outlineLevel="0" collapsed="false">
      <c r="A1127" s="1" t="str">
        <f aca="false">IF(对接源_01水果!$C1127="","",对接源_01水果!$C1127)</f>
        <v/>
      </c>
      <c r="B1127" s="1" t="n">
        <f aca="false">IF(A1127="",0,IF(MATCH(A1127,$A$4:$A$2403,0)=ROW()-3,1,0))</f>
        <v>0</v>
      </c>
      <c r="C1127" s="1" t="n">
        <f aca="false">N(C1126)+B1127</f>
        <v>13</v>
      </c>
      <c r="K1127" s="1" t="n">
        <f aca="false">IF(OR($K$1="",对接源_01水果!$C1127="",对接源_01水果!$C1127&lt;&gt;$K$1,对接源_01水果!$B1127=""),0,IF(OR(N(对接源_01水果!$B1127)&lt;$K$2,N(对接源_01水果!$B1127)&gt;$K$3),0,1))</f>
        <v>0</v>
      </c>
      <c r="L1127" s="1" t="n">
        <f aca="false">IF(OR($L$1="",对接源_01水果!$C1127="",对接源_01水果!$C1127&lt;&gt;$L$1,对接源_01水果!$B1127=""),0,IF(OR(N(对接源_01水果!$B1127)&lt;$L$2,N(对接源_01水果!$B1127)&gt;$L$3),0,1))</f>
        <v>0</v>
      </c>
      <c r="M1127" s="1" t="n">
        <f aca="false">IF(OR($M$1="",对接源_01水果!$C1127="",对接源_01水果!$C1127&lt;&gt;$M$1,对接源_01水果!$B1127=""),0,IF(OR(N(对接源_01水果!$B1127)&lt;$M$2,N(对接源_01水果!$B1127)&gt;$M$3),0,1))</f>
        <v>0</v>
      </c>
      <c r="N1127" s="1" t="n">
        <f aca="false">IF(OR($N$1="",对接源_01水果!$C1127="",对接源_01水果!$C1127&lt;&gt;$N$1,对接源_01水果!$B1127=""),0,IF(OR(N(对接源_01水果!$B1127)&lt;$N$2,N(对接源_01水果!$B1127)&gt;$N$3),0,1))</f>
        <v>0</v>
      </c>
      <c r="P1127" s="1" t="n">
        <f aca="false">IF(AND($K1127=1,AND(对接源_01水果!$X1127="公司筐",N(对接源_01水果!$T1127)&lt;&gt;0)),1,0)</f>
        <v>0</v>
      </c>
      <c r="Q1127" s="1" t="n">
        <f aca="false">N(Q1126)+$P1127</f>
        <v>3</v>
      </c>
      <c r="R1127" s="1" t="n">
        <f aca="false">IF(AND($K1127=1,AND(对接源_01水果!$X1127="公司筐",N(对接源_01水果!$U1127)&lt;&gt;0)),1,0)</f>
        <v>0</v>
      </c>
      <c r="S1127" s="1" t="n">
        <f aca="false">N(S1126)+$R1127</f>
        <v>0</v>
      </c>
      <c r="T1127" s="1" t="n">
        <f aca="false">IF(AND($K1127=1,AND(对接源_01水果!$X1127="公司筐",N(对接源_01水果!$V1127)&lt;&gt;0)),1,0)</f>
        <v>0</v>
      </c>
      <c r="U1127" s="1" t="n">
        <f aca="false">N(U1126)+$T1127</f>
        <v>28</v>
      </c>
      <c r="V1127" s="1" t="n">
        <f aca="false">IF(AND($L1127=1,AND(对接源_01水果!$X1127="自备筐",N(对接源_01水果!$V1127)&lt;&gt;0)),1,0)</f>
        <v>0</v>
      </c>
      <c r="W1127" s="1" t="n">
        <f aca="false">N(W1126)+$V1127</f>
        <v>7</v>
      </c>
      <c r="X1127" s="1" t="n">
        <f aca="false">IF(AND($L1127=1,AND(对接源_01水果!$X1127="自备筐",N(对接源_01水果!$T1127)&lt;&gt;0)),1,0)</f>
        <v>0</v>
      </c>
      <c r="Y1127" s="1" t="n">
        <f aca="false">N(Y1126)+$X1127</f>
        <v>0</v>
      </c>
      <c r="Z1127" s="1" t="n">
        <f aca="false">IF(AND($M1127=1,对接源_01水果!$D1127="原料入库"),1,0)</f>
        <v>0</v>
      </c>
      <c r="AA1127" s="1" t="n">
        <f aca="false">N(AA1126)+$Z1127</f>
        <v>30</v>
      </c>
      <c r="AB1127" s="1" t="n">
        <f aca="false">IF(AND($M1127=1,LEFT(对接源_01水果!$D1127,4)="原料出库"),1,0)</f>
        <v>0</v>
      </c>
      <c r="AC1127" s="1" t="n">
        <f aca="false">N(AC1126)+$AB1127</f>
        <v>19</v>
      </c>
      <c r="AD1127" s="1" t="n">
        <f aca="false">IF(AND($M1127=1,LEFT(对接源_01水果!$D1127,4)="成品出库"),1,0)</f>
        <v>0</v>
      </c>
      <c r="AE1127" s="1" t="n">
        <f aca="false">N(AE1126)+$AD1127</f>
        <v>38</v>
      </c>
      <c r="AF1127" s="1" t="n">
        <f aca="false">IF(AND($N1127=1,AND(LEFT(对接源_01水果!$D1127,4)="包装物料",N(对接源_01水果!$K1127)&lt;&gt;0)),1,0)</f>
        <v>0</v>
      </c>
      <c r="AG1127" s="90" t="str">
        <f aca="false">IF(对接源_01水果!$AC1127="","",对接源_01水果!$AC1127)</f>
        <v/>
      </c>
      <c r="AH1127" s="1" t="n">
        <f aca="false">IF(AND($N1127=1,AND(LEFT(对接源_01水果!$D1127,3)="周转筐",N(对接源_01水果!$K1127)&lt;&gt;0)),1,0)</f>
        <v>0</v>
      </c>
      <c r="AI1127" s="90" t="n">
        <f aca="false">IF(AG1127="",0,IF(MATCH(AG1127,$AG$4:$AG$1203,0)=ROW()-3,1,0))</f>
        <v>0</v>
      </c>
      <c r="AJ1127" s="90" t="n">
        <f aca="false">N(AJ1126)+AI1127</f>
        <v>4</v>
      </c>
      <c r="AK1127" s="1" t="n">
        <f aca="false">N(AK1126)+$AJ1127</f>
        <v>3368</v>
      </c>
    </row>
    <row r="1128" customFormat="false" ht="13.5" hidden="false" customHeight="false" outlineLevel="0" collapsed="false">
      <c r="A1128" s="1" t="str">
        <f aca="false">IF(对接源_01水果!$C1128="","",对接源_01水果!$C1128)</f>
        <v/>
      </c>
      <c r="B1128" s="1" t="n">
        <f aca="false">IF(A1128="",0,IF(MATCH(A1128,$A$4:$A$2403,0)=ROW()-3,1,0))</f>
        <v>0</v>
      </c>
      <c r="C1128" s="1" t="n">
        <f aca="false">N(C1127)+B1128</f>
        <v>13</v>
      </c>
      <c r="K1128" s="1" t="n">
        <f aca="false">IF(OR($K$1="",对接源_01水果!$C1128="",对接源_01水果!$C1128&lt;&gt;$K$1,对接源_01水果!$B1128=""),0,IF(OR(N(对接源_01水果!$B1128)&lt;$K$2,N(对接源_01水果!$B1128)&gt;$K$3),0,1))</f>
        <v>0</v>
      </c>
      <c r="L1128" s="1" t="n">
        <f aca="false">IF(OR($L$1="",对接源_01水果!$C1128="",对接源_01水果!$C1128&lt;&gt;$L$1,对接源_01水果!$B1128=""),0,IF(OR(N(对接源_01水果!$B1128)&lt;$L$2,N(对接源_01水果!$B1128)&gt;$L$3),0,1))</f>
        <v>0</v>
      </c>
      <c r="M1128" s="1" t="n">
        <f aca="false">IF(OR($M$1="",对接源_01水果!$C1128="",对接源_01水果!$C1128&lt;&gt;$M$1,对接源_01水果!$B1128=""),0,IF(OR(N(对接源_01水果!$B1128)&lt;$M$2,N(对接源_01水果!$B1128)&gt;$M$3),0,1))</f>
        <v>0</v>
      </c>
      <c r="N1128" s="1" t="n">
        <f aca="false">IF(OR($N$1="",对接源_01水果!$C1128="",对接源_01水果!$C1128&lt;&gt;$N$1,对接源_01水果!$B1128=""),0,IF(OR(N(对接源_01水果!$B1128)&lt;$N$2,N(对接源_01水果!$B1128)&gt;$N$3),0,1))</f>
        <v>0</v>
      </c>
      <c r="P1128" s="1" t="n">
        <f aca="false">IF(AND($K1128=1,AND(对接源_01水果!$X1128="公司筐",N(对接源_01水果!$T1128)&lt;&gt;0)),1,0)</f>
        <v>0</v>
      </c>
      <c r="Q1128" s="1" t="n">
        <f aca="false">N(Q1127)+$P1128</f>
        <v>3</v>
      </c>
      <c r="R1128" s="1" t="n">
        <f aca="false">IF(AND($K1128=1,AND(对接源_01水果!$X1128="公司筐",N(对接源_01水果!$U1128)&lt;&gt;0)),1,0)</f>
        <v>0</v>
      </c>
      <c r="S1128" s="1" t="n">
        <f aca="false">N(S1127)+$R1128</f>
        <v>0</v>
      </c>
      <c r="T1128" s="1" t="n">
        <f aca="false">IF(AND($K1128=1,AND(对接源_01水果!$X1128="公司筐",N(对接源_01水果!$V1128)&lt;&gt;0)),1,0)</f>
        <v>0</v>
      </c>
      <c r="U1128" s="1" t="n">
        <f aca="false">N(U1127)+$T1128</f>
        <v>28</v>
      </c>
      <c r="V1128" s="1" t="n">
        <f aca="false">IF(AND($L1128=1,AND(对接源_01水果!$X1128="自备筐",N(对接源_01水果!$V1128)&lt;&gt;0)),1,0)</f>
        <v>0</v>
      </c>
      <c r="W1128" s="1" t="n">
        <f aca="false">N(W1127)+$V1128</f>
        <v>7</v>
      </c>
      <c r="X1128" s="1" t="n">
        <f aca="false">IF(AND($L1128=1,AND(对接源_01水果!$X1128="自备筐",N(对接源_01水果!$T1128)&lt;&gt;0)),1,0)</f>
        <v>0</v>
      </c>
      <c r="Y1128" s="1" t="n">
        <f aca="false">N(Y1127)+$X1128</f>
        <v>0</v>
      </c>
      <c r="Z1128" s="1" t="n">
        <f aca="false">IF(AND($M1128=1,对接源_01水果!$D1128="原料入库"),1,0)</f>
        <v>0</v>
      </c>
      <c r="AA1128" s="1" t="n">
        <f aca="false">N(AA1127)+$Z1128</f>
        <v>30</v>
      </c>
      <c r="AB1128" s="1" t="n">
        <f aca="false">IF(AND($M1128=1,LEFT(对接源_01水果!$D1128,4)="原料出库"),1,0)</f>
        <v>0</v>
      </c>
      <c r="AC1128" s="1" t="n">
        <f aca="false">N(AC1127)+$AB1128</f>
        <v>19</v>
      </c>
      <c r="AD1128" s="1" t="n">
        <f aca="false">IF(AND($M1128=1,LEFT(对接源_01水果!$D1128,4)="成品出库"),1,0)</f>
        <v>0</v>
      </c>
      <c r="AE1128" s="1" t="n">
        <f aca="false">N(AE1127)+$AD1128</f>
        <v>38</v>
      </c>
      <c r="AF1128" s="1" t="n">
        <f aca="false">IF(AND($N1128=1,AND(LEFT(对接源_01水果!$D1128,4)="包装物料",N(对接源_01水果!$K1128)&lt;&gt;0)),1,0)</f>
        <v>0</v>
      </c>
      <c r="AG1128" s="90" t="str">
        <f aca="false">IF(对接源_01水果!$AC1128="","",对接源_01水果!$AC1128)</f>
        <v/>
      </c>
      <c r="AH1128" s="1" t="n">
        <f aca="false">IF(AND($N1128=1,AND(LEFT(对接源_01水果!$D1128,3)="周转筐",N(对接源_01水果!$K1128)&lt;&gt;0)),1,0)</f>
        <v>0</v>
      </c>
      <c r="AI1128" s="90" t="n">
        <f aca="false">IF(AG1128="",0,IF(MATCH(AG1128,$AG$4:$AG$1203,0)=ROW()-3,1,0))</f>
        <v>0</v>
      </c>
      <c r="AJ1128" s="90" t="n">
        <f aca="false">N(AJ1127)+AI1128</f>
        <v>4</v>
      </c>
      <c r="AK1128" s="1" t="n">
        <f aca="false">N(AK1127)+$AJ1128</f>
        <v>3372</v>
      </c>
    </row>
    <row r="1129" customFormat="false" ht="13.5" hidden="false" customHeight="false" outlineLevel="0" collapsed="false">
      <c r="A1129" s="1" t="str">
        <f aca="false">IF(对接源_01水果!$C1129="","",对接源_01水果!$C1129)</f>
        <v/>
      </c>
      <c r="B1129" s="1" t="n">
        <f aca="false">IF(A1129="",0,IF(MATCH(A1129,$A$4:$A$2403,0)=ROW()-3,1,0))</f>
        <v>0</v>
      </c>
      <c r="C1129" s="1" t="n">
        <f aca="false">N(C1128)+B1129</f>
        <v>13</v>
      </c>
      <c r="K1129" s="1" t="n">
        <f aca="false">IF(OR($K$1="",对接源_01水果!$C1129="",对接源_01水果!$C1129&lt;&gt;$K$1,对接源_01水果!$B1129=""),0,IF(OR(N(对接源_01水果!$B1129)&lt;$K$2,N(对接源_01水果!$B1129)&gt;$K$3),0,1))</f>
        <v>0</v>
      </c>
      <c r="L1129" s="1" t="n">
        <f aca="false">IF(OR($L$1="",对接源_01水果!$C1129="",对接源_01水果!$C1129&lt;&gt;$L$1,对接源_01水果!$B1129=""),0,IF(OR(N(对接源_01水果!$B1129)&lt;$L$2,N(对接源_01水果!$B1129)&gt;$L$3),0,1))</f>
        <v>0</v>
      </c>
      <c r="M1129" s="1" t="n">
        <f aca="false">IF(OR($M$1="",对接源_01水果!$C1129="",对接源_01水果!$C1129&lt;&gt;$M$1,对接源_01水果!$B1129=""),0,IF(OR(N(对接源_01水果!$B1129)&lt;$M$2,N(对接源_01水果!$B1129)&gt;$M$3),0,1))</f>
        <v>0</v>
      </c>
      <c r="N1129" s="1" t="n">
        <f aca="false">IF(OR($N$1="",对接源_01水果!$C1129="",对接源_01水果!$C1129&lt;&gt;$N$1,对接源_01水果!$B1129=""),0,IF(OR(N(对接源_01水果!$B1129)&lt;$N$2,N(对接源_01水果!$B1129)&gt;$N$3),0,1))</f>
        <v>0</v>
      </c>
      <c r="P1129" s="1" t="n">
        <f aca="false">IF(AND($K1129=1,AND(对接源_01水果!$X1129="公司筐",N(对接源_01水果!$T1129)&lt;&gt;0)),1,0)</f>
        <v>0</v>
      </c>
      <c r="Q1129" s="1" t="n">
        <f aca="false">N(Q1128)+$P1129</f>
        <v>3</v>
      </c>
      <c r="R1129" s="1" t="n">
        <f aca="false">IF(AND($K1129=1,AND(对接源_01水果!$X1129="公司筐",N(对接源_01水果!$U1129)&lt;&gt;0)),1,0)</f>
        <v>0</v>
      </c>
      <c r="S1129" s="1" t="n">
        <f aca="false">N(S1128)+$R1129</f>
        <v>0</v>
      </c>
      <c r="T1129" s="1" t="n">
        <f aca="false">IF(AND($K1129=1,AND(对接源_01水果!$X1129="公司筐",N(对接源_01水果!$V1129)&lt;&gt;0)),1,0)</f>
        <v>0</v>
      </c>
      <c r="U1129" s="1" t="n">
        <f aca="false">N(U1128)+$T1129</f>
        <v>28</v>
      </c>
      <c r="V1129" s="1" t="n">
        <f aca="false">IF(AND($L1129=1,AND(对接源_01水果!$X1129="自备筐",N(对接源_01水果!$V1129)&lt;&gt;0)),1,0)</f>
        <v>0</v>
      </c>
      <c r="W1129" s="1" t="n">
        <f aca="false">N(W1128)+$V1129</f>
        <v>7</v>
      </c>
      <c r="X1129" s="1" t="n">
        <f aca="false">IF(AND($L1129=1,AND(对接源_01水果!$X1129="自备筐",N(对接源_01水果!$T1129)&lt;&gt;0)),1,0)</f>
        <v>0</v>
      </c>
      <c r="Y1129" s="1" t="n">
        <f aca="false">N(Y1128)+$X1129</f>
        <v>0</v>
      </c>
      <c r="Z1129" s="1" t="n">
        <f aca="false">IF(AND($M1129=1,对接源_01水果!$D1129="原料入库"),1,0)</f>
        <v>0</v>
      </c>
      <c r="AA1129" s="1" t="n">
        <f aca="false">N(AA1128)+$Z1129</f>
        <v>30</v>
      </c>
      <c r="AB1129" s="1" t="n">
        <f aca="false">IF(AND($M1129=1,LEFT(对接源_01水果!$D1129,4)="原料出库"),1,0)</f>
        <v>0</v>
      </c>
      <c r="AC1129" s="1" t="n">
        <f aca="false">N(AC1128)+$AB1129</f>
        <v>19</v>
      </c>
      <c r="AD1129" s="1" t="n">
        <f aca="false">IF(AND($M1129=1,LEFT(对接源_01水果!$D1129,4)="成品出库"),1,0)</f>
        <v>0</v>
      </c>
      <c r="AE1129" s="1" t="n">
        <f aca="false">N(AE1128)+$AD1129</f>
        <v>38</v>
      </c>
      <c r="AF1129" s="1" t="n">
        <f aca="false">IF(AND($N1129=1,AND(LEFT(对接源_01水果!$D1129,4)="包装物料",N(对接源_01水果!$K1129)&lt;&gt;0)),1,0)</f>
        <v>0</v>
      </c>
      <c r="AG1129" s="90" t="str">
        <f aca="false">IF(对接源_01水果!$AC1129="","",对接源_01水果!$AC1129)</f>
        <v/>
      </c>
      <c r="AH1129" s="1" t="n">
        <f aca="false">IF(AND($N1129=1,AND(LEFT(对接源_01水果!$D1129,3)="周转筐",N(对接源_01水果!$K1129)&lt;&gt;0)),1,0)</f>
        <v>0</v>
      </c>
      <c r="AI1129" s="90" t="n">
        <f aca="false">IF(AG1129="",0,IF(MATCH(AG1129,$AG$4:$AG$1203,0)=ROW()-3,1,0))</f>
        <v>0</v>
      </c>
      <c r="AJ1129" s="90" t="n">
        <f aca="false">N(AJ1128)+AI1129</f>
        <v>4</v>
      </c>
      <c r="AK1129" s="1" t="n">
        <f aca="false">N(AK1128)+$AJ1129</f>
        <v>3376</v>
      </c>
    </row>
    <row r="1130" customFormat="false" ht="13.5" hidden="false" customHeight="false" outlineLevel="0" collapsed="false">
      <c r="A1130" s="1" t="str">
        <f aca="false">IF(对接源_01水果!$C1130="","",对接源_01水果!$C1130)</f>
        <v/>
      </c>
      <c r="B1130" s="1" t="n">
        <f aca="false">IF(A1130="",0,IF(MATCH(A1130,$A$4:$A$2403,0)=ROW()-3,1,0))</f>
        <v>0</v>
      </c>
      <c r="C1130" s="1" t="n">
        <f aca="false">N(C1129)+B1130</f>
        <v>13</v>
      </c>
      <c r="K1130" s="1" t="n">
        <f aca="false">IF(OR($K$1="",对接源_01水果!$C1130="",对接源_01水果!$C1130&lt;&gt;$K$1,对接源_01水果!$B1130=""),0,IF(OR(N(对接源_01水果!$B1130)&lt;$K$2,N(对接源_01水果!$B1130)&gt;$K$3),0,1))</f>
        <v>0</v>
      </c>
      <c r="L1130" s="1" t="n">
        <f aca="false">IF(OR($L$1="",对接源_01水果!$C1130="",对接源_01水果!$C1130&lt;&gt;$L$1,对接源_01水果!$B1130=""),0,IF(OR(N(对接源_01水果!$B1130)&lt;$L$2,N(对接源_01水果!$B1130)&gt;$L$3),0,1))</f>
        <v>0</v>
      </c>
      <c r="M1130" s="1" t="n">
        <f aca="false">IF(OR($M$1="",对接源_01水果!$C1130="",对接源_01水果!$C1130&lt;&gt;$M$1,对接源_01水果!$B1130=""),0,IF(OR(N(对接源_01水果!$B1130)&lt;$M$2,N(对接源_01水果!$B1130)&gt;$M$3),0,1))</f>
        <v>0</v>
      </c>
      <c r="N1130" s="1" t="n">
        <f aca="false">IF(OR($N$1="",对接源_01水果!$C1130="",对接源_01水果!$C1130&lt;&gt;$N$1,对接源_01水果!$B1130=""),0,IF(OR(N(对接源_01水果!$B1130)&lt;$N$2,N(对接源_01水果!$B1130)&gt;$N$3),0,1))</f>
        <v>0</v>
      </c>
      <c r="P1130" s="1" t="n">
        <f aca="false">IF(AND($K1130=1,AND(对接源_01水果!$X1130="公司筐",N(对接源_01水果!$T1130)&lt;&gt;0)),1,0)</f>
        <v>0</v>
      </c>
      <c r="Q1130" s="1" t="n">
        <f aca="false">N(Q1129)+$P1130</f>
        <v>3</v>
      </c>
      <c r="R1130" s="1" t="n">
        <f aca="false">IF(AND($K1130=1,AND(对接源_01水果!$X1130="公司筐",N(对接源_01水果!$U1130)&lt;&gt;0)),1,0)</f>
        <v>0</v>
      </c>
      <c r="S1130" s="1" t="n">
        <f aca="false">N(S1129)+$R1130</f>
        <v>0</v>
      </c>
      <c r="T1130" s="1" t="n">
        <f aca="false">IF(AND($K1130=1,AND(对接源_01水果!$X1130="公司筐",N(对接源_01水果!$V1130)&lt;&gt;0)),1,0)</f>
        <v>0</v>
      </c>
      <c r="U1130" s="1" t="n">
        <f aca="false">N(U1129)+$T1130</f>
        <v>28</v>
      </c>
      <c r="V1130" s="1" t="n">
        <f aca="false">IF(AND($L1130=1,AND(对接源_01水果!$X1130="自备筐",N(对接源_01水果!$V1130)&lt;&gt;0)),1,0)</f>
        <v>0</v>
      </c>
      <c r="W1130" s="1" t="n">
        <f aca="false">N(W1129)+$V1130</f>
        <v>7</v>
      </c>
      <c r="X1130" s="1" t="n">
        <f aca="false">IF(AND($L1130=1,AND(对接源_01水果!$X1130="自备筐",N(对接源_01水果!$T1130)&lt;&gt;0)),1,0)</f>
        <v>0</v>
      </c>
      <c r="Y1130" s="1" t="n">
        <f aca="false">N(Y1129)+$X1130</f>
        <v>0</v>
      </c>
      <c r="Z1130" s="1" t="n">
        <f aca="false">IF(AND($M1130=1,对接源_01水果!$D1130="原料入库"),1,0)</f>
        <v>0</v>
      </c>
      <c r="AA1130" s="1" t="n">
        <f aca="false">N(AA1129)+$Z1130</f>
        <v>30</v>
      </c>
      <c r="AB1130" s="1" t="n">
        <f aca="false">IF(AND($M1130=1,LEFT(对接源_01水果!$D1130,4)="原料出库"),1,0)</f>
        <v>0</v>
      </c>
      <c r="AC1130" s="1" t="n">
        <f aca="false">N(AC1129)+$AB1130</f>
        <v>19</v>
      </c>
      <c r="AD1130" s="1" t="n">
        <f aca="false">IF(AND($M1130=1,LEFT(对接源_01水果!$D1130,4)="成品出库"),1,0)</f>
        <v>0</v>
      </c>
      <c r="AE1130" s="1" t="n">
        <f aca="false">N(AE1129)+$AD1130</f>
        <v>38</v>
      </c>
      <c r="AF1130" s="1" t="n">
        <f aca="false">IF(AND($N1130=1,AND(LEFT(对接源_01水果!$D1130,4)="包装物料",N(对接源_01水果!$K1130)&lt;&gt;0)),1,0)</f>
        <v>0</v>
      </c>
      <c r="AG1130" s="90" t="str">
        <f aca="false">IF(对接源_01水果!$AC1130="","",对接源_01水果!$AC1130)</f>
        <v/>
      </c>
      <c r="AH1130" s="1" t="n">
        <f aca="false">IF(AND($N1130=1,AND(LEFT(对接源_01水果!$D1130,3)="周转筐",N(对接源_01水果!$K1130)&lt;&gt;0)),1,0)</f>
        <v>0</v>
      </c>
      <c r="AI1130" s="90" t="n">
        <f aca="false">IF(AG1130="",0,IF(MATCH(AG1130,$AG$4:$AG$1203,0)=ROW()-3,1,0))</f>
        <v>0</v>
      </c>
      <c r="AJ1130" s="90" t="n">
        <f aca="false">N(AJ1129)+AI1130</f>
        <v>4</v>
      </c>
      <c r="AK1130" s="1" t="n">
        <f aca="false">N(AK1129)+$AJ1130</f>
        <v>3380</v>
      </c>
    </row>
    <row r="1131" customFormat="false" ht="13.5" hidden="false" customHeight="false" outlineLevel="0" collapsed="false">
      <c r="A1131" s="1" t="str">
        <f aca="false">IF(对接源_01水果!$C1131="","",对接源_01水果!$C1131)</f>
        <v/>
      </c>
      <c r="B1131" s="1" t="n">
        <f aca="false">IF(A1131="",0,IF(MATCH(A1131,$A$4:$A$2403,0)=ROW()-3,1,0))</f>
        <v>0</v>
      </c>
      <c r="C1131" s="1" t="n">
        <f aca="false">N(C1130)+B1131</f>
        <v>13</v>
      </c>
      <c r="K1131" s="1" t="n">
        <f aca="false">IF(OR($K$1="",对接源_01水果!$C1131="",对接源_01水果!$C1131&lt;&gt;$K$1,对接源_01水果!$B1131=""),0,IF(OR(N(对接源_01水果!$B1131)&lt;$K$2,N(对接源_01水果!$B1131)&gt;$K$3),0,1))</f>
        <v>0</v>
      </c>
      <c r="L1131" s="1" t="n">
        <f aca="false">IF(OR($L$1="",对接源_01水果!$C1131="",对接源_01水果!$C1131&lt;&gt;$L$1,对接源_01水果!$B1131=""),0,IF(OR(N(对接源_01水果!$B1131)&lt;$L$2,N(对接源_01水果!$B1131)&gt;$L$3),0,1))</f>
        <v>0</v>
      </c>
      <c r="M1131" s="1" t="n">
        <f aca="false">IF(OR($M$1="",对接源_01水果!$C1131="",对接源_01水果!$C1131&lt;&gt;$M$1,对接源_01水果!$B1131=""),0,IF(OR(N(对接源_01水果!$B1131)&lt;$M$2,N(对接源_01水果!$B1131)&gt;$M$3),0,1))</f>
        <v>0</v>
      </c>
      <c r="N1131" s="1" t="n">
        <f aca="false">IF(OR($N$1="",对接源_01水果!$C1131="",对接源_01水果!$C1131&lt;&gt;$N$1,对接源_01水果!$B1131=""),0,IF(OR(N(对接源_01水果!$B1131)&lt;$N$2,N(对接源_01水果!$B1131)&gt;$N$3),0,1))</f>
        <v>0</v>
      </c>
      <c r="P1131" s="1" t="n">
        <f aca="false">IF(AND($K1131=1,AND(对接源_01水果!$X1131="公司筐",N(对接源_01水果!$T1131)&lt;&gt;0)),1,0)</f>
        <v>0</v>
      </c>
      <c r="Q1131" s="1" t="n">
        <f aca="false">N(Q1130)+$P1131</f>
        <v>3</v>
      </c>
      <c r="R1131" s="1" t="n">
        <f aca="false">IF(AND($K1131=1,AND(对接源_01水果!$X1131="公司筐",N(对接源_01水果!$U1131)&lt;&gt;0)),1,0)</f>
        <v>0</v>
      </c>
      <c r="S1131" s="1" t="n">
        <f aca="false">N(S1130)+$R1131</f>
        <v>0</v>
      </c>
      <c r="T1131" s="1" t="n">
        <f aca="false">IF(AND($K1131=1,AND(对接源_01水果!$X1131="公司筐",N(对接源_01水果!$V1131)&lt;&gt;0)),1,0)</f>
        <v>0</v>
      </c>
      <c r="U1131" s="1" t="n">
        <f aca="false">N(U1130)+$T1131</f>
        <v>28</v>
      </c>
      <c r="V1131" s="1" t="n">
        <f aca="false">IF(AND($L1131=1,AND(对接源_01水果!$X1131="自备筐",N(对接源_01水果!$V1131)&lt;&gt;0)),1,0)</f>
        <v>0</v>
      </c>
      <c r="W1131" s="1" t="n">
        <f aca="false">N(W1130)+$V1131</f>
        <v>7</v>
      </c>
      <c r="X1131" s="1" t="n">
        <f aca="false">IF(AND($L1131=1,AND(对接源_01水果!$X1131="自备筐",N(对接源_01水果!$T1131)&lt;&gt;0)),1,0)</f>
        <v>0</v>
      </c>
      <c r="Y1131" s="1" t="n">
        <f aca="false">N(Y1130)+$X1131</f>
        <v>0</v>
      </c>
      <c r="Z1131" s="1" t="n">
        <f aca="false">IF(AND($M1131=1,对接源_01水果!$D1131="原料入库"),1,0)</f>
        <v>0</v>
      </c>
      <c r="AA1131" s="1" t="n">
        <f aca="false">N(AA1130)+$Z1131</f>
        <v>30</v>
      </c>
      <c r="AB1131" s="1" t="n">
        <f aca="false">IF(AND($M1131=1,LEFT(对接源_01水果!$D1131,4)="原料出库"),1,0)</f>
        <v>0</v>
      </c>
      <c r="AC1131" s="1" t="n">
        <f aca="false">N(AC1130)+$AB1131</f>
        <v>19</v>
      </c>
      <c r="AD1131" s="1" t="n">
        <f aca="false">IF(AND($M1131=1,LEFT(对接源_01水果!$D1131,4)="成品出库"),1,0)</f>
        <v>0</v>
      </c>
      <c r="AE1131" s="1" t="n">
        <f aca="false">N(AE1130)+$AD1131</f>
        <v>38</v>
      </c>
      <c r="AF1131" s="1" t="n">
        <f aca="false">IF(AND($N1131=1,AND(LEFT(对接源_01水果!$D1131,4)="包装物料",N(对接源_01水果!$K1131)&lt;&gt;0)),1,0)</f>
        <v>0</v>
      </c>
      <c r="AG1131" s="90" t="str">
        <f aca="false">IF(对接源_01水果!$AC1131="","",对接源_01水果!$AC1131)</f>
        <v/>
      </c>
      <c r="AH1131" s="1" t="n">
        <f aca="false">IF(AND($N1131=1,AND(LEFT(对接源_01水果!$D1131,3)="周转筐",N(对接源_01水果!$K1131)&lt;&gt;0)),1,0)</f>
        <v>0</v>
      </c>
      <c r="AI1131" s="90" t="n">
        <f aca="false">IF(AG1131="",0,IF(MATCH(AG1131,$AG$4:$AG$1203,0)=ROW()-3,1,0))</f>
        <v>0</v>
      </c>
      <c r="AJ1131" s="90" t="n">
        <f aca="false">N(AJ1130)+AI1131</f>
        <v>4</v>
      </c>
      <c r="AK1131" s="1" t="n">
        <f aca="false">N(AK1130)+$AJ1131</f>
        <v>3384</v>
      </c>
    </row>
    <row r="1132" customFormat="false" ht="13.5" hidden="false" customHeight="false" outlineLevel="0" collapsed="false">
      <c r="A1132" s="1" t="str">
        <f aca="false">IF(对接源_01水果!$C1132="","",对接源_01水果!$C1132)</f>
        <v/>
      </c>
      <c r="B1132" s="1" t="n">
        <f aca="false">IF(A1132="",0,IF(MATCH(A1132,$A$4:$A$2403,0)=ROW()-3,1,0))</f>
        <v>0</v>
      </c>
      <c r="C1132" s="1" t="n">
        <f aca="false">N(C1131)+B1132</f>
        <v>13</v>
      </c>
      <c r="K1132" s="1" t="n">
        <f aca="false">IF(OR($K$1="",对接源_01水果!$C1132="",对接源_01水果!$C1132&lt;&gt;$K$1,对接源_01水果!$B1132=""),0,IF(OR(N(对接源_01水果!$B1132)&lt;$K$2,N(对接源_01水果!$B1132)&gt;$K$3),0,1))</f>
        <v>0</v>
      </c>
      <c r="L1132" s="1" t="n">
        <f aca="false">IF(OR($L$1="",对接源_01水果!$C1132="",对接源_01水果!$C1132&lt;&gt;$L$1,对接源_01水果!$B1132=""),0,IF(OR(N(对接源_01水果!$B1132)&lt;$L$2,N(对接源_01水果!$B1132)&gt;$L$3),0,1))</f>
        <v>0</v>
      </c>
      <c r="M1132" s="1" t="n">
        <f aca="false">IF(OR($M$1="",对接源_01水果!$C1132="",对接源_01水果!$C1132&lt;&gt;$M$1,对接源_01水果!$B1132=""),0,IF(OR(N(对接源_01水果!$B1132)&lt;$M$2,N(对接源_01水果!$B1132)&gt;$M$3),0,1))</f>
        <v>0</v>
      </c>
      <c r="N1132" s="1" t="n">
        <f aca="false">IF(OR($N$1="",对接源_01水果!$C1132="",对接源_01水果!$C1132&lt;&gt;$N$1,对接源_01水果!$B1132=""),0,IF(OR(N(对接源_01水果!$B1132)&lt;$N$2,N(对接源_01水果!$B1132)&gt;$N$3),0,1))</f>
        <v>0</v>
      </c>
      <c r="P1132" s="1" t="n">
        <f aca="false">IF(AND($K1132=1,AND(对接源_01水果!$X1132="公司筐",N(对接源_01水果!$T1132)&lt;&gt;0)),1,0)</f>
        <v>0</v>
      </c>
      <c r="Q1132" s="1" t="n">
        <f aca="false">N(Q1131)+$P1132</f>
        <v>3</v>
      </c>
      <c r="R1132" s="1" t="n">
        <f aca="false">IF(AND($K1132=1,AND(对接源_01水果!$X1132="公司筐",N(对接源_01水果!$U1132)&lt;&gt;0)),1,0)</f>
        <v>0</v>
      </c>
      <c r="S1132" s="1" t="n">
        <f aca="false">N(S1131)+$R1132</f>
        <v>0</v>
      </c>
      <c r="T1132" s="1" t="n">
        <f aca="false">IF(AND($K1132=1,AND(对接源_01水果!$X1132="公司筐",N(对接源_01水果!$V1132)&lt;&gt;0)),1,0)</f>
        <v>0</v>
      </c>
      <c r="U1132" s="1" t="n">
        <f aca="false">N(U1131)+$T1132</f>
        <v>28</v>
      </c>
      <c r="V1132" s="1" t="n">
        <f aca="false">IF(AND($L1132=1,AND(对接源_01水果!$X1132="自备筐",N(对接源_01水果!$V1132)&lt;&gt;0)),1,0)</f>
        <v>0</v>
      </c>
      <c r="W1132" s="1" t="n">
        <f aca="false">N(W1131)+$V1132</f>
        <v>7</v>
      </c>
      <c r="X1132" s="1" t="n">
        <f aca="false">IF(AND($L1132=1,AND(对接源_01水果!$X1132="自备筐",N(对接源_01水果!$T1132)&lt;&gt;0)),1,0)</f>
        <v>0</v>
      </c>
      <c r="Y1132" s="1" t="n">
        <f aca="false">N(Y1131)+$X1132</f>
        <v>0</v>
      </c>
      <c r="Z1132" s="1" t="n">
        <f aca="false">IF(AND($M1132=1,对接源_01水果!$D1132="原料入库"),1,0)</f>
        <v>0</v>
      </c>
      <c r="AA1132" s="1" t="n">
        <f aca="false">N(AA1131)+$Z1132</f>
        <v>30</v>
      </c>
      <c r="AB1132" s="1" t="n">
        <f aca="false">IF(AND($M1132=1,LEFT(对接源_01水果!$D1132,4)="原料出库"),1,0)</f>
        <v>0</v>
      </c>
      <c r="AC1132" s="1" t="n">
        <f aca="false">N(AC1131)+$AB1132</f>
        <v>19</v>
      </c>
      <c r="AD1132" s="1" t="n">
        <f aca="false">IF(AND($M1132=1,LEFT(对接源_01水果!$D1132,4)="成品出库"),1,0)</f>
        <v>0</v>
      </c>
      <c r="AE1132" s="1" t="n">
        <f aca="false">N(AE1131)+$AD1132</f>
        <v>38</v>
      </c>
      <c r="AF1132" s="1" t="n">
        <f aca="false">IF(AND($N1132=1,AND(LEFT(对接源_01水果!$D1132,4)="包装物料",N(对接源_01水果!$K1132)&lt;&gt;0)),1,0)</f>
        <v>0</v>
      </c>
      <c r="AG1132" s="90" t="str">
        <f aca="false">IF(对接源_01水果!$AC1132="","",对接源_01水果!$AC1132)</f>
        <v/>
      </c>
      <c r="AH1132" s="1" t="n">
        <f aca="false">IF(AND($N1132=1,AND(LEFT(对接源_01水果!$D1132,3)="周转筐",N(对接源_01水果!$K1132)&lt;&gt;0)),1,0)</f>
        <v>0</v>
      </c>
      <c r="AI1132" s="90" t="n">
        <f aca="false">IF(AG1132="",0,IF(MATCH(AG1132,$AG$4:$AG$1203,0)=ROW()-3,1,0))</f>
        <v>0</v>
      </c>
      <c r="AJ1132" s="90" t="n">
        <f aca="false">N(AJ1131)+AI1132</f>
        <v>4</v>
      </c>
      <c r="AK1132" s="1" t="n">
        <f aca="false">N(AK1131)+$AJ1132</f>
        <v>3388</v>
      </c>
    </row>
    <row r="1133" customFormat="false" ht="13.5" hidden="false" customHeight="false" outlineLevel="0" collapsed="false">
      <c r="A1133" s="1" t="str">
        <f aca="false">IF(对接源_01水果!$C1133="","",对接源_01水果!$C1133)</f>
        <v/>
      </c>
      <c r="B1133" s="1" t="n">
        <f aca="false">IF(A1133="",0,IF(MATCH(A1133,$A$4:$A$2403,0)=ROW()-3,1,0))</f>
        <v>0</v>
      </c>
      <c r="C1133" s="1" t="n">
        <f aca="false">N(C1132)+B1133</f>
        <v>13</v>
      </c>
      <c r="K1133" s="1" t="n">
        <f aca="false">IF(OR($K$1="",对接源_01水果!$C1133="",对接源_01水果!$C1133&lt;&gt;$K$1,对接源_01水果!$B1133=""),0,IF(OR(N(对接源_01水果!$B1133)&lt;$K$2,N(对接源_01水果!$B1133)&gt;$K$3),0,1))</f>
        <v>0</v>
      </c>
      <c r="L1133" s="1" t="n">
        <f aca="false">IF(OR($L$1="",对接源_01水果!$C1133="",对接源_01水果!$C1133&lt;&gt;$L$1,对接源_01水果!$B1133=""),0,IF(OR(N(对接源_01水果!$B1133)&lt;$L$2,N(对接源_01水果!$B1133)&gt;$L$3),0,1))</f>
        <v>0</v>
      </c>
      <c r="M1133" s="1" t="n">
        <f aca="false">IF(OR($M$1="",对接源_01水果!$C1133="",对接源_01水果!$C1133&lt;&gt;$M$1,对接源_01水果!$B1133=""),0,IF(OR(N(对接源_01水果!$B1133)&lt;$M$2,N(对接源_01水果!$B1133)&gt;$M$3),0,1))</f>
        <v>0</v>
      </c>
      <c r="N1133" s="1" t="n">
        <f aca="false">IF(OR($N$1="",对接源_01水果!$C1133="",对接源_01水果!$C1133&lt;&gt;$N$1,对接源_01水果!$B1133=""),0,IF(OR(N(对接源_01水果!$B1133)&lt;$N$2,N(对接源_01水果!$B1133)&gt;$N$3),0,1))</f>
        <v>0</v>
      </c>
      <c r="P1133" s="1" t="n">
        <f aca="false">IF(AND($K1133=1,AND(对接源_01水果!$X1133="公司筐",N(对接源_01水果!$T1133)&lt;&gt;0)),1,0)</f>
        <v>0</v>
      </c>
      <c r="Q1133" s="1" t="n">
        <f aca="false">N(Q1132)+$P1133</f>
        <v>3</v>
      </c>
      <c r="R1133" s="1" t="n">
        <f aca="false">IF(AND($K1133=1,AND(对接源_01水果!$X1133="公司筐",N(对接源_01水果!$U1133)&lt;&gt;0)),1,0)</f>
        <v>0</v>
      </c>
      <c r="S1133" s="1" t="n">
        <f aca="false">N(S1132)+$R1133</f>
        <v>0</v>
      </c>
      <c r="T1133" s="1" t="n">
        <f aca="false">IF(AND($K1133=1,AND(对接源_01水果!$X1133="公司筐",N(对接源_01水果!$V1133)&lt;&gt;0)),1,0)</f>
        <v>0</v>
      </c>
      <c r="U1133" s="1" t="n">
        <f aca="false">N(U1132)+$T1133</f>
        <v>28</v>
      </c>
      <c r="V1133" s="1" t="n">
        <f aca="false">IF(AND($L1133=1,AND(对接源_01水果!$X1133="自备筐",N(对接源_01水果!$V1133)&lt;&gt;0)),1,0)</f>
        <v>0</v>
      </c>
      <c r="W1133" s="1" t="n">
        <f aca="false">N(W1132)+$V1133</f>
        <v>7</v>
      </c>
      <c r="X1133" s="1" t="n">
        <f aca="false">IF(AND($L1133=1,AND(对接源_01水果!$X1133="自备筐",N(对接源_01水果!$T1133)&lt;&gt;0)),1,0)</f>
        <v>0</v>
      </c>
      <c r="Y1133" s="1" t="n">
        <f aca="false">N(Y1132)+$X1133</f>
        <v>0</v>
      </c>
      <c r="Z1133" s="1" t="n">
        <f aca="false">IF(AND($M1133=1,对接源_01水果!$D1133="原料入库"),1,0)</f>
        <v>0</v>
      </c>
      <c r="AA1133" s="1" t="n">
        <f aca="false">N(AA1132)+$Z1133</f>
        <v>30</v>
      </c>
      <c r="AB1133" s="1" t="n">
        <f aca="false">IF(AND($M1133=1,LEFT(对接源_01水果!$D1133,4)="原料出库"),1,0)</f>
        <v>0</v>
      </c>
      <c r="AC1133" s="1" t="n">
        <f aca="false">N(AC1132)+$AB1133</f>
        <v>19</v>
      </c>
      <c r="AD1133" s="1" t="n">
        <f aca="false">IF(AND($M1133=1,LEFT(对接源_01水果!$D1133,4)="成品出库"),1,0)</f>
        <v>0</v>
      </c>
      <c r="AE1133" s="1" t="n">
        <f aca="false">N(AE1132)+$AD1133</f>
        <v>38</v>
      </c>
      <c r="AF1133" s="1" t="n">
        <f aca="false">IF(AND($N1133=1,AND(LEFT(对接源_01水果!$D1133,4)="包装物料",N(对接源_01水果!$K1133)&lt;&gt;0)),1,0)</f>
        <v>0</v>
      </c>
      <c r="AG1133" s="90" t="str">
        <f aca="false">IF(对接源_01水果!$AC1133="","",对接源_01水果!$AC1133)</f>
        <v/>
      </c>
      <c r="AH1133" s="1" t="n">
        <f aca="false">IF(AND($N1133=1,AND(LEFT(对接源_01水果!$D1133,3)="周转筐",N(对接源_01水果!$K1133)&lt;&gt;0)),1,0)</f>
        <v>0</v>
      </c>
      <c r="AI1133" s="90" t="n">
        <f aca="false">IF(AG1133="",0,IF(MATCH(AG1133,$AG$4:$AG$1203,0)=ROW()-3,1,0))</f>
        <v>0</v>
      </c>
      <c r="AJ1133" s="90" t="n">
        <f aca="false">N(AJ1132)+AI1133</f>
        <v>4</v>
      </c>
      <c r="AK1133" s="1" t="n">
        <f aca="false">N(AK1132)+$AJ1133</f>
        <v>3392</v>
      </c>
    </row>
    <row r="1134" customFormat="false" ht="13.5" hidden="false" customHeight="false" outlineLevel="0" collapsed="false">
      <c r="A1134" s="1" t="str">
        <f aca="false">IF(对接源_01水果!$C1134="","",对接源_01水果!$C1134)</f>
        <v/>
      </c>
      <c r="B1134" s="1" t="n">
        <f aca="false">IF(A1134="",0,IF(MATCH(A1134,$A$4:$A$2403,0)=ROW()-3,1,0))</f>
        <v>0</v>
      </c>
      <c r="C1134" s="1" t="n">
        <f aca="false">N(C1133)+B1134</f>
        <v>13</v>
      </c>
      <c r="K1134" s="1" t="n">
        <f aca="false">IF(OR($K$1="",对接源_01水果!$C1134="",对接源_01水果!$C1134&lt;&gt;$K$1,对接源_01水果!$B1134=""),0,IF(OR(N(对接源_01水果!$B1134)&lt;$K$2,N(对接源_01水果!$B1134)&gt;$K$3),0,1))</f>
        <v>0</v>
      </c>
      <c r="L1134" s="1" t="n">
        <f aca="false">IF(OR($L$1="",对接源_01水果!$C1134="",对接源_01水果!$C1134&lt;&gt;$L$1,对接源_01水果!$B1134=""),0,IF(OR(N(对接源_01水果!$B1134)&lt;$L$2,N(对接源_01水果!$B1134)&gt;$L$3),0,1))</f>
        <v>0</v>
      </c>
      <c r="M1134" s="1" t="n">
        <f aca="false">IF(OR($M$1="",对接源_01水果!$C1134="",对接源_01水果!$C1134&lt;&gt;$M$1,对接源_01水果!$B1134=""),0,IF(OR(N(对接源_01水果!$B1134)&lt;$M$2,N(对接源_01水果!$B1134)&gt;$M$3),0,1))</f>
        <v>0</v>
      </c>
      <c r="N1134" s="1" t="n">
        <f aca="false">IF(OR($N$1="",对接源_01水果!$C1134="",对接源_01水果!$C1134&lt;&gt;$N$1,对接源_01水果!$B1134=""),0,IF(OR(N(对接源_01水果!$B1134)&lt;$N$2,N(对接源_01水果!$B1134)&gt;$N$3),0,1))</f>
        <v>0</v>
      </c>
      <c r="P1134" s="1" t="n">
        <f aca="false">IF(AND($K1134=1,AND(对接源_01水果!$X1134="公司筐",N(对接源_01水果!$T1134)&lt;&gt;0)),1,0)</f>
        <v>0</v>
      </c>
      <c r="Q1134" s="1" t="n">
        <f aca="false">N(Q1133)+$P1134</f>
        <v>3</v>
      </c>
      <c r="R1134" s="1" t="n">
        <f aca="false">IF(AND($K1134=1,AND(对接源_01水果!$X1134="公司筐",N(对接源_01水果!$U1134)&lt;&gt;0)),1,0)</f>
        <v>0</v>
      </c>
      <c r="S1134" s="1" t="n">
        <f aca="false">N(S1133)+$R1134</f>
        <v>0</v>
      </c>
      <c r="T1134" s="1" t="n">
        <f aca="false">IF(AND($K1134=1,AND(对接源_01水果!$X1134="公司筐",N(对接源_01水果!$V1134)&lt;&gt;0)),1,0)</f>
        <v>0</v>
      </c>
      <c r="U1134" s="1" t="n">
        <f aca="false">N(U1133)+$T1134</f>
        <v>28</v>
      </c>
      <c r="V1134" s="1" t="n">
        <f aca="false">IF(AND($L1134=1,AND(对接源_01水果!$X1134="自备筐",N(对接源_01水果!$V1134)&lt;&gt;0)),1,0)</f>
        <v>0</v>
      </c>
      <c r="W1134" s="1" t="n">
        <f aca="false">N(W1133)+$V1134</f>
        <v>7</v>
      </c>
      <c r="X1134" s="1" t="n">
        <f aca="false">IF(AND($L1134=1,AND(对接源_01水果!$X1134="自备筐",N(对接源_01水果!$T1134)&lt;&gt;0)),1,0)</f>
        <v>0</v>
      </c>
      <c r="Y1134" s="1" t="n">
        <f aca="false">N(Y1133)+$X1134</f>
        <v>0</v>
      </c>
      <c r="Z1134" s="1" t="n">
        <f aca="false">IF(AND($M1134=1,对接源_01水果!$D1134="原料入库"),1,0)</f>
        <v>0</v>
      </c>
      <c r="AA1134" s="1" t="n">
        <f aca="false">N(AA1133)+$Z1134</f>
        <v>30</v>
      </c>
      <c r="AB1134" s="1" t="n">
        <f aca="false">IF(AND($M1134=1,LEFT(对接源_01水果!$D1134,4)="原料出库"),1,0)</f>
        <v>0</v>
      </c>
      <c r="AC1134" s="1" t="n">
        <f aca="false">N(AC1133)+$AB1134</f>
        <v>19</v>
      </c>
      <c r="AD1134" s="1" t="n">
        <f aca="false">IF(AND($M1134=1,LEFT(对接源_01水果!$D1134,4)="成品出库"),1,0)</f>
        <v>0</v>
      </c>
      <c r="AE1134" s="1" t="n">
        <f aca="false">N(AE1133)+$AD1134</f>
        <v>38</v>
      </c>
      <c r="AF1134" s="1" t="n">
        <f aca="false">IF(AND($N1134=1,AND(LEFT(对接源_01水果!$D1134,4)="包装物料",N(对接源_01水果!$K1134)&lt;&gt;0)),1,0)</f>
        <v>0</v>
      </c>
      <c r="AG1134" s="90" t="str">
        <f aca="false">IF(对接源_01水果!$AC1134="","",对接源_01水果!$AC1134)</f>
        <v/>
      </c>
      <c r="AH1134" s="1" t="n">
        <f aca="false">IF(AND($N1134=1,AND(LEFT(对接源_01水果!$D1134,3)="周转筐",N(对接源_01水果!$K1134)&lt;&gt;0)),1,0)</f>
        <v>0</v>
      </c>
      <c r="AI1134" s="90" t="n">
        <f aca="false">IF(AG1134="",0,IF(MATCH(AG1134,$AG$4:$AG$1203,0)=ROW()-3,1,0))</f>
        <v>0</v>
      </c>
      <c r="AJ1134" s="90" t="n">
        <f aca="false">N(AJ1133)+AI1134</f>
        <v>4</v>
      </c>
      <c r="AK1134" s="1" t="n">
        <f aca="false">N(AK1133)+$AJ1134</f>
        <v>3396</v>
      </c>
    </row>
    <row r="1135" customFormat="false" ht="13.5" hidden="false" customHeight="false" outlineLevel="0" collapsed="false">
      <c r="A1135" s="1" t="str">
        <f aca="false">IF(对接源_01水果!$C1135="","",对接源_01水果!$C1135)</f>
        <v/>
      </c>
      <c r="B1135" s="1" t="n">
        <f aca="false">IF(A1135="",0,IF(MATCH(A1135,$A$4:$A$2403,0)=ROW()-3,1,0))</f>
        <v>0</v>
      </c>
      <c r="C1135" s="1" t="n">
        <f aca="false">N(C1134)+B1135</f>
        <v>13</v>
      </c>
      <c r="K1135" s="1" t="n">
        <f aca="false">IF(OR($K$1="",对接源_01水果!$C1135="",对接源_01水果!$C1135&lt;&gt;$K$1,对接源_01水果!$B1135=""),0,IF(OR(N(对接源_01水果!$B1135)&lt;$K$2,N(对接源_01水果!$B1135)&gt;$K$3),0,1))</f>
        <v>0</v>
      </c>
      <c r="L1135" s="1" t="n">
        <f aca="false">IF(OR($L$1="",对接源_01水果!$C1135="",对接源_01水果!$C1135&lt;&gt;$L$1,对接源_01水果!$B1135=""),0,IF(OR(N(对接源_01水果!$B1135)&lt;$L$2,N(对接源_01水果!$B1135)&gt;$L$3),0,1))</f>
        <v>0</v>
      </c>
      <c r="M1135" s="1" t="n">
        <f aca="false">IF(OR($M$1="",对接源_01水果!$C1135="",对接源_01水果!$C1135&lt;&gt;$M$1,对接源_01水果!$B1135=""),0,IF(OR(N(对接源_01水果!$B1135)&lt;$M$2,N(对接源_01水果!$B1135)&gt;$M$3),0,1))</f>
        <v>0</v>
      </c>
      <c r="N1135" s="1" t="n">
        <f aca="false">IF(OR($N$1="",对接源_01水果!$C1135="",对接源_01水果!$C1135&lt;&gt;$N$1,对接源_01水果!$B1135=""),0,IF(OR(N(对接源_01水果!$B1135)&lt;$N$2,N(对接源_01水果!$B1135)&gt;$N$3),0,1))</f>
        <v>0</v>
      </c>
      <c r="P1135" s="1" t="n">
        <f aca="false">IF(AND($K1135=1,AND(对接源_01水果!$X1135="公司筐",N(对接源_01水果!$T1135)&lt;&gt;0)),1,0)</f>
        <v>0</v>
      </c>
      <c r="Q1135" s="1" t="n">
        <f aca="false">N(Q1134)+$P1135</f>
        <v>3</v>
      </c>
      <c r="R1135" s="1" t="n">
        <f aca="false">IF(AND($K1135=1,AND(对接源_01水果!$X1135="公司筐",N(对接源_01水果!$U1135)&lt;&gt;0)),1,0)</f>
        <v>0</v>
      </c>
      <c r="S1135" s="1" t="n">
        <f aca="false">N(S1134)+$R1135</f>
        <v>0</v>
      </c>
      <c r="T1135" s="1" t="n">
        <f aca="false">IF(AND($K1135=1,AND(对接源_01水果!$X1135="公司筐",N(对接源_01水果!$V1135)&lt;&gt;0)),1,0)</f>
        <v>0</v>
      </c>
      <c r="U1135" s="1" t="n">
        <f aca="false">N(U1134)+$T1135</f>
        <v>28</v>
      </c>
      <c r="V1135" s="1" t="n">
        <f aca="false">IF(AND($L1135=1,AND(对接源_01水果!$X1135="自备筐",N(对接源_01水果!$V1135)&lt;&gt;0)),1,0)</f>
        <v>0</v>
      </c>
      <c r="W1135" s="1" t="n">
        <f aca="false">N(W1134)+$V1135</f>
        <v>7</v>
      </c>
      <c r="X1135" s="1" t="n">
        <f aca="false">IF(AND($L1135=1,AND(对接源_01水果!$X1135="自备筐",N(对接源_01水果!$T1135)&lt;&gt;0)),1,0)</f>
        <v>0</v>
      </c>
      <c r="Y1135" s="1" t="n">
        <f aca="false">N(Y1134)+$X1135</f>
        <v>0</v>
      </c>
      <c r="Z1135" s="1" t="n">
        <f aca="false">IF(AND($M1135=1,对接源_01水果!$D1135="原料入库"),1,0)</f>
        <v>0</v>
      </c>
      <c r="AA1135" s="1" t="n">
        <f aca="false">N(AA1134)+$Z1135</f>
        <v>30</v>
      </c>
      <c r="AB1135" s="1" t="n">
        <f aca="false">IF(AND($M1135=1,LEFT(对接源_01水果!$D1135,4)="原料出库"),1,0)</f>
        <v>0</v>
      </c>
      <c r="AC1135" s="1" t="n">
        <f aca="false">N(AC1134)+$AB1135</f>
        <v>19</v>
      </c>
      <c r="AD1135" s="1" t="n">
        <f aca="false">IF(AND($M1135=1,LEFT(对接源_01水果!$D1135,4)="成品出库"),1,0)</f>
        <v>0</v>
      </c>
      <c r="AE1135" s="1" t="n">
        <f aca="false">N(AE1134)+$AD1135</f>
        <v>38</v>
      </c>
      <c r="AF1135" s="1" t="n">
        <f aca="false">IF(AND($N1135=1,AND(LEFT(对接源_01水果!$D1135,4)="包装物料",N(对接源_01水果!$K1135)&lt;&gt;0)),1,0)</f>
        <v>0</v>
      </c>
      <c r="AG1135" s="90" t="str">
        <f aca="false">IF(对接源_01水果!$AC1135="","",对接源_01水果!$AC1135)</f>
        <v/>
      </c>
      <c r="AH1135" s="1" t="n">
        <f aca="false">IF(AND($N1135=1,AND(LEFT(对接源_01水果!$D1135,3)="周转筐",N(对接源_01水果!$K1135)&lt;&gt;0)),1,0)</f>
        <v>0</v>
      </c>
      <c r="AI1135" s="90" t="n">
        <f aca="false">IF(AG1135="",0,IF(MATCH(AG1135,$AG$4:$AG$1203,0)=ROW()-3,1,0))</f>
        <v>0</v>
      </c>
      <c r="AJ1135" s="90" t="n">
        <f aca="false">N(AJ1134)+AI1135</f>
        <v>4</v>
      </c>
      <c r="AK1135" s="1" t="n">
        <f aca="false">N(AK1134)+$AJ1135</f>
        <v>3400</v>
      </c>
    </row>
    <row r="1136" customFormat="false" ht="13.5" hidden="false" customHeight="false" outlineLevel="0" collapsed="false">
      <c r="A1136" s="1" t="str">
        <f aca="false">IF(对接源_01水果!$C1136="","",对接源_01水果!$C1136)</f>
        <v/>
      </c>
      <c r="B1136" s="1" t="n">
        <f aca="false">IF(A1136="",0,IF(MATCH(A1136,$A$4:$A$2403,0)=ROW()-3,1,0))</f>
        <v>0</v>
      </c>
      <c r="C1136" s="1" t="n">
        <f aca="false">N(C1135)+B1136</f>
        <v>13</v>
      </c>
      <c r="K1136" s="1" t="n">
        <f aca="false">IF(OR($K$1="",对接源_01水果!$C1136="",对接源_01水果!$C1136&lt;&gt;$K$1,对接源_01水果!$B1136=""),0,IF(OR(N(对接源_01水果!$B1136)&lt;$K$2,N(对接源_01水果!$B1136)&gt;$K$3),0,1))</f>
        <v>0</v>
      </c>
      <c r="L1136" s="1" t="n">
        <f aca="false">IF(OR($L$1="",对接源_01水果!$C1136="",对接源_01水果!$C1136&lt;&gt;$L$1,对接源_01水果!$B1136=""),0,IF(OR(N(对接源_01水果!$B1136)&lt;$L$2,N(对接源_01水果!$B1136)&gt;$L$3),0,1))</f>
        <v>0</v>
      </c>
      <c r="M1136" s="1" t="n">
        <f aca="false">IF(OR($M$1="",对接源_01水果!$C1136="",对接源_01水果!$C1136&lt;&gt;$M$1,对接源_01水果!$B1136=""),0,IF(OR(N(对接源_01水果!$B1136)&lt;$M$2,N(对接源_01水果!$B1136)&gt;$M$3),0,1))</f>
        <v>0</v>
      </c>
      <c r="N1136" s="1" t="n">
        <f aca="false">IF(OR($N$1="",对接源_01水果!$C1136="",对接源_01水果!$C1136&lt;&gt;$N$1,对接源_01水果!$B1136=""),0,IF(OR(N(对接源_01水果!$B1136)&lt;$N$2,N(对接源_01水果!$B1136)&gt;$N$3),0,1))</f>
        <v>0</v>
      </c>
      <c r="P1136" s="1" t="n">
        <f aca="false">IF(AND($K1136=1,AND(对接源_01水果!$X1136="公司筐",N(对接源_01水果!$T1136)&lt;&gt;0)),1,0)</f>
        <v>0</v>
      </c>
      <c r="Q1136" s="1" t="n">
        <f aca="false">N(Q1135)+$P1136</f>
        <v>3</v>
      </c>
      <c r="R1136" s="1" t="n">
        <f aca="false">IF(AND($K1136=1,AND(对接源_01水果!$X1136="公司筐",N(对接源_01水果!$U1136)&lt;&gt;0)),1,0)</f>
        <v>0</v>
      </c>
      <c r="S1136" s="1" t="n">
        <f aca="false">N(S1135)+$R1136</f>
        <v>0</v>
      </c>
      <c r="T1136" s="1" t="n">
        <f aca="false">IF(AND($K1136=1,AND(对接源_01水果!$X1136="公司筐",N(对接源_01水果!$V1136)&lt;&gt;0)),1,0)</f>
        <v>0</v>
      </c>
      <c r="U1136" s="1" t="n">
        <f aca="false">N(U1135)+$T1136</f>
        <v>28</v>
      </c>
      <c r="V1136" s="1" t="n">
        <f aca="false">IF(AND($L1136=1,AND(对接源_01水果!$X1136="自备筐",N(对接源_01水果!$V1136)&lt;&gt;0)),1,0)</f>
        <v>0</v>
      </c>
      <c r="W1136" s="1" t="n">
        <f aca="false">N(W1135)+$V1136</f>
        <v>7</v>
      </c>
      <c r="X1136" s="1" t="n">
        <f aca="false">IF(AND($L1136=1,AND(对接源_01水果!$X1136="自备筐",N(对接源_01水果!$T1136)&lt;&gt;0)),1,0)</f>
        <v>0</v>
      </c>
      <c r="Y1136" s="1" t="n">
        <f aca="false">N(Y1135)+$X1136</f>
        <v>0</v>
      </c>
      <c r="Z1136" s="1" t="n">
        <f aca="false">IF(AND($M1136=1,对接源_01水果!$D1136="原料入库"),1,0)</f>
        <v>0</v>
      </c>
      <c r="AA1136" s="1" t="n">
        <f aca="false">N(AA1135)+$Z1136</f>
        <v>30</v>
      </c>
      <c r="AB1136" s="1" t="n">
        <f aca="false">IF(AND($M1136=1,LEFT(对接源_01水果!$D1136,4)="原料出库"),1,0)</f>
        <v>0</v>
      </c>
      <c r="AC1136" s="1" t="n">
        <f aca="false">N(AC1135)+$AB1136</f>
        <v>19</v>
      </c>
      <c r="AD1136" s="1" t="n">
        <f aca="false">IF(AND($M1136=1,LEFT(对接源_01水果!$D1136,4)="成品出库"),1,0)</f>
        <v>0</v>
      </c>
      <c r="AE1136" s="1" t="n">
        <f aca="false">N(AE1135)+$AD1136</f>
        <v>38</v>
      </c>
      <c r="AF1136" s="1" t="n">
        <f aca="false">IF(AND($N1136=1,AND(LEFT(对接源_01水果!$D1136,4)="包装物料",N(对接源_01水果!$K1136)&lt;&gt;0)),1,0)</f>
        <v>0</v>
      </c>
      <c r="AG1136" s="90" t="str">
        <f aca="false">IF(对接源_01水果!$AC1136="","",对接源_01水果!$AC1136)</f>
        <v/>
      </c>
      <c r="AH1136" s="1" t="n">
        <f aca="false">IF(AND($N1136=1,AND(LEFT(对接源_01水果!$D1136,3)="周转筐",N(对接源_01水果!$K1136)&lt;&gt;0)),1,0)</f>
        <v>0</v>
      </c>
      <c r="AI1136" s="90" t="n">
        <f aca="false">IF(AG1136="",0,IF(MATCH(AG1136,$AG$4:$AG$1203,0)=ROW()-3,1,0))</f>
        <v>0</v>
      </c>
      <c r="AJ1136" s="90" t="n">
        <f aca="false">N(AJ1135)+AI1136</f>
        <v>4</v>
      </c>
      <c r="AK1136" s="1" t="n">
        <f aca="false">N(AK1135)+$AJ1136</f>
        <v>3404</v>
      </c>
    </row>
    <row r="1137" customFormat="false" ht="13.5" hidden="false" customHeight="false" outlineLevel="0" collapsed="false">
      <c r="A1137" s="1" t="str">
        <f aca="false">IF(对接源_01水果!$C1137="","",对接源_01水果!$C1137)</f>
        <v/>
      </c>
      <c r="B1137" s="1" t="n">
        <f aca="false">IF(A1137="",0,IF(MATCH(A1137,$A$4:$A$2403,0)=ROW()-3,1,0))</f>
        <v>0</v>
      </c>
      <c r="C1137" s="1" t="n">
        <f aca="false">N(C1136)+B1137</f>
        <v>13</v>
      </c>
      <c r="K1137" s="1" t="n">
        <f aca="false">IF(OR($K$1="",对接源_01水果!$C1137="",对接源_01水果!$C1137&lt;&gt;$K$1,对接源_01水果!$B1137=""),0,IF(OR(N(对接源_01水果!$B1137)&lt;$K$2,N(对接源_01水果!$B1137)&gt;$K$3),0,1))</f>
        <v>0</v>
      </c>
      <c r="L1137" s="1" t="n">
        <f aca="false">IF(OR($L$1="",对接源_01水果!$C1137="",对接源_01水果!$C1137&lt;&gt;$L$1,对接源_01水果!$B1137=""),0,IF(OR(N(对接源_01水果!$B1137)&lt;$L$2,N(对接源_01水果!$B1137)&gt;$L$3),0,1))</f>
        <v>0</v>
      </c>
      <c r="M1137" s="1" t="n">
        <f aca="false">IF(OR($M$1="",对接源_01水果!$C1137="",对接源_01水果!$C1137&lt;&gt;$M$1,对接源_01水果!$B1137=""),0,IF(OR(N(对接源_01水果!$B1137)&lt;$M$2,N(对接源_01水果!$B1137)&gt;$M$3),0,1))</f>
        <v>0</v>
      </c>
      <c r="N1137" s="1" t="n">
        <f aca="false">IF(OR($N$1="",对接源_01水果!$C1137="",对接源_01水果!$C1137&lt;&gt;$N$1,对接源_01水果!$B1137=""),0,IF(OR(N(对接源_01水果!$B1137)&lt;$N$2,N(对接源_01水果!$B1137)&gt;$N$3),0,1))</f>
        <v>0</v>
      </c>
      <c r="P1137" s="1" t="n">
        <f aca="false">IF(AND($K1137=1,AND(对接源_01水果!$X1137="公司筐",N(对接源_01水果!$T1137)&lt;&gt;0)),1,0)</f>
        <v>0</v>
      </c>
      <c r="Q1137" s="1" t="n">
        <f aca="false">N(Q1136)+$P1137</f>
        <v>3</v>
      </c>
      <c r="R1137" s="1" t="n">
        <f aca="false">IF(AND($K1137=1,AND(对接源_01水果!$X1137="公司筐",N(对接源_01水果!$U1137)&lt;&gt;0)),1,0)</f>
        <v>0</v>
      </c>
      <c r="S1137" s="1" t="n">
        <f aca="false">N(S1136)+$R1137</f>
        <v>0</v>
      </c>
      <c r="T1137" s="1" t="n">
        <f aca="false">IF(AND($K1137=1,AND(对接源_01水果!$X1137="公司筐",N(对接源_01水果!$V1137)&lt;&gt;0)),1,0)</f>
        <v>0</v>
      </c>
      <c r="U1137" s="1" t="n">
        <f aca="false">N(U1136)+$T1137</f>
        <v>28</v>
      </c>
      <c r="V1137" s="1" t="n">
        <f aca="false">IF(AND($L1137=1,AND(对接源_01水果!$X1137="自备筐",N(对接源_01水果!$V1137)&lt;&gt;0)),1,0)</f>
        <v>0</v>
      </c>
      <c r="W1137" s="1" t="n">
        <f aca="false">N(W1136)+$V1137</f>
        <v>7</v>
      </c>
      <c r="X1137" s="1" t="n">
        <f aca="false">IF(AND($L1137=1,AND(对接源_01水果!$X1137="自备筐",N(对接源_01水果!$T1137)&lt;&gt;0)),1,0)</f>
        <v>0</v>
      </c>
      <c r="Y1137" s="1" t="n">
        <f aca="false">N(Y1136)+$X1137</f>
        <v>0</v>
      </c>
      <c r="Z1137" s="1" t="n">
        <f aca="false">IF(AND($M1137=1,对接源_01水果!$D1137="原料入库"),1,0)</f>
        <v>0</v>
      </c>
      <c r="AA1137" s="1" t="n">
        <f aca="false">N(AA1136)+$Z1137</f>
        <v>30</v>
      </c>
      <c r="AB1137" s="1" t="n">
        <f aca="false">IF(AND($M1137=1,LEFT(对接源_01水果!$D1137,4)="原料出库"),1,0)</f>
        <v>0</v>
      </c>
      <c r="AC1137" s="1" t="n">
        <f aca="false">N(AC1136)+$AB1137</f>
        <v>19</v>
      </c>
      <c r="AD1137" s="1" t="n">
        <f aca="false">IF(AND($M1137=1,LEFT(对接源_01水果!$D1137,4)="成品出库"),1,0)</f>
        <v>0</v>
      </c>
      <c r="AE1137" s="1" t="n">
        <f aca="false">N(AE1136)+$AD1137</f>
        <v>38</v>
      </c>
      <c r="AF1137" s="1" t="n">
        <f aca="false">IF(AND($N1137=1,AND(LEFT(对接源_01水果!$D1137,4)="包装物料",N(对接源_01水果!$K1137)&lt;&gt;0)),1,0)</f>
        <v>0</v>
      </c>
      <c r="AG1137" s="90" t="str">
        <f aca="false">IF(对接源_01水果!$AC1137="","",对接源_01水果!$AC1137)</f>
        <v/>
      </c>
      <c r="AH1137" s="1" t="n">
        <f aca="false">IF(AND($N1137=1,AND(LEFT(对接源_01水果!$D1137,3)="周转筐",N(对接源_01水果!$K1137)&lt;&gt;0)),1,0)</f>
        <v>0</v>
      </c>
      <c r="AI1137" s="90" t="n">
        <f aca="false">IF(AG1137="",0,IF(MATCH(AG1137,$AG$4:$AG$1203,0)=ROW()-3,1,0))</f>
        <v>0</v>
      </c>
      <c r="AJ1137" s="90" t="n">
        <f aca="false">N(AJ1136)+AI1137</f>
        <v>4</v>
      </c>
      <c r="AK1137" s="1" t="n">
        <f aca="false">N(AK1136)+$AJ1137</f>
        <v>3408</v>
      </c>
    </row>
    <row r="1138" customFormat="false" ht="13.5" hidden="false" customHeight="false" outlineLevel="0" collapsed="false">
      <c r="A1138" s="1" t="str">
        <f aca="false">IF(对接源_01水果!$C1138="","",对接源_01水果!$C1138)</f>
        <v/>
      </c>
      <c r="B1138" s="1" t="n">
        <f aca="false">IF(A1138="",0,IF(MATCH(A1138,$A$4:$A$2403,0)=ROW()-3,1,0))</f>
        <v>0</v>
      </c>
      <c r="C1138" s="1" t="n">
        <f aca="false">N(C1137)+B1138</f>
        <v>13</v>
      </c>
      <c r="K1138" s="1" t="n">
        <f aca="false">IF(OR($K$1="",对接源_01水果!$C1138="",对接源_01水果!$C1138&lt;&gt;$K$1,对接源_01水果!$B1138=""),0,IF(OR(N(对接源_01水果!$B1138)&lt;$K$2,N(对接源_01水果!$B1138)&gt;$K$3),0,1))</f>
        <v>0</v>
      </c>
      <c r="L1138" s="1" t="n">
        <f aca="false">IF(OR($L$1="",对接源_01水果!$C1138="",对接源_01水果!$C1138&lt;&gt;$L$1,对接源_01水果!$B1138=""),0,IF(OR(N(对接源_01水果!$B1138)&lt;$L$2,N(对接源_01水果!$B1138)&gt;$L$3),0,1))</f>
        <v>0</v>
      </c>
      <c r="M1138" s="1" t="n">
        <f aca="false">IF(OR($M$1="",对接源_01水果!$C1138="",对接源_01水果!$C1138&lt;&gt;$M$1,对接源_01水果!$B1138=""),0,IF(OR(N(对接源_01水果!$B1138)&lt;$M$2,N(对接源_01水果!$B1138)&gt;$M$3),0,1))</f>
        <v>0</v>
      </c>
      <c r="N1138" s="1" t="n">
        <f aca="false">IF(OR($N$1="",对接源_01水果!$C1138="",对接源_01水果!$C1138&lt;&gt;$N$1,对接源_01水果!$B1138=""),0,IF(OR(N(对接源_01水果!$B1138)&lt;$N$2,N(对接源_01水果!$B1138)&gt;$N$3),0,1))</f>
        <v>0</v>
      </c>
      <c r="P1138" s="1" t="n">
        <f aca="false">IF(AND($K1138=1,AND(对接源_01水果!$X1138="公司筐",N(对接源_01水果!$T1138)&lt;&gt;0)),1,0)</f>
        <v>0</v>
      </c>
      <c r="Q1138" s="1" t="n">
        <f aca="false">N(Q1137)+$P1138</f>
        <v>3</v>
      </c>
      <c r="R1138" s="1" t="n">
        <f aca="false">IF(AND($K1138=1,AND(对接源_01水果!$X1138="公司筐",N(对接源_01水果!$U1138)&lt;&gt;0)),1,0)</f>
        <v>0</v>
      </c>
      <c r="S1138" s="1" t="n">
        <f aca="false">N(S1137)+$R1138</f>
        <v>0</v>
      </c>
      <c r="T1138" s="1" t="n">
        <f aca="false">IF(AND($K1138=1,AND(对接源_01水果!$X1138="公司筐",N(对接源_01水果!$V1138)&lt;&gt;0)),1,0)</f>
        <v>0</v>
      </c>
      <c r="U1138" s="1" t="n">
        <f aca="false">N(U1137)+$T1138</f>
        <v>28</v>
      </c>
      <c r="V1138" s="1" t="n">
        <f aca="false">IF(AND($L1138=1,AND(对接源_01水果!$X1138="自备筐",N(对接源_01水果!$V1138)&lt;&gt;0)),1,0)</f>
        <v>0</v>
      </c>
      <c r="W1138" s="1" t="n">
        <f aca="false">N(W1137)+$V1138</f>
        <v>7</v>
      </c>
      <c r="X1138" s="1" t="n">
        <f aca="false">IF(AND($L1138=1,AND(对接源_01水果!$X1138="自备筐",N(对接源_01水果!$T1138)&lt;&gt;0)),1,0)</f>
        <v>0</v>
      </c>
      <c r="Y1138" s="1" t="n">
        <f aca="false">N(Y1137)+$X1138</f>
        <v>0</v>
      </c>
      <c r="Z1138" s="1" t="n">
        <f aca="false">IF(AND($M1138=1,对接源_01水果!$D1138="原料入库"),1,0)</f>
        <v>0</v>
      </c>
      <c r="AA1138" s="1" t="n">
        <f aca="false">N(AA1137)+$Z1138</f>
        <v>30</v>
      </c>
      <c r="AB1138" s="1" t="n">
        <f aca="false">IF(AND($M1138=1,LEFT(对接源_01水果!$D1138,4)="原料出库"),1,0)</f>
        <v>0</v>
      </c>
      <c r="AC1138" s="1" t="n">
        <f aca="false">N(AC1137)+$AB1138</f>
        <v>19</v>
      </c>
      <c r="AD1138" s="1" t="n">
        <f aca="false">IF(AND($M1138=1,LEFT(对接源_01水果!$D1138,4)="成品出库"),1,0)</f>
        <v>0</v>
      </c>
      <c r="AE1138" s="1" t="n">
        <f aca="false">N(AE1137)+$AD1138</f>
        <v>38</v>
      </c>
      <c r="AF1138" s="1" t="n">
        <f aca="false">IF(AND($N1138=1,AND(LEFT(对接源_01水果!$D1138,4)="包装物料",N(对接源_01水果!$K1138)&lt;&gt;0)),1,0)</f>
        <v>0</v>
      </c>
      <c r="AG1138" s="90" t="str">
        <f aca="false">IF(对接源_01水果!$AC1138="","",对接源_01水果!$AC1138)</f>
        <v/>
      </c>
      <c r="AH1138" s="1" t="n">
        <f aca="false">IF(AND($N1138=1,AND(LEFT(对接源_01水果!$D1138,3)="周转筐",N(对接源_01水果!$K1138)&lt;&gt;0)),1,0)</f>
        <v>0</v>
      </c>
      <c r="AI1138" s="90" t="n">
        <f aca="false">IF(AG1138="",0,IF(MATCH(AG1138,$AG$4:$AG$1203,0)=ROW()-3,1,0))</f>
        <v>0</v>
      </c>
      <c r="AJ1138" s="90" t="n">
        <f aca="false">N(AJ1137)+AI1138</f>
        <v>4</v>
      </c>
      <c r="AK1138" s="1" t="n">
        <f aca="false">N(AK1137)+$AJ1138</f>
        <v>3412</v>
      </c>
    </row>
    <row r="1139" customFormat="false" ht="13.5" hidden="false" customHeight="false" outlineLevel="0" collapsed="false">
      <c r="A1139" s="1" t="str">
        <f aca="false">IF(对接源_01水果!$C1139="","",对接源_01水果!$C1139)</f>
        <v/>
      </c>
      <c r="B1139" s="1" t="n">
        <f aca="false">IF(A1139="",0,IF(MATCH(A1139,$A$4:$A$2403,0)=ROW()-3,1,0))</f>
        <v>0</v>
      </c>
      <c r="C1139" s="1" t="n">
        <f aca="false">N(C1138)+B1139</f>
        <v>13</v>
      </c>
      <c r="K1139" s="1" t="n">
        <f aca="false">IF(OR($K$1="",对接源_01水果!$C1139="",对接源_01水果!$C1139&lt;&gt;$K$1,对接源_01水果!$B1139=""),0,IF(OR(N(对接源_01水果!$B1139)&lt;$K$2,N(对接源_01水果!$B1139)&gt;$K$3),0,1))</f>
        <v>0</v>
      </c>
      <c r="L1139" s="1" t="n">
        <f aca="false">IF(OR($L$1="",对接源_01水果!$C1139="",对接源_01水果!$C1139&lt;&gt;$L$1,对接源_01水果!$B1139=""),0,IF(OR(N(对接源_01水果!$B1139)&lt;$L$2,N(对接源_01水果!$B1139)&gt;$L$3),0,1))</f>
        <v>0</v>
      </c>
      <c r="M1139" s="1" t="n">
        <f aca="false">IF(OR($M$1="",对接源_01水果!$C1139="",对接源_01水果!$C1139&lt;&gt;$M$1,对接源_01水果!$B1139=""),0,IF(OR(N(对接源_01水果!$B1139)&lt;$M$2,N(对接源_01水果!$B1139)&gt;$M$3),0,1))</f>
        <v>0</v>
      </c>
      <c r="N1139" s="1" t="n">
        <f aca="false">IF(OR($N$1="",对接源_01水果!$C1139="",对接源_01水果!$C1139&lt;&gt;$N$1,对接源_01水果!$B1139=""),0,IF(OR(N(对接源_01水果!$B1139)&lt;$N$2,N(对接源_01水果!$B1139)&gt;$N$3),0,1))</f>
        <v>0</v>
      </c>
      <c r="P1139" s="1" t="n">
        <f aca="false">IF(AND($K1139=1,AND(对接源_01水果!$X1139="公司筐",N(对接源_01水果!$T1139)&lt;&gt;0)),1,0)</f>
        <v>0</v>
      </c>
      <c r="Q1139" s="1" t="n">
        <f aca="false">N(Q1138)+$P1139</f>
        <v>3</v>
      </c>
      <c r="R1139" s="1" t="n">
        <f aca="false">IF(AND($K1139=1,AND(对接源_01水果!$X1139="公司筐",N(对接源_01水果!$U1139)&lt;&gt;0)),1,0)</f>
        <v>0</v>
      </c>
      <c r="S1139" s="1" t="n">
        <f aca="false">N(S1138)+$R1139</f>
        <v>0</v>
      </c>
      <c r="T1139" s="1" t="n">
        <f aca="false">IF(AND($K1139=1,AND(对接源_01水果!$X1139="公司筐",N(对接源_01水果!$V1139)&lt;&gt;0)),1,0)</f>
        <v>0</v>
      </c>
      <c r="U1139" s="1" t="n">
        <f aca="false">N(U1138)+$T1139</f>
        <v>28</v>
      </c>
      <c r="V1139" s="1" t="n">
        <f aca="false">IF(AND($L1139=1,AND(对接源_01水果!$X1139="自备筐",N(对接源_01水果!$V1139)&lt;&gt;0)),1,0)</f>
        <v>0</v>
      </c>
      <c r="W1139" s="1" t="n">
        <f aca="false">N(W1138)+$V1139</f>
        <v>7</v>
      </c>
      <c r="X1139" s="1" t="n">
        <f aca="false">IF(AND($L1139=1,AND(对接源_01水果!$X1139="自备筐",N(对接源_01水果!$T1139)&lt;&gt;0)),1,0)</f>
        <v>0</v>
      </c>
      <c r="Y1139" s="1" t="n">
        <f aca="false">N(Y1138)+$X1139</f>
        <v>0</v>
      </c>
      <c r="Z1139" s="1" t="n">
        <f aca="false">IF(AND($M1139=1,对接源_01水果!$D1139="原料入库"),1,0)</f>
        <v>0</v>
      </c>
      <c r="AA1139" s="1" t="n">
        <f aca="false">N(AA1138)+$Z1139</f>
        <v>30</v>
      </c>
      <c r="AB1139" s="1" t="n">
        <f aca="false">IF(AND($M1139=1,LEFT(对接源_01水果!$D1139,4)="原料出库"),1,0)</f>
        <v>0</v>
      </c>
      <c r="AC1139" s="1" t="n">
        <f aca="false">N(AC1138)+$AB1139</f>
        <v>19</v>
      </c>
      <c r="AD1139" s="1" t="n">
        <f aca="false">IF(AND($M1139=1,LEFT(对接源_01水果!$D1139,4)="成品出库"),1,0)</f>
        <v>0</v>
      </c>
      <c r="AE1139" s="1" t="n">
        <f aca="false">N(AE1138)+$AD1139</f>
        <v>38</v>
      </c>
      <c r="AF1139" s="1" t="n">
        <f aca="false">IF(AND($N1139=1,AND(LEFT(对接源_01水果!$D1139,4)="包装物料",N(对接源_01水果!$K1139)&lt;&gt;0)),1,0)</f>
        <v>0</v>
      </c>
      <c r="AG1139" s="90" t="str">
        <f aca="false">IF(对接源_01水果!$AC1139="","",对接源_01水果!$AC1139)</f>
        <v/>
      </c>
      <c r="AH1139" s="1" t="n">
        <f aca="false">IF(AND($N1139=1,AND(LEFT(对接源_01水果!$D1139,3)="周转筐",N(对接源_01水果!$K1139)&lt;&gt;0)),1,0)</f>
        <v>0</v>
      </c>
      <c r="AI1139" s="90" t="n">
        <f aca="false">IF(AG1139="",0,IF(MATCH(AG1139,$AG$4:$AG$1203,0)=ROW()-3,1,0))</f>
        <v>0</v>
      </c>
      <c r="AJ1139" s="90" t="n">
        <f aca="false">N(AJ1138)+AI1139</f>
        <v>4</v>
      </c>
      <c r="AK1139" s="1" t="n">
        <f aca="false">N(AK1138)+$AJ1139</f>
        <v>3416</v>
      </c>
    </row>
    <row r="1140" customFormat="false" ht="13.5" hidden="false" customHeight="false" outlineLevel="0" collapsed="false">
      <c r="A1140" s="1" t="str">
        <f aca="false">IF(对接源_01水果!$C1140="","",对接源_01水果!$C1140)</f>
        <v/>
      </c>
      <c r="B1140" s="1" t="n">
        <f aca="false">IF(A1140="",0,IF(MATCH(A1140,$A$4:$A$2403,0)=ROW()-3,1,0))</f>
        <v>0</v>
      </c>
      <c r="C1140" s="1" t="n">
        <f aca="false">N(C1139)+B1140</f>
        <v>13</v>
      </c>
      <c r="K1140" s="1" t="n">
        <f aca="false">IF(OR($K$1="",对接源_01水果!$C1140="",对接源_01水果!$C1140&lt;&gt;$K$1,对接源_01水果!$B1140=""),0,IF(OR(N(对接源_01水果!$B1140)&lt;$K$2,N(对接源_01水果!$B1140)&gt;$K$3),0,1))</f>
        <v>0</v>
      </c>
      <c r="L1140" s="1" t="n">
        <f aca="false">IF(OR($L$1="",对接源_01水果!$C1140="",对接源_01水果!$C1140&lt;&gt;$L$1,对接源_01水果!$B1140=""),0,IF(OR(N(对接源_01水果!$B1140)&lt;$L$2,N(对接源_01水果!$B1140)&gt;$L$3),0,1))</f>
        <v>0</v>
      </c>
      <c r="M1140" s="1" t="n">
        <f aca="false">IF(OR($M$1="",对接源_01水果!$C1140="",对接源_01水果!$C1140&lt;&gt;$M$1,对接源_01水果!$B1140=""),0,IF(OR(N(对接源_01水果!$B1140)&lt;$M$2,N(对接源_01水果!$B1140)&gt;$M$3),0,1))</f>
        <v>0</v>
      </c>
      <c r="N1140" s="1" t="n">
        <f aca="false">IF(OR($N$1="",对接源_01水果!$C1140="",对接源_01水果!$C1140&lt;&gt;$N$1,对接源_01水果!$B1140=""),0,IF(OR(N(对接源_01水果!$B1140)&lt;$N$2,N(对接源_01水果!$B1140)&gt;$N$3),0,1))</f>
        <v>0</v>
      </c>
      <c r="P1140" s="1" t="n">
        <f aca="false">IF(AND($K1140=1,AND(对接源_01水果!$X1140="公司筐",N(对接源_01水果!$T1140)&lt;&gt;0)),1,0)</f>
        <v>0</v>
      </c>
      <c r="Q1140" s="1" t="n">
        <f aca="false">N(Q1139)+$P1140</f>
        <v>3</v>
      </c>
      <c r="R1140" s="1" t="n">
        <f aca="false">IF(AND($K1140=1,AND(对接源_01水果!$X1140="公司筐",N(对接源_01水果!$U1140)&lt;&gt;0)),1,0)</f>
        <v>0</v>
      </c>
      <c r="S1140" s="1" t="n">
        <f aca="false">N(S1139)+$R1140</f>
        <v>0</v>
      </c>
      <c r="T1140" s="1" t="n">
        <f aca="false">IF(AND($K1140=1,AND(对接源_01水果!$X1140="公司筐",N(对接源_01水果!$V1140)&lt;&gt;0)),1,0)</f>
        <v>0</v>
      </c>
      <c r="U1140" s="1" t="n">
        <f aca="false">N(U1139)+$T1140</f>
        <v>28</v>
      </c>
      <c r="V1140" s="1" t="n">
        <f aca="false">IF(AND($L1140=1,AND(对接源_01水果!$X1140="自备筐",N(对接源_01水果!$V1140)&lt;&gt;0)),1,0)</f>
        <v>0</v>
      </c>
      <c r="W1140" s="1" t="n">
        <f aca="false">N(W1139)+$V1140</f>
        <v>7</v>
      </c>
      <c r="X1140" s="1" t="n">
        <f aca="false">IF(AND($L1140=1,AND(对接源_01水果!$X1140="自备筐",N(对接源_01水果!$T1140)&lt;&gt;0)),1,0)</f>
        <v>0</v>
      </c>
      <c r="Y1140" s="1" t="n">
        <f aca="false">N(Y1139)+$X1140</f>
        <v>0</v>
      </c>
      <c r="Z1140" s="1" t="n">
        <f aca="false">IF(AND($M1140=1,对接源_01水果!$D1140="原料入库"),1,0)</f>
        <v>0</v>
      </c>
      <c r="AA1140" s="1" t="n">
        <f aca="false">N(AA1139)+$Z1140</f>
        <v>30</v>
      </c>
      <c r="AB1140" s="1" t="n">
        <f aca="false">IF(AND($M1140=1,LEFT(对接源_01水果!$D1140,4)="原料出库"),1,0)</f>
        <v>0</v>
      </c>
      <c r="AC1140" s="1" t="n">
        <f aca="false">N(AC1139)+$AB1140</f>
        <v>19</v>
      </c>
      <c r="AD1140" s="1" t="n">
        <f aca="false">IF(AND($M1140=1,LEFT(对接源_01水果!$D1140,4)="成品出库"),1,0)</f>
        <v>0</v>
      </c>
      <c r="AE1140" s="1" t="n">
        <f aca="false">N(AE1139)+$AD1140</f>
        <v>38</v>
      </c>
      <c r="AF1140" s="1" t="n">
        <f aca="false">IF(AND($N1140=1,AND(LEFT(对接源_01水果!$D1140,4)="包装物料",N(对接源_01水果!$K1140)&lt;&gt;0)),1,0)</f>
        <v>0</v>
      </c>
      <c r="AG1140" s="90" t="str">
        <f aca="false">IF(对接源_01水果!$AC1140="","",对接源_01水果!$AC1140)</f>
        <v/>
      </c>
      <c r="AH1140" s="1" t="n">
        <f aca="false">IF(AND($N1140=1,AND(LEFT(对接源_01水果!$D1140,3)="周转筐",N(对接源_01水果!$K1140)&lt;&gt;0)),1,0)</f>
        <v>0</v>
      </c>
      <c r="AI1140" s="90" t="n">
        <f aca="false">IF(AG1140="",0,IF(MATCH(AG1140,$AG$4:$AG$1203,0)=ROW()-3,1,0))</f>
        <v>0</v>
      </c>
      <c r="AJ1140" s="90" t="n">
        <f aca="false">N(AJ1139)+AI1140</f>
        <v>4</v>
      </c>
      <c r="AK1140" s="1" t="n">
        <f aca="false">N(AK1139)+$AJ1140</f>
        <v>3420</v>
      </c>
    </row>
    <row r="1141" customFormat="false" ht="13.5" hidden="false" customHeight="false" outlineLevel="0" collapsed="false">
      <c r="A1141" s="1" t="str">
        <f aca="false">IF(对接源_01水果!$C1141="","",对接源_01水果!$C1141)</f>
        <v/>
      </c>
      <c r="B1141" s="1" t="n">
        <f aca="false">IF(A1141="",0,IF(MATCH(A1141,$A$4:$A$2403,0)=ROW()-3,1,0))</f>
        <v>0</v>
      </c>
      <c r="C1141" s="1" t="n">
        <f aca="false">N(C1140)+B1141</f>
        <v>13</v>
      </c>
      <c r="K1141" s="1" t="n">
        <f aca="false">IF(OR($K$1="",对接源_01水果!$C1141="",对接源_01水果!$C1141&lt;&gt;$K$1,对接源_01水果!$B1141=""),0,IF(OR(N(对接源_01水果!$B1141)&lt;$K$2,N(对接源_01水果!$B1141)&gt;$K$3),0,1))</f>
        <v>0</v>
      </c>
      <c r="L1141" s="1" t="n">
        <f aca="false">IF(OR($L$1="",对接源_01水果!$C1141="",对接源_01水果!$C1141&lt;&gt;$L$1,对接源_01水果!$B1141=""),0,IF(OR(N(对接源_01水果!$B1141)&lt;$L$2,N(对接源_01水果!$B1141)&gt;$L$3),0,1))</f>
        <v>0</v>
      </c>
      <c r="M1141" s="1" t="n">
        <f aca="false">IF(OR($M$1="",对接源_01水果!$C1141="",对接源_01水果!$C1141&lt;&gt;$M$1,对接源_01水果!$B1141=""),0,IF(OR(N(对接源_01水果!$B1141)&lt;$M$2,N(对接源_01水果!$B1141)&gt;$M$3),0,1))</f>
        <v>0</v>
      </c>
      <c r="N1141" s="1" t="n">
        <f aca="false">IF(OR($N$1="",对接源_01水果!$C1141="",对接源_01水果!$C1141&lt;&gt;$N$1,对接源_01水果!$B1141=""),0,IF(OR(N(对接源_01水果!$B1141)&lt;$N$2,N(对接源_01水果!$B1141)&gt;$N$3),0,1))</f>
        <v>0</v>
      </c>
      <c r="P1141" s="1" t="n">
        <f aca="false">IF(AND($K1141=1,AND(对接源_01水果!$X1141="公司筐",N(对接源_01水果!$T1141)&lt;&gt;0)),1,0)</f>
        <v>0</v>
      </c>
      <c r="Q1141" s="1" t="n">
        <f aca="false">N(Q1140)+$P1141</f>
        <v>3</v>
      </c>
      <c r="R1141" s="1" t="n">
        <f aca="false">IF(AND($K1141=1,AND(对接源_01水果!$X1141="公司筐",N(对接源_01水果!$U1141)&lt;&gt;0)),1,0)</f>
        <v>0</v>
      </c>
      <c r="S1141" s="1" t="n">
        <f aca="false">N(S1140)+$R1141</f>
        <v>0</v>
      </c>
      <c r="T1141" s="1" t="n">
        <f aca="false">IF(AND($K1141=1,AND(对接源_01水果!$X1141="公司筐",N(对接源_01水果!$V1141)&lt;&gt;0)),1,0)</f>
        <v>0</v>
      </c>
      <c r="U1141" s="1" t="n">
        <f aca="false">N(U1140)+$T1141</f>
        <v>28</v>
      </c>
      <c r="V1141" s="1" t="n">
        <f aca="false">IF(AND($L1141=1,AND(对接源_01水果!$X1141="自备筐",N(对接源_01水果!$V1141)&lt;&gt;0)),1,0)</f>
        <v>0</v>
      </c>
      <c r="W1141" s="1" t="n">
        <f aca="false">N(W1140)+$V1141</f>
        <v>7</v>
      </c>
      <c r="X1141" s="1" t="n">
        <f aca="false">IF(AND($L1141=1,AND(对接源_01水果!$X1141="自备筐",N(对接源_01水果!$T1141)&lt;&gt;0)),1,0)</f>
        <v>0</v>
      </c>
      <c r="Y1141" s="1" t="n">
        <f aca="false">N(Y1140)+$X1141</f>
        <v>0</v>
      </c>
      <c r="Z1141" s="1" t="n">
        <f aca="false">IF(AND($M1141=1,对接源_01水果!$D1141="原料入库"),1,0)</f>
        <v>0</v>
      </c>
      <c r="AA1141" s="1" t="n">
        <f aca="false">N(AA1140)+$Z1141</f>
        <v>30</v>
      </c>
      <c r="AB1141" s="1" t="n">
        <f aca="false">IF(AND($M1141=1,LEFT(对接源_01水果!$D1141,4)="原料出库"),1,0)</f>
        <v>0</v>
      </c>
      <c r="AC1141" s="1" t="n">
        <f aca="false">N(AC1140)+$AB1141</f>
        <v>19</v>
      </c>
      <c r="AD1141" s="1" t="n">
        <f aca="false">IF(AND($M1141=1,LEFT(对接源_01水果!$D1141,4)="成品出库"),1,0)</f>
        <v>0</v>
      </c>
      <c r="AE1141" s="1" t="n">
        <f aca="false">N(AE1140)+$AD1141</f>
        <v>38</v>
      </c>
      <c r="AF1141" s="1" t="n">
        <f aca="false">IF(AND($N1141=1,AND(LEFT(对接源_01水果!$D1141,4)="包装物料",N(对接源_01水果!$K1141)&lt;&gt;0)),1,0)</f>
        <v>0</v>
      </c>
      <c r="AG1141" s="90" t="str">
        <f aca="false">IF(对接源_01水果!$AC1141="","",对接源_01水果!$AC1141)</f>
        <v/>
      </c>
      <c r="AH1141" s="1" t="n">
        <f aca="false">IF(AND($N1141=1,AND(LEFT(对接源_01水果!$D1141,3)="周转筐",N(对接源_01水果!$K1141)&lt;&gt;0)),1,0)</f>
        <v>0</v>
      </c>
      <c r="AI1141" s="90" t="n">
        <f aca="false">IF(AG1141="",0,IF(MATCH(AG1141,$AG$4:$AG$1203,0)=ROW()-3,1,0))</f>
        <v>0</v>
      </c>
      <c r="AJ1141" s="90" t="n">
        <f aca="false">N(AJ1140)+AI1141</f>
        <v>4</v>
      </c>
      <c r="AK1141" s="1" t="n">
        <f aca="false">N(AK1140)+$AJ1141</f>
        <v>3424</v>
      </c>
    </row>
    <row r="1142" customFormat="false" ht="13.5" hidden="false" customHeight="false" outlineLevel="0" collapsed="false">
      <c r="A1142" s="1" t="str">
        <f aca="false">IF(对接源_01水果!$C1142="","",对接源_01水果!$C1142)</f>
        <v/>
      </c>
      <c r="B1142" s="1" t="n">
        <f aca="false">IF(A1142="",0,IF(MATCH(A1142,$A$4:$A$2403,0)=ROW()-3,1,0))</f>
        <v>0</v>
      </c>
      <c r="C1142" s="1" t="n">
        <f aca="false">N(C1141)+B1142</f>
        <v>13</v>
      </c>
      <c r="K1142" s="1" t="n">
        <f aca="false">IF(OR($K$1="",对接源_01水果!$C1142="",对接源_01水果!$C1142&lt;&gt;$K$1,对接源_01水果!$B1142=""),0,IF(OR(N(对接源_01水果!$B1142)&lt;$K$2,N(对接源_01水果!$B1142)&gt;$K$3),0,1))</f>
        <v>0</v>
      </c>
      <c r="L1142" s="1" t="n">
        <f aca="false">IF(OR($L$1="",对接源_01水果!$C1142="",对接源_01水果!$C1142&lt;&gt;$L$1,对接源_01水果!$B1142=""),0,IF(OR(N(对接源_01水果!$B1142)&lt;$L$2,N(对接源_01水果!$B1142)&gt;$L$3),0,1))</f>
        <v>0</v>
      </c>
      <c r="M1142" s="1" t="n">
        <f aca="false">IF(OR($M$1="",对接源_01水果!$C1142="",对接源_01水果!$C1142&lt;&gt;$M$1,对接源_01水果!$B1142=""),0,IF(OR(N(对接源_01水果!$B1142)&lt;$M$2,N(对接源_01水果!$B1142)&gt;$M$3),0,1))</f>
        <v>0</v>
      </c>
      <c r="N1142" s="1" t="n">
        <f aca="false">IF(OR($N$1="",对接源_01水果!$C1142="",对接源_01水果!$C1142&lt;&gt;$N$1,对接源_01水果!$B1142=""),0,IF(OR(N(对接源_01水果!$B1142)&lt;$N$2,N(对接源_01水果!$B1142)&gt;$N$3),0,1))</f>
        <v>0</v>
      </c>
      <c r="P1142" s="1" t="n">
        <f aca="false">IF(AND($K1142=1,AND(对接源_01水果!$X1142="公司筐",N(对接源_01水果!$T1142)&lt;&gt;0)),1,0)</f>
        <v>0</v>
      </c>
      <c r="Q1142" s="1" t="n">
        <f aca="false">N(Q1141)+$P1142</f>
        <v>3</v>
      </c>
      <c r="R1142" s="1" t="n">
        <f aca="false">IF(AND($K1142=1,AND(对接源_01水果!$X1142="公司筐",N(对接源_01水果!$U1142)&lt;&gt;0)),1,0)</f>
        <v>0</v>
      </c>
      <c r="S1142" s="1" t="n">
        <f aca="false">N(S1141)+$R1142</f>
        <v>0</v>
      </c>
      <c r="T1142" s="1" t="n">
        <f aca="false">IF(AND($K1142=1,AND(对接源_01水果!$X1142="公司筐",N(对接源_01水果!$V1142)&lt;&gt;0)),1,0)</f>
        <v>0</v>
      </c>
      <c r="U1142" s="1" t="n">
        <f aca="false">N(U1141)+$T1142</f>
        <v>28</v>
      </c>
      <c r="V1142" s="1" t="n">
        <f aca="false">IF(AND($L1142=1,AND(对接源_01水果!$X1142="自备筐",N(对接源_01水果!$V1142)&lt;&gt;0)),1,0)</f>
        <v>0</v>
      </c>
      <c r="W1142" s="1" t="n">
        <f aca="false">N(W1141)+$V1142</f>
        <v>7</v>
      </c>
      <c r="X1142" s="1" t="n">
        <f aca="false">IF(AND($L1142=1,AND(对接源_01水果!$X1142="自备筐",N(对接源_01水果!$T1142)&lt;&gt;0)),1,0)</f>
        <v>0</v>
      </c>
      <c r="Y1142" s="1" t="n">
        <f aca="false">N(Y1141)+$X1142</f>
        <v>0</v>
      </c>
      <c r="Z1142" s="1" t="n">
        <f aca="false">IF(AND($M1142=1,对接源_01水果!$D1142="原料入库"),1,0)</f>
        <v>0</v>
      </c>
      <c r="AA1142" s="1" t="n">
        <f aca="false">N(AA1141)+$Z1142</f>
        <v>30</v>
      </c>
      <c r="AB1142" s="1" t="n">
        <f aca="false">IF(AND($M1142=1,LEFT(对接源_01水果!$D1142,4)="原料出库"),1,0)</f>
        <v>0</v>
      </c>
      <c r="AC1142" s="1" t="n">
        <f aca="false">N(AC1141)+$AB1142</f>
        <v>19</v>
      </c>
      <c r="AD1142" s="1" t="n">
        <f aca="false">IF(AND($M1142=1,LEFT(对接源_01水果!$D1142,4)="成品出库"),1,0)</f>
        <v>0</v>
      </c>
      <c r="AE1142" s="1" t="n">
        <f aca="false">N(AE1141)+$AD1142</f>
        <v>38</v>
      </c>
      <c r="AF1142" s="1" t="n">
        <f aca="false">IF(AND($N1142=1,AND(LEFT(对接源_01水果!$D1142,4)="包装物料",N(对接源_01水果!$K1142)&lt;&gt;0)),1,0)</f>
        <v>0</v>
      </c>
      <c r="AG1142" s="90" t="str">
        <f aca="false">IF(对接源_01水果!$AC1142="","",对接源_01水果!$AC1142)</f>
        <v/>
      </c>
      <c r="AH1142" s="1" t="n">
        <f aca="false">IF(AND($N1142=1,AND(LEFT(对接源_01水果!$D1142,3)="周转筐",N(对接源_01水果!$K1142)&lt;&gt;0)),1,0)</f>
        <v>0</v>
      </c>
      <c r="AI1142" s="90" t="n">
        <f aca="false">IF(AG1142="",0,IF(MATCH(AG1142,$AG$4:$AG$1203,0)=ROW()-3,1,0))</f>
        <v>0</v>
      </c>
      <c r="AJ1142" s="90" t="n">
        <f aca="false">N(AJ1141)+AI1142</f>
        <v>4</v>
      </c>
      <c r="AK1142" s="1" t="n">
        <f aca="false">N(AK1141)+$AJ1142</f>
        <v>3428</v>
      </c>
    </row>
    <row r="1143" customFormat="false" ht="13.5" hidden="false" customHeight="false" outlineLevel="0" collapsed="false">
      <c r="A1143" s="1" t="str">
        <f aca="false">IF(对接源_01水果!$C1143="","",对接源_01水果!$C1143)</f>
        <v/>
      </c>
      <c r="B1143" s="1" t="n">
        <f aca="false">IF(A1143="",0,IF(MATCH(A1143,$A$4:$A$2403,0)=ROW()-3,1,0))</f>
        <v>0</v>
      </c>
      <c r="C1143" s="1" t="n">
        <f aca="false">N(C1142)+B1143</f>
        <v>13</v>
      </c>
      <c r="K1143" s="1" t="n">
        <f aca="false">IF(OR($K$1="",对接源_01水果!$C1143="",对接源_01水果!$C1143&lt;&gt;$K$1,对接源_01水果!$B1143=""),0,IF(OR(N(对接源_01水果!$B1143)&lt;$K$2,N(对接源_01水果!$B1143)&gt;$K$3),0,1))</f>
        <v>0</v>
      </c>
      <c r="L1143" s="1" t="n">
        <f aca="false">IF(OR($L$1="",对接源_01水果!$C1143="",对接源_01水果!$C1143&lt;&gt;$L$1,对接源_01水果!$B1143=""),0,IF(OR(N(对接源_01水果!$B1143)&lt;$L$2,N(对接源_01水果!$B1143)&gt;$L$3),0,1))</f>
        <v>0</v>
      </c>
      <c r="M1143" s="1" t="n">
        <f aca="false">IF(OR($M$1="",对接源_01水果!$C1143="",对接源_01水果!$C1143&lt;&gt;$M$1,对接源_01水果!$B1143=""),0,IF(OR(N(对接源_01水果!$B1143)&lt;$M$2,N(对接源_01水果!$B1143)&gt;$M$3),0,1))</f>
        <v>0</v>
      </c>
      <c r="N1143" s="1" t="n">
        <f aca="false">IF(OR($N$1="",对接源_01水果!$C1143="",对接源_01水果!$C1143&lt;&gt;$N$1,对接源_01水果!$B1143=""),0,IF(OR(N(对接源_01水果!$B1143)&lt;$N$2,N(对接源_01水果!$B1143)&gt;$N$3),0,1))</f>
        <v>0</v>
      </c>
      <c r="P1143" s="1" t="n">
        <f aca="false">IF(AND($K1143=1,AND(对接源_01水果!$X1143="公司筐",N(对接源_01水果!$T1143)&lt;&gt;0)),1,0)</f>
        <v>0</v>
      </c>
      <c r="Q1143" s="1" t="n">
        <f aca="false">N(Q1142)+$P1143</f>
        <v>3</v>
      </c>
      <c r="R1143" s="1" t="n">
        <f aca="false">IF(AND($K1143=1,AND(对接源_01水果!$X1143="公司筐",N(对接源_01水果!$U1143)&lt;&gt;0)),1,0)</f>
        <v>0</v>
      </c>
      <c r="S1143" s="1" t="n">
        <f aca="false">N(S1142)+$R1143</f>
        <v>0</v>
      </c>
      <c r="T1143" s="1" t="n">
        <f aca="false">IF(AND($K1143=1,AND(对接源_01水果!$X1143="公司筐",N(对接源_01水果!$V1143)&lt;&gt;0)),1,0)</f>
        <v>0</v>
      </c>
      <c r="U1143" s="1" t="n">
        <f aca="false">N(U1142)+$T1143</f>
        <v>28</v>
      </c>
      <c r="V1143" s="1" t="n">
        <f aca="false">IF(AND($L1143=1,AND(对接源_01水果!$X1143="自备筐",N(对接源_01水果!$V1143)&lt;&gt;0)),1,0)</f>
        <v>0</v>
      </c>
      <c r="W1143" s="1" t="n">
        <f aca="false">N(W1142)+$V1143</f>
        <v>7</v>
      </c>
      <c r="X1143" s="1" t="n">
        <f aca="false">IF(AND($L1143=1,AND(对接源_01水果!$X1143="自备筐",N(对接源_01水果!$T1143)&lt;&gt;0)),1,0)</f>
        <v>0</v>
      </c>
      <c r="Y1143" s="1" t="n">
        <f aca="false">N(Y1142)+$X1143</f>
        <v>0</v>
      </c>
      <c r="Z1143" s="1" t="n">
        <f aca="false">IF(AND($M1143=1,对接源_01水果!$D1143="原料入库"),1,0)</f>
        <v>0</v>
      </c>
      <c r="AA1143" s="1" t="n">
        <f aca="false">N(AA1142)+$Z1143</f>
        <v>30</v>
      </c>
      <c r="AB1143" s="1" t="n">
        <f aca="false">IF(AND($M1143=1,LEFT(对接源_01水果!$D1143,4)="原料出库"),1,0)</f>
        <v>0</v>
      </c>
      <c r="AC1143" s="1" t="n">
        <f aca="false">N(AC1142)+$AB1143</f>
        <v>19</v>
      </c>
      <c r="AD1143" s="1" t="n">
        <f aca="false">IF(AND($M1143=1,LEFT(对接源_01水果!$D1143,4)="成品出库"),1,0)</f>
        <v>0</v>
      </c>
      <c r="AE1143" s="1" t="n">
        <f aca="false">N(AE1142)+$AD1143</f>
        <v>38</v>
      </c>
      <c r="AF1143" s="1" t="n">
        <f aca="false">IF(AND($N1143=1,AND(LEFT(对接源_01水果!$D1143,4)="包装物料",N(对接源_01水果!$K1143)&lt;&gt;0)),1,0)</f>
        <v>0</v>
      </c>
      <c r="AG1143" s="90" t="str">
        <f aca="false">IF(对接源_01水果!$AC1143="","",对接源_01水果!$AC1143)</f>
        <v/>
      </c>
      <c r="AH1143" s="1" t="n">
        <f aca="false">IF(AND($N1143=1,AND(LEFT(对接源_01水果!$D1143,3)="周转筐",N(对接源_01水果!$K1143)&lt;&gt;0)),1,0)</f>
        <v>0</v>
      </c>
      <c r="AI1143" s="90" t="n">
        <f aca="false">IF(AG1143="",0,IF(MATCH(AG1143,$AG$4:$AG$1203,0)=ROW()-3,1,0))</f>
        <v>0</v>
      </c>
      <c r="AJ1143" s="90" t="n">
        <f aca="false">N(AJ1142)+AI1143</f>
        <v>4</v>
      </c>
      <c r="AK1143" s="1" t="n">
        <f aca="false">N(AK1142)+$AJ1143</f>
        <v>3432</v>
      </c>
    </row>
    <row r="1144" customFormat="false" ht="13.5" hidden="false" customHeight="false" outlineLevel="0" collapsed="false">
      <c r="A1144" s="1" t="str">
        <f aca="false">IF(对接源_01水果!$C1144="","",对接源_01水果!$C1144)</f>
        <v/>
      </c>
      <c r="B1144" s="1" t="n">
        <f aca="false">IF(A1144="",0,IF(MATCH(A1144,$A$4:$A$2403,0)=ROW()-3,1,0))</f>
        <v>0</v>
      </c>
      <c r="C1144" s="1" t="n">
        <f aca="false">N(C1143)+B1144</f>
        <v>13</v>
      </c>
      <c r="K1144" s="1" t="n">
        <f aca="false">IF(OR($K$1="",对接源_01水果!$C1144="",对接源_01水果!$C1144&lt;&gt;$K$1,对接源_01水果!$B1144=""),0,IF(OR(N(对接源_01水果!$B1144)&lt;$K$2,N(对接源_01水果!$B1144)&gt;$K$3),0,1))</f>
        <v>0</v>
      </c>
      <c r="L1144" s="1" t="n">
        <f aca="false">IF(OR($L$1="",对接源_01水果!$C1144="",对接源_01水果!$C1144&lt;&gt;$L$1,对接源_01水果!$B1144=""),0,IF(OR(N(对接源_01水果!$B1144)&lt;$L$2,N(对接源_01水果!$B1144)&gt;$L$3),0,1))</f>
        <v>0</v>
      </c>
      <c r="M1144" s="1" t="n">
        <f aca="false">IF(OR($M$1="",对接源_01水果!$C1144="",对接源_01水果!$C1144&lt;&gt;$M$1,对接源_01水果!$B1144=""),0,IF(OR(N(对接源_01水果!$B1144)&lt;$M$2,N(对接源_01水果!$B1144)&gt;$M$3),0,1))</f>
        <v>0</v>
      </c>
      <c r="N1144" s="1" t="n">
        <f aca="false">IF(OR($N$1="",对接源_01水果!$C1144="",对接源_01水果!$C1144&lt;&gt;$N$1,对接源_01水果!$B1144=""),0,IF(OR(N(对接源_01水果!$B1144)&lt;$N$2,N(对接源_01水果!$B1144)&gt;$N$3),0,1))</f>
        <v>0</v>
      </c>
      <c r="P1144" s="1" t="n">
        <f aca="false">IF(AND($K1144=1,AND(对接源_01水果!$X1144="公司筐",N(对接源_01水果!$T1144)&lt;&gt;0)),1,0)</f>
        <v>0</v>
      </c>
      <c r="Q1144" s="1" t="n">
        <f aca="false">N(Q1143)+$P1144</f>
        <v>3</v>
      </c>
      <c r="R1144" s="1" t="n">
        <f aca="false">IF(AND($K1144=1,AND(对接源_01水果!$X1144="公司筐",N(对接源_01水果!$U1144)&lt;&gt;0)),1,0)</f>
        <v>0</v>
      </c>
      <c r="S1144" s="1" t="n">
        <f aca="false">N(S1143)+$R1144</f>
        <v>0</v>
      </c>
      <c r="T1144" s="1" t="n">
        <f aca="false">IF(AND($K1144=1,AND(对接源_01水果!$X1144="公司筐",N(对接源_01水果!$V1144)&lt;&gt;0)),1,0)</f>
        <v>0</v>
      </c>
      <c r="U1144" s="1" t="n">
        <f aca="false">N(U1143)+$T1144</f>
        <v>28</v>
      </c>
      <c r="V1144" s="1" t="n">
        <f aca="false">IF(AND($L1144=1,AND(对接源_01水果!$X1144="自备筐",N(对接源_01水果!$V1144)&lt;&gt;0)),1,0)</f>
        <v>0</v>
      </c>
      <c r="W1144" s="1" t="n">
        <f aca="false">N(W1143)+$V1144</f>
        <v>7</v>
      </c>
      <c r="X1144" s="1" t="n">
        <f aca="false">IF(AND($L1144=1,AND(对接源_01水果!$X1144="自备筐",N(对接源_01水果!$T1144)&lt;&gt;0)),1,0)</f>
        <v>0</v>
      </c>
      <c r="Y1144" s="1" t="n">
        <f aca="false">N(Y1143)+$X1144</f>
        <v>0</v>
      </c>
      <c r="Z1144" s="1" t="n">
        <f aca="false">IF(AND($M1144=1,对接源_01水果!$D1144="原料入库"),1,0)</f>
        <v>0</v>
      </c>
      <c r="AA1144" s="1" t="n">
        <f aca="false">N(AA1143)+$Z1144</f>
        <v>30</v>
      </c>
      <c r="AB1144" s="1" t="n">
        <f aca="false">IF(AND($M1144=1,LEFT(对接源_01水果!$D1144,4)="原料出库"),1,0)</f>
        <v>0</v>
      </c>
      <c r="AC1144" s="1" t="n">
        <f aca="false">N(AC1143)+$AB1144</f>
        <v>19</v>
      </c>
      <c r="AD1144" s="1" t="n">
        <f aca="false">IF(AND($M1144=1,LEFT(对接源_01水果!$D1144,4)="成品出库"),1,0)</f>
        <v>0</v>
      </c>
      <c r="AE1144" s="1" t="n">
        <f aca="false">N(AE1143)+$AD1144</f>
        <v>38</v>
      </c>
      <c r="AF1144" s="1" t="n">
        <f aca="false">IF(AND($N1144=1,AND(LEFT(对接源_01水果!$D1144,4)="包装物料",N(对接源_01水果!$K1144)&lt;&gt;0)),1,0)</f>
        <v>0</v>
      </c>
      <c r="AG1144" s="90" t="str">
        <f aca="false">IF(对接源_01水果!$AC1144="","",对接源_01水果!$AC1144)</f>
        <v/>
      </c>
      <c r="AH1144" s="1" t="n">
        <f aca="false">IF(AND($N1144=1,AND(LEFT(对接源_01水果!$D1144,3)="周转筐",N(对接源_01水果!$K1144)&lt;&gt;0)),1,0)</f>
        <v>0</v>
      </c>
      <c r="AI1144" s="90" t="n">
        <f aca="false">IF(AG1144="",0,IF(MATCH(AG1144,$AG$4:$AG$1203,0)=ROW()-3,1,0))</f>
        <v>0</v>
      </c>
      <c r="AJ1144" s="90" t="n">
        <f aca="false">N(AJ1143)+AI1144</f>
        <v>4</v>
      </c>
      <c r="AK1144" s="1" t="n">
        <f aca="false">N(AK1143)+$AJ1144</f>
        <v>3436</v>
      </c>
    </row>
    <row r="1145" customFormat="false" ht="13.5" hidden="false" customHeight="false" outlineLevel="0" collapsed="false">
      <c r="A1145" s="1" t="str">
        <f aca="false">IF(对接源_01水果!$C1145="","",对接源_01水果!$C1145)</f>
        <v/>
      </c>
      <c r="B1145" s="1" t="n">
        <f aca="false">IF(A1145="",0,IF(MATCH(A1145,$A$4:$A$2403,0)=ROW()-3,1,0))</f>
        <v>0</v>
      </c>
      <c r="C1145" s="1" t="n">
        <f aca="false">N(C1144)+B1145</f>
        <v>13</v>
      </c>
      <c r="K1145" s="1" t="n">
        <f aca="false">IF(OR($K$1="",对接源_01水果!$C1145="",对接源_01水果!$C1145&lt;&gt;$K$1,对接源_01水果!$B1145=""),0,IF(OR(N(对接源_01水果!$B1145)&lt;$K$2,N(对接源_01水果!$B1145)&gt;$K$3),0,1))</f>
        <v>0</v>
      </c>
      <c r="L1145" s="1" t="n">
        <f aca="false">IF(OR($L$1="",对接源_01水果!$C1145="",对接源_01水果!$C1145&lt;&gt;$L$1,对接源_01水果!$B1145=""),0,IF(OR(N(对接源_01水果!$B1145)&lt;$L$2,N(对接源_01水果!$B1145)&gt;$L$3),0,1))</f>
        <v>0</v>
      </c>
      <c r="M1145" s="1" t="n">
        <f aca="false">IF(OR($M$1="",对接源_01水果!$C1145="",对接源_01水果!$C1145&lt;&gt;$M$1,对接源_01水果!$B1145=""),0,IF(OR(N(对接源_01水果!$B1145)&lt;$M$2,N(对接源_01水果!$B1145)&gt;$M$3),0,1))</f>
        <v>0</v>
      </c>
      <c r="N1145" s="1" t="n">
        <f aca="false">IF(OR($N$1="",对接源_01水果!$C1145="",对接源_01水果!$C1145&lt;&gt;$N$1,对接源_01水果!$B1145=""),0,IF(OR(N(对接源_01水果!$B1145)&lt;$N$2,N(对接源_01水果!$B1145)&gt;$N$3),0,1))</f>
        <v>0</v>
      </c>
      <c r="P1145" s="1" t="n">
        <f aca="false">IF(AND($K1145=1,AND(对接源_01水果!$X1145="公司筐",N(对接源_01水果!$T1145)&lt;&gt;0)),1,0)</f>
        <v>0</v>
      </c>
      <c r="Q1145" s="1" t="n">
        <f aca="false">N(Q1144)+$P1145</f>
        <v>3</v>
      </c>
      <c r="R1145" s="1" t="n">
        <f aca="false">IF(AND($K1145=1,AND(对接源_01水果!$X1145="公司筐",N(对接源_01水果!$U1145)&lt;&gt;0)),1,0)</f>
        <v>0</v>
      </c>
      <c r="S1145" s="1" t="n">
        <f aca="false">N(S1144)+$R1145</f>
        <v>0</v>
      </c>
      <c r="T1145" s="1" t="n">
        <f aca="false">IF(AND($K1145=1,AND(对接源_01水果!$X1145="公司筐",N(对接源_01水果!$V1145)&lt;&gt;0)),1,0)</f>
        <v>0</v>
      </c>
      <c r="U1145" s="1" t="n">
        <f aca="false">N(U1144)+$T1145</f>
        <v>28</v>
      </c>
      <c r="V1145" s="1" t="n">
        <f aca="false">IF(AND($L1145=1,AND(对接源_01水果!$X1145="自备筐",N(对接源_01水果!$V1145)&lt;&gt;0)),1,0)</f>
        <v>0</v>
      </c>
      <c r="W1145" s="1" t="n">
        <f aca="false">N(W1144)+$V1145</f>
        <v>7</v>
      </c>
      <c r="X1145" s="1" t="n">
        <f aca="false">IF(AND($L1145=1,AND(对接源_01水果!$X1145="自备筐",N(对接源_01水果!$T1145)&lt;&gt;0)),1,0)</f>
        <v>0</v>
      </c>
      <c r="Y1145" s="1" t="n">
        <f aca="false">N(Y1144)+$X1145</f>
        <v>0</v>
      </c>
      <c r="Z1145" s="1" t="n">
        <f aca="false">IF(AND($M1145=1,对接源_01水果!$D1145="原料入库"),1,0)</f>
        <v>0</v>
      </c>
      <c r="AA1145" s="1" t="n">
        <f aca="false">N(AA1144)+$Z1145</f>
        <v>30</v>
      </c>
      <c r="AB1145" s="1" t="n">
        <f aca="false">IF(AND($M1145=1,LEFT(对接源_01水果!$D1145,4)="原料出库"),1,0)</f>
        <v>0</v>
      </c>
      <c r="AC1145" s="1" t="n">
        <f aca="false">N(AC1144)+$AB1145</f>
        <v>19</v>
      </c>
      <c r="AD1145" s="1" t="n">
        <f aca="false">IF(AND($M1145=1,LEFT(对接源_01水果!$D1145,4)="成品出库"),1,0)</f>
        <v>0</v>
      </c>
      <c r="AE1145" s="1" t="n">
        <f aca="false">N(AE1144)+$AD1145</f>
        <v>38</v>
      </c>
      <c r="AF1145" s="1" t="n">
        <f aca="false">IF(AND($N1145=1,AND(LEFT(对接源_01水果!$D1145,4)="包装物料",N(对接源_01水果!$K1145)&lt;&gt;0)),1,0)</f>
        <v>0</v>
      </c>
      <c r="AG1145" s="90" t="str">
        <f aca="false">IF(对接源_01水果!$AC1145="","",对接源_01水果!$AC1145)</f>
        <v/>
      </c>
      <c r="AH1145" s="1" t="n">
        <f aca="false">IF(AND($N1145=1,AND(LEFT(对接源_01水果!$D1145,3)="周转筐",N(对接源_01水果!$K1145)&lt;&gt;0)),1,0)</f>
        <v>0</v>
      </c>
      <c r="AI1145" s="90" t="n">
        <f aca="false">IF(AG1145="",0,IF(MATCH(AG1145,$AG$4:$AG$1203,0)=ROW()-3,1,0))</f>
        <v>0</v>
      </c>
      <c r="AJ1145" s="90" t="n">
        <f aca="false">N(AJ1144)+AI1145</f>
        <v>4</v>
      </c>
      <c r="AK1145" s="1" t="n">
        <f aca="false">N(AK1144)+$AJ1145</f>
        <v>3440</v>
      </c>
    </row>
    <row r="1146" customFormat="false" ht="13.5" hidden="false" customHeight="false" outlineLevel="0" collapsed="false">
      <c r="A1146" s="1" t="str">
        <f aca="false">IF(对接源_01水果!$C1146="","",对接源_01水果!$C1146)</f>
        <v/>
      </c>
      <c r="B1146" s="1" t="n">
        <f aca="false">IF(A1146="",0,IF(MATCH(A1146,$A$4:$A$2403,0)=ROW()-3,1,0))</f>
        <v>0</v>
      </c>
      <c r="C1146" s="1" t="n">
        <f aca="false">N(C1145)+B1146</f>
        <v>13</v>
      </c>
      <c r="K1146" s="1" t="n">
        <f aca="false">IF(OR($K$1="",对接源_01水果!$C1146="",对接源_01水果!$C1146&lt;&gt;$K$1,对接源_01水果!$B1146=""),0,IF(OR(N(对接源_01水果!$B1146)&lt;$K$2,N(对接源_01水果!$B1146)&gt;$K$3),0,1))</f>
        <v>0</v>
      </c>
      <c r="L1146" s="1" t="n">
        <f aca="false">IF(OR($L$1="",对接源_01水果!$C1146="",对接源_01水果!$C1146&lt;&gt;$L$1,对接源_01水果!$B1146=""),0,IF(OR(N(对接源_01水果!$B1146)&lt;$L$2,N(对接源_01水果!$B1146)&gt;$L$3),0,1))</f>
        <v>0</v>
      </c>
      <c r="M1146" s="1" t="n">
        <f aca="false">IF(OR($M$1="",对接源_01水果!$C1146="",对接源_01水果!$C1146&lt;&gt;$M$1,对接源_01水果!$B1146=""),0,IF(OR(N(对接源_01水果!$B1146)&lt;$M$2,N(对接源_01水果!$B1146)&gt;$M$3),0,1))</f>
        <v>0</v>
      </c>
      <c r="N1146" s="1" t="n">
        <f aca="false">IF(OR($N$1="",对接源_01水果!$C1146="",对接源_01水果!$C1146&lt;&gt;$N$1,对接源_01水果!$B1146=""),0,IF(OR(N(对接源_01水果!$B1146)&lt;$N$2,N(对接源_01水果!$B1146)&gt;$N$3),0,1))</f>
        <v>0</v>
      </c>
      <c r="P1146" s="1" t="n">
        <f aca="false">IF(AND($K1146=1,AND(对接源_01水果!$X1146="公司筐",N(对接源_01水果!$T1146)&lt;&gt;0)),1,0)</f>
        <v>0</v>
      </c>
      <c r="Q1146" s="1" t="n">
        <f aca="false">N(Q1145)+$P1146</f>
        <v>3</v>
      </c>
      <c r="R1146" s="1" t="n">
        <f aca="false">IF(AND($K1146=1,AND(对接源_01水果!$X1146="公司筐",N(对接源_01水果!$U1146)&lt;&gt;0)),1,0)</f>
        <v>0</v>
      </c>
      <c r="S1146" s="1" t="n">
        <f aca="false">N(S1145)+$R1146</f>
        <v>0</v>
      </c>
      <c r="T1146" s="1" t="n">
        <f aca="false">IF(AND($K1146=1,AND(对接源_01水果!$X1146="公司筐",N(对接源_01水果!$V1146)&lt;&gt;0)),1,0)</f>
        <v>0</v>
      </c>
      <c r="U1146" s="1" t="n">
        <f aca="false">N(U1145)+$T1146</f>
        <v>28</v>
      </c>
      <c r="V1146" s="1" t="n">
        <f aca="false">IF(AND($L1146=1,AND(对接源_01水果!$X1146="自备筐",N(对接源_01水果!$V1146)&lt;&gt;0)),1,0)</f>
        <v>0</v>
      </c>
      <c r="W1146" s="1" t="n">
        <f aca="false">N(W1145)+$V1146</f>
        <v>7</v>
      </c>
      <c r="X1146" s="1" t="n">
        <f aca="false">IF(AND($L1146=1,AND(对接源_01水果!$X1146="自备筐",N(对接源_01水果!$T1146)&lt;&gt;0)),1,0)</f>
        <v>0</v>
      </c>
      <c r="Y1146" s="1" t="n">
        <f aca="false">N(Y1145)+$X1146</f>
        <v>0</v>
      </c>
      <c r="Z1146" s="1" t="n">
        <f aca="false">IF(AND($M1146=1,对接源_01水果!$D1146="原料入库"),1,0)</f>
        <v>0</v>
      </c>
      <c r="AA1146" s="1" t="n">
        <f aca="false">N(AA1145)+$Z1146</f>
        <v>30</v>
      </c>
      <c r="AB1146" s="1" t="n">
        <f aca="false">IF(AND($M1146=1,LEFT(对接源_01水果!$D1146,4)="原料出库"),1,0)</f>
        <v>0</v>
      </c>
      <c r="AC1146" s="1" t="n">
        <f aca="false">N(AC1145)+$AB1146</f>
        <v>19</v>
      </c>
      <c r="AD1146" s="1" t="n">
        <f aca="false">IF(AND($M1146=1,LEFT(对接源_01水果!$D1146,4)="成品出库"),1,0)</f>
        <v>0</v>
      </c>
      <c r="AE1146" s="1" t="n">
        <f aca="false">N(AE1145)+$AD1146</f>
        <v>38</v>
      </c>
      <c r="AF1146" s="1" t="n">
        <f aca="false">IF(AND($N1146=1,AND(LEFT(对接源_01水果!$D1146,4)="包装物料",N(对接源_01水果!$K1146)&lt;&gt;0)),1,0)</f>
        <v>0</v>
      </c>
      <c r="AG1146" s="90" t="str">
        <f aca="false">IF(对接源_01水果!$AC1146="","",对接源_01水果!$AC1146)</f>
        <v/>
      </c>
      <c r="AH1146" s="1" t="n">
        <f aca="false">IF(AND($N1146=1,AND(LEFT(对接源_01水果!$D1146,3)="周转筐",N(对接源_01水果!$K1146)&lt;&gt;0)),1,0)</f>
        <v>0</v>
      </c>
      <c r="AI1146" s="90" t="n">
        <f aca="false">IF(AG1146="",0,IF(MATCH(AG1146,$AG$4:$AG$1203,0)=ROW()-3,1,0))</f>
        <v>0</v>
      </c>
      <c r="AJ1146" s="90" t="n">
        <f aca="false">N(AJ1145)+AI1146</f>
        <v>4</v>
      </c>
      <c r="AK1146" s="1" t="n">
        <f aca="false">N(AK1145)+$AJ1146</f>
        <v>3444</v>
      </c>
    </row>
    <row r="1147" customFormat="false" ht="13.5" hidden="false" customHeight="false" outlineLevel="0" collapsed="false">
      <c r="A1147" s="1" t="str">
        <f aca="false">IF(对接源_01水果!$C1147="","",对接源_01水果!$C1147)</f>
        <v/>
      </c>
      <c r="B1147" s="1" t="n">
        <f aca="false">IF(A1147="",0,IF(MATCH(A1147,$A$4:$A$2403,0)=ROW()-3,1,0))</f>
        <v>0</v>
      </c>
      <c r="C1147" s="1" t="n">
        <f aca="false">N(C1146)+B1147</f>
        <v>13</v>
      </c>
      <c r="K1147" s="1" t="n">
        <f aca="false">IF(OR($K$1="",对接源_01水果!$C1147="",对接源_01水果!$C1147&lt;&gt;$K$1,对接源_01水果!$B1147=""),0,IF(OR(N(对接源_01水果!$B1147)&lt;$K$2,N(对接源_01水果!$B1147)&gt;$K$3),0,1))</f>
        <v>0</v>
      </c>
      <c r="L1147" s="1" t="n">
        <f aca="false">IF(OR($L$1="",对接源_01水果!$C1147="",对接源_01水果!$C1147&lt;&gt;$L$1,对接源_01水果!$B1147=""),0,IF(OR(N(对接源_01水果!$B1147)&lt;$L$2,N(对接源_01水果!$B1147)&gt;$L$3),0,1))</f>
        <v>0</v>
      </c>
      <c r="M1147" s="1" t="n">
        <f aca="false">IF(OR($M$1="",对接源_01水果!$C1147="",对接源_01水果!$C1147&lt;&gt;$M$1,对接源_01水果!$B1147=""),0,IF(OR(N(对接源_01水果!$B1147)&lt;$M$2,N(对接源_01水果!$B1147)&gt;$M$3),0,1))</f>
        <v>0</v>
      </c>
      <c r="N1147" s="1" t="n">
        <f aca="false">IF(OR($N$1="",对接源_01水果!$C1147="",对接源_01水果!$C1147&lt;&gt;$N$1,对接源_01水果!$B1147=""),0,IF(OR(N(对接源_01水果!$B1147)&lt;$N$2,N(对接源_01水果!$B1147)&gt;$N$3),0,1))</f>
        <v>0</v>
      </c>
      <c r="P1147" s="1" t="n">
        <f aca="false">IF(AND($K1147=1,AND(对接源_01水果!$X1147="公司筐",N(对接源_01水果!$T1147)&lt;&gt;0)),1,0)</f>
        <v>0</v>
      </c>
      <c r="Q1147" s="1" t="n">
        <f aca="false">N(Q1146)+$P1147</f>
        <v>3</v>
      </c>
      <c r="R1147" s="1" t="n">
        <f aca="false">IF(AND($K1147=1,AND(对接源_01水果!$X1147="公司筐",N(对接源_01水果!$U1147)&lt;&gt;0)),1,0)</f>
        <v>0</v>
      </c>
      <c r="S1147" s="1" t="n">
        <f aca="false">N(S1146)+$R1147</f>
        <v>0</v>
      </c>
      <c r="T1147" s="1" t="n">
        <f aca="false">IF(AND($K1147=1,AND(对接源_01水果!$X1147="公司筐",N(对接源_01水果!$V1147)&lt;&gt;0)),1,0)</f>
        <v>0</v>
      </c>
      <c r="U1147" s="1" t="n">
        <f aca="false">N(U1146)+$T1147</f>
        <v>28</v>
      </c>
      <c r="V1147" s="1" t="n">
        <f aca="false">IF(AND($L1147=1,AND(对接源_01水果!$X1147="自备筐",N(对接源_01水果!$V1147)&lt;&gt;0)),1,0)</f>
        <v>0</v>
      </c>
      <c r="W1147" s="1" t="n">
        <f aca="false">N(W1146)+$V1147</f>
        <v>7</v>
      </c>
      <c r="X1147" s="1" t="n">
        <f aca="false">IF(AND($L1147=1,AND(对接源_01水果!$X1147="自备筐",N(对接源_01水果!$T1147)&lt;&gt;0)),1,0)</f>
        <v>0</v>
      </c>
      <c r="Y1147" s="1" t="n">
        <f aca="false">N(Y1146)+$X1147</f>
        <v>0</v>
      </c>
      <c r="Z1147" s="1" t="n">
        <f aca="false">IF(AND($M1147=1,对接源_01水果!$D1147="原料入库"),1,0)</f>
        <v>0</v>
      </c>
      <c r="AA1147" s="1" t="n">
        <f aca="false">N(AA1146)+$Z1147</f>
        <v>30</v>
      </c>
      <c r="AB1147" s="1" t="n">
        <f aca="false">IF(AND($M1147=1,LEFT(对接源_01水果!$D1147,4)="原料出库"),1,0)</f>
        <v>0</v>
      </c>
      <c r="AC1147" s="1" t="n">
        <f aca="false">N(AC1146)+$AB1147</f>
        <v>19</v>
      </c>
      <c r="AD1147" s="1" t="n">
        <f aca="false">IF(AND($M1147=1,LEFT(对接源_01水果!$D1147,4)="成品出库"),1,0)</f>
        <v>0</v>
      </c>
      <c r="AE1147" s="1" t="n">
        <f aca="false">N(AE1146)+$AD1147</f>
        <v>38</v>
      </c>
      <c r="AF1147" s="1" t="n">
        <f aca="false">IF(AND($N1147=1,AND(LEFT(对接源_01水果!$D1147,4)="包装物料",N(对接源_01水果!$K1147)&lt;&gt;0)),1,0)</f>
        <v>0</v>
      </c>
      <c r="AG1147" s="90" t="str">
        <f aca="false">IF(对接源_01水果!$AC1147="","",对接源_01水果!$AC1147)</f>
        <v/>
      </c>
      <c r="AH1147" s="1" t="n">
        <f aca="false">IF(AND($N1147=1,AND(LEFT(对接源_01水果!$D1147,3)="周转筐",N(对接源_01水果!$K1147)&lt;&gt;0)),1,0)</f>
        <v>0</v>
      </c>
      <c r="AI1147" s="90" t="n">
        <f aca="false">IF(AG1147="",0,IF(MATCH(AG1147,$AG$4:$AG$1203,0)=ROW()-3,1,0))</f>
        <v>0</v>
      </c>
      <c r="AJ1147" s="90" t="n">
        <f aca="false">N(AJ1146)+AI1147</f>
        <v>4</v>
      </c>
      <c r="AK1147" s="1" t="n">
        <f aca="false">N(AK1146)+$AJ1147</f>
        <v>3448</v>
      </c>
    </row>
    <row r="1148" customFormat="false" ht="13.5" hidden="false" customHeight="false" outlineLevel="0" collapsed="false">
      <c r="A1148" s="1" t="str">
        <f aca="false">IF(对接源_01水果!$C1148="","",对接源_01水果!$C1148)</f>
        <v/>
      </c>
      <c r="B1148" s="1" t="n">
        <f aca="false">IF(A1148="",0,IF(MATCH(A1148,$A$4:$A$2403,0)=ROW()-3,1,0))</f>
        <v>0</v>
      </c>
      <c r="C1148" s="1" t="n">
        <f aca="false">N(C1147)+B1148</f>
        <v>13</v>
      </c>
      <c r="K1148" s="1" t="n">
        <f aca="false">IF(OR($K$1="",对接源_01水果!$C1148="",对接源_01水果!$C1148&lt;&gt;$K$1,对接源_01水果!$B1148=""),0,IF(OR(N(对接源_01水果!$B1148)&lt;$K$2,N(对接源_01水果!$B1148)&gt;$K$3),0,1))</f>
        <v>0</v>
      </c>
      <c r="L1148" s="1" t="n">
        <f aca="false">IF(OR($L$1="",对接源_01水果!$C1148="",对接源_01水果!$C1148&lt;&gt;$L$1,对接源_01水果!$B1148=""),0,IF(OR(N(对接源_01水果!$B1148)&lt;$L$2,N(对接源_01水果!$B1148)&gt;$L$3),0,1))</f>
        <v>0</v>
      </c>
      <c r="M1148" s="1" t="n">
        <f aca="false">IF(OR($M$1="",对接源_01水果!$C1148="",对接源_01水果!$C1148&lt;&gt;$M$1,对接源_01水果!$B1148=""),0,IF(OR(N(对接源_01水果!$B1148)&lt;$M$2,N(对接源_01水果!$B1148)&gt;$M$3),0,1))</f>
        <v>0</v>
      </c>
      <c r="N1148" s="1" t="n">
        <f aca="false">IF(OR($N$1="",对接源_01水果!$C1148="",对接源_01水果!$C1148&lt;&gt;$N$1,对接源_01水果!$B1148=""),0,IF(OR(N(对接源_01水果!$B1148)&lt;$N$2,N(对接源_01水果!$B1148)&gt;$N$3),0,1))</f>
        <v>0</v>
      </c>
      <c r="P1148" s="1" t="n">
        <f aca="false">IF(AND($K1148=1,AND(对接源_01水果!$X1148="公司筐",N(对接源_01水果!$T1148)&lt;&gt;0)),1,0)</f>
        <v>0</v>
      </c>
      <c r="Q1148" s="1" t="n">
        <f aca="false">N(Q1147)+$P1148</f>
        <v>3</v>
      </c>
      <c r="R1148" s="1" t="n">
        <f aca="false">IF(AND($K1148=1,AND(对接源_01水果!$X1148="公司筐",N(对接源_01水果!$U1148)&lt;&gt;0)),1,0)</f>
        <v>0</v>
      </c>
      <c r="S1148" s="1" t="n">
        <f aca="false">N(S1147)+$R1148</f>
        <v>0</v>
      </c>
      <c r="T1148" s="1" t="n">
        <f aca="false">IF(AND($K1148=1,AND(对接源_01水果!$X1148="公司筐",N(对接源_01水果!$V1148)&lt;&gt;0)),1,0)</f>
        <v>0</v>
      </c>
      <c r="U1148" s="1" t="n">
        <f aca="false">N(U1147)+$T1148</f>
        <v>28</v>
      </c>
      <c r="V1148" s="1" t="n">
        <f aca="false">IF(AND($L1148=1,AND(对接源_01水果!$X1148="自备筐",N(对接源_01水果!$V1148)&lt;&gt;0)),1,0)</f>
        <v>0</v>
      </c>
      <c r="W1148" s="1" t="n">
        <f aca="false">N(W1147)+$V1148</f>
        <v>7</v>
      </c>
      <c r="X1148" s="1" t="n">
        <f aca="false">IF(AND($L1148=1,AND(对接源_01水果!$X1148="自备筐",N(对接源_01水果!$T1148)&lt;&gt;0)),1,0)</f>
        <v>0</v>
      </c>
      <c r="Y1148" s="1" t="n">
        <f aca="false">N(Y1147)+$X1148</f>
        <v>0</v>
      </c>
      <c r="Z1148" s="1" t="n">
        <f aca="false">IF(AND($M1148=1,对接源_01水果!$D1148="原料入库"),1,0)</f>
        <v>0</v>
      </c>
      <c r="AA1148" s="1" t="n">
        <f aca="false">N(AA1147)+$Z1148</f>
        <v>30</v>
      </c>
      <c r="AB1148" s="1" t="n">
        <f aca="false">IF(AND($M1148=1,LEFT(对接源_01水果!$D1148,4)="原料出库"),1,0)</f>
        <v>0</v>
      </c>
      <c r="AC1148" s="1" t="n">
        <f aca="false">N(AC1147)+$AB1148</f>
        <v>19</v>
      </c>
      <c r="AD1148" s="1" t="n">
        <f aca="false">IF(AND($M1148=1,LEFT(对接源_01水果!$D1148,4)="成品出库"),1,0)</f>
        <v>0</v>
      </c>
      <c r="AE1148" s="1" t="n">
        <f aca="false">N(AE1147)+$AD1148</f>
        <v>38</v>
      </c>
      <c r="AF1148" s="1" t="n">
        <f aca="false">IF(AND($N1148=1,AND(LEFT(对接源_01水果!$D1148,4)="包装物料",N(对接源_01水果!$K1148)&lt;&gt;0)),1,0)</f>
        <v>0</v>
      </c>
      <c r="AG1148" s="90" t="str">
        <f aca="false">IF(对接源_01水果!$AC1148="","",对接源_01水果!$AC1148)</f>
        <v/>
      </c>
      <c r="AH1148" s="1" t="n">
        <f aca="false">IF(AND($N1148=1,AND(LEFT(对接源_01水果!$D1148,3)="周转筐",N(对接源_01水果!$K1148)&lt;&gt;0)),1,0)</f>
        <v>0</v>
      </c>
      <c r="AI1148" s="90" t="n">
        <f aca="false">IF(AG1148="",0,IF(MATCH(AG1148,$AG$4:$AG$1203,0)=ROW()-3,1,0))</f>
        <v>0</v>
      </c>
      <c r="AJ1148" s="90" t="n">
        <f aca="false">N(AJ1147)+AI1148</f>
        <v>4</v>
      </c>
      <c r="AK1148" s="1" t="n">
        <f aca="false">N(AK1147)+$AJ1148</f>
        <v>3452</v>
      </c>
    </row>
    <row r="1149" customFormat="false" ht="13.5" hidden="false" customHeight="false" outlineLevel="0" collapsed="false">
      <c r="A1149" s="1" t="str">
        <f aca="false">IF(对接源_01水果!$C1149="","",对接源_01水果!$C1149)</f>
        <v/>
      </c>
      <c r="B1149" s="1" t="n">
        <f aca="false">IF(A1149="",0,IF(MATCH(A1149,$A$4:$A$2403,0)=ROW()-3,1,0))</f>
        <v>0</v>
      </c>
      <c r="C1149" s="1" t="n">
        <f aca="false">N(C1148)+B1149</f>
        <v>13</v>
      </c>
      <c r="K1149" s="1" t="n">
        <f aca="false">IF(OR($K$1="",对接源_01水果!$C1149="",对接源_01水果!$C1149&lt;&gt;$K$1,对接源_01水果!$B1149=""),0,IF(OR(N(对接源_01水果!$B1149)&lt;$K$2,N(对接源_01水果!$B1149)&gt;$K$3),0,1))</f>
        <v>0</v>
      </c>
      <c r="L1149" s="1" t="n">
        <f aca="false">IF(OR($L$1="",对接源_01水果!$C1149="",对接源_01水果!$C1149&lt;&gt;$L$1,对接源_01水果!$B1149=""),0,IF(OR(N(对接源_01水果!$B1149)&lt;$L$2,N(对接源_01水果!$B1149)&gt;$L$3),0,1))</f>
        <v>0</v>
      </c>
      <c r="M1149" s="1" t="n">
        <f aca="false">IF(OR($M$1="",对接源_01水果!$C1149="",对接源_01水果!$C1149&lt;&gt;$M$1,对接源_01水果!$B1149=""),0,IF(OR(N(对接源_01水果!$B1149)&lt;$M$2,N(对接源_01水果!$B1149)&gt;$M$3),0,1))</f>
        <v>0</v>
      </c>
      <c r="N1149" s="1" t="n">
        <f aca="false">IF(OR($N$1="",对接源_01水果!$C1149="",对接源_01水果!$C1149&lt;&gt;$N$1,对接源_01水果!$B1149=""),0,IF(OR(N(对接源_01水果!$B1149)&lt;$N$2,N(对接源_01水果!$B1149)&gt;$N$3),0,1))</f>
        <v>0</v>
      </c>
      <c r="P1149" s="1" t="n">
        <f aca="false">IF(AND($K1149=1,AND(对接源_01水果!$X1149="公司筐",N(对接源_01水果!$T1149)&lt;&gt;0)),1,0)</f>
        <v>0</v>
      </c>
      <c r="Q1149" s="1" t="n">
        <f aca="false">N(Q1148)+$P1149</f>
        <v>3</v>
      </c>
      <c r="R1149" s="1" t="n">
        <f aca="false">IF(AND($K1149=1,AND(对接源_01水果!$X1149="公司筐",N(对接源_01水果!$U1149)&lt;&gt;0)),1,0)</f>
        <v>0</v>
      </c>
      <c r="S1149" s="1" t="n">
        <f aca="false">N(S1148)+$R1149</f>
        <v>0</v>
      </c>
      <c r="T1149" s="1" t="n">
        <f aca="false">IF(AND($K1149=1,AND(对接源_01水果!$X1149="公司筐",N(对接源_01水果!$V1149)&lt;&gt;0)),1,0)</f>
        <v>0</v>
      </c>
      <c r="U1149" s="1" t="n">
        <f aca="false">N(U1148)+$T1149</f>
        <v>28</v>
      </c>
      <c r="V1149" s="1" t="n">
        <f aca="false">IF(AND($L1149=1,AND(对接源_01水果!$X1149="自备筐",N(对接源_01水果!$V1149)&lt;&gt;0)),1,0)</f>
        <v>0</v>
      </c>
      <c r="W1149" s="1" t="n">
        <f aca="false">N(W1148)+$V1149</f>
        <v>7</v>
      </c>
      <c r="X1149" s="1" t="n">
        <f aca="false">IF(AND($L1149=1,AND(对接源_01水果!$X1149="自备筐",N(对接源_01水果!$T1149)&lt;&gt;0)),1,0)</f>
        <v>0</v>
      </c>
      <c r="Y1149" s="1" t="n">
        <f aca="false">N(Y1148)+$X1149</f>
        <v>0</v>
      </c>
      <c r="Z1149" s="1" t="n">
        <f aca="false">IF(AND($M1149=1,对接源_01水果!$D1149="原料入库"),1,0)</f>
        <v>0</v>
      </c>
      <c r="AA1149" s="1" t="n">
        <f aca="false">N(AA1148)+$Z1149</f>
        <v>30</v>
      </c>
      <c r="AB1149" s="1" t="n">
        <f aca="false">IF(AND($M1149=1,LEFT(对接源_01水果!$D1149,4)="原料出库"),1,0)</f>
        <v>0</v>
      </c>
      <c r="AC1149" s="1" t="n">
        <f aca="false">N(AC1148)+$AB1149</f>
        <v>19</v>
      </c>
      <c r="AD1149" s="1" t="n">
        <f aca="false">IF(AND($M1149=1,LEFT(对接源_01水果!$D1149,4)="成品出库"),1,0)</f>
        <v>0</v>
      </c>
      <c r="AE1149" s="1" t="n">
        <f aca="false">N(AE1148)+$AD1149</f>
        <v>38</v>
      </c>
      <c r="AF1149" s="1" t="n">
        <f aca="false">IF(AND($N1149=1,AND(LEFT(对接源_01水果!$D1149,4)="包装物料",N(对接源_01水果!$K1149)&lt;&gt;0)),1,0)</f>
        <v>0</v>
      </c>
      <c r="AG1149" s="90" t="str">
        <f aca="false">IF(对接源_01水果!$AC1149="","",对接源_01水果!$AC1149)</f>
        <v/>
      </c>
      <c r="AH1149" s="1" t="n">
        <f aca="false">IF(AND($N1149=1,AND(LEFT(对接源_01水果!$D1149,3)="周转筐",N(对接源_01水果!$K1149)&lt;&gt;0)),1,0)</f>
        <v>0</v>
      </c>
      <c r="AI1149" s="90" t="n">
        <f aca="false">IF(AG1149="",0,IF(MATCH(AG1149,$AG$4:$AG$1203,0)=ROW()-3,1,0))</f>
        <v>0</v>
      </c>
      <c r="AJ1149" s="90" t="n">
        <f aca="false">N(AJ1148)+AI1149</f>
        <v>4</v>
      </c>
      <c r="AK1149" s="1" t="n">
        <f aca="false">N(AK1148)+$AJ1149</f>
        <v>3456</v>
      </c>
    </row>
    <row r="1150" customFormat="false" ht="13.5" hidden="false" customHeight="false" outlineLevel="0" collapsed="false">
      <c r="A1150" s="1" t="str">
        <f aca="false">IF(对接源_01水果!$C1150="","",对接源_01水果!$C1150)</f>
        <v/>
      </c>
      <c r="B1150" s="1" t="n">
        <f aca="false">IF(A1150="",0,IF(MATCH(A1150,$A$4:$A$2403,0)=ROW()-3,1,0))</f>
        <v>0</v>
      </c>
      <c r="C1150" s="1" t="n">
        <f aca="false">N(C1149)+B1150</f>
        <v>13</v>
      </c>
      <c r="K1150" s="1" t="n">
        <f aca="false">IF(OR($K$1="",对接源_01水果!$C1150="",对接源_01水果!$C1150&lt;&gt;$K$1,对接源_01水果!$B1150=""),0,IF(OR(N(对接源_01水果!$B1150)&lt;$K$2,N(对接源_01水果!$B1150)&gt;$K$3),0,1))</f>
        <v>0</v>
      </c>
      <c r="L1150" s="1" t="n">
        <f aca="false">IF(OR($L$1="",对接源_01水果!$C1150="",对接源_01水果!$C1150&lt;&gt;$L$1,对接源_01水果!$B1150=""),0,IF(OR(N(对接源_01水果!$B1150)&lt;$L$2,N(对接源_01水果!$B1150)&gt;$L$3),0,1))</f>
        <v>0</v>
      </c>
      <c r="M1150" s="1" t="n">
        <f aca="false">IF(OR($M$1="",对接源_01水果!$C1150="",对接源_01水果!$C1150&lt;&gt;$M$1,对接源_01水果!$B1150=""),0,IF(OR(N(对接源_01水果!$B1150)&lt;$M$2,N(对接源_01水果!$B1150)&gt;$M$3),0,1))</f>
        <v>0</v>
      </c>
      <c r="N1150" s="1" t="n">
        <f aca="false">IF(OR($N$1="",对接源_01水果!$C1150="",对接源_01水果!$C1150&lt;&gt;$N$1,对接源_01水果!$B1150=""),0,IF(OR(N(对接源_01水果!$B1150)&lt;$N$2,N(对接源_01水果!$B1150)&gt;$N$3),0,1))</f>
        <v>0</v>
      </c>
      <c r="P1150" s="1" t="n">
        <f aca="false">IF(AND($K1150=1,AND(对接源_01水果!$X1150="公司筐",N(对接源_01水果!$T1150)&lt;&gt;0)),1,0)</f>
        <v>0</v>
      </c>
      <c r="Q1150" s="1" t="n">
        <f aca="false">N(Q1149)+$P1150</f>
        <v>3</v>
      </c>
      <c r="R1150" s="1" t="n">
        <f aca="false">IF(AND($K1150=1,AND(对接源_01水果!$X1150="公司筐",N(对接源_01水果!$U1150)&lt;&gt;0)),1,0)</f>
        <v>0</v>
      </c>
      <c r="S1150" s="1" t="n">
        <f aca="false">N(S1149)+$R1150</f>
        <v>0</v>
      </c>
      <c r="T1150" s="1" t="n">
        <f aca="false">IF(AND($K1150=1,AND(对接源_01水果!$X1150="公司筐",N(对接源_01水果!$V1150)&lt;&gt;0)),1,0)</f>
        <v>0</v>
      </c>
      <c r="U1150" s="1" t="n">
        <f aca="false">N(U1149)+$T1150</f>
        <v>28</v>
      </c>
      <c r="V1150" s="1" t="n">
        <f aca="false">IF(AND($L1150=1,AND(对接源_01水果!$X1150="自备筐",N(对接源_01水果!$V1150)&lt;&gt;0)),1,0)</f>
        <v>0</v>
      </c>
      <c r="W1150" s="1" t="n">
        <f aca="false">N(W1149)+$V1150</f>
        <v>7</v>
      </c>
      <c r="X1150" s="1" t="n">
        <f aca="false">IF(AND($L1150=1,AND(对接源_01水果!$X1150="自备筐",N(对接源_01水果!$T1150)&lt;&gt;0)),1,0)</f>
        <v>0</v>
      </c>
      <c r="Y1150" s="1" t="n">
        <f aca="false">N(Y1149)+$X1150</f>
        <v>0</v>
      </c>
      <c r="Z1150" s="1" t="n">
        <f aca="false">IF(AND($M1150=1,对接源_01水果!$D1150="原料入库"),1,0)</f>
        <v>0</v>
      </c>
      <c r="AA1150" s="1" t="n">
        <f aca="false">N(AA1149)+$Z1150</f>
        <v>30</v>
      </c>
      <c r="AB1150" s="1" t="n">
        <f aca="false">IF(AND($M1150=1,LEFT(对接源_01水果!$D1150,4)="原料出库"),1,0)</f>
        <v>0</v>
      </c>
      <c r="AC1150" s="1" t="n">
        <f aca="false">N(AC1149)+$AB1150</f>
        <v>19</v>
      </c>
      <c r="AD1150" s="1" t="n">
        <f aca="false">IF(AND($M1150=1,LEFT(对接源_01水果!$D1150,4)="成品出库"),1,0)</f>
        <v>0</v>
      </c>
      <c r="AE1150" s="1" t="n">
        <f aca="false">N(AE1149)+$AD1150</f>
        <v>38</v>
      </c>
      <c r="AF1150" s="1" t="n">
        <f aca="false">IF(AND($N1150=1,AND(LEFT(对接源_01水果!$D1150,4)="包装物料",N(对接源_01水果!$K1150)&lt;&gt;0)),1,0)</f>
        <v>0</v>
      </c>
      <c r="AG1150" s="90" t="str">
        <f aca="false">IF(对接源_01水果!$AC1150="","",对接源_01水果!$AC1150)</f>
        <v/>
      </c>
      <c r="AH1150" s="1" t="n">
        <f aca="false">IF(AND($N1150=1,AND(LEFT(对接源_01水果!$D1150,3)="周转筐",N(对接源_01水果!$K1150)&lt;&gt;0)),1,0)</f>
        <v>0</v>
      </c>
      <c r="AI1150" s="90" t="n">
        <f aca="false">IF(AG1150="",0,IF(MATCH(AG1150,$AG$4:$AG$1203,0)=ROW()-3,1,0))</f>
        <v>0</v>
      </c>
      <c r="AJ1150" s="90" t="n">
        <f aca="false">N(AJ1149)+AI1150</f>
        <v>4</v>
      </c>
      <c r="AK1150" s="1" t="n">
        <f aca="false">N(AK1149)+$AJ1150</f>
        <v>3460</v>
      </c>
    </row>
    <row r="1151" customFormat="false" ht="13.5" hidden="false" customHeight="false" outlineLevel="0" collapsed="false">
      <c r="A1151" s="1" t="str">
        <f aca="false">IF(对接源_01水果!$C1151="","",对接源_01水果!$C1151)</f>
        <v/>
      </c>
      <c r="B1151" s="1" t="n">
        <f aca="false">IF(A1151="",0,IF(MATCH(A1151,$A$4:$A$2403,0)=ROW()-3,1,0))</f>
        <v>0</v>
      </c>
      <c r="C1151" s="1" t="n">
        <f aca="false">N(C1150)+B1151</f>
        <v>13</v>
      </c>
      <c r="K1151" s="1" t="n">
        <f aca="false">IF(OR($K$1="",对接源_01水果!$C1151="",对接源_01水果!$C1151&lt;&gt;$K$1,对接源_01水果!$B1151=""),0,IF(OR(N(对接源_01水果!$B1151)&lt;$K$2,N(对接源_01水果!$B1151)&gt;$K$3),0,1))</f>
        <v>0</v>
      </c>
      <c r="L1151" s="1" t="n">
        <f aca="false">IF(OR($L$1="",对接源_01水果!$C1151="",对接源_01水果!$C1151&lt;&gt;$L$1,对接源_01水果!$B1151=""),0,IF(OR(N(对接源_01水果!$B1151)&lt;$L$2,N(对接源_01水果!$B1151)&gt;$L$3),0,1))</f>
        <v>0</v>
      </c>
      <c r="M1151" s="1" t="n">
        <f aca="false">IF(OR($M$1="",对接源_01水果!$C1151="",对接源_01水果!$C1151&lt;&gt;$M$1,对接源_01水果!$B1151=""),0,IF(OR(N(对接源_01水果!$B1151)&lt;$M$2,N(对接源_01水果!$B1151)&gt;$M$3),0,1))</f>
        <v>0</v>
      </c>
      <c r="N1151" s="1" t="n">
        <f aca="false">IF(OR($N$1="",对接源_01水果!$C1151="",对接源_01水果!$C1151&lt;&gt;$N$1,对接源_01水果!$B1151=""),0,IF(OR(N(对接源_01水果!$B1151)&lt;$N$2,N(对接源_01水果!$B1151)&gt;$N$3),0,1))</f>
        <v>0</v>
      </c>
      <c r="P1151" s="1" t="n">
        <f aca="false">IF(AND($K1151=1,AND(对接源_01水果!$X1151="公司筐",N(对接源_01水果!$T1151)&lt;&gt;0)),1,0)</f>
        <v>0</v>
      </c>
      <c r="Q1151" s="1" t="n">
        <f aca="false">N(Q1150)+$P1151</f>
        <v>3</v>
      </c>
      <c r="R1151" s="1" t="n">
        <f aca="false">IF(AND($K1151=1,AND(对接源_01水果!$X1151="公司筐",N(对接源_01水果!$U1151)&lt;&gt;0)),1,0)</f>
        <v>0</v>
      </c>
      <c r="S1151" s="1" t="n">
        <f aca="false">N(S1150)+$R1151</f>
        <v>0</v>
      </c>
      <c r="T1151" s="1" t="n">
        <f aca="false">IF(AND($K1151=1,AND(对接源_01水果!$X1151="公司筐",N(对接源_01水果!$V1151)&lt;&gt;0)),1,0)</f>
        <v>0</v>
      </c>
      <c r="U1151" s="1" t="n">
        <f aca="false">N(U1150)+$T1151</f>
        <v>28</v>
      </c>
      <c r="V1151" s="1" t="n">
        <f aca="false">IF(AND($L1151=1,AND(对接源_01水果!$X1151="自备筐",N(对接源_01水果!$V1151)&lt;&gt;0)),1,0)</f>
        <v>0</v>
      </c>
      <c r="W1151" s="1" t="n">
        <f aca="false">N(W1150)+$V1151</f>
        <v>7</v>
      </c>
      <c r="X1151" s="1" t="n">
        <f aca="false">IF(AND($L1151=1,AND(对接源_01水果!$X1151="自备筐",N(对接源_01水果!$T1151)&lt;&gt;0)),1,0)</f>
        <v>0</v>
      </c>
      <c r="Y1151" s="1" t="n">
        <f aca="false">N(Y1150)+$X1151</f>
        <v>0</v>
      </c>
      <c r="Z1151" s="1" t="n">
        <f aca="false">IF(AND($M1151=1,对接源_01水果!$D1151="原料入库"),1,0)</f>
        <v>0</v>
      </c>
      <c r="AA1151" s="1" t="n">
        <f aca="false">N(AA1150)+$Z1151</f>
        <v>30</v>
      </c>
      <c r="AB1151" s="1" t="n">
        <f aca="false">IF(AND($M1151=1,LEFT(对接源_01水果!$D1151,4)="原料出库"),1,0)</f>
        <v>0</v>
      </c>
      <c r="AC1151" s="1" t="n">
        <f aca="false">N(AC1150)+$AB1151</f>
        <v>19</v>
      </c>
      <c r="AD1151" s="1" t="n">
        <f aca="false">IF(AND($M1151=1,LEFT(对接源_01水果!$D1151,4)="成品出库"),1,0)</f>
        <v>0</v>
      </c>
      <c r="AE1151" s="1" t="n">
        <f aca="false">N(AE1150)+$AD1151</f>
        <v>38</v>
      </c>
      <c r="AF1151" s="1" t="n">
        <f aca="false">IF(AND($N1151=1,AND(LEFT(对接源_01水果!$D1151,4)="包装物料",N(对接源_01水果!$K1151)&lt;&gt;0)),1,0)</f>
        <v>0</v>
      </c>
      <c r="AG1151" s="90" t="str">
        <f aca="false">IF(对接源_01水果!$AC1151="","",对接源_01水果!$AC1151)</f>
        <v/>
      </c>
      <c r="AH1151" s="1" t="n">
        <f aca="false">IF(AND($N1151=1,AND(LEFT(对接源_01水果!$D1151,3)="周转筐",N(对接源_01水果!$K1151)&lt;&gt;0)),1,0)</f>
        <v>0</v>
      </c>
      <c r="AI1151" s="90" t="n">
        <f aca="false">IF(AG1151="",0,IF(MATCH(AG1151,$AG$4:$AG$1203,0)=ROW()-3,1,0))</f>
        <v>0</v>
      </c>
      <c r="AJ1151" s="90" t="n">
        <f aca="false">N(AJ1150)+AI1151</f>
        <v>4</v>
      </c>
      <c r="AK1151" s="1" t="n">
        <f aca="false">N(AK1150)+$AJ1151</f>
        <v>3464</v>
      </c>
    </row>
    <row r="1152" customFormat="false" ht="13.5" hidden="false" customHeight="false" outlineLevel="0" collapsed="false">
      <c r="A1152" s="1" t="str">
        <f aca="false">IF(对接源_01水果!$C1152="","",对接源_01水果!$C1152)</f>
        <v/>
      </c>
      <c r="B1152" s="1" t="n">
        <f aca="false">IF(A1152="",0,IF(MATCH(A1152,$A$4:$A$2403,0)=ROW()-3,1,0))</f>
        <v>0</v>
      </c>
      <c r="C1152" s="1" t="n">
        <f aca="false">N(C1151)+B1152</f>
        <v>13</v>
      </c>
      <c r="K1152" s="1" t="n">
        <f aca="false">IF(OR($K$1="",对接源_01水果!$C1152="",对接源_01水果!$C1152&lt;&gt;$K$1,对接源_01水果!$B1152=""),0,IF(OR(N(对接源_01水果!$B1152)&lt;$K$2,N(对接源_01水果!$B1152)&gt;$K$3),0,1))</f>
        <v>0</v>
      </c>
      <c r="L1152" s="1" t="n">
        <f aca="false">IF(OR($L$1="",对接源_01水果!$C1152="",对接源_01水果!$C1152&lt;&gt;$L$1,对接源_01水果!$B1152=""),0,IF(OR(N(对接源_01水果!$B1152)&lt;$L$2,N(对接源_01水果!$B1152)&gt;$L$3),0,1))</f>
        <v>0</v>
      </c>
      <c r="M1152" s="1" t="n">
        <f aca="false">IF(OR($M$1="",对接源_01水果!$C1152="",对接源_01水果!$C1152&lt;&gt;$M$1,对接源_01水果!$B1152=""),0,IF(OR(N(对接源_01水果!$B1152)&lt;$M$2,N(对接源_01水果!$B1152)&gt;$M$3),0,1))</f>
        <v>0</v>
      </c>
      <c r="N1152" s="1" t="n">
        <f aca="false">IF(OR($N$1="",对接源_01水果!$C1152="",对接源_01水果!$C1152&lt;&gt;$N$1,对接源_01水果!$B1152=""),0,IF(OR(N(对接源_01水果!$B1152)&lt;$N$2,N(对接源_01水果!$B1152)&gt;$N$3),0,1))</f>
        <v>0</v>
      </c>
      <c r="P1152" s="1" t="n">
        <f aca="false">IF(AND($K1152=1,AND(对接源_01水果!$X1152="公司筐",N(对接源_01水果!$T1152)&lt;&gt;0)),1,0)</f>
        <v>0</v>
      </c>
      <c r="Q1152" s="1" t="n">
        <f aca="false">N(Q1151)+$P1152</f>
        <v>3</v>
      </c>
      <c r="R1152" s="1" t="n">
        <f aca="false">IF(AND($K1152=1,AND(对接源_01水果!$X1152="公司筐",N(对接源_01水果!$U1152)&lt;&gt;0)),1,0)</f>
        <v>0</v>
      </c>
      <c r="S1152" s="1" t="n">
        <f aca="false">N(S1151)+$R1152</f>
        <v>0</v>
      </c>
      <c r="T1152" s="1" t="n">
        <f aca="false">IF(AND($K1152=1,AND(对接源_01水果!$X1152="公司筐",N(对接源_01水果!$V1152)&lt;&gt;0)),1,0)</f>
        <v>0</v>
      </c>
      <c r="U1152" s="1" t="n">
        <f aca="false">N(U1151)+$T1152</f>
        <v>28</v>
      </c>
      <c r="V1152" s="1" t="n">
        <f aca="false">IF(AND($L1152=1,AND(对接源_01水果!$X1152="自备筐",N(对接源_01水果!$V1152)&lt;&gt;0)),1,0)</f>
        <v>0</v>
      </c>
      <c r="W1152" s="1" t="n">
        <f aca="false">N(W1151)+$V1152</f>
        <v>7</v>
      </c>
      <c r="X1152" s="1" t="n">
        <f aca="false">IF(AND($L1152=1,AND(对接源_01水果!$X1152="自备筐",N(对接源_01水果!$T1152)&lt;&gt;0)),1,0)</f>
        <v>0</v>
      </c>
      <c r="Y1152" s="1" t="n">
        <f aca="false">N(Y1151)+$X1152</f>
        <v>0</v>
      </c>
      <c r="Z1152" s="1" t="n">
        <f aca="false">IF(AND($M1152=1,对接源_01水果!$D1152="原料入库"),1,0)</f>
        <v>0</v>
      </c>
      <c r="AA1152" s="1" t="n">
        <f aca="false">N(AA1151)+$Z1152</f>
        <v>30</v>
      </c>
      <c r="AB1152" s="1" t="n">
        <f aca="false">IF(AND($M1152=1,LEFT(对接源_01水果!$D1152,4)="原料出库"),1,0)</f>
        <v>0</v>
      </c>
      <c r="AC1152" s="1" t="n">
        <f aca="false">N(AC1151)+$AB1152</f>
        <v>19</v>
      </c>
      <c r="AD1152" s="1" t="n">
        <f aca="false">IF(AND($M1152=1,LEFT(对接源_01水果!$D1152,4)="成品出库"),1,0)</f>
        <v>0</v>
      </c>
      <c r="AE1152" s="1" t="n">
        <f aca="false">N(AE1151)+$AD1152</f>
        <v>38</v>
      </c>
      <c r="AF1152" s="1" t="n">
        <f aca="false">IF(AND($N1152=1,AND(LEFT(对接源_01水果!$D1152,4)="包装物料",N(对接源_01水果!$K1152)&lt;&gt;0)),1,0)</f>
        <v>0</v>
      </c>
      <c r="AG1152" s="90" t="str">
        <f aca="false">IF(对接源_01水果!$AC1152="","",对接源_01水果!$AC1152)</f>
        <v/>
      </c>
      <c r="AH1152" s="1" t="n">
        <f aca="false">IF(AND($N1152=1,AND(LEFT(对接源_01水果!$D1152,3)="周转筐",N(对接源_01水果!$K1152)&lt;&gt;0)),1,0)</f>
        <v>0</v>
      </c>
      <c r="AI1152" s="90" t="n">
        <f aca="false">IF(AG1152="",0,IF(MATCH(AG1152,$AG$4:$AG$1203,0)=ROW()-3,1,0))</f>
        <v>0</v>
      </c>
      <c r="AJ1152" s="90" t="n">
        <f aca="false">N(AJ1151)+AI1152</f>
        <v>4</v>
      </c>
      <c r="AK1152" s="1" t="n">
        <f aca="false">N(AK1151)+$AJ1152</f>
        <v>3468</v>
      </c>
    </row>
    <row r="1153" customFormat="false" ht="13.5" hidden="false" customHeight="false" outlineLevel="0" collapsed="false">
      <c r="A1153" s="1" t="str">
        <f aca="false">IF(对接源_01水果!$C1153="","",对接源_01水果!$C1153)</f>
        <v/>
      </c>
      <c r="B1153" s="1" t="n">
        <f aca="false">IF(A1153="",0,IF(MATCH(A1153,$A$4:$A$2403,0)=ROW()-3,1,0))</f>
        <v>0</v>
      </c>
      <c r="C1153" s="1" t="n">
        <f aca="false">N(C1152)+B1153</f>
        <v>13</v>
      </c>
      <c r="K1153" s="1" t="n">
        <f aca="false">IF(OR($K$1="",对接源_01水果!$C1153="",对接源_01水果!$C1153&lt;&gt;$K$1,对接源_01水果!$B1153=""),0,IF(OR(N(对接源_01水果!$B1153)&lt;$K$2,N(对接源_01水果!$B1153)&gt;$K$3),0,1))</f>
        <v>0</v>
      </c>
      <c r="L1153" s="1" t="n">
        <f aca="false">IF(OR($L$1="",对接源_01水果!$C1153="",对接源_01水果!$C1153&lt;&gt;$L$1,对接源_01水果!$B1153=""),0,IF(OR(N(对接源_01水果!$B1153)&lt;$L$2,N(对接源_01水果!$B1153)&gt;$L$3),0,1))</f>
        <v>0</v>
      </c>
      <c r="M1153" s="1" t="n">
        <f aca="false">IF(OR($M$1="",对接源_01水果!$C1153="",对接源_01水果!$C1153&lt;&gt;$M$1,对接源_01水果!$B1153=""),0,IF(OR(N(对接源_01水果!$B1153)&lt;$M$2,N(对接源_01水果!$B1153)&gt;$M$3),0,1))</f>
        <v>0</v>
      </c>
      <c r="N1153" s="1" t="n">
        <f aca="false">IF(OR($N$1="",对接源_01水果!$C1153="",对接源_01水果!$C1153&lt;&gt;$N$1,对接源_01水果!$B1153=""),0,IF(OR(N(对接源_01水果!$B1153)&lt;$N$2,N(对接源_01水果!$B1153)&gt;$N$3),0,1))</f>
        <v>0</v>
      </c>
      <c r="P1153" s="1" t="n">
        <f aca="false">IF(AND($K1153=1,AND(对接源_01水果!$X1153="公司筐",N(对接源_01水果!$T1153)&lt;&gt;0)),1,0)</f>
        <v>0</v>
      </c>
      <c r="Q1153" s="1" t="n">
        <f aca="false">N(Q1152)+$P1153</f>
        <v>3</v>
      </c>
      <c r="R1153" s="1" t="n">
        <f aca="false">IF(AND($K1153=1,AND(对接源_01水果!$X1153="公司筐",N(对接源_01水果!$U1153)&lt;&gt;0)),1,0)</f>
        <v>0</v>
      </c>
      <c r="S1153" s="1" t="n">
        <f aca="false">N(S1152)+$R1153</f>
        <v>0</v>
      </c>
      <c r="T1153" s="1" t="n">
        <f aca="false">IF(AND($K1153=1,AND(对接源_01水果!$X1153="公司筐",N(对接源_01水果!$V1153)&lt;&gt;0)),1,0)</f>
        <v>0</v>
      </c>
      <c r="U1153" s="1" t="n">
        <f aca="false">N(U1152)+$T1153</f>
        <v>28</v>
      </c>
      <c r="V1153" s="1" t="n">
        <f aca="false">IF(AND($L1153=1,AND(对接源_01水果!$X1153="自备筐",N(对接源_01水果!$V1153)&lt;&gt;0)),1,0)</f>
        <v>0</v>
      </c>
      <c r="W1153" s="1" t="n">
        <f aca="false">N(W1152)+$V1153</f>
        <v>7</v>
      </c>
      <c r="X1153" s="1" t="n">
        <f aca="false">IF(AND($L1153=1,AND(对接源_01水果!$X1153="自备筐",N(对接源_01水果!$T1153)&lt;&gt;0)),1,0)</f>
        <v>0</v>
      </c>
      <c r="Y1153" s="1" t="n">
        <f aca="false">N(Y1152)+$X1153</f>
        <v>0</v>
      </c>
      <c r="Z1153" s="1" t="n">
        <f aca="false">IF(AND($M1153=1,对接源_01水果!$D1153="原料入库"),1,0)</f>
        <v>0</v>
      </c>
      <c r="AA1153" s="1" t="n">
        <f aca="false">N(AA1152)+$Z1153</f>
        <v>30</v>
      </c>
      <c r="AB1153" s="1" t="n">
        <f aca="false">IF(AND($M1153=1,LEFT(对接源_01水果!$D1153,4)="原料出库"),1,0)</f>
        <v>0</v>
      </c>
      <c r="AC1153" s="1" t="n">
        <f aca="false">N(AC1152)+$AB1153</f>
        <v>19</v>
      </c>
      <c r="AD1153" s="1" t="n">
        <f aca="false">IF(AND($M1153=1,LEFT(对接源_01水果!$D1153,4)="成品出库"),1,0)</f>
        <v>0</v>
      </c>
      <c r="AE1153" s="1" t="n">
        <f aca="false">N(AE1152)+$AD1153</f>
        <v>38</v>
      </c>
      <c r="AF1153" s="1" t="n">
        <f aca="false">IF(AND($N1153=1,AND(LEFT(对接源_01水果!$D1153,4)="包装物料",N(对接源_01水果!$K1153)&lt;&gt;0)),1,0)</f>
        <v>0</v>
      </c>
      <c r="AG1153" s="90" t="str">
        <f aca="false">IF(对接源_01水果!$AC1153="","",对接源_01水果!$AC1153)</f>
        <v/>
      </c>
      <c r="AH1153" s="1" t="n">
        <f aca="false">IF(AND($N1153=1,AND(LEFT(对接源_01水果!$D1153,3)="周转筐",N(对接源_01水果!$K1153)&lt;&gt;0)),1,0)</f>
        <v>0</v>
      </c>
      <c r="AI1153" s="90" t="n">
        <f aca="false">IF(AG1153="",0,IF(MATCH(AG1153,$AG$4:$AG$1203,0)=ROW()-3,1,0))</f>
        <v>0</v>
      </c>
      <c r="AJ1153" s="90" t="n">
        <f aca="false">N(AJ1152)+AI1153</f>
        <v>4</v>
      </c>
      <c r="AK1153" s="1" t="n">
        <f aca="false">N(AK1152)+$AJ1153</f>
        <v>3472</v>
      </c>
    </row>
    <row r="1154" customFormat="false" ht="13.5" hidden="false" customHeight="false" outlineLevel="0" collapsed="false">
      <c r="A1154" s="1" t="str">
        <f aca="false">IF(对接源_01水果!$C1154="","",对接源_01水果!$C1154)</f>
        <v/>
      </c>
      <c r="B1154" s="1" t="n">
        <f aca="false">IF(A1154="",0,IF(MATCH(A1154,$A$4:$A$2403,0)=ROW()-3,1,0))</f>
        <v>0</v>
      </c>
      <c r="C1154" s="1" t="n">
        <f aca="false">N(C1153)+B1154</f>
        <v>13</v>
      </c>
      <c r="K1154" s="1" t="n">
        <f aca="false">IF(OR($K$1="",对接源_01水果!$C1154="",对接源_01水果!$C1154&lt;&gt;$K$1,对接源_01水果!$B1154=""),0,IF(OR(N(对接源_01水果!$B1154)&lt;$K$2,N(对接源_01水果!$B1154)&gt;$K$3),0,1))</f>
        <v>0</v>
      </c>
      <c r="L1154" s="1" t="n">
        <f aca="false">IF(OR($L$1="",对接源_01水果!$C1154="",对接源_01水果!$C1154&lt;&gt;$L$1,对接源_01水果!$B1154=""),0,IF(OR(N(对接源_01水果!$B1154)&lt;$L$2,N(对接源_01水果!$B1154)&gt;$L$3),0,1))</f>
        <v>0</v>
      </c>
      <c r="M1154" s="1" t="n">
        <f aca="false">IF(OR($M$1="",对接源_01水果!$C1154="",对接源_01水果!$C1154&lt;&gt;$M$1,对接源_01水果!$B1154=""),0,IF(OR(N(对接源_01水果!$B1154)&lt;$M$2,N(对接源_01水果!$B1154)&gt;$M$3),0,1))</f>
        <v>0</v>
      </c>
      <c r="N1154" s="1" t="n">
        <f aca="false">IF(OR($N$1="",对接源_01水果!$C1154="",对接源_01水果!$C1154&lt;&gt;$N$1,对接源_01水果!$B1154=""),0,IF(OR(N(对接源_01水果!$B1154)&lt;$N$2,N(对接源_01水果!$B1154)&gt;$N$3),0,1))</f>
        <v>0</v>
      </c>
      <c r="P1154" s="1" t="n">
        <f aca="false">IF(AND($K1154=1,AND(对接源_01水果!$X1154="公司筐",N(对接源_01水果!$T1154)&lt;&gt;0)),1,0)</f>
        <v>0</v>
      </c>
      <c r="Q1154" s="1" t="n">
        <f aca="false">N(Q1153)+$P1154</f>
        <v>3</v>
      </c>
      <c r="R1154" s="1" t="n">
        <f aca="false">IF(AND($K1154=1,AND(对接源_01水果!$X1154="公司筐",N(对接源_01水果!$U1154)&lt;&gt;0)),1,0)</f>
        <v>0</v>
      </c>
      <c r="S1154" s="1" t="n">
        <f aca="false">N(S1153)+$R1154</f>
        <v>0</v>
      </c>
      <c r="T1154" s="1" t="n">
        <f aca="false">IF(AND($K1154=1,AND(对接源_01水果!$X1154="公司筐",N(对接源_01水果!$V1154)&lt;&gt;0)),1,0)</f>
        <v>0</v>
      </c>
      <c r="U1154" s="1" t="n">
        <f aca="false">N(U1153)+$T1154</f>
        <v>28</v>
      </c>
      <c r="V1154" s="1" t="n">
        <f aca="false">IF(AND($L1154=1,AND(对接源_01水果!$X1154="自备筐",N(对接源_01水果!$V1154)&lt;&gt;0)),1,0)</f>
        <v>0</v>
      </c>
      <c r="W1154" s="1" t="n">
        <f aca="false">N(W1153)+$V1154</f>
        <v>7</v>
      </c>
      <c r="X1154" s="1" t="n">
        <f aca="false">IF(AND($L1154=1,AND(对接源_01水果!$X1154="自备筐",N(对接源_01水果!$T1154)&lt;&gt;0)),1,0)</f>
        <v>0</v>
      </c>
      <c r="Y1154" s="1" t="n">
        <f aca="false">N(Y1153)+$X1154</f>
        <v>0</v>
      </c>
      <c r="Z1154" s="1" t="n">
        <f aca="false">IF(AND($M1154=1,对接源_01水果!$D1154="原料入库"),1,0)</f>
        <v>0</v>
      </c>
      <c r="AA1154" s="1" t="n">
        <f aca="false">N(AA1153)+$Z1154</f>
        <v>30</v>
      </c>
      <c r="AB1154" s="1" t="n">
        <f aca="false">IF(AND($M1154=1,LEFT(对接源_01水果!$D1154,4)="原料出库"),1,0)</f>
        <v>0</v>
      </c>
      <c r="AC1154" s="1" t="n">
        <f aca="false">N(AC1153)+$AB1154</f>
        <v>19</v>
      </c>
      <c r="AD1154" s="1" t="n">
        <f aca="false">IF(AND($M1154=1,LEFT(对接源_01水果!$D1154,4)="成品出库"),1,0)</f>
        <v>0</v>
      </c>
      <c r="AE1154" s="1" t="n">
        <f aca="false">N(AE1153)+$AD1154</f>
        <v>38</v>
      </c>
      <c r="AF1154" s="1" t="n">
        <f aca="false">IF(AND($N1154=1,AND(LEFT(对接源_01水果!$D1154,4)="包装物料",N(对接源_01水果!$K1154)&lt;&gt;0)),1,0)</f>
        <v>0</v>
      </c>
      <c r="AG1154" s="90" t="str">
        <f aca="false">IF(对接源_01水果!$AC1154="","",对接源_01水果!$AC1154)</f>
        <v/>
      </c>
      <c r="AH1154" s="1" t="n">
        <f aca="false">IF(AND($N1154=1,AND(LEFT(对接源_01水果!$D1154,3)="周转筐",N(对接源_01水果!$K1154)&lt;&gt;0)),1,0)</f>
        <v>0</v>
      </c>
      <c r="AI1154" s="90" t="n">
        <f aca="false">IF(AG1154="",0,IF(MATCH(AG1154,$AG$4:$AG$1203,0)=ROW()-3,1,0))</f>
        <v>0</v>
      </c>
      <c r="AJ1154" s="90" t="n">
        <f aca="false">N(AJ1153)+AI1154</f>
        <v>4</v>
      </c>
      <c r="AK1154" s="1" t="n">
        <f aca="false">N(AK1153)+$AJ1154</f>
        <v>3476</v>
      </c>
    </row>
    <row r="1155" customFormat="false" ht="13.5" hidden="false" customHeight="false" outlineLevel="0" collapsed="false">
      <c r="A1155" s="1" t="str">
        <f aca="false">IF(对接源_01水果!$C1155="","",对接源_01水果!$C1155)</f>
        <v/>
      </c>
      <c r="B1155" s="1" t="n">
        <f aca="false">IF(A1155="",0,IF(MATCH(A1155,$A$4:$A$2403,0)=ROW()-3,1,0))</f>
        <v>0</v>
      </c>
      <c r="C1155" s="1" t="n">
        <f aca="false">N(C1154)+B1155</f>
        <v>13</v>
      </c>
      <c r="K1155" s="1" t="n">
        <f aca="false">IF(OR($K$1="",对接源_01水果!$C1155="",对接源_01水果!$C1155&lt;&gt;$K$1,对接源_01水果!$B1155=""),0,IF(OR(N(对接源_01水果!$B1155)&lt;$K$2,N(对接源_01水果!$B1155)&gt;$K$3),0,1))</f>
        <v>0</v>
      </c>
      <c r="L1155" s="1" t="n">
        <f aca="false">IF(OR($L$1="",对接源_01水果!$C1155="",对接源_01水果!$C1155&lt;&gt;$L$1,对接源_01水果!$B1155=""),0,IF(OR(N(对接源_01水果!$B1155)&lt;$L$2,N(对接源_01水果!$B1155)&gt;$L$3),0,1))</f>
        <v>0</v>
      </c>
      <c r="M1155" s="1" t="n">
        <f aca="false">IF(OR($M$1="",对接源_01水果!$C1155="",对接源_01水果!$C1155&lt;&gt;$M$1,对接源_01水果!$B1155=""),0,IF(OR(N(对接源_01水果!$B1155)&lt;$M$2,N(对接源_01水果!$B1155)&gt;$M$3),0,1))</f>
        <v>0</v>
      </c>
      <c r="N1155" s="1" t="n">
        <f aca="false">IF(OR($N$1="",对接源_01水果!$C1155="",对接源_01水果!$C1155&lt;&gt;$N$1,对接源_01水果!$B1155=""),0,IF(OR(N(对接源_01水果!$B1155)&lt;$N$2,N(对接源_01水果!$B1155)&gt;$N$3),0,1))</f>
        <v>0</v>
      </c>
      <c r="P1155" s="1" t="n">
        <f aca="false">IF(AND($K1155=1,AND(对接源_01水果!$X1155="公司筐",N(对接源_01水果!$T1155)&lt;&gt;0)),1,0)</f>
        <v>0</v>
      </c>
      <c r="Q1155" s="1" t="n">
        <f aca="false">N(Q1154)+$P1155</f>
        <v>3</v>
      </c>
      <c r="R1155" s="1" t="n">
        <f aca="false">IF(AND($K1155=1,AND(对接源_01水果!$X1155="公司筐",N(对接源_01水果!$U1155)&lt;&gt;0)),1,0)</f>
        <v>0</v>
      </c>
      <c r="S1155" s="1" t="n">
        <f aca="false">N(S1154)+$R1155</f>
        <v>0</v>
      </c>
      <c r="T1155" s="1" t="n">
        <f aca="false">IF(AND($K1155=1,AND(对接源_01水果!$X1155="公司筐",N(对接源_01水果!$V1155)&lt;&gt;0)),1,0)</f>
        <v>0</v>
      </c>
      <c r="U1155" s="1" t="n">
        <f aca="false">N(U1154)+$T1155</f>
        <v>28</v>
      </c>
      <c r="V1155" s="1" t="n">
        <f aca="false">IF(AND($L1155=1,AND(对接源_01水果!$X1155="自备筐",N(对接源_01水果!$V1155)&lt;&gt;0)),1,0)</f>
        <v>0</v>
      </c>
      <c r="W1155" s="1" t="n">
        <f aca="false">N(W1154)+$V1155</f>
        <v>7</v>
      </c>
      <c r="X1155" s="1" t="n">
        <f aca="false">IF(AND($L1155=1,AND(对接源_01水果!$X1155="自备筐",N(对接源_01水果!$T1155)&lt;&gt;0)),1,0)</f>
        <v>0</v>
      </c>
      <c r="Y1155" s="1" t="n">
        <f aca="false">N(Y1154)+$X1155</f>
        <v>0</v>
      </c>
      <c r="Z1155" s="1" t="n">
        <f aca="false">IF(AND($M1155=1,对接源_01水果!$D1155="原料入库"),1,0)</f>
        <v>0</v>
      </c>
      <c r="AA1155" s="1" t="n">
        <f aca="false">N(AA1154)+$Z1155</f>
        <v>30</v>
      </c>
      <c r="AB1155" s="1" t="n">
        <f aca="false">IF(AND($M1155=1,LEFT(对接源_01水果!$D1155,4)="原料出库"),1,0)</f>
        <v>0</v>
      </c>
      <c r="AC1155" s="1" t="n">
        <f aca="false">N(AC1154)+$AB1155</f>
        <v>19</v>
      </c>
      <c r="AD1155" s="1" t="n">
        <f aca="false">IF(AND($M1155=1,LEFT(对接源_01水果!$D1155,4)="成品出库"),1,0)</f>
        <v>0</v>
      </c>
      <c r="AE1155" s="1" t="n">
        <f aca="false">N(AE1154)+$AD1155</f>
        <v>38</v>
      </c>
      <c r="AF1155" s="1" t="n">
        <f aca="false">IF(AND($N1155=1,AND(LEFT(对接源_01水果!$D1155,4)="包装物料",N(对接源_01水果!$K1155)&lt;&gt;0)),1,0)</f>
        <v>0</v>
      </c>
      <c r="AG1155" s="90" t="str">
        <f aca="false">IF(对接源_01水果!$AC1155="","",对接源_01水果!$AC1155)</f>
        <v/>
      </c>
      <c r="AH1155" s="1" t="n">
        <f aca="false">IF(AND($N1155=1,AND(LEFT(对接源_01水果!$D1155,3)="周转筐",N(对接源_01水果!$K1155)&lt;&gt;0)),1,0)</f>
        <v>0</v>
      </c>
      <c r="AI1155" s="90" t="n">
        <f aca="false">IF(AG1155="",0,IF(MATCH(AG1155,$AG$4:$AG$1203,0)=ROW()-3,1,0))</f>
        <v>0</v>
      </c>
      <c r="AJ1155" s="90" t="n">
        <f aca="false">N(AJ1154)+AI1155</f>
        <v>4</v>
      </c>
      <c r="AK1155" s="1" t="n">
        <f aca="false">N(AK1154)+$AJ1155</f>
        <v>3480</v>
      </c>
    </row>
    <row r="1156" customFormat="false" ht="13.5" hidden="false" customHeight="false" outlineLevel="0" collapsed="false">
      <c r="A1156" s="1" t="str">
        <f aca="false">IF(对接源_01水果!$C1156="","",对接源_01水果!$C1156)</f>
        <v/>
      </c>
      <c r="B1156" s="1" t="n">
        <f aca="false">IF(A1156="",0,IF(MATCH(A1156,$A$4:$A$2403,0)=ROW()-3,1,0))</f>
        <v>0</v>
      </c>
      <c r="C1156" s="1" t="n">
        <f aca="false">N(C1155)+B1156</f>
        <v>13</v>
      </c>
      <c r="K1156" s="1" t="n">
        <f aca="false">IF(OR($K$1="",对接源_01水果!$C1156="",对接源_01水果!$C1156&lt;&gt;$K$1,对接源_01水果!$B1156=""),0,IF(OR(N(对接源_01水果!$B1156)&lt;$K$2,N(对接源_01水果!$B1156)&gt;$K$3),0,1))</f>
        <v>0</v>
      </c>
      <c r="L1156" s="1" t="n">
        <f aca="false">IF(OR($L$1="",对接源_01水果!$C1156="",对接源_01水果!$C1156&lt;&gt;$L$1,对接源_01水果!$B1156=""),0,IF(OR(N(对接源_01水果!$B1156)&lt;$L$2,N(对接源_01水果!$B1156)&gt;$L$3),0,1))</f>
        <v>0</v>
      </c>
      <c r="M1156" s="1" t="n">
        <f aca="false">IF(OR($M$1="",对接源_01水果!$C1156="",对接源_01水果!$C1156&lt;&gt;$M$1,对接源_01水果!$B1156=""),0,IF(OR(N(对接源_01水果!$B1156)&lt;$M$2,N(对接源_01水果!$B1156)&gt;$M$3),0,1))</f>
        <v>0</v>
      </c>
      <c r="N1156" s="1" t="n">
        <f aca="false">IF(OR($N$1="",对接源_01水果!$C1156="",对接源_01水果!$C1156&lt;&gt;$N$1,对接源_01水果!$B1156=""),0,IF(OR(N(对接源_01水果!$B1156)&lt;$N$2,N(对接源_01水果!$B1156)&gt;$N$3),0,1))</f>
        <v>0</v>
      </c>
      <c r="P1156" s="1" t="n">
        <f aca="false">IF(AND($K1156=1,AND(对接源_01水果!$X1156="公司筐",N(对接源_01水果!$T1156)&lt;&gt;0)),1,0)</f>
        <v>0</v>
      </c>
      <c r="Q1156" s="1" t="n">
        <f aca="false">N(Q1155)+$P1156</f>
        <v>3</v>
      </c>
      <c r="R1156" s="1" t="n">
        <f aca="false">IF(AND($K1156=1,AND(对接源_01水果!$X1156="公司筐",N(对接源_01水果!$U1156)&lt;&gt;0)),1,0)</f>
        <v>0</v>
      </c>
      <c r="S1156" s="1" t="n">
        <f aca="false">N(S1155)+$R1156</f>
        <v>0</v>
      </c>
      <c r="T1156" s="1" t="n">
        <f aca="false">IF(AND($K1156=1,AND(对接源_01水果!$X1156="公司筐",N(对接源_01水果!$V1156)&lt;&gt;0)),1,0)</f>
        <v>0</v>
      </c>
      <c r="U1156" s="1" t="n">
        <f aca="false">N(U1155)+$T1156</f>
        <v>28</v>
      </c>
      <c r="V1156" s="1" t="n">
        <f aca="false">IF(AND($L1156=1,AND(对接源_01水果!$X1156="自备筐",N(对接源_01水果!$V1156)&lt;&gt;0)),1,0)</f>
        <v>0</v>
      </c>
      <c r="W1156" s="1" t="n">
        <f aca="false">N(W1155)+$V1156</f>
        <v>7</v>
      </c>
      <c r="X1156" s="1" t="n">
        <f aca="false">IF(AND($L1156=1,AND(对接源_01水果!$X1156="自备筐",N(对接源_01水果!$T1156)&lt;&gt;0)),1,0)</f>
        <v>0</v>
      </c>
      <c r="Y1156" s="1" t="n">
        <f aca="false">N(Y1155)+$X1156</f>
        <v>0</v>
      </c>
      <c r="Z1156" s="1" t="n">
        <f aca="false">IF(AND($M1156=1,对接源_01水果!$D1156="原料入库"),1,0)</f>
        <v>0</v>
      </c>
      <c r="AA1156" s="1" t="n">
        <f aca="false">N(AA1155)+$Z1156</f>
        <v>30</v>
      </c>
      <c r="AB1156" s="1" t="n">
        <f aca="false">IF(AND($M1156=1,LEFT(对接源_01水果!$D1156,4)="原料出库"),1,0)</f>
        <v>0</v>
      </c>
      <c r="AC1156" s="1" t="n">
        <f aca="false">N(AC1155)+$AB1156</f>
        <v>19</v>
      </c>
      <c r="AD1156" s="1" t="n">
        <f aca="false">IF(AND($M1156=1,LEFT(对接源_01水果!$D1156,4)="成品出库"),1,0)</f>
        <v>0</v>
      </c>
      <c r="AE1156" s="1" t="n">
        <f aca="false">N(AE1155)+$AD1156</f>
        <v>38</v>
      </c>
      <c r="AF1156" s="1" t="n">
        <f aca="false">IF(AND($N1156=1,AND(LEFT(对接源_01水果!$D1156,4)="包装物料",N(对接源_01水果!$K1156)&lt;&gt;0)),1,0)</f>
        <v>0</v>
      </c>
      <c r="AG1156" s="90" t="str">
        <f aca="false">IF(对接源_01水果!$AC1156="","",对接源_01水果!$AC1156)</f>
        <v/>
      </c>
      <c r="AH1156" s="1" t="n">
        <f aca="false">IF(AND($N1156=1,AND(LEFT(对接源_01水果!$D1156,3)="周转筐",N(对接源_01水果!$K1156)&lt;&gt;0)),1,0)</f>
        <v>0</v>
      </c>
      <c r="AI1156" s="90" t="n">
        <f aca="false">IF(AG1156="",0,IF(MATCH(AG1156,$AG$4:$AG$1203,0)=ROW()-3,1,0))</f>
        <v>0</v>
      </c>
      <c r="AJ1156" s="90" t="n">
        <f aca="false">N(AJ1155)+AI1156</f>
        <v>4</v>
      </c>
      <c r="AK1156" s="1" t="n">
        <f aca="false">N(AK1155)+$AJ1156</f>
        <v>3484</v>
      </c>
    </row>
    <row r="1157" customFormat="false" ht="13.5" hidden="false" customHeight="false" outlineLevel="0" collapsed="false">
      <c r="A1157" s="1" t="str">
        <f aca="false">IF(对接源_01水果!$C1157="","",对接源_01水果!$C1157)</f>
        <v/>
      </c>
      <c r="B1157" s="1" t="n">
        <f aca="false">IF(A1157="",0,IF(MATCH(A1157,$A$4:$A$2403,0)=ROW()-3,1,0))</f>
        <v>0</v>
      </c>
      <c r="C1157" s="1" t="n">
        <f aca="false">N(C1156)+B1157</f>
        <v>13</v>
      </c>
      <c r="K1157" s="1" t="n">
        <f aca="false">IF(OR($K$1="",对接源_01水果!$C1157="",对接源_01水果!$C1157&lt;&gt;$K$1,对接源_01水果!$B1157=""),0,IF(OR(N(对接源_01水果!$B1157)&lt;$K$2,N(对接源_01水果!$B1157)&gt;$K$3),0,1))</f>
        <v>0</v>
      </c>
      <c r="L1157" s="1" t="n">
        <f aca="false">IF(OR($L$1="",对接源_01水果!$C1157="",对接源_01水果!$C1157&lt;&gt;$L$1,对接源_01水果!$B1157=""),0,IF(OR(N(对接源_01水果!$B1157)&lt;$L$2,N(对接源_01水果!$B1157)&gt;$L$3),0,1))</f>
        <v>0</v>
      </c>
      <c r="M1157" s="1" t="n">
        <f aca="false">IF(OR($M$1="",对接源_01水果!$C1157="",对接源_01水果!$C1157&lt;&gt;$M$1,对接源_01水果!$B1157=""),0,IF(OR(N(对接源_01水果!$B1157)&lt;$M$2,N(对接源_01水果!$B1157)&gt;$M$3),0,1))</f>
        <v>0</v>
      </c>
      <c r="N1157" s="1" t="n">
        <f aca="false">IF(OR($N$1="",对接源_01水果!$C1157="",对接源_01水果!$C1157&lt;&gt;$N$1,对接源_01水果!$B1157=""),0,IF(OR(N(对接源_01水果!$B1157)&lt;$N$2,N(对接源_01水果!$B1157)&gt;$N$3),0,1))</f>
        <v>0</v>
      </c>
      <c r="P1157" s="1" t="n">
        <f aca="false">IF(AND($K1157=1,AND(对接源_01水果!$X1157="公司筐",N(对接源_01水果!$T1157)&lt;&gt;0)),1,0)</f>
        <v>0</v>
      </c>
      <c r="Q1157" s="1" t="n">
        <f aca="false">N(Q1156)+$P1157</f>
        <v>3</v>
      </c>
      <c r="R1157" s="1" t="n">
        <f aca="false">IF(AND($K1157=1,AND(对接源_01水果!$X1157="公司筐",N(对接源_01水果!$U1157)&lt;&gt;0)),1,0)</f>
        <v>0</v>
      </c>
      <c r="S1157" s="1" t="n">
        <f aca="false">N(S1156)+$R1157</f>
        <v>0</v>
      </c>
      <c r="T1157" s="1" t="n">
        <f aca="false">IF(AND($K1157=1,AND(对接源_01水果!$X1157="公司筐",N(对接源_01水果!$V1157)&lt;&gt;0)),1,0)</f>
        <v>0</v>
      </c>
      <c r="U1157" s="1" t="n">
        <f aca="false">N(U1156)+$T1157</f>
        <v>28</v>
      </c>
      <c r="V1157" s="1" t="n">
        <f aca="false">IF(AND($L1157=1,AND(对接源_01水果!$X1157="自备筐",N(对接源_01水果!$V1157)&lt;&gt;0)),1,0)</f>
        <v>0</v>
      </c>
      <c r="W1157" s="1" t="n">
        <f aca="false">N(W1156)+$V1157</f>
        <v>7</v>
      </c>
      <c r="X1157" s="1" t="n">
        <f aca="false">IF(AND($L1157=1,AND(对接源_01水果!$X1157="自备筐",N(对接源_01水果!$T1157)&lt;&gt;0)),1,0)</f>
        <v>0</v>
      </c>
      <c r="Y1157" s="1" t="n">
        <f aca="false">N(Y1156)+$X1157</f>
        <v>0</v>
      </c>
      <c r="Z1157" s="1" t="n">
        <f aca="false">IF(AND($M1157=1,对接源_01水果!$D1157="原料入库"),1,0)</f>
        <v>0</v>
      </c>
      <c r="AA1157" s="1" t="n">
        <f aca="false">N(AA1156)+$Z1157</f>
        <v>30</v>
      </c>
      <c r="AB1157" s="1" t="n">
        <f aca="false">IF(AND($M1157=1,LEFT(对接源_01水果!$D1157,4)="原料出库"),1,0)</f>
        <v>0</v>
      </c>
      <c r="AC1157" s="1" t="n">
        <f aca="false">N(AC1156)+$AB1157</f>
        <v>19</v>
      </c>
      <c r="AD1157" s="1" t="n">
        <f aca="false">IF(AND($M1157=1,LEFT(对接源_01水果!$D1157,4)="成品出库"),1,0)</f>
        <v>0</v>
      </c>
      <c r="AE1157" s="1" t="n">
        <f aca="false">N(AE1156)+$AD1157</f>
        <v>38</v>
      </c>
      <c r="AF1157" s="1" t="n">
        <f aca="false">IF(AND($N1157=1,AND(LEFT(对接源_01水果!$D1157,4)="包装物料",N(对接源_01水果!$K1157)&lt;&gt;0)),1,0)</f>
        <v>0</v>
      </c>
      <c r="AG1157" s="90" t="str">
        <f aca="false">IF(对接源_01水果!$AC1157="","",对接源_01水果!$AC1157)</f>
        <v/>
      </c>
      <c r="AH1157" s="1" t="n">
        <f aca="false">IF(AND($N1157=1,AND(LEFT(对接源_01水果!$D1157,3)="周转筐",N(对接源_01水果!$K1157)&lt;&gt;0)),1,0)</f>
        <v>0</v>
      </c>
      <c r="AI1157" s="90" t="n">
        <f aca="false">IF(AG1157="",0,IF(MATCH(AG1157,$AG$4:$AG$1203,0)=ROW()-3,1,0))</f>
        <v>0</v>
      </c>
      <c r="AJ1157" s="90" t="n">
        <f aca="false">N(AJ1156)+AI1157</f>
        <v>4</v>
      </c>
      <c r="AK1157" s="1" t="n">
        <f aca="false">N(AK1156)+$AJ1157</f>
        <v>3488</v>
      </c>
    </row>
    <row r="1158" customFormat="false" ht="13.5" hidden="false" customHeight="false" outlineLevel="0" collapsed="false">
      <c r="A1158" s="1" t="str">
        <f aca="false">IF(对接源_01水果!$C1158="","",对接源_01水果!$C1158)</f>
        <v/>
      </c>
      <c r="B1158" s="1" t="n">
        <f aca="false">IF(A1158="",0,IF(MATCH(A1158,$A$4:$A$2403,0)=ROW()-3,1,0))</f>
        <v>0</v>
      </c>
      <c r="C1158" s="1" t="n">
        <f aca="false">N(C1157)+B1158</f>
        <v>13</v>
      </c>
      <c r="K1158" s="1" t="n">
        <f aca="false">IF(OR($K$1="",对接源_01水果!$C1158="",对接源_01水果!$C1158&lt;&gt;$K$1,对接源_01水果!$B1158=""),0,IF(OR(N(对接源_01水果!$B1158)&lt;$K$2,N(对接源_01水果!$B1158)&gt;$K$3),0,1))</f>
        <v>0</v>
      </c>
      <c r="L1158" s="1" t="n">
        <f aca="false">IF(OR($L$1="",对接源_01水果!$C1158="",对接源_01水果!$C1158&lt;&gt;$L$1,对接源_01水果!$B1158=""),0,IF(OR(N(对接源_01水果!$B1158)&lt;$L$2,N(对接源_01水果!$B1158)&gt;$L$3),0,1))</f>
        <v>0</v>
      </c>
      <c r="M1158" s="1" t="n">
        <f aca="false">IF(OR($M$1="",对接源_01水果!$C1158="",对接源_01水果!$C1158&lt;&gt;$M$1,对接源_01水果!$B1158=""),0,IF(OR(N(对接源_01水果!$B1158)&lt;$M$2,N(对接源_01水果!$B1158)&gt;$M$3),0,1))</f>
        <v>0</v>
      </c>
      <c r="N1158" s="1" t="n">
        <f aca="false">IF(OR($N$1="",对接源_01水果!$C1158="",对接源_01水果!$C1158&lt;&gt;$N$1,对接源_01水果!$B1158=""),0,IF(OR(N(对接源_01水果!$B1158)&lt;$N$2,N(对接源_01水果!$B1158)&gt;$N$3),0,1))</f>
        <v>0</v>
      </c>
      <c r="P1158" s="1" t="n">
        <f aca="false">IF(AND($K1158=1,AND(对接源_01水果!$X1158="公司筐",N(对接源_01水果!$T1158)&lt;&gt;0)),1,0)</f>
        <v>0</v>
      </c>
      <c r="Q1158" s="1" t="n">
        <f aca="false">N(Q1157)+$P1158</f>
        <v>3</v>
      </c>
      <c r="R1158" s="1" t="n">
        <f aca="false">IF(AND($K1158=1,AND(对接源_01水果!$X1158="公司筐",N(对接源_01水果!$U1158)&lt;&gt;0)),1,0)</f>
        <v>0</v>
      </c>
      <c r="S1158" s="1" t="n">
        <f aca="false">N(S1157)+$R1158</f>
        <v>0</v>
      </c>
      <c r="T1158" s="1" t="n">
        <f aca="false">IF(AND($K1158=1,AND(对接源_01水果!$X1158="公司筐",N(对接源_01水果!$V1158)&lt;&gt;0)),1,0)</f>
        <v>0</v>
      </c>
      <c r="U1158" s="1" t="n">
        <f aca="false">N(U1157)+$T1158</f>
        <v>28</v>
      </c>
      <c r="V1158" s="1" t="n">
        <f aca="false">IF(AND($L1158=1,AND(对接源_01水果!$X1158="自备筐",N(对接源_01水果!$V1158)&lt;&gt;0)),1,0)</f>
        <v>0</v>
      </c>
      <c r="W1158" s="1" t="n">
        <f aca="false">N(W1157)+$V1158</f>
        <v>7</v>
      </c>
      <c r="X1158" s="1" t="n">
        <f aca="false">IF(AND($L1158=1,AND(对接源_01水果!$X1158="自备筐",N(对接源_01水果!$T1158)&lt;&gt;0)),1,0)</f>
        <v>0</v>
      </c>
      <c r="Y1158" s="1" t="n">
        <f aca="false">N(Y1157)+$X1158</f>
        <v>0</v>
      </c>
      <c r="Z1158" s="1" t="n">
        <f aca="false">IF(AND($M1158=1,对接源_01水果!$D1158="原料入库"),1,0)</f>
        <v>0</v>
      </c>
      <c r="AA1158" s="1" t="n">
        <f aca="false">N(AA1157)+$Z1158</f>
        <v>30</v>
      </c>
      <c r="AB1158" s="1" t="n">
        <f aca="false">IF(AND($M1158=1,LEFT(对接源_01水果!$D1158,4)="原料出库"),1,0)</f>
        <v>0</v>
      </c>
      <c r="AC1158" s="1" t="n">
        <f aca="false">N(AC1157)+$AB1158</f>
        <v>19</v>
      </c>
      <c r="AD1158" s="1" t="n">
        <f aca="false">IF(AND($M1158=1,LEFT(对接源_01水果!$D1158,4)="成品出库"),1,0)</f>
        <v>0</v>
      </c>
      <c r="AE1158" s="1" t="n">
        <f aca="false">N(AE1157)+$AD1158</f>
        <v>38</v>
      </c>
      <c r="AF1158" s="1" t="n">
        <f aca="false">IF(AND($N1158=1,AND(LEFT(对接源_01水果!$D1158,4)="包装物料",N(对接源_01水果!$K1158)&lt;&gt;0)),1,0)</f>
        <v>0</v>
      </c>
      <c r="AG1158" s="90" t="str">
        <f aca="false">IF(对接源_01水果!$AC1158="","",对接源_01水果!$AC1158)</f>
        <v/>
      </c>
      <c r="AH1158" s="1" t="n">
        <f aca="false">IF(AND($N1158=1,AND(LEFT(对接源_01水果!$D1158,3)="周转筐",N(对接源_01水果!$K1158)&lt;&gt;0)),1,0)</f>
        <v>0</v>
      </c>
      <c r="AI1158" s="90" t="n">
        <f aca="false">IF(AG1158="",0,IF(MATCH(AG1158,$AG$4:$AG$1203,0)=ROW()-3,1,0))</f>
        <v>0</v>
      </c>
      <c r="AJ1158" s="90" t="n">
        <f aca="false">N(AJ1157)+AI1158</f>
        <v>4</v>
      </c>
      <c r="AK1158" s="1" t="n">
        <f aca="false">N(AK1157)+$AJ1158</f>
        <v>3492</v>
      </c>
    </row>
    <row r="1159" customFormat="false" ht="13.5" hidden="false" customHeight="false" outlineLevel="0" collapsed="false">
      <c r="A1159" s="1" t="str">
        <f aca="false">IF(对接源_01水果!$C1159="","",对接源_01水果!$C1159)</f>
        <v/>
      </c>
      <c r="B1159" s="1" t="n">
        <f aca="false">IF(A1159="",0,IF(MATCH(A1159,$A$4:$A$2403,0)=ROW()-3,1,0))</f>
        <v>0</v>
      </c>
      <c r="C1159" s="1" t="n">
        <f aca="false">N(C1158)+B1159</f>
        <v>13</v>
      </c>
      <c r="K1159" s="1" t="n">
        <f aca="false">IF(OR($K$1="",对接源_01水果!$C1159="",对接源_01水果!$C1159&lt;&gt;$K$1,对接源_01水果!$B1159=""),0,IF(OR(N(对接源_01水果!$B1159)&lt;$K$2,N(对接源_01水果!$B1159)&gt;$K$3),0,1))</f>
        <v>0</v>
      </c>
      <c r="L1159" s="1" t="n">
        <f aca="false">IF(OR($L$1="",对接源_01水果!$C1159="",对接源_01水果!$C1159&lt;&gt;$L$1,对接源_01水果!$B1159=""),0,IF(OR(N(对接源_01水果!$B1159)&lt;$L$2,N(对接源_01水果!$B1159)&gt;$L$3),0,1))</f>
        <v>0</v>
      </c>
      <c r="M1159" s="1" t="n">
        <f aca="false">IF(OR($M$1="",对接源_01水果!$C1159="",对接源_01水果!$C1159&lt;&gt;$M$1,对接源_01水果!$B1159=""),0,IF(OR(N(对接源_01水果!$B1159)&lt;$M$2,N(对接源_01水果!$B1159)&gt;$M$3),0,1))</f>
        <v>0</v>
      </c>
      <c r="N1159" s="1" t="n">
        <f aca="false">IF(OR($N$1="",对接源_01水果!$C1159="",对接源_01水果!$C1159&lt;&gt;$N$1,对接源_01水果!$B1159=""),0,IF(OR(N(对接源_01水果!$B1159)&lt;$N$2,N(对接源_01水果!$B1159)&gt;$N$3),0,1))</f>
        <v>0</v>
      </c>
      <c r="P1159" s="1" t="n">
        <f aca="false">IF(AND($K1159=1,AND(对接源_01水果!$X1159="公司筐",N(对接源_01水果!$T1159)&lt;&gt;0)),1,0)</f>
        <v>0</v>
      </c>
      <c r="Q1159" s="1" t="n">
        <f aca="false">N(Q1158)+$P1159</f>
        <v>3</v>
      </c>
      <c r="R1159" s="1" t="n">
        <f aca="false">IF(AND($K1159=1,AND(对接源_01水果!$X1159="公司筐",N(对接源_01水果!$U1159)&lt;&gt;0)),1,0)</f>
        <v>0</v>
      </c>
      <c r="S1159" s="1" t="n">
        <f aca="false">N(S1158)+$R1159</f>
        <v>0</v>
      </c>
      <c r="T1159" s="1" t="n">
        <f aca="false">IF(AND($K1159=1,AND(对接源_01水果!$X1159="公司筐",N(对接源_01水果!$V1159)&lt;&gt;0)),1,0)</f>
        <v>0</v>
      </c>
      <c r="U1159" s="1" t="n">
        <f aca="false">N(U1158)+$T1159</f>
        <v>28</v>
      </c>
      <c r="V1159" s="1" t="n">
        <f aca="false">IF(AND($L1159=1,AND(对接源_01水果!$X1159="自备筐",N(对接源_01水果!$V1159)&lt;&gt;0)),1,0)</f>
        <v>0</v>
      </c>
      <c r="W1159" s="1" t="n">
        <f aca="false">N(W1158)+$V1159</f>
        <v>7</v>
      </c>
      <c r="X1159" s="1" t="n">
        <f aca="false">IF(AND($L1159=1,AND(对接源_01水果!$X1159="自备筐",N(对接源_01水果!$T1159)&lt;&gt;0)),1,0)</f>
        <v>0</v>
      </c>
      <c r="Y1159" s="1" t="n">
        <f aca="false">N(Y1158)+$X1159</f>
        <v>0</v>
      </c>
      <c r="Z1159" s="1" t="n">
        <f aca="false">IF(AND($M1159=1,对接源_01水果!$D1159="原料入库"),1,0)</f>
        <v>0</v>
      </c>
      <c r="AA1159" s="1" t="n">
        <f aca="false">N(AA1158)+$Z1159</f>
        <v>30</v>
      </c>
      <c r="AB1159" s="1" t="n">
        <f aca="false">IF(AND($M1159=1,LEFT(对接源_01水果!$D1159,4)="原料出库"),1,0)</f>
        <v>0</v>
      </c>
      <c r="AC1159" s="1" t="n">
        <f aca="false">N(AC1158)+$AB1159</f>
        <v>19</v>
      </c>
      <c r="AD1159" s="1" t="n">
        <f aca="false">IF(AND($M1159=1,LEFT(对接源_01水果!$D1159,4)="成品出库"),1,0)</f>
        <v>0</v>
      </c>
      <c r="AE1159" s="1" t="n">
        <f aca="false">N(AE1158)+$AD1159</f>
        <v>38</v>
      </c>
      <c r="AF1159" s="1" t="n">
        <f aca="false">IF(AND($N1159=1,AND(LEFT(对接源_01水果!$D1159,4)="包装物料",N(对接源_01水果!$K1159)&lt;&gt;0)),1,0)</f>
        <v>0</v>
      </c>
      <c r="AG1159" s="90" t="str">
        <f aca="false">IF(对接源_01水果!$AC1159="","",对接源_01水果!$AC1159)</f>
        <v/>
      </c>
      <c r="AH1159" s="1" t="n">
        <f aca="false">IF(AND($N1159=1,AND(LEFT(对接源_01水果!$D1159,3)="周转筐",N(对接源_01水果!$K1159)&lt;&gt;0)),1,0)</f>
        <v>0</v>
      </c>
      <c r="AI1159" s="90" t="n">
        <f aca="false">IF(AG1159="",0,IF(MATCH(AG1159,$AG$4:$AG$1203,0)=ROW()-3,1,0))</f>
        <v>0</v>
      </c>
      <c r="AJ1159" s="90" t="n">
        <f aca="false">N(AJ1158)+AI1159</f>
        <v>4</v>
      </c>
      <c r="AK1159" s="1" t="n">
        <f aca="false">N(AK1158)+$AJ1159</f>
        <v>3496</v>
      </c>
    </row>
    <row r="1160" customFormat="false" ht="13.5" hidden="false" customHeight="false" outlineLevel="0" collapsed="false">
      <c r="A1160" s="1" t="str">
        <f aca="false">IF(对接源_01水果!$C1160="","",对接源_01水果!$C1160)</f>
        <v/>
      </c>
      <c r="B1160" s="1" t="n">
        <f aca="false">IF(A1160="",0,IF(MATCH(A1160,$A$4:$A$2403,0)=ROW()-3,1,0))</f>
        <v>0</v>
      </c>
      <c r="C1160" s="1" t="n">
        <f aca="false">N(C1159)+B1160</f>
        <v>13</v>
      </c>
      <c r="K1160" s="1" t="n">
        <f aca="false">IF(OR($K$1="",对接源_01水果!$C1160="",对接源_01水果!$C1160&lt;&gt;$K$1,对接源_01水果!$B1160=""),0,IF(OR(N(对接源_01水果!$B1160)&lt;$K$2,N(对接源_01水果!$B1160)&gt;$K$3),0,1))</f>
        <v>0</v>
      </c>
      <c r="L1160" s="1" t="n">
        <f aca="false">IF(OR($L$1="",对接源_01水果!$C1160="",对接源_01水果!$C1160&lt;&gt;$L$1,对接源_01水果!$B1160=""),0,IF(OR(N(对接源_01水果!$B1160)&lt;$L$2,N(对接源_01水果!$B1160)&gt;$L$3),0,1))</f>
        <v>0</v>
      </c>
      <c r="M1160" s="1" t="n">
        <f aca="false">IF(OR($M$1="",对接源_01水果!$C1160="",对接源_01水果!$C1160&lt;&gt;$M$1,对接源_01水果!$B1160=""),0,IF(OR(N(对接源_01水果!$B1160)&lt;$M$2,N(对接源_01水果!$B1160)&gt;$M$3),0,1))</f>
        <v>0</v>
      </c>
      <c r="N1160" s="1" t="n">
        <f aca="false">IF(OR($N$1="",对接源_01水果!$C1160="",对接源_01水果!$C1160&lt;&gt;$N$1,对接源_01水果!$B1160=""),0,IF(OR(N(对接源_01水果!$B1160)&lt;$N$2,N(对接源_01水果!$B1160)&gt;$N$3),0,1))</f>
        <v>0</v>
      </c>
      <c r="P1160" s="1" t="n">
        <f aca="false">IF(AND($K1160=1,AND(对接源_01水果!$X1160="公司筐",N(对接源_01水果!$T1160)&lt;&gt;0)),1,0)</f>
        <v>0</v>
      </c>
      <c r="Q1160" s="1" t="n">
        <f aca="false">N(Q1159)+$P1160</f>
        <v>3</v>
      </c>
      <c r="R1160" s="1" t="n">
        <f aca="false">IF(AND($K1160=1,AND(对接源_01水果!$X1160="公司筐",N(对接源_01水果!$U1160)&lt;&gt;0)),1,0)</f>
        <v>0</v>
      </c>
      <c r="S1160" s="1" t="n">
        <f aca="false">N(S1159)+$R1160</f>
        <v>0</v>
      </c>
      <c r="T1160" s="1" t="n">
        <f aca="false">IF(AND($K1160=1,AND(对接源_01水果!$X1160="公司筐",N(对接源_01水果!$V1160)&lt;&gt;0)),1,0)</f>
        <v>0</v>
      </c>
      <c r="U1160" s="1" t="n">
        <f aca="false">N(U1159)+$T1160</f>
        <v>28</v>
      </c>
      <c r="V1160" s="1" t="n">
        <f aca="false">IF(AND($L1160=1,AND(对接源_01水果!$X1160="自备筐",N(对接源_01水果!$V1160)&lt;&gt;0)),1,0)</f>
        <v>0</v>
      </c>
      <c r="W1160" s="1" t="n">
        <f aca="false">N(W1159)+$V1160</f>
        <v>7</v>
      </c>
      <c r="X1160" s="1" t="n">
        <f aca="false">IF(AND($L1160=1,AND(对接源_01水果!$X1160="自备筐",N(对接源_01水果!$T1160)&lt;&gt;0)),1,0)</f>
        <v>0</v>
      </c>
      <c r="Y1160" s="1" t="n">
        <f aca="false">N(Y1159)+$X1160</f>
        <v>0</v>
      </c>
      <c r="Z1160" s="1" t="n">
        <f aca="false">IF(AND($M1160=1,对接源_01水果!$D1160="原料入库"),1,0)</f>
        <v>0</v>
      </c>
      <c r="AA1160" s="1" t="n">
        <f aca="false">N(AA1159)+$Z1160</f>
        <v>30</v>
      </c>
      <c r="AB1160" s="1" t="n">
        <f aca="false">IF(AND($M1160=1,LEFT(对接源_01水果!$D1160,4)="原料出库"),1,0)</f>
        <v>0</v>
      </c>
      <c r="AC1160" s="1" t="n">
        <f aca="false">N(AC1159)+$AB1160</f>
        <v>19</v>
      </c>
      <c r="AD1160" s="1" t="n">
        <f aca="false">IF(AND($M1160=1,LEFT(对接源_01水果!$D1160,4)="成品出库"),1,0)</f>
        <v>0</v>
      </c>
      <c r="AE1160" s="1" t="n">
        <f aca="false">N(AE1159)+$AD1160</f>
        <v>38</v>
      </c>
      <c r="AF1160" s="1" t="n">
        <f aca="false">IF(AND($N1160=1,AND(LEFT(对接源_01水果!$D1160,4)="包装物料",N(对接源_01水果!$K1160)&lt;&gt;0)),1,0)</f>
        <v>0</v>
      </c>
      <c r="AG1160" s="90" t="str">
        <f aca="false">IF(对接源_01水果!$AC1160="","",对接源_01水果!$AC1160)</f>
        <v/>
      </c>
      <c r="AH1160" s="1" t="n">
        <f aca="false">IF(AND($N1160=1,AND(LEFT(对接源_01水果!$D1160,3)="周转筐",N(对接源_01水果!$K1160)&lt;&gt;0)),1,0)</f>
        <v>0</v>
      </c>
      <c r="AI1160" s="90" t="n">
        <f aca="false">IF(AG1160="",0,IF(MATCH(AG1160,$AG$4:$AG$1203,0)=ROW()-3,1,0))</f>
        <v>0</v>
      </c>
      <c r="AJ1160" s="90" t="n">
        <f aca="false">N(AJ1159)+AI1160</f>
        <v>4</v>
      </c>
      <c r="AK1160" s="1" t="n">
        <f aca="false">N(AK1159)+$AJ1160</f>
        <v>3500</v>
      </c>
    </row>
    <row r="1161" customFormat="false" ht="13.5" hidden="false" customHeight="false" outlineLevel="0" collapsed="false">
      <c r="A1161" s="1" t="str">
        <f aca="false">IF(对接源_01水果!$C1161="","",对接源_01水果!$C1161)</f>
        <v/>
      </c>
      <c r="B1161" s="1" t="n">
        <f aca="false">IF(A1161="",0,IF(MATCH(A1161,$A$4:$A$2403,0)=ROW()-3,1,0))</f>
        <v>0</v>
      </c>
      <c r="C1161" s="1" t="n">
        <f aca="false">N(C1160)+B1161</f>
        <v>13</v>
      </c>
      <c r="K1161" s="1" t="n">
        <f aca="false">IF(OR($K$1="",对接源_01水果!$C1161="",对接源_01水果!$C1161&lt;&gt;$K$1,对接源_01水果!$B1161=""),0,IF(OR(N(对接源_01水果!$B1161)&lt;$K$2,N(对接源_01水果!$B1161)&gt;$K$3),0,1))</f>
        <v>0</v>
      </c>
      <c r="L1161" s="1" t="n">
        <f aca="false">IF(OR($L$1="",对接源_01水果!$C1161="",对接源_01水果!$C1161&lt;&gt;$L$1,对接源_01水果!$B1161=""),0,IF(OR(N(对接源_01水果!$B1161)&lt;$L$2,N(对接源_01水果!$B1161)&gt;$L$3),0,1))</f>
        <v>0</v>
      </c>
      <c r="M1161" s="1" t="n">
        <f aca="false">IF(OR($M$1="",对接源_01水果!$C1161="",对接源_01水果!$C1161&lt;&gt;$M$1,对接源_01水果!$B1161=""),0,IF(OR(N(对接源_01水果!$B1161)&lt;$M$2,N(对接源_01水果!$B1161)&gt;$M$3),0,1))</f>
        <v>0</v>
      </c>
      <c r="N1161" s="1" t="n">
        <f aca="false">IF(OR($N$1="",对接源_01水果!$C1161="",对接源_01水果!$C1161&lt;&gt;$N$1,对接源_01水果!$B1161=""),0,IF(OR(N(对接源_01水果!$B1161)&lt;$N$2,N(对接源_01水果!$B1161)&gt;$N$3),0,1))</f>
        <v>0</v>
      </c>
      <c r="P1161" s="1" t="n">
        <f aca="false">IF(AND($K1161=1,AND(对接源_01水果!$X1161="公司筐",N(对接源_01水果!$T1161)&lt;&gt;0)),1,0)</f>
        <v>0</v>
      </c>
      <c r="Q1161" s="1" t="n">
        <f aca="false">N(Q1160)+$P1161</f>
        <v>3</v>
      </c>
      <c r="R1161" s="1" t="n">
        <f aca="false">IF(AND($K1161=1,AND(对接源_01水果!$X1161="公司筐",N(对接源_01水果!$U1161)&lt;&gt;0)),1,0)</f>
        <v>0</v>
      </c>
      <c r="S1161" s="1" t="n">
        <f aca="false">N(S1160)+$R1161</f>
        <v>0</v>
      </c>
      <c r="T1161" s="1" t="n">
        <f aca="false">IF(AND($K1161=1,AND(对接源_01水果!$X1161="公司筐",N(对接源_01水果!$V1161)&lt;&gt;0)),1,0)</f>
        <v>0</v>
      </c>
      <c r="U1161" s="1" t="n">
        <f aca="false">N(U1160)+$T1161</f>
        <v>28</v>
      </c>
      <c r="V1161" s="1" t="n">
        <f aca="false">IF(AND($L1161=1,AND(对接源_01水果!$X1161="自备筐",N(对接源_01水果!$V1161)&lt;&gt;0)),1,0)</f>
        <v>0</v>
      </c>
      <c r="W1161" s="1" t="n">
        <f aca="false">N(W1160)+$V1161</f>
        <v>7</v>
      </c>
      <c r="X1161" s="1" t="n">
        <f aca="false">IF(AND($L1161=1,AND(对接源_01水果!$X1161="自备筐",N(对接源_01水果!$T1161)&lt;&gt;0)),1,0)</f>
        <v>0</v>
      </c>
      <c r="Y1161" s="1" t="n">
        <f aca="false">N(Y1160)+$X1161</f>
        <v>0</v>
      </c>
      <c r="Z1161" s="1" t="n">
        <f aca="false">IF(AND($M1161=1,对接源_01水果!$D1161="原料入库"),1,0)</f>
        <v>0</v>
      </c>
      <c r="AA1161" s="1" t="n">
        <f aca="false">N(AA1160)+$Z1161</f>
        <v>30</v>
      </c>
      <c r="AB1161" s="1" t="n">
        <f aca="false">IF(AND($M1161=1,LEFT(对接源_01水果!$D1161,4)="原料出库"),1,0)</f>
        <v>0</v>
      </c>
      <c r="AC1161" s="1" t="n">
        <f aca="false">N(AC1160)+$AB1161</f>
        <v>19</v>
      </c>
      <c r="AD1161" s="1" t="n">
        <f aca="false">IF(AND($M1161=1,LEFT(对接源_01水果!$D1161,4)="成品出库"),1,0)</f>
        <v>0</v>
      </c>
      <c r="AE1161" s="1" t="n">
        <f aca="false">N(AE1160)+$AD1161</f>
        <v>38</v>
      </c>
      <c r="AF1161" s="1" t="n">
        <f aca="false">IF(AND($N1161=1,AND(LEFT(对接源_01水果!$D1161,4)="包装物料",N(对接源_01水果!$K1161)&lt;&gt;0)),1,0)</f>
        <v>0</v>
      </c>
      <c r="AG1161" s="90" t="str">
        <f aca="false">IF(对接源_01水果!$AC1161="","",对接源_01水果!$AC1161)</f>
        <v/>
      </c>
      <c r="AH1161" s="1" t="n">
        <f aca="false">IF(AND($N1161=1,AND(LEFT(对接源_01水果!$D1161,3)="周转筐",N(对接源_01水果!$K1161)&lt;&gt;0)),1,0)</f>
        <v>0</v>
      </c>
      <c r="AI1161" s="90" t="n">
        <f aca="false">IF(AG1161="",0,IF(MATCH(AG1161,$AG$4:$AG$1203,0)=ROW()-3,1,0))</f>
        <v>0</v>
      </c>
      <c r="AJ1161" s="90" t="n">
        <f aca="false">N(AJ1160)+AI1161</f>
        <v>4</v>
      </c>
      <c r="AK1161" s="1" t="n">
        <f aca="false">N(AK1160)+$AJ1161</f>
        <v>3504</v>
      </c>
    </row>
    <row r="1162" customFormat="false" ht="13.5" hidden="false" customHeight="false" outlineLevel="0" collapsed="false">
      <c r="A1162" s="1" t="str">
        <f aca="false">IF(对接源_01水果!$C1162="","",对接源_01水果!$C1162)</f>
        <v/>
      </c>
      <c r="B1162" s="1" t="n">
        <f aca="false">IF(A1162="",0,IF(MATCH(A1162,$A$4:$A$2403,0)=ROW()-3,1,0))</f>
        <v>0</v>
      </c>
      <c r="C1162" s="1" t="n">
        <f aca="false">N(C1161)+B1162</f>
        <v>13</v>
      </c>
      <c r="K1162" s="1" t="n">
        <f aca="false">IF(OR($K$1="",对接源_01水果!$C1162="",对接源_01水果!$C1162&lt;&gt;$K$1,对接源_01水果!$B1162=""),0,IF(OR(N(对接源_01水果!$B1162)&lt;$K$2,N(对接源_01水果!$B1162)&gt;$K$3),0,1))</f>
        <v>0</v>
      </c>
      <c r="L1162" s="1" t="n">
        <f aca="false">IF(OR($L$1="",对接源_01水果!$C1162="",对接源_01水果!$C1162&lt;&gt;$L$1,对接源_01水果!$B1162=""),0,IF(OR(N(对接源_01水果!$B1162)&lt;$L$2,N(对接源_01水果!$B1162)&gt;$L$3),0,1))</f>
        <v>0</v>
      </c>
      <c r="M1162" s="1" t="n">
        <f aca="false">IF(OR($M$1="",对接源_01水果!$C1162="",对接源_01水果!$C1162&lt;&gt;$M$1,对接源_01水果!$B1162=""),0,IF(OR(N(对接源_01水果!$B1162)&lt;$M$2,N(对接源_01水果!$B1162)&gt;$M$3),0,1))</f>
        <v>0</v>
      </c>
      <c r="N1162" s="1" t="n">
        <f aca="false">IF(OR($N$1="",对接源_01水果!$C1162="",对接源_01水果!$C1162&lt;&gt;$N$1,对接源_01水果!$B1162=""),0,IF(OR(N(对接源_01水果!$B1162)&lt;$N$2,N(对接源_01水果!$B1162)&gt;$N$3),0,1))</f>
        <v>0</v>
      </c>
      <c r="P1162" s="1" t="n">
        <f aca="false">IF(AND($K1162=1,AND(对接源_01水果!$X1162="公司筐",N(对接源_01水果!$T1162)&lt;&gt;0)),1,0)</f>
        <v>0</v>
      </c>
      <c r="Q1162" s="1" t="n">
        <f aca="false">N(Q1161)+$P1162</f>
        <v>3</v>
      </c>
      <c r="R1162" s="1" t="n">
        <f aca="false">IF(AND($K1162=1,AND(对接源_01水果!$X1162="公司筐",N(对接源_01水果!$U1162)&lt;&gt;0)),1,0)</f>
        <v>0</v>
      </c>
      <c r="S1162" s="1" t="n">
        <f aca="false">N(S1161)+$R1162</f>
        <v>0</v>
      </c>
      <c r="T1162" s="1" t="n">
        <f aca="false">IF(AND($K1162=1,AND(对接源_01水果!$X1162="公司筐",N(对接源_01水果!$V1162)&lt;&gt;0)),1,0)</f>
        <v>0</v>
      </c>
      <c r="U1162" s="1" t="n">
        <f aca="false">N(U1161)+$T1162</f>
        <v>28</v>
      </c>
      <c r="V1162" s="1" t="n">
        <f aca="false">IF(AND($L1162=1,AND(对接源_01水果!$X1162="自备筐",N(对接源_01水果!$V1162)&lt;&gt;0)),1,0)</f>
        <v>0</v>
      </c>
      <c r="W1162" s="1" t="n">
        <f aca="false">N(W1161)+$V1162</f>
        <v>7</v>
      </c>
      <c r="X1162" s="1" t="n">
        <f aca="false">IF(AND($L1162=1,AND(对接源_01水果!$X1162="自备筐",N(对接源_01水果!$T1162)&lt;&gt;0)),1,0)</f>
        <v>0</v>
      </c>
      <c r="Y1162" s="1" t="n">
        <f aca="false">N(Y1161)+$X1162</f>
        <v>0</v>
      </c>
      <c r="Z1162" s="1" t="n">
        <f aca="false">IF(AND($M1162=1,对接源_01水果!$D1162="原料入库"),1,0)</f>
        <v>0</v>
      </c>
      <c r="AA1162" s="1" t="n">
        <f aca="false">N(AA1161)+$Z1162</f>
        <v>30</v>
      </c>
      <c r="AB1162" s="1" t="n">
        <f aca="false">IF(AND($M1162=1,LEFT(对接源_01水果!$D1162,4)="原料出库"),1,0)</f>
        <v>0</v>
      </c>
      <c r="AC1162" s="1" t="n">
        <f aca="false">N(AC1161)+$AB1162</f>
        <v>19</v>
      </c>
      <c r="AD1162" s="1" t="n">
        <f aca="false">IF(AND($M1162=1,LEFT(对接源_01水果!$D1162,4)="成品出库"),1,0)</f>
        <v>0</v>
      </c>
      <c r="AE1162" s="1" t="n">
        <f aca="false">N(AE1161)+$AD1162</f>
        <v>38</v>
      </c>
      <c r="AF1162" s="1" t="n">
        <f aca="false">IF(AND($N1162=1,AND(LEFT(对接源_01水果!$D1162,4)="包装物料",N(对接源_01水果!$K1162)&lt;&gt;0)),1,0)</f>
        <v>0</v>
      </c>
      <c r="AG1162" s="90" t="str">
        <f aca="false">IF(对接源_01水果!$AC1162="","",对接源_01水果!$AC1162)</f>
        <v/>
      </c>
      <c r="AH1162" s="1" t="n">
        <f aca="false">IF(AND($N1162=1,AND(LEFT(对接源_01水果!$D1162,3)="周转筐",N(对接源_01水果!$K1162)&lt;&gt;0)),1,0)</f>
        <v>0</v>
      </c>
      <c r="AI1162" s="90" t="n">
        <f aca="false">IF(AG1162="",0,IF(MATCH(AG1162,$AG$4:$AG$1203,0)=ROW()-3,1,0))</f>
        <v>0</v>
      </c>
      <c r="AJ1162" s="90" t="n">
        <f aca="false">N(AJ1161)+AI1162</f>
        <v>4</v>
      </c>
      <c r="AK1162" s="1" t="n">
        <f aca="false">N(AK1161)+$AJ1162</f>
        <v>3508</v>
      </c>
    </row>
    <row r="1163" customFormat="false" ht="13.5" hidden="false" customHeight="false" outlineLevel="0" collapsed="false">
      <c r="A1163" s="1" t="str">
        <f aca="false">IF(对接源_01水果!$C1163="","",对接源_01水果!$C1163)</f>
        <v/>
      </c>
      <c r="B1163" s="1" t="n">
        <f aca="false">IF(A1163="",0,IF(MATCH(A1163,$A$4:$A$2403,0)=ROW()-3,1,0))</f>
        <v>0</v>
      </c>
      <c r="C1163" s="1" t="n">
        <f aca="false">N(C1162)+B1163</f>
        <v>13</v>
      </c>
      <c r="K1163" s="1" t="n">
        <f aca="false">IF(OR($K$1="",对接源_01水果!$C1163="",对接源_01水果!$C1163&lt;&gt;$K$1,对接源_01水果!$B1163=""),0,IF(OR(N(对接源_01水果!$B1163)&lt;$K$2,N(对接源_01水果!$B1163)&gt;$K$3),0,1))</f>
        <v>0</v>
      </c>
      <c r="L1163" s="1" t="n">
        <f aca="false">IF(OR($L$1="",对接源_01水果!$C1163="",对接源_01水果!$C1163&lt;&gt;$L$1,对接源_01水果!$B1163=""),0,IF(OR(N(对接源_01水果!$B1163)&lt;$L$2,N(对接源_01水果!$B1163)&gt;$L$3),0,1))</f>
        <v>0</v>
      </c>
      <c r="M1163" s="1" t="n">
        <f aca="false">IF(OR($M$1="",对接源_01水果!$C1163="",对接源_01水果!$C1163&lt;&gt;$M$1,对接源_01水果!$B1163=""),0,IF(OR(N(对接源_01水果!$B1163)&lt;$M$2,N(对接源_01水果!$B1163)&gt;$M$3),0,1))</f>
        <v>0</v>
      </c>
      <c r="N1163" s="1" t="n">
        <f aca="false">IF(OR($N$1="",对接源_01水果!$C1163="",对接源_01水果!$C1163&lt;&gt;$N$1,对接源_01水果!$B1163=""),0,IF(OR(N(对接源_01水果!$B1163)&lt;$N$2,N(对接源_01水果!$B1163)&gt;$N$3),0,1))</f>
        <v>0</v>
      </c>
      <c r="P1163" s="1" t="n">
        <f aca="false">IF(AND($K1163=1,AND(对接源_01水果!$X1163="公司筐",N(对接源_01水果!$T1163)&lt;&gt;0)),1,0)</f>
        <v>0</v>
      </c>
      <c r="Q1163" s="1" t="n">
        <f aca="false">N(Q1162)+$P1163</f>
        <v>3</v>
      </c>
      <c r="R1163" s="1" t="n">
        <f aca="false">IF(AND($K1163=1,AND(对接源_01水果!$X1163="公司筐",N(对接源_01水果!$U1163)&lt;&gt;0)),1,0)</f>
        <v>0</v>
      </c>
      <c r="S1163" s="1" t="n">
        <f aca="false">N(S1162)+$R1163</f>
        <v>0</v>
      </c>
      <c r="T1163" s="1" t="n">
        <f aca="false">IF(AND($K1163=1,AND(对接源_01水果!$X1163="公司筐",N(对接源_01水果!$V1163)&lt;&gt;0)),1,0)</f>
        <v>0</v>
      </c>
      <c r="U1163" s="1" t="n">
        <f aca="false">N(U1162)+$T1163</f>
        <v>28</v>
      </c>
      <c r="V1163" s="1" t="n">
        <f aca="false">IF(AND($L1163=1,AND(对接源_01水果!$X1163="自备筐",N(对接源_01水果!$V1163)&lt;&gt;0)),1,0)</f>
        <v>0</v>
      </c>
      <c r="W1163" s="1" t="n">
        <f aca="false">N(W1162)+$V1163</f>
        <v>7</v>
      </c>
      <c r="X1163" s="1" t="n">
        <f aca="false">IF(AND($L1163=1,AND(对接源_01水果!$X1163="自备筐",N(对接源_01水果!$T1163)&lt;&gt;0)),1,0)</f>
        <v>0</v>
      </c>
      <c r="Y1163" s="1" t="n">
        <f aca="false">N(Y1162)+$X1163</f>
        <v>0</v>
      </c>
      <c r="Z1163" s="1" t="n">
        <f aca="false">IF(AND($M1163=1,对接源_01水果!$D1163="原料入库"),1,0)</f>
        <v>0</v>
      </c>
      <c r="AA1163" s="1" t="n">
        <f aca="false">N(AA1162)+$Z1163</f>
        <v>30</v>
      </c>
      <c r="AB1163" s="1" t="n">
        <f aca="false">IF(AND($M1163=1,LEFT(对接源_01水果!$D1163,4)="原料出库"),1,0)</f>
        <v>0</v>
      </c>
      <c r="AC1163" s="1" t="n">
        <f aca="false">N(AC1162)+$AB1163</f>
        <v>19</v>
      </c>
      <c r="AD1163" s="1" t="n">
        <f aca="false">IF(AND($M1163=1,LEFT(对接源_01水果!$D1163,4)="成品出库"),1,0)</f>
        <v>0</v>
      </c>
      <c r="AE1163" s="1" t="n">
        <f aca="false">N(AE1162)+$AD1163</f>
        <v>38</v>
      </c>
      <c r="AF1163" s="1" t="n">
        <f aca="false">IF(AND($N1163=1,AND(LEFT(对接源_01水果!$D1163,4)="包装物料",N(对接源_01水果!$K1163)&lt;&gt;0)),1,0)</f>
        <v>0</v>
      </c>
      <c r="AG1163" s="90" t="str">
        <f aca="false">IF(对接源_01水果!$AC1163="","",对接源_01水果!$AC1163)</f>
        <v/>
      </c>
      <c r="AH1163" s="1" t="n">
        <f aca="false">IF(AND($N1163=1,AND(LEFT(对接源_01水果!$D1163,3)="周转筐",N(对接源_01水果!$K1163)&lt;&gt;0)),1,0)</f>
        <v>0</v>
      </c>
      <c r="AI1163" s="90" t="n">
        <f aca="false">IF(AG1163="",0,IF(MATCH(AG1163,$AG$4:$AG$1203,0)=ROW()-3,1,0))</f>
        <v>0</v>
      </c>
      <c r="AJ1163" s="90" t="n">
        <f aca="false">N(AJ1162)+AI1163</f>
        <v>4</v>
      </c>
      <c r="AK1163" s="1" t="n">
        <f aca="false">N(AK1162)+$AJ1163</f>
        <v>3512</v>
      </c>
    </row>
    <row r="1164" customFormat="false" ht="13.5" hidden="false" customHeight="false" outlineLevel="0" collapsed="false">
      <c r="A1164" s="1" t="str">
        <f aca="false">IF(对接源_01水果!$C1164="","",对接源_01水果!$C1164)</f>
        <v/>
      </c>
      <c r="B1164" s="1" t="n">
        <f aca="false">IF(A1164="",0,IF(MATCH(A1164,$A$4:$A$2403,0)=ROW()-3,1,0))</f>
        <v>0</v>
      </c>
      <c r="C1164" s="1" t="n">
        <f aca="false">N(C1163)+B1164</f>
        <v>13</v>
      </c>
      <c r="K1164" s="1" t="n">
        <f aca="false">IF(OR($K$1="",对接源_01水果!$C1164="",对接源_01水果!$C1164&lt;&gt;$K$1,对接源_01水果!$B1164=""),0,IF(OR(N(对接源_01水果!$B1164)&lt;$K$2,N(对接源_01水果!$B1164)&gt;$K$3),0,1))</f>
        <v>0</v>
      </c>
      <c r="L1164" s="1" t="n">
        <f aca="false">IF(OR($L$1="",对接源_01水果!$C1164="",对接源_01水果!$C1164&lt;&gt;$L$1,对接源_01水果!$B1164=""),0,IF(OR(N(对接源_01水果!$B1164)&lt;$L$2,N(对接源_01水果!$B1164)&gt;$L$3),0,1))</f>
        <v>0</v>
      </c>
      <c r="M1164" s="1" t="n">
        <f aca="false">IF(OR($M$1="",对接源_01水果!$C1164="",对接源_01水果!$C1164&lt;&gt;$M$1,对接源_01水果!$B1164=""),0,IF(OR(N(对接源_01水果!$B1164)&lt;$M$2,N(对接源_01水果!$B1164)&gt;$M$3),0,1))</f>
        <v>0</v>
      </c>
      <c r="N1164" s="1" t="n">
        <f aca="false">IF(OR($N$1="",对接源_01水果!$C1164="",对接源_01水果!$C1164&lt;&gt;$N$1,对接源_01水果!$B1164=""),0,IF(OR(N(对接源_01水果!$B1164)&lt;$N$2,N(对接源_01水果!$B1164)&gt;$N$3),0,1))</f>
        <v>0</v>
      </c>
      <c r="P1164" s="1" t="n">
        <f aca="false">IF(AND($K1164=1,AND(对接源_01水果!$X1164="公司筐",N(对接源_01水果!$T1164)&lt;&gt;0)),1,0)</f>
        <v>0</v>
      </c>
      <c r="Q1164" s="1" t="n">
        <f aca="false">N(Q1163)+$P1164</f>
        <v>3</v>
      </c>
      <c r="R1164" s="1" t="n">
        <f aca="false">IF(AND($K1164=1,AND(对接源_01水果!$X1164="公司筐",N(对接源_01水果!$U1164)&lt;&gt;0)),1,0)</f>
        <v>0</v>
      </c>
      <c r="S1164" s="1" t="n">
        <f aca="false">N(S1163)+$R1164</f>
        <v>0</v>
      </c>
      <c r="T1164" s="1" t="n">
        <f aca="false">IF(AND($K1164=1,AND(对接源_01水果!$X1164="公司筐",N(对接源_01水果!$V1164)&lt;&gt;0)),1,0)</f>
        <v>0</v>
      </c>
      <c r="U1164" s="1" t="n">
        <f aca="false">N(U1163)+$T1164</f>
        <v>28</v>
      </c>
      <c r="V1164" s="1" t="n">
        <f aca="false">IF(AND($L1164=1,AND(对接源_01水果!$X1164="自备筐",N(对接源_01水果!$V1164)&lt;&gt;0)),1,0)</f>
        <v>0</v>
      </c>
      <c r="W1164" s="1" t="n">
        <f aca="false">N(W1163)+$V1164</f>
        <v>7</v>
      </c>
      <c r="X1164" s="1" t="n">
        <f aca="false">IF(AND($L1164=1,AND(对接源_01水果!$X1164="自备筐",N(对接源_01水果!$T1164)&lt;&gt;0)),1,0)</f>
        <v>0</v>
      </c>
      <c r="Y1164" s="1" t="n">
        <f aca="false">N(Y1163)+$X1164</f>
        <v>0</v>
      </c>
      <c r="Z1164" s="1" t="n">
        <f aca="false">IF(AND($M1164=1,对接源_01水果!$D1164="原料入库"),1,0)</f>
        <v>0</v>
      </c>
      <c r="AA1164" s="1" t="n">
        <f aca="false">N(AA1163)+$Z1164</f>
        <v>30</v>
      </c>
      <c r="AB1164" s="1" t="n">
        <f aca="false">IF(AND($M1164=1,LEFT(对接源_01水果!$D1164,4)="原料出库"),1,0)</f>
        <v>0</v>
      </c>
      <c r="AC1164" s="1" t="n">
        <f aca="false">N(AC1163)+$AB1164</f>
        <v>19</v>
      </c>
      <c r="AD1164" s="1" t="n">
        <f aca="false">IF(AND($M1164=1,LEFT(对接源_01水果!$D1164,4)="成品出库"),1,0)</f>
        <v>0</v>
      </c>
      <c r="AE1164" s="1" t="n">
        <f aca="false">N(AE1163)+$AD1164</f>
        <v>38</v>
      </c>
      <c r="AF1164" s="1" t="n">
        <f aca="false">IF(AND($N1164=1,AND(LEFT(对接源_01水果!$D1164,4)="包装物料",N(对接源_01水果!$K1164)&lt;&gt;0)),1,0)</f>
        <v>0</v>
      </c>
      <c r="AG1164" s="90" t="str">
        <f aca="false">IF(对接源_01水果!$AC1164="","",对接源_01水果!$AC1164)</f>
        <v/>
      </c>
      <c r="AH1164" s="1" t="n">
        <f aca="false">IF(AND($N1164=1,AND(LEFT(对接源_01水果!$D1164,3)="周转筐",N(对接源_01水果!$K1164)&lt;&gt;0)),1,0)</f>
        <v>0</v>
      </c>
      <c r="AI1164" s="90" t="n">
        <f aca="false">IF(AG1164="",0,IF(MATCH(AG1164,$AG$4:$AG$1203,0)=ROW()-3,1,0))</f>
        <v>0</v>
      </c>
      <c r="AJ1164" s="90" t="n">
        <f aca="false">N(AJ1163)+AI1164</f>
        <v>4</v>
      </c>
      <c r="AK1164" s="1" t="n">
        <f aca="false">N(AK1163)+$AJ1164</f>
        <v>3516</v>
      </c>
    </row>
    <row r="1165" customFormat="false" ht="13.5" hidden="false" customHeight="false" outlineLevel="0" collapsed="false">
      <c r="A1165" s="1" t="str">
        <f aca="false">IF(对接源_01水果!$C1165="","",对接源_01水果!$C1165)</f>
        <v/>
      </c>
      <c r="B1165" s="1" t="n">
        <f aca="false">IF(A1165="",0,IF(MATCH(A1165,$A$4:$A$2403,0)=ROW()-3,1,0))</f>
        <v>0</v>
      </c>
      <c r="C1165" s="1" t="n">
        <f aca="false">N(C1164)+B1165</f>
        <v>13</v>
      </c>
      <c r="K1165" s="1" t="n">
        <f aca="false">IF(OR($K$1="",对接源_01水果!$C1165="",对接源_01水果!$C1165&lt;&gt;$K$1,对接源_01水果!$B1165=""),0,IF(OR(N(对接源_01水果!$B1165)&lt;$K$2,N(对接源_01水果!$B1165)&gt;$K$3),0,1))</f>
        <v>0</v>
      </c>
      <c r="L1165" s="1" t="n">
        <f aca="false">IF(OR($L$1="",对接源_01水果!$C1165="",对接源_01水果!$C1165&lt;&gt;$L$1,对接源_01水果!$B1165=""),0,IF(OR(N(对接源_01水果!$B1165)&lt;$L$2,N(对接源_01水果!$B1165)&gt;$L$3),0,1))</f>
        <v>0</v>
      </c>
      <c r="M1165" s="1" t="n">
        <f aca="false">IF(OR($M$1="",对接源_01水果!$C1165="",对接源_01水果!$C1165&lt;&gt;$M$1,对接源_01水果!$B1165=""),0,IF(OR(N(对接源_01水果!$B1165)&lt;$M$2,N(对接源_01水果!$B1165)&gt;$M$3),0,1))</f>
        <v>0</v>
      </c>
      <c r="N1165" s="1" t="n">
        <f aca="false">IF(OR($N$1="",对接源_01水果!$C1165="",对接源_01水果!$C1165&lt;&gt;$N$1,对接源_01水果!$B1165=""),0,IF(OR(N(对接源_01水果!$B1165)&lt;$N$2,N(对接源_01水果!$B1165)&gt;$N$3),0,1))</f>
        <v>0</v>
      </c>
      <c r="P1165" s="1" t="n">
        <f aca="false">IF(AND($K1165=1,AND(对接源_01水果!$X1165="公司筐",N(对接源_01水果!$T1165)&lt;&gt;0)),1,0)</f>
        <v>0</v>
      </c>
      <c r="Q1165" s="1" t="n">
        <f aca="false">N(Q1164)+$P1165</f>
        <v>3</v>
      </c>
      <c r="R1165" s="1" t="n">
        <f aca="false">IF(AND($K1165=1,AND(对接源_01水果!$X1165="公司筐",N(对接源_01水果!$U1165)&lt;&gt;0)),1,0)</f>
        <v>0</v>
      </c>
      <c r="S1165" s="1" t="n">
        <f aca="false">N(S1164)+$R1165</f>
        <v>0</v>
      </c>
      <c r="T1165" s="1" t="n">
        <f aca="false">IF(AND($K1165=1,AND(对接源_01水果!$X1165="公司筐",N(对接源_01水果!$V1165)&lt;&gt;0)),1,0)</f>
        <v>0</v>
      </c>
      <c r="U1165" s="1" t="n">
        <f aca="false">N(U1164)+$T1165</f>
        <v>28</v>
      </c>
      <c r="V1165" s="1" t="n">
        <f aca="false">IF(AND($L1165=1,AND(对接源_01水果!$X1165="自备筐",N(对接源_01水果!$V1165)&lt;&gt;0)),1,0)</f>
        <v>0</v>
      </c>
      <c r="W1165" s="1" t="n">
        <f aca="false">N(W1164)+$V1165</f>
        <v>7</v>
      </c>
      <c r="X1165" s="1" t="n">
        <f aca="false">IF(AND($L1165=1,AND(对接源_01水果!$X1165="自备筐",N(对接源_01水果!$T1165)&lt;&gt;0)),1,0)</f>
        <v>0</v>
      </c>
      <c r="Y1165" s="1" t="n">
        <f aca="false">N(Y1164)+$X1165</f>
        <v>0</v>
      </c>
      <c r="Z1165" s="1" t="n">
        <f aca="false">IF(AND($M1165=1,对接源_01水果!$D1165="原料入库"),1,0)</f>
        <v>0</v>
      </c>
      <c r="AA1165" s="1" t="n">
        <f aca="false">N(AA1164)+$Z1165</f>
        <v>30</v>
      </c>
      <c r="AB1165" s="1" t="n">
        <f aca="false">IF(AND($M1165=1,LEFT(对接源_01水果!$D1165,4)="原料出库"),1,0)</f>
        <v>0</v>
      </c>
      <c r="AC1165" s="1" t="n">
        <f aca="false">N(AC1164)+$AB1165</f>
        <v>19</v>
      </c>
      <c r="AD1165" s="1" t="n">
        <f aca="false">IF(AND($M1165=1,LEFT(对接源_01水果!$D1165,4)="成品出库"),1,0)</f>
        <v>0</v>
      </c>
      <c r="AE1165" s="1" t="n">
        <f aca="false">N(AE1164)+$AD1165</f>
        <v>38</v>
      </c>
      <c r="AF1165" s="1" t="n">
        <f aca="false">IF(AND($N1165=1,AND(LEFT(对接源_01水果!$D1165,4)="包装物料",N(对接源_01水果!$K1165)&lt;&gt;0)),1,0)</f>
        <v>0</v>
      </c>
      <c r="AG1165" s="90" t="str">
        <f aca="false">IF(对接源_01水果!$AC1165="","",对接源_01水果!$AC1165)</f>
        <v/>
      </c>
      <c r="AH1165" s="1" t="n">
        <f aca="false">IF(AND($N1165=1,AND(LEFT(对接源_01水果!$D1165,3)="周转筐",N(对接源_01水果!$K1165)&lt;&gt;0)),1,0)</f>
        <v>0</v>
      </c>
      <c r="AI1165" s="90" t="n">
        <f aca="false">IF(AG1165="",0,IF(MATCH(AG1165,$AG$4:$AG$1203,0)=ROW()-3,1,0))</f>
        <v>0</v>
      </c>
      <c r="AJ1165" s="90" t="n">
        <f aca="false">N(AJ1164)+AI1165</f>
        <v>4</v>
      </c>
      <c r="AK1165" s="1" t="n">
        <f aca="false">N(AK1164)+$AJ1165</f>
        <v>3520</v>
      </c>
    </row>
    <row r="1166" customFormat="false" ht="13.5" hidden="false" customHeight="false" outlineLevel="0" collapsed="false">
      <c r="A1166" s="1" t="str">
        <f aca="false">IF(对接源_01水果!$C1166="","",对接源_01水果!$C1166)</f>
        <v/>
      </c>
      <c r="B1166" s="1" t="n">
        <f aca="false">IF(A1166="",0,IF(MATCH(A1166,$A$4:$A$2403,0)=ROW()-3,1,0))</f>
        <v>0</v>
      </c>
      <c r="C1166" s="1" t="n">
        <f aca="false">N(C1165)+B1166</f>
        <v>13</v>
      </c>
      <c r="K1166" s="1" t="n">
        <f aca="false">IF(OR($K$1="",对接源_01水果!$C1166="",对接源_01水果!$C1166&lt;&gt;$K$1,对接源_01水果!$B1166=""),0,IF(OR(N(对接源_01水果!$B1166)&lt;$K$2,N(对接源_01水果!$B1166)&gt;$K$3),0,1))</f>
        <v>0</v>
      </c>
      <c r="L1166" s="1" t="n">
        <f aca="false">IF(OR($L$1="",对接源_01水果!$C1166="",对接源_01水果!$C1166&lt;&gt;$L$1,对接源_01水果!$B1166=""),0,IF(OR(N(对接源_01水果!$B1166)&lt;$L$2,N(对接源_01水果!$B1166)&gt;$L$3),0,1))</f>
        <v>0</v>
      </c>
      <c r="M1166" s="1" t="n">
        <f aca="false">IF(OR($M$1="",对接源_01水果!$C1166="",对接源_01水果!$C1166&lt;&gt;$M$1,对接源_01水果!$B1166=""),0,IF(OR(N(对接源_01水果!$B1166)&lt;$M$2,N(对接源_01水果!$B1166)&gt;$M$3),0,1))</f>
        <v>0</v>
      </c>
      <c r="N1166" s="1" t="n">
        <f aca="false">IF(OR($N$1="",对接源_01水果!$C1166="",对接源_01水果!$C1166&lt;&gt;$N$1,对接源_01水果!$B1166=""),0,IF(OR(N(对接源_01水果!$B1166)&lt;$N$2,N(对接源_01水果!$B1166)&gt;$N$3),0,1))</f>
        <v>0</v>
      </c>
      <c r="P1166" s="1" t="n">
        <f aca="false">IF(AND($K1166=1,AND(对接源_01水果!$X1166="公司筐",N(对接源_01水果!$T1166)&lt;&gt;0)),1,0)</f>
        <v>0</v>
      </c>
      <c r="Q1166" s="1" t="n">
        <f aca="false">N(Q1165)+$P1166</f>
        <v>3</v>
      </c>
      <c r="R1166" s="1" t="n">
        <f aca="false">IF(AND($K1166=1,AND(对接源_01水果!$X1166="公司筐",N(对接源_01水果!$U1166)&lt;&gt;0)),1,0)</f>
        <v>0</v>
      </c>
      <c r="S1166" s="1" t="n">
        <f aca="false">N(S1165)+$R1166</f>
        <v>0</v>
      </c>
      <c r="T1166" s="1" t="n">
        <f aca="false">IF(AND($K1166=1,AND(对接源_01水果!$X1166="公司筐",N(对接源_01水果!$V1166)&lt;&gt;0)),1,0)</f>
        <v>0</v>
      </c>
      <c r="U1166" s="1" t="n">
        <f aca="false">N(U1165)+$T1166</f>
        <v>28</v>
      </c>
      <c r="V1166" s="1" t="n">
        <f aca="false">IF(AND($L1166=1,AND(对接源_01水果!$X1166="自备筐",N(对接源_01水果!$V1166)&lt;&gt;0)),1,0)</f>
        <v>0</v>
      </c>
      <c r="W1166" s="1" t="n">
        <f aca="false">N(W1165)+$V1166</f>
        <v>7</v>
      </c>
      <c r="X1166" s="1" t="n">
        <f aca="false">IF(AND($L1166=1,AND(对接源_01水果!$X1166="自备筐",N(对接源_01水果!$T1166)&lt;&gt;0)),1,0)</f>
        <v>0</v>
      </c>
      <c r="Y1166" s="1" t="n">
        <f aca="false">N(Y1165)+$X1166</f>
        <v>0</v>
      </c>
      <c r="Z1166" s="1" t="n">
        <f aca="false">IF(AND($M1166=1,对接源_01水果!$D1166="原料入库"),1,0)</f>
        <v>0</v>
      </c>
      <c r="AA1166" s="1" t="n">
        <f aca="false">N(AA1165)+$Z1166</f>
        <v>30</v>
      </c>
      <c r="AB1166" s="1" t="n">
        <f aca="false">IF(AND($M1166=1,LEFT(对接源_01水果!$D1166,4)="原料出库"),1,0)</f>
        <v>0</v>
      </c>
      <c r="AC1166" s="1" t="n">
        <f aca="false">N(AC1165)+$AB1166</f>
        <v>19</v>
      </c>
      <c r="AD1166" s="1" t="n">
        <f aca="false">IF(AND($M1166=1,LEFT(对接源_01水果!$D1166,4)="成品出库"),1,0)</f>
        <v>0</v>
      </c>
      <c r="AE1166" s="1" t="n">
        <f aca="false">N(AE1165)+$AD1166</f>
        <v>38</v>
      </c>
      <c r="AF1166" s="1" t="n">
        <f aca="false">IF(AND($N1166=1,AND(LEFT(对接源_01水果!$D1166,4)="包装物料",N(对接源_01水果!$K1166)&lt;&gt;0)),1,0)</f>
        <v>0</v>
      </c>
      <c r="AG1166" s="90" t="str">
        <f aca="false">IF(对接源_01水果!$AC1166="","",对接源_01水果!$AC1166)</f>
        <v/>
      </c>
      <c r="AH1166" s="1" t="n">
        <f aca="false">IF(AND($N1166=1,AND(LEFT(对接源_01水果!$D1166,3)="周转筐",N(对接源_01水果!$K1166)&lt;&gt;0)),1,0)</f>
        <v>0</v>
      </c>
      <c r="AI1166" s="90" t="n">
        <f aca="false">IF(AG1166="",0,IF(MATCH(AG1166,$AG$4:$AG$1203,0)=ROW()-3,1,0))</f>
        <v>0</v>
      </c>
      <c r="AJ1166" s="90" t="n">
        <f aca="false">N(AJ1165)+AI1166</f>
        <v>4</v>
      </c>
      <c r="AK1166" s="1" t="n">
        <f aca="false">N(AK1165)+$AJ1166</f>
        <v>3524</v>
      </c>
    </row>
    <row r="1167" customFormat="false" ht="13.5" hidden="false" customHeight="false" outlineLevel="0" collapsed="false">
      <c r="A1167" s="1" t="str">
        <f aca="false">IF(对接源_01水果!$C1167="","",对接源_01水果!$C1167)</f>
        <v/>
      </c>
      <c r="B1167" s="1" t="n">
        <f aca="false">IF(A1167="",0,IF(MATCH(A1167,$A$4:$A$2403,0)=ROW()-3,1,0))</f>
        <v>0</v>
      </c>
      <c r="C1167" s="1" t="n">
        <f aca="false">N(C1166)+B1167</f>
        <v>13</v>
      </c>
      <c r="K1167" s="1" t="n">
        <f aca="false">IF(OR($K$1="",对接源_01水果!$C1167="",对接源_01水果!$C1167&lt;&gt;$K$1,对接源_01水果!$B1167=""),0,IF(OR(N(对接源_01水果!$B1167)&lt;$K$2,N(对接源_01水果!$B1167)&gt;$K$3),0,1))</f>
        <v>0</v>
      </c>
      <c r="L1167" s="1" t="n">
        <f aca="false">IF(OR($L$1="",对接源_01水果!$C1167="",对接源_01水果!$C1167&lt;&gt;$L$1,对接源_01水果!$B1167=""),0,IF(OR(N(对接源_01水果!$B1167)&lt;$L$2,N(对接源_01水果!$B1167)&gt;$L$3),0,1))</f>
        <v>0</v>
      </c>
      <c r="M1167" s="1" t="n">
        <f aca="false">IF(OR($M$1="",对接源_01水果!$C1167="",对接源_01水果!$C1167&lt;&gt;$M$1,对接源_01水果!$B1167=""),0,IF(OR(N(对接源_01水果!$B1167)&lt;$M$2,N(对接源_01水果!$B1167)&gt;$M$3),0,1))</f>
        <v>0</v>
      </c>
      <c r="N1167" s="1" t="n">
        <f aca="false">IF(OR($N$1="",对接源_01水果!$C1167="",对接源_01水果!$C1167&lt;&gt;$N$1,对接源_01水果!$B1167=""),0,IF(OR(N(对接源_01水果!$B1167)&lt;$N$2,N(对接源_01水果!$B1167)&gt;$N$3),0,1))</f>
        <v>0</v>
      </c>
      <c r="P1167" s="1" t="n">
        <f aca="false">IF(AND($K1167=1,AND(对接源_01水果!$X1167="公司筐",N(对接源_01水果!$T1167)&lt;&gt;0)),1,0)</f>
        <v>0</v>
      </c>
      <c r="Q1167" s="1" t="n">
        <f aca="false">N(Q1166)+$P1167</f>
        <v>3</v>
      </c>
      <c r="R1167" s="1" t="n">
        <f aca="false">IF(AND($K1167=1,AND(对接源_01水果!$X1167="公司筐",N(对接源_01水果!$U1167)&lt;&gt;0)),1,0)</f>
        <v>0</v>
      </c>
      <c r="S1167" s="1" t="n">
        <f aca="false">N(S1166)+$R1167</f>
        <v>0</v>
      </c>
      <c r="T1167" s="1" t="n">
        <f aca="false">IF(AND($K1167=1,AND(对接源_01水果!$X1167="公司筐",N(对接源_01水果!$V1167)&lt;&gt;0)),1,0)</f>
        <v>0</v>
      </c>
      <c r="U1167" s="1" t="n">
        <f aca="false">N(U1166)+$T1167</f>
        <v>28</v>
      </c>
      <c r="V1167" s="1" t="n">
        <f aca="false">IF(AND($L1167=1,AND(对接源_01水果!$X1167="自备筐",N(对接源_01水果!$V1167)&lt;&gt;0)),1,0)</f>
        <v>0</v>
      </c>
      <c r="W1167" s="1" t="n">
        <f aca="false">N(W1166)+$V1167</f>
        <v>7</v>
      </c>
      <c r="X1167" s="1" t="n">
        <f aca="false">IF(AND($L1167=1,AND(对接源_01水果!$X1167="自备筐",N(对接源_01水果!$T1167)&lt;&gt;0)),1,0)</f>
        <v>0</v>
      </c>
      <c r="Y1167" s="1" t="n">
        <f aca="false">N(Y1166)+$X1167</f>
        <v>0</v>
      </c>
      <c r="Z1167" s="1" t="n">
        <f aca="false">IF(AND($M1167=1,对接源_01水果!$D1167="原料入库"),1,0)</f>
        <v>0</v>
      </c>
      <c r="AA1167" s="1" t="n">
        <f aca="false">N(AA1166)+$Z1167</f>
        <v>30</v>
      </c>
      <c r="AB1167" s="1" t="n">
        <f aca="false">IF(AND($M1167=1,LEFT(对接源_01水果!$D1167,4)="原料出库"),1,0)</f>
        <v>0</v>
      </c>
      <c r="AC1167" s="1" t="n">
        <f aca="false">N(AC1166)+$AB1167</f>
        <v>19</v>
      </c>
      <c r="AD1167" s="1" t="n">
        <f aca="false">IF(AND($M1167=1,LEFT(对接源_01水果!$D1167,4)="成品出库"),1,0)</f>
        <v>0</v>
      </c>
      <c r="AE1167" s="1" t="n">
        <f aca="false">N(AE1166)+$AD1167</f>
        <v>38</v>
      </c>
      <c r="AF1167" s="1" t="n">
        <f aca="false">IF(AND($N1167=1,AND(LEFT(对接源_01水果!$D1167,4)="包装物料",N(对接源_01水果!$K1167)&lt;&gt;0)),1,0)</f>
        <v>0</v>
      </c>
      <c r="AG1167" s="90" t="str">
        <f aca="false">IF(对接源_01水果!$AC1167="","",对接源_01水果!$AC1167)</f>
        <v/>
      </c>
      <c r="AH1167" s="1" t="n">
        <f aca="false">IF(AND($N1167=1,AND(LEFT(对接源_01水果!$D1167,3)="周转筐",N(对接源_01水果!$K1167)&lt;&gt;0)),1,0)</f>
        <v>0</v>
      </c>
      <c r="AI1167" s="90" t="n">
        <f aca="false">IF(AG1167="",0,IF(MATCH(AG1167,$AG$4:$AG$1203,0)=ROW()-3,1,0))</f>
        <v>0</v>
      </c>
      <c r="AJ1167" s="90" t="n">
        <f aca="false">N(AJ1166)+AI1167</f>
        <v>4</v>
      </c>
      <c r="AK1167" s="1" t="n">
        <f aca="false">N(AK1166)+$AJ1167</f>
        <v>3528</v>
      </c>
    </row>
    <row r="1168" customFormat="false" ht="13.5" hidden="false" customHeight="false" outlineLevel="0" collapsed="false">
      <c r="A1168" s="1" t="str">
        <f aca="false">IF(对接源_01水果!$C1168="","",对接源_01水果!$C1168)</f>
        <v/>
      </c>
      <c r="B1168" s="1" t="n">
        <f aca="false">IF(A1168="",0,IF(MATCH(A1168,$A$4:$A$2403,0)=ROW()-3,1,0))</f>
        <v>0</v>
      </c>
      <c r="C1168" s="1" t="n">
        <f aca="false">N(C1167)+B1168</f>
        <v>13</v>
      </c>
      <c r="K1168" s="1" t="n">
        <f aca="false">IF(OR($K$1="",对接源_01水果!$C1168="",对接源_01水果!$C1168&lt;&gt;$K$1,对接源_01水果!$B1168=""),0,IF(OR(N(对接源_01水果!$B1168)&lt;$K$2,N(对接源_01水果!$B1168)&gt;$K$3),0,1))</f>
        <v>0</v>
      </c>
      <c r="L1168" s="1" t="n">
        <f aca="false">IF(OR($L$1="",对接源_01水果!$C1168="",对接源_01水果!$C1168&lt;&gt;$L$1,对接源_01水果!$B1168=""),0,IF(OR(N(对接源_01水果!$B1168)&lt;$L$2,N(对接源_01水果!$B1168)&gt;$L$3),0,1))</f>
        <v>0</v>
      </c>
      <c r="M1168" s="1" t="n">
        <f aca="false">IF(OR($M$1="",对接源_01水果!$C1168="",对接源_01水果!$C1168&lt;&gt;$M$1,对接源_01水果!$B1168=""),0,IF(OR(N(对接源_01水果!$B1168)&lt;$M$2,N(对接源_01水果!$B1168)&gt;$M$3),0,1))</f>
        <v>0</v>
      </c>
      <c r="N1168" s="1" t="n">
        <f aca="false">IF(OR($N$1="",对接源_01水果!$C1168="",对接源_01水果!$C1168&lt;&gt;$N$1,对接源_01水果!$B1168=""),0,IF(OR(N(对接源_01水果!$B1168)&lt;$N$2,N(对接源_01水果!$B1168)&gt;$N$3),0,1))</f>
        <v>0</v>
      </c>
      <c r="P1168" s="1" t="n">
        <f aca="false">IF(AND($K1168=1,AND(对接源_01水果!$X1168="公司筐",N(对接源_01水果!$T1168)&lt;&gt;0)),1,0)</f>
        <v>0</v>
      </c>
      <c r="Q1168" s="1" t="n">
        <f aca="false">N(Q1167)+$P1168</f>
        <v>3</v>
      </c>
      <c r="R1168" s="1" t="n">
        <f aca="false">IF(AND($K1168=1,AND(对接源_01水果!$X1168="公司筐",N(对接源_01水果!$U1168)&lt;&gt;0)),1,0)</f>
        <v>0</v>
      </c>
      <c r="S1168" s="1" t="n">
        <f aca="false">N(S1167)+$R1168</f>
        <v>0</v>
      </c>
      <c r="T1168" s="1" t="n">
        <f aca="false">IF(AND($K1168=1,AND(对接源_01水果!$X1168="公司筐",N(对接源_01水果!$V1168)&lt;&gt;0)),1,0)</f>
        <v>0</v>
      </c>
      <c r="U1168" s="1" t="n">
        <f aca="false">N(U1167)+$T1168</f>
        <v>28</v>
      </c>
      <c r="V1168" s="1" t="n">
        <f aca="false">IF(AND($L1168=1,AND(对接源_01水果!$X1168="自备筐",N(对接源_01水果!$V1168)&lt;&gt;0)),1,0)</f>
        <v>0</v>
      </c>
      <c r="W1168" s="1" t="n">
        <f aca="false">N(W1167)+$V1168</f>
        <v>7</v>
      </c>
      <c r="X1168" s="1" t="n">
        <f aca="false">IF(AND($L1168=1,AND(对接源_01水果!$X1168="自备筐",N(对接源_01水果!$T1168)&lt;&gt;0)),1,0)</f>
        <v>0</v>
      </c>
      <c r="Y1168" s="1" t="n">
        <f aca="false">N(Y1167)+$X1168</f>
        <v>0</v>
      </c>
      <c r="Z1168" s="1" t="n">
        <f aca="false">IF(AND($M1168=1,对接源_01水果!$D1168="原料入库"),1,0)</f>
        <v>0</v>
      </c>
      <c r="AA1168" s="1" t="n">
        <f aca="false">N(AA1167)+$Z1168</f>
        <v>30</v>
      </c>
      <c r="AB1168" s="1" t="n">
        <f aca="false">IF(AND($M1168=1,LEFT(对接源_01水果!$D1168,4)="原料出库"),1,0)</f>
        <v>0</v>
      </c>
      <c r="AC1168" s="1" t="n">
        <f aca="false">N(AC1167)+$AB1168</f>
        <v>19</v>
      </c>
      <c r="AD1168" s="1" t="n">
        <f aca="false">IF(AND($M1168=1,LEFT(对接源_01水果!$D1168,4)="成品出库"),1,0)</f>
        <v>0</v>
      </c>
      <c r="AE1168" s="1" t="n">
        <f aca="false">N(AE1167)+$AD1168</f>
        <v>38</v>
      </c>
      <c r="AF1168" s="1" t="n">
        <f aca="false">IF(AND($N1168=1,AND(LEFT(对接源_01水果!$D1168,4)="包装物料",N(对接源_01水果!$K1168)&lt;&gt;0)),1,0)</f>
        <v>0</v>
      </c>
      <c r="AG1168" s="90" t="str">
        <f aca="false">IF(对接源_01水果!$AC1168="","",对接源_01水果!$AC1168)</f>
        <v/>
      </c>
      <c r="AH1168" s="1" t="n">
        <f aca="false">IF(AND($N1168=1,AND(LEFT(对接源_01水果!$D1168,3)="周转筐",N(对接源_01水果!$K1168)&lt;&gt;0)),1,0)</f>
        <v>0</v>
      </c>
      <c r="AI1168" s="90" t="n">
        <f aca="false">IF(AG1168="",0,IF(MATCH(AG1168,$AG$4:$AG$1203,0)=ROW()-3,1,0))</f>
        <v>0</v>
      </c>
      <c r="AJ1168" s="90" t="n">
        <f aca="false">N(AJ1167)+AI1168</f>
        <v>4</v>
      </c>
      <c r="AK1168" s="1" t="n">
        <f aca="false">N(AK1167)+$AJ1168</f>
        <v>3532</v>
      </c>
    </row>
    <row r="1169" customFormat="false" ht="13.5" hidden="false" customHeight="false" outlineLevel="0" collapsed="false">
      <c r="A1169" s="1" t="str">
        <f aca="false">IF(对接源_01水果!$C1169="","",对接源_01水果!$C1169)</f>
        <v/>
      </c>
      <c r="B1169" s="1" t="n">
        <f aca="false">IF(A1169="",0,IF(MATCH(A1169,$A$4:$A$2403,0)=ROW()-3,1,0))</f>
        <v>0</v>
      </c>
      <c r="C1169" s="1" t="n">
        <f aca="false">N(C1168)+B1169</f>
        <v>13</v>
      </c>
      <c r="K1169" s="1" t="n">
        <f aca="false">IF(OR($K$1="",对接源_01水果!$C1169="",对接源_01水果!$C1169&lt;&gt;$K$1,对接源_01水果!$B1169=""),0,IF(OR(N(对接源_01水果!$B1169)&lt;$K$2,N(对接源_01水果!$B1169)&gt;$K$3),0,1))</f>
        <v>0</v>
      </c>
      <c r="L1169" s="1" t="n">
        <f aca="false">IF(OR($L$1="",对接源_01水果!$C1169="",对接源_01水果!$C1169&lt;&gt;$L$1,对接源_01水果!$B1169=""),0,IF(OR(N(对接源_01水果!$B1169)&lt;$L$2,N(对接源_01水果!$B1169)&gt;$L$3),0,1))</f>
        <v>0</v>
      </c>
      <c r="M1169" s="1" t="n">
        <f aca="false">IF(OR($M$1="",对接源_01水果!$C1169="",对接源_01水果!$C1169&lt;&gt;$M$1,对接源_01水果!$B1169=""),0,IF(OR(N(对接源_01水果!$B1169)&lt;$M$2,N(对接源_01水果!$B1169)&gt;$M$3),0,1))</f>
        <v>0</v>
      </c>
      <c r="N1169" s="1" t="n">
        <f aca="false">IF(OR($N$1="",对接源_01水果!$C1169="",对接源_01水果!$C1169&lt;&gt;$N$1,对接源_01水果!$B1169=""),0,IF(OR(N(对接源_01水果!$B1169)&lt;$N$2,N(对接源_01水果!$B1169)&gt;$N$3),0,1))</f>
        <v>0</v>
      </c>
      <c r="P1169" s="1" t="n">
        <f aca="false">IF(AND($K1169=1,AND(对接源_01水果!$X1169="公司筐",N(对接源_01水果!$T1169)&lt;&gt;0)),1,0)</f>
        <v>0</v>
      </c>
      <c r="Q1169" s="1" t="n">
        <f aca="false">N(Q1168)+$P1169</f>
        <v>3</v>
      </c>
      <c r="R1169" s="1" t="n">
        <f aca="false">IF(AND($K1169=1,AND(对接源_01水果!$X1169="公司筐",N(对接源_01水果!$U1169)&lt;&gt;0)),1,0)</f>
        <v>0</v>
      </c>
      <c r="S1169" s="1" t="n">
        <f aca="false">N(S1168)+$R1169</f>
        <v>0</v>
      </c>
      <c r="T1169" s="1" t="n">
        <f aca="false">IF(AND($K1169=1,AND(对接源_01水果!$X1169="公司筐",N(对接源_01水果!$V1169)&lt;&gt;0)),1,0)</f>
        <v>0</v>
      </c>
      <c r="U1169" s="1" t="n">
        <f aca="false">N(U1168)+$T1169</f>
        <v>28</v>
      </c>
      <c r="V1169" s="1" t="n">
        <f aca="false">IF(AND($L1169=1,AND(对接源_01水果!$X1169="自备筐",N(对接源_01水果!$V1169)&lt;&gt;0)),1,0)</f>
        <v>0</v>
      </c>
      <c r="W1169" s="1" t="n">
        <f aca="false">N(W1168)+$V1169</f>
        <v>7</v>
      </c>
      <c r="X1169" s="1" t="n">
        <f aca="false">IF(AND($L1169=1,AND(对接源_01水果!$X1169="自备筐",N(对接源_01水果!$T1169)&lt;&gt;0)),1,0)</f>
        <v>0</v>
      </c>
      <c r="Y1169" s="1" t="n">
        <f aca="false">N(Y1168)+$X1169</f>
        <v>0</v>
      </c>
      <c r="Z1169" s="1" t="n">
        <f aca="false">IF(AND($M1169=1,对接源_01水果!$D1169="原料入库"),1,0)</f>
        <v>0</v>
      </c>
      <c r="AA1169" s="1" t="n">
        <f aca="false">N(AA1168)+$Z1169</f>
        <v>30</v>
      </c>
      <c r="AB1169" s="1" t="n">
        <f aca="false">IF(AND($M1169=1,LEFT(对接源_01水果!$D1169,4)="原料出库"),1,0)</f>
        <v>0</v>
      </c>
      <c r="AC1169" s="1" t="n">
        <f aca="false">N(AC1168)+$AB1169</f>
        <v>19</v>
      </c>
      <c r="AD1169" s="1" t="n">
        <f aca="false">IF(AND($M1169=1,LEFT(对接源_01水果!$D1169,4)="成品出库"),1,0)</f>
        <v>0</v>
      </c>
      <c r="AE1169" s="1" t="n">
        <f aca="false">N(AE1168)+$AD1169</f>
        <v>38</v>
      </c>
      <c r="AF1169" s="1" t="n">
        <f aca="false">IF(AND($N1169=1,AND(LEFT(对接源_01水果!$D1169,4)="包装物料",N(对接源_01水果!$K1169)&lt;&gt;0)),1,0)</f>
        <v>0</v>
      </c>
      <c r="AG1169" s="90" t="str">
        <f aca="false">IF(对接源_01水果!$AC1169="","",对接源_01水果!$AC1169)</f>
        <v/>
      </c>
      <c r="AH1169" s="1" t="n">
        <f aca="false">IF(AND($N1169=1,AND(LEFT(对接源_01水果!$D1169,3)="周转筐",N(对接源_01水果!$K1169)&lt;&gt;0)),1,0)</f>
        <v>0</v>
      </c>
      <c r="AI1169" s="90" t="n">
        <f aca="false">IF(AG1169="",0,IF(MATCH(AG1169,$AG$4:$AG$1203,0)=ROW()-3,1,0))</f>
        <v>0</v>
      </c>
      <c r="AJ1169" s="90" t="n">
        <f aca="false">N(AJ1168)+AI1169</f>
        <v>4</v>
      </c>
      <c r="AK1169" s="1" t="n">
        <f aca="false">N(AK1168)+$AJ1169</f>
        <v>3536</v>
      </c>
    </row>
    <row r="1170" customFormat="false" ht="13.5" hidden="false" customHeight="false" outlineLevel="0" collapsed="false">
      <c r="A1170" s="1" t="str">
        <f aca="false">IF(对接源_01水果!$C1170="","",对接源_01水果!$C1170)</f>
        <v/>
      </c>
      <c r="B1170" s="1" t="n">
        <f aca="false">IF(A1170="",0,IF(MATCH(A1170,$A$4:$A$2403,0)=ROW()-3,1,0))</f>
        <v>0</v>
      </c>
      <c r="C1170" s="1" t="n">
        <f aca="false">N(C1169)+B1170</f>
        <v>13</v>
      </c>
      <c r="K1170" s="1" t="n">
        <f aca="false">IF(OR($K$1="",对接源_01水果!$C1170="",对接源_01水果!$C1170&lt;&gt;$K$1,对接源_01水果!$B1170=""),0,IF(OR(N(对接源_01水果!$B1170)&lt;$K$2,N(对接源_01水果!$B1170)&gt;$K$3),0,1))</f>
        <v>0</v>
      </c>
      <c r="L1170" s="1" t="n">
        <f aca="false">IF(OR($L$1="",对接源_01水果!$C1170="",对接源_01水果!$C1170&lt;&gt;$L$1,对接源_01水果!$B1170=""),0,IF(OR(N(对接源_01水果!$B1170)&lt;$L$2,N(对接源_01水果!$B1170)&gt;$L$3),0,1))</f>
        <v>0</v>
      </c>
      <c r="M1170" s="1" t="n">
        <f aca="false">IF(OR($M$1="",对接源_01水果!$C1170="",对接源_01水果!$C1170&lt;&gt;$M$1,对接源_01水果!$B1170=""),0,IF(OR(N(对接源_01水果!$B1170)&lt;$M$2,N(对接源_01水果!$B1170)&gt;$M$3),0,1))</f>
        <v>0</v>
      </c>
      <c r="N1170" s="1" t="n">
        <f aca="false">IF(OR($N$1="",对接源_01水果!$C1170="",对接源_01水果!$C1170&lt;&gt;$N$1,对接源_01水果!$B1170=""),0,IF(OR(N(对接源_01水果!$B1170)&lt;$N$2,N(对接源_01水果!$B1170)&gt;$N$3),0,1))</f>
        <v>0</v>
      </c>
      <c r="P1170" s="1" t="n">
        <f aca="false">IF(AND($K1170=1,AND(对接源_01水果!$X1170="公司筐",N(对接源_01水果!$T1170)&lt;&gt;0)),1,0)</f>
        <v>0</v>
      </c>
      <c r="Q1170" s="1" t="n">
        <f aca="false">N(Q1169)+$P1170</f>
        <v>3</v>
      </c>
      <c r="R1170" s="1" t="n">
        <f aca="false">IF(AND($K1170=1,AND(对接源_01水果!$X1170="公司筐",N(对接源_01水果!$U1170)&lt;&gt;0)),1,0)</f>
        <v>0</v>
      </c>
      <c r="S1170" s="1" t="n">
        <f aca="false">N(S1169)+$R1170</f>
        <v>0</v>
      </c>
      <c r="T1170" s="1" t="n">
        <f aca="false">IF(AND($K1170=1,AND(对接源_01水果!$X1170="公司筐",N(对接源_01水果!$V1170)&lt;&gt;0)),1,0)</f>
        <v>0</v>
      </c>
      <c r="U1170" s="1" t="n">
        <f aca="false">N(U1169)+$T1170</f>
        <v>28</v>
      </c>
      <c r="V1170" s="1" t="n">
        <f aca="false">IF(AND($L1170=1,AND(对接源_01水果!$X1170="自备筐",N(对接源_01水果!$V1170)&lt;&gt;0)),1,0)</f>
        <v>0</v>
      </c>
      <c r="W1170" s="1" t="n">
        <f aca="false">N(W1169)+$V1170</f>
        <v>7</v>
      </c>
      <c r="X1170" s="1" t="n">
        <f aca="false">IF(AND($L1170=1,AND(对接源_01水果!$X1170="自备筐",N(对接源_01水果!$T1170)&lt;&gt;0)),1,0)</f>
        <v>0</v>
      </c>
      <c r="Y1170" s="1" t="n">
        <f aca="false">N(Y1169)+$X1170</f>
        <v>0</v>
      </c>
      <c r="Z1170" s="1" t="n">
        <f aca="false">IF(AND($M1170=1,对接源_01水果!$D1170="原料入库"),1,0)</f>
        <v>0</v>
      </c>
      <c r="AA1170" s="1" t="n">
        <f aca="false">N(AA1169)+$Z1170</f>
        <v>30</v>
      </c>
      <c r="AB1170" s="1" t="n">
        <f aca="false">IF(AND($M1170=1,LEFT(对接源_01水果!$D1170,4)="原料出库"),1,0)</f>
        <v>0</v>
      </c>
      <c r="AC1170" s="1" t="n">
        <f aca="false">N(AC1169)+$AB1170</f>
        <v>19</v>
      </c>
      <c r="AD1170" s="1" t="n">
        <f aca="false">IF(AND($M1170=1,LEFT(对接源_01水果!$D1170,4)="成品出库"),1,0)</f>
        <v>0</v>
      </c>
      <c r="AE1170" s="1" t="n">
        <f aca="false">N(AE1169)+$AD1170</f>
        <v>38</v>
      </c>
      <c r="AF1170" s="1" t="n">
        <f aca="false">IF(AND($N1170=1,AND(LEFT(对接源_01水果!$D1170,4)="包装物料",N(对接源_01水果!$K1170)&lt;&gt;0)),1,0)</f>
        <v>0</v>
      </c>
      <c r="AG1170" s="90" t="str">
        <f aca="false">IF(对接源_01水果!$AC1170="","",对接源_01水果!$AC1170)</f>
        <v/>
      </c>
      <c r="AH1170" s="1" t="n">
        <f aca="false">IF(AND($N1170=1,AND(LEFT(对接源_01水果!$D1170,3)="周转筐",N(对接源_01水果!$K1170)&lt;&gt;0)),1,0)</f>
        <v>0</v>
      </c>
      <c r="AI1170" s="90" t="n">
        <f aca="false">IF(AG1170="",0,IF(MATCH(AG1170,$AG$4:$AG$1203,0)=ROW()-3,1,0))</f>
        <v>0</v>
      </c>
      <c r="AJ1170" s="90" t="n">
        <f aca="false">N(AJ1169)+AI1170</f>
        <v>4</v>
      </c>
      <c r="AK1170" s="1" t="n">
        <f aca="false">N(AK1169)+$AJ1170</f>
        <v>3540</v>
      </c>
    </row>
    <row r="1171" customFormat="false" ht="13.5" hidden="false" customHeight="false" outlineLevel="0" collapsed="false">
      <c r="A1171" s="1" t="str">
        <f aca="false">IF(对接源_01水果!$C1171="","",对接源_01水果!$C1171)</f>
        <v/>
      </c>
      <c r="B1171" s="1" t="n">
        <f aca="false">IF(A1171="",0,IF(MATCH(A1171,$A$4:$A$2403,0)=ROW()-3,1,0))</f>
        <v>0</v>
      </c>
      <c r="C1171" s="1" t="n">
        <f aca="false">N(C1170)+B1171</f>
        <v>13</v>
      </c>
      <c r="K1171" s="1" t="n">
        <f aca="false">IF(OR($K$1="",对接源_01水果!$C1171="",对接源_01水果!$C1171&lt;&gt;$K$1,对接源_01水果!$B1171=""),0,IF(OR(N(对接源_01水果!$B1171)&lt;$K$2,N(对接源_01水果!$B1171)&gt;$K$3),0,1))</f>
        <v>0</v>
      </c>
      <c r="L1171" s="1" t="n">
        <f aca="false">IF(OR($L$1="",对接源_01水果!$C1171="",对接源_01水果!$C1171&lt;&gt;$L$1,对接源_01水果!$B1171=""),0,IF(OR(N(对接源_01水果!$B1171)&lt;$L$2,N(对接源_01水果!$B1171)&gt;$L$3),0,1))</f>
        <v>0</v>
      </c>
      <c r="M1171" s="1" t="n">
        <f aca="false">IF(OR($M$1="",对接源_01水果!$C1171="",对接源_01水果!$C1171&lt;&gt;$M$1,对接源_01水果!$B1171=""),0,IF(OR(N(对接源_01水果!$B1171)&lt;$M$2,N(对接源_01水果!$B1171)&gt;$M$3),0,1))</f>
        <v>0</v>
      </c>
      <c r="N1171" s="1" t="n">
        <f aca="false">IF(OR($N$1="",对接源_01水果!$C1171="",对接源_01水果!$C1171&lt;&gt;$N$1,对接源_01水果!$B1171=""),0,IF(OR(N(对接源_01水果!$B1171)&lt;$N$2,N(对接源_01水果!$B1171)&gt;$N$3),0,1))</f>
        <v>0</v>
      </c>
      <c r="P1171" s="1" t="n">
        <f aca="false">IF(AND($K1171=1,AND(对接源_01水果!$X1171="公司筐",N(对接源_01水果!$T1171)&lt;&gt;0)),1,0)</f>
        <v>0</v>
      </c>
      <c r="Q1171" s="1" t="n">
        <f aca="false">N(Q1170)+$P1171</f>
        <v>3</v>
      </c>
      <c r="R1171" s="1" t="n">
        <f aca="false">IF(AND($K1171=1,AND(对接源_01水果!$X1171="公司筐",N(对接源_01水果!$U1171)&lt;&gt;0)),1,0)</f>
        <v>0</v>
      </c>
      <c r="S1171" s="1" t="n">
        <f aca="false">N(S1170)+$R1171</f>
        <v>0</v>
      </c>
      <c r="T1171" s="1" t="n">
        <f aca="false">IF(AND($K1171=1,AND(对接源_01水果!$X1171="公司筐",N(对接源_01水果!$V1171)&lt;&gt;0)),1,0)</f>
        <v>0</v>
      </c>
      <c r="U1171" s="1" t="n">
        <f aca="false">N(U1170)+$T1171</f>
        <v>28</v>
      </c>
      <c r="V1171" s="1" t="n">
        <f aca="false">IF(AND($L1171=1,AND(对接源_01水果!$X1171="自备筐",N(对接源_01水果!$V1171)&lt;&gt;0)),1,0)</f>
        <v>0</v>
      </c>
      <c r="W1171" s="1" t="n">
        <f aca="false">N(W1170)+$V1171</f>
        <v>7</v>
      </c>
      <c r="X1171" s="1" t="n">
        <f aca="false">IF(AND($L1171=1,AND(对接源_01水果!$X1171="自备筐",N(对接源_01水果!$T1171)&lt;&gt;0)),1,0)</f>
        <v>0</v>
      </c>
      <c r="Y1171" s="1" t="n">
        <f aca="false">N(Y1170)+$X1171</f>
        <v>0</v>
      </c>
      <c r="Z1171" s="1" t="n">
        <f aca="false">IF(AND($M1171=1,对接源_01水果!$D1171="原料入库"),1,0)</f>
        <v>0</v>
      </c>
      <c r="AA1171" s="1" t="n">
        <f aca="false">N(AA1170)+$Z1171</f>
        <v>30</v>
      </c>
      <c r="AB1171" s="1" t="n">
        <f aca="false">IF(AND($M1171=1,LEFT(对接源_01水果!$D1171,4)="原料出库"),1,0)</f>
        <v>0</v>
      </c>
      <c r="AC1171" s="1" t="n">
        <f aca="false">N(AC1170)+$AB1171</f>
        <v>19</v>
      </c>
      <c r="AD1171" s="1" t="n">
        <f aca="false">IF(AND($M1171=1,LEFT(对接源_01水果!$D1171,4)="成品出库"),1,0)</f>
        <v>0</v>
      </c>
      <c r="AE1171" s="1" t="n">
        <f aca="false">N(AE1170)+$AD1171</f>
        <v>38</v>
      </c>
      <c r="AF1171" s="1" t="n">
        <f aca="false">IF(AND($N1171=1,AND(LEFT(对接源_01水果!$D1171,4)="包装物料",N(对接源_01水果!$K1171)&lt;&gt;0)),1,0)</f>
        <v>0</v>
      </c>
      <c r="AG1171" s="90" t="str">
        <f aca="false">IF(对接源_01水果!$AC1171="","",对接源_01水果!$AC1171)</f>
        <v/>
      </c>
      <c r="AH1171" s="1" t="n">
        <f aca="false">IF(AND($N1171=1,AND(LEFT(对接源_01水果!$D1171,3)="周转筐",N(对接源_01水果!$K1171)&lt;&gt;0)),1,0)</f>
        <v>0</v>
      </c>
      <c r="AI1171" s="90" t="n">
        <f aca="false">IF(AG1171="",0,IF(MATCH(AG1171,$AG$4:$AG$1203,0)=ROW()-3,1,0))</f>
        <v>0</v>
      </c>
      <c r="AJ1171" s="90" t="n">
        <f aca="false">N(AJ1170)+AI1171</f>
        <v>4</v>
      </c>
      <c r="AK1171" s="1" t="n">
        <f aca="false">N(AK1170)+$AJ1171</f>
        <v>3544</v>
      </c>
    </row>
    <row r="1172" customFormat="false" ht="13.5" hidden="false" customHeight="false" outlineLevel="0" collapsed="false">
      <c r="A1172" s="1" t="str">
        <f aca="false">IF(对接源_01水果!$C1172="","",对接源_01水果!$C1172)</f>
        <v/>
      </c>
      <c r="B1172" s="1" t="n">
        <f aca="false">IF(A1172="",0,IF(MATCH(A1172,$A$4:$A$2403,0)=ROW()-3,1,0))</f>
        <v>0</v>
      </c>
      <c r="C1172" s="1" t="n">
        <f aca="false">N(C1171)+B1172</f>
        <v>13</v>
      </c>
      <c r="K1172" s="1" t="n">
        <f aca="false">IF(OR($K$1="",对接源_01水果!$C1172="",对接源_01水果!$C1172&lt;&gt;$K$1,对接源_01水果!$B1172=""),0,IF(OR(N(对接源_01水果!$B1172)&lt;$K$2,N(对接源_01水果!$B1172)&gt;$K$3),0,1))</f>
        <v>0</v>
      </c>
      <c r="L1172" s="1" t="n">
        <f aca="false">IF(OR($L$1="",对接源_01水果!$C1172="",对接源_01水果!$C1172&lt;&gt;$L$1,对接源_01水果!$B1172=""),0,IF(OR(N(对接源_01水果!$B1172)&lt;$L$2,N(对接源_01水果!$B1172)&gt;$L$3),0,1))</f>
        <v>0</v>
      </c>
      <c r="M1172" s="1" t="n">
        <f aca="false">IF(OR($M$1="",对接源_01水果!$C1172="",对接源_01水果!$C1172&lt;&gt;$M$1,对接源_01水果!$B1172=""),0,IF(OR(N(对接源_01水果!$B1172)&lt;$M$2,N(对接源_01水果!$B1172)&gt;$M$3),0,1))</f>
        <v>0</v>
      </c>
      <c r="N1172" s="1" t="n">
        <f aca="false">IF(OR($N$1="",对接源_01水果!$C1172="",对接源_01水果!$C1172&lt;&gt;$N$1,对接源_01水果!$B1172=""),0,IF(OR(N(对接源_01水果!$B1172)&lt;$N$2,N(对接源_01水果!$B1172)&gt;$N$3),0,1))</f>
        <v>0</v>
      </c>
      <c r="P1172" s="1" t="n">
        <f aca="false">IF(AND($K1172=1,AND(对接源_01水果!$X1172="公司筐",N(对接源_01水果!$T1172)&lt;&gt;0)),1,0)</f>
        <v>0</v>
      </c>
      <c r="Q1172" s="1" t="n">
        <f aca="false">N(Q1171)+$P1172</f>
        <v>3</v>
      </c>
      <c r="R1172" s="1" t="n">
        <f aca="false">IF(AND($K1172=1,AND(对接源_01水果!$X1172="公司筐",N(对接源_01水果!$U1172)&lt;&gt;0)),1,0)</f>
        <v>0</v>
      </c>
      <c r="S1172" s="1" t="n">
        <f aca="false">N(S1171)+$R1172</f>
        <v>0</v>
      </c>
      <c r="T1172" s="1" t="n">
        <f aca="false">IF(AND($K1172=1,AND(对接源_01水果!$X1172="公司筐",N(对接源_01水果!$V1172)&lt;&gt;0)),1,0)</f>
        <v>0</v>
      </c>
      <c r="U1172" s="1" t="n">
        <f aca="false">N(U1171)+$T1172</f>
        <v>28</v>
      </c>
      <c r="V1172" s="1" t="n">
        <f aca="false">IF(AND($L1172=1,AND(对接源_01水果!$X1172="自备筐",N(对接源_01水果!$V1172)&lt;&gt;0)),1,0)</f>
        <v>0</v>
      </c>
      <c r="W1172" s="1" t="n">
        <f aca="false">N(W1171)+$V1172</f>
        <v>7</v>
      </c>
      <c r="X1172" s="1" t="n">
        <f aca="false">IF(AND($L1172=1,AND(对接源_01水果!$X1172="自备筐",N(对接源_01水果!$T1172)&lt;&gt;0)),1,0)</f>
        <v>0</v>
      </c>
      <c r="Y1172" s="1" t="n">
        <f aca="false">N(Y1171)+$X1172</f>
        <v>0</v>
      </c>
      <c r="Z1172" s="1" t="n">
        <f aca="false">IF(AND($M1172=1,对接源_01水果!$D1172="原料入库"),1,0)</f>
        <v>0</v>
      </c>
      <c r="AA1172" s="1" t="n">
        <f aca="false">N(AA1171)+$Z1172</f>
        <v>30</v>
      </c>
      <c r="AB1172" s="1" t="n">
        <f aca="false">IF(AND($M1172=1,LEFT(对接源_01水果!$D1172,4)="原料出库"),1,0)</f>
        <v>0</v>
      </c>
      <c r="AC1172" s="1" t="n">
        <f aca="false">N(AC1171)+$AB1172</f>
        <v>19</v>
      </c>
      <c r="AD1172" s="1" t="n">
        <f aca="false">IF(AND($M1172=1,LEFT(对接源_01水果!$D1172,4)="成品出库"),1,0)</f>
        <v>0</v>
      </c>
      <c r="AE1172" s="1" t="n">
        <f aca="false">N(AE1171)+$AD1172</f>
        <v>38</v>
      </c>
      <c r="AF1172" s="1" t="n">
        <f aca="false">IF(AND($N1172=1,AND(LEFT(对接源_01水果!$D1172,4)="包装物料",N(对接源_01水果!$K1172)&lt;&gt;0)),1,0)</f>
        <v>0</v>
      </c>
      <c r="AG1172" s="90" t="str">
        <f aca="false">IF(对接源_01水果!$AC1172="","",对接源_01水果!$AC1172)</f>
        <v/>
      </c>
      <c r="AH1172" s="1" t="n">
        <f aca="false">IF(AND($N1172=1,AND(LEFT(对接源_01水果!$D1172,3)="周转筐",N(对接源_01水果!$K1172)&lt;&gt;0)),1,0)</f>
        <v>0</v>
      </c>
      <c r="AI1172" s="90" t="n">
        <f aca="false">IF(AG1172="",0,IF(MATCH(AG1172,$AG$4:$AG$1203,0)=ROW()-3,1,0))</f>
        <v>0</v>
      </c>
      <c r="AJ1172" s="90" t="n">
        <f aca="false">N(AJ1171)+AI1172</f>
        <v>4</v>
      </c>
      <c r="AK1172" s="1" t="n">
        <f aca="false">N(AK1171)+$AJ1172</f>
        <v>3548</v>
      </c>
    </row>
    <row r="1173" customFormat="false" ht="13.5" hidden="false" customHeight="false" outlineLevel="0" collapsed="false">
      <c r="A1173" s="1" t="str">
        <f aca="false">IF(对接源_01水果!$C1173="","",对接源_01水果!$C1173)</f>
        <v/>
      </c>
      <c r="B1173" s="1" t="n">
        <f aca="false">IF(A1173="",0,IF(MATCH(A1173,$A$4:$A$2403,0)=ROW()-3,1,0))</f>
        <v>0</v>
      </c>
      <c r="C1173" s="1" t="n">
        <f aca="false">N(C1172)+B1173</f>
        <v>13</v>
      </c>
      <c r="K1173" s="1" t="n">
        <f aca="false">IF(OR($K$1="",对接源_01水果!$C1173="",对接源_01水果!$C1173&lt;&gt;$K$1,对接源_01水果!$B1173=""),0,IF(OR(N(对接源_01水果!$B1173)&lt;$K$2,N(对接源_01水果!$B1173)&gt;$K$3),0,1))</f>
        <v>0</v>
      </c>
      <c r="L1173" s="1" t="n">
        <f aca="false">IF(OR($L$1="",对接源_01水果!$C1173="",对接源_01水果!$C1173&lt;&gt;$L$1,对接源_01水果!$B1173=""),0,IF(OR(N(对接源_01水果!$B1173)&lt;$L$2,N(对接源_01水果!$B1173)&gt;$L$3),0,1))</f>
        <v>0</v>
      </c>
      <c r="M1173" s="1" t="n">
        <f aca="false">IF(OR($M$1="",对接源_01水果!$C1173="",对接源_01水果!$C1173&lt;&gt;$M$1,对接源_01水果!$B1173=""),0,IF(OR(N(对接源_01水果!$B1173)&lt;$M$2,N(对接源_01水果!$B1173)&gt;$M$3),0,1))</f>
        <v>0</v>
      </c>
      <c r="N1173" s="1" t="n">
        <f aca="false">IF(OR($N$1="",对接源_01水果!$C1173="",对接源_01水果!$C1173&lt;&gt;$N$1,对接源_01水果!$B1173=""),0,IF(OR(N(对接源_01水果!$B1173)&lt;$N$2,N(对接源_01水果!$B1173)&gt;$N$3),0,1))</f>
        <v>0</v>
      </c>
      <c r="P1173" s="1" t="n">
        <f aca="false">IF(AND($K1173=1,AND(对接源_01水果!$X1173="公司筐",N(对接源_01水果!$T1173)&lt;&gt;0)),1,0)</f>
        <v>0</v>
      </c>
      <c r="Q1173" s="1" t="n">
        <f aca="false">N(Q1172)+$P1173</f>
        <v>3</v>
      </c>
      <c r="R1173" s="1" t="n">
        <f aca="false">IF(AND($K1173=1,AND(对接源_01水果!$X1173="公司筐",N(对接源_01水果!$U1173)&lt;&gt;0)),1,0)</f>
        <v>0</v>
      </c>
      <c r="S1173" s="1" t="n">
        <f aca="false">N(S1172)+$R1173</f>
        <v>0</v>
      </c>
      <c r="T1173" s="1" t="n">
        <f aca="false">IF(AND($K1173=1,AND(对接源_01水果!$X1173="公司筐",N(对接源_01水果!$V1173)&lt;&gt;0)),1,0)</f>
        <v>0</v>
      </c>
      <c r="U1173" s="1" t="n">
        <f aca="false">N(U1172)+$T1173</f>
        <v>28</v>
      </c>
      <c r="V1173" s="1" t="n">
        <f aca="false">IF(AND($L1173=1,AND(对接源_01水果!$X1173="自备筐",N(对接源_01水果!$V1173)&lt;&gt;0)),1,0)</f>
        <v>0</v>
      </c>
      <c r="W1173" s="1" t="n">
        <f aca="false">N(W1172)+$V1173</f>
        <v>7</v>
      </c>
      <c r="X1173" s="1" t="n">
        <f aca="false">IF(AND($L1173=1,AND(对接源_01水果!$X1173="自备筐",N(对接源_01水果!$T1173)&lt;&gt;0)),1,0)</f>
        <v>0</v>
      </c>
      <c r="Y1173" s="1" t="n">
        <f aca="false">N(Y1172)+$X1173</f>
        <v>0</v>
      </c>
      <c r="Z1173" s="1" t="n">
        <f aca="false">IF(AND($M1173=1,对接源_01水果!$D1173="原料入库"),1,0)</f>
        <v>0</v>
      </c>
      <c r="AA1173" s="1" t="n">
        <f aca="false">N(AA1172)+$Z1173</f>
        <v>30</v>
      </c>
      <c r="AB1173" s="1" t="n">
        <f aca="false">IF(AND($M1173=1,LEFT(对接源_01水果!$D1173,4)="原料出库"),1,0)</f>
        <v>0</v>
      </c>
      <c r="AC1173" s="1" t="n">
        <f aca="false">N(AC1172)+$AB1173</f>
        <v>19</v>
      </c>
      <c r="AD1173" s="1" t="n">
        <f aca="false">IF(AND($M1173=1,LEFT(对接源_01水果!$D1173,4)="成品出库"),1,0)</f>
        <v>0</v>
      </c>
      <c r="AE1173" s="1" t="n">
        <f aca="false">N(AE1172)+$AD1173</f>
        <v>38</v>
      </c>
      <c r="AF1173" s="1" t="n">
        <f aca="false">IF(AND($N1173=1,AND(LEFT(对接源_01水果!$D1173,4)="包装物料",N(对接源_01水果!$K1173)&lt;&gt;0)),1,0)</f>
        <v>0</v>
      </c>
      <c r="AG1173" s="90" t="str">
        <f aca="false">IF(对接源_01水果!$AC1173="","",对接源_01水果!$AC1173)</f>
        <v/>
      </c>
      <c r="AH1173" s="1" t="n">
        <f aca="false">IF(AND($N1173=1,AND(LEFT(对接源_01水果!$D1173,3)="周转筐",N(对接源_01水果!$K1173)&lt;&gt;0)),1,0)</f>
        <v>0</v>
      </c>
      <c r="AI1173" s="90" t="n">
        <f aca="false">IF(AG1173="",0,IF(MATCH(AG1173,$AG$4:$AG$1203,0)=ROW()-3,1,0))</f>
        <v>0</v>
      </c>
      <c r="AJ1173" s="90" t="n">
        <f aca="false">N(AJ1172)+AI1173</f>
        <v>4</v>
      </c>
      <c r="AK1173" s="1" t="n">
        <f aca="false">N(AK1172)+$AJ1173</f>
        <v>3552</v>
      </c>
    </row>
    <row r="1174" customFormat="false" ht="13.5" hidden="false" customHeight="false" outlineLevel="0" collapsed="false">
      <c r="A1174" s="1" t="str">
        <f aca="false">IF(对接源_01水果!$C1174="","",对接源_01水果!$C1174)</f>
        <v/>
      </c>
      <c r="B1174" s="1" t="n">
        <f aca="false">IF(A1174="",0,IF(MATCH(A1174,$A$4:$A$2403,0)=ROW()-3,1,0))</f>
        <v>0</v>
      </c>
      <c r="C1174" s="1" t="n">
        <f aca="false">N(C1173)+B1174</f>
        <v>13</v>
      </c>
      <c r="K1174" s="1" t="n">
        <f aca="false">IF(OR($K$1="",对接源_01水果!$C1174="",对接源_01水果!$C1174&lt;&gt;$K$1,对接源_01水果!$B1174=""),0,IF(OR(N(对接源_01水果!$B1174)&lt;$K$2,N(对接源_01水果!$B1174)&gt;$K$3),0,1))</f>
        <v>0</v>
      </c>
      <c r="L1174" s="1" t="n">
        <f aca="false">IF(OR($L$1="",对接源_01水果!$C1174="",对接源_01水果!$C1174&lt;&gt;$L$1,对接源_01水果!$B1174=""),0,IF(OR(N(对接源_01水果!$B1174)&lt;$L$2,N(对接源_01水果!$B1174)&gt;$L$3),0,1))</f>
        <v>0</v>
      </c>
      <c r="M1174" s="1" t="n">
        <f aca="false">IF(OR($M$1="",对接源_01水果!$C1174="",对接源_01水果!$C1174&lt;&gt;$M$1,对接源_01水果!$B1174=""),0,IF(OR(N(对接源_01水果!$B1174)&lt;$M$2,N(对接源_01水果!$B1174)&gt;$M$3),0,1))</f>
        <v>0</v>
      </c>
      <c r="N1174" s="1" t="n">
        <f aca="false">IF(OR($N$1="",对接源_01水果!$C1174="",对接源_01水果!$C1174&lt;&gt;$N$1,对接源_01水果!$B1174=""),0,IF(OR(N(对接源_01水果!$B1174)&lt;$N$2,N(对接源_01水果!$B1174)&gt;$N$3),0,1))</f>
        <v>0</v>
      </c>
      <c r="P1174" s="1" t="n">
        <f aca="false">IF(AND($K1174=1,AND(对接源_01水果!$X1174="公司筐",N(对接源_01水果!$T1174)&lt;&gt;0)),1,0)</f>
        <v>0</v>
      </c>
      <c r="Q1174" s="1" t="n">
        <f aca="false">N(Q1173)+$P1174</f>
        <v>3</v>
      </c>
      <c r="R1174" s="1" t="n">
        <f aca="false">IF(AND($K1174=1,AND(对接源_01水果!$X1174="公司筐",N(对接源_01水果!$U1174)&lt;&gt;0)),1,0)</f>
        <v>0</v>
      </c>
      <c r="S1174" s="1" t="n">
        <f aca="false">N(S1173)+$R1174</f>
        <v>0</v>
      </c>
      <c r="T1174" s="1" t="n">
        <f aca="false">IF(AND($K1174=1,AND(对接源_01水果!$X1174="公司筐",N(对接源_01水果!$V1174)&lt;&gt;0)),1,0)</f>
        <v>0</v>
      </c>
      <c r="U1174" s="1" t="n">
        <f aca="false">N(U1173)+$T1174</f>
        <v>28</v>
      </c>
      <c r="V1174" s="1" t="n">
        <f aca="false">IF(AND($L1174=1,AND(对接源_01水果!$X1174="自备筐",N(对接源_01水果!$V1174)&lt;&gt;0)),1,0)</f>
        <v>0</v>
      </c>
      <c r="W1174" s="1" t="n">
        <f aca="false">N(W1173)+$V1174</f>
        <v>7</v>
      </c>
      <c r="X1174" s="1" t="n">
        <f aca="false">IF(AND($L1174=1,AND(对接源_01水果!$X1174="自备筐",N(对接源_01水果!$T1174)&lt;&gt;0)),1,0)</f>
        <v>0</v>
      </c>
      <c r="Y1174" s="1" t="n">
        <f aca="false">N(Y1173)+$X1174</f>
        <v>0</v>
      </c>
      <c r="Z1174" s="1" t="n">
        <f aca="false">IF(AND($M1174=1,对接源_01水果!$D1174="原料入库"),1,0)</f>
        <v>0</v>
      </c>
      <c r="AA1174" s="1" t="n">
        <f aca="false">N(AA1173)+$Z1174</f>
        <v>30</v>
      </c>
      <c r="AB1174" s="1" t="n">
        <f aca="false">IF(AND($M1174=1,LEFT(对接源_01水果!$D1174,4)="原料出库"),1,0)</f>
        <v>0</v>
      </c>
      <c r="AC1174" s="1" t="n">
        <f aca="false">N(AC1173)+$AB1174</f>
        <v>19</v>
      </c>
      <c r="AD1174" s="1" t="n">
        <f aca="false">IF(AND($M1174=1,LEFT(对接源_01水果!$D1174,4)="成品出库"),1,0)</f>
        <v>0</v>
      </c>
      <c r="AE1174" s="1" t="n">
        <f aca="false">N(AE1173)+$AD1174</f>
        <v>38</v>
      </c>
      <c r="AF1174" s="1" t="n">
        <f aca="false">IF(AND($N1174=1,AND(LEFT(对接源_01水果!$D1174,4)="包装物料",N(对接源_01水果!$K1174)&lt;&gt;0)),1,0)</f>
        <v>0</v>
      </c>
      <c r="AG1174" s="90" t="str">
        <f aca="false">IF(对接源_01水果!$AC1174="","",对接源_01水果!$AC1174)</f>
        <v/>
      </c>
      <c r="AH1174" s="1" t="n">
        <f aca="false">IF(AND($N1174=1,AND(LEFT(对接源_01水果!$D1174,3)="周转筐",N(对接源_01水果!$K1174)&lt;&gt;0)),1,0)</f>
        <v>0</v>
      </c>
      <c r="AI1174" s="90" t="n">
        <f aca="false">IF(AG1174="",0,IF(MATCH(AG1174,$AG$4:$AG$1203,0)=ROW()-3,1,0))</f>
        <v>0</v>
      </c>
      <c r="AJ1174" s="90" t="n">
        <f aca="false">N(AJ1173)+AI1174</f>
        <v>4</v>
      </c>
      <c r="AK1174" s="1" t="n">
        <f aca="false">N(AK1173)+$AJ1174</f>
        <v>3556</v>
      </c>
    </row>
    <row r="1175" customFormat="false" ht="13.5" hidden="false" customHeight="false" outlineLevel="0" collapsed="false">
      <c r="A1175" s="1" t="str">
        <f aca="false">IF(对接源_01水果!$C1175="","",对接源_01水果!$C1175)</f>
        <v/>
      </c>
      <c r="B1175" s="1" t="n">
        <f aca="false">IF(A1175="",0,IF(MATCH(A1175,$A$4:$A$2403,0)=ROW()-3,1,0))</f>
        <v>0</v>
      </c>
      <c r="C1175" s="1" t="n">
        <f aca="false">N(C1174)+B1175</f>
        <v>13</v>
      </c>
      <c r="K1175" s="1" t="n">
        <f aca="false">IF(OR($K$1="",对接源_01水果!$C1175="",对接源_01水果!$C1175&lt;&gt;$K$1,对接源_01水果!$B1175=""),0,IF(OR(N(对接源_01水果!$B1175)&lt;$K$2,N(对接源_01水果!$B1175)&gt;$K$3),0,1))</f>
        <v>0</v>
      </c>
      <c r="L1175" s="1" t="n">
        <f aca="false">IF(OR($L$1="",对接源_01水果!$C1175="",对接源_01水果!$C1175&lt;&gt;$L$1,对接源_01水果!$B1175=""),0,IF(OR(N(对接源_01水果!$B1175)&lt;$L$2,N(对接源_01水果!$B1175)&gt;$L$3),0,1))</f>
        <v>0</v>
      </c>
      <c r="M1175" s="1" t="n">
        <f aca="false">IF(OR($M$1="",对接源_01水果!$C1175="",对接源_01水果!$C1175&lt;&gt;$M$1,对接源_01水果!$B1175=""),0,IF(OR(N(对接源_01水果!$B1175)&lt;$M$2,N(对接源_01水果!$B1175)&gt;$M$3),0,1))</f>
        <v>0</v>
      </c>
      <c r="N1175" s="1" t="n">
        <f aca="false">IF(OR($N$1="",对接源_01水果!$C1175="",对接源_01水果!$C1175&lt;&gt;$N$1,对接源_01水果!$B1175=""),0,IF(OR(N(对接源_01水果!$B1175)&lt;$N$2,N(对接源_01水果!$B1175)&gt;$N$3),0,1))</f>
        <v>0</v>
      </c>
      <c r="P1175" s="1" t="n">
        <f aca="false">IF(AND($K1175=1,AND(对接源_01水果!$X1175="公司筐",N(对接源_01水果!$T1175)&lt;&gt;0)),1,0)</f>
        <v>0</v>
      </c>
      <c r="Q1175" s="1" t="n">
        <f aca="false">N(Q1174)+$P1175</f>
        <v>3</v>
      </c>
      <c r="R1175" s="1" t="n">
        <f aca="false">IF(AND($K1175=1,AND(对接源_01水果!$X1175="公司筐",N(对接源_01水果!$U1175)&lt;&gt;0)),1,0)</f>
        <v>0</v>
      </c>
      <c r="S1175" s="1" t="n">
        <f aca="false">N(S1174)+$R1175</f>
        <v>0</v>
      </c>
      <c r="T1175" s="1" t="n">
        <f aca="false">IF(AND($K1175=1,AND(对接源_01水果!$X1175="公司筐",N(对接源_01水果!$V1175)&lt;&gt;0)),1,0)</f>
        <v>0</v>
      </c>
      <c r="U1175" s="1" t="n">
        <f aca="false">N(U1174)+$T1175</f>
        <v>28</v>
      </c>
      <c r="V1175" s="1" t="n">
        <f aca="false">IF(AND($L1175=1,AND(对接源_01水果!$X1175="自备筐",N(对接源_01水果!$V1175)&lt;&gt;0)),1,0)</f>
        <v>0</v>
      </c>
      <c r="W1175" s="1" t="n">
        <f aca="false">N(W1174)+$V1175</f>
        <v>7</v>
      </c>
      <c r="X1175" s="1" t="n">
        <f aca="false">IF(AND($L1175=1,AND(对接源_01水果!$X1175="自备筐",N(对接源_01水果!$T1175)&lt;&gt;0)),1,0)</f>
        <v>0</v>
      </c>
      <c r="Y1175" s="1" t="n">
        <f aca="false">N(Y1174)+$X1175</f>
        <v>0</v>
      </c>
      <c r="Z1175" s="1" t="n">
        <f aca="false">IF(AND($M1175=1,对接源_01水果!$D1175="原料入库"),1,0)</f>
        <v>0</v>
      </c>
      <c r="AA1175" s="1" t="n">
        <f aca="false">N(AA1174)+$Z1175</f>
        <v>30</v>
      </c>
      <c r="AB1175" s="1" t="n">
        <f aca="false">IF(AND($M1175=1,LEFT(对接源_01水果!$D1175,4)="原料出库"),1,0)</f>
        <v>0</v>
      </c>
      <c r="AC1175" s="1" t="n">
        <f aca="false">N(AC1174)+$AB1175</f>
        <v>19</v>
      </c>
      <c r="AD1175" s="1" t="n">
        <f aca="false">IF(AND($M1175=1,LEFT(对接源_01水果!$D1175,4)="成品出库"),1,0)</f>
        <v>0</v>
      </c>
      <c r="AE1175" s="1" t="n">
        <f aca="false">N(AE1174)+$AD1175</f>
        <v>38</v>
      </c>
      <c r="AF1175" s="1" t="n">
        <f aca="false">IF(AND($N1175=1,AND(LEFT(对接源_01水果!$D1175,4)="包装物料",N(对接源_01水果!$K1175)&lt;&gt;0)),1,0)</f>
        <v>0</v>
      </c>
      <c r="AG1175" s="90" t="str">
        <f aca="false">IF(对接源_01水果!$AC1175="","",对接源_01水果!$AC1175)</f>
        <v/>
      </c>
      <c r="AH1175" s="1" t="n">
        <f aca="false">IF(AND($N1175=1,AND(LEFT(对接源_01水果!$D1175,3)="周转筐",N(对接源_01水果!$K1175)&lt;&gt;0)),1,0)</f>
        <v>0</v>
      </c>
      <c r="AI1175" s="90" t="n">
        <f aca="false">IF(AG1175="",0,IF(MATCH(AG1175,$AG$4:$AG$1203,0)=ROW()-3,1,0))</f>
        <v>0</v>
      </c>
      <c r="AJ1175" s="90" t="n">
        <f aca="false">N(AJ1174)+AI1175</f>
        <v>4</v>
      </c>
      <c r="AK1175" s="1" t="n">
        <f aca="false">N(AK1174)+$AJ1175</f>
        <v>3560</v>
      </c>
    </row>
    <row r="1176" customFormat="false" ht="13.5" hidden="false" customHeight="false" outlineLevel="0" collapsed="false">
      <c r="A1176" s="1" t="str">
        <f aca="false">IF(对接源_01水果!$C1176="","",对接源_01水果!$C1176)</f>
        <v/>
      </c>
      <c r="B1176" s="1" t="n">
        <f aca="false">IF(A1176="",0,IF(MATCH(A1176,$A$4:$A$2403,0)=ROW()-3,1,0))</f>
        <v>0</v>
      </c>
      <c r="C1176" s="1" t="n">
        <f aca="false">N(C1175)+B1176</f>
        <v>13</v>
      </c>
      <c r="K1176" s="1" t="n">
        <f aca="false">IF(OR($K$1="",对接源_01水果!$C1176="",对接源_01水果!$C1176&lt;&gt;$K$1,对接源_01水果!$B1176=""),0,IF(OR(N(对接源_01水果!$B1176)&lt;$K$2,N(对接源_01水果!$B1176)&gt;$K$3),0,1))</f>
        <v>0</v>
      </c>
      <c r="L1176" s="1" t="n">
        <f aca="false">IF(OR($L$1="",对接源_01水果!$C1176="",对接源_01水果!$C1176&lt;&gt;$L$1,对接源_01水果!$B1176=""),0,IF(OR(N(对接源_01水果!$B1176)&lt;$L$2,N(对接源_01水果!$B1176)&gt;$L$3),0,1))</f>
        <v>0</v>
      </c>
      <c r="M1176" s="1" t="n">
        <f aca="false">IF(OR($M$1="",对接源_01水果!$C1176="",对接源_01水果!$C1176&lt;&gt;$M$1,对接源_01水果!$B1176=""),0,IF(OR(N(对接源_01水果!$B1176)&lt;$M$2,N(对接源_01水果!$B1176)&gt;$M$3),0,1))</f>
        <v>0</v>
      </c>
      <c r="N1176" s="1" t="n">
        <f aca="false">IF(OR($N$1="",对接源_01水果!$C1176="",对接源_01水果!$C1176&lt;&gt;$N$1,对接源_01水果!$B1176=""),0,IF(OR(N(对接源_01水果!$B1176)&lt;$N$2,N(对接源_01水果!$B1176)&gt;$N$3),0,1))</f>
        <v>0</v>
      </c>
      <c r="P1176" s="1" t="n">
        <f aca="false">IF(AND($K1176=1,AND(对接源_01水果!$X1176="公司筐",N(对接源_01水果!$T1176)&lt;&gt;0)),1,0)</f>
        <v>0</v>
      </c>
      <c r="Q1176" s="1" t="n">
        <f aca="false">N(Q1175)+$P1176</f>
        <v>3</v>
      </c>
      <c r="R1176" s="1" t="n">
        <f aca="false">IF(AND($K1176=1,AND(对接源_01水果!$X1176="公司筐",N(对接源_01水果!$U1176)&lt;&gt;0)),1,0)</f>
        <v>0</v>
      </c>
      <c r="S1176" s="1" t="n">
        <f aca="false">N(S1175)+$R1176</f>
        <v>0</v>
      </c>
      <c r="T1176" s="1" t="n">
        <f aca="false">IF(AND($K1176=1,AND(对接源_01水果!$X1176="公司筐",N(对接源_01水果!$V1176)&lt;&gt;0)),1,0)</f>
        <v>0</v>
      </c>
      <c r="U1176" s="1" t="n">
        <f aca="false">N(U1175)+$T1176</f>
        <v>28</v>
      </c>
      <c r="V1176" s="1" t="n">
        <f aca="false">IF(AND($L1176=1,AND(对接源_01水果!$X1176="自备筐",N(对接源_01水果!$V1176)&lt;&gt;0)),1,0)</f>
        <v>0</v>
      </c>
      <c r="W1176" s="1" t="n">
        <f aca="false">N(W1175)+$V1176</f>
        <v>7</v>
      </c>
      <c r="X1176" s="1" t="n">
        <f aca="false">IF(AND($L1176=1,AND(对接源_01水果!$X1176="自备筐",N(对接源_01水果!$T1176)&lt;&gt;0)),1,0)</f>
        <v>0</v>
      </c>
      <c r="Y1176" s="1" t="n">
        <f aca="false">N(Y1175)+$X1176</f>
        <v>0</v>
      </c>
      <c r="Z1176" s="1" t="n">
        <f aca="false">IF(AND($M1176=1,对接源_01水果!$D1176="原料入库"),1,0)</f>
        <v>0</v>
      </c>
      <c r="AA1176" s="1" t="n">
        <f aca="false">N(AA1175)+$Z1176</f>
        <v>30</v>
      </c>
      <c r="AB1176" s="1" t="n">
        <f aca="false">IF(AND($M1176=1,LEFT(对接源_01水果!$D1176,4)="原料出库"),1,0)</f>
        <v>0</v>
      </c>
      <c r="AC1176" s="1" t="n">
        <f aca="false">N(AC1175)+$AB1176</f>
        <v>19</v>
      </c>
      <c r="AD1176" s="1" t="n">
        <f aca="false">IF(AND($M1176=1,LEFT(对接源_01水果!$D1176,4)="成品出库"),1,0)</f>
        <v>0</v>
      </c>
      <c r="AE1176" s="1" t="n">
        <f aca="false">N(AE1175)+$AD1176</f>
        <v>38</v>
      </c>
      <c r="AF1176" s="1" t="n">
        <f aca="false">IF(AND($N1176=1,AND(LEFT(对接源_01水果!$D1176,4)="包装物料",N(对接源_01水果!$K1176)&lt;&gt;0)),1,0)</f>
        <v>0</v>
      </c>
      <c r="AG1176" s="90" t="str">
        <f aca="false">IF(对接源_01水果!$AC1176="","",对接源_01水果!$AC1176)</f>
        <v/>
      </c>
      <c r="AH1176" s="1" t="n">
        <f aca="false">IF(AND($N1176=1,AND(LEFT(对接源_01水果!$D1176,3)="周转筐",N(对接源_01水果!$K1176)&lt;&gt;0)),1,0)</f>
        <v>0</v>
      </c>
      <c r="AI1176" s="90" t="n">
        <f aca="false">IF(AG1176="",0,IF(MATCH(AG1176,$AG$4:$AG$1203,0)=ROW()-3,1,0))</f>
        <v>0</v>
      </c>
      <c r="AJ1176" s="90" t="n">
        <f aca="false">N(AJ1175)+AI1176</f>
        <v>4</v>
      </c>
      <c r="AK1176" s="1" t="n">
        <f aca="false">N(AK1175)+$AJ1176</f>
        <v>3564</v>
      </c>
    </row>
    <row r="1177" customFormat="false" ht="13.5" hidden="false" customHeight="false" outlineLevel="0" collapsed="false">
      <c r="A1177" s="1" t="str">
        <f aca="false">IF(对接源_01水果!$C1177="","",对接源_01水果!$C1177)</f>
        <v/>
      </c>
      <c r="B1177" s="1" t="n">
        <f aca="false">IF(A1177="",0,IF(MATCH(A1177,$A$4:$A$2403,0)=ROW()-3,1,0))</f>
        <v>0</v>
      </c>
      <c r="C1177" s="1" t="n">
        <f aca="false">N(C1176)+B1177</f>
        <v>13</v>
      </c>
      <c r="K1177" s="1" t="n">
        <f aca="false">IF(OR($K$1="",对接源_01水果!$C1177="",对接源_01水果!$C1177&lt;&gt;$K$1,对接源_01水果!$B1177=""),0,IF(OR(N(对接源_01水果!$B1177)&lt;$K$2,N(对接源_01水果!$B1177)&gt;$K$3),0,1))</f>
        <v>0</v>
      </c>
      <c r="L1177" s="1" t="n">
        <f aca="false">IF(OR($L$1="",对接源_01水果!$C1177="",对接源_01水果!$C1177&lt;&gt;$L$1,对接源_01水果!$B1177=""),0,IF(OR(N(对接源_01水果!$B1177)&lt;$L$2,N(对接源_01水果!$B1177)&gt;$L$3),0,1))</f>
        <v>0</v>
      </c>
      <c r="M1177" s="1" t="n">
        <f aca="false">IF(OR($M$1="",对接源_01水果!$C1177="",对接源_01水果!$C1177&lt;&gt;$M$1,对接源_01水果!$B1177=""),0,IF(OR(N(对接源_01水果!$B1177)&lt;$M$2,N(对接源_01水果!$B1177)&gt;$M$3),0,1))</f>
        <v>0</v>
      </c>
      <c r="N1177" s="1" t="n">
        <f aca="false">IF(OR($N$1="",对接源_01水果!$C1177="",对接源_01水果!$C1177&lt;&gt;$N$1,对接源_01水果!$B1177=""),0,IF(OR(N(对接源_01水果!$B1177)&lt;$N$2,N(对接源_01水果!$B1177)&gt;$N$3),0,1))</f>
        <v>0</v>
      </c>
      <c r="P1177" s="1" t="n">
        <f aca="false">IF(AND($K1177=1,AND(对接源_01水果!$X1177="公司筐",N(对接源_01水果!$T1177)&lt;&gt;0)),1,0)</f>
        <v>0</v>
      </c>
      <c r="Q1177" s="1" t="n">
        <f aca="false">N(Q1176)+$P1177</f>
        <v>3</v>
      </c>
      <c r="R1177" s="1" t="n">
        <f aca="false">IF(AND($K1177=1,AND(对接源_01水果!$X1177="公司筐",N(对接源_01水果!$U1177)&lt;&gt;0)),1,0)</f>
        <v>0</v>
      </c>
      <c r="S1177" s="1" t="n">
        <f aca="false">N(S1176)+$R1177</f>
        <v>0</v>
      </c>
      <c r="T1177" s="1" t="n">
        <f aca="false">IF(AND($K1177=1,AND(对接源_01水果!$X1177="公司筐",N(对接源_01水果!$V1177)&lt;&gt;0)),1,0)</f>
        <v>0</v>
      </c>
      <c r="U1177" s="1" t="n">
        <f aca="false">N(U1176)+$T1177</f>
        <v>28</v>
      </c>
      <c r="V1177" s="1" t="n">
        <f aca="false">IF(AND($L1177=1,AND(对接源_01水果!$X1177="自备筐",N(对接源_01水果!$V1177)&lt;&gt;0)),1,0)</f>
        <v>0</v>
      </c>
      <c r="W1177" s="1" t="n">
        <f aca="false">N(W1176)+$V1177</f>
        <v>7</v>
      </c>
      <c r="X1177" s="1" t="n">
        <f aca="false">IF(AND($L1177=1,AND(对接源_01水果!$X1177="自备筐",N(对接源_01水果!$T1177)&lt;&gt;0)),1,0)</f>
        <v>0</v>
      </c>
      <c r="Y1177" s="1" t="n">
        <f aca="false">N(Y1176)+$X1177</f>
        <v>0</v>
      </c>
      <c r="Z1177" s="1" t="n">
        <f aca="false">IF(AND($M1177=1,对接源_01水果!$D1177="原料入库"),1,0)</f>
        <v>0</v>
      </c>
      <c r="AA1177" s="1" t="n">
        <f aca="false">N(AA1176)+$Z1177</f>
        <v>30</v>
      </c>
      <c r="AB1177" s="1" t="n">
        <f aca="false">IF(AND($M1177=1,LEFT(对接源_01水果!$D1177,4)="原料出库"),1,0)</f>
        <v>0</v>
      </c>
      <c r="AC1177" s="1" t="n">
        <f aca="false">N(AC1176)+$AB1177</f>
        <v>19</v>
      </c>
      <c r="AD1177" s="1" t="n">
        <f aca="false">IF(AND($M1177=1,LEFT(对接源_01水果!$D1177,4)="成品出库"),1,0)</f>
        <v>0</v>
      </c>
      <c r="AE1177" s="1" t="n">
        <f aca="false">N(AE1176)+$AD1177</f>
        <v>38</v>
      </c>
      <c r="AF1177" s="1" t="n">
        <f aca="false">IF(AND($N1177=1,AND(LEFT(对接源_01水果!$D1177,4)="包装物料",N(对接源_01水果!$K1177)&lt;&gt;0)),1,0)</f>
        <v>0</v>
      </c>
      <c r="AG1177" s="90" t="str">
        <f aca="false">IF(对接源_01水果!$AC1177="","",对接源_01水果!$AC1177)</f>
        <v/>
      </c>
      <c r="AH1177" s="1" t="n">
        <f aca="false">IF(AND($N1177=1,AND(LEFT(对接源_01水果!$D1177,3)="周转筐",N(对接源_01水果!$K1177)&lt;&gt;0)),1,0)</f>
        <v>0</v>
      </c>
      <c r="AI1177" s="90" t="n">
        <f aca="false">IF(AG1177="",0,IF(MATCH(AG1177,$AG$4:$AG$1203,0)=ROW()-3,1,0))</f>
        <v>0</v>
      </c>
      <c r="AJ1177" s="90" t="n">
        <f aca="false">N(AJ1176)+AI1177</f>
        <v>4</v>
      </c>
      <c r="AK1177" s="1" t="n">
        <f aca="false">N(AK1176)+$AJ1177</f>
        <v>3568</v>
      </c>
    </row>
    <row r="1178" customFormat="false" ht="13.5" hidden="false" customHeight="false" outlineLevel="0" collapsed="false">
      <c r="A1178" s="1" t="str">
        <f aca="false">IF(对接源_01水果!$C1178="","",对接源_01水果!$C1178)</f>
        <v/>
      </c>
      <c r="B1178" s="1" t="n">
        <f aca="false">IF(A1178="",0,IF(MATCH(A1178,$A$4:$A$2403,0)=ROW()-3,1,0))</f>
        <v>0</v>
      </c>
      <c r="C1178" s="1" t="n">
        <f aca="false">N(C1177)+B1178</f>
        <v>13</v>
      </c>
      <c r="K1178" s="1" t="n">
        <f aca="false">IF(OR($K$1="",对接源_01水果!$C1178="",对接源_01水果!$C1178&lt;&gt;$K$1,对接源_01水果!$B1178=""),0,IF(OR(N(对接源_01水果!$B1178)&lt;$K$2,N(对接源_01水果!$B1178)&gt;$K$3),0,1))</f>
        <v>0</v>
      </c>
      <c r="L1178" s="1" t="n">
        <f aca="false">IF(OR($L$1="",对接源_01水果!$C1178="",对接源_01水果!$C1178&lt;&gt;$L$1,对接源_01水果!$B1178=""),0,IF(OR(N(对接源_01水果!$B1178)&lt;$L$2,N(对接源_01水果!$B1178)&gt;$L$3),0,1))</f>
        <v>0</v>
      </c>
      <c r="M1178" s="1" t="n">
        <f aca="false">IF(OR($M$1="",对接源_01水果!$C1178="",对接源_01水果!$C1178&lt;&gt;$M$1,对接源_01水果!$B1178=""),0,IF(OR(N(对接源_01水果!$B1178)&lt;$M$2,N(对接源_01水果!$B1178)&gt;$M$3),0,1))</f>
        <v>0</v>
      </c>
      <c r="N1178" s="1" t="n">
        <f aca="false">IF(OR($N$1="",对接源_01水果!$C1178="",对接源_01水果!$C1178&lt;&gt;$N$1,对接源_01水果!$B1178=""),0,IF(OR(N(对接源_01水果!$B1178)&lt;$N$2,N(对接源_01水果!$B1178)&gt;$N$3),0,1))</f>
        <v>0</v>
      </c>
      <c r="P1178" s="1" t="n">
        <f aca="false">IF(AND($K1178=1,AND(对接源_01水果!$X1178="公司筐",N(对接源_01水果!$T1178)&lt;&gt;0)),1,0)</f>
        <v>0</v>
      </c>
      <c r="Q1178" s="1" t="n">
        <f aca="false">N(Q1177)+$P1178</f>
        <v>3</v>
      </c>
      <c r="R1178" s="1" t="n">
        <f aca="false">IF(AND($K1178=1,AND(对接源_01水果!$X1178="公司筐",N(对接源_01水果!$U1178)&lt;&gt;0)),1,0)</f>
        <v>0</v>
      </c>
      <c r="S1178" s="1" t="n">
        <f aca="false">N(S1177)+$R1178</f>
        <v>0</v>
      </c>
      <c r="T1178" s="1" t="n">
        <f aca="false">IF(AND($K1178=1,AND(对接源_01水果!$X1178="公司筐",N(对接源_01水果!$V1178)&lt;&gt;0)),1,0)</f>
        <v>0</v>
      </c>
      <c r="U1178" s="1" t="n">
        <f aca="false">N(U1177)+$T1178</f>
        <v>28</v>
      </c>
      <c r="V1178" s="1" t="n">
        <f aca="false">IF(AND($L1178=1,AND(对接源_01水果!$X1178="自备筐",N(对接源_01水果!$V1178)&lt;&gt;0)),1,0)</f>
        <v>0</v>
      </c>
      <c r="W1178" s="1" t="n">
        <f aca="false">N(W1177)+$V1178</f>
        <v>7</v>
      </c>
      <c r="X1178" s="1" t="n">
        <f aca="false">IF(AND($L1178=1,AND(对接源_01水果!$X1178="自备筐",N(对接源_01水果!$T1178)&lt;&gt;0)),1,0)</f>
        <v>0</v>
      </c>
      <c r="Y1178" s="1" t="n">
        <f aca="false">N(Y1177)+$X1178</f>
        <v>0</v>
      </c>
      <c r="Z1178" s="1" t="n">
        <f aca="false">IF(AND($M1178=1,对接源_01水果!$D1178="原料入库"),1,0)</f>
        <v>0</v>
      </c>
      <c r="AA1178" s="1" t="n">
        <f aca="false">N(AA1177)+$Z1178</f>
        <v>30</v>
      </c>
      <c r="AB1178" s="1" t="n">
        <f aca="false">IF(AND($M1178=1,LEFT(对接源_01水果!$D1178,4)="原料出库"),1,0)</f>
        <v>0</v>
      </c>
      <c r="AC1178" s="1" t="n">
        <f aca="false">N(AC1177)+$AB1178</f>
        <v>19</v>
      </c>
      <c r="AD1178" s="1" t="n">
        <f aca="false">IF(AND($M1178=1,LEFT(对接源_01水果!$D1178,4)="成品出库"),1,0)</f>
        <v>0</v>
      </c>
      <c r="AE1178" s="1" t="n">
        <f aca="false">N(AE1177)+$AD1178</f>
        <v>38</v>
      </c>
      <c r="AF1178" s="1" t="n">
        <f aca="false">IF(AND($N1178=1,AND(LEFT(对接源_01水果!$D1178,4)="包装物料",N(对接源_01水果!$K1178)&lt;&gt;0)),1,0)</f>
        <v>0</v>
      </c>
      <c r="AG1178" s="90" t="str">
        <f aca="false">IF(对接源_01水果!$AC1178="","",对接源_01水果!$AC1178)</f>
        <v/>
      </c>
      <c r="AH1178" s="1" t="n">
        <f aca="false">IF(AND($N1178=1,AND(LEFT(对接源_01水果!$D1178,3)="周转筐",N(对接源_01水果!$K1178)&lt;&gt;0)),1,0)</f>
        <v>0</v>
      </c>
      <c r="AI1178" s="90" t="n">
        <f aca="false">IF(AG1178="",0,IF(MATCH(AG1178,$AG$4:$AG$1203,0)=ROW()-3,1,0))</f>
        <v>0</v>
      </c>
      <c r="AJ1178" s="90" t="n">
        <f aca="false">N(AJ1177)+AI1178</f>
        <v>4</v>
      </c>
      <c r="AK1178" s="1" t="n">
        <f aca="false">N(AK1177)+$AJ1178</f>
        <v>3572</v>
      </c>
    </row>
    <row r="1179" customFormat="false" ht="13.5" hidden="false" customHeight="false" outlineLevel="0" collapsed="false">
      <c r="A1179" s="1" t="str">
        <f aca="false">IF(对接源_01水果!$C1179="","",对接源_01水果!$C1179)</f>
        <v/>
      </c>
      <c r="B1179" s="1" t="n">
        <f aca="false">IF(A1179="",0,IF(MATCH(A1179,$A$4:$A$2403,0)=ROW()-3,1,0))</f>
        <v>0</v>
      </c>
      <c r="C1179" s="1" t="n">
        <f aca="false">N(C1178)+B1179</f>
        <v>13</v>
      </c>
      <c r="K1179" s="1" t="n">
        <f aca="false">IF(OR($K$1="",对接源_01水果!$C1179="",对接源_01水果!$C1179&lt;&gt;$K$1,对接源_01水果!$B1179=""),0,IF(OR(N(对接源_01水果!$B1179)&lt;$K$2,N(对接源_01水果!$B1179)&gt;$K$3),0,1))</f>
        <v>0</v>
      </c>
      <c r="L1179" s="1" t="n">
        <f aca="false">IF(OR($L$1="",对接源_01水果!$C1179="",对接源_01水果!$C1179&lt;&gt;$L$1,对接源_01水果!$B1179=""),0,IF(OR(N(对接源_01水果!$B1179)&lt;$L$2,N(对接源_01水果!$B1179)&gt;$L$3),0,1))</f>
        <v>0</v>
      </c>
      <c r="M1179" s="1" t="n">
        <f aca="false">IF(OR($M$1="",对接源_01水果!$C1179="",对接源_01水果!$C1179&lt;&gt;$M$1,对接源_01水果!$B1179=""),0,IF(OR(N(对接源_01水果!$B1179)&lt;$M$2,N(对接源_01水果!$B1179)&gt;$M$3),0,1))</f>
        <v>0</v>
      </c>
      <c r="N1179" s="1" t="n">
        <f aca="false">IF(OR($N$1="",对接源_01水果!$C1179="",对接源_01水果!$C1179&lt;&gt;$N$1,对接源_01水果!$B1179=""),0,IF(OR(N(对接源_01水果!$B1179)&lt;$N$2,N(对接源_01水果!$B1179)&gt;$N$3),0,1))</f>
        <v>0</v>
      </c>
      <c r="P1179" s="1" t="n">
        <f aca="false">IF(AND($K1179=1,AND(对接源_01水果!$X1179="公司筐",N(对接源_01水果!$T1179)&lt;&gt;0)),1,0)</f>
        <v>0</v>
      </c>
      <c r="Q1179" s="1" t="n">
        <f aca="false">N(Q1178)+$P1179</f>
        <v>3</v>
      </c>
      <c r="R1179" s="1" t="n">
        <f aca="false">IF(AND($K1179=1,AND(对接源_01水果!$X1179="公司筐",N(对接源_01水果!$U1179)&lt;&gt;0)),1,0)</f>
        <v>0</v>
      </c>
      <c r="S1179" s="1" t="n">
        <f aca="false">N(S1178)+$R1179</f>
        <v>0</v>
      </c>
      <c r="T1179" s="1" t="n">
        <f aca="false">IF(AND($K1179=1,AND(对接源_01水果!$X1179="公司筐",N(对接源_01水果!$V1179)&lt;&gt;0)),1,0)</f>
        <v>0</v>
      </c>
      <c r="U1179" s="1" t="n">
        <f aca="false">N(U1178)+$T1179</f>
        <v>28</v>
      </c>
      <c r="V1179" s="1" t="n">
        <f aca="false">IF(AND($L1179=1,AND(对接源_01水果!$X1179="自备筐",N(对接源_01水果!$V1179)&lt;&gt;0)),1,0)</f>
        <v>0</v>
      </c>
      <c r="W1179" s="1" t="n">
        <f aca="false">N(W1178)+$V1179</f>
        <v>7</v>
      </c>
      <c r="X1179" s="1" t="n">
        <f aca="false">IF(AND($L1179=1,AND(对接源_01水果!$X1179="自备筐",N(对接源_01水果!$T1179)&lt;&gt;0)),1,0)</f>
        <v>0</v>
      </c>
      <c r="Y1179" s="1" t="n">
        <f aca="false">N(Y1178)+$X1179</f>
        <v>0</v>
      </c>
      <c r="Z1179" s="1" t="n">
        <f aca="false">IF(AND($M1179=1,对接源_01水果!$D1179="原料入库"),1,0)</f>
        <v>0</v>
      </c>
      <c r="AA1179" s="1" t="n">
        <f aca="false">N(AA1178)+$Z1179</f>
        <v>30</v>
      </c>
      <c r="AB1179" s="1" t="n">
        <f aca="false">IF(AND($M1179=1,LEFT(对接源_01水果!$D1179,4)="原料出库"),1,0)</f>
        <v>0</v>
      </c>
      <c r="AC1179" s="1" t="n">
        <f aca="false">N(AC1178)+$AB1179</f>
        <v>19</v>
      </c>
      <c r="AD1179" s="1" t="n">
        <f aca="false">IF(AND($M1179=1,LEFT(对接源_01水果!$D1179,4)="成品出库"),1,0)</f>
        <v>0</v>
      </c>
      <c r="AE1179" s="1" t="n">
        <f aca="false">N(AE1178)+$AD1179</f>
        <v>38</v>
      </c>
      <c r="AF1179" s="1" t="n">
        <f aca="false">IF(AND($N1179=1,AND(LEFT(对接源_01水果!$D1179,4)="包装物料",N(对接源_01水果!$K1179)&lt;&gt;0)),1,0)</f>
        <v>0</v>
      </c>
      <c r="AG1179" s="90" t="str">
        <f aca="false">IF(对接源_01水果!$AC1179="","",对接源_01水果!$AC1179)</f>
        <v/>
      </c>
      <c r="AH1179" s="1" t="n">
        <f aca="false">IF(AND($N1179=1,AND(LEFT(对接源_01水果!$D1179,3)="周转筐",N(对接源_01水果!$K1179)&lt;&gt;0)),1,0)</f>
        <v>0</v>
      </c>
      <c r="AI1179" s="90" t="n">
        <f aca="false">IF(AG1179="",0,IF(MATCH(AG1179,$AG$4:$AG$1203,0)=ROW()-3,1,0))</f>
        <v>0</v>
      </c>
      <c r="AJ1179" s="90" t="n">
        <f aca="false">N(AJ1178)+AI1179</f>
        <v>4</v>
      </c>
      <c r="AK1179" s="1" t="n">
        <f aca="false">N(AK1178)+$AJ1179</f>
        <v>3576</v>
      </c>
    </row>
    <row r="1180" customFormat="false" ht="13.5" hidden="false" customHeight="false" outlineLevel="0" collapsed="false">
      <c r="A1180" s="1" t="str">
        <f aca="false">IF(对接源_01水果!$C1180="","",对接源_01水果!$C1180)</f>
        <v/>
      </c>
      <c r="B1180" s="1" t="n">
        <f aca="false">IF(A1180="",0,IF(MATCH(A1180,$A$4:$A$2403,0)=ROW()-3,1,0))</f>
        <v>0</v>
      </c>
      <c r="C1180" s="1" t="n">
        <f aca="false">N(C1179)+B1180</f>
        <v>13</v>
      </c>
      <c r="K1180" s="1" t="n">
        <f aca="false">IF(OR($K$1="",对接源_01水果!$C1180="",对接源_01水果!$C1180&lt;&gt;$K$1,对接源_01水果!$B1180=""),0,IF(OR(N(对接源_01水果!$B1180)&lt;$K$2,N(对接源_01水果!$B1180)&gt;$K$3),0,1))</f>
        <v>0</v>
      </c>
      <c r="L1180" s="1" t="n">
        <f aca="false">IF(OR($L$1="",对接源_01水果!$C1180="",对接源_01水果!$C1180&lt;&gt;$L$1,对接源_01水果!$B1180=""),0,IF(OR(N(对接源_01水果!$B1180)&lt;$L$2,N(对接源_01水果!$B1180)&gt;$L$3),0,1))</f>
        <v>0</v>
      </c>
      <c r="M1180" s="1" t="n">
        <f aca="false">IF(OR($M$1="",对接源_01水果!$C1180="",对接源_01水果!$C1180&lt;&gt;$M$1,对接源_01水果!$B1180=""),0,IF(OR(N(对接源_01水果!$B1180)&lt;$M$2,N(对接源_01水果!$B1180)&gt;$M$3),0,1))</f>
        <v>0</v>
      </c>
      <c r="N1180" s="1" t="n">
        <f aca="false">IF(OR($N$1="",对接源_01水果!$C1180="",对接源_01水果!$C1180&lt;&gt;$N$1,对接源_01水果!$B1180=""),0,IF(OR(N(对接源_01水果!$B1180)&lt;$N$2,N(对接源_01水果!$B1180)&gt;$N$3),0,1))</f>
        <v>0</v>
      </c>
      <c r="P1180" s="1" t="n">
        <f aca="false">IF(AND($K1180=1,AND(对接源_01水果!$X1180="公司筐",N(对接源_01水果!$T1180)&lt;&gt;0)),1,0)</f>
        <v>0</v>
      </c>
      <c r="Q1180" s="1" t="n">
        <f aca="false">N(Q1179)+$P1180</f>
        <v>3</v>
      </c>
      <c r="R1180" s="1" t="n">
        <f aca="false">IF(AND($K1180=1,AND(对接源_01水果!$X1180="公司筐",N(对接源_01水果!$U1180)&lt;&gt;0)),1,0)</f>
        <v>0</v>
      </c>
      <c r="S1180" s="1" t="n">
        <f aca="false">N(S1179)+$R1180</f>
        <v>0</v>
      </c>
      <c r="T1180" s="1" t="n">
        <f aca="false">IF(AND($K1180=1,AND(对接源_01水果!$X1180="公司筐",N(对接源_01水果!$V1180)&lt;&gt;0)),1,0)</f>
        <v>0</v>
      </c>
      <c r="U1180" s="1" t="n">
        <f aca="false">N(U1179)+$T1180</f>
        <v>28</v>
      </c>
      <c r="V1180" s="1" t="n">
        <f aca="false">IF(AND($L1180=1,AND(对接源_01水果!$X1180="自备筐",N(对接源_01水果!$V1180)&lt;&gt;0)),1,0)</f>
        <v>0</v>
      </c>
      <c r="W1180" s="1" t="n">
        <f aca="false">N(W1179)+$V1180</f>
        <v>7</v>
      </c>
      <c r="X1180" s="1" t="n">
        <f aca="false">IF(AND($L1180=1,AND(对接源_01水果!$X1180="自备筐",N(对接源_01水果!$T1180)&lt;&gt;0)),1,0)</f>
        <v>0</v>
      </c>
      <c r="Y1180" s="1" t="n">
        <f aca="false">N(Y1179)+$X1180</f>
        <v>0</v>
      </c>
      <c r="Z1180" s="1" t="n">
        <f aca="false">IF(AND($M1180=1,对接源_01水果!$D1180="原料入库"),1,0)</f>
        <v>0</v>
      </c>
      <c r="AA1180" s="1" t="n">
        <f aca="false">N(AA1179)+$Z1180</f>
        <v>30</v>
      </c>
      <c r="AB1180" s="1" t="n">
        <f aca="false">IF(AND($M1180=1,LEFT(对接源_01水果!$D1180,4)="原料出库"),1,0)</f>
        <v>0</v>
      </c>
      <c r="AC1180" s="1" t="n">
        <f aca="false">N(AC1179)+$AB1180</f>
        <v>19</v>
      </c>
      <c r="AD1180" s="1" t="n">
        <f aca="false">IF(AND($M1180=1,LEFT(对接源_01水果!$D1180,4)="成品出库"),1,0)</f>
        <v>0</v>
      </c>
      <c r="AE1180" s="1" t="n">
        <f aca="false">N(AE1179)+$AD1180</f>
        <v>38</v>
      </c>
      <c r="AF1180" s="1" t="n">
        <f aca="false">IF(AND($N1180=1,AND(LEFT(对接源_01水果!$D1180,4)="包装物料",N(对接源_01水果!$K1180)&lt;&gt;0)),1,0)</f>
        <v>0</v>
      </c>
      <c r="AG1180" s="90" t="str">
        <f aca="false">IF(对接源_01水果!$AC1180="","",对接源_01水果!$AC1180)</f>
        <v/>
      </c>
      <c r="AH1180" s="1" t="n">
        <f aca="false">IF(AND($N1180=1,AND(LEFT(对接源_01水果!$D1180,3)="周转筐",N(对接源_01水果!$K1180)&lt;&gt;0)),1,0)</f>
        <v>0</v>
      </c>
      <c r="AI1180" s="90" t="n">
        <f aca="false">IF(AG1180="",0,IF(MATCH(AG1180,$AG$4:$AG$1203,0)=ROW()-3,1,0))</f>
        <v>0</v>
      </c>
      <c r="AJ1180" s="90" t="n">
        <f aca="false">N(AJ1179)+AI1180</f>
        <v>4</v>
      </c>
      <c r="AK1180" s="1" t="n">
        <f aca="false">N(AK1179)+$AJ1180</f>
        <v>3580</v>
      </c>
    </row>
    <row r="1181" customFormat="false" ht="13.5" hidden="false" customHeight="false" outlineLevel="0" collapsed="false">
      <c r="A1181" s="1" t="str">
        <f aca="false">IF(对接源_01水果!$C1181="","",对接源_01水果!$C1181)</f>
        <v/>
      </c>
      <c r="B1181" s="1" t="n">
        <f aca="false">IF(A1181="",0,IF(MATCH(A1181,$A$4:$A$2403,0)=ROW()-3,1,0))</f>
        <v>0</v>
      </c>
      <c r="C1181" s="1" t="n">
        <f aca="false">N(C1180)+B1181</f>
        <v>13</v>
      </c>
      <c r="K1181" s="1" t="n">
        <f aca="false">IF(OR($K$1="",对接源_01水果!$C1181="",对接源_01水果!$C1181&lt;&gt;$K$1,对接源_01水果!$B1181=""),0,IF(OR(N(对接源_01水果!$B1181)&lt;$K$2,N(对接源_01水果!$B1181)&gt;$K$3),0,1))</f>
        <v>0</v>
      </c>
      <c r="L1181" s="1" t="n">
        <f aca="false">IF(OR($L$1="",对接源_01水果!$C1181="",对接源_01水果!$C1181&lt;&gt;$L$1,对接源_01水果!$B1181=""),0,IF(OR(N(对接源_01水果!$B1181)&lt;$L$2,N(对接源_01水果!$B1181)&gt;$L$3),0,1))</f>
        <v>0</v>
      </c>
      <c r="M1181" s="1" t="n">
        <f aca="false">IF(OR($M$1="",对接源_01水果!$C1181="",对接源_01水果!$C1181&lt;&gt;$M$1,对接源_01水果!$B1181=""),0,IF(OR(N(对接源_01水果!$B1181)&lt;$M$2,N(对接源_01水果!$B1181)&gt;$M$3),0,1))</f>
        <v>0</v>
      </c>
      <c r="N1181" s="1" t="n">
        <f aca="false">IF(OR($N$1="",对接源_01水果!$C1181="",对接源_01水果!$C1181&lt;&gt;$N$1,对接源_01水果!$B1181=""),0,IF(OR(N(对接源_01水果!$B1181)&lt;$N$2,N(对接源_01水果!$B1181)&gt;$N$3),0,1))</f>
        <v>0</v>
      </c>
      <c r="P1181" s="1" t="n">
        <f aca="false">IF(AND($K1181=1,AND(对接源_01水果!$X1181="公司筐",N(对接源_01水果!$T1181)&lt;&gt;0)),1,0)</f>
        <v>0</v>
      </c>
      <c r="Q1181" s="1" t="n">
        <f aca="false">N(Q1180)+$P1181</f>
        <v>3</v>
      </c>
      <c r="R1181" s="1" t="n">
        <f aca="false">IF(AND($K1181=1,AND(对接源_01水果!$X1181="公司筐",N(对接源_01水果!$U1181)&lt;&gt;0)),1,0)</f>
        <v>0</v>
      </c>
      <c r="S1181" s="1" t="n">
        <f aca="false">N(S1180)+$R1181</f>
        <v>0</v>
      </c>
      <c r="T1181" s="1" t="n">
        <f aca="false">IF(AND($K1181=1,AND(对接源_01水果!$X1181="公司筐",N(对接源_01水果!$V1181)&lt;&gt;0)),1,0)</f>
        <v>0</v>
      </c>
      <c r="U1181" s="1" t="n">
        <f aca="false">N(U1180)+$T1181</f>
        <v>28</v>
      </c>
      <c r="V1181" s="1" t="n">
        <f aca="false">IF(AND($L1181=1,AND(对接源_01水果!$X1181="自备筐",N(对接源_01水果!$V1181)&lt;&gt;0)),1,0)</f>
        <v>0</v>
      </c>
      <c r="W1181" s="1" t="n">
        <f aca="false">N(W1180)+$V1181</f>
        <v>7</v>
      </c>
      <c r="X1181" s="1" t="n">
        <f aca="false">IF(AND($L1181=1,AND(对接源_01水果!$X1181="自备筐",N(对接源_01水果!$T1181)&lt;&gt;0)),1,0)</f>
        <v>0</v>
      </c>
      <c r="Y1181" s="1" t="n">
        <f aca="false">N(Y1180)+$X1181</f>
        <v>0</v>
      </c>
      <c r="Z1181" s="1" t="n">
        <f aca="false">IF(AND($M1181=1,对接源_01水果!$D1181="原料入库"),1,0)</f>
        <v>0</v>
      </c>
      <c r="AA1181" s="1" t="n">
        <f aca="false">N(AA1180)+$Z1181</f>
        <v>30</v>
      </c>
      <c r="AB1181" s="1" t="n">
        <f aca="false">IF(AND($M1181=1,LEFT(对接源_01水果!$D1181,4)="原料出库"),1,0)</f>
        <v>0</v>
      </c>
      <c r="AC1181" s="1" t="n">
        <f aca="false">N(AC1180)+$AB1181</f>
        <v>19</v>
      </c>
      <c r="AD1181" s="1" t="n">
        <f aca="false">IF(AND($M1181=1,LEFT(对接源_01水果!$D1181,4)="成品出库"),1,0)</f>
        <v>0</v>
      </c>
      <c r="AE1181" s="1" t="n">
        <f aca="false">N(AE1180)+$AD1181</f>
        <v>38</v>
      </c>
      <c r="AF1181" s="1" t="n">
        <f aca="false">IF(AND($N1181=1,AND(LEFT(对接源_01水果!$D1181,4)="包装物料",N(对接源_01水果!$K1181)&lt;&gt;0)),1,0)</f>
        <v>0</v>
      </c>
      <c r="AG1181" s="90" t="str">
        <f aca="false">IF(对接源_01水果!$AC1181="","",对接源_01水果!$AC1181)</f>
        <v/>
      </c>
      <c r="AH1181" s="1" t="n">
        <f aca="false">IF(AND($N1181=1,AND(LEFT(对接源_01水果!$D1181,3)="周转筐",N(对接源_01水果!$K1181)&lt;&gt;0)),1,0)</f>
        <v>0</v>
      </c>
      <c r="AI1181" s="90" t="n">
        <f aca="false">IF(AG1181="",0,IF(MATCH(AG1181,$AG$4:$AG$1203,0)=ROW()-3,1,0))</f>
        <v>0</v>
      </c>
      <c r="AJ1181" s="90" t="n">
        <f aca="false">N(AJ1180)+AI1181</f>
        <v>4</v>
      </c>
      <c r="AK1181" s="1" t="n">
        <f aca="false">N(AK1180)+$AJ1181</f>
        <v>3584</v>
      </c>
    </row>
    <row r="1182" customFormat="false" ht="13.5" hidden="false" customHeight="false" outlineLevel="0" collapsed="false">
      <c r="A1182" s="1" t="str">
        <f aca="false">IF(对接源_01水果!$C1182="","",对接源_01水果!$C1182)</f>
        <v/>
      </c>
      <c r="B1182" s="1" t="n">
        <f aca="false">IF(A1182="",0,IF(MATCH(A1182,$A$4:$A$2403,0)=ROW()-3,1,0))</f>
        <v>0</v>
      </c>
      <c r="C1182" s="1" t="n">
        <f aca="false">N(C1181)+B1182</f>
        <v>13</v>
      </c>
      <c r="K1182" s="1" t="n">
        <f aca="false">IF(OR($K$1="",对接源_01水果!$C1182="",对接源_01水果!$C1182&lt;&gt;$K$1,对接源_01水果!$B1182=""),0,IF(OR(N(对接源_01水果!$B1182)&lt;$K$2,N(对接源_01水果!$B1182)&gt;$K$3),0,1))</f>
        <v>0</v>
      </c>
      <c r="L1182" s="1" t="n">
        <f aca="false">IF(OR($L$1="",对接源_01水果!$C1182="",对接源_01水果!$C1182&lt;&gt;$L$1,对接源_01水果!$B1182=""),0,IF(OR(N(对接源_01水果!$B1182)&lt;$L$2,N(对接源_01水果!$B1182)&gt;$L$3),0,1))</f>
        <v>0</v>
      </c>
      <c r="M1182" s="1" t="n">
        <f aca="false">IF(OR($M$1="",对接源_01水果!$C1182="",对接源_01水果!$C1182&lt;&gt;$M$1,对接源_01水果!$B1182=""),0,IF(OR(N(对接源_01水果!$B1182)&lt;$M$2,N(对接源_01水果!$B1182)&gt;$M$3),0,1))</f>
        <v>0</v>
      </c>
      <c r="N1182" s="1" t="n">
        <f aca="false">IF(OR($N$1="",对接源_01水果!$C1182="",对接源_01水果!$C1182&lt;&gt;$N$1,对接源_01水果!$B1182=""),0,IF(OR(N(对接源_01水果!$B1182)&lt;$N$2,N(对接源_01水果!$B1182)&gt;$N$3),0,1))</f>
        <v>0</v>
      </c>
      <c r="P1182" s="1" t="n">
        <f aca="false">IF(AND($K1182=1,AND(对接源_01水果!$X1182="公司筐",N(对接源_01水果!$T1182)&lt;&gt;0)),1,0)</f>
        <v>0</v>
      </c>
      <c r="Q1182" s="1" t="n">
        <f aca="false">N(Q1181)+$P1182</f>
        <v>3</v>
      </c>
      <c r="R1182" s="1" t="n">
        <f aca="false">IF(AND($K1182=1,AND(对接源_01水果!$X1182="公司筐",N(对接源_01水果!$U1182)&lt;&gt;0)),1,0)</f>
        <v>0</v>
      </c>
      <c r="S1182" s="1" t="n">
        <f aca="false">N(S1181)+$R1182</f>
        <v>0</v>
      </c>
      <c r="T1182" s="1" t="n">
        <f aca="false">IF(AND($K1182=1,AND(对接源_01水果!$X1182="公司筐",N(对接源_01水果!$V1182)&lt;&gt;0)),1,0)</f>
        <v>0</v>
      </c>
      <c r="U1182" s="1" t="n">
        <f aca="false">N(U1181)+$T1182</f>
        <v>28</v>
      </c>
      <c r="V1182" s="1" t="n">
        <f aca="false">IF(AND($L1182=1,AND(对接源_01水果!$X1182="自备筐",N(对接源_01水果!$V1182)&lt;&gt;0)),1,0)</f>
        <v>0</v>
      </c>
      <c r="W1182" s="1" t="n">
        <f aca="false">N(W1181)+$V1182</f>
        <v>7</v>
      </c>
      <c r="X1182" s="1" t="n">
        <f aca="false">IF(AND($L1182=1,AND(对接源_01水果!$X1182="自备筐",N(对接源_01水果!$T1182)&lt;&gt;0)),1,0)</f>
        <v>0</v>
      </c>
      <c r="Y1182" s="1" t="n">
        <f aca="false">N(Y1181)+$X1182</f>
        <v>0</v>
      </c>
      <c r="Z1182" s="1" t="n">
        <f aca="false">IF(AND($M1182=1,对接源_01水果!$D1182="原料入库"),1,0)</f>
        <v>0</v>
      </c>
      <c r="AA1182" s="1" t="n">
        <f aca="false">N(AA1181)+$Z1182</f>
        <v>30</v>
      </c>
      <c r="AB1182" s="1" t="n">
        <f aca="false">IF(AND($M1182=1,LEFT(对接源_01水果!$D1182,4)="原料出库"),1,0)</f>
        <v>0</v>
      </c>
      <c r="AC1182" s="1" t="n">
        <f aca="false">N(AC1181)+$AB1182</f>
        <v>19</v>
      </c>
      <c r="AD1182" s="1" t="n">
        <f aca="false">IF(AND($M1182=1,LEFT(对接源_01水果!$D1182,4)="成品出库"),1,0)</f>
        <v>0</v>
      </c>
      <c r="AE1182" s="1" t="n">
        <f aca="false">N(AE1181)+$AD1182</f>
        <v>38</v>
      </c>
      <c r="AF1182" s="1" t="n">
        <f aca="false">IF(AND($N1182=1,AND(LEFT(对接源_01水果!$D1182,4)="包装物料",N(对接源_01水果!$K1182)&lt;&gt;0)),1,0)</f>
        <v>0</v>
      </c>
      <c r="AG1182" s="90" t="str">
        <f aca="false">IF(对接源_01水果!$AC1182="","",对接源_01水果!$AC1182)</f>
        <v/>
      </c>
      <c r="AH1182" s="1" t="n">
        <f aca="false">IF(AND($N1182=1,AND(LEFT(对接源_01水果!$D1182,3)="周转筐",N(对接源_01水果!$K1182)&lt;&gt;0)),1,0)</f>
        <v>0</v>
      </c>
      <c r="AI1182" s="90" t="n">
        <f aca="false">IF(AG1182="",0,IF(MATCH(AG1182,$AG$4:$AG$1203,0)=ROW()-3,1,0))</f>
        <v>0</v>
      </c>
      <c r="AJ1182" s="90" t="n">
        <f aca="false">N(AJ1181)+AI1182</f>
        <v>4</v>
      </c>
      <c r="AK1182" s="1" t="n">
        <f aca="false">N(AK1181)+$AJ1182</f>
        <v>3588</v>
      </c>
    </row>
    <row r="1183" customFormat="false" ht="13.5" hidden="false" customHeight="false" outlineLevel="0" collapsed="false">
      <c r="A1183" s="1" t="str">
        <f aca="false">IF(对接源_01水果!$C1183="","",对接源_01水果!$C1183)</f>
        <v/>
      </c>
      <c r="B1183" s="1" t="n">
        <f aca="false">IF(A1183="",0,IF(MATCH(A1183,$A$4:$A$2403,0)=ROW()-3,1,0))</f>
        <v>0</v>
      </c>
      <c r="C1183" s="1" t="n">
        <f aca="false">N(C1182)+B1183</f>
        <v>13</v>
      </c>
      <c r="K1183" s="1" t="n">
        <f aca="false">IF(OR($K$1="",对接源_01水果!$C1183="",对接源_01水果!$C1183&lt;&gt;$K$1,对接源_01水果!$B1183=""),0,IF(OR(N(对接源_01水果!$B1183)&lt;$K$2,N(对接源_01水果!$B1183)&gt;$K$3),0,1))</f>
        <v>0</v>
      </c>
      <c r="L1183" s="1" t="n">
        <f aca="false">IF(OR($L$1="",对接源_01水果!$C1183="",对接源_01水果!$C1183&lt;&gt;$L$1,对接源_01水果!$B1183=""),0,IF(OR(N(对接源_01水果!$B1183)&lt;$L$2,N(对接源_01水果!$B1183)&gt;$L$3),0,1))</f>
        <v>0</v>
      </c>
      <c r="M1183" s="1" t="n">
        <f aca="false">IF(OR($M$1="",对接源_01水果!$C1183="",对接源_01水果!$C1183&lt;&gt;$M$1,对接源_01水果!$B1183=""),0,IF(OR(N(对接源_01水果!$B1183)&lt;$M$2,N(对接源_01水果!$B1183)&gt;$M$3),0,1))</f>
        <v>0</v>
      </c>
      <c r="N1183" s="1" t="n">
        <f aca="false">IF(OR($N$1="",对接源_01水果!$C1183="",对接源_01水果!$C1183&lt;&gt;$N$1,对接源_01水果!$B1183=""),0,IF(OR(N(对接源_01水果!$B1183)&lt;$N$2,N(对接源_01水果!$B1183)&gt;$N$3),0,1))</f>
        <v>0</v>
      </c>
      <c r="P1183" s="1" t="n">
        <f aca="false">IF(AND($K1183=1,AND(对接源_01水果!$X1183="公司筐",N(对接源_01水果!$T1183)&lt;&gt;0)),1,0)</f>
        <v>0</v>
      </c>
      <c r="Q1183" s="1" t="n">
        <f aca="false">N(Q1182)+$P1183</f>
        <v>3</v>
      </c>
      <c r="R1183" s="1" t="n">
        <f aca="false">IF(AND($K1183=1,AND(对接源_01水果!$X1183="公司筐",N(对接源_01水果!$U1183)&lt;&gt;0)),1,0)</f>
        <v>0</v>
      </c>
      <c r="S1183" s="1" t="n">
        <f aca="false">N(S1182)+$R1183</f>
        <v>0</v>
      </c>
      <c r="T1183" s="1" t="n">
        <f aca="false">IF(AND($K1183=1,AND(对接源_01水果!$X1183="公司筐",N(对接源_01水果!$V1183)&lt;&gt;0)),1,0)</f>
        <v>0</v>
      </c>
      <c r="U1183" s="1" t="n">
        <f aca="false">N(U1182)+$T1183</f>
        <v>28</v>
      </c>
      <c r="V1183" s="1" t="n">
        <f aca="false">IF(AND($L1183=1,AND(对接源_01水果!$X1183="自备筐",N(对接源_01水果!$V1183)&lt;&gt;0)),1,0)</f>
        <v>0</v>
      </c>
      <c r="W1183" s="1" t="n">
        <f aca="false">N(W1182)+$V1183</f>
        <v>7</v>
      </c>
      <c r="X1183" s="1" t="n">
        <f aca="false">IF(AND($L1183=1,AND(对接源_01水果!$X1183="自备筐",N(对接源_01水果!$T1183)&lt;&gt;0)),1,0)</f>
        <v>0</v>
      </c>
      <c r="Y1183" s="1" t="n">
        <f aca="false">N(Y1182)+$X1183</f>
        <v>0</v>
      </c>
      <c r="Z1183" s="1" t="n">
        <f aca="false">IF(AND($M1183=1,对接源_01水果!$D1183="原料入库"),1,0)</f>
        <v>0</v>
      </c>
      <c r="AA1183" s="1" t="n">
        <f aca="false">N(AA1182)+$Z1183</f>
        <v>30</v>
      </c>
      <c r="AB1183" s="1" t="n">
        <f aca="false">IF(AND($M1183=1,LEFT(对接源_01水果!$D1183,4)="原料出库"),1,0)</f>
        <v>0</v>
      </c>
      <c r="AC1183" s="1" t="n">
        <f aca="false">N(AC1182)+$AB1183</f>
        <v>19</v>
      </c>
      <c r="AD1183" s="1" t="n">
        <f aca="false">IF(AND($M1183=1,LEFT(对接源_01水果!$D1183,4)="成品出库"),1,0)</f>
        <v>0</v>
      </c>
      <c r="AE1183" s="1" t="n">
        <f aca="false">N(AE1182)+$AD1183</f>
        <v>38</v>
      </c>
      <c r="AF1183" s="1" t="n">
        <f aca="false">IF(AND($N1183=1,AND(LEFT(对接源_01水果!$D1183,4)="包装物料",N(对接源_01水果!$K1183)&lt;&gt;0)),1,0)</f>
        <v>0</v>
      </c>
      <c r="AG1183" s="90" t="str">
        <f aca="false">IF(对接源_01水果!$AC1183="","",对接源_01水果!$AC1183)</f>
        <v/>
      </c>
      <c r="AH1183" s="1" t="n">
        <f aca="false">IF(AND($N1183=1,AND(LEFT(对接源_01水果!$D1183,3)="周转筐",N(对接源_01水果!$K1183)&lt;&gt;0)),1,0)</f>
        <v>0</v>
      </c>
      <c r="AI1183" s="90" t="n">
        <f aca="false">IF(AG1183="",0,IF(MATCH(AG1183,$AG$4:$AG$1203,0)=ROW()-3,1,0))</f>
        <v>0</v>
      </c>
      <c r="AJ1183" s="90" t="n">
        <f aca="false">N(AJ1182)+AI1183</f>
        <v>4</v>
      </c>
      <c r="AK1183" s="1" t="n">
        <f aca="false">N(AK1182)+$AJ1183</f>
        <v>3592</v>
      </c>
    </row>
    <row r="1184" customFormat="false" ht="13.5" hidden="false" customHeight="false" outlineLevel="0" collapsed="false">
      <c r="A1184" s="1" t="str">
        <f aca="false">IF(对接源_01水果!$C1184="","",对接源_01水果!$C1184)</f>
        <v/>
      </c>
      <c r="B1184" s="1" t="n">
        <f aca="false">IF(A1184="",0,IF(MATCH(A1184,$A$4:$A$2403,0)=ROW()-3,1,0))</f>
        <v>0</v>
      </c>
      <c r="C1184" s="1" t="n">
        <f aca="false">N(C1183)+B1184</f>
        <v>13</v>
      </c>
      <c r="K1184" s="1" t="n">
        <f aca="false">IF(OR($K$1="",对接源_01水果!$C1184="",对接源_01水果!$C1184&lt;&gt;$K$1,对接源_01水果!$B1184=""),0,IF(OR(N(对接源_01水果!$B1184)&lt;$K$2,N(对接源_01水果!$B1184)&gt;$K$3),0,1))</f>
        <v>0</v>
      </c>
      <c r="L1184" s="1" t="n">
        <f aca="false">IF(OR($L$1="",对接源_01水果!$C1184="",对接源_01水果!$C1184&lt;&gt;$L$1,对接源_01水果!$B1184=""),0,IF(OR(N(对接源_01水果!$B1184)&lt;$L$2,N(对接源_01水果!$B1184)&gt;$L$3),0,1))</f>
        <v>0</v>
      </c>
      <c r="M1184" s="1" t="n">
        <f aca="false">IF(OR($M$1="",对接源_01水果!$C1184="",对接源_01水果!$C1184&lt;&gt;$M$1,对接源_01水果!$B1184=""),0,IF(OR(N(对接源_01水果!$B1184)&lt;$M$2,N(对接源_01水果!$B1184)&gt;$M$3),0,1))</f>
        <v>0</v>
      </c>
      <c r="N1184" s="1" t="n">
        <f aca="false">IF(OR($N$1="",对接源_01水果!$C1184="",对接源_01水果!$C1184&lt;&gt;$N$1,对接源_01水果!$B1184=""),0,IF(OR(N(对接源_01水果!$B1184)&lt;$N$2,N(对接源_01水果!$B1184)&gt;$N$3),0,1))</f>
        <v>0</v>
      </c>
      <c r="P1184" s="1" t="n">
        <f aca="false">IF(AND($K1184=1,AND(对接源_01水果!$X1184="公司筐",N(对接源_01水果!$T1184)&lt;&gt;0)),1,0)</f>
        <v>0</v>
      </c>
      <c r="Q1184" s="1" t="n">
        <f aca="false">N(Q1183)+$P1184</f>
        <v>3</v>
      </c>
      <c r="R1184" s="1" t="n">
        <f aca="false">IF(AND($K1184=1,AND(对接源_01水果!$X1184="公司筐",N(对接源_01水果!$U1184)&lt;&gt;0)),1,0)</f>
        <v>0</v>
      </c>
      <c r="S1184" s="1" t="n">
        <f aca="false">N(S1183)+$R1184</f>
        <v>0</v>
      </c>
      <c r="T1184" s="1" t="n">
        <f aca="false">IF(AND($K1184=1,AND(对接源_01水果!$X1184="公司筐",N(对接源_01水果!$V1184)&lt;&gt;0)),1,0)</f>
        <v>0</v>
      </c>
      <c r="U1184" s="1" t="n">
        <f aca="false">N(U1183)+$T1184</f>
        <v>28</v>
      </c>
      <c r="V1184" s="1" t="n">
        <f aca="false">IF(AND($L1184=1,AND(对接源_01水果!$X1184="自备筐",N(对接源_01水果!$V1184)&lt;&gt;0)),1,0)</f>
        <v>0</v>
      </c>
      <c r="W1184" s="1" t="n">
        <f aca="false">N(W1183)+$V1184</f>
        <v>7</v>
      </c>
      <c r="X1184" s="1" t="n">
        <f aca="false">IF(AND($L1184=1,AND(对接源_01水果!$X1184="自备筐",N(对接源_01水果!$T1184)&lt;&gt;0)),1,0)</f>
        <v>0</v>
      </c>
      <c r="Y1184" s="1" t="n">
        <f aca="false">N(Y1183)+$X1184</f>
        <v>0</v>
      </c>
      <c r="Z1184" s="1" t="n">
        <f aca="false">IF(AND($M1184=1,对接源_01水果!$D1184="原料入库"),1,0)</f>
        <v>0</v>
      </c>
      <c r="AA1184" s="1" t="n">
        <f aca="false">N(AA1183)+$Z1184</f>
        <v>30</v>
      </c>
      <c r="AB1184" s="1" t="n">
        <f aca="false">IF(AND($M1184=1,LEFT(对接源_01水果!$D1184,4)="原料出库"),1,0)</f>
        <v>0</v>
      </c>
      <c r="AC1184" s="1" t="n">
        <f aca="false">N(AC1183)+$AB1184</f>
        <v>19</v>
      </c>
      <c r="AD1184" s="1" t="n">
        <f aca="false">IF(AND($M1184=1,LEFT(对接源_01水果!$D1184,4)="成品出库"),1,0)</f>
        <v>0</v>
      </c>
      <c r="AE1184" s="1" t="n">
        <f aca="false">N(AE1183)+$AD1184</f>
        <v>38</v>
      </c>
      <c r="AF1184" s="1" t="n">
        <f aca="false">IF(AND($N1184=1,AND(LEFT(对接源_01水果!$D1184,4)="包装物料",N(对接源_01水果!$K1184)&lt;&gt;0)),1,0)</f>
        <v>0</v>
      </c>
      <c r="AG1184" s="90" t="str">
        <f aca="false">IF(对接源_01水果!$AC1184="","",对接源_01水果!$AC1184)</f>
        <v/>
      </c>
      <c r="AH1184" s="1" t="n">
        <f aca="false">IF(AND($N1184=1,AND(LEFT(对接源_01水果!$D1184,3)="周转筐",N(对接源_01水果!$K1184)&lt;&gt;0)),1,0)</f>
        <v>0</v>
      </c>
      <c r="AI1184" s="90" t="n">
        <f aca="false">IF(AG1184="",0,IF(MATCH(AG1184,$AG$4:$AG$1203,0)=ROW()-3,1,0))</f>
        <v>0</v>
      </c>
      <c r="AJ1184" s="90" t="n">
        <f aca="false">N(AJ1183)+AI1184</f>
        <v>4</v>
      </c>
      <c r="AK1184" s="1" t="n">
        <f aca="false">N(AK1183)+$AJ1184</f>
        <v>3596</v>
      </c>
    </row>
    <row r="1185" customFormat="false" ht="13.5" hidden="false" customHeight="false" outlineLevel="0" collapsed="false">
      <c r="A1185" s="1" t="str">
        <f aca="false">IF(对接源_01水果!$C1185="","",对接源_01水果!$C1185)</f>
        <v/>
      </c>
      <c r="B1185" s="1" t="n">
        <f aca="false">IF(A1185="",0,IF(MATCH(A1185,$A$4:$A$2403,0)=ROW()-3,1,0))</f>
        <v>0</v>
      </c>
      <c r="C1185" s="1" t="n">
        <f aca="false">N(C1184)+B1185</f>
        <v>13</v>
      </c>
      <c r="K1185" s="1" t="n">
        <f aca="false">IF(OR($K$1="",对接源_01水果!$C1185="",对接源_01水果!$C1185&lt;&gt;$K$1,对接源_01水果!$B1185=""),0,IF(OR(N(对接源_01水果!$B1185)&lt;$K$2,N(对接源_01水果!$B1185)&gt;$K$3),0,1))</f>
        <v>0</v>
      </c>
      <c r="L1185" s="1" t="n">
        <f aca="false">IF(OR($L$1="",对接源_01水果!$C1185="",对接源_01水果!$C1185&lt;&gt;$L$1,对接源_01水果!$B1185=""),0,IF(OR(N(对接源_01水果!$B1185)&lt;$L$2,N(对接源_01水果!$B1185)&gt;$L$3),0,1))</f>
        <v>0</v>
      </c>
      <c r="M1185" s="1" t="n">
        <f aca="false">IF(OR($M$1="",对接源_01水果!$C1185="",对接源_01水果!$C1185&lt;&gt;$M$1,对接源_01水果!$B1185=""),0,IF(OR(N(对接源_01水果!$B1185)&lt;$M$2,N(对接源_01水果!$B1185)&gt;$M$3),0,1))</f>
        <v>0</v>
      </c>
      <c r="N1185" s="1" t="n">
        <f aca="false">IF(OR($N$1="",对接源_01水果!$C1185="",对接源_01水果!$C1185&lt;&gt;$N$1,对接源_01水果!$B1185=""),0,IF(OR(N(对接源_01水果!$B1185)&lt;$N$2,N(对接源_01水果!$B1185)&gt;$N$3),0,1))</f>
        <v>0</v>
      </c>
      <c r="P1185" s="1" t="n">
        <f aca="false">IF(AND($K1185=1,AND(对接源_01水果!$X1185="公司筐",N(对接源_01水果!$T1185)&lt;&gt;0)),1,0)</f>
        <v>0</v>
      </c>
      <c r="Q1185" s="1" t="n">
        <f aca="false">N(Q1184)+$P1185</f>
        <v>3</v>
      </c>
      <c r="R1185" s="1" t="n">
        <f aca="false">IF(AND($K1185=1,AND(对接源_01水果!$X1185="公司筐",N(对接源_01水果!$U1185)&lt;&gt;0)),1,0)</f>
        <v>0</v>
      </c>
      <c r="S1185" s="1" t="n">
        <f aca="false">N(S1184)+$R1185</f>
        <v>0</v>
      </c>
      <c r="T1185" s="1" t="n">
        <f aca="false">IF(AND($K1185=1,AND(对接源_01水果!$X1185="公司筐",N(对接源_01水果!$V1185)&lt;&gt;0)),1,0)</f>
        <v>0</v>
      </c>
      <c r="U1185" s="1" t="n">
        <f aca="false">N(U1184)+$T1185</f>
        <v>28</v>
      </c>
      <c r="V1185" s="1" t="n">
        <f aca="false">IF(AND($L1185=1,AND(对接源_01水果!$X1185="自备筐",N(对接源_01水果!$V1185)&lt;&gt;0)),1,0)</f>
        <v>0</v>
      </c>
      <c r="W1185" s="1" t="n">
        <f aca="false">N(W1184)+$V1185</f>
        <v>7</v>
      </c>
      <c r="X1185" s="1" t="n">
        <f aca="false">IF(AND($L1185=1,AND(对接源_01水果!$X1185="自备筐",N(对接源_01水果!$T1185)&lt;&gt;0)),1,0)</f>
        <v>0</v>
      </c>
      <c r="Y1185" s="1" t="n">
        <f aca="false">N(Y1184)+$X1185</f>
        <v>0</v>
      </c>
      <c r="Z1185" s="1" t="n">
        <f aca="false">IF(AND($M1185=1,对接源_01水果!$D1185="原料入库"),1,0)</f>
        <v>0</v>
      </c>
      <c r="AA1185" s="1" t="n">
        <f aca="false">N(AA1184)+$Z1185</f>
        <v>30</v>
      </c>
      <c r="AB1185" s="1" t="n">
        <f aca="false">IF(AND($M1185=1,LEFT(对接源_01水果!$D1185,4)="原料出库"),1,0)</f>
        <v>0</v>
      </c>
      <c r="AC1185" s="1" t="n">
        <f aca="false">N(AC1184)+$AB1185</f>
        <v>19</v>
      </c>
      <c r="AD1185" s="1" t="n">
        <f aca="false">IF(AND($M1185=1,LEFT(对接源_01水果!$D1185,4)="成品出库"),1,0)</f>
        <v>0</v>
      </c>
      <c r="AE1185" s="1" t="n">
        <f aca="false">N(AE1184)+$AD1185</f>
        <v>38</v>
      </c>
      <c r="AF1185" s="1" t="n">
        <f aca="false">IF(AND($N1185=1,AND(LEFT(对接源_01水果!$D1185,4)="包装物料",N(对接源_01水果!$K1185)&lt;&gt;0)),1,0)</f>
        <v>0</v>
      </c>
      <c r="AG1185" s="90" t="str">
        <f aca="false">IF(对接源_01水果!$AC1185="","",对接源_01水果!$AC1185)</f>
        <v/>
      </c>
      <c r="AH1185" s="1" t="n">
        <f aca="false">IF(AND($N1185=1,AND(LEFT(对接源_01水果!$D1185,3)="周转筐",N(对接源_01水果!$K1185)&lt;&gt;0)),1,0)</f>
        <v>0</v>
      </c>
      <c r="AI1185" s="90" t="n">
        <f aca="false">IF(AG1185="",0,IF(MATCH(AG1185,$AG$4:$AG$1203,0)=ROW()-3,1,0))</f>
        <v>0</v>
      </c>
      <c r="AJ1185" s="90" t="n">
        <f aca="false">N(AJ1184)+AI1185</f>
        <v>4</v>
      </c>
      <c r="AK1185" s="1" t="n">
        <f aca="false">N(AK1184)+$AJ1185</f>
        <v>3600</v>
      </c>
    </row>
    <row r="1186" customFormat="false" ht="13.5" hidden="false" customHeight="false" outlineLevel="0" collapsed="false">
      <c r="A1186" s="1" t="str">
        <f aca="false">IF(对接源_01水果!$C1186="","",对接源_01水果!$C1186)</f>
        <v/>
      </c>
      <c r="B1186" s="1" t="n">
        <f aca="false">IF(A1186="",0,IF(MATCH(A1186,$A$4:$A$2403,0)=ROW()-3,1,0))</f>
        <v>0</v>
      </c>
      <c r="C1186" s="1" t="n">
        <f aca="false">N(C1185)+B1186</f>
        <v>13</v>
      </c>
      <c r="K1186" s="1" t="n">
        <f aca="false">IF(OR($K$1="",对接源_01水果!$C1186="",对接源_01水果!$C1186&lt;&gt;$K$1,对接源_01水果!$B1186=""),0,IF(OR(N(对接源_01水果!$B1186)&lt;$K$2,N(对接源_01水果!$B1186)&gt;$K$3),0,1))</f>
        <v>0</v>
      </c>
      <c r="L1186" s="1" t="n">
        <f aca="false">IF(OR($L$1="",对接源_01水果!$C1186="",对接源_01水果!$C1186&lt;&gt;$L$1,对接源_01水果!$B1186=""),0,IF(OR(N(对接源_01水果!$B1186)&lt;$L$2,N(对接源_01水果!$B1186)&gt;$L$3),0,1))</f>
        <v>0</v>
      </c>
      <c r="M1186" s="1" t="n">
        <f aca="false">IF(OR($M$1="",对接源_01水果!$C1186="",对接源_01水果!$C1186&lt;&gt;$M$1,对接源_01水果!$B1186=""),0,IF(OR(N(对接源_01水果!$B1186)&lt;$M$2,N(对接源_01水果!$B1186)&gt;$M$3),0,1))</f>
        <v>0</v>
      </c>
      <c r="N1186" s="1" t="n">
        <f aca="false">IF(OR($N$1="",对接源_01水果!$C1186="",对接源_01水果!$C1186&lt;&gt;$N$1,对接源_01水果!$B1186=""),0,IF(OR(N(对接源_01水果!$B1186)&lt;$N$2,N(对接源_01水果!$B1186)&gt;$N$3),0,1))</f>
        <v>0</v>
      </c>
      <c r="P1186" s="1" t="n">
        <f aca="false">IF(AND($K1186=1,AND(对接源_01水果!$X1186="公司筐",N(对接源_01水果!$T1186)&lt;&gt;0)),1,0)</f>
        <v>0</v>
      </c>
      <c r="Q1186" s="1" t="n">
        <f aca="false">N(Q1185)+$P1186</f>
        <v>3</v>
      </c>
      <c r="R1186" s="1" t="n">
        <f aca="false">IF(AND($K1186=1,AND(对接源_01水果!$X1186="公司筐",N(对接源_01水果!$U1186)&lt;&gt;0)),1,0)</f>
        <v>0</v>
      </c>
      <c r="S1186" s="1" t="n">
        <f aca="false">N(S1185)+$R1186</f>
        <v>0</v>
      </c>
      <c r="T1186" s="1" t="n">
        <f aca="false">IF(AND($K1186=1,AND(对接源_01水果!$X1186="公司筐",N(对接源_01水果!$V1186)&lt;&gt;0)),1,0)</f>
        <v>0</v>
      </c>
      <c r="U1186" s="1" t="n">
        <f aca="false">N(U1185)+$T1186</f>
        <v>28</v>
      </c>
      <c r="V1186" s="1" t="n">
        <f aca="false">IF(AND($L1186=1,AND(对接源_01水果!$X1186="自备筐",N(对接源_01水果!$V1186)&lt;&gt;0)),1,0)</f>
        <v>0</v>
      </c>
      <c r="W1186" s="1" t="n">
        <f aca="false">N(W1185)+$V1186</f>
        <v>7</v>
      </c>
      <c r="X1186" s="1" t="n">
        <f aca="false">IF(AND($L1186=1,AND(对接源_01水果!$X1186="自备筐",N(对接源_01水果!$T1186)&lt;&gt;0)),1,0)</f>
        <v>0</v>
      </c>
      <c r="Y1186" s="1" t="n">
        <f aca="false">N(Y1185)+$X1186</f>
        <v>0</v>
      </c>
      <c r="Z1186" s="1" t="n">
        <f aca="false">IF(AND($M1186=1,对接源_01水果!$D1186="原料入库"),1,0)</f>
        <v>0</v>
      </c>
      <c r="AA1186" s="1" t="n">
        <f aca="false">N(AA1185)+$Z1186</f>
        <v>30</v>
      </c>
      <c r="AB1186" s="1" t="n">
        <f aca="false">IF(AND($M1186=1,LEFT(对接源_01水果!$D1186,4)="原料出库"),1,0)</f>
        <v>0</v>
      </c>
      <c r="AC1186" s="1" t="n">
        <f aca="false">N(AC1185)+$AB1186</f>
        <v>19</v>
      </c>
      <c r="AD1186" s="1" t="n">
        <f aca="false">IF(AND($M1186=1,LEFT(对接源_01水果!$D1186,4)="成品出库"),1,0)</f>
        <v>0</v>
      </c>
      <c r="AE1186" s="1" t="n">
        <f aca="false">N(AE1185)+$AD1186</f>
        <v>38</v>
      </c>
      <c r="AF1186" s="1" t="n">
        <f aca="false">IF(AND($N1186=1,AND(LEFT(对接源_01水果!$D1186,4)="包装物料",N(对接源_01水果!$K1186)&lt;&gt;0)),1,0)</f>
        <v>0</v>
      </c>
      <c r="AG1186" s="90" t="str">
        <f aca="false">IF(对接源_01水果!$AC1186="","",对接源_01水果!$AC1186)</f>
        <v/>
      </c>
      <c r="AH1186" s="1" t="n">
        <f aca="false">IF(AND($N1186=1,AND(LEFT(对接源_01水果!$D1186,3)="周转筐",N(对接源_01水果!$K1186)&lt;&gt;0)),1,0)</f>
        <v>0</v>
      </c>
      <c r="AI1186" s="90" t="n">
        <f aca="false">IF(AG1186="",0,IF(MATCH(AG1186,$AG$4:$AG$1203,0)=ROW()-3,1,0))</f>
        <v>0</v>
      </c>
      <c r="AJ1186" s="90" t="n">
        <f aca="false">N(AJ1185)+AI1186</f>
        <v>4</v>
      </c>
      <c r="AK1186" s="1" t="n">
        <f aca="false">N(AK1185)+$AJ1186</f>
        <v>3604</v>
      </c>
    </row>
    <row r="1187" customFormat="false" ht="13.5" hidden="false" customHeight="false" outlineLevel="0" collapsed="false">
      <c r="A1187" s="1" t="str">
        <f aca="false">IF(对接源_01水果!$C1187="","",对接源_01水果!$C1187)</f>
        <v/>
      </c>
      <c r="B1187" s="1" t="n">
        <f aca="false">IF(A1187="",0,IF(MATCH(A1187,$A$4:$A$2403,0)=ROW()-3,1,0))</f>
        <v>0</v>
      </c>
      <c r="C1187" s="1" t="n">
        <f aca="false">N(C1186)+B1187</f>
        <v>13</v>
      </c>
      <c r="K1187" s="1" t="n">
        <f aca="false">IF(OR($K$1="",对接源_01水果!$C1187="",对接源_01水果!$C1187&lt;&gt;$K$1,对接源_01水果!$B1187=""),0,IF(OR(N(对接源_01水果!$B1187)&lt;$K$2,N(对接源_01水果!$B1187)&gt;$K$3),0,1))</f>
        <v>0</v>
      </c>
      <c r="L1187" s="1" t="n">
        <f aca="false">IF(OR($L$1="",对接源_01水果!$C1187="",对接源_01水果!$C1187&lt;&gt;$L$1,对接源_01水果!$B1187=""),0,IF(OR(N(对接源_01水果!$B1187)&lt;$L$2,N(对接源_01水果!$B1187)&gt;$L$3),0,1))</f>
        <v>0</v>
      </c>
      <c r="M1187" s="1" t="n">
        <f aca="false">IF(OR($M$1="",对接源_01水果!$C1187="",对接源_01水果!$C1187&lt;&gt;$M$1,对接源_01水果!$B1187=""),0,IF(OR(N(对接源_01水果!$B1187)&lt;$M$2,N(对接源_01水果!$B1187)&gt;$M$3),0,1))</f>
        <v>0</v>
      </c>
      <c r="N1187" s="1" t="n">
        <f aca="false">IF(OR($N$1="",对接源_01水果!$C1187="",对接源_01水果!$C1187&lt;&gt;$N$1,对接源_01水果!$B1187=""),0,IF(OR(N(对接源_01水果!$B1187)&lt;$N$2,N(对接源_01水果!$B1187)&gt;$N$3),0,1))</f>
        <v>0</v>
      </c>
      <c r="P1187" s="1" t="n">
        <f aca="false">IF(AND($K1187=1,AND(对接源_01水果!$X1187="公司筐",N(对接源_01水果!$T1187)&lt;&gt;0)),1,0)</f>
        <v>0</v>
      </c>
      <c r="Q1187" s="1" t="n">
        <f aca="false">N(Q1186)+$P1187</f>
        <v>3</v>
      </c>
      <c r="R1187" s="1" t="n">
        <f aca="false">IF(AND($K1187=1,AND(对接源_01水果!$X1187="公司筐",N(对接源_01水果!$U1187)&lt;&gt;0)),1,0)</f>
        <v>0</v>
      </c>
      <c r="S1187" s="1" t="n">
        <f aca="false">N(S1186)+$R1187</f>
        <v>0</v>
      </c>
      <c r="T1187" s="1" t="n">
        <f aca="false">IF(AND($K1187=1,AND(对接源_01水果!$X1187="公司筐",N(对接源_01水果!$V1187)&lt;&gt;0)),1,0)</f>
        <v>0</v>
      </c>
      <c r="U1187" s="1" t="n">
        <f aca="false">N(U1186)+$T1187</f>
        <v>28</v>
      </c>
      <c r="V1187" s="1" t="n">
        <f aca="false">IF(AND($L1187=1,AND(对接源_01水果!$X1187="自备筐",N(对接源_01水果!$V1187)&lt;&gt;0)),1,0)</f>
        <v>0</v>
      </c>
      <c r="W1187" s="1" t="n">
        <f aca="false">N(W1186)+$V1187</f>
        <v>7</v>
      </c>
      <c r="X1187" s="1" t="n">
        <f aca="false">IF(AND($L1187=1,AND(对接源_01水果!$X1187="自备筐",N(对接源_01水果!$T1187)&lt;&gt;0)),1,0)</f>
        <v>0</v>
      </c>
      <c r="Y1187" s="1" t="n">
        <f aca="false">N(Y1186)+$X1187</f>
        <v>0</v>
      </c>
      <c r="Z1187" s="1" t="n">
        <f aca="false">IF(AND($M1187=1,对接源_01水果!$D1187="原料入库"),1,0)</f>
        <v>0</v>
      </c>
      <c r="AA1187" s="1" t="n">
        <f aca="false">N(AA1186)+$Z1187</f>
        <v>30</v>
      </c>
      <c r="AB1187" s="1" t="n">
        <f aca="false">IF(AND($M1187=1,LEFT(对接源_01水果!$D1187,4)="原料出库"),1,0)</f>
        <v>0</v>
      </c>
      <c r="AC1187" s="1" t="n">
        <f aca="false">N(AC1186)+$AB1187</f>
        <v>19</v>
      </c>
      <c r="AD1187" s="1" t="n">
        <f aca="false">IF(AND($M1187=1,LEFT(对接源_01水果!$D1187,4)="成品出库"),1,0)</f>
        <v>0</v>
      </c>
      <c r="AE1187" s="1" t="n">
        <f aca="false">N(AE1186)+$AD1187</f>
        <v>38</v>
      </c>
      <c r="AF1187" s="1" t="n">
        <f aca="false">IF(AND($N1187=1,AND(LEFT(对接源_01水果!$D1187,4)="包装物料",N(对接源_01水果!$K1187)&lt;&gt;0)),1,0)</f>
        <v>0</v>
      </c>
      <c r="AG1187" s="90" t="str">
        <f aca="false">IF(对接源_01水果!$AC1187="","",对接源_01水果!$AC1187)</f>
        <v/>
      </c>
      <c r="AH1187" s="1" t="n">
        <f aca="false">IF(AND($N1187=1,AND(LEFT(对接源_01水果!$D1187,3)="周转筐",N(对接源_01水果!$K1187)&lt;&gt;0)),1,0)</f>
        <v>0</v>
      </c>
      <c r="AI1187" s="90" t="n">
        <f aca="false">IF(AG1187="",0,IF(MATCH(AG1187,$AG$4:$AG$1203,0)=ROW()-3,1,0))</f>
        <v>0</v>
      </c>
      <c r="AJ1187" s="90" t="n">
        <f aca="false">N(AJ1186)+AI1187</f>
        <v>4</v>
      </c>
      <c r="AK1187" s="1" t="n">
        <f aca="false">N(AK1186)+$AJ1187</f>
        <v>3608</v>
      </c>
    </row>
    <row r="1188" customFormat="false" ht="13.5" hidden="false" customHeight="false" outlineLevel="0" collapsed="false">
      <c r="A1188" s="1" t="str">
        <f aca="false">IF(对接源_01水果!$C1188="","",对接源_01水果!$C1188)</f>
        <v/>
      </c>
      <c r="B1188" s="1" t="n">
        <f aca="false">IF(A1188="",0,IF(MATCH(A1188,$A$4:$A$2403,0)=ROW()-3,1,0))</f>
        <v>0</v>
      </c>
      <c r="C1188" s="1" t="n">
        <f aca="false">N(C1187)+B1188</f>
        <v>13</v>
      </c>
      <c r="K1188" s="1" t="n">
        <f aca="false">IF(OR($K$1="",对接源_01水果!$C1188="",对接源_01水果!$C1188&lt;&gt;$K$1,对接源_01水果!$B1188=""),0,IF(OR(N(对接源_01水果!$B1188)&lt;$K$2,N(对接源_01水果!$B1188)&gt;$K$3),0,1))</f>
        <v>0</v>
      </c>
      <c r="L1188" s="1" t="n">
        <f aca="false">IF(OR($L$1="",对接源_01水果!$C1188="",对接源_01水果!$C1188&lt;&gt;$L$1,对接源_01水果!$B1188=""),0,IF(OR(N(对接源_01水果!$B1188)&lt;$L$2,N(对接源_01水果!$B1188)&gt;$L$3),0,1))</f>
        <v>0</v>
      </c>
      <c r="M1188" s="1" t="n">
        <f aca="false">IF(OR($M$1="",对接源_01水果!$C1188="",对接源_01水果!$C1188&lt;&gt;$M$1,对接源_01水果!$B1188=""),0,IF(OR(N(对接源_01水果!$B1188)&lt;$M$2,N(对接源_01水果!$B1188)&gt;$M$3),0,1))</f>
        <v>0</v>
      </c>
      <c r="N1188" s="1" t="n">
        <f aca="false">IF(OR($N$1="",对接源_01水果!$C1188="",对接源_01水果!$C1188&lt;&gt;$N$1,对接源_01水果!$B1188=""),0,IF(OR(N(对接源_01水果!$B1188)&lt;$N$2,N(对接源_01水果!$B1188)&gt;$N$3),0,1))</f>
        <v>0</v>
      </c>
      <c r="P1188" s="1" t="n">
        <f aca="false">IF(AND($K1188=1,AND(对接源_01水果!$X1188="公司筐",N(对接源_01水果!$T1188)&lt;&gt;0)),1,0)</f>
        <v>0</v>
      </c>
      <c r="Q1188" s="1" t="n">
        <f aca="false">N(Q1187)+$P1188</f>
        <v>3</v>
      </c>
      <c r="R1188" s="1" t="n">
        <f aca="false">IF(AND($K1188=1,AND(对接源_01水果!$X1188="公司筐",N(对接源_01水果!$U1188)&lt;&gt;0)),1,0)</f>
        <v>0</v>
      </c>
      <c r="S1188" s="1" t="n">
        <f aca="false">N(S1187)+$R1188</f>
        <v>0</v>
      </c>
      <c r="T1188" s="1" t="n">
        <f aca="false">IF(AND($K1188=1,AND(对接源_01水果!$X1188="公司筐",N(对接源_01水果!$V1188)&lt;&gt;0)),1,0)</f>
        <v>0</v>
      </c>
      <c r="U1188" s="1" t="n">
        <f aca="false">N(U1187)+$T1188</f>
        <v>28</v>
      </c>
      <c r="V1188" s="1" t="n">
        <f aca="false">IF(AND($L1188=1,AND(对接源_01水果!$X1188="自备筐",N(对接源_01水果!$V1188)&lt;&gt;0)),1,0)</f>
        <v>0</v>
      </c>
      <c r="W1188" s="1" t="n">
        <f aca="false">N(W1187)+$V1188</f>
        <v>7</v>
      </c>
      <c r="X1188" s="1" t="n">
        <f aca="false">IF(AND($L1188=1,AND(对接源_01水果!$X1188="自备筐",N(对接源_01水果!$T1188)&lt;&gt;0)),1,0)</f>
        <v>0</v>
      </c>
      <c r="Y1188" s="1" t="n">
        <f aca="false">N(Y1187)+$X1188</f>
        <v>0</v>
      </c>
      <c r="Z1188" s="1" t="n">
        <f aca="false">IF(AND($M1188=1,对接源_01水果!$D1188="原料入库"),1,0)</f>
        <v>0</v>
      </c>
      <c r="AA1188" s="1" t="n">
        <f aca="false">N(AA1187)+$Z1188</f>
        <v>30</v>
      </c>
      <c r="AB1188" s="1" t="n">
        <f aca="false">IF(AND($M1188=1,LEFT(对接源_01水果!$D1188,4)="原料出库"),1,0)</f>
        <v>0</v>
      </c>
      <c r="AC1188" s="1" t="n">
        <f aca="false">N(AC1187)+$AB1188</f>
        <v>19</v>
      </c>
      <c r="AD1188" s="1" t="n">
        <f aca="false">IF(AND($M1188=1,LEFT(对接源_01水果!$D1188,4)="成品出库"),1,0)</f>
        <v>0</v>
      </c>
      <c r="AE1188" s="1" t="n">
        <f aca="false">N(AE1187)+$AD1188</f>
        <v>38</v>
      </c>
      <c r="AF1188" s="1" t="n">
        <f aca="false">IF(AND($N1188=1,AND(LEFT(对接源_01水果!$D1188,4)="包装物料",N(对接源_01水果!$K1188)&lt;&gt;0)),1,0)</f>
        <v>0</v>
      </c>
      <c r="AG1188" s="90" t="str">
        <f aca="false">IF(对接源_01水果!$AC1188="","",对接源_01水果!$AC1188)</f>
        <v/>
      </c>
      <c r="AH1188" s="1" t="n">
        <f aca="false">IF(AND($N1188=1,AND(LEFT(对接源_01水果!$D1188,3)="周转筐",N(对接源_01水果!$K1188)&lt;&gt;0)),1,0)</f>
        <v>0</v>
      </c>
      <c r="AI1188" s="90" t="n">
        <f aca="false">IF(AG1188="",0,IF(MATCH(AG1188,$AG$4:$AG$1203,0)=ROW()-3,1,0))</f>
        <v>0</v>
      </c>
      <c r="AJ1188" s="90" t="n">
        <f aca="false">N(AJ1187)+AI1188</f>
        <v>4</v>
      </c>
      <c r="AK1188" s="1" t="n">
        <f aca="false">N(AK1187)+$AJ1188</f>
        <v>3612</v>
      </c>
    </row>
    <row r="1189" customFormat="false" ht="13.5" hidden="false" customHeight="false" outlineLevel="0" collapsed="false">
      <c r="A1189" s="1" t="str">
        <f aca="false">IF(对接源_01水果!$C1189="","",对接源_01水果!$C1189)</f>
        <v/>
      </c>
      <c r="B1189" s="1" t="n">
        <f aca="false">IF(A1189="",0,IF(MATCH(A1189,$A$4:$A$2403,0)=ROW()-3,1,0))</f>
        <v>0</v>
      </c>
      <c r="C1189" s="1" t="n">
        <f aca="false">N(C1188)+B1189</f>
        <v>13</v>
      </c>
      <c r="K1189" s="1" t="n">
        <f aca="false">IF(OR($K$1="",对接源_01水果!$C1189="",对接源_01水果!$C1189&lt;&gt;$K$1,对接源_01水果!$B1189=""),0,IF(OR(N(对接源_01水果!$B1189)&lt;$K$2,N(对接源_01水果!$B1189)&gt;$K$3),0,1))</f>
        <v>0</v>
      </c>
      <c r="L1189" s="1" t="n">
        <f aca="false">IF(OR($L$1="",对接源_01水果!$C1189="",对接源_01水果!$C1189&lt;&gt;$L$1,对接源_01水果!$B1189=""),0,IF(OR(N(对接源_01水果!$B1189)&lt;$L$2,N(对接源_01水果!$B1189)&gt;$L$3),0,1))</f>
        <v>0</v>
      </c>
      <c r="M1189" s="1" t="n">
        <f aca="false">IF(OR($M$1="",对接源_01水果!$C1189="",对接源_01水果!$C1189&lt;&gt;$M$1,对接源_01水果!$B1189=""),0,IF(OR(N(对接源_01水果!$B1189)&lt;$M$2,N(对接源_01水果!$B1189)&gt;$M$3),0,1))</f>
        <v>0</v>
      </c>
      <c r="N1189" s="1" t="n">
        <f aca="false">IF(OR($N$1="",对接源_01水果!$C1189="",对接源_01水果!$C1189&lt;&gt;$N$1,对接源_01水果!$B1189=""),0,IF(OR(N(对接源_01水果!$B1189)&lt;$N$2,N(对接源_01水果!$B1189)&gt;$N$3),0,1))</f>
        <v>0</v>
      </c>
      <c r="P1189" s="1" t="n">
        <f aca="false">IF(AND($K1189=1,AND(对接源_01水果!$X1189="公司筐",N(对接源_01水果!$T1189)&lt;&gt;0)),1,0)</f>
        <v>0</v>
      </c>
      <c r="Q1189" s="1" t="n">
        <f aca="false">N(Q1188)+$P1189</f>
        <v>3</v>
      </c>
      <c r="R1189" s="1" t="n">
        <f aca="false">IF(AND($K1189=1,AND(对接源_01水果!$X1189="公司筐",N(对接源_01水果!$U1189)&lt;&gt;0)),1,0)</f>
        <v>0</v>
      </c>
      <c r="S1189" s="1" t="n">
        <f aca="false">N(S1188)+$R1189</f>
        <v>0</v>
      </c>
      <c r="T1189" s="1" t="n">
        <f aca="false">IF(AND($K1189=1,AND(对接源_01水果!$X1189="公司筐",N(对接源_01水果!$V1189)&lt;&gt;0)),1,0)</f>
        <v>0</v>
      </c>
      <c r="U1189" s="1" t="n">
        <f aca="false">N(U1188)+$T1189</f>
        <v>28</v>
      </c>
      <c r="V1189" s="1" t="n">
        <f aca="false">IF(AND($L1189=1,AND(对接源_01水果!$X1189="自备筐",N(对接源_01水果!$V1189)&lt;&gt;0)),1,0)</f>
        <v>0</v>
      </c>
      <c r="W1189" s="1" t="n">
        <f aca="false">N(W1188)+$V1189</f>
        <v>7</v>
      </c>
      <c r="X1189" s="1" t="n">
        <f aca="false">IF(AND($L1189=1,AND(对接源_01水果!$X1189="自备筐",N(对接源_01水果!$T1189)&lt;&gt;0)),1,0)</f>
        <v>0</v>
      </c>
      <c r="Y1189" s="1" t="n">
        <f aca="false">N(Y1188)+$X1189</f>
        <v>0</v>
      </c>
      <c r="Z1189" s="1" t="n">
        <f aca="false">IF(AND($M1189=1,对接源_01水果!$D1189="原料入库"),1,0)</f>
        <v>0</v>
      </c>
      <c r="AA1189" s="1" t="n">
        <f aca="false">N(AA1188)+$Z1189</f>
        <v>30</v>
      </c>
      <c r="AB1189" s="1" t="n">
        <f aca="false">IF(AND($M1189=1,LEFT(对接源_01水果!$D1189,4)="原料出库"),1,0)</f>
        <v>0</v>
      </c>
      <c r="AC1189" s="1" t="n">
        <f aca="false">N(AC1188)+$AB1189</f>
        <v>19</v>
      </c>
      <c r="AD1189" s="1" t="n">
        <f aca="false">IF(AND($M1189=1,LEFT(对接源_01水果!$D1189,4)="成品出库"),1,0)</f>
        <v>0</v>
      </c>
      <c r="AE1189" s="1" t="n">
        <f aca="false">N(AE1188)+$AD1189</f>
        <v>38</v>
      </c>
      <c r="AF1189" s="1" t="n">
        <f aca="false">IF(AND($N1189=1,AND(LEFT(对接源_01水果!$D1189,4)="包装物料",N(对接源_01水果!$K1189)&lt;&gt;0)),1,0)</f>
        <v>0</v>
      </c>
      <c r="AG1189" s="90" t="str">
        <f aca="false">IF(对接源_01水果!$AC1189="","",对接源_01水果!$AC1189)</f>
        <v/>
      </c>
      <c r="AH1189" s="1" t="n">
        <f aca="false">IF(AND($N1189=1,AND(LEFT(对接源_01水果!$D1189,3)="周转筐",N(对接源_01水果!$K1189)&lt;&gt;0)),1,0)</f>
        <v>0</v>
      </c>
      <c r="AI1189" s="90" t="n">
        <f aca="false">IF(AG1189="",0,IF(MATCH(AG1189,$AG$4:$AG$1203,0)=ROW()-3,1,0))</f>
        <v>0</v>
      </c>
      <c r="AJ1189" s="90" t="n">
        <f aca="false">N(AJ1188)+AI1189</f>
        <v>4</v>
      </c>
      <c r="AK1189" s="1" t="n">
        <f aca="false">N(AK1188)+$AJ1189</f>
        <v>3616</v>
      </c>
    </row>
    <row r="1190" customFormat="false" ht="13.5" hidden="false" customHeight="false" outlineLevel="0" collapsed="false">
      <c r="A1190" s="1" t="str">
        <f aca="false">IF(对接源_01水果!$C1190="","",对接源_01水果!$C1190)</f>
        <v/>
      </c>
      <c r="B1190" s="1" t="n">
        <f aca="false">IF(A1190="",0,IF(MATCH(A1190,$A$4:$A$2403,0)=ROW()-3,1,0))</f>
        <v>0</v>
      </c>
      <c r="C1190" s="1" t="n">
        <f aca="false">N(C1189)+B1190</f>
        <v>13</v>
      </c>
      <c r="K1190" s="1" t="n">
        <f aca="false">IF(OR($K$1="",对接源_01水果!$C1190="",对接源_01水果!$C1190&lt;&gt;$K$1,对接源_01水果!$B1190=""),0,IF(OR(N(对接源_01水果!$B1190)&lt;$K$2,N(对接源_01水果!$B1190)&gt;$K$3),0,1))</f>
        <v>0</v>
      </c>
      <c r="L1190" s="1" t="n">
        <f aca="false">IF(OR($L$1="",对接源_01水果!$C1190="",对接源_01水果!$C1190&lt;&gt;$L$1,对接源_01水果!$B1190=""),0,IF(OR(N(对接源_01水果!$B1190)&lt;$L$2,N(对接源_01水果!$B1190)&gt;$L$3),0,1))</f>
        <v>0</v>
      </c>
      <c r="M1190" s="1" t="n">
        <f aca="false">IF(OR($M$1="",对接源_01水果!$C1190="",对接源_01水果!$C1190&lt;&gt;$M$1,对接源_01水果!$B1190=""),0,IF(OR(N(对接源_01水果!$B1190)&lt;$M$2,N(对接源_01水果!$B1190)&gt;$M$3),0,1))</f>
        <v>0</v>
      </c>
      <c r="N1190" s="1" t="n">
        <f aca="false">IF(OR($N$1="",对接源_01水果!$C1190="",对接源_01水果!$C1190&lt;&gt;$N$1,对接源_01水果!$B1190=""),0,IF(OR(N(对接源_01水果!$B1190)&lt;$N$2,N(对接源_01水果!$B1190)&gt;$N$3),0,1))</f>
        <v>0</v>
      </c>
      <c r="P1190" s="1" t="n">
        <f aca="false">IF(AND($K1190=1,AND(对接源_01水果!$X1190="公司筐",N(对接源_01水果!$T1190)&lt;&gt;0)),1,0)</f>
        <v>0</v>
      </c>
      <c r="Q1190" s="1" t="n">
        <f aca="false">N(Q1189)+$P1190</f>
        <v>3</v>
      </c>
      <c r="R1190" s="1" t="n">
        <f aca="false">IF(AND($K1190=1,AND(对接源_01水果!$X1190="公司筐",N(对接源_01水果!$U1190)&lt;&gt;0)),1,0)</f>
        <v>0</v>
      </c>
      <c r="S1190" s="1" t="n">
        <f aca="false">N(S1189)+$R1190</f>
        <v>0</v>
      </c>
      <c r="T1190" s="1" t="n">
        <f aca="false">IF(AND($K1190=1,AND(对接源_01水果!$X1190="公司筐",N(对接源_01水果!$V1190)&lt;&gt;0)),1,0)</f>
        <v>0</v>
      </c>
      <c r="U1190" s="1" t="n">
        <f aca="false">N(U1189)+$T1190</f>
        <v>28</v>
      </c>
      <c r="V1190" s="1" t="n">
        <f aca="false">IF(AND($L1190=1,AND(对接源_01水果!$X1190="自备筐",N(对接源_01水果!$V1190)&lt;&gt;0)),1,0)</f>
        <v>0</v>
      </c>
      <c r="W1190" s="1" t="n">
        <f aca="false">N(W1189)+$V1190</f>
        <v>7</v>
      </c>
      <c r="X1190" s="1" t="n">
        <f aca="false">IF(AND($L1190=1,AND(对接源_01水果!$X1190="自备筐",N(对接源_01水果!$T1190)&lt;&gt;0)),1,0)</f>
        <v>0</v>
      </c>
      <c r="Y1190" s="1" t="n">
        <f aca="false">N(Y1189)+$X1190</f>
        <v>0</v>
      </c>
      <c r="Z1190" s="1" t="n">
        <f aca="false">IF(AND($M1190=1,对接源_01水果!$D1190="原料入库"),1,0)</f>
        <v>0</v>
      </c>
      <c r="AA1190" s="1" t="n">
        <f aca="false">N(AA1189)+$Z1190</f>
        <v>30</v>
      </c>
      <c r="AB1190" s="1" t="n">
        <f aca="false">IF(AND($M1190=1,LEFT(对接源_01水果!$D1190,4)="原料出库"),1,0)</f>
        <v>0</v>
      </c>
      <c r="AC1190" s="1" t="n">
        <f aca="false">N(AC1189)+$AB1190</f>
        <v>19</v>
      </c>
      <c r="AD1190" s="1" t="n">
        <f aca="false">IF(AND($M1190=1,LEFT(对接源_01水果!$D1190,4)="成品出库"),1,0)</f>
        <v>0</v>
      </c>
      <c r="AE1190" s="1" t="n">
        <f aca="false">N(AE1189)+$AD1190</f>
        <v>38</v>
      </c>
      <c r="AF1190" s="1" t="n">
        <f aca="false">IF(AND($N1190=1,AND(LEFT(对接源_01水果!$D1190,4)="包装物料",N(对接源_01水果!$K1190)&lt;&gt;0)),1,0)</f>
        <v>0</v>
      </c>
      <c r="AG1190" s="90" t="str">
        <f aca="false">IF(对接源_01水果!$AC1190="","",对接源_01水果!$AC1190)</f>
        <v/>
      </c>
      <c r="AH1190" s="1" t="n">
        <f aca="false">IF(AND($N1190=1,AND(LEFT(对接源_01水果!$D1190,3)="周转筐",N(对接源_01水果!$K1190)&lt;&gt;0)),1,0)</f>
        <v>0</v>
      </c>
      <c r="AI1190" s="90" t="n">
        <f aca="false">IF(AG1190="",0,IF(MATCH(AG1190,$AG$4:$AG$1203,0)=ROW()-3,1,0))</f>
        <v>0</v>
      </c>
      <c r="AJ1190" s="90" t="n">
        <f aca="false">N(AJ1189)+AI1190</f>
        <v>4</v>
      </c>
      <c r="AK1190" s="1" t="n">
        <f aca="false">N(AK1189)+$AJ1190</f>
        <v>3620</v>
      </c>
    </row>
    <row r="1191" customFormat="false" ht="13.5" hidden="false" customHeight="false" outlineLevel="0" collapsed="false">
      <c r="A1191" s="1" t="str">
        <f aca="false">IF(对接源_01水果!$C1191="","",对接源_01水果!$C1191)</f>
        <v/>
      </c>
      <c r="B1191" s="1" t="n">
        <f aca="false">IF(A1191="",0,IF(MATCH(A1191,$A$4:$A$2403,0)=ROW()-3,1,0))</f>
        <v>0</v>
      </c>
      <c r="C1191" s="1" t="n">
        <f aca="false">N(C1190)+B1191</f>
        <v>13</v>
      </c>
      <c r="K1191" s="1" t="n">
        <f aca="false">IF(OR($K$1="",对接源_01水果!$C1191="",对接源_01水果!$C1191&lt;&gt;$K$1,对接源_01水果!$B1191=""),0,IF(OR(N(对接源_01水果!$B1191)&lt;$K$2,N(对接源_01水果!$B1191)&gt;$K$3),0,1))</f>
        <v>0</v>
      </c>
      <c r="L1191" s="1" t="n">
        <f aca="false">IF(OR($L$1="",对接源_01水果!$C1191="",对接源_01水果!$C1191&lt;&gt;$L$1,对接源_01水果!$B1191=""),0,IF(OR(N(对接源_01水果!$B1191)&lt;$L$2,N(对接源_01水果!$B1191)&gt;$L$3),0,1))</f>
        <v>0</v>
      </c>
      <c r="M1191" s="1" t="n">
        <f aca="false">IF(OR($M$1="",对接源_01水果!$C1191="",对接源_01水果!$C1191&lt;&gt;$M$1,对接源_01水果!$B1191=""),0,IF(OR(N(对接源_01水果!$B1191)&lt;$M$2,N(对接源_01水果!$B1191)&gt;$M$3),0,1))</f>
        <v>0</v>
      </c>
      <c r="N1191" s="1" t="n">
        <f aca="false">IF(OR($N$1="",对接源_01水果!$C1191="",对接源_01水果!$C1191&lt;&gt;$N$1,对接源_01水果!$B1191=""),0,IF(OR(N(对接源_01水果!$B1191)&lt;$N$2,N(对接源_01水果!$B1191)&gt;$N$3),0,1))</f>
        <v>0</v>
      </c>
      <c r="P1191" s="1" t="n">
        <f aca="false">IF(AND($K1191=1,AND(对接源_01水果!$X1191="公司筐",N(对接源_01水果!$T1191)&lt;&gt;0)),1,0)</f>
        <v>0</v>
      </c>
      <c r="Q1191" s="1" t="n">
        <f aca="false">N(Q1190)+$P1191</f>
        <v>3</v>
      </c>
      <c r="R1191" s="1" t="n">
        <f aca="false">IF(AND($K1191=1,AND(对接源_01水果!$X1191="公司筐",N(对接源_01水果!$U1191)&lt;&gt;0)),1,0)</f>
        <v>0</v>
      </c>
      <c r="S1191" s="1" t="n">
        <f aca="false">N(S1190)+$R1191</f>
        <v>0</v>
      </c>
      <c r="T1191" s="1" t="n">
        <f aca="false">IF(AND($K1191=1,AND(对接源_01水果!$X1191="公司筐",N(对接源_01水果!$V1191)&lt;&gt;0)),1,0)</f>
        <v>0</v>
      </c>
      <c r="U1191" s="1" t="n">
        <f aca="false">N(U1190)+$T1191</f>
        <v>28</v>
      </c>
      <c r="V1191" s="1" t="n">
        <f aca="false">IF(AND($L1191=1,AND(对接源_01水果!$X1191="自备筐",N(对接源_01水果!$V1191)&lt;&gt;0)),1,0)</f>
        <v>0</v>
      </c>
      <c r="W1191" s="1" t="n">
        <f aca="false">N(W1190)+$V1191</f>
        <v>7</v>
      </c>
      <c r="X1191" s="1" t="n">
        <f aca="false">IF(AND($L1191=1,AND(对接源_01水果!$X1191="自备筐",N(对接源_01水果!$T1191)&lt;&gt;0)),1,0)</f>
        <v>0</v>
      </c>
      <c r="Y1191" s="1" t="n">
        <f aca="false">N(Y1190)+$X1191</f>
        <v>0</v>
      </c>
      <c r="Z1191" s="1" t="n">
        <f aca="false">IF(AND($M1191=1,对接源_01水果!$D1191="原料入库"),1,0)</f>
        <v>0</v>
      </c>
      <c r="AA1191" s="1" t="n">
        <f aca="false">N(AA1190)+$Z1191</f>
        <v>30</v>
      </c>
      <c r="AB1191" s="1" t="n">
        <f aca="false">IF(AND($M1191=1,LEFT(对接源_01水果!$D1191,4)="原料出库"),1,0)</f>
        <v>0</v>
      </c>
      <c r="AC1191" s="1" t="n">
        <f aca="false">N(AC1190)+$AB1191</f>
        <v>19</v>
      </c>
      <c r="AD1191" s="1" t="n">
        <f aca="false">IF(AND($M1191=1,LEFT(对接源_01水果!$D1191,4)="成品出库"),1,0)</f>
        <v>0</v>
      </c>
      <c r="AE1191" s="1" t="n">
        <f aca="false">N(AE1190)+$AD1191</f>
        <v>38</v>
      </c>
      <c r="AF1191" s="1" t="n">
        <f aca="false">IF(AND($N1191=1,AND(LEFT(对接源_01水果!$D1191,4)="包装物料",N(对接源_01水果!$K1191)&lt;&gt;0)),1,0)</f>
        <v>0</v>
      </c>
      <c r="AG1191" s="90" t="str">
        <f aca="false">IF(对接源_01水果!$AC1191="","",对接源_01水果!$AC1191)</f>
        <v/>
      </c>
      <c r="AH1191" s="1" t="n">
        <f aca="false">IF(AND($N1191=1,AND(LEFT(对接源_01水果!$D1191,3)="周转筐",N(对接源_01水果!$K1191)&lt;&gt;0)),1,0)</f>
        <v>0</v>
      </c>
      <c r="AI1191" s="90" t="n">
        <f aca="false">IF(AG1191="",0,IF(MATCH(AG1191,$AG$4:$AG$1203,0)=ROW()-3,1,0))</f>
        <v>0</v>
      </c>
      <c r="AJ1191" s="90" t="n">
        <f aca="false">N(AJ1190)+AI1191</f>
        <v>4</v>
      </c>
      <c r="AK1191" s="1" t="n">
        <f aca="false">N(AK1190)+$AJ1191</f>
        <v>3624</v>
      </c>
    </row>
    <row r="1192" customFormat="false" ht="13.5" hidden="false" customHeight="false" outlineLevel="0" collapsed="false">
      <c r="A1192" s="1" t="str">
        <f aca="false">IF(对接源_01水果!$C1192="","",对接源_01水果!$C1192)</f>
        <v/>
      </c>
      <c r="B1192" s="1" t="n">
        <f aca="false">IF(A1192="",0,IF(MATCH(A1192,$A$4:$A$2403,0)=ROW()-3,1,0))</f>
        <v>0</v>
      </c>
      <c r="C1192" s="1" t="n">
        <f aca="false">N(C1191)+B1192</f>
        <v>13</v>
      </c>
      <c r="K1192" s="1" t="n">
        <f aca="false">IF(OR($K$1="",对接源_01水果!$C1192="",对接源_01水果!$C1192&lt;&gt;$K$1,对接源_01水果!$B1192=""),0,IF(OR(N(对接源_01水果!$B1192)&lt;$K$2,N(对接源_01水果!$B1192)&gt;$K$3),0,1))</f>
        <v>0</v>
      </c>
      <c r="L1192" s="1" t="n">
        <f aca="false">IF(OR($L$1="",对接源_01水果!$C1192="",对接源_01水果!$C1192&lt;&gt;$L$1,对接源_01水果!$B1192=""),0,IF(OR(N(对接源_01水果!$B1192)&lt;$L$2,N(对接源_01水果!$B1192)&gt;$L$3),0,1))</f>
        <v>0</v>
      </c>
      <c r="M1192" s="1" t="n">
        <f aca="false">IF(OR($M$1="",对接源_01水果!$C1192="",对接源_01水果!$C1192&lt;&gt;$M$1,对接源_01水果!$B1192=""),0,IF(OR(N(对接源_01水果!$B1192)&lt;$M$2,N(对接源_01水果!$B1192)&gt;$M$3),0,1))</f>
        <v>0</v>
      </c>
      <c r="N1192" s="1" t="n">
        <f aca="false">IF(OR($N$1="",对接源_01水果!$C1192="",对接源_01水果!$C1192&lt;&gt;$N$1,对接源_01水果!$B1192=""),0,IF(OR(N(对接源_01水果!$B1192)&lt;$N$2,N(对接源_01水果!$B1192)&gt;$N$3),0,1))</f>
        <v>0</v>
      </c>
      <c r="P1192" s="1" t="n">
        <f aca="false">IF(AND($K1192=1,AND(对接源_01水果!$X1192="公司筐",N(对接源_01水果!$T1192)&lt;&gt;0)),1,0)</f>
        <v>0</v>
      </c>
      <c r="Q1192" s="1" t="n">
        <f aca="false">N(Q1191)+$P1192</f>
        <v>3</v>
      </c>
      <c r="R1192" s="1" t="n">
        <f aca="false">IF(AND($K1192=1,AND(对接源_01水果!$X1192="公司筐",N(对接源_01水果!$U1192)&lt;&gt;0)),1,0)</f>
        <v>0</v>
      </c>
      <c r="S1192" s="1" t="n">
        <f aca="false">N(S1191)+$R1192</f>
        <v>0</v>
      </c>
      <c r="T1192" s="1" t="n">
        <f aca="false">IF(AND($K1192=1,AND(对接源_01水果!$X1192="公司筐",N(对接源_01水果!$V1192)&lt;&gt;0)),1,0)</f>
        <v>0</v>
      </c>
      <c r="U1192" s="1" t="n">
        <f aca="false">N(U1191)+$T1192</f>
        <v>28</v>
      </c>
      <c r="V1192" s="1" t="n">
        <f aca="false">IF(AND($L1192=1,AND(对接源_01水果!$X1192="自备筐",N(对接源_01水果!$V1192)&lt;&gt;0)),1,0)</f>
        <v>0</v>
      </c>
      <c r="W1192" s="1" t="n">
        <f aca="false">N(W1191)+$V1192</f>
        <v>7</v>
      </c>
      <c r="X1192" s="1" t="n">
        <f aca="false">IF(AND($L1192=1,AND(对接源_01水果!$X1192="自备筐",N(对接源_01水果!$T1192)&lt;&gt;0)),1,0)</f>
        <v>0</v>
      </c>
      <c r="Y1192" s="1" t="n">
        <f aca="false">N(Y1191)+$X1192</f>
        <v>0</v>
      </c>
      <c r="Z1192" s="1" t="n">
        <f aca="false">IF(AND($M1192=1,对接源_01水果!$D1192="原料入库"),1,0)</f>
        <v>0</v>
      </c>
      <c r="AA1192" s="1" t="n">
        <f aca="false">N(AA1191)+$Z1192</f>
        <v>30</v>
      </c>
      <c r="AB1192" s="1" t="n">
        <f aca="false">IF(AND($M1192=1,LEFT(对接源_01水果!$D1192,4)="原料出库"),1,0)</f>
        <v>0</v>
      </c>
      <c r="AC1192" s="1" t="n">
        <f aca="false">N(AC1191)+$AB1192</f>
        <v>19</v>
      </c>
      <c r="AD1192" s="1" t="n">
        <f aca="false">IF(AND($M1192=1,LEFT(对接源_01水果!$D1192,4)="成品出库"),1,0)</f>
        <v>0</v>
      </c>
      <c r="AE1192" s="1" t="n">
        <f aca="false">N(AE1191)+$AD1192</f>
        <v>38</v>
      </c>
      <c r="AF1192" s="1" t="n">
        <f aca="false">IF(AND($N1192=1,AND(LEFT(对接源_01水果!$D1192,4)="包装物料",N(对接源_01水果!$K1192)&lt;&gt;0)),1,0)</f>
        <v>0</v>
      </c>
      <c r="AG1192" s="90" t="str">
        <f aca="false">IF(对接源_01水果!$AC1192="","",对接源_01水果!$AC1192)</f>
        <v/>
      </c>
      <c r="AH1192" s="1" t="n">
        <f aca="false">IF(AND($N1192=1,AND(LEFT(对接源_01水果!$D1192,3)="周转筐",N(对接源_01水果!$K1192)&lt;&gt;0)),1,0)</f>
        <v>0</v>
      </c>
      <c r="AI1192" s="90" t="n">
        <f aca="false">IF(AG1192="",0,IF(MATCH(AG1192,$AG$4:$AG$1203,0)=ROW()-3,1,0))</f>
        <v>0</v>
      </c>
      <c r="AJ1192" s="90" t="n">
        <f aca="false">N(AJ1191)+AI1192</f>
        <v>4</v>
      </c>
      <c r="AK1192" s="1" t="n">
        <f aca="false">N(AK1191)+$AJ1192</f>
        <v>3628</v>
      </c>
    </row>
    <row r="1193" customFormat="false" ht="13.5" hidden="false" customHeight="false" outlineLevel="0" collapsed="false">
      <c r="A1193" s="1" t="str">
        <f aca="false">IF(对接源_01水果!$C1193="","",对接源_01水果!$C1193)</f>
        <v/>
      </c>
      <c r="B1193" s="1" t="n">
        <f aca="false">IF(A1193="",0,IF(MATCH(A1193,$A$4:$A$2403,0)=ROW()-3,1,0))</f>
        <v>0</v>
      </c>
      <c r="C1193" s="1" t="n">
        <f aca="false">N(C1192)+B1193</f>
        <v>13</v>
      </c>
      <c r="K1193" s="1" t="n">
        <f aca="false">IF(OR($K$1="",对接源_01水果!$C1193="",对接源_01水果!$C1193&lt;&gt;$K$1,对接源_01水果!$B1193=""),0,IF(OR(N(对接源_01水果!$B1193)&lt;$K$2,N(对接源_01水果!$B1193)&gt;$K$3),0,1))</f>
        <v>0</v>
      </c>
      <c r="L1193" s="1" t="n">
        <f aca="false">IF(OR($L$1="",对接源_01水果!$C1193="",对接源_01水果!$C1193&lt;&gt;$L$1,对接源_01水果!$B1193=""),0,IF(OR(N(对接源_01水果!$B1193)&lt;$L$2,N(对接源_01水果!$B1193)&gt;$L$3),0,1))</f>
        <v>0</v>
      </c>
      <c r="M1193" s="1" t="n">
        <f aca="false">IF(OR($M$1="",对接源_01水果!$C1193="",对接源_01水果!$C1193&lt;&gt;$M$1,对接源_01水果!$B1193=""),0,IF(OR(N(对接源_01水果!$B1193)&lt;$M$2,N(对接源_01水果!$B1193)&gt;$M$3),0,1))</f>
        <v>0</v>
      </c>
      <c r="N1193" s="1" t="n">
        <f aca="false">IF(OR($N$1="",对接源_01水果!$C1193="",对接源_01水果!$C1193&lt;&gt;$N$1,对接源_01水果!$B1193=""),0,IF(OR(N(对接源_01水果!$B1193)&lt;$N$2,N(对接源_01水果!$B1193)&gt;$N$3),0,1))</f>
        <v>0</v>
      </c>
      <c r="P1193" s="1" t="n">
        <f aca="false">IF(AND($K1193=1,AND(对接源_01水果!$X1193="公司筐",N(对接源_01水果!$T1193)&lt;&gt;0)),1,0)</f>
        <v>0</v>
      </c>
      <c r="Q1193" s="1" t="n">
        <f aca="false">N(Q1192)+$P1193</f>
        <v>3</v>
      </c>
      <c r="R1193" s="1" t="n">
        <f aca="false">IF(AND($K1193=1,AND(对接源_01水果!$X1193="公司筐",N(对接源_01水果!$U1193)&lt;&gt;0)),1,0)</f>
        <v>0</v>
      </c>
      <c r="S1193" s="1" t="n">
        <f aca="false">N(S1192)+$R1193</f>
        <v>0</v>
      </c>
      <c r="T1193" s="1" t="n">
        <f aca="false">IF(AND($K1193=1,AND(对接源_01水果!$X1193="公司筐",N(对接源_01水果!$V1193)&lt;&gt;0)),1,0)</f>
        <v>0</v>
      </c>
      <c r="U1193" s="1" t="n">
        <f aca="false">N(U1192)+$T1193</f>
        <v>28</v>
      </c>
      <c r="V1193" s="1" t="n">
        <f aca="false">IF(AND($L1193=1,AND(对接源_01水果!$X1193="自备筐",N(对接源_01水果!$V1193)&lt;&gt;0)),1,0)</f>
        <v>0</v>
      </c>
      <c r="W1193" s="1" t="n">
        <f aca="false">N(W1192)+$V1193</f>
        <v>7</v>
      </c>
      <c r="X1193" s="1" t="n">
        <f aca="false">IF(AND($L1193=1,AND(对接源_01水果!$X1193="自备筐",N(对接源_01水果!$T1193)&lt;&gt;0)),1,0)</f>
        <v>0</v>
      </c>
      <c r="Y1193" s="1" t="n">
        <f aca="false">N(Y1192)+$X1193</f>
        <v>0</v>
      </c>
      <c r="Z1193" s="1" t="n">
        <f aca="false">IF(AND($M1193=1,对接源_01水果!$D1193="原料入库"),1,0)</f>
        <v>0</v>
      </c>
      <c r="AA1193" s="1" t="n">
        <f aca="false">N(AA1192)+$Z1193</f>
        <v>30</v>
      </c>
      <c r="AB1193" s="1" t="n">
        <f aca="false">IF(AND($M1193=1,LEFT(对接源_01水果!$D1193,4)="原料出库"),1,0)</f>
        <v>0</v>
      </c>
      <c r="AC1193" s="1" t="n">
        <f aca="false">N(AC1192)+$AB1193</f>
        <v>19</v>
      </c>
      <c r="AD1193" s="1" t="n">
        <f aca="false">IF(AND($M1193=1,LEFT(对接源_01水果!$D1193,4)="成品出库"),1,0)</f>
        <v>0</v>
      </c>
      <c r="AE1193" s="1" t="n">
        <f aca="false">N(AE1192)+$AD1193</f>
        <v>38</v>
      </c>
      <c r="AF1193" s="1" t="n">
        <f aca="false">IF(AND($N1193=1,AND(LEFT(对接源_01水果!$D1193,4)="包装物料",N(对接源_01水果!$K1193)&lt;&gt;0)),1,0)</f>
        <v>0</v>
      </c>
      <c r="AG1193" s="90" t="str">
        <f aca="false">IF(对接源_01水果!$AC1193="","",对接源_01水果!$AC1193)</f>
        <v/>
      </c>
      <c r="AH1193" s="1" t="n">
        <f aca="false">IF(AND($N1193=1,AND(LEFT(对接源_01水果!$D1193,3)="周转筐",N(对接源_01水果!$K1193)&lt;&gt;0)),1,0)</f>
        <v>0</v>
      </c>
      <c r="AI1193" s="90" t="n">
        <f aca="false">IF(AG1193="",0,IF(MATCH(AG1193,$AG$4:$AG$1203,0)=ROW()-3,1,0))</f>
        <v>0</v>
      </c>
      <c r="AJ1193" s="90" t="n">
        <f aca="false">N(AJ1192)+AI1193</f>
        <v>4</v>
      </c>
      <c r="AK1193" s="1" t="n">
        <f aca="false">N(AK1192)+$AJ1193</f>
        <v>3632</v>
      </c>
    </row>
    <row r="1194" customFormat="false" ht="13.5" hidden="false" customHeight="false" outlineLevel="0" collapsed="false">
      <c r="A1194" s="1" t="str">
        <f aca="false">IF(对接源_01水果!$C1194="","",对接源_01水果!$C1194)</f>
        <v/>
      </c>
      <c r="B1194" s="1" t="n">
        <f aca="false">IF(A1194="",0,IF(MATCH(A1194,$A$4:$A$2403,0)=ROW()-3,1,0))</f>
        <v>0</v>
      </c>
      <c r="C1194" s="1" t="n">
        <f aca="false">N(C1193)+B1194</f>
        <v>13</v>
      </c>
      <c r="K1194" s="1" t="n">
        <f aca="false">IF(OR($K$1="",对接源_01水果!$C1194="",对接源_01水果!$C1194&lt;&gt;$K$1,对接源_01水果!$B1194=""),0,IF(OR(N(对接源_01水果!$B1194)&lt;$K$2,N(对接源_01水果!$B1194)&gt;$K$3),0,1))</f>
        <v>0</v>
      </c>
      <c r="L1194" s="1" t="n">
        <f aca="false">IF(OR($L$1="",对接源_01水果!$C1194="",对接源_01水果!$C1194&lt;&gt;$L$1,对接源_01水果!$B1194=""),0,IF(OR(N(对接源_01水果!$B1194)&lt;$L$2,N(对接源_01水果!$B1194)&gt;$L$3),0,1))</f>
        <v>0</v>
      </c>
      <c r="M1194" s="1" t="n">
        <f aca="false">IF(OR($M$1="",对接源_01水果!$C1194="",对接源_01水果!$C1194&lt;&gt;$M$1,对接源_01水果!$B1194=""),0,IF(OR(N(对接源_01水果!$B1194)&lt;$M$2,N(对接源_01水果!$B1194)&gt;$M$3),0,1))</f>
        <v>0</v>
      </c>
      <c r="N1194" s="1" t="n">
        <f aca="false">IF(OR($N$1="",对接源_01水果!$C1194="",对接源_01水果!$C1194&lt;&gt;$N$1,对接源_01水果!$B1194=""),0,IF(OR(N(对接源_01水果!$B1194)&lt;$N$2,N(对接源_01水果!$B1194)&gt;$N$3),0,1))</f>
        <v>0</v>
      </c>
      <c r="P1194" s="1" t="n">
        <f aca="false">IF(AND($K1194=1,AND(对接源_01水果!$X1194="公司筐",N(对接源_01水果!$T1194)&lt;&gt;0)),1,0)</f>
        <v>0</v>
      </c>
      <c r="Q1194" s="1" t="n">
        <f aca="false">N(Q1193)+$P1194</f>
        <v>3</v>
      </c>
      <c r="R1194" s="1" t="n">
        <f aca="false">IF(AND($K1194=1,AND(对接源_01水果!$X1194="公司筐",N(对接源_01水果!$U1194)&lt;&gt;0)),1,0)</f>
        <v>0</v>
      </c>
      <c r="S1194" s="1" t="n">
        <f aca="false">N(S1193)+$R1194</f>
        <v>0</v>
      </c>
      <c r="T1194" s="1" t="n">
        <f aca="false">IF(AND($K1194=1,AND(对接源_01水果!$X1194="公司筐",N(对接源_01水果!$V1194)&lt;&gt;0)),1,0)</f>
        <v>0</v>
      </c>
      <c r="U1194" s="1" t="n">
        <f aca="false">N(U1193)+$T1194</f>
        <v>28</v>
      </c>
      <c r="V1194" s="1" t="n">
        <f aca="false">IF(AND($L1194=1,AND(对接源_01水果!$X1194="自备筐",N(对接源_01水果!$V1194)&lt;&gt;0)),1,0)</f>
        <v>0</v>
      </c>
      <c r="W1194" s="1" t="n">
        <f aca="false">N(W1193)+$V1194</f>
        <v>7</v>
      </c>
      <c r="X1194" s="1" t="n">
        <f aca="false">IF(AND($L1194=1,AND(对接源_01水果!$X1194="自备筐",N(对接源_01水果!$T1194)&lt;&gt;0)),1,0)</f>
        <v>0</v>
      </c>
      <c r="Y1194" s="1" t="n">
        <f aca="false">N(Y1193)+$X1194</f>
        <v>0</v>
      </c>
      <c r="Z1194" s="1" t="n">
        <f aca="false">IF(AND($M1194=1,对接源_01水果!$D1194="原料入库"),1,0)</f>
        <v>0</v>
      </c>
      <c r="AA1194" s="1" t="n">
        <f aca="false">N(AA1193)+$Z1194</f>
        <v>30</v>
      </c>
      <c r="AB1194" s="1" t="n">
        <f aca="false">IF(AND($M1194=1,LEFT(对接源_01水果!$D1194,4)="原料出库"),1,0)</f>
        <v>0</v>
      </c>
      <c r="AC1194" s="1" t="n">
        <f aca="false">N(AC1193)+$AB1194</f>
        <v>19</v>
      </c>
      <c r="AD1194" s="1" t="n">
        <f aca="false">IF(AND($M1194=1,LEFT(对接源_01水果!$D1194,4)="成品出库"),1,0)</f>
        <v>0</v>
      </c>
      <c r="AE1194" s="1" t="n">
        <f aca="false">N(AE1193)+$AD1194</f>
        <v>38</v>
      </c>
      <c r="AF1194" s="1" t="n">
        <f aca="false">IF(AND($N1194=1,AND(LEFT(对接源_01水果!$D1194,4)="包装物料",N(对接源_01水果!$K1194)&lt;&gt;0)),1,0)</f>
        <v>0</v>
      </c>
      <c r="AG1194" s="90" t="str">
        <f aca="false">IF(对接源_01水果!$AC1194="","",对接源_01水果!$AC1194)</f>
        <v/>
      </c>
      <c r="AH1194" s="1" t="n">
        <f aca="false">IF(AND($N1194=1,AND(LEFT(对接源_01水果!$D1194,3)="周转筐",N(对接源_01水果!$K1194)&lt;&gt;0)),1,0)</f>
        <v>0</v>
      </c>
      <c r="AI1194" s="90" t="n">
        <f aca="false">IF(AG1194="",0,IF(MATCH(AG1194,$AG$4:$AG$1203,0)=ROW()-3,1,0))</f>
        <v>0</v>
      </c>
      <c r="AJ1194" s="90" t="n">
        <f aca="false">N(AJ1193)+AI1194</f>
        <v>4</v>
      </c>
      <c r="AK1194" s="1" t="n">
        <f aca="false">N(AK1193)+$AJ1194</f>
        <v>3636</v>
      </c>
    </row>
    <row r="1195" customFormat="false" ht="13.5" hidden="false" customHeight="false" outlineLevel="0" collapsed="false">
      <c r="A1195" s="1" t="str">
        <f aca="false">IF(对接源_01水果!$C1195="","",对接源_01水果!$C1195)</f>
        <v/>
      </c>
      <c r="B1195" s="1" t="n">
        <f aca="false">IF(A1195="",0,IF(MATCH(A1195,$A$4:$A$2403,0)=ROW()-3,1,0))</f>
        <v>0</v>
      </c>
      <c r="C1195" s="1" t="n">
        <f aca="false">N(C1194)+B1195</f>
        <v>13</v>
      </c>
      <c r="K1195" s="1" t="n">
        <f aca="false">IF(OR($K$1="",对接源_01水果!$C1195="",对接源_01水果!$C1195&lt;&gt;$K$1,对接源_01水果!$B1195=""),0,IF(OR(N(对接源_01水果!$B1195)&lt;$K$2,N(对接源_01水果!$B1195)&gt;$K$3),0,1))</f>
        <v>0</v>
      </c>
      <c r="L1195" s="1" t="n">
        <f aca="false">IF(OR($L$1="",对接源_01水果!$C1195="",对接源_01水果!$C1195&lt;&gt;$L$1,对接源_01水果!$B1195=""),0,IF(OR(N(对接源_01水果!$B1195)&lt;$L$2,N(对接源_01水果!$B1195)&gt;$L$3),0,1))</f>
        <v>0</v>
      </c>
      <c r="M1195" s="1" t="n">
        <f aca="false">IF(OR($M$1="",对接源_01水果!$C1195="",对接源_01水果!$C1195&lt;&gt;$M$1,对接源_01水果!$B1195=""),0,IF(OR(N(对接源_01水果!$B1195)&lt;$M$2,N(对接源_01水果!$B1195)&gt;$M$3),0,1))</f>
        <v>0</v>
      </c>
      <c r="N1195" s="1" t="n">
        <f aca="false">IF(OR($N$1="",对接源_01水果!$C1195="",对接源_01水果!$C1195&lt;&gt;$N$1,对接源_01水果!$B1195=""),0,IF(OR(N(对接源_01水果!$B1195)&lt;$N$2,N(对接源_01水果!$B1195)&gt;$N$3),0,1))</f>
        <v>0</v>
      </c>
      <c r="P1195" s="1" t="n">
        <f aca="false">IF(AND($K1195=1,AND(对接源_01水果!$X1195="公司筐",N(对接源_01水果!$T1195)&lt;&gt;0)),1,0)</f>
        <v>0</v>
      </c>
      <c r="Q1195" s="1" t="n">
        <f aca="false">N(Q1194)+$P1195</f>
        <v>3</v>
      </c>
      <c r="R1195" s="1" t="n">
        <f aca="false">IF(AND($K1195=1,AND(对接源_01水果!$X1195="公司筐",N(对接源_01水果!$U1195)&lt;&gt;0)),1,0)</f>
        <v>0</v>
      </c>
      <c r="S1195" s="1" t="n">
        <f aca="false">N(S1194)+$R1195</f>
        <v>0</v>
      </c>
      <c r="T1195" s="1" t="n">
        <f aca="false">IF(AND($K1195=1,AND(对接源_01水果!$X1195="公司筐",N(对接源_01水果!$V1195)&lt;&gt;0)),1,0)</f>
        <v>0</v>
      </c>
      <c r="U1195" s="1" t="n">
        <f aca="false">N(U1194)+$T1195</f>
        <v>28</v>
      </c>
      <c r="V1195" s="1" t="n">
        <f aca="false">IF(AND($L1195=1,AND(对接源_01水果!$X1195="自备筐",N(对接源_01水果!$V1195)&lt;&gt;0)),1,0)</f>
        <v>0</v>
      </c>
      <c r="W1195" s="1" t="n">
        <f aca="false">N(W1194)+$V1195</f>
        <v>7</v>
      </c>
      <c r="X1195" s="1" t="n">
        <f aca="false">IF(AND($L1195=1,AND(对接源_01水果!$X1195="自备筐",N(对接源_01水果!$T1195)&lt;&gt;0)),1,0)</f>
        <v>0</v>
      </c>
      <c r="Y1195" s="1" t="n">
        <f aca="false">N(Y1194)+$X1195</f>
        <v>0</v>
      </c>
      <c r="Z1195" s="1" t="n">
        <f aca="false">IF(AND($M1195=1,对接源_01水果!$D1195="原料入库"),1,0)</f>
        <v>0</v>
      </c>
      <c r="AA1195" s="1" t="n">
        <f aca="false">N(AA1194)+$Z1195</f>
        <v>30</v>
      </c>
      <c r="AB1195" s="1" t="n">
        <f aca="false">IF(AND($M1195=1,LEFT(对接源_01水果!$D1195,4)="原料出库"),1,0)</f>
        <v>0</v>
      </c>
      <c r="AC1195" s="1" t="n">
        <f aca="false">N(AC1194)+$AB1195</f>
        <v>19</v>
      </c>
      <c r="AD1195" s="1" t="n">
        <f aca="false">IF(AND($M1195=1,LEFT(对接源_01水果!$D1195,4)="成品出库"),1,0)</f>
        <v>0</v>
      </c>
      <c r="AE1195" s="1" t="n">
        <f aca="false">N(AE1194)+$AD1195</f>
        <v>38</v>
      </c>
      <c r="AF1195" s="1" t="n">
        <f aca="false">IF(AND($N1195=1,AND(LEFT(对接源_01水果!$D1195,4)="包装物料",N(对接源_01水果!$K1195)&lt;&gt;0)),1,0)</f>
        <v>0</v>
      </c>
      <c r="AG1195" s="90" t="str">
        <f aca="false">IF(对接源_01水果!$AC1195="","",对接源_01水果!$AC1195)</f>
        <v/>
      </c>
      <c r="AH1195" s="1" t="n">
        <f aca="false">IF(AND($N1195=1,AND(LEFT(对接源_01水果!$D1195,3)="周转筐",N(对接源_01水果!$K1195)&lt;&gt;0)),1,0)</f>
        <v>0</v>
      </c>
      <c r="AI1195" s="90" t="n">
        <f aca="false">IF(AG1195="",0,IF(MATCH(AG1195,$AG$4:$AG$1203,0)=ROW()-3,1,0))</f>
        <v>0</v>
      </c>
      <c r="AJ1195" s="90" t="n">
        <f aca="false">N(AJ1194)+AI1195</f>
        <v>4</v>
      </c>
      <c r="AK1195" s="1" t="n">
        <f aca="false">N(AK1194)+$AJ1195</f>
        <v>3640</v>
      </c>
    </row>
    <row r="1196" customFormat="false" ht="13.5" hidden="false" customHeight="false" outlineLevel="0" collapsed="false">
      <c r="A1196" s="1" t="str">
        <f aca="false">IF(对接源_01水果!$C1196="","",对接源_01水果!$C1196)</f>
        <v/>
      </c>
      <c r="B1196" s="1" t="n">
        <f aca="false">IF(A1196="",0,IF(MATCH(A1196,$A$4:$A$2403,0)=ROW()-3,1,0))</f>
        <v>0</v>
      </c>
      <c r="C1196" s="1" t="n">
        <f aca="false">N(C1195)+B1196</f>
        <v>13</v>
      </c>
      <c r="K1196" s="1" t="n">
        <f aca="false">IF(OR($K$1="",对接源_01水果!$C1196="",对接源_01水果!$C1196&lt;&gt;$K$1,对接源_01水果!$B1196=""),0,IF(OR(N(对接源_01水果!$B1196)&lt;$K$2,N(对接源_01水果!$B1196)&gt;$K$3),0,1))</f>
        <v>0</v>
      </c>
      <c r="L1196" s="1" t="n">
        <f aca="false">IF(OR($L$1="",对接源_01水果!$C1196="",对接源_01水果!$C1196&lt;&gt;$L$1,对接源_01水果!$B1196=""),0,IF(OR(N(对接源_01水果!$B1196)&lt;$L$2,N(对接源_01水果!$B1196)&gt;$L$3),0,1))</f>
        <v>0</v>
      </c>
      <c r="M1196" s="1" t="n">
        <f aca="false">IF(OR($M$1="",对接源_01水果!$C1196="",对接源_01水果!$C1196&lt;&gt;$M$1,对接源_01水果!$B1196=""),0,IF(OR(N(对接源_01水果!$B1196)&lt;$M$2,N(对接源_01水果!$B1196)&gt;$M$3),0,1))</f>
        <v>0</v>
      </c>
      <c r="N1196" s="1" t="n">
        <f aca="false">IF(OR($N$1="",对接源_01水果!$C1196="",对接源_01水果!$C1196&lt;&gt;$N$1,对接源_01水果!$B1196=""),0,IF(OR(N(对接源_01水果!$B1196)&lt;$N$2,N(对接源_01水果!$B1196)&gt;$N$3),0,1))</f>
        <v>0</v>
      </c>
      <c r="P1196" s="1" t="n">
        <f aca="false">IF(AND($K1196=1,AND(对接源_01水果!$X1196="公司筐",N(对接源_01水果!$T1196)&lt;&gt;0)),1,0)</f>
        <v>0</v>
      </c>
      <c r="Q1196" s="1" t="n">
        <f aca="false">N(Q1195)+$P1196</f>
        <v>3</v>
      </c>
      <c r="R1196" s="1" t="n">
        <f aca="false">IF(AND($K1196=1,AND(对接源_01水果!$X1196="公司筐",N(对接源_01水果!$U1196)&lt;&gt;0)),1,0)</f>
        <v>0</v>
      </c>
      <c r="S1196" s="1" t="n">
        <f aca="false">N(S1195)+$R1196</f>
        <v>0</v>
      </c>
      <c r="T1196" s="1" t="n">
        <f aca="false">IF(AND($K1196=1,AND(对接源_01水果!$X1196="公司筐",N(对接源_01水果!$V1196)&lt;&gt;0)),1,0)</f>
        <v>0</v>
      </c>
      <c r="U1196" s="1" t="n">
        <f aca="false">N(U1195)+$T1196</f>
        <v>28</v>
      </c>
      <c r="V1196" s="1" t="n">
        <f aca="false">IF(AND($L1196=1,AND(对接源_01水果!$X1196="自备筐",N(对接源_01水果!$V1196)&lt;&gt;0)),1,0)</f>
        <v>0</v>
      </c>
      <c r="W1196" s="1" t="n">
        <f aca="false">N(W1195)+$V1196</f>
        <v>7</v>
      </c>
      <c r="X1196" s="1" t="n">
        <f aca="false">IF(AND($L1196=1,AND(对接源_01水果!$X1196="自备筐",N(对接源_01水果!$T1196)&lt;&gt;0)),1,0)</f>
        <v>0</v>
      </c>
      <c r="Y1196" s="1" t="n">
        <f aca="false">N(Y1195)+$X1196</f>
        <v>0</v>
      </c>
      <c r="Z1196" s="1" t="n">
        <f aca="false">IF(AND($M1196=1,对接源_01水果!$D1196="原料入库"),1,0)</f>
        <v>0</v>
      </c>
      <c r="AA1196" s="1" t="n">
        <f aca="false">N(AA1195)+$Z1196</f>
        <v>30</v>
      </c>
      <c r="AB1196" s="1" t="n">
        <f aca="false">IF(AND($M1196=1,LEFT(对接源_01水果!$D1196,4)="原料出库"),1,0)</f>
        <v>0</v>
      </c>
      <c r="AC1196" s="1" t="n">
        <f aca="false">N(AC1195)+$AB1196</f>
        <v>19</v>
      </c>
      <c r="AD1196" s="1" t="n">
        <f aca="false">IF(AND($M1196=1,LEFT(对接源_01水果!$D1196,4)="成品出库"),1,0)</f>
        <v>0</v>
      </c>
      <c r="AE1196" s="1" t="n">
        <f aca="false">N(AE1195)+$AD1196</f>
        <v>38</v>
      </c>
      <c r="AF1196" s="1" t="n">
        <f aca="false">IF(AND($N1196=1,AND(LEFT(对接源_01水果!$D1196,4)="包装物料",N(对接源_01水果!$K1196)&lt;&gt;0)),1,0)</f>
        <v>0</v>
      </c>
      <c r="AG1196" s="90" t="str">
        <f aca="false">IF(对接源_01水果!$AC1196="","",对接源_01水果!$AC1196)</f>
        <v/>
      </c>
      <c r="AH1196" s="1" t="n">
        <f aca="false">IF(AND($N1196=1,AND(LEFT(对接源_01水果!$D1196,3)="周转筐",N(对接源_01水果!$K1196)&lt;&gt;0)),1,0)</f>
        <v>0</v>
      </c>
      <c r="AI1196" s="90" t="n">
        <f aca="false">IF(AG1196="",0,IF(MATCH(AG1196,$AG$4:$AG$1203,0)=ROW()-3,1,0))</f>
        <v>0</v>
      </c>
      <c r="AJ1196" s="90" t="n">
        <f aca="false">N(AJ1195)+AI1196</f>
        <v>4</v>
      </c>
      <c r="AK1196" s="1" t="n">
        <f aca="false">N(AK1195)+$AJ1196</f>
        <v>3644</v>
      </c>
    </row>
    <row r="1197" customFormat="false" ht="13.5" hidden="false" customHeight="false" outlineLevel="0" collapsed="false">
      <c r="A1197" s="1" t="str">
        <f aca="false">IF(对接源_01水果!$C1197="","",对接源_01水果!$C1197)</f>
        <v/>
      </c>
      <c r="B1197" s="1" t="n">
        <f aca="false">IF(A1197="",0,IF(MATCH(A1197,$A$4:$A$2403,0)=ROW()-3,1,0))</f>
        <v>0</v>
      </c>
      <c r="C1197" s="1" t="n">
        <f aca="false">N(C1196)+B1197</f>
        <v>13</v>
      </c>
      <c r="K1197" s="1" t="n">
        <f aca="false">IF(OR($K$1="",对接源_01水果!$C1197="",对接源_01水果!$C1197&lt;&gt;$K$1,对接源_01水果!$B1197=""),0,IF(OR(N(对接源_01水果!$B1197)&lt;$K$2,N(对接源_01水果!$B1197)&gt;$K$3),0,1))</f>
        <v>0</v>
      </c>
      <c r="L1197" s="1" t="n">
        <f aca="false">IF(OR($L$1="",对接源_01水果!$C1197="",对接源_01水果!$C1197&lt;&gt;$L$1,对接源_01水果!$B1197=""),0,IF(OR(N(对接源_01水果!$B1197)&lt;$L$2,N(对接源_01水果!$B1197)&gt;$L$3),0,1))</f>
        <v>0</v>
      </c>
      <c r="M1197" s="1" t="n">
        <f aca="false">IF(OR($M$1="",对接源_01水果!$C1197="",对接源_01水果!$C1197&lt;&gt;$M$1,对接源_01水果!$B1197=""),0,IF(OR(N(对接源_01水果!$B1197)&lt;$M$2,N(对接源_01水果!$B1197)&gt;$M$3),0,1))</f>
        <v>0</v>
      </c>
      <c r="N1197" s="1" t="n">
        <f aca="false">IF(OR($N$1="",对接源_01水果!$C1197="",对接源_01水果!$C1197&lt;&gt;$N$1,对接源_01水果!$B1197=""),0,IF(OR(N(对接源_01水果!$B1197)&lt;$N$2,N(对接源_01水果!$B1197)&gt;$N$3),0,1))</f>
        <v>0</v>
      </c>
      <c r="P1197" s="1" t="n">
        <f aca="false">IF(AND($K1197=1,AND(对接源_01水果!$X1197="公司筐",N(对接源_01水果!$T1197)&lt;&gt;0)),1,0)</f>
        <v>0</v>
      </c>
      <c r="Q1197" s="1" t="n">
        <f aca="false">N(Q1196)+$P1197</f>
        <v>3</v>
      </c>
      <c r="R1197" s="1" t="n">
        <f aca="false">IF(AND($K1197=1,AND(对接源_01水果!$X1197="公司筐",N(对接源_01水果!$U1197)&lt;&gt;0)),1,0)</f>
        <v>0</v>
      </c>
      <c r="S1197" s="1" t="n">
        <f aca="false">N(S1196)+$R1197</f>
        <v>0</v>
      </c>
      <c r="T1197" s="1" t="n">
        <f aca="false">IF(AND($K1197=1,AND(对接源_01水果!$X1197="公司筐",N(对接源_01水果!$V1197)&lt;&gt;0)),1,0)</f>
        <v>0</v>
      </c>
      <c r="U1197" s="1" t="n">
        <f aca="false">N(U1196)+$T1197</f>
        <v>28</v>
      </c>
      <c r="V1197" s="1" t="n">
        <f aca="false">IF(AND($L1197=1,AND(对接源_01水果!$X1197="自备筐",N(对接源_01水果!$V1197)&lt;&gt;0)),1,0)</f>
        <v>0</v>
      </c>
      <c r="W1197" s="1" t="n">
        <f aca="false">N(W1196)+$V1197</f>
        <v>7</v>
      </c>
      <c r="X1197" s="1" t="n">
        <f aca="false">IF(AND($L1197=1,AND(对接源_01水果!$X1197="自备筐",N(对接源_01水果!$T1197)&lt;&gt;0)),1,0)</f>
        <v>0</v>
      </c>
      <c r="Y1197" s="1" t="n">
        <f aca="false">N(Y1196)+$X1197</f>
        <v>0</v>
      </c>
      <c r="Z1197" s="1" t="n">
        <f aca="false">IF(AND($M1197=1,对接源_01水果!$D1197="原料入库"),1,0)</f>
        <v>0</v>
      </c>
      <c r="AA1197" s="1" t="n">
        <f aca="false">N(AA1196)+$Z1197</f>
        <v>30</v>
      </c>
      <c r="AB1197" s="1" t="n">
        <f aca="false">IF(AND($M1197=1,LEFT(对接源_01水果!$D1197,4)="原料出库"),1,0)</f>
        <v>0</v>
      </c>
      <c r="AC1197" s="1" t="n">
        <f aca="false">N(AC1196)+$AB1197</f>
        <v>19</v>
      </c>
      <c r="AD1197" s="1" t="n">
        <f aca="false">IF(AND($M1197=1,LEFT(对接源_01水果!$D1197,4)="成品出库"),1,0)</f>
        <v>0</v>
      </c>
      <c r="AE1197" s="1" t="n">
        <f aca="false">N(AE1196)+$AD1197</f>
        <v>38</v>
      </c>
      <c r="AF1197" s="1" t="n">
        <f aca="false">IF(AND($N1197=1,AND(LEFT(对接源_01水果!$D1197,4)="包装物料",N(对接源_01水果!$K1197)&lt;&gt;0)),1,0)</f>
        <v>0</v>
      </c>
      <c r="AG1197" s="90" t="str">
        <f aca="false">IF(对接源_01水果!$AC1197="","",对接源_01水果!$AC1197)</f>
        <v/>
      </c>
      <c r="AH1197" s="1" t="n">
        <f aca="false">IF(AND($N1197=1,AND(LEFT(对接源_01水果!$D1197,3)="周转筐",N(对接源_01水果!$K1197)&lt;&gt;0)),1,0)</f>
        <v>0</v>
      </c>
      <c r="AI1197" s="90" t="n">
        <f aca="false">IF(AG1197="",0,IF(MATCH(AG1197,$AG$4:$AG$1203,0)=ROW()-3,1,0))</f>
        <v>0</v>
      </c>
      <c r="AJ1197" s="90" t="n">
        <f aca="false">N(AJ1196)+AI1197</f>
        <v>4</v>
      </c>
      <c r="AK1197" s="1" t="n">
        <f aca="false">N(AK1196)+$AJ1197</f>
        <v>3648</v>
      </c>
    </row>
    <row r="1198" customFormat="false" ht="13.5" hidden="false" customHeight="false" outlineLevel="0" collapsed="false">
      <c r="A1198" s="1" t="str">
        <f aca="false">IF(对接源_01水果!$C1198="","",对接源_01水果!$C1198)</f>
        <v/>
      </c>
      <c r="B1198" s="1" t="n">
        <f aca="false">IF(A1198="",0,IF(MATCH(A1198,$A$4:$A$2403,0)=ROW()-3,1,0))</f>
        <v>0</v>
      </c>
      <c r="C1198" s="1" t="n">
        <f aca="false">N(C1197)+B1198</f>
        <v>13</v>
      </c>
      <c r="K1198" s="1" t="n">
        <f aca="false">IF(OR($K$1="",对接源_01水果!$C1198="",对接源_01水果!$C1198&lt;&gt;$K$1,对接源_01水果!$B1198=""),0,IF(OR(N(对接源_01水果!$B1198)&lt;$K$2,N(对接源_01水果!$B1198)&gt;$K$3),0,1))</f>
        <v>0</v>
      </c>
      <c r="L1198" s="1" t="n">
        <f aca="false">IF(OR($L$1="",对接源_01水果!$C1198="",对接源_01水果!$C1198&lt;&gt;$L$1,对接源_01水果!$B1198=""),0,IF(OR(N(对接源_01水果!$B1198)&lt;$L$2,N(对接源_01水果!$B1198)&gt;$L$3),0,1))</f>
        <v>0</v>
      </c>
      <c r="M1198" s="1" t="n">
        <f aca="false">IF(OR($M$1="",对接源_01水果!$C1198="",对接源_01水果!$C1198&lt;&gt;$M$1,对接源_01水果!$B1198=""),0,IF(OR(N(对接源_01水果!$B1198)&lt;$M$2,N(对接源_01水果!$B1198)&gt;$M$3),0,1))</f>
        <v>0</v>
      </c>
      <c r="N1198" s="1" t="n">
        <f aca="false">IF(OR($N$1="",对接源_01水果!$C1198="",对接源_01水果!$C1198&lt;&gt;$N$1,对接源_01水果!$B1198=""),0,IF(OR(N(对接源_01水果!$B1198)&lt;$N$2,N(对接源_01水果!$B1198)&gt;$N$3),0,1))</f>
        <v>0</v>
      </c>
      <c r="P1198" s="1" t="n">
        <f aca="false">IF(AND($K1198=1,AND(对接源_01水果!$X1198="公司筐",N(对接源_01水果!$T1198)&lt;&gt;0)),1,0)</f>
        <v>0</v>
      </c>
      <c r="Q1198" s="1" t="n">
        <f aca="false">N(Q1197)+$P1198</f>
        <v>3</v>
      </c>
      <c r="R1198" s="1" t="n">
        <f aca="false">IF(AND($K1198=1,AND(对接源_01水果!$X1198="公司筐",N(对接源_01水果!$U1198)&lt;&gt;0)),1,0)</f>
        <v>0</v>
      </c>
      <c r="S1198" s="1" t="n">
        <f aca="false">N(S1197)+$R1198</f>
        <v>0</v>
      </c>
      <c r="T1198" s="1" t="n">
        <f aca="false">IF(AND($K1198=1,AND(对接源_01水果!$X1198="公司筐",N(对接源_01水果!$V1198)&lt;&gt;0)),1,0)</f>
        <v>0</v>
      </c>
      <c r="U1198" s="1" t="n">
        <f aca="false">N(U1197)+$T1198</f>
        <v>28</v>
      </c>
      <c r="V1198" s="1" t="n">
        <f aca="false">IF(AND($L1198=1,AND(对接源_01水果!$X1198="自备筐",N(对接源_01水果!$V1198)&lt;&gt;0)),1,0)</f>
        <v>0</v>
      </c>
      <c r="W1198" s="1" t="n">
        <f aca="false">N(W1197)+$V1198</f>
        <v>7</v>
      </c>
      <c r="X1198" s="1" t="n">
        <f aca="false">IF(AND($L1198=1,AND(对接源_01水果!$X1198="自备筐",N(对接源_01水果!$T1198)&lt;&gt;0)),1,0)</f>
        <v>0</v>
      </c>
      <c r="Y1198" s="1" t="n">
        <f aca="false">N(Y1197)+$X1198</f>
        <v>0</v>
      </c>
      <c r="Z1198" s="1" t="n">
        <f aca="false">IF(AND($M1198=1,对接源_01水果!$D1198="原料入库"),1,0)</f>
        <v>0</v>
      </c>
      <c r="AA1198" s="1" t="n">
        <f aca="false">N(AA1197)+$Z1198</f>
        <v>30</v>
      </c>
      <c r="AB1198" s="1" t="n">
        <f aca="false">IF(AND($M1198=1,LEFT(对接源_01水果!$D1198,4)="原料出库"),1,0)</f>
        <v>0</v>
      </c>
      <c r="AC1198" s="1" t="n">
        <f aca="false">N(AC1197)+$AB1198</f>
        <v>19</v>
      </c>
      <c r="AD1198" s="1" t="n">
        <f aca="false">IF(AND($M1198=1,LEFT(对接源_01水果!$D1198,4)="成品出库"),1,0)</f>
        <v>0</v>
      </c>
      <c r="AE1198" s="1" t="n">
        <f aca="false">N(AE1197)+$AD1198</f>
        <v>38</v>
      </c>
      <c r="AF1198" s="1" t="n">
        <f aca="false">IF(AND($N1198=1,AND(LEFT(对接源_01水果!$D1198,4)="包装物料",N(对接源_01水果!$K1198)&lt;&gt;0)),1,0)</f>
        <v>0</v>
      </c>
      <c r="AG1198" s="90" t="str">
        <f aca="false">IF(对接源_01水果!$AC1198="","",对接源_01水果!$AC1198)</f>
        <v/>
      </c>
      <c r="AH1198" s="1" t="n">
        <f aca="false">IF(AND($N1198=1,AND(LEFT(对接源_01水果!$D1198,3)="周转筐",N(对接源_01水果!$K1198)&lt;&gt;0)),1,0)</f>
        <v>0</v>
      </c>
      <c r="AI1198" s="90" t="n">
        <f aca="false">IF(AG1198="",0,IF(MATCH(AG1198,$AG$4:$AG$1203,0)=ROW()-3,1,0))</f>
        <v>0</v>
      </c>
      <c r="AJ1198" s="90" t="n">
        <f aca="false">N(AJ1197)+AI1198</f>
        <v>4</v>
      </c>
      <c r="AK1198" s="1" t="n">
        <f aca="false">N(AK1197)+$AJ1198</f>
        <v>3652</v>
      </c>
    </row>
    <row r="1199" customFormat="false" ht="13.5" hidden="false" customHeight="false" outlineLevel="0" collapsed="false">
      <c r="A1199" s="1" t="str">
        <f aca="false">IF(对接源_01水果!$C1199="","",对接源_01水果!$C1199)</f>
        <v/>
      </c>
      <c r="B1199" s="1" t="n">
        <f aca="false">IF(A1199="",0,IF(MATCH(A1199,$A$4:$A$2403,0)=ROW()-3,1,0))</f>
        <v>0</v>
      </c>
      <c r="C1199" s="1" t="n">
        <f aca="false">N(C1198)+B1199</f>
        <v>13</v>
      </c>
      <c r="K1199" s="1" t="n">
        <f aca="false">IF(OR($K$1="",对接源_01水果!$C1199="",对接源_01水果!$C1199&lt;&gt;$K$1,对接源_01水果!$B1199=""),0,IF(OR(N(对接源_01水果!$B1199)&lt;$K$2,N(对接源_01水果!$B1199)&gt;$K$3),0,1))</f>
        <v>0</v>
      </c>
      <c r="L1199" s="1" t="n">
        <f aca="false">IF(OR($L$1="",对接源_01水果!$C1199="",对接源_01水果!$C1199&lt;&gt;$L$1,对接源_01水果!$B1199=""),0,IF(OR(N(对接源_01水果!$B1199)&lt;$L$2,N(对接源_01水果!$B1199)&gt;$L$3),0,1))</f>
        <v>0</v>
      </c>
      <c r="M1199" s="1" t="n">
        <f aca="false">IF(OR($M$1="",对接源_01水果!$C1199="",对接源_01水果!$C1199&lt;&gt;$M$1,对接源_01水果!$B1199=""),0,IF(OR(N(对接源_01水果!$B1199)&lt;$M$2,N(对接源_01水果!$B1199)&gt;$M$3),0,1))</f>
        <v>0</v>
      </c>
      <c r="N1199" s="1" t="n">
        <f aca="false">IF(OR($N$1="",对接源_01水果!$C1199="",对接源_01水果!$C1199&lt;&gt;$N$1,对接源_01水果!$B1199=""),0,IF(OR(N(对接源_01水果!$B1199)&lt;$N$2,N(对接源_01水果!$B1199)&gt;$N$3),0,1))</f>
        <v>0</v>
      </c>
      <c r="P1199" s="1" t="n">
        <f aca="false">IF(AND($K1199=1,AND(对接源_01水果!$X1199="公司筐",N(对接源_01水果!$T1199)&lt;&gt;0)),1,0)</f>
        <v>0</v>
      </c>
      <c r="Q1199" s="1" t="n">
        <f aca="false">N(Q1198)+$P1199</f>
        <v>3</v>
      </c>
      <c r="R1199" s="1" t="n">
        <f aca="false">IF(AND($K1199=1,AND(对接源_01水果!$X1199="公司筐",N(对接源_01水果!$U1199)&lt;&gt;0)),1,0)</f>
        <v>0</v>
      </c>
      <c r="S1199" s="1" t="n">
        <f aca="false">N(S1198)+$R1199</f>
        <v>0</v>
      </c>
      <c r="T1199" s="1" t="n">
        <f aca="false">IF(AND($K1199=1,AND(对接源_01水果!$X1199="公司筐",N(对接源_01水果!$V1199)&lt;&gt;0)),1,0)</f>
        <v>0</v>
      </c>
      <c r="U1199" s="1" t="n">
        <f aca="false">N(U1198)+$T1199</f>
        <v>28</v>
      </c>
      <c r="V1199" s="1" t="n">
        <f aca="false">IF(AND($L1199=1,AND(对接源_01水果!$X1199="自备筐",N(对接源_01水果!$V1199)&lt;&gt;0)),1,0)</f>
        <v>0</v>
      </c>
      <c r="W1199" s="1" t="n">
        <f aca="false">N(W1198)+$V1199</f>
        <v>7</v>
      </c>
      <c r="X1199" s="1" t="n">
        <f aca="false">IF(AND($L1199=1,AND(对接源_01水果!$X1199="自备筐",N(对接源_01水果!$T1199)&lt;&gt;0)),1,0)</f>
        <v>0</v>
      </c>
      <c r="Y1199" s="1" t="n">
        <f aca="false">N(Y1198)+$X1199</f>
        <v>0</v>
      </c>
      <c r="Z1199" s="1" t="n">
        <f aca="false">IF(AND($M1199=1,对接源_01水果!$D1199="原料入库"),1,0)</f>
        <v>0</v>
      </c>
      <c r="AA1199" s="1" t="n">
        <f aca="false">N(AA1198)+$Z1199</f>
        <v>30</v>
      </c>
      <c r="AB1199" s="1" t="n">
        <f aca="false">IF(AND($M1199=1,LEFT(对接源_01水果!$D1199,4)="原料出库"),1,0)</f>
        <v>0</v>
      </c>
      <c r="AC1199" s="1" t="n">
        <f aca="false">N(AC1198)+$AB1199</f>
        <v>19</v>
      </c>
      <c r="AD1199" s="1" t="n">
        <f aca="false">IF(AND($M1199=1,LEFT(对接源_01水果!$D1199,4)="成品出库"),1,0)</f>
        <v>0</v>
      </c>
      <c r="AE1199" s="1" t="n">
        <f aca="false">N(AE1198)+$AD1199</f>
        <v>38</v>
      </c>
      <c r="AF1199" s="1" t="n">
        <f aca="false">IF(AND($N1199=1,AND(LEFT(对接源_01水果!$D1199,4)="包装物料",N(对接源_01水果!$K1199)&lt;&gt;0)),1,0)</f>
        <v>0</v>
      </c>
      <c r="AG1199" s="90" t="str">
        <f aca="false">IF(对接源_01水果!$AC1199="","",对接源_01水果!$AC1199)</f>
        <v/>
      </c>
      <c r="AH1199" s="1" t="n">
        <f aca="false">IF(AND($N1199=1,AND(LEFT(对接源_01水果!$D1199,3)="周转筐",N(对接源_01水果!$K1199)&lt;&gt;0)),1,0)</f>
        <v>0</v>
      </c>
      <c r="AI1199" s="90" t="n">
        <f aca="false">IF(AG1199="",0,IF(MATCH(AG1199,$AG$4:$AG$1203,0)=ROW()-3,1,0))</f>
        <v>0</v>
      </c>
      <c r="AJ1199" s="90" t="n">
        <f aca="false">N(AJ1198)+AI1199</f>
        <v>4</v>
      </c>
      <c r="AK1199" s="1" t="n">
        <f aca="false">N(AK1198)+$AJ1199</f>
        <v>3656</v>
      </c>
    </row>
    <row r="1200" customFormat="false" ht="13.5" hidden="false" customHeight="false" outlineLevel="0" collapsed="false">
      <c r="A1200" s="1" t="str">
        <f aca="false">IF(对接源_01水果!$C1200="","",对接源_01水果!$C1200)</f>
        <v/>
      </c>
      <c r="B1200" s="1" t="n">
        <f aca="false">IF(A1200="",0,IF(MATCH(A1200,$A$4:$A$2403,0)=ROW()-3,1,0))</f>
        <v>0</v>
      </c>
      <c r="C1200" s="1" t="n">
        <f aca="false">N(C1199)+B1200</f>
        <v>13</v>
      </c>
      <c r="K1200" s="1" t="n">
        <f aca="false">IF(OR($K$1="",对接源_01水果!$C1200="",对接源_01水果!$C1200&lt;&gt;$K$1,对接源_01水果!$B1200=""),0,IF(OR(N(对接源_01水果!$B1200)&lt;$K$2,N(对接源_01水果!$B1200)&gt;$K$3),0,1))</f>
        <v>0</v>
      </c>
      <c r="L1200" s="1" t="n">
        <f aca="false">IF(OR($L$1="",对接源_01水果!$C1200="",对接源_01水果!$C1200&lt;&gt;$L$1,对接源_01水果!$B1200=""),0,IF(OR(N(对接源_01水果!$B1200)&lt;$L$2,N(对接源_01水果!$B1200)&gt;$L$3),0,1))</f>
        <v>0</v>
      </c>
      <c r="M1200" s="1" t="n">
        <f aca="false">IF(OR($M$1="",对接源_01水果!$C1200="",对接源_01水果!$C1200&lt;&gt;$M$1,对接源_01水果!$B1200=""),0,IF(OR(N(对接源_01水果!$B1200)&lt;$M$2,N(对接源_01水果!$B1200)&gt;$M$3),0,1))</f>
        <v>0</v>
      </c>
      <c r="N1200" s="1" t="n">
        <f aca="false">IF(OR($N$1="",对接源_01水果!$C1200="",对接源_01水果!$C1200&lt;&gt;$N$1,对接源_01水果!$B1200=""),0,IF(OR(N(对接源_01水果!$B1200)&lt;$N$2,N(对接源_01水果!$B1200)&gt;$N$3),0,1))</f>
        <v>0</v>
      </c>
      <c r="P1200" s="1" t="n">
        <f aca="false">IF(AND($K1200=1,AND(对接源_01水果!$X1200="公司筐",N(对接源_01水果!$T1200)&lt;&gt;0)),1,0)</f>
        <v>0</v>
      </c>
      <c r="Q1200" s="1" t="n">
        <f aca="false">N(Q1199)+$P1200</f>
        <v>3</v>
      </c>
      <c r="R1200" s="1" t="n">
        <f aca="false">IF(AND($K1200=1,AND(对接源_01水果!$X1200="公司筐",N(对接源_01水果!$U1200)&lt;&gt;0)),1,0)</f>
        <v>0</v>
      </c>
      <c r="S1200" s="1" t="n">
        <f aca="false">N(S1199)+$R1200</f>
        <v>0</v>
      </c>
      <c r="T1200" s="1" t="n">
        <f aca="false">IF(AND($K1200=1,AND(对接源_01水果!$X1200="公司筐",N(对接源_01水果!$V1200)&lt;&gt;0)),1,0)</f>
        <v>0</v>
      </c>
      <c r="U1200" s="1" t="n">
        <f aca="false">N(U1199)+$T1200</f>
        <v>28</v>
      </c>
      <c r="V1200" s="1" t="n">
        <f aca="false">IF(AND($L1200=1,AND(对接源_01水果!$X1200="自备筐",N(对接源_01水果!$V1200)&lt;&gt;0)),1,0)</f>
        <v>0</v>
      </c>
      <c r="W1200" s="1" t="n">
        <f aca="false">N(W1199)+$V1200</f>
        <v>7</v>
      </c>
      <c r="X1200" s="1" t="n">
        <f aca="false">IF(AND($L1200=1,AND(对接源_01水果!$X1200="自备筐",N(对接源_01水果!$T1200)&lt;&gt;0)),1,0)</f>
        <v>0</v>
      </c>
      <c r="Y1200" s="1" t="n">
        <f aca="false">N(Y1199)+$X1200</f>
        <v>0</v>
      </c>
      <c r="Z1200" s="1" t="n">
        <f aca="false">IF(AND($M1200=1,对接源_01水果!$D1200="原料入库"),1,0)</f>
        <v>0</v>
      </c>
      <c r="AA1200" s="1" t="n">
        <f aca="false">N(AA1199)+$Z1200</f>
        <v>30</v>
      </c>
      <c r="AB1200" s="1" t="n">
        <f aca="false">IF(AND($M1200=1,LEFT(对接源_01水果!$D1200,4)="原料出库"),1,0)</f>
        <v>0</v>
      </c>
      <c r="AC1200" s="1" t="n">
        <f aca="false">N(AC1199)+$AB1200</f>
        <v>19</v>
      </c>
      <c r="AD1200" s="1" t="n">
        <f aca="false">IF(AND($M1200=1,LEFT(对接源_01水果!$D1200,4)="成品出库"),1,0)</f>
        <v>0</v>
      </c>
      <c r="AE1200" s="1" t="n">
        <f aca="false">N(AE1199)+$AD1200</f>
        <v>38</v>
      </c>
      <c r="AF1200" s="1" t="n">
        <f aca="false">IF(AND($N1200=1,AND(LEFT(对接源_01水果!$D1200,4)="包装物料",N(对接源_01水果!$K1200)&lt;&gt;0)),1,0)</f>
        <v>0</v>
      </c>
      <c r="AG1200" s="90" t="str">
        <f aca="false">IF(对接源_01水果!$AC1200="","",对接源_01水果!$AC1200)</f>
        <v/>
      </c>
      <c r="AH1200" s="1" t="n">
        <f aca="false">IF(AND($N1200=1,AND(LEFT(对接源_01水果!$D1200,3)="周转筐",N(对接源_01水果!$K1200)&lt;&gt;0)),1,0)</f>
        <v>0</v>
      </c>
      <c r="AI1200" s="90" t="n">
        <f aca="false">IF(AG1200="",0,IF(MATCH(AG1200,$AG$4:$AG$1203,0)=ROW()-3,1,0))</f>
        <v>0</v>
      </c>
      <c r="AJ1200" s="90" t="n">
        <f aca="false">N(AJ1199)+AI1200</f>
        <v>4</v>
      </c>
      <c r="AK1200" s="1" t="n">
        <f aca="false">N(AK1199)+$AJ1200</f>
        <v>3660</v>
      </c>
    </row>
    <row r="1201" customFormat="false" ht="13.5" hidden="false" customHeight="false" outlineLevel="0" collapsed="false">
      <c r="A1201" s="1" t="str">
        <f aca="false">IF(对接源_01水果!$C1201="","",对接源_01水果!$C1201)</f>
        <v/>
      </c>
      <c r="B1201" s="1" t="n">
        <f aca="false">IF(A1201="",0,IF(MATCH(A1201,$A$4:$A$2403,0)=ROW()-3,1,0))</f>
        <v>0</v>
      </c>
      <c r="C1201" s="1" t="n">
        <f aca="false">N(C1200)+B1201</f>
        <v>13</v>
      </c>
      <c r="K1201" s="1" t="n">
        <f aca="false">IF(OR($K$1="",对接源_01水果!$C1201="",对接源_01水果!$C1201&lt;&gt;$K$1,对接源_01水果!$B1201=""),0,IF(OR(N(对接源_01水果!$B1201)&lt;$K$2,N(对接源_01水果!$B1201)&gt;$K$3),0,1))</f>
        <v>0</v>
      </c>
      <c r="L1201" s="1" t="n">
        <f aca="false">IF(OR($L$1="",对接源_01水果!$C1201="",对接源_01水果!$C1201&lt;&gt;$L$1,对接源_01水果!$B1201=""),0,IF(OR(N(对接源_01水果!$B1201)&lt;$L$2,N(对接源_01水果!$B1201)&gt;$L$3),0,1))</f>
        <v>0</v>
      </c>
      <c r="M1201" s="1" t="n">
        <f aca="false">IF(OR($M$1="",对接源_01水果!$C1201="",对接源_01水果!$C1201&lt;&gt;$M$1,对接源_01水果!$B1201=""),0,IF(OR(N(对接源_01水果!$B1201)&lt;$M$2,N(对接源_01水果!$B1201)&gt;$M$3),0,1))</f>
        <v>0</v>
      </c>
      <c r="N1201" s="1" t="n">
        <f aca="false">IF(OR($N$1="",对接源_01水果!$C1201="",对接源_01水果!$C1201&lt;&gt;$N$1,对接源_01水果!$B1201=""),0,IF(OR(N(对接源_01水果!$B1201)&lt;$N$2,N(对接源_01水果!$B1201)&gt;$N$3),0,1))</f>
        <v>0</v>
      </c>
      <c r="P1201" s="1" t="n">
        <f aca="false">IF(AND($K1201=1,AND(对接源_01水果!$X1201="公司筐",N(对接源_01水果!$T1201)&lt;&gt;0)),1,0)</f>
        <v>0</v>
      </c>
      <c r="Q1201" s="1" t="n">
        <f aca="false">N(Q1200)+$P1201</f>
        <v>3</v>
      </c>
      <c r="R1201" s="1" t="n">
        <f aca="false">IF(AND($K1201=1,AND(对接源_01水果!$X1201="公司筐",N(对接源_01水果!$U1201)&lt;&gt;0)),1,0)</f>
        <v>0</v>
      </c>
      <c r="S1201" s="1" t="n">
        <f aca="false">N(S1200)+$R1201</f>
        <v>0</v>
      </c>
      <c r="T1201" s="1" t="n">
        <f aca="false">IF(AND($K1201=1,AND(对接源_01水果!$X1201="公司筐",N(对接源_01水果!$V1201)&lt;&gt;0)),1,0)</f>
        <v>0</v>
      </c>
      <c r="U1201" s="1" t="n">
        <f aca="false">N(U1200)+$T1201</f>
        <v>28</v>
      </c>
      <c r="V1201" s="1" t="n">
        <f aca="false">IF(AND($L1201=1,AND(对接源_01水果!$X1201="自备筐",N(对接源_01水果!$V1201)&lt;&gt;0)),1,0)</f>
        <v>0</v>
      </c>
      <c r="W1201" s="1" t="n">
        <f aca="false">N(W1200)+$V1201</f>
        <v>7</v>
      </c>
      <c r="X1201" s="1" t="n">
        <f aca="false">IF(AND($L1201=1,AND(对接源_01水果!$X1201="自备筐",N(对接源_01水果!$T1201)&lt;&gt;0)),1,0)</f>
        <v>0</v>
      </c>
      <c r="Y1201" s="1" t="n">
        <f aca="false">N(Y1200)+$X1201</f>
        <v>0</v>
      </c>
      <c r="Z1201" s="1" t="n">
        <f aca="false">IF(AND($M1201=1,对接源_01水果!$D1201="原料入库"),1,0)</f>
        <v>0</v>
      </c>
      <c r="AA1201" s="1" t="n">
        <f aca="false">N(AA1200)+$Z1201</f>
        <v>30</v>
      </c>
      <c r="AB1201" s="1" t="n">
        <f aca="false">IF(AND($M1201=1,LEFT(对接源_01水果!$D1201,4)="原料出库"),1,0)</f>
        <v>0</v>
      </c>
      <c r="AC1201" s="1" t="n">
        <f aca="false">N(AC1200)+$AB1201</f>
        <v>19</v>
      </c>
      <c r="AD1201" s="1" t="n">
        <f aca="false">IF(AND($M1201=1,LEFT(对接源_01水果!$D1201,4)="成品出库"),1,0)</f>
        <v>0</v>
      </c>
      <c r="AE1201" s="1" t="n">
        <f aca="false">N(AE1200)+$AD1201</f>
        <v>38</v>
      </c>
      <c r="AF1201" s="1" t="n">
        <f aca="false">IF(AND($N1201=1,AND(LEFT(对接源_01水果!$D1201,4)="包装物料",N(对接源_01水果!$K1201)&lt;&gt;0)),1,0)</f>
        <v>0</v>
      </c>
      <c r="AG1201" s="90" t="str">
        <f aca="false">IF(对接源_01水果!$AC1201="","",对接源_01水果!$AC1201)</f>
        <v/>
      </c>
      <c r="AH1201" s="1" t="n">
        <f aca="false">IF(AND($N1201=1,AND(LEFT(对接源_01水果!$D1201,3)="周转筐",N(对接源_01水果!$K1201)&lt;&gt;0)),1,0)</f>
        <v>0</v>
      </c>
      <c r="AI1201" s="90" t="n">
        <f aca="false">IF(AG1201="",0,IF(MATCH(AG1201,$AG$4:$AG$1203,0)=ROW()-3,1,0))</f>
        <v>0</v>
      </c>
      <c r="AJ1201" s="90" t="n">
        <f aca="false">N(AJ1200)+AI1201</f>
        <v>4</v>
      </c>
      <c r="AK1201" s="1" t="n">
        <f aca="false">N(AK1200)+$AJ1201</f>
        <v>3664</v>
      </c>
    </row>
    <row r="1202" customFormat="false" ht="13.5" hidden="false" customHeight="false" outlineLevel="0" collapsed="false">
      <c r="A1202" s="1" t="str">
        <f aca="false">IF(对接源_01水果!$C1202="","",对接源_01水果!$C1202)</f>
        <v/>
      </c>
      <c r="B1202" s="1" t="n">
        <f aca="false">IF(A1202="",0,IF(MATCH(A1202,$A$4:$A$2403,0)=ROW()-3,1,0))</f>
        <v>0</v>
      </c>
      <c r="C1202" s="1" t="n">
        <f aca="false">N(C1201)+B1202</f>
        <v>13</v>
      </c>
      <c r="K1202" s="1" t="n">
        <f aca="false">IF(OR($K$1="",对接源_01水果!$C1202="",对接源_01水果!$C1202&lt;&gt;$K$1,对接源_01水果!$B1202=""),0,IF(OR(N(对接源_01水果!$B1202)&lt;$K$2,N(对接源_01水果!$B1202)&gt;$K$3),0,1))</f>
        <v>0</v>
      </c>
      <c r="L1202" s="1" t="n">
        <f aca="false">IF(OR($L$1="",对接源_01水果!$C1202="",对接源_01水果!$C1202&lt;&gt;$L$1,对接源_01水果!$B1202=""),0,IF(OR(N(对接源_01水果!$B1202)&lt;$L$2,N(对接源_01水果!$B1202)&gt;$L$3),0,1))</f>
        <v>0</v>
      </c>
      <c r="M1202" s="1" t="n">
        <f aca="false">IF(OR($M$1="",对接源_01水果!$C1202="",对接源_01水果!$C1202&lt;&gt;$M$1,对接源_01水果!$B1202=""),0,IF(OR(N(对接源_01水果!$B1202)&lt;$M$2,N(对接源_01水果!$B1202)&gt;$M$3),0,1))</f>
        <v>0</v>
      </c>
      <c r="N1202" s="1" t="n">
        <f aca="false">IF(OR($N$1="",对接源_01水果!$C1202="",对接源_01水果!$C1202&lt;&gt;$N$1,对接源_01水果!$B1202=""),0,IF(OR(N(对接源_01水果!$B1202)&lt;$N$2,N(对接源_01水果!$B1202)&gt;$N$3),0,1))</f>
        <v>0</v>
      </c>
      <c r="P1202" s="1" t="n">
        <f aca="false">IF(AND($K1202=1,AND(对接源_01水果!$X1202="公司筐",N(对接源_01水果!$T1202)&lt;&gt;0)),1,0)</f>
        <v>0</v>
      </c>
      <c r="Q1202" s="1" t="n">
        <f aca="false">N(Q1201)+$P1202</f>
        <v>3</v>
      </c>
      <c r="R1202" s="1" t="n">
        <f aca="false">IF(AND($K1202=1,AND(对接源_01水果!$X1202="公司筐",N(对接源_01水果!$U1202)&lt;&gt;0)),1,0)</f>
        <v>0</v>
      </c>
      <c r="S1202" s="1" t="n">
        <f aca="false">N(S1201)+$R1202</f>
        <v>0</v>
      </c>
      <c r="T1202" s="1" t="n">
        <f aca="false">IF(AND($K1202=1,AND(对接源_01水果!$X1202="公司筐",N(对接源_01水果!$V1202)&lt;&gt;0)),1,0)</f>
        <v>0</v>
      </c>
      <c r="U1202" s="1" t="n">
        <f aca="false">N(U1201)+$T1202</f>
        <v>28</v>
      </c>
      <c r="V1202" s="1" t="n">
        <f aca="false">IF(AND($L1202=1,AND(对接源_01水果!$X1202="自备筐",N(对接源_01水果!$V1202)&lt;&gt;0)),1,0)</f>
        <v>0</v>
      </c>
      <c r="W1202" s="1" t="n">
        <f aca="false">N(W1201)+$V1202</f>
        <v>7</v>
      </c>
      <c r="X1202" s="1" t="n">
        <f aca="false">IF(AND($L1202=1,AND(对接源_01水果!$X1202="自备筐",N(对接源_01水果!$T1202)&lt;&gt;0)),1,0)</f>
        <v>0</v>
      </c>
      <c r="Y1202" s="1" t="n">
        <f aca="false">N(Y1201)+$X1202</f>
        <v>0</v>
      </c>
      <c r="Z1202" s="1" t="n">
        <f aca="false">IF(AND($M1202=1,对接源_01水果!$D1202="原料入库"),1,0)</f>
        <v>0</v>
      </c>
      <c r="AA1202" s="1" t="n">
        <f aca="false">N(AA1201)+$Z1202</f>
        <v>30</v>
      </c>
      <c r="AB1202" s="1" t="n">
        <f aca="false">IF(AND($M1202=1,LEFT(对接源_01水果!$D1202,4)="原料出库"),1,0)</f>
        <v>0</v>
      </c>
      <c r="AC1202" s="1" t="n">
        <f aca="false">N(AC1201)+$AB1202</f>
        <v>19</v>
      </c>
      <c r="AD1202" s="1" t="n">
        <f aca="false">IF(AND($M1202=1,LEFT(对接源_01水果!$D1202,4)="成品出库"),1,0)</f>
        <v>0</v>
      </c>
      <c r="AE1202" s="1" t="n">
        <f aca="false">N(AE1201)+$AD1202</f>
        <v>38</v>
      </c>
      <c r="AF1202" s="1" t="n">
        <f aca="false">IF(AND($N1202=1,AND(LEFT(对接源_01水果!$D1202,4)="包装物料",N(对接源_01水果!$K1202)&lt;&gt;0)),1,0)</f>
        <v>0</v>
      </c>
      <c r="AG1202" s="90" t="str">
        <f aca="false">IF(对接源_01水果!$AC1202="","",对接源_01水果!$AC1202)</f>
        <v/>
      </c>
      <c r="AH1202" s="1" t="n">
        <f aca="false">IF(AND($N1202=1,AND(LEFT(对接源_01水果!$D1202,3)="周转筐",N(对接源_01水果!$K1202)&lt;&gt;0)),1,0)</f>
        <v>0</v>
      </c>
      <c r="AI1202" s="90" t="n">
        <f aca="false">IF(AG1202="",0,IF(MATCH(AG1202,$AG$4:$AG$1203,0)=ROW()-3,1,0))</f>
        <v>0</v>
      </c>
      <c r="AJ1202" s="90" t="n">
        <f aca="false">N(AJ1201)+AI1202</f>
        <v>4</v>
      </c>
      <c r="AK1202" s="1" t="n">
        <f aca="false">N(AK1201)+$AJ1202</f>
        <v>3668</v>
      </c>
    </row>
    <row r="1203" customFormat="false" ht="13.5" hidden="false" customHeight="false" outlineLevel="0" collapsed="false">
      <c r="A1203" s="1" t="str">
        <f aca="false">IF(对接源_01水果!$C1203="","",对接源_01水果!$C1203)</f>
        <v/>
      </c>
      <c r="B1203" s="1" t="n">
        <f aca="false">IF(A1203="",0,IF(MATCH(A1203,$A$4:$A$2403,0)=ROW()-3,1,0))</f>
        <v>0</v>
      </c>
      <c r="C1203" s="1" t="n">
        <f aca="false">N(C1202)+B1203</f>
        <v>13</v>
      </c>
      <c r="K1203" s="1" t="n">
        <f aca="false">IF(OR($K$1="",对接源_01水果!$C1203="",对接源_01水果!$C1203&lt;&gt;$K$1,对接源_01水果!$B1203=""),0,IF(OR(N(对接源_01水果!$B1203)&lt;$K$2,N(对接源_01水果!$B1203)&gt;$K$3),0,1))</f>
        <v>0</v>
      </c>
      <c r="L1203" s="1" t="n">
        <f aca="false">IF(OR($L$1="",对接源_01水果!$C1203="",对接源_01水果!$C1203&lt;&gt;$L$1,对接源_01水果!$B1203=""),0,IF(OR(N(对接源_01水果!$B1203)&lt;$L$2,N(对接源_01水果!$B1203)&gt;$L$3),0,1))</f>
        <v>0</v>
      </c>
      <c r="M1203" s="1" t="n">
        <f aca="false">IF(OR($M$1="",对接源_01水果!$C1203="",对接源_01水果!$C1203&lt;&gt;$M$1,对接源_01水果!$B1203=""),0,IF(OR(N(对接源_01水果!$B1203)&lt;$M$2,N(对接源_01水果!$B1203)&gt;$M$3),0,1))</f>
        <v>0</v>
      </c>
      <c r="N1203" s="1" t="n">
        <f aca="false">IF(OR($N$1="",对接源_01水果!$C1203="",对接源_01水果!$C1203&lt;&gt;$N$1,对接源_01水果!$B1203=""),0,IF(OR(N(对接源_01水果!$B1203)&lt;$N$2,N(对接源_01水果!$B1203)&gt;$N$3),0,1))</f>
        <v>0</v>
      </c>
      <c r="P1203" s="1" t="n">
        <f aca="false">IF(AND($K1203=1,AND(对接源_01水果!$X1203="公司筐",N(对接源_01水果!$T1203)&lt;&gt;0)),1,0)</f>
        <v>0</v>
      </c>
      <c r="Q1203" s="1" t="n">
        <f aca="false">N(Q1202)+$P1203</f>
        <v>3</v>
      </c>
      <c r="R1203" s="1" t="n">
        <f aca="false">IF(AND($K1203=1,AND(对接源_01水果!$X1203="公司筐",N(对接源_01水果!$U1203)&lt;&gt;0)),1,0)</f>
        <v>0</v>
      </c>
      <c r="S1203" s="1" t="n">
        <f aca="false">N(S1202)+$R1203</f>
        <v>0</v>
      </c>
      <c r="T1203" s="1" t="n">
        <f aca="false">IF(AND($K1203=1,AND(对接源_01水果!$X1203="公司筐",N(对接源_01水果!$V1203)&lt;&gt;0)),1,0)</f>
        <v>0</v>
      </c>
      <c r="U1203" s="1" t="n">
        <f aca="false">N(U1202)+$T1203</f>
        <v>28</v>
      </c>
      <c r="V1203" s="1" t="n">
        <f aca="false">IF(AND($L1203=1,AND(对接源_01水果!$X1203="自备筐",N(对接源_01水果!$V1203)&lt;&gt;0)),1,0)</f>
        <v>0</v>
      </c>
      <c r="W1203" s="1" t="n">
        <f aca="false">N(W1202)+$V1203</f>
        <v>7</v>
      </c>
      <c r="X1203" s="1" t="n">
        <f aca="false">IF(AND($L1203=1,AND(对接源_01水果!$X1203="自备筐",N(对接源_01水果!$T1203)&lt;&gt;0)),1,0)</f>
        <v>0</v>
      </c>
      <c r="Y1203" s="1" t="n">
        <f aca="false">N(Y1202)+$X1203</f>
        <v>0</v>
      </c>
      <c r="Z1203" s="1" t="n">
        <f aca="false">IF(AND($M1203=1,对接源_01水果!$D1203="原料入库"),1,0)</f>
        <v>0</v>
      </c>
      <c r="AA1203" s="1" t="n">
        <f aca="false">N(AA1202)+$Z1203</f>
        <v>30</v>
      </c>
      <c r="AB1203" s="1" t="n">
        <f aca="false">IF(AND($M1203=1,LEFT(对接源_01水果!$D1203,4)="原料出库"),1,0)</f>
        <v>0</v>
      </c>
      <c r="AC1203" s="1" t="n">
        <f aca="false">N(AC1202)+$AB1203</f>
        <v>19</v>
      </c>
      <c r="AD1203" s="1" t="n">
        <f aca="false">IF(AND($M1203=1,LEFT(对接源_01水果!$D1203,4)="成品出库"),1,0)</f>
        <v>0</v>
      </c>
      <c r="AE1203" s="1" t="n">
        <f aca="false">N(AE1202)+$AD1203</f>
        <v>38</v>
      </c>
      <c r="AF1203" s="1" t="n">
        <f aca="false">IF(AND($N1203=1,AND(LEFT(对接源_01水果!$D1203,4)="包装物料",N(对接源_01水果!$K1203)&lt;&gt;0)),1,0)</f>
        <v>0</v>
      </c>
      <c r="AG1203" s="90" t="str">
        <f aca="false">IF(对接源_01水果!$AC1203="","",对接源_01水果!$AC1203)</f>
        <v/>
      </c>
      <c r="AH1203" s="1" t="n">
        <f aca="false">IF(AND($N1203=1,AND(LEFT(对接源_01水果!$D1203,3)="周转筐",N(对接源_01水果!$K1203)&lt;&gt;0)),1,0)</f>
        <v>0</v>
      </c>
      <c r="AI1203" s="90" t="n">
        <f aca="false">IF(AG1203="",0,IF(MATCH(AG1203,$AG$4:$AG$1203,0)=ROW()-3,1,0))</f>
        <v>0</v>
      </c>
      <c r="AJ1203" s="90" t="n">
        <f aca="false">N(AJ1202)+AI1203</f>
        <v>4</v>
      </c>
      <c r="AK1203" s="1" t="n">
        <f aca="false">N(AK1202)+$AJ1203</f>
        <v>3672</v>
      </c>
    </row>
    <row r="1204" customFormat="false" ht="13.5" hidden="false" customHeight="false" outlineLevel="0" collapsed="false">
      <c r="A1204" s="1" t="str">
        <f aca="false">IF(对接源_02物料!$C4="","",对接源_02物料!$C4)</f>
        <v>果然鲜</v>
      </c>
      <c r="B1204" s="1" t="n">
        <f aca="false">IF(A1204="",0,IF(MATCH(A1204,$A$4:$A$2403,0)=ROW()-3,1,0))</f>
        <v>1</v>
      </c>
      <c r="C1204" s="1" t="n">
        <f aca="false">N(C1203)+B1204</f>
        <v>14</v>
      </c>
      <c r="K1204" s="1" t="n">
        <f aca="false">IF(OR($K$1="",对接源_02物料!$C4="",对接源_02物料!$C4&lt;&gt;$K$1,对接源_02物料!$B4=""),0,IF(OR(N(对接源_02物料!$B4)&lt;$K$2,N(对接源_02物料!$B4)&gt;$K$3),0,1))</f>
        <v>0</v>
      </c>
      <c r="L1204" s="1" t="n">
        <f aca="false">IF(OR($L$1="",对接源_02物料!$C4="",对接源_02物料!$C4&lt;&gt;$L$1,对接源_02物料!$B4=""),0,IF(OR(N(对接源_02物料!$B4)&lt;$L$2,N(对接源_02物料!$B4)&gt;$L$3),0,1))</f>
        <v>0</v>
      </c>
      <c r="M1204" s="1" t="n">
        <f aca="false">IF(OR($M$1="",对接源_02物料!$C4="",对接源_02物料!$C4&lt;&gt;$M$1,对接源_02物料!$B4=""),0,IF(OR(N(对接源_02物料!$B4)&lt;$M$2,N(对接源_02物料!$B4)&gt;$M$3),0,1))</f>
        <v>0</v>
      </c>
      <c r="N1204" s="1" t="n">
        <f aca="false">IF(OR($N$1="",对接源_02物料!$C4="",对接源_02物料!$C4&lt;&gt;$N$1,对接源_02物料!$B4=""),0,IF(OR(N(对接源_02物料!$B4)&lt;$N$2,N(对接源_02物料!$B4)&gt;$N$3),0,1))</f>
        <v>0</v>
      </c>
      <c r="P1204" s="1" t="n">
        <f aca="false">IF(AND($K1204=1,AND(对接源_02物料!$X4="公司筐",N(对接源_02物料!$T4)&lt;&gt;0)),1,0)</f>
        <v>0</v>
      </c>
      <c r="Q1204" s="1" t="n">
        <f aca="false">N(Q1203)+$P1204</f>
        <v>3</v>
      </c>
      <c r="R1204" s="1" t="n">
        <f aca="false">IF(AND($K1204=1,AND(对接源_02物料!$X4="公司筐",N(对接源_02物料!$U4)&lt;&gt;0)),1,0)</f>
        <v>0</v>
      </c>
      <c r="S1204" s="1" t="n">
        <f aca="false">N(S1203)+$R1204</f>
        <v>0</v>
      </c>
      <c r="T1204" s="1" t="n">
        <f aca="false">IF(AND($K1204=1,AND(对接源_02物料!$X4="公司筐",N(对接源_02物料!$V4)&lt;&gt;0)),1,0)</f>
        <v>0</v>
      </c>
      <c r="U1204" s="1" t="n">
        <f aca="false">N(U1203)+$T1204</f>
        <v>28</v>
      </c>
      <c r="V1204" s="1" t="n">
        <f aca="false">IF(AND($L1204=1,AND(对接源_02物料!$X4="自备筐",N(对接源_02物料!$V4)&lt;&gt;0)),1,0)</f>
        <v>0</v>
      </c>
      <c r="W1204" s="1" t="n">
        <f aca="false">N(W1203)+$V1204</f>
        <v>7</v>
      </c>
      <c r="X1204" s="1" t="n">
        <f aca="false">IF(AND($L1204=1,AND(对接源_02物料!$X4="自备筐",N(对接源_02物料!$T4)&lt;&gt;0)),1,0)</f>
        <v>0</v>
      </c>
      <c r="Y1204" s="1" t="n">
        <f aca="false">N(Y1203)+$X1204</f>
        <v>0</v>
      </c>
      <c r="Z1204" s="1" t="n">
        <f aca="false">IF(AND($M1204=1,对接源_02物料!$D4="原料入库"),1,0)</f>
        <v>0</v>
      </c>
      <c r="AA1204" s="1" t="n">
        <f aca="false">N(AA1203)+$Z1204</f>
        <v>30</v>
      </c>
      <c r="AB1204" s="1" t="n">
        <f aca="false">IF(AND($M1204=1,LEFT(对接源_02物料!$D4,4)="原料出库"),1,0)</f>
        <v>0</v>
      </c>
      <c r="AC1204" s="1" t="n">
        <f aca="false">N(AC1203)+$AB1204</f>
        <v>19</v>
      </c>
      <c r="AD1204" s="1" t="n">
        <f aca="false">IF(AND($M1204=1,LEFT(对接源_02物料!$D4,4)="成品出库"),1,0)</f>
        <v>0</v>
      </c>
      <c r="AE1204" s="1" t="n">
        <f aca="false">N(AE1203)+$AD1204</f>
        <v>38</v>
      </c>
      <c r="AF1204" s="1" t="n">
        <f aca="false">IF(AND($N1204=1,AND(LEFT(对接源_02物料!$D4,4)="包装物料",N(对接源_02物料!$K4)&lt;&gt;0)),1,0)</f>
        <v>0</v>
      </c>
      <c r="AG1204" s="1" t="n">
        <f aca="false">N(AG1203)+$AF1204</f>
        <v>0</v>
      </c>
      <c r="AH1204" s="1" t="n">
        <f aca="false">IF(AND($N1204=1,AND(LEFT(对接源_02物料!$D4,3)="周转筐",N(对接源_02物料!$K4)&lt;&gt;0)),1,0)</f>
        <v>0</v>
      </c>
      <c r="AI1204" s="1" t="n">
        <f aca="false">N(AI1203)+$AH1204</f>
        <v>0</v>
      </c>
      <c r="AJ1204" s="1" t="n">
        <v>0</v>
      </c>
      <c r="AK1204" s="1" t="n">
        <f aca="false">N(AK1203)+$AJ1204</f>
        <v>3672</v>
      </c>
    </row>
    <row r="1205" customFormat="false" ht="13.5" hidden="false" customHeight="false" outlineLevel="0" collapsed="false">
      <c r="A1205" s="1" t="str">
        <f aca="false">IF(对接源_02物料!$C5="","",对接源_02物料!$C5)</f>
        <v>果然鲜</v>
      </c>
      <c r="B1205" s="1" t="n">
        <f aca="false">IF(A1205="",0,IF(MATCH(A1205,$A$4:$A$2403,0)=ROW()-3,1,0))</f>
        <v>0</v>
      </c>
      <c r="C1205" s="1" t="n">
        <f aca="false">N(C1204)+B1205</f>
        <v>14</v>
      </c>
      <c r="K1205" s="1" t="n">
        <f aca="false">IF(OR($K$1="",对接源_02物料!$C5="",对接源_02物料!$C5&lt;&gt;$K$1,对接源_02物料!$B5=""),0,IF(OR(N(对接源_02物料!$B5)&lt;$K$2,N(对接源_02物料!$B5)&gt;$K$3),0,1))</f>
        <v>0</v>
      </c>
      <c r="L1205" s="1" t="n">
        <f aca="false">IF(OR($L$1="",对接源_02物料!$C5="",对接源_02物料!$C5&lt;&gt;$L$1,对接源_02物料!$B5=""),0,IF(OR(N(对接源_02物料!$B5)&lt;$L$2,N(对接源_02物料!$B5)&gt;$L$3),0,1))</f>
        <v>0</v>
      </c>
      <c r="M1205" s="1" t="n">
        <f aca="false">IF(OR($M$1="",对接源_02物料!$C5="",对接源_02物料!$C5&lt;&gt;$M$1,对接源_02物料!$B5=""),0,IF(OR(N(对接源_02物料!$B5)&lt;$M$2,N(对接源_02物料!$B5)&gt;$M$3),0,1))</f>
        <v>0</v>
      </c>
      <c r="N1205" s="1" t="n">
        <f aca="false">IF(OR($N$1="",对接源_02物料!$C5="",对接源_02物料!$C5&lt;&gt;$N$1,对接源_02物料!$B5=""),0,IF(OR(N(对接源_02物料!$B5)&lt;$N$2,N(对接源_02物料!$B5)&gt;$N$3),0,1))</f>
        <v>0</v>
      </c>
      <c r="P1205" s="1" t="n">
        <f aca="false">IF(AND($K1205=1,AND(对接源_02物料!$X5="公司筐",N(对接源_02物料!$T5)&lt;&gt;0)),1,0)</f>
        <v>0</v>
      </c>
      <c r="Q1205" s="1" t="n">
        <f aca="false">N(Q1204)+$P1205</f>
        <v>3</v>
      </c>
      <c r="R1205" s="1" t="n">
        <f aca="false">IF(AND($K1205=1,AND(对接源_02物料!$X5="公司筐",N(对接源_02物料!$U5)&lt;&gt;0)),1,0)</f>
        <v>0</v>
      </c>
      <c r="S1205" s="1" t="n">
        <f aca="false">N(S1204)+$R1205</f>
        <v>0</v>
      </c>
      <c r="T1205" s="1" t="n">
        <f aca="false">IF(AND($K1205=1,AND(对接源_02物料!$X5="公司筐",N(对接源_02物料!$V5)&lt;&gt;0)),1,0)</f>
        <v>0</v>
      </c>
      <c r="U1205" s="1" t="n">
        <f aca="false">N(U1204)+$T1205</f>
        <v>28</v>
      </c>
      <c r="V1205" s="1" t="n">
        <f aca="false">IF(AND($L1205=1,AND(对接源_02物料!$X5="自备筐",N(对接源_02物料!$V5)&lt;&gt;0)),1,0)</f>
        <v>0</v>
      </c>
      <c r="W1205" s="1" t="n">
        <f aca="false">N(W1204)+$V1205</f>
        <v>7</v>
      </c>
      <c r="X1205" s="1" t="n">
        <f aca="false">IF(AND($L1205=1,AND(对接源_02物料!$X5="自备筐",N(对接源_02物料!$T5)&lt;&gt;0)),1,0)</f>
        <v>0</v>
      </c>
      <c r="Y1205" s="1" t="n">
        <f aca="false">N(Y1204)+$X1205</f>
        <v>0</v>
      </c>
      <c r="Z1205" s="1" t="n">
        <f aca="false">IF(AND($M1205=1,对接源_02物料!$D5="原料入库"),1,0)</f>
        <v>0</v>
      </c>
      <c r="AA1205" s="1" t="n">
        <f aca="false">N(AA1204)+$Z1205</f>
        <v>30</v>
      </c>
      <c r="AB1205" s="1" t="n">
        <f aca="false">IF(AND($M1205=1,LEFT(对接源_02物料!$D5,4)="原料出库"),1,0)</f>
        <v>0</v>
      </c>
      <c r="AC1205" s="1" t="n">
        <f aca="false">N(AC1204)+$AB1205</f>
        <v>19</v>
      </c>
      <c r="AD1205" s="1" t="n">
        <f aca="false">IF(AND($M1205=1,LEFT(对接源_02物料!$D5,4)="成品出库"),1,0)</f>
        <v>0</v>
      </c>
      <c r="AE1205" s="1" t="n">
        <f aca="false">N(AE1204)+$AD1205</f>
        <v>38</v>
      </c>
      <c r="AF1205" s="1" t="n">
        <f aca="false">IF(AND($N1205=1,AND(LEFT(对接源_02物料!$D5,4)="包装物料",N(对接源_02物料!$K5)&lt;&gt;0)),1,0)</f>
        <v>0</v>
      </c>
      <c r="AG1205" s="1" t="n">
        <f aca="false">N(AG1204)+$AF1205</f>
        <v>0</v>
      </c>
      <c r="AH1205" s="1" t="n">
        <f aca="false">IF(AND($N1205=1,AND(LEFT(对接源_02物料!$D5,3)="周转筐",N(对接源_02物料!$K5)&lt;&gt;0)),1,0)</f>
        <v>0</v>
      </c>
      <c r="AI1205" s="1" t="n">
        <f aca="false">N(AI1204)+$AH1205</f>
        <v>0</v>
      </c>
      <c r="AJ1205" s="1" t="n">
        <v>0</v>
      </c>
      <c r="AK1205" s="1" t="n">
        <f aca="false">N(AK1204)+$AJ1205</f>
        <v>3672</v>
      </c>
    </row>
    <row r="1206" customFormat="false" ht="13.5" hidden="false" customHeight="false" outlineLevel="0" collapsed="false">
      <c r="A1206" s="1" t="str">
        <f aca="false">IF(对接源_02物料!$C6="","",对接源_02物料!$C6)</f>
        <v>果然鲜</v>
      </c>
      <c r="B1206" s="1" t="n">
        <f aca="false">IF(A1206="",0,IF(MATCH(A1206,$A$4:$A$2403,0)=ROW()-3,1,0))</f>
        <v>0</v>
      </c>
      <c r="C1206" s="1" t="n">
        <f aca="false">N(C1205)+B1206</f>
        <v>14</v>
      </c>
      <c r="K1206" s="1" t="n">
        <f aca="false">IF(OR($K$1="",对接源_02物料!$C6="",对接源_02物料!$C6&lt;&gt;$K$1,对接源_02物料!$B6=""),0,IF(OR(N(对接源_02物料!$B6)&lt;$K$2,N(对接源_02物料!$B6)&gt;$K$3),0,1))</f>
        <v>0</v>
      </c>
      <c r="L1206" s="1" t="n">
        <f aca="false">IF(OR($L$1="",对接源_02物料!$C6="",对接源_02物料!$C6&lt;&gt;$L$1,对接源_02物料!$B6=""),0,IF(OR(N(对接源_02物料!$B6)&lt;$L$2,N(对接源_02物料!$B6)&gt;$L$3),0,1))</f>
        <v>0</v>
      </c>
      <c r="M1206" s="1" t="n">
        <f aca="false">IF(OR($M$1="",对接源_02物料!$C6="",对接源_02物料!$C6&lt;&gt;$M$1,对接源_02物料!$B6=""),0,IF(OR(N(对接源_02物料!$B6)&lt;$M$2,N(对接源_02物料!$B6)&gt;$M$3),0,1))</f>
        <v>0</v>
      </c>
      <c r="N1206" s="1" t="n">
        <f aca="false">IF(OR($N$1="",对接源_02物料!$C6="",对接源_02物料!$C6&lt;&gt;$N$1,对接源_02物料!$B6=""),0,IF(OR(N(对接源_02物料!$B6)&lt;$N$2,N(对接源_02物料!$B6)&gt;$N$3),0,1))</f>
        <v>0</v>
      </c>
      <c r="P1206" s="1" t="n">
        <f aca="false">IF(AND($K1206=1,AND(对接源_02物料!$X6="公司筐",N(对接源_02物料!$T6)&lt;&gt;0)),1,0)</f>
        <v>0</v>
      </c>
      <c r="Q1206" s="1" t="n">
        <f aca="false">N(Q1205)+$P1206</f>
        <v>3</v>
      </c>
      <c r="R1206" s="1" t="n">
        <f aca="false">IF(AND($K1206=1,AND(对接源_02物料!$X6="公司筐",N(对接源_02物料!$U6)&lt;&gt;0)),1,0)</f>
        <v>0</v>
      </c>
      <c r="S1206" s="1" t="n">
        <f aca="false">N(S1205)+$R1206</f>
        <v>0</v>
      </c>
      <c r="T1206" s="1" t="n">
        <f aca="false">IF(AND($K1206=1,AND(对接源_02物料!$X6="公司筐",N(对接源_02物料!$V6)&lt;&gt;0)),1,0)</f>
        <v>0</v>
      </c>
      <c r="U1206" s="1" t="n">
        <f aca="false">N(U1205)+$T1206</f>
        <v>28</v>
      </c>
      <c r="V1206" s="1" t="n">
        <f aca="false">IF(AND($L1206=1,AND(对接源_02物料!$X6="自备筐",N(对接源_02物料!$V6)&lt;&gt;0)),1,0)</f>
        <v>0</v>
      </c>
      <c r="W1206" s="1" t="n">
        <f aca="false">N(W1205)+$V1206</f>
        <v>7</v>
      </c>
      <c r="X1206" s="1" t="n">
        <f aca="false">IF(AND($L1206=1,AND(对接源_02物料!$X6="自备筐",N(对接源_02物料!$T6)&lt;&gt;0)),1,0)</f>
        <v>0</v>
      </c>
      <c r="Y1206" s="1" t="n">
        <f aca="false">N(Y1205)+$X1206</f>
        <v>0</v>
      </c>
      <c r="Z1206" s="1" t="n">
        <f aca="false">IF(AND($M1206=1,对接源_02物料!$D6="原料入库"),1,0)</f>
        <v>0</v>
      </c>
      <c r="AA1206" s="1" t="n">
        <f aca="false">N(AA1205)+$Z1206</f>
        <v>30</v>
      </c>
      <c r="AB1206" s="1" t="n">
        <f aca="false">IF(AND($M1206=1,LEFT(对接源_02物料!$D6,4)="原料出库"),1,0)</f>
        <v>0</v>
      </c>
      <c r="AC1206" s="1" t="n">
        <f aca="false">N(AC1205)+$AB1206</f>
        <v>19</v>
      </c>
      <c r="AD1206" s="1" t="n">
        <f aca="false">IF(AND($M1206=1,LEFT(对接源_02物料!$D6,4)="成品出库"),1,0)</f>
        <v>0</v>
      </c>
      <c r="AE1206" s="1" t="n">
        <f aca="false">N(AE1205)+$AD1206</f>
        <v>38</v>
      </c>
      <c r="AF1206" s="1" t="n">
        <f aca="false">IF(AND($N1206=1,AND(LEFT(对接源_02物料!$D6,4)="包装物料",N(对接源_02物料!$K6)&lt;&gt;0)),1,0)</f>
        <v>0</v>
      </c>
      <c r="AG1206" s="1" t="n">
        <f aca="false">N(AG1205)+$AF1206</f>
        <v>0</v>
      </c>
      <c r="AH1206" s="1" t="n">
        <f aca="false">IF(AND($N1206=1,AND(LEFT(对接源_02物料!$D6,3)="周转筐",N(对接源_02物料!$K6)&lt;&gt;0)),1,0)</f>
        <v>0</v>
      </c>
      <c r="AI1206" s="1" t="n">
        <f aca="false">N(AI1205)+$AH1206</f>
        <v>0</v>
      </c>
      <c r="AJ1206" s="1" t="n">
        <v>0</v>
      </c>
      <c r="AK1206" s="1" t="n">
        <f aca="false">N(AK1205)+$AJ1206</f>
        <v>3672</v>
      </c>
    </row>
    <row r="1207" customFormat="false" ht="13.5" hidden="false" customHeight="false" outlineLevel="0" collapsed="false">
      <c r="A1207" s="1" t="str">
        <f aca="false">IF(对接源_02物料!$C7="","",对接源_02物料!$C7)</f>
        <v>果然鲜</v>
      </c>
      <c r="B1207" s="1" t="n">
        <f aca="false">IF(A1207="",0,IF(MATCH(A1207,$A$4:$A$2403,0)=ROW()-3,1,0))</f>
        <v>0</v>
      </c>
      <c r="C1207" s="1" t="n">
        <f aca="false">N(C1206)+B1207</f>
        <v>14</v>
      </c>
      <c r="K1207" s="1" t="n">
        <f aca="false">IF(OR($K$1="",对接源_02物料!$C7="",对接源_02物料!$C7&lt;&gt;$K$1,对接源_02物料!$B7=""),0,IF(OR(N(对接源_02物料!$B7)&lt;$K$2,N(对接源_02物料!$B7)&gt;$K$3),0,1))</f>
        <v>0</v>
      </c>
      <c r="L1207" s="1" t="n">
        <f aca="false">IF(OR($L$1="",对接源_02物料!$C7="",对接源_02物料!$C7&lt;&gt;$L$1,对接源_02物料!$B7=""),0,IF(OR(N(对接源_02物料!$B7)&lt;$L$2,N(对接源_02物料!$B7)&gt;$L$3),0,1))</f>
        <v>0</v>
      </c>
      <c r="M1207" s="1" t="n">
        <f aca="false">IF(OR($M$1="",对接源_02物料!$C7="",对接源_02物料!$C7&lt;&gt;$M$1,对接源_02物料!$B7=""),0,IF(OR(N(对接源_02物料!$B7)&lt;$M$2,N(对接源_02物料!$B7)&gt;$M$3),0,1))</f>
        <v>0</v>
      </c>
      <c r="N1207" s="1" t="n">
        <f aca="false">IF(OR($N$1="",对接源_02物料!$C7="",对接源_02物料!$C7&lt;&gt;$N$1,对接源_02物料!$B7=""),0,IF(OR(N(对接源_02物料!$B7)&lt;$N$2,N(对接源_02物料!$B7)&gt;$N$3),0,1))</f>
        <v>0</v>
      </c>
      <c r="P1207" s="1" t="n">
        <f aca="false">IF(AND($K1207=1,AND(对接源_02物料!$X7="公司筐",N(对接源_02物料!$T7)&lt;&gt;0)),1,0)</f>
        <v>0</v>
      </c>
      <c r="Q1207" s="1" t="n">
        <f aca="false">N(Q1206)+$P1207</f>
        <v>3</v>
      </c>
      <c r="R1207" s="1" t="n">
        <f aca="false">IF(AND($K1207=1,AND(对接源_02物料!$X7="公司筐",N(对接源_02物料!$U7)&lt;&gt;0)),1,0)</f>
        <v>0</v>
      </c>
      <c r="S1207" s="1" t="n">
        <f aca="false">N(S1206)+$R1207</f>
        <v>0</v>
      </c>
      <c r="T1207" s="1" t="n">
        <f aca="false">IF(AND($K1207=1,AND(对接源_02物料!$X7="公司筐",N(对接源_02物料!$V7)&lt;&gt;0)),1,0)</f>
        <v>0</v>
      </c>
      <c r="U1207" s="1" t="n">
        <f aca="false">N(U1206)+$T1207</f>
        <v>28</v>
      </c>
      <c r="V1207" s="1" t="n">
        <f aca="false">IF(AND($L1207=1,AND(对接源_02物料!$X7="自备筐",N(对接源_02物料!$V7)&lt;&gt;0)),1,0)</f>
        <v>0</v>
      </c>
      <c r="W1207" s="1" t="n">
        <f aca="false">N(W1206)+$V1207</f>
        <v>7</v>
      </c>
      <c r="X1207" s="1" t="n">
        <f aca="false">IF(AND($L1207=1,AND(对接源_02物料!$X7="自备筐",N(对接源_02物料!$T7)&lt;&gt;0)),1,0)</f>
        <v>0</v>
      </c>
      <c r="Y1207" s="1" t="n">
        <f aca="false">N(Y1206)+$X1207</f>
        <v>0</v>
      </c>
      <c r="Z1207" s="1" t="n">
        <f aca="false">IF(AND($M1207=1,对接源_02物料!$D7="原料入库"),1,0)</f>
        <v>0</v>
      </c>
      <c r="AA1207" s="1" t="n">
        <f aca="false">N(AA1206)+$Z1207</f>
        <v>30</v>
      </c>
      <c r="AB1207" s="1" t="n">
        <f aca="false">IF(AND($M1207=1,LEFT(对接源_02物料!$D7,4)="原料出库"),1,0)</f>
        <v>0</v>
      </c>
      <c r="AC1207" s="1" t="n">
        <f aca="false">N(AC1206)+$AB1207</f>
        <v>19</v>
      </c>
      <c r="AD1207" s="1" t="n">
        <f aca="false">IF(AND($M1207=1,LEFT(对接源_02物料!$D7,4)="成品出库"),1,0)</f>
        <v>0</v>
      </c>
      <c r="AE1207" s="1" t="n">
        <f aca="false">N(AE1206)+$AD1207</f>
        <v>38</v>
      </c>
      <c r="AF1207" s="1" t="n">
        <f aca="false">IF(AND($N1207=1,AND(LEFT(对接源_02物料!$D7,4)="包装物料",N(对接源_02物料!$K7)&lt;&gt;0)),1,0)</f>
        <v>0</v>
      </c>
      <c r="AG1207" s="1" t="n">
        <f aca="false">N(AG1206)+$AF1207</f>
        <v>0</v>
      </c>
      <c r="AH1207" s="1" t="n">
        <f aca="false">IF(AND($N1207=1,AND(LEFT(对接源_02物料!$D7,3)="周转筐",N(对接源_02物料!$K7)&lt;&gt;0)),1,0)</f>
        <v>0</v>
      </c>
      <c r="AI1207" s="1" t="n">
        <f aca="false">N(AI1206)+$AH1207</f>
        <v>0</v>
      </c>
      <c r="AJ1207" s="1" t="n">
        <v>0</v>
      </c>
      <c r="AK1207" s="1" t="n">
        <f aca="false">N(AK1206)+$AJ1207</f>
        <v>3672</v>
      </c>
    </row>
    <row r="1208" customFormat="false" ht="13.5" hidden="false" customHeight="false" outlineLevel="0" collapsed="false">
      <c r="A1208" s="1" t="str">
        <f aca="false">IF(对接源_02物料!$C8="","",对接源_02物料!$C8)</f>
        <v>果然鲜</v>
      </c>
      <c r="B1208" s="1" t="n">
        <f aca="false">IF(A1208="",0,IF(MATCH(A1208,$A$4:$A$2403,0)=ROW()-3,1,0))</f>
        <v>0</v>
      </c>
      <c r="C1208" s="1" t="n">
        <f aca="false">N(C1207)+B1208</f>
        <v>14</v>
      </c>
      <c r="K1208" s="1" t="n">
        <f aca="false">IF(OR($K$1="",对接源_02物料!$C8="",对接源_02物料!$C8&lt;&gt;$K$1,对接源_02物料!$B8=""),0,IF(OR(N(对接源_02物料!$B8)&lt;$K$2,N(对接源_02物料!$B8)&gt;$K$3),0,1))</f>
        <v>0</v>
      </c>
      <c r="L1208" s="1" t="n">
        <f aca="false">IF(OR($L$1="",对接源_02物料!$C8="",对接源_02物料!$C8&lt;&gt;$L$1,对接源_02物料!$B8=""),0,IF(OR(N(对接源_02物料!$B8)&lt;$L$2,N(对接源_02物料!$B8)&gt;$L$3),0,1))</f>
        <v>0</v>
      </c>
      <c r="M1208" s="1" t="n">
        <f aca="false">IF(OR($M$1="",对接源_02物料!$C8="",对接源_02物料!$C8&lt;&gt;$M$1,对接源_02物料!$B8=""),0,IF(OR(N(对接源_02物料!$B8)&lt;$M$2,N(对接源_02物料!$B8)&gt;$M$3),0,1))</f>
        <v>0</v>
      </c>
      <c r="N1208" s="1" t="n">
        <f aca="false">IF(OR($N$1="",对接源_02物料!$C8="",对接源_02物料!$C8&lt;&gt;$N$1,对接源_02物料!$B8=""),0,IF(OR(N(对接源_02物料!$B8)&lt;$N$2,N(对接源_02物料!$B8)&gt;$N$3),0,1))</f>
        <v>0</v>
      </c>
      <c r="P1208" s="1" t="n">
        <f aca="false">IF(AND($K1208=1,AND(对接源_02物料!$X8="公司筐",N(对接源_02物料!$T8)&lt;&gt;0)),1,0)</f>
        <v>0</v>
      </c>
      <c r="Q1208" s="1" t="n">
        <f aca="false">N(Q1207)+$P1208</f>
        <v>3</v>
      </c>
      <c r="R1208" s="1" t="n">
        <f aca="false">IF(AND($K1208=1,AND(对接源_02物料!$X8="公司筐",N(对接源_02物料!$U8)&lt;&gt;0)),1,0)</f>
        <v>0</v>
      </c>
      <c r="S1208" s="1" t="n">
        <f aca="false">N(S1207)+$R1208</f>
        <v>0</v>
      </c>
      <c r="T1208" s="1" t="n">
        <f aca="false">IF(AND($K1208=1,AND(对接源_02物料!$X8="公司筐",N(对接源_02物料!$V8)&lt;&gt;0)),1,0)</f>
        <v>0</v>
      </c>
      <c r="U1208" s="1" t="n">
        <f aca="false">N(U1207)+$T1208</f>
        <v>28</v>
      </c>
      <c r="V1208" s="1" t="n">
        <f aca="false">IF(AND($L1208=1,AND(对接源_02物料!$X8="自备筐",N(对接源_02物料!$V8)&lt;&gt;0)),1,0)</f>
        <v>0</v>
      </c>
      <c r="W1208" s="1" t="n">
        <f aca="false">N(W1207)+$V1208</f>
        <v>7</v>
      </c>
      <c r="X1208" s="1" t="n">
        <f aca="false">IF(AND($L1208=1,AND(对接源_02物料!$X8="自备筐",N(对接源_02物料!$T8)&lt;&gt;0)),1,0)</f>
        <v>0</v>
      </c>
      <c r="Y1208" s="1" t="n">
        <f aca="false">N(Y1207)+$X1208</f>
        <v>0</v>
      </c>
      <c r="Z1208" s="1" t="n">
        <f aca="false">IF(AND($M1208=1,对接源_02物料!$D8="原料入库"),1,0)</f>
        <v>0</v>
      </c>
      <c r="AA1208" s="1" t="n">
        <f aca="false">N(AA1207)+$Z1208</f>
        <v>30</v>
      </c>
      <c r="AB1208" s="1" t="n">
        <f aca="false">IF(AND($M1208=1,LEFT(对接源_02物料!$D8,4)="原料出库"),1,0)</f>
        <v>0</v>
      </c>
      <c r="AC1208" s="1" t="n">
        <f aca="false">N(AC1207)+$AB1208</f>
        <v>19</v>
      </c>
      <c r="AD1208" s="1" t="n">
        <f aca="false">IF(AND($M1208=1,LEFT(对接源_02物料!$D8,4)="成品出库"),1,0)</f>
        <v>0</v>
      </c>
      <c r="AE1208" s="1" t="n">
        <f aca="false">N(AE1207)+$AD1208</f>
        <v>38</v>
      </c>
      <c r="AF1208" s="1" t="n">
        <f aca="false">IF(AND($N1208=1,AND(LEFT(对接源_02物料!$D8,4)="包装物料",N(对接源_02物料!$K8)&lt;&gt;0)),1,0)</f>
        <v>0</v>
      </c>
      <c r="AG1208" s="1" t="n">
        <f aca="false">N(AG1207)+$AF1208</f>
        <v>0</v>
      </c>
      <c r="AH1208" s="1" t="n">
        <f aca="false">IF(AND($N1208=1,AND(LEFT(对接源_02物料!$D8,3)="周转筐",N(对接源_02物料!$K8)&lt;&gt;0)),1,0)</f>
        <v>0</v>
      </c>
      <c r="AI1208" s="1" t="n">
        <f aca="false">N(AI1207)+$AH1208</f>
        <v>0</v>
      </c>
      <c r="AJ1208" s="1" t="n">
        <v>0</v>
      </c>
      <c r="AK1208" s="1" t="n">
        <f aca="false">N(AK1207)+$AJ1208</f>
        <v>3672</v>
      </c>
    </row>
    <row r="1209" customFormat="false" ht="13.5" hidden="false" customHeight="false" outlineLevel="0" collapsed="false">
      <c r="A1209" s="1" t="str">
        <f aca="false">IF(对接源_02物料!$C9="","",对接源_02物料!$C9)</f>
        <v>果然鲜</v>
      </c>
      <c r="B1209" s="1" t="n">
        <f aca="false">IF(A1209="",0,IF(MATCH(A1209,$A$4:$A$2403,0)=ROW()-3,1,0))</f>
        <v>0</v>
      </c>
      <c r="C1209" s="1" t="n">
        <f aca="false">N(C1208)+B1209</f>
        <v>14</v>
      </c>
      <c r="K1209" s="1" t="n">
        <f aca="false">IF(OR($K$1="",对接源_02物料!$C9="",对接源_02物料!$C9&lt;&gt;$K$1,对接源_02物料!$B9=""),0,IF(OR(N(对接源_02物料!$B9)&lt;$K$2,N(对接源_02物料!$B9)&gt;$K$3),0,1))</f>
        <v>0</v>
      </c>
      <c r="L1209" s="1" t="n">
        <f aca="false">IF(OR($L$1="",对接源_02物料!$C9="",对接源_02物料!$C9&lt;&gt;$L$1,对接源_02物料!$B9=""),0,IF(OR(N(对接源_02物料!$B9)&lt;$L$2,N(对接源_02物料!$B9)&gt;$L$3),0,1))</f>
        <v>0</v>
      </c>
      <c r="M1209" s="1" t="n">
        <f aca="false">IF(OR($M$1="",对接源_02物料!$C9="",对接源_02物料!$C9&lt;&gt;$M$1,对接源_02物料!$B9=""),0,IF(OR(N(对接源_02物料!$B9)&lt;$M$2,N(对接源_02物料!$B9)&gt;$M$3),0,1))</f>
        <v>0</v>
      </c>
      <c r="N1209" s="1" t="n">
        <f aca="false">IF(OR($N$1="",对接源_02物料!$C9="",对接源_02物料!$C9&lt;&gt;$N$1,对接源_02物料!$B9=""),0,IF(OR(N(对接源_02物料!$B9)&lt;$N$2,N(对接源_02物料!$B9)&gt;$N$3),0,1))</f>
        <v>0</v>
      </c>
      <c r="P1209" s="1" t="n">
        <f aca="false">IF(AND($K1209=1,AND(对接源_02物料!$X9="公司筐",N(对接源_02物料!$T9)&lt;&gt;0)),1,0)</f>
        <v>0</v>
      </c>
      <c r="Q1209" s="1" t="n">
        <f aca="false">N(Q1208)+$P1209</f>
        <v>3</v>
      </c>
      <c r="R1209" s="1" t="n">
        <f aca="false">IF(AND($K1209=1,AND(对接源_02物料!$X9="公司筐",N(对接源_02物料!$U9)&lt;&gt;0)),1,0)</f>
        <v>0</v>
      </c>
      <c r="S1209" s="1" t="n">
        <f aca="false">N(S1208)+$R1209</f>
        <v>0</v>
      </c>
      <c r="T1209" s="1" t="n">
        <f aca="false">IF(AND($K1209=1,AND(对接源_02物料!$X9="公司筐",N(对接源_02物料!$V9)&lt;&gt;0)),1,0)</f>
        <v>0</v>
      </c>
      <c r="U1209" s="1" t="n">
        <f aca="false">N(U1208)+$T1209</f>
        <v>28</v>
      </c>
      <c r="V1209" s="1" t="n">
        <f aca="false">IF(AND($L1209=1,AND(对接源_02物料!$X9="自备筐",N(对接源_02物料!$V9)&lt;&gt;0)),1,0)</f>
        <v>0</v>
      </c>
      <c r="W1209" s="1" t="n">
        <f aca="false">N(W1208)+$V1209</f>
        <v>7</v>
      </c>
      <c r="X1209" s="1" t="n">
        <f aca="false">IF(AND($L1209=1,AND(对接源_02物料!$X9="自备筐",N(对接源_02物料!$T9)&lt;&gt;0)),1,0)</f>
        <v>0</v>
      </c>
      <c r="Y1209" s="1" t="n">
        <f aca="false">N(Y1208)+$X1209</f>
        <v>0</v>
      </c>
      <c r="Z1209" s="1" t="n">
        <f aca="false">IF(AND($M1209=1,对接源_02物料!$D9="原料入库"),1,0)</f>
        <v>0</v>
      </c>
      <c r="AA1209" s="1" t="n">
        <f aca="false">N(AA1208)+$Z1209</f>
        <v>30</v>
      </c>
      <c r="AB1209" s="1" t="n">
        <f aca="false">IF(AND($M1209=1,LEFT(对接源_02物料!$D9,4)="原料出库"),1,0)</f>
        <v>0</v>
      </c>
      <c r="AC1209" s="1" t="n">
        <f aca="false">N(AC1208)+$AB1209</f>
        <v>19</v>
      </c>
      <c r="AD1209" s="1" t="n">
        <f aca="false">IF(AND($M1209=1,LEFT(对接源_02物料!$D9,4)="成品出库"),1,0)</f>
        <v>0</v>
      </c>
      <c r="AE1209" s="1" t="n">
        <f aca="false">N(AE1208)+$AD1209</f>
        <v>38</v>
      </c>
      <c r="AF1209" s="1" t="n">
        <f aca="false">IF(AND($N1209=1,AND(LEFT(对接源_02物料!$D9,4)="包装物料",N(对接源_02物料!$K9)&lt;&gt;0)),1,0)</f>
        <v>0</v>
      </c>
      <c r="AG1209" s="1" t="n">
        <f aca="false">N(AG1208)+$AF1209</f>
        <v>0</v>
      </c>
      <c r="AH1209" s="1" t="n">
        <f aca="false">IF(AND($N1209=1,AND(LEFT(对接源_02物料!$D9,3)="周转筐",N(对接源_02物料!$K9)&lt;&gt;0)),1,0)</f>
        <v>0</v>
      </c>
      <c r="AI1209" s="1" t="n">
        <f aca="false">N(AI1208)+$AH1209</f>
        <v>0</v>
      </c>
      <c r="AJ1209" s="1" t="n">
        <v>0</v>
      </c>
      <c r="AK1209" s="1" t="n">
        <f aca="false">N(AK1208)+$AJ1209</f>
        <v>3672</v>
      </c>
    </row>
    <row r="1210" customFormat="false" ht="13.5" hidden="false" customHeight="false" outlineLevel="0" collapsed="false">
      <c r="A1210" s="1" t="str">
        <f aca="false">IF(对接源_02物料!$C10="","",对接源_02物料!$C10)</f>
        <v>新顺发泡网</v>
      </c>
      <c r="B1210" s="1" t="n">
        <f aca="false">IF(A1210="",0,IF(MATCH(A1210,$A$4:$A$2403,0)=ROW()-3,1,0))</f>
        <v>1</v>
      </c>
      <c r="C1210" s="1" t="n">
        <f aca="false">N(C1209)+B1210</f>
        <v>15</v>
      </c>
      <c r="K1210" s="1" t="n">
        <f aca="false">IF(OR($K$1="",对接源_02物料!$C10="",对接源_02物料!$C10&lt;&gt;$K$1,对接源_02物料!$B10=""),0,IF(OR(N(对接源_02物料!$B10)&lt;$K$2,N(对接源_02物料!$B10)&gt;$K$3),0,1))</f>
        <v>0</v>
      </c>
      <c r="L1210" s="1" t="n">
        <f aca="false">IF(OR($L$1="",对接源_02物料!$C10="",对接源_02物料!$C10&lt;&gt;$L$1,对接源_02物料!$B10=""),0,IF(OR(N(对接源_02物料!$B10)&lt;$L$2,N(对接源_02物料!$B10)&gt;$L$3),0,1))</f>
        <v>0</v>
      </c>
      <c r="M1210" s="1" t="n">
        <f aca="false">IF(OR($M$1="",对接源_02物料!$C10="",对接源_02物料!$C10&lt;&gt;$M$1,对接源_02物料!$B10=""),0,IF(OR(N(对接源_02物料!$B10)&lt;$M$2,N(对接源_02物料!$B10)&gt;$M$3),0,1))</f>
        <v>0</v>
      </c>
      <c r="N1210" s="1" t="n">
        <f aca="false">IF(OR($N$1="",对接源_02物料!$C10="",对接源_02物料!$C10&lt;&gt;$N$1,对接源_02物料!$B10=""),0,IF(OR(N(对接源_02物料!$B10)&lt;$N$2,N(对接源_02物料!$B10)&gt;$N$3),0,1))</f>
        <v>0</v>
      </c>
      <c r="P1210" s="1" t="n">
        <f aca="false">IF(AND($K1210=1,AND(对接源_02物料!$X10="公司筐",N(对接源_02物料!$T10)&lt;&gt;0)),1,0)</f>
        <v>0</v>
      </c>
      <c r="Q1210" s="1" t="n">
        <f aca="false">N(Q1209)+$P1210</f>
        <v>3</v>
      </c>
      <c r="R1210" s="1" t="n">
        <f aca="false">IF(AND($K1210=1,AND(对接源_02物料!$X10="公司筐",N(对接源_02物料!$U10)&lt;&gt;0)),1,0)</f>
        <v>0</v>
      </c>
      <c r="S1210" s="1" t="n">
        <f aca="false">N(S1209)+$R1210</f>
        <v>0</v>
      </c>
      <c r="T1210" s="1" t="n">
        <f aca="false">IF(AND($K1210=1,AND(对接源_02物料!$X10="公司筐",N(对接源_02物料!$V10)&lt;&gt;0)),1,0)</f>
        <v>0</v>
      </c>
      <c r="U1210" s="1" t="n">
        <f aca="false">N(U1209)+$T1210</f>
        <v>28</v>
      </c>
      <c r="V1210" s="1" t="n">
        <f aca="false">IF(AND($L1210=1,AND(对接源_02物料!$X10="自备筐",N(对接源_02物料!$V10)&lt;&gt;0)),1,0)</f>
        <v>0</v>
      </c>
      <c r="W1210" s="1" t="n">
        <f aca="false">N(W1209)+$V1210</f>
        <v>7</v>
      </c>
      <c r="X1210" s="1" t="n">
        <f aca="false">IF(AND($L1210=1,AND(对接源_02物料!$X10="自备筐",N(对接源_02物料!$T10)&lt;&gt;0)),1,0)</f>
        <v>0</v>
      </c>
      <c r="Y1210" s="1" t="n">
        <f aca="false">N(Y1209)+$X1210</f>
        <v>0</v>
      </c>
      <c r="Z1210" s="1" t="n">
        <f aca="false">IF(AND($M1210=1,对接源_02物料!$D10="原料入库"),1,0)</f>
        <v>0</v>
      </c>
      <c r="AA1210" s="1" t="n">
        <f aca="false">N(AA1209)+$Z1210</f>
        <v>30</v>
      </c>
      <c r="AB1210" s="1" t="n">
        <f aca="false">IF(AND($M1210=1,LEFT(对接源_02物料!$D10,4)="原料出库"),1,0)</f>
        <v>0</v>
      </c>
      <c r="AC1210" s="1" t="n">
        <f aca="false">N(AC1209)+$AB1210</f>
        <v>19</v>
      </c>
      <c r="AD1210" s="1" t="n">
        <f aca="false">IF(AND($M1210=1,LEFT(对接源_02物料!$D10,4)="成品出库"),1,0)</f>
        <v>0</v>
      </c>
      <c r="AE1210" s="1" t="n">
        <f aca="false">N(AE1209)+$AD1210</f>
        <v>38</v>
      </c>
      <c r="AF1210" s="1" t="n">
        <f aca="false">IF(AND($N1210=1,AND(LEFT(对接源_02物料!$D10,4)="包装物料",N(对接源_02物料!$K10)&lt;&gt;0)),1,0)</f>
        <v>0</v>
      </c>
      <c r="AG1210" s="1" t="n">
        <f aca="false">N(AG1209)+$AF1210</f>
        <v>0</v>
      </c>
      <c r="AH1210" s="1" t="n">
        <f aca="false">IF(AND($N1210=1,AND(LEFT(对接源_02物料!$D10,3)="周转筐",N(对接源_02物料!$K10)&lt;&gt;0)),1,0)</f>
        <v>0</v>
      </c>
      <c r="AI1210" s="1" t="n">
        <f aca="false">N(AI1209)+$AH1210</f>
        <v>0</v>
      </c>
      <c r="AJ1210" s="1" t="n">
        <v>0</v>
      </c>
      <c r="AK1210" s="1" t="n">
        <f aca="false">N(AK1209)+$AJ1210</f>
        <v>3672</v>
      </c>
    </row>
    <row r="1211" customFormat="false" ht="13.5" hidden="false" customHeight="false" outlineLevel="0" collapsed="false">
      <c r="A1211" s="1" t="str">
        <f aca="false">IF(对接源_02物料!$C11="","",对接源_02物料!$C11)</f>
        <v>吐尔洪</v>
      </c>
      <c r="B1211" s="1" t="n">
        <f aca="false">IF(A1211="",0,IF(MATCH(A1211,$A$4:$A$2403,0)=ROW()-3,1,0))</f>
        <v>0</v>
      </c>
      <c r="C1211" s="1" t="n">
        <f aca="false">N(C1210)+B1211</f>
        <v>15</v>
      </c>
      <c r="K1211" s="1" t="n">
        <f aca="false">IF(OR($K$1="",对接源_02物料!$C11="",对接源_02物料!$C11&lt;&gt;$K$1,对接源_02物料!$B11=""),0,IF(OR(N(对接源_02物料!$B11)&lt;$K$2,N(对接源_02物料!$B11)&gt;$K$3),0,1))</f>
        <v>0</v>
      </c>
      <c r="L1211" s="1" t="n">
        <f aca="false">IF(OR($L$1="",对接源_02物料!$C11="",对接源_02物料!$C11&lt;&gt;$L$1,对接源_02物料!$B11=""),0,IF(OR(N(对接源_02物料!$B11)&lt;$L$2,N(对接源_02物料!$B11)&gt;$L$3),0,1))</f>
        <v>0</v>
      </c>
      <c r="M1211" s="1" t="n">
        <f aca="false">IF(OR($M$1="",对接源_02物料!$C11="",对接源_02物料!$C11&lt;&gt;$M$1,对接源_02物料!$B11=""),0,IF(OR(N(对接源_02物料!$B11)&lt;$M$2,N(对接源_02物料!$B11)&gt;$M$3),0,1))</f>
        <v>0</v>
      </c>
      <c r="N1211" s="1" t="n">
        <f aca="false">IF(OR($N$1="",对接源_02物料!$C11="",对接源_02物料!$C11&lt;&gt;$N$1,对接源_02物料!$B11=""),0,IF(OR(N(对接源_02物料!$B11)&lt;$N$2,N(对接源_02物料!$B11)&gt;$N$3),0,1))</f>
        <v>0</v>
      </c>
      <c r="P1211" s="1" t="n">
        <f aca="false">IF(AND($K1211=1,AND(对接源_02物料!$X11="公司筐",N(对接源_02物料!$T11)&lt;&gt;0)),1,0)</f>
        <v>0</v>
      </c>
      <c r="Q1211" s="1" t="n">
        <f aca="false">N(Q1210)+$P1211</f>
        <v>3</v>
      </c>
      <c r="R1211" s="1" t="n">
        <f aca="false">IF(AND($K1211=1,AND(对接源_02物料!$X11="公司筐",N(对接源_02物料!$U11)&lt;&gt;0)),1,0)</f>
        <v>0</v>
      </c>
      <c r="S1211" s="1" t="n">
        <f aca="false">N(S1210)+$R1211</f>
        <v>0</v>
      </c>
      <c r="T1211" s="1" t="n">
        <f aca="false">IF(AND($K1211=1,AND(对接源_02物料!$X11="公司筐",N(对接源_02物料!$V11)&lt;&gt;0)),1,0)</f>
        <v>0</v>
      </c>
      <c r="U1211" s="1" t="n">
        <f aca="false">N(U1210)+$T1211</f>
        <v>28</v>
      </c>
      <c r="V1211" s="1" t="n">
        <f aca="false">IF(AND($L1211=1,AND(对接源_02物料!$X11="自备筐",N(对接源_02物料!$V11)&lt;&gt;0)),1,0)</f>
        <v>0</v>
      </c>
      <c r="W1211" s="1" t="n">
        <f aca="false">N(W1210)+$V1211</f>
        <v>7</v>
      </c>
      <c r="X1211" s="1" t="n">
        <f aca="false">IF(AND($L1211=1,AND(对接源_02物料!$X11="自备筐",N(对接源_02物料!$T11)&lt;&gt;0)),1,0)</f>
        <v>0</v>
      </c>
      <c r="Y1211" s="1" t="n">
        <f aca="false">N(Y1210)+$X1211</f>
        <v>0</v>
      </c>
      <c r="Z1211" s="1" t="n">
        <f aca="false">IF(AND($M1211=1,对接源_02物料!$D11="原料入库"),1,0)</f>
        <v>0</v>
      </c>
      <c r="AA1211" s="1" t="n">
        <f aca="false">N(AA1210)+$Z1211</f>
        <v>30</v>
      </c>
      <c r="AB1211" s="1" t="n">
        <f aca="false">IF(AND($M1211=1,LEFT(对接源_02物料!$D11,4)="原料出库"),1,0)</f>
        <v>0</v>
      </c>
      <c r="AC1211" s="1" t="n">
        <f aca="false">N(AC1210)+$AB1211</f>
        <v>19</v>
      </c>
      <c r="AD1211" s="1" t="n">
        <f aca="false">IF(AND($M1211=1,LEFT(对接源_02物料!$D11,4)="成品出库"),1,0)</f>
        <v>0</v>
      </c>
      <c r="AE1211" s="1" t="n">
        <f aca="false">N(AE1210)+$AD1211</f>
        <v>38</v>
      </c>
      <c r="AF1211" s="1" t="n">
        <f aca="false">IF(AND($N1211=1,AND(LEFT(对接源_02物料!$D11,4)="包装物料",N(对接源_02物料!$K11)&lt;&gt;0)),1,0)</f>
        <v>0</v>
      </c>
      <c r="AG1211" s="1" t="n">
        <f aca="false">N(AG1210)+$AF1211</f>
        <v>0</v>
      </c>
      <c r="AH1211" s="1" t="n">
        <f aca="false">IF(AND($N1211=1,AND(LEFT(对接源_02物料!$D11,3)="周转筐",N(对接源_02物料!$K11)&lt;&gt;0)),1,0)</f>
        <v>0</v>
      </c>
      <c r="AI1211" s="1" t="n">
        <f aca="false">N(AI1210)+$AH1211</f>
        <v>0</v>
      </c>
      <c r="AJ1211" s="1" t="n">
        <v>0</v>
      </c>
      <c r="AK1211" s="1" t="n">
        <f aca="false">N(AK1210)+$AJ1211</f>
        <v>3672</v>
      </c>
    </row>
    <row r="1212" customFormat="false" ht="13.5" hidden="false" customHeight="false" outlineLevel="0" collapsed="false">
      <c r="A1212" s="1" t="str">
        <f aca="false">IF(对接源_02物料!$C12="","",对接源_02物料!$C12)</f>
        <v>热合曼</v>
      </c>
      <c r="B1212" s="1" t="n">
        <f aca="false">IF(A1212="",0,IF(MATCH(A1212,$A$4:$A$2403,0)=ROW()-3,1,0))</f>
        <v>0</v>
      </c>
      <c r="C1212" s="1" t="n">
        <f aca="false">N(C1211)+B1212</f>
        <v>15</v>
      </c>
      <c r="K1212" s="1" t="n">
        <f aca="false">IF(OR($K$1="",对接源_02物料!$C12="",对接源_02物料!$C12&lt;&gt;$K$1,对接源_02物料!$B12=""),0,IF(OR(N(对接源_02物料!$B12)&lt;$K$2,N(对接源_02物料!$B12)&gt;$K$3),0,1))</f>
        <v>0</v>
      </c>
      <c r="L1212" s="1" t="n">
        <f aca="false">IF(OR($L$1="",对接源_02物料!$C12="",对接源_02物料!$C12&lt;&gt;$L$1,对接源_02物料!$B12=""),0,IF(OR(N(对接源_02物料!$B12)&lt;$L$2,N(对接源_02物料!$B12)&gt;$L$3),0,1))</f>
        <v>0</v>
      </c>
      <c r="M1212" s="1" t="n">
        <f aca="false">IF(OR($M$1="",对接源_02物料!$C12="",对接源_02物料!$C12&lt;&gt;$M$1,对接源_02物料!$B12=""),0,IF(OR(N(对接源_02物料!$B12)&lt;$M$2,N(对接源_02物料!$B12)&gt;$M$3),0,1))</f>
        <v>0</v>
      </c>
      <c r="N1212" s="1" t="n">
        <f aca="false">IF(OR($N$1="",对接源_02物料!$C12="",对接源_02物料!$C12&lt;&gt;$N$1,对接源_02物料!$B12=""),0,IF(OR(N(对接源_02物料!$B12)&lt;$N$2,N(对接源_02物料!$B12)&gt;$N$3),0,1))</f>
        <v>0</v>
      </c>
      <c r="P1212" s="1" t="n">
        <f aca="false">IF(AND($K1212=1,AND(对接源_02物料!$X12="公司筐",N(对接源_02物料!$T12)&lt;&gt;0)),1,0)</f>
        <v>0</v>
      </c>
      <c r="Q1212" s="1" t="n">
        <f aca="false">N(Q1211)+$P1212</f>
        <v>3</v>
      </c>
      <c r="R1212" s="1" t="n">
        <f aca="false">IF(AND($K1212=1,AND(对接源_02物料!$X12="公司筐",N(对接源_02物料!$U12)&lt;&gt;0)),1,0)</f>
        <v>0</v>
      </c>
      <c r="S1212" s="1" t="n">
        <f aca="false">N(S1211)+$R1212</f>
        <v>0</v>
      </c>
      <c r="T1212" s="1" t="n">
        <f aca="false">IF(AND($K1212=1,AND(对接源_02物料!$X12="公司筐",N(对接源_02物料!$V12)&lt;&gt;0)),1,0)</f>
        <v>0</v>
      </c>
      <c r="U1212" s="1" t="n">
        <f aca="false">N(U1211)+$T1212</f>
        <v>28</v>
      </c>
      <c r="V1212" s="1" t="n">
        <f aca="false">IF(AND($L1212=1,AND(对接源_02物料!$X12="自备筐",N(对接源_02物料!$V12)&lt;&gt;0)),1,0)</f>
        <v>0</v>
      </c>
      <c r="W1212" s="1" t="n">
        <f aca="false">N(W1211)+$V1212</f>
        <v>7</v>
      </c>
      <c r="X1212" s="1" t="n">
        <f aca="false">IF(AND($L1212=1,AND(对接源_02物料!$X12="自备筐",N(对接源_02物料!$T12)&lt;&gt;0)),1,0)</f>
        <v>0</v>
      </c>
      <c r="Y1212" s="1" t="n">
        <f aca="false">N(Y1211)+$X1212</f>
        <v>0</v>
      </c>
      <c r="Z1212" s="1" t="n">
        <f aca="false">IF(AND($M1212=1,对接源_02物料!$D12="原料入库"),1,0)</f>
        <v>0</v>
      </c>
      <c r="AA1212" s="1" t="n">
        <f aca="false">N(AA1211)+$Z1212</f>
        <v>30</v>
      </c>
      <c r="AB1212" s="1" t="n">
        <f aca="false">IF(AND($M1212=1,LEFT(对接源_02物料!$D12,4)="原料出库"),1,0)</f>
        <v>0</v>
      </c>
      <c r="AC1212" s="1" t="n">
        <f aca="false">N(AC1211)+$AB1212</f>
        <v>19</v>
      </c>
      <c r="AD1212" s="1" t="n">
        <f aca="false">IF(AND($M1212=1,LEFT(对接源_02物料!$D12,4)="成品出库"),1,0)</f>
        <v>0</v>
      </c>
      <c r="AE1212" s="1" t="n">
        <f aca="false">N(AE1211)+$AD1212</f>
        <v>38</v>
      </c>
      <c r="AF1212" s="1" t="n">
        <f aca="false">IF(AND($N1212=1,AND(LEFT(对接源_02物料!$D12,4)="包装物料",N(对接源_02物料!$K12)&lt;&gt;0)),1,0)</f>
        <v>0</v>
      </c>
      <c r="AG1212" s="1" t="n">
        <f aca="false">N(AG1211)+$AF1212</f>
        <v>0</v>
      </c>
      <c r="AH1212" s="1" t="n">
        <f aca="false">IF(AND($N1212=1,AND(LEFT(对接源_02物料!$D12,3)="周转筐",N(对接源_02物料!$K12)&lt;&gt;0)),1,0)</f>
        <v>0</v>
      </c>
      <c r="AI1212" s="1" t="n">
        <f aca="false">N(AI1211)+$AH1212</f>
        <v>0</v>
      </c>
      <c r="AJ1212" s="1" t="n">
        <v>0</v>
      </c>
      <c r="AK1212" s="1" t="n">
        <f aca="false">N(AK1211)+$AJ1212</f>
        <v>3672</v>
      </c>
    </row>
    <row r="1213" customFormat="false" ht="13.5" hidden="false" customHeight="false" outlineLevel="0" collapsed="false">
      <c r="A1213" s="1" t="str">
        <f aca="false">IF(对接源_02物料!$C13="","",对接源_02物料!$C13)</f>
        <v>麦麦提</v>
      </c>
      <c r="B1213" s="1" t="n">
        <f aca="false">IF(A1213="",0,IF(MATCH(A1213,$A$4:$A$2403,0)=ROW()-3,1,0))</f>
        <v>0</v>
      </c>
      <c r="C1213" s="1" t="n">
        <f aca="false">N(C1212)+B1213</f>
        <v>15</v>
      </c>
      <c r="K1213" s="1" t="n">
        <f aca="false">IF(OR($K$1="",对接源_02物料!$C13="",对接源_02物料!$C13&lt;&gt;$K$1,对接源_02物料!$B13=""),0,IF(OR(N(对接源_02物料!$B13)&lt;$K$2,N(对接源_02物料!$B13)&gt;$K$3),0,1))</f>
        <v>0</v>
      </c>
      <c r="L1213" s="1" t="n">
        <f aca="false">IF(OR($L$1="",对接源_02物料!$C13="",对接源_02物料!$C13&lt;&gt;$L$1,对接源_02物料!$B13=""),0,IF(OR(N(对接源_02物料!$B13)&lt;$L$2,N(对接源_02物料!$B13)&gt;$L$3),0,1))</f>
        <v>0</v>
      </c>
      <c r="M1213" s="1" t="n">
        <f aca="false">IF(OR($M$1="",对接源_02物料!$C13="",对接源_02物料!$C13&lt;&gt;$M$1,对接源_02物料!$B13=""),0,IF(OR(N(对接源_02物料!$B13)&lt;$M$2,N(对接源_02物料!$B13)&gt;$M$3),0,1))</f>
        <v>0</v>
      </c>
      <c r="N1213" s="1" t="n">
        <f aca="false">IF(OR($N$1="",对接源_02物料!$C13="",对接源_02物料!$C13&lt;&gt;$N$1,对接源_02物料!$B13=""),0,IF(OR(N(对接源_02物料!$B13)&lt;$N$2,N(对接源_02物料!$B13)&gt;$N$3),0,1))</f>
        <v>1</v>
      </c>
      <c r="P1213" s="1" t="n">
        <f aca="false">IF(AND($K1213=1,AND(对接源_02物料!$X13="公司筐",N(对接源_02物料!$T13)&lt;&gt;0)),1,0)</f>
        <v>0</v>
      </c>
      <c r="Q1213" s="1" t="n">
        <f aca="false">N(Q1212)+$P1213</f>
        <v>3</v>
      </c>
      <c r="R1213" s="1" t="n">
        <f aca="false">IF(AND($K1213=1,AND(对接源_02物料!$X13="公司筐",N(对接源_02物料!$U13)&lt;&gt;0)),1,0)</f>
        <v>0</v>
      </c>
      <c r="S1213" s="1" t="n">
        <f aca="false">N(S1212)+$R1213</f>
        <v>0</v>
      </c>
      <c r="T1213" s="1" t="n">
        <f aca="false">IF(AND($K1213=1,AND(对接源_02物料!$X13="公司筐",N(对接源_02物料!$V13)&lt;&gt;0)),1,0)</f>
        <v>0</v>
      </c>
      <c r="U1213" s="1" t="n">
        <f aca="false">N(U1212)+$T1213</f>
        <v>28</v>
      </c>
      <c r="V1213" s="1" t="n">
        <f aca="false">IF(AND($L1213=1,AND(对接源_02物料!$X13="自备筐",N(对接源_02物料!$V13)&lt;&gt;0)),1,0)</f>
        <v>0</v>
      </c>
      <c r="W1213" s="1" t="n">
        <f aca="false">N(W1212)+$V1213</f>
        <v>7</v>
      </c>
      <c r="X1213" s="1" t="n">
        <f aca="false">IF(AND($L1213=1,AND(对接源_02物料!$X13="自备筐",N(对接源_02物料!$T13)&lt;&gt;0)),1,0)</f>
        <v>0</v>
      </c>
      <c r="Y1213" s="1" t="n">
        <f aca="false">N(Y1212)+$X1213</f>
        <v>0</v>
      </c>
      <c r="Z1213" s="1" t="n">
        <f aca="false">IF(AND($M1213=1,对接源_02物料!$D13="原料入库"),1,0)</f>
        <v>0</v>
      </c>
      <c r="AA1213" s="1" t="n">
        <f aca="false">N(AA1212)+$Z1213</f>
        <v>30</v>
      </c>
      <c r="AB1213" s="1" t="n">
        <f aca="false">IF(AND($M1213=1,LEFT(对接源_02物料!$D13,4)="原料出库"),1,0)</f>
        <v>0</v>
      </c>
      <c r="AC1213" s="1" t="n">
        <f aca="false">N(AC1212)+$AB1213</f>
        <v>19</v>
      </c>
      <c r="AD1213" s="1" t="n">
        <f aca="false">IF(AND($M1213=1,LEFT(对接源_02物料!$D13,4)="成品出库"),1,0)</f>
        <v>0</v>
      </c>
      <c r="AE1213" s="1" t="n">
        <f aca="false">N(AE1212)+$AD1213</f>
        <v>38</v>
      </c>
      <c r="AF1213" s="1" t="n">
        <f aca="false">IF(AND($N1213=1,AND(LEFT(对接源_02物料!$D13,4)="包装物料",N(对接源_02物料!$K13)&lt;&gt;0)),1,0)</f>
        <v>1</v>
      </c>
      <c r="AG1213" s="1" t="n">
        <f aca="false">N(AG1212)+$AF1213</f>
        <v>1</v>
      </c>
      <c r="AH1213" s="1" t="n">
        <f aca="false">IF(AND($N1213=1,AND(LEFT(对接源_02物料!$D13,3)="周转筐",N(对接源_02物料!$K13)&lt;&gt;0)),1,0)</f>
        <v>0</v>
      </c>
      <c r="AI1213" s="1" t="n">
        <f aca="false">N(AI1212)+$AH1213</f>
        <v>0</v>
      </c>
      <c r="AJ1213" s="1" t="n">
        <v>0</v>
      </c>
      <c r="AK1213" s="1" t="n">
        <f aca="false">N(AK1212)+$AJ1213</f>
        <v>3672</v>
      </c>
    </row>
    <row r="1214" customFormat="false" ht="13.5" hidden="false" customHeight="false" outlineLevel="0" collapsed="false">
      <c r="A1214" s="1" t="str">
        <f aca="false">IF(对接源_02物料!$C14="","",对接源_02物料!$C14)</f>
        <v>热合曼</v>
      </c>
      <c r="B1214" s="1" t="n">
        <f aca="false">IF(A1214="",0,IF(MATCH(A1214,$A$4:$A$2403,0)=ROW()-3,1,0))</f>
        <v>0</v>
      </c>
      <c r="C1214" s="1" t="n">
        <f aca="false">N(C1213)+B1214</f>
        <v>15</v>
      </c>
      <c r="K1214" s="1" t="n">
        <f aca="false">IF(OR($K$1="",对接源_02物料!$C14="",对接源_02物料!$C14&lt;&gt;$K$1,对接源_02物料!$B14=""),0,IF(OR(N(对接源_02物料!$B14)&lt;$K$2,N(对接源_02物料!$B14)&gt;$K$3),0,1))</f>
        <v>0</v>
      </c>
      <c r="L1214" s="1" t="n">
        <f aca="false">IF(OR($L$1="",对接源_02物料!$C14="",对接源_02物料!$C14&lt;&gt;$L$1,对接源_02物料!$B14=""),0,IF(OR(N(对接源_02物料!$B14)&lt;$L$2,N(对接源_02物料!$B14)&gt;$L$3),0,1))</f>
        <v>0</v>
      </c>
      <c r="M1214" s="1" t="n">
        <f aca="false">IF(OR($M$1="",对接源_02物料!$C14="",对接源_02物料!$C14&lt;&gt;$M$1,对接源_02物料!$B14=""),0,IF(OR(N(对接源_02物料!$B14)&lt;$M$2,N(对接源_02物料!$B14)&gt;$M$3),0,1))</f>
        <v>0</v>
      </c>
      <c r="N1214" s="1" t="n">
        <f aca="false">IF(OR($N$1="",对接源_02物料!$C14="",对接源_02物料!$C14&lt;&gt;$N$1,对接源_02物料!$B14=""),0,IF(OR(N(对接源_02物料!$B14)&lt;$N$2,N(对接源_02物料!$B14)&gt;$N$3),0,1))</f>
        <v>0</v>
      </c>
      <c r="P1214" s="1" t="n">
        <f aca="false">IF(AND($K1214=1,AND(对接源_02物料!$X14="公司筐",N(对接源_02物料!$T14)&lt;&gt;0)),1,0)</f>
        <v>0</v>
      </c>
      <c r="Q1214" s="1" t="n">
        <f aca="false">N(Q1213)+$P1214</f>
        <v>3</v>
      </c>
      <c r="R1214" s="1" t="n">
        <f aca="false">IF(AND($K1214=1,AND(对接源_02物料!$X14="公司筐",N(对接源_02物料!$U14)&lt;&gt;0)),1,0)</f>
        <v>0</v>
      </c>
      <c r="S1214" s="1" t="n">
        <f aca="false">N(S1213)+$R1214</f>
        <v>0</v>
      </c>
      <c r="T1214" s="1" t="n">
        <f aca="false">IF(AND($K1214=1,AND(对接源_02物料!$X14="公司筐",N(对接源_02物料!$V14)&lt;&gt;0)),1,0)</f>
        <v>0</v>
      </c>
      <c r="U1214" s="1" t="n">
        <f aca="false">N(U1213)+$T1214</f>
        <v>28</v>
      </c>
      <c r="V1214" s="1" t="n">
        <f aca="false">IF(AND($L1214=1,AND(对接源_02物料!$X14="自备筐",N(对接源_02物料!$V14)&lt;&gt;0)),1,0)</f>
        <v>0</v>
      </c>
      <c r="W1214" s="1" t="n">
        <f aca="false">N(W1213)+$V1214</f>
        <v>7</v>
      </c>
      <c r="X1214" s="1" t="n">
        <f aca="false">IF(AND($L1214=1,AND(对接源_02物料!$X14="自备筐",N(对接源_02物料!$T14)&lt;&gt;0)),1,0)</f>
        <v>0</v>
      </c>
      <c r="Y1214" s="1" t="n">
        <f aca="false">N(Y1213)+$X1214</f>
        <v>0</v>
      </c>
      <c r="Z1214" s="1" t="n">
        <f aca="false">IF(AND($M1214=1,对接源_02物料!$D14="原料入库"),1,0)</f>
        <v>0</v>
      </c>
      <c r="AA1214" s="1" t="n">
        <f aca="false">N(AA1213)+$Z1214</f>
        <v>30</v>
      </c>
      <c r="AB1214" s="1" t="n">
        <f aca="false">IF(AND($M1214=1,LEFT(对接源_02物料!$D14,4)="原料出库"),1,0)</f>
        <v>0</v>
      </c>
      <c r="AC1214" s="1" t="n">
        <f aca="false">N(AC1213)+$AB1214</f>
        <v>19</v>
      </c>
      <c r="AD1214" s="1" t="n">
        <f aca="false">IF(AND($M1214=1,LEFT(对接源_02物料!$D14,4)="成品出库"),1,0)</f>
        <v>0</v>
      </c>
      <c r="AE1214" s="1" t="n">
        <f aca="false">N(AE1213)+$AD1214</f>
        <v>38</v>
      </c>
      <c r="AF1214" s="1" t="n">
        <f aca="false">IF(AND($N1214=1,AND(LEFT(对接源_02物料!$D14,4)="包装物料",N(对接源_02物料!$K14)&lt;&gt;0)),1,0)</f>
        <v>0</v>
      </c>
      <c r="AG1214" s="1" t="n">
        <f aca="false">N(AG1213)+$AF1214</f>
        <v>1</v>
      </c>
      <c r="AH1214" s="1" t="n">
        <f aca="false">IF(AND($N1214=1,AND(LEFT(对接源_02物料!$D14,3)="周转筐",N(对接源_02物料!$K14)&lt;&gt;0)),1,0)</f>
        <v>0</v>
      </c>
      <c r="AI1214" s="1" t="n">
        <f aca="false">N(AI1213)+$AH1214</f>
        <v>0</v>
      </c>
      <c r="AJ1214" s="1" t="n">
        <v>0</v>
      </c>
      <c r="AK1214" s="1" t="n">
        <f aca="false">N(AK1213)+$AJ1214</f>
        <v>3672</v>
      </c>
    </row>
    <row r="1215" customFormat="false" ht="13.5" hidden="false" customHeight="false" outlineLevel="0" collapsed="false">
      <c r="A1215" s="1" t="str">
        <f aca="false">IF(对接源_02物料!$C15="","",对接源_02物料!$C15)</f>
        <v>麦麦提</v>
      </c>
      <c r="B1215" s="1" t="n">
        <f aca="false">IF(A1215="",0,IF(MATCH(A1215,$A$4:$A$2403,0)=ROW()-3,1,0))</f>
        <v>0</v>
      </c>
      <c r="C1215" s="1" t="n">
        <f aca="false">N(C1214)+B1215</f>
        <v>15</v>
      </c>
      <c r="K1215" s="1" t="n">
        <f aca="false">IF(OR($K$1="",对接源_02物料!$C15="",对接源_02物料!$C15&lt;&gt;$K$1,对接源_02物料!$B15=""),0,IF(OR(N(对接源_02物料!$B15)&lt;$K$2,N(对接源_02物料!$B15)&gt;$K$3),0,1))</f>
        <v>0</v>
      </c>
      <c r="L1215" s="1" t="n">
        <f aca="false">IF(OR($L$1="",对接源_02物料!$C15="",对接源_02物料!$C15&lt;&gt;$L$1,对接源_02物料!$B15=""),0,IF(OR(N(对接源_02物料!$B15)&lt;$L$2,N(对接源_02物料!$B15)&gt;$L$3),0,1))</f>
        <v>0</v>
      </c>
      <c r="M1215" s="1" t="n">
        <f aca="false">IF(OR($M$1="",对接源_02物料!$C15="",对接源_02物料!$C15&lt;&gt;$M$1,对接源_02物料!$B15=""),0,IF(OR(N(对接源_02物料!$B15)&lt;$M$2,N(对接源_02物料!$B15)&gt;$M$3),0,1))</f>
        <v>0</v>
      </c>
      <c r="N1215" s="1" t="n">
        <f aca="false">IF(OR($N$1="",对接源_02物料!$C15="",对接源_02物料!$C15&lt;&gt;$N$1,对接源_02物料!$B15=""),0,IF(OR(N(对接源_02物料!$B15)&lt;$N$2,N(对接源_02物料!$B15)&gt;$N$3),0,1))</f>
        <v>1</v>
      </c>
      <c r="P1215" s="1" t="n">
        <f aca="false">IF(AND($K1215=1,AND(对接源_02物料!$X15="公司筐",N(对接源_02物料!$T15)&lt;&gt;0)),1,0)</f>
        <v>0</v>
      </c>
      <c r="Q1215" s="1" t="n">
        <f aca="false">N(Q1214)+$P1215</f>
        <v>3</v>
      </c>
      <c r="R1215" s="1" t="n">
        <f aca="false">IF(AND($K1215=1,AND(对接源_02物料!$X15="公司筐",N(对接源_02物料!$U15)&lt;&gt;0)),1,0)</f>
        <v>0</v>
      </c>
      <c r="S1215" s="1" t="n">
        <f aca="false">N(S1214)+$R1215</f>
        <v>0</v>
      </c>
      <c r="T1215" s="1" t="n">
        <f aca="false">IF(AND($K1215=1,AND(对接源_02物料!$X15="公司筐",N(对接源_02物料!$V15)&lt;&gt;0)),1,0)</f>
        <v>0</v>
      </c>
      <c r="U1215" s="1" t="n">
        <f aca="false">N(U1214)+$T1215</f>
        <v>28</v>
      </c>
      <c r="V1215" s="1" t="n">
        <f aca="false">IF(AND($L1215=1,AND(对接源_02物料!$X15="自备筐",N(对接源_02物料!$V15)&lt;&gt;0)),1,0)</f>
        <v>0</v>
      </c>
      <c r="W1215" s="1" t="n">
        <f aca="false">N(W1214)+$V1215</f>
        <v>7</v>
      </c>
      <c r="X1215" s="1" t="n">
        <f aca="false">IF(AND($L1215=1,AND(对接源_02物料!$X15="自备筐",N(对接源_02物料!$T15)&lt;&gt;0)),1,0)</f>
        <v>0</v>
      </c>
      <c r="Y1215" s="1" t="n">
        <f aca="false">N(Y1214)+$X1215</f>
        <v>0</v>
      </c>
      <c r="Z1215" s="1" t="n">
        <f aca="false">IF(AND($M1215=1,对接源_02物料!$D15="原料入库"),1,0)</f>
        <v>0</v>
      </c>
      <c r="AA1215" s="1" t="n">
        <f aca="false">N(AA1214)+$Z1215</f>
        <v>30</v>
      </c>
      <c r="AB1215" s="1" t="n">
        <f aca="false">IF(AND($M1215=1,LEFT(对接源_02物料!$D15,4)="原料出库"),1,0)</f>
        <v>0</v>
      </c>
      <c r="AC1215" s="1" t="n">
        <f aca="false">N(AC1214)+$AB1215</f>
        <v>19</v>
      </c>
      <c r="AD1215" s="1" t="n">
        <f aca="false">IF(AND($M1215=1,LEFT(对接源_02物料!$D15,4)="成品出库"),1,0)</f>
        <v>0</v>
      </c>
      <c r="AE1215" s="1" t="n">
        <f aca="false">N(AE1214)+$AD1215</f>
        <v>38</v>
      </c>
      <c r="AF1215" s="1" t="n">
        <f aca="false">IF(AND($N1215=1,AND(LEFT(对接源_02物料!$D15,4)="包装物料",N(对接源_02物料!$K15)&lt;&gt;0)),1,0)</f>
        <v>1</v>
      </c>
      <c r="AG1215" s="1" t="n">
        <f aca="false">N(AG1214)+$AF1215</f>
        <v>2</v>
      </c>
      <c r="AH1215" s="1" t="n">
        <f aca="false">IF(AND($N1215=1,AND(LEFT(对接源_02物料!$D15,3)="周转筐",N(对接源_02物料!$K15)&lt;&gt;0)),1,0)</f>
        <v>0</v>
      </c>
      <c r="AI1215" s="1" t="n">
        <f aca="false">N(AI1214)+$AH1215</f>
        <v>0</v>
      </c>
      <c r="AJ1215" s="1" t="n">
        <v>0</v>
      </c>
      <c r="AK1215" s="1" t="n">
        <f aca="false">N(AK1214)+$AJ1215</f>
        <v>3672</v>
      </c>
    </row>
    <row r="1216" customFormat="false" ht="13.5" hidden="false" customHeight="false" outlineLevel="0" collapsed="false">
      <c r="A1216" s="1" t="str">
        <f aca="false">IF(对接源_02物料!$C16="","",对接源_02物料!$C16)</f>
        <v>荆建君</v>
      </c>
      <c r="B1216" s="1" t="n">
        <f aca="false">IF(A1216="",0,IF(MATCH(A1216,$A$4:$A$2403,0)=ROW()-3,1,0))</f>
        <v>0</v>
      </c>
      <c r="C1216" s="1" t="n">
        <f aca="false">N(C1215)+B1216</f>
        <v>15</v>
      </c>
      <c r="K1216" s="1" t="n">
        <f aca="false">IF(OR($K$1="",对接源_02物料!$C16="",对接源_02物料!$C16&lt;&gt;$K$1,对接源_02物料!$B16=""),0,IF(OR(N(对接源_02物料!$B16)&lt;$K$2,N(对接源_02物料!$B16)&gt;$K$3),0,1))</f>
        <v>0</v>
      </c>
      <c r="L1216" s="1" t="n">
        <f aca="false">IF(OR($L$1="",对接源_02物料!$C16="",对接源_02物料!$C16&lt;&gt;$L$1,对接源_02物料!$B16=""),0,IF(OR(N(对接源_02物料!$B16)&lt;$L$2,N(对接源_02物料!$B16)&gt;$L$3),0,1))</f>
        <v>0</v>
      </c>
      <c r="M1216" s="1" t="n">
        <f aca="false">IF(OR($M$1="",对接源_02物料!$C16="",对接源_02物料!$C16&lt;&gt;$M$1,对接源_02物料!$B16=""),0,IF(OR(N(对接源_02物料!$B16)&lt;$M$2,N(对接源_02物料!$B16)&gt;$M$3),0,1))</f>
        <v>0</v>
      </c>
      <c r="N1216" s="1" t="n">
        <f aca="false">IF(OR($N$1="",对接源_02物料!$C16="",对接源_02物料!$C16&lt;&gt;$N$1,对接源_02物料!$B16=""),0,IF(OR(N(对接源_02物料!$B16)&lt;$N$2,N(对接源_02物料!$B16)&gt;$N$3),0,1))</f>
        <v>0</v>
      </c>
      <c r="P1216" s="1" t="n">
        <f aca="false">IF(AND($K1216=1,AND(对接源_02物料!$X16="公司筐",N(对接源_02物料!$T16)&lt;&gt;0)),1,0)</f>
        <v>0</v>
      </c>
      <c r="Q1216" s="1" t="n">
        <f aca="false">N(Q1215)+$P1216</f>
        <v>3</v>
      </c>
      <c r="R1216" s="1" t="n">
        <f aca="false">IF(AND($K1216=1,AND(对接源_02物料!$X16="公司筐",N(对接源_02物料!$U16)&lt;&gt;0)),1,0)</f>
        <v>0</v>
      </c>
      <c r="S1216" s="1" t="n">
        <f aca="false">N(S1215)+$R1216</f>
        <v>0</v>
      </c>
      <c r="T1216" s="1" t="n">
        <f aca="false">IF(AND($K1216=1,AND(对接源_02物料!$X16="公司筐",N(对接源_02物料!$V16)&lt;&gt;0)),1,0)</f>
        <v>0</v>
      </c>
      <c r="U1216" s="1" t="n">
        <f aca="false">N(U1215)+$T1216</f>
        <v>28</v>
      </c>
      <c r="V1216" s="1" t="n">
        <f aca="false">IF(AND($L1216=1,AND(对接源_02物料!$X16="自备筐",N(对接源_02物料!$V16)&lt;&gt;0)),1,0)</f>
        <v>0</v>
      </c>
      <c r="W1216" s="1" t="n">
        <f aca="false">N(W1215)+$V1216</f>
        <v>7</v>
      </c>
      <c r="X1216" s="1" t="n">
        <f aca="false">IF(AND($L1216=1,AND(对接源_02物料!$X16="自备筐",N(对接源_02物料!$T16)&lt;&gt;0)),1,0)</f>
        <v>0</v>
      </c>
      <c r="Y1216" s="1" t="n">
        <f aca="false">N(Y1215)+$X1216</f>
        <v>0</v>
      </c>
      <c r="Z1216" s="1" t="n">
        <f aca="false">IF(AND($M1216=1,对接源_02物料!$D16="原料入库"),1,0)</f>
        <v>0</v>
      </c>
      <c r="AA1216" s="1" t="n">
        <f aca="false">N(AA1215)+$Z1216</f>
        <v>30</v>
      </c>
      <c r="AB1216" s="1" t="n">
        <f aca="false">IF(AND($M1216=1,LEFT(对接源_02物料!$D16,4)="原料出库"),1,0)</f>
        <v>0</v>
      </c>
      <c r="AC1216" s="1" t="n">
        <f aca="false">N(AC1215)+$AB1216</f>
        <v>19</v>
      </c>
      <c r="AD1216" s="1" t="n">
        <f aca="false">IF(AND($M1216=1,LEFT(对接源_02物料!$D16,4)="成品出库"),1,0)</f>
        <v>0</v>
      </c>
      <c r="AE1216" s="1" t="n">
        <f aca="false">N(AE1215)+$AD1216</f>
        <v>38</v>
      </c>
      <c r="AF1216" s="1" t="n">
        <f aca="false">IF(AND($N1216=1,AND(LEFT(对接源_02物料!$D16,4)="包装物料",N(对接源_02物料!$K16)&lt;&gt;0)),1,0)</f>
        <v>0</v>
      </c>
      <c r="AG1216" s="1" t="n">
        <f aca="false">N(AG1215)+$AF1216</f>
        <v>2</v>
      </c>
      <c r="AH1216" s="1" t="n">
        <f aca="false">IF(AND($N1216=1,AND(LEFT(对接源_02物料!$D16,3)="周转筐",N(对接源_02物料!$K16)&lt;&gt;0)),1,0)</f>
        <v>0</v>
      </c>
      <c r="AI1216" s="1" t="n">
        <f aca="false">N(AI1215)+$AH1216</f>
        <v>0</v>
      </c>
      <c r="AJ1216" s="1" t="n">
        <v>0</v>
      </c>
      <c r="AK1216" s="1" t="n">
        <f aca="false">N(AK1215)+$AJ1216</f>
        <v>3672</v>
      </c>
    </row>
    <row r="1217" customFormat="false" ht="13.5" hidden="false" customHeight="false" outlineLevel="0" collapsed="false">
      <c r="A1217" s="1" t="str">
        <f aca="false">IF(对接源_02物料!$C17="","",对接源_02物料!$C17)</f>
        <v>努尔敦</v>
      </c>
      <c r="B1217" s="1" t="n">
        <f aca="false">IF(A1217="",0,IF(MATCH(A1217,$A$4:$A$2403,0)=ROW()-3,1,0))</f>
        <v>0</v>
      </c>
      <c r="C1217" s="1" t="n">
        <f aca="false">N(C1216)+B1217</f>
        <v>15</v>
      </c>
      <c r="K1217" s="1" t="n">
        <f aca="false">IF(OR($K$1="",对接源_02物料!$C17="",对接源_02物料!$C17&lt;&gt;$K$1,对接源_02物料!$B17=""),0,IF(OR(N(对接源_02物料!$B17)&lt;$K$2,N(对接源_02物料!$B17)&gt;$K$3),0,1))</f>
        <v>0</v>
      </c>
      <c r="L1217" s="1" t="n">
        <f aca="false">IF(OR($L$1="",对接源_02物料!$C17="",对接源_02物料!$C17&lt;&gt;$L$1,对接源_02物料!$B17=""),0,IF(OR(N(对接源_02物料!$B17)&lt;$L$2,N(对接源_02物料!$B17)&gt;$L$3),0,1))</f>
        <v>0</v>
      </c>
      <c r="M1217" s="1" t="n">
        <f aca="false">IF(OR($M$1="",对接源_02物料!$C17="",对接源_02物料!$C17&lt;&gt;$M$1,对接源_02物料!$B17=""),0,IF(OR(N(对接源_02物料!$B17)&lt;$M$2,N(对接源_02物料!$B17)&gt;$M$3),0,1))</f>
        <v>0</v>
      </c>
      <c r="N1217" s="1" t="n">
        <f aca="false">IF(OR($N$1="",对接源_02物料!$C17="",对接源_02物料!$C17&lt;&gt;$N$1,对接源_02物料!$B17=""),0,IF(OR(N(对接源_02物料!$B17)&lt;$N$2,N(对接源_02物料!$B17)&gt;$N$3),0,1))</f>
        <v>0</v>
      </c>
      <c r="P1217" s="1" t="n">
        <f aca="false">IF(AND($K1217=1,AND(对接源_02物料!$X17="公司筐",N(对接源_02物料!$T17)&lt;&gt;0)),1,0)</f>
        <v>0</v>
      </c>
      <c r="Q1217" s="1" t="n">
        <f aca="false">N(Q1216)+$P1217</f>
        <v>3</v>
      </c>
      <c r="R1217" s="1" t="n">
        <f aca="false">IF(AND($K1217=1,AND(对接源_02物料!$X17="公司筐",N(对接源_02物料!$U17)&lt;&gt;0)),1,0)</f>
        <v>0</v>
      </c>
      <c r="S1217" s="1" t="n">
        <f aca="false">N(S1216)+$R1217</f>
        <v>0</v>
      </c>
      <c r="T1217" s="1" t="n">
        <f aca="false">IF(AND($K1217=1,AND(对接源_02物料!$X17="公司筐",N(对接源_02物料!$V17)&lt;&gt;0)),1,0)</f>
        <v>0</v>
      </c>
      <c r="U1217" s="1" t="n">
        <f aca="false">N(U1216)+$T1217</f>
        <v>28</v>
      </c>
      <c r="V1217" s="1" t="n">
        <f aca="false">IF(AND($L1217=1,AND(对接源_02物料!$X17="自备筐",N(对接源_02物料!$V17)&lt;&gt;0)),1,0)</f>
        <v>0</v>
      </c>
      <c r="W1217" s="1" t="n">
        <f aca="false">N(W1216)+$V1217</f>
        <v>7</v>
      </c>
      <c r="X1217" s="1" t="n">
        <f aca="false">IF(AND($L1217=1,AND(对接源_02物料!$X17="自备筐",N(对接源_02物料!$T17)&lt;&gt;0)),1,0)</f>
        <v>0</v>
      </c>
      <c r="Y1217" s="1" t="n">
        <f aca="false">N(Y1216)+$X1217</f>
        <v>0</v>
      </c>
      <c r="Z1217" s="1" t="n">
        <f aca="false">IF(AND($M1217=1,对接源_02物料!$D17="原料入库"),1,0)</f>
        <v>0</v>
      </c>
      <c r="AA1217" s="1" t="n">
        <f aca="false">N(AA1216)+$Z1217</f>
        <v>30</v>
      </c>
      <c r="AB1217" s="1" t="n">
        <f aca="false">IF(AND($M1217=1,LEFT(对接源_02物料!$D17,4)="原料出库"),1,0)</f>
        <v>0</v>
      </c>
      <c r="AC1217" s="1" t="n">
        <f aca="false">N(AC1216)+$AB1217</f>
        <v>19</v>
      </c>
      <c r="AD1217" s="1" t="n">
        <f aca="false">IF(AND($M1217=1,LEFT(对接源_02物料!$D17,4)="成品出库"),1,0)</f>
        <v>0</v>
      </c>
      <c r="AE1217" s="1" t="n">
        <f aca="false">N(AE1216)+$AD1217</f>
        <v>38</v>
      </c>
      <c r="AF1217" s="1" t="n">
        <f aca="false">IF(AND($N1217=1,AND(LEFT(对接源_02物料!$D17,4)="包装物料",N(对接源_02物料!$K17)&lt;&gt;0)),1,0)</f>
        <v>0</v>
      </c>
      <c r="AG1217" s="1" t="n">
        <f aca="false">N(AG1216)+$AF1217</f>
        <v>2</v>
      </c>
      <c r="AH1217" s="1" t="n">
        <f aca="false">IF(AND($N1217=1,AND(LEFT(对接源_02物料!$D17,3)="周转筐",N(对接源_02物料!$K17)&lt;&gt;0)),1,0)</f>
        <v>0</v>
      </c>
      <c r="AI1217" s="1" t="n">
        <f aca="false">N(AI1216)+$AH1217</f>
        <v>0</v>
      </c>
      <c r="AJ1217" s="1" t="n">
        <v>0</v>
      </c>
      <c r="AK1217" s="1" t="n">
        <f aca="false">N(AK1216)+$AJ1217</f>
        <v>3672</v>
      </c>
    </row>
    <row r="1218" customFormat="false" ht="13.5" hidden="false" customHeight="false" outlineLevel="0" collapsed="false">
      <c r="A1218" s="1" t="str">
        <f aca="false">IF(对接源_02物料!$C18="","",对接源_02物料!$C18)</f>
        <v>热合曼</v>
      </c>
      <c r="B1218" s="1" t="n">
        <f aca="false">IF(A1218="",0,IF(MATCH(A1218,$A$4:$A$2403,0)=ROW()-3,1,0))</f>
        <v>0</v>
      </c>
      <c r="C1218" s="1" t="n">
        <f aca="false">N(C1217)+B1218</f>
        <v>15</v>
      </c>
      <c r="K1218" s="1" t="n">
        <f aca="false">IF(OR($K$1="",对接源_02物料!$C18="",对接源_02物料!$C18&lt;&gt;$K$1,对接源_02物料!$B18=""),0,IF(OR(N(对接源_02物料!$B18)&lt;$K$2,N(对接源_02物料!$B18)&gt;$K$3),0,1))</f>
        <v>0</v>
      </c>
      <c r="L1218" s="1" t="n">
        <f aca="false">IF(OR($L$1="",对接源_02物料!$C18="",对接源_02物料!$C18&lt;&gt;$L$1,对接源_02物料!$B18=""),0,IF(OR(N(对接源_02物料!$B18)&lt;$L$2,N(对接源_02物料!$B18)&gt;$L$3),0,1))</f>
        <v>0</v>
      </c>
      <c r="M1218" s="1" t="n">
        <f aca="false">IF(OR($M$1="",对接源_02物料!$C18="",对接源_02物料!$C18&lt;&gt;$M$1,对接源_02物料!$B18=""),0,IF(OR(N(对接源_02物料!$B18)&lt;$M$2,N(对接源_02物料!$B18)&gt;$M$3),0,1))</f>
        <v>0</v>
      </c>
      <c r="N1218" s="1" t="n">
        <f aca="false">IF(OR($N$1="",对接源_02物料!$C18="",对接源_02物料!$C18&lt;&gt;$N$1,对接源_02物料!$B18=""),0,IF(OR(N(对接源_02物料!$B18)&lt;$N$2,N(对接源_02物料!$B18)&gt;$N$3),0,1))</f>
        <v>0</v>
      </c>
      <c r="P1218" s="1" t="n">
        <f aca="false">IF(AND($K1218=1,AND(对接源_02物料!$X18="公司筐",N(对接源_02物料!$T18)&lt;&gt;0)),1,0)</f>
        <v>0</v>
      </c>
      <c r="Q1218" s="1" t="n">
        <f aca="false">N(Q1217)+$P1218</f>
        <v>3</v>
      </c>
      <c r="R1218" s="1" t="n">
        <f aca="false">IF(AND($K1218=1,AND(对接源_02物料!$X18="公司筐",N(对接源_02物料!$U18)&lt;&gt;0)),1,0)</f>
        <v>0</v>
      </c>
      <c r="S1218" s="1" t="n">
        <f aca="false">N(S1217)+$R1218</f>
        <v>0</v>
      </c>
      <c r="T1218" s="1" t="n">
        <f aca="false">IF(AND($K1218=1,AND(对接源_02物料!$X18="公司筐",N(对接源_02物料!$V18)&lt;&gt;0)),1,0)</f>
        <v>0</v>
      </c>
      <c r="U1218" s="1" t="n">
        <f aca="false">N(U1217)+$T1218</f>
        <v>28</v>
      </c>
      <c r="V1218" s="1" t="n">
        <f aca="false">IF(AND($L1218=1,AND(对接源_02物料!$X18="自备筐",N(对接源_02物料!$V18)&lt;&gt;0)),1,0)</f>
        <v>0</v>
      </c>
      <c r="W1218" s="1" t="n">
        <f aca="false">N(W1217)+$V1218</f>
        <v>7</v>
      </c>
      <c r="X1218" s="1" t="n">
        <f aca="false">IF(AND($L1218=1,AND(对接源_02物料!$X18="自备筐",N(对接源_02物料!$T18)&lt;&gt;0)),1,0)</f>
        <v>0</v>
      </c>
      <c r="Y1218" s="1" t="n">
        <f aca="false">N(Y1217)+$X1218</f>
        <v>0</v>
      </c>
      <c r="Z1218" s="1" t="n">
        <f aca="false">IF(AND($M1218=1,对接源_02物料!$D18="原料入库"),1,0)</f>
        <v>0</v>
      </c>
      <c r="AA1218" s="1" t="n">
        <f aca="false">N(AA1217)+$Z1218</f>
        <v>30</v>
      </c>
      <c r="AB1218" s="1" t="n">
        <f aca="false">IF(AND($M1218=1,LEFT(对接源_02物料!$D18,4)="原料出库"),1,0)</f>
        <v>0</v>
      </c>
      <c r="AC1218" s="1" t="n">
        <f aca="false">N(AC1217)+$AB1218</f>
        <v>19</v>
      </c>
      <c r="AD1218" s="1" t="n">
        <f aca="false">IF(AND($M1218=1,LEFT(对接源_02物料!$D18,4)="成品出库"),1,0)</f>
        <v>0</v>
      </c>
      <c r="AE1218" s="1" t="n">
        <f aca="false">N(AE1217)+$AD1218</f>
        <v>38</v>
      </c>
      <c r="AF1218" s="1" t="n">
        <f aca="false">IF(AND($N1218=1,AND(LEFT(对接源_02物料!$D18,4)="包装物料",N(对接源_02物料!$K18)&lt;&gt;0)),1,0)</f>
        <v>0</v>
      </c>
      <c r="AG1218" s="1" t="n">
        <f aca="false">N(AG1217)+$AF1218</f>
        <v>2</v>
      </c>
      <c r="AH1218" s="1" t="n">
        <f aca="false">IF(AND($N1218=1,AND(LEFT(对接源_02物料!$D18,3)="周转筐",N(对接源_02物料!$K18)&lt;&gt;0)),1,0)</f>
        <v>0</v>
      </c>
      <c r="AI1218" s="1" t="n">
        <f aca="false">N(AI1217)+$AH1218</f>
        <v>0</v>
      </c>
      <c r="AJ1218" s="1" t="n">
        <v>0</v>
      </c>
      <c r="AK1218" s="1" t="n">
        <f aca="false">N(AK1217)+$AJ1218</f>
        <v>3672</v>
      </c>
    </row>
    <row r="1219" customFormat="false" ht="13.5" hidden="false" customHeight="false" outlineLevel="0" collapsed="false">
      <c r="A1219" s="1" t="str">
        <f aca="false">IF(对接源_02物料!$C19="","",对接源_02物料!$C19)</f>
        <v>麦麦提</v>
      </c>
      <c r="B1219" s="1" t="n">
        <f aca="false">IF(A1219="",0,IF(MATCH(A1219,$A$4:$A$2403,0)=ROW()-3,1,0))</f>
        <v>0</v>
      </c>
      <c r="C1219" s="1" t="n">
        <f aca="false">N(C1218)+B1219</f>
        <v>15</v>
      </c>
      <c r="K1219" s="1" t="n">
        <f aca="false">IF(OR($K$1="",对接源_02物料!$C19="",对接源_02物料!$C19&lt;&gt;$K$1,对接源_02物料!$B19=""),0,IF(OR(N(对接源_02物料!$B19)&lt;$K$2,N(对接源_02物料!$B19)&gt;$K$3),0,1))</f>
        <v>0</v>
      </c>
      <c r="L1219" s="1" t="n">
        <f aca="false">IF(OR($L$1="",对接源_02物料!$C19="",对接源_02物料!$C19&lt;&gt;$L$1,对接源_02物料!$B19=""),0,IF(OR(N(对接源_02物料!$B19)&lt;$L$2,N(对接源_02物料!$B19)&gt;$L$3),0,1))</f>
        <v>0</v>
      </c>
      <c r="M1219" s="1" t="n">
        <f aca="false">IF(OR($M$1="",对接源_02物料!$C19="",对接源_02物料!$C19&lt;&gt;$M$1,对接源_02物料!$B19=""),0,IF(OR(N(对接源_02物料!$B19)&lt;$M$2,N(对接源_02物料!$B19)&gt;$M$3),0,1))</f>
        <v>0</v>
      </c>
      <c r="N1219" s="1" t="n">
        <f aca="false">IF(OR($N$1="",对接源_02物料!$C19="",对接源_02物料!$C19&lt;&gt;$N$1,对接源_02物料!$B19=""),0,IF(OR(N(对接源_02物料!$B19)&lt;$N$2,N(对接源_02物料!$B19)&gt;$N$3),0,1))</f>
        <v>1</v>
      </c>
      <c r="P1219" s="1" t="n">
        <f aca="false">IF(AND($K1219=1,AND(对接源_02物料!$X19="公司筐",N(对接源_02物料!$T19)&lt;&gt;0)),1,0)</f>
        <v>0</v>
      </c>
      <c r="Q1219" s="1" t="n">
        <f aca="false">N(Q1218)+$P1219</f>
        <v>3</v>
      </c>
      <c r="R1219" s="1" t="n">
        <f aca="false">IF(AND($K1219=1,AND(对接源_02物料!$X19="公司筐",N(对接源_02物料!$U19)&lt;&gt;0)),1,0)</f>
        <v>0</v>
      </c>
      <c r="S1219" s="1" t="n">
        <f aca="false">N(S1218)+$R1219</f>
        <v>0</v>
      </c>
      <c r="T1219" s="1" t="n">
        <f aca="false">IF(AND($K1219=1,AND(对接源_02物料!$X19="公司筐",N(对接源_02物料!$V19)&lt;&gt;0)),1,0)</f>
        <v>0</v>
      </c>
      <c r="U1219" s="1" t="n">
        <f aca="false">N(U1218)+$T1219</f>
        <v>28</v>
      </c>
      <c r="V1219" s="1" t="n">
        <f aca="false">IF(AND($L1219=1,AND(对接源_02物料!$X19="自备筐",N(对接源_02物料!$V19)&lt;&gt;0)),1,0)</f>
        <v>0</v>
      </c>
      <c r="W1219" s="1" t="n">
        <f aca="false">N(W1218)+$V1219</f>
        <v>7</v>
      </c>
      <c r="X1219" s="1" t="n">
        <f aca="false">IF(AND($L1219=1,AND(对接源_02物料!$X19="自备筐",N(对接源_02物料!$T19)&lt;&gt;0)),1,0)</f>
        <v>0</v>
      </c>
      <c r="Y1219" s="1" t="n">
        <f aca="false">N(Y1218)+$X1219</f>
        <v>0</v>
      </c>
      <c r="Z1219" s="1" t="n">
        <f aca="false">IF(AND($M1219=1,对接源_02物料!$D19="原料入库"),1,0)</f>
        <v>0</v>
      </c>
      <c r="AA1219" s="1" t="n">
        <f aca="false">N(AA1218)+$Z1219</f>
        <v>30</v>
      </c>
      <c r="AB1219" s="1" t="n">
        <f aca="false">IF(AND($M1219=1,LEFT(对接源_02物料!$D19,4)="原料出库"),1,0)</f>
        <v>0</v>
      </c>
      <c r="AC1219" s="1" t="n">
        <f aca="false">N(AC1218)+$AB1219</f>
        <v>19</v>
      </c>
      <c r="AD1219" s="1" t="n">
        <f aca="false">IF(AND($M1219=1,LEFT(对接源_02物料!$D19,4)="成品出库"),1,0)</f>
        <v>0</v>
      </c>
      <c r="AE1219" s="1" t="n">
        <f aca="false">N(AE1218)+$AD1219</f>
        <v>38</v>
      </c>
      <c r="AF1219" s="1" t="n">
        <f aca="false">IF(AND($N1219=1,AND(LEFT(对接源_02物料!$D19,4)="包装物料",N(对接源_02物料!$K19)&lt;&gt;0)),1,0)</f>
        <v>1</v>
      </c>
      <c r="AG1219" s="1" t="n">
        <f aca="false">N(AG1218)+$AF1219</f>
        <v>3</v>
      </c>
      <c r="AH1219" s="1" t="n">
        <f aca="false">IF(AND($N1219=1,AND(LEFT(对接源_02物料!$D19,3)="周转筐",N(对接源_02物料!$K19)&lt;&gt;0)),1,0)</f>
        <v>0</v>
      </c>
      <c r="AI1219" s="1" t="n">
        <f aca="false">N(AI1218)+$AH1219</f>
        <v>0</v>
      </c>
      <c r="AJ1219" s="1" t="n">
        <v>0</v>
      </c>
      <c r="AK1219" s="1" t="n">
        <f aca="false">N(AK1218)+$AJ1219</f>
        <v>3672</v>
      </c>
    </row>
    <row r="1220" customFormat="false" ht="13.5" hidden="false" customHeight="false" outlineLevel="0" collapsed="false">
      <c r="A1220" s="1" t="str">
        <f aca="false">IF(对接源_02物料!$C20="","",对接源_02物料!$C20)</f>
        <v>贾建国</v>
      </c>
      <c r="B1220" s="1" t="n">
        <f aca="false">IF(A1220="",0,IF(MATCH(A1220,$A$4:$A$2403,0)=ROW()-3,1,0))</f>
        <v>0</v>
      </c>
      <c r="C1220" s="1" t="n">
        <f aca="false">N(C1219)+B1220</f>
        <v>15</v>
      </c>
      <c r="K1220" s="1" t="n">
        <f aca="false">IF(OR($K$1="",对接源_02物料!$C20="",对接源_02物料!$C20&lt;&gt;$K$1,对接源_02物料!$B20=""),0,IF(OR(N(对接源_02物料!$B20)&lt;$K$2,N(对接源_02物料!$B20)&gt;$K$3),0,1))</f>
        <v>0</v>
      </c>
      <c r="L1220" s="1" t="n">
        <f aca="false">IF(OR($L$1="",对接源_02物料!$C20="",对接源_02物料!$C20&lt;&gt;$L$1,对接源_02物料!$B20=""),0,IF(OR(N(对接源_02物料!$B20)&lt;$L$2,N(对接源_02物料!$B20)&gt;$L$3),0,1))</f>
        <v>1</v>
      </c>
      <c r="M1220" s="1" t="n">
        <f aca="false">IF(OR($M$1="",对接源_02物料!$C20="",对接源_02物料!$C20&lt;&gt;$M$1,对接源_02物料!$B20=""),0,IF(OR(N(对接源_02物料!$B20)&lt;$M$2,N(对接源_02物料!$B20)&gt;$M$3),0,1))</f>
        <v>0</v>
      </c>
      <c r="N1220" s="1" t="n">
        <f aca="false">IF(OR($N$1="",对接源_02物料!$C20="",对接源_02物料!$C20&lt;&gt;$N$1,对接源_02物料!$B20=""),0,IF(OR(N(对接源_02物料!$B20)&lt;$N$2,N(对接源_02物料!$B20)&gt;$N$3),0,1))</f>
        <v>0</v>
      </c>
      <c r="P1220" s="1" t="n">
        <f aca="false">IF(AND($K1220=1,AND(对接源_02物料!$X20="公司筐",N(对接源_02物料!$T20)&lt;&gt;0)),1,0)</f>
        <v>0</v>
      </c>
      <c r="Q1220" s="1" t="n">
        <f aca="false">N(Q1219)+$P1220</f>
        <v>3</v>
      </c>
      <c r="R1220" s="1" t="n">
        <f aca="false">IF(AND($K1220=1,AND(对接源_02物料!$X20="公司筐",N(对接源_02物料!$U20)&lt;&gt;0)),1,0)</f>
        <v>0</v>
      </c>
      <c r="S1220" s="1" t="n">
        <f aca="false">N(S1219)+$R1220</f>
        <v>0</v>
      </c>
      <c r="T1220" s="1" t="n">
        <f aca="false">IF(AND($K1220=1,AND(对接源_02物料!$X20="公司筐",N(对接源_02物料!$V20)&lt;&gt;0)),1,0)</f>
        <v>0</v>
      </c>
      <c r="U1220" s="1" t="n">
        <f aca="false">N(U1219)+$T1220</f>
        <v>28</v>
      </c>
      <c r="V1220" s="1" t="n">
        <f aca="false">IF(AND($L1220=1,AND(对接源_02物料!$X20="自备筐",N(对接源_02物料!$V20)&lt;&gt;0)),1,0)</f>
        <v>0</v>
      </c>
      <c r="W1220" s="1" t="n">
        <f aca="false">N(W1219)+$V1220</f>
        <v>7</v>
      </c>
      <c r="X1220" s="1" t="n">
        <f aca="false">IF(AND($L1220=1,AND(对接源_02物料!$X20="自备筐",N(对接源_02物料!$T20)&lt;&gt;0)),1,0)</f>
        <v>0</v>
      </c>
      <c r="Y1220" s="1" t="n">
        <f aca="false">N(Y1219)+$X1220</f>
        <v>0</v>
      </c>
      <c r="Z1220" s="1" t="n">
        <f aca="false">IF(AND($M1220=1,对接源_02物料!$D20="原料入库"),1,0)</f>
        <v>0</v>
      </c>
      <c r="AA1220" s="1" t="n">
        <f aca="false">N(AA1219)+$Z1220</f>
        <v>30</v>
      </c>
      <c r="AB1220" s="1" t="n">
        <f aca="false">IF(AND($M1220=1,LEFT(对接源_02物料!$D20,4)="原料出库"),1,0)</f>
        <v>0</v>
      </c>
      <c r="AC1220" s="1" t="n">
        <f aca="false">N(AC1219)+$AB1220</f>
        <v>19</v>
      </c>
      <c r="AD1220" s="1" t="n">
        <f aca="false">IF(AND($M1220=1,LEFT(对接源_02物料!$D20,4)="成品出库"),1,0)</f>
        <v>0</v>
      </c>
      <c r="AE1220" s="1" t="n">
        <f aca="false">N(AE1219)+$AD1220</f>
        <v>38</v>
      </c>
      <c r="AF1220" s="1" t="n">
        <f aca="false">IF(AND($N1220=1,AND(LEFT(对接源_02物料!$D20,4)="包装物料",N(对接源_02物料!$K20)&lt;&gt;0)),1,0)</f>
        <v>0</v>
      </c>
      <c r="AG1220" s="1" t="n">
        <f aca="false">N(AG1219)+$AF1220</f>
        <v>3</v>
      </c>
      <c r="AH1220" s="1" t="n">
        <f aca="false">IF(AND($N1220=1,AND(LEFT(对接源_02物料!$D20,3)="周转筐",N(对接源_02物料!$K20)&lt;&gt;0)),1,0)</f>
        <v>0</v>
      </c>
      <c r="AI1220" s="1" t="n">
        <f aca="false">N(AI1219)+$AH1220</f>
        <v>0</v>
      </c>
      <c r="AJ1220" s="1" t="n">
        <v>0</v>
      </c>
      <c r="AK1220" s="1" t="n">
        <f aca="false">N(AK1219)+$AJ1220</f>
        <v>3672</v>
      </c>
    </row>
    <row r="1221" customFormat="false" ht="13.5" hidden="false" customHeight="false" outlineLevel="0" collapsed="false">
      <c r="A1221" s="1" t="str">
        <f aca="false">IF(对接源_02物料!$C21="","",对接源_02物料!$C21)</f>
        <v>贾建国</v>
      </c>
      <c r="B1221" s="1" t="n">
        <f aca="false">IF(A1221="",0,IF(MATCH(A1221,$A$4:$A$2403,0)=ROW()-3,1,0))</f>
        <v>0</v>
      </c>
      <c r="C1221" s="1" t="n">
        <f aca="false">N(C1220)+B1221</f>
        <v>15</v>
      </c>
      <c r="K1221" s="1" t="n">
        <f aca="false">IF(OR($K$1="",对接源_02物料!$C21="",对接源_02物料!$C21&lt;&gt;$K$1,对接源_02物料!$B21=""),0,IF(OR(N(对接源_02物料!$B21)&lt;$K$2,N(对接源_02物料!$B21)&gt;$K$3),0,1))</f>
        <v>0</v>
      </c>
      <c r="L1221" s="1" t="n">
        <f aca="false">IF(OR($L$1="",对接源_02物料!$C21="",对接源_02物料!$C21&lt;&gt;$L$1,对接源_02物料!$B21=""),0,IF(OR(N(对接源_02物料!$B21)&lt;$L$2,N(对接源_02物料!$B21)&gt;$L$3),0,1))</f>
        <v>1</v>
      </c>
      <c r="M1221" s="1" t="n">
        <f aca="false">IF(OR($M$1="",对接源_02物料!$C21="",对接源_02物料!$C21&lt;&gt;$M$1,对接源_02物料!$B21=""),0,IF(OR(N(对接源_02物料!$B21)&lt;$M$2,N(对接源_02物料!$B21)&gt;$M$3),0,1))</f>
        <v>0</v>
      </c>
      <c r="N1221" s="1" t="n">
        <f aca="false">IF(OR($N$1="",对接源_02物料!$C21="",对接源_02物料!$C21&lt;&gt;$N$1,对接源_02物料!$B21=""),0,IF(OR(N(对接源_02物料!$B21)&lt;$N$2,N(对接源_02物料!$B21)&gt;$N$3),0,1))</f>
        <v>0</v>
      </c>
      <c r="P1221" s="1" t="n">
        <f aca="false">IF(AND($K1221=1,AND(对接源_02物料!$X21="公司筐",N(对接源_02物料!$T21)&lt;&gt;0)),1,0)</f>
        <v>0</v>
      </c>
      <c r="Q1221" s="1" t="n">
        <f aca="false">N(Q1220)+$P1221</f>
        <v>3</v>
      </c>
      <c r="R1221" s="1" t="n">
        <f aca="false">IF(AND($K1221=1,AND(对接源_02物料!$X21="公司筐",N(对接源_02物料!$U21)&lt;&gt;0)),1,0)</f>
        <v>0</v>
      </c>
      <c r="S1221" s="1" t="n">
        <f aca="false">N(S1220)+$R1221</f>
        <v>0</v>
      </c>
      <c r="T1221" s="1" t="n">
        <f aca="false">IF(AND($K1221=1,AND(对接源_02物料!$X21="公司筐",N(对接源_02物料!$V21)&lt;&gt;0)),1,0)</f>
        <v>0</v>
      </c>
      <c r="U1221" s="1" t="n">
        <f aca="false">N(U1220)+$T1221</f>
        <v>28</v>
      </c>
      <c r="V1221" s="1" t="n">
        <f aca="false">IF(AND($L1221=1,AND(对接源_02物料!$X21="自备筐",N(对接源_02物料!$V21)&lt;&gt;0)),1,0)</f>
        <v>0</v>
      </c>
      <c r="W1221" s="1" t="n">
        <f aca="false">N(W1220)+$V1221</f>
        <v>7</v>
      </c>
      <c r="X1221" s="1" t="n">
        <f aca="false">IF(AND($L1221=1,AND(对接源_02物料!$X21="自备筐",N(对接源_02物料!$T21)&lt;&gt;0)),1,0)</f>
        <v>0</v>
      </c>
      <c r="Y1221" s="1" t="n">
        <f aca="false">N(Y1220)+$X1221</f>
        <v>0</v>
      </c>
      <c r="Z1221" s="1" t="n">
        <f aca="false">IF(AND($M1221=1,对接源_02物料!$D21="原料入库"),1,0)</f>
        <v>0</v>
      </c>
      <c r="AA1221" s="1" t="n">
        <f aca="false">N(AA1220)+$Z1221</f>
        <v>30</v>
      </c>
      <c r="AB1221" s="1" t="n">
        <f aca="false">IF(AND($M1221=1,LEFT(对接源_02物料!$D21,4)="原料出库"),1,0)</f>
        <v>0</v>
      </c>
      <c r="AC1221" s="1" t="n">
        <f aca="false">N(AC1220)+$AB1221</f>
        <v>19</v>
      </c>
      <c r="AD1221" s="1" t="n">
        <f aca="false">IF(AND($M1221=1,LEFT(对接源_02物料!$D21,4)="成品出库"),1,0)</f>
        <v>0</v>
      </c>
      <c r="AE1221" s="1" t="n">
        <f aca="false">N(AE1220)+$AD1221</f>
        <v>38</v>
      </c>
      <c r="AF1221" s="1" t="n">
        <f aca="false">IF(AND($N1221=1,AND(LEFT(对接源_02物料!$D21,4)="包装物料",N(对接源_02物料!$K21)&lt;&gt;0)),1,0)</f>
        <v>0</v>
      </c>
      <c r="AG1221" s="1" t="n">
        <f aca="false">N(AG1220)+$AF1221</f>
        <v>3</v>
      </c>
      <c r="AH1221" s="1" t="n">
        <f aca="false">IF(AND($N1221=1,AND(LEFT(对接源_02物料!$D21,3)="周转筐",N(对接源_02物料!$K21)&lt;&gt;0)),1,0)</f>
        <v>0</v>
      </c>
      <c r="AI1221" s="1" t="n">
        <f aca="false">N(AI1220)+$AH1221</f>
        <v>0</v>
      </c>
      <c r="AJ1221" s="1" t="n">
        <v>0</v>
      </c>
      <c r="AK1221" s="1" t="n">
        <f aca="false">N(AK1220)+$AJ1221</f>
        <v>3672</v>
      </c>
    </row>
    <row r="1222" customFormat="false" ht="13.5" hidden="false" customHeight="false" outlineLevel="0" collapsed="false">
      <c r="A1222" s="1" t="str">
        <f aca="false">IF(对接源_02物料!$C22="","",对接源_02物料!$C22)</f>
        <v>热合曼</v>
      </c>
      <c r="B1222" s="1" t="n">
        <f aca="false">IF(A1222="",0,IF(MATCH(A1222,$A$4:$A$2403,0)=ROW()-3,1,0))</f>
        <v>0</v>
      </c>
      <c r="C1222" s="1" t="n">
        <f aca="false">N(C1221)+B1222</f>
        <v>15</v>
      </c>
      <c r="K1222" s="1" t="n">
        <f aca="false">IF(OR($K$1="",对接源_02物料!$C22="",对接源_02物料!$C22&lt;&gt;$K$1,对接源_02物料!$B22=""),0,IF(OR(N(对接源_02物料!$B22)&lt;$K$2,N(对接源_02物料!$B22)&gt;$K$3),0,1))</f>
        <v>0</v>
      </c>
      <c r="L1222" s="1" t="n">
        <f aca="false">IF(OR($L$1="",对接源_02物料!$C22="",对接源_02物料!$C22&lt;&gt;$L$1,对接源_02物料!$B22=""),0,IF(OR(N(对接源_02物料!$B22)&lt;$L$2,N(对接源_02物料!$B22)&gt;$L$3),0,1))</f>
        <v>0</v>
      </c>
      <c r="M1222" s="1" t="n">
        <f aca="false">IF(OR($M$1="",对接源_02物料!$C22="",对接源_02物料!$C22&lt;&gt;$M$1,对接源_02物料!$B22=""),0,IF(OR(N(对接源_02物料!$B22)&lt;$M$2,N(对接源_02物料!$B22)&gt;$M$3),0,1))</f>
        <v>0</v>
      </c>
      <c r="N1222" s="1" t="n">
        <f aca="false">IF(OR($N$1="",对接源_02物料!$C22="",对接源_02物料!$C22&lt;&gt;$N$1,对接源_02物料!$B22=""),0,IF(OR(N(对接源_02物料!$B22)&lt;$N$2,N(对接源_02物料!$B22)&gt;$N$3),0,1))</f>
        <v>0</v>
      </c>
      <c r="P1222" s="1" t="n">
        <f aca="false">IF(AND($K1222=1,AND(对接源_02物料!$X22="公司筐",N(对接源_02物料!$T22)&lt;&gt;0)),1,0)</f>
        <v>0</v>
      </c>
      <c r="Q1222" s="1" t="n">
        <f aca="false">N(Q1221)+$P1222</f>
        <v>3</v>
      </c>
      <c r="R1222" s="1" t="n">
        <f aca="false">IF(AND($K1222=1,AND(对接源_02物料!$X22="公司筐",N(对接源_02物料!$U22)&lt;&gt;0)),1,0)</f>
        <v>0</v>
      </c>
      <c r="S1222" s="1" t="n">
        <f aca="false">N(S1221)+$R1222</f>
        <v>0</v>
      </c>
      <c r="T1222" s="1" t="n">
        <f aca="false">IF(AND($K1222=1,AND(对接源_02物料!$X22="公司筐",N(对接源_02物料!$V22)&lt;&gt;0)),1,0)</f>
        <v>0</v>
      </c>
      <c r="U1222" s="1" t="n">
        <f aca="false">N(U1221)+$T1222</f>
        <v>28</v>
      </c>
      <c r="V1222" s="1" t="n">
        <f aca="false">IF(AND($L1222=1,AND(对接源_02物料!$X22="自备筐",N(对接源_02物料!$V22)&lt;&gt;0)),1,0)</f>
        <v>0</v>
      </c>
      <c r="W1222" s="1" t="n">
        <f aca="false">N(W1221)+$V1222</f>
        <v>7</v>
      </c>
      <c r="X1222" s="1" t="n">
        <f aca="false">IF(AND($L1222=1,AND(对接源_02物料!$X22="自备筐",N(对接源_02物料!$T22)&lt;&gt;0)),1,0)</f>
        <v>0</v>
      </c>
      <c r="Y1222" s="1" t="n">
        <f aca="false">N(Y1221)+$X1222</f>
        <v>0</v>
      </c>
      <c r="Z1222" s="1" t="n">
        <f aca="false">IF(AND($M1222=1,对接源_02物料!$D22="原料入库"),1,0)</f>
        <v>0</v>
      </c>
      <c r="AA1222" s="1" t="n">
        <f aca="false">N(AA1221)+$Z1222</f>
        <v>30</v>
      </c>
      <c r="AB1222" s="1" t="n">
        <f aca="false">IF(AND($M1222=1,LEFT(对接源_02物料!$D22,4)="原料出库"),1,0)</f>
        <v>0</v>
      </c>
      <c r="AC1222" s="1" t="n">
        <f aca="false">N(AC1221)+$AB1222</f>
        <v>19</v>
      </c>
      <c r="AD1222" s="1" t="n">
        <f aca="false">IF(AND($M1222=1,LEFT(对接源_02物料!$D22,4)="成品出库"),1,0)</f>
        <v>0</v>
      </c>
      <c r="AE1222" s="1" t="n">
        <f aca="false">N(AE1221)+$AD1222</f>
        <v>38</v>
      </c>
      <c r="AF1222" s="1" t="n">
        <f aca="false">IF(AND($N1222=1,AND(LEFT(对接源_02物料!$D22,4)="包装物料",N(对接源_02物料!$K22)&lt;&gt;0)),1,0)</f>
        <v>0</v>
      </c>
      <c r="AG1222" s="1" t="n">
        <f aca="false">N(AG1221)+$AF1222</f>
        <v>3</v>
      </c>
      <c r="AH1222" s="1" t="n">
        <f aca="false">IF(AND($N1222=1,AND(LEFT(对接源_02物料!$D22,3)="周转筐",N(对接源_02物料!$K22)&lt;&gt;0)),1,0)</f>
        <v>0</v>
      </c>
      <c r="AI1222" s="1" t="n">
        <f aca="false">N(AI1221)+$AH1222</f>
        <v>0</v>
      </c>
      <c r="AJ1222" s="1" t="n">
        <v>0</v>
      </c>
      <c r="AK1222" s="1" t="n">
        <f aca="false">N(AK1221)+$AJ1222</f>
        <v>3672</v>
      </c>
    </row>
    <row r="1223" customFormat="false" ht="13.5" hidden="false" customHeight="false" outlineLevel="0" collapsed="false">
      <c r="A1223" s="1" t="str">
        <f aca="false">IF(对接源_02物料!$C23="","",对接源_02物料!$C23)</f>
        <v>贾建国</v>
      </c>
      <c r="B1223" s="1" t="n">
        <f aca="false">IF(A1223="",0,IF(MATCH(A1223,$A$4:$A$2403,0)=ROW()-3,1,0))</f>
        <v>0</v>
      </c>
      <c r="C1223" s="1" t="n">
        <f aca="false">N(C1222)+B1223</f>
        <v>15</v>
      </c>
      <c r="K1223" s="1" t="n">
        <f aca="false">IF(OR($K$1="",对接源_02物料!$C23="",对接源_02物料!$C23&lt;&gt;$K$1,对接源_02物料!$B23=""),0,IF(OR(N(对接源_02物料!$B23)&lt;$K$2,N(对接源_02物料!$B23)&gt;$K$3),0,1))</f>
        <v>0</v>
      </c>
      <c r="L1223" s="1" t="n">
        <f aca="false">IF(OR($L$1="",对接源_02物料!$C23="",对接源_02物料!$C23&lt;&gt;$L$1,对接源_02物料!$B23=""),0,IF(OR(N(对接源_02物料!$B23)&lt;$L$2,N(对接源_02物料!$B23)&gt;$L$3),0,1))</f>
        <v>1</v>
      </c>
      <c r="M1223" s="1" t="n">
        <f aca="false">IF(OR($M$1="",对接源_02物料!$C23="",对接源_02物料!$C23&lt;&gt;$M$1,对接源_02物料!$B23=""),0,IF(OR(N(对接源_02物料!$B23)&lt;$M$2,N(对接源_02物料!$B23)&gt;$M$3),0,1))</f>
        <v>0</v>
      </c>
      <c r="N1223" s="1" t="n">
        <f aca="false">IF(OR($N$1="",对接源_02物料!$C23="",对接源_02物料!$C23&lt;&gt;$N$1,对接源_02物料!$B23=""),0,IF(OR(N(对接源_02物料!$B23)&lt;$N$2,N(对接源_02物料!$B23)&gt;$N$3),0,1))</f>
        <v>0</v>
      </c>
      <c r="P1223" s="1" t="n">
        <f aca="false">IF(AND($K1223=1,AND(对接源_02物料!$X23="公司筐",N(对接源_02物料!$T23)&lt;&gt;0)),1,0)</f>
        <v>0</v>
      </c>
      <c r="Q1223" s="1" t="n">
        <f aca="false">N(Q1222)+$P1223</f>
        <v>3</v>
      </c>
      <c r="R1223" s="1" t="n">
        <f aca="false">IF(AND($K1223=1,AND(对接源_02物料!$X23="公司筐",N(对接源_02物料!$U23)&lt;&gt;0)),1,0)</f>
        <v>0</v>
      </c>
      <c r="S1223" s="1" t="n">
        <f aca="false">N(S1222)+$R1223</f>
        <v>0</v>
      </c>
      <c r="T1223" s="1" t="n">
        <f aca="false">IF(AND($K1223=1,AND(对接源_02物料!$X23="公司筐",N(对接源_02物料!$V23)&lt;&gt;0)),1,0)</f>
        <v>0</v>
      </c>
      <c r="U1223" s="1" t="n">
        <f aca="false">N(U1222)+$T1223</f>
        <v>28</v>
      </c>
      <c r="V1223" s="1" t="n">
        <f aca="false">IF(AND($L1223=1,AND(对接源_02物料!$X23="自备筐",N(对接源_02物料!$V23)&lt;&gt;0)),1,0)</f>
        <v>0</v>
      </c>
      <c r="W1223" s="1" t="n">
        <f aca="false">N(W1222)+$V1223</f>
        <v>7</v>
      </c>
      <c r="X1223" s="1" t="n">
        <f aca="false">IF(AND($L1223=1,AND(对接源_02物料!$X23="自备筐",N(对接源_02物料!$T23)&lt;&gt;0)),1,0)</f>
        <v>0</v>
      </c>
      <c r="Y1223" s="1" t="n">
        <f aca="false">N(Y1222)+$X1223</f>
        <v>0</v>
      </c>
      <c r="Z1223" s="1" t="n">
        <f aca="false">IF(AND($M1223=1,对接源_02物料!$D23="原料入库"),1,0)</f>
        <v>0</v>
      </c>
      <c r="AA1223" s="1" t="n">
        <f aca="false">N(AA1222)+$Z1223</f>
        <v>30</v>
      </c>
      <c r="AB1223" s="1" t="n">
        <f aca="false">IF(AND($M1223=1,LEFT(对接源_02物料!$D23,4)="原料出库"),1,0)</f>
        <v>0</v>
      </c>
      <c r="AC1223" s="1" t="n">
        <f aca="false">N(AC1222)+$AB1223</f>
        <v>19</v>
      </c>
      <c r="AD1223" s="1" t="n">
        <f aca="false">IF(AND($M1223=1,LEFT(对接源_02物料!$D23,4)="成品出库"),1,0)</f>
        <v>0</v>
      </c>
      <c r="AE1223" s="1" t="n">
        <f aca="false">N(AE1222)+$AD1223</f>
        <v>38</v>
      </c>
      <c r="AF1223" s="1" t="n">
        <f aca="false">IF(AND($N1223=1,AND(LEFT(对接源_02物料!$D23,4)="包装物料",N(对接源_02物料!$K23)&lt;&gt;0)),1,0)</f>
        <v>0</v>
      </c>
      <c r="AG1223" s="1" t="n">
        <f aca="false">N(AG1222)+$AF1223</f>
        <v>3</v>
      </c>
      <c r="AH1223" s="1" t="n">
        <f aca="false">IF(AND($N1223=1,AND(LEFT(对接源_02物料!$D23,3)="周转筐",N(对接源_02物料!$K23)&lt;&gt;0)),1,0)</f>
        <v>0</v>
      </c>
      <c r="AI1223" s="1" t="n">
        <f aca="false">N(AI1222)+$AH1223</f>
        <v>0</v>
      </c>
      <c r="AJ1223" s="1" t="n">
        <v>0</v>
      </c>
      <c r="AK1223" s="1" t="n">
        <f aca="false">N(AK1222)+$AJ1223</f>
        <v>3672</v>
      </c>
    </row>
    <row r="1224" customFormat="false" ht="13.5" hidden="false" customHeight="false" outlineLevel="0" collapsed="false">
      <c r="A1224" s="1" t="str">
        <f aca="false">IF(对接源_02物料!$C24="","",对接源_02物料!$C24)</f>
        <v>吐尔逊</v>
      </c>
      <c r="B1224" s="1" t="n">
        <f aca="false">IF(A1224="",0,IF(MATCH(A1224,$A$4:$A$2403,0)=ROW()-3,1,0))</f>
        <v>1</v>
      </c>
      <c r="C1224" s="1" t="n">
        <f aca="false">N(C1223)+B1224</f>
        <v>16</v>
      </c>
      <c r="K1224" s="1" t="n">
        <f aca="false">IF(OR($K$1="",对接源_02物料!$C24="",对接源_02物料!$C24&lt;&gt;$K$1,对接源_02物料!$B24=""),0,IF(OR(N(对接源_02物料!$B24)&lt;$K$2,N(对接源_02物料!$B24)&gt;$K$3),0,1))</f>
        <v>0</v>
      </c>
      <c r="L1224" s="1" t="n">
        <f aca="false">IF(OR($L$1="",对接源_02物料!$C24="",对接源_02物料!$C24&lt;&gt;$L$1,对接源_02物料!$B24=""),0,IF(OR(N(对接源_02物料!$B24)&lt;$L$2,N(对接源_02物料!$B24)&gt;$L$3),0,1))</f>
        <v>0</v>
      </c>
      <c r="M1224" s="1" t="n">
        <f aca="false">IF(OR($M$1="",对接源_02物料!$C24="",对接源_02物料!$C24&lt;&gt;$M$1,对接源_02物料!$B24=""),0,IF(OR(N(对接源_02物料!$B24)&lt;$M$2,N(对接源_02物料!$B24)&gt;$M$3),0,1))</f>
        <v>0</v>
      </c>
      <c r="N1224" s="1" t="n">
        <f aca="false">IF(OR($N$1="",对接源_02物料!$C24="",对接源_02物料!$C24&lt;&gt;$N$1,对接源_02物料!$B24=""),0,IF(OR(N(对接源_02物料!$B24)&lt;$N$2,N(对接源_02物料!$B24)&gt;$N$3),0,1))</f>
        <v>0</v>
      </c>
      <c r="P1224" s="1" t="n">
        <f aca="false">IF(AND($K1224=1,AND(对接源_02物料!$X24="公司筐",N(对接源_02物料!$T24)&lt;&gt;0)),1,0)</f>
        <v>0</v>
      </c>
      <c r="Q1224" s="1" t="n">
        <f aca="false">N(Q1223)+$P1224</f>
        <v>3</v>
      </c>
      <c r="R1224" s="1" t="n">
        <f aca="false">IF(AND($K1224=1,AND(对接源_02物料!$X24="公司筐",N(对接源_02物料!$U24)&lt;&gt;0)),1,0)</f>
        <v>0</v>
      </c>
      <c r="S1224" s="1" t="n">
        <f aca="false">N(S1223)+$R1224</f>
        <v>0</v>
      </c>
      <c r="T1224" s="1" t="n">
        <f aca="false">IF(AND($K1224=1,AND(对接源_02物料!$X24="公司筐",N(对接源_02物料!$V24)&lt;&gt;0)),1,0)</f>
        <v>0</v>
      </c>
      <c r="U1224" s="1" t="n">
        <f aca="false">N(U1223)+$T1224</f>
        <v>28</v>
      </c>
      <c r="V1224" s="1" t="n">
        <f aca="false">IF(AND($L1224=1,AND(对接源_02物料!$X24="自备筐",N(对接源_02物料!$V24)&lt;&gt;0)),1,0)</f>
        <v>0</v>
      </c>
      <c r="W1224" s="1" t="n">
        <f aca="false">N(W1223)+$V1224</f>
        <v>7</v>
      </c>
      <c r="X1224" s="1" t="n">
        <f aca="false">IF(AND($L1224=1,AND(对接源_02物料!$X24="自备筐",N(对接源_02物料!$T24)&lt;&gt;0)),1,0)</f>
        <v>0</v>
      </c>
      <c r="Y1224" s="1" t="n">
        <f aca="false">N(Y1223)+$X1224</f>
        <v>0</v>
      </c>
      <c r="Z1224" s="1" t="n">
        <f aca="false">IF(AND($M1224=1,对接源_02物料!$D24="原料入库"),1,0)</f>
        <v>0</v>
      </c>
      <c r="AA1224" s="1" t="n">
        <f aca="false">N(AA1223)+$Z1224</f>
        <v>30</v>
      </c>
      <c r="AB1224" s="1" t="n">
        <f aca="false">IF(AND($M1224=1,LEFT(对接源_02物料!$D24,4)="原料出库"),1,0)</f>
        <v>0</v>
      </c>
      <c r="AC1224" s="1" t="n">
        <f aca="false">N(AC1223)+$AB1224</f>
        <v>19</v>
      </c>
      <c r="AD1224" s="1" t="n">
        <f aca="false">IF(AND($M1224=1,LEFT(对接源_02物料!$D24,4)="成品出库"),1,0)</f>
        <v>0</v>
      </c>
      <c r="AE1224" s="1" t="n">
        <f aca="false">N(AE1223)+$AD1224</f>
        <v>38</v>
      </c>
      <c r="AF1224" s="1" t="n">
        <f aca="false">IF(AND($N1224=1,AND(LEFT(对接源_02物料!$D24,4)="包装物料",N(对接源_02物料!$K24)&lt;&gt;0)),1,0)</f>
        <v>0</v>
      </c>
      <c r="AG1224" s="1" t="n">
        <f aca="false">N(AG1223)+$AF1224</f>
        <v>3</v>
      </c>
      <c r="AH1224" s="1" t="n">
        <f aca="false">IF(AND($N1224=1,AND(LEFT(对接源_02物料!$D24,3)="周转筐",N(对接源_02物料!$K24)&lt;&gt;0)),1,0)</f>
        <v>0</v>
      </c>
      <c r="AI1224" s="1" t="n">
        <f aca="false">N(AI1223)+$AH1224</f>
        <v>0</v>
      </c>
      <c r="AJ1224" s="1" t="n">
        <v>0</v>
      </c>
      <c r="AK1224" s="1" t="n">
        <f aca="false">N(AK1223)+$AJ1224</f>
        <v>3672</v>
      </c>
    </row>
    <row r="1225" customFormat="false" ht="13.5" hidden="false" customHeight="false" outlineLevel="0" collapsed="false">
      <c r="A1225" s="1" t="str">
        <f aca="false">IF(对接源_02物料!$C25="","",对接源_02物料!$C25)</f>
        <v>吐尔逊</v>
      </c>
      <c r="B1225" s="1" t="n">
        <f aca="false">IF(A1225="",0,IF(MATCH(A1225,$A$4:$A$2403,0)=ROW()-3,1,0))</f>
        <v>0</v>
      </c>
      <c r="C1225" s="1" t="n">
        <f aca="false">N(C1224)+B1225</f>
        <v>16</v>
      </c>
      <c r="K1225" s="1" t="n">
        <f aca="false">IF(OR($K$1="",对接源_02物料!$C25="",对接源_02物料!$C25&lt;&gt;$K$1,对接源_02物料!$B25=""),0,IF(OR(N(对接源_02物料!$B25)&lt;$K$2,N(对接源_02物料!$B25)&gt;$K$3),0,1))</f>
        <v>0</v>
      </c>
      <c r="L1225" s="1" t="n">
        <f aca="false">IF(OR($L$1="",对接源_02物料!$C25="",对接源_02物料!$C25&lt;&gt;$L$1,对接源_02物料!$B25=""),0,IF(OR(N(对接源_02物料!$B25)&lt;$L$2,N(对接源_02物料!$B25)&gt;$L$3),0,1))</f>
        <v>0</v>
      </c>
      <c r="M1225" s="1" t="n">
        <f aca="false">IF(OR($M$1="",对接源_02物料!$C25="",对接源_02物料!$C25&lt;&gt;$M$1,对接源_02物料!$B25=""),0,IF(OR(N(对接源_02物料!$B25)&lt;$M$2,N(对接源_02物料!$B25)&gt;$M$3),0,1))</f>
        <v>0</v>
      </c>
      <c r="N1225" s="1" t="n">
        <f aca="false">IF(OR($N$1="",对接源_02物料!$C25="",对接源_02物料!$C25&lt;&gt;$N$1,对接源_02物料!$B25=""),0,IF(OR(N(对接源_02物料!$B25)&lt;$N$2,N(对接源_02物料!$B25)&gt;$N$3),0,1))</f>
        <v>0</v>
      </c>
      <c r="P1225" s="1" t="n">
        <f aca="false">IF(AND($K1225=1,AND(对接源_02物料!$X25="公司筐",N(对接源_02物料!$T25)&lt;&gt;0)),1,0)</f>
        <v>0</v>
      </c>
      <c r="Q1225" s="1" t="n">
        <f aca="false">N(Q1224)+$P1225</f>
        <v>3</v>
      </c>
      <c r="R1225" s="1" t="n">
        <f aca="false">IF(AND($K1225=1,AND(对接源_02物料!$X25="公司筐",N(对接源_02物料!$U25)&lt;&gt;0)),1,0)</f>
        <v>0</v>
      </c>
      <c r="S1225" s="1" t="n">
        <f aca="false">N(S1224)+$R1225</f>
        <v>0</v>
      </c>
      <c r="T1225" s="1" t="n">
        <f aca="false">IF(AND($K1225=1,AND(对接源_02物料!$X25="公司筐",N(对接源_02物料!$V25)&lt;&gt;0)),1,0)</f>
        <v>0</v>
      </c>
      <c r="U1225" s="1" t="n">
        <f aca="false">N(U1224)+$T1225</f>
        <v>28</v>
      </c>
      <c r="V1225" s="1" t="n">
        <f aca="false">IF(AND($L1225=1,AND(对接源_02物料!$X25="自备筐",N(对接源_02物料!$V25)&lt;&gt;0)),1,0)</f>
        <v>0</v>
      </c>
      <c r="W1225" s="1" t="n">
        <f aca="false">N(W1224)+$V1225</f>
        <v>7</v>
      </c>
      <c r="X1225" s="1" t="n">
        <f aca="false">IF(AND($L1225=1,AND(对接源_02物料!$X25="自备筐",N(对接源_02物料!$T25)&lt;&gt;0)),1,0)</f>
        <v>0</v>
      </c>
      <c r="Y1225" s="1" t="n">
        <f aca="false">N(Y1224)+$X1225</f>
        <v>0</v>
      </c>
      <c r="Z1225" s="1" t="n">
        <f aca="false">IF(AND($M1225=1,对接源_02物料!$D25="原料入库"),1,0)</f>
        <v>0</v>
      </c>
      <c r="AA1225" s="1" t="n">
        <f aca="false">N(AA1224)+$Z1225</f>
        <v>30</v>
      </c>
      <c r="AB1225" s="1" t="n">
        <f aca="false">IF(AND($M1225=1,LEFT(对接源_02物料!$D25,4)="原料出库"),1,0)</f>
        <v>0</v>
      </c>
      <c r="AC1225" s="1" t="n">
        <f aca="false">N(AC1224)+$AB1225</f>
        <v>19</v>
      </c>
      <c r="AD1225" s="1" t="n">
        <f aca="false">IF(AND($M1225=1,LEFT(对接源_02物料!$D25,4)="成品出库"),1,0)</f>
        <v>0</v>
      </c>
      <c r="AE1225" s="1" t="n">
        <f aca="false">N(AE1224)+$AD1225</f>
        <v>38</v>
      </c>
      <c r="AF1225" s="1" t="n">
        <f aca="false">IF(AND($N1225=1,AND(LEFT(对接源_02物料!$D25,4)="包装物料",N(对接源_02物料!$K25)&lt;&gt;0)),1,0)</f>
        <v>0</v>
      </c>
      <c r="AG1225" s="1" t="n">
        <f aca="false">N(AG1224)+$AF1225</f>
        <v>3</v>
      </c>
      <c r="AH1225" s="1" t="n">
        <f aca="false">IF(AND($N1225=1,AND(LEFT(对接源_02物料!$D25,3)="周转筐",N(对接源_02物料!$K25)&lt;&gt;0)),1,0)</f>
        <v>0</v>
      </c>
      <c r="AI1225" s="1" t="n">
        <f aca="false">N(AI1224)+$AH1225</f>
        <v>0</v>
      </c>
      <c r="AJ1225" s="1" t="n">
        <v>0</v>
      </c>
      <c r="AK1225" s="1" t="n">
        <f aca="false">N(AK1224)+$AJ1225</f>
        <v>3672</v>
      </c>
    </row>
    <row r="1226" customFormat="false" ht="13.5" hidden="false" customHeight="false" outlineLevel="0" collapsed="false">
      <c r="A1226" s="1" t="str">
        <f aca="false">IF(对接源_02物料!$C26="","",对接源_02物料!$C26)</f>
        <v>吐尔洪</v>
      </c>
      <c r="B1226" s="1" t="n">
        <f aca="false">IF(A1226="",0,IF(MATCH(A1226,$A$4:$A$2403,0)=ROW()-3,1,0))</f>
        <v>0</v>
      </c>
      <c r="C1226" s="1" t="n">
        <f aca="false">N(C1225)+B1226</f>
        <v>16</v>
      </c>
      <c r="K1226" s="1" t="n">
        <f aca="false">IF(OR($K$1="",对接源_02物料!$C26="",对接源_02物料!$C26&lt;&gt;$K$1,对接源_02物料!$B26=""),0,IF(OR(N(对接源_02物料!$B26)&lt;$K$2,N(对接源_02物料!$B26)&gt;$K$3),0,1))</f>
        <v>0</v>
      </c>
      <c r="L1226" s="1" t="n">
        <f aca="false">IF(OR($L$1="",对接源_02物料!$C26="",对接源_02物料!$C26&lt;&gt;$L$1,对接源_02物料!$B26=""),0,IF(OR(N(对接源_02物料!$B26)&lt;$L$2,N(对接源_02物料!$B26)&gt;$L$3),0,1))</f>
        <v>0</v>
      </c>
      <c r="M1226" s="1" t="n">
        <f aca="false">IF(OR($M$1="",对接源_02物料!$C26="",对接源_02物料!$C26&lt;&gt;$M$1,对接源_02物料!$B26=""),0,IF(OR(N(对接源_02物料!$B26)&lt;$M$2,N(对接源_02物料!$B26)&gt;$M$3),0,1))</f>
        <v>0</v>
      </c>
      <c r="N1226" s="1" t="n">
        <f aca="false">IF(OR($N$1="",对接源_02物料!$C26="",对接源_02物料!$C26&lt;&gt;$N$1,对接源_02物料!$B26=""),0,IF(OR(N(对接源_02物料!$B26)&lt;$N$2,N(对接源_02物料!$B26)&gt;$N$3),0,1))</f>
        <v>0</v>
      </c>
      <c r="P1226" s="1" t="n">
        <f aca="false">IF(AND($K1226=1,AND(对接源_02物料!$X26="公司筐",N(对接源_02物料!$T26)&lt;&gt;0)),1,0)</f>
        <v>0</v>
      </c>
      <c r="Q1226" s="1" t="n">
        <f aca="false">N(Q1225)+$P1226</f>
        <v>3</v>
      </c>
      <c r="R1226" s="1" t="n">
        <f aca="false">IF(AND($K1226=1,AND(对接源_02物料!$X26="公司筐",N(对接源_02物料!$U26)&lt;&gt;0)),1,0)</f>
        <v>0</v>
      </c>
      <c r="S1226" s="1" t="n">
        <f aca="false">N(S1225)+$R1226</f>
        <v>0</v>
      </c>
      <c r="T1226" s="1" t="n">
        <f aca="false">IF(AND($K1226=1,AND(对接源_02物料!$X26="公司筐",N(对接源_02物料!$V26)&lt;&gt;0)),1,0)</f>
        <v>0</v>
      </c>
      <c r="U1226" s="1" t="n">
        <f aca="false">N(U1225)+$T1226</f>
        <v>28</v>
      </c>
      <c r="V1226" s="1" t="n">
        <f aca="false">IF(AND($L1226=1,AND(对接源_02物料!$X26="自备筐",N(对接源_02物料!$V26)&lt;&gt;0)),1,0)</f>
        <v>0</v>
      </c>
      <c r="W1226" s="1" t="n">
        <f aca="false">N(W1225)+$V1226</f>
        <v>7</v>
      </c>
      <c r="X1226" s="1" t="n">
        <f aca="false">IF(AND($L1226=1,AND(对接源_02物料!$X26="自备筐",N(对接源_02物料!$T26)&lt;&gt;0)),1,0)</f>
        <v>0</v>
      </c>
      <c r="Y1226" s="1" t="n">
        <f aca="false">N(Y1225)+$X1226</f>
        <v>0</v>
      </c>
      <c r="Z1226" s="1" t="n">
        <f aca="false">IF(AND($M1226=1,对接源_02物料!$D26="原料入库"),1,0)</f>
        <v>0</v>
      </c>
      <c r="AA1226" s="1" t="n">
        <f aca="false">N(AA1225)+$Z1226</f>
        <v>30</v>
      </c>
      <c r="AB1226" s="1" t="n">
        <f aca="false">IF(AND($M1226=1,LEFT(对接源_02物料!$D26,4)="原料出库"),1,0)</f>
        <v>0</v>
      </c>
      <c r="AC1226" s="1" t="n">
        <f aca="false">N(AC1225)+$AB1226</f>
        <v>19</v>
      </c>
      <c r="AD1226" s="1" t="n">
        <f aca="false">IF(AND($M1226=1,LEFT(对接源_02物料!$D26,4)="成品出库"),1,0)</f>
        <v>0</v>
      </c>
      <c r="AE1226" s="1" t="n">
        <f aca="false">N(AE1225)+$AD1226</f>
        <v>38</v>
      </c>
      <c r="AF1226" s="1" t="n">
        <f aca="false">IF(AND($N1226=1,AND(LEFT(对接源_02物料!$D26,4)="包装物料",N(对接源_02物料!$K26)&lt;&gt;0)),1,0)</f>
        <v>0</v>
      </c>
      <c r="AG1226" s="1" t="n">
        <f aca="false">N(AG1225)+$AF1226</f>
        <v>3</v>
      </c>
      <c r="AH1226" s="1" t="n">
        <f aca="false">IF(AND($N1226=1,AND(LEFT(对接源_02物料!$D26,3)="周转筐",N(对接源_02物料!$K26)&lt;&gt;0)),1,0)</f>
        <v>0</v>
      </c>
      <c r="AI1226" s="1" t="n">
        <f aca="false">N(AI1225)+$AH1226</f>
        <v>0</v>
      </c>
      <c r="AJ1226" s="1" t="n">
        <v>0</v>
      </c>
      <c r="AK1226" s="1" t="n">
        <f aca="false">N(AK1225)+$AJ1226</f>
        <v>3672</v>
      </c>
    </row>
    <row r="1227" customFormat="false" ht="13.5" hidden="false" customHeight="false" outlineLevel="0" collapsed="false">
      <c r="A1227" s="1" t="str">
        <f aca="false">IF(对接源_02物料!$C27="","",对接源_02物料!$C27)</f>
        <v>荆建君</v>
      </c>
      <c r="B1227" s="1" t="n">
        <f aca="false">IF(A1227="",0,IF(MATCH(A1227,$A$4:$A$2403,0)=ROW()-3,1,0))</f>
        <v>0</v>
      </c>
      <c r="C1227" s="1" t="n">
        <f aca="false">N(C1226)+B1227</f>
        <v>16</v>
      </c>
      <c r="K1227" s="1" t="n">
        <f aca="false">IF(OR($K$1="",对接源_02物料!$C27="",对接源_02物料!$C27&lt;&gt;$K$1,对接源_02物料!$B27=""),0,IF(OR(N(对接源_02物料!$B27)&lt;$K$2,N(对接源_02物料!$B27)&gt;$K$3),0,1))</f>
        <v>0</v>
      </c>
      <c r="L1227" s="1" t="n">
        <f aca="false">IF(OR($L$1="",对接源_02物料!$C27="",对接源_02物料!$C27&lt;&gt;$L$1,对接源_02物料!$B27=""),0,IF(OR(N(对接源_02物料!$B27)&lt;$L$2,N(对接源_02物料!$B27)&gt;$L$3),0,1))</f>
        <v>0</v>
      </c>
      <c r="M1227" s="1" t="n">
        <f aca="false">IF(OR($M$1="",对接源_02物料!$C27="",对接源_02物料!$C27&lt;&gt;$M$1,对接源_02物料!$B27=""),0,IF(OR(N(对接源_02物料!$B27)&lt;$M$2,N(对接源_02物料!$B27)&gt;$M$3),0,1))</f>
        <v>0</v>
      </c>
      <c r="N1227" s="1" t="n">
        <f aca="false">IF(OR($N$1="",对接源_02物料!$C27="",对接源_02物料!$C27&lt;&gt;$N$1,对接源_02物料!$B27=""),0,IF(OR(N(对接源_02物料!$B27)&lt;$N$2,N(对接源_02物料!$B27)&gt;$N$3),0,1))</f>
        <v>0</v>
      </c>
      <c r="P1227" s="1" t="n">
        <f aca="false">IF(AND($K1227=1,AND(对接源_02物料!$X27="公司筐",N(对接源_02物料!$T27)&lt;&gt;0)),1,0)</f>
        <v>0</v>
      </c>
      <c r="Q1227" s="1" t="n">
        <f aca="false">N(Q1226)+$P1227</f>
        <v>3</v>
      </c>
      <c r="R1227" s="1" t="n">
        <f aca="false">IF(AND($K1227=1,AND(对接源_02物料!$X27="公司筐",N(对接源_02物料!$U27)&lt;&gt;0)),1,0)</f>
        <v>0</v>
      </c>
      <c r="S1227" s="1" t="n">
        <f aca="false">N(S1226)+$R1227</f>
        <v>0</v>
      </c>
      <c r="T1227" s="1" t="n">
        <f aca="false">IF(AND($K1227=1,AND(对接源_02物料!$X27="公司筐",N(对接源_02物料!$V27)&lt;&gt;0)),1,0)</f>
        <v>0</v>
      </c>
      <c r="U1227" s="1" t="n">
        <f aca="false">N(U1226)+$T1227</f>
        <v>28</v>
      </c>
      <c r="V1227" s="1" t="n">
        <f aca="false">IF(AND($L1227=1,AND(对接源_02物料!$X27="自备筐",N(对接源_02物料!$V27)&lt;&gt;0)),1,0)</f>
        <v>0</v>
      </c>
      <c r="W1227" s="1" t="n">
        <f aca="false">N(W1226)+$V1227</f>
        <v>7</v>
      </c>
      <c r="X1227" s="1" t="n">
        <f aca="false">IF(AND($L1227=1,AND(对接源_02物料!$X27="自备筐",N(对接源_02物料!$T27)&lt;&gt;0)),1,0)</f>
        <v>0</v>
      </c>
      <c r="Y1227" s="1" t="n">
        <f aca="false">N(Y1226)+$X1227</f>
        <v>0</v>
      </c>
      <c r="Z1227" s="1" t="n">
        <f aca="false">IF(AND($M1227=1,对接源_02物料!$D27="原料入库"),1,0)</f>
        <v>0</v>
      </c>
      <c r="AA1227" s="1" t="n">
        <f aca="false">N(AA1226)+$Z1227</f>
        <v>30</v>
      </c>
      <c r="AB1227" s="1" t="n">
        <f aca="false">IF(AND($M1227=1,LEFT(对接源_02物料!$D27,4)="原料出库"),1,0)</f>
        <v>0</v>
      </c>
      <c r="AC1227" s="1" t="n">
        <f aca="false">N(AC1226)+$AB1227</f>
        <v>19</v>
      </c>
      <c r="AD1227" s="1" t="n">
        <f aca="false">IF(AND($M1227=1,LEFT(对接源_02物料!$D27,4)="成品出库"),1,0)</f>
        <v>0</v>
      </c>
      <c r="AE1227" s="1" t="n">
        <f aca="false">N(AE1226)+$AD1227</f>
        <v>38</v>
      </c>
      <c r="AF1227" s="1" t="n">
        <f aca="false">IF(AND($N1227=1,AND(LEFT(对接源_02物料!$D27,4)="包装物料",N(对接源_02物料!$K27)&lt;&gt;0)),1,0)</f>
        <v>0</v>
      </c>
      <c r="AG1227" s="1" t="n">
        <f aca="false">N(AG1226)+$AF1227</f>
        <v>3</v>
      </c>
      <c r="AH1227" s="1" t="n">
        <f aca="false">IF(AND($N1227=1,AND(LEFT(对接源_02物料!$D27,3)="周转筐",N(对接源_02物料!$K27)&lt;&gt;0)),1,0)</f>
        <v>0</v>
      </c>
      <c r="AI1227" s="1" t="n">
        <f aca="false">N(AI1226)+$AH1227</f>
        <v>0</v>
      </c>
      <c r="AJ1227" s="1" t="n">
        <v>0</v>
      </c>
      <c r="AK1227" s="1" t="n">
        <f aca="false">N(AK1226)+$AJ1227</f>
        <v>3672</v>
      </c>
    </row>
    <row r="1228" customFormat="false" ht="13.5" hidden="false" customHeight="false" outlineLevel="0" collapsed="false">
      <c r="A1228" s="1" t="str">
        <f aca="false">IF(对接源_02物料!$C28="","",对接源_02物料!$C28)</f>
        <v>麦麦提</v>
      </c>
      <c r="B1228" s="1" t="n">
        <f aca="false">IF(A1228="",0,IF(MATCH(A1228,$A$4:$A$2403,0)=ROW()-3,1,0))</f>
        <v>0</v>
      </c>
      <c r="C1228" s="1" t="n">
        <f aca="false">N(C1227)+B1228</f>
        <v>16</v>
      </c>
      <c r="K1228" s="1" t="n">
        <f aca="false">IF(OR($K$1="",对接源_02物料!$C28="",对接源_02物料!$C28&lt;&gt;$K$1,对接源_02物料!$B28=""),0,IF(OR(N(对接源_02物料!$B28)&lt;$K$2,N(对接源_02物料!$B28)&gt;$K$3),0,1))</f>
        <v>0</v>
      </c>
      <c r="L1228" s="1" t="n">
        <f aca="false">IF(OR($L$1="",对接源_02物料!$C28="",对接源_02物料!$C28&lt;&gt;$L$1,对接源_02物料!$B28=""),0,IF(OR(N(对接源_02物料!$B28)&lt;$L$2,N(对接源_02物料!$B28)&gt;$L$3),0,1))</f>
        <v>0</v>
      </c>
      <c r="M1228" s="1" t="n">
        <f aca="false">IF(OR($M$1="",对接源_02物料!$C28="",对接源_02物料!$C28&lt;&gt;$M$1,对接源_02物料!$B28=""),0,IF(OR(N(对接源_02物料!$B28)&lt;$M$2,N(对接源_02物料!$B28)&gt;$M$3),0,1))</f>
        <v>0</v>
      </c>
      <c r="N1228" s="1" t="n">
        <f aca="false">IF(OR($N$1="",对接源_02物料!$C28="",对接源_02物料!$C28&lt;&gt;$N$1,对接源_02物料!$B28=""),0,IF(OR(N(对接源_02物料!$B28)&lt;$N$2,N(对接源_02物料!$B28)&gt;$N$3),0,1))</f>
        <v>1</v>
      </c>
      <c r="P1228" s="1" t="n">
        <f aca="false">IF(AND($K1228=1,AND(对接源_02物料!$X28="公司筐",N(对接源_02物料!$T28)&lt;&gt;0)),1,0)</f>
        <v>0</v>
      </c>
      <c r="Q1228" s="1" t="n">
        <f aca="false">N(Q1227)+$P1228</f>
        <v>3</v>
      </c>
      <c r="R1228" s="1" t="n">
        <f aca="false">IF(AND($K1228=1,AND(对接源_02物料!$X28="公司筐",N(对接源_02物料!$U28)&lt;&gt;0)),1,0)</f>
        <v>0</v>
      </c>
      <c r="S1228" s="1" t="n">
        <f aca="false">N(S1227)+$R1228</f>
        <v>0</v>
      </c>
      <c r="T1228" s="1" t="n">
        <f aca="false">IF(AND($K1228=1,AND(对接源_02物料!$X28="公司筐",N(对接源_02物料!$V28)&lt;&gt;0)),1,0)</f>
        <v>0</v>
      </c>
      <c r="U1228" s="1" t="n">
        <f aca="false">N(U1227)+$T1228</f>
        <v>28</v>
      </c>
      <c r="V1228" s="1" t="n">
        <f aca="false">IF(AND($L1228=1,AND(对接源_02物料!$X28="自备筐",N(对接源_02物料!$V28)&lt;&gt;0)),1,0)</f>
        <v>0</v>
      </c>
      <c r="W1228" s="1" t="n">
        <f aca="false">N(W1227)+$V1228</f>
        <v>7</v>
      </c>
      <c r="X1228" s="1" t="n">
        <f aca="false">IF(AND($L1228=1,AND(对接源_02物料!$X28="自备筐",N(对接源_02物料!$T28)&lt;&gt;0)),1,0)</f>
        <v>0</v>
      </c>
      <c r="Y1228" s="1" t="n">
        <f aca="false">N(Y1227)+$X1228</f>
        <v>0</v>
      </c>
      <c r="Z1228" s="1" t="n">
        <f aca="false">IF(AND($M1228=1,对接源_02物料!$D28="原料入库"),1,0)</f>
        <v>0</v>
      </c>
      <c r="AA1228" s="1" t="n">
        <f aca="false">N(AA1227)+$Z1228</f>
        <v>30</v>
      </c>
      <c r="AB1228" s="1" t="n">
        <f aca="false">IF(AND($M1228=1,LEFT(对接源_02物料!$D28,4)="原料出库"),1,0)</f>
        <v>0</v>
      </c>
      <c r="AC1228" s="1" t="n">
        <f aca="false">N(AC1227)+$AB1228</f>
        <v>19</v>
      </c>
      <c r="AD1228" s="1" t="n">
        <f aca="false">IF(AND($M1228=1,LEFT(对接源_02物料!$D28,4)="成品出库"),1,0)</f>
        <v>0</v>
      </c>
      <c r="AE1228" s="1" t="n">
        <f aca="false">N(AE1227)+$AD1228</f>
        <v>38</v>
      </c>
      <c r="AF1228" s="1" t="n">
        <f aca="false">IF(AND($N1228=1,AND(LEFT(对接源_02物料!$D28,4)="包装物料",N(对接源_02物料!$K28)&lt;&gt;0)),1,0)</f>
        <v>1</v>
      </c>
      <c r="AG1228" s="1" t="n">
        <f aca="false">N(AG1227)+$AF1228</f>
        <v>4</v>
      </c>
      <c r="AH1228" s="1" t="n">
        <f aca="false">IF(AND($N1228=1,AND(LEFT(对接源_02物料!$D28,3)="周转筐",N(对接源_02物料!$K28)&lt;&gt;0)),1,0)</f>
        <v>0</v>
      </c>
      <c r="AI1228" s="1" t="n">
        <f aca="false">N(AI1227)+$AH1228</f>
        <v>0</v>
      </c>
      <c r="AJ1228" s="1" t="n">
        <v>0</v>
      </c>
      <c r="AK1228" s="1" t="n">
        <f aca="false">N(AK1227)+$AJ1228</f>
        <v>3672</v>
      </c>
    </row>
    <row r="1229" customFormat="false" ht="13.5" hidden="false" customHeight="false" outlineLevel="0" collapsed="false">
      <c r="A1229" s="1" t="str">
        <f aca="false">IF(对接源_02物料!$C29="","",对接源_02物料!$C29)</f>
        <v>新顺发泡网</v>
      </c>
      <c r="B1229" s="1" t="n">
        <f aca="false">IF(A1229="",0,IF(MATCH(A1229,$A$4:$A$2403,0)=ROW()-3,1,0))</f>
        <v>0</v>
      </c>
      <c r="C1229" s="1" t="n">
        <f aca="false">N(C1228)+B1229</f>
        <v>16</v>
      </c>
      <c r="K1229" s="1" t="n">
        <f aca="false">IF(OR($K$1="",对接源_02物料!$C29="",对接源_02物料!$C29&lt;&gt;$K$1,对接源_02物料!$B29=""),0,IF(OR(N(对接源_02物料!$B29)&lt;$K$2,N(对接源_02物料!$B29)&gt;$K$3),0,1))</f>
        <v>0</v>
      </c>
      <c r="L1229" s="1" t="n">
        <f aca="false">IF(OR($L$1="",对接源_02物料!$C29="",对接源_02物料!$C29&lt;&gt;$L$1,对接源_02物料!$B29=""),0,IF(OR(N(对接源_02物料!$B29)&lt;$L$2,N(对接源_02物料!$B29)&gt;$L$3),0,1))</f>
        <v>0</v>
      </c>
      <c r="M1229" s="1" t="n">
        <f aca="false">IF(OR($M$1="",对接源_02物料!$C29="",对接源_02物料!$C29&lt;&gt;$M$1,对接源_02物料!$B29=""),0,IF(OR(N(对接源_02物料!$B29)&lt;$M$2,N(对接源_02物料!$B29)&gt;$M$3),0,1))</f>
        <v>0</v>
      </c>
      <c r="N1229" s="1" t="n">
        <f aca="false">IF(OR($N$1="",对接源_02物料!$C29="",对接源_02物料!$C29&lt;&gt;$N$1,对接源_02物料!$B29=""),0,IF(OR(N(对接源_02物料!$B29)&lt;$N$2,N(对接源_02物料!$B29)&gt;$N$3),0,1))</f>
        <v>0</v>
      </c>
      <c r="P1229" s="1" t="n">
        <f aca="false">IF(AND($K1229=1,AND(对接源_02物料!$X29="公司筐",N(对接源_02物料!$T29)&lt;&gt;0)),1,0)</f>
        <v>0</v>
      </c>
      <c r="Q1229" s="1" t="n">
        <f aca="false">N(Q1228)+$P1229</f>
        <v>3</v>
      </c>
      <c r="R1229" s="1" t="n">
        <f aca="false">IF(AND($K1229=1,AND(对接源_02物料!$X29="公司筐",N(对接源_02物料!$U29)&lt;&gt;0)),1,0)</f>
        <v>0</v>
      </c>
      <c r="S1229" s="1" t="n">
        <f aca="false">N(S1228)+$R1229</f>
        <v>0</v>
      </c>
      <c r="T1229" s="1" t="n">
        <f aca="false">IF(AND($K1229=1,AND(对接源_02物料!$X29="公司筐",N(对接源_02物料!$V29)&lt;&gt;0)),1,0)</f>
        <v>0</v>
      </c>
      <c r="U1229" s="1" t="n">
        <f aca="false">N(U1228)+$T1229</f>
        <v>28</v>
      </c>
      <c r="V1229" s="1" t="n">
        <f aca="false">IF(AND($L1229=1,AND(对接源_02物料!$X29="自备筐",N(对接源_02物料!$V29)&lt;&gt;0)),1,0)</f>
        <v>0</v>
      </c>
      <c r="W1229" s="1" t="n">
        <f aca="false">N(W1228)+$V1229</f>
        <v>7</v>
      </c>
      <c r="X1229" s="1" t="n">
        <f aca="false">IF(AND($L1229=1,AND(对接源_02物料!$X29="自备筐",N(对接源_02物料!$T29)&lt;&gt;0)),1,0)</f>
        <v>0</v>
      </c>
      <c r="Y1229" s="1" t="n">
        <f aca="false">N(Y1228)+$X1229</f>
        <v>0</v>
      </c>
      <c r="Z1229" s="1" t="n">
        <f aca="false">IF(AND($M1229=1,对接源_02物料!$D29="原料入库"),1,0)</f>
        <v>0</v>
      </c>
      <c r="AA1229" s="1" t="n">
        <f aca="false">N(AA1228)+$Z1229</f>
        <v>30</v>
      </c>
      <c r="AB1229" s="1" t="n">
        <f aca="false">IF(AND($M1229=1,LEFT(对接源_02物料!$D29,4)="原料出库"),1,0)</f>
        <v>0</v>
      </c>
      <c r="AC1229" s="1" t="n">
        <f aca="false">N(AC1228)+$AB1229</f>
        <v>19</v>
      </c>
      <c r="AD1229" s="1" t="n">
        <f aca="false">IF(AND($M1229=1,LEFT(对接源_02物料!$D29,4)="成品出库"),1,0)</f>
        <v>0</v>
      </c>
      <c r="AE1229" s="1" t="n">
        <f aca="false">N(AE1228)+$AD1229</f>
        <v>38</v>
      </c>
      <c r="AF1229" s="1" t="n">
        <f aca="false">IF(AND($N1229=1,AND(LEFT(对接源_02物料!$D29,4)="包装物料",N(对接源_02物料!$K29)&lt;&gt;0)),1,0)</f>
        <v>0</v>
      </c>
      <c r="AG1229" s="1" t="n">
        <f aca="false">N(AG1228)+$AF1229</f>
        <v>4</v>
      </c>
      <c r="AH1229" s="1" t="n">
        <f aca="false">IF(AND($N1229=1,AND(LEFT(对接源_02物料!$D29,3)="周转筐",N(对接源_02物料!$K29)&lt;&gt;0)),1,0)</f>
        <v>0</v>
      </c>
      <c r="AI1229" s="1" t="n">
        <f aca="false">N(AI1228)+$AH1229</f>
        <v>0</v>
      </c>
      <c r="AJ1229" s="1" t="n">
        <v>0</v>
      </c>
      <c r="AK1229" s="1" t="n">
        <f aca="false">N(AK1228)+$AJ1229</f>
        <v>3672</v>
      </c>
    </row>
    <row r="1230" customFormat="false" ht="13.5" hidden="false" customHeight="false" outlineLevel="0" collapsed="false">
      <c r="A1230" s="1" t="str">
        <f aca="false">IF(对接源_02物料!$C30="","",对接源_02物料!$C30)</f>
        <v>麦麦提</v>
      </c>
      <c r="B1230" s="1" t="n">
        <f aca="false">IF(A1230="",0,IF(MATCH(A1230,$A$4:$A$2403,0)=ROW()-3,1,0))</f>
        <v>0</v>
      </c>
      <c r="C1230" s="1" t="n">
        <f aca="false">N(C1229)+B1230</f>
        <v>16</v>
      </c>
      <c r="K1230" s="1" t="n">
        <f aca="false">IF(OR($K$1="",对接源_02物料!$C30="",对接源_02物料!$C30&lt;&gt;$K$1,对接源_02物料!$B30=""),0,IF(OR(N(对接源_02物料!$B30)&lt;$K$2,N(对接源_02物料!$B30)&gt;$K$3),0,1))</f>
        <v>0</v>
      </c>
      <c r="L1230" s="1" t="n">
        <f aca="false">IF(OR($L$1="",对接源_02物料!$C30="",对接源_02物料!$C30&lt;&gt;$L$1,对接源_02物料!$B30=""),0,IF(OR(N(对接源_02物料!$B30)&lt;$L$2,N(对接源_02物料!$B30)&gt;$L$3),0,1))</f>
        <v>0</v>
      </c>
      <c r="M1230" s="1" t="n">
        <f aca="false">IF(OR($M$1="",对接源_02物料!$C30="",对接源_02物料!$C30&lt;&gt;$M$1,对接源_02物料!$B30=""),0,IF(OR(N(对接源_02物料!$B30)&lt;$M$2,N(对接源_02物料!$B30)&gt;$M$3),0,1))</f>
        <v>0</v>
      </c>
      <c r="N1230" s="1" t="n">
        <f aca="false">IF(OR($N$1="",对接源_02物料!$C30="",对接源_02物料!$C30&lt;&gt;$N$1,对接源_02物料!$B30=""),0,IF(OR(N(对接源_02物料!$B30)&lt;$N$2,N(对接源_02物料!$B30)&gt;$N$3),0,1))</f>
        <v>1</v>
      </c>
      <c r="P1230" s="1" t="n">
        <f aca="false">IF(AND($K1230=1,AND(对接源_02物料!$X30="公司筐",N(对接源_02物料!$T30)&lt;&gt;0)),1,0)</f>
        <v>0</v>
      </c>
      <c r="Q1230" s="1" t="n">
        <f aca="false">N(Q1229)+$P1230</f>
        <v>3</v>
      </c>
      <c r="R1230" s="1" t="n">
        <f aca="false">IF(AND($K1230=1,AND(对接源_02物料!$X30="公司筐",N(对接源_02物料!$U30)&lt;&gt;0)),1,0)</f>
        <v>0</v>
      </c>
      <c r="S1230" s="1" t="n">
        <f aca="false">N(S1229)+$R1230</f>
        <v>0</v>
      </c>
      <c r="T1230" s="1" t="n">
        <f aca="false">IF(AND($K1230=1,AND(对接源_02物料!$X30="公司筐",N(对接源_02物料!$V30)&lt;&gt;0)),1,0)</f>
        <v>0</v>
      </c>
      <c r="U1230" s="1" t="n">
        <f aca="false">N(U1229)+$T1230</f>
        <v>28</v>
      </c>
      <c r="V1230" s="1" t="n">
        <f aca="false">IF(AND($L1230=1,AND(对接源_02物料!$X30="自备筐",N(对接源_02物料!$V30)&lt;&gt;0)),1,0)</f>
        <v>0</v>
      </c>
      <c r="W1230" s="1" t="n">
        <f aca="false">N(W1229)+$V1230</f>
        <v>7</v>
      </c>
      <c r="X1230" s="1" t="n">
        <f aca="false">IF(AND($L1230=1,AND(对接源_02物料!$X30="自备筐",N(对接源_02物料!$T30)&lt;&gt;0)),1,0)</f>
        <v>0</v>
      </c>
      <c r="Y1230" s="1" t="n">
        <f aca="false">N(Y1229)+$X1230</f>
        <v>0</v>
      </c>
      <c r="Z1230" s="1" t="n">
        <f aca="false">IF(AND($M1230=1,对接源_02物料!$D30="原料入库"),1,0)</f>
        <v>0</v>
      </c>
      <c r="AA1230" s="1" t="n">
        <f aca="false">N(AA1229)+$Z1230</f>
        <v>30</v>
      </c>
      <c r="AB1230" s="1" t="n">
        <f aca="false">IF(AND($M1230=1,LEFT(对接源_02物料!$D30,4)="原料出库"),1,0)</f>
        <v>0</v>
      </c>
      <c r="AC1230" s="1" t="n">
        <f aca="false">N(AC1229)+$AB1230</f>
        <v>19</v>
      </c>
      <c r="AD1230" s="1" t="n">
        <f aca="false">IF(AND($M1230=1,LEFT(对接源_02物料!$D30,4)="成品出库"),1,0)</f>
        <v>0</v>
      </c>
      <c r="AE1230" s="1" t="n">
        <f aca="false">N(AE1229)+$AD1230</f>
        <v>38</v>
      </c>
      <c r="AF1230" s="1" t="n">
        <f aca="false">IF(AND($N1230=1,AND(LEFT(对接源_02物料!$D30,4)="包装物料",N(对接源_02物料!$K30)&lt;&gt;0)),1,0)</f>
        <v>1</v>
      </c>
      <c r="AG1230" s="1" t="n">
        <f aca="false">N(AG1229)+$AF1230</f>
        <v>5</v>
      </c>
      <c r="AH1230" s="1" t="n">
        <f aca="false">IF(AND($N1230=1,AND(LEFT(对接源_02物料!$D30,3)="周转筐",N(对接源_02物料!$K30)&lt;&gt;0)),1,0)</f>
        <v>0</v>
      </c>
      <c r="AI1230" s="1" t="n">
        <f aca="false">N(AI1229)+$AH1230</f>
        <v>0</v>
      </c>
      <c r="AJ1230" s="1" t="n">
        <v>0</v>
      </c>
      <c r="AK1230" s="1" t="n">
        <f aca="false">N(AK1229)+$AJ1230</f>
        <v>3672</v>
      </c>
    </row>
    <row r="1231" customFormat="false" ht="13.5" hidden="false" customHeight="false" outlineLevel="0" collapsed="false">
      <c r="A1231" s="1" t="str">
        <f aca="false">IF(对接源_02物料!$C31="","",对接源_02物料!$C31)</f>
        <v>新顺发泡网</v>
      </c>
      <c r="B1231" s="1" t="n">
        <f aca="false">IF(A1231="",0,IF(MATCH(A1231,$A$4:$A$2403,0)=ROW()-3,1,0))</f>
        <v>0</v>
      </c>
      <c r="C1231" s="1" t="n">
        <f aca="false">N(C1230)+B1231</f>
        <v>16</v>
      </c>
      <c r="K1231" s="1" t="n">
        <f aca="false">IF(OR($K$1="",对接源_02物料!$C31="",对接源_02物料!$C31&lt;&gt;$K$1,对接源_02物料!$B31=""),0,IF(OR(N(对接源_02物料!$B31)&lt;$K$2,N(对接源_02物料!$B31)&gt;$K$3),0,1))</f>
        <v>0</v>
      </c>
      <c r="L1231" s="1" t="n">
        <f aca="false">IF(OR($L$1="",对接源_02物料!$C31="",对接源_02物料!$C31&lt;&gt;$L$1,对接源_02物料!$B31=""),0,IF(OR(N(对接源_02物料!$B31)&lt;$L$2,N(对接源_02物料!$B31)&gt;$L$3),0,1))</f>
        <v>0</v>
      </c>
      <c r="M1231" s="1" t="n">
        <f aca="false">IF(OR($M$1="",对接源_02物料!$C31="",对接源_02物料!$C31&lt;&gt;$M$1,对接源_02物料!$B31=""),0,IF(OR(N(对接源_02物料!$B31)&lt;$M$2,N(对接源_02物料!$B31)&gt;$M$3),0,1))</f>
        <v>0</v>
      </c>
      <c r="N1231" s="1" t="n">
        <f aca="false">IF(OR($N$1="",对接源_02物料!$C31="",对接源_02物料!$C31&lt;&gt;$N$1,对接源_02物料!$B31=""),0,IF(OR(N(对接源_02物料!$B31)&lt;$N$2,N(对接源_02物料!$B31)&gt;$N$3),0,1))</f>
        <v>0</v>
      </c>
      <c r="P1231" s="1" t="n">
        <f aca="false">IF(AND($K1231=1,AND(对接源_02物料!$X31="公司筐",N(对接源_02物料!$T31)&lt;&gt;0)),1,0)</f>
        <v>0</v>
      </c>
      <c r="Q1231" s="1" t="n">
        <f aca="false">N(Q1230)+$P1231</f>
        <v>3</v>
      </c>
      <c r="R1231" s="1" t="n">
        <f aca="false">IF(AND($K1231=1,AND(对接源_02物料!$X31="公司筐",N(对接源_02物料!$U31)&lt;&gt;0)),1,0)</f>
        <v>0</v>
      </c>
      <c r="S1231" s="1" t="n">
        <f aca="false">N(S1230)+$R1231</f>
        <v>0</v>
      </c>
      <c r="T1231" s="1" t="n">
        <f aca="false">IF(AND($K1231=1,AND(对接源_02物料!$X31="公司筐",N(对接源_02物料!$V31)&lt;&gt;0)),1,0)</f>
        <v>0</v>
      </c>
      <c r="U1231" s="1" t="n">
        <f aca="false">N(U1230)+$T1231</f>
        <v>28</v>
      </c>
      <c r="V1231" s="1" t="n">
        <f aca="false">IF(AND($L1231=1,AND(对接源_02物料!$X31="自备筐",N(对接源_02物料!$V31)&lt;&gt;0)),1,0)</f>
        <v>0</v>
      </c>
      <c r="W1231" s="1" t="n">
        <f aca="false">N(W1230)+$V1231</f>
        <v>7</v>
      </c>
      <c r="X1231" s="1" t="n">
        <f aca="false">IF(AND($L1231=1,AND(对接源_02物料!$X31="自备筐",N(对接源_02物料!$T31)&lt;&gt;0)),1,0)</f>
        <v>0</v>
      </c>
      <c r="Y1231" s="1" t="n">
        <f aca="false">N(Y1230)+$X1231</f>
        <v>0</v>
      </c>
      <c r="Z1231" s="1" t="n">
        <f aca="false">IF(AND($M1231=1,对接源_02物料!$D31="原料入库"),1,0)</f>
        <v>0</v>
      </c>
      <c r="AA1231" s="1" t="n">
        <f aca="false">N(AA1230)+$Z1231</f>
        <v>30</v>
      </c>
      <c r="AB1231" s="1" t="n">
        <f aca="false">IF(AND($M1231=1,LEFT(对接源_02物料!$D31,4)="原料出库"),1,0)</f>
        <v>0</v>
      </c>
      <c r="AC1231" s="1" t="n">
        <f aca="false">N(AC1230)+$AB1231</f>
        <v>19</v>
      </c>
      <c r="AD1231" s="1" t="n">
        <f aca="false">IF(AND($M1231=1,LEFT(对接源_02物料!$D31,4)="成品出库"),1,0)</f>
        <v>0</v>
      </c>
      <c r="AE1231" s="1" t="n">
        <f aca="false">N(AE1230)+$AD1231</f>
        <v>38</v>
      </c>
      <c r="AF1231" s="1" t="n">
        <f aca="false">IF(AND($N1231=1,AND(LEFT(对接源_02物料!$D31,4)="包装物料",N(对接源_02物料!$K31)&lt;&gt;0)),1,0)</f>
        <v>0</v>
      </c>
      <c r="AG1231" s="1" t="n">
        <f aca="false">N(AG1230)+$AF1231</f>
        <v>5</v>
      </c>
      <c r="AH1231" s="1" t="n">
        <f aca="false">IF(AND($N1231=1,AND(LEFT(对接源_02物料!$D31,3)="周转筐",N(对接源_02物料!$K31)&lt;&gt;0)),1,0)</f>
        <v>0</v>
      </c>
      <c r="AI1231" s="1" t="n">
        <f aca="false">N(AI1230)+$AH1231</f>
        <v>0</v>
      </c>
      <c r="AJ1231" s="1" t="n">
        <v>0</v>
      </c>
      <c r="AK1231" s="1" t="n">
        <f aca="false">N(AK1230)+$AJ1231</f>
        <v>3672</v>
      </c>
    </row>
    <row r="1232" customFormat="false" ht="13.5" hidden="false" customHeight="false" outlineLevel="0" collapsed="false">
      <c r="A1232" s="1" t="str">
        <f aca="false">IF(对接源_02物料!$C32="","",对接源_02物料!$C32)</f>
        <v>吐尔洪</v>
      </c>
      <c r="B1232" s="1" t="n">
        <f aca="false">IF(A1232="",0,IF(MATCH(A1232,$A$4:$A$2403,0)=ROW()-3,1,0))</f>
        <v>0</v>
      </c>
      <c r="C1232" s="1" t="n">
        <f aca="false">N(C1231)+B1232</f>
        <v>16</v>
      </c>
      <c r="K1232" s="1" t="n">
        <f aca="false">IF(OR($K$1="",对接源_02物料!$C32="",对接源_02物料!$C32&lt;&gt;$K$1,对接源_02物料!$B32=""),0,IF(OR(N(对接源_02物料!$B32)&lt;$K$2,N(对接源_02物料!$B32)&gt;$K$3),0,1))</f>
        <v>0</v>
      </c>
      <c r="L1232" s="1" t="n">
        <f aca="false">IF(OR($L$1="",对接源_02物料!$C32="",对接源_02物料!$C32&lt;&gt;$L$1,对接源_02物料!$B32=""),0,IF(OR(N(对接源_02物料!$B32)&lt;$L$2,N(对接源_02物料!$B32)&gt;$L$3),0,1))</f>
        <v>0</v>
      </c>
      <c r="M1232" s="1" t="n">
        <f aca="false">IF(OR($M$1="",对接源_02物料!$C32="",对接源_02物料!$C32&lt;&gt;$M$1,对接源_02物料!$B32=""),0,IF(OR(N(对接源_02物料!$B32)&lt;$M$2,N(对接源_02物料!$B32)&gt;$M$3),0,1))</f>
        <v>0</v>
      </c>
      <c r="N1232" s="1" t="n">
        <f aca="false">IF(OR($N$1="",对接源_02物料!$C32="",对接源_02物料!$C32&lt;&gt;$N$1,对接源_02物料!$B32=""),0,IF(OR(N(对接源_02物料!$B32)&lt;$N$2,N(对接源_02物料!$B32)&gt;$N$3),0,1))</f>
        <v>0</v>
      </c>
      <c r="P1232" s="1" t="n">
        <f aca="false">IF(AND($K1232=1,AND(对接源_02物料!$X32="公司筐",N(对接源_02物料!$T32)&lt;&gt;0)),1,0)</f>
        <v>0</v>
      </c>
      <c r="Q1232" s="1" t="n">
        <f aca="false">N(Q1231)+$P1232</f>
        <v>3</v>
      </c>
      <c r="R1232" s="1" t="n">
        <f aca="false">IF(AND($K1232=1,AND(对接源_02物料!$X32="公司筐",N(对接源_02物料!$U32)&lt;&gt;0)),1,0)</f>
        <v>0</v>
      </c>
      <c r="S1232" s="1" t="n">
        <f aca="false">N(S1231)+$R1232</f>
        <v>0</v>
      </c>
      <c r="T1232" s="1" t="n">
        <f aca="false">IF(AND($K1232=1,AND(对接源_02物料!$X32="公司筐",N(对接源_02物料!$V32)&lt;&gt;0)),1,0)</f>
        <v>0</v>
      </c>
      <c r="U1232" s="1" t="n">
        <f aca="false">N(U1231)+$T1232</f>
        <v>28</v>
      </c>
      <c r="V1232" s="1" t="n">
        <f aca="false">IF(AND($L1232=1,AND(对接源_02物料!$X32="自备筐",N(对接源_02物料!$V32)&lt;&gt;0)),1,0)</f>
        <v>0</v>
      </c>
      <c r="W1232" s="1" t="n">
        <f aca="false">N(W1231)+$V1232</f>
        <v>7</v>
      </c>
      <c r="X1232" s="1" t="n">
        <f aca="false">IF(AND($L1232=1,AND(对接源_02物料!$X32="自备筐",N(对接源_02物料!$T32)&lt;&gt;0)),1,0)</f>
        <v>0</v>
      </c>
      <c r="Y1232" s="1" t="n">
        <f aca="false">N(Y1231)+$X1232</f>
        <v>0</v>
      </c>
      <c r="Z1232" s="1" t="n">
        <f aca="false">IF(AND($M1232=1,对接源_02物料!$D32="原料入库"),1,0)</f>
        <v>0</v>
      </c>
      <c r="AA1232" s="1" t="n">
        <f aca="false">N(AA1231)+$Z1232</f>
        <v>30</v>
      </c>
      <c r="AB1232" s="1" t="n">
        <f aca="false">IF(AND($M1232=1,LEFT(对接源_02物料!$D32,4)="原料出库"),1,0)</f>
        <v>0</v>
      </c>
      <c r="AC1232" s="1" t="n">
        <f aca="false">N(AC1231)+$AB1232</f>
        <v>19</v>
      </c>
      <c r="AD1232" s="1" t="n">
        <f aca="false">IF(AND($M1232=1,LEFT(对接源_02物料!$D32,4)="成品出库"),1,0)</f>
        <v>0</v>
      </c>
      <c r="AE1232" s="1" t="n">
        <f aca="false">N(AE1231)+$AD1232</f>
        <v>38</v>
      </c>
      <c r="AF1232" s="1" t="n">
        <f aca="false">IF(AND($N1232=1,AND(LEFT(对接源_02物料!$D32,4)="包装物料",N(对接源_02物料!$K32)&lt;&gt;0)),1,0)</f>
        <v>0</v>
      </c>
      <c r="AG1232" s="1" t="n">
        <f aca="false">N(AG1231)+$AF1232</f>
        <v>5</v>
      </c>
      <c r="AH1232" s="1" t="n">
        <f aca="false">IF(AND($N1232=1,AND(LEFT(对接源_02物料!$D32,3)="周转筐",N(对接源_02物料!$K32)&lt;&gt;0)),1,0)</f>
        <v>0</v>
      </c>
      <c r="AI1232" s="1" t="n">
        <f aca="false">N(AI1231)+$AH1232</f>
        <v>0</v>
      </c>
      <c r="AJ1232" s="1" t="n">
        <v>0</v>
      </c>
      <c r="AK1232" s="1" t="n">
        <f aca="false">N(AK1231)+$AJ1232</f>
        <v>3672</v>
      </c>
    </row>
    <row r="1233" customFormat="false" ht="13.5" hidden="false" customHeight="false" outlineLevel="0" collapsed="false">
      <c r="A1233" s="1" t="str">
        <f aca="false">IF(对接源_02物料!$C33="","",对接源_02物料!$C33)</f>
        <v>热合曼</v>
      </c>
      <c r="B1233" s="1" t="n">
        <f aca="false">IF(A1233="",0,IF(MATCH(A1233,$A$4:$A$2403,0)=ROW()-3,1,0))</f>
        <v>0</v>
      </c>
      <c r="C1233" s="1" t="n">
        <f aca="false">N(C1232)+B1233</f>
        <v>16</v>
      </c>
      <c r="K1233" s="1" t="n">
        <f aca="false">IF(OR($K$1="",对接源_02物料!$C33="",对接源_02物料!$C33&lt;&gt;$K$1,对接源_02物料!$B33=""),0,IF(OR(N(对接源_02物料!$B33)&lt;$K$2,N(对接源_02物料!$B33)&gt;$K$3),0,1))</f>
        <v>0</v>
      </c>
      <c r="L1233" s="1" t="n">
        <f aca="false">IF(OR($L$1="",对接源_02物料!$C33="",对接源_02物料!$C33&lt;&gt;$L$1,对接源_02物料!$B33=""),0,IF(OR(N(对接源_02物料!$B33)&lt;$L$2,N(对接源_02物料!$B33)&gt;$L$3),0,1))</f>
        <v>0</v>
      </c>
      <c r="M1233" s="1" t="n">
        <f aca="false">IF(OR($M$1="",对接源_02物料!$C33="",对接源_02物料!$C33&lt;&gt;$M$1,对接源_02物料!$B33=""),0,IF(OR(N(对接源_02物料!$B33)&lt;$M$2,N(对接源_02物料!$B33)&gt;$M$3),0,1))</f>
        <v>0</v>
      </c>
      <c r="N1233" s="1" t="n">
        <f aca="false">IF(OR($N$1="",对接源_02物料!$C33="",对接源_02物料!$C33&lt;&gt;$N$1,对接源_02物料!$B33=""),0,IF(OR(N(对接源_02物料!$B33)&lt;$N$2,N(对接源_02物料!$B33)&gt;$N$3),0,1))</f>
        <v>0</v>
      </c>
      <c r="P1233" s="1" t="n">
        <f aca="false">IF(AND($K1233=1,AND(对接源_02物料!$X33="公司筐",N(对接源_02物料!$T33)&lt;&gt;0)),1,0)</f>
        <v>0</v>
      </c>
      <c r="Q1233" s="1" t="n">
        <f aca="false">N(Q1232)+$P1233</f>
        <v>3</v>
      </c>
      <c r="R1233" s="1" t="n">
        <f aca="false">IF(AND($K1233=1,AND(对接源_02物料!$X33="公司筐",N(对接源_02物料!$U33)&lt;&gt;0)),1,0)</f>
        <v>0</v>
      </c>
      <c r="S1233" s="1" t="n">
        <f aca="false">N(S1232)+$R1233</f>
        <v>0</v>
      </c>
      <c r="T1233" s="1" t="n">
        <f aca="false">IF(AND($K1233=1,AND(对接源_02物料!$X33="公司筐",N(对接源_02物料!$V33)&lt;&gt;0)),1,0)</f>
        <v>0</v>
      </c>
      <c r="U1233" s="1" t="n">
        <f aca="false">N(U1232)+$T1233</f>
        <v>28</v>
      </c>
      <c r="V1233" s="1" t="n">
        <f aca="false">IF(AND($L1233=1,AND(对接源_02物料!$X33="自备筐",N(对接源_02物料!$V33)&lt;&gt;0)),1,0)</f>
        <v>0</v>
      </c>
      <c r="W1233" s="1" t="n">
        <f aca="false">N(W1232)+$V1233</f>
        <v>7</v>
      </c>
      <c r="X1233" s="1" t="n">
        <f aca="false">IF(AND($L1233=1,AND(对接源_02物料!$X33="自备筐",N(对接源_02物料!$T33)&lt;&gt;0)),1,0)</f>
        <v>0</v>
      </c>
      <c r="Y1233" s="1" t="n">
        <f aca="false">N(Y1232)+$X1233</f>
        <v>0</v>
      </c>
      <c r="Z1233" s="1" t="n">
        <f aca="false">IF(AND($M1233=1,对接源_02物料!$D33="原料入库"),1,0)</f>
        <v>0</v>
      </c>
      <c r="AA1233" s="1" t="n">
        <f aca="false">N(AA1232)+$Z1233</f>
        <v>30</v>
      </c>
      <c r="AB1233" s="1" t="n">
        <f aca="false">IF(AND($M1233=1,LEFT(对接源_02物料!$D33,4)="原料出库"),1,0)</f>
        <v>0</v>
      </c>
      <c r="AC1233" s="1" t="n">
        <f aca="false">N(AC1232)+$AB1233</f>
        <v>19</v>
      </c>
      <c r="AD1233" s="1" t="n">
        <f aca="false">IF(AND($M1233=1,LEFT(对接源_02物料!$D33,4)="成品出库"),1,0)</f>
        <v>0</v>
      </c>
      <c r="AE1233" s="1" t="n">
        <f aca="false">N(AE1232)+$AD1233</f>
        <v>38</v>
      </c>
      <c r="AF1233" s="1" t="n">
        <f aca="false">IF(AND($N1233=1,AND(LEFT(对接源_02物料!$D33,4)="包装物料",N(对接源_02物料!$K33)&lt;&gt;0)),1,0)</f>
        <v>0</v>
      </c>
      <c r="AG1233" s="1" t="n">
        <f aca="false">N(AG1232)+$AF1233</f>
        <v>5</v>
      </c>
      <c r="AH1233" s="1" t="n">
        <f aca="false">IF(AND($N1233=1,AND(LEFT(对接源_02物料!$D33,3)="周转筐",N(对接源_02物料!$K33)&lt;&gt;0)),1,0)</f>
        <v>0</v>
      </c>
      <c r="AI1233" s="1" t="n">
        <f aca="false">N(AI1232)+$AH1233</f>
        <v>0</v>
      </c>
      <c r="AJ1233" s="1" t="n">
        <v>0</v>
      </c>
      <c r="AK1233" s="1" t="n">
        <f aca="false">N(AK1232)+$AJ1233</f>
        <v>3672</v>
      </c>
    </row>
    <row r="1234" customFormat="false" ht="13.5" hidden="false" customHeight="false" outlineLevel="0" collapsed="false">
      <c r="A1234" s="1" t="str">
        <f aca="false">IF(对接源_02物料!$C34="","",对接源_02物料!$C34)</f>
        <v>吐尔洪</v>
      </c>
      <c r="B1234" s="1" t="n">
        <f aca="false">IF(A1234="",0,IF(MATCH(A1234,$A$4:$A$2403,0)=ROW()-3,1,0))</f>
        <v>0</v>
      </c>
      <c r="C1234" s="1" t="n">
        <f aca="false">N(C1233)+B1234</f>
        <v>16</v>
      </c>
      <c r="K1234" s="1" t="n">
        <f aca="false">IF(OR($K$1="",对接源_02物料!$C34="",对接源_02物料!$C34&lt;&gt;$K$1,对接源_02物料!$B34=""),0,IF(OR(N(对接源_02物料!$B34)&lt;$K$2,N(对接源_02物料!$B34)&gt;$K$3),0,1))</f>
        <v>0</v>
      </c>
      <c r="L1234" s="1" t="n">
        <f aca="false">IF(OR($L$1="",对接源_02物料!$C34="",对接源_02物料!$C34&lt;&gt;$L$1,对接源_02物料!$B34=""),0,IF(OR(N(对接源_02物料!$B34)&lt;$L$2,N(对接源_02物料!$B34)&gt;$L$3),0,1))</f>
        <v>0</v>
      </c>
      <c r="M1234" s="1" t="n">
        <f aca="false">IF(OR($M$1="",对接源_02物料!$C34="",对接源_02物料!$C34&lt;&gt;$M$1,对接源_02物料!$B34=""),0,IF(OR(N(对接源_02物料!$B34)&lt;$M$2,N(对接源_02物料!$B34)&gt;$M$3),0,1))</f>
        <v>0</v>
      </c>
      <c r="N1234" s="1" t="n">
        <f aca="false">IF(OR($N$1="",对接源_02物料!$C34="",对接源_02物料!$C34&lt;&gt;$N$1,对接源_02物料!$B34=""),0,IF(OR(N(对接源_02物料!$B34)&lt;$N$2,N(对接源_02物料!$B34)&gt;$N$3),0,1))</f>
        <v>0</v>
      </c>
      <c r="P1234" s="1" t="n">
        <f aca="false">IF(AND($K1234=1,AND(对接源_02物料!$X34="公司筐",N(对接源_02物料!$T34)&lt;&gt;0)),1,0)</f>
        <v>0</v>
      </c>
      <c r="Q1234" s="1" t="n">
        <f aca="false">N(Q1233)+$P1234</f>
        <v>3</v>
      </c>
      <c r="R1234" s="1" t="n">
        <f aca="false">IF(AND($K1234=1,AND(对接源_02物料!$X34="公司筐",N(对接源_02物料!$U34)&lt;&gt;0)),1,0)</f>
        <v>0</v>
      </c>
      <c r="S1234" s="1" t="n">
        <f aca="false">N(S1233)+$R1234</f>
        <v>0</v>
      </c>
      <c r="T1234" s="1" t="n">
        <f aca="false">IF(AND($K1234=1,AND(对接源_02物料!$X34="公司筐",N(对接源_02物料!$V34)&lt;&gt;0)),1,0)</f>
        <v>0</v>
      </c>
      <c r="U1234" s="1" t="n">
        <f aca="false">N(U1233)+$T1234</f>
        <v>28</v>
      </c>
      <c r="V1234" s="1" t="n">
        <f aca="false">IF(AND($L1234=1,AND(对接源_02物料!$X34="自备筐",N(对接源_02物料!$V34)&lt;&gt;0)),1,0)</f>
        <v>0</v>
      </c>
      <c r="W1234" s="1" t="n">
        <f aca="false">N(W1233)+$V1234</f>
        <v>7</v>
      </c>
      <c r="X1234" s="1" t="n">
        <f aca="false">IF(AND($L1234=1,AND(对接源_02物料!$X34="自备筐",N(对接源_02物料!$T34)&lt;&gt;0)),1,0)</f>
        <v>0</v>
      </c>
      <c r="Y1234" s="1" t="n">
        <f aca="false">N(Y1233)+$X1234</f>
        <v>0</v>
      </c>
      <c r="Z1234" s="1" t="n">
        <f aca="false">IF(AND($M1234=1,对接源_02物料!$D34="原料入库"),1,0)</f>
        <v>0</v>
      </c>
      <c r="AA1234" s="1" t="n">
        <f aca="false">N(AA1233)+$Z1234</f>
        <v>30</v>
      </c>
      <c r="AB1234" s="1" t="n">
        <f aca="false">IF(AND($M1234=1,LEFT(对接源_02物料!$D34,4)="原料出库"),1,0)</f>
        <v>0</v>
      </c>
      <c r="AC1234" s="1" t="n">
        <f aca="false">N(AC1233)+$AB1234</f>
        <v>19</v>
      </c>
      <c r="AD1234" s="1" t="n">
        <f aca="false">IF(AND($M1234=1,LEFT(对接源_02物料!$D34,4)="成品出库"),1,0)</f>
        <v>0</v>
      </c>
      <c r="AE1234" s="1" t="n">
        <f aca="false">N(AE1233)+$AD1234</f>
        <v>38</v>
      </c>
      <c r="AF1234" s="1" t="n">
        <f aca="false">IF(AND($N1234=1,AND(LEFT(对接源_02物料!$D34,4)="包装物料",N(对接源_02物料!$K34)&lt;&gt;0)),1,0)</f>
        <v>0</v>
      </c>
      <c r="AG1234" s="1" t="n">
        <f aca="false">N(AG1233)+$AF1234</f>
        <v>5</v>
      </c>
      <c r="AH1234" s="1" t="n">
        <f aca="false">IF(AND($N1234=1,AND(LEFT(对接源_02物料!$D34,3)="周转筐",N(对接源_02物料!$K34)&lt;&gt;0)),1,0)</f>
        <v>0</v>
      </c>
      <c r="AI1234" s="1" t="n">
        <f aca="false">N(AI1233)+$AH1234</f>
        <v>0</v>
      </c>
      <c r="AJ1234" s="1" t="n">
        <v>0</v>
      </c>
      <c r="AK1234" s="1" t="n">
        <f aca="false">N(AK1233)+$AJ1234</f>
        <v>3672</v>
      </c>
    </row>
    <row r="1235" customFormat="false" ht="13.5" hidden="false" customHeight="false" outlineLevel="0" collapsed="false">
      <c r="A1235" s="1" t="str">
        <f aca="false">IF(对接源_02物料!$C35="","",对接源_02物料!$C35)</f>
        <v>新顺发泡网</v>
      </c>
      <c r="B1235" s="1" t="n">
        <f aca="false">IF(A1235="",0,IF(MATCH(A1235,$A$4:$A$2403,0)=ROW()-3,1,0))</f>
        <v>0</v>
      </c>
      <c r="C1235" s="1" t="n">
        <f aca="false">N(C1234)+B1235</f>
        <v>16</v>
      </c>
      <c r="K1235" s="1" t="n">
        <f aca="false">IF(OR($K$1="",对接源_02物料!$C35="",对接源_02物料!$C35&lt;&gt;$K$1,对接源_02物料!$B35=""),0,IF(OR(N(对接源_02物料!$B35)&lt;$K$2,N(对接源_02物料!$B35)&gt;$K$3),0,1))</f>
        <v>0</v>
      </c>
      <c r="L1235" s="1" t="n">
        <f aca="false">IF(OR($L$1="",对接源_02物料!$C35="",对接源_02物料!$C35&lt;&gt;$L$1,对接源_02物料!$B35=""),0,IF(OR(N(对接源_02物料!$B35)&lt;$L$2,N(对接源_02物料!$B35)&gt;$L$3),0,1))</f>
        <v>0</v>
      </c>
      <c r="M1235" s="1" t="n">
        <f aca="false">IF(OR($M$1="",对接源_02物料!$C35="",对接源_02物料!$C35&lt;&gt;$M$1,对接源_02物料!$B35=""),0,IF(OR(N(对接源_02物料!$B35)&lt;$M$2,N(对接源_02物料!$B35)&gt;$M$3),0,1))</f>
        <v>0</v>
      </c>
      <c r="N1235" s="1" t="n">
        <f aca="false">IF(OR($N$1="",对接源_02物料!$C35="",对接源_02物料!$C35&lt;&gt;$N$1,对接源_02物料!$B35=""),0,IF(OR(N(对接源_02物料!$B35)&lt;$N$2,N(对接源_02物料!$B35)&gt;$N$3),0,1))</f>
        <v>0</v>
      </c>
      <c r="P1235" s="1" t="n">
        <f aca="false">IF(AND($K1235=1,AND(对接源_02物料!$X35="公司筐",N(对接源_02物料!$T35)&lt;&gt;0)),1,0)</f>
        <v>0</v>
      </c>
      <c r="Q1235" s="1" t="n">
        <f aca="false">N(Q1234)+$P1235</f>
        <v>3</v>
      </c>
      <c r="R1235" s="1" t="n">
        <f aca="false">IF(AND($K1235=1,AND(对接源_02物料!$X35="公司筐",N(对接源_02物料!$U35)&lt;&gt;0)),1,0)</f>
        <v>0</v>
      </c>
      <c r="S1235" s="1" t="n">
        <f aca="false">N(S1234)+$R1235</f>
        <v>0</v>
      </c>
      <c r="T1235" s="1" t="n">
        <f aca="false">IF(AND($K1235=1,AND(对接源_02物料!$X35="公司筐",N(对接源_02物料!$V35)&lt;&gt;0)),1,0)</f>
        <v>0</v>
      </c>
      <c r="U1235" s="1" t="n">
        <f aca="false">N(U1234)+$T1235</f>
        <v>28</v>
      </c>
      <c r="V1235" s="1" t="n">
        <f aca="false">IF(AND($L1235=1,AND(对接源_02物料!$X35="自备筐",N(对接源_02物料!$V35)&lt;&gt;0)),1,0)</f>
        <v>0</v>
      </c>
      <c r="W1235" s="1" t="n">
        <f aca="false">N(W1234)+$V1235</f>
        <v>7</v>
      </c>
      <c r="X1235" s="1" t="n">
        <f aca="false">IF(AND($L1235=1,AND(对接源_02物料!$X35="自备筐",N(对接源_02物料!$T35)&lt;&gt;0)),1,0)</f>
        <v>0</v>
      </c>
      <c r="Y1235" s="1" t="n">
        <f aca="false">N(Y1234)+$X1235</f>
        <v>0</v>
      </c>
      <c r="Z1235" s="1" t="n">
        <f aca="false">IF(AND($M1235=1,对接源_02物料!$D35="原料入库"),1,0)</f>
        <v>0</v>
      </c>
      <c r="AA1235" s="1" t="n">
        <f aca="false">N(AA1234)+$Z1235</f>
        <v>30</v>
      </c>
      <c r="AB1235" s="1" t="n">
        <f aca="false">IF(AND($M1235=1,LEFT(对接源_02物料!$D35,4)="原料出库"),1,0)</f>
        <v>0</v>
      </c>
      <c r="AC1235" s="1" t="n">
        <f aca="false">N(AC1234)+$AB1235</f>
        <v>19</v>
      </c>
      <c r="AD1235" s="1" t="n">
        <f aca="false">IF(AND($M1235=1,LEFT(对接源_02物料!$D35,4)="成品出库"),1,0)</f>
        <v>0</v>
      </c>
      <c r="AE1235" s="1" t="n">
        <f aca="false">N(AE1234)+$AD1235</f>
        <v>38</v>
      </c>
      <c r="AF1235" s="1" t="n">
        <f aca="false">IF(AND($N1235=1,AND(LEFT(对接源_02物料!$D35,4)="包装物料",N(对接源_02物料!$K35)&lt;&gt;0)),1,0)</f>
        <v>0</v>
      </c>
      <c r="AG1235" s="1" t="n">
        <f aca="false">N(AG1234)+$AF1235</f>
        <v>5</v>
      </c>
      <c r="AH1235" s="1" t="n">
        <f aca="false">IF(AND($N1235=1,AND(LEFT(对接源_02物料!$D35,3)="周转筐",N(对接源_02物料!$K35)&lt;&gt;0)),1,0)</f>
        <v>0</v>
      </c>
      <c r="AI1235" s="1" t="n">
        <f aca="false">N(AI1234)+$AH1235</f>
        <v>0</v>
      </c>
      <c r="AJ1235" s="1" t="n">
        <v>0</v>
      </c>
      <c r="AK1235" s="1" t="n">
        <f aca="false">N(AK1234)+$AJ1235</f>
        <v>3672</v>
      </c>
    </row>
    <row r="1236" customFormat="false" ht="13.5" hidden="false" customHeight="false" outlineLevel="0" collapsed="false">
      <c r="A1236" s="1" t="str">
        <f aca="false">IF(对接源_02物料!$C36="","",对接源_02物料!$C36)</f>
        <v>麦麦提</v>
      </c>
      <c r="B1236" s="1" t="n">
        <f aca="false">IF(A1236="",0,IF(MATCH(A1236,$A$4:$A$2403,0)=ROW()-3,1,0))</f>
        <v>0</v>
      </c>
      <c r="C1236" s="1" t="n">
        <f aca="false">N(C1235)+B1236</f>
        <v>16</v>
      </c>
      <c r="K1236" s="1" t="n">
        <f aca="false">IF(OR($K$1="",对接源_02物料!$C36="",对接源_02物料!$C36&lt;&gt;$K$1,对接源_02物料!$B36=""),0,IF(OR(N(对接源_02物料!$B36)&lt;$K$2,N(对接源_02物料!$B36)&gt;$K$3),0,1))</f>
        <v>0</v>
      </c>
      <c r="L1236" s="1" t="n">
        <f aca="false">IF(OR($L$1="",对接源_02物料!$C36="",对接源_02物料!$C36&lt;&gt;$L$1,对接源_02物料!$B36=""),0,IF(OR(N(对接源_02物料!$B36)&lt;$L$2,N(对接源_02物料!$B36)&gt;$L$3),0,1))</f>
        <v>0</v>
      </c>
      <c r="M1236" s="1" t="n">
        <f aca="false">IF(OR($M$1="",对接源_02物料!$C36="",对接源_02物料!$C36&lt;&gt;$M$1,对接源_02物料!$B36=""),0,IF(OR(N(对接源_02物料!$B36)&lt;$M$2,N(对接源_02物料!$B36)&gt;$M$3),0,1))</f>
        <v>0</v>
      </c>
      <c r="N1236" s="1" t="n">
        <f aca="false">IF(OR($N$1="",对接源_02物料!$C36="",对接源_02物料!$C36&lt;&gt;$N$1,对接源_02物料!$B36=""),0,IF(OR(N(对接源_02物料!$B36)&lt;$N$2,N(对接源_02物料!$B36)&gt;$N$3),0,1))</f>
        <v>1</v>
      </c>
      <c r="P1236" s="1" t="n">
        <f aca="false">IF(AND($K1236=1,AND(对接源_02物料!$X36="公司筐",N(对接源_02物料!$T36)&lt;&gt;0)),1,0)</f>
        <v>0</v>
      </c>
      <c r="Q1236" s="1" t="n">
        <f aca="false">N(Q1235)+$P1236</f>
        <v>3</v>
      </c>
      <c r="R1236" s="1" t="n">
        <f aca="false">IF(AND($K1236=1,AND(对接源_02物料!$X36="公司筐",N(对接源_02物料!$U36)&lt;&gt;0)),1,0)</f>
        <v>0</v>
      </c>
      <c r="S1236" s="1" t="n">
        <f aca="false">N(S1235)+$R1236</f>
        <v>0</v>
      </c>
      <c r="T1236" s="1" t="n">
        <f aca="false">IF(AND($K1236=1,AND(对接源_02物料!$X36="公司筐",N(对接源_02物料!$V36)&lt;&gt;0)),1,0)</f>
        <v>0</v>
      </c>
      <c r="U1236" s="1" t="n">
        <f aca="false">N(U1235)+$T1236</f>
        <v>28</v>
      </c>
      <c r="V1236" s="1" t="n">
        <f aca="false">IF(AND($L1236=1,AND(对接源_02物料!$X36="自备筐",N(对接源_02物料!$V36)&lt;&gt;0)),1,0)</f>
        <v>0</v>
      </c>
      <c r="W1236" s="1" t="n">
        <f aca="false">N(W1235)+$V1236</f>
        <v>7</v>
      </c>
      <c r="X1236" s="1" t="n">
        <f aca="false">IF(AND($L1236=1,AND(对接源_02物料!$X36="自备筐",N(对接源_02物料!$T36)&lt;&gt;0)),1,0)</f>
        <v>0</v>
      </c>
      <c r="Y1236" s="1" t="n">
        <f aca="false">N(Y1235)+$X1236</f>
        <v>0</v>
      </c>
      <c r="Z1236" s="1" t="n">
        <f aca="false">IF(AND($M1236=1,对接源_02物料!$D36="原料入库"),1,0)</f>
        <v>0</v>
      </c>
      <c r="AA1236" s="1" t="n">
        <f aca="false">N(AA1235)+$Z1236</f>
        <v>30</v>
      </c>
      <c r="AB1236" s="1" t="n">
        <f aca="false">IF(AND($M1236=1,LEFT(对接源_02物料!$D36,4)="原料出库"),1,0)</f>
        <v>0</v>
      </c>
      <c r="AC1236" s="1" t="n">
        <f aca="false">N(AC1235)+$AB1236</f>
        <v>19</v>
      </c>
      <c r="AD1236" s="1" t="n">
        <f aca="false">IF(AND($M1236=1,LEFT(对接源_02物料!$D36,4)="成品出库"),1,0)</f>
        <v>0</v>
      </c>
      <c r="AE1236" s="1" t="n">
        <f aca="false">N(AE1235)+$AD1236</f>
        <v>38</v>
      </c>
      <c r="AF1236" s="1" t="n">
        <f aca="false">IF(AND($N1236=1,AND(LEFT(对接源_02物料!$D36,4)="包装物料",N(对接源_02物料!$K36)&lt;&gt;0)),1,0)</f>
        <v>1</v>
      </c>
      <c r="AG1236" s="1" t="n">
        <f aca="false">N(AG1235)+$AF1236</f>
        <v>6</v>
      </c>
      <c r="AH1236" s="1" t="n">
        <f aca="false">IF(AND($N1236=1,AND(LEFT(对接源_02物料!$D36,3)="周转筐",N(对接源_02物料!$K36)&lt;&gt;0)),1,0)</f>
        <v>0</v>
      </c>
      <c r="AI1236" s="1" t="n">
        <f aca="false">N(AI1235)+$AH1236</f>
        <v>0</v>
      </c>
      <c r="AJ1236" s="1" t="n">
        <v>0</v>
      </c>
      <c r="AK1236" s="1" t="n">
        <f aca="false">N(AK1235)+$AJ1236</f>
        <v>3672</v>
      </c>
    </row>
    <row r="1237" customFormat="false" ht="13.5" hidden="false" customHeight="false" outlineLevel="0" collapsed="false">
      <c r="A1237" s="1" t="str">
        <f aca="false">IF(对接源_02物料!$C37="","",对接源_02物料!$C37)</f>
        <v>荆建君</v>
      </c>
      <c r="B1237" s="1" t="n">
        <f aca="false">IF(A1237="",0,IF(MATCH(A1237,$A$4:$A$2403,0)=ROW()-3,1,0))</f>
        <v>0</v>
      </c>
      <c r="C1237" s="1" t="n">
        <f aca="false">N(C1236)+B1237</f>
        <v>16</v>
      </c>
      <c r="K1237" s="1" t="n">
        <f aca="false">IF(OR($K$1="",对接源_02物料!$C37="",对接源_02物料!$C37&lt;&gt;$K$1,对接源_02物料!$B37=""),0,IF(OR(N(对接源_02物料!$B37)&lt;$K$2,N(对接源_02物料!$B37)&gt;$K$3),0,1))</f>
        <v>0</v>
      </c>
      <c r="L1237" s="1" t="n">
        <f aca="false">IF(OR($L$1="",对接源_02物料!$C37="",对接源_02物料!$C37&lt;&gt;$L$1,对接源_02物料!$B37=""),0,IF(OR(N(对接源_02物料!$B37)&lt;$L$2,N(对接源_02物料!$B37)&gt;$L$3),0,1))</f>
        <v>0</v>
      </c>
      <c r="M1237" s="1" t="n">
        <f aca="false">IF(OR($M$1="",对接源_02物料!$C37="",对接源_02物料!$C37&lt;&gt;$M$1,对接源_02物料!$B37=""),0,IF(OR(N(对接源_02物料!$B37)&lt;$M$2,N(对接源_02物料!$B37)&gt;$M$3),0,1))</f>
        <v>0</v>
      </c>
      <c r="N1237" s="1" t="n">
        <f aca="false">IF(OR($N$1="",对接源_02物料!$C37="",对接源_02物料!$C37&lt;&gt;$N$1,对接源_02物料!$B37=""),0,IF(OR(N(对接源_02物料!$B37)&lt;$N$2,N(对接源_02物料!$B37)&gt;$N$3),0,1))</f>
        <v>0</v>
      </c>
      <c r="P1237" s="1" t="n">
        <f aca="false">IF(AND($K1237=1,AND(对接源_02物料!$X37="公司筐",N(对接源_02物料!$T37)&lt;&gt;0)),1,0)</f>
        <v>0</v>
      </c>
      <c r="Q1237" s="1" t="n">
        <f aca="false">N(Q1236)+$P1237</f>
        <v>3</v>
      </c>
      <c r="R1237" s="1" t="n">
        <f aca="false">IF(AND($K1237=1,AND(对接源_02物料!$X37="公司筐",N(对接源_02物料!$U37)&lt;&gt;0)),1,0)</f>
        <v>0</v>
      </c>
      <c r="S1237" s="1" t="n">
        <f aca="false">N(S1236)+$R1237</f>
        <v>0</v>
      </c>
      <c r="T1237" s="1" t="n">
        <f aca="false">IF(AND($K1237=1,AND(对接源_02物料!$X37="公司筐",N(对接源_02物料!$V37)&lt;&gt;0)),1,0)</f>
        <v>0</v>
      </c>
      <c r="U1237" s="1" t="n">
        <f aca="false">N(U1236)+$T1237</f>
        <v>28</v>
      </c>
      <c r="V1237" s="1" t="n">
        <f aca="false">IF(AND($L1237=1,AND(对接源_02物料!$X37="自备筐",N(对接源_02物料!$V37)&lt;&gt;0)),1,0)</f>
        <v>0</v>
      </c>
      <c r="W1237" s="1" t="n">
        <f aca="false">N(W1236)+$V1237</f>
        <v>7</v>
      </c>
      <c r="X1237" s="1" t="n">
        <f aca="false">IF(AND($L1237=1,AND(对接源_02物料!$X37="自备筐",N(对接源_02物料!$T37)&lt;&gt;0)),1,0)</f>
        <v>0</v>
      </c>
      <c r="Y1237" s="1" t="n">
        <f aca="false">N(Y1236)+$X1237</f>
        <v>0</v>
      </c>
      <c r="Z1237" s="1" t="n">
        <f aca="false">IF(AND($M1237=1,对接源_02物料!$D37="原料入库"),1,0)</f>
        <v>0</v>
      </c>
      <c r="AA1237" s="1" t="n">
        <f aca="false">N(AA1236)+$Z1237</f>
        <v>30</v>
      </c>
      <c r="AB1237" s="1" t="n">
        <f aca="false">IF(AND($M1237=1,LEFT(对接源_02物料!$D37,4)="原料出库"),1,0)</f>
        <v>0</v>
      </c>
      <c r="AC1237" s="1" t="n">
        <f aca="false">N(AC1236)+$AB1237</f>
        <v>19</v>
      </c>
      <c r="AD1237" s="1" t="n">
        <f aca="false">IF(AND($M1237=1,LEFT(对接源_02物料!$D37,4)="成品出库"),1,0)</f>
        <v>0</v>
      </c>
      <c r="AE1237" s="1" t="n">
        <f aca="false">N(AE1236)+$AD1237</f>
        <v>38</v>
      </c>
      <c r="AF1237" s="1" t="n">
        <f aca="false">IF(AND($N1237=1,AND(LEFT(对接源_02物料!$D37,4)="包装物料",N(对接源_02物料!$K37)&lt;&gt;0)),1,0)</f>
        <v>0</v>
      </c>
      <c r="AG1237" s="1" t="n">
        <f aca="false">N(AG1236)+$AF1237</f>
        <v>6</v>
      </c>
      <c r="AH1237" s="1" t="n">
        <f aca="false">IF(AND($N1237=1,AND(LEFT(对接源_02物料!$D37,3)="周转筐",N(对接源_02物料!$K37)&lt;&gt;0)),1,0)</f>
        <v>0</v>
      </c>
      <c r="AI1237" s="1" t="n">
        <f aca="false">N(AI1236)+$AH1237</f>
        <v>0</v>
      </c>
      <c r="AJ1237" s="1" t="n">
        <v>0</v>
      </c>
      <c r="AK1237" s="1" t="n">
        <f aca="false">N(AK1236)+$AJ1237</f>
        <v>3672</v>
      </c>
    </row>
    <row r="1238" customFormat="false" ht="13.5" hidden="false" customHeight="false" outlineLevel="0" collapsed="false">
      <c r="A1238" s="1" t="str">
        <f aca="false">IF(对接源_02物料!$C38="","",对接源_02物料!$C38)</f>
        <v>吐尔洪</v>
      </c>
      <c r="B1238" s="1" t="n">
        <f aca="false">IF(A1238="",0,IF(MATCH(A1238,$A$4:$A$2403,0)=ROW()-3,1,0))</f>
        <v>0</v>
      </c>
      <c r="C1238" s="1" t="n">
        <f aca="false">N(C1237)+B1238</f>
        <v>16</v>
      </c>
      <c r="K1238" s="1" t="n">
        <f aca="false">IF(OR($K$1="",对接源_02物料!$C38="",对接源_02物料!$C38&lt;&gt;$K$1,对接源_02物料!$B38=""),0,IF(OR(N(对接源_02物料!$B38)&lt;$K$2,N(对接源_02物料!$B38)&gt;$K$3),0,1))</f>
        <v>0</v>
      </c>
      <c r="L1238" s="1" t="n">
        <f aca="false">IF(OR($L$1="",对接源_02物料!$C38="",对接源_02物料!$C38&lt;&gt;$L$1,对接源_02物料!$B38=""),0,IF(OR(N(对接源_02物料!$B38)&lt;$L$2,N(对接源_02物料!$B38)&gt;$L$3),0,1))</f>
        <v>0</v>
      </c>
      <c r="M1238" s="1" t="n">
        <f aca="false">IF(OR($M$1="",对接源_02物料!$C38="",对接源_02物料!$C38&lt;&gt;$M$1,对接源_02物料!$B38=""),0,IF(OR(N(对接源_02物料!$B38)&lt;$M$2,N(对接源_02物料!$B38)&gt;$M$3),0,1))</f>
        <v>0</v>
      </c>
      <c r="N1238" s="1" t="n">
        <f aca="false">IF(OR($N$1="",对接源_02物料!$C38="",对接源_02物料!$C38&lt;&gt;$N$1,对接源_02物料!$B38=""),0,IF(OR(N(对接源_02物料!$B38)&lt;$N$2,N(对接源_02物料!$B38)&gt;$N$3),0,1))</f>
        <v>0</v>
      </c>
      <c r="P1238" s="1" t="n">
        <f aca="false">IF(AND($K1238=1,AND(对接源_02物料!$X38="公司筐",N(对接源_02物料!$T38)&lt;&gt;0)),1,0)</f>
        <v>0</v>
      </c>
      <c r="Q1238" s="1" t="n">
        <f aca="false">N(Q1237)+$P1238</f>
        <v>3</v>
      </c>
      <c r="R1238" s="1" t="n">
        <f aca="false">IF(AND($K1238=1,AND(对接源_02物料!$X38="公司筐",N(对接源_02物料!$U38)&lt;&gt;0)),1,0)</f>
        <v>0</v>
      </c>
      <c r="S1238" s="1" t="n">
        <f aca="false">N(S1237)+$R1238</f>
        <v>0</v>
      </c>
      <c r="T1238" s="1" t="n">
        <f aca="false">IF(AND($K1238=1,AND(对接源_02物料!$X38="公司筐",N(对接源_02物料!$V38)&lt;&gt;0)),1,0)</f>
        <v>0</v>
      </c>
      <c r="U1238" s="1" t="n">
        <f aca="false">N(U1237)+$T1238</f>
        <v>28</v>
      </c>
      <c r="V1238" s="1" t="n">
        <f aca="false">IF(AND($L1238=1,AND(对接源_02物料!$X38="自备筐",N(对接源_02物料!$V38)&lt;&gt;0)),1,0)</f>
        <v>0</v>
      </c>
      <c r="W1238" s="1" t="n">
        <f aca="false">N(W1237)+$V1238</f>
        <v>7</v>
      </c>
      <c r="X1238" s="1" t="n">
        <f aca="false">IF(AND($L1238=1,AND(对接源_02物料!$X38="自备筐",N(对接源_02物料!$T38)&lt;&gt;0)),1,0)</f>
        <v>0</v>
      </c>
      <c r="Y1238" s="1" t="n">
        <f aca="false">N(Y1237)+$X1238</f>
        <v>0</v>
      </c>
      <c r="Z1238" s="1" t="n">
        <f aca="false">IF(AND($M1238=1,对接源_02物料!$D38="原料入库"),1,0)</f>
        <v>0</v>
      </c>
      <c r="AA1238" s="1" t="n">
        <f aca="false">N(AA1237)+$Z1238</f>
        <v>30</v>
      </c>
      <c r="AB1238" s="1" t="n">
        <f aca="false">IF(AND($M1238=1,LEFT(对接源_02物料!$D38,4)="原料出库"),1,0)</f>
        <v>0</v>
      </c>
      <c r="AC1238" s="1" t="n">
        <f aca="false">N(AC1237)+$AB1238</f>
        <v>19</v>
      </c>
      <c r="AD1238" s="1" t="n">
        <f aca="false">IF(AND($M1238=1,LEFT(对接源_02物料!$D38,4)="成品出库"),1,0)</f>
        <v>0</v>
      </c>
      <c r="AE1238" s="1" t="n">
        <f aca="false">N(AE1237)+$AD1238</f>
        <v>38</v>
      </c>
      <c r="AF1238" s="1" t="n">
        <f aca="false">IF(AND($N1238=1,AND(LEFT(对接源_02物料!$D38,4)="包装物料",N(对接源_02物料!$K38)&lt;&gt;0)),1,0)</f>
        <v>0</v>
      </c>
      <c r="AG1238" s="1" t="n">
        <f aca="false">N(AG1237)+$AF1238</f>
        <v>6</v>
      </c>
      <c r="AH1238" s="1" t="n">
        <f aca="false">IF(AND($N1238=1,AND(LEFT(对接源_02物料!$D38,3)="周转筐",N(对接源_02物料!$K38)&lt;&gt;0)),1,0)</f>
        <v>0</v>
      </c>
      <c r="AI1238" s="1" t="n">
        <f aca="false">N(AI1237)+$AH1238</f>
        <v>0</v>
      </c>
      <c r="AJ1238" s="1" t="n">
        <v>0</v>
      </c>
      <c r="AK1238" s="1" t="n">
        <f aca="false">N(AK1237)+$AJ1238</f>
        <v>3672</v>
      </c>
    </row>
    <row r="1239" customFormat="false" ht="13.5" hidden="false" customHeight="false" outlineLevel="0" collapsed="false">
      <c r="A1239" s="1" t="str">
        <f aca="false">IF(对接源_02物料!$C39="","",对接源_02物料!$C39)</f>
        <v>努尔敦</v>
      </c>
      <c r="B1239" s="1" t="n">
        <f aca="false">IF(A1239="",0,IF(MATCH(A1239,$A$4:$A$2403,0)=ROW()-3,1,0))</f>
        <v>0</v>
      </c>
      <c r="C1239" s="1" t="n">
        <f aca="false">N(C1238)+B1239</f>
        <v>16</v>
      </c>
      <c r="K1239" s="1" t="n">
        <f aca="false">IF(OR($K$1="",对接源_02物料!$C39="",对接源_02物料!$C39&lt;&gt;$K$1,对接源_02物料!$B39=""),0,IF(OR(N(对接源_02物料!$B39)&lt;$K$2,N(对接源_02物料!$B39)&gt;$K$3),0,1))</f>
        <v>0</v>
      </c>
      <c r="L1239" s="1" t="n">
        <f aca="false">IF(OR($L$1="",对接源_02物料!$C39="",对接源_02物料!$C39&lt;&gt;$L$1,对接源_02物料!$B39=""),0,IF(OR(N(对接源_02物料!$B39)&lt;$L$2,N(对接源_02物料!$B39)&gt;$L$3),0,1))</f>
        <v>0</v>
      </c>
      <c r="M1239" s="1" t="n">
        <f aca="false">IF(OR($M$1="",对接源_02物料!$C39="",对接源_02物料!$C39&lt;&gt;$M$1,对接源_02物料!$B39=""),0,IF(OR(N(对接源_02物料!$B39)&lt;$M$2,N(对接源_02物料!$B39)&gt;$M$3),0,1))</f>
        <v>0</v>
      </c>
      <c r="N1239" s="1" t="n">
        <f aca="false">IF(OR($N$1="",对接源_02物料!$C39="",对接源_02物料!$C39&lt;&gt;$N$1,对接源_02物料!$B39=""),0,IF(OR(N(对接源_02物料!$B39)&lt;$N$2,N(对接源_02物料!$B39)&gt;$N$3),0,1))</f>
        <v>0</v>
      </c>
      <c r="P1239" s="1" t="n">
        <f aca="false">IF(AND($K1239=1,AND(对接源_02物料!$X39="公司筐",N(对接源_02物料!$T39)&lt;&gt;0)),1,0)</f>
        <v>0</v>
      </c>
      <c r="Q1239" s="1" t="n">
        <f aca="false">N(Q1238)+$P1239</f>
        <v>3</v>
      </c>
      <c r="R1239" s="1" t="n">
        <f aca="false">IF(AND($K1239=1,AND(对接源_02物料!$X39="公司筐",N(对接源_02物料!$U39)&lt;&gt;0)),1,0)</f>
        <v>0</v>
      </c>
      <c r="S1239" s="1" t="n">
        <f aca="false">N(S1238)+$R1239</f>
        <v>0</v>
      </c>
      <c r="T1239" s="1" t="n">
        <f aca="false">IF(AND($K1239=1,AND(对接源_02物料!$X39="公司筐",N(对接源_02物料!$V39)&lt;&gt;0)),1,0)</f>
        <v>0</v>
      </c>
      <c r="U1239" s="1" t="n">
        <f aca="false">N(U1238)+$T1239</f>
        <v>28</v>
      </c>
      <c r="V1239" s="1" t="n">
        <f aca="false">IF(AND($L1239=1,AND(对接源_02物料!$X39="自备筐",N(对接源_02物料!$V39)&lt;&gt;0)),1,0)</f>
        <v>0</v>
      </c>
      <c r="W1239" s="1" t="n">
        <f aca="false">N(W1238)+$V1239</f>
        <v>7</v>
      </c>
      <c r="X1239" s="1" t="n">
        <f aca="false">IF(AND($L1239=1,AND(对接源_02物料!$X39="自备筐",N(对接源_02物料!$T39)&lt;&gt;0)),1,0)</f>
        <v>0</v>
      </c>
      <c r="Y1239" s="1" t="n">
        <f aca="false">N(Y1238)+$X1239</f>
        <v>0</v>
      </c>
      <c r="Z1239" s="1" t="n">
        <f aca="false">IF(AND($M1239=1,对接源_02物料!$D39="原料入库"),1,0)</f>
        <v>0</v>
      </c>
      <c r="AA1239" s="1" t="n">
        <f aca="false">N(AA1238)+$Z1239</f>
        <v>30</v>
      </c>
      <c r="AB1239" s="1" t="n">
        <f aca="false">IF(AND($M1239=1,LEFT(对接源_02物料!$D39,4)="原料出库"),1,0)</f>
        <v>0</v>
      </c>
      <c r="AC1239" s="1" t="n">
        <f aca="false">N(AC1238)+$AB1239</f>
        <v>19</v>
      </c>
      <c r="AD1239" s="1" t="n">
        <f aca="false">IF(AND($M1239=1,LEFT(对接源_02物料!$D39,4)="成品出库"),1,0)</f>
        <v>0</v>
      </c>
      <c r="AE1239" s="1" t="n">
        <f aca="false">N(AE1238)+$AD1239</f>
        <v>38</v>
      </c>
      <c r="AF1239" s="1" t="n">
        <f aca="false">IF(AND($N1239=1,AND(LEFT(对接源_02物料!$D39,4)="包装物料",N(对接源_02物料!$K39)&lt;&gt;0)),1,0)</f>
        <v>0</v>
      </c>
      <c r="AG1239" s="1" t="n">
        <f aca="false">N(AG1238)+$AF1239</f>
        <v>6</v>
      </c>
      <c r="AH1239" s="1" t="n">
        <f aca="false">IF(AND($N1239=1,AND(LEFT(对接源_02物料!$D39,3)="周转筐",N(对接源_02物料!$K39)&lt;&gt;0)),1,0)</f>
        <v>0</v>
      </c>
      <c r="AI1239" s="1" t="n">
        <f aca="false">N(AI1238)+$AH1239</f>
        <v>0</v>
      </c>
      <c r="AJ1239" s="1" t="n">
        <v>0</v>
      </c>
      <c r="AK1239" s="1" t="n">
        <f aca="false">N(AK1238)+$AJ1239</f>
        <v>3672</v>
      </c>
    </row>
    <row r="1240" customFormat="false" ht="13.5" hidden="false" customHeight="false" outlineLevel="0" collapsed="false">
      <c r="A1240" s="1" t="str">
        <f aca="false">IF(对接源_02物料!$C40="","",对接源_02物料!$C40)</f>
        <v>新顺发泡网</v>
      </c>
      <c r="B1240" s="1" t="n">
        <f aca="false">IF(A1240="",0,IF(MATCH(A1240,$A$4:$A$2403,0)=ROW()-3,1,0))</f>
        <v>0</v>
      </c>
      <c r="C1240" s="1" t="n">
        <f aca="false">N(C1239)+B1240</f>
        <v>16</v>
      </c>
      <c r="K1240" s="1" t="n">
        <f aca="false">IF(OR($K$1="",对接源_02物料!$C40="",对接源_02物料!$C40&lt;&gt;$K$1,对接源_02物料!$B40=""),0,IF(OR(N(对接源_02物料!$B40)&lt;$K$2,N(对接源_02物料!$B40)&gt;$K$3),0,1))</f>
        <v>0</v>
      </c>
      <c r="L1240" s="1" t="n">
        <f aca="false">IF(OR($L$1="",对接源_02物料!$C40="",对接源_02物料!$C40&lt;&gt;$L$1,对接源_02物料!$B40=""),0,IF(OR(N(对接源_02物料!$B40)&lt;$L$2,N(对接源_02物料!$B40)&gt;$L$3),0,1))</f>
        <v>0</v>
      </c>
      <c r="M1240" s="1" t="n">
        <f aca="false">IF(OR($M$1="",对接源_02物料!$C40="",对接源_02物料!$C40&lt;&gt;$M$1,对接源_02物料!$B40=""),0,IF(OR(N(对接源_02物料!$B40)&lt;$M$2,N(对接源_02物料!$B40)&gt;$M$3),0,1))</f>
        <v>0</v>
      </c>
      <c r="N1240" s="1" t="n">
        <f aca="false">IF(OR($N$1="",对接源_02物料!$C40="",对接源_02物料!$C40&lt;&gt;$N$1,对接源_02物料!$B40=""),0,IF(OR(N(对接源_02物料!$B40)&lt;$N$2,N(对接源_02物料!$B40)&gt;$N$3),0,1))</f>
        <v>0</v>
      </c>
      <c r="P1240" s="1" t="n">
        <f aca="false">IF(AND($K1240=1,AND(对接源_02物料!$X40="公司筐",N(对接源_02物料!$T40)&lt;&gt;0)),1,0)</f>
        <v>0</v>
      </c>
      <c r="Q1240" s="1" t="n">
        <f aca="false">N(Q1239)+$P1240</f>
        <v>3</v>
      </c>
      <c r="R1240" s="1" t="n">
        <f aca="false">IF(AND($K1240=1,AND(对接源_02物料!$X40="公司筐",N(对接源_02物料!$U40)&lt;&gt;0)),1,0)</f>
        <v>0</v>
      </c>
      <c r="S1240" s="1" t="n">
        <f aca="false">N(S1239)+$R1240</f>
        <v>0</v>
      </c>
      <c r="T1240" s="1" t="n">
        <f aca="false">IF(AND($K1240=1,AND(对接源_02物料!$X40="公司筐",N(对接源_02物料!$V40)&lt;&gt;0)),1,0)</f>
        <v>0</v>
      </c>
      <c r="U1240" s="1" t="n">
        <f aca="false">N(U1239)+$T1240</f>
        <v>28</v>
      </c>
      <c r="V1240" s="1" t="n">
        <f aca="false">IF(AND($L1240=1,AND(对接源_02物料!$X40="自备筐",N(对接源_02物料!$V40)&lt;&gt;0)),1,0)</f>
        <v>0</v>
      </c>
      <c r="W1240" s="1" t="n">
        <f aca="false">N(W1239)+$V1240</f>
        <v>7</v>
      </c>
      <c r="X1240" s="1" t="n">
        <f aca="false">IF(AND($L1240=1,AND(对接源_02物料!$X40="自备筐",N(对接源_02物料!$T40)&lt;&gt;0)),1,0)</f>
        <v>0</v>
      </c>
      <c r="Y1240" s="1" t="n">
        <f aca="false">N(Y1239)+$X1240</f>
        <v>0</v>
      </c>
      <c r="Z1240" s="1" t="n">
        <f aca="false">IF(AND($M1240=1,对接源_02物料!$D40="原料入库"),1,0)</f>
        <v>0</v>
      </c>
      <c r="AA1240" s="1" t="n">
        <f aca="false">N(AA1239)+$Z1240</f>
        <v>30</v>
      </c>
      <c r="AB1240" s="1" t="n">
        <f aca="false">IF(AND($M1240=1,LEFT(对接源_02物料!$D40,4)="原料出库"),1,0)</f>
        <v>0</v>
      </c>
      <c r="AC1240" s="1" t="n">
        <f aca="false">N(AC1239)+$AB1240</f>
        <v>19</v>
      </c>
      <c r="AD1240" s="1" t="n">
        <f aca="false">IF(AND($M1240=1,LEFT(对接源_02物料!$D40,4)="成品出库"),1,0)</f>
        <v>0</v>
      </c>
      <c r="AE1240" s="1" t="n">
        <f aca="false">N(AE1239)+$AD1240</f>
        <v>38</v>
      </c>
      <c r="AF1240" s="1" t="n">
        <f aca="false">IF(AND($N1240=1,AND(LEFT(对接源_02物料!$D40,4)="包装物料",N(对接源_02物料!$K40)&lt;&gt;0)),1,0)</f>
        <v>0</v>
      </c>
      <c r="AG1240" s="1" t="n">
        <f aca="false">N(AG1239)+$AF1240</f>
        <v>6</v>
      </c>
      <c r="AH1240" s="1" t="n">
        <f aca="false">IF(AND($N1240=1,AND(LEFT(对接源_02物料!$D40,3)="周转筐",N(对接源_02物料!$K40)&lt;&gt;0)),1,0)</f>
        <v>0</v>
      </c>
      <c r="AI1240" s="1" t="n">
        <f aca="false">N(AI1239)+$AH1240</f>
        <v>0</v>
      </c>
      <c r="AJ1240" s="1" t="n">
        <v>0</v>
      </c>
      <c r="AK1240" s="1" t="n">
        <f aca="false">N(AK1239)+$AJ1240</f>
        <v>3672</v>
      </c>
    </row>
    <row r="1241" customFormat="false" ht="13.5" hidden="false" customHeight="false" outlineLevel="0" collapsed="false">
      <c r="A1241" s="1" t="str">
        <f aca="false">IF(对接源_02物料!$C41="","",对接源_02物料!$C41)</f>
        <v>王照雪</v>
      </c>
      <c r="B1241" s="1" t="n">
        <f aca="false">IF(A1241="",0,IF(MATCH(A1241,$A$4:$A$2403,0)=ROW()-3,1,0))</f>
        <v>0</v>
      </c>
      <c r="C1241" s="1" t="n">
        <f aca="false">N(C1240)+B1241</f>
        <v>16</v>
      </c>
      <c r="K1241" s="1" t="n">
        <f aca="false">IF(OR($K$1="",对接源_02物料!$C41="",对接源_02物料!$C41&lt;&gt;$K$1,对接源_02物料!$B41=""),0,IF(OR(N(对接源_02物料!$B41)&lt;$K$2,N(对接源_02物料!$B41)&gt;$K$3),0,1))</f>
        <v>1</v>
      </c>
      <c r="L1241" s="1" t="n">
        <f aca="false">IF(OR($L$1="",对接源_02物料!$C41="",对接源_02物料!$C41&lt;&gt;$L$1,对接源_02物料!$B41=""),0,IF(OR(N(对接源_02物料!$B41)&lt;$L$2,N(对接源_02物料!$B41)&gt;$L$3),0,1))</f>
        <v>0</v>
      </c>
      <c r="M1241" s="1" t="n">
        <f aca="false">IF(OR($M$1="",对接源_02物料!$C41="",对接源_02物料!$C41&lt;&gt;$M$1,对接源_02物料!$B41=""),0,IF(OR(N(对接源_02物料!$B41)&lt;$M$2,N(对接源_02物料!$B41)&gt;$M$3),0,1))</f>
        <v>1</v>
      </c>
      <c r="N1241" s="1" t="n">
        <f aca="false">IF(OR($N$1="",对接源_02物料!$C41="",对接源_02物料!$C41&lt;&gt;$N$1,对接源_02物料!$B41=""),0,IF(OR(N(对接源_02物料!$B41)&lt;$N$2,N(对接源_02物料!$B41)&gt;$N$3),0,1))</f>
        <v>0</v>
      </c>
      <c r="P1241" s="1" t="n">
        <f aca="false">IF(AND($K1241=1,AND(对接源_02物料!$X41="公司筐",N(对接源_02物料!$T41)&lt;&gt;0)),1,0)</f>
        <v>1</v>
      </c>
      <c r="Q1241" s="1" t="n">
        <f aca="false">N(Q1240)+$P1241</f>
        <v>4</v>
      </c>
      <c r="R1241" s="1" t="n">
        <f aca="false">IF(AND($K1241=1,AND(对接源_02物料!$X41="公司筐",N(对接源_02物料!$U41)&lt;&gt;0)),1,0)</f>
        <v>0</v>
      </c>
      <c r="S1241" s="1" t="n">
        <f aca="false">N(S1240)+$R1241</f>
        <v>0</v>
      </c>
      <c r="T1241" s="1" t="n">
        <f aca="false">IF(AND($K1241=1,AND(对接源_02物料!$X41="公司筐",N(对接源_02物料!$V41)&lt;&gt;0)),1,0)</f>
        <v>0</v>
      </c>
      <c r="U1241" s="1" t="n">
        <f aca="false">N(U1240)+$T1241</f>
        <v>28</v>
      </c>
      <c r="V1241" s="1" t="n">
        <f aca="false">IF(AND($L1241=1,AND(对接源_02物料!$X41="自备筐",N(对接源_02物料!$V41)&lt;&gt;0)),1,0)</f>
        <v>0</v>
      </c>
      <c r="W1241" s="1" t="n">
        <f aca="false">N(W1240)+$V1241</f>
        <v>7</v>
      </c>
      <c r="X1241" s="1" t="n">
        <f aca="false">IF(AND($L1241=1,AND(对接源_02物料!$X41="自备筐",N(对接源_02物料!$T41)&lt;&gt;0)),1,0)</f>
        <v>0</v>
      </c>
      <c r="Y1241" s="1" t="n">
        <f aca="false">N(Y1240)+$X1241</f>
        <v>0</v>
      </c>
      <c r="Z1241" s="1" t="n">
        <f aca="false">IF(AND($M1241=1,对接源_02物料!$D41="原料入库"),1,0)</f>
        <v>0</v>
      </c>
      <c r="AA1241" s="1" t="n">
        <f aca="false">N(AA1240)+$Z1241</f>
        <v>30</v>
      </c>
      <c r="AB1241" s="1" t="n">
        <f aca="false">IF(AND($M1241=1,LEFT(对接源_02物料!$D41,4)="原料出库"),1,0)</f>
        <v>0</v>
      </c>
      <c r="AC1241" s="1" t="n">
        <f aca="false">N(AC1240)+$AB1241</f>
        <v>19</v>
      </c>
      <c r="AD1241" s="1" t="n">
        <f aca="false">IF(AND($M1241=1,LEFT(对接源_02物料!$D41,4)="成品出库"),1,0)</f>
        <v>0</v>
      </c>
      <c r="AE1241" s="1" t="n">
        <f aca="false">N(AE1240)+$AD1241</f>
        <v>38</v>
      </c>
      <c r="AF1241" s="1" t="n">
        <f aca="false">IF(AND($N1241=1,AND(LEFT(对接源_02物料!$D41,4)="包装物料",N(对接源_02物料!$K41)&lt;&gt;0)),1,0)</f>
        <v>0</v>
      </c>
      <c r="AG1241" s="1" t="n">
        <f aca="false">N(AG1240)+$AF1241</f>
        <v>6</v>
      </c>
      <c r="AH1241" s="1" t="n">
        <f aca="false">IF(AND($N1241=1,AND(LEFT(对接源_02物料!$D41,3)="周转筐",N(对接源_02物料!$K41)&lt;&gt;0)),1,0)</f>
        <v>0</v>
      </c>
      <c r="AI1241" s="1" t="n">
        <f aca="false">N(AI1240)+$AH1241</f>
        <v>0</v>
      </c>
      <c r="AJ1241" s="1" t="n">
        <v>0</v>
      </c>
      <c r="AK1241" s="1" t="n">
        <f aca="false">N(AK1240)+$AJ1241</f>
        <v>3672</v>
      </c>
    </row>
    <row r="1242" customFormat="false" ht="13.5" hidden="false" customHeight="false" outlineLevel="0" collapsed="false">
      <c r="A1242" s="1" t="str">
        <f aca="false">IF(对接源_02物料!$C42="","",对接源_02物料!$C42)</f>
        <v>王照雪</v>
      </c>
      <c r="B1242" s="1" t="n">
        <f aca="false">IF(A1242="",0,IF(MATCH(A1242,$A$4:$A$2403,0)=ROW()-3,1,0))</f>
        <v>0</v>
      </c>
      <c r="C1242" s="1" t="n">
        <f aca="false">N(C1241)+B1242</f>
        <v>16</v>
      </c>
      <c r="K1242" s="1" t="n">
        <f aca="false">IF(OR($K$1="",对接源_02物料!$C42="",对接源_02物料!$C42&lt;&gt;$K$1,对接源_02物料!$B42=""),0,IF(OR(N(对接源_02物料!$B42)&lt;$K$2,N(对接源_02物料!$B42)&gt;$K$3),0,1))</f>
        <v>1</v>
      </c>
      <c r="L1242" s="1" t="n">
        <f aca="false">IF(OR($L$1="",对接源_02物料!$C42="",对接源_02物料!$C42&lt;&gt;$L$1,对接源_02物料!$B42=""),0,IF(OR(N(对接源_02物料!$B42)&lt;$L$2,N(对接源_02物料!$B42)&gt;$L$3),0,1))</f>
        <v>0</v>
      </c>
      <c r="M1242" s="1" t="n">
        <f aca="false">IF(OR($M$1="",对接源_02物料!$C42="",对接源_02物料!$C42&lt;&gt;$M$1,对接源_02物料!$B42=""),0,IF(OR(N(对接源_02物料!$B42)&lt;$M$2,N(对接源_02物料!$B42)&gt;$M$3),0,1))</f>
        <v>1</v>
      </c>
      <c r="N1242" s="1" t="n">
        <f aca="false">IF(OR($N$1="",对接源_02物料!$C42="",对接源_02物料!$C42&lt;&gt;$N$1,对接源_02物料!$B42=""),0,IF(OR(N(对接源_02物料!$B42)&lt;$N$2,N(对接源_02物料!$B42)&gt;$N$3),0,1))</f>
        <v>0</v>
      </c>
      <c r="P1242" s="1" t="n">
        <f aca="false">IF(AND($K1242=1,AND(对接源_02物料!$X42="公司筐",N(对接源_02物料!$T42)&lt;&gt;0)),1,0)</f>
        <v>1</v>
      </c>
      <c r="Q1242" s="1" t="n">
        <f aca="false">N(Q1241)+$P1242</f>
        <v>5</v>
      </c>
      <c r="R1242" s="1" t="n">
        <f aca="false">IF(AND($K1242=1,AND(对接源_02物料!$X42="公司筐",N(对接源_02物料!$U42)&lt;&gt;0)),1,0)</f>
        <v>0</v>
      </c>
      <c r="S1242" s="1" t="n">
        <f aca="false">N(S1241)+$R1242</f>
        <v>0</v>
      </c>
      <c r="T1242" s="1" t="n">
        <f aca="false">IF(AND($K1242=1,AND(对接源_02物料!$X42="公司筐",N(对接源_02物料!$V42)&lt;&gt;0)),1,0)</f>
        <v>0</v>
      </c>
      <c r="U1242" s="1" t="n">
        <f aca="false">N(U1241)+$T1242</f>
        <v>28</v>
      </c>
      <c r="V1242" s="1" t="n">
        <f aca="false">IF(AND($L1242=1,AND(对接源_02物料!$X42="自备筐",N(对接源_02物料!$V42)&lt;&gt;0)),1,0)</f>
        <v>0</v>
      </c>
      <c r="W1242" s="1" t="n">
        <f aca="false">N(W1241)+$V1242</f>
        <v>7</v>
      </c>
      <c r="X1242" s="1" t="n">
        <f aca="false">IF(AND($L1242=1,AND(对接源_02物料!$X42="自备筐",N(对接源_02物料!$T42)&lt;&gt;0)),1,0)</f>
        <v>0</v>
      </c>
      <c r="Y1242" s="1" t="n">
        <f aca="false">N(Y1241)+$X1242</f>
        <v>0</v>
      </c>
      <c r="Z1242" s="1" t="n">
        <f aca="false">IF(AND($M1242=1,对接源_02物料!$D42="原料入库"),1,0)</f>
        <v>0</v>
      </c>
      <c r="AA1242" s="1" t="n">
        <f aca="false">N(AA1241)+$Z1242</f>
        <v>30</v>
      </c>
      <c r="AB1242" s="1" t="n">
        <f aca="false">IF(AND($M1242=1,LEFT(对接源_02物料!$D42,4)="原料出库"),1,0)</f>
        <v>0</v>
      </c>
      <c r="AC1242" s="1" t="n">
        <f aca="false">N(AC1241)+$AB1242</f>
        <v>19</v>
      </c>
      <c r="AD1242" s="1" t="n">
        <f aca="false">IF(AND($M1242=1,LEFT(对接源_02物料!$D42,4)="成品出库"),1,0)</f>
        <v>0</v>
      </c>
      <c r="AE1242" s="1" t="n">
        <f aca="false">N(AE1241)+$AD1242</f>
        <v>38</v>
      </c>
      <c r="AF1242" s="1" t="n">
        <f aca="false">IF(AND($N1242=1,AND(LEFT(对接源_02物料!$D42,4)="包装物料",N(对接源_02物料!$K42)&lt;&gt;0)),1,0)</f>
        <v>0</v>
      </c>
      <c r="AG1242" s="1" t="n">
        <f aca="false">N(AG1241)+$AF1242</f>
        <v>6</v>
      </c>
      <c r="AH1242" s="1" t="n">
        <f aca="false">IF(AND($N1242=1,AND(LEFT(对接源_02物料!$D42,3)="周转筐",N(对接源_02物料!$K42)&lt;&gt;0)),1,0)</f>
        <v>0</v>
      </c>
      <c r="AI1242" s="1" t="n">
        <f aca="false">N(AI1241)+$AH1242</f>
        <v>0</v>
      </c>
      <c r="AJ1242" s="1" t="n">
        <v>0</v>
      </c>
      <c r="AK1242" s="1" t="n">
        <f aca="false">N(AK1241)+$AJ1242</f>
        <v>3672</v>
      </c>
    </row>
    <row r="1243" customFormat="false" ht="13.5" hidden="false" customHeight="false" outlineLevel="0" collapsed="false">
      <c r="A1243" s="1" t="str">
        <f aca="false">IF(对接源_02物料!$C43="","",对接源_02物料!$C43)</f>
        <v>王照雪</v>
      </c>
      <c r="B1243" s="1" t="n">
        <f aca="false">IF(A1243="",0,IF(MATCH(A1243,$A$4:$A$2403,0)=ROW()-3,1,0))</f>
        <v>0</v>
      </c>
      <c r="C1243" s="1" t="n">
        <f aca="false">N(C1242)+B1243</f>
        <v>16</v>
      </c>
      <c r="K1243" s="1" t="n">
        <f aca="false">IF(OR($K$1="",对接源_02物料!$C43="",对接源_02物料!$C43&lt;&gt;$K$1,对接源_02物料!$B43=""),0,IF(OR(N(对接源_02物料!$B43)&lt;$K$2,N(对接源_02物料!$B43)&gt;$K$3),0,1))</f>
        <v>1</v>
      </c>
      <c r="L1243" s="1" t="n">
        <f aca="false">IF(OR($L$1="",对接源_02物料!$C43="",对接源_02物料!$C43&lt;&gt;$L$1,对接源_02物料!$B43=""),0,IF(OR(N(对接源_02物料!$B43)&lt;$L$2,N(对接源_02物料!$B43)&gt;$L$3),0,1))</f>
        <v>0</v>
      </c>
      <c r="M1243" s="1" t="n">
        <f aca="false">IF(OR($M$1="",对接源_02物料!$C43="",对接源_02物料!$C43&lt;&gt;$M$1,对接源_02物料!$B43=""),0,IF(OR(N(对接源_02物料!$B43)&lt;$M$2,N(对接源_02物料!$B43)&gt;$M$3),0,1))</f>
        <v>1</v>
      </c>
      <c r="N1243" s="1" t="n">
        <f aca="false">IF(OR($N$1="",对接源_02物料!$C43="",对接源_02物料!$C43&lt;&gt;$N$1,对接源_02物料!$B43=""),0,IF(OR(N(对接源_02物料!$B43)&lt;$N$2,N(对接源_02物料!$B43)&gt;$N$3),0,1))</f>
        <v>0</v>
      </c>
      <c r="P1243" s="1" t="n">
        <f aca="false">IF(AND($K1243=1,AND(对接源_02物料!$X43="公司筐",N(对接源_02物料!$T43)&lt;&gt;0)),1,0)</f>
        <v>1</v>
      </c>
      <c r="Q1243" s="1" t="n">
        <f aca="false">N(Q1242)+$P1243</f>
        <v>6</v>
      </c>
      <c r="R1243" s="1" t="n">
        <f aca="false">IF(AND($K1243=1,AND(对接源_02物料!$X43="公司筐",N(对接源_02物料!$U43)&lt;&gt;0)),1,0)</f>
        <v>0</v>
      </c>
      <c r="S1243" s="1" t="n">
        <f aca="false">N(S1242)+$R1243</f>
        <v>0</v>
      </c>
      <c r="T1243" s="1" t="n">
        <f aca="false">IF(AND($K1243=1,AND(对接源_02物料!$X43="公司筐",N(对接源_02物料!$V43)&lt;&gt;0)),1,0)</f>
        <v>0</v>
      </c>
      <c r="U1243" s="1" t="n">
        <f aca="false">N(U1242)+$T1243</f>
        <v>28</v>
      </c>
      <c r="V1243" s="1" t="n">
        <f aca="false">IF(AND($L1243=1,AND(对接源_02物料!$X43="自备筐",N(对接源_02物料!$V43)&lt;&gt;0)),1,0)</f>
        <v>0</v>
      </c>
      <c r="W1243" s="1" t="n">
        <f aca="false">N(W1242)+$V1243</f>
        <v>7</v>
      </c>
      <c r="X1243" s="1" t="n">
        <f aca="false">IF(AND($L1243=1,AND(对接源_02物料!$X43="自备筐",N(对接源_02物料!$T43)&lt;&gt;0)),1,0)</f>
        <v>0</v>
      </c>
      <c r="Y1243" s="1" t="n">
        <f aca="false">N(Y1242)+$X1243</f>
        <v>0</v>
      </c>
      <c r="Z1243" s="1" t="n">
        <f aca="false">IF(AND($M1243=1,对接源_02物料!$D43="原料入库"),1,0)</f>
        <v>0</v>
      </c>
      <c r="AA1243" s="1" t="n">
        <f aca="false">N(AA1242)+$Z1243</f>
        <v>30</v>
      </c>
      <c r="AB1243" s="1" t="n">
        <f aca="false">IF(AND($M1243=1,LEFT(对接源_02物料!$D43,4)="原料出库"),1,0)</f>
        <v>0</v>
      </c>
      <c r="AC1243" s="1" t="n">
        <f aca="false">N(AC1242)+$AB1243</f>
        <v>19</v>
      </c>
      <c r="AD1243" s="1" t="n">
        <f aca="false">IF(AND($M1243=1,LEFT(对接源_02物料!$D43,4)="成品出库"),1,0)</f>
        <v>0</v>
      </c>
      <c r="AE1243" s="1" t="n">
        <f aca="false">N(AE1242)+$AD1243</f>
        <v>38</v>
      </c>
      <c r="AF1243" s="1" t="n">
        <f aca="false">IF(AND($N1243=1,AND(LEFT(对接源_02物料!$D43,4)="包装物料",N(对接源_02物料!$K43)&lt;&gt;0)),1,0)</f>
        <v>0</v>
      </c>
      <c r="AG1243" s="1" t="n">
        <f aca="false">N(AG1242)+$AF1243</f>
        <v>6</v>
      </c>
      <c r="AH1243" s="1" t="n">
        <f aca="false">IF(AND($N1243=1,AND(LEFT(对接源_02物料!$D43,3)="周转筐",N(对接源_02物料!$K43)&lt;&gt;0)),1,0)</f>
        <v>0</v>
      </c>
      <c r="AI1243" s="1" t="n">
        <f aca="false">N(AI1242)+$AH1243</f>
        <v>0</v>
      </c>
      <c r="AJ1243" s="1" t="n">
        <v>0</v>
      </c>
      <c r="AK1243" s="1" t="n">
        <f aca="false">N(AK1242)+$AJ1243</f>
        <v>3672</v>
      </c>
    </row>
    <row r="1244" customFormat="false" ht="13.5" hidden="false" customHeight="false" outlineLevel="0" collapsed="false">
      <c r="A1244" s="1" t="str">
        <f aca="false">IF(对接源_02物料!$C44="","",对接源_02物料!$C44)</f>
        <v>王照雪</v>
      </c>
      <c r="B1244" s="1" t="n">
        <f aca="false">IF(A1244="",0,IF(MATCH(A1244,$A$4:$A$2403,0)=ROW()-3,1,0))</f>
        <v>0</v>
      </c>
      <c r="C1244" s="1" t="n">
        <f aca="false">N(C1243)+B1244</f>
        <v>16</v>
      </c>
      <c r="K1244" s="1" t="n">
        <f aca="false">IF(OR($K$1="",对接源_02物料!$C44="",对接源_02物料!$C44&lt;&gt;$K$1,对接源_02物料!$B44=""),0,IF(OR(N(对接源_02物料!$B44)&lt;$K$2,N(对接源_02物料!$B44)&gt;$K$3),0,1))</f>
        <v>1</v>
      </c>
      <c r="L1244" s="1" t="n">
        <f aca="false">IF(OR($L$1="",对接源_02物料!$C44="",对接源_02物料!$C44&lt;&gt;$L$1,对接源_02物料!$B44=""),0,IF(OR(N(对接源_02物料!$B44)&lt;$L$2,N(对接源_02物料!$B44)&gt;$L$3),0,1))</f>
        <v>0</v>
      </c>
      <c r="M1244" s="1" t="n">
        <f aca="false">IF(OR($M$1="",对接源_02物料!$C44="",对接源_02物料!$C44&lt;&gt;$M$1,对接源_02物料!$B44=""),0,IF(OR(N(对接源_02物料!$B44)&lt;$M$2,N(对接源_02物料!$B44)&gt;$M$3),0,1))</f>
        <v>1</v>
      </c>
      <c r="N1244" s="1" t="n">
        <f aca="false">IF(OR($N$1="",对接源_02物料!$C44="",对接源_02物料!$C44&lt;&gt;$N$1,对接源_02物料!$B44=""),0,IF(OR(N(对接源_02物料!$B44)&lt;$N$2,N(对接源_02物料!$B44)&gt;$N$3),0,1))</f>
        <v>0</v>
      </c>
      <c r="P1244" s="1" t="n">
        <f aca="false">IF(AND($K1244=1,AND(对接源_02物料!$X44="公司筐",N(对接源_02物料!$T44)&lt;&gt;0)),1,0)</f>
        <v>1</v>
      </c>
      <c r="Q1244" s="1" t="n">
        <f aca="false">N(Q1243)+$P1244</f>
        <v>7</v>
      </c>
      <c r="R1244" s="1" t="n">
        <f aca="false">IF(AND($K1244=1,AND(对接源_02物料!$X44="公司筐",N(对接源_02物料!$U44)&lt;&gt;0)),1,0)</f>
        <v>0</v>
      </c>
      <c r="S1244" s="1" t="n">
        <f aca="false">N(S1243)+$R1244</f>
        <v>0</v>
      </c>
      <c r="T1244" s="1" t="n">
        <f aca="false">IF(AND($K1244=1,AND(对接源_02物料!$X44="公司筐",N(对接源_02物料!$V44)&lt;&gt;0)),1,0)</f>
        <v>0</v>
      </c>
      <c r="U1244" s="1" t="n">
        <f aca="false">N(U1243)+$T1244</f>
        <v>28</v>
      </c>
      <c r="V1244" s="1" t="n">
        <f aca="false">IF(AND($L1244=1,AND(对接源_02物料!$X44="自备筐",N(对接源_02物料!$V44)&lt;&gt;0)),1,0)</f>
        <v>0</v>
      </c>
      <c r="W1244" s="1" t="n">
        <f aca="false">N(W1243)+$V1244</f>
        <v>7</v>
      </c>
      <c r="X1244" s="1" t="n">
        <f aca="false">IF(AND($L1244=1,AND(对接源_02物料!$X44="自备筐",N(对接源_02物料!$T44)&lt;&gt;0)),1,0)</f>
        <v>0</v>
      </c>
      <c r="Y1244" s="1" t="n">
        <f aca="false">N(Y1243)+$X1244</f>
        <v>0</v>
      </c>
      <c r="Z1244" s="1" t="n">
        <f aca="false">IF(AND($M1244=1,对接源_02物料!$D44="原料入库"),1,0)</f>
        <v>0</v>
      </c>
      <c r="AA1244" s="1" t="n">
        <f aca="false">N(AA1243)+$Z1244</f>
        <v>30</v>
      </c>
      <c r="AB1244" s="1" t="n">
        <f aca="false">IF(AND($M1244=1,LEFT(对接源_02物料!$D44,4)="原料出库"),1,0)</f>
        <v>0</v>
      </c>
      <c r="AC1244" s="1" t="n">
        <f aca="false">N(AC1243)+$AB1244</f>
        <v>19</v>
      </c>
      <c r="AD1244" s="1" t="n">
        <f aca="false">IF(AND($M1244=1,LEFT(对接源_02物料!$D44,4)="成品出库"),1,0)</f>
        <v>0</v>
      </c>
      <c r="AE1244" s="1" t="n">
        <f aca="false">N(AE1243)+$AD1244</f>
        <v>38</v>
      </c>
      <c r="AF1244" s="1" t="n">
        <f aca="false">IF(AND($N1244=1,AND(LEFT(对接源_02物料!$D44,4)="包装物料",N(对接源_02物料!$K44)&lt;&gt;0)),1,0)</f>
        <v>0</v>
      </c>
      <c r="AG1244" s="1" t="n">
        <f aca="false">N(AG1243)+$AF1244</f>
        <v>6</v>
      </c>
      <c r="AH1244" s="1" t="n">
        <f aca="false">IF(AND($N1244=1,AND(LEFT(对接源_02物料!$D44,3)="周转筐",N(对接源_02物料!$K44)&lt;&gt;0)),1,0)</f>
        <v>0</v>
      </c>
      <c r="AI1244" s="1" t="n">
        <f aca="false">N(AI1243)+$AH1244</f>
        <v>0</v>
      </c>
      <c r="AJ1244" s="1" t="n">
        <v>0</v>
      </c>
      <c r="AK1244" s="1" t="n">
        <f aca="false">N(AK1243)+$AJ1244</f>
        <v>3672</v>
      </c>
    </row>
    <row r="1245" customFormat="false" ht="13.5" hidden="false" customHeight="false" outlineLevel="0" collapsed="false">
      <c r="A1245" s="1" t="str">
        <f aca="false">IF(对接源_02物料!$C45="","",对接源_02物料!$C45)</f>
        <v>王照雪</v>
      </c>
      <c r="B1245" s="1" t="n">
        <f aca="false">IF(A1245="",0,IF(MATCH(A1245,$A$4:$A$2403,0)=ROW()-3,1,0))</f>
        <v>0</v>
      </c>
      <c r="C1245" s="1" t="n">
        <f aca="false">N(C1244)+B1245</f>
        <v>16</v>
      </c>
      <c r="K1245" s="1" t="n">
        <f aca="false">IF(OR($K$1="",对接源_02物料!$C45="",对接源_02物料!$C45&lt;&gt;$K$1,对接源_02物料!$B45=""),0,IF(OR(N(对接源_02物料!$B45)&lt;$K$2,N(对接源_02物料!$B45)&gt;$K$3),0,1))</f>
        <v>1</v>
      </c>
      <c r="L1245" s="1" t="n">
        <f aca="false">IF(OR($L$1="",对接源_02物料!$C45="",对接源_02物料!$C45&lt;&gt;$L$1,对接源_02物料!$B45=""),0,IF(OR(N(对接源_02物料!$B45)&lt;$L$2,N(对接源_02物料!$B45)&gt;$L$3),0,1))</f>
        <v>0</v>
      </c>
      <c r="M1245" s="1" t="n">
        <f aca="false">IF(OR($M$1="",对接源_02物料!$C45="",对接源_02物料!$C45&lt;&gt;$M$1,对接源_02物料!$B45=""),0,IF(OR(N(对接源_02物料!$B45)&lt;$M$2,N(对接源_02物料!$B45)&gt;$M$3),0,1))</f>
        <v>1</v>
      </c>
      <c r="N1245" s="1" t="n">
        <f aca="false">IF(OR($N$1="",对接源_02物料!$C45="",对接源_02物料!$C45&lt;&gt;$N$1,对接源_02物料!$B45=""),0,IF(OR(N(对接源_02物料!$B45)&lt;$N$2,N(对接源_02物料!$B45)&gt;$N$3),0,1))</f>
        <v>0</v>
      </c>
      <c r="P1245" s="1" t="n">
        <f aca="false">IF(AND($K1245=1,AND(对接源_02物料!$X45="公司筐",N(对接源_02物料!$T45)&lt;&gt;0)),1,0)</f>
        <v>0</v>
      </c>
      <c r="Q1245" s="1" t="n">
        <f aca="false">N(Q1244)+$P1245</f>
        <v>7</v>
      </c>
      <c r="R1245" s="1" t="n">
        <f aca="false">IF(AND($K1245=1,AND(对接源_02物料!$X45="公司筐",N(对接源_02物料!$U45)&lt;&gt;0)),1,0)</f>
        <v>1</v>
      </c>
      <c r="S1245" s="1" t="n">
        <f aca="false">N(S1244)+$R1245</f>
        <v>1</v>
      </c>
      <c r="T1245" s="1" t="n">
        <f aca="false">IF(AND($K1245=1,AND(对接源_02物料!$X45="公司筐",N(对接源_02物料!$V45)&lt;&gt;0)),1,0)</f>
        <v>0</v>
      </c>
      <c r="U1245" s="1" t="n">
        <f aca="false">N(U1244)+$T1245</f>
        <v>28</v>
      </c>
      <c r="V1245" s="1" t="n">
        <f aca="false">IF(AND($L1245=1,AND(对接源_02物料!$X45="自备筐",N(对接源_02物料!$V45)&lt;&gt;0)),1,0)</f>
        <v>0</v>
      </c>
      <c r="W1245" s="1" t="n">
        <f aca="false">N(W1244)+$V1245</f>
        <v>7</v>
      </c>
      <c r="X1245" s="1" t="n">
        <f aca="false">IF(AND($L1245=1,AND(对接源_02物料!$X45="自备筐",N(对接源_02物料!$T45)&lt;&gt;0)),1,0)</f>
        <v>0</v>
      </c>
      <c r="Y1245" s="1" t="n">
        <f aca="false">N(Y1244)+$X1245</f>
        <v>0</v>
      </c>
      <c r="Z1245" s="1" t="n">
        <f aca="false">IF(AND($M1245=1,对接源_02物料!$D45="原料入库"),1,0)</f>
        <v>0</v>
      </c>
      <c r="AA1245" s="1" t="n">
        <f aca="false">N(AA1244)+$Z1245</f>
        <v>30</v>
      </c>
      <c r="AB1245" s="1" t="n">
        <f aca="false">IF(AND($M1245=1,LEFT(对接源_02物料!$D45,4)="原料出库"),1,0)</f>
        <v>0</v>
      </c>
      <c r="AC1245" s="1" t="n">
        <f aca="false">N(AC1244)+$AB1245</f>
        <v>19</v>
      </c>
      <c r="AD1245" s="1" t="n">
        <f aca="false">IF(AND($M1245=1,LEFT(对接源_02物料!$D45,4)="成品出库"),1,0)</f>
        <v>0</v>
      </c>
      <c r="AE1245" s="1" t="n">
        <f aca="false">N(AE1244)+$AD1245</f>
        <v>38</v>
      </c>
      <c r="AF1245" s="1" t="n">
        <f aca="false">IF(AND($N1245=1,AND(LEFT(对接源_02物料!$D45,4)="包装物料",N(对接源_02物料!$K45)&lt;&gt;0)),1,0)</f>
        <v>0</v>
      </c>
      <c r="AG1245" s="1" t="n">
        <f aca="false">N(AG1244)+$AF1245</f>
        <v>6</v>
      </c>
      <c r="AH1245" s="1" t="n">
        <f aca="false">IF(AND($N1245=1,AND(LEFT(对接源_02物料!$D45,3)="周转筐",N(对接源_02物料!$K45)&lt;&gt;0)),1,0)</f>
        <v>0</v>
      </c>
      <c r="AI1245" s="1" t="n">
        <f aca="false">N(AI1244)+$AH1245</f>
        <v>0</v>
      </c>
      <c r="AJ1245" s="1" t="n">
        <v>0</v>
      </c>
      <c r="AK1245" s="1" t="n">
        <f aca="false">N(AK1244)+$AJ1245</f>
        <v>3672</v>
      </c>
    </row>
    <row r="1246" customFormat="false" ht="13.5" hidden="false" customHeight="false" outlineLevel="0" collapsed="false">
      <c r="A1246" s="1" t="str">
        <f aca="false">IF(对接源_02物料!$C46="","",对接源_02物料!$C46)</f>
        <v>王浩</v>
      </c>
      <c r="B1246" s="1" t="n">
        <f aca="false">IF(A1246="",0,IF(MATCH(A1246,$A$4:$A$2403,0)=ROW()-3,1,0))</f>
        <v>0</v>
      </c>
      <c r="C1246" s="1" t="n">
        <f aca="false">N(C1245)+B1246</f>
        <v>16</v>
      </c>
      <c r="K1246" s="1" t="n">
        <f aca="false">IF(OR($K$1="",对接源_02物料!$C46="",对接源_02物料!$C46&lt;&gt;$K$1,对接源_02物料!$B46=""),0,IF(OR(N(对接源_02物料!$B46)&lt;$K$2,N(对接源_02物料!$B46)&gt;$K$3),0,1))</f>
        <v>0</v>
      </c>
      <c r="L1246" s="1" t="n">
        <f aca="false">IF(OR($L$1="",对接源_02物料!$C46="",对接源_02物料!$C46&lt;&gt;$L$1,对接源_02物料!$B46=""),0,IF(OR(N(对接源_02物料!$B46)&lt;$L$2,N(对接源_02物料!$B46)&gt;$L$3),0,1))</f>
        <v>0</v>
      </c>
      <c r="M1246" s="1" t="n">
        <f aca="false">IF(OR($M$1="",对接源_02物料!$C46="",对接源_02物料!$C46&lt;&gt;$M$1,对接源_02物料!$B46=""),0,IF(OR(N(对接源_02物料!$B46)&lt;$M$2,N(对接源_02物料!$B46)&gt;$M$3),0,1))</f>
        <v>0</v>
      </c>
      <c r="N1246" s="1" t="n">
        <f aca="false">IF(OR($N$1="",对接源_02物料!$C46="",对接源_02物料!$C46&lt;&gt;$N$1,对接源_02物料!$B46=""),0,IF(OR(N(对接源_02物料!$B46)&lt;$N$2,N(对接源_02物料!$B46)&gt;$N$3),0,1))</f>
        <v>0</v>
      </c>
      <c r="P1246" s="1" t="n">
        <f aca="false">IF(AND($K1246=1,AND(对接源_02物料!$X46="公司筐",N(对接源_02物料!$T46)&lt;&gt;0)),1,0)</f>
        <v>0</v>
      </c>
      <c r="Q1246" s="1" t="n">
        <f aca="false">N(Q1245)+$P1246</f>
        <v>7</v>
      </c>
      <c r="R1246" s="1" t="n">
        <f aca="false">IF(AND($K1246=1,AND(对接源_02物料!$X46="公司筐",N(对接源_02物料!$U46)&lt;&gt;0)),1,0)</f>
        <v>0</v>
      </c>
      <c r="S1246" s="1" t="n">
        <f aca="false">N(S1245)+$R1246</f>
        <v>1</v>
      </c>
      <c r="T1246" s="1" t="n">
        <f aca="false">IF(AND($K1246=1,AND(对接源_02物料!$X46="公司筐",N(对接源_02物料!$V46)&lt;&gt;0)),1,0)</f>
        <v>0</v>
      </c>
      <c r="U1246" s="1" t="n">
        <f aca="false">N(U1245)+$T1246</f>
        <v>28</v>
      </c>
      <c r="V1246" s="1" t="n">
        <f aca="false">IF(AND($L1246=1,AND(对接源_02物料!$X46="自备筐",N(对接源_02物料!$V46)&lt;&gt;0)),1,0)</f>
        <v>0</v>
      </c>
      <c r="W1246" s="1" t="n">
        <f aca="false">N(W1245)+$V1246</f>
        <v>7</v>
      </c>
      <c r="X1246" s="1" t="n">
        <f aca="false">IF(AND($L1246=1,AND(对接源_02物料!$X46="自备筐",N(对接源_02物料!$T46)&lt;&gt;0)),1,0)</f>
        <v>0</v>
      </c>
      <c r="Y1246" s="1" t="n">
        <f aca="false">N(Y1245)+$X1246</f>
        <v>0</v>
      </c>
      <c r="Z1246" s="1" t="n">
        <f aca="false">IF(AND($M1246=1,对接源_02物料!$D46="原料入库"),1,0)</f>
        <v>0</v>
      </c>
      <c r="AA1246" s="1" t="n">
        <f aca="false">N(AA1245)+$Z1246</f>
        <v>30</v>
      </c>
      <c r="AB1246" s="1" t="n">
        <f aca="false">IF(AND($M1246=1,LEFT(对接源_02物料!$D46,4)="原料出库"),1,0)</f>
        <v>0</v>
      </c>
      <c r="AC1246" s="1" t="n">
        <f aca="false">N(AC1245)+$AB1246</f>
        <v>19</v>
      </c>
      <c r="AD1246" s="1" t="n">
        <f aca="false">IF(AND($M1246=1,LEFT(对接源_02物料!$D46,4)="成品出库"),1,0)</f>
        <v>0</v>
      </c>
      <c r="AE1246" s="1" t="n">
        <f aca="false">N(AE1245)+$AD1246</f>
        <v>38</v>
      </c>
      <c r="AF1246" s="1" t="n">
        <f aca="false">IF(AND($N1246=1,AND(LEFT(对接源_02物料!$D46,4)="包装物料",N(对接源_02物料!$K46)&lt;&gt;0)),1,0)</f>
        <v>0</v>
      </c>
      <c r="AG1246" s="1" t="n">
        <f aca="false">N(AG1245)+$AF1246</f>
        <v>6</v>
      </c>
      <c r="AH1246" s="1" t="n">
        <f aca="false">IF(AND($N1246=1,AND(LEFT(对接源_02物料!$D46,3)="周转筐",N(对接源_02物料!$K46)&lt;&gt;0)),1,0)</f>
        <v>0</v>
      </c>
      <c r="AI1246" s="1" t="n">
        <f aca="false">N(AI1245)+$AH1246</f>
        <v>0</v>
      </c>
      <c r="AJ1246" s="1" t="n">
        <v>0</v>
      </c>
      <c r="AK1246" s="1" t="n">
        <f aca="false">N(AK1245)+$AJ1246</f>
        <v>3672</v>
      </c>
    </row>
    <row r="1247" customFormat="false" ht="13.5" hidden="false" customHeight="false" outlineLevel="0" collapsed="false">
      <c r="A1247" s="1" t="str">
        <f aca="false">IF(对接源_02物料!$C47="","",对接源_02物料!$C47)</f>
        <v>马锦祥</v>
      </c>
      <c r="B1247" s="1" t="n">
        <f aca="false">IF(A1247="",0,IF(MATCH(A1247,$A$4:$A$2403,0)=ROW()-3,1,0))</f>
        <v>0</v>
      </c>
      <c r="C1247" s="1" t="n">
        <f aca="false">N(C1246)+B1247</f>
        <v>16</v>
      </c>
      <c r="K1247" s="1" t="n">
        <f aca="false">IF(OR($K$1="",对接源_02物料!$C47="",对接源_02物料!$C47&lt;&gt;$K$1,对接源_02物料!$B47=""),0,IF(OR(N(对接源_02物料!$B47)&lt;$K$2,N(对接源_02物料!$B47)&gt;$K$3),0,1))</f>
        <v>0</v>
      </c>
      <c r="L1247" s="1" t="n">
        <f aca="false">IF(OR($L$1="",对接源_02物料!$C47="",对接源_02物料!$C47&lt;&gt;$L$1,对接源_02物料!$B47=""),0,IF(OR(N(对接源_02物料!$B47)&lt;$L$2,N(对接源_02物料!$B47)&gt;$L$3),0,1))</f>
        <v>0</v>
      </c>
      <c r="M1247" s="1" t="n">
        <f aca="false">IF(OR($M$1="",对接源_02物料!$C47="",对接源_02物料!$C47&lt;&gt;$M$1,对接源_02物料!$B47=""),0,IF(OR(N(对接源_02物料!$B47)&lt;$M$2,N(对接源_02物料!$B47)&gt;$M$3),0,1))</f>
        <v>0</v>
      </c>
      <c r="N1247" s="1" t="n">
        <f aca="false">IF(OR($N$1="",对接源_02物料!$C47="",对接源_02物料!$C47&lt;&gt;$N$1,对接源_02物料!$B47=""),0,IF(OR(N(对接源_02物料!$B47)&lt;$N$2,N(对接源_02物料!$B47)&gt;$N$3),0,1))</f>
        <v>0</v>
      </c>
      <c r="P1247" s="1" t="n">
        <f aca="false">IF(AND($K1247=1,AND(对接源_02物料!$X47="公司筐",N(对接源_02物料!$T47)&lt;&gt;0)),1,0)</f>
        <v>0</v>
      </c>
      <c r="Q1247" s="1" t="n">
        <f aca="false">N(Q1246)+$P1247</f>
        <v>7</v>
      </c>
      <c r="R1247" s="1" t="n">
        <f aca="false">IF(AND($K1247=1,AND(对接源_02物料!$X47="公司筐",N(对接源_02物料!$U47)&lt;&gt;0)),1,0)</f>
        <v>0</v>
      </c>
      <c r="S1247" s="1" t="n">
        <f aca="false">N(S1246)+$R1247</f>
        <v>1</v>
      </c>
      <c r="T1247" s="1" t="n">
        <f aca="false">IF(AND($K1247=1,AND(对接源_02物料!$X47="公司筐",N(对接源_02物料!$V47)&lt;&gt;0)),1,0)</f>
        <v>0</v>
      </c>
      <c r="U1247" s="1" t="n">
        <f aca="false">N(U1246)+$T1247</f>
        <v>28</v>
      </c>
      <c r="V1247" s="1" t="n">
        <f aca="false">IF(AND($L1247=1,AND(对接源_02物料!$X47="自备筐",N(对接源_02物料!$V47)&lt;&gt;0)),1,0)</f>
        <v>0</v>
      </c>
      <c r="W1247" s="1" t="n">
        <f aca="false">N(W1246)+$V1247</f>
        <v>7</v>
      </c>
      <c r="X1247" s="1" t="n">
        <f aca="false">IF(AND($L1247=1,AND(对接源_02物料!$X47="自备筐",N(对接源_02物料!$T47)&lt;&gt;0)),1,0)</f>
        <v>0</v>
      </c>
      <c r="Y1247" s="1" t="n">
        <f aca="false">N(Y1246)+$X1247</f>
        <v>0</v>
      </c>
      <c r="Z1247" s="1" t="n">
        <f aca="false">IF(AND($M1247=1,对接源_02物料!$D47="原料入库"),1,0)</f>
        <v>0</v>
      </c>
      <c r="AA1247" s="1" t="n">
        <f aca="false">N(AA1246)+$Z1247</f>
        <v>30</v>
      </c>
      <c r="AB1247" s="1" t="n">
        <f aca="false">IF(AND($M1247=1,LEFT(对接源_02物料!$D47,4)="原料出库"),1,0)</f>
        <v>0</v>
      </c>
      <c r="AC1247" s="1" t="n">
        <f aca="false">N(AC1246)+$AB1247</f>
        <v>19</v>
      </c>
      <c r="AD1247" s="1" t="n">
        <f aca="false">IF(AND($M1247=1,LEFT(对接源_02物料!$D47,4)="成品出库"),1,0)</f>
        <v>0</v>
      </c>
      <c r="AE1247" s="1" t="n">
        <f aca="false">N(AE1246)+$AD1247</f>
        <v>38</v>
      </c>
      <c r="AF1247" s="1" t="n">
        <f aca="false">IF(AND($N1247=1,AND(LEFT(对接源_02物料!$D47,4)="包装物料",N(对接源_02物料!$K47)&lt;&gt;0)),1,0)</f>
        <v>0</v>
      </c>
      <c r="AG1247" s="1" t="n">
        <f aca="false">N(AG1246)+$AF1247</f>
        <v>6</v>
      </c>
      <c r="AH1247" s="1" t="n">
        <f aca="false">IF(AND($N1247=1,AND(LEFT(对接源_02物料!$D47,3)="周转筐",N(对接源_02物料!$K47)&lt;&gt;0)),1,0)</f>
        <v>0</v>
      </c>
      <c r="AI1247" s="1" t="n">
        <f aca="false">N(AI1246)+$AH1247</f>
        <v>0</v>
      </c>
      <c r="AJ1247" s="1" t="n">
        <v>0</v>
      </c>
      <c r="AK1247" s="1" t="n">
        <f aca="false">N(AK1246)+$AJ1247</f>
        <v>3672</v>
      </c>
    </row>
    <row r="1248" customFormat="false" ht="13.5" hidden="false" customHeight="false" outlineLevel="0" collapsed="false">
      <c r="A1248" s="1" t="str">
        <f aca="false">IF(对接源_02物料!$C48="","",对接源_02物料!$C48)</f>
        <v>王照雪</v>
      </c>
      <c r="B1248" s="1" t="n">
        <f aca="false">IF(A1248="",0,IF(MATCH(A1248,$A$4:$A$2403,0)=ROW()-3,1,0))</f>
        <v>0</v>
      </c>
      <c r="C1248" s="1" t="n">
        <f aca="false">N(C1247)+B1248</f>
        <v>16</v>
      </c>
      <c r="K1248" s="1" t="n">
        <f aca="false">IF(OR($K$1="",对接源_02物料!$C48="",对接源_02物料!$C48&lt;&gt;$K$1,对接源_02物料!$B48=""),0,IF(OR(N(对接源_02物料!$B48)&lt;$K$2,N(对接源_02物料!$B48)&gt;$K$3),0,1))</f>
        <v>1</v>
      </c>
      <c r="L1248" s="1" t="n">
        <f aca="false">IF(OR($L$1="",对接源_02物料!$C48="",对接源_02物料!$C48&lt;&gt;$L$1,对接源_02物料!$B48=""),0,IF(OR(N(对接源_02物料!$B48)&lt;$L$2,N(对接源_02物料!$B48)&gt;$L$3),0,1))</f>
        <v>0</v>
      </c>
      <c r="M1248" s="1" t="n">
        <f aca="false">IF(OR($M$1="",对接源_02物料!$C48="",对接源_02物料!$C48&lt;&gt;$M$1,对接源_02物料!$B48=""),0,IF(OR(N(对接源_02物料!$B48)&lt;$M$2,N(对接源_02物料!$B48)&gt;$M$3),0,1))</f>
        <v>1</v>
      </c>
      <c r="N1248" s="1" t="n">
        <f aca="false">IF(OR($N$1="",对接源_02物料!$C48="",对接源_02物料!$C48&lt;&gt;$N$1,对接源_02物料!$B48=""),0,IF(OR(N(对接源_02物料!$B48)&lt;$N$2,N(对接源_02物料!$B48)&gt;$N$3),0,1))</f>
        <v>0</v>
      </c>
      <c r="P1248" s="1" t="n">
        <f aca="false">IF(AND($K1248=1,AND(对接源_02物料!$X48="公司筐",N(对接源_02物料!$T48)&lt;&gt;0)),1,0)</f>
        <v>0</v>
      </c>
      <c r="Q1248" s="1" t="n">
        <f aca="false">N(Q1247)+$P1248</f>
        <v>7</v>
      </c>
      <c r="R1248" s="1" t="n">
        <f aca="false">IF(AND($K1248=1,AND(对接源_02物料!$X48="公司筐",N(对接源_02物料!$U48)&lt;&gt;0)),1,0)</f>
        <v>1</v>
      </c>
      <c r="S1248" s="1" t="n">
        <f aca="false">N(S1247)+$R1248</f>
        <v>2</v>
      </c>
      <c r="T1248" s="1" t="n">
        <f aca="false">IF(AND($K1248=1,AND(对接源_02物料!$X48="公司筐",N(对接源_02物料!$V48)&lt;&gt;0)),1,0)</f>
        <v>0</v>
      </c>
      <c r="U1248" s="1" t="n">
        <f aca="false">N(U1247)+$T1248</f>
        <v>28</v>
      </c>
      <c r="V1248" s="1" t="n">
        <f aca="false">IF(AND($L1248=1,AND(对接源_02物料!$X48="自备筐",N(对接源_02物料!$V48)&lt;&gt;0)),1,0)</f>
        <v>0</v>
      </c>
      <c r="W1248" s="1" t="n">
        <f aca="false">N(W1247)+$V1248</f>
        <v>7</v>
      </c>
      <c r="X1248" s="1" t="n">
        <f aca="false">IF(AND($L1248=1,AND(对接源_02物料!$X48="自备筐",N(对接源_02物料!$T48)&lt;&gt;0)),1,0)</f>
        <v>0</v>
      </c>
      <c r="Y1248" s="1" t="n">
        <f aca="false">N(Y1247)+$X1248</f>
        <v>0</v>
      </c>
      <c r="Z1248" s="1" t="n">
        <f aca="false">IF(AND($M1248=1,对接源_02物料!$D48="原料入库"),1,0)</f>
        <v>0</v>
      </c>
      <c r="AA1248" s="1" t="n">
        <f aca="false">N(AA1247)+$Z1248</f>
        <v>30</v>
      </c>
      <c r="AB1248" s="1" t="n">
        <f aca="false">IF(AND($M1248=1,LEFT(对接源_02物料!$D48,4)="原料出库"),1,0)</f>
        <v>0</v>
      </c>
      <c r="AC1248" s="1" t="n">
        <f aca="false">N(AC1247)+$AB1248</f>
        <v>19</v>
      </c>
      <c r="AD1248" s="1" t="n">
        <f aca="false">IF(AND($M1248=1,LEFT(对接源_02物料!$D48,4)="成品出库"),1,0)</f>
        <v>0</v>
      </c>
      <c r="AE1248" s="1" t="n">
        <f aca="false">N(AE1247)+$AD1248</f>
        <v>38</v>
      </c>
      <c r="AF1248" s="1" t="n">
        <f aca="false">IF(AND($N1248=1,AND(LEFT(对接源_02物料!$D48,4)="包装物料",N(对接源_02物料!$K48)&lt;&gt;0)),1,0)</f>
        <v>0</v>
      </c>
      <c r="AG1248" s="1" t="n">
        <f aca="false">N(AG1247)+$AF1248</f>
        <v>6</v>
      </c>
      <c r="AH1248" s="1" t="n">
        <f aca="false">IF(AND($N1248=1,AND(LEFT(对接源_02物料!$D48,3)="周转筐",N(对接源_02物料!$K48)&lt;&gt;0)),1,0)</f>
        <v>0</v>
      </c>
      <c r="AI1248" s="1" t="n">
        <f aca="false">N(AI1247)+$AH1248</f>
        <v>0</v>
      </c>
      <c r="AJ1248" s="1" t="n">
        <v>0</v>
      </c>
      <c r="AK1248" s="1" t="n">
        <f aca="false">N(AK1247)+$AJ1248</f>
        <v>3672</v>
      </c>
    </row>
    <row r="1249" customFormat="false" ht="13.5" hidden="false" customHeight="false" outlineLevel="0" collapsed="false">
      <c r="A1249" s="1" t="str">
        <f aca="false">IF(对接源_02物料!$C49="","",对接源_02物料!$C49)</f>
        <v>全修塑业</v>
      </c>
      <c r="B1249" s="1" t="n">
        <f aca="false">IF(A1249="",0,IF(MATCH(A1249,$A$4:$A$2403,0)=ROW()-3,1,0))</f>
        <v>1</v>
      </c>
      <c r="C1249" s="1" t="n">
        <f aca="false">N(C1248)+B1249</f>
        <v>17</v>
      </c>
      <c r="K1249" s="1" t="n">
        <f aca="false">IF(OR($K$1="",对接源_02物料!$C49="",对接源_02物料!$C49&lt;&gt;$K$1,对接源_02物料!$B49=""),0,IF(OR(N(对接源_02物料!$B49)&lt;$K$2,N(对接源_02物料!$B49)&gt;$K$3),0,1))</f>
        <v>0</v>
      </c>
      <c r="L1249" s="1" t="n">
        <f aca="false">IF(OR($L$1="",对接源_02物料!$C49="",对接源_02物料!$C49&lt;&gt;$L$1,对接源_02物料!$B49=""),0,IF(OR(N(对接源_02物料!$B49)&lt;$L$2,N(对接源_02物料!$B49)&gt;$L$3),0,1))</f>
        <v>0</v>
      </c>
      <c r="M1249" s="1" t="n">
        <f aca="false">IF(OR($M$1="",对接源_02物料!$C49="",对接源_02物料!$C49&lt;&gt;$M$1,对接源_02物料!$B49=""),0,IF(OR(N(对接源_02物料!$B49)&lt;$M$2,N(对接源_02物料!$B49)&gt;$M$3),0,1))</f>
        <v>0</v>
      </c>
      <c r="N1249" s="1" t="n">
        <f aca="false">IF(OR($N$1="",对接源_02物料!$C49="",对接源_02物料!$C49&lt;&gt;$N$1,对接源_02物料!$B49=""),0,IF(OR(N(对接源_02物料!$B49)&lt;$N$2,N(对接源_02物料!$B49)&gt;$N$3),0,1))</f>
        <v>0</v>
      </c>
      <c r="P1249" s="1" t="n">
        <f aca="false">IF(AND($K1249=1,AND(对接源_02物料!$X49="公司筐",N(对接源_02物料!$T49)&lt;&gt;0)),1,0)</f>
        <v>0</v>
      </c>
      <c r="Q1249" s="1" t="n">
        <f aca="false">N(Q1248)+$P1249</f>
        <v>7</v>
      </c>
      <c r="R1249" s="1" t="n">
        <f aca="false">IF(AND($K1249=1,AND(对接源_02物料!$X49="公司筐",N(对接源_02物料!$U49)&lt;&gt;0)),1,0)</f>
        <v>0</v>
      </c>
      <c r="S1249" s="1" t="n">
        <f aca="false">N(S1248)+$R1249</f>
        <v>2</v>
      </c>
      <c r="T1249" s="1" t="n">
        <f aca="false">IF(AND($K1249=1,AND(对接源_02物料!$X49="公司筐",N(对接源_02物料!$V49)&lt;&gt;0)),1,0)</f>
        <v>0</v>
      </c>
      <c r="U1249" s="1" t="n">
        <f aca="false">N(U1248)+$T1249</f>
        <v>28</v>
      </c>
      <c r="V1249" s="1" t="n">
        <f aca="false">IF(AND($L1249=1,AND(对接源_02物料!$X49="自备筐",N(对接源_02物料!$V49)&lt;&gt;0)),1,0)</f>
        <v>0</v>
      </c>
      <c r="W1249" s="1" t="n">
        <f aca="false">N(W1248)+$V1249</f>
        <v>7</v>
      </c>
      <c r="X1249" s="1" t="n">
        <f aca="false">IF(AND($L1249=1,AND(对接源_02物料!$X49="自备筐",N(对接源_02物料!$T49)&lt;&gt;0)),1,0)</f>
        <v>0</v>
      </c>
      <c r="Y1249" s="1" t="n">
        <f aca="false">N(Y1248)+$X1249</f>
        <v>0</v>
      </c>
      <c r="Z1249" s="1" t="n">
        <f aca="false">IF(AND($M1249=1,对接源_02物料!$D49="原料入库"),1,0)</f>
        <v>0</v>
      </c>
      <c r="AA1249" s="1" t="n">
        <f aca="false">N(AA1248)+$Z1249</f>
        <v>30</v>
      </c>
      <c r="AB1249" s="1" t="n">
        <f aca="false">IF(AND($M1249=1,LEFT(对接源_02物料!$D49,4)="原料出库"),1,0)</f>
        <v>0</v>
      </c>
      <c r="AC1249" s="1" t="n">
        <f aca="false">N(AC1248)+$AB1249</f>
        <v>19</v>
      </c>
      <c r="AD1249" s="1" t="n">
        <f aca="false">IF(AND($M1249=1,LEFT(对接源_02物料!$D49,4)="成品出库"),1,0)</f>
        <v>0</v>
      </c>
      <c r="AE1249" s="1" t="n">
        <f aca="false">N(AE1248)+$AD1249</f>
        <v>38</v>
      </c>
      <c r="AF1249" s="1" t="n">
        <f aca="false">IF(AND($N1249=1,AND(LEFT(对接源_02物料!$D49,4)="包装物料",N(对接源_02物料!$K49)&lt;&gt;0)),1,0)</f>
        <v>0</v>
      </c>
      <c r="AG1249" s="1" t="n">
        <f aca="false">N(AG1248)+$AF1249</f>
        <v>6</v>
      </c>
      <c r="AH1249" s="1" t="n">
        <f aca="false">IF(AND($N1249=1,AND(LEFT(对接源_02物料!$D49,3)="周转筐",N(对接源_02物料!$K49)&lt;&gt;0)),1,0)</f>
        <v>0</v>
      </c>
      <c r="AI1249" s="1" t="n">
        <f aca="false">N(AI1248)+$AH1249</f>
        <v>0</v>
      </c>
      <c r="AJ1249" s="1" t="n">
        <v>0</v>
      </c>
      <c r="AK1249" s="1" t="n">
        <f aca="false">N(AK1248)+$AJ1249</f>
        <v>3672</v>
      </c>
    </row>
    <row r="1250" customFormat="false" ht="13.5" hidden="false" customHeight="false" outlineLevel="0" collapsed="false">
      <c r="A1250" s="1" t="str">
        <f aca="false">IF(对接源_02物料!$C50="","",对接源_02物料!$C50)</f>
        <v>吐尔洪</v>
      </c>
      <c r="B1250" s="1" t="n">
        <f aca="false">IF(A1250="",0,IF(MATCH(A1250,$A$4:$A$2403,0)=ROW()-3,1,0))</f>
        <v>0</v>
      </c>
      <c r="C1250" s="1" t="n">
        <f aca="false">N(C1249)+B1250</f>
        <v>17</v>
      </c>
      <c r="K1250" s="1" t="n">
        <f aca="false">IF(OR($K$1="",对接源_02物料!$C50="",对接源_02物料!$C50&lt;&gt;$K$1,对接源_02物料!$B50=""),0,IF(OR(N(对接源_02物料!$B50)&lt;$K$2,N(对接源_02物料!$B50)&gt;$K$3),0,1))</f>
        <v>0</v>
      </c>
      <c r="L1250" s="1" t="n">
        <f aca="false">IF(OR($L$1="",对接源_02物料!$C50="",对接源_02物料!$C50&lt;&gt;$L$1,对接源_02物料!$B50=""),0,IF(OR(N(对接源_02物料!$B50)&lt;$L$2,N(对接源_02物料!$B50)&gt;$L$3),0,1))</f>
        <v>0</v>
      </c>
      <c r="M1250" s="1" t="n">
        <f aca="false">IF(OR($M$1="",对接源_02物料!$C50="",对接源_02物料!$C50&lt;&gt;$M$1,对接源_02物料!$B50=""),0,IF(OR(N(对接源_02物料!$B50)&lt;$M$2,N(对接源_02物料!$B50)&gt;$M$3),0,1))</f>
        <v>0</v>
      </c>
      <c r="N1250" s="1" t="n">
        <f aca="false">IF(OR($N$1="",对接源_02物料!$C50="",对接源_02物料!$C50&lt;&gt;$N$1,对接源_02物料!$B50=""),0,IF(OR(N(对接源_02物料!$B50)&lt;$N$2,N(对接源_02物料!$B50)&gt;$N$3),0,1))</f>
        <v>0</v>
      </c>
      <c r="P1250" s="1" t="n">
        <f aca="false">IF(AND($K1250=1,AND(对接源_02物料!$X50="公司筐",N(对接源_02物料!$T50)&lt;&gt;0)),1,0)</f>
        <v>0</v>
      </c>
      <c r="Q1250" s="1" t="n">
        <f aca="false">N(Q1249)+$P1250</f>
        <v>7</v>
      </c>
      <c r="R1250" s="1" t="n">
        <f aca="false">IF(AND($K1250=1,AND(对接源_02物料!$X50="公司筐",N(对接源_02物料!$U50)&lt;&gt;0)),1,0)</f>
        <v>0</v>
      </c>
      <c r="S1250" s="1" t="n">
        <f aca="false">N(S1249)+$R1250</f>
        <v>2</v>
      </c>
      <c r="T1250" s="1" t="n">
        <f aca="false">IF(AND($K1250=1,AND(对接源_02物料!$X50="公司筐",N(对接源_02物料!$V50)&lt;&gt;0)),1,0)</f>
        <v>0</v>
      </c>
      <c r="U1250" s="1" t="n">
        <f aca="false">N(U1249)+$T1250</f>
        <v>28</v>
      </c>
      <c r="V1250" s="1" t="n">
        <f aca="false">IF(AND($L1250=1,AND(对接源_02物料!$X50="自备筐",N(对接源_02物料!$V50)&lt;&gt;0)),1,0)</f>
        <v>0</v>
      </c>
      <c r="W1250" s="1" t="n">
        <f aca="false">N(W1249)+$V1250</f>
        <v>7</v>
      </c>
      <c r="X1250" s="1" t="n">
        <f aca="false">IF(AND($L1250=1,AND(对接源_02物料!$X50="自备筐",N(对接源_02物料!$T50)&lt;&gt;0)),1,0)</f>
        <v>0</v>
      </c>
      <c r="Y1250" s="1" t="n">
        <f aca="false">N(Y1249)+$X1250</f>
        <v>0</v>
      </c>
      <c r="Z1250" s="1" t="n">
        <f aca="false">IF(AND($M1250=1,对接源_02物料!$D50="原料入库"),1,0)</f>
        <v>0</v>
      </c>
      <c r="AA1250" s="1" t="n">
        <f aca="false">N(AA1249)+$Z1250</f>
        <v>30</v>
      </c>
      <c r="AB1250" s="1" t="n">
        <f aca="false">IF(AND($M1250=1,LEFT(对接源_02物料!$D50,4)="原料出库"),1,0)</f>
        <v>0</v>
      </c>
      <c r="AC1250" s="1" t="n">
        <f aca="false">N(AC1249)+$AB1250</f>
        <v>19</v>
      </c>
      <c r="AD1250" s="1" t="n">
        <f aca="false">IF(AND($M1250=1,LEFT(对接源_02物料!$D50,4)="成品出库"),1,0)</f>
        <v>0</v>
      </c>
      <c r="AE1250" s="1" t="n">
        <f aca="false">N(AE1249)+$AD1250</f>
        <v>38</v>
      </c>
      <c r="AF1250" s="1" t="n">
        <f aca="false">IF(AND($N1250=1,AND(LEFT(对接源_02物料!$D50,4)="包装物料",N(对接源_02物料!$K50)&lt;&gt;0)),1,0)</f>
        <v>0</v>
      </c>
      <c r="AG1250" s="1" t="n">
        <f aca="false">N(AG1249)+$AF1250</f>
        <v>6</v>
      </c>
      <c r="AH1250" s="1" t="n">
        <f aca="false">IF(AND($N1250=1,AND(LEFT(对接源_02物料!$D50,3)="周转筐",N(对接源_02物料!$K50)&lt;&gt;0)),1,0)</f>
        <v>0</v>
      </c>
      <c r="AI1250" s="1" t="n">
        <f aca="false">N(AI1249)+$AH1250</f>
        <v>0</v>
      </c>
      <c r="AJ1250" s="1" t="n">
        <v>0</v>
      </c>
      <c r="AK1250" s="1" t="n">
        <f aca="false">N(AK1249)+$AJ1250</f>
        <v>3672</v>
      </c>
    </row>
    <row r="1251" customFormat="false" ht="13.5" hidden="false" customHeight="false" outlineLevel="0" collapsed="false">
      <c r="A1251" s="1" t="str">
        <f aca="false">IF(对接源_02物料!$C51="","",对接源_02物料!$C51)</f>
        <v>全修塑业</v>
      </c>
      <c r="B1251" s="1" t="n">
        <f aca="false">IF(A1251="",0,IF(MATCH(A1251,$A$4:$A$2403,0)=ROW()-3,1,0))</f>
        <v>0</v>
      </c>
      <c r="C1251" s="1" t="n">
        <f aca="false">N(C1250)+B1251</f>
        <v>17</v>
      </c>
      <c r="K1251" s="1" t="n">
        <f aca="false">IF(OR($K$1="",对接源_02物料!$C51="",对接源_02物料!$C51&lt;&gt;$K$1,对接源_02物料!$B51=""),0,IF(OR(N(对接源_02物料!$B51)&lt;$K$2,N(对接源_02物料!$B51)&gt;$K$3),0,1))</f>
        <v>0</v>
      </c>
      <c r="L1251" s="1" t="n">
        <f aca="false">IF(OR($L$1="",对接源_02物料!$C51="",对接源_02物料!$C51&lt;&gt;$L$1,对接源_02物料!$B51=""),0,IF(OR(N(对接源_02物料!$B51)&lt;$L$2,N(对接源_02物料!$B51)&gt;$L$3),0,1))</f>
        <v>0</v>
      </c>
      <c r="M1251" s="1" t="n">
        <f aca="false">IF(OR($M$1="",对接源_02物料!$C51="",对接源_02物料!$C51&lt;&gt;$M$1,对接源_02物料!$B51=""),0,IF(OR(N(对接源_02物料!$B51)&lt;$M$2,N(对接源_02物料!$B51)&gt;$M$3),0,1))</f>
        <v>0</v>
      </c>
      <c r="N1251" s="1" t="n">
        <f aca="false">IF(OR($N$1="",对接源_02物料!$C51="",对接源_02物料!$C51&lt;&gt;$N$1,对接源_02物料!$B51=""),0,IF(OR(N(对接源_02物料!$B51)&lt;$N$2,N(对接源_02物料!$B51)&gt;$N$3),0,1))</f>
        <v>0</v>
      </c>
      <c r="P1251" s="1" t="n">
        <f aca="false">IF(AND($K1251=1,AND(对接源_02物料!$X51="公司筐",N(对接源_02物料!$T51)&lt;&gt;0)),1,0)</f>
        <v>0</v>
      </c>
      <c r="Q1251" s="1" t="n">
        <f aca="false">N(Q1250)+$P1251</f>
        <v>7</v>
      </c>
      <c r="R1251" s="1" t="n">
        <f aca="false">IF(AND($K1251=1,AND(对接源_02物料!$X51="公司筐",N(对接源_02物料!$U51)&lt;&gt;0)),1,0)</f>
        <v>0</v>
      </c>
      <c r="S1251" s="1" t="n">
        <f aca="false">N(S1250)+$R1251</f>
        <v>2</v>
      </c>
      <c r="T1251" s="1" t="n">
        <f aca="false">IF(AND($K1251=1,AND(对接源_02物料!$X51="公司筐",N(对接源_02物料!$V51)&lt;&gt;0)),1,0)</f>
        <v>0</v>
      </c>
      <c r="U1251" s="1" t="n">
        <f aca="false">N(U1250)+$T1251</f>
        <v>28</v>
      </c>
      <c r="V1251" s="1" t="n">
        <f aca="false">IF(AND($L1251=1,AND(对接源_02物料!$X51="自备筐",N(对接源_02物料!$V51)&lt;&gt;0)),1,0)</f>
        <v>0</v>
      </c>
      <c r="W1251" s="1" t="n">
        <f aca="false">N(W1250)+$V1251</f>
        <v>7</v>
      </c>
      <c r="X1251" s="1" t="n">
        <f aca="false">IF(AND($L1251=1,AND(对接源_02物料!$X51="自备筐",N(对接源_02物料!$T51)&lt;&gt;0)),1,0)</f>
        <v>0</v>
      </c>
      <c r="Y1251" s="1" t="n">
        <f aca="false">N(Y1250)+$X1251</f>
        <v>0</v>
      </c>
      <c r="Z1251" s="1" t="n">
        <f aca="false">IF(AND($M1251=1,对接源_02物料!$D51="原料入库"),1,0)</f>
        <v>0</v>
      </c>
      <c r="AA1251" s="1" t="n">
        <f aca="false">N(AA1250)+$Z1251</f>
        <v>30</v>
      </c>
      <c r="AB1251" s="1" t="n">
        <f aca="false">IF(AND($M1251=1,LEFT(对接源_02物料!$D51,4)="原料出库"),1,0)</f>
        <v>0</v>
      </c>
      <c r="AC1251" s="1" t="n">
        <f aca="false">N(AC1250)+$AB1251</f>
        <v>19</v>
      </c>
      <c r="AD1251" s="1" t="n">
        <f aca="false">IF(AND($M1251=1,LEFT(对接源_02物料!$D51,4)="成品出库"),1,0)</f>
        <v>0</v>
      </c>
      <c r="AE1251" s="1" t="n">
        <f aca="false">N(AE1250)+$AD1251</f>
        <v>38</v>
      </c>
      <c r="AF1251" s="1" t="n">
        <f aca="false">IF(AND($N1251=1,AND(LEFT(对接源_02物料!$D51,4)="包装物料",N(对接源_02物料!$K51)&lt;&gt;0)),1,0)</f>
        <v>0</v>
      </c>
      <c r="AG1251" s="1" t="n">
        <f aca="false">N(AG1250)+$AF1251</f>
        <v>6</v>
      </c>
      <c r="AH1251" s="1" t="n">
        <f aca="false">IF(AND($N1251=1,AND(LEFT(对接源_02物料!$D51,3)="周转筐",N(对接源_02物料!$K51)&lt;&gt;0)),1,0)</f>
        <v>0</v>
      </c>
      <c r="AI1251" s="1" t="n">
        <f aca="false">N(AI1250)+$AH1251</f>
        <v>0</v>
      </c>
      <c r="AJ1251" s="1" t="n">
        <v>0</v>
      </c>
      <c r="AK1251" s="1" t="n">
        <f aca="false">N(AK1250)+$AJ1251</f>
        <v>3672</v>
      </c>
    </row>
    <row r="1252" customFormat="false" ht="13.5" hidden="false" customHeight="false" outlineLevel="0" collapsed="false">
      <c r="A1252" s="1" t="str">
        <f aca="false">IF(对接源_02物料!$C52="","",对接源_02物料!$C52)</f>
        <v>吐尔洪</v>
      </c>
      <c r="B1252" s="1" t="n">
        <f aca="false">IF(A1252="",0,IF(MATCH(A1252,$A$4:$A$2403,0)=ROW()-3,1,0))</f>
        <v>0</v>
      </c>
      <c r="C1252" s="1" t="n">
        <f aca="false">N(C1251)+B1252</f>
        <v>17</v>
      </c>
      <c r="K1252" s="1" t="n">
        <f aca="false">IF(OR($K$1="",对接源_02物料!$C52="",对接源_02物料!$C52&lt;&gt;$K$1,对接源_02物料!$B52=""),0,IF(OR(N(对接源_02物料!$B52)&lt;$K$2,N(对接源_02物料!$B52)&gt;$K$3),0,1))</f>
        <v>0</v>
      </c>
      <c r="L1252" s="1" t="n">
        <f aca="false">IF(OR($L$1="",对接源_02物料!$C52="",对接源_02物料!$C52&lt;&gt;$L$1,对接源_02物料!$B52=""),0,IF(OR(N(对接源_02物料!$B52)&lt;$L$2,N(对接源_02物料!$B52)&gt;$L$3),0,1))</f>
        <v>0</v>
      </c>
      <c r="M1252" s="1" t="n">
        <f aca="false">IF(OR($M$1="",对接源_02物料!$C52="",对接源_02物料!$C52&lt;&gt;$M$1,对接源_02物料!$B52=""),0,IF(OR(N(对接源_02物料!$B52)&lt;$M$2,N(对接源_02物料!$B52)&gt;$M$3),0,1))</f>
        <v>0</v>
      </c>
      <c r="N1252" s="1" t="n">
        <f aca="false">IF(OR($N$1="",对接源_02物料!$C52="",对接源_02物料!$C52&lt;&gt;$N$1,对接源_02物料!$B52=""),0,IF(OR(N(对接源_02物料!$B52)&lt;$N$2,N(对接源_02物料!$B52)&gt;$N$3),0,1))</f>
        <v>0</v>
      </c>
      <c r="P1252" s="1" t="n">
        <f aca="false">IF(AND($K1252=1,AND(对接源_02物料!$X52="公司筐",N(对接源_02物料!$T52)&lt;&gt;0)),1,0)</f>
        <v>0</v>
      </c>
      <c r="Q1252" s="1" t="n">
        <f aca="false">N(Q1251)+$P1252</f>
        <v>7</v>
      </c>
      <c r="R1252" s="1" t="n">
        <f aca="false">IF(AND($K1252=1,AND(对接源_02物料!$X52="公司筐",N(对接源_02物料!$U52)&lt;&gt;0)),1,0)</f>
        <v>0</v>
      </c>
      <c r="S1252" s="1" t="n">
        <f aca="false">N(S1251)+$R1252</f>
        <v>2</v>
      </c>
      <c r="T1252" s="1" t="n">
        <f aca="false">IF(AND($K1252=1,AND(对接源_02物料!$X52="公司筐",N(对接源_02物料!$V52)&lt;&gt;0)),1,0)</f>
        <v>0</v>
      </c>
      <c r="U1252" s="1" t="n">
        <f aca="false">N(U1251)+$T1252</f>
        <v>28</v>
      </c>
      <c r="V1252" s="1" t="n">
        <f aca="false">IF(AND($L1252=1,AND(对接源_02物料!$X52="自备筐",N(对接源_02物料!$V52)&lt;&gt;0)),1,0)</f>
        <v>0</v>
      </c>
      <c r="W1252" s="1" t="n">
        <f aca="false">N(W1251)+$V1252</f>
        <v>7</v>
      </c>
      <c r="X1252" s="1" t="n">
        <f aca="false">IF(AND($L1252=1,AND(对接源_02物料!$X52="自备筐",N(对接源_02物料!$T52)&lt;&gt;0)),1,0)</f>
        <v>0</v>
      </c>
      <c r="Y1252" s="1" t="n">
        <f aca="false">N(Y1251)+$X1252</f>
        <v>0</v>
      </c>
      <c r="Z1252" s="1" t="n">
        <f aca="false">IF(AND($M1252=1,对接源_02物料!$D52="原料入库"),1,0)</f>
        <v>0</v>
      </c>
      <c r="AA1252" s="1" t="n">
        <f aca="false">N(AA1251)+$Z1252</f>
        <v>30</v>
      </c>
      <c r="AB1252" s="1" t="n">
        <f aca="false">IF(AND($M1252=1,LEFT(对接源_02物料!$D52,4)="原料出库"),1,0)</f>
        <v>0</v>
      </c>
      <c r="AC1252" s="1" t="n">
        <f aca="false">N(AC1251)+$AB1252</f>
        <v>19</v>
      </c>
      <c r="AD1252" s="1" t="n">
        <f aca="false">IF(AND($M1252=1,LEFT(对接源_02物料!$D52,4)="成品出库"),1,0)</f>
        <v>0</v>
      </c>
      <c r="AE1252" s="1" t="n">
        <f aca="false">N(AE1251)+$AD1252</f>
        <v>38</v>
      </c>
      <c r="AF1252" s="1" t="n">
        <f aca="false">IF(AND($N1252=1,AND(LEFT(对接源_02物料!$D52,4)="包装物料",N(对接源_02物料!$K52)&lt;&gt;0)),1,0)</f>
        <v>0</v>
      </c>
      <c r="AG1252" s="1" t="n">
        <f aca="false">N(AG1251)+$AF1252</f>
        <v>6</v>
      </c>
      <c r="AH1252" s="1" t="n">
        <f aca="false">IF(AND($N1252=1,AND(LEFT(对接源_02物料!$D52,3)="周转筐",N(对接源_02物料!$K52)&lt;&gt;0)),1,0)</f>
        <v>0</v>
      </c>
      <c r="AI1252" s="1" t="n">
        <f aca="false">N(AI1251)+$AH1252</f>
        <v>0</v>
      </c>
      <c r="AJ1252" s="1" t="n">
        <v>0</v>
      </c>
      <c r="AK1252" s="1" t="n">
        <f aca="false">N(AK1251)+$AJ1252</f>
        <v>3672</v>
      </c>
    </row>
    <row r="1253" customFormat="false" ht="13.5" hidden="false" customHeight="false" outlineLevel="0" collapsed="false">
      <c r="A1253" s="1" t="str">
        <f aca="false">IF(对接源_02物料!$C53="","",对接源_02物料!$C53)</f>
        <v>全修塑业</v>
      </c>
      <c r="B1253" s="1" t="n">
        <f aca="false">IF(A1253="",0,IF(MATCH(A1253,$A$4:$A$2403,0)=ROW()-3,1,0))</f>
        <v>0</v>
      </c>
      <c r="C1253" s="1" t="n">
        <f aca="false">N(C1252)+B1253</f>
        <v>17</v>
      </c>
      <c r="K1253" s="1" t="n">
        <f aca="false">IF(OR($K$1="",对接源_02物料!$C53="",对接源_02物料!$C53&lt;&gt;$K$1,对接源_02物料!$B53=""),0,IF(OR(N(对接源_02物料!$B53)&lt;$K$2,N(对接源_02物料!$B53)&gt;$K$3),0,1))</f>
        <v>0</v>
      </c>
      <c r="L1253" s="1" t="n">
        <f aca="false">IF(OR($L$1="",对接源_02物料!$C53="",对接源_02物料!$C53&lt;&gt;$L$1,对接源_02物料!$B53=""),0,IF(OR(N(对接源_02物料!$B53)&lt;$L$2,N(对接源_02物料!$B53)&gt;$L$3),0,1))</f>
        <v>0</v>
      </c>
      <c r="M1253" s="1" t="n">
        <f aca="false">IF(OR($M$1="",对接源_02物料!$C53="",对接源_02物料!$C53&lt;&gt;$M$1,对接源_02物料!$B53=""),0,IF(OR(N(对接源_02物料!$B53)&lt;$M$2,N(对接源_02物料!$B53)&gt;$M$3),0,1))</f>
        <v>0</v>
      </c>
      <c r="N1253" s="1" t="n">
        <f aca="false">IF(OR($N$1="",对接源_02物料!$C53="",对接源_02物料!$C53&lt;&gt;$N$1,对接源_02物料!$B53=""),0,IF(OR(N(对接源_02物料!$B53)&lt;$N$2,N(对接源_02物料!$B53)&gt;$N$3),0,1))</f>
        <v>0</v>
      </c>
      <c r="P1253" s="1" t="n">
        <f aca="false">IF(AND($K1253=1,AND(对接源_02物料!$X53="公司筐",N(对接源_02物料!$T53)&lt;&gt;0)),1,0)</f>
        <v>0</v>
      </c>
      <c r="Q1253" s="1" t="n">
        <f aca="false">N(Q1252)+$P1253</f>
        <v>7</v>
      </c>
      <c r="R1253" s="1" t="n">
        <f aca="false">IF(AND($K1253=1,AND(对接源_02物料!$X53="公司筐",N(对接源_02物料!$U53)&lt;&gt;0)),1,0)</f>
        <v>0</v>
      </c>
      <c r="S1253" s="1" t="n">
        <f aca="false">N(S1252)+$R1253</f>
        <v>2</v>
      </c>
      <c r="T1253" s="1" t="n">
        <f aca="false">IF(AND($K1253=1,AND(对接源_02物料!$X53="公司筐",N(对接源_02物料!$V53)&lt;&gt;0)),1,0)</f>
        <v>0</v>
      </c>
      <c r="U1253" s="1" t="n">
        <f aca="false">N(U1252)+$T1253</f>
        <v>28</v>
      </c>
      <c r="V1253" s="1" t="n">
        <f aca="false">IF(AND($L1253=1,AND(对接源_02物料!$X53="自备筐",N(对接源_02物料!$V53)&lt;&gt;0)),1,0)</f>
        <v>0</v>
      </c>
      <c r="W1253" s="1" t="n">
        <f aca="false">N(W1252)+$V1253</f>
        <v>7</v>
      </c>
      <c r="X1253" s="1" t="n">
        <f aca="false">IF(AND($L1253=1,AND(对接源_02物料!$X53="自备筐",N(对接源_02物料!$T53)&lt;&gt;0)),1,0)</f>
        <v>0</v>
      </c>
      <c r="Y1253" s="1" t="n">
        <f aca="false">N(Y1252)+$X1253</f>
        <v>0</v>
      </c>
      <c r="Z1253" s="1" t="n">
        <f aca="false">IF(AND($M1253=1,对接源_02物料!$D53="原料入库"),1,0)</f>
        <v>0</v>
      </c>
      <c r="AA1253" s="1" t="n">
        <f aca="false">N(AA1252)+$Z1253</f>
        <v>30</v>
      </c>
      <c r="AB1253" s="1" t="n">
        <f aca="false">IF(AND($M1253=1,LEFT(对接源_02物料!$D53,4)="原料出库"),1,0)</f>
        <v>0</v>
      </c>
      <c r="AC1253" s="1" t="n">
        <f aca="false">N(AC1252)+$AB1253</f>
        <v>19</v>
      </c>
      <c r="AD1253" s="1" t="n">
        <f aca="false">IF(AND($M1253=1,LEFT(对接源_02物料!$D53,4)="成品出库"),1,0)</f>
        <v>0</v>
      </c>
      <c r="AE1253" s="1" t="n">
        <f aca="false">N(AE1252)+$AD1253</f>
        <v>38</v>
      </c>
      <c r="AF1253" s="1" t="n">
        <f aca="false">IF(AND($N1253=1,AND(LEFT(对接源_02物料!$D53,4)="包装物料",N(对接源_02物料!$K53)&lt;&gt;0)),1,0)</f>
        <v>0</v>
      </c>
      <c r="AG1253" s="1" t="n">
        <f aca="false">N(AG1252)+$AF1253</f>
        <v>6</v>
      </c>
      <c r="AH1253" s="1" t="n">
        <f aca="false">IF(AND($N1253=1,AND(LEFT(对接源_02物料!$D53,3)="周转筐",N(对接源_02物料!$K53)&lt;&gt;0)),1,0)</f>
        <v>0</v>
      </c>
      <c r="AI1253" s="1" t="n">
        <f aca="false">N(AI1252)+$AH1253</f>
        <v>0</v>
      </c>
      <c r="AJ1253" s="1" t="n">
        <v>0</v>
      </c>
      <c r="AK1253" s="1" t="n">
        <f aca="false">N(AK1252)+$AJ1253</f>
        <v>3672</v>
      </c>
    </row>
    <row r="1254" customFormat="false" ht="13.5" hidden="false" customHeight="false" outlineLevel="0" collapsed="false">
      <c r="A1254" s="1" t="str">
        <f aca="false">IF(对接源_02物料!$C54="","",对接源_02物料!$C54)</f>
        <v>热合曼</v>
      </c>
      <c r="B1254" s="1" t="n">
        <f aca="false">IF(A1254="",0,IF(MATCH(A1254,$A$4:$A$2403,0)=ROW()-3,1,0))</f>
        <v>0</v>
      </c>
      <c r="C1254" s="1" t="n">
        <f aca="false">N(C1253)+B1254</f>
        <v>17</v>
      </c>
      <c r="K1254" s="1" t="n">
        <f aca="false">IF(OR($K$1="",对接源_02物料!$C54="",对接源_02物料!$C54&lt;&gt;$K$1,对接源_02物料!$B54=""),0,IF(OR(N(对接源_02物料!$B54)&lt;$K$2,N(对接源_02物料!$B54)&gt;$K$3),0,1))</f>
        <v>0</v>
      </c>
      <c r="L1254" s="1" t="n">
        <f aca="false">IF(OR($L$1="",对接源_02物料!$C54="",对接源_02物料!$C54&lt;&gt;$L$1,对接源_02物料!$B54=""),0,IF(OR(N(对接源_02物料!$B54)&lt;$L$2,N(对接源_02物料!$B54)&gt;$L$3),0,1))</f>
        <v>0</v>
      </c>
      <c r="M1254" s="1" t="n">
        <f aca="false">IF(OR($M$1="",对接源_02物料!$C54="",对接源_02物料!$C54&lt;&gt;$M$1,对接源_02物料!$B54=""),0,IF(OR(N(对接源_02物料!$B54)&lt;$M$2,N(对接源_02物料!$B54)&gt;$M$3),0,1))</f>
        <v>0</v>
      </c>
      <c r="N1254" s="1" t="n">
        <f aca="false">IF(OR($N$1="",对接源_02物料!$C54="",对接源_02物料!$C54&lt;&gt;$N$1,对接源_02物料!$B54=""),0,IF(OR(N(对接源_02物料!$B54)&lt;$N$2,N(对接源_02物料!$B54)&gt;$N$3),0,1))</f>
        <v>0</v>
      </c>
      <c r="P1254" s="1" t="n">
        <f aca="false">IF(AND($K1254=1,AND(对接源_02物料!$X54="公司筐",N(对接源_02物料!$T54)&lt;&gt;0)),1,0)</f>
        <v>0</v>
      </c>
      <c r="Q1254" s="1" t="n">
        <f aca="false">N(Q1253)+$P1254</f>
        <v>7</v>
      </c>
      <c r="R1254" s="1" t="n">
        <f aca="false">IF(AND($K1254=1,AND(对接源_02物料!$X54="公司筐",N(对接源_02物料!$U54)&lt;&gt;0)),1,0)</f>
        <v>0</v>
      </c>
      <c r="S1254" s="1" t="n">
        <f aca="false">N(S1253)+$R1254</f>
        <v>2</v>
      </c>
      <c r="T1254" s="1" t="n">
        <f aca="false">IF(AND($K1254=1,AND(对接源_02物料!$X54="公司筐",N(对接源_02物料!$V54)&lt;&gt;0)),1,0)</f>
        <v>0</v>
      </c>
      <c r="U1254" s="1" t="n">
        <f aca="false">N(U1253)+$T1254</f>
        <v>28</v>
      </c>
      <c r="V1254" s="1" t="n">
        <f aca="false">IF(AND($L1254=1,AND(对接源_02物料!$X54="自备筐",N(对接源_02物料!$V54)&lt;&gt;0)),1,0)</f>
        <v>0</v>
      </c>
      <c r="W1254" s="1" t="n">
        <f aca="false">N(W1253)+$V1254</f>
        <v>7</v>
      </c>
      <c r="X1254" s="1" t="n">
        <f aca="false">IF(AND($L1254=1,AND(对接源_02物料!$X54="自备筐",N(对接源_02物料!$T54)&lt;&gt;0)),1,0)</f>
        <v>0</v>
      </c>
      <c r="Y1254" s="1" t="n">
        <f aca="false">N(Y1253)+$X1254</f>
        <v>0</v>
      </c>
      <c r="Z1254" s="1" t="n">
        <f aca="false">IF(AND($M1254=1,对接源_02物料!$D54="原料入库"),1,0)</f>
        <v>0</v>
      </c>
      <c r="AA1254" s="1" t="n">
        <f aca="false">N(AA1253)+$Z1254</f>
        <v>30</v>
      </c>
      <c r="AB1254" s="1" t="n">
        <f aca="false">IF(AND($M1254=1,LEFT(对接源_02物料!$D54,4)="原料出库"),1,0)</f>
        <v>0</v>
      </c>
      <c r="AC1254" s="1" t="n">
        <f aca="false">N(AC1253)+$AB1254</f>
        <v>19</v>
      </c>
      <c r="AD1254" s="1" t="n">
        <f aca="false">IF(AND($M1254=1,LEFT(对接源_02物料!$D54,4)="成品出库"),1,0)</f>
        <v>0</v>
      </c>
      <c r="AE1254" s="1" t="n">
        <f aca="false">N(AE1253)+$AD1254</f>
        <v>38</v>
      </c>
      <c r="AF1254" s="1" t="n">
        <f aca="false">IF(AND($N1254=1,AND(LEFT(对接源_02物料!$D54,4)="包装物料",N(对接源_02物料!$K54)&lt;&gt;0)),1,0)</f>
        <v>0</v>
      </c>
      <c r="AG1254" s="1" t="n">
        <f aca="false">N(AG1253)+$AF1254</f>
        <v>6</v>
      </c>
      <c r="AH1254" s="1" t="n">
        <f aca="false">IF(AND($N1254=1,AND(LEFT(对接源_02物料!$D54,3)="周转筐",N(对接源_02物料!$K54)&lt;&gt;0)),1,0)</f>
        <v>0</v>
      </c>
      <c r="AI1254" s="1" t="n">
        <f aca="false">N(AI1253)+$AH1254</f>
        <v>0</v>
      </c>
      <c r="AJ1254" s="1" t="n">
        <v>0</v>
      </c>
      <c r="AK1254" s="1" t="n">
        <f aca="false">N(AK1253)+$AJ1254</f>
        <v>3672</v>
      </c>
    </row>
    <row r="1255" customFormat="false" ht="13.5" hidden="false" customHeight="false" outlineLevel="0" collapsed="false">
      <c r="A1255" s="1" t="str">
        <f aca="false">IF(对接源_02物料!$C55="","",对接源_02物料!$C55)</f>
        <v>全修塑业</v>
      </c>
      <c r="B1255" s="1" t="n">
        <f aca="false">IF(A1255="",0,IF(MATCH(A1255,$A$4:$A$2403,0)=ROW()-3,1,0))</f>
        <v>0</v>
      </c>
      <c r="C1255" s="1" t="n">
        <f aca="false">N(C1254)+B1255</f>
        <v>17</v>
      </c>
      <c r="K1255" s="1" t="n">
        <f aca="false">IF(OR($K$1="",对接源_02物料!$C55="",对接源_02物料!$C55&lt;&gt;$K$1,对接源_02物料!$B55=""),0,IF(OR(N(对接源_02物料!$B55)&lt;$K$2,N(对接源_02物料!$B55)&gt;$K$3),0,1))</f>
        <v>0</v>
      </c>
      <c r="L1255" s="1" t="n">
        <f aca="false">IF(OR($L$1="",对接源_02物料!$C55="",对接源_02物料!$C55&lt;&gt;$L$1,对接源_02物料!$B55=""),0,IF(OR(N(对接源_02物料!$B55)&lt;$L$2,N(对接源_02物料!$B55)&gt;$L$3),0,1))</f>
        <v>0</v>
      </c>
      <c r="M1255" s="1" t="n">
        <f aca="false">IF(OR($M$1="",对接源_02物料!$C55="",对接源_02物料!$C55&lt;&gt;$M$1,对接源_02物料!$B55=""),0,IF(OR(N(对接源_02物料!$B55)&lt;$M$2,N(对接源_02物料!$B55)&gt;$M$3),0,1))</f>
        <v>0</v>
      </c>
      <c r="N1255" s="1" t="n">
        <f aca="false">IF(OR($N$1="",对接源_02物料!$C55="",对接源_02物料!$C55&lt;&gt;$N$1,对接源_02物料!$B55=""),0,IF(OR(N(对接源_02物料!$B55)&lt;$N$2,N(对接源_02物料!$B55)&gt;$N$3),0,1))</f>
        <v>0</v>
      </c>
      <c r="P1255" s="1" t="n">
        <f aca="false">IF(AND($K1255=1,AND(对接源_02物料!$X55="公司筐",N(对接源_02物料!$T55)&lt;&gt;0)),1,0)</f>
        <v>0</v>
      </c>
      <c r="Q1255" s="1" t="n">
        <f aca="false">N(Q1254)+$P1255</f>
        <v>7</v>
      </c>
      <c r="R1255" s="1" t="n">
        <f aca="false">IF(AND($K1255=1,AND(对接源_02物料!$X55="公司筐",N(对接源_02物料!$U55)&lt;&gt;0)),1,0)</f>
        <v>0</v>
      </c>
      <c r="S1255" s="1" t="n">
        <f aca="false">N(S1254)+$R1255</f>
        <v>2</v>
      </c>
      <c r="T1255" s="1" t="n">
        <f aca="false">IF(AND($K1255=1,AND(对接源_02物料!$X55="公司筐",N(对接源_02物料!$V55)&lt;&gt;0)),1,0)</f>
        <v>0</v>
      </c>
      <c r="U1255" s="1" t="n">
        <f aca="false">N(U1254)+$T1255</f>
        <v>28</v>
      </c>
      <c r="V1255" s="1" t="n">
        <f aca="false">IF(AND($L1255=1,AND(对接源_02物料!$X55="自备筐",N(对接源_02物料!$V55)&lt;&gt;0)),1,0)</f>
        <v>0</v>
      </c>
      <c r="W1255" s="1" t="n">
        <f aca="false">N(W1254)+$V1255</f>
        <v>7</v>
      </c>
      <c r="X1255" s="1" t="n">
        <f aca="false">IF(AND($L1255=1,AND(对接源_02物料!$X55="自备筐",N(对接源_02物料!$T55)&lt;&gt;0)),1,0)</f>
        <v>0</v>
      </c>
      <c r="Y1255" s="1" t="n">
        <f aca="false">N(Y1254)+$X1255</f>
        <v>0</v>
      </c>
      <c r="Z1255" s="1" t="n">
        <f aca="false">IF(AND($M1255=1,对接源_02物料!$D55="原料入库"),1,0)</f>
        <v>0</v>
      </c>
      <c r="AA1255" s="1" t="n">
        <f aca="false">N(AA1254)+$Z1255</f>
        <v>30</v>
      </c>
      <c r="AB1255" s="1" t="n">
        <f aca="false">IF(AND($M1255=1,LEFT(对接源_02物料!$D55,4)="原料出库"),1,0)</f>
        <v>0</v>
      </c>
      <c r="AC1255" s="1" t="n">
        <f aca="false">N(AC1254)+$AB1255</f>
        <v>19</v>
      </c>
      <c r="AD1255" s="1" t="n">
        <f aca="false">IF(AND($M1255=1,LEFT(对接源_02物料!$D55,4)="成品出库"),1,0)</f>
        <v>0</v>
      </c>
      <c r="AE1255" s="1" t="n">
        <f aca="false">N(AE1254)+$AD1255</f>
        <v>38</v>
      </c>
      <c r="AF1255" s="1" t="n">
        <f aca="false">IF(AND($N1255=1,AND(LEFT(对接源_02物料!$D55,4)="包装物料",N(对接源_02物料!$K55)&lt;&gt;0)),1,0)</f>
        <v>0</v>
      </c>
      <c r="AG1255" s="1" t="n">
        <f aca="false">N(AG1254)+$AF1255</f>
        <v>6</v>
      </c>
      <c r="AH1255" s="1" t="n">
        <f aca="false">IF(AND($N1255=1,AND(LEFT(对接源_02物料!$D55,3)="周转筐",N(对接源_02物料!$K55)&lt;&gt;0)),1,0)</f>
        <v>0</v>
      </c>
      <c r="AI1255" s="1" t="n">
        <f aca="false">N(AI1254)+$AH1255</f>
        <v>0</v>
      </c>
      <c r="AJ1255" s="1" t="n">
        <v>0</v>
      </c>
      <c r="AK1255" s="1" t="n">
        <f aca="false">N(AK1254)+$AJ1255</f>
        <v>3672</v>
      </c>
    </row>
    <row r="1256" customFormat="false" ht="13.5" hidden="false" customHeight="false" outlineLevel="0" collapsed="false">
      <c r="A1256" s="1" t="str">
        <f aca="false">IF(对接源_02物料!$C56="","",对接源_02物料!$C56)</f>
        <v>王灵云</v>
      </c>
      <c r="B1256" s="1" t="n">
        <f aca="false">IF(A1256="",0,IF(MATCH(A1256,$A$4:$A$2403,0)=ROW()-3,1,0))</f>
        <v>0</v>
      </c>
      <c r="C1256" s="1" t="n">
        <f aca="false">N(C1255)+B1256</f>
        <v>17</v>
      </c>
      <c r="K1256" s="1" t="n">
        <f aca="false">IF(OR($K$1="",对接源_02物料!$C56="",对接源_02物料!$C56&lt;&gt;$K$1,对接源_02物料!$B56=""),0,IF(OR(N(对接源_02物料!$B56)&lt;$K$2,N(对接源_02物料!$B56)&gt;$K$3),0,1))</f>
        <v>0</v>
      </c>
      <c r="L1256" s="1" t="n">
        <f aca="false">IF(OR($L$1="",对接源_02物料!$C56="",对接源_02物料!$C56&lt;&gt;$L$1,对接源_02物料!$B56=""),0,IF(OR(N(对接源_02物料!$B56)&lt;$L$2,N(对接源_02物料!$B56)&gt;$L$3),0,1))</f>
        <v>0</v>
      </c>
      <c r="M1256" s="1" t="n">
        <f aca="false">IF(OR($M$1="",对接源_02物料!$C56="",对接源_02物料!$C56&lt;&gt;$M$1,对接源_02物料!$B56=""),0,IF(OR(N(对接源_02物料!$B56)&lt;$M$2,N(对接源_02物料!$B56)&gt;$M$3),0,1))</f>
        <v>0</v>
      </c>
      <c r="N1256" s="1" t="n">
        <f aca="false">IF(OR($N$1="",对接源_02物料!$C56="",对接源_02物料!$C56&lt;&gt;$N$1,对接源_02物料!$B56=""),0,IF(OR(N(对接源_02物料!$B56)&lt;$N$2,N(对接源_02物料!$B56)&gt;$N$3),0,1))</f>
        <v>0</v>
      </c>
      <c r="P1256" s="1" t="n">
        <f aca="false">IF(AND($K1256=1,AND(对接源_02物料!$X56="公司筐",N(对接源_02物料!$T56)&lt;&gt;0)),1,0)</f>
        <v>0</v>
      </c>
      <c r="Q1256" s="1" t="n">
        <f aca="false">N(Q1255)+$P1256</f>
        <v>7</v>
      </c>
      <c r="R1256" s="1" t="n">
        <f aca="false">IF(AND($K1256=1,AND(对接源_02物料!$X56="公司筐",N(对接源_02物料!$U56)&lt;&gt;0)),1,0)</f>
        <v>0</v>
      </c>
      <c r="S1256" s="1" t="n">
        <f aca="false">N(S1255)+$R1256</f>
        <v>2</v>
      </c>
      <c r="T1256" s="1" t="n">
        <f aca="false">IF(AND($K1256=1,AND(对接源_02物料!$X56="公司筐",N(对接源_02物料!$V56)&lt;&gt;0)),1,0)</f>
        <v>0</v>
      </c>
      <c r="U1256" s="1" t="n">
        <f aca="false">N(U1255)+$T1256</f>
        <v>28</v>
      </c>
      <c r="V1256" s="1" t="n">
        <f aca="false">IF(AND($L1256=1,AND(对接源_02物料!$X56="自备筐",N(对接源_02物料!$V56)&lt;&gt;0)),1,0)</f>
        <v>0</v>
      </c>
      <c r="W1256" s="1" t="n">
        <f aca="false">N(W1255)+$V1256</f>
        <v>7</v>
      </c>
      <c r="X1256" s="1" t="n">
        <f aca="false">IF(AND($L1256=1,AND(对接源_02物料!$X56="自备筐",N(对接源_02物料!$T56)&lt;&gt;0)),1,0)</f>
        <v>0</v>
      </c>
      <c r="Y1256" s="1" t="n">
        <f aca="false">N(Y1255)+$X1256</f>
        <v>0</v>
      </c>
      <c r="Z1256" s="1" t="n">
        <f aca="false">IF(AND($M1256=1,对接源_02物料!$D56="原料入库"),1,0)</f>
        <v>0</v>
      </c>
      <c r="AA1256" s="1" t="n">
        <f aca="false">N(AA1255)+$Z1256</f>
        <v>30</v>
      </c>
      <c r="AB1256" s="1" t="n">
        <f aca="false">IF(AND($M1256=1,LEFT(对接源_02物料!$D56,4)="原料出库"),1,0)</f>
        <v>0</v>
      </c>
      <c r="AC1256" s="1" t="n">
        <f aca="false">N(AC1255)+$AB1256</f>
        <v>19</v>
      </c>
      <c r="AD1256" s="1" t="n">
        <f aca="false">IF(AND($M1256=1,LEFT(对接源_02物料!$D56,4)="成品出库"),1,0)</f>
        <v>0</v>
      </c>
      <c r="AE1256" s="1" t="n">
        <f aca="false">N(AE1255)+$AD1256</f>
        <v>38</v>
      </c>
      <c r="AF1256" s="1" t="n">
        <f aca="false">IF(AND($N1256=1,AND(LEFT(对接源_02物料!$D56,4)="包装物料",N(对接源_02物料!$K56)&lt;&gt;0)),1,0)</f>
        <v>0</v>
      </c>
      <c r="AG1256" s="1" t="n">
        <f aca="false">N(AG1255)+$AF1256</f>
        <v>6</v>
      </c>
      <c r="AH1256" s="1" t="n">
        <f aca="false">IF(AND($N1256=1,AND(LEFT(对接源_02物料!$D56,3)="周转筐",N(对接源_02物料!$K56)&lt;&gt;0)),1,0)</f>
        <v>0</v>
      </c>
      <c r="AI1256" s="1" t="n">
        <f aca="false">N(AI1255)+$AH1256</f>
        <v>0</v>
      </c>
      <c r="AJ1256" s="1" t="n">
        <v>0</v>
      </c>
      <c r="AK1256" s="1" t="n">
        <f aca="false">N(AK1255)+$AJ1256</f>
        <v>3672</v>
      </c>
    </row>
    <row r="1257" customFormat="false" ht="13.5" hidden="false" customHeight="false" outlineLevel="0" collapsed="false">
      <c r="A1257" s="1" t="str">
        <f aca="false">IF(对接源_02物料!$C57="","",对接源_02物料!$C57)</f>
        <v>全修塑业</v>
      </c>
      <c r="B1257" s="1" t="n">
        <f aca="false">IF(A1257="",0,IF(MATCH(A1257,$A$4:$A$2403,0)=ROW()-3,1,0))</f>
        <v>0</v>
      </c>
      <c r="C1257" s="1" t="n">
        <f aca="false">N(C1256)+B1257</f>
        <v>17</v>
      </c>
      <c r="K1257" s="1" t="n">
        <f aca="false">IF(OR($K$1="",对接源_02物料!$C57="",对接源_02物料!$C57&lt;&gt;$K$1,对接源_02物料!$B57=""),0,IF(OR(N(对接源_02物料!$B57)&lt;$K$2,N(对接源_02物料!$B57)&gt;$K$3),0,1))</f>
        <v>0</v>
      </c>
      <c r="L1257" s="1" t="n">
        <f aca="false">IF(OR($L$1="",对接源_02物料!$C57="",对接源_02物料!$C57&lt;&gt;$L$1,对接源_02物料!$B57=""),0,IF(OR(N(对接源_02物料!$B57)&lt;$L$2,N(对接源_02物料!$B57)&gt;$L$3),0,1))</f>
        <v>0</v>
      </c>
      <c r="M1257" s="1" t="n">
        <f aca="false">IF(OR($M$1="",对接源_02物料!$C57="",对接源_02物料!$C57&lt;&gt;$M$1,对接源_02物料!$B57=""),0,IF(OR(N(对接源_02物料!$B57)&lt;$M$2,N(对接源_02物料!$B57)&gt;$M$3),0,1))</f>
        <v>0</v>
      </c>
      <c r="N1257" s="1" t="n">
        <f aca="false">IF(OR($N$1="",对接源_02物料!$C57="",对接源_02物料!$C57&lt;&gt;$N$1,对接源_02物料!$B57=""),0,IF(OR(N(对接源_02物料!$B57)&lt;$N$2,N(对接源_02物料!$B57)&gt;$N$3),0,1))</f>
        <v>0</v>
      </c>
      <c r="P1257" s="1" t="n">
        <f aca="false">IF(AND($K1257=1,AND(对接源_02物料!$X57="公司筐",N(对接源_02物料!$T57)&lt;&gt;0)),1,0)</f>
        <v>0</v>
      </c>
      <c r="Q1257" s="1" t="n">
        <f aca="false">N(Q1256)+$P1257</f>
        <v>7</v>
      </c>
      <c r="R1257" s="1" t="n">
        <f aca="false">IF(AND($K1257=1,AND(对接源_02物料!$X57="公司筐",N(对接源_02物料!$U57)&lt;&gt;0)),1,0)</f>
        <v>0</v>
      </c>
      <c r="S1257" s="1" t="n">
        <f aca="false">N(S1256)+$R1257</f>
        <v>2</v>
      </c>
      <c r="T1257" s="1" t="n">
        <f aca="false">IF(AND($K1257=1,AND(对接源_02物料!$X57="公司筐",N(对接源_02物料!$V57)&lt;&gt;0)),1,0)</f>
        <v>0</v>
      </c>
      <c r="U1257" s="1" t="n">
        <f aca="false">N(U1256)+$T1257</f>
        <v>28</v>
      </c>
      <c r="V1257" s="1" t="n">
        <f aca="false">IF(AND($L1257=1,AND(对接源_02物料!$X57="自备筐",N(对接源_02物料!$V57)&lt;&gt;0)),1,0)</f>
        <v>0</v>
      </c>
      <c r="W1257" s="1" t="n">
        <f aca="false">N(W1256)+$V1257</f>
        <v>7</v>
      </c>
      <c r="X1257" s="1" t="n">
        <f aca="false">IF(AND($L1257=1,AND(对接源_02物料!$X57="自备筐",N(对接源_02物料!$T57)&lt;&gt;0)),1,0)</f>
        <v>0</v>
      </c>
      <c r="Y1257" s="1" t="n">
        <f aca="false">N(Y1256)+$X1257</f>
        <v>0</v>
      </c>
      <c r="Z1257" s="1" t="n">
        <f aca="false">IF(AND($M1257=1,对接源_02物料!$D57="原料入库"),1,0)</f>
        <v>0</v>
      </c>
      <c r="AA1257" s="1" t="n">
        <f aca="false">N(AA1256)+$Z1257</f>
        <v>30</v>
      </c>
      <c r="AB1257" s="1" t="n">
        <f aca="false">IF(AND($M1257=1,LEFT(对接源_02物料!$D57,4)="原料出库"),1,0)</f>
        <v>0</v>
      </c>
      <c r="AC1257" s="1" t="n">
        <f aca="false">N(AC1256)+$AB1257</f>
        <v>19</v>
      </c>
      <c r="AD1257" s="1" t="n">
        <f aca="false">IF(AND($M1257=1,LEFT(对接源_02物料!$D57,4)="成品出库"),1,0)</f>
        <v>0</v>
      </c>
      <c r="AE1257" s="1" t="n">
        <f aca="false">N(AE1256)+$AD1257</f>
        <v>38</v>
      </c>
      <c r="AF1257" s="1" t="n">
        <f aca="false">IF(AND($N1257=1,AND(LEFT(对接源_02物料!$D57,4)="包装物料",N(对接源_02物料!$K57)&lt;&gt;0)),1,0)</f>
        <v>0</v>
      </c>
      <c r="AG1257" s="1" t="n">
        <f aca="false">N(AG1256)+$AF1257</f>
        <v>6</v>
      </c>
      <c r="AH1257" s="1" t="n">
        <f aca="false">IF(AND($N1257=1,AND(LEFT(对接源_02物料!$D57,3)="周转筐",N(对接源_02物料!$K57)&lt;&gt;0)),1,0)</f>
        <v>0</v>
      </c>
      <c r="AI1257" s="1" t="n">
        <f aca="false">N(AI1256)+$AH1257</f>
        <v>0</v>
      </c>
      <c r="AJ1257" s="1" t="n">
        <v>0</v>
      </c>
      <c r="AK1257" s="1" t="n">
        <f aca="false">N(AK1256)+$AJ1257</f>
        <v>3672</v>
      </c>
    </row>
    <row r="1258" customFormat="false" ht="13.5" hidden="false" customHeight="false" outlineLevel="0" collapsed="false">
      <c r="A1258" s="1" t="str">
        <f aca="false">IF(对接源_02物料!$C58="","",对接源_02物料!$C58)</f>
        <v>麦麦提</v>
      </c>
      <c r="B1258" s="1" t="n">
        <f aca="false">IF(A1258="",0,IF(MATCH(A1258,$A$4:$A$2403,0)=ROW()-3,1,0))</f>
        <v>0</v>
      </c>
      <c r="C1258" s="1" t="n">
        <f aca="false">N(C1257)+B1258</f>
        <v>17</v>
      </c>
      <c r="K1258" s="1" t="n">
        <f aca="false">IF(OR($K$1="",对接源_02物料!$C58="",对接源_02物料!$C58&lt;&gt;$K$1,对接源_02物料!$B58=""),0,IF(OR(N(对接源_02物料!$B58)&lt;$K$2,N(对接源_02物料!$B58)&gt;$K$3),0,1))</f>
        <v>0</v>
      </c>
      <c r="L1258" s="1" t="n">
        <f aca="false">IF(OR($L$1="",对接源_02物料!$C58="",对接源_02物料!$C58&lt;&gt;$L$1,对接源_02物料!$B58=""),0,IF(OR(N(对接源_02物料!$B58)&lt;$L$2,N(对接源_02物料!$B58)&gt;$L$3),0,1))</f>
        <v>0</v>
      </c>
      <c r="M1258" s="1" t="n">
        <f aca="false">IF(OR($M$1="",对接源_02物料!$C58="",对接源_02物料!$C58&lt;&gt;$M$1,对接源_02物料!$B58=""),0,IF(OR(N(对接源_02物料!$B58)&lt;$M$2,N(对接源_02物料!$B58)&gt;$M$3),0,1))</f>
        <v>0</v>
      </c>
      <c r="N1258" s="1" t="n">
        <f aca="false">IF(OR($N$1="",对接源_02物料!$C58="",对接源_02物料!$C58&lt;&gt;$N$1,对接源_02物料!$B58=""),0,IF(OR(N(对接源_02物料!$B58)&lt;$N$2,N(对接源_02物料!$B58)&gt;$N$3),0,1))</f>
        <v>1</v>
      </c>
      <c r="P1258" s="1" t="n">
        <f aca="false">IF(AND($K1258=1,AND(对接源_02物料!$X58="公司筐",N(对接源_02物料!$T58)&lt;&gt;0)),1,0)</f>
        <v>0</v>
      </c>
      <c r="Q1258" s="1" t="n">
        <f aca="false">N(Q1257)+$P1258</f>
        <v>7</v>
      </c>
      <c r="R1258" s="1" t="n">
        <f aca="false">IF(AND($K1258=1,AND(对接源_02物料!$X58="公司筐",N(对接源_02物料!$U58)&lt;&gt;0)),1,0)</f>
        <v>0</v>
      </c>
      <c r="S1258" s="1" t="n">
        <f aca="false">N(S1257)+$R1258</f>
        <v>2</v>
      </c>
      <c r="T1258" s="1" t="n">
        <f aca="false">IF(AND($K1258=1,AND(对接源_02物料!$X58="公司筐",N(对接源_02物料!$V58)&lt;&gt;0)),1,0)</f>
        <v>0</v>
      </c>
      <c r="U1258" s="1" t="n">
        <f aca="false">N(U1257)+$T1258</f>
        <v>28</v>
      </c>
      <c r="V1258" s="1" t="n">
        <f aca="false">IF(AND($L1258=1,AND(对接源_02物料!$X58="自备筐",N(对接源_02物料!$V58)&lt;&gt;0)),1,0)</f>
        <v>0</v>
      </c>
      <c r="W1258" s="1" t="n">
        <f aca="false">N(W1257)+$V1258</f>
        <v>7</v>
      </c>
      <c r="X1258" s="1" t="n">
        <f aca="false">IF(AND($L1258=1,AND(对接源_02物料!$X58="自备筐",N(对接源_02物料!$T58)&lt;&gt;0)),1,0)</f>
        <v>0</v>
      </c>
      <c r="Y1258" s="1" t="n">
        <f aca="false">N(Y1257)+$X1258</f>
        <v>0</v>
      </c>
      <c r="Z1258" s="1" t="n">
        <f aca="false">IF(AND($M1258=1,对接源_02物料!$D58="原料入库"),1,0)</f>
        <v>0</v>
      </c>
      <c r="AA1258" s="1" t="n">
        <f aca="false">N(AA1257)+$Z1258</f>
        <v>30</v>
      </c>
      <c r="AB1258" s="1" t="n">
        <f aca="false">IF(AND($M1258=1,LEFT(对接源_02物料!$D58,4)="原料出库"),1,0)</f>
        <v>0</v>
      </c>
      <c r="AC1258" s="1" t="n">
        <f aca="false">N(AC1257)+$AB1258</f>
        <v>19</v>
      </c>
      <c r="AD1258" s="1" t="n">
        <f aca="false">IF(AND($M1258=1,LEFT(对接源_02物料!$D58,4)="成品出库"),1,0)</f>
        <v>0</v>
      </c>
      <c r="AE1258" s="1" t="n">
        <f aca="false">N(AE1257)+$AD1258</f>
        <v>38</v>
      </c>
      <c r="AF1258" s="1" t="n">
        <f aca="false">IF(AND($N1258=1,AND(LEFT(对接源_02物料!$D58,4)="包装物料",N(对接源_02物料!$K58)&lt;&gt;0)),1,0)</f>
        <v>0</v>
      </c>
      <c r="AG1258" s="1" t="n">
        <f aca="false">N(AG1257)+$AF1258</f>
        <v>6</v>
      </c>
      <c r="AH1258" s="1" t="n">
        <f aca="false">IF(AND($N1258=1,AND(LEFT(对接源_02物料!$D58,3)="周转筐",N(对接源_02物料!$K58)&lt;&gt;0)),1,0)</f>
        <v>0</v>
      </c>
      <c r="AI1258" s="1" t="n">
        <f aca="false">N(AI1257)+$AH1258</f>
        <v>0</v>
      </c>
      <c r="AJ1258" s="1" t="n">
        <v>0</v>
      </c>
      <c r="AK1258" s="1" t="n">
        <f aca="false">N(AK1257)+$AJ1258</f>
        <v>3672</v>
      </c>
    </row>
    <row r="1259" customFormat="false" ht="13.5" hidden="false" customHeight="false" outlineLevel="0" collapsed="false">
      <c r="A1259" s="1" t="str">
        <f aca="false">IF(对接源_02物料!$C59="","",对接源_02物料!$C59)</f>
        <v>全修塑业</v>
      </c>
      <c r="B1259" s="1" t="n">
        <f aca="false">IF(A1259="",0,IF(MATCH(A1259,$A$4:$A$2403,0)=ROW()-3,1,0))</f>
        <v>0</v>
      </c>
      <c r="C1259" s="1" t="n">
        <f aca="false">N(C1258)+B1259</f>
        <v>17</v>
      </c>
      <c r="K1259" s="1" t="n">
        <f aca="false">IF(OR($K$1="",对接源_02物料!$C59="",对接源_02物料!$C59&lt;&gt;$K$1,对接源_02物料!$B59=""),0,IF(OR(N(对接源_02物料!$B59)&lt;$K$2,N(对接源_02物料!$B59)&gt;$K$3),0,1))</f>
        <v>0</v>
      </c>
      <c r="L1259" s="1" t="n">
        <f aca="false">IF(OR($L$1="",对接源_02物料!$C59="",对接源_02物料!$C59&lt;&gt;$L$1,对接源_02物料!$B59=""),0,IF(OR(N(对接源_02物料!$B59)&lt;$L$2,N(对接源_02物料!$B59)&gt;$L$3),0,1))</f>
        <v>0</v>
      </c>
      <c r="M1259" s="1" t="n">
        <f aca="false">IF(OR($M$1="",对接源_02物料!$C59="",对接源_02物料!$C59&lt;&gt;$M$1,对接源_02物料!$B59=""),0,IF(OR(N(对接源_02物料!$B59)&lt;$M$2,N(对接源_02物料!$B59)&gt;$M$3),0,1))</f>
        <v>0</v>
      </c>
      <c r="N1259" s="1" t="n">
        <f aca="false">IF(OR($N$1="",对接源_02物料!$C59="",对接源_02物料!$C59&lt;&gt;$N$1,对接源_02物料!$B59=""),0,IF(OR(N(对接源_02物料!$B59)&lt;$N$2,N(对接源_02物料!$B59)&gt;$N$3),0,1))</f>
        <v>0</v>
      </c>
      <c r="P1259" s="1" t="n">
        <f aca="false">IF(AND($K1259=1,AND(对接源_02物料!$X59="公司筐",N(对接源_02物料!$T59)&lt;&gt;0)),1,0)</f>
        <v>0</v>
      </c>
      <c r="Q1259" s="1" t="n">
        <f aca="false">N(Q1258)+$P1259</f>
        <v>7</v>
      </c>
      <c r="R1259" s="1" t="n">
        <f aca="false">IF(AND($K1259=1,AND(对接源_02物料!$X59="公司筐",N(对接源_02物料!$U59)&lt;&gt;0)),1,0)</f>
        <v>0</v>
      </c>
      <c r="S1259" s="1" t="n">
        <f aca="false">N(S1258)+$R1259</f>
        <v>2</v>
      </c>
      <c r="T1259" s="1" t="n">
        <f aca="false">IF(AND($K1259=1,AND(对接源_02物料!$X59="公司筐",N(对接源_02物料!$V59)&lt;&gt;0)),1,0)</f>
        <v>0</v>
      </c>
      <c r="U1259" s="1" t="n">
        <f aca="false">N(U1258)+$T1259</f>
        <v>28</v>
      </c>
      <c r="V1259" s="1" t="n">
        <f aca="false">IF(AND($L1259=1,AND(对接源_02物料!$X59="自备筐",N(对接源_02物料!$V59)&lt;&gt;0)),1,0)</f>
        <v>0</v>
      </c>
      <c r="W1259" s="1" t="n">
        <f aca="false">N(W1258)+$V1259</f>
        <v>7</v>
      </c>
      <c r="X1259" s="1" t="n">
        <f aca="false">IF(AND($L1259=1,AND(对接源_02物料!$X59="自备筐",N(对接源_02物料!$T59)&lt;&gt;0)),1,0)</f>
        <v>0</v>
      </c>
      <c r="Y1259" s="1" t="n">
        <f aca="false">N(Y1258)+$X1259</f>
        <v>0</v>
      </c>
      <c r="Z1259" s="1" t="n">
        <f aca="false">IF(AND($M1259=1,对接源_02物料!$D59="原料入库"),1,0)</f>
        <v>0</v>
      </c>
      <c r="AA1259" s="1" t="n">
        <f aca="false">N(AA1258)+$Z1259</f>
        <v>30</v>
      </c>
      <c r="AB1259" s="1" t="n">
        <f aca="false">IF(AND($M1259=1,LEFT(对接源_02物料!$D59,4)="原料出库"),1,0)</f>
        <v>0</v>
      </c>
      <c r="AC1259" s="1" t="n">
        <f aca="false">N(AC1258)+$AB1259</f>
        <v>19</v>
      </c>
      <c r="AD1259" s="1" t="n">
        <f aca="false">IF(AND($M1259=1,LEFT(对接源_02物料!$D59,4)="成品出库"),1,0)</f>
        <v>0</v>
      </c>
      <c r="AE1259" s="1" t="n">
        <f aca="false">N(AE1258)+$AD1259</f>
        <v>38</v>
      </c>
      <c r="AF1259" s="1" t="n">
        <f aca="false">IF(AND($N1259=1,AND(LEFT(对接源_02物料!$D59,4)="包装物料",N(对接源_02物料!$K59)&lt;&gt;0)),1,0)</f>
        <v>0</v>
      </c>
      <c r="AG1259" s="1" t="n">
        <f aca="false">N(AG1258)+$AF1259</f>
        <v>6</v>
      </c>
      <c r="AH1259" s="1" t="n">
        <f aca="false">IF(AND($N1259=1,AND(LEFT(对接源_02物料!$D59,3)="周转筐",N(对接源_02物料!$K59)&lt;&gt;0)),1,0)</f>
        <v>0</v>
      </c>
      <c r="AI1259" s="1" t="n">
        <f aca="false">N(AI1258)+$AH1259</f>
        <v>0</v>
      </c>
      <c r="AJ1259" s="1" t="n">
        <v>0</v>
      </c>
      <c r="AK1259" s="1" t="n">
        <f aca="false">N(AK1258)+$AJ1259</f>
        <v>3672</v>
      </c>
    </row>
    <row r="1260" customFormat="false" ht="13.5" hidden="false" customHeight="false" outlineLevel="0" collapsed="false">
      <c r="A1260" s="1" t="str">
        <f aca="false">IF(对接源_02物料!$C60="","",对接源_02物料!$C60)</f>
        <v>努尔敦</v>
      </c>
      <c r="B1260" s="1" t="n">
        <f aca="false">IF(A1260="",0,IF(MATCH(A1260,$A$4:$A$2403,0)=ROW()-3,1,0))</f>
        <v>0</v>
      </c>
      <c r="C1260" s="1" t="n">
        <f aca="false">N(C1259)+B1260</f>
        <v>17</v>
      </c>
      <c r="K1260" s="1" t="n">
        <f aca="false">IF(OR($K$1="",对接源_02物料!$C60="",对接源_02物料!$C60&lt;&gt;$K$1,对接源_02物料!$B60=""),0,IF(OR(N(对接源_02物料!$B60)&lt;$K$2,N(对接源_02物料!$B60)&gt;$K$3),0,1))</f>
        <v>0</v>
      </c>
      <c r="L1260" s="1" t="n">
        <f aca="false">IF(OR($L$1="",对接源_02物料!$C60="",对接源_02物料!$C60&lt;&gt;$L$1,对接源_02物料!$B60=""),0,IF(OR(N(对接源_02物料!$B60)&lt;$L$2,N(对接源_02物料!$B60)&gt;$L$3),0,1))</f>
        <v>0</v>
      </c>
      <c r="M1260" s="1" t="n">
        <f aca="false">IF(OR($M$1="",对接源_02物料!$C60="",对接源_02物料!$C60&lt;&gt;$M$1,对接源_02物料!$B60=""),0,IF(OR(N(对接源_02物料!$B60)&lt;$M$2,N(对接源_02物料!$B60)&gt;$M$3),0,1))</f>
        <v>0</v>
      </c>
      <c r="N1260" s="1" t="n">
        <f aca="false">IF(OR($N$1="",对接源_02物料!$C60="",对接源_02物料!$C60&lt;&gt;$N$1,对接源_02物料!$B60=""),0,IF(OR(N(对接源_02物料!$B60)&lt;$N$2,N(对接源_02物料!$B60)&gt;$N$3),0,1))</f>
        <v>0</v>
      </c>
      <c r="P1260" s="1" t="n">
        <f aca="false">IF(AND($K1260=1,AND(对接源_02物料!$X60="公司筐",N(对接源_02物料!$T60)&lt;&gt;0)),1,0)</f>
        <v>0</v>
      </c>
      <c r="Q1260" s="1" t="n">
        <f aca="false">N(Q1259)+$P1260</f>
        <v>7</v>
      </c>
      <c r="R1260" s="1" t="n">
        <f aca="false">IF(AND($K1260=1,AND(对接源_02物料!$X60="公司筐",N(对接源_02物料!$U60)&lt;&gt;0)),1,0)</f>
        <v>0</v>
      </c>
      <c r="S1260" s="1" t="n">
        <f aca="false">N(S1259)+$R1260</f>
        <v>2</v>
      </c>
      <c r="T1260" s="1" t="n">
        <f aca="false">IF(AND($K1260=1,AND(对接源_02物料!$X60="公司筐",N(对接源_02物料!$V60)&lt;&gt;0)),1,0)</f>
        <v>0</v>
      </c>
      <c r="U1260" s="1" t="n">
        <f aca="false">N(U1259)+$T1260</f>
        <v>28</v>
      </c>
      <c r="V1260" s="1" t="n">
        <f aca="false">IF(AND($L1260=1,AND(对接源_02物料!$X60="自备筐",N(对接源_02物料!$V60)&lt;&gt;0)),1,0)</f>
        <v>0</v>
      </c>
      <c r="W1260" s="1" t="n">
        <f aca="false">N(W1259)+$V1260</f>
        <v>7</v>
      </c>
      <c r="X1260" s="1" t="n">
        <f aca="false">IF(AND($L1260=1,AND(对接源_02物料!$X60="自备筐",N(对接源_02物料!$T60)&lt;&gt;0)),1,0)</f>
        <v>0</v>
      </c>
      <c r="Y1260" s="1" t="n">
        <f aca="false">N(Y1259)+$X1260</f>
        <v>0</v>
      </c>
      <c r="Z1260" s="1" t="n">
        <f aca="false">IF(AND($M1260=1,对接源_02物料!$D60="原料入库"),1,0)</f>
        <v>0</v>
      </c>
      <c r="AA1260" s="1" t="n">
        <f aca="false">N(AA1259)+$Z1260</f>
        <v>30</v>
      </c>
      <c r="AB1260" s="1" t="n">
        <f aca="false">IF(AND($M1260=1,LEFT(对接源_02物料!$D60,4)="原料出库"),1,0)</f>
        <v>0</v>
      </c>
      <c r="AC1260" s="1" t="n">
        <f aca="false">N(AC1259)+$AB1260</f>
        <v>19</v>
      </c>
      <c r="AD1260" s="1" t="n">
        <f aca="false">IF(AND($M1260=1,LEFT(对接源_02物料!$D60,4)="成品出库"),1,0)</f>
        <v>0</v>
      </c>
      <c r="AE1260" s="1" t="n">
        <f aca="false">N(AE1259)+$AD1260</f>
        <v>38</v>
      </c>
      <c r="AF1260" s="1" t="n">
        <f aca="false">IF(AND($N1260=1,AND(LEFT(对接源_02物料!$D60,4)="包装物料",N(对接源_02物料!$K60)&lt;&gt;0)),1,0)</f>
        <v>0</v>
      </c>
      <c r="AG1260" s="1" t="n">
        <f aca="false">N(AG1259)+$AF1260</f>
        <v>6</v>
      </c>
      <c r="AH1260" s="1" t="n">
        <f aca="false">IF(AND($N1260=1,AND(LEFT(对接源_02物料!$D60,3)="周转筐",N(对接源_02物料!$K60)&lt;&gt;0)),1,0)</f>
        <v>0</v>
      </c>
      <c r="AI1260" s="1" t="n">
        <f aca="false">N(AI1259)+$AH1260</f>
        <v>0</v>
      </c>
      <c r="AJ1260" s="1" t="n">
        <v>0</v>
      </c>
      <c r="AK1260" s="1" t="n">
        <f aca="false">N(AK1259)+$AJ1260</f>
        <v>3672</v>
      </c>
    </row>
    <row r="1261" customFormat="false" ht="13.5" hidden="false" customHeight="false" outlineLevel="0" collapsed="false">
      <c r="A1261" s="1" t="str">
        <f aca="false">IF(对接源_02物料!$C61="","",对接源_02物料!$C61)</f>
        <v>全修塑业</v>
      </c>
      <c r="B1261" s="1" t="n">
        <f aca="false">IF(A1261="",0,IF(MATCH(A1261,$A$4:$A$2403,0)=ROW()-3,1,0))</f>
        <v>0</v>
      </c>
      <c r="C1261" s="1" t="n">
        <f aca="false">N(C1260)+B1261</f>
        <v>17</v>
      </c>
      <c r="K1261" s="1" t="n">
        <f aca="false">IF(OR($K$1="",对接源_02物料!$C61="",对接源_02物料!$C61&lt;&gt;$K$1,对接源_02物料!$B61=""),0,IF(OR(N(对接源_02物料!$B61)&lt;$K$2,N(对接源_02物料!$B61)&gt;$K$3),0,1))</f>
        <v>0</v>
      </c>
      <c r="L1261" s="1" t="n">
        <f aca="false">IF(OR($L$1="",对接源_02物料!$C61="",对接源_02物料!$C61&lt;&gt;$L$1,对接源_02物料!$B61=""),0,IF(OR(N(对接源_02物料!$B61)&lt;$L$2,N(对接源_02物料!$B61)&gt;$L$3),0,1))</f>
        <v>0</v>
      </c>
      <c r="M1261" s="1" t="n">
        <f aca="false">IF(OR($M$1="",对接源_02物料!$C61="",对接源_02物料!$C61&lt;&gt;$M$1,对接源_02物料!$B61=""),0,IF(OR(N(对接源_02物料!$B61)&lt;$M$2,N(对接源_02物料!$B61)&gt;$M$3),0,1))</f>
        <v>0</v>
      </c>
      <c r="N1261" s="1" t="n">
        <f aca="false">IF(OR($N$1="",对接源_02物料!$C61="",对接源_02物料!$C61&lt;&gt;$N$1,对接源_02物料!$B61=""),0,IF(OR(N(对接源_02物料!$B61)&lt;$N$2,N(对接源_02物料!$B61)&gt;$N$3),0,1))</f>
        <v>0</v>
      </c>
      <c r="P1261" s="1" t="n">
        <f aca="false">IF(AND($K1261=1,AND(对接源_02物料!$X61="公司筐",N(对接源_02物料!$T61)&lt;&gt;0)),1,0)</f>
        <v>0</v>
      </c>
      <c r="Q1261" s="1" t="n">
        <f aca="false">N(Q1260)+$P1261</f>
        <v>7</v>
      </c>
      <c r="R1261" s="1" t="n">
        <f aca="false">IF(AND($K1261=1,AND(对接源_02物料!$X61="公司筐",N(对接源_02物料!$U61)&lt;&gt;0)),1,0)</f>
        <v>0</v>
      </c>
      <c r="S1261" s="1" t="n">
        <f aca="false">N(S1260)+$R1261</f>
        <v>2</v>
      </c>
      <c r="T1261" s="1" t="n">
        <f aca="false">IF(AND($K1261=1,AND(对接源_02物料!$X61="公司筐",N(对接源_02物料!$V61)&lt;&gt;0)),1,0)</f>
        <v>0</v>
      </c>
      <c r="U1261" s="1" t="n">
        <f aca="false">N(U1260)+$T1261</f>
        <v>28</v>
      </c>
      <c r="V1261" s="1" t="n">
        <f aca="false">IF(AND($L1261=1,AND(对接源_02物料!$X61="自备筐",N(对接源_02物料!$V61)&lt;&gt;0)),1,0)</f>
        <v>0</v>
      </c>
      <c r="W1261" s="1" t="n">
        <f aca="false">N(W1260)+$V1261</f>
        <v>7</v>
      </c>
      <c r="X1261" s="1" t="n">
        <f aca="false">IF(AND($L1261=1,AND(对接源_02物料!$X61="自备筐",N(对接源_02物料!$T61)&lt;&gt;0)),1,0)</f>
        <v>0</v>
      </c>
      <c r="Y1261" s="1" t="n">
        <f aca="false">N(Y1260)+$X1261</f>
        <v>0</v>
      </c>
      <c r="Z1261" s="1" t="n">
        <f aca="false">IF(AND($M1261=1,对接源_02物料!$D61="原料入库"),1,0)</f>
        <v>0</v>
      </c>
      <c r="AA1261" s="1" t="n">
        <f aca="false">N(AA1260)+$Z1261</f>
        <v>30</v>
      </c>
      <c r="AB1261" s="1" t="n">
        <f aca="false">IF(AND($M1261=1,LEFT(对接源_02物料!$D61,4)="原料出库"),1,0)</f>
        <v>0</v>
      </c>
      <c r="AC1261" s="1" t="n">
        <f aca="false">N(AC1260)+$AB1261</f>
        <v>19</v>
      </c>
      <c r="AD1261" s="1" t="n">
        <f aca="false">IF(AND($M1261=1,LEFT(对接源_02物料!$D61,4)="成品出库"),1,0)</f>
        <v>0</v>
      </c>
      <c r="AE1261" s="1" t="n">
        <f aca="false">N(AE1260)+$AD1261</f>
        <v>38</v>
      </c>
      <c r="AF1261" s="1" t="n">
        <f aca="false">IF(AND($N1261=1,AND(LEFT(对接源_02物料!$D61,4)="包装物料",N(对接源_02物料!$K61)&lt;&gt;0)),1,0)</f>
        <v>0</v>
      </c>
      <c r="AG1261" s="1" t="n">
        <f aca="false">N(AG1260)+$AF1261</f>
        <v>6</v>
      </c>
      <c r="AH1261" s="1" t="n">
        <f aca="false">IF(AND($N1261=1,AND(LEFT(对接源_02物料!$D61,3)="周转筐",N(对接源_02物料!$K61)&lt;&gt;0)),1,0)</f>
        <v>0</v>
      </c>
      <c r="AI1261" s="1" t="n">
        <f aca="false">N(AI1260)+$AH1261</f>
        <v>0</v>
      </c>
      <c r="AJ1261" s="1" t="n">
        <v>0</v>
      </c>
      <c r="AK1261" s="1" t="n">
        <f aca="false">N(AK1260)+$AJ1261</f>
        <v>3672</v>
      </c>
    </row>
    <row r="1262" customFormat="false" ht="13.5" hidden="false" customHeight="false" outlineLevel="0" collapsed="false">
      <c r="A1262" s="1" t="str">
        <f aca="false">IF(对接源_02物料!$C62="","",对接源_02物料!$C62)</f>
        <v>荆建君</v>
      </c>
      <c r="B1262" s="1" t="n">
        <f aca="false">IF(A1262="",0,IF(MATCH(A1262,$A$4:$A$2403,0)=ROW()-3,1,0))</f>
        <v>0</v>
      </c>
      <c r="C1262" s="1" t="n">
        <f aca="false">N(C1261)+B1262</f>
        <v>17</v>
      </c>
      <c r="K1262" s="1" t="n">
        <f aca="false">IF(OR($K$1="",对接源_02物料!$C62="",对接源_02物料!$C62&lt;&gt;$K$1,对接源_02物料!$B62=""),0,IF(OR(N(对接源_02物料!$B62)&lt;$K$2,N(对接源_02物料!$B62)&gt;$K$3),0,1))</f>
        <v>0</v>
      </c>
      <c r="L1262" s="1" t="n">
        <f aca="false">IF(OR($L$1="",对接源_02物料!$C62="",对接源_02物料!$C62&lt;&gt;$L$1,对接源_02物料!$B62=""),0,IF(OR(N(对接源_02物料!$B62)&lt;$L$2,N(对接源_02物料!$B62)&gt;$L$3),0,1))</f>
        <v>0</v>
      </c>
      <c r="M1262" s="1" t="n">
        <f aca="false">IF(OR($M$1="",对接源_02物料!$C62="",对接源_02物料!$C62&lt;&gt;$M$1,对接源_02物料!$B62=""),0,IF(OR(N(对接源_02物料!$B62)&lt;$M$2,N(对接源_02物料!$B62)&gt;$M$3),0,1))</f>
        <v>0</v>
      </c>
      <c r="N1262" s="1" t="n">
        <f aca="false">IF(OR($N$1="",对接源_02物料!$C62="",对接源_02物料!$C62&lt;&gt;$N$1,对接源_02物料!$B62=""),0,IF(OR(N(对接源_02物料!$B62)&lt;$N$2,N(对接源_02物料!$B62)&gt;$N$3),0,1))</f>
        <v>0</v>
      </c>
      <c r="P1262" s="1" t="n">
        <f aca="false">IF(AND($K1262=1,AND(对接源_02物料!$X62="公司筐",N(对接源_02物料!$T62)&lt;&gt;0)),1,0)</f>
        <v>0</v>
      </c>
      <c r="Q1262" s="1" t="n">
        <f aca="false">N(Q1261)+$P1262</f>
        <v>7</v>
      </c>
      <c r="R1262" s="1" t="n">
        <f aca="false">IF(AND($K1262=1,AND(对接源_02物料!$X62="公司筐",N(对接源_02物料!$U62)&lt;&gt;0)),1,0)</f>
        <v>0</v>
      </c>
      <c r="S1262" s="1" t="n">
        <f aca="false">N(S1261)+$R1262</f>
        <v>2</v>
      </c>
      <c r="T1262" s="1" t="n">
        <f aca="false">IF(AND($K1262=1,AND(对接源_02物料!$X62="公司筐",N(对接源_02物料!$V62)&lt;&gt;0)),1,0)</f>
        <v>0</v>
      </c>
      <c r="U1262" s="1" t="n">
        <f aca="false">N(U1261)+$T1262</f>
        <v>28</v>
      </c>
      <c r="V1262" s="1" t="n">
        <f aca="false">IF(AND($L1262=1,AND(对接源_02物料!$X62="自备筐",N(对接源_02物料!$V62)&lt;&gt;0)),1,0)</f>
        <v>0</v>
      </c>
      <c r="W1262" s="1" t="n">
        <f aca="false">N(W1261)+$V1262</f>
        <v>7</v>
      </c>
      <c r="X1262" s="1" t="n">
        <f aca="false">IF(AND($L1262=1,AND(对接源_02物料!$X62="自备筐",N(对接源_02物料!$T62)&lt;&gt;0)),1,0)</f>
        <v>0</v>
      </c>
      <c r="Y1262" s="1" t="n">
        <f aca="false">N(Y1261)+$X1262</f>
        <v>0</v>
      </c>
      <c r="Z1262" s="1" t="n">
        <f aca="false">IF(AND($M1262=1,对接源_02物料!$D62="原料入库"),1,0)</f>
        <v>0</v>
      </c>
      <c r="AA1262" s="1" t="n">
        <f aca="false">N(AA1261)+$Z1262</f>
        <v>30</v>
      </c>
      <c r="AB1262" s="1" t="n">
        <f aca="false">IF(AND($M1262=1,LEFT(对接源_02物料!$D62,4)="原料出库"),1,0)</f>
        <v>0</v>
      </c>
      <c r="AC1262" s="1" t="n">
        <f aca="false">N(AC1261)+$AB1262</f>
        <v>19</v>
      </c>
      <c r="AD1262" s="1" t="n">
        <f aca="false">IF(AND($M1262=1,LEFT(对接源_02物料!$D62,4)="成品出库"),1,0)</f>
        <v>0</v>
      </c>
      <c r="AE1262" s="1" t="n">
        <f aca="false">N(AE1261)+$AD1262</f>
        <v>38</v>
      </c>
      <c r="AF1262" s="1" t="n">
        <f aca="false">IF(AND($N1262=1,AND(LEFT(对接源_02物料!$D62,4)="包装物料",N(对接源_02物料!$K62)&lt;&gt;0)),1,0)</f>
        <v>0</v>
      </c>
      <c r="AG1262" s="1" t="n">
        <f aca="false">N(AG1261)+$AF1262</f>
        <v>6</v>
      </c>
      <c r="AH1262" s="1" t="n">
        <f aca="false">IF(AND($N1262=1,AND(LEFT(对接源_02物料!$D62,3)="周转筐",N(对接源_02物料!$K62)&lt;&gt;0)),1,0)</f>
        <v>0</v>
      </c>
      <c r="AI1262" s="1" t="n">
        <f aca="false">N(AI1261)+$AH1262</f>
        <v>0</v>
      </c>
      <c r="AJ1262" s="1" t="n">
        <v>0</v>
      </c>
      <c r="AK1262" s="1" t="n">
        <f aca="false">N(AK1261)+$AJ1262</f>
        <v>3672</v>
      </c>
    </row>
    <row r="1263" customFormat="false" ht="13.5" hidden="false" customHeight="false" outlineLevel="0" collapsed="false">
      <c r="A1263" s="1" t="str">
        <f aca="false">IF(对接源_02物料!$C63="","",对接源_02物料!$C63)</f>
        <v>马锦祥</v>
      </c>
      <c r="B1263" s="1" t="n">
        <f aca="false">IF(A1263="",0,IF(MATCH(A1263,$A$4:$A$2403,0)=ROW()-3,1,0))</f>
        <v>0</v>
      </c>
      <c r="C1263" s="1" t="n">
        <f aca="false">N(C1262)+B1263</f>
        <v>17</v>
      </c>
      <c r="K1263" s="1" t="n">
        <f aca="false">IF(OR($K$1="",对接源_02物料!$C63="",对接源_02物料!$C63&lt;&gt;$K$1,对接源_02物料!$B63=""),0,IF(OR(N(对接源_02物料!$B63)&lt;$K$2,N(对接源_02物料!$B63)&gt;$K$3),0,1))</f>
        <v>0</v>
      </c>
      <c r="L1263" s="1" t="n">
        <f aca="false">IF(OR($L$1="",对接源_02物料!$C63="",对接源_02物料!$C63&lt;&gt;$L$1,对接源_02物料!$B63=""),0,IF(OR(N(对接源_02物料!$B63)&lt;$L$2,N(对接源_02物料!$B63)&gt;$L$3),0,1))</f>
        <v>0</v>
      </c>
      <c r="M1263" s="1" t="n">
        <f aca="false">IF(OR($M$1="",对接源_02物料!$C63="",对接源_02物料!$C63&lt;&gt;$M$1,对接源_02物料!$B63=""),0,IF(OR(N(对接源_02物料!$B63)&lt;$M$2,N(对接源_02物料!$B63)&gt;$M$3),0,1))</f>
        <v>0</v>
      </c>
      <c r="N1263" s="1" t="n">
        <f aca="false">IF(OR($N$1="",对接源_02物料!$C63="",对接源_02物料!$C63&lt;&gt;$N$1,对接源_02物料!$B63=""),0,IF(OR(N(对接源_02物料!$B63)&lt;$N$2,N(对接源_02物料!$B63)&gt;$N$3),0,1))</f>
        <v>0</v>
      </c>
      <c r="P1263" s="1" t="n">
        <f aca="false">IF(AND($K1263=1,AND(对接源_02物料!$X63="公司筐",N(对接源_02物料!$T63)&lt;&gt;0)),1,0)</f>
        <v>0</v>
      </c>
      <c r="Q1263" s="1" t="n">
        <f aca="false">N(Q1262)+$P1263</f>
        <v>7</v>
      </c>
      <c r="R1263" s="1" t="n">
        <f aca="false">IF(AND($K1263=1,AND(对接源_02物料!$X63="公司筐",N(对接源_02物料!$U63)&lt;&gt;0)),1,0)</f>
        <v>0</v>
      </c>
      <c r="S1263" s="1" t="n">
        <f aca="false">N(S1262)+$R1263</f>
        <v>2</v>
      </c>
      <c r="T1263" s="1" t="n">
        <f aca="false">IF(AND($K1263=1,AND(对接源_02物料!$X63="公司筐",N(对接源_02物料!$V63)&lt;&gt;0)),1,0)</f>
        <v>0</v>
      </c>
      <c r="U1263" s="1" t="n">
        <f aca="false">N(U1262)+$T1263</f>
        <v>28</v>
      </c>
      <c r="V1263" s="1" t="n">
        <f aca="false">IF(AND($L1263=1,AND(对接源_02物料!$X63="自备筐",N(对接源_02物料!$V63)&lt;&gt;0)),1,0)</f>
        <v>0</v>
      </c>
      <c r="W1263" s="1" t="n">
        <f aca="false">N(W1262)+$V1263</f>
        <v>7</v>
      </c>
      <c r="X1263" s="1" t="n">
        <f aca="false">IF(AND($L1263=1,AND(对接源_02物料!$X63="自备筐",N(对接源_02物料!$T63)&lt;&gt;0)),1,0)</f>
        <v>0</v>
      </c>
      <c r="Y1263" s="1" t="n">
        <f aca="false">N(Y1262)+$X1263</f>
        <v>0</v>
      </c>
      <c r="Z1263" s="1" t="n">
        <f aca="false">IF(AND($M1263=1,对接源_02物料!$D63="原料入库"),1,0)</f>
        <v>0</v>
      </c>
      <c r="AA1263" s="1" t="n">
        <f aca="false">N(AA1262)+$Z1263</f>
        <v>30</v>
      </c>
      <c r="AB1263" s="1" t="n">
        <f aca="false">IF(AND($M1263=1,LEFT(对接源_02物料!$D63,4)="原料出库"),1,0)</f>
        <v>0</v>
      </c>
      <c r="AC1263" s="1" t="n">
        <f aca="false">N(AC1262)+$AB1263</f>
        <v>19</v>
      </c>
      <c r="AD1263" s="1" t="n">
        <f aca="false">IF(AND($M1263=1,LEFT(对接源_02物料!$D63,4)="成品出库"),1,0)</f>
        <v>0</v>
      </c>
      <c r="AE1263" s="1" t="n">
        <f aca="false">N(AE1262)+$AD1263</f>
        <v>38</v>
      </c>
      <c r="AF1263" s="1" t="n">
        <f aca="false">IF(AND($N1263=1,AND(LEFT(对接源_02物料!$D63,4)="包装物料",N(对接源_02物料!$K63)&lt;&gt;0)),1,0)</f>
        <v>0</v>
      </c>
      <c r="AG1263" s="1" t="n">
        <f aca="false">N(AG1262)+$AF1263</f>
        <v>6</v>
      </c>
      <c r="AH1263" s="1" t="n">
        <f aca="false">IF(AND($N1263=1,AND(LEFT(对接源_02物料!$D63,3)="周转筐",N(对接源_02物料!$K63)&lt;&gt;0)),1,0)</f>
        <v>0</v>
      </c>
      <c r="AI1263" s="1" t="n">
        <f aca="false">N(AI1262)+$AH1263</f>
        <v>0</v>
      </c>
      <c r="AJ1263" s="1" t="n">
        <v>0</v>
      </c>
      <c r="AK1263" s="1" t="n">
        <f aca="false">N(AK1262)+$AJ1263</f>
        <v>3672</v>
      </c>
    </row>
    <row r="1264" customFormat="false" ht="13.5" hidden="false" customHeight="false" outlineLevel="0" collapsed="false">
      <c r="A1264" s="1" t="str">
        <f aca="false">IF(对接源_02物料!$C64="","",对接源_02物料!$C64)</f>
        <v>全修塑业</v>
      </c>
      <c r="B1264" s="1" t="n">
        <f aca="false">IF(A1264="",0,IF(MATCH(A1264,$A$4:$A$2403,0)=ROW()-3,1,0))</f>
        <v>0</v>
      </c>
      <c r="C1264" s="1" t="n">
        <f aca="false">N(C1263)+B1264</f>
        <v>17</v>
      </c>
      <c r="K1264" s="1" t="n">
        <f aca="false">IF(OR($K$1="",对接源_02物料!$C64="",对接源_02物料!$C64&lt;&gt;$K$1,对接源_02物料!$B64=""),0,IF(OR(N(对接源_02物料!$B64)&lt;$K$2,N(对接源_02物料!$B64)&gt;$K$3),0,1))</f>
        <v>0</v>
      </c>
      <c r="L1264" s="1" t="n">
        <f aca="false">IF(OR($L$1="",对接源_02物料!$C64="",对接源_02物料!$C64&lt;&gt;$L$1,对接源_02物料!$B64=""),0,IF(OR(N(对接源_02物料!$B64)&lt;$L$2,N(对接源_02物料!$B64)&gt;$L$3),0,1))</f>
        <v>0</v>
      </c>
      <c r="M1264" s="1" t="n">
        <f aca="false">IF(OR($M$1="",对接源_02物料!$C64="",对接源_02物料!$C64&lt;&gt;$M$1,对接源_02物料!$B64=""),0,IF(OR(N(对接源_02物料!$B64)&lt;$M$2,N(对接源_02物料!$B64)&gt;$M$3),0,1))</f>
        <v>0</v>
      </c>
      <c r="N1264" s="1" t="n">
        <f aca="false">IF(OR($N$1="",对接源_02物料!$C64="",对接源_02物料!$C64&lt;&gt;$N$1,对接源_02物料!$B64=""),0,IF(OR(N(对接源_02物料!$B64)&lt;$N$2,N(对接源_02物料!$B64)&gt;$N$3),0,1))</f>
        <v>0</v>
      </c>
      <c r="P1264" s="1" t="n">
        <f aca="false">IF(AND($K1264=1,AND(对接源_02物料!$X64="公司筐",N(对接源_02物料!$T64)&lt;&gt;0)),1,0)</f>
        <v>0</v>
      </c>
      <c r="Q1264" s="1" t="n">
        <f aca="false">N(Q1263)+$P1264</f>
        <v>7</v>
      </c>
      <c r="R1264" s="1" t="n">
        <f aca="false">IF(AND($K1264=1,AND(对接源_02物料!$X64="公司筐",N(对接源_02物料!$U64)&lt;&gt;0)),1,0)</f>
        <v>0</v>
      </c>
      <c r="S1264" s="1" t="n">
        <f aca="false">N(S1263)+$R1264</f>
        <v>2</v>
      </c>
      <c r="T1264" s="1" t="n">
        <f aca="false">IF(AND($K1264=1,AND(对接源_02物料!$X64="公司筐",N(对接源_02物料!$V64)&lt;&gt;0)),1,0)</f>
        <v>0</v>
      </c>
      <c r="U1264" s="1" t="n">
        <f aca="false">N(U1263)+$T1264</f>
        <v>28</v>
      </c>
      <c r="V1264" s="1" t="n">
        <f aca="false">IF(AND($L1264=1,AND(对接源_02物料!$X64="自备筐",N(对接源_02物料!$V64)&lt;&gt;0)),1,0)</f>
        <v>0</v>
      </c>
      <c r="W1264" s="1" t="n">
        <f aca="false">N(W1263)+$V1264</f>
        <v>7</v>
      </c>
      <c r="X1264" s="1" t="n">
        <f aca="false">IF(AND($L1264=1,AND(对接源_02物料!$X64="自备筐",N(对接源_02物料!$T64)&lt;&gt;0)),1,0)</f>
        <v>0</v>
      </c>
      <c r="Y1264" s="1" t="n">
        <f aca="false">N(Y1263)+$X1264</f>
        <v>0</v>
      </c>
      <c r="Z1264" s="1" t="n">
        <f aca="false">IF(AND($M1264=1,对接源_02物料!$D64="原料入库"),1,0)</f>
        <v>0</v>
      </c>
      <c r="AA1264" s="1" t="n">
        <f aca="false">N(AA1263)+$Z1264</f>
        <v>30</v>
      </c>
      <c r="AB1264" s="1" t="n">
        <f aca="false">IF(AND($M1264=1,LEFT(对接源_02物料!$D64,4)="原料出库"),1,0)</f>
        <v>0</v>
      </c>
      <c r="AC1264" s="1" t="n">
        <f aca="false">N(AC1263)+$AB1264</f>
        <v>19</v>
      </c>
      <c r="AD1264" s="1" t="n">
        <f aca="false">IF(AND($M1264=1,LEFT(对接源_02物料!$D64,4)="成品出库"),1,0)</f>
        <v>0</v>
      </c>
      <c r="AE1264" s="1" t="n">
        <f aca="false">N(AE1263)+$AD1264</f>
        <v>38</v>
      </c>
      <c r="AF1264" s="1" t="n">
        <f aca="false">IF(AND($N1264=1,AND(LEFT(对接源_02物料!$D64,4)="包装物料",N(对接源_02物料!$K64)&lt;&gt;0)),1,0)</f>
        <v>0</v>
      </c>
      <c r="AG1264" s="1" t="n">
        <f aca="false">N(AG1263)+$AF1264</f>
        <v>6</v>
      </c>
      <c r="AH1264" s="1" t="n">
        <f aca="false">IF(AND($N1264=1,AND(LEFT(对接源_02物料!$D64,3)="周转筐",N(对接源_02物料!$K64)&lt;&gt;0)),1,0)</f>
        <v>0</v>
      </c>
      <c r="AI1264" s="1" t="n">
        <f aca="false">N(AI1263)+$AH1264</f>
        <v>0</v>
      </c>
      <c r="AJ1264" s="1" t="n">
        <v>0</v>
      </c>
      <c r="AK1264" s="1" t="n">
        <f aca="false">N(AK1263)+$AJ1264</f>
        <v>3672</v>
      </c>
    </row>
    <row r="1265" customFormat="false" ht="13.5" hidden="false" customHeight="false" outlineLevel="0" collapsed="false">
      <c r="A1265" s="1" t="str">
        <f aca="false">IF(对接源_02物料!$C65="","",对接源_02物料!$C65)</f>
        <v>努尔敦</v>
      </c>
      <c r="B1265" s="1" t="n">
        <f aca="false">IF(A1265="",0,IF(MATCH(A1265,$A$4:$A$2403,0)=ROW()-3,1,0))</f>
        <v>0</v>
      </c>
      <c r="C1265" s="1" t="n">
        <f aca="false">N(C1264)+B1265</f>
        <v>17</v>
      </c>
      <c r="K1265" s="1" t="n">
        <f aca="false">IF(OR($K$1="",对接源_02物料!$C65="",对接源_02物料!$C65&lt;&gt;$K$1,对接源_02物料!$B65=""),0,IF(OR(N(对接源_02物料!$B65)&lt;$K$2,N(对接源_02物料!$B65)&gt;$K$3),0,1))</f>
        <v>0</v>
      </c>
      <c r="L1265" s="1" t="n">
        <f aca="false">IF(OR($L$1="",对接源_02物料!$C65="",对接源_02物料!$C65&lt;&gt;$L$1,对接源_02物料!$B65=""),0,IF(OR(N(对接源_02物料!$B65)&lt;$L$2,N(对接源_02物料!$B65)&gt;$L$3),0,1))</f>
        <v>0</v>
      </c>
      <c r="M1265" s="1" t="n">
        <f aca="false">IF(OR($M$1="",对接源_02物料!$C65="",对接源_02物料!$C65&lt;&gt;$M$1,对接源_02物料!$B65=""),0,IF(OR(N(对接源_02物料!$B65)&lt;$M$2,N(对接源_02物料!$B65)&gt;$M$3),0,1))</f>
        <v>0</v>
      </c>
      <c r="N1265" s="1" t="n">
        <f aca="false">IF(OR($N$1="",对接源_02物料!$C65="",对接源_02物料!$C65&lt;&gt;$N$1,对接源_02物料!$B65=""),0,IF(OR(N(对接源_02物料!$B65)&lt;$N$2,N(对接源_02物料!$B65)&gt;$N$3),0,1))</f>
        <v>0</v>
      </c>
      <c r="P1265" s="1" t="n">
        <f aca="false">IF(AND($K1265=1,AND(对接源_02物料!$X65="公司筐",N(对接源_02物料!$T65)&lt;&gt;0)),1,0)</f>
        <v>0</v>
      </c>
      <c r="Q1265" s="1" t="n">
        <f aca="false">N(Q1264)+$P1265</f>
        <v>7</v>
      </c>
      <c r="R1265" s="1" t="n">
        <f aca="false">IF(AND($K1265=1,AND(对接源_02物料!$X65="公司筐",N(对接源_02物料!$U65)&lt;&gt;0)),1,0)</f>
        <v>0</v>
      </c>
      <c r="S1265" s="1" t="n">
        <f aca="false">N(S1264)+$R1265</f>
        <v>2</v>
      </c>
      <c r="T1265" s="1" t="n">
        <f aca="false">IF(AND($K1265=1,AND(对接源_02物料!$X65="公司筐",N(对接源_02物料!$V65)&lt;&gt;0)),1,0)</f>
        <v>0</v>
      </c>
      <c r="U1265" s="1" t="n">
        <f aca="false">N(U1264)+$T1265</f>
        <v>28</v>
      </c>
      <c r="V1265" s="1" t="n">
        <f aca="false">IF(AND($L1265=1,AND(对接源_02物料!$X65="自备筐",N(对接源_02物料!$V65)&lt;&gt;0)),1,0)</f>
        <v>0</v>
      </c>
      <c r="W1265" s="1" t="n">
        <f aca="false">N(W1264)+$V1265</f>
        <v>7</v>
      </c>
      <c r="X1265" s="1" t="n">
        <f aca="false">IF(AND($L1265=1,AND(对接源_02物料!$X65="自备筐",N(对接源_02物料!$T65)&lt;&gt;0)),1,0)</f>
        <v>0</v>
      </c>
      <c r="Y1265" s="1" t="n">
        <f aca="false">N(Y1264)+$X1265</f>
        <v>0</v>
      </c>
      <c r="Z1265" s="1" t="n">
        <f aca="false">IF(AND($M1265=1,对接源_02物料!$D65="原料入库"),1,0)</f>
        <v>0</v>
      </c>
      <c r="AA1265" s="1" t="n">
        <f aca="false">N(AA1264)+$Z1265</f>
        <v>30</v>
      </c>
      <c r="AB1265" s="1" t="n">
        <f aca="false">IF(AND($M1265=1,LEFT(对接源_02物料!$D65,4)="原料出库"),1,0)</f>
        <v>0</v>
      </c>
      <c r="AC1265" s="1" t="n">
        <f aca="false">N(AC1264)+$AB1265</f>
        <v>19</v>
      </c>
      <c r="AD1265" s="1" t="n">
        <f aca="false">IF(AND($M1265=1,LEFT(对接源_02物料!$D65,4)="成品出库"),1,0)</f>
        <v>0</v>
      </c>
      <c r="AE1265" s="1" t="n">
        <f aca="false">N(AE1264)+$AD1265</f>
        <v>38</v>
      </c>
      <c r="AF1265" s="1" t="n">
        <f aca="false">IF(AND($N1265=1,AND(LEFT(对接源_02物料!$D65,4)="包装物料",N(对接源_02物料!$K65)&lt;&gt;0)),1,0)</f>
        <v>0</v>
      </c>
      <c r="AG1265" s="1" t="n">
        <f aca="false">N(AG1264)+$AF1265</f>
        <v>6</v>
      </c>
      <c r="AH1265" s="1" t="n">
        <f aca="false">IF(AND($N1265=1,AND(LEFT(对接源_02物料!$D65,3)="周转筐",N(对接源_02物料!$K65)&lt;&gt;0)),1,0)</f>
        <v>0</v>
      </c>
      <c r="AI1265" s="1" t="n">
        <f aca="false">N(AI1264)+$AH1265</f>
        <v>0</v>
      </c>
      <c r="AJ1265" s="1" t="n">
        <v>0</v>
      </c>
      <c r="AK1265" s="1" t="n">
        <f aca="false">N(AK1264)+$AJ1265</f>
        <v>3672</v>
      </c>
    </row>
    <row r="1266" customFormat="false" ht="13.5" hidden="false" customHeight="false" outlineLevel="0" collapsed="false">
      <c r="A1266" s="1" t="str">
        <f aca="false">IF(对接源_02物料!$C66="","",对接源_02物料!$C66)</f>
        <v>全修塑业</v>
      </c>
      <c r="B1266" s="1" t="n">
        <f aca="false">IF(A1266="",0,IF(MATCH(A1266,$A$4:$A$2403,0)=ROW()-3,1,0))</f>
        <v>0</v>
      </c>
      <c r="C1266" s="1" t="n">
        <f aca="false">N(C1265)+B1266</f>
        <v>17</v>
      </c>
      <c r="K1266" s="1" t="n">
        <f aca="false">IF(OR($K$1="",对接源_02物料!$C66="",对接源_02物料!$C66&lt;&gt;$K$1,对接源_02物料!$B66=""),0,IF(OR(N(对接源_02物料!$B66)&lt;$K$2,N(对接源_02物料!$B66)&gt;$K$3),0,1))</f>
        <v>0</v>
      </c>
      <c r="L1266" s="1" t="n">
        <f aca="false">IF(OR($L$1="",对接源_02物料!$C66="",对接源_02物料!$C66&lt;&gt;$L$1,对接源_02物料!$B66=""),0,IF(OR(N(对接源_02物料!$B66)&lt;$L$2,N(对接源_02物料!$B66)&gt;$L$3),0,1))</f>
        <v>0</v>
      </c>
      <c r="M1266" s="1" t="n">
        <f aca="false">IF(OR($M$1="",对接源_02物料!$C66="",对接源_02物料!$C66&lt;&gt;$M$1,对接源_02物料!$B66=""),0,IF(OR(N(对接源_02物料!$B66)&lt;$M$2,N(对接源_02物料!$B66)&gt;$M$3),0,1))</f>
        <v>0</v>
      </c>
      <c r="N1266" s="1" t="n">
        <f aca="false">IF(OR($N$1="",对接源_02物料!$C66="",对接源_02物料!$C66&lt;&gt;$N$1,对接源_02物料!$B66=""),0,IF(OR(N(对接源_02物料!$B66)&lt;$N$2,N(对接源_02物料!$B66)&gt;$N$3),0,1))</f>
        <v>0</v>
      </c>
      <c r="P1266" s="1" t="n">
        <f aca="false">IF(AND($K1266=1,AND(对接源_02物料!$X66="公司筐",N(对接源_02物料!$T66)&lt;&gt;0)),1,0)</f>
        <v>0</v>
      </c>
      <c r="Q1266" s="1" t="n">
        <f aca="false">N(Q1265)+$P1266</f>
        <v>7</v>
      </c>
      <c r="R1266" s="1" t="n">
        <f aca="false">IF(AND($K1266=1,AND(对接源_02物料!$X66="公司筐",N(对接源_02物料!$U66)&lt;&gt;0)),1,0)</f>
        <v>0</v>
      </c>
      <c r="S1266" s="1" t="n">
        <f aca="false">N(S1265)+$R1266</f>
        <v>2</v>
      </c>
      <c r="T1266" s="1" t="n">
        <f aca="false">IF(AND($K1266=1,AND(对接源_02物料!$X66="公司筐",N(对接源_02物料!$V66)&lt;&gt;0)),1,0)</f>
        <v>0</v>
      </c>
      <c r="U1266" s="1" t="n">
        <f aca="false">N(U1265)+$T1266</f>
        <v>28</v>
      </c>
      <c r="V1266" s="1" t="n">
        <f aca="false">IF(AND($L1266=1,AND(对接源_02物料!$X66="自备筐",N(对接源_02物料!$V66)&lt;&gt;0)),1,0)</f>
        <v>0</v>
      </c>
      <c r="W1266" s="1" t="n">
        <f aca="false">N(W1265)+$V1266</f>
        <v>7</v>
      </c>
      <c r="X1266" s="1" t="n">
        <f aca="false">IF(AND($L1266=1,AND(对接源_02物料!$X66="自备筐",N(对接源_02物料!$T66)&lt;&gt;0)),1,0)</f>
        <v>0</v>
      </c>
      <c r="Y1266" s="1" t="n">
        <f aca="false">N(Y1265)+$X1266</f>
        <v>0</v>
      </c>
      <c r="Z1266" s="1" t="n">
        <f aca="false">IF(AND($M1266=1,对接源_02物料!$D66="原料入库"),1,0)</f>
        <v>0</v>
      </c>
      <c r="AA1266" s="1" t="n">
        <f aca="false">N(AA1265)+$Z1266</f>
        <v>30</v>
      </c>
      <c r="AB1266" s="1" t="n">
        <f aca="false">IF(AND($M1266=1,LEFT(对接源_02物料!$D66,4)="原料出库"),1,0)</f>
        <v>0</v>
      </c>
      <c r="AC1266" s="1" t="n">
        <f aca="false">N(AC1265)+$AB1266</f>
        <v>19</v>
      </c>
      <c r="AD1266" s="1" t="n">
        <f aca="false">IF(AND($M1266=1,LEFT(对接源_02物料!$D66,4)="成品出库"),1,0)</f>
        <v>0</v>
      </c>
      <c r="AE1266" s="1" t="n">
        <f aca="false">N(AE1265)+$AD1266</f>
        <v>38</v>
      </c>
      <c r="AF1266" s="1" t="n">
        <f aca="false">IF(AND($N1266=1,AND(LEFT(对接源_02物料!$D66,4)="包装物料",N(对接源_02物料!$K66)&lt;&gt;0)),1,0)</f>
        <v>0</v>
      </c>
      <c r="AG1266" s="1" t="n">
        <f aca="false">N(AG1265)+$AF1266</f>
        <v>6</v>
      </c>
      <c r="AH1266" s="1" t="n">
        <f aca="false">IF(AND($N1266=1,AND(LEFT(对接源_02物料!$D66,3)="周转筐",N(对接源_02物料!$K66)&lt;&gt;0)),1,0)</f>
        <v>0</v>
      </c>
      <c r="AI1266" s="1" t="n">
        <f aca="false">N(AI1265)+$AH1266</f>
        <v>0</v>
      </c>
      <c r="AJ1266" s="1" t="n">
        <v>0</v>
      </c>
      <c r="AK1266" s="1" t="n">
        <f aca="false">N(AK1265)+$AJ1266</f>
        <v>3672</v>
      </c>
    </row>
    <row r="1267" customFormat="false" ht="13.5" hidden="false" customHeight="false" outlineLevel="0" collapsed="false">
      <c r="A1267" s="1" t="str">
        <f aca="false">IF(对接源_02物料!$C67="","",对接源_02物料!$C67)</f>
        <v>荆建君</v>
      </c>
      <c r="B1267" s="1" t="n">
        <f aca="false">IF(A1267="",0,IF(MATCH(A1267,$A$4:$A$2403,0)=ROW()-3,1,0))</f>
        <v>0</v>
      </c>
      <c r="C1267" s="1" t="n">
        <f aca="false">N(C1266)+B1267</f>
        <v>17</v>
      </c>
      <c r="K1267" s="1" t="n">
        <f aca="false">IF(OR($K$1="",对接源_02物料!$C67="",对接源_02物料!$C67&lt;&gt;$K$1,对接源_02物料!$B67=""),0,IF(OR(N(对接源_02物料!$B67)&lt;$K$2,N(对接源_02物料!$B67)&gt;$K$3),0,1))</f>
        <v>0</v>
      </c>
      <c r="L1267" s="1" t="n">
        <f aca="false">IF(OR($L$1="",对接源_02物料!$C67="",对接源_02物料!$C67&lt;&gt;$L$1,对接源_02物料!$B67=""),0,IF(OR(N(对接源_02物料!$B67)&lt;$L$2,N(对接源_02物料!$B67)&gt;$L$3),0,1))</f>
        <v>0</v>
      </c>
      <c r="M1267" s="1" t="n">
        <f aca="false">IF(OR($M$1="",对接源_02物料!$C67="",对接源_02物料!$C67&lt;&gt;$M$1,对接源_02物料!$B67=""),0,IF(OR(N(对接源_02物料!$B67)&lt;$M$2,N(对接源_02物料!$B67)&gt;$M$3),0,1))</f>
        <v>0</v>
      </c>
      <c r="N1267" s="1" t="n">
        <f aca="false">IF(OR($N$1="",对接源_02物料!$C67="",对接源_02物料!$C67&lt;&gt;$N$1,对接源_02物料!$B67=""),0,IF(OR(N(对接源_02物料!$B67)&lt;$N$2,N(对接源_02物料!$B67)&gt;$N$3),0,1))</f>
        <v>0</v>
      </c>
      <c r="P1267" s="1" t="n">
        <f aca="false">IF(AND($K1267=1,AND(对接源_02物料!$X67="公司筐",N(对接源_02物料!$T67)&lt;&gt;0)),1,0)</f>
        <v>0</v>
      </c>
      <c r="Q1267" s="1" t="n">
        <f aca="false">N(Q1266)+$P1267</f>
        <v>7</v>
      </c>
      <c r="R1267" s="1" t="n">
        <f aca="false">IF(AND($K1267=1,AND(对接源_02物料!$X67="公司筐",N(对接源_02物料!$U67)&lt;&gt;0)),1,0)</f>
        <v>0</v>
      </c>
      <c r="S1267" s="1" t="n">
        <f aca="false">N(S1266)+$R1267</f>
        <v>2</v>
      </c>
      <c r="T1267" s="1" t="n">
        <f aca="false">IF(AND($K1267=1,AND(对接源_02物料!$X67="公司筐",N(对接源_02物料!$V67)&lt;&gt;0)),1,0)</f>
        <v>0</v>
      </c>
      <c r="U1267" s="1" t="n">
        <f aca="false">N(U1266)+$T1267</f>
        <v>28</v>
      </c>
      <c r="V1267" s="1" t="n">
        <f aca="false">IF(AND($L1267=1,AND(对接源_02物料!$X67="自备筐",N(对接源_02物料!$V67)&lt;&gt;0)),1,0)</f>
        <v>0</v>
      </c>
      <c r="W1267" s="1" t="n">
        <f aca="false">N(W1266)+$V1267</f>
        <v>7</v>
      </c>
      <c r="X1267" s="1" t="n">
        <f aca="false">IF(AND($L1267=1,AND(对接源_02物料!$X67="自备筐",N(对接源_02物料!$T67)&lt;&gt;0)),1,0)</f>
        <v>0</v>
      </c>
      <c r="Y1267" s="1" t="n">
        <f aca="false">N(Y1266)+$X1267</f>
        <v>0</v>
      </c>
      <c r="Z1267" s="1" t="n">
        <f aca="false">IF(AND($M1267=1,对接源_02物料!$D67="原料入库"),1,0)</f>
        <v>0</v>
      </c>
      <c r="AA1267" s="1" t="n">
        <f aca="false">N(AA1266)+$Z1267</f>
        <v>30</v>
      </c>
      <c r="AB1267" s="1" t="n">
        <f aca="false">IF(AND($M1267=1,LEFT(对接源_02物料!$D67,4)="原料出库"),1,0)</f>
        <v>0</v>
      </c>
      <c r="AC1267" s="1" t="n">
        <f aca="false">N(AC1266)+$AB1267</f>
        <v>19</v>
      </c>
      <c r="AD1267" s="1" t="n">
        <f aca="false">IF(AND($M1267=1,LEFT(对接源_02物料!$D67,4)="成品出库"),1,0)</f>
        <v>0</v>
      </c>
      <c r="AE1267" s="1" t="n">
        <f aca="false">N(AE1266)+$AD1267</f>
        <v>38</v>
      </c>
      <c r="AF1267" s="1" t="n">
        <f aca="false">IF(AND($N1267=1,AND(LEFT(对接源_02物料!$D67,4)="包装物料",N(对接源_02物料!$K67)&lt;&gt;0)),1,0)</f>
        <v>0</v>
      </c>
      <c r="AG1267" s="1" t="n">
        <f aca="false">N(AG1266)+$AF1267</f>
        <v>6</v>
      </c>
      <c r="AH1267" s="1" t="n">
        <f aca="false">IF(AND($N1267=1,AND(LEFT(对接源_02物料!$D67,3)="周转筐",N(对接源_02物料!$K67)&lt;&gt;0)),1,0)</f>
        <v>0</v>
      </c>
      <c r="AI1267" s="1" t="n">
        <f aca="false">N(AI1266)+$AH1267</f>
        <v>0</v>
      </c>
      <c r="AJ1267" s="1" t="n">
        <v>0</v>
      </c>
      <c r="AK1267" s="1" t="n">
        <f aca="false">N(AK1266)+$AJ1267</f>
        <v>3672</v>
      </c>
    </row>
    <row r="1268" customFormat="false" ht="13.5" hidden="false" customHeight="false" outlineLevel="0" collapsed="false">
      <c r="A1268" s="1" t="str">
        <f aca="false">IF(对接源_02物料!$C68="","",对接源_02物料!$C68)</f>
        <v>王浩</v>
      </c>
      <c r="B1268" s="1" t="n">
        <f aca="false">IF(A1268="",0,IF(MATCH(A1268,$A$4:$A$2403,0)=ROW()-3,1,0))</f>
        <v>0</v>
      </c>
      <c r="C1268" s="1" t="n">
        <f aca="false">N(C1267)+B1268</f>
        <v>17</v>
      </c>
      <c r="K1268" s="1" t="n">
        <f aca="false">IF(OR($K$1="",对接源_02物料!$C68="",对接源_02物料!$C68&lt;&gt;$K$1,对接源_02物料!$B68=""),0,IF(OR(N(对接源_02物料!$B68)&lt;$K$2,N(对接源_02物料!$B68)&gt;$K$3),0,1))</f>
        <v>0</v>
      </c>
      <c r="L1268" s="1" t="n">
        <f aca="false">IF(OR($L$1="",对接源_02物料!$C68="",对接源_02物料!$C68&lt;&gt;$L$1,对接源_02物料!$B68=""),0,IF(OR(N(对接源_02物料!$B68)&lt;$L$2,N(对接源_02物料!$B68)&gt;$L$3),0,1))</f>
        <v>0</v>
      </c>
      <c r="M1268" s="1" t="n">
        <f aca="false">IF(OR($M$1="",对接源_02物料!$C68="",对接源_02物料!$C68&lt;&gt;$M$1,对接源_02物料!$B68=""),0,IF(OR(N(对接源_02物料!$B68)&lt;$M$2,N(对接源_02物料!$B68)&gt;$M$3),0,1))</f>
        <v>0</v>
      </c>
      <c r="N1268" s="1" t="n">
        <f aca="false">IF(OR($N$1="",对接源_02物料!$C68="",对接源_02物料!$C68&lt;&gt;$N$1,对接源_02物料!$B68=""),0,IF(OR(N(对接源_02物料!$B68)&lt;$N$2,N(对接源_02物料!$B68)&gt;$N$3),0,1))</f>
        <v>0</v>
      </c>
      <c r="P1268" s="1" t="n">
        <f aca="false">IF(AND($K1268=1,AND(对接源_02物料!$X68="公司筐",N(对接源_02物料!$T68)&lt;&gt;0)),1,0)</f>
        <v>0</v>
      </c>
      <c r="Q1268" s="1" t="n">
        <f aca="false">N(Q1267)+$P1268</f>
        <v>7</v>
      </c>
      <c r="R1268" s="1" t="n">
        <f aca="false">IF(AND($K1268=1,AND(对接源_02物料!$X68="公司筐",N(对接源_02物料!$U68)&lt;&gt;0)),1,0)</f>
        <v>0</v>
      </c>
      <c r="S1268" s="1" t="n">
        <f aca="false">N(S1267)+$R1268</f>
        <v>2</v>
      </c>
      <c r="T1268" s="1" t="n">
        <f aca="false">IF(AND($K1268=1,AND(对接源_02物料!$X68="公司筐",N(对接源_02物料!$V68)&lt;&gt;0)),1,0)</f>
        <v>0</v>
      </c>
      <c r="U1268" s="1" t="n">
        <f aca="false">N(U1267)+$T1268</f>
        <v>28</v>
      </c>
      <c r="V1268" s="1" t="n">
        <f aca="false">IF(AND($L1268=1,AND(对接源_02物料!$X68="自备筐",N(对接源_02物料!$V68)&lt;&gt;0)),1,0)</f>
        <v>0</v>
      </c>
      <c r="W1268" s="1" t="n">
        <f aca="false">N(W1267)+$V1268</f>
        <v>7</v>
      </c>
      <c r="X1268" s="1" t="n">
        <f aca="false">IF(AND($L1268=1,AND(对接源_02物料!$X68="自备筐",N(对接源_02物料!$T68)&lt;&gt;0)),1,0)</f>
        <v>0</v>
      </c>
      <c r="Y1268" s="1" t="n">
        <f aca="false">N(Y1267)+$X1268</f>
        <v>0</v>
      </c>
      <c r="Z1268" s="1" t="n">
        <f aca="false">IF(AND($M1268=1,对接源_02物料!$D68="原料入库"),1,0)</f>
        <v>0</v>
      </c>
      <c r="AA1268" s="1" t="n">
        <f aca="false">N(AA1267)+$Z1268</f>
        <v>30</v>
      </c>
      <c r="AB1268" s="1" t="n">
        <f aca="false">IF(AND($M1268=1,LEFT(对接源_02物料!$D68,4)="原料出库"),1,0)</f>
        <v>0</v>
      </c>
      <c r="AC1268" s="1" t="n">
        <f aca="false">N(AC1267)+$AB1268</f>
        <v>19</v>
      </c>
      <c r="AD1268" s="1" t="n">
        <f aca="false">IF(AND($M1268=1,LEFT(对接源_02物料!$D68,4)="成品出库"),1,0)</f>
        <v>0</v>
      </c>
      <c r="AE1268" s="1" t="n">
        <f aca="false">N(AE1267)+$AD1268</f>
        <v>38</v>
      </c>
      <c r="AF1268" s="1" t="n">
        <f aca="false">IF(AND($N1268=1,AND(LEFT(对接源_02物料!$D68,4)="包装物料",N(对接源_02物料!$K68)&lt;&gt;0)),1,0)</f>
        <v>0</v>
      </c>
      <c r="AG1268" s="1" t="n">
        <f aca="false">N(AG1267)+$AF1268</f>
        <v>6</v>
      </c>
      <c r="AH1268" s="1" t="n">
        <f aca="false">IF(AND($N1268=1,AND(LEFT(对接源_02物料!$D68,3)="周转筐",N(对接源_02物料!$K68)&lt;&gt;0)),1,0)</f>
        <v>0</v>
      </c>
      <c r="AI1268" s="1" t="n">
        <f aca="false">N(AI1267)+$AH1268</f>
        <v>0</v>
      </c>
      <c r="AJ1268" s="1" t="n">
        <v>0</v>
      </c>
      <c r="AK1268" s="1" t="n">
        <f aca="false">N(AK1267)+$AJ1268</f>
        <v>3672</v>
      </c>
    </row>
    <row r="1269" customFormat="false" ht="13.5" hidden="false" customHeight="false" outlineLevel="0" collapsed="false">
      <c r="A1269" s="1" t="str">
        <f aca="false">IF(对接源_02物料!$C69="","",对接源_02物料!$C69)</f>
        <v>贾建国</v>
      </c>
      <c r="B1269" s="1" t="n">
        <f aca="false">IF(A1269="",0,IF(MATCH(A1269,$A$4:$A$2403,0)=ROW()-3,1,0))</f>
        <v>0</v>
      </c>
      <c r="C1269" s="1" t="n">
        <f aca="false">N(C1268)+B1269</f>
        <v>17</v>
      </c>
      <c r="K1269" s="1" t="n">
        <f aca="false">IF(OR($K$1="",对接源_02物料!$C69="",对接源_02物料!$C69&lt;&gt;$K$1,对接源_02物料!$B69=""),0,IF(OR(N(对接源_02物料!$B69)&lt;$K$2,N(对接源_02物料!$B69)&gt;$K$3),0,1))</f>
        <v>0</v>
      </c>
      <c r="L1269" s="1" t="n">
        <f aca="false">IF(OR($L$1="",对接源_02物料!$C69="",对接源_02物料!$C69&lt;&gt;$L$1,对接源_02物料!$B69=""),0,IF(OR(N(对接源_02物料!$B69)&lt;$L$2,N(对接源_02物料!$B69)&gt;$L$3),0,1))</f>
        <v>1</v>
      </c>
      <c r="M1269" s="1" t="n">
        <f aca="false">IF(OR($M$1="",对接源_02物料!$C69="",对接源_02物料!$C69&lt;&gt;$M$1,对接源_02物料!$B69=""),0,IF(OR(N(对接源_02物料!$B69)&lt;$M$2,N(对接源_02物料!$B69)&gt;$M$3),0,1))</f>
        <v>0</v>
      </c>
      <c r="N1269" s="1" t="n">
        <f aca="false">IF(OR($N$1="",对接源_02物料!$C69="",对接源_02物料!$C69&lt;&gt;$N$1,对接源_02物料!$B69=""),0,IF(OR(N(对接源_02物料!$B69)&lt;$N$2,N(对接源_02物料!$B69)&gt;$N$3),0,1))</f>
        <v>0</v>
      </c>
      <c r="P1269" s="1" t="n">
        <f aca="false">IF(AND($K1269=1,AND(对接源_02物料!$X69="公司筐",N(对接源_02物料!$T69)&lt;&gt;0)),1,0)</f>
        <v>0</v>
      </c>
      <c r="Q1269" s="1" t="n">
        <f aca="false">N(Q1268)+$P1269</f>
        <v>7</v>
      </c>
      <c r="R1269" s="1" t="n">
        <f aca="false">IF(AND($K1269=1,AND(对接源_02物料!$X69="公司筐",N(对接源_02物料!$U69)&lt;&gt;0)),1,0)</f>
        <v>0</v>
      </c>
      <c r="S1269" s="1" t="n">
        <f aca="false">N(S1268)+$R1269</f>
        <v>2</v>
      </c>
      <c r="T1269" s="1" t="n">
        <f aca="false">IF(AND($K1269=1,AND(对接源_02物料!$X69="公司筐",N(对接源_02物料!$V69)&lt;&gt;0)),1,0)</f>
        <v>0</v>
      </c>
      <c r="U1269" s="1" t="n">
        <f aca="false">N(U1268)+$T1269</f>
        <v>28</v>
      </c>
      <c r="V1269" s="1" t="n">
        <f aca="false">IF(AND($L1269=1,AND(对接源_02物料!$X69="自备筐",N(对接源_02物料!$V69)&lt;&gt;0)),1,0)</f>
        <v>0</v>
      </c>
      <c r="W1269" s="1" t="n">
        <f aca="false">N(W1268)+$V1269</f>
        <v>7</v>
      </c>
      <c r="X1269" s="1" t="n">
        <f aca="false">IF(AND($L1269=1,AND(对接源_02物料!$X69="自备筐",N(对接源_02物料!$T69)&lt;&gt;0)),1,0)</f>
        <v>0</v>
      </c>
      <c r="Y1269" s="1" t="n">
        <f aca="false">N(Y1268)+$X1269</f>
        <v>0</v>
      </c>
      <c r="Z1269" s="1" t="n">
        <f aca="false">IF(AND($M1269=1,对接源_02物料!$D69="原料入库"),1,0)</f>
        <v>0</v>
      </c>
      <c r="AA1269" s="1" t="n">
        <f aca="false">N(AA1268)+$Z1269</f>
        <v>30</v>
      </c>
      <c r="AB1269" s="1" t="n">
        <f aca="false">IF(AND($M1269=1,LEFT(对接源_02物料!$D69,4)="原料出库"),1,0)</f>
        <v>0</v>
      </c>
      <c r="AC1269" s="1" t="n">
        <f aca="false">N(AC1268)+$AB1269</f>
        <v>19</v>
      </c>
      <c r="AD1269" s="1" t="n">
        <f aca="false">IF(AND($M1269=1,LEFT(对接源_02物料!$D69,4)="成品出库"),1,0)</f>
        <v>0</v>
      </c>
      <c r="AE1269" s="1" t="n">
        <f aca="false">N(AE1268)+$AD1269</f>
        <v>38</v>
      </c>
      <c r="AF1269" s="1" t="n">
        <f aca="false">IF(AND($N1269=1,AND(LEFT(对接源_02物料!$D69,4)="包装物料",N(对接源_02物料!$K69)&lt;&gt;0)),1,0)</f>
        <v>0</v>
      </c>
      <c r="AG1269" s="1" t="n">
        <f aca="false">N(AG1268)+$AF1269</f>
        <v>6</v>
      </c>
      <c r="AH1269" s="1" t="n">
        <f aca="false">IF(AND($N1269=1,AND(LEFT(对接源_02物料!$D69,3)="周转筐",N(对接源_02物料!$K69)&lt;&gt;0)),1,0)</f>
        <v>0</v>
      </c>
      <c r="AI1269" s="1" t="n">
        <f aca="false">N(AI1268)+$AH1269</f>
        <v>0</v>
      </c>
      <c r="AJ1269" s="1" t="n">
        <v>0</v>
      </c>
      <c r="AK1269" s="1" t="n">
        <f aca="false">N(AK1268)+$AJ1269</f>
        <v>3672</v>
      </c>
    </row>
    <row r="1270" customFormat="false" ht="13.5" hidden="false" customHeight="false" outlineLevel="0" collapsed="false">
      <c r="A1270" s="1" t="str">
        <f aca="false">IF(对接源_02物料!$C70="","",对接源_02物料!$C70)</f>
        <v>全修塑业</v>
      </c>
      <c r="B1270" s="1" t="n">
        <f aca="false">IF(A1270="",0,IF(MATCH(A1270,$A$4:$A$2403,0)=ROW()-3,1,0))</f>
        <v>0</v>
      </c>
      <c r="C1270" s="1" t="n">
        <f aca="false">N(C1269)+B1270</f>
        <v>17</v>
      </c>
      <c r="K1270" s="1" t="n">
        <f aca="false">IF(OR($K$1="",对接源_02物料!$C70="",对接源_02物料!$C70&lt;&gt;$K$1,对接源_02物料!$B70=""),0,IF(OR(N(对接源_02物料!$B70)&lt;$K$2,N(对接源_02物料!$B70)&gt;$K$3),0,1))</f>
        <v>0</v>
      </c>
      <c r="L1270" s="1" t="n">
        <f aca="false">IF(OR($L$1="",对接源_02物料!$C70="",对接源_02物料!$C70&lt;&gt;$L$1,对接源_02物料!$B70=""),0,IF(OR(N(对接源_02物料!$B70)&lt;$L$2,N(对接源_02物料!$B70)&gt;$L$3),0,1))</f>
        <v>0</v>
      </c>
      <c r="M1270" s="1" t="n">
        <f aca="false">IF(OR($M$1="",对接源_02物料!$C70="",对接源_02物料!$C70&lt;&gt;$M$1,对接源_02物料!$B70=""),0,IF(OR(N(对接源_02物料!$B70)&lt;$M$2,N(对接源_02物料!$B70)&gt;$M$3),0,1))</f>
        <v>0</v>
      </c>
      <c r="N1270" s="1" t="n">
        <f aca="false">IF(OR($N$1="",对接源_02物料!$C70="",对接源_02物料!$C70&lt;&gt;$N$1,对接源_02物料!$B70=""),0,IF(OR(N(对接源_02物料!$B70)&lt;$N$2,N(对接源_02物料!$B70)&gt;$N$3),0,1))</f>
        <v>0</v>
      </c>
      <c r="P1270" s="1" t="n">
        <f aca="false">IF(AND($K1270=1,AND(对接源_02物料!$X70="公司筐",N(对接源_02物料!$T70)&lt;&gt;0)),1,0)</f>
        <v>0</v>
      </c>
      <c r="Q1270" s="1" t="n">
        <f aca="false">N(Q1269)+$P1270</f>
        <v>7</v>
      </c>
      <c r="R1270" s="1" t="n">
        <f aca="false">IF(AND($K1270=1,AND(对接源_02物料!$X70="公司筐",N(对接源_02物料!$U70)&lt;&gt;0)),1,0)</f>
        <v>0</v>
      </c>
      <c r="S1270" s="1" t="n">
        <f aca="false">N(S1269)+$R1270</f>
        <v>2</v>
      </c>
      <c r="T1270" s="1" t="n">
        <f aca="false">IF(AND($K1270=1,AND(对接源_02物料!$X70="公司筐",N(对接源_02物料!$V70)&lt;&gt;0)),1,0)</f>
        <v>0</v>
      </c>
      <c r="U1270" s="1" t="n">
        <f aca="false">N(U1269)+$T1270</f>
        <v>28</v>
      </c>
      <c r="V1270" s="1" t="n">
        <f aca="false">IF(AND($L1270=1,AND(对接源_02物料!$X70="自备筐",N(对接源_02物料!$V70)&lt;&gt;0)),1,0)</f>
        <v>0</v>
      </c>
      <c r="W1270" s="1" t="n">
        <f aca="false">N(W1269)+$V1270</f>
        <v>7</v>
      </c>
      <c r="X1270" s="1" t="n">
        <f aca="false">IF(AND($L1270=1,AND(对接源_02物料!$X70="自备筐",N(对接源_02物料!$T70)&lt;&gt;0)),1,0)</f>
        <v>0</v>
      </c>
      <c r="Y1270" s="1" t="n">
        <f aca="false">N(Y1269)+$X1270</f>
        <v>0</v>
      </c>
      <c r="Z1270" s="1" t="n">
        <f aca="false">IF(AND($M1270=1,对接源_02物料!$D70="原料入库"),1,0)</f>
        <v>0</v>
      </c>
      <c r="AA1270" s="1" t="n">
        <f aca="false">N(AA1269)+$Z1270</f>
        <v>30</v>
      </c>
      <c r="AB1270" s="1" t="n">
        <f aca="false">IF(AND($M1270=1,LEFT(对接源_02物料!$D70,4)="原料出库"),1,0)</f>
        <v>0</v>
      </c>
      <c r="AC1270" s="1" t="n">
        <f aca="false">N(AC1269)+$AB1270</f>
        <v>19</v>
      </c>
      <c r="AD1270" s="1" t="n">
        <f aca="false">IF(AND($M1270=1,LEFT(对接源_02物料!$D70,4)="成品出库"),1,0)</f>
        <v>0</v>
      </c>
      <c r="AE1270" s="1" t="n">
        <f aca="false">N(AE1269)+$AD1270</f>
        <v>38</v>
      </c>
      <c r="AF1270" s="1" t="n">
        <f aca="false">IF(AND($N1270=1,AND(LEFT(对接源_02物料!$D70,4)="包装物料",N(对接源_02物料!$K70)&lt;&gt;0)),1,0)</f>
        <v>0</v>
      </c>
      <c r="AG1270" s="1" t="n">
        <f aca="false">N(AG1269)+$AF1270</f>
        <v>6</v>
      </c>
      <c r="AH1270" s="1" t="n">
        <f aca="false">IF(AND($N1270=1,AND(LEFT(对接源_02物料!$D70,3)="周转筐",N(对接源_02物料!$K70)&lt;&gt;0)),1,0)</f>
        <v>0</v>
      </c>
      <c r="AI1270" s="1" t="n">
        <f aca="false">N(AI1269)+$AH1270</f>
        <v>0</v>
      </c>
      <c r="AJ1270" s="1" t="n">
        <v>0</v>
      </c>
      <c r="AK1270" s="1" t="n">
        <f aca="false">N(AK1269)+$AJ1270</f>
        <v>3672</v>
      </c>
    </row>
    <row r="1271" customFormat="false" ht="13.5" hidden="false" customHeight="false" outlineLevel="0" collapsed="false">
      <c r="A1271" s="1" t="str">
        <f aca="false">IF(对接源_02物料!$C71="","",对接源_02物料!$C71)</f>
        <v>麦麦提</v>
      </c>
      <c r="B1271" s="1" t="n">
        <f aca="false">IF(A1271="",0,IF(MATCH(A1271,$A$4:$A$2403,0)=ROW()-3,1,0))</f>
        <v>0</v>
      </c>
      <c r="C1271" s="1" t="n">
        <f aca="false">N(C1270)+B1271</f>
        <v>17</v>
      </c>
      <c r="K1271" s="1" t="n">
        <f aca="false">IF(OR($K$1="",对接源_02物料!$C71="",对接源_02物料!$C71&lt;&gt;$K$1,对接源_02物料!$B71=""),0,IF(OR(N(对接源_02物料!$B71)&lt;$K$2,N(对接源_02物料!$B71)&gt;$K$3),0,1))</f>
        <v>0</v>
      </c>
      <c r="L1271" s="1" t="n">
        <f aca="false">IF(OR($L$1="",对接源_02物料!$C71="",对接源_02物料!$C71&lt;&gt;$L$1,对接源_02物料!$B71=""),0,IF(OR(N(对接源_02物料!$B71)&lt;$L$2,N(对接源_02物料!$B71)&gt;$L$3),0,1))</f>
        <v>0</v>
      </c>
      <c r="M1271" s="1" t="n">
        <f aca="false">IF(OR($M$1="",对接源_02物料!$C71="",对接源_02物料!$C71&lt;&gt;$M$1,对接源_02物料!$B71=""),0,IF(OR(N(对接源_02物料!$B71)&lt;$M$2,N(对接源_02物料!$B71)&gt;$M$3),0,1))</f>
        <v>0</v>
      </c>
      <c r="N1271" s="1" t="n">
        <f aca="false">IF(OR($N$1="",对接源_02物料!$C71="",对接源_02物料!$C71&lt;&gt;$N$1,对接源_02物料!$B71=""),0,IF(OR(N(对接源_02物料!$B71)&lt;$N$2,N(对接源_02物料!$B71)&gt;$N$3),0,1))</f>
        <v>1</v>
      </c>
      <c r="P1271" s="1" t="n">
        <f aca="false">IF(AND($K1271=1,AND(对接源_02物料!$X71="公司筐",N(对接源_02物料!$T71)&lt;&gt;0)),1,0)</f>
        <v>0</v>
      </c>
      <c r="Q1271" s="1" t="n">
        <f aca="false">N(Q1270)+$P1271</f>
        <v>7</v>
      </c>
      <c r="R1271" s="1" t="n">
        <f aca="false">IF(AND($K1271=1,AND(对接源_02物料!$X71="公司筐",N(对接源_02物料!$U71)&lt;&gt;0)),1,0)</f>
        <v>0</v>
      </c>
      <c r="S1271" s="1" t="n">
        <f aca="false">N(S1270)+$R1271</f>
        <v>2</v>
      </c>
      <c r="T1271" s="1" t="n">
        <f aca="false">IF(AND($K1271=1,AND(对接源_02物料!$X71="公司筐",N(对接源_02物料!$V71)&lt;&gt;0)),1,0)</f>
        <v>0</v>
      </c>
      <c r="U1271" s="1" t="n">
        <f aca="false">N(U1270)+$T1271</f>
        <v>28</v>
      </c>
      <c r="V1271" s="1" t="n">
        <f aca="false">IF(AND($L1271=1,AND(对接源_02物料!$X71="自备筐",N(对接源_02物料!$V71)&lt;&gt;0)),1,0)</f>
        <v>0</v>
      </c>
      <c r="W1271" s="1" t="n">
        <f aca="false">N(W1270)+$V1271</f>
        <v>7</v>
      </c>
      <c r="X1271" s="1" t="n">
        <f aca="false">IF(AND($L1271=1,AND(对接源_02物料!$X71="自备筐",N(对接源_02物料!$T71)&lt;&gt;0)),1,0)</f>
        <v>0</v>
      </c>
      <c r="Y1271" s="1" t="n">
        <f aca="false">N(Y1270)+$X1271</f>
        <v>0</v>
      </c>
      <c r="Z1271" s="1" t="n">
        <f aca="false">IF(AND($M1271=1,对接源_02物料!$D71="原料入库"),1,0)</f>
        <v>0</v>
      </c>
      <c r="AA1271" s="1" t="n">
        <f aca="false">N(AA1270)+$Z1271</f>
        <v>30</v>
      </c>
      <c r="AB1271" s="1" t="n">
        <f aca="false">IF(AND($M1271=1,LEFT(对接源_02物料!$D71,4)="原料出库"),1,0)</f>
        <v>0</v>
      </c>
      <c r="AC1271" s="1" t="n">
        <f aca="false">N(AC1270)+$AB1271</f>
        <v>19</v>
      </c>
      <c r="AD1271" s="1" t="n">
        <f aca="false">IF(AND($M1271=1,LEFT(对接源_02物料!$D71,4)="成品出库"),1,0)</f>
        <v>0</v>
      </c>
      <c r="AE1271" s="1" t="n">
        <f aca="false">N(AE1270)+$AD1271</f>
        <v>38</v>
      </c>
      <c r="AF1271" s="1" t="n">
        <f aca="false">IF(AND($N1271=1,AND(LEFT(对接源_02物料!$D71,4)="包装物料",N(对接源_02物料!$K71)&lt;&gt;0)),1,0)</f>
        <v>0</v>
      </c>
      <c r="AG1271" s="1" t="n">
        <f aca="false">N(AG1270)+$AF1271</f>
        <v>6</v>
      </c>
      <c r="AH1271" s="1" t="n">
        <f aca="false">IF(AND($N1271=1,AND(LEFT(对接源_02物料!$D71,3)="周转筐",N(对接源_02物料!$K71)&lt;&gt;0)),1,0)</f>
        <v>0</v>
      </c>
      <c r="AI1271" s="1" t="n">
        <f aca="false">N(AI1270)+$AH1271</f>
        <v>0</v>
      </c>
      <c r="AJ1271" s="1" t="n">
        <v>0</v>
      </c>
      <c r="AK1271" s="1" t="n">
        <f aca="false">N(AK1270)+$AJ1271</f>
        <v>3672</v>
      </c>
    </row>
    <row r="1272" customFormat="false" ht="13.5" hidden="false" customHeight="false" outlineLevel="0" collapsed="false">
      <c r="A1272" s="1" t="str">
        <f aca="false">IF(对接源_02物料!$C72="","",对接源_02物料!$C72)</f>
        <v>全修塑业</v>
      </c>
      <c r="B1272" s="1" t="n">
        <f aca="false">IF(A1272="",0,IF(MATCH(A1272,$A$4:$A$2403,0)=ROW()-3,1,0))</f>
        <v>0</v>
      </c>
      <c r="C1272" s="1" t="n">
        <f aca="false">N(C1271)+B1272</f>
        <v>17</v>
      </c>
      <c r="K1272" s="1" t="n">
        <f aca="false">IF(OR($K$1="",对接源_02物料!$C72="",对接源_02物料!$C72&lt;&gt;$K$1,对接源_02物料!$B72=""),0,IF(OR(N(对接源_02物料!$B72)&lt;$K$2,N(对接源_02物料!$B72)&gt;$K$3),0,1))</f>
        <v>0</v>
      </c>
      <c r="L1272" s="1" t="n">
        <f aca="false">IF(OR($L$1="",对接源_02物料!$C72="",对接源_02物料!$C72&lt;&gt;$L$1,对接源_02物料!$B72=""),0,IF(OR(N(对接源_02物料!$B72)&lt;$L$2,N(对接源_02物料!$B72)&gt;$L$3),0,1))</f>
        <v>0</v>
      </c>
      <c r="M1272" s="1" t="n">
        <f aca="false">IF(OR($M$1="",对接源_02物料!$C72="",对接源_02物料!$C72&lt;&gt;$M$1,对接源_02物料!$B72=""),0,IF(OR(N(对接源_02物料!$B72)&lt;$M$2,N(对接源_02物料!$B72)&gt;$M$3),0,1))</f>
        <v>0</v>
      </c>
      <c r="N1272" s="1" t="n">
        <f aca="false">IF(OR($N$1="",对接源_02物料!$C72="",对接源_02物料!$C72&lt;&gt;$N$1,对接源_02物料!$B72=""),0,IF(OR(N(对接源_02物料!$B72)&lt;$N$2,N(对接源_02物料!$B72)&gt;$N$3),0,1))</f>
        <v>0</v>
      </c>
      <c r="P1272" s="1" t="n">
        <f aca="false">IF(AND($K1272=1,AND(对接源_02物料!$X72="公司筐",N(对接源_02物料!$T72)&lt;&gt;0)),1,0)</f>
        <v>0</v>
      </c>
      <c r="Q1272" s="1" t="n">
        <f aca="false">N(Q1271)+$P1272</f>
        <v>7</v>
      </c>
      <c r="R1272" s="1" t="n">
        <f aca="false">IF(AND($K1272=1,AND(对接源_02物料!$X72="公司筐",N(对接源_02物料!$U72)&lt;&gt;0)),1,0)</f>
        <v>0</v>
      </c>
      <c r="S1272" s="1" t="n">
        <f aca="false">N(S1271)+$R1272</f>
        <v>2</v>
      </c>
      <c r="T1272" s="1" t="n">
        <f aca="false">IF(AND($K1272=1,AND(对接源_02物料!$X72="公司筐",N(对接源_02物料!$V72)&lt;&gt;0)),1,0)</f>
        <v>0</v>
      </c>
      <c r="U1272" s="1" t="n">
        <f aca="false">N(U1271)+$T1272</f>
        <v>28</v>
      </c>
      <c r="V1272" s="1" t="n">
        <f aca="false">IF(AND($L1272=1,AND(对接源_02物料!$X72="自备筐",N(对接源_02物料!$V72)&lt;&gt;0)),1,0)</f>
        <v>0</v>
      </c>
      <c r="W1272" s="1" t="n">
        <f aca="false">N(W1271)+$V1272</f>
        <v>7</v>
      </c>
      <c r="X1272" s="1" t="n">
        <f aca="false">IF(AND($L1272=1,AND(对接源_02物料!$X72="自备筐",N(对接源_02物料!$T72)&lt;&gt;0)),1,0)</f>
        <v>0</v>
      </c>
      <c r="Y1272" s="1" t="n">
        <f aca="false">N(Y1271)+$X1272</f>
        <v>0</v>
      </c>
      <c r="Z1272" s="1" t="n">
        <f aca="false">IF(AND($M1272=1,对接源_02物料!$D72="原料入库"),1,0)</f>
        <v>0</v>
      </c>
      <c r="AA1272" s="1" t="n">
        <f aca="false">N(AA1271)+$Z1272</f>
        <v>30</v>
      </c>
      <c r="AB1272" s="1" t="n">
        <f aca="false">IF(AND($M1272=1,LEFT(对接源_02物料!$D72,4)="原料出库"),1,0)</f>
        <v>0</v>
      </c>
      <c r="AC1272" s="1" t="n">
        <f aca="false">N(AC1271)+$AB1272</f>
        <v>19</v>
      </c>
      <c r="AD1272" s="1" t="n">
        <f aca="false">IF(AND($M1272=1,LEFT(对接源_02物料!$D72,4)="成品出库"),1,0)</f>
        <v>0</v>
      </c>
      <c r="AE1272" s="1" t="n">
        <f aca="false">N(AE1271)+$AD1272</f>
        <v>38</v>
      </c>
      <c r="AF1272" s="1" t="n">
        <f aca="false">IF(AND($N1272=1,AND(LEFT(对接源_02物料!$D72,4)="包装物料",N(对接源_02物料!$K72)&lt;&gt;0)),1,0)</f>
        <v>0</v>
      </c>
      <c r="AG1272" s="1" t="n">
        <f aca="false">N(AG1271)+$AF1272</f>
        <v>6</v>
      </c>
      <c r="AH1272" s="1" t="n">
        <f aca="false">IF(AND($N1272=1,AND(LEFT(对接源_02物料!$D72,3)="周转筐",N(对接源_02物料!$K72)&lt;&gt;0)),1,0)</f>
        <v>0</v>
      </c>
      <c r="AI1272" s="1" t="n">
        <f aca="false">N(AI1271)+$AH1272</f>
        <v>0</v>
      </c>
      <c r="AJ1272" s="1" t="n">
        <v>0</v>
      </c>
      <c r="AK1272" s="1" t="n">
        <f aca="false">N(AK1271)+$AJ1272</f>
        <v>3672</v>
      </c>
    </row>
    <row r="1273" customFormat="false" ht="13.5" hidden="false" customHeight="false" outlineLevel="0" collapsed="false">
      <c r="A1273" s="1" t="str">
        <f aca="false">IF(对接源_02物料!$C73="","",对接源_02物料!$C73)</f>
        <v>马锦祥</v>
      </c>
      <c r="B1273" s="1" t="n">
        <f aca="false">IF(A1273="",0,IF(MATCH(A1273,$A$4:$A$2403,0)=ROW()-3,1,0))</f>
        <v>0</v>
      </c>
      <c r="C1273" s="1" t="n">
        <f aca="false">N(C1272)+B1273</f>
        <v>17</v>
      </c>
      <c r="K1273" s="1" t="n">
        <f aca="false">IF(OR($K$1="",对接源_02物料!$C73="",对接源_02物料!$C73&lt;&gt;$K$1,对接源_02物料!$B73=""),0,IF(OR(N(对接源_02物料!$B73)&lt;$K$2,N(对接源_02物料!$B73)&gt;$K$3),0,1))</f>
        <v>0</v>
      </c>
      <c r="L1273" s="1" t="n">
        <f aca="false">IF(OR($L$1="",对接源_02物料!$C73="",对接源_02物料!$C73&lt;&gt;$L$1,对接源_02物料!$B73=""),0,IF(OR(N(对接源_02物料!$B73)&lt;$L$2,N(对接源_02物料!$B73)&gt;$L$3),0,1))</f>
        <v>0</v>
      </c>
      <c r="M1273" s="1" t="n">
        <f aca="false">IF(OR($M$1="",对接源_02物料!$C73="",对接源_02物料!$C73&lt;&gt;$M$1,对接源_02物料!$B73=""),0,IF(OR(N(对接源_02物料!$B73)&lt;$M$2,N(对接源_02物料!$B73)&gt;$M$3),0,1))</f>
        <v>0</v>
      </c>
      <c r="N1273" s="1" t="n">
        <f aca="false">IF(OR($N$1="",对接源_02物料!$C73="",对接源_02物料!$C73&lt;&gt;$N$1,对接源_02物料!$B73=""),0,IF(OR(N(对接源_02物料!$B73)&lt;$N$2,N(对接源_02物料!$B73)&gt;$N$3),0,1))</f>
        <v>0</v>
      </c>
      <c r="P1273" s="1" t="n">
        <f aca="false">IF(AND($K1273=1,AND(对接源_02物料!$X73="公司筐",N(对接源_02物料!$T73)&lt;&gt;0)),1,0)</f>
        <v>0</v>
      </c>
      <c r="Q1273" s="1" t="n">
        <f aca="false">N(Q1272)+$P1273</f>
        <v>7</v>
      </c>
      <c r="R1273" s="1" t="n">
        <f aca="false">IF(AND($K1273=1,AND(对接源_02物料!$X73="公司筐",N(对接源_02物料!$U73)&lt;&gt;0)),1,0)</f>
        <v>0</v>
      </c>
      <c r="S1273" s="1" t="n">
        <f aca="false">N(S1272)+$R1273</f>
        <v>2</v>
      </c>
      <c r="T1273" s="1" t="n">
        <f aca="false">IF(AND($K1273=1,AND(对接源_02物料!$X73="公司筐",N(对接源_02物料!$V73)&lt;&gt;0)),1,0)</f>
        <v>0</v>
      </c>
      <c r="U1273" s="1" t="n">
        <f aca="false">N(U1272)+$T1273</f>
        <v>28</v>
      </c>
      <c r="V1273" s="1" t="n">
        <f aca="false">IF(AND($L1273=1,AND(对接源_02物料!$X73="自备筐",N(对接源_02物料!$V73)&lt;&gt;0)),1,0)</f>
        <v>0</v>
      </c>
      <c r="W1273" s="1" t="n">
        <f aca="false">N(W1272)+$V1273</f>
        <v>7</v>
      </c>
      <c r="X1273" s="1" t="n">
        <f aca="false">IF(AND($L1273=1,AND(对接源_02物料!$X73="自备筐",N(对接源_02物料!$T73)&lt;&gt;0)),1,0)</f>
        <v>0</v>
      </c>
      <c r="Y1273" s="1" t="n">
        <f aca="false">N(Y1272)+$X1273</f>
        <v>0</v>
      </c>
      <c r="Z1273" s="1" t="n">
        <f aca="false">IF(AND($M1273=1,对接源_02物料!$D73="原料入库"),1,0)</f>
        <v>0</v>
      </c>
      <c r="AA1273" s="1" t="n">
        <f aca="false">N(AA1272)+$Z1273</f>
        <v>30</v>
      </c>
      <c r="AB1273" s="1" t="n">
        <f aca="false">IF(AND($M1273=1,LEFT(对接源_02物料!$D73,4)="原料出库"),1,0)</f>
        <v>0</v>
      </c>
      <c r="AC1273" s="1" t="n">
        <f aca="false">N(AC1272)+$AB1273</f>
        <v>19</v>
      </c>
      <c r="AD1273" s="1" t="n">
        <f aca="false">IF(AND($M1273=1,LEFT(对接源_02物料!$D73,4)="成品出库"),1,0)</f>
        <v>0</v>
      </c>
      <c r="AE1273" s="1" t="n">
        <f aca="false">N(AE1272)+$AD1273</f>
        <v>38</v>
      </c>
      <c r="AF1273" s="1" t="n">
        <f aca="false">IF(AND($N1273=1,AND(LEFT(对接源_02物料!$D73,4)="包装物料",N(对接源_02物料!$K73)&lt;&gt;0)),1,0)</f>
        <v>0</v>
      </c>
      <c r="AG1273" s="1" t="n">
        <f aca="false">N(AG1272)+$AF1273</f>
        <v>6</v>
      </c>
      <c r="AH1273" s="1" t="n">
        <f aca="false">IF(AND($N1273=1,AND(LEFT(对接源_02物料!$D73,3)="周转筐",N(对接源_02物料!$K73)&lt;&gt;0)),1,0)</f>
        <v>0</v>
      </c>
      <c r="AI1273" s="1" t="n">
        <f aca="false">N(AI1272)+$AH1273</f>
        <v>0</v>
      </c>
      <c r="AJ1273" s="1" t="n">
        <v>0</v>
      </c>
      <c r="AK1273" s="1" t="n">
        <f aca="false">N(AK1272)+$AJ1273</f>
        <v>3672</v>
      </c>
    </row>
    <row r="1274" customFormat="false" ht="13.5" hidden="false" customHeight="false" outlineLevel="0" collapsed="false">
      <c r="A1274" s="1" t="str">
        <f aca="false">IF(对接源_02物料!$C74="","",对接源_02物料!$C74)</f>
        <v>贾建国</v>
      </c>
      <c r="B1274" s="1" t="n">
        <f aca="false">IF(A1274="",0,IF(MATCH(A1274,$A$4:$A$2403,0)=ROW()-3,1,0))</f>
        <v>0</v>
      </c>
      <c r="C1274" s="1" t="n">
        <f aca="false">N(C1273)+B1274</f>
        <v>17</v>
      </c>
      <c r="K1274" s="1" t="n">
        <f aca="false">IF(OR($K$1="",对接源_02物料!$C74="",对接源_02物料!$C74&lt;&gt;$K$1,对接源_02物料!$B74=""),0,IF(OR(N(对接源_02物料!$B74)&lt;$K$2,N(对接源_02物料!$B74)&gt;$K$3),0,1))</f>
        <v>0</v>
      </c>
      <c r="L1274" s="1" t="n">
        <f aca="false">IF(OR($L$1="",对接源_02物料!$C74="",对接源_02物料!$C74&lt;&gt;$L$1,对接源_02物料!$B74=""),0,IF(OR(N(对接源_02物料!$B74)&lt;$L$2,N(对接源_02物料!$B74)&gt;$L$3),0,1))</f>
        <v>1</v>
      </c>
      <c r="M1274" s="1" t="n">
        <f aca="false">IF(OR($M$1="",对接源_02物料!$C74="",对接源_02物料!$C74&lt;&gt;$M$1,对接源_02物料!$B74=""),0,IF(OR(N(对接源_02物料!$B74)&lt;$M$2,N(对接源_02物料!$B74)&gt;$M$3),0,1))</f>
        <v>0</v>
      </c>
      <c r="N1274" s="1" t="n">
        <f aca="false">IF(OR($N$1="",对接源_02物料!$C74="",对接源_02物料!$C74&lt;&gt;$N$1,对接源_02物料!$B74=""),0,IF(OR(N(对接源_02物料!$B74)&lt;$N$2,N(对接源_02物料!$B74)&gt;$N$3),0,1))</f>
        <v>0</v>
      </c>
      <c r="P1274" s="1" t="n">
        <f aca="false">IF(AND($K1274=1,AND(对接源_02物料!$X74="公司筐",N(对接源_02物料!$T74)&lt;&gt;0)),1,0)</f>
        <v>0</v>
      </c>
      <c r="Q1274" s="1" t="n">
        <f aca="false">N(Q1273)+$P1274</f>
        <v>7</v>
      </c>
      <c r="R1274" s="1" t="n">
        <f aca="false">IF(AND($K1274=1,AND(对接源_02物料!$X74="公司筐",N(对接源_02物料!$U74)&lt;&gt;0)),1,0)</f>
        <v>0</v>
      </c>
      <c r="S1274" s="1" t="n">
        <f aca="false">N(S1273)+$R1274</f>
        <v>2</v>
      </c>
      <c r="T1274" s="1" t="n">
        <f aca="false">IF(AND($K1274=1,AND(对接源_02物料!$X74="公司筐",N(对接源_02物料!$V74)&lt;&gt;0)),1,0)</f>
        <v>0</v>
      </c>
      <c r="U1274" s="1" t="n">
        <f aca="false">N(U1273)+$T1274</f>
        <v>28</v>
      </c>
      <c r="V1274" s="1" t="n">
        <f aca="false">IF(AND($L1274=1,AND(对接源_02物料!$X74="自备筐",N(对接源_02物料!$V74)&lt;&gt;0)),1,0)</f>
        <v>0</v>
      </c>
      <c r="W1274" s="1" t="n">
        <f aca="false">N(W1273)+$V1274</f>
        <v>7</v>
      </c>
      <c r="X1274" s="1" t="n">
        <f aca="false">IF(AND($L1274=1,AND(对接源_02物料!$X74="自备筐",N(对接源_02物料!$T74)&lt;&gt;0)),1,0)</f>
        <v>0</v>
      </c>
      <c r="Y1274" s="1" t="n">
        <f aca="false">N(Y1273)+$X1274</f>
        <v>0</v>
      </c>
      <c r="Z1274" s="1" t="n">
        <f aca="false">IF(AND($M1274=1,对接源_02物料!$D74="原料入库"),1,0)</f>
        <v>0</v>
      </c>
      <c r="AA1274" s="1" t="n">
        <f aca="false">N(AA1273)+$Z1274</f>
        <v>30</v>
      </c>
      <c r="AB1274" s="1" t="n">
        <f aca="false">IF(AND($M1274=1,LEFT(对接源_02物料!$D74,4)="原料出库"),1,0)</f>
        <v>0</v>
      </c>
      <c r="AC1274" s="1" t="n">
        <f aca="false">N(AC1273)+$AB1274</f>
        <v>19</v>
      </c>
      <c r="AD1274" s="1" t="n">
        <f aca="false">IF(AND($M1274=1,LEFT(对接源_02物料!$D74,4)="成品出库"),1,0)</f>
        <v>0</v>
      </c>
      <c r="AE1274" s="1" t="n">
        <f aca="false">N(AE1273)+$AD1274</f>
        <v>38</v>
      </c>
      <c r="AF1274" s="1" t="n">
        <f aca="false">IF(AND($N1274=1,AND(LEFT(对接源_02物料!$D74,4)="包装物料",N(对接源_02物料!$K74)&lt;&gt;0)),1,0)</f>
        <v>0</v>
      </c>
      <c r="AG1274" s="1" t="n">
        <f aca="false">N(AG1273)+$AF1274</f>
        <v>6</v>
      </c>
      <c r="AH1274" s="1" t="n">
        <f aca="false">IF(AND($N1274=1,AND(LEFT(对接源_02物料!$D74,3)="周转筐",N(对接源_02物料!$K74)&lt;&gt;0)),1,0)</f>
        <v>0</v>
      </c>
      <c r="AI1274" s="1" t="n">
        <f aca="false">N(AI1273)+$AH1274</f>
        <v>0</v>
      </c>
      <c r="AJ1274" s="1" t="n">
        <v>0</v>
      </c>
      <c r="AK1274" s="1" t="n">
        <f aca="false">N(AK1273)+$AJ1274</f>
        <v>3672</v>
      </c>
    </row>
    <row r="1275" customFormat="false" ht="13.5" hidden="false" customHeight="false" outlineLevel="0" collapsed="false">
      <c r="A1275" s="1" t="str">
        <f aca="false">IF(对接源_02物料!$C75="","",对接源_02物料!$C75)</f>
        <v>热合曼</v>
      </c>
      <c r="B1275" s="1" t="n">
        <f aca="false">IF(A1275="",0,IF(MATCH(A1275,$A$4:$A$2403,0)=ROW()-3,1,0))</f>
        <v>0</v>
      </c>
      <c r="C1275" s="1" t="n">
        <f aca="false">N(C1274)+B1275</f>
        <v>17</v>
      </c>
      <c r="K1275" s="1" t="n">
        <f aca="false">IF(OR($K$1="",对接源_02物料!$C75="",对接源_02物料!$C75&lt;&gt;$K$1,对接源_02物料!$B75=""),0,IF(OR(N(对接源_02物料!$B75)&lt;$K$2,N(对接源_02物料!$B75)&gt;$K$3),0,1))</f>
        <v>0</v>
      </c>
      <c r="L1275" s="1" t="n">
        <f aca="false">IF(OR($L$1="",对接源_02物料!$C75="",对接源_02物料!$C75&lt;&gt;$L$1,对接源_02物料!$B75=""),0,IF(OR(N(对接源_02物料!$B75)&lt;$L$2,N(对接源_02物料!$B75)&gt;$L$3),0,1))</f>
        <v>0</v>
      </c>
      <c r="M1275" s="1" t="n">
        <f aca="false">IF(OR($M$1="",对接源_02物料!$C75="",对接源_02物料!$C75&lt;&gt;$M$1,对接源_02物料!$B75=""),0,IF(OR(N(对接源_02物料!$B75)&lt;$M$2,N(对接源_02物料!$B75)&gt;$M$3),0,1))</f>
        <v>0</v>
      </c>
      <c r="N1275" s="1" t="n">
        <f aca="false">IF(OR($N$1="",对接源_02物料!$C75="",对接源_02物料!$C75&lt;&gt;$N$1,对接源_02物料!$B75=""),0,IF(OR(N(对接源_02物料!$B75)&lt;$N$2,N(对接源_02物料!$B75)&gt;$N$3),0,1))</f>
        <v>0</v>
      </c>
      <c r="P1275" s="1" t="n">
        <f aca="false">IF(AND($K1275=1,AND(对接源_02物料!$X75="公司筐",N(对接源_02物料!$T75)&lt;&gt;0)),1,0)</f>
        <v>0</v>
      </c>
      <c r="Q1275" s="1" t="n">
        <f aca="false">N(Q1274)+$P1275</f>
        <v>7</v>
      </c>
      <c r="R1275" s="1" t="n">
        <f aca="false">IF(AND($K1275=1,AND(对接源_02物料!$X75="公司筐",N(对接源_02物料!$U75)&lt;&gt;0)),1,0)</f>
        <v>0</v>
      </c>
      <c r="S1275" s="1" t="n">
        <f aca="false">N(S1274)+$R1275</f>
        <v>2</v>
      </c>
      <c r="T1275" s="1" t="n">
        <f aca="false">IF(AND($K1275=1,AND(对接源_02物料!$X75="公司筐",N(对接源_02物料!$V75)&lt;&gt;0)),1,0)</f>
        <v>0</v>
      </c>
      <c r="U1275" s="1" t="n">
        <f aca="false">N(U1274)+$T1275</f>
        <v>28</v>
      </c>
      <c r="V1275" s="1" t="n">
        <f aca="false">IF(AND($L1275=1,AND(对接源_02物料!$X75="自备筐",N(对接源_02物料!$V75)&lt;&gt;0)),1,0)</f>
        <v>0</v>
      </c>
      <c r="W1275" s="1" t="n">
        <f aca="false">N(W1274)+$V1275</f>
        <v>7</v>
      </c>
      <c r="X1275" s="1" t="n">
        <f aca="false">IF(AND($L1275=1,AND(对接源_02物料!$X75="自备筐",N(对接源_02物料!$T75)&lt;&gt;0)),1,0)</f>
        <v>0</v>
      </c>
      <c r="Y1275" s="1" t="n">
        <f aca="false">N(Y1274)+$X1275</f>
        <v>0</v>
      </c>
      <c r="Z1275" s="1" t="n">
        <f aca="false">IF(AND($M1275=1,对接源_02物料!$D75="原料入库"),1,0)</f>
        <v>0</v>
      </c>
      <c r="AA1275" s="1" t="n">
        <f aca="false">N(AA1274)+$Z1275</f>
        <v>30</v>
      </c>
      <c r="AB1275" s="1" t="n">
        <f aca="false">IF(AND($M1275=1,LEFT(对接源_02物料!$D75,4)="原料出库"),1,0)</f>
        <v>0</v>
      </c>
      <c r="AC1275" s="1" t="n">
        <f aca="false">N(AC1274)+$AB1275</f>
        <v>19</v>
      </c>
      <c r="AD1275" s="1" t="n">
        <f aca="false">IF(AND($M1275=1,LEFT(对接源_02物料!$D75,4)="成品出库"),1,0)</f>
        <v>0</v>
      </c>
      <c r="AE1275" s="1" t="n">
        <f aca="false">N(AE1274)+$AD1275</f>
        <v>38</v>
      </c>
      <c r="AF1275" s="1" t="n">
        <f aca="false">IF(AND($N1275=1,AND(LEFT(对接源_02物料!$D75,4)="包装物料",N(对接源_02物料!$K75)&lt;&gt;0)),1,0)</f>
        <v>0</v>
      </c>
      <c r="AG1275" s="1" t="n">
        <f aca="false">N(AG1274)+$AF1275</f>
        <v>6</v>
      </c>
      <c r="AH1275" s="1" t="n">
        <f aca="false">IF(AND($N1275=1,AND(LEFT(对接源_02物料!$D75,3)="周转筐",N(对接源_02物料!$K75)&lt;&gt;0)),1,0)</f>
        <v>0</v>
      </c>
      <c r="AI1275" s="1" t="n">
        <f aca="false">N(AI1274)+$AH1275</f>
        <v>0</v>
      </c>
      <c r="AJ1275" s="1" t="n">
        <v>0</v>
      </c>
      <c r="AK1275" s="1" t="n">
        <f aca="false">N(AK1274)+$AJ1275</f>
        <v>3672</v>
      </c>
    </row>
    <row r="1276" customFormat="false" ht="13.5" hidden="false" customHeight="false" outlineLevel="0" collapsed="false">
      <c r="A1276" s="1" t="str">
        <f aca="false">IF(对接源_02物料!$C76="","",对接源_02物料!$C76)</f>
        <v>王照雪</v>
      </c>
      <c r="B1276" s="1" t="n">
        <f aca="false">IF(A1276="",0,IF(MATCH(A1276,$A$4:$A$2403,0)=ROW()-3,1,0))</f>
        <v>0</v>
      </c>
      <c r="C1276" s="1" t="n">
        <f aca="false">N(C1275)+B1276</f>
        <v>17</v>
      </c>
      <c r="K1276" s="1" t="n">
        <f aca="false">IF(OR($K$1="",对接源_02物料!$C76="",对接源_02物料!$C76&lt;&gt;$K$1,对接源_02物料!$B76=""),0,IF(OR(N(对接源_02物料!$B76)&lt;$K$2,N(对接源_02物料!$B76)&gt;$K$3),0,1))</f>
        <v>1</v>
      </c>
      <c r="L1276" s="1" t="n">
        <f aca="false">IF(OR($L$1="",对接源_02物料!$C76="",对接源_02物料!$C76&lt;&gt;$L$1,对接源_02物料!$B76=""),0,IF(OR(N(对接源_02物料!$B76)&lt;$L$2,N(对接源_02物料!$B76)&gt;$L$3),0,1))</f>
        <v>0</v>
      </c>
      <c r="M1276" s="1" t="n">
        <f aca="false">IF(OR($M$1="",对接源_02物料!$C76="",对接源_02物料!$C76&lt;&gt;$M$1,对接源_02物料!$B76=""),0,IF(OR(N(对接源_02物料!$B76)&lt;$M$2,N(对接源_02物料!$B76)&gt;$M$3),0,1))</f>
        <v>1</v>
      </c>
      <c r="N1276" s="1" t="n">
        <f aca="false">IF(OR($N$1="",对接源_02物料!$C76="",对接源_02物料!$C76&lt;&gt;$N$1,对接源_02物料!$B76=""),0,IF(OR(N(对接源_02物料!$B76)&lt;$N$2,N(对接源_02物料!$B76)&gt;$N$3),0,1))</f>
        <v>0</v>
      </c>
      <c r="P1276" s="1" t="n">
        <f aca="false">IF(AND($K1276=1,AND(对接源_02物料!$X76="公司筐",N(对接源_02物料!$T76)&lt;&gt;0)),1,0)</f>
        <v>0</v>
      </c>
      <c r="Q1276" s="1" t="n">
        <f aca="false">N(Q1275)+$P1276</f>
        <v>7</v>
      </c>
      <c r="R1276" s="1" t="n">
        <f aca="false">IF(AND($K1276=1,AND(对接源_02物料!$X76="公司筐",N(对接源_02物料!$U76)&lt;&gt;0)),1,0)</f>
        <v>1</v>
      </c>
      <c r="S1276" s="1" t="n">
        <f aca="false">N(S1275)+$R1276</f>
        <v>3</v>
      </c>
      <c r="T1276" s="1" t="n">
        <f aca="false">IF(AND($K1276=1,AND(对接源_02物料!$X76="公司筐",N(对接源_02物料!$V76)&lt;&gt;0)),1,0)</f>
        <v>0</v>
      </c>
      <c r="U1276" s="1" t="n">
        <f aca="false">N(U1275)+$T1276</f>
        <v>28</v>
      </c>
      <c r="V1276" s="1" t="n">
        <f aca="false">IF(AND($L1276=1,AND(对接源_02物料!$X76="自备筐",N(对接源_02物料!$V76)&lt;&gt;0)),1,0)</f>
        <v>0</v>
      </c>
      <c r="W1276" s="1" t="n">
        <f aca="false">N(W1275)+$V1276</f>
        <v>7</v>
      </c>
      <c r="X1276" s="1" t="n">
        <f aca="false">IF(AND($L1276=1,AND(对接源_02物料!$X76="自备筐",N(对接源_02物料!$T76)&lt;&gt;0)),1,0)</f>
        <v>0</v>
      </c>
      <c r="Y1276" s="1" t="n">
        <f aca="false">N(Y1275)+$X1276</f>
        <v>0</v>
      </c>
      <c r="Z1276" s="1" t="n">
        <f aca="false">IF(AND($M1276=1,对接源_02物料!$D76="原料入库"),1,0)</f>
        <v>0</v>
      </c>
      <c r="AA1276" s="1" t="n">
        <f aca="false">N(AA1275)+$Z1276</f>
        <v>30</v>
      </c>
      <c r="AB1276" s="1" t="n">
        <f aca="false">IF(AND($M1276=1,LEFT(对接源_02物料!$D76,4)="原料出库"),1,0)</f>
        <v>0</v>
      </c>
      <c r="AC1276" s="1" t="n">
        <f aca="false">N(AC1275)+$AB1276</f>
        <v>19</v>
      </c>
      <c r="AD1276" s="1" t="n">
        <f aca="false">IF(AND($M1276=1,LEFT(对接源_02物料!$D76,4)="成品出库"),1,0)</f>
        <v>0</v>
      </c>
      <c r="AE1276" s="1" t="n">
        <f aca="false">N(AE1275)+$AD1276</f>
        <v>38</v>
      </c>
      <c r="AF1276" s="1" t="n">
        <f aca="false">IF(AND($N1276=1,AND(LEFT(对接源_02物料!$D76,4)="包装物料",N(对接源_02物料!$K76)&lt;&gt;0)),1,0)</f>
        <v>0</v>
      </c>
      <c r="AG1276" s="1" t="n">
        <f aca="false">N(AG1275)+$AF1276</f>
        <v>6</v>
      </c>
      <c r="AH1276" s="1" t="n">
        <f aca="false">IF(AND($N1276=1,AND(LEFT(对接源_02物料!$D76,3)="周转筐",N(对接源_02物料!$K76)&lt;&gt;0)),1,0)</f>
        <v>0</v>
      </c>
      <c r="AI1276" s="1" t="n">
        <f aca="false">N(AI1275)+$AH1276</f>
        <v>0</v>
      </c>
      <c r="AJ1276" s="1" t="n">
        <v>0</v>
      </c>
      <c r="AK1276" s="1" t="n">
        <f aca="false">N(AK1275)+$AJ1276</f>
        <v>3672</v>
      </c>
    </row>
    <row r="1277" customFormat="false" ht="13.5" hidden="false" customHeight="false" outlineLevel="0" collapsed="false">
      <c r="A1277" s="1" t="str">
        <f aca="false">IF(对接源_02物料!$C77="","",对接源_02物料!$C77)</f>
        <v>王照雪</v>
      </c>
      <c r="B1277" s="1" t="n">
        <f aca="false">IF(A1277="",0,IF(MATCH(A1277,$A$4:$A$2403,0)=ROW()-3,1,0))</f>
        <v>0</v>
      </c>
      <c r="C1277" s="1" t="n">
        <f aca="false">N(C1276)+B1277</f>
        <v>17</v>
      </c>
      <c r="K1277" s="1" t="n">
        <f aca="false">IF(OR($K$1="",对接源_02物料!$C77="",对接源_02物料!$C77&lt;&gt;$K$1,对接源_02物料!$B77=""),0,IF(OR(N(对接源_02物料!$B77)&lt;$K$2,N(对接源_02物料!$B77)&gt;$K$3),0,1))</f>
        <v>1</v>
      </c>
      <c r="L1277" s="1" t="n">
        <f aca="false">IF(OR($L$1="",对接源_02物料!$C77="",对接源_02物料!$C77&lt;&gt;$L$1,对接源_02物料!$B77=""),0,IF(OR(N(对接源_02物料!$B77)&lt;$L$2,N(对接源_02物料!$B77)&gt;$L$3),0,1))</f>
        <v>0</v>
      </c>
      <c r="M1277" s="1" t="n">
        <f aca="false">IF(OR($M$1="",对接源_02物料!$C77="",对接源_02物料!$C77&lt;&gt;$M$1,对接源_02物料!$B77=""),0,IF(OR(N(对接源_02物料!$B77)&lt;$M$2,N(对接源_02物料!$B77)&gt;$M$3),0,1))</f>
        <v>1</v>
      </c>
      <c r="N1277" s="1" t="n">
        <f aca="false">IF(OR($N$1="",对接源_02物料!$C77="",对接源_02物料!$C77&lt;&gt;$N$1,对接源_02物料!$B77=""),0,IF(OR(N(对接源_02物料!$B77)&lt;$N$2,N(对接源_02物料!$B77)&gt;$N$3),0,1))</f>
        <v>0</v>
      </c>
      <c r="P1277" s="1" t="n">
        <f aca="false">IF(AND($K1277=1,AND(对接源_02物料!$X77="公司筐",N(对接源_02物料!$T77)&lt;&gt;0)),1,0)</f>
        <v>1</v>
      </c>
      <c r="Q1277" s="1" t="n">
        <f aca="false">N(Q1276)+$P1277</f>
        <v>8</v>
      </c>
      <c r="R1277" s="1" t="n">
        <f aca="false">IF(AND($K1277=1,AND(对接源_02物料!$X77="公司筐",N(对接源_02物料!$U77)&lt;&gt;0)),1,0)</f>
        <v>0</v>
      </c>
      <c r="S1277" s="1" t="n">
        <f aca="false">N(S1276)+$R1277</f>
        <v>3</v>
      </c>
      <c r="T1277" s="1" t="n">
        <f aca="false">IF(AND($K1277=1,AND(对接源_02物料!$X77="公司筐",N(对接源_02物料!$V77)&lt;&gt;0)),1,0)</f>
        <v>0</v>
      </c>
      <c r="U1277" s="1" t="n">
        <f aca="false">N(U1276)+$T1277</f>
        <v>28</v>
      </c>
      <c r="V1277" s="1" t="n">
        <f aca="false">IF(AND($L1277=1,AND(对接源_02物料!$X77="自备筐",N(对接源_02物料!$V77)&lt;&gt;0)),1,0)</f>
        <v>0</v>
      </c>
      <c r="W1277" s="1" t="n">
        <f aca="false">N(W1276)+$V1277</f>
        <v>7</v>
      </c>
      <c r="X1277" s="1" t="n">
        <f aca="false">IF(AND($L1277=1,AND(对接源_02物料!$X77="自备筐",N(对接源_02物料!$T77)&lt;&gt;0)),1,0)</f>
        <v>0</v>
      </c>
      <c r="Y1277" s="1" t="n">
        <f aca="false">N(Y1276)+$X1277</f>
        <v>0</v>
      </c>
      <c r="Z1277" s="1" t="n">
        <f aca="false">IF(AND($M1277=1,对接源_02物料!$D77="原料入库"),1,0)</f>
        <v>0</v>
      </c>
      <c r="AA1277" s="1" t="n">
        <f aca="false">N(AA1276)+$Z1277</f>
        <v>30</v>
      </c>
      <c r="AB1277" s="1" t="n">
        <f aca="false">IF(AND($M1277=1,LEFT(对接源_02物料!$D77,4)="原料出库"),1,0)</f>
        <v>0</v>
      </c>
      <c r="AC1277" s="1" t="n">
        <f aca="false">N(AC1276)+$AB1277</f>
        <v>19</v>
      </c>
      <c r="AD1277" s="1" t="n">
        <f aca="false">IF(AND($M1277=1,LEFT(对接源_02物料!$D77,4)="成品出库"),1,0)</f>
        <v>0</v>
      </c>
      <c r="AE1277" s="1" t="n">
        <f aca="false">N(AE1276)+$AD1277</f>
        <v>38</v>
      </c>
      <c r="AF1277" s="1" t="n">
        <f aca="false">IF(AND($N1277=1,AND(LEFT(对接源_02物料!$D77,4)="包装物料",N(对接源_02物料!$K77)&lt;&gt;0)),1,0)</f>
        <v>0</v>
      </c>
      <c r="AG1277" s="1" t="n">
        <f aca="false">N(AG1276)+$AF1277</f>
        <v>6</v>
      </c>
      <c r="AH1277" s="1" t="n">
        <f aca="false">IF(AND($N1277=1,AND(LEFT(对接源_02物料!$D77,3)="周转筐",N(对接源_02物料!$K77)&lt;&gt;0)),1,0)</f>
        <v>0</v>
      </c>
      <c r="AI1277" s="1" t="n">
        <f aca="false">N(AI1276)+$AH1277</f>
        <v>0</v>
      </c>
      <c r="AJ1277" s="1" t="n">
        <v>0</v>
      </c>
      <c r="AK1277" s="1" t="n">
        <f aca="false">N(AK1276)+$AJ1277</f>
        <v>3672</v>
      </c>
    </row>
    <row r="1278" customFormat="false" ht="13.5" hidden="false" customHeight="false" outlineLevel="0" collapsed="false">
      <c r="A1278" s="1" t="str">
        <f aca="false">IF(对接源_02物料!$C78="","",对接源_02物料!$C78)</f>
        <v>吐尔逊</v>
      </c>
      <c r="B1278" s="1" t="n">
        <f aca="false">IF(A1278="",0,IF(MATCH(A1278,$A$4:$A$2403,0)=ROW()-3,1,0))</f>
        <v>0</v>
      </c>
      <c r="C1278" s="1" t="n">
        <f aca="false">N(C1277)+B1278</f>
        <v>17</v>
      </c>
      <c r="K1278" s="1" t="n">
        <f aca="false">IF(OR($K$1="",对接源_02物料!$C78="",对接源_02物料!$C78&lt;&gt;$K$1,对接源_02物料!$B78=""),0,IF(OR(N(对接源_02物料!$B78)&lt;$K$2,N(对接源_02物料!$B78)&gt;$K$3),0,1))</f>
        <v>0</v>
      </c>
      <c r="L1278" s="1" t="n">
        <f aca="false">IF(OR($L$1="",对接源_02物料!$C78="",对接源_02物料!$C78&lt;&gt;$L$1,对接源_02物料!$B78=""),0,IF(OR(N(对接源_02物料!$B78)&lt;$L$2,N(对接源_02物料!$B78)&gt;$L$3),0,1))</f>
        <v>0</v>
      </c>
      <c r="M1278" s="1" t="n">
        <f aca="false">IF(OR($M$1="",对接源_02物料!$C78="",对接源_02物料!$C78&lt;&gt;$M$1,对接源_02物料!$B78=""),0,IF(OR(N(对接源_02物料!$B78)&lt;$M$2,N(对接源_02物料!$B78)&gt;$M$3),0,1))</f>
        <v>0</v>
      </c>
      <c r="N1278" s="1" t="n">
        <f aca="false">IF(OR($N$1="",对接源_02物料!$C78="",对接源_02物料!$C78&lt;&gt;$N$1,对接源_02物料!$B78=""),0,IF(OR(N(对接源_02物料!$B78)&lt;$N$2,N(对接源_02物料!$B78)&gt;$N$3),0,1))</f>
        <v>0</v>
      </c>
      <c r="P1278" s="1" t="n">
        <f aca="false">IF(AND($K1278=1,AND(对接源_02物料!$X78="公司筐",N(对接源_02物料!$T78)&lt;&gt;0)),1,0)</f>
        <v>0</v>
      </c>
      <c r="Q1278" s="1" t="n">
        <f aca="false">N(Q1277)+$P1278</f>
        <v>8</v>
      </c>
      <c r="R1278" s="1" t="n">
        <f aca="false">IF(AND($K1278=1,AND(对接源_02物料!$X78="公司筐",N(对接源_02物料!$U78)&lt;&gt;0)),1,0)</f>
        <v>0</v>
      </c>
      <c r="S1278" s="1" t="n">
        <f aca="false">N(S1277)+$R1278</f>
        <v>3</v>
      </c>
      <c r="T1278" s="1" t="n">
        <f aca="false">IF(AND($K1278=1,AND(对接源_02物料!$X78="公司筐",N(对接源_02物料!$V78)&lt;&gt;0)),1,0)</f>
        <v>0</v>
      </c>
      <c r="U1278" s="1" t="n">
        <f aca="false">N(U1277)+$T1278</f>
        <v>28</v>
      </c>
      <c r="V1278" s="1" t="n">
        <f aca="false">IF(AND($L1278=1,AND(对接源_02物料!$X78="自备筐",N(对接源_02物料!$V78)&lt;&gt;0)),1,0)</f>
        <v>0</v>
      </c>
      <c r="W1278" s="1" t="n">
        <f aca="false">N(W1277)+$V1278</f>
        <v>7</v>
      </c>
      <c r="X1278" s="1" t="n">
        <f aca="false">IF(AND($L1278=1,AND(对接源_02物料!$X78="自备筐",N(对接源_02物料!$T78)&lt;&gt;0)),1,0)</f>
        <v>0</v>
      </c>
      <c r="Y1278" s="1" t="n">
        <f aca="false">N(Y1277)+$X1278</f>
        <v>0</v>
      </c>
      <c r="Z1278" s="1" t="n">
        <f aca="false">IF(AND($M1278=1,对接源_02物料!$D78="原料入库"),1,0)</f>
        <v>0</v>
      </c>
      <c r="AA1278" s="1" t="n">
        <f aca="false">N(AA1277)+$Z1278</f>
        <v>30</v>
      </c>
      <c r="AB1278" s="1" t="n">
        <f aca="false">IF(AND($M1278=1,LEFT(对接源_02物料!$D78,4)="原料出库"),1,0)</f>
        <v>0</v>
      </c>
      <c r="AC1278" s="1" t="n">
        <f aca="false">N(AC1277)+$AB1278</f>
        <v>19</v>
      </c>
      <c r="AD1278" s="1" t="n">
        <f aca="false">IF(AND($M1278=1,LEFT(对接源_02物料!$D78,4)="成品出库"),1,0)</f>
        <v>0</v>
      </c>
      <c r="AE1278" s="1" t="n">
        <f aca="false">N(AE1277)+$AD1278</f>
        <v>38</v>
      </c>
      <c r="AF1278" s="1" t="n">
        <f aca="false">IF(AND($N1278=1,AND(LEFT(对接源_02物料!$D78,4)="包装物料",N(对接源_02物料!$K78)&lt;&gt;0)),1,0)</f>
        <v>0</v>
      </c>
      <c r="AG1278" s="1" t="n">
        <f aca="false">N(AG1277)+$AF1278</f>
        <v>6</v>
      </c>
      <c r="AH1278" s="1" t="n">
        <f aca="false">IF(AND($N1278=1,AND(LEFT(对接源_02物料!$D78,3)="周转筐",N(对接源_02物料!$K78)&lt;&gt;0)),1,0)</f>
        <v>0</v>
      </c>
      <c r="AI1278" s="1" t="n">
        <f aca="false">N(AI1277)+$AH1278</f>
        <v>0</v>
      </c>
      <c r="AJ1278" s="1" t="n">
        <v>0</v>
      </c>
      <c r="AK1278" s="1" t="n">
        <f aca="false">N(AK1277)+$AJ1278</f>
        <v>3672</v>
      </c>
    </row>
    <row r="1279" customFormat="false" ht="13.5" hidden="false" customHeight="false" outlineLevel="0" collapsed="false">
      <c r="A1279" s="1" t="str">
        <f aca="false">IF(对接源_02物料!$C79="","",对接源_02物料!$C79)</f>
        <v>全修塑业</v>
      </c>
      <c r="B1279" s="1" t="n">
        <f aca="false">IF(A1279="",0,IF(MATCH(A1279,$A$4:$A$2403,0)=ROW()-3,1,0))</f>
        <v>0</v>
      </c>
      <c r="C1279" s="1" t="n">
        <f aca="false">N(C1278)+B1279</f>
        <v>17</v>
      </c>
      <c r="K1279" s="1" t="n">
        <f aca="false">IF(OR($K$1="",对接源_02物料!$C79="",对接源_02物料!$C79&lt;&gt;$K$1,对接源_02物料!$B79=""),0,IF(OR(N(对接源_02物料!$B79)&lt;$K$2,N(对接源_02物料!$B79)&gt;$K$3),0,1))</f>
        <v>0</v>
      </c>
      <c r="L1279" s="1" t="n">
        <f aca="false">IF(OR($L$1="",对接源_02物料!$C79="",对接源_02物料!$C79&lt;&gt;$L$1,对接源_02物料!$B79=""),0,IF(OR(N(对接源_02物料!$B79)&lt;$L$2,N(对接源_02物料!$B79)&gt;$L$3),0,1))</f>
        <v>0</v>
      </c>
      <c r="M1279" s="1" t="n">
        <f aca="false">IF(OR($M$1="",对接源_02物料!$C79="",对接源_02物料!$C79&lt;&gt;$M$1,对接源_02物料!$B79=""),0,IF(OR(N(对接源_02物料!$B79)&lt;$M$2,N(对接源_02物料!$B79)&gt;$M$3),0,1))</f>
        <v>0</v>
      </c>
      <c r="N1279" s="1" t="n">
        <f aca="false">IF(OR($N$1="",对接源_02物料!$C79="",对接源_02物料!$C79&lt;&gt;$N$1,对接源_02物料!$B79=""),0,IF(OR(N(对接源_02物料!$B79)&lt;$N$2,N(对接源_02物料!$B79)&gt;$N$3),0,1))</f>
        <v>0</v>
      </c>
      <c r="P1279" s="1" t="n">
        <f aca="false">IF(AND($K1279=1,AND(对接源_02物料!$X79="公司筐",N(对接源_02物料!$T79)&lt;&gt;0)),1,0)</f>
        <v>0</v>
      </c>
      <c r="Q1279" s="1" t="n">
        <f aca="false">N(Q1278)+$P1279</f>
        <v>8</v>
      </c>
      <c r="R1279" s="1" t="n">
        <f aca="false">IF(AND($K1279=1,AND(对接源_02物料!$X79="公司筐",N(对接源_02物料!$U79)&lt;&gt;0)),1,0)</f>
        <v>0</v>
      </c>
      <c r="S1279" s="1" t="n">
        <f aca="false">N(S1278)+$R1279</f>
        <v>3</v>
      </c>
      <c r="T1279" s="1" t="n">
        <f aca="false">IF(AND($K1279=1,AND(对接源_02物料!$X79="公司筐",N(对接源_02物料!$V79)&lt;&gt;0)),1,0)</f>
        <v>0</v>
      </c>
      <c r="U1279" s="1" t="n">
        <f aca="false">N(U1278)+$T1279</f>
        <v>28</v>
      </c>
      <c r="V1279" s="1" t="n">
        <f aca="false">IF(AND($L1279=1,AND(对接源_02物料!$X79="自备筐",N(对接源_02物料!$V79)&lt;&gt;0)),1,0)</f>
        <v>0</v>
      </c>
      <c r="W1279" s="1" t="n">
        <f aca="false">N(W1278)+$V1279</f>
        <v>7</v>
      </c>
      <c r="X1279" s="1" t="n">
        <f aca="false">IF(AND($L1279=1,AND(对接源_02物料!$X79="自备筐",N(对接源_02物料!$T79)&lt;&gt;0)),1,0)</f>
        <v>0</v>
      </c>
      <c r="Y1279" s="1" t="n">
        <f aca="false">N(Y1278)+$X1279</f>
        <v>0</v>
      </c>
      <c r="Z1279" s="1" t="n">
        <f aca="false">IF(AND($M1279=1,对接源_02物料!$D79="原料入库"),1,0)</f>
        <v>0</v>
      </c>
      <c r="AA1279" s="1" t="n">
        <f aca="false">N(AA1278)+$Z1279</f>
        <v>30</v>
      </c>
      <c r="AB1279" s="1" t="n">
        <f aca="false">IF(AND($M1279=1,LEFT(对接源_02物料!$D79,4)="原料出库"),1,0)</f>
        <v>0</v>
      </c>
      <c r="AC1279" s="1" t="n">
        <f aca="false">N(AC1278)+$AB1279</f>
        <v>19</v>
      </c>
      <c r="AD1279" s="1" t="n">
        <f aca="false">IF(AND($M1279=1,LEFT(对接源_02物料!$D79,4)="成品出库"),1,0)</f>
        <v>0</v>
      </c>
      <c r="AE1279" s="1" t="n">
        <f aca="false">N(AE1278)+$AD1279</f>
        <v>38</v>
      </c>
      <c r="AF1279" s="1" t="n">
        <f aca="false">IF(AND($N1279=1,AND(LEFT(对接源_02物料!$D79,4)="包装物料",N(对接源_02物料!$K79)&lt;&gt;0)),1,0)</f>
        <v>0</v>
      </c>
      <c r="AG1279" s="1" t="n">
        <f aca="false">N(AG1278)+$AF1279</f>
        <v>6</v>
      </c>
      <c r="AH1279" s="1" t="n">
        <f aca="false">IF(AND($N1279=1,AND(LEFT(对接源_02物料!$D79,3)="周转筐",N(对接源_02物料!$K79)&lt;&gt;0)),1,0)</f>
        <v>0</v>
      </c>
      <c r="AI1279" s="1" t="n">
        <f aca="false">N(AI1278)+$AH1279</f>
        <v>0</v>
      </c>
      <c r="AJ1279" s="1" t="n">
        <v>0</v>
      </c>
      <c r="AK1279" s="1" t="n">
        <f aca="false">N(AK1278)+$AJ1279</f>
        <v>3672</v>
      </c>
    </row>
    <row r="1280" customFormat="false" ht="13.5" hidden="false" customHeight="false" outlineLevel="0" collapsed="false">
      <c r="A1280" s="1" t="str">
        <f aca="false">IF(对接源_02物料!$C80="","",对接源_02物料!$C80)</f>
        <v>全修塑业</v>
      </c>
      <c r="B1280" s="1" t="n">
        <f aca="false">IF(A1280="",0,IF(MATCH(A1280,$A$4:$A$2403,0)=ROW()-3,1,0))</f>
        <v>0</v>
      </c>
      <c r="C1280" s="1" t="n">
        <f aca="false">N(C1279)+B1280</f>
        <v>17</v>
      </c>
      <c r="K1280" s="1" t="n">
        <f aca="false">IF(OR($K$1="",对接源_02物料!$C80="",对接源_02物料!$C80&lt;&gt;$K$1,对接源_02物料!$B80=""),0,IF(OR(N(对接源_02物料!$B80)&lt;$K$2,N(对接源_02物料!$B80)&gt;$K$3),0,1))</f>
        <v>0</v>
      </c>
      <c r="L1280" s="1" t="n">
        <f aca="false">IF(OR($L$1="",对接源_02物料!$C80="",对接源_02物料!$C80&lt;&gt;$L$1,对接源_02物料!$B80=""),0,IF(OR(N(对接源_02物料!$B80)&lt;$L$2,N(对接源_02物料!$B80)&gt;$L$3),0,1))</f>
        <v>0</v>
      </c>
      <c r="M1280" s="1" t="n">
        <f aca="false">IF(OR($M$1="",对接源_02物料!$C80="",对接源_02物料!$C80&lt;&gt;$M$1,对接源_02物料!$B80=""),0,IF(OR(N(对接源_02物料!$B80)&lt;$M$2,N(对接源_02物料!$B80)&gt;$M$3),0,1))</f>
        <v>0</v>
      </c>
      <c r="N1280" s="1" t="n">
        <f aca="false">IF(OR($N$1="",对接源_02物料!$C80="",对接源_02物料!$C80&lt;&gt;$N$1,对接源_02物料!$B80=""),0,IF(OR(N(对接源_02物料!$B80)&lt;$N$2,N(对接源_02物料!$B80)&gt;$N$3),0,1))</f>
        <v>0</v>
      </c>
      <c r="P1280" s="1" t="n">
        <f aca="false">IF(AND($K1280=1,AND(对接源_02物料!$X80="公司筐",N(对接源_02物料!$T80)&lt;&gt;0)),1,0)</f>
        <v>0</v>
      </c>
      <c r="Q1280" s="1" t="n">
        <f aca="false">N(Q1279)+$P1280</f>
        <v>8</v>
      </c>
      <c r="R1280" s="1" t="n">
        <f aca="false">IF(AND($K1280=1,AND(对接源_02物料!$X80="公司筐",N(对接源_02物料!$U80)&lt;&gt;0)),1,0)</f>
        <v>0</v>
      </c>
      <c r="S1280" s="1" t="n">
        <f aca="false">N(S1279)+$R1280</f>
        <v>3</v>
      </c>
      <c r="T1280" s="1" t="n">
        <f aca="false">IF(AND($K1280=1,AND(对接源_02物料!$X80="公司筐",N(对接源_02物料!$V80)&lt;&gt;0)),1,0)</f>
        <v>0</v>
      </c>
      <c r="U1280" s="1" t="n">
        <f aca="false">N(U1279)+$T1280</f>
        <v>28</v>
      </c>
      <c r="V1280" s="1" t="n">
        <f aca="false">IF(AND($L1280=1,AND(对接源_02物料!$X80="自备筐",N(对接源_02物料!$V80)&lt;&gt;0)),1,0)</f>
        <v>0</v>
      </c>
      <c r="W1280" s="1" t="n">
        <f aca="false">N(W1279)+$V1280</f>
        <v>7</v>
      </c>
      <c r="X1280" s="1" t="n">
        <f aca="false">IF(AND($L1280=1,AND(对接源_02物料!$X80="自备筐",N(对接源_02物料!$T80)&lt;&gt;0)),1,0)</f>
        <v>0</v>
      </c>
      <c r="Y1280" s="1" t="n">
        <f aca="false">N(Y1279)+$X1280</f>
        <v>0</v>
      </c>
      <c r="Z1280" s="1" t="n">
        <f aca="false">IF(AND($M1280=1,对接源_02物料!$D80="原料入库"),1,0)</f>
        <v>0</v>
      </c>
      <c r="AA1280" s="1" t="n">
        <f aca="false">N(AA1279)+$Z1280</f>
        <v>30</v>
      </c>
      <c r="AB1280" s="1" t="n">
        <f aca="false">IF(AND($M1280=1,LEFT(对接源_02物料!$D80,4)="原料出库"),1,0)</f>
        <v>0</v>
      </c>
      <c r="AC1280" s="1" t="n">
        <f aca="false">N(AC1279)+$AB1280</f>
        <v>19</v>
      </c>
      <c r="AD1280" s="1" t="n">
        <f aca="false">IF(AND($M1280=1,LEFT(对接源_02物料!$D80,4)="成品出库"),1,0)</f>
        <v>0</v>
      </c>
      <c r="AE1280" s="1" t="n">
        <f aca="false">N(AE1279)+$AD1280</f>
        <v>38</v>
      </c>
      <c r="AF1280" s="1" t="n">
        <f aca="false">IF(AND($N1280=1,AND(LEFT(对接源_02物料!$D80,4)="包装物料",N(对接源_02物料!$K80)&lt;&gt;0)),1,0)</f>
        <v>0</v>
      </c>
      <c r="AG1280" s="1" t="n">
        <f aca="false">N(AG1279)+$AF1280</f>
        <v>6</v>
      </c>
      <c r="AH1280" s="1" t="n">
        <f aca="false">IF(AND($N1280=1,AND(LEFT(对接源_02物料!$D80,3)="周转筐",N(对接源_02物料!$K80)&lt;&gt;0)),1,0)</f>
        <v>0</v>
      </c>
      <c r="AI1280" s="1" t="n">
        <f aca="false">N(AI1279)+$AH1280</f>
        <v>0</v>
      </c>
      <c r="AJ1280" s="1" t="n">
        <v>0</v>
      </c>
      <c r="AK1280" s="1" t="n">
        <f aca="false">N(AK1279)+$AJ1280</f>
        <v>3672</v>
      </c>
    </row>
    <row r="1281" customFormat="false" ht="13.5" hidden="false" customHeight="false" outlineLevel="0" collapsed="false">
      <c r="A1281" s="1" t="str">
        <f aca="false">IF(对接源_02物料!$C81="","",对接源_02物料!$C81)</f>
        <v>全修塑业</v>
      </c>
      <c r="B1281" s="1" t="n">
        <f aca="false">IF(A1281="",0,IF(MATCH(A1281,$A$4:$A$2403,0)=ROW()-3,1,0))</f>
        <v>0</v>
      </c>
      <c r="C1281" s="1" t="n">
        <f aca="false">N(C1280)+B1281</f>
        <v>17</v>
      </c>
      <c r="K1281" s="1" t="n">
        <f aca="false">IF(OR($K$1="",对接源_02物料!$C81="",对接源_02物料!$C81&lt;&gt;$K$1,对接源_02物料!$B81=""),0,IF(OR(N(对接源_02物料!$B81)&lt;$K$2,N(对接源_02物料!$B81)&gt;$K$3),0,1))</f>
        <v>0</v>
      </c>
      <c r="L1281" s="1" t="n">
        <f aca="false">IF(OR($L$1="",对接源_02物料!$C81="",对接源_02物料!$C81&lt;&gt;$L$1,对接源_02物料!$B81=""),0,IF(OR(N(对接源_02物料!$B81)&lt;$L$2,N(对接源_02物料!$B81)&gt;$L$3),0,1))</f>
        <v>0</v>
      </c>
      <c r="M1281" s="1" t="n">
        <f aca="false">IF(OR($M$1="",对接源_02物料!$C81="",对接源_02物料!$C81&lt;&gt;$M$1,对接源_02物料!$B81=""),0,IF(OR(N(对接源_02物料!$B81)&lt;$M$2,N(对接源_02物料!$B81)&gt;$M$3),0,1))</f>
        <v>0</v>
      </c>
      <c r="N1281" s="1" t="n">
        <f aca="false">IF(OR($N$1="",对接源_02物料!$C81="",对接源_02物料!$C81&lt;&gt;$N$1,对接源_02物料!$B81=""),0,IF(OR(N(对接源_02物料!$B81)&lt;$N$2,N(对接源_02物料!$B81)&gt;$N$3),0,1))</f>
        <v>0</v>
      </c>
      <c r="P1281" s="1" t="n">
        <f aca="false">IF(AND($K1281=1,AND(对接源_02物料!$X81="公司筐",N(对接源_02物料!$T81)&lt;&gt;0)),1,0)</f>
        <v>0</v>
      </c>
      <c r="Q1281" s="1" t="n">
        <f aca="false">N(Q1280)+$P1281</f>
        <v>8</v>
      </c>
      <c r="R1281" s="1" t="n">
        <f aca="false">IF(AND($K1281=1,AND(对接源_02物料!$X81="公司筐",N(对接源_02物料!$U81)&lt;&gt;0)),1,0)</f>
        <v>0</v>
      </c>
      <c r="S1281" s="1" t="n">
        <f aca="false">N(S1280)+$R1281</f>
        <v>3</v>
      </c>
      <c r="T1281" s="1" t="n">
        <f aca="false">IF(AND($K1281=1,AND(对接源_02物料!$X81="公司筐",N(对接源_02物料!$V81)&lt;&gt;0)),1,0)</f>
        <v>0</v>
      </c>
      <c r="U1281" s="1" t="n">
        <f aca="false">N(U1280)+$T1281</f>
        <v>28</v>
      </c>
      <c r="V1281" s="1" t="n">
        <f aca="false">IF(AND($L1281=1,AND(对接源_02物料!$X81="自备筐",N(对接源_02物料!$V81)&lt;&gt;0)),1,0)</f>
        <v>0</v>
      </c>
      <c r="W1281" s="1" t="n">
        <f aca="false">N(W1280)+$V1281</f>
        <v>7</v>
      </c>
      <c r="X1281" s="1" t="n">
        <f aca="false">IF(AND($L1281=1,AND(对接源_02物料!$X81="自备筐",N(对接源_02物料!$T81)&lt;&gt;0)),1,0)</f>
        <v>0</v>
      </c>
      <c r="Y1281" s="1" t="n">
        <f aca="false">N(Y1280)+$X1281</f>
        <v>0</v>
      </c>
      <c r="Z1281" s="1" t="n">
        <f aca="false">IF(AND($M1281=1,对接源_02物料!$D81="原料入库"),1,0)</f>
        <v>0</v>
      </c>
      <c r="AA1281" s="1" t="n">
        <f aca="false">N(AA1280)+$Z1281</f>
        <v>30</v>
      </c>
      <c r="AB1281" s="1" t="n">
        <f aca="false">IF(AND($M1281=1,LEFT(对接源_02物料!$D81,4)="原料出库"),1,0)</f>
        <v>0</v>
      </c>
      <c r="AC1281" s="1" t="n">
        <f aca="false">N(AC1280)+$AB1281</f>
        <v>19</v>
      </c>
      <c r="AD1281" s="1" t="n">
        <f aca="false">IF(AND($M1281=1,LEFT(对接源_02物料!$D81,4)="成品出库"),1,0)</f>
        <v>0</v>
      </c>
      <c r="AE1281" s="1" t="n">
        <f aca="false">N(AE1280)+$AD1281</f>
        <v>38</v>
      </c>
      <c r="AF1281" s="1" t="n">
        <f aca="false">IF(AND($N1281=1,AND(LEFT(对接源_02物料!$D81,4)="包装物料",N(对接源_02物料!$K81)&lt;&gt;0)),1,0)</f>
        <v>0</v>
      </c>
      <c r="AG1281" s="1" t="n">
        <f aca="false">N(AG1280)+$AF1281</f>
        <v>6</v>
      </c>
      <c r="AH1281" s="1" t="n">
        <f aca="false">IF(AND($N1281=1,AND(LEFT(对接源_02物料!$D81,3)="周转筐",N(对接源_02物料!$K81)&lt;&gt;0)),1,0)</f>
        <v>0</v>
      </c>
      <c r="AI1281" s="1" t="n">
        <f aca="false">N(AI1280)+$AH1281</f>
        <v>0</v>
      </c>
      <c r="AJ1281" s="1" t="n">
        <v>0</v>
      </c>
      <c r="AK1281" s="1" t="n">
        <f aca="false">N(AK1280)+$AJ1281</f>
        <v>3672</v>
      </c>
    </row>
    <row r="1282" customFormat="false" ht="13.5" hidden="false" customHeight="false" outlineLevel="0" collapsed="false">
      <c r="A1282" s="1" t="str">
        <f aca="false">IF(对接源_02物料!$C82="","",对接源_02物料!$C82)</f>
        <v>吐尔洪</v>
      </c>
      <c r="B1282" s="1" t="n">
        <f aca="false">IF(A1282="",0,IF(MATCH(A1282,$A$4:$A$2403,0)=ROW()-3,1,0))</f>
        <v>0</v>
      </c>
      <c r="C1282" s="1" t="n">
        <f aca="false">N(C1281)+B1282</f>
        <v>17</v>
      </c>
      <c r="K1282" s="1" t="n">
        <f aca="false">IF(OR($K$1="",对接源_02物料!$C82="",对接源_02物料!$C82&lt;&gt;$K$1,对接源_02物料!$B82=""),0,IF(OR(N(对接源_02物料!$B82)&lt;$K$2,N(对接源_02物料!$B82)&gt;$K$3),0,1))</f>
        <v>0</v>
      </c>
      <c r="L1282" s="1" t="n">
        <f aca="false">IF(OR($L$1="",对接源_02物料!$C82="",对接源_02物料!$C82&lt;&gt;$L$1,对接源_02物料!$B82=""),0,IF(OR(N(对接源_02物料!$B82)&lt;$L$2,N(对接源_02物料!$B82)&gt;$L$3),0,1))</f>
        <v>0</v>
      </c>
      <c r="M1282" s="1" t="n">
        <f aca="false">IF(OR($M$1="",对接源_02物料!$C82="",对接源_02物料!$C82&lt;&gt;$M$1,对接源_02物料!$B82=""),0,IF(OR(N(对接源_02物料!$B82)&lt;$M$2,N(对接源_02物料!$B82)&gt;$M$3),0,1))</f>
        <v>0</v>
      </c>
      <c r="N1282" s="1" t="n">
        <f aca="false">IF(OR($N$1="",对接源_02物料!$C82="",对接源_02物料!$C82&lt;&gt;$N$1,对接源_02物料!$B82=""),0,IF(OR(N(对接源_02物料!$B82)&lt;$N$2,N(对接源_02物料!$B82)&gt;$N$3),0,1))</f>
        <v>0</v>
      </c>
      <c r="P1282" s="1" t="n">
        <f aca="false">IF(AND($K1282=1,AND(对接源_02物料!$X82="公司筐",N(对接源_02物料!$T82)&lt;&gt;0)),1,0)</f>
        <v>0</v>
      </c>
      <c r="Q1282" s="1" t="n">
        <f aca="false">N(Q1281)+$P1282</f>
        <v>8</v>
      </c>
      <c r="R1282" s="1" t="n">
        <f aca="false">IF(AND($K1282=1,AND(对接源_02物料!$X82="公司筐",N(对接源_02物料!$U82)&lt;&gt;0)),1,0)</f>
        <v>0</v>
      </c>
      <c r="S1282" s="1" t="n">
        <f aca="false">N(S1281)+$R1282</f>
        <v>3</v>
      </c>
      <c r="T1282" s="1" t="n">
        <f aca="false">IF(AND($K1282=1,AND(对接源_02物料!$X82="公司筐",N(对接源_02物料!$V82)&lt;&gt;0)),1,0)</f>
        <v>0</v>
      </c>
      <c r="U1282" s="1" t="n">
        <f aca="false">N(U1281)+$T1282</f>
        <v>28</v>
      </c>
      <c r="V1282" s="1" t="n">
        <f aca="false">IF(AND($L1282=1,AND(对接源_02物料!$X82="自备筐",N(对接源_02物料!$V82)&lt;&gt;0)),1,0)</f>
        <v>0</v>
      </c>
      <c r="W1282" s="1" t="n">
        <f aca="false">N(W1281)+$V1282</f>
        <v>7</v>
      </c>
      <c r="X1282" s="1" t="n">
        <f aca="false">IF(AND($L1282=1,AND(对接源_02物料!$X82="自备筐",N(对接源_02物料!$T82)&lt;&gt;0)),1,0)</f>
        <v>0</v>
      </c>
      <c r="Y1282" s="1" t="n">
        <f aca="false">N(Y1281)+$X1282</f>
        <v>0</v>
      </c>
      <c r="Z1282" s="1" t="n">
        <f aca="false">IF(AND($M1282=1,对接源_02物料!$D82="原料入库"),1,0)</f>
        <v>0</v>
      </c>
      <c r="AA1282" s="1" t="n">
        <f aca="false">N(AA1281)+$Z1282</f>
        <v>30</v>
      </c>
      <c r="AB1282" s="1" t="n">
        <f aca="false">IF(AND($M1282=1,LEFT(对接源_02物料!$D82,4)="原料出库"),1,0)</f>
        <v>0</v>
      </c>
      <c r="AC1282" s="1" t="n">
        <f aca="false">N(AC1281)+$AB1282</f>
        <v>19</v>
      </c>
      <c r="AD1282" s="1" t="n">
        <f aca="false">IF(AND($M1282=1,LEFT(对接源_02物料!$D82,4)="成品出库"),1,0)</f>
        <v>0</v>
      </c>
      <c r="AE1282" s="1" t="n">
        <f aca="false">N(AE1281)+$AD1282</f>
        <v>38</v>
      </c>
      <c r="AF1282" s="1" t="n">
        <f aca="false">IF(AND($N1282=1,AND(LEFT(对接源_02物料!$D82,4)="包装物料",N(对接源_02物料!$K82)&lt;&gt;0)),1,0)</f>
        <v>0</v>
      </c>
      <c r="AG1282" s="1" t="n">
        <f aca="false">N(AG1281)+$AF1282</f>
        <v>6</v>
      </c>
      <c r="AH1282" s="1" t="n">
        <f aca="false">IF(AND($N1282=1,AND(LEFT(对接源_02物料!$D82,3)="周转筐",N(对接源_02物料!$K82)&lt;&gt;0)),1,0)</f>
        <v>0</v>
      </c>
      <c r="AI1282" s="1" t="n">
        <f aca="false">N(AI1281)+$AH1282</f>
        <v>0</v>
      </c>
      <c r="AJ1282" s="1" t="n">
        <v>0</v>
      </c>
      <c r="AK1282" s="1" t="n">
        <f aca="false">N(AK1281)+$AJ1282</f>
        <v>3672</v>
      </c>
    </row>
    <row r="1283" customFormat="false" ht="13.5" hidden="false" customHeight="false" outlineLevel="0" collapsed="false">
      <c r="A1283" s="1" t="str">
        <f aca="false">IF(对接源_02物料!$C83="","",对接源_02物料!$C83)</f>
        <v>荆建君</v>
      </c>
      <c r="B1283" s="1" t="n">
        <f aca="false">IF(A1283="",0,IF(MATCH(A1283,$A$4:$A$2403,0)=ROW()-3,1,0))</f>
        <v>0</v>
      </c>
      <c r="C1283" s="1" t="n">
        <f aca="false">N(C1282)+B1283</f>
        <v>17</v>
      </c>
      <c r="K1283" s="1" t="n">
        <f aca="false">IF(OR($K$1="",对接源_02物料!$C83="",对接源_02物料!$C83&lt;&gt;$K$1,对接源_02物料!$B83=""),0,IF(OR(N(对接源_02物料!$B83)&lt;$K$2,N(对接源_02物料!$B83)&gt;$K$3),0,1))</f>
        <v>0</v>
      </c>
      <c r="L1283" s="1" t="n">
        <f aca="false">IF(OR($L$1="",对接源_02物料!$C83="",对接源_02物料!$C83&lt;&gt;$L$1,对接源_02物料!$B83=""),0,IF(OR(N(对接源_02物料!$B83)&lt;$L$2,N(对接源_02物料!$B83)&gt;$L$3),0,1))</f>
        <v>0</v>
      </c>
      <c r="M1283" s="1" t="n">
        <f aca="false">IF(OR($M$1="",对接源_02物料!$C83="",对接源_02物料!$C83&lt;&gt;$M$1,对接源_02物料!$B83=""),0,IF(OR(N(对接源_02物料!$B83)&lt;$M$2,N(对接源_02物料!$B83)&gt;$M$3),0,1))</f>
        <v>0</v>
      </c>
      <c r="N1283" s="1" t="n">
        <f aca="false">IF(OR($N$1="",对接源_02物料!$C83="",对接源_02物料!$C83&lt;&gt;$N$1,对接源_02物料!$B83=""),0,IF(OR(N(对接源_02物料!$B83)&lt;$N$2,N(对接源_02物料!$B83)&gt;$N$3),0,1))</f>
        <v>0</v>
      </c>
      <c r="P1283" s="1" t="n">
        <f aca="false">IF(AND($K1283=1,AND(对接源_02物料!$X83="公司筐",N(对接源_02物料!$T83)&lt;&gt;0)),1,0)</f>
        <v>0</v>
      </c>
      <c r="Q1283" s="1" t="n">
        <f aca="false">N(Q1282)+$P1283</f>
        <v>8</v>
      </c>
      <c r="R1283" s="1" t="n">
        <f aca="false">IF(AND($K1283=1,AND(对接源_02物料!$X83="公司筐",N(对接源_02物料!$U83)&lt;&gt;0)),1,0)</f>
        <v>0</v>
      </c>
      <c r="S1283" s="1" t="n">
        <f aca="false">N(S1282)+$R1283</f>
        <v>3</v>
      </c>
      <c r="T1283" s="1" t="n">
        <f aca="false">IF(AND($K1283=1,AND(对接源_02物料!$X83="公司筐",N(对接源_02物料!$V83)&lt;&gt;0)),1,0)</f>
        <v>0</v>
      </c>
      <c r="U1283" s="1" t="n">
        <f aca="false">N(U1282)+$T1283</f>
        <v>28</v>
      </c>
      <c r="V1283" s="1" t="n">
        <f aca="false">IF(AND($L1283=1,AND(对接源_02物料!$X83="自备筐",N(对接源_02物料!$V83)&lt;&gt;0)),1,0)</f>
        <v>0</v>
      </c>
      <c r="W1283" s="1" t="n">
        <f aca="false">N(W1282)+$V1283</f>
        <v>7</v>
      </c>
      <c r="X1283" s="1" t="n">
        <f aca="false">IF(AND($L1283=1,AND(对接源_02物料!$X83="自备筐",N(对接源_02物料!$T83)&lt;&gt;0)),1,0)</f>
        <v>0</v>
      </c>
      <c r="Y1283" s="1" t="n">
        <f aca="false">N(Y1282)+$X1283</f>
        <v>0</v>
      </c>
      <c r="Z1283" s="1" t="n">
        <f aca="false">IF(AND($M1283=1,对接源_02物料!$D83="原料入库"),1,0)</f>
        <v>0</v>
      </c>
      <c r="AA1283" s="1" t="n">
        <f aca="false">N(AA1282)+$Z1283</f>
        <v>30</v>
      </c>
      <c r="AB1283" s="1" t="n">
        <f aca="false">IF(AND($M1283=1,LEFT(对接源_02物料!$D83,4)="原料出库"),1,0)</f>
        <v>0</v>
      </c>
      <c r="AC1283" s="1" t="n">
        <f aca="false">N(AC1282)+$AB1283</f>
        <v>19</v>
      </c>
      <c r="AD1283" s="1" t="n">
        <f aca="false">IF(AND($M1283=1,LEFT(对接源_02物料!$D83,4)="成品出库"),1,0)</f>
        <v>0</v>
      </c>
      <c r="AE1283" s="1" t="n">
        <f aca="false">N(AE1282)+$AD1283</f>
        <v>38</v>
      </c>
      <c r="AF1283" s="1" t="n">
        <f aca="false">IF(AND($N1283=1,AND(LEFT(对接源_02物料!$D83,4)="包装物料",N(对接源_02物料!$K83)&lt;&gt;0)),1,0)</f>
        <v>0</v>
      </c>
      <c r="AG1283" s="1" t="n">
        <f aca="false">N(AG1282)+$AF1283</f>
        <v>6</v>
      </c>
      <c r="AH1283" s="1" t="n">
        <f aca="false">IF(AND($N1283=1,AND(LEFT(对接源_02物料!$D83,3)="周转筐",N(对接源_02物料!$K83)&lt;&gt;0)),1,0)</f>
        <v>0</v>
      </c>
      <c r="AI1283" s="1" t="n">
        <f aca="false">N(AI1282)+$AH1283</f>
        <v>0</v>
      </c>
      <c r="AJ1283" s="1" t="n">
        <v>0</v>
      </c>
      <c r="AK1283" s="1" t="n">
        <f aca="false">N(AK1282)+$AJ1283</f>
        <v>3672</v>
      </c>
    </row>
    <row r="1284" customFormat="false" ht="13.5" hidden="false" customHeight="false" outlineLevel="0" collapsed="false">
      <c r="A1284" s="1" t="str">
        <f aca="false">IF(对接源_02物料!$C84="","",对接源_02物料!$C84)</f>
        <v>麦麦提</v>
      </c>
      <c r="B1284" s="1" t="n">
        <f aca="false">IF(A1284="",0,IF(MATCH(A1284,$A$4:$A$2403,0)=ROW()-3,1,0))</f>
        <v>0</v>
      </c>
      <c r="C1284" s="1" t="n">
        <f aca="false">N(C1283)+B1284</f>
        <v>17</v>
      </c>
      <c r="K1284" s="1" t="n">
        <f aca="false">IF(OR($K$1="",对接源_02物料!$C84="",对接源_02物料!$C84&lt;&gt;$K$1,对接源_02物料!$B84=""),0,IF(OR(N(对接源_02物料!$B84)&lt;$K$2,N(对接源_02物料!$B84)&gt;$K$3),0,1))</f>
        <v>0</v>
      </c>
      <c r="L1284" s="1" t="n">
        <f aca="false">IF(OR($L$1="",对接源_02物料!$C84="",对接源_02物料!$C84&lt;&gt;$L$1,对接源_02物料!$B84=""),0,IF(OR(N(对接源_02物料!$B84)&lt;$L$2,N(对接源_02物料!$B84)&gt;$L$3),0,1))</f>
        <v>0</v>
      </c>
      <c r="M1284" s="1" t="n">
        <f aca="false">IF(OR($M$1="",对接源_02物料!$C84="",对接源_02物料!$C84&lt;&gt;$M$1,对接源_02物料!$B84=""),0,IF(OR(N(对接源_02物料!$B84)&lt;$M$2,N(对接源_02物料!$B84)&gt;$M$3),0,1))</f>
        <v>0</v>
      </c>
      <c r="N1284" s="1" t="n">
        <f aca="false">IF(OR($N$1="",对接源_02物料!$C84="",对接源_02物料!$C84&lt;&gt;$N$1,对接源_02物料!$B84=""),0,IF(OR(N(对接源_02物料!$B84)&lt;$N$2,N(对接源_02物料!$B84)&gt;$N$3),0,1))</f>
        <v>1</v>
      </c>
      <c r="P1284" s="1" t="n">
        <f aca="false">IF(AND($K1284=1,AND(对接源_02物料!$X84="公司筐",N(对接源_02物料!$T84)&lt;&gt;0)),1,0)</f>
        <v>0</v>
      </c>
      <c r="Q1284" s="1" t="n">
        <f aca="false">N(Q1283)+$P1284</f>
        <v>8</v>
      </c>
      <c r="R1284" s="1" t="n">
        <f aca="false">IF(AND($K1284=1,AND(对接源_02物料!$X84="公司筐",N(对接源_02物料!$U84)&lt;&gt;0)),1,0)</f>
        <v>0</v>
      </c>
      <c r="S1284" s="1" t="n">
        <f aca="false">N(S1283)+$R1284</f>
        <v>3</v>
      </c>
      <c r="T1284" s="1" t="n">
        <f aca="false">IF(AND($K1284=1,AND(对接源_02物料!$X84="公司筐",N(对接源_02物料!$V84)&lt;&gt;0)),1,0)</f>
        <v>0</v>
      </c>
      <c r="U1284" s="1" t="n">
        <f aca="false">N(U1283)+$T1284</f>
        <v>28</v>
      </c>
      <c r="V1284" s="1" t="n">
        <f aca="false">IF(AND($L1284=1,AND(对接源_02物料!$X84="自备筐",N(对接源_02物料!$V84)&lt;&gt;0)),1,0)</f>
        <v>0</v>
      </c>
      <c r="W1284" s="1" t="n">
        <f aca="false">N(W1283)+$V1284</f>
        <v>7</v>
      </c>
      <c r="X1284" s="1" t="n">
        <f aca="false">IF(AND($L1284=1,AND(对接源_02物料!$X84="自备筐",N(对接源_02物料!$T84)&lt;&gt;0)),1,0)</f>
        <v>0</v>
      </c>
      <c r="Y1284" s="1" t="n">
        <f aca="false">N(Y1283)+$X1284</f>
        <v>0</v>
      </c>
      <c r="Z1284" s="1" t="n">
        <f aca="false">IF(AND($M1284=1,对接源_02物料!$D84="原料入库"),1,0)</f>
        <v>0</v>
      </c>
      <c r="AA1284" s="1" t="n">
        <f aca="false">N(AA1283)+$Z1284</f>
        <v>30</v>
      </c>
      <c r="AB1284" s="1" t="n">
        <f aca="false">IF(AND($M1284=1,LEFT(对接源_02物料!$D84,4)="原料出库"),1,0)</f>
        <v>0</v>
      </c>
      <c r="AC1284" s="1" t="n">
        <f aca="false">N(AC1283)+$AB1284</f>
        <v>19</v>
      </c>
      <c r="AD1284" s="1" t="n">
        <f aca="false">IF(AND($M1284=1,LEFT(对接源_02物料!$D84,4)="成品出库"),1,0)</f>
        <v>0</v>
      </c>
      <c r="AE1284" s="1" t="n">
        <f aca="false">N(AE1283)+$AD1284</f>
        <v>38</v>
      </c>
      <c r="AF1284" s="1" t="n">
        <f aca="false">IF(AND($N1284=1,AND(LEFT(对接源_02物料!$D84,4)="包装物料",N(对接源_02物料!$K84)&lt;&gt;0)),1,0)</f>
        <v>0</v>
      </c>
      <c r="AG1284" s="1" t="n">
        <f aca="false">N(AG1283)+$AF1284</f>
        <v>6</v>
      </c>
      <c r="AH1284" s="1" t="n">
        <f aca="false">IF(AND($N1284=1,AND(LEFT(对接源_02物料!$D84,3)="周转筐",N(对接源_02物料!$K84)&lt;&gt;0)),1,0)</f>
        <v>0</v>
      </c>
      <c r="AI1284" s="1" t="n">
        <f aca="false">N(AI1283)+$AH1284</f>
        <v>0</v>
      </c>
      <c r="AJ1284" s="1" t="n">
        <v>0</v>
      </c>
      <c r="AK1284" s="1" t="n">
        <f aca="false">N(AK1283)+$AJ1284</f>
        <v>3672</v>
      </c>
    </row>
    <row r="1285" customFormat="false" ht="13.5" hidden="false" customHeight="false" outlineLevel="0" collapsed="false">
      <c r="A1285" s="1" t="str">
        <f aca="false">IF(对接源_02物料!$C85="","",对接源_02物料!$C85)</f>
        <v>王照雪</v>
      </c>
      <c r="B1285" s="1" t="n">
        <f aca="false">IF(A1285="",0,IF(MATCH(A1285,$A$4:$A$2403,0)=ROW()-3,1,0))</f>
        <v>0</v>
      </c>
      <c r="C1285" s="1" t="n">
        <f aca="false">N(C1284)+B1285</f>
        <v>17</v>
      </c>
      <c r="K1285" s="1" t="n">
        <f aca="false">IF(OR($K$1="",对接源_02物料!$C85="",对接源_02物料!$C85&lt;&gt;$K$1,对接源_02物料!$B85=""),0,IF(OR(N(对接源_02物料!$B85)&lt;$K$2,N(对接源_02物料!$B85)&gt;$K$3),0,1))</f>
        <v>1</v>
      </c>
      <c r="L1285" s="1" t="n">
        <f aca="false">IF(OR($L$1="",对接源_02物料!$C85="",对接源_02物料!$C85&lt;&gt;$L$1,对接源_02物料!$B85=""),0,IF(OR(N(对接源_02物料!$B85)&lt;$L$2,N(对接源_02物料!$B85)&gt;$L$3),0,1))</f>
        <v>0</v>
      </c>
      <c r="M1285" s="1" t="n">
        <f aca="false">IF(OR($M$1="",对接源_02物料!$C85="",对接源_02物料!$C85&lt;&gt;$M$1,对接源_02物料!$B85=""),0,IF(OR(N(对接源_02物料!$B85)&lt;$M$2,N(对接源_02物料!$B85)&gt;$M$3),0,1))</f>
        <v>1</v>
      </c>
      <c r="N1285" s="1" t="n">
        <f aca="false">IF(OR($N$1="",对接源_02物料!$C85="",对接源_02物料!$C85&lt;&gt;$N$1,对接源_02物料!$B85=""),0,IF(OR(N(对接源_02物料!$B85)&lt;$N$2,N(对接源_02物料!$B85)&gt;$N$3),0,1))</f>
        <v>0</v>
      </c>
      <c r="P1285" s="1" t="n">
        <f aca="false">IF(AND($K1285=1,AND(对接源_02物料!$X85="公司筐",N(对接源_02物料!$T85)&lt;&gt;0)),1,0)</f>
        <v>1</v>
      </c>
      <c r="Q1285" s="1" t="n">
        <f aca="false">N(Q1284)+$P1285</f>
        <v>9</v>
      </c>
      <c r="R1285" s="1" t="n">
        <f aca="false">IF(AND($K1285=1,AND(对接源_02物料!$X85="公司筐",N(对接源_02物料!$U85)&lt;&gt;0)),1,0)</f>
        <v>0</v>
      </c>
      <c r="S1285" s="1" t="n">
        <f aca="false">N(S1284)+$R1285</f>
        <v>3</v>
      </c>
      <c r="T1285" s="1" t="n">
        <f aca="false">IF(AND($K1285=1,AND(对接源_02物料!$X85="公司筐",N(对接源_02物料!$V85)&lt;&gt;0)),1,0)</f>
        <v>0</v>
      </c>
      <c r="U1285" s="1" t="n">
        <f aca="false">N(U1284)+$T1285</f>
        <v>28</v>
      </c>
      <c r="V1285" s="1" t="n">
        <f aca="false">IF(AND($L1285=1,AND(对接源_02物料!$X85="自备筐",N(对接源_02物料!$V85)&lt;&gt;0)),1,0)</f>
        <v>0</v>
      </c>
      <c r="W1285" s="1" t="n">
        <f aca="false">N(W1284)+$V1285</f>
        <v>7</v>
      </c>
      <c r="X1285" s="1" t="n">
        <f aca="false">IF(AND($L1285=1,AND(对接源_02物料!$X85="自备筐",N(对接源_02物料!$T85)&lt;&gt;0)),1,0)</f>
        <v>0</v>
      </c>
      <c r="Y1285" s="1" t="n">
        <f aca="false">N(Y1284)+$X1285</f>
        <v>0</v>
      </c>
      <c r="Z1285" s="1" t="n">
        <f aca="false">IF(AND($M1285=1,对接源_02物料!$D85="原料入库"),1,0)</f>
        <v>0</v>
      </c>
      <c r="AA1285" s="1" t="n">
        <f aca="false">N(AA1284)+$Z1285</f>
        <v>30</v>
      </c>
      <c r="AB1285" s="1" t="n">
        <f aca="false">IF(AND($M1285=1,LEFT(对接源_02物料!$D85,4)="原料出库"),1,0)</f>
        <v>0</v>
      </c>
      <c r="AC1285" s="1" t="n">
        <f aca="false">N(AC1284)+$AB1285</f>
        <v>19</v>
      </c>
      <c r="AD1285" s="1" t="n">
        <f aca="false">IF(AND($M1285=1,LEFT(对接源_02物料!$D85,4)="成品出库"),1,0)</f>
        <v>0</v>
      </c>
      <c r="AE1285" s="1" t="n">
        <f aca="false">N(AE1284)+$AD1285</f>
        <v>38</v>
      </c>
      <c r="AF1285" s="1" t="n">
        <f aca="false">IF(AND($N1285=1,AND(LEFT(对接源_02物料!$D85,4)="包装物料",N(对接源_02物料!$K85)&lt;&gt;0)),1,0)</f>
        <v>0</v>
      </c>
      <c r="AG1285" s="1" t="n">
        <f aca="false">N(AG1284)+$AF1285</f>
        <v>6</v>
      </c>
      <c r="AH1285" s="1" t="n">
        <f aca="false">IF(AND($N1285=1,AND(LEFT(对接源_02物料!$D85,3)="周转筐",N(对接源_02物料!$K85)&lt;&gt;0)),1,0)</f>
        <v>0</v>
      </c>
      <c r="AI1285" s="1" t="n">
        <f aca="false">N(AI1284)+$AH1285</f>
        <v>0</v>
      </c>
      <c r="AJ1285" s="1" t="n">
        <v>0</v>
      </c>
      <c r="AK1285" s="1" t="n">
        <f aca="false">N(AK1284)+$AJ1285</f>
        <v>3672</v>
      </c>
    </row>
    <row r="1286" customFormat="false" ht="13.5" hidden="false" customHeight="false" outlineLevel="0" collapsed="false">
      <c r="A1286" s="1" t="str">
        <f aca="false">IF(对接源_02物料!$C86="","",对接源_02物料!$C86)</f>
        <v>全修塑业</v>
      </c>
      <c r="B1286" s="1" t="n">
        <f aca="false">IF(A1286="",0,IF(MATCH(A1286,$A$4:$A$2403,0)=ROW()-3,1,0))</f>
        <v>0</v>
      </c>
      <c r="C1286" s="1" t="n">
        <f aca="false">N(C1285)+B1286</f>
        <v>17</v>
      </c>
      <c r="K1286" s="1" t="n">
        <f aca="false">IF(OR($K$1="",对接源_02物料!$C86="",对接源_02物料!$C86&lt;&gt;$K$1,对接源_02物料!$B86=""),0,IF(OR(N(对接源_02物料!$B86)&lt;$K$2,N(对接源_02物料!$B86)&gt;$K$3),0,1))</f>
        <v>0</v>
      </c>
      <c r="L1286" s="1" t="n">
        <f aca="false">IF(OR($L$1="",对接源_02物料!$C86="",对接源_02物料!$C86&lt;&gt;$L$1,对接源_02物料!$B86=""),0,IF(OR(N(对接源_02物料!$B86)&lt;$L$2,N(对接源_02物料!$B86)&gt;$L$3),0,1))</f>
        <v>0</v>
      </c>
      <c r="M1286" s="1" t="n">
        <f aca="false">IF(OR($M$1="",对接源_02物料!$C86="",对接源_02物料!$C86&lt;&gt;$M$1,对接源_02物料!$B86=""),0,IF(OR(N(对接源_02物料!$B86)&lt;$M$2,N(对接源_02物料!$B86)&gt;$M$3),0,1))</f>
        <v>0</v>
      </c>
      <c r="N1286" s="1" t="n">
        <f aca="false">IF(OR($N$1="",对接源_02物料!$C86="",对接源_02物料!$C86&lt;&gt;$N$1,对接源_02物料!$B86=""),0,IF(OR(N(对接源_02物料!$B86)&lt;$N$2,N(对接源_02物料!$B86)&gt;$N$3),0,1))</f>
        <v>0</v>
      </c>
      <c r="P1286" s="1" t="n">
        <f aca="false">IF(AND($K1286=1,AND(对接源_02物料!$X86="公司筐",N(对接源_02物料!$T86)&lt;&gt;0)),1,0)</f>
        <v>0</v>
      </c>
      <c r="Q1286" s="1" t="n">
        <f aca="false">N(Q1285)+$P1286</f>
        <v>9</v>
      </c>
      <c r="R1286" s="1" t="n">
        <f aca="false">IF(AND($K1286=1,AND(对接源_02物料!$X86="公司筐",N(对接源_02物料!$U86)&lt;&gt;0)),1,0)</f>
        <v>0</v>
      </c>
      <c r="S1286" s="1" t="n">
        <f aca="false">N(S1285)+$R1286</f>
        <v>3</v>
      </c>
      <c r="T1286" s="1" t="n">
        <f aca="false">IF(AND($K1286=1,AND(对接源_02物料!$X86="公司筐",N(对接源_02物料!$V86)&lt;&gt;0)),1,0)</f>
        <v>0</v>
      </c>
      <c r="U1286" s="1" t="n">
        <f aca="false">N(U1285)+$T1286</f>
        <v>28</v>
      </c>
      <c r="V1286" s="1" t="n">
        <f aca="false">IF(AND($L1286=1,AND(对接源_02物料!$X86="自备筐",N(对接源_02物料!$V86)&lt;&gt;0)),1,0)</f>
        <v>0</v>
      </c>
      <c r="W1286" s="1" t="n">
        <f aca="false">N(W1285)+$V1286</f>
        <v>7</v>
      </c>
      <c r="X1286" s="1" t="n">
        <f aca="false">IF(AND($L1286=1,AND(对接源_02物料!$X86="自备筐",N(对接源_02物料!$T86)&lt;&gt;0)),1,0)</f>
        <v>0</v>
      </c>
      <c r="Y1286" s="1" t="n">
        <f aca="false">N(Y1285)+$X1286</f>
        <v>0</v>
      </c>
      <c r="Z1286" s="1" t="n">
        <f aca="false">IF(AND($M1286=1,对接源_02物料!$D86="原料入库"),1,0)</f>
        <v>0</v>
      </c>
      <c r="AA1286" s="1" t="n">
        <f aca="false">N(AA1285)+$Z1286</f>
        <v>30</v>
      </c>
      <c r="AB1286" s="1" t="n">
        <f aca="false">IF(AND($M1286=1,LEFT(对接源_02物料!$D86,4)="原料出库"),1,0)</f>
        <v>0</v>
      </c>
      <c r="AC1286" s="1" t="n">
        <f aca="false">N(AC1285)+$AB1286</f>
        <v>19</v>
      </c>
      <c r="AD1286" s="1" t="n">
        <f aca="false">IF(AND($M1286=1,LEFT(对接源_02物料!$D86,4)="成品出库"),1,0)</f>
        <v>0</v>
      </c>
      <c r="AE1286" s="1" t="n">
        <f aca="false">N(AE1285)+$AD1286</f>
        <v>38</v>
      </c>
      <c r="AF1286" s="1" t="n">
        <f aca="false">IF(AND($N1286=1,AND(LEFT(对接源_02物料!$D86,4)="包装物料",N(对接源_02物料!$K86)&lt;&gt;0)),1,0)</f>
        <v>0</v>
      </c>
      <c r="AG1286" s="1" t="n">
        <f aca="false">N(AG1285)+$AF1286</f>
        <v>6</v>
      </c>
      <c r="AH1286" s="1" t="n">
        <f aca="false">IF(AND($N1286=1,AND(LEFT(对接源_02物料!$D86,3)="周转筐",N(对接源_02物料!$K86)&lt;&gt;0)),1,0)</f>
        <v>0</v>
      </c>
      <c r="AI1286" s="1" t="n">
        <f aca="false">N(AI1285)+$AH1286</f>
        <v>0</v>
      </c>
      <c r="AJ1286" s="1" t="n">
        <v>0</v>
      </c>
      <c r="AK1286" s="1" t="n">
        <f aca="false">N(AK1285)+$AJ1286</f>
        <v>3672</v>
      </c>
    </row>
    <row r="1287" customFormat="false" ht="13.5" hidden="false" customHeight="false" outlineLevel="0" collapsed="false">
      <c r="A1287" s="1" t="str">
        <f aca="false">IF(对接源_02物料!$C87="","",对接源_02物料!$C87)</f>
        <v>王灵云</v>
      </c>
      <c r="B1287" s="1" t="n">
        <f aca="false">IF(A1287="",0,IF(MATCH(A1287,$A$4:$A$2403,0)=ROW()-3,1,0))</f>
        <v>0</v>
      </c>
      <c r="C1287" s="1" t="n">
        <f aca="false">N(C1286)+B1287</f>
        <v>17</v>
      </c>
      <c r="K1287" s="1" t="n">
        <f aca="false">IF(OR($K$1="",对接源_02物料!$C87="",对接源_02物料!$C87&lt;&gt;$K$1,对接源_02物料!$B87=""),0,IF(OR(N(对接源_02物料!$B87)&lt;$K$2,N(对接源_02物料!$B87)&gt;$K$3),0,1))</f>
        <v>0</v>
      </c>
      <c r="L1287" s="1" t="n">
        <f aca="false">IF(OR($L$1="",对接源_02物料!$C87="",对接源_02物料!$C87&lt;&gt;$L$1,对接源_02物料!$B87=""),0,IF(OR(N(对接源_02物料!$B87)&lt;$L$2,N(对接源_02物料!$B87)&gt;$L$3),0,1))</f>
        <v>0</v>
      </c>
      <c r="M1287" s="1" t="n">
        <f aca="false">IF(OR($M$1="",对接源_02物料!$C87="",对接源_02物料!$C87&lt;&gt;$M$1,对接源_02物料!$B87=""),0,IF(OR(N(对接源_02物料!$B87)&lt;$M$2,N(对接源_02物料!$B87)&gt;$M$3),0,1))</f>
        <v>0</v>
      </c>
      <c r="N1287" s="1" t="n">
        <f aca="false">IF(OR($N$1="",对接源_02物料!$C87="",对接源_02物料!$C87&lt;&gt;$N$1,对接源_02物料!$B87=""),0,IF(OR(N(对接源_02物料!$B87)&lt;$N$2,N(对接源_02物料!$B87)&gt;$N$3),0,1))</f>
        <v>0</v>
      </c>
      <c r="P1287" s="1" t="n">
        <f aca="false">IF(AND($K1287=1,AND(对接源_02物料!$X87="公司筐",N(对接源_02物料!$T87)&lt;&gt;0)),1,0)</f>
        <v>0</v>
      </c>
      <c r="Q1287" s="1" t="n">
        <f aca="false">N(Q1286)+$P1287</f>
        <v>9</v>
      </c>
      <c r="R1287" s="1" t="n">
        <f aca="false">IF(AND($K1287=1,AND(对接源_02物料!$X87="公司筐",N(对接源_02物料!$U87)&lt;&gt;0)),1,0)</f>
        <v>0</v>
      </c>
      <c r="S1287" s="1" t="n">
        <f aca="false">N(S1286)+$R1287</f>
        <v>3</v>
      </c>
      <c r="T1287" s="1" t="n">
        <f aca="false">IF(AND($K1287=1,AND(对接源_02物料!$X87="公司筐",N(对接源_02物料!$V87)&lt;&gt;0)),1,0)</f>
        <v>0</v>
      </c>
      <c r="U1287" s="1" t="n">
        <f aca="false">N(U1286)+$T1287</f>
        <v>28</v>
      </c>
      <c r="V1287" s="1" t="n">
        <f aca="false">IF(AND($L1287=1,AND(对接源_02物料!$X87="自备筐",N(对接源_02物料!$V87)&lt;&gt;0)),1,0)</f>
        <v>0</v>
      </c>
      <c r="W1287" s="1" t="n">
        <f aca="false">N(W1286)+$V1287</f>
        <v>7</v>
      </c>
      <c r="X1287" s="1" t="n">
        <f aca="false">IF(AND($L1287=1,AND(对接源_02物料!$X87="自备筐",N(对接源_02物料!$T87)&lt;&gt;0)),1,0)</f>
        <v>0</v>
      </c>
      <c r="Y1287" s="1" t="n">
        <f aca="false">N(Y1286)+$X1287</f>
        <v>0</v>
      </c>
      <c r="Z1287" s="1" t="n">
        <f aca="false">IF(AND($M1287=1,对接源_02物料!$D87="原料入库"),1,0)</f>
        <v>0</v>
      </c>
      <c r="AA1287" s="1" t="n">
        <f aca="false">N(AA1286)+$Z1287</f>
        <v>30</v>
      </c>
      <c r="AB1287" s="1" t="n">
        <f aca="false">IF(AND($M1287=1,LEFT(对接源_02物料!$D87,4)="原料出库"),1,0)</f>
        <v>0</v>
      </c>
      <c r="AC1287" s="1" t="n">
        <f aca="false">N(AC1286)+$AB1287</f>
        <v>19</v>
      </c>
      <c r="AD1287" s="1" t="n">
        <f aca="false">IF(AND($M1287=1,LEFT(对接源_02物料!$D87,4)="成品出库"),1,0)</f>
        <v>0</v>
      </c>
      <c r="AE1287" s="1" t="n">
        <f aca="false">N(AE1286)+$AD1287</f>
        <v>38</v>
      </c>
      <c r="AF1287" s="1" t="n">
        <f aca="false">IF(AND($N1287=1,AND(LEFT(对接源_02物料!$D87,4)="包装物料",N(对接源_02物料!$K87)&lt;&gt;0)),1,0)</f>
        <v>0</v>
      </c>
      <c r="AG1287" s="1" t="n">
        <f aca="false">N(AG1286)+$AF1287</f>
        <v>6</v>
      </c>
      <c r="AH1287" s="1" t="n">
        <f aca="false">IF(AND($N1287=1,AND(LEFT(对接源_02物料!$D87,3)="周转筐",N(对接源_02物料!$K87)&lt;&gt;0)),1,0)</f>
        <v>0</v>
      </c>
      <c r="AI1287" s="1" t="n">
        <f aca="false">N(AI1286)+$AH1287</f>
        <v>0</v>
      </c>
      <c r="AJ1287" s="1" t="n">
        <v>0</v>
      </c>
      <c r="AK1287" s="1" t="n">
        <f aca="false">N(AK1286)+$AJ1287</f>
        <v>3672</v>
      </c>
    </row>
    <row r="1288" customFormat="false" ht="13.5" hidden="false" customHeight="false" outlineLevel="0" collapsed="false">
      <c r="A1288" s="1" t="str">
        <f aca="false">IF(对接源_02物料!$C88="","",对接源_02物料!$C88)</f>
        <v>全修塑业</v>
      </c>
      <c r="B1288" s="1" t="n">
        <f aca="false">IF(A1288="",0,IF(MATCH(A1288,$A$4:$A$2403,0)=ROW()-3,1,0))</f>
        <v>0</v>
      </c>
      <c r="C1288" s="1" t="n">
        <f aca="false">N(C1287)+B1288</f>
        <v>17</v>
      </c>
      <c r="K1288" s="1" t="n">
        <f aca="false">IF(OR($K$1="",对接源_02物料!$C88="",对接源_02物料!$C88&lt;&gt;$K$1,对接源_02物料!$B88=""),0,IF(OR(N(对接源_02物料!$B88)&lt;$K$2,N(对接源_02物料!$B88)&gt;$K$3),0,1))</f>
        <v>0</v>
      </c>
      <c r="L1288" s="1" t="n">
        <f aca="false">IF(OR($L$1="",对接源_02物料!$C88="",对接源_02物料!$C88&lt;&gt;$L$1,对接源_02物料!$B88=""),0,IF(OR(N(对接源_02物料!$B88)&lt;$L$2,N(对接源_02物料!$B88)&gt;$L$3),0,1))</f>
        <v>0</v>
      </c>
      <c r="M1288" s="1" t="n">
        <f aca="false">IF(OR($M$1="",对接源_02物料!$C88="",对接源_02物料!$C88&lt;&gt;$M$1,对接源_02物料!$B88=""),0,IF(OR(N(对接源_02物料!$B88)&lt;$M$2,N(对接源_02物料!$B88)&gt;$M$3),0,1))</f>
        <v>0</v>
      </c>
      <c r="N1288" s="1" t="n">
        <f aca="false">IF(OR($N$1="",对接源_02物料!$C88="",对接源_02物料!$C88&lt;&gt;$N$1,对接源_02物料!$B88=""),0,IF(OR(N(对接源_02物料!$B88)&lt;$N$2,N(对接源_02物料!$B88)&gt;$N$3),0,1))</f>
        <v>0</v>
      </c>
      <c r="P1288" s="1" t="n">
        <f aca="false">IF(AND($K1288=1,AND(对接源_02物料!$X88="公司筐",N(对接源_02物料!$T88)&lt;&gt;0)),1,0)</f>
        <v>0</v>
      </c>
      <c r="Q1288" s="1" t="n">
        <f aca="false">N(Q1287)+$P1288</f>
        <v>9</v>
      </c>
      <c r="R1288" s="1" t="n">
        <f aca="false">IF(AND($K1288=1,AND(对接源_02物料!$X88="公司筐",N(对接源_02物料!$U88)&lt;&gt;0)),1,0)</f>
        <v>0</v>
      </c>
      <c r="S1288" s="1" t="n">
        <f aca="false">N(S1287)+$R1288</f>
        <v>3</v>
      </c>
      <c r="T1288" s="1" t="n">
        <f aca="false">IF(AND($K1288=1,AND(对接源_02物料!$X88="公司筐",N(对接源_02物料!$V88)&lt;&gt;0)),1,0)</f>
        <v>0</v>
      </c>
      <c r="U1288" s="1" t="n">
        <f aca="false">N(U1287)+$T1288</f>
        <v>28</v>
      </c>
      <c r="V1288" s="1" t="n">
        <f aca="false">IF(AND($L1288=1,AND(对接源_02物料!$X88="自备筐",N(对接源_02物料!$V88)&lt;&gt;0)),1,0)</f>
        <v>0</v>
      </c>
      <c r="W1288" s="1" t="n">
        <f aca="false">N(W1287)+$V1288</f>
        <v>7</v>
      </c>
      <c r="X1288" s="1" t="n">
        <f aca="false">IF(AND($L1288=1,AND(对接源_02物料!$X88="自备筐",N(对接源_02物料!$T88)&lt;&gt;0)),1,0)</f>
        <v>0</v>
      </c>
      <c r="Y1288" s="1" t="n">
        <f aca="false">N(Y1287)+$X1288</f>
        <v>0</v>
      </c>
      <c r="Z1288" s="1" t="n">
        <f aca="false">IF(AND($M1288=1,对接源_02物料!$D88="原料入库"),1,0)</f>
        <v>0</v>
      </c>
      <c r="AA1288" s="1" t="n">
        <f aca="false">N(AA1287)+$Z1288</f>
        <v>30</v>
      </c>
      <c r="AB1288" s="1" t="n">
        <f aca="false">IF(AND($M1288=1,LEFT(对接源_02物料!$D88,4)="原料出库"),1,0)</f>
        <v>0</v>
      </c>
      <c r="AC1288" s="1" t="n">
        <f aca="false">N(AC1287)+$AB1288</f>
        <v>19</v>
      </c>
      <c r="AD1288" s="1" t="n">
        <f aca="false">IF(AND($M1288=1,LEFT(对接源_02物料!$D88,4)="成品出库"),1,0)</f>
        <v>0</v>
      </c>
      <c r="AE1288" s="1" t="n">
        <f aca="false">N(AE1287)+$AD1288</f>
        <v>38</v>
      </c>
      <c r="AF1288" s="1" t="n">
        <f aca="false">IF(AND($N1288=1,AND(LEFT(对接源_02物料!$D88,4)="包装物料",N(对接源_02物料!$K88)&lt;&gt;0)),1,0)</f>
        <v>0</v>
      </c>
      <c r="AG1288" s="1" t="n">
        <f aca="false">N(AG1287)+$AF1288</f>
        <v>6</v>
      </c>
      <c r="AH1288" s="1" t="n">
        <f aca="false">IF(AND($N1288=1,AND(LEFT(对接源_02物料!$D88,3)="周转筐",N(对接源_02物料!$K88)&lt;&gt;0)),1,0)</f>
        <v>0</v>
      </c>
      <c r="AI1288" s="1" t="n">
        <f aca="false">N(AI1287)+$AH1288</f>
        <v>0</v>
      </c>
      <c r="AJ1288" s="1" t="n">
        <v>0</v>
      </c>
      <c r="AK1288" s="1" t="n">
        <f aca="false">N(AK1287)+$AJ1288</f>
        <v>3672</v>
      </c>
    </row>
    <row r="1289" customFormat="false" ht="13.5" hidden="false" customHeight="false" outlineLevel="0" collapsed="false">
      <c r="A1289" s="1" t="str">
        <f aca="false">IF(对接源_02物料!$C89="","",对接源_02物料!$C89)</f>
        <v>吐尔洪</v>
      </c>
      <c r="B1289" s="1" t="n">
        <f aca="false">IF(A1289="",0,IF(MATCH(A1289,$A$4:$A$2403,0)=ROW()-3,1,0))</f>
        <v>0</v>
      </c>
      <c r="C1289" s="1" t="n">
        <f aca="false">N(C1288)+B1289</f>
        <v>17</v>
      </c>
      <c r="K1289" s="1" t="n">
        <f aca="false">IF(OR($K$1="",对接源_02物料!$C89="",对接源_02物料!$C89&lt;&gt;$K$1,对接源_02物料!$B89=""),0,IF(OR(N(对接源_02物料!$B89)&lt;$K$2,N(对接源_02物料!$B89)&gt;$K$3),0,1))</f>
        <v>0</v>
      </c>
      <c r="L1289" s="1" t="n">
        <f aca="false">IF(OR($L$1="",对接源_02物料!$C89="",对接源_02物料!$C89&lt;&gt;$L$1,对接源_02物料!$B89=""),0,IF(OR(N(对接源_02物料!$B89)&lt;$L$2,N(对接源_02物料!$B89)&gt;$L$3),0,1))</f>
        <v>0</v>
      </c>
      <c r="M1289" s="1" t="n">
        <f aca="false">IF(OR($M$1="",对接源_02物料!$C89="",对接源_02物料!$C89&lt;&gt;$M$1,对接源_02物料!$B89=""),0,IF(OR(N(对接源_02物料!$B89)&lt;$M$2,N(对接源_02物料!$B89)&gt;$M$3),0,1))</f>
        <v>0</v>
      </c>
      <c r="N1289" s="1" t="n">
        <f aca="false">IF(OR($N$1="",对接源_02物料!$C89="",对接源_02物料!$C89&lt;&gt;$N$1,对接源_02物料!$B89=""),0,IF(OR(N(对接源_02物料!$B89)&lt;$N$2,N(对接源_02物料!$B89)&gt;$N$3),0,1))</f>
        <v>0</v>
      </c>
      <c r="P1289" s="1" t="n">
        <f aca="false">IF(AND($K1289=1,AND(对接源_02物料!$X89="公司筐",N(对接源_02物料!$T89)&lt;&gt;0)),1,0)</f>
        <v>0</v>
      </c>
      <c r="Q1289" s="1" t="n">
        <f aca="false">N(Q1288)+$P1289</f>
        <v>9</v>
      </c>
      <c r="R1289" s="1" t="n">
        <f aca="false">IF(AND($K1289=1,AND(对接源_02物料!$X89="公司筐",N(对接源_02物料!$U89)&lt;&gt;0)),1,0)</f>
        <v>0</v>
      </c>
      <c r="S1289" s="1" t="n">
        <f aca="false">N(S1288)+$R1289</f>
        <v>3</v>
      </c>
      <c r="T1289" s="1" t="n">
        <f aca="false">IF(AND($K1289=1,AND(对接源_02物料!$X89="公司筐",N(对接源_02物料!$V89)&lt;&gt;0)),1,0)</f>
        <v>0</v>
      </c>
      <c r="U1289" s="1" t="n">
        <f aca="false">N(U1288)+$T1289</f>
        <v>28</v>
      </c>
      <c r="V1289" s="1" t="n">
        <f aca="false">IF(AND($L1289=1,AND(对接源_02物料!$X89="自备筐",N(对接源_02物料!$V89)&lt;&gt;0)),1,0)</f>
        <v>0</v>
      </c>
      <c r="W1289" s="1" t="n">
        <f aca="false">N(W1288)+$V1289</f>
        <v>7</v>
      </c>
      <c r="X1289" s="1" t="n">
        <f aca="false">IF(AND($L1289=1,AND(对接源_02物料!$X89="自备筐",N(对接源_02物料!$T89)&lt;&gt;0)),1,0)</f>
        <v>0</v>
      </c>
      <c r="Y1289" s="1" t="n">
        <f aca="false">N(Y1288)+$X1289</f>
        <v>0</v>
      </c>
      <c r="Z1289" s="1" t="n">
        <f aca="false">IF(AND($M1289=1,对接源_02物料!$D89="原料入库"),1,0)</f>
        <v>0</v>
      </c>
      <c r="AA1289" s="1" t="n">
        <f aca="false">N(AA1288)+$Z1289</f>
        <v>30</v>
      </c>
      <c r="AB1289" s="1" t="n">
        <f aca="false">IF(AND($M1289=1,LEFT(对接源_02物料!$D89,4)="原料出库"),1,0)</f>
        <v>0</v>
      </c>
      <c r="AC1289" s="1" t="n">
        <f aca="false">N(AC1288)+$AB1289</f>
        <v>19</v>
      </c>
      <c r="AD1289" s="1" t="n">
        <f aca="false">IF(AND($M1289=1,LEFT(对接源_02物料!$D89,4)="成品出库"),1,0)</f>
        <v>0</v>
      </c>
      <c r="AE1289" s="1" t="n">
        <f aca="false">N(AE1288)+$AD1289</f>
        <v>38</v>
      </c>
      <c r="AF1289" s="1" t="n">
        <f aca="false">IF(AND($N1289=1,AND(LEFT(对接源_02物料!$D89,4)="包装物料",N(对接源_02物料!$K89)&lt;&gt;0)),1,0)</f>
        <v>0</v>
      </c>
      <c r="AG1289" s="1" t="n">
        <f aca="false">N(AG1288)+$AF1289</f>
        <v>6</v>
      </c>
      <c r="AH1289" s="1" t="n">
        <f aca="false">IF(AND($N1289=1,AND(LEFT(对接源_02物料!$D89,3)="周转筐",N(对接源_02物料!$K89)&lt;&gt;0)),1,0)</f>
        <v>0</v>
      </c>
      <c r="AI1289" s="1" t="n">
        <f aca="false">N(AI1288)+$AH1289</f>
        <v>0</v>
      </c>
      <c r="AJ1289" s="1" t="n">
        <v>0</v>
      </c>
      <c r="AK1289" s="1" t="n">
        <f aca="false">N(AK1288)+$AJ1289</f>
        <v>3672</v>
      </c>
    </row>
    <row r="1290" customFormat="false" ht="13.5" hidden="false" customHeight="false" outlineLevel="0" collapsed="false">
      <c r="A1290" s="1" t="str">
        <f aca="false">IF(对接源_02物料!$C90="","",对接源_02物料!$C90)</f>
        <v>全修塑业</v>
      </c>
      <c r="B1290" s="1" t="n">
        <f aca="false">IF(A1290="",0,IF(MATCH(A1290,$A$4:$A$2403,0)=ROW()-3,1,0))</f>
        <v>0</v>
      </c>
      <c r="C1290" s="1" t="n">
        <f aca="false">N(C1289)+B1290</f>
        <v>17</v>
      </c>
      <c r="K1290" s="1" t="n">
        <f aca="false">IF(OR($K$1="",对接源_02物料!$C90="",对接源_02物料!$C90&lt;&gt;$K$1,对接源_02物料!$B90=""),0,IF(OR(N(对接源_02物料!$B90)&lt;$K$2,N(对接源_02物料!$B90)&gt;$K$3),0,1))</f>
        <v>0</v>
      </c>
      <c r="L1290" s="1" t="n">
        <f aca="false">IF(OR($L$1="",对接源_02物料!$C90="",对接源_02物料!$C90&lt;&gt;$L$1,对接源_02物料!$B90=""),0,IF(OR(N(对接源_02物料!$B90)&lt;$L$2,N(对接源_02物料!$B90)&gt;$L$3),0,1))</f>
        <v>0</v>
      </c>
      <c r="M1290" s="1" t="n">
        <f aca="false">IF(OR($M$1="",对接源_02物料!$C90="",对接源_02物料!$C90&lt;&gt;$M$1,对接源_02物料!$B90=""),0,IF(OR(N(对接源_02物料!$B90)&lt;$M$2,N(对接源_02物料!$B90)&gt;$M$3),0,1))</f>
        <v>0</v>
      </c>
      <c r="N1290" s="1" t="n">
        <f aca="false">IF(OR($N$1="",对接源_02物料!$C90="",对接源_02物料!$C90&lt;&gt;$N$1,对接源_02物料!$B90=""),0,IF(OR(N(对接源_02物料!$B90)&lt;$N$2,N(对接源_02物料!$B90)&gt;$N$3),0,1))</f>
        <v>0</v>
      </c>
      <c r="P1290" s="1" t="n">
        <f aca="false">IF(AND($K1290=1,AND(对接源_02物料!$X90="公司筐",N(对接源_02物料!$T90)&lt;&gt;0)),1,0)</f>
        <v>0</v>
      </c>
      <c r="Q1290" s="1" t="n">
        <f aca="false">N(Q1289)+$P1290</f>
        <v>9</v>
      </c>
      <c r="R1290" s="1" t="n">
        <f aca="false">IF(AND($K1290=1,AND(对接源_02物料!$X90="公司筐",N(对接源_02物料!$U90)&lt;&gt;0)),1,0)</f>
        <v>0</v>
      </c>
      <c r="S1290" s="1" t="n">
        <f aca="false">N(S1289)+$R1290</f>
        <v>3</v>
      </c>
      <c r="T1290" s="1" t="n">
        <f aca="false">IF(AND($K1290=1,AND(对接源_02物料!$X90="公司筐",N(对接源_02物料!$V90)&lt;&gt;0)),1,0)</f>
        <v>0</v>
      </c>
      <c r="U1290" s="1" t="n">
        <f aca="false">N(U1289)+$T1290</f>
        <v>28</v>
      </c>
      <c r="V1290" s="1" t="n">
        <f aca="false">IF(AND($L1290=1,AND(对接源_02物料!$X90="自备筐",N(对接源_02物料!$V90)&lt;&gt;0)),1,0)</f>
        <v>0</v>
      </c>
      <c r="W1290" s="1" t="n">
        <f aca="false">N(W1289)+$V1290</f>
        <v>7</v>
      </c>
      <c r="X1290" s="1" t="n">
        <f aca="false">IF(AND($L1290=1,AND(对接源_02物料!$X90="自备筐",N(对接源_02物料!$T90)&lt;&gt;0)),1,0)</f>
        <v>0</v>
      </c>
      <c r="Y1290" s="1" t="n">
        <f aca="false">N(Y1289)+$X1290</f>
        <v>0</v>
      </c>
      <c r="Z1290" s="1" t="n">
        <f aca="false">IF(AND($M1290=1,对接源_02物料!$D90="原料入库"),1,0)</f>
        <v>0</v>
      </c>
      <c r="AA1290" s="1" t="n">
        <f aca="false">N(AA1289)+$Z1290</f>
        <v>30</v>
      </c>
      <c r="AB1290" s="1" t="n">
        <f aca="false">IF(AND($M1290=1,LEFT(对接源_02物料!$D90,4)="原料出库"),1,0)</f>
        <v>0</v>
      </c>
      <c r="AC1290" s="1" t="n">
        <f aca="false">N(AC1289)+$AB1290</f>
        <v>19</v>
      </c>
      <c r="AD1290" s="1" t="n">
        <f aca="false">IF(AND($M1290=1,LEFT(对接源_02物料!$D90,4)="成品出库"),1,0)</f>
        <v>0</v>
      </c>
      <c r="AE1290" s="1" t="n">
        <f aca="false">N(AE1289)+$AD1290</f>
        <v>38</v>
      </c>
      <c r="AF1290" s="1" t="n">
        <f aca="false">IF(AND($N1290=1,AND(LEFT(对接源_02物料!$D90,4)="包装物料",N(对接源_02物料!$K90)&lt;&gt;0)),1,0)</f>
        <v>0</v>
      </c>
      <c r="AG1290" s="1" t="n">
        <f aca="false">N(AG1289)+$AF1290</f>
        <v>6</v>
      </c>
      <c r="AH1290" s="1" t="n">
        <f aca="false">IF(AND($N1290=1,AND(LEFT(对接源_02物料!$D90,3)="周转筐",N(对接源_02物料!$K90)&lt;&gt;0)),1,0)</f>
        <v>0</v>
      </c>
      <c r="AI1290" s="1" t="n">
        <f aca="false">N(AI1289)+$AH1290</f>
        <v>0</v>
      </c>
      <c r="AJ1290" s="1" t="n">
        <v>0</v>
      </c>
      <c r="AK1290" s="1" t="n">
        <f aca="false">N(AK1289)+$AJ1290</f>
        <v>3672</v>
      </c>
    </row>
    <row r="1291" customFormat="false" ht="13.5" hidden="false" customHeight="false" outlineLevel="0" collapsed="false">
      <c r="A1291" s="1" t="str">
        <f aca="false">IF(对接源_02物料!$C91="","",对接源_02物料!$C91)</f>
        <v>麦麦提</v>
      </c>
      <c r="B1291" s="1" t="n">
        <f aca="false">IF(A1291="",0,IF(MATCH(A1291,$A$4:$A$2403,0)=ROW()-3,1,0))</f>
        <v>0</v>
      </c>
      <c r="C1291" s="1" t="n">
        <f aca="false">N(C1290)+B1291</f>
        <v>17</v>
      </c>
      <c r="K1291" s="1" t="n">
        <f aca="false">IF(OR($K$1="",对接源_02物料!$C91="",对接源_02物料!$C91&lt;&gt;$K$1,对接源_02物料!$B91=""),0,IF(OR(N(对接源_02物料!$B91)&lt;$K$2,N(对接源_02物料!$B91)&gt;$K$3),0,1))</f>
        <v>0</v>
      </c>
      <c r="L1291" s="1" t="n">
        <f aca="false">IF(OR($L$1="",对接源_02物料!$C91="",对接源_02物料!$C91&lt;&gt;$L$1,对接源_02物料!$B91=""),0,IF(OR(N(对接源_02物料!$B91)&lt;$L$2,N(对接源_02物料!$B91)&gt;$L$3),0,1))</f>
        <v>0</v>
      </c>
      <c r="M1291" s="1" t="n">
        <f aca="false">IF(OR($M$1="",对接源_02物料!$C91="",对接源_02物料!$C91&lt;&gt;$M$1,对接源_02物料!$B91=""),0,IF(OR(N(对接源_02物料!$B91)&lt;$M$2,N(对接源_02物料!$B91)&gt;$M$3),0,1))</f>
        <v>0</v>
      </c>
      <c r="N1291" s="1" t="n">
        <f aca="false">IF(OR($N$1="",对接源_02物料!$C91="",对接源_02物料!$C91&lt;&gt;$N$1,对接源_02物料!$B91=""),0,IF(OR(N(对接源_02物料!$B91)&lt;$N$2,N(对接源_02物料!$B91)&gt;$N$3),0,1))</f>
        <v>1</v>
      </c>
      <c r="P1291" s="1" t="n">
        <f aca="false">IF(AND($K1291=1,AND(对接源_02物料!$X91="公司筐",N(对接源_02物料!$T91)&lt;&gt;0)),1,0)</f>
        <v>0</v>
      </c>
      <c r="Q1291" s="1" t="n">
        <f aca="false">N(Q1290)+$P1291</f>
        <v>9</v>
      </c>
      <c r="R1291" s="1" t="n">
        <f aca="false">IF(AND($K1291=1,AND(对接源_02物料!$X91="公司筐",N(对接源_02物料!$U91)&lt;&gt;0)),1,0)</f>
        <v>0</v>
      </c>
      <c r="S1291" s="1" t="n">
        <f aca="false">N(S1290)+$R1291</f>
        <v>3</v>
      </c>
      <c r="T1291" s="1" t="n">
        <f aca="false">IF(AND($K1291=1,AND(对接源_02物料!$X91="公司筐",N(对接源_02物料!$V91)&lt;&gt;0)),1,0)</f>
        <v>0</v>
      </c>
      <c r="U1291" s="1" t="n">
        <f aca="false">N(U1290)+$T1291</f>
        <v>28</v>
      </c>
      <c r="V1291" s="1" t="n">
        <f aca="false">IF(AND($L1291=1,AND(对接源_02物料!$X91="自备筐",N(对接源_02物料!$V91)&lt;&gt;0)),1,0)</f>
        <v>0</v>
      </c>
      <c r="W1291" s="1" t="n">
        <f aca="false">N(W1290)+$V1291</f>
        <v>7</v>
      </c>
      <c r="X1291" s="1" t="n">
        <f aca="false">IF(AND($L1291=1,AND(对接源_02物料!$X91="自备筐",N(对接源_02物料!$T91)&lt;&gt;0)),1,0)</f>
        <v>0</v>
      </c>
      <c r="Y1291" s="1" t="n">
        <f aca="false">N(Y1290)+$X1291</f>
        <v>0</v>
      </c>
      <c r="Z1291" s="1" t="n">
        <f aca="false">IF(AND($M1291=1,对接源_02物料!$D91="原料入库"),1,0)</f>
        <v>0</v>
      </c>
      <c r="AA1291" s="1" t="n">
        <f aca="false">N(AA1290)+$Z1291</f>
        <v>30</v>
      </c>
      <c r="AB1291" s="1" t="n">
        <f aca="false">IF(AND($M1291=1,LEFT(对接源_02物料!$D91,4)="原料出库"),1,0)</f>
        <v>0</v>
      </c>
      <c r="AC1291" s="1" t="n">
        <f aca="false">N(AC1290)+$AB1291</f>
        <v>19</v>
      </c>
      <c r="AD1291" s="1" t="n">
        <f aca="false">IF(AND($M1291=1,LEFT(对接源_02物料!$D91,4)="成品出库"),1,0)</f>
        <v>0</v>
      </c>
      <c r="AE1291" s="1" t="n">
        <f aca="false">N(AE1290)+$AD1291</f>
        <v>38</v>
      </c>
      <c r="AF1291" s="1" t="n">
        <f aca="false">IF(AND($N1291=1,AND(LEFT(对接源_02物料!$D91,4)="包装物料",N(对接源_02物料!$K91)&lt;&gt;0)),1,0)</f>
        <v>0</v>
      </c>
      <c r="AG1291" s="1" t="n">
        <f aca="false">N(AG1290)+$AF1291</f>
        <v>6</v>
      </c>
      <c r="AH1291" s="1" t="n">
        <f aca="false">IF(AND($N1291=1,AND(LEFT(对接源_02物料!$D91,3)="周转筐",N(对接源_02物料!$K91)&lt;&gt;0)),1,0)</f>
        <v>0</v>
      </c>
      <c r="AI1291" s="1" t="n">
        <f aca="false">N(AI1290)+$AH1291</f>
        <v>0</v>
      </c>
      <c r="AJ1291" s="1" t="n">
        <v>0</v>
      </c>
      <c r="AK1291" s="1" t="n">
        <f aca="false">N(AK1290)+$AJ1291</f>
        <v>3672</v>
      </c>
    </row>
    <row r="1292" customFormat="false" ht="13.5" hidden="false" customHeight="false" outlineLevel="0" collapsed="false">
      <c r="A1292" s="1" t="str">
        <f aca="false">IF(对接源_02物料!$C92="","",对接源_02物料!$C92)</f>
        <v>全修塑业</v>
      </c>
      <c r="B1292" s="1" t="n">
        <f aca="false">IF(A1292="",0,IF(MATCH(A1292,$A$4:$A$2403,0)=ROW()-3,1,0))</f>
        <v>0</v>
      </c>
      <c r="C1292" s="1" t="n">
        <f aca="false">N(C1291)+B1292</f>
        <v>17</v>
      </c>
      <c r="K1292" s="1" t="n">
        <f aca="false">IF(OR($K$1="",对接源_02物料!$C92="",对接源_02物料!$C92&lt;&gt;$K$1,对接源_02物料!$B92=""),0,IF(OR(N(对接源_02物料!$B92)&lt;$K$2,N(对接源_02物料!$B92)&gt;$K$3),0,1))</f>
        <v>0</v>
      </c>
      <c r="L1292" s="1" t="n">
        <f aca="false">IF(OR($L$1="",对接源_02物料!$C92="",对接源_02物料!$C92&lt;&gt;$L$1,对接源_02物料!$B92=""),0,IF(OR(N(对接源_02物料!$B92)&lt;$L$2,N(对接源_02物料!$B92)&gt;$L$3),0,1))</f>
        <v>0</v>
      </c>
      <c r="M1292" s="1" t="n">
        <f aca="false">IF(OR($M$1="",对接源_02物料!$C92="",对接源_02物料!$C92&lt;&gt;$M$1,对接源_02物料!$B92=""),0,IF(OR(N(对接源_02物料!$B92)&lt;$M$2,N(对接源_02物料!$B92)&gt;$M$3),0,1))</f>
        <v>0</v>
      </c>
      <c r="N1292" s="1" t="n">
        <f aca="false">IF(OR($N$1="",对接源_02物料!$C92="",对接源_02物料!$C92&lt;&gt;$N$1,对接源_02物料!$B92=""),0,IF(OR(N(对接源_02物料!$B92)&lt;$N$2,N(对接源_02物料!$B92)&gt;$N$3),0,1))</f>
        <v>0</v>
      </c>
      <c r="P1292" s="1" t="n">
        <f aca="false">IF(AND($K1292=1,AND(对接源_02物料!$X92="公司筐",N(对接源_02物料!$T92)&lt;&gt;0)),1,0)</f>
        <v>0</v>
      </c>
      <c r="Q1292" s="1" t="n">
        <f aca="false">N(Q1291)+$P1292</f>
        <v>9</v>
      </c>
      <c r="R1292" s="1" t="n">
        <f aca="false">IF(AND($K1292=1,AND(对接源_02物料!$X92="公司筐",N(对接源_02物料!$U92)&lt;&gt;0)),1,0)</f>
        <v>0</v>
      </c>
      <c r="S1292" s="1" t="n">
        <f aca="false">N(S1291)+$R1292</f>
        <v>3</v>
      </c>
      <c r="T1292" s="1" t="n">
        <f aca="false">IF(AND($K1292=1,AND(对接源_02物料!$X92="公司筐",N(对接源_02物料!$V92)&lt;&gt;0)),1,0)</f>
        <v>0</v>
      </c>
      <c r="U1292" s="1" t="n">
        <f aca="false">N(U1291)+$T1292</f>
        <v>28</v>
      </c>
      <c r="V1292" s="1" t="n">
        <f aca="false">IF(AND($L1292=1,AND(对接源_02物料!$X92="自备筐",N(对接源_02物料!$V92)&lt;&gt;0)),1,0)</f>
        <v>0</v>
      </c>
      <c r="W1292" s="1" t="n">
        <f aca="false">N(W1291)+$V1292</f>
        <v>7</v>
      </c>
      <c r="X1292" s="1" t="n">
        <f aca="false">IF(AND($L1292=1,AND(对接源_02物料!$X92="自备筐",N(对接源_02物料!$T92)&lt;&gt;0)),1,0)</f>
        <v>0</v>
      </c>
      <c r="Y1292" s="1" t="n">
        <f aca="false">N(Y1291)+$X1292</f>
        <v>0</v>
      </c>
      <c r="Z1292" s="1" t="n">
        <f aca="false">IF(AND($M1292=1,对接源_02物料!$D92="原料入库"),1,0)</f>
        <v>0</v>
      </c>
      <c r="AA1292" s="1" t="n">
        <f aca="false">N(AA1291)+$Z1292</f>
        <v>30</v>
      </c>
      <c r="AB1292" s="1" t="n">
        <f aca="false">IF(AND($M1292=1,LEFT(对接源_02物料!$D92,4)="原料出库"),1,0)</f>
        <v>0</v>
      </c>
      <c r="AC1292" s="1" t="n">
        <f aca="false">N(AC1291)+$AB1292</f>
        <v>19</v>
      </c>
      <c r="AD1292" s="1" t="n">
        <f aca="false">IF(AND($M1292=1,LEFT(对接源_02物料!$D92,4)="成品出库"),1,0)</f>
        <v>0</v>
      </c>
      <c r="AE1292" s="1" t="n">
        <f aca="false">N(AE1291)+$AD1292</f>
        <v>38</v>
      </c>
      <c r="AF1292" s="1" t="n">
        <f aca="false">IF(AND($N1292=1,AND(LEFT(对接源_02物料!$D92,4)="包装物料",N(对接源_02物料!$K92)&lt;&gt;0)),1,0)</f>
        <v>0</v>
      </c>
      <c r="AG1292" s="1" t="n">
        <f aca="false">N(AG1291)+$AF1292</f>
        <v>6</v>
      </c>
      <c r="AH1292" s="1" t="n">
        <f aca="false">IF(AND($N1292=1,AND(LEFT(对接源_02物料!$D92,3)="周转筐",N(对接源_02物料!$K92)&lt;&gt;0)),1,0)</f>
        <v>0</v>
      </c>
      <c r="AI1292" s="1" t="n">
        <f aca="false">N(AI1291)+$AH1292</f>
        <v>0</v>
      </c>
      <c r="AJ1292" s="1" t="n">
        <v>0</v>
      </c>
      <c r="AK1292" s="1" t="n">
        <f aca="false">N(AK1291)+$AJ1292</f>
        <v>3672</v>
      </c>
    </row>
    <row r="1293" customFormat="false" ht="13.5" hidden="false" customHeight="false" outlineLevel="0" collapsed="false">
      <c r="A1293" s="1" t="str">
        <f aca="false">IF(对接源_02物料!$C93="","",对接源_02物料!$C93)</f>
        <v>马锦祥</v>
      </c>
      <c r="B1293" s="1" t="n">
        <f aca="false">IF(A1293="",0,IF(MATCH(A1293,$A$4:$A$2403,0)=ROW()-3,1,0))</f>
        <v>0</v>
      </c>
      <c r="C1293" s="1" t="n">
        <f aca="false">N(C1292)+B1293</f>
        <v>17</v>
      </c>
      <c r="K1293" s="1" t="n">
        <f aca="false">IF(OR($K$1="",对接源_02物料!$C93="",对接源_02物料!$C93&lt;&gt;$K$1,对接源_02物料!$B93=""),0,IF(OR(N(对接源_02物料!$B93)&lt;$K$2,N(对接源_02物料!$B93)&gt;$K$3),0,1))</f>
        <v>0</v>
      </c>
      <c r="L1293" s="1" t="n">
        <f aca="false">IF(OR($L$1="",对接源_02物料!$C93="",对接源_02物料!$C93&lt;&gt;$L$1,对接源_02物料!$B93=""),0,IF(OR(N(对接源_02物料!$B93)&lt;$L$2,N(对接源_02物料!$B93)&gt;$L$3),0,1))</f>
        <v>0</v>
      </c>
      <c r="M1293" s="1" t="n">
        <f aca="false">IF(OR($M$1="",对接源_02物料!$C93="",对接源_02物料!$C93&lt;&gt;$M$1,对接源_02物料!$B93=""),0,IF(OR(N(对接源_02物料!$B93)&lt;$M$2,N(对接源_02物料!$B93)&gt;$M$3),0,1))</f>
        <v>0</v>
      </c>
      <c r="N1293" s="1" t="n">
        <f aca="false">IF(OR($N$1="",对接源_02物料!$C93="",对接源_02物料!$C93&lt;&gt;$N$1,对接源_02物料!$B93=""),0,IF(OR(N(对接源_02物料!$B93)&lt;$N$2,N(对接源_02物料!$B93)&gt;$N$3),0,1))</f>
        <v>0</v>
      </c>
      <c r="P1293" s="1" t="n">
        <f aca="false">IF(AND($K1293=1,AND(对接源_02物料!$X93="公司筐",N(对接源_02物料!$T93)&lt;&gt;0)),1,0)</f>
        <v>0</v>
      </c>
      <c r="Q1293" s="1" t="n">
        <f aca="false">N(Q1292)+$P1293</f>
        <v>9</v>
      </c>
      <c r="R1293" s="1" t="n">
        <f aca="false">IF(AND($K1293=1,AND(对接源_02物料!$X93="公司筐",N(对接源_02物料!$U93)&lt;&gt;0)),1,0)</f>
        <v>0</v>
      </c>
      <c r="S1293" s="1" t="n">
        <f aca="false">N(S1292)+$R1293</f>
        <v>3</v>
      </c>
      <c r="T1293" s="1" t="n">
        <f aca="false">IF(AND($K1293=1,AND(对接源_02物料!$X93="公司筐",N(对接源_02物料!$V93)&lt;&gt;0)),1,0)</f>
        <v>0</v>
      </c>
      <c r="U1293" s="1" t="n">
        <f aca="false">N(U1292)+$T1293</f>
        <v>28</v>
      </c>
      <c r="V1293" s="1" t="n">
        <f aca="false">IF(AND($L1293=1,AND(对接源_02物料!$X93="自备筐",N(对接源_02物料!$V93)&lt;&gt;0)),1,0)</f>
        <v>0</v>
      </c>
      <c r="W1293" s="1" t="n">
        <f aca="false">N(W1292)+$V1293</f>
        <v>7</v>
      </c>
      <c r="X1293" s="1" t="n">
        <f aca="false">IF(AND($L1293=1,AND(对接源_02物料!$X93="自备筐",N(对接源_02物料!$T93)&lt;&gt;0)),1,0)</f>
        <v>0</v>
      </c>
      <c r="Y1293" s="1" t="n">
        <f aca="false">N(Y1292)+$X1293</f>
        <v>0</v>
      </c>
      <c r="Z1293" s="1" t="n">
        <f aca="false">IF(AND($M1293=1,对接源_02物料!$D93="原料入库"),1,0)</f>
        <v>0</v>
      </c>
      <c r="AA1293" s="1" t="n">
        <f aca="false">N(AA1292)+$Z1293</f>
        <v>30</v>
      </c>
      <c r="AB1293" s="1" t="n">
        <f aca="false">IF(AND($M1293=1,LEFT(对接源_02物料!$D93,4)="原料出库"),1,0)</f>
        <v>0</v>
      </c>
      <c r="AC1293" s="1" t="n">
        <f aca="false">N(AC1292)+$AB1293</f>
        <v>19</v>
      </c>
      <c r="AD1293" s="1" t="n">
        <f aca="false">IF(AND($M1293=1,LEFT(对接源_02物料!$D93,4)="成品出库"),1,0)</f>
        <v>0</v>
      </c>
      <c r="AE1293" s="1" t="n">
        <f aca="false">N(AE1292)+$AD1293</f>
        <v>38</v>
      </c>
      <c r="AF1293" s="1" t="n">
        <f aca="false">IF(AND($N1293=1,AND(LEFT(对接源_02物料!$D93,4)="包装物料",N(对接源_02物料!$K93)&lt;&gt;0)),1,0)</f>
        <v>0</v>
      </c>
      <c r="AG1293" s="1" t="n">
        <f aca="false">N(AG1292)+$AF1293</f>
        <v>6</v>
      </c>
      <c r="AH1293" s="1" t="n">
        <f aca="false">IF(AND($N1293=1,AND(LEFT(对接源_02物料!$D93,3)="周转筐",N(对接源_02物料!$K93)&lt;&gt;0)),1,0)</f>
        <v>0</v>
      </c>
      <c r="AI1293" s="1" t="n">
        <f aca="false">N(AI1292)+$AH1293</f>
        <v>0</v>
      </c>
      <c r="AJ1293" s="1" t="n">
        <v>0</v>
      </c>
      <c r="AK1293" s="1" t="n">
        <f aca="false">N(AK1292)+$AJ1293</f>
        <v>3672</v>
      </c>
    </row>
    <row r="1294" customFormat="false" ht="13.5" hidden="false" customHeight="false" outlineLevel="0" collapsed="false">
      <c r="A1294" s="1" t="str">
        <f aca="false">IF(对接源_02物料!$C94="","",对接源_02物料!$C94)</f>
        <v>王照雪</v>
      </c>
      <c r="B1294" s="1" t="n">
        <f aca="false">IF(A1294="",0,IF(MATCH(A1294,$A$4:$A$2403,0)=ROW()-3,1,0))</f>
        <v>0</v>
      </c>
      <c r="C1294" s="1" t="n">
        <f aca="false">N(C1293)+B1294</f>
        <v>17</v>
      </c>
      <c r="K1294" s="1" t="n">
        <f aca="false">IF(OR($K$1="",对接源_02物料!$C94="",对接源_02物料!$C94&lt;&gt;$K$1,对接源_02物料!$B94=""),0,IF(OR(N(对接源_02物料!$B94)&lt;$K$2,N(对接源_02物料!$B94)&gt;$K$3),0,1))</f>
        <v>1</v>
      </c>
      <c r="L1294" s="1" t="n">
        <f aca="false">IF(OR($L$1="",对接源_02物料!$C94="",对接源_02物料!$C94&lt;&gt;$L$1,对接源_02物料!$B94=""),0,IF(OR(N(对接源_02物料!$B94)&lt;$L$2,N(对接源_02物料!$B94)&gt;$L$3),0,1))</f>
        <v>0</v>
      </c>
      <c r="M1294" s="1" t="n">
        <f aca="false">IF(OR($M$1="",对接源_02物料!$C94="",对接源_02物料!$C94&lt;&gt;$M$1,对接源_02物料!$B94=""),0,IF(OR(N(对接源_02物料!$B94)&lt;$M$2,N(对接源_02物料!$B94)&gt;$M$3),0,1))</f>
        <v>1</v>
      </c>
      <c r="N1294" s="1" t="n">
        <f aca="false">IF(OR($N$1="",对接源_02物料!$C94="",对接源_02物料!$C94&lt;&gt;$N$1,对接源_02物料!$B94=""),0,IF(OR(N(对接源_02物料!$B94)&lt;$N$2,N(对接源_02物料!$B94)&gt;$N$3),0,1))</f>
        <v>0</v>
      </c>
      <c r="P1294" s="1" t="n">
        <f aca="false">IF(AND($K1294=1,AND(对接源_02物料!$X94="公司筐",N(对接源_02物料!$T94)&lt;&gt;0)),1,0)</f>
        <v>1</v>
      </c>
      <c r="Q1294" s="1" t="n">
        <f aca="false">N(Q1293)+$P1294</f>
        <v>10</v>
      </c>
      <c r="R1294" s="1" t="n">
        <f aca="false">IF(AND($K1294=1,AND(对接源_02物料!$X94="公司筐",N(对接源_02物料!$U94)&lt;&gt;0)),1,0)</f>
        <v>0</v>
      </c>
      <c r="S1294" s="1" t="n">
        <f aca="false">N(S1293)+$R1294</f>
        <v>3</v>
      </c>
      <c r="T1294" s="1" t="n">
        <f aca="false">IF(AND($K1294=1,AND(对接源_02物料!$X94="公司筐",N(对接源_02物料!$V94)&lt;&gt;0)),1,0)</f>
        <v>0</v>
      </c>
      <c r="U1294" s="1" t="n">
        <f aca="false">N(U1293)+$T1294</f>
        <v>28</v>
      </c>
      <c r="V1294" s="1" t="n">
        <f aca="false">IF(AND($L1294=1,AND(对接源_02物料!$X94="自备筐",N(对接源_02物料!$V94)&lt;&gt;0)),1,0)</f>
        <v>0</v>
      </c>
      <c r="W1294" s="1" t="n">
        <f aca="false">N(W1293)+$V1294</f>
        <v>7</v>
      </c>
      <c r="X1294" s="1" t="n">
        <f aca="false">IF(AND($L1294=1,AND(对接源_02物料!$X94="自备筐",N(对接源_02物料!$T94)&lt;&gt;0)),1,0)</f>
        <v>0</v>
      </c>
      <c r="Y1294" s="1" t="n">
        <f aca="false">N(Y1293)+$X1294</f>
        <v>0</v>
      </c>
      <c r="Z1294" s="1" t="n">
        <f aca="false">IF(AND($M1294=1,对接源_02物料!$D94="原料入库"),1,0)</f>
        <v>0</v>
      </c>
      <c r="AA1294" s="1" t="n">
        <f aca="false">N(AA1293)+$Z1294</f>
        <v>30</v>
      </c>
      <c r="AB1294" s="1" t="n">
        <f aca="false">IF(AND($M1294=1,LEFT(对接源_02物料!$D94,4)="原料出库"),1,0)</f>
        <v>0</v>
      </c>
      <c r="AC1294" s="1" t="n">
        <f aca="false">N(AC1293)+$AB1294</f>
        <v>19</v>
      </c>
      <c r="AD1294" s="1" t="n">
        <f aca="false">IF(AND($M1294=1,LEFT(对接源_02物料!$D94,4)="成品出库"),1,0)</f>
        <v>0</v>
      </c>
      <c r="AE1294" s="1" t="n">
        <f aca="false">N(AE1293)+$AD1294</f>
        <v>38</v>
      </c>
      <c r="AF1294" s="1" t="n">
        <f aca="false">IF(AND($N1294=1,AND(LEFT(对接源_02物料!$D94,4)="包装物料",N(对接源_02物料!$K94)&lt;&gt;0)),1,0)</f>
        <v>0</v>
      </c>
      <c r="AG1294" s="1" t="n">
        <f aca="false">N(AG1293)+$AF1294</f>
        <v>6</v>
      </c>
      <c r="AH1294" s="1" t="n">
        <f aca="false">IF(AND($N1294=1,AND(LEFT(对接源_02物料!$D94,3)="周转筐",N(对接源_02物料!$K94)&lt;&gt;0)),1,0)</f>
        <v>0</v>
      </c>
      <c r="AI1294" s="1" t="n">
        <f aca="false">N(AI1293)+$AH1294</f>
        <v>0</v>
      </c>
      <c r="AJ1294" s="1" t="n">
        <v>0</v>
      </c>
      <c r="AK1294" s="1" t="n">
        <f aca="false">N(AK1293)+$AJ1294</f>
        <v>3672</v>
      </c>
    </row>
    <row r="1295" customFormat="false" ht="13.5" hidden="false" customHeight="false" outlineLevel="0" collapsed="false">
      <c r="A1295" s="1" t="str">
        <f aca="false">IF(对接源_02物料!$C95="","",对接源_02物料!$C95)</f>
        <v>王照雪</v>
      </c>
      <c r="B1295" s="1" t="n">
        <f aca="false">IF(A1295="",0,IF(MATCH(A1295,$A$4:$A$2403,0)=ROW()-3,1,0))</f>
        <v>0</v>
      </c>
      <c r="C1295" s="1" t="n">
        <f aca="false">N(C1294)+B1295</f>
        <v>17</v>
      </c>
      <c r="K1295" s="1" t="n">
        <f aca="false">IF(OR($K$1="",对接源_02物料!$C95="",对接源_02物料!$C95&lt;&gt;$K$1,对接源_02物料!$B95=""),0,IF(OR(N(对接源_02物料!$B95)&lt;$K$2,N(对接源_02物料!$B95)&gt;$K$3),0,1))</f>
        <v>1</v>
      </c>
      <c r="L1295" s="1" t="n">
        <f aca="false">IF(OR($L$1="",对接源_02物料!$C95="",对接源_02物料!$C95&lt;&gt;$L$1,对接源_02物料!$B95=""),0,IF(OR(N(对接源_02物料!$B95)&lt;$L$2,N(对接源_02物料!$B95)&gt;$L$3),0,1))</f>
        <v>0</v>
      </c>
      <c r="M1295" s="1" t="n">
        <f aca="false">IF(OR($M$1="",对接源_02物料!$C95="",对接源_02物料!$C95&lt;&gt;$M$1,对接源_02物料!$B95=""),0,IF(OR(N(对接源_02物料!$B95)&lt;$M$2,N(对接源_02物料!$B95)&gt;$M$3),0,1))</f>
        <v>1</v>
      </c>
      <c r="N1295" s="1" t="n">
        <f aca="false">IF(OR($N$1="",对接源_02物料!$C95="",对接源_02物料!$C95&lt;&gt;$N$1,对接源_02物料!$B95=""),0,IF(OR(N(对接源_02物料!$B95)&lt;$N$2,N(对接源_02物料!$B95)&gt;$N$3),0,1))</f>
        <v>0</v>
      </c>
      <c r="P1295" s="1" t="n">
        <f aca="false">IF(AND($K1295=1,AND(对接源_02物料!$X95="公司筐",N(对接源_02物料!$T95)&lt;&gt;0)),1,0)</f>
        <v>1</v>
      </c>
      <c r="Q1295" s="1" t="n">
        <f aca="false">N(Q1294)+$P1295</f>
        <v>11</v>
      </c>
      <c r="R1295" s="1" t="n">
        <f aca="false">IF(AND($K1295=1,AND(对接源_02物料!$X95="公司筐",N(对接源_02物料!$U95)&lt;&gt;0)),1,0)</f>
        <v>0</v>
      </c>
      <c r="S1295" s="1" t="n">
        <f aca="false">N(S1294)+$R1295</f>
        <v>3</v>
      </c>
      <c r="T1295" s="1" t="n">
        <f aca="false">IF(AND($K1295=1,AND(对接源_02物料!$X95="公司筐",N(对接源_02物料!$V95)&lt;&gt;0)),1,0)</f>
        <v>0</v>
      </c>
      <c r="U1295" s="1" t="n">
        <f aca="false">N(U1294)+$T1295</f>
        <v>28</v>
      </c>
      <c r="V1295" s="1" t="n">
        <f aca="false">IF(AND($L1295=1,AND(对接源_02物料!$X95="自备筐",N(对接源_02物料!$V95)&lt;&gt;0)),1,0)</f>
        <v>0</v>
      </c>
      <c r="W1295" s="1" t="n">
        <f aca="false">N(W1294)+$V1295</f>
        <v>7</v>
      </c>
      <c r="X1295" s="1" t="n">
        <f aca="false">IF(AND($L1295=1,AND(对接源_02物料!$X95="自备筐",N(对接源_02物料!$T95)&lt;&gt;0)),1,0)</f>
        <v>0</v>
      </c>
      <c r="Y1295" s="1" t="n">
        <f aca="false">N(Y1294)+$X1295</f>
        <v>0</v>
      </c>
      <c r="Z1295" s="1" t="n">
        <f aca="false">IF(AND($M1295=1,对接源_02物料!$D95="原料入库"),1,0)</f>
        <v>0</v>
      </c>
      <c r="AA1295" s="1" t="n">
        <f aca="false">N(AA1294)+$Z1295</f>
        <v>30</v>
      </c>
      <c r="AB1295" s="1" t="n">
        <f aca="false">IF(AND($M1295=1,LEFT(对接源_02物料!$D95,4)="原料出库"),1,0)</f>
        <v>0</v>
      </c>
      <c r="AC1295" s="1" t="n">
        <f aca="false">N(AC1294)+$AB1295</f>
        <v>19</v>
      </c>
      <c r="AD1295" s="1" t="n">
        <f aca="false">IF(AND($M1295=1,LEFT(对接源_02物料!$D95,4)="成品出库"),1,0)</f>
        <v>0</v>
      </c>
      <c r="AE1295" s="1" t="n">
        <f aca="false">N(AE1294)+$AD1295</f>
        <v>38</v>
      </c>
      <c r="AF1295" s="1" t="n">
        <f aca="false">IF(AND($N1295=1,AND(LEFT(对接源_02物料!$D95,4)="包装物料",N(对接源_02物料!$K95)&lt;&gt;0)),1,0)</f>
        <v>0</v>
      </c>
      <c r="AG1295" s="1" t="n">
        <f aca="false">N(AG1294)+$AF1295</f>
        <v>6</v>
      </c>
      <c r="AH1295" s="1" t="n">
        <f aca="false">IF(AND($N1295=1,AND(LEFT(对接源_02物料!$D95,3)="周转筐",N(对接源_02物料!$K95)&lt;&gt;0)),1,0)</f>
        <v>0</v>
      </c>
      <c r="AI1295" s="1" t="n">
        <f aca="false">N(AI1294)+$AH1295</f>
        <v>0</v>
      </c>
      <c r="AJ1295" s="1" t="n">
        <v>0</v>
      </c>
      <c r="AK1295" s="1" t="n">
        <f aca="false">N(AK1294)+$AJ1295</f>
        <v>3672</v>
      </c>
    </row>
    <row r="1296" customFormat="false" ht="13.5" hidden="false" customHeight="false" outlineLevel="0" collapsed="false">
      <c r="A1296" s="1" t="str">
        <f aca="false">IF(对接源_02物料!$C96="","",对接源_02物料!$C96)</f>
        <v>努尔敦</v>
      </c>
      <c r="B1296" s="1" t="n">
        <f aca="false">IF(A1296="",0,IF(MATCH(A1296,$A$4:$A$2403,0)=ROW()-3,1,0))</f>
        <v>0</v>
      </c>
      <c r="C1296" s="1" t="n">
        <f aca="false">N(C1295)+B1296</f>
        <v>17</v>
      </c>
      <c r="K1296" s="1" t="n">
        <f aca="false">IF(OR($K$1="",对接源_02物料!$C96="",对接源_02物料!$C96&lt;&gt;$K$1,对接源_02物料!$B96=""),0,IF(OR(N(对接源_02物料!$B96)&lt;$K$2,N(对接源_02物料!$B96)&gt;$K$3),0,1))</f>
        <v>0</v>
      </c>
      <c r="L1296" s="1" t="n">
        <f aca="false">IF(OR($L$1="",对接源_02物料!$C96="",对接源_02物料!$C96&lt;&gt;$L$1,对接源_02物料!$B96=""),0,IF(OR(N(对接源_02物料!$B96)&lt;$L$2,N(对接源_02物料!$B96)&gt;$L$3),0,1))</f>
        <v>0</v>
      </c>
      <c r="M1296" s="1" t="n">
        <f aca="false">IF(OR($M$1="",对接源_02物料!$C96="",对接源_02物料!$C96&lt;&gt;$M$1,对接源_02物料!$B96=""),0,IF(OR(N(对接源_02物料!$B96)&lt;$M$2,N(对接源_02物料!$B96)&gt;$M$3),0,1))</f>
        <v>0</v>
      </c>
      <c r="N1296" s="1" t="n">
        <f aca="false">IF(OR($N$1="",对接源_02物料!$C96="",对接源_02物料!$C96&lt;&gt;$N$1,对接源_02物料!$B96=""),0,IF(OR(N(对接源_02物料!$B96)&lt;$N$2,N(对接源_02物料!$B96)&gt;$N$3),0,1))</f>
        <v>0</v>
      </c>
      <c r="P1296" s="1" t="n">
        <f aca="false">IF(AND($K1296=1,AND(对接源_02物料!$X96="公司筐",N(对接源_02物料!$T96)&lt;&gt;0)),1,0)</f>
        <v>0</v>
      </c>
      <c r="Q1296" s="1" t="n">
        <f aca="false">N(Q1295)+$P1296</f>
        <v>11</v>
      </c>
      <c r="R1296" s="1" t="n">
        <f aca="false">IF(AND($K1296=1,AND(对接源_02物料!$X96="公司筐",N(对接源_02物料!$U96)&lt;&gt;0)),1,0)</f>
        <v>0</v>
      </c>
      <c r="S1296" s="1" t="n">
        <f aca="false">N(S1295)+$R1296</f>
        <v>3</v>
      </c>
      <c r="T1296" s="1" t="n">
        <f aca="false">IF(AND($K1296=1,AND(对接源_02物料!$X96="公司筐",N(对接源_02物料!$V96)&lt;&gt;0)),1,0)</f>
        <v>0</v>
      </c>
      <c r="U1296" s="1" t="n">
        <f aca="false">N(U1295)+$T1296</f>
        <v>28</v>
      </c>
      <c r="V1296" s="1" t="n">
        <f aca="false">IF(AND($L1296=1,AND(对接源_02物料!$X96="自备筐",N(对接源_02物料!$V96)&lt;&gt;0)),1,0)</f>
        <v>0</v>
      </c>
      <c r="W1296" s="1" t="n">
        <f aca="false">N(W1295)+$V1296</f>
        <v>7</v>
      </c>
      <c r="X1296" s="1" t="n">
        <f aca="false">IF(AND($L1296=1,AND(对接源_02物料!$X96="自备筐",N(对接源_02物料!$T96)&lt;&gt;0)),1,0)</f>
        <v>0</v>
      </c>
      <c r="Y1296" s="1" t="n">
        <f aca="false">N(Y1295)+$X1296</f>
        <v>0</v>
      </c>
      <c r="Z1296" s="1" t="n">
        <f aca="false">IF(AND($M1296=1,对接源_02物料!$D96="原料入库"),1,0)</f>
        <v>0</v>
      </c>
      <c r="AA1296" s="1" t="n">
        <f aca="false">N(AA1295)+$Z1296</f>
        <v>30</v>
      </c>
      <c r="AB1296" s="1" t="n">
        <f aca="false">IF(AND($M1296=1,LEFT(对接源_02物料!$D96,4)="原料出库"),1,0)</f>
        <v>0</v>
      </c>
      <c r="AC1296" s="1" t="n">
        <f aca="false">N(AC1295)+$AB1296</f>
        <v>19</v>
      </c>
      <c r="AD1296" s="1" t="n">
        <f aca="false">IF(AND($M1296=1,LEFT(对接源_02物料!$D96,4)="成品出库"),1,0)</f>
        <v>0</v>
      </c>
      <c r="AE1296" s="1" t="n">
        <f aca="false">N(AE1295)+$AD1296</f>
        <v>38</v>
      </c>
      <c r="AF1296" s="1" t="n">
        <f aca="false">IF(AND($N1296=1,AND(LEFT(对接源_02物料!$D96,4)="包装物料",N(对接源_02物料!$K96)&lt;&gt;0)),1,0)</f>
        <v>0</v>
      </c>
      <c r="AG1296" s="1" t="n">
        <f aca="false">N(AG1295)+$AF1296</f>
        <v>6</v>
      </c>
      <c r="AH1296" s="1" t="n">
        <f aca="false">IF(AND($N1296=1,AND(LEFT(对接源_02物料!$D96,3)="周转筐",N(对接源_02物料!$K96)&lt;&gt;0)),1,0)</f>
        <v>0</v>
      </c>
      <c r="AI1296" s="1" t="n">
        <f aca="false">N(AI1295)+$AH1296</f>
        <v>0</v>
      </c>
      <c r="AJ1296" s="1" t="n">
        <v>0</v>
      </c>
      <c r="AK1296" s="1" t="n">
        <f aca="false">N(AK1295)+$AJ1296</f>
        <v>3672</v>
      </c>
    </row>
    <row r="1297" customFormat="false" ht="13.5" hidden="false" customHeight="false" outlineLevel="0" collapsed="false">
      <c r="A1297" s="1" t="str">
        <f aca="false">IF(对接源_02物料!$C97="","",对接源_02物料!$C97)</f>
        <v>全修塑业</v>
      </c>
      <c r="B1297" s="1" t="n">
        <f aca="false">IF(A1297="",0,IF(MATCH(A1297,$A$4:$A$2403,0)=ROW()-3,1,0))</f>
        <v>0</v>
      </c>
      <c r="C1297" s="1" t="n">
        <f aca="false">N(C1296)+B1297</f>
        <v>17</v>
      </c>
      <c r="K1297" s="1" t="n">
        <f aca="false">IF(OR($K$1="",对接源_02物料!$C97="",对接源_02物料!$C97&lt;&gt;$K$1,对接源_02物料!$B97=""),0,IF(OR(N(对接源_02物料!$B97)&lt;$K$2,N(对接源_02物料!$B97)&gt;$K$3),0,1))</f>
        <v>0</v>
      </c>
      <c r="L1297" s="1" t="n">
        <f aca="false">IF(OR($L$1="",对接源_02物料!$C97="",对接源_02物料!$C97&lt;&gt;$L$1,对接源_02物料!$B97=""),0,IF(OR(N(对接源_02物料!$B97)&lt;$L$2,N(对接源_02物料!$B97)&gt;$L$3),0,1))</f>
        <v>0</v>
      </c>
      <c r="M1297" s="1" t="n">
        <f aca="false">IF(OR($M$1="",对接源_02物料!$C97="",对接源_02物料!$C97&lt;&gt;$M$1,对接源_02物料!$B97=""),0,IF(OR(N(对接源_02物料!$B97)&lt;$M$2,N(对接源_02物料!$B97)&gt;$M$3),0,1))</f>
        <v>0</v>
      </c>
      <c r="N1297" s="1" t="n">
        <f aca="false">IF(OR($N$1="",对接源_02物料!$C97="",对接源_02物料!$C97&lt;&gt;$N$1,对接源_02物料!$B97=""),0,IF(OR(N(对接源_02物料!$B97)&lt;$N$2,N(对接源_02物料!$B97)&gt;$N$3),0,1))</f>
        <v>0</v>
      </c>
      <c r="P1297" s="1" t="n">
        <f aca="false">IF(AND($K1297=1,AND(对接源_02物料!$X97="公司筐",N(对接源_02物料!$T97)&lt;&gt;0)),1,0)</f>
        <v>0</v>
      </c>
      <c r="Q1297" s="1" t="n">
        <f aca="false">N(Q1296)+$P1297</f>
        <v>11</v>
      </c>
      <c r="R1297" s="1" t="n">
        <f aca="false">IF(AND($K1297=1,AND(对接源_02物料!$X97="公司筐",N(对接源_02物料!$U97)&lt;&gt;0)),1,0)</f>
        <v>0</v>
      </c>
      <c r="S1297" s="1" t="n">
        <f aca="false">N(S1296)+$R1297</f>
        <v>3</v>
      </c>
      <c r="T1297" s="1" t="n">
        <f aca="false">IF(AND($K1297=1,AND(对接源_02物料!$X97="公司筐",N(对接源_02物料!$V97)&lt;&gt;0)),1,0)</f>
        <v>0</v>
      </c>
      <c r="U1297" s="1" t="n">
        <f aca="false">N(U1296)+$T1297</f>
        <v>28</v>
      </c>
      <c r="V1297" s="1" t="n">
        <f aca="false">IF(AND($L1297=1,AND(对接源_02物料!$X97="自备筐",N(对接源_02物料!$V97)&lt;&gt;0)),1,0)</f>
        <v>0</v>
      </c>
      <c r="W1297" s="1" t="n">
        <f aca="false">N(W1296)+$V1297</f>
        <v>7</v>
      </c>
      <c r="X1297" s="1" t="n">
        <f aca="false">IF(AND($L1297=1,AND(对接源_02物料!$X97="自备筐",N(对接源_02物料!$T97)&lt;&gt;0)),1,0)</f>
        <v>0</v>
      </c>
      <c r="Y1297" s="1" t="n">
        <f aca="false">N(Y1296)+$X1297</f>
        <v>0</v>
      </c>
      <c r="Z1297" s="1" t="n">
        <f aca="false">IF(AND($M1297=1,对接源_02物料!$D97="原料入库"),1,0)</f>
        <v>0</v>
      </c>
      <c r="AA1297" s="1" t="n">
        <f aca="false">N(AA1296)+$Z1297</f>
        <v>30</v>
      </c>
      <c r="AB1297" s="1" t="n">
        <f aca="false">IF(AND($M1297=1,LEFT(对接源_02物料!$D97,4)="原料出库"),1,0)</f>
        <v>0</v>
      </c>
      <c r="AC1297" s="1" t="n">
        <f aca="false">N(AC1296)+$AB1297</f>
        <v>19</v>
      </c>
      <c r="AD1297" s="1" t="n">
        <f aca="false">IF(AND($M1297=1,LEFT(对接源_02物料!$D97,4)="成品出库"),1,0)</f>
        <v>0</v>
      </c>
      <c r="AE1297" s="1" t="n">
        <f aca="false">N(AE1296)+$AD1297</f>
        <v>38</v>
      </c>
      <c r="AF1297" s="1" t="n">
        <f aca="false">IF(AND($N1297=1,AND(LEFT(对接源_02物料!$D97,4)="包装物料",N(对接源_02物料!$K97)&lt;&gt;0)),1,0)</f>
        <v>0</v>
      </c>
      <c r="AG1297" s="1" t="n">
        <f aca="false">N(AG1296)+$AF1297</f>
        <v>6</v>
      </c>
      <c r="AH1297" s="1" t="n">
        <f aca="false">IF(AND($N1297=1,AND(LEFT(对接源_02物料!$D97,3)="周转筐",N(对接源_02物料!$K97)&lt;&gt;0)),1,0)</f>
        <v>0</v>
      </c>
      <c r="AI1297" s="1" t="n">
        <f aca="false">N(AI1296)+$AH1297</f>
        <v>0</v>
      </c>
      <c r="AJ1297" s="1" t="n">
        <v>0</v>
      </c>
      <c r="AK1297" s="1" t="n">
        <f aca="false">N(AK1296)+$AJ1297</f>
        <v>3672</v>
      </c>
    </row>
    <row r="1298" customFormat="false" ht="13.5" hidden="false" customHeight="false" outlineLevel="0" collapsed="false">
      <c r="A1298" s="1" t="str">
        <f aca="false">IF(对接源_02物料!$C98="","",对接源_02物料!$C98)</f>
        <v>热合曼</v>
      </c>
      <c r="B1298" s="1" t="n">
        <f aca="false">IF(A1298="",0,IF(MATCH(A1298,$A$4:$A$2403,0)=ROW()-3,1,0))</f>
        <v>0</v>
      </c>
      <c r="C1298" s="1" t="n">
        <f aca="false">N(C1297)+B1298</f>
        <v>17</v>
      </c>
      <c r="K1298" s="1" t="n">
        <f aca="false">IF(OR($K$1="",对接源_02物料!$C98="",对接源_02物料!$C98&lt;&gt;$K$1,对接源_02物料!$B98=""),0,IF(OR(N(对接源_02物料!$B98)&lt;$K$2,N(对接源_02物料!$B98)&gt;$K$3),0,1))</f>
        <v>0</v>
      </c>
      <c r="L1298" s="1" t="n">
        <f aca="false">IF(OR($L$1="",对接源_02物料!$C98="",对接源_02物料!$C98&lt;&gt;$L$1,对接源_02物料!$B98=""),0,IF(OR(N(对接源_02物料!$B98)&lt;$L$2,N(对接源_02物料!$B98)&gt;$L$3),0,1))</f>
        <v>0</v>
      </c>
      <c r="M1298" s="1" t="n">
        <f aca="false">IF(OR($M$1="",对接源_02物料!$C98="",对接源_02物料!$C98&lt;&gt;$M$1,对接源_02物料!$B98=""),0,IF(OR(N(对接源_02物料!$B98)&lt;$M$2,N(对接源_02物料!$B98)&gt;$M$3),0,1))</f>
        <v>0</v>
      </c>
      <c r="N1298" s="1" t="n">
        <f aca="false">IF(OR($N$1="",对接源_02物料!$C98="",对接源_02物料!$C98&lt;&gt;$N$1,对接源_02物料!$B98=""),0,IF(OR(N(对接源_02物料!$B98)&lt;$N$2,N(对接源_02物料!$B98)&gt;$N$3),0,1))</f>
        <v>0</v>
      </c>
      <c r="P1298" s="1" t="n">
        <f aca="false">IF(AND($K1298=1,AND(对接源_02物料!$X98="公司筐",N(对接源_02物料!$T98)&lt;&gt;0)),1,0)</f>
        <v>0</v>
      </c>
      <c r="Q1298" s="1" t="n">
        <f aca="false">N(Q1297)+$P1298</f>
        <v>11</v>
      </c>
      <c r="R1298" s="1" t="n">
        <f aca="false">IF(AND($K1298=1,AND(对接源_02物料!$X98="公司筐",N(对接源_02物料!$U98)&lt;&gt;0)),1,0)</f>
        <v>0</v>
      </c>
      <c r="S1298" s="1" t="n">
        <f aca="false">N(S1297)+$R1298</f>
        <v>3</v>
      </c>
      <c r="T1298" s="1" t="n">
        <f aca="false">IF(AND($K1298=1,AND(对接源_02物料!$X98="公司筐",N(对接源_02物料!$V98)&lt;&gt;0)),1,0)</f>
        <v>0</v>
      </c>
      <c r="U1298" s="1" t="n">
        <f aca="false">N(U1297)+$T1298</f>
        <v>28</v>
      </c>
      <c r="V1298" s="1" t="n">
        <f aca="false">IF(AND($L1298=1,AND(对接源_02物料!$X98="自备筐",N(对接源_02物料!$V98)&lt;&gt;0)),1,0)</f>
        <v>0</v>
      </c>
      <c r="W1298" s="1" t="n">
        <f aca="false">N(W1297)+$V1298</f>
        <v>7</v>
      </c>
      <c r="X1298" s="1" t="n">
        <f aca="false">IF(AND($L1298=1,AND(对接源_02物料!$X98="自备筐",N(对接源_02物料!$T98)&lt;&gt;0)),1,0)</f>
        <v>0</v>
      </c>
      <c r="Y1298" s="1" t="n">
        <f aca="false">N(Y1297)+$X1298</f>
        <v>0</v>
      </c>
      <c r="Z1298" s="1" t="n">
        <f aca="false">IF(AND($M1298=1,对接源_02物料!$D98="原料入库"),1,0)</f>
        <v>0</v>
      </c>
      <c r="AA1298" s="1" t="n">
        <f aca="false">N(AA1297)+$Z1298</f>
        <v>30</v>
      </c>
      <c r="AB1298" s="1" t="n">
        <f aca="false">IF(AND($M1298=1,LEFT(对接源_02物料!$D98,4)="原料出库"),1,0)</f>
        <v>0</v>
      </c>
      <c r="AC1298" s="1" t="n">
        <f aca="false">N(AC1297)+$AB1298</f>
        <v>19</v>
      </c>
      <c r="AD1298" s="1" t="n">
        <f aca="false">IF(AND($M1298=1,LEFT(对接源_02物料!$D98,4)="成品出库"),1,0)</f>
        <v>0</v>
      </c>
      <c r="AE1298" s="1" t="n">
        <f aca="false">N(AE1297)+$AD1298</f>
        <v>38</v>
      </c>
      <c r="AF1298" s="1" t="n">
        <f aca="false">IF(AND($N1298=1,AND(LEFT(对接源_02物料!$D98,4)="包装物料",N(对接源_02物料!$K98)&lt;&gt;0)),1,0)</f>
        <v>0</v>
      </c>
      <c r="AG1298" s="1" t="n">
        <f aca="false">N(AG1297)+$AF1298</f>
        <v>6</v>
      </c>
      <c r="AH1298" s="1" t="n">
        <f aca="false">IF(AND($N1298=1,AND(LEFT(对接源_02物料!$D98,3)="周转筐",N(对接源_02物料!$K98)&lt;&gt;0)),1,0)</f>
        <v>0</v>
      </c>
      <c r="AI1298" s="1" t="n">
        <f aca="false">N(AI1297)+$AH1298</f>
        <v>0</v>
      </c>
      <c r="AJ1298" s="1" t="n">
        <v>0</v>
      </c>
      <c r="AK1298" s="1" t="n">
        <f aca="false">N(AK1297)+$AJ1298</f>
        <v>3672</v>
      </c>
    </row>
    <row r="1299" customFormat="false" ht="13.5" hidden="false" customHeight="false" outlineLevel="0" collapsed="false">
      <c r="A1299" s="1" t="str">
        <f aca="false">IF(对接源_02物料!$C99="","",对接源_02物料!$C99)</f>
        <v>全修塑业</v>
      </c>
      <c r="B1299" s="1" t="n">
        <f aca="false">IF(A1299="",0,IF(MATCH(A1299,$A$4:$A$2403,0)=ROW()-3,1,0))</f>
        <v>0</v>
      </c>
      <c r="C1299" s="1" t="n">
        <f aca="false">N(C1298)+B1299</f>
        <v>17</v>
      </c>
      <c r="K1299" s="1" t="n">
        <f aca="false">IF(OR($K$1="",对接源_02物料!$C99="",对接源_02物料!$C99&lt;&gt;$K$1,对接源_02物料!$B99=""),0,IF(OR(N(对接源_02物料!$B99)&lt;$K$2,N(对接源_02物料!$B99)&gt;$K$3),0,1))</f>
        <v>0</v>
      </c>
      <c r="L1299" s="1" t="n">
        <f aca="false">IF(OR($L$1="",对接源_02物料!$C99="",对接源_02物料!$C99&lt;&gt;$L$1,对接源_02物料!$B99=""),0,IF(OR(N(对接源_02物料!$B99)&lt;$L$2,N(对接源_02物料!$B99)&gt;$L$3),0,1))</f>
        <v>0</v>
      </c>
      <c r="M1299" s="1" t="n">
        <f aca="false">IF(OR($M$1="",对接源_02物料!$C99="",对接源_02物料!$C99&lt;&gt;$M$1,对接源_02物料!$B99=""),0,IF(OR(N(对接源_02物料!$B99)&lt;$M$2,N(对接源_02物料!$B99)&gt;$M$3),0,1))</f>
        <v>0</v>
      </c>
      <c r="N1299" s="1" t="n">
        <f aca="false">IF(OR($N$1="",对接源_02物料!$C99="",对接源_02物料!$C99&lt;&gt;$N$1,对接源_02物料!$B99=""),0,IF(OR(N(对接源_02物料!$B99)&lt;$N$2,N(对接源_02物料!$B99)&gt;$N$3),0,1))</f>
        <v>0</v>
      </c>
      <c r="P1299" s="1" t="n">
        <f aca="false">IF(AND($K1299=1,AND(对接源_02物料!$X99="公司筐",N(对接源_02物料!$T99)&lt;&gt;0)),1,0)</f>
        <v>0</v>
      </c>
      <c r="Q1299" s="1" t="n">
        <f aca="false">N(Q1298)+$P1299</f>
        <v>11</v>
      </c>
      <c r="R1299" s="1" t="n">
        <f aca="false">IF(AND($K1299=1,AND(对接源_02物料!$X99="公司筐",N(对接源_02物料!$U99)&lt;&gt;0)),1,0)</f>
        <v>0</v>
      </c>
      <c r="S1299" s="1" t="n">
        <f aca="false">N(S1298)+$R1299</f>
        <v>3</v>
      </c>
      <c r="T1299" s="1" t="n">
        <f aca="false">IF(AND($K1299=1,AND(对接源_02物料!$X99="公司筐",N(对接源_02物料!$V99)&lt;&gt;0)),1,0)</f>
        <v>0</v>
      </c>
      <c r="U1299" s="1" t="n">
        <f aca="false">N(U1298)+$T1299</f>
        <v>28</v>
      </c>
      <c r="V1299" s="1" t="n">
        <f aca="false">IF(AND($L1299=1,AND(对接源_02物料!$X99="自备筐",N(对接源_02物料!$V99)&lt;&gt;0)),1,0)</f>
        <v>0</v>
      </c>
      <c r="W1299" s="1" t="n">
        <f aca="false">N(W1298)+$V1299</f>
        <v>7</v>
      </c>
      <c r="X1299" s="1" t="n">
        <f aca="false">IF(AND($L1299=1,AND(对接源_02物料!$X99="自备筐",N(对接源_02物料!$T99)&lt;&gt;0)),1,0)</f>
        <v>0</v>
      </c>
      <c r="Y1299" s="1" t="n">
        <f aca="false">N(Y1298)+$X1299</f>
        <v>0</v>
      </c>
      <c r="Z1299" s="1" t="n">
        <f aca="false">IF(AND($M1299=1,对接源_02物料!$D99="原料入库"),1,0)</f>
        <v>0</v>
      </c>
      <c r="AA1299" s="1" t="n">
        <f aca="false">N(AA1298)+$Z1299</f>
        <v>30</v>
      </c>
      <c r="AB1299" s="1" t="n">
        <f aca="false">IF(AND($M1299=1,LEFT(对接源_02物料!$D99,4)="原料出库"),1,0)</f>
        <v>0</v>
      </c>
      <c r="AC1299" s="1" t="n">
        <f aca="false">N(AC1298)+$AB1299</f>
        <v>19</v>
      </c>
      <c r="AD1299" s="1" t="n">
        <f aca="false">IF(AND($M1299=1,LEFT(对接源_02物料!$D99,4)="成品出库"),1,0)</f>
        <v>0</v>
      </c>
      <c r="AE1299" s="1" t="n">
        <f aca="false">N(AE1298)+$AD1299</f>
        <v>38</v>
      </c>
      <c r="AF1299" s="1" t="n">
        <f aca="false">IF(AND($N1299=1,AND(LEFT(对接源_02物料!$D99,4)="包装物料",N(对接源_02物料!$K99)&lt;&gt;0)),1,0)</f>
        <v>0</v>
      </c>
      <c r="AG1299" s="1" t="n">
        <f aca="false">N(AG1298)+$AF1299</f>
        <v>6</v>
      </c>
      <c r="AH1299" s="1" t="n">
        <f aca="false">IF(AND($N1299=1,AND(LEFT(对接源_02物料!$D99,3)="周转筐",N(对接源_02物料!$K99)&lt;&gt;0)),1,0)</f>
        <v>0</v>
      </c>
      <c r="AI1299" s="1" t="n">
        <f aca="false">N(AI1298)+$AH1299</f>
        <v>0</v>
      </c>
      <c r="AJ1299" s="1" t="n">
        <v>0</v>
      </c>
      <c r="AK1299" s="1" t="n">
        <f aca="false">N(AK1298)+$AJ1299</f>
        <v>3672</v>
      </c>
    </row>
    <row r="1300" customFormat="false" ht="13.5" hidden="false" customHeight="false" outlineLevel="0" collapsed="false">
      <c r="A1300" s="1" t="str">
        <f aca="false">IF(对接源_02物料!$C100="","",对接源_02物料!$C100)</f>
        <v>吐尔洪</v>
      </c>
      <c r="B1300" s="1" t="n">
        <f aca="false">IF(A1300="",0,IF(MATCH(A1300,$A$4:$A$2403,0)=ROW()-3,1,0))</f>
        <v>0</v>
      </c>
      <c r="C1300" s="1" t="n">
        <f aca="false">N(C1299)+B1300</f>
        <v>17</v>
      </c>
      <c r="K1300" s="1" t="n">
        <f aca="false">IF(OR($K$1="",对接源_02物料!$C100="",对接源_02物料!$C100&lt;&gt;$K$1,对接源_02物料!$B100=""),0,IF(OR(N(对接源_02物料!$B100)&lt;$K$2,N(对接源_02物料!$B100)&gt;$K$3),0,1))</f>
        <v>0</v>
      </c>
      <c r="L1300" s="1" t="n">
        <f aca="false">IF(OR($L$1="",对接源_02物料!$C100="",对接源_02物料!$C100&lt;&gt;$L$1,对接源_02物料!$B100=""),0,IF(OR(N(对接源_02物料!$B100)&lt;$L$2,N(对接源_02物料!$B100)&gt;$L$3),0,1))</f>
        <v>0</v>
      </c>
      <c r="M1300" s="1" t="n">
        <f aca="false">IF(OR($M$1="",对接源_02物料!$C100="",对接源_02物料!$C100&lt;&gt;$M$1,对接源_02物料!$B100=""),0,IF(OR(N(对接源_02物料!$B100)&lt;$M$2,N(对接源_02物料!$B100)&gt;$M$3),0,1))</f>
        <v>0</v>
      </c>
      <c r="N1300" s="1" t="n">
        <f aca="false">IF(OR($N$1="",对接源_02物料!$C100="",对接源_02物料!$C100&lt;&gt;$N$1,对接源_02物料!$B100=""),0,IF(OR(N(对接源_02物料!$B100)&lt;$N$2,N(对接源_02物料!$B100)&gt;$N$3),0,1))</f>
        <v>0</v>
      </c>
      <c r="P1300" s="1" t="n">
        <f aca="false">IF(AND($K1300=1,AND(对接源_02物料!$X100="公司筐",N(对接源_02物料!$T100)&lt;&gt;0)),1,0)</f>
        <v>0</v>
      </c>
      <c r="Q1300" s="1" t="n">
        <f aca="false">N(Q1299)+$P1300</f>
        <v>11</v>
      </c>
      <c r="R1300" s="1" t="n">
        <f aca="false">IF(AND($K1300=1,AND(对接源_02物料!$X100="公司筐",N(对接源_02物料!$U100)&lt;&gt;0)),1,0)</f>
        <v>0</v>
      </c>
      <c r="S1300" s="1" t="n">
        <f aca="false">N(S1299)+$R1300</f>
        <v>3</v>
      </c>
      <c r="T1300" s="1" t="n">
        <f aca="false">IF(AND($K1300=1,AND(对接源_02物料!$X100="公司筐",N(对接源_02物料!$V100)&lt;&gt;0)),1,0)</f>
        <v>0</v>
      </c>
      <c r="U1300" s="1" t="n">
        <f aca="false">N(U1299)+$T1300</f>
        <v>28</v>
      </c>
      <c r="V1300" s="1" t="n">
        <f aca="false">IF(AND($L1300=1,AND(对接源_02物料!$X100="自备筐",N(对接源_02物料!$V100)&lt;&gt;0)),1,0)</f>
        <v>0</v>
      </c>
      <c r="W1300" s="1" t="n">
        <f aca="false">N(W1299)+$V1300</f>
        <v>7</v>
      </c>
      <c r="X1300" s="1" t="n">
        <f aca="false">IF(AND($L1300=1,AND(对接源_02物料!$X100="自备筐",N(对接源_02物料!$T100)&lt;&gt;0)),1,0)</f>
        <v>0</v>
      </c>
      <c r="Y1300" s="1" t="n">
        <f aca="false">N(Y1299)+$X1300</f>
        <v>0</v>
      </c>
      <c r="Z1300" s="1" t="n">
        <f aca="false">IF(AND($M1300=1,对接源_02物料!$D100="原料入库"),1,0)</f>
        <v>0</v>
      </c>
      <c r="AA1300" s="1" t="n">
        <f aca="false">N(AA1299)+$Z1300</f>
        <v>30</v>
      </c>
      <c r="AB1300" s="1" t="n">
        <f aca="false">IF(AND($M1300=1,LEFT(对接源_02物料!$D100,4)="原料出库"),1,0)</f>
        <v>0</v>
      </c>
      <c r="AC1300" s="1" t="n">
        <f aca="false">N(AC1299)+$AB1300</f>
        <v>19</v>
      </c>
      <c r="AD1300" s="1" t="n">
        <f aca="false">IF(AND($M1300=1,LEFT(对接源_02物料!$D100,4)="成品出库"),1,0)</f>
        <v>0</v>
      </c>
      <c r="AE1300" s="1" t="n">
        <f aca="false">N(AE1299)+$AD1300</f>
        <v>38</v>
      </c>
      <c r="AF1300" s="1" t="n">
        <f aca="false">IF(AND($N1300=1,AND(LEFT(对接源_02物料!$D100,4)="包装物料",N(对接源_02物料!$K100)&lt;&gt;0)),1,0)</f>
        <v>0</v>
      </c>
      <c r="AG1300" s="1" t="n">
        <f aca="false">N(AG1299)+$AF1300</f>
        <v>6</v>
      </c>
      <c r="AH1300" s="1" t="n">
        <f aca="false">IF(AND($N1300=1,AND(LEFT(对接源_02物料!$D100,3)="周转筐",N(对接源_02物料!$K100)&lt;&gt;0)),1,0)</f>
        <v>0</v>
      </c>
      <c r="AI1300" s="1" t="n">
        <f aca="false">N(AI1299)+$AH1300</f>
        <v>0</v>
      </c>
      <c r="AJ1300" s="1" t="n">
        <v>0</v>
      </c>
      <c r="AK1300" s="1" t="n">
        <f aca="false">N(AK1299)+$AJ1300</f>
        <v>3672</v>
      </c>
    </row>
    <row r="1301" customFormat="false" ht="13.5" hidden="false" customHeight="false" outlineLevel="0" collapsed="false">
      <c r="A1301" s="1" t="str">
        <f aca="false">IF(对接源_02物料!$C101="","",对接源_02物料!$C101)</f>
        <v>王照雪</v>
      </c>
      <c r="B1301" s="1" t="n">
        <f aca="false">IF(A1301="",0,IF(MATCH(A1301,$A$4:$A$2403,0)=ROW()-3,1,0))</f>
        <v>0</v>
      </c>
      <c r="C1301" s="1" t="n">
        <f aca="false">N(C1300)+B1301</f>
        <v>17</v>
      </c>
      <c r="K1301" s="1" t="n">
        <f aca="false">IF(OR($K$1="",对接源_02物料!$C101="",对接源_02物料!$C101&lt;&gt;$K$1,对接源_02物料!$B101=""),0,IF(OR(N(对接源_02物料!$B101)&lt;$K$2,N(对接源_02物料!$B101)&gt;$K$3),0,1))</f>
        <v>1</v>
      </c>
      <c r="L1301" s="1" t="n">
        <f aca="false">IF(OR($L$1="",对接源_02物料!$C101="",对接源_02物料!$C101&lt;&gt;$L$1,对接源_02物料!$B101=""),0,IF(OR(N(对接源_02物料!$B101)&lt;$L$2,N(对接源_02物料!$B101)&gt;$L$3),0,1))</f>
        <v>0</v>
      </c>
      <c r="M1301" s="1" t="n">
        <f aca="false">IF(OR($M$1="",对接源_02物料!$C101="",对接源_02物料!$C101&lt;&gt;$M$1,对接源_02物料!$B101=""),0,IF(OR(N(对接源_02物料!$B101)&lt;$M$2,N(对接源_02物料!$B101)&gt;$M$3),0,1))</f>
        <v>1</v>
      </c>
      <c r="N1301" s="1" t="n">
        <f aca="false">IF(OR($N$1="",对接源_02物料!$C101="",对接源_02物料!$C101&lt;&gt;$N$1,对接源_02物料!$B101=""),0,IF(OR(N(对接源_02物料!$B101)&lt;$N$2,N(对接源_02物料!$B101)&gt;$N$3),0,1))</f>
        <v>0</v>
      </c>
      <c r="P1301" s="1" t="n">
        <f aca="false">IF(AND($K1301=1,AND(对接源_02物料!$X101="公司筐",N(对接源_02物料!$T101)&lt;&gt;0)),1,0)</f>
        <v>0</v>
      </c>
      <c r="Q1301" s="1" t="n">
        <f aca="false">N(Q1300)+$P1301</f>
        <v>11</v>
      </c>
      <c r="R1301" s="1" t="n">
        <f aca="false">IF(AND($K1301=1,AND(对接源_02物料!$X101="公司筐",N(对接源_02物料!$U101)&lt;&gt;0)),1,0)</f>
        <v>1</v>
      </c>
      <c r="S1301" s="1" t="n">
        <f aca="false">N(S1300)+$R1301</f>
        <v>4</v>
      </c>
      <c r="T1301" s="1" t="n">
        <f aca="false">IF(AND($K1301=1,AND(对接源_02物料!$X101="公司筐",N(对接源_02物料!$V101)&lt;&gt;0)),1,0)</f>
        <v>0</v>
      </c>
      <c r="U1301" s="1" t="n">
        <f aca="false">N(U1300)+$T1301</f>
        <v>28</v>
      </c>
      <c r="V1301" s="1" t="n">
        <f aca="false">IF(AND($L1301=1,AND(对接源_02物料!$X101="自备筐",N(对接源_02物料!$V101)&lt;&gt;0)),1,0)</f>
        <v>0</v>
      </c>
      <c r="W1301" s="1" t="n">
        <f aca="false">N(W1300)+$V1301</f>
        <v>7</v>
      </c>
      <c r="X1301" s="1" t="n">
        <f aca="false">IF(AND($L1301=1,AND(对接源_02物料!$X101="自备筐",N(对接源_02物料!$T101)&lt;&gt;0)),1,0)</f>
        <v>0</v>
      </c>
      <c r="Y1301" s="1" t="n">
        <f aca="false">N(Y1300)+$X1301</f>
        <v>0</v>
      </c>
      <c r="Z1301" s="1" t="n">
        <f aca="false">IF(AND($M1301=1,对接源_02物料!$D101="原料入库"),1,0)</f>
        <v>0</v>
      </c>
      <c r="AA1301" s="1" t="n">
        <f aca="false">N(AA1300)+$Z1301</f>
        <v>30</v>
      </c>
      <c r="AB1301" s="1" t="n">
        <f aca="false">IF(AND($M1301=1,LEFT(对接源_02物料!$D101,4)="原料出库"),1,0)</f>
        <v>0</v>
      </c>
      <c r="AC1301" s="1" t="n">
        <f aca="false">N(AC1300)+$AB1301</f>
        <v>19</v>
      </c>
      <c r="AD1301" s="1" t="n">
        <f aca="false">IF(AND($M1301=1,LEFT(对接源_02物料!$D101,4)="成品出库"),1,0)</f>
        <v>0</v>
      </c>
      <c r="AE1301" s="1" t="n">
        <f aca="false">N(AE1300)+$AD1301</f>
        <v>38</v>
      </c>
      <c r="AF1301" s="1" t="n">
        <f aca="false">IF(AND($N1301=1,AND(LEFT(对接源_02物料!$D101,4)="包装物料",N(对接源_02物料!$K101)&lt;&gt;0)),1,0)</f>
        <v>0</v>
      </c>
      <c r="AG1301" s="1" t="n">
        <f aca="false">N(AG1300)+$AF1301</f>
        <v>6</v>
      </c>
      <c r="AH1301" s="1" t="n">
        <f aca="false">IF(AND($N1301=1,AND(LEFT(对接源_02物料!$D101,3)="周转筐",N(对接源_02物料!$K101)&lt;&gt;0)),1,0)</f>
        <v>0</v>
      </c>
      <c r="AI1301" s="1" t="n">
        <f aca="false">N(AI1300)+$AH1301</f>
        <v>0</v>
      </c>
      <c r="AJ1301" s="1" t="n">
        <v>0</v>
      </c>
      <c r="AK1301" s="1" t="n">
        <f aca="false">N(AK1300)+$AJ1301</f>
        <v>3672</v>
      </c>
    </row>
    <row r="1302" customFormat="false" ht="13.5" hidden="false" customHeight="false" outlineLevel="0" collapsed="false">
      <c r="A1302" s="1" t="str">
        <f aca="false">IF(对接源_02物料!$C102="","",对接源_02物料!$C102)</f>
        <v>王照雪</v>
      </c>
      <c r="B1302" s="1" t="n">
        <f aca="false">IF(A1302="",0,IF(MATCH(A1302,$A$4:$A$2403,0)=ROW()-3,1,0))</f>
        <v>0</v>
      </c>
      <c r="C1302" s="1" t="n">
        <f aca="false">N(C1301)+B1302</f>
        <v>17</v>
      </c>
      <c r="K1302" s="1" t="n">
        <f aca="false">IF(OR($K$1="",对接源_02物料!$C102="",对接源_02物料!$C102&lt;&gt;$K$1,对接源_02物料!$B102=""),0,IF(OR(N(对接源_02物料!$B102)&lt;$K$2,N(对接源_02物料!$B102)&gt;$K$3),0,1))</f>
        <v>1</v>
      </c>
      <c r="L1302" s="1" t="n">
        <f aca="false">IF(OR($L$1="",对接源_02物料!$C102="",对接源_02物料!$C102&lt;&gt;$L$1,对接源_02物料!$B102=""),0,IF(OR(N(对接源_02物料!$B102)&lt;$L$2,N(对接源_02物料!$B102)&gt;$L$3),0,1))</f>
        <v>0</v>
      </c>
      <c r="M1302" s="1" t="n">
        <f aca="false">IF(OR($M$1="",对接源_02物料!$C102="",对接源_02物料!$C102&lt;&gt;$M$1,对接源_02物料!$B102=""),0,IF(OR(N(对接源_02物料!$B102)&lt;$M$2,N(对接源_02物料!$B102)&gt;$M$3),0,1))</f>
        <v>1</v>
      </c>
      <c r="N1302" s="1" t="n">
        <f aca="false">IF(OR($N$1="",对接源_02物料!$C102="",对接源_02物料!$C102&lt;&gt;$N$1,对接源_02物料!$B102=""),0,IF(OR(N(对接源_02物料!$B102)&lt;$N$2,N(对接源_02物料!$B102)&gt;$N$3),0,1))</f>
        <v>0</v>
      </c>
      <c r="P1302" s="1" t="n">
        <f aca="false">IF(AND($K1302=1,AND(对接源_02物料!$X102="公司筐",N(对接源_02物料!$T102)&lt;&gt;0)),1,0)</f>
        <v>0</v>
      </c>
      <c r="Q1302" s="1" t="n">
        <f aca="false">N(Q1301)+$P1302</f>
        <v>11</v>
      </c>
      <c r="R1302" s="1" t="n">
        <f aca="false">IF(AND($K1302=1,AND(对接源_02物料!$X102="公司筐",N(对接源_02物料!$U102)&lt;&gt;0)),1,0)</f>
        <v>1</v>
      </c>
      <c r="S1302" s="1" t="n">
        <f aca="false">N(S1301)+$R1302</f>
        <v>5</v>
      </c>
      <c r="T1302" s="1" t="n">
        <f aca="false">IF(AND($K1302=1,AND(对接源_02物料!$X102="公司筐",N(对接源_02物料!$V102)&lt;&gt;0)),1,0)</f>
        <v>0</v>
      </c>
      <c r="U1302" s="1" t="n">
        <f aca="false">N(U1301)+$T1302</f>
        <v>28</v>
      </c>
      <c r="V1302" s="1" t="n">
        <f aca="false">IF(AND($L1302=1,AND(对接源_02物料!$X102="自备筐",N(对接源_02物料!$V102)&lt;&gt;0)),1,0)</f>
        <v>0</v>
      </c>
      <c r="W1302" s="1" t="n">
        <f aca="false">N(W1301)+$V1302</f>
        <v>7</v>
      </c>
      <c r="X1302" s="1" t="n">
        <f aca="false">IF(AND($L1302=1,AND(对接源_02物料!$X102="自备筐",N(对接源_02物料!$T102)&lt;&gt;0)),1,0)</f>
        <v>0</v>
      </c>
      <c r="Y1302" s="1" t="n">
        <f aca="false">N(Y1301)+$X1302</f>
        <v>0</v>
      </c>
      <c r="Z1302" s="1" t="n">
        <f aca="false">IF(AND($M1302=1,对接源_02物料!$D102="原料入库"),1,0)</f>
        <v>0</v>
      </c>
      <c r="AA1302" s="1" t="n">
        <f aca="false">N(AA1301)+$Z1302</f>
        <v>30</v>
      </c>
      <c r="AB1302" s="1" t="n">
        <f aca="false">IF(AND($M1302=1,LEFT(对接源_02物料!$D102,4)="原料出库"),1,0)</f>
        <v>0</v>
      </c>
      <c r="AC1302" s="1" t="n">
        <f aca="false">N(AC1301)+$AB1302</f>
        <v>19</v>
      </c>
      <c r="AD1302" s="1" t="n">
        <f aca="false">IF(AND($M1302=1,LEFT(对接源_02物料!$D102,4)="成品出库"),1,0)</f>
        <v>0</v>
      </c>
      <c r="AE1302" s="1" t="n">
        <f aca="false">N(AE1301)+$AD1302</f>
        <v>38</v>
      </c>
      <c r="AF1302" s="1" t="n">
        <f aca="false">IF(AND($N1302=1,AND(LEFT(对接源_02物料!$D102,4)="包装物料",N(对接源_02物料!$K102)&lt;&gt;0)),1,0)</f>
        <v>0</v>
      </c>
      <c r="AG1302" s="1" t="n">
        <f aca="false">N(AG1301)+$AF1302</f>
        <v>6</v>
      </c>
      <c r="AH1302" s="1" t="n">
        <f aca="false">IF(AND($N1302=1,AND(LEFT(对接源_02物料!$D102,3)="周转筐",N(对接源_02物料!$K102)&lt;&gt;0)),1,0)</f>
        <v>0</v>
      </c>
      <c r="AI1302" s="1" t="n">
        <f aca="false">N(AI1301)+$AH1302</f>
        <v>0</v>
      </c>
      <c r="AJ1302" s="1" t="n">
        <v>0</v>
      </c>
      <c r="AK1302" s="1" t="n">
        <f aca="false">N(AK1301)+$AJ1302</f>
        <v>3672</v>
      </c>
    </row>
    <row r="1303" customFormat="false" ht="13.5" hidden="false" customHeight="false" outlineLevel="0" collapsed="false">
      <c r="A1303" s="1" t="str">
        <f aca="false">IF(对接源_02物料!$C103="","",对接源_02物料!$C103)</f>
        <v>全修塑业</v>
      </c>
      <c r="B1303" s="1" t="n">
        <f aca="false">IF(A1303="",0,IF(MATCH(A1303,$A$4:$A$2403,0)=ROW()-3,1,0))</f>
        <v>0</v>
      </c>
      <c r="C1303" s="1" t="n">
        <f aca="false">N(C1302)+B1303</f>
        <v>17</v>
      </c>
      <c r="K1303" s="1" t="n">
        <f aca="false">IF(OR($K$1="",对接源_02物料!$C103="",对接源_02物料!$C103&lt;&gt;$K$1,对接源_02物料!$B103=""),0,IF(OR(N(对接源_02物料!$B103)&lt;$K$2,N(对接源_02物料!$B103)&gt;$K$3),0,1))</f>
        <v>0</v>
      </c>
      <c r="L1303" s="1" t="n">
        <f aca="false">IF(OR($L$1="",对接源_02物料!$C103="",对接源_02物料!$C103&lt;&gt;$L$1,对接源_02物料!$B103=""),0,IF(OR(N(对接源_02物料!$B103)&lt;$L$2,N(对接源_02物料!$B103)&gt;$L$3),0,1))</f>
        <v>0</v>
      </c>
      <c r="M1303" s="1" t="n">
        <f aca="false">IF(OR($M$1="",对接源_02物料!$C103="",对接源_02物料!$C103&lt;&gt;$M$1,对接源_02物料!$B103=""),0,IF(OR(N(对接源_02物料!$B103)&lt;$M$2,N(对接源_02物料!$B103)&gt;$M$3),0,1))</f>
        <v>0</v>
      </c>
      <c r="N1303" s="1" t="n">
        <f aca="false">IF(OR($N$1="",对接源_02物料!$C103="",对接源_02物料!$C103&lt;&gt;$N$1,对接源_02物料!$B103=""),0,IF(OR(N(对接源_02物料!$B103)&lt;$N$2,N(对接源_02物料!$B103)&gt;$N$3),0,1))</f>
        <v>0</v>
      </c>
      <c r="P1303" s="1" t="n">
        <f aca="false">IF(AND($K1303=1,AND(对接源_02物料!$X103="公司筐",N(对接源_02物料!$T103)&lt;&gt;0)),1,0)</f>
        <v>0</v>
      </c>
      <c r="Q1303" s="1" t="n">
        <f aca="false">N(Q1302)+$P1303</f>
        <v>11</v>
      </c>
      <c r="R1303" s="1" t="n">
        <f aca="false">IF(AND($K1303=1,AND(对接源_02物料!$X103="公司筐",N(对接源_02物料!$U103)&lt;&gt;0)),1,0)</f>
        <v>0</v>
      </c>
      <c r="S1303" s="1" t="n">
        <f aca="false">N(S1302)+$R1303</f>
        <v>5</v>
      </c>
      <c r="T1303" s="1" t="n">
        <f aca="false">IF(AND($K1303=1,AND(对接源_02物料!$X103="公司筐",N(对接源_02物料!$V103)&lt;&gt;0)),1,0)</f>
        <v>0</v>
      </c>
      <c r="U1303" s="1" t="n">
        <f aca="false">N(U1302)+$T1303</f>
        <v>28</v>
      </c>
      <c r="V1303" s="1" t="n">
        <f aca="false">IF(AND($L1303=1,AND(对接源_02物料!$X103="自备筐",N(对接源_02物料!$V103)&lt;&gt;0)),1,0)</f>
        <v>0</v>
      </c>
      <c r="W1303" s="1" t="n">
        <f aca="false">N(W1302)+$V1303</f>
        <v>7</v>
      </c>
      <c r="X1303" s="1" t="n">
        <f aca="false">IF(AND($L1303=1,AND(对接源_02物料!$X103="自备筐",N(对接源_02物料!$T103)&lt;&gt;0)),1,0)</f>
        <v>0</v>
      </c>
      <c r="Y1303" s="1" t="n">
        <f aca="false">N(Y1302)+$X1303</f>
        <v>0</v>
      </c>
      <c r="Z1303" s="1" t="n">
        <f aca="false">IF(AND($M1303=1,对接源_02物料!$D103="原料入库"),1,0)</f>
        <v>0</v>
      </c>
      <c r="AA1303" s="1" t="n">
        <f aca="false">N(AA1302)+$Z1303</f>
        <v>30</v>
      </c>
      <c r="AB1303" s="1" t="n">
        <f aca="false">IF(AND($M1303=1,LEFT(对接源_02物料!$D103,4)="原料出库"),1,0)</f>
        <v>0</v>
      </c>
      <c r="AC1303" s="1" t="n">
        <f aca="false">N(AC1302)+$AB1303</f>
        <v>19</v>
      </c>
      <c r="AD1303" s="1" t="n">
        <f aca="false">IF(AND($M1303=1,LEFT(对接源_02物料!$D103,4)="成品出库"),1,0)</f>
        <v>0</v>
      </c>
      <c r="AE1303" s="1" t="n">
        <f aca="false">N(AE1302)+$AD1303</f>
        <v>38</v>
      </c>
      <c r="AF1303" s="1" t="n">
        <f aca="false">IF(AND($N1303=1,AND(LEFT(对接源_02物料!$D103,4)="包装物料",N(对接源_02物料!$K103)&lt;&gt;0)),1,0)</f>
        <v>0</v>
      </c>
      <c r="AG1303" s="1" t="n">
        <f aca="false">N(AG1302)+$AF1303</f>
        <v>6</v>
      </c>
      <c r="AH1303" s="1" t="n">
        <f aca="false">IF(AND($N1303=1,AND(LEFT(对接源_02物料!$D103,3)="周转筐",N(对接源_02物料!$K103)&lt;&gt;0)),1,0)</f>
        <v>0</v>
      </c>
      <c r="AI1303" s="1" t="n">
        <f aca="false">N(AI1302)+$AH1303</f>
        <v>0</v>
      </c>
      <c r="AJ1303" s="1" t="n">
        <v>0</v>
      </c>
      <c r="AK1303" s="1" t="n">
        <f aca="false">N(AK1302)+$AJ1303</f>
        <v>3672</v>
      </c>
    </row>
    <row r="1304" customFormat="false" ht="13.5" hidden="false" customHeight="false" outlineLevel="0" collapsed="false">
      <c r="A1304" s="1" t="str">
        <f aca="false">IF(对接源_02物料!$C104="","",对接源_02物料!$C104)</f>
        <v>麦麦提</v>
      </c>
      <c r="B1304" s="1" t="n">
        <f aca="false">IF(A1304="",0,IF(MATCH(A1304,$A$4:$A$2403,0)=ROW()-3,1,0))</f>
        <v>0</v>
      </c>
      <c r="C1304" s="1" t="n">
        <f aca="false">N(C1303)+B1304</f>
        <v>17</v>
      </c>
      <c r="K1304" s="1" t="n">
        <f aca="false">IF(OR($K$1="",对接源_02物料!$C104="",对接源_02物料!$C104&lt;&gt;$K$1,对接源_02物料!$B104=""),0,IF(OR(N(对接源_02物料!$B104)&lt;$K$2,N(对接源_02物料!$B104)&gt;$K$3),0,1))</f>
        <v>0</v>
      </c>
      <c r="L1304" s="1" t="n">
        <f aca="false">IF(OR($L$1="",对接源_02物料!$C104="",对接源_02物料!$C104&lt;&gt;$L$1,对接源_02物料!$B104=""),0,IF(OR(N(对接源_02物料!$B104)&lt;$L$2,N(对接源_02物料!$B104)&gt;$L$3),0,1))</f>
        <v>0</v>
      </c>
      <c r="M1304" s="1" t="n">
        <f aca="false">IF(OR($M$1="",对接源_02物料!$C104="",对接源_02物料!$C104&lt;&gt;$M$1,对接源_02物料!$B104=""),0,IF(OR(N(对接源_02物料!$B104)&lt;$M$2,N(对接源_02物料!$B104)&gt;$M$3),0,1))</f>
        <v>0</v>
      </c>
      <c r="N1304" s="1" t="n">
        <f aca="false">IF(OR($N$1="",对接源_02物料!$C104="",对接源_02物料!$C104&lt;&gt;$N$1,对接源_02物料!$B104=""),0,IF(OR(N(对接源_02物料!$B104)&lt;$N$2,N(对接源_02物料!$B104)&gt;$N$3),0,1))</f>
        <v>1</v>
      </c>
      <c r="P1304" s="1" t="n">
        <f aca="false">IF(AND($K1304=1,AND(对接源_02物料!$X104="公司筐",N(对接源_02物料!$T104)&lt;&gt;0)),1,0)</f>
        <v>0</v>
      </c>
      <c r="Q1304" s="1" t="n">
        <f aca="false">N(Q1303)+$P1304</f>
        <v>11</v>
      </c>
      <c r="R1304" s="1" t="n">
        <f aca="false">IF(AND($K1304=1,AND(对接源_02物料!$X104="公司筐",N(对接源_02物料!$U104)&lt;&gt;0)),1,0)</f>
        <v>0</v>
      </c>
      <c r="S1304" s="1" t="n">
        <f aca="false">N(S1303)+$R1304</f>
        <v>5</v>
      </c>
      <c r="T1304" s="1" t="n">
        <f aca="false">IF(AND($K1304=1,AND(对接源_02物料!$X104="公司筐",N(对接源_02物料!$V104)&lt;&gt;0)),1,0)</f>
        <v>0</v>
      </c>
      <c r="U1304" s="1" t="n">
        <f aca="false">N(U1303)+$T1304</f>
        <v>28</v>
      </c>
      <c r="V1304" s="1" t="n">
        <f aca="false">IF(AND($L1304=1,AND(对接源_02物料!$X104="自备筐",N(对接源_02物料!$V104)&lt;&gt;0)),1,0)</f>
        <v>0</v>
      </c>
      <c r="W1304" s="1" t="n">
        <f aca="false">N(W1303)+$V1304</f>
        <v>7</v>
      </c>
      <c r="X1304" s="1" t="n">
        <f aca="false">IF(AND($L1304=1,AND(对接源_02物料!$X104="自备筐",N(对接源_02物料!$T104)&lt;&gt;0)),1,0)</f>
        <v>0</v>
      </c>
      <c r="Y1304" s="1" t="n">
        <f aca="false">N(Y1303)+$X1304</f>
        <v>0</v>
      </c>
      <c r="Z1304" s="1" t="n">
        <f aca="false">IF(AND($M1304=1,对接源_02物料!$D104="原料入库"),1,0)</f>
        <v>0</v>
      </c>
      <c r="AA1304" s="1" t="n">
        <f aca="false">N(AA1303)+$Z1304</f>
        <v>30</v>
      </c>
      <c r="AB1304" s="1" t="n">
        <f aca="false">IF(AND($M1304=1,LEFT(对接源_02物料!$D104,4)="原料出库"),1,0)</f>
        <v>0</v>
      </c>
      <c r="AC1304" s="1" t="n">
        <f aca="false">N(AC1303)+$AB1304</f>
        <v>19</v>
      </c>
      <c r="AD1304" s="1" t="n">
        <f aca="false">IF(AND($M1304=1,LEFT(对接源_02物料!$D104,4)="成品出库"),1,0)</f>
        <v>0</v>
      </c>
      <c r="AE1304" s="1" t="n">
        <f aca="false">N(AE1303)+$AD1304</f>
        <v>38</v>
      </c>
      <c r="AF1304" s="1" t="n">
        <f aca="false">IF(AND($N1304=1,AND(LEFT(对接源_02物料!$D104,4)="包装物料",N(对接源_02物料!$K104)&lt;&gt;0)),1,0)</f>
        <v>0</v>
      </c>
      <c r="AG1304" s="1" t="n">
        <f aca="false">N(AG1303)+$AF1304</f>
        <v>6</v>
      </c>
      <c r="AH1304" s="1" t="n">
        <f aca="false">IF(AND($N1304=1,AND(LEFT(对接源_02物料!$D104,3)="周转筐",N(对接源_02物料!$K104)&lt;&gt;0)),1,0)</f>
        <v>0</v>
      </c>
      <c r="AI1304" s="1" t="n">
        <f aca="false">N(AI1303)+$AH1304</f>
        <v>0</v>
      </c>
      <c r="AJ1304" s="1" t="n">
        <v>0</v>
      </c>
      <c r="AK1304" s="1" t="n">
        <f aca="false">N(AK1303)+$AJ1304</f>
        <v>3672</v>
      </c>
    </row>
    <row r="1305" customFormat="false" ht="13.5" hidden="false" customHeight="false" outlineLevel="0" collapsed="false">
      <c r="A1305" s="1" t="str">
        <f aca="false">IF(对接源_02物料!$C105="","",对接源_02物料!$C105)</f>
        <v>全修塑业</v>
      </c>
      <c r="B1305" s="1" t="n">
        <f aca="false">IF(A1305="",0,IF(MATCH(A1305,$A$4:$A$2403,0)=ROW()-3,1,0))</f>
        <v>0</v>
      </c>
      <c r="C1305" s="1" t="n">
        <f aca="false">N(C1304)+B1305</f>
        <v>17</v>
      </c>
      <c r="K1305" s="1" t="n">
        <f aca="false">IF(OR($K$1="",对接源_02物料!$C105="",对接源_02物料!$C105&lt;&gt;$K$1,对接源_02物料!$B105=""),0,IF(OR(N(对接源_02物料!$B105)&lt;$K$2,N(对接源_02物料!$B105)&gt;$K$3),0,1))</f>
        <v>0</v>
      </c>
      <c r="L1305" s="1" t="n">
        <f aca="false">IF(OR($L$1="",对接源_02物料!$C105="",对接源_02物料!$C105&lt;&gt;$L$1,对接源_02物料!$B105=""),0,IF(OR(N(对接源_02物料!$B105)&lt;$L$2,N(对接源_02物料!$B105)&gt;$L$3),0,1))</f>
        <v>0</v>
      </c>
      <c r="M1305" s="1" t="n">
        <f aca="false">IF(OR($M$1="",对接源_02物料!$C105="",对接源_02物料!$C105&lt;&gt;$M$1,对接源_02物料!$B105=""),0,IF(OR(N(对接源_02物料!$B105)&lt;$M$2,N(对接源_02物料!$B105)&gt;$M$3),0,1))</f>
        <v>0</v>
      </c>
      <c r="N1305" s="1" t="n">
        <f aca="false">IF(OR($N$1="",对接源_02物料!$C105="",对接源_02物料!$C105&lt;&gt;$N$1,对接源_02物料!$B105=""),0,IF(OR(N(对接源_02物料!$B105)&lt;$N$2,N(对接源_02物料!$B105)&gt;$N$3),0,1))</f>
        <v>0</v>
      </c>
      <c r="P1305" s="1" t="n">
        <f aca="false">IF(AND($K1305=1,AND(对接源_02物料!$X105="公司筐",N(对接源_02物料!$T105)&lt;&gt;0)),1,0)</f>
        <v>0</v>
      </c>
      <c r="Q1305" s="1" t="n">
        <f aca="false">N(Q1304)+$P1305</f>
        <v>11</v>
      </c>
      <c r="R1305" s="1" t="n">
        <f aca="false">IF(AND($K1305=1,AND(对接源_02物料!$X105="公司筐",N(对接源_02物料!$U105)&lt;&gt;0)),1,0)</f>
        <v>0</v>
      </c>
      <c r="S1305" s="1" t="n">
        <f aca="false">N(S1304)+$R1305</f>
        <v>5</v>
      </c>
      <c r="T1305" s="1" t="n">
        <f aca="false">IF(AND($K1305=1,AND(对接源_02物料!$X105="公司筐",N(对接源_02物料!$V105)&lt;&gt;0)),1,0)</f>
        <v>0</v>
      </c>
      <c r="U1305" s="1" t="n">
        <f aca="false">N(U1304)+$T1305</f>
        <v>28</v>
      </c>
      <c r="V1305" s="1" t="n">
        <f aca="false">IF(AND($L1305=1,AND(对接源_02物料!$X105="自备筐",N(对接源_02物料!$V105)&lt;&gt;0)),1,0)</f>
        <v>0</v>
      </c>
      <c r="W1305" s="1" t="n">
        <f aca="false">N(W1304)+$V1305</f>
        <v>7</v>
      </c>
      <c r="X1305" s="1" t="n">
        <f aca="false">IF(AND($L1305=1,AND(对接源_02物料!$X105="自备筐",N(对接源_02物料!$T105)&lt;&gt;0)),1,0)</f>
        <v>0</v>
      </c>
      <c r="Y1305" s="1" t="n">
        <f aca="false">N(Y1304)+$X1305</f>
        <v>0</v>
      </c>
      <c r="Z1305" s="1" t="n">
        <f aca="false">IF(AND($M1305=1,对接源_02物料!$D105="原料入库"),1,0)</f>
        <v>0</v>
      </c>
      <c r="AA1305" s="1" t="n">
        <f aca="false">N(AA1304)+$Z1305</f>
        <v>30</v>
      </c>
      <c r="AB1305" s="1" t="n">
        <f aca="false">IF(AND($M1305=1,LEFT(对接源_02物料!$D105,4)="原料出库"),1,0)</f>
        <v>0</v>
      </c>
      <c r="AC1305" s="1" t="n">
        <f aca="false">N(AC1304)+$AB1305</f>
        <v>19</v>
      </c>
      <c r="AD1305" s="1" t="n">
        <f aca="false">IF(AND($M1305=1,LEFT(对接源_02物料!$D105,4)="成品出库"),1,0)</f>
        <v>0</v>
      </c>
      <c r="AE1305" s="1" t="n">
        <f aca="false">N(AE1304)+$AD1305</f>
        <v>38</v>
      </c>
      <c r="AF1305" s="1" t="n">
        <f aca="false">IF(AND($N1305=1,AND(LEFT(对接源_02物料!$D105,4)="包装物料",N(对接源_02物料!$K105)&lt;&gt;0)),1,0)</f>
        <v>0</v>
      </c>
      <c r="AG1305" s="1" t="n">
        <f aca="false">N(AG1304)+$AF1305</f>
        <v>6</v>
      </c>
      <c r="AH1305" s="1" t="n">
        <f aca="false">IF(AND($N1305=1,AND(LEFT(对接源_02物料!$D105,3)="周转筐",N(对接源_02物料!$K105)&lt;&gt;0)),1,0)</f>
        <v>0</v>
      </c>
      <c r="AI1305" s="1" t="n">
        <f aca="false">N(AI1304)+$AH1305</f>
        <v>0</v>
      </c>
      <c r="AJ1305" s="1" t="n">
        <v>0</v>
      </c>
      <c r="AK1305" s="1" t="n">
        <f aca="false">N(AK1304)+$AJ1305</f>
        <v>3672</v>
      </c>
    </row>
    <row r="1306" customFormat="false" ht="13.5" hidden="false" customHeight="false" outlineLevel="0" collapsed="false">
      <c r="A1306" s="1" t="str">
        <f aca="false">IF(对接源_02物料!$C106="","",对接源_02物料!$C106)</f>
        <v>王照雪</v>
      </c>
      <c r="B1306" s="1" t="n">
        <f aca="false">IF(A1306="",0,IF(MATCH(A1306,$A$4:$A$2403,0)=ROW()-3,1,0))</f>
        <v>0</v>
      </c>
      <c r="C1306" s="1" t="n">
        <f aca="false">N(C1305)+B1306</f>
        <v>17</v>
      </c>
      <c r="K1306" s="1" t="n">
        <f aca="false">IF(OR($K$1="",对接源_02物料!$C106="",对接源_02物料!$C106&lt;&gt;$K$1,对接源_02物料!$B106=""),0,IF(OR(N(对接源_02物料!$B106)&lt;$K$2,N(对接源_02物料!$B106)&gt;$K$3),0,1))</f>
        <v>1</v>
      </c>
      <c r="L1306" s="1" t="n">
        <f aca="false">IF(OR($L$1="",对接源_02物料!$C106="",对接源_02物料!$C106&lt;&gt;$L$1,对接源_02物料!$B106=""),0,IF(OR(N(对接源_02物料!$B106)&lt;$L$2,N(对接源_02物料!$B106)&gt;$L$3),0,1))</f>
        <v>0</v>
      </c>
      <c r="M1306" s="1" t="n">
        <f aca="false">IF(OR($M$1="",对接源_02物料!$C106="",对接源_02物料!$C106&lt;&gt;$M$1,对接源_02物料!$B106=""),0,IF(OR(N(对接源_02物料!$B106)&lt;$M$2,N(对接源_02物料!$B106)&gt;$M$3),0,1))</f>
        <v>1</v>
      </c>
      <c r="N1306" s="1" t="n">
        <f aca="false">IF(OR($N$1="",对接源_02物料!$C106="",对接源_02物料!$C106&lt;&gt;$N$1,对接源_02物料!$B106=""),0,IF(OR(N(对接源_02物料!$B106)&lt;$N$2,N(对接源_02物料!$B106)&gt;$N$3),0,1))</f>
        <v>0</v>
      </c>
      <c r="P1306" s="1" t="n">
        <f aca="false">IF(AND($K1306=1,AND(对接源_02物料!$X106="公司筐",N(对接源_02物料!$T106)&lt;&gt;0)),1,0)</f>
        <v>1</v>
      </c>
      <c r="Q1306" s="1" t="n">
        <f aca="false">N(Q1305)+$P1306</f>
        <v>12</v>
      </c>
      <c r="R1306" s="1" t="n">
        <f aca="false">IF(AND($K1306=1,AND(对接源_02物料!$X106="公司筐",N(对接源_02物料!$U106)&lt;&gt;0)),1,0)</f>
        <v>0</v>
      </c>
      <c r="S1306" s="1" t="n">
        <f aca="false">N(S1305)+$R1306</f>
        <v>5</v>
      </c>
      <c r="T1306" s="1" t="n">
        <f aca="false">IF(AND($K1306=1,AND(对接源_02物料!$X106="公司筐",N(对接源_02物料!$V106)&lt;&gt;0)),1,0)</f>
        <v>0</v>
      </c>
      <c r="U1306" s="1" t="n">
        <f aca="false">N(U1305)+$T1306</f>
        <v>28</v>
      </c>
      <c r="V1306" s="1" t="n">
        <f aca="false">IF(AND($L1306=1,AND(对接源_02物料!$X106="自备筐",N(对接源_02物料!$V106)&lt;&gt;0)),1,0)</f>
        <v>0</v>
      </c>
      <c r="W1306" s="1" t="n">
        <f aca="false">N(W1305)+$V1306</f>
        <v>7</v>
      </c>
      <c r="X1306" s="1" t="n">
        <f aca="false">IF(AND($L1306=1,AND(对接源_02物料!$X106="自备筐",N(对接源_02物料!$T106)&lt;&gt;0)),1,0)</f>
        <v>0</v>
      </c>
      <c r="Y1306" s="1" t="n">
        <f aca="false">N(Y1305)+$X1306</f>
        <v>0</v>
      </c>
      <c r="Z1306" s="1" t="n">
        <f aca="false">IF(AND($M1306=1,对接源_02物料!$D106="原料入库"),1,0)</f>
        <v>0</v>
      </c>
      <c r="AA1306" s="1" t="n">
        <f aca="false">N(AA1305)+$Z1306</f>
        <v>30</v>
      </c>
      <c r="AB1306" s="1" t="n">
        <f aca="false">IF(AND($M1306=1,LEFT(对接源_02物料!$D106,4)="原料出库"),1,0)</f>
        <v>0</v>
      </c>
      <c r="AC1306" s="1" t="n">
        <f aca="false">N(AC1305)+$AB1306</f>
        <v>19</v>
      </c>
      <c r="AD1306" s="1" t="n">
        <f aca="false">IF(AND($M1306=1,LEFT(对接源_02物料!$D106,4)="成品出库"),1,0)</f>
        <v>0</v>
      </c>
      <c r="AE1306" s="1" t="n">
        <f aca="false">N(AE1305)+$AD1306</f>
        <v>38</v>
      </c>
      <c r="AF1306" s="1" t="n">
        <f aca="false">IF(AND($N1306=1,AND(LEFT(对接源_02物料!$D106,4)="包装物料",N(对接源_02物料!$K106)&lt;&gt;0)),1,0)</f>
        <v>0</v>
      </c>
      <c r="AG1306" s="1" t="n">
        <f aca="false">N(AG1305)+$AF1306</f>
        <v>6</v>
      </c>
      <c r="AH1306" s="1" t="n">
        <f aca="false">IF(AND($N1306=1,AND(LEFT(对接源_02物料!$D106,3)="周转筐",N(对接源_02物料!$K106)&lt;&gt;0)),1,0)</f>
        <v>0</v>
      </c>
      <c r="AI1306" s="1" t="n">
        <f aca="false">N(AI1305)+$AH1306</f>
        <v>0</v>
      </c>
      <c r="AJ1306" s="1" t="n">
        <v>0</v>
      </c>
      <c r="AK1306" s="1" t="n">
        <f aca="false">N(AK1305)+$AJ1306</f>
        <v>3672</v>
      </c>
    </row>
    <row r="1307" customFormat="false" ht="13.5" hidden="false" customHeight="false" outlineLevel="0" collapsed="false">
      <c r="A1307" s="1" t="str">
        <f aca="false">IF(对接源_02物料!$C107="","",对接源_02物料!$C107)</f>
        <v>王灵云</v>
      </c>
      <c r="B1307" s="1" t="n">
        <f aca="false">IF(A1307="",0,IF(MATCH(A1307,$A$4:$A$2403,0)=ROW()-3,1,0))</f>
        <v>0</v>
      </c>
      <c r="C1307" s="1" t="n">
        <f aca="false">N(C1306)+B1307</f>
        <v>17</v>
      </c>
      <c r="K1307" s="1" t="n">
        <f aca="false">IF(OR($K$1="",对接源_02物料!$C107="",对接源_02物料!$C107&lt;&gt;$K$1,对接源_02物料!$B107=""),0,IF(OR(N(对接源_02物料!$B107)&lt;$K$2,N(对接源_02物料!$B107)&gt;$K$3),0,1))</f>
        <v>0</v>
      </c>
      <c r="L1307" s="1" t="n">
        <f aca="false">IF(OR($L$1="",对接源_02物料!$C107="",对接源_02物料!$C107&lt;&gt;$L$1,对接源_02物料!$B107=""),0,IF(OR(N(对接源_02物料!$B107)&lt;$L$2,N(对接源_02物料!$B107)&gt;$L$3),0,1))</f>
        <v>0</v>
      </c>
      <c r="M1307" s="1" t="n">
        <f aca="false">IF(OR($M$1="",对接源_02物料!$C107="",对接源_02物料!$C107&lt;&gt;$M$1,对接源_02物料!$B107=""),0,IF(OR(N(对接源_02物料!$B107)&lt;$M$2,N(对接源_02物料!$B107)&gt;$M$3),0,1))</f>
        <v>0</v>
      </c>
      <c r="N1307" s="1" t="n">
        <f aca="false">IF(OR($N$1="",对接源_02物料!$C107="",对接源_02物料!$C107&lt;&gt;$N$1,对接源_02物料!$B107=""),0,IF(OR(N(对接源_02物料!$B107)&lt;$N$2,N(对接源_02物料!$B107)&gt;$N$3),0,1))</f>
        <v>0</v>
      </c>
      <c r="P1307" s="1" t="n">
        <f aca="false">IF(AND($K1307=1,AND(对接源_02物料!$X107="公司筐",N(对接源_02物料!$T107)&lt;&gt;0)),1,0)</f>
        <v>0</v>
      </c>
      <c r="Q1307" s="1" t="n">
        <f aca="false">N(Q1306)+$P1307</f>
        <v>12</v>
      </c>
      <c r="R1307" s="1" t="n">
        <f aca="false">IF(AND($K1307=1,AND(对接源_02物料!$X107="公司筐",N(对接源_02物料!$U107)&lt;&gt;0)),1,0)</f>
        <v>0</v>
      </c>
      <c r="S1307" s="1" t="n">
        <f aca="false">N(S1306)+$R1307</f>
        <v>5</v>
      </c>
      <c r="T1307" s="1" t="n">
        <f aca="false">IF(AND($K1307=1,AND(对接源_02物料!$X107="公司筐",N(对接源_02物料!$V107)&lt;&gt;0)),1,0)</f>
        <v>0</v>
      </c>
      <c r="U1307" s="1" t="n">
        <f aca="false">N(U1306)+$T1307</f>
        <v>28</v>
      </c>
      <c r="V1307" s="1" t="n">
        <f aca="false">IF(AND($L1307=1,AND(对接源_02物料!$X107="自备筐",N(对接源_02物料!$V107)&lt;&gt;0)),1,0)</f>
        <v>0</v>
      </c>
      <c r="W1307" s="1" t="n">
        <f aca="false">N(W1306)+$V1307</f>
        <v>7</v>
      </c>
      <c r="X1307" s="1" t="n">
        <f aca="false">IF(AND($L1307=1,AND(对接源_02物料!$X107="自备筐",N(对接源_02物料!$T107)&lt;&gt;0)),1,0)</f>
        <v>0</v>
      </c>
      <c r="Y1307" s="1" t="n">
        <f aca="false">N(Y1306)+$X1307</f>
        <v>0</v>
      </c>
      <c r="Z1307" s="1" t="n">
        <f aca="false">IF(AND($M1307=1,对接源_02物料!$D107="原料入库"),1,0)</f>
        <v>0</v>
      </c>
      <c r="AA1307" s="1" t="n">
        <f aca="false">N(AA1306)+$Z1307</f>
        <v>30</v>
      </c>
      <c r="AB1307" s="1" t="n">
        <f aca="false">IF(AND($M1307=1,LEFT(对接源_02物料!$D107,4)="原料出库"),1,0)</f>
        <v>0</v>
      </c>
      <c r="AC1307" s="1" t="n">
        <f aca="false">N(AC1306)+$AB1307</f>
        <v>19</v>
      </c>
      <c r="AD1307" s="1" t="n">
        <f aca="false">IF(AND($M1307=1,LEFT(对接源_02物料!$D107,4)="成品出库"),1,0)</f>
        <v>0</v>
      </c>
      <c r="AE1307" s="1" t="n">
        <f aca="false">N(AE1306)+$AD1307</f>
        <v>38</v>
      </c>
      <c r="AF1307" s="1" t="n">
        <f aca="false">IF(AND($N1307=1,AND(LEFT(对接源_02物料!$D107,4)="包装物料",N(对接源_02物料!$K107)&lt;&gt;0)),1,0)</f>
        <v>0</v>
      </c>
      <c r="AG1307" s="1" t="n">
        <f aca="false">N(AG1306)+$AF1307</f>
        <v>6</v>
      </c>
      <c r="AH1307" s="1" t="n">
        <f aca="false">IF(AND($N1307=1,AND(LEFT(对接源_02物料!$D107,3)="周转筐",N(对接源_02物料!$K107)&lt;&gt;0)),1,0)</f>
        <v>0</v>
      </c>
      <c r="AI1307" s="1" t="n">
        <f aca="false">N(AI1306)+$AH1307</f>
        <v>0</v>
      </c>
      <c r="AJ1307" s="1" t="n">
        <v>0</v>
      </c>
      <c r="AK1307" s="1" t="n">
        <f aca="false">N(AK1306)+$AJ1307</f>
        <v>3672</v>
      </c>
    </row>
    <row r="1308" customFormat="false" ht="13.5" hidden="false" customHeight="false" outlineLevel="0" collapsed="false">
      <c r="A1308" s="1" t="str">
        <f aca="false">IF(对接源_02物料!$C108="","",对接源_02物料!$C108)</f>
        <v>马锦祥</v>
      </c>
      <c r="B1308" s="1" t="n">
        <f aca="false">IF(A1308="",0,IF(MATCH(A1308,$A$4:$A$2403,0)=ROW()-3,1,0))</f>
        <v>0</v>
      </c>
      <c r="C1308" s="1" t="n">
        <f aca="false">N(C1307)+B1308</f>
        <v>17</v>
      </c>
      <c r="K1308" s="1" t="n">
        <f aca="false">IF(OR($K$1="",对接源_02物料!$C108="",对接源_02物料!$C108&lt;&gt;$K$1,对接源_02物料!$B108=""),0,IF(OR(N(对接源_02物料!$B108)&lt;$K$2,N(对接源_02物料!$B108)&gt;$K$3),0,1))</f>
        <v>0</v>
      </c>
      <c r="L1308" s="1" t="n">
        <f aca="false">IF(OR($L$1="",对接源_02物料!$C108="",对接源_02物料!$C108&lt;&gt;$L$1,对接源_02物料!$B108=""),0,IF(OR(N(对接源_02物料!$B108)&lt;$L$2,N(对接源_02物料!$B108)&gt;$L$3),0,1))</f>
        <v>0</v>
      </c>
      <c r="M1308" s="1" t="n">
        <f aca="false">IF(OR($M$1="",对接源_02物料!$C108="",对接源_02物料!$C108&lt;&gt;$M$1,对接源_02物料!$B108=""),0,IF(OR(N(对接源_02物料!$B108)&lt;$M$2,N(对接源_02物料!$B108)&gt;$M$3),0,1))</f>
        <v>0</v>
      </c>
      <c r="N1308" s="1" t="n">
        <f aca="false">IF(OR($N$1="",对接源_02物料!$C108="",对接源_02物料!$C108&lt;&gt;$N$1,对接源_02物料!$B108=""),0,IF(OR(N(对接源_02物料!$B108)&lt;$N$2,N(对接源_02物料!$B108)&gt;$N$3),0,1))</f>
        <v>0</v>
      </c>
      <c r="P1308" s="1" t="n">
        <f aca="false">IF(AND($K1308=1,AND(对接源_02物料!$X108="公司筐",N(对接源_02物料!$T108)&lt;&gt;0)),1,0)</f>
        <v>0</v>
      </c>
      <c r="Q1308" s="1" t="n">
        <f aca="false">N(Q1307)+$P1308</f>
        <v>12</v>
      </c>
      <c r="R1308" s="1" t="n">
        <f aca="false">IF(AND($K1308=1,AND(对接源_02物料!$X108="公司筐",N(对接源_02物料!$U108)&lt;&gt;0)),1,0)</f>
        <v>0</v>
      </c>
      <c r="S1308" s="1" t="n">
        <f aca="false">N(S1307)+$R1308</f>
        <v>5</v>
      </c>
      <c r="T1308" s="1" t="n">
        <f aca="false">IF(AND($K1308=1,AND(对接源_02物料!$X108="公司筐",N(对接源_02物料!$V108)&lt;&gt;0)),1,0)</f>
        <v>0</v>
      </c>
      <c r="U1308" s="1" t="n">
        <f aca="false">N(U1307)+$T1308</f>
        <v>28</v>
      </c>
      <c r="V1308" s="1" t="n">
        <f aca="false">IF(AND($L1308=1,AND(对接源_02物料!$X108="自备筐",N(对接源_02物料!$V108)&lt;&gt;0)),1,0)</f>
        <v>0</v>
      </c>
      <c r="W1308" s="1" t="n">
        <f aca="false">N(W1307)+$V1308</f>
        <v>7</v>
      </c>
      <c r="X1308" s="1" t="n">
        <f aca="false">IF(AND($L1308=1,AND(对接源_02物料!$X108="自备筐",N(对接源_02物料!$T108)&lt;&gt;0)),1,0)</f>
        <v>0</v>
      </c>
      <c r="Y1308" s="1" t="n">
        <f aca="false">N(Y1307)+$X1308</f>
        <v>0</v>
      </c>
      <c r="Z1308" s="1" t="n">
        <f aca="false">IF(AND($M1308=1,对接源_02物料!$D108="原料入库"),1,0)</f>
        <v>0</v>
      </c>
      <c r="AA1308" s="1" t="n">
        <f aca="false">N(AA1307)+$Z1308</f>
        <v>30</v>
      </c>
      <c r="AB1308" s="1" t="n">
        <f aca="false">IF(AND($M1308=1,LEFT(对接源_02物料!$D108,4)="原料出库"),1,0)</f>
        <v>0</v>
      </c>
      <c r="AC1308" s="1" t="n">
        <f aca="false">N(AC1307)+$AB1308</f>
        <v>19</v>
      </c>
      <c r="AD1308" s="1" t="n">
        <f aca="false">IF(AND($M1308=1,LEFT(对接源_02物料!$D108,4)="成品出库"),1,0)</f>
        <v>0</v>
      </c>
      <c r="AE1308" s="1" t="n">
        <f aca="false">N(AE1307)+$AD1308</f>
        <v>38</v>
      </c>
      <c r="AF1308" s="1" t="n">
        <f aca="false">IF(AND($N1308=1,AND(LEFT(对接源_02物料!$D108,4)="包装物料",N(对接源_02物料!$K108)&lt;&gt;0)),1,0)</f>
        <v>0</v>
      </c>
      <c r="AG1308" s="1" t="n">
        <f aca="false">N(AG1307)+$AF1308</f>
        <v>6</v>
      </c>
      <c r="AH1308" s="1" t="n">
        <f aca="false">IF(AND($N1308=1,AND(LEFT(对接源_02物料!$D108,3)="周转筐",N(对接源_02物料!$K108)&lt;&gt;0)),1,0)</f>
        <v>0</v>
      </c>
      <c r="AI1308" s="1" t="n">
        <f aca="false">N(AI1307)+$AH1308</f>
        <v>0</v>
      </c>
      <c r="AJ1308" s="1" t="n">
        <v>0</v>
      </c>
      <c r="AK1308" s="1" t="n">
        <f aca="false">N(AK1307)+$AJ1308</f>
        <v>3672</v>
      </c>
    </row>
    <row r="1309" customFormat="false" ht="13.5" hidden="false" customHeight="false" outlineLevel="0" collapsed="false">
      <c r="A1309" s="1" t="str">
        <f aca="false">IF(对接源_02物料!$C109="","",对接源_02物料!$C109)</f>
        <v>全修塑业</v>
      </c>
      <c r="B1309" s="1" t="n">
        <f aca="false">IF(A1309="",0,IF(MATCH(A1309,$A$4:$A$2403,0)=ROW()-3,1,0))</f>
        <v>0</v>
      </c>
      <c r="C1309" s="1" t="n">
        <f aca="false">N(C1308)+B1309</f>
        <v>17</v>
      </c>
      <c r="K1309" s="1" t="n">
        <f aca="false">IF(OR($K$1="",对接源_02物料!$C109="",对接源_02物料!$C109&lt;&gt;$K$1,对接源_02物料!$B109=""),0,IF(OR(N(对接源_02物料!$B109)&lt;$K$2,N(对接源_02物料!$B109)&gt;$K$3),0,1))</f>
        <v>0</v>
      </c>
      <c r="L1309" s="1" t="n">
        <f aca="false">IF(OR($L$1="",对接源_02物料!$C109="",对接源_02物料!$C109&lt;&gt;$L$1,对接源_02物料!$B109=""),0,IF(OR(N(对接源_02物料!$B109)&lt;$L$2,N(对接源_02物料!$B109)&gt;$L$3),0,1))</f>
        <v>0</v>
      </c>
      <c r="M1309" s="1" t="n">
        <f aca="false">IF(OR($M$1="",对接源_02物料!$C109="",对接源_02物料!$C109&lt;&gt;$M$1,对接源_02物料!$B109=""),0,IF(OR(N(对接源_02物料!$B109)&lt;$M$2,N(对接源_02物料!$B109)&gt;$M$3),0,1))</f>
        <v>0</v>
      </c>
      <c r="N1309" s="1" t="n">
        <f aca="false">IF(OR($N$1="",对接源_02物料!$C109="",对接源_02物料!$C109&lt;&gt;$N$1,对接源_02物料!$B109=""),0,IF(OR(N(对接源_02物料!$B109)&lt;$N$2,N(对接源_02物料!$B109)&gt;$N$3),0,1))</f>
        <v>0</v>
      </c>
      <c r="P1309" s="1" t="n">
        <f aca="false">IF(AND($K1309=1,AND(对接源_02物料!$X109="公司筐",N(对接源_02物料!$T109)&lt;&gt;0)),1,0)</f>
        <v>0</v>
      </c>
      <c r="Q1309" s="1" t="n">
        <f aca="false">N(Q1308)+$P1309</f>
        <v>12</v>
      </c>
      <c r="R1309" s="1" t="n">
        <f aca="false">IF(AND($K1309=1,AND(对接源_02物料!$X109="公司筐",N(对接源_02物料!$U109)&lt;&gt;0)),1,0)</f>
        <v>0</v>
      </c>
      <c r="S1309" s="1" t="n">
        <f aca="false">N(S1308)+$R1309</f>
        <v>5</v>
      </c>
      <c r="T1309" s="1" t="n">
        <f aca="false">IF(AND($K1309=1,AND(对接源_02物料!$X109="公司筐",N(对接源_02物料!$V109)&lt;&gt;0)),1,0)</f>
        <v>0</v>
      </c>
      <c r="U1309" s="1" t="n">
        <f aca="false">N(U1308)+$T1309</f>
        <v>28</v>
      </c>
      <c r="V1309" s="1" t="n">
        <f aca="false">IF(AND($L1309=1,AND(对接源_02物料!$X109="自备筐",N(对接源_02物料!$V109)&lt;&gt;0)),1,0)</f>
        <v>0</v>
      </c>
      <c r="W1309" s="1" t="n">
        <f aca="false">N(W1308)+$V1309</f>
        <v>7</v>
      </c>
      <c r="X1309" s="1" t="n">
        <f aca="false">IF(AND($L1309=1,AND(对接源_02物料!$X109="自备筐",N(对接源_02物料!$T109)&lt;&gt;0)),1,0)</f>
        <v>0</v>
      </c>
      <c r="Y1309" s="1" t="n">
        <f aca="false">N(Y1308)+$X1309</f>
        <v>0</v>
      </c>
      <c r="Z1309" s="1" t="n">
        <f aca="false">IF(AND($M1309=1,对接源_02物料!$D109="原料入库"),1,0)</f>
        <v>0</v>
      </c>
      <c r="AA1309" s="1" t="n">
        <f aca="false">N(AA1308)+$Z1309</f>
        <v>30</v>
      </c>
      <c r="AB1309" s="1" t="n">
        <f aca="false">IF(AND($M1309=1,LEFT(对接源_02物料!$D109,4)="原料出库"),1,0)</f>
        <v>0</v>
      </c>
      <c r="AC1309" s="1" t="n">
        <f aca="false">N(AC1308)+$AB1309</f>
        <v>19</v>
      </c>
      <c r="AD1309" s="1" t="n">
        <f aca="false">IF(AND($M1309=1,LEFT(对接源_02物料!$D109,4)="成品出库"),1,0)</f>
        <v>0</v>
      </c>
      <c r="AE1309" s="1" t="n">
        <f aca="false">N(AE1308)+$AD1309</f>
        <v>38</v>
      </c>
      <c r="AF1309" s="1" t="n">
        <f aca="false">IF(AND($N1309=1,AND(LEFT(对接源_02物料!$D109,4)="包装物料",N(对接源_02物料!$K109)&lt;&gt;0)),1,0)</f>
        <v>0</v>
      </c>
      <c r="AG1309" s="1" t="n">
        <f aca="false">N(AG1308)+$AF1309</f>
        <v>6</v>
      </c>
      <c r="AH1309" s="1" t="n">
        <f aca="false">IF(AND($N1309=1,AND(LEFT(对接源_02物料!$D109,3)="周转筐",N(对接源_02物料!$K109)&lt;&gt;0)),1,0)</f>
        <v>0</v>
      </c>
      <c r="AI1309" s="1" t="n">
        <f aca="false">N(AI1308)+$AH1309</f>
        <v>0</v>
      </c>
      <c r="AJ1309" s="1" t="n">
        <v>0</v>
      </c>
      <c r="AK1309" s="1" t="n">
        <f aca="false">N(AK1308)+$AJ1309</f>
        <v>3672</v>
      </c>
    </row>
    <row r="1310" customFormat="false" ht="13.5" hidden="false" customHeight="false" outlineLevel="0" collapsed="false">
      <c r="A1310" s="1" t="str">
        <f aca="false">IF(对接源_02物料!$C110="","",对接源_02物料!$C110)</f>
        <v>王灵云</v>
      </c>
      <c r="B1310" s="1" t="n">
        <f aca="false">IF(A1310="",0,IF(MATCH(A1310,$A$4:$A$2403,0)=ROW()-3,1,0))</f>
        <v>0</v>
      </c>
      <c r="C1310" s="1" t="n">
        <f aca="false">N(C1309)+B1310</f>
        <v>17</v>
      </c>
      <c r="K1310" s="1" t="n">
        <f aca="false">IF(OR($K$1="",对接源_02物料!$C110="",对接源_02物料!$C110&lt;&gt;$K$1,对接源_02物料!$B110=""),0,IF(OR(N(对接源_02物料!$B110)&lt;$K$2,N(对接源_02物料!$B110)&gt;$K$3),0,1))</f>
        <v>0</v>
      </c>
      <c r="L1310" s="1" t="n">
        <f aca="false">IF(OR($L$1="",对接源_02物料!$C110="",对接源_02物料!$C110&lt;&gt;$L$1,对接源_02物料!$B110=""),0,IF(OR(N(对接源_02物料!$B110)&lt;$L$2,N(对接源_02物料!$B110)&gt;$L$3),0,1))</f>
        <v>0</v>
      </c>
      <c r="M1310" s="1" t="n">
        <f aca="false">IF(OR($M$1="",对接源_02物料!$C110="",对接源_02物料!$C110&lt;&gt;$M$1,对接源_02物料!$B110=""),0,IF(OR(N(对接源_02物料!$B110)&lt;$M$2,N(对接源_02物料!$B110)&gt;$M$3),0,1))</f>
        <v>0</v>
      </c>
      <c r="N1310" s="1" t="n">
        <f aca="false">IF(OR($N$1="",对接源_02物料!$C110="",对接源_02物料!$C110&lt;&gt;$N$1,对接源_02物料!$B110=""),0,IF(OR(N(对接源_02物料!$B110)&lt;$N$2,N(对接源_02物料!$B110)&gt;$N$3),0,1))</f>
        <v>0</v>
      </c>
      <c r="P1310" s="1" t="n">
        <f aca="false">IF(AND($K1310=1,AND(对接源_02物料!$X110="公司筐",N(对接源_02物料!$T110)&lt;&gt;0)),1,0)</f>
        <v>0</v>
      </c>
      <c r="Q1310" s="1" t="n">
        <f aca="false">N(Q1309)+$P1310</f>
        <v>12</v>
      </c>
      <c r="R1310" s="1" t="n">
        <f aca="false">IF(AND($K1310=1,AND(对接源_02物料!$X110="公司筐",N(对接源_02物料!$U110)&lt;&gt;0)),1,0)</f>
        <v>0</v>
      </c>
      <c r="S1310" s="1" t="n">
        <f aca="false">N(S1309)+$R1310</f>
        <v>5</v>
      </c>
      <c r="T1310" s="1" t="n">
        <f aca="false">IF(AND($K1310=1,AND(对接源_02物料!$X110="公司筐",N(对接源_02物料!$V110)&lt;&gt;0)),1,0)</f>
        <v>0</v>
      </c>
      <c r="U1310" s="1" t="n">
        <f aca="false">N(U1309)+$T1310</f>
        <v>28</v>
      </c>
      <c r="V1310" s="1" t="n">
        <f aca="false">IF(AND($L1310=1,AND(对接源_02物料!$X110="自备筐",N(对接源_02物料!$V110)&lt;&gt;0)),1,0)</f>
        <v>0</v>
      </c>
      <c r="W1310" s="1" t="n">
        <f aca="false">N(W1309)+$V1310</f>
        <v>7</v>
      </c>
      <c r="X1310" s="1" t="n">
        <f aca="false">IF(AND($L1310=1,AND(对接源_02物料!$X110="自备筐",N(对接源_02物料!$T110)&lt;&gt;0)),1,0)</f>
        <v>0</v>
      </c>
      <c r="Y1310" s="1" t="n">
        <f aca="false">N(Y1309)+$X1310</f>
        <v>0</v>
      </c>
      <c r="Z1310" s="1" t="n">
        <f aca="false">IF(AND($M1310=1,对接源_02物料!$D110="原料入库"),1,0)</f>
        <v>0</v>
      </c>
      <c r="AA1310" s="1" t="n">
        <f aca="false">N(AA1309)+$Z1310</f>
        <v>30</v>
      </c>
      <c r="AB1310" s="1" t="n">
        <f aca="false">IF(AND($M1310=1,LEFT(对接源_02物料!$D110,4)="原料出库"),1,0)</f>
        <v>0</v>
      </c>
      <c r="AC1310" s="1" t="n">
        <f aca="false">N(AC1309)+$AB1310</f>
        <v>19</v>
      </c>
      <c r="AD1310" s="1" t="n">
        <f aca="false">IF(AND($M1310=1,LEFT(对接源_02物料!$D110,4)="成品出库"),1,0)</f>
        <v>0</v>
      </c>
      <c r="AE1310" s="1" t="n">
        <f aca="false">N(AE1309)+$AD1310</f>
        <v>38</v>
      </c>
      <c r="AF1310" s="1" t="n">
        <f aca="false">IF(AND($N1310=1,AND(LEFT(对接源_02物料!$D110,4)="包装物料",N(对接源_02物料!$K110)&lt;&gt;0)),1,0)</f>
        <v>0</v>
      </c>
      <c r="AG1310" s="1" t="n">
        <f aca="false">N(AG1309)+$AF1310</f>
        <v>6</v>
      </c>
      <c r="AH1310" s="1" t="n">
        <f aca="false">IF(AND($N1310=1,AND(LEFT(对接源_02物料!$D110,3)="周转筐",N(对接源_02物料!$K110)&lt;&gt;0)),1,0)</f>
        <v>0</v>
      </c>
      <c r="AI1310" s="1" t="n">
        <f aca="false">N(AI1309)+$AH1310</f>
        <v>0</v>
      </c>
      <c r="AJ1310" s="1" t="n">
        <v>0</v>
      </c>
      <c r="AK1310" s="1" t="n">
        <f aca="false">N(AK1309)+$AJ1310</f>
        <v>3672</v>
      </c>
    </row>
    <row r="1311" customFormat="false" ht="13.5" hidden="false" customHeight="false" outlineLevel="0" collapsed="false">
      <c r="A1311" s="1" t="str">
        <f aca="false">IF(对接源_02物料!$C111="","",对接源_02物料!$C111)</f>
        <v>王照雪</v>
      </c>
      <c r="B1311" s="1" t="n">
        <f aca="false">IF(A1311="",0,IF(MATCH(A1311,$A$4:$A$2403,0)=ROW()-3,1,0))</f>
        <v>0</v>
      </c>
      <c r="C1311" s="1" t="n">
        <f aca="false">N(C1310)+B1311</f>
        <v>17</v>
      </c>
      <c r="K1311" s="1" t="n">
        <f aca="false">IF(OR($K$1="",对接源_02物料!$C111="",对接源_02物料!$C111&lt;&gt;$K$1,对接源_02物料!$B111=""),0,IF(OR(N(对接源_02物料!$B111)&lt;$K$2,N(对接源_02物料!$B111)&gt;$K$3),0,1))</f>
        <v>1</v>
      </c>
      <c r="L1311" s="1" t="n">
        <f aca="false">IF(OR($L$1="",对接源_02物料!$C111="",对接源_02物料!$C111&lt;&gt;$L$1,对接源_02物料!$B111=""),0,IF(OR(N(对接源_02物料!$B111)&lt;$L$2,N(对接源_02物料!$B111)&gt;$L$3),0,1))</f>
        <v>0</v>
      </c>
      <c r="M1311" s="1" t="n">
        <f aca="false">IF(OR($M$1="",对接源_02物料!$C111="",对接源_02物料!$C111&lt;&gt;$M$1,对接源_02物料!$B111=""),0,IF(OR(N(对接源_02物料!$B111)&lt;$M$2,N(对接源_02物料!$B111)&gt;$M$3),0,1))</f>
        <v>1</v>
      </c>
      <c r="N1311" s="1" t="n">
        <f aca="false">IF(OR($N$1="",对接源_02物料!$C111="",对接源_02物料!$C111&lt;&gt;$N$1,对接源_02物料!$B111=""),0,IF(OR(N(对接源_02物料!$B111)&lt;$N$2,N(对接源_02物料!$B111)&gt;$N$3),0,1))</f>
        <v>0</v>
      </c>
      <c r="P1311" s="1" t="n">
        <f aca="false">IF(AND($K1311=1,AND(对接源_02物料!$X111="公司筐",N(对接源_02物料!$T111)&lt;&gt;0)),1,0)</f>
        <v>1</v>
      </c>
      <c r="Q1311" s="1" t="n">
        <f aca="false">N(Q1310)+$P1311</f>
        <v>13</v>
      </c>
      <c r="R1311" s="1" t="n">
        <f aca="false">IF(AND($K1311=1,AND(对接源_02物料!$X111="公司筐",N(对接源_02物料!$U111)&lt;&gt;0)),1,0)</f>
        <v>0</v>
      </c>
      <c r="S1311" s="1" t="n">
        <f aca="false">N(S1310)+$R1311</f>
        <v>5</v>
      </c>
      <c r="T1311" s="1" t="n">
        <f aca="false">IF(AND($K1311=1,AND(对接源_02物料!$X111="公司筐",N(对接源_02物料!$V111)&lt;&gt;0)),1,0)</f>
        <v>0</v>
      </c>
      <c r="U1311" s="1" t="n">
        <f aca="false">N(U1310)+$T1311</f>
        <v>28</v>
      </c>
      <c r="V1311" s="1" t="n">
        <f aca="false">IF(AND($L1311=1,AND(对接源_02物料!$X111="自备筐",N(对接源_02物料!$V111)&lt;&gt;0)),1,0)</f>
        <v>0</v>
      </c>
      <c r="W1311" s="1" t="n">
        <f aca="false">N(W1310)+$V1311</f>
        <v>7</v>
      </c>
      <c r="X1311" s="1" t="n">
        <f aca="false">IF(AND($L1311=1,AND(对接源_02物料!$X111="自备筐",N(对接源_02物料!$T111)&lt;&gt;0)),1,0)</f>
        <v>0</v>
      </c>
      <c r="Y1311" s="1" t="n">
        <f aca="false">N(Y1310)+$X1311</f>
        <v>0</v>
      </c>
      <c r="Z1311" s="1" t="n">
        <f aca="false">IF(AND($M1311=1,对接源_02物料!$D111="原料入库"),1,0)</f>
        <v>0</v>
      </c>
      <c r="AA1311" s="1" t="n">
        <f aca="false">N(AA1310)+$Z1311</f>
        <v>30</v>
      </c>
      <c r="AB1311" s="1" t="n">
        <f aca="false">IF(AND($M1311=1,LEFT(对接源_02物料!$D111,4)="原料出库"),1,0)</f>
        <v>0</v>
      </c>
      <c r="AC1311" s="1" t="n">
        <f aca="false">N(AC1310)+$AB1311</f>
        <v>19</v>
      </c>
      <c r="AD1311" s="1" t="n">
        <f aca="false">IF(AND($M1311=1,LEFT(对接源_02物料!$D111,4)="成品出库"),1,0)</f>
        <v>0</v>
      </c>
      <c r="AE1311" s="1" t="n">
        <f aca="false">N(AE1310)+$AD1311</f>
        <v>38</v>
      </c>
      <c r="AF1311" s="1" t="n">
        <f aca="false">IF(AND($N1311=1,AND(LEFT(对接源_02物料!$D111,4)="包装物料",N(对接源_02物料!$K111)&lt;&gt;0)),1,0)</f>
        <v>0</v>
      </c>
      <c r="AG1311" s="1" t="n">
        <f aca="false">N(AG1310)+$AF1311</f>
        <v>6</v>
      </c>
      <c r="AH1311" s="1" t="n">
        <f aca="false">IF(AND($N1311=1,AND(LEFT(对接源_02物料!$D111,3)="周转筐",N(对接源_02物料!$K111)&lt;&gt;0)),1,0)</f>
        <v>0</v>
      </c>
      <c r="AI1311" s="1" t="n">
        <f aca="false">N(AI1310)+$AH1311</f>
        <v>0</v>
      </c>
      <c r="AJ1311" s="1" t="n">
        <v>0</v>
      </c>
      <c r="AK1311" s="1" t="n">
        <f aca="false">N(AK1310)+$AJ1311</f>
        <v>3672</v>
      </c>
    </row>
    <row r="1312" customFormat="false" ht="13.5" hidden="false" customHeight="false" outlineLevel="0" collapsed="false">
      <c r="A1312" s="1" t="str">
        <f aca="false">IF(对接源_02物料!$C112="","",对接源_02物料!$C112)</f>
        <v>王照雪</v>
      </c>
      <c r="B1312" s="1" t="n">
        <f aca="false">IF(A1312="",0,IF(MATCH(A1312,$A$4:$A$2403,0)=ROW()-3,1,0))</f>
        <v>0</v>
      </c>
      <c r="C1312" s="1" t="n">
        <f aca="false">N(C1311)+B1312</f>
        <v>17</v>
      </c>
      <c r="K1312" s="1" t="n">
        <f aca="false">IF(OR($K$1="",对接源_02物料!$C112="",对接源_02物料!$C112&lt;&gt;$K$1,对接源_02物料!$B112=""),0,IF(OR(N(对接源_02物料!$B112)&lt;$K$2,N(对接源_02物料!$B112)&gt;$K$3),0,1))</f>
        <v>1</v>
      </c>
      <c r="L1312" s="1" t="n">
        <f aca="false">IF(OR($L$1="",对接源_02物料!$C112="",对接源_02物料!$C112&lt;&gt;$L$1,对接源_02物料!$B112=""),0,IF(OR(N(对接源_02物料!$B112)&lt;$L$2,N(对接源_02物料!$B112)&gt;$L$3),0,1))</f>
        <v>0</v>
      </c>
      <c r="M1312" s="1" t="n">
        <f aca="false">IF(OR($M$1="",对接源_02物料!$C112="",对接源_02物料!$C112&lt;&gt;$M$1,对接源_02物料!$B112=""),0,IF(OR(N(对接源_02物料!$B112)&lt;$M$2,N(对接源_02物料!$B112)&gt;$M$3),0,1))</f>
        <v>1</v>
      </c>
      <c r="N1312" s="1" t="n">
        <f aca="false">IF(OR($N$1="",对接源_02物料!$C112="",对接源_02物料!$C112&lt;&gt;$N$1,对接源_02物料!$B112=""),0,IF(OR(N(对接源_02物料!$B112)&lt;$N$2,N(对接源_02物料!$B112)&gt;$N$3),0,1))</f>
        <v>0</v>
      </c>
      <c r="P1312" s="1" t="n">
        <f aca="false">IF(AND($K1312=1,AND(对接源_02物料!$X112="公司筐",N(对接源_02物料!$T112)&lt;&gt;0)),1,0)</f>
        <v>0</v>
      </c>
      <c r="Q1312" s="1" t="n">
        <f aca="false">N(Q1311)+$P1312</f>
        <v>13</v>
      </c>
      <c r="R1312" s="1" t="n">
        <f aca="false">IF(AND($K1312=1,AND(对接源_02物料!$X112="公司筐",N(对接源_02物料!$U112)&lt;&gt;0)),1,0)</f>
        <v>0</v>
      </c>
      <c r="S1312" s="1" t="n">
        <f aca="false">N(S1311)+$R1312</f>
        <v>5</v>
      </c>
      <c r="T1312" s="1" t="n">
        <f aca="false">IF(AND($K1312=1,AND(对接源_02物料!$X112="公司筐",N(对接源_02物料!$V112)&lt;&gt;0)),1,0)</f>
        <v>0</v>
      </c>
      <c r="U1312" s="1" t="n">
        <f aca="false">N(U1311)+$T1312</f>
        <v>28</v>
      </c>
      <c r="V1312" s="1" t="n">
        <f aca="false">IF(AND($L1312=1,AND(对接源_02物料!$X112="自备筐",N(对接源_02物料!$V112)&lt;&gt;0)),1,0)</f>
        <v>0</v>
      </c>
      <c r="W1312" s="1" t="n">
        <f aca="false">N(W1311)+$V1312</f>
        <v>7</v>
      </c>
      <c r="X1312" s="1" t="n">
        <f aca="false">IF(AND($L1312=1,AND(对接源_02物料!$X112="自备筐",N(对接源_02物料!$T112)&lt;&gt;0)),1,0)</f>
        <v>0</v>
      </c>
      <c r="Y1312" s="1" t="n">
        <f aca="false">N(Y1311)+$X1312</f>
        <v>0</v>
      </c>
      <c r="Z1312" s="1" t="n">
        <f aca="false">IF(AND($M1312=1,对接源_02物料!$D112="原料入库"),1,0)</f>
        <v>0</v>
      </c>
      <c r="AA1312" s="1" t="n">
        <f aca="false">N(AA1311)+$Z1312</f>
        <v>30</v>
      </c>
      <c r="AB1312" s="1" t="n">
        <f aca="false">IF(AND($M1312=1,LEFT(对接源_02物料!$D112,4)="原料出库"),1,0)</f>
        <v>0</v>
      </c>
      <c r="AC1312" s="1" t="n">
        <f aca="false">N(AC1311)+$AB1312</f>
        <v>19</v>
      </c>
      <c r="AD1312" s="1" t="n">
        <f aca="false">IF(AND($M1312=1,LEFT(对接源_02物料!$D112,4)="成品出库"),1,0)</f>
        <v>0</v>
      </c>
      <c r="AE1312" s="1" t="n">
        <f aca="false">N(AE1311)+$AD1312</f>
        <v>38</v>
      </c>
      <c r="AF1312" s="1" t="n">
        <f aca="false">IF(AND($N1312=1,AND(LEFT(对接源_02物料!$D112,4)="包装物料",N(对接源_02物料!$K112)&lt;&gt;0)),1,0)</f>
        <v>0</v>
      </c>
      <c r="AG1312" s="1" t="n">
        <f aca="false">N(AG1311)+$AF1312</f>
        <v>6</v>
      </c>
      <c r="AH1312" s="1" t="n">
        <f aca="false">IF(AND($N1312=1,AND(LEFT(对接源_02物料!$D112,3)="周转筐",N(对接源_02物料!$K112)&lt;&gt;0)),1,0)</f>
        <v>0</v>
      </c>
      <c r="AI1312" s="1" t="n">
        <f aca="false">N(AI1311)+$AH1312</f>
        <v>0</v>
      </c>
      <c r="AJ1312" s="1" t="n">
        <v>0</v>
      </c>
      <c r="AK1312" s="1" t="n">
        <f aca="false">N(AK1311)+$AJ1312</f>
        <v>3672</v>
      </c>
    </row>
    <row r="1313" customFormat="false" ht="13.5" hidden="false" customHeight="false" outlineLevel="0" collapsed="false">
      <c r="A1313" s="1" t="str">
        <f aca="false">IF(对接源_02物料!$C113="","",对接源_02物料!$C113)</f>
        <v>王照雪</v>
      </c>
      <c r="B1313" s="1" t="n">
        <f aca="false">IF(A1313="",0,IF(MATCH(A1313,$A$4:$A$2403,0)=ROW()-3,1,0))</f>
        <v>0</v>
      </c>
      <c r="C1313" s="1" t="n">
        <f aca="false">N(C1312)+B1313</f>
        <v>17</v>
      </c>
      <c r="K1313" s="1" t="n">
        <f aca="false">IF(OR($K$1="",对接源_02物料!$C113="",对接源_02物料!$C113&lt;&gt;$K$1,对接源_02物料!$B113=""),0,IF(OR(N(对接源_02物料!$B113)&lt;$K$2,N(对接源_02物料!$B113)&gt;$K$3),0,1))</f>
        <v>0</v>
      </c>
      <c r="L1313" s="1" t="n">
        <f aca="false">IF(OR($L$1="",对接源_02物料!$C113="",对接源_02物料!$C113&lt;&gt;$L$1,对接源_02物料!$B113=""),0,IF(OR(N(对接源_02物料!$B113)&lt;$L$2,N(对接源_02物料!$B113)&gt;$L$3),0,1))</f>
        <v>0</v>
      </c>
      <c r="M1313" s="1" t="n">
        <f aca="false">IF(OR($M$1="",对接源_02物料!$C113="",对接源_02物料!$C113&lt;&gt;$M$1,对接源_02物料!$B113=""),0,IF(OR(N(对接源_02物料!$B113)&lt;$M$2,N(对接源_02物料!$B113)&gt;$M$3),0,1))</f>
        <v>0</v>
      </c>
      <c r="N1313" s="1" t="n">
        <f aca="false">IF(OR($N$1="",对接源_02物料!$C113="",对接源_02物料!$C113&lt;&gt;$N$1,对接源_02物料!$B113=""),0,IF(OR(N(对接源_02物料!$B113)&lt;$N$2,N(对接源_02物料!$B113)&gt;$N$3),0,1))</f>
        <v>0</v>
      </c>
      <c r="P1313" s="1" t="n">
        <f aca="false">IF(AND($K1313=1,AND(对接源_02物料!$X113="公司筐",N(对接源_02物料!$T113)&lt;&gt;0)),1,0)</f>
        <v>0</v>
      </c>
      <c r="Q1313" s="1" t="n">
        <f aca="false">N(Q1312)+$P1313</f>
        <v>13</v>
      </c>
      <c r="R1313" s="1" t="n">
        <f aca="false">IF(AND($K1313=1,AND(对接源_02物料!$X113="公司筐",N(对接源_02物料!$U113)&lt;&gt;0)),1,0)</f>
        <v>0</v>
      </c>
      <c r="S1313" s="1" t="n">
        <f aca="false">N(S1312)+$R1313</f>
        <v>5</v>
      </c>
      <c r="T1313" s="1" t="n">
        <f aca="false">IF(AND($K1313=1,AND(对接源_02物料!$X113="公司筐",N(对接源_02物料!$V113)&lt;&gt;0)),1,0)</f>
        <v>0</v>
      </c>
      <c r="U1313" s="1" t="n">
        <f aca="false">N(U1312)+$T1313</f>
        <v>28</v>
      </c>
      <c r="V1313" s="1" t="n">
        <f aca="false">IF(AND($L1313=1,AND(对接源_02物料!$X113="自备筐",N(对接源_02物料!$V113)&lt;&gt;0)),1,0)</f>
        <v>0</v>
      </c>
      <c r="W1313" s="1" t="n">
        <f aca="false">N(W1312)+$V1313</f>
        <v>7</v>
      </c>
      <c r="X1313" s="1" t="n">
        <f aca="false">IF(AND($L1313=1,AND(对接源_02物料!$X113="自备筐",N(对接源_02物料!$T113)&lt;&gt;0)),1,0)</f>
        <v>0</v>
      </c>
      <c r="Y1313" s="1" t="n">
        <f aca="false">N(Y1312)+$X1313</f>
        <v>0</v>
      </c>
      <c r="Z1313" s="1" t="n">
        <f aca="false">IF(AND($M1313=1,对接源_02物料!$D113="原料入库"),1,0)</f>
        <v>0</v>
      </c>
      <c r="AA1313" s="1" t="n">
        <f aca="false">N(AA1312)+$Z1313</f>
        <v>30</v>
      </c>
      <c r="AB1313" s="1" t="n">
        <f aca="false">IF(AND($M1313=1,LEFT(对接源_02物料!$D113,4)="原料出库"),1,0)</f>
        <v>0</v>
      </c>
      <c r="AC1313" s="1" t="n">
        <f aca="false">N(AC1312)+$AB1313</f>
        <v>19</v>
      </c>
      <c r="AD1313" s="1" t="n">
        <f aca="false">IF(AND($M1313=1,LEFT(对接源_02物料!$D113,4)="成品出库"),1,0)</f>
        <v>0</v>
      </c>
      <c r="AE1313" s="1" t="n">
        <f aca="false">N(AE1312)+$AD1313</f>
        <v>38</v>
      </c>
      <c r="AF1313" s="1" t="n">
        <f aca="false">IF(AND($N1313=1,AND(LEFT(对接源_02物料!$D113,4)="包装物料",N(对接源_02物料!$K113)&lt;&gt;0)),1,0)</f>
        <v>0</v>
      </c>
      <c r="AG1313" s="1" t="n">
        <f aca="false">N(AG1312)+$AF1313</f>
        <v>6</v>
      </c>
      <c r="AH1313" s="1" t="n">
        <f aca="false">IF(AND($N1313=1,AND(LEFT(对接源_02物料!$D113,3)="周转筐",N(对接源_02物料!$K113)&lt;&gt;0)),1,0)</f>
        <v>0</v>
      </c>
      <c r="AI1313" s="1" t="n">
        <f aca="false">N(AI1312)+$AH1313</f>
        <v>0</v>
      </c>
      <c r="AJ1313" s="1" t="n">
        <v>0</v>
      </c>
      <c r="AK1313" s="1" t="n">
        <f aca="false">N(AK1312)+$AJ1313</f>
        <v>3672</v>
      </c>
    </row>
    <row r="1314" customFormat="false" ht="13.5" hidden="false" customHeight="false" outlineLevel="0" collapsed="false">
      <c r="A1314" s="1" t="str">
        <f aca="false">IF(对接源_02物料!$C114="","",对接源_02物料!$C114)</f>
        <v/>
      </c>
      <c r="B1314" s="1" t="n">
        <f aca="false">IF(A1314="",0,IF(MATCH(A1314,$A$4:$A$2403,0)=ROW()-3,1,0))</f>
        <v>0</v>
      </c>
      <c r="C1314" s="1" t="n">
        <f aca="false">N(C1313)+B1314</f>
        <v>17</v>
      </c>
      <c r="K1314" s="1" t="n">
        <f aca="false">IF(OR($K$1="",对接源_02物料!$C114="",对接源_02物料!$C114&lt;&gt;$K$1,对接源_02物料!$B114=""),0,IF(OR(N(对接源_02物料!$B114)&lt;$K$2,N(对接源_02物料!$B114)&gt;$K$3),0,1))</f>
        <v>0</v>
      </c>
      <c r="L1314" s="1" t="n">
        <f aca="false">IF(OR($L$1="",对接源_02物料!$C114="",对接源_02物料!$C114&lt;&gt;$L$1,对接源_02物料!$B114=""),0,IF(OR(N(对接源_02物料!$B114)&lt;$L$2,N(对接源_02物料!$B114)&gt;$L$3),0,1))</f>
        <v>0</v>
      </c>
      <c r="M1314" s="1" t="n">
        <f aca="false">IF(OR($M$1="",对接源_02物料!$C114="",对接源_02物料!$C114&lt;&gt;$M$1,对接源_02物料!$B114=""),0,IF(OR(N(对接源_02物料!$B114)&lt;$M$2,N(对接源_02物料!$B114)&gt;$M$3),0,1))</f>
        <v>0</v>
      </c>
      <c r="N1314" s="1" t="n">
        <f aca="false">IF(OR($N$1="",对接源_02物料!$C114="",对接源_02物料!$C114&lt;&gt;$N$1,对接源_02物料!$B114=""),0,IF(OR(N(对接源_02物料!$B114)&lt;$N$2,N(对接源_02物料!$B114)&gt;$N$3),0,1))</f>
        <v>0</v>
      </c>
      <c r="P1314" s="1" t="n">
        <f aca="false">IF(AND($K1314=1,AND(对接源_02物料!$X114="公司筐",N(对接源_02物料!$T114)&lt;&gt;0)),1,0)</f>
        <v>0</v>
      </c>
      <c r="Q1314" s="1" t="n">
        <f aca="false">N(Q1313)+$P1314</f>
        <v>13</v>
      </c>
      <c r="R1314" s="1" t="n">
        <f aca="false">IF(AND($K1314=1,AND(对接源_02物料!$X114="公司筐",N(对接源_02物料!$U114)&lt;&gt;0)),1,0)</f>
        <v>0</v>
      </c>
      <c r="S1314" s="1" t="n">
        <f aca="false">N(S1313)+$R1314</f>
        <v>5</v>
      </c>
      <c r="T1314" s="1" t="n">
        <f aca="false">IF(AND($K1314=1,AND(对接源_02物料!$X114="公司筐",N(对接源_02物料!$V114)&lt;&gt;0)),1,0)</f>
        <v>0</v>
      </c>
      <c r="U1314" s="1" t="n">
        <f aca="false">N(U1313)+$T1314</f>
        <v>28</v>
      </c>
      <c r="V1314" s="1" t="n">
        <f aca="false">IF(AND($L1314=1,AND(对接源_02物料!$X114="自备筐",N(对接源_02物料!$V114)&lt;&gt;0)),1,0)</f>
        <v>0</v>
      </c>
      <c r="W1314" s="1" t="n">
        <f aca="false">N(W1313)+$V1314</f>
        <v>7</v>
      </c>
      <c r="X1314" s="1" t="n">
        <f aca="false">IF(AND($L1314=1,AND(对接源_02物料!$X114="自备筐",N(对接源_02物料!$T114)&lt;&gt;0)),1,0)</f>
        <v>0</v>
      </c>
      <c r="Y1314" s="1" t="n">
        <f aca="false">N(Y1313)+$X1314</f>
        <v>0</v>
      </c>
      <c r="Z1314" s="1" t="n">
        <f aca="false">IF(AND($M1314=1,对接源_02物料!$D114="原料入库"),1,0)</f>
        <v>0</v>
      </c>
      <c r="AA1314" s="1" t="n">
        <f aca="false">N(AA1313)+$Z1314</f>
        <v>30</v>
      </c>
      <c r="AB1314" s="1" t="n">
        <f aca="false">IF(AND($M1314=1,LEFT(对接源_02物料!$D114,4)="原料出库"),1,0)</f>
        <v>0</v>
      </c>
      <c r="AC1314" s="1" t="n">
        <f aca="false">N(AC1313)+$AB1314</f>
        <v>19</v>
      </c>
      <c r="AD1314" s="1" t="n">
        <f aca="false">IF(AND($M1314=1,LEFT(对接源_02物料!$D114,4)="成品出库"),1,0)</f>
        <v>0</v>
      </c>
      <c r="AE1314" s="1" t="n">
        <f aca="false">N(AE1313)+$AD1314</f>
        <v>38</v>
      </c>
      <c r="AF1314" s="1" t="n">
        <f aca="false">IF(AND($N1314=1,AND(LEFT(对接源_02物料!$D114,4)="包装物料",N(对接源_02物料!$K114)&lt;&gt;0)),1,0)</f>
        <v>0</v>
      </c>
      <c r="AG1314" s="1" t="n">
        <f aca="false">N(AG1313)+$AF1314</f>
        <v>6</v>
      </c>
      <c r="AH1314" s="1" t="n">
        <f aca="false">IF(AND($N1314=1,AND(LEFT(对接源_02物料!$D114,3)="周转筐",N(对接源_02物料!$K114)&lt;&gt;0)),1,0)</f>
        <v>0</v>
      </c>
      <c r="AI1314" s="1" t="n">
        <f aca="false">N(AI1313)+$AH1314</f>
        <v>0</v>
      </c>
      <c r="AJ1314" s="1" t="n">
        <v>0</v>
      </c>
      <c r="AK1314" s="1" t="n">
        <f aca="false">N(AK1313)+$AJ1314</f>
        <v>3672</v>
      </c>
    </row>
    <row r="1315" customFormat="false" ht="13.5" hidden="false" customHeight="false" outlineLevel="0" collapsed="false">
      <c r="A1315" s="1" t="str">
        <f aca="false">IF(对接源_02物料!$C115="","",对接源_02物料!$C115)</f>
        <v/>
      </c>
      <c r="B1315" s="1" t="n">
        <f aca="false">IF(A1315="",0,IF(MATCH(A1315,$A$4:$A$2403,0)=ROW()-3,1,0))</f>
        <v>0</v>
      </c>
      <c r="C1315" s="1" t="n">
        <f aca="false">N(C1314)+B1315</f>
        <v>17</v>
      </c>
      <c r="K1315" s="1" t="n">
        <f aca="false">IF(OR($K$1="",对接源_02物料!$C115="",对接源_02物料!$C115&lt;&gt;$K$1,对接源_02物料!$B115=""),0,IF(OR(N(对接源_02物料!$B115)&lt;$K$2,N(对接源_02物料!$B115)&gt;$K$3),0,1))</f>
        <v>0</v>
      </c>
      <c r="L1315" s="1" t="n">
        <f aca="false">IF(OR($L$1="",对接源_02物料!$C115="",对接源_02物料!$C115&lt;&gt;$L$1,对接源_02物料!$B115=""),0,IF(OR(N(对接源_02物料!$B115)&lt;$L$2,N(对接源_02物料!$B115)&gt;$L$3),0,1))</f>
        <v>0</v>
      </c>
      <c r="M1315" s="1" t="n">
        <f aca="false">IF(OR($M$1="",对接源_02物料!$C115="",对接源_02物料!$C115&lt;&gt;$M$1,对接源_02物料!$B115=""),0,IF(OR(N(对接源_02物料!$B115)&lt;$M$2,N(对接源_02物料!$B115)&gt;$M$3),0,1))</f>
        <v>0</v>
      </c>
      <c r="N1315" s="1" t="n">
        <f aca="false">IF(OR($N$1="",对接源_02物料!$C115="",对接源_02物料!$C115&lt;&gt;$N$1,对接源_02物料!$B115=""),0,IF(OR(N(对接源_02物料!$B115)&lt;$N$2,N(对接源_02物料!$B115)&gt;$N$3),0,1))</f>
        <v>0</v>
      </c>
      <c r="P1315" s="1" t="n">
        <f aca="false">IF(AND($K1315=1,AND(对接源_02物料!$X115="公司筐",N(对接源_02物料!$T115)&lt;&gt;0)),1,0)</f>
        <v>0</v>
      </c>
      <c r="Q1315" s="1" t="n">
        <f aca="false">N(Q1314)+$P1315</f>
        <v>13</v>
      </c>
      <c r="R1315" s="1" t="n">
        <f aca="false">IF(AND($K1315=1,AND(对接源_02物料!$X115="公司筐",N(对接源_02物料!$U115)&lt;&gt;0)),1,0)</f>
        <v>0</v>
      </c>
      <c r="S1315" s="1" t="n">
        <f aca="false">N(S1314)+$R1315</f>
        <v>5</v>
      </c>
      <c r="T1315" s="1" t="n">
        <f aca="false">IF(AND($K1315=1,AND(对接源_02物料!$X115="公司筐",N(对接源_02物料!$V115)&lt;&gt;0)),1,0)</f>
        <v>0</v>
      </c>
      <c r="U1315" s="1" t="n">
        <f aca="false">N(U1314)+$T1315</f>
        <v>28</v>
      </c>
      <c r="V1315" s="1" t="n">
        <f aca="false">IF(AND($L1315=1,AND(对接源_02物料!$X115="自备筐",N(对接源_02物料!$V115)&lt;&gt;0)),1,0)</f>
        <v>0</v>
      </c>
      <c r="W1315" s="1" t="n">
        <f aca="false">N(W1314)+$V1315</f>
        <v>7</v>
      </c>
      <c r="X1315" s="1" t="n">
        <f aca="false">IF(AND($L1315=1,AND(对接源_02物料!$X115="自备筐",N(对接源_02物料!$T115)&lt;&gt;0)),1,0)</f>
        <v>0</v>
      </c>
      <c r="Y1315" s="1" t="n">
        <f aca="false">N(Y1314)+$X1315</f>
        <v>0</v>
      </c>
      <c r="Z1315" s="1" t="n">
        <f aca="false">IF(AND($M1315=1,对接源_02物料!$D115="原料入库"),1,0)</f>
        <v>0</v>
      </c>
      <c r="AA1315" s="1" t="n">
        <f aca="false">N(AA1314)+$Z1315</f>
        <v>30</v>
      </c>
      <c r="AB1315" s="1" t="n">
        <f aca="false">IF(AND($M1315=1,LEFT(对接源_02物料!$D115,4)="原料出库"),1,0)</f>
        <v>0</v>
      </c>
      <c r="AC1315" s="1" t="n">
        <f aca="false">N(AC1314)+$AB1315</f>
        <v>19</v>
      </c>
      <c r="AD1315" s="1" t="n">
        <f aca="false">IF(AND($M1315=1,LEFT(对接源_02物料!$D115,4)="成品出库"),1,0)</f>
        <v>0</v>
      </c>
      <c r="AE1315" s="1" t="n">
        <f aca="false">N(AE1314)+$AD1315</f>
        <v>38</v>
      </c>
      <c r="AF1315" s="1" t="n">
        <f aca="false">IF(AND($N1315=1,AND(LEFT(对接源_02物料!$D115,4)="包装物料",N(对接源_02物料!$K115)&lt;&gt;0)),1,0)</f>
        <v>0</v>
      </c>
      <c r="AG1315" s="1" t="n">
        <f aca="false">N(AG1314)+$AF1315</f>
        <v>6</v>
      </c>
      <c r="AH1315" s="1" t="n">
        <f aca="false">IF(AND($N1315=1,AND(LEFT(对接源_02物料!$D115,3)="周转筐",N(对接源_02物料!$K115)&lt;&gt;0)),1,0)</f>
        <v>0</v>
      </c>
      <c r="AI1315" s="1" t="n">
        <f aca="false">N(AI1314)+$AH1315</f>
        <v>0</v>
      </c>
      <c r="AJ1315" s="1" t="n">
        <v>0</v>
      </c>
      <c r="AK1315" s="1" t="n">
        <f aca="false">N(AK1314)+$AJ1315</f>
        <v>3672</v>
      </c>
    </row>
    <row r="1316" customFormat="false" ht="13.5" hidden="false" customHeight="false" outlineLevel="0" collapsed="false">
      <c r="A1316" s="1" t="str">
        <f aca="false">IF(对接源_02物料!$C116="","",对接源_02物料!$C116)</f>
        <v/>
      </c>
      <c r="B1316" s="1" t="n">
        <f aca="false">IF(A1316="",0,IF(MATCH(A1316,$A$4:$A$2403,0)=ROW()-3,1,0))</f>
        <v>0</v>
      </c>
      <c r="C1316" s="1" t="n">
        <f aca="false">N(C1315)+B1316</f>
        <v>17</v>
      </c>
      <c r="K1316" s="1" t="n">
        <f aca="false">IF(OR($K$1="",对接源_02物料!$C116="",对接源_02物料!$C116&lt;&gt;$K$1,对接源_02物料!$B116=""),0,IF(OR(N(对接源_02物料!$B116)&lt;$K$2,N(对接源_02物料!$B116)&gt;$K$3),0,1))</f>
        <v>0</v>
      </c>
      <c r="L1316" s="1" t="n">
        <f aca="false">IF(OR($L$1="",对接源_02物料!$C116="",对接源_02物料!$C116&lt;&gt;$L$1,对接源_02物料!$B116=""),0,IF(OR(N(对接源_02物料!$B116)&lt;$L$2,N(对接源_02物料!$B116)&gt;$L$3),0,1))</f>
        <v>0</v>
      </c>
      <c r="M1316" s="1" t="n">
        <f aca="false">IF(OR($M$1="",对接源_02物料!$C116="",对接源_02物料!$C116&lt;&gt;$M$1,对接源_02物料!$B116=""),0,IF(OR(N(对接源_02物料!$B116)&lt;$M$2,N(对接源_02物料!$B116)&gt;$M$3),0,1))</f>
        <v>0</v>
      </c>
      <c r="N1316" s="1" t="n">
        <f aca="false">IF(OR($N$1="",对接源_02物料!$C116="",对接源_02物料!$C116&lt;&gt;$N$1,对接源_02物料!$B116=""),0,IF(OR(N(对接源_02物料!$B116)&lt;$N$2,N(对接源_02物料!$B116)&gt;$N$3),0,1))</f>
        <v>0</v>
      </c>
      <c r="P1316" s="1" t="n">
        <f aca="false">IF(AND($K1316=1,AND(对接源_02物料!$X116="公司筐",N(对接源_02物料!$T116)&lt;&gt;0)),1,0)</f>
        <v>0</v>
      </c>
      <c r="Q1316" s="1" t="n">
        <f aca="false">N(Q1315)+$P1316</f>
        <v>13</v>
      </c>
      <c r="R1316" s="1" t="n">
        <f aca="false">IF(AND($K1316=1,AND(对接源_02物料!$X116="公司筐",N(对接源_02物料!$U116)&lt;&gt;0)),1,0)</f>
        <v>0</v>
      </c>
      <c r="S1316" s="1" t="n">
        <f aca="false">N(S1315)+$R1316</f>
        <v>5</v>
      </c>
      <c r="T1316" s="1" t="n">
        <f aca="false">IF(AND($K1316=1,AND(对接源_02物料!$X116="公司筐",N(对接源_02物料!$V116)&lt;&gt;0)),1,0)</f>
        <v>0</v>
      </c>
      <c r="U1316" s="1" t="n">
        <f aca="false">N(U1315)+$T1316</f>
        <v>28</v>
      </c>
      <c r="V1316" s="1" t="n">
        <f aca="false">IF(AND($L1316=1,AND(对接源_02物料!$X116="自备筐",N(对接源_02物料!$V116)&lt;&gt;0)),1,0)</f>
        <v>0</v>
      </c>
      <c r="W1316" s="1" t="n">
        <f aca="false">N(W1315)+$V1316</f>
        <v>7</v>
      </c>
      <c r="X1316" s="1" t="n">
        <f aca="false">IF(AND($L1316=1,AND(对接源_02物料!$X116="自备筐",N(对接源_02物料!$T116)&lt;&gt;0)),1,0)</f>
        <v>0</v>
      </c>
      <c r="Y1316" s="1" t="n">
        <f aca="false">N(Y1315)+$X1316</f>
        <v>0</v>
      </c>
      <c r="Z1316" s="1" t="n">
        <f aca="false">IF(AND($M1316=1,对接源_02物料!$D116="原料入库"),1,0)</f>
        <v>0</v>
      </c>
      <c r="AA1316" s="1" t="n">
        <f aca="false">N(AA1315)+$Z1316</f>
        <v>30</v>
      </c>
      <c r="AB1316" s="1" t="n">
        <f aca="false">IF(AND($M1316=1,LEFT(对接源_02物料!$D116,4)="原料出库"),1,0)</f>
        <v>0</v>
      </c>
      <c r="AC1316" s="1" t="n">
        <f aca="false">N(AC1315)+$AB1316</f>
        <v>19</v>
      </c>
      <c r="AD1316" s="1" t="n">
        <f aca="false">IF(AND($M1316=1,LEFT(对接源_02物料!$D116,4)="成品出库"),1,0)</f>
        <v>0</v>
      </c>
      <c r="AE1316" s="1" t="n">
        <f aca="false">N(AE1315)+$AD1316</f>
        <v>38</v>
      </c>
      <c r="AF1316" s="1" t="n">
        <f aca="false">IF(AND($N1316=1,AND(LEFT(对接源_02物料!$D116,4)="包装物料",N(对接源_02物料!$K116)&lt;&gt;0)),1,0)</f>
        <v>0</v>
      </c>
      <c r="AG1316" s="1" t="n">
        <f aca="false">N(AG1315)+$AF1316</f>
        <v>6</v>
      </c>
      <c r="AH1316" s="1" t="n">
        <f aca="false">IF(AND($N1316=1,AND(LEFT(对接源_02物料!$D116,3)="周转筐",N(对接源_02物料!$K116)&lt;&gt;0)),1,0)</f>
        <v>0</v>
      </c>
      <c r="AI1316" s="1" t="n">
        <f aca="false">N(AI1315)+$AH1316</f>
        <v>0</v>
      </c>
      <c r="AJ1316" s="1" t="n">
        <v>0</v>
      </c>
      <c r="AK1316" s="1" t="n">
        <f aca="false">N(AK1315)+$AJ1316</f>
        <v>3672</v>
      </c>
    </row>
    <row r="1317" customFormat="false" ht="13.5" hidden="false" customHeight="false" outlineLevel="0" collapsed="false">
      <c r="A1317" s="1" t="str">
        <f aca="false">IF(对接源_02物料!$C117="","",对接源_02物料!$C117)</f>
        <v/>
      </c>
      <c r="B1317" s="1" t="n">
        <f aca="false">IF(A1317="",0,IF(MATCH(A1317,$A$4:$A$2403,0)=ROW()-3,1,0))</f>
        <v>0</v>
      </c>
      <c r="C1317" s="1" t="n">
        <f aca="false">N(C1316)+B1317</f>
        <v>17</v>
      </c>
      <c r="K1317" s="1" t="n">
        <f aca="false">IF(OR($K$1="",对接源_02物料!$C117="",对接源_02物料!$C117&lt;&gt;$K$1,对接源_02物料!$B117=""),0,IF(OR(N(对接源_02物料!$B117)&lt;$K$2,N(对接源_02物料!$B117)&gt;$K$3),0,1))</f>
        <v>0</v>
      </c>
      <c r="L1317" s="1" t="n">
        <f aca="false">IF(OR($L$1="",对接源_02物料!$C117="",对接源_02物料!$C117&lt;&gt;$L$1,对接源_02物料!$B117=""),0,IF(OR(N(对接源_02物料!$B117)&lt;$L$2,N(对接源_02物料!$B117)&gt;$L$3),0,1))</f>
        <v>0</v>
      </c>
      <c r="M1317" s="1" t="n">
        <f aca="false">IF(OR($M$1="",对接源_02物料!$C117="",对接源_02物料!$C117&lt;&gt;$M$1,对接源_02物料!$B117=""),0,IF(OR(N(对接源_02物料!$B117)&lt;$M$2,N(对接源_02物料!$B117)&gt;$M$3),0,1))</f>
        <v>0</v>
      </c>
      <c r="N1317" s="1" t="n">
        <f aca="false">IF(OR($N$1="",对接源_02物料!$C117="",对接源_02物料!$C117&lt;&gt;$N$1,对接源_02物料!$B117=""),0,IF(OR(N(对接源_02物料!$B117)&lt;$N$2,N(对接源_02物料!$B117)&gt;$N$3),0,1))</f>
        <v>0</v>
      </c>
      <c r="P1317" s="1" t="n">
        <f aca="false">IF(AND($K1317=1,AND(对接源_02物料!$X117="公司筐",N(对接源_02物料!$T117)&lt;&gt;0)),1,0)</f>
        <v>0</v>
      </c>
      <c r="Q1317" s="1" t="n">
        <f aca="false">N(Q1316)+$P1317</f>
        <v>13</v>
      </c>
      <c r="R1317" s="1" t="n">
        <f aca="false">IF(AND($K1317=1,AND(对接源_02物料!$X117="公司筐",N(对接源_02物料!$U117)&lt;&gt;0)),1,0)</f>
        <v>0</v>
      </c>
      <c r="S1317" s="1" t="n">
        <f aca="false">N(S1316)+$R1317</f>
        <v>5</v>
      </c>
      <c r="T1317" s="1" t="n">
        <f aca="false">IF(AND($K1317=1,AND(对接源_02物料!$X117="公司筐",N(对接源_02物料!$V117)&lt;&gt;0)),1,0)</f>
        <v>0</v>
      </c>
      <c r="U1317" s="1" t="n">
        <f aca="false">N(U1316)+$T1317</f>
        <v>28</v>
      </c>
      <c r="V1317" s="1" t="n">
        <f aca="false">IF(AND($L1317=1,AND(对接源_02物料!$X117="自备筐",N(对接源_02物料!$V117)&lt;&gt;0)),1,0)</f>
        <v>0</v>
      </c>
      <c r="W1317" s="1" t="n">
        <f aca="false">N(W1316)+$V1317</f>
        <v>7</v>
      </c>
      <c r="X1317" s="1" t="n">
        <f aca="false">IF(AND($L1317=1,AND(对接源_02物料!$X117="自备筐",N(对接源_02物料!$T117)&lt;&gt;0)),1,0)</f>
        <v>0</v>
      </c>
      <c r="Y1317" s="1" t="n">
        <f aca="false">N(Y1316)+$X1317</f>
        <v>0</v>
      </c>
      <c r="Z1317" s="1" t="n">
        <f aca="false">IF(AND($M1317=1,对接源_02物料!$D117="原料入库"),1,0)</f>
        <v>0</v>
      </c>
      <c r="AA1317" s="1" t="n">
        <f aca="false">N(AA1316)+$Z1317</f>
        <v>30</v>
      </c>
      <c r="AB1317" s="1" t="n">
        <f aca="false">IF(AND($M1317=1,LEFT(对接源_02物料!$D117,4)="原料出库"),1,0)</f>
        <v>0</v>
      </c>
      <c r="AC1317" s="1" t="n">
        <f aca="false">N(AC1316)+$AB1317</f>
        <v>19</v>
      </c>
      <c r="AD1317" s="1" t="n">
        <f aca="false">IF(AND($M1317=1,LEFT(对接源_02物料!$D117,4)="成品出库"),1,0)</f>
        <v>0</v>
      </c>
      <c r="AE1317" s="1" t="n">
        <f aca="false">N(AE1316)+$AD1317</f>
        <v>38</v>
      </c>
      <c r="AF1317" s="1" t="n">
        <f aca="false">IF(AND($N1317=1,AND(LEFT(对接源_02物料!$D117,4)="包装物料",N(对接源_02物料!$K117)&lt;&gt;0)),1,0)</f>
        <v>0</v>
      </c>
      <c r="AG1317" s="1" t="n">
        <f aca="false">N(AG1316)+$AF1317</f>
        <v>6</v>
      </c>
      <c r="AH1317" s="1" t="n">
        <f aca="false">IF(AND($N1317=1,AND(LEFT(对接源_02物料!$D117,3)="周转筐",N(对接源_02物料!$K117)&lt;&gt;0)),1,0)</f>
        <v>0</v>
      </c>
      <c r="AI1317" s="1" t="n">
        <f aca="false">N(AI1316)+$AH1317</f>
        <v>0</v>
      </c>
      <c r="AJ1317" s="1" t="n">
        <v>0</v>
      </c>
      <c r="AK1317" s="1" t="n">
        <f aca="false">N(AK1316)+$AJ1317</f>
        <v>3672</v>
      </c>
    </row>
    <row r="1318" customFormat="false" ht="13.5" hidden="false" customHeight="false" outlineLevel="0" collapsed="false">
      <c r="A1318" s="1" t="str">
        <f aca="false">IF(对接源_02物料!$C118="","",对接源_02物料!$C118)</f>
        <v/>
      </c>
      <c r="B1318" s="1" t="n">
        <f aca="false">IF(A1318="",0,IF(MATCH(A1318,$A$4:$A$2403,0)=ROW()-3,1,0))</f>
        <v>0</v>
      </c>
      <c r="C1318" s="1" t="n">
        <f aca="false">N(C1317)+B1318</f>
        <v>17</v>
      </c>
      <c r="K1318" s="1" t="n">
        <f aca="false">IF(OR($K$1="",对接源_02物料!$C118="",对接源_02物料!$C118&lt;&gt;$K$1,对接源_02物料!$B118=""),0,IF(OR(N(对接源_02物料!$B118)&lt;$K$2,N(对接源_02物料!$B118)&gt;$K$3),0,1))</f>
        <v>0</v>
      </c>
      <c r="L1318" s="1" t="n">
        <f aca="false">IF(OR($L$1="",对接源_02物料!$C118="",对接源_02物料!$C118&lt;&gt;$L$1,对接源_02物料!$B118=""),0,IF(OR(N(对接源_02物料!$B118)&lt;$L$2,N(对接源_02物料!$B118)&gt;$L$3),0,1))</f>
        <v>0</v>
      </c>
      <c r="M1318" s="1" t="n">
        <f aca="false">IF(OR($M$1="",对接源_02物料!$C118="",对接源_02物料!$C118&lt;&gt;$M$1,对接源_02物料!$B118=""),0,IF(OR(N(对接源_02物料!$B118)&lt;$M$2,N(对接源_02物料!$B118)&gt;$M$3),0,1))</f>
        <v>0</v>
      </c>
      <c r="N1318" s="1" t="n">
        <f aca="false">IF(OR($N$1="",对接源_02物料!$C118="",对接源_02物料!$C118&lt;&gt;$N$1,对接源_02物料!$B118=""),0,IF(OR(N(对接源_02物料!$B118)&lt;$N$2,N(对接源_02物料!$B118)&gt;$N$3),0,1))</f>
        <v>0</v>
      </c>
      <c r="P1318" s="1" t="n">
        <f aca="false">IF(AND($K1318=1,AND(对接源_02物料!$X118="公司筐",N(对接源_02物料!$T118)&lt;&gt;0)),1,0)</f>
        <v>0</v>
      </c>
      <c r="Q1318" s="1" t="n">
        <f aca="false">N(Q1317)+$P1318</f>
        <v>13</v>
      </c>
      <c r="R1318" s="1" t="n">
        <f aca="false">IF(AND($K1318=1,AND(对接源_02物料!$X118="公司筐",N(对接源_02物料!$U118)&lt;&gt;0)),1,0)</f>
        <v>0</v>
      </c>
      <c r="S1318" s="1" t="n">
        <f aca="false">N(S1317)+$R1318</f>
        <v>5</v>
      </c>
      <c r="T1318" s="1" t="n">
        <f aca="false">IF(AND($K1318=1,AND(对接源_02物料!$X118="公司筐",N(对接源_02物料!$V118)&lt;&gt;0)),1,0)</f>
        <v>0</v>
      </c>
      <c r="U1318" s="1" t="n">
        <f aca="false">N(U1317)+$T1318</f>
        <v>28</v>
      </c>
      <c r="V1318" s="1" t="n">
        <f aca="false">IF(AND($L1318=1,AND(对接源_02物料!$X118="自备筐",N(对接源_02物料!$V118)&lt;&gt;0)),1,0)</f>
        <v>0</v>
      </c>
      <c r="W1318" s="1" t="n">
        <f aca="false">N(W1317)+$V1318</f>
        <v>7</v>
      </c>
      <c r="X1318" s="1" t="n">
        <f aca="false">IF(AND($L1318=1,AND(对接源_02物料!$X118="自备筐",N(对接源_02物料!$T118)&lt;&gt;0)),1,0)</f>
        <v>0</v>
      </c>
      <c r="Y1318" s="1" t="n">
        <f aca="false">N(Y1317)+$X1318</f>
        <v>0</v>
      </c>
      <c r="Z1318" s="1" t="n">
        <f aca="false">IF(AND($M1318=1,对接源_02物料!$D118="原料入库"),1,0)</f>
        <v>0</v>
      </c>
      <c r="AA1318" s="1" t="n">
        <f aca="false">N(AA1317)+$Z1318</f>
        <v>30</v>
      </c>
      <c r="AB1318" s="1" t="n">
        <f aca="false">IF(AND($M1318=1,LEFT(对接源_02物料!$D118,4)="原料出库"),1,0)</f>
        <v>0</v>
      </c>
      <c r="AC1318" s="1" t="n">
        <f aca="false">N(AC1317)+$AB1318</f>
        <v>19</v>
      </c>
      <c r="AD1318" s="1" t="n">
        <f aca="false">IF(AND($M1318=1,LEFT(对接源_02物料!$D118,4)="成品出库"),1,0)</f>
        <v>0</v>
      </c>
      <c r="AE1318" s="1" t="n">
        <f aca="false">N(AE1317)+$AD1318</f>
        <v>38</v>
      </c>
      <c r="AF1318" s="1" t="n">
        <f aca="false">IF(AND($N1318=1,AND(LEFT(对接源_02物料!$D118,4)="包装物料",N(对接源_02物料!$K118)&lt;&gt;0)),1,0)</f>
        <v>0</v>
      </c>
      <c r="AG1318" s="1" t="n">
        <f aca="false">N(AG1317)+$AF1318</f>
        <v>6</v>
      </c>
      <c r="AH1318" s="1" t="n">
        <f aca="false">IF(AND($N1318=1,AND(LEFT(对接源_02物料!$D118,3)="周转筐",N(对接源_02物料!$K118)&lt;&gt;0)),1,0)</f>
        <v>0</v>
      </c>
      <c r="AI1318" s="1" t="n">
        <f aca="false">N(AI1317)+$AH1318</f>
        <v>0</v>
      </c>
      <c r="AJ1318" s="1" t="n">
        <v>0</v>
      </c>
      <c r="AK1318" s="1" t="n">
        <f aca="false">N(AK1317)+$AJ1318</f>
        <v>3672</v>
      </c>
    </row>
    <row r="1319" customFormat="false" ht="13.5" hidden="false" customHeight="false" outlineLevel="0" collapsed="false">
      <c r="A1319" s="1" t="str">
        <f aca="false">IF(对接源_02物料!$C119="","",对接源_02物料!$C119)</f>
        <v/>
      </c>
      <c r="B1319" s="1" t="n">
        <f aca="false">IF(A1319="",0,IF(MATCH(A1319,$A$4:$A$2403,0)=ROW()-3,1,0))</f>
        <v>0</v>
      </c>
      <c r="C1319" s="1" t="n">
        <f aca="false">N(C1318)+B1319</f>
        <v>17</v>
      </c>
      <c r="K1319" s="1" t="n">
        <f aca="false">IF(OR($K$1="",对接源_02物料!$C119="",对接源_02物料!$C119&lt;&gt;$K$1,对接源_02物料!$B119=""),0,IF(OR(N(对接源_02物料!$B119)&lt;$K$2,N(对接源_02物料!$B119)&gt;$K$3),0,1))</f>
        <v>0</v>
      </c>
      <c r="L1319" s="1" t="n">
        <f aca="false">IF(OR($L$1="",对接源_02物料!$C119="",对接源_02物料!$C119&lt;&gt;$L$1,对接源_02物料!$B119=""),0,IF(OR(N(对接源_02物料!$B119)&lt;$L$2,N(对接源_02物料!$B119)&gt;$L$3),0,1))</f>
        <v>0</v>
      </c>
      <c r="M1319" s="1" t="n">
        <f aca="false">IF(OR($M$1="",对接源_02物料!$C119="",对接源_02物料!$C119&lt;&gt;$M$1,对接源_02物料!$B119=""),0,IF(OR(N(对接源_02物料!$B119)&lt;$M$2,N(对接源_02物料!$B119)&gt;$M$3),0,1))</f>
        <v>0</v>
      </c>
      <c r="N1319" s="1" t="n">
        <f aca="false">IF(OR($N$1="",对接源_02物料!$C119="",对接源_02物料!$C119&lt;&gt;$N$1,对接源_02物料!$B119=""),0,IF(OR(N(对接源_02物料!$B119)&lt;$N$2,N(对接源_02物料!$B119)&gt;$N$3),0,1))</f>
        <v>0</v>
      </c>
      <c r="P1319" s="1" t="n">
        <f aca="false">IF(AND($K1319=1,AND(对接源_02物料!$X119="公司筐",N(对接源_02物料!$T119)&lt;&gt;0)),1,0)</f>
        <v>0</v>
      </c>
      <c r="Q1319" s="1" t="n">
        <f aca="false">N(Q1318)+$P1319</f>
        <v>13</v>
      </c>
      <c r="R1319" s="1" t="n">
        <f aca="false">IF(AND($K1319=1,AND(对接源_02物料!$X119="公司筐",N(对接源_02物料!$U119)&lt;&gt;0)),1,0)</f>
        <v>0</v>
      </c>
      <c r="S1319" s="1" t="n">
        <f aca="false">N(S1318)+$R1319</f>
        <v>5</v>
      </c>
      <c r="T1319" s="1" t="n">
        <f aca="false">IF(AND($K1319=1,AND(对接源_02物料!$X119="公司筐",N(对接源_02物料!$V119)&lt;&gt;0)),1,0)</f>
        <v>0</v>
      </c>
      <c r="U1319" s="1" t="n">
        <f aca="false">N(U1318)+$T1319</f>
        <v>28</v>
      </c>
      <c r="V1319" s="1" t="n">
        <f aca="false">IF(AND($L1319=1,AND(对接源_02物料!$X119="自备筐",N(对接源_02物料!$V119)&lt;&gt;0)),1,0)</f>
        <v>0</v>
      </c>
      <c r="W1319" s="1" t="n">
        <f aca="false">N(W1318)+$V1319</f>
        <v>7</v>
      </c>
      <c r="X1319" s="1" t="n">
        <f aca="false">IF(AND($L1319=1,AND(对接源_02物料!$X119="自备筐",N(对接源_02物料!$T119)&lt;&gt;0)),1,0)</f>
        <v>0</v>
      </c>
      <c r="Y1319" s="1" t="n">
        <f aca="false">N(Y1318)+$X1319</f>
        <v>0</v>
      </c>
      <c r="Z1319" s="1" t="n">
        <f aca="false">IF(AND($M1319=1,对接源_02物料!$D119="原料入库"),1,0)</f>
        <v>0</v>
      </c>
      <c r="AA1319" s="1" t="n">
        <f aca="false">N(AA1318)+$Z1319</f>
        <v>30</v>
      </c>
      <c r="AB1319" s="1" t="n">
        <f aca="false">IF(AND($M1319=1,LEFT(对接源_02物料!$D119,4)="原料出库"),1,0)</f>
        <v>0</v>
      </c>
      <c r="AC1319" s="1" t="n">
        <f aca="false">N(AC1318)+$AB1319</f>
        <v>19</v>
      </c>
      <c r="AD1319" s="1" t="n">
        <f aca="false">IF(AND($M1319=1,LEFT(对接源_02物料!$D119,4)="成品出库"),1,0)</f>
        <v>0</v>
      </c>
      <c r="AE1319" s="1" t="n">
        <f aca="false">N(AE1318)+$AD1319</f>
        <v>38</v>
      </c>
      <c r="AF1319" s="1" t="n">
        <f aca="false">IF(AND($N1319=1,AND(LEFT(对接源_02物料!$D119,4)="包装物料",N(对接源_02物料!$K119)&lt;&gt;0)),1,0)</f>
        <v>0</v>
      </c>
      <c r="AG1319" s="1" t="n">
        <f aca="false">N(AG1318)+$AF1319</f>
        <v>6</v>
      </c>
      <c r="AH1319" s="1" t="n">
        <f aca="false">IF(AND($N1319=1,AND(LEFT(对接源_02物料!$D119,3)="周转筐",N(对接源_02物料!$K119)&lt;&gt;0)),1,0)</f>
        <v>0</v>
      </c>
      <c r="AI1319" s="1" t="n">
        <f aca="false">N(AI1318)+$AH1319</f>
        <v>0</v>
      </c>
      <c r="AJ1319" s="1" t="n">
        <v>0</v>
      </c>
      <c r="AK1319" s="1" t="n">
        <f aca="false">N(AK1318)+$AJ1319</f>
        <v>3672</v>
      </c>
    </row>
    <row r="1320" customFormat="false" ht="13.5" hidden="false" customHeight="false" outlineLevel="0" collapsed="false">
      <c r="A1320" s="1" t="str">
        <f aca="false">IF(对接源_02物料!$C120="","",对接源_02物料!$C120)</f>
        <v/>
      </c>
      <c r="B1320" s="1" t="n">
        <f aca="false">IF(A1320="",0,IF(MATCH(A1320,$A$4:$A$2403,0)=ROW()-3,1,0))</f>
        <v>0</v>
      </c>
      <c r="C1320" s="1" t="n">
        <f aca="false">N(C1319)+B1320</f>
        <v>17</v>
      </c>
      <c r="K1320" s="1" t="n">
        <f aca="false">IF(OR($K$1="",对接源_02物料!$C120="",对接源_02物料!$C120&lt;&gt;$K$1,对接源_02物料!$B120=""),0,IF(OR(N(对接源_02物料!$B120)&lt;$K$2,N(对接源_02物料!$B120)&gt;$K$3),0,1))</f>
        <v>0</v>
      </c>
      <c r="L1320" s="1" t="n">
        <f aca="false">IF(OR($L$1="",对接源_02物料!$C120="",对接源_02物料!$C120&lt;&gt;$L$1,对接源_02物料!$B120=""),0,IF(OR(N(对接源_02物料!$B120)&lt;$L$2,N(对接源_02物料!$B120)&gt;$L$3),0,1))</f>
        <v>0</v>
      </c>
      <c r="M1320" s="1" t="n">
        <f aca="false">IF(OR($M$1="",对接源_02物料!$C120="",对接源_02物料!$C120&lt;&gt;$M$1,对接源_02物料!$B120=""),0,IF(OR(N(对接源_02物料!$B120)&lt;$M$2,N(对接源_02物料!$B120)&gt;$M$3),0,1))</f>
        <v>0</v>
      </c>
      <c r="N1320" s="1" t="n">
        <f aca="false">IF(OR($N$1="",对接源_02物料!$C120="",对接源_02物料!$C120&lt;&gt;$N$1,对接源_02物料!$B120=""),0,IF(OR(N(对接源_02物料!$B120)&lt;$N$2,N(对接源_02物料!$B120)&gt;$N$3),0,1))</f>
        <v>0</v>
      </c>
      <c r="P1320" s="1" t="n">
        <f aca="false">IF(AND($K1320=1,AND(对接源_02物料!$X120="公司筐",N(对接源_02物料!$T120)&lt;&gt;0)),1,0)</f>
        <v>0</v>
      </c>
      <c r="Q1320" s="1" t="n">
        <f aca="false">N(Q1319)+$P1320</f>
        <v>13</v>
      </c>
      <c r="R1320" s="1" t="n">
        <f aca="false">IF(AND($K1320=1,AND(对接源_02物料!$X120="公司筐",N(对接源_02物料!$U120)&lt;&gt;0)),1,0)</f>
        <v>0</v>
      </c>
      <c r="S1320" s="1" t="n">
        <f aca="false">N(S1319)+$R1320</f>
        <v>5</v>
      </c>
      <c r="T1320" s="1" t="n">
        <f aca="false">IF(AND($K1320=1,AND(对接源_02物料!$X120="公司筐",N(对接源_02物料!$V120)&lt;&gt;0)),1,0)</f>
        <v>0</v>
      </c>
      <c r="U1320" s="1" t="n">
        <f aca="false">N(U1319)+$T1320</f>
        <v>28</v>
      </c>
      <c r="V1320" s="1" t="n">
        <f aca="false">IF(AND($L1320=1,AND(对接源_02物料!$X120="自备筐",N(对接源_02物料!$V120)&lt;&gt;0)),1,0)</f>
        <v>0</v>
      </c>
      <c r="W1320" s="1" t="n">
        <f aca="false">N(W1319)+$V1320</f>
        <v>7</v>
      </c>
      <c r="X1320" s="1" t="n">
        <f aca="false">IF(AND($L1320=1,AND(对接源_02物料!$X120="自备筐",N(对接源_02物料!$T120)&lt;&gt;0)),1,0)</f>
        <v>0</v>
      </c>
      <c r="Y1320" s="1" t="n">
        <f aca="false">N(Y1319)+$X1320</f>
        <v>0</v>
      </c>
      <c r="Z1320" s="1" t="n">
        <f aca="false">IF(AND($M1320=1,对接源_02物料!$D120="原料入库"),1,0)</f>
        <v>0</v>
      </c>
      <c r="AA1320" s="1" t="n">
        <f aca="false">N(AA1319)+$Z1320</f>
        <v>30</v>
      </c>
      <c r="AB1320" s="1" t="n">
        <f aca="false">IF(AND($M1320=1,LEFT(对接源_02物料!$D120,4)="原料出库"),1,0)</f>
        <v>0</v>
      </c>
      <c r="AC1320" s="1" t="n">
        <f aca="false">N(AC1319)+$AB1320</f>
        <v>19</v>
      </c>
      <c r="AD1320" s="1" t="n">
        <f aca="false">IF(AND($M1320=1,LEFT(对接源_02物料!$D120,4)="成品出库"),1,0)</f>
        <v>0</v>
      </c>
      <c r="AE1320" s="1" t="n">
        <f aca="false">N(AE1319)+$AD1320</f>
        <v>38</v>
      </c>
      <c r="AF1320" s="1" t="n">
        <f aca="false">IF(AND($N1320=1,AND(LEFT(对接源_02物料!$D120,4)="包装物料",N(对接源_02物料!$K120)&lt;&gt;0)),1,0)</f>
        <v>0</v>
      </c>
      <c r="AG1320" s="1" t="n">
        <f aca="false">N(AG1319)+$AF1320</f>
        <v>6</v>
      </c>
      <c r="AH1320" s="1" t="n">
        <f aca="false">IF(AND($N1320=1,AND(LEFT(对接源_02物料!$D120,3)="周转筐",N(对接源_02物料!$K120)&lt;&gt;0)),1,0)</f>
        <v>0</v>
      </c>
      <c r="AI1320" s="1" t="n">
        <f aca="false">N(AI1319)+$AH1320</f>
        <v>0</v>
      </c>
      <c r="AJ1320" s="1" t="n">
        <v>0</v>
      </c>
      <c r="AK1320" s="1" t="n">
        <f aca="false">N(AK1319)+$AJ1320</f>
        <v>3672</v>
      </c>
    </row>
    <row r="1321" customFormat="false" ht="13.5" hidden="false" customHeight="false" outlineLevel="0" collapsed="false">
      <c r="A1321" s="1" t="str">
        <f aca="false">IF(对接源_02物料!$C121="","",对接源_02物料!$C121)</f>
        <v/>
      </c>
      <c r="B1321" s="1" t="n">
        <f aca="false">IF(A1321="",0,IF(MATCH(A1321,$A$4:$A$2403,0)=ROW()-3,1,0))</f>
        <v>0</v>
      </c>
      <c r="C1321" s="1" t="n">
        <f aca="false">N(C1320)+B1321</f>
        <v>17</v>
      </c>
      <c r="K1321" s="1" t="n">
        <f aca="false">IF(OR($K$1="",对接源_02物料!$C121="",对接源_02物料!$C121&lt;&gt;$K$1,对接源_02物料!$B121=""),0,IF(OR(N(对接源_02物料!$B121)&lt;$K$2,N(对接源_02物料!$B121)&gt;$K$3),0,1))</f>
        <v>0</v>
      </c>
      <c r="L1321" s="1" t="n">
        <f aca="false">IF(OR($L$1="",对接源_02物料!$C121="",对接源_02物料!$C121&lt;&gt;$L$1,对接源_02物料!$B121=""),0,IF(OR(N(对接源_02物料!$B121)&lt;$L$2,N(对接源_02物料!$B121)&gt;$L$3),0,1))</f>
        <v>0</v>
      </c>
      <c r="M1321" s="1" t="n">
        <f aca="false">IF(OR($M$1="",对接源_02物料!$C121="",对接源_02物料!$C121&lt;&gt;$M$1,对接源_02物料!$B121=""),0,IF(OR(N(对接源_02物料!$B121)&lt;$M$2,N(对接源_02物料!$B121)&gt;$M$3),0,1))</f>
        <v>0</v>
      </c>
      <c r="N1321" s="1" t="n">
        <f aca="false">IF(OR($N$1="",对接源_02物料!$C121="",对接源_02物料!$C121&lt;&gt;$N$1,对接源_02物料!$B121=""),0,IF(OR(N(对接源_02物料!$B121)&lt;$N$2,N(对接源_02物料!$B121)&gt;$N$3),0,1))</f>
        <v>0</v>
      </c>
      <c r="P1321" s="1" t="n">
        <f aca="false">IF(AND($K1321=1,AND(对接源_02物料!$X121="公司筐",N(对接源_02物料!$T121)&lt;&gt;0)),1,0)</f>
        <v>0</v>
      </c>
      <c r="Q1321" s="1" t="n">
        <f aca="false">N(Q1320)+$P1321</f>
        <v>13</v>
      </c>
      <c r="R1321" s="1" t="n">
        <f aca="false">IF(AND($K1321=1,AND(对接源_02物料!$X121="公司筐",N(对接源_02物料!$U121)&lt;&gt;0)),1,0)</f>
        <v>0</v>
      </c>
      <c r="S1321" s="1" t="n">
        <f aca="false">N(S1320)+$R1321</f>
        <v>5</v>
      </c>
      <c r="T1321" s="1" t="n">
        <f aca="false">IF(AND($K1321=1,AND(对接源_02物料!$X121="公司筐",N(对接源_02物料!$V121)&lt;&gt;0)),1,0)</f>
        <v>0</v>
      </c>
      <c r="U1321" s="1" t="n">
        <f aca="false">N(U1320)+$T1321</f>
        <v>28</v>
      </c>
      <c r="V1321" s="1" t="n">
        <f aca="false">IF(AND($L1321=1,AND(对接源_02物料!$X121="自备筐",N(对接源_02物料!$V121)&lt;&gt;0)),1,0)</f>
        <v>0</v>
      </c>
      <c r="W1321" s="1" t="n">
        <f aca="false">N(W1320)+$V1321</f>
        <v>7</v>
      </c>
      <c r="X1321" s="1" t="n">
        <f aca="false">IF(AND($L1321=1,AND(对接源_02物料!$X121="自备筐",N(对接源_02物料!$T121)&lt;&gt;0)),1,0)</f>
        <v>0</v>
      </c>
      <c r="Y1321" s="1" t="n">
        <f aca="false">N(Y1320)+$X1321</f>
        <v>0</v>
      </c>
      <c r="Z1321" s="1" t="n">
        <f aca="false">IF(AND($M1321=1,对接源_02物料!$D121="原料入库"),1,0)</f>
        <v>0</v>
      </c>
      <c r="AA1321" s="1" t="n">
        <f aca="false">N(AA1320)+$Z1321</f>
        <v>30</v>
      </c>
      <c r="AB1321" s="1" t="n">
        <f aca="false">IF(AND($M1321=1,LEFT(对接源_02物料!$D121,4)="原料出库"),1,0)</f>
        <v>0</v>
      </c>
      <c r="AC1321" s="1" t="n">
        <f aca="false">N(AC1320)+$AB1321</f>
        <v>19</v>
      </c>
      <c r="AD1321" s="1" t="n">
        <f aca="false">IF(AND($M1321=1,LEFT(对接源_02物料!$D121,4)="成品出库"),1,0)</f>
        <v>0</v>
      </c>
      <c r="AE1321" s="1" t="n">
        <f aca="false">N(AE1320)+$AD1321</f>
        <v>38</v>
      </c>
      <c r="AF1321" s="1" t="n">
        <f aca="false">IF(AND($N1321=1,AND(LEFT(对接源_02物料!$D121,4)="包装物料",N(对接源_02物料!$K121)&lt;&gt;0)),1,0)</f>
        <v>0</v>
      </c>
      <c r="AG1321" s="1" t="n">
        <f aca="false">N(AG1320)+$AF1321</f>
        <v>6</v>
      </c>
      <c r="AH1321" s="1" t="n">
        <f aca="false">IF(AND($N1321=1,AND(LEFT(对接源_02物料!$D121,3)="周转筐",N(对接源_02物料!$K121)&lt;&gt;0)),1,0)</f>
        <v>0</v>
      </c>
      <c r="AI1321" s="1" t="n">
        <f aca="false">N(AI1320)+$AH1321</f>
        <v>0</v>
      </c>
      <c r="AJ1321" s="1" t="n">
        <v>0</v>
      </c>
      <c r="AK1321" s="1" t="n">
        <f aca="false">N(AK1320)+$AJ1321</f>
        <v>3672</v>
      </c>
    </row>
    <row r="1322" customFormat="false" ht="13.5" hidden="false" customHeight="false" outlineLevel="0" collapsed="false">
      <c r="A1322" s="1" t="str">
        <f aca="false">IF(对接源_02物料!$C122="","",对接源_02物料!$C122)</f>
        <v/>
      </c>
      <c r="B1322" s="1" t="n">
        <f aca="false">IF(A1322="",0,IF(MATCH(A1322,$A$4:$A$2403,0)=ROW()-3,1,0))</f>
        <v>0</v>
      </c>
      <c r="C1322" s="1" t="n">
        <f aca="false">N(C1321)+B1322</f>
        <v>17</v>
      </c>
      <c r="K1322" s="1" t="n">
        <f aca="false">IF(OR($K$1="",对接源_02物料!$C122="",对接源_02物料!$C122&lt;&gt;$K$1,对接源_02物料!$B122=""),0,IF(OR(N(对接源_02物料!$B122)&lt;$K$2,N(对接源_02物料!$B122)&gt;$K$3),0,1))</f>
        <v>0</v>
      </c>
      <c r="L1322" s="1" t="n">
        <f aca="false">IF(OR($L$1="",对接源_02物料!$C122="",对接源_02物料!$C122&lt;&gt;$L$1,对接源_02物料!$B122=""),0,IF(OR(N(对接源_02物料!$B122)&lt;$L$2,N(对接源_02物料!$B122)&gt;$L$3),0,1))</f>
        <v>0</v>
      </c>
      <c r="M1322" s="1" t="n">
        <f aca="false">IF(OR($M$1="",对接源_02物料!$C122="",对接源_02物料!$C122&lt;&gt;$M$1,对接源_02物料!$B122=""),0,IF(OR(N(对接源_02物料!$B122)&lt;$M$2,N(对接源_02物料!$B122)&gt;$M$3),0,1))</f>
        <v>0</v>
      </c>
      <c r="N1322" s="1" t="n">
        <f aca="false">IF(OR($N$1="",对接源_02物料!$C122="",对接源_02物料!$C122&lt;&gt;$N$1,对接源_02物料!$B122=""),0,IF(OR(N(对接源_02物料!$B122)&lt;$N$2,N(对接源_02物料!$B122)&gt;$N$3),0,1))</f>
        <v>0</v>
      </c>
      <c r="P1322" s="1" t="n">
        <f aca="false">IF(AND($K1322=1,AND(对接源_02物料!$X122="公司筐",N(对接源_02物料!$T122)&lt;&gt;0)),1,0)</f>
        <v>0</v>
      </c>
      <c r="Q1322" s="1" t="n">
        <f aca="false">N(Q1321)+$P1322</f>
        <v>13</v>
      </c>
      <c r="R1322" s="1" t="n">
        <f aca="false">IF(AND($K1322=1,AND(对接源_02物料!$X122="公司筐",N(对接源_02物料!$U122)&lt;&gt;0)),1,0)</f>
        <v>0</v>
      </c>
      <c r="S1322" s="1" t="n">
        <f aca="false">N(S1321)+$R1322</f>
        <v>5</v>
      </c>
      <c r="T1322" s="1" t="n">
        <f aca="false">IF(AND($K1322=1,AND(对接源_02物料!$X122="公司筐",N(对接源_02物料!$V122)&lt;&gt;0)),1,0)</f>
        <v>0</v>
      </c>
      <c r="U1322" s="1" t="n">
        <f aca="false">N(U1321)+$T1322</f>
        <v>28</v>
      </c>
      <c r="V1322" s="1" t="n">
        <f aca="false">IF(AND($L1322=1,AND(对接源_02物料!$X122="自备筐",N(对接源_02物料!$V122)&lt;&gt;0)),1,0)</f>
        <v>0</v>
      </c>
      <c r="W1322" s="1" t="n">
        <f aca="false">N(W1321)+$V1322</f>
        <v>7</v>
      </c>
      <c r="X1322" s="1" t="n">
        <f aca="false">IF(AND($L1322=1,AND(对接源_02物料!$X122="自备筐",N(对接源_02物料!$T122)&lt;&gt;0)),1,0)</f>
        <v>0</v>
      </c>
      <c r="Y1322" s="1" t="n">
        <f aca="false">N(Y1321)+$X1322</f>
        <v>0</v>
      </c>
      <c r="Z1322" s="1" t="n">
        <f aca="false">IF(AND($M1322=1,对接源_02物料!$D122="原料入库"),1,0)</f>
        <v>0</v>
      </c>
      <c r="AA1322" s="1" t="n">
        <f aca="false">N(AA1321)+$Z1322</f>
        <v>30</v>
      </c>
      <c r="AB1322" s="1" t="n">
        <f aca="false">IF(AND($M1322=1,LEFT(对接源_02物料!$D122,4)="原料出库"),1,0)</f>
        <v>0</v>
      </c>
      <c r="AC1322" s="1" t="n">
        <f aca="false">N(AC1321)+$AB1322</f>
        <v>19</v>
      </c>
      <c r="AD1322" s="1" t="n">
        <f aca="false">IF(AND($M1322=1,LEFT(对接源_02物料!$D122,4)="成品出库"),1,0)</f>
        <v>0</v>
      </c>
      <c r="AE1322" s="1" t="n">
        <f aca="false">N(AE1321)+$AD1322</f>
        <v>38</v>
      </c>
      <c r="AF1322" s="1" t="n">
        <f aca="false">IF(AND($N1322=1,AND(LEFT(对接源_02物料!$D122,4)="包装物料",N(对接源_02物料!$K122)&lt;&gt;0)),1,0)</f>
        <v>0</v>
      </c>
      <c r="AG1322" s="1" t="n">
        <f aca="false">N(AG1321)+$AF1322</f>
        <v>6</v>
      </c>
      <c r="AH1322" s="1" t="n">
        <f aca="false">IF(AND($N1322=1,AND(LEFT(对接源_02物料!$D122,3)="周转筐",N(对接源_02物料!$K122)&lt;&gt;0)),1,0)</f>
        <v>0</v>
      </c>
      <c r="AI1322" s="1" t="n">
        <f aca="false">N(AI1321)+$AH1322</f>
        <v>0</v>
      </c>
      <c r="AJ1322" s="1" t="n">
        <v>0</v>
      </c>
      <c r="AK1322" s="1" t="n">
        <f aca="false">N(AK1321)+$AJ1322</f>
        <v>3672</v>
      </c>
    </row>
    <row r="1323" customFormat="false" ht="13.5" hidden="false" customHeight="false" outlineLevel="0" collapsed="false">
      <c r="A1323" s="1" t="str">
        <f aca="false">IF(对接源_02物料!$C123="","",对接源_02物料!$C123)</f>
        <v/>
      </c>
      <c r="B1323" s="1" t="n">
        <f aca="false">IF(A1323="",0,IF(MATCH(A1323,$A$4:$A$2403,0)=ROW()-3,1,0))</f>
        <v>0</v>
      </c>
      <c r="C1323" s="1" t="n">
        <f aca="false">N(C1322)+B1323</f>
        <v>17</v>
      </c>
      <c r="K1323" s="1" t="n">
        <f aca="false">IF(OR($K$1="",对接源_02物料!$C123="",对接源_02物料!$C123&lt;&gt;$K$1,对接源_02物料!$B123=""),0,IF(OR(N(对接源_02物料!$B123)&lt;$K$2,N(对接源_02物料!$B123)&gt;$K$3),0,1))</f>
        <v>0</v>
      </c>
      <c r="L1323" s="1" t="n">
        <f aca="false">IF(OR($L$1="",对接源_02物料!$C123="",对接源_02物料!$C123&lt;&gt;$L$1,对接源_02物料!$B123=""),0,IF(OR(N(对接源_02物料!$B123)&lt;$L$2,N(对接源_02物料!$B123)&gt;$L$3),0,1))</f>
        <v>0</v>
      </c>
      <c r="M1323" s="1" t="n">
        <f aca="false">IF(OR($M$1="",对接源_02物料!$C123="",对接源_02物料!$C123&lt;&gt;$M$1,对接源_02物料!$B123=""),0,IF(OR(N(对接源_02物料!$B123)&lt;$M$2,N(对接源_02物料!$B123)&gt;$M$3),0,1))</f>
        <v>0</v>
      </c>
      <c r="N1323" s="1" t="n">
        <f aca="false">IF(OR($N$1="",对接源_02物料!$C123="",对接源_02物料!$C123&lt;&gt;$N$1,对接源_02物料!$B123=""),0,IF(OR(N(对接源_02物料!$B123)&lt;$N$2,N(对接源_02物料!$B123)&gt;$N$3),0,1))</f>
        <v>0</v>
      </c>
      <c r="P1323" s="1" t="n">
        <f aca="false">IF(AND($K1323=1,AND(对接源_02物料!$X123="公司筐",N(对接源_02物料!$T123)&lt;&gt;0)),1,0)</f>
        <v>0</v>
      </c>
      <c r="Q1323" s="1" t="n">
        <f aca="false">N(Q1322)+$P1323</f>
        <v>13</v>
      </c>
      <c r="R1323" s="1" t="n">
        <f aca="false">IF(AND($K1323=1,AND(对接源_02物料!$X123="公司筐",N(对接源_02物料!$U123)&lt;&gt;0)),1,0)</f>
        <v>0</v>
      </c>
      <c r="S1323" s="1" t="n">
        <f aca="false">N(S1322)+$R1323</f>
        <v>5</v>
      </c>
      <c r="T1323" s="1" t="n">
        <f aca="false">IF(AND($K1323=1,AND(对接源_02物料!$X123="公司筐",N(对接源_02物料!$V123)&lt;&gt;0)),1,0)</f>
        <v>0</v>
      </c>
      <c r="U1323" s="1" t="n">
        <f aca="false">N(U1322)+$T1323</f>
        <v>28</v>
      </c>
      <c r="V1323" s="1" t="n">
        <f aca="false">IF(AND($L1323=1,AND(对接源_02物料!$X123="自备筐",N(对接源_02物料!$V123)&lt;&gt;0)),1,0)</f>
        <v>0</v>
      </c>
      <c r="W1323" s="1" t="n">
        <f aca="false">N(W1322)+$V1323</f>
        <v>7</v>
      </c>
      <c r="X1323" s="1" t="n">
        <f aca="false">IF(AND($L1323=1,AND(对接源_02物料!$X123="自备筐",N(对接源_02物料!$T123)&lt;&gt;0)),1,0)</f>
        <v>0</v>
      </c>
      <c r="Y1323" s="1" t="n">
        <f aca="false">N(Y1322)+$X1323</f>
        <v>0</v>
      </c>
      <c r="Z1323" s="1" t="n">
        <f aca="false">IF(AND($M1323=1,对接源_02物料!$D123="原料入库"),1,0)</f>
        <v>0</v>
      </c>
      <c r="AA1323" s="1" t="n">
        <f aca="false">N(AA1322)+$Z1323</f>
        <v>30</v>
      </c>
      <c r="AB1323" s="1" t="n">
        <f aca="false">IF(AND($M1323=1,LEFT(对接源_02物料!$D123,4)="原料出库"),1,0)</f>
        <v>0</v>
      </c>
      <c r="AC1323" s="1" t="n">
        <f aca="false">N(AC1322)+$AB1323</f>
        <v>19</v>
      </c>
      <c r="AD1323" s="1" t="n">
        <f aca="false">IF(AND($M1323=1,LEFT(对接源_02物料!$D123,4)="成品出库"),1,0)</f>
        <v>0</v>
      </c>
      <c r="AE1323" s="1" t="n">
        <f aca="false">N(AE1322)+$AD1323</f>
        <v>38</v>
      </c>
      <c r="AF1323" s="1" t="n">
        <f aca="false">IF(AND($N1323=1,AND(LEFT(对接源_02物料!$D123,4)="包装物料",N(对接源_02物料!$K123)&lt;&gt;0)),1,0)</f>
        <v>0</v>
      </c>
      <c r="AG1323" s="1" t="n">
        <f aca="false">N(AG1322)+$AF1323</f>
        <v>6</v>
      </c>
      <c r="AH1323" s="1" t="n">
        <f aca="false">IF(AND($N1323=1,AND(LEFT(对接源_02物料!$D123,3)="周转筐",N(对接源_02物料!$K123)&lt;&gt;0)),1,0)</f>
        <v>0</v>
      </c>
      <c r="AI1323" s="1" t="n">
        <f aca="false">N(AI1322)+$AH1323</f>
        <v>0</v>
      </c>
      <c r="AJ1323" s="1" t="n">
        <v>0</v>
      </c>
      <c r="AK1323" s="1" t="n">
        <f aca="false">N(AK1322)+$AJ1323</f>
        <v>3672</v>
      </c>
    </row>
    <row r="1324" customFormat="false" ht="13.5" hidden="false" customHeight="false" outlineLevel="0" collapsed="false">
      <c r="A1324" s="1" t="str">
        <f aca="false">IF(对接源_02物料!$C124="","",对接源_02物料!$C124)</f>
        <v/>
      </c>
      <c r="B1324" s="1" t="n">
        <f aca="false">IF(A1324="",0,IF(MATCH(A1324,$A$4:$A$2403,0)=ROW()-3,1,0))</f>
        <v>0</v>
      </c>
      <c r="C1324" s="1" t="n">
        <f aca="false">N(C1323)+B1324</f>
        <v>17</v>
      </c>
      <c r="K1324" s="1" t="n">
        <f aca="false">IF(OR($K$1="",对接源_02物料!$C124="",对接源_02物料!$C124&lt;&gt;$K$1,对接源_02物料!$B124=""),0,IF(OR(N(对接源_02物料!$B124)&lt;$K$2,N(对接源_02物料!$B124)&gt;$K$3),0,1))</f>
        <v>0</v>
      </c>
      <c r="L1324" s="1" t="n">
        <f aca="false">IF(OR($L$1="",对接源_02物料!$C124="",对接源_02物料!$C124&lt;&gt;$L$1,对接源_02物料!$B124=""),0,IF(OR(N(对接源_02物料!$B124)&lt;$L$2,N(对接源_02物料!$B124)&gt;$L$3),0,1))</f>
        <v>0</v>
      </c>
      <c r="M1324" s="1" t="n">
        <f aca="false">IF(OR($M$1="",对接源_02物料!$C124="",对接源_02物料!$C124&lt;&gt;$M$1,对接源_02物料!$B124=""),0,IF(OR(N(对接源_02物料!$B124)&lt;$M$2,N(对接源_02物料!$B124)&gt;$M$3),0,1))</f>
        <v>0</v>
      </c>
      <c r="N1324" s="1" t="n">
        <f aca="false">IF(OR($N$1="",对接源_02物料!$C124="",对接源_02物料!$C124&lt;&gt;$N$1,对接源_02物料!$B124=""),0,IF(OR(N(对接源_02物料!$B124)&lt;$N$2,N(对接源_02物料!$B124)&gt;$N$3),0,1))</f>
        <v>0</v>
      </c>
      <c r="P1324" s="1" t="n">
        <f aca="false">IF(AND($K1324=1,AND(对接源_02物料!$X124="公司筐",N(对接源_02物料!$T124)&lt;&gt;0)),1,0)</f>
        <v>0</v>
      </c>
      <c r="Q1324" s="1" t="n">
        <f aca="false">N(Q1323)+$P1324</f>
        <v>13</v>
      </c>
      <c r="R1324" s="1" t="n">
        <f aca="false">IF(AND($K1324=1,AND(对接源_02物料!$X124="公司筐",N(对接源_02物料!$U124)&lt;&gt;0)),1,0)</f>
        <v>0</v>
      </c>
      <c r="S1324" s="1" t="n">
        <f aca="false">N(S1323)+$R1324</f>
        <v>5</v>
      </c>
      <c r="T1324" s="1" t="n">
        <f aca="false">IF(AND($K1324=1,AND(对接源_02物料!$X124="公司筐",N(对接源_02物料!$V124)&lt;&gt;0)),1,0)</f>
        <v>0</v>
      </c>
      <c r="U1324" s="1" t="n">
        <f aca="false">N(U1323)+$T1324</f>
        <v>28</v>
      </c>
      <c r="V1324" s="1" t="n">
        <f aca="false">IF(AND($L1324=1,AND(对接源_02物料!$X124="自备筐",N(对接源_02物料!$V124)&lt;&gt;0)),1,0)</f>
        <v>0</v>
      </c>
      <c r="W1324" s="1" t="n">
        <f aca="false">N(W1323)+$V1324</f>
        <v>7</v>
      </c>
      <c r="X1324" s="1" t="n">
        <f aca="false">IF(AND($L1324=1,AND(对接源_02物料!$X124="自备筐",N(对接源_02物料!$T124)&lt;&gt;0)),1,0)</f>
        <v>0</v>
      </c>
      <c r="Y1324" s="1" t="n">
        <f aca="false">N(Y1323)+$X1324</f>
        <v>0</v>
      </c>
      <c r="Z1324" s="1" t="n">
        <f aca="false">IF(AND($M1324=1,对接源_02物料!$D124="原料入库"),1,0)</f>
        <v>0</v>
      </c>
      <c r="AA1324" s="1" t="n">
        <f aca="false">N(AA1323)+$Z1324</f>
        <v>30</v>
      </c>
      <c r="AB1324" s="1" t="n">
        <f aca="false">IF(AND($M1324=1,LEFT(对接源_02物料!$D124,4)="原料出库"),1,0)</f>
        <v>0</v>
      </c>
      <c r="AC1324" s="1" t="n">
        <f aca="false">N(AC1323)+$AB1324</f>
        <v>19</v>
      </c>
      <c r="AD1324" s="1" t="n">
        <f aca="false">IF(AND($M1324=1,LEFT(对接源_02物料!$D124,4)="成品出库"),1,0)</f>
        <v>0</v>
      </c>
      <c r="AE1324" s="1" t="n">
        <f aca="false">N(AE1323)+$AD1324</f>
        <v>38</v>
      </c>
      <c r="AF1324" s="1" t="n">
        <f aca="false">IF(AND($N1324=1,AND(LEFT(对接源_02物料!$D124,4)="包装物料",N(对接源_02物料!$K124)&lt;&gt;0)),1,0)</f>
        <v>0</v>
      </c>
      <c r="AG1324" s="1" t="n">
        <f aca="false">N(AG1323)+$AF1324</f>
        <v>6</v>
      </c>
      <c r="AH1324" s="1" t="n">
        <f aca="false">IF(AND($N1324=1,AND(LEFT(对接源_02物料!$D124,3)="周转筐",N(对接源_02物料!$K124)&lt;&gt;0)),1,0)</f>
        <v>0</v>
      </c>
      <c r="AI1324" s="1" t="n">
        <f aca="false">N(AI1323)+$AH1324</f>
        <v>0</v>
      </c>
      <c r="AJ1324" s="1" t="n">
        <v>0</v>
      </c>
      <c r="AK1324" s="1" t="n">
        <f aca="false">N(AK1323)+$AJ1324</f>
        <v>3672</v>
      </c>
    </row>
    <row r="1325" customFormat="false" ht="13.5" hidden="false" customHeight="false" outlineLevel="0" collapsed="false">
      <c r="A1325" s="1" t="str">
        <f aca="false">IF(对接源_02物料!$C125="","",对接源_02物料!$C125)</f>
        <v/>
      </c>
      <c r="B1325" s="1" t="n">
        <f aca="false">IF(A1325="",0,IF(MATCH(A1325,$A$4:$A$2403,0)=ROW()-3,1,0))</f>
        <v>0</v>
      </c>
      <c r="C1325" s="1" t="n">
        <f aca="false">N(C1324)+B1325</f>
        <v>17</v>
      </c>
      <c r="K1325" s="1" t="n">
        <f aca="false">IF(OR($K$1="",对接源_02物料!$C125="",对接源_02物料!$C125&lt;&gt;$K$1,对接源_02物料!$B125=""),0,IF(OR(N(对接源_02物料!$B125)&lt;$K$2,N(对接源_02物料!$B125)&gt;$K$3),0,1))</f>
        <v>0</v>
      </c>
      <c r="L1325" s="1" t="n">
        <f aca="false">IF(OR($L$1="",对接源_02物料!$C125="",对接源_02物料!$C125&lt;&gt;$L$1,对接源_02物料!$B125=""),0,IF(OR(N(对接源_02物料!$B125)&lt;$L$2,N(对接源_02物料!$B125)&gt;$L$3),0,1))</f>
        <v>0</v>
      </c>
      <c r="M1325" s="1" t="n">
        <f aca="false">IF(OR($M$1="",对接源_02物料!$C125="",对接源_02物料!$C125&lt;&gt;$M$1,对接源_02物料!$B125=""),0,IF(OR(N(对接源_02物料!$B125)&lt;$M$2,N(对接源_02物料!$B125)&gt;$M$3),0,1))</f>
        <v>0</v>
      </c>
      <c r="N1325" s="1" t="n">
        <f aca="false">IF(OR($N$1="",对接源_02物料!$C125="",对接源_02物料!$C125&lt;&gt;$N$1,对接源_02物料!$B125=""),0,IF(OR(N(对接源_02物料!$B125)&lt;$N$2,N(对接源_02物料!$B125)&gt;$N$3),0,1))</f>
        <v>0</v>
      </c>
      <c r="P1325" s="1" t="n">
        <f aca="false">IF(AND($K1325=1,AND(对接源_02物料!$X125="公司筐",N(对接源_02物料!$T125)&lt;&gt;0)),1,0)</f>
        <v>0</v>
      </c>
      <c r="Q1325" s="1" t="n">
        <f aca="false">N(Q1324)+$P1325</f>
        <v>13</v>
      </c>
      <c r="R1325" s="1" t="n">
        <f aca="false">IF(AND($K1325=1,AND(对接源_02物料!$X125="公司筐",N(对接源_02物料!$U125)&lt;&gt;0)),1,0)</f>
        <v>0</v>
      </c>
      <c r="S1325" s="1" t="n">
        <f aca="false">N(S1324)+$R1325</f>
        <v>5</v>
      </c>
      <c r="T1325" s="1" t="n">
        <f aca="false">IF(AND($K1325=1,AND(对接源_02物料!$X125="公司筐",N(对接源_02物料!$V125)&lt;&gt;0)),1,0)</f>
        <v>0</v>
      </c>
      <c r="U1325" s="1" t="n">
        <f aca="false">N(U1324)+$T1325</f>
        <v>28</v>
      </c>
      <c r="V1325" s="1" t="n">
        <f aca="false">IF(AND($L1325=1,AND(对接源_02物料!$X125="自备筐",N(对接源_02物料!$V125)&lt;&gt;0)),1,0)</f>
        <v>0</v>
      </c>
      <c r="W1325" s="1" t="n">
        <f aca="false">N(W1324)+$V1325</f>
        <v>7</v>
      </c>
      <c r="X1325" s="1" t="n">
        <f aca="false">IF(AND($L1325=1,AND(对接源_02物料!$X125="自备筐",N(对接源_02物料!$T125)&lt;&gt;0)),1,0)</f>
        <v>0</v>
      </c>
      <c r="Y1325" s="1" t="n">
        <f aca="false">N(Y1324)+$X1325</f>
        <v>0</v>
      </c>
      <c r="Z1325" s="1" t="n">
        <f aca="false">IF(AND($M1325=1,对接源_02物料!$D125="原料入库"),1,0)</f>
        <v>0</v>
      </c>
      <c r="AA1325" s="1" t="n">
        <f aca="false">N(AA1324)+$Z1325</f>
        <v>30</v>
      </c>
      <c r="AB1325" s="1" t="n">
        <f aca="false">IF(AND($M1325=1,LEFT(对接源_02物料!$D125,4)="原料出库"),1,0)</f>
        <v>0</v>
      </c>
      <c r="AC1325" s="1" t="n">
        <f aca="false">N(AC1324)+$AB1325</f>
        <v>19</v>
      </c>
      <c r="AD1325" s="1" t="n">
        <f aca="false">IF(AND($M1325=1,LEFT(对接源_02物料!$D125,4)="成品出库"),1,0)</f>
        <v>0</v>
      </c>
      <c r="AE1325" s="1" t="n">
        <f aca="false">N(AE1324)+$AD1325</f>
        <v>38</v>
      </c>
      <c r="AF1325" s="1" t="n">
        <f aca="false">IF(AND($N1325=1,AND(LEFT(对接源_02物料!$D125,4)="包装物料",N(对接源_02物料!$K125)&lt;&gt;0)),1,0)</f>
        <v>0</v>
      </c>
      <c r="AG1325" s="1" t="n">
        <f aca="false">N(AG1324)+$AF1325</f>
        <v>6</v>
      </c>
      <c r="AH1325" s="1" t="n">
        <f aca="false">IF(AND($N1325=1,AND(LEFT(对接源_02物料!$D125,3)="周转筐",N(对接源_02物料!$K125)&lt;&gt;0)),1,0)</f>
        <v>0</v>
      </c>
      <c r="AI1325" s="1" t="n">
        <f aca="false">N(AI1324)+$AH1325</f>
        <v>0</v>
      </c>
      <c r="AJ1325" s="1" t="n">
        <v>0</v>
      </c>
      <c r="AK1325" s="1" t="n">
        <f aca="false">N(AK1324)+$AJ1325</f>
        <v>3672</v>
      </c>
    </row>
    <row r="1326" customFormat="false" ht="13.5" hidden="false" customHeight="false" outlineLevel="0" collapsed="false">
      <c r="A1326" s="1" t="str">
        <f aca="false">IF(对接源_02物料!$C126="","",对接源_02物料!$C126)</f>
        <v/>
      </c>
      <c r="B1326" s="1" t="n">
        <f aca="false">IF(A1326="",0,IF(MATCH(A1326,$A$4:$A$2403,0)=ROW()-3,1,0))</f>
        <v>0</v>
      </c>
      <c r="C1326" s="1" t="n">
        <f aca="false">N(C1325)+B1326</f>
        <v>17</v>
      </c>
      <c r="K1326" s="1" t="n">
        <f aca="false">IF(OR($K$1="",对接源_02物料!$C126="",对接源_02物料!$C126&lt;&gt;$K$1,对接源_02物料!$B126=""),0,IF(OR(N(对接源_02物料!$B126)&lt;$K$2,N(对接源_02物料!$B126)&gt;$K$3),0,1))</f>
        <v>0</v>
      </c>
      <c r="L1326" s="1" t="n">
        <f aca="false">IF(OR($L$1="",对接源_02物料!$C126="",对接源_02物料!$C126&lt;&gt;$L$1,对接源_02物料!$B126=""),0,IF(OR(N(对接源_02物料!$B126)&lt;$L$2,N(对接源_02物料!$B126)&gt;$L$3),0,1))</f>
        <v>0</v>
      </c>
      <c r="M1326" s="1" t="n">
        <f aca="false">IF(OR($M$1="",对接源_02物料!$C126="",对接源_02物料!$C126&lt;&gt;$M$1,对接源_02物料!$B126=""),0,IF(OR(N(对接源_02物料!$B126)&lt;$M$2,N(对接源_02物料!$B126)&gt;$M$3),0,1))</f>
        <v>0</v>
      </c>
      <c r="N1326" s="1" t="n">
        <f aca="false">IF(OR($N$1="",对接源_02物料!$C126="",对接源_02物料!$C126&lt;&gt;$N$1,对接源_02物料!$B126=""),0,IF(OR(N(对接源_02物料!$B126)&lt;$N$2,N(对接源_02物料!$B126)&gt;$N$3),0,1))</f>
        <v>0</v>
      </c>
      <c r="P1326" s="1" t="n">
        <f aca="false">IF(AND($K1326=1,AND(对接源_02物料!$X126="公司筐",N(对接源_02物料!$T126)&lt;&gt;0)),1,0)</f>
        <v>0</v>
      </c>
      <c r="Q1326" s="1" t="n">
        <f aca="false">N(Q1325)+$P1326</f>
        <v>13</v>
      </c>
      <c r="R1326" s="1" t="n">
        <f aca="false">IF(AND($K1326=1,AND(对接源_02物料!$X126="公司筐",N(对接源_02物料!$U126)&lt;&gt;0)),1,0)</f>
        <v>0</v>
      </c>
      <c r="S1326" s="1" t="n">
        <f aca="false">N(S1325)+$R1326</f>
        <v>5</v>
      </c>
      <c r="T1326" s="1" t="n">
        <f aca="false">IF(AND($K1326=1,AND(对接源_02物料!$X126="公司筐",N(对接源_02物料!$V126)&lt;&gt;0)),1,0)</f>
        <v>0</v>
      </c>
      <c r="U1326" s="1" t="n">
        <f aca="false">N(U1325)+$T1326</f>
        <v>28</v>
      </c>
      <c r="V1326" s="1" t="n">
        <f aca="false">IF(AND($L1326=1,AND(对接源_02物料!$X126="自备筐",N(对接源_02物料!$V126)&lt;&gt;0)),1,0)</f>
        <v>0</v>
      </c>
      <c r="W1326" s="1" t="n">
        <f aca="false">N(W1325)+$V1326</f>
        <v>7</v>
      </c>
      <c r="X1326" s="1" t="n">
        <f aca="false">IF(AND($L1326=1,AND(对接源_02物料!$X126="自备筐",N(对接源_02物料!$T126)&lt;&gt;0)),1,0)</f>
        <v>0</v>
      </c>
      <c r="Y1326" s="1" t="n">
        <f aca="false">N(Y1325)+$X1326</f>
        <v>0</v>
      </c>
      <c r="Z1326" s="1" t="n">
        <f aca="false">IF(AND($M1326=1,对接源_02物料!$D126="原料入库"),1,0)</f>
        <v>0</v>
      </c>
      <c r="AA1326" s="1" t="n">
        <f aca="false">N(AA1325)+$Z1326</f>
        <v>30</v>
      </c>
      <c r="AB1326" s="1" t="n">
        <f aca="false">IF(AND($M1326=1,LEFT(对接源_02物料!$D126,4)="原料出库"),1,0)</f>
        <v>0</v>
      </c>
      <c r="AC1326" s="1" t="n">
        <f aca="false">N(AC1325)+$AB1326</f>
        <v>19</v>
      </c>
      <c r="AD1326" s="1" t="n">
        <f aca="false">IF(AND($M1326=1,LEFT(对接源_02物料!$D126,4)="成品出库"),1,0)</f>
        <v>0</v>
      </c>
      <c r="AE1326" s="1" t="n">
        <f aca="false">N(AE1325)+$AD1326</f>
        <v>38</v>
      </c>
      <c r="AF1326" s="1" t="n">
        <f aca="false">IF(AND($N1326=1,AND(LEFT(对接源_02物料!$D126,4)="包装物料",N(对接源_02物料!$K126)&lt;&gt;0)),1,0)</f>
        <v>0</v>
      </c>
      <c r="AG1326" s="1" t="n">
        <f aca="false">N(AG1325)+$AF1326</f>
        <v>6</v>
      </c>
      <c r="AH1326" s="1" t="n">
        <f aca="false">IF(AND($N1326=1,AND(LEFT(对接源_02物料!$D126,3)="周转筐",N(对接源_02物料!$K126)&lt;&gt;0)),1,0)</f>
        <v>0</v>
      </c>
      <c r="AI1326" s="1" t="n">
        <f aca="false">N(AI1325)+$AH1326</f>
        <v>0</v>
      </c>
      <c r="AJ1326" s="1" t="n">
        <v>0</v>
      </c>
      <c r="AK1326" s="1" t="n">
        <f aca="false">N(AK1325)+$AJ1326</f>
        <v>3672</v>
      </c>
    </row>
    <row r="1327" customFormat="false" ht="13.5" hidden="false" customHeight="false" outlineLevel="0" collapsed="false">
      <c r="A1327" s="1" t="str">
        <f aca="false">IF(对接源_02物料!$C127="","",对接源_02物料!$C127)</f>
        <v/>
      </c>
      <c r="B1327" s="1" t="n">
        <f aca="false">IF(A1327="",0,IF(MATCH(A1327,$A$4:$A$2403,0)=ROW()-3,1,0))</f>
        <v>0</v>
      </c>
      <c r="C1327" s="1" t="n">
        <f aca="false">N(C1326)+B1327</f>
        <v>17</v>
      </c>
      <c r="K1327" s="1" t="n">
        <f aca="false">IF(OR($K$1="",对接源_02物料!$C127="",对接源_02物料!$C127&lt;&gt;$K$1,对接源_02物料!$B127=""),0,IF(OR(N(对接源_02物料!$B127)&lt;$K$2,N(对接源_02物料!$B127)&gt;$K$3),0,1))</f>
        <v>0</v>
      </c>
      <c r="L1327" s="1" t="n">
        <f aca="false">IF(OR($L$1="",对接源_02物料!$C127="",对接源_02物料!$C127&lt;&gt;$L$1,对接源_02物料!$B127=""),0,IF(OR(N(对接源_02物料!$B127)&lt;$L$2,N(对接源_02物料!$B127)&gt;$L$3),0,1))</f>
        <v>0</v>
      </c>
      <c r="M1327" s="1" t="n">
        <f aca="false">IF(OR($M$1="",对接源_02物料!$C127="",对接源_02物料!$C127&lt;&gt;$M$1,对接源_02物料!$B127=""),0,IF(OR(N(对接源_02物料!$B127)&lt;$M$2,N(对接源_02物料!$B127)&gt;$M$3),0,1))</f>
        <v>0</v>
      </c>
      <c r="N1327" s="1" t="n">
        <f aca="false">IF(OR($N$1="",对接源_02物料!$C127="",对接源_02物料!$C127&lt;&gt;$N$1,对接源_02物料!$B127=""),0,IF(OR(N(对接源_02物料!$B127)&lt;$N$2,N(对接源_02物料!$B127)&gt;$N$3),0,1))</f>
        <v>0</v>
      </c>
      <c r="P1327" s="1" t="n">
        <f aca="false">IF(AND($K1327=1,AND(对接源_02物料!$X127="公司筐",N(对接源_02物料!$T127)&lt;&gt;0)),1,0)</f>
        <v>0</v>
      </c>
      <c r="Q1327" s="1" t="n">
        <f aca="false">N(Q1326)+$P1327</f>
        <v>13</v>
      </c>
      <c r="R1327" s="1" t="n">
        <f aca="false">IF(AND($K1327=1,AND(对接源_02物料!$X127="公司筐",N(对接源_02物料!$U127)&lt;&gt;0)),1,0)</f>
        <v>0</v>
      </c>
      <c r="S1327" s="1" t="n">
        <f aca="false">N(S1326)+$R1327</f>
        <v>5</v>
      </c>
      <c r="T1327" s="1" t="n">
        <f aca="false">IF(AND($K1327=1,AND(对接源_02物料!$X127="公司筐",N(对接源_02物料!$V127)&lt;&gt;0)),1,0)</f>
        <v>0</v>
      </c>
      <c r="U1327" s="1" t="n">
        <f aca="false">N(U1326)+$T1327</f>
        <v>28</v>
      </c>
      <c r="V1327" s="1" t="n">
        <f aca="false">IF(AND($L1327=1,AND(对接源_02物料!$X127="自备筐",N(对接源_02物料!$V127)&lt;&gt;0)),1,0)</f>
        <v>0</v>
      </c>
      <c r="W1327" s="1" t="n">
        <f aca="false">N(W1326)+$V1327</f>
        <v>7</v>
      </c>
      <c r="X1327" s="1" t="n">
        <f aca="false">IF(AND($L1327=1,AND(对接源_02物料!$X127="自备筐",N(对接源_02物料!$T127)&lt;&gt;0)),1,0)</f>
        <v>0</v>
      </c>
      <c r="Y1327" s="1" t="n">
        <f aca="false">N(Y1326)+$X1327</f>
        <v>0</v>
      </c>
      <c r="Z1327" s="1" t="n">
        <f aca="false">IF(AND($M1327=1,对接源_02物料!$D127="原料入库"),1,0)</f>
        <v>0</v>
      </c>
      <c r="AA1327" s="1" t="n">
        <f aca="false">N(AA1326)+$Z1327</f>
        <v>30</v>
      </c>
      <c r="AB1327" s="1" t="n">
        <f aca="false">IF(AND($M1327=1,LEFT(对接源_02物料!$D127,4)="原料出库"),1,0)</f>
        <v>0</v>
      </c>
      <c r="AC1327" s="1" t="n">
        <f aca="false">N(AC1326)+$AB1327</f>
        <v>19</v>
      </c>
      <c r="AD1327" s="1" t="n">
        <f aca="false">IF(AND($M1327=1,LEFT(对接源_02物料!$D127,4)="成品出库"),1,0)</f>
        <v>0</v>
      </c>
      <c r="AE1327" s="1" t="n">
        <f aca="false">N(AE1326)+$AD1327</f>
        <v>38</v>
      </c>
      <c r="AF1327" s="1" t="n">
        <f aca="false">IF(AND($N1327=1,AND(LEFT(对接源_02物料!$D127,4)="包装物料",N(对接源_02物料!$K127)&lt;&gt;0)),1,0)</f>
        <v>0</v>
      </c>
      <c r="AG1327" s="1" t="n">
        <f aca="false">N(AG1326)+$AF1327</f>
        <v>6</v>
      </c>
      <c r="AH1327" s="1" t="n">
        <f aca="false">IF(AND($N1327=1,AND(LEFT(对接源_02物料!$D127,3)="周转筐",N(对接源_02物料!$K127)&lt;&gt;0)),1,0)</f>
        <v>0</v>
      </c>
      <c r="AI1327" s="1" t="n">
        <f aca="false">N(AI1326)+$AH1327</f>
        <v>0</v>
      </c>
      <c r="AJ1327" s="1" t="n">
        <v>0</v>
      </c>
      <c r="AK1327" s="1" t="n">
        <f aca="false">N(AK1326)+$AJ1327</f>
        <v>3672</v>
      </c>
    </row>
    <row r="1328" customFormat="false" ht="13.5" hidden="false" customHeight="false" outlineLevel="0" collapsed="false">
      <c r="A1328" s="1" t="str">
        <f aca="false">IF(对接源_02物料!$C128="","",对接源_02物料!$C128)</f>
        <v/>
      </c>
      <c r="B1328" s="1" t="n">
        <f aca="false">IF(A1328="",0,IF(MATCH(A1328,$A$4:$A$2403,0)=ROW()-3,1,0))</f>
        <v>0</v>
      </c>
      <c r="C1328" s="1" t="n">
        <f aca="false">N(C1327)+B1328</f>
        <v>17</v>
      </c>
      <c r="K1328" s="1" t="n">
        <f aca="false">IF(OR($K$1="",对接源_02物料!$C128="",对接源_02物料!$C128&lt;&gt;$K$1,对接源_02物料!$B128=""),0,IF(OR(N(对接源_02物料!$B128)&lt;$K$2,N(对接源_02物料!$B128)&gt;$K$3),0,1))</f>
        <v>0</v>
      </c>
      <c r="L1328" s="1" t="n">
        <f aca="false">IF(OR($L$1="",对接源_02物料!$C128="",对接源_02物料!$C128&lt;&gt;$L$1,对接源_02物料!$B128=""),0,IF(OR(N(对接源_02物料!$B128)&lt;$L$2,N(对接源_02物料!$B128)&gt;$L$3),0,1))</f>
        <v>0</v>
      </c>
      <c r="M1328" s="1" t="n">
        <f aca="false">IF(OR($M$1="",对接源_02物料!$C128="",对接源_02物料!$C128&lt;&gt;$M$1,对接源_02物料!$B128=""),0,IF(OR(N(对接源_02物料!$B128)&lt;$M$2,N(对接源_02物料!$B128)&gt;$M$3),0,1))</f>
        <v>0</v>
      </c>
      <c r="N1328" s="1" t="n">
        <f aca="false">IF(OR($N$1="",对接源_02物料!$C128="",对接源_02物料!$C128&lt;&gt;$N$1,对接源_02物料!$B128=""),0,IF(OR(N(对接源_02物料!$B128)&lt;$N$2,N(对接源_02物料!$B128)&gt;$N$3),0,1))</f>
        <v>0</v>
      </c>
      <c r="P1328" s="1" t="n">
        <f aca="false">IF(AND($K1328=1,AND(对接源_02物料!$X128="公司筐",N(对接源_02物料!$T128)&lt;&gt;0)),1,0)</f>
        <v>0</v>
      </c>
      <c r="Q1328" s="1" t="n">
        <f aca="false">N(Q1327)+$P1328</f>
        <v>13</v>
      </c>
      <c r="R1328" s="1" t="n">
        <f aca="false">IF(AND($K1328=1,AND(对接源_02物料!$X128="公司筐",N(对接源_02物料!$U128)&lt;&gt;0)),1,0)</f>
        <v>0</v>
      </c>
      <c r="S1328" s="1" t="n">
        <f aca="false">N(S1327)+$R1328</f>
        <v>5</v>
      </c>
      <c r="T1328" s="1" t="n">
        <f aca="false">IF(AND($K1328=1,AND(对接源_02物料!$X128="公司筐",N(对接源_02物料!$V128)&lt;&gt;0)),1,0)</f>
        <v>0</v>
      </c>
      <c r="U1328" s="1" t="n">
        <f aca="false">N(U1327)+$T1328</f>
        <v>28</v>
      </c>
      <c r="V1328" s="1" t="n">
        <f aca="false">IF(AND($L1328=1,AND(对接源_02物料!$X128="自备筐",N(对接源_02物料!$V128)&lt;&gt;0)),1,0)</f>
        <v>0</v>
      </c>
      <c r="W1328" s="1" t="n">
        <f aca="false">N(W1327)+$V1328</f>
        <v>7</v>
      </c>
      <c r="X1328" s="1" t="n">
        <f aca="false">IF(AND($L1328=1,AND(对接源_02物料!$X128="自备筐",N(对接源_02物料!$T128)&lt;&gt;0)),1,0)</f>
        <v>0</v>
      </c>
      <c r="Y1328" s="1" t="n">
        <f aca="false">N(Y1327)+$X1328</f>
        <v>0</v>
      </c>
      <c r="Z1328" s="1" t="n">
        <f aca="false">IF(AND($M1328=1,对接源_02物料!$D128="原料入库"),1,0)</f>
        <v>0</v>
      </c>
      <c r="AA1328" s="1" t="n">
        <f aca="false">N(AA1327)+$Z1328</f>
        <v>30</v>
      </c>
      <c r="AB1328" s="1" t="n">
        <f aca="false">IF(AND($M1328=1,LEFT(对接源_02物料!$D128,4)="原料出库"),1,0)</f>
        <v>0</v>
      </c>
      <c r="AC1328" s="1" t="n">
        <f aca="false">N(AC1327)+$AB1328</f>
        <v>19</v>
      </c>
      <c r="AD1328" s="1" t="n">
        <f aca="false">IF(AND($M1328=1,LEFT(对接源_02物料!$D128,4)="成品出库"),1,0)</f>
        <v>0</v>
      </c>
      <c r="AE1328" s="1" t="n">
        <f aca="false">N(AE1327)+$AD1328</f>
        <v>38</v>
      </c>
      <c r="AF1328" s="1" t="n">
        <f aca="false">IF(AND($N1328=1,AND(LEFT(对接源_02物料!$D128,4)="包装物料",N(对接源_02物料!$K128)&lt;&gt;0)),1,0)</f>
        <v>0</v>
      </c>
      <c r="AG1328" s="1" t="n">
        <f aca="false">N(AG1327)+$AF1328</f>
        <v>6</v>
      </c>
      <c r="AH1328" s="1" t="n">
        <f aca="false">IF(AND($N1328=1,AND(LEFT(对接源_02物料!$D128,3)="周转筐",N(对接源_02物料!$K128)&lt;&gt;0)),1,0)</f>
        <v>0</v>
      </c>
      <c r="AI1328" s="1" t="n">
        <f aca="false">N(AI1327)+$AH1328</f>
        <v>0</v>
      </c>
      <c r="AJ1328" s="1" t="n">
        <v>0</v>
      </c>
      <c r="AK1328" s="1" t="n">
        <f aca="false">N(AK1327)+$AJ1328</f>
        <v>3672</v>
      </c>
    </row>
    <row r="1329" customFormat="false" ht="13.5" hidden="false" customHeight="false" outlineLevel="0" collapsed="false">
      <c r="A1329" s="1" t="str">
        <f aca="false">IF(对接源_02物料!$C129="","",对接源_02物料!$C129)</f>
        <v/>
      </c>
      <c r="B1329" s="1" t="n">
        <f aca="false">IF(A1329="",0,IF(MATCH(A1329,$A$4:$A$2403,0)=ROW()-3,1,0))</f>
        <v>0</v>
      </c>
      <c r="C1329" s="1" t="n">
        <f aca="false">N(C1328)+B1329</f>
        <v>17</v>
      </c>
      <c r="K1329" s="1" t="n">
        <f aca="false">IF(OR($K$1="",对接源_02物料!$C129="",对接源_02物料!$C129&lt;&gt;$K$1,对接源_02物料!$B129=""),0,IF(OR(N(对接源_02物料!$B129)&lt;$K$2,N(对接源_02物料!$B129)&gt;$K$3),0,1))</f>
        <v>0</v>
      </c>
      <c r="L1329" s="1" t="n">
        <f aca="false">IF(OR($L$1="",对接源_02物料!$C129="",对接源_02物料!$C129&lt;&gt;$L$1,对接源_02物料!$B129=""),0,IF(OR(N(对接源_02物料!$B129)&lt;$L$2,N(对接源_02物料!$B129)&gt;$L$3),0,1))</f>
        <v>0</v>
      </c>
      <c r="M1329" s="1" t="n">
        <f aca="false">IF(OR($M$1="",对接源_02物料!$C129="",对接源_02物料!$C129&lt;&gt;$M$1,对接源_02物料!$B129=""),0,IF(OR(N(对接源_02物料!$B129)&lt;$M$2,N(对接源_02物料!$B129)&gt;$M$3),0,1))</f>
        <v>0</v>
      </c>
      <c r="N1329" s="1" t="n">
        <f aca="false">IF(OR($N$1="",对接源_02物料!$C129="",对接源_02物料!$C129&lt;&gt;$N$1,对接源_02物料!$B129=""),0,IF(OR(N(对接源_02物料!$B129)&lt;$N$2,N(对接源_02物料!$B129)&gt;$N$3),0,1))</f>
        <v>0</v>
      </c>
      <c r="P1329" s="1" t="n">
        <f aca="false">IF(AND($K1329=1,AND(对接源_02物料!$X129="公司筐",N(对接源_02物料!$T129)&lt;&gt;0)),1,0)</f>
        <v>0</v>
      </c>
      <c r="Q1329" s="1" t="n">
        <f aca="false">N(Q1328)+$P1329</f>
        <v>13</v>
      </c>
      <c r="R1329" s="1" t="n">
        <f aca="false">IF(AND($K1329=1,AND(对接源_02物料!$X129="公司筐",N(对接源_02物料!$U129)&lt;&gt;0)),1,0)</f>
        <v>0</v>
      </c>
      <c r="S1329" s="1" t="n">
        <f aca="false">N(S1328)+$R1329</f>
        <v>5</v>
      </c>
      <c r="T1329" s="1" t="n">
        <f aca="false">IF(AND($K1329=1,AND(对接源_02物料!$X129="公司筐",N(对接源_02物料!$V129)&lt;&gt;0)),1,0)</f>
        <v>0</v>
      </c>
      <c r="U1329" s="1" t="n">
        <f aca="false">N(U1328)+$T1329</f>
        <v>28</v>
      </c>
      <c r="V1329" s="1" t="n">
        <f aca="false">IF(AND($L1329=1,AND(对接源_02物料!$X129="自备筐",N(对接源_02物料!$V129)&lt;&gt;0)),1,0)</f>
        <v>0</v>
      </c>
      <c r="W1329" s="1" t="n">
        <f aca="false">N(W1328)+$V1329</f>
        <v>7</v>
      </c>
      <c r="X1329" s="1" t="n">
        <f aca="false">IF(AND($L1329=1,AND(对接源_02物料!$X129="自备筐",N(对接源_02物料!$T129)&lt;&gt;0)),1,0)</f>
        <v>0</v>
      </c>
      <c r="Y1329" s="1" t="n">
        <f aca="false">N(Y1328)+$X1329</f>
        <v>0</v>
      </c>
      <c r="Z1329" s="1" t="n">
        <f aca="false">IF(AND($M1329=1,对接源_02物料!$D129="原料入库"),1,0)</f>
        <v>0</v>
      </c>
      <c r="AA1329" s="1" t="n">
        <f aca="false">N(AA1328)+$Z1329</f>
        <v>30</v>
      </c>
      <c r="AB1329" s="1" t="n">
        <f aca="false">IF(AND($M1329=1,LEFT(对接源_02物料!$D129,4)="原料出库"),1,0)</f>
        <v>0</v>
      </c>
      <c r="AC1329" s="1" t="n">
        <f aca="false">N(AC1328)+$AB1329</f>
        <v>19</v>
      </c>
      <c r="AD1329" s="1" t="n">
        <f aca="false">IF(AND($M1329=1,LEFT(对接源_02物料!$D129,4)="成品出库"),1,0)</f>
        <v>0</v>
      </c>
      <c r="AE1329" s="1" t="n">
        <f aca="false">N(AE1328)+$AD1329</f>
        <v>38</v>
      </c>
      <c r="AF1329" s="1" t="n">
        <f aca="false">IF(AND($N1329=1,AND(LEFT(对接源_02物料!$D129,4)="包装物料",N(对接源_02物料!$K129)&lt;&gt;0)),1,0)</f>
        <v>0</v>
      </c>
      <c r="AG1329" s="1" t="n">
        <f aca="false">N(AG1328)+$AF1329</f>
        <v>6</v>
      </c>
      <c r="AH1329" s="1" t="n">
        <f aca="false">IF(AND($N1329=1,AND(LEFT(对接源_02物料!$D129,3)="周转筐",N(对接源_02物料!$K129)&lt;&gt;0)),1,0)</f>
        <v>0</v>
      </c>
      <c r="AI1329" s="1" t="n">
        <f aca="false">N(AI1328)+$AH1329</f>
        <v>0</v>
      </c>
      <c r="AJ1329" s="1" t="n">
        <v>0</v>
      </c>
      <c r="AK1329" s="1" t="n">
        <f aca="false">N(AK1328)+$AJ1329</f>
        <v>3672</v>
      </c>
    </row>
    <row r="1330" customFormat="false" ht="13.5" hidden="false" customHeight="false" outlineLevel="0" collapsed="false">
      <c r="A1330" s="1" t="str">
        <f aca="false">IF(对接源_02物料!$C130="","",对接源_02物料!$C130)</f>
        <v/>
      </c>
      <c r="B1330" s="1" t="n">
        <f aca="false">IF(A1330="",0,IF(MATCH(A1330,$A$4:$A$2403,0)=ROW()-3,1,0))</f>
        <v>0</v>
      </c>
      <c r="C1330" s="1" t="n">
        <f aca="false">N(C1329)+B1330</f>
        <v>17</v>
      </c>
      <c r="K1330" s="1" t="n">
        <f aca="false">IF(OR($K$1="",对接源_02物料!$C130="",对接源_02物料!$C130&lt;&gt;$K$1,对接源_02物料!$B130=""),0,IF(OR(N(对接源_02物料!$B130)&lt;$K$2,N(对接源_02物料!$B130)&gt;$K$3),0,1))</f>
        <v>0</v>
      </c>
      <c r="L1330" s="1" t="n">
        <f aca="false">IF(OR($L$1="",对接源_02物料!$C130="",对接源_02物料!$C130&lt;&gt;$L$1,对接源_02物料!$B130=""),0,IF(OR(N(对接源_02物料!$B130)&lt;$L$2,N(对接源_02物料!$B130)&gt;$L$3),0,1))</f>
        <v>0</v>
      </c>
      <c r="M1330" s="1" t="n">
        <f aca="false">IF(OR($M$1="",对接源_02物料!$C130="",对接源_02物料!$C130&lt;&gt;$M$1,对接源_02物料!$B130=""),0,IF(OR(N(对接源_02物料!$B130)&lt;$M$2,N(对接源_02物料!$B130)&gt;$M$3),0,1))</f>
        <v>0</v>
      </c>
      <c r="N1330" s="1" t="n">
        <f aca="false">IF(OR($N$1="",对接源_02物料!$C130="",对接源_02物料!$C130&lt;&gt;$N$1,对接源_02物料!$B130=""),0,IF(OR(N(对接源_02物料!$B130)&lt;$N$2,N(对接源_02物料!$B130)&gt;$N$3),0,1))</f>
        <v>0</v>
      </c>
      <c r="P1330" s="1" t="n">
        <f aca="false">IF(AND($K1330=1,AND(对接源_02物料!$X130="公司筐",N(对接源_02物料!$T130)&lt;&gt;0)),1,0)</f>
        <v>0</v>
      </c>
      <c r="Q1330" s="1" t="n">
        <f aca="false">N(Q1329)+$P1330</f>
        <v>13</v>
      </c>
      <c r="R1330" s="1" t="n">
        <f aca="false">IF(AND($K1330=1,AND(对接源_02物料!$X130="公司筐",N(对接源_02物料!$U130)&lt;&gt;0)),1,0)</f>
        <v>0</v>
      </c>
      <c r="S1330" s="1" t="n">
        <f aca="false">N(S1329)+$R1330</f>
        <v>5</v>
      </c>
      <c r="T1330" s="1" t="n">
        <f aca="false">IF(AND($K1330=1,AND(对接源_02物料!$X130="公司筐",N(对接源_02物料!$V130)&lt;&gt;0)),1,0)</f>
        <v>0</v>
      </c>
      <c r="U1330" s="1" t="n">
        <f aca="false">N(U1329)+$T1330</f>
        <v>28</v>
      </c>
      <c r="V1330" s="1" t="n">
        <f aca="false">IF(AND($L1330=1,AND(对接源_02物料!$X130="自备筐",N(对接源_02物料!$V130)&lt;&gt;0)),1,0)</f>
        <v>0</v>
      </c>
      <c r="W1330" s="1" t="n">
        <f aca="false">N(W1329)+$V1330</f>
        <v>7</v>
      </c>
      <c r="X1330" s="1" t="n">
        <f aca="false">IF(AND($L1330=1,AND(对接源_02物料!$X130="自备筐",N(对接源_02物料!$T130)&lt;&gt;0)),1,0)</f>
        <v>0</v>
      </c>
      <c r="Y1330" s="1" t="n">
        <f aca="false">N(Y1329)+$X1330</f>
        <v>0</v>
      </c>
      <c r="Z1330" s="1" t="n">
        <f aca="false">IF(AND($M1330=1,对接源_02物料!$D130="原料入库"),1,0)</f>
        <v>0</v>
      </c>
      <c r="AA1330" s="1" t="n">
        <f aca="false">N(AA1329)+$Z1330</f>
        <v>30</v>
      </c>
      <c r="AB1330" s="1" t="n">
        <f aca="false">IF(AND($M1330=1,LEFT(对接源_02物料!$D130,4)="原料出库"),1,0)</f>
        <v>0</v>
      </c>
      <c r="AC1330" s="1" t="n">
        <f aca="false">N(AC1329)+$AB1330</f>
        <v>19</v>
      </c>
      <c r="AD1330" s="1" t="n">
        <f aca="false">IF(AND($M1330=1,LEFT(对接源_02物料!$D130,4)="成品出库"),1,0)</f>
        <v>0</v>
      </c>
      <c r="AE1330" s="1" t="n">
        <f aca="false">N(AE1329)+$AD1330</f>
        <v>38</v>
      </c>
      <c r="AF1330" s="1" t="n">
        <f aca="false">IF(AND($N1330=1,AND(LEFT(对接源_02物料!$D130,4)="包装物料",N(对接源_02物料!$K130)&lt;&gt;0)),1,0)</f>
        <v>0</v>
      </c>
      <c r="AG1330" s="1" t="n">
        <f aca="false">N(AG1329)+$AF1330</f>
        <v>6</v>
      </c>
      <c r="AH1330" s="1" t="n">
        <f aca="false">IF(AND($N1330=1,AND(LEFT(对接源_02物料!$D130,3)="周转筐",N(对接源_02物料!$K130)&lt;&gt;0)),1,0)</f>
        <v>0</v>
      </c>
      <c r="AI1330" s="1" t="n">
        <f aca="false">N(AI1329)+$AH1330</f>
        <v>0</v>
      </c>
      <c r="AJ1330" s="1" t="n">
        <v>0</v>
      </c>
      <c r="AK1330" s="1" t="n">
        <f aca="false">N(AK1329)+$AJ1330</f>
        <v>3672</v>
      </c>
    </row>
    <row r="1331" customFormat="false" ht="13.5" hidden="false" customHeight="false" outlineLevel="0" collapsed="false">
      <c r="A1331" s="1" t="str">
        <f aca="false">IF(对接源_02物料!$C131="","",对接源_02物料!$C131)</f>
        <v/>
      </c>
      <c r="B1331" s="1" t="n">
        <f aca="false">IF(A1331="",0,IF(MATCH(A1331,$A$4:$A$2403,0)=ROW()-3,1,0))</f>
        <v>0</v>
      </c>
      <c r="C1331" s="1" t="n">
        <f aca="false">N(C1330)+B1331</f>
        <v>17</v>
      </c>
      <c r="K1331" s="1" t="n">
        <f aca="false">IF(OR($K$1="",对接源_02物料!$C131="",对接源_02物料!$C131&lt;&gt;$K$1,对接源_02物料!$B131=""),0,IF(OR(N(对接源_02物料!$B131)&lt;$K$2,N(对接源_02物料!$B131)&gt;$K$3),0,1))</f>
        <v>0</v>
      </c>
      <c r="L1331" s="1" t="n">
        <f aca="false">IF(OR($L$1="",对接源_02物料!$C131="",对接源_02物料!$C131&lt;&gt;$L$1,对接源_02物料!$B131=""),0,IF(OR(N(对接源_02物料!$B131)&lt;$L$2,N(对接源_02物料!$B131)&gt;$L$3),0,1))</f>
        <v>0</v>
      </c>
      <c r="M1331" s="1" t="n">
        <f aca="false">IF(OR($M$1="",对接源_02物料!$C131="",对接源_02物料!$C131&lt;&gt;$M$1,对接源_02物料!$B131=""),0,IF(OR(N(对接源_02物料!$B131)&lt;$M$2,N(对接源_02物料!$B131)&gt;$M$3),0,1))</f>
        <v>0</v>
      </c>
      <c r="N1331" s="1" t="n">
        <f aca="false">IF(OR($N$1="",对接源_02物料!$C131="",对接源_02物料!$C131&lt;&gt;$N$1,对接源_02物料!$B131=""),0,IF(OR(N(对接源_02物料!$B131)&lt;$N$2,N(对接源_02物料!$B131)&gt;$N$3),0,1))</f>
        <v>0</v>
      </c>
      <c r="P1331" s="1" t="n">
        <f aca="false">IF(AND($K1331=1,AND(对接源_02物料!$X131="公司筐",N(对接源_02物料!$T131)&lt;&gt;0)),1,0)</f>
        <v>0</v>
      </c>
      <c r="Q1331" s="1" t="n">
        <f aca="false">N(Q1330)+$P1331</f>
        <v>13</v>
      </c>
      <c r="R1331" s="1" t="n">
        <f aca="false">IF(AND($K1331=1,AND(对接源_02物料!$X131="公司筐",N(对接源_02物料!$U131)&lt;&gt;0)),1,0)</f>
        <v>0</v>
      </c>
      <c r="S1331" s="1" t="n">
        <f aca="false">N(S1330)+$R1331</f>
        <v>5</v>
      </c>
      <c r="T1331" s="1" t="n">
        <f aca="false">IF(AND($K1331=1,AND(对接源_02物料!$X131="公司筐",N(对接源_02物料!$V131)&lt;&gt;0)),1,0)</f>
        <v>0</v>
      </c>
      <c r="U1331" s="1" t="n">
        <f aca="false">N(U1330)+$T1331</f>
        <v>28</v>
      </c>
      <c r="V1331" s="1" t="n">
        <f aca="false">IF(AND($L1331=1,AND(对接源_02物料!$X131="自备筐",N(对接源_02物料!$V131)&lt;&gt;0)),1,0)</f>
        <v>0</v>
      </c>
      <c r="W1331" s="1" t="n">
        <f aca="false">N(W1330)+$V1331</f>
        <v>7</v>
      </c>
      <c r="X1331" s="1" t="n">
        <f aca="false">IF(AND($L1331=1,AND(对接源_02物料!$X131="自备筐",N(对接源_02物料!$T131)&lt;&gt;0)),1,0)</f>
        <v>0</v>
      </c>
      <c r="Y1331" s="1" t="n">
        <f aca="false">N(Y1330)+$X1331</f>
        <v>0</v>
      </c>
      <c r="Z1331" s="1" t="n">
        <f aca="false">IF(AND($M1331=1,对接源_02物料!$D131="原料入库"),1,0)</f>
        <v>0</v>
      </c>
      <c r="AA1331" s="1" t="n">
        <f aca="false">N(AA1330)+$Z1331</f>
        <v>30</v>
      </c>
      <c r="AB1331" s="1" t="n">
        <f aca="false">IF(AND($M1331=1,LEFT(对接源_02物料!$D131,4)="原料出库"),1,0)</f>
        <v>0</v>
      </c>
      <c r="AC1331" s="1" t="n">
        <f aca="false">N(AC1330)+$AB1331</f>
        <v>19</v>
      </c>
      <c r="AD1331" s="1" t="n">
        <f aca="false">IF(AND($M1331=1,LEFT(对接源_02物料!$D131,4)="成品出库"),1,0)</f>
        <v>0</v>
      </c>
      <c r="AE1331" s="1" t="n">
        <f aca="false">N(AE1330)+$AD1331</f>
        <v>38</v>
      </c>
      <c r="AF1331" s="1" t="n">
        <f aca="false">IF(AND($N1331=1,AND(LEFT(对接源_02物料!$D131,4)="包装物料",N(对接源_02物料!$K131)&lt;&gt;0)),1,0)</f>
        <v>0</v>
      </c>
      <c r="AG1331" s="1" t="n">
        <f aca="false">N(AG1330)+$AF1331</f>
        <v>6</v>
      </c>
      <c r="AH1331" s="1" t="n">
        <f aca="false">IF(AND($N1331=1,AND(LEFT(对接源_02物料!$D131,3)="周转筐",N(对接源_02物料!$K131)&lt;&gt;0)),1,0)</f>
        <v>0</v>
      </c>
      <c r="AI1331" s="1" t="n">
        <f aca="false">N(AI1330)+$AH1331</f>
        <v>0</v>
      </c>
      <c r="AJ1331" s="1" t="n">
        <v>0</v>
      </c>
      <c r="AK1331" s="1" t="n">
        <f aca="false">N(AK1330)+$AJ1331</f>
        <v>3672</v>
      </c>
    </row>
    <row r="1332" customFormat="false" ht="13.5" hidden="false" customHeight="false" outlineLevel="0" collapsed="false">
      <c r="A1332" s="1" t="str">
        <f aca="false">IF(对接源_02物料!$C132="","",对接源_02物料!$C132)</f>
        <v/>
      </c>
      <c r="B1332" s="1" t="n">
        <f aca="false">IF(A1332="",0,IF(MATCH(A1332,$A$4:$A$2403,0)=ROW()-3,1,0))</f>
        <v>0</v>
      </c>
      <c r="C1332" s="1" t="n">
        <f aca="false">N(C1331)+B1332</f>
        <v>17</v>
      </c>
      <c r="K1332" s="1" t="n">
        <f aca="false">IF(OR($K$1="",对接源_02物料!$C132="",对接源_02物料!$C132&lt;&gt;$K$1,对接源_02物料!$B132=""),0,IF(OR(N(对接源_02物料!$B132)&lt;$K$2,N(对接源_02物料!$B132)&gt;$K$3),0,1))</f>
        <v>0</v>
      </c>
      <c r="L1332" s="1" t="n">
        <f aca="false">IF(OR($L$1="",对接源_02物料!$C132="",对接源_02物料!$C132&lt;&gt;$L$1,对接源_02物料!$B132=""),0,IF(OR(N(对接源_02物料!$B132)&lt;$L$2,N(对接源_02物料!$B132)&gt;$L$3),0,1))</f>
        <v>0</v>
      </c>
      <c r="M1332" s="1" t="n">
        <f aca="false">IF(OR($M$1="",对接源_02物料!$C132="",对接源_02物料!$C132&lt;&gt;$M$1,对接源_02物料!$B132=""),0,IF(OR(N(对接源_02物料!$B132)&lt;$M$2,N(对接源_02物料!$B132)&gt;$M$3),0,1))</f>
        <v>0</v>
      </c>
      <c r="N1332" s="1" t="n">
        <f aca="false">IF(OR($N$1="",对接源_02物料!$C132="",对接源_02物料!$C132&lt;&gt;$N$1,对接源_02物料!$B132=""),0,IF(OR(N(对接源_02物料!$B132)&lt;$N$2,N(对接源_02物料!$B132)&gt;$N$3),0,1))</f>
        <v>0</v>
      </c>
      <c r="P1332" s="1" t="n">
        <f aca="false">IF(AND($K1332=1,AND(对接源_02物料!$X132="公司筐",N(对接源_02物料!$T132)&lt;&gt;0)),1,0)</f>
        <v>0</v>
      </c>
      <c r="Q1332" s="1" t="n">
        <f aca="false">N(Q1331)+$P1332</f>
        <v>13</v>
      </c>
      <c r="R1332" s="1" t="n">
        <f aca="false">IF(AND($K1332=1,AND(对接源_02物料!$X132="公司筐",N(对接源_02物料!$U132)&lt;&gt;0)),1,0)</f>
        <v>0</v>
      </c>
      <c r="S1332" s="1" t="n">
        <f aca="false">N(S1331)+$R1332</f>
        <v>5</v>
      </c>
      <c r="T1332" s="1" t="n">
        <f aca="false">IF(AND($K1332=1,AND(对接源_02物料!$X132="公司筐",N(对接源_02物料!$V132)&lt;&gt;0)),1,0)</f>
        <v>0</v>
      </c>
      <c r="U1332" s="1" t="n">
        <f aca="false">N(U1331)+$T1332</f>
        <v>28</v>
      </c>
      <c r="V1332" s="1" t="n">
        <f aca="false">IF(AND($L1332=1,AND(对接源_02物料!$X132="自备筐",N(对接源_02物料!$V132)&lt;&gt;0)),1,0)</f>
        <v>0</v>
      </c>
      <c r="W1332" s="1" t="n">
        <f aca="false">N(W1331)+$V1332</f>
        <v>7</v>
      </c>
      <c r="X1332" s="1" t="n">
        <f aca="false">IF(AND($L1332=1,AND(对接源_02物料!$X132="自备筐",N(对接源_02物料!$T132)&lt;&gt;0)),1,0)</f>
        <v>0</v>
      </c>
      <c r="Y1332" s="1" t="n">
        <f aca="false">N(Y1331)+$X1332</f>
        <v>0</v>
      </c>
      <c r="Z1332" s="1" t="n">
        <f aca="false">IF(AND($M1332=1,对接源_02物料!$D132="原料入库"),1,0)</f>
        <v>0</v>
      </c>
      <c r="AA1332" s="1" t="n">
        <f aca="false">N(AA1331)+$Z1332</f>
        <v>30</v>
      </c>
      <c r="AB1332" s="1" t="n">
        <f aca="false">IF(AND($M1332=1,LEFT(对接源_02物料!$D132,4)="原料出库"),1,0)</f>
        <v>0</v>
      </c>
      <c r="AC1332" s="1" t="n">
        <f aca="false">N(AC1331)+$AB1332</f>
        <v>19</v>
      </c>
      <c r="AD1332" s="1" t="n">
        <f aca="false">IF(AND($M1332=1,LEFT(对接源_02物料!$D132,4)="成品出库"),1,0)</f>
        <v>0</v>
      </c>
      <c r="AE1332" s="1" t="n">
        <f aca="false">N(AE1331)+$AD1332</f>
        <v>38</v>
      </c>
      <c r="AF1332" s="1" t="n">
        <f aca="false">IF(AND($N1332=1,AND(LEFT(对接源_02物料!$D132,4)="包装物料",N(对接源_02物料!$K132)&lt;&gt;0)),1,0)</f>
        <v>0</v>
      </c>
      <c r="AG1332" s="1" t="n">
        <f aca="false">N(AG1331)+$AF1332</f>
        <v>6</v>
      </c>
      <c r="AH1332" s="1" t="n">
        <f aca="false">IF(AND($N1332=1,AND(LEFT(对接源_02物料!$D132,3)="周转筐",N(对接源_02物料!$K132)&lt;&gt;0)),1,0)</f>
        <v>0</v>
      </c>
      <c r="AI1332" s="1" t="n">
        <f aca="false">N(AI1331)+$AH1332</f>
        <v>0</v>
      </c>
      <c r="AJ1332" s="1" t="n">
        <v>0</v>
      </c>
      <c r="AK1332" s="1" t="n">
        <f aca="false">N(AK1331)+$AJ1332</f>
        <v>3672</v>
      </c>
    </row>
    <row r="1333" customFormat="false" ht="13.5" hidden="false" customHeight="false" outlineLevel="0" collapsed="false">
      <c r="A1333" s="1" t="str">
        <f aca="false">IF(对接源_02物料!$C133="","",对接源_02物料!$C133)</f>
        <v/>
      </c>
      <c r="B1333" s="1" t="n">
        <f aca="false">IF(A1333="",0,IF(MATCH(A1333,$A$4:$A$2403,0)=ROW()-3,1,0))</f>
        <v>0</v>
      </c>
      <c r="C1333" s="1" t="n">
        <f aca="false">N(C1332)+B1333</f>
        <v>17</v>
      </c>
      <c r="K1333" s="1" t="n">
        <f aca="false">IF(OR($K$1="",对接源_02物料!$C133="",对接源_02物料!$C133&lt;&gt;$K$1,对接源_02物料!$B133=""),0,IF(OR(N(对接源_02物料!$B133)&lt;$K$2,N(对接源_02物料!$B133)&gt;$K$3),0,1))</f>
        <v>0</v>
      </c>
      <c r="L1333" s="1" t="n">
        <f aca="false">IF(OR($L$1="",对接源_02物料!$C133="",对接源_02物料!$C133&lt;&gt;$L$1,对接源_02物料!$B133=""),0,IF(OR(N(对接源_02物料!$B133)&lt;$L$2,N(对接源_02物料!$B133)&gt;$L$3),0,1))</f>
        <v>0</v>
      </c>
      <c r="M1333" s="1" t="n">
        <f aca="false">IF(OR($M$1="",对接源_02物料!$C133="",对接源_02物料!$C133&lt;&gt;$M$1,对接源_02物料!$B133=""),0,IF(OR(N(对接源_02物料!$B133)&lt;$M$2,N(对接源_02物料!$B133)&gt;$M$3),0,1))</f>
        <v>0</v>
      </c>
      <c r="N1333" s="1" t="n">
        <f aca="false">IF(OR($N$1="",对接源_02物料!$C133="",对接源_02物料!$C133&lt;&gt;$N$1,对接源_02物料!$B133=""),0,IF(OR(N(对接源_02物料!$B133)&lt;$N$2,N(对接源_02物料!$B133)&gt;$N$3),0,1))</f>
        <v>0</v>
      </c>
      <c r="P1333" s="1" t="n">
        <f aca="false">IF(AND($K1333=1,AND(对接源_02物料!$X133="公司筐",N(对接源_02物料!$T133)&lt;&gt;0)),1,0)</f>
        <v>0</v>
      </c>
      <c r="Q1333" s="1" t="n">
        <f aca="false">N(Q1332)+$P1333</f>
        <v>13</v>
      </c>
      <c r="R1333" s="1" t="n">
        <f aca="false">IF(AND($K1333=1,AND(对接源_02物料!$X133="公司筐",N(对接源_02物料!$U133)&lt;&gt;0)),1,0)</f>
        <v>0</v>
      </c>
      <c r="S1333" s="1" t="n">
        <f aca="false">N(S1332)+$R1333</f>
        <v>5</v>
      </c>
      <c r="T1333" s="1" t="n">
        <f aca="false">IF(AND($K1333=1,AND(对接源_02物料!$X133="公司筐",N(对接源_02物料!$V133)&lt;&gt;0)),1,0)</f>
        <v>0</v>
      </c>
      <c r="U1333" s="1" t="n">
        <f aca="false">N(U1332)+$T1333</f>
        <v>28</v>
      </c>
      <c r="V1333" s="1" t="n">
        <f aca="false">IF(AND($L1333=1,AND(对接源_02物料!$X133="自备筐",N(对接源_02物料!$V133)&lt;&gt;0)),1,0)</f>
        <v>0</v>
      </c>
      <c r="W1333" s="1" t="n">
        <f aca="false">N(W1332)+$V1333</f>
        <v>7</v>
      </c>
      <c r="X1333" s="1" t="n">
        <f aca="false">IF(AND($L1333=1,AND(对接源_02物料!$X133="自备筐",N(对接源_02物料!$T133)&lt;&gt;0)),1,0)</f>
        <v>0</v>
      </c>
      <c r="Y1333" s="1" t="n">
        <f aca="false">N(Y1332)+$X1333</f>
        <v>0</v>
      </c>
      <c r="Z1333" s="1" t="n">
        <f aca="false">IF(AND($M1333=1,对接源_02物料!$D133="原料入库"),1,0)</f>
        <v>0</v>
      </c>
      <c r="AA1333" s="1" t="n">
        <f aca="false">N(AA1332)+$Z1333</f>
        <v>30</v>
      </c>
      <c r="AB1333" s="1" t="n">
        <f aca="false">IF(AND($M1333=1,LEFT(对接源_02物料!$D133,4)="原料出库"),1,0)</f>
        <v>0</v>
      </c>
      <c r="AC1333" s="1" t="n">
        <f aca="false">N(AC1332)+$AB1333</f>
        <v>19</v>
      </c>
      <c r="AD1333" s="1" t="n">
        <f aca="false">IF(AND($M1333=1,LEFT(对接源_02物料!$D133,4)="成品出库"),1,0)</f>
        <v>0</v>
      </c>
      <c r="AE1333" s="1" t="n">
        <f aca="false">N(AE1332)+$AD1333</f>
        <v>38</v>
      </c>
      <c r="AF1333" s="1" t="n">
        <f aca="false">IF(AND($N1333=1,AND(LEFT(对接源_02物料!$D133,4)="包装物料",N(对接源_02物料!$K133)&lt;&gt;0)),1,0)</f>
        <v>0</v>
      </c>
      <c r="AG1333" s="1" t="n">
        <f aca="false">N(AG1332)+$AF1333</f>
        <v>6</v>
      </c>
      <c r="AH1333" s="1" t="n">
        <f aca="false">IF(AND($N1333=1,AND(LEFT(对接源_02物料!$D133,3)="周转筐",N(对接源_02物料!$K133)&lt;&gt;0)),1,0)</f>
        <v>0</v>
      </c>
      <c r="AI1333" s="1" t="n">
        <f aca="false">N(AI1332)+$AH1333</f>
        <v>0</v>
      </c>
      <c r="AJ1333" s="1" t="n">
        <v>0</v>
      </c>
      <c r="AK1333" s="1" t="n">
        <f aca="false">N(AK1332)+$AJ1333</f>
        <v>3672</v>
      </c>
    </row>
    <row r="1334" customFormat="false" ht="13.5" hidden="false" customHeight="false" outlineLevel="0" collapsed="false">
      <c r="A1334" s="1" t="str">
        <f aca="false">IF(对接源_02物料!$C134="","",对接源_02物料!$C134)</f>
        <v/>
      </c>
      <c r="B1334" s="1" t="n">
        <f aca="false">IF(A1334="",0,IF(MATCH(A1334,$A$4:$A$2403,0)=ROW()-3,1,0))</f>
        <v>0</v>
      </c>
      <c r="C1334" s="1" t="n">
        <f aca="false">N(C1333)+B1334</f>
        <v>17</v>
      </c>
      <c r="K1334" s="1" t="n">
        <f aca="false">IF(OR($K$1="",对接源_02物料!$C134="",对接源_02物料!$C134&lt;&gt;$K$1,对接源_02物料!$B134=""),0,IF(OR(N(对接源_02物料!$B134)&lt;$K$2,N(对接源_02物料!$B134)&gt;$K$3),0,1))</f>
        <v>0</v>
      </c>
      <c r="L1334" s="1" t="n">
        <f aca="false">IF(OR($L$1="",对接源_02物料!$C134="",对接源_02物料!$C134&lt;&gt;$L$1,对接源_02物料!$B134=""),0,IF(OR(N(对接源_02物料!$B134)&lt;$L$2,N(对接源_02物料!$B134)&gt;$L$3),0,1))</f>
        <v>0</v>
      </c>
      <c r="M1334" s="1" t="n">
        <f aca="false">IF(OR($M$1="",对接源_02物料!$C134="",对接源_02物料!$C134&lt;&gt;$M$1,对接源_02物料!$B134=""),0,IF(OR(N(对接源_02物料!$B134)&lt;$M$2,N(对接源_02物料!$B134)&gt;$M$3),0,1))</f>
        <v>0</v>
      </c>
      <c r="N1334" s="1" t="n">
        <f aca="false">IF(OR($N$1="",对接源_02物料!$C134="",对接源_02物料!$C134&lt;&gt;$N$1,对接源_02物料!$B134=""),0,IF(OR(N(对接源_02物料!$B134)&lt;$N$2,N(对接源_02物料!$B134)&gt;$N$3),0,1))</f>
        <v>0</v>
      </c>
      <c r="P1334" s="1" t="n">
        <f aca="false">IF(AND($K1334=1,AND(对接源_02物料!$X134="公司筐",N(对接源_02物料!$T134)&lt;&gt;0)),1,0)</f>
        <v>0</v>
      </c>
      <c r="Q1334" s="1" t="n">
        <f aca="false">N(Q1333)+$P1334</f>
        <v>13</v>
      </c>
      <c r="R1334" s="1" t="n">
        <f aca="false">IF(AND($K1334=1,AND(对接源_02物料!$X134="公司筐",N(对接源_02物料!$U134)&lt;&gt;0)),1,0)</f>
        <v>0</v>
      </c>
      <c r="S1334" s="1" t="n">
        <f aca="false">N(S1333)+$R1334</f>
        <v>5</v>
      </c>
      <c r="T1334" s="1" t="n">
        <f aca="false">IF(AND($K1334=1,AND(对接源_02物料!$X134="公司筐",N(对接源_02物料!$V134)&lt;&gt;0)),1,0)</f>
        <v>0</v>
      </c>
      <c r="U1334" s="1" t="n">
        <f aca="false">N(U1333)+$T1334</f>
        <v>28</v>
      </c>
      <c r="V1334" s="1" t="n">
        <f aca="false">IF(AND($L1334=1,AND(对接源_02物料!$X134="自备筐",N(对接源_02物料!$V134)&lt;&gt;0)),1,0)</f>
        <v>0</v>
      </c>
      <c r="W1334" s="1" t="n">
        <f aca="false">N(W1333)+$V1334</f>
        <v>7</v>
      </c>
      <c r="X1334" s="1" t="n">
        <f aca="false">IF(AND($L1334=1,AND(对接源_02物料!$X134="自备筐",N(对接源_02物料!$T134)&lt;&gt;0)),1,0)</f>
        <v>0</v>
      </c>
      <c r="Y1334" s="1" t="n">
        <f aca="false">N(Y1333)+$X1334</f>
        <v>0</v>
      </c>
      <c r="Z1334" s="1" t="n">
        <f aca="false">IF(AND($M1334=1,对接源_02物料!$D134="原料入库"),1,0)</f>
        <v>0</v>
      </c>
      <c r="AA1334" s="1" t="n">
        <f aca="false">N(AA1333)+$Z1334</f>
        <v>30</v>
      </c>
      <c r="AB1334" s="1" t="n">
        <f aca="false">IF(AND($M1334=1,LEFT(对接源_02物料!$D134,4)="原料出库"),1,0)</f>
        <v>0</v>
      </c>
      <c r="AC1334" s="1" t="n">
        <f aca="false">N(AC1333)+$AB1334</f>
        <v>19</v>
      </c>
      <c r="AD1334" s="1" t="n">
        <f aca="false">IF(AND($M1334=1,LEFT(对接源_02物料!$D134,4)="成品出库"),1,0)</f>
        <v>0</v>
      </c>
      <c r="AE1334" s="1" t="n">
        <f aca="false">N(AE1333)+$AD1334</f>
        <v>38</v>
      </c>
      <c r="AF1334" s="1" t="n">
        <f aca="false">IF(AND($N1334=1,AND(LEFT(对接源_02物料!$D134,4)="包装物料",N(对接源_02物料!$K134)&lt;&gt;0)),1,0)</f>
        <v>0</v>
      </c>
      <c r="AG1334" s="1" t="n">
        <f aca="false">N(AG1333)+$AF1334</f>
        <v>6</v>
      </c>
      <c r="AH1334" s="1" t="n">
        <f aca="false">IF(AND($N1334=1,AND(LEFT(对接源_02物料!$D134,3)="周转筐",N(对接源_02物料!$K134)&lt;&gt;0)),1,0)</f>
        <v>0</v>
      </c>
      <c r="AI1334" s="1" t="n">
        <f aca="false">N(AI1333)+$AH1334</f>
        <v>0</v>
      </c>
      <c r="AJ1334" s="1" t="n">
        <v>0</v>
      </c>
      <c r="AK1334" s="1" t="n">
        <f aca="false">N(AK1333)+$AJ1334</f>
        <v>3672</v>
      </c>
    </row>
    <row r="1335" customFormat="false" ht="13.5" hidden="false" customHeight="false" outlineLevel="0" collapsed="false">
      <c r="A1335" s="1" t="str">
        <f aca="false">IF(对接源_02物料!$C135="","",对接源_02物料!$C135)</f>
        <v/>
      </c>
      <c r="B1335" s="1" t="n">
        <f aca="false">IF(A1335="",0,IF(MATCH(A1335,$A$4:$A$2403,0)=ROW()-3,1,0))</f>
        <v>0</v>
      </c>
      <c r="C1335" s="1" t="n">
        <f aca="false">N(C1334)+B1335</f>
        <v>17</v>
      </c>
      <c r="K1335" s="1" t="n">
        <f aca="false">IF(OR($K$1="",对接源_02物料!$C135="",对接源_02物料!$C135&lt;&gt;$K$1,对接源_02物料!$B135=""),0,IF(OR(N(对接源_02物料!$B135)&lt;$K$2,N(对接源_02物料!$B135)&gt;$K$3),0,1))</f>
        <v>0</v>
      </c>
      <c r="L1335" s="1" t="n">
        <f aca="false">IF(OR($L$1="",对接源_02物料!$C135="",对接源_02物料!$C135&lt;&gt;$L$1,对接源_02物料!$B135=""),0,IF(OR(N(对接源_02物料!$B135)&lt;$L$2,N(对接源_02物料!$B135)&gt;$L$3),0,1))</f>
        <v>0</v>
      </c>
      <c r="M1335" s="1" t="n">
        <f aca="false">IF(OR($M$1="",对接源_02物料!$C135="",对接源_02物料!$C135&lt;&gt;$M$1,对接源_02物料!$B135=""),0,IF(OR(N(对接源_02物料!$B135)&lt;$M$2,N(对接源_02物料!$B135)&gt;$M$3),0,1))</f>
        <v>0</v>
      </c>
      <c r="N1335" s="1" t="n">
        <f aca="false">IF(OR($N$1="",对接源_02物料!$C135="",对接源_02物料!$C135&lt;&gt;$N$1,对接源_02物料!$B135=""),0,IF(OR(N(对接源_02物料!$B135)&lt;$N$2,N(对接源_02物料!$B135)&gt;$N$3),0,1))</f>
        <v>0</v>
      </c>
      <c r="P1335" s="1" t="n">
        <f aca="false">IF(AND($K1335=1,AND(对接源_02物料!$X135="公司筐",N(对接源_02物料!$T135)&lt;&gt;0)),1,0)</f>
        <v>0</v>
      </c>
      <c r="Q1335" s="1" t="n">
        <f aca="false">N(Q1334)+$P1335</f>
        <v>13</v>
      </c>
      <c r="R1335" s="1" t="n">
        <f aca="false">IF(AND($K1335=1,AND(对接源_02物料!$X135="公司筐",N(对接源_02物料!$U135)&lt;&gt;0)),1,0)</f>
        <v>0</v>
      </c>
      <c r="S1335" s="1" t="n">
        <f aca="false">N(S1334)+$R1335</f>
        <v>5</v>
      </c>
      <c r="T1335" s="1" t="n">
        <f aca="false">IF(AND($K1335=1,AND(对接源_02物料!$X135="公司筐",N(对接源_02物料!$V135)&lt;&gt;0)),1,0)</f>
        <v>0</v>
      </c>
      <c r="U1335" s="1" t="n">
        <f aca="false">N(U1334)+$T1335</f>
        <v>28</v>
      </c>
      <c r="V1335" s="1" t="n">
        <f aca="false">IF(AND($L1335=1,AND(对接源_02物料!$X135="自备筐",N(对接源_02物料!$V135)&lt;&gt;0)),1,0)</f>
        <v>0</v>
      </c>
      <c r="W1335" s="1" t="n">
        <f aca="false">N(W1334)+$V1335</f>
        <v>7</v>
      </c>
      <c r="X1335" s="1" t="n">
        <f aca="false">IF(AND($L1335=1,AND(对接源_02物料!$X135="自备筐",N(对接源_02物料!$T135)&lt;&gt;0)),1,0)</f>
        <v>0</v>
      </c>
      <c r="Y1335" s="1" t="n">
        <f aca="false">N(Y1334)+$X1335</f>
        <v>0</v>
      </c>
      <c r="Z1335" s="1" t="n">
        <f aca="false">IF(AND($M1335=1,对接源_02物料!$D135="原料入库"),1,0)</f>
        <v>0</v>
      </c>
      <c r="AA1335" s="1" t="n">
        <f aca="false">N(AA1334)+$Z1335</f>
        <v>30</v>
      </c>
      <c r="AB1335" s="1" t="n">
        <f aca="false">IF(AND($M1335=1,LEFT(对接源_02物料!$D135,4)="原料出库"),1,0)</f>
        <v>0</v>
      </c>
      <c r="AC1335" s="1" t="n">
        <f aca="false">N(AC1334)+$AB1335</f>
        <v>19</v>
      </c>
      <c r="AD1335" s="1" t="n">
        <f aca="false">IF(AND($M1335=1,LEFT(对接源_02物料!$D135,4)="成品出库"),1,0)</f>
        <v>0</v>
      </c>
      <c r="AE1335" s="1" t="n">
        <f aca="false">N(AE1334)+$AD1335</f>
        <v>38</v>
      </c>
      <c r="AF1335" s="1" t="n">
        <f aca="false">IF(AND($N1335=1,AND(LEFT(对接源_02物料!$D135,4)="包装物料",N(对接源_02物料!$K135)&lt;&gt;0)),1,0)</f>
        <v>0</v>
      </c>
      <c r="AG1335" s="1" t="n">
        <f aca="false">N(AG1334)+$AF1335</f>
        <v>6</v>
      </c>
      <c r="AH1335" s="1" t="n">
        <f aca="false">IF(AND($N1335=1,AND(LEFT(对接源_02物料!$D135,3)="周转筐",N(对接源_02物料!$K135)&lt;&gt;0)),1,0)</f>
        <v>0</v>
      </c>
      <c r="AI1335" s="1" t="n">
        <f aca="false">N(AI1334)+$AH1335</f>
        <v>0</v>
      </c>
      <c r="AJ1335" s="1" t="n">
        <v>0</v>
      </c>
      <c r="AK1335" s="1" t="n">
        <f aca="false">N(AK1334)+$AJ1335</f>
        <v>3672</v>
      </c>
    </row>
    <row r="1336" customFormat="false" ht="13.5" hidden="false" customHeight="false" outlineLevel="0" collapsed="false">
      <c r="A1336" s="1" t="str">
        <f aca="false">IF(对接源_02物料!$C136="","",对接源_02物料!$C136)</f>
        <v/>
      </c>
      <c r="B1336" s="1" t="n">
        <f aca="false">IF(A1336="",0,IF(MATCH(A1336,$A$4:$A$2403,0)=ROW()-3,1,0))</f>
        <v>0</v>
      </c>
      <c r="C1336" s="1" t="n">
        <f aca="false">N(C1335)+B1336</f>
        <v>17</v>
      </c>
      <c r="K1336" s="1" t="n">
        <f aca="false">IF(OR($K$1="",对接源_02物料!$C136="",对接源_02物料!$C136&lt;&gt;$K$1,对接源_02物料!$B136=""),0,IF(OR(N(对接源_02物料!$B136)&lt;$K$2,N(对接源_02物料!$B136)&gt;$K$3),0,1))</f>
        <v>0</v>
      </c>
      <c r="L1336" s="1" t="n">
        <f aca="false">IF(OR($L$1="",对接源_02物料!$C136="",对接源_02物料!$C136&lt;&gt;$L$1,对接源_02物料!$B136=""),0,IF(OR(N(对接源_02物料!$B136)&lt;$L$2,N(对接源_02物料!$B136)&gt;$L$3),0,1))</f>
        <v>0</v>
      </c>
      <c r="M1336" s="1" t="n">
        <f aca="false">IF(OR($M$1="",对接源_02物料!$C136="",对接源_02物料!$C136&lt;&gt;$M$1,对接源_02物料!$B136=""),0,IF(OR(N(对接源_02物料!$B136)&lt;$M$2,N(对接源_02物料!$B136)&gt;$M$3),0,1))</f>
        <v>0</v>
      </c>
      <c r="N1336" s="1" t="n">
        <f aca="false">IF(OR($N$1="",对接源_02物料!$C136="",对接源_02物料!$C136&lt;&gt;$N$1,对接源_02物料!$B136=""),0,IF(OR(N(对接源_02物料!$B136)&lt;$N$2,N(对接源_02物料!$B136)&gt;$N$3),0,1))</f>
        <v>0</v>
      </c>
      <c r="P1336" s="1" t="n">
        <f aca="false">IF(AND($K1336=1,AND(对接源_02物料!$X136="公司筐",N(对接源_02物料!$T136)&lt;&gt;0)),1,0)</f>
        <v>0</v>
      </c>
      <c r="Q1336" s="1" t="n">
        <f aca="false">N(Q1335)+$P1336</f>
        <v>13</v>
      </c>
      <c r="R1336" s="1" t="n">
        <f aca="false">IF(AND($K1336=1,AND(对接源_02物料!$X136="公司筐",N(对接源_02物料!$U136)&lt;&gt;0)),1,0)</f>
        <v>0</v>
      </c>
      <c r="S1336" s="1" t="n">
        <f aca="false">N(S1335)+$R1336</f>
        <v>5</v>
      </c>
      <c r="T1336" s="1" t="n">
        <f aca="false">IF(AND($K1336=1,AND(对接源_02物料!$X136="公司筐",N(对接源_02物料!$V136)&lt;&gt;0)),1,0)</f>
        <v>0</v>
      </c>
      <c r="U1336" s="1" t="n">
        <f aca="false">N(U1335)+$T1336</f>
        <v>28</v>
      </c>
      <c r="V1336" s="1" t="n">
        <f aca="false">IF(AND($L1336=1,AND(对接源_02物料!$X136="自备筐",N(对接源_02物料!$V136)&lt;&gt;0)),1,0)</f>
        <v>0</v>
      </c>
      <c r="W1336" s="1" t="n">
        <f aca="false">N(W1335)+$V1336</f>
        <v>7</v>
      </c>
      <c r="X1336" s="1" t="n">
        <f aca="false">IF(AND($L1336=1,AND(对接源_02物料!$X136="自备筐",N(对接源_02物料!$T136)&lt;&gt;0)),1,0)</f>
        <v>0</v>
      </c>
      <c r="Y1336" s="1" t="n">
        <f aca="false">N(Y1335)+$X1336</f>
        <v>0</v>
      </c>
      <c r="Z1336" s="1" t="n">
        <f aca="false">IF(AND($M1336=1,对接源_02物料!$D136="原料入库"),1,0)</f>
        <v>0</v>
      </c>
      <c r="AA1336" s="1" t="n">
        <f aca="false">N(AA1335)+$Z1336</f>
        <v>30</v>
      </c>
      <c r="AB1336" s="1" t="n">
        <f aca="false">IF(AND($M1336=1,LEFT(对接源_02物料!$D136,4)="原料出库"),1,0)</f>
        <v>0</v>
      </c>
      <c r="AC1336" s="1" t="n">
        <f aca="false">N(AC1335)+$AB1336</f>
        <v>19</v>
      </c>
      <c r="AD1336" s="1" t="n">
        <f aca="false">IF(AND($M1336=1,LEFT(对接源_02物料!$D136,4)="成品出库"),1,0)</f>
        <v>0</v>
      </c>
      <c r="AE1336" s="1" t="n">
        <f aca="false">N(AE1335)+$AD1336</f>
        <v>38</v>
      </c>
      <c r="AF1336" s="1" t="n">
        <f aca="false">IF(AND($N1336=1,AND(LEFT(对接源_02物料!$D136,4)="包装物料",N(对接源_02物料!$K136)&lt;&gt;0)),1,0)</f>
        <v>0</v>
      </c>
      <c r="AG1336" s="1" t="n">
        <f aca="false">N(AG1335)+$AF1336</f>
        <v>6</v>
      </c>
      <c r="AH1336" s="1" t="n">
        <f aca="false">IF(AND($N1336=1,AND(LEFT(对接源_02物料!$D136,3)="周转筐",N(对接源_02物料!$K136)&lt;&gt;0)),1,0)</f>
        <v>0</v>
      </c>
      <c r="AI1336" s="1" t="n">
        <f aca="false">N(AI1335)+$AH1336</f>
        <v>0</v>
      </c>
      <c r="AJ1336" s="1" t="n">
        <v>0</v>
      </c>
      <c r="AK1336" s="1" t="n">
        <f aca="false">N(AK1335)+$AJ1336</f>
        <v>3672</v>
      </c>
    </row>
    <row r="1337" customFormat="false" ht="13.5" hidden="false" customHeight="false" outlineLevel="0" collapsed="false">
      <c r="A1337" s="1" t="str">
        <f aca="false">IF(对接源_02物料!$C137="","",对接源_02物料!$C137)</f>
        <v/>
      </c>
      <c r="B1337" s="1" t="n">
        <f aca="false">IF(A1337="",0,IF(MATCH(A1337,$A$4:$A$2403,0)=ROW()-3,1,0))</f>
        <v>0</v>
      </c>
      <c r="C1337" s="1" t="n">
        <f aca="false">N(C1336)+B1337</f>
        <v>17</v>
      </c>
      <c r="K1337" s="1" t="n">
        <f aca="false">IF(OR($K$1="",对接源_02物料!$C137="",对接源_02物料!$C137&lt;&gt;$K$1,对接源_02物料!$B137=""),0,IF(OR(N(对接源_02物料!$B137)&lt;$K$2,N(对接源_02物料!$B137)&gt;$K$3),0,1))</f>
        <v>0</v>
      </c>
      <c r="L1337" s="1" t="n">
        <f aca="false">IF(OR($L$1="",对接源_02物料!$C137="",对接源_02物料!$C137&lt;&gt;$L$1,对接源_02物料!$B137=""),0,IF(OR(N(对接源_02物料!$B137)&lt;$L$2,N(对接源_02物料!$B137)&gt;$L$3),0,1))</f>
        <v>0</v>
      </c>
      <c r="M1337" s="1" t="n">
        <f aca="false">IF(OR($M$1="",对接源_02物料!$C137="",对接源_02物料!$C137&lt;&gt;$M$1,对接源_02物料!$B137=""),0,IF(OR(N(对接源_02物料!$B137)&lt;$M$2,N(对接源_02物料!$B137)&gt;$M$3),0,1))</f>
        <v>0</v>
      </c>
      <c r="N1337" s="1" t="n">
        <f aca="false">IF(OR($N$1="",对接源_02物料!$C137="",对接源_02物料!$C137&lt;&gt;$N$1,对接源_02物料!$B137=""),0,IF(OR(N(对接源_02物料!$B137)&lt;$N$2,N(对接源_02物料!$B137)&gt;$N$3),0,1))</f>
        <v>0</v>
      </c>
      <c r="P1337" s="1" t="n">
        <f aca="false">IF(AND($K1337=1,AND(对接源_02物料!$X137="公司筐",N(对接源_02物料!$T137)&lt;&gt;0)),1,0)</f>
        <v>0</v>
      </c>
      <c r="Q1337" s="1" t="n">
        <f aca="false">N(Q1336)+$P1337</f>
        <v>13</v>
      </c>
      <c r="R1337" s="1" t="n">
        <f aca="false">IF(AND($K1337=1,AND(对接源_02物料!$X137="公司筐",N(对接源_02物料!$U137)&lt;&gt;0)),1,0)</f>
        <v>0</v>
      </c>
      <c r="S1337" s="1" t="n">
        <f aca="false">N(S1336)+$R1337</f>
        <v>5</v>
      </c>
      <c r="T1337" s="1" t="n">
        <f aca="false">IF(AND($K1337=1,AND(对接源_02物料!$X137="公司筐",N(对接源_02物料!$V137)&lt;&gt;0)),1,0)</f>
        <v>0</v>
      </c>
      <c r="U1337" s="1" t="n">
        <f aca="false">N(U1336)+$T1337</f>
        <v>28</v>
      </c>
      <c r="V1337" s="1" t="n">
        <f aca="false">IF(AND($L1337=1,AND(对接源_02物料!$X137="自备筐",N(对接源_02物料!$V137)&lt;&gt;0)),1,0)</f>
        <v>0</v>
      </c>
      <c r="W1337" s="1" t="n">
        <f aca="false">N(W1336)+$V1337</f>
        <v>7</v>
      </c>
      <c r="X1337" s="1" t="n">
        <f aca="false">IF(AND($L1337=1,AND(对接源_02物料!$X137="自备筐",N(对接源_02物料!$T137)&lt;&gt;0)),1,0)</f>
        <v>0</v>
      </c>
      <c r="Y1337" s="1" t="n">
        <f aca="false">N(Y1336)+$X1337</f>
        <v>0</v>
      </c>
      <c r="Z1337" s="1" t="n">
        <f aca="false">IF(AND($M1337=1,对接源_02物料!$D137="原料入库"),1,0)</f>
        <v>0</v>
      </c>
      <c r="AA1337" s="1" t="n">
        <f aca="false">N(AA1336)+$Z1337</f>
        <v>30</v>
      </c>
      <c r="AB1337" s="1" t="n">
        <f aca="false">IF(AND($M1337=1,LEFT(对接源_02物料!$D137,4)="原料出库"),1,0)</f>
        <v>0</v>
      </c>
      <c r="AC1337" s="1" t="n">
        <f aca="false">N(AC1336)+$AB1337</f>
        <v>19</v>
      </c>
      <c r="AD1337" s="1" t="n">
        <f aca="false">IF(AND($M1337=1,LEFT(对接源_02物料!$D137,4)="成品出库"),1,0)</f>
        <v>0</v>
      </c>
      <c r="AE1337" s="1" t="n">
        <f aca="false">N(AE1336)+$AD1337</f>
        <v>38</v>
      </c>
      <c r="AF1337" s="1" t="n">
        <f aca="false">IF(AND($N1337=1,AND(LEFT(对接源_02物料!$D137,4)="包装物料",N(对接源_02物料!$K137)&lt;&gt;0)),1,0)</f>
        <v>0</v>
      </c>
      <c r="AG1337" s="1" t="n">
        <f aca="false">N(AG1336)+$AF1337</f>
        <v>6</v>
      </c>
      <c r="AH1337" s="1" t="n">
        <f aca="false">IF(AND($N1337=1,AND(LEFT(对接源_02物料!$D137,3)="周转筐",N(对接源_02物料!$K137)&lt;&gt;0)),1,0)</f>
        <v>0</v>
      </c>
      <c r="AI1337" s="1" t="n">
        <f aca="false">N(AI1336)+$AH1337</f>
        <v>0</v>
      </c>
      <c r="AJ1337" s="1" t="n">
        <v>0</v>
      </c>
      <c r="AK1337" s="1" t="n">
        <f aca="false">N(AK1336)+$AJ1337</f>
        <v>3672</v>
      </c>
    </row>
    <row r="1338" customFormat="false" ht="13.5" hidden="false" customHeight="false" outlineLevel="0" collapsed="false">
      <c r="A1338" s="1" t="str">
        <f aca="false">IF(对接源_02物料!$C138="","",对接源_02物料!$C138)</f>
        <v/>
      </c>
      <c r="B1338" s="1" t="n">
        <f aca="false">IF(A1338="",0,IF(MATCH(A1338,$A$4:$A$2403,0)=ROW()-3,1,0))</f>
        <v>0</v>
      </c>
      <c r="C1338" s="1" t="n">
        <f aca="false">N(C1337)+B1338</f>
        <v>17</v>
      </c>
      <c r="K1338" s="1" t="n">
        <f aca="false">IF(OR($K$1="",对接源_02物料!$C138="",对接源_02物料!$C138&lt;&gt;$K$1,对接源_02物料!$B138=""),0,IF(OR(N(对接源_02物料!$B138)&lt;$K$2,N(对接源_02物料!$B138)&gt;$K$3),0,1))</f>
        <v>0</v>
      </c>
      <c r="L1338" s="1" t="n">
        <f aca="false">IF(OR($L$1="",对接源_02物料!$C138="",对接源_02物料!$C138&lt;&gt;$L$1,对接源_02物料!$B138=""),0,IF(OR(N(对接源_02物料!$B138)&lt;$L$2,N(对接源_02物料!$B138)&gt;$L$3),0,1))</f>
        <v>0</v>
      </c>
      <c r="M1338" s="1" t="n">
        <f aca="false">IF(OR($M$1="",对接源_02物料!$C138="",对接源_02物料!$C138&lt;&gt;$M$1,对接源_02物料!$B138=""),0,IF(OR(N(对接源_02物料!$B138)&lt;$M$2,N(对接源_02物料!$B138)&gt;$M$3),0,1))</f>
        <v>0</v>
      </c>
      <c r="N1338" s="1" t="n">
        <f aca="false">IF(OR($N$1="",对接源_02物料!$C138="",对接源_02物料!$C138&lt;&gt;$N$1,对接源_02物料!$B138=""),0,IF(OR(N(对接源_02物料!$B138)&lt;$N$2,N(对接源_02物料!$B138)&gt;$N$3),0,1))</f>
        <v>0</v>
      </c>
      <c r="P1338" s="1" t="n">
        <f aca="false">IF(AND($K1338=1,AND(对接源_02物料!$X138="公司筐",N(对接源_02物料!$T138)&lt;&gt;0)),1,0)</f>
        <v>0</v>
      </c>
      <c r="Q1338" s="1" t="n">
        <f aca="false">N(Q1337)+$P1338</f>
        <v>13</v>
      </c>
      <c r="R1338" s="1" t="n">
        <f aca="false">IF(AND($K1338=1,AND(对接源_02物料!$X138="公司筐",N(对接源_02物料!$U138)&lt;&gt;0)),1,0)</f>
        <v>0</v>
      </c>
      <c r="S1338" s="1" t="n">
        <f aca="false">N(S1337)+$R1338</f>
        <v>5</v>
      </c>
      <c r="T1338" s="1" t="n">
        <f aca="false">IF(AND($K1338=1,AND(对接源_02物料!$X138="公司筐",N(对接源_02物料!$V138)&lt;&gt;0)),1,0)</f>
        <v>0</v>
      </c>
      <c r="U1338" s="1" t="n">
        <f aca="false">N(U1337)+$T1338</f>
        <v>28</v>
      </c>
      <c r="V1338" s="1" t="n">
        <f aca="false">IF(AND($L1338=1,AND(对接源_02物料!$X138="自备筐",N(对接源_02物料!$V138)&lt;&gt;0)),1,0)</f>
        <v>0</v>
      </c>
      <c r="W1338" s="1" t="n">
        <f aca="false">N(W1337)+$V1338</f>
        <v>7</v>
      </c>
      <c r="X1338" s="1" t="n">
        <f aca="false">IF(AND($L1338=1,AND(对接源_02物料!$X138="自备筐",N(对接源_02物料!$T138)&lt;&gt;0)),1,0)</f>
        <v>0</v>
      </c>
      <c r="Y1338" s="1" t="n">
        <f aca="false">N(Y1337)+$X1338</f>
        <v>0</v>
      </c>
      <c r="Z1338" s="1" t="n">
        <f aca="false">IF(AND($M1338=1,对接源_02物料!$D138="原料入库"),1,0)</f>
        <v>0</v>
      </c>
      <c r="AA1338" s="1" t="n">
        <f aca="false">N(AA1337)+$Z1338</f>
        <v>30</v>
      </c>
      <c r="AB1338" s="1" t="n">
        <f aca="false">IF(AND($M1338=1,LEFT(对接源_02物料!$D138,4)="原料出库"),1,0)</f>
        <v>0</v>
      </c>
      <c r="AC1338" s="1" t="n">
        <f aca="false">N(AC1337)+$AB1338</f>
        <v>19</v>
      </c>
      <c r="AD1338" s="1" t="n">
        <f aca="false">IF(AND($M1338=1,LEFT(对接源_02物料!$D138,4)="成品出库"),1,0)</f>
        <v>0</v>
      </c>
      <c r="AE1338" s="1" t="n">
        <f aca="false">N(AE1337)+$AD1338</f>
        <v>38</v>
      </c>
      <c r="AF1338" s="1" t="n">
        <f aca="false">IF(AND($N1338=1,AND(LEFT(对接源_02物料!$D138,4)="包装物料",N(对接源_02物料!$K138)&lt;&gt;0)),1,0)</f>
        <v>0</v>
      </c>
      <c r="AG1338" s="1" t="n">
        <f aca="false">N(AG1337)+$AF1338</f>
        <v>6</v>
      </c>
      <c r="AH1338" s="1" t="n">
        <f aca="false">IF(AND($N1338=1,AND(LEFT(对接源_02物料!$D138,3)="周转筐",N(对接源_02物料!$K138)&lt;&gt;0)),1,0)</f>
        <v>0</v>
      </c>
      <c r="AI1338" s="1" t="n">
        <f aca="false">N(AI1337)+$AH1338</f>
        <v>0</v>
      </c>
      <c r="AJ1338" s="1" t="n">
        <v>0</v>
      </c>
      <c r="AK1338" s="1" t="n">
        <f aca="false">N(AK1337)+$AJ1338</f>
        <v>3672</v>
      </c>
    </row>
    <row r="1339" customFormat="false" ht="13.5" hidden="false" customHeight="false" outlineLevel="0" collapsed="false">
      <c r="A1339" s="1" t="str">
        <f aca="false">IF(对接源_02物料!$C139="","",对接源_02物料!$C139)</f>
        <v/>
      </c>
      <c r="B1339" s="1" t="n">
        <f aca="false">IF(A1339="",0,IF(MATCH(A1339,$A$4:$A$2403,0)=ROW()-3,1,0))</f>
        <v>0</v>
      </c>
      <c r="C1339" s="1" t="n">
        <f aca="false">N(C1338)+B1339</f>
        <v>17</v>
      </c>
      <c r="K1339" s="1" t="n">
        <f aca="false">IF(OR($K$1="",对接源_02物料!$C139="",对接源_02物料!$C139&lt;&gt;$K$1,对接源_02物料!$B139=""),0,IF(OR(N(对接源_02物料!$B139)&lt;$K$2,N(对接源_02物料!$B139)&gt;$K$3),0,1))</f>
        <v>0</v>
      </c>
      <c r="L1339" s="1" t="n">
        <f aca="false">IF(OR($L$1="",对接源_02物料!$C139="",对接源_02物料!$C139&lt;&gt;$L$1,对接源_02物料!$B139=""),0,IF(OR(N(对接源_02物料!$B139)&lt;$L$2,N(对接源_02物料!$B139)&gt;$L$3),0,1))</f>
        <v>0</v>
      </c>
      <c r="M1339" s="1" t="n">
        <f aca="false">IF(OR($M$1="",对接源_02物料!$C139="",对接源_02物料!$C139&lt;&gt;$M$1,对接源_02物料!$B139=""),0,IF(OR(N(对接源_02物料!$B139)&lt;$M$2,N(对接源_02物料!$B139)&gt;$M$3),0,1))</f>
        <v>0</v>
      </c>
      <c r="N1339" s="1" t="n">
        <f aca="false">IF(OR($N$1="",对接源_02物料!$C139="",对接源_02物料!$C139&lt;&gt;$N$1,对接源_02物料!$B139=""),0,IF(OR(N(对接源_02物料!$B139)&lt;$N$2,N(对接源_02物料!$B139)&gt;$N$3),0,1))</f>
        <v>0</v>
      </c>
      <c r="P1339" s="1" t="n">
        <f aca="false">IF(AND($K1339=1,AND(对接源_02物料!$X139="公司筐",N(对接源_02物料!$T139)&lt;&gt;0)),1,0)</f>
        <v>0</v>
      </c>
      <c r="Q1339" s="1" t="n">
        <f aca="false">N(Q1338)+$P1339</f>
        <v>13</v>
      </c>
      <c r="R1339" s="1" t="n">
        <f aca="false">IF(AND($K1339=1,AND(对接源_02物料!$X139="公司筐",N(对接源_02物料!$U139)&lt;&gt;0)),1,0)</f>
        <v>0</v>
      </c>
      <c r="S1339" s="1" t="n">
        <f aca="false">N(S1338)+$R1339</f>
        <v>5</v>
      </c>
      <c r="T1339" s="1" t="n">
        <f aca="false">IF(AND($K1339=1,AND(对接源_02物料!$X139="公司筐",N(对接源_02物料!$V139)&lt;&gt;0)),1,0)</f>
        <v>0</v>
      </c>
      <c r="U1339" s="1" t="n">
        <f aca="false">N(U1338)+$T1339</f>
        <v>28</v>
      </c>
      <c r="V1339" s="1" t="n">
        <f aca="false">IF(AND($L1339=1,AND(对接源_02物料!$X139="自备筐",N(对接源_02物料!$V139)&lt;&gt;0)),1,0)</f>
        <v>0</v>
      </c>
      <c r="W1339" s="1" t="n">
        <f aca="false">N(W1338)+$V1339</f>
        <v>7</v>
      </c>
      <c r="X1339" s="1" t="n">
        <f aca="false">IF(AND($L1339=1,AND(对接源_02物料!$X139="自备筐",N(对接源_02物料!$T139)&lt;&gt;0)),1,0)</f>
        <v>0</v>
      </c>
      <c r="Y1339" s="1" t="n">
        <f aca="false">N(Y1338)+$X1339</f>
        <v>0</v>
      </c>
      <c r="Z1339" s="1" t="n">
        <f aca="false">IF(AND($M1339=1,对接源_02物料!$D139="原料入库"),1,0)</f>
        <v>0</v>
      </c>
      <c r="AA1339" s="1" t="n">
        <f aca="false">N(AA1338)+$Z1339</f>
        <v>30</v>
      </c>
      <c r="AB1339" s="1" t="n">
        <f aca="false">IF(AND($M1339=1,LEFT(对接源_02物料!$D139,4)="原料出库"),1,0)</f>
        <v>0</v>
      </c>
      <c r="AC1339" s="1" t="n">
        <f aca="false">N(AC1338)+$AB1339</f>
        <v>19</v>
      </c>
      <c r="AD1339" s="1" t="n">
        <f aca="false">IF(AND($M1339=1,LEFT(对接源_02物料!$D139,4)="成品出库"),1,0)</f>
        <v>0</v>
      </c>
      <c r="AE1339" s="1" t="n">
        <f aca="false">N(AE1338)+$AD1339</f>
        <v>38</v>
      </c>
      <c r="AF1339" s="1" t="n">
        <f aca="false">IF(AND($N1339=1,AND(LEFT(对接源_02物料!$D139,4)="包装物料",N(对接源_02物料!$K139)&lt;&gt;0)),1,0)</f>
        <v>0</v>
      </c>
      <c r="AG1339" s="1" t="n">
        <f aca="false">N(AG1338)+$AF1339</f>
        <v>6</v>
      </c>
      <c r="AH1339" s="1" t="n">
        <f aca="false">IF(AND($N1339=1,AND(LEFT(对接源_02物料!$D139,3)="周转筐",N(对接源_02物料!$K139)&lt;&gt;0)),1,0)</f>
        <v>0</v>
      </c>
      <c r="AI1339" s="1" t="n">
        <f aca="false">N(AI1338)+$AH1339</f>
        <v>0</v>
      </c>
      <c r="AJ1339" s="1" t="n">
        <v>0</v>
      </c>
      <c r="AK1339" s="1" t="n">
        <f aca="false">N(AK1338)+$AJ1339</f>
        <v>3672</v>
      </c>
    </row>
    <row r="1340" customFormat="false" ht="13.5" hidden="false" customHeight="false" outlineLevel="0" collapsed="false">
      <c r="A1340" s="1" t="str">
        <f aca="false">IF(对接源_02物料!$C140="","",对接源_02物料!$C140)</f>
        <v/>
      </c>
      <c r="B1340" s="1" t="n">
        <f aca="false">IF(A1340="",0,IF(MATCH(A1340,$A$4:$A$2403,0)=ROW()-3,1,0))</f>
        <v>0</v>
      </c>
      <c r="C1340" s="1" t="n">
        <f aca="false">N(C1339)+B1340</f>
        <v>17</v>
      </c>
      <c r="K1340" s="1" t="n">
        <f aca="false">IF(OR($K$1="",对接源_02物料!$C140="",对接源_02物料!$C140&lt;&gt;$K$1,对接源_02物料!$B140=""),0,IF(OR(N(对接源_02物料!$B140)&lt;$K$2,N(对接源_02物料!$B140)&gt;$K$3),0,1))</f>
        <v>0</v>
      </c>
      <c r="L1340" s="1" t="n">
        <f aca="false">IF(OR($L$1="",对接源_02物料!$C140="",对接源_02物料!$C140&lt;&gt;$L$1,对接源_02物料!$B140=""),0,IF(OR(N(对接源_02物料!$B140)&lt;$L$2,N(对接源_02物料!$B140)&gt;$L$3),0,1))</f>
        <v>0</v>
      </c>
      <c r="M1340" s="1" t="n">
        <f aca="false">IF(OR($M$1="",对接源_02物料!$C140="",对接源_02物料!$C140&lt;&gt;$M$1,对接源_02物料!$B140=""),0,IF(OR(N(对接源_02物料!$B140)&lt;$M$2,N(对接源_02物料!$B140)&gt;$M$3),0,1))</f>
        <v>0</v>
      </c>
      <c r="N1340" s="1" t="n">
        <f aca="false">IF(OR($N$1="",对接源_02物料!$C140="",对接源_02物料!$C140&lt;&gt;$N$1,对接源_02物料!$B140=""),0,IF(OR(N(对接源_02物料!$B140)&lt;$N$2,N(对接源_02物料!$B140)&gt;$N$3),0,1))</f>
        <v>0</v>
      </c>
      <c r="P1340" s="1" t="n">
        <f aca="false">IF(AND($K1340=1,AND(对接源_02物料!$X140="公司筐",N(对接源_02物料!$T140)&lt;&gt;0)),1,0)</f>
        <v>0</v>
      </c>
      <c r="Q1340" s="1" t="n">
        <f aca="false">N(Q1339)+$P1340</f>
        <v>13</v>
      </c>
      <c r="R1340" s="1" t="n">
        <f aca="false">IF(AND($K1340=1,AND(对接源_02物料!$X140="公司筐",N(对接源_02物料!$U140)&lt;&gt;0)),1,0)</f>
        <v>0</v>
      </c>
      <c r="S1340" s="1" t="n">
        <f aca="false">N(S1339)+$R1340</f>
        <v>5</v>
      </c>
      <c r="T1340" s="1" t="n">
        <f aca="false">IF(AND($K1340=1,AND(对接源_02物料!$X140="公司筐",N(对接源_02物料!$V140)&lt;&gt;0)),1,0)</f>
        <v>0</v>
      </c>
      <c r="U1340" s="1" t="n">
        <f aca="false">N(U1339)+$T1340</f>
        <v>28</v>
      </c>
      <c r="V1340" s="1" t="n">
        <f aca="false">IF(AND($L1340=1,AND(对接源_02物料!$X140="自备筐",N(对接源_02物料!$V140)&lt;&gt;0)),1,0)</f>
        <v>0</v>
      </c>
      <c r="W1340" s="1" t="n">
        <f aca="false">N(W1339)+$V1340</f>
        <v>7</v>
      </c>
      <c r="X1340" s="1" t="n">
        <f aca="false">IF(AND($L1340=1,AND(对接源_02物料!$X140="自备筐",N(对接源_02物料!$T140)&lt;&gt;0)),1,0)</f>
        <v>0</v>
      </c>
      <c r="Y1340" s="1" t="n">
        <f aca="false">N(Y1339)+$X1340</f>
        <v>0</v>
      </c>
      <c r="Z1340" s="1" t="n">
        <f aca="false">IF(AND($M1340=1,对接源_02物料!$D140="原料入库"),1,0)</f>
        <v>0</v>
      </c>
      <c r="AA1340" s="1" t="n">
        <f aca="false">N(AA1339)+$Z1340</f>
        <v>30</v>
      </c>
      <c r="AB1340" s="1" t="n">
        <f aca="false">IF(AND($M1340=1,LEFT(对接源_02物料!$D140,4)="原料出库"),1,0)</f>
        <v>0</v>
      </c>
      <c r="AC1340" s="1" t="n">
        <f aca="false">N(AC1339)+$AB1340</f>
        <v>19</v>
      </c>
      <c r="AD1340" s="1" t="n">
        <f aca="false">IF(AND($M1340=1,LEFT(对接源_02物料!$D140,4)="成品出库"),1,0)</f>
        <v>0</v>
      </c>
      <c r="AE1340" s="1" t="n">
        <f aca="false">N(AE1339)+$AD1340</f>
        <v>38</v>
      </c>
      <c r="AF1340" s="1" t="n">
        <f aca="false">IF(AND($N1340=1,AND(LEFT(对接源_02物料!$D140,4)="包装物料",N(对接源_02物料!$K140)&lt;&gt;0)),1,0)</f>
        <v>0</v>
      </c>
      <c r="AG1340" s="1" t="n">
        <f aca="false">N(AG1339)+$AF1340</f>
        <v>6</v>
      </c>
      <c r="AH1340" s="1" t="n">
        <f aca="false">IF(AND($N1340=1,AND(LEFT(对接源_02物料!$D140,3)="周转筐",N(对接源_02物料!$K140)&lt;&gt;0)),1,0)</f>
        <v>0</v>
      </c>
      <c r="AI1340" s="1" t="n">
        <f aca="false">N(AI1339)+$AH1340</f>
        <v>0</v>
      </c>
      <c r="AJ1340" s="1" t="n">
        <v>0</v>
      </c>
      <c r="AK1340" s="1" t="n">
        <f aca="false">N(AK1339)+$AJ1340</f>
        <v>3672</v>
      </c>
    </row>
    <row r="1341" customFormat="false" ht="13.5" hidden="false" customHeight="false" outlineLevel="0" collapsed="false">
      <c r="A1341" s="1" t="str">
        <f aca="false">IF(对接源_02物料!$C141="","",对接源_02物料!$C141)</f>
        <v/>
      </c>
      <c r="B1341" s="1" t="n">
        <f aca="false">IF(A1341="",0,IF(MATCH(A1341,$A$4:$A$2403,0)=ROW()-3,1,0))</f>
        <v>0</v>
      </c>
      <c r="C1341" s="1" t="n">
        <f aca="false">N(C1340)+B1341</f>
        <v>17</v>
      </c>
      <c r="K1341" s="1" t="n">
        <f aca="false">IF(OR($K$1="",对接源_02物料!$C141="",对接源_02物料!$C141&lt;&gt;$K$1,对接源_02物料!$B141=""),0,IF(OR(N(对接源_02物料!$B141)&lt;$K$2,N(对接源_02物料!$B141)&gt;$K$3),0,1))</f>
        <v>0</v>
      </c>
      <c r="L1341" s="1" t="n">
        <f aca="false">IF(OR($L$1="",对接源_02物料!$C141="",对接源_02物料!$C141&lt;&gt;$L$1,对接源_02物料!$B141=""),0,IF(OR(N(对接源_02物料!$B141)&lt;$L$2,N(对接源_02物料!$B141)&gt;$L$3),0,1))</f>
        <v>0</v>
      </c>
      <c r="M1341" s="1" t="n">
        <f aca="false">IF(OR($M$1="",对接源_02物料!$C141="",对接源_02物料!$C141&lt;&gt;$M$1,对接源_02物料!$B141=""),0,IF(OR(N(对接源_02物料!$B141)&lt;$M$2,N(对接源_02物料!$B141)&gt;$M$3),0,1))</f>
        <v>0</v>
      </c>
      <c r="N1341" s="1" t="n">
        <f aca="false">IF(OR($N$1="",对接源_02物料!$C141="",对接源_02物料!$C141&lt;&gt;$N$1,对接源_02物料!$B141=""),0,IF(OR(N(对接源_02物料!$B141)&lt;$N$2,N(对接源_02物料!$B141)&gt;$N$3),0,1))</f>
        <v>0</v>
      </c>
      <c r="P1341" s="1" t="n">
        <f aca="false">IF(AND($K1341=1,AND(对接源_02物料!$X141="公司筐",N(对接源_02物料!$T141)&lt;&gt;0)),1,0)</f>
        <v>0</v>
      </c>
      <c r="Q1341" s="1" t="n">
        <f aca="false">N(Q1340)+$P1341</f>
        <v>13</v>
      </c>
      <c r="R1341" s="1" t="n">
        <f aca="false">IF(AND($K1341=1,AND(对接源_02物料!$X141="公司筐",N(对接源_02物料!$U141)&lt;&gt;0)),1,0)</f>
        <v>0</v>
      </c>
      <c r="S1341" s="1" t="n">
        <f aca="false">N(S1340)+$R1341</f>
        <v>5</v>
      </c>
      <c r="T1341" s="1" t="n">
        <f aca="false">IF(AND($K1341=1,AND(对接源_02物料!$X141="公司筐",N(对接源_02物料!$V141)&lt;&gt;0)),1,0)</f>
        <v>0</v>
      </c>
      <c r="U1341" s="1" t="n">
        <f aca="false">N(U1340)+$T1341</f>
        <v>28</v>
      </c>
      <c r="V1341" s="1" t="n">
        <f aca="false">IF(AND($L1341=1,AND(对接源_02物料!$X141="自备筐",N(对接源_02物料!$V141)&lt;&gt;0)),1,0)</f>
        <v>0</v>
      </c>
      <c r="W1341" s="1" t="n">
        <f aca="false">N(W1340)+$V1341</f>
        <v>7</v>
      </c>
      <c r="X1341" s="1" t="n">
        <f aca="false">IF(AND($L1341=1,AND(对接源_02物料!$X141="自备筐",N(对接源_02物料!$T141)&lt;&gt;0)),1,0)</f>
        <v>0</v>
      </c>
      <c r="Y1341" s="1" t="n">
        <f aca="false">N(Y1340)+$X1341</f>
        <v>0</v>
      </c>
      <c r="Z1341" s="1" t="n">
        <f aca="false">IF(AND($M1341=1,对接源_02物料!$D141="原料入库"),1,0)</f>
        <v>0</v>
      </c>
      <c r="AA1341" s="1" t="n">
        <f aca="false">N(AA1340)+$Z1341</f>
        <v>30</v>
      </c>
      <c r="AB1341" s="1" t="n">
        <f aca="false">IF(AND($M1341=1,LEFT(对接源_02物料!$D141,4)="原料出库"),1,0)</f>
        <v>0</v>
      </c>
      <c r="AC1341" s="1" t="n">
        <f aca="false">N(AC1340)+$AB1341</f>
        <v>19</v>
      </c>
      <c r="AD1341" s="1" t="n">
        <f aca="false">IF(AND($M1341=1,LEFT(对接源_02物料!$D141,4)="成品出库"),1,0)</f>
        <v>0</v>
      </c>
      <c r="AE1341" s="1" t="n">
        <f aca="false">N(AE1340)+$AD1341</f>
        <v>38</v>
      </c>
      <c r="AF1341" s="1" t="n">
        <f aca="false">IF(AND($N1341=1,AND(LEFT(对接源_02物料!$D141,4)="包装物料",N(对接源_02物料!$K141)&lt;&gt;0)),1,0)</f>
        <v>0</v>
      </c>
      <c r="AG1341" s="1" t="n">
        <f aca="false">N(AG1340)+$AF1341</f>
        <v>6</v>
      </c>
      <c r="AH1341" s="1" t="n">
        <f aca="false">IF(AND($N1341=1,AND(LEFT(对接源_02物料!$D141,3)="周转筐",N(对接源_02物料!$K141)&lt;&gt;0)),1,0)</f>
        <v>0</v>
      </c>
      <c r="AI1341" s="1" t="n">
        <f aca="false">N(AI1340)+$AH1341</f>
        <v>0</v>
      </c>
      <c r="AJ1341" s="1" t="n">
        <v>0</v>
      </c>
      <c r="AK1341" s="1" t="n">
        <f aca="false">N(AK1340)+$AJ1341</f>
        <v>3672</v>
      </c>
    </row>
    <row r="1342" customFormat="false" ht="13.5" hidden="false" customHeight="false" outlineLevel="0" collapsed="false">
      <c r="A1342" s="1" t="str">
        <f aca="false">IF(对接源_02物料!$C142="","",对接源_02物料!$C142)</f>
        <v/>
      </c>
      <c r="B1342" s="1" t="n">
        <f aca="false">IF(A1342="",0,IF(MATCH(A1342,$A$4:$A$2403,0)=ROW()-3,1,0))</f>
        <v>0</v>
      </c>
      <c r="C1342" s="1" t="n">
        <f aca="false">N(C1341)+B1342</f>
        <v>17</v>
      </c>
      <c r="K1342" s="1" t="n">
        <f aca="false">IF(OR($K$1="",对接源_02物料!$C142="",对接源_02物料!$C142&lt;&gt;$K$1,对接源_02物料!$B142=""),0,IF(OR(N(对接源_02物料!$B142)&lt;$K$2,N(对接源_02物料!$B142)&gt;$K$3),0,1))</f>
        <v>0</v>
      </c>
      <c r="L1342" s="1" t="n">
        <f aca="false">IF(OR($L$1="",对接源_02物料!$C142="",对接源_02物料!$C142&lt;&gt;$L$1,对接源_02物料!$B142=""),0,IF(OR(N(对接源_02物料!$B142)&lt;$L$2,N(对接源_02物料!$B142)&gt;$L$3),0,1))</f>
        <v>0</v>
      </c>
      <c r="M1342" s="1" t="n">
        <f aca="false">IF(OR($M$1="",对接源_02物料!$C142="",对接源_02物料!$C142&lt;&gt;$M$1,对接源_02物料!$B142=""),0,IF(OR(N(对接源_02物料!$B142)&lt;$M$2,N(对接源_02物料!$B142)&gt;$M$3),0,1))</f>
        <v>0</v>
      </c>
      <c r="N1342" s="1" t="n">
        <f aca="false">IF(OR($N$1="",对接源_02物料!$C142="",对接源_02物料!$C142&lt;&gt;$N$1,对接源_02物料!$B142=""),0,IF(OR(N(对接源_02物料!$B142)&lt;$N$2,N(对接源_02物料!$B142)&gt;$N$3),0,1))</f>
        <v>0</v>
      </c>
      <c r="P1342" s="1" t="n">
        <f aca="false">IF(AND($K1342=1,AND(对接源_02物料!$X142="公司筐",N(对接源_02物料!$T142)&lt;&gt;0)),1,0)</f>
        <v>0</v>
      </c>
      <c r="Q1342" s="1" t="n">
        <f aca="false">N(Q1341)+$P1342</f>
        <v>13</v>
      </c>
      <c r="R1342" s="1" t="n">
        <f aca="false">IF(AND($K1342=1,AND(对接源_02物料!$X142="公司筐",N(对接源_02物料!$U142)&lt;&gt;0)),1,0)</f>
        <v>0</v>
      </c>
      <c r="S1342" s="1" t="n">
        <f aca="false">N(S1341)+$R1342</f>
        <v>5</v>
      </c>
      <c r="T1342" s="1" t="n">
        <f aca="false">IF(AND($K1342=1,AND(对接源_02物料!$X142="公司筐",N(对接源_02物料!$V142)&lt;&gt;0)),1,0)</f>
        <v>0</v>
      </c>
      <c r="U1342" s="1" t="n">
        <f aca="false">N(U1341)+$T1342</f>
        <v>28</v>
      </c>
      <c r="V1342" s="1" t="n">
        <f aca="false">IF(AND($L1342=1,AND(对接源_02物料!$X142="自备筐",N(对接源_02物料!$V142)&lt;&gt;0)),1,0)</f>
        <v>0</v>
      </c>
      <c r="W1342" s="1" t="n">
        <f aca="false">N(W1341)+$V1342</f>
        <v>7</v>
      </c>
      <c r="X1342" s="1" t="n">
        <f aca="false">IF(AND($L1342=1,AND(对接源_02物料!$X142="自备筐",N(对接源_02物料!$T142)&lt;&gt;0)),1,0)</f>
        <v>0</v>
      </c>
      <c r="Y1342" s="1" t="n">
        <f aca="false">N(Y1341)+$X1342</f>
        <v>0</v>
      </c>
      <c r="Z1342" s="1" t="n">
        <f aca="false">IF(AND($M1342=1,对接源_02物料!$D142="原料入库"),1,0)</f>
        <v>0</v>
      </c>
      <c r="AA1342" s="1" t="n">
        <f aca="false">N(AA1341)+$Z1342</f>
        <v>30</v>
      </c>
      <c r="AB1342" s="1" t="n">
        <f aca="false">IF(AND($M1342=1,LEFT(对接源_02物料!$D142,4)="原料出库"),1,0)</f>
        <v>0</v>
      </c>
      <c r="AC1342" s="1" t="n">
        <f aca="false">N(AC1341)+$AB1342</f>
        <v>19</v>
      </c>
      <c r="AD1342" s="1" t="n">
        <f aca="false">IF(AND($M1342=1,LEFT(对接源_02物料!$D142,4)="成品出库"),1,0)</f>
        <v>0</v>
      </c>
      <c r="AE1342" s="1" t="n">
        <f aca="false">N(AE1341)+$AD1342</f>
        <v>38</v>
      </c>
      <c r="AF1342" s="1" t="n">
        <f aca="false">IF(AND($N1342=1,AND(LEFT(对接源_02物料!$D142,4)="包装物料",N(对接源_02物料!$K142)&lt;&gt;0)),1,0)</f>
        <v>0</v>
      </c>
      <c r="AG1342" s="1" t="n">
        <f aca="false">N(AG1341)+$AF1342</f>
        <v>6</v>
      </c>
      <c r="AH1342" s="1" t="n">
        <f aca="false">IF(AND($N1342=1,AND(LEFT(对接源_02物料!$D142,3)="周转筐",N(对接源_02物料!$K142)&lt;&gt;0)),1,0)</f>
        <v>0</v>
      </c>
      <c r="AI1342" s="1" t="n">
        <f aca="false">N(AI1341)+$AH1342</f>
        <v>0</v>
      </c>
      <c r="AJ1342" s="1" t="n">
        <v>0</v>
      </c>
      <c r="AK1342" s="1" t="n">
        <f aca="false">N(AK1341)+$AJ1342</f>
        <v>3672</v>
      </c>
    </row>
    <row r="1343" customFormat="false" ht="13.5" hidden="false" customHeight="false" outlineLevel="0" collapsed="false">
      <c r="A1343" s="1" t="str">
        <f aca="false">IF(对接源_02物料!$C143="","",对接源_02物料!$C143)</f>
        <v/>
      </c>
      <c r="B1343" s="1" t="n">
        <f aca="false">IF(A1343="",0,IF(MATCH(A1343,$A$4:$A$2403,0)=ROW()-3,1,0))</f>
        <v>0</v>
      </c>
      <c r="C1343" s="1" t="n">
        <f aca="false">N(C1342)+B1343</f>
        <v>17</v>
      </c>
      <c r="K1343" s="1" t="n">
        <f aca="false">IF(OR($K$1="",对接源_02物料!$C143="",对接源_02物料!$C143&lt;&gt;$K$1,对接源_02物料!$B143=""),0,IF(OR(N(对接源_02物料!$B143)&lt;$K$2,N(对接源_02物料!$B143)&gt;$K$3),0,1))</f>
        <v>0</v>
      </c>
      <c r="L1343" s="1" t="n">
        <f aca="false">IF(OR($L$1="",对接源_02物料!$C143="",对接源_02物料!$C143&lt;&gt;$L$1,对接源_02物料!$B143=""),0,IF(OR(N(对接源_02物料!$B143)&lt;$L$2,N(对接源_02物料!$B143)&gt;$L$3),0,1))</f>
        <v>0</v>
      </c>
      <c r="M1343" s="1" t="n">
        <f aca="false">IF(OR($M$1="",对接源_02物料!$C143="",对接源_02物料!$C143&lt;&gt;$M$1,对接源_02物料!$B143=""),0,IF(OR(N(对接源_02物料!$B143)&lt;$M$2,N(对接源_02物料!$B143)&gt;$M$3),0,1))</f>
        <v>0</v>
      </c>
      <c r="N1343" s="1" t="n">
        <f aca="false">IF(OR($N$1="",对接源_02物料!$C143="",对接源_02物料!$C143&lt;&gt;$N$1,对接源_02物料!$B143=""),0,IF(OR(N(对接源_02物料!$B143)&lt;$N$2,N(对接源_02物料!$B143)&gt;$N$3),0,1))</f>
        <v>0</v>
      </c>
      <c r="P1343" s="1" t="n">
        <f aca="false">IF(AND($K1343=1,AND(对接源_02物料!$X143="公司筐",N(对接源_02物料!$T143)&lt;&gt;0)),1,0)</f>
        <v>0</v>
      </c>
      <c r="Q1343" s="1" t="n">
        <f aca="false">N(Q1342)+$P1343</f>
        <v>13</v>
      </c>
      <c r="R1343" s="1" t="n">
        <f aca="false">IF(AND($K1343=1,AND(对接源_02物料!$X143="公司筐",N(对接源_02物料!$U143)&lt;&gt;0)),1,0)</f>
        <v>0</v>
      </c>
      <c r="S1343" s="1" t="n">
        <f aca="false">N(S1342)+$R1343</f>
        <v>5</v>
      </c>
      <c r="T1343" s="1" t="n">
        <f aca="false">IF(AND($K1343=1,AND(对接源_02物料!$X143="公司筐",N(对接源_02物料!$V143)&lt;&gt;0)),1,0)</f>
        <v>0</v>
      </c>
      <c r="U1343" s="1" t="n">
        <f aca="false">N(U1342)+$T1343</f>
        <v>28</v>
      </c>
      <c r="V1343" s="1" t="n">
        <f aca="false">IF(AND($L1343=1,AND(对接源_02物料!$X143="自备筐",N(对接源_02物料!$V143)&lt;&gt;0)),1,0)</f>
        <v>0</v>
      </c>
      <c r="W1343" s="1" t="n">
        <f aca="false">N(W1342)+$V1343</f>
        <v>7</v>
      </c>
      <c r="X1343" s="1" t="n">
        <f aca="false">IF(AND($L1343=1,AND(对接源_02物料!$X143="自备筐",N(对接源_02物料!$T143)&lt;&gt;0)),1,0)</f>
        <v>0</v>
      </c>
      <c r="Y1343" s="1" t="n">
        <f aca="false">N(Y1342)+$X1343</f>
        <v>0</v>
      </c>
      <c r="Z1343" s="1" t="n">
        <f aca="false">IF(AND($M1343=1,对接源_02物料!$D143="原料入库"),1,0)</f>
        <v>0</v>
      </c>
      <c r="AA1343" s="1" t="n">
        <f aca="false">N(AA1342)+$Z1343</f>
        <v>30</v>
      </c>
      <c r="AB1343" s="1" t="n">
        <f aca="false">IF(AND($M1343=1,LEFT(对接源_02物料!$D143,4)="原料出库"),1,0)</f>
        <v>0</v>
      </c>
      <c r="AC1343" s="1" t="n">
        <f aca="false">N(AC1342)+$AB1343</f>
        <v>19</v>
      </c>
      <c r="AD1343" s="1" t="n">
        <f aca="false">IF(AND($M1343=1,LEFT(对接源_02物料!$D143,4)="成品出库"),1,0)</f>
        <v>0</v>
      </c>
      <c r="AE1343" s="1" t="n">
        <f aca="false">N(AE1342)+$AD1343</f>
        <v>38</v>
      </c>
      <c r="AF1343" s="1" t="n">
        <f aca="false">IF(AND($N1343=1,AND(LEFT(对接源_02物料!$D143,4)="包装物料",N(对接源_02物料!$K143)&lt;&gt;0)),1,0)</f>
        <v>0</v>
      </c>
      <c r="AG1343" s="1" t="n">
        <f aca="false">N(AG1342)+$AF1343</f>
        <v>6</v>
      </c>
      <c r="AH1343" s="1" t="n">
        <f aca="false">IF(AND($N1343=1,AND(LEFT(对接源_02物料!$D143,3)="周转筐",N(对接源_02物料!$K143)&lt;&gt;0)),1,0)</f>
        <v>0</v>
      </c>
      <c r="AI1343" s="1" t="n">
        <f aca="false">N(AI1342)+$AH1343</f>
        <v>0</v>
      </c>
      <c r="AJ1343" s="1" t="n">
        <v>0</v>
      </c>
      <c r="AK1343" s="1" t="n">
        <f aca="false">N(AK1342)+$AJ1343</f>
        <v>3672</v>
      </c>
    </row>
    <row r="1344" customFormat="false" ht="13.5" hidden="false" customHeight="false" outlineLevel="0" collapsed="false">
      <c r="A1344" s="1" t="str">
        <f aca="false">IF(对接源_02物料!$C144="","",对接源_02物料!$C144)</f>
        <v/>
      </c>
      <c r="B1344" s="1" t="n">
        <f aca="false">IF(A1344="",0,IF(MATCH(A1344,$A$4:$A$2403,0)=ROW()-3,1,0))</f>
        <v>0</v>
      </c>
      <c r="C1344" s="1" t="n">
        <f aca="false">N(C1343)+B1344</f>
        <v>17</v>
      </c>
      <c r="K1344" s="1" t="n">
        <f aca="false">IF(OR($K$1="",对接源_02物料!$C144="",对接源_02物料!$C144&lt;&gt;$K$1,对接源_02物料!$B144=""),0,IF(OR(N(对接源_02物料!$B144)&lt;$K$2,N(对接源_02物料!$B144)&gt;$K$3),0,1))</f>
        <v>0</v>
      </c>
      <c r="L1344" s="1" t="n">
        <f aca="false">IF(OR($L$1="",对接源_02物料!$C144="",对接源_02物料!$C144&lt;&gt;$L$1,对接源_02物料!$B144=""),0,IF(OR(N(对接源_02物料!$B144)&lt;$L$2,N(对接源_02物料!$B144)&gt;$L$3),0,1))</f>
        <v>0</v>
      </c>
      <c r="M1344" s="1" t="n">
        <f aca="false">IF(OR($M$1="",对接源_02物料!$C144="",对接源_02物料!$C144&lt;&gt;$M$1,对接源_02物料!$B144=""),0,IF(OR(N(对接源_02物料!$B144)&lt;$M$2,N(对接源_02物料!$B144)&gt;$M$3),0,1))</f>
        <v>0</v>
      </c>
      <c r="N1344" s="1" t="n">
        <f aca="false">IF(OR($N$1="",对接源_02物料!$C144="",对接源_02物料!$C144&lt;&gt;$N$1,对接源_02物料!$B144=""),0,IF(OR(N(对接源_02物料!$B144)&lt;$N$2,N(对接源_02物料!$B144)&gt;$N$3),0,1))</f>
        <v>0</v>
      </c>
      <c r="P1344" s="1" t="n">
        <f aca="false">IF(AND($K1344=1,AND(对接源_02物料!$X144="公司筐",N(对接源_02物料!$T144)&lt;&gt;0)),1,0)</f>
        <v>0</v>
      </c>
      <c r="Q1344" s="1" t="n">
        <f aca="false">N(Q1343)+$P1344</f>
        <v>13</v>
      </c>
      <c r="R1344" s="1" t="n">
        <f aca="false">IF(AND($K1344=1,AND(对接源_02物料!$X144="公司筐",N(对接源_02物料!$U144)&lt;&gt;0)),1,0)</f>
        <v>0</v>
      </c>
      <c r="S1344" s="1" t="n">
        <f aca="false">N(S1343)+$R1344</f>
        <v>5</v>
      </c>
      <c r="T1344" s="1" t="n">
        <f aca="false">IF(AND($K1344=1,AND(对接源_02物料!$X144="公司筐",N(对接源_02物料!$V144)&lt;&gt;0)),1,0)</f>
        <v>0</v>
      </c>
      <c r="U1344" s="1" t="n">
        <f aca="false">N(U1343)+$T1344</f>
        <v>28</v>
      </c>
      <c r="V1344" s="1" t="n">
        <f aca="false">IF(AND($L1344=1,AND(对接源_02物料!$X144="自备筐",N(对接源_02物料!$V144)&lt;&gt;0)),1,0)</f>
        <v>0</v>
      </c>
      <c r="W1344" s="1" t="n">
        <f aca="false">N(W1343)+$V1344</f>
        <v>7</v>
      </c>
      <c r="X1344" s="1" t="n">
        <f aca="false">IF(AND($L1344=1,AND(对接源_02物料!$X144="自备筐",N(对接源_02物料!$T144)&lt;&gt;0)),1,0)</f>
        <v>0</v>
      </c>
      <c r="Y1344" s="1" t="n">
        <f aca="false">N(Y1343)+$X1344</f>
        <v>0</v>
      </c>
      <c r="Z1344" s="1" t="n">
        <f aca="false">IF(AND($M1344=1,对接源_02物料!$D144="原料入库"),1,0)</f>
        <v>0</v>
      </c>
      <c r="AA1344" s="1" t="n">
        <f aca="false">N(AA1343)+$Z1344</f>
        <v>30</v>
      </c>
      <c r="AB1344" s="1" t="n">
        <f aca="false">IF(AND($M1344=1,LEFT(对接源_02物料!$D144,4)="原料出库"),1,0)</f>
        <v>0</v>
      </c>
      <c r="AC1344" s="1" t="n">
        <f aca="false">N(AC1343)+$AB1344</f>
        <v>19</v>
      </c>
      <c r="AD1344" s="1" t="n">
        <f aca="false">IF(AND($M1344=1,LEFT(对接源_02物料!$D144,4)="成品出库"),1,0)</f>
        <v>0</v>
      </c>
      <c r="AE1344" s="1" t="n">
        <f aca="false">N(AE1343)+$AD1344</f>
        <v>38</v>
      </c>
      <c r="AF1344" s="1" t="n">
        <f aca="false">IF(AND($N1344=1,AND(LEFT(对接源_02物料!$D144,4)="包装物料",N(对接源_02物料!$K144)&lt;&gt;0)),1,0)</f>
        <v>0</v>
      </c>
      <c r="AG1344" s="1" t="n">
        <f aca="false">N(AG1343)+$AF1344</f>
        <v>6</v>
      </c>
      <c r="AH1344" s="1" t="n">
        <f aca="false">IF(AND($N1344=1,AND(LEFT(对接源_02物料!$D144,3)="周转筐",N(对接源_02物料!$K144)&lt;&gt;0)),1,0)</f>
        <v>0</v>
      </c>
      <c r="AI1344" s="1" t="n">
        <f aca="false">N(AI1343)+$AH1344</f>
        <v>0</v>
      </c>
      <c r="AJ1344" s="1" t="n">
        <v>0</v>
      </c>
      <c r="AK1344" s="1" t="n">
        <f aca="false">N(AK1343)+$AJ1344</f>
        <v>3672</v>
      </c>
    </row>
    <row r="1345" customFormat="false" ht="13.5" hidden="false" customHeight="false" outlineLevel="0" collapsed="false">
      <c r="A1345" s="1" t="str">
        <f aca="false">IF(对接源_02物料!$C145="","",对接源_02物料!$C145)</f>
        <v/>
      </c>
      <c r="B1345" s="1" t="n">
        <f aca="false">IF(A1345="",0,IF(MATCH(A1345,$A$4:$A$2403,0)=ROW()-3,1,0))</f>
        <v>0</v>
      </c>
      <c r="C1345" s="1" t="n">
        <f aca="false">N(C1344)+B1345</f>
        <v>17</v>
      </c>
      <c r="K1345" s="1" t="n">
        <f aca="false">IF(OR($K$1="",对接源_02物料!$C145="",对接源_02物料!$C145&lt;&gt;$K$1,对接源_02物料!$B145=""),0,IF(OR(N(对接源_02物料!$B145)&lt;$K$2,N(对接源_02物料!$B145)&gt;$K$3),0,1))</f>
        <v>0</v>
      </c>
      <c r="L1345" s="1" t="n">
        <f aca="false">IF(OR($L$1="",对接源_02物料!$C145="",对接源_02物料!$C145&lt;&gt;$L$1,对接源_02物料!$B145=""),0,IF(OR(N(对接源_02物料!$B145)&lt;$L$2,N(对接源_02物料!$B145)&gt;$L$3),0,1))</f>
        <v>0</v>
      </c>
      <c r="M1345" s="1" t="n">
        <f aca="false">IF(OR($M$1="",对接源_02物料!$C145="",对接源_02物料!$C145&lt;&gt;$M$1,对接源_02物料!$B145=""),0,IF(OR(N(对接源_02物料!$B145)&lt;$M$2,N(对接源_02物料!$B145)&gt;$M$3),0,1))</f>
        <v>0</v>
      </c>
      <c r="N1345" s="1" t="n">
        <f aca="false">IF(OR($N$1="",对接源_02物料!$C145="",对接源_02物料!$C145&lt;&gt;$N$1,对接源_02物料!$B145=""),0,IF(OR(N(对接源_02物料!$B145)&lt;$N$2,N(对接源_02物料!$B145)&gt;$N$3),0,1))</f>
        <v>0</v>
      </c>
      <c r="P1345" s="1" t="n">
        <f aca="false">IF(AND($K1345=1,AND(对接源_02物料!$X145="公司筐",N(对接源_02物料!$T145)&lt;&gt;0)),1,0)</f>
        <v>0</v>
      </c>
      <c r="Q1345" s="1" t="n">
        <f aca="false">N(Q1344)+$P1345</f>
        <v>13</v>
      </c>
      <c r="R1345" s="1" t="n">
        <f aca="false">IF(AND($K1345=1,AND(对接源_02物料!$X145="公司筐",N(对接源_02物料!$U145)&lt;&gt;0)),1,0)</f>
        <v>0</v>
      </c>
      <c r="S1345" s="1" t="n">
        <f aca="false">N(S1344)+$R1345</f>
        <v>5</v>
      </c>
      <c r="T1345" s="1" t="n">
        <f aca="false">IF(AND($K1345=1,AND(对接源_02物料!$X145="公司筐",N(对接源_02物料!$V145)&lt;&gt;0)),1,0)</f>
        <v>0</v>
      </c>
      <c r="U1345" s="1" t="n">
        <f aca="false">N(U1344)+$T1345</f>
        <v>28</v>
      </c>
      <c r="V1345" s="1" t="n">
        <f aca="false">IF(AND($L1345=1,AND(对接源_02物料!$X145="自备筐",N(对接源_02物料!$V145)&lt;&gt;0)),1,0)</f>
        <v>0</v>
      </c>
      <c r="W1345" s="1" t="n">
        <f aca="false">N(W1344)+$V1345</f>
        <v>7</v>
      </c>
      <c r="X1345" s="1" t="n">
        <f aca="false">IF(AND($L1345=1,AND(对接源_02物料!$X145="自备筐",N(对接源_02物料!$T145)&lt;&gt;0)),1,0)</f>
        <v>0</v>
      </c>
      <c r="Y1345" s="1" t="n">
        <f aca="false">N(Y1344)+$X1345</f>
        <v>0</v>
      </c>
      <c r="Z1345" s="1" t="n">
        <f aca="false">IF(AND($M1345=1,对接源_02物料!$D145="原料入库"),1,0)</f>
        <v>0</v>
      </c>
      <c r="AA1345" s="1" t="n">
        <f aca="false">N(AA1344)+$Z1345</f>
        <v>30</v>
      </c>
      <c r="AB1345" s="1" t="n">
        <f aca="false">IF(AND($M1345=1,LEFT(对接源_02物料!$D145,4)="原料出库"),1,0)</f>
        <v>0</v>
      </c>
      <c r="AC1345" s="1" t="n">
        <f aca="false">N(AC1344)+$AB1345</f>
        <v>19</v>
      </c>
      <c r="AD1345" s="1" t="n">
        <f aca="false">IF(AND($M1345=1,LEFT(对接源_02物料!$D145,4)="成品出库"),1,0)</f>
        <v>0</v>
      </c>
      <c r="AE1345" s="1" t="n">
        <f aca="false">N(AE1344)+$AD1345</f>
        <v>38</v>
      </c>
      <c r="AF1345" s="1" t="n">
        <f aca="false">IF(AND($N1345=1,AND(LEFT(对接源_02物料!$D145,4)="包装物料",N(对接源_02物料!$K145)&lt;&gt;0)),1,0)</f>
        <v>0</v>
      </c>
      <c r="AG1345" s="1" t="n">
        <f aca="false">N(AG1344)+$AF1345</f>
        <v>6</v>
      </c>
      <c r="AH1345" s="1" t="n">
        <f aca="false">IF(AND($N1345=1,AND(LEFT(对接源_02物料!$D145,3)="周转筐",N(对接源_02物料!$K145)&lt;&gt;0)),1,0)</f>
        <v>0</v>
      </c>
      <c r="AI1345" s="1" t="n">
        <f aca="false">N(AI1344)+$AH1345</f>
        <v>0</v>
      </c>
      <c r="AJ1345" s="1" t="n">
        <v>0</v>
      </c>
      <c r="AK1345" s="1" t="n">
        <f aca="false">N(AK1344)+$AJ1345</f>
        <v>3672</v>
      </c>
    </row>
    <row r="1346" customFormat="false" ht="13.5" hidden="false" customHeight="false" outlineLevel="0" collapsed="false">
      <c r="A1346" s="1" t="str">
        <f aca="false">IF(对接源_02物料!$C146="","",对接源_02物料!$C146)</f>
        <v/>
      </c>
      <c r="B1346" s="1" t="n">
        <f aca="false">IF(A1346="",0,IF(MATCH(A1346,$A$4:$A$2403,0)=ROW()-3,1,0))</f>
        <v>0</v>
      </c>
      <c r="C1346" s="1" t="n">
        <f aca="false">N(C1345)+B1346</f>
        <v>17</v>
      </c>
      <c r="K1346" s="1" t="n">
        <f aca="false">IF(OR($K$1="",对接源_02物料!$C146="",对接源_02物料!$C146&lt;&gt;$K$1,对接源_02物料!$B146=""),0,IF(OR(N(对接源_02物料!$B146)&lt;$K$2,N(对接源_02物料!$B146)&gt;$K$3),0,1))</f>
        <v>0</v>
      </c>
      <c r="L1346" s="1" t="n">
        <f aca="false">IF(OR($L$1="",对接源_02物料!$C146="",对接源_02物料!$C146&lt;&gt;$L$1,对接源_02物料!$B146=""),0,IF(OR(N(对接源_02物料!$B146)&lt;$L$2,N(对接源_02物料!$B146)&gt;$L$3),0,1))</f>
        <v>0</v>
      </c>
      <c r="M1346" s="1" t="n">
        <f aca="false">IF(OR($M$1="",对接源_02物料!$C146="",对接源_02物料!$C146&lt;&gt;$M$1,对接源_02物料!$B146=""),0,IF(OR(N(对接源_02物料!$B146)&lt;$M$2,N(对接源_02物料!$B146)&gt;$M$3),0,1))</f>
        <v>0</v>
      </c>
      <c r="N1346" s="1" t="n">
        <f aca="false">IF(OR($N$1="",对接源_02物料!$C146="",对接源_02物料!$C146&lt;&gt;$N$1,对接源_02物料!$B146=""),0,IF(OR(N(对接源_02物料!$B146)&lt;$N$2,N(对接源_02物料!$B146)&gt;$N$3),0,1))</f>
        <v>0</v>
      </c>
      <c r="P1346" s="1" t="n">
        <f aca="false">IF(AND($K1346=1,AND(对接源_02物料!$X146="公司筐",N(对接源_02物料!$T146)&lt;&gt;0)),1,0)</f>
        <v>0</v>
      </c>
      <c r="Q1346" s="1" t="n">
        <f aca="false">N(Q1345)+$P1346</f>
        <v>13</v>
      </c>
      <c r="R1346" s="1" t="n">
        <f aca="false">IF(AND($K1346=1,AND(对接源_02物料!$X146="公司筐",N(对接源_02物料!$U146)&lt;&gt;0)),1,0)</f>
        <v>0</v>
      </c>
      <c r="S1346" s="1" t="n">
        <f aca="false">N(S1345)+$R1346</f>
        <v>5</v>
      </c>
      <c r="T1346" s="1" t="n">
        <f aca="false">IF(AND($K1346=1,AND(对接源_02物料!$X146="公司筐",N(对接源_02物料!$V146)&lt;&gt;0)),1,0)</f>
        <v>0</v>
      </c>
      <c r="U1346" s="1" t="n">
        <f aca="false">N(U1345)+$T1346</f>
        <v>28</v>
      </c>
      <c r="V1346" s="1" t="n">
        <f aca="false">IF(AND($L1346=1,AND(对接源_02物料!$X146="自备筐",N(对接源_02物料!$V146)&lt;&gt;0)),1,0)</f>
        <v>0</v>
      </c>
      <c r="W1346" s="1" t="n">
        <f aca="false">N(W1345)+$V1346</f>
        <v>7</v>
      </c>
      <c r="X1346" s="1" t="n">
        <f aca="false">IF(AND($L1346=1,AND(对接源_02物料!$X146="自备筐",N(对接源_02物料!$T146)&lt;&gt;0)),1,0)</f>
        <v>0</v>
      </c>
      <c r="Y1346" s="1" t="n">
        <f aca="false">N(Y1345)+$X1346</f>
        <v>0</v>
      </c>
      <c r="Z1346" s="1" t="n">
        <f aca="false">IF(AND($M1346=1,对接源_02物料!$D146="原料入库"),1,0)</f>
        <v>0</v>
      </c>
      <c r="AA1346" s="1" t="n">
        <f aca="false">N(AA1345)+$Z1346</f>
        <v>30</v>
      </c>
      <c r="AB1346" s="1" t="n">
        <f aca="false">IF(AND($M1346=1,LEFT(对接源_02物料!$D146,4)="原料出库"),1,0)</f>
        <v>0</v>
      </c>
      <c r="AC1346" s="1" t="n">
        <f aca="false">N(AC1345)+$AB1346</f>
        <v>19</v>
      </c>
      <c r="AD1346" s="1" t="n">
        <f aca="false">IF(AND($M1346=1,LEFT(对接源_02物料!$D146,4)="成品出库"),1,0)</f>
        <v>0</v>
      </c>
      <c r="AE1346" s="1" t="n">
        <f aca="false">N(AE1345)+$AD1346</f>
        <v>38</v>
      </c>
      <c r="AF1346" s="1" t="n">
        <f aca="false">IF(AND($N1346=1,AND(LEFT(对接源_02物料!$D146,4)="包装物料",N(对接源_02物料!$K146)&lt;&gt;0)),1,0)</f>
        <v>0</v>
      </c>
      <c r="AG1346" s="1" t="n">
        <f aca="false">N(AG1345)+$AF1346</f>
        <v>6</v>
      </c>
      <c r="AH1346" s="1" t="n">
        <f aca="false">IF(AND($N1346=1,AND(LEFT(对接源_02物料!$D146,3)="周转筐",N(对接源_02物料!$K146)&lt;&gt;0)),1,0)</f>
        <v>0</v>
      </c>
      <c r="AI1346" s="1" t="n">
        <f aca="false">N(AI1345)+$AH1346</f>
        <v>0</v>
      </c>
      <c r="AJ1346" s="1" t="n">
        <v>0</v>
      </c>
      <c r="AK1346" s="1" t="n">
        <f aca="false">N(AK1345)+$AJ1346</f>
        <v>3672</v>
      </c>
    </row>
    <row r="1347" customFormat="false" ht="13.5" hidden="false" customHeight="false" outlineLevel="0" collapsed="false">
      <c r="A1347" s="1" t="str">
        <f aca="false">IF(对接源_02物料!$C147="","",对接源_02物料!$C147)</f>
        <v/>
      </c>
      <c r="B1347" s="1" t="n">
        <f aca="false">IF(A1347="",0,IF(MATCH(A1347,$A$4:$A$2403,0)=ROW()-3,1,0))</f>
        <v>0</v>
      </c>
      <c r="C1347" s="1" t="n">
        <f aca="false">N(C1346)+B1347</f>
        <v>17</v>
      </c>
      <c r="K1347" s="1" t="n">
        <f aca="false">IF(OR($K$1="",对接源_02物料!$C147="",对接源_02物料!$C147&lt;&gt;$K$1,对接源_02物料!$B147=""),0,IF(OR(N(对接源_02物料!$B147)&lt;$K$2,N(对接源_02物料!$B147)&gt;$K$3),0,1))</f>
        <v>0</v>
      </c>
      <c r="L1347" s="1" t="n">
        <f aca="false">IF(OR($L$1="",对接源_02物料!$C147="",对接源_02物料!$C147&lt;&gt;$L$1,对接源_02物料!$B147=""),0,IF(OR(N(对接源_02物料!$B147)&lt;$L$2,N(对接源_02物料!$B147)&gt;$L$3),0,1))</f>
        <v>0</v>
      </c>
      <c r="M1347" s="1" t="n">
        <f aca="false">IF(OR($M$1="",对接源_02物料!$C147="",对接源_02物料!$C147&lt;&gt;$M$1,对接源_02物料!$B147=""),0,IF(OR(N(对接源_02物料!$B147)&lt;$M$2,N(对接源_02物料!$B147)&gt;$M$3),0,1))</f>
        <v>0</v>
      </c>
      <c r="N1347" s="1" t="n">
        <f aca="false">IF(OR($N$1="",对接源_02物料!$C147="",对接源_02物料!$C147&lt;&gt;$N$1,对接源_02物料!$B147=""),0,IF(OR(N(对接源_02物料!$B147)&lt;$N$2,N(对接源_02物料!$B147)&gt;$N$3),0,1))</f>
        <v>0</v>
      </c>
      <c r="P1347" s="1" t="n">
        <f aca="false">IF(AND($K1347=1,AND(对接源_02物料!$X147="公司筐",N(对接源_02物料!$T147)&lt;&gt;0)),1,0)</f>
        <v>0</v>
      </c>
      <c r="Q1347" s="1" t="n">
        <f aca="false">N(Q1346)+$P1347</f>
        <v>13</v>
      </c>
      <c r="R1347" s="1" t="n">
        <f aca="false">IF(AND($K1347=1,AND(对接源_02物料!$X147="公司筐",N(对接源_02物料!$U147)&lt;&gt;0)),1,0)</f>
        <v>0</v>
      </c>
      <c r="S1347" s="1" t="n">
        <f aca="false">N(S1346)+$R1347</f>
        <v>5</v>
      </c>
      <c r="T1347" s="1" t="n">
        <f aca="false">IF(AND($K1347=1,AND(对接源_02物料!$X147="公司筐",N(对接源_02物料!$V147)&lt;&gt;0)),1,0)</f>
        <v>0</v>
      </c>
      <c r="U1347" s="1" t="n">
        <f aca="false">N(U1346)+$T1347</f>
        <v>28</v>
      </c>
      <c r="V1347" s="1" t="n">
        <f aca="false">IF(AND($L1347=1,AND(对接源_02物料!$X147="自备筐",N(对接源_02物料!$V147)&lt;&gt;0)),1,0)</f>
        <v>0</v>
      </c>
      <c r="W1347" s="1" t="n">
        <f aca="false">N(W1346)+$V1347</f>
        <v>7</v>
      </c>
      <c r="X1347" s="1" t="n">
        <f aca="false">IF(AND($L1347=1,AND(对接源_02物料!$X147="自备筐",N(对接源_02物料!$T147)&lt;&gt;0)),1,0)</f>
        <v>0</v>
      </c>
      <c r="Y1347" s="1" t="n">
        <f aca="false">N(Y1346)+$X1347</f>
        <v>0</v>
      </c>
      <c r="Z1347" s="1" t="n">
        <f aca="false">IF(AND($M1347=1,对接源_02物料!$D147="原料入库"),1,0)</f>
        <v>0</v>
      </c>
      <c r="AA1347" s="1" t="n">
        <f aca="false">N(AA1346)+$Z1347</f>
        <v>30</v>
      </c>
      <c r="AB1347" s="1" t="n">
        <f aca="false">IF(AND($M1347=1,LEFT(对接源_02物料!$D147,4)="原料出库"),1,0)</f>
        <v>0</v>
      </c>
      <c r="AC1347" s="1" t="n">
        <f aca="false">N(AC1346)+$AB1347</f>
        <v>19</v>
      </c>
      <c r="AD1347" s="1" t="n">
        <f aca="false">IF(AND($M1347=1,LEFT(对接源_02物料!$D147,4)="成品出库"),1,0)</f>
        <v>0</v>
      </c>
      <c r="AE1347" s="1" t="n">
        <f aca="false">N(AE1346)+$AD1347</f>
        <v>38</v>
      </c>
      <c r="AF1347" s="1" t="n">
        <f aca="false">IF(AND($N1347=1,AND(LEFT(对接源_02物料!$D147,4)="包装物料",N(对接源_02物料!$K147)&lt;&gt;0)),1,0)</f>
        <v>0</v>
      </c>
      <c r="AG1347" s="1" t="n">
        <f aca="false">N(AG1346)+$AF1347</f>
        <v>6</v>
      </c>
      <c r="AH1347" s="1" t="n">
        <f aca="false">IF(AND($N1347=1,AND(LEFT(对接源_02物料!$D147,3)="周转筐",N(对接源_02物料!$K147)&lt;&gt;0)),1,0)</f>
        <v>0</v>
      </c>
      <c r="AI1347" s="1" t="n">
        <f aca="false">N(AI1346)+$AH1347</f>
        <v>0</v>
      </c>
      <c r="AJ1347" s="1" t="n">
        <v>0</v>
      </c>
      <c r="AK1347" s="1" t="n">
        <f aca="false">N(AK1346)+$AJ1347</f>
        <v>3672</v>
      </c>
    </row>
    <row r="1348" customFormat="false" ht="13.5" hidden="false" customHeight="false" outlineLevel="0" collapsed="false">
      <c r="A1348" s="1" t="str">
        <f aca="false">IF(对接源_02物料!$C148="","",对接源_02物料!$C148)</f>
        <v/>
      </c>
      <c r="B1348" s="1" t="n">
        <f aca="false">IF(A1348="",0,IF(MATCH(A1348,$A$4:$A$2403,0)=ROW()-3,1,0))</f>
        <v>0</v>
      </c>
      <c r="C1348" s="1" t="n">
        <f aca="false">N(C1347)+B1348</f>
        <v>17</v>
      </c>
      <c r="K1348" s="1" t="n">
        <f aca="false">IF(OR($K$1="",对接源_02物料!$C148="",对接源_02物料!$C148&lt;&gt;$K$1,对接源_02物料!$B148=""),0,IF(OR(N(对接源_02物料!$B148)&lt;$K$2,N(对接源_02物料!$B148)&gt;$K$3),0,1))</f>
        <v>0</v>
      </c>
      <c r="L1348" s="1" t="n">
        <f aca="false">IF(OR($L$1="",对接源_02物料!$C148="",对接源_02物料!$C148&lt;&gt;$L$1,对接源_02物料!$B148=""),0,IF(OR(N(对接源_02物料!$B148)&lt;$L$2,N(对接源_02物料!$B148)&gt;$L$3),0,1))</f>
        <v>0</v>
      </c>
      <c r="M1348" s="1" t="n">
        <f aca="false">IF(OR($M$1="",对接源_02物料!$C148="",对接源_02物料!$C148&lt;&gt;$M$1,对接源_02物料!$B148=""),0,IF(OR(N(对接源_02物料!$B148)&lt;$M$2,N(对接源_02物料!$B148)&gt;$M$3),0,1))</f>
        <v>0</v>
      </c>
      <c r="N1348" s="1" t="n">
        <f aca="false">IF(OR($N$1="",对接源_02物料!$C148="",对接源_02物料!$C148&lt;&gt;$N$1,对接源_02物料!$B148=""),0,IF(OR(N(对接源_02物料!$B148)&lt;$N$2,N(对接源_02物料!$B148)&gt;$N$3),0,1))</f>
        <v>0</v>
      </c>
      <c r="P1348" s="1" t="n">
        <f aca="false">IF(AND($K1348=1,AND(对接源_02物料!$X148="公司筐",N(对接源_02物料!$T148)&lt;&gt;0)),1,0)</f>
        <v>0</v>
      </c>
      <c r="Q1348" s="1" t="n">
        <f aca="false">N(Q1347)+$P1348</f>
        <v>13</v>
      </c>
      <c r="R1348" s="1" t="n">
        <f aca="false">IF(AND($K1348=1,AND(对接源_02物料!$X148="公司筐",N(对接源_02物料!$U148)&lt;&gt;0)),1,0)</f>
        <v>0</v>
      </c>
      <c r="S1348" s="1" t="n">
        <f aca="false">N(S1347)+$R1348</f>
        <v>5</v>
      </c>
      <c r="T1348" s="1" t="n">
        <f aca="false">IF(AND($K1348=1,AND(对接源_02物料!$X148="公司筐",N(对接源_02物料!$V148)&lt;&gt;0)),1,0)</f>
        <v>0</v>
      </c>
      <c r="U1348" s="1" t="n">
        <f aca="false">N(U1347)+$T1348</f>
        <v>28</v>
      </c>
      <c r="V1348" s="1" t="n">
        <f aca="false">IF(AND($L1348=1,AND(对接源_02物料!$X148="自备筐",N(对接源_02物料!$V148)&lt;&gt;0)),1,0)</f>
        <v>0</v>
      </c>
      <c r="W1348" s="1" t="n">
        <f aca="false">N(W1347)+$V1348</f>
        <v>7</v>
      </c>
      <c r="X1348" s="1" t="n">
        <f aca="false">IF(AND($L1348=1,AND(对接源_02物料!$X148="自备筐",N(对接源_02物料!$T148)&lt;&gt;0)),1,0)</f>
        <v>0</v>
      </c>
      <c r="Y1348" s="1" t="n">
        <f aca="false">N(Y1347)+$X1348</f>
        <v>0</v>
      </c>
      <c r="Z1348" s="1" t="n">
        <f aca="false">IF(AND($M1348=1,对接源_02物料!$D148="原料入库"),1,0)</f>
        <v>0</v>
      </c>
      <c r="AA1348" s="1" t="n">
        <f aca="false">N(AA1347)+$Z1348</f>
        <v>30</v>
      </c>
      <c r="AB1348" s="1" t="n">
        <f aca="false">IF(AND($M1348=1,LEFT(对接源_02物料!$D148,4)="原料出库"),1,0)</f>
        <v>0</v>
      </c>
      <c r="AC1348" s="1" t="n">
        <f aca="false">N(AC1347)+$AB1348</f>
        <v>19</v>
      </c>
      <c r="AD1348" s="1" t="n">
        <f aca="false">IF(AND($M1348=1,LEFT(对接源_02物料!$D148,4)="成品出库"),1,0)</f>
        <v>0</v>
      </c>
      <c r="AE1348" s="1" t="n">
        <f aca="false">N(AE1347)+$AD1348</f>
        <v>38</v>
      </c>
      <c r="AF1348" s="1" t="n">
        <f aca="false">IF(AND($N1348=1,AND(LEFT(对接源_02物料!$D148,4)="包装物料",N(对接源_02物料!$K148)&lt;&gt;0)),1,0)</f>
        <v>0</v>
      </c>
      <c r="AG1348" s="1" t="n">
        <f aca="false">N(AG1347)+$AF1348</f>
        <v>6</v>
      </c>
      <c r="AH1348" s="1" t="n">
        <f aca="false">IF(AND($N1348=1,AND(LEFT(对接源_02物料!$D148,3)="周转筐",N(对接源_02物料!$K148)&lt;&gt;0)),1,0)</f>
        <v>0</v>
      </c>
      <c r="AI1348" s="1" t="n">
        <f aca="false">N(AI1347)+$AH1348</f>
        <v>0</v>
      </c>
      <c r="AJ1348" s="1" t="n">
        <v>0</v>
      </c>
      <c r="AK1348" s="1" t="n">
        <f aca="false">N(AK1347)+$AJ1348</f>
        <v>3672</v>
      </c>
    </row>
    <row r="1349" customFormat="false" ht="13.5" hidden="false" customHeight="false" outlineLevel="0" collapsed="false">
      <c r="A1349" s="1" t="str">
        <f aca="false">IF(对接源_02物料!$C149="","",对接源_02物料!$C149)</f>
        <v/>
      </c>
      <c r="B1349" s="1" t="n">
        <f aca="false">IF(A1349="",0,IF(MATCH(A1349,$A$4:$A$2403,0)=ROW()-3,1,0))</f>
        <v>0</v>
      </c>
      <c r="C1349" s="1" t="n">
        <f aca="false">N(C1348)+B1349</f>
        <v>17</v>
      </c>
      <c r="K1349" s="1" t="n">
        <f aca="false">IF(OR($K$1="",对接源_02物料!$C149="",对接源_02物料!$C149&lt;&gt;$K$1,对接源_02物料!$B149=""),0,IF(OR(N(对接源_02物料!$B149)&lt;$K$2,N(对接源_02物料!$B149)&gt;$K$3),0,1))</f>
        <v>0</v>
      </c>
      <c r="L1349" s="1" t="n">
        <f aca="false">IF(OR($L$1="",对接源_02物料!$C149="",对接源_02物料!$C149&lt;&gt;$L$1,对接源_02物料!$B149=""),0,IF(OR(N(对接源_02物料!$B149)&lt;$L$2,N(对接源_02物料!$B149)&gt;$L$3),0,1))</f>
        <v>0</v>
      </c>
      <c r="M1349" s="1" t="n">
        <f aca="false">IF(OR($M$1="",对接源_02物料!$C149="",对接源_02物料!$C149&lt;&gt;$M$1,对接源_02物料!$B149=""),0,IF(OR(N(对接源_02物料!$B149)&lt;$M$2,N(对接源_02物料!$B149)&gt;$M$3),0,1))</f>
        <v>0</v>
      </c>
      <c r="N1349" s="1" t="n">
        <f aca="false">IF(OR($N$1="",对接源_02物料!$C149="",对接源_02物料!$C149&lt;&gt;$N$1,对接源_02物料!$B149=""),0,IF(OR(N(对接源_02物料!$B149)&lt;$N$2,N(对接源_02物料!$B149)&gt;$N$3),0,1))</f>
        <v>0</v>
      </c>
      <c r="P1349" s="1" t="n">
        <f aca="false">IF(AND($K1349=1,AND(对接源_02物料!$X149="公司筐",N(对接源_02物料!$T149)&lt;&gt;0)),1,0)</f>
        <v>0</v>
      </c>
      <c r="Q1349" s="1" t="n">
        <f aca="false">N(Q1348)+$P1349</f>
        <v>13</v>
      </c>
      <c r="R1349" s="1" t="n">
        <f aca="false">IF(AND($K1349=1,AND(对接源_02物料!$X149="公司筐",N(对接源_02物料!$U149)&lt;&gt;0)),1,0)</f>
        <v>0</v>
      </c>
      <c r="S1349" s="1" t="n">
        <f aca="false">N(S1348)+$R1349</f>
        <v>5</v>
      </c>
      <c r="T1349" s="1" t="n">
        <f aca="false">IF(AND($K1349=1,AND(对接源_02物料!$X149="公司筐",N(对接源_02物料!$V149)&lt;&gt;0)),1,0)</f>
        <v>0</v>
      </c>
      <c r="U1349" s="1" t="n">
        <f aca="false">N(U1348)+$T1349</f>
        <v>28</v>
      </c>
      <c r="V1349" s="1" t="n">
        <f aca="false">IF(AND($L1349=1,AND(对接源_02物料!$X149="自备筐",N(对接源_02物料!$V149)&lt;&gt;0)),1,0)</f>
        <v>0</v>
      </c>
      <c r="W1349" s="1" t="n">
        <f aca="false">N(W1348)+$V1349</f>
        <v>7</v>
      </c>
      <c r="X1349" s="1" t="n">
        <f aca="false">IF(AND($L1349=1,AND(对接源_02物料!$X149="自备筐",N(对接源_02物料!$T149)&lt;&gt;0)),1,0)</f>
        <v>0</v>
      </c>
      <c r="Y1349" s="1" t="n">
        <f aca="false">N(Y1348)+$X1349</f>
        <v>0</v>
      </c>
      <c r="Z1349" s="1" t="n">
        <f aca="false">IF(AND($M1349=1,对接源_02物料!$D149="原料入库"),1,0)</f>
        <v>0</v>
      </c>
      <c r="AA1349" s="1" t="n">
        <f aca="false">N(AA1348)+$Z1349</f>
        <v>30</v>
      </c>
      <c r="AB1349" s="1" t="n">
        <f aca="false">IF(AND($M1349=1,LEFT(对接源_02物料!$D149,4)="原料出库"),1,0)</f>
        <v>0</v>
      </c>
      <c r="AC1349" s="1" t="n">
        <f aca="false">N(AC1348)+$AB1349</f>
        <v>19</v>
      </c>
      <c r="AD1349" s="1" t="n">
        <f aca="false">IF(AND($M1349=1,LEFT(对接源_02物料!$D149,4)="成品出库"),1,0)</f>
        <v>0</v>
      </c>
      <c r="AE1349" s="1" t="n">
        <f aca="false">N(AE1348)+$AD1349</f>
        <v>38</v>
      </c>
      <c r="AF1349" s="1" t="n">
        <f aca="false">IF(AND($N1349=1,AND(LEFT(对接源_02物料!$D149,4)="包装物料",N(对接源_02物料!$K149)&lt;&gt;0)),1,0)</f>
        <v>0</v>
      </c>
      <c r="AG1349" s="1" t="n">
        <f aca="false">N(AG1348)+$AF1349</f>
        <v>6</v>
      </c>
      <c r="AH1349" s="1" t="n">
        <f aca="false">IF(AND($N1349=1,AND(LEFT(对接源_02物料!$D149,3)="周转筐",N(对接源_02物料!$K149)&lt;&gt;0)),1,0)</f>
        <v>0</v>
      </c>
      <c r="AI1349" s="1" t="n">
        <f aca="false">N(AI1348)+$AH1349</f>
        <v>0</v>
      </c>
      <c r="AJ1349" s="1" t="n">
        <v>0</v>
      </c>
      <c r="AK1349" s="1" t="n">
        <f aca="false">N(AK1348)+$AJ1349</f>
        <v>3672</v>
      </c>
    </row>
    <row r="1350" customFormat="false" ht="13.5" hidden="false" customHeight="false" outlineLevel="0" collapsed="false">
      <c r="A1350" s="1" t="str">
        <f aca="false">IF(对接源_02物料!$C150="","",对接源_02物料!$C150)</f>
        <v/>
      </c>
      <c r="B1350" s="1" t="n">
        <f aca="false">IF(A1350="",0,IF(MATCH(A1350,$A$4:$A$2403,0)=ROW()-3,1,0))</f>
        <v>0</v>
      </c>
      <c r="C1350" s="1" t="n">
        <f aca="false">N(C1349)+B1350</f>
        <v>17</v>
      </c>
      <c r="K1350" s="1" t="n">
        <f aca="false">IF(OR($K$1="",对接源_02物料!$C150="",对接源_02物料!$C150&lt;&gt;$K$1,对接源_02物料!$B150=""),0,IF(OR(N(对接源_02物料!$B150)&lt;$K$2,N(对接源_02物料!$B150)&gt;$K$3),0,1))</f>
        <v>0</v>
      </c>
      <c r="L1350" s="1" t="n">
        <f aca="false">IF(OR($L$1="",对接源_02物料!$C150="",对接源_02物料!$C150&lt;&gt;$L$1,对接源_02物料!$B150=""),0,IF(OR(N(对接源_02物料!$B150)&lt;$L$2,N(对接源_02物料!$B150)&gt;$L$3),0,1))</f>
        <v>0</v>
      </c>
      <c r="M1350" s="1" t="n">
        <f aca="false">IF(OR($M$1="",对接源_02物料!$C150="",对接源_02物料!$C150&lt;&gt;$M$1,对接源_02物料!$B150=""),0,IF(OR(N(对接源_02物料!$B150)&lt;$M$2,N(对接源_02物料!$B150)&gt;$M$3),0,1))</f>
        <v>0</v>
      </c>
      <c r="N1350" s="1" t="n">
        <f aca="false">IF(OR($N$1="",对接源_02物料!$C150="",对接源_02物料!$C150&lt;&gt;$N$1,对接源_02物料!$B150=""),0,IF(OR(N(对接源_02物料!$B150)&lt;$N$2,N(对接源_02物料!$B150)&gt;$N$3),0,1))</f>
        <v>0</v>
      </c>
      <c r="P1350" s="1" t="n">
        <f aca="false">IF(AND($K1350=1,AND(对接源_02物料!$X150="公司筐",N(对接源_02物料!$T150)&lt;&gt;0)),1,0)</f>
        <v>0</v>
      </c>
      <c r="Q1350" s="1" t="n">
        <f aca="false">N(Q1349)+$P1350</f>
        <v>13</v>
      </c>
      <c r="R1350" s="1" t="n">
        <f aca="false">IF(AND($K1350=1,AND(对接源_02物料!$X150="公司筐",N(对接源_02物料!$U150)&lt;&gt;0)),1,0)</f>
        <v>0</v>
      </c>
      <c r="S1350" s="1" t="n">
        <f aca="false">N(S1349)+$R1350</f>
        <v>5</v>
      </c>
      <c r="T1350" s="1" t="n">
        <f aca="false">IF(AND($K1350=1,AND(对接源_02物料!$X150="公司筐",N(对接源_02物料!$V150)&lt;&gt;0)),1,0)</f>
        <v>0</v>
      </c>
      <c r="U1350" s="1" t="n">
        <f aca="false">N(U1349)+$T1350</f>
        <v>28</v>
      </c>
      <c r="V1350" s="1" t="n">
        <f aca="false">IF(AND($L1350=1,AND(对接源_02物料!$X150="自备筐",N(对接源_02物料!$V150)&lt;&gt;0)),1,0)</f>
        <v>0</v>
      </c>
      <c r="W1350" s="1" t="n">
        <f aca="false">N(W1349)+$V1350</f>
        <v>7</v>
      </c>
      <c r="X1350" s="1" t="n">
        <f aca="false">IF(AND($L1350=1,AND(对接源_02物料!$X150="自备筐",N(对接源_02物料!$T150)&lt;&gt;0)),1,0)</f>
        <v>0</v>
      </c>
      <c r="Y1350" s="1" t="n">
        <f aca="false">N(Y1349)+$X1350</f>
        <v>0</v>
      </c>
      <c r="Z1350" s="1" t="n">
        <f aca="false">IF(AND($M1350=1,对接源_02物料!$D150="原料入库"),1,0)</f>
        <v>0</v>
      </c>
      <c r="AA1350" s="1" t="n">
        <f aca="false">N(AA1349)+$Z1350</f>
        <v>30</v>
      </c>
      <c r="AB1350" s="1" t="n">
        <f aca="false">IF(AND($M1350=1,LEFT(对接源_02物料!$D150,4)="原料出库"),1,0)</f>
        <v>0</v>
      </c>
      <c r="AC1350" s="1" t="n">
        <f aca="false">N(AC1349)+$AB1350</f>
        <v>19</v>
      </c>
      <c r="AD1350" s="1" t="n">
        <f aca="false">IF(AND($M1350=1,LEFT(对接源_02物料!$D150,4)="成品出库"),1,0)</f>
        <v>0</v>
      </c>
      <c r="AE1350" s="1" t="n">
        <f aca="false">N(AE1349)+$AD1350</f>
        <v>38</v>
      </c>
      <c r="AF1350" s="1" t="n">
        <f aca="false">IF(AND($N1350=1,AND(LEFT(对接源_02物料!$D150,4)="包装物料",N(对接源_02物料!$K150)&lt;&gt;0)),1,0)</f>
        <v>0</v>
      </c>
      <c r="AG1350" s="1" t="n">
        <f aca="false">N(AG1349)+$AF1350</f>
        <v>6</v>
      </c>
      <c r="AH1350" s="1" t="n">
        <f aca="false">IF(AND($N1350=1,AND(LEFT(对接源_02物料!$D150,3)="周转筐",N(对接源_02物料!$K150)&lt;&gt;0)),1,0)</f>
        <v>0</v>
      </c>
      <c r="AI1350" s="1" t="n">
        <f aca="false">N(AI1349)+$AH1350</f>
        <v>0</v>
      </c>
      <c r="AJ1350" s="1" t="n">
        <v>0</v>
      </c>
      <c r="AK1350" s="1" t="n">
        <f aca="false">N(AK1349)+$AJ1350</f>
        <v>3672</v>
      </c>
    </row>
    <row r="1351" customFormat="false" ht="13.5" hidden="false" customHeight="false" outlineLevel="0" collapsed="false">
      <c r="A1351" s="1" t="str">
        <f aca="false">IF(对接源_02物料!$C151="","",对接源_02物料!$C151)</f>
        <v/>
      </c>
      <c r="B1351" s="1" t="n">
        <f aca="false">IF(A1351="",0,IF(MATCH(A1351,$A$4:$A$2403,0)=ROW()-3,1,0))</f>
        <v>0</v>
      </c>
      <c r="C1351" s="1" t="n">
        <f aca="false">N(C1350)+B1351</f>
        <v>17</v>
      </c>
      <c r="K1351" s="1" t="n">
        <f aca="false">IF(OR($K$1="",对接源_02物料!$C151="",对接源_02物料!$C151&lt;&gt;$K$1,对接源_02物料!$B151=""),0,IF(OR(N(对接源_02物料!$B151)&lt;$K$2,N(对接源_02物料!$B151)&gt;$K$3),0,1))</f>
        <v>0</v>
      </c>
      <c r="L1351" s="1" t="n">
        <f aca="false">IF(OR($L$1="",对接源_02物料!$C151="",对接源_02物料!$C151&lt;&gt;$L$1,对接源_02物料!$B151=""),0,IF(OR(N(对接源_02物料!$B151)&lt;$L$2,N(对接源_02物料!$B151)&gt;$L$3),0,1))</f>
        <v>0</v>
      </c>
      <c r="M1351" s="1" t="n">
        <f aca="false">IF(OR($M$1="",对接源_02物料!$C151="",对接源_02物料!$C151&lt;&gt;$M$1,对接源_02物料!$B151=""),0,IF(OR(N(对接源_02物料!$B151)&lt;$M$2,N(对接源_02物料!$B151)&gt;$M$3),0,1))</f>
        <v>0</v>
      </c>
      <c r="N1351" s="1" t="n">
        <f aca="false">IF(OR($N$1="",对接源_02物料!$C151="",对接源_02物料!$C151&lt;&gt;$N$1,对接源_02物料!$B151=""),0,IF(OR(N(对接源_02物料!$B151)&lt;$N$2,N(对接源_02物料!$B151)&gt;$N$3),0,1))</f>
        <v>0</v>
      </c>
      <c r="P1351" s="1" t="n">
        <f aca="false">IF(AND($K1351=1,AND(对接源_02物料!$X151="公司筐",N(对接源_02物料!$T151)&lt;&gt;0)),1,0)</f>
        <v>0</v>
      </c>
      <c r="Q1351" s="1" t="n">
        <f aca="false">N(Q1350)+$P1351</f>
        <v>13</v>
      </c>
      <c r="R1351" s="1" t="n">
        <f aca="false">IF(AND($K1351=1,AND(对接源_02物料!$X151="公司筐",N(对接源_02物料!$U151)&lt;&gt;0)),1,0)</f>
        <v>0</v>
      </c>
      <c r="S1351" s="1" t="n">
        <f aca="false">N(S1350)+$R1351</f>
        <v>5</v>
      </c>
      <c r="T1351" s="1" t="n">
        <f aca="false">IF(AND($K1351=1,AND(对接源_02物料!$X151="公司筐",N(对接源_02物料!$V151)&lt;&gt;0)),1,0)</f>
        <v>0</v>
      </c>
      <c r="U1351" s="1" t="n">
        <f aca="false">N(U1350)+$T1351</f>
        <v>28</v>
      </c>
      <c r="V1351" s="1" t="n">
        <f aca="false">IF(AND($L1351=1,AND(对接源_02物料!$X151="自备筐",N(对接源_02物料!$V151)&lt;&gt;0)),1,0)</f>
        <v>0</v>
      </c>
      <c r="W1351" s="1" t="n">
        <f aca="false">N(W1350)+$V1351</f>
        <v>7</v>
      </c>
      <c r="X1351" s="1" t="n">
        <f aca="false">IF(AND($L1351=1,AND(对接源_02物料!$X151="自备筐",N(对接源_02物料!$T151)&lt;&gt;0)),1,0)</f>
        <v>0</v>
      </c>
      <c r="Y1351" s="1" t="n">
        <f aca="false">N(Y1350)+$X1351</f>
        <v>0</v>
      </c>
      <c r="Z1351" s="1" t="n">
        <f aca="false">IF(AND($M1351=1,对接源_02物料!$D151="原料入库"),1,0)</f>
        <v>0</v>
      </c>
      <c r="AA1351" s="1" t="n">
        <f aca="false">N(AA1350)+$Z1351</f>
        <v>30</v>
      </c>
      <c r="AB1351" s="1" t="n">
        <f aca="false">IF(AND($M1351=1,LEFT(对接源_02物料!$D151,4)="原料出库"),1,0)</f>
        <v>0</v>
      </c>
      <c r="AC1351" s="1" t="n">
        <f aca="false">N(AC1350)+$AB1351</f>
        <v>19</v>
      </c>
      <c r="AD1351" s="1" t="n">
        <f aca="false">IF(AND($M1351=1,LEFT(对接源_02物料!$D151,4)="成品出库"),1,0)</f>
        <v>0</v>
      </c>
      <c r="AE1351" s="1" t="n">
        <f aca="false">N(AE1350)+$AD1351</f>
        <v>38</v>
      </c>
      <c r="AF1351" s="1" t="n">
        <f aca="false">IF(AND($N1351=1,AND(LEFT(对接源_02物料!$D151,4)="包装物料",N(对接源_02物料!$K151)&lt;&gt;0)),1,0)</f>
        <v>0</v>
      </c>
      <c r="AG1351" s="1" t="n">
        <f aca="false">N(AG1350)+$AF1351</f>
        <v>6</v>
      </c>
      <c r="AH1351" s="1" t="n">
        <f aca="false">IF(AND($N1351=1,AND(LEFT(对接源_02物料!$D151,3)="周转筐",N(对接源_02物料!$K151)&lt;&gt;0)),1,0)</f>
        <v>0</v>
      </c>
      <c r="AI1351" s="1" t="n">
        <f aca="false">N(AI1350)+$AH1351</f>
        <v>0</v>
      </c>
      <c r="AJ1351" s="1" t="n">
        <v>0</v>
      </c>
      <c r="AK1351" s="1" t="n">
        <f aca="false">N(AK1350)+$AJ1351</f>
        <v>3672</v>
      </c>
    </row>
    <row r="1352" customFormat="false" ht="13.5" hidden="false" customHeight="false" outlineLevel="0" collapsed="false">
      <c r="A1352" s="1" t="str">
        <f aca="false">IF(对接源_02物料!$C152="","",对接源_02物料!$C152)</f>
        <v/>
      </c>
      <c r="B1352" s="1" t="n">
        <f aca="false">IF(A1352="",0,IF(MATCH(A1352,$A$4:$A$2403,0)=ROW()-3,1,0))</f>
        <v>0</v>
      </c>
      <c r="C1352" s="1" t="n">
        <f aca="false">N(C1351)+B1352</f>
        <v>17</v>
      </c>
      <c r="K1352" s="1" t="n">
        <f aca="false">IF(OR($K$1="",对接源_02物料!$C152="",对接源_02物料!$C152&lt;&gt;$K$1,对接源_02物料!$B152=""),0,IF(OR(N(对接源_02物料!$B152)&lt;$K$2,N(对接源_02物料!$B152)&gt;$K$3),0,1))</f>
        <v>0</v>
      </c>
      <c r="L1352" s="1" t="n">
        <f aca="false">IF(OR($L$1="",对接源_02物料!$C152="",对接源_02物料!$C152&lt;&gt;$L$1,对接源_02物料!$B152=""),0,IF(OR(N(对接源_02物料!$B152)&lt;$L$2,N(对接源_02物料!$B152)&gt;$L$3),0,1))</f>
        <v>0</v>
      </c>
      <c r="M1352" s="1" t="n">
        <f aca="false">IF(OR($M$1="",对接源_02物料!$C152="",对接源_02物料!$C152&lt;&gt;$M$1,对接源_02物料!$B152=""),0,IF(OR(N(对接源_02物料!$B152)&lt;$M$2,N(对接源_02物料!$B152)&gt;$M$3),0,1))</f>
        <v>0</v>
      </c>
      <c r="N1352" s="1" t="n">
        <f aca="false">IF(OR($N$1="",对接源_02物料!$C152="",对接源_02物料!$C152&lt;&gt;$N$1,对接源_02物料!$B152=""),0,IF(OR(N(对接源_02物料!$B152)&lt;$N$2,N(对接源_02物料!$B152)&gt;$N$3),0,1))</f>
        <v>0</v>
      </c>
      <c r="P1352" s="1" t="n">
        <f aca="false">IF(AND($K1352=1,AND(对接源_02物料!$X152="公司筐",N(对接源_02物料!$T152)&lt;&gt;0)),1,0)</f>
        <v>0</v>
      </c>
      <c r="Q1352" s="1" t="n">
        <f aca="false">N(Q1351)+$P1352</f>
        <v>13</v>
      </c>
      <c r="R1352" s="1" t="n">
        <f aca="false">IF(AND($K1352=1,AND(对接源_02物料!$X152="公司筐",N(对接源_02物料!$U152)&lt;&gt;0)),1,0)</f>
        <v>0</v>
      </c>
      <c r="S1352" s="1" t="n">
        <f aca="false">N(S1351)+$R1352</f>
        <v>5</v>
      </c>
      <c r="T1352" s="1" t="n">
        <f aca="false">IF(AND($K1352=1,AND(对接源_02物料!$X152="公司筐",N(对接源_02物料!$V152)&lt;&gt;0)),1,0)</f>
        <v>0</v>
      </c>
      <c r="U1352" s="1" t="n">
        <f aca="false">N(U1351)+$T1352</f>
        <v>28</v>
      </c>
      <c r="V1352" s="1" t="n">
        <f aca="false">IF(AND($L1352=1,AND(对接源_02物料!$X152="自备筐",N(对接源_02物料!$V152)&lt;&gt;0)),1,0)</f>
        <v>0</v>
      </c>
      <c r="W1352" s="1" t="n">
        <f aca="false">N(W1351)+$V1352</f>
        <v>7</v>
      </c>
      <c r="X1352" s="1" t="n">
        <f aca="false">IF(AND($L1352=1,AND(对接源_02物料!$X152="自备筐",N(对接源_02物料!$T152)&lt;&gt;0)),1,0)</f>
        <v>0</v>
      </c>
      <c r="Y1352" s="1" t="n">
        <f aca="false">N(Y1351)+$X1352</f>
        <v>0</v>
      </c>
      <c r="Z1352" s="1" t="n">
        <f aca="false">IF(AND($M1352=1,对接源_02物料!$D152="原料入库"),1,0)</f>
        <v>0</v>
      </c>
      <c r="AA1352" s="1" t="n">
        <f aca="false">N(AA1351)+$Z1352</f>
        <v>30</v>
      </c>
      <c r="AB1352" s="1" t="n">
        <f aca="false">IF(AND($M1352=1,LEFT(对接源_02物料!$D152,4)="原料出库"),1,0)</f>
        <v>0</v>
      </c>
      <c r="AC1352" s="1" t="n">
        <f aca="false">N(AC1351)+$AB1352</f>
        <v>19</v>
      </c>
      <c r="AD1352" s="1" t="n">
        <f aca="false">IF(AND($M1352=1,LEFT(对接源_02物料!$D152,4)="成品出库"),1,0)</f>
        <v>0</v>
      </c>
      <c r="AE1352" s="1" t="n">
        <f aca="false">N(AE1351)+$AD1352</f>
        <v>38</v>
      </c>
      <c r="AF1352" s="1" t="n">
        <f aca="false">IF(AND($N1352=1,AND(LEFT(对接源_02物料!$D152,4)="包装物料",N(对接源_02物料!$K152)&lt;&gt;0)),1,0)</f>
        <v>0</v>
      </c>
      <c r="AG1352" s="1" t="n">
        <f aca="false">N(AG1351)+$AF1352</f>
        <v>6</v>
      </c>
      <c r="AH1352" s="1" t="n">
        <f aca="false">IF(AND($N1352=1,AND(LEFT(对接源_02物料!$D152,3)="周转筐",N(对接源_02物料!$K152)&lt;&gt;0)),1,0)</f>
        <v>0</v>
      </c>
      <c r="AI1352" s="1" t="n">
        <f aca="false">N(AI1351)+$AH1352</f>
        <v>0</v>
      </c>
      <c r="AJ1352" s="1" t="n">
        <v>0</v>
      </c>
      <c r="AK1352" s="1" t="n">
        <f aca="false">N(AK1351)+$AJ1352</f>
        <v>3672</v>
      </c>
    </row>
    <row r="1353" customFormat="false" ht="13.5" hidden="false" customHeight="false" outlineLevel="0" collapsed="false">
      <c r="A1353" s="1" t="str">
        <f aca="false">IF(对接源_02物料!$C153="","",对接源_02物料!$C153)</f>
        <v/>
      </c>
      <c r="B1353" s="1" t="n">
        <f aca="false">IF(A1353="",0,IF(MATCH(A1353,$A$4:$A$2403,0)=ROW()-3,1,0))</f>
        <v>0</v>
      </c>
      <c r="C1353" s="1" t="n">
        <f aca="false">N(C1352)+B1353</f>
        <v>17</v>
      </c>
      <c r="K1353" s="1" t="n">
        <f aca="false">IF(OR($K$1="",对接源_02物料!$C153="",对接源_02物料!$C153&lt;&gt;$K$1,对接源_02物料!$B153=""),0,IF(OR(N(对接源_02物料!$B153)&lt;$K$2,N(对接源_02物料!$B153)&gt;$K$3),0,1))</f>
        <v>0</v>
      </c>
      <c r="L1353" s="1" t="n">
        <f aca="false">IF(OR($L$1="",对接源_02物料!$C153="",对接源_02物料!$C153&lt;&gt;$L$1,对接源_02物料!$B153=""),0,IF(OR(N(对接源_02物料!$B153)&lt;$L$2,N(对接源_02物料!$B153)&gt;$L$3),0,1))</f>
        <v>0</v>
      </c>
      <c r="M1353" s="1" t="n">
        <f aca="false">IF(OR($M$1="",对接源_02物料!$C153="",对接源_02物料!$C153&lt;&gt;$M$1,对接源_02物料!$B153=""),0,IF(OR(N(对接源_02物料!$B153)&lt;$M$2,N(对接源_02物料!$B153)&gt;$M$3),0,1))</f>
        <v>0</v>
      </c>
      <c r="N1353" s="1" t="n">
        <f aca="false">IF(OR($N$1="",对接源_02物料!$C153="",对接源_02物料!$C153&lt;&gt;$N$1,对接源_02物料!$B153=""),0,IF(OR(N(对接源_02物料!$B153)&lt;$N$2,N(对接源_02物料!$B153)&gt;$N$3),0,1))</f>
        <v>0</v>
      </c>
      <c r="P1353" s="1" t="n">
        <f aca="false">IF(AND($K1353=1,AND(对接源_02物料!$X153="公司筐",N(对接源_02物料!$T153)&lt;&gt;0)),1,0)</f>
        <v>0</v>
      </c>
      <c r="Q1353" s="1" t="n">
        <f aca="false">N(Q1352)+$P1353</f>
        <v>13</v>
      </c>
      <c r="R1353" s="1" t="n">
        <f aca="false">IF(AND($K1353=1,AND(对接源_02物料!$X153="公司筐",N(对接源_02物料!$U153)&lt;&gt;0)),1,0)</f>
        <v>0</v>
      </c>
      <c r="S1353" s="1" t="n">
        <f aca="false">N(S1352)+$R1353</f>
        <v>5</v>
      </c>
      <c r="T1353" s="1" t="n">
        <f aca="false">IF(AND($K1353=1,AND(对接源_02物料!$X153="公司筐",N(对接源_02物料!$V153)&lt;&gt;0)),1,0)</f>
        <v>0</v>
      </c>
      <c r="U1353" s="1" t="n">
        <f aca="false">N(U1352)+$T1353</f>
        <v>28</v>
      </c>
      <c r="V1353" s="1" t="n">
        <f aca="false">IF(AND($L1353=1,AND(对接源_02物料!$X153="自备筐",N(对接源_02物料!$V153)&lt;&gt;0)),1,0)</f>
        <v>0</v>
      </c>
      <c r="W1353" s="1" t="n">
        <f aca="false">N(W1352)+$V1353</f>
        <v>7</v>
      </c>
      <c r="X1353" s="1" t="n">
        <f aca="false">IF(AND($L1353=1,AND(对接源_02物料!$X153="自备筐",N(对接源_02物料!$T153)&lt;&gt;0)),1,0)</f>
        <v>0</v>
      </c>
      <c r="Y1353" s="1" t="n">
        <f aca="false">N(Y1352)+$X1353</f>
        <v>0</v>
      </c>
      <c r="Z1353" s="1" t="n">
        <f aca="false">IF(AND($M1353=1,对接源_02物料!$D153="原料入库"),1,0)</f>
        <v>0</v>
      </c>
      <c r="AA1353" s="1" t="n">
        <f aca="false">N(AA1352)+$Z1353</f>
        <v>30</v>
      </c>
      <c r="AB1353" s="1" t="n">
        <f aca="false">IF(AND($M1353=1,LEFT(对接源_02物料!$D153,4)="原料出库"),1,0)</f>
        <v>0</v>
      </c>
      <c r="AC1353" s="1" t="n">
        <f aca="false">N(AC1352)+$AB1353</f>
        <v>19</v>
      </c>
      <c r="AD1353" s="1" t="n">
        <f aca="false">IF(AND($M1353=1,LEFT(对接源_02物料!$D153,4)="成品出库"),1,0)</f>
        <v>0</v>
      </c>
      <c r="AE1353" s="1" t="n">
        <f aca="false">N(AE1352)+$AD1353</f>
        <v>38</v>
      </c>
      <c r="AF1353" s="1" t="n">
        <f aca="false">IF(AND($N1353=1,AND(LEFT(对接源_02物料!$D153,4)="包装物料",N(对接源_02物料!$K153)&lt;&gt;0)),1,0)</f>
        <v>0</v>
      </c>
      <c r="AG1353" s="1" t="n">
        <f aca="false">N(AG1352)+$AF1353</f>
        <v>6</v>
      </c>
      <c r="AH1353" s="1" t="n">
        <f aca="false">IF(AND($N1353=1,AND(LEFT(对接源_02物料!$D153,3)="周转筐",N(对接源_02物料!$K153)&lt;&gt;0)),1,0)</f>
        <v>0</v>
      </c>
      <c r="AI1353" s="1" t="n">
        <f aca="false">N(AI1352)+$AH1353</f>
        <v>0</v>
      </c>
      <c r="AJ1353" s="1" t="n">
        <v>0</v>
      </c>
      <c r="AK1353" s="1" t="n">
        <f aca="false">N(AK1352)+$AJ1353</f>
        <v>3672</v>
      </c>
    </row>
    <row r="1354" customFormat="false" ht="13.5" hidden="false" customHeight="false" outlineLevel="0" collapsed="false">
      <c r="A1354" s="1" t="str">
        <f aca="false">IF(对接源_02物料!$C154="","",对接源_02物料!$C154)</f>
        <v/>
      </c>
      <c r="B1354" s="1" t="n">
        <f aca="false">IF(A1354="",0,IF(MATCH(A1354,$A$4:$A$2403,0)=ROW()-3,1,0))</f>
        <v>0</v>
      </c>
      <c r="C1354" s="1" t="n">
        <f aca="false">N(C1353)+B1354</f>
        <v>17</v>
      </c>
      <c r="K1354" s="1" t="n">
        <f aca="false">IF(OR($K$1="",对接源_02物料!$C154="",对接源_02物料!$C154&lt;&gt;$K$1,对接源_02物料!$B154=""),0,IF(OR(N(对接源_02物料!$B154)&lt;$K$2,N(对接源_02物料!$B154)&gt;$K$3),0,1))</f>
        <v>0</v>
      </c>
      <c r="L1354" s="1" t="n">
        <f aca="false">IF(OR($L$1="",对接源_02物料!$C154="",对接源_02物料!$C154&lt;&gt;$L$1,对接源_02物料!$B154=""),0,IF(OR(N(对接源_02物料!$B154)&lt;$L$2,N(对接源_02物料!$B154)&gt;$L$3),0,1))</f>
        <v>0</v>
      </c>
      <c r="M1354" s="1" t="n">
        <f aca="false">IF(OR($M$1="",对接源_02物料!$C154="",对接源_02物料!$C154&lt;&gt;$M$1,对接源_02物料!$B154=""),0,IF(OR(N(对接源_02物料!$B154)&lt;$M$2,N(对接源_02物料!$B154)&gt;$M$3),0,1))</f>
        <v>0</v>
      </c>
      <c r="N1354" s="1" t="n">
        <f aca="false">IF(OR($N$1="",对接源_02物料!$C154="",对接源_02物料!$C154&lt;&gt;$N$1,对接源_02物料!$B154=""),0,IF(OR(N(对接源_02物料!$B154)&lt;$N$2,N(对接源_02物料!$B154)&gt;$N$3),0,1))</f>
        <v>0</v>
      </c>
      <c r="P1354" s="1" t="n">
        <f aca="false">IF(AND($K1354=1,AND(对接源_02物料!$X154="公司筐",N(对接源_02物料!$T154)&lt;&gt;0)),1,0)</f>
        <v>0</v>
      </c>
      <c r="Q1354" s="1" t="n">
        <f aca="false">N(Q1353)+$P1354</f>
        <v>13</v>
      </c>
      <c r="R1354" s="1" t="n">
        <f aca="false">IF(AND($K1354=1,AND(对接源_02物料!$X154="公司筐",N(对接源_02物料!$U154)&lt;&gt;0)),1,0)</f>
        <v>0</v>
      </c>
      <c r="S1354" s="1" t="n">
        <f aca="false">N(S1353)+$R1354</f>
        <v>5</v>
      </c>
      <c r="T1354" s="1" t="n">
        <f aca="false">IF(AND($K1354=1,AND(对接源_02物料!$X154="公司筐",N(对接源_02物料!$V154)&lt;&gt;0)),1,0)</f>
        <v>0</v>
      </c>
      <c r="U1354" s="1" t="n">
        <f aca="false">N(U1353)+$T1354</f>
        <v>28</v>
      </c>
      <c r="V1354" s="1" t="n">
        <f aca="false">IF(AND($L1354=1,AND(对接源_02物料!$X154="自备筐",N(对接源_02物料!$V154)&lt;&gt;0)),1,0)</f>
        <v>0</v>
      </c>
      <c r="W1354" s="1" t="n">
        <f aca="false">N(W1353)+$V1354</f>
        <v>7</v>
      </c>
      <c r="X1354" s="1" t="n">
        <f aca="false">IF(AND($L1354=1,AND(对接源_02物料!$X154="自备筐",N(对接源_02物料!$T154)&lt;&gt;0)),1,0)</f>
        <v>0</v>
      </c>
      <c r="Y1354" s="1" t="n">
        <f aca="false">N(Y1353)+$X1354</f>
        <v>0</v>
      </c>
      <c r="Z1354" s="1" t="n">
        <f aca="false">IF(AND($M1354=1,对接源_02物料!$D154="原料入库"),1,0)</f>
        <v>0</v>
      </c>
      <c r="AA1354" s="1" t="n">
        <f aca="false">N(AA1353)+$Z1354</f>
        <v>30</v>
      </c>
      <c r="AB1354" s="1" t="n">
        <f aca="false">IF(AND($M1354=1,LEFT(对接源_02物料!$D154,4)="原料出库"),1,0)</f>
        <v>0</v>
      </c>
      <c r="AC1354" s="1" t="n">
        <f aca="false">N(AC1353)+$AB1354</f>
        <v>19</v>
      </c>
      <c r="AD1354" s="1" t="n">
        <f aca="false">IF(AND($M1354=1,LEFT(对接源_02物料!$D154,4)="成品出库"),1,0)</f>
        <v>0</v>
      </c>
      <c r="AE1354" s="1" t="n">
        <f aca="false">N(AE1353)+$AD1354</f>
        <v>38</v>
      </c>
      <c r="AF1354" s="1" t="n">
        <f aca="false">IF(AND($N1354=1,AND(LEFT(对接源_02物料!$D154,4)="包装物料",N(对接源_02物料!$K154)&lt;&gt;0)),1,0)</f>
        <v>0</v>
      </c>
      <c r="AG1354" s="1" t="n">
        <f aca="false">N(AG1353)+$AF1354</f>
        <v>6</v>
      </c>
      <c r="AH1354" s="1" t="n">
        <f aca="false">IF(AND($N1354=1,AND(LEFT(对接源_02物料!$D154,3)="周转筐",N(对接源_02物料!$K154)&lt;&gt;0)),1,0)</f>
        <v>0</v>
      </c>
      <c r="AI1354" s="1" t="n">
        <f aca="false">N(AI1353)+$AH1354</f>
        <v>0</v>
      </c>
      <c r="AJ1354" s="1" t="n">
        <v>0</v>
      </c>
      <c r="AK1354" s="1" t="n">
        <f aca="false">N(AK1353)+$AJ1354</f>
        <v>3672</v>
      </c>
    </row>
    <row r="1355" customFormat="false" ht="13.5" hidden="false" customHeight="false" outlineLevel="0" collapsed="false">
      <c r="A1355" s="1" t="str">
        <f aca="false">IF(对接源_02物料!$C155="","",对接源_02物料!$C155)</f>
        <v/>
      </c>
      <c r="B1355" s="1" t="n">
        <f aca="false">IF(A1355="",0,IF(MATCH(A1355,$A$4:$A$2403,0)=ROW()-3,1,0))</f>
        <v>0</v>
      </c>
      <c r="C1355" s="1" t="n">
        <f aca="false">N(C1354)+B1355</f>
        <v>17</v>
      </c>
      <c r="K1355" s="1" t="n">
        <f aca="false">IF(OR($K$1="",对接源_02物料!$C155="",对接源_02物料!$C155&lt;&gt;$K$1,对接源_02物料!$B155=""),0,IF(OR(N(对接源_02物料!$B155)&lt;$K$2,N(对接源_02物料!$B155)&gt;$K$3),0,1))</f>
        <v>0</v>
      </c>
      <c r="L1355" s="1" t="n">
        <f aca="false">IF(OR($L$1="",对接源_02物料!$C155="",对接源_02物料!$C155&lt;&gt;$L$1,对接源_02物料!$B155=""),0,IF(OR(N(对接源_02物料!$B155)&lt;$L$2,N(对接源_02物料!$B155)&gt;$L$3),0,1))</f>
        <v>0</v>
      </c>
      <c r="M1355" s="1" t="n">
        <f aca="false">IF(OR($M$1="",对接源_02物料!$C155="",对接源_02物料!$C155&lt;&gt;$M$1,对接源_02物料!$B155=""),0,IF(OR(N(对接源_02物料!$B155)&lt;$M$2,N(对接源_02物料!$B155)&gt;$M$3),0,1))</f>
        <v>0</v>
      </c>
      <c r="N1355" s="1" t="n">
        <f aca="false">IF(OR($N$1="",对接源_02物料!$C155="",对接源_02物料!$C155&lt;&gt;$N$1,对接源_02物料!$B155=""),0,IF(OR(N(对接源_02物料!$B155)&lt;$N$2,N(对接源_02物料!$B155)&gt;$N$3),0,1))</f>
        <v>0</v>
      </c>
      <c r="P1355" s="1" t="n">
        <f aca="false">IF(AND($K1355=1,AND(对接源_02物料!$X155="公司筐",N(对接源_02物料!$T155)&lt;&gt;0)),1,0)</f>
        <v>0</v>
      </c>
      <c r="Q1355" s="1" t="n">
        <f aca="false">N(Q1354)+$P1355</f>
        <v>13</v>
      </c>
      <c r="R1355" s="1" t="n">
        <f aca="false">IF(AND($K1355=1,AND(对接源_02物料!$X155="公司筐",N(对接源_02物料!$U155)&lt;&gt;0)),1,0)</f>
        <v>0</v>
      </c>
      <c r="S1355" s="1" t="n">
        <f aca="false">N(S1354)+$R1355</f>
        <v>5</v>
      </c>
      <c r="T1355" s="1" t="n">
        <f aca="false">IF(AND($K1355=1,AND(对接源_02物料!$X155="公司筐",N(对接源_02物料!$V155)&lt;&gt;0)),1,0)</f>
        <v>0</v>
      </c>
      <c r="U1355" s="1" t="n">
        <f aca="false">N(U1354)+$T1355</f>
        <v>28</v>
      </c>
      <c r="V1355" s="1" t="n">
        <f aca="false">IF(AND($L1355=1,AND(对接源_02物料!$X155="自备筐",N(对接源_02物料!$V155)&lt;&gt;0)),1,0)</f>
        <v>0</v>
      </c>
      <c r="W1355" s="1" t="n">
        <f aca="false">N(W1354)+$V1355</f>
        <v>7</v>
      </c>
      <c r="X1355" s="1" t="n">
        <f aca="false">IF(AND($L1355=1,AND(对接源_02物料!$X155="自备筐",N(对接源_02物料!$T155)&lt;&gt;0)),1,0)</f>
        <v>0</v>
      </c>
      <c r="Y1355" s="1" t="n">
        <f aca="false">N(Y1354)+$X1355</f>
        <v>0</v>
      </c>
      <c r="Z1355" s="1" t="n">
        <f aca="false">IF(AND($M1355=1,对接源_02物料!$D155="原料入库"),1,0)</f>
        <v>0</v>
      </c>
      <c r="AA1355" s="1" t="n">
        <f aca="false">N(AA1354)+$Z1355</f>
        <v>30</v>
      </c>
      <c r="AB1355" s="1" t="n">
        <f aca="false">IF(AND($M1355=1,LEFT(对接源_02物料!$D155,4)="原料出库"),1,0)</f>
        <v>0</v>
      </c>
      <c r="AC1355" s="1" t="n">
        <f aca="false">N(AC1354)+$AB1355</f>
        <v>19</v>
      </c>
      <c r="AD1355" s="1" t="n">
        <f aca="false">IF(AND($M1355=1,LEFT(对接源_02物料!$D155,4)="成品出库"),1,0)</f>
        <v>0</v>
      </c>
      <c r="AE1355" s="1" t="n">
        <f aca="false">N(AE1354)+$AD1355</f>
        <v>38</v>
      </c>
      <c r="AF1355" s="1" t="n">
        <f aca="false">IF(AND($N1355=1,AND(LEFT(对接源_02物料!$D155,4)="包装物料",N(对接源_02物料!$K155)&lt;&gt;0)),1,0)</f>
        <v>0</v>
      </c>
      <c r="AG1355" s="1" t="n">
        <f aca="false">N(AG1354)+$AF1355</f>
        <v>6</v>
      </c>
      <c r="AH1355" s="1" t="n">
        <f aca="false">IF(AND($N1355=1,AND(LEFT(对接源_02物料!$D155,3)="周转筐",N(对接源_02物料!$K155)&lt;&gt;0)),1,0)</f>
        <v>0</v>
      </c>
      <c r="AI1355" s="1" t="n">
        <f aca="false">N(AI1354)+$AH1355</f>
        <v>0</v>
      </c>
      <c r="AJ1355" s="1" t="n">
        <v>0</v>
      </c>
      <c r="AK1355" s="1" t="n">
        <f aca="false">N(AK1354)+$AJ1355</f>
        <v>3672</v>
      </c>
    </row>
    <row r="1356" customFormat="false" ht="13.5" hidden="false" customHeight="false" outlineLevel="0" collapsed="false">
      <c r="A1356" s="1" t="str">
        <f aca="false">IF(对接源_02物料!$C156="","",对接源_02物料!$C156)</f>
        <v/>
      </c>
      <c r="B1356" s="1" t="n">
        <f aca="false">IF(A1356="",0,IF(MATCH(A1356,$A$4:$A$2403,0)=ROW()-3,1,0))</f>
        <v>0</v>
      </c>
      <c r="C1356" s="1" t="n">
        <f aca="false">N(C1355)+B1356</f>
        <v>17</v>
      </c>
      <c r="K1356" s="1" t="n">
        <f aca="false">IF(OR($K$1="",对接源_02物料!$C156="",对接源_02物料!$C156&lt;&gt;$K$1,对接源_02物料!$B156=""),0,IF(OR(N(对接源_02物料!$B156)&lt;$K$2,N(对接源_02物料!$B156)&gt;$K$3),0,1))</f>
        <v>0</v>
      </c>
      <c r="L1356" s="1" t="n">
        <f aca="false">IF(OR($L$1="",对接源_02物料!$C156="",对接源_02物料!$C156&lt;&gt;$L$1,对接源_02物料!$B156=""),0,IF(OR(N(对接源_02物料!$B156)&lt;$L$2,N(对接源_02物料!$B156)&gt;$L$3),0,1))</f>
        <v>0</v>
      </c>
      <c r="M1356" s="1" t="n">
        <f aca="false">IF(OR($M$1="",对接源_02物料!$C156="",对接源_02物料!$C156&lt;&gt;$M$1,对接源_02物料!$B156=""),0,IF(OR(N(对接源_02物料!$B156)&lt;$M$2,N(对接源_02物料!$B156)&gt;$M$3),0,1))</f>
        <v>0</v>
      </c>
      <c r="N1356" s="1" t="n">
        <f aca="false">IF(OR($N$1="",对接源_02物料!$C156="",对接源_02物料!$C156&lt;&gt;$N$1,对接源_02物料!$B156=""),0,IF(OR(N(对接源_02物料!$B156)&lt;$N$2,N(对接源_02物料!$B156)&gt;$N$3),0,1))</f>
        <v>0</v>
      </c>
      <c r="P1356" s="1" t="n">
        <f aca="false">IF(AND($K1356=1,AND(对接源_02物料!$X156="公司筐",N(对接源_02物料!$T156)&lt;&gt;0)),1,0)</f>
        <v>0</v>
      </c>
      <c r="Q1356" s="1" t="n">
        <f aca="false">N(Q1355)+$P1356</f>
        <v>13</v>
      </c>
      <c r="R1356" s="1" t="n">
        <f aca="false">IF(AND($K1356=1,AND(对接源_02物料!$X156="公司筐",N(对接源_02物料!$U156)&lt;&gt;0)),1,0)</f>
        <v>0</v>
      </c>
      <c r="S1356" s="1" t="n">
        <f aca="false">N(S1355)+$R1356</f>
        <v>5</v>
      </c>
      <c r="T1356" s="1" t="n">
        <f aca="false">IF(AND($K1356=1,AND(对接源_02物料!$X156="公司筐",N(对接源_02物料!$V156)&lt;&gt;0)),1,0)</f>
        <v>0</v>
      </c>
      <c r="U1356" s="1" t="n">
        <f aca="false">N(U1355)+$T1356</f>
        <v>28</v>
      </c>
      <c r="V1356" s="1" t="n">
        <f aca="false">IF(AND($L1356=1,AND(对接源_02物料!$X156="自备筐",N(对接源_02物料!$V156)&lt;&gt;0)),1,0)</f>
        <v>0</v>
      </c>
      <c r="W1356" s="1" t="n">
        <f aca="false">N(W1355)+$V1356</f>
        <v>7</v>
      </c>
      <c r="X1356" s="1" t="n">
        <f aca="false">IF(AND($L1356=1,AND(对接源_02物料!$X156="自备筐",N(对接源_02物料!$T156)&lt;&gt;0)),1,0)</f>
        <v>0</v>
      </c>
      <c r="Y1356" s="1" t="n">
        <f aca="false">N(Y1355)+$X1356</f>
        <v>0</v>
      </c>
      <c r="Z1356" s="1" t="n">
        <f aca="false">IF(AND($M1356=1,对接源_02物料!$D156="原料入库"),1,0)</f>
        <v>0</v>
      </c>
      <c r="AA1356" s="1" t="n">
        <f aca="false">N(AA1355)+$Z1356</f>
        <v>30</v>
      </c>
      <c r="AB1356" s="1" t="n">
        <f aca="false">IF(AND($M1356=1,LEFT(对接源_02物料!$D156,4)="原料出库"),1,0)</f>
        <v>0</v>
      </c>
      <c r="AC1356" s="1" t="n">
        <f aca="false">N(AC1355)+$AB1356</f>
        <v>19</v>
      </c>
      <c r="AD1356" s="1" t="n">
        <f aca="false">IF(AND($M1356=1,LEFT(对接源_02物料!$D156,4)="成品出库"),1,0)</f>
        <v>0</v>
      </c>
      <c r="AE1356" s="1" t="n">
        <f aca="false">N(AE1355)+$AD1356</f>
        <v>38</v>
      </c>
      <c r="AF1356" s="1" t="n">
        <f aca="false">IF(AND($N1356=1,AND(LEFT(对接源_02物料!$D156,4)="包装物料",N(对接源_02物料!$K156)&lt;&gt;0)),1,0)</f>
        <v>0</v>
      </c>
      <c r="AG1356" s="1" t="n">
        <f aca="false">N(AG1355)+$AF1356</f>
        <v>6</v>
      </c>
      <c r="AH1356" s="1" t="n">
        <f aca="false">IF(AND($N1356=1,AND(LEFT(对接源_02物料!$D156,3)="周转筐",N(对接源_02物料!$K156)&lt;&gt;0)),1,0)</f>
        <v>0</v>
      </c>
      <c r="AI1356" s="1" t="n">
        <f aca="false">N(AI1355)+$AH1356</f>
        <v>0</v>
      </c>
      <c r="AJ1356" s="1" t="n">
        <v>0</v>
      </c>
      <c r="AK1356" s="1" t="n">
        <f aca="false">N(AK1355)+$AJ1356</f>
        <v>3672</v>
      </c>
    </row>
    <row r="1357" customFormat="false" ht="13.5" hidden="false" customHeight="false" outlineLevel="0" collapsed="false">
      <c r="A1357" s="1" t="str">
        <f aca="false">IF(对接源_02物料!$C157="","",对接源_02物料!$C157)</f>
        <v/>
      </c>
      <c r="B1357" s="1" t="n">
        <f aca="false">IF(A1357="",0,IF(MATCH(A1357,$A$4:$A$2403,0)=ROW()-3,1,0))</f>
        <v>0</v>
      </c>
      <c r="C1357" s="1" t="n">
        <f aca="false">N(C1356)+B1357</f>
        <v>17</v>
      </c>
      <c r="K1357" s="1" t="n">
        <f aca="false">IF(OR($K$1="",对接源_02物料!$C157="",对接源_02物料!$C157&lt;&gt;$K$1,对接源_02物料!$B157=""),0,IF(OR(N(对接源_02物料!$B157)&lt;$K$2,N(对接源_02物料!$B157)&gt;$K$3),0,1))</f>
        <v>0</v>
      </c>
      <c r="L1357" s="1" t="n">
        <f aca="false">IF(OR($L$1="",对接源_02物料!$C157="",对接源_02物料!$C157&lt;&gt;$L$1,对接源_02物料!$B157=""),0,IF(OR(N(对接源_02物料!$B157)&lt;$L$2,N(对接源_02物料!$B157)&gt;$L$3),0,1))</f>
        <v>0</v>
      </c>
      <c r="M1357" s="1" t="n">
        <f aca="false">IF(OR($M$1="",对接源_02物料!$C157="",对接源_02物料!$C157&lt;&gt;$M$1,对接源_02物料!$B157=""),0,IF(OR(N(对接源_02物料!$B157)&lt;$M$2,N(对接源_02物料!$B157)&gt;$M$3),0,1))</f>
        <v>0</v>
      </c>
      <c r="N1357" s="1" t="n">
        <f aca="false">IF(OR($N$1="",对接源_02物料!$C157="",对接源_02物料!$C157&lt;&gt;$N$1,对接源_02物料!$B157=""),0,IF(OR(N(对接源_02物料!$B157)&lt;$N$2,N(对接源_02物料!$B157)&gt;$N$3),0,1))</f>
        <v>0</v>
      </c>
      <c r="P1357" s="1" t="n">
        <f aca="false">IF(AND($K1357=1,AND(对接源_02物料!$X157="公司筐",N(对接源_02物料!$T157)&lt;&gt;0)),1,0)</f>
        <v>0</v>
      </c>
      <c r="Q1357" s="1" t="n">
        <f aca="false">N(Q1356)+$P1357</f>
        <v>13</v>
      </c>
      <c r="R1357" s="1" t="n">
        <f aca="false">IF(AND($K1357=1,AND(对接源_02物料!$X157="公司筐",N(对接源_02物料!$U157)&lt;&gt;0)),1,0)</f>
        <v>0</v>
      </c>
      <c r="S1357" s="1" t="n">
        <f aca="false">N(S1356)+$R1357</f>
        <v>5</v>
      </c>
      <c r="T1357" s="1" t="n">
        <f aca="false">IF(AND($K1357=1,AND(对接源_02物料!$X157="公司筐",N(对接源_02物料!$V157)&lt;&gt;0)),1,0)</f>
        <v>0</v>
      </c>
      <c r="U1357" s="1" t="n">
        <f aca="false">N(U1356)+$T1357</f>
        <v>28</v>
      </c>
      <c r="V1357" s="1" t="n">
        <f aca="false">IF(AND($L1357=1,AND(对接源_02物料!$X157="自备筐",N(对接源_02物料!$V157)&lt;&gt;0)),1,0)</f>
        <v>0</v>
      </c>
      <c r="W1357" s="1" t="n">
        <f aca="false">N(W1356)+$V1357</f>
        <v>7</v>
      </c>
      <c r="X1357" s="1" t="n">
        <f aca="false">IF(AND($L1357=1,AND(对接源_02物料!$X157="自备筐",N(对接源_02物料!$T157)&lt;&gt;0)),1,0)</f>
        <v>0</v>
      </c>
      <c r="Y1357" s="1" t="n">
        <f aca="false">N(Y1356)+$X1357</f>
        <v>0</v>
      </c>
      <c r="Z1357" s="1" t="n">
        <f aca="false">IF(AND($M1357=1,对接源_02物料!$D157="原料入库"),1,0)</f>
        <v>0</v>
      </c>
      <c r="AA1357" s="1" t="n">
        <f aca="false">N(AA1356)+$Z1357</f>
        <v>30</v>
      </c>
      <c r="AB1357" s="1" t="n">
        <f aca="false">IF(AND($M1357=1,LEFT(对接源_02物料!$D157,4)="原料出库"),1,0)</f>
        <v>0</v>
      </c>
      <c r="AC1357" s="1" t="n">
        <f aca="false">N(AC1356)+$AB1357</f>
        <v>19</v>
      </c>
      <c r="AD1357" s="1" t="n">
        <f aca="false">IF(AND($M1357=1,LEFT(对接源_02物料!$D157,4)="成品出库"),1,0)</f>
        <v>0</v>
      </c>
      <c r="AE1357" s="1" t="n">
        <f aca="false">N(AE1356)+$AD1357</f>
        <v>38</v>
      </c>
      <c r="AF1357" s="1" t="n">
        <f aca="false">IF(AND($N1357=1,AND(LEFT(对接源_02物料!$D157,4)="包装物料",N(对接源_02物料!$K157)&lt;&gt;0)),1,0)</f>
        <v>0</v>
      </c>
      <c r="AG1357" s="1" t="n">
        <f aca="false">N(AG1356)+$AF1357</f>
        <v>6</v>
      </c>
      <c r="AH1357" s="1" t="n">
        <f aca="false">IF(AND($N1357=1,AND(LEFT(对接源_02物料!$D157,3)="周转筐",N(对接源_02物料!$K157)&lt;&gt;0)),1,0)</f>
        <v>0</v>
      </c>
      <c r="AI1357" s="1" t="n">
        <f aca="false">N(AI1356)+$AH1357</f>
        <v>0</v>
      </c>
      <c r="AJ1357" s="1" t="n">
        <v>0</v>
      </c>
      <c r="AK1357" s="1" t="n">
        <f aca="false">N(AK1356)+$AJ1357</f>
        <v>3672</v>
      </c>
    </row>
    <row r="1358" customFormat="false" ht="13.5" hidden="false" customHeight="false" outlineLevel="0" collapsed="false">
      <c r="A1358" s="1" t="str">
        <f aca="false">IF(对接源_02物料!$C158="","",对接源_02物料!$C158)</f>
        <v/>
      </c>
      <c r="B1358" s="1" t="n">
        <f aca="false">IF(A1358="",0,IF(MATCH(A1358,$A$4:$A$2403,0)=ROW()-3,1,0))</f>
        <v>0</v>
      </c>
      <c r="C1358" s="1" t="n">
        <f aca="false">N(C1357)+B1358</f>
        <v>17</v>
      </c>
      <c r="K1358" s="1" t="n">
        <f aca="false">IF(OR($K$1="",对接源_02物料!$C158="",对接源_02物料!$C158&lt;&gt;$K$1,对接源_02物料!$B158=""),0,IF(OR(N(对接源_02物料!$B158)&lt;$K$2,N(对接源_02物料!$B158)&gt;$K$3),0,1))</f>
        <v>0</v>
      </c>
      <c r="L1358" s="1" t="n">
        <f aca="false">IF(OR($L$1="",对接源_02物料!$C158="",对接源_02物料!$C158&lt;&gt;$L$1,对接源_02物料!$B158=""),0,IF(OR(N(对接源_02物料!$B158)&lt;$L$2,N(对接源_02物料!$B158)&gt;$L$3),0,1))</f>
        <v>0</v>
      </c>
      <c r="M1358" s="1" t="n">
        <f aca="false">IF(OR($M$1="",对接源_02物料!$C158="",对接源_02物料!$C158&lt;&gt;$M$1,对接源_02物料!$B158=""),0,IF(OR(N(对接源_02物料!$B158)&lt;$M$2,N(对接源_02物料!$B158)&gt;$M$3),0,1))</f>
        <v>0</v>
      </c>
      <c r="N1358" s="1" t="n">
        <f aca="false">IF(OR($N$1="",对接源_02物料!$C158="",对接源_02物料!$C158&lt;&gt;$N$1,对接源_02物料!$B158=""),0,IF(OR(N(对接源_02物料!$B158)&lt;$N$2,N(对接源_02物料!$B158)&gt;$N$3),0,1))</f>
        <v>0</v>
      </c>
      <c r="P1358" s="1" t="n">
        <f aca="false">IF(AND($K1358=1,AND(对接源_02物料!$X158="公司筐",N(对接源_02物料!$T158)&lt;&gt;0)),1,0)</f>
        <v>0</v>
      </c>
      <c r="Q1358" s="1" t="n">
        <f aca="false">N(Q1357)+$P1358</f>
        <v>13</v>
      </c>
      <c r="R1358" s="1" t="n">
        <f aca="false">IF(AND($K1358=1,AND(对接源_02物料!$X158="公司筐",N(对接源_02物料!$U158)&lt;&gt;0)),1,0)</f>
        <v>0</v>
      </c>
      <c r="S1358" s="1" t="n">
        <f aca="false">N(S1357)+$R1358</f>
        <v>5</v>
      </c>
      <c r="T1358" s="1" t="n">
        <f aca="false">IF(AND($K1358=1,AND(对接源_02物料!$X158="公司筐",N(对接源_02物料!$V158)&lt;&gt;0)),1,0)</f>
        <v>0</v>
      </c>
      <c r="U1358" s="1" t="n">
        <f aca="false">N(U1357)+$T1358</f>
        <v>28</v>
      </c>
      <c r="V1358" s="1" t="n">
        <f aca="false">IF(AND($L1358=1,AND(对接源_02物料!$X158="自备筐",N(对接源_02物料!$V158)&lt;&gt;0)),1,0)</f>
        <v>0</v>
      </c>
      <c r="W1358" s="1" t="n">
        <f aca="false">N(W1357)+$V1358</f>
        <v>7</v>
      </c>
      <c r="X1358" s="1" t="n">
        <f aca="false">IF(AND($L1358=1,AND(对接源_02物料!$X158="自备筐",N(对接源_02物料!$T158)&lt;&gt;0)),1,0)</f>
        <v>0</v>
      </c>
      <c r="Y1358" s="1" t="n">
        <f aca="false">N(Y1357)+$X1358</f>
        <v>0</v>
      </c>
      <c r="Z1358" s="1" t="n">
        <f aca="false">IF(AND($M1358=1,对接源_02物料!$D158="原料入库"),1,0)</f>
        <v>0</v>
      </c>
      <c r="AA1358" s="1" t="n">
        <f aca="false">N(AA1357)+$Z1358</f>
        <v>30</v>
      </c>
      <c r="AB1358" s="1" t="n">
        <f aca="false">IF(AND($M1358=1,LEFT(对接源_02物料!$D158,4)="原料出库"),1,0)</f>
        <v>0</v>
      </c>
      <c r="AC1358" s="1" t="n">
        <f aca="false">N(AC1357)+$AB1358</f>
        <v>19</v>
      </c>
      <c r="AD1358" s="1" t="n">
        <f aca="false">IF(AND($M1358=1,LEFT(对接源_02物料!$D158,4)="成品出库"),1,0)</f>
        <v>0</v>
      </c>
      <c r="AE1358" s="1" t="n">
        <f aca="false">N(AE1357)+$AD1358</f>
        <v>38</v>
      </c>
      <c r="AF1358" s="1" t="n">
        <f aca="false">IF(AND($N1358=1,AND(LEFT(对接源_02物料!$D158,4)="包装物料",N(对接源_02物料!$K158)&lt;&gt;0)),1,0)</f>
        <v>0</v>
      </c>
      <c r="AG1358" s="1" t="n">
        <f aca="false">N(AG1357)+$AF1358</f>
        <v>6</v>
      </c>
      <c r="AH1358" s="1" t="n">
        <f aca="false">IF(AND($N1358=1,AND(LEFT(对接源_02物料!$D158,3)="周转筐",N(对接源_02物料!$K158)&lt;&gt;0)),1,0)</f>
        <v>0</v>
      </c>
      <c r="AI1358" s="1" t="n">
        <f aca="false">N(AI1357)+$AH1358</f>
        <v>0</v>
      </c>
      <c r="AJ1358" s="1" t="n">
        <v>0</v>
      </c>
      <c r="AK1358" s="1" t="n">
        <f aca="false">N(AK1357)+$AJ1358</f>
        <v>3672</v>
      </c>
    </row>
    <row r="1359" customFormat="false" ht="13.5" hidden="false" customHeight="false" outlineLevel="0" collapsed="false">
      <c r="A1359" s="1" t="str">
        <f aca="false">IF(对接源_02物料!$C159="","",对接源_02物料!$C159)</f>
        <v/>
      </c>
      <c r="B1359" s="1" t="n">
        <f aca="false">IF(A1359="",0,IF(MATCH(A1359,$A$4:$A$2403,0)=ROW()-3,1,0))</f>
        <v>0</v>
      </c>
      <c r="C1359" s="1" t="n">
        <f aca="false">N(C1358)+B1359</f>
        <v>17</v>
      </c>
      <c r="K1359" s="1" t="n">
        <f aca="false">IF(OR($K$1="",对接源_02物料!$C159="",对接源_02物料!$C159&lt;&gt;$K$1,对接源_02物料!$B159=""),0,IF(OR(N(对接源_02物料!$B159)&lt;$K$2,N(对接源_02物料!$B159)&gt;$K$3),0,1))</f>
        <v>0</v>
      </c>
      <c r="L1359" s="1" t="n">
        <f aca="false">IF(OR($L$1="",对接源_02物料!$C159="",对接源_02物料!$C159&lt;&gt;$L$1,对接源_02物料!$B159=""),0,IF(OR(N(对接源_02物料!$B159)&lt;$L$2,N(对接源_02物料!$B159)&gt;$L$3),0,1))</f>
        <v>0</v>
      </c>
      <c r="M1359" s="1" t="n">
        <f aca="false">IF(OR($M$1="",对接源_02物料!$C159="",对接源_02物料!$C159&lt;&gt;$M$1,对接源_02物料!$B159=""),0,IF(OR(N(对接源_02物料!$B159)&lt;$M$2,N(对接源_02物料!$B159)&gt;$M$3),0,1))</f>
        <v>0</v>
      </c>
      <c r="N1359" s="1" t="n">
        <f aca="false">IF(OR($N$1="",对接源_02物料!$C159="",对接源_02物料!$C159&lt;&gt;$N$1,对接源_02物料!$B159=""),0,IF(OR(N(对接源_02物料!$B159)&lt;$N$2,N(对接源_02物料!$B159)&gt;$N$3),0,1))</f>
        <v>0</v>
      </c>
      <c r="P1359" s="1" t="n">
        <f aca="false">IF(AND($K1359=1,AND(对接源_02物料!$X159="公司筐",N(对接源_02物料!$T159)&lt;&gt;0)),1,0)</f>
        <v>0</v>
      </c>
      <c r="Q1359" s="1" t="n">
        <f aca="false">N(Q1358)+$P1359</f>
        <v>13</v>
      </c>
      <c r="R1359" s="1" t="n">
        <f aca="false">IF(AND($K1359=1,AND(对接源_02物料!$X159="公司筐",N(对接源_02物料!$U159)&lt;&gt;0)),1,0)</f>
        <v>0</v>
      </c>
      <c r="S1359" s="1" t="n">
        <f aca="false">N(S1358)+$R1359</f>
        <v>5</v>
      </c>
      <c r="T1359" s="1" t="n">
        <f aca="false">IF(AND($K1359=1,AND(对接源_02物料!$X159="公司筐",N(对接源_02物料!$V159)&lt;&gt;0)),1,0)</f>
        <v>0</v>
      </c>
      <c r="U1359" s="1" t="n">
        <f aca="false">N(U1358)+$T1359</f>
        <v>28</v>
      </c>
      <c r="V1359" s="1" t="n">
        <f aca="false">IF(AND($L1359=1,AND(对接源_02物料!$X159="自备筐",N(对接源_02物料!$V159)&lt;&gt;0)),1,0)</f>
        <v>0</v>
      </c>
      <c r="W1359" s="1" t="n">
        <f aca="false">N(W1358)+$V1359</f>
        <v>7</v>
      </c>
      <c r="X1359" s="1" t="n">
        <f aca="false">IF(AND($L1359=1,AND(对接源_02物料!$X159="自备筐",N(对接源_02物料!$T159)&lt;&gt;0)),1,0)</f>
        <v>0</v>
      </c>
      <c r="Y1359" s="1" t="n">
        <f aca="false">N(Y1358)+$X1359</f>
        <v>0</v>
      </c>
      <c r="Z1359" s="1" t="n">
        <f aca="false">IF(AND($M1359=1,对接源_02物料!$D159="原料入库"),1,0)</f>
        <v>0</v>
      </c>
      <c r="AA1359" s="1" t="n">
        <f aca="false">N(AA1358)+$Z1359</f>
        <v>30</v>
      </c>
      <c r="AB1359" s="1" t="n">
        <f aca="false">IF(AND($M1359=1,LEFT(对接源_02物料!$D159,4)="原料出库"),1,0)</f>
        <v>0</v>
      </c>
      <c r="AC1359" s="1" t="n">
        <f aca="false">N(AC1358)+$AB1359</f>
        <v>19</v>
      </c>
      <c r="AD1359" s="1" t="n">
        <f aca="false">IF(AND($M1359=1,LEFT(对接源_02物料!$D159,4)="成品出库"),1,0)</f>
        <v>0</v>
      </c>
      <c r="AE1359" s="1" t="n">
        <f aca="false">N(AE1358)+$AD1359</f>
        <v>38</v>
      </c>
      <c r="AF1359" s="1" t="n">
        <f aca="false">IF(AND($N1359=1,AND(LEFT(对接源_02物料!$D159,4)="包装物料",N(对接源_02物料!$K159)&lt;&gt;0)),1,0)</f>
        <v>0</v>
      </c>
      <c r="AG1359" s="1" t="n">
        <f aca="false">N(AG1358)+$AF1359</f>
        <v>6</v>
      </c>
      <c r="AH1359" s="1" t="n">
        <f aca="false">IF(AND($N1359=1,AND(LEFT(对接源_02物料!$D159,3)="周转筐",N(对接源_02物料!$K159)&lt;&gt;0)),1,0)</f>
        <v>0</v>
      </c>
      <c r="AI1359" s="1" t="n">
        <f aca="false">N(AI1358)+$AH1359</f>
        <v>0</v>
      </c>
      <c r="AJ1359" s="1" t="n">
        <v>0</v>
      </c>
      <c r="AK1359" s="1" t="n">
        <f aca="false">N(AK1358)+$AJ1359</f>
        <v>3672</v>
      </c>
    </row>
    <row r="1360" customFormat="false" ht="13.5" hidden="false" customHeight="false" outlineLevel="0" collapsed="false">
      <c r="A1360" s="1" t="str">
        <f aca="false">IF(对接源_02物料!$C160="","",对接源_02物料!$C160)</f>
        <v/>
      </c>
      <c r="B1360" s="1" t="n">
        <f aca="false">IF(A1360="",0,IF(MATCH(A1360,$A$4:$A$2403,0)=ROW()-3,1,0))</f>
        <v>0</v>
      </c>
      <c r="C1360" s="1" t="n">
        <f aca="false">N(C1359)+B1360</f>
        <v>17</v>
      </c>
      <c r="K1360" s="1" t="n">
        <f aca="false">IF(OR($K$1="",对接源_02物料!$C160="",对接源_02物料!$C160&lt;&gt;$K$1,对接源_02物料!$B160=""),0,IF(OR(N(对接源_02物料!$B160)&lt;$K$2,N(对接源_02物料!$B160)&gt;$K$3),0,1))</f>
        <v>0</v>
      </c>
      <c r="L1360" s="1" t="n">
        <f aca="false">IF(OR($L$1="",对接源_02物料!$C160="",对接源_02物料!$C160&lt;&gt;$L$1,对接源_02物料!$B160=""),0,IF(OR(N(对接源_02物料!$B160)&lt;$L$2,N(对接源_02物料!$B160)&gt;$L$3),0,1))</f>
        <v>0</v>
      </c>
      <c r="M1360" s="1" t="n">
        <f aca="false">IF(OR($M$1="",对接源_02物料!$C160="",对接源_02物料!$C160&lt;&gt;$M$1,对接源_02物料!$B160=""),0,IF(OR(N(对接源_02物料!$B160)&lt;$M$2,N(对接源_02物料!$B160)&gt;$M$3),0,1))</f>
        <v>0</v>
      </c>
      <c r="N1360" s="1" t="n">
        <f aca="false">IF(OR($N$1="",对接源_02物料!$C160="",对接源_02物料!$C160&lt;&gt;$N$1,对接源_02物料!$B160=""),0,IF(OR(N(对接源_02物料!$B160)&lt;$N$2,N(对接源_02物料!$B160)&gt;$N$3),0,1))</f>
        <v>0</v>
      </c>
      <c r="P1360" s="1" t="n">
        <f aca="false">IF(AND($K1360=1,AND(对接源_02物料!$X160="公司筐",N(对接源_02物料!$T160)&lt;&gt;0)),1,0)</f>
        <v>0</v>
      </c>
      <c r="Q1360" s="1" t="n">
        <f aca="false">N(Q1359)+$P1360</f>
        <v>13</v>
      </c>
      <c r="R1360" s="1" t="n">
        <f aca="false">IF(AND($K1360=1,AND(对接源_02物料!$X160="公司筐",N(对接源_02物料!$U160)&lt;&gt;0)),1,0)</f>
        <v>0</v>
      </c>
      <c r="S1360" s="1" t="n">
        <f aca="false">N(S1359)+$R1360</f>
        <v>5</v>
      </c>
      <c r="T1360" s="1" t="n">
        <f aca="false">IF(AND($K1360=1,AND(对接源_02物料!$X160="公司筐",N(对接源_02物料!$V160)&lt;&gt;0)),1,0)</f>
        <v>0</v>
      </c>
      <c r="U1360" s="1" t="n">
        <f aca="false">N(U1359)+$T1360</f>
        <v>28</v>
      </c>
      <c r="V1360" s="1" t="n">
        <f aca="false">IF(AND($L1360=1,AND(对接源_02物料!$X160="自备筐",N(对接源_02物料!$V160)&lt;&gt;0)),1,0)</f>
        <v>0</v>
      </c>
      <c r="W1360" s="1" t="n">
        <f aca="false">N(W1359)+$V1360</f>
        <v>7</v>
      </c>
      <c r="X1360" s="1" t="n">
        <f aca="false">IF(AND($L1360=1,AND(对接源_02物料!$X160="自备筐",N(对接源_02物料!$T160)&lt;&gt;0)),1,0)</f>
        <v>0</v>
      </c>
      <c r="Y1360" s="1" t="n">
        <f aca="false">N(Y1359)+$X1360</f>
        <v>0</v>
      </c>
      <c r="Z1360" s="1" t="n">
        <f aca="false">IF(AND($M1360=1,对接源_02物料!$D160="原料入库"),1,0)</f>
        <v>0</v>
      </c>
      <c r="AA1360" s="1" t="n">
        <f aca="false">N(AA1359)+$Z1360</f>
        <v>30</v>
      </c>
      <c r="AB1360" s="1" t="n">
        <f aca="false">IF(AND($M1360=1,LEFT(对接源_02物料!$D160,4)="原料出库"),1,0)</f>
        <v>0</v>
      </c>
      <c r="AC1360" s="1" t="n">
        <f aca="false">N(AC1359)+$AB1360</f>
        <v>19</v>
      </c>
      <c r="AD1360" s="1" t="n">
        <f aca="false">IF(AND($M1360=1,LEFT(对接源_02物料!$D160,4)="成品出库"),1,0)</f>
        <v>0</v>
      </c>
      <c r="AE1360" s="1" t="n">
        <f aca="false">N(AE1359)+$AD1360</f>
        <v>38</v>
      </c>
      <c r="AF1360" s="1" t="n">
        <f aca="false">IF(AND($N1360=1,AND(LEFT(对接源_02物料!$D160,4)="包装物料",N(对接源_02物料!$K160)&lt;&gt;0)),1,0)</f>
        <v>0</v>
      </c>
      <c r="AG1360" s="1" t="n">
        <f aca="false">N(AG1359)+$AF1360</f>
        <v>6</v>
      </c>
      <c r="AH1360" s="1" t="n">
        <f aca="false">IF(AND($N1360=1,AND(LEFT(对接源_02物料!$D160,3)="周转筐",N(对接源_02物料!$K160)&lt;&gt;0)),1,0)</f>
        <v>0</v>
      </c>
      <c r="AI1360" s="1" t="n">
        <f aca="false">N(AI1359)+$AH1360</f>
        <v>0</v>
      </c>
      <c r="AJ1360" s="1" t="n">
        <v>0</v>
      </c>
      <c r="AK1360" s="1" t="n">
        <f aca="false">N(AK1359)+$AJ1360</f>
        <v>3672</v>
      </c>
    </row>
    <row r="1361" customFormat="false" ht="13.5" hidden="false" customHeight="false" outlineLevel="0" collapsed="false">
      <c r="A1361" s="1" t="str">
        <f aca="false">IF(对接源_02物料!$C161="","",对接源_02物料!$C161)</f>
        <v/>
      </c>
      <c r="B1361" s="1" t="n">
        <f aca="false">IF(A1361="",0,IF(MATCH(A1361,$A$4:$A$2403,0)=ROW()-3,1,0))</f>
        <v>0</v>
      </c>
      <c r="C1361" s="1" t="n">
        <f aca="false">N(C1360)+B1361</f>
        <v>17</v>
      </c>
      <c r="K1361" s="1" t="n">
        <f aca="false">IF(OR($K$1="",对接源_02物料!$C161="",对接源_02物料!$C161&lt;&gt;$K$1,对接源_02物料!$B161=""),0,IF(OR(N(对接源_02物料!$B161)&lt;$K$2,N(对接源_02物料!$B161)&gt;$K$3),0,1))</f>
        <v>0</v>
      </c>
      <c r="L1361" s="1" t="n">
        <f aca="false">IF(OR($L$1="",对接源_02物料!$C161="",对接源_02物料!$C161&lt;&gt;$L$1,对接源_02物料!$B161=""),0,IF(OR(N(对接源_02物料!$B161)&lt;$L$2,N(对接源_02物料!$B161)&gt;$L$3),0,1))</f>
        <v>0</v>
      </c>
      <c r="M1361" s="1" t="n">
        <f aca="false">IF(OR($M$1="",对接源_02物料!$C161="",对接源_02物料!$C161&lt;&gt;$M$1,对接源_02物料!$B161=""),0,IF(OR(N(对接源_02物料!$B161)&lt;$M$2,N(对接源_02物料!$B161)&gt;$M$3),0,1))</f>
        <v>0</v>
      </c>
      <c r="N1361" s="1" t="n">
        <f aca="false">IF(OR($N$1="",对接源_02物料!$C161="",对接源_02物料!$C161&lt;&gt;$N$1,对接源_02物料!$B161=""),0,IF(OR(N(对接源_02物料!$B161)&lt;$N$2,N(对接源_02物料!$B161)&gt;$N$3),0,1))</f>
        <v>0</v>
      </c>
      <c r="P1361" s="1" t="n">
        <f aca="false">IF(AND($K1361=1,AND(对接源_02物料!$X161="公司筐",N(对接源_02物料!$T161)&lt;&gt;0)),1,0)</f>
        <v>0</v>
      </c>
      <c r="Q1361" s="1" t="n">
        <f aca="false">N(Q1360)+$P1361</f>
        <v>13</v>
      </c>
      <c r="R1361" s="1" t="n">
        <f aca="false">IF(AND($K1361=1,AND(对接源_02物料!$X161="公司筐",N(对接源_02物料!$U161)&lt;&gt;0)),1,0)</f>
        <v>0</v>
      </c>
      <c r="S1361" s="1" t="n">
        <f aca="false">N(S1360)+$R1361</f>
        <v>5</v>
      </c>
      <c r="T1361" s="1" t="n">
        <f aca="false">IF(AND($K1361=1,AND(对接源_02物料!$X161="公司筐",N(对接源_02物料!$V161)&lt;&gt;0)),1,0)</f>
        <v>0</v>
      </c>
      <c r="U1361" s="1" t="n">
        <f aca="false">N(U1360)+$T1361</f>
        <v>28</v>
      </c>
      <c r="V1361" s="1" t="n">
        <f aca="false">IF(AND($L1361=1,AND(对接源_02物料!$X161="自备筐",N(对接源_02物料!$V161)&lt;&gt;0)),1,0)</f>
        <v>0</v>
      </c>
      <c r="W1361" s="1" t="n">
        <f aca="false">N(W1360)+$V1361</f>
        <v>7</v>
      </c>
      <c r="X1361" s="1" t="n">
        <f aca="false">IF(AND($L1361=1,AND(对接源_02物料!$X161="自备筐",N(对接源_02物料!$T161)&lt;&gt;0)),1,0)</f>
        <v>0</v>
      </c>
      <c r="Y1361" s="1" t="n">
        <f aca="false">N(Y1360)+$X1361</f>
        <v>0</v>
      </c>
      <c r="Z1361" s="1" t="n">
        <f aca="false">IF(AND($M1361=1,对接源_02物料!$D161="原料入库"),1,0)</f>
        <v>0</v>
      </c>
      <c r="AA1361" s="1" t="n">
        <f aca="false">N(AA1360)+$Z1361</f>
        <v>30</v>
      </c>
      <c r="AB1361" s="1" t="n">
        <f aca="false">IF(AND($M1361=1,LEFT(对接源_02物料!$D161,4)="原料出库"),1,0)</f>
        <v>0</v>
      </c>
      <c r="AC1361" s="1" t="n">
        <f aca="false">N(AC1360)+$AB1361</f>
        <v>19</v>
      </c>
      <c r="AD1361" s="1" t="n">
        <f aca="false">IF(AND($M1361=1,LEFT(对接源_02物料!$D161,4)="成品出库"),1,0)</f>
        <v>0</v>
      </c>
      <c r="AE1361" s="1" t="n">
        <f aca="false">N(AE1360)+$AD1361</f>
        <v>38</v>
      </c>
      <c r="AF1361" s="1" t="n">
        <f aca="false">IF(AND($N1361=1,AND(LEFT(对接源_02物料!$D161,4)="包装物料",N(对接源_02物料!$K161)&lt;&gt;0)),1,0)</f>
        <v>0</v>
      </c>
      <c r="AG1361" s="1" t="n">
        <f aca="false">N(AG1360)+$AF1361</f>
        <v>6</v>
      </c>
      <c r="AH1361" s="1" t="n">
        <f aca="false">IF(AND($N1361=1,AND(LEFT(对接源_02物料!$D161,3)="周转筐",N(对接源_02物料!$K161)&lt;&gt;0)),1,0)</f>
        <v>0</v>
      </c>
      <c r="AI1361" s="1" t="n">
        <f aca="false">N(AI1360)+$AH1361</f>
        <v>0</v>
      </c>
      <c r="AJ1361" s="1" t="n">
        <v>0</v>
      </c>
      <c r="AK1361" s="1" t="n">
        <f aca="false">N(AK1360)+$AJ1361</f>
        <v>3672</v>
      </c>
    </row>
    <row r="1362" customFormat="false" ht="13.5" hidden="false" customHeight="false" outlineLevel="0" collapsed="false">
      <c r="A1362" s="1" t="str">
        <f aca="false">IF(对接源_02物料!$C162="","",对接源_02物料!$C162)</f>
        <v/>
      </c>
      <c r="B1362" s="1" t="n">
        <f aca="false">IF(A1362="",0,IF(MATCH(A1362,$A$4:$A$2403,0)=ROW()-3,1,0))</f>
        <v>0</v>
      </c>
      <c r="C1362" s="1" t="n">
        <f aca="false">N(C1361)+B1362</f>
        <v>17</v>
      </c>
      <c r="K1362" s="1" t="n">
        <f aca="false">IF(OR($K$1="",对接源_02物料!$C162="",对接源_02物料!$C162&lt;&gt;$K$1,对接源_02物料!$B162=""),0,IF(OR(N(对接源_02物料!$B162)&lt;$K$2,N(对接源_02物料!$B162)&gt;$K$3),0,1))</f>
        <v>0</v>
      </c>
      <c r="L1362" s="1" t="n">
        <f aca="false">IF(OR($L$1="",对接源_02物料!$C162="",对接源_02物料!$C162&lt;&gt;$L$1,对接源_02物料!$B162=""),0,IF(OR(N(对接源_02物料!$B162)&lt;$L$2,N(对接源_02物料!$B162)&gt;$L$3),0,1))</f>
        <v>0</v>
      </c>
      <c r="M1362" s="1" t="n">
        <f aca="false">IF(OR($M$1="",对接源_02物料!$C162="",对接源_02物料!$C162&lt;&gt;$M$1,对接源_02物料!$B162=""),0,IF(OR(N(对接源_02物料!$B162)&lt;$M$2,N(对接源_02物料!$B162)&gt;$M$3),0,1))</f>
        <v>0</v>
      </c>
      <c r="N1362" s="1" t="n">
        <f aca="false">IF(OR($N$1="",对接源_02物料!$C162="",对接源_02物料!$C162&lt;&gt;$N$1,对接源_02物料!$B162=""),0,IF(OR(N(对接源_02物料!$B162)&lt;$N$2,N(对接源_02物料!$B162)&gt;$N$3),0,1))</f>
        <v>0</v>
      </c>
      <c r="P1362" s="1" t="n">
        <f aca="false">IF(AND($K1362=1,AND(对接源_02物料!$X162="公司筐",N(对接源_02物料!$T162)&lt;&gt;0)),1,0)</f>
        <v>0</v>
      </c>
      <c r="Q1362" s="1" t="n">
        <f aca="false">N(Q1361)+$P1362</f>
        <v>13</v>
      </c>
      <c r="R1362" s="1" t="n">
        <f aca="false">IF(AND($K1362=1,AND(对接源_02物料!$X162="公司筐",N(对接源_02物料!$U162)&lt;&gt;0)),1,0)</f>
        <v>0</v>
      </c>
      <c r="S1362" s="1" t="n">
        <f aca="false">N(S1361)+$R1362</f>
        <v>5</v>
      </c>
      <c r="T1362" s="1" t="n">
        <f aca="false">IF(AND($K1362=1,AND(对接源_02物料!$X162="公司筐",N(对接源_02物料!$V162)&lt;&gt;0)),1,0)</f>
        <v>0</v>
      </c>
      <c r="U1362" s="1" t="n">
        <f aca="false">N(U1361)+$T1362</f>
        <v>28</v>
      </c>
      <c r="V1362" s="1" t="n">
        <f aca="false">IF(AND($L1362=1,AND(对接源_02物料!$X162="自备筐",N(对接源_02物料!$V162)&lt;&gt;0)),1,0)</f>
        <v>0</v>
      </c>
      <c r="W1362" s="1" t="n">
        <f aca="false">N(W1361)+$V1362</f>
        <v>7</v>
      </c>
      <c r="X1362" s="1" t="n">
        <f aca="false">IF(AND($L1362=1,AND(对接源_02物料!$X162="自备筐",N(对接源_02物料!$T162)&lt;&gt;0)),1,0)</f>
        <v>0</v>
      </c>
      <c r="Y1362" s="1" t="n">
        <f aca="false">N(Y1361)+$X1362</f>
        <v>0</v>
      </c>
      <c r="Z1362" s="1" t="n">
        <f aca="false">IF(AND($M1362=1,对接源_02物料!$D162="原料入库"),1,0)</f>
        <v>0</v>
      </c>
      <c r="AA1362" s="1" t="n">
        <f aca="false">N(AA1361)+$Z1362</f>
        <v>30</v>
      </c>
      <c r="AB1362" s="1" t="n">
        <f aca="false">IF(AND($M1362=1,LEFT(对接源_02物料!$D162,4)="原料出库"),1,0)</f>
        <v>0</v>
      </c>
      <c r="AC1362" s="1" t="n">
        <f aca="false">N(AC1361)+$AB1362</f>
        <v>19</v>
      </c>
      <c r="AD1362" s="1" t="n">
        <f aca="false">IF(AND($M1362=1,LEFT(对接源_02物料!$D162,4)="成品出库"),1,0)</f>
        <v>0</v>
      </c>
      <c r="AE1362" s="1" t="n">
        <f aca="false">N(AE1361)+$AD1362</f>
        <v>38</v>
      </c>
      <c r="AF1362" s="1" t="n">
        <f aca="false">IF(AND($N1362=1,AND(LEFT(对接源_02物料!$D162,4)="包装物料",N(对接源_02物料!$K162)&lt;&gt;0)),1,0)</f>
        <v>0</v>
      </c>
      <c r="AG1362" s="1" t="n">
        <f aca="false">N(AG1361)+$AF1362</f>
        <v>6</v>
      </c>
      <c r="AH1362" s="1" t="n">
        <f aca="false">IF(AND($N1362=1,AND(LEFT(对接源_02物料!$D162,3)="周转筐",N(对接源_02物料!$K162)&lt;&gt;0)),1,0)</f>
        <v>0</v>
      </c>
      <c r="AI1362" s="1" t="n">
        <f aca="false">N(AI1361)+$AH1362</f>
        <v>0</v>
      </c>
      <c r="AJ1362" s="1" t="n">
        <v>0</v>
      </c>
      <c r="AK1362" s="1" t="n">
        <f aca="false">N(AK1361)+$AJ1362</f>
        <v>3672</v>
      </c>
    </row>
    <row r="1363" customFormat="false" ht="13.5" hidden="false" customHeight="false" outlineLevel="0" collapsed="false">
      <c r="A1363" s="1" t="str">
        <f aca="false">IF(对接源_02物料!$C163="","",对接源_02物料!$C163)</f>
        <v/>
      </c>
      <c r="B1363" s="1" t="n">
        <f aca="false">IF(A1363="",0,IF(MATCH(A1363,$A$4:$A$2403,0)=ROW()-3,1,0))</f>
        <v>0</v>
      </c>
      <c r="C1363" s="1" t="n">
        <f aca="false">N(C1362)+B1363</f>
        <v>17</v>
      </c>
      <c r="K1363" s="1" t="n">
        <f aca="false">IF(OR($K$1="",对接源_02物料!$C163="",对接源_02物料!$C163&lt;&gt;$K$1,对接源_02物料!$B163=""),0,IF(OR(N(对接源_02物料!$B163)&lt;$K$2,N(对接源_02物料!$B163)&gt;$K$3),0,1))</f>
        <v>0</v>
      </c>
      <c r="L1363" s="1" t="n">
        <f aca="false">IF(OR($L$1="",对接源_02物料!$C163="",对接源_02物料!$C163&lt;&gt;$L$1,对接源_02物料!$B163=""),0,IF(OR(N(对接源_02物料!$B163)&lt;$L$2,N(对接源_02物料!$B163)&gt;$L$3),0,1))</f>
        <v>0</v>
      </c>
      <c r="M1363" s="1" t="n">
        <f aca="false">IF(OR($M$1="",对接源_02物料!$C163="",对接源_02物料!$C163&lt;&gt;$M$1,对接源_02物料!$B163=""),0,IF(OR(N(对接源_02物料!$B163)&lt;$M$2,N(对接源_02物料!$B163)&gt;$M$3),0,1))</f>
        <v>0</v>
      </c>
      <c r="N1363" s="1" t="n">
        <f aca="false">IF(OR($N$1="",对接源_02物料!$C163="",对接源_02物料!$C163&lt;&gt;$N$1,对接源_02物料!$B163=""),0,IF(OR(N(对接源_02物料!$B163)&lt;$N$2,N(对接源_02物料!$B163)&gt;$N$3),0,1))</f>
        <v>0</v>
      </c>
      <c r="P1363" s="1" t="n">
        <f aca="false">IF(AND($K1363=1,AND(对接源_02物料!$X163="公司筐",N(对接源_02物料!$T163)&lt;&gt;0)),1,0)</f>
        <v>0</v>
      </c>
      <c r="Q1363" s="1" t="n">
        <f aca="false">N(Q1362)+$P1363</f>
        <v>13</v>
      </c>
      <c r="R1363" s="1" t="n">
        <f aca="false">IF(AND($K1363=1,AND(对接源_02物料!$X163="公司筐",N(对接源_02物料!$U163)&lt;&gt;0)),1,0)</f>
        <v>0</v>
      </c>
      <c r="S1363" s="1" t="n">
        <f aca="false">N(S1362)+$R1363</f>
        <v>5</v>
      </c>
      <c r="T1363" s="1" t="n">
        <f aca="false">IF(AND($K1363=1,AND(对接源_02物料!$X163="公司筐",N(对接源_02物料!$V163)&lt;&gt;0)),1,0)</f>
        <v>0</v>
      </c>
      <c r="U1363" s="1" t="n">
        <f aca="false">N(U1362)+$T1363</f>
        <v>28</v>
      </c>
      <c r="V1363" s="1" t="n">
        <f aca="false">IF(AND($L1363=1,AND(对接源_02物料!$X163="自备筐",N(对接源_02物料!$V163)&lt;&gt;0)),1,0)</f>
        <v>0</v>
      </c>
      <c r="W1363" s="1" t="n">
        <f aca="false">N(W1362)+$V1363</f>
        <v>7</v>
      </c>
      <c r="X1363" s="1" t="n">
        <f aca="false">IF(AND($L1363=1,AND(对接源_02物料!$X163="自备筐",N(对接源_02物料!$T163)&lt;&gt;0)),1,0)</f>
        <v>0</v>
      </c>
      <c r="Y1363" s="1" t="n">
        <f aca="false">N(Y1362)+$X1363</f>
        <v>0</v>
      </c>
      <c r="Z1363" s="1" t="n">
        <f aca="false">IF(AND($M1363=1,对接源_02物料!$D163="原料入库"),1,0)</f>
        <v>0</v>
      </c>
      <c r="AA1363" s="1" t="n">
        <f aca="false">N(AA1362)+$Z1363</f>
        <v>30</v>
      </c>
      <c r="AB1363" s="1" t="n">
        <f aca="false">IF(AND($M1363=1,LEFT(对接源_02物料!$D163,4)="原料出库"),1,0)</f>
        <v>0</v>
      </c>
      <c r="AC1363" s="1" t="n">
        <f aca="false">N(AC1362)+$AB1363</f>
        <v>19</v>
      </c>
      <c r="AD1363" s="1" t="n">
        <f aca="false">IF(AND($M1363=1,LEFT(对接源_02物料!$D163,4)="成品出库"),1,0)</f>
        <v>0</v>
      </c>
      <c r="AE1363" s="1" t="n">
        <f aca="false">N(AE1362)+$AD1363</f>
        <v>38</v>
      </c>
      <c r="AF1363" s="1" t="n">
        <f aca="false">IF(AND($N1363=1,AND(LEFT(对接源_02物料!$D163,4)="包装物料",N(对接源_02物料!$K163)&lt;&gt;0)),1,0)</f>
        <v>0</v>
      </c>
      <c r="AG1363" s="1" t="n">
        <f aca="false">N(AG1362)+$AF1363</f>
        <v>6</v>
      </c>
      <c r="AH1363" s="1" t="n">
        <f aca="false">IF(AND($N1363=1,AND(LEFT(对接源_02物料!$D163,3)="周转筐",N(对接源_02物料!$K163)&lt;&gt;0)),1,0)</f>
        <v>0</v>
      </c>
      <c r="AI1363" s="1" t="n">
        <f aca="false">N(AI1362)+$AH1363</f>
        <v>0</v>
      </c>
      <c r="AJ1363" s="1" t="n">
        <v>0</v>
      </c>
      <c r="AK1363" s="1" t="n">
        <f aca="false">N(AK1362)+$AJ1363</f>
        <v>3672</v>
      </c>
    </row>
    <row r="1364" customFormat="false" ht="13.5" hidden="false" customHeight="false" outlineLevel="0" collapsed="false">
      <c r="A1364" s="1" t="str">
        <f aca="false">IF(对接源_02物料!$C164="","",对接源_02物料!$C164)</f>
        <v/>
      </c>
      <c r="B1364" s="1" t="n">
        <f aca="false">IF(A1364="",0,IF(MATCH(A1364,$A$4:$A$2403,0)=ROW()-3,1,0))</f>
        <v>0</v>
      </c>
      <c r="C1364" s="1" t="n">
        <f aca="false">N(C1363)+B1364</f>
        <v>17</v>
      </c>
      <c r="K1364" s="1" t="n">
        <f aca="false">IF(OR($K$1="",对接源_02物料!$C164="",对接源_02物料!$C164&lt;&gt;$K$1,对接源_02物料!$B164=""),0,IF(OR(N(对接源_02物料!$B164)&lt;$K$2,N(对接源_02物料!$B164)&gt;$K$3),0,1))</f>
        <v>0</v>
      </c>
      <c r="L1364" s="1" t="n">
        <f aca="false">IF(OR($L$1="",对接源_02物料!$C164="",对接源_02物料!$C164&lt;&gt;$L$1,对接源_02物料!$B164=""),0,IF(OR(N(对接源_02物料!$B164)&lt;$L$2,N(对接源_02物料!$B164)&gt;$L$3),0,1))</f>
        <v>0</v>
      </c>
      <c r="M1364" s="1" t="n">
        <f aca="false">IF(OR($M$1="",对接源_02物料!$C164="",对接源_02物料!$C164&lt;&gt;$M$1,对接源_02物料!$B164=""),0,IF(OR(N(对接源_02物料!$B164)&lt;$M$2,N(对接源_02物料!$B164)&gt;$M$3),0,1))</f>
        <v>0</v>
      </c>
      <c r="N1364" s="1" t="n">
        <f aca="false">IF(OR($N$1="",对接源_02物料!$C164="",对接源_02物料!$C164&lt;&gt;$N$1,对接源_02物料!$B164=""),0,IF(OR(N(对接源_02物料!$B164)&lt;$N$2,N(对接源_02物料!$B164)&gt;$N$3),0,1))</f>
        <v>0</v>
      </c>
      <c r="P1364" s="1" t="n">
        <f aca="false">IF(AND($K1364=1,AND(对接源_02物料!$X164="公司筐",N(对接源_02物料!$T164)&lt;&gt;0)),1,0)</f>
        <v>0</v>
      </c>
      <c r="Q1364" s="1" t="n">
        <f aca="false">N(Q1363)+$P1364</f>
        <v>13</v>
      </c>
      <c r="R1364" s="1" t="n">
        <f aca="false">IF(AND($K1364=1,AND(对接源_02物料!$X164="公司筐",N(对接源_02物料!$U164)&lt;&gt;0)),1,0)</f>
        <v>0</v>
      </c>
      <c r="S1364" s="1" t="n">
        <f aca="false">N(S1363)+$R1364</f>
        <v>5</v>
      </c>
      <c r="T1364" s="1" t="n">
        <f aca="false">IF(AND($K1364=1,AND(对接源_02物料!$X164="公司筐",N(对接源_02物料!$V164)&lt;&gt;0)),1,0)</f>
        <v>0</v>
      </c>
      <c r="U1364" s="1" t="n">
        <f aca="false">N(U1363)+$T1364</f>
        <v>28</v>
      </c>
      <c r="V1364" s="1" t="n">
        <f aca="false">IF(AND($L1364=1,AND(对接源_02物料!$X164="自备筐",N(对接源_02物料!$V164)&lt;&gt;0)),1,0)</f>
        <v>0</v>
      </c>
      <c r="W1364" s="1" t="n">
        <f aca="false">N(W1363)+$V1364</f>
        <v>7</v>
      </c>
      <c r="X1364" s="1" t="n">
        <f aca="false">IF(AND($L1364=1,AND(对接源_02物料!$X164="自备筐",N(对接源_02物料!$T164)&lt;&gt;0)),1,0)</f>
        <v>0</v>
      </c>
      <c r="Y1364" s="1" t="n">
        <f aca="false">N(Y1363)+$X1364</f>
        <v>0</v>
      </c>
      <c r="Z1364" s="1" t="n">
        <f aca="false">IF(AND($M1364=1,对接源_02物料!$D164="原料入库"),1,0)</f>
        <v>0</v>
      </c>
      <c r="AA1364" s="1" t="n">
        <f aca="false">N(AA1363)+$Z1364</f>
        <v>30</v>
      </c>
      <c r="AB1364" s="1" t="n">
        <f aca="false">IF(AND($M1364=1,LEFT(对接源_02物料!$D164,4)="原料出库"),1,0)</f>
        <v>0</v>
      </c>
      <c r="AC1364" s="1" t="n">
        <f aca="false">N(AC1363)+$AB1364</f>
        <v>19</v>
      </c>
      <c r="AD1364" s="1" t="n">
        <f aca="false">IF(AND($M1364=1,LEFT(对接源_02物料!$D164,4)="成品出库"),1,0)</f>
        <v>0</v>
      </c>
      <c r="AE1364" s="1" t="n">
        <f aca="false">N(AE1363)+$AD1364</f>
        <v>38</v>
      </c>
      <c r="AF1364" s="1" t="n">
        <f aca="false">IF(AND($N1364=1,AND(LEFT(对接源_02物料!$D164,4)="包装物料",N(对接源_02物料!$K164)&lt;&gt;0)),1,0)</f>
        <v>0</v>
      </c>
      <c r="AG1364" s="1" t="n">
        <f aca="false">N(AG1363)+$AF1364</f>
        <v>6</v>
      </c>
      <c r="AH1364" s="1" t="n">
        <f aca="false">IF(AND($N1364=1,AND(LEFT(对接源_02物料!$D164,3)="周转筐",N(对接源_02物料!$K164)&lt;&gt;0)),1,0)</f>
        <v>0</v>
      </c>
      <c r="AI1364" s="1" t="n">
        <f aca="false">N(AI1363)+$AH1364</f>
        <v>0</v>
      </c>
      <c r="AJ1364" s="1" t="n">
        <v>0</v>
      </c>
      <c r="AK1364" s="1" t="n">
        <f aca="false">N(AK1363)+$AJ1364</f>
        <v>3672</v>
      </c>
    </row>
    <row r="1365" customFormat="false" ht="13.5" hidden="false" customHeight="false" outlineLevel="0" collapsed="false">
      <c r="A1365" s="1" t="str">
        <f aca="false">IF(对接源_02物料!$C165="","",对接源_02物料!$C165)</f>
        <v/>
      </c>
      <c r="B1365" s="1" t="n">
        <f aca="false">IF(A1365="",0,IF(MATCH(A1365,$A$4:$A$2403,0)=ROW()-3,1,0))</f>
        <v>0</v>
      </c>
      <c r="C1365" s="1" t="n">
        <f aca="false">N(C1364)+B1365</f>
        <v>17</v>
      </c>
      <c r="K1365" s="1" t="n">
        <f aca="false">IF(OR($K$1="",对接源_02物料!$C165="",对接源_02物料!$C165&lt;&gt;$K$1,对接源_02物料!$B165=""),0,IF(OR(N(对接源_02物料!$B165)&lt;$K$2,N(对接源_02物料!$B165)&gt;$K$3),0,1))</f>
        <v>0</v>
      </c>
      <c r="L1365" s="1" t="n">
        <f aca="false">IF(OR($L$1="",对接源_02物料!$C165="",对接源_02物料!$C165&lt;&gt;$L$1,对接源_02物料!$B165=""),0,IF(OR(N(对接源_02物料!$B165)&lt;$L$2,N(对接源_02物料!$B165)&gt;$L$3),0,1))</f>
        <v>0</v>
      </c>
      <c r="M1365" s="1" t="n">
        <f aca="false">IF(OR($M$1="",对接源_02物料!$C165="",对接源_02物料!$C165&lt;&gt;$M$1,对接源_02物料!$B165=""),0,IF(OR(N(对接源_02物料!$B165)&lt;$M$2,N(对接源_02物料!$B165)&gt;$M$3),0,1))</f>
        <v>0</v>
      </c>
      <c r="N1365" s="1" t="n">
        <f aca="false">IF(OR($N$1="",对接源_02物料!$C165="",对接源_02物料!$C165&lt;&gt;$N$1,对接源_02物料!$B165=""),0,IF(OR(N(对接源_02物料!$B165)&lt;$N$2,N(对接源_02物料!$B165)&gt;$N$3),0,1))</f>
        <v>0</v>
      </c>
      <c r="P1365" s="1" t="n">
        <f aca="false">IF(AND($K1365=1,AND(对接源_02物料!$X165="公司筐",N(对接源_02物料!$T165)&lt;&gt;0)),1,0)</f>
        <v>0</v>
      </c>
      <c r="Q1365" s="1" t="n">
        <f aca="false">N(Q1364)+$P1365</f>
        <v>13</v>
      </c>
      <c r="R1365" s="1" t="n">
        <f aca="false">IF(AND($K1365=1,AND(对接源_02物料!$X165="公司筐",N(对接源_02物料!$U165)&lt;&gt;0)),1,0)</f>
        <v>0</v>
      </c>
      <c r="S1365" s="1" t="n">
        <f aca="false">N(S1364)+$R1365</f>
        <v>5</v>
      </c>
      <c r="T1365" s="1" t="n">
        <f aca="false">IF(AND($K1365=1,AND(对接源_02物料!$X165="公司筐",N(对接源_02物料!$V165)&lt;&gt;0)),1,0)</f>
        <v>0</v>
      </c>
      <c r="U1365" s="1" t="n">
        <f aca="false">N(U1364)+$T1365</f>
        <v>28</v>
      </c>
      <c r="V1365" s="1" t="n">
        <f aca="false">IF(AND($L1365=1,AND(对接源_02物料!$X165="自备筐",N(对接源_02物料!$V165)&lt;&gt;0)),1,0)</f>
        <v>0</v>
      </c>
      <c r="W1365" s="1" t="n">
        <f aca="false">N(W1364)+$V1365</f>
        <v>7</v>
      </c>
      <c r="X1365" s="1" t="n">
        <f aca="false">IF(AND($L1365=1,AND(对接源_02物料!$X165="自备筐",N(对接源_02物料!$T165)&lt;&gt;0)),1,0)</f>
        <v>0</v>
      </c>
      <c r="Y1365" s="1" t="n">
        <f aca="false">N(Y1364)+$X1365</f>
        <v>0</v>
      </c>
      <c r="Z1365" s="1" t="n">
        <f aca="false">IF(AND($M1365=1,对接源_02物料!$D165="原料入库"),1,0)</f>
        <v>0</v>
      </c>
      <c r="AA1365" s="1" t="n">
        <f aca="false">N(AA1364)+$Z1365</f>
        <v>30</v>
      </c>
      <c r="AB1365" s="1" t="n">
        <f aca="false">IF(AND($M1365=1,LEFT(对接源_02物料!$D165,4)="原料出库"),1,0)</f>
        <v>0</v>
      </c>
      <c r="AC1365" s="1" t="n">
        <f aca="false">N(AC1364)+$AB1365</f>
        <v>19</v>
      </c>
      <c r="AD1365" s="1" t="n">
        <f aca="false">IF(AND($M1365=1,LEFT(对接源_02物料!$D165,4)="成品出库"),1,0)</f>
        <v>0</v>
      </c>
      <c r="AE1365" s="1" t="n">
        <f aca="false">N(AE1364)+$AD1365</f>
        <v>38</v>
      </c>
      <c r="AF1365" s="1" t="n">
        <f aca="false">IF(AND($N1365=1,AND(LEFT(对接源_02物料!$D165,4)="包装物料",N(对接源_02物料!$K165)&lt;&gt;0)),1,0)</f>
        <v>0</v>
      </c>
      <c r="AG1365" s="1" t="n">
        <f aca="false">N(AG1364)+$AF1365</f>
        <v>6</v>
      </c>
      <c r="AH1365" s="1" t="n">
        <f aca="false">IF(AND($N1365=1,AND(LEFT(对接源_02物料!$D165,3)="周转筐",N(对接源_02物料!$K165)&lt;&gt;0)),1,0)</f>
        <v>0</v>
      </c>
      <c r="AI1365" s="1" t="n">
        <f aca="false">N(AI1364)+$AH1365</f>
        <v>0</v>
      </c>
      <c r="AJ1365" s="1" t="n">
        <v>0</v>
      </c>
      <c r="AK1365" s="1" t="n">
        <f aca="false">N(AK1364)+$AJ1365</f>
        <v>3672</v>
      </c>
    </row>
    <row r="1366" customFormat="false" ht="13.5" hidden="false" customHeight="false" outlineLevel="0" collapsed="false">
      <c r="A1366" s="1" t="str">
        <f aca="false">IF(对接源_02物料!$C166="","",对接源_02物料!$C166)</f>
        <v/>
      </c>
      <c r="B1366" s="1" t="n">
        <f aca="false">IF(A1366="",0,IF(MATCH(A1366,$A$4:$A$2403,0)=ROW()-3,1,0))</f>
        <v>0</v>
      </c>
      <c r="C1366" s="1" t="n">
        <f aca="false">N(C1365)+B1366</f>
        <v>17</v>
      </c>
      <c r="K1366" s="1" t="n">
        <f aca="false">IF(OR($K$1="",对接源_02物料!$C166="",对接源_02物料!$C166&lt;&gt;$K$1,对接源_02物料!$B166=""),0,IF(OR(N(对接源_02物料!$B166)&lt;$K$2,N(对接源_02物料!$B166)&gt;$K$3),0,1))</f>
        <v>0</v>
      </c>
      <c r="L1366" s="1" t="n">
        <f aca="false">IF(OR($L$1="",对接源_02物料!$C166="",对接源_02物料!$C166&lt;&gt;$L$1,对接源_02物料!$B166=""),0,IF(OR(N(对接源_02物料!$B166)&lt;$L$2,N(对接源_02物料!$B166)&gt;$L$3),0,1))</f>
        <v>0</v>
      </c>
      <c r="M1366" s="1" t="n">
        <f aca="false">IF(OR($M$1="",对接源_02物料!$C166="",对接源_02物料!$C166&lt;&gt;$M$1,对接源_02物料!$B166=""),0,IF(OR(N(对接源_02物料!$B166)&lt;$M$2,N(对接源_02物料!$B166)&gt;$M$3),0,1))</f>
        <v>0</v>
      </c>
      <c r="N1366" s="1" t="n">
        <f aca="false">IF(OR($N$1="",对接源_02物料!$C166="",对接源_02物料!$C166&lt;&gt;$N$1,对接源_02物料!$B166=""),0,IF(OR(N(对接源_02物料!$B166)&lt;$N$2,N(对接源_02物料!$B166)&gt;$N$3),0,1))</f>
        <v>0</v>
      </c>
      <c r="P1366" s="1" t="n">
        <f aca="false">IF(AND($K1366=1,AND(对接源_02物料!$X166="公司筐",N(对接源_02物料!$T166)&lt;&gt;0)),1,0)</f>
        <v>0</v>
      </c>
      <c r="Q1366" s="1" t="n">
        <f aca="false">N(Q1365)+$P1366</f>
        <v>13</v>
      </c>
      <c r="R1366" s="1" t="n">
        <f aca="false">IF(AND($K1366=1,AND(对接源_02物料!$X166="公司筐",N(对接源_02物料!$U166)&lt;&gt;0)),1,0)</f>
        <v>0</v>
      </c>
      <c r="S1366" s="1" t="n">
        <f aca="false">N(S1365)+$R1366</f>
        <v>5</v>
      </c>
      <c r="T1366" s="1" t="n">
        <f aca="false">IF(AND($K1366=1,AND(对接源_02物料!$X166="公司筐",N(对接源_02物料!$V166)&lt;&gt;0)),1,0)</f>
        <v>0</v>
      </c>
      <c r="U1366" s="1" t="n">
        <f aca="false">N(U1365)+$T1366</f>
        <v>28</v>
      </c>
      <c r="V1366" s="1" t="n">
        <f aca="false">IF(AND($L1366=1,AND(对接源_02物料!$X166="自备筐",N(对接源_02物料!$V166)&lt;&gt;0)),1,0)</f>
        <v>0</v>
      </c>
      <c r="W1366" s="1" t="n">
        <f aca="false">N(W1365)+$V1366</f>
        <v>7</v>
      </c>
      <c r="X1366" s="1" t="n">
        <f aca="false">IF(AND($L1366=1,AND(对接源_02物料!$X166="自备筐",N(对接源_02物料!$T166)&lt;&gt;0)),1,0)</f>
        <v>0</v>
      </c>
      <c r="Y1366" s="1" t="n">
        <f aca="false">N(Y1365)+$X1366</f>
        <v>0</v>
      </c>
      <c r="Z1366" s="1" t="n">
        <f aca="false">IF(AND($M1366=1,对接源_02物料!$D166="原料入库"),1,0)</f>
        <v>0</v>
      </c>
      <c r="AA1366" s="1" t="n">
        <f aca="false">N(AA1365)+$Z1366</f>
        <v>30</v>
      </c>
      <c r="AB1366" s="1" t="n">
        <f aca="false">IF(AND($M1366=1,LEFT(对接源_02物料!$D166,4)="原料出库"),1,0)</f>
        <v>0</v>
      </c>
      <c r="AC1366" s="1" t="n">
        <f aca="false">N(AC1365)+$AB1366</f>
        <v>19</v>
      </c>
      <c r="AD1366" s="1" t="n">
        <f aca="false">IF(AND($M1366=1,LEFT(对接源_02物料!$D166,4)="成品出库"),1,0)</f>
        <v>0</v>
      </c>
      <c r="AE1366" s="1" t="n">
        <f aca="false">N(AE1365)+$AD1366</f>
        <v>38</v>
      </c>
      <c r="AF1366" s="1" t="n">
        <f aca="false">IF(AND($N1366=1,AND(LEFT(对接源_02物料!$D166,4)="包装物料",N(对接源_02物料!$K166)&lt;&gt;0)),1,0)</f>
        <v>0</v>
      </c>
      <c r="AG1366" s="1" t="n">
        <f aca="false">N(AG1365)+$AF1366</f>
        <v>6</v>
      </c>
      <c r="AH1366" s="1" t="n">
        <f aca="false">IF(AND($N1366=1,AND(LEFT(对接源_02物料!$D166,3)="周转筐",N(对接源_02物料!$K166)&lt;&gt;0)),1,0)</f>
        <v>0</v>
      </c>
      <c r="AI1366" s="1" t="n">
        <f aca="false">N(AI1365)+$AH1366</f>
        <v>0</v>
      </c>
      <c r="AJ1366" s="1" t="n">
        <v>0</v>
      </c>
      <c r="AK1366" s="1" t="n">
        <f aca="false">N(AK1365)+$AJ1366</f>
        <v>3672</v>
      </c>
    </row>
    <row r="1367" customFormat="false" ht="13.5" hidden="false" customHeight="false" outlineLevel="0" collapsed="false">
      <c r="A1367" s="1" t="str">
        <f aca="false">IF(对接源_02物料!$C167="","",对接源_02物料!$C167)</f>
        <v/>
      </c>
      <c r="B1367" s="1" t="n">
        <f aca="false">IF(A1367="",0,IF(MATCH(A1367,$A$4:$A$2403,0)=ROW()-3,1,0))</f>
        <v>0</v>
      </c>
      <c r="C1367" s="1" t="n">
        <f aca="false">N(C1366)+B1367</f>
        <v>17</v>
      </c>
      <c r="K1367" s="1" t="n">
        <f aca="false">IF(OR($K$1="",对接源_02物料!$C167="",对接源_02物料!$C167&lt;&gt;$K$1,对接源_02物料!$B167=""),0,IF(OR(N(对接源_02物料!$B167)&lt;$K$2,N(对接源_02物料!$B167)&gt;$K$3),0,1))</f>
        <v>0</v>
      </c>
      <c r="L1367" s="1" t="n">
        <f aca="false">IF(OR($L$1="",对接源_02物料!$C167="",对接源_02物料!$C167&lt;&gt;$L$1,对接源_02物料!$B167=""),0,IF(OR(N(对接源_02物料!$B167)&lt;$L$2,N(对接源_02物料!$B167)&gt;$L$3),0,1))</f>
        <v>0</v>
      </c>
      <c r="M1367" s="1" t="n">
        <f aca="false">IF(OR($M$1="",对接源_02物料!$C167="",对接源_02物料!$C167&lt;&gt;$M$1,对接源_02物料!$B167=""),0,IF(OR(N(对接源_02物料!$B167)&lt;$M$2,N(对接源_02物料!$B167)&gt;$M$3),0,1))</f>
        <v>0</v>
      </c>
      <c r="N1367" s="1" t="n">
        <f aca="false">IF(OR($N$1="",对接源_02物料!$C167="",对接源_02物料!$C167&lt;&gt;$N$1,对接源_02物料!$B167=""),0,IF(OR(N(对接源_02物料!$B167)&lt;$N$2,N(对接源_02物料!$B167)&gt;$N$3),0,1))</f>
        <v>0</v>
      </c>
      <c r="P1367" s="1" t="n">
        <f aca="false">IF(AND($K1367=1,AND(对接源_02物料!$X167="公司筐",N(对接源_02物料!$T167)&lt;&gt;0)),1,0)</f>
        <v>0</v>
      </c>
      <c r="Q1367" s="1" t="n">
        <f aca="false">N(Q1366)+$P1367</f>
        <v>13</v>
      </c>
      <c r="R1367" s="1" t="n">
        <f aca="false">IF(AND($K1367=1,AND(对接源_02物料!$X167="公司筐",N(对接源_02物料!$U167)&lt;&gt;0)),1,0)</f>
        <v>0</v>
      </c>
      <c r="S1367" s="1" t="n">
        <f aca="false">N(S1366)+$R1367</f>
        <v>5</v>
      </c>
      <c r="T1367" s="1" t="n">
        <f aca="false">IF(AND($K1367=1,AND(对接源_02物料!$X167="公司筐",N(对接源_02物料!$V167)&lt;&gt;0)),1,0)</f>
        <v>0</v>
      </c>
      <c r="U1367" s="1" t="n">
        <f aca="false">N(U1366)+$T1367</f>
        <v>28</v>
      </c>
      <c r="V1367" s="1" t="n">
        <f aca="false">IF(AND($L1367=1,AND(对接源_02物料!$X167="自备筐",N(对接源_02物料!$V167)&lt;&gt;0)),1,0)</f>
        <v>0</v>
      </c>
      <c r="W1367" s="1" t="n">
        <f aca="false">N(W1366)+$V1367</f>
        <v>7</v>
      </c>
      <c r="X1367" s="1" t="n">
        <f aca="false">IF(AND($L1367=1,AND(对接源_02物料!$X167="自备筐",N(对接源_02物料!$T167)&lt;&gt;0)),1,0)</f>
        <v>0</v>
      </c>
      <c r="Y1367" s="1" t="n">
        <f aca="false">N(Y1366)+$X1367</f>
        <v>0</v>
      </c>
      <c r="Z1367" s="1" t="n">
        <f aca="false">IF(AND($M1367=1,对接源_02物料!$D167="原料入库"),1,0)</f>
        <v>0</v>
      </c>
      <c r="AA1367" s="1" t="n">
        <f aca="false">N(AA1366)+$Z1367</f>
        <v>30</v>
      </c>
      <c r="AB1367" s="1" t="n">
        <f aca="false">IF(AND($M1367=1,LEFT(对接源_02物料!$D167,4)="原料出库"),1,0)</f>
        <v>0</v>
      </c>
      <c r="AC1367" s="1" t="n">
        <f aca="false">N(AC1366)+$AB1367</f>
        <v>19</v>
      </c>
      <c r="AD1367" s="1" t="n">
        <f aca="false">IF(AND($M1367=1,LEFT(对接源_02物料!$D167,4)="成品出库"),1,0)</f>
        <v>0</v>
      </c>
      <c r="AE1367" s="1" t="n">
        <f aca="false">N(AE1366)+$AD1367</f>
        <v>38</v>
      </c>
      <c r="AF1367" s="1" t="n">
        <f aca="false">IF(AND($N1367=1,AND(LEFT(对接源_02物料!$D167,4)="包装物料",N(对接源_02物料!$K167)&lt;&gt;0)),1,0)</f>
        <v>0</v>
      </c>
      <c r="AG1367" s="1" t="n">
        <f aca="false">N(AG1366)+$AF1367</f>
        <v>6</v>
      </c>
      <c r="AH1367" s="1" t="n">
        <f aca="false">IF(AND($N1367=1,AND(LEFT(对接源_02物料!$D167,3)="周转筐",N(对接源_02物料!$K167)&lt;&gt;0)),1,0)</f>
        <v>0</v>
      </c>
      <c r="AI1367" s="1" t="n">
        <f aca="false">N(AI1366)+$AH1367</f>
        <v>0</v>
      </c>
      <c r="AJ1367" s="1" t="n">
        <v>0</v>
      </c>
      <c r="AK1367" s="1" t="n">
        <f aca="false">N(AK1366)+$AJ1367</f>
        <v>3672</v>
      </c>
    </row>
    <row r="1368" customFormat="false" ht="13.5" hidden="false" customHeight="false" outlineLevel="0" collapsed="false">
      <c r="A1368" s="1" t="str">
        <f aca="false">IF(对接源_02物料!$C168="","",对接源_02物料!$C168)</f>
        <v/>
      </c>
      <c r="B1368" s="1" t="n">
        <f aca="false">IF(A1368="",0,IF(MATCH(A1368,$A$4:$A$2403,0)=ROW()-3,1,0))</f>
        <v>0</v>
      </c>
      <c r="C1368" s="1" t="n">
        <f aca="false">N(C1367)+B1368</f>
        <v>17</v>
      </c>
      <c r="K1368" s="1" t="n">
        <f aca="false">IF(OR($K$1="",对接源_02物料!$C168="",对接源_02物料!$C168&lt;&gt;$K$1,对接源_02物料!$B168=""),0,IF(OR(N(对接源_02物料!$B168)&lt;$K$2,N(对接源_02物料!$B168)&gt;$K$3),0,1))</f>
        <v>0</v>
      </c>
      <c r="L1368" s="1" t="n">
        <f aca="false">IF(OR($L$1="",对接源_02物料!$C168="",对接源_02物料!$C168&lt;&gt;$L$1,对接源_02物料!$B168=""),0,IF(OR(N(对接源_02物料!$B168)&lt;$L$2,N(对接源_02物料!$B168)&gt;$L$3),0,1))</f>
        <v>0</v>
      </c>
      <c r="M1368" s="1" t="n">
        <f aca="false">IF(OR($M$1="",对接源_02物料!$C168="",对接源_02物料!$C168&lt;&gt;$M$1,对接源_02物料!$B168=""),0,IF(OR(N(对接源_02物料!$B168)&lt;$M$2,N(对接源_02物料!$B168)&gt;$M$3),0,1))</f>
        <v>0</v>
      </c>
      <c r="N1368" s="1" t="n">
        <f aca="false">IF(OR($N$1="",对接源_02物料!$C168="",对接源_02物料!$C168&lt;&gt;$N$1,对接源_02物料!$B168=""),0,IF(OR(N(对接源_02物料!$B168)&lt;$N$2,N(对接源_02物料!$B168)&gt;$N$3),0,1))</f>
        <v>0</v>
      </c>
      <c r="P1368" s="1" t="n">
        <f aca="false">IF(AND($K1368=1,AND(对接源_02物料!$X168="公司筐",N(对接源_02物料!$T168)&lt;&gt;0)),1,0)</f>
        <v>0</v>
      </c>
      <c r="Q1368" s="1" t="n">
        <f aca="false">N(Q1367)+$P1368</f>
        <v>13</v>
      </c>
      <c r="R1368" s="1" t="n">
        <f aca="false">IF(AND($K1368=1,AND(对接源_02物料!$X168="公司筐",N(对接源_02物料!$U168)&lt;&gt;0)),1,0)</f>
        <v>0</v>
      </c>
      <c r="S1368" s="1" t="n">
        <f aca="false">N(S1367)+$R1368</f>
        <v>5</v>
      </c>
      <c r="T1368" s="1" t="n">
        <f aca="false">IF(AND($K1368=1,AND(对接源_02物料!$X168="公司筐",N(对接源_02物料!$V168)&lt;&gt;0)),1,0)</f>
        <v>0</v>
      </c>
      <c r="U1368" s="1" t="n">
        <f aca="false">N(U1367)+$T1368</f>
        <v>28</v>
      </c>
      <c r="V1368" s="1" t="n">
        <f aca="false">IF(AND($L1368=1,AND(对接源_02物料!$X168="自备筐",N(对接源_02物料!$V168)&lt;&gt;0)),1,0)</f>
        <v>0</v>
      </c>
      <c r="W1368" s="1" t="n">
        <f aca="false">N(W1367)+$V1368</f>
        <v>7</v>
      </c>
      <c r="X1368" s="1" t="n">
        <f aca="false">IF(AND($L1368=1,AND(对接源_02物料!$X168="自备筐",N(对接源_02物料!$T168)&lt;&gt;0)),1,0)</f>
        <v>0</v>
      </c>
      <c r="Y1368" s="1" t="n">
        <f aca="false">N(Y1367)+$X1368</f>
        <v>0</v>
      </c>
      <c r="Z1368" s="1" t="n">
        <f aca="false">IF(AND($M1368=1,对接源_02物料!$D168="原料入库"),1,0)</f>
        <v>0</v>
      </c>
      <c r="AA1368" s="1" t="n">
        <f aca="false">N(AA1367)+$Z1368</f>
        <v>30</v>
      </c>
      <c r="AB1368" s="1" t="n">
        <f aca="false">IF(AND($M1368=1,LEFT(对接源_02物料!$D168,4)="原料出库"),1,0)</f>
        <v>0</v>
      </c>
      <c r="AC1368" s="1" t="n">
        <f aca="false">N(AC1367)+$AB1368</f>
        <v>19</v>
      </c>
      <c r="AD1368" s="1" t="n">
        <f aca="false">IF(AND($M1368=1,LEFT(对接源_02物料!$D168,4)="成品出库"),1,0)</f>
        <v>0</v>
      </c>
      <c r="AE1368" s="1" t="n">
        <f aca="false">N(AE1367)+$AD1368</f>
        <v>38</v>
      </c>
      <c r="AF1368" s="1" t="n">
        <f aca="false">IF(AND($N1368=1,AND(LEFT(对接源_02物料!$D168,4)="包装物料",N(对接源_02物料!$K168)&lt;&gt;0)),1,0)</f>
        <v>0</v>
      </c>
      <c r="AG1368" s="1" t="n">
        <f aca="false">N(AG1367)+$AF1368</f>
        <v>6</v>
      </c>
      <c r="AH1368" s="1" t="n">
        <f aca="false">IF(AND($N1368=1,AND(LEFT(对接源_02物料!$D168,3)="周转筐",N(对接源_02物料!$K168)&lt;&gt;0)),1,0)</f>
        <v>0</v>
      </c>
      <c r="AI1368" s="1" t="n">
        <f aca="false">N(AI1367)+$AH1368</f>
        <v>0</v>
      </c>
      <c r="AJ1368" s="1" t="n">
        <v>0</v>
      </c>
      <c r="AK1368" s="1" t="n">
        <f aca="false">N(AK1367)+$AJ1368</f>
        <v>3672</v>
      </c>
    </row>
    <row r="1369" customFormat="false" ht="13.5" hidden="false" customHeight="false" outlineLevel="0" collapsed="false">
      <c r="A1369" s="1" t="str">
        <f aca="false">IF(对接源_02物料!$C169="","",对接源_02物料!$C169)</f>
        <v/>
      </c>
      <c r="B1369" s="1" t="n">
        <f aca="false">IF(A1369="",0,IF(MATCH(A1369,$A$4:$A$2403,0)=ROW()-3,1,0))</f>
        <v>0</v>
      </c>
      <c r="C1369" s="1" t="n">
        <f aca="false">N(C1368)+B1369</f>
        <v>17</v>
      </c>
      <c r="K1369" s="1" t="n">
        <f aca="false">IF(OR($K$1="",对接源_02物料!$C169="",对接源_02物料!$C169&lt;&gt;$K$1,对接源_02物料!$B169=""),0,IF(OR(N(对接源_02物料!$B169)&lt;$K$2,N(对接源_02物料!$B169)&gt;$K$3),0,1))</f>
        <v>0</v>
      </c>
      <c r="L1369" s="1" t="n">
        <f aca="false">IF(OR($L$1="",对接源_02物料!$C169="",对接源_02物料!$C169&lt;&gt;$L$1,对接源_02物料!$B169=""),0,IF(OR(N(对接源_02物料!$B169)&lt;$L$2,N(对接源_02物料!$B169)&gt;$L$3),0,1))</f>
        <v>0</v>
      </c>
      <c r="M1369" s="1" t="n">
        <f aca="false">IF(OR($M$1="",对接源_02物料!$C169="",对接源_02物料!$C169&lt;&gt;$M$1,对接源_02物料!$B169=""),0,IF(OR(N(对接源_02物料!$B169)&lt;$M$2,N(对接源_02物料!$B169)&gt;$M$3),0,1))</f>
        <v>0</v>
      </c>
      <c r="N1369" s="1" t="n">
        <f aca="false">IF(OR($N$1="",对接源_02物料!$C169="",对接源_02物料!$C169&lt;&gt;$N$1,对接源_02物料!$B169=""),0,IF(OR(N(对接源_02物料!$B169)&lt;$N$2,N(对接源_02物料!$B169)&gt;$N$3),0,1))</f>
        <v>0</v>
      </c>
      <c r="P1369" s="1" t="n">
        <f aca="false">IF(AND($K1369=1,AND(对接源_02物料!$X169="公司筐",N(对接源_02物料!$T169)&lt;&gt;0)),1,0)</f>
        <v>0</v>
      </c>
      <c r="Q1369" s="1" t="n">
        <f aca="false">N(Q1368)+$P1369</f>
        <v>13</v>
      </c>
      <c r="R1369" s="1" t="n">
        <f aca="false">IF(AND($K1369=1,AND(对接源_02物料!$X169="公司筐",N(对接源_02物料!$U169)&lt;&gt;0)),1,0)</f>
        <v>0</v>
      </c>
      <c r="S1369" s="1" t="n">
        <f aca="false">N(S1368)+$R1369</f>
        <v>5</v>
      </c>
      <c r="T1369" s="1" t="n">
        <f aca="false">IF(AND($K1369=1,AND(对接源_02物料!$X169="公司筐",N(对接源_02物料!$V169)&lt;&gt;0)),1,0)</f>
        <v>0</v>
      </c>
      <c r="U1369" s="1" t="n">
        <f aca="false">N(U1368)+$T1369</f>
        <v>28</v>
      </c>
      <c r="V1369" s="1" t="n">
        <f aca="false">IF(AND($L1369=1,AND(对接源_02物料!$X169="自备筐",N(对接源_02物料!$V169)&lt;&gt;0)),1,0)</f>
        <v>0</v>
      </c>
      <c r="W1369" s="1" t="n">
        <f aca="false">N(W1368)+$V1369</f>
        <v>7</v>
      </c>
      <c r="X1369" s="1" t="n">
        <f aca="false">IF(AND($L1369=1,AND(对接源_02物料!$X169="自备筐",N(对接源_02物料!$T169)&lt;&gt;0)),1,0)</f>
        <v>0</v>
      </c>
      <c r="Y1369" s="1" t="n">
        <f aca="false">N(Y1368)+$X1369</f>
        <v>0</v>
      </c>
      <c r="Z1369" s="1" t="n">
        <f aca="false">IF(AND($M1369=1,对接源_02物料!$D169="原料入库"),1,0)</f>
        <v>0</v>
      </c>
      <c r="AA1369" s="1" t="n">
        <f aca="false">N(AA1368)+$Z1369</f>
        <v>30</v>
      </c>
      <c r="AB1369" s="1" t="n">
        <f aca="false">IF(AND($M1369=1,LEFT(对接源_02物料!$D169,4)="原料出库"),1,0)</f>
        <v>0</v>
      </c>
      <c r="AC1369" s="1" t="n">
        <f aca="false">N(AC1368)+$AB1369</f>
        <v>19</v>
      </c>
      <c r="AD1369" s="1" t="n">
        <f aca="false">IF(AND($M1369=1,LEFT(对接源_02物料!$D169,4)="成品出库"),1,0)</f>
        <v>0</v>
      </c>
      <c r="AE1369" s="1" t="n">
        <f aca="false">N(AE1368)+$AD1369</f>
        <v>38</v>
      </c>
      <c r="AF1369" s="1" t="n">
        <f aca="false">IF(AND($N1369=1,AND(LEFT(对接源_02物料!$D169,4)="包装物料",N(对接源_02物料!$K169)&lt;&gt;0)),1,0)</f>
        <v>0</v>
      </c>
      <c r="AG1369" s="1" t="n">
        <f aca="false">N(AG1368)+$AF1369</f>
        <v>6</v>
      </c>
      <c r="AH1369" s="1" t="n">
        <f aca="false">IF(AND($N1369=1,AND(LEFT(对接源_02物料!$D169,3)="周转筐",N(对接源_02物料!$K169)&lt;&gt;0)),1,0)</f>
        <v>0</v>
      </c>
      <c r="AI1369" s="1" t="n">
        <f aca="false">N(AI1368)+$AH1369</f>
        <v>0</v>
      </c>
      <c r="AJ1369" s="1" t="n">
        <v>0</v>
      </c>
      <c r="AK1369" s="1" t="n">
        <f aca="false">N(AK1368)+$AJ1369</f>
        <v>3672</v>
      </c>
    </row>
    <row r="1370" customFormat="false" ht="13.5" hidden="false" customHeight="false" outlineLevel="0" collapsed="false">
      <c r="A1370" s="1" t="str">
        <f aca="false">IF(对接源_02物料!$C170="","",对接源_02物料!$C170)</f>
        <v/>
      </c>
      <c r="B1370" s="1" t="n">
        <f aca="false">IF(A1370="",0,IF(MATCH(A1370,$A$4:$A$2403,0)=ROW()-3,1,0))</f>
        <v>0</v>
      </c>
      <c r="C1370" s="1" t="n">
        <f aca="false">N(C1369)+B1370</f>
        <v>17</v>
      </c>
      <c r="K1370" s="1" t="n">
        <f aca="false">IF(OR($K$1="",对接源_02物料!$C170="",对接源_02物料!$C170&lt;&gt;$K$1,对接源_02物料!$B170=""),0,IF(OR(N(对接源_02物料!$B170)&lt;$K$2,N(对接源_02物料!$B170)&gt;$K$3),0,1))</f>
        <v>0</v>
      </c>
      <c r="L1370" s="1" t="n">
        <f aca="false">IF(OR($L$1="",对接源_02物料!$C170="",对接源_02物料!$C170&lt;&gt;$L$1,对接源_02物料!$B170=""),0,IF(OR(N(对接源_02物料!$B170)&lt;$L$2,N(对接源_02物料!$B170)&gt;$L$3),0,1))</f>
        <v>0</v>
      </c>
      <c r="M1370" s="1" t="n">
        <f aca="false">IF(OR($M$1="",对接源_02物料!$C170="",对接源_02物料!$C170&lt;&gt;$M$1,对接源_02物料!$B170=""),0,IF(OR(N(对接源_02物料!$B170)&lt;$M$2,N(对接源_02物料!$B170)&gt;$M$3),0,1))</f>
        <v>0</v>
      </c>
      <c r="N1370" s="1" t="n">
        <f aca="false">IF(OR($N$1="",对接源_02物料!$C170="",对接源_02物料!$C170&lt;&gt;$N$1,对接源_02物料!$B170=""),0,IF(OR(N(对接源_02物料!$B170)&lt;$N$2,N(对接源_02物料!$B170)&gt;$N$3),0,1))</f>
        <v>0</v>
      </c>
      <c r="P1370" s="1" t="n">
        <f aca="false">IF(AND($K1370=1,AND(对接源_02物料!$X170="公司筐",N(对接源_02物料!$T170)&lt;&gt;0)),1,0)</f>
        <v>0</v>
      </c>
      <c r="Q1370" s="1" t="n">
        <f aca="false">N(Q1369)+$P1370</f>
        <v>13</v>
      </c>
      <c r="R1370" s="1" t="n">
        <f aca="false">IF(AND($K1370=1,AND(对接源_02物料!$X170="公司筐",N(对接源_02物料!$U170)&lt;&gt;0)),1,0)</f>
        <v>0</v>
      </c>
      <c r="S1370" s="1" t="n">
        <f aca="false">N(S1369)+$R1370</f>
        <v>5</v>
      </c>
      <c r="T1370" s="1" t="n">
        <f aca="false">IF(AND($K1370=1,AND(对接源_02物料!$X170="公司筐",N(对接源_02物料!$V170)&lt;&gt;0)),1,0)</f>
        <v>0</v>
      </c>
      <c r="U1370" s="1" t="n">
        <f aca="false">N(U1369)+$T1370</f>
        <v>28</v>
      </c>
      <c r="V1370" s="1" t="n">
        <f aca="false">IF(AND($L1370=1,AND(对接源_02物料!$X170="自备筐",N(对接源_02物料!$V170)&lt;&gt;0)),1,0)</f>
        <v>0</v>
      </c>
      <c r="W1370" s="1" t="n">
        <f aca="false">N(W1369)+$V1370</f>
        <v>7</v>
      </c>
      <c r="X1370" s="1" t="n">
        <f aca="false">IF(AND($L1370=1,AND(对接源_02物料!$X170="自备筐",N(对接源_02物料!$T170)&lt;&gt;0)),1,0)</f>
        <v>0</v>
      </c>
      <c r="Y1370" s="1" t="n">
        <f aca="false">N(Y1369)+$X1370</f>
        <v>0</v>
      </c>
      <c r="Z1370" s="1" t="n">
        <f aca="false">IF(AND($M1370=1,对接源_02物料!$D170="原料入库"),1,0)</f>
        <v>0</v>
      </c>
      <c r="AA1370" s="1" t="n">
        <f aca="false">N(AA1369)+$Z1370</f>
        <v>30</v>
      </c>
      <c r="AB1370" s="1" t="n">
        <f aca="false">IF(AND($M1370=1,LEFT(对接源_02物料!$D170,4)="原料出库"),1,0)</f>
        <v>0</v>
      </c>
      <c r="AC1370" s="1" t="n">
        <f aca="false">N(AC1369)+$AB1370</f>
        <v>19</v>
      </c>
      <c r="AD1370" s="1" t="n">
        <f aca="false">IF(AND($M1370=1,LEFT(对接源_02物料!$D170,4)="成品出库"),1,0)</f>
        <v>0</v>
      </c>
      <c r="AE1370" s="1" t="n">
        <f aca="false">N(AE1369)+$AD1370</f>
        <v>38</v>
      </c>
      <c r="AF1370" s="1" t="n">
        <f aca="false">IF(AND($N1370=1,AND(LEFT(对接源_02物料!$D170,4)="包装物料",N(对接源_02物料!$K170)&lt;&gt;0)),1,0)</f>
        <v>0</v>
      </c>
      <c r="AG1370" s="1" t="n">
        <f aca="false">N(AG1369)+$AF1370</f>
        <v>6</v>
      </c>
      <c r="AH1370" s="1" t="n">
        <f aca="false">IF(AND($N1370=1,AND(LEFT(对接源_02物料!$D170,3)="周转筐",N(对接源_02物料!$K170)&lt;&gt;0)),1,0)</f>
        <v>0</v>
      </c>
      <c r="AI1370" s="1" t="n">
        <f aca="false">N(AI1369)+$AH1370</f>
        <v>0</v>
      </c>
      <c r="AJ1370" s="1" t="n">
        <v>0</v>
      </c>
      <c r="AK1370" s="1" t="n">
        <f aca="false">N(AK1369)+$AJ1370</f>
        <v>3672</v>
      </c>
    </row>
    <row r="1371" customFormat="false" ht="13.5" hidden="false" customHeight="false" outlineLevel="0" collapsed="false">
      <c r="A1371" s="1" t="str">
        <f aca="false">IF(对接源_02物料!$C171="","",对接源_02物料!$C171)</f>
        <v/>
      </c>
      <c r="B1371" s="1" t="n">
        <f aca="false">IF(A1371="",0,IF(MATCH(A1371,$A$4:$A$2403,0)=ROW()-3,1,0))</f>
        <v>0</v>
      </c>
      <c r="C1371" s="1" t="n">
        <f aca="false">N(C1370)+B1371</f>
        <v>17</v>
      </c>
      <c r="K1371" s="1" t="n">
        <f aca="false">IF(OR($K$1="",对接源_02物料!$C171="",对接源_02物料!$C171&lt;&gt;$K$1,对接源_02物料!$B171=""),0,IF(OR(N(对接源_02物料!$B171)&lt;$K$2,N(对接源_02物料!$B171)&gt;$K$3),0,1))</f>
        <v>0</v>
      </c>
      <c r="L1371" s="1" t="n">
        <f aca="false">IF(OR($L$1="",对接源_02物料!$C171="",对接源_02物料!$C171&lt;&gt;$L$1,对接源_02物料!$B171=""),0,IF(OR(N(对接源_02物料!$B171)&lt;$L$2,N(对接源_02物料!$B171)&gt;$L$3),0,1))</f>
        <v>0</v>
      </c>
      <c r="M1371" s="1" t="n">
        <f aca="false">IF(OR($M$1="",对接源_02物料!$C171="",对接源_02物料!$C171&lt;&gt;$M$1,对接源_02物料!$B171=""),0,IF(OR(N(对接源_02物料!$B171)&lt;$M$2,N(对接源_02物料!$B171)&gt;$M$3),0,1))</f>
        <v>0</v>
      </c>
      <c r="N1371" s="1" t="n">
        <f aca="false">IF(OR($N$1="",对接源_02物料!$C171="",对接源_02物料!$C171&lt;&gt;$N$1,对接源_02物料!$B171=""),0,IF(OR(N(对接源_02物料!$B171)&lt;$N$2,N(对接源_02物料!$B171)&gt;$N$3),0,1))</f>
        <v>0</v>
      </c>
      <c r="P1371" s="1" t="n">
        <f aca="false">IF(AND($K1371=1,AND(对接源_02物料!$X171="公司筐",N(对接源_02物料!$T171)&lt;&gt;0)),1,0)</f>
        <v>0</v>
      </c>
      <c r="Q1371" s="1" t="n">
        <f aca="false">N(Q1370)+$P1371</f>
        <v>13</v>
      </c>
      <c r="R1371" s="1" t="n">
        <f aca="false">IF(AND($K1371=1,AND(对接源_02物料!$X171="公司筐",N(对接源_02物料!$U171)&lt;&gt;0)),1,0)</f>
        <v>0</v>
      </c>
      <c r="S1371" s="1" t="n">
        <f aca="false">N(S1370)+$R1371</f>
        <v>5</v>
      </c>
      <c r="T1371" s="1" t="n">
        <f aca="false">IF(AND($K1371=1,AND(对接源_02物料!$X171="公司筐",N(对接源_02物料!$V171)&lt;&gt;0)),1,0)</f>
        <v>0</v>
      </c>
      <c r="U1371" s="1" t="n">
        <f aca="false">N(U1370)+$T1371</f>
        <v>28</v>
      </c>
      <c r="V1371" s="1" t="n">
        <f aca="false">IF(AND($L1371=1,AND(对接源_02物料!$X171="自备筐",N(对接源_02物料!$V171)&lt;&gt;0)),1,0)</f>
        <v>0</v>
      </c>
      <c r="W1371" s="1" t="n">
        <f aca="false">N(W1370)+$V1371</f>
        <v>7</v>
      </c>
      <c r="X1371" s="1" t="n">
        <f aca="false">IF(AND($L1371=1,AND(对接源_02物料!$X171="自备筐",N(对接源_02物料!$T171)&lt;&gt;0)),1,0)</f>
        <v>0</v>
      </c>
      <c r="Y1371" s="1" t="n">
        <f aca="false">N(Y1370)+$X1371</f>
        <v>0</v>
      </c>
      <c r="Z1371" s="1" t="n">
        <f aca="false">IF(AND($M1371=1,对接源_02物料!$D171="原料入库"),1,0)</f>
        <v>0</v>
      </c>
      <c r="AA1371" s="1" t="n">
        <f aca="false">N(AA1370)+$Z1371</f>
        <v>30</v>
      </c>
      <c r="AB1371" s="1" t="n">
        <f aca="false">IF(AND($M1371=1,LEFT(对接源_02物料!$D171,4)="原料出库"),1,0)</f>
        <v>0</v>
      </c>
      <c r="AC1371" s="1" t="n">
        <f aca="false">N(AC1370)+$AB1371</f>
        <v>19</v>
      </c>
      <c r="AD1371" s="1" t="n">
        <f aca="false">IF(AND($M1371=1,LEFT(对接源_02物料!$D171,4)="成品出库"),1,0)</f>
        <v>0</v>
      </c>
      <c r="AE1371" s="1" t="n">
        <f aca="false">N(AE1370)+$AD1371</f>
        <v>38</v>
      </c>
      <c r="AF1371" s="1" t="n">
        <f aca="false">IF(AND($N1371=1,AND(LEFT(对接源_02物料!$D171,4)="包装物料",N(对接源_02物料!$K171)&lt;&gt;0)),1,0)</f>
        <v>0</v>
      </c>
      <c r="AG1371" s="1" t="n">
        <f aca="false">N(AG1370)+$AF1371</f>
        <v>6</v>
      </c>
      <c r="AH1371" s="1" t="n">
        <f aca="false">IF(AND($N1371=1,AND(LEFT(对接源_02物料!$D171,3)="周转筐",N(对接源_02物料!$K171)&lt;&gt;0)),1,0)</f>
        <v>0</v>
      </c>
      <c r="AI1371" s="1" t="n">
        <f aca="false">N(AI1370)+$AH1371</f>
        <v>0</v>
      </c>
      <c r="AJ1371" s="1" t="n">
        <v>0</v>
      </c>
      <c r="AK1371" s="1" t="n">
        <f aca="false">N(AK1370)+$AJ1371</f>
        <v>3672</v>
      </c>
    </row>
    <row r="1372" customFormat="false" ht="13.5" hidden="false" customHeight="false" outlineLevel="0" collapsed="false">
      <c r="A1372" s="1" t="str">
        <f aca="false">IF(对接源_02物料!$C172="","",对接源_02物料!$C172)</f>
        <v/>
      </c>
      <c r="B1372" s="1" t="n">
        <f aca="false">IF(A1372="",0,IF(MATCH(A1372,$A$4:$A$2403,0)=ROW()-3,1,0))</f>
        <v>0</v>
      </c>
      <c r="C1372" s="1" t="n">
        <f aca="false">N(C1371)+B1372</f>
        <v>17</v>
      </c>
      <c r="K1372" s="1" t="n">
        <f aca="false">IF(OR($K$1="",对接源_02物料!$C172="",对接源_02物料!$C172&lt;&gt;$K$1,对接源_02物料!$B172=""),0,IF(OR(N(对接源_02物料!$B172)&lt;$K$2,N(对接源_02物料!$B172)&gt;$K$3),0,1))</f>
        <v>0</v>
      </c>
      <c r="L1372" s="1" t="n">
        <f aca="false">IF(OR($L$1="",对接源_02物料!$C172="",对接源_02物料!$C172&lt;&gt;$L$1,对接源_02物料!$B172=""),0,IF(OR(N(对接源_02物料!$B172)&lt;$L$2,N(对接源_02物料!$B172)&gt;$L$3),0,1))</f>
        <v>0</v>
      </c>
      <c r="M1372" s="1" t="n">
        <f aca="false">IF(OR($M$1="",对接源_02物料!$C172="",对接源_02物料!$C172&lt;&gt;$M$1,对接源_02物料!$B172=""),0,IF(OR(N(对接源_02物料!$B172)&lt;$M$2,N(对接源_02物料!$B172)&gt;$M$3),0,1))</f>
        <v>0</v>
      </c>
      <c r="N1372" s="1" t="n">
        <f aca="false">IF(OR($N$1="",对接源_02物料!$C172="",对接源_02物料!$C172&lt;&gt;$N$1,对接源_02物料!$B172=""),0,IF(OR(N(对接源_02物料!$B172)&lt;$N$2,N(对接源_02物料!$B172)&gt;$N$3),0,1))</f>
        <v>0</v>
      </c>
      <c r="P1372" s="1" t="n">
        <f aca="false">IF(AND($K1372=1,AND(对接源_02物料!$X172="公司筐",N(对接源_02物料!$T172)&lt;&gt;0)),1,0)</f>
        <v>0</v>
      </c>
      <c r="Q1372" s="1" t="n">
        <f aca="false">N(Q1371)+$P1372</f>
        <v>13</v>
      </c>
      <c r="R1372" s="1" t="n">
        <f aca="false">IF(AND($K1372=1,AND(对接源_02物料!$X172="公司筐",N(对接源_02物料!$U172)&lt;&gt;0)),1,0)</f>
        <v>0</v>
      </c>
      <c r="S1372" s="1" t="n">
        <f aca="false">N(S1371)+$R1372</f>
        <v>5</v>
      </c>
      <c r="T1372" s="1" t="n">
        <f aca="false">IF(AND($K1372=1,AND(对接源_02物料!$X172="公司筐",N(对接源_02物料!$V172)&lt;&gt;0)),1,0)</f>
        <v>0</v>
      </c>
      <c r="U1372" s="1" t="n">
        <f aca="false">N(U1371)+$T1372</f>
        <v>28</v>
      </c>
      <c r="V1372" s="1" t="n">
        <f aca="false">IF(AND($L1372=1,AND(对接源_02物料!$X172="自备筐",N(对接源_02物料!$V172)&lt;&gt;0)),1,0)</f>
        <v>0</v>
      </c>
      <c r="W1372" s="1" t="n">
        <f aca="false">N(W1371)+$V1372</f>
        <v>7</v>
      </c>
      <c r="X1372" s="1" t="n">
        <f aca="false">IF(AND($L1372=1,AND(对接源_02物料!$X172="自备筐",N(对接源_02物料!$T172)&lt;&gt;0)),1,0)</f>
        <v>0</v>
      </c>
      <c r="Y1372" s="1" t="n">
        <f aca="false">N(Y1371)+$X1372</f>
        <v>0</v>
      </c>
      <c r="Z1372" s="1" t="n">
        <f aca="false">IF(AND($M1372=1,对接源_02物料!$D172="原料入库"),1,0)</f>
        <v>0</v>
      </c>
      <c r="AA1372" s="1" t="n">
        <f aca="false">N(AA1371)+$Z1372</f>
        <v>30</v>
      </c>
      <c r="AB1372" s="1" t="n">
        <f aca="false">IF(AND($M1372=1,LEFT(对接源_02物料!$D172,4)="原料出库"),1,0)</f>
        <v>0</v>
      </c>
      <c r="AC1372" s="1" t="n">
        <f aca="false">N(AC1371)+$AB1372</f>
        <v>19</v>
      </c>
      <c r="AD1372" s="1" t="n">
        <f aca="false">IF(AND($M1372=1,LEFT(对接源_02物料!$D172,4)="成品出库"),1,0)</f>
        <v>0</v>
      </c>
      <c r="AE1372" s="1" t="n">
        <f aca="false">N(AE1371)+$AD1372</f>
        <v>38</v>
      </c>
      <c r="AF1372" s="1" t="n">
        <f aca="false">IF(AND($N1372=1,AND(LEFT(对接源_02物料!$D172,4)="包装物料",N(对接源_02物料!$K172)&lt;&gt;0)),1,0)</f>
        <v>0</v>
      </c>
      <c r="AG1372" s="1" t="n">
        <f aca="false">N(AG1371)+$AF1372</f>
        <v>6</v>
      </c>
      <c r="AH1372" s="1" t="n">
        <f aca="false">IF(AND($N1372=1,AND(LEFT(对接源_02物料!$D172,3)="周转筐",N(对接源_02物料!$K172)&lt;&gt;0)),1,0)</f>
        <v>0</v>
      </c>
      <c r="AI1372" s="1" t="n">
        <f aca="false">N(AI1371)+$AH1372</f>
        <v>0</v>
      </c>
      <c r="AJ1372" s="1" t="n">
        <v>0</v>
      </c>
      <c r="AK1372" s="1" t="n">
        <f aca="false">N(AK1371)+$AJ1372</f>
        <v>3672</v>
      </c>
    </row>
    <row r="1373" customFormat="false" ht="13.5" hidden="false" customHeight="false" outlineLevel="0" collapsed="false">
      <c r="A1373" s="1" t="str">
        <f aca="false">IF(对接源_02物料!$C173="","",对接源_02物料!$C173)</f>
        <v/>
      </c>
      <c r="B1373" s="1" t="n">
        <f aca="false">IF(A1373="",0,IF(MATCH(A1373,$A$4:$A$2403,0)=ROW()-3,1,0))</f>
        <v>0</v>
      </c>
      <c r="C1373" s="1" t="n">
        <f aca="false">N(C1372)+B1373</f>
        <v>17</v>
      </c>
      <c r="K1373" s="1" t="n">
        <f aca="false">IF(OR($K$1="",对接源_02物料!$C173="",对接源_02物料!$C173&lt;&gt;$K$1,对接源_02物料!$B173=""),0,IF(OR(N(对接源_02物料!$B173)&lt;$K$2,N(对接源_02物料!$B173)&gt;$K$3),0,1))</f>
        <v>0</v>
      </c>
      <c r="L1373" s="1" t="n">
        <f aca="false">IF(OR($L$1="",对接源_02物料!$C173="",对接源_02物料!$C173&lt;&gt;$L$1,对接源_02物料!$B173=""),0,IF(OR(N(对接源_02物料!$B173)&lt;$L$2,N(对接源_02物料!$B173)&gt;$L$3),0,1))</f>
        <v>0</v>
      </c>
      <c r="M1373" s="1" t="n">
        <f aca="false">IF(OR($M$1="",对接源_02物料!$C173="",对接源_02物料!$C173&lt;&gt;$M$1,对接源_02物料!$B173=""),0,IF(OR(N(对接源_02物料!$B173)&lt;$M$2,N(对接源_02物料!$B173)&gt;$M$3),0,1))</f>
        <v>0</v>
      </c>
      <c r="N1373" s="1" t="n">
        <f aca="false">IF(OR($N$1="",对接源_02物料!$C173="",对接源_02物料!$C173&lt;&gt;$N$1,对接源_02物料!$B173=""),0,IF(OR(N(对接源_02物料!$B173)&lt;$N$2,N(对接源_02物料!$B173)&gt;$N$3),0,1))</f>
        <v>0</v>
      </c>
      <c r="P1373" s="1" t="n">
        <f aca="false">IF(AND($K1373=1,AND(对接源_02物料!$X173="公司筐",N(对接源_02物料!$T173)&lt;&gt;0)),1,0)</f>
        <v>0</v>
      </c>
      <c r="Q1373" s="1" t="n">
        <f aca="false">N(Q1372)+$P1373</f>
        <v>13</v>
      </c>
      <c r="R1373" s="1" t="n">
        <f aca="false">IF(AND($K1373=1,AND(对接源_02物料!$X173="公司筐",N(对接源_02物料!$U173)&lt;&gt;0)),1,0)</f>
        <v>0</v>
      </c>
      <c r="S1373" s="1" t="n">
        <f aca="false">N(S1372)+$R1373</f>
        <v>5</v>
      </c>
      <c r="T1373" s="1" t="n">
        <f aca="false">IF(AND($K1373=1,AND(对接源_02物料!$X173="公司筐",N(对接源_02物料!$V173)&lt;&gt;0)),1,0)</f>
        <v>0</v>
      </c>
      <c r="U1373" s="1" t="n">
        <f aca="false">N(U1372)+$T1373</f>
        <v>28</v>
      </c>
      <c r="V1373" s="1" t="n">
        <f aca="false">IF(AND($L1373=1,AND(对接源_02物料!$X173="自备筐",N(对接源_02物料!$V173)&lt;&gt;0)),1,0)</f>
        <v>0</v>
      </c>
      <c r="W1373" s="1" t="n">
        <f aca="false">N(W1372)+$V1373</f>
        <v>7</v>
      </c>
      <c r="X1373" s="1" t="n">
        <f aca="false">IF(AND($L1373=1,AND(对接源_02物料!$X173="自备筐",N(对接源_02物料!$T173)&lt;&gt;0)),1,0)</f>
        <v>0</v>
      </c>
      <c r="Y1373" s="1" t="n">
        <f aca="false">N(Y1372)+$X1373</f>
        <v>0</v>
      </c>
      <c r="Z1373" s="1" t="n">
        <f aca="false">IF(AND($M1373=1,对接源_02物料!$D173="原料入库"),1,0)</f>
        <v>0</v>
      </c>
      <c r="AA1373" s="1" t="n">
        <f aca="false">N(AA1372)+$Z1373</f>
        <v>30</v>
      </c>
      <c r="AB1373" s="1" t="n">
        <f aca="false">IF(AND($M1373=1,LEFT(对接源_02物料!$D173,4)="原料出库"),1,0)</f>
        <v>0</v>
      </c>
      <c r="AC1373" s="1" t="n">
        <f aca="false">N(AC1372)+$AB1373</f>
        <v>19</v>
      </c>
      <c r="AD1373" s="1" t="n">
        <f aca="false">IF(AND($M1373=1,LEFT(对接源_02物料!$D173,4)="成品出库"),1,0)</f>
        <v>0</v>
      </c>
      <c r="AE1373" s="1" t="n">
        <f aca="false">N(AE1372)+$AD1373</f>
        <v>38</v>
      </c>
      <c r="AF1373" s="1" t="n">
        <f aca="false">IF(AND($N1373=1,AND(LEFT(对接源_02物料!$D173,4)="包装物料",N(对接源_02物料!$K173)&lt;&gt;0)),1,0)</f>
        <v>0</v>
      </c>
      <c r="AG1373" s="1" t="n">
        <f aca="false">N(AG1372)+$AF1373</f>
        <v>6</v>
      </c>
      <c r="AH1373" s="1" t="n">
        <f aca="false">IF(AND($N1373=1,AND(LEFT(对接源_02物料!$D173,3)="周转筐",N(对接源_02物料!$K173)&lt;&gt;0)),1,0)</f>
        <v>0</v>
      </c>
      <c r="AI1373" s="1" t="n">
        <f aca="false">N(AI1372)+$AH1373</f>
        <v>0</v>
      </c>
      <c r="AJ1373" s="1" t="n">
        <v>0</v>
      </c>
      <c r="AK1373" s="1" t="n">
        <f aca="false">N(AK1372)+$AJ1373</f>
        <v>3672</v>
      </c>
    </row>
    <row r="1374" customFormat="false" ht="13.5" hidden="false" customHeight="false" outlineLevel="0" collapsed="false">
      <c r="A1374" s="1" t="str">
        <f aca="false">IF(对接源_02物料!$C174="","",对接源_02物料!$C174)</f>
        <v/>
      </c>
      <c r="B1374" s="1" t="n">
        <f aca="false">IF(A1374="",0,IF(MATCH(A1374,$A$4:$A$2403,0)=ROW()-3,1,0))</f>
        <v>0</v>
      </c>
      <c r="C1374" s="1" t="n">
        <f aca="false">N(C1373)+B1374</f>
        <v>17</v>
      </c>
      <c r="K1374" s="1" t="n">
        <f aca="false">IF(OR($K$1="",对接源_02物料!$C174="",对接源_02物料!$C174&lt;&gt;$K$1,对接源_02物料!$B174=""),0,IF(OR(N(对接源_02物料!$B174)&lt;$K$2,N(对接源_02物料!$B174)&gt;$K$3),0,1))</f>
        <v>0</v>
      </c>
      <c r="L1374" s="1" t="n">
        <f aca="false">IF(OR($L$1="",对接源_02物料!$C174="",对接源_02物料!$C174&lt;&gt;$L$1,对接源_02物料!$B174=""),0,IF(OR(N(对接源_02物料!$B174)&lt;$L$2,N(对接源_02物料!$B174)&gt;$L$3),0,1))</f>
        <v>0</v>
      </c>
      <c r="M1374" s="1" t="n">
        <f aca="false">IF(OR($M$1="",对接源_02物料!$C174="",对接源_02物料!$C174&lt;&gt;$M$1,对接源_02物料!$B174=""),0,IF(OR(N(对接源_02物料!$B174)&lt;$M$2,N(对接源_02物料!$B174)&gt;$M$3),0,1))</f>
        <v>0</v>
      </c>
      <c r="N1374" s="1" t="n">
        <f aca="false">IF(OR($N$1="",对接源_02物料!$C174="",对接源_02物料!$C174&lt;&gt;$N$1,对接源_02物料!$B174=""),0,IF(OR(N(对接源_02物料!$B174)&lt;$N$2,N(对接源_02物料!$B174)&gt;$N$3),0,1))</f>
        <v>0</v>
      </c>
      <c r="P1374" s="1" t="n">
        <f aca="false">IF(AND($K1374=1,AND(对接源_02物料!$X174="公司筐",N(对接源_02物料!$T174)&lt;&gt;0)),1,0)</f>
        <v>0</v>
      </c>
      <c r="Q1374" s="1" t="n">
        <f aca="false">N(Q1373)+$P1374</f>
        <v>13</v>
      </c>
      <c r="R1374" s="1" t="n">
        <f aca="false">IF(AND($K1374=1,AND(对接源_02物料!$X174="公司筐",N(对接源_02物料!$U174)&lt;&gt;0)),1,0)</f>
        <v>0</v>
      </c>
      <c r="S1374" s="1" t="n">
        <f aca="false">N(S1373)+$R1374</f>
        <v>5</v>
      </c>
      <c r="T1374" s="1" t="n">
        <f aca="false">IF(AND($K1374=1,AND(对接源_02物料!$X174="公司筐",N(对接源_02物料!$V174)&lt;&gt;0)),1,0)</f>
        <v>0</v>
      </c>
      <c r="U1374" s="1" t="n">
        <f aca="false">N(U1373)+$T1374</f>
        <v>28</v>
      </c>
      <c r="V1374" s="1" t="n">
        <f aca="false">IF(AND($L1374=1,AND(对接源_02物料!$X174="自备筐",N(对接源_02物料!$V174)&lt;&gt;0)),1,0)</f>
        <v>0</v>
      </c>
      <c r="W1374" s="1" t="n">
        <f aca="false">N(W1373)+$V1374</f>
        <v>7</v>
      </c>
      <c r="X1374" s="1" t="n">
        <f aca="false">IF(AND($L1374=1,AND(对接源_02物料!$X174="自备筐",N(对接源_02物料!$T174)&lt;&gt;0)),1,0)</f>
        <v>0</v>
      </c>
      <c r="Y1374" s="1" t="n">
        <f aca="false">N(Y1373)+$X1374</f>
        <v>0</v>
      </c>
      <c r="Z1374" s="1" t="n">
        <f aca="false">IF(AND($M1374=1,对接源_02物料!$D174="原料入库"),1,0)</f>
        <v>0</v>
      </c>
      <c r="AA1374" s="1" t="n">
        <f aca="false">N(AA1373)+$Z1374</f>
        <v>30</v>
      </c>
      <c r="AB1374" s="1" t="n">
        <f aca="false">IF(AND($M1374=1,LEFT(对接源_02物料!$D174,4)="原料出库"),1,0)</f>
        <v>0</v>
      </c>
      <c r="AC1374" s="1" t="n">
        <f aca="false">N(AC1373)+$AB1374</f>
        <v>19</v>
      </c>
      <c r="AD1374" s="1" t="n">
        <f aca="false">IF(AND($M1374=1,LEFT(对接源_02物料!$D174,4)="成品出库"),1,0)</f>
        <v>0</v>
      </c>
      <c r="AE1374" s="1" t="n">
        <f aca="false">N(AE1373)+$AD1374</f>
        <v>38</v>
      </c>
      <c r="AF1374" s="1" t="n">
        <f aca="false">IF(AND($N1374=1,AND(LEFT(对接源_02物料!$D174,4)="包装物料",N(对接源_02物料!$K174)&lt;&gt;0)),1,0)</f>
        <v>0</v>
      </c>
      <c r="AG1374" s="1" t="n">
        <f aca="false">N(AG1373)+$AF1374</f>
        <v>6</v>
      </c>
      <c r="AH1374" s="1" t="n">
        <f aca="false">IF(AND($N1374=1,AND(LEFT(对接源_02物料!$D174,3)="周转筐",N(对接源_02物料!$K174)&lt;&gt;0)),1,0)</f>
        <v>0</v>
      </c>
      <c r="AI1374" s="1" t="n">
        <f aca="false">N(AI1373)+$AH1374</f>
        <v>0</v>
      </c>
      <c r="AJ1374" s="1" t="n">
        <v>0</v>
      </c>
      <c r="AK1374" s="1" t="n">
        <f aca="false">N(AK1373)+$AJ1374</f>
        <v>3672</v>
      </c>
    </row>
    <row r="1375" customFormat="false" ht="13.5" hidden="false" customHeight="false" outlineLevel="0" collapsed="false">
      <c r="A1375" s="1" t="str">
        <f aca="false">IF(对接源_02物料!$C175="","",对接源_02物料!$C175)</f>
        <v/>
      </c>
      <c r="B1375" s="1" t="n">
        <f aca="false">IF(A1375="",0,IF(MATCH(A1375,$A$4:$A$2403,0)=ROW()-3,1,0))</f>
        <v>0</v>
      </c>
      <c r="C1375" s="1" t="n">
        <f aca="false">N(C1374)+B1375</f>
        <v>17</v>
      </c>
      <c r="K1375" s="1" t="n">
        <f aca="false">IF(OR($K$1="",对接源_02物料!$C175="",对接源_02物料!$C175&lt;&gt;$K$1,对接源_02物料!$B175=""),0,IF(OR(N(对接源_02物料!$B175)&lt;$K$2,N(对接源_02物料!$B175)&gt;$K$3),0,1))</f>
        <v>0</v>
      </c>
      <c r="L1375" s="1" t="n">
        <f aca="false">IF(OR($L$1="",对接源_02物料!$C175="",对接源_02物料!$C175&lt;&gt;$L$1,对接源_02物料!$B175=""),0,IF(OR(N(对接源_02物料!$B175)&lt;$L$2,N(对接源_02物料!$B175)&gt;$L$3),0,1))</f>
        <v>0</v>
      </c>
      <c r="M1375" s="1" t="n">
        <f aca="false">IF(OR($M$1="",对接源_02物料!$C175="",对接源_02物料!$C175&lt;&gt;$M$1,对接源_02物料!$B175=""),0,IF(OR(N(对接源_02物料!$B175)&lt;$M$2,N(对接源_02物料!$B175)&gt;$M$3),0,1))</f>
        <v>0</v>
      </c>
      <c r="N1375" s="1" t="n">
        <f aca="false">IF(OR($N$1="",对接源_02物料!$C175="",对接源_02物料!$C175&lt;&gt;$N$1,对接源_02物料!$B175=""),0,IF(OR(N(对接源_02物料!$B175)&lt;$N$2,N(对接源_02物料!$B175)&gt;$N$3),0,1))</f>
        <v>0</v>
      </c>
      <c r="P1375" s="1" t="n">
        <f aca="false">IF(AND($K1375=1,AND(对接源_02物料!$X175="公司筐",N(对接源_02物料!$T175)&lt;&gt;0)),1,0)</f>
        <v>0</v>
      </c>
      <c r="Q1375" s="1" t="n">
        <f aca="false">N(Q1374)+$P1375</f>
        <v>13</v>
      </c>
      <c r="R1375" s="1" t="n">
        <f aca="false">IF(AND($K1375=1,AND(对接源_02物料!$X175="公司筐",N(对接源_02物料!$U175)&lt;&gt;0)),1,0)</f>
        <v>0</v>
      </c>
      <c r="S1375" s="1" t="n">
        <f aca="false">N(S1374)+$R1375</f>
        <v>5</v>
      </c>
      <c r="T1375" s="1" t="n">
        <f aca="false">IF(AND($K1375=1,AND(对接源_02物料!$X175="公司筐",N(对接源_02物料!$V175)&lt;&gt;0)),1,0)</f>
        <v>0</v>
      </c>
      <c r="U1375" s="1" t="n">
        <f aca="false">N(U1374)+$T1375</f>
        <v>28</v>
      </c>
      <c r="V1375" s="1" t="n">
        <f aca="false">IF(AND($L1375=1,AND(对接源_02物料!$X175="自备筐",N(对接源_02物料!$V175)&lt;&gt;0)),1,0)</f>
        <v>0</v>
      </c>
      <c r="W1375" s="1" t="n">
        <f aca="false">N(W1374)+$V1375</f>
        <v>7</v>
      </c>
      <c r="X1375" s="1" t="n">
        <f aca="false">IF(AND($L1375=1,AND(对接源_02物料!$X175="自备筐",N(对接源_02物料!$T175)&lt;&gt;0)),1,0)</f>
        <v>0</v>
      </c>
      <c r="Y1375" s="1" t="n">
        <f aca="false">N(Y1374)+$X1375</f>
        <v>0</v>
      </c>
      <c r="Z1375" s="1" t="n">
        <f aca="false">IF(AND($M1375=1,对接源_02物料!$D175="原料入库"),1,0)</f>
        <v>0</v>
      </c>
      <c r="AA1375" s="1" t="n">
        <f aca="false">N(AA1374)+$Z1375</f>
        <v>30</v>
      </c>
      <c r="AB1375" s="1" t="n">
        <f aca="false">IF(AND($M1375=1,LEFT(对接源_02物料!$D175,4)="原料出库"),1,0)</f>
        <v>0</v>
      </c>
      <c r="AC1375" s="1" t="n">
        <f aca="false">N(AC1374)+$AB1375</f>
        <v>19</v>
      </c>
      <c r="AD1375" s="1" t="n">
        <f aca="false">IF(AND($M1375=1,LEFT(对接源_02物料!$D175,4)="成品出库"),1,0)</f>
        <v>0</v>
      </c>
      <c r="AE1375" s="1" t="n">
        <f aca="false">N(AE1374)+$AD1375</f>
        <v>38</v>
      </c>
      <c r="AF1375" s="1" t="n">
        <f aca="false">IF(AND($N1375=1,AND(LEFT(对接源_02物料!$D175,4)="包装物料",N(对接源_02物料!$K175)&lt;&gt;0)),1,0)</f>
        <v>0</v>
      </c>
      <c r="AG1375" s="1" t="n">
        <f aca="false">N(AG1374)+$AF1375</f>
        <v>6</v>
      </c>
      <c r="AH1375" s="1" t="n">
        <f aca="false">IF(AND($N1375=1,AND(LEFT(对接源_02物料!$D175,3)="周转筐",N(对接源_02物料!$K175)&lt;&gt;0)),1,0)</f>
        <v>0</v>
      </c>
      <c r="AI1375" s="1" t="n">
        <f aca="false">N(AI1374)+$AH1375</f>
        <v>0</v>
      </c>
      <c r="AJ1375" s="1" t="n">
        <v>0</v>
      </c>
      <c r="AK1375" s="1" t="n">
        <f aca="false">N(AK1374)+$AJ1375</f>
        <v>3672</v>
      </c>
    </row>
    <row r="1376" customFormat="false" ht="13.5" hidden="false" customHeight="false" outlineLevel="0" collapsed="false">
      <c r="A1376" s="1" t="str">
        <f aca="false">IF(对接源_02物料!$C176="","",对接源_02物料!$C176)</f>
        <v/>
      </c>
      <c r="B1376" s="1" t="n">
        <f aca="false">IF(A1376="",0,IF(MATCH(A1376,$A$4:$A$2403,0)=ROW()-3,1,0))</f>
        <v>0</v>
      </c>
      <c r="C1376" s="1" t="n">
        <f aca="false">N(C1375)+B1376</f>
        <v>17</v>
      </c>
      <c r="K1376" s="1" t="n">
        <f aca="false">IF(OR($K$1="",对接源_02物料!$C176="",对接源_02物料!$C176&lt;&gt;$K$1,对接源_02物料!$B176=""),0,IF(OR(N(对接源_02物料!$B176)&lt;$K$2,N(对接源_02物料!$B176)&gt;$K$3),0,1))</f>
        <v>0</v>
      </c>
      <c r="L1376" s="1" t="n">
        <f aca="false">IF(OR($L$1="",对接源_02物料!$C176="",对接源_02物料!$C176&lt;&gt;$L$1,对接源_02物料!$B176=""),0,IF(OR(N(对接源_02物料!$B176)&lt;$L$2,N(对接源_02物料!$B176)&gt;$L$3),0,1))</f>
        <v>0</v>
      </c>
      <c r="M1376" s="1" t="n">
        <f aca="false">IF(OR($M$1="",对接源_02物料!$C176="",对接源_02物料!$C176&lt;&gt;$M$1,对接源_02物料!$B176=""),0,IF(OR(N(对接源_02物料!$B176)&lt;$M$2,N(对接源_02物料!$B176)&gt;$M$3),0,1))</f>
        <v>0</v>
      </c>
      <c r="N1376" s="1" t="n">
        <f aca="false">IF(OR($N$1="",对接源_02物料!$C176="",对接源_02物料!$C176&lt;&gt;$N$1,对接源_02物料!$B176=""),0,IF(OR(N(对接源_02物料!$B176)&lt;$N$2,N(对接源_02物料!$B176)&gt;$N$3),0,1))</f>
        <v>0</v>
      </c>
      <c r="P1376" s="1" t="n">
        <f aca="false">IF(AND($K1376=1,AND(对接源_02物料!$X176="公司筐",N(对接源_02物料!$T176)&lt;&gt;0)),1,0)</f>
        <v>0</v>
      </c>
      <c r="Q1376" s="1" t="n">
        <f aca="false">N(Q1375)+$P1376</f>
        <v>13</v>
      </c>
      <c r="R1376" s="1" t="n">
        <f aca="false">IF(AND($K1376=1,AND(对接源_02物料!$X176="公司筐",N(对接源_02物料!$U176)&lt;&gt;0)),1,0)</f>
        <v>0</v>
      </c>
      <c r="S1376" s="1" t="n">
        <f aca="false">N(S1375)+$R1376</f>
        <v>5</v>
      </c>
      <c r="T1376" s="1" t="n">
        <f aca="false">IF(AND($K1376=1,AND(对接源_02物料!$X176="公司筐",N(对接源_02物料!$V176)&lt;&gt;0)),1,0)</f>
        <v>0</v>
      </c>
      <c r="U1376" s="1" t="n">
        <f aca="false">N(U1375)+$T1376</f>
        <v>28</v>
      </c>
      <c r="V1376" s="1" t="n">
        <f aca="false">IF(AND($L1376=1,AND(对接源_02物料!$X176="自备筐",N(对接源_02物料!$V176)&lt;&gt;0)),1,0)</f>
        <v>0</v>
      </c>
      <c r="W1376" s="1" t="n">
        <f aca="false">N(W1375)+$V1376</f>
        <v>7</v>
      </c>
      <c r="X1376" s="1" t="n">
        <f aca="false">IF(AND($L1376=1,AND(对接源_02物料!$X176="自备筐",N(对接源_02物料!$T176)&lt;&gt;0)),1,0)</f>
        <v>0</v>
      </c>
      <c r="Y1376" s="1" t="n">
        <f aca="false">N(Y1375)+$X1376</f>
        <v>0</v>
      </c>
      <c r="Z1376" s="1" t="n">
        <f aca="false">IF(AND($M1376=1,对接源_02物料!$D176="原料入库"),1,0)</f>
        <v>0</v>
      </c>
      <c r="AA1376" s="1" t="n">
        <f aca="false">N(AA1375)+$Z1376</f>
        <v>30</v>
      </c>
      <c r="AB1376" s="1" t="n">
        <f aca="false">IF(AND($M1376=1,LEFT(对接源_02物料!$D176,4)="原料出库"),1,0)</f>
        <v>0</v>
      </c>
      <c r="AC1376" s="1" t="n">
        <f aca="false">N(AC1375)+$AB1376</f>
        <v>19</v>
      </c>
      <c r="AD1376" s="1" t="n">
        <f aca="false">IF(AND($M1376=1,LEFT(对接源_02物料!$D176,4)="成品出库"),1,0)</f>
        <v>0</v>
      </c>
      <c r="AE1376" s="1" t="n">
        <f aca="false">N(AE1375)+$AD1376</f>
        <v>38</v>
      </c>
      <c r="AF1376" s="1" t="n">
        <f aca="false">IF(AND($N1376=1,AND(LEFT(对接源_02物料!$D176,4)="包装物料",N(对接源_02物料!$K176)&lt;&gt;0)),1,0)</f>
        <v>0</v>
      </c>
      <c r="AG1376" s="1" t="n">
        <f aca="false">N(AG1375)+$AF1376</f>
        <v>6</v>
      </c>
      <c r="AH1376" s="1" t="n">
        <f aca="false">IF(AND($N1376=1,AND(LEFT(对接源_02物料!$D176,3)="周转筐",N(对接源_02物料!$K176)&lt;&gt;0)),1,0)</f>
        <v>0</v>
      </c>
      <c r="AI1376" s="1" t="n">
        <f aca="false">N(AI1375)+$AH1376</f>
        <v>0</v>
      </c>
      <c r="AJ1376" s="1" t="n">
        <v>0</v>
      </c>
      <c r="AK1376" s="1" t="n">
        <f aca="false">N(AK1375)+$AJ1376</f>
        <v>3672</v>
      </c>
    </row>
    <row r="1377" customFormat="false" ht="13.5" hidden="false" customHeight="false" outlineLevel="0" collapsed="false">
      <c r="A1377" s="1" t="str">
        <f aca="false">IF(对接源_02物料!$C177="","",对接源_02物料!$C177)</f>
        <v/>
      </c>
      <c r="B1377" s="1" t="n">
        <f aca="false">IF(A1377="",0,IF(MATCH(A1377,$A$4:$A$2403,0)=ROW()-3,1,0))</f>
        <v>0</v>
      </c>
      <c r="C1377" s="1" t="n">
        <f aca="false">N(C1376)+B1377</f>
        <v>17</v>
      </c>
      <c r="K1377" s="1" t="n">
        <f aca="false">IF(OR($K$1="",对接源_02物料!$C177="",对接源_02物料!$C177&lt;&gt;$K$1,对接源_02物料!$B177=""),0,IF(OR(N(对接源_02物料!$B177)&lt;$K$2,N(对接源_02物料!$B177)&gt;$K$3),0,1))</f>
        <v>0</v>
      </c>
      <c r="L1377" s="1" t="n">
        <f aca="false">IF(OR($L$1="",对接源_02物料!$C177="",对接源_02物料!$C177&lt;&gt;$L$1,对接源_02物料!$B177=""),0,IF(OR(N(对接源_02物料!$B177)&lt;$L$2,N(对接源_02物料!$B177)&gt;$L$3),0,1))</f>
        <v>0</v>
      </c>
      <c r="M1377" s="1" t="n">
        <f aca="false">IF(OR($M$1="",对接源_02物料!$C177="",对接源_02物料!$C177&lt;&gt;$M$1,对接源_02物料!$B177=""),0,IF(OR(N(对接源_02物料!$B177)&lt;$M$2,N(对接源_02物料!$B177)&gt;$M$3),0,1))</f>
        <v>0</v>
      </c>
      <c r="N1377" s="1" t="n">
        <f aca="false">IF(OR($N$1="",对接源_02物料!$C177="",对接源_02物料!$C177&lt;&gt;$N$1,对接源_02物料!$B177=""),0,IF(OR(N(对接源_02物料!$B177)&lt;$N$2,N(对接源_02物料!$B177)&gt;$N$3),0,1))</f>
        <v>0</v>
      </c>
      <c r="P1377" s="1" t="n">
        <f aca="false">IF(AND($K1377=1,AND(对接源_02物料!$X177="公司筐",N(对接源_02物料!$T177)&lt;&gt;0)),1,0)</f>
        <v>0</v>
      </c>
      <c r="Q1377" s="1" t="n">
        <f aca="false">N(Q1376)+$P1377</f>
        <v>13</v>
      </c>
      <c r="R1377" s="1" t="n">
        <f aca="false">IF(AND($K1377=1,AND(对接源_02物料!$X177="公司筐",N(对接源_02物料!$U177)&lt;&gt;0)),1,0)</f>
        <v>0</v>
      </c>
      <c r="S1377" s="1" t="n">
        <f aca="false">N(S1376)+$R1377</f>
        <v>5</v>
      </c>
      <c r="T1377" s="1" t="n">
        <f aca="false">IF(AND($K1377=1,AND(对接源_02物料!$X177="公司筐",N(对接源_02物料!$V177)&lt;&gt;0)),1,0)</f>
        <v>0</v>
      </c>
      <c r="U1377" s="1" t="n">
        <f aca="false">N(U1376)+$T1377</f>
        <v>28</v>
      </c>
      <c r="V1377" s="1" t="n">
        <f aca="false">IF(AND($L1377=1,AND(对接源_02物料!$X177="自备筐",N(对接源_02物料!$V177)&lt;&gt;0)),1,0)</f>
        <v>0</v>
      </c>
      <c r="W1377" s="1" t="n">
        <f aca="false">N(W1376)+$V1377</f>
        <v>7</v>
      </c>
      <c r="X1377" s="1" t="n">
        <f aca="false">IF(AND($L1377=1,AND(对接源_02物料!$X177="自备筐",N(对接源_02物料!$T177)&lt;&gt;0)),1,0)</f>
        <v>0</v>
      </c>
      <c r="Y1377" s="1" t="n">
        <f aca="false">N(Y1376)+$X1377</f>
        <v>0</v>
      </c>
      <c r="Z1377" s="1" t="n">
        <f aca="false">IF(AND($M1377=1,对接源_02物料!$D177="原料入库"),1,0)</f>
        <v>0</v>
      </c>
      <c r="AA1377" s="1" t="n">
        <f aca="false">N(AA1376)+$Z1377</f>
        <v>30</v>
      </c>
      <c r="AB1377" s="1" t="n">
        <f aca="false">IF(AND($M1377=1,LEFT(对接源_02物料!$D177,4)="原料出库"),1,0)</f>
        <v>0</v>
      </c>
      <c r="AC1377" s="1" t="n">
        <f aca="false">N(AC1376)+$AB1377</f>
        <v>19</v>
      </c>
      <c r="AD1377" s="1" t="n">
        <f aca="false">IF(AND($M1377=1,LEFT(对接源_02物料!$D177,4)="成品出库"),1,0)</f>
        <v>0</v>
      </c>
      <c r="AE1377" s="1" t="n">
        <f aca="false">N(AE1376)+$AD1377</f>
        <v>38</v>
      </c>
      <c r="AF1377" s="1" t="n">
        <f aca="false">IF(AND($N1377=1,AND(LEFT(对接源_02物料!$D177,4)="包装物料",N(对接源_02物料!$K177)&lt;&gt;0)),1,0)</f>
        <v>0</v>
      </c>
      <c r="AG1377" s="1" t="n">
        <f aca="false">N(AG1376)+$AF1377</f>
        <v>6</v>
      </c>
      <c r="AH1377" s="1" t="n">
        <f aca="false">IF(AND($N1377=1,AND(LEFT(对接源_02物料!$D177,3)="周转筐",N(对接源_02物料!$K177)&lt;&gt;0)),1,0)</f>
        <v>0</v>
      </c>
      <c r="AI1377" s="1" t="n">
        <f aca="false">N(AI1376)+$AH1377</f>
        <v>0</v>
      </c>
      <c r="AJ1377" s="1" t="n">
        <v>0</v>
      </c>
      <c r="AK1377" s="1" t="n">
        <f aca="false">N(AK1376)+$AJ1377</f>
        <v>3672</v>
      </c>
    </row>
    <row r="1378" customFormat="false" ht="13.5" hidden="false" customHeight="false" outlineLevel="0" collapsed="false">
      <c r="A1378" s="1" t="str">
        <f aca="false">IF(对接源_02物料!$C178="","",对接源_02物料!$C178)</f>
        <v/>
      </c>
      <c r="B1378" s="1" t="n">
        <f aca="false">IF(A1378="",0,IF(MATCH(A1378,$A$4:$A$2403,0)=ROW()-3,1,0))</f>
        <v>0</v>
      </c>
      <c r="C1378" s="1" t="n">
        <f aca="false">N(C1377)+B1378</f>
        <v>17</v>
      </c>
      <c r="K1378" s="1" t="n">
        <f aca="false">IF(OR($K$1="",对接源_02物料!$C178="",对接源_02物料!$C178&lt;&gt;$K$1,对接源_02物料!$B178=""),0,IF(OR(N(对接源_02物料!$B178)&lt;$K$2,N(对接源_02物料!$B178)&gt;$K$3),0,1))</f>
        <v>0</v>
      </c>
      <c r="L1378" s="1" t="n">
        <f aca="false">IF(OR($L$1="",对接源_02物料!$C178="",对接源_02物料!$C178&lt;&gt;$L$1,对接源_02物料!$B178=""),0,IF(OR(N(对接源_02物料!$B178)&lt;$L$2,N(对接源_02物料!$B178)&gt;$L$3),0,1))</f>
        <v>0</v>
      </c>
      <c r="M1378" s="1" t="n">
        <f aca="false">IF(OR($M$1="",对接源_02物料!$C178="",对接源_02物料!$C178&lt;&gt;$M$1,对接源_02物料!$B178=""),0,IF(OR(N(对接源_02物料!$B178)&lt;$M$2,N(对接源_02物料!$B178)&gt;$M$3),0,1))</f>
        <v>0</v>
      </c>
      <c r="N1378" s="1" t="n">
        <f aca="false">IF(OR($N$1="",对接源_02物料!$C178="",对接源_02物料!$C178&lt;&gt;$N$1,对接源_02物料!$B178=""),0,IF(OR(N(对接源_02物料!$B178)&lt;$N$2,N(对接源_02物料!$B178)&gt;$N$3),0,1))</f>
        <v>0</v>
      </c>
      <c r="P1378" s="1" t="n">
        <f aca="false">IF(AND($K1378=1,AND(对接源_02物料!$X178="公司筐",N(对接源_02物料!$T178)&lt;&gt;0)),1,0)</f>
        <v>0</v>
      </c>
      <c r="Q1378" s="1" t="n">
        <f aca="false">N(Q1377)+$P1378</f>
        <v>13</v>
      </c>
      <c r="R1378" s="1" t="n">
        <f aca="false">IF(AND($K1378=1,AND(对接源_02物料!$X178="公司筐",N(对接源_02物料!$U178)&lt;&gt;0)),1,0)</f>
        <v>0</v>
      </c>
      <c r="S1378" s="1" t="n">
        <f aca="false">N(S1377)+$R1378</f>
        <v>5</v>
      </c>
      <c r="T1378" s="1" t="n">
        <f aca="false">IF(AND($K1378=1,AND(对接源_02物料!$X178="公司筐",N(对接源_02物料!$V178)&lt;&gt;0)),1,0)</f>
        <v>0</v>
      </c>
      <c r="U1378" s="1" t="n">
        <f aca="false">N(U1377)+$T1378</f>
        <v>28</v>
      </c>
      <c r="V1378" s="1" t="n">
        <f aca="false">IF(AND($L1378=1,AND(对接源_02物料!$X178="自备筐",N(对接源_02物料!$V178)&lt;&gt;0)),1,0)</f>
        <v>0</v>
      </c>
      <c r="W1378" s="1" t="n">
        <f aca="false">N(W1377)+$V1378</f>
        <v>7</v>
      </c>
      <c r="X1378" s="1" t="n">
        <f aca="false">IF(AND($L1378=1,AND(对接源_02物料!$X178="自备筐",N(对接源_02物料!$T178)&lt;&gt;0)),1,0)</f>
        <v>0</v>
      </c>
      <c r="Y1378" s="1" t="n">
        <f aca="false">N(Y1377)+$X1378</f>
        <v>0</v>
      </c>
      <c r="Z1378" s="1" t="n">
        <f aca="false">IF(AND($M1378=1,对接源_02物料!$D178="原料入库"),1,0)</f>
        <v>0</v>
      </c>
      <c r="AA1378" s="1" t="n">
        <f aca="false">N(AA1377)+$Z1378</f>
        <v>30</v>
      </c>
      <c r="AB1378" s="1" t="n">
        <f aca="false">IF(AND($M1378=1,LEFT(对接源_02物料!$D178,4)="原料出库"),1,0)</f>
        <v>0</v>
      </c>
      <c r="AC1378" s="1" t="n">
        <f aca="false">N(AC1377)+$AB1378</f>
        <v>19</v>
      </c>
      <c r="AD1378" s="1" t="n">
        <f aca="false">IF(AND($M1378=1,LEFT(对接源_02物料!$D178,4)="成品出库"),1,0)</f>
        <v>0</v>
      </c>
      <c r="AE1378" s="1" t="n">
        <f aca="false">N(AE1377)+$AD1378</f>
        <v>38</v>
      </c>
      <c r="AF1378" s="1" t="n">
        <f aca="false">IF(AND($N1378=1,AND(LEFT(对接源_02物料!$D178,4)="包装物料",N(对接源_02物料!$K178)&lt;&gt;0)),1,0)</f>
        <v>0</v>
      </c>
      <c r="AG1378" s="1" t="n">
        <f aca="false">N(AG1377)+$AF1378</f>
        <v>6</v>
      </c>
      <c r="AH1378" s="1" t="n">
        <f aca="false">IF(AND($N1378=1,AND(LEFT(对接源_02物料!$D178,3)="周转筐",N(对接源_02物料!$K178)&lt;&gt;0)),1,0)</f>
        <v>0</v>
      </c>
      <c r="AI1378" s="1" t="n">
        <f aca="false">N(AI1377)+$AH1378</f>
        <v>0</v>
      </c>
      <c r="AJ1378" s="1" t="n">
        <v>0</v>
      </c>
      <c r="AK1378" s="1" t="n">
        <f aca="false">N(AK1377)+$AJ1378</f>
        <v>3672</v>
      </c>
    </row>
    <row r="1379" customFormat="false" ht="13.5" hidden="false" customHeight="false" outlineLevel="0" collapsed="false">
      <c r="A1379" s="1" t="str">
        <f aca="false">IF(对接源_02物料!$C179="","",对接源_02物料!$C179)</f>
        <v/>
      </c>
      <c r="B1379" s="1" t="n">
        <f aca="false">IF(A1379="",0,IF(MATCH(A1379,$A$4:$A$2403,0)=ROW()-3,1,0))</f>
        <v>0</v>
      </c>
      <c r="C1379" s="1" t="n">
        <f aca="false">N(C1378)+B1379</f>
        <v>17</v>
      </c>
      <c r="K1379" s="1" t="n">
        <f aca="false">IF(OR($K$1="",对接源_02物料!$C179="",对接源_02物料!$C179&lt;&gt;$K$1,对接源_02物料!$B179=""),0,IF(OR(N(对接源_02物料!$B179)&lt;$K$2,N(对接源_02物料!$B179)&gt;$K$3),0,1))</f>
        <v>0</v>
      </c>
      <c r="L1379" s="1" t="n">
        <f aca="false">IF(OR($L$1="",对接源_02物料!$C179="",对接源_02物料!$C179&lt;&gt;$L$1,对接源_02物料!$B179=""),0,IF(OR(N(对接源_02物料!$B179)&lt;$L$2,N(对接源_02物料!$B179)&gt;$L$3),0,1))</f>
        <v>0</v>
      </c>
      <c r="M1379" s="1" t="n">
        <f aca="false">IF(OR($M$1="",对接源_02物料!$C179="",对接源_02物料!$C179&lt;&gt;$M$1,对接源_02物料!$B179=""),0,IF(OR(N(对接源_02物料!$B179)&lt;$M$2,N(对接源_02物料!$B179)&gt;$M$3),0,1))</f>
        <v>0</v>
      </c>
      <c r="N1379" s="1" t="n">
        <f aca="false">IF(OR($N$1="",对接源_02物料!$C179="",对接源_02物料!$C179&lt;&gt;$N$1,对接源_02物料!$B179=""),0,IF(OR(N(对接源_02物料!$B179)&lt;$N$2,N(对接源_02物料!$B179)&gt;$N$3),0,1))</f>
        <v>0</v>
      </c>
      <c r="P1379" s="1" t="n">
        <f aca="false">IF(AND($K1379=1,AND(对接源_02物料!$X179="公司筐",N(对接源_02物料!$T179)&lt;&gt;0)),1,0)</f>
        <v>0</v>
      </c>
      <c r="Q1379" s="1" t="n">
        <f aca="false">N(Q1378)+$P1379</f>
        <v>13</v>
      </c>
      <c r="R1379" s="1" t="n">
        <f aca="false">IF(AND($K1379=1,AND(对接源_02物料!$X179="公司筐",N(对接源_02物料!$U179)&lt;&gt;0)),1,0)</f>
        <v>0</v>
      </c>
      <c r="S1379" s="1" t="n">
        <f aca="false">N(S1378)+$R1379</f>
        <v>5</v>
      </c>
      <c r="T1379" s="1" t="n">
        <f aca="false">IF(AND($K1379=1,AND(对接源_02物料!$X179="公司筐",N(对接源_02物料!$V179)&lt;&gt;0)),1,0)</f>
        <v>0</v>
      </c>
      <c r="U1379" s="1" t="n">
        <f aca="false">N(U1378)+$T1379</f>
        <v>28</v>
      </c>
      <c r="V1379" s="1" t="n">
        <f aca="false">IF(AND($L1379=1,AND(对接源_02物料!$X179="自备筐",N(对接源_02物料!$V179)&lt;&gt;0)),1,0)</f>
        <v>0</v>
      </c>
      <c r="W1379" s="1" t="n">
        <f aca="false">N(W1378)+$V1379</f>
        <v>7</v>
      </c>
      <c r="X1379" s="1" t="n">
        <f aca="false">IF(AND($L1379=1,AND(对接源_02物料!$X179="自备筐",N(对接源_02物料!$T179)&lt;&gt;0)),1,0)</f>
        <v>0</v>
      </c>
      <c r="Y1379" s="1" t="n">
        <f aca="false">N(Y1378)+$X1379</f>
        <v>0</v>
      </c>
      <c r="Z1379" s="1" t="n">
        <f aca="false">IF(AND($M1379=1,对接源_02物料!$D179="原料入库"),1,0)</f>
        <v>0</v>
      </c>
      <c r="AA1379" s="1" t="n">
        <f aca="false">N(AA1378)+$Z1379</f>
        <v>30</v>
      </c>
      <c r="AB1379" s="1" t="n">
        <f aca="false">IF(AND($M1379=1,LEFT(对接源_02物料!$D179,4)="原料出库"),1,0)</f>
        <v>0</v>
      </c>
      <c r="AC1379" s="1" t="n">
        <f aca="false">N(AC1378)+$AB1379</f>
        <v>19</v>
      </c>
      <c r="AD1379" s="1" t="n">
        <f aca="false">IF(AND($M1379=1,LEFT(对接源_02物料!$D179,4)="成品出库"),1,0)</f>
        <v>0</v>
      </c>
      <c r="AE1379" s="1" t="n">
        <f aca="false">N(AE1378)+$AD1379</f>
        <v>38</v>
      </c>
      <c r="AF1379" s="1" t="n">
        <f aca="false">IF(AND($N1379=1,AND(LEFT(对接源_02物料!$D179,4)="包装物料",N(对接源_02物料!$K179)&lt;&gt;0)),1,0)</f>
        <v>0</v>
      </c>
      <c r="AG1379" s="1" t="n">
        <f aca="false">N(AG1378)+$AF1379</f>
        <v>6</v>
      </c>
      <c r="AH1379" s="1" t="n">
        <f aca="false">IF(AND($N1379=1,AND(LEFT(对接源_02物料!$D179,3)="周转筐",N(对接源_02物料!$K179)&lt;&gt;0)),1,0)</f>
        <v>0</v>
      </c>
      <c r="AI1379" s="1" t="n">
        <f aca="false">N(AI1378)+$AH1379</f>
        <v>0</v>
      </c>
      <c r="AJ1379" s="1" t="n">
        <v>0</v>
      </c>
      <c r="AK1379" s="1" t="n">
        <f aca="false">N(AK1378)+$AJ1379</f>
        <v>3672</v>
      </c>
    </row>
    <row r="1380" customFormat="false" ht="13.5" hidden="false" customHeight="false" outlineLevel="0" collapsed="false">
      <c r="A1380" s="1" t="str">
        <f aca="false">IF(对接源_02物料!$C180="","",对接源_02物料!$C180)</f>
        <v/>
      </c>
      <c r="B1380" s="1" t="n">
        <f aca="false">IF(A1380="",0,IF(MATCH(A1380,$A$4:$A$2403,0)=ROW()-3,1,0))</f>
        <v>0</v>
      </c>
      <c r="C1380" s="1" t="n">
        <f aca="false">N(C1379)+B1380</f>
        <v>17</v>
      </c>
      <c r="K1380" s="1" t="n">
        <f aca="false">IF(OR($K$1="",对接源_02物料!$C180="",对接源_02物料!$C180&lt;&gt;$K$1,对接源_02物料!$B180=""),0,IF(OR(N(对接源_02物料!$B180)&lt;$K$2,N(对接源_02物料!$B180)&gt;$K$3),0,1))</f>
        <v>0</v>
      </c>
      <c r="L1380" s="1" t="n">
        <f aca="false">IF(OR($L$1="",对接源_02物料!$C180="",对接源_02物料!$C180&lt;&gt;$L$1,对接源_02物料!$B180=""),0,IF(OR(N(对接源_02物料!$B180)&lt;$L$2,N(对接源_02物料!$B180)&gt;$L$3),0,1))</f>
        <v>0</v>
      </c>
      <c r="M1380" s="1" t="n">
        <f aca="false">IF(OR($M$1="",对接源_02物料!$C180="",对接源_02物料!$C180&lt;&gt;$M$1,对接源_02物料!$B180=""),0,IF(OR(N(对接源_02物料!$B180)&lt;$M$2,N(对接源_02物料!$B180)&gt;$M$3),0,1))</f>
        <v>0</v>
      </c>
      <c r="N1380" s="1" t="n">
        <f aca="false">IF(OR($N$1="",对接源_02物料!$C180="",对接源_02物料!$C180&lt;&gt;$N$1,对接源_02物料!$B180=""),0,IF(OR(N(对接源_02物料!$B180)&lt;$N$2,N(对接源_02物料!$B180)&gt;$N$3),0,1))</f>
        <v>0</v>
      </c>
      <c r="P1380" s="1" t="n">
        <f aca="false">IF(AND($K1380=1,AND(对接源_02物料!$X180="公司筐",N(对接源_02物料!$T180)&lt;&gt;0)),1,0)</f>
        <v>0</v>
      </c>
      <c r="Q1380" s="1" t="n">
        <f aca="false">N(Q1379)+$P1380</f>
        <v>13</v>
      </c>
      <c r="R1380" s="1" t="n">
        <f aca="false">IF(AND($K1380=1,AND(对接源_02物料!$X180="公司筐",N(对接源_02物料!$U180)&lt;&gt;0)),1,0)</f>
        <v>0</v>
      </c>
      <c r="S1380" s="1" t="n">
        <f aca="false">N(S1379)+$R1380</f>
        <v>5</v>
      </c>
      <c r="T1380" s="1" t="n">
        <f aca="false">IF(AND($K1380=1,AND(对接源_02物料!$X180="公司筐",N(对接源_02物料!$V180)&lt;&gt;0)),1,0)</f>
        <v>0</v>
      </c>
      <c r="U1380" s="1" t="n">
        <f aca="false">N(U1379)+$T1380</f>
        <v>28</v>
      </c>
      <c r="V1380" s="1" t="n">
        <f aca="false">IF(AND($L1380=1,AND(对接源_02物料!$X180="自备筐",N(对接源_02物料!$V180)&lt;&gt;0)),1,0)</f>
        <v>0</v>
      </c>
      <c r="W1380" s="1" t="n">
        <f aca="false">N(W1379)+$V1380</f>
        <v>7</v>
      </c>
      <c r="X1380" s="1" t="n">
        <f aca="false">IF(AND($L1380=1,AND(对接源_02物料!$X180="自备筐",N(对接源_02物料!$T180)&lt;&gt;0)),1,0)</f>
        <v>0</v>
      </c>
      <c r="Y1380" s="1" t="n">
        <f aca="false">N(Y1379)+$X1380</f>
        <v>0</v>
      </c>
      <c r="Z1380" s="1" t="n">
        <f aca="false">IF(AND($M1380=1,对接源_02物料!$D180="原料入库"),1,0)</f>
        <v>0</v>
      </c>
      <c r="AA1380" s="1" t="n">
        <f aca="false">N(AA1379)+$Z1380</f>
        <v>30</v>
      </c>
      <c r="AB1380" s="1" t="n">
        <f aca="false">IF(AND($M1380=1,LEFT(对接源_02物料!$D180,4)="原料出库"),1,0)</f>
        <v>0</v>
      </c>
      <c r="AC1380" s="1" t="n">
        <f aca="false">N(AC1379)+$AB1380</f>
        <v>19</v>
      </c>
      <c r="AD1380" s="1" t="n">
        <f aca="false">IF(AND($M1380=1,LEFT(对接源_02物料!$D180,4)="成品出库"),1,0)</f>
        <v>0</v>
      </c>
      <c r="AE1380" s="1" t="n">
        <f aca="false">N(AE1379)+$AD1380</f>
        <v>38</v>
      </c>
      <c r="AF1380" s="1" t="n">
        <f aca="false">IF(AND($N1380=1,AND(LEFT(对接源_02物料!$D180,4)="包装物料",N(对接源_02物料!$K180)&lt;&gt;0)),1,0)</f>
        <v>0</v>
      </c>
      <c r="AG1380" s="1" t="n">
        <f aca="false">N(AG1379)+$AF1380</f>
        <v>6</v>
      </c>
      <c r="AH1380" s="1" t="n">
        <f aca="false">IF(AND($N1380=1,AND(LEFT(对接源_02物料!$D180,3)="周转筐",N(对接源_02物料!$K180)&lt;&gt;0)),1,0)</f>
        <v>0</v>
      </c>
      <c r="AI1380" s="1" t="n">
        <f aca="false">N(AI1379)+$AH1380</f>
        <v>0</v>
      </c>
      <c r="AJ1380" s="1" t="n">
        <v>0</v>
      </c>
      <c r="AK1380" s="1" t="n">
        <f aca="false">N(AK1379)+$AJ1380</f>
        <v>3672</v>
      </c>
    </row>
    <row r="1381" customFormat="false" ht="13.5" hidden="false" customHeight="false" outlineLevel="0" collapsed="false">
      <c r="A1381" s="1" t="str">
        <f aca="false">IF(对接源_02物料!$C181="","",对接源_02物料!$C181)</f>
        <v/>
      </c>
      <c r="B1381" s="1" t="n">
        <f aca="false">IF(A1381="",0,IF(MATCH(A1381,$A$4:$A$2403,0)=ROW()-3,1,0))</f>
        <v>0</v>
      </c>
      <c r="C1381" s="1" t="n">
        <f aca="false">N(C1380)+B1381</f>
        <v>17</v>
      </c>
      <c r="K1381" s="1" t="n">
        <f aca="false">IF(OR($K$1="",对接源_02物料!$C181="",对接源_02物料!$C181&lt;&gt;$K$1,对接源_02物料!$B181=""),0,IF(OR(N(对接源_02物料!$B181)&lt;$K$2,N(对接源_02物料!$B181)&gt;$K$3),0,1))</f>
        <v>0</v>
      </c>
      <c r="L1381" s="1" t="n">
        <f aca="false">IF(OR($L$1="",对接源_02物料!$C181="",对接源_02物料!$C181&lt;&gt;$L$1,对接源_02物料!$B181=""),0,IF(OR(N(对接源_02物料!$B181)&lt;$L$2,N(对接源_02物料!$B181)&gt;$L$3),0,1))</f>
        <v>0</v>
      </c>
      <c r="M1381" s="1" t="n">
        <f aca="false">IF(OR($M$1="",对接源_02物料!$C181="",对接源_02物料!$C181&lt;&gt;$M$1,对接源_02物料!$B181=""),0,IF(OR(N(对接源_02物料!$B181)&lt;$M$2,N(对接源_02物料!$B181)&gt;$M$3),0,1))</f>
        <v>0</v>
      </c>
      <c r="N1381" s="1" t="n">
        <f aca="false">IF(OR($N$1="",对接源_02物料!$C181="",对接源_02物料!$C181&lt;&gt;$N$1,对接源_02物料!$B181=""),0,IF(OR(N(对接源_02物料!$B181)&lt;$N$2,N(对接源_02物料!$B181)&gt;$N$3),0,1))</f>
        <v>0</v>
      </c>
      <c r="P1381" s="1" t="n">
        <f aca="false">IF(AND($K1381=1,AND(对接源_02物料!$X181="公司筐",N(对接源_02物料!$T181)&lt;&gt;0)),1,0)</f>
        <v>0</v>
      </c>
      <c r="Q1381" s="1" t="n">
        <f aca="false">N(Q1380)+$P1381</f>
        <v>13</v>
      </c>
      <c r="R1381" s="1" t="n">
        <f aca="false">IF(AND($K1381=1,AND(对接源_02物料!$X181="公司筐",N(对接源_02物料!$U181)&lt;&gt;0)),1,0)</f>
        <v>0</v>
      </c>
      <c r="S1381" s="1" t="n">
        <f aca="false">N(S1380)+$R1381</f>
        <v>5</v>
      </c>
      <c r="T1381" s="1" t="n">
        <f aca="false">IF(AND($K1381=1,AND(对接源_02物料!$X181="公司筐",N(对接源_02物料!$V181)&lt;&gt;0)),1,0)</f>
        <v>0</v>
      </c>
      <c r="U1381" s="1" t="n">
        <f aca="false">N(U1380)+$T1381</f>
        <v>28</v>
      </c>
      <c r="V1381" s="1" t="n">
        <f aca="false">IF(AND($L1381=1,AND(对接源_02物料!$X181="自备筐",N(对接源_02物料!$V181)&lt;&gt;0)),1,0)</f>
        <v>0</v>
      </c>
      <c r="W1381" s="1" t="n">
        <f aca="false">N(W1380)+$V1381</f>
        <v>7</v>
      </c>
      <c r="X1381" s="1" t="n">
        <f aca="false">IF(AND($L1381=1,AND(对接源_02物料!$X181="自备筐",N(对接源_02物料!$T181)&lt;&gt;0)),1,0)</f>
        <v>0</v>
      </c>
      <c r="Y1381" s="1" t="n">
        <f aca="false">N(Y1380)+$X1381</f>
        <v>0</v>
      </c>
      <c r="Z1381" s="1" t="n">
        <f aca="false">IF(AND($M1381=1,对接源_02物料!$D181="原料入库"),1,0)</f>
        <v>0</v>
      </c>
      <c r="AA1381" s="1" t="n">
        <f aca="false">N(AA1380)+$Z1381</f>
        <v>30</v>
      </c>
      <c r="AB1381" s="1" t="n">
        <f aca="false">IF(AND($M1381=1,LEFT(对接源_02物料!$D181,4)="原料出库"),1,0)</f>
        <v>0</v>
      </c>
      <c r="AC1381" s="1" t="n">
        <f aca="false">N(AC1380)+$AB1381</f>
        <v>19</v>
      </c>
      <c r="AD1381" s="1" t="n">
        <f aca="false">IF(AND($M1381=1,LEFT(对接源_02物料!$D181,4)="成品出库"),1,0)</f>
        <v>0</v>
      </c>
      <c r="AE1381" s="1" t="n">
        <f aca="false">N(AE1380)+$AD1381</f>
        <v>38</v>
      </c>
      <c r="AF1381" s="1" t="n">
        <f aca="false">IF(AND($N1381=1,AND(LEFT(对接源_02物料!$D181,4)="包装物料",N(对接源_02物料!$K181)&lt;&gt;0)),1,0)</f>
        <v>0</v>
      </c>
      <c r="AG1381" s="1" t="n">
        <f aca="false">N(AG1380)+$AF1381</f>
        <v>6</v>
      </c>
      <c r="AH1381" s="1" t="n">
        <f aca="false">IF(AND($N1381=1,AND(LEFT(对接源_02物料!$D181,3)="周转筐",N(对接源_02物料!$K181)&lt;&gt;0)),1,0)</f>
        <v>0</v>
      </c>
      <c r="AI1381" s="1" t="n">
        <f aca="false">N(AI1380)+$AH1381</f>
        <v>0</v>
      </c>
      <c r="AJ1381" s="1" t="n">
        <v>0</v>
      </c>
      <c r="AK1381" s="1" t="n">
        <f aca="false">N(AK1380)+$AJ1381</f>
        <v>3672</v>
      </c>
    </row>
    <row r="1382" customFormat="false" ht="13.5" hidden="false" customHeight="false" outlineLevel="0" collapsed="false">
      <c r="A1382" s="1" t="str">
        <f aca="false">IF(对接源_02物料!$C182="","",对接源_02物料!$C182)</f>
        <v/>
      </c>
      <c r="B1382" s="1" t="n">
        <f aca="false">IF(A1382="",0,IF(MATCH(A1382,$A$4:$A$2403,0)=ROW()-3,1,0))</f>
        <v>0</v>
      </c>
      <c r="C1382" s="1" t="n">
        <f aca="false">N(C1381)+B1382</f>
        <v>17</v>
      </c>
      <c r="K1382" s="1" t="n">
        <f aca="false">IF(OR($K$1="",对接源_02物料!$C182="",对接源_02物料!$C182&lt;&gt;$K$1,对接源_02物料!$B182=""),0,IF(OR(N(对接源_02物料!$B182)&lt;$K$2,N(对接源_02物料!$B182)&gt;$K$3),0,1))</f>
        <v>0</v>
      </c>
      <c r="L1382" s="1" t="n">
        <f aca="false">IF(OR($L$1="",对接源_02物料!$C182="",对接源_02物料!$C182&lt;&gt;$L$1,对接源_02物料!$B182=""),0,IF(OR(N(对接源_02物料!$B182)&lt;$L$2,N(对接源_02物料!$B182)&gt;$L$3),0,1))</f>
        <v>0</v>
      </c>
      <c r="M1382" s="1" t="n">
        <f aca="false">IF(OR($M$1="",对接源_02物料!$C182="",对接源_02物料!$C182&lt;&gt;$M$1,对接源_02物料!$B182=""),0,IF(OR(N(对接源_02物料!$B182)&lt;$M$2,N(对接源_02物料!$B182)&gt;$M$3),0,1))</f>
        <v>0</v>
      </c>
      <c r="N1382" s="1" t="n">
        <f aca="false">IF(OR($N$1="",对接源_02物料!$C182="",对接源_02物料!$C182&lt;&gt;$N$1,对接源_02物料!$B182=""),0,IF(OR(N(对接源_02物料!$B182)&lt;$N$2,N(对接源_02物料!$B182)&gt;$N$3),0,1))</f>
        <v>0</v>
      </c>
      <c r="P1382" s="1" t="n">
        <f aca="false">IF(AND($K1382=1,AND(对接源_02物料!$X182="公司筐",N(对接源_02物料!$T182)&lt;&gt;0)),1,0)</f>
        <v>0</v>
      </c>
      <c r="Q1382" s="1" t="n">
        <f aca="false">N(Q1381)+$P1382</f>
        <v>13</v>
      </c>
      <c r="R1382" s="1" t="n">
        <f aca="false">IF(AND($K1382=1,AND(对接源_02物料!$X182="公司筐",N(对接源_02物料!$U182)&lt;&gt;0)),1,0)</f>
        <v>0</v>
      </c>
      <c r="S1382" s="1" t="n">
        <f aca="false">N(S1381)+$R1382</f>
        <v>5</v>
      </c>
      <c r="T1382" s="1" t="n">
        <f aca="false">IF(AND($K1382=1,AND(对接源_02物料!$X182="公司筐",N(对接源_02物料!$V182)&lt;&gt;0)),1,0)</f>
        <v>0</v>
      </c>
      <c r="U1382" s="1" t="n">
        <f aca="false">N(U1381)+$T1382</f>
        <v>28</v>
      </c>
      <c r="V1382" s="1" t="n">
        <f aca="false">IF(AND($L1382=1,AND(对接源_02物料!$X182="自备筐",N(对接源_02物料!$V182)&lt;&gt;0)),1,0)</f>
        <v>0</v>
      </c>
      <c r="W1382" s="1" t="n">
        <f aca="false">N(W1381)+$V1382</f>
        <v>7</v>
      </c>
      <c r="X1382" s="1" t="n">
        <f aca="false">IF(AND($L1382=1,AND(对接源_02物料!$X182="自备筐",N(对接源_02物料!$T182)&lt;&gt;0)),1,0)</f>
        <v>0</v>
      </c>
      <c r="Y1382" s="1" t="n">
        <f aca="false">N(Y1381)+$X1382</f>
        <v>0</v>
      </c>
      <c r="Z1382" s="1" t="n">
        <f aca="false">IF(AND($M1382=1,对接源_02物料!$D182="原料入库"),1,0)</f>
        <v>0</v>
      </c>
      <c r="AA1382" s="1" t="n">
        <f aca="false">N(AA1381)+$Z1382</f>
        <v>30</v>
      </c>
      <c r="AB1382" s="1" t="n">
        <f aca="false">IF(AND($M1382=1,LEFT(对接源_02物料!$D182,4)="原料出库"),1,0)</f>
        <v>0</v>
      </c>
      <c r="AC1382" s="1" t="n">
        <f aca="false">N(AC1381)+$AB1382</f>
        <v>19</v>
      </c>
      <c r="AD1382" s="1" t="n">
        <f aca="false">IF(AND($M1382=1,LEFT(对接源_02物料!$D182,4)="成品出库"),1,0)</f>
        <v>0</v>
      </c>
      <c r="AE1382" s="1" t="n">
        <f aca="false">N(AE1381)+$AD1382</f>
        <v>38</v>
      </c>
      <c r="AF1382" s="1" t="n">
        <f aca="false">IF(AND($N1382=1,AND(LEFT(对接源_02物料!$D182,4)="包装物料",N(对接源_02物料!$K182)&lt;&gt;0)),1,0)</f>
        <v>0</v>
      </c>
      <c r="AG1382" s="1" t="n">
        <f aca="false">N(AG1381)+$AF1382</f>
        <v>6</v>
      </c>
      <c r="AH1382" s="1" t="n">
        <f aca="false">IF(AND($N1382=1,AND(LEFT(对接源_02物料!$D182,3)="周转筐",N(对接源_02物料!$K182)&lt;&gt;0)),1,0)</f>
        <v>0</v>
      </c>
      <c r="AI1382" s="1" t="n">
        <f aca="false">N(AI1381)+$AH1382</f>
        <v>0</v>
      </c>
      <c r="AJ1382" s="1" t="n">
        <v>0</v>
      </c>
      <c r="AK1382" s="1" t="n">
        <f aca="false">N(AK1381)+$AJ1382</f>
        <v>3672</v>
      </c>
    </row>
    <row r="1383" customFormat="false" ht="13.5" hidden="false" customHeight="false" outlineLevel="0" collapsed="false">
      <c r="A1383" s="1" t="str">
        <f aca="false">IF(对接源_02物料!$C183="","",对接源_02物料!$C183)</f>
        <v/>
      </c>
      <c r="B1383" s="1" t="n">
        <f aca="false">IF(A1383="",0,IF(MATCH(A1383,$A$4:$A$2403,0)=ROW()-3,1,0))</f>
        <v>0</v>
      </c>
      <c r="C1383" s="1" t="n">
        <f aca="false">N(C1382)+B1383</f>
        <v>17</v>
      </c>
      <c r="K1383" s="1" t="n">
        <f aca="false">IF(OR($K$1="",对接源_02物料!$C183="",对接源_02物料!$C183&lt;&gt;$K$1,对接源_02物料!$B183=""),0,IF(OR(N(对接源_02物料!$B183)&lt;$K$2,N(对接源_02物料!$B183)&gt;$K$3),0,1))</f>
        <v>0</v>
      </c>
      <c r="L1383" s="1" t="n">
        <f aca="false">IF(OR($L$1="",对接源_02物料!$C183="",对接源_02物料!$C183&lt;&gt;$L$1,对接源_02物料!$B183=""),0,IF(OR(N(对接源_02物料!$B183)&lt;$L$2,N(对接源_02物料!$B183)&gt;$L$3),0,1))</f>
        <v>0</v>
      </c>
      <c r="M1383" s="1" t="n">
        <f aca="false">IF(OR($M$1="",对接源_02物料!$C183="",对接源_02物料!$C183&lt;&gt;$M$1,对接源_02物料!$B183=""),0,IF(OR(N(对接源_02物料!$B183)&lt;$M$2,N(对接源_02物料!$B183)&gt;$M$3),0,1))</f>
        <v>0</v>
      </c>
      <c r="N1383" s="1" t="n">
        <f aca="false">IF(OR($N$1="",对接源_02物料!$C183="",对接源_02物料!$C183&lt;&gt;$N$1,对接源_02物料!$B183=""),0,IF(OR(N(对接源_02物料!$B183)&lt;$N$2,N(对接源_02物料!$B183)&gt;$N$3),0,1))</f>
        <v>0</v>
      </c>
      <c r="P1383" s="1" t="n">
        <f aca="false">IF(AND($K1383=1,AND(对接源_02物料!$X183="公司筐",N(对接源_02物料!$T183)&lt;&gt;0)),1,0)</f>
        <v>0</v>
      </c>
      <c r="Q1383" s="1" t="n">
        <f aca="false">N(Q1382)+$P1383</f>
        <v>13</v>
      </c>
      <c r="R1383" s="1" t="n">
        <f aca="false">IF(AND($K1383=1,AND(对接源_02物料!$X183="公司筐",N(对接源_02物料!$U183)&lt;&gt;0)),1,0)</f>
        <v>0</v>
      </c>
      <c r="S1383" s="1" t="n">
        <f aca="false">N(S1382)+$R1383</f>
        <v>5</v>
      </c>
      <c r="T1383" s="1" t="n">
        <f aca="false">IF(AND($K1383=1,AND(对接源_02物料!$X183="公司筐",N(对接源_02物料!$V183)&lt;&gt;0)),1,0)</f>
        <v>0</v>
      </c>
      <c r="U1383" s="1" t="n">
        <f aca="false">N(U1382)+$T1383</f>
        <v>28</v>
      </c>
      <c r="V1383" s="1" t="n">
        <f aca="false">IF(AND($L1383=1,AND(对接源_02物料!$X183="自备筐",N(对接源_02物料!$V183)&lt;&gt;0)),1,0)</f>
        <v>0</v>
      </c>
      <c r="W1383" s="1" t="n">
        <f aca="false">N(W1382)+$V1383</f>
        <v>7</v>
      </c>
      <c r="X1383" s="1" t="n">
        <f aca="false">IF(AND($L1383=1,AND(对接源_02物料!$X183="自备筐",N(对接源_02物料!$T183)&lt;&gt;0)),1,0)</f>
        <v>0</v>
      </c>
      <c r="Y1383" s="1" t="n">
        <f aca="false">N(Y1382)+$X1383</f>
        <v>0</v>
      </c>
      <c r="Z1383" s="1" t="n">
        <f aca="false">IF(AND($M1383=1,对接源_02物料!$D183="原料入库"),1,0)</f>
        <v>0</v>
      </c>
      <c r="AA1383" s="1" t="n">
        <f aca="false">N(AA1382)+$Z1383</f>
        <v>30</v>
      </c>
      <c r="AB1383" s="1" t="n">
        <f aca="false">IF(AND($M1383=1,LEFT(对接源_02物料!$D183,4)="原料出库"),1,0)</f>
        <v>0</v>
      </c>
      <c r="AC1383" s="1" t="n">
        <f aca="false">N(AC1382)+$AB1383</f>
        <v>19</v>
      </c>
      <c r="AD1383" s="1" t="n">
        <f aca="false">IF(AND($M1383=1,LEFT(对接源_02物料!$D183,4)="成品出库"),1,0)</f>
        <v>0</v>
      </c>
      <c r="AE1383" s="1" t="n">
        <f aca="false">N(AE1382)+$AD1383</f>
        <v>38</v>
      </c>
      <c r="AF1383" s="1" t="n">
        <f aca="false">IF(AND($N1383=1,AND(LEFT(对接源_02物料!$D183,4)="包装物料",N(对接源_02物料!$K183)&lt;&gt;0)),1,0)</f>
        <v>0</v>
      </c>
      <c r="AG1383" s="1" t="n">
        <f aca="false">N(AG1382)+$AF1383</f>
        <v>6</v>
      </c>
      <c r="AH1383" s="1" t="n">
        <f aca="false">IF(AND($N1383=1,AND(LEFT(对接源_02物料!$D183,3)="周转筐",N(对接源_02物料!$K183)&lt;&gt;0)),1,0)</f>
        <v>0</v>
      </c>
      <c r="AI1383" s="1" t="n">
        <f aca="false">N(AI1382)+$AH1383</f>
        <v>0</v>
      </c>
      <c r="AJ1383" s="1" t="n">
        <v>0</v>
      </c>
      <c r="AK1383" s="1" t="n">
        <f aca="false">N(AK1382)+$AJ1383</f>
        <v>3672</v>
      </c>
    </row>
    <row r="1384" customFormat="false" ht="13.5" hidden="false" customHeight="false" outlineLevel="0" collapsed="false">
      <c r="A1384" s="1" t="str">
        <f aca="false">IF(对接源_02物料!$C184="","",对接源_02物料!$C184)</f>
        <v/>
      </c>
      <c r="B1384" s="1" t="n">
        <f aca="false">IF(A1384="",0,IF(MATCH(A1384,$A$4:$A$2403,0)=ROW()-3,1,0))</f>
        <v>0</v>
      </c>
      <c r="C1384" s="1" t="n">
        <f aca="false">N(C1383)+B1384</f>
        <v>17</v>
      </c>
      <c r="K1384" s="1" t="n">
        <f aca="false">IF(OR($K$1="",对接源_02物料!$C184="",对接源_02物料!$C184&lt;&gt;$K$1,对接源_02物料!$B184=""),0,IF(OR(N(对接源_02物料!$B184)&lt;$K$2,N(对接源_02物料!$B184)&gt;$K$3),0,1))</f>
        <v>0</v>
      </c>
      <c r="L1384" s="1" t="n">
        <f aca="false">IF(OR($L$1="",对接源_02物料!$C184="",对接源_02物料!$C184&lt;&gt;$L$1,对接源_02物料!$B184=""),0,IF(OR(N(对接源_02物料!$B184)&lt;$L$2,N(对接源_02物料!$B184)&gt;$L$3),0,1))</f>
        <v>0</v>
      </c>
      <c r="M1384" s="1" t="n">
        <f aca="false">IF(OR($M$1="",对接源_02物料!$C184="",对接源_02物料!$C184&lt;&gt;$M$1,对接源_02物料!$B184=""),0,IF(OR(N(对接源_02物料!$B184)&lt;$M$2,N(对接源_02物料!$B184)&gt;$M$3),0,1))</f>
        <v>0</v>
      </c>
      <c r="N1384" s="1" t="n">
        <f aca="false">IF(OR($N$1="",对接源_02物料!$C184="",对接源_02物料!$C184&lt;&gt;$N$1,对接源_02物料!$B184=""),0,IF(OR(N(对接源_02物料!$B184)&lt;$N$2,N(对接源_02物料!$B184)&gt;$N$3),0,1))</f>
        <v>0</v>
      </c>
      <c r="P1384" s="1" t="n">
        <f aca="false">IF(AND($K1384=1,AND(对接源_02物料!$X184="公司筐",N(对接源_02物料!$T184)&lt;&gt;0)),1,0)</f>
        <v>0</v>
      </c>
      <c r="Q1384" s="1" t="n">
        <f aca="false">N(Q1383)+$P1384</f>
        <v>13</v>
      </c>
      <c r="R1384" s="1" t="n">
        <f aca="false">IF(AND($K1384=1,AND(对接源_02物料!$X184="公司筐",N(对接源_02物料!$U184)&lt;&gt;0)),1,0)</f>
        <v>0</v>
      </c>
      <c r="S1384" s="1" t="n">
        <f aca="false">N(S1383)+$R1384</f>
        <v>5</v>
      </c>
      <c r="T1384" s="1" t="n">
        <f aca="false">IF(AND($K1384=1,AND(对接源_02物料!$X184="公司筐",N(对接源_02物料!$V184)&lt;&gt;0)),1,0)</f>
        <v>0</v>
      </c>
      <c r="U1384" s="1" t="n">
        <f aca="false">N(U1383)+$T1384</f>
        <v>28</v>
      </c>
      <c r="V1384" s="1" t="n">
        <f aca="false">IF(AND($L1384=1,AND(对接源_02物料!$X184="自备筐",N(对接源_02物料!$V184)&lt;&gt;0)),1,0)</f>
        <v>0</v>
      </c>
      <c r="W1384" s="1" t="n">
        <f aca="false">N(W1383)+$V1384</f>
        <v>7</v>
      </c>
      <c r="X1384" s="1" t="n">
        <f aca="false">IF(AND($L1384=1,AND(对接源_02物料!$X184="自备筐",N(对接源_02物料!$T184)&lt;&gt;0)),1,0)</f>
        <v>0</v>
      </c>
      <c r="Y1384" s="1" t="n">
        <f aca="false">N(Y1383)+$X1384</f>
        <v>0</v>
      </c>
      <c r="Z1384" s="1" t="n">
        <f aca="false">IF(AND($M1384=1,对接源_02物料!$D184="原料入库"),1,0)</f>
        <v>0</v>
      </c>
      <c r="AA1384" s="1" t="n">
        <f aca="false">N(AA1383)+$Z1384</f>
        <v>30</v>
      </c>
      <c r="AB1384" s="1" t="n">
        <f aca="false">IF(AND($M1384=1,LEFT(对接源_02物料!$D184,4)="原料出库"),1,0)</f>
        <v>0</v>
      </c>
      <c r="AC1384" s="1" t="n">
        <f aca="false">N(AC1383)+$AB1384</f>
        <v>19</v>
      </c>
      <c r="AD1384" s="1" t="n">
        <f aca="false">IF(AND($M1384=1,LEFT(对接源_02物料!$D184,4)="成品出库"),1,0)</f>
        <v>0</v>
      </c>
      <c r="AE1384" s="1" t="n">
        <f aca="false">N(AE1383)+$AD1384</f>
        <v>38</v>
      </c>
      <c r="AF1384" s="1" t="n">
        <f aca="false">IF(AND($N1384=1,AND(LEFT(对接源_02物料!$D184,4)="包装物料",N(对接源_02物料!$K184)&lt;&gt;0)),1,0)</f>
        <v>0</v>
      </c>
      <c r="AG1384" s="1" t="n">
        <f aca="false">N(AG1383)+$AF1384</f>
        <v>6</v>
      </c>
      <c r="AH1384" s="1" t="n">
        <f aca="false">IF(AND($N1384=1,AND(LEFT(对接源_02物料!$D184,3)="周转筐",N(对接源_02物料!$K184)&lt;&gt;0)),1,0)</f>
        <v>0</v>
      </c>
      <c r="AI1384" s="1" t="n">
        <f aca="false">N(AI1383)+$AH1384</f>
        <v>0</v>
      </c>
      <c r="AJ1384" s="1" t="n">
        <v>0</v>
      </c>
      <c r="AK1384" s="1" t="n">
        <f aca="false">N(AK1383)+$AJ1384</f>
        <v>3672</v>
      </c>
    </row>
    <row r="1385" customFormat="false" ht="13.5" hidden="false" customHeight="false" outlineLevel="0" collapsed="false">
      <c r="A1385" s="1" t="str">
        <f aca="false">IF(对接源_02物料!$C185="","",对接源_02物料!$C185)</f>
        <v/>
      </c>
      <c r="B1385" s="1" t="n">
        <f aca="false">IF(A1385="",0,IF(MATCH(A1385,$A$4:$A$2403,0)=ROW()-3,1,0))</f>
        <v>0</v>
      </c>
      <c r="C1385" s="1" t="n">
        <f aca="false">N(C1384)+B1385</f>
        <v>17</v>
      </c>
      <c r="K1385" s="1" t="n">
        <f aca="false">IF(OR($K$1="",对接源_02物料!$C185="",对接源_02物料!$C185&lt;&gt;$K$1,对接源_02物料!$B185=""),0,IF(OR(N(对接源_02物料!$B185)&lt;$K$2,N(对接源_02物料!$B185)&gt;$K$3),0,1))</f>
        <v>0</v>
      </c>
      <c r="L1385" s="1" t="n">
        <f aca="false">IF(OR($L$1="",对接源_02物料!$C185="",对接源_02物料!$C185&lt;&gt;$L$1,对接源_02物料!$B185=""),0,IF(OR(N(对接源_02物料!$B185)&lt;$L$2,N(对接源_02物料!$B185)&gt;$L$3),0,1))</f>
        <v>0</v>
      </c>
      <c r="M1385" s="1" t="n">
        <f aca="false">IF(OR($M$1="",对接源_02物料!$C185="",对接源_02物料!$C185&lt;&gt;$M$1,对接源_02物料!$B185=""),0,IF(OR(N(对接源_02物料!$B185)&lt;$M$2,N(对接源_02物料!$B185)&gt;$M$3),0,1))</f>
        <v>0</v>
      </c>
      <c r="N1385" s="1" t="n">
        <f aca="false">IF(OR($N$1="",对接源_02物料!$C185="",对接源_02物料!$C185&lt;&gt;$N$1,对接源_02物料!$B185=""),0,IF(OR(N(对接源_02物料!$B185)&lt;$N$2,N(对接源_02物料!$B185)&gt;$N$3),0,1))</f>
        <v>0</v>
      </c>
      <c r="P1385" s="1" t="n">
        <f aca="false">IF(AND($K1385=1,AND(对接源_02物料!$X185="公司筐",N(对接源_02物料!$T185)&lt;&gt;0)),1,0)</f>
        <v>0</v>
      </c>
      <c r="Q1385" s="1" t="n">
        <f aca="false">N(Q1384)+$P1385</f>
        <v>13</v>
      </c>
      <c r="R1385" s="1" t="n">
        <f aca="false">IF(AND($K1385=1,AND(对接源_02物料!$X185="公司筐",N(对接源_02物料!$U185)&lt;&gt;0)),1,0)</f>
        <v>0</v>
      </c>
      <c r="S1385" s="1" t="n">
        <f aca="false">N(S1384)+$R1385</f>
        <v>5</v>
      </c>
      <c r="T1385" s="1" t="n">
        <f aca="false">IF(AND($K1385=1,AND(对接源_02物料!$X185="公司筐",N(对接源_02物料!$V185)&lt;&gt;0)),1,0)</f>
        <v>0</v>
      </c>
      <c r="U1385" s="1" t="n">
        <f aca="false">N(U1384)+$T1385</f>
        <v>28</v>
      </c>
      <c r="V1385" s="1" t="n">
        <f aca="false">IF(AND($L1385=1,AND(对接源_02物料!$X185="自备筐",N(对接源_02物料!$V185)&lt;&gt;0)),1,0)</f>
        <v>0</v>
      </c>
      <c r="W1385" s="1" t="n">
        <f aca="false">N(W1384)+$V1385</f>
        <v>7</v>
      </c>
      <c r="X1385" s="1" t="n">
        <f aca="false">IF(AND($L1385=1,AND(对接源_02物料!$X185="自备筐",N(对接源_02物料!$T185)&lt;&gt;0)),1,0)</f>
        <v>0</v>
      </c>
      <c r="Y1385" s="1" t="n">
        <f aca="false">N(Y1384)+$X1385</f>
        <v>0</v>
      </c>
      <c r="Z1385" s="1" t="n">
        <f aca="false">IF(AND($M1385=1,对接源_02物料!$D185="原料入库"),1,0)</f>
        <v>0</v>
      </c>
      <c r="AA1385" s="1" t="n">
        <f aca="false">N(AA1384)+$Z1385</f>
        <v>30</v>
      </c>
      <c r="AB1385" s="1" t="n">
        <f aca="false">IF(AND($M1385=1,LEFT(对接源_02物料!$D185,4)="原料出库"),1,0)</f>
        <v>0</v>
      </c>
      <c r="AC1385" s="1" t="n">
        <f aca="false">N(AC1384)+$AB1385</f>
        <v>19</v>
      </c>
      <c r="AD1385" s="1" t="n">
        <f aca="false">IF(AND($M1385=1,LEFT(对接源_02物料!$D185,4)="成品出库"),1,0)</f>
        <v>0</v>
      </c>
      <c r="AE1385" s="1" t="n">
        <f aca="false">N(AE1384)+$AD1385</f>
        <v>38</v>
      </c>
      <c r="AF1385" s="1" t="n">
        <f aca="false">IF(AND($N1385=1,AND(LEFT(对接源_02物料!$D185,4)="包装物料",N(对接源_02物料!$K185)&lt;&gt;0)),1,0)</f>
        <v>0</v>
      </c>
      <c r="AG1385" s="1" t="n">
        <f aca="false">N(AG1384)+$AF1385</f>
        <v>6</v>
      </c>
      <c r="AH1385" s="1" t="n">
        <f aca="false">IF(AND($N1385=1,AND(LEFT(对接源_02物料!$D185,3)="周转筐",N(对接源_02物料!$K185)&lt;&gt;0)),1,0)</f>
        <v>0</v>
      </c>
      <c r="AI1385" s="1" t="n">
        <f aca="false">N(AI1384)+$AH1385</f>
        <v>0</v>
      </c>
      <c r="AJ1385" s="1" t="n">
        <v>0</v>
      </c>
      <c r="AK1385" s="1" t="n">
        <f aca="false">N(AK1384)+$AJ1385</f>
        <v>3672</v>
      </c>
    </row>
    <row r="1386" customFormat="false" ht="13.5" hidden="false" customHeight="false" outlineLevel="0" collapsed="false">
      <c r="A1386" s="1" t="str">
        <f aca="false">IF(对接源_02物料!$C186="","",对接源_02物料!$C186)</f>
        <v/>
      </c>
      <c r="B1386" s="1" t="n">
        <f aca="false">IF(A1386="",0,IF(MATCH(A1386,$A$4:$A$2403,0)=ROW()-3,1,0))</f>
        <v>0</v>
      </c>
      <c r="C1386" s="1" t="n">
        <f aca="false">N(C1385)+B1386</f>
        <v>17</v>
      </c>
      <c r="K1386" s="1" t="n">
        <f aca="false">IF(OR($K$1="",对接源_02物料!$C186="",对接源_02物料!$C186&lt;&gt;$K$1,对接源_02物料!$B186=""),0,IF(OR(N(对接源_02物料!$B186)&lt;$K$2,N(对接源_02物料!$B186)&gt;$K$3),0,1))</f>
        <v>0</v>
      </c>
      <c r="L1386" s="1" t="n">
        <f aca="false">IF(OR($L$1="",对接源_02物料!$C186="",对接源_02物料!$C186&lt;&gt;$L$1,对接源_02物料!$B186=""),0,IF(OR(N(对接源_02物料!$B186)&lt;$L$2,N(对接源_02物料!$B186)&gt;$L$3),0,1))</f>
        <v>0</v>
      </c>
      <c r="M1386" s="1" t="n">
        <f aca="false">IF(OR($M$1="",对接源_02物料!$C186="",对接源_02物料!$C186&lt;&gt;$M$1,对接源_02物料!$B186=""),0,IF(OR(N(对接源_02物料!$B186)&lt;$M$2,N(对接源_02物料!$B186)&gt;$M$3),0,1))</f>
        <v>0</v>
      </c>
      <c r="N1386" s="1" t="n">
        <f aca="false">IF(OR($N$1="",对接源_02物料!$C186="",对接源_02物料!$C186&lt;&gt;$N$1,对接源_02物料!$B186=""),0,IF(OR(N(对接源_02物料!$B186)&lt;$N$2,N(对接源_02物料!$B186)&gt;$N$3),0,1))</f>
        <v>0</v>
      </c>
      <c r="P1386" s="1" t="n">
        <f aca="false">IF(AND($K1386=1,AND(对接源_02物料!$X186="公司筐",N(对接源_02物料!$T186)&lt;&gt;0)),1,0)</f>
        <v>0</v>
      </c>
      <c r="Q1386" s="1" t="n">
        <f aca="false">N(Q1385)+$P1386</f>
        <v>13</v>
      </c>
      <c r="R1386" s="1" t="n">
        <f aca="false">IF(AND($K1386=1,AND(对接源_02物料!$X186="公司筐",N(对接源_02物料!$U186)&lt;&gt;0)),1,0)</f>
        <v>0</v>
      </c>
      <c r="S1386" s="1" t="n">
        <f aca="false">N(S1385)+$R1386</f>
        <v>5</v>
      </c>
      <c r="T1386" s="1" t="n">
        <f aca="false">IF(AND($K1386=1,AND(对接源_02物料!$X186="公司筐",N(对接源_02物料!$V186)&lt;&gt;0)),1,0)</f>
        <v>0</v>
      </c>
      <c r="U1386" s="1" t="n">
        <f aca="false">N(U1385)+$T1386</f>
        <v>28</v>
      </c>
      <c r="V1386" s="1" t="n">
        <f aca="false">IF(AND($L1386=1,AND(对接源_02物料!$X186="自备筐",N(对接源_02物料!$V186)&lt;&gt;0)),1,0)</f>
        <v>0</v>
      </c>
      <c r="W1386" s="1" t="n">
        <f aca="false">N(W1385)+$V1386</f>
        <v>7</v>
      </c>
      <c r="X1386" s="1" t="n">
        <f aca="false">IF(AND($L1386=1,AND(对接源_02物料!$X186="自备筐",N(对接源_02物料!$T186)&lt;&gt;0)),1,0)</f>
        <v>0</v>
      </c>
      <c r="Y1386" s="1" t="n">
        <f aca="false">N(Y1385)+$X1386</f>
        <v>0</v>
      </c>
      <c r="Z1386" s="1" t="n">
        <f aca="false">IF(AND($M1386=1,对接源_02物料!$D186="原料入库"),1,0)</f>
        <v>0</v>
      </c>
      <c r="AA1386" s="1" t="n">
        <f aca="false">N(AA1385)+$Z1386</f>
        <v>30</v>
      </c>
      <c r="AB1386" s="1" t="n">
        <f aca="false">IF(AND($M1386=1,LEFT(对接源_02物料!$D186,4)="原料出库"),1,0)</f>
        <v>0</v>
      </c>
      <c r="AC1386" s="1" t="n">
        <f aca="false">N(AC1385)+$AB1386</f>
        <v>19</v>
      </c>
      <c r="AD1386" s="1" t="n">
        <f aca="false">IF(AND($M1386=1,LEFT(对接源_02物料!$D186,4)="成品出库"),1,0)</f>
        <v>0</v>
      </c>
      <c r="AE1386" s="1" t="n">
        <f aca="false">N(AE1385)+$AD1386</f>
        <v>38</v>
      </c>
      <c r="AF1386" s="1" t="n">
        <f aca="false">IF(AND($N1386=1,AND(LEFT(对接源_02物料!$D186,4)="包装物料",N(对接源_02物料!$K186)&lt;&gt;0)),1,0)</f>
        <v>0</v>
      </c>
      <c r="AG1386" s="1" t="n">
        <f aca="false">N(AG1385)+$AF1386</f>
        <v>6</v>
      </c>
      <c r="AH1386" s="1" t="n">
        <f aca="false">IF(AND($N1386=1,AND(LEFT(对接源_02物料!$D186,3)="周转筐",N(对接源_02物料!$K186)&lt;&gt;0)),1,0)</f>
        <v>0</v>
      </c>
      <c r="AI1386" s="1" t="n">
        <f aca="false">N(AI1385)+$AH1386</f>
        <v>0</v>
      </c>
      <c r="AJ1386" s="1" t="n">
        <v>0</v>
      </c>
      <c r="AK1386" s="1" t="n">
        <f aca="false">N(AK1385)+$AJ1386</f>
        <v>3672</v>
      </c>
    </row>
    <row r="1387" customFormat="false" ht="13.5" hidden="false" customHeight="false" outlineLevel="0" collapsed="false">
      <c r="A1387" s="1" t="str">
        <f aca="false">IF(对接源_02物料!$C187="","",对接源_02物料!$C187)</f>
        <v/>
      </c>
      <c r="B1387" s="1" t="n">
        <f aca="false">IF(A1387="",0,IF(MATCH(A1387,$A$4:$A$2403,0)=ROW()-3,1,0))</f>
        <v>0</v>
      </c>
      <c r="C1387" s="1" t="n">
        <f aca="false">N(C1386)+B1387</f>
        <v>17</v>
      </c>
      <c r="K1387" s="1" t="n">
        <f aca="false">IF(OR($K$1="",对接源_02物料!$C187="",对接源_02物料!$C187&lt;&gt;$K$1,对接源_02物料!$B187=""),0,IF(OR(N(对接源_02物料!$B187)&lt;$K$2,N(对接源_02物料!$B187)&gt;$K$3),0,1))</f>
        <v>0</v>
      </c>
      <c r="L1387" s="1" t="n">
        <f aca="false">IF(OR($L$1="",对接源_02物料!$C187="",对接源_02物料!$C187&lt;&gt;$L$1,对接源_02物料!$B187=""),0,IF(OR(N(对接源_02物料!$B187)&lt;$L$2,N(对接源_02物料!$B187)&gt;$L$3),0,1))</f>
        <v>0</v>
      </c>
      <c r="M1387" s="1" t="n">
        <f aca="false">IF(OR($M$1="",对接源_02物料!$C187="",对接源_02物料!$C187&lt;&gt;$M$1,对接源_02物料!$B187=""),0,IF(OR(N(对接源_02物料!$B187)&lt;$M$2,N(对接源_02物料!$B187)&gt;$M$3),0,1))</f>
        <v>0</v>
      </c>
      <c r="N1387" s="1" t="n">
        <f aca="false">IF(OR($N$1="",对接源_02物料!$C187="",对接源_02物料!$C187&lt;&gt;$N$1,对接源_02物料!$B187=""),0,IF(OR(N(对接源_02物料!$B187)&lt;$N$2,N(对接源_02物料!$B187)&gt;$N$3),0,1))</f>
        <v>0</v>
      </c>
      <c r="P1387" s="1" t="n">
        <f aca="false">IF(AND($K1387=1,AND(对接源_02物料!$X187="公司筐",N(对接源_02物料!$T187)&lt;&gt;0)),1,0)</f>
        <v>0</v>
      </c>
      <c r="Q1387" s="1" t="n">
        <f aca="false">N(Q1386)+$P1387</f>
        <v>13</v>
      </c>
      <c r="R1387" s="1" t="n">
        <f aca="false">IF(AND($K1387=1,AND(对接源_02物料!$X187="公司筐",N(对接源_02物料!$U187)&lt;&gt;0)),1,0)</f>
        <v>0</v>
      </c>
      <c r="S1387" s="1" t="n">
        <f aca="false">N(S1386)+$R1387</f>
        <v>5</v>
      </c>
      <c r="T1387" s="1" t="n">
        <f aca="false">IF(AND($K1387=1,AND(对接源_02物料!$X187="公司筐",N(对接源_02物料!$V187)&lt;&gt;0)),1,0)</f>
        <v>0</v>
      </c>
      <c r="U1387" s="1" t="n">
        <f aca="false">N(U1386)+$T1387</f>
        <v>28</v>
      </c>
      <c r="V1387" s="1" t="n">
        <f aca="false">IF(AND($L1387=1,AND(对接源_02物料!$X187="自备筐",N(对接源_02物料!$V187)&lt;&gt;0)),1,0)</f>
        <v>0</v>
      </c>
      <c r="W1387" s="1" t="n">
        <f aca="false">N(W1386)+$V1387</f>
        <v>7</v>
      </c>
      <c r="X1387" s="1" t="n">
        <f aca="false">IF(AND($L1387=1,AND(对接源_02物料!$X187="自备筐",N(对接源_02物料!$T187)&lt;&gt;0)),1,0)</f>
        <v>0</v>
      </c>
      <c r="Y1387" s="1" t="n">
        <f aca="false">N(Y1386)+$X1387</f>
        <v>0</v>
      </c>
      <c r="Z1387" s="1" t="n">
        <f aca="false">IF(AND($M1387=1,对接源_02物料!$D187="原料入库"),1,0)</f>
        <v>0</v>
      </c>
      <c r="AA1387" s="1" t="n">
        <f aca="false">N(AA1386)+$Z1387</f>
        <v>30</v>
      </c>
      <c r="AB1387" s="1" t="n">
        <f aca="false">IF(AND($M1387=1,LEFT(对接源_02物料!$D187,4)="原料出库"),1,0)</f>
        <v>0</v>
      </c>
      <c r="AC1387" s="1" t="n">
        <f aca="false">N(AC1386)+$AB1387</f>
        <v>19</v>
      </c>
      <c r="AD1387" s="1" t="n">
        <f aca="false">IF(AND($M1387=1,LEFT(对接源_02物料!$D187,4)="成品出库"),1,0)</f>
        <v>0</v>
      </c>
      <c r="AE1387" s="1" t="n">
        <f aca="false">N(AE1386)+$AD1387</f>
        <v>38</v>
      </c>
      <c r="AF1387" s="1" t="n">
        <f aca="false">IF(AND($N1387=1,AND(LEFT(对接源_02物料!$D187,4)="包装物料",N(对接源_02物料!$K187)&lt;&gt;0)),1,0)</f>
        <v>0</v>
      </c>
      <c r="AG1387" s="1" t="n">
        <f aca="false">N(AG1386)+$AF1387</f>
        <v>6</v>
      </c>
      <c r="AH1387" s="1" t="n">
        <f aca="false">IF(AND($N1387=1,AND(LEFT(对接源_02物料!$D187,3)="周转筐",N(对接源_02物料!$K187)&lt;&gt;0)),1,0)</f>
        <v>0</v>
      </c>
      <c r="AI1387" s="1" t="n">
        <f aca="false">N(AI1386)+$AH1387</f>
        <v>0</v>
      </c>
      <c r="AJ1387" s="1" t="n">
        <v>0</v>
      </c>
      <c r="AK1387" s="1" t="n">
        <f aca="false">N(AK1386)+$AJ1387</f>
        <v>3672</v>
      </c>
    </row>
    <row r="1388" customFormat="false" ht="13.5" hidden="false" customHeight="false" outlineLevel="0" collapsed="false">
      <c r="A1388" s="1" t="str">
        <f aca="false">IF(对接源_02物料!$C188="","",对接源_02物料!$C188)</f>
        <v/>
      </c>
      <c r="B1388" s="1" t="n">
        <f aca="false">IF(A1388="",0,IF(MATCH(A1388,$A$4:$A$2403,0)=ROW()-3,1,0))</f>
        <v>0</v>
      </c>
      <c r="C1388" s="1" t="n">
        <f aca="false">N(C1387)+B1388</f>
        <v>17</v>
      </c>
      <c r="K1388" s="1" t="n">
        <f aca="false">IF(OR($K$1="",对接源_02物料!$C188="",对接源_02物料!$C188&lt;&gt;$K$1,对接源_02物料!$B188=""),0,IF(OR(N(对接源_02物料!$B188)&lt;$K$2,N(对接源_02物料!$B188)&gt;$K$3),0,1))</f>
        <v>0</v>
      </c>
      <c r="L1388" s="1" t="n">
        <f aca="false">IF(OR($L$1="",对接源_02物料!$C188="",对接源_02物料!$C188&lt;&gt;$L$1,对接源_02物料!$B188=""),0,IF(OR(N(对接源_02物料!$B188)&lt;$L$2,N(对接源_02物料!$B188)&gt;$L$3),0,1))</f>
        <v>0</v>
      </c>
      <c r="M1388" s="1" t="n">
        <f aca="false">IF(OR($M$1="",对接源_02物料!$C188="",对接源_02物料!$C188&lt;&gt;$M$1,对接源_02物料!$B188=""),0,IF(OR(N(对接源_02物料!$B188)&lt;$M$2,N(对接源_02物料!$B188)&gt;$M$3),0,1))</f>
        <v>0</v>
      </c>
      <c r="N1388" s="1" t="n">
        <f aca="false">IF(OR($N$1="",对接源_02物料!$C188="",对接源_02物料!$C188&lt;&gt;$N$1,对接源_02物料!$B188=""),0,IF(OR(N(对接源_02物料!$B188)&lt;$N$2,N(对接源_02物料!$B188)&gt;$N$3),0,1))</f>
        <v>0</v>
      </c>
      <c r="P1388" s="1" t="n">
        <f aca="false">IF(AND($K1388=1,AND(对接源_02物料!$X188="公司筐",N(对接源_02物料!$T188)&lt;&gt;0)),1,0)</f>
        <v>0</v>
      </c>
      <c r="Q1388" s="1" t="n">
        <f aca="false">N(Q1387)+$P1388</f>
        <v>13</v>
      </c>
      <c r="R1388" s="1" t="n">
        <f aca="false">IF(AND($K1388=1,AND(对接源_02物料!$X188="公司筐",N(对接源_02物料!$U188)&lt;&gt;0)),1,0)</f>
        <v>0</v>
      </c>
      <c r="S1388" s="1" t="n">
        <f aca="false">N(S1387)+$R1388</f>
        <v>5</v>
      </c>
      <c r="T1388" s="1" t="n">
        <f aca="false">IF(AND($K1388=1,AND(对接源_02物料!$X188="公司筐",N(对接源_02物料!$V188)&lt;&gt;0)),1,0)</f>
        <v>0</v>
      </c>
      <c r="U1388" s="1" t="n">
        <f aca="false">N(U1387)+$T1388</f>
        <v>28</v>
      </c>
      <c r="V1388" s="1" t="n">
        <f aca="false">IF(AND($L1388=1,AND(对接源_02物料!$X188="自备筐",N(对接源_02物料!$V188)&lt;&gt;0)),1,0)</f>
        <v>0</v>
      </c>
      <c r="W1388" s="1" t="n">
        <f aca="false">N(W1387)+$V1388</f>
        <v>7</v>
      </c>
      <c r="X1388" s="1" t="n">
        <f aca="false">IF(AND($L1388=1,AND(对接源_02物料!$X188="自备筐",N(对接源_02物料!$T188)&lt;&gt;0)),1,0)</f>
        <v>0</v>
      </c>
      <c r="Y1388" s="1" t="n">
        <f aca="false">N(Y1387)+$X1388</f>
        <v>0</v>
      </c>
      <c r="Z1388" s="1" t="n">
        <f aca="false">IF(AND($M1388=1,对接源_02物料!$D188="原料入库"),1,0)</f>
        <v>0</v>
      </c>
      <c r="AA1388" s="1" t="n">
        <f aca="false">N(AA1387)+$Z1388</f>
        <v>30</v>
      </c>
      <c r="AB1388" s="1" t="n">
        <f aca="false">IF(AND($M1388=1,LEFT(对接源_02物料!$D188,4)="原料出库"),1,0)</f>
        <v>0</v>
      </c>
      <c r="AC1388" s="1" t="n">
        <f aca="false">N(AC1387)+$AB1388</f>
        <v>19</v>
      </c>
      <c r="AD1388" s="1" t="n">
        <f aca="false">IF(AND($M1388=1,LEFT(对接源_02物料!$D188,4)="成品出库"),1,0)</f>
        <v>0</v>
      </c>
      <c r="AE1388" s="1" t="n">
        <f aca="false">N(AE1387)+$AD1388</f>
        <v>38</v>
      </c>
      <c r="AF1388" s="1" t="n">
        <f aca="false">IF(AND($N1388=1,AND(LEFT(对接源_02物料!$D188,4)="包装物料",N(对接源_02物料!$K188)&lt;&gt;0)),1,0)</f>
        <v>0</v>
      </c>
      <c r="AG1388" s="1" t="n">
        <f aca="false">N(AG1387)+$AF1388</f>
        <v>6</v>
      </c>
      <c r="AH1388" s="1" t="n">
        <f aca="false">IF(AND($N1388=1,AND(LEFT(对接源_02物料!$D188,3)="周转筐",N(对接源_02物料!$K188)&lt;&gt;0)),1,0)</f>
        <v>0</v>
      </c>
      <c r="AI1388" s="1" t="n">
        <f aca="false">N(AI1387)+$AH1388</f>
        <v>0</v>
      </c>
      <c r="AJ1388" s="1" t="n">
        <v>0</v>
      </c>
      <c r="AK1388" s="1" t="n">
        <f aca="false">N(AK1387)+$AJ1388</f>
        <v>3672</v>
      </c>
    </row>
    <row r="1389" customFormat="false" ht="13.5" hidden="false" customHeight="false" outlineLevel="0" collapsed="false">
      <c r="A1389" s="1" t="str">
        <f aca="false">IF(对接源_02物料!$C189="","",对接源_02物料!$C189)</f>
        <v/>
      </c>
      <c r="B1389" s="1" t="n">
        <f aca="false">IF(A1389="",0,IF(MATCH(A1389,$A$4:$A$2403,0)=ROW()-3,1,0))</f>
        <v>0</v>
      </c>
      <c r="C1389" s="1" t="n">
        <f aca="false">N(C1388)+B1389</f>
        <v>17</v>
      </c>
      <c r="K1389" s="1" t="n">
        <f aca="false">IF(OR($K$1="",对接源_02物料!$C189="",对接源_02物料!$C189&lt;&gt;$K$1,对接源_02物料!$B189=""),0,IF(OR(N(对接源_02物料!$B189)&lt;$K$2,N(对接源_02物料!$B189)&gt;$K$3),0,1))</f>
        <v>0</v>
      </c>
      <c r="L1389" s="1" t="n">
        <f aca="false">IF(OR($L$1="",对接源_02物料!$C189="",对接源_02物料!$C189&lt;&gt;$L$1,对接源_02物料!$B189=""),0,IF(OR(N(对接源_02物料!$B189)&lt;$L$2,N(对接源_02物料!$B189)&gt;$L$3),0,1))</f>
        <v>0</v>
      </c>
      <c r="M1389" s="1" t="n">
        <f aca="false">IF(OR($M$1="",对接源_02物料!$C189="",对接源_02物料!$C189&lt;&gt;$M$1,对接源_02物料!$B189=""),0,IF(OR(N(对接源_02物料!$B189)&lt;$M$2,N(对接源_02物料!$B189)&gt;$M$3),0,1))</f>
        <v>0</v>
      </c>
      <c r="N1389" s="1" t="n">
        <f aca="false">IF(OR($N$1="",对接源_02物料!$C189="",对接源_02物料!$C189&lt;&gt;$N$1,对接源_02物料!$B189=""),0,IF(OR(N(对接源_02物料!$B189)&lt;$N$2,N(对接源_02物料!$B189)&gt;$N$3),0,1))</f>
        <v>0</v>
      </c>
      <c r="P1389" s="1" t="n">
        <f aca="false">IF(AND($K1389=1,AND(对接源_02物料!$X189="公司筐",N(对接源_02物料!$T189)&lt;&gt;0)),1,0)</f>
        <v>0</v>
      </c>
      <c r="Q1389" s="1" t="n">
        <f aca="false">N(Q1388)+$P1389</f>
        <v>13</v>
      </c>
      <c r="R1389" s="1" t="n">
        <f aca="false">IF(AND($K1389=1,AND(对接源_02物料!$X189="公司筐",N(对接源_02物料!$U189)&lt;&gt;0)),1,0)</f>
        <v>0</v>
      </c>
      <c r="S1389" s="1" t="n">
        <f aca="false">N(S1388)+$R1389</f>
        <v>5</v>
      </c>
      <c r="T1389" s="1" t="n">
        <f aca="false">IF(AND($K1389=1,AND(对接源_02物料!$X189="公司筐",N(对接源_02物料!$V189)&lt;&gt;0)),1,0)</f>
        <v>0</v>
      </c>
      <c r="U1389" s="1" t="n">
        <f aca="false">N(U1388)+$T1389</f>
        <v>28</v>
      </c>
      <c r="V1389" s="1" t="n">
        <f aca="false">IF(AND($L1389=1,AND(对接源_02物料!$X189="自备筐",N(对接源_02物料!$V189)&lt;&gt;0)),1,0)</f>
        <v>0</v>
      </c>
      <c r="W1389" s="1" t="n">
        <f aca="false">N(W1388)+$V1389</f>
        <v>7</v>
      </c>
      <c r="X1389" s="1" t="n">
        <f aca="false">IF(AND($L1389=1,AND(对接源_02物料!$X189="自备筐",N(对接源_02物料!$T189)&lt;&gt;0)),1,0)</f>
        <v>0</v>
      </c>
      <c r="Y1389" s="1" t="n">
        <f aca="false">N(Y1388)+$X1389</f>
        <v>0</v>
      </c>
      <c r="Z1389" s="1" t="n">
        <f aca="false">IF(AND($M1389=1,对接源_02物料!$D189="原料入库"),1,0)</f>
        <v>0</v>
      </c>
      <c r="AA1389" s="1" t="n">
        <f aca="false">N(AA1388)+$Z1389</f>
        <v>30</v>
      </c>
      <c r="AB1389" s="1" t="n">
        <f aca="false">IF(AND($M1389=1,LEFT(对接源_02物料!$D189,4)="原料出库"),1,0)</f>
        <v>0</v>
      </c>
      <c r="AC1389" s="1" t="n">
        <f aca="false">N(AC1388)+$AB1389</f>
        <v>19</v>
      </c>
      <c r="AD1389" s="1" t="n">
        <f aca="false">IF(AND($M1389=1,LEFT(对接源_02物料!$D189,4)="成品出库"),1,0)</f>
        <v>0</v>
      </c>
      <c r="AE1389" s="1" t="n">
        <f aca="false">N(AE1388)+$AD1389</f>
        <v>38</v>
      </c>
      <c r="AF1389" s="1" t="n">
        <f aca="false">IF(AND($N1389=1,AND(LEFT(对接源_02物料!$D189,4)="包装物料",N(对接源_02物料!$K189)&lt;&gt;0)),1,0)</f>
        <v>0</v>
      </c>
      <c r="AG1389" s="1" t="n">
        <f aca="false">N(AG1388)+$AF1389</f>
        <v>6</v>
      </c>
      <c r="AH1389" s="1" t="n">
        <f aca="false">IF(AND($N1389=1,AND(LEFT(对接源_02物料!$D189,3)="周转筐",N(对接源_02物料!$K189)&lt;&gt;0)),1,0)</f>
        <v>0</v>
      </c>
      <c r="AI1389" s="1" t="n">
        <f aca="false">N(AI1388)+$AH1389</f>
        <v>0</v>
      </c>
      <c r="AJ1389" s="1" t="n">
        <v>0</v>
      </c>
      <c r="AK1389" s="1" t="n">
        <f aca="false">N(AK1388)+$AJ1389</f>
        <v>3672</v>
      </c>
    </row>
    <row r="1390" customFormat="false" ht="13.5" hidden="false" customHeight="false" outlineLevel="0" collapsed="false">
      <c r="A1390" s="1" t="str">
        <f aca="false">IF(对接源_02物料!$C190="","",对接源_02物料!$C190)</f>
        <v/>
      </c>
      <c r="B1390" s="1" t="n">
        <f aca="false">IF(A1390="",0,IF(MATCH(A1390,$A$4:$A$2403,0)=ROW()-3,1,0))</f>
        <v>0</v>
      </c>
      <c r="C1390" s="1" t="n">
        <f aca="false">N(C1389)+B1390</f>
        <v>17</v>
      </c>
      <c r="K1390" s="1" t="n">
        <f aca="false">IF(OR($K$1="",对接源_02物料!$C190="",对接源_02物料!$C190&lt;&gt;$K$1,对接源_02物料!$B190=""),0,IF(OR(N(对接源_02物料!$B190)&lt;$K$2,N(对接源_02物料!$B190)&gt;$K$3),0,1))</f>
        <v>0</v>
      </c>
      <c r="L1390" s="1" t="n">
        <f aca="false">IF(OR($L$1="",对接源_02物料!$C190="",对接源_02物料!$C190&lt;&gt;$L$1,对接源_02物料!$B190=""),0,IF(OR(N(对接源_02物料!$B190)&lt;$L$2,N(对接源_02物料!$B190)&gt;$L$3),0,1))</f>
        <v>0</v>
      </c>
      <c r="M1390" s="1" t="n">
        <f aca="false">IF(OR($M$1="",对接源_02物料!$C190="",对接源_02物料!$C190&lt;&gt;$M$1,对接源_02物料!$B190=""),0,IF(OR(N(对接源_02物料!$B190)&lt;$M$2,N(对接源_02物料!$B190)&gt;$M$3),0,1))</f>
        <v>0</v>
      </c>
      <c r="N1390" s="1" t="n">
        <f aca="false">IF(OR($N$1="",对接源_02物料!$C190="",对接源_02物料!$C190&lt;&gt;$N$1,对接源_02物料!$B190=""),0,IF(OR(N(对接源_02物料!$B190)&lt;$N$2,N(对接源_02物料!$B190)&gt;$N$3),0,1))</f>
        <v>0</v>
      </c>
      <c r="P1390" s="1" t="n">
        <f aca="false">IF(AND($K1390=1,AND(对接源_02物料!$X190="公司筐",N(对接源_02物料!$T190)&lt;&gt;0)),1,0)</f>
        <v>0</v>
      </c>
      <c r="Q1390" s="1" t="n">
        <f aca="false">N(Q1389)+$P1390</f>
        <v>13</v>
      </c>
      <c r="R1390" s="1" t="n">
        <f aca="false">IF(AND($K1390=1,AND(对接源_02物料!$X190="公司筐",N(对接源_02物料!$U190)&lt;&gt;0)),1,0)</f>
        <v>0</v>
      </c>
      <c r="S1390" s="1" t="n">
        <f aca="false">N(S1389)+$R1390</f>
        <v>5</v>
      </c>
      <c r="T1390" s="1" t="n">
        <f aca="false">IF(AND($K1390=1,AND(对接源_02物料!$X190="公司筐",N(对接源_02物料!$V190)&lt;&gt;0)),1,0)</f>
        <v>0</v>
      </c>
      <c r="U1390" s="1" t="n">
        <f aca="false">N(U1389)+$T1390</f>
        <v>28</v>
      </c>
      <c r="V1390" s="1" t="n">
        <f aca="false">IF(AND($L1390=1,AND(对接源_02物料!$X190="自备筐",N(对接源_02物料!$V190)&lt;&gt;0)),1,0)</f>
        <v>0</v>
      </c>
      <c r="W1390" s="1" t="n">
        <f aca="false">N(W1389)+$V1390</f>
        <v>7</v>
      </c>
      <c r="X1390" s="1" t="n">
        <f aca="false">IF(AND($L1390=1,AND(对接源_02物料!$X190="自备筐",N(对接源_02物料!$T190)&lt;&gt;0)),1,0)</f>
        <v>0</v>
      </c>
      <c r="Y1390" s="1" t="n">
        <f aca="false">N(Y1389)+$X1390</f>
        <v>0</v>
      </c>
      <c r="Z1390" s="1" t="n">
        <f aca="false">IF(AND($M1390=1,对接源_02物料!$D190="原料入库"),1,0)</f>
        <v>0</v>
      </c>
      <c r="AA1390" s="1" t="n">
        <f aca="false">N(AA1389)+$Z1390</f>
        <v>30</v>
      </c>
      <c r="AB1390" s="1" t="n">
        <f aca="false">IF(AND($M1390=1,LEFT(对接源_02物料!$D190,4)="原料出库"),1,0)</f>
        <v>0</v>
      </c>
      <c r="AC1390" s="1" t="n">
        <f aca="false">N(AC1389)+$AB1390</f>
        <v>19</v>
      </c>
      <c r="AD1390" s="1" t="n">
        <f aca="false">IF(AND($M1390=1,LEFT(对接源_02物料!$D190,4)="成品出库"),1,0)</f>
        <v>0</v>
      </c>
      <c r="AE1390" s="1" t="n">
        <f aca="false">N(AE1389)+$AD1390</f>
        <v>38</v>
      </c>
      <c r="AF1390" s="1" t="n">
        <f aca="false">IF(AND($N1390=1,AND(LEFT(对接源_02物料!$D190,4)="包装物料",N(对接源_02物料!$K190)&lt;&gt;0)),1,0)</f>
        <v>0</v>
      </c>
      <c r="AG1390" s="1" t="n">
        <f aca="false">N(AG1389)+$AF1390</f>
        <v>6</v>
      </c>
      <c r="AH1390" s="1" t="n">
        <f aca="false">IF(AND($N1390=1,AND(LEFT(对接源_02物料!$D190,3)="周转筐",N(对接源_02物料!$K190)&lt;&gt;0)),1,0)</f>
        <v>0</v>
      </c>
      <c r="AI1390" s="1" t="n">
        <f aca="false">N(AI1389)+$AH1390</f>
        <v>0</v>
      </c>
      <c r="AJ1390" s="1" t="n">
        <v>0</v>
      </c>
      <c r="AK1390" s="1" t="n">
        <f aca="false">N(AK1389)+$AJ1390</f>
        <v>3672</v>
      </c>
    </row>
    <row r="1391" customFormat="false" ht="13.5" hidden="false" customHeight="false" outlineLevel="0" collapsed="false">
      <c r="A1391" s="1" t="str">
        <f aca="false">IF(对接源_02物料!$C191="","",对接源_02物料!$C191)</f>
        <v/>
      </c>
      <c r="B1391" s="1" t="n">
        <f aca="false">IF(A1391="",0,IF(MATCH(A1391,$A$4:$A$2403,0)=ROW()-3,1,0))</f>
        <v>0</v>
      </c>
      <c r="C1391" s="1" t="n">
        <f aca="false">N(C1390)+B1391</f>
        <v>17</v>
      </c>
      <c r="K1391" s="1" t="n">
        <f aca="false">IF(OR($K$1="",对接源_02物料!$C191="",对接源_02物料!$C191&lt;&gt;$K$1,对接源_02物料!$B191=""),0,IF(OR(N(对接源_02物料!$B191)&lt;$K$2,N(对接源_02物料!$B191)&gt;$K$3),0,1))</f>
        <v>0</v>
      </c>
      <c r="L1391" s="1" t="n">
        <f aca="false">IF(OR($L$1="",对接源_02物料!$C191="",对接源_02物料!$C191&lt;&gt;$L$1,对接源_02物料!$B191=""),0,IF(OR(N(对接源_02物料!$B191)&lt;$L$2,N(对接源_02物料!$B191)&gt;$L$3),0,1))</f>
        <v>0</v>
      </c>
      <c r="M1391" s="1" t="n">
        <f aca="false">IF(OR($M$1="",对接源_02物料!$C191="",对接源_02物料!$C191&lt;&gt;$M$1,对接源_02物料!$B191=""),0,IF(OR(N(对接源_02物料!$B191)&lt;$M$2,N(对接源_02物料!$B191)&gt;$M$3),0,1))</f>
        <v>0</v>
      </c>
      <c r="N1391" s="1" t="n">
        <f aca="false">IF(OR($N$1="",对接源_02物料!$C191="",对接源_02物料!$C191&lt;&gt;$N$1,对接源_02物料!$B191=""),0,IF(OR(N(对接源_02物料!$B191)&lt;$N$2,N(对接源_02物料!$B191)&gt;$N$3),0,1))</f>
        <v>0</v>
      </c>
      <c r="P1391" s="1" t="n">
        <f aca="false">IF(AND($K1391=1,AND(对接源_02物料!$X191="公司筐",N(对接源_02物料!$T191)&lt;&gt;0)),1,0)</f>
        <v>0</v>
      </c>
      <c r="Q1391" s="1" t="n">
        <f aca="false">N(Q1390)+$P1391</f>
        <v>13</v>
      </c>
      <c r="R1391" s="1" t="n">
        <f aca="false">IF(AND($K1391=1,AND(对接源_02物料!$X191="公司筐",N(对接源_02物料!$U191)&lt;&gt;0)),1,0)</f>
        <v>0</v>
      </c>
      <c r="S1391" s="1" t="n">
        <f aca="false">N(S1390)+$R1391</f>
        <v>5</v>
      </c>
      <c r="T1391" s="1" t="n">
        <f aca="false">IF(AND($K1391=1,AND(对接源_02物料!$X191="公司筐",N(对接源_02物料!$V191)&lt;&gt;0)),1,0)</f>
        <v>0</v>
      </c>
      <c r="U1391" s="1" t="n">
        <f aca="false">N(U1390)+$T1391</f>
        <v>28</v>
      </c>
      <c r="V1391" s="1" t="n">
        <f aca="false">IF(AND($L1391=1,AND(对接源_02物料!$X191="自备筐",N(对接源_02物料!$V191)&lt;&gt;0)),1,0)</f>
        <v>0</v>
      </c>
      <c r="W1391" s="1" t="n">
        <f aca="false">N(W1390)+$V1391</f>
        <v>7</v>
      </c>
      <c r="X1391" s="1" t="n">
        <f aca="false">IF(AND($L1391=1,AND(对接源_02物料!$X191="自备筐",N(对接源_02物料!$T191)&lt;&gt;0)),1,0)</f>
        <v>0</v>
      </c>
      <c r="Y1391" s="1" t="n">
        <f aca="false">N(Y1390)+$X1391</f>
        <v>0</v>
      </c>
      <c r="Z1391" s="1" t="n">
        <f aca="false">IF(AND($M1391=1,对接源_02物料!$D191="原料入库"),1,0)</f>
        <v>0</v>
      </c>
      <c r="AA1391" s="1" t="n">
        <f aca="false">N(AA1390)+$Z1391</f>
        <v>30</v>
      </c>
      <c r="AB1391" s="1" t="n">
        <f aca="false">IF(AND($M1391=1,LEFT(对接源_02物料!$D191,4)="原料出库"),1,0)</f>
        <v>0</v>
      </c>
      <c r="AC1391" s="1" t="n">
        <f aca="false">N(AC1390)+$AB1391</f>
        <v>19</v>
      </c>
      <c r="AD1391" s="1" t="n">
        <f aca="false">IF(AND($M1391=1,LEFT(对接源_02物料!$D191,4)="成品出库"),1,0)</f>
        <v>0</v>
      </c>
      <c r="AE1391" s="1" t="n">
        <f aca="false">N(AE1390)+$AD1391</f>
        <v>38</v>
      </c>
      <c r="AF1391" s="1" t="n">
        <f aca="false">IF(AND($N1391=1,AND(LEFT(对接源_02物料!$D191,4)="包装物料",N(对接源_02物料!$K191)&lt;&gt;0)),1,0)</f>
        <v>0</v>
      </c>
      <c r="AG1391" s="1" t="n">
        <f aca="false">N(AG1390)+$AF1391</f>
        <v>6</v>
      </c>
      <c r="AH1391" s="1" t="n">
        <f aca="false">IF(AND($N1391=1,AND(LEFT(对接源_02物料!$D191,3)="周转筐",N(对接源_02物料!$K191)&lt;&gt;0)),1,0)</f>
        <v>0</v>
      </c>
      <c r="AI1391" s="1" t="n">
        <f aca="false">N(AI1390)+$AH1391</f>
        <v>0</v>
      </c>
      <c r="AJ1391" s="1" t="n">
        <v>0</v>
      </c>
      <c r="AK1391" s="1" t="n">
        <f aca="false">N(AK1390)+$AJ1391</f>
        <v>3672</v>
      </c>
    </row>
    <row r="1392" customFormat="false" ht="13.5" hidden="false" customHeight="false" outlineLevel="0" collapsed="false">
      <c r="A1392" s="1" t="str">
        <f aca="false">IF(对接源_02物料!$C192="","",对接源_02物料!$C192)</f>
        <v/>
      </c>
      <c r="B1392" s="1" t="n">
        <f aca="false">IF(A1392="",0,IF(MATCH(A1392,$A$4:$A$2403,0)=ROW()-3,1,0))</f>
        <v>0</v>
      </c>
      <c r="C1392" s="1" t="n">
        <f aca="false">N(C1391)+B1392</f>
        <v>17</v>
      </c>
      <c r="K1392" s="1" t="n">
        <f aca="false">IF(OR($K$1="",对接源_02物料!$C192="",对接源_02物料!$C192&lt;&gt;$K$1,对接源_02物料!$B192=""),0,IF(OR(N(对接源_02物料!$B192)&lt;$K$2,N(对接源_02物料!$B192)&gt;$K$3),0,1))</f>
        <v>0</v>
      </c>
      <c r="L1392" s="1" t="n">
        <f aca="false">IF(OR($L$1="",对接源_02物料!$C192="",对接源_02物料!$C192&lt;&gt;$L$1,对接源_02物料!$B192=""),0,IF(OR(N(对接源_02物料!$B192)&lt;$L$2,N(对接源_02物料!$B192)&gt;$L$3),0,1))</f>
        <v>0</v>
      </c>
      <c r="M1392" s="1" t="n">
        <f aca="false">IF(OR($M$1="",对接源_02物料!$C192="",对接源_02物料!$C192&lt;&gt;$M$1,对接源_02物料!$B192=""),0,IF(OR(N(对接源_02物料!$B192)&lt;$M$2,N(对接源_02物料!$B192)&gt;$M$3),0,1))</f>
        <v>0</v>
      </c>
      <c r="N1392" s="1" t="n">
        <f aca="false">IF(OR($N$1="",对接源_02物料!$C192="",对接源_02物料!$C192&lt;&gt;$N$1,对接源_02物料!$B192=""),0,IF(OR(N(对接源_02物料!$B192)&lt;$N$2,N(对接源_02物料!$B192)&gt;$N$3),0,1))</f>
        <v>0</v>
      </c>
      <c r="P1392" s="1" t="n">
        <f aca="false">IF(AND($K1392=1,AND(对接源_02物料!$X192="公司筐",N(对接源_02物料!$T192)&lt;&gt;0)),1,0)</f>
        <v>0</v>
      </c>
      <c r="Q1392" s="1" t="n">
        <f aca="false">N(Q1391)+$P1392</f>
        <v>13</v>
      </c>
      <c r="R1392" s="1" t="n">
        <f aca="false">IF(AND($K1392=1,AND(对接源_02物料!$X192="公司筐",N(对接源_02物料!$U192)&lt;&gt;0)),1,0)</f>
        <v>0</v>
      </c>
      <c r="S1392" s="1" t="n">
        <f aca="false">N(S1391)+$R1392</f>
        <v>5</v>
      </c>
      <c r="T1392" s="1" t="n">
        <f aca="false">IF(AND($K1392=1,AND(对接源_02物料!$X192="公司筐",N(对接源_02物料!$V192)&lt;&gt;0)),1,0)</f>
        <v>0</v>
      </c>
      <c r="U1392" s="1" t="n">
        <f aca="false">N(U1391)+$T1392</f>
        <v>28</v>
      </c>
      <c r="V1392" s="1" t="n">
        <f aca="false">IF(AND($L1392=1,AND(对接源_02物料!$X192="自备筐",N(对接源_02物料!$V192)&lt;&gt;0)),1,0)</f>
        <v>0</v>
      </c>
      <c r="W1392" s="1" t="n">
        <f aca="false">N(W1391)+$V1392</f>
        <v>7</v>
      </c>
      <c r="X1392" s="1" t="n">
        <f aca="false">IF(AND($L1392=1,AND(对接源_02物料!$X192="自备筐",N(对接源_02物料!$T192)&lt;&gt;0)),1,0)</f>
        <v>0</v>
      </c>
      <c r="Y1392" s="1" t="n">
        <f aca="false">N(Y1391)+$X1392</f>
        <v>0</v>
      </c>
      <c r="Z1392" s="1" t="n">
        <f aca="false">IF(AND($M1392=1,对接源_02物料!$D192="原料入库"),1,0)</f>
        <v>0</v>
      </c>
      <c r="AA1392" s="1" t="n">
        <f aca="false">N(AA1391)+$Z1392</f>
        <v>30</v>
      </c>
      <c r="AB1392" s="1" t="n">
        <f aca="false">IF(AND($M1392=1,LEFT(对接源_02物料!$D192,4)="原料出库"),1,0)</f>
        <v>0</v>
      </c>
      <c r="AC1392" s="1" t="n">
        <f aca="false">N(AC1391)+$AB1392</f>
        <v>19</v>
      </c>
      <c r="AD1392" s="1" t="n">
        <f aca="false">IF(AND($M1392=1,LEFT(对接源_02物料!$D192,4)="成品出库"),1,0)</f>
        <v>0</v>
      </c>
      <c r="AE1392" s="1" t="n">
        <f aca="false">N(AE1391)+$AD1392</f>
        <v>38</v>
      </c>
      <c r="AF1392" s="1" t="n">
        <f aca="false">IF(AND($N1392=1,AND(LEFT(对接源_02物料!$D192,4)="包装物料",N(对接源_02物料!$K192)&lt;&gt;0)),1,0)</f>
        <v>0</v>
      </c>
      <c r="AG1392" s="1" t="n">
        <f aca="false">N(AG1391)+$AF1392</f>
        <v>6</v>
      </c>
      <c r="AH1392" s="1" t="n">
        <f aca="false">IF(AND($N1392=1,AND(LEFT(对接源_02物料!$D192,3)="周转筐",N(对接源_02物料!$K192)&lt;&gt;0)),1,0)</f>
        <v>0</v>
      </c>
      <c r="AI1392" s="1" t="n">
        <f aca="false">N(AI1391)+$AH1392</f>
        <v>0</v>
      </c>
      <c r="AJ1392" s="1" t="n">
        <v>0</v>
      </c>
      <c r="AK1392" s="1" t="n">
        <f aca="false">N(AK1391)+$AJ1392</f>
        <v>3672</v>
      </c>
    </row>
    <row r="1393" customFormat="false" ht="13.5" hidden="false" customHeight="false" outlineLevel="0" collapsed="false">
      <c r="A1393" s="1" t="str">
        <f aca="false">IF(对接源_02物料!$C193="","",对接源_02物料!$C193)</f>
        <v/>
      </c>
      <c r="B1393" s="1" t="n">
        <f aca="false">IF(A1393="",0,IF(MATCH(A1393,$A$4:$A$2403,0)=ROW()-3,1,0))</f>
        <v>0</v>
      </c>
      <c r="C1393" s="1" t="n">
        <f aca="false">N(C1392)+B1393</f>
        <v>17</v>
      </c>
      <c r="K1393" s="1" t="n">
        <f aca="false">IF(OR($K$1="",对接源_02物料!$C193="",对接源_02物料!$C193&lt;&gt;$K$1,对接源_02物料!$B193=""),0,IF(OR(N(对接源_02物料!$B193)&lt;$K$2,N(对接源_02物料!$B193)&gt;$K$3),0,1))</f>
        <v>0</v>
      </c>
      <c r="L1393" s="1" t="n">
        <f aca="false">IF(OR($L$1="",对接源_02物料!$C193="",对接源_02物料!$C193&lt;&gt;$L$1,对接源_02物料!$B193=""),0,IF(OR(N(对接源_02物料!$B193)&lt;$L$2,N(对接源_02物料!$B193)&gt;$L$3),0,1))</f>
        <v>0</v>
      </c>
      <c r="M1393" s="1" t="n">
        <f aca="false">IF(OR($M$1="",对接源_02物料!$C193="",对接源_02物料!$C193&lt;&gt;$M$1,对接源_02物料!$B193=""),0,IF(OR(N(对接源_02物料!$B193)&lt;$M$2,N(对接源_02物料!$B193)&gt;$M$3),0,1))</f>
        <v>0</v>
      </c>
      <c r="N1393" s="1" t="n">
        <f aca="false">IF(OR($N$1="",对接源_02物料!$C193="",对接源_02物料!$C193&lt;&gt;$N$1,对接源_02物料!$B193=""),0,IF(OR(N(对接源_02物料!$B193)&lt;$N$2,N(对接源_02物料!$B193)&gt;$N$3),0,1))</f>
        <v>0</v>
      </c>
      <c r="P1393" s="1" t="n">
        <f aca="false">IF(AND($K1393=1,AND(对接源_02物料!$X193="公司筐",N(对接源_02物料!$T193)&lt;&gt;0)),1,0)</f>
        <v>0</v>
      </c>
      <c r="Q1393" s="1" t="n">
        <f aca="false">N(Q1392)+$P1393</f>
        <v>13</v>
      </c>
      <c r="R1393" s="1" t="n">
        <f aca="false">IF(AND($K1393=1,AND(对接源_02物料!$X193="公司筐",N(对接源_02物料!$U193)&lt;&gt;0)),1,0)</f>
        <v>0</v>
      </c>
      <c r="S1393" s="1" t="n">
        <f aca="false">N(S1392)+$R1393</f>
        <v>5</v>
      </c>
      <c r="T1393" s="1" t="n">
        <f aca="false">IF(AND($K1393=1,AND(对接源_02物料!$X193="公司筐",N(对接源_02物料!$V193)&lt;&gt;0)),1,0)</f>
        <v>0</v>
      </c>
      <c r="U1393" s="1" t="n">
        <f aca="false">N(U1392)+$T1393</f>
        <v>28</v>
      </c>
      <c r="V1393" s="1" t="n">
        <f aca="false">IF(AND($L1393=1,AND(对接源_02物料!$X193="自备筐",N(对接源_02物料!$V193)&lt;&gt;0)),1,0)</f>
        <v>0</v>
      </c>
      <c r="W1393" s="1" t="n">
        <f aca="false">N(W1392)+$V1393</f>
        <v>7</v>
      </c>
      <c r="X1393" s="1" t="n">
        <f aca="false">IF(AND($L1393=1,AND(对接源_02物料!$X193="自备筐",N(对接源_02物料!$T193)&lt;&gt;0)),1,0)</f>
        <v>0</v>
      </c>
      <c r="Y1393" s="1" t="n">
        <f aca="false">N(Y1392)+$X1393</f>
        <v>0</v>
      </c>
      <c r="Z1393" s="1" t="n">
        <f aca="false">IF(AND($M1393=1,对接源_02物料!$D193="原料入库"),1,0)</f>
        <v>0</v>
      </c>
      <c r="AA1393" s="1" t="n">
        <f aca="false">N(AA1392)+$Z1393</f>
        <v>30</v>
      </c>
      <c r="AB1393" s="1" t="n">
        <f aca="false">IF(AND($M1393=1,LEFT(对接源_02物料!$D193,4)="原料出库"),1,0)</f>
        <v>0</v>
      </c>
      <c r="AC1393" s="1" t="n">
        <f aca="false">N(AC1392)+$AB1393</f>
        <v>19</v>
      </c>
      <c r="AD1393" s="1" t="n">
        <f aca="false">IF(AND($M1393=1,LEFT(对接源_02物料!$D193,4)="成品出库"),1,0)</f>
        <v>0</v>
      </c>
      <c r="AE1393" s="1" t="n">
        <f aca="false">N(AE1392)+$AD1393</f>
        <v>38</v>
      </c>
      <c r="AF1393" s="1" t="n">
        <f aca="false">IF(AND($N1393=1,AND(LEFT(对接源_02物料!$D193,4)="包装物料",N(对接源_02物料!$K193)&lt;&gt;0)),1,0)</f>
        <v>0</v>
      </c>
      <c r="AG1393" s="1" t="n">
        <f aca="false">N(AG1392)+$AF1393</f>
        <v>6</v>
      </c>
      <c r="AH1393" s="1" t="n">
        <f aca="false">IF(AND($N1393=1,AND(LEFT(对接源_02物料!$D193,3)="周转筐",N(对接源_02物料!$K193)&lt;&gt;0)),1,0)</f>
        <v>0</v>
      </c>
      <c r="AI1393" s="1" t="n">
        <f aca="false">N(AI1392)+$AH1393</f>
        <v>0</v>
      </c>
      <c r="AJ1393" s="1" t="n">
        <v>0</v>
      </c>
      <c r="AK1393" s="1" t="n">
        <f aca="false">N(AK1392)+$AJ1393</f>
        <v>3672</v>
      </c>
    </row>
    <row r="1394" customFormat="false" ht="13.5" hidden="false" customHeight="false" outlineLevel="0" collapsed="false">
      <c r="A1394" s="1" t="str">
        <f aca="false">IF(对接源_02物料!$C194="","",对接源_02物料!$C194)</f>
        <v/>
      </c>
      <c r="B1394" s="1" t="n">
        <f aca="false">IF(A1394="",0,IF(MATCH(A1394,$A$4:$A$2403,0)=ROW()-3,1,0))</f>
        <v>0</v>
      </c>
      <c r="C1394" s="1" t="n">
        <f aca="false">N(C1393)+B1394</f>
        <v>17</v>
      </c>
      <c r="K1394" s="1" t="n">
        <f aca="false">IF(OR($K$1="",对接源_02物料!$C194="",对接源_02物料!$C194&lt;&gt;$K$1,对接源_02物料!$B194=""),0,IF(OR(N(对接源_02物料!$B194)&lt;$K$2,N(对接源_02物料!$B194)&gt;$K$3),0,1))</f>
        <v>0</v>
      </c>
      <c r="L1394" s="1" t="n">
        <f aca="false">IF(OR($L$1="",对接源_02物料!$C194="",对接源_02物料!$C194&lt;&gt;$L$1,对接源_02物料!$B194=""),0,IF(OR(N(对接源_02物料!$B194)&lt;$L$2,N(对接源_02物料!$B194)&gt;$L$3),0,1))</f>
        <v>0</v>
      </c>
      <c r="M1394" s="1" t="n">
        <f aca="false">IF(OR($M$1="",对接源_02物料!$C194="",对接源_02物料!$C194&lt;&gt;$M$1,对接源_02物料!$B194=""),0,IF(OR(N(对接源_02物料!$B194)&lt;$M$2,N(对接源_02物料!$B194)&gt;$M$3),0,1))</f>
        <v>0</v>
      </c>
      <c r="N1394" s="1" t="n">
        <f aca="false">IF(OR($N$1="",对接源_02物料!$C194="",对接源_02物料!$C194&lt;&gt;$N$1,对接源_02物料!$B194=""),0,IF(OR(N(对接源_02物料!$B194)&lt;$N$2,N(对接源_02物料!$B194)&gt;$N$3),0,1))</f>
        <v>0</v>
      </c>
      <c r="P1394" s="1" t="n">
        <f aca="false">IF(AND($K1394=1,AND(对接源_02物料!$X194="公司筐",N(对接源_02物料!$T194)&lt;&gt;0)),1,0)</f>
        <v>0</v>
      </c>
      <c r="Q1394" s="1" t="n">
        <f aca="false">N(Q1393)+$P1394</f>
        <v>13</v>
      </c>
      <c r="R1394" s="1" t="n">
        <f aca="false">IF(AND($K1394=1,AND(对接源_02物料!$X194="公司筐",N(对接源_02物料!$U194)&lt;&gt;0)),1,0)</f>
        <v>0</v>
      </c>
      <c r="S1394" s="1" t="n">
        <f aca="false">N(S1393)+$R1394</f>
        <v>5</v>
      </c>
      <c r="T1394" s="1" t="n">
        <f aca="false">IF(AND($K1394=1,AND(对接源_02物料!$X194="公司筐",N(对接源_02物料!$V194)&lt;&gt;0)),1,0)</f>
        <v>0</v>
      </c>
      <c r="U1394" s="1" t="n">
        <f aca="false">N(U1393)+$T1394</f>
        <v>28</v>
      </c>
      <c r="V1394" s="1" t="n">
        <f aca="false">IF(AND($L1394=1,AND(对接源_02物料!$X194="自备筐",N(对接源_02物料!$V194)&lt;&gt;0)),1,0)</f>
        <v>0</v>
      </c>
      <c r="W1394" s="1" t="n">
        <f aca="false">N(W1393)+$V1394</f>
        <v>7</v>
      </c>
      <c r="X1394" s="1" t="n">
        <f aca="false">IF(AND($L1394=1,AND(对接源_02物料!$X194="自备筐",N(对接源_02物料!$T194)&lt;&gt;0)),1,0)</f>
        <v>0</v>
      </c>
      <c r="Y1394" s="1" t="n">
        <f aca="false">N(Y1393)+$X1394</f>
        <v>0</v>
      </c>
      <c r="Z1394" s="1" t="n">
        <f aca="false">IF(AND($M1394=1,对接源_02物料!$D194="原料入库"),1,0)</f>
        <v>0</v>
      </c>
      <c r="AA1394" s="1" t="n">
        <f aca="false">N(AA1393)+$Z1394</f>
        <v>30</v>
      </c>
      <c r="AB1394" s="1" t="n">
        <f aca="false">IF(AND($M1394=1,LEFT(对接源_02物料!$D194,4)="原料出库"),1,0)</f>
        <v>0</v>
      </c>
      <c r="AC1394" s="1" t="n">
        <f aca="false">N(AC1393)+$AB1394</f>
        <v>19</v>
      </c>
      <c r="AD1394" s="1" t="n">
        <f aca="false">IF(AND($M1394=1,LEFT(对接源_02物料!$D194,4)="成品出库"),1,0)</f>
        <v>0</v>
      </c>
      <c r="AE1394" s="1" t="n">
        <f aca="false">N(AE1393)+$AD1394</f>
        <v>38</v>
      </c>
      <c r="AF1394" s="1" t="n">
        <f aca="false">IF(AND($N1394=1,AND(LEFT(对接源_02物料!$D194,4)="包装物料",N(对接源_02物料!$K194)&lt;&gt;0)),1,0)</f>
        <v>0</v>
      </c>
      <c r="AG1394" s="1" t="n">
        <f aca="false">N(AG1393)+$AF1394</f>
        <v>6</v>
      </c>
      <c r="AH1394" s="1" t="n">
        <f aca="false">IF(AND($N1394=1,AND(LEFT(对接源_02物料!$D194,3)="周转筐",N(对接源_02物料!$K194)&lt;&gt;0)),1,0)</f>
        <v>0</v>
      </c>
      <c r="AI1394" s="1" t="n">
        <f aca="false">N(AI1393)+$AH1394</f>
        <v>0</v>
      </c>
      <c r="AJ1394" s="1" t="n">
        <v>0</v>
      </c>
      <c r="AK1394" s="1" t="n">
        <f aca="false">N(AK1393)+$AJ1394</f>
        <v>3672</v>
      </c>
    </row>
    <row r="1395" customFormat="false" ht="13.5" hidden="false" customHeight="false" outlineLevel="0" collapsed="false">
      <c r="A1395" s="1" t="str">
        <f aca="false">IF(对接源_02物料!$C195="","",对接源_02物料!$C195)</f>
        <v/>
      </c>
      <c r="B1395" s="1" t="n">
        <f aca="false">IF(A1395="",0,IF(MATCH(A1395,$A$4:$A$2403,0)=ROW()-3,1,0))</f>
        <v>0</v>
      </c>
      <c r="C1395" s="1" t="n">
        <f aca="false">N(C1394)+B1395</f>
        <v>17</v>
      </c>
      <c r="K1395" s="1" t="n">
        <f aca="false">IF(OR($K$1="",对接源_02物料!$C195="",对接源_02物料!$C195&lt;&gt;$K$1,对接源_02物料!$B195=""),0,IF(OR(N(对接源_02物料!$B195)&lt;$K$2,N(对接源_02物料!$B195)&gt;$K$3),0,1))</f>
        <v>0</v>
      </c>
      <c r="L1395" s="1" t="n">
        <f aca="false">IF(OR($L$1="",对接源_02物料!$C195="",对接源_02物料!$C195&lt;&gt;$L$1,对接源_02物料!$B195=""),0,IF(OR(N(对接源_02物料!$B195)&lt;$L$2,N(对接源_02物料!$B195)&gt;$L$3),0,1))</f>
        <v>0</v>
      </c>
      <c r="M1395" s="1" t="n">
        <f aca="false">IF(OR($M$1="",对接源_02物料!$C195="",对接源_02物料!$C195&lt;&gt;$M$1,对接源_02物料!$B195=""),0,IF(OR(N(对接源_02物料!$B195)&lt;$M$2,N(对接源_02物料!$B195)&gt;$M$3),0,1))</f>
        <v>0</v>
      </c>
      <c r="N1395" s="1" t="n">
        <f aca="false">IF(OR($N$1="",对接源_02物料!$C195="",对接源_02物料!$C195&lt;&gt;$N$1,对接源_02物料!$B195=""),0,IF(OR(N(对接源_02物料!$B195)&lt;$N$2,N(对接源_02物料!$B195)&gt;$N$3),0,1))</f>
        <v>0</v>
      </c>
      <c r="P1395" s="1" t="n">
        <f aca="false">IF(AND($K1395=1,AND(对接源_02物料!$X195="公司筐",N(对接源_02物料!$T195)&lt;&gt;0)),1,0)</f>
        <v>0</v>
      </c>
      <c r="Q1395" s="1" t="n">
        <f aca="false">N(Q1394)+$P1395</f>
        <v>13</v>
      </c>
      <c r="R1395" s="1" t="n">
        <f aca="false">IF(AND($K1395=1,AND(对接源_02物料!$X195="公司筐",N(对接源_02物料!$U195)&lt;&gt;0)),1,0)</f>
        <v>0</v>
      </c>
      <c r="S1395" s="1" t="n">
        <f aca="false">N(S1394)+$R1395</f>
        <v>5</v>
      </c>
      <c r="T1395" s="1" t="n">
        <f aca="false">IF(AND($K1395=1,AND(对接源_02物料!$X195="公司筐",N(对接源_02物料!$V195)&lt;&gt;0)),1,0)</f>
        <v>0</v>
      </c>
      <c r="U1395" s="1" t="n">
        <f aca="false">N(U1394)+$T1395</f>
        <v>28</v>
      </c>
      <c r="V1395" s="1" t="n">
        <f aca="false">IF(AND($L1395=1,AND(对接源_02物料!$X195="自备筐",N(对接源_02物料!$V195)&lt;&gt;0)),1,0)</f>
        <v>0</v>
      </c>
      <c r="W1395" s="1" t="n">
        <f aca="false">N(W1394)+$V1395</f>
        <v>7</v>
      </c>
      <c r="X1395" s="1" t="n">
        <f aca="false">IF(AND($L1395=1,AND(对接源_02物料!$X195="自备筐",N(对接源_02物料!$T195)&lt;&gt;0)),1,0)</f>
        <v>0</v>
      </c>
      <c r="Y1395" s="1" t="n">
        <f aca="false">N(Y1394)+$X1395</f>
        <v>0</v>
      </c>
      <c r="Z1395" s="1" t="n">
        <f aca="false">IF(AND($M1395=1,对接源_02物料!$D195="原料入库"),1,0)</f>
        <v>0</v>
      </c>
      <c r="AA1395" s="1" t="n">
        <f aca="false">N(AA1394)+$Z1395</f>
        <v>30</v>
      </c>
      <c r="AB1395" s="1" t="n">
        <f aca="false">IF(AND($M1395=1,LEFT(对接源_02物料!$D195,4)="原料出库"),1,0)</f>
        <v>0</v>
      </c>
      <c r="AC1395" s="1" t="n">
        <f aca="false">N(AC1394)+$AB1395</f>
        <v>19</v>
      </c>
      <c r="AD1395" s="1" t="n">
        <f aca="false">IF(AND($M1395=1,LEFT(对接源_02物料!$D195,4)="成品出库"),1,0)</f>
        <v>0</v>
      </c>
      <c r="AE1395" s="1" t="n">
        <f aca="false">N(AE1394)+$AD1395</f>
        <v>38</v>
      </c>
      <c r="AF1395" s="1" t="n">
        <f aca="false">IF(AND($N1395=1,AND(LEFT(对接源_02物料!$D195,4)="包装物料",N(对接源_02物料!$K195)&lt;&gt;0)),1,0)</f>
        <v>0</v>
      </c>
      <c r="AG1395" s="1" t="n">
        <f aca="false">N(AG1394)+$AF1395</f>
        <v>6</v>
      </c>
      <c r="AH1395" s="1" t="n">
        <f aca="false">IF(AND($N1395=1,AND(LEFT(对接源_02物料!$D195,3)="周转筐",N(对接源_02物料!$K195)&lt;&gt;0)),1,0)</f>
        <v>0</v>
      </c>
      <c r="AI1395" s="1" t="n">
        <f aca="false">N(AI1394)+$AH1395</f>
        <v>0</v>
      </c>
      <c r="AJ1395" s="1" t="n">
        <v>0</v>
      </c>
      <c r="AK1395" s="1" t="n">
        <f aca="false">N(AK1394)+$AJ1395</f>
        <v>3672</v>
      </c>
    </row>
    <row r="1396" customFormat="false" ht="13.5" hidden="false" customHeight="false" outlineLevel="0" collapsed="false">
      <c r="A1396" s="1" t="str">
        <f aca="false">IF(对接源_02物料!$C196="","",对接源_02物料!$C196)</f>
        <v/>
      </c>
      <c r="B1396" s="1" t="n">
        <f aca="false">IF(A1396="",0,IF(MATCH(A1396,$A$4:$A$2403,0)=ROW()-3,1,0))</f>
        <v>0</v>
      </c>
      <c r="C1396" s="1" t="n">
        <f aca="false">N(C1395)+B1396</f>
        <v>17</v>
      </c>
      <c r="K1396" s="1" t="n">
        <f aca="false">IF(OR($K$1="",对接源_02物料!$C196="",对接源_02物料!$C196&lt;&gt;$K$1,对接源_02物料!$B196=""),0,IF(OR(N(对接源_02物料!$B196)&lt;$K$2,N(对接源_02物料!$B196)&gt;$K$3),0,1))</f>
        <v>0</v>
      </c>
      <c r="L1396" s="1" t="n">
        <f aca="false">IF(OR($L$1="",对接源_02物料!$C196="",对接源_02物料!$C196&lt;&gt;$L$1,对接源_02物料!$B196=""),0,IF(OR(N(对接源_02物料!$B196)&lt;$L$2,N(对接源_02物料!$B196)&gt;$L$3),0,1))</f>
        <v>0</v>
      </c>
      <c r="M1396" s="1" t="n">
        <f aca="false">IF(OR($M$1="",对接源_02物料!$C196="",对接源_02物料!$C196&lt;&gt;$M$1,对接源_02物料!$B196=""),0,IF(OR(N(对接源_02物料!$B196)&lt;$M$2,N(对接源_02物料!$B196)&gt;$M$3),0,1))</f>
        <v>0</v>
      </c>
      <c r="N1396" s="1" t="n">
        <f aca="false">IF(OR($N$1="",对接源_02物料!$C196="",对接源_02物料!$C196&lt;&gt;$N$1,对接源_02物料!$B196=""),0,IF(OR(N(对接源_02物料!$B196)&lt;$N$2,N(对接源_02物料!$B196)&gt;$N$3),0,1))</f>
        <v>0</v>
      </c>
      <c r="P1396" s="1" t="n">
        <f aca="false">IF(AND($K1396=1,AND(对接源_02物料!$X196="公司筐",N(对接源_02物料!$T196)&lt;&gt;0)),1,0)</f>
        <v>0</v>
      </c>
      <c r="Q1396" s="1" t="n">
        <f aca="false">N(Q1395)+$P1396</f>
        <v>13</v>
      </c>
      <c r="R1396" s="1" t="n">
        <f aca="false">IF(AND($K1396=1,AND(对接源_02物料!$X196="公司筐",N(对接源_02物料!$U196)&lt;&gt;0)),1,0)</f>
        <v>0</v>
      </c>
      <c r="S1396" s="1" t="n">
        <f aca="false">N(S1395)+$R1396</f>
        <v>5</v>
      </c>
      <c r="T1396" s="1" t="n">
        <f aca="false">IF(AND($K1396=1,AND(对接源_02物料!$X196="公司筐",N(对接源_02物料!$V196)&lt;&gt;0)),1,0)</f>
        <v>0</v>
      </c>
      <c r="U1396" s="1" t="n">
        <f aca="false">N(U1395)+$T1396</f>
        <v>28</v>
      </c>
      <c r="V1396" s="1" t="n">
        <f aca="false">IF(AND($L1396=1,AND(对接源_02物料!$X196="自备筐",N(对接源_02物料!$V196)&lt;&gt;0)),1,0)</f>
        <v>0</v>
      </c>
      <c r="W1396" s="1" t="n">
        <f aca="false">N(W1395)+$V1396</f>
        <v>7</v>
      </c>
      <c r="X1396" s="1" t="n">
        <f aca="false">IF(AND($L1396=1,AND(对接源_02物料!$X196="自备筐",N(对接源_02物料!$T196)&lt;&gt;0)),1,0)</f>
        <v>0</v>
      </c>
      <c r="Y1396" s="1" t="n">
        <f aca="false">N(Y1395)+$X1396</f>
        <v>0</v>
      </c>
      <c r="Z1396" s="1" t="n">
        <f aca="false">IF(AND($M1396=1,对接源_02物料!$D196="原料入库"),1,0)</f>
        <v>0</v>
      </c>
      <c r="AA1396" s="1" t="n">
        <f aca="false">N(AA1395)+$Z1396</f>
        <v>30</v>
      </c>
      <c r="AB1396" s="1" t="n">
        <f aca="false">IF(AND($M1396=1,LEFT(对接源_02物料!$D196,4)="原料出库"),1,0)</f>
        <v>0</v>
      </c>
      <c r="AC1396" s="1" t="n">
        <f aca="false">N(AC1395)+$AB1396</f>
        <v>19</v>
      </c>
      <c r="AD1396" s="1" t="n">
        <f aca="false">IF(AND($M1396=1,LEFT(对接源_02物料!$D196,4)="成品出库"),1,0)</f>
        <v>0</v>
      </c>
      <c r="AE1396" s="1" t="n">
        <f aca="false">N(AE1395)+$AD1396</f>
        <v>38</v>
      </c>
      <c r="AF1396" s="1" t="n">
        <f aca="false">IF(AND($N1396=1,AND(LEFT(对接源_02物料!$D196,4)="包装物料",N(对接源_02物料!$K196)&lt;&gt;0)),1,0)</f>
        <v>0</v>
      </c>
      <c r="AG1396" s="1" t="n">
        <f aca="false">N(AG1395)+$AF1396</f>
        <v>6</v>
      </c>
      <c r="AH1396" s="1" t="n">
        <f aca="false">IF(AND($N1396=1,AND(LEFT(对接源_02物料!$D196,3)="周转筐",N(对接源_02物料!$K196)&lt;&gt;0)),1,0)</f>
        <v>0</v>
      </c>
      <c r="AI1396" s="1" t="n">
        <f aca="false">N(AI1395)+$AH1396</f>
        <v>0</v>
      </c>
      <c r="AJ1396" s="1" t="n">
        <v>0</v>
      </c>
      <c r="AK1396" s="1" t="n">
        <f aca="false">N(AK1395)+$AJ1396</f>
        <v>3672</v>
      </c>
    </row>
    <row r="1397" customFormat="false" ht="13.5" hidden="false" customHeight="false" outlineLevel="0" collapsed="false">
      <c r="A1397" s="1" t="str">
        <f aca="false">IF(对接源_02物料!$C197="","",对接源_02物料!$C197)</f>
        <v/>
      </c>
      <c r="B1397" s="1" t="n">
        <f aca="false">IF(A1397="",0,IF(MATCH(A1397,$A$4:$A$2403,0)=ROW()-3,1,0))</f>
        <v>0</v>
      </c>
      <c r="C1397" s="1" t="n">
        <f aca="false">N(C1396)+B1397</f>
        <v>17</v>
      </c>
      <c r="K1397" s="1" t="n">
        <f aca="false">IF(OR($K$1="",对接源_02物料!$C197="",对接源_02物料!$C197&lt;&gt;$K$1,对接源_02物料!$B197=""),0,IF(OR(N(对接源_02物料!$B197)&lt;$K$2,N(对接源_02物料!$B197)&gt;$K$3),0,1))</f>
        <v>0</v>
      </c>
      <c r="L1397" s="1" t="n">
        <f aca="false">IF(OR($L$1="",对接源_02物料!$C197="",对接源_02物料!$C197&lt;&gt;$L$1,对接源_02物料!$B197=""),0,IF(OR(N(对接源_02物料!$B197)&lt;$L$2,N(对接源_02物料!$B197)&gt;$L$3),0,1))</f>
        <v>0</v>
      </c>
      <c r="M1397" s="1" t="n">
        <f aca="false">IF(OR($M$1="",对接源_02物料!$C197="",对接源_02物料!$C197&lt;&gt;$M$1,对接源_02物料!$B197=""),0,IF(OR(N(对接源_02物料!$B197)&lt;$M$2,N(对接源_02物料!$B197)&gt;$M$3),0,1))</f>
        <v>0</v>
      </c>
      <c r="N1397" s="1" t="n">
        <f aca="false">IF(OR($N$1="",对接源_02物料!$C197="",对接源_02物料!$C197&lt;&gt;$N$1,对接源_02物料!$B197=""),0,IF(OR(N(对接源_02物料!$B197)&lt;$N$2,N(对接源_02物料!$B197)&gt;$N$3),0,1))</f>
        <v>0</v>
      </c>
      <c r="P1397" s="1" t="n">
        <f aca="false">IF(AND($K1397=1,AND(对接源_02物料!$X197="公司筐",N(对接源_02物料!$T197)&lt;&gt;0)),1,0)</f>
        <v>0</v>
      </c>
      <c r="Q1397" s="1" t="n">
        <f aca="false">N(Q1396)+$P1397</f>
        <v>13</v>
      </c>
      <c r="R1397" s="1" t="n">
        <f aca="false">IF(AND($K1397=1,AND(对接源_02物料!$X197="公司筐",N(对接源_02物料!$U197)&lt;&gt;0)),1,0)</f>
        <v>0</v>
      </c>
      <c r="S1397" s="1" t="n">
        <f aca="false">N(S1396)+$R1397</f>
        <v>5</v>
      </c>
      <c r="T1397" s="1" t="n">
        <f aca="false">IF(AND($K1397=1,AND(对接源_02物料!$X197="公司筐",N(对接源_02物料!$V197)&lt;&gt;0)),1,0)</f>
        <v>0</v>
      </c>
      <c r="U1397" s="1" t="n">
        <f aca="false">N(U1396)+$T1397</f>
        <v>28</v>
      </c>
      <c r="V1397" s="1" t="n">
        <f aca="false">IF(AND($L1397=1,AND(对接源_02物料!$X197="自备筐",N(对接源_02物料!$V197)&lt;&gt;0)),1,0)</f>
        <v>0</v>
      </c>
      <c r="W1397" s="1" t="n">
        <f aca="false">N(W1396)+$V1397</f>
        <v>7</v>
      </c>
      <c r="X1397" s="1" t="n">
        <f aca="false">IF(AND($L1397=1,AND(对接源_02物料!$X197="自备筐",N(对接源_02物料!$T197)&lt;&gt;0)),1,0)</f>
        <v>0</v>
      </c>
      <c r="Y1397" s="1" t="n">
        <f aca="false">N(Y1396)+$X1397</f>
        <v>0</v>
      </c>
      <c r="Z1397" s="1" t="n">
        <f aca="false">IF(AND($M1397=1,对接源_02物料!$D197="原料入库"),1,0)</f>
        <v>0</v>
      </c>
      <c r="AA1397" s="1" t="n">
        <f aca="false">N(AA1396)+$Z1397</f>
        <v>30</v>
      </c>
      <c r="AB1397" s="1" t="n">
        <f aca="false">IF(AND($M1397=1,LEFT(对接源_02物料!$D197,4)="原料出库"),1,0)</f>
        <v>0</v>
      </c>
      <c r="AC1397" s="1" t="n">
        <f aca="false">N(AC1396)+$AB1397</f>
        <v>19</v>
      </c>
      <c r="AD1397" s="1" t="n">
        <f aca="false">IF(AND($M1397=1,LEFT(对接源_02物料!$D197,4)="成品出库"),1,0)</f>
        <v>0</v>
      </c>
      <c r="AE1397" s="1" t="n">
        <f aca="false">N(AE1396)+$AD1397</f>
        <v>38</v>
      </c>
      <c r="AF1397" s="1" t="n">
        <f aca="false">IF(AND($N1397=1,AND(LEFT(对接源_02物料!$D197,4)="包装物料",N(对接源_02物料!$K197)&lt;&gt;0)),1,0)</f>
        <v>0</v>
      </c>
      <c r="AG1397" s="1" t="n">
        <f aca="false">N(AG1396)+$AF1397</f>
        <v>6</v>
      </c>
      <c r="AH1397" s="1" t="n">
        <f aca="false">IF(AND($N1397=1,AND(LEFT(对接源_02物料!$D197,3)="周转筐",N(对接源_02物料!$K197)&lt;&gt;0)),1,0)</f>
        <v>0</v>
      </c>
      <c r="AI1397" s="1" t="n">
        <f aca="false">N(AI1396)+$AH1397</f>
        <v>0</v>
      </c>
      <c r="AJ1397" s="1" t="n">
        <v>0</v>
      </c>
      <c r="AK1397" s="1" t="n">
        <f aca="false">N(AK1396)+$AJ1397</f>
        <v>3672</v>
      </c>
    </row>
    <row r="1398" customFormat="false" ht="13.5" hidden="false" customHeight="false" outlineLevel="0" collapsed="false">
      <c r="A1398" s="1" t="str">
        <f aca="false">IF(对接源_02物料!$C198="","",对接源_02物料!$C198)</f>
        <v/>
      </c>
      <c r="B1398" s="1" t="n">
        <f aca="false">IF(A1398="",0,IF(MATCH(A1398,$A$4:$A$2403,0)=ROW()-3,1,0))</f>
        <v>0</v>
      </c>
      <c r="C1398" s="1" t="n">
        <f aca="false">N(C1397)+B1398</f>
        <v>17</v>
      </c>
      <c r="K1398" s="1" t="n">
        <f aca="false">IF(OR($K$1="",对接源_02物料!$C198="",对接源_02物料!$C198&lt;&gt;$K$1,对接源_02物料!$B198=""),0,IF(OR(N(对接源_02物料!$B198)&lt;$K$2,N(对接源_02物料!$B198)&gt;$K$3),0,1))</f>
        <v>0</v>
      </c>
      <c r="L1398" s="1" t="n">
        <f aca="false">IF(OR($L$1="",对接源_02物料!$C198="",对接源_02物料!$C198&lt;&gt;$L$1,对接源_02物料!$B198=""),0,IF(OR(N(对接源_02物料!$B198)&lt;$L$2,N(对接源_02物料!$B198)&gt;$L$3),0,1))</f>
        <v>0</v>
      </c>
      <c r="M1398" s="1" t="n">
        <f aca="false">IF(OR($M$1="",对接源_02物料!$C198="",对接源_02物料!$C198&lt;&gt;$M$1,对接源_02物料!$B198=""),0,IF(OR(N(对接源_02物料!$B198)&lt;$M$2,N(对接源_02物料!$B198)&gt;$M$3),0,1))</f>
        <v>0</v>
      </c>
      <c r="N1398" s="1" t="n">
        <f aca="false">IF(OR($N$1="",对接源_02物料!$C198="",对接源_02物料!$C198&lt;&gt;$N$1,对接源_02物料!$B198=""),0,IF(OR(N(对接源_02物料!$B198)&lt;$N$2,N(对接源_02物料!$B198)&gt;$N$3),0,1))</f>
        <v>0</v>
      </c>
      <c r="P1398" s="1" t="n">
        <f aca="false">IF(AND($K1398=1,AND(对接源_02物料!$X198="公司筐",N(对接源_02物料!$T198)&lt;&gt;0)),1,0)</f>
        <v>0</v>
      </c>
      <c r="Q1398" s="1" t="n">
        <f aca="false">N(Q1397)+$P1398</f>
        <v>13</v>
      </c>
      <c r="R1398" s="1" t="n">
        <f aca="false">IF(AND($K1398=1,AND(对接源_02物料!$X198="公司筐",N(对接源_02物料!$U198)&lt;&gt;0)),1,0)</f>
        <v>0</v>
      </c>
      <c r="S1398" s="1" t="n">
        <f aca="false">N(S1397)+$R1398</f>
        <v>5</v>
      </c>
      <c r="T1398" s="1" t="n">
        <f aca="false">IF(AND($K1398=1,AND(对接源_02物料!$X198="公司筐",N(对接源_02物料!$V198)&lt;&gt;0)),1,0)</f>
        <v>0</v>
      </c>
      <c r="U1398" s="1" t="n">
        <f aca="false">N(U1397)+$T1398</f>
        <v>28</v>
      </c>
      <c r="V1398" s="1" t="n">
        <f aca="false">IF(AND($L1398=1,AND(对接源_02物料!$X198="自备筐",N(对接源_02物料!$V198)&lt;&gt;0)),1,0)</f>
        <v>0</v>
      </c>
      <c r="W1398" s="1" t="n">
        <f aca="false">N(W1397)+$V1398</f>
        <v>7</v>
      </c>
      <c r="X1398" s="1" t="n">
        <f aca="false">IF(AND($L1398=1,AND(对接源_02物料!$X198="自备筐",N(对接源_02物料!$T198)&lt;&gt;0)),1,0)</f>
        <v>0</v>
      </c>
      <c r="Y1398" s="1" t="n">
        <f aca="false">N(Y1397)+$X1398</f>
        <v>0</v>
      </c>
      <c r="Z1398" s="1" t="n">
        <f aca="false">IF(AND($M1398=1,对接源_02物料!$D198="原料入库"),1,0)</f>
        <v>0</v>
      </c>
      <c r="AA1398" s="1" t="n">
        <f aca="false">N(AA1397)+$Z1398</f>
        <v>30</v>
      </c>
      <c r="AB1398" s="1" t="n">
        <f aca="false">IF(AND($M1398=1,LEFT(对接源_02物料!$D198,4)="原料出库"),1,0)</f>
        <v>0</v>
      </c>
      <c r="AC1398" s="1" t="n">
        <f aca="false">N(AC1397)+$AB1398</f>
        <v>19</v>
      </c>
      <c r="AD1398" s="1" t="n">
        <f aca="false">IF(AND($M1398=1,LEFT(对接源_02物料!$D198,4)="成品出库"),1,0)</f>
        <v>0</v>
      </c>
      <c r="AE1398" s="1" t="n">
        <f aca="false">N(AE1397)+$AD1398</f>
        <v>38</v>
      </c>
      <c r="AF1398" s="1" t="n">
        <f aca="false">IF(AND($N1398=1,AND(LEFT(对接源_02物料!$D198,4)="包装物料",N(对接源_02物料!$K198)&lt;&gt;0)),1,0)</f>
        <v>0</v>
      </c>
      <c r="AG1398" s="1" t="n">
        <f aca="false">N(AG1397)+$AF1398</f>
        <v>6</v>
      </c>
      <c r="AH1398" s="1" t="n">
        <f aca="false">IF(AND($N1398=1,AND(LEFT(对接源_02物料!$D198,3)="周转筐",N(对接源_02物料!$K198)&lt;&gt;0)),1,0)</f>
        <v>0</v>
      </c>
      <c r="AI1398" s="1" t="n">
        <f aca="false">N(AI1397)+$AH1398</f>
        <v>0</v>
      </c>
      <c r="AJ1398" s="1" t="n">
        <v>0</v>
      </c>
      <c r="AK1398" s="1" t="n">
        <f aca="false">N(AK1397)+$AJ1398</f>
        <v>3672</v>
      </c>
    </row>
    <row r="1399" customFormat="false" ht="13.5" hidden="false" customHeight="false" outlineLevel="0" collapsed="false">
      <c r="A1399" s="1" t="str">
        <f aca="false">IF(对接源_02物料!$C199="","",对接源_02物料!$C199)</f>
        <v/>
      </c>
      <c r="B1399" s="1" t="n">
        <f aca="false">IF(A1399="",0,IF(MATCH(A1399,$A$4:$A$2403,0)=ROW()-3,1,0))</f>
        <v>0</v>
      </c>
      <c r="C1399" s="1" t="n">
        <f aca="false">N(C1398)+B1399</f>
        <v>17</v>
      </c>
      <c r="K1399" s="1" t="n">
        <f aca="false">IF(OR($K$1="",对接源_02物料!$C199="",对接源_02物料!$C199&lt;&gt;$K$1,对接源_02物料!$B199=""),0,IF(OR(N(对接源_02物料!$B199)&lt;$K$2,N(对接源_02物料!$B199)&gt;$K$3),0,1))</f>
        <v>0</v>
      </c>
      <c r="L1399" s="1" t="n">
        <f aca="false">IF(OR($L$1="",对接源_02物料!$C199="",对接源_02物料!$C199&lt;&gt;$L$1,对接源_02物料!$B199=""),0,IF(OR(N(对接源_02物料!$B199)&lt;$L$2,N(对接源_02物料!$B199)&gt;$L$3),0,1))</f>
        <v>0</v>
      </c>
      <c r="M1399" s="1" t="n">
        <f aca="false">IF(OR($M$1="",对接源_02物料!$C199="",对接源_02物料!$C199&lt;&gt;$M$1,对接源_02物料!$B199=""),0,IF(OR(N(对接源_02物料!$B199)&lt;$M$2,N(对接源_02物料!$B199)&gt;$M$3),0,1))</f>
        <v>0</v>
      </c>
      <c r="N1399" s="1" t="n">
        <f aca="false">IF(OR($N$1="",对接源_02物料!$C199="",对接源_02物料!$C199&lt;&gt;$N$1,对接源_02物料!$B199=""),0,IF(OR(N(对接源_02物料!$B199)&lt;$N$2,N(对接源_02物料!$B199)&gt;$N$3),0,1))</f>
        <v>0</v>
      </c>
      <c r="P1399" s="1" t="n">
        <f aca="false">IF(AND($K1399=1,AND(对接源_02物料!$X199="公司筐",N(对接源_02物料!$T199)&lt;&gt;0)),1,0)</f>
        <v>0</v>
      </c>
      <c r="Q1399" s="1" t="n">
        <f aca="false">N(Q1398)+$P1399</f>
        <v>13</v>
      </c>
      <c r="R1399" s="1" t="n">
        <f aca="false">IF(AND($K1399=1,AND(对接源_02物料!$X199="公司筐",N(对接源_02物料!$U199)&lt;&gt;0)),1,0)</f>
        <v>0</v>
      </c>
      <c r="S1399" s="1" t="n">
        <f aca="false">N(S1398)+$R1399</f>
        <v>5</v>
      </c>
      <c r="T1399" s="1" t="n">
        <f aca="false">IF(AND($K1399=1,AND(对接源_02物料!$X199="公司筐",N(对接源_02物料!$V199)&lt;&gt;0)),1,0)</f>
        <v>0</v>
      </c>
      <c r="U1399" s="1" t="n">
        <f aca="false">N(U1398)+$T1399</f>
        <v>28</v>
      </c>
      <c r="V1399" s="1" t="n">
        <f aca="false">IF(AND($L1399=1,AND(对接源_02物料!$X199="自备筐",N(对接源_02物料!$V199)&lt;&gt;0)),1,0)</f>
        <v>0</v>
      </c>
      <c r="W1399" s="1" t="n">
        <f aca="false">N(W1398)+$V1399</f>
        <v>7</v>
      </c>
      <c r="X1399" s="1" t="n">
        <f aca="false">IF(AND($L1399=1,AND(对接源_02物料!$X199="自备筐",N(对接源_02物料!$T199)&lt;&gt;0)),1,0)</f>
        <v>0</v>
      </c>
      <c r="Y1399" s="1" t="n">
        <f aca="false">N(Y1398)+$X1399</f>
        <v>0</v>
      </c>
      <c r="Z1399" s="1" t="n">
        <f aca="false">IF(AND($M1399=1,对接源_02物料!$D199="原料入库"),1,0)</f>
        <v>0</v>
      </c>
      <c r="AA1399" s="1" t="n">
        <f aca="false">N(AA1398)+$Z1399</f>
        <v>30</v>
      </c>
      <c r="AB1399" s="1" t="n">
        <f aca="false">IF(AND($M1399=1,LEFT(对接源_02物料!$D199,4)="原料出库"),1,0)</f>
        <v>0</v>
      </c>
      <c r="AC1399" s="1" t="n">
        <f aca="false">N(AC1398)+$AB1399</f>
        <v>19</v>
      </c>
      <c r="AD1399" s="1" t="n">
        <f aca="false">IF(AND($M1399=1,LEFT(对接源_02物料!$D199,4)="成品出库"),1,0)</f>
        <v>0</v>
      </c>
      <c r="AE1399" s="1" t="n">
        <f aca="false">N(AE1398)+$AD1399</f>
        <v>38</v>
      </c>
      <c r="AF1399" s="1" t="n">
        <f aca="false">IF(AND($N1399=1,AND(LEFT(对接源_02物料!$D199,4)="包装物料",N(对接源_02物料!$K199)&lt;&gt;0)),1,0)</f>
        <v>0</v>
      </c>
      <c r="AG1399" s="1" t="n">
        <f aca="false">N(AG1398)+$AF1399</f>
        <v>6</v>
      </c>
      <c r="AH1399" s="1" t="n">
        <f aca="false">IF(AND($N1399=1,AND(LEFT(对接源_02物料!$D199,3)="周转筐",N(对接源_02物料!$K199)&lt;&gt;0)),1,0)</f>
        <v>0</v>
      </c>
      <c r="AI1399" s="1" t="n">
        <f aca="false">N(AI1398)+$AH1399</f>
        <v>0</v>
      </c>
      <c r="AJ1399" s="1" t="n">
        <v>0</v>
      </c>
      <c r="AK1399" s="1" t="n">
        <f aca="false">N(AK1398)+$AJ1399</f>
        <v>3672</v>
      </c>
    </row>
    <row r="1400" customFormat="false" ht="13.5" hidden="false" customHeight="false" outlineLevel="0" collapsed="false">
      <c r="A1400" s="1" t="str">
        <f aca="false">IF(对接源_02物料!$C200="","",对接源_02物料!$C200)</f>
        <v/>
      </c>
      <c r="B1400" s="1" t="n">
        <f aca="false">IF(A1400="",0,IF(MATCH(A1400,$A$4:$A$2403,0)=ROW()-3,1,0))</f>
        <v>0</v>
      </c>
      <c r="C1400" s="1" t="n">
        <f aca="false">N(C1399)+B1400</f>
        <v>17</v>
      </c>
      <c r="K1400" s="1" t="n">
        <f aca="false">IF(OR($K$1="",对接源_02物料!$C200="",对接源_02物料!$C200&lt;&gt;$K$1,对接源_02物料!$B200=""),0,IF(OR(N(对接源_02物料!$B200)&lt;$K$2,N(对接源_02物料!$B200)&gt;$K$3),0,1))</f>
        <v>0</v>
      </c>
      <c r="L1400" s="1" t="n">
        <f aca="false">IF(OR($L$1="",对接源_02物料!$C200="",对接源_02物料!$C200&lt;&gt;$L$1,对接源_02物料!$B200=""),0,IF(OR(N(对接源_02物料!$B200)&lt;$L$2,N(对接源_02物料!$B200)&gt;$L$3),0,1))</f>
        <v>0</v>
      </c>
      <c r="M1400" s="1" t="n">
        <f aca="false">IF(OR($M$1="",对接源_02物料!$C200="",对接源_02物料!$C200&lt;&gt;$M$1,对接源_02物料!$B200=""),0,IF(OR(N(对接源_02物料!$B200)&lt;$M$2,N(对接源_02物料!$B200)&gt;$M$3),0,1))</f>
        <v>0</v>
      </c>
      <c r="N1400" s="1" t="n">
        <f aca="false">IF(OR($N$1="",对接源_02物料!$C200="",对接源_02物料!$C200&lt;&gt;$N$1,对接源_02物料!$B200=""),0,IF(OR(N(对接源_02物料!$B200)&lt;$N$2,N(对接源_02物料!$B200)&gt;$N$3),0,1))</f>
        <v>0</v>
      </c>
      <c r="P1400" s="1" t="n">
        <f aca="false">IF(AND($K1400=1,AND(对接源_02物料!$X200="公司筐",N(对接源_02物料!$T200)&lt;&gt;0)),1,0)</f>
        <v>0</v>
      </c>
      <c r="Q1400" s="1" t="n">
        <f aca="false">N(Q1399)+$P1400</f>
        <v>13</v>
      </c>
      <c r="R1400" s="1" t="n">
        <f aca="false">IF(AND($K1400=1,AND(对接源_02物料!$X200="公司筐",N(对接源_02物料!$U200)&lt;&gt;0)),1,0)</f>
        <v>0</v>
      </c>
      <c r="S1400" s="1" t="n">
        <f aca="false">N(S1399)+$R1400</f>
        <v>5</v>
      </c>
      <c r="T1400" s="1" t="n">
        <f aca="false">IF(AND($K1400=1,AND(对接源_02物料!$X200="公司筐",N(对接源_02物料!$V200)&lt;&gt;0)),1,0)</f>
        <v>0</v>
      </c>
      <c r="U1400" s="1" t="n">
        <f aca="false">N(U1399)+$T1400</f>
        <v>28</v>
      </c>
      <c r="V1400" s="1" t="n">
        <f aca="false">IF(AND($L1400=1,AND(对接源_02物料!$X200="自备筐",N(对接源_02物料!$V200)&lt;&gt;0)),1,0)</f>
        <v>0</v>
      </c>
      <c r="W1400" s="1" t="n">
        <f aca="false">N(W1399)+$V1400</f>
        <v>7</v>
      </c>
      <c r="X1400" s="1" t="n">
        <f aca="false">IF(AND($L1400=1,AND(对接源_02物料!$X200="自备筐",N(对接源_02物料!$T200)&lt;&gt;0)),1,0)</f>
        <v>0</v>
      </c>
      <c r="Y1400" s="1" t="n">
        <f aca="false">N(Y1399)+$X1400</f>
        <v>0</v>
      </c>
      <c r="Z1400" s="1" t="n">
        <f aca="false">IF(AND($M1400=1,对接源_02物料!$D200="原料入库"),1,0)</f>
        <v>0</v>
      </c>
      <c r="AA1400" s="1" t="n">
        <f aca="false">N(AA1399)+$Z1400</f>
        <v>30</v>
      </c>
      <c r="AB1400" s="1" t="n">
        <f aca="false">IF(AND($M1400=1,LEFT(对接源_02物料!$D200,4)="原料出库"),1,0)</f>
        <v>0</v>
      </c>
      <c r="AC1400" s="1" t="n">
        <f aca="false">N(AC1399)+$AB1400</f>
        <v>19</v>
      </c>
      <c r="AD1400" s="1" t="n">
        <f aca="false">IF(AND($M1400=1,LEFT(对接源_02物料!$D200,4)="成品出库"),1,0)</f>
        <v>0</v>
      </c>
      <c r="AE1400" s="1" t="n">
        <f aca="false">N(AE1399)+$AD1400</f>
        <v>38</v>
      </c>
      <c r="AF1400" s="1" t="n">
        <f aca="false">IF(AND($N1400=1,AND(LEFT(对接源_02物料!$D200,4)="包装物料",N(对接源_02物料!$K200)&lt;&gt;0)),1,0)</f>
        <v>0</v>
      </c>
      <c r="AG1400" s="1" t="n">
        <f aca="false">N(AG1399)+$AF1400</f>
        <v>6</v>
      </c>
      <c r="AH1400" s="1" t="n">
        <f aca="false">IF(AND($N1400=1,AND(LEFT(对接源_02物料!$D200,3)="周转筐",N(对接源_02物料!$K200)&lt;&gt;0)),1,0)</f>
        <v>0</v>
      </c>
      <c r="AI1400" s="1" t="n">
        <f aca="false">N(AI1399)+$AH1400</f>
        <v>0</v>
      </c>
      <c r="AJ1400" s="1" t="n">
        <v>0</v>
      </c>
      <c r="AK1400" s="1" t="n">
        <f aca="false">N(AK1399)+$AJ1400</f>
        <v>3672</v>
      </c>
    </row>
    <row r="1401" customFormat="false" ht="13.5" hidden="false" customHeight="false" outlineLevel="0" collapsed="false">
      <c r="A1401" s="1" t="str">
        <f aca="false">IF(对接源_02物料!$C201="","",对接源_02物料!$C201)</f>
        <v/>
      </c>
      <c r="B1401" s="1" t="n">
        <f aca="false">IF(A1401="",0,IF(MATCH(A1401,$A$4:$A$2403,0)=ROW()-3,1,0))</f>
        <v>0</v>
      </c>
      <c r="C1401" s="1" t="n">
        <f aca="false">N(C1400)+B1401</f>
        <v>17</v>
      </c>
      <c r="K1401" s="1" t="n">
        <f aca="false">IF(OR($K$1="",对接源_02物料!$C201="",对接源_02物料!$C201&lt;&gt;$K$1,对接源_02物料!$B201=""),0,IF(OR(N(对接源_02物料!$B201)&lt;$K$2,N(对接源_02物料!$B201)&gt;$K$3),0,1))</f>
        <v>0</v>
      </c>
      <c r="L1401" s="1" t="n">
        <f aca="false">IF(OR($L$1="",对接源_02物料!$C201="",对接源_02物料!$C201&lt;&gt;$L$1,对接源_02物料!$B201=""),0,IF(OR(N(对接源_02物料!$B201)&lt;$L$2,N(对接源_02物料!$B201)&gt;$L$3),0,1))</f>
        <v>0</v>
      </c>
      <c r="M1401" s="1" t="n">
        <f aca="false">IF(OR($M$1="",对接源_02物料!$C201="",对接源_02物料!$C201&lt;&gt;$M$1,对接源_02物料!$B201=""),0,IF(OR(N(对接源_02物料!$B201)&lt;$M$2,N(对接源_02物料!$B201)&gt;$M$3),0,1))</f>
        <v>0</v>
      </c>
      <c r="N1401" s="1" t="n">
        <f aca="false">IF(OR($N$1="",对接源_02物料!$C201="",对接源_02物料!$C201&lt;&gt;$N$1,对接源_02物料!$B201=""),0,IF(OR(N(对接源_02物料!$B201)&lt;$N$2,N(对接源_02物料!$B201)&gt;$N$3),0,1))</f>
        <v>0</v>
      </c>
      <c r="P1401" s="1" t="n">
        <f aca="false">IF(AND($K1401=1,AND(对接源_02物料!$X201="公司筐",N(对接源_02物料!$T201)&lt;&gt;0)),1,0)</f>
        <v>0</v>
      </c>
      <c r="Q1401" s="1" t="n">
        <f aca="false">N(Q1400)+$P1401</f>
        <v>13</v>
      </c>
      <c r="R1401" s="1" t="n">
        <f aca="false">IF(AND($K1401=1,AND(对接源_02物料!$X201="公司筐",N(对接源_02物料!$U201)&lt;&gt;0)),1,0)</f>
        <v>0</v>
      </c>
      <c r="S1401" s="1" t="n">
        <f aca="false">N(S1400)+$R1401</f>
        <v>5</v>
      </c>
      <c r="T1401" s="1" t="n">
        <f aca="false">IF(AND($K1401=1,AND(对接源_02物料!$X201="公司筐",N(对接源_02物料!$V201)&lt;&gt;0)),1,0)</f>
        <v>0</v>
      </c>
      <c r="U1401" s="1" t="n">
        <f aca="false">N(U1400)+$T1401</f>
        <v>28</v>
      </c>
      <c r="V1401" s="1" t="n">
        <f aca="false">IF(AND($L1401=1,AND(对接源_02物料!$X201="自备筐",N(对接源_02物料!$V201)&lt;&gt;0)),1,0)</f>
        <v>0</v>
      </c>
      <c r="W1401" s="1" t="n">
        <f aca="false">N(W1400)+$V1401</f>
        <v>7</v>
      </c>
      <c r="X1401" s="1" t="n">
        <f aca="false">IF(AND($L1401=1,AND(对接源_02物料!$X201="自备筐",N(对接源_02物料!$T201)&lt;&gt;0)),1,0)</f>
        <v>0</v>
      </c>
      <c r="Y1401" s="1" t="n">
        <f aca="false">N(Y1400)+$X1401</f>
        <v>0</v>
      </c>
      <c r="Z1401" s="1" t="n">
        <f aca="false">IF(AND($M1401=1,对接源_02物料!$D201="原料入库"),1,0)</f>
        <v>0</v>
      </c>
      <c r="AA1401" s="1" t="n">
        <f aca="false">N(AA1400)+$Z1401</f>
        <v>30</v>
      </c>
      <c r="AB1401" s="1" t="n">
        <f aca="false">IF(AND($M1401=1,LEFT(对接源_02物料!$D201,4)="原料出库"),1,0)</f>
        <v>0</v>
      </c>
      <c r="AC1401" s="1" t="n">
        <f aca="false">N(AC1400)+$AB1401</f>
        <v>19</v>
      </c>
      <c r="AD1401" s="1" t="n">
        <f aca="false">IF(AND($M1401=1,LEFT(对接源_02物料!$D201,4)="成品出库"),1,0)</f>
        <v>0</v>
      </c>
      <c r="AE1401" s="1" t="n">
        <f aca="false">N(AE1400)+$AD1401</f>
        <v>38</v>
      </c>
      <c r="AF1401" s="1" t="n">
        <f aca="false">IF(AND($N1401=1,AND(LEFT(对接源_02物料!$D201,4)="包装物料",N(对接源_02物料!$K201)&lt;&gt;0)),1,0)</f>
        <v>0</v>
      </c>
      <c r="AG1401" s="1" t="n">
        <f aca="false">N(AG1400)+$AF1401</f>
        <v>6</v>
      </c>
      <c r="AH1401" s="1" t="n">
        <f aca="false">IF(AND($N1401=1,AND(LEFT(对接源_02物料!$D201,3)="周转筐",N(对接源_02物料!$K201)&lt;&gt;0)),1,0)</f>
        <v>0</v>
      </c>
      <c r="AI1401" s="1" t="n">
        <f aca="false">N(AI1400)+$AH1401</f>
        <v>0</v>
      </c>
      <c r="AJ1401" s="1" t="n">
        <v>0</v>
      </c>
      <c r="AK1401" s="1" t="n">
        <f aca="false">N(AK1400)+$AJ1401</f>
        <v>3672</v>
      </c>
    </row>
    <row r="1402" customFormat="false" ht="13.5" hidden="false" customHeight="false" outlineLevel="0" collapsed="false">
      <c r="A1402" s="1" t="str">
        <f aca="false">IF(对接源_02物料!$C202="","",对接源_02物料!$C202)</f>
        <v/>
      </c>
      <c r="B1402" s="1" t="n">
        <f aca="false">IF(A1402="",0,IF(MATCH(A1402,$A$4:$A$2403,0)=ROW()-3,1,0))</f>
        <v>0</v>
      </c>
      <c r="C1402" s="1" t="n">
        <f aca="false">N(C1401)+B1402</f>
        <v>17</v>
      </c>
      <c r="K1402" s="1" t="n">
        <f aca="false">IF(OR($K$1="",对接源_02物料!$C202="",对接源_02物料!$C202&lt;&gt;$K$1,对接源_02物料!$B202=""),0,IF(OR(N(对接源_02物料!$B202)&lt;$K$2,N(对接源_02物料!$B202)&gt;$K$3),0,1))</f>
        <v>0</v>
      </c>
      <c r="L1402" s="1" t="n">
        <f aca="false">IF(OR($L$1="",对接源_02物料!$C202="",对接源_02物料!$C202&lt;&gt;$L$1,对接源_02物料!$B202=""),0,IF(OR(N(对接源_02物料!$B202)&lt;$L$2,N(对接源_02物料!$B202)&gt;$L$3),0,1))</f>
        <v>0</v>
      </c>
      <c r="M1402" s="1" t="n">
        <f aca="false">IF(OR($M$1="",对接源_02物料!$C202="",对接源_02物料!$C202&lt;&gt;$M$1,对接源_02物料!$B202=""),0,IF(OR(N(对接源_02物料!$B202)&lt;$M$2,N(对接源_02物料!$B202)&gt;$M$3),0,1))</f>
        <v>0</v>
      </c>
      <c r="N1402" s="1" t="n">
        <f aca="false">IF(OR($N$1="",对接源_02物料!$C202="",对接源_02物料!$C202&lt;&gt;$N$1,对接源_02物料!$B202=""),0,IF(OR(N(对接源_02物料!$B202)&lt;$N$2,N(对接源_02物料!$B202)&gt;$N$3),0,1))</f>
        <v>0</v>
      </c>
      <c r="P1402" s="1" t="n">
        <f aca="false">IF(AND($K1402=1,AND(对接源_02物料!$X202="公司筐",N(对接源_02物料!$T202)&lt;&gt;0)),1,0)</f>
        <v>0</v>
      </c>
      <c r="Q1402" s="1" t="n">
        <f aca="false">N(Q1401)+$P1402</f>
        <v>13</v>
      </c>
      <c r="R1402" s="1" t="n">
        <f aca="false">IF(AND($K1402=1,AND(对接源_02物料!$X202="公司筐",N(对接源_02物料!$U202)&lt;&gt;0)),1,0)</f>
        <v>0</v>
      </c>
      <c r="S1402" s="1" t="n">
        <f aca="false">N(S1401)+$R1402</f>
        <v>5</v>
      </c>
      <c r="T1402" s="1" t="n">
        <f aca="false">IF(AND($K1402=1,AND(对接源_02物料!$X202="公司筐",N(对接源_02物料!$V202)&lt;&gt;0)),1,0)</f>
        <v>0</v>
      </c>
      <c r="U1402" s="1" t="n">
        <f aca="false">N(U1401)+$T1402</f>
        <v>28</v>
      </c>
      <c r="V1402" s="1" t="n">
        <f aca="false">IF(AND($L1402=1,AND(对接源_02物料!$X202="自备筐",N(对接源_02物料!$V202)&lt;&gt;0)),1,0)</f>
        <v>0</v>
      </c>
      <c r="W1402" s="1" t="n">
        <f aca="false">N(W1401)+$V1402</f>
        <v>7</v>
      </c>
      <c r="X1402" s="1" t="n">
        <f aca="false">IF(AND($L1402=1,AND(对接源_02物料!$X202="自备筐",N(对接源_02物料!$T202)&lt;&gt;0)),1,0)</f>
        <v>0</v>
      </c>
      <c r="Y1402" s="1" t="n">
        <f aca="false">N(Y1401)+$X1402</f>
        <v>0</v>
      </c>
      <c r="Z1402" s="1" t="n">
        <f aca="false">IF(AND($M1402=1,对接源_02物料!$D202="原料入库"),1,0)</f>
        <v>0</v>
      </c>
      <c r="AA1402" s="1" t="n">
        <f aca="false">N(AA1401)+$Z1402</f>
        <v>30</v>
      </c>
      <c r="AB1402" s="1" t="n">
        <f aca="false">IF(AND($M1402=1,LEFT(对接源_02物料!$D202,4)="原料出库"),1,0)</f>
        <v>0</v>
      </c>
      <c r="AC1402" s="1" t="n">
        <f aca="false">N(AC1401)+$AB1402</f>
        <v>19</v>
      </c>
      <c r="AD1402" s="1" t="n">
        <f aca="false">IF(AND($M1402=1,LEFT(对接源_02物料!$D202,4)="成品出库"),1,0)</f>
        <v>0</v>
      </c>
      <c r="AE1402" s="1" t="n">
        <f aca="false">N(AE1401)+$AD1402</f>
        <v>38</v>
      </c>
      <c r="AF1402" s="1" t="n">
        <f aca="false">IF(AND($N1402=1,AND(LEFT(对接源_02物料!$D202,4)="包装物料",N(对接源_02物料!$K202)&lt;&gt;0)),1,0)</f>
        <v>0</v>
      </c>
      <c r="AG1402" s="1" t="n">
        <f aca="false">N(AG1401)+$AF1402</f>
        <v>6</v>
      </c>
      <c r="AH1402" s="1" t="n">
        <f aca="false">IF(AND($N1402=1,AND(LEFT(对接源_02物料!$D202,3)="周转筐",N(对接源_02物料!$K202)&lt;&gt;0)),1,0)</f>
        <v>0</v>
      </c>
      <c r="AI1402" s="1" t="n">
        <f aca="false">N(AI1401)+$AH1402</f>
        <v>0</v>
      </c>
      <c r="AJ1402" s="1" t="n">
        <v>0</v>
      </c>
      <c r="AK1402" s="1" t="n">
        <f aca="false">N(AK1401)+$AJ1402</f>
        <v>3672</v>
      </c>
    </row>
    <row r="1403" customFormat="false" ht="13.5" hidden="false" customHeight="false" outlineLevel="0" collapsed="false">
      <c r="A1403" s="1" t="str">
        <f aca="false">IF(对接源_02物料!$C203="","",对接源_02物料!$C203)</f>
        <v/>
      </c>
      <c r="B1403" s="1" t="n">
        <f aca="false">IF(A1403="",0,IF(MATCH(A1403,$A$4:$A$2403,0)=ROW()-3,1,0))</f>
        <v>0</v>
      </c>
      <c r="C1403" s="1" t="n">
        <f aca="false">N(C1402)+B1403</f>
        <v>17</v>
      </c>
      <c r="K1403" s="1" t="n">
        <f aca="false">IF(OR($K$1="",对接源_02物料!$C203="",对接源_02物料!$C203&lt;&gt;$K$1,对接源_02物料!$B203=""),0,IF(OR(N(对接源_02物料!$B203)&lt;$K$2,N(对接源_02物料!$B203)&gt;$K$3),0,1))</f>
        <v>0</v>
      </c>
      <c r="L1403" s="1" t="n">
        <f aca="false">IF(OR($L$1="",对接源_02物料!$C203="",对接源_02物料!$C203&lt;&gt;$L$1,对接源_02物料!$B203=""),0,IF(OR(N(对接源_02物料!$B203)&lt;$L$2,N(对接源_02物料!$B203)&gt;$L$3),0,1))</f>
        <v>0</v>
      </c>
      <c r="M1403" s="1" t="n">
        <f aca="false">IF(OR($M$1="",对接源_02物料!$C203="",对接源_02物料!$C203&lt;&gt;$M$1,对接源_02物料!$B203=""),0,IF(OR(N(对接源_02物料!$B203)&lt;$M$2,N(对接源_02物料!$B203)&gt;$M$3),0,1))</f>
        <v>0</v>
      </c>
      <c r="N1403" s="1" t="n">
        <f aca="false">IF(OR($N$1="",对接源_02物料!$C203="",对接源_02物料!$C203&lt;&gt;$N$1,对接源_02物料!$B203=""),0,IF(OR(N(对接源_02物料!$B203)&lt;$N$2,N(对接源_02物料!$B203)&gt;$N$3),0,1))</f>
        <v>0</v>
      </c>
      <c r="P1403" s="1" t="n">
        <f aca="false">IF(AND($K1403=1,AND(对接源_02物料!$X203="公司筐",N(对接源_02物料!$T203)&lt;&gt;0)),1,0)</f>
        <v>0</v>
      </c>
      <c r="Q1403" s="1" t="n">
        <f aca="false">N(Q1402)+$P1403</f>
        <v>13</v>
      </c>
      <c r="R1403" s="1" t="n">
        <f aca="false">IF(AND($K1403=1,AND(对接源_02物料!$X203="公司筐",N(对接源_02物料!$U203)&lt;&gt;0)),1,0)</f>
        <v>0</v>
      </c>
      <c r="S1403" s="1" t="n">
        <f aca="false">N(S1402)+$R1403</f>
        <v>5</v>
      </c>
      <c r="T1403" s="1" t="n">
        <f aca="false">IF(AND($K1403=1,AND(对接源_02物料!$X203="公司筐",N(对接源_02物料!$V203)&lt;&gt;0)),1,0)</f>
        <v>0</v>
      </c>
      <c r="U1403" s="1" t="n">
        <f aca="false">N(U1402)+$T1403</f>
        <v>28</v>
      </c>
      <c r="V1403" s="1" t="n">
        <f aca="false">IF(AND($L1403=1,AND(对接源_02物料!$X203="自备筐",N(对接源_02物料!$V203)&lt;&gt;0)),1,0)</f>
        <v>0</v>
      </c>
      <c r="W1403" s="1" t="n">
        <f aca="false">N(W1402)+$V1403</f>
        <v>7</v>
      </c>
      <c r="X1403" s="1" t="n">
        <f aca="false">IF(AND($L1403=1,AND(对接源_02物料!$X203="自备筐",N(对接源_02物料!$T203)&lt;&gt;0)),1,0)</f>
        <v>0</v>
      </c>
      <c r="Y1403" s="1" t="n">
        <f aca="false">N(Y1402)+$X1403</f>
        <v>0</v>
      </c>
      <c r="Z1403" s="1" t="n">
        <f aca="false">IF(AND($M1403=1,对接源_02物料!$D203="原料入库"),1,0)</f>
        <v>0</v>
      </c>
      <c r="AA1403" s="1" t="n">
        <f aca="false">N(AA1402)+$Z1403</f>
        <v>30</v>
      </c>
      <c r="AB1403" s="1" t="n">
        <f aca="false">IF(AND($M1403=1,LEFT(对接源_02物料!$D203,4)="原料出库"),1,0)</f>
        <v>0</v>
      </c>
      <c r="AC1403" s="1" t="n">
        <f aca="false">N(AC1402)+$AB1403</f>
        <v>19</v>
      </c>
      <c r="AD1403" s="1" t="n">
        <f aca="false">IF(AND($M1403=1,LEFT(对接源_02物料!$D203,4)="成品出库"),1,0)</f>
        <v>0</v>
      </c>
      <c r="AE1403" s="1" t="n">
        <f aca="false">N(AE1402)+$AD1403</f>
        <v>38</v>
      </c>
      <c r="AF1403" s="1" t="n">
        <f aca="false">IF(AND($N1403=1,AND(LEFT(对接源_02物料!$D203,4)="包装物料",N(对接源_02物料!$K203)&lt;&gt;0)),1,0)</f>
        <v>0</v>
      </c>
      <c r="AG1403" s="1" t="n">
        <f aca="false">N(AG1402)+$AF1403</f>
        <v>6</v>
      </c>
      <c r="AH1403" s="1" t="n">
        <f aca="false">IF(AND($N1403=1,AND(LEFT(对接源_02物料!$D203,3)="周转筐",N(对接源_02物料!$K203)&lt;&gt;0)),1,0)</f>
        <v>0</v>
      </c>
      <c r="AI1403" s="1" t="n">
        <f aca="false">N(AI1402)+$AH1403</f>
        <v>0</v>
      </c>
      <c r="AJ1403" s="1" t="n">
        <v>0</v>
      </c>
      <c r="AK1403" s="1" t="n">
        <f aca="false">N(AK1402)+$AJ1403</f>
        <v>3672</v>
      </c>
    </row>
    <row r="1404" customFormat="false" ht="13.5" hidden="false" customHeight="false" outlineLevel="0" collapsed="false">
      <c r="A1404" s="1" t="str">
        <f aca="false">IF(对接源_02物料!$C204="","",对接源_02物料!$C204)</f>
        <v/>
      </c>
      <c r="B1404" s="1" t="n">
        <f aca="false">IF(A1404="",0,IF(MATCH(A1404,$A$4:$A$2403,0)=ROW()-3,1,0))</f>
        <v>0</v>
      </c>
      <c r="C1404" s="1" t="n">
        <f aca="false">N(C1403)+B1404</f>
        <v>17</v>
      </c>
      <c r="K1404" s="1" t="n">
        <f aca="false">IF(OR($K$1="",对接源_02物料!$C204="",对接源_02物料!$C204&lt;&gt;$K$1,对接源_02物料!$B204=""),0,IF(OR(N(对接源_02物料!$B204)&lt;$K$2,N(对接源_02物料!$B204)&gt;$K$3),0,1))</f>
        <v>0</v>
      </c>
      <c r="L1404" s="1" t="n">
        <f aca="false">IF(OR($L$1="",对接源_02物料!$C204="",对接源_02物料!$C204&lt;&gt;$L$1,对接源_02物料!$B204=""),0,IF(OR(N(对接源_02物料!$B204)&lt;$L$2,N(对接源_02物料!$B204)&gt;$L$3),0,1))</f>
        <v>0</v>
      </c>
      <c r="M1404" s="1" t="n">
        <f aca="false">IF(OR($M$1="",对接源_02物料!$C204="",对接源_02物料!$C204&lt;&gt;$M$1,对接源_02物料!$B204=""),0,IF(OR(N(对接源_02物料!$B204)&lt;$M$2,N(对接源_02物料!$B204)&gt;$M$3),0,1))</f>
        <v>0</v>
      </c>
      <c r="N1404" s="1" t="n">
        <f aca="false">IF(OR($N$1="",对接源_02物料!$C204="",对接源_02物料!$C204&lt;&gt;$N$1,对接源_02物料!$B204=""),0,IF(OR(N(对接源_02物料!$B204)&lt;$N$2,N(对接源_02物料!$B204)&gt;$N$3),0,1))</f>
        <v>0</v>
      </c>
      <c r="P1404" s="1" t="n">
        <f aca="false">IF(AND($K1404=1,AND(对接源_02物料!$X204="公司筐",N(对接源_02物料!$T204)&lt;&gt;0)),1,0)</f>
        <v>0</v>
      </c>
      <c r="Q1404" s="1" t="n">
        <f aca="false">N(Q1403)+$P1404</f>
        <v>13</v>
      </c>
      <c r="R1404" s="1" t="n">
        <f aca="false">IF(AND($K1404=1,AND(对接源_02物料!$X204="公司筐",N(对接源_02物料!$U204)&lt;&gt;0)),1,0)</f>
        <v>0</v>
      </c>
      <c r="S1404" s="1" t="n">
        <f aca="false">N(S1403)+$R1404</f>
        <v>5</v>
      </c>
      <c r="T1404" s="1" t="n">
        <f aca="false">IF(AND($K1404=1,AND(对接源_02物料!$X204="公司筐",N(对接源_02物料!$V204)&lt;&gt;0)),1,0)</f>
        <v>0</v>
      </c>
      <c r="U1404" s="1" t="n">
        <f aca="false">N(U1403)+$T1404</f>
        <v>28</v>
      </c>
      <c r="V1404" s="1" t="n">
        <f aca="false">IF(AND($L1404=1,AND(对接源_02物料!$X204="自备筐",N(对接源_02物料!$V204)&lt;&gt;0)),1,0)</f>
        <v>0</v>
      </c>
      <c r="W1404" s="1" t="n">
        <f aca="false">N(W1403)+$V1404</f>
        <v>7</v>
      </c>
      <c r="X1404" s="1" t="n">
        <f aca="false">IF(AND($L1404=1,AND(对接源_02物料!$X204="自备筐",N(对接源_02物料!$T204)&lt;&gt;0)),1,0)</f>
        <v>0</v>
      </c>
      <c r="Y1404" s="1" t="n">
        <f aca="false">N(Y1403)+$X1404</f>
        <v>0</v>
      </c>
      <c r="Z1404" s="1" t="n">
        <f aca="false">IF(AND($M1404=1,对接源_02物料!$D204="原料入库"),1,0)</f>
        <v>0</v>
      </c>
      <c r="AA1404" s="1" t="n">
        <f aca="false">N(AA1403)+$Z1404</f>
        <v>30</v>
      </c>
      <c r="AB1404" s="1" t="n">
        <f aca="false">IF(AND($M1404=1,LEFT(对接源_02物料!$D204,4)="原料出库"),1,0)</f>
        <v>0</v>
      </c>
      <c r="AC1404" s="1" t="n">
        <f aca="false">N(AC1403)+$AB1404</f>
        <v>19</v>
      </c>
      <c r="AD1404" s="1" t="n">
        <f aca="false">IF(AND($M1404=1,LEFT(对接源_02物料!$D204,4)="成品出库"),1,0)</f>
        <v>0</v>
      </c>
      <c r="AE1404" s="1" t="n">
        <f aca="false">N(AE1403)+$AD1404</f>
        <v>38</v>
      </c>
      <c r="AF1404" s="1" t="n">
        <f aca="false">IF(AND($N1404=1,AND(LEFT(对接源_02物料!$D204,4)="包装物料",N(对接源_02物料!$K204)&lt;&gt;0)),1,0)</f>
        <v>0</v>
      </c>
      <c r="AG1404" s="1" t="n">
        <f aca="false">N(AG1403)+$AF1404</f>
        <v>6</v>
      </c>
      <c r="AH1404" s="1" t="n">
        <f aca="false">IF(AND($N1404=1,AND(LEFT(对接源_02物料!$D204,3)="周转筐",N(对接源_02物料!$K204)&lt;&gt;0)),1,0)</f>
        <v>0</v>
      </c>
      <c r="AI1404" s="1" t="n">
        <f aca="false">N(AI1403)+$AH1404</f>
        <v>0</v>
      </c>
      <c r="AJ1404" s="1" t="n">
        <v>0</v>
      </c>
      <c r="AK1404" s="1" t="n">
        <f aca="false">N(AK1403)+$AJ1404</f>
        <v>3672</v>
      </c>
    </row>
    <row r="1405" customFormat="false" ht="13.5" hidden="false" customHeight="false" outlineLevel="0" collapsed="false">
      <c r="A1405" s="1" t="str">
        <f aca="false">IF(对接源_02物料!$C205="","",对接源_02物料!$C205)</f>
        <v/>
      </c>
      <c r="B1405" s="1" t="n">
        <f aca="false">IF(A1405="",0,IF(MATCH(A1405,$A$4:$A$2403,0)=ROW()-3,1,0))</f>
        <v>0</v>
      </c>
      <c r="C1405" s="1" t="n">
        <f aca="false">N(C1404)+B1405</f>
        <v>17</v>
      </c>
      <c r="K1405" s="1" t="n">
        <f aca="false">IF(OR($K$1="",对接源_02物料!$C205="",对接源_02物料!$C205&lt;&gt;$K$1,对接源_02物料!$B205=""),0,IF(OR(N(对接源_02物料!$B205)&lt;$K$2,N(对接源_02物料!$B205)&gt;$K$3),0,1))</f>
        <v>0</v>
      </c>
      <c r="L1405" s="1" t="n">
        <f aca="false">IF(OR($L$1="",对接源_02物料!$C205="",对接源_02物料!$C205&lt;&gt;$L$1,对接源_02物料!$B205=""),0,IF(OR(N(对接源_02物料!$B205)&lt;$L$2,N(对接源_02物料!$B205)&gt;$L$3),0,1))</f>
        <v>0</v>
      </c>
      <c r="M1405" s="1" t="n">
        <f aca="false">IF(OR($M$1="",对接源_02物料!$C205="",对接源_02物料!$C205&lt;&gt;$M$1,对接源_02物料!$B205=""),0,IF(OR(N(对接源_02物料!$B205)&lt;$M$2,N(对接源_02物料!$B205)&gt;$M$3),0,1))</f>
        <v>0</v>
      </c>
      <c r="N1405" s="1" t="n">
        <f aca="false">IF(OR($N$1="",对接源_02物料!$C205="",对接源_02物料!$C205&lt;&gt;$N$1,对接源_02物料!$B205=""),0,IF(OR(N(对接源_02物料!$B205)&lt;$N$2,N(对接源_02物料!$B205)&gt;$N$3),0,1))</f>
        <v>0</v>
      </c>
      <c r="P1405" s="1" t="n">
        <f aca="false">IF(AND($K1405=1,AND(对接源_02物料!$X205="公司筐",N(对接源_02物料!$T205)&lt;&gt;0)),1,0)</f>
        <v>0</v>
      </c>
      <c r="Q1405" s="1" t="n">
        <f aca="false">N(Q1404)+$P1405</f>
        <v>13</v>
      </c>
      <c r="R1405" s="1" t="n">
        <f aca="false">IF(AND($K1405=1,AND(对接源_02物料!$X205="公司筐",N(对接源_02物料!$U205)&lt;&gt;0)),1,0)</f>
        <v>0</v>
      </c>
      <c r="S1405" s="1" t="n">
        <f aca="false">N(S1404)+$R1405</f>
        <v>5</v>
      </c>
      <c r="T1405" s="1" t="n">
        <f aca="false">IF(AND($K1405=1,AND(对接源_02物料!$X205="公司筐",N(对接源_02物料!$V205)&lt;&gt;0)),1,0)</f>
        <v>0</v>
      </c>
      <c r="U1405" s="1" t="n">
        <f aca="false">N(U1404)+$T1405</f>
        <v>28</v>
      </c>
      <c r="V1405" s="1" t="n">
        <f aca="false">IF(AND($L1405=1,AND(对接源_02物料!$X205="自备筐",N(对接源_02物料!$V205)&lt;&gt;0)),1,0)</f>
        <v>0</v>
      </c>
      <c r="W1405" s="1" t="n">
        <f aca="false">N(W1404)+$V1405</f>
        <v>7</v>
      </c>
      <c r="X1405" s="1" t="n">
        <f aca="false">IF(AND($L1405=1,AND(对接源_02物料!$X205="自备筐",N(对接源_02物料!$T205)&lt;&gt;0)),1,0)</f>
        <v>0</v>
      </c>
      <c r="Y1405" s="1" t="n">
        <f aca="false">N(Y1404)+$X1405</f>
        <v>0</v>
      </c>
      <c r="Z1405" s="1" t="n">
        <f aca="false">IF(AND($M1405=1,对接源_02物料!$D205="原料入库"),1,0)</f>
        <v>0</v>
      </c>
      <c r="AA1405" s="1" t="n">
        <f aca="false">N(AA1404)+$Z1405</f>
        <v>30</v>
      </c>
      <c r="AB1405" s="1" t="n">
        <f aca="false">IF(AND($M1405=1,LEFT(对接源_02物料!$D205,4)="原料出库"),1,0)</f>
        <v>0</v>
      </c>
      <c r="AC1405" s="1" t="n">
        <f aca="false">N(AC1404)+$AB1405</f>
        <v>19</v>
      </c>
      <c r="AD1405" s="1" t="n">
        <f aca="false">IF(AND($M1405=1,LEFT(对接源_02物料!$D205,4)="成品出库"),1,0)</f>
        <v>0</v>
      </c>
      <c r="AE1405" s="1" t="n">
        <f aca="false">N(AE1404)+$AD1405</f>
        <v>38</v>
      </c>
      <c r="AF1405" s="1" t="n">
        <f aca="false">IF(AND($N1405=1,AND(LEFT(对接源_02物料!$D205,4)="包装物料",N(对接源_02物料!$K205)&lt;&gt;0)),1,0)</f>
        <v>0</v>
      </c>
      <c r="AG1405" s="1" t="n">
        <f aca="false">N(AG1404)+$AF1405</f>
        <v>6</v>
      </c>
      <c r="AH1405" s="1" t="n">
        <f aca="false">IF(AND($N1405=1,AND(LEFT(对接源_02物料!$D205,3)="周转筐",N(对接源_02物料!$K205)&lt;&gt;0)),1,0)</f>
        <v>0</v>
      </c>
      <c r="AI1405" s="1" t="n">
        <f aca="false">N(AI1404)+$AH1405</f>
        <v>0</v>
      </c>
      <c r="AJ1405" s="1" t="n">
        <v>0</v>
      </c>
      <c r="AK1405" s="1" t="n">
        <f aca="false">N(AK1404)+$AJ1405</f>
        <v>3672</v>
      </c>
    </row>
    <row r="1406" customFormat="false" ht="13.5" hidden="false" customHeight="false" outlineLevel="0" collapsed="false">
      <c r="A1406" s="1" t="str">
        <f aca="false">IF(对接源_02物料!$C206="","",对接源_02物料!$C206)</f>
        <v/>
      </c>
      <c r="B1406" s="1" t="n">
        <f aca="false">IF(A1406="",0,IF(MATCH(A1406,$A$4:$A$2403,0)=ROW()-3,1,0))</f>
        <v>0</v>
      </c>
      <c r="C1406" s="1" t="n">
        <f aca="false">N(C1405)+B1406</f>
        <v>17</v>
      </c>
      <c r="K1406" s="1" t="n">
        <f aca="false">IF(OR($K$1="",对接源_02物料!$C206="",对接源_02物料!$C206&lt;&gt;$K$1,对接源_02物料!$B206=""),0,IF(OR(N(对接源_02物料!$B206)&lt;$K$2,N(对接源_02物料!$B206)&gt;$K$3),0,1))</f>
        <v>0</v>
      </c>
      <c r="L1406" s="1" t="n">
        <f aca="false">IF(OR($L$1="",对接源_02物料!$C206="",对接源_02物料!$C206&lt;&gt;$L$1,对接源_02物料!$B206=""),0,IF(OR(N(对接源_02物料!$B206)&lt;$L$2,N(对接源_02物料!$B206)&gt;$L$3),0,1))</f>
        <v>0</v>
      </c>
      <c r="M1406" s="1" t="n">
        <f aca="false">IF(OR($M$1="",对接源_02物料!$C206="",对接源_02物料!$C206&lt;&gt;$M$1,对接源_02物料!$B206=""),0,IF(OR(N(对接源_02物料!$B206)&lt;$M$2,N(对接源_02物料!$B206)&gt;$M$3),0,1))</f>
        <v>0</v>
      </c>
      <c r="N1406" s="1" t="n">
        <f aca="false">IF(OR($N$1="",对接源_02物料!$C206="",对接源_02物料!$C206&lt;&gt;$N$1,对接源_02物料!$B206=""),0,IF(OR(N(对接源_02物料!$B206)&lt;$N$2,N(对接源_02物料!$B206)&gt;$N$3),0,1))</f>
        <v>0</v>
      </c>
      <c r="P1406" s="1" t="n">
        <f aca="false">IF(AND($K1406=1,AND(对接源_02物料!$X206="公司筐",N(对接源_02物料!$T206)&lt;&gt;0)),1,0)</f>
        <v>0</v>
      </c>
      <c r="Q1406" s="1" t="n">
        <f aca="false">N(Q1405)+$P1406</f>
        <v>13</v>
      </c>
      <c r="R1406" s="1" t="n">
        <f aca="false">IF(AND($K1406=1,AND(对接源_02物料!$X206="公司筐",N(对接源_02物料!$U206)&lt;&gt;0)),1,0)</f>
        <v>0</v>
      </c>
      <c r="S1406" s="1" t="n">
        <f aca="false">N(S1405)+$R1406</f>
        <v>5</v>
      </c>
      <c r="T1406" s="1" t="n">
        <f aca="false">IF(AND($K1406=1,AND(对接源_02物料!$X206="公司筐",N(对接源_02物料!$V206)&lt;&gt;0)),1,0)</f>
        <v>0</v>
      </c>
      <c r="U1406" s="1" t="n">
        <f aca="false">N(U1405)+$T1406</f>
        <v>28</v>
      </c>
      <c r="V1406" s="1" t="n">
        <f aca="false">IF(AND($L1406=1,AND(对接源_02物料!$X206="自备筐",N(对接源_02物料!$V206)&lt;&gt;0)),1,0)</f>
        <v>0</v>
      </c>
      <c r="W1406" s="1" t="n">
        <f aca="false">N(W1405)+$V1406</f>
        <v>7</v>
      </c>
      <c r="X1406" s="1" t="n">
        <f aca="false">IF(AND($L1406=1,AND(对接源_02物料!$X206="自备筐",N(对接源_02物料!$T206)&lt;&gt;0)),1,0)</f>
        <v>0</v>
      </c>
      <c r="Y1406" s="1" t="n">
        <f aca="false">N(Y1405)+$X1406</f>
        <v>0</v>
      </c>
      <c r="Z1406" s="1" t="n">
        <f aca="false">IF(AND($M1406=1,对接源_02物料!$D206="原料入库"),1,0)</f>
        <v>0</v>
      </c>
      <c r="AA1406" s="1" t="n">
        <f aca="false">N(AA1405)+$Z1406</f>
        <v>30</v>
      </c>
      <c r="AB1406" s="1" t="n">
        <f aca="false">IF(AND($M1406=1,LEFT(对接源_02物料!$D206,4)="原料出库"),1,0)</f>
        <v>0</v>
      </c>
      <c r="AC1406" s="1" t="n">
        <f aca="false">N(AC1405)+$AB1406</f>
        <v>19</v>
      </c>
      <c r="AD1406" s="1" t="n">
        <f aca="false">IF(AND($M1406=1,LEFT(对接源_02物料!$D206,4)="成品出库"),1,0)</f>
        <v>0</v>
      </c>
      <c r="AE1406" s="1" t="n">
        <f aca="false">N(AE1405)+$AD1406</f>
        <v>38</v>
      </c>
      <c r="AF1406" s="1" t="n">
        <f aca="false">IF(AND($N1406=1,AND(LEFT(对接源_02物料!$D206,4)="包装物料",N(对接源_02物料!$K206)&lt;&gt;0)),1,0)</f>
        <v>0</v>
      </c>
      <c r="AG1406" s="1" t="n">
        <f aca="false">N(AG1405)+$AF1406</f>
        <v>6</v>
      </c>
      <c r="AH1406" s="1" t="n">
        <f aca="false">IF(AND($N1406=1,AND(LEFT(对接源_02物料!$D206,3)="周转筐",N(对接源_02物料!$K206)&lt;&gt;0)),1,0)</f>
        <v>0</v>
      </c>
      <c r="AI1406" s="1" t="n">
        <f aca="false">N(AI1405)+$AH1406</f>
        <v>0</v>
      </c>
      <c r="AJ1406" s="1" t="n">
        <v>0</v>
      </c>
      <c r="AK1406" s="1" t="n">
        <f aca="false">N(AK1405)+$AJ1406</f>
        <v>3672</v>
      </c>
    </row>
    <row r="1407" customFormat="false" ht="13.5" hidden="false" customHeight="false" outlineLevel="0" collapsed="false">
      <c r="A1407" s="1" t="str">
        <f aca="false">IF(对接源_02物料!$C207="","",对接源_02物料!$C207)</f>
        <v/>
      </c>
      <c r="B1407" s="1" t="n">
        <f aca="false">IF(A1407="",0,IF(MATCH(A1407,$A$4:$A$2403,0)=ROW()-3,1,0))</f>
        <v>0</v>
      </c>
      <c r="C1407" s="1" t="n">
        <f aca="false">N(C1406)+B1407</f>
        <v>17</v>
      </c>
      <c r="K1407" s="1" t="n">
        <f aca="false">IF(OR($K$1="",对接源_02物料!$C207="",对接源_02物料!$C207&lt;&gt;$K$1,对接源_02物料!$B207=""),0,IF(OR(N(对接源_02物料!$B207)&lt;$K$2,N(对接源_02物料!$B207)&gt;$K$3),0,1))</f>
        <v>0</v>
      </c>
      <c r="L1407" s="1" t="n">
        <f aca="false">IF(OR($L$1="",对接源_02物料!$C207="",对接源_02物料!$C207&lt;&gt;$L$1,对接源_02物料!$B207=""),0,IF(OR(N(对接源_02物料!$B207)&lt;$L$2,N(对接源_02物料!$B207)&gt;$L$3),0,1))</f>
        <v>0</v>
      </c>
      <c r="M1407" s="1" t="n">
        <f aca="false">IF(OR($M$1="",对接源_02物料!$C207="",对接源_02物料!$C207&lt;&gt;$M$1,对接源_02物料!$B207=""),0,IF(OR(N(对接源_02物料!$B207)&lt;$M$2,N(对接源_02物料!$B207)&gt;$M$3),0,1))</f>
        <v>0</v>
      </c>
      <c r="N1407" s="1" t="n">
        <f aca="false">IF(OR($N$1="",对接源_02物料!$C207="",对接源_02物料!$C207&lt;&gt;$N$1,对接源_02物料!$B207=""),0,IF(OR(N(对接源_02物料!$B207)&lt;$N$2,N(对接源_02物料!$B207)&gt;$N$3),0,1))</f>
        <v>0</v>
      </c>
      <c r="P1407" s="1" t="n">
        <f aca="false">IF(AND($K1407=1,AND(对接源_02物料!$X207="公司筐",N(对接源_02物料!$T207)&lt;&gt;0)),1,0)</f>
        <v>0</v>
      </c>
      <c r="Q1407" s="1" t="n">
        <f aca="false">N(Q1406)+$P1407</f>
        <v>13</v>
      </c>
      <c r="R1407" s="1" t="n">
        <f aca="false">IF(AND($K1407=1,AND(对接源_02物料!$X207="公司筐",N(对接源_02物料!$U207)&lt;&gt;0)),1,0)</f>
        <v>0</v>
      </c>
      <c r="S1407" s="1" t="n">
        <f aca="false">N(S1406)+$R1407</f>
        <v>5</v>
      </c>
      <c r="T1407" s="1" t="n">
        <f aca="false">IF(AND($K1407=1,AND(对接源_02物料!$X207="公司筐",N(对接源_02物料!$V207)&lt;&gt;0)),1,0)</f>
        <v>0</v>
      </c>
      <c r="U1407" s="1" t="n">
        <f aca="false">N(U1406)+$T1407</f>
        <v>28</v>
      </c>
      <c r="V1407" s="1" t="n">
        <f aca="false">IF(AND($L1407=1,AND(对接源_02物料!$X207="自备筐",N(对接源_02物料!$V207)&lt;&gt;0)),1,0)</f>
        <v>0</v>
      </c>
      <c r="W1407" s="1" t="n">
        <f aca="false">N(W1406)+$V1407</f>
        <v>7</v>
      </c>
      <c r="X1407" s="1" t="n">
        <f aca="false">IF(AND($L1407=1,AND(对接源_02物料!$X207="自备筐",N(对接源_02物料!$T207)&lt;&gt;0)),1,0)</f>
        <v>0</v>
      </c>
      <c r="Y1407" s="1" t="n">
        <f aca="false">N(Y1406)+$X1407</f>
        <v>0</v>
      </c>
      <c r="Z1407" s="1" t="n">
        <f aca="false">IF(AND($M1407=1,对接源_02物料!$D207="原料入库"),1,0)</f>
        <v>0</v>
      </c>
      <c r="AA1407" s="1" t="n">
        <f aca="false">N(AA1406)+$Z1407</f>
        <v>30</v>
      </c>
      <c r="AB1407" s="1" t="n">
        <f aca="false">IF(AND($M1407=1,LEFT(对接源_02物料!$D207,4)="原料出库"),1,0)</f>
        <v>0</v>
      </c>
      <c r="AC1407" s="1" t="n">
        <f aca="false">N(AC1406)+$AB1407</f>
        <v>19</v>
      </c>
      <c r="AD1407" s="1" t="n">
        <f aca="false">IF(AND($M1407=1,LEFT(对接源_02物料!$D207,4)="成品出库"),1,0)</f>
        <v>0</v>
      </c>
      <c r="AE1407" s="1" t="n">
        <f aca="false">N(AE1406)+$AD1407</f>
        <v>38</v>
      </c>
      <c r="AF1407" s="1" t="n">
        <f aca="false">IF(AND($N1407=1,AND(LEFT(对接源_02物料!$D207,4)="包装物料",N(对接源_02物料!$K207)&lt;&gt;0)),1,0)</f>
        <v>0</v>
      </c>
      <c r="AG1407" s="1" t="n">
        <f aca="false">N(AG1406)+$AF1407</f>
        <v>6</v>
      </c>
      <c r="AH1407" s="1" t="n">
        <f aca="false">IF(AND($N1407=1,AND(LEFT(对接源_02物料!$D207,3)="周转筐",N(对接源_02物料!$K207)&lt;&gt;0)),1,0)</f>
        <v>0</v>
      </c>
      <c r="AI1407" s="1" t="n">
        <f aca="false">N(AI1406)+$AH1407</f>
        <v>0</v>
      </c>
      <c r="AJ1407" s="1" t="n">
        <v>0</v>
      </c>
      <c r="AK1407" s="1" t="n">
        <f aca="false">N(AK1406)+$AJ1407</f>
        <v>3672</v>
      </c>
    </row>
    <row r="1408" customFormat="false" ht="13.5" hidden="false" customHeight="false" outlineLevel="0" collapsed="false">
      <c r="A1408" s="1" t="str">
        <f aca="false">IF(对接源_02物料!$C208="","",对接源_02物料!$C208)</f>
        <v/>
      </c>
      <c r="B1408" s="1" t="n">
        <f aca="false">IF(A1408="",0,IF(MATCH(A1408,$A$4:$A$2403,0)=ROW()-3,1,0))</f>
        <v>0</v>
      </c>
      <c r="C1408" s="1" t="n">
        <f aca="false">N(C1407)+B1408</f>
        <v>17</v>
      </c>
      <c r="K1408" s="1" t="n">
        <f aca="false">IF(OR($K$1="",对接源_02物料!$C208="",对接源_02物料!$C208&lt;&gt;$K$1,对接源_02物料!$B208=""),0,IF(OR(N(对接源_02物料!$B208)&lt;$K$2,N(对接源_02物料!$B208)&gt;$K$3),0,1))</f>
        <v>0</v>
      </c>
      <c r="L1408" s="1" t="n">
        <f aca="false">IF(OR($L$1="",对接源_02物料!$C208="",对接源_02物料!$C208&lt;&gt;$L$1,对接源_02物料!$B208=""),0,IF(OR(N(对接源_02物料!$B208)&lt;$L$2,N(对接源_02物料!$B208)&gt;$L$3),0,1))</f>
        <v>0</v>
      </c>
      <c r="M1408" s="1" t="n">
        <f aca="false">IF(OR($M$1="",对接源_02物料!$C208="",对接源_02物料!$C208&lt;&gt;$M$1,对接源_02物料!$B208=""),0,IF(OR(N(对接源_02物料!$B208)&lt;$M$2,N(对接源_02物料!$B208)&gt;$M$3),0,1))</f>
        <v>0</v>
      </c>
      <c r="N1408" s="1" t="n">
        <f aca="false">IF(OR($N$1="",对接源_02物料!$C208="",对接源_02物料!$C208&lt;&gt;$N$1,对接源_02物料!$B208=""),0,IF(OR(N(对接源_02物料!$B208)&lt;$N$2,N(对接源_02物料!$B208)&gt;$N$3),0,1))</f>
        <v>0</v>
      </c>
      <c r="P1408" s="1" t="n">
        <f aca="false">IF(AND($K1408=1,AND(对接源_02物料!$X208="公司筐",N(对接源_02物料!$T208)&lt;&gt;0)),1,0)</f>
        <v>0</v>
      </c>
      <c r="Q1408" s="1" t="n">
        <f aca="false">N(Q1407)+$P1408</f>
        <v>13</v>
      </c>
      <c r="R1408" s="1" t="n">
        <f aca="false">IF(AND($K1408=1,AND(对接源_02物料!$X208="公司筐",N(对接源_02物料!$U208)&lt;&gt;0)),1,0)</f>
        <v>0</v>
      </c>
      <c r="S1408" s="1" t="n">
        <f aca="false">N(S1407)+$R1408</f>
        <v>5</v>
      </c>
      <c r="T1408" s="1" t="n">
        <f aca="false">IF(AND($K1408=1,AND(对接源_02物料!$X208="公司筐",N(对接源_02物料!$V208)&lt;&gt;0)),1,0)</f>
        <v>0</v>
      </c>
      <c r="U1408" s="1" t="n">
        <f aca="false">N(U1407)+$T1408</f>
        <v>28</v>
      </c>
      <c r="V1408" s="1" t="n">
        <f aca="false">IF(AND($L1408=1,AND(对接源_02物料!$X208="自备筐",N(对接源_02物料!$V208)&lt;&gt;0)),1,0)</f>
        <v>0</v>
      </c>
      <c r="W1408" s="1" t="n">
        <f aca="false">N(W1407)+$V1408</f>
        <v>7</v>
      </c>
      <c r="X1408" s="1" t="n">
        <f aca="false">IF(AND($L1408=1,AND(对接源_02物料!$X208="自备筐",N(对接源_02物料!$T208)&lt;&gt;0)),1,0)</f>
        <v>0</v>
      </c>
      <c r="Y1408" s="1" t="n">
        <f aca="false">N(Y1407)+$X1408</f>
        <v>0</v>
      </c>
      <c r="Z1408" s="1" t="n">
        <f aca="false">IF(AND($M1408=1,对接源_02物料!$D208="原料入库"),1,0)</f>
        <v>0</v>
      </c>
      <c r="AA1408" s="1" t="n">
        <f aca="false">N(AA1407)+$Z1408</f>
        <v>30</v>
      </c>
      <c r="AB1408" s="1" t="n">
        <f aca="false">IF(AND($M1408=1,LEFT(对接源_02物料!$D208,4)="原料出库"),1,0)</f>
        <v>0</v>
      </c>
      <c r="AC1408" s="1" t="n">
        <f aca="false">N(AC1407)+$AB1408</f>
        <v>19</v>
      </c>
      <c r="AD1408" s="1" t="n">
        <f aca="false">IF(AND($M1408=1,LEFT(对接源_02物料!$D208,4)="成品出库"),1,0)</f>
        <v>0</v>
      </c>
      <c r="AE1408" s="1" t="n">
        <f aca="false">N(AE1407)+$AD1408</f>
        <v>38</v>
      </c>
      <c r="AF1408" s="1" t="n">
        <f aca="false">IF(AND($N1408=1,AND(LEFT(对接源_02物料!$D208,4)="包装物料",N(对接源_02物料!$K208)&lt;&gt;0)),1,0)</f>
        <v>0</v>
      </c>
      <c r="AG1408" s="1" t="n">
        <f aca="false">N(AG1407)+$AF1408</f>
        <v>6</v>
      </c>
      <c r="AH1408" s="1" t="n">
        <f aca="false">IF(AND($N1408=1,AND(LEFT(对接源_02物料!$D208,3)="周转筐",N(对接源_02物料!$K208)&lt;&gt;0)),1,0)</f>
        <v>0</v>
      </c>
      <c r="AI1408" s="1" t="n">
        <f aca="false">N(AI1407)+$AH1408</f>
        <v>0</v>
      </c>
      <c r="AJ1408" s="1" t="n">
        <v>0</v>
      </c>
      <c r="AK1408" s="1" t="n">
        <f aca="false">N(AK1407)+$AJ1408</f>
        <v>3672</v>
      </c>
    </row>
    <row r="1409" customFormat="false" ht="13.5" hidden="false" customHeight="false" outlineLevel="0" collapsed="false">
      <c r="A1409" s="1" t="str">
        <f aca="false">IF(对接源_02物料!$C209="","",对接源_02物料!$C209)</f>
        <v/>
      </c>
      <c r="B1409" s="1" t="n">
        <f aca="false">IF(A1409="",0,IF(MATCH(A1409,$A$4:$A$2403,0)=ROW()-3,1,0))</f>
        <v>0</v>
      </c>
      <c r="C1409" s="1" t="n">
        <f aca="false">N(C1408)+B1409</f>
        <v>17</v>
      </c>
      <c r="K1409" s="1" t="n">
        <f aca="false">IF(OR($K$1="",对接源_02物料!$C209="",对接源_02物料!$C209&lt;&gt;$K$1,对接源_02物料!$B209=""),0,IF(OR(N(对接源_02物料!$B209)&lt;$K$2,N(对接源_02物料!$B209)&gt;$K$3),0,1))</f>
        <v>0</v>
      </c>
      <c r="L1409" s="1" t="n">
        <f aca="false">IF(OR($L$1="",对接源_02物料!$C209="",对接源_02物料!$C209&lt;&gt;$L$1,对接源_02物料!$B209=""),0,IF(OR(N(对接源_02物料!$B209)&lt;$L$2,N(对接源_02物料!$B209)&gt;$L$3),0,1))</f>
        <v>0</v>
      </c>
      <c r="M1409" s="1" t="n">
        <f aca="false">IF(OR($M$1="",对接源_02物料!$C209="",对接源_02物料!$C209&lt;&gt;$M$1,对接源_02物料!$B209=""),0,IF(OR(N(对接源_02物料!$B209)&lt;$M$2,N(对接源_02物料!$B209)&gt;$M$3),0,1))</f>
        <v>0</v>
      </c>
      <c r="N1409" s="1" t="n">
        <f aca="false">IF(OR($N$1="",对接源_02物料!$C209="",对接源_02物料!$C209&lt;&gt;$N$1,对接源_02物料!$B209=""),0,IF(OR(N(对接源_02物料!$B209)&lt;$N$2,N(对接源_02物料!$B209)&gt;$N$3),0,1))</f>
        <v>0</v>
      </c>
      <c r="P1409" s="1" t="n">
        <f aca="false">IF(AND($K1409=1,AND(对接源_02物料!$X209="公司筐",N(对接源_02物料!$T209)&lt;&gt;0)),1,0)</f>
        <v>0</v>
      </c>
      <c r="Q1409" s="1" t="n">
        <f aca="false">N(Q1408)+$P1409</f>
        <v>13</v>
      </c>
      <c r="R1409" s="1" t="n">
        <f aca="false">IF(AND($K1409=1,AND(对接源_02物料!$X209="公司筐",N(对接源_02物料!$U209)&lt;&gt;0)),1,0)</f>
        <v>0</v>
      </c>
      <c r="S1409" s="1" t="n">
        <f aca="false">N(S1408)+$R1409</f>
        <v>5</v>
      </c>
      <c r="T1409" s="1" t="n">
        <f aca="false">IF(AND($K1409=1,AND(对接源_02物料!$X209="公司筐",N(对接源_02物料!$V209)&lt;&gt;0)),1,0)</f>
        <v>0</v>
      </c>
      <c r="U1409" s="1" t="n">
        <f aca="false">N(U1408)+$T1409</f>
        <v>28</v>
      </c>
      <c r="V1409" s="1" t="n">
        <f aca="false">IF(AND($L1409=1,AND(对接源_02物料!$X209="自备筐",N(对接源_02物料!$V209)&lt;&gt;0)),1,0)</f>
        <v>0</v>
      </c>
      <c r="W1409" s="1" t="n">
        <f aca="false">N(W1408)+$V1409</f>
        <v>7</v>
      </c>
      <c r="X1409" s="1" t="n">
        <f aca="false">IF(AND($L1409=1,AND(对接源_02物料!$X209="自备筐",N(对接源_02物料!$T209)&lt;&gt;0)),1,0)</f>
        <v>0</v>
      </c>
      <c r="Y1409" s="1" t="n">
        <f aca="false">N(Y1408)+$X1409</f>
        <v>0</v>
      </c>
      <c r="Z1409" s="1" t="n">
        <f aca="false">IF(AND($M1409=1,对接源_02物料!$D209="原料入库"),1,0)</f>
        <v>0</v>
      </c>
      <c r="AA1409" s="1" t="n">
        <f aca="false">N(AA1408)+$Z1409</f>
        <v>30</v>
      </c>
      <c r="AB1409" s="1" t="n">
        <f aca="false">IF(AND($M1409=1,LEFT(对接源_02物料!$D209,4)="原料出库"),1,0)</f>
        <v>0</v>
      </c>
      <c r="AC1409" s="1" t="n">
        <f aca="false">N(AC1408)+$AB1409</f>
        <v>19</v>
      </c>
      <c r="AD1409" s="1" t="n">
        <f aca="false">IF(AND($M1409=1,LEFT(对接源_02物料!$D209,4)="成品出库"),1,0)</f>
        <v>0</v>
      </c>
      <c r="AE1409" s="1" t="n">
        <f aca="false">N(AE1408)+$AD1409</f>
        <v>38</v>
      </c>
      <c r="AF1409" s="1" t="n">
        <f aca="false">IF(AND($N1409=1,AND(LEFT(对接源_02物料!$D209,4)="包装物料",N(对接源_02物料!$K209)&lt;&gt;0)),1,0)</f>
        <v>0</v>
      </c>
      <c r="AG1409" s="1" t="n">
        <f aca="false">N(AG1408)+$AF1409</f>
        <v>6</v>
      </c>
      <c r="AH1409" s="1" t="n">
        <f aca="false">IF(AND($N1409=1,AND(LEFT(对接源_02物料!$D209,3)="周转筐",N(对接源_02物料!$K209)&lt;&gt;0)),1,0)</f>
        <v>0</v>
      </c>
      <c r="AI1409" s="1" t="n">
        <f aca="false">N(AI1408)+$AH1409</f>
        <v>0</v>
      </c>
      <c r="AJ1409" s="1" t="n">
        <v>0</v>
      </c>
      <c r="AK1409" s="1" t="n">
        <f aca="false">N(AK1408)+$AJ1409</f>
        <v>3672</v>
      </c>
    </row>
    <row r="1410" customFormat="false" ht="13.5" hidden="false" customHeight="false" outlineLevel="0" collapsed="false">
      <c r="A1410" s="1" t="str">
        <f aca="false">IF(对接源_02物料!$C210="","",对接源_02物料!$C210)</f>
        <v/>
      </c>
      <c r="B1410" s="1" t="n">
        <f aca="false">IF(A1410="",0,IF(MATCH(A1410,$A$4:$A$2403,0)=ROW()-3,1,0))</f>
        <v>0</v>
      </c>
      <c r="C1410" s="1" t="n">
        <f aca="false">N(C1409)+B1410</f>
        <v>17</v>
      </c>
      <c r="K1410" s="1" t="n">
        <f aca="false">IF(OR($K$1="",对接源_02物料!$C210="",对接源_02物料!$C210&lt;&gt;$K$1,对接源_02物料!$B210=""),0,IF(OR(N(对接源_02物料!$B210)&lt;$K$2,N(对接源_02物料!$B210)&gt;$K$3),0,1))</f>
        <v>0</v>
      </c>
      <c r="L1410" s="1" t="n">
        <f aca="false">IF(OR($L$1="",对接源_02物料!$C210="",对接源_02物料!$C210&lt;&gt;$L$1,对接源_02物料!$B210=""),0,IF(OR(N(对接源_02物料!$B210)&lt;$L$2,N(对接源_02物料!$B210)&gt;$L$3),0,1))</f>
        <v>0</v>
      </c>
      <c r="M1410" s="1" t="n">
        <f aca="false">IF(OR($M$1="",对接源_02物料!$C210="",对接源_02物料!$C210&lt;&gt;$M$1,对接源_02物料!$B210=""),0,IF(OR(N(对接源_02物料!$B210)&lt;$M$2,N(对接源_02物料!$B210)&gt;$M$3),0,1))</f>
        <v>0</v>
      </c>
      <c r="N1410" s="1" t="n">
        <f aca="false">IF(OR($N$1="",对接源_02物料!$C210="",对接源_02物料!$C210&lt;&gt;$N$1,对接源_02物料!$B210=""),0,IF(OR(N(对接源_02物料!$B210)&lt;$N$2,N(对接源_02物料!$B210)&gt;$N$3),0,1))</f>
        <v>0</v>
      </c>
      <c r="P1410" s="1" t="n">
        <f aca="false">IF(AND($K1410=1,AND(对接源_02物料!$X210="公司筐",N(对接源_02物料!$T210)&lt;&gt;0)),1,0)</f>
        <v>0</v>
      </c>
      <c r="Q1410" s="1" t="n">
        <f aca="false">N(Q1409)+$P1410</f>
        <v>13</v>
      </c>
      <c r="R1410" s="1" t="n">
        <f aca="false">IF(AND($K1410=1,AND(对接源_02物料!$X210="公司筐",N(对接源_02物料!$U210)&lt;&gt;0)),1,0)</f>
        <v>0</v>
      </c>
      <c r="S1410" s="1" t="n">
        <f aca="false">N(S1409)+$R1410</f>
        <v>5</v>
      </c>
      <c r="T1410" s="1" t="n">
        <f aca="false">IF(AND($K1410=1,AND(对接源_02物料!$X210="公司筐",N(对接源_02物料!$V210)&lt;&gt;0)),1,0)</f>
        <v>0</v>
      </c>
      <c r="U1410" s="1" t="n">
        <f aca="false">N(U1409)+$T1410</f>
        <v>28</v>
      </c>
      <c r="V1410" s="1" t="n">
        <f aca="false">IF(AND($L1410=1,AND(对接源_02物料!$X210="自备筐",N(对接源_02物料!$V210)&lt;&gt;0)),1,0)</f>
        <v>0</v>
      </c>
      <c r="W1410" s="1" t="n">
        <f aca="false">N(W1409)+$V1410</f>
        <v>7</v>
      </c>
      <c r="X1410" s="1" t="n">
        <f aca="false">IF(AND($L1410=1,AND(对接源_02物料!$X210="自备筐",N(对接源_02物料!$T210)&lt;&gt;0)),1,0)</f>
        <v>0</v>
      </c>
      <c r="Y1410" s="1" t="n">
        <f aca="false">N(Y1409)+$X1410</f>
        <v>0</v>
      </c>
      <c r="Z1410" s="1" t="n">
        <f aca="false">IF(AND($M1410=1,对接源_02物料!$D210="原料入库"),1,0)</f>
        <v>0</v>
      </c>
      <c r="AA1410" s="1" t="n">
        <f aca="false">N(AA1409)+$Z1410</f>
        <v>30</v>
      </c>
      <c r="AB1410" s="1" t="n">
        <f aca="false">IF(AND($M1410=1,LEFT(对接源_02物料!$D210,4)="原料出库"),1,0)</f>
        <v>0</v>
      </c>
      <c r="AC1410" s="1" t="n">
        <f aca="false">N(AC1409)+$AB1410</f>
        <v>19</v>
      </c>
      <c r="AD1410" s="1" t="n">
        <f aca="false">IF(AND($M1410=1,LEFT(对接源_02物料!$D210,4)="成品出库"),1,0)</f>
        <v>0</v>
      </c>
      <c r="AE1410" s="1" t="n">
        <f aca="false">N(AE1409)+$AD1410</f>
        <v>38</v>
      </c>
      <c r="AF1410" s="1" t="n">
        <f aca="false">IF(AND($N1410=1,AND(LEFT(对接源_02物料!$D210,4)="包装物料",N(对接源_02物料!$K210)&lt;&gt;0)),1,0)</f>
        <v>0</v>
      </c>
      <c r="AG1410" s="1" t="n">
        <f aca="false">N(AG1409)+$AF1410</f>
        <v>6</v>
      </c>
      <c r="AH1410" s="1" t="n">
        <f aca="false">IF(AND($N1410=1,AND(LEFT(对接源_02物料!$D210,3)="周转筐",N(对接源_02物料!$K210)&lt;&gt;0)),1,0)</f>
        <v>0</v>
      </c>
      <c r="AI1410" s="1" t="n">
        <f aca="false">N(AI1409)+$AH1410</f>
        <v>0</v>
      </c>
      <c r="AJ1410" s="1" t="n">
        <v>0</v>
      </c>
      <c r="AK1410" s="1" t="n">
        <f aca="false">N(AK1409)+$AJ1410</f>
        <v>3672</v>
      </c>
    </row>
    <row r="1411" customFormat="false" ht="13.5" hidden="false" customHeight="false" outlineLevel="0" collapsed="false">
      <c r="A1411" s="1" t="str">
        <f aca="false">IF(对接源_02物料!$C211="","",对接源_02物料!$C211)</f>
        <v/>
      </c>
      <c r="B1411" s="1" t="n">
        <f aca="false">IF(A1411="",0,IF(MATCH(A1411,$A$4:$A$2403,0)=ROW()-3,1,0))</f>
        <v>0</v>
      </c>
      <c r="C1411" s="1" t="n">
        <f aca="false">N(C1410)+B1411</f>
        <v>17</v>
      </c>
      <c r="K1411" s="1" t="n">
        <f aca="false">IF(OR($K$1="",对接源_02物料!$C211="",对接源_02物料!$C211&lt;&gt;$K$1,对接源_02物料!$B211=""),0,IF(OR(N(对接源_02物料!$B211)&lt;$K$2,N(对接源_02物料!$B211)&gt;$K$3),0,1))</f>
        <v>0</v>
      </c>
      <c r="L1411" s="1" t="n">
        <f aca="false">IF(OR($L$1="",对接源_02物料!$C211="",对接源_02物料!$C211&lt;&gt;$L$1,对接源_02物料!$B211=""),0,IF(OR(N(对接源_02物料!$B211)&lt;$L$2,N(对接源_02物料!$B211)&gt;$L$3),0,1))</f>
        <v>0</v>
      </c>
      <c r="M1411" s="1" t="n">
        <f aca="false">IF(OR($M$1="",对接源_02物料!$C211="",对接源_02物料!$C211&lt;&gt;$M$1,对接源_02物料!$B211=""),0,IF(OR(N(对接源_02物料!$B211)&lt;$M$2,N(对接源_02物料!$B211)&gt;$M$3),0,1))</f>
        <v>0</v>
      </c>
      <c r="N1411" s="1" t="n">
        <f aca="false">IF(OR($N$1="",对接源_02物料!$C211="",对接源_02物料!$C211&lt;&gt;$N$1,对接源_02物料!$B211=""),0,IF(OR(N(对接源_02物料!$B211)&lt;$N$2,N(对接源_02物料!$B211)&gt;$N$3),0,1))</f>
        <v>0</v>
      </c>
      <c r="P1411" s="1" t="n">
        <f aca="false">IF(AND($K1411=1,AND(对接源_02物料!$X211="公司筐",N(对接源_02物料!$T211)&lt;&gt;0)),1,0)</f>
        <v>0</v>
      </c>
      <c r="Q1411" s="1" t="n">
        <f aca="false">N(Q1410)+$P1411</f>
        <v>13</v>
      </c>
      <c r="R1411" s="1" t="n">
        <f aca="false">IF(AND($K1411=1,AND(对接源_02物料!$X211="公司筐",N(对接源_02物料!$U211)&lt;&gt;0)),1,0)</f>
        <v>0</v>
      </c>
      <c r="S1411" s="1" t="n">
        <f aca="false">N(S1410)+$R1411</f>
        <v>5</v>
      </c>
      <c r="T1411" s="1" t="n">
        <f aca="false">IF(AND($K1411=1,AND(对接源_02物料!$X211="公司筐",N(对接源_02物料!$V211)&lt;&gt;0)),1,0)</f>
        <v>0</v>
      </c>
      <c r="U1411" s="1" t="n">
        <f aca="false">N(U1410)+$T1411</f>
        <v>28</v>
      </c>
      <c r="V1411" s="1" t="n">
        <f aca="false">IF(AND($L1411=1,AND(对接源_02物料!$X211="自备筐",N(对接源_02物料!$V211)&lt;&gt;0)),1,0)</f>
        <v>0</v>
      </c>
      <c r="W1411" s="1" t="n">
        <f aca="false">N(W1410)+$V1411</f>
        <v>7</v>
      </c>
      <c r="X1411" s="1" t="n">
        <f aca="false">IF(AND($L1411=1,AND(对接源_02物料!$X211="自备筐",N(对接源_02物料!$T211)&lt;&gt;0)),1,0)</f>
        <v>0</v>
      </c>
      <c r="Y1411" s="1" t="n">
        <f aca="false">N(Y1410)+$X1411</f>
        <v>0</v>
      </c>
      <c r="Z1411" s="1" t="n">
        <f aca="false">IF(AND($M1411=1,对接源_02物料!$D211="原料入库"),1,0)</f>
        <v>0</v>
      </c>
      <c r="AA1411" s="1" t="n">
        <f aca="false">N(AA1410)+$Z1411</f>
        <v>30</v>
      </c>
      <c r="AB1411" s="1" t="n">
        <f aca="false">IF(AND($M1411=1,LEFT(对接源_02物料!$D211,4)="原料出库"),1,0)</f>
        <v>0</v>
      </c>
      <c r="AC1411" s="1" t="n">
        <f aca="false">N(AC1410)+$AB1411</f>
        <v>19</v>
      </c>
      <c r="AD1411" s="1" t="n">
        <f aca="false">IF(AND($M1411=1,LEFT(对接源_02物料!$D211,4)="成品出库"),1,0)</f>
        <v>0</v>
      </c>
      <c r="AE1411" s="1" t="n">
        <f aca="false">N(AE1410)+$AD1411</f>
        <v>38</v>
      </c>
      <c r="AF1411" s="1" t="n">
        <f aca="false">IF(AND($N1411=1,AND(LEFT(对接源_02物料!$D211,4)="包装物料",N(对接源_02物料!$K211)&lt;&gt;0)),1,0)</f>
        <v>0</v>
      </c>
      <c r="AG1411" s="1" t="n">
        <f aca="false">N(AG1410)+$AF1411</f>
        <v>6</v>
      </c>
      <c r="AH1411" s="1" t="n">
        <f aca="false">IF(AND($N1411=1,AND(LEFT(对接源_02物料!$D211,3)="周转筐",N(对接源_02物料!$K211)&lt;&gt;0)),1,0)</f>
        <v>0</v>
      </c>
      <c r="AI1411" s="1" t="n">
        <f aca="false">N(AI1410)+$AH1411</f>
        <v>0</v>
      </c>
      <c r="AJ1411" s="1" t="n">
        <v>0</v>
      </c>
      <c r="AK1411" s="1" t="n">
        <f aca="false">N(AK1410)+$AJ1411</f>
        <v>3672</v>
      </c>
    </row>
    <row r="1412" customFormat="false" ht="13.5" hidden="false" customHeight="false" outlineLevel="0" collapsed="false">
      <c r="A1412" s="1" t="str">
        <f aca="false">IF(对接源_02物料!$C212="","",对接源_02物料!$C212)</f>
        <v/>
      </c>
      <c r="B1412" s="1" t="n">
        <f aca="false">IF(A1412="",0,IF(MATCH(A1412,$A$4:$A$2403,0)=ROW()-3,1,0))</f>
        <v>0</v>
      </c>
      <c r="C1412" s="1" t="n">
        <f aca="false">N(C1411)+B1412</f>
        <v>17</v>
      </c>
      <c r="K1412" s="1" t="n">
        <f aca="false">IF(OR($K$1="",对接源_02物料!$C212="",对接源_02物料!$C212&lt;&gt;$K$1,对接源_02物料!$B212=""),0,IF(OR(N(对接源_02物料!$B212)&lt;$K$2,N(对接源_02物料!$B212)&gt;$K$3),0,1))</f>
        <v>0</v>
      </c>
      <c r="L1412" s="1" t="n">
        <f aca="false">IF(OR($L$1="",对接源_02物料!$C212="",对接源_02物料!$C212&lt;&gt;$L$1,对接源_02物料!$B212=""),0,IF(OR(N(对接源_02物料!$B212)&lt;$L$2,N(对接源_02物料!$B212)&gt;$L$3),0,1))</f>
        <v>0</v>
      </c>
      <c r="M1412" s="1" t="n">
        <f aca="false">IF(OR($M$1="",对接源_02物料!$C212="",对接源_02物料!$C212&lt;&gt;$M$1,对接源_02物料!$B212=""),0,IF(OR(N(对接源_02物料!$B212)&lt;$M$2,N(对接源_02物料!$B212)&gt;$M$3),0,1))</f>
        <v>0</v>
      </c>
      <c r="N1412" s="1" t="n">
        <f aca="false">IF(OR($N$1="",对接源_02物料!$C212="",对接源_02物料!$C212&lt;&gt;$N$1,对接源_02物料!$B212=""),0,IF(OR(N(对接源_02物料!$B212)&lt;$N$2,N(对接源_02物料!$B212)&gt;$N$3),0,1))</f>
        <v>0</v>
      </c>
      <c r="P1412" s="1" t="n">
        <f aca="false">IF(AND($K1412=1,AND(对接源_02物料!$X212="公司筐",N(对接源_02物料!$T212)&lt;&gt;0)),1,0)</f>
        <v>0</v>
      </c>
      <c r="Q1412" s="1" t="n">
        <f aca="false">N(Q1411)+$P1412</f>
        <v>13</v>
      </c>
      <c r="R1412" s="1" t="n">
        <f aca="false">IF(AND($K1412=1,AND(对接源_02物料!$X212="公司筐",N(对接源_02物料!$U212)&lt;&gt;0)),1,0)</f>
        <v>0</v>
      </c>
      <c r="S1412" s="1" t="n">
        <f aca="false">N(S1411)+$R1412</f>
        <v>5</v>
      </c>
      <c r="T1412" s="1" t="n">
        <f aca="false">IF(AND($K1412=1,AND(对接源_02物料!$X212="公司筐",N(对接源_02物料!$V212)&lt;&gt;0)),1,0)</f>
        <v>0</v>
      </c>
      <c r="U1412" s="1" t="n">
        <f aca="false">N(U1411)+$T1412</f>
        <v>28</v>
      </c>
      <c r="V1412" s="1" t="n">
        <f aca="false">IF(AND($L1412=1,AND(对接源_02物料!$X212="自备筐",N(对接源_02物料!$V212)&lt;&gt;0)),1,0)</f>
        <v>0</v>
      </c>
      <c r="W1412" s="1" t="n">
        <f aca="false">N(W1411)+$V1412</f>
        <v>7</v>
      </c>
      <c r="X1412" s="1" t="n">
        <f aca="false">IF(AND($L1412=1,AND(对接源_02物料!$X212="自备筐",N(对接源_02物料!$T212)&lt;&gt;0)),1,0)</f>
        <v>0</v>
      </c>
      <c r="Y1412" s="1" t="n">
        <f aca="false">N(Y1411)+$X1412</f>
        <v>0</v>
      </c>
      <c r="Z1412" s="1" t="n">
        <f aca="false">IF(AND($M1412=1,对接源_02物料!$D212="原料入库"),1,0)</f>
        <v>0</v>
      </c>
      <c r="AA1412" s="1" t="n">
        <f aca="false">N(AA1411)+$Z1412</f>
        <v>30</v>
      </c>
      <c r="AB1412" s="1" t="n">
        <f aca="false">IF(AND($M1412=1,LEFT(对接源_02物料!$D212,4)="原料出库"),1,0)</f>
        <v>0</v>
      </c>
      <c r="AC1412" s="1" t="n">
        <f aca="false">N(AC1411)+$AB1412</f>
        <v>19</v>
      </c>
      <c r="AD1412" s="1" t="n">
        <f aca="false">IF(AND($M1412=1,LEFT(对接源_02物料!$D212,4)="成品出库"),1,0)</f>
        <v>0</v>
      </c>
      <c r="AE1412" s="1" t="n">
        <f aca="false">N(AE1411)+$AD1412</f>
        <v>38</v>
      </c>
      <c r="AF1412" s="1" t="n">
        <f aca="false">IF(AND($N1412=1,AND(LEFT(对接源_02物料!$D212,4)="包装物料",N(对接源_02物料!$K212)&lt;&gt;0)),1,0)</f>
        <v>0</v>
      </c>
      <c r="AG1412" s="1" t="n">
        <f aca="false">N(AG1411)+$AF1412</f>
        <v>6</v>
      </c>
      <c r="AH1412" s="1" t="n">
        <f aca="false">IF(AND($N1412=1,AND(LEFT(对接源_02物料!$D212,3)="周转筐",N(对接源_02物料!$K212)&lt;&gt;0)),1,0)</f>
        <v>0</v>
      </c>
      <c r="AI1412" s="1" t="n">
        <f aca="false">N(AI1411)+$AH1412</f>
        <v>0</v>
      </c>
      <c r="AJ1412" s="1" t="n">
        <v>0</v>
      </c>
      <c r="AK1412" s="1" t="n">
        <f aca="false">N(AK1411)+$AJ1412</f>
        <v>3672</v>
      </c>
    </row>
    <row r="1413" customFormat="false" ht="13.5" hidden="false" customHeight="false" outlineLevel="0" collapsed="false">
      <c r="A1413" s="1" t="str">
        <f aca="false">IF(对接源_02物料!$C213="","",对接源_02物料!$C213)</f>
        <v/>
      </c>
      <c r="B1413" s="1" t="n">
        <f aca="false">IF(A1413="",0,IF(MATCH(A1413,$A$4:$A$2403,0)=ROW()-3,1,0))</f>
        <v>0</v>
      </c>
      <c r="C1413" s="1" t="n">
        <f aca="false">N(C1412)+B1413</f>
        <v>17</v>
      </c>
      <c r="K1413" s="1" t="n">
        <f aca="false">IF(OR($K$1="",对接源_02物料!$C213="",对接源_02物料!$C213&lt;&gt;$K$1,对接源_02物料!$B213=""),0,IF(OR(N(对接源_02物料!$B213)&lt;$K$2,N(对接源_02物料!$B213)&gt;$K$3),0,1))</f>
        <v>0</v>
      </c>
      <c r="L1413" s="1" t="n">
        <f aca="false">IF(OR($L$1="",对接源_02物料!$C213="",对接源_02物料!$C213&lt;&gt;$L$1,对接源_02物料!$B213=""),0,IF(OR(N(对接源_02物料!$B213)&lt;$L$2,N(对接源_02物料!$B213)&gt;$L$3),0,1))</f>
        <v>0</v>
      </c>
      <c r="M1413" s="1" t="n">
        <f aca="false">IF(OR($M$1="",对接源_02物料!$C213="",对接源_02物料!$C213&lt;&gt;$M$1,对接源_02物料!$B213=""),0,IF(OR(N(对接源_02物料!$B213)&lt;$M$2,N(对接源_02物料!$B213)&gt;$M$3),0,1))</f>
        <v>0</v>
      </c>
      <c r="N1413" s="1" t="n">
        <f aca="false">IF(OR($N$1="",对接源_02物料!$C213="",对接源_02物料!$C213&lt;&gt;$N$1,对接源_02物料!$B213=""),0,IF(OR(N(对接源_02物料!$B213)&lt;$N$2,N(对接源_02物料!$B213)&gt;$N$3),0,1))</f>
        <v>0</v>
      </c>
      <c r="P1413" s="1" t="n">
        <f aca="false">IF(AND($K1413=1,AND(对接源_02物料!$X213="公司筐",N(对接源_02物料!$T213)&lt;&gt;0)),1,0)</f>
        <v>0</v>
      </c>
      <c r="Q1413" s="1" t="n">
        <f aca="false">N(Q1412)+$P1413</f>
        <v>13</v>
      </c>
      <c r="R1413" s="1" t="n">
        <f aca="false">IF(AND($K1413=1,AND(对接源_02物料!$X213="公司筐",N(对接源_02物料!$U213)&lt;&gt;0)),1,0)</f>
        <v>0</v>
      </c>
      <c r="S1413" s="1" t="n">
        <f aca="false">N(S1412)+$R1413</f>
        <v>5</v>
      </c>
      <c r="T1413" s="1" t="n">
        <f aca="false">IF(AND($K1413=1,AND(对接源_02物料!$X213="公司筐",N(对接源_02物料!$V213)&lt;&gt;0)),1,0)</f>
        <v>0</v>
      </c>
      <c r="U1413" s="1" t="n">
        <f aca="false">N(U1412)+$T1413</f>
        <v>28</v>
      </c>
      <c r="V1413" s="1" t="n">
        <f aca="false">IF(AND($L1413=1,AND(对接源_02物料!$X213="自备筐",N(对接源_02物料!$V213)&lt;&gt;0)),1,0)</f>
        <v>0</v>
      </c>
      <c r="W1413" s="1" t="n">
        <f aca="false">N(W1412)+$V1413</f>
        <v>7</v>
      </c>
      <c r="X1413" s="1" t="n">
        <f aca="false">IF(AND($L1413=1,AND(对接源_02物料!$X213="自备筐",N(对接源_02物料!$T213)&lt;&gt;0)),1,0)</f>
        <v>0</v>
      </c>
      <c r="Y1413" s="1" t="n">
        <f aca="false">N(Y1412)+$X1413</f>
        <v>0</v>
      </c>
      <c r="Z1413" s="1" t="n">
        <f aca="false">IF(AND($M1413=1,对接源_02物料!$D213="原料入库"),1,0)</f>
        <v>0</v>
      </c>
      <c r="AA1413" s="1" t="n">
        <f aca="false">N(AA1412)+$Z1413</f>
        <v>30</v>
      </c>
      <c r="AB1413" s="1" t="n">
        <f aca="false">IF(AND($M1413=1,LEFT(对接源_02物料!$D213,4)="原料出库"),1,0)</f>
        <v>0</v>
      </c>
      <c r="AC1413" s="1" t="n">
        <f aca="false">N(AC1412)+$AB1413</f>
        <v>19</v>
      </c>
      <c r="AD1413" s="1" t="n">
        <f aca="false">IF(AND($M1413=1,LEFT(对接源_02物料!$D213,4)="成品出库"),1,0)</f>
        <v>0</v>
      </c>
      <c r="AE1413" s="1" t="n">
        <f aca="false">N(AE1412)+$AD1413</f>
        <v>38</v>
      </c>
      <c r="AF1413" s="1" t="n">
        <f aca="false">IF(AND($N1413=1,AND(LEFT(对接源_02物料!$D213,4)="包装物料",N(对接源_02物料!$K213)&lt;&gt;0)),1,0)</f>
        <v>0</v>
      </c>
      <c r="AG1413" s="1" t="n">
        <f aca="false">N(AG1412)+$AF1413</f>
        <v>6</v>
      </c>
      <c r="AH1413" s="1" t="n">
        <f aca="false">IF(AND($N1413=1,AND(LEFT(对接源_02物料!$D213,3)="周转筐",N(对接源_02物料!$K213)&lt;&gt;0)),1,0)</f>
        <v>0</v>
      </c>
      <c r="AI1413" s="1" t="n">
        <f aca="false">N(AI1412)+$AH1413</f>
        <v>0</v>
      </c>
      <c r="AJ1413" s="1" t="n">
        <v>0</v>
      </c>
      <c r="AK1413" s="1" t="n">
        <f aca="false">N(AK1412)+$AJ1413</f>
        <v>3672</v>
      </c>
    </row>
    <row r="1414" customFormat="false" ht="13.5" hidden="false" customHeight="false" outlineLevel="0" collapsed="false">
      <c r="A1414" s="1" t="str">
        <f aca="false">IF(对接源_02物料!$C214="","",对接源_02物料!$C214)</f>
        <v/>
      </c>
      <c r="B1414" s="1" t="n">
        <f aca="false">IF(A1414="",0,IF(MATCH(A1414,$A$4:$A$2403,0)=ROW()-3,1,0))</f>
        <v>0</v>
      </c>
      <c r="C1414" s="1" t="n">
        <f aca="false">N(C1413)+B1414</f>
        <v>17</v>
      </c>
      <c r="K1414" s="1" t="n">
        <f aca="false">IF(OR($K$1="",对接源_02物料!$C214="",对接源_02物料!$C214&lt;&gt;$K$1,对接源_02物料!$B214=""),0,IF(OR(N(对接源_02物料!$B214)&lt;$K$2,N(对接源_02物料!$B214)&gt;$K$3),0,1))</f>
        <v>0</v>
      </c>
      <c r="L1414" s="1" t="n">
        <f aca="false">IF(OR($L$1="",对接源_02物料!$C214="",对接源_02物料!$C214&lt;&gt;$L$1,对接源_02物料!$B214=""),0,IF(OR(N(对接源_02物料!$B214)&lt;$L$2,N(对接源_02物料!$B214)&gt;$L$3),0,1))</f>
        <v>0</v>
      </c>
      <c r="M1414" s="1" t="n">
        <f aca="false">IF(OR($M$1="",对接源_02物料!$C214="",对接源_02物料!$C214&lt;&gt;$M$1,对接源_02物料!$B214=""),0,IF(OR(N(对接源_02物料!$B214)&lt;$M$2,N(对接源_02物料!$B214)&gt;$M$3),0,1))</f>
        <v>0</v>
      </c>
      <c r="N1414" s="1" t="n">
        <f aca="false">IF(OR($N$1="",对接源_02物料!$C214="",对接源_02物料!$C214&lt;&gt;$N$1,对接源_02物料!$B214=""),0,IF(OR(N(对接源_02物料!$B214)&lt;$N$2,N(对接源_02物料!$B214)&gt;$N$3),0,1))</f>
        <v>0</v>
      </c>
      <c r="P1414" s="1" t="n">
        <f aca="false">IF(AND($K1414=1,AND(对接源_02物料!$X214="公司筐",N(对接源_02物料!$T214)&lt;&gt;0)),1,0)</f>
        <v>0</v>
      </c>
      <c r="Q1414" s="1" t="n">
        <f aca="false">N(Q1413)+$P1414</f>
        <v>13</v>
      </c>
      <c r="R1414" s="1" t="n">
        <f aca="false">IF(AND($K1414=1,AND(对接源_02物料!$X214="公司筐",N(对接源_02物料!$U214)&lt;&gt;0)),1,0)</f>
        <v>0</v>
      </c>
      <c r="S1414" s="1" t="n">
        <f aca="false">N(S1413)+$R1414</f>
        <v>5</v>
      </c>
      <c r="T1414" s="1" t="n">
        <f aca="false">IF(AND($K1414=1,AND(对接源_02物料!$X214="公司筐",N(对接源_02物料!$V214)&lt;&gt;0)),1,0)</f>
        <v>0</v>
      </c>
      <c r="U1414" s="1" t="n">
        <f aca="false">N(U1413)+$T1414</f>
        <v>28</v>
      </c>
      <c r="V1414" s="1" t="n">
        <f aca="false">IF(AND($L1414=1,AND(对接源_02物料!$X214="自备筐",N(对接源_02物料!$V214)&lt;&gt;0)),1,0)</f>
        <v>0</v>
      </c>
      <c r="W1414" s="1" t="n">
        <f aca="false">N(W1413)+$V1414</f>
        <v>7</v>
      </c>
      <c r="X1414" s="1" t="n">
        <f aca="false">IF(AND($L1414=1,AND(对接源_02物料!$X214="自备筐",N(对接源_02物料!$T214)&lt;&gt;0)),1,0)</f>
        <v>0</v>
      </c>
      <c r="Y1414" s="1" t="n">
        <f aca="false">N(Y1413)+$X1414</f>
        <v>0</v>
      </c>
      <c r="Z1414" s="1" t="n">
        <f aca="false">IF(AND($M1414=1,对接源_02物料!$D214="原料入库"),1,0)</f>
        <v>0</v>
      </c>
      <c r="AA1414" s="1" t="n">
        <f aca="false">N(AA1413)+$Z1414</f>
        <v>30</v>
      </c>
      <c r="AB1414" s="1" t="n">
        <f aca="false">IF(AND($M1414=1,LEFT(对接源_02物料!$D214,4)="原料出库"),1,0)</f>
        <v>0</v>
      </c>
      <c r="AC1414" s="1" t="n">
        <f aca="false">N(AC1413)+$AB1414</f>
        <v>19</v>
      </c>
      <c r="AD1414" s="1" t="n">
        <f aca="false">IF(AND($M1414=1,LEFT(对接源_02物料!$D214,4)="成品出库"),1,0)</f>
        <v>0</v>
      </c>
      <c r="AE1414" s="1" t="n">
        <f aca="false">N(AE1413)+$AD1414</f>
        <v>38</v>
      </c>
      <c r="AF1414" s="1" t="n">
        <f aca="false">IF(AND($N1414=1,AND(LEFT(对接源_02物料!$D214,4)="包装物料",N(对接源_02物料!$K214)&lt;&gt;0)),1,0)</f>
        <v>0</v>
      </c>
      <c r="AG1414" s="1" t="n">
        <f aca="false">N(AG1413)+$AF1414</f>
        <v>6</v>
      </c>
      <c r="AH1414" s="1" t="n">
        <f aca="false">IF(AND($N1414=1,AND(LEFT(对接源_02物料!$D214,3)="周转筐",N(对接源_02物料!$K214)&lt;&gt;0)),1,0)</f>
        <v>0</v>
      </c>
      <c r="AI1414" s="1" t="n">
        <f aca="false">N(AI1413)+$AH1414</f>
        <v>0</v>
      </c>
      <c r="AJ1414" s="1" t="n">
        <v>0</v>
      </c>
      <c r="AK1414" s="1" t="n">
        <f aca="false">N(AK1413)+$AJ1414</f>
        <v>3672</v>
      </c>
    </row>
    <row r="1415" customFormat="false" ht="13.5" hidden="false" customHeight="false" outlineLevel="0" collapsed="false">
      <c r="A1415" s="1" t="str">
        <f aca="false">IF(对接源_02物料!$C215="","",对接源_02物料!$C215)</f>
        <v/>
      </c>
      <c r="B1415" s="1" t="n">
        <f aca="false">IF(A1415="",0,IF(MATCH(A1415,$A$4:$A$2403,0)=ROW()-3,1,0))</f>
        <v>0</v>
      </c>
      <c r="C1415" s="1" t="n">
        <f aca="false">N(C1414)+B1415</f>
        <v>17</v>
      </c>
      <c r="K1415" s="1" t="n">
        <f aca="false">IF(OR($K$1="",对接源_02物料!$C215="",对接源_02物料!$C215&lt;&gt;$K$1,对接源_02物料!$B215=""),0,IF(OR(N(对接源_02物料!$B215)&lt;$K$2,N(对接源_02物料!$B215)&gt;$K$3),0,1))</f>
        <v>0</v>
      </c>
      <c r="L1415" s="1" t="n">
        <f aca="false">IF(OR($L$1="",对接源_02物料!$C215="",对接源_02物料!$C215&lt;&gt;$L$1,对接源_02物料!$B215=""),0,IF(OR(N(对接源_02物料!$B215)&lt;$L$2,N(对接源_02物料!$B215)&gt;$L$3),0,1))</f>
        <v>0</v>
      </c>
      <c r="M1415" s="1" t="n">
        <f aca="false">IF(OR($M$1="",对接源_02物料!$C215="",对接源_02物料!$C215&lt;&gt;$M$1,对接源_02物料!$B215=""),0,IF(OR(N(对接源_02物料!$B215)&lt;$M$2,N(对接源_02物料!$B215)&gt;$M$3),0,1))</f>
        <v>0</v>
      </c>
      <c r="N1415" s="1" t="n">
        <f aca="false">IF(OR($N$1="",对接源_02物料!$C215="",对接源_02物料!$C215&lt;&gt;$N$1,对接源_02物料!$B215=""),0,IF(OR(N(对接源_02物料!$B215)&lt;$N$2,N(对接源_02物料!$B215)&gt;$N$3),0,1))</f>
        <v>0</v>
      </c>
      <c r="P1415" s="1" t="n">
        <f aca="false">IF(AND($K1415=1,AND(对接源_02物料!$X215="公司筐",N(对接源_02物料!$T215)&lt;&gt;0)),1,0)</f>
        <v>0</v>
      </c>
      <c r="Q1415" s="1" t="n">
        <f aca="false">N(Q1414)+$P1415</f>
        <v>13</v>
      </c>
      <c r="R1415" s="1" t="n">
        <f aca="false">IF(AND($K1415=1,AND(对接源_02物料!$X215="公司筐",N(对接源_02物料!$U215)&lt;&gt;0)),1,0)</f>
        <v>0</v>
      </c>
      <c r="S1415" s="1" t="n">
        <f aca="false">N(S1414)+$R1415</f>
        <v>5</v>
      </c>
      <c r="T1415" s="1" t="n">
        <f aca="false">IF(AND($K1415=1,AND(对接源_02物料!$X215="公司筐",N(对接源_02物料!$V215)&lt;&gt;0)),1,0)</f>
        <v>0</v>
      </c>
      <c r="U1415" s="1" t="n">
        <f aca="false">N(U1414)+$T1415</f>
        <v>28</v>
      </c>
      <c r="V1415" s="1" t="n">
        <f aca="false">IF(AND($L1415=1,AND(对接源_02物料!$X215="自备筐",N(对接源_02物料!$V215)&lt;&gt;0)),1,0)</f>
        <v>0</v>
      </c>
      <c r="W1415" s="1" t="n">
        <f aca="false">N(W1414)+$V1415</f>
        <v>7</v>
      </c>
      <c r="X1415" s="1" t="n">
        <f aca="false">IF(AND($L1415=1,AND(对接源_02物料!$X215="自备筐",N(对接源_02物料!$T215)&lt;&gt;0)),1,0)</f>
        <v>0</v>
      </c>
      <c r="Y1415" s="1" t="n">
        <f aca="false">N(Y1414)+$X1415</f>
        <v>0</v>
      </c>
      <c r="Z1415" s="1" t="n">
        <f aca="false">IF(AND($M1415=1,对接源_02物料!$D215="原料入库"),1,0)</f>
        <v>0</v>
      </c>
      <c r="AA1415" s="1" t="n">
        <f aca="false">N(AA1414)+$Z1415</f>
        <v>30</v>
      </c>
      <c r="AB1415" s="1" t="n">
        <f aca="false">IF(AND($M1415=1,LEFT(对接源_02物料!$D215,4)="原料出库"),1,0)</f>
        <v>0</v>
      </c>
      <c r="AC1415" s="1" t="n">
        <f aca="false">N(AC1414)+$AB1415</f>
        <v>19</v>
      </c>
      <c r="AD1415" s="1" t="n">
        <f aca="false">IF(AND($M1415=1,LEFT(对接源_02物料!$D215,4)="成品出库"),1,0)</f>
        <v>0</v>
      </c>
      <c r="AE1415" s="1" t="n">
        <f aca="false">N(AE1414)+$AD1415</f>
        <v>38</v>
      </c>
      <c r="AF1415" s="1" t="n">
        <f aca="false">IF(AND($N1415=1,AND(LEFT(对接源_02物料!$D215,4)="包装物料",N(对接源_02物料!$K215)&lt;&gt;0)),1,0)</f>
        <v>0</v>
      </c>
      <c r="AG1415" s="1" t="n">
        <f aca="false">N(AG1414)+$AF1415</f>
        <v>6</v>
      </c>
      <c r="AH1415" s="1" t="n">
        <f aca="false">IF(AND($N1415=1,AND(LEFT(对接源_02物料!$D215,3)="周转筐",N(对接源_02物料!$K215)&lt;&gt;0)),1,0)</f>
        <v>0</v>
      </c>
      <c r="AI1415" s="1" t="n">
        <f aca="false">N(AI1414)+$AH1415</f>
        <v>0</v>
      </c>
      <c r="AJ1415" s="1" t="n">
        <v>0</v>
      </c>
      <c r="AK1415" s="1" t="n">
        <f aca="false">N(AK1414)+$AJ1415</f>
        <v>3672</v>
      </c>
    </row>
    <row r="1416" customFormat="false" ht="13.5" hidden="false" customHeight="false" outlineLevel="0" collapsed="false">
      <c r="A1416" s="1" t="str">
        <f aca="false">IF(对接源_02物料!$C216="","",对接源_02物料!$C216)</f>
        <v/>
      </c>
      <c r="B1416" s="1" t="n">
        <f aca="false">IF(A1416="",0,IF(MATCH(A1416,$A$4:$A$2403,0)=ROW()-3,1,0))</f>
        <v>0</v>
      </c>
      <c r="C1416" s="1" t="n">
        <f aca="false">N(C1415)+B1416</f>
        <v>17</v>
      </c>
      <c r="K1416" s="1" t="n">
        <f aca="false">IF(OR($K$1="",对接源_02物料!$C216="",对接源_02物料!$C216&lt;&gt;$K$1,对接源_02物料!$B216=""),0,IF(OR(N(对接源_02物料!$B216)&lt;$K$2,N(对接源_02物料!$B216)&gt;$K$3),0,1))</f>
        <v>0</v>
      </c>
      <c r="L1416" s="1" t="n">
        <f aca="false">IF(OR($L$1="",对接源_02物料!$C216="",对接源_02物料!$C216&lt;&gt;$L$1,对接源_02物料!$B216=""),0,IF(OR(N(对接源_02物料!$B216)&lt;$L$2,N(对接源_02物料!$B216)&gt;$L$3),0,1))</f>
        <v>0</v>
      </c>
      <c r="M1416" s="1" t="n">
        <f aca="false">IF(OR($M$1="",对接源_02物料!$C216="",对接源_02物料!$C216&lt;&gt;$M$1,对接源_02物料!$B216=""),0,IF(OR(N(对接源_02物料!$B216)&lt;$M$2,N(对接源_02物料!$B216)&gt;$M$3),0,1))</f>
        <v>0</v>
      </c>
      <c r="N1416" s="1" t="n">
        <f aca="false">IF(OR($N$1="",对接源_02物料!$C216="",对接源_02物料!$C216&lt;&gt;$N$1,对接源_02物料!$B216=""),0,IF(OR(N(对接源_02物料!$B216)&lt;$N$2,N(对接源_02物料!$B216)&gt;$N$3),0,1))</f>
        <v>0</v>
      </c>
      <c r="P1416" s="1" t="n">
        <f aca="false">IF(AND($K1416=1,AND(对接源_02物料!$X216="公司筐",N(对接源_02物料!$T216)&lt;&gt;0)),1,0)</f>
        <v>0</v>
      </c>
      <c r="Q1416" s="1" t="n">
        <f aca="false">N(Q1415)+$P1416</f>
        <v>13</v>
      </c>
      <c r="R1416" s="1" t="n">
        <f aca="false">IF(AND($K1416=1,AND(对接源_02物料!$X216="公司筐",N(对接源_02物料!$U216)&lt;&gt;0)),1,0)</f>
        <v>0</v>
      </c>
      <c r="S1416" s="1" t="n">
        <f aca="false">N(S1415)+$R1416</f>
        <v>5</v>
      </c>
      <c r="T1416" s="1" t="n">
        <f aca="false">IF(AND($K1416=1,AND(对接源_02物料!$X216="公司筐",N(对接源_02物料!$V216)&lt;&gt;0)),1,0)</f>
        <v>0</v>
      </c>
      <c r="U1416" s="1" t="n">
        <f aca="false">N(U1415)+$T1416</f>
        <v>28</v>
      </c>
      <c r="V1416" s="1" t="n">
        <f aca="false">IF(AND($L1416=1,AND(对接源_02物料!$X216="自备筐",N(对接源_02物料!$V216)&lt;&gt;0)),1,0)</f>
        <v>0</v>
      </c>
      <c r="W1416" s="1" t="n">
        <f aca="false">N(W1415)+$V1416</f>
        <v>7</v>
      </c>
      <c r="X1416" s="1" t="n">
        <f aca="false">IF(AND($L1416=1,AND(对接源_02物料!$X216="自备筐",N(对接源_02物料!$T216)&lt;&gt;0)),1,0)</f>
        <v>0</v>
      </c>
      <c r="Y1416" s="1" t="n">
        <f aca="false">N(Y1415)+$X1416</f>
        <v>0</v>
      </c>
      <c r="Z1416" s="1" t="n">
        <f aca="false">IF(AND($M1416=1,对接源_02物料!$D216="原料入库"),1,0)</f>
        <v>0</v>
      </c>
      <c r="AA1416" s="1" t="n">
        <f aca="false">N(AA1415)+$Z1416</f>
        <v>30</v>
      </c>
      <c r="AB1416" s="1" t="n">
        <f aca="false">IF(AND($M1416=1,LEFT(对接源_02物料!$D216,4)="原料出库"),1,0)</f>
        <v>0</v>
      </c>
      <c r="AC1416" s="1" t="n">
        <f aca="false">N(AC1415)+$AB1416</f>
        <v>19</v>
      </c>
      <c r="AD1416" s="1" t="n">
        <f aca="false">IF(AND($M1416=1,LEFT(对接源_02物料!$D216,4)="成品出库"),1,0)</f>
        <v>0</v>
      </c>
      <c r="AE1416" s="1" t="n">
        <f aca="false">N(AE1415)+$AD1416</f>
        <v>38</v>
      </c>
      <c r="AF1416" s="1" t="n">
        <f aca="false">IF(AND($N1416=1,AND(LEFT(对接源_02物料!$D216,4)="包装物料",N(对接源_02物料!$K216)&lt;&gt;0)),1,0)</f>
        <v>0</v>
      </c>
      <c r="AG1416" s="1" t="n">
        <f aca="false">N(AG1415)+$AF1416</f>
        <v>6</v>
      </c>
      <c r="AH1416" s="1" t="n">
        <f aca="false">IF(AND($N1416=1,AND(LEFT(对接源_02物料!$D216,3)="周转筐",N(对接源_02物料!$K216)&lt;&gt;0)),1,0)</f>
        <v>0</v>
      </c>
      <c r="AI1416" s="1" t="n">
        <f aca="false">N(AI1415)+$AH1416</f>
        <v>0</v>
      </c>
      <c r="AJ1416" s="1" t="n">
        <v>0</v>
      </c>
      <c r="AK1416" s="1" t="n">
        <f aca="false">N(AK1415)+$AJ1416</f>
        <v>3672</v>
      </c>
    </row>
    <row r="1417" customFormat="false" ht="13.5" hidden="false" customHeight="false" outlineLevel="0" collapsed="false">
      <c r="A1417" s="1" t="str">
        <f aca="false">IF(对接源_02物料!$C217="","",对接源_02物料!$C217)</f>
        <v/>
      </c>
      <c r="B1417" s="1" t="n">
        <f aca="false">IF(A1417="",0,IF(MATCH(A1417,$A$4:$A$2403,0)=ROW()-3,1,0))</f>
        <v>0</v>
      </c>
      <c r="C1417" s="1" t="n">
        <f aca="false">N(C1416)+B1417</f>
        <v>17</v>
      </c>
      <c r="K1417" s="1" t="n">
        <f aca="false">IF(OR($K$1="",对接源_02物料!$C217="",对接源_02物料!$C217&lt;&gt;$K$1,对接源_02物料!$B217=""),0,IF(OR(N(对接源_02物料!$B217)&lt;$K$2,N(对接源_02物料!$B217)&gt;$K$3),0,1))</f>
        <v>0</v>
      </c>
      <c r="L1417" s="1" t="n">
        <f aca="false">IF(OR($L$1="",对接源_02物料!$C217="",对接源_02物料!$C217&lt;&gt;$L$1,对接源_02物料!$B217=""),0,IF(OR(N(对接源_02物料!$B217)&lt;$L$2,N(对接源_02物料!$B217)&gt;$L$3),0,1))</f>
        <v>0</v>
      </c>
      <c r="M1417" s="1" t="n">
        <f aca="false">IF(OR($M$1="",对接源_02物料!$C217="",对接源_02物料!$C217&lt;&gt;$M$1,对接源_02物料!$B217=""),0,IF(OR(N(对接源_02物料!$B217)&lt;$M$2,N(对接源_02物料!$B217)&gt;$M$3),0,1))</f>
        <v>0</v>
      </c>
      <c r="N1417" s="1" t="n">
        <f aca="false">IF(OR($N$1="",对接源_02物料!$C217="",对接源_02物料!$C217&lt;&gt;$N$1,对接源_02物料!$B217=""),0,IF(OR(N(对接源_02物料!$B217)&lt;$N$2,N(对接源_02物料!$B217)&gt;$N$3),0,1))</f>
        <v>0</v>
      </c>
      <c r="P1417" s="1" t="n">
        <f aca="false">IF(AND($K1417=1,AND(对接源_02物料!$X217="公司筐",N(对接源_02物料!$T217)&lt;&gt;0)),1,0)</f>
        <v>0</v>
      </c>
      <c r="Q1417" s="1" t="n">
        <f aca="false">N(Q1416)+$P1417</f>
        <v>13</v>
      </c>
      <c r="R1417" s="1" t="n">
        <f aca="false">IF(AND($K1417=1,AND(对接源_02物料!$X217="公司筐",N(对接源_02物料!$U217)&lt;&gt;0)),1,0)</f>
        <v>0</v>
      </c>
      <c r="S1417" s="1" t="n">
        <f aca="false">N(S1416)+$R1417</f>
        <v>5</v>
      </c>
      <c r="T1417" s="1" t="n">
        <f aca="false">IF(AND($K1417=1,AND(对接源_02物料!$X217="公司筐",N(对接源_02物料!$V217)&lt;&gt;0)),1,0)</f>
        <v>0</v>
      </c>
      <c r="U1417" s="1" t="n">
        <f aca="false">N(U1416)+$T1417</f>
        <v>28</v>
      </c>
      <c r="V1417" s="1" t="n">
        <f aca="false">IF(AND($L1417=1,AND(对接源_02物料!$X217="自备筐",N(对接源_02物料!$V217)&lt;&gt;0)),1,0)</f>
        <v>0</v>
      </c>
      <c r="W1417" s="1" t="n">
        <f aca="false">N(W1416)+$V1417</f>
        <v>7</v>
      </c>
      <c r="X1417" s="1" t="n">
        <f aca="false">IF(AND($L1417=1,AND(对接源_02物料!$X217="自备筐",N(对接源_02物料!$T217)&lt;&gt;0)),1,0)</f>
        <v>0</v>
      </c>
      <c r="Y1417" s="1" t="n">
        <f aca="false">N(Y1416)+$X1417</f>
        <v>0</v>
      </c>
      <c r="Z1417" s="1" t="n">
        <f aca="false">IF(AND($M1417=1,对接源_02物料!$D217="原料入库"),1,0)</f>
        <v>0</v>
      </c>
      <c r="AA1417" s="1" t="n">
        <f aca="false">N(AA1416)+$Z1417</f>
        <v>30</v>
      </c>
      <c r="AB1417" s="1" t="n">
        <f aca="false">IF(AND($M1417=1,LEFT(对接源_02物料!$D217,4)="原料出库"),1,0)</f>
        <v>0</v>
      </c>
      <c r="AC1417" s="1" t="n">
        <f aca="false">N(AC1416)+$AB1417</f>
        <v>19</v>
      </c>
      <c r="AD1417" s="1" t="n">
        <f aca="false">IF(AND($M1417=1,LEFT(对接源_02物料!$D217,4)="成品出库"),1,0)</f>
        <v>0</v>
      </c>
      <c r="AE1417" s="1" t="n">
        <f aca="false">N(AE1416)+$AD1417</f>
        <v>38</v>
      </c>
      <c r="AF1417" s="1" t="n">
        <f aca="false">IF(AND($N1417=1,AND(LEFT(对接源_02物料!$D217,4)="包装物料",N(对接源_02物料!$K217)&lt;&gt;0)),1,0)</f>
        <v>0</v>
      </c>
      <c r="AG1417" s="1" t="n">
        <f aca="false">N(AG1416)+$AF1417</f>
        <v>6</v>
      </c>
      <c r="AH1417" s="1" t="n">
        <f aca="false">IF(AND($N1417=1,AND(LEFT(对接源_02物料!$D217,3)="周转筐",N(对接源_02物料!$K217)&lt;&gt;0)),1,0)</f>
        <v>0</v>
      </c>
      <c r="AI1417" s="1" t="n">
        <f aca="false">N(AI1416)+$AH1417</f>
        <v>0</v>
      </c>
      <c r="AJ1417" s="1" t="n">
        <v>0</v>
      </c>
      <c r="AK1417" s="1" t="n">
        <f aca="false">N(AK1416)+$AJ1417</f>
        <v>3672</v>
      </c>
    </row>
    <row r="1418" customFormat="false" ht="13.5" hidden="false" customHeight="false" outlineLevel="0" collapsed="false">
      <c r="A1418" s="1" t="str">
        <f aca="false">IF(对接源_02物料!$C218="","",对接源_02物料!$C218)</f>
        <v/>
      </c>
      <c r="B1418" s="1" t="n">
        <f aca="false">IF(A1418="",0,IF(MATCH(A1418,$A$4:$A$2403,0)=ROW()-3,1,0))</f>
        <v>0</v>
      </c>
      <c r="C1418" s="1" t="n">
        <f aca="false">N(C1417)+B1418</f>
        <v>17</v>
      </c>
      <c r="K1418" s="1" t="n">
        <f aca="false">IF(OR($K$1="",对接源_02物料!$C218="",对接源_02物料!$C218&lt;&gt;$K$1,对接源_02物料!$B218=""),0,IF(OR(N(对接源_02物料!$B218)&lt;$K$2,N(对接源_02物料!$B218)&gt;$K$3),0,1))</f>
        <v>0</v>
      </c>
      <c r="L1418" s="1" t="n">
        <f aca="false">IF(OR($L$1="",对接源_02物料!$C218="",对接源_02物料!$C218&lt;&gt;$L$1,对接源_02物料!$B218=""),0,IF(OR(N(对接源_02物料!$B218)&lt;$L$2,N(对接源_02物料!$B218)&gt;$L$3),0,1))</f>
        <v>0</v>
      </c>
      <c r="M1418" s="1" t="n">
        <f aca="false">IF(OR($M$1="",对接源_02物料!$C218="",对接源_02物料!$C218&lt;&gt;$M$1,对接源_02物料!$B218=""),0,IF(OR(N(对接源_02物料!$B218)&lt;$M$2,N(对接源_02物料!$B218)&gt;$M$3),0,1))</f>
        <v>0</v>
      </c>
      <c r="N1418" s="1" t="n">
        <f aca="false">IF(OR($N$1="",对接源_02物料!$C218="",对接源_02物料!$C218&lt;&gt;$N$1,对接源_02物料!$B218=""),0,IF(OR(N(对接源_02物料!$B218)&lt;$N$2,N(对接源_02物料!$B218)&gt;$N$3),0,1))</f>
        <v>0</v>
      </c>
      <c r="P1418" s="1" t="n">
        <f aca="false">IF(AND($K1418=1,AND(对接源_02物料!$X218="公司筐",N(对接源_02物料!$T218)&lt;&gt;0)),1,0)</f>
        <v>0</v>
      </c>
      <c r="Q1418" s="1" t="n">
        <f aca="false">N(Q1417)+$P1418</f>
        <v>13</v>
      </c>
      <c r="R1418" s="1" t="n">
        <f aca="false">IF(AND($K1418=1,AND(对接源_02物料!$X218="公司筐",N(对接源_02物料!$U218)&lt;&gt;0)),1,0)</f>
        <v>0</v>
      </c>
      <c r="S1418" s="1" t="n">
        <f aca="false">N(S1417)+$R1418</f>
        <v>5</v>
      </c>
      <c r="T1418" s="1" t="n">
        <f aca="false">IF(AND($K1418=1,AND(对接源_02物料!$X218="公司筐",N(对接源_02物料!$V218)&lt;&gt;0)),1,0)</f>
        <v>0</v>
      </c>
      <c r="U1418" s="1" t="n">
        <f aca="false">N(U1417)+$T1418</f>
        <v>28</v>
      </c>
      <c r="V1418" s="1" t="n">
        <f aca="false">IF(AND($L1418=1,AND(对接源_02物料!$X218="自备筐",N(对接源_02物料!$V218)&lt;&gt;0)),1,0)</f>
        <v>0</v>
      </c>
      <c r="W1418" s="1" t="n">
        <f aca="false">N(W1417)+$V1418</f>
        <v>7</v>
      </c>
      <c r="X1418" s="1" t="n">
        <f aca="false">IF(AND($L1418=1,AND(对接源_02物料!$X218="自备筐",N(对接源_02物料!$T218)&lt;&gt;0)),1,0)</f>
        <v>0</v>
      </c>
      <c r="Y1418" s="1" t="n">
        <f aca="false">N(Y1417)+$X1418</f>
        <v>0</v>
      </c>
      <c r="Z1418" s="1" t="n">
        <f aca="false">IF(AND($M1418=1,对接源_02物料!$D218="原料入库"),1,0)</f>
        <v>0</v>
      </c>
      <c r="AA1418" s="1" t="n">
        <f aca="false">N(AA1417)+$Z1418</f>
        <v>30</v>
      </c>
      <c r="AB1418" s="1" t="n">
        <f aca="false">IF(AND($M1418=1,LEFT(对接源_02物料!$D218,4)="原料出库"),1,0)</f>
        <v>0</v>
      </c>
      <c r="AC1418" s="1" t="n">
        <f aca="false">N(AC1417)+$AB1418</f>
        <v>19</v>
      </c>
      <c r="AD1418" s="1" t="n">
        <f aca="false">IF(AND($M1418=1,LEFT(对接源_02物料!$D218,4)="成品出库"),1,0)</f>
        <v>0</v>
      </c>
      <c r="AE1418" s="1" t="n">
        <f aca="false">N(AE1417)+$AD1418</f>
        <v>38</v>
      </c>
      <c r="AF1418" s="1" t="n">
        <f aca="false">IF(AND($N1418=1,AND(LEFT(对接源_02物料!$D218,4)="包装物料",N(对接源_02物料!$K218)&lt;&gt;0)),1,0)</f>
        <v>0</v>
      </c>
      <c r="AG1418" s="1" t="n">
        <f aca="false">N(AG1417)+$AF1418</f>
        <v>6</v>
      </c>
      <c r="AH1418" s="1" t="n">
        <f aca="false">IF(AND($N1418=1,AND(LEFT(对接源_02物料!$D218,3)="周转筐",N(对接源_02物料!$K218)&lt;&gt;0)),1,0)</f>
        <v>0</v>
      </c>
      <c r="AI1418" s="1" t="n">
        <f aca="false">N(AI1417)+$AH1418</f>
        <v>0</v>
      </c>
      <c r="AJ1418" s="1" t="n">
        <v>0</v>
      </c>
      <c r="AK1418" s="1" t="n">
        <f aca="false">N(AK1417)+$AJ1418</f>
        <v>3672</v>
      </c>
    </row>
    <row r="1419" customFormat="false" ht="13.5" hidden="false" customHeight="false" outlineLevel="0" collapsed="false">
      <c r="A1419" s="1" t="str">
        <f aca="false">IF(对接源_02物料!$C219="","",对接源_02物料!$C219)</f>
        <v/>
      </c>
      <c r="B1419" s="1" t="n">
        <f aca="false">IF(A1419="",0,IF(MATCH(A1419,$A$4:$A$2403,0)=ROW()-3,1,0))</f>
        <v>0</v>
      </c>
      <c r="C1419" s="1" t="n">
        <f aca="false">N(C1418)+B1419</f>
        <v>17</v>
      </c>
      <c r="K1419" s="1" t="n">
        <f aca="false">IF(OR($K$1="",对接源_02物料!$C219="",对接源_02物料!$C219&lt;&gt;$K$1,对接源_02物料!$B219=""),0,IF(OR(N(对接源_02物料!$B219)&lt;$K$2,N(对接源_02物料!$B219)&gt;$K$3),0,1))</f>
        <v>0</v>
      </c>
      <c r="L1419" s="1" t="n">
        <f aca="false">IF(OR($L$1="",对接源_02物料!$C219="",对接源_02物料!$C219&lt;&gt;$L$1,对接源_02物料!$B219=""),0,IF(OR(N(对接源_02物料!$B219)&lt;$L$2,N(对接源_02物料!$B219)&gt;$L$3),0,1))</f>
        <v>0</v>
      </c>
      <c r="M1419" s="1" t="n">
        <f aca="false">IF(OR($M$1="",对接源_02物料!$C219="",对接源_02物料!$C219&lt;&gt;$M$1,对接源_02物料!$B219=""),0,IF(OR(N(对接源_02物料!$B219)&lt;$M$2,N(对接源_02物料!$B219)&gt;$M$3),0,1))</f>
        <v>0</v>
      </c>
      <c r="N1419" s="1" t="n">
        <f aca="false">IF(OR($N$1="",对接源_02物料!$C219="",对接源_02物料!$C219&lt;&gt;$N$1,对接源_02物料!$B219=""),0,IF(OR(N(对接源_02物料!$B219)&lt;$N$2,N(对接源_02物料!$B219)&gt;$N$3),0,1))</f>
        <v>0</v>
      </c>
      <c r="P1419" s="1" t="n">
        <f aca="false">IF(AND($K1419=1,AND(对接源_02物料!$X219="公司筐",N(对接源_02物料!$T219)&lt;&gt;0)),1,0)</f>
        <v>0</v>
      </c>
      <c r="Q1419" s="1" t="n">
        <f aca="false">N(Q1418)+$P1419</f>
        <v>13</v>
      </c>
      <c r="R1419" s="1" t="n">
        <f aca="false">IF(AND($K1419=1,AND(对接源_02物料!$X219="公司筐",N(对接源_02物料!$U219)&lt;&gt;0)),1,0)</f>
        <v>0</v>
      </c>
      <c r="S1419" s="1" t="n">
        <f aca="false">N(S1418)+$R1419</f>
        <v>5</v>
      </c>
      <c r="T1419" s="1" t="n">
        <f aca="false">IF(AND($K1419=1,AND(对接源_02物料!$X219="公司筐",N(对接源_02物料!$V219)&lt;&gt;0)),1,0)</f>
        <v>0</v>
      </c>
      <c r="U1419" s="1" t="n">
        <f aca="false">N(U1418)+$T1419</f>
        <v>28</v>
      </c>
      <c r="V1419" s="1" t="n">
        <f aca="false">IF(AND($L1419=1,AND(对接源_02物料!$X219="自备筐",N(对接源_02物料!$V219)&lt;&gt;0)),1,0)</f>
        <v>0</v>
      </c>
      <c r="W1419" s="1" t="n">
        <f aca="false">N(W1418)+$V1419</f>
        <v>7</v>
      </c>
      <c r="X1419" s="1" t="n">
        <f aca="false">IF(AND($L1419=1,AND(对接源_02物料!$X219="自备筐",N(对接源_02物料!$T219)&lt;&gt;0)),1,0)</f>
        <v>0</v>
      </c>
      <c r="Y1419" s="1" t="n">
        <f aca="false">N(Y1418)+$X1419</f>
        <v>0</v>
      </c>
      <c r="Z1419" s="1" t="n">
        <f aca="false">IF(AND($M1419=1,对接源_02物料!$D219="原料入库"),1,0)</f>
        <v>0</v>
      </c>
      <c r="AA1419" s="1" t="n">
        <f aca="false">N(AA1418)+$Z1419</f>
        <v>30</v>
      </c>
      <c r="AB1419" s="1" t="n">
        <f aca="false">IF(AND($M1419=1,LEFT(对接源_02物料!$D219,4)="原料出库"),1,0)</f>
        <v>0</v>
      </c>
      <c r="AC1419" s="1" t="n">
        <f aca="false">N(AC1418)+$AB1419</f>
        <v>19</v>
      </c>
      <c r="AD1419" s="1" t="n">
        <f aca="false">IF(AND($M1419=1,LEFT(对接源_02物料!$D219,4)="成品出库"),1,0)</f>
        <v>0</v>
      </c>
      <c r="AE1419" s="1" t="n">
        <f aca="false">N(AE1418)+$AD1419</f>
        <v>38</v>
      </c>
      <c r="AF1419" s="1" t="n">
        <f aca="false">IF(AND($N1419=1,AND(LEFT(对接源_02物料!$D219,4)="包装物料",N(对接源_02物料!$K219)&lt;&gt;0)),1,0)</f>
        <v>0</v>
      </c>
      <c r="AG1419" s="1" t="n">
        <f aca="false">N(AG1418)+$AF1419</f>
        <v>6</v>
      </c>
      <c r="AH1419" s="1" t="n">
        <f aca="false">IF(AND($N1419=1,AND(LEFT(对接源_02物料!$D219,3)="周转筐",N(对接源_02物料!$K219)&lt;&gt;0)),1,0)</f>
        <v>0</v>
      </c>
      <c r="AI1419" s="1" t="n">
        <f aca="false">N(AI1418)+$AH1419</f>
        <v>0</v>
      </c>
      <c r="AJ1419" s="1" t="n">
        <v>0</v>
      </c>
      <c r="AK1419" s="1" t="n">
        <f aca="false">N(AK1418)+$AJ1419</f>
        <v>3672</v>
      </c>
    </row>
    <row r="1420" customFormat="false" ht="13.5" hidden="false" customHeight="false" outlineLevel="0" collapsed="false">
      <c r="A1420" s="1" t="str">
        <f aca="false">IF(对接源_02物料!$C220="","",对接源_02物料!$C220)</f>
        <v/>
      </c>
      <c r="B1420" s="1" t="n">
        <f aca="false">IF(A1420="",0,IF(MATCH(A1420,$A$4:$A$2403,0)=ROW()-3,1,0))</f>
        <v>0</v>
      </c>
      <c r="C1420" s="1" t="n">
        <f aca="false">N(C1419)+B1420</f>
        <v>17</v>
      </c>
      <c r="K1420" s="1" t="n">
        <f aca="false">IF(OR($K$1="",对接源_02物料!$C220="",对接源_02物料!$C220&lt;&gt;$K$1,对接源_02物料!$B220=""),0,IF(OR(N(对接源_02物料!$B220)&lt;$K$2,N(对接源_02物料!$B220)&gt;$K$3),0,1))</f>
        <v>0</v>
      </c>
      <c r="L1420" s="1" t="n">
        <f aca="false">IF(OR($L$1="",对接源_02物料!$C220="",对接源_02物料!$C220&lt;&gt;$L$1,对接源_02物料!$B220=""),0,IF(OR(N(对接源_02物料!$B220)&lt;$L$2,N(对接源_02物料!$B220)&gt;$L$3),0,1))</f>
        <v>0</v>
      </c>
      <c r="M1420" s="1" t="n">
        <f aca="false">IF(OR($M$1="",对接源_02物料!$C220="",对接源_02物料!$C220&lt;&gt;$M$1,对接源_02物料!$B220=""),0,IF(OR(N(对接源_02物料!$B220)&lt;$M$2,N(对接源_02物料!$B220)&gt;$M$3),0,1))</f>
        <v>0</v>
      </c>
      <c r="N1420" s="1" t="n">
        <f aca="false">IF(OR($N$1="",对接源_02物料!$C220="",对接源_02物料!$C220&lt;&gt;$N$1,对接源_02物料!$B220=""),0,IF(OR(N(对接源_02物料!$B220)&lt;$N$2,N(对接源_02物料!$B220)&gt;$N$3),0,1))</f>
        <v>0</v>
      </c>
      <c r="P1420" s="1" t="n">
        <f aca="false">IF(AND($K1420=1,AND(对接源_02物料!$X220="公司筐",N(对接源_02物料!$T220)&lt;&gt;0)),1,0)</f>
        <v>0</v>
      </c>
      <c r="Q1420" s="1" t="n">
        <f aca="false">N(Q1419)+$P1420</f>
        <v>13</v>
      </c>
      <c r="R1420" s="1" t="n">
        <f aca="false">IF(AND($K1420=1,AND(对接源_02物料!$X220="公司筐",N(对接源_02物料!$U220)&lt;&gt;0)),1,0)</f>
        <v>0</v>
      </c>
      <c r="S1420" s="1" t="n">
        <f aca="false">N(S1419)+$R1420</f>
        <v>5</v>
      </c>
      <c r="T1420" s="1" t="n">
        <f aca="false">IF(AND($K1420=1,AND(对接源_02物料!$X220="公司筐",N(对接源_02物料!$V220)&lt;&gt;0)),1,0)</f>
        <v>0</v>
      </c>
      <c r="U1420" s="1" t="n">
        <f aca="false">N(U1419)+$T1420</f>
        <v>28</v>
      </c>
      <c r="V1420" s="1" t="n">
        <f aca="false">IF(AND($L1420=1,AND(对接源_02物料!$X220="自备筐",N(对接源_02物料!$V220)&lt;&gt;0)),1,0)</f>
        <v>0</v>
      </c>
      <c r="W1420" s="1" t="n">
        <f aca="false">N(W1419)+$V1420</f>
        <v>7</v>
      </c>
      <c r="X1420" s="1" t="n">
        <f aca="false">IF(AND($L1420=1,AND(对接源_02物料!$X220="自备筐",N(对接源_02物料!$T220)&lt;&gt;0)),1,0)</f>
        <v>0</v>
      </c>
      <c r="Y1420" s="1" t="n">
        <f aca="false">N(Y1419)+$X1420</f>
        <v>0</v>
      </c>
      <c r="Z1420" s="1" t="n">
        <f aca="false">IF(AND($M1420=1,对接源_02物料!$D220="原料入库"),1,0)</f>
        <v>0</v>
      </c>
      <c r="AA1420" s="1" t="n">
        <f aca="false">N(AA1419)+$Z1420</f>
        <v>30</v>
      </c>
      <c r="AB1420" s="1" t="n">
        <f aca="false">IF(AND($M1420=1,LEFT(对接源_02物料!$D220,4)="原料出库"),1,0)</f>
        <v>0</v>
      </c>
      <c r="AC1420" s="1" t="n">
        <f aca="false">N(AC1419)+$AB1420</f>
        <v>19</v>
      </c>
      <c r="AD1420" s="1" t="n">
        <f aca="false">IF(AND($M1420=1,LEFT(对接源_02物料!$D220,4)="成品出库"),1,0)</f>
        <v>0</v>
      </c>
      <c r="AE1420" s="1" t="n">
        <f aca="false">N(AE1419)+$AD1420</f>
        <v>38</v>
      </c>
      <c r="AF1420" s="1" t="n">
        <f aca="false">IF(AND($N1420=1,AND(LEFT(对接源_02物料!$D220,4)="包装物料",N(对接源_02物料!$K220)&lt;&gt;0)),1,0)</f>
        <v>0</v>
      </c>
      <c r="AG1420" s="1" t="n">
        <f aca="false">N(AG1419)+$AF1420</f>
        <v>6</v>
      </c>
      <c r="AH1420" s="1" t="n">
        <f aca="false">IF(AND($N1420=1,AND(LEFT(对接源_02物料!$D220,3)="周转筐",N(对接源_02物料!$K220)&lt;&gt;0)),1,0)</f>
        <v>0</v>
      </c>
      <c r="AI1420" s="1" t="n">
        <f aca="false">N(AI1419)+$AH1420</f>
        <v>0</v>
      </c>
      <c r="AJ1420" s="1" t="n">
        <v>0</v>
      </c>
      <c r="AK1420" s="1" t="n">
        <f aca="false">N(AK1419)+$AJ1420</f>
        <v>3672</v>
      </c>
    </row>
    <row r="1421" customFormat="false" ht="13.5" hidden="false" customHeight="false" outlineLevel="0" collapsed="false">
      <c r="A1421" s="1" t="str">
        <f aca="false">IF(对接源_02物料!$C221="","",对接源_02物料!$C221)</f>
        <v/>
      </c>
      <c r="B1421" s="1" t="n">
        <f aca="false">IF(A1421="",0,IF(MATCH(A1421,$A$4:$A$2403,0)=ROW()-3,1,0))</f>
        <v>0</v>
      </c>
      <c r="C1421" s="1" t="n">
        <f aca="false">N(C1420)+B1421</f>
        <v>17</v>
      </c>
      <c r="K1421" s="1" t="n">
        <f aca="false">IF(OR($K$1="",对接源_02物料!$C221="",对接源_02物料!$C221&lt;&gt;$K$1,对接源_02物料!$B221=""),0,IF(OR(N(对接源_02物料!$B221)&lt;$K$2,N(对接源_02物料!$B221)&gt;$K$3),0,1))</f>
        <v>0</v>
      </c>
      <c r="L1421" s="1" t="n">
        <f aca="false">IF(OR($L$1="",对接源_02物料!$C221="",对接源_02物料!$C221&lt;&gt;$L$1,对接源_02物料!$B221=""),0,IF(OR(N(对接源_02物料!$B221)&lt;$L$2,N(对接源_02物料!$B221)&gt;$L$3),0,1))</f>
        <v>0</v>
      </c>
      <c r="M1421" s="1" t="n">
        <f aca="false">IF(OR($M$1="",对接源_02物料!$C221="",对接源_02物料!$C221&lt;&gt;$M$1,对接源_02物料!$B221=""),0,IF(OR(N(对接源_02物料!$B221)&lt;$M$2,N(对接源_02物料!$B221)&gt;$M$3),0,1))</f>
        <v>0</v>
      </c>
      <c r="N1421" s="1" t="n">
        <f aca="false">IF(OR($N$1="",对接源_02物料!$C221="",对接源_02物料!$C221&lt;&gt;$N$1,对接源_02物料!$B221=""),0,IF(OR(N(对接源_02物料!$B221)&lt;$N$2,N(对接源_02物料!$B221)&gt;$N$3),0,1))</f>
        <v>0</v>
      </c>
      <c r="P1421" s="1" t="n">
        <f aca="false">IF(AND($K1421=1,AND(对接源_02物料!$X221="公司筐",N(对接源_02物料!$T221)&lt;&gt;0)),1,0)</f>
        <v>0</v>
      </c>
      <c r="Q1421" s="1" t="n">
        <f aca="false">N(Q1420)+$P1421</f>
        <v>13</v>
      </c>
      <c r="R1421" s="1" t="n">
        <f aca="false">IF(AND($K1421=1,AND(对接源_02物料!$X221="公司筐",N(对接源_02物料!$U221)&lt;&gt;0)),1,0)</f>
        <v>0</v>
      </c>
      <c r="S1421" s="1" t="n">
        <f aca="false">N(S1420)+$R1421</f>
        <v>5</v>
      </c>
      <c r="T1421" s="1" t="n">
        <f aca="false">IF(AND($K1421=1,AND(对接源_02物料!$X221="公司筐",N(对接源_02物料!$V221)&lt;&gt;0)),1,0)</f>
        <v>0</v>
      </c>
      <c r="U1421" s="1" t="n">
        <f aca="false">N(U1420)+$T1421</f>
        <v>28</v>
      </c>
      <c r="V1421" s="1" t="n">
        <f aca="false">IF(AND($L1421=1,AND(对接源_02物料!$X221="自备筐",N(对接源_02物料!$V221)&lt;&gt;0)),1,0)</f>
        <v>0</v>
      </c>
      <c r="W1421" s="1" t="n">
        <f aca="false">N(W1420)+$V1421</f>
        <v>7</v>
      </c>
      <c r="X1421" s="1" t="n">
        <f aca="false">IF(AND($L1421=1,AND(对接源_02物料!$X221="自备筐",N(对接源_02物料!$T221)&lt;&gt;0)),1,0)</f>
        <v>0</v>
      </c>
      <c r="Y1421" s="1" t="n">
        <f aca="false">N(Y1420)+$X1421</f>
        <v>0</v>
      </c>
      <c r="Z1421" s="1" t="n">
        <f aca="false">IF(AND($M1421=1,对接源_02物料!$D221="原料入库"),1,0)</f>
        <v>0</v>
      </c>
      <c r="AA1421" s="1" t="n">
        <f aca="false">N(AA1420)+$Z1421</f>
        <v>30</v>
      </c>
      <c r="AB1421" s="1" t="n">
        <f aca="false">IF(AND($M1421=1,LEFT(对接源_02物料!$D221,4)="原料出库"),1,0)</f>
        <v>0</v>
      </c>
      <c r="AC1421" s="1" t="n">
        <f aca="false">N(AC1420)+$AB1421</f>
        <v>19</v>
      </c>
      <c r="AD1421" s="1" t="n">
        <f aca="false">IF(AND($M1421=1,LEFT(对接源_02物料!$D221,4)="成品出库"),1,0)</f>
        <v>0</v>
      </c>
      <c r="AE1421" s="1" t="n">
        <f aca="false">N(AE1420)+$AD1421</f>
        <v>38</v>
      </c>
      <c r="AF1421" s="1" t="n">
        <f aca="false">IF(AND($N1421=1,AND(LEFT(对接源_02物料!$D221,4)="包装物料",N(对接源_02物料!$K221)&lt;&gt;0)),1,0)</f>
        <v>0</v>
      </c>
      <c r="AG1421" s="1" t="n">
        <f aca="false">N(AG1420)+$AF1421</f>
        <v>6</v>
      </c>
      <c r="AH1421" s="1" t="n">
        <f aca="false">IF(AND($N1421=1,AND(LEFT(对接源_02物料!$D221,3)="周转筐",N(对接源_02物料!$K221)&lt;&gt;0)),1,0)</f>
        <v>0</v>
      </c>
      <c r="AI1421" s="1" t="n">
        <f aca="false">N(AI1420)+$AH1421</f>
        <v>0</v>
      </c>
      <c r="AJ1421" s="1" t="n">
        <v>0</v>
      </c>
      <c r="AK1421" s="1" t="n">
        <f aca="false">N(AK1420)+$AJ1421</f>
        <v>3672</v>
      </c>
    </row>
    <row r="1422" customFormat="false" ht="13.5" hidden="false" customHeight="false" outlineLevel="0" collapsed="false">
      <c r="A1422" s="1" t="str">
        <f aca="false">IF(对接源_02物料!$C222="","",对接源_02物料!$C222)</f>
        <v/>
      </c>
      <c r="B1422" s="1" t="n">
        <f aca="false">IF(A1422="",0,IF(MATCH(A1422,$A$4:$A$2403,0)=ROW()-3,1,0))</f>
        <v>0</v>
      </c>
      <c r="C1422" s="1" t="n">
        <f aca="false">N(C1421)+B1422</f>
        <v>17</v>
      </c>
      <c r="K1422" s="1" t="n">
        <f aca="false">IF(OR($K$1="",对接源_02物料!$C222="",对接源_02物料!$C222&lt;&gt;$K$1,对接源_02物料!$B222=""),0,IF(OR(N(对接源_02物料!$B222)&lt;$K$2,N(对接源_02物料!$B222)&gt;$K$3),0,1))</f>
        <v>0</v>
      </c>
      <c r="L1422" s="1" t="n">
        <f aca="false">IF(OR($L$1="",对接源_02物料!$C222="",对接源_02物料!$C222&lt;&gt;$L$1,对接源_02物料!$B222=""),0,IF(OR(N(对接源_02物料!$B222)&lt;$L$2,N(对接源_02物料!$B222)&gt;$L$3),0,1))</f>
        <v>0</v>
      </c>
      <c r="M1422" s="1" t="n">
        <f aca="false">IF(OR($M$1="",对接源_02物料!$C222="",对接源_02物料!$C222&lt;&gt;$M$1,对接源_02物料!$B222=""),0,IF(OR(N(对接源_02物料!$B222)&lt;$M$2,N(对接源_02物料!$B222)&gt;$M$3),0,1))</f>
        <v>0</v>
      </c>
      <c r="N1422" s="1" t="n">
        <f aca="false">IF(OR($N$1="",对接源_02物料!$C222="",对接源_02物料!$C222&lt;&gt;$N$1,对接源_02物料!$B222=""),0,IF(OR(N(对接源_02物料!$B222)&lt;$N$2,N(对接源_02物料!$B222)&gt;$N$3),0,1))</f>
        <v>0</v>
      </c>
      <c r="P1422" s="1" t="n">
        <f aca="false">IF(AND($K1422=1,AND(对接源_02物料!$X222="公司筐",N(对接源_02物料!$T222)&lt;&gt;0)),1,0)</f>
        <v>0</v>
      </c>
      <c r="Q1422" s="1" t="n">
        <f aca="false">N(Q1421)+$P1422</f>
        <v>13</v>
      </c>
      <c r="R1422" s="1" t="n">
        <f aca="false">IF(AND($K1422=1,AND(对接源_02物料!$X222="公司筐",N(对接源_02物料!$U222)&lt;&gt;0)),1,0)</f>
        <v>0</v>
      </c>
      <c r="S1422" s="1" t="n">
        <f aca="false">N(S1421)+$R1422</f>
        <v>5</v>
      </c>
      <c r="T1422" s="1" t="n">
        <f aca="false">IF(AND($K1422=1,AND(对接源_02物料!$X222="公司筐",N(对接源_02物料!$V222)&lt;&gt;0)),1,0)</f>
        <v>0</v>
      </c>
      <c r="U1422" s="1" t="n">
        <f aca="false">N(U1421)+$T1422</f>
        <v>28</v>
      </c>
      <c r="V1422" s="1" t="n">
        <f aca="false">IF(AND($L1422=1,AND(对接源_02物料!$X222="自备筐",N(对接源_02物料!$V222)&lt;&gt;0)),1,0)</f>
        <v>0</v>
      </c>
      <c r="W1422" s="1" t="n">
        <f aca="false">N(W1421)+$V1422</f>
        <v>7</v>
      </c>
      <c r="X1422" s="1" t="n">
        <f aca="false">IF(AND($L1422=1,AND(对接源_02物料!$X222="自备筐",N(对接源_02物料!$T222)&lt;&gt;0)),1,0)</f>
        <v>0</v>
      </c>
      <c r="Y1422" s="1" t="n">
        <f aca="false">N(Y1421)+$X1422</f>
        <v>0</v>
      </c>
      <c r="Z1422" s="1" t="n">
        <f aca="false">IF(AND($M1422=1,对接源_02物料!$D222="原料入库"),1,0)</f>
        <v>0</v>
      </c>
      <c r="AA1422" s="1" t="n">
        <f aca="false">N(AA1421)+$Z1422</f>
        <v>30</v>
      </c>
      <c r="AB1422" s="1" t="n">
        <f aca="false">IF(AND($M1422=1,LEFT(对接源_02物料!$D222,4)="原料出库"),1,0)</f>
        <v>0</v>
      </c>
      <c r="AC1422" s="1" t="n">
        <f aca="false">N(AC1421)+$AB1422</f>
        <v>19</v>
      </c>
      <c r="AD1422" s="1" t="n">
        <f aca="false">IF(AND($M1422=1,LEFT(对接源_02物料!$D222,4)="成品出库"),1,0)</f>
        <v>0</v>
      </c>
      <c r="AE1422" s="1" t="n">
        <f aca="false">N(AE1421)+$AD1422</f>
        <v>38</v>
      </c>
      <c r="AF1422" s="1" t="n">
        <f aca="false">IF(AND($N1422=1,AND(LEFT(对接源_02物料!$D222,4)="包装物料",N(对接源_02物料!$K222)&lt;&gt;0)),1,0)</f>
        <v>0</v>
      </c>
      <c r="AG1422" s="1" t="n">
        <f aca="false">N(AG1421)+$AF1422</f>
        <v>6</v>
      </c>
      <c r="AH1422" s="1" t="n">
        <f aca="false">IF(AND($N1422=1,AND(LEFT(对接源_02物料!$D222,3)="周转筐",N(对接源_02物料!$K222)&lt;&gt;0)),1,0)</f>
        <v>0</v>
      </c>
      <c r="AI1422" s="1" t="n">
        <f aca="false">N(AI1421)+$AH1422</f>
        <v>0</v>
      </c>
      <c r="AJ1422" s="1" t="n">
        <v>0</v>
      </c>
      <c r="AK1422" s="1" t="n">
        <f aca="false">N(AK1421)+$AJ1422</f>
        <v>3672</v>
      </c>
    </row>
    <row r="1423" customFormat="false" ht="13.5" hidden="false" customHeight="false" outlineLevel="0" collapsed="false">
      <c r="A1423" s="1" t="str">
        <f aca="false">IF(对接源_02物料!$C223="","",对接源_02物料!$C223)</f>
        <v/>
      </c>
      <c r="B1423" s="1" t="n">
        <f aca="false">IF(A1423="",0,IF(MATCH(A1423,$A$4:$A$2403,0)=ROW()-3,1,0))</f>
        <v>0</v>
      </c>
      <c r="C1423" s="1" t="n">
        <f aca="false">N(C1422)+B1423</f>
        <v>17</v>
      </c>
      <c r="K1423" s="1" t="n">
        <f aca="false">IF(OR($K$1="",对接源_02物料!$C223="",对接源_02物料!$C223&lt;&gt;$K$1,对接源_02物料!$B223=""),0,IF(OR(N(对接源_02物料!$B223)&lt;$K$2,N(对接源_02物料!$B223)&gt;$K$3),0,1))</f>
        <v>0</v>
      </c>
      <c r="L1423" s="1" t="n">
        <f aca="false">IF(OR($L$1="",对接源_02物料!$C223="",对接源_02物料!$C223&lt;&gt;$L$1,对接源_02物料!$B223=""),0,IF(OR(N(对接源_02物料!$B223)&lt;$L$2,N(对接源_02物料!$B223)&gt;$L$3),0,1))</f>
        <v>0</v>
      </c>
      <c r="M1423" s="1" t="n">
        <f aca="false">IF(OR($M$1="",对接源_02物料!$C223="",对接源_02物料!$C223&lt;&gt;$M$1,对接源_02物料!$B223=""),0,IF(OR(N(对接源_02物料!$B223)&lt;$M$2,N(对接源_02物料!$B223)&gt;$M$3),0,1))</f>
        <v>0</v>
      </c>
      <c r="N1423" s="1" t="n">
        <f aca="false">IF(OR($N$1="",对接源_02物料!$C223="",对接源_02物料!$C223&lt;&gt;$N$1,对接源_02物料!$B223=""),0,IF(OR(N(对接源_02物料!$B223)&lt;$N$2,N(对接源_02物料!$B223)&gt;$N$3),0,1))</f>
        <v>0</v>
      </c>
      <c r="P1423" s="1" t="n">
        <f aca="false">IF(AND($K1423=1,AND(对接源_02物料!$X223="公司筐",N(对接源_02物料!$T223)&lt;&gt;0)),1,0)</f>
        <v>0</v>
      </c>
      <c r="Q1423" s="1" t="n">
        <f aca="false">N(Q1422)+$P1423</f>
        <v>13</v>
      </c>
      <c r="R1423" s="1" t="n">
        <f aca="false">IF(AND($K1423=1,AND(对接源_02物料!$X223="公司筐",N(对接源_02物料!$U223)&lt;&gt;0)),1,0)</f>
        <v>0</v>
      </c>
      <c r="S1423" s="1" t="n">
        <f aca="false">N(S1422)+$R1423</f>
        <v>5</v>
      </c>
      <c r="T1423" s="1" t="n">
        <f aca="false">IF(AND($K1423=1,AND(对接源_02物料!$X223="公司筐",N(对接源_02物料!$V223)&lt;&gt;0)),1,0)</f>
        <v>0</v>
      </c>
      <c r="U1423" s="1" t="n">
        <f aca="false">N(U1422)+$T1423</f>
        <v>28</v>
      </c>
      <c r="V1423" s="1" t="n">
        <f aca="false">IF(AND($L1423=1,AND(对接源_02物料!$X223="自备筐",N(对接源_02物料!$V223)&lt;&gt;0)),1,0)</f>
        <v>0</v>
      </c>
      <c r="W1423" s="1" t="n">
        <f aca="false">N(W1422)+$V1423</f>
        <v>7</v>
      </c>
      <c r="X1423" s="1" t="n">
        <f aca="false">IF(AND($L1423=1,AND(对接源_02物料!$X223="自备筐",N(对接源_02物料!$T223)&lt;&gt;0)),1,0)</f>
        <v>0</v>
      </c>
      <c r="Y1423" s="1" t="n">
        <f aca="false">N(Y1422)+$X1423</f>
        <v>0</v>
      </c>
      <c r="Z1423" s="1" t="n">
        <f aca="false">IF(AND($M1423=1,对接源_02物料!$D223="原料入库"),1,0)</f>
        <v>0</v>
      </c>
      <c r="AA1423" s="1" t="n">
        <f aca="false">N(AA1422)+$Z1423</f>
        <v>30</v>
      </c>
      <c r="AB1423" s="1" t="n">
        <f aca="false">IF(AND($M1423=1,LEFT(对接源_02物料!$D223,4)="原料出库"),1,0)</f>
        <v>0</v>
      </c>
      <c r="AC1423" s="1" t="n">
        <f aca="false">N(AC1422)+$AB1423</f>
        <v>19</v>
      </c>
      <c r="AD1423" s="1" t="n">
        <f aca="false">IF(AND($M1423=1,LEFT(对接源_02物料!$D223,4)="成品出库"),1,0)</f>
        <v>0</v>
      </c>
      <c r="AE1423" s="1" t="n">
        <f aca="false">N(AE1422)+$AD1423</f>
        <v>38</v>
      </c>
      <c r="AF1423" s="1" t="n">
        <f aca="false">IF(AND($N1423=1,AND(LEFT(对接源_02物料!$D223,4)="包装物料",N(对接源_02物料!$K223)&lt;&gt;0)),1,0)</f>
        <v>0</v>
      </c>
      <c r="AG1423" s="1" t="n">
        <f aca="false">N(AG1422)+$AF1423</f>
        <v>6</v>
      </c>
      <c r="AH1423" s="1" t="n">
        <f aca="false">IF(AND($N1423=1,AND(LEFT(对接源_02物料!$D223,3)="周转筐",N(对接源_02物料!$K223)&lt;&gt;0)),1,0)</f>
        <v>0</v>
      </c>
      <c r="AI1423" s="1" t="n">
        <f aca="false">N(AI1422)+$AH1423</f>
        <v>0</v>
      </c>
      <c r="AJ1423" s="1" t="n">
        <v>0</v>
      </c>
      <c r="AK1423" s="1" t="n">
        <f aca="false">N(AK1422)+$AJ1423</f>
        <v>3672</v>
      </c>
    </row>
    <row r="1424" customFormat="false" ht="13.5" hidden="false" customHeight="false" outlineLevel="0" collapsed="false">
      <c r="A1424" s="1" t="str">
        <f aca="false">IF(对接源_02物料!$C224="","",对接源_02物料!$C224)</f>
        <v/>
      </c>
      <c r="B1424" s="1" t="n">
        <f aca="false">IF(A1424="",0,IF(MATCH(A1424,$A$4:$A$2403,0)=ROW()-3,1,0))</f>
        <v>0</v>
      </c>
      <c r="C1424" s="1" t="n">
        <f aca="false">N(C1423)+B1424</f>
        <v>17</v>
      </c>
      <c r="K1424" s="1" t="n">
        <f aca="false">IF(OR($K$1="",对接源_02物料!$C224="",对接源_02物料!$C224&lt;&gt;$K$1,对接源_02物料!$B224=""),0,IF(OR(N(对接源_02物料!$B224)&lt;$K$2,N(对接源_02物料!$B224)&gt;$K$3),0,1))</f>
        <v>0</v>
      </c>
      <c r="L1424" s="1" t="n">
        <f aca="false">IF(OR($L$1="",对接源_02物料!$C224="",对接源_02物料!$C224&lt;&gt;$L$1,对接源_02物料!$B224=""),0,IF(OR(N(对接源_02物料!$B224)&lt;$L$2,N(对接源_02物料!$B224)&gt;$L$3),0,1))</f>
        <v>0</v>
      </c>
      <c r="M1424" s="1" t="n">
        <f aca="false">IF(OR($M$1="",对接源_02物料!$C224="",对接源_02物料!$C224&lt;&gt;$M$1,对接源_02物料!$B224=""),0,IF(OR(N(对接源_02物料!$B224)&lt;$M$2,N(对接源_02物料!$B224)&gt;$M$3),0,1))</f>
        <v>0</v>
      </c>
      <c r="N1424" s="1" t="n">
        <f aca="false">IF(OR($N$1="",对接源_02物料!$C224="",对接源_02物料!$C224&lt;&gt;$N$1,对接源_02物料!$B224=""),0,IF(OR(N(对接源_02物料!$B224)&lt;$N$2,N(对接源_02物料!$B224)&gt;$N$3),0,1))</f>
        <v>0</v>
      </c>
      <c r="P1424" s="1" t="n">
        <f aca="false">IF(AND($K1424=1,AND(对接源_02物料!$X224="公司筐",N(对接源_02物料!$T224)&lt;&gt;0)),1,0)</f>
        <v>0</v>
      </c>
      <c r="Q1424" s="1" t="n">
        <f aca="false">N(Q1423)+$P1424</f>
        <v>13</v>
      </c>
      <c r="R1424" s="1" t="n">
        <f aca="false">IF(AND($K1424=1,AND(对接源_02物料!$X224="公司筐",N(对接源_02物料!$U224)&lt;&gt;0)),1,0)</f>
        <v>0</v>
      </c>
      <c r="S1424" s="1" t="n">
        <f aca="false">N(S1423)+$R1424</f>
        <v>5</v>
      </c>
      <c r="T1424" s="1" t="n">
        <f aca="false">IF(AND($K1424=1,AND(对接源_02物料!$X224="公司筐",N(对接源_02物料!$V224)&lt;&gt;0)),1,0)</f>
        <v>0</v>
      </c>
      <c r="U1424" s="1" t="n">
        <f aca="false">N(U1423)+$T1424</f>
        <v>28</v>
      </c>
      <c r="V1424" s="1" t="n">
        <f aca="false">IF(AND($L1424=1,AND(对接源_02物料!$X224="自备筐",N(对接源_02物料!$V224)&lt;&gt;0)),1,0)</f>
        <v>0</v>
      </c>
      <c r="W1424" s="1" t="n">
        <f aca="false">N(W1423)+$V1424</f>
        <v>7</v>
      </c>
      <c r="X1424" s="1" t="n">
        <f aca="false">IF(AND($L1424=1,AND(对接源_02物料!$X224="自备筐",N(对接源_02物料!$T224)&lt;&gt;0)),1,0)</f>
        <v>0</v>
      </c>
      <c r="Y1424" s="1" t="n">
        <f aca="false">N(Y1423)+$X1424</f>
        <v>0</v>
      </c>
      <c r="Z1424" s="1" t="n">
        <f aca="false">IF(AND($M1424=1,对接源_02物料!$D224="原料入库"),1,0)</f>
        <v>0</v>
      </c>
      <c r="AA1424" s="1" t="n">
        <f aca="false">N(AA1423)+$Z1424</f>
        <v>30</v>
      </c>
      <c r="AB1424" s="1" t="n">
        <f aca="false">IF(AND($M1424=1,LEFT(对接源_02物料!$D224,4)="原料出库"),1,0)</f>
        <v>0</v>
      </c>
      <c r="AC1424" s="1" t="n">
        <f aca="false">N(AC1423)+$AB1424</f>
        <v>19</v>
      </c>
      <c r="AD1424" s="1" t="n">
        <f aca="false">IF(AND($M1424=1,LEFT(对接源_02物料!$D224,4)="成品出库"),1,0)</f>
        <v>0</v>
      </c>
      <c r="AE1424" s="1" t="n">
        <f aca="false">N(AE1423)+$AD1424</f>
        <v>38</v>
      </c>
      <c r="AF1424" s="1" t="n">
        <f aca="false">IF(AND($N1424=1,AND(LEFT(对接源_02物料!$D224,4)="包装物料",N(对接源_02物料!$K224)&lt;&gt;0)),1,0)</f>
        <v>0</v>
      </c>
      <c r="AG1424" s="1" t="n">
        <f aca="false">N(AG1423)+$AF1424</f>
        <v>6</v>
      </c>
      <c r="AH1424" s="1" t="n">
        <f aca="false">IF(AND($N1424=1,AND(LEFT(对接源_02物料!$D224,3)="周转筐",N(对接源_02物料!$K224)&lt;&gt;0)),1,0)</f>
        <v>0</v>
      </c>
      <c r="AI1424" s="1" t="n">
        <f aca="false">N(AI1423)+$AH1424</f>
        <v>0</v>
      </c>
      <c r="AJ1424" s="1" t="n">
        <v>0</v>
      </c>
      <c r="AK1424" s="1" t="n">
        <f aca="false">N(AK1423)+$AJ1424</f>
        <v>3672</v>
      </c>
    </row>
    <row r="1425" customFormat="false" ht="13.5" hidden="false" customHeight="false" outlineLevel="0" collapsed="false">
      <c r="A1425" s="1" t="str">
        <f aca="false">IF(对接源_02物料!$C225="","",对接源_02物料!$C225)</f>
        <v/>
      </c>
      <c r="B1425" s="1" t="n">
        <f aca="false">IF(A1425="",0,IF(MATCH(A1425,$A$4:$A$2403,0)=ROW()-3,1,0))</f>
        <v>0</v>
      </c>
      <c r="C1425" s="1" t="n">
        <f aca="false">N(C1424)+B1425</f>
        <v>17</v>
      </c>
      <c r="K1425" s="1" t="n">
        <f aca="false">IF(OR($K$1="",对接源_02物料!$C225="",对接源_02物料!$C225&lt;&gt;$K$1,对接源_02物料!$B225=""),0,IF(OR(N(对接源_02物料!$B225)&lt;$K$2,N(对接源_02物料!$B225)&gt;$K$3),0,1))</f>
        <v>0</v>
      </c>
      <c r="L1425" s="1" t="n">
        <f aca="false">IF(OR($L$1="",对接源_02物料!$C225="",对接源_02物料!$C225&lt;&gt;$L$1,对接源_02物料!$B225=""),0,IF(OR(N(对接源_02物料!$B225)&lt;$L$2,N(对接源_02物料!$B225)&gt;$L$3),0,1))</f>
        <v>0</v>
      </c>
      <c r="M1425" s="1" t="n">
        <f aca="false">IF(OR($M$1="",对接源_02物料!$C225="",对接源_02物料!$C225&lt;&gt;$M$1,对接源_02物料!$B225=""),0,IF(OR(N(对接源_02物料!$B225)&lt;$M$2,N(对接源_02物料!$B225)&gt;$M$3),0,1))</f>
        <v>0</v>
      </c>
      <c r="N1425" s="1" t="n">
        <f aca="false">IF(OR($N$1="",对接源_02物料!$C225="",对接源_02物料!$C225&lt;&gt;$N$1,对接源_02物料!$B225=""),0,IF(OR(N(对接源_02物料!$B225)&lt;$N$2,N(对接源_02物料!$B225)&gt;$N$3),0,1))</f>
        <v>0</v>
      </c>
      <c r="P1425" s="1" t="n">
        <f aca="false">IF(AND($K1425=1,AND(对接源_02物料!$X225="公司筐",N(对接源_02物料!$T225)&lt;&gt;0)),1,0)</f>
        <v>0</v>
      </c>
      <c r="Q1425" s="1" t="n">
        <f aca="false">N(Q1424)+$P1425</f>
        <v>13</v>
      </c>
      <c r="R1425" s="1" t="n">
        <f aca="false">IF(AND($K1425=1,AND(对接源_02物料!$X225="公司筐",N(对接源_02物料!$U225)&lt;&gt;0)),1,0)</f>
        <v>0</v>
      </c>
      <c r="S1425" s="1" t="n">
        <f aca="false">N(S1424)+$R1425</f>
        <v>5</v>
      </c>
      <c r="T1425" s="1" t="n">
        <f aca="false">IF(AND($K1425=1,AND(对接源_02物料!$X225="公司筐",N(对接源_02物料!$V225)&lt;&gt;0)),1,0)</f>
        <v>0</v>
      </c>
      <c r="U1425" s="1" t="n">
        <f aca="false">N(U1424)+$T1425</f>
        <v>28</v>
      </c>
      <c r="V1425" s="1" t="n">
        <f aca="false">IF(AND($L1425=1,AND(对接源_02物料!$X225="自备筐",N(对接源_02物料!$V225)&lt;&gt;0)),1,0)</f>
        <v>0</v>
      </c>
      <c r="W1425" s="1" t="n">
        <f aca="false">N(W1424)+$V1425</f>
        <v>7</v>
      </c>
      <c r="X1425" s="1" t="n">
        <f aca="false">IF(AND($L1425=1,AND(对接源_02物料!$X225="自备筐",N(对接源_02物料!$T225)&lt;&gt;0)),1,0)</f>
        <v>0</v>
      </c>
      <c r="Y1425" s="1" t="n">
        <f aca="false">N(Y1424)+$X1425</f>
        <v>0</v>
      </c>
      <c r="Z1425" s="1" t="n">
        <f aca="false">IF(AND($M1425=1,对接源_02物料!$D225="原料入库"),1,0)</f>
        <v>0</v>
      </c>
      <c r="AA1425" s="1" t="n">
        <f aca="false">N(AA1424)+$Z1425</f>
        <v>30</v>
      </c>
      <c r="AB1425" s="1" t="n">
        <f aca="false">IF(AND($M1425=1,LEFT(对接源_02物料!$D225,4)="原料出库"),1,0)</f>
        <v>0</v>
      </c>
      <c r="AC1425" s="1" t="n">
        <f aca="false">N(AC1424)+$AB1425</f>
        <v>19</v>
      </c>
      <c r="AD1425" s="1" t="n">
        <f aca="false">IF(AND($M1425=1,LEFT(对接源_02物料!$D225,4)="成品出库"),1,0)</f>
        <v>0</v>
      </c>
      <c r="AE1425" s="1" t="n">
        <f aca="false">N(AE1424)+$AD1425</f>
        <v>38</v>
      </c>
      <c r="AF1425" s="1" t="n">
        <f aca="false">IF(AND($N1425=1,AND(LEFT(对接源_02物料!$D225,4)="包装物料",N(对接源_02物料!$K225)&lt;&gt;0)),1,0)</f>
        <v>0</v>
      </c>
      <c r="AG1425" s="1" t="n">
        <f aca="false">N(AG1424)+$AF1425</f>
        <v>6</v>
      </c>
      <c r="AH1425" s="1" t="n">
        <f aca="false">IF(AND($N1425=1,AND(LEFT(对接源_02物料!$D225,3)="周转筐",N(对接源_02物料!$K225)&lt;&gt;0)),1,0)</f>
        <v>0</v>
      </c>
      <c r="AI1425" s="1" t="n">
        <f aca="false">N(AI1424)+$AH1425</f>
        <v>0</v>
      </c>
      <c r="AJ1425" s="1" t="n">
        <v>0</v>
      </c>
      <c r="AK1425" s="1" t="n">
        <f aca="false">N(AK1424)+$AJ1425</f>
        <v>3672</v>
      </c>
    </row>
    <row r="1426" customFormat="false" ht="13.5" hidden="false" customHeight="false" outlineLevel="0" collapsed="false">
      <c r="A1426" s="1" t="str">
        <f aca="false">IF(对接源_02物料!$C226="","",对接源_02物料!$C226)</f>
        <v/>
      </c>
      <c r="B1426" s="1" t="n">
        <f aca="false">IF(A1426="",0,IF(MATCH(A1426,$A$4:$A$2403,0)=ROW()-3,1,0))</f>
        <v>0</v>
      </c>
      <c r="C1426" s="1" t="n">
        <f aca="false">N(C1425)+B1426</f>
        <v>17</v>
      </c>
      <c r="K1426" s="1" t="n">
        <f aca="false">IF(OR($K$1="",对接源_02物料!$C226="",对接源_02物料!$C226&lt;&gt;$K$1,对接源_02物料!$B226=""),0,IF(OR(N(对接源_02物料!$B226)&lt;$K$2,N(对接源_02物料!$B226)&gt;$K$3),0,1))</f>
        <v>0</v>
      </c>
      <c r="L1426" s="1" t="n">
        <f aca="false">IF(OR($L$1="",对接源_02物料!$C226="",对接源_02物料!$C226&lt;&gt;$L$1,对接源_02物料!$B226=""),0,IF(OR(N(对接源_02物料!$B226)&lt;$L$2,N(对接源_02物料!$B226)&gt;$L$3),0,1))</f>
        <v>0</v>
      </c>
      <c r="M1426" s="1" t="n">
        <f aca="false">IF(OR($M$1="",对接源_02物料!$C226="",对接源_02物料!$C226&lt;&gt;$M$1,对接源_02物料!$B226=""),0,IF(OR(N(对接源_02物料!$B226)&lt;$M$2,N(对接源_02物料!$B226)&gt;$M$3),0,1))</f>
        <v>0</v>
      </c>
      <c r="N1426" s="1" t="n">
        <f aca="false">IF(OR($N$1="",对接源_02物料!$C226="",对接源_02物料!$C226&lt;&gt;$N$1,对接源_02物料!$B226=""),0,IF(OR(N(对接源_02物料!$B226)&lt;$N$2,N(对接源_02物料!$B226)&gt;$N$3),0,1))</f>
        <v>0</v>
      </c>
      <c r="P1426" s="1" t="n">
        <f aca="false">IF(AND($K1426=1,AND(对接源_02物料!$X226="公司筐",N(对接源_02物料!$T226)&lt;&gt;0)),1,0)</f>
        <v>0</v>
      </c>
      <c r="Q1426" s="1" t="n">
        <f aca="false">N(Q1425)+$P1426</f>
        <v>13</v>
      </c>
      <c r="R1426" s="1" t="n">
        <f aca="false">IF(AND($K1426=1,AND(对接源_02物料!$X226="公司筐",N(对接源_02物料!$U226)&lt;&gt;0)),1,0)</f>
        <v>0</v>
      </c>
      <c r="S1426" s="1" t="n">
        <f aca="false">N(S1425)+$R1426</f>
        <v>5</v>
      </c>
      <c r="T1426" s="1" t="n">
        <f aca="false">IF(AND($K1426=1,AND(对接源_02物料!$X226="公司筐",N(对接源_02物料!$V226)&lt;&gt;0)),1,0)</f>
        <v>0</v>
      </c>
      <c r="U1426" s="1" t="n">
        <f aca="false">N(U1425)+$T1426</f>
        <v>28</v>
      </c>
      <c r="V1426" s="1" t="n">
        <f aca="false">IF(AND($L1426=1,AND(对接源_02物料!$X226="自备筐",N(对接源_02物料!$V226)&lt;&gt;0)),1,0)</f>
        <v>0</v>
      </c>
      <c r="W1426" s="1" t="n">
        <f aca="false">N(W1425)+$V1426</f>
        <v>7</v>
      </c>
      <c r="X1426" s="1" t="n">
        <f aca="false">IF(AND($L1426=1,AND(对接源_02物料!$X226="自备筐",N(对接源_02物料!$T226)&lt;&gt;0)),1,0)</f>
        <v>0</v>
      </c>
      <c r="Y1426" s="1" t="n">
        <f aca="false">N(Y1425)+$X1426</f>
        <v>0</v>
      </c>
      <c r="Z1426" s="1" t="n">
        <f aca="false">IF(AND($M1426=1,对接源_02物料!$D226="原料入库"),1,0)</f>
        <v>0</v>
      </c>
      <c r="AA1426" s="1" t="n">
        <f aca="false">N(AA1425)+$Z1426</f>
        <v>30</v>
      </c>
      <c r="AB1426" s="1" t="n">
        <f aca="false">IF(AND($M1426=1,LEFT(对接源_02物料!$D226,4)="原料出库"),1,0)</f>
        <v>0</v>
      </c>
      <c r="AC1426" s="1" t="n">
        <f aca="false">N(AC1425)+$AB1426</f>
        <v>19</v>
      </c>
      <c r="AD1426" s="1" t="n">
        <f aca="false">IF(AND($M1426=1,LEFT(对接源_02物料!$D226,4)="成品出库"),1,0)</f>
        <v>0</v>
      </c>
      <c r="AE1426" s="1" t="n">
        <f aca="false">N(AE1425)+$AD1426</f>
        <v>38</v>
      </c>
      <c r="AF1426" s="1" t="n">
        <f aca="false">IF(AND($N1426=1,AND(LEFT(对接源_02物料!$D226,4)="包装物料",N(对接源_02物料!$K226)&lt;&gt;0)),1,0)</f>
        <v>0</v>
      </c>
      <c r="AG1426" s="1" t="n">
        <f aca="false">N(AG1425)+$AF1426</f>
        <v>6</v>
      </c>
      <c r="AH1426" s="1" t="n">
        <f aca="false">IF(AND($N1426=1,AND(LEFT(对接源_02物料!$D226,3)="周转筐",N(对接源_02物料!$K226)&lt;&gt;0)),1,0)</f>
        <v>0</v>
      </c>
      <c r="AI1426" s="1" t="n">
        <f aca="false">N(AI1425)+$AH1426</f>
        <v>0</v>
      </c>
      <c r="AJ1426" s="1" t="n">
        <v>0</v>
      </c>
      <c r="AK1426" s="1" t="n">
        <f aca="false">N(AK1425)+$AJ1426</f>
        <v>3672</v>
      </c>
    </row>
    <row r="1427" customFormat="false" ht="13.5" hidden="false" customHeight="false" outlineLevel="0" collapsed="false">
      <c r="A1427" s="1" t="str">
        <f aca="false">IF(对接源_02物料!$C227="","",对接源_02物料!$C227)</f>
        <v/>
      </c>
      <c r="B1427" s="1" t="n">
        <f aca="false">IF(A1427="",0,IF(MATCH(A1427,$A$4:$A$2403,0)=ROW()-3,1,0))</f>
        <v>0</v>
      </c>
      <c r="C1427" s="1" t="n">
        <f aca="false">N(C1426)+B1427</f>
        <v>17</v>
      </c>
      <c r="K1427" s="1" t="n">
        <f aca="false">IF(OR($K$1="",对接源_02物料!$C227="",对接源_02物料!$C227&lt;&gt;$K$1,对接源_02物料!$B227=""),0,IF(OR(N(对接源_02物料!$B227)&lt;$K$2,N(对接源_02物料!$B227)&gt;$K$3),0,1))</f>
        <v>0</v>
      </c>
      <c r="L1427" s="1" t="n">
        <f aca="false">IF(OR($L$1="",对接源_02物料!$C227="",对接源_02物料!$C227&lt;&gt;$L$1,对接源_02物料!$B227=""),0,IF(OR(N(对接源_02物料!$B227)&lt;$L$2,N(对接源_02物料!$B227)&gt;$L$3),0,1))</f>
        <v>0</v>
      </c>
      <c r="M1427" s="1" t="n">
        <f aca="false">IF(OR($M$1="",对接源_02物料!$C227="",对接源_02物料!$C227&lt;&gt;$M$1,对接源_02物料!$B227=""),0,IF(OR(N(对接源_02物料!$B227)&lt;$M$2,N(对接源_02物料!$B227)&gt;$M$3),0,1))</f>
        <v>0</v>
      </c>
      <c r="N1427" s="1" t="n">
        <f aca="false">IF(OR($N$1="",对接源_02物料!$C227="",对接源_02物料!$C227&lt;&gt;$N$1,对接源_02物料!$B227=""),0,IF(OR(N(对接源_02物料!$B227)&lt;$N$2,N(对接源_02物料!$B227)&gt;$N$3),0,1))</f>
        <v>0</v>
      </c>
      <c r="P1427" s="1" t="n">
        <f aca="false">IF(AND($K1427=1,AND(对接源_02物料!$X227="公司筐",N(对接源_02物料!$T227)&lt;&gt;0)),1,0)</f>
        <v>0</v>
      </c>
      <c r="Q1427" s="1" t="n">
        <f aca="false">N(Q1426)+$P1427</f>
        <v>13</v>
      </c>
      <c r="R1427" s="1" t="n">
        <f aca="false">IF(AND($K1427=1,AND(对接源_02物料!$X227="公司筐",N(对接源_02物料!$U227)&lt;&gt;0)),1,0)</f>
        <v>0</v>
      </c>
      <c r="S1427" s="1" t="n">
        <f aca="false">N(S1426)+$R1427</f>
        <v>5</v>
      </c>
      <c r="T1427" s="1" t="n">
        <f aca="false">IF(AND($K1427=1,AND(对接源_02物料!$X227="公司筐",N(对接源_02物料!$V227)&lt;&gt;0)),1,0)</f>
        <v>0</v>
      </c>
      <c r="U1427" s="1" t="n">
        <f aca="false">N(U1426)+$T1427</f>
        <v>28</v>
      </c>
      <c r="V1427" s="1" t="n">
        <f aca="false">IF(AND($L1427=1,AND(对接源_02物料!$X227="自备筐",N(对接源_02物料!$V227)&lt;&gt;0)),1,0)</f>
        <v>0</v>
      </c>
      <c r="W1427" s="1" t="n">
        <f aca="false">N(W1426)+$V1427</f>
        <v>7</v>
      </c>
      <c r="X1427" s="1" t="n">
        <f aca="false">IF(AND($L1427=1,AND(对接源_02物料!$X227="自备筐",N(对接源_02物料!$T227)&lt;&gt;0)),1,0)</f>
        <v>0</v>
      </c>
      <c r="Y1427" s="1" t="n">
        <f aca="false">N(Y1426)+$X1427</f>
        <v>0</v>
      </c>
      <c r="Z1427" s="1" t="n">
        <f aca="false">IF(AND($M1427=1,对接源_02物料!$D227="原料入库"),1,0)</f>
        <v>0</v>
      </c>
      <c r="AA1427" s="1" t="n">
        <f aca="false">N(AA1426)+$Z1427</f>
        <v>30</v>
      </c>
      <c r="AB1427" s="1" t="n">
        <f aca="false">IF(AND($M1427=1,LEFT(对接源_02物料!$D227,4)="原料出库"),1,0)</f>
        <v>0</v>
      </c>
      <c r="AC1427" s="1" t="n">
        <f aca="false">N(AC1426)+$AB1427</f>
        <v>19</v>
      </c>
      <c r="AD1427" s="1" t="n">
        <f aca="false">IF(AND($M1427=1,LEFT(对接源_02物料!$D227,4)="成品出库"),1,0)</f>
        <v>0</v>
      </c>
      <c r="AE1427" s="1" t="n">
        <f aca="false">N(AE1426)+$AD1427</f>
        <v>38</v>
      </c>
      <c r="AF1427" s="1" t="n">
        <f aca="false">IF(AND($N1427=1,AND(LEFT(对接源_02物料!$D227,4)="包装物料",N(对接源_02物料!$K227)&lt;&gt;0)),1,0)</f>
        <v>0</v>
      </c>
      <c r="AG1427" s="1" t="n">
        <f aca="false">N(AG1426)+$AF1427</f>
        <v>6</v>
      </c>
      <c r="AH1427" s="1" t="n">
        <f aca="false">IF(AND($N1427=1,AND(LEFT(对接源_02物料!$D227,3)="周转筐",N(对接源_02物料!$K227)&lt;&gt;0)),1,0)</f>
        <v>0</v>
      </c>
      <c r="AI1427" s="1" t="n">
        <f aca="false">N(AI1426)+$AH1427</f>
        <v>0</v>
      </c>
      <c r="AJ1427" s="1" t="n">
        <v>0</v>
      </c>
      <c r="AK1427" s="1" t="n">
        <f aca="false">N(AK1426)+$AJ1427</f>
        <v>3672</v>
      </c>
    </row>
    <row r="1428" customFormat="false" ht="13.5" hidden="false" customHeight="false" outlineLevel="0" collapsed="false">
      <c r="A1428" s="1" t="str">
        <f aca="false">IF(对接源_02物料!$C228="","",对接源_02物料!$C228)</f>
        <v/>
      </c>
      <c r="B1428" s="1" t="n">
        <f aca="false">IF(A1428="",0,IF(MATCH(A1428,$A$4:$A$2403,0)=ROW()-3,1,0))</f>
        <v>0</v>
      </c>
      <c r="C1428" s="1" t="n">
        <f aca="false">N(C1427)+B1428</f>
        <v>17</v>
      </c>
      <c r="K1428" s="1" t="n">
        <f aca="false">IF(OR($K$1="",对接源_02物料!$C228="",对接源_02物料!$C228&lt;&gt;$K$1,对接源_02物料!$B228=""),0,IF(OR(N(对接源_02物料!$B228)&lt;$K$2,N(对接源_02物料!$B228)&gt;$K$3),0,1))</f>
        <v>0</v>
      </c>
      <c r="L1428" s="1" t="n">
        <f aca="false">IF(OR($L$1="",对接源_02物料!$C228="",对接源_02物料!$C228&lt;&gt;$L$1,对接源_02物料!$B228=""),0,IF(OR(N(对接源_02物料!$B228)&lt;$L$2,N(对接源_02物料!$B228)&gt;$L$3),0,1))</f>
        <v>0</v>
      </c>
      <c r="M1428" s="1" t="n">
        <f aca="false">IF(OR($M$1="",对接源_02物料!$C228="",对接源_02物料!$C228&lt;&gt;$M$1,对接源_02物料!$B228=""),0,IF(OR(N(对接源_02物料!$B228)&lt;$M$2,N(对接源_02物料!$B228)&gt;$M$3),0,1))</f>
        <v>0</v>
      </c>
      <c r="N1428" s="1" t="n">
        <f aca="false">IF(OR($N$1="",对接源_02物料!$C228="",对接源_02物料!$C228&lt;&gt;$N$1,对接源_02物料!$B228=""),0,IF(OR(N(对接源_02物料!$B228)&lt;$N$2,N(对接源_02物料!$B228)&gt;$N$3),0,1))</f>
        <v>0</v>
      </c>
      <c r="P1428" s="1" t="n">
        <f aca="false">IF(AND($K1428=1,AND(对接源_02物料!$X228="公司筐",N(对接源_02物料!$T228)&lt;&gt;0)),1,0)</f>
        <v>0</v>
      </c>
      <c r="Q1428" s="1" t="n">
        <f aca="false">N(Q1427)+$P1428</f>
        <v>13</v>
      </c>
      <c r="R1428" s="1" t="n">
        <f aca="false">IF(AND($K1428=1,AND(对接源_02物料!$X228="公司筐",N(对接源_02物料!$U228)&lt;&gt;0)),1,0)</f>
        <v>0</v>
      </c>
      <c r="S1428" s="1" t="n">
        <f aca="false">N(S1427)+$R1428</f>
        <v>5</v>
      </c>
      <c r="T1428" s="1" t="n">
        <f aca="false">IF(AND($K1428=1,AND(对接源_02物料!$X228="公司筐",N(对接源_02物料!$V228)&lt;&gt;0)),1,0)</f>
        <v>0</v>
      </c>
      <c r="U1428" s="1" t="n">
        <f aca="false">N(U1427)+$T1428</f>
        <v>28</v>
      </c>
      <c r="V1428" s="1" t="n">
        <f aca="false">IF(AND($L1428=1,AND(对接源_02物料!$X228="自备筐",N(对接源_02物料!$V228)&lt;&gt;0)),1,0)</f>
        <v>0</v>
      </c>
      <c r="W1428" s="1" t="n">
        <f aca="false">N(W1427)+$V1428</f>
        <v>7</v>
      </c>
      <c r="X1428" s="1" t="n">
        <f aca="false">IF(AND($L1428=1,AND(对接源_02物料!$X228="自备筐",N(对接源_02物料!$T228)&lt;&gt;0)),1,0)</f>
        <v>0</v>
      </c>
      <c r="Y1428" s="1" t="n">
        <f aca="false">N(Y1427)+$X1428</f>
        <v>0</v>
      </c>
      <c r="Z1428" s="1" t="n">
        <f aca="false">IF(AND($M1428=1,对接源_02物料!$D228="原料入库"),1,0)</f>
        <v>0</v>
      </c>
      <c r="AA1428" s="1" t="n">
        <f aca="false">N(AA1427)+$Z1428</f>
        <v>30</v>
      </c>
      <c r="AB1428" s="1" t="n">
        <f aca="false">IF(AND($M1428=1,LEFT(对接源_02物料!$D228,4)="原料出库"),1,0)</f>
        <v>0</v>
      </c>
      <c r="AC1428" s="1" t="n">
        <f aca="false">N(AC1427)+$AB1428</f>
        <v>19</v>
      </c>
      <c r="AD1428" s="1" t="n">
        <f aca="false">IF(AND($M1428=1,LEFT(对接源_02物料!$D228,4)="成品出库"),1,0)</f>
        <v>0</v>
      </c>
      <c r="AE1428" s="1" t="n">
        <f aca="false">N(AE1427)+$AD1428</f>
        <v>38</v>
      </c>
      <c r="AF1428" s="1" t="n">
        <f aca="false">IF(AND($N1428=1,AND(LEFT(对接源_02物料!$D228,4)="包装物料",N(对接源_02物料!$K228)&lt;&gt;0)),1,0)</f>
        <v>0</v>
      </c>
      <c r="AG1428" s="1" t="n">
        <f aca="false">N(AG1427)+$AF1428</f>
        <v>6</v>
      </c>
      <c r="AH1428" s="1" t="n">
        <f aca="false">IF(AND($N1428=1,AND(LEFT(对接源_02物料!$D228,3)="周转筐",N(对接源_02物料!$K228)&lt;&gt;0)),1,0)</f>
        <v>0</v>
      </c>
      <c r="AI1428" s="1" t="n">
        <f aca="false">N(AI1427)+$AH1428</f>
        <v>0</v>
      </c>
      <c r="AJ1428" s="1" t="n">
        <v>0</v>
      </c>
      <c r="AK1428" s="1" t="n">
        <f aca="false">N(AK1427)+$AJ1428</f>
        <v>3672</v>
      </c>
    </row>
    <row r="1429" customFormat="false" ht="13.5" hidden="false" customHeight="false" outlineLevel="0" collapsed="false">
      <c r="A1429" s="1" t="str">
        <f aca="false">IF(对接源_02物料!$C229="","",对接源_02物料!$C229)</f>
        <v/>
      </c>
      <c r="B1429" s="1" t="n">
        <f aca="false">IF(A1429="",0,IF(MATCH(A1429,$A$4:$A$2403,0)=ROW()-3,1,0))</f>
        <v>0</v>
      </c>
      <c r="C1429" s="1" t="n">
        <f aca="false">N(C1428)+B1429</f>
        <v>17</v>
      </c>
      <c r="K1429" s="1" t="n">
        <f aca="false">IF(OR($K$1="",对接源_02物料!$C229="",对接源_02物料!$C229&lt;&gt;$K$1,对接源_02物料!$B229=""),0,IF(OR(N(对接源_02物料!$B229)&lt;$K$2,N(对接源_02物料!$B229)&gt;$K$3),0,1))</f>
        <v>0</v>
      </c>
      <c r="L1429" s="1" t="n">
        <f aca="false">IF(OR($L$1="",对接源_02物料!$C229="",对接源_02物料!$C229&lt;&gt;$L$1,对接源_02物料!$B229=""),0,IF(OR(N(对接源_02物料!$B229)&lt;$L$2,N(对接源_02物料!$B229)&gt;$L$3),0,1))</f>
        <v>0</v>
      </c>
      <c r="M1429" s="1" t="n">
        <f aca="false">IF(OR($M$1="",对接源_02物料!$C229="",对接源_02物料!$C229&lt;&gt;$M$1,对接源_02物料!$B229=""),0,IF(OR(N(对接源_02物料!$B229)&lt;$M$2,N(对接源_02物料!$B229)&gt;$M$3),0,1))</f>
        <v>0</v>
      </c>
      <c r="N1429" s="1" t="n">
        <f aca="false">IF(OR($N$1="",对接源_02物料!$C229="",对接源_02物料!$C229&lt;&gt;$N$1,对接源_02物料!$B229=""),0,IF(OR(N(对接源_02物料!$B229)&lt;$N$2,N(对接源_02物料!$B229)&gt;$N$3),0,1))</f>
        <v>0</v>
      </c>
      <c r="P1429" s="1" t="n">
        <f aca="false">IF(AND($K1429=1,AND(对接源_02物料!$X229="公司筐",N(对接源_02物料!$T229)&lt;&gt;0)),1,0)</f>
        <v>0</v>
      </c>
      <c r="Q1429" s="1" t="n">
        <f aca="false">N(Q1428)+$P1429</f>
        <v>13</v>
      </c>
      <c r="R1429" s="1" t="n">
        <f aca="false">IF(AND($K1429=1,AND(对接源_02物料!$X229="公司筐",N(对接源_02物料!$U229)&lt;&gt;0)),1,0)</f>
        <v>0</v>
      </c>
      <c r="S1429" s="1" t="n">
        <f aca="false">N(S1428)+$R1429</f>
        <v>5</v>
      </c>
      <c r="T1429" s="1" t="n">
        <f aca="false">IF(AND($K1429=1,AND(对接源_02物料!$X229="公司筐",N(对接源_02物料!$V229)&lt;&gt;0)),1,0)</f>
        <v>0</v>
      </c>
      <c r="U1429" s="1" t="n">
        <f aca="false">N(U1428)+$T1429</f>
        <v>28</v>
      </c>
      <c r="V1429" s="1" t="n">
        <f aca="false">IF(AND($L1429=1,AND(对接源_02物料!$X229="自备筐",N(对接源_02物料!$V229)&lt;&gt;0)),1,0)</f>
        <v>0</v>
      </c>
      <c r="W1429" s="1" t="n">
        <f aca="false">N(W1428)+$V1429</f>
        <v>7</v>
      </c>
      <c r="X1429" s="1" t="n">
        <f aca="false">IF(AND($L1429=1,AND(对接源_02物料!$X229="自备筐",N(对接源_02物料!$T229)&lt;&gt;0)),1,0)</f>
        <v>0</v>
      </c>
      <c r="Y1429" s="1" t="n">
        <f aca="false">N(Y1428)+$X1429</f>
        <v>0</v>
      </c>
      <c r="Z1429" s="1" t="n">
        <f aca="false">IF(AND($M1429=1,对接源_02物料!$D229="原料入库"),1,0)</f>
        <v>0</v>
      </c>
      <c r="AA1429" s="1" t="n">
        <f aca="false">N(AA1428)+$Z1429</f>
        <v>30</v>
      </c>
      <c r="AB1429" s="1" t="n">
        <f aca="false">IF(AND($M1429=1,LEFT(对接源_02物料!$D229,4)="原料出库"),1,0)</f>
        <v>0</v>
      </c>
      <c r="AC1429" s="1" t="n">
        <f aca="false">N(AC1428)+$AB1429</f>
        <v>19</v>
      </c>
      <c r="AD1429" s="1" t="n">
        <f aca="false">IF(AND($M1429=1,LEFT(对接源_02物料!$D229,4)="成品出库"),1,0)</f>
        <v>0</v>
      </c>
      <c r="AE1429" s="1" t="n">
        <f aca="false">N(AE1428)+$AD1429</f>
        <v>38</v>
      </c>
      <c r="AF1429" s="1" t="n">
        <f aca="false">IF(AND($N1429=1,AND(LEFT(对接源_02物料!$D229,4)="包装物料",N(对接源_02物料!$K229)&lt;&gt;0)),1,0)</f>
        <v>0</v>
      </c>
      <c r="AG1429" s="1" t="n">
        <f aca="false">N(AG1428)+$AF1429</f>
        <v>6</v>
      </c>
      <c r="AH1429" s="1" t="n">
        <f aca="false">IF(AND($N1429=1,AND(LEFT(对接源_02物料!$D229,3)="周转筐",N(对接源_02物料!$K229)&lt;&gt;0)),1,0)</f>
        <v>0</v>
      </c>
      <c r="AI1429" s="1" t="n">
        <f aca="false">N(AI1428)+$AH1429</f>
        <v>0</v>
      </c>
      <c r="AJ1429" s="1" t="n">
        <v>0</v>
      </c>
      <c r="AK1429" s="1" t="n">
        <f aca="false">N(AK1428)+$AJ1429</f>
        <v>3672</v>
      </c>
    </row>
    <row r="1430" customFormat="false" ht="13.5" hidden="false" customHeight="false" outlineLevel="0" collapsed="false">
      <c r="A1430" s="1" t="str">
        <f aca="false">IF(对接源_02物料!$C230="","",对接源_02物料!$C230)</f>
        <v/>
      </c>
      <c r="B1430" s="1" t="n">
        <f aca="false">IF(A1430="",0,IF(MATCH(A1430,$A$4:$A$2403,0)=ROW()-3,1,0))</f>
        <v>0</v>
      </c>
      <c r="C1430" s="1" t="n">
        <f aca="false">N(C1429)+B1430</f>
        <v>17</v>
      </c>
      <c r="K1430" s="1" t="n">
        <f aca="false">IF(OR($K$1="",对接源_02物料!$C230="",对接源_02物料!$C230&lt;&gt;$K$1,对接源_02物料!$B230=""),0,IF(OR(N(对接源_02物料!$B230)&lt;$K$2,N(对接源_02物料!$B230)&gt;$K$3),0,1))</f>
        <v>0</v>
      </c>
      <c r="L1430" s="1" t="n">
        <f aca="false">IF(OR($L$1="",对接源_02物料!$C230="",对接源_02物料!$C230&lt;&gt;$L$1,对接源_02物料!$B230=""),0,IF(OR(N(对接源_02物料!$B230)&lt;$L$2,N(对接源_02物料!$B230)&gt;$L$3),0,1))</f>
        <v>0</v>
      </c>
      <c r="M1430" s="1" t="n">
        <f aca="false">IF(OR($M$1="",对接源_02物料!$C230="",对接源_02物料!$C230&lt;&gt;$M$1,对接源_02物料!$B230=""),0,IF(OR(N(对接源_02物料!$B230)&lt;$M$2,N(对接源_02物料!$B230)&gt;$M$3),0,1))</f>
        <v>0</v>
      </c>
      <c r="N1430" s="1" t="n">
        <f aca="false">IF(OR($N$1="",对接源_02物料!$C230="",对接源_02物料!$C230&lt;&gt;$N$1,对接源_02物料!$B230=""),0,IF(OR(N(对接源_02物料!$B230)&lt;$N$2,N(对接源_02物料!$B230)&gt;$N$3),0,1))</f>
        <v>0</v>
      </c>
      <c r="P1430" s="1" t="n">
        <f aca="false">IF(AND($K1430=1,AND(对接源_02物料!$X230="公司筐",N(对接源_02物料!$T230)&lt;&gt;0)),1,0)</f>
        <v>0</v>
      </c>
      <c r="Q1430" s="1" t="n">
        <f aca="false">N(Q1429)+$P1430</f>
        <v>13</v>
      </c>
      <c r="R1430" s="1" t="n">
        <f aca="false">IF(AND($K1430=1,AND(对接源_02物料!$X230="公司筐",N(对接源_02物料!$U230)&lt;&gt;0)),1,0)</f>
        <v>0</v>
      </c>
      <c r="S1430" s="1" t="n">
        <f aca="false">N(S1429)+$R1430</f>
        <v>5</v>
      </c>
      <c r="T1430" s="1" t="n">
        <f aca="false">IF(AND($K1430=1,AND(对接源_02物料!$X230="公司筐",N(对接源_02物料!$V230)&lt;&gt;0)),1,0)</f>
        <v>0</v>
      </c>
      <c r="U1430" s="1" t="n">
        <f aca="false">N(U1429)+$T1430</f>
        <v>28</v>
      </c>
      <c r="V1430" s="1" t="n">
        <f aca="false">IF(AND($L1430=1,AND(对接源_02物料!$X230="自备筐",N(对接源_02物料!$V230)&lt;&gt;0)),1,0)</f>
        <v>0</v>
      </c>
      <c r="W1430" s="1" t="n">
        <f aca="false">N(W1429)+$V1430</f>
        <v>7</v>
      </c>
      <c r="X1430" s="1" t="n">
        <f aca="false">IF(AND($L1430=1,AND(对接源_02物料!$X230="自备筐",N(对接源_02物料!$T230)&lt;&gt;0)),1,0)</f>
        <v>0</v>
      </c>
      <c r="Y1430" s="1" t="n">
        <f aca="false">N(Y1429)+$X1430</f>
        <v>0</v>
      </c>
      <c r="Z1430" s="1" t="n">
        <f aca="false">IF(AND($M1430=1,对接源_02物料!$D230="原料入库"),1,0)</f>
        <v>0</v>
      </c>
      <c r="AA1430" s="1" t="n">
        <f aca="false">N(AA1429)+$Z1430</f>
        <v>30</v>
      </c>
      <c r="AB1430" s="1" t="n">
        <f aca="false">IF(AND($M1430=1,LEFT(对接源_02物料!$D230,4)="原料出库"),1,0)</f>
        <v>0</v>
      </c>
      <c r="AC1430" s="1" t="n">
        <f aca="false">N(AC1429)+$AB1430</f>
        <v>19</v>
      </c>
      <c r="AD1430" s="1" t="n">
        <f aca="false">IF(AND($M1430=1,LEFT(对接源_02物料!$D230,4)="成品出库"),1,0)</f>
        <v>0</v>
      </c>
      <c r="AE1430" s="1" t="n">
        <f aca="false">N(AE1429)+$AD1430</f>
        <v>38</v>
      </c>
      <c r="AF1430" s="1" t="n">
        <f aca="false">IF(AND($N1430=1,AND(LEFT(对接源_02物料!$D230,4)="包装物料",N(对接源_02物料!$K230)&lt;&gt;0)),1,0)</f>
        <v>0</v>
      </c>
      <c r="AG1430" s="1" t="n">
        <f aca="false">N(AG1429)+$AF1430</f>
        <v>6</v>
      </c>
      <c r="AH1430" s="1" t="n">
        <f aca="false">IF(AND($N1430=1,AND(LEFT(对接源_02物料!$D230,3)="周转筐",N(对接源_02物料!$K230)&lt;&gt;0)),1,0)</f>
        <v>0</v>
      </c>
      <c r="AI1430" s="1" t="n">
        <f aca="false">N(AI1429)+$AH1430</f>
        <v>0</v>
      </c>
      <c r="AJ1430" s="1" t="n">
        <v>0</v>
      </c>
      <c r="AK1430" s="1" t="n">
        <f aca="false">N(AK1429)+$AJ1430</f>
        <v>3672</v>
      </c>
    </row>
    <row r="1431" customFormat="false" ht="13.5" hidden="false" customHeight="false" outlineLevel="0" collapsed="false">
      <c r="A1431" s="1" t="str">
        <f aca="false">IF(对接源_02物料!$C231="","",对接源_02物料!$C231)</f>
        <v/>
      </c>
      <c r="B1431" s="1" t="n">
        <f aca="false">IF(A1431="",0,IF(MATCH(A1431,$A$4:$A$2403,0)=ROW()-3,1,0))</f>
        <v>0</v>
      </c>
      <c r="C1431" s="1" t="n">
        <f aca="false">N(C1430)+B1431</f>
        <v>17</v>
      </c>
      <c r="K1431" s="1" t="n">
        <f aca="false">IF(OR($K$1="",对接源_02物料!$C231="",对接源_02物料!$C231&lt;&gt;$K$1,对接源_02物料!$B231=""),0,IF(OR(N(对接源_02物料!$B231)&lt;$K$2,N(对接源_02物料!$B231)&gt;$K$3),0,1))</f>
        <v>0</v>
      </c>
      <c r="L1431" s="1" t="n">
        <f aca="false">IF(OR($L$1="",对接源_02物料!$C231="",对接源_02物料!$C231&lt;&gt;$L$1,对接源_02物料!$B231=""),0,IF(OR(N(对接源_02物料!$B231)&lt;$L$2,N(对接源_02物料!$B231)&gt;$L$3),0,1))</f>
        <v>0</v>
      </c>
      <c r="M1431" s="1" t="n">
        <f aca="false">IF(OR($M$1="",对接源_02物料!$C231="",对接源_02物料!$C231&lt;&gt;$M$1,对接源_02物料!$B231=""),0,IF(OR(N(对接源_02物料!$B231)&lt;$M$2,N(对接源_02物料!$B231)&gt;$M$3),0,1))</f>
        <v>0</v>
      </c>
      <c r="N1431" s="1" t="n">
        <f aca="false">IF(OR($N$1="",对接源_02物料!$C231="",对接源_02物料!$C231&lt;&gt;$N$1,对接源_02物料!$B231=""),0,IF(OR(N(对接源_02物料!$B231)&lt;$N$2,N(对接源_02物料!$B231)&gt;$N$3),0,1))</f>
        <v>0</v>
      </c>
      <c r="P1431" s="1" t="n">
        <f aca="false">IF(AND($K1431=1,AND(对接源_02物料!$X231="公司筐",N(对接源_02物料!$T231)&lt;&gt;0)),1,0)</f>
        <v>0</v>
      </c>
      <c r="Q1431" s="1" t="n">
        <f aca="false">N(Q1430)+$P1431</f>
        <v>13</v>
      </c>
      <c r="R1431" s="1" t="n">
        <f aca="false">IF(AND($K1431=1,AND(对接源_02物料!$X231="公司筐",N(对接源_02物料!$U231)&lt;&gt;0)),1,0)</f>
        <v>0</v>
      </c>
      <c r="S1431" s="1" t="n">
        <f aca="false">N(S1430)+$R1431</f>
        <v>5</v>
      </c>
      <c r="T1431" s="1" t="n">
        <f aca="false">IF(AND($K1431=1,AND(对接源_02物料!$X231="公司筐",N(对接源_02物料!$V231)&lt;&gt;0)),1,0)</f>
        <v>0</v>
      </c>
      <c r="U1431" s="1" t="n">
        <f aca="false">N(U1430)+$T1431</f>
        <v>28</v>
      </c>
      <c r="V1431" s="1" t="n">
        <f aca="false">IF(AND($L1431=1,AND(对接源_02物料!$X231="自备筐",N(对接源_02物料!$V231)&lt;&gt;0)),1,0)</f>
        <v>0</v>
      </c>
      <c r="W1431" s="1" t="n">
        <f aca="false">N(W1430)+$V1431</f>
        <v>7</v>
      </c>
      <c r="X1431" s="1" t="n">
        <f aca="false">IF(AND($L1431=1,AND(对接源_02物料!$X231="自备筐",N(对接源_02物料!$T231)&lt;&gt;0)),1,0)</f>
        <v>0</v>
      </c>
      <c r="Y1431" s="1" t="n">
        <f aca="false">N(Y1430)+$X1431</f>
        <v>0</v>
      </c>
      <c r="Z1431" s="1" t="n">
        <f aca="false">IF(AND($M1431=1,对接源_02物料!$D231="原料入库"),1,0)</f>
        <v>0</v>
      </c>
      <c r="AA1431" s="1" t="n">
        <f aca="false">N(AA1430)+$Z1431</f>
        <v>30</v>
      </c>
      <c r="AB1431" s="1" t="n">
        <f aca="false">IF(AND($M1431=1,LEFT(对接源_02物料!$D231,4)="原料出库"),1,0)</f>
        <v>0</v>
      </c>
      <c r="AC1431" s="1" t="n">
        <f aca="false">N(AC1430)+$AB1431</f>
        <v>19</v>
      </c>
      <c r="AD1431" s="1" t="n">
        <f aca="false">IF(AND($M1431=1,LEFT(对接源_02物料!$D231,4)="成品出库"),1,0)</f>
        <v>0</v>
      </c>
      <c r="AE1431" s="1" t="n">
        <f aca="false">N(AE1430)+$AD1431</f>
        <v>38</v>
      </c>
      <c r="AF1431" s="1" t="n">
        <f aca="false">IF(AND($N1431=1,AND(LEFT(对接源_02物料!$D231,4)="包装物料",N(对接源_02物料!$K231)&lt;&gt;0)),1,0)</f>
        <v>0</v>
      </c>
      <c r="AG1431" s="1" t="n">
        <f aca="false">N(AG1430)+$AF1431</f>
        <v>6</v>
      </c>
      <c r="AH1431" s="1" t="n">
        <f aca="false">IF(AND($N1431=1,AND(LEFT(对接源_02物料!$D231,3)="周转筐",N(对接源_02物料!$K231)&lt;&gt;0)),1,0)</f>
        <v>0</v>
      </c>
      <c r="AI1431" s="1" t="n">
        <f aca="false">N(AI1430)+$AH1431</f>
        <v>0</v>
      </c>
      <c r="AJ1431" s="1" t="n">
        <v>0</v>
      </c>
      <c r="AK1431" s="1" t="n">
        <f aca="false">N(AK1430)+$AJ1431</f>
        <v>3672</v>
      </c>
    </row>
    <row r="1432" customFormat="false" ht="13.5" hidden="false" customHeight="false" outlineLevel="0" collapsed="false">
      <c r="A1432" s="1" t="str">
        <f aca="false">IF(对接源_02物料!$C232="","",对接源_02物料!$C232)</f>
        <v/>
      </c>
      <c r="B1432" s="1" t="n">
        <f aca="false">IF(A1432="",0,IF(MATCH(A1432,$A$4:$A$2403,0)=ROW()-3,1,0))</f>
        <v>0</v>
      </c>
      <c r="C1432" s="1" t="n">
        <f aca="false">N(C1431)+B1432</f>
        <v>17</v>
      </c>
      <c r="K1432" s="1" t="n">
        <f aca="false">IF(OR($K$1="",对接源_02物料!$C232="",对接源_02物料!$C232&lt;&gt;$K$1,对接源_02物料!$B232=""),0,IF(OR(N(对接源_02物料!$B232)&lt;$K$2,N(对接源_02物料!$B232)&gt;$K$3),0,1))</f>
        <v>0</v>
      </c>
      <c r="L1432" s="1" t="n">
        <f aca="false">IF(OR($L$1="",对接源_02物料!$C232="",对接源_02物料!$C232&lt;&gt;$L$1,对接源_02物料!$B232=""),0,IF(OR(N(对接源_02物料!$B232)&lt;$L$2,N(对接源_02物料!$B232)&gt;$L$3),0,1))</f>
        <v>0</v>
      </c>
      <c r="M1432" s="1" t="n">
        <f aca="false">IF(OR($M$1="",对接源_02物料!$C232="",对接源_02物料!$C232&lt;&gt;$M$1,对接源_02物料!$B232=""),0,IF(OR(N(对接源_02物料!$B232)&lt;$M$2,N(对接源_02物料!$B232)&gt;$M$3),0,1))</f>
        <v>0</v>
      </c>
      <c r="N1432" s="1" t="n">
        <f aca="false">IF(OR($N$1="",对接源_02物料!$C232="",对接源_02物料!$C232&lt;&gt;$N$1,对接源_02物料!$B232=""),0,IF(OR(N(对接源_02物料!$B232)&lt;$N$2,N(对接源_02物料!$B232)&gt;$N$3),0,1))</f>
        <v>0</v>
      </c>
      <c r="P1432" s="1" t="n">
        <f aca="false">IF(AND($K1432=1,AND(对接源_02物料!$X232="公司筐",N(对接源_02物料!$T232)&lt;&gt;0)),1,0)</f>
        <v>0</v>
      </c>
      <c r="Q1432" s="1" t="n">
        <f aca="false">N(Q1431)+$P1432</f>
        <v>13</v>
      </c>
      <c r="R1432" s="1" t="n">
        <f aca="false">IF(AND($K1432=1,AND(对接源_02物料!$X232="公司筐",N(对接源_02物料!$U232)&lt;&gt;0)),1,0)</f>
        <v>0</v>
      </c>
      <c r="S1432" s="1" t="n">
        <f aca="false">N(S1431)+$R1432</f>
        <v>5</v>
      </c>
      <c r="T1432" s="1" t="n">
        <f aca="false">IF(AND($K1432=1,AND(对接源_02物料!$X232="公司筐",N(对接源_02物料!$V232)&lt;&gt;0)),1,0)</f>
        <v>0</v>
      </c>
      <c r="U1432" s="1" t="n">
        <f aca="false">N(U1431)+$T1432</f>
        <v>28</v>
      </c>
      <c r="V1432" s="1" t="n">
        <f aca="false">IF(AND($L1432=1,AND(对接源_02物料!$X232="自备筐",N(对接源_02物料!$V232)&lt;&gt;0)),1,0)</f>
        <v>0</v>
      </c>
      <c r="W1432" s="1" t="n">
        <f aca="false">N(W1431)+$V1432</f>
        <v>7</v>
      </c>
      <c r="X1432" s="1" t="n">
        <f aca="false">IF(AND($L1432=1,AND(对接源_02物料!$X232="自备筐",N(对接源_02物料!$T232)&lt;&gt;0)),1,0)</f>
        <v>0</v>
      </c>
      <c r="Y1432" s="1" t="n">
        <f aca="false">N(Y1431)+$X1432</f>
        <v>0</v>
      </c>
      <c r="Z1432" s="1" t="n">
        <f aca="false">IF(AND($M1432=1,对接源_02物料!$D232="原料入库"),1,0)</f>
        <v>0</v>
      </c>
      <c r="AA1432" s="1" t="n">
        <f aca="false">N(AA1431)+$Z1432</f>
        <v>30</v>
      </c>
      <c r="AB1432" s="1" t="n">
        <f aca="false">IF(AND($M1432=1,LEFT(对接源_02物料!$D232,4)="原料出库"),1,0)</f>
        <v>0</v>
      </c>
      <c r="AC1432" s="1" t="n">
        <f aca="false">N(AC1431)+$AB1432</f>
        <v>19</v>
      </c>
      <c r="AD1432" s="1" t="n">
        <f aca="false">IF(AND($M1432=1,LEFT(对接源_02物料!$D232,4)="成品出库"),1,0)</f>
        <v>0</v>
      </c>
      <c r="AE1432" s="1" t="n">
        <f aca="false">N(AE1431)+$AD1432</f>
        <v>38</v>
      </c>
      <c r="AF1432" s="1" t="n">
        <f aca="false">IF(AND($N1432=1,AND(LEFT(对接源_02物料!$D232,4)="包装物料",N(对接源_02物料!$K232)&lt;&gt;0)),1,0)</f>
        <v>0</v>
      </c>
      <c r="AG1432" s="1" t="n">
        <f aca="false">N(AG1431)+$AF1432</f>
        <v>6</v>
      </c>
      <c r="AH1432" s="1" t="n">
        <f aca="false">IF(AND($N1432=1,AND(LEFT(对接源_02物料!$D232,3)="周转筐",N(对接源_02物料!$K232)&lt;&gt;0)),1,0)</f>
        <v>0</v>
      </c>
      <c r="AI1432" s="1" t="n">
        <f aca="false">N(AI1431)+$AH1432</f>
        <v>0</v>
      </c>
      <c r="AJ1432" s="1" t="n">
        <v>0</v>
      </c>
      <c r="AK1432" s="1" t="n">
        <f aca="false">N(AK1431)+$AJ1432</f>
        <v>3672</v>
      </c>
    </row>
    <row r="1433" customFormat="false" ht="13.5" hidden="false" customHeight="false" outlineLevel="0" collapsed="false">
      <c r="A1433" s="1" t="str">
        <f aca="false">IF(对接源_02物料!$C233="","",对接源_02物料!$C233)</f>
        <v/>
      </c>
      <c r="B1433" s="1" t="n">
        <f aca="false">IF(A1433="",0,IF(MATCH(A1433,$A$4:$A$2403,0)=ROW()-3,1,0))</f>
        <v>0</v>
      </c>
      <c r="C1433" s="1" t="n">
        <f aca="false">N(C1432)+B1433</f>
        <v>17</v>
      </c>
      <c r="K1433" s="1" t="n">
        <f aca="false">IF(OR($K$1="",对接源_02物料!$C233="",对接源_02物料!$C233&lt;&gt;$K$1,对接源_02物料!$B233=""),0,IF(OR(N(对接源_02物料!$B233)&lt;$K$2,N(对接源_02物料!$B233)&gt;$K$3),0,1))</f>
        <v>0</v>
      </c>
      <c r="L1433" s="1" t="n">
        <f aca="false">IF(OR($L$1="",对接源_02物料!$C233="",对接源_02物料!$C233&lt;&gt;$L$1,对接源_02物料!$B233=""),0,IF(OR(N(对接源_02物料!$B233)&lt;$L$2,N(对接源_02物料!$B233)&gt;$L$3),0,1))</f>
        <v>0</v>
      </c>
      <c r="M1433" s="1" t="n">
        <f aca="false">IF(OR($M$1="",对接源_02物料!$C233="",对接源_02物料!$C233&lt;&gt;$M$1,对接源_02物料!$B233=""),0,IF(OR(N(对接源_02物料!$B233)&lt;$M$2,N(对接源_02物料!$B233)&gt;$M$3),0,1))</f>
        <v>0</v>
      </c>
      <c r="N1433" s="1" t="n">
        <f aca="false">IF(OR($N$1="",对接源_02物料!$C233="",对接源_02物料!$C233&lt;&gt;$N$1,对接源_02物料!$B233=""),0,IF(OR(N(对接源_02物料!$B233)&lt;$N$2,N(对接源_02物料!$B233)&gt;$N$3),0,1))</f>
        <v>0</v>
      </c>
      <c r="P1433" s="1" t="n">
        <f aca="false">IF(AND($K1433=1,AND(对接源_02物料!$X233="公司筐",N(对接源_02物料!$T233)&lt;&gt;0)),1,0)</f>
        <v>0</v>
      </c>
      <c r="Q1433" s="1" t="n">
        <f aca="false">N(Q1432)+$P1433</f>
        <v>13</v>
      </c>
      <c r="R1433" s="1" t="n">
        <f aca="false">IF(AND($K1433=1,AND(对接源_02物料!$X233="公司筐",N(对接源_02物料!$U233)&lt;&gt;0)),1,0)</f>
        <v>0</v>
      </c>
      <c r="S1433" s="1" t="n">
        <f aca="false">N(S1432)+$R1433</f>
        <v>5</v>
      </c>
      <c r="T1433" s="1" t="n">
        <f aca="false">IF(AND($K1433=1,AND(对接源_02物料!$X233="公司筐",N(对接源_02物料!$V233)&lt;&gt;0)),1,0)</f>
        <v>0</v>
      </c>
      <c r="U1433" s="1" t="n">
        <f aca="false">N(U1432)+$T1433</f>
        <v>28</v>
      </c>
      <c r="V1433" s="1" t="n">
        <f aca="false">IF(AND($L1433=1,AND(对接源_02物料!$X233="自备筐",N(对接源_02物料!$V233)&lt;&gt;0)),1,0)</f>
        <v>0</v>
      </c>
      <c r="W1433" s="1" t="n">
        <f aca="false">N(W1432)+$V1433</f>
        <v>7</v>
      </c>
      <c r="X1433" s="1" t="n">
        <f aca="false">IF(AND($L1433=1,AND(对接源_02物料!$X233="自备筐",N(对接源_02物料!$T233)&lt;&gt;0)),1,0)</f>
        <v>0</v>
      </c>
      <c r="Y1433" s="1" t="n">
        <f aca="false">N(Y1432)+$X1433</f>
        <v>0</v>
      </c>
      <c r="Z1433" s="1" t="n">
        <f aca="false">IF(AND($M1433=1,对接源_02物料!$D233="原料入库"),1,0)</f>
        <v>0</v>
      </c>
      <c r="AA1433" s="1" t="n">
        <f aca="false">N(AA1432)+$Z1433</f>
        <v>30</v>
      </c>
      <c r="AB1433" s="1" t="n">
        <f aca="false">IF(AND($M1433=1,LEFT(对接源_02物料!$D233,4)="原料出库"),1,0)</f>
        <v>0</v>
      </c>
      <c r="AC1433" s="1" t="n">
        <f aca="false">N(AC1432)+$AB1433</f>
        <v>19</v>
      </c>
      <c r="AD1433" s="1" t="n">
        <f aca="false">IF(AND($M1433=1,LEFT(对接源_02物料!$D233,4)="成品出库"),1,0)</f>
        <v>0</v>
      </c>
      <c r="AE1433" s="1" t="n">
        <f aca="false">N(AE1432)+$AD1433</f>
        <v>38</v>
      </c>
      <c r="AF1433" s="1" t="n">
        <f aca="false">IF(AND($N1433=1,AND(LEFT(对接源_02物料!$D233,4)="包装物料",N(对接源_02物料!$K233)&lt;&gt;0)),1,0)</f>
        <v>0</v>
      </c>
      <c r="AG1433" s="1" t="n">
        <f aca="false">N(AG1432)+$AF1433</f>
        <v>6</v>
      </c>
      <c r="AH1433" s="1" t="n">
        <f aca="false">IF(AND($N1433=1,AND(LEFT(对接源_02物料!$D233,3)="周转筐",N(对接源_02物料!$K233)&lt;&gt;0)),1,0)</f>
        <v>0</v>
      </c>
      <c r="AI1433" s="1" t="n">
        <f aca="false">N(AI1432)+$AH1433</f>
        <v>0</v>
      </c>
      <c r="AJ1433" s="1" t="n">
        <v>0</v>
      </c>
      <c r="AK1433" s="1" t="n">
        <f aca="false">N(AK1432)+$AJ1433</f>
        <v>3672</v>
      </c>
    </row>
    <row r="1434" customFormat="false" ht="13.5" hidden="false" customHeight="false" outlineLevel="0" collapsed="false">
      <c r="A1434" s="1" t="str">
        <f aca="false">IF(对接源_02物料!$C234="","",对接源_02物料!$C234)</f>
        <v/>
      </c>
      <c r="B1434" s="1" t="n">
        <f aca="false">IF(A1434="",0,IF(MATCH(A1434,$A$4:$A$2403,0)=ROW()-3,1,0))</f>
        <v>0</v>
      </c>
      <c r="C1434" s="1" t="n">
        <f aca="false">N(C1433)+B1434</f>
        <v>17</v>
      </c>
      <c r="K1434" s="1" t="n">
        <f aca="false">IF(OR($K$1="",对接源_02物料!$C234="",对接源_02物料!$C234&lt;&gt;$K$1,对接源_02物料!$B234=""),0,IF(OR(N(对接源_02物料!$B234)&lt;$K$2,N(对接源_02物料!$B234)&gt;$K$3),0,1))</f>
        <v>0</v>
      </c>
      <c r="L1434" s="1" t="n">
        <f aca="false">IF(OR($L$1="",对接源_02物料!$C234="",对接源_02物料!$C234&lt;&gt;$L$1,对接源_02物料!$B234=""),0,IF(OR(N(对接源_02物料!$B234)&lt;$L$2,N(对接源_02物料!$B234)&gt;$L$3),0,1))</f>
        <v>0</v>
      </c>
      <c r="M1434" s="1" t="n">
        <f aca="false">IF(OR($M$1="",对接源_02物料!$C234="",对接源_02物料!$C234&lt;&gt;$M$1,对接源_02物料!$B234=""),0,IF(OR(N(对接源_02物料!$B234)&lt;$M$2,N(对接源_02物料!$B234)&gt;$M$3),0,1))</f>
        <v>0</v>
      </c>
      <c r="N1434" s="1" t="n">
        <f aca="false">IF(OR($N$1="",对接源_02物料!$C234="",对接源_02物料!$C234&lt;&gt;$N$1,对接源_02物料!$B234=""),0,IF(OR(N(对接源_02物料!$B234)&lt;$N$2,N(对接源_02物料!$B234)&gt;$N$3),0,1))</f>
        <v>0</v>
      </c>
      <c r="P1434" s="1" t="n">
        <f aca="false">IF(AND($K1434=1,AND(对接源_02物料!$X234="公司筐",N(对接源_02物料!$T234)&lt;&gt;0)),1,0)</f>
        <v>0</v>
      </c>
      <c r="Q1434" s="1" t="n">
        <f aca="false">N(Q1433)+$P1434</f>
        <v>13</v>
      </c>
      <c r="R1434" s="1" t="n">
        <f aca="false">IF(AND($K1434=1,AND(对接源_02物料!$X234="公司筐",N(对接源_02物料!$U234)&lt;&gt;0)),1,0)</f>
        <v>0</v>
      </c>
      <c r="S1434" s="1" t="n">
        <f aca="false">N(S1433)+$R1434</f>
        <v>5</v>
      </c>
      <c r="T1434" s="1" t="n">
        <f aca="false">IF(AND($K1434=1,AND(对接源_02物料!$X234="公司筐",N(对接源_02物料!$V234)&lt;&gt;0)),1,0)</f>
        <v>0</v>
      </c>
      <c r="U1434" s="1" t="n">
        <f aca="false">N(U1433)+$T1434</f>
        <v>28</v>
      </c>
      <c r="V1434" s="1" t="n">
        <f aca="false">IF(AND($L1434=1,AND(对接源_02物料!$X234="自备筐",N(对接源_02物料!$V234)&lt;&gt;0)),1,0)</f>
        <v>0</v>
      </c>
      <c r="W1434" s="1" t="n">
        <f aca="false">N(W1433)+$V1434</f>
        <v>7</v>
      </c>
      <c r="X1434" s="1" t="n">
        <f aca="false">IF(AND($L1434=1,AND(对接源_02物料!$X234="自备筐",N(对接源_02物料!$T234)&lt;&gt;0)),1,0)</f>
        <v>0</v>
      </c>
      <c r="Y1434" s="1" t="n">
        <f aca="false">N(Y1433)+$X1434</f>
        <v>0</v>
      </c>
      <c r="Z1434" s="1" t="n">
        <f aca="false">IF(AND($M1434=1,对接源_02物料!$D234="原料入库"),1,0)</f>
        <v>0</v>
      </c>
      <c r="AA1434" s="1" t="n">
        <f aca="false">N(AA1433)+$Z1434</f>
        <v>30</v>
      </c>
      <c r="AB1434" s="1" t="n">
        <f aca="false">IF(AND($M1434=1,LEFT(对接源_02物料!$D234,4)="原料出库"),1,0)</f>
        <v>0</v>
      </c>
      <c r="AC1434" s="1" t="n">
        <f aca="false">N(AC1433)+$AB1434</f>
        <v>19</v>
      </c>
      <c r="AD1434" s="1" t="n">
        <f aca="false">IF(AND($M1434=1,LEFT(对接源_02物料!$D234,4)="成品出库"),1,0)</f>
        <v>0</v>
      </c>
      <c r="AE1434" s="1" t="n">
        <f aca="false">N(AE1433)+$AD1434</f>
        <v>38</v>
      </c>
      <c r="AF1434" s="1" t="n">
        <f aca="false">IF(AND($N1434=1,AND(LEFT(对接源_02物料!$D234,4)="包装物料",N(对接源_02物料!$K234)&lt;&gt;0)),1,0)</f>
        <v>0</v>
      </c>
      <c r="AG1434" s="1" t="n">
        <f aca="false">N(AG1433)+$AF1434</f>
        <v>6</v>
      </c>
      <c r="AH1434" s="1" t="n">
        <f aca="false">IF(AND($N1434=1,AND(LEFT(对接源_02物料!$D234,3)="周转筐",N(对接源_02物料!$K234)&lt;&gt;0)),1,0)</f>
        <v>0</v>
      </c>
      <c r="AI1434" s="1" t="n">
        <f aca="false">N(AI1433)+$AH1434</f>
        <v>0</v>
      </c>
      <c r="AJ1434" s="1" t="n">
        <v>0</v>
      </c>
      <c r="AK1434" s="1" t="n">
        <f aca="false">N(AK1433)+$AJ1434</f>
        <v>3672</v>
      </c>
    </row>
    <row r="1435" customFormat="false" ht="13.5" hidden="false" customHeight="false" outlineLevel="0" collapsed="false">
      <c r="A1435" s="1" t="str">
        <f aca="false">IF(对接源_02物料!$C235="","",对接源_02物料!$C235)</f>
        <v/>
      </c>
      <c r="B1435" s="1" t="n">
        <f aca="false">IF(A1435="",0,IF(MATCH(A1435,$A$4:$A$2403,0)=ROW()-3,1,0))</f>
        <v>0</v>
      </c>
      <c r="C1435" s="1" t="n">
        <f aca="false">N(C1434)+B1435</f>
        <v>17</v>
      </c>
      <c r="K1435" s="1" t="n">
        <f aca="false">IF(OR($K$1="",对接源_02物料!$C235="",对接源_02物料!$C235&lt;&gt;$K$1,对接源_02物料!$B235=""),0,IF(OR(N(对接源_02物料!$B235)&lt;$K$2,N(对接源_02物料!$B235)&gt;$K$3),0,1))</f>
        <v>0</v>
      </c>
      <c r="L1435" s="1" t="n">
        <f aca="false">IF(OR($L$1="",对接源_02物料!$C235="",对接源_02物料!$C235&lt;&gt;$L$1,对接源_02物料!$B235=""),0,IF(OR(N(对接源_02物料!$B235)&lt;$L$2,N(对接源_02物料!$B235)&gt;$L$3),0,1))</f>
        <v>0</v>
      </c>
      <c r="M1435" s="1" t="n">
        <f aca="false">IF(OR($M$1="",对接源_02物料!$C235="",对接源_02物料!$C235&lt;&gt;$M$1,对接源_02物料!$B235=""),0,IF(OR(N(对接源_02物料!$B235)&lt;$M$2,N(对接源_02物料!$B235)&gt;$M$3),0,1))</f>
        <v>0</v>
      </c>
      <c r="N1435" s="1" t="n">
        <f aca="false">IF(OR($N$1="",对接源_02物料!$C235="",对接源_02物料!$C235&lt;&gt;$N$1,对接源_02物料!$B235=""),0,IF(OR(N(对接源_02物料!$B235)&lt;$N$2,N(对接源_02物料!$B235)&gt;$N$3),0,1))</f>
        <v>0</v>
      </c>
      <c r="P1435" s="1" t="n">
        <f aca="false">IF(AND($K1435=1,AND(对接源_02物料!$X235="公司筐",N(对接源_02物料!$T235)&lt;&gt;0)),1,0)</f>
        <v>0</v>
      </c>
      <c r="Q1435" s="1" t="n">
        <f aca="false">N(Q1434)+$P1435</f>
        <v>13</v>
      </c>
      <c r="R1435" s="1" t="n">
        <f aca="false">IF(AND($K1435=1,AND(对接源_02物料!$X235="公司筐",N(对接源_02物料!$U235)&lt;&gt;0)),1,0)</f>
        <v>0</v>
      </c>
      <c r="S1435" s="1" t="n">
        <f aca="false">N(S1434)+$R1435</f>
        <v>5</v>
      </c>
      <c r="T1435" s="1" t="n">
        <f aca="false">IF(AND($K1435=1,AND(对接源_02物料!$X235="公司筐",N(对接源_02物料!$V235)&lt;&gt;0)),1,0)</f>
        <v>0</v>
      </c>
      <c r="U1435" s="1" t="n">
        <f aca="false">N(U1434)+$T1435</f>
        <v>28</v>
      </c>
      <c r="V1435" s="1" t="n">
        <f aca="false">IF(AND($L1435=1,AND(对接源_02物料!$X235="自备筐",N(对接源_02物料!$V235)&lt;&gt;0)),1,0)</f>
        <v>0</v>
      </c>
      <c r="W1435" s="1" t="n">
        <f aca="false">N(W1434)+$V1435</f>
        <v>7</v>
      </c>
      <c r="X1435" s="1" t="n">
        <f aca="false">IF(AND($L1435=1,AND(对接源_02物料!$X235="自备筐",N(对接源_02物料!$T235)&lt;&gt;0)),1,0)</f>
        <v>0</v>
      </c>
      <c r="Y1435" s="1" t="n">
        <f aca="false">N(Y1434)+$X1435</f>
        <v>0</v>
      </c>
      <c r="Z1435" s="1" t="n">
        <f aca="false">IF(AND($M1435=1,对接源_02物料!$D235="原料入库"),1,0)</f>
        <v>0</v>
      </c>
      <c r="AA1435" s="1" t="n">
        <f aca="false">N(AA1434)+$Z1435</f>
        <v>30</v>
      </c>
      <c r="AB1435" s="1" t="n">
        <f aca="false">IF(AND($M1435=1,LEFT(对接源_02物料!$D235,4)="原料出库"),1,0)</f>
        <v>0</v>
      </c>
      <c r="AC1435" s="1" t="n">
        <f aca="false">N(AC1434)+$AB1435</f>
        <v>19</v>
      </c>
      <c r="AD1435" s="1" t="n">
        <f aca="false">IF(AND($M1435=1,LEFT(对接源_02物料!$D235,4)="成品出库"),1,0)</f>
        <v>0</v>
      </c>
      <c r="AE1435" s="1" t="n">
        <f aca="false">N(AE1434)+$AD1435</f>
        <v>38</v>
      </c>
      <c r="AF1435" s="1" t="n">
        <f aca="false">IF(AND($N1435=1,AND(LEFT(对接源_02物料!$D235,4)="包装物料",N(对接源_02物料!$K235)&lt;&gt;0)),1,0)</f>
        <v>0</v>
      </c>
      <c r="AG1435" s="1" t="n">
        <f aca="false">N(AG1434)+$AF1435</f>
        <v>6</v>
      </c>
      <c r="AH1435" s="1" t="n">
        <f aca="false">IF(AND($N1435=1,AND(LEFT(对接源_02物料!$D235,3)="周转筐",N(对接源_02物料!$K235)&lt;&gt;0)),1,0)</f>
        <v>0</v>
      </c>
      <c r="AI1435" s="1" t="n">
        <f aca="false">N(AI1434)+$AH1435</f>
        <v>0</v>
      </c>
      <c r="AJ1435" s="1" t="n">
        <v>0</v>
      </c>
      <c r="AK1435" s="1" t="n">
        <f aca="false">N(AK1434)+$AJ1435</f>
        <v>3672</v>
      </c>
    </row>
    <row r="1436" customFormat="false" ht="13.5" hidden="false" customHeight="false" outlineLevel="0" collapsed="false">
      <c r="A1436" s="1" t="str">
        <f aca="false">IF(对接源_02物料!$C236="","",对接源_02物料!$C236)</f>
        <v/>
      </c>
      <c r="B1436" s="1" t="n">
        <f aca="false">IF(A1436="",0,IF(MATCH(A1436,$A$4:$A$2403,0)=ROW()-3,1,0))</f>
        <v>0</v>
      </c>
      <c r="C1436" s="1" t="n">
        <f aca="false">N(C1435)+B1436</f>
        <v>17</v>
      </c>
      <c r="K1436" s="1" t="n">
        <f aca="false">IF(OR($K$1="",对接源_02物料!$C236="",对接源_02物料!$C236&lt;&gt;$K$1,对接源_02物料!$B236=""),0,IF(OR(N(对接源_02物料!$B236)&lt;$K$2,N(对接源_02物料!$B236)&gt;$K$3),0,1))</f>
        <v>0</v>
      </c>
      <c r="L1436" s="1" t="n">
        <f aca="false">IF(OR($L$1="",对接源_02物料!$C236="",对接源_02物料!$C236&lt;&gt;$L$1,对接源_02物料!$B236=""),0,IF(OR(N(对接源_02物料!$B236)&lt;$L$2,N(对接源_02物料!$B236)&gt;$L$3),0,1))</f>
        <v>0</v>
      </c>
      <c r="M1436" s="1" t="n">
        <f aca="false">IF(OR($M$1="",对接源_02物料!$C236="",对接源_02物料!$C236&lt;&gt;$M$1,对接源_02物料!$B236=""),0,IF(OR(N(对接源_02物料!$B236)&lt;$M$2,N(对接源_02物料!$B236)&gt;$M$3),0,1))</f>
        <v>0</v>
      </c>
      <c r="N1436" s="1" t="n">
        <f aca="false">IF(OR($N$1="",对接源_02物料!$C236="",对接源_02物料!$C236&lt;&gt;$N$1,对接源_02物料!$B236=""),0,IF(OR(N(对接源_02物料!$B236)&lt;$N$2,N(对接源_02物料!$B236)&gt;$N$3),0,1))</f>
        <v>0</v>
      </c>
      <c r="P1436" s="1" t="n">
        <f aca="false">IF(AND($K1436=1,AND(对接源_02物料!$X236="公司筐",N(对接源_02物料!$T236)&lt;&gt;0)),1,0)</f>
        <v>0</v>
      </c>
      <c r="Q1436" s="1" t="n">
        <f aca="false">N(Q1435)+$P1436</f>
        <v>13</v>
      </c>
      <c r="R1436" s="1" t="n">
        <f aca="false">IF(AND($K1436=1,AND(对接源_02物料!$X236="公司筐",N(对接源_02物料!$U236)&lt;&gt;0)),1,0)</f>
        <v>0</v>
      </c>
      <c r="S1436" s="1" t="n">
        <f aca="false">N(S1435)+$R1436</f>
        <v>5</v>
      </c>
      <c r="T1436" s="1" t="n">
        <f aca="false">IF(AND($K1436=1,AND(对接源_02物料!$X236="公司筐",N(对接源_02物料!$V236)&lt;&gt;0)),1,0)</f>
        <v>0</v>
      </c>
      <c r="U1436" s="1" t="n">
        <f aca="false">N(U1435)+$T1436</f>
        <v>28</v>
      </c>
      <c r="V1436" s="1" t="n">
        <f aca="false">IF(AND($L1436=1,AND(对接源_02物料!$X236="自备筐",N(对接源_02物料!$V236)&lt;&gt;0)),1,0)</f>
        <v>0</v>
      </c>
      <c r="W1436" s="1" t="n">
        <f aca="false">N(W1435)+$V1436</f>
        <v>7</v>
      </c>
      <c r="X1436" s="1" t="n">
        <f aca="false">IF(AND($L1436=1,AND(对接源_02物料!$X236="自备筐",N(对接源_02物料!$T236)&lt;&gt;0)),1,0)</f>
        <v>0</v>
      </c>
      <c r="Y1436" s="1" t="n">
        <f aca="false">N(Y1435)+$X1436</f>
        <v>0</v>
      </c>
      <c r="Z1436" s="1" t="n">
        <f aca="false">IF(AND($M1436=1,对接源_02物料!$D236="原料入库"),1,0)</f>
        <v>0</v>
      </c>
      <c r="AA1436" s="1" t="n">
        <f aca="false">N(AA1435)+$Z1436</f>
        <v>30</v>
      </c>
      <c r="AB1436" s="1" t="n">
        <f aca="false">IF(AND($M1436=1,LEFT(对接源_02物料!$D236,4)="原料出库"),1,0)</f>
        <v>0</v>
      </c>
      <c r="AC1436" s="1" t="n">
        <f aca="false">N(AC1435)+$AB1436</f>
        <v>19</v>
      </c>
      <c r="AD1436" s="1" t="n">
        <f aca="false">IF(AND($M1436=1,LEFT(对接源_02物料!$D236,4)="成品出库"),1,0)</f>
        <v>0</v>
      </c>
      <c r="AE1436" s="1" t="n">
        <f aca="false">N(AE1435)+$AD1436</f>
        <v>38</v>
      </c>
      <c r="AF1436" s="1" t="n">
        <f aca="false">IF(AND($N1436=1,AND(LEFT(对接源_02物料!$D236,4)="包装物料",N(对接源_02物料!$K236)&lt;&gt;0)),1,0)</f>
        <v>0</v>
      </c>
      <c r="AG1436" s="1" t="n">
        <f aca="false">N(AG1435)+$AF1436</f>
        <v>6</v>
      </c>
      <c r="AH1436" s="1" t="n">
        <f aca="false">IF(AND($N1436=1,AND(LEFT(对接源_02物料!$D236,3)="周转筐",N(对接源_02物料!$K236)&lt;&gt;0)),1,0)</f>
        <v>0</v>
      </c>
      <c r="AI1436" s="1" t="n">
        <f aca="false">N(AI1435)+$AH1436</f>
        <v>0</v>
      </c>
      <c r="AJ1436" s="1" t="n">
        <v>0</v>
      </c>
      <c r="AK1436" s="1" t="n">
        <f aca="false">N(AK1435)+$AJ1436</f>
        <v>3672</v>
      </c>
    </row>
    <row r="1437" customFormat="false" ht="13.5" hidden="false" customHeight="false" outlineLevel="0" collapsed="false">
      <c r="A1437" s="1" t="str">
        <f aca="false">IF(对接源_02物料!$C237="","",对接源_02物料!$C237)</f>
        <v/>
      </c>
      <c r="B1437" s="1" t="n">
        <f aca="false">IF(A1437="",0,IF(MATCH(A1437,$A$4:$A$2403,0)=ROW()-3,1,0))</f>
        <v>0</v>
      </c>
      <c r="C1437" s="1" t="n">
        <f aca="false">N(C1436)+B1437</f>
        <v>17</v>
      </c>
      <c r="K1437" s="1" t="n">
        <f aca="false">IF(OR($K$1="",对接源_02物料!$C237="",对接源_02物料!$C237&lt;&gt;$K$1,对接源_02物料!$B237=""),0,IF(OR(N(对接源_02物料!$B237)&lt;$K$2,N(对接源_02物料!$B237)&gt;$K$3),0,1))</f>
        <v>0</v>
      </c>
      <c r="L1437" s="1" t="n">
        <f aca="false">IF(OR($L$1="",对接源_02物料!$C237="",对接源_02物料!$C237&lt;&gt;$L$1,对接源_02物料!$B237=""),0,IF(OR(N(对接源_02物料!$B237)&lt;$L$2,N(对接源_02物料!$B237)&gt;$L$3),0,1))</f>
        <v>0</v>
      </c>
      <c r="M1437" s="1" t="n">
        <f aca="false">IF(OR($M$1="",对接源_02物料!$C237="",对接源_02物料!$C237&lt;&gt;$M$1,对接源_02物料!$B237=""),0,IF(OR(N(对接源_02物料!$B237)&lt;$M$2,N(对接源_02物料!$B237)&gt;$M$3),0,1))</f>
        <v>0</v>
      </c>
      <c r="N1437" s="1" t="n">
        <f aca="false">IF(OR($N$1="",对接源_02物料!$C237="",对接源_02物料!$C237&lt;&gt;$N$1,对接源_02物料!$B237=""),0,IF(OR(N(对接源_02物料!$B237)&lt;$N$2,N(对接源_02物料!$B237)&gt;$N$3),0,1))</f>
        <v>0</v>
      </c>
      <c r="P1437" s="1" t="n">
        <f aca="false">IF(AND($K1437=1,AND(对接源_02物料!$X237="公司筐",N(对接源_02物料!$T237)&lt;&gt;0)),1,0)</f>
        <v>0</v>
      </c>
      <c r="Q1437" s="1" t="n">
        <f aca="false">N(Q1436)+$P1437</f>
        <v>13</v>
      </c>
      <c r="R1437" s="1" t="n">
        <f aca="false">IF(AND($K1437=1,AND(对接源_02物料!$X237="公司筐",N(对接源_02物料!$U237)&lt;&gt;0)),1,0)</f>
        <v>0</v>
      </c>
      <c r="S1437" s="1" t="n">
        <f aca="false">N(S1436)+$R1437</f>
        <v>5</v>
      </c>
      <c r="T1437" s="1" t="n">
        <f aca="false">IF(AND($K1437=1,AND(对接源_02物料!$X237="公司筐",N(对接源_02物料!$V237)&lt;&gt;0)),1,0)</f>
        <v>0</v>
      </c>
      <c r="U1437" s="1" t="n">
        <f aca="false">N(U1436)+$T1437</f>
        <v>28</v>
      </c>
      <c r="V1437" s="1" t="n">
        <f aca="false">IF(AND($L1437=1,AND(对接源_02物料!$X237="自备筐",N(对接源_02物料!$V237)&lt;&gt;0)),1,0)</f>
        <v>0</v>
      </c>
      <c r="W1437" s="1" t="n">
        <f aca="false">N(W1436)+$V1437</f>
        <v>7</v>
      </c>
      <c r="X1437" s="1" t="n">
        <f aca="false">IF(AND($L1437=1,AND(对接源_02物料!$X237="自备筐",N(对接源_02物料!$T237)&lt;&gt;0)),1,0)</f>
        <v>0</v>
      </c>
      <c r="Y1437" s="1" t="n">
        <f aca="false">N(Y1436)+$X1437</f>
        <v>0</v>
      </c>
      <c r="Z1437" s="1" t="n">
        <f aca="false">IF(AND($M1437=1,对接源_02物料!$D237="原料入库"),1,0)</f>
        <v>0</v>
      </c>
      <c r="AA1437" s="1" t="n">
        <f aca="false">N(AA1436)+$Z1437</f>
        <v>30</v>
      </c>
      <c r="AB1437" s="1" t="n">
        <f aca="false">IF(AND($M1437=1,LEFT(对接源_02物料!$D237,4)="原料出库"),1,0)</f>
        <v>0</v>
      </c>
      <c r="AC1437" s="1" t="n">
        <f aca="false">N(AC1436)+$AB1437</f>
        <v>19</v>
      </c>
      <c r="AD1437" s="1" t="n">
        <f aca="false">IF(AND($M1437=1,LEFT(对接源_02物料!$D237,4)="成品出库"),1,0)</f>
        <v>0</v>
      </c>
      <c r="AE1437" s="1" t="n">
        <f aca="false">N(AE1436)+$AD1437</f>
        <v>38</v>
      </c>
      <c r="AF1437" s="1" t="n">
        <f aca="false">IF(AND($N1437=1,AND(LEFT(对接源_02物料!$D237,4)="包装物料",N(对接源_02物料!$K237)&lt;&gt;0)),1,0)</f>
        <v>0</v>
      </c>
      <c r="AG1437" s="1" t="n">
        <f aca="false">N(AG1436)+$AF1437</f>
        <v>6</v>
      </c>
      <c r="AH1437" s="1" t="n">
        <f aca="false">IF(AND($N1437=1,AND(LEFT(对接源_02物料!$D237,3)="周转筐",N(对接源_02物料!$K237)&lt;&gt;0)),1,0)</f>
        <v>0</v>
      </c>
      <c r="AI1437" s="1" t="n">
        <f aca="false">N(AI1436)+$AH1437</f>
        <v>0</v>
      </c>
      <c r="AJ1437" s="1" t="n">
        <v>0</v>
      </c>
      <c r="AK1437" s="1" t="n">
        <f aca="false">N(AK1436)+$AJ1437</f>
        <v>3672</v>
      </c>
    </row>
    <row r="1438" customFormat="false" ht="13.5" hidden="false" customHeight="false" outlineLevel="0" collapsed="false">
      <c r="A1438" s="1" t="str">
        <f aca="false">IF(对接源_02物料!$C238="","",对接源_02物料!$C238)</f>
        <v/>
      </c>
      <c r="B1438" s="1" t="n">
        <f aca="false">IF(A1438="",0,IF(MATCH(A1438,$A$4:$A$2403,0)=ROW()-3,1,0))</f>
        <v>0</v>
      </c>
      <c r="C1438" s="1" t="n">
        <f aca="false">N(C1437)+B1438</f>
        <v>17</v>
      </c>
      <c r="K1438" s="1" t="n">
        <f aca="false">IF(OR($K$1="",对接源_02物料!$C238="",对接源_02物料!$C238&lt;&gt;$K$1,对接源_02物料!$B238=""),0,IF(OR(N(对接源_02物料!$B238)&lt;$K$2,N(对接源_02物料!$B238)&gt;$K$3),0,1))</f>
        <v>0</v>
      </c>
      <c r="L1438" s="1" t="n">
        <f aca="false">IF(OR($L$1="",对接源_02物料!$C238="",对接源_02物料!$C238&lt;&gt;$L$1,对接源_02物料!$B238=""),0,IF(OR(N(对接源_02物料!$B238)&lt;$L$2,N(对接源_02物料!$B238)&gt;$L$3),0,1))</f>
        <v>0</v>
      </c>
      <c r="M1438" s="1" t="n">
        <f aca="false">IF(OR($M$1="",对接源_02物料!$C238="",对接源_02物料!$C238&lt;&gt;$M$1,对接源_02物料!$B238=""),0,IF(OR(N(对接源_02物料!$B238)&lt;$M$2,N(对接源_02物料!$B238)&gt;$M$3),0,1))</f>
        <v>0</v>
      </c>
      <c r="N1438" s="1" t="n">
        <f aca="false">IF(OR($N$1="",对接源_02物料!$C238="",对接源_02物料!$C238&lt;&gt;$N$1,对接源_02物料!$B238=""),0,IF(OR(N(对接源_02物料!$B238)&lt;$N$2,N(对接源_02物料!$B238)&gt;$N$3),0,1))</f>
        <v>0</v>
      </c>
      <c r="P1438" s="1" t="n">
        <f aca="false">IF(AND($K1438=1,AND(对接源_02物料!$X238="公司筐",N(对接源_02物料!$T238)&lt;&gt;0)),1,0)</f>
        <v>0</v>
      </c>
      <c r="Q1438" s="1" t="n">
        <f aca="false">N(Q1437)+$P1438</f>
        <v>13</v>
      </c>
      <c r="R1438" s="1" t="n">
        <f aca="false">IF(AND($K1438=1,AND(对接源_02物料!$X238="公司筐",N(对接源_02物料!$U238)&lt;&gt;0)),1,0)</f>
        <v>0</v>
      </c>
      <c r="S1438" s="1" t="n">
        <f aca="false">N(S1437)+$R1438</f>
        <v>5</v>
      </c>
      <c r="T1438" s="1" t="n">
        <f aca="false">IF(AND($K1438=1,AND(对接源_02物料!$X238="公司筐",N(对接源_02物料!$V238)&lt;&gt;0)),1,0)</f>
        <v>0</v>
      </c>
      <c r="U1438" s="1" t="n">
        <f aca="false">N(U1437)+$T1438</f>
        <v>28</v>
      </c>
      <c r="V1438" s="1" t="n">
        <f aca="false">IF(AND($L1438=1,AND(对接源_02物料!$X238="自备筐",N(对接源_02物料!$V238)&lt;&gt;0)),1,0)</f>
        <v>0</v>
      </c>
      <c r="W1438" s="1" t="n">
        <f aca="false">N(W1437)+$V1438</f>
        <v>7</v>
      </c>
      <c r="X1438" s="1" t="n">
        <f aca="false">IF(AND($L1438=1,AND(对接源_02物料!$X238="自备筐",N(对接源_02物料!$T238)&lt;&gt;0)),1,0)</f>
        <v>0</v>
      </c>
      <c r="Y1438" s="1" t="n">
        <f aca="false">N(Y1437)+$X1438</f>
        <v>0</v>
      </c>
      <c r="Z1438" s="1" t="n">
        <f aca="false">IF(AND($M1438=1,对接源_02物料!$D238="原料入库"),1,0)</f>
        <v>0</v>
      </c>
      <c r="AA1438" s="1" t="n">
        <f aca="false">N(AA1437)+$Z1438</f>
        <v>30</v>
      </c>
      <c r="AB1438" s="1" t="n">
        <f aca="false">IF(AND($M1438=1,LEFT(对接源_02物料!$D238,4)="原料出库"),1,0)</f>
        <v>0</v>
      </c>
      <c r="AC1438" s="1" t="n">
        <f aca="false">N(AC1437)+$AB1438</f>
        <v>19</v>
      </c>
      <c r="AD1438" s="1" t="n">
        <f aca="false">IF(AND($M1438=1,LEFT(对接源_02物料!$D238,4)="成品出库"),1,0)</f>
        <v>0</v>
      </c>
      <c r="AE1438" s="1" t="n">
        <f aca="false">N(AE1437)+$AD1438</f>
        <v>38</v>
      </c>
      <c r="AF1438" s="1" t="n">
        <f aca="false">IF(AND($N1438=1,AND(LEFT(对接源_02物料!$D238,4)="包装物料",N(对接源_02物料!$K238)&lt;&gt;0)),1,0)</f>
        <v>0</v>
      </c>
      <c r="AG1438" s="1" t="n">
        <f aca="false">N(AG1437)+$AF1438</f>
        <v>6</v>
      </c>
      <c r="AH1438" s="1" t="n">
        <f aca="false">IF(AND($N1438=1,AND(LEFT(对接源_02物料!$D238,3)="周转筐",N(对接源_02物料!$K238)&lt;&gt;0)),1,0)</f>
        <v>0</v>
      </c>
      <c r="AI1438" s="1" t="n">
        <f aca="false">N(AI1437)+$AH1438</f>
        <v>0</v>
      </c>
      <c r="AJ1438" s="1" t="n">
        <v>0</v>
      </c>
      <c r="AK1438" s="1" t="n">
        <f aca="false">N(AK1437)+$AJ1438</f>
        <v>3672</v>
      </c>
    </row>
    <row r="1439" customFormat="false" ht="13.5" hidden="false" customHeight="false" outlineLevel="0" collapsed="false">
      <c r="A1439" s="1" t="str">
        <f aca="false">IF(对接源_02物料!$C239="","",对接源_02物料!$C239)</f>
        <v/>
      </c>
      <c r="B1439" s="1" t="n">
        <f aca="false">IF(A1439="",0,IF(MATCH(A1439,$A$4:$A$2403,0)=ROW()-3,1,0))</f>
        <v>0</v>
      </c>
      <c r="C1439" s="1" t="n">
        <f aca="false">N(C1438)+B1439</f>
        <v>17</v>
      </c>
      <c r="K1439" s="1" t="n">
        <f aca="false">IF(OR($K$1="",对接源_02物料!$C239="",对接源_02物料!$C239&lt;&gt;$K$1,对接源_02物料!$B239=""),0,IF(OR(N(对接源_02物料!$B239)&lt;$K$2,N(对接源_02物料!$B239)&gt;$K$3),0,1))</f>
        <v>0</v>
      </c>
      <c r="L1439" s="1" t="n">
        <f aca="false">IF(OR($L$1="",对接源_02物料!$C239="",对接源_02物料!$C239&lt;&gt;$L$1,对接源_02物料!$B239=""),0,IF(OR(N(对接源_02物料!$B239)&lt;$L$2,N(对接源_02物料!$B239)&gt;$L$3),0,1))</f>
        <v>0</v>
      </c>
      <c r="M1439" s="1" t="n">
        <f aca="false">IF(OR($M$1="",对接源_02物料!$C239="",对接源_02物料!$C239&lt;&gt;$M$1,对接源_02物料!$B239=""),0,IF(OR(N(对接源_02物料!$B239)&lt;$M$2,N(对接源_02物料!$B239)&gt;$M$3),0,1))</f>
        <v>0</v>
      </c>
      <c r="N1439" s="1" t="n">
        <f aca="false">IF(OR($N$1="",对接源_02物料!$C239="",对接源_02物料!$C239&lt;&gt;$N$1,对接源_02物料!$B239=""),0,IF(OR(N(对接源_02物料!$B239)&lt;$N$2,N(对接源_02物料!$B239)&gt;$N$3),0,1))</f>
        <v>0</v>
      </c>
      <c r="P1439" s="1" t="n">
        <f aca="false">IF(AND($K1439=1,AND(对接源_02物料!$X239="公司筐",N(对接源_02物料!$T239)&lt;&gt;0)),1,0)</f>
        <v>0</v>
      </c>
      <c r="Q1439" s="1" t="n">
        <f aca="false">N(Q1438)+$P1439</f>
        <v>13</v>
      </c>
      <c r="R1439" s="1" t="n">
        <f aca="false">IF(AND($K1439=1,AND(对接源_02物料!$X239="公司筐",N(对接源_02物料!$U239)&lt;&gt;0)),1,0)</f>
        <v>0</v>
      </c>
      <c r="S1439" s="1" t="n">
        <f aca="false">N(S1438)+$R1439</f>
        <v>5</v>
      </c>
      <c r="T1439" s="1" t="n">
        <f aca="false">IF(AND($K1439=1,AND(对接源_02物料!$X239="公司筐",N(对接源_02物料!$V239)&lt;&gt;0)),1,0)</f>
        <v>0</v>
      </c>
      <c r="U1439" s="1" t="n">
        <f aca="false">N(U1438)+$T1439</f>
        <v>28</v>
      </c>
      <c r="V1439" s="1" t="n">
        <f aca="false">IF(AND($L1439=1,AND(对接源_02物料!$X239="自备筐",N(对接源_02物料!$V239)&lt;&gt;0)),1,0)</f>
        <v>0</v>
      </c>
      <c r="W1439" s="1" t="n">
        <f aca="false">N(W1438)+$V1439</f>
        <v>7</v>
      </c>
      <c r="X1439" s="1" t="n">
        <f aca="false">IF(AND($L1439=1,AND(对接源_02物料!$X239="自备筐",N(对接源_02物料!$T239)&lt;&gt;0)),1,0)</f>
        <v>0</v>
      </c>
      <c r="Y1439" s="1" t="n">
        <f aca="false">N(Y1438)+$X1439</f>
        <v>0</v>
      </c>
      <c r="Z1439" s="1" t="n">
        <f aca="false">IF(AND($M1439=1,对接源_02物料!$D239="原料入库"),1,0)</f>
        <v>0</v>
      </c>
      <c r="AA1439" s="1" t="n">
        <f aca="false">N(AA1438)+$Z1439</f>
        <v>30</v>
      </c>
      <c r="AB1439" s="1" t="n">
        <f aca="false">IF(AND($M1439=1,LEFT(对接源_02物料!$D239,4)="原料出库"),1,0)</f>
        <v>0</v>
      </c>
      <c r="AC1439" s="1" t="n">
        <f aca="false">N(AC1438)+$AB1439</f>
        <v>19</v>
      </c>
      <c r="AD1439" s="1" t="n">
        <f aca="false">IF(AND($M1439=1,LEFT(对接源_02物料!$D239,4)="成品出库"),1,0)</f>
        <v>0</v>
      </c>
      <c r="AE1439" s="1" t="n">
        <f aca="false">N(AE1438)+$AD1439</f>
        <v>38</v>
      </c>
      <c r="AF1439" s="1" t="n">
        <f aca="false">IF(AND($N1439=1,AND(LEFT(对接源_02物料!$D239,4)="包装物料",N(对接源_02物料!$K239)&lt;&gt;0)),1,0)</f>
        <v>0</v>
      </c>
      <c r="AG1439" s="1" t="n">
        <f aca="false">N(AG1438)+$AF1439</f>
        <v>6</v>
      </c>
      <c r="AH1439" s="1" t="n">
        <f aca="false">IF(AND($N1439=1,AND(LEFT(对接源_02物料!$D239,3)="周转筐",N(对接源_02物料!$K239)&lt;&gt;0)),1,0)</f>
        <v>0</v>
      </c>
      <c r="AI1439" s="1" t="n">
        <f aca="false">N(AI1438)+$AH1439</f>
        <v>0</v>
      </c>
      <c r="AJ1439" s="1" t="n">
        <v>0</v>
      </c>
      <c r="AK1439" s="1" t="n">
        <f aca="false">N(AK1438)+$AJ1439</f>
        <v>3672</v>
      </c>
    </row>
    <row r="1440" customFormat="false" ht="13.5" hidden="false" customHeight="false" outlineLevel="0" collapsed="false">
      <c r="A1440" s="1" t="str">
        <f aca="false">IF(对接源_02物料!$C240="","",对接源_02物料!$C240)</f>
        <v/>
      </c>
      <c r="B1440" s="1" t="n">
        <f aca="false">IF(A1440="",0,IF(MATCH(A1440,$A$4:$A$2403,0)=ROW()-3,1,0))</f>
        <v>0</v>
      </c>
      <c r="C1440" s="1" t="n">
        <f aca="false">N(C1439)+B1440</f>
        <v>17</v>
      </c>
      <c r="K1440" s="1" t="n">
        <f aca="false">IF(OR($K$1="",对接源_02物料!$C240="",对接源_02物料!$C240&lt;&gt;$K$1,对接源_02物料!$B240=""),0,IF(OR(N(对接源_02物料!$B240)&lt;$K$2,N(对接源_02物料!$B240)&gt;$K$3),0,1))</f>
        <v>0</v>
      </c>
      <c r="L1440" s="1" t="n">
        <f aca="false">IF(OR($L$1="",对接源_02物料!$C240="",对接源_02物料!$C240&lt;&gt;$L$1,对接源_02物料!$B240=""),0,IF(OR(N(对接源_02物料!$B240)&lt;$L$2,N(对接源_02物料!$B240)&gt;$L$3),0,1))</f>
        <v>0</v>
      </c>
      <c r="M1440" s="1" t="n">
        <f aca="false">IF(OR($M$1="",对接源_02物料!$C240="",对接源_02物料!$C240&lt;&gt;$M$1,对接源_02物料!$B240=""),0,IF(OR(N(对接源_02物料!$B240)&lt;$M$2,N(对接源_02物料!$B240)&gt;$M$3),0,1))</f>
        <v>0</v>
      </c>
      <c r="N1440" s="1" t="n">
        <f aca="false">IF(OR($N$1="",对接源_02物料!$C240="",对接源_02物料!$C240&lt;&gt;$N$1,对接源_02物料!$B240=""),0,IF(OR(N(对接源_02物料!$B240)&lt;$N$2,N(对接源_02物料!$B240)&gt;$N$3),0,1))</f>
        <v>0</v>
      </c>
      <c r="P1440" s="1" t="n">
        <f aca="false">IF(AND($K1440=1,AND(对接源_02物料!$X240="公司筐",N(对接源_02物料!$T240)&lt;&gt;0)),1,0)</f>
        <v>0</v>
      </c>
      <c r="Q1440" s="1" t="n">
        <f aca="false">N(Q1439)+$P1440</f>
        <v>13</v>
      </c>
      <c r="R1440" s="1" t="n">
        <f aca="false">IF(AND($K1440=1,AND(对接源_02物料!$X240="公司筐",N(对接源_02物料!$U240)&lt;&gt;0)),1,0)</f>
        <v>0</v>
      </c>
      <c r="S1440" s="1" t="n">
        <f aca="false">N(S1439)+$R1440</f>
        <v>5</v>
      </c>
      <c r="T1440" s="1" t="n">
        <f aca="false">IF(AND($K1440=1,AND(对接源_02物料!$X240="公司筐",N(对接源_02物料!$V240)&lt;&gt;0)),1,0)</f>
        <v>0</v>
      </c>
      <c r="U1440" s="1" t="n">
        <f aca="false">N(U1439)+$T1440</f>
        <v>28</v>
      </c>
      <c r="V1440" s="1" t="n">
        <f aca="false">IF(AND($L1440=1,AND(对接源_02物料!$X240="自备筐",N(对接源_02物料!$V240)&lt;&gt;0)),1,0)</f>
        <v>0</v>
      </c>
      <c r="W1440" s="1" t="n">
        <f aca="false">N(W1439)+$V1440</f>
        <v>7</v>
      </c>
      <c r="X1440" s="1" t="n">
        <f aca="false">IF(AND($L1440=1,AND(对接源_02物料!$X240="自备筐",N(对接源_02物料!$T240)&lt;&gt;0)),1,0)</f>
        <v>0</v>
      </c>
      <c r="Y1440" s="1" t="n">
        <f aca="false">N(Y1439)+$X1440</f>
        <v>0</v>
      </c>
      <c r="Z1440" s="1" t="n">
        <f aca="false">IF(AND($M1440=1,对接源_02物料!$D240="原料入库"),1,0)</f>
        <v>0</v>
      </c>
      <c r="AA1440" s="1" t="n">
        <f aca="false">N(AA1439)+$Z1440</f>
        <v>30</v>
      </c>
      <c r="AB1440" s="1" t="n">
        <f aca="false">IF(AND($M1440=1,LEFT(对接源_02物料!$D240,4)="原料出库"),1,0)</f>
        <v>0</v>
      </c>
      <c r="AC1440" s="1" t="n">
        <f aca="false">N(AC1439)+$AB1440</f>
        <v>19</v>
      </c>
      <c r="AD1440" s="1" t="n">
        <f aca="false">IF(AND($M1440=1,LEFT(对接源_02物料!$D240,4)="成品出库"),1,0)</f>
        <v>0</v>
      </c>
      <c r="AE1440" s="1" t="n">
        <f aca="false">N(AE1439)+$AD1440</f>
        <v>38</v>
      </c>
      <c r="AF1440" s="1" t="n">
        <f aca="false">IF(AND($N1440=1,AND(LEFT(对接源_02物料!$D240,4)="包装物料",N(对接源_02物料!$K240)&lt;&gt;0)),1,0)</f>
        <v>0</v>
      </c>
      <c r="AG1440" s="1" t="n">
        <f aca="false">N(AG1439)+$AF1440</f>
        <v>6</v>
      </c>
      <c r="AH1440" s="1" t="n">
        <f aca="false">IF(AND($N1440=1,AND(LEFT(对接源_02物料!$D240,3)="周转筐",N(对接源_02物料!$K240)&lt;&gt;0)),1,0)</f>
        <v>0</v>
      </c>
      <c r="AI1440" s="1" t="n">
        <f aca="false">N(AI1439)+$AH1440</f>
        <v>0</v>
      </c>
      <c r="AJ1440" s="1" t="n">
        <v>0</v>
      </c>
      <c r="AK1440" s="1" t="n">
        <f aca="false">N(AK1439)+$AJ1440</f>
        <v>3672</v>
      </c>
    </row>
    <row r="1441" customFormat="false" ht="13.5" hidden="false" customHeight="false" outlineLevel="0" collapsed="false">
      <c r="A1441" s="1" t="str">
        <f aca="false">IF(对接源_02物料!$C241="","",对接源_02物料!$C241)</f>
        <v/>
      </c>
      <c r="B1441" s="1" t="n">
        <f aca="false">IF(A1441="",0,IF(MATCH(A1441,$A$4:$A$2403,0)=ROW()-3,1,0))</f>
        <v>0</v>
      </c>
      <c r="C1441" s="1" t="n">
        <f aca="false">N(C1440)+B1441</f>
        <v>17</v>
      </c>
      <c r="K1441" s="1" t="n">
        <f aca="false">IF(OR($K$1="",对接源_02物料!$C241="",对接源_02物料!$C241&lt;&gt;$K$1,对接源_02物料!$B241=""),0,IF(OR(N(对接源_02物料!$B241)&lt;$K$2,N(对接源_02物料!$B241)&gt;$K$3),0,1))</f>
        <v>0</v>
      </c>
      <c r="L1441" s="1" t="n">
        <f aca="false">IF(OR($L$1="",对接源_02物料!$C241="",对接源_02物料!$C241&lt;&gt;$L$1,对接源_02物料!$B241=""),0,IF(OR(N(对接源_02物料!$B241)&lt;$L$2,N(对接源_02物料!$B241)&gt;$L$3),0,1))</f>
        <v>0</v>
      </c>
      <c r="M1441" s="1" t="n">
        <f aca="false">IF(OR($M$1="",对接源_02物料!$C241="",对接源_02物料!$C241&lt;&gt;$M$1,对接源_02物料!$B241=""),0,IF(OR(N(对接源_02物料!$B241)&lt;$M$2,N(对接源_02物料!$B241)&gt;$M$3),0,1))</f>
        <v>0</v>
      </c>
      <c r="N1441" s="1" t="n">
        <f aca="false">IF(OR($N$1="",对接源_02物料!$C241="",对接源_02物料!$C241&lt;&gt;$N$1,对接源_02物料!$B241=""),0,IF(OR(N(对接源_02物料!$B241)&lt;$N$2,N(对接源_02物料!$B241)&gt;$N$3),0,1))</f>
        <v>0</v>
      </c>
      <c r="P1441" s="1" t="n">
        <f aca="false">IF(AND($K1441=1,AND(对接源_02物料!$X241="公司筐",N(对接源_02物料!$T241)&lt;&gt;0)),1,0)</f>
        <v>0</v>
      </c>
      <c r="Q1441" s="1" t="n">
        <f aca="false">N(Q1440)+$P1441</f>
        <v>13</v>
      </c>
      <c r="R1441" s="1" t="n">
        <f aca="false">IF(AND($K1441=1,AND(对接源_02物料!$X241="公司筐",N(对接源_02物料!$U241)&lt;&gt;0)),1,0)</f>
        <v>0</v>
      </c>
      <c r="S1441" s="1" t="n">
        <f aca="false">N(S1440)+$R1441</f>
        <v>5</v>
      </c>
      <c r="T1441" s="1" t="n">
        <f aca="false">IF(AND($K1441=1,AND(对接源_02物料!$X241="公司筐",N(对接源_02物料!$V241)&lt;&gt;0)),1,0)</f>
        <v>0</v>
      </c>
      <c r="U1441" s="1" t="n">
        <f aca="false">N(U1440)+$T1441</f>
        <v>28</v>
      </c>
      <c r="V1441" s="1" t="n">
        <f aca="false">IF(AND($L1441=1,AND(对接源_02物料!$X241="自备筐",N(对接源_02物料!$V241)&lt;&gt;0)),1,0)</f>
        <v>0</v>
      </c>
      <c r="W1441" s="1" t="n">
        <f aca="false">N(W1440)+$V1441</f>
        <v>7</v>
      </c>
      <c r="X1441" s="1" t="n">
        <f aca="false">IF(AND($L1441=1,AND(对接源_02物料!$X241="自备筐",N(对接源_02物料!$T241)&lt;&gt;0)),1,0)</f>
        <v>0</v>
      </c>
      <c r="Y1441" s="1" t="n">
        <f aca="false">N(Y1440)+$X1441</f>
        <v>0</v>
      </c>
      <c r="Z1441" s="1" t="n">
        <f aca="false">IF(AND($M1441=1,对接源_02物料!$D241="原料入库"),1,0)</f>
        <v>0</v>
      </c>
      <c r="AA1441" s="1" t="n">
        <f aca="false">N(AA1440)+$Z1441</f>
        <v>30</v>
      </c>
      <c r="AB1441" s="1" t="n">
        <f aca="false">IF(AND($M1441=1,LEFT(对接源_02物料!$D241,4)="原料出库"),1,0)</f>
        <v>0</v>
      </c>
      <c r="AC1441" s="1" t="n">
        <f aca="false">N(AC1440)+$AB1441</f>
        <v>19</v>
      </c>
      <c r="AD1441" s="1" t="n">
        <f aca="false">IF(AND($M1441=1,LEFT(对接源_02物料!$D241,4)="成品出库"),1,0)</f>
        <v>0</v>
      </c>
      <c r="AE1441" s="1" t="n">
        <f aca="false">N(AE1440)+$AD1441</f>
        <v>38</v>
      </c>
      <c r="AF1441" s="1" t="n">
        <f aca="false">IF(AND($N1441=1,AND(LEFT(对接源_02物料!$D241,4)="包装物料",N(对接源_02物料!$K241)&lt;&gt;0)),1,0)</f>
        <v>0</v>
      </c>
      <c r="AG1441" s="1" t="n">
        <f aca="false">N(AG1440)+$AF1441</f>
        <v>6</v>
      </c>
      <c r="AH1441" s="1" t="n">
        <f aca="false">IF(AND($N1441=1,AND(LEFT(对接源_02物料!$D241,3)="周转筐",N(对接源_02物料!$K241)&lt;&gt;0)),1,0)</f>
        <v>0</v>
      </c>
      <c r="AI1441" s="1" t="n">
        <f aca="false">N(AI1440)+$AH1441</f>
        <v>0</v>
      </c>
      <c r="AJ1441" s="1" t="n">
        <v>0</v>
      </c>
      <c r="AK1441" s="1" t="n">
        <f aca="false">N(AK1440)+$AJ1441</f>
        <v>3672</v>
      </c>
    </row>
    <row r="1442" customFormat="false" ht="13.5" hidden="false" customHeight="false" outlineLevel="0" collapsed="false">
      <c r="A1442" s="1" t="str">
        <f aca="false">IF(对接源_02物料!$C242="","",对接源_02物料!$C242)</f>
        <v/>
      </c>
      <c r="B1442" s="1" t="n">
        <f aca="false">IF(A1442="",0,IF(MATCH(A1442,$A$4:$A$2403,0)=ROW()-3,1,0))</f>
        <v>0</v>
      </c>
      <c r="C1442" s="1" t="n">
        <f aca="false">N(C1441)+B1442</f>
        <v>17</v>
      </c>
      <c r="K1442" s="1" t="n">
        <f aca="false">IF(OR($K$1="",对接源_02物料!$C242="",对接源_02物料!$C242&lt;&gt;$K$1,对接源_02物料!$B242=""),0,IF(OR(N(对接源_02物料!$B242)&lt;$K$2,N(对接源_02物料!$B242)&gt;$K$3),0,1))</f>
        <v>0</v>
      </c>
      <c r="L1442" s="1" t="n">
        <f aca="false">IF(OR($L$1="",对接源_02物料!$C242="",对接源_02物料!$C242&lt;&gt;$L$1,对接源_02物料!$B242=""),0,IF(OR(N(对接源_02物料!$B242)&lt;$L$2,N(对接源_02物料!$B242)&gt;$L$3),0,1))</f>
        <v>0</v>
      </c>
      <c r="M1442" s="1" t="n">
        <f aca="false">IF(OR($M$1="",对接源_02物料!$C242="",对接源_02物料!$C242&lt;&gt;$M$1,对接源_02物料!$B242=""),0,IF(OR(N(对接源_02物料!$B242)&lt;$M$2,N(对接源_02物料!$B242)&gt;$M$3),0,1))</f>
        <v>0</v>
      </c>
      <c r="N1442" s="1" t="n">
        <f aca="false">IF(OR($N$1="",对接源_02物料!$C242="",对接源_02物料!$C242&lt;&gt;$N$1,对接源_02物料!$B242=""),0,IF(OR(N(对接源_02物料!$B242)&lt;$N$2,N(对接源_02物料!$B242)&gt;$N$3),0,1))</f>
        <v>0</v>
      </c>
      <c r="P1442" s="1" t="n">
        <f aca="false">IF(AND($K1442=1,AND(对接源_02物料!$X242="公司筐",N(对接源_02物料!$T242)&lt;&gt;0)),1,0)</f>
        <v>0</v>
      </c>
      <c r="Q1442" s="1" t="n">
        <f aca="false">N(Q1441)+$P1442</f>
        <v>13</v>
      </c>
      <c r="R1442" s="1" t="n">
        <f aca="false">IF(AND($K1442=1,AND(对接源_02物料!$X242="公司筐",N(对接源_02物料!$U242)&lt;&gt;0)),1,0)</f>
        <v>0</v>
      </c>
      <c r="S1442" s="1" t="n">
        <f aca="false">N(S1441)+$R1442</f>
        <v>5</v>
      </c>
      <c r="T1442" s="1" t="n">
        <f aca="false">IF(AND($K1442=1,AND(对接源_02物料!$X242="公司筐",N(对接源_02物料!$V242)&lt;&gt;0)),1,0)</f>
        <v>0</v>
      </c>
      <c r="U1442" s="1" t="n">
        <f aca="false">N(U1441)+$T1442</f>
        <v>28</v>
      </c>
      <c r="V1442" s="1" t="n">
        <f aca="false">IF(AND($L1442=1,AND(对接源_02物料!$X242="自备筐",N(对接源_02物料!$V242)&lt;&gt;0)),1,0)</f>
        <v>0</v>
      </c>
      <c r="W1442" s="1" t="n">
        <f aca="false">N(W1441)+$V1442</f>
        <v>7</v>
      </c>
      <c r="X1442" s="1" t="n">
        <f aca="false">IF(AND($L1442=1,AND(对接源_02物料!$X242="自备筐",N(对接源_02物料!$T242)&lt;&gt;0)),1,0)</f>
        <v>0</v>
      </c>
      <c r="Y1442" s="1" t="n">
        <f aca="false">N(Y1441)+$X1442</f>
        <v>0</v>
      </c>
      <c r="Z1442" s="1" t="n">
        <f aca="false">IF(AND($M1442=1,对接源_02物料!$D242="原料入库"),1,0)</f>
        <v>0</v>
      </c>
      <c r="AA1442" s="1" t="n">
        <f aca="false">N(AA1441)+$Z1442</f>
        <v>30</v>
      </c>
      <c r="AB1442" s="1" t="n">
        <f aca="false">IF(AND($M1442=1,LEFT(对接源_02物料!$D242,4)="原料出库"),1,0)</f>
        <v>0</v>
      </c>
      <c r="AC1442" s="1" t="n">
        <f aca="false">N(AC1441)+$AB1442</f>
        <v>19</v>
      </c>
      <c r="AD1442" s="1" t="n">
        <f aca="false">IF(AND($M1442=1,LEFT(对接源_02物料!$D242,4)="成品出库"),1,0)</f>
        <v>0</v>
      </c>
      <c r="AE1442" s="1" t="n">
        <f aca="false">N(AE1441)+$AD1442</f>
        <v>38</v>
      </c>
      <c r="AF1442" s="1" t="n">
        <f aca="false">IF(AND($N1442=1,AND(LEFT(对接源_02物料!$D242,4)="包装物料",N(对接源_02物料!$K242)&lt;&gt;0)),1,0)</f>
        <v>0</v>
      </c>
      <c r="AG1442" s="1" t="n">
        <f aca="false">N(AG1441)+$AF1442</f>
        <v>6</v>
      </c>
      <c r="AH1442" s="1" t="n">
        <f aca="false">IF(AND($N1442=1,AND(LEFT(对接源_02物料!$D242,3)="周转筐",N(对接源_02物料!$K242)&lt;&gt;0)),1,0)</f>
        <v>0</v>
      </c>
      <c r="AI1442" s="1" t="n">
        <f aca="false">N(AI1441)+$AH1442</f>
        <v>0</v>
      </c>
      <c r="AJ1442" s="1" t="n">
        <v>0</v>
      </c>
      <c r="AK1442" s="1" t="n">
        <f aca="false">N(AK1441)+$AJ1442</f>
        <v>3672</v>
      </c>
    </row>
    <row r="1443" customFormat="false" ht="13.5" hidden="false" customHeight="false" outlineLevel="0" collapsed="false">
      <c r="A1443" s="1" t="str">
        <f aca="false">IF(对接源_02物料!$C243="","",对接源_02物料!$C243)</f>
        <v/>
      </c>
      <c r="B1443" s="1" t="n">
        <f aca="false">IF(A1443="",0,IF(MATCH(A1443,$A$4:$A$2403,0)=ROW()-3,1,0))</f>
        <v>0</v>
      </c>
      <c r="C1443" s="1" t="n">
        <f aca="false">N(C1442)+B1443</f>
        <v>17</v>
      </c>
      <c r="K1443" s="1" t="n">
        <f aca="false">IF(OR($K$1="",对接源_02物料!$C243="",对接源_02物料!$C243&lt;&gt;$K$1,对接源_02物料!$B243=""),0,IF(OR(N(对接源_02物料!$B243)&lt;$K$2,N(对接源_02物料!$B243)&gt;$K$3),0,1))</f>
        <v>0</v>
      </c>
      <c r="L1443" s="1" t="n">
        <f aca="false">IF(OR($L$1="",对接源_02物料!$C243="",对接源_02物料!$C243&lt;&gt;$L$1,对接源_02物料!$B243=""),0,IF(OR(N(对接源_02物料!$B243)&lt;$L$2,N(对接源_02物料!$B243)&gt;$L$3),0,1))</f>
        <v>0</v>
      </c>
      <c r="M1443" s="1" t="n">
        <f aca="false">IF(OR($M$1="",对接源_02物料!$C243="",对接源_02物料!$C243&lt;&gt;$M$1,对接源_02物料!$B243=""),0,IF(OR(N(对接源_02物料!$B243)&lt;$M$2,N(对接源_02物料!$B243)&gt;$M$3),0,1))</f>
        <v>0</v>
      </c>
      <c r="N1443" s="1" t="n">
        <f aca="false">IF(OR($N$1="",对接源_02物料!$C243="",对接源_02物料!$C243&lt;&gt;$N$1,对接源_02物料!$B243=""),0,IF(OR(N(对接源_02物料!$B243)&lt;$N$2,N(对接源_02物料!$B243)&gt;$N$3),0,1))</f>
        <v>0</v>
      </c>
      <c r="P1443" s="1" t="n">
        <f aca="false">IF(AND($K1443=1,AND(对接源_02物料!$X243="公司筐",N(对接源_02物料!$T243)&lt;&gt;0)),1,0)</f>
        <v>0</v>
      </c>
      <c r="Q1443" s="1" t="n">
        <f aca="false">N(Q1442)+$P1443</f>
        <v>13</v>
      </c>
      <c r="R1443" s="1" t="n">
        <f aca="false">IF(AND($K1443=1,AND(对接源_02物料!$X243="公司筐",N(对接源_02物料!$U243)&lt;&gt;0)),1,0)</f>
        <v>0</v>
      </c>
      <c r="S1443" s="1" t="n">
        <f aca="false">N(S1442)+$R1443</f>
        <v>5</v>
      </c>
      <c r="T1443" s="1" t="n">
        <f aca="false">IF(AND($K1443=1,AND(对接源_02物料!$X243="公司筐",N(对接源_02物料!$V243)&lt;&gt;0)),1,0)</f>
        <v>0</v>
      </c>
      <c r="U1443" s="1" t="n">
        <f aca="false">N(U1442)+$T1443</f>
        <v>28</v>
      </c>
      <c r="V1443" s="1" t="n">
        <f aca="false">IF(AND($L1443=1,AND(对接源_02物料!$X243="自备筐",N(对接源_02物料!$V243)&lt;&gt;0)),1,0)</f>
        <v>0</v>
      </c>
      <c r="W1443" s="1" t="n">
        <f aca="false">N(W1442)+$V1443</f>
        <v>7</v>
      </c>
      <c r="X1443" s="1" t="n">
        <f aca="false">IF(AND($L1443=1,AND(对接源_02物料!$X243="自备筐",N(对接源_02物料!$T243)&lt;&gt;0)),1,0)</f>
        <v>0</v>
      </c>
      <c r="Y1443" s="1" t="n">
        <f aca="false">N(Y1442)+$X1443</f>
        <v>0</v>
      </c>
      <c r="Z1443" s="1" t="n">
        <f aca="false">IF(AND($M1443=1,对接源_02物料!$D243="原料入库"),1,0)</f>
        <v>0</v>
      </c>
      <c r="AA1443" s="1" t="n">
        <f aca="false">N(AA1442)+$Z1443</f>
        <v>30</v>
      </c>
      <c r="AB1443" s="1" t="n">
        <f aca="false">IF(AND($M1443=1,LEFT(对接源_02物料!$D243,4)="原料出库"),1,0)</f>
        <v>0</v>
      </c>
      <c r="AC1443" s="1" t="n">
        <f aca="false">N(AC1442)+$AB1443</f>
        <v>19</v>
      </c>
      <c r="AD1443" s="1" t="n">
        <f aca="false">IF(AND($M1443=1,LEFT(对接源_02物料!$D243,4)="成品出库"),1,0)</f>
        <v>0</v>
      </c>
      <c r="AE1443" s="1" t="n">
        <f aca="false">N(AE1442)+$AD1443</f>
        <v>38</v>
      </c>
      <c r="AF1443" s="1" t="n">
        <f aca="false">IF(AND($N1443=1,AND(LEFT(对接源_02物料!$D243,4)="包装物料",N(对接源_02物料!$K243)&lt;&gt;0)),1,0)</f>
        <v>0</v>
      </c>
      <c r="AG1443" s="1" t="n">
        <f aca="false">N(AG1442)+$AF1443</f>
        <v>6</v>
      </c>
      <c r="AH1443" s="1" t="n">
        <f aca="false">IF(AND($N1443=1,AND(LEFT(对接源_02物料!$D243,3)="周转筐",N(对接源_02物料!$K243)&lt;&gt;0)),1,0)</f>
        <v>0</v>
      </c>
      <c r="AI1443" s="1" t="n">
        <f aca="false">N(AI1442)+$AH1443</f>
        <v>0</v>
      </c>
      <c r="AJ1443" s="1" t="n">
        <v>0</v>
      </c>
      <c r="AK1443" s="1" t="n">
        <f aca="false">N(AK1442)+$AJ1443</f>
        <v>3672</v>
      </c>
    </row>
    <row r="1444" customFormat="false" ht="13.5" hidden="false" customHeight="false" outlineLevel="0" collapsed="false">
      <c r="A1444" s="1" t="str">
        <f aca="false">IF(对接源_02物料!$C244="","",对接源_02物料!$C244)</f>
        <v/>
      </c>
      <c r="B1444" s="1" t="n">
        <f aca="false">IF(A1444="",0,IF(MATCH(A1444,$A$4:$A$2403,0)=ROW()-3,1,0))</f>
        <v>0</v>
      </c>
      <c r="C1444" s="1" t="n">
        <f aca="false">N(C1443)+B1444</f>
        <v>17</v>
      </c>
      <c r="K1444" s="1" t="n">
        <f aca="false">IF(OR($K$1="",对接源_02物料!$C244="",对接源_02物料!$C244&lt;&gt;$K$1,对接源_02物料!$B244=""),0,IF(OR(N(对接源_02物料!$B244)&lt;$K$2,N(对接源_02物料!$B244)&gt;$K$3),0,1))</f>
        <v>0</v>
      </c>
      <c r="L1444" s="1" t="n">
        <f aca="false">IF(OR($L$1="",对接源_02物料!$C244="",对接源_02物料!$C244&lt;&gt;$L$1,对接源_02物料!$B244=""),0,IF(OR(N(对接源_02物料!$B244)&lt;$L$2,N(对接源_02物料!$B244)&gt;$L$3),0,1))</f>
        <v>0</v>
      </c>
      <c r="M1444" s="1" t="n">
        <f aca="false">IF(OR($M$1="",对接源_02物料!$C244="",对接源_02物料!$C244&lt;&gt;$M$1,对接源_02物料!$B244=""),0,IF(OR(N(对接源_02物料!$B244)&lt;$M$2,N(对接源_02物料!$B244)&gt;$M$3),0,1))</f>
        <v>0</v>
      </c>
      <c r="N1444" s="1" t="n">
        <f aca="false">IF(OR($N$1="",对接源_02物料!$C244="",对接源_02物料!$C244&lt;&gt;$N$1,对接源_02物料!$B244=""),0,IF(OR(N(对接源_02物料!$B244)&lt;$N$2,N(对接源_02物料!$B244)&gt;$N$3),0,1))</f>
        <v>0</v>
      </c>
      <c r="P1444" s="1" t="n">
        <f aca="false">IF(AND($K1444=1,AND(对接源_02物料!$X244="公司筐",N(对接源_02物料!$T244)&lt;&gt;0)),1,0)</f>
        <v>0</v>
      </c>
      <c r="Q1444" s="1" t="n">
        <f aca="false">N(Q1443)+$P1444</f>
        <v>13</v>
      </c>
      <c r="R1444" s="1" t="n">
        <f aca="false">IF(AND($K1444=1,AND(对接源_02物料!$X244="公司筐",N(对接源_02物料!$U244)&lt;&gt;0)),1,0)</f>
        <v>0</v>
      </c>
      <c r="S1444" s="1" t="n">
        <f aca="false">N(S1443)+$R1444</f>
        <v>5</v>
      </c>
      <c r="T1444" s="1" t="n">
        <f aca="false">IF(AND($K1444=1,AND(对接源_02物料!$X244="公司筐",N(对接源_02物料!$V244)&lt;&gt;0)),1,0)</f>
        <v>0</v>
      </c>
      <c r="U1444" s="1" t="n">
        <f aca="false">N(U1443)+$T1444</f>
        <v>28</v>
      </c>
      <c r="V1444" s="1" t="n">
        <f aca="false">IF(AND($L1444=1,AND(对接源_02物料!$X244="自备筐",N(对接源_02物料!$V244)&lt;&gt;0)),1,0)</f>
        <v>0</v>
      </c>
      <c r="W1444" s="1" t="n">
        <f aca="false">N(W1443)+$V1444</f>
        <v>7</v>
      </c>
      <c r="X1444" s="1" t="n">
        <f aca="false">IF(AND($L1444=1,AND(对接源_02物料!$X244="自备筐",N(对接源_02物料!$T244)&lt;&gt;0)),1,0)</f>
        <v>0</v>
      </c>
      <c r="Y1444" s="1" t="n">
        <f aca="false">N(Y1443)+$X1444</f>
        <v>0</v>
      </c>
      <c r="Z1444" s="1" t="n">
        <f aca="false">IF(AND($M1444=1,对接源_02物料!$D244="原料入库"),1,0)</f>
        <v>0</v>
      </c>
      <c r="AA1444" s="1" t="n">
        <f aca="false">N(AA1443)+$Z1444</f>
        <v>30</v>
      </c>
      <c r="AB1444" s="1" t="n">
        <f aca="false">IF(AND($M1444=1,LEFT(对接源_02物料!$D244,4)="原料出库"),1,0)</f>
        <v>0</v>
      </c>
      <c r="AC1444" s="1" t="n">
        <f aca="false">N(AC1443)+$AB1444</f>
        <v>19</v>
      </c>
      <c r="AD1444" s="1" t="n">
        <f aca="false">IF(AND($M1444=1,LEFT(对接源_02物料!$D244,4)="成品出库"),1,0)</f>
        <v>0</v>
      </c>
      <c r="AE1444" s="1" t="n">
        <f aca="false">N(AE1443)+$AD1444</f>
        <v>38</v>
      </c>
      <c r="AF1444" s="1" t="n">
        <f aca="false">IF(AND($N1444=1,AND(LEFT(对接源_02物料!$D244,4)="包装物料",N(对接源_02物料!$K244)&lt;&gt;0)),1,0)</f>
        <v>0</v>
      </c>
      <c r="AG1444" s="1" t="n">
        <f aca="false">N(AG1443)+$AF1444</f>
        <v>6</v>
      </c>
      <c r="AH1444" s="1" t="n">
        <f aca="false">IF(AND($N1444=1,AND(LEFT(对接源_02物料!$D244,3)="周转筐",N(对接源_02物料!$K244)&lt;&gt;0)),1,0)</f>
        <v>0</v>
      </c>
      <c r="AI1444" s="1" t="n">
        <f aca="false">N(AI1443)+$AH1444</f>
        <v>0</v>
      </c>
      <c r="AJ1444" s="1" t="n">
        <v>0</v>
      </c>
      <c r="AK1444" s="1" t="n">
        <f aca="false">N(AK1443)+$AJ1444</f>
        <v>3672</v>
      </c>
    </row>
    <row r="1445" customFormat="false" ht="13.5" hidden="false" customHeight="false" outlineLevel="0" collapsed="false">
      <c r="A1445" s="1" t="str">
        <f aca="false">IF(对接源_02物料!$C245="","",对接源_02物料!$C245)</f>
        <v/>
      </c>
      <c r="B1445" s="1" t="n">
        <f aca="false">IF(A1445="",0,IF(MATCH(A1445,$A$4:$A$2403,0)=ROW()-3,1,0))</f>
        <v>0</v>
      </c>
      <c r="C1445" s="1" t="n">
        <f aca="false">N(C1444)+B1445</f>
        <v>17</v>
      </c>
      <c r="K1445" s="1" t="n">
        <f aca="false">IF(OR($K$1="",对接源_02物料!$C245="",对接源_02物料!$C245&lt;&gt;$K$1,对接源_02物料!$B245=""),0,IF(OR(N(对接源_02物料!$B245)&lt;$K$2,N(对接源_02物料!$B245)&gt;$K$3),0,1))</f>
        <v>0</v>
      </c>
      <c r="L1445" s="1" t="n">
        <f aca="false">IF(OR($L$1="",对接源_02物料!$C245="",对接源_02物料!$C245&lt;&gt;$L$1,对接源_02物料!$B245=""),0,IF(OR(N(对接源_02物料!$B245)&lt;$L$2,N(对接源_02物料!$B245)&gt;$L$3),0,1))</f>
        <v>0</v>
      </c>
      <c r="M1445" s="1" t="n">
        <f aca="false">IF(OR($M$1="",对接源_02物料!$C245="",对接源_02物料!$C245&lt;&gt;$M$1,对接源_02物料!$B245=""),0,IF(OR(N(对接源_02物料!$B245)&lt;$M$2,N(对接源_02物料!$B245)&gt;$M$3),0,1))</f>
        <v>0</v>
      </c>
      <c r="N1445" s="1" t="n">
        <f aca="false">IF(OR($N$1="",对接源_02物料!$C245="",对接源_02物料!$C245&lt;&gt;$N$1,对接源_02物料!$B245=""),0,IF(OR(N(对接源_02物料!$B245)&lt;$N$2,N(对接源_02物料!$B245)&gt;$N$3),0,1))</f>
        <v>0</v>
      </c>
      <c r="P1445" s="1" t="n">
        <f aca="false">IF(AND($K1445=1,AND(对接源_02物料!$X245="公司筐",N(对接源_02物料!$T245)&lt;&gt;0)),1,0)</f>
        <v>0</v>
      </c>
      <c r="Q1445" s="1" t="n">
        <f aca="false">N(Q1444)+$P1445</f>
        <v>13</v>
      </c>
      <c r="R1445" s="1" t="n">
        <f aca="false">IF(AND($K1445=1,AND(对接源_02物料!$X245="公司筐",N(对接源_02物料!$U245)&lt;&gt;0)),1,0)</f>
        <v>0</v>
      </c>
      <c r="S1445" s="1" t="n">
        <f aca="false">N(S1444)+$R1445</f>
        <v>5</v>
      </c>
      <c r="T1445" s="1" t="n">
        <f aca="false">IF(AND($K1445=1,AND(对接源_02物料!$X245="公司筐",N(对接源_02物料!$V245)&lt;&gt;0)),1,0)</f>
        <v>0</v>
      </c>
      <c r="U1445" s="1" t="n">
        <f aca="false">N(U1444)+$T1445</f>
        <v>28</v>
      </c>
      <c r="V1445" s="1" t="n">
        <f aca="false">IF(AND($L1445=1,AND(对接源_02物料!$X245="自备筐",N(对接源_02物料!$V245)&lt;&gt;0)),1,0)</f>
        <v>0</v>
      </c>
      <c r="W1445" s="1" t="n">
        <f aca="false">N(W1444)+$V1445</f>
        <v>7</v>
      </c>
      <c r="X1445" s="1" t="n">
        <f aca="false">IF(AND($L1445=1,AND(对接源_02物料!$X245="自备筐",N(对接源_02物料!$T245)&lt;&gt;0)),1,0)</f>
        <v>0</v>
      </c>
      <c r="Y1445" s="1" t="n">
        <f aca="false">N(Y1444)+$X1445</f>
        <v>0</v>
      </c>
      <c r="Z1445" s="1" t="n">
        <f aca="false">IF(AND($M1445=1,对接源_02物料!$D245="原料入库"),1,0)</f>
        <v>0</v>
      </c>
      <c r="AA1445" s="1" t="n">
        <f aca="false">N(AA1444)+$Z1445</f>
        <v>30</v>
      </c>
      <c r="AB1445" s="1" t="n">
        <f aca="false">IF(AND($M1445=1,LEFT(对接源_02物料!$D245,4)="原料出库"),1,0)</f>
        <v>0</v>
      </c>
      <c r="AC1445" s="1" t="n">
        <f aca="false">N(AC1444)+$AB1445</f>
        <v>19</v>
      </c>
      <c r="AD1445" s="1" t="n">
        <f aca="false">IF(AND($M1445=1,LEFT(对接源_02物料!$D245,4)="成品出库"),1,0)</f>
        <v>0</v>
      </c>
      <c r="AE1445" s="1" t="n">
        <f aca="false">N(AE1444)+$AD1445</f>
        <v>38</v>
      </c>
      <c r="AF1445" s="1" t="n">
        <f aca="false">IF(AND($N1445=1,AND(LEFT(对接源_02物料!$D245,4)="包装物料",N(对接源_02物料!$K245)&lt;&gt;0)),1,0)</f>
        <v>0</v>
      </c>
      <c r="AG1445" s="1" t="n">
        <f aca="false">N(AG1444)+$AF1445</f>
        <v>6</v>
      </c>
      <c r="AH1445" s="1" t="n">
        <f aca="false">IF(AND($N1445=1,AND(LEFT(对接源_02物料!$D245,3)="周转筐",N(对接源_02物料!$K245)&lt;&gt;0)),1,0)</f>
        <v>0</v>
      </c>
      <c r="AI1445" s="1" t="n">
        <f aca="false">N(AI1444)+$AH1445</f>
        <v>0</v>
      </c>
      <c r="AJ1445" s="1" t="n">
        <v>0</v>
      </c>
      <c r="AK1445" s="1" t="n">
        <f aca="false">N(AK1444)+$AJ1445</f>
        <v>3672</v>
      </c>
    </row>
    <row r="1446" customFormat="false" ht="13.5" hidden="false" customHeight="false" outlineLevel="0" collapsed="false">
      <c r="A1446" s="1" t="str">
        <f aca="false">IF(对接源_02物料!$C246="","",对接源_02物料!$C246)</f>
        <v/>
      </c>
      <c r="B1446" s="1" t="n">
        <f aca="false">IF(A1446="",0,IF(MATCH(A1446,$A$4:$A$2403,0)=ROW()-3,1,0))</f>
        <v>0</v>
      </c>
      <c r="C1446" s="1" t="n">
        <f aca="false">N(C1445)+B1446</f>
        <v>17</v>
      </c>
      <c r="K1446" s="1" t="n">
        <f aca="false">IF(OR($K$1="",对接源_02物料!$C246="",对接源_02物料!$C246&lt;&gt;$K$1,对接源_02物料!$B246=""),0,IF(OR(N(对接源_02物料!$B246)&lt;$K$2,N(对接源_02物料!$B246)&gt;$K$3),0,1))</f>
        <v>0</v>
      </c>
      <c r="L1446" s="1" t="n">
        <f aca="false">IF(OR($L$1="",对接源_02物料!$C246="",对接源_02物料!$C246&lt;&gt;$L$1,对接源_02物料!$B246=""),0,IF(OR(N(对接源_02物料!$B246)&lt;$L$2,N(对接源_02物料!$B246)&gt;$L$3),0,1))</f>
        <v>0</v>
      </c>
      <c r="M1446" s="1" t="n">
        <f aca="false">IF(OR($M$1="",对接源_02物料!$C246="",对接源_02物料!$C246&lt;&gt;$M$1,对接源_02物料!$B246=""),0,IF(OR(N(对接源_02物料!$B246)&lt;$M$2,N(对接源_02物料!$B246)&gt;$M$3),0,1))</f>
        <v>0</v>
      </c>
      <c r="N1446" s="1" t="n">
        <f aca="false">IF(OR($N$1="",对接源_02物料!$C246="",对接源_02物料!$C246&lt;&gt;$N$1,对接源_02物料!$B246=""),0,IF(OR(N(对接源_02物料!$B246)&lt;$N$2,N(对接源_02物料!$B246)&gt;$N$3),0,1))</f>
        <v>0</v>
      </c>
      <c r="P1446" s="1" t="n">
        <f aca="false">IF(AND($K1446=1,AND(对接源_02物料!$X246="公司筐",N(对接源_02物料!$T246)&lt;&gt;0)),1,0)</f>
        <v>0</v>
      </c>
      <c r="Q1446" s="1" t="n">
        <f aca="false">N(Q1445)+$P1446</f>
        <v>13</v>
      </c>
      <c r="R1446" s="1" t="n">
        <f aca="false">IF(AND($K1446=1,AND(对接源_02物料!$X246="公司筐",N(对接源_02物料!$U246)&lt;&gt;0)),1,0)</f>
        <v>0</v>
      </c>
      <c r="S1446" s="1" t="n">
        <f aca="false">N(S1445)+$R1446</f>
        <v>5</v>
      </c>
      <c r="T1446" s="1" t="n">
        <f aca="false">IF(AND($K1446=1,AND(对接源_02物料!$X246="公司筐",N(对接源_02物料!$V246)&lt;&gt;0)),1,0)</f>
        <v>0</v>
      </c>
      <c r="U1446" s="1" t="n">
        <f aca="false">N(U1445)+$T1446</f>
        <v>28</v>
      </c>
      <c r="V1446" s="1" t="n">
        <f aca="false">IF(AND($L1446=1,AND(对接源_02物料!$X246="自备筐",N(对接源_02物料!$V246)&lt;&gt;0)),1,0)</f>
        <v>0</v>
      </c>
      <c r="W1446" s="1" t="n">
        <f aca="false">N(W1445)+$V1446</f>
        <v>7</v>
      </c>
      <c r="X1446" s="1" t="n">
        <f aca="false">IF(AND($L1446=1,AND(对接源_02物料!$X246="自备筐",N(对接源_02物料!$T246)&lt;&gt;0)),1,0)</f>
        <v>0</v>
      </c>
      <c r="Y1446" s="1" t="n">
        <f aca="false">N(Y1445)+$X1446</f>
        <v>0</v>
      </c>
      <c r="Z1446" s="1" t="n">
        <f aca="false">IF(AND($M1446=1,对接源_02物料!$D246="原料入库"),1,0)</f>
        <v>0</v>
      </c>
      <c r="AA1446" s="1" t="n">
        <f aca="false">N(AA1445)+$Z1446</f>
        <v>30</v>
      </c>
      <c r="AB1446" s="1" t="n">
        <f aca="false">IF(AND($M1446=1,LEFT(对接源_02物料!$D246,4)="原料出库"),1,0)</f>
        <v>0</v>
      </c>
      <c r="AC1446" s="1" t="n">
        <f aca="false">N(AC1445)+$AB1446</f>
        <v>19</v>
      </c>
      <c r="AD1446" s="1" t="n">
        <f aca="false">IF(AND($M1446=1,LEFT(对接源_02物料!$D246,4)="成品出库"),1,0)</f>
        <v>0</v>
      </c>
      <c r="AE1446" s="1" t="n">
        <f aca="false">N(AE1445)+$AD1446</f>
        <v>38</v>
      </c>
      <c r="AF1446" s="1" t="n">
        <f aca="false">IF(AND($N1446=1,AND(LEFT(对接源_02物料!$D246,4)="包装物料",N(对接源_02物料!$K246)&lt;&gt;0)),1,0)</f>
        <v>0</v>
      </c>
      <c r="AG1446" s="1" t="n">
        <f aca="false">N(AG1445)+$AF1446</f>
        <v>6</v>
      </c>
      <c r="AH1446" s="1" t="n">
        <f aca="false">IF(AND($N1446=1,AND(LEFT(对接源_02物料!$D246,3)="周转筐",N(对接源_02物料!$K246)&lt;&gt;0)),1,0)</f>
        <v>0</v>
      </c>
      <c r="AI1446" s="1" t="n">
        <f aca="false">N(AI1445)+$AH1446</f>
        <v>0</v>
      </c>
      <c r="AJ1446" s="1" t="n">
        <v>0</v>
      </c>
      <c r="AK1446" s="1" t="n">
        <f aca="false">N(AK1445)+$AJ1446</f>
        <v>3672</v>
      </c>
    </row>
    <row r="1447" customFormat="false" ht="13.5" hidden="false" customHeight="false" outlineLevel="0" collapsed="false">
      <c r="A1447" s="1" t="str">
        <f aca="false">IF(对接源_02物料!$C247="","",对接源_02物料!$C247)</f>
        <v/>
      </c>
      <c r="B1447" s="1" t="n">
        <f aca="false">IF(A1447="",0,IF(MATCH(A1447,$A$4:$A$2403,0)=ROW()-3,1,0))</f>
        <v>0</v>
      </c>
      <c r="C1447" s="1" t="n">
        <f aca="false">N(C1446)+B1447</f>
        <v>17</v>
      </c>
      <c r="K1447" s="1" t="n">
        <f aca="false">IF(OR($K$1="",对接源_02物料!$C247="",对接源_02物料!$C247&lt;&gt;$K$1,对接源_02物料!$B247=""),0,IF(OR(N(对接源_02物料!$B247)&lt;$K$2,N(对接源_02物料!$B247)&gt;$K$3),0,1))</f>
        <v>0</v>
      </c>
      <c r="L1447" s="1" t="n">
        <f aca="false">IF(OR($L$1="",对接源_02物料!$C247="",对接源_02物料!$C247&lt;&gt;$L$1,对接源_02物料!$B247=""),0,IF(OR(N(对接源_02物料!$B247)&lt;$L$2,N(对接源_02物料!$B247)&gt;$L$3),0,1))</f>
        <v>0</v>
      </c>
      <c r="M1447" s="1" t="n">
        <f aca="false">IF(OR($M$1="",对接源_02物料!$C247="",对接源_02物料!$C247&lt;&gt;$M$1,对接源_02物料!$B247=""),0,IF(OR(N(对接源_02物料!$B247)&lt;$M$2,N(对接源_02物料!$B247)&gt;$M$3),0,1))</f>
        <v>0</v>
      </c>
      <c r="N1447" s="1" t="n">
        <f aca="false">IF(OR($N$1="",对接源_02物料!$C247="",对接源_02物料!$C247&lt;&gt;$N$1,对接源_02物料!$B247=""),0,IF(OR(N(对接源_02物料!$B247)&lt;$N$2,N(对接源_02物料!$B247)&gt;$N$3),0,1))</f>
        <v>0</v>
      </c>
      <c r="P1447" s="1" t="n">
        <f aca="false">IF(AND($K1447=1,AND(对接源_02物料!$X247="公司筐",N(对接源_02物料!$T247)&lt;&gt;0)),1,0)</f>
        <v>0</v>
      </c>
      <c r="Q1447" s="1" t="n">
        <f aca="false">N(Q1446)+$P1447</f>
        <v>13</v>
      </c>
      <c r="R1447" s="1" t="n">
        <f aca="false">IF(AND($K1447=1,AND(对接源_02物料!$X247="公司筐",N(对接源_02物料!$U247)&lt;&gt;0)),1,0)</f>
        <v>0</v>
      </c>
      <c r="S1447" s="1" t="n">
        <f aca="false">N(S1446)+$R1447</f>
        <v>5</v>
      </c>
      <c r="T1447" s="1" t="n">
        <f aca="false">IF(AND($K1447=1,AND(对接源_02物料!$X247="公司筐",N(对接源_02物料!$V247)&lt;&gt;0)),1,0)</f>
        <v>0</v>
      </c>
      <c r="U1447" s="1" t="n">
        <f aca="false">N(U1446)+$T1447</f>
        <v>28</v>
      </c>
      <c r="V1447" s="1" t="n">
        <f aca="false">IF(AND($L1447=1,AND(对接源_02物料!$X247="自备筐",N(对接源_02物料!$V247)&lt;&gt;0)),1,0)</f>
        <v>0</v>
      </c>
      <c r="W1447" s="1" t="n">
        <f aca="false">N(W1446)+$V1447</f>
        <v>7</v>
      </c>
      <c r="X1447" s="1" t="n">
        <f aca="false">IF(AND($L1447=1,AND(对接源_02物料!$X247="自备筐",N(对接源_02物料!$T247)&lt;&gt;0)),1,0)</f>
        <v>0</v>
      </c>
      <c r="Y1447" s="1" t="n">
        <f aca="false">N(Y1446)+$X1447</f>
        <v>0</v>
      </c>
      <c r="Z1447" s="1" t="n">
        <f aca="false">IF(AND($M1447=1,对接源_02物料!$D247="原料入库"),1,0)</f>
        <v>0</v>
      </c>
      <c r="AA1447" s="1" t="n">
        <f aca="false">N(AA1446)+$Z1447</f>
        <v>30</v>
      </c>
      <c r="AB1447" s="1" t="n">
        <f aca="false">IF(AND($M1447=1,LEFT(对接源_02物料!$D247,4)="原料出库"),1,0)</f>
        <v>0</v>
      </c>
      <c r="AC1447" s="1" t="n">
        <f aca="false">N(AC1446)+$AB1447</f>
        <v>19</v>
      </c>
      <c r="AD1447" s="1" t="n">
        <f aca="false">IF(AND($M1447=1,LEFT(对接源_02物料!$D247,4)="成品出库"),1,0)</f>
        <v>0</v>
      </c>
      <c r="AE1447" s="1" t="n">
        <f aca="false">N(AE1446)+$AD1447</f>
        <v>38</v>
      </c>
      <c r="AF1447" s="1" t="n">
        <f aca="false">IF(AND($N1447=1,AND(LEFT(对接源_02物料!$D247,4)="包装物料",N(对接源_02物料!$K247)&lt;&gt;0)),1,0)</f>
        <v>0</v>
      </c>
      <c r="AG1447" s="1" t="n">
        <f aca="false">N(AG1446)+$AF1447</f>
        <v>6</v>
      </c>
      <c r="AH1447" s="1" t="n">
        <f aca="false">IF(AND($N1447=1,AND(LEFT(对接源_02物料!$D247,3)="周转筐",N(对接源_02物料!$K247)&lt;&gt;0)),1,0)</f>
        <v>0</v>
      </c>
      <c r="AI1447" s="1" t="n">
        <f aca="false">N(AI1446)+$AH1447</f>
        <v>0</v>
      </c>
      <c r="AJ1447" s="1" t="n">
        <v>0</v>
      </c>
      <c r="AK1447" s="1" t="n">
        <f aca="false">N(AK1446)+$AJ1447</f>
        <v>3672</v>
      </c>
    </row>
    <row r="1448" customFormat="false" ht="13.5" hidden="false" customHeight="false" outlineLevel="0" collapsed="false">
      <c r="A1448" s="1" t="str">
        <f aca="false">IF(对接源_02物料!$C248="","",对接源_02物料!$C248)</f>
        <v/>
      </c>
      <c r="B1448" s="1" t="n">
        <f aca="false">IF(A1448="",0,IF(MATCH(A1448,$A$4:$A$2403,0)=ROW()-3,1,0))</f>
        <v>0</v>
      </c>
      <c r="C1448" s="1" t="n">
        <f aca="false">N(C1447)+B1448</f>
        <v>17</v>
      </c>
      <c r="K1448" s="1" t="n">
        <f aca="false">IF(OR($K$1="",对接源_02物料!$C248="",对接源_02物料!$C248&lt;&gt;$K$1,对接源_02物料!$B248=""),0,IF(OR(N(对接源_02物料!$B248)&lt;$K$2,N(对接源_02物料!$B248)&gt;$K$3),0,1))</f>
        <v>0</v>
      </c>
      <c r="L1448" s="1" t="n">
        <f aca="false">IF(OR($L$1="",对接源_02物料!$C248="",对接源_02物料!$C248&lt;&gt;$L$1,对接源_02物料!$B248=""),0,IF(OR(N(对接源_02物料!$B248)&lt;$L$2,N(对接源_02物料!$B248)&gt;$L$3),0,1))</f>
        <v>0</v>
      </c>
      <c r="M1448" s="1" t="n">
        <f aca="false">IF(OR($M$1="",对接源_02物料!$C248="",对接源_02物料!$C248&lt;&gt;$M$1,对接源_02物料!$B248=""),0,IF(OR(N(对接源_02物料!$B248)&lt;$M$2,N(对接源_02物料!$B248)&gt;$M$3),0,1))</f>
        <v>0</v>
      </c>
      <c r="N1448" s="1" t="n">
        <f aca="false">IF(OR($N$1="",对接源_02物料!$C248="",对接源_02物料!$C248&lt;&gt;$N$1,对接源_02物料!$B248=""),0,IF(OR(N(对接源_02物料!$B248)&lt;$N$2,N(对接源_02物料!$B248)&gt;$N$3),0,1))</f>
        <v>0</v>
      </c>
      <c r="P1448" s="1" t="n">
        <f aca="false">IF(AND($K1448=1,AND(对接源_02物料!$X248="公司筐",N(对接源_02物料!$T248)&lt;&gt;0)),1,0)</f>
        <v>0</v>
      </c>
      <c r="Q1448" s="1" t="n">
        <f aca="false">N(Q1447)+$P1448</f>
        <v>13</v>
      </c>
      <c r="R1448" s="1" t="n">
        <f aca="false">IF(AND($K1448=1,AND(对接源_02物料!$X248="公司筐",N(对接源_02物料!$U248)&lt;&gt;0)),1,0)</f>
        <v>0</v>
      </c>
      <c r="S1448" s="1" t="n">
        <f aca="false">N(S1447)+$R1448</f>
        <v>5</v>
      </c>
      <c r="T1448" s="1" t="n">
        <f aca="false">IF(AND($K1448=1,AND(对接源_02物料!$X248="公司筐",N(对接源_02物料!$V248)&lt;&gt;0)),1,0)</f>
        <v>0</v>
      </c>
      <c r="U1448" s="1" t="n">
        <f aca="false">N(U1447)+$T1448</f>
        <v>28</v>
      </c>
      <c r="V1448" s="1" t="n">
        <f aca="false">IF(AND($L1448=1,AND(对接源_02物料!$X248="自备筐",N(对接源_02物料!$V248)&lt;&gt;0)),1,0)</f>
        <v>0</v>
      </c>
      <c r="W1448" s="1" t="n">
        <f aca="false">N(W1447)+$V1448</f>
        <v>7</v>
      </c>
      <c r="X1448" s="1" t="n">
        <f aca="false">IF(AND($L1448=1,AND(对接源_02物料!$X248="自备筐",N(对接源_02物料!$T248)&lt;&gt;0)),1,0)</f>
        <v>0</v>
      </c>
      <c r="Y1448" s="1" t="n">
        <f aca="false">N(Y1447)+$X1448</f>
        <v>0</v>
      </c>
      <c r="Z1448" s="1" t="n">
        <f aca="false">IF(AND($M1448=1,对接源_02物料!$D248="原料入库"),1,0)</f>
        <v>0</v>
      </c>
      <c r="AA1448" s="1" t="n">
        <f aca="false">N(AA1447)+$Z1448</f>
        <v>30</v>
      </c>
      <c r="AB1448" s="1" t="n">
        <f aca="false">IF(AND($M1448=1,LEFT(对接源_02物料!$D248,4)="原料出库"),1,0)</f>
        <v>0</v>
      </c>
      <c r="AC1448" s="1" t="n">
        <f aca="false">N(AC1447)+$AB1448</f>
        <v>19</v>
      </c>
      <c r="AD1448" s="1" t="n">
        <f aca="false">IF(AND($M1448=1,LEFT(对接源_02物料!$D248,4)="成品出库"),1,0)</f>
        <v>0</v>
      </c>
      <c r="AE1448" s="1" t="n">
        <f aca="false">N(AE1447)+$AD1448</f>
        <v>38</v>
      </c>
      <c r="AF1448" s="1" t="n">
        <f aca="false">IF(AND($N1448=1,AND(LEFT(对接源_02物料!$D248,4)="包装物料",N(对接源_02物料!$K248)&lt;&gt;0)),1,0)</f>
        <v>0</v>
      </c>
      <c r="AG1448" s="1" t="n">
        <f aca="false">N(AG1447)+$AF1448</f>
        <v>6</v>
      </c>
      <c r="AH1448" s="1" t="n">
        <f aca="false">IF(AND($N1448=1,AND(LEFT(对接源_02物料!$D248,3)="周转筐",N(对接源_02物料!$K248)&lt;&gt;0)),1,0)</f>
        <v>0</v>
      </c>
      <c r="AI1448" s="1" t="n">
        <f aca="false">N(AI1447)+$AH1448</f>
        <v>0</v>
      </c>
      <c r="AJ1448" s="1" t="n">
        <v>0</v>
      </c>
      <c r="AK1448" s="1" t="n">
        <f aca="false">N(AK1447)+$AJ1448</f>
        <v>3672</v>
      </c>
    </row>
    <row r="1449" customFormat="false" ht="13.5" hidden="false" customHeight="false" outlineLevel="0" collapsed="false">
      <c r="A1449" s="1" t="str">
        <f aca="false">IF(对接源_02物料!$C249="","",对接源_02物料!$C249)</f>
        <v/>
      </c>
      <c r="B1449" s="1" t="n">
        <f aca="false">IF(A1449="",0,IF(MATCH(A1449,$A$4:$A$2403,0)=ROW()-3,1,0))</f>
        <v>0</v>
      </c>
      <c r="C1449" s="1" t="n">
        <f aca="false">N(C1448)+B1449</f>
        <v>17</v>
      </c>
      <c r="K1449" s="1" t="n">
        <f aca="false">IF(OR($K$1="",对接源_02物料!$C249="",对接源_02物料!$C249&lt;&gt;$K$1,对接源_02物料!$B249=""),0,IF(OR(N(对接源_02物料!$B249)&lt;$K$2,N(对接源_02物料!$B249)&gt;$K$3),0,1))</f>
        <v>0</v>
      </c>
      <c r="L1449" s="1" t="n">
        <f aca="false">IF(OR($L$1="",对接源_02物料!$C249="",对接源_02物料!$C249&lt;&gt;$L$1,对接源_02物料!$B249=""),0,IF(OR(N(对接源_02物料!$B249)&lt;$L$2,N(对接源_02物料!$B249)&gt;$L$3),0,1))</f>
        <v>0</v>
      </c>
      <c r="M1449" s="1" t="n">
        <f aca="false">IF(OR($M$1="",对接源_02物料!$C249="",对接源_02物料!$C249&lt;&gt;$M$1,对接源_02物料!$B249=""),0,IF(OR(N(对接源_02物料!$B249)&lt;$M$2,N(对接源_02物料!$B249)&gt;$M$3),0,1))</f>
        <v>0</v>
      </c>
      <c r="N1449" s="1" t="n">
        <f aca="false">IF(OR($N$1="",对接源_02物料!$C249="",对接源_02物料!$C249&lt;&gt;$N$1,对接源_02物料!$B249=""),0,IF(OR(N(对接源_02物料!$B249)&lt;$N$2,N(对接源_02物料!$B249)&gt;$N$3),0,1))</f>
        <v>0</v>
      </c>
      <c r="P1449" s="1" t="n">
        <f aca="false">IF(AND($K1449=1,AND(对接源_02物料!$X249="公司筐",N(对接源_02物料!$T249)&lt;&gt;0)),1,0)</f>
        <v>0</v>
      </c>
      <c r="Q1449" s="1" t="n">
        <f aca="false">N(Q1448)+$P1449</f>
        <v>13</v>
      </c>
      <c r="R1449" s="1" t="n">
        <f aca="false">IF(AND($K1449=1,AND(对接源_02物料!$X249="公司筐",N(对接源_02物料!$U249)&lt;&gt;0)),1,0)</f>
        <v>0</v>
      </c>
      <c r="S1449" s="1" t="n">
        <f aca="false">N(S1448)+$R1449</f>
        <v>5</v>
      </c>
      <c r="T1449" s="1" t="n">
        <f aca="false">IF(AND($K1449=1,AND(对接源_02物料!$X249="公司筐",N(对接源_02物料!$V249)&lt;&gt;0)),1,0)</f>
        <v>0</v>
      </c>
      <c r="U1449" s="1" t="n">
        <f aca="false">N(U1448)+$T1449</f>
        <v>28</v>
      </c>
      <c r="V1449" s="1" t="n">
        <f aca="false">IF(AND($L1449=1,AND(对接源_02物料!$X249="自备筐",N(对接源_02物料!$V249)&lt;&gt;0)),1,0)</f>
        <v>0</v>
      </c>
      <c r="W1449" s="1" t="n">
        <f aca="false">N(W1448)+$V1449</f>
        <v>7</v>
      </c>
      <c r="X1449" s="1" t="n">
        <f aca="false">IF(AND($L1449=1,AND(对接源_02物料!$X249="自备筐",N(对接源_02物料!$T249)&lt;&gt;0)),1,0)</f>
        <v>0</v>
      </c>
      <c r="Y1449" s="1" t="n">
        <f aca="false">N(Y1448)+$X1449</f>
        <v>0</v>
      </c>
      <c r="Z1449" s="1" t="n">
        <f aca="false">IF(AND($M1449=1,对接源_02物料!$D249="原料入库"),1,0)</f>
        <v>0</v>
      </c>
      <c r="AA1449" s="1" t="n">
        <f aca="false">N(AA1448)+$Z1449</f>
        <v>30</v>
      </c>
      <c r="AB1449" s="1" t="n">
        <f aca="false">IF(AND($M1449=1,LEFT(对接源_02物料!$D249,4)="原料出库"),1,0)</f>
        <v>0</v>
      </c>
      <c r="AC1449" s="1" t="n">
        <f aca="false">N(AC1448)+$AB1449</f>
        <v>19</v>
      </c>
      <c r="AD1449" s="1" t="n">
        <f aca="false">IF(AND($M1449=1,LEFT(对接源_02物料!$D249,4)="成品出库"),1,0)</f>
        <v>0</v>
      </c>
      <c r="AE1449" s="1" t="n">
        <f aca="false">N(AE1448)+$AD1449</f>
        <v>38</v>
      </c>
      <c r="AF1449" s="1" t="n">
        <f aca="false">IF(AND($N1449=1,AND(LEFT(对接源_02物料!$D249,4)="包装物料",N(对接源_02物料!$K249)&lt;&gt;0)),1,0)</f>
        <v>0</v>
      </c>
      <c r="AG1449" s="1" t="n">
        <f aca="false">N(AG1448)+$AF1449</f>
        <v>6</v>
      </c>
      <c r="AH1449" s="1" t="n">
        <f aca="false">IF(AND($N1449=1,AND(LEFT(对接源_02物料!$D249,3)="周转筐",N(对接源_02物料!$K249)&lt;&gt;0)),1,0)</f>
        <v>0</v>
      </c>
      <c r="AI1449" s="1" t="n">
        <f aca="false">N(AI1448)+$AH1449</f>
        <v>0</v>
      </c>
      <c r="AJ1449" s="1" t="n">
        <v>0</v>
      </c>
      <c r="AK1449" s="1" t="n">
        <f aca="false">N(AK1448)+$AJ1449</f>
        <v>3672</v>
      </c>
    </row>
    <row r="1450" customFormat="false" ht="13.5" hidden="false" customHeight="false" outlineLevel="0" collapsed="false">
      <c r="A1450" s="1" t="str">
        <f aca="false">IF(对接源_02物料!$C250="","",对接源_02物料!$C250)</f>
        <v/>
      </c>
      <c r="B1450" s="1" t="n">
        <f aca="false">IF(A1450="",0,IF(MATCH(A1450,$A$4:$A$2403,0)=ROW()-3,1,0))</f>
        <v>0</v>
      </c>
      <c r="C1450" s="1" t="n">
        <f aca="false">N(C1449)+B1450</f>
        <v>17</v>
      </c>
      <c r="K1450" s="1" t="n">
        <f aca="false">IF(OR($K$1="",对接源_02物料!$C250="",对接源_02物料!$C250&lt;&gt;$K$1,对接源_02物料!$B250=""),0,IF(OR(N(对接源_02物料!$B250)&lt;$K$2,N(对接源_02物料!$B250)&gt;$K$3),0,1))</f>
        <v>0</v>
      </c>
      <c r="L1450" s="1" t="n">
        <f aca="false">IF(OR($L$1="",对接源_02物料!$C250="",对接源_02物料!$C250&lt;&gt;$L$1,对接源_02物料!$B250=""),0,IF(OR(N(对接源_02物料!$B250)&lt;$L$2,N(对接源_02物料!$B250)&gt;$L$3),0,1))</f>
        <v>0</v>
      </c>
      <c r="M1450" s="1" t="n">
        <f aca="false">IF(OR($M$1="",对接源_02物料!$C250="",对接源_02物料!$C250&lt;&gt;$M$1,对接源_02物料!$B250=""),0,IF(OR(N(对接源_02物料!$B250)&lt;$M$2,N(对接源_02物料!$B250)&gt;$M$3),0,1))</f>
        <v>0</v>
      </c>
      <c r="N1450" s="1" t="n">
        <f aca="false">IF(OR($N$1="",对接源_02物料!$C250="",对接源_02物料!$C250&lt;&gt;$N$1,对接源_02物料!$B250=""),0,IF(OR(N(对接源_02物料!$B250)&lt;$N$2,N(对接源_02物料!$B250)&gt;$N$3),0,1))</f>
        <v>0</v>
      </c>
      <c r="P1450" s="1" t="n">
        <f aca="false">IF(AND($K1450=1,AND(对接源_02物料!$X250="公司筐",N(对接源_02物料!$T250)&lt;&gt;0)),1,0)</f>
        <v>0</v>
      </c>
      <c r="Q1450" s="1" t="n">
        <f aca="false">N(Q1449)+$P1450</f>
        <v>13</v>
      </c>
      <c r="R1450" s="1" t="n">
        <f aca="false">IF(AND($K1450=1,AND(对接源_02物料!$X250="公司筐",N(对接源_02物料!$U250)&lt;&gt;0)),1,0)</f>
        <v>0</v>
      </c>
      <c r="S1450" s="1" t="n">
        <f aca="false">N(S1449)+$R1450</f>
        <v>5</v>
      </c>
      <c r="T1450" s="1" t="n">
        <f aca="false">IF(AND($K1450=1,AND(对接源_02物料!$X250="公司筐",N(对接源_02物料!$V250)&lt;&gt;0)),1,0)</f>
        <v>0</v>
      </c>
      <c r="U1450" s="1" t="n">
        <f aca="false">N(U1449)+$T1450</f>
        <v>28</v>
      </c>
      <c r="V1450" s="1" t="n">
        <f aca="false">IF(AND($L1450=1,AND(对接源_02物料!$X250="自备筐",N(对接源_02物料!$V250)&lt;&gt;0)),1,0)</f>
        <v>0</v>
      </c>
      <c r="W1450" s="1" t="n">
        <f aca="false">N(W1449)+$V1450</f>
        <v>7</v>
      </c>
      <c r="X1450" s="1" t="n">
        <f aca="false">IF(AND($L1450=1,AND(对接源_02物料!$X250="自备筐",N(对接源_02物料!$T250)&lt;&gt;0)),1,0)</f>
        <v>0</v>
      </c>
      <c r="Y1450" s="1" t="n">
        <f aca="false">N(Y1449)+$X1450</f>
        <v>0</v>
      </c>
      <c r="Z1450" s="1" t="n">
        <f aca="false">IF(AND($M1450=1,对接源_02物料!$D250="原料入库"),1,0)</f>
        <v>0</v>
      </c>
      <c r="AA1450" s="1" t="n">
        <f aca="false">N(AA1449)+$Z1450</f>
        <v>30</v>
      </c>
      <c r="AB1450" s="1" t="n">
        <f aca="false">IF(AND($M1450=1,LEFT(对接源_02物料!$D250,4)="原料出库"),1,0)</f>
        <v>0</v>
      </c>
      <c r="AC1450" s="1" t="n">
        <f aca="false">N(AC1449)+$AB1450</f>
        <v>19</v>
      </c>
      <c r="AD1450" s="1" t="n">
        <f aca="false">IF(AND($M1450=1,LEFT(对接源_02物料!$D250,4)="成品出库"),1,0)</f>
        <v>0</v>
      </c>
      <c r="AE1450" s="1" t="n">
        <f aca="false">N(AE1449)+$AD1450</f>
        <v>38</v>
      </c>
      <c r="AF1450" s="1" t="n">
        <f aca="false">IF(AND($N1450=1,AND(LEFT(对接源_02物料!$D250,4)="包装物料",N(对接源_02物料!$K250)&lt;&gt;0)),1,0)</f>
        <v>0</v>
      </c>
      <c r="AG1450" s="1" t="n">
        <f aca="false">N(AG1449)+$AF1450</f>
        <v>6</v>
      </c>
      <c r="AH1450" s="1" t="n">
        <f aca="false">IF(AND($N1450=1,AND(LEFT(对接源_02物料!$D250,3)="周转筐",N(对接源_02物料!$K250)&lt;&gt;0)),1,0)</f>
        <v>0</v>
      </c>
      <c r="AI1450" s="1" t="n">
        <f aca="false">N(AI1449)+$AH1450</f>
        <v>0</v>
      </c>
      <c r="AJ1450" s="1" t="n">
        <v>0</v>
      </c>
      <c r="AK1450" s="1" t="n">
        <f aca="false">N(AK1449)+$AJ1450</f>
        <v>3672</v>
      </c>
    </row>
    <row r="1451" customFormat="false" ht="13.5" hidden="false" customHeight="false" outlineLevel="0" collapsed="false">
      <c r="A1451" s="1" t="str">
        <f aca="false">IF(对接源_02物料!$C251="","",对接源_02物料!$C251)</f>
        <v/>
      </c>
      <c r="B1451" s="1" t="n">
        <f aca="false">IF(A1451="",0,IF(MATCH(A1451,$A$4:$A$2403,0)=ROW()-3,1,0))</f>
        <v>0</v>
      </c>
      <c r="C1451" s="1" t="n">
        <f aca="false">N(C1450)+B1451</f>
        <v>17</v>
      </c>
      <c r="K1451" s="1" t="n">
        <f aca="false">IF(OR($K$1="",对接源_02物料!$C251="",对接源_02物料!$C251&lt;&gt;$K$1,对接源_02物料!$B251=""),0,IF(OR(N(对接源_02物料!$B251)&lt;$K$2,N(对接源_02物料!$B251)&gt;$K$3),0,1))</f>
        <v>0</v>
      </c>
      <c r="L1451" s="1" t="n">
        <f aca="false">IF(OR($L$1="",对接源_02物料!$C251="",对接源_02物料!$C251&lt;&gt;$L$1,对接源_02物料!$B251=""),0,IF(OR(N(对接源_02物料!$B251)&lt;$L$2,N(对接源_02物料!$B251)&gt;$L$3),0,1))</f>
        <v>0</v>
      </c>
      <c r="M1451" s="1" t="n">
        <f aca="false">IF(OR($M$1="",对接源_02物料!$C251="",对接源_02物料!$C251&lt;&gt;$M$1,对接源_02物料!$B251=""),0,IF(OR(N(对接源_02物料!$B251)&lt;$M$2,N(对接源_02物料!$B251)&gt;$M$3),0,1))</f>
        <v>0</v>
      </c>
      <c r="N1451" s="1" t="n">
        <f aca="false">IF(OR($N$1="",对接源_02物料!$C251="",对接源_02物料!$C251&lt;&gt;$N$1,对接源_02物料!$B251=""),0,IF(OR(N(对接源_02物料!$B251)&lt;$N$2,N(对接源_02物料!$B251)&gt;$N$3),0,1))</f>
        <v>0</v>
      </c>
      <c r="P1451" s="1" t="n">
        <f aca="false">IF(AND($K1451=1,AND(对接源_02物料!$X251="公司筐",N(对接源_02物料!$T251)&lt;&gt;0)),1,0)</f>
        <v>0</v>
      </c>
      <c r="Q1451" s="1" t="n">
        <f aca="false">N(Q1450)+$P1451</f>
        <v>13</v>
      </c>
      <c r="R1451" s="1" t="n">
        <f aca="false">IF(AND($K1451=1,AND(对接源_02物料!$X251="公司筐",N(对接源_02物料!$U251)&lt;&gt;0)),1,0)</f>
        <v>0</v>
      </c>
      <c r="S1451" s="1" t="n">
        <f aca="false">N(S1450)+$R1451</f>
        <v>5</v>
      </c>
      <c r="T1451" s="1" t="n">
        <f aca="false">IF(AND($K1451=1,AND(对接源_02物料!$X251="公司筐",N(对接源_02物料!$V251)&lt;&gt;0)),1,0)</f>
        <v>0</v>
      </c>
      <c r="U1451" s="1" t="n">
        <f aca="false">N(U1450)+$T1451</f>
        <v>28</v>
      </c>
      <c r="V1451" s="1" t="n">
        <f aca="false">IF(AND($L1451=1,AND(对接源_02物料!$X251="自备筐",N(对接源_02物料!$V251)&lt;&gt;0)),1,0)</f>
        <v>0</v>
      </c>
      <c r="W1451" s="1" t="n">
        <f aca="false">N(W1450)+$V1451</f>
        <v>7</v>
      </c>
      <c r="X1451" s="1" t="n">
        <f aca="false">IF(AND($L1451=1,AND(对接源_02物料!$X251="自备筐",N(对接源_02物料!$T251)&lt;&gt;0)),1,0)</f>
        <v>0</v>
      </c>
      <c r="Y1451" s="1" t="n">
        <f aca="false">N(Y1450)+$X1451</f>
        <v>0</v>
      </c>
      <c r="Z1451" s="1" t="n">
        <f aca="false">IF(AND($M1451=1,对接源_02物料!$D251="原料入库"),1,0)</f>
        <v>0</v>
      </c>
      <c r="AA1451" s="1" t="n">
        <f aca="false">N(AA1450)+$Z1451</f>
        <v>30</v>
      </c>
      <c r="AB1451" s="1" t="n">
        <f aca="false">IF(AND($M1451=1,LEFT(对接源_02物料!$D251,4)="原料出库"),1,0)</f>
        <v>0</v>
      </c>
      <c r="AC1451" s="1" t="n">
        <f aca="false">N(AC1450)+$AB1451</f>
        <v>19</v>
      </c>
      <c r="AD1451" s="1" t="n">
        <f aca="false">IF(AND($M1451=1,LEFT(对接源_02物料!$D251,4)="成品出库"),1,0)</f>
        <v>0</v>
      </c>
      <c r="AE1451" s="1" t="n">
        <f aca="false">N(AE1450)+$AD1451</f>
        <v>38</v>
      </c>
      <c r="AF1451" s="1" t="n">
        <f aca="false">IF(AND($N1451=1,AND(LEFT(对接源_02物料!$D251,4)="包装物料",N(对接源_02物料!$K251)&lt;&gt;0)),1,0)</f>
        <v>0</v>
      </c>
      <c r="AG1451" s="1" t="n">
        <f aca="false">N(AG1450)+$AF1451</f>
        <v>6</v>
      </c>
      <c r="AH1451" s="1" t="n">
        <f aca="false">IF(AND($N1451=1,AND(LEFT(对接源_02物料!$D251,3)="周转筐",N(对接源_02物料!$K251)&lt;&gt;0)),1,0)</f>
        <v>0</v>
      </c>
      <c r="AI1451" s="1" t="n">
        <f aca="false">N(AI1450)+$AH1451</f>
        <v>0</v>
      </c>
      <c r="AJ1451" s="1" t="n">
        <v>0</v>
      </c>
      <c r="AK1451" s="1" t="n">
        <f aca="false">N(AK1450)+$AJ1451</f>
        <v>3672</v>
      </c>
    </row>
    <row r="1452" customFormat="false" ht="13.5" hidden="false" customHeight="false" outlineLevel="0" collapsed="false">
      <c r="A1452" s="1" t="str">
        <f aca="false">IF(对接源_02物料!$C252="","",对接源_02物料!$C252)</f>
        <v/>
      </c>
      <c r="B1452" s="1" t="n">
        <f aca="false">IF(A1452="",0,IF(MATCH(A1452,$A$4:$A$2403,0)=ROW()-3,1,0))</f>
        <v>0</v>
      </c>
      <c r="C1452" s="1" t="n">
        <f aca="false">N(C1451)+B1452</f>
        <v>17</v>
      </c>
      <c r="K1452" s="1" t="n">
        <f aca="false">IF(OR($K$1="",对接源_02物料!$C252="",对接源_02物料!$C252&lt;&gt;$K$1,对接源_02物料!$B252=""),0,IF(OR(N(对接源_02物料!$B252)&lt;$K$2,N(对接源_02物料!$B252)&gt;$K$3),0,1))</f>
        <v>0</v>
      </c>
      <c r="L1452" s="1" t="n">
        <f aca="false">IF(OR($L$1="",对接源_02物料!$C252="",对接源_02物料!$C252&lt;&gt;$L$1,对接源_02物料!$B252=""),0,IF(OR(N(对接源_02物料!$B252)&lt;$L$2,N(对接源_02物料!$B252)&gt;$L$3),0,1))</f>
        <v>0</v>
      </c>
      <c r="M1452" s="1" t="n">
        <f aca="false">IF(OR($M$1="",对接源_02物料!$C252="",对接源_02物料!$C252&lt;&gt;$M$1,对接源_02物料!$B252=""),0,IF(OR(N(对接源_02物料!$B252)&lt;$M$2,N(对接源_02物料!$B252)&gt;$M$3),0,1))</f>
        <v>0</v>
      </c>
      <c r="N1452" s="1" t="n">
        <f aca="false">IF(OR($N$1="",对接源_02物料!$C252="",对接源_02物料!$C252&lt;&gt;$N$1,对接源_02物料!$B252=""),0,IF(OR(N(对接源_02物料!$B252)&lt;$N$2,N(对接源_02物料!$B252)&gt;$N$3),0,1))</f>
        <v>0</v>
      </c>
      <c r="P1452" s="1" t="n">
        <f aca="false">IF(AND($K1452=1,AND(对接源_02物料!$X252="公司筐",N(对接源_02物料!$T252)&lt;&gt;0)),1,0)</f>
        <v>0</v>
      </c>
      <c r="Q1452" s="1" t="n">
        <f aca="false">N(Q1451)+$P1452</f>
        <v>13</v>
      </c>
      <c r="R1452" s="1" t="n">
        <f aca="false">IF(AND($K1452=1,AND(对接源_02物料!$X252="公司筐",N(对接源_02物料!$U252)&lt;&gt;0)),1,0)</f>
        <v>0</v>
      </c>
      <c r="S1452" s="1" t="n">
        <f aca="false">N(S1451)+$R1452</f>
        <v>5</v>
      </c>
      <c r="T1452" s="1" t="n">
        <f aca="false">IF(AND($K1452=1,AND(对接源_02物料!$X252="公司筐",N(对接源_02物料!$V252)&lt;&gt;0)),1,0)</f>
        <v>0</v>
      </c>
      <c r="U1452" s="1" t="n">
        <f aca="false">N(U1451)+$T1452</f>
        <v>28</v>
      </c>
      <c r="V1452" s="1" t="n">
        <f aca="false">IF(AND($L1452=1,AND(对接源_02物料!$X252="自备筐",N(对接源_02物料!$V252)&lt;&gt;0)),1,0)</f>
        <v>0</v>
      </c>
      <c r="W1452" s="1" t="n">
        <f aca="false">N(W1451)+$V1452</f>
        <v>7</v>
      </c>
      <c r="X1452" s="1" t="n">
        <f aca="false">IF(AND($L1452=1,AND(对接源_02物料!$X252="自备筐",N(对接源_02物料!$T252)&lt;&gt;0)),1,0)</f>
        <v>0</v>
      </c>
      <c r="Y1452" s="1" t="n">
        <f aca="false">N(Y1451)+$X1452</f>
        <v>0</v>
      </c>
      <c r="Z1452" s="1" t="n">
        <f aca="false">IF(AND($M1452=1,对接源_02物料!$D252="原料入库"),1,0)</f>
        <v>0</v>
      </c>
      <c r="AA1452" s="1" t="n">
        <f aca="false">N(AA1451)+$Z1452</f>
        <v>30</v>
      </c>
      <c r="AB1452" s="1" t="n">
        <f aca="false">IF(AND($M1452=1,LEFT(对接源_02物料!$D252,4)="原料出库"),1,0)</f>
        <v>0</v>
      </c>
      <c r="AC1452" s="1" t="n">
        <f aca="false">N(AC1451)+$AB1452</f>
        <v>19</v>
      </c>
      <c r="AD1452" s="1" t="n">
        <f aca="false">IF(AND($M1452=1,LEFT(对接源_02物料!$D252,4)="成品出库"),1,0)</f>
        <v>0</v>
      </c>
      <c r="AE1452" s="1" t="n">
        <f aca="false">N(AE1451)+$AD1452</f>
        <v>38</v>
      </c>
      <c r="AF1452" s="1" t="n">
        <f aca="false">IF(AND($N1452=1,AND(LEFT(对接源_02物料!$D252,4)="包装物料",N(对接源_02物料!$K252)&lt;&gt;0)),1,0)</f>
        <v>0</v>
      </c>
      <c r="AG1452" s="1" t="n">
        <f aca="false">N(AG1451)+$AF1452</f>
        <v>6</v>
      </c>
      <c r="AH1452" s="1" t="n">
        <f aca="false">IF(AND($N1452=1,AND(LEFT(对接源_02物料!$D252,3)="周转筐",N(对接源_02物料!$K252)&lt;&gt;0)),1,0)</f>
        <v>0</v>
      </c>
      <c r="AI1452" s="1" t="n">
        <f aca="false">N(AI1451)+$AH1452</f>
        <v>0</v>
      </c>
      <c r="AJ1452" s="1" t="n">
        <v>0</v>
      </c>
      <c r="AK1452" s="1" t="n">
        <f aca="false">N(AK1451)+$AJ1452</f>
        <v>3672</v>
      </c>
    </row>
    <row r="1453" customFormat="false" ht="13.5" hidden="false" customHeight="false" outlineLevel="0" collapsed="false">
      <c r="A1453" s="1" t="str">
        <f aca="false">IF(对接源_02物料!$C253="","",对接源_02物料!$C253)</f>
        <v/>
      </c>
      <c r="B1453" s="1" t="n">
        <f aca="false">IF(A1453="",0,IF(MATCH(A1453,$A$4:$A$2403,0)=ROW()-3,1,0))</f>
        <v>0</v>
      </c>
      <c r="C1453" s="1" t="n">
        <f aca="false">N(C1452)+B1453</f>
        <v>17</v>
      </c>
      <c r="K1453" s="1" t="n">
        <f aca="false">IF(OR($K$1="",对接源_02物料!$C253="",对接源_02物料!$C253&lt;&gt;$K$1,对接源_02物料!$B253=""),0,IF(OR(N(对接源_02物料!$B253)&lt;$K$2,N(对接源_02物料!$B253)&gt;$K$3),0,1))</f>
        <v>0</v>
      </c>
      <c r="L1453" s="1" t="n">
        <f aca="false">IF(OR($L$1="",对接源_02物料!$C253="",对接源_02物料!$C253&lt;&gt;$L$1,对接源_02物料!$B253=""),0,IF(OR(N(对接源_02物料!$B253)&lt;$L$2,N(对接源_02物料!$B253)&gt;$L$3),0,1))</f>
        <v>0</v>
      </c>
      <c r="M1453" s="1" t="n">
        <f aca="false">IF(OR($M$1="",对接源_02物料!$C253="",对接源_02物料!$C253&lt;&gt;$M$1,对接源_02物料!$B253=""),0,IF(OR(N(对接源_02物料!$B253)&lt;$M$2,N(对接源_02物料!$B253)&gt;$M$3),0,1))</f>
        <v>0</v>
      </c>
      <c r="N1453" s="1" t="n">
        <f aca="false">IF(OR($N$1="",对接源_02物料!$C253="",对接源_02物料!$C253&lt;&gt;$N$1,对接源_02物料!$B253=""),0,IF(OR(N(对接源_02物料!$B253)&lt;$N$2,N(对接源_02物料!$B253)&gt;$N$3),0,1))</f>
        <v>0</v>
      </c>
      <c r="P1453" s="1" t="n">
        <f aca="false">IF(AND($K1453=1,AND(对接源_02物料!$X253="公司筐",N(对接源_02物料!$T253)&lt;&gt;0)),1,0)</f>
        <v>0</v>
      </c>
      <c r="Q1453" s="1" t="n">
        <f aca="false">N(Q1452)+$P1453</f>
        <v>13</v>
      </c>
      <c r="R1453" s="1" t="n">
        <f aca="false">IF(AND($K1453=1,AND(对接源_02物料!$X253="公司筐",N(对接源_02物料!$U253)&lt;&gt;0)),1,0)</f>
        <v>0</v>
      </c>
      <c r="S1453" s="1" t="n">
        <f aca="false">N(S1452)+$R1453</f>
        <v>5</v>
      </c>
      <c r="T1453" s="1" t="n">
        <f aca="false">IF(AND($K1453=1,AND(对接源_02物料!$X253="公司筐",N(对接源_02物料!$V253)&lt;&gt;0)),1,0)</f>
        <v>0</v>
      </c>
      <c r="U1453" s="1" t="n">
        <f aca="false">N(U1452)+$T1453</f>
        <v>28</v>
      </c>
      <c r="V1453" s="1" t="n">
        <f aca="false">IF(AND($L1453=1,AND(对接源_02物料!$X253="自备筐",N(对接源_02物料!$V253)&lt;&gt;0)),1,0)</f>
        <v>0</v>
      </c>
      <c r="W1453" s="1" t="n">
        <f aca="false">N(W1452)+$V1453</f>
        <v>7</v>
      </c>
      <c r="X1453" s="1" t="n">
        <f aca="false">IF(AND($L1453=1,AND(对接源_02物料!$X253="自备筐",N(对接源_02物料!$T253)&lt;&gt;0)),1,0)</f>
        <v>0</v>
      </c>
      <c r="Y1453" s="1" t="n">
        <f aca="false">N(Y1452)+$X1453</f>
        <v>0</v>
      </c>
      <c r="Z1453" s="1" t="n">
        <f aca="false">IF(AND($M1453=1,对接源_02物料!$D253="原料入库"),1,0)</f>
        <v>0</v>
      </c>
      <c r="AA1453" s="1" t="n">
        <f aca="false">N(AA1452)+$Z1453</f>
        <v>30</v>
      </c>
      <c r="AB1453" s="1" t="n">
        <f aca="false">IF(AND($M1453=1,LEFT(对接源_02物料!$D253,4)="原料出库"),1,0)</f>
        <v>0</v>
      </c>
      <c r="AC1453" s="1" t="n">
        <f aca="false">N(AC1452)+$AB1453</f>
        <v>19</v>
      </c>
      <c r="AD1453" s="1" t="n">
        <f aca="false">IF(AND($M1453=1,LEFT(对接源_02物料!$D253,4)="成品出库"),1,0)</f>
        <v>0</v>
      </c>
      <c r="AE1453" s="1" t="n">
        <f aca="false">N(AE1452)+$AD1453</f>
        <v>38</v>
      </c>
      <c r="AF1453" s="1" t="n">
        <f aca="false">IF(AND($N1453=1,AND(LEFT(对接源_02物料!$D253,4)="包装物料",N(对接源_02物料!$K253)&lt;&gt;0)),1,0)</f>
        <v>0</v>
      </c>
      <c r="AG1453" s="1" t="n">
        <f aca="false">N(AG1452)+$AF1453</f>
        <v>6</v>
      </c>
      <c r="AH1453" s="1" t="n">
        <f aca="false">IF(AND($N1453=1,AND(LEFT(对接源_02物料!$D253,3)="周转筐",N(对接源_02物料!$K253)&lt;&gt;0)),1,0)</f>
        <v>0</v>
      </c>
      <c r="AI1453" s="1" t="n">
        <f aca="false">N(AI1452)+$AH1453</f>
        <v>0</v>
      </c>
      <c r="AJ1453" s="1" t="n">
        <v>0</v>
      </c>
      <c r="AK1453" s="1" t="n">
        <f aca="false">N(AK1452)+$AJ1453</f>
        <v>3672</v>
      </c>
    </row>
    <row r="1454" customFormat="false" ht="13.5" hidden="false" customHeight="false" outlineLevel="0" collapsed="false">
      <c r="A1454" s="1" t="str">
        <f aca="false">IF(对接源_02物料!$C254="","",对接源_02物料!$C254)</f>
        <v/>
      </c>
      <c r="B1454" s="1" t="n">
        <f aca="false">IF(A1454="",0,IF(MATCH(A1454,$A$4:$A$2403,0)=ROW()-3,1,0))</f>
        <v>0</v>
      </c>
      <c r="C1454" s="1" t="n">
        <f aca="false">N(C1453)+B1454</f>
        <v>17</v>
      </c>
      <c r="K1454" s="1" t="n">
        <f aca="false">IF(OR($K$1="",对接源_02物料!$C254="",对接源_02物料!$C254&lt;&gt;$K$1,对接源_02物料!$B254=""),0,IF(OR(N(对接源_02物料!$B254)&lt;$K$2,N(对接源_02物料!$B254)&gt;$K$3),0,1))</f>
        <v>0</v>
      </c>
      <c r="L1454" s="1" t="n">
        <f aca="false">IF(OR($L$1="",对接源_02物料!$C254="",对接源_02物料!$C254&lt;&gt;$L$1,对接源_02物料!$B254=""),0,IF(OR(N(对接源_02物料!$B254)&lt;$L$2,N(对接源_02物料!$B254)&gt;$L$3),0,1))</f>
        <v>0</v>
      </c>
      <c r="M1454" s="1" t="n">
        <f aca="false">IF(OR($M$1="",对接源_02物料!$C254="",对接源_02物料!$C254&lt;&gt;$M$1,对接源_02物料!$B254=""),0,IF(OR(N(对接源_02物料!$B254)&lt;$M$2,N(对接源_02物料!$B254)&gt;$M$3),0,1))</f>
        <v>0</v>
      </c>
      <c r="N1454" s="1" t="n">
        <f aca="false">IF(OR($N$1="",对接源_02物料!$C254="",对接源_02物料!$C254&lt;&gt;$N$1,对接源_02物料!$B254=""),0,IF(OR(N(对接源_02物料!$B254)&lt;$N$2,N(对接源_02物料!$B254)&gt;$N$3),0,1))</f>
        <v>0</v>
      </c>
      <c r="P1454" s="1" t="n">
        <f aca="false">IF(AND($K1454=1,AND(对接源_02物料!$X254="公司筐",N(对接源_02物料!$T254)&lt;&gt;0)),1,0)</f>
        <v>0</v>
      </c>
      <c r="Q1454" s="1" t="n">
        <f aca="false">N(Q1453)+$P1454</f>
        <v>13</v>
      </c>
      <c r="R1454" s="1" t="n">
        <f aca="false">IF(AND($K1454=1,AND(对接源_02物料!$X254="公司筐",N(对接源_02物料!$U254)&lt;&gt;0)),1,0)</f>
        <v>0</v>
      </c>
      <c r="S1454" s="1" t="n">
        <f aca="false">N(S1453)+$R1454</f>
        <v>5</v>
      </c>
      <c r="T1454" s="1" t="n">
        <f aca="false">IF(AND($K1454=1,AND(对接源_02物料!$X254="公司筐",N(对接源_02物料!$V254)&lt;&gt;0)),1,0)</f>
        <v>0</v>
      </c>
      <c r="U1454" s="1" t="n">
        <f aca="false">N(U1453)+$T1454</f>
        <v>28</v>
      </c>
      <c r="V1454" s="1" t="n">
        <f aca="false">IF(AND($L1454=1,AND(对接源_02物料!$X254="自备筐",N(对接源_02物料!$V254)&lt;&gt;0)),1,0)</f>
        <v>0</v>
      </c>
      <c r="W1454" s="1" t="n">
        <f aca="false">N(W1453)+$V1454</f>
        <v>7</v>
      </c>
      <c r="X1454" s="1" t="n">
        <f aca="false">IF(AND($L1454=1,AND(对接源_02物料!$X254="自备筐",N(对接源_02物料!$T254)&lt;&gt;0)),1,0)</f>
        <v>0</v>
      </c>
      <c r="Y1454" s="1" t="n">
        <f aca="false">N(Y1453)+$X1454</f>
        <v>0</v>
      </c>
      <c r="Z1454" s="1" t="n">
        <f aca="false">IF(AND($M1454=1,对接源_02物料!$D254="原料入库"),1,0)</f>
        <v>0</v>
      </c>
      <c r="AA1454" s="1" t="n">
        <f aca="false">N(AA1453)+$Z1454</f>
        <v>30</v>
      </c>
      <c r="AB1454" s="1" t="n">
        <f aca="false">IF(AND($M1454=1,LEFT(对接源_02物料!$D254,4)="原料出库"),1,0)</f>
        <v>0</v>
      </c>
      <c r="AC1454" s="1" t="n">
        <f aca="false">N(AC1453)+$AB1454</f>
        <v>19</v>
      </c>
      <c r="AD1454" s="1" t="n">
        <f aca="false">IF(AND($M1454=1,LEFT(对接源_02物料!$D254,4)="成品出库"),1,0)</f>
        <v>0</v>
      </c>
      <c r="AE1454" s="1" t="n">
        <f aca="false">N(AE1453)+$AD1454</f>
        <v>38</v>
      </c>
      <c r="AF1454" s="1" t="n">
        <f aca="false">IF(AND($N1454=1,AND(LEFT(对接源_02物料!$D254,4)="包装物料",N(对接源_02物料!$K254)&lt;&gt;0)),1,0)</f>
        <v>0</v>
      </c>
      <c r="AG1454" s="1" t="n">
        <f aca="false">N(AG1453)+$AF1454</f>
        <v>6</v>
      </c>
      <c r="AH1454" s="1" t="n">
        <f aca="false">IF(AND($N1454=1,AND(LEFT(对接源_02物料!$D254,3)="周转筐",N(对接源_02物料!$K254)&lt;&gt;0)),1,0)</f>
        <v>0</v>
      </c>
      <c r="AI1454" s="1" t="n">
        <f aca="false">N(AI1453)+$AH1454</f>
        <v>0</v>
      </c>
      <c r="AJ1454" s="1" t="n">
        <v>0</v>
      </c>
      <c r="AK1454" s="1" t="n">
        <f aca="false">N(AK1453)+$AJ1454</f>
        <v>3672</v>
      </c>
    </row>
    <row r="1455" customFormat="false" ht="13.5" hidden="false" customHeight="false" outlineLevel="0" collapsed="false">
      <c r="A1455" s="1" t="str">
        <f aca="false">IF(对接源_02物料!$C255="","",对接源_02物料!$C255)</f>
        <v/>
      </c>
      <c r="B1455" s="1" t="n">
        <f aca="false">IF(A1455="",0,IF(MATCH(A1455,$A$4:$A$2403,0)=ROW()-3,1,0))</f>
        <v>0</v>
      </c>
      <c r="C1455" s="1" t="n">
        <f aca="false">N(C1454)+B1455</f>
        <v>17</v>
      </c>
      <c r="K1455" s="1" t="n">
        <f aca="false">IF(OR($K$1="",对接源_02物料!$C255="",对接源_02物料!$C255&lt;&gt;$K$1,对接源_02物料!$B255=""),0,IF(OR(N(对接源_02物料!$B255)&lt;$K$2,N(对接源_02物料!$B255)&gt;$K$3),0,1))</f>
        <v>0</v>
      </c>
      <c r="L1455" s="1" t="n">
        <f aca="false">IF(OR($L$1="",对接源_02物料!$C255="",对接源_02物料!$C255&lt;&gt;$L$1,对接源_02物料!$B255=""),0,IF(OR(N(对接源_02物料!$B255)&lt;$L$2,N(对接源_02物料!$B255)&gt;$L$3),0,1))</f>
        <v>0</v>
      </c>
      <c r="M1455" s="1" t="n">
        <f aca="false">IF(OR($M$1="",对接源_02物料!$C255="",对接源_02物料!$C255&lt;&gt;$M$1,对接源_02物料!$B255=""),0,IF(OR(N(对接源_02物料!$B255)&lt;$M$2,N(对接源_02物料!$B255)&gt;$M$3),0,1))</f>
        <v>0</v>
      </c>
      <c r="N1455" s="1" t="n">
        <f aca="false">IF(OR($N$1="",对接源_02物料!$C255="",对接源_02物料!$C255&lt;&gt;$N$1,对接源_02物料!$B255=""),0,IF(OR(N(对接源_02物料!$B255)&lt;$N$2,N(对接源_02物料!$B255)&gt;$N$3),0,1))</f>
        <v>0</v>
      </c>
      <c r="P1455" s="1" t="n">
        <f aca="false">IF(AND($K1455=1,AND(对接源_02物料!$X255="公司筐",N(对接源_02物料!$T255)&lt;&gt;0)),1,0)</f>
        <v>0</v>
      </c>
      <c r="Q1455" s="1" t="n">
        <f aca="false">N(Q1454)+$P1455</f>
        <v>13</v>
      </c>
      <c r="R1455" s="1" t="n">
        <f aca="false">IF(AND($K1455=1,AND(对接源_02物料!$X255="公司筐",N(对接源_02物料!$U255)&lt;&gt;0)),1,0)</f>
        <v>0</v>
      </c>
      <c r="S1455" s="1" t="n">
        <f aca="false">N(S1454)+$R1455</f>
        <v>5</v>
      </c>
      <c r="T1455" s="1" t="n">
        <f aca="false">IF(AND($K1455=1,AND(对接源_02物料!$X255="公司筐",N(对接源_02物料!$V255)&lt;&gt;0)),1,0)</f>
        <v>0</v>
      </c>
      <c r="U1455" s="1" t="n">
        <f aca="false">N(U1454)+$T1455</f>
        <v>28</v>
      </c>
      <c r="V1455" s="1" t="n">
        <f aca="false">IF(AND($L1455=1,AND(对接源_02物料!$X255="自备筐",N(对接源_02物料!$V255)&lt;&gt;0)),1,0)</f>
        <v>0</v>
      </c>
      <c r="W1455" s="1" t="n">
        <f aca="false">N(W1454)+$V1455</f>
        <v>7</v>
      </c>
      <c r="X1455" s="1" t="n">
        <f aca="false">IF(AND($L1455=1,AND(对接源_02物料!$X255="自备筐",N(对接源_02物料!$T255)&lt;&gt;0)),1,0)</f>
        <v>0</v>
      </c>
      <c r="Y1455" s="1" t="n">
        <f aca="false">N(Y1454)+$X1455</f>
        <v>0</v>
      </c>
      <c r="Z1455" s="1" t="n">
        <f aca="false">IF(AND($M1455=1,对接源_02物料!$D255="原料入库"),1,0)</f>
        <v>0</v>
      </c>
      <c r="AA1455" s="1" t="n">
        <f aca="false">N(AA1454)+$Z1455</f>
        <v>30</v>
      </c>
      <c r="AB1455" s="1" t="n">
        <f aca="false">IF(AND($M1455=1,LEFT(对接源_02物料!$D255,4)="原料出库"),1,0)</f>
        <v>0</v>
      </c>
      <c r="AC1455" s="1" t="n">
        <f aca="false">N(AC1454)+$AB1455</f>
        <v>19</v>
      </c>
      <c r="AD1455" s="1" t="n">
        <f aca="false">IF(AND($M1455=1,LEFT(对接源_02物料!$D255,4)="成品出库"),1,0)</f>
        <v>0</v>
      </c>
      <c r="AE1455" s="1" t="n">
        <f aca="false">N(AE1454)+$AD1455</f>
        <v>38</v>
      </c>
      <c r="AF1455" s="1" t="n">
        <f aca="false">IF(AND($N1455=1,AND(LEFT(对接源_02物料!$D255,4)="包装物料",N(对接源_02物料!$K255)&lt;&gt;0)),1,0)</f>
        <v>0</v>
      </c>
      <c r="AG1455" s="1" t="n">
        <f aca="false">N(AG1454)+$AF1455</f>
        <v>6</v>
      </c>
      <c r="AH1455" s="1" t="n">
        <f aca="false">IF(AND($N1455=1,AND(LEFT(对接源_02物料!$D255,3)="周转筐",N(对接源_02物料!$K255)&lt;&gt;0)),1,0)</f>
        <v>0</v>
      </c>
      <c r="AI1455" s="1" t="n">
        <f aca="false">N(AI1454)+$AH1455</f>
        <v>0</v>
      </c>
      <c r="AJ1455" s="1" t="n">
        <v>0</v>
      </c>
      <c r="AK1455" s="1" t="n">
        <f aca="false">N(AK1454)+$AJ1455</f>
        <v>3672</v>
      </c>
    </row>
    <row r="1456" customFormat="false" ht="13.5" hidden="false" customHeight="false" outlineLevel="0" collapsed="false">
      <c r="A1456" s="1" t="str">
        <f aca="false">IF(对接源_02物料!$C256="","",对接源_02物料!$C256)</f>
        <v/>
      </c>
      <c r="B1456" s="1" t="n">
        <f aca="false">IF(A1456="",0,IF(MATCH(A1456,$A$4:$A$2403,0)=ROW()-3,1,0))</f>
        <v>0</v>
      </c>
      <c r="C1456" s="1" t="n">
        <f aca="false">N(C1455)+B1456</f>
        <v>17</v>
      </c>
      <c r="K1456" s="1" t="n">
        <f aca="false">IF(OR($K$1="",对接源_02物料!$C256="",对接源_02物料!$C256&lt;&gt;$K$1,对接源_02物料!$B256=""),0,IF(OR(N(对接源_02物料!$B256)&lt;$K$2,N(对接源_02物料!$B256)&gt;$K$3),0,1))</f>
        <v>0</v>
      </c>
      <c r="L1456" s="1" t="n">
        <f aca="false">IF(OR($L$1="",对接源_02物料!$C256="",对接源_02物料!$C256&lt;&gt;$L$1,对接源_02物料!$B256=""),0,IF(OR(N(对接源_02物料!$B256)&lt;$L$2,N(对接源_02物料!$B256)&gt;$L$3),0,1))</f>
        <v>0</v>
      </c>
      <c r="M1456" s="1" t="n">
        <f aca="false">IF(OR($M$1="",对接源_02物料!$C256="",对接源_02物料!$C256&lt;&gt;$M$1,对接源_02物料!$B256=""),0,IF(OR(N(对接源_02物料!$B256)&lt;$M$2,N(对接源_02物料!$B256)&gt;$M$3),0,1))</f>
        <v>0</v>
      </c>
      <c r="N1456" s="1" t="n">
        <f aca="false">IF(OR($N$1="",对接源_02物料!$C256="",对接源_02物料!$C256&lt;&gt;$N$1,对接源_02物料!$B256=""),0,IF(OR(N(对接源_02物料!$B256)&lt;$N$2,N(对接源_02物料!$B256)&gt;$N$3),0,1))</f>
        <v>0</v>
      </c>
      <c r="P1456" s="1" t="n">
        <f aca="false">IF(AND($K1456=1,AND(对接源_02物料!$X256="公司筐",N(对接源_02物料!$T256)&lt;&gt;0)),1,0)</f>
        <v>0</v>
      </c>
      <c r="Q1456" s="1" t="n">
        <f aca="false">N(Q1455)+$P1456</f>
        <v>13</v>
      </c>
      <c r="R1456" s="1" t="n">
        <f aca="false">IF(AND($K1456=1,AND(对接源_02物料!$X256="公司筐",N(对接源_02物料!$U256)&lt;&gt;0)),1,0)</f>
        <v>0</v>
      </c>
      <c r="S1456" s="1" t="n">
        <f aca="false">N(S1455)+$R1456</f>
        <v>5</v>
      </c>
      <c r="T1456" s="1" t="n">
        <f aca="false">IF(AND($K1456=1,AND(对接源_02物料!$X256="公司筐",N(对接源_02物料!$V256)&lt;&gt;0)),1,0)</f>
        <v>0</v>
      </c>
      <c r="U1456" s="1" t="n">
        <f aca="false">N(U1455)+$T1456</f>
        <v>28</v>
      </c>
      <c r="V1456" s="1" t="n">
        <f aca="false">IF(AND($L1456=1,AND(对接源_02物料!$X256="自备筐",N(对接源_02物料!$V256)&lt;&gt;0)),1,0)</f>
        <v>0</v>
      </c>
      <c r="W1456" s="1" t="n">
        <f aca="false">N(W1455)+$V1456</f>
        <v>7</v>
      </c>
      <c r="X1456" s="1" t="n">
        <f aca="false">IF(AND($L1456=1,AND(对接源_02物料!$X256="自备筐",N(对接源_02物料!$T256)&lt;&gt;0)),1,0)</f>
        <v>0</v>
      </c>
      <c r="Y1456" s="1" t="n">
        <f aca="false">N(Y1455)+$X1456</f>
        <v>0</v>
      </c>
      <c r="Z1456" s="1" t="n">
        <f aca="false">IF(AND($M1456=1,对接源_02物料!$D256="原料入库"),1,0)</f>
        <v>0</v>
      </c>
      <c r="AA1456" s="1" t="n">
        <f aca="false">N(AA1455)+$Z1456</f>
        <v>30</v>
      </c>
      <c r="AB1456" s="1" t="n">
        <f aca="false">IF(AND($M1456=1,LEFT(对接源_02物料!$D256,4)="原料出库"),1,0)</f>
        <v>0</v>
      </c>
      <c r="AC1456" s="1" t="n">
        <f aca="false">N(AC1455)+$AB1456</f>
        <v>19</v>
      </c>
      <c r="AD1456" s="1" t="n">
        <f aca="false">IF(AND($M1456=1,LEFT(对接源_02物料!$D256,4)="成品出库"),1,0)</f>
        <v>0</v>
      </c>
      <c r="AE1456" s="1" t="n">
        <f aca="false">N(AE1455)+$AD1456</f>
        <v>38</v>
      </c>
      <c r="AF1456" s="1" t="n">
        <f aca="false">IF(AND($N1456=1,AND(LEFT(对接源_02物料!$D256,4)="包装物料",N(对接源_02物料!$K256)&lt;&gt;0)),1,0)</f>
        <v>0</v>
      </c>
      <c r="AG1456" s="1" t="n">
        <f aca="false">N(AG1455)+$AF1456</f>
        <v>6</v>
      </c>
      <c r="AH1456" s="1" t="n">
        <f aca="false">IF(AND($N1456=1,AND(LEFT(对接源_02物料!$D256,3)="周转筐",N(对接源_02物料!$K256)&lt;&gt;0)),1,0)</f>
        <v>0</v>
      </c>
      <c r="AI1456" s="1" t="n">
        <f aca="false">N(AI1455)+$AH1456</f>
        <v>0</v>
      </c>
      <c r="AJ1456" s="1" t="n">
        <v>0</v>
      </c>
      <c r="AK1456" s="1" t="n">
        <f aca="false">N(AK1455)+$AJ1456</f>
        <v>3672</v>
      </c>
    </row>
    <row r="1457" customFormat="false" ht="13.5" hidden="false" customHeight="false" outlineLevel="0" collapsed="false">
      <c r="A1457" s="1" t="str">
        <f aca="false">IF(对接源_02物料!$C257="","",对接源_02物料!$C257)</f>
        <v/>
      </c>
      <c r="B1457" s="1" t="n">
        <f aca="false">IF(A1457="",0,IF(MATCH(A1457,$A$4:$A$2403,0)=ROW()-3,1,0))</f>
        <v>0</v>
      </c>
      <c r="C1457" s="1" t="n">
        <f aca="false">N(C1456)+B1457</f>
        <v>17</v>
      </c>
      <c r="K1457" s="1" t="n">
        <f aca="false">IF(OR($K$1="",对接源_02物料!$C257="",对接源_02物料!$C257&lt;&gt;$K$1,对接源_02物料!$B257=""),0,IF(OR(N(对接源_02物料!$B257)&lt;$K$2,N(对接源_02物料!$B257)&gt;$K$3),0,1))</f>
        <v>0</v>
      </c>
      <c r="L1457" s="1" t="n">
        <f aca="false">IF(OR($L$1="",对接源_02物料!$C257="",对接源_02物料!$C257&lt;&gt;$L$1,对接源_02物料!$B257=""),0,IF(OR(N(对接源_02物料!$B257)&lt;$L$2,N(对接源_02物料!$B257)&gt;$L$3),0,1))</f>
        <v>0</v>
      </c>
      <c r="M1457" s="1" t="n">
        <f aca="false">IF(OR($M$1="",对接源_02物料!$C257="",对接源_02物料!$C257&lt;&gt;$M$1,对接源_02物料!$B257=""),0,IF(OR(N(对接源_02物料!$B257)&lt;$M$2,N(对接源_02物料!$B257)&gt;$M$3),0,1))</f>
        <v>0</v>
      </c>
      <c r="N1457" s="1" t="n">
        <f aca="false">IF(OR($N$1="",对接源_02物料!$C257="",对接源_02物料!$C257&lt;&gt;$N$1,对接源_02物料!$B257=""),0,IF(OR(N(对接源_02物料!$B257)&lt;$N$2,N(对接源_02物料!$B257)&gt;$N$3),0,1))</f>
        <v>0</v>
      </c>
      <c r="P1457" s="1" t="n">
        <f aca="false">IF(AND($K1457=1,AND(对接源_02物料!$X257="公司筐",N(对接源_02物料!$T257)&lt;&gt;0)),1,0)</f>
        <v>0</v>
      </c>
      <c r="Q1457" s="1" t="n">
        <f aca="false">N(Q1456)+$P1457</f>
        <v>13</v>
      </c>
      <c r="R1457" s="1" t="n">
        <f aca="false">IF(AND($K1457=1,AND(对接源_02物料!$X257="公司筐",N(对接源_02物料!$U257)&lt;&gt;0)),1,0)</f>
        <v>0</v>
      </c>
      <c r="S1457" s="1" t="n">
        <f aca="false">N(S1456)+$R1457</f>
        <v>5</v>
      </c>
      <c r="T1457" s="1" t="n">
        <f aca="false">IF(AND($K1457=1,AND(对接源_02物料!$X257="公司筐",N(对接源_02物料!$V257)&lt;&gt;0)),1,0)</f>
        <v>0</v>
      </c>
      <c r="U1457" s="1" t="n">
        <f aca="false">N(U1456)+$T1457</f>
        <v>28</v>
      </c>
      <c r="V1457" s="1" t="n">
        <f aca="false">IF(AND($L1457=1,AND(对接源_02物料!$X257="自备筐",N(对接源_02物料!$V257)&lt;&gt;0)),1,0)</f>
        <v>0</v>
      </c>
      <c r="W1457" s="1" t="n">
        <f aca="false">N(W1456)+$V1457</f>
        <v>7</v>
      </c>
      <c r="X1457" s="1" t="n">
        <f aca="false">IF(AND($L1457=1,AND(对接源_02物料!$X257="自备筐",N(对接源_02物料!$T257)&lt;&gt;0)),1,0)</f>
        <v>0</v>
      </c>
      <c r="Y1457" s="1" t="n">
        <f aca="false">N(Y1456)+$X1457</f>
        <v>0</v>
      </c>
      <c r="Z1457" s="1" t="n">
        <f aca="false">IF(AND($M1457=1,对接源_02物料!$D257="原料入库"),1,0)</f>
        <v>0</v>
      </c>
      <c r="AA1457" s="1" t="n">
        <f aca="false">N(AA1456)+$Z1457</f>
        <v>30</v>
      </c>
      <c r="AB1457" s="1" t="n">
        <f aca="false">IF(AND($M1457=1,LEFT(对接源_02物料!$D257,4)="原料出库"),1,0)</f>
        <v>0</v>
      </c>
      <c r="AC1457" s="1" t="n">
        <f aca="false">N(AC1456)+$AB1457</f>
        <v>19</v>
      </c>
      <c r="AD1457" s="1" t="n">
        <f aca="false">IF(AND($M1457=1,LEFT(对接源_02物料!$D257,4)="成品出库"),1,0)</f>
        <v>0</v>
      </c>
      <c r="AE1457" s="1" t="n">
        <f aca="false">N(AE1456)+$AD1457</f>
        <v>38</v>
      </c>
      <c r="AF1457" s="1" t="n">
        <f aca="false">IF(AND($N1457=1,AND(LEFT(对接源_02物料!$D257,4)="包装物料",N(对接源_02物料!$K257)&lt;&gt;0)),1,0)</f>
        <v>0</v>
      </c>
      <c r="AG1457" s="1" t="n">
        <f aca="false">N(AG1456)+$AF1457</f>
        <v>6</v>
      </c>
      <c r="AH1457" s="1" t="n">
        <f aca="false">IF(AND($N1457=1,AND(LEFT(对接源_02物料!$D257,3)="周转筐",N(对接源_02物料!$K257)&lt;&gt;0)),1,0)</f>
        <v>0</v>
      </c>
      <c r="AI1457" s="1" t="n">
        <f aca="false">N(AI1456)+$AH1457</f>
        <v>0</v>
      </c>
      <c r="AJ1457" s="1" t="n">
        <v>0</v>
      </c>
      <c r="AK1457" s="1" t="n">
        <f aca="false">N(AK1456)+$AJ1457</f>
        <v>3672</v>
      </c>
    </row>
    <row r="1458" customFormat="false" ht="13.5" hidden="false" customHeight="false" outlineLevel="0" collapsed="false">
      <c r="A1458" s="1" t="str">
        <f aca="false">IF(对接源_02物料!$C258="","",对接源_02物料!$C258)</f>
        <v/>
      </c>
      <c r="B1458" s="1" t="n">
        <f aca="false">IF(A1458="",0,IF(MATCH(A1458,$A$4:$A$2403,0)=ROW()-3,1,0))</f>
        <v>0</v>
      </c>
      <c r="C1458" s="1" t="n">
        <f aca="false">N(C1457)+B1458</f>
        <v>17</v>
      </c>
      <c r="K1458" s="1" t="n">
        <f aca="false">IF(OR($K$1="",对接源_02物料!$C258="",对接源_02物料!$C258&lt;&gt;$K$1,对接源_02物料!$B258=""),0,IF(OR(N(对接源_02物料!$B258)&lt;$K$2,N(对接源_02物料!$B258)&gt;$K$3),0,1))</f>
        <v>0</v>
      </c>
      <c r="L1458" s="1" t="n">
        <f aca="false">IF(OR($L$1="",对接源_02物料!$C258="",对接源_02物料!$C258&lt;&gt;$L$1,对接源_02物料!$B258=""),0,IF(OR(N(对接源_02物料!$B258)&lt;$L$2,N(对接源_02物料!$B258)&gt;$L$3),0,1))</f>
        <v>0</v>
      </c>
      <c r="M1458" s="1" t="n">
        <f aca="false">IF(OR($M$1="",对接源_02物料!$C258="",对接源_02物料!$C258&lt;&gt;$M$1,对接源_02物料!$B258=""),0,IF(OR(N(对接源_02物料!$B258)&lt;$M$2,N(对接源_02物料!$B258)&gt;$M$3),0,1))</f>
        <v>0</v>
      </c>
      <c r="N1458" s="1" t="n">
        <f aca="false">IF(OR($N$1="",对接源_02物料!$C258="",对接源_02物料!$C258&lt;&gt;$N$1,对接源_02物料!$B258=""),0,IF(OR(N(对接源_02物料!$B258)&lt;$N$2,N(对接源_02物料!$B258)&gt;$N$3),0,1))</f>
        <v>0</v>
      </c>
      <c r="P1458" s="1" t="n">
        <f aca="false">IF(AND($K1458=1,AND(对接源_02物料!$X258="公司筐",N(对接源_02物料!$T258)&lt;&gt;0)),1,0)</f>
        <v>0</v>
      </c>
      <c r="Q1458" s="1" t="n">
        <f aca="false">N(Q1457)+$P1458</f>
        <v>13</v>
      </c>
      <c r="R1458" s="1" t="n">
        <f aca="false">IF(AND($K1458=1,AND(对接源_02物料!$X258="公司筐",N(对接源_02物料!$U258)&lt;&gt;0)),1,0)</f>
        <v>0</v>
      </c>
      <c r="S1458" s="1" t="n">
        <f aca="false">N(S1457)+$R1458</f>
        <v>5</v>
      </c>
      <c r="T1458" s="1" t="n">
        <f aca="false">IF(AND($K1458=1,AND(对接源_02物料!$X258="公司筐",N(对接源_02物料!$V258)&lt;&gt;0)),1,0)</f>
        <v>0</v>
      </c>
      <c r="U1458" s="1" t="n">
        <f aca="false">N(U1457)+$T1458</f>
        <v>28</v>
      </c>
      <c r="V1458" s="1" t="n">
        <f aca="false">IF(AND($L1458=1,AND(对接源_02物料!$X258="自备筐",N(对接源_02物料!$V258)&lt;&gt;0)),1,0)</f>
        <v>0</v>
      </c>
      <c r="W1458" s="1" t="n">
        <f aca="false">N(W1457)+$V1458</f>
        <v>7</v>
      </c>
      <c r="X1458" s="1" t="n">
        <f aca="false">IF(AND($L1458=1,AND(对接源_02物料!$X258="自备筐",N(对接源_02物料!$T258)&lt;&gt;0)),1,0)</f>
        <v>0</v>
      </c>
      <c r="Y1458" s="1" t="n">
        <f aca="false">N(Y1457)+$X1458</f>
        <v>0</v>
      </c>
      <c r="Z1458" s="1" t="n">
        <f aca="false">IF(AND($M1458=1,对接源_02物料!$D258="原料入库"),1,0)</f>
        <v>0</v>
      </c>
      <c r="AA1458" s="1" t="n">
        <f aca="false">N(AA1457)+$Z1458</f>
        <v>30</v>
      </c>
      <c r="AB1458" s="1" t="n">
        <f aca="false">IF(AND($M1458=1,LEFT(对接源_02物料!$D258,4)="原料出库"),1,0)</f>
        <v>0</v>
      </c>
      <c r="AC1458" s="1" t="n">
        <f aca="false">N(AC1457)+$AB1458</f>
        <v>19</v>
      </c>
      <c r="AD1458" s="1" t="n">
        <f aca="false">IF(AND($M1458=1,LEFT(对接源_02物料!$D258,4)="成品出库"),1,0)</f>
        <v>0</v>
      </c>
      <c r="AE1458" s="1" t="n">
        <f aca="false">N(AE1457)+$AD1458</f>
        <v>38</v>
      </c>
      <c r="AF1458" s="1" t="n">
        <f aca="false">IF(AND($N1458=1,AND(LEFT(对接源_02物料!$D258,4)="包装物料",N(对接源_02物料!$K258)&lt;&gt;0)),1,0)</f>
        <v>0</v>
      </c>
      <c r="AG1458" s="1" t="n">
        <f aca="false">N(AG1457)+$AF1458</f>
        <v>6</v>
      </c>
      <c r="AH1458" s="1" t="n">
        <f aca="false">IF(AND($N1458=1,AND(LEFT(对接源_02物料!$D258,3)="周转筐",N(对接源_02物料!$K258)&lt;&gt;0)),1,0)</f>
        <v>0</v>
      </c>
      <c r="AI1458" s="1" t="n">
        <f aca="false">N(AI1457)+$AH1458</f>
        <v>0</v>
      </c>
      <c r="AJ1458" s="1" t="n">
        <v>0</v>
      </c>
      <c r="AK1458" s="1" t="n">
        <f aca="false">N(AK1457)+$AJ1458</f>
        <v>3672</v>
      </c>
    </row>
    <row r="1459" customFormat="false" ht="13.5" hidden="false" customHeight="false" outlineLevel="0" collapsed="false">
      <c r="A1459" s="1" t="str">
        <f aca="false">IF(对接源_02物料!$C259="","",对接源_02物料!$C259)</f>
        <v/>
      </c>
      <c r="B1459" s="1" t="n">
        <f aca="false">IF(A1459="",0,IF(MATCH(A1459,$A$4:$A$2403,0)=ROW()-3,1,0))</f>
        <v>0</v>
      </c>
      <c r="C1459" s="1" t="n">
        <f aca="false">N(C1458)+B1459</f>
        <v>17</v>
      </c>
      <c r="K1459" s="1" t="n">
        <f aca="false">IF(OR($K$1="",对接源_02物料!$C259="",对接源_02物料!$C259&lt;&gt;$K$1,对接源_02物料!$B259=""),0,IF(OR(N(对接源_02物料!$B259)&lt;$K$2,N(对接源_02物料!$B259)&gt;$K$3),0,1))</f>
        <v>0</v>
      </c>
      <c r="L1459" s="1" t="n">
        <f aca="false">IF(OR($L$1="",对接源_02物料!$C259="",对接源_02物料!$C259&lt;&gt;$L$1,对接源_02物料!$B259=""),0,IF(OR(N(对接源_02物料!$B259)&lt;$L$2,N(对接源_02物料!$B259)&gt;$L$3),0,1))</f>
        <v>0</v>
      </c>
      <c r="M1459" s="1" t="n">
        <f aca="false">IF(OR($M$1="",对接源_02物料!$C259="",对接源_02物料!$C259&lt;&gt;$M$1,对接源_02物料!$B259=""),0,IF(OR(N(对接源_02物料!$B259)&lt;$M$2,N(对接源_02物料!$B259)&gt;$M$3),0,1))</f>
        <v>0</v>
      </c>
      <c r="N1459" s="1" t="n">
        <f aca="false">IF(OR($N$1="",对接源_02物料!$C259="",对接源_02物料!$C259&lt;&gt;$N$1,对接源_02物料!$B259=""),0,IF(OR(N(对接源_02物料!$B259)&lt;$N$2,N(对接源_02物料!$B259)&gt;$N$3),0,1))</f>
        <v>0</v>
      </c>
      <c r="P1459" s="1" t="n">
        <f aca="false">IF(AND($K1459=1,AND(对接源_02物料!$X259="公司筐",N(对接源_02物料!$T259)&lt;&gt;0)),1,0)</f>
        <v>0</v>
      </c>
      <c r="Q1459" s="1" t="n">
        <f aca="false">N(Q1458)+$P1459</f>
        <v>13</v>
      </c>
      <c r="R1459" s="1" t="n">
        <f aca="false">IF(AND($K1459=1,AND(对接源_02物料!$X259="公司筐",N(对接源_02物料!$U259)&lt;&gt;0)),1,0)</f>
        <v>0</v>
      </c>
      <c r="S1459" s="1" t="n">
        <f aca="false">N(S1458)+$R1459</f>
        <v>5</v>
      </c>
      <c r="T1459" s="1" t="n">
        <f aca="false">IF(AND($K1459=1,AND(对接源_02物料!$X259="公司筐",N(对接源_02物料!$V259)&lt;&gt;0)),1,0)</f>
        <v>0</v>
      </c>
      <c r="U1459" s="1" t="n">
        <f aca="false">N(U1458)+$T1459</f>
        <v>28</v>
      </c>
      <c r="V1459" s="1" t="n">
        <f aca="false">IF(AND($L1459=1,AND(对接源_02物料!$X259="自备筐",N(对接源_02物料!$V259)&lt;&gt;0)),1,0)</f>
        <v>0</v>
      </c>
      <c r="W1459" s="1" t="n">
        <f aca="false">N(W1458)+$V1459</f>
        <v>7</v>
      </c>
      <c r="X1459" s="1" t="n">
        <f aca="false">IF(AND($L1459=1,AND(对接源_02物料!$X259="自备筐",N(对接源_02物料!$T259)&lt;&gt;0)),1,0)</f>
        <v>0</v>
      </c>
      <c r="Y1459" s="1" t="n">
        <f aca="false">N(Y1458)+$X1459</f>
        <v>0</v>
      </c>
      <c r="Z1459" s="1" t="n">
        <f aca="false">IF(AND($M1459=1,对接源_02物料!$D259="原料入库"),1,0)</f>
        <v>0</v>
      </c>
      <c r="AA1459" s="1" t="n">
        <f aca="false">N(AA1458)+$Z1459</f>
        <v>30</v>
      </c>
      <c r="AB1459" s="1" t="n">
        <f aca="false">IF(AND($M1459=1,LEFT(对接源_02物料!$D259,4)="原料出库"),1,0)</f>
        <v>0</v>
      </c>
      <c r="AC1459" s="1" t="n">
        <f aca="false">N(AC1458)+$AB1459</f>
        <v>19</v>
      </c>
      <c r="AD1459" s="1" t="n">
        <f aca="false">IF(AND($M1459=1,LEFT(对接源_02物料!$D259,4)="成品出库"),1,0)</f>
        <v>0</v>
      </c>
      <c r="AE1459" s="1" t="n">
        <f aca="false">N(AE1458)+$AD1459</f>
        <v>38</v>
      </c>
      <c r="AF1459" s="1" t="n">
        <f aca="false">IF(AND($N1459=1,AND(LEFT(对接源_02物料!$D259,4)="包装物料",N(对接源_02物料!$K259)&lt;&gt;0)),1,0)</f>
        <v>0</v>
      </c>
      <c r="AG1459" s="1" t="n">
        <f aca="false">N(AG1458)+$AF1459</f>
        <v>6</v>
      </c>
      <c r="AH1459" s="1" t="n">
        <f aca="false">IF(AND($N1459=1,AND(LEFT(对接源_02物料!$D259,3)="周转筐",N(对接源_02物料!$K259)&lt;&gt;0)),1,0)</f>
        <v>0</v>
      </c>
      <c r="AI1459" s="1" t="n">
        <f aca="false">N(AI1458)+$AH1459</f>
        <v>0</v>
      </c>
      <c r="AJ1459" s="1" t="n">
        <v>0</v>
      </c>
      <c r="AK1459" s="1" t="n">
        <f aca="false">N(AK1458)+$AJ1459</f>
        <v>3672</v>
      </c>
    </row>
    <row r="1460" customFormat="false" ht="13.5" hidden="false" customHeight="false" outlineLevel="0" collapsed="false">
      <c r="A1460" s="1" t="str">
        <f aca="false">IF(对接源_02物料!$C260="","",对接源_02物料!$C260)</f>
        <v/>
      </c>
      <c r="B1460" s="1" t="n">
        <f aca="false">IF(A1460="",0,IF(MATCH(A1460,$A$4:$A$2403,0)=ROW()-3,1,0))</f>
        <v>0</v>
      </c>
      <c r="C1460" s="1" t="n">
        <f aca="false">N(C1459)+B1460</f>
        <v>17</v>
      </c>
      <c r="K1460" s="1" t="n">
        <f aca="false">IF(OR($K$1="",对接源_02物料!$C260="",对接源_02物料!$C260&lt;&gt;$K$1,对接源_02物料!$B260=""),0,IF(OR(N(对接源_02物料!$B260)&lt;$K$2,N(对接源_02物料!$B260)&gt;$K$3),0,1))</f>
        <v>0</v>
      </c>
      <c r="L1460" s="1" t="n">
        <f aca="false">IF(OR($L$1="",对接源_02物料!$C260="",对接源_02物料!$C260&lt;&gt;$L$1,对接源_02物料!$B260=""),0,IF(OR(N(对接源_02物料!$B260)&lt;$L$2,N(对接源_02物料!$B260)&gt;$L$3),0,1))</f>
        <v>0</v>
      </c>
      <c r="M1460" s="1" t="n">
        <f aca="false">IF(OR($M$1="",对接源_02物料!$C260="",对接源_02物料!$C260&lt;&gt;$M$1,对接源_02物料!$B260=""),0,IF(OR(N(对接源_02物料!$B260)&lt;$M$2,N(对接源_02物料!$B260)&gt;$M$3),0,1))</f>
        <v>0</v>
      </c>
      <c r="N1460" s="1" t="n">
        <f aca="false">IF(OR($N$1="",对接源_02物料!$C260="",对接源_02物料!$C260&lt;&gt;$N$1,对接源_02物料!$B260=""),0,IF(OR(N(对接源_02物料!$B260)&lt;$N$2,N(对接源_02物料!$B260)&gt;$N$3),0,1))</f>
        <v>0</v>
      </c>
      <c r="P1460" s="1" t="n">
        <f aca="false">IF(AND($K1460=1,AND(对接源_02物料!$X260="公司筐",N(对接源_02物料!$T260)&lt;&gt;0)),1,0)</f>
        <v>0</v>
      </c>
      <c r="Q1460" s="1" t="n">
        <f aca="false">N(Q1459)+$P1460</f>
        <v>13</v>
      </c>
      <c r="R1460" s="1" t="n">
        <f aca="false">IF(AND($K1460=1,AND(对接源_02物料!$X260="公司筐",N(对接源_02物料!$U260)&lt;&gt;0)),1,0)</f>
        <v>0</v>
      </c>
      <c r="S1460" s="1" t="n">
        <f aca="false">N(S1459)+$R1460</f>
        <v>5</v>
      </c>
      <c r="T1460" s="1" t="n">
        <f aca="false">IF(AND($K1460=1,AND(对接源_02物料!$X260="公司筐",N(对接源_02物料!$V260)&lt;&gt;0)),1,0)</f>
        <v>0</v>
      </c>
      <c r="U1460" s="1" t="n">
        <f aca="false">N(U1459)+$T1460</f>
        <v>28</v>
      </c>
      <c r="V1460" s="1" t="n">
        <f aca="false">IF(AND($L1460=1,AND(对接源_02物料!$X260="自备筐",N(对接源_02物料!$V260)&lt;&gt;0)),1,0)</f>
        <v>0</v>
      </c>
      <c r="W1460" s="1" t="n">
        <f aca="false">N(W1459)+$V1460</f>
        <v>7</v>
      </c>
      <c r="X1460" s="1" t="n">
        <f aca="false">IF(AND($L1460=1,AND(对接源_02物料!$X260="自备筐",N(对接源_02物料!$T260)&lt;&gt;0)),1,0)</f>
        <v>0</v>
      </c>
      <c r="Y1460" s="1" t="n">
        <f aca="false">N(Y1459)+$X1460</f>
        <v>0</v>
      </c>
      <c r="Z1460" s="1" t="n">
        <f aca="false">IF(AND($M1460=1,对接源_02物料!$D260="原料入库"),1,0)</f>
        <v>0</v>
      </c>
      <c r="AA1460" s="1" t="n">
        <f aca="false">N(AA1459)+$Z1460</f>
        <v>30</v>
      </c>
      <c r="AB1460" s="1" t="n">
        <f aca="false">IF(AND($M1460=1,LEFT(对接源_02物料!$D260,4)="原料出库"),1,0)</f>
        <v>0</v>
      </c>
      <c r="AC1460" s="1" t="n">
        <f aca="false">N(AC1459)+$AB1460</f>
        <v>19</v>
      </c>
      <c r="AD1460" s="1" t="n">
        <f aca="false">IF(AND($M1460=1,LEFT(对接源_02物料!$D260,4)="成品出库"),1,0)</f>
        <v>0</v>
      </c>
      <c r="AE1460" s="1" t="n">
        <f aca="false">N(AE1459)+$AD1460</f>
        <v>38</v>
      </c>
      <c r="AF1460" s="1" t="n">
        <f aca="false">IF(AND($N1460=1,AND(LEFT(对接源_02物料!$D260,4)="包装物料",N(对接源_02物料!$K260)&lt;&gt;0)),1,0)</f>
        <v>0</v>
      </c>
      <c r="AG1460" s="1" t="n">
        <f aca="false">N(AG1459)+$AF1460</f>
        <v>6</v>
      </c>
      <c r="AH1460" s="1" t="n">
        <f aca="false">IF(AND($N1460=1,AND(LEFT(对接源_02物料!$D260,3)="周转筐",N(对接源_02物料!$K260)&lt;&gt;0)),1,0)</f>
        <v>0</v>
      </c>
      <c r="AI1460" s="1" t="n">
        <f aca="false">N(AI1459)+$AH1460</f>
        <v>0</v>
      </c>
      <c r="AJ1460" s="1" t="n">
        <v>0</v>
      </c>
      <c r="AK1460" s="1" t="n">
        <f aca="false">N(AK1459)+$AJ1460</f>
        <v>3672</v>
      </c>
    </row>
    <row r="1461" customFormat="false" ht="13.5" hidden="false" customHeight="false" outlineLevel="0" collapsed="false">
      <c r="A1461" s="1" t="str">
        <f aca="false">IF(对接源_02物料!$C261="","",对接源_02物料!$C261)</f>
        <v/>
      </c>
      <c r="B1461" s="1" t="n">
        <f aca="false">IF(A1461="",0,IF(MATCH(A1461,$A$4:$A$2403,0)=ROW()-3,1,0))</f>
        <v>0</v>
      </c>
      <c r="C1461" s="1" t="n">
        <f aca="false">N(C1460)+B1461</f>
        <v>17</v>
      </c>
      <c r="K1461" s="1" t="n">
        <f aca="false">IF(OR($K$1="",对接源_02物料!$C261="",对接源_02物料!$C261&lt;&gt;$K$1,对接源_02物料!$B261=""),0,IF(OR(N(对接源_02物料!$B261)&lt;$K$2,N(对接源_02物料!$B261)&gt;$K$3),0,1))</f>
        <v>0</v>
      </c>
      <c r="L1461" s="1" t="n">
        <f aca="false">IF(OR($L$1="",对接源_02物料!$C261="",对接源_02物料!$C261&lt;&gt;$L$1,对接源_02物料!$B261=""),0,IF(OR(N(对接源_02物料!$B261)&lt;$L$2,N(对接源_02物料!$B261)&gt;$L$3),0,1))</f>
        <v>0</v>
      </c>
      <c r="M1461" s="1" t="n">
        <f aca="false">IF(OR($M$1="",对接源_02物料!$C261="",对接源_02物料!$C261&lt;&gt;$M$1,对接源_02物料!$B261=""),0,IF(OR(N(对接源_02物料!$B261)&lt;$M$2,N(对接源_02物料!$B261)&gt;$M$3),0,1))</f>
        <v>0</v>
      </c>
      <c r="N1461" s="1" t="n">
        <f aca="false">IF(OR($N$1="",对接源_02物料!$C261="",对接源_02物料!$C261&lt;&gt;$N$1,对接源_02物料!$B261=""),0,IF(OR(N(对接源_02物料!$B261)&lt;$N$2,N(对接源_02物料!$B261)&gt;$N$3),0,1))</f>
        <v>0</v>
      </c>
      <c r="P1461" s="1" t="n">
        <f aca="false">IF(AND($K1461=1,AND(对接源_02物料!$X261="公司筐",N(对接源_02物料!$T261)&lt;&gt;0)),1,0)</f>
        <v>0</v>
      </c>
      <c r="Q1461" s="1" t="n">
        <f aca="false">N(Q1460)+$P1461</f>
        <v>13</v>
      </c>
      <c r="R1461" s="1" t="n">
        <f aca="false">IF(AND($K1461=1,AND(对接源_02物料!$X261="公司筐",N(对接源_02物料!$U261)&lt;&gt;0)),1,0)</f>
        <v>0</v>
      </c>
      <c r="S1461" s="1" t="n">
        <f aca="false">N(S1460)+$R1461</f>
        <v>5</v>
      </c>
      <c r="T1461" s="1" t="n">
        <f aca="false">IF(AND($K1461=1,AND(对接源_02物料!$X261="公司筐",N(对接源_02物料!$V261)&lt;&gt;0)),1,0)</f>
        <v>0</v>
      </c>
      <c r="U1461" s="1" t="n">
        <f aca="false">N(U1460)+$T1461</f>
        <v>28</v>
      </c>
      <c r="V1461" s="1" t="n">
        <f aca="false">IF(AND($L1461=1,AND(对接源_02物料!$X261="自备筐",N(对接源_02物料!$V261)&lt;&gt;0)),1,0)</f>
        <v>0</v>
      </c>
      <c r="W1461" s="1" t="n">
        <f aca="false">N(W1460)+$V1461</f>
        <v>7</v>
      </c>
      <c r="X1461" s="1" t="n">
        <f aca="false">IF(AND($L1461=1,AND(对接源_02物料!$X261="自备筐",N(对接源_02物料!$T261)&lt;&gt;0)),1,0)</f>
        <v>0</v>
      </c>
      <c r="Y1461" s="1" t="n">
        <f aca="false">N(Y1460)+$X1461</f>
        <v>0</v>
      </c>
      <c r="Z1461" s="1" t="n">
        <f aca="false">IF(AND($M1461=1,对接源_02物料!$D261="原料入库"),1,0)</f>
        <v>0</v>
      </c>
      <c r="AA1461" s="1" t="n">
        <f aca="false">N(AA1460)+$Z1461</f>
        <v>30</v>
      </c>
      <c r="AB1461" s="1" t="n">
        <f aca="false">IF(AND($M1461=1,LEFT(对接源_02物料!$D261,4)="原料出库"),1,0)</f>
        <v>0</v>
      </c>
      <c r="AC1461" s="1" t="n">
        <f aca="false">N(AC1460)+$AB1461</f>
        <v>19</v>
      </c>
      <c r="AD1461" s="1" t="n">
        <f aca="false">IF(AND($M1461=1,LEFT(对接源_02物料!$D261,4)="成品出库"),1,0)</f>
        <v>0</v>
      </c>
      <c r="AE1461" s="1" t="n">
        <f aca="false">N(AE1460)+$AD1461</f>
        <v>38</v>
      </c>
      <c r="AF1461" s="1" t="n">
        <f aca="false">IF(AND($N1461=1,AND(LEFT(对接源_02物料!$D261,4)="包装物料",N(对接源_02物料!$K261)&lt;&gt;0)),1,0)</f>
        <v>0</v>
      </c>
      <c r="AG1461" s="1" t="n">
        <f aca="false">N(AG1460)+$AF1461</f>
        <v>6</v>
      </c>
      <c r="AH1461" s="1" t="n">
        <f aca="false">IF(AND($N1461=1,AND(LEFT(对接源_02物料!$D261,3)="周转筐",N(对接源_02物料!$K261)&lt;&gt;0)),1,0)</f>
        <v>0</v>
      </c>
      <c r="AI1461" s="1" t="n">
        <f aca="false">N(AI1460)+$AH1461</f>
        <v>0</v>
      </c>
      <c r="AJ1461" s="1" t="n">
        <v>0</v>
      </c>
      <c r="AK1461" s="1" t="n">
        <f aca="false">N(AK1460)+$AJ1461</f>
        <v>3672</v>
      </c>
    </row>
    <row r="1462" customFormat="false" ht="13.5" hidden="false" customHeight="false" outlineLevel="0" collapsed="false">
      <c r="A1462" s="1" t="str">
        <f aca="false">IF(对接源_02物料!$C262="","",对接源_02物料!$C262)</f>
        <v/>
      </c>
      <c r="B1462" s="1" t="n">
        <f aca="false">IF(A1462="",0,IF(MATCH(A1462,$A$4:$A$2403,0)=ROW()-3,1,0))</f>
        <v>0</v>
      </c>
      <c r="C1462" s="1" t="n">
        <f aca="false">N(C1461)+B1462</f>
        <v>17</v>
      </c>
      <c r="K1462" s="1" t="n">
        <f aca="false">IF(OR($K$1="",对接源_02物料!$C262="",对接源_02物料!$C262&lt;&gt;$K$1,对接源_02物料!$B262=""),0,IF(OR(N(对接源_02物料!$B262)&lt;$K$2,N(对接源_02物料!$B262)&gt;$K$3),0,1))</f>
        <v>0</v>
      </c>
      <c r="L1462" s="1" t="n">
        <f aca="false">IF(OR($L$1="",对接源_02物料!$C262="",对接源_02物料!$C262&lt;&gt;$L$1,对接源_02物料!$B262=""),0,IF(OR(N(对接源_02物料!$B262)&lt;$L$2,N(对接源_02物料!$B262)&gt;$L$3),0,1))</f>
        <v>0</v>
      </c>
      <c r="M1462" s="1" t="n">
        <f aca="false">IF(OR($M$1="",对接源_02物料!$C262="",对接源_02物料!$C262&lt;&gt;$M$1,对接源_02物料!$B262=""),0,IF(OR(N(对接源_02物料!$B262)&lt;$M$2,N(对接源_02物料!$B262)&gt;$M$3),0,1))</f>
        <v>0</v>
      </c>
      <c r="N1462" s="1" t="n">
        <f aca="false">IF(OR($N$1="",对接源_02物料!$C262="",对接源_02物料!$C262&lt;&gt;$N$1,对接源_02物料!$B262=""),0,IF(OR(N(对接源_02物料!$B262)&lt;$N$2,N(对接源_02物料!$B262)&gt;$N$3),0,1))</f>
        <v>0</v>
      </c>
      <c r="P1462" s="1" t="n">
        <f aca="false">IF(AND($K1462=1,AND(对接源_02物料!$X262="公司筐",N(对接源_02物料!$T262)&lt;&gt;0)),1,0)</f>
        <v>0</v>
      </c>
      <c r="Q1462" s="1" t="n">
        <f aca="false">N(Q1461)+$P1462</f>
        <v>13</v>
      </c>
      <c r="R1462" s="1" t="n">
        <f aca="false">IF(AND($K1462=1,AND(对接源_02物料!$X262="公司筐",N(对接源_02物料!$U262)&lt;&gt;0)),1,0)</f>
        <v>0</v>
      </c>
      <c r="S1462" s="1" t="n">
        <f aca="false">N(S1461)+$R1462</f>
        <v>5</v>
      </c>
      <c r="T1462" s="1" t="n">
        <f aca="false">IF(AND($K1462=1,AND(对接源_02物料!$X262="公司筐",N(对接源_02物料!$V262)&lt;&gt;0)),1,0)</f>
        <v>0</v>
      </c>
      <c r="U1462" s="1" t="n">
        <f aca="false">N(U1461)+$T1462</f>
        <v>28</v>
      </c>
      <c r="V1462" s="1" t="n">
        <f aca="false">IF(AND($L1462=1,AND(对接源_02物料!$X262="自备筐",N(对接源_02物料!$V262)&lt;&gt;0)),1,0)</f>
        <v>0</v>
      </c>
      <c r="W1462" s="1" t="n">
        <f aca="false">N(W1461)+$V1462</f>
        <v>7</v>
      </c>
      <c r="X1462" s="1" t="n">
        <f aca="false">IF(AND($L1462=1,AND(对接源_02物料!$X262="自备筐",N(对接源_02物料!$T262)&lt;&gt;0)),1,0)</f>
        <v>0</v>
      </c>
      <c r="Y1462" s="1" t="n">
        <f aca="false">N(Y1461)+$X1462</f>
        <v>0</v>
      </c>
      <c r="Z1462" s="1" t="n">
        <f aca="false">IF(AND($M1462=1,对接源_02物料!$D262="原料入库"),1,0)</f>
        <v>0</v>
      </c>
      <c r="AA1462" s="1" t="n">
        <f aca="false">N(AA1461)+$Z1462</f>
        <v>30</v>
      </c>
      <c r="AB1462" s="1" t="n">
        <f aca="false">IF(AND($M1462=1,LEFT(对接源_02物料!$D262,4)="原料出库"),1,0)</f>
        <v>0</v>
      </c>
      <c r="AC1462" s="1" t="n">
        <f aca="false">N(AC1461)+$AB1462</f>
        <v>19</v>
      </c>
      <c r="AD1462" s="1" t="n">
        <f aca="false">IF(AND($M1462=1,LEFT(对接源_02物料!$D262,4)="成品出库"),1,0)</f>
        <v>0</v>
      </c>
      <c r="AE1462" s="1" t="n">
        <f aca="false">N(AE1461)+$AD1462</f>
        <v>38</v>
      </c>
      <c r="AF1462" s="1" t="n">
        <f aca="false">IF(AND($N1462=1,AND(LEFT(对接源_02物料!$D262,4)="包装物料",N(对接源_02物料!$K262)&lt;&gt;0)),1,0)</f>
        <v>0</v>
      </c>
      <c r="AG1462" s="1" t="n">
        <f aca="false">N(AG1461)+$AF1462</f>
        <v>6</v>
      </c>
      <c r="AH1462" s="1" t="n">
        <f aca="false">IF(AND($N1462=1,AND(LEFT(对接源_02物料!$D262,3)="周转筐",N(对接源_02物料!$K262)&lt;&gt;0)),1,0)</f>
        <v>0</v>
      </c>
      <c r="AI1462" s="1" t="n">
        <f aca="false">N(AI1461)+$AH1462</f>
        <v>0</v>
      </c>
      <c r="AJ1462" s="1" t="n">
        <v>0</v>
      </c>
      <c r="AK1462" s="1" t="n">
        <f aca="false">N(AK1461)+$AJ1462</f>
        <v>3672</v>
      </c>
    </row>
    <row r="1463" customFormat="false" ht="13.5" hidden="false" customHeight="false" outlineLevel="0" collapsed="false">
      <c r="A1463" s="1" t="str">
        <f aca="false">IF(对接源_02物料!$C263="","",对接源_02物料!$C263)</f>
        <v/>
      </c>
      <c r="B1463" s="1" t="n">
        <f aca="false">IF(A1463="",0,IF(MATCH(A1463,$A$4:$A$2403,0)=ROW()-3,1,0))</f>
        <v>0</v>
      </c>
      <c r="C1463" s="1" t="n">
        <f aca="false">N(C1462)+B1463</f>
        <v>17</v>
      </c>
      <c r="K1463" s="1" t="n">
        <f aca="false">IF(OR($K$1="",对接源_02物料!$C263="",对接源_02物料!$C263&lt;&gt;$K$1,对接源_02物料!$B263=""),0,IF(OR(N(对接源_02物料!$B263)&lt;$K$2,N(对接源_02物料!$B263)&gt;$K$3),0,1))</f>
        <v>0</v>
      </c>
      <c r="L1463" s="1" t="n">
        <f aca="false">IF(OR($L$1="",对接源_02物料!$C263="",对接源_02物料!$C263&lt;&gt;$L$1,对接源_02物料!$B263=""),0,IF(OR(N(对接源_02物料!$B263)&lt;$L$2,N(对接源_02物料!$B263)&gt;$L$3),0,1))</f>
        <v>0</v>
      </c>
      <c r="M1463" s="1" t="n">
        <f aca="false">IF(OR($M$1="",对接源_02物料!$C263="",对接源_02物料!$C263&lt;&gt;$M$1,对接源_02物料!$B263=""),0,IF(OR(N(对接源_02物料!$B263)&lt;$M$2,N(对接源_02物料!$B263)&gt;$M$3),0,1))</f>
        <v>0</v>
      </c>
      <c r="N1463" s="1" t="n">
        <f aca="false">IF(OR($N$1="",对接源_02物料!$C263="",对接源_02物料!$C263&lt;&gt;$N$1,对接源_02物料!$B263=""),0,IF(OR(N(对接源_02物料!$B263)&lt;$N$2,N(对接源_02物料!$B263)&gt;$N$3),0,1))</f>
        <v>0</v>
      </c>
      <c r="P1463" s="1" t="n">
        <f aca="false">IF(AND($K1463=1,AND(对接源_02物料!$X263="公司筐",N(对接源_02物料!$T263)&lt;&gt;0)),1,0)</f>
        <v>0</v>
      </c>
      <c r="Q1463" s="1" t="n">
        <f aca="false">N(Q1462)+$P1463</f>
        <v>13</v>
      </c>
      <c r="R1463" s="1" t="n">
        <f aca="false">IF(AND($K1463=1,AND(对接源_02物料!$X263="公司筐",N(对接源_02物料!$U263)&lt;&gt;0)),1,0)</f>
        <v>0</v>
      </c>
      <c r="S1463" s="1" t="n">
        <f aca="false">N(S1462)+$R1463</f>
        <v>5</v>
      </c>
      <c r="T1463" s="1" t="n">
        <f aca="false">IF(AND($K1463=1,AND(对接源_02物料!$X263="公司筐",N(对接源_02物料!$V263)&lt;&gt;0)),1,0)</f>
        <v>0</v>
      </c>
      <c r="U1463" s="1" t="n">
        <f aca="false">N(U1462)+$T1463</f>
        <v>28</v>
      </c>
      <c r="V1463" s="1" t="n">
        <f aca="false">IF(AND($L1463=1,AND(对接源_02物料!$X263="自备筐",N(对接源_02物料!$V263)&lt;&gt;0)),1,0)</f>
        <v>0</v>
      </c>
      <c r="W1463" s="1" t="n">
        <f aca="false">N(W1462)+$V1463</f>
        <v>7</v>
      </c>
      <c r="X1463" s="1" t="n">
        <f aca="false">IF(AND($L1463=1,AND(对接源_02物料!$X263="自备筐",N(对接源_02物料!$T263)&lt;&gt;0)),1,0)</f>
        <v>0</v>
      </c>
      <c r="Y1463" s="1" t="n">
        <f aca="false">N(Y1462)+$X1463</f>
        <v>0</v>
      </c>
      <c r="Z1463" s="1" t="n">
        <f aca="false">IF(AND($M1463=1,对接源_02物料!$D263="原料入库"),1,0)</f>
        <v>0</v>
      </c>
      <c r="AA1463" s="1" t="n">
        <f aca="false">N(AA1462)+$Z1463</f>
        <v>30</v>
      </c>
      <c r="AB1463" s="1" t="n">
        <f aca="false">IF(AND($M1463=1,LEFT(对接源_02物料!$D263,4)="原料出库"),1,0)</f>
        <v>0</v>
      </c>
      <c r="AC1463" s="1" t="n">
        <f aca="false">N(AC1462)+$AB1463</f>
        <v>19</v>
      </c>
      <c r="AD1463" s="1" t="n">
        <f aca="false">IF(AND($M1463=1,LEFT(对接源_02物料!$D263,4)="成品出库"),1,0)</f>
        <v>0</v>
      </c>
      <c r="AE1463" s="1" t="n">
        <f aca="false">N(AE1462)+$AD1463</f>
        <v>38</v>
      </c>
      <c r="AF1463" s="1" t="n">
        <f aca="false">IF(AND($N1463=1,AND(LEFT(对接源_02物料!$D263,4)="包装物料",N(对接源_02物料!$K263)&lt;&gt;0)),1,0)</f>
        <v>0</v>
      </c>
      <c r="AG1463" s="1" t="n">
        <f aca="false">N(AG1462)+$AF1463</f>
        <v>6</v>
      </c>
      <c r="AH1463" s="1" t="n">
        <f aca="false">IF(AND($N1463=1,AND(LEFT(对接源_02物料!$D263,3)="周转筐",N(对接源_02物料!$K263)&lt;&gt;0)),1,0)</f>
        <v>0</v>
      </c>
      <c r="AI1463" s="1" t="n">
        <f aca="false">N(AI1462)+$AH1463</f>
        <v>0</v>
      </c>
      <c r="AJ1463" s="1" t="n">
        <v>0</v>
      </c>
      <c r="AK1463" s="1" t="n">
        <f aca="false">N(AK1462)+$AJ1463</f>
        <v>3672</v>
      </c>
    </row>
    <row r="1464" customFormat="false" ht="13.5" hidden="false" customHeight="false" outlineLevel="0" collapsed="false">
      <c r="A1464" s="1" t="str">
        <f aca="false">IF(对接源_02物料!$C264="","",对接源_02物料!$C264)</f>
        <v/>
      </c>
      <c r="B1464" s="1" t="n">
        <f aca="false">IF(A1464="",0,IF(MATCH(A1464,$A$4:$A$2403,0)=ROW()-3,1,0))</f>
        <v>0</v>
      </c>
      <c r="C1464" s="1" t="n">
        <f aca="false">N(C1463)+B1464</f>
        <v>17</v>
      </c>
      <c r="K1464" s="1" t="n">
        <f aca="false">IF(OR($K$1="",对接源_02物料!$C264="",对接源_02物料!$C264&lt;&gt;$K$1,对接源_02物料!$B264=""),0,IF(OR(N(对接源_02物料!$B264)&lt;$K$2,N(对接源_02物料!$B264)&gt;$K$3),0,1))</f>
        <v>0</v>
      </c>
      <c r="L1464" s="1" t="n">
        <f aca="false">IF(OR($L$1="",对接源_02物料!$C264="",对接源_02物料!$C264&lt;&gt;$L$1,对接源_02物料!$B264=""),0,IF(OR(N(对接源_02物料!$B264)&lt;$L$2,N(对接源_02物料!$B264)&gt;$L$3),0,1))</f>
        <v>0</v>
      </c>
      <c r="M1464" s="1" t="n">
        <f aca="false">IF(OR($M$1="",对接源_02物料!$C264="",对接源_02物料!$C264&lt;&gt;$M$1,对接源_02物料!$B264=""),0,IF(OR(N(对接源_02物料!$B264)&lt;$M$2,N(对接源_02物料!$B264)&gt;$M$3),0,1))</f>
        <v>0</v>
      </c>
      <c r="N1464" s="1" t="n">
        <f aca="false">IF(OR($N$1="",对接源_02物料!$C264="",对接源_02物料!$C264&lt;&gt;$N$1,对接源_02物料!$B264=""),0,IF(OR(N(对接源_02物料!$B264)&lt;$N$2,N(对接源_02物料!$B264)&gt;$N$3),0,1))</f>
        <v>0</v>
      </c>
      <c r="P1464" s="1" t="n">
        <f aca="false">IF(AND($K1464=1,AND(对接源_02物料!$X264="公司筐",N(对接源_02物料!$T264)&lt;&gt;0)),1,0)</f>
        <v>0</v>
      </c>
      <c r="Q1464" s="1" t="n">
        <f aca="false">N(Q1463)+$P1464</f>
        <v>13</v>
      </c>
      <c r="R1464" s="1" t="n">
        <f aca="false">IF(AND($K1464=1,AND(对接源_02物料!$X264="公司筐",N(对接源_02物料!$U264)&lt;&gt;0)),1,0)</f>
        <v>0</v>
      </c>
      <c r="S1464" s="1" t="n">
        <f aca="false">N(S1463)+$R1464</f>
        <v>5</v>
      </c>
      <c r="T1464" s="1" t="n">
        <f aca="false">IF(AND($K1464=1,AND(对接源_02物料!$X264="公司筐",N(对接源_02物料!$V264)&lt;&gt;0)),1,0)</f>
        <v>0</v>
      </c>
      <c r="U1464" s="1" t="n">
        <f aca="false">N(U1463)+$T1464</f>
        <v>28</v>
      </c>
      <c r="V1464" s="1" t="n">
        <f aca="false">IF(AND($L1464=1,AND(对接源_02物料!$X264="自备筐",N(对接源_02物料!$V264)&lt;&gt;0)),1,0)</f>
        <v>0</v>
      </c>
      <c r="W1464" s="1" t="n">
        <f aca="false">N(W1463)+$V1464</f>
        <v>7</v>
      </c>
      <c r="X1464" s="1" t="n">
        <f aca="false">IF(AND($L1464=1,AND(对接源_02物料!$X264="自备筐",N(对接源_02物料!$T264)&lt;&gt;0)),1,0)</f>
        <v>0</v>
      </c>
      <c r="Y1464" s="1" t="n">
        <f aca="false">N(Y1463)+$X1464</f>
        <v>0</v>
      </c>
      <c r="Z1464" s="1" t="n">
        <f aca="false">IF(AND($M1464=1,对接源_02物料!$D264="原料入库"),1,0)</f>
        <v>0</v>
      </c>
      <c r="AA1464" s="1" t="n">
        <f aca="false">N(AA1463)+$Z1464</f>
        <v>30</v>
      </c>
      <c r="AB1464" s="1" t="n">
        <f aca="false">IF(AND($M1464=1,LEFT(对接源_02物料!$D264,4)="原料出库"),1,0)</f>
        <v>0</v>
      </c>
      <c r="AC1464" s="1" t="n">
        <f aca="false">N(AC1463)+$AB1464</f>
        <v>19</v>
      </c>
      <c r="AD1464" s="1" t="n">
        <f aca="false">IF(AND($M1464=1,LEFT(对接源_02物料!$D264,4)="成品出库"),1,0)</f>
        <v>0</v>
      </c>
      <c r="AE1464" s="1" t="n">
        <f aca="false">N(AE1463)+$AD1464</f>
        <v>38</v>
      </c>
      <c r="AF1464" s="1" t="n">
        <f aca="false">IF(AND($N1464=1,AND(LEFT(对接源_02物料!$D264,4)="包装物料",N(对接源_02物料!$K264)&lt;&gt;0)),1,0)</f>
        <v>0</v>
      </c>
      <c r="AG1464" s="1" t="n">
        <f aca="false">N(AG1463)+$AF1464</f>
        <v>6</v>
      </c>
      <c r="AH1464" s="1" t="n">
        <f aca="false">IF(AND($N1464=1,AND(LEFT(对接源_02物料!$D264,3)="周转筐",N(对接源_02物料!$K264)&lt;&gt;0)),1,0)</f>
        <v>0</v>
      </c>
      <c r="AI1464" s="1" t="n">
        <f aca="false">N(AI1463)+$AH1464</f>
        <v>0</v>
      </c>
      <c r="AJ1464" s="1" t="n">
        <v>0</v>
      </c>
      <c r="AK1464" s="1" t="n">
        <f aca="false">N(AK1463)+$AJ1464</f>
        <v>3672</v>
      </c>
    </row>
    <row r="1465" customFormat="false" ht="13.5" hidden="false" customHeight="false" outlineLevel="0" collapsed="false">
      <c r="A1465" s="1" t="str">
        <f aca="false">IF(对接源_02物料!$C265="","",对接源_02物料!$C265)</f>
        <v/>
      </c>
      <c r="B1465" s="1" t="n">
        <f aca="false">IF(A1465="",0,IF(MATCH(A1465,$A$4:$A$2403,0)=ROW()-3,1,0))</f>
        <v>0</v>
      </c>
      <c r="C1465" s="1" t="n">
        <f aca="false">N(C1464)+B1465</f>
        <v>17</v>
      </c>
      <c r="K1465" s="1" t="n">
        <f aca="false">IF(OR($K$1="",对接源_02物料!$C265="",对接源_02物料!$C265&lt;&gt;$K$1,对接源_02物料!$B265=""),0,IF(OR(N(对接源_02物料!$B265)&lt;$K$2,N(对接源_02物料!$B265)&gt;$K$3),0,1))</f>
        <v>0</v>
      </c>
      <c r="L1465" s="1" t="n">
        <f aca="false">IF(OR($L$1="",对接源_02物料!$C265="",对接源_02物料!$C265&lt;&gt;$L$1,对接源_02物料!$B265=""),0,IF(OR(N(对接源_02物料!$B265)&lt;$L$2,N(对接源_02物料!$B265)&gt;$L$3),0,1))</f>
        <v>0</v>
      </c>
      <c r="M1465" s="1" t="n">
        <f aca="false">IF(OR($M$1="",对接源_02物料!$C265="",对接源_02物料!$C265&lt;&gt;$M$1,对接源_02物料!$B265=""),0,IF(OR(N(对接源_02物料!$B265)&lt;$M$2,N(对接源_02物料!$B265)&gt;$M$3),0,1))</f>
        <v>0</v>
      </c>
      <c r="N1465" s="1" t="n">
        <f aca="false">IF(OR($N$1="",对接源_02物料!$C265="",对接源_02物料!$C265&lt;&gt;$N$1,对接源_02物料!$B265=""),0,IF(OR(N(对接源_02物料!$B265)&lt;$N$2,N(对接源_02物料!$B265)&gt;$N$3),0,1))</f>
        <v>0</v>
      </c>
      <c r="P1465" s="1" t="n">
        <f aca="false">IF(AND($K1465=1,AND(对接源_02物料!$X265="公司筐",N(对接源_02物料!$T265)&lt;&gt;0)),1,0)</f>
        <v>0</v>
      </c>
      <c r="Q1465" s="1" t="n">
        <f aca="false">N(Q1464)+$P1465</f>
        <v>13</v>
      </c>
      <c r="R1465" s="1" t="n">
        <f aca="false">IF(AND($K1465=1,AND(对接源_02物料!$X265="公司筐",N(对接源_02物料!$U265)&lt;&gt;0)),1,0)</f>
        <v>0</v>
      </c>
      <c r="S1465" s="1" t="n">
        <f aca="false">N(S1464)+$R1465</f>
        <v>5</v>
      </c>
      <c r="T1465" s="1" t="n">
        <f aca="false">IF(AND($K1465=1,AND(对接源_02物料!$X265="公司筐",N(对接源_02物料!$V265)&lt;&gt;0)),1,0)</f>
        <v>0</v>
      </c>
      <c r="U1465" s="1" t="n">
        <f aca="false">N(U1464)+$T1465</f>
        <v>28</v>
      </c>
      <c r="V1465" s="1" t="n">
        <f aca="false">IF(AND($L1465=1,AND(对接源_02物料!$X265="自备筐",N(对接源_02物料!$V265)&lt;&gt;0)),1,0)</f>
        <v>0</v>
      </c>
      <c r="W1465" s="1" t="n">
        <f aca="false">N(W1464)+$V1465</f>
        <v>7</v>
      </c>
      <c r="X1465" s="1" t="n">
        <f aca="false">IF(AND($L1465=1,AND(对接源_02物料!$X265="自备筐",N(对接源_02物料!$T265)&lt;&gt;0)),1,0)</f>
        <v>0</v>
      </c>
      <c r="Y1465" s="1" t="n">
        <f aca="false">N(Y1464)+$X1465</f>
        <v>0</v>
      </c>
      <c r="Z1465" s="1" t="n">
        <f aca="false">IF(AND($M1465=1,对接源_02物料!$D265="原料入库"),1,0)</f>
        <v>0</v>
      </c>
      <c r="AA1465" s="1" t="n">
        <f aca="false">N(AA1464)+$Z1465</f>
        <v>30</v>
      </c>
      <c r="AB1465" s="1" t="n">
        <f aca="false">IF(AND($M1465=1,LEFT(对接源_02物料!$D265,4)="原料出库"),1,0)</f>
        <v>0</v>
      </c>
      <c r="AC1465" s="1" t="n">
        <f aca="false">N(AC1464)+$AB1465</f>
        <v>19</v>
      </c>
      <c r="AD1465" s="1" t="n">
        <f aca="false">IF(AND($M1465=1,LEFT(对接源_02物料!$D265,4)="成品出库"),1,0)</f>
        <v>0</v>
      </c>
      <c r="AE1465" s="1" t="n">
        <f aca="false">N(AE1464)+$AD1465</f>
        <v>38</v>
      </c>
      <c r="AF1465" s="1" t="n">
        <f aca="false">IF(AND($N1465=1,AND(LEFT(对接源_02物料!$D265,4)="包装物料",N(对接源_02物料!$K265)&lt;&gt;0)),1,0)</f>
        <v>0</v>
      </c>
      <c r="AG1465" s="1" t="n">
        <f aca="false">N(AG1464)+$AF1465</f>
        <v>6</v>
      </c>
      <c r="AH1465" s="1" t="n">
        <f aca="false">IF(AND($N1465=1,AND(LEFT(对接源_02物料!$D265,3)="周转筐",N(对接源_02物料!$K265)&lt;&gt;0)),1,0)</f>
        <v>0</v>
      </c>
      <c r="AI1465" s="1" t="n">
        <f aca="false">N(AI1464)+$AH1465</f>
        <v>0</v>
      </c>
      <c r="AJ1465" s="1" t="n">
        <v>0</v>
      </c>
      <c r="AK1465" s="1" t="n">
        <f aca="false">N(AK1464)+$AJ1465</f>
        <v>3672</v>
      </c>
    </row>
    <row r="1466" customFormat="false" ht="13.5" hidden="false" customHeight="false" outlineLevel="0" collapsed="false">
      <c r="A1466" s="1" t="str">
        <f aca="false">IF(对接源_02物料!$C266="","",对接源_02物料!$C266)</f>
        <v/>
      </c>
      <c r="B1466" s="1" t="n">
        <f aca="false">IF(A1466="",0,IF(MATCH(A1466,$A$4:$A$2403,0)=ROW()-3,1,0))</f>
        <v>0</v>
      </c>
      <c r="C1466" s="1" t="n">
        <f aca="false">N(C1465)+B1466</f>
        <v>17</v>
      </c>
      <c r="K1466" s="1" t="n">
        <f aca="false">IF(OR($K$1="",对接源_02物料!$C266="",对接源_02物料!$C266&lt;&gt;$K$1,对接源_02物料!$B266=""),0,IF(OR(N(对接源_02物料!$B266)&lt;$K$2,N(对接源_02物料!$B266)&gt;$K$3),0,1))</f>
        <v>0</v>
      </c>
      <c r="L1466" s="1" t="n">
        <f aca="false">IF(OR($L$1="",对接源_02物料!$C266="",对接源_02物料!$C266&lt;&gt;$L$1,对接源_02物料!$B266=""),0,IF(OR(N(对接源_02物料!$B266)&lt;$L$2,N(对接源_02物料!$B266)&gt;$L$3),0,1))</f>
        <v>0</v>
      </c>
      <c r="M1466" s="1" t="n">
        <f aca="false">IF(OR($M$1="",对接源_02物料!$C266="",对接源_02物料!$C266&lt;&gt;$M$1,对接源_02物料!$B266=""),0,IF(OR(N(对接源_02物料!$B266)&lt;$M$2,N(对接源_02物料!$B266)&gt;$M$3),0,1))</f>
        <v>0</v>
      </c>
      <c r="N1466" s="1" t="n">
        <f aca="false">IF(OR($N$1="",对接源_02物料!$C266="",对接源_02物料!$C266&lt;&gt;$N$1,对接源_02物料!$B266=""),0,IF(OR(N(对接源_02物料!$B266)&lt;$N$2,N(对接源_02物料!$B266)&gt;$N$3),0,1))</f>
        <v>0</v>
      </c>
      <c r="P1466" s="1" t="n">
        <f aca="false">IF(AND($K1466=1,AND(对接源_02物料!$X266="公司筐",N(对接源_02物料!$T266)&lt;&gt;0)),1,0)</f>
        <v>0</v>
      </c>
      <c r="Q1466" s="1" t="n">
        <f aca="false">N(Q1465)+$P1466</f>
        <v>13</v>
      </c>
      <c r="R1466" s="1" t="n">
        <f aca="false">IF(AND($K1466=1,AND(对接源_02物料!$X266="公司筐",N(对接源_02物料!$U266)&lt;&gt;0)),1,0)</f>
        <v>0</v>
      </c>
      <c r="S1466" s="1" t="n">
        <f aca="false">N(S1465)+$R1466</f>
        <v>5</v>
      </c>
      <c r="T1466" s="1" t="n">
        <f aca="false">IF(AND($K1466=1,AND(对接源_02物料!$X266="公司筐",N(对接源_02物料!$V266)&lt;&gt;0)),1,0)</f>
        <v>0</v>
      </c>
      <c r="U1466" s="1" t="n">
        <f aca="false">N(U1465)+$T1466</f>
        <v>28</v>
      </c>
      <c r="V1466" s="1" t="n">
        <f aca="false">IF(AND($L1466=1,AND(对接源_02物料!$X266="自备筐",N(对接源_02物料!$V266)&lt;&gt;0)),1,0)</f>
        <v>0</v>
      </c>
      <c r="W1466" s="1" t="n">
        <f aca="false">N(W1465)+$V1466</f>
        <v>7</v>
      </c>
      <c r="X1466" s="1" t="n">
        <f aca="false">IF(AND($L1466=1,AND(对接源_02物料!$X266="自备筐",N(对接源_02物料!$T266)&lt;&gt;0)),1,0)</f>
        <v>0</v>
      </c>
      <c r="Y1466" s="1" t="n">
        <f aca="false">N(Y1465)+$X1466</f>
        <v>0</v>
      </c>
      <c r="Z1466" s="1" t="n">
        <f aca="false">IF(AND($M1466=1,对接源_02物料!$D266="原料入库"),1,0)</f>
        <v>0</v>
      </c>
      <c r="AA1466" s="1" t="n">
        <f aca="false">N(AA1465)+$Z1466</f>
        <v>30</v>
      </c>
      <c r="AB1466" s="1" t="n">
        <f aca="false">IF(AND($M1466=1,LEFT(对接源_02物料!$D266,4)="原料出库"),1,0)</f>
        <v>0</v>
      </c>
      <c r="AC1466" s="1" t="n">
        <f aca="false">N(AC1465)+$AB1466</f>
        <v>19</v>
      </c>
      <c r="AD1466" s="1" t="n">
        <f aca="false">IF(AND($M1466=1,LEFT(对接源_02物料!$D266,4)="成品出库"),1,0)</f>
        <v>0</v>
      </c>
      <c r="AE1466" s="1" t="n">
        <f aca="false">N(AE1465)+$AD1466</f>
        <v>38</v>
      </c>
      <c r="AF1466" s="1" t="n">
        <f aca="false">IF(AND($N1466=1,AND(LEFT(对接源_02物料!$D266,4)="包装物料",N(对接源_02物料!$K266)&lt;&gt;0)),1,0)</f>
        <v>0</v>
      </c>
      <c r="AG1466" s="1" t="n">
        <f aca="false">N(AG1465)+$AF1466</f>
        <v>6</v>
      </c>
      <c r="AH1466" s="1" t="n">
        <f aca="false">IF(AND($N1466=1,AND(LEFT(对接源_02物料!$D266,3)="周转筐",N(对接源_02物料!$K266)&lt;&gt;0)),1,0)</f>
        <v>0</v>
      </c>
      <c r="AI1466" s="1" t="n">
        <f aca="false">N(AI1465)+$AH1466</f>
        <v>0</v>
      </c>
      <c r="AJ1466" s="1" t="n">
        <v>0</v>
      </c>
      <c r="AK1466" s="1" t="n">
        <f aca="false">N(AK1465)+$AJ1466</f>
        <v>3672</v>
      </c>
    </row>
    <row r="1467" customFormat="false" ht="13.5" hidden="false" customHeight="false" outlineLevel="0" collapsed="false">
      <c r="A1467" s="1" t="str">
        <f aca="false">IF(对接源_02物料!$C267="","",对接源_02物料!$C267)</f>
        <v/>
      </c>
      <c r="B1467" s="1" t="n">
        <f aca="false">IF(A1467="",0,IF(MATCH(A1467,$A$4:$A$2403,0)=ROW()-3,1,0))</f>
        <v>0</v>
      </c>
      <c r="C1467" s="1" t="n">
        <f aca="false">N(C1466)+B1467</f>
        <v>17</v>
      </c>
      <c r="K1467" s="1" t="n">
        <f aca="false">IF(OR($K$1="",对接源_02物料!$C267="",对接源_02物料!$C267&lt;&gt;$K$1,对接源_02物料!$B267=""),0,IF(OR(N(对接源_02物料!$B267)&lt;$K$2,N(对接源_02物料!$B267)&gt;$K$3),0,1))</f>
        <v>0</v>
      </c>
      <c r="L1467" s="1" t="n">
        <f aca="false">IF(OR($L$1="",对接源_02物料!$C267="",对接源_02物料!$C267&lt;&gt;$L$1,对接源_02物料!$B267=""),0,IF(OR(N(对接源_02物料!$B267)&lt;$L$2,N(对接源_02物料!$B267)&gt;$L$3),0,1))</f>
        <v>0</v>
      </c>
      <c r="M1467" s="1" t="n">
        <f aca="false">IF(OR($M$1="",对接源_02物料!$C267="",对接源_02物料!$C267&lt;&gt;$M$1,对接源_02物料!$B267=""),0,IF(OR(N(对接源_02物料!$B267)&lt;$M$2,N(对接源_02物料!$B267)&gt;$M$3),0,1))</f>
        <v>0</v>
      </c>
      <c r="N1467" s="1" t="n">
        <f aca="false">IF(OR($N$1="",对接源_02物料!$C267="",对接源_02物料!$C267&lt;&gt;$N$1,对接源_02物料!$B267=""),0,IF(OR(N(对接源_02物料!$B267)&lt;$N$2,N(对接源_02物料!$B267)&gt;$N$3),0,1))</f>
        <v>0</v>
      </c>
      <c r="P1467" s="1" t="n">
        <f aca="false">IF(AND($K1467=1,AND(对接源_02物料!$X267="公司筐",N(对接源_02物料!$T267)&lt;&gt;0)),1,0)</f>
        <v>0</v>
      </c>
      <c r="Q1467" s="1" t="n">
        <f aca="false">N(Q1466)+$P1467</f>
        <v>13</v>
      </c>
      <c r="R1467" s="1" t="n">
        <f aca="false">IF(AND($K1467=1,AND(对接源_02物料!$X267="公司筐",N(对接源_02物料!$U267)&lt;&gt;0)),1,0)</f>
        <v>0</v>
      </c>
      <c r="S1467" s="1" t="n">
        <f aca="false">N(S1466)+$R1467</f>
        <v>5</v>
      </c>
      <c r="T1467" s="1" t="n">
        <f aca="false">IF(AND($K1467=1,AND(对接源_02物料!$X267="公司筐",N(对接源_02物料!$V267)&lt;&gt;0)),1,0)</f>
        <v>0</v>
      </c>
      <c r="U1467" s="1" t="n">
        <f aca="false">N(U1466)+$T1467</f>
        <v>28</v>
      </c>
      <c r="V1467" s="1" t="n">
        <f aca="false">IF(AND($L1467=1,AND(对接源_02物料!$X267="自备筐",N(对接源_02物料!$V267)&lt;&gt;0)),1,0)</f>
        <v>0</v>
      </c>
      <c r="W1467" s="1" t="n">
        <f aca="false">N(W1466)+$V1467</f>
        <v>7</v>
      </c>
      <c r="X1467" s="1" t="n">
        <f aca="false">IF(AND($L1467=1,AND(对接源_02物料!$X267="自备筐",N(对接源_02物料!$T267)&lt;&gt;0)),1,0)</f>
        <v>0</v>
      </c>
      <c r="Y1467" s="1" t="n">
        <f aca="false">N(Y1466)+$X1467</f>
        <v>0</v>
      </c>
      <c r="Z1467" s="1" t="n">
        <f aca="false">IF(AND($M1467=1,对接源_02物料!$D267="原料入库"),1,0)</f>
        <v>0</v>
      </c>
      <c r="AA1467" s="1" t="n">
        <f aca="false">N(AA1466)+$Z1467</f>
        <v>30</v>
      </c>
      <c r="AB1467" s="1" t="n">
        <f aca="false">IF(AND($M1467=1,LEFT(对接源_02物料!$D267,4)="原料出库"),1,0)</f>
        <v>0</v>
      </c>
      <c r="AC1467" s="1" t="n">
        <f aca="false">N(AC1466)+$AB1467</f>
        <v>19</v>
      </c>
      <c r="AD1467" s="1" t="n">
        <f aca="false">IF(AND($M1467=1,LEFT(对接源_02物料!$D267,4)="成品出库"),1,0)</f>
        <v>0</v>
      </c>
      <c r="AE1467" s="1" t="n">
        <f aca="false">N(AE1466)+$AD1467</f>
        <v>38</v>
      </c>
      <c r="AF1467" s="1" t="n">
        <f aca="false">IF(AND($N1467=1,AND(LEFT(对接源_02物料!$D267,4)="包装物料",N(对接源_02物料!$K267)&lt;&gt;0)),1,0)</f>
        <v>0</v>
      </c>
      <c r="AG1467" s="1" t="n">
        <f aca="false">N(AG1466)+$AF1467</f>
        <v>6</v>
      </c>
      <c r="AH1467" s="1" t="n">
        <f aca="false">IF(AND($N1467=1,AND(LEFT(对接源_02物料!$D267,3)="周转筐",N(对接源_02物料!$K267)&lt;&gt;0)),1,0)</f>
        <v>0</v>
      </c>
      <c r="AI1467" s="1" t="n">
        <f aca="false">N(AI1466)+$AH1467</f>
        <v>0</v>
      </c>
      <c r="AJ1467" s="1" t="n">
        <v>0</v>
      </c>
      <c r="AK1467" s="1" t="n">
        <f aca="false">N(AK1466)+$AJ1467</f>
        <v>3672</v>
      </c>
    </row>
    <row r="1468" customFormat="false" ht="13.5" hidden="false" customHeight="false" outlineLevel="0" collapsed="false">
      <c r="A1468" s="1" t="str">
        <f aca="false">IF(对接源_02物料!$C268="","",对接源_02物料!$C268)</f>
        <v/>
      </c>
      <c r="B1468" s="1" t="n">
        <f aca="false">IF(A1468="",0,IF(MATCH(A1468,$A$4:$A$2403,0)=ROW()-3,1,0))</f>
        <v>0</v>
      </c>
      <c r="C1468" s="1" t="n">
        <f aca="false">N(C1467)+B1468</f>
        <v>17</v>
      </c>
      <c r="K1468" s="1" t="n">
        <f aca="false">IF(OR($K$1="",对接源_02物料!$C268="",对接源_02物料!$C268&lt;&gt;$K$1,对接源_02物料!$B268=""),0,IF(OR(N(对接源_02物料!$B268)&lt;$K$2,N(对接源_02物料!$B268)&gt;$K$3),0,1))</f>
        <v>0</v>
      </c>
      <c r="L1468" s="1" t="n">
        <f aca="false">IF(OR($L$1="",对接源_02物料!$C268="",对接源_02物料!$C268&lt;&gt;$L$1,对接源_02物料!$B268=""),0,IF(OR(N(对接源_02物料!$B268)&lt;$L$2,N(对接源_02物料!$B268)&gt;$L$3),0,1))</f>
        <v>0</v>
      </c>
      <c r="M1468" s="1" t="n">
        <f aca="false">IF(OR($M$1="",对接源_02物料!$C268="",对接源_02物料!$C268&lt;&gt;$M$1,对接源_02物料!$B268=""),0,IF(OR(N(对接源_02物料!$B268)&lt;$M$2,N(对接源_02物料!$B268)&gt;$M$3),0,1))</f>
        <v>0</v>
      </c>
      <c r="N1468" s="1" t="n">
        <f aca="false">IF(OR($N$1="",对接源_02物料!$C268="",对接源_02物料!$C268&lt;&gt;$N$1,对接源_02物料!$B268=""),0,IF(OR(N(对接源_02物料!$B268)&lt;$N$2,N(对接源_02物料!$B268)&gt;$N$3),0,1))</f>
        <v>0</v>
      </c>
      <c r="P1468" s="1" t="n">
        <f aca="false">IF(AND($K1468=1,AND(对接源_02物料!$X268="公司筐",N(对接源_02物料!$T268)&lt;&gt;0)),1,0)</f>
        <v>0</v>
      </c>
      <c r="Q1468" s="1" t="n">
        <f aca="false">N(Q1467)+$P1468</f>
        <v>13</v>
      </c>
      <c r="R1468" s="1" t="n">
        <f aca="false">IF(AND($K1468=1,AND(对接源_02物料!$X268="公司筐",N(对接源_02物料!$U268)&lt;&gt;0)),1,0)</f>
        <v>0</v>
      </c>
      <c r="S1468" s="1" t="n">
        <f aca="false">N(S1467)+$R1468</f>
        <v>5</v>
      </c>
      <c r="T1468" s="1" t="n">
        <f aca="false">IF(AND($K1468=1,AND(对接源_02物料!$X268="公司筐",N(对接源_02物料!$V268)&lt;&gt;0)),1,0)</f>
        <v>0</v>
      </c>
      <c r="U1468" s="1" t="n">
        <f aca="false">N(U1467)+$T1468</f>
        <v>28</v>
      </c>
      <c r="V1468" s="1" t="n">
        <f aca="false">IF(AND($L1468=1,AND(对接源_02物料!$X268="自备筐",N(对接源_02物料!$V268)&lt;&gt;0)),1,0)</f>
        <v>0</v>
      </c>
      <c r="W1468" s="1" t="n">
        <f aca="false">N(W1467)+$V1468</f>
        <v>7</v>
      </c>
      <c r="X1468" s="1" t="n">
        <f aca="false">IF(AND($L1468=1,AND(对接源_02物料!$X268="自备筐",N(对接源_02物料!$T268)&lt;&gt;0)),1,0)</f>
        <v>0</v>
      </c>
      <c r="Y1468" s="1" t="n">
        <f aca="false">N(Y1467)+$X1468</f>
        <v>0</v>
      </c>
      <c r="Z1468" s="1" t="n">
        <f aca="false">IF(AND($M1468=1,对接源_02物料!$D268="原料入库"),1,0)</f>
        <v>0</v>
      </c>
      <c r="AA1468" s="1" t="n">
        <f aca="false">N(AA1467)+$Z1468</f>
        <v>30</v>
      </c>
      <c r="AB1468" s="1" t="n">
        <f aca="false">IF(AND($M1468=1,LEFT(对接源_02物料!$D268,4)="原料出库"),1,0)</f>
        <v>0</v>
      </c>
      <c r="AC1468" s="1" t="n">
        <f aca="false">N(AC1467)+$AB1468</f>
        <v>19</v>
      </c>
      <c r="AD1468" s="1" t="n">
        <f aca="false">IF(AND($M1468=1,LEFT(对接源_02物料!$D268,4)="成品出库"),1,0)</f>
        <v>0</v>
      </c>
      <c r="AE1468" s="1" t="n">
        <f aca="false">N(AE1467)+$AD1468</f>
        <v>38</v>
      </c>
      <c r="AF1468" s="1" t="n">
        <f aca="false">IF(AND($N1468=1,AND(LEFT(对接源_02物料!$D268,4)="包装物料",N(对接源_02物料!$K268)&lt;&gt;0)),1,0)</f>
        <v>0</v>
      </c>
      <c r="AG1468" s="1" t="n">
        <f aca="false">N(AG1467)+$AF1468</f>
        <v>6</v>
      </c>
      <c r="AH1468" s="1" t="n">
        <f aca="false">IF(AND($N1468=1,AND(LEFT(对接源_02物料!$D268,3)="周转筐",N(对接源_02物料!$K268)&lt;&gt;0)),1,0)</f>
        <v>0</v>
      </c>
      <c r="AI1468" s="1" t="n">
        <f aca="false">N(AI1467)+$AH1468</f>
        <v>0</v>
      </c>
      <c r="AJ1468" s="1" t="n">
        <v>0</v>
      </c>
      <c r="AK1468" s="1" t="n">
        <f aca="false">N(AK1467)+$AJ1468</f>
        <v>3672</v>
      </c>
    </row>
    <row r="1469" customFormat="false" ht="13.5" hidden="false" customHeight="false" outlineLevel="0" collapsed="false">
      <c r="A1469" s="1" t="str">
        <f aca="false">IF(对接源_02物料!$C269="","",对接源_02物料!$C269)</f>
        <v/>
      </c>
      <c r="B1469" s="1" t="n">
        <f aca="false">IF(A1469="",0,IF(MATCH(A1469,$A$4:$A$2403,0)=ROW()-3,1,0))</f>
        <v>0</v>
      </c>
      <c r="C1469" s="1" t="n">
        <f aca="false">N(C1468)+B1469</f>
        <v>17</v>
      </c>
      <c r="K1469" s="1" t="n">
        <f aca="false">IF(OR($K$1="",对接源_02物料!$C269="",对接源_02物料!$C269&lt;&gt;$K$1,对接源_02物料!$B269=""),0,IF(OR(N(对接源_02物料!$B269)&lt;$K$2,N(对接源_02物料!$B269)&gt;$K$3),0,1))</f>
        <v>0</v>
      </c>
      <c r="L1469" s="1" t="n">
        <f aca="false">IF(OR($L$1="",对接源_02物料!$C269="",对接源_02物料!$C269&lt;&gt;$L$1,对接源_02物料!$B269=""),0,IF(OR(N(对接源_02物料!$B269)&lt;$L$2,N(对接源_02物料!$B269)&gt;$L$3),0,1))</f>
        <v>0</v>
      </c>
      <c r="M1469" s="1" t="n">
        <f aca="false">IF(OR($M$1="",对接源_02物料!$C269="",对接源_02物料!$C269&lt;&gt;$M$1,对接源_02物料!$B269=""),0,IF(OR(N(对接源_02物料!$B269)&lt;$M$2,N(对接源_02物料!$B269)&gt;$M$3),0,1))</f>
        <v>0</v>
      </c>
      <c r="N1469" s="1" t="n">
        <f aca="false">IF(OR($N$1="",对接源_02物料!$C269="",对接源_02物料!$C269&lt;&gt;$N$1,对接源_02物料!$B269=""),0,IF(OR(N(对接源_02物料!$B269)&lt;$N$2,N(对接源_02物料!$B269)&gt;$N$3),0,1))</f>
        <v>0</v>
      </c>
      <c r="P1469" s="1" t="n">
        <f aca="false">IF(AND($K1469=1,AND(对接源_02物料!$X269="公司筐",N(对接源_02物料!$T269)&lt;&gt;0)),1,0)</f>
        <v>0</v>
      </c>
      <c r="Q1469" s="1" t="n">
        <f aca="false">N(Q1468)+$P1469</f>
        <v>13</v>
      </c>
      <c r="R1469" s="1" t="n">
        <f aca="false">IF(AND($K1469=1,AND(对接源_02物料!$X269="公司筐",N(对接源_02物料!$U269)&lt;&gt;0)),1,0)</f>
        <v>0</v>
      </c>
      <c r="S1469" s="1" t="n">
        <f aca="false">N(S1468)+$R1469</f>
        <v>5</v>
      </c>
      <c r="T1469" s="1" t="n">
        <f aca="false">IF(AND($K1469=1,AND(对接源_02物料!$X269="公司筐",N(对接源_02物料!$V269)&lt;&gt;0)),1,0)</f>
        <v>0</v>
      </c>
      <c r="U1469" s="1" t="n">
        <f aca="false">N(U1468)+$T1469</f>
        <v>28</v>
      </c>
      <c r="V1469" s="1" t="n">
        <f aca="false">IF(AND($L1469=1,AND(对接源_02物料!$X269="自备筐",N(对接源_02物料!$V269)&lt;&gt;0)),1,0)</f>
        <v>0</v>
      </c>
      <c r="W1469" s="1" t="n">
        <f aca="false">N(W1468)+$V1469</f>
        <v>7</v>
      </c>
      <c r="X1469" s="1" t="n">
        <f aca="false">IF(AND($L1469=1,AND(对接源_02物料!$X269="自备筐",N(对接源_02物料!$T269)&lt;&gt;0)),1,0)</f>
        <v>0</v>
      </c>
      <c r="Y1469" s="1" t="n">
        <f aca="false">N(Y1468)+$X1469</f>
        <v>0</v>
      </c>
      <c r="Z1469" s="1" t="n">
        <f aca="false">IF(AND($M1469=1,对接源_02物料!$D269="原料入库"),1,0)</f>
        <v>0</v>
      </c>
      <c r="AA1469" s="1" t="n">
        <f aca="false">N(AA1468)+$Z1469</f>
        <v>30</v>
      </c>
      <c r="AB1469" s="1" t="n">
        <f aca="false">IF(AND($M1469=1,LEFT(对接源_02物料!$D269,4)="原料出库"),1,0)</f>
        <v>0</v>
      </c>
      <c r="AC1469" s="1" t="n">
        <f aca="false">N(AC1468)+$AB1469</f>
        <v>19</v>
      </c>
      <c r="AD1469" s="1" t="n">
        <f aca="false">IF(AND($M1469=1,LEFT(对接源_02物料!$D269,4)="成品出库"),1,0)</f>
        <v>0</v>
      </c>
      <c r="AE1469" s="1" t="n">
        <f aca="false">N(AE1468)+$AD1469</f>
        <v>38</v>
      </c>
      <c r="AF1469" s="1" t="n">
        <f aca="false">IF(AND($N1469=1,AND(LEFT(对接源_02物料!$D269,4)="包装物料",N(对接源_02物料!$K269)&lt;&gt;0)),1,0)</f>
        <v>0</v>
      </c>
      <c r="AG1469" s="1" t="n">
        <f aca="false">N(AG1468)+$AF1469</f>
        <v>6</v>
      </c>
      <c r="AH1469" s="1" t="n">
        <f aca="false">IF(AND($N1469=1,AND(LEFT(对接源_02物料!$D269,3)="周转筐",N(对接源_02物料!$K269)&lt;&gt;0)),1,0)</f>
        <v>0</v>
      </c>
      <c r="AI1469" s="1" t="n">
        <f aca="false">N(AI1468)+$AH1469</f>
        <v>0</v>
      </c>
      <c r="AJ1469" s="1" t="n">
        <v>0</v>
      </c>
      <c r="AK1469" s="1" t="n">
        <f aca="false">N(AK1468)+$AJ1469</f>
        <v>3672</v>
      </c>
    </row>
    <row r="1470" customFormat="false" ht="13.5" hidden="false" customHeight="false" outlineLevel="0" collapsed="false">
      <c r="A1470" s="1" t="str">
        <f aca="false">IF(对接源_02物料!$C270="","",对接源_02物料!$C270)</f>
        <v/>
      </c>
      <c r="B1470" s="1" t="n">
        <f aca="false">IF(A1470="",0,IF(MATCH(A1470,$A$4:$A$2403,0)=ROW()-3,1,0))</f>
        <v>0</v>
      </c>
      <c r="C1470" s="1" t="n">
        <f aca="false">N(C1469)+B1470</f>
        <v>17</v>
      </c>
      <c r="K1470" s="1" t="n">
        <f aca="false">IF(OR($K$1="",对接源_02物料!$C270="",对接源_02物料!$C270&lt;&gt;$K$1,对接源_02物料!$B270=""),0,IF(OR(N(对接源_02物料!$B270)&lt;$K$2,N(对接源_02物料!$B270)&gt;$K$3),0,1))</f>
        <v>0</v>
      </c>
      <c r="L1470" s="1" t="n">
        <f aca="false">IF(OR($L$1="",对接源_02物料!$C270="",对接源_02物料!$C270&lt;&gt;$L$1,对接源_02物料!$B270=""),0,IF(OR(N(对接源_02物料!$B270)&lt;$L$2,N(对接源_02物料!$B270)&gt;$L$3),0,1))</f>
        <v>0</v>
      </c>
      <c r="M1470" s="1" t="n">
        <f aca="false">IF(OR($M$1="",对接源_02物料!$C270="",对接源_02物料!$C270&lt;&gt;$M$1,对接源_02物料!$B270=""),0,IF(OR(N(对接源_02物料!$B270)&lt;$M$2,N(对接源_02物料!$B270)&gt;$M$3),0,1))</f>
        <v>0</v>
      </c>
      <c r="N1470" s="1" t="n">
        <f aca="false">IF(OR($N$1="",对接源_02物料!$C270="",对接源_02物料!$C270&lt;&gt;$N$1,对接源_02物料!$B270=""),0,IF(OR(N(对接源_02物料!$B270)&lt;$N$2,N(对接源_02物料!$B270)&gt;$N$3),0,1))</f>
        <v>0</v>
      </c>
      <c r="P1470" s="1" t="n">
        <f aca="false">IF(AND($K1470=1,AND(对接源_02物料!$X270="公司筐",N(对接源_02物料!$T270)&lt;&gt;0)),1,0)</f>
        <v>0</v>
      </c>
      <c r="Q1470" s="1" t="n">
        <f aca="false">N(Q1469)+$P1470</f>
        <v>13</v>
      </c>
      <c r="R1470" s="1" t="n">
        <f aca="false">IF(AND($K1470=1,AND(对接源_02物料!$X270="公司筐",N(对接源_02物料!$U270)&lt;&gt;0)),1,0)</f>
        <v>0</v>
      </c>
      <c r="S1470" s="1" t="n">
        <f aca="false">N(S1469)+$R1470</f>
        <v>5</v>
      </c>
      <c r="T1470" s="1" t="n">
        <f aca="false">IF(AND($K1470=1,AND(对接源_02物料!$X270="公司筐",N(对接源_02物料!$V270)&lt;&gt;0)),1,0)</f>
        <v>0</v>
      </c>
      <c r="U1470" s="1" t="n">
        <f aca="false">N(U1469)+$T1470</f>
        <v>28</v>
      </c>
      <c r="V1470" s="1" t="n">
        <f aca="false">IF(AND($L1470=1,AND(对接源_02物料!$X270="自备筐",N(对接源_02物料!$V270)&lt;&gt;0)),1,0)</f>
        <v>0</v>
      </c>
      <c r="W1470" s="1" t="n">
        <f aca="false">N(W1469)+$V1470</f>
        <v>7</v>
      </c>
      <c r="X1470" s="1" t="n">
        <f aca="false">IF(AND($L1470=1,AND(对接源_02物料!$X270="自备筐",N(对接源_02物料!$T270)&lt;&gt;0)),1,0)</f>
        <v>0</v>
      </c>
      <c r="Y1470" s="1" t="n">
        <f aca="false">N(Y1469)+$X1470</f>
        <v>0</v>
      </c>
      <c r="Z1470" s="1" t="n">
        <f aca="false">IF(AND($M1470=1,对接源_02物料!$D270="原料入库"),1,0)</f>
        <v>0</v>
      </c>
      <c r="AA1470" s="1" t="n">
        <f aca="false">N(AA1469)+$Z1470</f>
        <v>30</v>
      </c>
      <c r="AB1470" s="1" t="n">
        <f aca="false">IF(AND($M1470=1,LEFT(对接源_02物料!$D270,4)="原料出库"),1,0)</f>
        <v>0</v>
      </c>
      <c r="AC1470" s="1" t="n">
        <f aca="false">N(AC1469)+$AB1470</f>
        <v>19</v>
      </c>
      <c r="AD1470" s="1" t="n">
        <f aca="false">IF(AND($M1470=1,LEFT(对接源_02物料!$D270,4)="成品出库"),1,0)</f>
        <v>0</v>
      </c>
      <c r="AE1470" s="1" t="n">
        <f aca="false">N(AE1469)+$AD1470</f>
        <v>38</v>
      </c>
      <c r="AF1470" s="1" t="n">
        <f aca="false">IF(AND($N1470=1,AND(LEFT(对接源_02物料!$D270,4)="包装物料",N(对接源_02物料!$K270)&lt;&gt;0)),1,0)</f>
        <v>0</v>
      </c>
      <c r="AG1470" s="1" t="n">
        <f aca="false">N(AG1469)+$AF1470</f>
        <v>6</v>
      </c>
      <c r="AH1470" s="1" t="n">
        <f aca="false">IF(AND($N1470=1,AND(LEFT(对接源_02物料!$D270,3)="周转筐",N(对接源_02物料!$K270)&lt;&gt;0)),1,0)</f>
        <v>0</v>
      </c>
      <c r="AI1470" s="1" t="n">
        <f aca="false">N(AI1469)+$AH1470</f>
        <v>0</v>
      </c>
      <c r="AJ1470" s="1" t="n">
        <v>0</v>
      </c>
      <c r="AK1470" s="1" t="n">
        <f aca="false">N(AK1469)+$AJ1470</f>
        <v>3672</v>
      </c>
    </row>
    <row r="1471" customFormat="false" ht="13.5" hidden="false" customHeight="false" outlineLevel="0" collapsed="false">
      <c r="A1471" s="1" t="str">
        <f aca="false">IF(对接源_02物料!$C271="","",对接源_02物料!$C271)</f>
        <v/>
      </c>
      <c r="B1471" s="1" t="n">
        <f aca="false">IF(A1471="",0,IF(MATCH(A1471,$A$4:$A$2403,0)=ROW()-3,1,0))</f>
        <v>0</v>
      </c>
      <c r="C1471" s="1" t="n">
        <f aca="false">N(C1470)+B1471</f>
        <v>17</v>
      </c>
      <c r="K1471" s="1" t="n">
        <f aca="false">IF(OR($K$1="",对接源_02物料!$C271="",对接源_02物料!$C271&lt;&gt;$K$1,对接源_02物料!$B271=""),0,IF(OR(N(对接源_02物料!$B271)&lt;$K$2,N(对接源_02物料!$B271)&gt;$K$3),0,1))</f>
        <v>0</v>
      </c>
      <c r="L1471" s="1" t="n">
        <f aca="false">IF(OR($L$1="",对接源_02物料!$C271="",对接源_02物料!$C271&lt;&gt;$L$1,对接源_02物料!$B271=""),0,IF(OR(N(对接源_02物料!$B271)&lt;$L$2,N(对接源_02物料!$B271)&gt;$L$3),0,1))</f>
        <v>0</v>
      </c>
      <c r="M1471" s="1" t="n">
        <f aca="false">IF(OR($M$1="",对接源_02物料!$C271="",对接源_02物料!$C271&lt;&gt;$M$1,对接源_02物料!$B271=""),0,IF(OR(N(对接源_02物料!$B271)&lt;$M$2,N(对接源_02物料!$B271)&gt;$M$3),0,1))</f>
        <v>0</v>
      </c>
      <c r="N1471" s="1" t="n">
        <f aca="false">IF(OR($N$1="",对接源_02物料!$C271="",对接源_02物料!$C271&lt;&gt;$N$1,对接源_02物料!$B271=""),0,IF(OR(N(对接源_02物料!$B271)&lt;$N$2,N(对接源_02物料!$B271)&gt;$N$3),0,1))</f>
        <v>0</v>
      </c>
      <c r="P1471" s="1" t="n">
        <f aca="false">IF(AND($K1471=1,AND(对接源_02物料!$X271="公司筐",N(对接源_02物料!$T271)&lt;&gt;0)),1,0)</f>
        <v>0</v>
      </c>
      <c r="Q1471" s="1" t="n">
        <f aca="false">N(Q1470)+$P1471</f>
        <v>13</v>
      </c>
      <c r="R1471" s="1" t="n">
        <f aca="false">IF(AND($K1471=1,AND(对接源_02物料!$X271="公司筐",N(对接源_02物料!$U271)&lt;&gt;0)),1,0)</f>
        <v>0</v>
      </c>
      <c r="S1471" s="1" t="n">
        <f aca="false">N(S1470)+$R1471</f>
        <v>5</v>
      </c>
      <c r="T1471" s="1" t="n">
        <f aca="false">IF(AND($K1471=1,AND(对接源_02物料!$X271="公司筐",N(对接源_02物料!$V271)&lt;&gt;0)),1,0)</f>
        <v>0</v>
      </c>
      <c r="U1471" s="1" t="n">
        <f aca="false">N(U1470)+$T1471</f>
        <v>28</v>
      </c>
      <c r="V1471" s="1" t="n">
        <f aca="false">IF(AND($L1471=1,AND(对接源_02物料!$X271="自备筐",N(对接源_02物料!$V271)&lt;&gt;0)),1,0)</f>
        <v>0</v>
      </c>
      <c r="W1471" s="1" t="n">
        <f aca="false">N(W1470)+$V1471</f>
        <v>7</v>
      </c>
      <c r="X1471" s="1" t="n">
        <f aca="false">IF(AND($L1471=1,AND(对接源_02物料!$X271="自备筐",N(对接源_02物料!$T271)&lt;&gt;0)),1,0)</f>
        <v>0</v>
      </c>
      <c r="Y1471" s="1" t="n">
        <f aca="false">N(Y1470)+$X1471</f>
        <v>0</v>
      </c>
      <c r="Z1471" s="1" t="n">
        <f aca="false">IF(AND($M1471=1,对接源_02物料!$D271="原料入库"),1,0)</f>
        <v>0</v>
      </c>
      <c r="AA1471" s="1" t="n">
        <f aca="false">N(AA1470)+$Z1471</f>
        <v>30</v>
      </c>
      <c r="AB1471" s="1" t="n">
        <f aca="false">IF(AND($M1471=1,LEFT(对接源_02物料!$D271,4)="原料出库"),1,0)</f>
        <v>0</v>
      </c>
      <c r="AC1471" s="1" t="n">
        <f aca="false">N(AC1470)+$AB1471</f>
        <v>19</v>
      </c>
      <c r="AD1471" s="1" t="n">
        <f aca="false">IF(AND($M1471=1,LEFT(对接源_02物料!$D271,4)="成品出库"),1,0)</f>
        <v>0</v>
      </c>
      <c r="AE1471" s="1" t="n">
        <f aca="false">N(AE1470)+$AD1471</f>
        <v>38</v>
      </c>
      <c r="AF1471" s="1" t="n">
        <f aca="false">IF(AND($N1471=1,AND(LEFT(对接源_02物料!$D271,4)="包装物料",N(对接源_02物料!$K271)&lt;&gt;0)),1,0)</f>
        <v>0</v>
      </c>
      <c r="AG1471" s="1" t="n">
        <f aca="false">N(AG1470)+$AF1471</f>
        <v>6</v>
      </c>
      <c r="AH1471" s="1" t="n">
        <f aca="false">IF(AND($N1471=1,AND(LEFT(对接源_02物料!$D271,3)="周转筐",N(对接源_02物料!$K271)&lt;&gt;0)),1,0)</f>
        <v>0</v>
      </c>
      <c r="AI1471" s="1" t="n">
        <f aca="false">N(AI1470)+$AH1471</f>
        <v>0</v>
      </c>
      <c r="AJ1471" s="1" t="n">
        <v>0</v>
      </c>
      <c r="AK1471" s="1" t="n">
        <f aca="false">N(AK1470)+$AJ1471</f>
        <v>3672</v>
      </c>
    </row>
    <row r="1472" customFormat="false" ht="13.5" hidden="false" customHeight="false" outlineLevel="0" collapsed="false">
      <c r="A1472" s="1" t="str">
        <f aca="false">IF(对接源_02物料!$C272="","",对接源_02物料!$C272)</f>
        <v/>
      </c>
      <c r="B1472" s="1" t="n">
        <f aca="false">IF(A1472="",0,IF(MATCH(A1472,$A$4:$A$2403,0)=ROW()-3,1,0))</f>
        <v>0</v>
      </c>
      <c r="C1472" s="1" t="n">
        <f aca="false">N(C1471)+B1472</f>
        <v>17</v>
      </c>
      <c r="K1472" s="1" t="n">
        <f aca="false">IF(OR($K$1="",对接源_02物料!$C272="",对接源_02物料!$C272&lt;&gt;$K$1,对接源_02物料!$B272=""),0,IF(OR(N(对接源_02物料!$B272)&lt;$K$2,N(对接源_02物料!$B272)&gt;$K$3),0,1))</f>
        <v>0</v>
      </c>
      <c r="L1472" s="1" t="n">
        <f aca="false">IF(OR($L$1="",对接源_02物料!$C272="",对接源_02物料!$C272&lt;&gt;$L$1,对接源_02物料!$B272=""),0,IF(OR(N(对接源_02物料!$B272)&lt;$L$2,N(对接源_02物料!$B272)&gt;$L$3),0,1))</f>
        <v>0</v>
      </c>
      <c r="M1472" s="1" t="n">
        <f aca="false">IF(OR($M$1="",对接源_02物料!$C272="",对接源_02物料!$C272&lt;&gt;$M$1,对接源_02物料!$B272=""),0,IF(OR(N(对接源_02物料!$B272)&lt;$M$2,N(对接源_02物料!$B272)&gt;$M$3),0,1))</f>
        <v>0</v>
      </c>
      <c r="N1472" s="1" t="n">
        <f aca="false">IF(OR($N$1="",对接源_02物料!$C272="",对接源_02物料!$C272&lt;&gt;$N$1,对接源_02物料!$B272=""),0,IF(OR(N(对接源_02物料!$B272)&lt;$N$2,N(对接源_02物料!$B272)&gt;$N$3),0,1))</f>
        <v>0</v>
      </c>
      <c r="P1472" s="1" t="n">
        <f aca="false">IF(AND($K1472=1,AND(对接源_02物料!$X272="公司筐",N(对接源_02物料!$T272)&lt;&gt;0)),1,0)</f>
        <v>0</v>
      </c>
      <c r="Q1472" s="1" t="n">
        <f aca="false">N(Q1471)+$P1472</f>
        <v>13</v>
      </c>
      <c r="R1472" s="1" t="n">
        <f aca="false">IF(AND($K1472=1,AND(对接源_02物料!$X272="公司筐",N(对接源_02物料!$U272)&lt;&gt;0)),1,0)</f>
        <v>0</v>
      </c>
      <c r="S1472" s="1" t="n">
        <f aca="false">N(S1471)+$R1472</f>
        <v>5</v>
      </c>
      <c r="T1472" s="1" t="n">
        <f aca="false">IF(AND($K1472=1,AND(对接源_02物料!$X272="公司筐",N(对接源_02物料!$V272)&lt;&gt;0)),1,0)</f>
        <v>0</v>
      </c>
      <c r="U1472" s="1" t="n">
        <f aca="false">N(U1471)+$T1472</f>
        <v>28</v>
      </c>
      <c r="V1472" s="1" t="n">
        <f aca="false">IF(AND($L1472=1,AND(对接源_02物料!$X272="自备筐",N(对接源_02物料!$V272)&lt;&gt;0)),1,0)</f>
        <v>0</v>
      </c>
      <c r="W1472" s="1" t="n">
        <f aca="false">N(W1471)+$V1472</f>
        <v>7</v>
      </c>
      <c r="X1472" s="1" t="n">
        <f aca="false">IF(AND($L1472=1,AND(对接源_02物料!$X272="自备筐",N(对接源_02物料!$T272)&lt;&gt;0)),1,0)</f>
        <v>0</v>
      </c>
      <c r="Y1472" s="1" t="n">
        <f aca="false">N(Y1471)+$X1472</f>
        <v>0</v>
      </c>
      <c r="Z1472" s="1" t="n">
        <f aca="false">IF(AND($M1472=1,对接源_02物料!$D272="原料入库"),1,0)</f>
        <v>0</v>
      </c>
      <c r="AA1472" s="1" t="n">
        <f aca="false">N(AA1471)+$Z1472</f>
        <v>30</v>
      </c>
      <c r="AB1472" s="1" t="n">
        <f aca="false">IF(AND($M1472=1,LEFT(对接源_02物料!$D272,4)="原料出库"),1,0)</f>
        <v>0</v>
      </c>
      <c r="AC1472" s="1" t="n">
        <f aca="false">N(AC1471)+$AB1472</f>
        <v>19</v>
      </c>
      <c r="AD1472" s="1" t="n">
        <f aca="false">IF(AND($M1472=1,LEFT(对接源_02物料!$D272,4)="成品出库"),1,0)</f>
        <v>0</v>
      </c>
      <c r="AE1472" s="1" t="n">
        <f aca="false">N(AE1471)+$AD1472</f>
        <v>38</v>
      </c>
      <c r="AF1472" s="1" t="n">
        <f aca="false">IF(AND($N1472=1,AND(LEFT(对接源_02物料!$D272,4)="包装物料",N(对接源_02物料!$K272)&lt;&gt;0)),1,0)</f>
        <v>0</v>
      </c>
      <c r="AG1472" s="1" t="n">
        <f aca="false">N(AG1471)+$AF1472</f>
        <v>6</v>
      </c>
      <c r="AH1472" s="1" t="n">
        <f aca="false">IF(AND($N1472=1,AND(LEFT(对接源_02物料!$D272,3)="周转筐",N(对接源_02物料!$K272)&lt;&gt;0)),1,0)</f>
        <v>0</v>
      </c>
      <c r="AI1472" s="1" t="n">
        <f aca="false">N(AI1471)+$AH1472</f>
        <v>0</v>
      </c>
      <c r="AJ1472" s="1" t="n">
        <v>0</v>
      </c>
      <c r="AK1472" s="1" t="n">
        <f aca="false">N(AK1471)+$AJ1472</f>
        <v>3672</v>
      </c>
    </row>
    <row r="1473" customFormat="false" ht="13.5" hidden="false" customHeight="false" outlineLevel="0" collapsed="false">
      <c r="A1473" s="1" t="str">
        <f aca="false">IF(对接源_02物料!$C273="","",对接源_02物料!$C273)</f>
        <v/>
      </c>
      <c r="B1473" s="1" t="n">
        <f aca="false">IF(A1473="",0,IF(MATCH(A1473,$A$4:$A$2403,0)=ROW()-3,1,0))</f>
        <v>0</v>
      </c>
      <c r="C1473" s="1" t="n">
        <f aca="false">N(C1472)+B1473</f>
        <v>17</v>
      </c>
      <c r="K1473" s="1" t="n">
        <f aca="false">IF(OR($K$1="",对接源_02物料!$C273="",对接源_02物料!$C273&lt;&gt;$K$1,对接源_02物料!$B273=""),0,IF(OR(N(对接源_02物料!$B273)&lt;$K$2,N(对接源_02物料!$B273)&gt;$K$3),0,1))</f>
        <v>0</v>
      </c>
      <c r="L1473" s="1" t="n">
        <f aca="false">IF(OR($L$1="",对接源_02物料!$C273="",对接源_02物料!$C273&lt;&gt;$L$1,对接源_02物料!$B273=""),0,IF(OR(N(对接源_02物料!$B273)&lt;$L$2,N(对接源_02物料!$B273)&gt;$L$3),0,1))</f>
        <v>0</v>
      </c>
      <c r="M1473" s="1" t="n">
        <f aca="false">IF(OR($M$1="",对接源_02物料!$C273="",对接源_02物料!$C273&lt;&gt;$M$1,对接源_02物料!$B273=""),0,IF(OR(N(对接源_02物料!$B273)&lt;$M$2,N(对接源_02物料!$B273)&gt;$M$3),0,1))</f>
        <v>0</v>
      </c>
      <c r="N1473" s="1" t="n">
        <f aca="false">IF(OR($N$1="",对接源_02物料!$C273="",对接源_02物料!$C273&lt;&gt;$N$1,对接源_02物料!$B273=""),0,IF(OR(N(对接源_02物料!$B273)&lt;$N$2,N(对接源_02物料!$B273)&gt;$N$3),0,1))</f>
        <v>0</v>
      </c>
      <c r="P1473" s="1" t="n">
        <f aca="false">IF(AND($K1473=1,AND(对接源_02物料!$X273="公司筐",N(对接源_02物料!$T273)&lt;&gt;0)),1,0)</f>
        <v>0</v>
      </c>
      <c r="Q1473" s="1" t="n">
        <f aca="false">N(Q1472)+$P1473</f>
        <v>13</v>
      </c>
      <c r="R1473" s="1" t="n">
        <f aca="false">IF(AND($K1473=1,AND(对接源_02物料!$X273="公司筐",N(对接源_02物料!$U273)&lt;&gt;0)),1,0)</f>
        <v>0</v>
      </c>
      <c r="S1473" s="1" t="n">
        <f aca="false">N(S1472)+$R1473</f>
        <v>5</v>
      </c>
      <c r="T1473" s="1" t="n">
        <f aca="false">IF(AND($K1473=1,AND(对接源_02物料!$X273="公司筐",N(对接源_02物料!$V273)&lt;&gt;0)),1,0)</f>
        <v>0</v>
      </c>
      <c r="U1473" s="1" t="n">
        <f aca="false">N(U1472)+$T1473</f>
        <v>28</v>
      </c>
      <c r="V1473" s="1" t="n">
        <f aca="false">IF(AND($L1473=1,AND(对接源_02物料!$X273="自备筐",N(对接源_02物料!$V273)&lt;&gt;0)),1,0)</f>
        <v>0</v>
      </c>
      <c r="W1473" s="1" t="n">
        <f aca="false">N(W1472)+$V1473</f>
        <v>7</v>
      </c>
      <c r="X1473" s="1" t="n">
        <f aca="false">IF(AND($L1473=1,AND(对接源_02物料!$X273="自备筐",N(对接源_02物料!$T273)&lt;&gt;0)),1,0)</f>
        <v>0</v>
      </c>
      <c r="Y1473" s="1" t="n">
        <f aca="false">N(Y1472)+$X1473</f>
        <v>0</v>
      </c>
      <c r="Z1473" s="1" t="n">
        <f aca="false">IF(AND($M1473=1,对接源_02物料!$D273="原料入库"),1,0)</f>
        <v>0</v>
      </c>
      <c r="AA1473" s="1" t="n">
        <f aca="false">N(AA1472)+$Z1473</f>
        <v>30</v>
      </c>
      <c r="AB1473" s="1" t="n">
        <f aca="false">IF(AND($M1473=1,LEFT(对接源_02物料!$D273,4)="原料出库"),1,0)</f>
        <v>0</v>
      </c>
      <c r="AC1473" s="1" t="n">
        <f aca="false">N(AC1472)+$AB1473</f>
        <v>19</v>
      </c>
      <c r="AD1473" s="1" t="n">
        <f aca="false">IF(AND($M1473=1,LEFT(对接源_02物料!$D273,4)="成品出库"),1,0)</f>
        <v>0</v>
      </c>
      <c r="AE1473" s="1" t="n">
        <f aca="false">N(AE1472)+$AD1473</f>
        <v>38</v>
      </c>
      <c r="AF1473" s="1" t="n">
        <f aca="false">IF(AND($N1473=1,AND(LEFT(对接源_02物料!$D273,4)="包装物料",N(对接源_02物料!$K273)&lt;&gt;0)),1,0)</f>
        <v>0</v>
      </c>
      <c r="AG1473" s="1" t="n">
        <f aca="false">N(AG1472)+$AF1473</f>
        <v>6</v>
      </c>
      <c r="AH1473" s="1" t="n">
        <f aca="false">IF(AND($N1473=1,AND(LEFT(对接源_02物料!$D273,3)="周转筐",N(对接源_02物料!$K273)&lt;&gt;0)),1,0)</f>
        <v>0</v>
      </c>
      <c r="AI1473" s="1" t="n">
        <f aca="false">N(AI1472)+$AH1473</f>
        <v>0</v>
      </c>
      <c r="AJ1473" s="1" t="n">
        <v>0</v>
      </c>
      <c r="AK1473" s="1" t="n">
        <f aca="false">N(AK1472)+$AJ1473</f>
        <v>3672</v>
      </c>
    </row>
    <row r="1474" customFormat="false" ht="13.5" hidden="false" customHeight="false" outlineLevel="0" collapsed="false">
      <c r="A1474" s="1" t="str">
        <f aca="false">IF(对接源_02物料!$C274="","",对接源_02物料!$C274)</f>
        <v/>
      </c>
      <c r="B1474" s="1" t="n">
        <f aca="false">IF(A1474="",0,IF(MATCH(A1474,$A$4:$A$2403,0)=ROW()-3,1,0))</f>
        <v>0</v>
      </c>
      <c r="C1474" s="1" t="n">
        <f aca="false">N(C1473)+B1474</f>
        <v>17</v>
      </c>
      <c r="K1474" s="1" t="n">
        <f aca="false">IF(OR($K$1="",对接源_02物料!$C274="",对接源_02物料!$C274&lt;&gt;$K$1,对接源_02物料!$B274=""),0,IF(OR(N(对接源_02物料!$B274)&lt;$K$2,N(对接源_02物料!$B274)&gt;$K$3),0,1))</f>
        <v>0</v>
      </c>
      <c r="L1474" s="1" t="n">
        <f aca="false">IF(OR($L$1="",对接源_02物料!$C274="",对接源_02物料!$C274&lt;&gt;$L$1,对接源_02物料!$B274=""),0,IF(OR(N(对接源_02物料!$B274)&lt;$L$2,N(对接源_02物料!$B274)&gt;$L$3),0,1))</f>
        <v>0</v>
      </c>
      <c r="M1474" s="1" t="n">
        <f aca="false">IF(OR($M$1="",对接源_02物料!$C274="",对接源_02物料!$C274&lt;&gt;$M$1,对接源_02物料!$B274=""),0,IF(OR(N(对接源_02物料!$B274)&lt;$M$2,N(对接源_02物料!$B274)&gt;$M$3),0,1))</f>
        <v>0</v>
      </c>
      <c r="N1474" s="1" t="n">
        <f aca="false">IF(OR($N$1="",对接源_02物料!$C274="",对接源_02物料!$C274&lt;&gt;$N$1,对接源_02物料!$B274=""),0,IF(OR(N(对接源_02物料!$B274)&lt;$N$2,N(对接源_02物料!$B274)&gt;$N$3),0,1))</f>
        <v>0</v>
      </c>
      <c r="P1474" s="1" t="n">
        <f aca="false">IF(AND($K1474=1,AND(对接源_02物料!$X274="公司筐",N(对接源_02物料!$T274)&lt;&gt;0)),1,0)</f>
        <v>0</v>
      </c>
      <c r="Q1474" s="1" t="n">
        <f aca="false">N(Q1473)+$P1474</f>
        <v>13</v>
      </c>
      <c r="R1474" s="1" t="n">
        <f aca="false">IF(AND($K1474=1,AND(对接源_02物料!$X274="公司筐",N(对接源_02物料!$U274)&lt;&gt;0)),1,0)</f>
        <v>0</v>
      </c>
      <c r="S1474" s="1" t="n">
        <f aca="false">N(S1473)+$R1474</f>
        <v>5</v>
      </c>
      <c r="T1474" s="1" t="n">
        <f aca="false">IF(AND($K1474=1,AND(对接源_02物料!$X274="公司筐",N(对接源_02物料!$V274)&lt;&gt;0)),1,0)</f>
        <v>0</v>
      </c>
      <c r="U1474" s="1" t="n">
        <f aca="false">N(U1473)+$T1474</f>
        <v>28</v>
      </c>
      <c r="V1474" s="1" t="n">
        <f aca="false">IF(AND($L1474=1,AND(对接源_02物料!$X274="自备筐",N(对接源_02物料!$V274)&lt;&gt;0)),1,0)</f>
        <v>0</v>
      </c>
      <c r="W1474" s="1" t="n">
        <f aca="false">N(W1473)+$V1474</f>
        <v>7</v>
      </c>
      <c r="X1474" s="1" t="n">
        <f aca="false">IF(AND($L1474=1,AND(对接源_02物料!$X274="自备筐",N(对接源_02物料!$T274)&lt;&gt;0)),1,0)</f>
        <v>0</v>
      </c>
      <c r="Y1474" s="1" t="n">
        <f aca="false">N(Y1473)+$X1474</f>
        <v>0</v>
      </c>
      <c r="Z1474" s="1" t="n">
        <f aca="false">IF(AND($M1474=1,对接源_02物料!$D274="原料入库"),1,0)</f>
        <v>0</v>
      </c>
      <c r="AA1474" s="1" t="n">
        <f aca="false">N(AA1473)+$Z1474</f>
        <v>30</v>
      </c>
      <c r="AB1474" s="1" t="n">
        <f aca="false">IF(AND($M1474=1,LEFT(对接源_02物料!$D274,4)="原料出库"),1,0)</f>
        <v>0</v>
      </c>
      <c r="AC1474" s="1" t="n">
        <f aca="false">N(AC1473)+$AB1474</f>
        <v>19</v>
      </c>
      <c r="AD1474" s="1" t="n">
        <f aca="false">IF(AND($M1474=1,LEFT(对接源_02物料!$D274,4)="成品出库"),1,0)</f>
        <v>0</v>
      </c>
      <c r="AE1474" s="1" t="n">
        <f aca="false">N(AE1473)+$AD1474</f>
        <v>38</v>
      </c>
      <c r="AF1474" s="1" t="n">
        <f aca="false">IF(AND($N1474=1,AND(LEFT(对接源_02物料!$D274,4)="包装物料",N(对接源_02物料!$K274)&lt;&gt;0)),1,0)</f>
        <v>0</v>
      </c>
      <c r="AG1474" s="1" t="n">
        <f aca="false">N(AG1473)+$AF1474</f>
        <v>6</v>
      </c>
      <c r="AH1474" s="1" t="n">
        <f aca="false">IF(AND($N1474=1,AND(LEFT(对接源_02物料!$D274,3)="周转筐",N(对接源_02物料!$K274)&lt;&gt;0)),1,0)</f>
        <v>0</v>
      </c>
      <c r="AI1474" s="1" t="n">
        <f aca="false">N(AI1473)+$AH1474</f>
        <v>0</v>
      </c>
      <c r="AJ1474" s="1" t="n">
        <v>0</v>
      </c>
      <c r="AK1474" s="1" t="n">
        <f aca="false">N(AK1473)+$AJ1474</f>
        <v>3672</v>
      </c>
    </row>
    <row r="1475" customFormat="false" ht="13.5" hidden="false" customHeight="false" outlineLevel="0" collapsed="false">
      <c r="A1475" s="1" t="str">
        <f aca="false">IF(对接源_02物料!$C275="","",对接源_02物料!$C275)</f>
        <v/>
      </c>
      <c r="B1475" s="1" t="n">
        <f aca="false">IF(A1475="",0,IF(MATCH(A1475,$A$4:$A$2403,0)=ROW()-3,1,0))</f>
        <v>0</v>
      </c>
      <c r="C1475" s="1" t="n">
        <f aca="false">N(C1474)+B1475</f>
        <v>17</v>
      </c>
      <c r="K1475" s="1" t="n">
        <f aca="false">IF(OR($K$1="",对接源_02物料!$C275="",对接源_02物料!$C275&lt;&gt;$K$1,对接源_02物料!$B275=""),0,IF(OR(N(对接源_02物料!$B275)&lt;$K$2,N(对接源_02物料!$B275)&gt;$K$3),0,1))</f>
        <v>0</v>
      </c>
      <c r="L1475" s="1" t="n">
        <f aca="false">IF(OR($L$1="",对接源_02物料!$C275="",对接源_02物料!$C275&lt;&gt;$L$1,对接源_02物料!$B275=""),0,IF(OR(N(对接源_02物料!$B275)&lt;$L$2,N(对接源_02物料!$B275)&gt;$L$3),0,1))</f>
        <v>0</v>
      </c>
      <c r="M1475" s="1" t="n">
        <f aca="false">IF(OR($M$1="",对接源_02物料!$C275="",对接源_02物料!$C275&lt;&gt;$M$1,对接源_02物料!$B275=""),0,IF(OR(N(对接源_02物料!$B275)&lt;$M$2,N(对接源_02物料!$B275)&gt;$M$3),0,1))</f>
        <v>0</v>
      </c>
      <c r="N1475" s="1" t="n">
        <f aca="false">IF(OR($N$1="",对接源_02物料!$C275="",对接源_02物料!$C275&lt;&gt;$N$1,对接源_02物料!$B275=""),0,IF(OR(N(对接源_02物料!$B275)&lt;$N$2,N(对接源_02物料!$B275)&gt;$N$3),0,1))</f>
        <v>0</v>
      </c>
      <c r="P1475" s="1" t="n">
        <f aca="false">IF(AND($K1475=1,AND(对接源_02物料!$X275="公司筐",N(对接源_02物料!$T275)&lt;&gt;0)),1,0)</f>
        <v>0</v>
      </c>
      <c r="Q1475" s="1" t="n">
        <f aca="false">N(Q1474)+$P1475</f>
        <v>13</v>
      </c>
      <c r="R1475" s="1" t="n">
        <f aca="false">IF(AND($K1475=1,AND(对接源_02物料!$X275="公司筐",N(对接源_02物料!$U275)&lt;&gt;0)),1,0)</f>
        <v>0</v>
      </c>
      <c r="S1475" s="1" t="n">
        <f aca="false">N(S1474)+$R1475</f>
        <v>5</v>
      </c>
      <c r="T1475" s="1" t="n">
        <f aca="false">IF(AND($K1475=1,AND(对接源_02物料!$X275="公司筐",N(对接源_02物料!$V275)&lt;&gt;0)),1,0)</f>
        <v>0</v>
      </c>
      <c r="U1475" s="1" t="n">
        <f aca="false">N(U1474)+$T1475</f>
        <v>28</v>
      </c>
      <c r="V1475" s="1" t="n">
        <f aca="false">IF(AND($L1475=1,AND(对接源_02物料!$X275="自备筐",N(对接源_02物料!$V275)&lt;&gt;0)),1,0)</f>
        <v>0</v>
      </c>
      <c r="W1475" s="1" t="n">
        <f aca="false">N(W1474)+$V1475</f>
        <v>7</v>
      </c>
      <c r="X1475" s="1" t="n">
        <f aca="false">IF(AND($L1475=1,AND(对接源_02物料!$X275="自备筐",N(对接源_02物料!$T275)&lt;&gt;0)),1,0)</f>
        <v>0</v>
      </c>
      <c r="Y1475" s="1" t="n">
        <f aca="false">N(Y1474)+$X1475</f>
        <v>0</v>
      </c>
      <c r="Z1475" s="1" t="n">
        <f aca="false">IF(AND($M1475=1,对接源_02物料!$D275="原料入库"),1,0)</f>
        <v>0</v>
      </c>
      <c r="AA1475" s="1" t="n">
        <f aca="false">N(AA1474)+$Z1475</f>
        <v>30</v>
      </c>
      <c r="AB1475" s="1" t="n">
        <f aca="false">IF(AND($M1475=1,LEFT(对接源_02物料!$D275,4)="原料出库"),1,0)</f>
        <v>0</v>
      </c>
      <c r="AC1475" s="1" t="n">
        <f aca="false">N(AC1474)+$AB1475</f>
        <v>19</v>
      </c>
      <c r="AD1475" s="1" t="n">
        <f aca="false">IF(AND($M1475=1,LEFT(对接源_02物料!$D275,4)="成品出库"),1,0)</f>
        <v>0</v>
      </c>
      <c r="AE1475" s="1" t="n">
        <f aca="false">N(AE1474)+$AD1475</f>
        <v>38</v>
      </c>
      <c r="AF1475" s="1" t="n">
        <f aca="false">IF(AND($N1475=1,AND(LEFT(对接源_02物料!$D275,4)="包装物料",N(对接源_02物料!$K275)&lt;&gt;0)),1,0)</f>
        <v>0</v>
      </c>
      <c r="AG1475" s="1" t="n">
        <f aca="false">N(AG1474)+$AF1475</f>
        <v>6</v>
      </c>
      <c r="AH1475" s="1" t="n">
        <f aca="false">IF(AND($N1475=1,AND(LEFT(对接源_02物料!$D275,3)="周转筐",N(对接源_02物料!$K275)&lt;&gt;0)),1,0)</f>
        <v>0</v>
      </c>
      <c r="AI1475" s="1" t="n">
        <f aca="false">N(AI1474)+$AH1475</f>
        <v>0</v>
      </c>
      <c r="AJ1475" s="1" t="n">
        <v>0</v>
      </c>
      <c r="AK1475" s="1" t="n">
        <f aca="false">N(AK1474)+$AJ1475</f>
        <v>3672</v>
      </c>
    </row>
    <row r="1476" customFormat="false" ht="13.5" hidden="false" customHeight="false" outlineLevel="0" collapsed="false">
      <c r="A1476" s="1" t="str">
        <f aca="false">IF(对接源_02物料!$C276="","",对接源_02物料!$C276)</f>
        <v/>
      </c>
      <c r="B1476" s="1" t="n">
        <f aca="false">IF(A1476="",0,IF(MATCH(A1476,$A$4:$A$2403,0)=ROW()-3,1,0))</f>
        <v>0</v>
      </c>
      <c r="C1476" s="1" t="n">
        <f aca="false">N(C1475)+B1476</f>
        <v>17</v>
      </c>
      <c r="K1476" s="1" t="n">
        <f aca="false">IF(OR($K$1="",对接源_02物料!$C276="",对接源_02物料!$C276&lt;&gt;$K$1,对接源_02物料!$B276=""),0,IF(OR(N(对接源_02物料!$B276)&lt;$K$2,N(对接源_02物料!$B276)&gt;$K$3),0,1))</f>
        <v>0</v>
      </c>
      <c r="L1476" s="1" t="n">
        <f aca="false">IF(OR($L$1="",对接源_02物料!$C276="",对接源_02物料!$C276&lt;&gt;$L$1,对接源_02物料!$B276=""),0,IF(OR(N(对接源_02物料!$B276)&lt;$L$2,N(对接源_02物料!$B276)&gt;$L$3),0,1))</f>
        <v>0</v>
      </c>
      <c r="M1476" s="1" t="n">
        <f aca="false">IF(OR($M$1="",对接源_02物料!$C276="",对接源_02物料!$C276&lt;&gt;$M$1,对接源_02物料!$B276=""),0,IF(OR(N(对接源_02物料!$B276)&lt;$M$2,N(对接源_02物料!$B276)&gt;$M$3),0,1))</f>
        <v>0</v>
      </c>
      <c r="N1476" s="1" t="n">
        <f aca="false">IF(OR($N$1="",对接源_02物料!$C276="",对接源_02物料!$C276&lt;&gt;$N$1,对接源_02物料!$B276=""),0,IF(OR(N(对接源_02物料!$B276)&lt;$N$2,N(对接源_02物料!$B276)&gt;$N$3),0,1))</f>
        <v>0</v>
      </c>
      <c r="P1476" s="1" t="n">
        <f aca="false">IF(AND($K1476=1,AND(对接源_02物料!$X276="公司筐",N(对接源_02物料!$T276)&lt;&gt;0)),1,0)</f>
        <v>0</v>
      </c>
      <c r="Q1476" s="1" t="n">
        <f aca="false">N(Q1475)+$P1476</f>
        <v>13</v>
      </c>
      <c r="R1476" s="1" t="n">
        <f aca="false">IF(AND($K1476=1,AND(对接源_02物料!$X276="公司筐",N(对接源_02物料!$U276)&lt;&gt;0)),1,0)</f>
        <v>0</v>
      </c>
      <c r="S1476" s="1" t="n">
        <f aca="false">N(S1475)+$R1476</f>
        <v>5</v>
      </c>
      <c r="T1476" s="1" t="n">
        <f aca="false">IF(AND($K1476=1,AND(对接源_02物料!$X276="公司筐",N(对接源_02物料!$V276)&lt;&gt;0)),1,0)</f>
        <v>0</v>
      </c>
      <c r="U1476" s="1" t="n">
        <f aca="false">N(U1475)+$T1476</f>
        <v>28</v>
      </c>
      <c r="V1476" s="1" t="n">
        <f aca="false">IF(AND($L1476=1,AND(对接源_02物料!$X276="自备筐",N(对接源_02物料!$V276)&lt;&gt;0)),1,0)</f>
        <v>0</v>
      </c>
      <c r="W1476" s="1" t="n">
        <f aca="false">N(W1475)+$V1476</f>
        <v>7</v>
      </c>
      <c r="X1476" s="1" t="n">
        <f aca="false">IF(AND($L1476=1,AND(对接源_02物料!$X276="自备筐",N(对接源_02物料!$T276)&lt;&gt;0)),1,0)</f>
        <v>0</v>
      </c>
      <c r="Y1476" s="1" t="n">
        <f aca="false">N(Y1475)+$X1476</f>
        <v>0</v>
      </c>
      <c r="Z1476" s="1" t="n">
        <f aca="false">IF(AND($M1476=1,对接源_02物料!$D276="原料入库"),1,0)</f>
        <v>0</v>
      </c>
      <c r="AA1476" s="1" t="n">
        <f aca="false">N(AA1475)+$Z1476</f>
        <v>30</v>
      </c>
      <c r="AB1476" s="1" t="n">
        <f aca="false">IF(AND($M1476=1,LEFT(对接源_02物料!$D276,4)="原料出库"),1,0)</f>
        <v>0</v>
      </c>
      <c r="AC1476" s="1" t="n">
        <f aca="false">N(AC1475)+$AB1476</f>
        <v>19</v>
      </c>
      <c r="AD1476" s="1" t="n">
        <f aca="false">IF(AND($M1476=1,LEFT(对接源_02物料!$D276,4)="成品出库"),1,0)</f>
        <v>0</v>
      </c>
      <c r="AE1476" s="1" t="n">
        <f aca="false">N(AE1475)+$AD1476</f>
        <v>38</v>
      </c>
      <c r="AF1476" s="1" t="n">
        <f aca="false">IF(AND($N1476=1,AND(LEFT(对接源_02物料!$D276,4)="包装物料",N(对接源_02物料!$K276)&lt;&gt;0)),1,0)</f>
        <v>0</v>
      </c>
      <c r="AG1476" s="1" t="n">
        <f aca="false">N(AG1475)+$AF1476</f>
        <v>6</v>
      </c>
      <c r="AH1476" s="1" t="n">
        <f aca="false">IF(AND($N1476=1,AND(LEFT(对接源_02物料!$D276,3)="周转筐",N(对接源_02物料!$K276)&lt;&gt;0)),1,0)</f>
        <v>0</v>
      </c>
      <c r="AI1476" s="1" t="n">
        <f aca="false">N(AI1475)+$AH1476</f>
        <v>0</v>
      </c>
      <c r="AJ1476" s="1" t="n">
        <v>0</v>
      </c>
      <c r="AK1476" s="1" t="n">
        <f aca="false">N(AK1475)+$AJ1476</f>
        <v>3672</v>
      </c>
    </row>
    <row r="1477" customFormat="false" ht="13.5" hidden="false" customHeight="false" outlineLevel="0" collapsed="false">
      <c r="A1477" s="1" t="str">
        <f aca="false">IF(对接源_02物料!$C277="","",对接源_02物料!$C277)</f>
        <v/>
      </c>
      <c r="B1477" s="1" t="n">
        <f aca="false">IF(A1477="",0,IF(MATCH(A1477,$A$4:$A$2403,0)=ROW()-3,1,0))</f>
        <v>0</v>
      </c>
      <c r="C1477" s="1" t="n">
        <f aca="false">N(C1476)+B1477</f>
        <v>17</v>
      </c>
      <c r="K1477" s="1" t="n">
        <f aca="false">IF(OR($K$1="",对接源_02物料!$C277="",对接源_02物料!$C277&lt;&gt;$K$1,对接源_02物料!$B277=""),0,IF(OR(N(对接源_02物料!$B277)&lt;$K$2,N(对接源_02物料!$B277)&gt;$K$3),0,1))</f>
        <v>0</v>
      </c>
      <c r="L1477" s="1" t="n">
        <f aca="false">IF(OR($L$1="",对接源_02物料!$C277="",对接源_02物料!$C277&lt;&gt;$L$1,对接源_02物料!$B277=""),0,IF(OR(N(对接源_02物料!$B277)&lt;$L$2,N(对接源_02物料!$B277)&gt;$L$3),0,1))</f>
        <v>0</v>
      </c>
      <c r="M1477" s="1" t="n">
        <f aca="false">IF(OR($M$1="",对接源_02物料!$C277="",对接源_02物料!$C277&lt;&gt;$M$1,对接源_02物料!$B277=""),0,IF(OR(N(对接源_02物料!$B277)&lt;$M$2,N(对接源_02物料!$B277)&gt;$M$3),0,1))</f>
        <v>0</v>
      </c>
      <c r="N1477" s="1" t="n">
        <f aca="false">IF(OR($N$1="",对接源_02物料!$C277="",对接源_02物料!$C277&lt;&gt;$N$1,对接源_02物料!$B277=""),0,IF(OR(N(对接源_02物料!$B277)&lt;$N$2,N(对接源_02物料!$B277)&gt;$N$3),0,1))</f>
        <v>0</v>
      </c>
      <c r="P1477" s="1" t="n">
        <f aca="false">IF(AND($K1477=1,AND(对接源_02物料!$X277="公司筐",N(对接源_02物料!$T277)&lt;&gt;0)),1,0)</f>
        <v>0</v>
      </c>
      <c r="Q1477" s="1" t="n">
        <f aca="false">N(Q1476)+$P1477</f>
        <v>13</v>
      </c>
      <c r="R1477" s="1" t="n">
        <f aca="false">IF(AND($K1477=1,AND(对接源_02物料!$X277="公司筐",N(对接源_02物料!$U277)&lt;&gt;0)),1,0)</f>
        <v>0</v>
      </c>
      <c r="S1477" s="1" t="n">
        <f aca="false">N(S1476)+$R1477</f>
        <v>5</v>
      </c>
      <c r="T1477" s="1" t="n">
        <f aca="false">IF(AND($K1477=1,AND(对接源_02物料!$X277="公司筐",N(对接源_02物料!$V277)&lt;&gt;0)),1,0)</f>
        <v>0</v>
      </c>
      <c r="U1477" s="1" t="n">
        <f aca="false">N(U1476)+$T1477</f>
        <v>28</v>
      </c>
      <c r="V1477" s="1" t="n">
        <f aca="false">IF(AND($L1477=1,AND(对接源_02物料!$X277="自备筐",N(对接源_02物料!$V277)&lt;&gt;0)),1,0)</f>
        <v>0</v>
      </c>
      <c r="W1477" s="1" t="n">
        <f aca="false">N(W1476)+$V1477</f>
        <v>7</v>
      </c>
      <c r="X1477" s="1" t="n">
        <f aca="false">IF(AND($L1477=1,AND(对接源_02物料!$X277="自备筐",N(对接源_02物料!$T277)&lt;&gt;0)),1,0)</f>
        <v>0</v>
      </c>
      <c r="Y1477" s="1" t="n">
        <f aca="false">N(Y1476)+$X1477</f>
        <v>0</v>
      </c>
      <c r="Z1477" s="1" t="n">
        <f aca="false">IF(AND($M1477=1,对接源_02物料!$D277="原料入库"),1,0)</f>
        <v>0</v>
      </c>
      <c r="AA1477" s="1" t="n">
        <f aca="false">N(AA1476)+$Z1477</f>
        <v>30</v>
      </c>
      <c r="AB1477" s="1" t="n">
        <f aca="false">IF(AND($M1477=1,LEFT(对接源_02物料!$D277,4)="原料出库"),1,0)</f>
        <v>0</v>
      </c>
      <c r="AC1477" s="1" t="n">
        <f aca="false">N(AC1476)+$AB1477</f>
        <v>19</v>
      </c>
      <c r="AD1477" s="1" t="n">
        <f aca="false">IF(AND($M1477=1,LEFT(对接源_02物料!$D277,4)="成品出库"),1,0)</f>
        <v>0</v>
      </c>
      <c r="AE1477" s="1" t="n">
        <f aca="false">N(AE1476)+$AD1477</f>
        <v>38</v>
      </c>
      <c r="AF1477" s="1" t="n">
        <f aca="false">IF(AND($N1477=1,AND(LEFT(对接源_02物料!$D277,4)="包装物料",N(对接源_02物料!$K277)&lt;&gt;0)),1,0)</f>
        <v>0</v>
      </c>
      <c r="AG1477" s="1" t="n">
        <f aca="false">N(AG1476)+$AF1477</f>
        <v>6</v>
      </c>
      <c r="AH1477" s="1" t="n">
        <f aca="false">IF(AND($N1477=1,AND(LEFT(对接源_02物料!$D277,3)="周转筐",N(对接源_02物料!$K277)&lt;&gt;0)),1,0)</f>
        <v>0</v>
      </c>
      <c r="AI1477" s="1" t="n">
        <f aca="false">N(AI1476)+$AH1477</f>
        <v>0</v>
      </c>
      <c r="AJ1477" s="1" t="n">
        <v>0</v>
      </c>
      <c r="AK1477" s="1" t="n">
        <f aca="false">N(AK1476)+$AJ1477</f>
        <v>3672</v>
      </c>
    </row>
    <row r="1478" customFormat="false" ht="13.5" hidden="false" customHeight="false" outlineLevel="0" collapsed="false">
      <c r="A1478" s="1" t="str">
        <f aca="false">IF(对接源_02物料!$C278="","",对接源_02物料!$C278)</f>
        <v/>
      </c>
      <c r="B1478" s="1" t="n">
        <f aca="false">IF(A1478="",0,IF(MATCH(A1478,$A$4:$A$2403,0)=ROW()-3,1,0))</f>
        <v>0</v>
      </c>
      <c r="C1478" s="1" t="n">
        <f aca="false">N(C1477)+B1478</f>
        <v>17</v>
      </c>
      <c r="K1478" s="1" t="n">
        <f aca="false">IF(OR($K$1="",对接源_02物料!$C278="",对接源_02物料!$C278&lt;&gt;$K$1,对接源_02物料!$B278=""),0,IF(OR(N(对接源_02物料!$B278)&lt;$K$2,N(对接源_02物料!$B278)&gt;$K$3),0,1))</f>
        <v>0</v>
      </c>
      <c r="L1478" s="1" t="n">
        <f aca="false">IF(OR($L$1="",对接源_02物料!$C278="",对接源_02物料!$C278&lt;&gt;$L$1,对接源_02物料!$B278=""),0,IF(OR(N(对接源_02物料!$B278)&lt;$L$2,N(对接源_02物料!$B278)&gt;$L$3),0,1))</f>
        <v>0</v>
      </c>
      <c r="M1478" s="1" t="n">
        <f aca="false">IF(OR($M$1="",对接源_02物料!$C278="",对接源_02物料!$C278&lt;&gt;$M$1,对接源_02物料!$B278=""),0,IF(OR(N(对接源_02物料!$B278)&lt;$M$2,N(对接源_02物料!$B278)&gt;$M$3),0,1))</f>
        <v>0</v>
      </c>
      <c r="N1478" s="1" t="n">
        <f aca="false">IF(OR($N$1="",对接源_02物料!$C278="",对接源_02物料!$C278&lt;&gt;$N$1,对接源_02物料!$B278=""),0,IF(OR(N(对接源_02物料!$B278)&lt;$N$2,N(对接源_02物料!$B278)&gt;$N$3),0,1))</f>
        <v>0</v>
      </c>
      <c r="P1478" s="1" t="n">
        <f aca="false">IF(AND($K1478=1,AND(对接源_02物料!$X278="公司筐",N(对接源_02物料!$T278)&lt;&gt;0)),1,0)</f>
        <v>0</v>
      </c>
      <c r="Q1478" s="1" t="n">
        <f aca="false">N(Q1477)+$P1478</f>
        <v>13</v>
      </c>
      <c r="R1478" s="1" t="n">
        <f aca="false">IF(AND($K1478=1,AND(对接源_02物料!$X278="公司筐",N(对接源_02物料!$U278)&lt;&gt;0)),1,0)</f>
        <v>0</v>
      </c>
      <c r="S1478" s="1" t="n">
        <f aca="false">N(S1477)+$R1478</f>
        <v>5</v>
      </c>
      <c r="T1478" s="1" t="n">
        <f aca="false">IF(AND($K1478=1,AND(对接源_02物料!$X278="公司筐",N(对接源_02物料!$V278)&lt;&gt;0)),1,0)</f>
        <v>0</v>
      </c>
      <c r="U1478" s="1" t="n">
        <f aca="false">N(U1477)+$T1478</f>
        <v>28</v>
      </c>
      <c r="V1478" s="1" t="n">
        <f aca="false">IF(AND($L1478=1,AND(对接源_02物料!$X278="自备筐",N(对接源_02物料!$V278)&lt;&gt;0)),1,0)</f>
        <v>0</v>
      </c>
      <c r="W1478" s="1" t="n">
        <f aca="false">N(W1477)+$V1478</f>
        <v>7</v>
      </c>
      <c r="X1478" s="1" t="n">
        <f aca="false">IF(AND($L1478=1,AND(对接源_02物料!$X278="自备筐",N(对接源_02物料!$T278)&lt;&gt;0)),1,0)</f>
        <v>0</v>
      </c>
      <c r="Y1478" s="1" t="n">
        <f aca="false">N(Y1477)+$X1478</f>
        <v>0</v>
      </c>
      <c r="Z1478" s="1" t="n">
        <f aca="false">IF(AND($M1478=1,对接源_02物料!$D278="原料入库"),1,0)</f>
        <v>0</v>
      </c>
      <c r="AA1478" s="1" t="n">
        <f aca="false">N(AA1477)+$Z1478</f>
        <v>30</v>
      </c>
      <c r="AB1478" s="1" t="n">
        <f aca="false">IF(AND($M1478=1,LEFT(对接源_02物料!$D278,4)="原料出库"),1,0)</f>
        <v>0</v>
      </c>
      <c r="AC1478" s="1" t="n">
        <f aca="false">N(AC1477)+$AB1478</f>
        <v>19</v>
      </c>
      <c r="AD1478" s="1" t="n">
        <f aca="false">IF(AND($M1478=1,LEFT(对接源_02物料!$D278,4)="成品出库"),1,0)</f>
        <v>0</v>
      </c>
      <c r="AE1478" s="1" t="n">
        <f aca="false">N(AE1477)+$AD1478</f>
        <v>38</v>
      </c>
      <c r="AF1478" s="1" t="n">
        <f aca="false">IF(AND($N1478=1,AND(LEFT(对接源_02物料!$D278,4)="包装物料",N(对接源_02物料!$K278)&lt;&gt;0)),1,0)</f>
        <v>0</v>
      </c>
      <c r="AG1478" s="1" t="n">
        <f aca="false">N(AG1477)+$AF1478</f>
        <v>6</v>
      </c>
      <c r="AH1478" s="1" t="n">
        <f aca="false">IF(AND($N1478=1,AND(LEFT(对接源_02物料!$D278,3)="周转筐",N(对接源_02物料!$K278)&lt;&gt;0)),1,0)</f>
        <v>0</v>
      </c>
      <c r="AI1478" s="1" t="n">
        <f aca="false">N(AI1477)+$AH1478</f>
        <v>0</v>
      </c>
      <c r="AJ1478" s="1" t="n">
        <v>0</v>
      </c>
      <c r="AK1478" s="1" t="n">
        <f aca="false">N(AK1477)+$AJ1478</f>
        <v>3672</v>
      </c>
    </row>
    <row r="1479" customFormat="false" ht="13.5" hidden="false" customHeight="false" outlineLevel="0" collapsed="false">
      <c r="A1479" s="1" t="str">
        <f aca="false">IF(对接源_02物料!$C279="","",对接源_02物料!$C279)</f>
        <v/>
      </c>
      <c r="B1479" s="1" t="n">
        <f aca="false">IF(A1479="",0,IF(MATCH(A1479,$A$4:$A$2403,0)=ROW()-3,1,0))</f>
        <v>0</v>
      </c>
      <c r="C1479" s="1" t="n">
        <f aca="false">N(C1478)+B1479</f>
        <v>17</v>
      </c>
      <c r="K1479" s="1" t="n">
        <f aca="false">IF(OR($K$1="",对接源_02物料!$C279="",对接源_02物料!$C279&lt;&gt;$K$1,对接源_02物料!$B279=""),0,IF(OR(N(对接源_02物料!$B279)&lt;$K$2,N(对接源_02物料!$B279)&gt;$K$3),0,1))</f>
        <v>0</v>
      </c>
      <c r="L1479" s="1" t="n">
        <f aca="false">IF(OR($L$1="",对接源_02物料!$C279="",对接源_02物料!$C279&lt;&gt;$L$1,对接源_02物料!$B279=""),0,IF(OR(N(对接源_02物料!$B279)&lt;$L$2,N(对接源_02物料!$B279)&gt;$L$3),0,1))</f>
        <v>0</v>
      </c>
      <c r="M1479" s="1" t="n">
        <f aca="false">IF(OR($M$1="",对接源_02物料!$C279="",对接源_02物料!$C279&lt;&gt;$M$1,对接源_02物料!$B279=""),0,IF(OR(N(对接源_02物料!$B279)&lt;$M$2,N(对接源_02物料!$B279)&gt;$M$3),0,1))</f>
        <v>0</v>
      </c>
      <c r="N1479" s="1" t="n">
        <f aca="false">IF(OR($N$1="",对接源_02物料!$C279="",对接源_02物料!$C279&lt;&gt;$N$1,对接源_02物料!$B279=""),0,IF(OR(N(对接源_02物料!$B279)&lt;$N$2,N(对接源_02物料!$B279)&gt;$N$3),0,1))</f>
        <v>0</v>
      </c>
      <c r="P1479" s="1" t="n">
        <f aca="false">IF(AND($K1479=1,AND(对接源_02物料!$X279="公司筐",N(对接源_02物料!$T279)&lt;&gt;0)),1,0)</f>
        <v>0</v>
      </c>
      <c r="Q1479" s="1" t="n">
        <f aca="false">N(Q1478)+$P1479</f>
        <v>13</v>
      </c>
      <c r="R1479" s="1" t="n">
        <f aca="false">IF(AND($K1479=1,AND(对接源_02物料!$X279="公司筐",N(对接源_02物料!$U279)&lt;&gt;0)),1,0)</f>
        <v>0</v>
      </c>
      <c r="S1479" s="1" t="n">
        <f aca="false">N(S1478)+$R1479</f>
        <v>5</v>
      </c>
      <c r="T1479" s="1" t="n">
        <f aca="false">IF(AND($K1479=1,AND(对接源_02物料!$X279="公司筐",N(对接源_02物料!$V279)&lt;&gt;0)),1,0)</f>
        <v>0</v>
      </c>
      <c r="U1479" s="1" t="n">
        <f aca="false">N(U1478)+$T1479</f>
        <v>28</v>
      </c>
      <c r="V1479" s="1" t="n">
        <f aca="false">IF(AND($L1479=1,AND(对接源_02物料!$X279="自备筐",N(对接源_02物料!$V279)&lt;&gt;0)),1,0)</f>
        <v>0</v>
      </c>
      <c r="W1479" s="1" t="n">
        <f aca="false">N(W1478)+$V1479</f>
        <v>7</v>
      </c>
      <c r="X1479" s="1" t="n">
        <f aca="false">IF(AND($L1479=1,AND(对接源_02物料!$X279="自备筐",N(对接源_02物料!$T279)&lt;&gt;0)),1,0)</f>
        <v>0</v>
      </c>
      <c r="Y1479" s="1" t="n">
        <f aca="false">N(Y1478)+$X1479</f>
        <v>0</v>
      </c>
      <c r="Z1479" s="1" t="n">
        <f aca="false">IF(AND($M1479=1,对接源_02物料!$D279="原料入库"),1,0)</f>
        <v>0</v>
      </c>
      <c r="AA1479" s="1" t="n">
        <f aca="false">N(AA1478)+$Z1479</f>
        <v>30</v>
      </c>
      <c r="AB1479" s="1" t="n">
        <f aca="false">IF(AND($M1479=1,LEFT(对接源_02物料!$D279,4)="原料出库"),1,0)</f>
        <v>0</v>
      </c>
      <c r="AC1479" s="1" t="n">
        <f aca="false">N(AC1478)+$AB1479</f>
        <v>19</v>
      </c>
      <c r="AD1479" s="1" t="n">
        <f aca="false">IF(AND($M1479=1,LEFT(对接源_02物料!$D279,4)="成品出库"),1,0)</f>
        <v>0</v>
      </c>
      <c r="AE1479" s="1" t="n">
        <f aca="false">N(AE1478)+$AD1479</f>
        <v>38</v>
      </c>
      <c r="AF1479" s="1" t="n">
        <f aca="false">IF(AND($N1479=1,AND(LEFT(对接源_02物料!$D279,4)="包装物料",N(对接源_02物料!$K279)&lt;&gt;0)),1,0)</f>
        <v>0</v>
      </c>
      <c r="AG1479" s="1" t="n">
        <f aca="false">N(AG1478)+$AF1479</f>
        <v>6</v>
      </c>
      <c r="AH1479" s="1" t="n">
        <f aca="false">IF(AND($N1479=1,AND(LEFT(对接源_02物料!$D279,3)="周转筐",N(对接源_02物料!$K279)&lt;&gt;0)),1,0)</f>
        <v>0</v>
      </c>
      <c r="AI1479" s="1" t="n">
        <f aca="false">N(AI1478)+$AH1479</f>
        <v>0</v>
      </c>
      <c r="AJ1479" s="1" t="n">
        <v>0</v>
      </c>
      <c r="AK1479" s="1" t="n">
        <f aca="false">N(AK1478)+$AJ1479</f>
        <v>3672</v>
      </c>
    </row>
    <row r="1480" customFormat="false" ht="13.5" hidden="false" customHeight="false" outlineLevel="0" collapsed="false">
      <c r="A1480" s="1" t="str">
        <f aca="false">IF(对接源_02物料!$C280="","",对接源_02物料!$C280)</f>
        <v/>
      </c>
      <c r="B1480" s="1" t="n">
        <f aca="false">IF(A1480="",0,IF(MATCH(A1480,$A$4:$A$2403,0)=ROW()-3,1,0))</f>
        <v>0</v>
      </c>
      <c r="C1480" s="1" t="n">
        <f aca="false">N(C1479)+B1480</f>
        <v>17</v>
      </c>
      <c r="K1480" s="1" t="n">
        <f aca="false">IF(OR($K$1="",对接源_02物料!$C280="",对接源_02物料!$C280&lt;&gt;$K$1,对接源_02物料!$B280=""),0,IF(OR(N(对接源_02物料!$B280)&lt;$K$2,N(对接源_02物料!$B280)&gt;$K$3),0,1))</f>
        <v>0</v>
      </c>
      <c r="L1480" s="1" t="n">
        <f aca="false">IF(OR($L$1="",对接源_02物料!$C280="",对接源_02物料!$C280&lt;&gt;$L$1,对接源_02物料!$B280=""),0,IF(OR(N(对接源_02物料!$B280)&lt;$L$2,N(对接源_02物料!$B280)&gt;$L$3),0,1))</f>
        <v>0</v>
      </c>
      <c r="M1480" s="1" t="n">
        <f aca="false">IF(OR($M$1="",对接源_02物料!$C280="",对接源_02物料!$C280&lt;&gt;$M$1,对接源_02物料!$B280=""),0,IF(OR(N(对接源_02物料!$B280)&lt;$M$2,N(对接源_02物料!$B280)&gt;$M$3),0,1))</f>
        <v>0</v>
      </c>
      <c r="N1480" s="1" t="n">
        <f aca="false">IF(OR($N$1="",对接源_02物料!$C280="",对接源_02物料!$C280&lt;&gt;$N$1,对接源_02物料!$B280=""),0,IF(OR(N(对接源_02物料!$B280)&lt;$N$2,N(对接源_02物料!$B280)&gt;$N$3),0,1))</f>
        <v>0</v>
      </c>
      <c r="P1480" s="1" t="n">
        <f aca="false">IF(AND($K1480=1,AND(对接源_02物料!$X280="公司筐",N(对接源_02物料!$T280)&lt;&gt;0)),1,0)</f>
        <v>0</v>
      </c>
      <c r="Q1480" s="1" t="n">
        <f aca="false">N(Q1479)+$P1480</f>
        <v>13</v>
      </c>
      <c r="R1480" s="1" t="n">
        <f aca="false">IF(AND($K1480=1,AND(对接源_02物料!$X280="公司筐",N(对接源_02物料!$U280)&lt;&gt;0)),1,0)</f>
        <v>0</v>
      </c>
      <c r="S1480" s="1" t="n">
        <f aca="false">N(S1479)+$R1480</f>
        <v>5</v>
      </c>
      <c r="T1480" s="1" t="n">
        <f aca="false">IF(AND($K1480=1,AND(对接源_02物料!$X280="公司筐",N(对接源_02物料!$V280)&lt;&gt;0)),1,0)</f>
        <v>0</v>
      </c>
      <c r="U1480" s="1" t="n">
        <f aca="false">N(U1479)+$T1480</f>
        <v>28</v>
      </c>
      <c r="V1480" s="1" t="n">
        <f aca="false">IF(AND($L1480=1,AND(对接源_02物料!$X280="自备筐",N(对接源_02物料!$V280)&lt;&gt;0)),1,0)</f>
        <v>0</v>
      </c>
      <c r="W1480" s="1" t="n">
        <f aca="false">N(W1479)+$V1480</f>
        <v>7</v>
      </c>
      <c r="X1480" s="1" t="n">
        <f aca="false">IF(AND($L1480=1,AND(对接源_02物料!$X280="自备筐",N(对接源_02物料!$T280)&lt;&gt;0)),1,0)</f>
        <v>0</v>
      </c>
      <c r="Y1480" s="1" t="n">
        <f aca="false">N(Y1479)+$X1480</f>
        <v>0</v>
      </c>
      <c r="Z1480" s="1" t="n">
        <f aca="false">IF(AND($M1480=1,对接源_02物料!$D280="原料入库"),1,0)</f>
        <v>0</v>
      </c>
      <c r="AA1480" s="1" t="n">
        <f aca="false">N(AA1479)+$Z1480</f>
        <v>30</v>
      </c>
      <c r="AB1480" s="1" t="n">
        <f aca="false">IF(AND($M1480=1,LEFT(对接源_02物料!$D280,4)="原料出库"),1,0)</f>
        <v>0</v>
      </c>
      <c r="AC1480" s="1" t="n">
        <f aca="false">N(AC1479)+$AB1480</f>
        <v>19</v>
      </c>
      <c r="AD1480" s="1" t="n">
        <f aca="false">IF(AND($M1480=1,LEFT(对接源_02物料!$D280,4)="成品出库"),1,0)</f>
        <v>0</v>
      </c>
      <c r="AE1480" s="1" t="n">
        <f aca="false">N(AE1479)+$AD1480</f>
        <v>38</v>
      </c>
      <c r="AF1480" s="1" t="n">
        <f aca="false">IF(AND($N1480=1,AND(LEFT(对接源_02物料!$D280,4)="包装物料",N(对接源_02物料!$K280)&lt;&gt;0)),1,0)</f>
        <v>0</v>
      </c>
      <c r="AG1480" s="1" t="n">
        <f aca="false">N(AG1479)+$AF1480</f>
        <v>6</v>
      </c>
      <c r="AH1480" s="1" t="n">
        <f aca="false">IF(AND($N1480=1,AND(LEFT(对接源_02物料!$D280,3)="周转筐",N(对接源_02物料!$K280)&lt;&gt;0)),1,0)</f>
        <v>0</v>
      </c>
      <c r="AI1480" s="1" t="n">
        <f aca="false">N(AI1479)+$AH1480</f>
        <v>0</v>
      </c>
      <c r="AJ1480" s="1" t="n">
        <v>0</v>
      </c>
      <c r="AK1480" s="1" t="n">
        <f aca="false">N(AK1479)+$AJ1480</f>
        <v>3672</v>
      </c>
    </row>
    <row r="1481" customFormat="false" ht="13.5" hidden="false" customHeight="false" outlineLevel="0" collapsed="false">
      <c r="A1481" s="1" t="str">
        <f aca="false">IF(对接源_02物料!$C281="","",对接源_02物料!$C281)</f>
        <v/>
      </c>
      <c r="B1481" s="1" t="n">
        <f aca="false">IF(A1481="",0,IF(MATCH(A1481,$A$4:$A$2403,0)=ROW()-3,1,0))</f>
        <v>0</v>
      </c>
      <c r="C1481" s="1" t="n">
        <f aca="false">N(C1480)+B1481</f>
        <v>17</v>
      </c>
      <c r="K1481" s="1" t="n">
        <f aca="false">IF(OR($K$1="",对接源_02物料!$C281="",对接源_02物料!$C281&lt;&gt;$K$1,对接源_02物料!$B281=""),0,IF(OR(N(对接源_02物料!$B281)&lt;$K$2,N(对接源_02物料!$B281)&gt;$K$3),0,1))</f>
        <v>0</v>
      </c>
      <c r="L1481" s="1" t="n">
        <f aca="false">IF(OR($L$1="",对接源_02物料!$C281="",对接源_02物料!$C281&lt;&gt;$L$1,对接源_02物料!$B281=""),0,IF(OR(N(对接源_02物料!$B281)&lt;$L$2,N(对接源_02物料!$B281)&gt;$L$3),0,1))</f>
        <v>0</v>
      </c>
      <c r="M1481" s="1" t="n">
        <f aca="false">IF(OR($M$1="",对接源_02物料!$C281="",对接源_02物料!$C281&lt;&gt;$M$1,对接源_02物料!$B281=""),0,IF(OR(N(对接源_02物料!$B281)&lt;$M$2,N(对接源_02物料!$B281)&gt;$M$3),0,1))</f>
        <v>0</v>
      </c>
      <c r="N1481" s="1" t="n">
        <f aca="false">IF(OR($N$1="",对接源_02物料!$C281="",对接源_02物料!$C281&lt;&gt;$N$1,对接源_02物料!$B281=""),0,IF(OR(N(对接源_02物料!$B281)&lt;$N$2,N(对接源_02物料!$B281)&gt;$N$3),0,1))</f>
        <v>0</v>
      </c>
      <c r="P1481" s="1" t="n">
        <f aca="false">IF(AND($K1481=1,AND(对接源_02物料!$X281="公司筐",N(对接源_02物料!$T281)&lt;&gt;0)),1,0)</f>
        <v>0</v>
      </c>
      <c r="Q1481" s="1" t="n">
        <f aca="false">N(Q1480)+$P1481</f>
        <v>13</v>
      </c>
      <c r="R1481" s="1" t="n">
        <f aca="false">IF(AND($K1481=1,AND(对接源_02物料!$X281="公司筐",N(对接源_02物料!$U281)&lt;&gt;0)),1,0)</f>
        <v>0</v>
      </c>
      <c r="S1481" s="1" t="n">
        <f aca="false">N(S1480)+$R1481</f>
        <v>5</v>
      </c>
      <c r="T1481" s="1" t="n">
        <f aca="false">IF(AND($K1481=1,AND(对接源_02物料!$X281="公司筐",N(对接源_02物料!$V281)&lt;&gt;0)),1,0)</f>
        <v>0</v>
      </c>
      <c r="U1481" s="1" t="n">
        <f aca="false">N(U1480)+$T1481</f>
        <v>28</v>
      </c>
      <c r="V1481" s="1" t="n">
        <f aca="false">IF(AND($L1481=1,AND(对接源_02物料!$X281="自备筐",N(对接源_02物料!$V281)&lt;&gt;0)),1,0)</f>
        <v>0</v>
      </c>
      <c r="W1481" s="1" t="n">
        <f aca="false">N(W1480)+$V1481</f>
        <v>7</v>
      </c>
      <c r="X1481" s="1" t="n">
        <f aca="false">IF(AND($L1481=1,AND(对接源_02物料!$X281="自备筐",N(对接源_02物料!$T281)&lt;&gt;0)),1,0)</f>
        <v>0</v>
      </c>
      <c r="Y1481" s="1" t="n">
        <f aca="false">N(Y1480)+$X1481</f>
        <v>0</v>
      </c>
      <c r="Z1481" s="1" t="n">
        <f aca="false">IF(AND($M1481=1,对接源_02物料!$D281="原料入库"),1,0)</f>
        <v>0</v>
      </c>
      <c r="AA1481" s="1" t="n">
        <f aca="false">N(AA1480)+$Z1481</f>
        <v>30</v>
      </c>
      <c r="AB1481" s="1" t="n">
        <f aca="false">IF(AND($M1481=1,LEFT(对接源_02物料!$D281,4)="原料出库"),1,0)</f>
        <v>0</v>
      </c>
      <c r="AC1481" s="1" t="n">
        <f aca="false">N(AC1480)+$AB1481</f>
        <v>19</v>
      </c>
      <c r="AD1481" s="1" t="n">
        <f aca="false">IF(AND($M1481=1,LEFT(对接源_02物料!$D281,4)="成品出库"),1,0)</f>
        <v>0</v>
      </c>
      <c r="AE1481" s="1" t="n">
        <f aca="false">N(AE1480)+$AD1481</f>
        <v>38</v>
      </c>
      <c r="AF1481" s="1" t="n">
        <f aca="false">IF(AND($N1481=1,AND(LEFT(对接源_02物料!$D281,4)="包装物料",N(对接源_02物料!$K281)&lt;&gt;0)),1,0)</f>
        <v>0</v>
      </c>
      <c r="AG1481" s="1" t="n">
        <f aca="false">N(AG1480)+$AF1481</f>
        <v>6</v>
      </c>
      <c r="AH1481" s="1" t="n">
        <f aca="false">IF(AND($N1481=1,AND(LEFT(对接源_02物料!$D281,3)="周转筐",N(对接源_02物料!$K281)&lt;&gt;0)),1,0)</f>
        <v>0</v>
      </c>
      <c r="AI1481" s="1" t="n">
        <f aca="false">N(AI1480)+$AH1481</f>
        <v>0</v>
      </c>
      <c r="AJ1481" s="1" t="n">
        <v>0</v>
      </c>
      <c r="AK1481" s="1" t="n">
        <f aca="false">N(AK1480)+$AJ1481</f>
        <v>3672</v>
      </c>
    </row>
    <row r="1482" customFormat="false" ht="13.5" hidden="false" customHeight="false" outlineLevel="0" collapsed="false">
      <c r="A1482" s="1" t="str">
        <f aca="false">IF(对接源_02物料!$C282="","",对接源_02物料!$C282)</f>
        <v/>
      </c>
      <c r="B1482" s="1" t="n">
        <f aca="false">IF(A1482="",0,IF(MATCH(A1482,$A$4:$A$2403,0)=ROW()-3,1,0))</f>
        <v>0</v>
      </c>
      <c r="C1482" s="1" t="n">
        <f aca="false">N(C1481)+B1482</f>
        <v>17</v>
      </c>
      <c r="K1482" s="1" t="n">
        <f aca="false">IF(OR($K$1="",对接源_02物料!$C282="",对接源_02物料!$C282&lt;&gt;$K$1,对接源_02物料!$B282=""),0,IF(OR(N(对接源_02物料!$B282)&lt;$K$2,N(对接源_02物料!$B282)&gt;$K$3),0,1))</f>
        <v>0</v>
      </c>
      <c r="L1482" s="1" t="n">
        <f aca="false">IF(OR($L$1="",对接源_02物料!$C282="",对接源_02物料!$C282&lt;&gt;$L$1,对接源_02物料!$B282=""),0,IF(OR(N(对接源_02物料!$B282)&lt;$L$2,N(对接源_02物料!$B282)&gt;$L$3),0,1))</f>
        <v>0</v>
      </c>
      <c r="M1482" s="1" t="n">
        <f aca="false">IF(OR($M$1="",对接源_02物料!$C282="",对接源_02物料!$C282&lt;&gt;$M$1,对接源_02物料!$B282=""),0,IF(OR(N(对接源_02物料!$B282)&lt;$M$2,N(对接源_02物料!$B282)&gt;$M$3),0,1))</f>
        <v>0</v>
      </c>
      <c r="N1482" s="1" t="n">
        <f aca="false">IF(OR($N$1="",对接源_02物料!$C282="",对接源_02物料!$C282&lt;&gt;$N$1,对接源_02物料!$B282=""),0,IF(OR(N(对接源_02物料!$B282)&lt;$N$2,N(对接源_02物料!$B282)&gt;$N$3),0,1))</f>
        <v>0</v>
      </c>
      <c r="P1482" s="1" t="n">
        <f aca="false">IF(AND($K1482=1,AND(对接源_02物料!$X282="公司筐",N(对接源_02物料!$T282)&lt;&gt;0)),1,0)</f>
        <v>0</v>
      </c>
      <c r="Q1482" s="1" t="n">
        <f aca="false">N(Q1481)+$P1482</f>
        <v>13</v>
      </c>
      <c r="R1482" s="1" t="n">
        <f aca="false">IF(AND($K1482=1,AND(对接源_02物料!$X282="公司筐",N(对接源_02物料!$U282)&lt;&gt;0)),1,0)</f>
        <v>0</v>
      </c>
      <c r="S1482" s="1" t="n">
        <f aca="false">N(S1481)+$R1482</f>
        <v>5</v>
      </c>
      <c r="T1482" s="1" t="n">
        <f aca="false">IF(AND($K1482=1,AND(对接源_02物料!$X282="公司筐",N(对接源_02物料!$V282)&lt;&gt;0)),1,0)</f>
        <v>0</v>
      </c>
      <c r="U1482" s="1" t="n">
        <f aca="false">N(U1481)+$T1482</f>
        <v>28</v>
      </c>
      <c r="V1482" s="1" t="n">
        <f aca="false">IF(AND($L1482=1,AND(对接源_02物料!$X282="自备筐",N(对接源_02物料!$V282)&lt;&gt;0)),1,0)</f>
        <v>0</v>
      </c>
      <c r="W1482" s="1" t="n">
        <f aca="false">N(W1481)+$V1482</f>
        <v>7</v>
      </c>
      <c r="X1482" s="1" t="n">
        <f aca="false">IF(AND($L1482=1,AND(对接源_02物料!$X282="自备筐",N(对接源_02物料!$T282)&lt;&gt;0)),1,0)</f>
        <v>0</v>
      </c>
      <c r="Y1482" s="1" t="n">
        <f aca="false">N(Y1481)+$X1482</f>
        <v>0</v>
      </c>
      <c r="Z1482" s="1" t="n">
        <f aca="false">IF(AND($M1482=1,对接源_02物料!$D282="原料入库"),1,0)</f>
        <v>0</v>
      </c>
      <c r="AA1482" s="1" t="n">
        <f aca="false">N(AA1481)+$Z1482</f>
        <v>30</v>
      </c>
      <c r="AB1482" s="1" t="n">
        <f aca="false">IF(AND($M1482=1,LEFT(对接源_02物料!$D282,4)="原料出库"),1,0)</f>
        <v>0</v>
      </c>
      <c r="AC1482" s="1" t="n">
        <f aca="false">N(AC1481)+$AB1482</f>
        <v>19</v>
      </c>
      <c r="AD1482" s="1" t="n">
        <f aca="false">IF(AND($M1482=1,LEFT(对接源_02物料!$D282,4)="成品出库"),1,0)</f>
        <v>0</v>
      </c>
      <c r="AE1482" s="1" t="n">
        <f aca="false">N(AE1481)+$AD1482</f>
        <v>38</v>
      </c>
      <c r="AF1482" s="1" t="n">
        <f aca="false">IF(AND($N1482=1,AND(LEFT(对接源_02物料!$D282,4)="包装物料",N(对接源_02物料!$K282)&lt;&gt;0)),1,0)</f>
        <v>0</v>
      </c>
      <c r="AG1482" s="1" t="n">
        <f aca="false">N(AG1481)+$AF1482</f>
        <v>6</v>
      </c>
      <c r="AH1482" s="1" t="n">
        <f aca="false">IF(AND($N1482=1,AND(LEFT(对接源_02物料!$D282,3)="周转筐",N(对接源_02物料!$K282)&lt;&gt;0)),1,0)</f>
        <v>0</v>
      </c>
      <c r="AI1482" s="1" t="n">
        <f aca="false">N(AI1481)+$AH1482</f>
        <v>0</v>
      </c>
      <c r="AJ1482" s="1" t="n">
        <v>0</v>
      </c>
      <c r="AK1482" s="1" t="n">
        <f aca="false">N(AK1481)+$AJ1482</f>
        <v>3672</v>
      </c>
    </row>
    <row r="1483" customFormat="false" ht="13.5" hidden="false" customHeight="false" outlineLevel="0" collapsed="false">
      <c r="A1483" s="1" t="str">
        <f aca="false">IF(对接源_02物料!$C283="","",对接源_02物料!$C283)</f>
        <v/>
      </c>
      <c r="B1483" s="1" t="n">
        <f aca="false">IF(A1483="",0,IF(MATCH(A1483,$A$4:$A$2403,0)=ROW()-3,1,0))</f>
        <v>0</v>
      </c>
      <c r="C1483" s="1" t="n">
        <f aca="false">N(C1482)+B1483</f>
        <v>17</v>
      </c>
      <c r="K1483" s="1" t="n">
        <f aca="false">IF(OR($K$1="",对接源_02物料!$C283="",对接源_02物料!$C283&lt;&gt;$K$1,对接源_02物料!$B283=""),0,IF(OR(N(对接源_02物料!$B283)&lt;$K$2,N(对接源_02物料!$B283)&gt;$K$3),0,1))</f>
        <v>0</v>
      </c>
      <c r="L1483" s="1" t="n">
        <f aca="false">IF(OR($L$1="",对接源_02物料!$C283="",对接源_02物料!$C283&lt;&gt;$L$1,对接源_02物料!$B283=""),0,IF(OR(N(对接源_02物料!$B283)&lt;$L$2,N(对接源_02物料!$B283)&gt;$L$3),0,1))</f>
        <v>0</v>
      </c>
      <c r="M1483" s="1" t="n">
        <f aca="false">IF(OR($M$1="",对接源_02物料!$C283="",对接源_02物料!$C283&lt;&gt;$M$1,对接源_02物料!$B283=""),0,IF(OR(N(对接源_02物料!$B283)&lt;$M$2,N(对接源_02物料!$B283)&gt;$M$3),0,1))</f>
        <v>0</v>
      </c>
      <c r="N1483" s="1" t="n">
        <f aca="false">IF(OR($N$1="",对接源_02物料!$C283="",对接源_02物料!$C283&lt;&gt;$N$1,对接源_02物料!$B283=""),0,IF(OR(N(对接源_02物料!$B283)&lt;$N$2,N(对接源_02物料!$B283)&gt;$N$3),0,1))</f>
        <v>0</v>
      </c>
      <c r="P1483" s="1" t="n">
        <f aca="false">IF(AND($K1483=1,AND(对接源_02物料!$X283="公司筐",N(对接源_02物料!$T283)&lt;&gt;0)),1,0)</f>
        <v>0</v>
      </c>
      <c r="Q1483" s="1" t="n">
        <f aca="false">N(Q1482)+$P1483</f>
        <v>13</v>
      </c>
      <c r="R1483" s="1" t="n">
        <f aca="false">IF(AND($K1483=1,AND(对接源_02物料!$X283="公司筐",N(对接源_02物料!$U283)&lt;&gt;0)),1,0)</f>
        <v>0</v>
      </c>
      <c r="S1483" s="1" t="n">
        <f aca="false">N(S1482)+$R1483</f>
        <v>5</v>
      </c>
      <c r="T1483" s="1" t="n">
        <f aca="false">IF(AND($K1483=1,AND(对接源_02物料!$X283="公司筐",N(对接源_02物料!$V283)&lt;&gt;0)),1,0)</f>
        <v>0</v>
      </c>
      <c r="U1483" s="1" t="n">
        <f aca="false">N(U1482)+$T1483</f>
        <v>28</v>
      </c>
      <c r="V1483" s="1" t="n">
        <f aca="false">IF(AND($L1483=1,AND(对接源_02物料!$X283="自备筐",N(对接源_02物料!$V283)&lt;&gt;0)),1,0)</f>
        <v>0</v>
      </c>
      <c r="W1483" s="1" t="n">
        <f aca="false">N(W1482)+$V1483</f>
        <v>7</v>
      </c>
      <c r="X1483" s="1" t="n">
        <f aca="false">IF(AND($L1483=1,AND(对接源_02物料!$X283="自备筐",N(对接源_02物料!$T283)&lt;&gt;0)),1,0)</f>
        <v>0</v>
      </c>
      <c r="Y1483" s="1" t="n">
        <f aca="false">N(Y1482)+$X1483</f>
        <v>0</v>
      </c>
      <c r="Z1483" s="1" t="n">
        <f aca="false">IF(AND($M1483=1,对接源_02物料!$D283="原料入库"),1,0)</f>
        <v>0</v>
      </c>
      <c r="AA1483" s="1" t="n">
        <f aca="false">N(AA1482)+$Z1483</f>
        <v>30</v>
      </c>
      <c r="AB1483" s="1" t="n">
        <f aca="false">IF(AND($M1483=1,LEFT(对接源_02物料!$D283,4)="原料出库"),1,0)</f>
        <v>0</v>
      </c>
      <c r="AC1483" s="1" t="n">
        <f aca="false">N(AC1482)+$AB1483</f>
        <v>19</v>
      </c>
      <c r="AD1483" s="1" t="n">
        <f aca="false">IF(AND($M1483=1,LEFT(对接源_02物料!$D283,4)="成品出库"),1,0)</f>
        <v>0</v>
      </c>
      <c r="AE1483" s="1" t="n">
        <f aca="false">N(AE1482)+$AD1483</f>
        <v>38</v>
      </c>
      <c r="AF1483" s="1" t="n">
        <f aca="false">IF(AND($N1483=1,AND(LEFT(对接源_02物料!$D283,4)="包装物料",N(对接源_02物料!$K283)&lt;&gt;0)),1,0)</f>
        <v>0</v>
      </c>
      <c r="AG1483" s="1" t="n">
        <f aca="false">N(AG1482)+$AF1483</f>
        <v>6</v>
      </c>
      <c r="AH1483" s="1" t="n">
        <f aca="false">IF(AND($N1483=1,AND(LEFT(对接源_02物料!$D283,3)="周转筐",N(对接源_02物料!$K283)&lt;&gt;0)),1,0)</f>
        <v>0</v>
      </c>
      <c r="AI1483" s="1" t="n">
        <f aca="false">N(AI1482)+$AH1483</f>
        <v>0</v>
      </c>
      <c r="AJ1483" s="1" t="n">
        <v>0</v>
      </c>
      <c r="AK1483" s="1" t="n">
        <f aca="false">N(AK1482)+$AJ1483</f>
        <v>3672</v>
      </c>
    </row>
    <row r="1484" customFormat="false" ht="13.5" hidden="false" customHeight="false" outlineLevel="0" collapsed="false">
      <c r="A1484" s="1" t="str">
        <f aca="false">IF(对接源_02物料!$C284="","",对接源_02物料!$C284)</f>
        <v/>
      </c>
      <c r="B1484" s="1" t="n">
        <f aca="false">IF(A1484="",0,IF(MATCH(A1484,$A$4:$A$2403,0)=ROW()-3,1,0))</f>
        <v>0</v>
      </c>
      <c r="C1484" s="1" t="n">
        <f aca="false">N(C1483)+B1484</f>
        <v>17</v>
      </c>
      <c r="K1484" s="1" t="n">
        <f aca="false">IF(OR($K$1="",对接源_02物料!$C284="",对接源_02物料!$C284&lt;&gt;$K$1,对接源_02物料!$B284=""),0,IF(OR(N(对接源_02物料!$B284)&lt;$K$2,N(对接源_02物料!$B284)&gt;$K$3),0,1))</f>
        <v>0</v>
      </c>
      <c r="L1484" s="1" t="n">
        <f aca="false">IF(OR($L$1="",对接源_02物料!$C284="",对接源_02物料!$C284&lt;&gt;$L$1,对接源_02物料!$B284=""),0,IF(OR(N(对接源_02物料!$B284)&lt;$L$2,N(对接源_02物料!$B284)&gt;$L$3),0,1))</f>
        <v>0</v>
      </c>
      <c r="M1484" s="1" t="n">
        <f aca="false">IF(OR($M$1="",对接源_02物料!$C284="",对接源_02物料!$C284&lt;&gt;$M$1,对接源_02物料!$B284=""),0,IF(OR(N(对接源_02物料!$B284)&lt;$M$2,N(对接源_02物料!$B284)&gt;$M$3),0,1))</f>
        <v>0</v>
      </c>
      <c r="N1484" s="1" t="n">
        <f aca="false">IF(OR($N$1="",对接源_02物料!$C284="",对接源_02物料!$C284&lt;&gt;$N$1,对接源_02物料!$B284=""),0,IF(OR(N(对接源_02物料!$B284)&lt;$N$2,N(对接源_02物料!$B284)&gt;$N$3),0,1))</f>
        <v>0</v>
      </c>
      <c r="P1484" s="1" t="n">
        <f aca="false">IF(AND($K1484=1,AND(对接源_02物料!$X284="公司筐",N(对接源_02物料!$T284)&lt;&gt;0)),1,0)</f>
        <v>0</v>
      </c>
      <c r="Q1484" s="1" t="n">
        <f aca="false">N(Q1483)+$P1484</f>
        <v>13</v>
      </c>
      <c r="R1484" s="1" t="n">
        <f aca="false">IF(AND($K1484=1,AND(对接源_02物料!$X284="公司筐",N(对接源_02物料!$U284)&lt;&gt;0)),1,0)</f>
        <v>0</v>
      </c>
      <c r="S1484" s="1" t="n">
        <f aca="false">N(S1483)+$R1484</f>
        <v>5</v>
      </c>
      <c r="T1484" s="1" t="n">
        <f aca="false">IF(AND($K1484=1,AND(对接源_02物料!$X284="公司筐",N(对接源_02物料!$V284)&lt;&gt;0)),1,0)</f>
        <v>0</v>
      </c>
      <c r="U1484" s="1" t="n">
        <f aca="false">N(U1483)+$T1484</f>
        <v>28</v>
      </c>
      <c r="V1484" s="1" t="n">
        <f aca="false">IF(AND($L1484=1,AND(对接源_02物料!$X284="自备筐",N(对接源_02物料!$V284)&lt;&gt;0)),1,0)</f>
        <v>0</v>
      </c>
      <c r="W1484" s="1" t="n">
        <f aca="false">N(W1483)+$V1484</f>
        <v>7</v>
      </c>
      <c r="X1484" s="1" t="n">
        <f aca="false">IF(AND($L1484=1,AND(对接源_02物料!$X284="自备筐",N(对接源_02物料!$T284)&lt;&gt;0)),1,0)</f>
        <v>0</v>
      </c>
      <c r="Y1484" s="1" t="n">
        <f aca="false">N(Y1483)+$X1484</f>
        <v>0</v>
      </c>
      <c r="Z1484" s="1" t="n">
        <f aca="false">IF(AND($M1484=1,对接源_02物料!$D284="原料入库"),1,0)</f>
        <v>0</v>
      </c>
      <c r="AA1484" s="1" t="n">
        <f aca="false">N(AA1483)+$Z1484</f>
        <v>30</v>
      </c>
      <c r="AB1484" s="1" t="n">
        <f aca="false">IF(AND($M1484=1,LEFT(对接源_02物料!$D284,4)="原料出库"),1,0)</f>
        <v>0</v>
      </c>
      <c r="AC1484" s="1" t="n">
        <f aca="false">N(AC1483)+$AB1484</f>
        <v>19</v>
      </c>
      <c r="AD1484" s="1" t="n">
        <f aca="false">IF(AND($M1484=1,LEFT(对接源_02物料!$D284,4)="成品出库"),1,0)</f>
        <v>0</v>
      </c>
      <c r="AE1484" s="1" t="n">
        <f aca="false">N(AE1483)+$AD1484</f>
        <v>38</v>
      </c>
      <c r="AF1484" s="1" t="n">
        <f aca="false">IF(AND($N1484=1,AND(LEFT(对接源_02物料!$D284,4)="包装物料",N(对接源_02物料!$K284)&lt;&gt;0)),1,0)</f>
        <v>0</v>
      </c>
      <c r="AG1484" s="1" t="n">
        <f aca="false">N(AG1483)+$AF1484</f>
        <v>6</v>
      </c>
      <c r="AH1484" s="1" t="n">
        <f aca="false">IF(AND($N1484=1,AND(LEFT(对接源_02物料!$D284,3)="周转筐",N(对接源_02物料!$K284)&lt;&gt;0)),1,0)</f>
        <v>0</v>
      </c>
      <c r="AI1484" s="1" t="n">
        <f aca="false">N(AI1483)+$AH1484</f>
        <v>0</v>
      </c>
      <c r="AJ1484" s="1" t="n">
        <v>0</v>
      </c>
      <c r="AK1484" s="1" t="n">
        <f aca="false">N(AK1483)+$AJ1484</f>
        <v>3672</v>
      </c>
    </row>
    <row r="1485" customFormat="false" ht="13.5" hidden="false" customHeight="false" outlineLevel="0" collapsed="false">
      <c r="A1485" s="1" t="str">
        <f aca="false">IF(对接源_02物料!$C285="","",对接源_02物料!$C285)</f>
        <v/>
      </c>
      <c r="B1485" s="1" t="n">
        <f aca="false">IF(A1485="",0,IF(MATCH(A1485,$A$4:$A$2403,0)=ROW()-3,1,0))</f>
        <v>0</v>
      </c>
      <c r="C1485" s="1" t="n">
        <f aca="false">N(C1484)+B1485</f>
        <v>17</v>
      </c>
      <c r="K1485" s="1" t="n">
        <f aca="false">IF(OR($K$1="",对接源_02物料!$C285="",对接源_02物料!$C285&lt;&gt;$K$1,对接源_02物料!$B285=""),0,IF(OR(N(对接源_02物料!$B285)&lt;$K$2,N(对接源_02物料!$B285)&gt;$K$3),0,1))</f>
        <v>0</v>
      </c>
      <c r="L1485" s="1" t="n">
        <f aca="false">IF(OR($L$1="",对接源_02物料!$C285="",对接源_02物料!$C285&lt;&gt;$L$1,对接源_02物料!$B285=""),0,IF(OR(N(对接源_02物料!$B285)&lt;$L$2,N(对接源_02物料!$B285)&gt;$L$3),0,1))</f>
        <v>0</v>
      </c>
      <c r="M1485" s="1" t="n">
        <f aca="false">IF(OR($M$1="",对接源_02物料!$C285="",对接源_02物料!$C285&lt;&gt;$M$1,对接源_02物料!$B285=""),0,IF(OR(N(对接源_02物料!$B285)&lt;$M$2,N(对接源_02物料!$B285)&gt;$M$3),0,1))</f>
        <v>0</v>
      </c>
      <c r="N1485" s="1" t="n">
        <f aca="false">IF(OR($N$1="",对接源_02物料!$C285="",对接源_02物料!$C285&lt;&gt;$N$1,对接源_02物料!$B285=""),0,IF(OR(N(对接源_02物料!$B285)&lt;$N$2,N(对接源_02物料!$B285)&gt;$N$3),0,1))</f>
        <v>0</v>
      </c>
      <c r="P1485" s="1" t="n">
        <f aca="false">IF(AND($K1485=1,AND(对接源_02物料!$X285="公司筐",N(对接源_02物料!$T285)&lt;&gt;0)),1,0)</f>
        <v>0</v>
      </c>
      <c r="Q1485" s="1" t="n">
        <f aca="false">N(Q1484)+$P1485</f>
        <v>13</v>
      </c>
      <c r="R1485" s="1" t="n">
        <f aca="false">IF(AND($K1485=1,AND(对接源_02物料!$X285="公司筐",N(对接源_02物料!$U285)&lt;&gt;0)),1,0)</f>
        <v>0</v>
      </c>
      <c r="S1485" s="1" t="n">
        <f aca="false">N(S1484)+$R1485</f>
        <v>5</v>
      </c>
      <c r="T1485" s="1" t="n">
        <f aca="false">IF(AND($K1485=1,AND(对接源_02物料!$X285="公司筐",N(对接源_02物料!$V285)&lt;&gt;0)),1,0)</f>
        <v>0</v>
      </c>
      <c r="U1485" s="1" t="n">
        <f aca="false">N(U1484)+$T1485</f>
        <v>28</v>
      </c>
      <c r="V1485" s="1" t="n">
        <f aca="false">IF(AND($L1485=1,AND(对接源_02物料!$X285="自备筐",N(对接源_02物料!$V285)&lt;&gt;0)),1,0)</f>
        <v>0</v>
      </c>
      <c r="W1485" s="1" t="n">
        <f aca="false">N(W1484)+$V1485</f>
        <v>7</v>
      </c>
      <c r="X1485" s="1" t="n">
        <f aca="false">IF(AND($L1485=1,AND(对接源_02物料!$X285="自备筐",N(对接源_02物料!$T285)&lt;&gt;0)),1,0)</f>
        <v>0</v>
      </c>
      <c r="Y1485" s="1" t="n">
        <f aca="false">N(Y1484)+$X1485</f>
        <v>0</v>
      </c>
      <c r="Z1485" s="1" t="n">
        <f aca="false">IF(AND($M1485=1,对接源_02物料!$D285="原料入库"),1,0)</f>
        <v>0</v>
      </c>
      <c r="AA1485" s="1" t="n">
        <f aca="false">N(AA1484)+$Z1485</f>
        <v>30</v>
      </c>
      <c r="AB1485" s="1" t="n">
        <f aca="false">IF(AND($M1485=1,LEFT(对接源_02物料!$D285,4)="原料出库"),1,0)</f>
        <v>0</v>
      </c>
      <c r="AC1485" s="1" t="n">
        <f aca="false">N(AC1484)+$AB1485</f>
        <v>19</v>
      </c>
      <c r="AD1485" s="1" t="n">
        <f aca="false">IF(AND($M1485=1,LEFT(对接源_02物料!$D285,4)="成品出库"),1,0)</f>
        <v>0</v>
      </c>
      <c r="AE1485" s="1" t="n">
        <f aca="false">N(AE1484)+$AD1485</f>
        <v>38</v>
      </c>
      <c r="AF1485" s="1" t="n">
        <f aca="false">IF(AND($N1485=1,AND(LEFT(对接源_02物料!$D285,4)="包装物料",N(对接源_02物料!$K285)&lt;&gt;0)),1,0)</f>
        <v>0</v>
      </c>
      <c r="AG1485" s="1" t="n">
        <f aca="false">N(AG1484)+$AF1485</f>
        <v>6</v>
      </c>
      <c r="AH1485" s="1" t="n">
        <f aca="false">IF(AND($N1485=1,AND(LEFT(对接源_02物料!$D285,3)="周转筐",N(对接源_02物料!$K285)&lt;&gt;0)),1,0)</f>
        <v>0</v>
      </c>
      <c r="AI1485" s="1" t="n">
        <f aca="false">N(AI1484)+$AH1485</f>
        <v>0</v>
      </c>
      <c r="AJ1485" s="1" t="n">
        <v>0</v>
      </c>
      <c r="AK1485" s="1" t="n">
        <f aca="false">N(AK1484)+$AJ1485</f>
        <v>3672</v>
      </c>
    </row>
    <row r="1486" customFormat="false" ht="13.5" hidden="false" customHeight="false" outlineLevel="0" collapsed="false">
      <c r="A1486" s="1" t="str">
        <f aca="false">IF(对接源_02物料!$C286="","",对接源_02物料!$C286)</f>
        <v/>
      </c>
      <c r="B1486" s="1" t="n">
        <f aca="false">IF(A1486="",0,IF(MATCH(A1486,$A$4:$A$2403,0)=ROW()-3,1,0))</f>
        <v>0</v>
      </c>
      <c r="C1486" s="1" t="n">
        <f aca="false">N(C1485)+B1486</f>
        <v>17</v>
      </c>
      <c r="K1486" s="1" t="n">
        <f aca="false">IF(OR($K$1="",对接源_02物料!$C286="",对接源_02物料!$C286&lt;&gt;$K$1,对接源_02物料!$B286=""),0,IF(OR(N(对接源_02物料!$B286)&lt;$K$2,N(对接源_02物料!$B286)&gt;$K$3),0,1))</f>
        <v>0</v>
      </c>
      <c r="L1486" s="1" t="n">
        <f aca="false">IF(OR($L$1="",对接源_02物料!$C286="",对接源_02物料!$C286&lt;&gt;$L$1,对接源_02物料!$B286=""),0,IF(OR(N(对接源_02物料!$B286)&lt;$L$2,N(对接源_02物料!$B286)&gt;$L$3),0,1))</f>
        <v>0</v>
      </c>
      <c r="M1486" s="1" t="n">
        <f aca="false">IF(OR($M$1="",对接源_02物料!$C286="",对接源_02物料!$C286&lt;&gt;$M$1,对接源_02物料!$B286=""),0,IF(OR(N(对接源_02物料!$B286)&lt;$M$2,N(对接源_02物料!$B286)&gt;$M$3),0,1))</f>
        <v>0</v>
      </c>
      <c r="N1486" s="1" t="n">
        <f aca="false">IF(OR($N$1="",对接源_02物料!$C286="",对接源_02物料!$C286&lt;&gt;$N$1,对接源_02物料!$B286=""),0,IF(OR(N(对接源_02物料!$B286)&lt;$N$2,N(对接源_02物料!$B286)&gt;$N$3),0,1))</f>
        <v>0</v>
      </c>
      <c r="P1486" s="1" t="n">
        <f aca="false">IF(AND($K1486=1,AND(对接源_02物料!$X286="公司筐",N(对接源_02物料!$T286)&lt;&gt;0)),1,0)</f>
        <v>0</v>
      </c>
      <c r="Q1486" s="1" t="n">
        <f aca="false">N(Q1485)+$P1486</f>
        <v>13</v>
      </c>
      <c r="R1486" s="1" t="n">
        <f aca="false">IF(AND($K1486=1,AND(对接源_02物料!$X286="公司筐",N(对接源_02物料!$U286)&lt;&gt;0)),1,0)</f>
        <v>0</v>
      </c>
      <c r="S1486" s="1" t="n">
        <f aca="false">N(S1485)+$R1486</f>
        <v>5</v>
      </c>
      <c r="T1486" s="1" t="n">
        <f aca="false">IF(AND($K1486=1,AND(对接源_02物料!$X286="公司筐",N(对接源_02物料!$V286)&lt;&gt;0)),1,0)</f>
        <v>0</v>
      </c>
      <c r="U1486" s="1" t="n">
        <f aca="false">N(U1485)+$T1486</f>
        <v>28</v>
      </c>
      <c r="V1486" s="1" t="n">
        <f aca="false">IF(AND($L1486=1,AND(对接源_02物料!$X286="自备筐",N(对接源_02物料!$V286)&lt;&gt;0)),1,0)</f>
        <v>0</v>
      </c>
      <c r="W1486" s="1" t="n">
        <f aca="false">N(W1485)+$V1486</f>
        <v>7</v>
      </c>
      <c r="X1486" s="1" t="n">
        <f aca="false">IF(AND($L1486=1,AND(对接源_02物料!$X286="自备筐",N(对接源_02物料!$T286)&lt;&gt;0)),1,0)</f>
        <v>0</v>
      </c>
      <c r="Y1486" s="1" t="n">
        <f aca="false">N(Y1485)+$X1486</f>
        <v>0</v>
      </c>
      <c r="Z1486" s="1" t="n">
        <f aca="false">IF(AND($M1486=1,对接源_02物料!$D286="原料入库"),1,0)</f>
        <v>0</v>
      </c>
      <c r="AA1486" s="1" t="n">
        <f aca="false">N(AA1485)+$Z1486</f>
        <v>30</v>
      </c>
      <c r="AB1486" s="1" t="n">
        <f aca="false">IF(AND($M1486=1,LEFT(对接源_02物料!$D286,4)="原料出库"),1,0)</f>
        <v>0</v>
      </c>
      <c r="AC1486" s="1" t="n">
        <f aca="false">N(AC1485)+$AB1486</f>
        <v>19</v>
      </c>
      <c r="AD1486" s="1" t="n">
        <f aca="false">IF(AND($M1486=1,LEFT(对接源_02物料!$D286,4)="成品出库"),1,0)</f>
        <v>0</v>
      </c>
      <c r="AE1486" s="1" t="n">
        <f aca="false">N(AE1485)+$AD1486</f>
        <v>38</v>
      </c>
      <c r="AF1486" s="1" t="n">
        <f aca="false">IF(AND($N1486=1,AND(LEFT(对接源_02物料!$D286,4)="包装物料",N(对接源_02物料!$K286)&lt;&gt;0)),1,0)</f>
        <v>0</v>
      </c>
      <c r="AG1486" s="1" t="n">
        <f aca="false">N(AG1485)+$AF1486</f>
        <v>6</v>
      </c>
      <c r="AH1486" s="1" t="n">
        <f aca="false">IF(AND($N1486=1,AND(LEFT(对接源_02物料!$D286,3)="周转筐",N(对接源_02物料!$K286)&lt;&gt;0)),1,0)</f>
        <v>0</v>
      </c>
      <c r="AI1486" s="1" t="n">
        <f aca="false">N(AI1485)+$AH1486</f>
        <v>0</v>
      </c>
      <c r="AJ1486" s="1" t="n">
        <v>0</v>
      </c>
      <c r="AK1486" s="1" t="n">
        <f aca="false">N(AK1485)+$AJ1486</f>
        <v>3672</v>
      </c>
    </row>
    <row r="1487" customFormat="false" ht="13.5" hidden="false" customHeight="false" outlineLevel="0" collapsed="false">
      <c r="A1487" s="1" t="str">
        <f aca="false">IF(对接源_02物料!$C287="","",对接源_02物料!$C287)</f>
        <v/>
      </c>
      <c r="B1487" s="1" t="n">
        <f aca="false">IF(A1487="",0,IF(MATCH(A1487,$A$4:$A$2403,0)=ROW()-3,1,0))</f>
        <v>0</v>
      </c>
      <c r="C1487" s="1" t="n">
        <f aca="false">N(C1486)+B1487</f>
        <v>17</v>
      </c>
      <c r="K1487" s="1" t="n">
        <f aca="false">IF(OR($K$1="",对接源_02物料!$C287="",对接源_02物料!$C287&lt;&gt;$K$1,对接源_02物料!$B287=""),0,IF(OR(N(对接源_02物料!$B287)&lt;$K$2,N(对接源_02物料!$B287)&gt;$K$3),0,1))</f>
        <v>0</v>
      </c>
      <c r="L1487" s="1" t="n">
        <f aca="false">IF(OR($L$1="",对接源_02物料!$C287="",对接源_02物料!$C287&lt;&gt;$L$1,对接源_02物料!$B287=""),0,IF(OR(N(对接源_02物料!$B287)&lt;$L$2,N(对接源_02物料!$B287)&gt;$L$3),0,1))</f>
        <v>0</v>
      </c>
      <c r="M1487" s="1" t="n">
        <f aca="false">IF(OR($M$1="",对接源_02物料!$C287="",对接源_02物料!$C287&lt;&gt;$M$1,对接源_02物料!$B287=""),0,IF(OR(N(对接源_02物料!$B287)&lt;$M$2,N(对接源_02物料!$B287)&gt;$M$3),0,1))</f>
        <v>0</v>
      </c>
      <c r="N1487" s="1" t="n">
        <f aca="false">IF(OR($N$1="",对接源_02物料!$C287="",对接源_02物料!$C287&lt;&gt;$N$1,对接源_02物料!$B287=""),0,IF(OR(N(对接源_02物料!$B287)&lt;$N$2,N(对接源_02物料!$B287)&gt;$N$3),0,1))</f>
        <v>0</v>
      </c>
      <c r="P1487" s="1" t="n">
        <f aca="false">IF(AND($K1487=1,AND(对接源_02物料!$X287="公司筐",N(对接源_02物料!$T287)&lt;&gt;0)),1,0)</f>
        <v>0</v>
      </c>
      <c r="Q1487" s="1" t="n">
        <f aca="false">N(Q1486)+$P1487</f>
        <v>13</v>
      </c>
      <c r="R1487" s="1" t="n">
        <f aca="false">IF(AND($K1487=1,AND(对接源_02物料!$X287="公司筐",N(对接源_02物料!$U287)&lt;&gt;0)),1,0)</f>
        <v>0</v>
      </c>
      <c r="S1487" s="1" t="n">
        <f aca="false">N(S1486)+$R1487</f>
        <v>5</v>
      </c>
      <c r="T1487" s="1" t="n">
        <f aca="false">IF(AND($K1487=1,AND(对接源_02物料!$X287="公司筐",N(对接源_02物料!$V287)&lt;&gt;0)),1,0)</f>
        <v>0</v>
      </c>
      <c r="U1487" s="1" t="n">
        <f aca="false">N(U1486)+$T1487</f>
        <v>28</v>
      </c>
      <c r="V1487" s="1" t="n">
        <f aca="false">IF(AND($L1487=1,AND(对接源_02物料!$X287="自备筐",N(对接源_02物料!$V287)&lt;&gt;0)),1,0)</f>
        <v>0</v>
      </c>
      <c r="W1487" s="1" t="n">
        <f aca="false">N(W1486)+$V1487</f>
        <v>7</v>
      </c>
      <c r="X1487" s="1" t="n">
        <f aca="false">IF(AND($L1487=1,AND(对接源_02物料!$X287="自备筐",N(对接源_02物料!$T287)&lt;&gt;0)),1,0)</f>
        <v>0</v>
      </c>
      <c r="Y1487" s="1" t="n">
        <f aca="false">N(Y1486)+$X1487</f>
        <v>0</v>
      </c>
      <c r="Z1487" s="1" t="n">
        <f aca="false">IF(AND($M1487=1,对接源_02物料!$D287="原料入库"),1,0)</f>
        <v>0</v>
      </c>
      <c r="AA1487" s="1" t="n">
        <f aca="false">N(AA1486)+$Z1487</f>
        <v>30</v>
      </c>
      <c r="AB1487" s="1" t="n">
        <f aca="false">IF(AND($M1487=1,LEFT(对接源_02物料!$D287,4)="原料出库"),1,0)</f>
        <v>0</v>
      </c>
      <c r="AC1487" s="1" t="n">
        <f aca="false">N(AC1486)+$AB1487</f>
        <v>19</v>
      </c>
      <c r="AD1487" s="1" t="n">
        <f aca="false">IF(AND($M1487=1,LEFT(对接源_02物料!$D287,4)="成品出库"),1,0)</f>
        <v>0</v>
      </c>
      <c r="AE1487" s="1" t="n">
        <f aca="false">N(AE1486)+$AD1487</f>
        <v>38</v>
      </c>
      <c r="AF1487" s="1" t="n">
        <f aca="false">IF(AND($N1487=1,AND(LEFT(对接源_02物料!$D287,4)="包装物料",N(对接源_02物料!$K287)&lt;&gt;0)),1,0)</f>
        <v>0</v>
      </c>
      <c r="AG1487" s="1" t="n">
        <f aca="false">N(AG1486)+$AF1487</f>
        <v>6</v>
      </c>
      <c r="AH1487" s="1" t="n">
        <f aca="false">IF(AND($N1487=1,AND(LEFT(对接源_02物料!$D287,3)="周转筐",N(对接源_02物料!$K287)&lt;&gt;0)),1,0)</f>
        <v>0</v>
      </c>
      <c r="AI1487" s="1" t="n">
        <f aca="false">N(AI1486)+$AH1487</f>
        <v>0</v>
      </c>
      <c r="AJ1487" s="1" t="n">
        <v>0</v>
      </c>
      <c r="AK1487" s="1" t="n">
        <f aca="false">N(AK1486)+$AJ1487</f>
        <v>3672</v>
      </c>
    </row>
    <row r="1488" customFormat="false" ht="13.5" hidden="false" customHeight="false" outlineLevel="0" collapsed="false">
      <c r="A1488" s="1" t="str">
        <f aca="false">IF(对接源_02物料!$C288="","",对接源_02物料!$C288)</f>
        <v/>
      </c>
      <c r="B1488" s="1" t="n">
        <f aca="false">IF(A1488="",0,IF(MATCH(A1488,$A$4:$A$2403,0)=ROW()-3,1,0))</f>
        <v>0</v>
      </c>
      <c r="C1488" s="1" t="n">
        <f aca="false">N(C1487)+B1488</f>
        <v>17</v>
      </c>
      <c r="K1488" s="1" t="n">
        <f aca="false">IF(OR($K$1="",对接源_02物料!$C288="",对接源_02物料!$C288&lt;&gt;$K$1,对接源_02物料!$B288=""),0,IF(OR(N(对接源_02物料!$B288)&lt;$K$2,N(对接源_02物料!$B288)&gt;$K$3),0,1))</f>
        <v>0</v>
      </c>
      <c r="L1488" s="1" t="n">
        <f aca="false">IF(OR($L$1="",对接源_02物料!$C288="",对接源_02物料!$C288&lt;&gt;$L$1,对接源_02物料!$B288=""),0,IF(OR(N(对接源_02物料!$B288)&lt;$L$2,N(对接源_02物料!$B288)&gt;$L$3),0,1))</f>
        <v>0</v>
      </c>
      <c r="M1488" s="1" t="n">
        <f aca="false">IF(OR($M$1="",对接源_02物料!$C288="",对接源_02物料!$C288&lt;&gt;$M$1,对接源_02物料!$B288=""),0,IF(OR(N(对接源_02物料!$B288)&lt;$M$2,N(对接源_02物料!$B288)&gt;$M$3),0,1))</f>
        <v>0</v>
      </c>
      <c r="N1488" s="1" t="n">
        <f aca="false">IF(OR($N$1="",对接源_02物料!$C288="",对接源_02物料!$C288&lt;&gt;$N$1,对接源_02物料!$B288=""),0,IF(OR(N(对接源_02物料!$B288)&lt;$N$2,N(对接源_02物料!$B288)&gt;$N$3),0,1))</f>
        <v>0</v>
      </c>
      <c r="P1488" s="1" t="n">
        <f aca="false">IF(AND($K1488=1,AND(对接源_02物料!$X288="公司筐",N(对接源_02物料!$T288)&lt;&gt;0)),1,0)</f>
        <v>0</v>
      </c>
      <c r="Q1488" s="1" t="n">
        <f aca="false">N(Q1487)+$P1488</f>
        <v>13</v>
      </c>
      <c r="R1488" s="1" t="n">
        <f aca="false">IF(AND($K1488=1,AND(对接源_02物料!$X288="公司筐",N(对接源_02物料!$U288)&lt;&gt;0)),1,0)</f>
        <v>0</v>
      </c>
      <c r="S1488" s="1" t="n">
        <f aca="false">N(S1487)+$R1488</f>
        <v>5</v>
      </c>
      <c r="T1488" s="1" t="n">
        <f aca="false">IF(AND($K1488=1,AND(对接源_02物料!$X288="公司筐",N(对接源_02物料!$V288)&lt;&gt;0)),1,0)</f>
        <v>0</v>
      </c>
      <c r="U1488" s="1" t="n">
        <f aca="false">N(U1487)+$T1488</f>
        <v>28</v>
      </c>
      <c r="V1488" s="1" t="n">
        <f aca="false">IF(AND($L1488=1,AND(对接源_02物料!$X288="自备筐",N(对接源_02物料!$V288)&lt;&gt;0)),1,0)</f>
        <v>0</v>
      </c>
      <c r="W1488" s="1" t="n">
        <f aca="false">N(W1487)+$V1488</f>
        <v>7</v>
      </c>
      <c r="X1488" s="1" t="n">
        <f aca="false">IF(AND($L1488=1,AND(对接源_02物料!$X288="自备筐",N(对接源_02物料!$T288)&lt;&gt;0)),1,0)</f>
        <v>0</v>
      </c>
      <c r="Y1488" s="1" t="n">
        <f aca="false">N(Y1487)+$X1488</f>
        <v>0</v>
      </c>
      <c r="Z1488" s="1" t="n">
        <f aca="false">IF(AND($M1488=1,对接源_02物料!$D288="原料入库"),1,0)</f>
        <v>0</v>
      </c>
      <c r="AA1488" s="1" t="n">
        <f aca="false">N(AA1487)+$Z1488</f>
        <v>30</v>
      </c>
      <c r="AB1488" s="1" t="n">
        <f aca="false">IF(AND($M1488=1,LEFT(对接源_02物料!$D288,4)="原料出库"),1,0)</f>
        <v>0</v>
      </c>
      <c r="AC1488" s="1" t="n">
        <f aca="false">N(AC1487)+$AB1488</f>
        <v>19</v>
      </c>
      <c r="AD1488" s="1" t="n">
        <f aca="false">IF(AND($M1488=1,LEFT(对接源_02物料!$D288,4)="成品出库"),1,0)</f>
        <v>0</v>
      </c>
      <c r="AE1488" s="1" t="n">
        <f aca="false">N(AE1487)+$AD1488</f>
        <v>38</v>
      </c>
      <c r="AF1488" s="1" t="n">
        <f aca="false">IF(AND($N1488=1,AND(LEFT(对接源_02物料!$D288,4)="包装物料",N(对接源_02物料!$K288)&lt;&gt;0)),1,0)</f>
        <v>0</v>
      </c>
      <c r="AG1488" s="1" t="n">
        <f aca="false">N(AG1487)+$AF1488</f>
        <v>6</v>
      </c>
      <c r="AH1488" s="1" t="n">
        <f aca="false">IF(AND($N1488=1,AND(LEFT(对接源_02物料!$D288,3)="周转筐",N(对接源_02物料!$K288)&lt;&gt;0)),1,0)</f>
        <v>0</v>
      </c>
      <c r="AI1488" s="1" t="n">
        <f aca="false">N(AI1487)+$AH1488</f>
        <v>0</v>
      </c>
      <c r="AJ1488" s="1" t="n">
        <v>0</v>
      </c>
      <c r="AK1488" s="1" t="n">
        <f aca="false">N(AK1487)+$AJ1488</f>
        <v>3672</v>
      </c>
    </row>
    <row r="1489" customFormat="false" ht="13.5" hidden="false" customHeight="false" outlineLevel="0" collapsed="false">
      <c r="A1489" s="1" t="str">
        <f aca="false">IF(对接源_02物料!$C289="","",对接源_02物料!$C289)</f>
        <v/>
      </c>
      <c r="B1489" s="1" t="n">
        <f aca="false">IF(A1489="",0,IF(MATCH(A1489,$A$4:$A$2403,0)=ROW()-3,1,0))</f>
        <v>0</v>
      </c>
      <c r="C1489" s="1" t="n">
        <f aca="false">N(C1488)+B1489</f>
        <v>17</v>
      </c>
      <c r="K1489" s="1" t="n">
        <f aca="false">IF(OR($K$1="",对接源_02物料!$C289="",对接源_02物料!$C289&lt;&gt;$K$1,对接源_02物料!$B289=""),0,IF(OR(N(对接源_02物料!$B289)&lt;$K$2,N(对接源_02物料!$B289)&gt;$K$3),0,1))</f>
        <v>0</v>
      </c>
      <c r="L1489" s="1" t="n">
        <f aca="false">IF(OR($L$1="",对接源_02物料!$C289="",对接源_02物料!$C289&lt;&gt;$L$1,对接源_02物料!$B289=""),0,IF(OR(N(对接源_02物料!$B289)&lt;$L$2,N(对接源_02物料!$B289)&gt;$L$3),0,1))</f>
        <v>0</v>
      </c>
      <c r="M1489" s="1" t="n">
        <f aca="false">IF(OR($M$1="",对接源_02物料!$C289="",对接源_02物料!$C289&lt;&gt;$M$1,对接源_02物料!$B289=""),0,IF(OR(N(对接源_02物料!$B289)&lt;$M$2,N(对接源_02物料!$B289)&gt;$M$3),0,1))</f>
        <v>0</v>
      </c>
      <c r="N1489" s="1" t="n">
        <f aca="false">IF(OR($N$1="",对接源_02物料!$C289="",对接源_02物料!$C289&lt;&gt;$N$1,对接源_02物料!$B289=""),0,IF(OR(N(对接源_02物料!$B289)&lt;$N$2,N(对接源_02物料!$B289)&gt;$N$3),0,1))</f>
        <v>0</v>
      </c>
      <c r="P1489" s="1" t="n">
        <f aca="false">IF(AND($K1489=1,AND(对接源_02物料!$X289="公司筐",N(对接源_02物料!$T289)&lt;&gt;0)),1,0)</f>
        <v>0</v>
      </c>
      <c r="Q1489" s="1" t="n">
        <f aca="false">N(Q1488)+$P1489</f>
        <v>13</v>
      </c>
      <c r="R1489" s="1" t="n">
        <f aca="false">IF(AND($K1489=1,AND(对接源_02物料!$X289="公司筐",N(对接源_02物料!$U289)&lt;&gt;0)),1,0)</f>
        <v>0</v>
      </c>
      <c r="S1489" s="1" t="n">
        <f aca="false">N(S1488)+$R1489</f>
        <v>5</v>
      </c>
      <c r="T1489" s="1" t="n">
        <f aca="false">IF(AND($K1489=1,AND(对接源_02物料!$X289="公司筐",N(对接源_02物料!$V289)&lt;&gt;0)),1,0)</f>
        <v>0</v>
      </c>
      <c r="U1489" s="1" t="n">
        <f aca="false">N(U1488)+$T1489</f>
        <v>28</v>
      </c>
      <c r="V1489" s="1" t="n">
        <f aca="false">IF(AND($L1489=1,AND(对接源_02物料!$X289="自备筐",N(对接源_02物料!$V289)&lt;&gt;0)),1,0)</f>
        <v>0</v>
      </c>
      <c r="W1489" s="1" t="n">
        <f aca="false">N(W1488)+$V1489</f>
        <v>7</v>
      </c>
      <c r="X1489" s="1" t="n">
        <f aca="false">IF(AND($L1489=1,AND(对接源_02物料!$X289="自备筐",N(对接源_02物料!$T289)&lt;&gt;0)),1,0)</f>
        <v>0</v>
      </c>
      <c r="Y1489" s="1" t="n">
        <f aca="false">N(Y1488)+$X1489</f>
        <v>0</v>
      </c>
      <c r="Z1489" s="1" t="n">
        <f aca="false">IF(AND($M1489=1,对接源_02物料!$D289="原料入库"),1,0)</f>
        <v>0</v>
      </c>
      <c r="AA1489" s="1" t="n">
        <f aca="false">N(AA1488)+$Z1489</f>
        <v>30</v>
      </c>
      <c r="AB1489" s="1" t="n">
        <f aca="false">IF(AND($M1489=1,LEFT(对接源_02物料!$D289,4)="原料出库"),1,0)</f>
        <v>0</v>
      </c>
      <c r="AC1489" s="1" t="n">
        <f aca="false">N(AC1488)+$AB1489</f>
        <v>19</v>
      </c>
      <c r="AD1489" s="1" t="n">
        <f aca="false">IF(AND($M1489=1,LEFT(对接源_02物料!$D289,4)="成品出库"),1,0)</f>
        <v>0</v>
      </c>
      <c r="AE1489" s="1" t="n">
        <f aca="false">N(AE1488)+$AD1489</f>
        <v>38</v>
      </c>
      <c r="AF1489" s="1" t="n">
        <f aca="false">IF(AND($N1489=1,AND(LEFT(对接源_02物料!$D289,4)="包装物料",N(对接源_02物料!$K289)&lt;&gt;0)),1,0)</f>
        <v>0</v>
      </c>
      <c r="AG1489" s="1" t="n">
        <f aca="false">N(AG1488)+$AF1489</f>
        <v>6</v>
      </c>
      <c r="AH1489" s="1" t="n">
        <f aca="false">IF(AND($N1489=1,AND(LEFT(对接源_02物料!$D289,3)="周转筐",N(对接源_02物料!$K289)&lt;&gt;0)),1,0)</f>
        <v>0</v>
      </c>
      <c r="AI1489" s="1" t="n">
        <f aca="false">N(AI1488)+$AH1489</f>
        <v>0</v>
      </c>
      <c r="AJ1489" s="1" t="n">
        <v>0</v>
      </c>
      <c r="AK1489" s="1" t="n">
        <f aca="false">N(AK1488)+$AJ1489</f>
        <v>3672</v>
      </c>
    </row>
    <row r="1490" customFormat="false" ht="13.5" hidden="false" customHeight="false" outlineLevel="0" collapsed="false">
      <c r="A1490" s="1" t="str">
        <f aca="false">IF(对接源_02物料!$C290="","",对接源_02物料!$C290)</f>
        <v/>
      </c>
      <c r="B1490" s="1" t="n">
        <f aca="false">IF(A1490="",0,IF(MATCH(A1490,$A$4:$A$2403,0)=ROW()-3,1,0))</f>
        <v>0</v>
      </c>
      <c r="C1490" s="1" t="n">
        <f aca="false">N(C1489)+B1490</f>
        <v>17</v>
      </c>
      <c r="K1490" s="1" t="n">
        <f aca="false">IF(OR($K$1="",对接源_02物料!$C290="",对接源_02物料!$C290&lt;&gt;$K$1,对接源_02物料!$B290=""),0,IF(OR(N(对接源_02物料!$B290)&lt;$K$2,N(对接源_02物料!$B290)&gt;$K$3),0,1))</f>
        <v>0</v>
      </c>
      <c r="L1490" s="1" t="n">
        <f aca="false">IF(OR($L$1="",对接源_02物料!$C290="",对接源_02物料!$C290&lt;&gt;$L$1,对接源_02物料!$B290=""),0,IF(OR(N(对接源_02物料!$B290)&lt;$L$2,N(对接源_02物料!$B290)&gt;$L$3),0,1))</f>
        <v>0</v>
      </c>
      <c r="M1490" s="1" t="n">
        <f aca="false">IF(OR($M$1="",对接源_02物料!$C290="",对接源_02物料!$C290&lt;&gt;$M$1,对接源_02物料!$B290=""),0,IF(OR(N(对接源_02物料!$B290)&lt;$M$2,N(对接源_02物料!$B290)&gt;$M$3),0,1))</f>
        <v>0</v>
      </c>
      <c r="N1490" s="1" t="n">
        <f aca="false">IF(OR($N$1="",对接源_02物料!$C290="",对接源_02物料!$C290&lt;&gt;$N$1,对接源_02物料!$B290=""),0,IF(OR(N(对接源_02物料!$B290)&lt;$N$2,N(对接源_02物料!$B290)&gt;$N$3),0,1))</f>
        <v>0</v>
      </c>
      <c r="P1490" s="1" t="n">
        <f aca="false">IF(AND($K1490=1,AND(对接源_02物料!$X290="公司筐",N(对接源_02物料!$T290)&lt;&gt;0)),1,0)</f>
        <v>0</v>
      </c>
      <c r="Q1490" s="1" t="n">
        <f aca="false">N(Q1489)+$P1490</f>
        <v>13</v>
      </c>
      <c r="R1490" s="1" t="n">
        <f aca="false">IF(AND($K1490=1,AND(对接源_02物料!$X290="公司筐",N(对接源_02物料!$U290)&lt;&gt;0)),1,0)</f>
        <v>0</v>
      </c>
      <c r="S1490" s="1" t="n">
        <f aca="false">N(S1489)+$R1490</f>
        <v>5</v>
      </c>
      <c r="T1490" s="1" t="n">
        <f aca="false">IF(AND($K1490=1,AND(对接源_02物料!$X290="公司筐",N(对接源_02物料!$V290)&lt;&gt;0)),1,0)</f>
        <v>0</v>
      </c>
      <c r="U1490" s="1" t="n">
        <f aca="false">N(U1489)+$T1490</f>
        <v>28</v>
      </c>
      <c r="V1490" s="1" t="n">
        <f aca="false">IF(AND($L1490=1,AND(对接源_02物料!$X290="自备筐",N(对接源_02物料!$V290)&lt;&gt;0)),1,0)</f>
        <v>0</v>
      </c>
      <c r="W1490" s="1" t="n">
        <f aca="false">N(W1489)+$V1490</f>
        <v>7</v>
      </c>
      <c r="X1490" s="1" t="n">
        <f aca="false">IF(AND($L1490=1,AND(对接源_02物料!$X290="自备筐",N(对接源_02物料!$T290)&lt;&gt;0)),1,0)</f>
        <v>0</v>
      </c>
      <c r="Y1490" s="1" t="n">
        <f aca="false">N(Y1489)+$X1490</f>
        <v>0</v>
      </c>
      <c r="Z1490" s="1" t="n">
        <f aca="false">IF(AND($M1490=1,对接源_02物料!$D290="原料入库"),1,0)</f>
        <v>0</v>
      </c>
      <c r="AA1490" s="1" t="n">
        <f aca="false">N(AA1489)+$Z1490</f>
        <v>30</v>
      </c>
      <c r="AB1490" s="1" t="n">
        <f aca="false">IF(AND($M1490=1,LEFT(对接源_02物料!$D290,4)="原料出库"),1,0)</f>
        <v>0</v>
      </c>
      <c r="AC1490" s="1" t="n">
        <f aca="false">N(AC1489)+$AB1490</f>
        <v>19</v>
      </c>
      <c r="AD1490" s="1" t="n">
        <f aca="false">IF(AND($M1490=1,LEFT(对接源_02物料!$D290,4)="成品出库"),1,0)</f>
        <v>0</v>
      </c>
      <c r="AE1490" s="1" t="n">
        <f aca="false">N(AE1489)+$AD1490</f>
        <v>38</v>
      </c>
      <c r="AF1490" s="1" t="n">
        <f aca="false">IF(AND($N1490=1,AND(LEFT(对接源_02物料!$D290,4)="包装物料",N(对接源_02物料!$K290)&lt;&gt;0)),1,0)</f>
        <v>0</v>
      </c>
      <c r="AG1490" s="1" t="n">
        <f aca="false">N(AG1489)+$AF1490</f>
        <v>6</v>
      </c>
      <c r="AH1490" s="1" t="n">
        <f aca="false">IF(AND($N1490=1,AND(LEFT(对接源_02物料!$D290,3)="周转筐",N(对接源_02物料!$K290)&lt;&gt;0)),1,0)</f>
        <v>0</v>
      </c>
      <c r="AI1490" s="1" t="n">
        <f aca="false">N(AI1489)+$AH1490</f>
        <v>0</v>
      </c>
      <c r="AJ1490" s="1" t="n">
        <v>0</v>
      </c>
      <c r="AK1490" s="1" t="n">
        <f aca="false">N(AK1489)+$AJ1490</f>
        <v>3672</v>
      </c>
    </row>
    <row r="1491" customFormat="false" ht="13.5" hidden="false" customHeight="false" outlineLevel="0" collapsed="false">
      <c r="A1491" s="1" t="str">
        <f aca="false">IF(对接源_02物料!$C291="","",对接源_02物料!$C291)</f>
        <v/>
      </c>
      <c r="B1491" s="1" t="n">
        <f aca="false">IF(A1491="",0,IF(MATCH(A1491,$A$4:$A$2403,0)=ROW()-3,1,0))</f>
        <v>0</v>
      </c>
      <c r="C1491" s="1" t="n">
        <f aca="false">N(C1490)+B1491</f>
        <v>17</v>
      </c>
      <c r="K1491" s="1" t="n">
        <f aca="false">IF(OR($K$1="",对接源_02物料!$C291="",对接源_02物料!$C291&lt;&gt;$K$1,对接源_02物料!$B291=""),0,IF(OR(N(对接源_02物料!$B291)&lt;$K$2,N(对接源_02物料!$B291)&gt;$K$3),0,1))</f>
        <v>0</v>
      </c>
      <c r="L1491" s="1" t="n">
        <f aca="false">IF(OR($L$1="",对接源_02物料!$C291="",对接源_02物料!$C291&lt;&gt;$L$1,对接源_02物料!$B291=""),0,IF(OR(N(对接源_02物料!$B291)&lt;$L$2,N(对接源_02物料!$B291)&gt;$L$3),0,1))</f>
        <v>0</v>
      </c>
      <c r="M1491" s="1" t="n">
        <f aca="false">IF(OR($M$1="",对接源_02物料!$C291="",对接源_02物料!$C291&lt;&gt;$M$1,对接源_02物料!$B291=""),0,IF(OR(N(对接源_02物料!$B291)&lt;$M$2,N(对接源_02物料!$B291)&gt;$M$3),0,1))</f>
        <v>0</v>
      </c>
      <c r="N1491" s="1" t="n">
        <f aca="false">IF(OR($N$1="",对接源_02物料!$C291="",对接源_02物料!$C291&lt;&gt;$N$1,对接源_02物料!$B291=""),0,IF(OR(N(对接源_02物料!$B291)&lt;$N$2,N(对接源_02物料!$B291)&gt;$N$3),0,1))</f>
        <v>0</v>
      </c>
      <c r="P1491" s="1" t="n">
        <f aca="false">IF(AND($K1491=1,AND(对接源_02物料!$X291="公司筐",N(对接源_02物料!$T291)&lt;&gt;0)),1,0)</f>
        <v>0</v>
      </c>
      <c r="Q1491" s="1" t="n">
        <f aca="false">N(Q1490)+$P1491</f>
        <v>13</v>
      </c>
      <c r="R1491" s="1" t="n">
        <f aca="false">IF(AND($K1491=1,AND(对接源_02物料!$X291="公司筐",N(对接源_02物料!$U291)&lt;&gt;0)),1,0)</f>
        <v>0</v>
      </c>
      <c r="S1491" s="1" t="n">
        <f aca="false">N(S1490)+$R1491</f>
        <v>5</v>
      </c>
      <c r="T1491" s="1" t="n">
        <f aca="false">IF(AND($K1491=1,AND(对接源_02物料!$X291="公司筐",N(对接源_02物料!$V291)&lt;&gt;0)),1,0)</f>
        <v>0</v>
      </c>
      <c r="U1491" s="1" t="n">
        <f aca="false">N(U1490)+$T1491</f>
        <v>28</v>
      </c>
      <c r="V1491" s="1" t="n">
        <f aca="false">IF(AND($L1491=1,AND(对接源_02物料!$X291="自备筐",N(对接源_02物料!$V291)&lt;&gt;0)),1,0)</f>
        <v>0</v>
      </c>
      <c r="W1491" s="1" t="n">
        <f aca="false">N(W1490)+$V1491</f>
        <v>7</v>
      </c>
      <c r="X1491" s="1" t="n">
        <f aca="false">IF(AND($L1491=1,AND(对接源_02物料!$X291="自备筐",N(对接源_02物料!$T291)&lt;&gt;0)),1,0)</f>
        <v>0</v>
      </c>
      <c r="Y1491" s="1" t="n">
        <f aca="false">N(Y1490)+$X1491</f>
        <v>0</v>
      </c>
      <c r="Z1491" s="1" t="n">
        <f aca="false">IF(AND($M1491=1,对接源_02物料!$D291="原料入库"),1,0)</f>
        <v>0</v>
      </c>
      <c r="AA1491" s="1" t="n">
        <f aca="false">N(AA1490)+$Z1491</f>
        <v>30</v>
      </c>
      <c r="AB1491" s="1" t="n">
        <f aca="false">IF(AND($M1491=1,LEFT(对接源_02物料!$D291,4)="原料出库"),1,0)</f>
        <v>0</v>
      </c>
      <c r="AC1491" s="1" t="n">
        <f aca="false">N(AC1490)+$AB1491</f>
        <v>19</v>
      </c>
      <c r="AD1491" s="1" t="n">
        <f aca="false">IF(AND($M1491=1,LEFT(对接源_02物料!$D291,4)="成品出库"),1,0)</f>
        <v>0</v>
      </c>
      <c r="AE1491" s="1" t="n">
        <f aca="false">N(AE1490)+$AD1491</f>
        <v>38</v>
      </c>
      <c r="AF1491" s="1" t="n">
        <f aca="false">IF(AND($N1491=1,AND(LEFT(对接源_02物料!$D291,4)="包装物料",N(对接源_02物料!$K291)&lt;&gt;0)),1,0)</f>
        <v>0</v>
      </c>
      <c r="AG1491" s="1" t="n">
        <f aca="false">N(AG1490)+$AF1491</f>
        <v>6</v>
      </c>
      <c r="AH1491" s="1" t="n">
        <f aca="false">IF(AND($N1491=1,AND(LEFT(对接源_02物料!$D291,3)="周转筐",N(对接源_02物料!$K291)&lt;&gt;0)),1,0)</f>
        <v>0</v>
      </c>
      <c r="AI1491" s="1" t="n">
        <f aca="false">N(AI1490)+$AH1491</f>
        <v>0</v>
      </c>
      <c r="AJ1491" s="1" t="n">
        <v>0</v>
      </c>
      <c r="AK1491" s="1" t="n">
        <f aca="false">N(AK1490)+$AJ1491</f>
        <v>3672</v>
      </c>
    </row>
    <row r="1492" customFormat="false" ht="13.5" hidden="false" customHeight="false" outlineLevel="0" collapsed="false">
      <c r="A1492" s="1" t="str">
        <f aca="false">IF(对接源_02物料!$C292="","",对接源_02物料!$C292)</f>
        <v/>
      </c>
      <c r="B1492" s="1" t="n">
        <f aca="false">IF(A1492="",0,IF(MATCH(A1492,$A$4:$A$2403,0)=ROW()-3,1,0))</f>
        <v>0</v>
      </c>
      <c r="C1492" s="1" t="n">
        <f aca="false">N(C1491)+B1492</f>
        <v>17</v>
      </c>
      <c r="K1492" s="1" t="n">
        <f aca="false">IF(OR($K$1="",对接源_02物料!$C292="",对接源_02物料!$C292&lt;&gt;$K$1,对接源_02物料!$B292=""),0,IF(OR(N(对接源_02物料!$B292)&lt;$K$2,N(对接源_02物料!$B292)&gt;$K$3),0,1))</f>
        <v>0</v>
      </c>
      <c r="L1492" s="1" t="n">
        <f aca="false">IF(OR($L$1="",对接源_02物料!$C292="",对接源_02物料!$C292&lt;&gt;$L$1,对接源_02物料!$B292=""),0,IF(OR(N(对接源_02物料!$B292)&lt;$L$2,N(对接源_02物料!$B292)&gt;$L$3),0,1))</f>
        <v>0</v>
      </c>
      <c r="M1492" s="1" t="n">
        <f aca="false">IF(OR($M$1="",对接源_02物料!$C292="",对接源_02物料!$C292&lt;&gt;$M$1,对接源_02物料!$B292=""),0,IF(OR(N(对接源_02物料!$B292)&lt;$M$2,N(对接源_02物料!$B292)&gt;$M$3),0,1))</f>
        <v>0</v>
      </c>
      <c r="N1492" s="1" t="n">
        <f aca="false">IF(OR($N$1="",对接源_02物料!$C292="",对接源_02物料!$C292&lt;&gt;$N$1,对接源_02物料!$B292=""),0,IF(OR(N(对接源_02物料!$B292)&lt;$N$2,N(对接源_02物料!$B292)&gt;$N$3),0,1))</f>
        <v>0</v>
      </c>
      <c r="P1492" s="1" t="n">
        <f aca="false">IF(AND($K1492=1,AND(对接源_02物料!$X292="公司筐",N(对接源_02物料!$T292)&lt;&gt;0)),1,0)</f>
        <v>0</v>
      </c>
      <c r="Q1492" s="1" t="n">
        <f aca="false">N(Q1491)+$P1492</f>
        <v>13</v>
      </c>
      <c r="R1492" s="1" t="n">
        <f aca="false">IF(AND($K1492=1,AND(对接源_02物料!$X292="公司筐",N(对接源_02物料!$U292)&lt;&gt;0)),1,0)</f>
        <v>0</v>
      </c>
      <c r="S1492" s="1" t="n">
        <f aca="false">N(S1491)+$R1492</f>
        <v>5</v>
      </c>
      <c r="T1492" s="1" t="n">
        <f aca="false">IF(AND($K1492=1,AND(对接源_02物料!$X292="公司筐",N(对接源_02物料!$V292)&lt;&gt;0)),1,0)</f>
        <v>0</v>
      </c>
      <c r="U1492" s="1" t="n">
        <f aca="false">N(U1491)+$T1492</f>
        <v>28</v>
      </c>
      <c r="V1492" s="1" t="n">
        <f aca="false">IF(AND($L1492=1,AND(对接源_02物料!$X292="自备筐",N(对接源_02物料!$V292)&lt;&gt;0)),1,0)</f>
        <v>0</v>
      </c>
      <c r="W1492" s="1" t="n">
        <f aca="false">N(W1491)+$V1492</f>
        <v>7</v>
      </c>
      <c r="X1492" s="1" t="n">
        <f aca="false">IF(AND($L1492=1,AND(对接源_02物料!$X292="自备筐",N(对接源_02物料!$T292)&lt;&gt;0)),1,0)</f>
        <v>0</v>
      </c>
      <c r="Y1492" s="1" t="n">
        <f aca="false">N(Y1491)+$X1492</f>
        <v>0</v>
      </c>
      <c r="Z1492" s="1" t="n">
        <f aca="false">IF(AND($M1492=1,对接源_02物料!$D292="原料入库"),1,0)</f>
        <v>0</v>
      </c>
      <c r="AA1492" s="1" t="n">
        <f aca="false">N(AA1491)+$Z1492</f>
        <v>30</v>
      </c>
      <c r="AB1492" s="1" t="n">
        <f aca="false">IF(AND($M1492=1,LEFT(对接源_02物料!$D292,4)="原料出库"),1,0)</f>
        <v>0</v>
      </c>
      <c r="AC1492" s="1" t="n">
        <f aca="false">N(AC1491)+$AB1492</f>
        <v>19</v>
      </c>
      <c r="AD1492" s="1" t="n">
        <f aca="false">IF(AND($M1492=1,LEFT(对接源_02物料!$D292,4)="成品出库"),1,0)</f>
        <v>0</v>
      </c>
      <c r="AE1492" s="1" t="n">
        <f aca="false">N(AE1491)+$AD1492</f>
        <v>38</v>
      </c>
      <c r="AF1492" s="1" t="n">
        <f aca="false">IF(AND($N1492=1,AND(LEFT(对接源_02物料!$D292,4)="包装物料",N(对接源_02物料!$K292)&lt;&gt;0)),1,0)</f>
        <v>0</v>
      </c>
      <c r="AG1492" s="1" t="n">
        <f aca="false">N(AG1491)+$AF1492</f>
        <v>6</v>
      </c>
      <c r="AH1492" s="1" t="n">
        <f aca="false">IF(AND($N1492=1,AND(LEFT(对接源_02物料!$D292,3)="周转筐",N(对接源_02物料!$K292)&lt;&gt;0)),1,0)</f>
        <v>0</v>
      </c>
      <c r="AI1492" s="1" t="n">
        <f aca="false">N(AI1491)+$AH1492</f>
        <v>0</v>
      </c>
      <c r="AJ1492" s="1" t="n">
        <v>0</v>
      </c>
      <c r="AK1492" s="1" t="n">
        <f aca="false">N(AK1491)+$AJ1492</f>
        <v>3672</v>
      </c>
    </row>
    <row r="1493" customFormat="false" ht="13.5" hidden="false" customHeight="false" outlineLevel="0" collapsed="false">
      <c r="A1493" s="1" t="str">
        <f aca="false">IF(对接源_02物料!$C293="","",对接源_02物料!$C293)</f>
        <v/>
      </c>
      <c r="B1493" s="1" t="n">
        <f aca="false">IF(A1493="",0,IF(MATCH(A1493,$A$4:$A$2403,0)=ROW()-3,1,0))</f>
        <v>0</v>
      </c>
      <c r="C1493" s="1" t="n">
        <f aca="false">N(C1492)+B1493</f>
        <v>17</v>
      </c>
      <c r="K1493" s="1" t="n">
        <f aca="false">IF(OR($K$1="",对接源_02物料!$C293="",对接源_02物料!$C293&lt;&gt;$K$1,对接源_02物料!$B293=""),0,IF(OR(N(对接源_02物料!$B293)&lt;$K$2,N(对接源_02物料!$B293)&gt;$K$3),0,1))</f>
        <v>0</v>
      </c>
      <c r="L1493" s="1" t="n">
        <f aca="false">IF(OR($L$1="",对接源_02物料!$C293="",对接源_02物料!$C293&lt;&gt;$L$1,对接源_02物料!$B293=""),0,IF(OR(N(对接源_02物料!$B293)&lt;$L$2,N(对接源_02物料!$B293)&gt;$L$3),0,1))</f>
        <v>0</v>
      </c>
      <c r="M1493" s="1" t="n">
        <f aca="false">IF(OR($M$1="",对接源_02物料!$C293="",对接源_02物料!$C293&lt;&gt;$M$1,对接源_02物料!$B293=""),0,IF(OR(N(对接源_02物料!$B293)&lt;$M$2,N(对接源_02物料!$B293)&gt;$M$3),0,1))</f>
        <v>0</v>
      </c>
      <c r="N1493" s="1" t="n">
        <f aca="false">IF(OR($N$1="",对接源_02物料!$C293="",对接源_02物料!$C293&lt;&gt;$N$1,对接源_02物料!$B293=""),0,IF(OR(N(对接源_02物料!$B293)&lt;$N$2,N(对接源_02物料!$B293)&gt;$N$3),0,1))</f>
        <v>0</v>
      </c>
      <c r="P1493" s="1" t="n">
        <f aca="false">IF(AND($K1493=1,AND(对接源_02物料!$X293="公司筐",N(对接源_02物料!$T293)&lt;&gt;0)),1,0)</f>
        <v>0</v>
      </c>
      <c r="Q1493" s="1" t="n">
        <f aca="false">N(Q1492)+$P1493</f>
        <v>13</v>
      </c>
      <c r="R1493" s="1" t="n">
        <f aca="false">IF(AND($K1493=1,AND(对接源_02物料!$X293="公司筐",N(对接源_02物料!$U293)&lt;&gt;0)),1,0)</f>
        <v>0</v>
      </c>
      <c r="S1493" s="1" t="n">
        <f aca="false">N(S1492)+$R1493</f>
        <v>5</v>
      </c>
      <c r="T1493" s="1" t="n">
        <f aca="false">IF(AND($K1493=1,AND(对接源_02物料!$X293="公司筐",N(对接源_02物料!$V293)&lt;&gt;0)),1,0)</f>
        <v>0</v>
      </c>
      <c r="U1493" s="1" t="n">
        <f aca="false">N(U1492)+$T1493</f>
        <v>28</v>
      </c>
      <c r="V1493" s="1" t="n">
        <f aca="false">IF(AND($L1493=1,AND(对接源_02物料!$X293="自备筐",N(对接源_02物料!$V293)&lt;&gt;0)),1,0)</f>
        <v>0</v>
      </c>
      <c r="W1493" s="1" t="n">
        <f aca="false">N(W1492)+$V1493</f>
        <v>7</v>
      </c>
      <c r="X1493" s="1" t="n">
        <f aca="false">IF(AND($L1493=1,AND(对接源_02物料!$X293="自备筐",N(对接源_02物料!$T293)&lt;&gt;0)),1,0)</f>
        <v>0</v>
      </c>
      <c r="Y1493" s="1" t="n">
        <f aca="false">N(Y1492)+$X1493</f>
        <v>0</v>
      </c>
      <c r="Z1493" s="1" t="n">
        <f aca="false">IF(AND($M1493=1,对接源_02物料!$D293="原料入库"),1,0)</f>
        <v>0</v>
      </c>
      <c r="AA1493" s="1" t="n">
        <f aca="false">N(AA1492)+$Z1493</f>
        <v>30</v>
      </c>
      <c r="AB1493" s="1" t="n">
        <f aca="false">IF(AND($M1493=1,LEFT(对接源_02物料!$D293,4)="原料出库"),1,0)</f>
        <v>0</v>
      </c>
      <c r="AC1493" s="1" t="n">
        <f aca="false">N(AC1492)+$AB1493</f>
        <v>19</v>
      </c>
      <c r="AD1493" s="1" t="n">
        <f aca="false">IF(AND($M1493=1,LEFT(对接源_02物料!$D293,4)="成品出库"),1,0)</f>
        <v>0</v>
      </c>
      <c r="AE1493" s="1" t="n">
        <f aca="false">N(AE1492)+$AD1493</f>
        <v>38</v>
      </c>
      <c r="AF1493" s="1" t="n">
        <f aca="false">IF(AND($N1493=1,AND(LEFT(对接源_02物料!$D293,4)="包装物料",N(对接源_02物料!$K293)&lt;&gt;0)),1,0)</f>
        <v>0</v>
      </c>
      <c r="AG1493" s="1" t="n">
        <f aca="false">N(AG1492)+$AF1493</f>
        <v>6</v>
      </c>
      <c r="AH1493" s="1" t="n">
        <f aca="false">IF(AND($N1493=1,AND(LEFT(对接源_02物料!$D293,3)="周转筐",N(对接源_02物料!$K293)&lt;&gt;0)),1,0)</f>
        <v>0</v>
      </c>
      <c r="AI1493" s="1" t="n">
        <f aca="false">N(AI1492)+$AH1493</f>
        <v>0</v>
      </c>
      <c r="AJ1493" s="1" t="n">
        <v>0</v>
      </c>
      <c r="AK1493" s="1" t="n">
        <f aca="false">N(AK1492)+$AJ1493</f>
        <v>3672</v>
      </c>
    </row>
    <row r="1494" customFormat="false" ht="13.5" hidden="false" customHeight="false" outlineLevel="0" collapsed="false">
      <c r="A1494" s="1" t="str">
        <f aca="false">IF(对接源_02物料!$C294="","",对接源_02物料!$C294)</f>
        <v/>
      </c>
      <c r="B1494" s="1" t="n">
        <f aca="false">IF(A1494="",0,IF(MATCH(A1494,$A$4:$A$2403,0)=ROW()-3,1,0))</f>
        <v>0</v>
      </c>
      <c r="C1494" s="1" t="n">
        <f aca="false">N(C1493)+B1494</f>
        <v>17</v>
      </c>
      <c r="K1494" s="1" t="n">
        <f aca="false">IF(OR($K$1="",对接源_02物料!$C294="",对接源_02物料!$C294&lt;&gt;$K$1,对接源_02物料!$B294=""),0,IF(OR(N(对接源_02物料!$B294)&lt;$K$2,N(对接源_02物料!$B294)&gt;$K$3),0,1))</f>
        <v>0</v>
      </c>
      <c r="L1494" s="1" t="n">
        <f aca="false">IF(OR($L$1="",对接源_02物料!$C294="",对接源_02物料!$C294&lt;&gt;$L$1,对接源_02物料!$B294=""),0,IF(OR(N(对接源_02物料!$B294)&lt;$L$2,N(对接源_02物料!$B294)&gt;$L$3),0,1))</f>
        <v>0</v>
      </c>
      <c r="M1494" s="1" t="n">
        <f aca="false">IF(OR($M$1="",对接源_02物料!$C294="",对接源_02物料!$C294&lt;&gt;$M$1,对接源_02物料!$B294=""),0,IF(OR(N(对接源_02物料!$B294)&lt;$M$2,N(对接源_02物料!$B294)&gt;$M$3),0,1))</f>
        <v>0</v>
      </c>
      <c r="N1494" s="1" t="n">
        <f aca="false">IF(OR($N$1="",对接源_02物料!$C294="",对接源_02物料!$C294&lt;&gt;$N$1,对接源_02物料!$B294=""),0,IF(OR(N(对接源_02物料!$B294)&lt;$N$2,N(对接源_02物料!$B294)&gt;$N$3),0,1))</f>
        <v>0</v>
      </c>
      <c r="P1494" s="1" t="n">
        <f aca="false">IF(AND($K1494=1,AND(对接源_02物料!$X294="公司筐",N(对接源_02物料!$T294)&lt;&gt;0)),1,0)</f>
        <v>0</v>
      </c>
      <c r="Q1494" s="1" t="n">
        <f aca="false">N(Q1493)+$P1494</f>
        <v>13</v>
      </c>
      <c r="R1494" s="1" t="n">
        <f aca="false">IF(AND($K1494=1,AND(对接源_02物料!$X294="公司筐",N(对接源_02物料!$U294)&lt;&gt;0)),1,0)</f>
        <v>0</v>
      </c>
      <c r="S1494" s="1" t="n">
        <f aca="false">N(S1493)+$R1494</f>
        <v>5</v>
      </c>
      <c r="T1494" s="1" t="n">
        <f aca="false">IF(AND($K1494=1,AND(对接源_02物料!$X294="公司筐",N(对接源_02物料!$V294)&lt;&gt;0)),1,0)</f>
        <v>0</v>
      </c>
      <c r="U1494" s="1" t="n">
        <f aca="false">N(U1493)+$T1494</f>
        <v>28</v>
      </c>
      <c r="V1494" s="1" t="n">
        <f aca="false">IF(AND($L1494=1,AND(对接源_02物料!$X294="自备筐",N(对接源_02物料!$V294)&lt;&gt;0)),1,0)</f>
        <v>0</v>
      </c>
      <c r="W1494" s="1" t="n">
        <f aca="false">N(W1493)+$V1494</f>
        <v>7</v>
      </c>
      <c r="X1494" s="1" t="n">
        <f aca="false">IF(AND($L1494=1,AND(对接源_02物料!$X294="自备筐",N(对接源_02物料!$T294)&lt;&gt;0)),1,0)</f>
        <v>0</v>
      </c>
      <c r="Y1494" s="1" t="n">
        <f aca="false">N(Y1493)+$X1494</f>
        <v>0</v>
      </c>
      <c r="Z1494" s="1" t="n">
        <f aca="false">IF(AND($M1494=1,对接源_02物料!$D294="原料入库"),1,0)</f>
        <v>0</v>
      </c>
      <c r="AA1494" s="1" t="n">
        <f aca="false">N(AA1493)+$Z1494</f>
        <v>30</v>
      </c>
      <c r="AB1494" s="1" t="n">
        <f aca="false">IF(AND($M1494=1,LEFT(对接源_02物料!$D294,4)="原料出库"),1,0)</f>
        <v>0</v>
      </c>
      <c r="AC1494" s="1" t="n">
        <f aca="false">N(AC1493)+$AB1494</f>
        <v>19</v>
      </c>
      <c r="AD1494" s="1" t="n">
        <f aca="false">IF(AND($M1494=1,LEFT(对接源_02物料!$D294,4)="成品出库"),1,0)</f>
        <v>0</v>
      </c>
      <c r="AE1494" s="1" t="n">
        <f aca="false">N(AE1493)+$AD1494</f>
        <v>38</v>
      </c>
      <c r="AF1494" s="1" t="n">
        <f aca="false">IF(AND($N1494=1,AND(LEFT(对接源_02物料!$D294,4)="包装物料",N(对接源_02物料!$K294)&lt;&gt;0)),1,0)</f>
        <v>0</v>
      </c>
      <c r="AG1494" s="1" t="n">
        <f aca="false">N(AG1493)+$AF1494</f>
        <v>6</v>
      </c>
      <c r="AH1494" s="1" t="n">
        <f aca="false">IF(AND($N1494=1,AND(LEFT(对接源_02物料!$D294,3)="周转筐",N(对接源_02物料!$K294)&lt;&gt;0)),1,0)</f>
        <v>0</v>
      </c>
      <c r="AI1494" s="1" t="n">
        <f aca="false">N(AI1493)+$AH1494</f>
        <v>0</v>
      </c>
      <c r="AJ1494" s="1" t="n">
        <v>0</v>
      </c>
      <c r="AK1494" s="1" t="n">
        <f aca="false">N(AK1493)+$AJ1494</f>
        <v>3672</v>
      </c>
    </row>
    <row r="1495" customFormat="false" ht="13.5" hidden="false" customHeight="false" outlineLevel="0" collapsed="false">
      <c r="A1495" s="1" t="str">
        <f aca="false">IF(对接源_02物料!$C295="","",对接源_02物料!$C295)</f>
        <v/>
      </c>
      <c r="B1495" s="1" t="n">
        <f aca="false">IF(A1495="",0,IF(MATCH(A1495,$A$4:$A$2403,0)=ROW()-3,1,0))</f>
        <v>0</v>
      </c>
      <c r="C1495" s="1" t="n">
        <f aca="false">N(C1494)+B1495</f>
        <v>17</v>
      </c>
      <c r="K1495" s="1" t="n">
        <f aca="false">IF(OR($K$1="",对接源_02物料!$C295="",对接源_02物料!$C295&lt;&gt;$K$1,对接源_02物料!$B295=""),0,IF(OR(N(对接源_02物料!$B295)&lt;$K$2,N(对接源_02物料!$B295)&gt;$K$3),0,1))</f>
        <v>0</v>
      </c>
      <c r="L1495" s="1" t="n">
        <f aca="false">IF(OR($L$1="",对接源_02物料!$C295="",对接源_02物料!$C295&lt;&gt;$L$1,对接源_02物料!$B295=""),0,IF(OR(N(对接源_02物料!$B295)&lt;$L$2,N(对接源_02物料!$B295)&gt;$L$3),0,1))</f>
        <v>0</v>
      </c>
      <c r="M1495" s="1" t="n">
        <f aca="false">IF(OR($M$1="",对接源_02物料!$C295="",对接源_02物料!$C295&lt;&gt;$M$1,对接源_02物料!$B295=""),0,IF(OR(N(对接源_02物料!$B295)&lt;$M$2,N(对接源_02物料!$B295)&gt;$M$3),0,1))</f>
        <v>0</v>
      </c>
      <c r="N1495" s="1" t="n">
        <f aca="false">IF(OR($N$1="",对接源_02物料!$C295="",对接源_02物料!$C295&lt;&gt;$N$1,对接源_02物料!$B295=""),0,IF(OR(N(对接源_02物料!$B295)&lt;$N$2,N(对接源_02物料!$B295)&gt;$N$3),0,1))</f>
        <v>0</v>
      </c>
      <c r="P1495" s="1" t="n">
        <f aca="false">IF(AND($K1495=1,AND(对接源_02物料!$X295="公司筐",N(对接源_02物料!$T295)&lt;&gt;0)),1,0)</f>
        <v>0</v>
      </c>
      <c r="Q1495" s="1" t="n">
        <f aca="false">N(Q1494)+$P1495</f>
        <v>13</v>
      </c>
      <c r="R1495" s="1" t="n">
        <f aca="false">IF(AND($K1495=1,AND(对接源_02物料!$X295="公司筐",N(对接源_02物料!$U295)&lt;&gt;0)),1,0)</f>
        <v>0</v>
      </c>
      <c r="S1495" s="1" t="n">
        <f aca="false">N(S1494)+$R1495</f>
        <v>5</v>
      </c>
      <c r="T1495" s="1" t="n">
        <f aca="false">IF(AND($K1495=1,AND(对接源_02物料!$X295="公司筐",N(对接源_02物料!$V295)&lt;&gt;0)),1,0)</f>
        <v>0</v>
      </c>
      <c r="U1495" s="1" t="n">
        <f aca="false">N(U1494)+$T1495</f>
        <v>28</v>
      </c>
      <c r="V1495" s="1" t="n">
        <f aca="false">IF(AND($L1495=1,AND(对接源_02物料!$X295="自备筐",N(对接源_02物料!$V295)&lt;&gt;0)),1,0)</f>
        <v>0</v>
      </c>
      <c r="W1495" s="1" t="n">
        <f aca="false">N(W1494)+$V1495</f>
        <v>7</v>
      </c>
      <c r="X1495" s="1" t="n">
        <f aca="false">IF(AND($L1495=1,AND(对接源_02物料!$X295="自备筐",N(对接源_02物料!$T295)&lt;&gt;0)),1,0)</f>
        <v>0</v>
      </c>
      <c r="Y1495" s="1" t="n">
        <f aca="false">N(Y1494)+$X1495</f>
        <v>0</v>
      </c>
      <c r="Z1495" s="1" t="n">
        <f aca="false">IF(AND($M1495=1,对接源_02物料!$D295="原料入库"),1,0)</f>
        <v>0</v>
      </c>
      <c r="AA1495" s="1" t="n">
        <f aca="false">N(AA1494)+$Z1495</f>
        <v>30</v>
      </c>
      <c r="AB1495" s="1" t="n">
        <f aca="false">IF(AND($M1495=1,LEFT(对接源_02物料!$D295,4)="原料出库"),1,0)</f>
        <v>0</v>
      </c>
      <c r="AC1495" s="1" t="n">
        <f aca="false">N(AC1494)+$AB1495</f>
        <v>19</v>
      </c>
      <c r="AD1495" s="1" t="n">
        <f aca="false">IF(AND($M1495=1,LEFT(对接源_02物料!$D295,4)="成品出库"),1,0)</f>
        <v>0</v>
      </c>
      <c r="AE1495" s="1" t="n">
        <f aca="false">N(AE1494)+$AD1495</f>
        <v>38</v>
      </c>
      <c r="AF1495" s="1" t="n">
        <f aca="false">IF(AND($N1495=1,AND(LEFT(对接源_02物料!$D295,4)="包装物料",N(对接源_02物料!$K295)&lt;&gt;0)),1,0)</f>
        <v>0</v>
      </c>
      <c r="AG1495" s="1" t="n">
        <f aca="false">N(AG1494)+$AF1495</f>
        <v>6</v>
      </c>
      <c r="AH1495" s="1" t="n">
        <f aca="false">IF(AND($N1495=1,AND(LEFT(对接源_02物料!$D295,3)="周转筐",N(对接源_02物料!$K295)&lt;&gt;0)),1,0)</f>
        <v>0</v>
      </c>
      <c r="AI1495" s="1" t="n">
        <f aca="false">N(AI1494)+$AH1495</f>
        <v>0</v>
      </c>
      <c r="AJ1495" s="1" t="n">
        <v>0</v>
      </c>
      <c r="AK1495" s="1" t="n">
        <f aca="false">N(AK1494)+$AJ1495</f>
        <v>3672</v>
      </c>
    </row>
    <row r="1496" customFormat="false" ht="13.5" hidden="false" customHeight="false" outlineLevel="0" collapsed="false">
      <c r="A1496" s="1" t="str">
        <f aca="false">IF(对接源_02物料!$C296="","",对接源_02物料!$C296)</f>
        <v/>
      </c>
      <c r="B1496" s="1" t="n">
        <f aca="false">IF(A1496="",0,IF(MATCH(A1496,$A$4:$A$2403,0)=ROW()-3,1,0))</f>
        <v>0</v>
      </c>
      <c r="C1496" s="1" t="n">
        <f aca="false">N(C1495)+B1496</f>
        <v>17</v>
      </c>
      <c r="K1496" s="1" t="n">
        <f aca="false">IF(OR($K$1="",对接源_02物料!$C296="",对接源_02物料!$C296&lt;&gt;$K$1,对接源_02物料!$B296=""),0,IF(OR(N(对接源_02物料!$B296)&lt;$K$2,N(对接源_02物料!$B296)&gt;$K$3),0,1))</f>
        <v>0</v>
      </c>
      <c r="L1496" s="1" t="n">
        <f aca="false">IF(OR($L$1="",对接源_02物料!$C296="",对接源_02物料!$C296&lt;&gt;$L$1,对接源_02物料!$B296=""),0,IF(OR(N(对接源_02物料!$B296)&lt;$L$2,N(对接源_02物料!$B296)&gt;$L$3),0,1))</f>
        <v>0</v>
      </c>
      <c r="M1496" s="1" t="n">
        <f aca="false">IF(OR($M$1="",对接源_02物料!$C296="",对接源_02物料!$C296&lt;&gt;$M$1,对接源_02物料!$B296=""),0,IF(OR(N(对接源_02物料!$B296)&lt;$M$2,N(对接源_02物料!$B296)&gt;$M$3),0,1))</f>
        <v>0</v>
      </c>
      <c r="N1496" s="1" t="n">
        <f aca="false">IF(OR($N$1="",对接源_02物料!$C296="",对接源_02物料!$C296&lt;&gt;$N$1,对接源_02物料!$B296=""),0,IF(OR(N(对接源_02物料!$B296)&lt;$N$2,N(对接源_02物料!$B296)&gt;$N$3),0,1))</f>
        <v>0</v>
      </c>
      <c r="P1496" s="1" t="n">
        <f aca="false">IF(AND($K1496=1,AND(对接源_02物料!$X296="公司筐",N(对接源_02物料!$T296)&lt;&gt;0)),1,0)</f>
        <v>0</v>
      </c>
      <c r="Q1496" s="1" t="n">
        <f aca="false">N(Q1495)+$P1496</f>
        <v>13</v>
      </c>
      <c r="R1496" s="1" t="n">
        <f aca="false">IF(AND($K1496=1,AND(对接源_02物料!$X296="公司筐",N(对接源_02物料!$U296)&lt;&gt;0)),1,0)</f>
        <v>0</v>
      </c>
      <c r="S1496" s="1" t="n">
        <f aca="false">N(S1495)+$R1496</f>
        <v>5</v>
      </c>
      <c r="T1496" s="1" t="n">
        <f aca="false">IF(AND($K1496=1,AND(对接源_02物料!$X296="公司筐",N(对接源_02物料!$V296)&lt;&gt;0)),1,0)</f>
        <v>0</v>
      </c>
      <c r="U1496" s="1" t="n">
        <f aca="false">N(U1495)+$T1496</f>
        <v>28</v>
      </c>
      <c r="V1496" s="1" t="n">
        <f aca="false">IF(AND($L1496=1,AND(对接源_02物料!$X296="自备筐",N(对接源_02物料!$V296)&lt;&gt;0)),1,0)</f>
        <v>0</v>
      </c>
      <c r="W1496" s="1" t="n">
        <f aca="false">N(W1495)+$V1496</f>
        <v>7</v>
      </c>
      <c r="X1496" s="1" t="n">
        <f aca="false">IF(AND($L1496=1,AND(对接源_02物料!$X296="自备筐",N(对接源_02物料!$T296)&lt;&gt;0)),1,0)</f>
        <v>0</v>
      </c>
      <c r="Y1496" s="1" t="n">
        <f aca="false">N(Y1495)+$X1496</f>
        <v>0</v>
      </c>
      <c r="Z1496" s="1" t="n">
        <f aca="false">IF(AND($M1496=1,对接源_02物料!$D296="原料入库"),1,0)</f>
        <v>0</v>
      </c>
      <c r="AA1496" s="1" t="n">
        <f aca="false">N(AA1495)+$Z1496</f>
        <v>30</v>
      </c>
      <c r="AB1496" s="1" t="n">
        <f aca="false">IF(AND($M1496=1,LEFT(对接源_02物料!$D296,4)="原料出库"),1,0)</f>
        <v>0</v>
      </c>
      <c r="AC1496" s="1" t="n">
        <f aca="false">N(AC1495)+$AB1496</f>
        <v>19</v>
      </c>
      <c r="AD1496" s="1" t="n">
        <f aca="false">IF(AND($M1496=1,LEFT(对接源_02物料!$D296,4)="成品出库"),1,0)</f>
        <v>0</v>
      </c>
      <c r="AE1496" s="1" t="n">
        <f aca="false">N(AE1495)+$AD1496</f>
        <v>38</v>
      </c>
      <c r="AF1496" s="1" t="n">
        <f aca="false">IF(AND($N1496=1,AND(LEFT(对接源_02物料!$D296,4)="包装物料",N(对接源_02物料!$K296)&lt;&gt;0)),1,0)</f>
        <v>0</v>
      </c>
      <c r="AG1496" s="1" t="n">
        <f aca="false">N(AG1495)+$AF1496</f>
        <v>6</v>
      </c>
      <c r="AH1496" s="1" t="n">
        <f aca="false">IF(AND($N1496=1,AND(LEFT(对接源_02物料!$D296,3)="周转筐",N(对接源_02物料!$K296)&lt;&gt;0)),1,0)</f>
        <v>0</v>
      </c>
      <c r="AI1496" s="1" t="n">
        <f aca="false">N(AI1495)+$AH1496</f>
        <v>0</v>
      </c>
      <c r="AJ1496" s="1" t="n">
        <v>0</v>
      </c>
      <c r="AK1496" s="1" t="n">
        <f aca="false">N(AK1495)+$AJ1496</f>
        <v>3672</v>
      </c>
    </row>
    <row r="1497" customFormat="false" ht="13.5" hidden="false" customHeight="false" outlineLevel="0" collapsed="false">
      <c r="A1497" s="1" t="str">
        <f aca="false">IF(对接源_02物料!$C297="","",对接源_02物料!$C297)</f>
        <v/>
      </c>
      <c r="B1497" s="1" t="n">
        <f aca="false">IF(A1497="",0,IF(MATCH(A1497,$A$4:$A$2403,0)=ROW()-3,1,0))</f>
        <v>0</v>
      </c>
      <c r="C1497" s="1" t="n">
        <f aca="false">N(C1496)+B1497</f>
        <v>17</v>
      </c>
      <c r="K1497" s="1" t="n">
        <f aca="false">IF(OR($K$1="",对接源_02物料!$C297="",对接源_02物料!$C297&lt;&gt;$K$1,对接源_02物料!$B297=""),0,IF(OR(N(对接源_02物料!$B297)&lt;$K$2,N(对接源_02物料!$B297)&gt;$K$3),0,1))</f>
        <v>0</v>
      </c>
      <c r="L1497" s="1" t="n">
        <f aca="false">IF(OR($L$1="",对接源_02物料!$C297="",对接源_02物料!$C297&lt;&gt;$L$1,对接源_02物料!$B297=""),0,IF(OR(N(对接源_02物料!$B297)&lt;$L$2,N(对接源_02物料!$B297)&gt;$L$3),0,1))</f>
        <v>0</v>
      </c>
      <c r="M1497" s="1" t="n">
        <f aca="false">IF(OR($M$1="",对接源_02物料!$C297="",对接源_02物料!$C297&lt;&gt;$M$1,对接源_02物料!$B297=""),0,IF(OR(N(对接源_02物料!$B297)&lt;$M$2,N(对接源_02物料!$B297)&gt;$M$3),0,1))</f>
        <v>0</v>
      </c>
      <c r="N1497" s="1" t="n">
        <f aca="false">IF(OR($N$1="",对接源_02物料!$C297="",对接源_02物料!$C297&lt;&gt;$N$1,对接源_02物料!$B297=""),0,IF(OR(N(对接源_02物料!$B297)&lt;$N$2,N(对接源_02物料!$B297)&gt;$N$3),0,1))</f>
        <v>0</v>
      </c>
      <c r="P1497" s="1" t="n">
        <f aca="false">IF(AND($K1497=1,AND(对接源_02物料!$X297="公司筐",N(对接源_02物料!$T297)&lt;&gt;0)),1,0)</f>
        <v>0</v>
      </c>
      <c r="Q1497" s="1" t="n">
        <f aca="false">N(Q1496)+$P1497</f>
        <v>13</v>
      </c>
      <c r="R1497" s="1" t="n">
        <f aca="false">IF(AND($K1497=1,AND(对接源_02物料!$X297="公司筐",N(对接源_02物料!$U297)&lt;&gt;0)),1,0)</f>
        <v>0</v>
      </c>
      <c r="S1497" s="1" t="n">
        <f aca="false">N(S1496)+$R1497</f>
        <v>5</v>
      </c>
      <c r="T1497" s="1" t="n">
        <f aca="false">IF(AND($K1497=1,AND(对接源_02物料!$X297="公司筐",N(对接源_02物料!$V297)&lt;&gt;0)),1,0)</f>
        <v>0</v>
      </c>
      <c r="U1497" s="1" t="n">
        <f aca="false">N(U1496)+$T1497</f>
        <v>28</v>
      </c>
      <c r="V1497" s="1" t="n">
        <f aca="false">IF(AND($L1497=1,AND(对接源_02物料!$X297="自备筐",N(对接源_02物料!$V297)&lt;&gt;0)),1,0)</f>
        <v>0</v>
      </c>
      <c r="W1497" s="1" t="n">
        <f aca="false">N(W1496)+$V1497</f>
        <v>7</v>
      </c>
      <c r="X1497" s="1" t="n">
        <f aca="false">IF(AND($L1497=1,AND(对接源_02物料!$X297="自备筐",N(对接源_02物料!$T297)&lt;&gt;0)),1,0)</f>
        <v>0</v>
      </c>
      <c r="Y1497" s="1" t="n">
        <f aca="false">N(Y1496)+$X1497</f>
        <v>0</v>
      </c>
      <c r="Z1497" s="1" t="n">
        <f aca="false">IF(AND($M1497=1,对接源_02物料!$D297="原料入库"),1,0)</f>
        <v>0</v>
      </c>
      <c r="AA1497" s="1" t="n">
        <f aca="false">N(AA1496)+$Z1497</f>
        <v>30</v>
      </c>
      <c r="AB1497" s="1" t="n">
        <f aca="false">IF(AND($M1497=1,LEFT(对接源_02物料!$D297,4)="原料出库"),1,0)</f>
        <v>0</v>
      </c>
      <c r="AC1497" s="1" t="n">
        <f aca="false">N(AC1496)+$AB1497</f>
        <v>19</v>
      </c>
      <c r="AD1497" s="1" t="n">
        <f aca="false">IF(AND($M1497=1,LEFT(对接源_02物料!$D297,4)="成品出库"),1,0)</f>
        <v>0</v>
      </c>
      <c r="AE1497" s="1" t="n">
        <f aca="false">N(AE1496)+$AD1497</f>
        <v>38</v>
      </c>
      <c r="AF1497" s="1" t="n">
        <f aca="false">IF(AND($N1497=1,AND(LEFT(对接源_02物料!$D297,4)="包装物料",N(对接源_02物料!$K297)&lt;&gt;0)),1,0)</f>
        <v>0</v>
      </c>
      <c r="AG1497" s="1" t="n">
        <f aca="false">N(AG1496)+$AF1497</f>
        <v>6</v>
      </c>
      <c r="AH1497" s="1" t="n">
        <f aca="false">IF(AND($N1497=1,AND(LEFT(对接源_02物料!$D297,3)="周转筐",N(对接源_02物料!$K297)&lt;&gt;0)),1,0)</f>
        <v>0</v>
      </c>
      <c r="AI1497" s="1" t="n">
        <f aca="false">N(AI1496)+$AH1497</f>
        <v>0</v>
      </c>
      <c r="AJ1497" s="1" t="n">
        <v>0</v>
      </c>
      <c r="AK1497" s="1" t="n">
        <f aca="false">N(AK1496)+$AJ1497</f>
        <v>3672</v>
      </c>
    </row>
    <row r="1498" customFormat="false" ht="13.5" hidden="false" customHeight="false" outlineLevel="0" collapsed="false">
      <c r="A1498" s="1" t="str">
        <f aca="false">IF(对接源_02物料!$C298="","",对接源_02物料!$C298)</f>
        <v/>
      </c>
      <c r="B1498" s="1" t="n">
        <f aca="false">IF(A1498="",0,IF(MATCH(A1498,$A$4:$A$2403,0)=ROW()-3,1,0))</f>
        <v>0</v>
      </c>
      <c r="C1498" s="1" t="n">
        <f aca="false">N(C1497)+B1498</f>
        <v>17</v>
      </c>
      <c r="K1498" s="1" t="n">
        <f aca="false">IF(OR($K$1="",对接源_02物料!$C298="",对接源_02物料!$C298&lt;&gt;$K$1,对接源_02物料!$B298=""),0,IF(OR(N(对接源_02物料!$B298)&lt;$K$2,N(对接源_02物料!$B298)&gt;$K$3),0,1))</f>
        <v>0</v>
      </c>
      <c r="L1498" s="1" t="n">
        <f aca="false">IF(OR($L$1="",对接源_02物料!$C298="",对接源_02物料!$C298&lt;&gt;$L$1,对接源_02物料!$B298=""),0,IF(OR(N(对接源_02物料!$B298)&lt;$L$2,N(对接源_02物料!$B298)&gt;$L$3),0,1))</f>
        <v>0</v>
      </c>
      <c r="M1498" s="1" t="n">
        <f aca="false">IF(OR($M$1="",对接源_02物料!$C298="",对接源_02物料!$C298&lt;&gt;$M$1,对接源_02物料!$B298=""),0,IF(OR(N(对接源_02物料!$B298)&lt;$M$2,N(对接源_02物料!$B298)&gt;$M$3),0,1))</f>
        <v>0</v>
      </c>
      <c r="N1498" s="1" t="n">
        <f aca="false">IF(OR($N$1="",对接源_02物料!$C298="",对接源_02物料!$C298&lt;&gt;$N$1,对接源_02物料!$B298=""),0,IF(OR(N(对接源_02物料!$B298)&lt;$N$2,N(对接源_02物料!$B298)&gt;$N$3),0,1))</f>
        <v>0</v>
      </c>
      <c r="P1498" s="1" t="n">
        <f aca="false">IF(AND($K1498=1,AND(对接源_02物料!$X298="公司筐",N(对接源_02物料!$T298)&lt;&gt;0)),1,0)</f>
        <v>0</v>
      </c>
      <c r="Q1498" s="1" t="n">
        <f aca="false">N(Q1497)+$P1498</f>
        <v>13</v>
      </c>
      <c r="R1498" s="1" t="n">
        <f aca="false">IF(AND($K1498=1,AND(对接源_02物料!$X298="公司筐",N(对接源_02物料!$U298)&lt;&gt;0)),1,0)</f>
        <v>0</v>
      </c>
      <c r="S1498" s="1" t="n">
        <f aca="false">N(S1497)+$R1498</f>
        <v>5</v>
      </c>
      <c r="T1498" s="1" t="n">
        <f aca="false">IF(AND($K1498=1,AND(对接源_02物料!$X298="公司筐",N(对接源_02物料!$V298)&lt;&gt;0)),1,0)</f>
        <v>0</v>
      </c>
      <c r="U1498" s="1" t="n">
        <f aca="false">N(U1497)+$T1498</f>
        <v>28</v>
      </c>
      <c r="V1498" s="1" t="n">
        <f aca="false">IF(AND($L1498=1,AND(对接源_02物料!$X298="自备筐",N(对接源_02物料!$V298)&lt;&gt;0)),1,0)</f>
        <v>0</v>
      </c>
      <c r="W1498" s="1" t="n">
        <f aca="false">N(W1497)+$V1498</f>
        <v>7</v>
      </c>
      <c r="X1498" s="1" t="n">
        <f aca="false">IF(AND($L1498=1,AND(对接源_02物料!$X298="自备筐",N(对接源_02物料!$T298)&lt;&gt;0)),1,0)</f>
        <v>0</v>
      </c>
      <c r="Y1498" s="1" t="n">
        <f aca="false">N(Y1497)+$X1498</f>
        <v>0</v>
      </c>
      <c r="Z1498" s="1" t="n">
        <f aca="false">IF(AND($M1498=1,对接源_02物料!$D298="原料入库"),1,0)</f>
        <v>0</v>
      </c>
      <c r="AA1498" s="1" t="n">
        <f aca="false">N(AA1497)+$Z1498</f>
        <v>30</v>
      </c>
      <c r="AB1498" s="1" t="n">
        <f aca="false">IF(AND($M1498=1,LEFT(对接源_02物料!$D298,4)="原料出库"),1,0)</f>
        <v>0</v>
      </c>
      <c r="AC1498" s="1" t="n">
        <f aca="false">N(AC1497)+$AB1498</f>
        <v>19</v>
      </c>
      <c r="AD1498" s="1" t="n">
        <f aca="false">IF(AND($M1498=1,LEFT(对接源_02物料!$D298,4)="成品出库"),1,0)</f>
        <v>0</v>
      </c>
      <c r="AE1498" s="1" t="n">
        <f aca="false">N(AE1497)+$AD1498</f>
        <v>38</v>
      </c>
      <c r="AF1498" s="1" t="n">
        <f aca="false">IF(AND($N1498=1,AND(LEFT(对接源_02物料!$D298,4)="包装物料",N(对接源_02物料!$K298)&lt;&gt;0)),1,0)</f>
        <v>0</v>
      </c>
      <c r="AG1498" s="1" t="n">
        <f aca="false">N(AG1497)+$AF1498</f>
        <v>6</v>
      </c>
      <c r="AH1498" s="1" t="n">
        <f aca="false">IF(AND($N1498=1,AND(LEFT(对接源_02物料!$D298,3)="周转筐",N(对接源_02物料!$K298)&lt;&gt;0)),1,0)</f>
        <v>0</v>
      </c>
      <c r="AI1498" s="1" t="n">
        <f aca="false">N(AI1497)+$AH1498</f>
        <v>0</v>
      </c>
      <c r="AJ1498" s="1" t="n">
        <v>0</v>
      </c>
      <c r="AK1498" s="1" t="n">
        <f aca="false">N(AK1497)+$AJ1498</f>
        <v>3672</v>
      </c>
    </row>
    <row r="1499" customFormat="false" ht="13.5" hidden="false" customHeight="false" outlineLevel="0" collapsed="false">
      <c r="A1499" s="1" t="str">
        <f aca="false">IF(对接源_02物料!$C299="","",对接源_02物料!$C299)</f>
        <v/>
      </c>
      <c r="B1499" s="1" t="n">
        <f aca="false">IF(A1499="",0,IF(MATCH(A1499,$A$4:$A$2403,0)=ROW()-3,1,0))</f>
        <v>0</v>
      </c>
      <c r="C1499" s="1" t="n">
        <f aca="false">N(C1498)+B1499</f>
        <v>17</v>
      </c>
      <c r="K1499" s="1" t="n">
        <f aca="false">IF(OR($K$1="",对接源_02物料!$C299="",对接源_02物料!$C299&lt;&gt;$K$1,对接源_02物料!$B299=""),0,IF(OR(N(对接源_02物料!$B299)&lt;$K$2,N(对接源_02物料!$B299)&gt;$K$3),0,1))</f>
        <v>0</v>
      </c>
      <c r="L1499" s="1" t="n">
        <f aca="false">IF(OR($L$1="",对接源_02物料!$C299="",对接源_02物料!$C299&lt;&gt;$L$1,对接源_02物料!$B299=""),0,IF(OR(N(对接源_02物料!$B299)&lt;$L$2,N(对接源_02物料!$B299)&gt;$L$3),0,1))</f>
        <v>0</v>
      </c>
      <c r="M1499" s="1" t="n">
        <f aca="false">IF(OR($M$1="",对接源_02物料!$C299="",对接源_02物料!$C299&lt;&gt;$M$1,对接源_02物料!$B299=""),0,IF(OR(N(对接源_02物料!$B299)&lt;$M$2,N(对接源_02物料!$B299)&gt;$M$3),0,1))</f>
        <v>0</v>
      </c>
      <c r="N1499" s="1" t="n">
        <f aca="false">IF(OR($N$1="",对接源_02物料!$C299="",对接源_02物料!$C299&lt;&gt;$N$1,对接源_02物料!$B299=""),0,IF(OR(N(对接源_02物料!$B299)&lt;$N$2,N(对接源_02物料!$B299)&gt;$N$3),0,1))</f>
        <v>0</v>
      </c>
      <c r="P1499" s="1" t="n">
        <f aca="false">IF(AND($K1499=1,AND(对接源_02物料!$X299="公司筐",N(对接源_02物料!$T299)&lt;&gt;0)),1,0)</f>
        <v>0</v>
      </c>
      <c r="Q1499" s="1" t="n">
        <f aca="false">N(Q1498)+$P1499</f>
        <v>13</v>
      </c>
      <c r="R1499" s="1" t="n">
        <f aca="false">IF(AND($K1499=1,AND(对接源_02物料!$X299="公司筐",N(对接源_02物料!$U299)&lt;&gt;0)),1,0)</f>
        <v>0</v>
      </c>
      <c r="S1499" s="1" t="n">
        <f aca="false">N(S1498)+$R1499</f>
        <v>5</v>
      </c>
      <c r="T1499" s="1" t="n">
        <f aca="false">IF(AND($K1499=1,AND(对接源_02物料!$X299="公司筐",N(对接源_02物料!$V299)&lt;&gt;0)),1,0)</f>
        <v>0</v>
      </c>
      <c r="U1499" s="1" t="n">
        <f aca="false">N(U1498)+$T1499</f>
        <v>28</v>
      </c>
      <c r="V1499" s="1" t="n">
        <f aca="false">IF(AND($L1499=1,AND(对接源_02物料!$X299="自备筐",N(对接源_02物料!$V299)&lt;&gt;0)),1,0)</f>
        <v>0</v>
      </c>
      <c r="W1499" s="1" t="n">
        <f aca="false">N(W1498)+$V1499</f>
        <v>7</v>
      </c>
      <c r="X1499" s="1" t="n">
        <f aca="false">IF(AND($L1499=1,AND(对接源_02物料!$X299="自备筐",N(对接源_02物料!$T299)&lt;&gt;0)),1,0)</f>
        <v>0</v>
      </c>
      <c r="Y1499" s="1" t="n">
        <f aca="false">N(Y1498)+$X1499</f>
        <v>0</v>
      </c>
      <c r="Z1499" s="1" t="n">
        <f aca="false">IF(AND($M1499=1,对接源_02物料!$D299="原料入库"),1,0)</f>
        <v>0</v>
      </c>
      <c r="AA1499" s="1" t="n">
        <f aca="false">N(AA1498)+$Z1499</f>
        <v>30</v>
      </c>
      <c r="AB1499" s="1" t="n">
        <f aca="false">IF(AND($M1499=1,LEFT(对接源_02物料!$D299,4)="原料出库"),1,0)</f>
        <v>0</v>
      </c>
      <c r="AC1499" s="1" t="n">
        <f aca="false">N(AC1498)+$AB1499</f>
        <v>19</v>
      </c>
      <c r="AD1499" s="1" t="n">
        <f aca="false">IF(AND($M1499=1,LEFT(对接源_02物料!$D299,4)="成品出库"),1,0)</f>
        <v>0</v>
      </c>
      <c r="AE1499" s="1" t="n">
        <f aca="false">N(AE1498)+$AD1499</f>
        <v>38</v>
      </c>
      <c r="AF1499" s="1" t="n">
        <f aca="false">IF(AND($N1499=1,AND(LEFT(对接源_02物料!$D299,4)="包装物料",N(对接源_02物料!$K299)&lt;&gt;0)),1,0)</f>
        <v>0</v>
      </c>
      <c r="AG1499" s="1" t="n">
        <f aca="false">N(AG1498)+$AF1499</f>
        <v>6</v>
      </c>
      <c r="AH1499" s="1" t="n">
        <f aca="false">IF(AND($N1499=1,AND(LEFT(对接源_02物料!$D299,3)="周转筐",N(对接源_02物料!$K299)&lt;&gt;0)),1,0)</f>
        <v>0</v>
      </c>
      <c r="AI1499" s="1" t="n">
        <f aca="false">N(AI1498)+$AH1499</f>
        <v>0</v>
      </c>
      <c r="AJ1499" s="1" t="n">
        <v>0</v>
      </c>
      <c r="AK1499" s="1" t="n">
        <f aca="false">N(AK1498)+$AJ1499</f>
        <v>3672</v>
      </c>
    </row>
    <row r="1500" customFormat="false" ht="13.5" hidden="false" customHeight="false" outlineLevel="0" collapsed="false">
      <c r="A1500" s="1" t="str">
        <f aca="false">IF(对接源_02物料!$C300="","",对接源_02物料!$C300)</f>
        <v/>
      </c>
      <c r="B1500" s="1" t="n">
        <f aca="false">IF(A1500="",0,IF(MATCH(A1500,$A$4:$A$2403,0)=ROW()-3,1,0))</f>
        <v>0</v>
      </c>
      <c r="C1500" s="1" t="n">
        <f aca="false">N(C1499)+B1500</f>
        <v>17</v>
      </c>
      <c r="K1500" s="1" t="n">
        <f aca="false">IF(OR($K$1="",对接源_02物料!$C300="",对接源_02物料!$C300&lt;&gt;$K$1,对接源_02物料!$B300=""),0,IF(OR(N(对接源_02物料!$B300)&lt;$K$2,N(对接源_02物料!$B300)&gt;$K$3),0,1))</f>
        <v>0</v>
      </c>
      <c r="L1500" s="1" t="n">
        <f aca="false">IF(OR($L$1="",对接源_02物料!$C300="",对接源_02物料!$C300&lt;&gt;$L$1,对接源_02物料!$B300=""),0,IF(OR(N(对接源_02物料!$B300)&lt;$L$2,N(对接源_02物料!$B300)&gt;$L$3),0,1))</f>
        <v>0</v>
      </c>
      <c r="M1500" s="1" t="n">
        <f aca="false">IF(OR($M$1="",对接源_02物料!$C300="",对接源_02物料!$C300&lt;&gt;$M$1,对接源_02物料!$B300=""),0,IF(OR(N(对接源_02物料!$B300)&lt;$M$2,N(对接源_02物料!$B300)&gt;$M$3),0,1))</f>
        <v>0</v>
      </c>
      <c r="N1500" s="1" t="n">
        <f aca="false">IF(OR($N$1="",对接源_02物料!$C300="",对接源_02物料!$C300&lt;&gt;$N$1,对接源_02物料!$B300=""),0,IF(OR(N(对接源_02物料!$B300)&lt;$N$2,N(对接源_02物料!$B300)&gt;$N$3),0,1))</f>
        <v>0</v>
      </c>
      <c r="P1500" s="1" t="n">
        <f aca="false">IF(AND($K1500=1,AND(对接源_02物料!$X300="公司筐",N(对接源_02物料!$T300)&lt;&gt;0)),1,0)</f>
        <v>0</v>
      </c>
      <c r="Q1500" s="1" t="n">
        <f aca="false">N(Q1499)+$P1500</f>
        <v>13</v>
      </c>
      <c r="R1500" s="1" t="n">
        <f aca="false">IF(AND($K1500=1,AND(对接源_02物料!$X300="公司筐",N(对接源_02物料!$U300)&lt;&gt;0)),1,0)</f>
        <v>0</v>
      </c>
      <c r="S1500" s="1" t="n">
        <f aca="false">N(S1499)+$R1500</f>
        <v>5</v>
      </c>
      <c r="T1500" s="1" t="n">
        <f aca="false">IF(AND($K1500=1,AND(对接源_02物料!$X300="公司筐",N(对接源_02物料!$V300)&lt;&gt;0)),1,0)</f>
        <v>0</v>
      </c>
      <c r="U1500" s="1" t="n">
        <f aca="false">N(U1499)+$T1500</f>
        <v>28</v>
      </c>
      <c r="V1500" s="1" t="n">
        <f aca="false">IF(AND($L1500=1,AND(对接源_02物料!$X300="自备筐",N(对接源_02物料!$V300)&lt;&gt;0)),1,0)</f>
        <v>0</v>
      </c>
      <c r="W1500" s="1" t="n">
        <f aca="false">N(W1499)+$V1500</f>
        <v>7</v>
      </c>
      <c r="X1500" s="1" t="n">
        <f aca="false">IF(AND($L1500=1,AND(对接源_02物料!$X300="自备筐",N(对接源_02物料!$T300)&lt;&gt;0)),1,0)</f>
        <v>0</v>
      </c>
      <c r="Y1500" s="1" t="n">
        <f aca="false">N(Y1499)+$X1500</f>
        <v>0</v>
      </c>
      <c r="Z1500" s="1" t="n">
        <f aca="false">IF(AND($M1500=1,对接源_02物料!$D300="原料入库"),1,0)</f>
        <v>0</v>
      </c>
      <c r="AA1500" s="1" t="n">
        <f aca="false">N(AA1499)+$Z1500</f>
        <v>30</v>
      </c>
      <c r="AB1500" s="1" t="n">
        <f aca="false">IF(AND($M1500=1,LEFT(对接源_02物料!$D300,4)="原料出库"),1,0)</f>
        <v>0</v>
      </c>
      <c r="AC1500" s="1" t="n">
        <f aca="false">N(AC1499)+$AB1500</f>
        <v>19</v>
      </c>
      <c r="AD1500" s="1" t="n">
        <f aca="false">IF(AND($M1500=1,LEFT(对接源_02物料!$D300,4)="成品出库"),1,0)</f>
        <v>0</v>
      </c>
      <c r="AE1500" s="1" t="n">
        <f aca="false">N(AE1499)+$AD1500</f>
        <v>38</v>
      </c>
      <c r="AF1500" s="1" t="n">
        <f aca="false">IF(AND($N1500=1,AND(LEFT(对接源_02物料!$D300,4)="包装物料",N(对接源_02物料!$K300)&lt;&gt;0)),1,0)</f>
        <v>0</v>
      </c>
      <c r="AG1500" s="1" t="n">
        <f aca="false">N(AG1499)+$AF1500</f>
        <v>6</v>
      </c>
      <c r="AH1500" s="1" t="n">
        <f aca="false">IF(AND($N1500=1,AND(LEFT(对接源_02物料!$D300,3)="周转筐",N(对接源_02物料!$K300)&lt;&gt;0)),1,0)</f>
        <v>0</v>
      </c>
      <c r="AI1500" s="1" t="n">
        <f aca="false">N(AI1499)+$AH1500</f>
        <v>0</v>
      </c>
      <c r="AJ1500" s="1" t="n">
        <v>0</v>
      </c>
      <c r="AK1500" s="1" t="n">
        <f aca="false">N(AK1499)+$AJ1500</f>
        <v>3672</v>
      </c>
    </row>
    <row r="1501" customFormat="false" ht="13.5" hidden="false" customHeight="false" outlineLevel="0" collapsed="false">
      <c r="A1501" s="1" t="str">
        <f aca="false">IF(对接源_02物料!$C301="","",对接源_02物料!$C301)</f>
        <v/>
      </c>
      <c r="B1501" s="1" t="n">
        <f aca="false">IF(A1501="",0,IF(MATCH(A1501,$A$4:$A$2403,0)=ROW()-3,1,0))</f>
        <v>0</v>
      </c>
      <c r="C1501" s="1" t="n">
        <f aca="false">N(C1500)+B1501</f>
        <v>17</v>
      </c>
      <c r="K1501" s="1" t="n">
        <f aca="false">IF(OR($K$1="",对接源_02物料!$C301="",对接源_02物料!$C301&lt;&gt;$K$1,对接源_02物料!$B301=""),0,IF(OR(N(对接源_02物料!$B301)&lt;$K$2,N(对接源_02物料!$B301)&gt;$K$3),0,1))</f>
        <v>0</v>
      </c>
      <c r="L1501" s="1" t="n">
        <f aca="false">IF(OR($L$1="",对接源_02物料!$C301="",对接源_02物料!$C301&lt;&gt;$L$1,对接源_02物料!$B301=""),0,IF(OR(N(对接源_02物料!$B301)&lt;$L$2,N(对接源_02物料!$B301)&gt;$L$3),0,1))</f>
        <v>0</v>
      </c>
      <c r="M1501" s="1" t="n">
        <f aca="false">IF(OR($M$1="",对接源_02物料!$C301="",对接源_02物料!$C301&lt;&gt;$M$1,对接源_02物料!$B301=""),0,IF(OR(N(对接源_02物料!$B301)&lt;$M$2,N(对接源_02物料!$B301)&gt;$M$3),0,1))</f>
        <v>0</v>
      </c>
      <c r="N1501" s="1" t="n">
        <f aca="false">IF(OR($N$1="",对接源_02物料!$C301="",对接源_02物料!$C301&lt;&gt;$N$1,对接源_02物料!$B301=""),0,IF(OR(N(对接源_02物料!$B301)&lt;$N$2,N(对接源_02物料!$B301)&gt;$N$3),0,1))</f>
        <v>0</v>
      </c>
      <c r="P1501" s="1" t="n">
        <f aca="false">IF(AND($K1501=1,AND(对接源_02物料!$X301="公司筐",N(对接源_02物料!$T301)&lt;&gt;0)),1,0)</f>
        <v>0</v>
      </c>
      <c r="Q1501" s="1" t="n">
        <f aca="false">N(Q1500)+$P1501</f>
        <v>13</v>
      </c>
      <c r="R1501" s="1" t="n">
        <f aca="false">IF(AND($K1501=1,AND(对接源_02物料!$X301="公司筐",N(对接源_02物料!$U301)&lt;&gt;0)),1,0)</f>
        <v>0</v>
      </c>
      <c r="S1501" s="1" t="n">
        <f aca="false">N(S1500)+$R1501</f>
        <v>5</v>
      </c>
      <c r="T1501" s="1" t="n">
        <f aca="false">IF(AND($K1501=1,AND(对接源_02物料!$X301="公司筐",N(对接源_02物料!$V301)&lt;&gt;0)),1,0)</f>
        <v>0</v>
      </c>
      <c r="U1501" s="1" t="n">
        <f aca="false">N(U1500)+$T1501</f>
        <v>28</v>
      </c>
      <c r="V1501" s="1" t="n">
        <f aca="false">IF(AND($L1501=1,AND(对接源_02物料!$X301="自备筐",N(对接源_02物料!$V301)&lt;&gt;0)),1,0)</f>
        <v>0</v>
      </c>
      <c r="W1501" s="1" t="n">
        <f aca="false">N(W1500)+$V1501</f>
        <v>7</v>
      </c>
      <c r="X1501" s="1" t="n">
        <f aca="false">IF(AND($L1501=1,AND(对接源_02物料!$X301="自备筐",N(对接源_02物料!$T301)&lt;&gt;0)),1,0)</f>
        <v>0</v>
      </c>
      <c r="Y1501" s="1" t="n">
        <f aca="false">N(Y1500)+$X1501</f>
        <v>0</v>
      </c>
      <c r="Z1501" s="1" t="n">
        <f aca="false">IF(AND($M1501=1,对接源_02物料!$D301="原料入库"),1,0)</f>
        <v>0</v>
      </c>
      <c r="AA1501" s="1" t="n">
        <f aca="false">N(AA1500)+$Z1501</f>
        <v>30</v>
      </c>
      <c r="AB1501" s="1" t="n">
        <f aca="false">IF(AND($M1501=1,LEFT(对接源_02物料!$D301,4)="原料出库"),1,0)</f>
        <v>0</v>
      </c>
      <c r="AC1501" s="1" t="n">
        <f aca="false">N(AC1500)+$AB1501</f>
        <v>19</v>
      </c>
      <c r="AD1501" s="1" t="n">
        <f aca="false">IF(AND($M1501=1,LEFT(对接源_02物料!$D301,4)="成品出库"),1,0)</f>
        <v>0</v>
      </c>
      <c r="AE1501" s="1" t="n">
        <f aca="false">N(AE1500)+$AD1501</f>
        <v>38</v>
      </c>
      <c r="AF1501" s="1" t="n">
        <f aca="false">IF(AND($N1501=1,AND(LEFT(对接源_02物料!$D301,4)="包装物料",N(对接源_02物料!$K301)&lt;&gt;0)),1,0)</f>
        <v>0</v>
      </c>
      <c r="AG1501" s="1" t="n">
        <f aca="false">N(AG1500)+$AF1501</f>
        <v>6</v>
      </c>
      <c r="AH1501" s="1" t="n">
        <f aca="false">IF(AND($N1501=1,AND(LEFT(对接源_02物料!$D301,3)="周转筐",N(对接源_02物料!$K301)&lt;&gt;0)),1,0)</f>
        <v>0</v>
      </c>
      <c r="AI1501" s="1" t="n">
        <f aca="false">N(AI1500)+$AH1501</f>
        <v>0</v>
      </c>
      <c r="AJ1501" s="1" t="n">
        <v>0</v>
      </c>
      <c r="AK1501" s="1" t="n">
        <f aca="false">N(AK1500)+$AJ1501</f>
        <v>3672</v>
      </c>
    </row>
    <row r="1502" customFormat="false" ht="13.5" hidden="false" customHeight="false" outlineLevel="0" collapsed="false">
      <c r="A1502" s="1" t="str">
        <f aca="false">IF(对接源_02物料!$C302="","",对接源_02物料!$C302)</f>
        <v/>
      </c>
      <c r="B1502" s="1" t="n">
        <f aca="false">IF(A1502="",0,IF(MATCH(A1502,$A$4:$A$2403,0)=ROW()-3,1,0))</f>
        <v>0</v>
      </c>
      <c r="C1502" s="1" t="n">
        <f aca="false">N(C1501)+B1502</f>
        <v>17</v>
      </c>
      <c r="K1502" s="1" t="n">
        <f aca="false">IF(OR($K$1="",对接源_02物料!$C302="",对接源_02物料!$C302&lt;&gt;$K$1,对接源_02物料!$B302=""),0,IF(OR(N(对接源_02物料!$B302)&lt;$K$2,N(对接源_02物料!$B302)&gt;$K$3),0,1))</f>
        <v>0</v>
      </c>
      <c r="L1502" s="1" t="n">
        <f aca="false">IF(OR($L$1="",对接源_02物料!$C302="",对接源_02物料!$C302&lt;&gt;$L$1,对接源_02物料!$B302=""),0,IF(OR(N(对接源_02物料!$B302)&lt;$L$2,N(对接源_02物料!$B302)&gt;$L$3),0,1))</f>
        <v>0</v>
      </c>
      <c r="M1502" s="1" t="n">
        <f aca="false">IF(OR($M$1="",对接源_02物料!$C302="",对接源_02物料!$C302&lt;&gt;$M$1,对接源_02物料!$B302=""),0,IF(OR(N(对接源_02物料!$B302)&lt;$M$2,N(对接源_02物料!$B302)&gt;$M$3),0,1))</f>
        <v>0</v>
      </c>
      <c r="N1502" s="1" t="n">
        <f aca="false">IF(OR($N$1="",对接源_02物料!$C302="",对接源_02物料!$C302&lt;&gt;$N$1,对接源_02物料!$B302=""),0,IF(OR(N(对接源_02物料!$B302)&lt;$N$2,N(对接源_02物料!$B302)&gt;$N$3),0,1))</f>
        <v>0</v>
      </c>
      <c r="P1502" s="1" t="n">
        <f aca="false">IF(AND($K1502=1,AND(对接源_02物料!$X302="公司筐",N(对接源_02物料!$T302)&lt;&gt;0)),1,0)</f>
        <v>0</v>
      </c>
      <c r="Q1502" s="1" t="n">
        <f aca="false">N(Q1501)+$P1502</f>
        <v>13</v>
      </c>
      <c r="R1502" s="1" t="n">
        <f aca="false">IF(AND($K1502=1,AND(对接源_02物料!$X302="公司筐",N(对接源_02物料!$U302)&lt;&gt;0)),1,0)</f>
        <v>0</v>
      </c>
      <c r="S1502" s="1" t="n">
        <f aca="false">N(S1501)+$R1502</f>
        <v>5</v>
      </c>
      <c r="T1502" s="1" t="n">
        <f aca="false">IF(AND($K1502=1,AND(对接源_02物料!$X302="公司筐",N(对接源_02物料!$V302)&lt;&gt;0)),1,0)</f>
        <v>0</v>
      </c>
      <c r="U1502" s="1" t="n">
        <f aca="false">N(U1501)+$T1502</f>
        <v>28</v>
      </c>
      <c r="V1502" s="1" t="n">
        <f aca="false">IF(AND($L1502=1,AND(对接源_02物料!$X302="自备筐",N(对接源_02物料!$V302)&lt;&gt;0)),1,0)</f>
        <v>0</v>
      </c>
      <c r="W1502" s="1" t="n">
        <f aca="false">N(W1501)+$V1502</f>
        <v>7</v>
      </c>
      <c r="X1502" s="1" t="n">
        <f aca="false">IF(AND($L1502=1,AND(对接源_02物料!$X302="自备筐",N(对接源_02物料!$T302)&lt;&gt;0)),1,0)</f>
        <v>0</v>
      </c>
      <c r="Y1502" s="1" t="n">
        <f aca="false">N(Y1501)+$X1502</f>
        <v>0</v>
      </c>
      <c r="Z1502" s="1" t="n">
        <f aca="false">IF(AND($M1502=1,对接源_02物料!$D302="原料入库"),1,0)</f>
        <v>0</v>
      </c>
      <c r="AA1502" s="1" t="n">
        <f aca="false">N(AA1501)+$Z1502</f>
        <v>30</v>
      </c>
      <c r="AB1502" s="1" t="n">
        <f aca="false">IF(AND($M1502=1,LEFT(对接源_02物料!$D302,4)="原料出库"),1,0)</f>
        <v>0</v>
      </c>
      <c r="AC1502" s="1" t="n">
        <f aca="false">N(AC1501)+$AB1502</f>
        <v>19</v>
      </c>
      <c r="AD1502" s="1" t="n">
        <f aca="false">IF(AND($M1502=1,LEFT(对接源_02物料!$D302,4)="成品出库"),1,0)</f>
        <v>0</v>
      </c>
      <c r="AE1502" s="1" t="n">
        <f aca="false">N(AE1501)+$AD1502</f>
        <v>38</v>
      </c>
      <c r="AF1502" s="1" t="n">
        <f aca="false">IF(AND($N1502=1,AND(LEFT(对接源_02物料!$D302,4)="包装物料",N(对接源_02物料!$K302)&lt;&gt;0)),1,0)</f>
        <v>0</v>
      </c>
      <c r="AG1502" s="1" t="n">
        <f aca="false">N(AG1501)+$AF1502</f>
        <v>6</v>
      </c>
      <c r="AH1502" s="1" t="n">
        <f aca="false">IF(AND($N1502=1,AND(LEFT(对接源_02物料!$D302,3)="周转筐",N(对接源_02物料!$K302)&lt;&gt;0)),1,0)</f>
        <v>0</v>
      </c>
      <c r="AI1502" s="1" t="n">
        <f aca="false">N(AI1501)+$AH1502</f>
        <v>0</v>
      </c>
      <c r="AJ1502" s="1" t="n">
        <v>0</v>
      </c>
      <c r="AK1502" s="1" t="n">
        <f aca="false">N(AK1501)+$AJ1502</f>
        <v>3672</v>
      </c>
    </row>
    <row r="1503" customFormat="false" ht="13.5" hidden="false" customHeight="false" outlineLevel="0" collapsed="false">
      <c r="A1503" s="1" t="str">
        <f aca="false">IF(对接源_02物料!$C303="","",对接源_02物料!$C303)</f>
        <v/>
      </c>
      <c r="B1503" s="1" t="n">
        <f aca="false">IF(A1503="",0,IF(MATCH(A1503,$A$4:$A$2403,0)=ROW()-3,1,0))</f>
        <v>0</v>
      </c>
      <c r="C1503" s="1" t="n">
        <f aca="false">N(C1502)+B1503</f>
        <v>17</v>
      </c>
      <c r="K1503" s="1" t="n">
        <f aca="false">IF(OR($K$1="",对接源_02物料!$C303="",对接源_02物料!$C303&lt;&gt;$K$1,对接源_02物料!$B303=""),0,IF(OR(N(对接源_02物料!$B303)&lt;$K$2,N(对接源_02物料!$B303)&gt;$K$3),0,1))</f>
        <v>0</v>
      </c>
      <c r="L1503" s="1" t="n">
        <f aca="false">IF(OR($L$1="",对接源_02物料!$C303="",对接源_02物料!$C303&lt;&gt;$L$1,对接源_02物料!$B303=""),0,IF(OR(N(对接源_02物料!$B303)&lt;$L$2,N(对接源_02物料!$B303)&gt;$L$3),0,1))</f>
        <v>0</v>
      </c>
      <c r="M1503" s="1" t="n">
        <f aca="false">IF(OR($M$1="",对接源_02物料!$C303="",对接源_02物料!$C303&lt;&gt;$M$1,对接源_02物料!$B303=""),0,IF(OR(N(对接源_02物料!$B303)&lt;$M$2,N(对接源_02物料!$B303)&gt;$M$3),0,1))</f>
        <v>0</v>
      </c>
      <c r="N1503" s="1" t="n">
        <f aca="false">IF(OR($N$1="",对接源_02物料!$C303="",对接源_02物料!$C303&lt;&gt;$N$1,对接源_02物料!$B303=""),0,IF(OR(N(对接源_02物料!$B303)&lt;$N$2,N(对接源_02物料!$B303)&gt;$N$3),0,1))</f>
        <v>0</v>
      </c>
      <c r="P1503" s="1" t="n">
        <f aca="false">IF(AND($K1503=1,AND(对接源_02物料!$X303="公司筐",N(对接源_02物料!$T303)&lt;&gt;0)),1,0)</f>
        <v>0</v>
      </c>
      <c r="Q1503" s="1" t="n">
        <f aca="false">N(Q1502)+$P1503</f>
        <v>13</v>
      </c>
      <c r="R1503" s="1" t="n">
        <f aca="false">IF(AND($K1503=1,AND(对接源_02物料!$X303="公司筐",N(对接源_02物料!$U303)&lt;&gt;0)),1,0)</f>
        <v>0</v>
      </c>
      <c r="S1503" s="1" t="n">
        <f aca="false">N(S1502)+$R1503</f>
        <v>5</v>
      </c>
      <c r="T1503" s="1" t="n">
        <f aca="false">IF(AND($K1503=1,AND(对接源_02物料!$X303="公司筐",N(对接源_02物料!$V303)&lt;&gt;0)),1,0)</f>
        <v>0</v>
      </c>
      <c r="U1503" s="1" t="n">
        <f aca="false">N(U1502)+$T1503</f>
        <v>28</v>
      </c>
      <c r="V1503" s="1" t="n">
        <f aca="false">IF(AND($L1503=1,AND(对接源_02物料!$X303="自备筐",N(对接源_02物料!$V303)&lt;&gt;0)),1,0)</f>
        <v>0</v>
      </c>
      <c r="W1503" s="1" t="n">
        <f aca="false">N(W1502)+$V1503</f>
        <v>7</v>
      </c>
      <c r="X1503" s="1" t="n">
        <f aca="false">IF(AND($L1503=1,AND(对接源_02物料!$X303="自备筐",N(对接源_02物料!$T303)&lt;&gt;0)),1,0)</f>
        <v>0</v>
      </c>
      <c r="Y1503" s="1" t="n">
        <f aca="false">N(Y1502)+$X1503</f>
        <v>0</v>
      </c>
      <c r="Z1503" s="1" t="n">
        <f aca="false">IF(AND($M1503=1,对接源_02物料!$D303="原料入库"),1,0)</f>
        <v>0</v>
      </c>
      <c r="AA1503" s="1" t="n">
        <f aca="false">N(AA1502)+$Z1503</f>
        <v>30</v>
      </c>
      <c r="AB1503" s="1" t="n">
        <f aca="false">IF(AND($M1503=1,LEFT(对接源_02物料!$D303,4)="原料出库"),1,0)</f>
        <v>0</v>
      </c>
      <c r="AC1503" s="1" t="n">
        <f aca="false">N(AC1502)+$AB1503</f>
        <v>19</v>
      </c>
      <c r="AD1503" s="1" t="n">
        <f aca="false">IF(AND($M1503=1,LEFT(对接源_02物料!$D303,4)="成品出库"),1,0)</f>
        <v>0</v>
      </c>
      <c r="AE1503" s="1" t="n">
        <f aca="false">N(AE1502)+$AD1503</f>
        <v>38</v>
      </c>
      <c r="AF1503" s="1" t="n">
        <f aca="false">IF(AND($N1503=1,AND(LEFT(对接源_02物料!$D303,4)="包装物料",N(对接源_02物料!$K303)&lt;&gt;0)),1,0)</f>
        <v>0</v>
      </c>
      <c r="AG1503" s="1" t="n">
        <f aca="false">N(AG1502)+$AF1503</f>
        <v>6</v>
      </c>
      <c r="AH1503" s="1" t="n">
        <f aca="false">IF(AND($N1503=1,AND(LEFT(对接源_02物料!$D303,3)="周转筐",N(对接源_02物料!$K303)&lt;&gt;0)),1,0)</f>
        <v>0</v>
      </c>
      <c r="AI1503" s="1" t="n">
        <f aca="false">N(AI1502)+$AH1503</f>
        <v>0</v>
      </c>
      <c r="AJ1503" s="1" t="n">
        <v>0</v>
      </c>
      <c r="AK1503" s="1" t="n">
        <f aca="false">N(AK1502)+$AJ1503</f>
        <v>3672</v>
      </c>
    </row>
    <row r="1504" customFormat="false" ht="13.5" hidden="false" customHeight="false" outlineLevel="0" collapsed="false">
      <c r="A1504" s="1" t="str">
        <f aca="false">IF(对接源_02物料!$C304="","",对接源_02物料!$C304)</f>
        <v/>
      </c>
      <c r="B1504" s="1" t="n">
        <f aca="false">IF(A1504="",0,IF(MATCH(A1504,$A$4:$A$2403,0)=ROW()-3,1,0))</f>
        <v>0</v>
      </c>
      <c r="C1504" s="1" t="n">
        <f aca="false">N(C1503)+B1504</f>
        <v>17</v>
      </c>
      <c r="K1504" s="1" t="n">
        <f aca="false">IF(OR($K$1="",对接源_02物料!$C304="",对接源_02物料!$C304&lt;&gt;$K$1,对接源_02物料!$B304=""),0,IF(OR(N(对接源_02物料!$B304)&lt;$K$2,N(对接源_02物料!$B304)&gt;$K$3),0,1))</f>
        <v>0</v>
      </c>
      <c r="L1504" s="1" t="n">
        <f aca="false">IF(OR($L$1="",对接源_02物料!$C304="",对接源_02物料!$C304&lt;&gt;$L$1,对接源_02物料!$B304=""),0,IF(OR(N(对接源_02物料!$B304)&lt;$L$2,N(对接源_02物料!$B304)&gt;$L$3),0,1))</f>
        <v>0</v>
      </c>
      <c r="M1504" s="1" t="n">
        <f aca="false">IF(OR($M$1="",对接源_02物料!$C304="",对接源_02物料!$C304&lt;&gt;$M$1,对接源_02物料!$B304=""),0,IF(OR(N(对接源_02物料!$B304)&lt;$M$2,N(对接源_02物料!$B304)&gt;$M$3),0,1))</f>
        <v>0</v>
      </c>
      <c r="N1504" s="1" t="n">
        <f aca="false">IF(OR($N$1="",对接源_02物料!$C304="",对接源_02物料!$C304&lt;&gt;$N$1,对接源_02物料!$B304=""),0,IF(OR(N(对接源_02物料!$B304)&lt;$N$2,N(对接源_02物料!$B304)&gt;$N$3),0,1))</f>
        <v>0</v>
      </c>
      <c r="P1504" s="1" t="n">
        <f aca="false">IF(AND($K1504=1,AND(对接源_02物料!$X304="公司筐",N(对接源_02物料!$T304)&lt;&gt;0)),1,0)</f>
        <v>0</v>
      </c>
      <c r="Q1504" s="1" t="n">
        <f aca="false">N(Q1503)+$P1504</f>
        <v>13</v>
      </c>
      <c r="R1504" s="1" t="n">
        <f aca="false">IF(AND($K1504=1,AND(对接源_02物料!$X304="公司筐",N(对接源_02物料!$U304)&lt;&gt;0)),1,0)</f>
        <v>0</v>
      </c>
      <c r="S1504" s="1" t="n">
        <f aca="false">N(S1503)+$R1504</f>
        <v>5</v>
      </c>
      <c r="T1504" s="1" t="n">
        <f aca="false">IF(AND($K1504=1,AND(对接源_02物料!$X304="公司筐",N(对接源_02物料!$V304)&lt;&gt;0)),1,0)</f>
        <v>0</v>
      </c>
      <c r="U1504" s="1" t="n">
        <f aca="false">N(U1503)+$T1504</f>
        <v>28</v>
      </c>
      <c r="V1504" s="1" t="n">
        <f aca="false">IF(AND($L1504=1,AND(对接源_02物料!$X304="自备筐",N(对接源_02物料!$V304)&lt;&gt;0)),1,0)</f>
        <v>0</v>
      </c>
      <c r="W1504" s="1" t="n">
        <f aca="false">N(W1503)+$V1504</f>
        <v>7</v>
      </c>
      <c r="X1504" s="1" t="n">
        <f aca="false">IF(AND($L1504=1,AND(对接源_02物料!$X304="自备筐",N(对接源_02物料!$T304)&lt;&gt;0)),1,0)</f>
        <v>0</v>
      </c>
      <c r="Y1504" s="1" t="n">
        <f aca="false">N(Y1503)+$X1504</f>
        <v>0</v>
      </c>
      <c r="Z1504" s="1" t="n">
        <f aca="false">IF(AND($M1504=1,对接源_02物料!$D304="原料入库"),1,0)</f>
        <v>0</v>
      </c>
      <c r="AA1504" s="1" t="n">
        <f aca="false">N(AA1503)+$Z1504</f>
        <v>30</v>
      </c>
      <c r="AB1504" s="1" t="n">
        <f aca="false">IF(AND($M1504=1,LEFT(对接源_02物料!$D304,4)="原料出库"),1,0)</f>
        <v>0</v>
      </c>
      <c r="AC1504" s="1" t="n">
        <f aca="false">N(AC1503)+$AB1504</f>
        <v>19</v>
      </c>
      <c r="AD1504" s="1" t="n">
        <f aca="false">IF(AND($M1504=1,LEFT(对接源_02物料!$D304,4)="成品出库"),1,0)</f>
        <v>0</v>
      </c>
      <c r="AE1504" s="1" t="n">
        <f aca="false">N(AE1503)+$AD1504</f>
        <v>38</v>
      </c>
      <c r="AF1504" s="1" t="n">
        <f aca="false">IF(AND($N1504=1,AND(LEFT(对接源_02物料!$D304,4)="包装物料",N(对接源_02物料!$K304)&lt;&gt;0)),1,0)</f>
        <v>0</v>
      </c>
      <c r="AG1504" s="1" t="n">
        <f aca="false">N(AG1503)+$AF1504</f>
        <v>6</v>
      </c>
      <c r="AH1504" s="1" t="n">
        <f aca="false">IF(AND($N1504=1,AND(LEFT(对接源_02物料!$D304,3)="周转筐",N(对接源_02物料!$K304)&lt;&gt;0)),1,0)</f>
        <v>0</v>
      </c>
      <c r="AI1504" s="1" t="n">
        <f aca="false">N(AI1503)+$AH1504</f>
        <v>0</v>
      </c>
      <c r="AJ1504" s="1" t="n">
        <v>0</v>
      </c>
      <c r="AK1504" s="1" t="n">
        <f aca="false">N(AK1503)+$AJ1504</f>
        <v>3672</v>
      </c>
    </row>
    <row r="1505" customFormat="false" ht="13.5" hidden="false" customHeight="false" outlineLevel="0" collapsed="false">
      <c r="A1505" s="1" t="str">
        <f aca="false">IF(对接源_02物料!$C305="","",对接源_02物料!$C305)</f>
        <v/>
      </c>
      <c r="B1505" s="1" t="n">
        <f aca="false">IF(A1505="",0,IF(MATCH(A1505,$A$4:$A$2403,0)=ROW()-3,1,0))</f>
        <v>0</v>
      </c>
      <c r="C1505" s="1" t="n">
        <f aca="false">N(C1504)+B1505</f>
        <v>17</v>
      </c>
      <c r="K1505" s="1" t="n">
        <f aca="false">IF(OR($K$1="",对接源_02物料!$C305="",对接源_02物料!$C305&lt;&gt;$K$1,对接源_02物料!$B305=""),0,IF(OR(N(对接源_02物料!$B305)&lt;$K$2,N(对接源_02物料!$B305)&gt;$K$3),0,1))</f>
        <v>0</v>
      </c>
      <c r="L1505" s="1" t="n">
        <f aca="false">IF(OR($L$1="",对接源_02物料!$C305="",对接源_02物料!$C305&lt;&gt;$L$1,对接源_02物料!$B305=""),0,IF(OR(N(对接源_02物料!$B305)&lt;$L$2,N(对接源_02物料!$B305)&gt;$L$3),0,1))</f>
        <v>0</v>
      </c>
      <c r="M1505" s="1" t="n">
        <f aca="false">IF(OR($M$1="",对接源_02物料!$C305="",对接源_02物料!$C305&lt;&gt;$M$1,对接源_02物料!$B305=""),0,IF(OR(N(对接源_02物料!$B305)&lt;$M$2,N(对接源_02物料!$B305)&gt;$M$3),0,1))</f>
        <v>0</v>
      </c>
      <c r="N1505" s="1" t="n">
        <f aca="false">IF(OR($N$1="",对接源_02物料!$C305="",对接源_02物料!$C305&lt;&gt;$N$1,对接源_02物料!$B305=""),0,IF(OR(N(对接源_02物料!$B305)&lt;$N$2,N(对接源_02物料!$B305)&gt;$N$3),0,1))</f>
        <v>0</v>
      </c>
      <c r="P1505" s="1" t="n">
        <f aca="false">IF(AND($K1505=1,AND(对接源_02物料!$X305="公司筐",N(对接源_02物料!$T305)&lt;&gt;0)),1,0)</f>
        <v>0</v>
      </c>
      <c r="Q1505" s="1" t="n">
        <f aca="false">N(Q1504)+$P1505</f>
        <v>13</v>
      </c>
      <c r="R1505" s="1" t="n">
        <f aca="false">IF(AND($K1505=1,AND(对接源_02物料!$X305="公司筐",N(对接源_02物料!$U305)&lt;&gt;0)),1,0)</f>
        <v>0</v>
      </c>
      <c r="S1505" s="1" t="n">
        <f aca="false">N(S1504)+$R1505</f>
        <v>5</v>
      </c>
      <c r="T1505" s="1" t="n">
        <f aca="false">IF(AND($K1505=1,AND(对接源_02物料!$X305="公司筐",N(对接源_02物料!$V305)&lt;&gt;0)),1,0)</f>
        <v>0</v>
      </c>
      <c r="U1505" s="1" t="n">
        <f aca="false">N(U1504)+$T1505</f>
        <v>28</v>
      </c>
      <c r="V1505" s="1" t="n">
        <f aca="false">IF(AND($L1505=1,AND(对接源_02物料!$X305="自备筐",N(对接源_02物料!$V305)&lt;&gt;0)),1,0)</f>
        <v>0</v>
      </c>
      <c r="W1505" s="1" t="n">
        <f aca="false">N(W1504)+$V1505</f>
        <v>7</v>
      </c>
      <c r="X1505" s="1" t="n">
        <f aca="false">IF(AND($L1505=1,AND(对接源_02物料!$X305="自备筐",N(对接源_02物料!$T305)&lt;&gt;0)),1,0)</f>
        <v>0</v>
      </c>
      <c r="Y1505" s="1" t="n">
        <f aca="false">N(Y1504)+$X1505</f>
        <v>0</v>
      </c>
      <c r="Z1505" s="1" t="n">
        <f aca="false">IF(AND($M1505=1,对接源_02物料!$D305="原料入库"),1,0)</f>
        <v>0</v>
      </c>
      <c r="AA1505" s="1" t="n">
        <f aca="false">N(AA1504)+$Z1505</f>
        <v>30</v>
      </c>
      <c r="AB1505" s="1" t="n">
        <f aca="false">IF(AND($M1505=1,LEFT(对接源_02物料!$D305,4)="原料出库"),1,0)</f>
        <v>0</v>
      </c>
      <c r="AC1505" s="1" t="n">
        <f aca="false">N(AC1504)+$AB1505</f>
        <v>19</v>
      </c>
      <c r="AD1505" s="1" t="n">
        <f aca="false">IF(AND($M1505=1,LEFT(对接源_02物料!$D305,4)="成品出库"),1,0)</f>
        <v>0</v>
      </c>
      <c r="AE1505" s="1" t="n">
        <f aca="false">N(AE1504)+$AD1505</f>
        <v>38</v>
      </c>
      <c r="AF1505" s="1" t="n">
        <f aca="false">IF(AND($N1505=1,AND(LEFT(对接源_02物料!$D305,4)="包装物料",N(对接源_02物料!$K305)&lt;&gt;0)),1,0)</f>
        <v>0</v>
      </c>
      <c r="AG1505" s="1" t="n">
        <f aca="false">N(AG1504)+$AF1505</f>
        <v>6</v>
      </c>
      <c r="AH1505" s="1" t="n">
        <f aca="false">IF(AND($N1505=1,AND(LEFT(对接源_02物料!$D305,3)="周转筐",N(对接源_02物料!$K305)&lt;&gt;0)),1,0)</f>
        <v>0</v>
      </c>
      <c r="AI1505" s="1" t="n">
        <f aca="false">N(AI1504)+$AH1505</f>
        <v>0</v>
      </c>
      <c r="AJ1505" s="1" t="n">
        <v>0</v>
      </c>
      <c r="AK1505" s="1" t="n">
        <f aca="false">N(AK1504)+$AJ1505</f>
        <v>3672</v>
      </c>
    </row>
    <row r="1506" customFormat="false" ht="13.5" hidden="false" customHeight="false" outlineLevel="0" collapsed="false">
      <c r="A1506" s="1" t="str">
        <f aca="false">IF(对接源_02物料!$C306="","",对接源_02物料!$C306)</f>
        <v/>
      </c>
      <c r="B1506" s="1" t="n">
        <f aca="false">IF(A1506="",0,IF(MATCH(A1506,$A$4:$A$2403,0)=ROW()-3,1,0))</f>
        <v>0</v>
      </c>
      <c r="C1506" s="1" t="n">
        <f aca="false">N(C1505)+B1506</f>
        <v>17</v>
      </c>
      <c r="K1506" s="1" t="n">
        <f aca="false">IF(OR($K$1="",对接源_02物料!$C306="",对接源_02物料!$C306&lt;&gt;$K$1,对接源_02物料!$B306=""),0,IF(OR(N(对接源_02物料!$B306)&lt;$K$2,N(对接源_02物料!$B306)&gt;$K$3),0,1))</f>
        <v>0</v>
      </c>
      <c r="L1506" s="1" t="n">
        <f aca="false">IF(OR($L$1="",对接源_02物料!$C306="",对接源_02物料!$C306&lt;&gt;$L$1,对接源_02物料!$B306=""),0,IF(OR(N(对接源_02物料!$B306)&lt;$L$2,N(对接源_02物料!$B306)&gt;$L$3),0,1))</f>
        <v>0</v>
      </c>
      <c r="M1506" s="1" t="n">
        <f aca="false">IF(OR($M$1="",对接源_02物料!$C306="",对接源_02物料!$C306&lt;&gt;$M$1,对接源_02物料!$B306=""),0,IF(OR(N(对接源_02物料!$B306)&lt;$M$2,N(对接源_02物料!$B306)&gt;$M$3),0,1))</f>
        <v>0</v>
      </c>
      <c r="N1506" s="1" t="n">
        <f aca="false">IF(OR($N$1="",对接源_02物料!$C306="",对接源_02物料!$C306&lt;&gt;$N$1,对接源_02物料!$B306=""),0,IF(OR(N(对接源_02物料!$B306)&lt;$N$2,N(对接源_02物料!$B306)&gt;$N$3),0,1))</f>
        <v>0</v>
      </c>
      <c r="P1506" s="1" t="n">
        <f aca="false">IF(AND($K1506=1,AND(对接源_02物料!$X306="公司筐",N(对接源_02物料!$T306)&lt;&gt;0)),1,0)</f>
        <v>0</v>
      </c>
      <c r="Q1506" s="1" t="n">
        <f aca="false">N(Q1505)+$P1506</f>
        <v>13</v>
      </c>
      <c r="R1506" s="1" t="n">
        <f aca="false">IF(AND($K1506=1,AND(对接源_02物料!$X306="公司筐",N(对接源_02物料!$U306)&lt;&gt;0)),1,0)</f>
        <v>0</v>
      </c>
      <c r="S1506" s="1" t="n">
        <f aca="false">N(S1505)+$R1506</f>
        <v>5</v>
      </c>
      <c r="T1506" s="1" t="n">
        <f aca="false">IF(AND($K1506=1,AND(对接源_02物料!$X306="公司筐",N(对接源_02物料!$V306)&lt;&gt;0)),1,0)</f>
        <v>0</v>
      </c>
      <c r="U1506" s="1" t="n">
        <f aca="false">N(U1505)+$T1506</f>
        <v>28</v>
      </c>
      <c r="V1506" s="1" t="n">
        <f aca="false">IF(AND($L1506=1,AND(对接源_02物料!$X306="自备筐",N(对接源_02物料!$V306)&lt;&gt;0)),1,0)</f>
        <v>0</v>
      </c>
      <c r="W1506" s="1" t="n">
        <f aca="false">N(W1505)+$V1506</f>
        <v>7</v>
      </c>
      <c r="X1506" s="1" t="n">
        <f aca="false">IF(AND($L1506=1,AND(对接源_02物料!$X306="自备筐",N(对接源_02物料!$T306)&lt;&gt;0)),1,0)</f>
        <v>0</v>
      </c>
      <c r="Y1506" s="1" t="n">
        <f aca="false">N(Y1505)+$X1506</f>
        <v>0</v>
      </c>
      <c r="Z1506" s="1" t="n">
        <f aca="false">IF(AND($M1506=1,对接源_02物料!$D306="原料入库"),1,0)</f>
        <v>0</v>
      </c>
      <c r="AA1506" s="1" t="n">
        <f aca="false">N(AA1505)+$Z1506</f>
        <v>30</v>
      </c>
      <c r="AB1506" s="1" t="n">
        <f aca="false">IF(AND($M1506=1,LEFT(对接源_02物料!$D306,4)="原料出库"),1,0)</f>
        <v>0</v>
      </c>
      <c r="AC1506" s="1" t="n">
        <f aca="false">N(AC1505)+$AB1506</f>
        <v>19</v>
      </c>
      <c r="AD1506" s="1" t="n">
        <f aca="false">IF(AND($M1506=1,LEFT(对接源_02物料!$D306,4)="成品出库"),1,0)</f>
        <v>0</v>
      </c>
      <c r="AE1506" s="1" t="n">
        <f aca="false">N(AE1505)+$AD1506</f>
        <v>38</v>
      </c>
      <c r="AF1506" s="1" t="n">
        <f aca="false">IF(AND($N1506=1,AND(LEFT(对接源_02物料!$D306,4)="包装物料",N(对接源_02物料!$K306)&lt;&gt;0)),1,0)</f>
        <v>0</v>
      </c>
      <c r="AG1506" s="1" t="n">
        <f aca="false">N(AG1505)+$AF1506</f>
        <v>6</v>
      </c>
      <c r="AH1506" s="1" t="n">
        <f aca="false">IF(AND($N1506=1,AND(LEFT(对接源_02物料!$D306,3)="周转筐",N(对接源_02物料!$K306)&lt;&gt;0)),1,0)</f>
        <v>0</v>
      </c>
      <c r="AI1506" s="1" t="n">
        <f aca="false">N(AI1505)+$AH1506</f>
        <v>0</v>
      </c>
      <c r="AJ1506" s="1" t="n">
        <v>0</v>
      </c>
      <c r="AK1506" s="1" t="n">
        <f aca="false">N(AK1505)+$AJ1506</f>
        <v>3672</v>
      </c>
    </row>
    <row r="1507" customFormat="false" ht="13.5" hidden="false" customHeight="false" outlineLevel="0" collapsed="false">
      <c r="A1507" s="1" t="str">
        <f aca="false">IF(对接源_02物料!$C307="","",对接源_02物料!$C307)</f>
        <v/>
      </c>
      <c r="B1507" s="1" t="n">
        <f aca="false">IF(A1507="",0,IF(MATCH(A1507,$A$4:$A$2403,0)=ROW()-3,1,0))</f>
        <v>0</v>
      </c>
      <c r="C1507" s="1" t="n">
        <f aca="false">N(C1506)+B1507</f>
        <v>17</v>
      </c>
      <c r="K1507" s="1" t="n">
        <f aca="false">IF(OR($K$1="",对接源_02物料!$C307="",对接源_02物料!$C307&lt;&gt;$K$1,对接源_02物料!$B307=""),0,IF(OR(N(对接源_02物料!$B307)&lt;$K$2,N(对接源_02物料!$B307)&gt;$K$3),0,1))</f>
        <v>0</v>
      </c>
      <c r="L1507" s="1" t="n">
        <f aca="false">IF(OR($L$1="",对接源_02物料!$C307="",对接源_02物料!$C307&lt;&gt;$L$1,对接源_02物料!$B307=""),0,IF(OR(N(对接源_02物料!$B307)&lt;$L$2,N(对接源_02物料!$B307)&gt;$L$3),0,1))</f>
        <v>0</v>
      </c>
      <c r="M1507" s="1" t="n">
        <f aca="false">IF(OR($M$1="",对接源_02物料!$C307="",对接源_02物料!$C307&lt;&gt;$M$1,对接源_02物料!$B307=""),0,IF(OR(N(对接源_02物料!$B307)&lt;$M$2,N(对接源_02物料!$B307)&gt;$M$3),0,1))</f>
        <v>0</v>
      </c>
      <c r="N1507" s="1" t="n">
        <f aca="false">IF(OR($N$1="",对接源_02物料!$C307="",对接源_02物料!$C307&lt;&gt;$N$1,对接源_02物料!$B307=""),0,IF(OR(N(对接源_02物料!$B307)&lt;$N$2,N(对接源_02物料!$B307)&gt;$N$3),0,1))</f>
        <v>0</v>
      </c>
      <c r="P1507" s="1" t="n">
        <f aca="false">IF(AND($K1507=1,AND(对接源_02物料!$X307="公司筐",N(对接源_02物料!$T307)&lt;&gt;0)),1,0)</f>
        <v>0</v>
      </c>
      <c r="Q1507" s="1" t="n">
        <f aca="false">N(Q1506)+$P1507</f>
        <v>13</v>
      </c>
      <c r="R1507" s="1" t="n">
        <f aca="false">IF(AND($K1507=1,AND(对接源_02物料!$X307="公司筐",N(对接源_02物料!$U307)&lt;&gt;0)),1,0)</f>
        <v>0</v>
      </c>
      <c r="S1507" s="1" t="n">
        <f aca="false">N(S1506)+$R1507</f>
        <v>5</v>
      </c>
      <c r="T1507" s="1" t="n">
        <f aca="false">IF(AND($K1507=1,AND(对接源_02物料!$X307="公司筐",N(对接源_02物料!$V307)&lt;&gt;0)),1,0)</f>
        <v>0</v>
      </c>
      <c r="U1507" s="1" t="n">
        <f aca="false">N(U1506)+$T1507</f>
        <v>28</v>
      </c>
      <c r="V1507" s="1" t="n">
        <f aca="false">IF(AND($L1507=1,AND(对接源_02物料!$X307="自备筐",N(对接源_02物料!$V307)&lt;&gt;0)),1,0)</f>
        <v>0</v>
      </c>
      <c r="W1507" s="1" t="n">
        <f aca="false">N(W1506)+$V1507</f>
        <v>7</v>
      </c>
      <c r="X1507" s="1" t="n">
        <f aca="false">IF(AND($L1507=1,AND(对接源_02物料!$X307="自备筐",N(对接源_02物料!$T307)&lt;&gt;0)),1,0)</f>
        <v>0</v>
      </c>
      <c r="Y1507" s="1" t="n">
        <f aca="false">N(Y1506)+$X1507</f>
        <v>0</v>
      </c>
      <c r="Z1507" s="1" t="n">
        <f aca="false">IF(AND($M1507=1,对接源_02物料!$D307="原料入库"),1,0)</f>
        <v>0</v>
      </c>
      <c r="AA1507" s="1" t="n">
        <f aca="false">N(AA1506)+$Z1507</f>
        <v>30</v>
      </c>
      <c r="AB1507" s="1" t="n">
        <f aca="false">IF(AND($M1507=1,LEFT(对接源_02物料!$D307,4)="原料出库"),1,0)</f>
        <v>0</v>
      </c>
      <c r="AC1507" s="1" t="n">
        <f aca="false">N(AC1506)+$AB1507</f>
        <v>19</v>
      </c>
      <c r="AD1507" s="1" t="n">
        <f aca="false">IF(AND($M1507=1,LEFT(对接源_02物料!$D307,4)="成品出库"),1,0)</f>
        <v>0</v>
      </c>
      <c r="AE1507" s="1" t="n">
        <f aca="false">N(AE1506)+$AD1507</f>
        <v>38</v>
      </c>
      <c r="AF1507" s="1" t="n">
        <f aca="false">IF(AND($N1507=1,AND(LEFT(对接源_02物料!$D307,4)="包装物料",N(对接源_02物料!$K307)&lt;&gt;0)),1,0)</f>
        <v>0</v>
      </c>
      <c r="AG1507" s="1" t="n">
        <f aca="false">N(AG1506)+$AF1507</f>
        <v>6</v>
      </c>
      <c r="AH1507" s="1" t="n">
        <f aca="false">IF(AND($N1507=1,AND(LEFT(对接源_02物料!$D307,3)="周转筐",N(对接源_02物料!$K307)&lt;&gt;0)),1,0)</f>
        <v>0</v>
      </c>
      <c r="AI1507" s="1" t="n">
        <f aca="false">N(AI1506)+$AH1507</f>
        <v>0</v>
      </c>
      <c r="AJ1507" s="1" t="n">
        <v>0</v>
      </c>
      <c r="AK1507" s="1" t="n">
        <f aca="false">N(AK1506)+$AJ1507</f>
        <v>3672</v>
      </c>
    </row>
    <row r="1508" customFormat="false" ht="13.5" hidden="false" customHeight="false" outlineLevel="0" collapsed="false">
      <c r="A1508" s="1" t="str">
        <f aca="false">IF(对接源_02物料!$C308="","",对接源_02物料!$C308)</f>
        <v/>
      </c>
      <c r="B1508" s="1" t="n">
        <f aca="false">IF(A1508="",0,IF(MATCH(A1508,$A$4:$A$2403,0)=ROW()-3,1,0))</f>
        <v>0</v>
      </c>
      <c r="C1508" s="1" t="n">
        <f aca="false">N(C1507)+B1508</f>
        <v>17</v>
      </c>
      <c r="K1508" s="1" t="n">
        <f aca="false">IF(OR($K$1="",对接源_02物料!$C308="",对接源_02物料!$C308&lt;&gt;$K$1,对接源_02物料!$B308=""),0,IF(OR(N(对接源_02物料!$B308)&lt;$K$2,N(对接源_02物料!$B308)&gt;$K$3),0,1))</f>
        <v>0</v>
      </c>
      <c r="L1508" s="1" t="n">
        <f aca="false">IF(OR($L$1="",对接源_02物料!$C308="",对接源_02物料!$C308&lt;&gt;$L$1,对接源_02物料!$B308=""),0,IF(OR(N(对接源_02物料!$B308)&lt;$L$2,N(对接源_02物料!$B308)&gt;$L$3),0,1))</f>
        <v>0</v>
      </c>
      <c r="M1508" s="1" t="n">
        <f aca="false">IF(OR($M$1="",对接源_02物料!$C308="",对接源_02物料!$C308&lt;&gt;$M$1,对接源_02物料!$B308=""),0,IF(OR(N(对接源_02物料!$B308)&lt;$M$2,N(对接源_02物料!$B308)&gt;$M$3),0,1))</f>
        <v>0</v>
      </c>
      <c r="N1508" s="1" t="n">
        <f aca="false">IF(OR($N$1="",对接源_02物料!$C308="",对接源_02物料!$C308&lt;&gt;$N$1,对接源_02物料!$B308=""),0,IF(OR(N(对接源_02物料!$B308)&lt;$N$2,N(对接源_02物料!$B308)&gt;$N$3),0,1))</f>
        <v>0</v>
      </c>
      <c r="P1508" s="1" t="n">
        <f aca="false">IF(AND($K1508=1,AND(对接源_02物料!$X308="公司筐",N(对接源_02物料!$T308)&lt;&gt;0)),1,0)</f>
        <v>0</v>
      </c>
      <c r="Q1508" s="1" t="n">
        <f aca="false">N(Q1507)+$P1508</f>
        <v>13</v>
      </c>
      <c r="R1508" s="1" t="n">
        <f aca="false">IF(AND($K1508=1,AND(对接源_02物料!$X308="公司筐",N(对接源_02物料!$U308)&lt;&gt;0)),1,0)</f>
        <v>0</v>
      </c>
      <c r="S1508" s="1" t="n">
        <f aca="false">N(S1507)+$R1508</f>
        <v>5</v>
      </c>
      <c r="T1508" s="1" t="n">
        <f aca="false">IF(AND($K1508=1,AND(对接源_02物料!$X308="公司筐",N(对接源_02物料!$V308)&lt;&gt;0)),1,0)</f>
        <v>0</v>
      </c>
      <c r="U1508" s="1" t="n">
        <f aca="false">N(U1507)+$T1508</f>
        <v>28</v>
      </c>
      <c r="V1508" s="1" t="n">
        <f aca="false">IF(AND($L1508=1,AND(对接源_02物料!$X308="自备筐",N(对接源_02物料!$V308)&lt;&gt;0)),1,0)</f>
        <v>0</v>
      </c>
      <c r="W1508" s="1" t="n">
        <f aca="false">N(W1507)+$V1508</f>
        <v>7</v>
      </c>
      <c r="X1508" s="1" t="n">
        <f aca="false">IF(AND($L1508=1,AND(对接源_02物料!$X308="自备筐",N(对接源_02物料!$T308)&lt;&gt;0)),1,0)</f>
        <v>0</v>
      </c>
      <c r="Y1508" s="1" t="n">
        <f aca="false">N(Y1507)+$X1508</f>
        <v>0</v>
      </c>
      <c r="Z1508" s="1" t="n">
        <f aca="false">IF(AND($M1508=1,对接源_02物料!$D308="原料入库"),1,0)</f>
        <v>0</v>
      </c>
      <c r="AA1508" s="1" t="n">
        <f aca="false">N(AA1507)+$Z1508</f>
        <v>30</v>
      </c>
      <c r="AB1508" s="1" t="n">
        <f aca="false">IF(AND($M1508=1,LEFT(对接源_02物料!$D308,4)="原料出库"),1,0)</f>
        <v>0</v>
      </c>
      <c r="AC1508" s="1" t="n">
        <f aca="false">N(AC1507)+$AB1508</f>
        <v>19</v>
      </c>
      <c r="AD1508" s="1" t="n">
        <f aca="false">IF(AND($M1508=1,LEFT(对接源_02物料!$D308,4)="成品出库"),1,0)</f>
        <v>0</v>
      </c>
      <c r="AE1508" s="1" t="n">
        <f aca="false">N(AE1507)+$AD1508</f>
        <v>38</v>
      </c>
      <c r="AF1508" s="1" t="n">
        <f aca="false">IF(AND($N1508=1,AND(LEFT(对接源_02物料!$D308,4)="包装物料",N(对接源_02物料!$K308)&lt;&gt;0)),1,0)</f>
        <v>0</v>
      </c>
      <c r="AG1508" s="1" t="n">
        <f aca="false">N(AG1507)+$AF1508</f>
        <v>6</v>
      </c>
      <c r="AH1508" s="1" t="n">
        <f aca="false">IF(AND($N1508=1,AND(LEFT(对接源_02物料!$D308,3)="周转筐",N(对接源_02物料!$K308)&lt;&gt;0)),1,0)</f>
        <v>0</v>
      </c>
      <c r="AI1508" s="1" t="n">
        <f aca="false">N(AI1507)+$AH1508</f>
        <v>0</v>
      </c>
      <c r="AJ1508" s="1" t="n">
        <v>0</v>
      </c>
      <c r="AK1508" s="1" t="n">
        <f aca="false">N(AK1507)+$AJ1508</f>
        <v>3672</v>
      </c>
    </row>
    <row r="1509" customFormat="false" ht="13.5" hidden="false" customHeight="false" outlineLevel="0" collapsed="false">
      <c r="A1509" s="1" t="str">
        <f aca="false">IF(对接源_02物料!$C309="","",对接源_02物料!$C309)</f>
        <v/>
      </c>
      <c r="B1509" s="1" t="n">
        <f aca="false">IF(A1509="",0,IF(MATCH(A1509,$A$4:$A$2403,0)=ROW()-3,1,0))</f>
        <v>0</v>
      </c>
      <c r="C1509" s="1" t="n">
        <f aca="false">N(C1508)+B1509</f>
        <v>17</v>
      </c>
      <c r="K1509" s="1" t="n">
        <f aca="false">IF(OR($K$1="",对接源_02物料!$C309="",对接源_02物料!$C309&lt;&gt;$K$1,对接源_02物料!$B309=""),0,IF(OR(N(对接源_02物料!$B309)&lt;$K$2,N(对接源_02物料!$B309)&gt;$K$3),0,1))</f>
        <v>0</v>
      </c>
      <c r="L1509" s="1" t="n">
        <f aca="false">IF(OR($L$1="",对接源_02物料!$C309="",对接源_02物料!$C309&lt;&gt;$L$1,对接源_02物料!$B309=""),0,IF(OR(N(对接源_02物料!$B309)&lt;$L$2,N(对接源_02物料!$B309)&gt;$L$3),0,1))</f>
        <v>0</v>
      </c>
      <c r="M1509" s="1" t="n">
        <f aca="false">IF(OR($M$1="",对接源_02物料!$C309="",对接源_02物料!$C309&lt;&gt;$M$1,对接源_02物料!$B309=""),0,IF(OR(N(对接源_02物料!$B309)&lt;$M$2,N(对接源_02物料!$B309)&gt;$M$3),0,1))</f>
        <v>0</v>
      </c>
      <c r="N1509" s="1" t="n">
        <f aca="false">IF(OR($N$1="",对接源_02物料!$C309="",对接源_02物料!$C309&lt;&gt;$N$1,对接源_02物料!$B309=""),0,IF(OR(N(对接源_02物料!$B309)&lt;$N$2,N(对接源_02物料!$B309)&gt;$N$3),0,1))</f>
        <v>0</v>
      </c>
      <c r="P1509" s="1" t="n">
        <f aca="false">IF(AND($K1509=1,AND(对接源_02物料!$X309="公司筐",N(对接源_02物料!$T309)&lt;&gt;0)),1,0)</f>
        <v>0</v>
      </c>
      <c r="Q1509" s="1" t="n">
        <f aca="false">N(Q1508)+$P1509</f>
        <v>13</v>
      </c>
      <c r="R1509" s="1" t="n">
        <f aca="false">IF(AND($K1509=1,AND(对接源_02物料!$X309="公司筐",N(对接源_02物料!$U309)&lt;&gt;0)),1,0)</f>
        <v>0</v>
      </c>
      <c r="S1509" s="1" t="n">
        <f aca="false">N(S1508)+$R1509</f>
        <v>5</v>
      </c>
      <c r="T1509" s="1" t="n">
        <f aca="false">IF(AND($K1509=1,AND(对接源_02物料!$X309="公司筐",N(对接源_02物料!$V309)&lt;&gt;0)),1,0)</f>
        <v>0</v>
      </c>
      <c r="U1509" s="1" t="n">
        <f aca="false">N(U1508)+$T1509</f>
        <v>28</v>
      </c>
      <c r="V1509" s="1" t="n">
        <f aca="false">IF(AND($L1509=1,AND(对接源_02物料!$X309="自备筐",N(对接源_02物料!$V309)&lt;&gt;0)),1,0)</f>
        <v>0</v>
      </c>
      <c r="W1509" s="1" t="n">
        <f aca="false">N(W1508)+$V1509</f>
        <v>7</v>
      </c>
      <c r="X1509" s="1" t="n">
        <f aca="false">IF(AND($L1509=1,AND(对接源_02物料!$X309="自备筐",N(对接源_02物料!$T309)&lt;&gt;0)),1,0)</f>
        <v>0</v>
      </c>
      <c r="Y1509" s="1" t="n">
        <f aca="false">N(Y1508)+$X1509</f>
        <v>0</v>
      </c>
      <c r="Z1509" s="1" t="n">
        <f aca="false">IF(AND($M1509=1,对接源_02物料!$D309="原料入库"),1,0)</f>
        <v>0</v>
      </c>
      <c r="AA1509" s="1" t="n">
        <f aca="false">N(AA1508)+$Z1509</f>
        <v>30</v>
      </c>
      <c r="AB1509" s="1" t="n">
        <f aca="false">IF(AND($M1509=1,LEFT(对接源_02物料!$D309,4)="原料出库"),1,0)</f>
        <v>0</v>
      </c>
      <c r="AC1509" s="1" t="n">
        <f aca="false">N(AC1508)+$AB1509</f>
        <v>19</v>
      </c>
      <c r="AD1509" s="1" t="n">
        <f aca="false">IF(AND($M1509=1,LEFT(对接源_02物料!$D309,4)="成品出库"),1,0)</f>
        <v>0</v>
      </c>
      <c r="AE1509" s="1" t="n">
        <f aca="false">N(AE1508)+$AD1509</f>
        <v>38</v>
      </c>
      <c r="AF1509" s="1" t="n">
        <f aca="false">IF(AND($N1509=1,AND(LEFT(对接源_02物料!$D309,4)="包装物料",N(对接源_02物料!$K309)&lt;&gt;0)),1,0)</f>
        <v>0</v>
      </c>
      <c r="AG1509" s="1" t="n">
        <f aca="false">N(AG1508)+$AF1509</f>
        <v>6</v>
      </c>
      <c r="AH1509" s="1" t="n">
        <f aca="false">IF(AND($N1509=1,AND(LEFT(对接源_02物料!$D309,3)="周转筐",N(对接源_02物料!$K309)&lt;&gt;0)),1,0)</f>
        <v>0</v>
      </c>
      <c r="AI1509" s="1" t="n">
        <f aca="false">N(AI1508)+$AH1509</f>
        <v>0</v>
      </c>
      <c r="AJ1509" s="1" t="n">
        <v>0</v>
      </c>
      <c r="AK1509" s="1" t="n">
        <f aca="false">N(AK1508)+$AJ1509</f>
        <v>3672</v>
      </c>
    </row>
    <row r="1510" customFormat="false" ht="13.5" hidden="false" customHeight="false" outlineLevel="0" collapsed="false">
      <c r="A1510" s="1" t="str">
        <f aca="false">IF(对接源_02物料!$C310="","",对接源_02物料!$C310)</f>
        <v/>
      </c>
      <c r="B1510" s="1" t="n">
        <f aca="false">IF(A1510="",0,IF(MATCH(A1510,$A$4:$A$2403,0)=ROW()-3,1,0))</f>
        <v>0</v>
      </c>
      <c r="C1510" s="1" t="n">
        <f aca="false">N(C1509)+B1510</f>
        <v>17</v>
      </c>
      <c r="K1510" s="1" t="n">
        <f aca="false">IF(OR($K$1="",对接源_02物料!$C310="",对接源_02物料!$C310&lt;&gt;$K$1,对接源_02物料!$B310=""),0,IF(OR(N(对接源_02物料!$B310)&lt;$K$2,N(对接源_02物料!$B310)&gt;$K$3),0,1))</f>
        <v>0</v>
      </c>
      <c r="L1510" s="1" t="n">
        <f aca="false">IF(OR($L$1="",对接源_02物料!$C310="",对接源_02物料!$C310&lt;&gt;$L$1,对接源_02物料!$B310=""),0,IF(OR(N(对接源_02物料!$B310)&lt;$L$2,N(对接源_02物料!$B310)&gt;$L$3),0,1))</f>
        <v>0</v>
      </c>
      <c r="M1510" s="1" t="n">
        <f aca="false">IF(OR($M$1="",对接源_02物料!$C310="",对接源_02物料!$C310&lt;&gt;$M$1,对接源_02物料!$B310=""),0,IF(OR(N(对接源_02物料!$B310)&lt;$M$2,N(对接源_02物料!$B310)&gt;$M$3),0,1))</f>
        <v>0</v>
      </c>
      <c r="N1510" s="1" t="n">
        <f aca="false">IF(OR($N$1="",对接源_02物料!$C310="",对接源_02物料!$C310&lt;&gt;$N$1,对接源_02物料!$B310=""),0,IF(OR(N(对接源_02物料!$B310)&lt;$N$2,N(对接源_02物料!$B310)&gt;$N$3),0,1))</f>
        <v>0</v>
      </c>
      <c r="P1510" s="1" t="n">
        <f aca="false">IF(AND($K1510=1,AND(对接源_02物料!$X310="公司筐",N(对接源_02物料!$T310)&lt;&gt;0)),1,0)</f>
        <v>0</v>
      </c>
      <c r="Q1510" s="1" t="n">
        <f aca="false">N(Q1509)+$P1510</f>
        <v>13</v>
      </c>
      <c r="R1510" s="1" t="n">
        <f aca="false">IF(AND($K1510=1,AND(对接源_02物料!$X310="公司筐",N(对接源_02物料!$U310)&lt;&gt;0)),1,0)</f>
        <v>0</v>
      </c>
      <c r="S1510" s="1" t="n">
        <f aca="false">N(S1509)+$R1510</f>
        <v>5</v>
      </c>
      <c r="T1510" s="1" t="n">
        <f aca="false">IF(AND($K1510=1,AND(对接源_02物料!$X310="公司筐",N(对接源_02物料!$V310)&lt;&gt;0)),1,0)</f>
        <v>0</v>
      </c>
      <c r="U1510" s="1" t="n">
        <f aca="false">N(U1509)+$T1510</f>
        <v>28</v>
      </c>
      <c r="V1510" s="1" t="n">
        <f aca="false">IF(AND($L1510=1,AND(对接源_02物料!$X310="自备筐",N(对接源_02物料!$V310)&lt;&gt;0)),1,0)</f>
        <v>0</v>
      </c>
      <c r="W1510" s="1" t="n">
        <f aca="false">N(W1509)+$V1510</f>
        <v>7</v>
      </c>
      <c r="X1510" s="1" t="n">
        <f aca="false">IF(AND($L1510=1,AND(对接源_02物料!$X310="自备筐",N(对接源_02物料!$T310)&lt;&gt;0)),1,0)</f>
        <v>0</v>
      </c>
      <c r="Y1510" s="1" t="n">
        <f aca="false">N(Y1509)+$X1510</f>
        <v>0</v>
      </c>
      <c r="Z1510" s="1" t="n">
        <f aca="false">IF(AND($M1510=1,对接源_02物料!$D310="原料入库"),1,0)</f>
        <v>0</v>
      </c>
      <c r="AA1510" s="1" t="n">
        <f aca="false">N(AA1509)+$Z1510</f>
        <v>30</v>
      </c>
      <c r="AB1510" s="1" t="n">
        <f aca="false">IF(AND($M1510=1,LEFT(对接源_02物料!$D310,4)="原料出库"),1,0)</f>
        <v>0</v>
      </c>
      <c r="AC1510" s="1" t="n">
        <f aca="false">N(AC1509)+$AB1510</f>
        <v>19</v>
      </c>
      <c r="AD1510" s="1" t="n">
        <f aca="false">IF(AND($M1510=1,LEFT(对接源_02物料!$D310,4)="成品出库"),1,0)</f>
        <v>0</v>
      </c>
      <c r="AE1510" s="1" t="n">
        <f aca="false">N(AE1509)+$AD1510</f>
        <v>38</v>
      </c>
      <c r="AF1510" s="1" t="n">
        <f aca="false">IF(AND($N1510=1,AND(LEFT(对接源_02物料!$D310,4)="包装物料",N(对接源_02物料!$K310)&lt;&gt;0)),1,0)</f>
        <v>0</v>
      </c>
      <c r="AG1510" s="1" t="n">
        <f aca="false">N(AG1509)+$AF1510</f>
        <v>6</v>
      </c>
      <c r="AH1510" s="1" t="n">
        <f aca="false">IF(AND($N1510=1,AND(LEFT(对接源_02物料!$D310,3)="周转筐",N(对接源_02物料!$K310)&lt;&gt;0)),1,0)</f>
        <v>0</v>
      </c>
      <c r="AI1510" s="1" t="n">
        <f aca="false">N(AI1509)+$AH1510</f>
        <v>0</v>
      </c>
      <c r="AJ1510" s="1" t="n">
        <v>0</v>
      </c>
      <c r="AK1510" s="1" t="n">
        <f aca="false">N(AK1509)+$AJ1510</f>
        <v>3672</v>
      </c>
    </row>
    <row r="1511" customFormat="false" ht="13.5" hidden="false" customHeight="false" outlineLevel="0" collapsed="false">
      <c r="A1511" s="1" t="str">
        <f aca="false">IF(对接源_02物料!$C311="","",对接源_02物料!$C311)</f>
        <v/>
      </c>
      <c r="B1511" s="1" t="n">
        <f aca="false">IF(A1511="",0,IF(MATCH(A1511,$A$4:$A$2403,0)=ROW()-3,1,0))</f>
        <v>0</v>
      </c>
      <c r="C1511" s="1" t="n">
        <f aca="false">N(C1510)+B1511</f>
        <v>17</v>
      </c>
      <c r="K1511" s="1" t="n">
        <f aca="false">IF(OR($K$1="",对接源_02物料!$C311="",对接源_02物料!$C311&lt;&gt;$K$1,对接源_02物料!$B311=""),0,IF(OR(N(对接源_02物料!$B311)&lt;$K$2,N(对接源_02物料!$B311)&gt;$K$3),0,1))</f>
        <v>0</v>
      </c>
      <c r="L1511" s="1" t="n">
        <f aca="false">IF(OR($L$1="",对接源_02物料!$C311="",对接源_02物料!$C311&lt;&gt;$L$1,对接源_02物料!$B311=""),0,IF(OR(N(对接源_02物料!$B311)&lt;$L$2,N(对接源_02物料!$B311)&gt;$L$3),0,1))</f>
        <v>0</v>
      </c>
      <c r="M1511" s="1" t="n">
        <f aca="false">IF(OR($M$1="",对接源_02物料!$C311="",对接源_02物料!$C311&lt;&gt;$M$1,对接源_02物料!$B311=""),0,IF(OR(N(对接源_02物料!$B311)&lt;$M$2,N(对接源_02物料!$B311)&gt;$M$3),0,1))</f>
        <v>0</v>
      </c>
      <c r="N1511" s="1" t="n">
        <f aca="false">IF(OR($N$1="",对接源_02物料!$C311="",对接源_02物料!$C311&lt;&gt;$N$1,对接源_02物料!$B311=""),0,IF(OR(N(对接源_02物料!$B311)&lt;$N$2,N(对接源_02物料!$B311)&gt;$N$3),0,1))</f>
        <v>0</v>
      </c>
      <c r="P1511" s="1" t="n">
        <f aca="false">IF(AND($K1511=1,AND(对接源_02物料!$X311="公司筐",N(对接源_02物料!$T311)&lt;&gt;0)),1,0)</f>
        <v>0</v>
      </c>
      <c r="Q1511" s="1" t="n">
        <f aca="false">N(Q1510)+$P1511</f>
        <v>13</v>
      </c>
      <c r="R1511" s="1" t="n">
        <f aca="false">IF(AND($K1511=1,AND(对接源_02物料!$X311="公司筐",N(对接源_02物料!$U311)&lt;&gt;0)),1,0)</f>
        <v>0</v>
      </c>
      <c r="S1511" s="1" t="n">
        <f aca="false">N(S1510)+$R1511</f>
        <v>5</v>
      </c>
      <c r="T1511" s="1" t="n">
        <f aca="false">IF(AND($K1511=1,AND(对接源_02物料!$X311="公司筐",N(对接源_02物料!$V311)&lt;&gt;0)),1,0)</f>
        <v>0</v>
      </c>
      <c r="U1511" s="1" t="n">
        <f aca="false">N(U1510)+$T1511</f>
        <v>28</v>
      </c>
      <c r="V1511" s="1" t="n">
        <f aca="false">IF(AND($L1511=1,AND(对接源_02物料!$X311="自备筐",N(对接源_02物料!$V311)&lt;&gt;0)),1,0)</f>
        <v>0</v>
      </c>
      <c r="W1511" s="1" t="n">
        <f aca="false">N(W1510)+$V1511</f>
        <v>7</v>
      </c>
      <c r="X1511" s="1" t="n">
        <f aca="false">IF(AND($L1511=1,AND(对接源_02物料!$X311="自备筐",N(对接源_02物料!$T311)&lt;&gt;0)),1,0)</f>
        <v>0</v>
      </c>
      <c r="Y1511" s="1" t="n">
        <f aca="false">N(Y1510)+$X1511</f>
        <v>0</v>
      </c>
      <c r="Z1511" s="1" t="n">
        <f aca="false">IF(AND($M1511=1,对接源_02物料!$D311="原料入库"),1,0)</f>
        <v>0</v>
      </c>
      <c r="AA1511" s="1" t="n">
        <f aca="false">N(AA1510)+$Z1511</f>
        <v>30</v>
      </c>
      <c r="AB1511" s="1" t="n">
        <f aca="false">IF(AND($M1511=1,LEFT(对接源_02物料!$D311,4)="原料出库"),1,0)</f>
        <v>0</v>
      </c>
      <c r="AC1511" s="1" t="n">
        <f aca="false">N(AC1510)+$AB1511</f>
        <v>19</v>
      </c>
      <c r="AD1511" s="1" t="n">
        <f aca="false">IF(AND($M1511=1,LEFT(对接源_02物料!$D311,4)="成品出库"),1,0)</f>
        <v>0</v>
      </c>
      <c r="AE1511" s="1" t="n">
        <f aca="false">N(AE1510)+$AD1511</f>
        <v>38</v>
      </c>
      <c r="AF1511" s="1" t="n">
        <f aca="false">IF(AND($N1511=1,AND(LEFT(对接源_02物料!$D311,4)="包装物料",N(对接源_02物料!$K311)&lt;&gt;0)),1,0)</f>
        <v>0</v>
      </c>
      <c r="AG1511" s="1" t="n">
        <f aca="false">N(AG1510)+$AF1511</f>
        <v>6</v>
      </c>
      <c r="AH1511" s="1" t="n">
        <f aca="false">IF(AND($N1511=1,AND(LEFT(对接源_02物料!$D311,3)="周转筐",N(对接源_02物料!$K311)&lt;&gt;0)),1,0)</f>
        <v>0</v>
      </c>
      <c r="AI1511" s="1" t="n">
        <f aca="false">N(AI1510)+$AH1511</f>
        <v>0</v>
      </c>
      <c r="AJ1511" s="1" t="n">
        <v>0</v>
      </c>
      <c r="AK1511" s="1" t="n">
        <f aca="false">N(AK1510)+$AJ1511</f>
        <v>3672</v>
      </c>
    </row>
    <row r="1512" customFormat="false" ht="13.5" hidden="false" customHeight="false" outlineLevel="0" collapsed="false">
      <c r="A1512" s="1" t="str">
        <f aca="false">IF(对接源_02物料!$C312="","",对接源_02物料!$C312)</f>
        <v/>
      </c>
      <c r="B1512" s="1" t="n">
        <f aca="false">IF(A1512="",0,IF(MATCH(A1512,$A$4:$A$2403,0)=ROW()-3,1,0))</f>
        <v>0</v>
      </c>
      <c r="C1512" s="1" t="n">
        <f aca="false">N(C1511)+B1512</f>
        <v>17</v>
      </c>
      <c r="K1512" s="1" t="n">
        <f aca="false">IF(OR($K$1="",对接源_02物料!$C312="",对接源_02物料!$C312&lt;&gt;$K$1,对接源_02物料!$B312=""),0,IF(OR(N(对接源_02物料!$B312)&lt;$K$2,N(对接源_02物料!$B312)&gt;$K$3),0,1))</f>
        <v>0</v>
      </c>
      <c r="L1512" s="1" t="n">
        <f aca="false">IF(OR($L$1="",对接源_02物料!$C312="",对接源_02物料!$C312&lt;&gt;$L$1,对接源_02物料!$B312=""),0,IF(OR(N(对接源_02物料!$B312)&lt;$L$2,N(对接源_02物料!$B312)&gt;$L$3),0,1))</f>
        <v>0</v>
      </c>
      <c r="M1512" s="1" t="n">
        <f aca="false">IF(OR($M$1="",对接源_02物料!$C312="",对接源_02物料!$C312&lt;&gt;$M$1,对接源_02物料!$B312=""),0,IF(OR(N(对接源_02物料!$B312)&lt;$M$2,N(对接源_02物料!$B312)&gt;$M$3),0,1))</f>
        <v>0</v>
      </c>
      <c r="N1512" s="1" t="n">
        <f aca="false">IF(OR($N$1="",对接源_02物料!$C312="",对接源_02物料!$C312&lt;&gt;$N$1,对接源_02物料!$B312=""),0,IF(OR(N(对接源_02物料!$B312)&lt;$N$2,N(对接源_02物料!$B312)&gt;$N$3),0,1))</f>
        <v>0</v>
      </c>
      <c r="P1512" s="1" t="n">
        <f aca="false">IF(AND($K1512=1,AND(对接源_02物料!$X312="公司筐",N(对接源_02物料!$T312)&lt;&gt;0)),1,0)</f>
        <v>0</v>
      </c>
      <c r="Q1512" s="1" t="n">
        <f aca="false">N(Q1511)+$P1512</f>
        <v>13</v>
      </c>
      <c r="R1512" s="1" t="n">
        <f aca="false">IF(AND($K1512=1,AND(对接源_02物料!$X312="公司筐",N(对接源_02物料!$U312)&lt;&gt;0)),1,0)</f>
        <v>0</v>
      </c>
      <c r="S1512" s="1" t="n">
        <f aca="false">N(S1511)+$R1512</f>
        <v>5</v>
      </c>
      <c r="T1512" s="1" t="n">
        <f aca="false">IF(AND($K1512=1,AND(对接源_02物料!$X312="公司筐",N(对接源_02物料!$V312)&lt;&gt;0)),1,0)</f>
        <v>0</v>
      </c>
      <c r="U1512" s="1" t="n">
        <f aca="false">N(U1511)+$T1512</f>
        <v>28</v>
      </c>
      <c r="V1512" s="1" t="n">
        <f aca="false">IF(AND($L1512=1,AND(对接源_02物料!$X312="自备筐",N(对接源_02物料!$V312)&lt;&gt;0)),1,0)</f>
        <v>0</v>
      </c>
      <c r="W1512" s="1" t="n">
        <f aca="false">N(W1511)+$V1512</f>
        <v>7</v>
      </c>
      <c r="X1512" s="1" t="n">
        <f aca="false">IF(AND($L1512=1,AND(对接源_02物料!$X312="自备筐",N(对接源_02物料!$T312)&lt;&gt;0)),1,0)</f>
        <v>0</v>
      </c>
      <c r="Y1512" s="1" t="n">
        <f aca="false">N(Y1511)+$X1512</f>
        <v>0</v>
      </c>
      <c r="Z1512" s="1" t="n">
        <f aca="false">IF(AND($M1512=1,对接源_02物料!$D312="原料入库"),1,0)</f>
        <v>0</v>
      </c>
      <c r="AA1512" s="1" t="n">
        <f aca="false">N(AA1511)+$Z1512</f>
        <v>30</v>
      </c>
      <c r="AB1512" s="1" t="n">
        <f aca="false">IF(AND($M1512=1,LEFT(对接源_02物料!$D312,4)="原料出库"),1,0)</f>
        <v>0</v>
      </c>
      <c r="AC1512" s="1" t="n">
        <f aca="false">N(AC1511)+$AB1512</f>
        <v>19</v>
      </c>
      <c r="AD1512" s="1" t="n">
        <f aca="false">IF(AND($M1512=1,LEFT(对接源_02物料!$D312,4)="成品出库"),1,0)</f>
        <v>0</v>
      </c>
      <c r="AE1512" s="1" t="n">
        <f aca="false">N(AE1511)+$AD1512</f>
        <v>38</v>
      </c>
      <c r="AF1512" s="1" t="n">
        <f aca="false">IF(AND($N1512=1,AND(LEFT(对接源_02物料!$D312,4)="包装物料",N(对接源_02物料!$K312)&lt;&gt;0)),1,0)</f>
        <v>0</v>
      </c>
      <c r="AG1512" s="1" t="n">
        <f aca="false">N(AG1511)+$AF1512</f>
        <v>6</v>
      </c>
      <c r="AH1512" s="1" t="n">
        <f aca="false">IF(AND($N1512=1,AND(LEFT(对接源_02物料!$D312,3)="周转筐",N(对接源_02物料!$K312)&lt;&gt;0)),1,0)</f>
        <v>0</v>
      </c>
      <c r="AI1512" s="1" t="n">
        <f aca="false">N(AI1511)+$AH1512</f>
        <v>0</v>
      </c>
      <c r="AJ1512" s="1" t="n">
        <v>0</v>
      </c>
      <c r="AK1512" s="1" t="n">
        <f aca="false">N(AK1511)+$AJ1512</f>
        <v>3672</v>
      </c>
    </row>
    <row r="1513" customFormat="false" ht="13.5" hidden="false" customHeight="false" outlineLevel="0" collapsed="false">
      <c r="A1513" s="1" t="str">
        <f aca="false">IF(对接源_02物料!$C313="","",对接源_02物料!$C313)</f>
        <v/>
      </c>
      <c r="B1513" s="1" t="n">
        <f aca="false">IF(A1513="",0,IF(MATCH(A1513,$A$4:$A$2403,0)=ROW()-3,1,0))</f>
        <v>0</v>
      </c>
      <c r="C1513" s="1" t="n">
        <f aca="false">N(C1512)+B1513</f>
        <v>17</v>
      </c>
      <c r="K1513" s="1" t="n">
        <f aca="false">IF(OR($K$1="",对接源_02物料!$C313="",对接源_02物料!$C313&lt;&gt;$K$1,对接源_02物料!$B313=""),0,IF(OR(N(对接源_02物料!$B313)&lt;$K$2,N(对接源_02物料!$B313)&gt;$K$3),0,1))</f>
        <v>0</v>
      </c>
      <c r="L1513" s="1" t="n">
        <f aca="false">IF(OR($L$1="",对接源_02物料!$C313="",对接源_02物料!$C313&lt;&gt;$L$1,对接源_02物料!$B313=""),0,IF(OR(N(对接源_02物料!$B313)&lt;$L$2,N(对接源_02物料!$B313)&gt;$L$3),0,1))</f>
        <v>0</v>
      </c>
      <c r="M1513" s="1" t="n">
        <f aca="false">IF(OR($M$1="",对接源_02物料!$C313="",对接源_02物料!$C313&lt;&gt;$M$1,对接源_02物料!$B313=""),0,IF(OR(N(对接源_02物料!$B313)&lt;$M$2,N(对接源_02物料!$B313)&gt;$M$3),0,1))</f>
        <v>0</v>
      </c>
      <c r="N1513" s="1" t="n">
        <f aca="false">IF(OR($N$1="",对接源_02物料!$C313="",对接源_02物料!$C313&lt;&gt;$N$1,对接源_02物料!$B313=""),0,IF(OR(N(对接源_02物料!$B313)&lt;$N$2,N(对接源_02物料!$B313)&gt;$N$3),0,1))</f>
        <v>0</v>
      </c>
      <c r="P1513" s="1" t="n">
        <f aca="false">IF(AND($K1513=1,AND(对接源_02物料!$X313="公司筐",N(对接源_02物料!$T313)&lt;&gt;0)),1,0)</f>
        <v>0</v>
      </c>
      <c r="Q1513" s="1" t="n">
        <f aca="false">N(Q1512)+$P1513</f>
        <v>13</v>
      </c>
      <c r="R1513" s="1" t="n">
        <f aca="false">IF(AND($K1513=1,AND(对接源_02物料!$X313="公司筐",N(对接源_02物料!$U313)&lt;&gt;0)),1,0)</f>
        <v>0</v>
      </c>
      <c r="S1513" s="1" t="n">
        <f aca="false">N(S1512)+$R1513</f>
        <v>5</v>
      </c>
      <c r="T1513" s="1" t="n">
        <f aca="false">IF(AND($K1513=1,AND(对接源_02物料!$X313="公司筐",N(对接源_02物料!$V313)&lt;&gt;0)),1,0)</f>
        <v>0</v>
      </c>
      <c r="U1513" s="1" t="n">
        <f aca="false">N(U1512)+$T1513</f>
        <v>28</v>
      </c>
      <c r="V1513" s="1" t="n">
        <f aca="false">IF(AND($L1513=1,AND(对接源_02物料!$X313="自备筐",N(对接源_02物料!$V313)&lt;&gt;0)),1,0)</f>
        <v>0</v>
      </c>
      <c r="W1513" s="1" t="n">
        <f aca="false">N(W1512)+$V1513</f>
        <v>7</v>
      </c>
      <c r="X1513" s="1" t="n">
        <f aca="false">IF(AND($L1513=1,AND(对接源_02物料!$X313="自备筐",N(对接源_02物料!$T313)&lt;&gt;0)),1,0)</f>
        <v>0</v>
      </c>
      <c r="Y1513" s="1" t="n">
        <f aca="false">N(Y1512)+$X1513</f>
        <v>0</v>
      </c>
      <c r="Z1513" s="1" t="n">
        <f aca="false">IF(AND($M1513=1,对接源_02物料!$D313="原料入库"),1,0)</f>
        <v>0</v>
      </c>
      <c r="AA1513" s="1" t="n">
        <f aca="false">N(AA1512)+$Z1513</f>
        <v>30</v>
      </c>
      <c r="AB1513" s="1" t="n">
        <f aca="false">IF(AND($M1513=1,LEFT(对接源_02物料!$D313,4)="原料出库"),1,0)</f>
        <v>0</v>
      </c>
      <c r="AC1513" s="1" t="n">
        <f aca="false">N(AC1512)+$AB1513</f>
        <v>19</v>
      </c>
      <c r="AD1513" s="1" t="n">
        <f aca="false">IF(AND($M1513=1,LEFT(对接源_02物料!$D313,4)="成品出库"),1,0)</f>
        <v>0</v>
      </c>
      <c r="AE1513" s="1" t="n">
        <f aca="false">N(AE1512)+$AD1513</f>
        <v>38</v>
      </c>
      <c r="AF1513" s="1" t="n">
        <f aca="false">IF(AND($N1513=1,AND(LEFT(对接源_02物料!$D313,4)="包装物料",N(对接源_02物料!$K313)&lt;&gt;0)),1,0)</f>
        <v>0</v>
      </c>
      <c r="AG1513" s="1" t="n">
        <f aca="false">N(AG1512)+$AF1513</f>
        <v>6</v>
      </c>
      <c r="AH1513" s="1" t="n">
        <f aca="false">IF(AND($N1513=1,AND(LEFT(对接源_02物料!$D313,3)="周转筐",N(对接源_02物料!$K313)&lt;&gt;0)),1,0)</f>
        <v>0</v>
      </c>
      <c r="AI1513" s="1" t="n">
        <f aca="false">N(AI1512)+$AH1513</f>
        <v>0</v>
      </c>
      <c r="AJ1513" s="1" t="n">
        <v>0</v>
      </c>
      <c r="AK1513" s="1" t="n">
        <f aca="false">N(AK1512)+$AJ1513</f>
        <v>3672</v>
      </c>
    </row>
    <row r="1514" customFormat="false" ht="13.5" hidden="false" customHeight="false" outlineLevel="0" collapsed="false">
      <c r="A1514" s="1" t="str">
        <f aca="false">IF(对接源_02物料!$C314="","",对接源_02物料!$C314)</f>
        <v/>
      </c>
      <c r="B1514" s="1" t="n">
        <f aca="false">IF(A1514="",0,IF(MATCH(A1514,$A$4:$A$2403,0)=ROW()-3,1,0))</f>
        <v>0</v>
      </c>
      <c r="C1514" s="1" t="n">
        <f aca="false">N(C1513)+B1514</f>
        <v>17</v>
      </c>
      <c r="K1514" s="1" t="n">
        <f aca="false">IF(OR($K$1="",对接源_02物料!$C314="",对接源_02物料!$C314&lt;&gt;$K$1,对接源_02物料!$B314=""),0,IF(OR(N(对接源_02物料!$B314)&lt;$K$2,N(对接源_02物料!$B314)&gt;$K$3),0,1))</f>
        <v>0</v>
      </c>
      <c r="L1514" s="1" t="n">
        <f aca="false">IF(OR($L$1="",对接源_02物料!$C314="",对接源_02物料!$C314&lt;&gt;$L$1,对接源_02物料!$B314=""),0,IF(OR(N(对接源_02物料!$B314)&lt;$L$2,N(对接源_02物料!$B314)&gt;$L$3),0,1))</f>
        <v>0</v>
      </c>
      <c r="M1514" s="1" t="n">
        <f aca="false">IF(OR($M$1="",对接源_02物料!$C314="",对接源_02物料!$C314&lt;&gt;$M$1,对接源_02物料!$B314=""),0,IF(OR(N(对接源_02物料!$B314)&lt;$M$2,N(对接源_02物料!$B314)&gt;$M$3),0,1))</f>
        <v>0</v>
      </c>
      <c r="N1514" s="1" t="n">
        <f aca="false">IF(OR($N$1="",对接源_02物料!$C314="",对接源_02物料!$C314&lt;&gt;$N$1,对接源_02物料!$B314=""),0,IF(OR(N(对接源_02物料!$B314)&lt;$N$2,N(对接源_02物料!$B314)&gt;$N$3),0,1))</f>
        <v>0</v>
      </c>
      <c r="P1514" s="1" t="n">
        <f aca="false">IF(AND($K1514=1,AND(对接源_02物料!$X314="公司筐",N(对接源_02物料!$T314)&lt;&gt;0)),1,0)</f>
        <v>0</v>
      </c>
      <c r="Q1514" s="1" t="n">
        <f aca="false">N(Q1513)+$P1514</f>
        <v>13</v>
      </c>
      <c r="R1514" s="1" t="n">
        <f aca="false">IF(AND($K1514=1,AND(对接源_02物料!$X314="公司筐",N(对接源_02物料!$U314)&lt;&gt;0)),1,0)</f>
        <v>0</v>
      </c>
      <c r="S1514" s="1" t="n">
        <f aca="false">N(S1513)+$R1514</f>
        <v>5</v>
      </c>
      <c r="T1514" s="1" t="n">
        <f aca="false">IF(AND($K1514=1,AND(对接源_02物料!$X314="公司筐",N(对接源_02物料!$V314)&lt;&gt;0)),1,0)</f>
        <v>0</v>
      </c>
      <c r="U1514" s="1" t="n">
        <f aca="false">N(U1513)+$T1514</f>
        <v>28</v>
      </c>
      <c r="V1514" s="1" t="n">
        <f aca="false">IF(AND($L1514=1,AND(对接源_02物料!$X314="自备筐",N(对接源_02物料!$V314)&lt;&gt;0)),1,0)</f>
        <v>0</v>
      </c>
      <c r="W1514" s="1" t="n">
        <f aca="false">N(W1513)+$V1514</f>
        <v>7</v>
      </c>
      <c r="X1514" s="1" t="n">
        <f aca="false">IF(AND($L1514=1,AND(对接源_02物料!$X314="自备筐",N(对接源_02物料!$T314)&lt;&gt;0)),1,0)</f>
        <v>0</v>
      </c>
      <c r="Y1514" s="1" t="n">
        <f aca="false">N(Y1513)+$X1514</f>
        <v>0</v>
      </c>
      <c r="Z1514" s="1" t="n">
        <f aca="false">IF(AND($M1514=1,对接源_02物料!$D314="原料入库"),1,0)</f>
        <v>0</v>
      </c>
      <c r="AA1514" s="1" t="n">
        <f aca="false">N(AA1513)+$Z1514</f>
        <v>30</v>
      </c>
      <c r="AB1514" s="1" t="n">
        <f aca="false">IF(AND($M1514=1,LEFT(对接源_02物料!$D314,4)="原料出库"),1,0)</f>
        <v>0</v>
      </c>
      <c r="AC1514" s="1" t="n">
        <f aca="false">N(AC1513)+$AB1514</f>
        <v>19</v>
      </c>
      <c r="AD1514" s="1" t="n">
        <f aca="false">IF(AND($M1514=1,LEFT(对接源_02物料!$D314,4)="成品出库"),1,0)</f>
        <v>0</v>
      </c>
      <c r="AE1514" s="1" t="n">
        <f aca="false">N(AE1513)+$AD1514</f>
        <v>38</v>
      </c>
      <c r="AF1514" s="1" t="n">
        <f aca="false">IF(AND($N1514=1,AND(LEFT(对接源_02物料!$D314,4)="包装物料",N(对接源_02物料!$K314)&lt;&gt;0)),1,0)</f>
        <v>0</v>
      </c>
      <c r="AG1514" s="1" t="n">
        <f aca="false">N(AG1513)+$AF1514</f>
        <v>6</v>
      </c>
      <c r="AH1514" s="1" t="n">
        <f aca="false">IF(AND($N1514=1,AND(LEFT(对接源_02物料!$D314,3)="周转筐",N(对接源_02物料!$K314)&lt;&gt;0)),1,0)</f>
        <v>0</v>
      </c>
      <c r="AI1514" s="1" t="n">
        <f aca="false">N(AI1513)+$AH1514</f>
        <v>0</v>
      </c>
      <c r="AJ1514" s="1" t="n">
        <v>0</v>
      </c>
      <c r="AK1514" s="1" t="n">
        <f aca="false">N(AK1513)+$AJ1514</f>
        <v>3672</v>
      </c>
    </row>
    <row r="1515" customFormat="false" ht="13.5" hidden="false" customHeight="false" outlineLevel="0" collapsed="false">
      <c r="A1515" s="1" t="str">
        <f aca="false">IF(对接源_02物料!$C315="","",对接源_02物料!$C315)</f>
        <v/>
      </c>
      <c r="B1515" s="1" t="n">
        <f aca="false">IF(A1515="",0,IF(MATCH(A1515,$A$4:$A$2403,0)=ROW()-3,1,0))</f>
        <v>0</v>
      </c>
      <c r="C1515" s="1" t="n">
        <f aca="false">N(C1514)+B1515</f>
        <v>17</v>
      </c>
      <c r="K1515" s="1" t="n">
        <f aca="false">IF(OR($K$1="",对接源_02物料!$C315="",对接源_02物料!$C315&lt;&gt;$K$1,对接源_02物料!$B315=""),0,IF(OR(N(对接源_02物料!$B315)&lt;$K$2,N(对接源_02物料!$B315)&gt;$K$3),0,1))</f>
        <v>0</v>
      </c>
      <c r="L1515" s="1" t="n">
        <f aca="false">IF(OR($L$1="",对接源_02物料!$C315="",对接源_02物料!$C315&lt;&gt;$L$1,对接源_02物料!$B315=""),0,IF(OR(N(对接源_02物料!$B315)&lt;$L$2,N(对接源_02物料!$B315)&gt;$L$3),0,1))</f>
        <v>0</v>
      </c>
      <c r="M1515" s="1" t="n">
        <f aca="false">IF(OR($M$1="",对接源_02物料!$C315="",对接源_02物料!$C315&lt;&gt;$M$1,对接源_02物料!$B315=""),0,IF(OR(N(对接源_02物料!$B315)&lt;$M$2,N(对接源_02物料!$B315)&gt;$M$3),0,1))</f>
        <v>0</v>
      </c>
      <c r="N1515" s="1" t="n">
        <f aca="false">IF(OR($N$1="",对接源_02物料!$C315="",对接源_02物料!$C315&lt;&gt;$N$1,对接源_02物料!$B315=""),0,IF(OR(N(对接源_02物料!$B315)&lt;$N$2,N(对接源_02物料!$B315)&gt;$N$3),0,1))</f>
        <v>0</v>
      </c>
      <c r="P1515" s="1" t="n">
        <f aca="false">IF(AND($K1515=1,AND(对接源_02物料!$X315="公司筐",N(对接源_02物料!$T315)&lt;&gt;0)),1,0)</f>
        <v>0</v>
      </c>
      <c r="Q1515" s="1" t="n">
        <f aca="false">N(Q1514)+$P1515</f>
        <v>13</v>
      </c>
      <c r="R1515" s="1" t="n">
        <f aca="false">IF(AND($K1515=1,AND(对接源_02物料!$X315="公司筐",N(对接源_02物料!$U315)&lt;&gt;0)),1,0)</f>
        <v>0</v>
      </c>
      <c r="S1515" s="1" t="n">
        <f aca="false">N(S1514)+$R1515</f>
        <v>5</v>
      </c>
      <c r="T1515" s="1" t="n">
        <f aca="false">IF(AND($K1515=1,AND(对接源_02物料!$X315="公司筐",N(对接源_02物料!$V315)&lt;&gt;0)),1,0)</f>
        <v>0</v>
      </c>
      <c r="U1515" s="1" t="n">
        <f aca="false">N(U1514)+$T1515</f>
        <v>28</v>
      </c>
      <c r="V1515" s="1" t="n">
        <f aca="false">IF(AND($L1515=1,AND(对接源_02物料!$X315="自备筐",N(对接源_02物料!$V315)&lt;&gt;0)),1,0)</f>
        <v>0</v>
      </c>
      <c r="W1515" s="1" t="n">
        <f aca="false">N(W1514)+$V1515</f>
        <v>7</v>
      </c>
      <c r="X1515" s="1" t="n">
        <f aca="false">IF(AND($L1515=1,AND(对接源_02物料!$X315="自备筐",N(对接源_02物料!$T315)&lt;&gt;0)),1,0)</f>
        <v>0</v>
      </c>
      <c r="Y1515" s="1" t="n">
        <f aca="false">N(Y1514)+$X1515</f>
        <v>0</v>
      </c>
      <c r="Z1515" s="1" t="n">
        <f aca="false">IF(AND($M1515=1,对接源_02物料!$D315="原料入库"),1,0)</f>
        <v>0</v>
      </c>
      <c r="AA1515" s="1" t="n">
        <f aca="false">N(AA1514)+$Z1515</f>
        <v>30</v>
      </c>
      <c r="AB1515" s="1" t="n">
        <f aca="false">IF(AND($M1515=1,LEFT(对接源_02物料!$D315,4)="原料出库"),1,0)</f>
        <v>0</v>
      </c>
      <c r="AC1515" s="1" t="n">
        <f aca="false">N(AC1514)+$AB1515</f>
        <v>19</v>
      </c>
      <c r="AD1515" s="1" t="n">
        <f aca="false">IF(AND($M1515=1,LEFT(对接源_02物料!$D315,4)="成品出库"),1,0)</f>
        <v>0</v>
      </c>
      <c r="AE1515" s="1" t="n">
        <f aca="false">N(AE1514)+$AD1515</f>
        <v>38</v>
      </c>
      <c r="AF1515" s="1" t="n">
        <f aca="false">IF(AND($N1515=1,AND(LEFT(对接源_02物料!$D315,4)="包装物料",N(对接源_02物料!$K315)&lt;&gt;0)),1,0)</f>
        <v>0</v>
      </c>
      <c r="AG1515" s="1" t="n">
        <f aca="false">N(AG1514)+$AF1515</f>
        <v>6</v>
      </c>
      <c r="AH1515" s="1" t="n">
        <f aca="false">IF(AND($N1515=1,AND(LEFT(对接源_02物料!$D315,3)="周转筐",N(对接源_02物料!$K315)&lt;&gt;0)),1,0)</f>
        <v>0</v>
      </c>
      <c r="AI1515" s="1" t="n">
        <f aca="false">N(AI1514)+$AH1515</f>
        <v>0</v>
      </c>
      <c r="AJ1515" s="1" t="n">
        <v>0</v>
      </c>
      <c r="AK1515" s="1" t="n">
        <f aca="false">N(AK1514)+$AJ1515</f>
        <v>3672</v>
      </c>
    </row>
    <row r="1516" customFormat="false" ht="13.5" hidden="false" customHeight="false" outlineLevel="0" collapsed="false">
      <c r="A1516" s="1" t="str">
        <f aca="false">IF(对接源_02物料!$C316="","",对接源_02物料!$C316)</f>
        <v/>
      </c>
      <c r="B1516" s="1" t="n">
        <f aca="false">IF(A1516="",0,IF(MATCH(A1516,$A$4:$A$2403,0)=ROW()-3,1,0))</f>
        <v>0</v>
      </c>
      <c r="C1516" s="1" t="n">
        <f aca="false">N(C1515)+B1516</f>
        <v>17</v>
      </c>
      <c r="K1516" s="1" t="n">
        <f aca="false">IF(OR($K$1="",对接源_02物料!$C316="",对接源_02物料!$C316&lt;&gt;$K$1,对接源_02物料!$B316=""),0,IF(OR(N(对接源_02物料!$B316)&lt;$K$2,N(对接源_02物料!$B316)&gt;$K$3),0,1))</f>
        <v>0</v>
      </c>
      <c r="L1516" s="1" t="n">
        <f aca="false">IF(OR($L$1="",对接源_02物料!$C316="",对接源_02物料!$C316&lt;&gt;$L$1,对接源_02物料!$B316=""),0,IF(OR(N(对接源_02物料!$B316)&lt;$L$2,N(对接源_02物料!$B316)&gt;$L$3),0,1))</f>
        <v>0</v>
      </c>
      <c r="M1516" s="1" t="n">
        <f aca="false">IF(OR($M$1="",对接源_02物料!$C316="",对接源_02物料!$C316&lt;&gt;$M$1,对接源_02物料!$B316=""),0,IF(OR(N(对接源_02物料!$B316)&lt;$M$2,N(对接源_02物料!$B316)&gt;$M$3),0,1))</f>
        <v>0</v>
      </c>
      <c r="N1516" s="1" t="n">
        <f aca="false">IF(OR($N$1="",对接源_02物料!$C316="",对接源_02物料!$C316&lt;&gt;$N$1,对接源_02物料!$B316=""),0,IF(OR(N(对接源_02物料!$B316)&lt;$N$2,N(对接源_02物料!$B316)&gt;$N$3),0,1))</f>
        <v>0</v>
      </c>
      <c r="P1516" s="1" t="n">
        <f aca="false">IF(AND($K1516=1,AND(对接源_02物料!$X316="公司筐",N(对接源_02物料!$T316)&lt;&gt;0)),1,0)</f>
        <v>0</v>
      </c>
      <c r="Q1516" s="1" t="n">
        <f aca="false">N(Q1515)+$P1516</f>
        <v>13</v>
      </c>
      <c r="R1516" s="1" t="n">
        <f aca="false">IF(AND($K1516=1,AND(对接源_02物料!$X316="公司筐",N(对接源_02物料!$U316)&lt;&gt;0)),1,0)</f>
        <v>0</v>
      </c>
      <c r="S1516" s="1" t="n">
        <f aca="false">N(S1515)+$R1516</f>
        <v>5</v>
      </c>
      <c r="T1516" s="1" t="n">
        <f aca="false">IF(AND($K1516=1,AND(对接源_02物料!$X316="公司筐",N(对接源_02物料!$V316)&lt;&gt;0)),1,0)</f>
        <v>0</v>
      </c>
      <c r="U1516" s="1" t="n">
        <f aca="false">N(U1515)+$T1516</f>
        <v>28</v>
      </c>
      <c r="V1516" s="1" t="n">
        <f aca="false">IF(AND($L1516=1,AND(对接源_02物料!$X316="自备筐",N(对接源_02物料!$V316)&lt;&gt;0)),1,0)</f>
        <v>0</v>
      </c>
      <c r="W1516" s="1" t="n">
        <f aca="false">N(W1515)+$V1516</f>
        <v>7</v>
      </c>
      <c r="X1516" s="1" t="n">
        <f aca="false">IF(AND($L1516=1,AND(对接源_02物料!$X316="自备筐",N(对接源_02物料!$T316)&lt;&gt;0)),1,0)</f>
        <v>0</v>
      </c>
      <c r="Y1516" s="1" t="n">
        <f aca="false">N(Y1515)+$X1516</f>
        <v>0</v>
      </c>
      <c r="Z1516" s="1" t="n">
        <f aca="false">IF(AND($M1516=1,对接源_02物料!$D316="原料入库"),1,0)</f>
        <v>0</v>
      </c>
      <c r="AA1516" s="1" t="n">
        <f aca="false">N(AA1515)+$Z1516</f>
        <v>30</v>
      </c>
      <c r="AB1516" s="1" t="n">
        <f aca="false">IF(AND($M1516=1,LEFT(对接源_02物料!$D316,4)="原料出库"),1,0)</f>
        <v>0</v>
      </c>
      <c r="AC1516" s="1" t="n">
        <f aca="false">N(AC1515)+$AB1516</f>
        <v>19</v>
      </c>
      <c r="AD1516" s="1" t="n">
        <f aca="false">IF(AND($M1516=1,LEFT(对接源_02物料!$D316,4)="成品出库"),1,0)</f>
        <v>0</v>
      </c>
      <c r="AE1516" s="1" t="n">
        <f aca="false">N(AE1515)+$AD1516</f>
        <v>38</v>
      </c>
      <c r="AF1516" s="1" t="n">
        <f aca="false">IF(AND($N1516=1,AND(LEFT(对接源_02物料!$D316,4)="包装物料",N(对接源_02物料!$K316)&lt;&gt;0)),1,0)</f>
        <v>0</v>
      </c>
      <c r="AG1516" s="1" t="n">
        <f aca="false">N(AG1515)+$AF1516</f>
        <v>6</v>
      </c>
      <c r="AH1516" s="1" t="n">
        <f aca="false">IF(AND($N1516=1,AND(LEFT(对接源_02物料!$D316,3)="周转筐",N(对接源_02物料!$K316)&lt;&gt;0)),1,0)</f>
        <v>0</v>
      </c>
      <c r="AI1516" s="1" t="n">
        <f aca="false">N(AI1515)+$AH1516</f>
        <v>0</v>
      </c>
      <c r="AJ1516" s="1" t="n">
        <v>0</v>
      </c>
      <c r="AK1516" s="1" t="n">
        <f aca="false">N(AK1515)+$AJ1516</f>
        <v>3672</v>
      </c>
    </row>
    <row r="1517" customFormat="false" ht="13.5" hidden="false" customHeight="false" outlineLevel="0" collapsed="false">
      <c r="A1517" s="1" t="str">
        <f aca="false">IF(对接源_02物料!$C317="","",对接源_02物料!$C317)</f>
        <v/>
      </c>
      <c r="B1517" s="1" t="n">
        <f aca="false">IF(A1517="",0,IF(MATCH(A1517,$A$4:$A$2403,0)=ROW()-3,1,0))</f>
        <v>0</v>
      </c>
      <c r="C1517" s="1" t="n">
        <f aca="false">N(C1516)+B1517</f>
        <v>17</v>
      </c>
      <c r="K1517" s="1" t="n">
        <f aca="false">IF(OR($K$1="",对接源_02物料!$C317="",对接源_02物料!$C317&lt;&gt;$K$1,对接源_02物料!$B317=""),0,IF(OR(N(对接源_02物料!$B317)&lt;$K$2,N(对接源_02物料!$B317)&gt;$K$3),0,1))</f>
        <v>0</v>
      </c>
      <c r="L1517" s="1" t="n">
        <f aca="false">IF(OR($L$1="",对接源_02物料!$C317="",对接源_02物料!$C317&lt;&gt;$L$1,对接源_02物料!$B317=""),0,IF(OR(N(对接源_02物料!$B317)&lt;$L$2,N(对接源_02物料!$B317)&gt;$L$3),0,1))</f>
        <v>0</v>
      </c>
      <c r="M1517" s="1" t="n">
        <f aca="false">IF(OR($M$1="",对接源_02物料!$C317="",对接源_02物料!$C317&lt;&gt;$M$1,对接源_02物料!$B317=""),0,IF(OR(N(对接源_02物料!$B317)&lt;$M$2,N(对接源_02物料!$B317)&gt;$M$3),0,1))</f>
        <v>0</v>
      </c>
      <c r="N1517" s="1" t="n">
        <f aca="false">IF(OR($N$1="",对接源_02物料!$C317="",对接源_02物料!$C317&lt;&gt;$N$1,对接源_02物料!$B317=""),0,IF(OR(N(对接源_02物料!$B317)&lt;$N$2,N(对接源_02物料!$B317)&gt;$N$3),0,1))</f>
        <v>0</v>
      </c>
      <c r="P1517" s="1" t="n">
        <f aca="false">IF(AND($K1517=1,AND(对接源_02物料!$X317="公司筐",N(对接源_02物料!$T317)&lt;&gt;0)),1,0)</f>
        <v>0</v>
      </c>
      <c r="Q1517" s="1" t="n">
        <f aca="false">N(Q1516)+$P1517</f>
        <v>13</v>
      </c>
      <c r="R1517" s="1" t="n">
        <f aca="false">IF(AND($K1517=1,AND(对接源_02物料!$X317="公司筐",N(对接源_02物料!$U317)&lt;&gt;0)),1,0)</f>
        <v>0</v>
      </c>
      <c r="S1517" s="1" t="n">
        <f aca="false">N(S1516)+$R1517</f>
        <v>5</v>
      </c>
      <c r="T1517" s="1" t="n">
        <f aca="false">IF(AND($K1517=1,AND(对接源_02物料!$X317="公司筐",N(对接源_02物料!$V317)&lt;&gt;0)),1,0)</f>
        <v>0</v>
      </c>
      <c r="U1517" s="1" t="n">
        <f aca="false">N(U1516)+$T1517</f>
        <v>28</v>
      </c>
      <c r="V1517" s="1" t="n">
        <f aca="false">IF(AND($L1517=1,AND(对接源_02物料!$X317="自备筐",N(对接源_02物料!$V317)&lt;&gt;0)),1,0)</f>
        <v>0</v>
      </c>
      <c r="W1517" s="1" t="n">
        <f aca="false">N(W1516)+$V1517</f>
        <v>7</v>
      </c>
      <c r="X1517" s="1" t="n">
        <f aca="false">IF(AND($L1517=1,AND(对接源_02物料!$X317="自备筐",N(对接源_02物料!$T317)&lt;&gt;0)),1,0)</f>
        <v>0</v>
      </c>
      <c r="Y1517" s="1" t="n">
        <f aca="false">N(Y1516)+$X1517</f>
        <v>0</v>
      </c>
      <c r="Z1517" s="1" t="n">
        <f aca="false">IF(AND($M1517=1,对接源_02物料!$D317="原料入库"),1,0)</f>
        <v>0</v>
      </c>
      <c r="AA1517" s="1" t="n">
        <f aca="false">N(AA1516)+$Z1517</f>
        <v>30</v>
      </c>
      <c r="AB1517" s="1" t="n">
        <f aca="false">IF(AND($M1517=1,LEFT(对接源_02物料!$D317,4)="原料出库"),1,0)</f>
        <v>0</v>
      </c>
      <c r="AC1517" s="1" t="n">
        <f aca="false">N(AC1516)+$AB1517</f>
        <v>19</v>
      </c>
      <c r="AD1517" s="1" t="n">
        <f aca="false">IF(AND($M1517=1,LEFT(对接源_02物料!$D317,4)="成品出库"),1,0)</f>
        <v>0</v>
      </c>
      <c r="AE1517" s="1" t="n">
        <f aca="false">N(AE1516)+$AD1517</f>
        <v>38</v>
      </c>
      <c r="AF1517" s="1" t="n">
        <f aca="false">IF(AND($N1517=1,AND(LEFT(对接源_02物料!$D317,4)="包装物料",N(对接源_02物料!$K317)&lt;&gt;0)),1,0)</f>
        <v>0</v>
      </c>
      <c r="AG1517" s="1" t="n">
        <f aca="false">N(AG1516)+$AF1517</f>
        <v>6</v>
      </c>
      <c r="AH1517" s="1" t="n">
        <f aca="false">IF(AND($N1517=1,AND(LEFT(对接源_02物料!$D317,3)="周转筐",N(对接源_02物料!$K317)&lt;&gt;0)),1,0)</f>
        <v>0</v>
      </c>
      <c r="AI1517" s="1" t="n">
        <f aca="false">N(AI1516)+$AH1517</f>
        <v>0</v>
      </c>
      <c r="AJ1517" s="1" t="n">
        <v>0</v>
      </c>
      <c r="AK1517" s="1" t="n">
        <f aca="false">N(AK1516)+$AJ1517</f>
        <v>3672</v>
      </c>
    </row>
    <row r="1518" customFormat="false" ht="13.5" hidden="false" customHeight="false" outlineLevel="0" collapsed="false">
      <c r="A1518" s="1" t="str">
        <f aca="false">IF(对接源_02物料!$C318="","",对接源_02物料!$C318)</f>
        <v/>
      </c>
      <c r="B1518" s="1" t="n">
        <f aca="false">IF(A1518="",0,IF(MATCH(A1518,$A$4:$A$2403,0)=ROW()-3,1,0))</f>
        <v>0</v>
      </c>
      <c r="C1518" s="1" t="n">
        <f aca="false">N(C1517)+B1518</f>
        <v>17</v>
      </c>
      <c r="K1518" s="1" t="n">
        <f aca="false">IF(OR($K$1="",对接源_02物料!$C318="",对接源_02物料!$C318&lt;&gt;$K$1,对接源_02物料!$B318=""),0,IF(OR(N(对接源_02物料!$B318)&lt;$K$2,N(对接源_02物料!$B318)&gt;$K$3),0,1))</f>
        <v>0</v>
      </c>
      <c r="L1518" s="1" t="n">
        <f aca="false">IF(OR($L$1="",对接源_02物料!$C318="",对接源_02物料!$C318&lt;&gt;$L$1,对接源_02物料!$B318=""),0,IF(OR(N(对接源_02物料!$B318)&lt;$L$2,N(对接源_02物料!$B318)&gt;$L$3),0,1))</f>
        <v>0</v>
      </c>
      <c r="M1518" s="1" t="n">
        <f aca="false">IF(OR($M$1="",对接源_02物料!$C318="",对接源_02物料!$C318&lt;&gt;$M$1,对接源_02物料!$B318=""),0,IF(OR(N(对接源_02物料!$B318)&lt;$M$2,N(对接源_02物料!$B318)&gt;$M$3),0,1))</f>
        <v>0</v>
      </c>
      <c r="N1518" s="1" t="n">
        <f aca="false">IF(OR($N$1="",对接源_02物料!$C318="",对接源_02物料!$C318&lt;&gt;$N$1,对接源_02物料!$B318=""),0,IF(OR(N(对接源_02物料!$B318)&lt;$N$2,N(对接源_02物料!$B318)&gt;$N$3),0,1))</f>
        <v>0</v>
      </c>
      <c r="P1518" s="1" t="n">
        <f aca="false">IF(AND($K1518=1,AND(对接源_02物料!$X318="公司筐",N(对接源_02物料!$T318)&lt;&gt;0)),1,0)</f>
        <v>0</v>
      </c>
      <c r="Q1518" s="1" t="n">
        <f aca="false">N(Q1517)+$P1518</f>
        <v>13</v>
      </c>
      <c r="R1518" s="1" t="n">
        <f aca="false">IF(AND($K1518=1,AND(对接源_02物料!$X318="公司筐",N(对接源_02物料!$U318)&lt;&gt;0)),1,0)</f>
        <v>0</v>
      </c>
      <c r="S1518" s="1" t="n">
        <f aca="false">N(S1517)+$R1518</f>
        <v>5</v>
      </c>
      <c r="T1518" s="1" t="n">
        <f aca="false">IF(AND($K1518=1,AND(对接源_02物料!$X318="公司筐",N(对接源_02物料!$V318)&lt;&gt;0)),1,0)</f>
        <v>0</v>
      </c>
      <c r="U1518" s="1" t="n">
        <f aca="false">N(U1517)+$T1518</f>
        <v>28</v>
      </c>
      <c r="V1518" s="1" t="n">
        <f aca="false">IF(AND($L1518=1,AND(对接源_02物料!$X318="自备筐",N(对接源_02物料!$V318)&lt;&gt;0)),1,0)</f>
        <v>0</v>
      </c>
      <c r="W1518" s="1" t="n">
        <f aca="false">N(W1517)+$V1518</f>
        <v>7</v>
      </c>
      <c r="X1518" s="1" t="n">
        <f aca="false">IF(AND($L1518=1,AND(对接源_02物料!$X318="自备筐",N(对接源_02物料!$T318)&lt;&gt;0)),1,0)</f>
        <v>0</v>
      </c>
      <c r="Y1518" s="1" t="n">
        <f aca="false">N(Y1517)+$X1518</f>
        <v>0</v>
      </c>
      <c r="Z1518" s="1" t="n">
        <f aca="false">IF(AND($M1518=1,对接源_02物料!$D318="原料入库"),1,0)</f>
        <v>0</v>
      </c>
      <c r="AA1518" s="1" t="n">
        <f aca="false">N(AA1517)+$Z1518</f>
        <v>30</v>
      </c>
      <c r="AB1518" s="1" t="n">
        <f aca="false">IF(AND($M1518=1,LEFT(对接源_02物料!$D318,4)="原料出库"),1,0)</f>
        <v>0</v>
      </c>
      <c r="AC1518" s="1" t="n">
        <f aca="false">N(AC1517)+$AB1518</f>
        <v>19</v>
      </c>
      <c r="AD1518" s="1" t="n">
        <f aca="false">IF(AND($M1518=1,LEFT(对接源_02物料!$D318,4)="成品出库"),1,0)</f>
        <v>0</v>
      </c>
      <c r="AE1518" s="1" t="n">
        <f aca="false">N(AE1517)+$AD1518</f>
        <v>38</v>
      </c>
      <c r="AF1518" s="1" t="n">
        <f aca="false">IF(AND($N1518=1,AND(LEFT(对接源_02物料!$D318,4)="包装物料",N(对接源_02物料!$K318)&lt;&gt;0)),1,0)</f>
        <v>0</v>
      </c>
      <c r="AG1518" s="1" t="n">
        <f aca="false">N(AG1517)+$AF1518</f>
        <v>6</v>
      </c>
      <c r="AH1518" s="1" t="n">
        <f aca="false">IF(AND($N1518=1,AND(LEFT(对接源_02物料!$D318,3)="周转筐",N(对接源_02物料!$K318)&lt;&gt;0)),1,0)</f>
        <v>0</v>
      </c>
      <c r="AI1518" s="1" t="n">
        <f aca="false">N(AI1517)+$AH1518</f>
        <v>0</v>
      </c>
      <c r="AJ1518" s="1" t="n">
        <v>0</v>
      </c>
      <c r="AK1518" s="1" t="n">
        <f aca="false">N(AK1517)+$AJ1518</f>
        <v>3672</v>
      </c>
    </row>
    <row r="1519" customFormat="false" ht="13.5" hidden="false" customHeight="false" outlineLevel="0" collapsed="false">
      <c r="A1519" s="1" t="str">
        <f aca="false">IF(对接源_02物料!$C319="","",对接源_02物料!$C319)</f>
        <v/>
      </c>
      <c r="B1519" s="1" t="n">
        <f aca="false">IF(A1519="",0,IF(MATCH(A1519,$A$4:$A$2403,0)=ROW()-3,1,0))</f>
        <v>0</v>
      </c>
      <c r="C1519" s="1" t="n">
        <f aca="false">N(C1518)+B1519</f>
        <v>17</v>
      </c>
      <c r="K1519" s="1" t="n">
        <f aca="false">IF(OR($K$1="",对接源_02物料!$C319="",对接源_02物料!$C319&lt;&gt;$K$1,对接源_02物料!$B319=""),0,IF(OR(N(对接源_02物料!$B319)&lt;$K$2,N(对接源_02物料!$B319)&gt;$K$3),0,1))</f>
        <v>0</v>
      </c>
      <c r="L1519" s="1" t="n">
        <f aca="false">IF(OR($L$1="",对接源_02物料!$C319="",对接源_02物料!$C319&lt;&gt;$L$1,对接源_02物料!$B319=""),0,IF(OR(N(对接源_02物料!$B319)&lt;$L$2,N(对接源_02物料!$B319)&gt;$L$3),0,1))</f>
        <v>0</v>
      </c>
      <c r="M1519" s="1" t="n">
        <f aca="false">IF(OR($M$1="",对接源_02物料!$C319="",对接源_02物料!$C319&lt;&gt;$M$1,对接源_02物料!$B319=""),0,IF(OR(N(对接源_02物料!$B319)&lt;$M$2,N(对接源_02物料!$B319)&gt;$M$3),0,1))</f>
        <v>0</v>
      </c>
      <c r="N1519" s="1" t="n">
        <f aca="false">IF(OR($N$1="",对接源_02物料!$C319="",对接源_02物料!$C319&lt;&gt;$N$1,对接源_02物料!$B319=""),0,IF(OR(N(对接源_02物料!$B319)&lt;$N$2,N(对接源_02物料!$B319)&gt;$N$3),0,1))</f>
        <v>0</v>
      </c>
      <c r="P1519" s="1" t="n">
        <f aca="false">IF(AND($K1519=1,AND(对接源_02物料!$X319="公司筐",N(对接源_02物料!$T319)&lt;&gt;0)),1,0)</f>
        <v>0</v>
      </c>
      <c r="Q1519" s="1" t="n">
        <f aca="false">N(Q1518)+$P1519</f>
        <v>13</v>
      </c>
      <c r="R1519" s="1" t="n">
        <f aca="false">IF(AND($K1519=1,AND(对接源_02物料!$X319="公司筐",N(对接源_02物料!$U319)&lt;&gt;0)),1,0)</f>
        <v>0</v>
      </c>
      <c r="S1519" s="1" t="n">
        <f aca="false">N(S1518)+$R1519</f>
        <v>5</v>
      </c>
      <c r="T1519" s="1" t="n">
        <f aca="false">IF(AND($K1519=1,AND(对接源_02物料!$X319="公司筐",N(对接源_02物料!$V319)&lt;&gt;0)),1,0)</f>
        <v>0</v>
      </c>
      <c r="U1519" s="1" t="n">
        <f aca="false">N(U1518)+$T1519</f>
        <v>28</v>
      </c>
      <c r="V1519" s="1" t="n">
        <f aca="false">IF(AND($L1519=1,AND(对接源_02物料!$X319="自备筐",N(对接源_02物料!$V319)&lt;&gt;0)),1,0)</f>
        <v>0</v>
      </c>
      <c r="W1519" s="1" t="n">
        <f aca="false">N(W1518)+$V1519</f>
        <v>7</v>
      </c>
      <c r="X1519" s="1" t="n">
        <f aca="false">IF(AND($L1519=1,AND(对接源_02物料!$X319="自备筐",N(对接源_02物料!$T319)&lt;&gt;0)),1,0)</f>
        <v>0</v>
      </c>
      <c r="Y1519" s="1" t="n">
        <f aca="false">N(Y1518)+$X1519</f>
        <v>0</v>
      </c>
      <c r="Z1519" s="1" t="n">
        <f aca="false">IF(AND($M1519=1,对接源_02物料!$D319="原料入库"),1,0)</f>
        <v>0</v>
      </c>
      <c r="AA1519" s="1" t="n">
        <f aca="false">N(AA1518)+$Z1519</f>
        <v>30</v>
      </c>
      <c r="AB1519" s="1" t="n">
        <f aca="false">IF(AND($M1519=1,LEFT(对接源_02物料!$D319,4)="原料出库"),1,0)</f>
        <v>0</v>
      </c>
      <c r="AC1519" s="1" t="n">
        <f aca="false">N(AC1518)+$AB1519</f>
        <v>19</v>
      </c>
      <c r="AD1519" s="1" t="n">
        <f aca="false">IF(AND($M1519=1,LEFT(对接源_02物料!$D319,4)="成品出库"),1,0)</f>
        <v>0</v>
      </c>
      <c r="AE1519" s="1" t="n">
        <f aca="false">N(AE1518)+$AD1519</f>
        <v>38</v>
      </c>
      <c r="AF1519" s="1" t="n">
        <f aca="false">IF(AND($N1519=1,AND(LEFT(对接源_02物料!$D319,4)="包装物料",N(对接源_02物料!$K319)&lt;&gt;0)),1,0)</f>
        <v>0</v>
      </c>
      <c r="AG1519" s="1" t="n">
        <f aca="false">N(AG1518)+$AF1519</f>
        <v>6</v>
      </c>
      <c r="AH1519" s="1" t="n">
        <f aca="false">IF(AND($N1519=1,AND(LEFT(对接源_02物料!$D319,3)="周转筐",N(对接源_02物料!$K319)&lt;&gt;0)),1,0)</f>
        <v>0</v>
      </c>
      <c r="AI1519" s="1" t="n">
        <f aca="false">N(AI1518)+$AH1519</f>
        <v>0</v>
      </c>
      <c r="AJ1519" s="1" t="n">
        <v>0</v>
      </c>
      <c r="AK1519" s="1" t="n">
        <f aca="false">N(AK1518)+$AJ1519</f>
        <v>3672</v>
      </c>
    </row>
    <row r="1520" customFormat="false" ht="13.5" hidden="false" customHeight="false" outlineLevel="0" collapsed="false">
      <c r="A1520" s="1" t="str">
        <f aca="false">IF(对接源_02物料!$C320="","",对接源_02物料!$C320)</f>
        <v/>
      </c>
      <c r="B1520" s="1" t="n">
        <f aca="false">IF(A1520="",0,IF(MATCH(A1520,$A$4:$A$2403,0)=ROW()-3,1,0))</f>
        <v>0</v>
      </c>
      <c r="C1520" s="1" t="n">
        <f aca="false">N(C1519)+B1520</f>
        <v>17</v>
      </c>
      <c r="K1520" s="1" t="n">
        <f aca="false">IF(OR($K$1="",对接源_02物料!$C320="",对接源_02物料!$C320&lt;&gt;$K$1,对接源_02物料!$B320=""),0,IF(OR(N(对接源_02物料!$B320)&lt;$K$2,N(对接源_02物料!$B320)&gt;$K$3),0,1))</f>
        <v>0</v>
      </c>
      <c r="L1520" s="1" t="n">
        <f aca="false">IF(OR($L$1="",对接源_02物料!$C320="",对接源_02物料!$C320&lt;&gt;$L$1,对接源_02物料!$B320=""),0,IF(OR(N(对接源_02物料!$B320)&lt;$L$2,N(对接源_02物料!$B320)&gt;$L$3),0,1))</f>
        <v>0</v>
      </c>
      <c r="M1520" s="1" t="n">
        <f aca="false">IF(OR($M$1="",对接源_02物料!$C320="",对接源_02物料!$C320&lt;&gt;$M$1,对接源_02物料!$B320=""),0,IF(OR(N(对接源_02物料!$B320)&lt;$M$2,N(对接源_02物料!$B320)&gt;$M$3),0,1))</f>
        <v>0</v>
      </c>
      <c r="N1520" s="1" t="n">
        <f aca="false">IF(OR($N$1="",对接源_02物料!$C320="",对接源_02物料!$C320&lt;&gt;$N$1,对接源_02物料!$B320=""),0,IF(OR(N(对接源_02物料!$B320)&lt;$N$2,N(对接源_02物料!$B320)&gt;$N$3),0,1))</f>
        <v>0</v>
      </c>
      <c r="P1520" s="1" t="n">
        <f aca="false">IF(AND($K1520=1,AND(对接源_02物料!$X320="公司筐",N(对接源_02物料!$T320)&lt;&gt;0)),1,0)</f>
        <v>0</v>
      </c>
      <c r="Q1520" s="1" t="n">
        <f aca="false">N(Q1519)+$P1520</f>
        <v>13</v>
      </c>
      <c r="R1520" s="1" t="n">
        <f aca="false">IF(AND($K1520=1,AND(对接源_02物料!$X320="公司筐",N(对接源_02物料!$U320)&lt;&gt;0)),1,0)</f>
        <v>0</v>
      </c>
      <c r="S1520" s="1" t="n">
        <f aca="false">N(S1519)+$R1520</f>
        <v>5</v>
      </c>
      <c r="T1520" s="1" t="n">
        <f aca="false">IF(AND($K1520=1,AND(对接源_02物料!$X320="公司筐",N(对接源_02物料!$V320)&lt;&gt;0)),1,0)</f>
        <v>0</v>
      </c>
      <c r="U1520" s="1" t="n">
        <f aca="false">N(U1519)+$T1520</f>
        <v>28</v>
      </c>
      <c r="V1520" s="1" t="n">
        <f aca="false">IF(AND($L1520=1,AND(对接源_02物料!$X320="自备筐",N(对接源_02物料!$V320)&lt;&gt;0)),1,0)</f>
        <v>0</v>
      </c>
      <c r="W1520" s="1" t="n">
        <f aca="false">N(W1519)+$V1520</f>
        <v>7</v>
      </c>
      <c r="X1520" s="1" t="n">
        <f aca="false">IF(AND($L1520=1,AND(对接源_02物料!$X320="自备筐",N(对接源_02物料!$T320)&lt;&gt;0)),1,0)</f>
        <v>0</v>
      </c>
      <c r="Y1520" s="1" t="n">
        <f aca="false">N(Y1519)+$X1520</f>
        <v>0</v>
      </c>
      <c r="Z1520" s="1" t="n">
        <f aca="false">IF(AND($M1520=1,对接源_02物料!$D320="原料入库"),1,0)</f>
        <v>0</v>
      </c>
      <c r="AA1520" s="1" t="n">
        <f aca="false">N(AA1519)+$Z1520</f>
        <v>30</v>
      </c>
      <c r="AB1520" s="1" t="n">
        <f aca="false">IF(AND($M1520=1,LEFT(对接源_02物料!$D320,4)="原料出库"),1,0)</f>
        <v>0</v>
      </c>
      <c r="AC1520" s="1" t="n">
        <f aca="false">N(AC1519)+$AB1520</f>
        <v>19</v>
      </c>
      <c r="AD1520" s="1" t="n">
        <f aca="false">IF(AND($M1520=1,LEFT(对接源_02物料!$D320,4)="成品出库"),1,0)</f>
        <v>0</v>
      </c>
      <c r="AE1520" s="1" t="n">
        <f aca="false">N(AE1519)+$AD1520</f>
        <v>38</v>
      </c>
      <c r="AF1520" s="1" t="n">
        <f aca="false">IF(AND($N1520=1,AND(LEFT(对接源_02物料!$D320,4)="包装物料",N(对接源_02物料!$K320)&lt;&gt;0)),1,0)</f>
        <v>0</v>
      </c>
      <c r="AG1520" s="1" t="n">
        <f aca="false">N(AG1519)+$AF1520</f>
        <v>6</v>
      </c>
      <c r="AH1520" s="1" t="n">
        <f aca="false">IF(AND($N1520=1,AND(LEFT(对接源_02物料!$D320,3)="周转筐",N(对接源_02物料!$K320)&lt;&gt;0)),1,0)</f>
        <v>0</v>
      </c>
      <c r="AI1520" s="1" t="n">
        <f aca="false">N(AI1519)+$AH1520</f>
        <v>0</v>
      </c>
      <c r="AJ1520" s="1" t="n">
        <v>0</v>
      </c>
      <c r="AK1520" s="1" t="n">
        <f aca="false">N(AK1519)+$AJ1520</f>
        <v>3672</v>
      </c>
    </row>
    <row r="1521" customFormat="false" ht="13.5" hidden="false" customHeight="false" outlineLevel="0" collapsed="false">
      <c r="A1521" s="1" t="str">
        <f aca="false">IF(对接源_02物料!$C321="","",对接源_02物料!$C321)</f>
        <v/>
      </c>
      <c r="B1521" s="1" t="n">
        <f aca="false">IF(A1521="",0,IF(MATCH(A1521,$A$4:$A$2403,0)=ROW()-3,1,0))</f>
        <v>0</v>
      </c>
      <c r="C1521" s="1" t="n">
        <f aca="false">N(C1520)+B1521</f>
        <v>17</v>
      </c>
      <c r="K1521" s="1" t="n">
        <f aca="false">IF(OR($K$1="",对接源_02物料!$C321="",对接源_02物料!$C321&lt;&gt;$K$1,对接源_02物料!$B321=""),0,IF(OR(N(对接源_02物料!$B321)&lt;$K$2,N(对接源_02物料!$B321)&gt;$K$3),0,1))</f>
        <v>0</v>
      </c>
      <c r="L1521" s="1" t="n">
        <f aca="false">IF(OR($L$1="",对接源_02物料!$C321="",对接源_02物料!$C321&lt;&gt;$L$1,对接源_02物料!$B321=""),0,IF(OR(N(对接源_02物料!$B321)&lt;$L$2,N(对接源_02物料!$B321)&gt;$L$3),0,1))</f>
        <v>0</v>
      </c>
      <c r="M1521" s="1" t="n">
        <f aca="false">IF(OR($M$1="",对接源_02物料!$C321="",对接源_02物料!$C321&lt;&gt;$M$1,对接源_02物料!$B321=""),0,IF(OR(N(对接源_02物料!$B321)&lt;$M$2,N(对接源_02物料!$B321)&gt;$M$3),0,1))</f>
        <v>0</v>
      </c>
      <c r="N1521" s="1" t="n">
        <f aca="false">IF(OR($N$1="",对接源_02物料!$C321="",对接源_02物料!$C321&lt;&gt;$N$1,对接源_02物料!$B321=""),0,IF(OR(N(对接源_02物料!$B321)&lt;$N$2,N(对接源_02物料!$B321)&gt;$N$3),0,1))</f>
        <v>0</v>
      </c>
      <c r="P1521" s="1" t="n">
        <f aca="false">IF(AND($K1521=1,AND(对接源_02物料!$X321="公司筐",N(对接源_02物料!$T321)&lt;&gt;0)),1,0)</f>
        <v>0</v>
      </c>
      <c r="Q1521" s="1" t="n">
        <f aca="false">N(Q1520)+$P1521</f>
        <v>13</v>
      </c>
      <c r="R1521" s="1" t="n">
        <f aca="false">IF(AND($K1521=1,AND(对接源_02物料!$X321="公司筐",N(对接源_02物料!$U321)&lt;&gt;0)),1,0)</f>
        <v>0</v>
      </c>
      <c r="S1521" s="1" t="n">
        <f aca="false">N(S1520)+$R1521</f>
        <v>5</v>
      </c>
      <c r="T1521" s="1" t="n">
        <f aca="false">IF(AND($K1521=1,AND(对接源_02物料!$X321="公司筐",N(对接源_02物料!$V321)&lt;&gt;0)),1,0)</f>
        <v>0</v>
      </c>
      <c r="U1521" s="1" t="n">
        <f aca="false">N(U1520)+$T1521</f>
        <v>28</v>
      </c>
      <c r="V1521" s="1" t="n">
        <f aca="false">IF(AND($L1521=1,AND(对接源_02物料!$X321="自备筐",N(对接源_02物料!$V321)&lt;&gt;0)),1,0)</f>
        <v>0</v>
      </c>
      <c r="W1521" s="1" t="n">
        <f aca="false">N(W1520)+$V1521</f>
        <v>7</v>
      </c>
      <c r="X1521" s="1" t="n">
        <f aca="false">IF(AND($L1521=1,AND(对接源_02物料!$X321="自备筐",N(对接源_02物料!$T321)&lt;&gt;0)),1,0)</f>
        <v>0</v>
      </c>
      <c r="Y1521" s="1" t="n">
        <f aca="false">N(Y1520)+$X1521</f>
        <v>0</v>
      </c>
      <c r="Z1521" s="1" t="n">
        <f aca="false">IF(AND($M1521=1,对接源_02物料!$D321="原料入库"),1,0)</f>
        <v>0</v>
      </c>
      <c r="AA1521" s="1" t="n">
        <f aca="false">N(AA1520)+$Z1521</f>
        <v>30</v>
      </c>
      <c r="AB1521" s="1" t="n">
        <f aca="false">IF(AND($M1521=1,LEFT(对接源_02物料!$D321,4)="原料出库"),1,0)</f>
        <v>0</v>
      </c>
      <c r="AC1521" s="1" t="n">
        <f aca="false">N(AC1520)+$AB1521</f>
        <v>19</v>
      </c>
      <c r="AD1521" s="1" t="n">
        <f aca="false">IF(AND($M1521=1,LEFT(对接源_02物料!$D321,4)="成品出库"),1,0)</f>
        <v>0</v>
      </c>
      <c r="AE1521" s="1" t="n">
        <f aca="false">N(AE1520)+$AD1521</f>
        <v>38</v>
      </c>
      <c r="AF1521" s="1" t="n">
        <f aca="false">IF(AND($N1521=1,AND(LEFT(对接源_02物料!$D321,4)="包装物料",N(对接源_02物料!$K321)&lt;&gt;0)),1,0)</f>
        <v>0</v>
      </c>
      <c r="AG1521" s="1" t="n">
        <f aca="false">N(AG1520)+$AF1521</f>
        <v>6</v>
      </c>
      <c r="AH1521" s="1" t="n">
        <f aca="false">IF(AND($N1521=1,AND(LEFT(对接源_02物料!$D321,3)="周转筐",N(对接源_02物料!$K321)&lt;&gt;0)),1,0)</f>
        <v>0</v>
      </c>
      <c r="AI1521" s="1" t="n">
        <f aca="false">N(AI1520)+$AH1521</f>
        <v>0</v>
      </c>
      <c r="AJ1521" s="1" t="n">
        <v>0</v>
      </c>
      <c r="AK1521" s="1" t="n">
        <f aca="false">N(AK1520)+$AJ1521</f>
        <v>3672</v>
      </c>
    </row>
    <row r="1522" customFormat="false" ht="13.5" hidden="false" customHeight="false" outlineLevel="0" collapsed="false">
      <c r="A1522" s="1" t="str">
        <f aca="false">IF(对接源_02物料!$C322="","",对接源_02物料!$C322)</f>
        <v/>
      </c>
      <c r="B1522" s="1" t="n">
        <f aca="false">IF(A1522="",0,IF(MATCH(A1522,$A$4:$A$2403,0)=ROW()-3,1,0))</f>
        <v>0</v>
      </c>
      <c r="C1522" s="1" t="n">
        <f aca="false">N(C1521)+B1522</f>
        <v>17</v>
      </c>
      <c r="K1522" s="1" t="n">
        <f aca="false">IF(OR($K$1="",对接源_02物料!$C322="",对接源_02物料!$C322&lt;&gt;$K$1,对接源_02物料!$B322=""),0,IF(OR(N(对接源_02物料!$B322)&lt;$K$2,N(对接源_02物料!$B322)&gt;$K$3),0,1))</f>
        <v>0</v>
      </c>
      <c r="L1522" s="1" t="n">
        <f aca="false">IF(OR($L$1="",对接源_02物料!$C322="",对接源_02物料!$C322&lt;&gt;$L$1,对接源_02物料!$B322=""),0,IF(OR(N(对接源_02物料!$B322)&lt;$L$2,N(对接源_02物料!$B322)&gt;$L$3),0,1))</f>
        <v>0</v>
      </c>
      <c r="M1522" s="1" t="n">
        <f aca="false">IF(OR($M$1="",对接源_02物料!$C322="",对接源_02物料!$C322&lt;&gt;$M$1,对接源_02物料!$B322=""),0,IF(OR(N(对接源_02物料!$B322)&lt;$M$2,N(对接源_02物料!$B322)&gt;$M$3),0,1))</f>
        <v>0</v>
      </c>
      <c r="N1522" s="1" t="n">
        <f aca="false">IF(OR($N$1="",对接源_02物料!$C322="",对接源_02物料!$C322&lt;&gt;$N$1,对接源_02物料!$B322=""),0,IF(OR(N(对接源_02物料!$B322)&lt;$N$2,N(对接源_02物料!$B322)&gt;$N$3),0,1))</f>
        <v>0</v>
      </c>
      <c r="P1522" s="1" t="n">
        <f aca="false">IF(AND($K1522=1,AND(对接源_02物料!$X322="公司筐",N(对接源_02物料!$T322)&lt;&gt;0)),1,0)</f>
        <v>0</v>
      </c>
      <c r="Q1522" s="1" t="n">
        <f aca="false">N(Q1521)+$P1522</f>
        <v>13</v>
      </c>
      <c r="R1522" s="1" t="n">
        <f aca="false">IF(AND($K1522=1,AND(对接源_02物料!$X322="公司筐",N(对接源_02物料!$U322)&lt;&gt;0)),1,0)</f>
        <v>0</v>
      </c>
      <c r="S1522" s="1" t="n">
        <f aca="false">N(S1521)+$R1522</f>
        <v>5</v>
      </c>
      <c r="T1522" s="1" t="n">
        <f aca="false">IF(AND($K1522=1,AND(对接源_02物料!$X322="公司筐",N(对接源_02物料!$V322)&lt;&gt;0)),1,0)</f>
        <v>0</v>
      </c>
      <c r="U1522" s="1" t="n">
        <f aca="false">N(U1521)+$T1522</f>
        <v>28</v>
      </c>
      <c r="V1522" s="1" t="n">
        <f aca="false">IF(AND($L1522=1,AND(对接源_02物料!$X322="自备筐",N(对接源_02物料!$V322)&lt;&gt;0)),1,0)</f>
        <v>0</v>
      </c>
      <c r="W1522" s="1" t="n">
        <f aca="false">N(W1521)+$V1522</f>
        <v>7</v>
      </c>
      <c r="X1522" s="1" t="n">
        <f aca="false">IF(AND($L1522=1,AND(对接源_02物料!$X322="自备筐",N(对接源_02物料!$T322)&lt;&gt;0)),1,0)</f>
        <v>0</v>
      </c>
      <c r="Y1522" s="1" t="n">
        <f aca="false">N(Y1521)+$X1522</f>
        <v>0</v>
      </c>
      <c r="Z1522" s="1" t="n">
        <f aca="false">IF(AND($M1522=1,对接源_02物料!$D322="原料入库"),1,0)</f>
        <v>0</v>
      </c>
      <c r="AA1522" s="1" t="n">
        <f aca="false">N(AA1521)+$Z1522</f>
        <v>30</v>
      </c>
      <c r="AB1522" s="1" t="n">
        <f aca="false">IF(AND($M1522=1,LEFT(对接源_02物料!$D322,4)="原料出库"),1,0)</f>
        <v>0</v>
      </c>
      <c r="AC1522" s="1" t="n">
        <f aca="false">N(AC1521)+$AB1522</f>
        <v>19</v>
      </c>
      <c r="AD1522" s="1" t="n">
        <f aca="false">IF(AND($M1522=1,LEFT(对接源_02物料!$D322,4)="成品出库"),1,0)</f>
        <v>0</v>
      </c>
      <c r="AE1522" s="1" t="n">
        <f aca="false">N(AE1521)+$AD1522</f>
        <v>38</v>
      </c>
      <c r="AF1522" s="1" t="n">
        <f aca="false">IF(AND($N1522=1,AND(LEFT(对接源_02物料!$D322,4)="包装物料",N(对接源_02物料!$K322)&lt;&gt;0)),1,0)</f>
        <v>0</v>
      </c>
      <c r="AG1522" s="1" t="n">
        <f aca="false">N(AG1521)+$AF1522</f>
        <v>6</v>
      </c>
      <c r="AH1522" s="1" t="n">
        <f aca="false">IF(AND($N1522=1,AND(LEFT(对接源_02物料!$D322,3)="周转筐",N(对接源_02物料!$K322)&lt;&gt;0)),1,0)</f>
        <v>0</v>
      </c>
      <c r="AI1522" s="1" t="n">
        <f aca="false">N(AI1521)+$AH1522</f>
        <v>0</v>
      </c>
      <c r="AJ1522" s="1" t="n">
        <v>0</v>
      </c>
      <c r="AK1522" s="1" t="n">
        <f aca="false">N(AK1521)+$AJ1522</f>
        <v>3672</v>
      </c>
    </row>
    <row r="1523" customFormat="false" ht="13.5" hidden="false" customHeight="false" outlineLevel="0" collapsed="false">
      <c r="A1523" s="1" t="str">
        <f aca="false">IF(对接源_02物料!$C323="","",对接源_02物料!$C323)</f>
        <v/>
      </c>
      <c r="B1523" s="1" t="n">
        <f aca="false">IF(A1523="",0,IF(MATCH(A1523,$A$4:$A$2403,0)=ROW()-3,1,0))</f>
        <v>0</v>
      </c>
      <c r="C1523" s="1" t="n">
        <f aca="false">N(C1522)+B1523</f>
        <v>17</v>
      </c>
      <c r="K1523" s="1" t="n">
        <f aca="false">IF(OR($K$1="",对接源_02物料!$C323="",对接源_02物料!$C323&lt;&gt;$K$1,对接源_02物料!$B323=""),0,IF(OR(N(对接源_02物料!$B323)&lt;$K$2,N(对接源_02物料!$B323)&gt;$K$3),0,1))</f>
        <v>0</v>
      </c>
      <c r="L1523" s="1" t="n">
        <f aca="false">IF(OR($L$1="",对接源_02物料!$C323="",对接源_02物料!$C323&lt;&gt;$L$1,对接源_02物料!$B323=""),0,IF(OR(N(对接源_02物料!$B323)&lt;$L$2,N(对接源_02物料!$B323)&gt;$L$3),0,1))</f>
        <v>0</v>
      </c>
      <c r="M1523" s="1" t="n">
        <f aca="false">IF(OR($M$1="",对接源_02物料!$C323="",对接源_02物料!$C323&lt;&gt;$M$1,对接源_02物料!$B323=""),0,IF(OR(N(对接源_02物料!$B323)&lt;$M$2,N(对接源_02物料!$B323)&gt;$M$3),0,1))</f>
        <v>0</v>
      </c>
      <c r="N1523" s="1" t="n">
        <f aca="false">IF(OR($N$1="",对接源_02物料!$C323="",对接源_02物料!$C323&lt;&gt;$N$1,对接源_02物料!$B323=""),0,IF(OR(N(对接源_02物料!$B323)&lt;$N$2,N(对接源_02物料!$B323)&gt;$N$3),0,1))</f>
        <v>0</v>
      </c>
      <c r="P1523" s="1" t="n">
        <f aca="false">IF(AND($K1523=1,AND(对接源_02物料!$X323="公司筐",N(对接源_02物料!$T323)&lt;&gt;0)),1,0)</f>
        <v>0</v>
      </c>
      <c r="Q1523" s="1" t="n">
        <f aca="false">N(Q1522)+$P1523</f>
        <v>13</v>
      </c>
      <c r="R1523" s="1" t="n">
        <f aca="false">IF(AND($K1523=1,AND(对接源_02物料!$X323="公司筐",N(对接源_02物料!$U323)&lt;&gt;0)),1,0)</f>
        <v>0</v>
      </c>
      <c r="S1523" s="1" t="n">
        <f aca="false">N(S1522)+$R1523</f>
        <v>5</v>
      </c>
      <c r="T1523" s="1" t="n">
        <f aca="false">IF(AND($K1523=1,AND(对接源_02物料!$X323="公司筐",N(对接源_02物料!$V323)&lt;&gt;0)),1,0)</f>
        <v>0</v>
      </c>
      <c r="U1523" s="1" t="n">
        <f aca="false">N(U1522)+$T1523</f>
        <v>28</v>
      </c>
      <c r="V1523" s="1" t="n">
        <f aca="false">IF(AND($L1523=1,AND(对接源_02物料!$X323="自备筐",N(对接源_02物料!$V323)&lt;&gt;0)),1,0)</f>
        <v>0</v>
      </c>
      <c r="W1523" s="1" t="n">
        <f aca="false">N(W1522)+$V1523</f>
        <v>7</v>
      </c>
      <c r="X1523" s="1" t="n">
        <f aca="false">IF(AND($L1523=1,AND(对接源_02物料!$X323="自备筐",N(对接源_02物料!$T323)&lt;&gt;0)),1,0)</f>
        <v>0</v>
      </c>
      <c r="Y1523" s="1" t="n">
        <f aca="false">N(Y1522)+$X1523</f>
        <v>0</v>
      </c>
      <c r="Z1523" s="1" t="n">
        <f aca="false">IF(AND($M1523=1,对接源_02物料!$D323="原料入库"),1,0)</f>
        <v>0</v>
      </c>
      <c r="AA1523" s="1" t="n">
        <f aca="false">N(AA1522)+$Z1523</f>
        <v>30</v>
      </c>
      <c r="AB1523" s="1" t="n">
        <f aca="false">IF(AND($M1523=1,LEFT(对接源_02物料!$D323,4)="原料出库"),1,0)</f>
        <v>0</v>
      </c>
      <c r="AC1523" s="1" t="n">
        <f aca="false">N(AC1522)+$AB1523</f>
        <v>19</v>
      </c>
      <c r="AD1523" s="1" t="n">
        <f aca="false">IF(AND($M1523=1,LEFT(对接源_02物料!$D323,4)="成品出库"),1,0)</f>
        <v>0</v>
      </c>
      <c r="AE1523" s="1" t="n">
        <f aca="false">N(AE1522)+$AD1523</f>
        <v>38</v>
      </c>
      <c r="AF1523" s="1" t="n">
        <f aca="false">IF(AND($N1523=1,AND(LEFT(对接源_02物料!$D323,4)="包装物料",N(对接源_02物料!$K323)&lt;&gt;0)),1,0)</f>
        <v>0</v>
      </c>
      <c r="AG1523" s="1" t="n">
        <f aca="false">N(AG1522)+$AF1523</f>
        <v>6</v>
      </c>
      <c r="AH1523" s="1" t="n">
        <f aca="false">IF(AND($N1523=1,AND(LEFT(对接源_02物料!$D323,3)="周转筐",N(对接源_02物料!$K323)&lt;&gt;0)),1,0)</f>
        <v>0</v>
      </c>
      <c r="AI1523" s="1" t="n">
        <f aca="false">N(AI1522)+$AH1523</f>
        <v>0</v>
      </c>
      <c r="AJ1523" s="1" t="n">
        <v>0</v>
      </c>
      <c r="AK1523" s="1" t="n">
        <f aca="false">N(AK1522)+$AJ1523</f>
        <v>3672</v>
      </c>
    </row>
    <row r="1524" customFormat="false" ht="13.5" hidden="false" customHeight="false" outlineLevel="0" collapsed="false">
      <c r="A1524" s="1" t="str">
        <f aca="false">IF(对接源_02物料!$C324="","",对接源_02物料!$C324)</f>
        <v/>
      </c>
      <c r="B1524" s="1" t="n">
        <f aca="false">IF(A1524="",0,IF(MATCH(A1524,$A$4:$A$2403,0)=ROW()-3,1,0))</f>
        <v>0</v>
      </c>
      <c r="C1524" s="1" t="n">
        <f aca="false">N(C1523)+B1524</f>
        <v>17</v>
      </c>
      <c r="K1524" s="1" t="n">
        <f aca="false">IF(OR($K$1="",对接源_02物料!$C324="",对接源_02物料!$C324&lt;&gt;$K$1,对接源_02物料!$B324=""),0,IF(OR(N(对接源_02物料!$B324)&lt;$K$2,N(对接源_02物料!$B324)&gt;$K$3),0,1))</f>
        <v>0</v>
      </c>
      <c r="L1524" s="1" t="n">
        <f aca="false">IF(OR($L$1="",对接源_02物料!$C324="",对接源_02物料!$C324&lt;&gt;$L$1,对接源_02物料!$B324=""),0,IF(OR(N(对接源_02物料!$B324)&lt;$L$2,N(对接源_02物料!$B324)&gt;$L$3),0,1))</f>
        <v>0</v>
      </c>
      <c r="M1524" s="1" t="n">
        <f aca="false">IF(OR($M$1="",对接源_02物料!$C324="",对接源_02物料!$C324&lt;&gt;$M$1,对接源_02物料!$B324=""),0,IF(OR(N(对接源_02物料!$B324)&lt;$M$2,N(对接源_02物料!$B324)&gt;$M$3),0,1))</f>
        <v>0</v>
      </c>
      <c r="N1524" s="1" t="n">
        <f aca="false">IF(OR($N$1="",对接源_02物料!$C324="",对接源_02物料!$C324&lt;&gt;$N$1,对接源_02物料!$B324=""),0,IF(OR(N(对接源_02物料!$B324)&lt;$N$2,N(对接源_02物料!$B324)&gt;$N$3),0,1))</f>
        <v>0</v>
      </c>
      <c r="P1524" s="1" t="n">
        <f aca="false">IF(AND($K1524=1,AND(对接源_02物料!$X324="公司筐",N(对接源_02物料!$T324)&lt;&gt;0)),1,0)</f>
        <v>0</v>
      </c>
      <c r="Q1524" s="1" t="n">
        <f aca="false">N(Q1523)+$P1524</f>
        <v>13</v>
      </c>
      <c r="R1524" s="1" t="n">
        <f aca="false">IF(AND($K1524=1,AND(对接源_02物料!$X324="公司筐",N(对接源_02物料!$U324)&lt;&gt;0)),1,0)</f>
        <v>0</v>
      </c>
      <c r="S1524" s="1" t="n">
        <f aca="false">N(S1523)+$R1524</f>
        <v>5</v>
      </c>
      <c r="T1524" s="1" t="n">
        <f aca="false">IF(AND($K1524=1,AND(对接源_02物料!$X324="公司筐",N(对接源_02物料!$V324)&lt;&gt;0)),1,0)</f>
        <v>0</v>
      </c>
      <c r="U1524" s="1" t="n">
        <f aca="false">N(U1523)+$T1524</f>
        <v>28</v>
      </c>
      <c r="V1524" s="1" t="n">
        <f aca="false">IF(AND($L1524=1,AND(对接源_02物料!$X324="自备筐",N(对接源_02物料!$V324)&lt;&gt;0)),1,0)</f>
        <v>0</v>
      </c>
      <c r="W1524" s="1" t="n">
        <f aca="false">N(W1523)+$V1524</f>
        <v>7</v>
      </c>
      <c r="X1524" s="1" t="n">
        <f aca="false">IF(AND($L1524=1,AND(对接源_02物料!$X324="自备筐",N(对接源_02物料!$T324)&lt;&gt;0)),1,0)</f>
        <v>0</v>
      </c>
      <c r="Y1524" s="1" t="n">
        <f aca="false">N(Y1523)+$X1524</f>
        <v>0</v>
      </c>
      <c r="Z1524" s="1" t="n">
        <f aca="false">IF(AND($M1524=1,对接源_02物料!$D324="原料入库"),1,0)</f>
        <v>0</v>
      </c>
      <c r="AA1524" s="1" t="n">
        <f aca="false">N(AA1523)+$Z1524</f>
        <v>30</v>
      </c>
      <c r="AB1524" s="1" t="n">
        <f aca="false">IF(AND($M1524=1,LEFT(对接源_02物料!$D324,4)="原料出库"),1,0)</f>
        <v>0</v>
      </c>
      <c r="AC1524" s="1" t="n">
        <f aca="false">N(AC1523)+$AB1524</f>
        <v>19</v>
      </c>
      <c r="AD1524" s="1" t="n">
        <f aca="false">IF(AND($M1524=1,LEFT(对接源_02物料!$D324,4)="成品出库"),1,0)</f>
        <v>0</v>
      </c>
      <c r="AE1524" s="1" t="n">
        <f aca="false">N(AE1523)+$AD1524</f>
        <v>38</v>
      </c>
      <c r="AF1524" s="1" t="n">
        <f aca="false">IF(AND($N1524=1,AND(LEFT(对接源_02物料!$D324,4)="包装物料",N(对接源_02物料!$K324)&lt;&gt;0)),1,0)</f>
        <v>0</v>
      </c>
      <c r="AG1524" s="1" t="n">
        <f aca="false">N(AG1523)+$AF1524</f>
        <v>6</v>
      </c>
      <c r="AH1524" s="1" t="n">
        <f aca="false">IF(AND($N1524=1,AND(LEFT(对接源_02物料!$D324,3)="周转筐",N(对接源_02物料!$K324)&lt;&gt;0)),1,0)</f>
        <v>0</v>
      </c>
      <c r="AI1524" s="1" t="n">
        <f aca="false">N(AI1523)+$AH1524</f>
        <v>0</v>
      </c>
      <c r="AJ1524" s="1" t="n">
        <v>0</v>
      </c>
      <c r="AK1524" s="1" t="n">
        <f aca="false">N(AK1523)+$AJ1524</f>
        <v>3672</v>
      </c>
    </row>
    <row r="1525" customFormat="false" ht="13.5" hidden="false" customHeight="false" outlineLevel="0" collapsed="false">
      <c r="A1525" s="1" t="str">
        <f aca="false">IF(对接源_02物料!$C325="","",对接源_02物料!$C325)</f>
        <v/>
      </c>
      <c r="B1525" s="1" t="n">
        <f aca="false">IF(A1525="",0,IF(MATCH(A1525,$A$4:$A$2403,0)=ROW()-3,1,0))</f>
        <v>0</v>
      </c>
      <c r="C1525" s="1" t="n">
        <f aca="false">N(C1524)+B1525</f>
        <v>17</v>
      </c>
      <c r="K1525" s="1" t="n">
        <f aca="false">IF(OR($K$1="",对接源_02物料!$C325="",对接源_02物料!$C325&lt;&gt;$K$1,对接源_02物料!$B325=""),0,IF(OR(N(对接源_02物料!$B325)&lt;$K$2,N(对接源_02物料!$B325)&gt;$K$3),0,1))</f>
        <v>0</v>
      </c>
      <c r="L1525" s="1" t="n">
        <f aca="false">IF(OR($L$1="",对接源_02物料!$C325="",对接源_02物料!$C325&lt;&gt;$L$1,对接源_02物料!$B325=""),0,IF(OR(N(对接源_02物料!$B325)&lt;$L$2,N(对接源_02物料!$B325)&gt;$L$3),0,1))</f>
        <v>0</v>
      </c>
      <c r="M1525" s="1" t="n">
        <f aca="false">IF(OR($M$1="",对接源_02物料!$C325="",对接源_02物料!$C325&lt;&gt;$M$1,对接源_02物料!$B325=""),0,IF(OR(N(对接源_02物料!$B325)&lt;$M$2,N(对接源_02物料!$B325)&gt;$M$3),0,1))</f>
        <v>0</v>
      </c>
      <c r="N1525" s="1" t="n">
        <f aca="false">IF(OR($N$1="",对接源_02物料!$C325="",对接源_02物料!$C325&lt;&gt;$N$1,对接源_02物料!$B325=""),0,IF(OR(N(对接源_02物料!$B325)&lt;$N$2,N(对接源_02物料!$B325)&gt;$N$3),0,1))</f>
        <v>0</v>
      </c>
      <c r="P1525" s="1" t="n">
        <f aca="false">IF(AND($K1525=1,AND(对接源_02物料!$X325="公司筐",N(对接源_02物料!$T325)&lt;&gt;0)),1,0)</f>
        <v>0</v>
      </c>
      <c r="Q1525" s="1" t="n">
        <f aca="false">N(Q1524)+$P1525</f>
        <v>13</v>
      </c>
      <c r="R1525" s="1" t="n">
        <f aca="false">IF(AND($K1525=1,AND(对接源_02物料!$X325="公司筐",N(对接源_02物料!$U325)&lt;&gt;0)),1,0)</f>
        <v>0</v>
      </c>
      <c r="S1525" s="1" t="n">
        <f aca="false">N(S1524)+$R1525</f>
        <v>5</v>
      </c>
      <c r="T1525" s="1" t="n">
        <f aca="false">IF(AND($K1525=1,AND(对接源_02物料!$X325="公司筐",N(对接源_02物料!$V325)&lt;&gt;0)),1,0)</f>
        <v>0</v>
      </c>
      <c r="U1525" s="1" t="n">
        <f aca="false">N(U1524)+$T1525</f>
        <v>28</v>
      </c>
      <c r="V1525" s="1" t="n">
        <f aca="false">IF(AND($L1525=1,AND(对接源_02物料!$X325="自备筐",N(对接源_02物料!$V325)&lt;&gt;0)),1,0)</f>
        <v>0</v>
      </c>
      <c r="W1525" s="1" t="n">
        <f aca="false">N(W1524)+$V1525</f>
        <v>7</v>
      </c>
      <c r="X1525" s="1" t="n">
        <f aca="false">IF(AND($L1525=1,AND(对接源_02物料!$X325="自备筐",N(对接源_02物料!$T325)&lt;&gt;0)),1,0)</f>
        <v>0</v>
      </c>
      <c r="Y1525" s="1" t="n">
        <f aca="false">N(Y1524)+$X1525</f>
        <v>0</v>
      </c>
      <c r="Z1525" s="1" t="n">
        <f aca="false">IF(AND($M1525=1,对接源_02物料!$D325="原料入库"),1,0)</f>
        <v>0</v>
      </c>
      <c r="AA1525" s="1" t="n">
        <f aca="false">N(AA1524)+$Z1525</f>
        <v>30</v>
      </c>
      <c r="AB1525" s="1" t="n">
        <f aca="false">IF(AND($M1525=1,LEFT(对接源_02物料!$D325,4)="原料出库"),1,0)</f>
        <v>0</v>
      </c>
      <c r="AC1525" s="1" t="n">
        <f aca="false">N(AC1524)+$AB1525</f>
        <v>19</v>
      </c>
      <c r="AD1525" s="1" t="n">
        <f aca="false">IF(AND($M1525=1,LEFT(对接源_02物料!$D325,4)="成品出库"),1,0)</f>
        <v>0</v>
      </c>
      <c r="AE1525" s="1" t="n">
        <f aca="false">N(AE1524)+$AD1525</f>
        <v>38</v>
      </c>
      <c r="AF1525" s="1" t="n">
        <f aca="false">IF(AND($N1525=1,AND(LEFT(对接源_02物料!$D325,4)="包装物料",N(对接源_02物料!$K325)&lt;&gt;0)),1,0)</f>
        <v>0</v>
      </c>
      <c r="AG1525" s="1" t="n">
        <f aca="false">N(AG1524)+$AF1525</f>
        <v>6</v>
      </c>
      <c r="AH1525" s="1" t="n">
        <f aca="false">IF(AND($N1525=1,AND(LEFT(对接源_02物料!$D325,3)="周转筐",N(对接源_02物料!$K325)&lt;&gt;0)),1,0)</f>
        <v>0</v>
      </c>
      <c r="AI1525" s="1" t="n">
        <f aca="false">N(AI1524)+$AH1525</f>
        <v>0</v>
      </c>
      <c r="AJ1525" s="1" t="n">
        <v>0</v>
      </c>
      <c r="AK1525" s="1" t="n">
        <f aca="false">N(AK1524)+$AJ1525</f>
        <v>3672</v>
      </c>
    </row>
    <row r="1526" customFormat="false" ht="13.5" hidden="false" customHeight="false" outlineLevel="0" collapsed="false">
      <c r="A1526" s="1" t="str">
        <f aca="false">IF(对接源_02物料!$C326="","",对接源_02物料!$C326)</f>
        <v/>
      </c>
      <c r="B1526" s="1" t="n">
        <f aca="false">IF(A1526="",0,IF(MATCH(A1526,$A$4:$A$2403,0)=ROW()-3,1,0))</f>
        <v>0</v>
      </c>
      <c r="C1526" s="1" t="n">
        <f aca="false">N(C1525)+B1526</f>
        <v>17</v>
      </c>
      <c r="K1526" s="1" t="n">
        <f aca="false">IF(OR($K$1="",对接源_02物料!$C326="",对接源_02物料!$C326&lt;&gt;$K$1,对接源_02物料!$B326=""),0,IF(OR(N(对接源_02物料!$B326)&lt;$K$2,N(对接源_02物料!$B326)&gt;$K$3),0,1))</f>
        <v>0</v>
      </c>
      <c r="L1526" s="1" t="n">
        <f aca="false">IF(OR($L$1="",对接源_02物料!$C326="",对接源_02物料!$C326&lt;&gt;$L$1,对接源_02物料!$B326=""),0,IF(OR(N(对接源_02物料!$B326)&lt;$L$2,N(对接源_02物料!$B326)&gt;$L$3),0,1))</f>
        <v>0</v>
      </c>
      <c r="M1526" s="1" t="n">
        <f aca="false">IF(OR($M$1="",对接源_02物料!$C326="",对接源_02物料!$C326&lt;&gt;$M$1,对接源_02物料!$B326=""),0,IF(OR(N(对接源_02物料!$B326)&lt;$M$2,N(对接源_02物料!$B326)&gt;$M$3),0,1))</f>
        <v>0</v>
      </c>
      <c r="N1526" s="1" t="n">
        <f aca="false">IF(OR($N$1="",对接源_02物料!$C326="",对接源_02物料!$C326&lt;&gt;$N$1,对接源_02物料!$B326=""),0,IF(OR(N(对接源_02物料!$B326)&lt;$N$2,N(对接源_02物料!$B326)&gt;$N$3),0,1))</f>
        <v>0</v>
      </c>
      <c r="P1526" s="1" t="n">
        <f aca="false">IF(AND($K1526=1,AND(对接源_02物料!$X326="公司筐",N(对接源_02物料!$T326)&lt;&gt;0)),1,0)</f>
        <v>0</v>
      </c>
      <c r="Q1526" s="1" t="n">
        <f aca="false">N(Q1525)+$P1526</f>
        <v>13</v>
      </c>
      <c r="R1526" s="1" t="n">
        <f aca="false">IF(AND($K1526=1,AND(对接源_02物料!$X326="公司筐",N(对接源_02物料!$U326)&lt;&gt;0)),1,0)</f>
        <v>0</v>
      </c>
      <c r="S1526" s="1" t="n">
        <f aca="false">N(S1525)+$R1526</f>
        <v>5</v>
      </c>
      <c r="T1526" s="1" t="n">
        <f aca="false">IF(AND($K1526=1,AND(对接源_02物料!$X326="公司筐",N(对接源_02物料!$V326)&lt;&gt;0)),1,0)</f>
        <v>0</v>
      </c>
      <c r="U1526" s="1" t="n">
        <f aca="false">N(U1525)+$T1526</f>
        <v>28</v>
      </c>
      <c r="V1526" s="1" t="n">
        <f aca="false">IF(AND($L1526=1,AND(对接源_02物料!$X326="自备筐",N(对接源_02物料!$V326)&lt;&gt;0)),1,0)</f>
        <v>0</v>
      </c>
      <c r="W1526" s="1" t="n">
        <f aca="false">N(W1525)+$V1526</f>
        <v>7</v>
      </c>
      <c r="X1526" s="1" t="n">
        <f aca="false">IF(AND($L1526=1,AND(对接源_02物料!$X326="自备筐",N(对接源_02物料!$T326)&lt;&gt;0)),1,0)</f>
        <v>0</v>
      </c>
      <c r="Y1526" s="1" t="n">
        <f aca="false">N(Y1525)+$X1526</f>
        <v>0</v>
      </c>
      <c r="Z1526" s="1" t="n">
        <f aca="false">IF(AND($M1526=1,对接源_02物料!$D326="原料入库"),1,0)</f>
        <v>0</v>
      </c>
      <c r="AA1526" s="1" t="n">
        <f aca="false">N(AA1525)+$Z1526</f>
        <v>30</v>
      </c>
      <c r="AB1526" s="1" t="n">
        <f aca="false">IF(AND($M1526=1,LEFT(对接源_02物料!$D326,4)="原料出库"),1,0)</f>
        <v>0</v>
      </c>
      <c r="AC1526" s="1" t="n">
        <f aca="false">N(AC1525)+$AB1526</f>
        <v>19</v>
      </c>
      <c r="AD1526" s="1" t="n">
        <f aca="false">IF(AND($M1526=1,LEFT(对接源_02物料!$D326,4)="成品出库"),1,0)</f>
        <v>0</v>
      </c>
      <c r="AE1526" s="1" t="n">
        <f aca="false">N(AE1525)+$AD1526</f>
        <v>38</v>
      </c>
      <c r="AF1526" s="1" t="n">
        <f aca="false">IF(AND($N1526=1,AND(LEFT(对接源_02物料!$D326,4)="包装物料",N(对接源_02物料!$K326)&lt;&gt;0)),1,0)</f>
        <v>0</v>
      </c>
      <c r="AG1526" s="1" t="n">
        <f aca="false">N(AG1525)+$AF1526</f>
        <v>6</v>
      </c>
      <c r="AH1526" s="1" t="n">
        <f aca="false">IF(AND($N1526=1,AND(LEFT(对接源_02物料!$D326,3)="周转筐",N(对接源_02物料!$K326)&lt;&gt;0)),1,0)</f>
        <v>0</v>
      </c>
      <c r="AI1526" s="1" t="n">
        <f aca="false">N(AI1525)+$AH1526</f>
        <v>0</v>
      </c>
      <c r="AJ1526" s="1" t="n">
        <v>0</v>
      </c>
      <c r="AK1526" s="1" t="n">
        <f aca="false">N(AK1525)+$AJ1526</f>
        <v>3672</v>
      </c>
    </row>
    <row r="1527" customFormat="false" ht="13.5" hidden="false" customHeight="false" outlineLevel="0" collapsed="false">
      <c r="A1527" s="1" t="str">
        <f aca="false">IF(对接源_02物料!$C327="","",对接源_02物料!$C327)</f>
        <v/>
      </c>
      <c r="B1527" s="1" t="n">
        <f aca="false">IF(A1527="",0,IF(MATCH(A1527,$A$4:$A$2403,0)=ROW()-3,1,0))</f>
        <v>0</v>
      </c>
      <c r="C1527" s="1" t="n">
        <f aca="false">N(C1526)+B1527</f>
        <v>17</v>
      </c>
      <c r="K1527" s="1" t="n">
        <f aca="false">IF(OR($K$1="",对接源_02物料!$C327="",对接源_02物料!$C327&lt;&gt;$K$1,对接源_02物料!$B327=""),0,IF(OR(N(对接源_02物料!$B327)&lt;$K$2,N(对接源_02物料!$B327)&gt;$K$3),0,1))</f>
        <v>0</v>
      </c>
      <c r="L1527" s="1" t="n">
        <f aca="false">IF(OR($L$1="",对接源_02物料!$C327="",对接源_02物料!$C327&lt;&gt;$L$1,对接源_02物料!$B327=""),0,IF(OR(N(对接源_02物料!$B327)&lt;$L$2,N(对接源_02物料!$B327)&gt;$L$3),0,1))</f>
        <v>0</v>
      </c>
      <c r="M1527" s="1" t="n">
        <f aca="false">IF(OR($M$1="",对接源_02物料!$C327="",对接源_02物料!$C327&lt;&gt;$M$1,对接源_02物料!$B327=""),0,IF(OR(N(对接源_02物料!$B327)&lt;$M$2,N(对接源_02物料!$B327)&gt;$M$3),0,1))</f>
        <v>0</v>
      </c>
      <c r="N1527" s="1" t="n">
        <f aca="false">IF(OR($N$1="",对接源_02物料!$C327="",对接源_02物料!$C327&lt;&gt;$N$1,对接源_02物料!$B327=""),0,IF(OR(N(对接源_02物料!$B327)&lt;$N$2,N(对接源_02物料!$B327)&gt;$N$3),0,1))</f>
        <v>0</v>
      </c>
      <c r="P1527" s="1" t="n">
        <f aca="false">IF(AND($K1527=1,AND(对接源_02物料!$X327="公司筐",N(对接源_02物料!$T327)&lt;&gt;0)),1,0)</f>
        <v>0</v>
      </c>
      <c r="Q1527" s="1" t="n">
        <f aca="false">N(Q1526)+$P1527</f>
        <v>13</v>
      </c>
      <c r="R1527" s="1" t="n">
        <f aca="false">IF(AND($K1527=1,AND(对接源_02物料!$X327="公司筐",N(对接源_02物料!$U327)&lt;&gt;0)),1,0)</f>
        <v>0</v>
      </c>
      <c r="S1527" s="1" t="n">
        <f aca="false">N(S1526)+$R1527</f>
        <v>5</v>
      </c>
      <c r="T1527" s="1" t="n">
        <f aca="false">IF(AND($K1527=1,AND(对接源_02物料!$X327="公司筐",N(对接源_02物料!$V327)&lt;&gt;0)),1,0)</f>
        <v>0</v>
      </c>
      <c r="U1527" s="1" t="n">
        <f aca="false">N(U1526)+$T1527</f>
        <v>28</v>
      </c>
      <c r="V1527" s="1" t="n">
        <f aca="false">IF(AND($L1527=1,AND(对接源_02物料!$X327="自备筐",N(对接源_02物料!$V327)&lt;&gt;0)),1,0)</f>
        <v>0</v>
      </c>
      <c r="W1527" s="1" t="n">
        <f aca="false">N(W1526)+$V1527</f>
        <v>7</v>
      </c>
      <c r="X1527" s="1" t="n">
        <f aca="false">IF(AND($L1527=1,AND(对接源_02物料!$X327="自备筐",N(对接源_02物料!$T327)&lt;&gt;0)),1,0)</f>
        <v>0</v>
      </c>
      <c r="Y1527" s="1" t="n">
        <f aca="false">N(Y1526)+$X1527</f>
        <v>0</v>
      </c>
      <c r="Z1527" s="1" t="n">
        <f aca="false">IF(AND($M1527=1,对接源_02物料!$D327="原料入库"),1,0)</f>
        <v>0</v>
      </c>
      <c r="AA1527" s="1" t="n">
        <f aca="false">N(AA1526)+$Z1527</f>
        <v>30</v>
      </c>
      <c r="AB1527" s="1" t="n">
        <f aca="false">IF(AND($M1527=1,LEFT(对接源_02物料!$D327,4)="原料出库"),1,0)</f>
        <v>0</v>
      </c>
      <c r="AC1527" s="1" t="n">
        <f aca="false">N(AC1526)+$AB1527</f>
        <v>19</v>
      </c>
      <c r="AD1527" s="1" t="n">
        <f aca="false">IF(AND($M1527=1,LEFT(对接源_02物料!$D327,4)="成品出库"),1,0)</f>
        <v>0</v>
      </c>
      <c r="AE1527" s="1" t="n">
        <f aca="false">N(AE1526)+$AD1527</f>
        <v>38</v>
      </c>
      <c r="AF1527" s="1" t="n">
        <f aca="false">IF(AND($N1527=1,AND(LEFT(对接源_02物料!$D327,4)="包装物料",N(对接源_02物料!$K327)&lt;&gt;0)),1,0)</f>
        <v>0</v>
      </c>
      <c r="AG1527" s="1" t="n">
        <f aca="false">N(AG1526)+$AF1527</f>
        <v>6</v>
      </c>
      <c r="AH1527" s="1" t="n">
        <f aca="false">IF(AND($N1527=1,AND(LEFT(对接源_02物料!$D327,3)="周转筐",N(对接源_02物料!$K327)&lt;&gt;0)),1,0)</f>
        <v>0</v>
      </c>
      <c r="AI1527" s="1" t="n">
        <f aca="false">N(AI1526)+$AH1527</f>
        <v>0</v>
      </c>
      <c r="AJ1527" s="1" t="n">
        <v>0</v>
      </c>
      <c r="AK1527" s="1" t="n">
        <f aca="false">N(AK1526)+$AJ1527</f>
        <v>3672</v>
      </c>
    </row>
    <row r="1528" customFormat="false" ht="13.5" hidden="false" customHeight="false" outlineLevel="0" collapsed="false">
      <c r="A1528" s="1" t="str">
        <f aca="false">IF(对接源_02物料!$C328="","",对接源_02物料!$C328)</f>
        <v/>
      </c>
      <c r="B1528" s="1" t="n">
        <f aca="false">IF(A1528="",0,IF(MATCH(A1528,$A$4:$A$2403,0)=ROW()-3,1,0))</f>
        <v>0</v>
      </c>
      <c r="C1528" s="1" t="n">
        <f aca="false">N(C1527)+B1528</f>
        <v>17</v>
      </c>
      <c r="K1528" s="1" t="n">
        <f aca="false">IF(OR($K$1="",对接源_02物料!$C328="",对接源_02物料!$C328&lt;&gt;$K$1,对接源_02物料!$B328=""),0,IF(OR(N(对接源_02物料!$B328)&lt;$K$2,N(对接源_02物料!$B328)&gt;$K$3),0,1))</f>
        <v>0</v>
      </c>
      <c r="L1528" s="1" t="n">
        <f aca="false">IF(OR($L$1="",对接源_02物料!$C328="",对接源_02物料!$C328&lt;&gt;$L$1,对接源_02物料!$B328=""),0,IF(OR(N(对接源_02物料!$B328)&lt;$L$2,N(对接源_02物料!$B328)&gt;$L$3),0,1))</f>
        <v>0</v>
      </c>
      <c r="M1528" s="1" t="n">
        <f aca="false">IF(OR($M$1="",对接源_02物料!$C328="",对接源_02物料!$C328&lt;&gt;$M$1,对接源_02物料!$B328=""),0,IF(OR(N(对接源_02物料!$B328)&lt;$M$2,N(对接源_02物料!$B328)&gt;$M$3),0,1))</f>
        <v>0</v>
      </c>
      <c r="N1528" s="1" t="n">
        <f aca="false">IF(OR($N$1="",对接源_02物料!$C328="",对接源_02物料!$C328&lt;&gt;$N$1,对接源_02物料!$B328=""),0,IF(OR(N(对接源_02物料!$B328)&lt;$N$2,N(对接源_02物料!$B328)&gt;$N$3),0,1))</f>
        <v>0</v>
      </c>
      <c r="P1528" s="1" t="n">
        <f aca="false">IF(AND($K1528=1,AND(对接源_02物料!$X328="公司筐",N(对接源_02物料!$T328)&lt;&gt;0)),1,0)</f>
        <v>0</v>
      </c>
      <c r="Q1528" s="1" t="n">
        <f aca="false">N(Q1527)+$P1528</f>
        <v>13</v>
      </c>
      <c r="R1528" s="1" t="n">
        <f aca="false">IF(AND($K1528=1,AND(对接源_02物料!$X328="公司筐",N(对接源_02物料!$U328)&lt;&gt;0)),1,0)</f>
        <v>0</v>
      </c>
      <c r="S1528" s="1" t="n">
        <f aca="false">N(S1527)+$R1528</f>
        <v>5</v>
      </c>
      <c r="T1528" s="1" t="n">
        <f aca="false">IF(AND($K1528=1,AND(对接源_02物料!$X328="公司筐",N(对接源_02物料!$V328)&lt;&gt;0)),1,0)</f>
        <v>0</v>
      </c>
      <c r="U1528" s="1" t="n">
        <f aca="false">N(U1527)+$T1528</f>
        <v>28</v>
      </c>
      <c r="V1528" s="1" t="n">
        <f aca="false">IF(AND($L1528=1,AND(对接源_02物料!$X328="自备筐",N(对接源_02物料!$V328)&lt;&gt;0)),1,0)</f>
        <v>0</v>
      </c>
      <c r="W1528" s="1" t="n">
        <f aca="false">N(W1527)+$V1528</f>
        <v>7</v>
      </c>
      <c r="X1528" s="1" t="n">
        <f aca="false">IF(AND($L1528=1,AND(对接源_02物料!$X328="自备筐",N(对接源_02物料!$T328)&lt;&gt;0)),1,0)</f>
        <v>0</v>
      </c>
      <c r="Y1528" s="1" t="n">
        <f aca="false">N(Y1527)+$X1528</f>
        <v>0</v>
      </c>
      <c r="Z1528" s="1" t="n">
        <f aca="false">IF(AND($M1528=1,对接源_02物料!$D328="原料入库"),1,0)</f>
        <v>0</v>
      </c>
      <c r="AA1528" s="1" t="n">
        <f aca="false">N(AA1527)+$Z1528</f>
        <v>30</v>
      </c>
      <c r="AB1528" s="1" t="n">
        <f aca="false">IF(AND($M1528=1,LEFT(对接源_02物料!$D328,4)="原料出库"),1,0)</f>
        <v>0</v>
      </c>
      <c r="AC1528" s="1" t="n">
        <f aca="false">N(AC1527)+$AB1528</f>
        <v>19</v>
      </c>
      <c r="AD1528" s="1" t="n">
        <f aca="false">IF(AND($M1528=1,LEFT(对接源_02物料!$D328,4)="成品出库"),1,0)</f>
        <v>0</v>
      </c>
      <c r="AE1528" s="1" t="n">
        <f aca="false">N(AE1527)+$AD1528</f>
        <v>38</v>
      </c>
      <c r="AF1528" s="1" t="n">
        <f aca="false">IF(AND($N1528=1,AND(LEFT(对接源_02物料!$D328,4)="包装物料",N(对接源_02物料!$K328)&lt;&gt;0)),1,0)</f>
        <v>0</v>
      </c>
      <c r="AG1528" s="1" t="n">
        <f aca="false">N(AG1527)+$AF1528</f>
        <v>6</v>
      </c>
      <c r="AH1528" s="1" t="n">
        <f aca="false">IF(AND($N1528=1,AND(LEFT(对接源_02物料!$D328,3)="周转筐",N(对接源_02物料!$K328)&lt;&gt;0)),1,0)</f>
        <v>0</v>
      </c>
      <c r="AI1528" s="1" t="n">
        <f aca="false">N(AI1527)+$AH1528</f>
        <v>0</v>
      </c>
      <c r="AJ1528" s="1" t="n">
        <v>0</v>
      </c>
      <c r="AK1528" s="1" t="n">
        <f aca="false">N(AK1527)+$AJ1528</f>
        <v>3672</v>
      </c>
    </row>
    <row r="1529" customFormat="false" ht="13.5" hidden="false" customHeight="false" outlineLevel="0" collapsed="false">
      <c r="A1529" s="1" t="str">
        <f aca="false">IF(对接源_02物料!$C329="","",对接源_02物料!$C329)</f>
        <v/>
      </c>
      <c r="B1529" s="1" t="n">
        <f aca="false">IF(A1529="",0,IF(MATCH(A1529,$A$4:$A$2403,0)=ROW()-3,1,0))</f>
        <v>0</v>
      </c>
      <c r="C1529" s="1" t="n">
        <f aca="false">N(C1528)+B1529</f>
        <v>17</v>
      </c>
      <c r="K1529" s="1" t="n">
        <f aca="false">IF(OR($K$1="",对接源_02物料!$C329="",对接源_02物料!$C329&lt;&gt;$K$1,对接源_02物料!$B329=""),0,IF(OR(N(对接源_02物料!$B329)&lt;$K$2,N(对接源_02物料!$B329)&gt;$K$3),0,1))</f>
        <v>0</v>
      </c>
      <c r="L1529" s="1" t="n">
        <f aca="false">IF(OR($L$1="",对接源_02物料!$C329="",对接源_02物料!$C329&lt;&gt;$L$1,对接源_02物料!$B329=""),0,IF(OR(N(对接源_02物料!$B329)&lt;$L$2,N(对接源_02物料!$B329)&gt;$L$3),0,1))</f>
        <v>0</v>
      </c>
      <c r="M1529" s="1" t="n">
        <f aca="false">IF(OR($M$1="",对接源_02物料!$C329="",对接源_02物料!$C329&lt;&gt;$M$1,对接源_02物料!$B329=""),0,IF(OR(N(对接源_02物料!$B329)&lt;$M$2,N(对接源_02物料!$B329)&gt;$M$3),0,1))</f>
        <v>0</v>
      </c>
      <c r="N1529" s="1" t="n">
        <f aca="false">IF(OR($N$1="",对接源_02物料!$C329="",对接源_02物料!$C329&lt;&gt;$N$1,对接源_02物料!$B329=""),0,IF(OR(N(对接源_02物料!$B329)&lt;$N$2,N(对接源_02物料!$B329)&gt;$N$3),0,1))</f>
        <v>0</v>
      </c>
      <c r="P1529" s="1" t="n">
        <f aca="false">IF(AND($K1529=1,AND(对接源_02物料!$X329="公司筐",N(对接源_02物料!$T329)&lt;&gt;0)),1,0)</f>
        <v>0</v>
      </c>
      <c r="Q1529" s="1" t="n">
        <f aca="false">N(Q1528)+$P1529</f>
        <v>13</v>
      </c>
      <c r="R1529" s="1" t="n">
        <f aca="false">IF(AND($K1529=1,AND(对接源_02物料!$X329="公司筐",N(对接源_02物料!$U329)&lt;&gt;0)),1,0)</f>
        <v>0</v>
      </c>
      <c r="S1529" s="1" t="n">
        <f aca="false">N(S1528)+$R1529</f>
        <v>5</v>
      </c>
      <c r="T1529" s="1" t="n">
        <f aca="false">IF(AND($K1529=1,AND(对接源_02物料!$X329="公司筐",N(对接源_02物料!$V329)&lt;&gt;0)),1,0)</f>
        <v>0</v>
      </c>
      <c r="U1529" s="1" t="n">
        <f aca="false">N(U1528)+$T1529</f>
        <v>28</v>
      </c>
      <c r="V1529" s="1" t="n">
        <f aca="false">IF(AND($L1529=1,AND(对接源_02物料!$X329="自备筐",N(对接源_02物料!$V329)&lt;&gt;0)),1,0)</f>
        <v>0</v>
      </c>
      <c r="W1529" s="1" t="n">
        <f aca="false">N(W1528)+$V1529</f>
        <v>7</v>
      </c>
      <c r="X1529" s="1" t="n">
        <f aca="false">IF(AND($L1529=1,AND(对接源_02物料!$X329="自备筐",N(对接源_02物料!$T329)&lt;&gt;0)),1,0)</f>
        <v>0</v>
      </c>
      <c r="Y1529" s="1" t="n">
        <f aca="false">N(Y1528)+$X1529</f>
        <v>0</v>
      </c>
      <c r="Z1529" s="1" t="n">
        <f aca="false">IF(AND($M1529=1,对接源_02物料!$D329="原料入库"),1,0)</f>
        <v>0</v>
      </c>
      <c r="AA1529" s="1" t="n">
        <f aca="false">N(AA1528)+$Z1529</f>
        <v>30</v>
      </c>
      <c r="AB1529" s="1" t="n">
        <f aca="false">IF(AND($M1529=1,LEFT(对接源_02物料!$D329,4)="原料出库"),1,0)</f>
        <v>0</v>
      </c>
      <c r="AC1529" s="1" t="n">
        <f aca="false">N(AC1528)+$AB1529</f>
        <v>19</v>
      </c>
      <c r="AD1529" s="1" t="n">
        <f aca="false">IF(AND($M1529=1,LEFT(对接源_02物料!$D329,4)="成品出库"),1,0)</f>
        <v>0</v>
      </c>
      <c r="AE1529" s="1" t="n">
        <f aca="false">N(AE1528)+$AD1529</f>
        <v>38</v>
      </c>
      <c r="AF1529" s="1" t="n">
        <f aca="false">IF(AND($N1529=1,AND(LEFT(对接源_02物料!$D329,4)="包装物料",N(对接源_02物料!$K329)&lt;&gt;0)),1,0)</f>
        <v>0</v>
      </c>
      <c r="AG1529" s="1" t="n">
        <f aca="false">N(AG1528)+$AF1529</f>
        <v>6</v>
      </c>
      <c r="AH1529" s="1" t="n">
        <f aca="false">IF(AND($N1529=1,AND(LEFT(对接源_02物料!$D329,3)="周转筐",N(对接源_02物料!$K329)&lt;&gt;0)),1,0)</f>
        <v>0</v>
      </c>
      <c r="AI1529" s="1" t="n">
        <f aca="false">N(AI1528)+$AH1529</f>
        <v>0</v>
      </c>
      <c r="AJ1529" s="1" t="n">
        <v>0</v>
      </c>
      <c r="AK1529" s="1" t="n">
        <f aca="false">N(AK1528)+$AJ1529</f>
        <v>3672</v>
      </c>
    </row>
    <row r="1530" customFormat="false" ht="13.5" hidden="false" customHeight="false" outlineLevel="0" collapsed="false">
      <c r="A1530" s="1" t="str">
        <f aca="false">IF(对接源_02物料!$C330="","",对接源_02物料!$C330)</f>
        <v/>
      </c>
      <c r="B1530" s="1" t="n">
        <f aca="false">IF(A1530="",0,IF(MATCH(A1530,$A$4:$A$2403,0)=ROW()-3,1,0))</f>
        <v>0</v>
      </c>
      <c r="C1530" s="1" t="n">
        <f aca="false">N(C1529)+B1530</f>
        <v>17</v>
      </c>
      <c r="K1530" s="1" t="n">
        <f aca="false">IF(OR($K$1="",对接源_02物料!$C330="",对接源_02物料!$C330&lt;&gt;$K$1,对接源_02物料!$B330=""),0,IF(OR(N(对接源_02物料!$B330)&lt;$K$2,N(对接源_02物料!$B330)&gt;$K$3),0,1))</f>
        <v>0</v>
      </c>
      <c r="L1530" s="1" t="n">
        <f aca="false">IF(OR($L$1="",对接源_02物料!$C330="",对接源_02物料!$C330&lt;&gt;$L$1,对接源_02物料!$B330=""),0,IF(OR(N(对接源_02物料!$B330)&lt;$L$2,N(对接源_02物料!$B330)&gt;$L$3),0,1))</f>
        <v>0</v>
      </c>
      <c r="M1530" s="1" t="n">
        <f aca="false">IF(OR($M$1="",对接源_02物料!$C330="",对接源_02物料!$C330&lt;&gt;$M$1,对接源_02物料!$B330=""),0,IF(OR(N(对接源_02物料!$B330)&lt;$M$2,N(对接源_02物料!$B330)&gt;$M$3),0,1))</f>
        <v>0</v>
      </c>
      <c r="N1530" s="1" t="n">
        <f aca="false">IF(OR($N$1="",对接源_02物料!$C330="",对接源_02物料!$C330&lt;&gt;$N$1,对接源_02物料!$B330=""),0,IF(OR(N(对接源_02物料!$B330)&lt;$N$2,N(对接源_02物料!$B330)&gt;$N$3),0,1))</f>
        <v>0</v>
      </c>
      <c r="P1530" s="1" t="n">
        <f aca="false">IF(AND($K1530=1,AND(对接源_02物料!$X330="公司筐",N(对接源_02物料!$T330)&lt;&gt;0)),1,0)</f>
        <v>0</v>
      </c>
      <c r="Q1530" s="1" t="n">
        <f aca="false">N(Q1529)+$P1530</f>
        <v>13</v>
      </c>
      <c r="R1530" s="1" t="n">
        <f aca="false">IF(AND($K1530=1,AND(对接源_02物料!$X330="公司筐",N(对接源_02物料!$U330)&lt;&gt;0)),1,0)</f>
        <v>0</v>
      </c>
      <c r="S1530" s="1" t="n">
        <f aca="false">N(S1529)+$R1530</f>
        <v>5</v>
      </c>
      <c r="T1530" s="1" t="n">
        <f aca="false">IF(AND($K1530=1,AND(对接源_02物料!$X330="公司筐",N(对接源_02物料!$V330)&lt;&gt;0)),1,0)</f>
        <v>0</v>
      </c>
      <c r="U1530" s="1" t="n">
        <f aca="false">N(U1529)+$T1530</f>
        <v>28</v>
      </c>
      <c r="V1530" s="1" t="n">
        <f aca="false">IF(AND($L1530=1,AND(对接源_02物料!$X330="自备筐",N(对接源_02物料!$V330)&lt;&gt;0)),1,0)</f>
        <v>0</v>
      </c>
      <c r="W1530" s="1" t="n">
        <f aca="false">N(W1529)+$V1530</f>
        <v>7</v>
      </c>
      <c r="X1530" s="1" t="n">
        <f aca="false">IF(AND($L1530=1,AND(对接源_02物料!$X330="自备筐",N(对接源_02物料!$T330)&lt;&gt;0)),1,0)</f>
        <v>0</v>
      </c>
      <c r="Y1530" s="1" t="n">
        <f aca="false">N(Y1529)+$X1530</f>
        <v>0</v>
      </c>
      <c r="Z1530" s="1" t="n">
        <f aca="false">IF(AND($M1530=1,对接源_02物料!$D330="原料入库"),1,0)</f>
        <v>0</v>
      </c>
      <c r="AA1530" s="1" t="n">
        <f aca="false">N(AA1529)+$Z1530</f>
        <v>30</v>
      </c>
      <c r="AB1530" s="1" t="n">
        <f aca="false">IF(AND($M1530=1,LEFT(对接源_02物料!$D330,4)="原料出库"),1,0)</f>
        <v>0</v>
      </c>
      <c r="AC1530" s="1" t="n">
        <f aca="false">N(AC1529)+$AB1530</f>
        <v>19</v>
      </c>
      <c r="AD1530" s="1" t="n">
        <f aca="false">IF(AND($M1530=1,LEFT(对接源_02物料!$D330,4)="成品出库"),1,0)</f>
        <v>0</v>
      </c>
      <c r="AE1530" s="1" t="n">
        <f aca="false">N(AE1529)+$AD1530</f>
        <v>38</v>
      </c>
      <c r="AF1530" s="1" t="n">
        <f aca="false">IF(AND($N1530=1,AND(LEFT(对接源_02物料!$D330,4)="包装物料",N(对接源_02物料!$K330)&lt;&gt;0)),1,0)</f>
        <v>0</v>
      </c>
      <c r="AG1530" s="1" t="n">
        <f aca="false">N(AG1529)+$AF1530</f>
        <v>6</v>
      </c>
      <c r="AH1530" s="1" t="n">
        <f aca="false">IF(AND($N1530=1,AND(LEFT(对接源_02物料!$D330,3)="周转筐",N(对接源_02物料!$K330)&lt;&gt;0)),1,0)</f>
        <v>0</v>
      </c>
      <c r="AI1530" s="1" t="n">
        <f aca="false">N(AI1529)+$AH1530</f>
        <v>0</v>
      </c>
      <c r="AJ1530" s="1" t="n">
        <v>0</v>
      </c>
      <c r="AK1530" s="1" t="n">
        <f aca="false">N(AK1529)+$AJ1530</f>
        <v>3672</v>
      </c>
    </row>
    <row r="1531" customFormat="false" ht="13.5" hidden="false" customHeight="false" outlineLevel="0" collapsed="false">
      <c r="A1531" s="1" t="str">
        <f aca="false">IF(对接源_02物料!$C331="","",对接源_02物料!$C331)</f>
        <v/>
      </c>
      <c r="B1531" s="1" t="n">
        <f aca="false">IF(A1531="",0,IF(MATCH(A1531,$A$4:$A$2403,0)=ROW()-3,1,0))</f>
        <v>0</v>
      </c>
      <c r="C1531" s="1" t="n">
        <f aca="false">N(C1530)+B1531</f>
        <v>17</v>
      </c>
      <c r="K1531" s="1" t="n">
        <f aca="false">IF(OR($K$1="",对接源_02物料!$C331="",对接源_02物料!$C331&lt;&gt;$K$1,对接源_02物料!$B331=""),0,IF(OR(N(对接源_02物料!$B331)&lt;$K$2,N(对接源_02物料!$B331)&gt;$K$3),0,1))</f>
        <v>0</v>
      </c>
      <c r="L1531" s="1" t="n">
        <f aca="false">IF(OR($L$1="",对接源_02物料!$C331="",对接源_02物料!$C331&lt;&gt;$L$1,对接源_02物料!$B331=""),0,IF(OR(N(对接源_02物料!$B331)&lt;$L$2,N(对接源_02物料!$B331)&gt;$L$3),0,1))</f>
        <v>0</v>
      </c>
      <c r="M1531" s="1" t="n">
        <f aca="false">IF(OR($M$1="",对接源_02物料!$C331="",对接源_02物料!$C331&lt;&gt;$M$1,对接源_02物料!$B331=""),0,IF(OR(N(对接源_02物料!$B331)&lt;$M$2,N(对接源_02物料!$B331)&gt;$M$3),0,1))</f>
        <v>0</v>
      </c>
      <c r="N1531" s="1" t="n">
        <f aca="false">IF(OR($N$1="",对接源_02物料!$C331="",对接源_02物料!$C331&lt;&gt;$N$1,对接源_02物料!$B331=""),0,IF(OR(N(对接源_02物料!$B331)&lt;$N$2,N(对接源_02物料!$B331)&gt;$N$3),0,1))</f>
        <v>0</v>
      </c>
      <c r="P1531" s="1" t="n">
        <f aca="false">IF(AND($K1531=1,AND(对接源_02物料!$X331="公司筐",N(对接源_02物料!$T331)&lt;&gt;0)),1,0)</f>
        <v>0</v>
      </c>
      <c r="Q1531" s="1" t="n">
        <f aca="false">N(Q1530)+$P1531</f>
        <v>13</v>
      </c>
      <c r="R1531" s="1" t="n">
        <f aca="false">IF(AND($K1531=1,AND(对接源_02物料!$X331="公司筐",N(对接源_02物料!$U331)&lt;&gt;0)),1,0)</f>
        <v>0</v>
      </c>
      <c r="S1531" s="1" t="n">
        <f aca="false">N(S1530)+$R1531</f>
        <v>5</v>
      </c>
      <c r="T1531" s="1" t="n">
        <f aca="false">IF(AND($K1531=1,AND(对接源_02物料!$X331="公司筐",N(对接源_02物料!$V331)&lt;&gt;0)),1,0)</f>
        <v>0</v>
      </c>
      <c r="U1531" s="1" t="n">
        <f aca="false">N(U1530)+$T1531</f>
        <v>28</v>
      </c>
      <c r="V1531" s="1" t="n">
        <f aca="false">IF(AND($L1531=1,AND(对接源_02物料!$X331="自备筐",N(对接源_02物料!$V331)&lt;&gt;0)),1,0)</f>
        <v>0</v>
      </c>
      <c r="W1531" s="1" t="n">
        <f aca="false">N(W1530)+$V1531</f>
        <v>7</v>
      </c>
      <c r="X1531" s="1" t="n">
        <f aca="false">IF(AND($L1531=1,AND(对接源_02物料!$X331="自备筐",N(对接源_02物料!$T331)&lt;&gt;0)),1,0)</f>
        <v>0</v>
      </c>
      <c r="Y1531" s="1" t="n">
        <f aca="false">N(Y1530)+$X1531</f>
        <v>0</v>
      </c>
      <c r="Z1531" s="1" t="n">
        <f aca="false">IF(AND($M1531=1,对接源_02物料!$D331="原料入库"),1,0)</f>
        <v>0</v>
      </c>
      <c r="AA1531" s="1" t="n">
        <f aca="false">N(AA1530)+$Z1531</f>
        <v>30</v>
      </c>
      <c r="AB1531" s="1" t="n">
        <f aca="false">IF(AND($M1531=1,LEFT(对接源_02物料!$D331,4)="原料出库"),1,0)</f>
        <v>0</v>
      </c>
      <c r="AC1531" s="1" t="n">
        <f aca="false">N(AC1530)+$AB1531</f>
        <v>19</v>
      </c>
      <c r="AD1531" s="1" t="n">
        <f aca="false">IF(AND($M1531=1,LEFT(对接源_02物料!$D331,4)="成品出库"),1,0)</f>
        <v>0</v>
      </c>
      <c r="AE1531" s="1" t="n">
        <f aca="false">N(AE1530)+$AD1531</f>
        <v>38</v>
      </c>
      <c r="AF1531" s="1" t="n">
        <f aca="false">IF(AND($N1531=1,AND(LEFT(对接源_02物料!$D331,4)="包装物料",N(对接源_02物料!$K331)&lt;&gt;0)),1,0)</f>
        <v>0</v>
      </c>
      <c r="AG1531" s="1" t="n">
        <f aca="false">N(AG1530)+$AF1531</f>
        <v>6</v>
      </c>
      <c r="AH1531" s="1" t="n">
        <f aca="false">IF(AND($N1531=1,AND(LEFT(对接源_02物料!$D331,3)="周转筐",N(对接源_02物料!$K331)&lt;&gt;0)),1,0)</f>
        <v>0</v>
      </c>
      <c r="AI1531" s="1" t="n">
        <f aca="false">N(AI1530)+$AH1531</f>
        <v>0</v>
      </c>
      <c r="AJ1531" s="1" t="n">
        <v>0</v>
      </c>
      <c r="AK1531" s="1" t="n">
        <f aca="false">N(AK1530)+$AJ1531</f>
        <v>3672</v>
      </c>
    </row>
    <row r="1532" customFormat="false" ht="13.5" hidden="false" customHeight="false" outlineLevel="0" collapsed="false">
      <c r="A1532" s="1" t="str">
        <f aca="false">IF(对接源_02物料!$C332="","",对接源_02物料!$C332)</f>
        <v/>
      </c>
      <c r="B1532" s="1" t="n">
        <f aca="false">IF(A1532="",0,IF(MATCH(A1532,$A$4:$A$2403,0)=ROW()-3,1,0))</f>
        <v>0</v>
      </c>
      <c r="C1532" s="1" t="n">
        <f aca="false">N(C1531)+B1532</f>
        <v>17</v>
      </c>
      <c r="K1532" s="1" t="n">
        <f aca="false">IF(OR($K$1="",对接源_02物料!$C332="",对接源_02物料!$C332&lt;&gt;$K$1,对接源_02物料!$B332=""),0,IF(OR(N(对接源_02物料!$B332)&lt;$K$2,N(对接源_02物料!$B332)&gt;$K$3),0,1))</f>
        <v>0</v>
      </c>
      <c r="L1532" s="1" t="n">
        <f aca="false">IF(OR($L$1="",对接源_02物料!$C332="",对接源_02物料!$C332&lt;&gt;$L$1,对接源_02物料!$B332=""),0,IF(OR(N(对接源_02物料!$B332)&lt;$L$2,N(对接源_02物料!$B332)&gt;$L$3),0,1))</f>
        <v>0</v>
      </c>
      <c r="M1532" s="1" t="n">
        <f aca="false">IF(OR($M$1="",对接源_02物料!$C332="",对接源_02物料!$C332&lt;&gt;$M$1,对接源_02物料!$B332=""),0,IF(OR(N(对接源_02物料!$B332)&lt;$M$2,N(对接源_02物料!$B332)&gt;$M$3),0,1))</f>
        <v>0</v>
      </c>
      <c r="N1532" s="1" t="n">
        <f aca="false">IF(OR($N$1="",对接源_02物料!$C332="",对接源_02物料!$C332&lt;&gt;$N$1,对接源_02物料!$B332=""),0,IF(OR(N(对接源_02物料!$B332)&lt;$N$2,N(对接源_02物料!$B332)&gt;$N$3),0,1))</f>
        <v>0</v>
      </c>
      <c r="P1532" s="1" t="n">
        <f aca="false">IF(AND($K1532=1,AND(对接源_02物料!$X332="公司筐",N(对接源_02物料!$T332)&lt;&gt;0)),1,0)</f>
        <v>0</v>
      </c>
      <c r="Q1532" s="1" t="n">
        <f aca="false">N(Q1531)+$P1532</f>
        <v>13</v>
      </c>
      <c r="R1532" s="1" t="n">
        <f aca="false">IF(AND($K1532=1,AND(对接源_02物料!$X332="公司筐",N(对接源_02物料!$U332)&lt;&gt;0)),1,0)</f>
        <v>0</v>
      </c>
      <c r="S1532" s="1" t="n">
        <f aca="false">N(S1531)+$R1532</f>
        <v>5</v>
      </c>
      <c r="T1532" s="1" t="n">
        <f aca="false">IF(AND($K1532=1,AND(对接源_02物料!$X332="公司筐",N(对接源_02物料!$V332)&lt;&gt;0)),1,0)</f>
        <v>0</v>
      </c>
      <c r="U1532" s="1" t="n">
        <f aca="false">N(U1531)+$T1532</f>
        <v>28</v>
      </c>
      <c r="V1532" s="1" t="n">
        <f aca="false">IF(AND($L1532=1,AND(对接源_02物料!$X332="自备筐",N(对接源_02物料!$V332)&lt;&gt;0)),1,0)</f>
        <v>0</v>
      </c>
      <c r="W1532" s="1" t="n">
        <f aca="false">N(W1531)+$V1532</f>
        <v>7</v>
      </c>
      <c r="X1532" s="1" t="n">
        <f aca="false">IF(AND($L1532=1,AND(对接源_02物料!$X332="自备筐",N(对接源_02物料!$T332)&lt;&gt;0)),1,0)</f>
        <v>0</v>
      </c>
      <c r="Y1532" s="1" t="n">
        <f aca="false">N(Y1531)+$X1532</f>
        <v>0</v>
      </c>
      <c r="Z1532" s="1" t="n">
        <f aca="false">IF(AND($M1532=1,对接源_02物料!$D332="原料入库"),1,0)</f>
        <v>0</v>
      </c>
      <c r="AA1532" s="1" t="n">
        <f aca="false">N(AA1531)+$Z1532</f>
        <v>30</v>
      </c>
      <c r="AB1532" s="1" t="n">
        <f aca="false">IF(AND($M1532=1,LEFT(对接源_02物料!$D332,4)="原料出库"),1,0)</f>
        <v>0</v>
      </c>
      <c r="AC1532" s="1" t="n">
        <f aca="false">N(AC1531)+$AB1532</f>
        <v>19</v>
      </c>
      <c r="AD1532" s="1" t="n">
        <f aca="false">IF(AND($M1532=1,LEFT(对接源_02物料!$D332,4)="成品出库"),1,0)</f>
        <v>0</v>
      </c>
      <c r="AE1532" s="1" t="n">
        <f aca="false">N(AE1531)+$AD1532</f>
        <v>38</v>
      </c>
      <c r="AF1532" s="1" t="n">
        <f aca="false">IF(AND($N1532=1,AND(LEFT(对接源_02物料!$D332,4)="包装物料",N(对接源_02物料!$K332)&lt;&gt;0)),1,0)</f>
        <v>0</v>
      </c>
      <c r="AG1532" s="1" t="n">
        <f aca="false">N(AG1531)+$AF1532</f>
        <v>6</v>
      </c>
      <c r="AH1532" s="1" t="n">
        <f aca="false">IF(AND($N1532=1,AND(LEFT(对接源_02物料!$D332,3)="周转筐",N(对接源_02物料!$K332)&lt;&gt;0)),1,0)</f>
        <v>0</v>
      </c>
      <c r="AI1532" s="1" t="n">
        <f aca="false">N(AI1531)+$AH1532</f>
        <v>0</v>
      </c>
      <c r="AJ1532" s="1" t="n">
        <v>0</v>
      </c>
      <c r="AK1532" s="1" t="n">
        <f aca="false">N(AK1531)+$AJ1532</f>
        <v>3672</v>
      </c>
    </row>
    <row r="1533" customFormat="false" ht="13.5" hidden="false" customHeight="false" outlineLevel="0" collapsed="false">
      <c r="A1533" s="1" t="str">
        <f aca="false">IF(对接源_02物料!$C333="","",对接源_02物料!$C333)</f>
        <v/>
      </c>
      <c r="B1533" s="1" t="n">
        <f aca="false">IF(A1533="",0,IF(MATCH(A1533,$A$4:$A$2403,0)=ROW()-3,1,0))</f>
        <v>0</v>
      </c>
      <c r="C1533" s="1" t="n">
        <f aca="false">N(C1532)+B1533</f>
        <v>17</v>
      </c>
      <c r="K1533" s="1" t="n">
        <f aca="false">IF(OR($K$1="",对接源_02物料!$C333="",对接源_02物料!$C333&lt;&gt;$K$1,对接源_02物料!$B333=""),0,IF(OR(N(对接源_02物料!$B333)&lt;$K$2,N(对接源_02物料!$B333)&gt;$K$3),0,1))</f>
        <v>0</v>
      </c>
      <c r="L1533" s="1" t="n">
        <f aca="false">IF(OR($L$1="",对接源_02物料!$C333="",对接源_02物料!$C333&lt;&gt;$L$1,对接源_02物料!$B333=""),0,IF(OR(N(对接源_02物料!$B333)&lt;$L$2,N(对接源_02物料!$B333)&gt;$L$3),0,1))</f>
        <v>0</v>
      </c>
      <c r="M1533" s="1" t="n">
        <f aca="false">IF(OR($M$1="",对接源_02物料!$C333="",对接源_02物料!$C333&lt;&gt;$M$1,对接源_02物料!$B333=""),0,IF(OR(N(对接源_02物料!$B333)&lt;$M$2,N(对接源_02物料!$B333)&gt;$M$3),0,1))</f>
        <v>0</v>
      </c>
      <c r="N1533" s="1" t="n">
        <f aca="false">IF(OR($N$1="",对接源_02物料!$C333="",对接源_02物料!$C333&lt;&gt;$N$1,对接源_02物料!$B333=""),0,IF(OR(N(对接源_02物料!$B333)&lt;$N$2,N(对接源_02物料!$B333)&gt;$N$3),0,1))</f>
        <v>0</v>
      </c>
      <c r="P1533" s="1" t="n">
        <f aca="false">IF(AND($K1533=1,AND(对接源_02物料!$X333="公司筐",N(对接源_02物料!$T333)&lt;&gt;0)),1,0)</f>
        <v>0</v>
      </c>
      <c r="Q1533" s="1" t="n">
        <f aca="false">N(Q1532)+$P1533</f>
        <v>13</v>
      </c>
      <c r="R1533" s="1" t="n">
        <f aca="false">IF(AND($K1533=1,AND(对接源_02物料!$X333="公司筐",N(对接源_02物料!$U333)&lt;&gt;0)),1,0)</f>
        <v>0</v>
      </c>
      <c r="S1533" s="1" t="n">
        <f aca="false">N(S1532)+$R1533</f>
        <v>5</v>
      </c>
      <c r="T1533" s="1" t="n">
        <f aca="false">IF(AND($K1533=1,AND(对接源_02物料!$X333="公司筐",N(对接源_02物料!$V333)&lt;&gt;0)),1,0)</f>
        <v>0</v>
      </c>
      <c r="U1533" s="1" t="n">
        <f aca="false">N(U1532)+$T1533</f>
        <v>28</v>
      </c>
      <c r="V1533" s="1" t="n">
        <f aca="false">IF(AND($L1533=1,AND(对接源_02物料!$X333="自备筐",N(对接源_02物料!$V333)&lt;&gt;0)),1,0)</f>
        <v>0</v>
      </c>
      <c r="W1533" s="1" t="n">
        <f aca="false">N(W1532)+$V1533</f>
        <v>7</v>
      </c>
      <c r="X1533" s="1" t="n">
        <f aca="false">IF(AND($L1533=1,AND(对接源_02物料!$X333="自备筐",N(对接源_02物料!$T333)&lt;&gt;0)),1,0)</f>
        <v>0</v>
      </c>
      <c r="Y1533" s="1" t="n">
        <f aca="false">N(Y1532)+$X1533</f>
        <v>0</v>
      </c>
      <c r="Z1533" s="1" t="n">
        <f aca="false">IF(AND($M1533=1,对接源_02物料!$D333="原料入库"),1,0)</f>
        <v>0</v>
      </c>
      <c r="AA1533" s="1" t="n">
        <f aca="false">N(AA1532)+$Z1533</f>
        <v>30</v>
      </c>
      <c r="AB1533" s="1" t="n">
        <f aca="false">IF(AND($M1533=1,LEFT(对接源_02物料!$D333,4)="原料出库"),1,0)</f>
        <v>0</v>
      </c>
      <c r="AC1533" s="1" t="n">
        <f aca="false">N(AC1532)+$AB1533</f>
        <v>19</v>
      </c>
      <c r="AD1533" s="1" t="n">
        <f aca="false">IF(AND($M1533=1,LEFT(对接源_02物料!$D333,4)="成品出库"),1,0)</f>
        <v>0</v>
      </c>
      <c r="AE1533" s="1" t="n">
        <f aca="false">N(AE1532)+$AD1533</f>
        <v>38</v>
      </c>
      <c r="AF1533" s="1" t="n">
        <f aca="false">IF(AND($N1533=1,AND(LEFT(对接源_02物料!$D333,4)="包装物料",N(对接源_02物料!$K333)&lt;&gt;0)),1,0)</f>
        <v>0</v>
      </c>
      <c r="AG1533" s="1" t="n">
        <f aca="false">N(AG1532)+$AF1533</f>
        <v>6</v>
      </c>
      <c r="AH1533" s="1" t="n">
        <f aca="false">IF(AND($N1533=1,AND(LEFT(对接源_02物料!$D333,3)="周转筐",N(对接源_02物料!$K333)&lt;&gt;0)),1,0)</f>
        <v>0</v>
      </c>
      <c r="AI1533" s="1" t="n">
        <f aca="false">N(AI1532)+$AH1533</f>
        <v>0</v>
      </c>
      <c r="AJ1533" s="1" t="n">
        <v>0</v>
      </c>
      <c r="AK1533" s="1" t="n">
        <f aca="false">N(AK1532)+$AJ1533</f>
        <v>3672</v>
      </c>
    </row>
    <row r="1534" customFormat="false" ht="13.5" hidden="false" customHeight="false" outlineLevel="0" collapsed="false">
      <c r="A1534" s="1" t="str">
        <f aca="false">IF(对接源_02物料!$C334="","",对接源_02物料!$C334)</f>
        <v/>
      </c>
      <c r="B1534" s="1" t="n">
        <f aca="false">IF(A1534="",0,IF(MATCH(A1534,$A$4:$A$2403,0)=ROW()-3,1,0))</f>
        <v>0</v>
      </c>
      <c r="C1534" s="1" t="n">
        <f aca="false">N(C1533)+B1534</f>
        <v>17</v>
      </c>
      <c r="K1534" s="1" t="n">
        <f aca="false">IF(OR($K$1="",对接源_02物料!$C334="",对接源_02物料!$C334&lt;&gt;$K$1,对接源_02物料!$B334=""),0,IF(OR(N(对接源_02物料!$B334)&lt;$K$2,N(对接源_02物料!$B334)&gt;$K$3),0,1))</f>
        <v>0</v>
      </c>
      <c r="L1534" s="1" t="n">
        <f aca="false">IF(OR($L$1="",对接源_02物料!$C334="",对接源_02物料!$C334&lt;&gt;$L$1,对接源_02物料!$B334=""),0,IF(OR(N(对接源_02物料!$B334)&lt;$L$2,N(对接源_02物料!$B334)&gt;$L$3),0,1))</f>
        <v>0</v>
      </c>
      <c r="M1534" s="1" t="n">
        <f aca="false">IF(OR($M$1="",对接源_02物料!$C334="",对接源_02物料!$C334&lt;&gt;$M$1,对接源_02物料!$B334=""),0,IF(OR(N(对接源_02物料!$B334)&lt;$M$2,N(对接源_02物料!$B334)&gt;$M$3),0,1))</f>
        <v>0</v>
      </c>
      <c r="N1534" s="1" t="n">
        <f aca="false">IF(OR($N$1="",对接源_02物料!$C334="",对接源_02物料!$C334&lt;&gt;$N$1,对接源_02物料!$B334=""),0,IF(OR(N(对接源_02物料!$B334)&lt;$N$2,N(对接源_02物料!$B334)&gt;$N$3),0,1))</f>
        <v>0</v>
      </c>
      <c r="P1534" s="1" t="n">
        <f aca="false">IF(AND($K1534=1,AND(对接源_02物料!$X334="公司筐",N(对接源_02物料!$T334)&lt;&gt;0)),1,0)</f>
        <v>0</v>
      </c>
      <c r="Q1534" s="1" t="n">
        <f aca="false">N(Q1533)+$P1534</f>
        <v>13</v>
      </c>
      <c r="R1534" s="1" t="n">
        <f aca="false">IF(AND($K1534=1,AND(对接源_02物料!$X334="公司筐",N(对接源_02物料!$U334)&lt;&gt;0)),1,0)</f>
        <v>0</v>
      </c>
      <c r="S1534" s="1" t="n">
        <f aca="false">N(S1533)+$R1534</f>
        <v>5</v>
      </c>
      <c r="T1534" s="1" t="n">
        <f aca="false">IF(AND($K1534=1,AND(对接源_02物料!$X334="公司筐",N(对接源_02物料!$V334)&lt;&gt;0)),1,0)</f>
        <v>0</v>
      </c>
      <c r="U1534" s="1" t="n">
        <f aca="false">N(U1533)+$T1534</f>
        <v>28</v>
      </c>
      <c r="V1534" s="1" t="n">
        <f aca="false">IF(AND($L1534=1,AND(对接源_02物料!$X334="自备筐",N(对接源_02物料!$V334)&lt;&gt;0)),1,0)</f>
        <v>0</v>
      </c>
      <c r="W1534" s="1" t="n">
        <f aca="false">N(W1533)+$V1534</f>
        <v>7</v>
      </c>
      <c r="X1534" s="1" t="n">
        <f aca="false">IF(AND($L1534=1,AND(对接源_02物料!$X334="自备筐",N(对接源_02物料!$T334)&lt;&gt;0)),1,0)</f>
        <v>0</v>
      </c>
      <c r="Y1534" s="1" t="n">
        <f aca="false">N(Y1533)+$X1534</f>
        <v>0</v>
      </c>
      <c r="Z1534" s="1" t="n">
        <f aca="false">IF(AND($M1534=1,对接源_02物料!$D334="原料入库"),1,0)</f>
        <v>0</v>
      </c>
      <c r="AA1534" s="1" t="n">
        <f aca="false">N(AA1533)+$Z1534</f>
        <v>30</v>
      </c>
      <c r="AB1534" s="1" t="n">
        <f aca="false">IF(AND($M1534=1,LEFT(对接源_02物料!$D334,4)="原料出库"),1,0)</f>
        <v>0</v>
      </c>
      <c r="AC1534" s="1" t="n">
        <f aca="false">N(AC1533)+$AB1534</f>
        <v>19</v>
      </c>
      <c r="AD1534" s="1" t="n">
        <f aca="false">IF(AND($M1534=1,LEFT(对接源_02物料!$D334,4)="成品出库"),1,0)</f>
        <v>0</v>
      </c>
      <c r="AE1534" s="1" t="n">
        <f aca="false">N(AE1533)+$AD1534</f>
        <v>38</v>
      </c>
      <c r="AF1534" s="1" t="n">
        <f aca="false">IF(AND($N1534=1,AND(LEFT(对接源_02物料!$D334,4)="包装物料",N(对接源_02物料!$K334)&lt;&gt;0)),1,0)</f>
        <v>0</v>
      </c>
      <c r="AG1534" s="1" t="n">
        <f aca="false">N(AG1533)+$AF1534</f>
        <v>6</v>
      </c>
      <c r="AH1534" s="1" t="n">
        <f aca="false">IF(AND($N1534=1,AND(LEFT(对接源_02物料!$D334,3)="周转筐",N(对接源_02物料!$K334)&lt;&gt;0)),1,0)</f>
        <v>0</v>
      </c>
      <c r="AI1534" s="1" t="n">
        <f aca="false">N(AI1533)+$AH1534</f>
        <v>0</v>
      </c>
      <c r="AJ1534" s="1" t="n">
        <v>0</v>
      </c>
      <c r="AK1534" s="1" t="n">
        <f aca="false">N(AK1533)+$AJ1534</f>
        <v>3672</v>
      </c>
    </row>
    <row r="1535" customFormat="false" ht="13.5" hidden="false" customHeight="false" outlineLevel="0" collapsed="false">
      <c r="A1535" s="1" t="str">
        <f aca="false">IF(对接源_02物料!$C335="","",对接源_02物料!$C335)</f>
        <v/>
      </c>
      <c r="B1535" s="1" t="n">
        <f aca="false">IF(A1535="",0,IF(MATCH(A1535,$A$4:$A$2403,0)=ROW()-3,1,0))</f>
        <v>0</v>
      </c>
      <c r="C1535" s="1" t="n">
        <f aca="false">N(C1534)+B1535</f>
        <v>17</v>
      </c>
      <c r="K1535" s="1" t="n">
        <f aca="false">IF(OR($K$1="",对接源_02物料!$C335="",对接源_02物料!$C335&lt;&gt;$K$1,对接源_02物料!$B335=""),0,IF(OR(N(对接源_02物料!$B335)&lt;$K$2,N(对接源_02物料!$B335)&gt;$K$3),0,1))</f>
        <v>0</v>
      </c>
      <c r="L1535" s="1" t="n">
        <f aca="false">IF(OR($L$1="",对接源_02物料!$C335="",对接源_02物料!$C335&lt;&gt;$L$1,对接源_02物料!$B335=""),0,IF(OR(N(对接源_02物料!$B335)&lt;$L$2,N(对接源_02物料!$B335)&gt;$L$3),0,1))</f>
        <v>0</v>
      </c>
      <c r="M1535" s="1" t="n">
        <f aca="false">IF(OR($M$1="",对接源_02物料!$C335="",对接源_02物料!$C335&lt;&gt;$M$1,对接源_02物料!$B335=""),0,IF(OR(N(对接源_02物料!$B335)&lt;$M$2,N(对接源_02物料!$B335)&gt;$M$3),0,1))</f>
        <v>0</v>
      </c>
      <c r="N1535" s="1" t="n">
        <f aca="false">IF(OR($N$1="",对接源_02物料!$C335="",对接源_02物料!$C335&lt;&gt;$N$1,对接源_02物料!$B335=""),0,IF(OR(N(对接源_02物料!$B335)&lt;$N$2,N(对接源_02物料!$B335)&gt;$N$3),0,1))</f>
        <v>0</v>
      </c>
      <c r="P1535" s="1" t="n">
        <f aca="false">IF(AND($K1535=1,AND(对接源_02物料!$X335="公司筐",N(对接源_02物料!$T335)&lt;&gt;0)),1,0)</f>
        <v>0</v>
      </c>
      <c r="Q1535" s="1" t="n">
        <f aca="false">N(Q1534)+$P1535</f>
        <v>13</v>
      </c>
      <c r="R1535" s="1" t="n">
        <f aca="false">IF(AND($K1535=1,AND(对接源_02物料!$X335="公司筐",N(对接源_02物料!$U335)&lt;&gt;0)),1,0)</f>
        <v>0</v>
      </c>
      <c r="S1535" s="1" t="n">
        <f aca="false">N(S1534)+$R1535</f>
        <v>5</v>
      </c>
      <c r="T1535" s="1" t="n">
        <f aca="false">IF(AND($K1535=1,AND(对接源_02物料!$X335="公司筐",N(对接源_02物料!$V335)&lt;&gt;0)),1,0)</f>
        <v>0</v>
      </c>
      <c r="U1535" s="1" t="n">
        <f aca="false">N(U1534)+$T1535</f>
        <v>28</v>
      </c>
      <c r="V1535" s="1" t="n">
        <f aca="false">IF(AND($L1535=1,AND(对接源_02物料!$X335="自备筐",N(对接源_02物料!$V335)&lt;&gt;0)),1,0)</f>
        <v>0</v>
      </c>
      <c r="W1535" s="1" t="n">
        <f aca="false">N(W1534)+$V1535</f>
        <v>7</v>
      </c>
      <c r="X1535" s="1" t="n">
        <f aca="false">IF(AND($L1535=1,AND(对接源_02物料!$X335="自备筐",N(对接源_02物料!$T335)&lt;&gt;0)),1,0)</f>
        <v>0</v>
      </c>
      <c r="Y1535" s="1" t="n">
        <f aca="false">N(Y1534)+$X1535</f>
        <v>0</v>
      </c>
      <c r="Z1535" s="1" t="n">
        <f aca="false">IF(AND($M1535=1,对接源_02物料!$D335="原料入库"),1,0)</f>
        <v>0</v>
      </c>
      <c r="AA1535" s="1" t="n">
        <f aca="false">N(AA1534)+$Z1535</f>
        <v>30</v>
      </c>
      <c r="AB1535" s="1" t="n">
        <f aca="false">IF(AND($M1535=1,LEFT(对接源_02物料!$D335,4)="原料出库"),1,0)</f>
        <v>0</v>
      </c>
      <c r="AC1535" s="1" t="n">
        <f aca="false">N(AC1534)+$AB1535</f>
        <v>19</v>
      </c>
      <c r="AD1535" s="1" t="n">
        <f aca="false">IF(AND($M1535=1,LEFT(对接源_02物料!$D335,4)="成品出库"),1,0)</f>
        <v>0</v>
      </c>
      <c r="AE1535" s="1" t="n">
        <f aca="false">N(AE1534)+$AD1535</f>
        <v>38</v>
      </c>
      <c r="AF1535" s="1" t="n">
        <f aca="false">IF(AND($N1535=1,AND(LEFT(对接源_02物料!$D335,4)="包装物料",N(对接源_02物料!$K335)&lt;&gt;0)),1,0)</f>
        <v>0</v>
      </c>
      <c r="AG1535" s="1" t="n">
        <f aca="false">N(AG1534)+$AF1535</f>
        <v>6</v>
      </c>
      <c r="AH1535" s="1" t="n">
        <f aca="false">IF(AND($N1535=1,AND(LEFT(对接源_02物料!$D335,3)="周转筐",N(对接源_02物料!$K335)&lt;&gt;0)),1,0)</f>
        <v>0</v>
      </c>
      <c r="AI1535" s="1" t="n">
        <f aca="false">N(AI1534)+$AH1535</f>
        <v>0</v>
      </c>
      <c r="AJ1535" s="1" t="n">
        <v>0</v>
      </c>
      <c r="AK1535" s="1" t="n">
        <f aca="false">N(AK1534)+$AJ1535</f>
        <v>3672</v>
      </c>
    </row>
    <row r="1536" customFormat="false" ht="13.5" hidden="false" customHeight="false" outlineLevel="0" collapsed="false">
      <c r="A1536" s="1" t="str">
        <f aca="false">IF(对接源_02物料!$C336="","",对接源_02物料!$C336)</f>
        <v/>
      </c>
      <c r="B1536" s="1" t="n">
        <f aca="false">IF(A1536="",0,IF(MATCH(A1536,$A$4:$A$2403,0)=ROW()-3,1,0))</f>
        <v>0</v>
      </c>
      <c r="C1536" s="1" t="n">
        <f aca="false">N(C1535)+B1536</f>
        <v>17</v>
      </c>
      <c r="K1536" s="1" t="n">
        <f aca="false">IF(OR($K$1="",对接源_02物料!$C336="",对接源_02物料!$C336&lt;&gt;$K$1,对接源_02物料!$B336=""),0,IF(OR(N(对接源_02物料!$B336)&lt;$K$2,N(对接源_02物料!$B336)&gt;$K$3),0,1))</f>
        <v>0</v>
      </c>
      <c r="L1536" s="1" t="n">
        <f aca="false">IF(OR($L$1="",对接源_02物料!$C336="",对接源_02物料!$C336&lt;&gt;$L$1,对接源_02物料!$B336=""),0,IF(OR(N(对接源_02物料!$B336)&lt;$L$2,N(对接源_02物料!$B336)&gt;$L$3),0,1))</f>
        <v>0</v>
      </c>
      <c r="M1536" s="1" t="n">
        <f aca="false">IF(OR($M$1="",对接源_02物料!$C336="",对接源_02物料!$C336&lt;&gt;$M$1,对接源_02物料!$B336=""),0,IF(OR(N(对接源_02物料!$B336)&lt;$M$2,N(对接源_02物料!$B336)&gt;$M$3),0,1))</f>
        <v>0</v>
      </c>
      <c r="N1536" s="1" t="n">
        <f aca="false">IF(OR($N$1="",对接源_02物料!$C336="",对接源_02物料!$C336&lt;&gt;$N$1,对接源_02物料!$B336=""),0,IF(OR(N(对接源_02物料!$B336)&lt;$N$2,N(对接源_02物料!$B336)&gt;$N$3),0,1))</f>
        <v>0</v>
      </c>
      <c r="P1536" s="1" t="n">
        <f aca="false">IF(AND($K1536=1,AND(对接源_02物料!$X336="公司筐",N(对接源_02物料!$T336)&lt;&gt;0)),1,0)</f>
        <v>0</v>
      </c>
      <c r="Q1536" s="1" t="n">
        <f aca="false">N(Q1535)+$P1536</f>
        <v>13</v>
      </c>
      <c r="R1536" s="1" t="n">
        <f aca="false">IF(AND($K1536=1,AND(对接源_02物料!$X336="公司筐",N(对接源_02物料!$U336)&lt;&gt;0)),1,0)</f>
        <v>0</v>
      </c>
      <c r="S1536" s="1" t="n">
        <f aca="false">N(S1535)+$R1536</f>
        <v>5</v>
      </c>
      <c r="T1536" s="1" t="n">
        <f aca="false">IF(AND($K1536=1,AND(对接源_02物料!$X336="公司筐",N(对接源_02物料!$V336)&lt;&gt;0)),1,0)</f>
        <v>0</v>
      </c>
      <c r="U1536" s="1" t="n">
        <f aca="false">N(U1535)+$T1536</f>
        <v>28</v>
      </c>
      <c r="V1536" s="1" t="n">
        <f aca="false">IF(AND($L1536=1,AND(对接源_02物料!$X336="自备筐",N(对接源_02物料!$V336)&lt;&gt;0)),1,0)</f>
        <v>0</v>
      </c>
      <c r="W1536" s="1" t="n">
        <f aca="false">N(W1535)+$V1536</f>
        <v>7</v>
      </c>
      <c r="X1536" s="1" t="n">
        <f aca="false">IF(AND($L1536=1,AND(对接源_02物料!$X336="自备筐",N(对接源_02物料!$T336)&lt;&gt;0)),1,0)</f>
        <v>0</v>
      </c>
      <c r="Y1536" s="1" t="n">
        <f aca="false">N(Y1535)+$X1536</f>
        <v>0</v>
      </c>
      <c r="Z1536" s="1" t="n">
        <f aca="false">IF(AND($M1536=1,对接源_02物料!$D336="原料入库"),1,0)</f>
        <v>0</v>
      </c>
      <c r="AA1536" s="1" t="n">
        <f aca="false">N(AA1535)+$Z1536</f>
        <v>30</v>
      </c>
      <c r="AB1536" s="1" t="n">
        <f aca="false">IF(AND($M1536=1,LEFT(对接源_02物料!$D336,4)="原料出库"),1,0)</f>
        <v>0</v>
      </c>
      <c r="AC1536" s="1" t="n">
        <f aca="false">N(AC1535)+$AB1536</f>
        <v>19</v>
      </c>
      <c r="AD1536" s="1" t="n">
        <f aca="false">IF(AND($M1536=1,LEFT(对接源_02物料!$D336,4)="成品出库"),1,0)</f>
        <v>0</v>
      </c>
      <c r="AE1536" s="1" t="n">
        <f aca="false">N(AE1535)+$AD1536</f>
        <v>38</v>
      </c>
      <c r="AF1536" s="1" t="n">
        <f aca="false">IF(AND($N1536=1,AND(LEFT(对接源_02物料!$D336,4)="包装物料",N(对接源_02物料!$K336)&lt;&gt;0)),1,0)</f>
        <v>0</v>
      </c>
      <c r="AG1536" s="1" t="n">
        <f aca="false">N(AG1535)+$AF1536</f>
        <v>6</v>
      </c>
      <c r="AH1536" s="1" t="n">
        <f aca="false">IF(AND($N1536=1,AND(LEFT(对接源_02物料!$D336,3)="周转筐",N(对接源_02物料!$K336)&lt;&gt;0)),1,0)</f>
        <v>0</v>
      </c>
      <c r="AI1536" s="1" t="n">
        <f aca="false">N(AI1535)+$AH1536</f>
        <v>0</v>
      </c>
      <c r="AJ1536" s="1" t="n">
        <v>0</v>
      </c>
      <c r="AK1536" s="1" t="n">
        <f aca="false">N(AK1535)+$AJ1536</f>
        <v>3672</v>
      </c>
    </row>
    <row r="1537" customFormat="false" ht="13.5" hidden="false" customHeight="false" outlineLevel="0" collapsed="false">
      <c r="A1537" s="1" t="str">
        <f aca="false">IF(对接源_02物料!$C337="","",对接源_02物料!$C337)</f>
        <v/>
      </c>
      <c r="B1537" s="1" t="n">
        <f aca="false">IF(A1537="",0,IF(MATCH(A1537,$A$4:$A$2403,0)=ROW()-3,1,0))</f>
        <v>0</v>
      </c>
      <c r="C1537" s="1" t="n">
        <f aca="false">N(C1536)+B1537</f>
        <v>17</v>
      </c>
      <c r="K1537" s="1" t="n">
        <f aca="false">IF(OR($K$1="",对接源_02物料!$C337="",对接源_02物料!$C337&lt;&gt;$K$1,对接源_02物料!$B337=""),0,IF(OR(N(对接源_02物料!$B337)&lt;$K$2,N(对接源_02物料!$B337)&gt;$K$3),0,1))</f>
        <v>0</v>
      </c>
      <c r="L1537" s="1" t="n">
        <f aca="false">IF(OR($L$1="",对接源_02物料!$C337="",对接源_02物料!$C337&lt;&gt;$L$1,对接源_02物料!$B337=""),0,IF(OR(N(对接源_02物料!$B337)&lt;$L$2,N(对接源_02物料!$B337)&gt;$L$3),0,1))</f>
        <v>0</v>
      </c>
      <c r="M1537" s="1" t="n">
        <f aca="false">IF(OR($M$1="",对接源_02物料!$C337="",对接源_02物料!$C337&lt;&gt;$M$1,对接源_02物料!$B337=""),0,IF(OR(N(对接源_02物料!$B337)&lt;$M$2,N(对接源_02物料!$B337)&gt;$M$3),0,1))</f>
        <v>0</v>
      </c>
      <c r="N1537" s="1" t="n">
        <f aca="false">IF(OR($N$1="",对接源_02物料!$C337="",对接源_02物料!$C337&lt;&gt;$N$1,对接源_02物料!$B337=""),0,IF(OR(N(对接源_02物料!$B337)&lt;$N$2,N(对接源_02物料!$B337)&gt;$N$3),0,1))</f>
        <v>0</v>
      </c>
      <c r="P1537" s="1" t="n">
        <f aca="false">IF(AND($K1537=1,AND(对接源_02物料!$X337="公司筐",N(对接源_02物料!$T337)&lt;&gt;0)),1,0)</f>
        <v>0</v>
      </c>
      <c r="Q1537" s="1" t="n">
        <f aca="false">N(Q1536)+$P1537</f>
        <v>13</v>
      </c>
      <c r="R1537" s="1" t="n">
        <f aca="false">IF(AND($K1537=1,AND(对接源_02物料!$X337="公司筐",N(对接源_02物料!$U337)&lt;&gt;0)),1,0)</f>
        <v>0</v>
      </c>
      <c r="S1537" s="1" t="n">
        <f aca="false">N(S1536)+$R1537</f>
        <v>5</v>
      </c>
      <c r="T1537" s="1" t="n">
        <f aca="false">IF(AND($K1537=1,AND(对接源_02物料!$X337="公司筐",N(对接源_02物料!$V337)&lt;&gt;0)),1,0)</f>
        <v>0</v>
      </c>
      <c r="U1537" s="1" t="n">
        <f aca="false">N(U1536)+$T1537</f>
        <v>28</v>
      </c>
      <c r="V1537" s="1" t="n">
        <f aca="false">IF(AND($L1537=1,AND(对接源_02物料!$X337="自备筐",N(对接源_02物料!$V337)&lt;&gt;0)),1,0)</f>
        <v>0</v>
      </c>
      <c r="W1537" s="1" t="n">
        <f aca="false">N(W1536)+$V1537</f>
        <v>7</v>
      </c>
      <c r="X1537" s="1" t="n">
        <f aca="false">IF(AND($L1537=1,AND(对接源_02物料!$X337="自备筐",N(对接源_02物料!$T337)&lt;&gt;0)),1,0)</f>
        <v>0</v>
      </c>
      <c r="Y1537" s="1" t="n">
        <f aca="false">N(Y1536)+$X1537</f>
        <v>0</v>
      </c>
      <c r="Z1537" s="1" t="n">
        <f aca="false">IF(AND($M1537=1,对接源_02物料!$D337="原料入库"),1,0)</f>
        <v>0</v>
      </c>
      <c r="AA1537" s="1" t="n">
        <f aca="false">N(AA1536)+$Z1537</f>
        <v>30</v>
      </c>
      <c r="AB1537" s="1" t="n">
        <f aca="false">IF(AND($M1537=1,LEFT(对接源_02物料!$D337,4)="原料出库"),1,0)</f>
        <v>0</v>
      </c>
      <c r="AC1537" s="1" t="n">
        <f aca="false">N(AC1536)+$AB1537</f>
        <v>19</v>
      </c>
      <c r="AD1537" s="1" t="n">
        <f aca="false">IF(AND($M1537=1,LEFT(对接源_02物料!$D337,4)="成品出库"),1,0)</f>
        <v>0</v>
      </c>
      <c r="AE1537" s="1" t="n">
        <f aca="false">N(AE1536)+$AD1537</f>
        <v>38</v>
      </c>
      <c r="AF1537" s="1" t="n">
        <f aca="false">IF(AND($N1537=1,AND(LEFT(对接源_02物料!$D337,4)="包装物料",N(对接源_02物料!$K337)&lt;&gt;0)),1,0)</f>
        <v>0</v>
      </c>
      <c r="AG1537" s="1" t="n">
        <f aca="false">N(AG1536)+$AF1537</f>
        <v>6</v>
      </c>
      <c r="AH1537" s="1" t="n">
        <f aca="false">IF(AND($N1537=1,AND(LEFT(对接源_02物料!$D337,3)="周转筐",N(对接源_02物料!$K337)&lt;&gt;0)),1,0)</f>
        <v>0</v>
      </c>
      <c r="AI1537" s="1" t="n">
        <f aca="false">N(AI1536)+$AH1537</f>
        <v>0</v>
      </c>
      <c r="AJ1537" s="1" t="n">
        <v>0</v>
      </c>
      <c r="AK1537" s="1" t="n">
        <f aca="false">N(AK1536)+$AJ1537</f>
        <v>3672</v>
      </c>
    </row>
    <row r="1538" customFormat="false" ht="13.5" hidden="false" customHeight="false" outlineLevel="0" collapsed="false">
      <c r="A1538" s="1" t="str">
        <f aca="false">IF(对接源_02物料!$C338="","",对接源_02物料!$C338)</f>
        <v/>
      </c>
      <c r="B1538" s="1" t="n">
        <f aca="false">IF(A1538="",0,IF(MATCH(A1538,$A$4:$A$2403,0)=ROW()-3,1,0))</f>
        <v>0</v>
      </c>
      <c r="C1538" s="1" t="n">
        <f aca="false">N(C1537)+B1538</f>
        <v>17</v>
      </c>
      <c r="K1538" s="1" t="n">
        <f aca="false">IF(OR($K$1="",对接源_02物料!$C338="",对接源_02物料!$C338&lt;&gt;$K$1,对接源_02物料!$B338=""),0,IF(OR(N(对接源_02物料!$B338)&lt;$K$2,N(对接源_02物料!$B338)&gt;$K$3),0,1))</f>
        <v>0</v>
      </c>
      <c r="L1538" s="1" t="n">
        <f aca="false">IF(OR($L$1="",对接源_02物料!$C338="",对接源_02物料!$C338&lt;&gt;$L$1,对接源_02物料!$B338=""),0,IF(OR(N(对接源_02物料!$B338)&lt;$L$2,N(对接源_02物料!$B338)&gt;$L$3),0,1))</f>
        <v>0</v>
      </c>
      <c r="M1538" s="1" t="n">
        <f aca="false">IF(OR($M$1="",对接源_02物料!$C338="",对接源_02物料!$C338&lt;&gt;$M$1,对接源_02物料!$B338=""),0,IF(OR(N(对接源_02物料!$B338)&lt;$M$2,N(对接源_02物料!$B338)&gt;$M$3),0,1))</f>
        <v>0</v>
      </c>
      <c r="N1538" s="1" t="n">
        <f aca="false">IF(OR($N$1="",对接源_02物料!$C338="",对接源_02物料!$C338&lt;&gt;$N$1,对接源_02物料!$B338=""),0,IF(OR(N(对接源_02物料!$B338)&lt;$N$2,N(对接源_02物料!$B338)&gt;$N$3),0,1))</f>
        <v>0</v>
      </c>
      <c r="P1538" s="1" t="n">
        <f aca="false">IF(AND($K1538=1,AND(对接源_02物料!$X338="公司筐",N(对接源_02物料!$T338)&lt;&gt;0)),1,0)</f>
        <v>0</v>
      </c>
      <c r="Q1538" s="1" t="n">
        <f aca="false">N(Q1537)+$P1538</f>
        <v>13</v>
      </c>
      <c r="R1538" s="1" t="n">
        <f aca="false">IF(AND($K1538=1,AND(对接源_02物料!$X338="公司筐",N(对接源_02物料!$U338)&lt;&gt;0)),1,0)</f>
        <v>0</v>
      </c>
      <c r="S1538" s="1" t="n">
        <f aca="false">N(S1537)+$R1538</f>
        <v>5</v>
      </c>
      <c r="T1538" s="1" t="n">
        <f aca="false">IF(AND($K1538=1,AND(对接源_02物料!$X338="公司筐",N(对接源_02物料!$V338)&lt;&gt;0)),1,0)</f>
        <v>0</v>
      </c>
      <c r="U1538" s="1" t="n">
        <f aca="false">N(U1537)+$T1538</f>
        <v>28</v>
      </c>
      <c r="V1538" s="1" t="n">
        <f aca="false">IF(AND($L1538=1,AND(对接源_02物料!$X338="自备筐",N(对接源_02物料!$V338)&lt;&gt;0)),1,0)</f>
        <v>0</v>
      </c>
      <c r="W1538" s="1" t="n">
        <f aca="false">N(W1537)+$V1538</f>
        <v>7</v>
      </c>
      <c r="X1538" s="1" t="n">
        <f aca="false">IF(AND($L1538=1,AND(对接源_02物料!$X338="自备筐",N(对接源_02物料!$T338)&lt;&gt;0)),1,0)</f>
        <v>0</v>
      </c>
      <c r="Y1538" s="1" t="n">
        <f aca="false">N(Y1537)+$X1538</f>
        <v>0</v>
      </c>
      <c r="Z1538" s="1" t="n">
        <f aca="false">IF(AND($M1538=1,对接源_02物料!$D338="原料入库"),1,0)</f>
        <v>0</v>
      </c>
      <c r="AA1538" s="1" t="n">
        <f aca="false">N(AA1537)+$Z1538</f>
        <v>30</v>
      </c>
      <c r="AB1538" s="1" t="n">
        <f aca="false">IF(AND($M1538=1,LEFT(对接源_02物料!$D338,4)="原料出库"),1,0)</f>
        <v>0</v>
      </c>
      <c r="AC1538" s="1" t="n">
        <f aca="false">N(AC1537)+$AB1538</f>
        <v>19</v>
      </c>
      <c r="AD1538" s="1" t="n">
        <f aca="false">IF(AND($M1538=1,LEFT(对接源_02物料!$D338,4)="成品出库"),1,0)</f>
        <v>0</v>
      </c>
      <c r="AE1538" s="1" t="n">
        <f aca="false">N(AE1537)+$AD1538</f>
        <v>38</v>
      </c>
      <c r="AF1538" s="1" t="n">
        <f aca="false">IF(AND($N1538=1,AND(LEFT(对接源_02物料!$D338,4)="包装物料",N(对接源_02物料!$K338)&lt;&gt;0)),1,0)</f>
        <v>0</v>
      </c>
      <c r="AG1538" s="1" t="n">
        <f aca="false">N(AG1537)+$AF1538</f>
        <v>6</v>
      </c>
      <c r="AH1538" s="1" t="n">
        <f aca="false">IF(AND($N1538=1,AND(LEFT(对接源_02物料!$D338,3)="周转筐",N(对接源_02物料!$K338)&lt;&gt;0)),1,0)</f>
        <v>0</v>
      </c>
      <c r="AI1538" s="1" t="n">
        <f aca="false">N(AI1537)+$AH1538</f>
        <v>0</v>
      </c>
      <c r="AJ1538" s="1" t="n">
        <v>0</v>
      </c>
      <c r="AK1538" s="1" t="n">
        <f aca="false">N(AK1537)+$AJ1538</f>
        <v>3672</v>
      </c>
    </row>
    <row r="1539" customFormat="false" ht="13.5" hidden="false" customHeight="false" outlineLevel="0" collapsed="false">
      <c r="A1539" s="1" t="str">
        <f aca="false">IF(对接源_02物料!$C339="","",对接源_02物料!$C339)</f>
        <v/>
      </c>
      <c r="B1539" s="1" t="n">
        <f aca="false">IF(A1539="",0,IF(MATCH(A1539,$A$4:$A$2403,0)=ROW()-3,1,0))</f>
        <v>0</v>
      </c>
      <c r="C1539" s="1" t="n">
        <f aca="false">N(C1538)+B1539</f>
        <v>17</v>
      </c>
      <c r="K1539" s="1" t="n">
        <f aca="false">IF(OR($K$1="",对接源_02物料!$C339="",对接源_02物料!$C339&lt;&gt;$K$1,对接源_02物料!$B339=""),0,IF(OR(N(对接源_02物料!$B339)&lt;$K$2,N(对接源_02物料!$B339)&gt;$K$3),0,1))</f>
        <v>0</v>
      </c>
      <c r="L1539" s="1" t="n">
        <f aca="false">IF(OR($L$1="",对接源_02物料!$C339="",对接源_02物料!$C339&lt;&gt;$L$1,对接源_02物料!$B339=""),0,IF(OR(N(对接源_02物料!$B339)&lt;$L$2,N(对接源_02物料!$B339)&gt;$L$3),0,1))</f>
        <v>0</v>
      </c>
      <c r="M1539" s="1" t="n">
        <f aca="false">IF(OR($M$1="",对接源_02物料!$C339="",对接源_02物料!$C339&lt;&gt;$M$1,对接源_02物料!$B339=""),0,IF(OR(N(对接源_02物料!$B339)&lt;$M$2,N(对接源_02物料!$B339)&gt;$M$3),0,1))</f>
        <v>0</v>
      </c>
      <c r="N1539" s="1" t="n">
        <f aca="false">IF(OR($N$1="",对接源_02物料!$C339="",对接源_02物料!$C339&lt;&gt;$N$1,对接源_02物料!$B339=""),0,IF(OR(N(对接源_02物料!$B339)&lt;$N$2,N(对接源_02物料!$B339)&gt;$N$3),0,1))</f>
        <v>0</v>
      </c>
      <c r="P1539" s="1" t="n">
        <f aca="false">IF(AND($K1539=1,AND(对接源_02物料!$X339="公司筐",N(对接源_02物料!$T339)&lt;&gt;0)),1,0)</f>
        <v>0</v>
      </c>
      <c r="Q1539" s="1" t="n">
        <f aca="false">N(Q1538)+$P1539</f>
        <v>13</v>
      </c>
      <c r="R1539" s="1" t="n">
        <f aca="false">IF(AND($K1539=1,AND(对接源_02物料!$X339="公司筐",N(对接源_02物料!$U339)&lt;&gt;0)),1,0)</f>
        <v>0</v>
      </c>
      <c r="S1539" s="1" t="n">
        <f aca="false">N(S1538)+$R1539</f>
        <v>5</v>
      </c>
      <c r="T1539" s="1" t="n">
        <f aca="false">IF(AND($K1539=1,AND(对接源_02物料!$X339="公司筐",N(对接源_02物料!$V339)&lt;&gt;0)),1,0)</f>
        <v>0</v>
      </c>
      <c r="U1539" s="1" t="n">
        <f aca="false">N(U1538)+$T1539</f>
        <v>28</v>
      </c>
      <c r="V1539" s="1" t="n">
        <f aca="false">IF(AND($L1539=1,AND(对接源_02物料!$X339="自备筐",N(对接源_02物料!$V339)&lt;&gt;0)),1,0)</f>
        <v>0</v>
      </c>
      <c r="W1539" s="1" t="n">
        <f aca="false">N(W1538)+$V1539</f>
        <v>7</v>
      </c>
      <c r="X1539" s="1" t="n">
        <f aca="false">IF(AND($L1539=1,AND(对接源_02物料!$X339="自备筐",N(对接源_02物料!$T339)&lt;&gt;0)),1,0)</f>
        <v>0</v>
      </c>
      <c r="Y1539" s="1" t="n">
        <f aca="false">N(Y1538)+$X1539</f>
        <v>0</v>
      </c>
      <c r="Z1539" s="1" t="n">
        <f aca="false">IF(AND($M1539=1,对接源_02物料!$D339="原料入库"),1,0)</f>
        <v>0</v>
      </c>
      <c r="AA1539" s="1" t="n">
        <f aca="false">N(AA1538)+$Z1539</f>
        <v>30</v>
      </c>
      <c r="AB1539" s="1" t="n">
        <f aca="false">IF(AND($M1539=1,LEFT(对接源_02物料!$D339,4)="原料出库"),1,0)</f>
        <v>0</v>
      </c>
      <c r="AC1539" s="1" t="n">
        <f aca="false">N(AC1538)+$AB1539</f>
        <v>19</v>
      </c>
      <c r="AD1539" s="1" t="n">
        <f aca="false">IF(AND($M1539=1,LEFT(对接源_02物料!$D339,4)="成品出库"),1,0)</f>
        <v>0</v>
      </c>
      <c r="AE1539" s="1" t="n">
        <f aca="false">N(AE1538)+$AD1539</f>
        <v>38</v>
      </c>
      <c r="AF1539" s="1" t="n">
        <f aca="false">IF(AND($N1539=1,AND(LEFT(对接源_02物料!$D339,4)="包装物料",N(对接源_02物料!$K339)&lt;&gt;0)),1,0)</f>
        <v>0</v>
      </c>
      <c r="AG1539" s="1" t="n">
        <f aca="false">N(AG1538)+$AF1539</f>
        <v>6</v>
      </c>
      <c r="AH1539" s="1" t="n">
        <f aca="false">IF(AND($N1539=1,AND(LEFT(对接源_02物料!$D339,3)="周转筐",N(对接源_02物料!$K339)&lt;&gt;0)),1,0)</f>
        <v>0</v>
      </c>
      <c r="AI1539" s="1" t="n">
        <f aca="false">N(AI1538)+$AH1539</f>
        <v>0</v>
      </c>
      <c r="AJ1539" s="1" t="n">
        <v>0</v>
      </c>
      <c r="AK1539" s="1" t="n">
        <f aca="false">N(AK1538)+$AJ1539</f>
        <v>3672</v>
      </c>
    </row>
    <row r="1540" customFormat="false" ht="13.5" hidden="false" customHeight="false" outlineLevel="0" collapsed="false">
      <c r="A1540" s="1" t="str">
        <f aca="false">IF(对接源_02物料!$C340="","",对接源_02物料!$C340)</f>
        <v/>
      </c>
      <c r="B1540" s="1" t="n">
        <f aca="false">IF(A1540="",0,IF(MATCH(A1540,$A$4:$A$2403,0)=ROW()-3,1,0))</f>
        <v>0</v>
      </c>
      <c r="C1540" s="1" t="n">
        <f aca="false">N(C1539)+B1540</f>
        <v>17</v>
      </c>
      <c r="K1540" s="1" t="n">
        <f aca="false">IF(OR($K$1="",对接源_02物料!$C340="",对接源_02物料!$C340&lt;&gt;$K$1,对接源_02物料!$B340=""),0,IF(OR(N(对接源_02物料!$B340)&lt;$K$2,N(对接源_02物料!$B340)&gt;$K$3),0,1))</f>
        <v>0</v>
      </c>
      <c r="L1540" s="1" t="n">
        <f aca="false">IF(OR($L$1="",对接源_02物料!$C340="",对接源_02物料!$C340&lt;&gt;$L$1,对接源_02物料!$B340=""),0,IF(OR(N(对接源_02物料!$B340)&lt;$L$2,N(对接源_02物料!$B340)&gt;$L$3),0,1))</f>
        <v>0</v>
      </c>
      <c r="M1540" s="1" t="n">
        <f aca="false">IF(OR($M$1="",对接源_02物料!$C340="",对接源_02物料!$C340&lt;&gt;$M$1,对接源_02物料!$B340=""),0,IF(OR(N(对接源_02物料!$B340)&lt;$M$2,N(对接源_02物料!$B340)&gt;$M$3),0,1))</f>
        <v>0</v>
      </c>
      <c r="N1540" s="1" t="n">
        <f aca="false">IF(OR($N$1="",对接源_02物料!$C340="",对接源_02物料!$C340&lt;&gt;$N$1,对接源_02物料!$B340=""),0,IF(OR(N(对接源_02物料!$B340)&lt;$N$2,N(对接源_02物料!$B340)&gt;$N$3),0,1))</f>
        <v>0</v>
      </c>
      <c r="P1540" s="1" t="n">
        <f aca="false">IF(AND($K1540=1,AND(对接源_02物料!$X340="公司筐",N(对接源_02物料!$T340)&lt;&gt;0)),1,0)</f>
        <v>0</v>
      </c>
      <c r="Q1540" s="1" t="n">
        <f aca="false">N(Q1539)+$P1540</f>
        <v>13</v>
      </c>
      <c r="R1540" s="1" t="n">
        <f aca="false">IF(AND($K1540=1,AND(对接源_02物料!$X340="公司筐",N(对接源_02物料!$U340)&lt;&gt;0)),1,0)</f>
        <v>0</v>
      </c>
      <c r="S1540" s="1" t="n">
        <f aca="false">N(S1539)+$R1540</f>
        <v>5</v>
      </c>
      <c r="T1540" s="1" t="n">
        <f aca="false">IF(AND($K1540=1,AND(对接源_02物料!$X340="公司筐",N(对接源_02物料!$V340)&lt;&gt;0)),1,0)</f>
        <v>0</v>
      </c>
      <c r="U1540" s="1" t="n">
        <f aca="false">N(U1539)+$T1540</f>
        <v>28</v>
      </c>
      <c r="V1540" s="1" t="n">
        <f aca="false">IF(AND($L1540=1,AND(对接源_02物料!$X340="自备筐",N(对接源_02物料!$V340)&lt;&gt;0)),1,0)</f>
        <v>0</v>
      </c>
      <c r="W1540" s="1" t="n">
        <f aca="false">N(W1539)+$V1540</f>
        <v>7</v>
      </c>
      <c r="X1540" s="1" t="n">
        <f aca="false">IF(AND($L1540=1,AND(对接源_02物料!$X340="自备筐",N(对接源_02物料!$T340)&lt;&gt;0)),1,0)</f>
        <v>0</v>
      </c>
      <c r="Y1540" s="1" t="n">
        <f aca="false">N(Y1539)+$X1540</f>
        <v>0</v>
      </c>
      <c r="Z1540" s="1" t="n">
        <f aca="false">IF(AND($M1540=1,对接源_02物料!$D340="原料入库"),1,0)</f>
        <v>0</v>
      </c>
      <c r="AA1540" s="1" t="n">
        <f aca="false">N(AA1539)+$Z1540</f>
        <v>30</v>
      </c>
      <c r="AB1540" s="1" t="n">
        <f aca="false">IF(AND($M1540=1,LEFT(对接源_02物料!$D340,4)="原料出库"),1,0)</f>
        <v>0</v>
      </c>
      <c r="AC1540" s="1" t="n">
        <f aca="false">N(AC1539)+$AB1540</f>
        <v>19</v>
      </c>
      <c r="AD1540" s="1" t="n">
        <f aca="false">IF(AND($M1540=1,LEFT(对接源_02物料!$D340,4)="成品出库"),1,0)</f>
        <v>0</v>
      </c>
      <c r="AE1540" s="1" t="n">
        <f aca="false">N(AE1539)+$AD1540</f>
        <v>38</v>
      </c>
      <c r="AF1540" s="1" t="n">
        <f aca="false">IF(AND($N1540=1,AND(LEFT(对接源_02物料!$D340,4)="包装物料",N(对接源_02物料!$K340)&lt;&gt;0)),1,0)</f>
        <v>0</v>
      </c>
      <c r="AG1540" s="1" t="n">
        <f aca="false">N(AG1539)+$AF1540</f>
        <v>6</v>
      </c>
      <c r="AH1540" s="1" t="n">
        <f aca="false">IF(AND($N1540=1,AND(LEFT(对接源_02物料!$D340,3)="周转筐",N(对接源_02物料!$K340)&lt;&gt;0)),1,0)</f>
        <v>0</v>
      </c>
      <c r="AI1540" s="1" t="n">
        <f aca="false">N(AI1539)+$AH1540</f>
        <v>0</v>
      </c>
      <c r="AJ1540" s="1" t="n">
        <v>0</v>
      </c>
      <c r="AK1540" s="1" t="n">
        <f aca="false">N(AK1539)+$AJ1540</f>
        <v>3672</v>
      </c>
    </row>
    <row r="1541" customFormat="false" ht="13.5" hidden="false" customHeight="false" outlineLevel="0" collapsed="false">
      <c r="A1541" s="1" t="str">
        <f aca="false">IF(对接源_02物料!$C341="","",对接源_02物料!$C341)</f>
        <v/>
      </c>
      <c r="B1541" s="1" t="n">
        <f aca="false">IF(A1541="",0,IF(MATCH(A1541,$A$4:$A$2403,0)=ROW()-3,1,0))</f>
        <v>0</v>
      </c>
      <c r="C1541" s="1" t="n">
        <f aca="false">N(C1540)+B1541</f>
        <v>17</v>
      </c>
      <c r="K1541" s="1" t="n">
        <f aca="false">IF(OR($K$1="",对接源_02物料!$C341="",对接源_02物料!$C341&lt;&gt;$K$1,对接源_02物料!$B341=""),0,IF(OR(N(对接源_02物料!$B341)&lt;$K$2,N(对接源_02物料!$B341)&gt;$K$3),0,1))</f>
        <v>0</v>
      </c>
      <c r="L1541" s="1" t="n">
        <f aca="false">IF(OR($L$1="",对接源_02物料!$C341="",对接源_02物料!$C341&lt;&gt;$L$1,对接源_02物料!$B341=""),0,IF(OR(N(对接源_02物料!$B341)&lt;$L$2,N(对接源_02物料!$B341)&gt;$L$3),0,1))</f>
        <v>0</v>
      </c>
      <c r="M1541" s="1" t="n">
        <f aca="false">IF(OR($M$1="",对接源_02物料!$C341="",对接源_02物料!$C341&lt;&gt;$M$1,对接源_02物料!$B341=""),0,IF(OR(N(对接源_02物料!$B341)&lt;$M$2,N(对接源_02物料!$B341)&gt;$M$3),0,1))</f>
        <v>0</v>
      </c>
      <c r="N1541" s="1" t="n">
        <f aca="false">IF(OR($N$1="",对接源_02物料!$C341="",对接源_02物料!$C341&lt;&gt;$N$1,对接源_02物料!$B341=""),0,IF(OR(N(对接源_02物料!$B341)&lt;$N$2,N(对接源_02物料!$B341)&gt;$N$3),0,1))</f>
        <v>0</v>
      </c>
      <c r="P1541" s="1" t="n">
        <f aca="false">IF(AND($K1541=1,AND(对接源_02物料!$X341="公司筐",N(对接源_02物料!$T341)&lt;&gt;0)),1,0)</f>
        <v>0</v>
      </c>
      <c r="Q1541" s="1" t="n">
        <f aca="false">N(Q1540)+$P1541</f>
        <v>13</v>
      </c>
      <c r="R1541" s="1" t="n">
        <f aca="false">IF(AND($K1541=1,AND(对接源_02物料!$X341="公司筐",N(对接源_02物料!$U341)&lt;&gt;0)),1,0)</f>
        <v>0</v>
      </c>
      <c r="S1541" s="1" t="n">
        <f aca="false">N(S1540)+$R1541</f>
        <v>5</v>
      </c>
      <c r="T1541" s="1" t="n">
        <f aca="false">IF(AND($K1541=1,AND(对接源_02物料!$X341="公司筐",N(对接源_02物料!$V341)&lt;&gt;0)),1,0)</f>
        <v>0</v>
      </c>
      <c r="U1541" s="1" t="n">
        <f aca="false">N(U1540)+$T1541</f>
        <v>28</v>
      </c>
      <c r="V1541" s="1" t="n">
        <f aca="false">IF(AND($L1541=1,AND(对接源_02物料!$X341="自备筐",N(对接源_02物料!$V341)&lt;&gt;0)),1,0)</f>
        <v>0</v>
      </c>
      <c r="W1541" s="1" t="n">
        <f aca="false">N(W1540)+$V1541</f>
        <v>7</v>
      </c>
      <c r="X1541" s="1" t="n">
        <f aca="false">IF(AND($L1541=1,AND(对接源_02物料!$X341="自备筐",N(对接源_02物料!$T341)&lt;&gt;0)),1,0)</f>
        <v>0</v>
      </c>
      <c r="Y1541" s="1" t="n">
        <f aca="false">N(Y1540)+$X1541</f>
        <v>0</v>
      </c>
      <c r="Z1541" s="1" t="n">
        <f aca="false">IF(AND($M1541=1,对接源_02物料!$D341="原料入库"),1,0)</f>
        <v>0</v>
      </c>
      <c r="AA1541" s="1" t="n">
        <f aca="false">N(AA1540)+$Z1541</f>
        <v>30</v>
      </c>
      <c r="AB1541" s="1" t="n">
        <f aca="false">IF(AND($M1541=1,LEFT(对接源_02物料!$D341,4)="原料出库"),1,0)</f>
        <v>0</v>
      </c>
      <c r="AC1541" s="1" t="n">
        <f aca="false">N(AC1540)+$AB1541</f>
        <v>19</v>
      </c>
      <c r="AD1541" s="1" t="n">
        <f aca="false">IF(AND($M1541=1,LEFT(对接源_02物料!$D341,4)="成品出库"),1,0)</f>
        <v>0</v>
      </c>
      <c r="AE1541" s="1" t="n">
        <f aca="false">N(AE1540)+$AD1541</f>
        <v>38</v>
      </c>
      <c r="AF1541" s="1" t="n">
        <f aca="false">IF(AND($N1541=1,AND(LEFT(对接源_02物料!$D341,4)="包装物料",N(对接源_02物料!$K341)&lt;&gt;0)),1,0)</f>
        <v>0</v>
      </c>
      <c r="AG1541" s="1" t="n">
        <f aca="false">N(AG1540)+$AF1541</f>
        <v>6</v>
      </c>
      <c r="AH1541" s="1" t="n">
        <f aca="false">IF(AND($N1541=1,AND(LEFT(对接源_02物料!$D341,3)="周转筐",N(对接源_02物料!$K341)&lt;&gt;0)),1,0)</f>
        <v>0</v>
      </c>
      <c r="AI1541" s="1" t="n">
        <f aca="false">N(AI1540)+$AH1541</f>
        <v>0</v>
      </c>
      <c r="AJ1541" s="1" t="n">
        <v>0</v>
      </c>
      <c r="AK1541" s="1" t="n">
        <f aca="false">N(AK1540)+$AJ1541</f>
        <v>3672</v>
      </c>
    </row>
    <row r="1542" customFormat="false" ht="13.5" hidden="false" customHeight="false" outlineLevel="0" collapsed="false">
      <c r="A1542" s="1" t="str">
        <f aca="false">IF(对接源_02物料!$C342="","",对接源_02物料!$C342)</f>
        <v/>
      </c>
      <c r="B1542" s="1" t="n">
        <f aca="false">IF(A1542="",0,IF(MATCH(A1542,$A$4:$A$2403,0)=ROW()-3,1,0))</f>
        <v>0</v>
      </c>
      <c r="C1542" s="1" t="n">
        <f aca="false">N(C1541)+B1542</f>
        <v>17</v>
      </c>
      <c r="K1542" s="1" t="n">
        <f aca="false">IF(OR($K$1="",对接源_02物料!$C342="",对接源_02物料!$C342&lt;&gt;$K$1,对接源_02物料!$B342=""),0,IF(OR(N(对接源_02物料!$B342)&lt;$K$2,N(对接源_02物料!$B342)&gt;$K$3),0,1))</f>
        <v>0</v>
      </c>
      <c r="L1542" s="1" t="n">
        <f aca="false">IF(OR($L$1="",对接源_02物料!$C342="",对接源_02物料!$C342&lt;&gt;$L$1,对接源_02物料!$B342=""),0,IF(OR(N(对接源_02物料!$B342)&lt;$L$2,N(对接源_02物料!$B342)&gt;$L$3),0,1))</f>
        <v>0</v>
      </c>
      <c r="M1542" s="1" t="n">
        <f aca="false">IF(OR($M$1="",对接源_02物料!$C342="",对接源_02物料!$C342&lt;&gt;$M$1,对接源_02物料!$B342=""),0,IF(OR(N(对接源_02物料!$B342)&lt;$M$2,N(对接源_02物料!$B342)&gt;$M$3),0,1))</f>
        <v>0</v>
      </c>
      <c r="N1542" s="1" t="n">
        <f aca="false">IF(OR($N$1="",对接源_02物料!$C342="",对接源_02物料!$C342&lt;&gt;$N$1,对接源_02物料!$B342=""),0,IF(OR(N(对接源_02物料!$B342)&lt;$N$2,N(对接源_02物料!$B342)&gt;$N$3),0,1))</f>
        <v>0</v>
      </c>
      <c r="P1542" s="1" t="n">
        <f aca="false">IF(AND($K1542=1,AND(对接源_02物料!$X342="公司筐",N(对接源_02物料!$T342)&lt;&gt;0)),1,0)</f>
        <v>0</v>
      </c>
      <c r="Q1542" s="1" t="n">
        <f aca="false">N(Q1541)+$P1542</f>
        <v>13</v>
      </c>
      <c r="R1542" s="1" t="n">
        <f aca="false">IF(AND($K1542=1,AND(对接源_02物料!$X342="公司筐",N(对接源_02物料!$U342)&lt;&gt;0)),1,0)</f>
        <v>0</v>
      </c>
      <c r="S1542" s="1" t="n">
        <f aca="false">N(S1541)+$R1542</f>
        <v>5</v>
      </c>
      <c r="T1542" s="1" t="n">
        <f aca="false">IF(AND($K1542=1,AND(对接源_02物料!$X342="公司筐",N(对接源_02物料!$V342)&lt;&gt;0)),1,0)</f>
        <v>0</v>
      </c>
      <c r="U1542" s="1" t="n">
        <f aca="false">N(U1541)+$T1542</f>
        <v>28</v>
      </c>
      <c r="V1542" s="1" t="n">
        <f aca="false">IF(AND($L1542=1,AND(对接源_02物料!$X342="自备筐",N(对接源_02物料!$V342)&lt;&gt;0)),1,0)</f>
        <v>0</v>
      </c>
      <c r="W1542" s="1" t="n">
        <f aca="false">N(W1541)+$V1542</f>
        <v>7</v>
      </c>
      <c r="X1542" s="1" t="n">
        <f aca="false">IF(AND($L1542=1,AND(对接源_02物料!$X342="自备筐",N(对接源_02物料!$T342)&lt;&gt;0)),1,0)</f>
        <v>0</v>
      </c>
      <c r="Y1542" s="1" t="n">
        <f aca="false">N(Y1541)+$X1542</f>
        <v>0</v>
      </c>
      <c r="Z1542" s="1" t="n">
        <f aca="false">IF(AND($M1542=1,对接源_02物料!$D342="原料入库"),1,0)</f>
        <v>0</v>
      </c>
      <c r="AA1542" s="1" t="n">
        <f aca="false">N(AA1541)+$Z1542</f>
        <v>30</v>
      </c>
      <c r="AB1542" s="1" t="n">
        <f aca="false">IF(AND($M1542=1,LEFT(对接源_02物料!$D342,4)="原料出库"),1,0)</f>
        <v>0</v>
      </c>
      <c r="AC1542" s="1" t="n">
        <f aca="false">N(AC1541)+$AB1542</f>
        <v>19</v>
      </c>
      <c r="AD1542" s="1" t="n">
        <f aca="false">IF(AND($M1542=1,LEFT(对接源_02物料!$D342,4)="成品出库"),1,0)</f>
        <v>0</v>
      </c>
      <c r="AE1542" s="1" t="n">
        <f aca="false">N(AE1541)+$AD1542</f>
        <v>38</v>
      </c>
      <c r="AF1542" s="1" t="n">
        <f aca="false">IF(AND($N1542=1,AND(LEFT(对接源_02物料!$D342,4)="包装物料",N(对接源_02物料!$K342)&lt;&gt;0)),1,0)</f>
        <v>0</v>
      </c>
      <c r="AG1542" s="1" t="n">
        <f aca="false">N(AG1541)+$AF1542</f>
        <v>6</v>
      </c>
      <c r="AH1542" s="1" t="n">
        <f aca="false">IF(AND($N1542=1,AND(LEFT(对接源_02物料!$D342,3)="周转筐",N(对接源_02物料!$K342)&lt;&gt;0)),1,0)</f>
        <v>0</v>
      </c>
      <c r="AI1542" s="1" t="n">
        <f aca="false">N(AI1541)+$AH1542</f>
        <v>0</v>
      </c>
      <c r="AJ1542" s="1" t="n">
        <v>0</v>
      </c>
      <c r="AK1542" s="1" t="n">
        <f aca="false">N(AK1541)+$AJ1542</f>
        <v>3672</v>
      </c>
    </row>
    <row r="1543" customFormat="false" ht="13.5" hidden="false" customHeight="false" outlineLevel="0" collapsed="false">
      <c r="A1543" s="1" t="str">
        <f aca="false">IF(对接源_02物料!$C343="","",对接源_02物料!$C343)</f>
        <v/>
      </c>
      <c r="B1543" s="1" t="n">
        <f aca="false">IF(A1543="",0,IF(MATCH(A1543,$A$4:$A$2403,0)=ROW()-3,1,0))</f>
        <v>0</v>
      </c>
      <c r="C1543" s="1" t="n">
        <f aca="false">N(C1542)+B1543</f>
        <v>17</v>
      </c>
      <c r="K1543" s="1" t="n">
        <f aca="false">IF(OR($K$1="",对接源_02物料!$C343="",对接源_02物料!$C343&lt;&gt;$K$1,对接源_02物料!$B343=""),0,IF(OR(N(对接源_02物料!$B343)&lt;$K$2,N(对接源_02物料!$B343)&gt;$K$3),0,1))</f>
        <v>0</v>
      </c>
      <c r="L1543" s="1" t="n">
        <f aca="false">IF(OR($L$1="",对接源_02物料!$C343="",对接源_02物料!$C343&lt;&gt;$L$1,对接源_02物料!$B343=""),0,IF(OR(N(对接源_02物料!$B343)&lt;$L$2,N(对接源_02物料!$B343)&gt;$L$3),0,1))</f>
        <v>0</v>
      </c>
      <c r="M1543" s="1" t="n">
        <f aca="false">IF(OR($M$1="",对接源_02物料!$C343="",对接源_02物料!$C343&lt;&gt;$M$1,对接源_02物料!$B343=""),0,IF(OR(N(对接源_02物料!$B343)&lt;$M$2,N(对接源_02物料!$B343)&gt;$M$3),0,1))</f>
        <v>0</v>
      </c>
      <c r="N1543" s="1" t="n">
        <f aca="false">IF(OR($N$1="",对接源_02物料!$C343="",对接源_02物料!$C343&lt;&gt;$N$1,对接源_02物料!$B343=""),0,IF(OR(N(对接源_02物料!$B343)&lt;$N$2,N(对接源_02物料!$B343)&gt;$N$3),0,1))</f>
        <v>0</v>
      </c>
      <c r="P1543" s="1" t="n">
        <f aca="false">IF(AND($K1543=1,AND(对接源_02物料!$X343="公司筐",N(对接源_02物料!$T343)&lt;&gt;0)),1,0)</f>
        <v>0</v>
      </c>
      <c r="Q1543" s="1" t="n">
        <f aca="false">N(Q1542)+$P1543</f>
        <v>13</v>
      </c>
      <c r="R1543" s="1" t="n">
        <f aca="false">IF(AND($K1543=1,AND(对接源_02物料!$X343="公司筐",N(对接源_02物料!$U343)&lt;&gt;0)),1,0)</f>
        <v>0</v>
      </c>
      <c r="S1543" s="1" t="n">
        <f aca="false">N(S1542)+$R1543</f>
        <v>5</v>
      </c>
      <c r="T1543" s="1" t="n">
        <f aca="false">IF(AND($K1543=1,AND(对接源_02物料!$X343="公司筐",N(对接源_02物料!$V343)&lt;&gt;0)),1,0)</f>
        <v>0</v>
      </c>
      <c r="U1543" s="1" t="n">
        <f aca="false">N(U1542)+$T1543</f>
        <v>28</v>
      </c>
      <c r="V1543" s="1" t="n">
        <f aca="false">IF(AND($L1543=1,AND(对接源_02物料!$X343="自备筐",N(对接源_02物料!$V343)&lt;&gt;0)),1,0)</f>
        <v>0</v>
      </c>
      <c r="W1543" s="1" t="n">
        <f aca="false">N(W1542)+$V1543</f>
        <v>7</v>
      </c>
      <c r="X1543" s="1" t="n">
        <f aca="false">IF(AND($L1543=1,AND(对接源_02物料!$X343="自备筐",N(对接源_02物料!$T343)&lt;&gt;0)),1,0)</f>
        <v>0</v>
      </c>
      <c r="Y1543" s="1" t="n">
        <f aca="false">N(Y1542)+$X1543</f>
        <v>0</v>
      </c>
      <c r="Z1543" s="1" t="n">
        <f aca="false">IF(AND($M1543=1,对接源_02物料!$D343="原料入库"),1,0)</f>
        <v>0</v>
      </c>
      <c r="AA1543" s="1" t="n">
        <f aca="false">N(AA1542)+$Z1543</f>
        <v>30</v>
      </c>
      <c r="AB1543" s="1" t="n">
        <f aca="false">IF(AND($M1543=1,LEFT(对接源_02物料!$D343,4)="原料出库"),1,0)</f>
        <v>0</v>
      </c>
      <c r="AC1543" s="1" t="n">
        <f aca="false">N(AC1542)+$AB1543</f>
        <v>19</v>
      </c>
      <c r="AD1543" s="1" t="n">
        <f aca="false">IF(AND($M1543=1,LEFT(对接源_02物料!$D343,4)="成品出库"),1,0)</f>
        <v>0</v>
      </c>
      <c r="AE1543" s="1" t="n">
        <f aca="false">N(AE1542)+$AD1543</f>
        <v>38</v>
      </c>
      <c r="AF1543" s="1" t="n">
        <f aca="false">IF(AND($N1543=1,AND(LEFT(对接源_02物料!$D343,4)="包装物料",N(对接源_02物料!$K343)&lt;&gt;0)),1,0)</f>
        <v>0</v>
      </c>
      <c r="AG1543" s="1" t="n">
        <f aca="false">N(AG1542)+$AF1543</f>
        <v>6</v>
      </c>
      <c r="AH1543" s="1" t="n">
        <f aca="false">IF(AND($N1543=1,AND(LEFT(对接源_02物料!$D343,3)="周转筐",N(对接源_02物料!$K343)&lt;&gt;0)),1,0)</f>
        <v>0</v>
      </c>
      <c r="AI1543" s="1" t="n">
        <f aca="false">N(AI1542)+$AH1543</f>
        <v>0</v>
      </c>
      <c r="AJ1543" s="1" t="n">
        <v>0</v>
      </c>
      <c r="AK1543" s="1" t="n">
        <f aca="false">N(AK1542)+$AJ1543</f>
        <v>3672</v>
      </c>
    </row>
    <row r="1544" customFormat="false" ht="13.5" hidden="false" customHeight="false" outlineLevel="0" collapsed="false">
      <c r="A1544" s="1" t="str">
        <f aca="false">IF(对接源_02物料!$C344="","",对接源_02物料!$C344)</f>
        <v/>
      </c>
      <c r="B1544" s="1" t="n">
        <f aca="false">IF(A1544="",0,IF(MATCH(A1544,$A$4:$A$2403,0)=ROW()-3,1,0))</f>
        <v>0</v>
      </c>
      <c r="C1544" s="1" t="n">
        <f aca="false">N(C1543)+B1544</f>
        <v>17</v>
      </c>
      <c r="K1544" s="1" t="n">
        <f aca="false">IF(OR($K$1="",对接源_02物料!$C344="",对接源_02物料!$C344&lt;&gt;$K$1,对接源_02物料!$B344=""),0,IF(OR(N(对接源_02物料!$B344)&lt;$K$2,N(对接源_02物料!$B344)&gt;$K$3),0,1))</f>
        <v>0</v>
      </c>
      <c r="L1544" s="1" t="n">
        <f aca="false">IF(OR($L$1="",对接源_02物料!$C344="",对接源_02物料!$C344&lt;&gt;$L$1,对接源_02物料!$B344=""),0,IF(OR(N(对接源_02物料!$B344)&lt;$L$2,N(对接源_02物料!$B344)&gt;$L$3),0,1))</f>
        <v>0</v>
      </c>
      <c r="M1544" s="1" t="n">
        <f aca="false">IF(OR($M$1="",对接源_02物料!$C344="",对接源_02物料!$C344&lt;&gt;$M$1,对接源_02物料!$B344=""),0,IF(OR(N(对接源_02物料!$B344)&lt;$M$2,N(对接源_02物料!$B344)&gt;$M$3),0,1))</f>
        <v>0</v>
      </c>
      <c r="N1544" s="1" t="n">
        <f aca="false">IF(OR($N$1="",对接源_02物料!$C344="",对接源_02物料!$C344&lt;&gt;$N$1,对接源_02物料!$B344=""),0,IF(OR(N(对接源_02物料!$B344)&lt;$N$2,N(对接源_02物料!$B344)&gt;$N$3),0,1))</f>
        <v>0</v>
      </c>
      <c r="P1544" s="1" t="n">
        <f aca="false">IF(AND($K1544=1,AND(对接源_02物料!$X344="公司筐",N(对接源_02物料!$T344)&lt;&gt;0)),1,0)</f>
        <v>0</v>
      </c>
      <c r="Q1544" s="1" t="n">
        <f aca="false">N(Q1543)+$P1544</f>
        <v>13</v>
      </c>
      <c r="R1544" s="1" t="n">
        <f aca="false">IF(AND($K1544=1,AND(对接源_02物料!$X344="公司筐",N(对接源_02物料!$U344)&lt;&gt;0)),1,0)</f>
        <v>0</v>
      </c>
      <c r="S1544" s="1" t="n">
        <f aca="false">N(S1543)+$R1544</f>
        <v>5</v>
      </c>
      <c r="T1544" s="1" t="n">
        <f aca="false">IF(AND($K1544=1,AND(对接源_02物料!$X344="公司筐",N(对接源_02物料!$V344)&lt;&gt;0)),1,0)</f>
        <v>0</v>
      </c>
      <c r="U1544" s="1" t="n">
        <f aca="false">N(U1543)+$T1544</f>
        <v>28</v>
      </c>
      <c r="V1544" s="1" t="n">
        <f aca="false">IF(AND($L1544=1,AND(对接源_02物料!$X344="自备筐",N(对接源_02物料!$V344)&lt;&gt;0)),1,0)</f>
        <v>0</v>
      </c>
      <c r="W1544" s="1" t="n">
        <f aca="false">N(W1543)+$V1544</f>
        <v>7</v>
      </c>
      <c r="X1544" s="1" t="n">
        <f aca="false">IF(AND($L1544=1,AND(对接源_02物料!$X344="自备筐",N(对接源_02物料!$T344)&lt;&gt;0)),1,0)</f>
        <v>0</v>
      </c>
      <c r="Y1544" s="1" t="n">
        <f aca="false">N(Y1543)+$X1544</f>
        <v>0</v>
      </c>
      <c r="Z1544" s="1" t="n">
        <f aca="false">IF(AND($M1544=1,对接源_02物料!$D344="原料入库"),1,0)</f>
        <v>0</v>
      </c>
      <c r="AA1544" s="1" t="n">
        <f aca="false">N(AA1543)+$Z1544</f>
        <v>30</v>
      </c>
      <c r="AB1544" s="1" t="n">
        <f aca="false">IF(AND($M1544=1,LEFT(对接源_02物料!$D344,4)="原料出库"),1,0)</f>
        <v>0</v>
      </c>
      <c r="AC1544" s="1" t="n">
        <f aca="false">N(AC1543)+$AB1544</f>
        <v>19</v>
      </c>
      <c r="AD1544" s="1" t="n">
        <f aca="false">IF(AND($M1544=1,LEFT(对接源_02物料!$D344,4)="成品出库"),1,0)</f>
        <v>0</v>
      </c>
      <c r="AE1544" s="1" t="n">
        <f aca="false">N(AE1543)+$AD1544</f>
        <v>38</v>
      </c>
      <c r="AF1544" s="1" t="n">
        <f aca="false">IF(AND($N1544=1,AND(LEFT(对接源_02物料!$D344,4)="包装物料",N(对接源_02物料!$K344)&lt;&gt;0)),1,0)</f>
        <v>0</v>
      </c>
      <c r="AG1544" s="1" t="n">
        <f aca="false">N(AG1543)+$AF1544</f>
        <v>6</v>
      </c>
      <c r="AH1544" s="1" t="n">
        <f aca="false">IF(AND($N1544=1,AND(LEFT(对接源_02物料!$D344,3)="周转筐",N(对接源_02物料!$K344)&lt;&gt;0)),1,0)</f>
        <v>0</v>
      </c>
      <c r="AI1544" s="1" t="n">
        <f aca="false">N(AI1543)+$AH1544</f>
        <v>0</v>
      </c>
      <c r="AJ1544" s="1" t="n">
        <v>0</v>
      </c>
      <c r="AK1544" s="1" t="n">
        <f aca="false">N(AK1543)+$AJ1544</f>
        <v>3672</v>
      </c>
    </row>
    <row r="1545" customFormat="false" ht="13.5" hidden="false" customHeight="false" outlineLevel="0" collapsed="false">
      <c r="A1545" s="1" t="str">
        <f aca="false">IF(对接源_02物料!$C345="","",对接源_02物料!$C345)</f>
        <v/>
      </c>
      <c r="B1545" s="1" t="n">
        <f aca="false">IF(A1545="",0,IF(MATCH(A1545,$A$4:$A$2403,0)=ROW()-3,1,0))</f>
        <v>0</v>
      </c>
      <c r="C1545" s="1" t="n">
        <f aca="false">N(C1544)+B1545</f>
        <v>17</v>
      </c>
      <c r="K1545" s="1" t="n">
        <f aca="false">IF(OR($K$1="",对接源_02物料!$C345="",对接源_02物料!$C345&lt;&gt;$K$1,对接源_02物料!$B345=""),0,IF(OR(N(对接源_02物料!$B345)&lt;$K$2,N(对接源_02物料!$B345)&gt;$K$3),0,1))</f>
        <v>0</v>
      </c>
      <c r="L1545" s="1" t="n">
        <f aca="false">IF(OR($L$1="",对接源_02物料!$C345="",对接源_02物料!$C345&lt;&gt;$L$1,对接源_02物料!$B345=""),0,IF(OR(N(对接源_02物料!$B345)&lt;$L$2,N(对接源_02物料!$B345)&gt;$L$3),0,1))</f>
        <v>0</v>
      </c>
      <c r="M1545" s="1" t="n">
        <f aca="false">IF(OR($M$1="",对接源_02物料!$C345="",对接源_02物料!$C345&lt;&gt;$M$1,对接源_02物料!$B345=""),0,IF(OR(N(对接源_02物料!$B345)&lt;$M$2,N(对接源_02物料!$B345)&gt;$M$3),0,1))</f>
        <v>0</v>
      </c>
      <c r="N1545" s="1" t="n">
        <f aca="false">IF(OR($N$1="",对接源_02物料!$C345="",对接源_02物料!$C345&lt;&gt;$N$1,对接源_02物料!$B345=""),0,IF(OR(N(对接源_02物料!$B345)&lt;$N$2,N(对接源_02物料!$B345)&gt;$N$3),0,1))</f>
        <v>0</v>
      </c>
      <c r="P1545" s="1" t="n">
        <f aca="false">IF(AND($K1545=1,AND(对接源_02物料!$X345="公司筐",N(对接源_02物料!$T345)&lt;&gt;0)),1,0)</f>
        <v>0</v>
      </c>
      <c r="Q1545" s="1" t="n">
        <f aca="false">N(Q1544)+$P1545</f>
        <v>13</v>
      </c>
      <c r="R1545" s="1" t="n">
        <f aca="false">IF(AND($K1545=1,AND(对接源_02物料!$X345="公司筐",N(对接源_02物料!$U345)&lt;&gt;0)),1,0)</f>
        <v>0</v>
      </c>
      <c r="S1545" s="1" t="n">
        <f aca="false">N(S1544)+$R1545</f>
        <v>5</v>
      </c>
      <c r="T1545" s="1" t="n">
        <f aca="false">IF(AND($K1545=1,AND(对接源_02物料!$X345="公司筐",N(对接源_02物料!$V345)&lt;&gt;0)),1,0)</f>
        <v>0</v>
      </c>
      <c r="U1545" s="1" t="n">
        <f aca="false">N(U1544)+$T1545</f>
        <v>28</v>
      </c>
      <c r="V1545" s="1" t="n">
        <f aca="false">IF(AND($L1545=1,AND(对接源_02物料!$X345="自备筐",N(对接源_02物料!$V345)&lt;&gt;0)),1,0)</f>
        <v>0</v>
      </c>
      <c r="W1545" s="1" t="n">
        <f aca="false">N(W1544)+$V1545</f>
        <v>7</v>
      </c>
      <c r="X1545" s="1" t="n">
        <f aca="false">IF(AND($L1545=1,AND(对接源_02物料!$X345="自备筐",N(对接源_02物料!$T345)&lt;&gt;0)),1,0)</f>
        <v>0</v>
      </c>
      <c r="Y1545" s="1" t="n">
        <f aca="false">N(Y1544)+$X1545</f>
        <v>0</v>
      </c>
      <c r="Z1545" s="1" t="n">
        <f aca="false">IF(AND($M1545=1,对接源_02物料!$D345="原料入库"),1,0)</f>
        <v>0</v>
      </c>
      <c r="AA1545" s="1" t="n">
        <f aca="false">N(AA1544)+$Z1545</f>
        <v>30</v>
      </c>
      <c r="AB1545" s="1" t="n">
        <f aca="false">IF(AND($M1545=1,LEFT(对接源_02物料!$D345,4)="原料出库"),1,0)</f>
        <v>0</v>
      </c>
      <c r="AC1545" s="1" t="n">
        <f aca="false">N(AC1544)+$AB1545</f>
        <v>19</v>
      </c>
      <c r="AD1545" s="1" t="n">
        <f aca="false">IF(AND($M1545=1,LEFT(对接源_02物料!$D345,4)="成品出库"),1,0)</f>
        <v>0</v>
      </c>
      <c r="AE1545" s="1" t="n">
        <f aca="false">N(AE1544)+$AD1545</f>
        <v>38</v>
      </c>
      <c r="AF1545" s="1" t="n">
        <f aca="false">IF(AND($N1545=1,AND(LEFT(对接源_02物料!$D345,4)="包装物料",N(对接源_02物料!$K345)&lt;&gt;0)),1,0)</f>
        <v>0</v>
      </c>
      <c r="AG1545" s="1" t="n">
        <f aca="false">N(AG1544)+$AF1545</f>
        <v>6</v>
      </c>
      <c r="AH1545" s="1" t="n">
        <f aca="false">IF(AND($N1545=1,AND(LEFT(对接源_02物料!$D345,3)="周转筐",N(对接源_02物料!$K345)&lt;&gt;0)),1,0)</f>
        <v>0</v>
      </c>
      <c r="AI1545" s="1" t="n">
        <f aca="false">N(AI1544)+$AH1545</f>
        <v>0</v>
      </c>
      <c r="AJ1545" s="1" t="n">
        <v>0</v>
      </c>
      <c r="AK1545" s="1" t="n">
        <f aca="false">N(AK1544)+$AJ1545</f>
        <v>3672</v>
      </c>
    </row>
    <row r="1546" customFormat="false" ht="13.5" hidden="false" customHeight="false" outlineLevel="0" collapsed="false">
      <c r="A1546" s="1" t="str">
        <f aca="false">IF(对接源_02物料!$C346="","",对接源_02物料!$C346)</f>
        <v/>
      </c>
      <c r="B1546" s="1" t="n">
        <f aca="false">IF(A1546="",0,IF(MATCH(A1546,$A$4:$A$2403,0)=ROW()-3,1,0))</f>
        <v>0</v>
      </c>
      <c r="C1546" s="1" t="n">
        <f aca="false">N(C1545)+B1546</f>
        <v>17</v>
      </c>
      <c r="K1546" s="1" t="n">
        <f aca="false">IF(OR($K$1="",对接源_02物料!$C346="",对接源_02物料!$C346&lt;&gt;$K$1,对接源_02物料!$B346=""),0,IF(OR(N(对接源_02物料!$B346)&lt;$K$2,N(对接源_02物料!$B346)&gt;$K$3),0,1))</f>
        <v>0</v>
      </c>
      <c r="L1546" s="1" t="n">
        <f aca="false">IF(OR($L$1="",对接源_02物料!$C346="",对接源_02物料!$C346&lt;&gt;$L$1,对接源_02物料!$B346=""),0,IF(OR(N(对接源_02物料!$B346)&lt;$L$2,N(对接源_02物料!$B346)&gt;$L$3),0,1))</f>
        <v>0</v>
      </c>
      <c r="M1546" s="1" t="n">
        <f aca="false">IF(OR($M$1="",对接源_02物料!$C346="",对接源_02物料!$C346&lt;&gt;$M$1,对接源_02物料!$B346=""),0,IF(OR(N(对接源_02物料!$B346)&lt;$M$2,N(对接源_02物料!$B346)&gt;$M$3),0,1))</f>
        <v>0</v>
      </c>
      <c r="N1546" s="1" t="n">
        <f aca="false">IF(OR($N$1="",对接源_02物料!$C346="",对接源_02物料!$C346&lt;&gt;$N$1,对接源_02物料!$B346=""),0,IF(OR(N(对接源_02物料!$B346)&lt;$N$2,N(对接源_02物料!$B346)&gt;$N$3),0,1))</f>
        <v>0</v>
      </c>
      <c r="P1546" s="1" t="n">
        <f aca="false">IF(AND($K1546=1,AND(对接源_02物料!$X346="公司筐",N(对接源_02物料!$T346)&lt;&gt;0)),1,0)</f>
        <v>0</v>
      </c>
      <c r="Q1546" s="1" t="n">
        <f aca="false">N(Q1545)+$P1546</f>
        <v>13</v>
      </c>
      <c r="R1546" s="1" t="n">
        <f aca="false">IF(AND($K1546=1,AND(对接源_02物料!$X346="公司筐",N(对接源_02物料!$U346)&lt;&gt;0)),1,0)</f>
        <v>0</v>
      </c>
      <c r="S1546" s="1" t="n">
        <f aca="false">N(S1545)+$R1546</f>
        <v>5</v>
      </c>
      <c r="T1546" s="1" t="n">
        <f aca="false">IF(AND($K1546=1,AND(对接源_02物料!$X346="公司筐",N(对接源_02物料!$V346)&lt;&gt;0)),1,0)</f>
        <v>0</v>
      </c>
      <c r="U1546" s="1" t="n">
        <f aca="false">N(U1545)+$T1546</f>
        <v>28</v>
      </c>
      <c r="V1546" s="1" t="n">
        <f aca="false">IF(AND($L1546=1,AND(对接源_02物料!$X346="自备筐",N(对接源_02物料!$V346)&lt;&gt;0)),1,0)</f>
        <v>0</v>
      </c>
      <c r="W1546" s="1" t="n">
        <f aca="false">N(W1545)+$V1546</f>
        <v>7</v>
      </c>
      <c r="X1546" s="1" t="n">
        <f aca="false">IF(AND($L1546=1,AND(对接源_02物料!$X346="自备筐",N(对接源_02物料!$T346)&lt;&gt;0)),1,0)</f>
        <v>0</v>
      </c>
      <c r="Y1546" s="1" t="n">
        <f aca="false">N(Y1545)+$X1546</f>
        <v>0</v>
      </c>
      <c r="Z1546" s="1" t="n">
        <f aca="false">IF(AND($M1546=1,对接源_02物料!$D346="原料入库"),1,0)</f>
        <v>0</v>
      </c>
      <c r="AA1546" s="1" t="n">
        <f aca="false">N(AA1545)+$Z1546</f>
        <v>30</v>
      </c>
      <c r="AB1546" s="1" t="n">
        <f aca="false">IF(AND($M1546=1,LEFT(对接源_02物料!$D346,4)="原料出库"),1,0)</f>
        <v>0</v>
      </c>
      <c r="AC1546" s="1" t="n">
        <f aca="false">N(AC1545)+$AB1546</f>
        <v>19</v>
      </c>
      <c r="AD1546" s="1" t="n">
        <f aca="false">IF(AND($M1546=1,LEFT(对接源_02物料!$D346,4)="成品出库"),1,0)</f>
        <v>0</v>
      </c>
      <c r="AE1546" s="1" t="n">
        <f aca="false">N(AE1545)+$AD1546</f>
        <v>38</v>
      </c>
      <c r="AF1546" s="1" t="n">
        <f aca="false">IF(AND($N1546=1,AND(LEFT(对接源_02物料!$D346,4)="包装物料",N(对接源_02物料!$K346)&lt;&gt;0)),1,0)</f>
        <v>0</v>
      </c>
      <c r="AG1546" s="1" t="n">
        <f aca="false">N(AG1545)+$AF1546</f>
        <v>6</v>
      </c>
      <c r="AH1546" s="1" t="n">
        <f aca="false">IF(AND($N1546=1,AND(LEFT(对接源_02物料!$D346,3)="周转筐",N(对接源_02物料!$K346)&lt;&gt;0)),1,0)</f>
        <v>0</v>
      </c>
      <c r="AI1546" s="1" t="n">
        <f aca="false">N(AI1545)+$AH1546</f>
        <v>0</v>
      </c>
      <c r="AJ1546" s="1" t="n">
        <v>0</v>
      </c>
      <c r="AK1546" s="1" t="n">
        <f aca="false">N(AK1545)+$AJ1546</f>
        <v>3672</v>
      </c>
    </row>
    <row r="1547" customFormat="false" ht="13.5" hidden="false" customHeight="false" outlineLevel="0" collapsed="false">
      <c r="A1547" s="1" t="str">
        <f aca="false">IF(对接源_02物料!$C347="","",对接源_02物料!$C347)</f>
        <v/>
      </c>
      <c r="B1547" s="1" t="n">
        <f aca="false">IF(A1547="",0,IF(MATCH(A1547,$A$4:$A$2403,0)=ROW()-3,1,0))</f>
        <v>0</v>
      </c>
      <c r="C1547" s="1" t="n">
        <f aca="false">N(C1546)+B1547</f>
        <v>17</v>
      </c>
      <c r="K1547" s="1" t="n">
        <f aca="false">IF(OR($K$1="",对接源_02物料!$C347="",对接源_02物料!$C347&lt;&gt;$K$1,对接源_02物料!$B347=""),0,IF(OR(N(对接源_02物料!$B347)&lt;$K$2,N(对接源_02物料!$B347)&gt;$K$3),0,1))</f>
        <v>0</v>
      </c>
      <c r="L1547" s="1" t="n">
        <f aca="false">IF(OR($L$1="",对接源_02物料!$C347="",对接源_02物料!$C347&lt;&gt;$L$1,对接源_02物料!$B347=""),0,IF(OR(N(对接源_02物料!$B347)&lt;$L$2,N(对接源_02物料!$B347)&gt;$L$3),0,1))</f>
        <v>0</v>
      </c>
      <c r="M1547" s="1" t="n">
        <f aca="false">IF(OR($M$1="",对接源_02物料!$C347="",对接源_02物料!$C347&lt;&gt;$M$1,对接源_02物料!$B347=""),0,IF(OR(N(对接源_02物料!$B347)&lt;$M$2,N(对接源_02物料!$B347)&gt;$M$3),0,1))</f>
        <v>0</v>
      </c>
      <c r="N1547" s="1" t="n">
        <f aca="false">IF(OR($N$1="",对接源_02物料!$C347="",对接源_02物料!$C347&lt;&gt;$N$1,对接源_02物料!$B347=""),0,IF(OR(N(对接源_02物料!$B347)&lt;$N$2,N(对接源_02物料!$B347)&gt;$N$3),0,1))</f>
        <v>0</v>
      </c>
      <c r="P1547" s="1" t="n">
        <f aca="false">IF(AND($K1547=1,AND(对接源_02物料!$X347="公司筐",N(对接源_02物料!$T347)&lt;&gt;0)),1,0)</f>
        <v>0</v>
      </c>
      <c r="Q1547" s="1" t="n">
        <f aca="false">N(Q1546)+$P1547</f>
        <v>13</v>
      </c>
      <c r="R1547" s="1" t="n">
        <f aca="false">IF(AND($K1547=1,AND(对接源_02物料!$X347="公司筐",N(对接源_02物料!$U347)&lt;&gt;0)),1,0)</f>
        <v>0</v>
      </c>
      <c r="S1547" s="1" t="n">
        <f aca="false">N(S1546)+$R1547</f>
        <v>5</v>
      </c>
      <c r="T1547" s="1" t="n">
        <f aca="false">IF(AND($K1547=1,AND(对接源_02物料!$X347="公司筐",N(对接源_02物料!$V347)&lt;&gt;0)),1,0)</f>
        <v>0</v>
      </c>
      <c r="U1547" s="1" t="n">
        <f aca="false">N(U1546)+$T1547</f>
        <v>28</v>
      </c>
      <c r="V1547" s="1" t="n">
        <f aca="false">IF(AND($L1547=1,AND(对接源_02物料!$X347="自备筐",N(对接源_02物料!$V347)&lt;&gt;0)),1,0)</f>
        <v>0</v>
      </c>
      <c r="W1547" s="1" t="n">
        <f aca="false">N(W1546)+$V1547</f>
        <v>7</v>
      </c>
      <c r="X1547" s="1" t="n">
        <f aca="false">IF(AND($L1547=1,AND(对接源_02物料!$X347="自备筐",N(对接源_02物料!$T347)&lt;&gt;0)),1,0)</f>
        <v>0</v>
      </c>
      <c r="Y1547" s="1" t="n">
        <f aca="false">N(Y1546)+$X1547</f>
        <v>0</v>
      </c>
      <c r="Z1547" s="1" t="n">
        <f aca="false">IF(AND($M1547=1,对接源_02物料!$D347="原料入库"),1,0)</f>
        <v>0</v>
      </c>
      <c r="AA1547" s="1" t="n">
        <f aca="false">N(AA1546)+$Z1547</f>
        <v>30</v>
      </c>
      <c r="AB1547" s="1" t="n">
        <f aca="false">IF(AND($M1547=1,LEFT(对接源_02物料!$D347,4)="原料出库"),1,0)</f>
        <v>0</v>
      </c>
      <c r="AC1547" s="1" t="n">
        <f aca="false">N(AC1546)+$AB1547</f>
        <v>19</v>
      </c>
      <c r="AD1547" s="1" t="n">
        <f aca="false">IF(AND($M1547=1,LEFT(对接源_02物料!$D347,4)="成品出库"),1,0)</f>
        <v>0</v>
      </c>
      <c r="AE1547" s="1" t="n">
        <f aca="false">N(AE1546)+$AD1547</f>
        <v>38</v>
      </c>
      <c r="AF1547" s="1" t="n">
        <f aca="false">IF(AND($N1547=1,AND(LEFT(对接源_02物料!$D347,4)="包装物料",N(对接源_02物料!$K347)&lt;&gt;0)),1,0)</f>
        <v>0</v>
      </c>
      <c r="AG1547" s="1" t="n">
        <f aca="false">N(AG1546)+$AF1547</f>
        <v>6</v>
      </c>
      <c r="AH1547" s="1" t="n">
        <f aca="false">IF(AND($N1547=1,AND(LEFT(对接源_02物料!$D347,3)="周转筐",N(对接源_02物料!$K347)&lt;&gt;0)),1,0)</f>
        <v>0</v>
      </c>
      <c r="AI1547" s="1" t="n">
        <f aca="false">N(AI1546)+$AH1547</f>
        <v>0</v>
      </c>
      <c r="AJ1547" s="1" t="n">
        <v>0</v>
      </c>
      <c r="AK1547" s="1" t="n">
        <f aca="false">N(AK1546)+$AJ1547</f>
        <v>3672</v>
      </c>
    </row>
    <row r="1548" customFormat="false" ht="13.5" hidden="false" customHeight="false" outlineLevel="0" collapsed="false">
      <c r="A1548" s="1" t="str">
        <f aca="false">IF(对接源_02物料!$C348="","",对接源_02物料!$C348)</f>
        <v/>
      </c>
      <c r="B1548" s="1" t="n">
        <f aca="false">IF(A1548="",0,IF(MATCH(A1548,$A$4:$A$2403,0)=ROW()-3,1,0))</f>
        <v>0</v>
      </c>
      <c r="C1548" s="1" t="n">
        <f aca="false">N(C1547)+B1548</f>
        <v>17</v>
      </c>
      <c r="K1548" s="1" t="n">
        <f aca="false">IF(OR($K$1="",对接源_02物料!$C348="",对接源_02物料!$C348&lt;&gt;$K$1,对接源_02物料!$B348=""),0,IF(OR(N(对接源_02物料!$B348)&lt;$K$2,N(对接源_02物料!$B348)&gt;$K$3),0,1))</f>
        <v>0</v>
      </c>
      <c r="L1548" s="1" t="n">
        <f aca="false">IF(OR($L$1="",对接源_02物料!$C348="",对接源_02物料!$C348&lt;&gt;$L$1,对接源_02物料!$B348=""),0,IF(OR(N(对接源_02物料!$B348)&lt;$L$2,N(对接源_02物料!$B348)&gt;$L$3),0,1))</f>
        <v>0</v>
      </c>
      <c r="M1548" s="1" t="n">
        <f aca="false">IF(OR($M$1="",对接源_02物料!$C348="",对接源_02物料!$C348&lt;&gt;$M$1,对接源_02物料!$B348=""),0,IF(OR(N(对接源_02物料!$B348)&lt;$M$2,N(对接源_02物料!$B348)&gt;$M$3),0,1))</f>
        <v>0</v>
      </c>
      <c r="N1548" s="1" t="n">
        <f aca="false">IF(OR($N$1="",对接源_02物料!$C348="",对接源_02物料!$C348&lt;&gt;$N$1,对接源_02物料!$B348=""),0,IF(OR(N(对接源_02物料!$B348)&lt;$N$2,N(对接源_02物料!$B348)&gt;$N$3),0,1))</f>
        <v>0</v>
      </c>
      <c r="P1548" s="1" t="n">
        <f aca="false">IF(AND($K1548=1,AND(对接源_02物料!$X348="公司筐",N(对接源_02物料!$T348)&lt;&gt;0)),1,0)</f>
        <v>0</v>
      </c>
      <c r="Q1548" s="1" t="n">
        <f aca="false">N(Q1547)+$P1548</f>
        <v>13</v>
      </c>
      <c r="R1548" s="1" t="n">
        <f aca="false">IF(AND($K1548=1,AND(对接源_02物料!$X348="公司筐",N(对接源_02物料!$U348)&lt;&gt;0)),1,0)</f>
        <v>0</v>
      </c>
      <c r="S1548" s="1" t="n">
        <f aca="false">N(S1547)+$R1548</f>
        <v>5</v>
      </c>
      <c r="T1548" s="1" t="n">
        <f aca="false">IF(AND($K1548=1,AND(对接源_02物料!$X348="公司筐",N(对接源_02物料!$V348)&lt;&gt;0)),1,0)</f>
        <v>0</v>
      </c>
      <c r="U1548" s="1" t="n">
        <f aca="false">N(U1547)+$T1548</f>
        <v>28</v>
      </c>
      <c r="V1548" s="1" t="n">
        <f aca="false">IF(AND($L1548=1,AND(对接源_02物料!$X348="自备筐",N(对接源_02物料!$V348)&lt;&gt;0)),1,0)</f>
        <v>0</v>
      </c>
      <c r="W1548" s="1" t="n">
        <f aca="false">N(W1547)+$V1548</f>
        <v>7</v>
      </c>
      <c r="X1548" s="1" t="n">
        <f aca="false">IF(AND($L1548=1,AND(对接源_02物料!$X348="自备筐",N(对接源_02物料!$T348)&lt;&gt;0)),1,0)</f>
        <v>0</v>
      </c>
      <c r="Y1548" s="1" t="n">
        <f aca="false">N(Y1547)+$X1548</f>
        <v>0</v>
      </c>
      <c r="Z1548" s="1" t="n">
        <f aca="false">IF(AND($M1548=1,对接源_02物料!$D348="原料入库"),1,0)</f>
        <v>0</v>
      </c>
      <c r="AA1548" s="1" t="n">
        <f aca="false">N(AA1547)+$Z1548</f>
        <v>30</v>
      </c>
      <c r="AB1548" s="1" t="n">
        <f aca="false">IF(AND($M1548=1,LEFT(对接源_02物料!$D348,4)="原料出库"),1,0)</f>
        <v>0</v>
      </c>
      <c r="AC1548" s="1" t="n">
        <f aca="false">N(AC1547)+$AB1548</f>
        <v>19</v>
      </c>
      <c r="AD1548" s="1" t="n">
        <f aca="false">IF(AND($M1548=1,LEFT(对接源_02物料!$D348,4)="成品出库"),1,0)</f>
        <v>0</v>
      </c>
      <c r="AE1548" s="1" t="n">
        <f aca="false">N(AE1547)+$AD1548</f>
        <v>38</v>
      </c>
      <c r="AF1548" s="1" t="n">
        <f aca="false">IF(AND($N1548=1,AND(LEFT(对接源_02物料!$D348,4)="包装物料",N(对接源_02物料!$K348)&lt;&gt;0)),1,0)</f>
        <v>0</v>
      </c>
      <c r="AG1548" s="1" t="n">
        <f aca="false">N(AG1547)+$AF1548</f>
        <v>6</v>
      </c>
      <c r="AH1548" s="1" t="n">
        <f aca="false">IF(AND($N1548=1,AND(LEFT(对接源_02物料!$D348,3)="周转筐",N(对接源_02物料!$K348)&lt;&gt;0)),1,0)</f>
        <v>0</v>
      </c>
      <c r="AI1548" s="1" t="n">
        <f aca="false">N(AI1547)+$AH1548</f>
        <v>0</v>
      </c>
      <c r="AJ1548" s="1" t="n">
        <v>0</v>
      </c>
      <c r="AK1548" s="1" t="n">
        <f aca="false">N(AK1547)+$AJ1548</f>
        <v>3672</v>
      </c>
    </row>
    <row r="1549" customFormat="false" ht="13.5" hidden="false" customHeight="false" outlineLevel="0" collapsed="false">
      <c r="A1549" s="1" t="str">
        <f aca="false">IF(对接源_02物料!$C349="","",对接源_02物料!$C349)</f>
        <v/>
      </c>
      <c r="B1549" s="1" t="n">
        <f aca="false">IF(A1549="",0,IF(MATCH(A1549,$A$4:$A$2403,0)=ROW()-3,1,0))</f>
        <v>0</v>
      </c>
      <c r="C1549" s="1" t="n">
        <f aca="false">N(C1548)+B1549</f>
        <v>17</v>
      </c>
      <c r="K1549" s="1" t="n">
        <f aca="false">IF(OR($K$1="",对接源_02物料!$C349="",对接源_02物料!$C349&lt;&gt;$K$1,对接源_02物料!$B349=""),0,IF(OR(N(对接源_02物料!$B349)&lt;$K$2,N(对接源_02物料!$B349)&gt;$K$3),0,1))</f>
        <v>0</v>
      </c>
      <c r="L1549" s="1" t="n">
        <f aca="false">IF(OR($L$1="",对接源_02物料!$C349="",对接源_02物料!$C349&lt;&gt;$L$1,对接源_02物料!$B349=""),0,IF(OR(N(对接源_02物料!$B349)&lt;$L$2,N(对接源_02物料!$B349)&gt;$L$3),0,1))</f>
        <v>0</v>
      </c>
      <c r="M1549" s="1" t="n">
        <f aca="false">IF(OR($M$1="",对接源_02物料!$C349="",对接源_02物料!$C349&lt;&gt;$M$1,对接源_02物料!$B349=""),0,IF(OR(N(对接源_02物料!$B349)&lt;$M$2,N(对接源_02物料!$B349)&gt;$M$3),0,1))</f>
        <v>0</v>
      </c>
      <c r="N1549" s="1" t="n">
        <f aca="false">IF(OR($N$1="",对接源_02物料!$C349="",对接源_02物料!$C349&lt;&gt;$N$1,对接源_02物料!$B349=""),0,IF(OR(N(对接源_02物料!$B349)&lt;$N$2,N(对接源_02物料!$B349)&gt;$N$3),0,1))</f>
        <v>0</v>
      </c>
      <c r="P1549" s="1" t="n">
        <f aca="false">IF(AND($K1549=1,AND(对接源_02物料!$X349="公司筐",N(对接源_02物料!$T349)&lt;&gt;0)),1,0)</f>
        <v>0</v>
      </c>
      <c r="Q1549" s="1" t="n">
        <f aca="false">N(Q1548)+$P1549</f>
        <v>13</v>
      </c>
      <c r="R1549" s="1" t="n">
        <f aca="false">IF(AND($K1549=1,AND(对接源_02物料!$X349="公司筐",N(对接源_02物料!$U349)&lt;&gt;0)),1,0)</f>
        <v>0</v>
      </c>
      <c r="S1549" s="1" t="n">
        <f aca="false">N(S1548)+$R1549</f>
        <v>5</v>
      </c>
      <c r="T1549" s="1" t="n">
        <f aca="false">IF(AND($K1549=1,AND(对接源_02物料!$X349="公司筐",N(对接源_02物料!$V349)&lt;&gt;0)),1,0)</f>
        <v>0</v>
      </c>
      <c r="U1549" s="1" t="n">
        <f aca="false">N(U1548)+$T1549</f>
        <v>28</v>
      </c>
      <c r="V1549" s="1" t="n">
        <f aca="false">IF(AND($L1549=1,AND(对接源_02物料!$X349="自备筐",N(对接源_02物料!$V349)&lt;&gt;0)),1,0)</f>
        <v>0</v>
      </c>
      <c r="W1549" s="1" t="n">
        <f aca="false">N(W1548)+$V1549</f>
        <v>7</v>
      </c>
      <c r="X1549" s="1" t="n">
        <f aca="false">IF(AND($L1549=1,AND(对接源_02物料!$X349="自备筐",N(对接源_02物料!$T349)&lt;&gt;0)),1,0)</f>
        <v>0</v>
      </c>
      <c r="Y1549" s="1" t="n">
        <f aca="false">N(Y1548)+$X1549</f>
        <v>0</v>
      </c>
      <c r="Z1549" s="1" t="n">
        <f aca="false">IF(AND($M1549=1,对接源_02物料!$D349="原料入库"),1,0)</f>
        <v>0</v>
      </c>
      <c r="AA1549" s="1" t="n">
        <f aca="false">N(AA1548)+$Z1549</f>
        <v>30</v>
      </c>
      <c r="AB1549" s="1" t="n">
        <f aca="false">IF(AND($M1549=1,LEFT(对接源_02物料!$D349,4)="原料出库"),1,0)</f>
        <v>0</v>
      </c>
      <c r="AC1549" s="1" t="n">
        <f aca="false">N(AC1548)+$AB1549</f>
        <v>19</v>
      </c>
      <c r="AD1549" s="1" t="n">
        <f aca="false">IF(AND($M1549=1,LEFT(对接源_02物料!$D349,4)="成品出库"),1,0)</f>
        <v>0</v>
      </c>
      <c r="AE1549" s="1" t="n">
        <f aca="false">N(AE1548)+$AD1549</f>
        <v>38</v>
      </c>
      <c r="AF1549" s="1" t="n">
        <f aca="false">IF(AND($N1549=1,AND(LEFT(对接源_02物料!$D349,4)="包装物料",N(对接源_02物料!$K349)&lt;&gt;0)),1,0)</f>
        <v>0</v>
      </c>
      <c r="AG1549" s="1" t="n">
        <f aca="false">N(AG1548)+$AF1549</f>
        <v>6</v>
      </c>
      <c r="AH1549" s="1" t="n">
        <f aca="false">IF(AND($N1549=1,AND(LEFT(对接源_02物料!$D349,3)="周转筐",N(对接源_02物料!$K349)&lt;&gt;0)),1,0)</f>
        <v>0</v>
      </c>
      <c r="AI1549" s="1" t="n">
        <f aca="false">N(AI1548)+$AH1549</f>
        <v>0</v>
      </c>
      <c r="AJ1549" s="1" t="n">
        <v>0</v>
      </c>
      <c r="AK1549" s="1" t="n">
        <f aca="false">N(AK1548)+$AJ1549</f>
        <v>3672</v>
      </c>
    </row>
    <row r="1550" customFormat="false" ht="13.5" hidden="false" customHeight="false" outlineLevel="0" collapsed="false">
      <c r="A1550" s="1" t="str">
        <f aca="false">IF(对接源_02物料!$C350="","",对接源_02物料!$C350)</f>
        <v/>
      </c>
      <c r="B1550" s="1" t="n">
        <f aca="false">IF(A1550="",0,IF(MATCH(A1550,$A$4:$A$2403,0)=ROW()-3,1,0))</f>
        <v>0</v>
      </c>
      <c r="C1550" s="1" t="n">
        <f aca="false">N(C1549)+B1550</f>
        <v>17</v>
      </c>
      <c r="K1550" s="1" t="n">
        <f aca="false">IF(OR($K$1="",对接源_02物料!$C350="",对接源_02物料!$C350&lt;&gt;$K$1,对接源_02物料!$B350=""),0,IF(OR(N(对接源_02物料!$B350)&lt;$K$2,N(对接源_02物料!$B350)&gt;$K$3),0,1))</f>
        <v>0</v>
      </c>
      <c r="L1550" s="1" t="n">
        <f aca="false">IF(OR($L$1="",对接源_02物料!$C350="",对接源_02物料!$C350&lt;&gt;$L$1,对接源_02物料!$B350=""),0,IF(OR(N(对接源_02物料!$B350)&lt;$L$2,N(对接源_02物料!$B350)&gt;$L$3),0,1))</f>
        <v>0</v>
      </c>
      <c r="M1550" s="1" t="n">
        <f aca="false">IF(OR($M$1="",对接源_02物料!$C350="",对接源_02物料!$C350&lt;&gt;$M$1,对接源_02物料!$B350=""),0,IF(OR(N(对接源_02物料!$B350)&lt;$M$2,N(对接源_02物料!$B350)&gt;$M$3),0,1))</f>
        <v>0</v>
      </c>
      <c r="N1550" s="1" t="n">
        <f aca="false">IF(OR($N$1="",对接源_02物料!$C350="",对接源_02物料!$C350&lt;&gt;$N$1,对接源_02物料!$B350=""),0,IF(OR(N(对接源_02物料!$B350)&lt;$N$2,N(对接源_02物料!$B350)&gt;$N$3),0,1))</f>
        <v>0</v>
      </c>
      <c r="P1550" s="1" t="n">
        <f aca="false">IF(AND($K1550=1,AND(对接源_02物料!$X350="公司筐",N(对接源_02物料!$T350)&lt;&gt;0)),1,0)</f>
        <v>0</v>
      </c>
      <c r="Q1550" s="1" t="n">
        <f aca="false">N(Q1549)+$P1550</f>
        <v>13</v>
      </c>
      <c r="R1550" s="1" t="n">
        <f aca="false">IF(AND($K1550=1,AND(对接源_02物料!$X350="公司筐",N(对接源_02物料!$U350)&lt;&gt;0)),1,0)</f>
        <v>0</v>
      </c>
      <c r="S1550" s="1" t="n">
        <f aca="false">N(S1549)+$R1550</f>
        <v>5</v>
      </c>
      <c r="T1550" s="1" t="n">
        <f aca="false">IF(AND($K1550=1,AND(对接源_02物料!$X350="公司筐",N(对接源_02物料!$V350)&lt;&gt;0)),1,0)</f>
        <v>0</v>
      </c>
      <c r="U1550" s="1" t="n">
        <f aca="false">N(U1549)+$T1550</f>
        <v>28</v>
      </c>
      <c r="V1550" s="1" t="n">
        <f aca="false">IF(AND($L1550=1,AND(对接源_02物料!$X350="自备筐",N(对接源_02物料!$V350)&lt;&gt;0)),1,0)</f>
        <v>0</v>
      </c>
      <c r="W1550" s="1" t="n">
        <f aca="false">N(W1549)+$V1550</f>
        <v>7</v>
      </c>
      <c r="X1550" s="1" t="n">
        <f aca="false">IF(AND($L1550=1,AND(对接源_02物料!$X350="自备筐",N(对接源_02物料!$T350)&lt;&gt;0)),1,0)</f>
        <v>0</v>
      </c>
      <c r="Y1550" s="1" t="n">
        <f aca="false">N(Y1549)+$X1550</f>
        <v>0</v>
      </c>
      <c r="Z1550" s="1" t="n">
        <f aca="false">IF(AND($M1550=1,对接源_02物料!$D350="原料入库"),1,0)</f>
        <v>0</v>
      </c>
      <c r="AA1550" s="1" t="n">
        <f aca="false">N(AA1549)+$Z1550</f>
        <v>30</v>
      </c>
      <c r="AB1550" s="1" t="n">
        <f aca="false">IF(AND($M1550=1,LEFT(对接源_02物料!$D350,4)="原料出库"),1,0)</f>
        <v>0</v>
      </c>
      <c r="AC1550" s="1" t="n">
        <f aca="false">N(AC1549)+$AB1550</f>
        <v>19</v>
      </c>
      <c r="AD1550" s="1" t="n">
        <f aca="false">IF(AND($M1550=1,LEFT(对接源_02物料!$D350,4)="成品出库"),1,0)</f>
        <v>0</v>
      </c>
      <c r="AE1550" s="1" t="n">
        <f aca="false">N(AE1549)+$AD1550</f>
        <v>38</v>
      </c>
      <c r="AF1550" s="1" t="n">
        <f aca="false">IF(AND($N1550=1,AND(LEFT(对接源_02物料!$D350,4)="包装物料",N(对接源_02物料!$K350)&lt;&gt;0)),1,0)</f>
        <v>0</v>
      </c>
      <c r="AG1550" s="1" t="n">
        <f aca="false">N(AG1549)+$AF1550</f>
        <v>6</v>
      </c>
      <c r="AH1550" s="1" t="n">
        <f aca="false">IF(AND($N1550=1,AND(LEFT(对接源_02物料!$D350,3)="周转筐",N(对接源_02物料!$K350)&lt;&gt;0)),1,0)</f>
        <v>0</v>
      </c>
      <c r="AI1550" s="1" t="n">
        <f aca="false">N(AI1549)+$AH1550</f>
        <v>0</v>
      </c>
      <c r="AJ1550" s="1" t="n">
        <v>0</v>
      </c>
      <c r="AK1550" s="1" t="n">
        <f aca="false">N(AK1549)+$AJ1550</f>
        <v>3672</v>
      </c>
    </row>
    <row r="1551" customFormat="false" ht="13.5" hidden="false" customHeight="false" outlineLevel="0" collapsed="false">
      <c r="A1551" s="1" t="str">
        <f aca="false">IF(对接源_02物料!$C351="","",对接源_02物料!$C351)</f>
        <v/>
      </c>
      <c r="B1551" s="1" t="n">
        <f aca="false">IF(A1551="",0,IF(MATCH(A1551,$A$4:$A$2403,0)=ROW()-3,1,0))</f>
        <v>0</v>
      </c>
      <c r="C1551" s="1" t="n">
        <f aca="false">N(C1550)+B1551</f>
        <v>17</v>
      </c>
      <c r="K1551" s="1" t="n">
        <f aca="false">IF(OR($K$1="",对接源_02物料!$C351="",对接源_02物料!$C351&lt;&gt;$K$1,对接源_02物料!$B351=""),0,IF(OR(N(对接源_02物料!$B351)&lt;$K$2,N(对接源_02物料!$B351)&gt;$K$3),0,1))</f>
        <v>0</v>
      </c>
      <c r="L1551" s="1" t="n">
        <f aca="false">IF(OR($L$1="",对接源_02物料!$C351="",对接源_02物料!$C351&lt;&gt;$L$1,对接源_02物料!$B351=""),0,IF(OR(N(对接源_02物料!$B351)&lt;$L$2,N(对接源_02物料!$B351)&gt;$L$3),0,1))</f>
        <v>0</v>
      </c>
      <c r="M1551" s="1" t="n">
        <f aca="false">IF(OR($M$1="",对接源_02物料!$C351="",对接源_02物料!$C351&lt;&gt;$M$1,对接源_02物料!$B351=""),0,IF(OR(N(对接源_02物料!$B351)&lt;$M$2,N(对接源_02物料!$B351)&gt;$M$3),0,1))</f>
        <v>0</v>
      </c>
      <c r="N1551" s="1" t="n">
        <f aca="false">IF(OR($N$1="",对接源_02物料!$C351="",对接源_02物料!$C351&lt;&gt;$N$1,对接源_02物料!$B351=""),0,IF(OR(N(对接源_02物料!$B351)&lt;$N$2,N(对接源_02物料!$B351)&gt;$N$3),0,1))</f>
        <v>0</v>
      </c>
      <c r="P1551" s="1" t="n">
        <f aca="false">IF(AND($K1551=1,AND(对接源_02物料!$X351="公司筐",N(对接源_02物料!$T351)&lt;&gt;0)),1,0)</f>
        <v>0</v>
      </c>
      <c r="Q1551" s="1" t="n">
        <f aca="false">N(Q1550)+$P1551</f>
        <v>13</v>
      </c>
      <c r="R1551" s="1" t="n">
        <f aca="false">IF(AND($K1551=1,AND(对接源_02物料!$X351="公司筐",N(对接源_02物料!$U351)&lt;&gt;0)),1,0)</f>
        <v>0</v>
      </c>
      <c r="S1551" s="1" t="n">
        <f aca="false">N(S1550)+$R1551</f>
        <v>5</v>
      </c>
      <c r="T1551" s="1" t="n">
        <f aca="false">IF(AND($K1551=1,AND(对接源_02物料!$X351="公司筐",N(对接源_02物料!$V351)&lt;&gt;0)),1,0)</f>
        <v>0</v>
      </c>
      <c r="U1551" s="1" t="n">
        <f aca="false">N(U1550)+$T1551</f>
        <v>28</v>
      </c>
      <c r="V1551" s="1" t="n">
        <f aca="false">IF(AND($L1551=1,AND(对接源_02物料!$X351="自备筐",N(对接源_02物料!$V351)&lt;&gt;0)),1,0)</f>
        <v>0</v>
      </c>
      <c r="W1551" s="1" t="n">
        <f aca="false">N(W1550)+$V1551</f>
        <v>7</v>
      </c>
      <c r="X1551" s="1" t="n">
        <f aca="false">IF(AND($L1551=1,AND(对接源_02物料!$X351="自备筐",N(对接源_02物料!$T351)&lt;&gt;0)),1,0)</f>
        <v>0</v>
      </c>
      <c r="Y1551" s="1" t="n">
        <f aca="false">N(Y1550)+$X1551</f>
        <v>0</v>
      </c>
      <c r="Z1551" s="1" t="n">
        <f aca="false">IF(AND($M1551=1,对接源_02物料!$D351="原料入库"),1,0)</f>
        <v>0</v>
      </c>
      <c r="AA1551" s="1" t="n">
        <f aca="false">N(AA1550)+$Z1551</f>
        <v>30</v>
      </c>
      <c r="AB1551" s="1" t="n">
        <f aca="false">IF(AND($M1551=1,LEFT(对接源_02物料!$D351,4)="原料出库"),1,0)</f>
        <v>0</v>
      </c>
      <c r="AC1551" s="1" t="n">
        <f aca="false">N(AC1550)+$AB1551</f>
        <v>19</v>
      </c>
      <c r="AD1551" s="1" t="n">
        <f aca="false">IF(AND($M1551=1,LEFT(对接源_02物料!$D351,4)="成品出库"),1,0)</f>
        <v>0</v>
      </c>
      <c r="AE1551" s="1" t="n">
        <f aca="false">N(AE1550)+$AD1551</f>
        <v>38</v>
      </c>
      <c r="AF1551" s="1" t="n">
        <f aca="false">IF(AND($N1551=1,AND(LEFT(对接源_02物料!$D351,4)="包装物料",N(对接源_02物料!$K351)&lt;&gt;0)),1,0)</f>
        <v>0</v>
      </c>
      <c r="AG1551" s="1" t="n">
        <f aca="false">N(AG1550)+$AF1551</f>
        <v>6</v>
      </c>
      <c r="AH1551" s="1" t="n">
        <f aca="false">IF(AND($N1551=1,AND(LEFT(对接源_02物料!$D351,3)="周转筐",N(对接源_02物料!$K351)&lt;&gt;0)),1,0)</f>
        <v>0</v>
      </c>
      <c r="AI1551" s="1" t="n">
        <f aca="false">N(AI1550)+$AH1551</f>
        <v>0</v>
      </c>
      <c r="AJ1551" s="1" t="n">
        <v>0</v>
      </c>
      <c r="AK1551" s="1" t="n">
        <f aca="false">N(AK1550)+$AJ1551</f>
        <v>3672</v>
      </c>
    </row>
    <row r="1552" customFormat="false" ht="13.5" hidden="false" customHeight="false" outlineLevel="0" collapsed="false">
      <c r="A1552" s="1" t="str">
        <f aca="false">IF(对接源_02物料!$C352="","",对接源_02物料!$C352)</f>
        <v/>
      </c>
      <c r="B1552" s="1" t="n">
        <f aca="false">IF(A1552="",0,IF(MATCH(A1552,$A$4:$A$2403,0)=ROW()-3,1,0))</f>
        <v>0</v>
      </c>
      <c r="C1552" s="1" t="n">
        <f aca="false">N(C1551)+B1552</f>
        <v>17</v>
      </c>
      <c r="K1552" s="1" t="n">
        <f aca="false">IF(OR($K$1="",对接源_02物料!$C352="",对接源_02物料!$C352&lt;&gt;$K$1,对接源_02物料!$B352=""),0,IF(OR(N(对接源_02物料!$B352)&lt;$K$2,N(对接源_02物料!$B352)&gt;$K$3),0,1))</f>
        <v>0</v>
      </c>
      <c r="L1552" s="1" t="n">
        <f aca="false">IF(OR($L$1="",对接源_02物料!$C352="",对接源_02物料!$C352&lt;&gt;$L$1,对接源_02物料!$B352=""),0,IF(OR(N(对接源_02物料!$B352)&lt;$L$2,N(对接源_02物料!$B352)&gt;$L$3),0,1))</f>
        <v>0</v>
      </c>
      <c r="M1552" s="1" t="n">
        <f aca="false">IF(OR($M$1="",对接源_02物料!$C352="",对接源_02物料!$C352&lt;&gt;$M$1,对接源_02物料!$B352=""),0,IF(OR(N(对接源_02物料!$B352)&lt;$M$2,N(对接源_02物料!$B352)&gt;$M$3),0,1))</f>
        <v>0</v>
      </c>
      <c r="N1552" s="1" t="n">
        <f aca="false">IF(OR($N$1="",对接源_02物料!$C352="",对接源_02物料!$C352&lt;&gt;$N$1,对接源_02物料!$B352=""),0,IF(OR(N(对接源_02物料!$B352)&lt;$N$2,N(对接源_02物料!$B352)&gt;$N$3),0,1))</f>
        <v>0</v>
      </c>
      <c r="P1552" s="1" t="n">
        <f aca="false">IF(AND($K1552=1,AND(对接源_02物料!$X352="公司筐",N(对接源_02物料!$T352)&lt;&gt;0)),1,0)</f>
        <v>0</v>
      </c>
      <c r="Q1552" s="1" t="n">
        <f aca="false">N(Q1551)+$P1552</f>
        <v>13</v>
      </c>
      <c r="R1552" s="1" t="n">
        <f aca="false">IF(AND($K1552=1,AND(对接源_02物料!$X352="公司筐",N(对接源_02物料!$U352)&lt;&gt;0)),1,0)</f>
        <v>0</v>
      </c>
      <c r="S1552" s="1" t="n">
        <f aca="false">N(S1551)+$R1552</f>
        <v>5</v>
      </c>
      <c r="T1552" s="1" t="n">
        <f aca="false">IF(AND($K1552=1,AND(对接源_02物料!$X352="公司筐",N(对接源_02物料!$V352)&lt;&gt;0)),1,0)</f>
        <v>0</v>
      </c>
      <c r="U1552" s="1" t="n">
        <f aca="false">N(U1551)+$T1552</f>
        <v>28</v>
      </c>
      <c r="V1552" s="1" t="n">
        <f aca="false">IF(AND($L1552=1,AND(对接源_02物料!$X352="自备筐",N(对接源_02物料!$V352)&lt;&gt;0)),1,0)</f>
        <v>0</v>
      </c>
      <c r="W1552" s="1" t="n">
        <f aca="false">N(W1551)+$V1552</f>
        <v>7</v>
      </c>
      <c r="X1552" s="1" t="n">
        <f aca="false">IF(AND($L1552=1,AND(对接源_02物料!$X352="自备筐",N(对接源_02物料!$T352)&lt;&gt;0)),1,0)</f>
        <v>0</v>
      </c>
      <c r="Y1552" s="1" t="n">
        <f aca="false">N(Y1551)+$X1552</f>
        <v>0</v>
      </c>
      <c r="Z1552" s="1" t="n">
        <f aca="false">IF(AND($M1552=1,对接源_02物料!$D352="原料入库"),1,0)</f>
        <v>0</v>
      </c>
      <c r="AA1552" s="1" t="n">
        <f aca="false">N(AA1551)+$Z1552</f>
        <v>30</v>
      </c>
      <c r="AB1552" s="1" t="n">
        <f aca="false">IF(AND($M1552=1,LEFT(对接源_02物料!$D352,4)="原料出库"),1,0)</f>
        <v>0</v>
      </c>
      <c r="AC1552" s="1" t="n">
        <f aca="false">N(AC1551)+$AB1552</f>
        <v>19</v>
      </c>
      <c r="AD1552" s="1" t="n">
        <f aca="false">IF(AND($M1552=1,LEFT(对接源_02物料!$D352,4)="成品出库"),1,0)</f>
        <v>0</v>
      </c>
      <c r="AE1552" s="1" t="n">
        <f aca="false">N(AE1551)+$AD1552</f>
        <v>38</v>
      </c>
      <c r="AF1552" s="1" t="n">
        <f aca="false">IF(AND($N1552=1,AND(LEFT(对接源_02物料!$D352,4)="包装物料",N(对接源_02物料!$K352)&lt;&gt;0)),1,0)</f>
        <v>0</v>
      </c>
      <c r="AG1552" s="1" t="n">
        <f aca="false">N(AG1551)+$AF1552</f>
        <v>6</v>
      </c>
      <c r="AH1552" s="1" t="n">
        <f aca="false">IF(AND($N1552=1,AND(LEFT(对接源_02物料!$D352,3)="周转筐",N(对接源_02物料!$K352)&lt;&gt;0)),1,0)</f>
        <v>0</v>
      </c>
      <c r="AI1552" s="1" t="n">
        <f aca="false">N(AI1551)+$AH1552</f>
        <v>0</v>
      </c>
      <c r="AJ1552" s="1" t="n">
        <v>0</v>
      </c>
      <c r="AK1552" s="1" t="n">
        <f aca="false">N(AK1551)+$AJ1552</f>
        <v>3672</v>
      </c>
    </row>
    <row r="1553" customFormat="false" ht="13.5" hidden="false" customHeight="false" outlineLevel="0" collapsed="false">
      <c r="A1553" s="1" t="str">
        <f aca="false">IF(对接源_02物料!$C353="","",对接源_02物料!$C353)</f>
        <v/>
      </c>
      <c r="B1553" s="1" t="n">
        <f aca="false">IF(A1553="",0,IF(MATCH(A1553,$A$4:$A$2403,0)=ROW()-3,1,0))</f>
        <v>0</v>
      </c>
      <c r="C1553" s="1" t="n">
        <f aca="false">N(C1552)+B1553</f>
        <v>17</v>
      </c>
      <c r="K1553" s="1" t="n">
        <f aca="false">IF(OR($K$1="",对接源_02物料!$C353="",对接源_02物料!$C353&lt;&gt;$K$1,对接源_02物料!$B353=""),0,IF(OR(N(对接源_02物料!$B353)&lt;$K$2,N(对接源_02物料!$B353)&gt;$K$3),0,1))</f>
        <v>0</v>
      </c>
      <c r="L1553" s="1" t="n">
        <f aca="false">IF(OR($L$1="",对接源_02物料!$C353="",对接源_02物料!$C353&lt;&gt;$L$1,对接源_02物料!$B353=""),0,IF(OR(N(对接源_02物料!$B353)&lt;$L$2,N(对接源_02物料!$B353)&gt;$L$3),0,1))</f>
        <v>0</v>
      </c>
      <c r="M1553" s="1" t="n">
        <f aca="false">IF(OR($M$1="",对接源_02物料!$C353="",对接源_02物料!$C353&lt;&gt;$M$1,对接源_02物料!$B353=""),0,IF(OR(N(对接源_02物料!$B353)&lt;$M$2,N(对接源_02物料!$B353)&gt;$M$3),0,1))</f>
        <v>0</v>
      </c>
      <c r="N1553" s="1" t="n">
        <f aca="false">IF(OR($N$1="",对接源_02物料!$C353="",对接源_02物料!$C353&lt;&gt;$N$1,对接源_02物料!$B353=""),0,IF(OR(N(对接源_02物料!$B353)&lt;$N$2,N(对接源_02物料!$B353)&gt;$N$3),0,1))</f>
        <v>0</v>
      </c>
      <c r="P1553" s="1" t="n">
        <f aca="false">IF(AND($K1553=1,AND(对接源_02物料!$X353="公司筐",N(对接源_02物料!$T353)&lt;&gt;0)),1,0)</f>
        <v>0</v>
      </c>
      <c r="Q1553" s="1" t="n">
        <f aca="false">N(Q1552)+$P1553</f>
        <v>13</v>
      </c>
      <c r="R1553" s="1" t="n">
        <f aca="false">IF(AND($K1553=1,AND(对接源_02物料!$X353="公司筐",N(对接源_02物料!$U353)&lt;&gt;0)),1,0)</f>
        <v>0</v>
      </c>
      <c r="S1553" s="1" t="n">
        <f aca="false">N(S1552)+$R1553</f>
        <v>5</v>
      </c>
      <c r="T1553" s="1" t="n">
        <f aca="false">IF(AND($K1553=1,AND(对接源_02物料!$X353="公司筐",N(对接源_02物料!$V353)&lt;&gt;0)),1,0)</f>
        <v>0</v>
      </c>
      <c r="U1553" s="1" t="n">
        <f aca="false">N(U1552)+$T1553</f>
        <v>28</v>
      </c>
      <c r="V1553" s="1" t="n">
        <f aca="false">IF(AND($L1553=1,AND(对接源_02物料!$X353="自备筐",N(对接源_02物料!$V353)&lt;&gt;0)),1,0)</f>
        <v>0</v>
      </c>
      <c r="W1553" s="1" t="n">
        <f aca="false">N(W1552)+$V1553</f>
        <v>7</v>
      </c>
      <c r="X1553" s="1" t="n">
        <f aca="false">IF(AND($L1553=1,AND(对接源_02物料!$X353="自备筐",N(对接源_02物料!$T353)&lt;&gt;0)),1,0)</f>
        <v>0</v>
      </c>
      <c r="Y1553" s="1" t="n">
        <f aca="false">N(Y1552)+$X1553</f>
        <v>0</v>
      </c>
      <c r="Z1553" s="1" t="n">
        <f aca="false">IF(AND($M1553=1,对接源_02物料!$D353="原料入库"),1,0)</f>
        <v>0</v>
      </c>
      <c r="AA1553" s="1" t="n">
        <f aca="false">N(AA1552)+$Z1553</f>
        <v>30</v>
      </c>
      <c r="AB1553" s="1" t="n">
        <f aca="false">IF(AND($M1553=1,LEFT(对接源_02物料!$D353,4)="原料出库"),1,0)</f>
        <v>0</v>
      </c>
      <c r="AC1553" s="1" t="n">
        <f aca="false">N(AC1552)+$AB1553</f>
        <v>19</v>
      </c>
      <c r="AD1553" s="1" t="n">
        <f aca="false">IF(AND($M1553=1,LEFT(对接源_02物料!$D353,4)="成品出库"),1,0)</f>
        <v>0</v>
      </c>
      <c r="AE1553" s="1" t="n">
        <f aca="false">N(AE1552)+$AD1553</f>
        <v>38</v>
      </c>
      <c r="AF1553" s="1" t="n">
        <f aca="false">IF(AND($N1553=1,AND(LEFT(对接源_02物料!$D353,4)="包装物料",N(对接源_02物料!$K353)&lt;&gt;0)),1,0)</f>
        <v>0</v>
      </c>
      <c r="AG1553" s="1" t="n">
        <f aca="false">N(AG1552)+$AF1553</f>
        <v>6</v>
      </c>
      <c r="AH1553" s="1" t="n">
        <f aca="false">IF(AND($N1553=1,AND(LEFT(对接源_02物料!$D353,3)="周转筐",N(对接源_02物料!$K353)&lt;&gt;0)),1,0)</f>
        <v>0</v>
      </c>
      <c r="AI1553" s="1" t="n">
        <f aca="false">N(AI1552)+$AH1553</f>
        <v>0</v>
      </c>
      <c r="AJ1553" s="1" t="n">
        <v>0</v>
      </c>
      <c r="AK1553" s="1" t="n">
        <f aca="false">N(AK1552)+$AJ1553</f>
        <v>3672</v>
      </c>
    </row>
    <row r="1554" customFormat="false" ht="13.5" hidden="false" customHeight="false" outlineLevel="0" collapsed="false">
      <c r="A1554" s="1" t="str">
        <f aca="false">IF(对接源_02物料!$C354="","",对接源_02物料!$C354)</f>
        <v/>
      </c>
      <c r="B1554" s="1" t="n">
        <f aca="false">IF(A1554="",0,IF(MATCH(A1554,$A$4:$A$2403,0)=ROW()-3,1,0))</f>
        <v>0</v>
      </c>
      <c r="C1554" s="1" t="n">
        <f aca="false">N(C1553)+B1554</f>
        <v>17</v>
      </c>
      <c r="K1554" s="1" t="n">
        <f aca="false">IF(OR($K$1="",对接源_02物料!$C354="",对接源_02物料!$C354&lt;&gt;$K$1,对接源_02物料!$B354=""),0,IF(OR(N(对接源_02物料!$B354)&lt;$K$2,N(对接源_02物料!$B354)&gt;$K$3),0,1))</f>
        <v>0</v>
      </c>
      <c r="L1554" s="1" t="n">
        <f aca="false">IF(OR($L$1="",对接源_02物料!$C354="",对接源_02物料!$C354&lt;&gt;$L$1,对接源_02物料!$B354=""),0,IF(OR(N(对接源_02物料!$B354)&lt;$L$2,N(对接源_02物料!$B354)&gt;$L$3),0,1))</f>
        <v>0</v>
      </c>
      <c r="M1554" s="1" t="n">
        <f aca="false">IF(OR($M$1="",对接源_02物料!$C354="",对接源_02物料!$C354&lt;&gt;$M$1,对接源_02物料!$B354=""),0,IF(OR(N(对接源_02物料!$B354)&lt;$M$2,N(对接源_02物料!$B354)&gt;$M$3),0,1))</f>
        <v>0</v>
      </c>
      <c r="N1554" s="1" t="n">
        <f aca="false">IF(OR($N$1="",对接源_02物料!$C354="",对接源_02物料!$C354&lt;&gt;$N$1,对接源_02物料!$B354=""),0,IF(OR(N(对接源_02物料!$B354)&lt;$N$2,N(对接源_02物料!$B354)&gt;$N$3),0,1))</f>
        <v>0</v>
      </c>
      <c r="P1554" s="1" t="n">
        <f aca="false">IF(AND($K1554=1,AND(对接源_02物料!$X354="公司筐",N(对接源_02物料!$T354)&lt;&gt;0)),1,0)</f>
        <v>0</v>
      </c>
      <c r="Q1554" s="1" t="n">
        <f aca="false">N(Q1553)+$P1554</f>
        <v>13</v>
      </c>
      <c r="R1554" s="1" t="n">
        <f aca="false">IF(AND($K1554=1,AND(对接源_02物料!$X354="公司筐",N(对接源_02物料!$U354)&lt;&gt;0)),1,0)</f>
        <v>0</v>
      </c>
      <c r="S1554" s="1" t="n">
        <f aca="false">N(S1553)+$R1554</f>
        <v>5</v>
      </c>
      <c r="T1554" s="1" t="n">
        <f aca="false">IF(AND($K1554=1,AND(对接源_02物料!$X354="公司筐",N(对接源_02物料!$V354)&lt;&gt;0)),1,0)</f>
        <v>0</v>
      </c>
      <c r="U1554" s="1" t="n">
        <f aca="false">N(U1553)+$T1554</f>
        <v>28</v>
      </c>
      <c r="V1554" s="1" t="n">
        <f aca="false">IF(AND($L1554=1,AND(对接源_02物料!$X354="自备筐",N(对接源_02物料!$V354)&lt;&gt;0)),1,0)</f>
        <v>0</v>
      </c>
      <c r="W1554" s="1" t="n">
        <f aca="false">N(W1553)+$V1554</f>
        <v>7</v>
      </c>
      <c r="X1554" s="1" t="n">
        <f aca="false">IF(AND($L1554=1,AND(对接源_02物料!$X354="自备筐",N(对接源_02物料!$T354)&lt;&gt;0)),1,0)</f>
        <v>0</v>
      </c>
      <c r="Y1554" s="1" t="n">
        <f aca="false">N(Y1553)+$X1554</f>
        <v>0</v>
      </c>
      <c r="Z1554" s="1" t="n">
        <f aca="false">IF(AND($M1554=1,对接源_02物料!$D354="原料入库"),1,0)</f>
        <v>0</v>
      </c>
      <c r="AA1554" s="1" t="n">
        <f aca="false">N(AA1553)+$Z1554</f>
        <v>30</v>
      </c>
      <c r="AB1554" s="1" t="n">
        <f aca="false">IF(AND($M1554=1,LEFT(对接源_02物料!$D354,4)="原料出库"),1,0)</f>
        <v>0</v>
      </c>
      <c r="AC1554" s="1" t="n">
        <f aca="false">N(AC1553)+$AB1554</f>
        <v>19</v>
      </c>
      <c r="AD1554" s="1" t="n">
        <f aca="false">IF(AND($M1554=1,LEFT(对接源_02物料!$D354,4)="成品出库"),1,0)</f>
        <v>0</v>
      </c>
      <c r="AE1554" s="1" t="n">
        <f aca="false">N(AE1553)+$AD1554</f>
        <v>38</v>
      </c>
      <c r="AF1554" s="1" t="n">
        <f aca="false">IF(AND($N1554=1,AND(LEFT(对接源_02物料!$D354,4)="包装物料",N(对接源_02物料!$K354)&lt;&gt;0)),1,0)</f>
        <v>0</v>
      </c>
      <c r="AG1554" s="1" t="n">
        <f aca="false">N(AG1553)+$AF1554</f>
        <v>6</v>
      </c>
      <c r="AH1554" s="1" t="n">
        <f aca="false">IF(AND($N1554=1,AND(LEFT(对接源_02物料!$D354,3)="周转筐",N(对接源_02物料!$K354)&lt;&gt;0)),1,0)</f>
        <v>0</v>
      </c>
      <c r="AI1554" s="1" t="n">
        <f aca="false">N(AI1553)+$AH1554</f>
        <v>0</v>
      </c>
      <c r="AJ1554" s="1" t="n">
        <v>0</v>
      </c>
      <c r="AK1554" s="1" t="n">
        <f aca="false">N(AK1553)+$AJ1554</f>
        <v>3672</v>
      </c>
    </row>
    <row r="1555" customFormat="false" ht="13.5" hidden="false" customHeight="false" outlineLevel="0" collapsed="false">
      <c r="A1555" s="1" t="str">
        <f aca="false">IF(对接源_02物料!$C355="","",对接源_02物料!$C355)</f>
        <v/>
      </c>
      <c r="B1555" s="1" t="n">
        <f aca="false">IF(A1555="",0,IF(MATCH(A1555,$A$4:$A$2403,0)=ROW()-3,1,0))</f>
        <v>0</v>
      </c>
      <c r="C1555" s="1" t="n">
        <f aca="false">N(C1554)+B1555</f>
        <v>17</v>
      </c>
      <c r="K1555" s="1" t="n">
        <f aca="false">IF(OR($K$1="",对接源_02物料!$C355="",对接源_02物料!$C355&lt;&gt;$K$1,对接源_02物料!$B355=""),0,IF(OR(N(对接源_02物料!$B355)&lt;$K$2,N(对接源_02物料!$B355)&gt;$K$3),0,1))</f>
        <v>0</v>
      </c>
      <c r="L1555" s="1" t="n">
        <f aca="false">IF(OR($L$1="",对接源_02物料!$C355="",对接源_02物料!$C355&lt;&gt;$L$1,对接源_02物料!$B355=""),0,IF(OR(N(对接源_02物料!$B355)&lt;$L$2,N(对接源_02物料!$B355)&gt;$L$3),0,1))</f>
        <v>0</v>
      </c>
      <c r="M1555" s="1" t="n">
        <f aca="false">IF(OR($M$1="",对接源_02物料!$C355="",对接源_02物料!$C355&lt;&gt;$M$1,对接源_02物料!$B355=""),0,IF(OR(N(对接源_02物料!$B355)&lt;$M$2,N(对接源_02物料!$B355)&gt;$M$3),0,1))</f>
        <v>0</v>
      </c>
      <c r="N1555" s="1" t="n">
        <f aca="false">IF(OR($N$1="",对接源_02物料!$C355="",对接源_02物料!$C355&lt;&gt;$N$1,对接源_02物料!$B355=""),0,IF(OR(N(对接源_02物料!$B355)&lt;$N$2,N(对接源_02物料!$B355)&gt;$N$3),0,1))</f>
        <v>0</v>
      </c>
      <c r="P1555" s="1" t="n">
        <f aca="false">IF(AND($K1555=1,AND(对接源_02物料!$X355="公司筐",N(对接源_02物料!$T355)&lt;&gt;0)),1,0)</f>
        <v>0</v>
      </c>
      <c r="Q1555" s="1" t="n">
        <f aca="false">N(Q1554)+$P1555</f>
        <v>13</v>
      </c>
      <c r="R1555" s="1" t="n">
        <f aca="false">IF(AND($K1555=1,AND(对接源_02物料!$X355="公司筐",N(对接源_02物料!$U355)&lt;&gt;0)),1,0)</f>
        <v>0</v>
      </c>
      <c r="S1555" s="1" t="n">
        <f aca="false">N(S1554)+$R1555</f>
        <v>5</v>
      </c>
      <c r="T1555" s="1" t="n">
        <f aca="false">IF(AND($K1555=1,AND(对接源_02物料!$X355="公司筐",N(对接源_02物料!$V355)&lt;&gt;0)),1,0)</f>
        <v>0</v>
      </c>
      <c r="U1555" s="1" t="n">
        <f aca="false">N(U1554)+$T1555</f>
        <v>28</v>
      </c>
      <c r="V1555" s="1" t="n">
        <f aca="false">IF(AND($L1555=1,AND(对接源_02物料!$X355="自备筐",N(对接源_02物料!$V355)&lt;&gt;0)),1,0)</f>
        <v>0</v>
      </c>
      <c r="W1555" s="1" t="n">
        <f aca="false">N(W1554)+$V1555</f>
        <v>7</v>
      </c>
      <c r="X1555" s="1" t="n">
        <f aca="false">IF(AND($L1555=1,AND(对接源_02物料!$X355="自备筐",N(对接源_02物料!$T355)&lt;&gt;0)),1,0)</f>
        <v>0</v>
      </c>
      <c r="Y1555" s="1" t="n">
        <f aca="false">N(Y1554)+$X1555</f>
        <v>0</v>
      </c>
      <c r="Z1555" s="1" t="n">
        <f aca="false">IF(AND($M1555=1,对接源_02物料!$D355="原料入库"),1,0)</f>
        <v>0</v>
      </c>
      <c r="AA1555" s="1" t="n">
        <f aca="false">N(AA1554)+$Z1555</f>
        <v>30</v>
      </c>
      <c r="AB1555" s="1" t="n">
        <f aca="false">IF(AND($M1555=1,LEFT(对接源_02物料!$D355,4)="原料出库"),1,0)</f>
        <v>0</v>
      </c>
      <c r="AC1555" s="1" t="n">
        <f aca="false">N(AC1554)+$AB1555</f>
        <v>19</v>
      </c>
      <c r="AD1555" s="1" t="n">
        <f aca="false">IF(AND($M1555=1,LEFT(对接源_02物料!$D355,4)="成品出库"),1,0)</f>
        <v>0</v>
      </c>
      <c r="AE1555" s="1" t="n">
        <f aca="false">N(AE1554)+$AD1555</f>
        <v>38</v>
      </c>
      <c r="AF1555" s="1" t="n">
        <f aca="false">IF(AND($N1555=1,AND(LEFT(对接源_02物料!$D355,4)="包装物料",N(对接源_02物料!$K355)&lt;&gt;0)),1,0)</f>
        <v>0</v>
      </c>
      <c r="AG1555" s="1" t="n">
        <f aca="false">N(AG1554)+$AF1555</f>
        <v>6</v>
      </c>
      <c r="AH1555" s="1" t="n">
        <f aca="false">IF(AND($N1555=1,AND(LEFT(对接源_02物料!$D355,3)="周转筐",N(对接源_02物料!$K355)&lt;&gt;0)),1,0)</f>
        <v>0</v>
      </c>
      <c r="AI1555" s="1" t="n">
        <f aca="false">N(AI1554)+$AH1555</f>
        <v>0</v>
      </c>
      <c r="AJ1555" s="1" t="n">
        <v>0</v>
      </c>
      <c r="AK1555" s="1" t="n">
        <f aca="false">N(AK1554)+$AJ1555</f>
        <v>3672</v>
      </c>
    </row>
    <row r="1556" customFormat="false" ht="13.5" hidden="false" customHeight="false" outlineLevel="0" collapsed="false">
      <c r="A1556" s="1" t="str">
        <f aca="false">IF(对接源_02物料!$C356="","",对接源_02物料!$C356)</f>
        <v/>
      </c>
      <c r="B1556" s="1" t="n">
        <f aca="false">IF(A1556="",0,IF(MATCH(A1556,$A$4:$A$2403,0)=ROW()-3,1,0))</f>
        <v>0</v>
      </c>
      <c r="C1556" s="1" t="n">
        <f aca="false">N(C1555)+B1556</f>
        <v>17</v>
      </c>
      <c r="K1556" s="1" t="n">
        <f aca="false">IF(OR($K$1="",对接源_02物料!$C356="",对接源_02物料!$C356&lt;&gt;$K$1,对接源_02物料!$B356=""),0,IF(OR(N(对接源_02物料!$B356)&lt;$K$2,N(对接源_02物料!$B356)&gt;$K$3),0,1))</f>
        <v>0</v>
      </c>
      <c r="L1556" s="1" t="n">
        <f aca="false">IF(OR($L$1="",对接源_02物料!$C356="",对接源_02物料!$C356&lt;&gt;$L$1,对接源_02物料!$B356=""),0,IF(OR(N(对接源_02物料!$B356)&lt;$L$2,N(对接源_02物料!$B356)&gt;$L$3),0,1))</f>
        <v>0</v>
      </c>
      <c r="M1556" s="1" t="n">
        <f aca="false">IF(OR($M$1="",对接源_02物料!$C356="",对接源_02物料!$C356&lt;&gt;$M$1,对接源_02物料!$B356=""),0,IF(OR(N(对接源_02物料!$B356)&lt;$M$2,N(对接源_02物料!$B356)&gt;$M$3),0,1))</f>
        <v>0</v>
      </c>
      <c r="N1556" s="1" t="n">
        <f aca="false">IF(OR($N$1="",对接源_02物料!$C356="",对接源_02物料!$C356&lt;&gt;$N$1,对接源_02物料!$B356=""),0,IF(OR(N(对接源_02物料!$B356)&lt;$N$2,N(对接源_02物料!$B356)&gt;$N$3),0,1))</f>
        <v>0</v>
      </c>
      <c r="P1556" s="1" t="n">
        <f aca="false">IF(AND($K1556=1,AND(对接源_02物料!$X356="公司筐",N(对接源_02物料!$T356)&lt;&gt;0)),1,0)</f>
        <v>0</v>
      </c>
      <c r="Q1556" s="1" t="n">
        <f aca="false">N(Q1555)+$P1556</f>
        <v>13</v>
      </c>
      <c r="R1556" s="1" t="n">
        <f aca="false">IF(AND($K1556=1,AND(对接源_02物料!$X356="公司筐",N(对接源_02物料!$U356)&lt;&gt;0)),1,0)</f>
        <v>0</v>
      </c>
      <c r="S1556" s="1" t="n">
        <f aca="false">N(S1555)+$R1556</f>
        <v>5</v>
      </c>
      <c r="T1556" s="1" t="n">
        <f aca="false">IF(AND($K1556=1,AND(对接源_02物料!$X356="公司筐",N(对接源_02物料!$V356)&lt;&gt;0)),1,0)</f>
        <v>0</v>
      </c>
      <c r="U1556" s="1" t="n">
        <f aca="false">N(U1555)+$T1556</f>
        <v>28</v>
      </c>
      <c r="V1556" s="1" t="n">
        <f aca="false">IF(AND($L1556=1,AND(对接源_02物料!$X356="自备筐",N(对接源_02物料!$V356)&lt;&gt;0)),1,0)</f>
        <v>0</v>
      </c>
      <c r="W1556" s="1" t="n">
        <f aca="false">N(W1555)+$V1556</f>
        <v>7</v>
      </c>
      <c r="X1556" s="1" t="n">
        <f aca="false">IF(AND($L1556=1,AND(对接源_02物料!$X356="自备筐",N(对接源_02物料!$T356)&lt;&gt;0)),1,0)</f>
        <v>0</v>
      </c>
      <c r="Y1556" s="1" t="n">
        <f aca="false">N(Y1555)+$X1556</f>
        <v>0</v>
      </c>
      <c r="Z1556" s="1" t="n">
        <f aca="false">IF(AND($M1556=1,对接源_02物料!$D356="原料入库"),1,0)</f>
        <v>0</v>
      </c>
      <c r="AA1556" s="1" t="n">
        <f aca="false">N(AA1555)+$Z1556</f>
        <v>30</v>
      </c>
      <c r="AB1556" s="1" t="n">
        <f aca="false">IF(AND($M1556=1,LEFT(对接源_02物料!$D356,4)="原料出库"),1,0)</f>
        <v>0</v>
      </c>
      <c r="AC1556" s="1" t="n">
        <f aca="false">N(AC1555)+$AB1556</f>
        <v>19</v>
      </c>
      <c r="AD1556" s="1" t="n">
        <f aca="false">IF(AND($M1556=1,LEFT(对接源_02物料!$D356,4)="成品出库"),1,0)</f>
        <v>0</v>
      </c>
      <c r="AE1556" s="1" t="n">
        <f aca="false">N(AE1555)+$AD1556</f>
        <v>38</v>
      </c>
      <c r="AF1556" s="1" t="n">
        <f aca="false">IF(AND($N1556=1,AND(LEFT(对接源_02物料!$D356,4)="包装物料",N(对接源_02物料!$K356)&lt;&gt;0)),1,0)</f>
        <v>0</v>
      </c>
      <c r="AG1556" s="1" t="n">
        <f aca="false">N(AG1555)+$AF1556</f>
        <v>6</v>
      </c>
      <c r="AH1556" s="1" t="n">
        <f aca="false">IF(AND($N1556=1,AND(LEFT(对接源_02物料!$D356,3)="周转筐",N(对接源_02物料!$K356)&lt;&gt;0)),1,0)</f>
        <v>0</v>
      </c>
      <c r="AI1556" s="1" t="n">
        <f aca="false">N(AI1555)+$AH1556</f>
        <v>0</v>
      </c>
      <c r="AJ1556" s="1" t="n">
        <v>0</v>
      </c>
      <c r="AK1556" s="1" t="n">
        <f aca="false">N(AK1555)+$AJ1556</f>
        <v>3672</v>
      </c>
    </row>
    <row r="1557" customFormat="false" ht="13.5" hidden="false" customHeight="false" outlineLevel="0" collapsed="false">
      <c r="A1557" s="1" t="str">
        <f aca="false">IF(对接源_02物料!$C357="","",对接源_02物料!$C357)</f>
        <v/>
      </c>
      <c r="B1557" s="1" t="n">
        <f aca="false">IF(A1557="",0,IF(MATCH(A1557,$A$4:$A$2403,0)=ROW()-3,1,0))</f>
        <v>0</v>
      </c>
      <c r="C1557" s="1" t="n">
        <f aca="false">N(C1556)+B1557</f>
        <v>17</v>
      </c>
      <c r="K1557" s="1" t="n">
        <f aca="false">IF(OR($K$1="",对接源_02物料!$C357="",对接源_02物料!$C357&lt;&gt;$K$1,对接源_02物料!$B357=""),0,IF(OR(N(对接源_02物料!$B357)&lt;$K$2,N(对接源_02物料!$B357)&gt;$K$3),0,1))</f>
        <v>0</v>
      </c>
      <c r="L1557" s="1" t="n">
        <f aca="false">IF(OR($L$1="",对接源_02物料!$C357="",对接源_02物料!$C357&lt;&gt;$L$1,对接源_02物料!$B357=""),0,IF(OR(N(对接源_02物料!$B357)&lt;$L$2,N(对接源_02物料!$B357)&gt;$L$3),0,1))</f>
        <v>0</v>
      </c>
      <c r="M1557" s="1" t="n">
        <f aca="false">IF(OR($M$1="",对接源_02物料!$C357="",对接源_02物料!$C357&lt;&gt;$M$1,对接源_02物料!$B357=""),0,IF(OR(N(对接源_02物料!$B357)&lt;$M$2,N(对接源_02物料!$B357)&gt;$M$3),0,1))</f>
        <v>0</v>
      </c>
      <c r="N1557" s="1" t="n">
        <f aca="false">IF(OR($N$1="",对接源_02物料!$C357="",对接源_02物料!$C357&lt;&gt;$N$1,对接源_02物料!$B357=""),0,IF(OR(N(对接源_02物料!$B357)&lt;$N$2,N(对接源_02物料!$B357)&gt;$N$3),0,1))</f>
        <v>0</v>
      </c>
      <c r="P1557" s="1" t="n">
        <f aca="false">IF(AND($K1557=1,AND(对接源_02物料!$X357="公司筐",N(对接源_02物料!$T357)&lt;&gt;0)),1,0)</f>
        <v>0</v>
      </c>
      <c r="Q1557" s="1" t="n">
        <f aca="false">N(Q1556)+$P1557</f>
        <v>13</v>
      </c>
      <c r="R1557" s="1" t="n">
        <f aca="false">IF(AND($K1557=1,AND(对接源_02物料!$X357="公司筐",N(对接源_02物料!$U357)&lt;&gt;0)),1,0)</f>
        <v>0</v>
      </c>
      <c r="S1557" s="1" t="n">
        <f aca="false">N(S1556)+$R1557</f>
        <v>5</v>
      </c>
      <c r="T1557" s="1" t="n">
        <f aca="false">IF(AND($K1557=1,AND(对接源_02物料!$X357="公司筐",N(对接源_02物料!$V357)&lt;&gt;0)),1,0)</f>
        <v>0</v>
      </c>
      <c r="U1557" s="1" t="n">
        <f aca="false">N(U1556)+$T1557</f>
        <v>28</v>
      </c>
      <c r="V1557" s="1" t="n">
        <f aca="false">IF(AND($L1557=1,AND(对接源_02物料!$X357="自备筐",N(对接源_02物料!$V357)&lt;&gt;0)),1,0)</f>
        <v>0</v>
      </c>
      <c r="W1557" s="1" t="n">
        <f aca="false">N(W1556)+$V1557</f>
        <v>7</v>
      </c>
      <c r="X1557" s="1" t="n">
        <f aca="false">IF(AND($L1557=1,AND(对接源_02物料!$X357="自备筐",N(对接源_02物料!$T357)&lt;&gt;0)),1,0)</f>
        <v>0</v>
      </c>
      <c r="Y1557" s="1" t="n">
        <f aca="false">N(Y1556)+$X1557</f>
        <v>0</v>
      </c>
      <c r="Z1557" s="1" t="n">
        <f aca="false">IF(AND($M1557=1,对接源_02物料!$D357="原料入库"),1,0)</f>
        <v>0</v>
      </c>
      <c r="AA1557" s="1" t="n">
        <f aca="false">N(AA1556)+$Z1557</f>
        <v>30</v>
      </c>
      <c r="AB1557" s="1" t="n">
        <f aca="false">IF(AND($M1557=1,LEFT(对接源_02物料!$D357,4)="原料出库"),1,0)</f>
        <v>0</v>
      </c>
      <c r="AC1557" s="1" t="n">
        <f aca="false">N(AC1556)+$AB1557</f>
        <v>19</v>
      </c>
      <c r="AD1557" s="1" t="n">
        <f aca="false">IF(AND($M1557=1,LEFT(对接源_02物料!$D357,4)="成品出库"),1,0)</f>
        <v>0</v>
      </c>
      <c r="AE1557" s="1" t="n">
        <f aca="false">N(AE1556)+$AD1557</f>
        <v>38</v>
      </c>
      <c r="AF1557" s="1" t="n">
        <f aca="false">IF(AND($N1557=1,AND(LEFT(对接源_02物料!$D357,4)="包装物料",N(对接源_02物料!$K357)&lt;&gt;0)),1,0)</f>
        <v>0</v>
      </c>
      <c r="AG1557" s="1" t="n">
        <f aca="false">N(AG1556)+$AF1557</f>
        <v>6</v>
      </c>
      <c r="AH1557" s="1" t="n">
        <f aca="false">IF(AND($N1557=1,AND(LEFT(对接源_02物料!$D357,3)="周转筐",N(对接源_02物料!$K357)&lt;&gt;0)),1,0)</f>
        <v>0</v>
      </c>
      <c r="AI1557" s="1" t="n">
        <f aca="false">N(AI1556)+$AH1557</f>
        <v>0</v>
      </c>
      <c r="AJ1557" s="1" t="n">
        <v>0</v>
      </c>
      <c r="AK1557" s="1" t="n">
        <f aca="false">N(AK1556)+$AJ1557</f>
        <v>3672</v>
      </c>
    </row>
    <row r="1558" customFormat="false" ht="13.5" hidden="false" customHeight="false" outlineLevel="0" collapsed="false">
      <c r="A1558" s="1" t="str">
        <f aca="false">IF(对接源_02物料!$C358="","",对接源_02物料!$C358)</f>
        <v/>
      </c>
      <c r="B1558" s="1" t="n">
        <f aca="false">IF(A1558="",0,IF(MATCH(A1558,$A$4:$A$2403,0)=ROW()-3,1,0))</f>
        <v>0</v>
      </c>
      <c r="C1558" s="1" t="n">
        <f aca="false">N(C1557)+B1558</f>
        <v>17</v>
      </c>
      <c r="K1558" s="1" t="n">
        <f aca="false">IF(OR($K$1="",对接源_02物料!$C358="",对接源_02物料!$C358&lt;&gt;$K$1,对接源_02物料!$B358=""),0,IF(OR(N(对接源_02物料!$B358)&lt;$K$2,N(对接源_02物料!$B358)&gt;$K$3),0,1))</f>
        <v>0</v>
      </c>
      <c r="L1558" s="1" t="n">
        <f aca="false">IF(OR($L$1="",对接源_02物料!$C358="",对接源_02物料!$C358&lt;&gt;$L$1,对接源_02物料!$B358=""),0,IF(OR(N(对接源_02物料!$B358)&lt;$L$2,N(对接源_02物料!$B358)&gt;$L$3),0,1))</f>
        <v>0</v>
      </c>
      <c r="M1558" s="1" t="n">
        <f aca="false">IF(OR($M$1="",对接源_02物料!$C358="",对接源_02物料!$C358&lt;&gt;$M$1,对接源_02物料!$B358=""),0,IF(OR(N(对接源_02物料!$B358)&lt;$M$2,N(对接源_02物料!$B358)&gt;$M$3),0,1))</f>
        <v>0</v>
      </c>
      <c r="N1558" s="1" t="n">
        <f aca="false">IF(OR($N$1="",对接源_02物料!$C358="",对接源_02物料!$C358&lt;&gt;$N$1,对接源_02物料!$B358=""),0,IF(OR(N(对接源_02物料!$B358)&lt;$N$2,N(对接源_02物料!$B358)&gt;$N$3),0,1))</f>
        <v>0</v>
      </c>
      <c r="P1558" s="1" t="n">
        <f aca="false">IF(AND($K1558=1,AND(对接源_02物料!$X358="公司筐",N(对接源_02物料!$T358)&lt;&gt;0)),1,0)</f>
        <v>0</v>
      </c>
      <c r="Q1558" s="1" t="n">
        <f aca="false">N(Q1557)+$P1558</f>
        <v>13</v>
      </c>
      <c r="R1558" s="1" t="n">
        <f aca="false">IF(AND($K1558=1,AND(对接源_02物料!$X358="公司筐",N(对接源_02物料!$U358)&lt;&gt;0)),1,0)</f>
        <v>0</v>
      </c>
      <c r="S1558" s="1" t="n">
        <f aca="false">N(S1557)+$R1558</f>
        <v>5</v>
      </c>
      <c r="T1558" s="1" t="n">
        <f aca="false">IF(AND($K1558=1,AND(对接源_02物料!$X358="公司筐",N(对接源_02物料!$V358)&lt;&gt;0)),1,0)</f>
        <v>0</v>
      </c>
      <c r="U1558" s="1" t="n">
        <f aca="false">N(U1557)+$T1558</f>
        <v>28</v>
      </c>
      <c r="V1558" s="1" t="n">
        <f aca="false">IF(AND($L1558=1,AND(对接源_02物料!$X358="自备筐",N(对接源_02物料!$V358)&lt;&gt;0)),1,0)</f>
        <v>0</v>
      </c>
      <c r="W1558" s="1" t="n">
        <f aca="false">N(W1557)+$V1558</f>
        <v>7</v>
      </c>
      <c r="X1558" s="1" t="n">
        <f aca="false">IF(AND($L1558=1,AND(对接源_02物料!$X358="自备筐",N(对接源_02物料!$T358)&lt;&gt;0)),1,0)</f>
        <v>0</v>
      </c>
      <c r="Y1558" s="1" t="n">
        <f aca="false">N(Y1557)+$X1558</f>
        <v>0</v>
      </c>
      <c r="Z1558" s="1" t="n">
        <f aca="false">IF(AND($M1558=1,对接源_02物料!$D358="原料入库"),1,0)</f>
        <v>0</v>
      </c>
      <c r="AA1558" s="1" t="n">
        <f aca="false">N(AA1557)+$Z1558</f>
        <v>30</v>
      </c>
      <c r="AB1558" s="1" t="n">
        <f aca="false">IF(AND($M1558=1,LEFT(对接源_02物料!$D358,4)="原料出库"),1,0)</f>
        <v>0</v>
      </c>
      <c r="AC1558" s="1" t="n">
        <f aca="false">N(AC1557)+$AB1558</f>
        <v>19</v>
      </c>
      <c r="AD1558" s="1" t="n">
        <f aca="false">IF(AND($M1558=1,LEFT(对接源_02物料!$D358,4)="成品出库"),1,0)</f>
        <v>0</v>
      </c>
      <c r="AE1558" s="1" t="n">
        <f aca="false">N(AE1557)+$AD1558</f>
        <v>38</v>
      </c>
      <c r="AF1558" s="1" t="n">
        <f aca="false">IF(AND($N1558=1,AND(LEFT(对接源_02物料!$D358,4)="包装物料",N(对接源_02物料!$K358)&lt;&gt;0)),1,0)</f>
        <v>0</v>
      </c>
      <c r="AG1558" s="1" t="n">
        <f aca="false">N(AG1557)+$AF1558</f>
        <v>6</v>
      </c>
      <c r="AH1558" s="1" t="n">
        <f aca="false">IF(AND($N1558=1,AND(LEFT(对接源_02物料!$D358,3)="周转筐",N(对接源_02物料!$K358)&lt;&gt;0)),1,0)</f>
        <v>0</v>
      </c>
      <c r="AI1558" s="1" t="n">
        <f aca="false">N(AI1557)+$AH1558</f>
        <v>0</v>
      </c>
      <c r="AJ1558" s="1" t="n">
        <v>0</v>
      </c>
      <c r="AK1558" s="1" t="n">
        <f aca="false">N(AK1557)+$AJ1558</f>
        <v>3672</v>
      </c>
    </row>
    <row r="1559" customFormat="false" ht="13.5" hidden="false" customHeight="false" outlineLevel="0" collapsed="false">
      <c r="A1559" s="1" t="str">
        <f aca="false">IF(对接源_02物料!$C359="","",对接源_02物料!$C359)</f>
        <v/>
      </c>
      <c r="B1559" s="1" t="n">
        <f aca="false">IF(A1559="",0,IF(MATCH(A1559,$A$4:$A$2403,0)=ROW()-3,1,0))</f>
        <v>0</v>
      </c>
      <c r="C1559" s="1" t="n">
        <f aca="false">N(C1558)+B1559</f>
        <v>17</v>
      </c>
      <c r="K1559" s="1" t="n">
        <f aca="false">IF(OR($K$1="",对接源_02物料!$C359="",对接源_02物料!$C359&lt;&gt;$K$1,对接源_02物料!$B359=""),0,IF(OR(N(对接源_02物料!$B359)&lt;$K$2,N(对接源_02物料!$B359)&gt;$K$3),0,1))</f>
        <v>0</v>
      </c>
      <c r="L1559" s="1" t="n">
        <f aca="false">IF(OR($L$1="",对接源_02物料!$C359="",对接源_02物料!$C359&lt;&gt;$L$1,对接源_02物料!$B359=""),0,IF(OR(N(对接源_02物料!$B359)&lt;$L$2,N(对接源_02物料!$B359)&gt;$L$3),0,1))</f>
        <v>0</v>
      </c>
      <c r="M1559" s="1" t="n">
        <f aca="false">IF(OR($M$1="",对接源_02物料!$C359="",对接源_02物料!$C359&lt;&gt;$M$1,对接源_02物料!$B359=""),0,IF(OR(N(对接源_02物料!$B359)&lt;$M$2,N(对接源_02物料!$B359)&gt;$M$3),0,1))</f>
        <v>0</v>
      </c>
      <c r="N1559" s="1" t="n">
        <f aca="false">IF(OR($N$1="",对接源_02物料!$C359="",对接源_02物料!$C359&lt;&gt;$N$1,对接源_02物料!$B359=""),0,IF(OR(N(对接源_02物料!$B359)&lt;$N$2,N(对接源_02物料!$B359)&gt;$N$3),0,1))</f>
        <v>0</v>
      </c>
      <c r="P1559" s="1" t="n">
        <f aca="false">IF(AND($K1559=1,AND(对接源_02物料!$X359="公司筐",N(对接源_02物料!$T359)&lt;&gt;0)),1,0)</f>
        <v>0</v>
      </c>
      <c r="Q1559" s="1" t="n">
        <f aca="false">N(Q1558)+$P1559</f>
        <v>13</v>
      </c>
      <c r="R1559" s="1" t="n">
        <f aca="false">IF(AND($K1559=1,AND(对接源_02物料!$X359="公司筐",N(对接源_02物料!$U359)&lt;&gt;0)),1,0)</f>
        <v>0</v>
      </c>
      <c r="S1559" s="1" t="n">
        <f aca="false">N(S1558)+$R1559</f>
        <v>5</v>
      </c>
      <c r="T1559" s="1" t="n">
        <f aca="false">IF(AND($K1559=1,AND(对接源_02物料!$X359="公司筐",N(对接源_02物料!$V359)&lt;&gt;0)),1,0)</f>
        <v>0</v>
      </c>
      <c r="U1559" s="1" t="n">
        <f aca="false">N(U1558)+$T1559</f>
        <v>28</v>
      </c>
      <c r="V1559" s="1" t="n">
        <f aca="false">IF(AND($L1559=1,AND(对接源_02物料!$X359="自备筐",N(对接源_02物料!$V359)&lt;&gt;0)),1,0)</f>
        <v>0</v>
      </c>
      <c r="W1559" s="1" t="n">
        <f aca="false">N(W1558)+$V1559</f>
        <v>7</v>
      </c>
      <c r="X1559" s="1" t="n">
        <f aca="false">IF(AND($L1559=1,AND(对接源_02物料!$X359="自备筐",N(对接源_02物料!$T359)&lt;&gt;0)),1,0)</f>
        <v>0</v>
      </c>
      <c r="Y1559" s="1" t="n">
        <f aca="false">N(Y1558)+$X1559</f>
        <v>0</v>
      </c>
      <c r="Z1559" s="1" t="n">
        <f aca="false">IF(AND($M1559=1,对接源_02物料!$D359="原料入库"),1,0)</f>
        <v>0</v>
      </c>
      <c r="AA1559" s="1" t="n">
        <f aca="false">N(AA1558)+$Z1559</f>
        <v>30</v>
      </c>
      <c r="AB1559" s="1" t="n">
        <f aca="false">IF(AND($M1559=1,LEFT(对接源_02物料!$D359,4)="原料出库"),1,0)</f>
        <v>0</v>
      </c>
      <c r="AC1559" s="1" t="n">
        <f aca="false">N(AC1558)+$AB1559</f>
        <v>19</v>
      </c>
      <c r="AD1559" s="1" t="n">
        <f aca="false">IF(AND($M1559=1,LEFT(对接源_02物料!$D359,4)="成品出库"),1,0)</f>
        <v>0</v>
      </c>
      <c r="AE1559" s="1" t="n">
        <f aca="false">N(AE1558)+$AD1559</f>
        <v>38</v>
      </c>
      <c r="AF1559" s="1" t="n">
        <f aca="false">IF(AND($N1559=1,AND(LEFT(对接源_02物料!$D359,4)="包装物料",N(对接源_02物料!$K359)&lt;&gt;0)),1,0)</f>
        <v>0</v>
      </c>
      <c r="AG1559" s="1" t="n">
        <f aca="false">N(AG1558)+$AF1559</f>
        <v>6</v>
      </c>
      <c r="AH1559" s="1" t="n">
        <f aca="false">IF(AND($N1559=1,AND(LEFT(对接源_02物料!$D359,3)="周转筐",N(对接源_02物料!$K359)&lt;&gt;0)),1,0)</f>
        <v>0</v>
      </c>
      <c r="AI1559" s="1" t="n">
        <f aca="false">N(AI1558)+$AH1559</f>
        <v>0</v>
      </c>
      <c r="AJ1559" s="1" t="n">
        <v>0</v>
      </c>
      <c r="AK1559" s="1" t="n">
        <f aca="false">N(AK1558)+$AJ1559</f>
        <v>3672</v>
      </c>
    </row>
    <row r="1560" customFormat="false" ht="13.5" hidden="false" customHeight="false" outlineLevel="0" collapsed="false">
      <c r="A1560" s="1" t="str">
        <f aca="false">IF(对接源_02物料!$C360="","",对接源_02物料!$C360)</f>
        <v/>
      </c>
      <c r="B1560" s="1" t="n">
        <f aca="false">IF(A1560="",0,IF(MATCH(A1560,$A$4:$A$2403,0)=ROW()-3,1,0))</f>
        <v>0</v>
      </c>
      <c r="C1560" s="1" t="n">
        <f aca="false">N(C1559)+B1560</f>
        <v>17</v>
      </c>
      <c r="K1560" s="1" t="n">
        <f aca="false">IF(OR($K$1="",对接源_02物料!$C360="",对接源_02物料!$C360&lt;&gt;$K$1,对接源_02物料!$B360=""),0,IF(OR(N(对接源_02物料!$B360)&lt;$K$2,N(对接源_02物料!$B360)&gt;$K$3),0,1))</f>
        <v>0</v>
      </c>
      <c r="L1560" s="1" t="n">
        <f aca="false">IF(OR($L$1="",对接源_02物料!$C360="",对接源_02物料!$C360&lt;&gt;$L$1,对接源_02物料!$B360=""),0,IF(OR(N(对接源_02物料!$B360)&lt;$L$2,N(对接源_02物料!$B360)&gt;$L$3),0,1))</f>
        <v>0</v>
      </c>
      <c r="M1560" s="1" t="n">
        <f aca="false">IF(OR($M$1="",对接源_02物料!$C360="",对接源_02物料!$C360&lt;&gt;$M$1,对接源_02物料!$B360=""),0,IF(OR(N(对接源_02物料!$B360)&lt;$M$2,N(对接源_02物料!$B360)&gt;$M$3),0,1))</f>
        <v>0</v>
      </c>
      <c r="N1560" s="1" t="n">
        <f aca="false">IF(OR($N$1="",对接源_02物料!$C360="",对接源_02物料!$C360&lt;&gt;$N$1,对接源_02物料!$B360=""),0,IF(OR(N(对接源_02物料!$B360)&lt;$N$2,N(对接源_02物料!$B360)&gt;$N$3),0,1))</f>
        <v>0</v>
      </c>
      <c r="P1560" s="1" t="n">
        <f aca="false">IF(AND($K1560=1,AND(对接源_02物料!$X360="公司筐",N(对接源_02物料!$T360)&lt;&gt;0)),1,0)</f>
        <v>0</v>
      </c>
      <c r="Q1560" s="1" t="n">
        <f aca="false">N(Q1559)+$P1560</f>
        <v>13</v>
      </c>
      <c r="R1560" s="1" t="n">
        <f aca="false">IF(AND($K1560=1,AND(对接源_02物料!$X360="公司筐",N(对接源_02物料!$U360)&lt;&gt;0)),1,0)</f>
        <v>0</v>
      </c>
      <c r="S1560" s="1" t="n">
        <f aca="false">N(S1559)+$R1560</f>
        <v>5</v>
      </c>
      <c r="T1560" s="1" t="n">
        <f aca="false">IF(AND($K1560=1,AND(对接源_02物料!$X360="公司筐",N(对接源_02物料!$V360)&lt;&gt;0)),1,0)</f>
        <v>0</v>
      </c>
      <c r="U1560" s="1" t="n">
        <f aca="false">N(U1559)+$T1560</f>
        <v>28</v>
      </c>
      <c r="V1560" s="1" t="n">
        <f aca="false">IF(AND($L1560=1,AND(对接源_02物料!$X360="自备筐",N(对接源_02物料!$V360)&lt;&gt;0)),1,0)</f>
        <v>0</v>
      </c>
      <c r="W1560" s="1" t="n">
        <f aca="false">N(W1559)+$V1560</f>
        <v>7</v>
      </c>
      <c r="X1560" s="1" t="n">
        <f aca="false">IF(AND($L1560=1,AND(对接源_02物料!$X360="自备筐",N(对接源_02物料!$T360)&lt;&gt;0)),1,0)</f>
        <v>0</v>
      </c>
      <c r="Y1560" s="1" t="n">
        <f aca="false">N(Y1559)+$X1560</f>
        <v>0</v>
      </c>
      <c r="Z1560" s="1" t="n">
        <f aca="false">IF(AND($M1560=1,对接源_02物料!$D360="原料入库"),1,0)</f>
        <v>0</v>
      </c>
      <c r="AA1560" s="1" t="n">
        <f aca="false">N(AA1559)+$Z1560</f>
        <v>30</v>
      </c>
      <c r="AB1560" s="1" t="n">
        <f aca="false">IF(AND($M1560=1,LEFT(对接源_02物料!$D360,4)="原料出库"),1,0)</f>
        <v>0</v>
      </c>
      <c r="AC1560" s="1" t="n">
        <f aca="false">N(AC1559)+$AB1560</f>
        <v>19</v>
      </c>
      <c r="AD1560" s="1" t="n">
        <f aca="false">IF(AND($M1560=1,LEFT(对接源_02物料!$D360,4)="成品出库"),1,0)</f>
        <v>0</v>
      </c>
      <c r="AE1560" s="1" t="n">
        <f aca="false">N(AE1559)+$AD1560</f>
        <v>38</v>
      </c>
      <c r="AF1560" s="1" t="n">
        <f aca="false">IF(AND($N1560=1,AND(LEFT(对接源_02物料!$D360,4)="包装物料",N(对接源_02物料!$K360)&lt;&gt;0)),1,0)</f>
        <v>0</v>
      </c>
      <c r="AG1560" s="1" t="n">
        <f aca="false">N(AG1559)+$AF1560</f>
        <v>6</v>
      </c>
      <c r="AH1560" s="1" t="n">
        <f aca="false">IF(AND($N1560=1,AND(LEFT(对接源_02物料!$D360,3)="周转筐",N(对接源_02物料!$K360)&lt;&gt;0)),1,0)</f>
        <v>0</v>
      </c>
      <c r="AI1560" s="1" t="n">
        <f aca="false">N(AI1559)+$AH1560</f>
        <v>0</v>
      </c>
      <c r="AJ1560" s="1" t="n">
        <v>0</v>
      </c>
      <c r="AK1560" s="1" t="n">
        <f aca="false">N(AK1559)+$AJ1560</f>
        <v>3672</v>
      </c>
    </row>
    <row r="1561" customFormat="false" ht="13.5" hidden="false" customHeight="false" outlineLevel="0" collapsed="false">
      <c r="A1561" s="1" t="str">
        <f aca="false">IF(对接源_02物料!$C361="","",对接源_02物料!$C361)</f>
        <v/>
      </c>
      <c r="B1561" s="1" t="n">
        <f aca="false">IF(A1561="",0,IF(MATCH(A1561,$A$4:$A$2403,0)=ROW()-3,1,0))</f>
        <v>0</v>
      </c>
      <c r="C1561" s="1" t="n">
        <f aca="false">N(C1560)+B1561</f>
        <v>17</v>
      </c>
      <c r="K1561" s="1" t="n">
        <f aca="false">IF(OR($K$1="",对接源_02物料!$C361="",对接源_02物料!$C361&lt;&gt;$K$1,对接源_02物料!$B361=""),0,IF(OR(N(对接源_02物料!$B361)&lt;$K$2,N(对接源_02物料!$B361)&gt;$K$3),0,1))</f>
        <v>0</v>
      </c>
      <c r="L1561" s="1" t="n">
        <f aca="false">IF(OR($L$1="",对接源_02物料!$C361="",对接源_02物料!$C361&lt;&gt;$L$1,对接源_02物料!$B361=""),0,IF(OR(N(对接源_02物料!$B361)&lt;$L$2,N(对接源_02物料!$B361)&gt;$L$3),0,1))</f>
        <v>0</v>
      </c>
      <c r="M1561" s="1" t="n">
        <f aca="false">IF(OR($M$1="",对接源_02物料!$C361="",对接源_02物料!$C361&lt;&gt;$M$1,对接源_02物料!$B361=""),0,IF(OR(N(对接源_02物料!$B361)&lt;$M$2,N(对接源_02物料!$B361)&gt;$M$3),0,1))</f>
        <v>0</v>
      </c>
      <c r="N1561" s="1" t="n">
        <f aca="false">IF(OR($N$1="",对接源_02物料!$C361="",对接源_02物料!$C361&lt;&gt;$N$1,对接源_02物料!$B361=""),0,IF(OR(N(对接源_02物料!$B361)&lt;$N$2,N(对接源_02物料!$B361)&gt;$N$3),0,1))</f>
        <v>0</v>
      </c>
      <c r="P1561" s="1" t="n">
        <f aca="false">IF(AND($K1561=1,AND(对接源_02物料!$X361="公司筐",N(对接源_02物料!$T361)&lt;&gt;0)),1,0)</f>
        <v>0</v>
      </c>
      <c r="Q1561" s="1" t="n">
        <f aca="false">N(Q1560)+$P1561</f>
        <v>13</v>
      </c>
      <c r="R1561" s="1" t="n">
        <f aca="false">IF(AND($K1561=1,AND(对接源_02物料!$X361="公司筐",N(对接源_02物料!$U361)&lt;&gt;0)),1,0)</f>
        <v>0</v>
      </c>
      <c r="S1561" s="1" t="n">
        <f aca="false">N(S1560)+$R1561</f>
        <v>5</v>
      </c>
      <c r="T1561" s="1" t="n">
        <f aca="false">IF(AND($K1561=1,AND(对接源_02物料!$X361="公司筐",N(对接源_02物料!$V361)&lt;&gt;0)),1,0)</f>
        <v>0</v>
      </c>
      <c r="U1561" s="1" t="n">
        <f aca="false">N(U1560)+$T1561</f>
        <v>28</v>
      </c>
      <c r="V1561" s="1" t="n">
        <f aca="false">IF(AND($L1561=1,AND(对接源_02物料!$X361="自备筐",N(对接源_02物料!$V361)&lt;&gt;0)),1,0)</f>
        <v>0</v>
      </c>
      <c r="W1561" s="1" t="n">
        <f aca="false">N(W1560)+$V1561</f>
        <v>7</v>
      </c>
      <c r="X1561" s="1" t="n">
        <f aca="false">IF(AND($L1561=1,AND(对接源_02物料!$X361="自备筐",N(对接源_02物料!$T361)&lt;&gt;0)),1,0)</f>
        <v>0</v>
      </c>
      <c r="Y1561" s="1" t="n">
        <f aca="false">N(Y1560)+$X1561</f>
        <v>0</v>
      </c>
      <c r="Z1561" s="1" t="n">
        <f aca="false">IF(AND($M1561=1,对接源_02物料!$D361="原料入库"),1,0)</f>
        <v>0</v>
      </c>
      <c r="AA1561" s="1" t="n">
        <f aca="false">N(AA1560)+$Z1561</f>
        <v>30</v>
      </c>
      <c r="AB1561" s="1" t="n">
        <f aca="false">IF(AND($M1561=1,LEFT(对接源_02物料!$D361,4)="原料出库"),1,0)</f>
        <v>0</v>
      </c>
      <c r="AC1561" s="1" t="n">
        <f aca="false">N(AC1560)+$AB1561</f>
        <v>19</v>
      </c>
      <c r="AD1561" s="1" t="n">
        <f aca="false">IF(AND($M1561=1,LEFT(对接源_02物料!$D361,4)="成品出库"),1,0)</f>
        <v>0</v>
      </c>
      <c r="AE1561" s="1" t="n">
        <f aca="false">N(AE1560)+$AD1561</f>
        <v>38</v>
      </c>
      <c r="AF1561" s="1" t="n">
        <f aca="false">IF(AND($N1561=1,AND(LEFT(对接源_02物料!$D361,4)="包装物料",N(对接源_02物料!$K361)&lt;&gt;0)),1,0)</f>
        <v>0</v>
      </c>
      <c r="AG1561" s="1" t="n">
        <f aca="false">N(AG1560)+$AF1561</f>
        <v>6</v>
      </c>
      <c r="AH1561" s="1" t="n">
        <f aca="false">IF(AND($N1561=1,AND(LEFT(对接源_02物料!$D361,3)="周转筐",N(对接源_02物料!$K361)&lt;&gt;0)),1,0)</f>
        <v>0</v>
      </c>
      <c r="AI1561" s="1" t="n">
        <f aca="false">N(AI1560)+$AH1561</f>
        <v>0</v>
      </c>
      <c r="AJ1561" s="1" t="n">
        <v>0</v>
      </c>
      <c r="AK1561" s="1" t="n">
        <f aca="false">N(AK1560)+$AJ1561</f>
        <v>3672</v>
      </c>
    </row>
    <row r="1562" customFormat="false" ht="13.5" hidden="false" customHeight="false" outlineLevel="0" collapsed="false">
      <c r="A1562" s="1" t="str">
        <f aca="false">IF(对接源_02物料!$C362="","",对接源_02物料!$C362)</f>
        <v/>
      </c>
      <c r="B1562" s="1" t="n">
        <f aca="false">IF(A1562="",0,IF(MATCH(A1562,$A$4:$A$2403,0)=ROW()-3,1,0))</f>
        <v>0</v>
      </c>
      <c r="C1562" s="1" t="n">
        <f aca="false">N(C1561)+B1562</f>
        <v>17</v>
      </c>
      <c r="K1562" s="1" t="n">
        <f aca="false">IF(OR($K$1="",对接源_02物料!$C362="",对接源_02物料!$C362&lt;&gt;$K$1,对接源_02物料!$B362=""),0,IF(OR(N(对接源_02物料!$B362)&lt;$K$2,N(对接源_02物料!$B362)&gt;$K$3),0,1))</f>
        <v>0</v>
      </c>
      <c r="L1562" s="1" t="n">
        <f aca="false">IF(OR($L$1="",对接源_02物料!$C362="",对接源_02物料!$C362&lt;&gt;$L$1,对接源_02物料!$B362=""),0,IF(OR(N(对接源_02物料!$B362)&lt;$L$2,N(对接源_02物料!$B362)&gt;$L$3),0,1))</f>
        <v>0</v>
      </c>
      <c r="M1562" s="1" t="n">
        <f aca="false">IF(OR($M$1="",对接源_02物料!$C362="",对接源_02物料!$C362&lt;&gt;$M$1,对接源_02物料!$B362=""),0,IF(OR(N(对接源_02物料!$B362)&lt;$M$2,N(对接源_02物料!$B362)&gt;$M$3),0,1))</f>
        <v>0</v>
      </c>
      <c r="N1562" s="1" t="n">
        <f aca="false">IF(OR($N$1="",对接源_02物料!$C362="",对接源_02物料!$C362&lt;&gt;$N$1,对接源_02物料!$B362=""),0,IF(OR(N(对接源_02物料!$B362)&lt;$N$2,N(对接源_02物料!$B362)&gt;$N$3),0,1))</f>
        <v>0</v>
      </c>
      <c r="P1562" s="1" t="n">
        <f aca="false">IF(AND($K1562=1,AND(对接源_02物料!$X362="公司筐",N(对接源_02物料!$T362)&lt;&gt;0)),1,0)</f>
        <v>0</v>
      </c>
      <c r="Q1562" s="1" t="n">
        <f aca="false">N(Q1561)+$P1562</f>
        <v>13</v>
      </c>
      <c r="R1562" s="1" t="n">
        <f aca="false">IF(AND($K1562=1,AND(对接源_02物料!$X362="公司筐",N(对接源_02物料!$U362)&lt;&gt;0)),1,0)</f>
        <v>0</v>
      </c>
      <c r="S1562" s="1" t="n">
        <f aca="false">N(S1561)+$R1562</f>
        <v>5</v>
      </c>
      <c r="T1562" s="1" t="n">
        <f aca="false">IF(AND($K1562=1,AND(对接源_02物料!$X362="公司筐",N(对接源_02物料!$V362)&lt;&gt;0)),1,0)</f>
        <v>0</v>
      </c>
      <c r="U1562" s="1" t="n">
        <f aca="false">N(U1561)+$T1562</f>
        <v>28</v>
      </c>
      <c r="V1562" s="1" t="n">
        <f aca="false">IF(AND($L1562=1,AND(对接源_02物料!$X362="自备筐",N(对接源_02物料!$V362)&lt;&gt;0)),1,0)</f>
        <v>0</v>
      </c>
      <c r="W1562" s="1" t="n">
        <f aca="false">N(W1561)+$V1562</f>
        <v>7</v>
      </c>
      <c r="X1562" s="1" t="n">
        <f aca="false">IF(AND($L1562=1,AND(对接源_02物料!$X362="自备筐",N(对接源_02物料!$T362)&lt;&gt;0)),1,0)</f>
        <v>0</v>
      </c>
      <c r="Y1562" s="1" t="n">
        <f aca="false">N(Y1561)+$X1562</f>
        <v>0</v>
      </c>
      <c r="Z1562" s="1" t="n">
        <f aca="false">IF(AND($M1562=1,对接源_02物料!$D362="原料入库"),1,0)</f>
        <v>0</v>
      </c>
      <c r="AA1562" s="1" t="n">
        <f aca="false">N(AA1561)+$Z1562</f>
        <v>30</v>
      </c>
      <c r="AB1562" s="1" t="n">
        <f aca="false">IF(AND($M1562=1,LEFT(对接源_02物料!$D362,4)="原料出库"),1,0)</f>
        <v>0</v>
      </c>
      <c r="AC1562" s="1" t="n">
        <f aca="false">N(AC1561)+$AB1562</f>
        <v>19</v>
      </c>
      <c r="AD1562" s="1" t="n">
        <f aca="false">IF(AND($M1562=1,LEFT(对接源_02物料!$D362,4)="成品出库"),1,0)</f>
        <v>0</v>
      </c>
      <c r="AE1562" s="1" t="n">
        <f aca="false">N(AE1561)+$AD1562</f>
        <v>38</v>
      </c>
      <c r="AF1562" s="1" t="n">
        <f aca="false">IF(AND($N1562=1,AND(LEFT(对接源_02物料!$D362,4)="包装物料",N(对接源_02物料!$K362)&lt;&gt;0)),1,0)</f>
        <v>0</v>
      </c>
      <c r="AG1562" s="1" t="n">
        <f aca="false">N(AG1561)+$AF1562</f>
        <v>6</v>
      </c>
      <c r="AH1562" s="1" t="n">
        <f aca="false">IF(AND($N1562=1,AND(LEFT(对接源_02物料!$D362,3)="周转筐",N(对接源_02物料!$K362)&lt;&gt;0)),1,0)</f>
        <v>0</v>
      </c>
      <c r="AI1562" s="1" t="n">
        <f aca="false">N(AI1561)+$AH1562</f>
        <v>0</v>
      </c>
      <c r="AJ1562" s="1" t="n">
        <v>0</v>
      </c>
      <c r="AK1562" s="1" t="n">
        <f aca="false">N(AK1561)+$AJ1562</f>
        <v>3672</v>
      </c>
    </row>
    <row r="1563" customFormat="false" ht="13.5" hidden="false" customHeight="false" outlineLevel="0" collapsed="false">
      <c r="A1563" s="1" t="str">
        <f aca="false">IF(对接源_02物料!$C363="","",对接源_02物料!$C363)</f>
        <v/>
      </c>
      <c r="B1563" s="1" t="n">
        <f aca="false">IF(A1563="",0,IF(MATCH(A1563,$A$4:$A$2403,0)=ROW()-3,1,0))</f>
        <v>0</v>
      </c>
      <c r="C1563" s="1" t="n">
        <f aca="false">N(C1562)+B1563</f>
        <v>17</v>
      </c>
      <c r="K1563" s="1" t="n">
        <f aca="false">IF(OR($K$1="",对接源_02物料!$C363="",对接源_02物料!$C363&lt;&gt;$K$1,对接源_02物料!$B363=""),0,IF(OR(N(对接源_02物料!$B363)&lt;$K$2,N(对接源_02物料!$B363)&gt;$K$3),0,1))</f>
        <v>0</v>
      </c>
      <c r="L1563" s="1" t="n">
        <f aca="false">IF(OR($L$1="",对接源_02物料!$C363="",对接源_02物料!$C363&lt;&gt;$L$1,对接源_02物料!$B363=""),0,IF(OR(N(对接源_02物料!$B363)&lt;$L$2,N(对接源_02物料!$B363)&gt;$L$3),0,1))</f>
        <v>0</v>
      </c>
      <c r="M1563" s="1" t="n">
        <f aca="false">IF(OR($M$1="",对接源_02物料!$C363="",对接源_02物料!$C363&lt;&gt;$M$1,对接源_02物料!$B363=""),0,IF(OR(N(对接源_02物料!$B363)&lt;$M$2,N(对接源_02物料!$B363)&gt;$M$3),0,1))</f>
        <v>0</v>
      </c>
      <c r="N1563" s="1" t="n">
        <f aca="false">IF(OR($N$1="",对接源_02物料!$C363="",对接源_02物料!$C363&lt;&gt;$N$1,对接源_02物料!$B363=""),0,IF(OR(N(对接源_02物料!$B363)&lt;$N$2,N(对接源_02物料!$B363)&gt;$N$3),0,1))</f>
        <v>0</v>
      </c>
      <c r="P1563" s="1" t="n">
        <f aca="false">IF(AND($K1563=1,AND(对接源_02物料!$X363="公司筐",N(对接源_02物料!$T363)&lt;&gt;0)),1,0)</f>
        <v>0</v>
      </c>
      <c r="Q1563" s="1" t="n">
        <f aca="false">N(Q1562)+$P1563</f>
        <v>13</v>
      </c>
      <c r="R1563" s="1" t="n">
        <f aca="false">IF(AND($K1563=1,AND(对接源_02物料!$X363="公司筐",N(对接源_02物料!$U363)&lt;&gt;0)),1,0)</f>
        <v>0</v>
      </c>
      <c r="S1563" s="1" t="n">
        <f aca="false">N(S1562)+$R1563</f>
        <v>5</v>
      </c>
      <c r="T1563" s="1" t="n">
        <f aca="false">IF(AND($K1563=1,AND(对接源_02物料!$X363="公司筐",N(对接源_02物料!$V363)&lt;&gt;0)),1,0)</f>
        <v>0</v>
      </c>
      <c r="U1563" s="1" t="n">
        <f aca="false">N(U1562)+$T1563</f>
        <v>28</v>
      </c>
      <c r="V1563" s="1" t="n">
        <f aca="false">IF(AND($L1563=1,AND(对接源_02物料!$X363="自备筐",N(对接源_02物料!$V363)&lt;&gt;0)),1,0)</f>
        <v>0</v>
      </c>
      <c r="W1563" s="1" t="n">
        <f aca="false">N(W1562)+$V1563</f>
        <v>7</v>
      </c>
      <c r="X1563" s="1" t="n">
        <f aca="false">IF(AND($L1563=1,AND(对接源_02物料!$X363="自备筐",N(对接源_02物料!$T363)&lt;&gt;0)),1,0)</f>
        <v>0</v>
      </c>
      <c r="Y1563" s="1" t="n">
        <f aca="false">N(Y1562)+$X1563</f>
        <v>0</v>
      </c>
      <c r="Z1563" s="1" t="n">
        <f aca="false">IF(AND($M1563=1,对接源_02物料!$D363="原料入库"),1,0)</f>
        <v>0</v>
      </c>
      <c r="AA1563" s="1" t="n">
        <f aca="false">N(AA1562)+$Z1563</f>
        <v>30</v>
      </c>
      <c r="AB1563" s="1" t="n">
        <f aca="false">IF(AND($M1563=1,LEFT(对接源_02物料!$D363,4)="原料出库"),1,0)</f>
        <v>0</v>
      </c>
      <c r="AC1563" s="1" t="n">
        <f aca="false">N(AC1562)+$AB1563</f>
        <v>19</v>
      </c>
      <c r="AD1563" s="1" t="n">
        <f aca="false">IF(AND($M1563=1,LEFT(对接源_02物料!$D363,4)="成品出库"),1,0)</f>
        <v>0</v>
      </c>
      <c r="AE1563" s="1" t="n">
        <f aca="false">N(AE1562)+$AD1563</f>
        <v>38</v>
      </c>
      <c r="AF1563" s="1" t="n">
        <f aca="false">IF(AND($N1563=1,AND(LEFT(对接源_02物料!$D363,4)="包装物料",N(对接源_02物料!$K363)&lt;&gt;0)),1,0)</f>
        <v>0</v>
      </c>
      <c r="AG1563" s="1" t="n">
        <f aca="false">N(AG1562)+$AF1563</f>
        <v>6</v>
      </c>
      <c r="AH1563" s="1" t="n">
        <f aca="false">IF(AND($N1563=1,AND(LEFT(对接源_02物料!$D363,3)="周转筐",N(对接源_02物料!$K363)&lt;&gt;0)),1,0)</f>
        <v>0</v>
      </c>
      <c r="AI1563" s="1" t="n">
        <f aca="false">N(AI1562)+$AH1563</f>
        <v>0</v>
      </c>
      <c r="AJ1563" s="1" t="n">
        <v>0</v>
      </c>
      <c r="AK1563" s="1" t="n">
        <f aca="false">N(AK1562)+$AJ1563</f>
        <v>3672</v>
      </c>
    </row>
    <row r="1564" customFormat="false" ht="13.5" hidden="false" customHeight="false" outlineLevel="0" collapsed="false">
      <c r="A1564" s="1" t="str">
        <f aca="false">IF(对接源_02物料!$C364="","",对接源_02物料!$C364)</f>
        <v/>
      </c>
      <c r="B1564" s="1" t="n">
        <f aca="false">IF(A1564="",0,IF(MATCH(A1564,$A$4:$A$2403,0)=ROW()-3,1,0))</f>
        <v>0</v>
      </c>
      <c r="C1564" s="1" t="n">
        <f aca="false">N(C1563)+B1564</f>
        <v>17</v>
      </c>
      <c r="K1564" s="1" t="n">
        <f aca="false">IF(OR($K$1="",对接源_02物料!$C364="",对接源_02物料!$C364&lt;&gt;$K$1,对接源_02物料!$B364=""),0,IF(OR(N(对接源_02物料!$B364)&lt;$K$2,N(对接源_02物料!$B364)&gt;$K$3),0,1))</f>
        <v>0</v>
      </c>
      <c r="L1564" s="1" t="n">
        <f aca="false">IF(OR($L$1="",对接源_02物料!$C364="",对接源_02物料!$C364&lt;&gt;$L$1,对接源_02物料!$B364=""),0,IF(OR(N(对接源_02物料!$B364)&lt;$L$2,N(对接源_02物料!$B364)&gt;$L$3),0,1))</f>
        <v>0</v>
      </c>
      <c r="M1564" s="1" t="n">
        <f aca="false">IF(OR($M$1="",对接源_02物料!$C364="",对接源_02物料!$C364&lt;&gt;$M$1,对接源_02物料!$B364=""),0,IF(OR(N(对接源_02物料!$B364)&lt;$M$2,N(对接源_02物料!$B364)&gt;$M$3),0,1))</f>
        <v>0</v>
      </c>
      <c r="N1564" s="1" t="n">
        <f aca="false">IF(OR($N$1="",对接源_02物料!$C364="",对接源_02物料!$C364&lt;&gt;$N$1,对接源_02物料!$B364=""),0,IF(OR(N(对接源_02物料!$B364)&lt;$N$2,N(对接源_02物料!$B364)&gt;$N$3),0,1))</f>
        <v>0</v>
      </c>
      <c r="P1564" s="1" t="n">
        <f aca="false">IF(AND($K1564=1,AND(对接源_02物料!$X364="公司筐",N(对接源_02物料!$T364)&lt;&gt;0)),1,0)</f>
        <v>0</v>
      </c>
      <c r="Q1564" s="1" t="n">
        <f aca="false">N(Q1563)+$P1564</f>
        <v>13</v>
      </c>
      <c r="R1564" s="1" t="n">
        <f aca="false">IF(AND($K1564=1,AND(对接源_02物料!$X364="公司筐",N(对接源_02物料!$U364)&lt;&gt;0)),1,0)</f>
        <v>0</v>
      </c>
      <c r="S1564" s="1" t="n">
        <f aca="false">N(S1563)+$R1564</f>
        <v>5</v>
      </c>
      <c r="T1564" s="1" t="n">
        <f aca="false">IF(AND($K1564=1,AND(对接源_02物料!$X364="公司筐",N(对接源_02物料!$V364)&lt;&gt;0)),1,0)</f>
        <v>0</v>
      </c>
      <c r="U1564" s="1" t="n">
        <f aca="false">N(U1563)+$T1564</f>
        <v>28</v>
      </c>
      <c r="V1564" s="1" t="n">
        <f aca="false">IF(AND($L1564=1,AND(对接源_02物料!$X364="自备筐",N(对接源_02物料!$V364)&lt;&gt;0)),1,0)</f>
        <v>0</v>
      </c>
      <c r="W1564" s="1" t="n">
        <f aca="false">N(W1563)+$V1564</f>
        <v>7</v>
      </c>
      <c r="X1564" s="1" t="n">
        <f aca="false">IF(AND($L1564=1,AND(对接源_02物料!$X364="自备筐",N(对接源_02物料!$T364)&lt;&gt;0)),1,0)</f>
        <v>0</v>
      </c>
      <c r="Y1564" s="1" t="n">
        <f aca="false">N(Y1563)+$X1564</f>
        <v>0</v>
      </c>
      <c r="Z1564" s="1" t="n">
        <f aca="false">IF(AND($M1564=1,对接源_02物料!$D364="原料入库"),1,0)</f>
        <v>0</v>
      </c>
      <c r="AA1564" s="1" t="n">
        <f aca="false">N(AA1563)+$Z1564</f>
        <v>30</v>
      </c>
      <c r="AB1564" s="1" t="n">
        <f aca="false">IF(AND($M1564=1,LEFT(对接源_02物料!$D364,4)="原料出库"),1,0)</f>
        <v>0</v>
      </c>
      <c r="AC1564" s="1" t="n">
        <f aca="false">N(AC1563)+$AB1564</f>
        <v>19</v>
      </c>
      <c r="AD1564" s="1" t="n">
        <f aca="false">IF(AND($M1564=1,LEFT(对接源_02物料!$D364,4)="成品出库"),1,0)</f>
        <v>0</v>
      </c>
      <c r="AE1564" s="1" t="n">
        <f aca="false">N(AE1563)+$AD1564</f>
        <v>38</v>
      </c>
      <c r="AF1564" s="1" t="n">
        <f aca="false">IF(AND($N1564=1,AND(LEFT(对接源_02物料!$D364,4)="包装物料",N(对接源_02物料!$K364)&lt;&gt;0)),1,0)</f>
        <v>0</v>
      </c>
      <c r="AG1564" s="1" t="n">
        <f aca="false">N(AG1563)+$AF1564</f>
        <v>6</v>
      </c>
      <c r="AH1564" s="1" t="n">
        <f aca="false">IF(AND($N1564=1,AND(LEFT(对接源_02物料!$D364,3)="周转筐",N(对接源_02物料!$K364)&lt;&gt;0)),1,0)</f>
        <v>0</v>
      </c>
      <c r="AI1564" s="1" t="n">
        <f aca="false">N(AI1563)+$AH1564</f>
        <v>0</v>
      </c>
      <c r="AJ1564" s="1" t="n">
        <v>0</v>
      </c>
      <c r="AK1564" s="1" t="n">
        <f aca="false">N(AK1563)+$AJ1564</f>
        <v>3672</v>
      </c>
    </row>
    <row r="1565" customFormat="false" ht="13.5" hidden="false" customHeight="false" outlineLevel="0" collapsed="false">
      <c r="A1565" s="1" t="str">
        <f aca="false">IF(对接源_02物料!$C365="","",对接源_02物料!$C365)</f>
        <v/>
      </c>
      <c r="B1565" s="1" t="n">
        <f aca="false">IF(A1565="",0,IF(MATCH(A1565,$A$4:$A$2403,0)=ROW()-3,1,0))</f>
        <v>0</v>
      </c>
      <c r="C1565" s="1" t="n">
        <f aca="false">N(C1564)+B1565</f>
        <v>17</v>
      </c>
      <c r="K1565" s="1" t="n">
        <f aca="false">IF(OR($K$1="",对接源_02物料!$C365="",对接源_02物料!$C365&lt;&gt;$K$1,对接源_02物料!$B365=""),0,IF(OR(N(对接源_02物料!$B365)&lt;$K$2,N(对接源_02物料!$B365)&gt;$K$3),0,1))</f>
        <v>0</v>
      </c>
      <c r="L1565" s="1" t="n">
        <f aca="false">IF(OR($L$1="",对接源_02物料!$C365="",对接源_02物料!$C365&lt;&gt;$L$1,对接源_02物料!$B365=""),0,IF(OR(N(对接源_02物料!$B365)&lt;$L$2,N(对接源_02物料!$B365)&gt;$L$3),0,1))</f>
        <v>0</v>
      </c>
      <c r="M1565" s="1" t="n">
        <f aca="false">IF(OR($M$1="",对接源_02物料!$C365="",对接源_02物料!$C365&lt;&gt;$M$1,对接源_02物料!$B365=""),0,IF(OR(N(对接源_02物料!$B365)&lt;$M$2,N(对接源_02物料!$B365)&gt;$M$3),0,1))</f>
        <v>0</v>
      </c>
      <c r="N1565" s="1" t="n">
        <f aca="false">IF(OR($N$1="",对接源_02物料!$C365="",对接源_02物料!$C365&lt;&gt;$N$1,对接源_02物料!$B365=""),0,IF(OR(N(对接源_02物料!$B365)&lt;$N$2,N(对接源_02物料!$B365)&gt;$N$3),0,1))</f>
        <v>0</v>
      </c>
      <c r="P1565" s="1" t="n">
        <f aca="false">IF(AND($K1565=1,AND(对接源_02物料!$X365="公司筐",N(对接源_02物料!$T365)&lt;&gt;0)),1,0)</f>
        <v>0</v>
      </c>
      <c r="Q1565" s="1" t="n">
        <f aca="false">N(Q1564)+$P1565</f>
        <v>13</v>
      </c>
      <c r="R1565" s="1" t="n">
        <f aca="false">IF(AND($K1565=1,AND(对接源_02物料!$X365="公司筐",N(对接源_02物料!$U365)&lt;&gt;0)),1,0)</f>
        <v>0</v>
      </c>
      <c r="S1565" s="1" t="n">
        <f aca="false">N(S1564)+$R1565</f>
        <v>5</v>
      </c>
      <c r="T1565" s="1" t="n">
        <f aca="false">IF(AND($K1565=1,AND(对接源_02物料!$X365="公司筐",N(对接源_02物料!$V365)&lt;&gt;0)),1,0)</f>
        <v>0</v>
      </c>
      <c r="U1565" s="1" t="n">
        <f aca="false">N(U1564)+$T1565</f>
        <v>28</v>
      </c>
      <c r="V1565" s="1" t="n">
        <f aca="false">IF(AND($L1565=1,AND(对接源_02物料!$X365="自备筐",N(对接源_02物料!$V365)&lt;&gt;0)),1,0)</f>
        <v>0</v>
      </c>
      <c r="W1565" s="1" t="n">
        <f aca="false">N(W1564)+$V1565</f>
        <v>7</v>
      </c>
      <c r="X1565" s="1" t="n">
        <f aca="false">IF(AND($L1565=1,AND(对接源_02物料!$X365="自备筐",N(对接源_02物料!$T365)&lt;&gt;0)),1,0)</f>
        <v>0</v>
      </c>
      <c r="Y1565" s="1" t="n">
        <f aca="false">N(Y1564)+$X1565</f>
        <v>0</v>
      </c>
      <c r="Z1565" s="1" t="n">
        <f aca="false">IF(AND($M1565=1,对接源_02物料!$D365="原料入库"),1,0)</f>
        <v>0</v>
      </c>
      <c r="AA1565" s="1" t="n">
        <f aca="false">N(AA1564)+$Z1565</f>
        <v>30</v>
      </c>
      <c r="AB1565" s="1" t="n">
        <f aca="false">IF(AND($M1565=1,LEFT(对接源_02物料!$D365,4)="原料出库"),1,0)</f>
        <v>0</v>
      </c>
      <c r="AC1565" s="1" t="n">
        <f aca="false">N(AC1564)+$AB1565</f>
        <v>19</v>
      </c>
      <c r="AD1565" s="1" t="n">
        <f aca="false">IF(AND($M1565=1,LEFT(对接源_02物料!$D365,4)="成品出库"),1,0)</f>
        <v>0</v>
      </c>
      <c r="AE1565" s="1" t="n">
        <f aca="false">N(AE1564)+$AD1565</f>
        <v>38</v>
      </c>
      <c r="AF1565" s="1" t="n">
        <f aca="false">IF(AND($N1565=1,AND(LEFT(对接源_02物料!$D365,4)="包装物料",N(对接源_02物料!$K365)&lt;&gt;0)),1,0)</f>
        <v>0</v>
      </c>
      <c r="AG1565" s="1" t="n">
        <f aca="false">N(AG1564)+$AF1565</f>
        <v>6</v>
      </c>
      <c r="AH1565" s="1" t="n">
        <f aca="false">IF(AND($N1565=1,AND(LEFT(对接源_02物料!$D365,3)="周转筐",N(对接源_02物料!$K365)&lt;&gt;0)),1,0)</f>
        <v>0</v>
      </c>
      <c r="AI1565" s="1" t="n">
        <f aca="false">N(AI1564)+$AH1565</f>
        <v>0</v>
      </c>
      <c r="AJ1565" s="1" t="n">
        <v>0</v>
      </c>
      <c r="AK1565" s="1" t="n">
        <f aca="false">N(AK1564)+$AJ1565</f>
        <v>3672</v>
      </c>
    </row>
    <row r="1566" customFormat="false" ht="13.5" hidden="false" customHeight="false" outlineLevel="0" collapsed="false">
      <c r="A1566" s="1" t="str">
        <f aca="false">IF(对接源_02物料!$C366="","",对接源_02物料!$C366)</f>
        <v/>
      </c>
      <c r="B1566" s="1" t="n">
        <f aca="false">IF(A1566="",0,IF(MATCH(A1566,$A$4:$A$2403,0)=ROW()-3,1,0))</f>
        <v>0</v>
      </c>
      <c r="C1566" s="1" t="n">
        <f aca="false">N(C1565)+B1566</f>
        <v>17</v>
      </c>
      <c r="K1566" s="1" t="n">
        <f aca="false">IF(OR($K$1="",对接源_02物料!$C366="",对接源_02物料!$C366&lt;&gt;$K$1,对接源_02物料!$B366=""),0,IF(OR(N(对接源_02物料!$B366)&lt;$K$2,N(对接源_02物料!$B366)&gt;$K$3),0,1))</f>
        <v>0</v>
      </c>
      <c r="L1566" s="1" t="n">
        <f aca="false">IF(OR($L$1="",对接源_02物料!$C366="",对接源_02物料!$C366&lt;&gt;$L$1,对接源_02物料!$B366=""),0,IF(OR(N(对接源_02物料!$B366)&lt;$L$2,N(对接源_02物料!$B366)&gt;$L$3),0,1))</f>
        <v>0</v>
      </c>
      <c r="M1566" s="1" t="n">
        <f aca="false">IF(OR($M$1="",对接源_02物料!$C366="",对接源_02物料!$C366&lt;&gt;$M$1,对接源_02物料!$B366=""),0,IF(OR(N(对接源_02物料!$B366)&lt;$M$2,N(对接源_02物料!$B366)&gt;$M$3),0,1))</f>
        <v>0</v>
      </c>
      <c r="N1566" s="1" t="n">
        <f aca="false">IF(OR($N$1="",对接源_02物料!$C366="",对接源_02物料!$C366&lt;&gt;$N$1,对接源_02物料!$B366=""),0,IF(OR(N(对接源_02物料!$B366)&lt;$N$2,N(对接源_02物料!$B366)&gt;$N$3),0,1))</f>
        <v>0</v>
      </c>
      <c r="P1566" s="1" t="n">
        <f aca="false">IF(AND($K1566=1,AND(对接源_02物料!$X366="公司筐",N(对接源_02物料!$T366)&lt;&gt;0)),1,0)</f>
        <v>0</v>
      </c>
      <c r="Q1566" s="1" t="n">
        <f aca="false">N(Q1565)+$P1566</f>
        <v>13</v>
      </c>
      <c r="R1566" s="1" t="n">
        <f aca="false">IF(AND($K1566=1,AND(对接源_02物料!$X366="公司筐",N(对接源_02物料!$U366)&lt;&gt;0)),1,0)</f>
        <v>0</v>
      </c>
      <c r="S1566" s="1" t="n">
        <f aca="false">N(S1565)+$R1566</f>
        <v>5</v>
      </c>
      <c r="T1566" s="1" t="n">
        <f aca="false">IF(AND($K1566=1,AND(对接源_02物料!$X366="公司筐",N(对接源_02物料!$V366)&lt;&gt;0)),1,0)</f>
        <v>0</v>
      </c>
      <c r="U1566" s="1" t="n">
        <f aca="false">N(U1565)+$T1566</f>
        <v>28</v>
      </c>
      <c r="V1566" s="1" t="n">
        <f aca="false">IF(AND($L1566=1,AND(对接源_02物料!$X366="自备筐",N(对接源_02物料!$V366)&lt;&gt;0)),1,0)</f>
        <v>0</v>
      </c>
      <c r="W1566" s="1" t="n">
        <f aca="false">N(W1565)+$V1566</f>
        <v>7</v>
      </c>
      <c r="X1566" s="1" t="n">
        <f aca="false">IF(AND($L1566=1,AND(对接源_02物料!$X366="自备筐",N(对接源_02物料!$T366)&lt;&gt;0)),1,0)</f>
        <v>0</v>
      </c>
      <c r="Y1566" s="1" t="n">
        <f aca="false">N(Y1565)+$X1566</f>
        <v>0</v>
      </c>
      <c r="Z1566" s="1" t="n">
        <f aca="false">IF(AND($M1566=1,对接源_02物料!$D366="原料入库"),1,0)</f>
        <v>0</v>
      </c>
      <c r="AA1566" s="1" t="n">
        <f aca="false">N(AA1565)+$Z1566</f>
        <v>30</v>
      </c>
      <c r="AB1566" s="1" t="n">
        <f aca="false">IF(AND($M1566=1,LEFT(对接源_02物料!$D366,4)="原料出库"),1,0)</f>
        <v>0</v>
      </c>
      <c r="AC1566" s="1" t="n">
        <f aca="false">N(AC1565)+$AB1566</f>
        <v>19</v>
      </c>
      <c r="AD1566" s="1" t="n">
        <f aca="false">IF(AND($M1566=1,LEFT(对接源_02物料!$D366,4)="成品出库"),1,0)</f>
        <v>0</v>
      </c>
      <c r="AE1566" s="1" t="n">
        <f aca="false">N(AE1565)+$AD1566</f>
        <v>38</v>
      </c>
      <c r="AF1566" s="1" t="n">
        <f aca="false">IF(AND($N1566=1,AND(LEFT(对接源_02物料!$D366,4)="包装物料",N(对接源_02物料!$K366)&lt;&gt;0)),1,0)</f>
        <v>0</v>
      </c>
      <c r="AG1566" s="1" t="n">
        <f aca="false">N(AG1565)+$AF1566</f>
        <v>6</v>
      </c>
      <c r="AH1566" s="1" t="n">
        <f aca="false">IF(AND($N1566=1,AND(LEFT(对接源_02物料!$D366,3)="周转筐",N(对接源_02物料!$K366)&lt;&gt;0)),1,0)</f>
        <v>0</v>
      </c>
      <c r="AI1566" s="1" t="n">
        <f aca="false">N(AI1565)+$AH1566</f>
        <v>0</v>
      </c>
      <c r="AJ1566" s="1" t="n">
        <v>0</v>
      </c>
      <c r="AK1566" s="1" t="n">
        <f aca="false">N(AK1565)+$AJ1566</f>
        <v>3672</v>
      </c>
    </row>
    <row r="1567" customFormat="false" ht="13.5" hidden="false" customHeight="false" outlineLevel="0" collapsed="false">
      <c r="A1567" s="1" t="str">
        <f aca="false">IF(对接源_02物料!$C367="","",对接源_02物料!$C367)</f>
        <v/>
      </c>
      <c r="B1567" s="1" t="n">
        <f aca="false">IF(A1567="",0,IF(MATCH(A1567,$A$4:$A$2403,0)=ROW()-3,1,0))</f>
        <v>0</v>
      </c>
      <c r="C1567" s="1" t="n">
        <f aca="false">N(C1566)+B1567</f>
        <v>17</v>
      </c>
      <c r="K1567" s="1" t="n">
        <f aca="false">IF(OR($K$1="",对接源_02物料!$C367="",对接源_02物料!$C367&lt;&gt;$K$1,对接源_02物料!$B367=""),0,IF(OR(N(对接源_02物料!$B367)&lt;$K$2,N(对接源_02物料!$B367)&gt;$K$3),0,1))</f>
        <v>0</v>
      </c>
      <c r="L1567" s="1" t="n">
        <f aca="false">IF(OR($L$1="",对接源_02物料!$C367="",对接源_02物料!$C367&lt;&gt;$L$1,对接源_02物料!$B367=""),0,IF(OR(N(对接源_02物料!$B367)&lt;$L$2,N(对接源_02物料!$B367)&gt;$L$3),0,1))</f>
        <v>0</v>
      </c>
      <c r="M1567" s="1" t="n">
        <f aca="false">IF(OR($M$1="",对接源_02物料!$C367="",对接源_02物料!$C367&lt;&gt;$M$1,对接源_02物料!$B367=""),0,IF(OR(N(对接源_02物料!$B367)&lt;$M$2,N(对接源_02物料!$B367)&gt;$M$3),0,1))</f>
        <v>0</v>
      </c>
      <c r="N1567" s="1" t="n">
        <f aca="false">IF(OR($N$1="",对接源_02物料!$C367="",对接源_02物料!$C367&lt;&gt;$N$1,对接源_02物料!$B367=""),0,IF(OR(N(对接源_02物料!$B367)&lt;$N$2,N(对接源_02物料!$B367)&gt;$N$3),0,1))</f>
        <v>0</v>
      </c>
      <c r="P1567" s="1" t="n">
        <f aca="false">IF(AND($K1567=1,AND(对接源_02物料!$X367="公司筐",N(对接源_02物料!$T367)&lt;&gt;0)),1,0)</f>
        <v>0</v>
      </c>
      <c r="Q1567" s="1" t="n">
        <f aca="false">N(Q1566)+$P1567</f>
        <v>13</v>
      </c>
      <c r="R1567" s="1" t="n">
        <f aca="false">IF(AND($K1567=1,AND(对接源_02物料!$X367="公司筐",N(对接源_02物料!$U367)&lt;&gt;0)),1,0)</f>
        <v>0</v>
      </c>
      <c r="S1567" s="1" t="n">
        <f aca="false">N(S1566)+$R1567</f>
        <v>5</v>
      </c>
      <c r="T1567" s="1" t="n">
        <f aca="false">IF(AND($K1567=1,AND(对接源_02物料!$X367="公司筐",N(对接源_02物料!$V367)&lt;&gt;0)),1,0)</f>
        <v>0</v>
      </c>
      <c r="U1567" s="1" t="n">
        <f aca="false">N(U1566)+$T1567</f>
        <v>28</v>
      </c>
      <c r="V1567" s="1" t="n">
        <f aca="false">IF(AND($L1567=1,AND(对接源_02物料!$X367="自备筐",N(对接源_02物料!$V367)&lt;&gt;0)),1,0)</f>
        <v>0</v>
      </c>
      <c r="W1567" s="1" t="n">
        <f aca="false">N(W1566)+$V1567</f>
        <v>7</v>
      </c>
      <c r="X1567" s="1" t="n">
        <f aca="false">IF(AND($L1567=1,AND(对接源_02物料!$X367="自备筐",N(对接源_02物料!$T367)&lt;&gt;0)),1,0)</f>
        <v>0</v>
      </c>
      <c r="Y1567" s="1" t="n">
        <f aca="false">N(Y1566)+$X1567</f>
        <v>0</v>
      </c>
      <c r="Z1567" s="1" t="n">
        <f aca="false">IF(AND($M1567=1,对接源_02物料!$D367="原料入库"),1,0)</f>
        <v>0</v>
      </c>
      <c r="AA1567" s="1" t="n">
        <f aca="false">N(AA1566)+$Z1567</f>
        <v>30</v>
      </c>
      <c r="AB1567" s="1" t="n">
        <f aca="false">IF(AND($M1567=1,LEFT(对接源_02物料!$D367,4)="原料出库"),1,0)</f>
        <v>0</v>
      </c>
      <c r="AC1567" s="1" t="n">
        <f aca="false">N(AC1566)+$AB1567</f>
        <v>19</v>
      </c>
      <c r="AD1567" s="1" t="n">
        <f aca="false">IF(AND($M1567=1,LEFT(对接源_02物料!$D367,4)="成品出库"),1,0)</f>
        <v>0</v>
      </c>
      <c r="AE1567" s="1" t="n">
        <f aca="false">N(AE1566)+$AD1567</f>
        <v>38</v>
      </c>
      <c r="AF1567" s="1" t="n">
        <f aca="false">IF(AND($N1567=1,AND(LEFT(对接源_02物料!$D367,4)="包装物料",N(对接源_02物料!$K367)&lt;&gt;0)),1,0)</f>
        <v>0</v>
      </c>
      <c r="AG1567" s="1" t="n">
        <f aca="false">N(AG1566)+$AF1567</f>
        <v>6</v>
      </c>
      <c r="AH1567" s="1" t="n">
        <f aca="false">IF(AND($N1567=1,AND(LEFT(对接源_02物料!$D367,3)="周转筐",N(对接源_02物料!$K367)&lt;&gt;0)),1,0)</f>
        <v>0</v>
      </c>
      <c r="AI1567" s="1" t="n">
        <f aca="false">N(AI1566)+$AH1567</f>
        <v>0</v>
      </c>
      <c r="AJ1567" s="1" t="n">
        <v>0</v>
      </c>
      <c r="AK1567" s="1" t="n">
        <f aca="false">N(AK1566)+$AJ1567</f>
        <v>3672</v>
      </c>
    </row>
    <row r="1568" customFormat="false" ht="13.5" hidden="false" customHeight="false" outlineLevel="0" collapsed="false">
      <c r="A1568" s="1" t="str">
        <f aca="false">IF(对接源_02物料!$C368="","",对接源_02物料!$C368)</f>
        <v/>
      </c>
      <c r="B1568" s="1" t="n">
        <f aca="false">IF(A1568="",0,IF(MATCH(A1568,$A$4:$A$2403,0)=ROW()-3,1,0))</f>
        <v>0</v>
      </c>
      <c r="C1568" s="1" t="n">
        <f aca="false">N(C1567)+B1568</f>
        <v>17</v>
      </c>
      <c r="K1568" s="1" t="n">
        <f aca="false">IF(OR($K$1="",对接源_02物料!$C368="",对接源_02物料!$C368&lt;&gt;$K$1,对接源_02物料!$B368=""),0,IF(OR(N(对接源_02物料!$B368)&lt;$K$2,N(对接源_02物料!$B368)&gt;$K$3),0,1))</f>
        <v>0</v>
      </c>
      <c r="L1568" s="1" t="n">
        <f aca="false">IF(OR($L$1="",对接源_02物料!$C368="",对接源_02物料!$C368&lt;&gt;$L$1,对接源_02物料!$B368=""),0,IF(OR(N(对接源_02物料!$B368)&lt;$L$2,N(对接源_02物料!$B368)&gt;$L$3),0,1))</f>
        <v>0</v>
      </c>
      <c r="M1568" s="1" t="n">
        <f aca="false">IF(OR($M$1="",对接源_02物料!$C368="",对接源_02物料!$C368&lt;&gt;$M$1,对接源_02物料!$B368=""),0,IF(OR(N(对接源_02物料!$B368)&lt;$M$2,N(对接源_02物料!$B368)&gt;$M$3),0,1))</f>
        <v>0</v>
      </c>
      <c r="N1568" s="1" t="n">
        <f aca="false">IF(OR($N$1="",对接源_02物料!$C368="",对接源_02物料!$C368&lt;&gt;$N$1,对接源_02物料!$B368=""),0,IF(OR(N(对接源_02物料!$B368)&lt;$N$2,N(对接源_02物料!$B368)&gt;$N$3),0,1))</f>
        <v>0</v>
      </c>
      <c r="P1568" s="1" t="n">
        <f aca="false">IF(AND($K1568=1,AND(对接源_02物料!$X368="公司筐",N(对接源_02物料!$T368)&lt;&gt;0)),1,0)</f>
        <v>0</v>
      </c>
      <c r="Q1568" s="1" t="n">
        <f aca="false">N(Q1567)+$P1568</f>
        <v>13</v>
      </c>
      <c r="R1568" s="1" t="n">
        <f aca="false">IF(AND($K1568=1,AND(对接源_02物料!$X368="公司筐",N(对接源_02物料!$U368)&lt;&gt;0)),1,0)</f>
        <v>0</v>
      </c>
      <c r="S1568" s="1" t="n">
        <f aca="false">N(S1567)+$R1568</f>
        <v>5</v>
      </c>
      <c r="T1568" s="1" t="n">
        <f aca="false">IF(AND($K1568=1,AND(对接源_02物料!$X368="公司筐",N(对接源_02物料!$V368)&lt;&gt;0)),1,0)</f>
        <v>0</v>
      </c>
      <c r="U1568" s="1" t="n">
        <f aca="false">N(U1567)+$T1568</f>
        <v>28</v>
      </c>
      <c r="V1568" s="1" t="n">
        <f aca="false">IF(AND($L1568=1,AND(对接源_02物料!$X368="自备筐",N(对接源_02物料!$V368)&lt;&gt;0)),1,0)</f>
        <v>0</v>
      </c>
      <c r="W1568" s="1" t="n">
        <f aca="false">N(W1567)+$V1568</f>
        <v>7</v>
      </c>
      <c r="X1568" s="1" t="n">
        <f aca="false">IF(AND($L1568=1,AND(对接源_02物料!$X368="自备筐",N(对接源_02物料!$T368)&lt;&gt;0)),1,0)</f>
        <v>0</v>
      </c>
      <c r="Y1568" s="1" t="n">
        <f aca="false">N(Y1567)+$X1568</f>
        <v>0</v>
      </c>
      <c r="Z1568" s="1" t="n">
        <f aca="false">IF(AND($M1568=1,对接源_02物料!$D368="原料入库"),1,0)</f>
        <v>0</v>
      </c>
      <c r="AA1568" s="1" t="n">
        <f aca="false">N(AA1567)+$Z1568</f>
        <v>30</v>
      </c>
      <c r="AB1568" s="1" t="n">
        <f aca="false">IF(AND($M1568=1,LEFT(对接源_02物料!$D368,4)="原料出库"),1,0)</f>
        <v>0</v>
      </c>
      <c r="AC1568" s="1" t="n">
        <f aca="false">N(AC1567)+$AB1568</f>
        <v>19</v>
      </c>
      <c r="AD1568" s="1" t="n">
        <f aca="false">IF(AND($M1568=1,LEFT(对接源_02物料!$D368,4)="成品出库"),1,0)</f>
        <v>0</v>
      </c>
      <c r="AE1568" s="1" t="n">
        <f aca="false">N(AE1567)+$AD1568</f>
        <v>38</v>
      </c>
      <c r="AF1568" s="1" t="n">
        <f aca="false">IF(AND($N1568=1,AND(LEFT(对接源_02物料!$D368,4)="包装物料",N(对接源_02物料!$K368)&lt;&gt;0)),1,0)</f>
        <v>0</v>
      </c>
      <c r="AG1568" s="1" t="n">
        <f aca="false">N(AG1567)+$AF1568</f>
        <v>6</v>
      </c>
      <c r="AH1568" s="1" t="n">
        <f aca="false">IF(AND($N1568=1,AND(LEFT(对接源_02物料!$D368,3)="周转筐",N(对接源_02物料!$K368)&lt;&gt;0)),1,0)</f>
        <v>0</v>
      </c>
      <c r="AI1568" s="1" t="n">
        <f aca="false">N(AI1567)+$AH1568</f>
        <v>0</v>
      </c>
      <c r="AJ1568" s="1" t="n">
        <v>0</v>
      </c>
      <c r="AK1568" s="1" t="n">
        <f aca="false">N(AK1567)+$AJ1568</f>
        <v>3672</v>
      </c>
    </row>
    <row r="1569" customFormat="false" ht="13.5" hidden="false" customHeight="false" outlineLevel="0" collapsed="false">
      <c r="A1569" s="1" t="str">
        <f aca="false">IF(对接源_02物料!$C369="","",对接源_02物料!$C369)</f>
        <v/>
      </c>
      <c r="B1569" s="1" t="n">
        <f aca="false">IF(A1569="",0,IF(MATCH(A1569,$A$4:$A$2403,0)=ROW()-3,1,0))</f>
        <v>0</v>
      </c>
      <c r="C1569" s="1" t="n">
        <f aca="false">N(C1568)+B1569</f>
        <v>17</v>
      </c>
      <c r="K1569" s="1" t="n">
        <f aca="false">IF(OR($K$1="",对接源_02物料!$C369="",对接源_02物料!$C369&lt;&gt;$K$1,对接源_02物料!$B369=""),0,IF(OR(N(对接源_02物料!$B369)&lt;$K$2,N(对接源_02物料!$B369)&gt;$K$3),0,1))</f>
        <v>0</v>
      </c>
      <c r="L1569" s="1" t="n">
        <f aca="false">IF(OR($L$1="",对接源_02物料!$C369="",对接源_02物料!$C369&lt;&gt;$L$1,对接源_02物料!$B369=""),0,IF(OR(N(对接源_02物料!$B369)&lt;$L$2,N(对接源_02物料!$B369)&gt;$L$3),0,1))</f>
        <v>0</v>
      </c>
      <c r="M1569" s="1" t="n">
        <f aca="false">IF(OR($M$1="",对接源_02物料!$C369="",对接源_02物料!$C369&lt;&gt;$M$1,对接源_02物料!$B369=""),0,IF(OR(N(对接源_02物料!$B369)&lt;$M$2,N(对接源_02物料!$B369)&gt;$M$3),0,1))</f>
        <v>0</v>
      </c>
      <c r="N1569" s="1" t="n">
        <f aca="false">IF(OR($N$1="",对接源_02物料!$C369="",对接源_02物料!$C369&lt;&gt;$N$1,对接源_02物料!$B369=""),0,IF(OR(N(对接源_02物料!$B369)&lt;$N$2,N(对接源_02物料!$B369)&gt;$N$3),0,1))</f>
        <v>0</v>
      </c>
      <c r="P1569" s="1" t="n">
        <f aca="false">IF(AND($K1569=1,AND(对接源_02物料!$X369="公司筐",N(对接源_02物料!$T369)&lt;&gt;0)),1,0)</f>
        <v>0</v>
      </c>
      <c r="Q1569" s="1" t="n">
        <f aca="false">N(Q1568)+$P1569</f>
        <v>13</v>
      </c>
      <c r="R1569" s="1" t="n">
        <f aca="false">IF(AND($K1569=1,AND(对接源_02物料!$X369="公司筐",N(对接源_02物料!$U369)&lt;&gt;0)),1,0)</f>
        <v>0</v>
      </c>
      <c r="S1569" s="1" t="n">
        <f aca="false">N(S1568)+$R1569</f>
        <v>5</v>
      </c>
      <c r="T1569" s="1" t="n">
        <f aca="false">IF(AND($K1569=1,AND(对接源_02物料!$X369="公司筐",N(对接源_02物料!$V369)&lt;&gt;0)),1,0)</f>
        <v>0</v>
      </c>
      <c r="U1569" s="1" t="n">
        <f aca="false">N(U1568)+$T1569</f>
        <v>28</v>
      </c>
      <c r="V1569" s="1" t="n">
        <f aca="false">IF(AND($L1569=1,AND(对接源_02物料!$X369="自备筐",N(对接源_02物料!$V369)&lt;&gt;0)),1,0)</f>
        <v>0</v>
      </c>
      <c r="W1569" s="1" t="n">
        <f aca="false">N(W1568)+$V1569</f>
        <v>7</v>
      </c>
      <c r="X1569" s="1" t="n">
        <f aca="false">IF(AND($L1569=1,AND(对接源_02物料!$X369="自备筐",N(对接源_02物料!$T369)&lt;&gt;0)),1,0)</f>
        <v>0</v>
      </c>
      <c r="Y1569" s="1" t="n">
        <f aca="false">N(Y1568)+$X1569</f>
        <v>0</v>
      </c>
      <c r="Z1569" s="1" t="n">
        <f aca="false">IF(AND($M1569=1,对接源_02物料!$D369="原料入库"),1,0)</f>
        <v>0</v>
      </c>
      <c r="AA1569" s="1" t="n">
        <f aca="false">N(AA1568)+$Z1569</f>
        <v>30</v>
      </c>
      <c r="AB1569" s="1" t="n">
        <f aca="false">IF(AND($M1569=1,LEFT(对接源_02物料!$D369,4)="原料出库"),1,0)</f>
        <v>0</v>
      </c>
      <c r="AC1569" s="1" t="n">
        <f aca="false">N(AC1568)+$AB1569</f>
        <v>19</v>
      </c>
      <c r="AD1569" s="1" t="n">
        <f aca="false">IF(AND($M1569=1,LEFT(对接源_02物料!$D369,4)="成品出库"),1,0)</f>
        <v>0</v>
      </c>
      <c r="AE1569" s="1" t="n">
        <f aca="false">N(AE1568)+$AD1569</f>
        <v>38</v>
      </c>
      <c r="AF1569" s="1" t="n">
        <f aca="false">IF(AND($N1569=1,AND(LEFT(对接源_02物料!$D369,4)="包装物料",N(对接源_02物料!$K369)&lt;&gt;0)),1,0)</f>
        <v>0</v>
      </c>
      <c r="AG1569" s="1" t="n">
        <f aca="false">N(AG1568)+$AF1569</f>
        <v>6</v>
      </c>
      <c r="AH1569" s="1" t="n">
        <f aca="false">IF(AND($N1569=1,AND(LEFT(对接源_02物料!$D369,3)="周转筐",N(对接源_02物料!$K369)&lt;&gt;0)),1,0)</f>
        <v>0</v>
      </c>
      <c r="AI1569" s="1" t="n">
        <f aca="false">N(AI1568)+$AH1569</f>
        <v>0</v>
      </c>
      <c r="AJ1569" s="1" t="n">
        <v>0</v>
      </c>
      <c r="AK1569" s="1" t="n">
        <f aca="false">N(AK1568)+$AJ1569</f>
        <v>3672</v>
      </c>
    </row>
    <row r="1570" customFormat="false" ht="13.5" hidden="false" customHeight="false" outlineLevel="0" collapsed="false">
      <c r="A1570" s="1" t="str">
        <f aca="false">IF(对接源_02物料!$C370="","",对接源_02物料!$C370)</f>
        <v/>
      </c>
      <c r="B1570" s="1" t="n">
        <f aca="false">IF(A1570="",0,IF(MATCH(A1570,$A$4:$A$2403,0)=ROW()-3,1,0))</f>
        <v>0</v>
      </c>
      <c r="C1570" s="1" t="n">
        <f aca="false">N(C1569)+B1570</f>
        <v>17</v>
      </c>
      <c r="K1570" s="1" t="n">
        <f aca="false">IF(OR($K$1="",对接源_02物料!$C370="",对接源_02物料!$C370&lt;&gt;$K$1,对接源_02物料!$B370=""),0,IF(OR(N(对接源_02物料!$B370)&lt;$K$2,N(对接源_02物料!$B370)&gt;$K$3),0,1))</f>
        <v>0</v>
      </c>
      <c r="L1570" s="1" t="n">
        <f aca="false">IF(OR($L$1="",对接源_02物料!$C370="",对接源_02物料!$C370&lt;&gt;$L$1,对接源_02物料!$B370=""),0,IF(OR(N(对接源_02物料!$B370)&lt;$L$2,N(对接源_02物料!$B370)&gt;$L$3),0,1))</f>
        <v>0</v>
      </c>
      <c r="M1570" s="1" t="n">
        <f aca="false">IF(OR($M$1="",对接源_02物料!$C370="",对接源_02物料!$C370&lt;&gt;$M$1,对接源_02物料!$B370=""),0,IF(OR(N(对接源_02物料!$B370)&lt;$M$2,N(对接源_02物料!$B370)&gt;$M$3),0,1))</f>
        <v>0</v>
      </c>
      <c r="N1570" s="1" t="n">
        <f aca="false">IF(OR($N$1="",对接源_02物料!$C370="",对接源_02物料!$C370&lt;&gt;$N$1,对接源_02物料!$B370=""),0,IF(OR(N(对接源_02物料!$B370)&lt;$N$2,N(对接源_02物料!$B370)&gt;$N$3),0,1))</f>
        <v>0</v>
      </c>
      <c r="P1570" s="1" t="n">
        <f aca="false">IF(AND($K1570=1,AND(对接源_02物料!$X370="公司筐",N(对接源_02物料!$T370)&lt;&gt;0)),1,0)</f>
        <v>0</v>
      </c>
      <c r="Q1570" s="1" t="n">
        <f aca="false">N(Q1569)+$P1570</f>
        <v>13</v>
      </c>
      <c r="R1570" s="1" t="n">
        <f aca="false">IF(AND($K1570=1,AND(对接源_02物料!$X370="公司筐",N(对接源_02物料!$U370)&lt;&gt;0)),1,0)</f>
        <v>0</v>
      </c>
      <c r="S1570" s="1" t="n">
        <f aca="false">N(S1569)+$R1570</f>
        <v>5</v>
      </c>
      <c r="T1570" s="1" t="n">
        <f aca="false">IF(AND($K1570=1,AND(对接源_02物料!$X370="公司筐",N(对接源_02物料!$V370)&lt;&gt;0)),1,0)</f>
        <v>0</v>
      </c>
      <c r="U1570" s="1" t="n">
        <f aca="false">N(U1569)+$T1570</f>
        <v>28</v>
      </c>
      <c r="V1570" s="1" t="n">
        <f aca="false">IF(AND($L1570=1,AND(对接源_02物料!$X370="自备筐",N(对接源_02物料!$V370)&lt;&gt;0)),1,0)</f>
        <v>0</v>
      </c>
      <c r="W1570" s="1" t="n">
        <f aca="false">N(W1569)+$V1570</f>
        <v>7</v>
      </c>
      <c r="X1570" s="1" t="n">
        <f aca="false">IF(AND($L1570=1,AND(对接源_02物料!$X370="自备筐",N(对接源_02物料!$T370)&lt;&gt;0)),1,0)</f>
        <v>0</v>
      </c>
      <c r="Y1570" s="1" t="n">
        <f aca="false">N(Y1569)+$X1570</f>
        <v>0</v>
      </c>
      <c r="Z1570" s="1" t="n">
        <f aca="false">IF(AND($M1570=1,对接源_02物料!$D370="原料入库"),1,0)</f>
        <v>0</v>
      </c>
      <c r="AA1570" s="1" t="n">
        <f aca="false">N(AA1569)+$Z1570</f>
        <v>30</v>
      </c>
      <c r="AB1570" s="1" t="n">
        <f aca="false">IF(AND($M1570=1,LEFT(对接源_02物料!$D370,4)="原料出库"),1,0)</f>
        <v>0</v>
      </c>
      <c r="AC1570" s="1" t="n">
        <f aca="false">N(AC1569)+$AB1570</f>
        <v>19</v>
      </c>
      <c r="AD1570" s="1" t="n">
        <f aca="false">IF(AND($M1570=1,LEFT(对接源_02物料!$D370,4)="成品出库"),1,0)</f>
        <v>0</v>
      </c>
      <c r="AE1570" s="1" t="n">
        <f aca="false">N(AE1569)+$AD1570</f>
        <v>38</v>
      </c>
      <c r="AF1570" s="1" t="n">
        <f aca="false">IF(AND($N1570=1,AND(LEFT(对接源_02物料!$D370,4)="包装物料",N(对接源_02物料!$K370)&lt;&gt;0)),1,0)</f>
        <v>0</v>
      </c>
      <c r="AG1570" s="1" t="n">
        <f aca="false">N(AG1569)+$AF1570</f>
        <v>6</v>
      </c>
      <c r="AH1570" s="1" t="n">
        <f aca="false">IF(AND($N1570=1,AND(LEFT(对接源_02物料!$D370,3)="周转筐",N(对接源_02物料!$K370)&lt;&gt;0)),1,0)</f>
        <v>0</v>
      </c>
      <c r="AI1570" s="1" t="n">
        <f aca="false">N(AI1569)+$AH1570</f>
        <v>0</v>
      </c>
      <c r="AJ1570" s="1" t="n">
        <v>0</v>
      </c>
      <c r="AK1570" s="1" t="n">
        <f aca="false">N(AK1569)+$AJ1570</f>
        <v>3672</v>
      </c>
    </row>
    <row r="1571" customFormat="false" ht="13.5" hidden="false" customHeight="false" outlineLevel="0" collapsed="false">
      <c r="A1571" s="1" t="str">
        <f aca="false">IF(对接源_02物料!$C371="","",对接源_02物料!$C371)</f>
        <v/>
      </c>
      <c r="B1571" s="1" t="n">
        <f aca="false">IF(A1571="",0,IF(MATCH(A1571,$A$4:$A$2403,0)=ROW()-3,1,0))</f>
        <v>0</v>
      </c>
      <c r="C1571" s="1" t="n">
        <f aca="false">N(C1570)+B1571</f>
        <v>17</v>
      </c>
      <c r="K1571" s="1" t="n">
        <f aca="false">IF(OR($K$1="",对接源_02物料!$C371="",对接源_02物料!$C371&lt;&gt;$K$1,对接源_02物料!$B371=""),0,IF(OR(N(对接源_02物料!$B371)&lt;$K$2,N(对接源_02物料!$B371)&gt;$K$3),0,1))</f>
        <v>0</v>
      </c>
      <c r="L1571" s="1" t="n">
        <f aca="false">IF(OR($L$1="",对接源_02物料!$C371="",对接源_02物料!$C371&lt;&gt;$L$1,对接源_02物料!$B371=""),0,IF(OR(N(对接源_02物料!$B371)&lt;$L$2,N(对接源_02物料!$B371)&gt;$L$3),0,1))</f>
        <v>0</v>
      </c>
      <c r="M1571" s="1" t="n">
        <f aca="false">IF(OR($M$1="",对接源_02物料!$C371="",对接源_02物料!$C371&lt;&gt;$M$1,对接源_02物料!$B371=""),0,IF(OR(N(对接源_02物料!$B371)&lt;$M$2,N(对接源_02物料!$B371)&gt;$M$3),0,1))</f>
        <v>0</v>
      </c>
      <c r="N1571" s="1" t="n">
        <f aca="false">IF(OR($N$1="",对接源_02物料!$C371="",对接源_02物料!$C371&lt;&gt;$N$1,对接源_02物料!$B371=""),0,IF(OR(N(对接源_02物料!$B371)&lt;$N$2,N(对接源_02物料!$B371)&gt;$N$3),0,1))</f>
        <v>0</v>
      </c>
      <c r="P1571" s="1" t="n">
        <f aca="false">IF(AND($K1571=1,AND(对接源_02物料!$X371="公司筐",N(对接源_02物料!$T371)&lt;&gt;0)),1,0)</f>
        <v>0</v>
      </c>
      <c r="Q1571" s="1" t="n">
        <f aca="false">N(Q1570)+$P1571</f>
        <v>13</v>
      </c>
      <c r="R1571" s="1" t="n">
        <f aca="false">IF(AND($K1571=1,AND(对接源_02物料!$X371="公司筐",N(对接源_02物料!$U371)&lt;&gt;0)),1,0)</f>
        <v>0</v>
      </c>
      <c r="S1571" s="1" t="n">
        <f aca="false">N(S1570)+$R1571</f>
        <v>5</v>
      </c>
      <c r="T1571" s="1" t="n">
        <f aca="false">IF(AND($K1571=1,AND(对接源_02物料!$X371="公司筐",N(对接源_02物料!$V371)&lt;&gt;0)),1,0)</f>
        <v>0</v>
      </c>
      <c r="U1571" s="1" t="n">
        <f aca="false">N(U1570)+$T1571</f>
        <v>28</v>
      </c>
      <c r="V1571" s="1" t="n">
        <f aca="false">IF(AND($L1571=1,AND(对接源_02物料!$X371="自备筐",N(对接源_02物料!$V371)&lt;&gt;0)),1,0)</f>
        <v>0</v>
      </c>
      <c r="W1571" s="1" t="n">
        <f aca="false">N(W1570)+$V1571</f>
        <v>7</v>
      </c>
      <c r="X1571" s="1" t="n">
        <f aca="false">IF(AND($L1571=1,AND(对接源_02物料!$X371="自备筐",N(对接源_02物料!$T371)&lt;&gt;0)),1,0)</f>
        <v>0</v>
      </c>
      <c r="Y1571" s="1" t="n">
        <f aca="false">N(Y1570)+$X1571</f>
        <v>0</v>
      </c>
      <c r="Z1571" s="1" t="n">
        <f aca="false">IF(AND($M1571=1,对接源_02物料!$D371="原料入库"),1,0)</f>
        <v>0</v>
      </c>
      <c r="AA1571" s="1" t="n">
        <f aca="false">N(AA1570)+$Z1571</f>
        <v>30</v>
      </c>
      <c r="AB1571" s="1" t="n">
        <f aca="false">IF(AND($M1571=1,LEFT(对接源_02物料!$D371,4)="原料出库"),1,0)</f>
        <v>0</v>
      </c>
      <c r="AC1571" s="1" t="n">
        <f aca="false">N(AC1570)+$AB1571</f>
        <v>19</v>
      </c>
      <c r="AD1571" s="1" t="n">
        <f aca="false">IF(AND($M1571=1,LEFT(对接源_02物料!$D371,4)="成品出库"),1,0)</f>
        <v>0</v>
      </c>
      <c r="AE1571" s="1" t="n">
        <f aca="false">N(AE1570)+$AD1571</f>
        <v>38</v>
      </c>
      <c r="AF1571" s="1" t="n">
        <f aca="false">IF(AND($N1571=1,AND(LEFT(对接源_02物料!$D371,4)="包装物料",N(对接源_02物料!$K371)&lt;&gt;0)),1,0)</f>
        <v>0</v>
      </c>
      <c r="AG1571" s="1" t="n">
        <f aca="false">N(AG1570)+$AF1571</f>
        <v>6</v>
      </c>
      <c r="AH1571" s="1" t="n">
        <f aca="false">IF(AND($N1571=1,AND(LEFT(对接源_02物料!$D371,3)="周转筐",N(对接源_02物料!$K371)&lt;&gt;0)),1,0)</f>
        <v>0</v>
      </c>
      <c r="AI1571" s="1" t="n">
        <f aca="false">N(AI1570)+$AH1571</f>
        <v>0</v>
      </c>
      <c r="AJ1571" s="1" t="n">
        <v>0</v>
      </c>
      <c r="AK1571" s="1" t="n">
        <f aca="false">N(AK1570)+$AJ1571</f>
        <v>3672</v>
      </c>
    </row>
    <row r="1572" customFormat="false" ht="13.5" hidden="false" customHeight="false" outlineLevel="0" collapsed="false">
      <c r="A1572" s="1" t="str">
        <f aca="false">IF(对接源_02物料!$C372="","",对接源_02物料!$C372)</f>
        <v/>
      </c>
      <c r="B1572" s="1" t="n">
        <f aca="false">IF(A1572="",0,IF(MATCH(A1572,$A$4:$A$2403,0)=ROW()-3,1,0))</f>
        <v>0</v>
      </c>
      <c r="C1572" s="1" t="n">
        <f aca="false">N(C1571)+B1572</f>
        <v>17</v>
      </c>
      <c r="K1572" s="1" t="n">
        <f aca="false">IF(OR($K$1="",对接源_02物料!$C372="",对接源_02物料!$C372&lt;&gt;$K$1,对接源_02物料!$B372=""),0,IF(OR(N(对接源_02物料!$B372)&lt;$K$2,N(对接源_02物料!$B372)&gt;$K$3),0,1))</f>
        <v>0</v>
      </c>
      <c r="L1572" s="1" t="n">
        <f aca="false">IF(OR($L$1="",对接源_02物料!$C372="",对接源_02物料!$C372&lt;&gt;$L$1,对接源_02物料!$B372=""),0,IF(OR(N(对接源_02物料!$B372)&lt;$L$2,N(对接源_02物料!$B372)&gt;$L$3),0,1))</f>
        <v>0</v>
      </c>
      <c r="M1572" s="1" t="n">
        <f aca="false">IF(OR($M$1="",对接源_02物料!$C372="",对接源_02物料!$C372&lt;&gt;$M$1,对接源_02物料!$B372=""),0,IF(OR(N(对接源_02物料!$B372)&lt;$M$2,N(对接源_02物料!$B372)&gt;$M$3),0,1))</f>
        <v>0</v>
      </c>
      <c r="N1572" s="1" t="n">
        <f aca="false">IF(OR($N$1="",对接源_02物料!$C372="",对接源_02物料!$C372&lt;&gt;$N$1,对接源_02物料!$B372=""),0,IF(OR(N(对接源_02物料!$B372)&lt;$N$2,N(对接源_02物料!$B372)&gt;$N$3),0,1))</f>
        <v>0</v>
      </c>
      <c r="P1572" s="1" t="n">
        <f aca="false">IF(AND($K1572=1,AND(对接源_02物料!$X372="公司筐",N(对接源_02物料!$T372)&lt;&gt;0)),1,0)</f>
        <v>0</v>
      </c>
      <c r="Q1572" s="1" t="n">
        <f aca="false">N(Q1571)+$P1572</f>
        <v>13</v>
      </c>
      <c r="R1572" s="1" t="n">
        <f aca="false">IF(AND($K1572=1,AND(对接源_02物料!$X372="公司筐",N(对接源_02物料!$U372)&lt;&gt;0)),1,0)</f>
        <v>0</v>
      </c>
      <c r="S1572" s="1" t="n">
        <f aca="false">N(S1571)+$R1572</f>
        <v>5</v>
      </c>
      <c r="T1572" s="1" t="n">
        <f aca="false">IF(AND($K1572=1,AND(对接源_02物料!$X372="公司筐",N(对接源_02物料!$V372)&lt;&gt;0)),1,0)</f>
        <v>0</v>
      </c>
      <c r="U1572" s="1" t="n">
        <f aca="false">N(U1571)+$T1572</f>
        <v>28</v>
      </c>
      <c r="V1572" s="1" t="n">
        <f aca="false">IF(AND($L1572=1,AND(对接源_02物料!$X372="自备筐",N(对接源_02物料!$V372)&lt;&gt;0)),1,0)</f>
        <v>0</v>
      </c>
      <c r="W1572" s="1" t="n">
        <f aca="false">N(W1571)+$V1572</f>
        <v>7</v>
      </c>
      <c r="X1572" s="1" t="n">
        <f aca="false">IF(AND($L1572=1,AND(对接源_02物料!$X372="自备筐",N(对接源_02物料!$T372)&lt;&gt;0)),1,0)</f>
        <v>0</v>
      </c>
      <c r="Y1572" s="1" t="n">
        <f aca="false">N(Y1571)+$X1572</f>
        <v>0</v>
      </c>
      <c r="Z1572" s="1" t="n">
        <f aca="false">IF(AND($M1572=1,对接源_02物料!$D372="原料入库"),1,0)</f>
        <v>0</v>
      </c>
      <c r="AA1572" s="1" t="n">
        <f aca="false">N(AA1571)+$Z1572</f>
        <v>30</v>
      </c>
      <c r="AB1572" s="1" t="n">
        <f aca="false">IF(AND($M1572=1,LEFT(对接源_02物料!$D372,4)="原料出库"),1,0)</f>
        <v>0</v>
      </c>
      <c r="AC1572" s="1" t="n">
        <f aca="false">N(AC1571)+$AB1572</f>
        <v>19</v>
      </c>
      <c r="AD1572" s="1" t="n">
        <f aca="false">IF(AND($M1572=1,LEFT(对接源_02物料!$D372,4)="成品出库"),1,0)</f>
        <v>0</v>
      </c>
      <c r="AE1572" s="1" t="n">
        <f aca="false">N(AE1571)+$AD1572</f>
        <v>38</v>
      </c>
      <c r="AF1572" s="1" t="n">
        <f aca="false">IF(AND($N1572=1,AND(LEFT(对接源_02物料!$D372,4)="包装物料",N(对接源_02物料!$K372)&lt;&gt;0)),1,0)</f>
        <v>0</v>
      </c>
      <c r="AG1572" s="1" t="n">
        <f aca="false">N(AG1571)+$AF1572</f>
        <v>6</v>
      </c>
      <c r="AH1572" s="1" t="n">
        <f aca="false">IF(AND($N1572=1,AND(LEFT(对接源_02物料!$D372,3)="周转筐",N(对接源_02物料!$K372)&lt;&gt;0)),1,0)</f>
        <v>0</v>
      </c>
      <c r="AI1572" s="1" t="n">
        <f aca="false">N(AI1571)+$AH1572</f>
        <v>0</v>
      </c>
      <c r="AJ1572" s="1" t="n">
        <v>0</v>
      </c>
      <c r="AK1572" s="1" t="n">
        <f aca="false">N(AK1571)+$AJ1572</f>
        <v>3672</v>
      </c>
    </row>
    <row r="1573" customFormat="false" ht="13.5" hidden="false" customHeight="false" outlineLevel="0" collapsed="false">
      <c r="A1573" s="1" t="str">
        <f aca="false">IF(对接源_02物料!$C373="","",对接源_02物料!$C373)</f>
        <v/>
      </c>
      <c r="B1573" s="1" t="n">
        <f aca="false">IF(A1573="",0,IF(MATCH(A1573,$A$4:$A$2403,0)=ROW()-3,1,0))</f>
        <v>0</v>
      </c>
      <c r="C1573" s="1" t="n">
        <f aca="false">N(C1572)+B1573</f>
        <v>17</v>
      </c>
      <c r="K1573" s="1" t="n">
        <f aca="false">IF(OR($K$1="",对接源_02物料!$C373="",对接源_02物料!$C373&lt;&gt;$K$1,对接源_02物料!$B373=""),0,IF(OR(N(对接源_02物料!$B373)&lt;$K$2,N(对接源_02物料!$B373)&gt;$K$3),0,1))</f>
        <v>0</v>
      </c>
      <c r="L1573" s="1" t="n">
        <f aca="false">IF(OR($L$1="",对接源_02物料!$C373="",对接源_02物料!$C373&lt;&gt;$L$1,对接源_02物料!$B373=""),0,IF(OR(N(对接源_02物料!$B373)&lt;$L$2,N(对接源_02物料!$B373)&gt;$L$3),0,1))</f>
        <v>0</v>
      </c>
      <c r="M1573" s="1" t="n">
        <f aca="false">IF(OR($M$1="",对接源_02物料!$C373="",对接源_02物料!$C373&lt;&gt;$M$1,对接源_02物料!$B373=""),0,IF(OR(N(对接源_02物料!$B373)&lt;$M$2,N(对接源_02物料!$B373)&gt;$M$3),0,1))</f>
        <v>0</v>
      </c>
      <c r="N1573" s="1" t="n">
        <f aca="false">IF(OR($N$1="",对接源_02物料!$C373="",对接源_02物料!$C373&lt;&gt;$N$1,对接源_02物料!$B373=""),0,IF(OR(N(对接源_02物料!$B373)&lt;$N$2,N(对接源_02物料!$B373)&gt;$N$3),0,1))</f>
        <v>0</v>
      </c>
      <c r="P1573" s="1" t="n">
        <f aca="false">IF(AND($K1573=1,AND(对接源_02物料!$X373="公司筐",N(对接源_02物料!$T373)&lt;&gt;0)),1,0)</f>
        <v>0</v>
      </c>
      <c r="Q1573" s="1" t="n">
        <f aca="false">N(Q1572)+$P1573</f>
        <v>13</v>
      </c>
      <c r="R1573" s="1" t="n">
        <f aca="false">IF(AND($K1573=1,AND(对接源_02物料!$X373="公司筐",N(对接源_02物料!$U373)&lt;&gt;0)),1,0)</f>
        <v>0</v>
      </c>
      <c r="S1573" s="1" t="n">
        <f aca="false">N(S1572)+$R1573</f>
        <v>5</v>
      </c>
      <c r="T1573" s="1" t="n">
        <f aca="false">IF(AND($K1573=1,AND(对接源_02物料!$X373="公司筐",N(对接源_02物料!$V373)&lt;&gt;0)),1,0)</f>
        <v>0</v>
      </c>
      <c r="U1573" s="1" t="n">
        <f aca="false">N(U1572)+$T1573</f>
        <v>28</v>
      </c>
      <c r="V1573" s="1" t="n">
        <f aca="false">IF(AND($L1573=1,AND(对接源_02物料!$X373="自备筐",N(对接源_02物料!$V373)&lt;&gt;0)),1,0)</f>
        <v>0</v>
      </c>
      <c r="W1573" s="1" t="n">
        <f aca="false">N(W1572)+$V1573</f>
        <v>7</v>
      </c>
      <c r="X1573" s="1" t="n">
        <f aca="false">IF(AND($L1573=1,AND(对接源_02物料!$X373="自备筐",N(对接源_02物料!$T373)&lt;&gt;0)),1,0)</f>
        <v>0</v>
      </c>
      <c r="Y1573" s="1" t="n">
        <f aca="false">N(Y1572)+$X1573</f>
        <v>0</v>
      </c>
      <c r="Z1573" s="1" t="n">
        <f aca="false">IF(AND($M1573=1,对接源_02物料!$D373="原料入库"),1,0)</f>
        <v>0</v>
      </c>
      <c r="AA1573" s="1" t="n">
        <f aca="false">N(AA1572)+$Z1573</f>
        <v>30</v>
      </c>
      <c r="AB1573" s="1" t="n">
        <f aca="false">IF(AND($M1573=1,LEFT(对接源_02物料!$D373,4)="原料出库"),1,0)</f>
        <v>0</v>
      </c>
      <c r="AC1573" s="1" t="n">
        <f aca="false">N(AC1572)+$AB1573</f>
        <v>19</v>
      </c>
      <c r="AD1573" s="1" t="n">
        <f aca="false">IF(AND($M1573=1,LEFT(对接源_02物料!$D373,4)="成品出库"),1,0)</f>
        <v>0</v>
      </c>
      <c r="AE1573" s="1" t="n">
        <f aca="false">N(AE1572)+$AD1573</f>
        <v>38</v>
      </c>
      <c r="AF1573" s="1" t="n">
        <f aca="false">IF(AND($N1573=1,AND(LEFT(对接源_02物料!$D373,4)="包装物料",N(对接源_02物料!$K373)&lt;&gt;0)),1,0)</f>
        <v>0</v>
      </c>
      <c r="AG1573" s="1" t="n">
        <f aca="false">N(AG1572)+$AF1573</f>
        <v>6</v>
      </c>
      <c r="AH1573" s="1" t="n">
        <f aca="false">IF(AND($N1573=1,AND(LEFT(对接源_02物料!$D373,3)="周转筐",N(对接源_02物料!$K373)&lt;&gt;0)),1,0)</f>
        <v>0</v>
      </c>
      <c r="AI1573" s="1" t="n">
        <f aca="false">N(AI1572)+$AH1573</f>
        <v>0</v>
      </c>
      <c r="AJ1573" s="1" t="n">
        <v>0</v>
      </c>
      <c r="AK1573" s="1" t="n">
        <f aca="false">N(AK1572)+$AJ1573</f>
        <v>3672</v>
      </c>
    </row>
    <row r="1574" customFormat="false" ht="13.5" hidden="false" customHeight="false" outlineLevel="0" collapsed="false">
      <c r="A1574" s="1" t="str">
        <f aca="false">IF(对接源_02物料!$C374="","",对接源_02物料!$C374)</f>
        <v/>
      </c>
      <c r="B1574" s="1" t="n">
        <f aca="false">IF(A1574="",0,IF(MATCH(A1574,$A$4:$A$2403,0)=ROW()-3,1,0))</f>
        <v>0</v>
      </c>
      <c r="C1574" s="1" t="n">
        <f aca="false">N(C1573)+B1574</f>
        <v>17</v>
      </c>
      <c r="K1574" s="1" t="n">
        <f aca="false">IF(OR($K$1="",对接源_02物料!$C374="",对接源_02物料!$C374&lt;&gt;$K$1,对接源_02物料!$B374=""),0,IF(OR(N(对接源_02物料!$B374)&lt;$K$2,N(对接源_02物料!$B374)&gt;$K$3),0,1))</f>
        <v>0</v>
      </c>
      <c r="L1574" s="1" t="n">
        <f aca="false">IF(OR($L$1="",对接源_02物料!$C374="",对接源_02物料!$C374&lt;&gt;$L$1,对接源_02物料!$B374=""),0,IF(OR(N(对接源_02物料!$B374)&lt;$L$2,N(对接源_02物料!$B374)&gt;$L$3),0,1))</f>
        <v>0</v>
      </c>
      <c r="M1574" s="1" t="n">
        <f aca="false">IF(OR($M$1="",对接源_02物料!$C374="",对接源_02物料!$C374&lt;&gt;$M$1,对接源_02物料!$B374=""),0,IF(OR(N(对接源_02物料!$B374)&lt;$M$2,N(对接源_02物料!$B374)&gt;$M$3),0,1))</f>
        <v>0</v>
      </c>
      <c r="N1574" s="1" t="n">
        <f aca="false">IF(OR($N$1="",对接源_02物料!$C374="",对接源_02物料!$C374&lt;&gt;$N$1,对接源_02物料!$B374=""),0,IF(OR(N(对接源_02物料!$B374)&lt;$N$2,N(对接源_02物料!$B374)&gt;$N$3),0,1))</f>
        <v>0</v>
      </c>
      <c r="P1574" s="1" t="n">
        <f aca="false">IF(AND($K1574=1,AND(对接源_02物料!$X374="公司筐",N(对接源_02物料!$T374)&lt;&gt;0)),1,0)</f>
        <v>0</v>
      </c>
      <c r="Q1574" s="1" t="n">
        <f aca="false">N(Q1573)+$P1574</f>
        <v>13</v>
      </c>
      <c r="R1574" s="1" t="n">
        <f aca="false">IF(AND($K1574=1,AND(对接源_02物料!$X374="公司筐",N(对接源_02物料!$U374)&lt;&gt;0)),1,0)</f>
        <v>0</v>
      </c>
      <c r="S1574" s="1" t="n">
        <f aca="false">N(S1573)+$R1574</f>
        <v>5</v>
      </c>
      <c r="T1574" s="1" t="n">
        <f aca="false">IF(AND($K1574=1,AND(对接源_02物料!$X374="公司筐",N(对接源_02物料!$V374)&lt;&gt;0)),1,0)</f>
        <v>0</v>
      </c>
      <c r="U1574" s="1" t="n">
        <f aca="false">N(U1573)+$T1574</f>
        <v>28</v>
      </c>
      <c r="V1574" s="1" t="n">
        <f aca="false">IF(AND($L1574=1,AND(对接源_02物料!$X374="自备筐",N(对接源_02物料!$V374)&lt;&gt;0)),1,0)</f>
        <v>0</v>
      </c>
      <c r="W1574" s="1" t="n">
        <f aca="false">N(W1573)+$V1574</f>
        <v>7</v>
      </c>
      <c r="X1574" s="1" t="n">
        <f aca="false">IF(AND($L1574=1,AND(对接源_02物料!$X374="自备筐",N(对接源_02物料!$T374)&lt;&gt;0)),1,0)</f>
        <v>0</v>
      </c>
      <c r="Y1574" s="1" t="n">
        <f aca="false">N(Y1573)+$X1574</f>
        <v>0</v>
      </c>
      <c r="Z1574" s="1" t="n">
        <f aca="false">IF(AND($M1574=1,对接源_02物料!$D374="原料入库"),1,0)</f>
        <v>0</v>
      </c>
      <c r="AA1574" s="1" t="n">
        <f aca="false">N(AA1573)+$Z1574</f>
        <v>30</v>
      </c>
      <c r="AB1574" s="1" t="n">
        <f aca="false">IF(AND($M1574=1,LEFT(对接源_02物料!$D374,4)="原料出库"),1,0)</f>
        <v>0</v>
      </c>
      <c r="AC1574" s="1" t="n">
        <f aca="false">N(AC1573)+$AB1574</f>
        <v>19</v>
      </c>
      <c r="AD1574" s="1" t="n">
        <f aca="false">IF(AND($M1574=1,LEFT(对接源_02物料!$D374,4)="成品出库"),1,0)</f>
        <v>0</v>
      </c>
      <c r="AE1574" s="1" t="n">
        <f aca="false">N(AE1573)+$AD1574</f>
        <v>38</v>
      </c>
      <c r="AF1574" s="1" t="n">
        <f aca="false">IF(AND($N1574=1,AND(LEFT(对接源_02物料!$D374,4)="包装物料",N(对接源_02物料!$K374)&lt;&gt;0)),1,0)</f>
        <v>0</v>
      </c>
      <c r="AG1574" s="1" t="n">
        <f aca="false">N(AG1573)+$AF1574</f>
        <v>6</v>
      </c>
      <c r="AH1574" s="1" t="n">
        <f aca="false">IF(AND($N1574=1,AND(LEFT(对接源_02物料!$D374,3)="周转筐",N(对接源_02物料!$K374)&lt;&gt;0)),1,0)</f>
        <v>0</v>
      </c>
      <c r="AI1574" s="1" t="n">
        <f aca="false">N(AI1573)+$AH1574</f>
        <v>0</v>
      </c>
      <c r="AJ1574" s="1" t="n">
        <v>0</v>
      </c>
      <c r="AK1574" s="1" t="n">
        <f aca="false">N(AK1573)+$AJ1574</f>
        <v>3672</v>
      </c>
    </row>
    <row r="1575" customFormat="false" ht="13.5" hidden="false" customHeight="false" outlineLevel="0" collapsed="false">
      <c r="A1575" s="1" t="str">
        <f aca="false">IF(对接源_02物料!$C375="","",对接源_02物料!$C375)</f>
        <v/>
      </c>
      <c r="B1575" s="1" t="n">
        <f aca="false">IF(A1575="",0,IF(MATCH(A1575,$A$4:$A$2403,0)=ROW()-3,1,0))</f>
        <v>0</v>
      </c>
      <c r="C1575" s="1" t="n">
        <f aca="false">N(C1574)+B1575</f>
        <v>17</v>
      </c>
      <c r="K1575" s="1" t="n">
        <f aca="false">IF(OR($K$1="",对接源_02物料!$C375="",对接源_02物料!$C375&lt;&gt;$K$1,对接源_02物料!$B375=""),0,IF(OR(N(对接源_02物料!$B375)&lt;$K$2,N(对接源_02物料!$B375)&gt;$K$3),0,1))</f>
        <v>0</v>
      </c>
      <c r="L1575" s="1" t="n">
        <f aca="false">IF(OR($L$1="",对接源_02物料!$C375="",对接源_02物料!$C375&lt;&gt;$L$1,对接源_02物料!$B375=""),0,IF(OR(N(对接源_02物料!$B375)&lt;$L$2,N(对接源_02物料!$B375)&gt;$L$3),0,1))</f>
        <v>0</v>
      </c>
      <c r="M1575" s="1" t="n">
        <f aca="false">IF(OR($M$1="",对接源_02物料!$C375="",对接源_02物料!$C375&lt;&gt;$M$1,对接源_02物料!$B375=""),0,IF(OR(N(对接源_02物料!$B375)&lt;$M$2,N(对接源_02物料!$B375)&gt;$M$3),0,1))</f>
        <v>0</v>
      </c>
      <c r="N1575" s="1" t="n">
        <f aca="false">IF(OR($N$1="",对接源_02物料!$C375="",对接源_02物料!$C375&lt;&gt;$N$1,对接源_02物料!$B375=""),0,IF(OR(N(对接源_02物料!$B375)&lt;$N$2,N(对接源_02物料!$B375)&gt;$N$3),0,1))</f>
        <v>0</v>
      </c>
      <c r="P1575" s="1" t="n">
        <f aca="false">IF(AND($K1575=1,AND(对接源_02物料!$X375="公司筐",N(对接源_02物料!$T375)&lt;&gt;0)),1,0)</f>
        <v>0</v>
      </c>
      <c r="Q1575" s="1" t="n">
        <f aca="false">N(Q1574)+$P1575</f>
        <v>13</v>
      </c>
      <c r="R1575" s="1" t="n">
        <f aca="false">IF(AND($K1575=1,AND(对接源_02物料!$X375="公司筐",N(对接源_02物料!$U375)&lt;&gt;0)),1,0)</f>
        <v>0</v>
      </c>
      <c r="S1575" s="1" t="n">
        <f aca="false">N(S1574)+$R1575</f>
        <v>5</v>
      </c>
      <c r="T1575" s="1" t="n">
        <f aca="false">IF(AND($K1575=1,AND(对接源_02物料!$X375="公司筐",N(对接源_02物料!$V375)&lt;&gt;0)),1,0)</f>
        <v>0</v>
      </c>
      <c r="U1575" s="1" t="n">
        <f aca="false">N(U1574)+$T1575</f>
        <v>28</v>
      </c>
      <c r="V1575" s="1" t="n">
        <f aca="false">IF(AND($L1575=1,AND(对接源_02物料!$X375="自备筐",N(对接源_02物料!$V375)&lt;&gt;0)),1,0)</f>
        <v>0</v>
      </c>
      <c r="W1575" s="1" t="n">
        <f aca="false">N(W1574)+$V1575</f>
        <v>7</v>
      </c>
      <c r="X1575" s="1" t="n">
        <f aca="false">IF(AND($L1575=1,AND(对接源_02物料!$X375="自备筐",N(对接源_02物料!$T375)&lt;&gt;0)),1,0)</f>
        <v>0</v>
      </c>
      <c r="Y1575" s="1" t="n">
        <f aca="false">N(Y1574)+$X1575</f>
        <v>0</v>
      </c>
      <c r="Z1575" s="1" t="n">
        <f aca="false">IF(AND($M1575=1,对接源_02物料!$D375="原料入库"),1,0)</f>
        <v>0</v>
      </c>
      <c r="AA1575" s="1" t="n">
        <f aca="false">N(AA1574)+$Z1575</f>
        <v>30</v>
      </c>
      <c r="AB1575" s="1" t="n">
        <f aca="false">IF(AND($M1575=1,LEFT(对接源_02物料!$D375,4)="原料出库"),1,0)</f>
        <v>0</v>
      </c>
      <c r="AC1575" s="1" t="n">
        <f aca="false">N(AC1574)+$AB1575</f>
        <v>19</v>
      </c>
      <c r="AD1575" s="1" t="n">
        <f aca="false">IF(AND($M1575=1,LEFT(对接源_02物料!$D375,4)="成品出库"),1,0)</f>
        <v>0</v>
      </c>
      <c r="AE1575" s="1" t="n">
        <f aca="false">N(AE1574)+$AD1575</f>
        <v>38</v>
      </c>
      <c r="AF1575" s="1" t="n">
        <f aca="false">IF(AND($N1575=1,AND(LEFT(对接源_02物料!$D375,4)="包装物料",N(对接源_02物料!$K375)&lt;&gt;0)),1,0)</f>
        <v>0</v>
      </c>
      <c r="AG1575" s="1" t="n">
        <f aca="false">N(AG1574)+$AF1575</f>
        <v>6</v>
      </c>
      <c r="AH1575" s="1" t="n">
        <f aca="false">IF(AND($N1575=1,AND(LEFT(对接源_02物料!$D375,3)="周转筐",N(对接源_02物料!$K375)&lt;&gt;0)),1,0)</f>
        <v>0</v>
      </c>
      <c r="AI1575" s="1" t="n">
        <f aca="false">N(AI1574)+$AH1575</f>
        <v>0</v>
      </c>
      <c r="AJ1575" s="1" t="n">
        <v>0</v>
      </c>
      <c r="AK1575" s="1" t="n">
        <f aca="false">N(AK1574)+$AJ1575</f>
        <v>3672</v>
      </c>
    </row>
    <row r="1576" customFormat="false" ht="13.5" hidden="false" customHeight="false" outlineLevel="0" collapsed="false">
      <c r="A1576" s="1" t="str">
        <f aca="false">IF(对接源_02物料!$C376="","",对接源_02物料!$C376)</f>
        <v/>
      </c>
      <c r="B1576" s="1" t="n">
        <f aca="false">IF(A1576="",0,IF(MATCH(A1576,$A$4:$A$2403,0)=ROW()-3,1,0))</f>
        <v>0</v>
      </c>
      <c r="C1576" s="1" t="n">
        <f aca="false">N(C1575)+B1576</f>
        <v>17</v>
      </c>
      <c r="K1576" s="1" t="n">
        <f aca="false">IF(OR($K$1="",对接源_02物料!$C376="",对接源_02物料!$C376&lt;&gt;$K$1,对接源_02物料!$B376=""),0,IF(OR(N(对接源_02物料!$B376)&lt;$K$2,N(对接源_02物料!$B376)&gt;$K$3),0,1))</f>
        <v>0</v>
      </c>
      <c r="L1576" s="1" t="n">
        <f aca="false">IF(OR($L$1="",对接源_02物料!$C376="",对接源_02物料!$C376&lt;&gt;$L$1,对接源_02物料!$B376=""),0,IF(OR(N(对接源_02物料!$B376)&lt;$L$2,N(对接源_02物料!$B376)&gt;$L$3),0,1))</f>
        <v>0</v>
      </c>
      <c r="M1576" s="1" t="n">
        <f aca="false">IF(OR($M$1="",对接源_02物料!$C376="",对接源_02物料!$C376&lt;&gt;$M$1,对接源_02物料!$B376=""),0,IF(OR(N(对接源_02物料!$B376)&lt;$M$2,N(对接源_02物料!$B376)&gt;$M$3),0,1))</f>
        <v>0</v>
      </c>
      <c r="N1576" s="1" t="n">
        <f aca="false">IF(OR($N$1="",对接源_02物料!$C376="",对接源_02物料!$C376&lt;&gt;$N$1,对接源_02物料!$B376=""),0,IF(OR(N(对接源_02物料!$B376)&lt;$N$2,N(对接源_02物料!$B376)&gt;$N$3),0,1))</f>
        <v>0</v>
      </c>
      <c r="P1576" s="1" t="n">
        <f aca="false">IF(AND($K1576=1,AND(对接源_02物料!$X376="公司筐",N(对接源_02物料!$T376)&lt;&gt;0)),1,0)</f>
        <v>0</v>
      </c>
      <c r="Q1576" s="1" t="n">
        <f aca="false">N(Q1575)+$P1576</f>
        <v>13</v>
      </c>
      <c r="R1576" s="1" t="n">
        <f aca="false">IF(AND($K1576=1,AND(对接源_02物料!$X376="公司筐",N(对接源_02物料!$U376)&lt;&gt;0)),1,0)</f>
        <v>0</v>
      </c>
      <c r="S1576" s="1" t="n">
        <f aca="false">N(S1575)+$R1576</f>
        <v>5</v>
      </c>
      <c r="T1576" s="1" t="n">
        <f aca="false">IF(AND($K1576=1,AND(对接源_02物料!$X376="公司筐",N(对接源_02物料!$V376)&lt;&gt;0)),1,0)</f>
        <v>0</v>
      </c>
      <c r="U1576" s="1" t="n">
        <f aca="false">N(U1575)+$T1576</f>
        <v>28</v>
      </c>
      <c r="V1576" s="1" t="n">
        <f aca="false">IF(AND($L1576=1,AND(对接源_02物料!$X376="自备筐",N(对接源_02物料!$V376)&lt;&gt;0)),1,0)</f>
        <v>0</v>
      </c>
      <c r="W1576" s="1" t="n">
        <f aca="false">N(W1575)+$V1576</f>
        <v>7</v>
      </c>
      <c r="X1576" s="1" t="n">
        <f aca="false">IF(AND($L1576=1,AND(对接源_02物料!$X376="自备筐",N(对接源_02物料!$T376)&lt;&gt;0)),1,0)</f>
        <v>0</v>
      </c>
      <c r="Y1576" s="1" t="n">
        <f aca="false">N(Y1575)+$X1576</f>
        <v>0</v>
      </c>
      <c r="Z1576" s="1" t="n">
        <f aca="false">IF(AND($M1576=1,对接源_02物料!$D376="原料入库"),1,0)</f>
        <v>0</v>
      </c>
      <c r="AA1576" s="1" t="n">
        <f aca="false">N(AA1575)+$Z1576</f>
        <v>30</v>
      </c>
      <c r="AB1576" s="1" t="n">
        <f aca="false">IF(AND($M1576=1,LEFT(对接源_02物料!$D376,4)="原料出库"),1,0)</f>
        <v>0</v>
      </c>
      <c r="AC1576" s="1" t="n">
        <f aca="false">N(AC1575)+$AB1576</f>
        <v>19</v>
      </c>
      <c r="AD1576" s="1" t="n">
        <f aca="false">IF(AND($M1576=1,LEFT(对接源_02物料!$D376,4)="成品出库"),1,0)</f>
        <v>0</v>
      </c>
      <c r="AE1576" s="1" t="n">
        <f aca="false">N(AE1575)+$AD1576</f>
        <v>38</v>
      </c>
      <c r="AF1576" s="1" t="n">
        <f aca="false">IF(AND($N1576=1,AND(LEFT(对接源_02物料!$D376,4)="包装物料",N(对接源_02物料!$K376)&lt;&gt;0)),1,0)</f>
        <v>0</v>
      </c>
      <c r="AG1576" s="1" t="n">
        <f aca="false">N(AG1575)+$AF1576</f>
        <v>6</v>
      </c>
      <c r="AH1576" s="1" t="n">
        <f aca="false">IF(AND($N1576=1,AND(LEFT(对接源_02物料!$D376,3)="周转筐",N(对接源_02物料!$K376)&lt;&gt;0)),1,0)</f>
        <v>0</v>
      </c>
      <c r="AI1576" s="1" t="n">
        <f aca="false">N(AI1575)+$AH1576</f>
        <v>0</v>
      </c>
      <c r="AJ1576" s="1" t="n">
        <v>0</v>
      </c>
      <c r="AK1576" s="1" t="n">
        <f aca="false">N(AK1575)+$AJ1576</f>
        <v>3672</v>
      </c>
    </row>
    <row r="1577" customFormat="false" ht="13.5" hidden="false" customHeight="false" outlineLevel="0" collapsed="false">
      <c r="A1577" s="1" t="str">
        <f aca="false">IF(对接源_02物料!$C377="","",对接源_02物料!$C377)</f>
        <v/>
      </c>
      <c r="B1577" s="1" t="n">
        <f aca="false">IF(A1577="",0,IF(MATCH(A1577,$A$4:$A$2403,0)=ROW()-3,1,0))</f>
        <v>0</v>
      </c>
      <c r="C1577" s="1" t="n">
        <f aca="false">N(C1576)+B1577</f>
        <v>17</v>
      </c>
      <c r="K1577" s="1" t="n">
        <f aca="false">IF(OR($K$1="",对接源_02物料!$C377="",对接源_02物料!$C377&lt;&gt;$K$1,对接源_02物料!$B377=""),0,IF(OR(N(对接源_02物料!$B377)&lt;$K$2,N(对接源_02物料!$B377)&gt;$K$3),0,1))</f>
        <v>0</v>
      </c>
      <c r="L1577" s="1" t="n">
        <f aca="false">IF(OR($L$1="",对接源_02物料!$C377="",对接源_02物料!$C377&lt;&gt;$L$1,对接源_02物料!$B377=""),0,IF(OR(N(对接源_02物料!$B377)&lt;$L$2,N(对接源_02物料!$B377)&gt;$L$3),0,1))</f>
        <v>0</v>
      </c>
      <c r="M1577" s="1" t="n">
        <f aca="false">IF(OR($M$1="",对接源_02物料!$C377="",对接源_02物料!$C377&lt;&gt;$M$1,对接源_02物料!$B377=""),0,IF(OR(N(对接源_02物料!$B377)&lt;$M$2,N(对接源_02物料!$B377)&gt;$M$3),0,1))</f>
        <v>0</v>
      </c>
      <c r="N1577" s="1" t="n">
        <f aca="false">IF(OR($N$1="",对接源_02物料!$C377="",对接源_02物料!$C377&lt;&gt;$N$1,对接源_02物料!$B377=""),0,IF(OR(N(对接源_02物料!$B377)&lt;$N$2,N(对接源_02物料!$B377)&gt;$N$3),0,1))</f>
        <v>0</v>
      </c>
      <c r="P1577" s="1" t="n">
        <f aca="false">IF(AND($K1577=1,AND(对接源_02物料!$X377="公司筐",N(对接源_02物料!$T377)&lt;&gt;0)),1,0)</f>
        <v>0</v>
      </c>
      <c r="Q1577" s="1" t="n">
        <f aca="false">N(Q1576)+$P1577</f>
        <v>13</v>
      </c>
      <c r="R1577" s="1" t="n">
        <f aca="false">IF(AND($K1577=1,AND(对接源_02物料!$X377="公司筐",N(对接源_02物料!$U377)&lt;&gt;0)),1,0)</f>
        <v>0</v>
      </c>
      <c r="S1577" s="1" t="n">
        <f aca="false">N(S1576)+$R1577</f>
        <v>5</v>
      </c>
      <c r="T1577" s="1" t="n">
        <f aca="false">IF(AND($K1577=1,AND(对接源_02物料!$X377="公司筐",N(对接源_02物料!$V377)&lt;&gt;0)),1,0)</f>
        <v>0</v>
      </c>
      <c r="U1577" s="1" t="n">
        <f aca="false">N(U1576)+$T1577</f>
        <v>28</v>
      </c>
      <c r="V1577" s="1" t="n">
        <f aca="false">IF(AND($L1577=1,AND(对接源_02物料!$X377="自备筐",N(对接源_02物料!$V377)&lt;&gt;0)),1,0)</f>
        <v>0</v>
      </c>
      <c r="W1577" s="1" t="n">
        <f aca="false">N(W1576)+$V1577</f>
        <v>7</v>
      </c>
      <c r="X1577" s="1" t="n">
        <f aca="false">IF(AND($L1577=1,AND(对接源_02物料!$X377="自备筐",N(对接源_02物料!$T377)&lt;&gt;0)),1,0)</f>
        <v>0</v>
      </c>
      <c r="Y1577" s="1" t="n">
        <f aca="false">N(Y1576)+$X1577</f>
        <v>0</v>
      </c>
      <c r="Z1577" s="1" t="n">
        <f aca="false">IF(AND($M1577=1,对接源_02物料!$D377="原料入库"),1,0)</f>
        <v>0</v>
      </c>
      <c r="AA1577" s="1" t="n">
        <f aca="false">N(AA1576)+$Z1577</f>
        <v>30</v>
      </c>
      <c r="AB1577" s="1" t="n">
        <f aca="false">IF(AND($M1577=1,LEFT(对接源_02物料!$D377,4)="原料出库"),1,0)</f>
        <v>0</v>
      </c>
      <c r="AC1577" s="1" t="n">
        <f aca="false">N(AC1576)+$AB1577</f>
        <v>19</v>
      </c>
      <c r="AD1577" s="1" t="n">
        <f aca="false">IF(AND($M1577=1,LEFT(对接源_02物料!$D377,4)="成品出库"),1,0)</f>
        <v>0</v>
      </c>
      <c r="AE1577" s="1" t="n">
        <f aca="false">N(AE1576)+$AD1577</f>
        <v>38</v>
      </c>
      <c r="AF1577" s="1" t="n">
        <f aca="false">IF(AND($N1577=1,AND(LEFT(对接源_02物料!$D377,4)="包装物料",N(对接源_02物料!$K377)&lt;&gt;0)),1,0)</f>
        <v>0</v>
      </c>
      <c r="AG1577" s="1" t="n">
        <f aca="false">N(AG1576)+$AF1577</f>
        <v>6</v>
      </c>
      <c r="AH1577" s="1" t="n">
        <f aca="false">IF(AND($N1577=1,AND(LEFT(对接源_02物料!$D377,3)="周转筐",N(对接源_02物料!$K377)&lt;&gt;0)),1,0)</f>
        <v>0</v>
      </c>
      <c r="AI1577" s="1" t="n">
        <f aca="false">N(AI1576)+$AH1577</f>
        <v>0</v>
      </c>
      <c r="AJ1577" s="1" t="n">
        <v>0</v>
      </c>
      <c r="AK1577" s="1" t="n">
        <f aca="false">N(AK1576)+$AJ1577</f>
        <v>3672</v>
      </c>
    </row>
    <row r="1578" customFormat="false" ht="13.5" hidden="false" customHeight="false" outlineLevel="0" collapsed="false">
      <c r="A1578" s="1" t="str">
        <f aca="false">IF(对接源_02物料!$C378="","",对接源_02物料!$C378)</f>
        <v/>
      </c>
      <c r="B1578" s="1" t="n">
        <f aca="false">IF(A1578="",0,IF(MATCH(A1578,$A$4:$A$2403,0)=ROW()-3,1,0))</f>
        <v>0</v>
      </c>
      <c r="C1578" s="1" t="n">
        <f aca="false">N(C1577)+B1578</f>
        <v>17</v>
      </c>
      <c r="K1578" s="1" t="n">
        <f aca="false">IF(OR($K$1="",对接源_02物料!$C378="",对接源_02物料!$C378&lt;&gt;$K$1,对接源_02物料!$B378=""),0,IF(OR(N(对接源_02物料!$B378)&lt;$K$2,N(对接源_02物料!$B378)&gt;$K$3),0,1))</f>
        <v>0</v>
      </c>
      <c r="L1578" s="1" t="n">
        <f aca="false">IF(OR($L$1="",对接源_02物料!$C378="",对接源_02物料!$C378&lt;&gt;$L$1,对接源_02物料!$B378=""),0,IF(OR(N(对接源_02物料!$B378)&lt;$L$2,N(对接源_02物料!$B378)&gt;$L$3),0,1))</f>
        <v>0</v>
      </c>
      <c r="M1578" s="1" t="n">
        <f aca="false">IF(OR($M$1="",对接源_02物料!$C378="",对接源_02物料!$C378&lt;&gt;$M$1,对接源_02物料!$B378=""),0,IF(OR(N(对接源_02物料!$B378)&lt;$M$2,N(对接源_02物料!$B378)&gt;$M$3),0,1))</f>
        <v>0</v>
      </c>
      <c r="N1578" s="1" t="n">
        <f aca="false">IF(OR($N$1="",对接源_02物料!$C378="",对接源_02物料!$C378&lt;&gt;$N$1,对接源_02物料!$B378=""),0,IF(OR(N(对接源_02物料!$B378)&lt;$N$2,N(对接源_02物料!$B378)&gt;$N$3),0,1))</f>
        <v>0</v>
      </c>
      <c r="P1578" s="1" t="n">
        <f aca="false">IF(AND($K1578=1,AND(对接源_02物料!$X378="公司筐",N(对接源_02物料!$T378)&lt;&gt;0)),1,0)</f>
        <v>0</v>
      </c>
      <c r="Q1578" s="1" t="n">
        <f aca="false">N(Q1577)+$P1578</f>
        <v>13</v>
      </c>
      <c r="R1578" s="1" t="n">
        <f aca="false">IF(AND($K1578=1,AND(对接源_02物料!$X378="公司筐",N(对接源_02物料!$U378)&lt;&gt;0)),1,0)</f>
        <v>0</v>
      </c>
      <c r="S1578" s="1" t="n">
        <f aca="false">N(S1577)+$R1578</f>
        <v>5</v>
      </c>
      <c r="T1578" s="1" t="n">
        <f aca="false">IF(AND($K1578=1,AND(对接源_02物料!$X378="公司筐",N(对接源_02物料!$V378)&lt;&gt;0)),1,0)</f>
        <v>0</v>
      </c>
      <c r="U1578" s="1" t="n">
        <f aca="false">N(U1577)+$T1578</f>
        <v>28</v>
      </c>
      <c r="V1578" s="1" t="n">
        <f aca="false">IF(AND($L1578=1,AND(对接源_02物料!$X378="自备筐",N(对接源_02物料!$V378)&lt;&gt;0)),1,0)</f>
        <v>0</v>
      </c>
      <c r="W1578" s="1" t="n">
        <f aca="false">N(W1577)+$V1578</f>
        <v>7</v>
      </c>
      <c r="X1578" s="1" t="n">
        <f aca="false">IF(AND($L1578=1,AND(对接源_02物料!$X378="自备筐",N(对接源_02物料!$T378)&lt;&gt;0)),1,0)</f>
        <v>0</v>
      </c>
      <c r="Y1578" s="1" t="n">
        <f aca="false">N(Y1577)+$X1578</f>
        <v>0</v>
      </c>
      <c r="Z1578" s="1" t="n">
        <f aca="false">IF(AND($M1578=1,对接源_02物料!$D378="原料入库"),1,0)</f>
        <v>0</v>
      </c>
      <c r="AA1578" s="1" t="n">
        <f aca="false">N(AA1577)+$Z1578</f>
        <v>30</v>
      </c>
      <c r="AB1578" s="1" t="n">
        <f aca="false">IF(AND($M1578=1,LEFT(对接源_02物料!$D378,4)="原料出库"),1,0)</f>
        <v>0</v>
      </c>
      <c r="AC1578" s="1" t="n">
        <f aca="false">N(AC1577)+$AB1578</f>
        <v>19</v>
      </c>
      <c r="AD1578" s="1" t="n">
        <f aca="false">IF(AND($M1578=1,LEFT(对接源_02物料!$D378,4)="成品出库"),1,0)</f>
        <v>0</v>
      </c>
      <c r="AE1578" s="1" t="n">
        <f aca="false">N(AE1577)+$AD1578</f>
        <v>38</v>
      </c>
      <c r="AF1578" s="1" t="n">
        <f aca="false">IF(AND($N1578=1,AND(LEFT(对接源_02物料!$D378,4)="包装物料",N(对接源_02物料!$K378)&lt;&gt;0)),1,0)</f>
        <v>0</v>
      </c>
      <c r="AG1578" s="1" t="n">
        <f aca="false">N(AG1577)+$AF1578</f>
        <v>6</v>
      </c>
      <c r="AH1578" s="1" t="n">
        <f aca="false">IF(AND($N1578=1,AND(LEFT(对接源_02物料!$D378,3)="周转筐",N(对接源_02物料!$K378)&lt;&gt;0)),1,0)</f>
        <v>0</v>
      </c>
      <c r="AI1578" s="1" t="n">
        <f aca="false">N(AI1577)+$AH1578</f>
        <v>0</v>
      </c>
      <c r="AJ1578" s="1" t="n">
        <v>0</v>
      </c>
      <c r="AK1578" s="1" t="n">
        <f aca="false">N(AK1577)+$AJ1578</f>
        <v>3672</v>
      </c>
    </row>
    <row r="1579" customFormat="false" ht="13.5" hidden="false" customHeight="false" outlineLevel="0" collapsed="false">
      <c r="A1579" s="1" t="str">
        <f aca="false">IF(对接源_02物料!$C379="","",对接源_02物料!$C379)</f>
        <v/>
      </c>
      <c r="B1579" s="1" t="n">
        <f aca="false">IF(A1579="",0,IF(MATCH(A1579,$A$4:$A$2403,0)=ROW()-3,1,0))</f>
        <v>0</v>
      </c>
      <c r="C1579" s="1" t="n">
        <f aca="false">N(C1578)+B1579</f>
        <v>17</v>
      </c>
      <c r="K1579" s="1" t="n">
        <f aca="false">IF(OR($K$1="",对接源_02物料!$C379="",对接源_02物料!$C379&lt;&gt;$K$1,对接源_02物料!$B379=""),0,IF(OR(N(对接源_02物料!$B379)&lt;$K$2,N(对接源_02物料!$B379)&gt;$K$3),0,1))</f>
        <v>0</v>
      </c>
      <c r="L1579" s="1" t="n">
        <f aca="false">IF(OR($L$1="",对接源_02物料!$C379="",对接源_02物料!$C379&lt;&gt;$L$1,对接源_02物料!$B379=""),0,IF(OR(N(对接源_02物料!$B379)&lt;$L$2,N(对接源_02物料!$B379)&gt;$L$3),0,1))</f>
        <v>0</v>
      </c>
      <c r="M1579" s="1" t="n">
        <f aca="false">IF(OR($M$1="",对接源_02物料!$C379="",对接源_02物料!$C379&lt;&gt;$M$1,对接源_02物料!$B379=""),0,IF(OR(N(对接源_02物料!$B379)&lt;$M$2,N(对接源_02物料!$B379)&gt;$M$3),0,1))</f>
        <v>0</v>
      </c>
      <c r="N1579" s="1" t="n">
        <f aca="false">IF(OR($N$1="",对接源_02物料!$C379="",对接源_02物料!$C379&lt;&gt;$N$1,对接源_02物料!$B379=""),0,IF(OR(N(对接源_02物料!$B379)&lt;$N$2,N(对接源_02物料!$B379)&gt;$N$3),0,1))</f>
        <v>0</v>
      </c>
      <c r="P1579" s="1" t="n">
        <f aca="false">IF(AND($K1579=1,AND(对接源_02物料!$X379="公司筐",N(对接源_02物料!$T379)&lt;&gt;0)),1,0)</f>
        <v>0</v>
      </c>
      <c r="Q1579" s="1" t="n">
        <f aca="false">N(Q1578)+$P1579</f>
        <v>13</v>
      </c>
      <c r="R1579" s="1" t="n">
        <f aca="false">IF(AND($K1579=1,AND(对接源_02物料!$X379="公司筐",N(对接源_02物料!$U379)&lt;&gt;0)),1,0)</f>
        <v>0</v>
      </c>
      <c r="S1579" s="1" t="n">
        <f aca="false">N(S1578)+$R1579</f>
        <v>5</v>
      </c>
      <c r="T1579" s="1" t="n">
        <f aca="false">IF(AND($K1579=1,AND(对接源_02物料!$X379="公司筐",N(对接源_02物料!$V379)&lt;&gt;0)),1,0)</f>
        <v>0</v>
      </c>
      <c r="U1579" s="1" t="n">
        <f aca="false">N(U1578)+$T1579</f>
        <v>28</v>
      </c>
      <c r="V1579" s="1" t="n">
        <f aca="false">IF(AND($L1579=1,AND(对接源_02物料!$X379="自备筐",N(对接源_02物料!$V379)&lt;&gt;0)),1,0)</f>
        <v>0</v>
      </c>
      <c r="W1579" s="1" t="n">
        <f aca="false">N(W1578)+$V1579</f>
        <v>7</v>
      </c>
      <c r="X1579" s="1" t="n">
        <f aca="false">IF(AND($L1579=1,AND(对接源_02物料!$X379="自备筐",N(对接源_02物料!$T379)&lt;&gt;0)),1,0)</f>
        <v>0</v>
      </c>
      <c r="Y1579" s="1" t="n">
        <f aca="false">N(Y1578)+$X1579</f>
        <v>0</v>
      </c>
      <c r="Z1579" s="1" t="n">
        <f aca="false">IF(AND($M1579=1,对接源_02物料!$D379="原料入库"),1,0)</f>
        <v>0</v>
      </c>
      <c r="AA1579" s="1" t="n">
        <f aca="false">N(AA1578)+$Z1579</f>
        <v>30</v>
      </c>
      <c r="AB1579" s="1" t="n">
        <f aca="false">IF(AND($M1579=1,LEFT(对接源_02物料!$D379,4)="原料出库"),1,0)</f>
        <v>0</v>
      </c>
      <c r="AC1579" s="1" t="n">
        <f aca="false">N(AC1578)+$AB1579</f>
        <v>19</v>
      </c>
      <c r="AD1579" s="1" t="n">
        <f aca="false">IF(AND($M1579=1,LEFT(对接源_02物料!$D379,4)="成品出库"),1,0)</f>
        <v>0</v>
      </c>
      <c r="AE1579" s="1" t="n">
        <f aca="false">N(AE1578)+$AD1579</f>
        <v>38</v>
      </c>
      <c r="AF1579" s="1" t="n">
        <f aca="false">IF(AND($N1579=1,AND(LEFT(对接源_02物料!$D379,4)="包装物料",N(对接源_02物料!$K379)&lt;&gt;0)),1,0)</f>
        <v>0</v>
      </c>
      <c r="AG1579" s="1" t="n">
        <f aca="false">N(AG1578)+$AF1579</f>
        <v>6</v>
      </c>
      <c r="AH1579" s="1" t="n">
        <f aca="false">IF(AND($N1579=1,AND(LEFT(对接源_02物料!$D379,3)="周转筐",N(对接源_02物料!$K379)&lt;&gt;0)),1,0)</f>
        <v>0</v>
      </c>
      <c r="AI1579" s="1" t="n">
        <f aca="false">N(AI1578)+$AH1579</f>
        <v>0</v>
      </c>
      <c r="AJ1579" s="1" t="n">
        <v>0</v>
      </c>
      <c r="AK1579" s="1" t="n">
        <f aca="false">N(AK1578)+$AJ1579</f>
        <v>3672</v>
      </c>
    </row>
    <row r="1580" customFormat="false" ht="13.5" hidden="false" customHeight="false" outlineLevel="0" collapsed="false">
      <c r="A1580" s="1" t="str">
        <f aca="false">IF(对接源_02物料!$C380="","",对接源_02物料!$C380)</f>
        <v/>
      </c>
      <c r="B1580" s="1" t="n">
        <f aca="false">IF(A1580="",0,IF(MATCH(A1580,$A$4:$A$2403,0)=ROW()-3,1,0))</f>
        <v>0</v>
      </c>
      <c r="C1580" s="1" t="n">
        <f aca="false">N(C1579)+B1580</f>
        <v>17</v>
      </c>
      <c r="K1580" s="1" t="n">
        <f aca="false">IF(OR($K$1="",对接源_02物料!$C380="",对接源_02物料!$C380&lt;&gt;$K$1,对接源_02物料!$B380=""),0,IF(OR(N(对接源_02物料!$B380)&lt;$K$2,N(对接源_02物料!$B380)&gt;$K$3),0,1))</f>
        <v>0</v>
      </c>
      <c r="L1580" s="1" t="n">
        <f aca="false">IF(OR($L$1="",对接源_02物料!$C380="",对接源_02物料!$C380&lt;&gt;$L$1,对接源_02物料!$B380=""),0,IF(OR(N(对接源_02物料!$B380)&lt;$L$2,N(对接源_02物料!$B380)&gt;$L$3),0,1))</f>
        <v>0</v>
      </c>
      <c r="M1580" s="1" t="n">
        <f aca="false">IF(OR($M$1="",对接源_02物料!$C380="",对接源_02物料!$C380&lt;&gt;$M$1,对接源_02物料!$B380=""),0,IF(OR(N(对接源_02物料!$B380)&lt;$M$2,N(对接源_02物料!$B380)&gt;$M$3),0,1))</f>
        <v>0</v>
      </c>
      <c r="N1580" s="1" t="n">
        <f aca="false">IF(OR($N$1="",对接源_02物料!$C380="",对接源_02物料!$C380&lt;&gt;$N$1,对接源_02物料!$B380=""),0,IF(OR(N(对接源_02物料!$B380)&lt;$N$2,N(对接源_02物料!$B380)&gt;$N$3),0,1))</f>
        <v>0</v>
      </c>
      <c r="P1580" s="1" t="n">
        <f aca="false">IF(AND($K1580=1,AND(对接源_02物料!$X380="公司筐",N(对接源_02物料!$T380)&lt;&gt;0)),1,0)</f>
        <v>0</v>
      </c>
      <c r="Q1580" s="1" t="n">
        <f aca="false">N(Q1579)+$P1580</f>
        <v>13</v>
      </c>
      <c r="R1580" s="1" t="n">
        <f aca="false">IF(AND($K1580=1,AND(对接源_02物料!$X380="公司筐",N(对接源_02物料!$U380)&lt;&gt;0)),1,0)</f>
        <v>0</v>
      </c>
      <c r="S1580" s="1" t="n">
        <f aca="false">N(S1579)+$R1580</f>
        <v>5</v>
      </c>
      <c r="T1580" s="1" t="n">
        <f aca="false">IF(AND($K1580=1,AND(对接源_02物料!$X380="公司筐",N(对接源_02物料!$V380)&lt;&gt;0)),1,0)</f>
        <v>0</v>
      </c>
      <c r="U1580" s="1" t="n">
        <f aca="false">N(U1579)+$T1580</f>
        <v>28</v>
      </c>
      <c r="V1580" s="1" t="n">
        <f aca="false">IF(AND($L1580=1,AND(对接源_02物料!$X380="自备筐",N(对接源_02物料!$V380)&lt;&gt;0)),1,0)</f>
        <v>0</v>
      </c>
      <c r="W1580" s="1" t="n">
        <f aca="false">N(W1579)+$V1580</f>
        <v>7</v>
      </c>
      <c r="X1580" s="1" t="n">
        <f aca="false">IF(AND($L1580=1,AND(对接源_02物料!$X380="自备筐",N(对接源_02物料!$T380)&lt;&gt;0)),1,0)</f>
        <v>0</v>
      </c>
      <c r="Y1580" s="1" t="n">
        <f aca="false">N(Y1579)+$X1580</f>
        <v>0</v>
      </c>
      <c r="Z1580" s="1" t="n">
        <f aca="false">IF(AND($M1580=1,对接源_02物料!$D380="原料入库"),1,0)</f>
        <v>0</v>
      </c>
      <c r="AA1580" s="1" t="n">
        <f aca="false">N(AA1579)+$Z1580</f>
        <v>30</v>
      </c>
      <c r="AB1580" s="1" t="n">
        <f aca="false">IF(AND($M1580=1,LEFT(对接源_02物料!$D380,4)="原料出库"),1,0)</f>
        <v>0</v>
      </c>
      <c r="AC1580" s="1" t="n">
        <f aca="false">N(AC1579)+$AB1580</f>
        <v>19</v>
      </c>
      <c r="AD1580" s="1" t="n">
        <f aca="false">IF(AND($M1580=1,LEFT(对接源_02物料!$D380,4)="成品出库"),1,0)</f>
        <v>0</v>
      </c>
      <c r="AE1580" s="1" t="n">
        <f aca="false">N(AE1579)+$AD1580</f>
        <v>38</v>
      </c>
      <c r="AF1580" s="1" t="n">
        <f aca="false">IF(AND($N1580=1,AND(LEFT(对接源_02物料!$D380,4)="包装物料",N(对接源_02物料!$K380)&lt;&gt;0)),1,0)</f>
        <v>0</v>
      </c>
      <c r="AG1580" s="1" t="n">
        <f aca="false">N(AG1579)+$AF1580</f>
        <v>6</v>
      </c>
      <c r="AH1580" s="1" t="n">
        <f aca="false">IF(AND($N1580=1,AND(LEFT(对接源_02物料!$D380,3)="周转筐",N(对接源_02物料!$K380)&lt;&gt;0)),1,0)</f>
        <v>0</v>
      </c>
      <c r="AI1580" s="1" t="n">
        <f aca="false">N(AI1579)+$AH1580</f>
        <v>0</v>
      </c>
      <c r="AJ1580" s="1" t="n">
        <v>0</v>
      </c>
      <c r="AK1580" s="1" t="n">
        <f aca="false">N(AK1579)+$AJ1580</f>
        <v>3672</v>
      </c>
    </row>
    <row r="1581" customFormat="false" ht="13.5" hidden="false" customHeight="false" outlineLevel="0" collapsed="false">
      <c r="A1581" s="1" t="str">
        <f aca="false">IF(对接源_02物料!$C381="","",对接源_02物料!$C381)</f>
        <v/>
      </c>
      <c r="B1581" s="1" t="n">
        <f aca="false">IF(A1581="",0,IF(MATCH(A1581,$A$4:$A$2403,0)=ROW()-3,1,0))</f>
        <v>0</v>
      </c>
      <c r="C1581" s="1" t="n">
        <f aca="false">N(C1580)+B1581</f>
        <v>17</v>
      </c>
      <c r="K1581" s="1" t="n">
        <f aca="false">IF(OR($K$1="",对接源_02物料!$C381="",对接源_02物料!$C381&lt;&gt;$K$1,对接源_02物料!$B381=""),0,IF(OR(N(对接源_02物料!$B381)&lt;$K$2,N(对接源_02物料!$B381)&gt;$K$3),0,1))</f>
        <v>0</v>
      </c>
      <c r="L1581" s="1" t="n">
        <f aca="false">IF(OR($L$1="",对接源_02物料!$C381="",对接源_02物料!$C381&lt;&gt;$L$1,对接源_02物料!$B381=""),0,IF(OR(N(对接源_02物料!$B381)&lt;$L$2,N(对接源_02物料!$B381)&gt;$L$3),0,1))</f>
        <v>0</v>
      </c>
      <c r="M1581" s="1" t="n">
        <f aca="false">IF(OR($M$1="",对接源_02物料!$C381="",对接源_02物料!$C381&lt;&gt;$M$1,对接源_02物料!$B381=""),0,IF(OR(N(对接源_02物料!$B381)&lt;$M$2,N(对接源_02物料!$B381)&gt;$M$3),0,1))</f>
        <v>0</v>
      </c>
      <c r="N1581" s="1" t="n">
        <f aca="false">IF(OR($N$1="",对接源_02物料!$C381="",对接源_02物料!$C381&lt;&gt;$N$1,对接源_02物料!$B381=""),0,IF(OR(N(对接源_02物料!$B381)&lt;$N$2,N(对接源_02物料!$B381)&gt;$N$3),0,1))</f>
        <v>0</v>
      </c>
      <c r="P1581" s="1" t="n">
        <f aca="false">IF(AND($K1581=1,AND(对接源_02物料!$X381="公司筐",N(对接源_02物料!$T381)&lt;&gt;0)),1,0)</f>
        <v>0</v>
      </c>
      <c r="Q1581" s="1" t="n">
        <f aca="false">N(Q1580)+$P1581</f>
        <v>13</v>
      </c>
      <c r="R1581" s="1" t="n">
        <f aca="false">IF(AND($K1581=1,AND(对接源_02物料!$X381="公司筐",N(对接源_02物料!$U381)&lt;&gt;0)),1,0)</f>
        <v>0</v>
      </c>
      <c r="S1581" s="1" t="n">
        <f aca="false">N(S1580)+$R1581</f>
        <v>5</v>
      </c>
      <c r="T1581" s="1" t="n">
        <f aca="false">IF(AND($K1581=1,AND(对接源_02物料!$X381="公司筐",N(对接源_02物料!$V381)&lt;&gt;0)),1,0)</f>
        <v>0</v>
      </c>
      <c r="U1581" s="1" t="n">
        <f aca="false">N(U1580)+$T1581</f>
        <v>28</v>
      </c>
      <c r="V1581" s="1" t="n">
        <f aca="false">IF(AND($L1581=1,AND(对接源_02物料!$X381="自备筐",N(对接源_02物料!$V381)&lt;&gt;0)),1,0)</f>
        <v>0</v>
      </c>
      <c r="W1581" s="1" t="n">
        <f aca="false">N(W1580)+$V1581</f>
        <v>7</v>
      </c>
      <c r="X1581" s="1" t="n">
        <f aca="false">IF(AND($L1581=1,AND(对接源_02物料!$X381="自备筐",N(对接源_02物料!$T381)&lt;&gt;0)),1,0)</f>
        <v>0</v>
      </c>
      <c r="Y1581" s="1" t="n">
        <f aca="false">N(Y1580)+$X1581</f>
        <v>0</v>
      </c>
      <c r="Z1581" s="1" t="n">
        <f aca="false">IF(AND($M1581=1,对接源_02物料!$D381="原料入库"),1,0)</f>
        <v>0</v>
      </c>
      <c r="AA1581" s="1" t="n">
        <f aca="false">N(AA1580)+$Z1581</f>
        <v>30</v>
      </c>
      <c r="AB1581" s="1" t="n">
        <f aca="false">IF(AND($M1581=1,LEFT(对接源_02物料!$D381,4)="原料出库"),1,0)</f>
        <v>0</v>
      </c>
      <c r="AC1581" s="1" t="n">
        <f aca="false">N(AC1580)+$AB1581</f>
        <v>19</v>
      </c>
      <c r="AD1581" s="1" t="n">
        <f aca="false">IF(AND($M1581=1,LEFT(对接源_02物料!$D381,4)="成品出库"),1,0)</f>
        <v>0</v>
      </c>
      <c r="AE1581" s="1" t="n">
        <f aca="false">N(AE1580)+$AD1581</f>
        <v>38</v>
      </c>
      <c r="AF1581" s="1" t="n">
        <f aca="false">IF(AND($N1581=1,AND(LEFT(对接源_02物料!$D381,4)="包装物料",N(对接源_02物料!$K381)&lt;&gt;0)),1,0)</f>
        <v>0</v>
      </c>
      <c r="AG1581" s="1" t="n">
        <f aca="false">N(AG1580)+$AF1581</f>
        <v>6</v>
      </c>
      <c r="AH1581" s="1" t="n">
        <f aca="false">IF(AND($N1581=1,AND(LEFT(对接源_02物料!$D381,3)="周转筐",N(对接源_02物料!$K381)&lt;&gt;0)),1,0)</f>
        <v>0</v>
      </c>
      <c r="AI1581" s="1" t="n">
        <f aca="false">N(AI1580)+$AH1581</f>
        <v>0</v>
      </c>
      <c r="AJ1581" s="1" t="n">
        <v>0</v>
      </c>
      <c r="AK1581" s="1" t="n">
        <f aca="false">N(AK1580)+$AJ1581</f>
        <v>3672</v>
      </c>
    </row>
    <row r="1582" customFormat="false" ht="13.5" hidden="false" customHeight="false" outlineLevel="0" collapsed="false">
      <c r="A1582" s="1" t="str">
        <f aca="false">IF(对接源_02物料!$C382="","",对接源_02物料!$C382)</f>
        <v/>
      </c>
      <c r="B1582" s="1" t="n">
        <f aca="false">IF(A1582="",0,IF(MATCH(A1582,$A$4:$A$2403,0)=ROW()-3,1,0))</f>
        <v>0</v>
      </c>
      <c r="C1582" s="1" t="n">
        <f aca="false">N(C1581)+B1582</f>
        <v>17</v>
      </c>
      <c r="K1582" s="1" t="n">
        <f aca="false">IF(OR($K$1="",对接源_02物料!$C382="",对接源_02物料!$C382&lt;&gt;$K$1,对接源_02物料!$B382=""),0,IF(OR(N(对接源_02物料!$B382)&lt;$K$2,N(对接源_02物料!$B382)&gt;$K$3),0,1))</f>
        <v>0</v>
      </c>
      <c r="L1582" s="1" t="n">
        <f aca="false">IF(OR($L$1="",对接源_02物料!$C382="",对接源_02物料!$C382&lt;&gt;$L$1,对接源_02物料!$B382=""),0,IF(OR(N(对接源_02物料!$B382)&lt;$L$2,N(对接源_02物料!$B382)&gt;$L$3),0,1))</f>
        <v>0</v>
      </c>
      <c r="M1582" s="1" t="n">
        <f aca="false">IF(OR($M$1="",对接源_02物料!$C382="",对接源_02物料!$C382&lt;&gt;$M$1,对接源_02物料!$B382=""),0,IF(OR(N(对接源_02物料!$B382)&lt;$M$2,N(对接源_02物料!$B382)&gt;$M$3),0,1))</f>
        <v>0</v>
      </c>
      <c r="N1582" s="1" t="n">
        <f aca="false">IF(OR($N$1="",对接源_02物料!$C382="",对接源_02物料!$C382&lt;&gt;$N$1,对接源_02物料!$B382=""),0,IF(OR(N(对接源_02物料!$B382)&lt;$N$2,N(对接源_02物料!$B382)&gt;$N$3),0,1))</f>
        <v>0</v>
      </c>
      <c r="P1582" s="1" t="n">
        <f aca="false">IF(AND($K1582=1,AND(对接源_02物料!$X382="公司筐",N(对接源_02物料!$T382)&lt;&gt;0)),1,0)</f>
        <v>0</v>
      </c>
      <c r="Q1582" s="1" t="n">
        <f aca="false">N(Q1581)+$P1582</f>
        <v>13</v>
      </c>
      <c r="R1582" s="1" t="n">
        <f aca="false">IF(AND($K1582=1,AND(对接源_02物料!$X382="公司筐",N(对接源_02物料!$U382)&lt;&gt;0)),1,0)</f>
        <v>0</v>
      </c>
      <c r="S1582" s="1" t="n">
        <f aca="false">N(S1581)+$R1582</f>
        <v>5</v>
      </c>
      <c r="T1582" s="1" t="n">
        <f aca="false">IF(AND($K1582=1,AND(对接源_02物料!$X382="公司筐",N(对接源_02物料!$V382)&lt;&gt;0)),1,0)</f>
        <v>0</v>
      </c>
      <c r="U1582" s="1" t="n">
        <f aca="false">N(U1581)+$T1582</f>
        <v>28</v>
      </c>
      <c r="V1582" s="1" t="n">
        <f aca="false">IF(AND($L1582=1,AND(对接源_02物料!$X382="自备筐",N(对接源_02物料!$V382)&lt;&gt;0)),1,0)</f>
        <v>0</v>
      </c>
      <c r="W1582" s="1" t="n">
        <f aca="false">N(W1581)+$V1582</f>
        <v>7</v>
      </c>
      <c r="X1582" s="1" t="n">
        <f aca="false">IF(AND($L1582=1,AND(对接源_02物料!$X382="自备筐",N(对接源_02物料!$T382)&lt;&gt;0)),1,0)</f>
        <v>0</v>
      </c>
      <c r="Y1582" s="1" t="n">
        <f aca="false">N(Y1581)+$X1582</f>
        <v>0</v>
      </c>
      <c r="Z1582" s="1" t="n">
        <f aca="false">IF(AND($M1582=1,对接源_02物料!$D382="原料入库"),1,0)</f>
        <v>0</v>
      </c>
      <c r="AA1582" s="1" t="n">
        <f aca="false">N(AA1581)+$Z1582</f>
        <v>30</v>
      </c>
      <c r="AB1582" s="1" t="n">
        <f aca="false">IF(AND($M1582=1,LEFT(对接源_02物料!$D382,4)="原料出库"),1,0)</f>
        <v>0</v>
      </c>
      <c r="AC1582" s="1" t="n">
        <f aca="false">N(AC1581)+$AB1582</f>
        <v>19</v>
      </c>
      <c r="AD1582" s="1" t="n">
        <f aca="false">IF(AND($M1582=1,LEFT(对接源_02物料!$D382,4)="成品出库"),1,0)</f>
        <v>0</v>
      </c>
      <c r="AE1582" s="1" t="n">
        <f aca="false">N(AE1581)+$AD1582</f>
        <v>38</v>
      </c>
      <c r="AF1582" s="1" t="n">
        <f aca="false">IF(AND($N1582=1,AND(LEFT(对接源_02物料!$D382,4)="包装物料",N(对接源_02物料!$K382)&lt;&gt;0)),1,0)</f>
        <v>0</v>
      </c>
      <c r="AG1582" s="1" t="n">
        <f aca="false">N(AG1581)+$AF1582</f>
        <v>6</v>
      </c>
      <c r="AH1582" s="1" t="n">
        <f aca="false">IF(AND($N1582=1,AND(LEFT(对接源_02物料!$D382,3)="周转筐",N(对接源_02物料!$K382)&lt;&gt;0)),1,0)</f>
        <v>0</v>
      </c>
      <c r="AI1582" s="1" t="n">
        <f aca="false">N(AI1581)+$AH1582</f>
        <v>0</v>
      </c>
      <c r="AJ1582" s="1" t="n">
        <v>0</v>
      </c>
      <c r="AK1582" s="1" t="n">
        <f aca="false">N(AK1581)+$AJ1582</f>
        <v>3672</v>
      </c>
    </row>
    <row r="1583" customFormat="false" ht="13.5" hidden="false" customHeight="false" outlineLevel="0" collapsed="false">
      <c r="A1583" s="1" t="str">
        <f aca="false">IF(对接源_02物料!$C383="","",对接源_02物料!$C383)</f>
        <v/>
      </c>
      <c r="B1583" s="1" t="n">
        <f aca="false">IF(A1583="",0,IF(MATCH(A1583,$A$4:$A$2403,0)=ROW()-3,1,0))</f>
        <v>0</v>
      </c>
      <c r="C1583" s="1" t="n">
        <f aca="false">N(C1582)+B1583</f>
        <v>17</v>
      </c>
      <c r="K1583" s="1" t="n">
        <f aca="false">IF(OR($K$1="",对接源_02物料!$C383="",对接源_02物料!$C383&lt;&gt;$K$1,对接源_02物料!$B383=""),0,IF(OR(N(对接源_02物料!$B383)&lt;$K$2,N(对接源_02物料!$B383)&gt;$K$3),0,1))</f>
        <v>0</v>
      </c>
      <c r="L1583" s="1" t="n">
        <f aca="false">IF(OR($L$1="",对接源_02物料!$C383="",对接源_02物料!$C383&lt;&gt;$L$1,对接源_02物料!$B383=""),0,IF(OR(N(对接源_02物料!$B383)&lt;$L$2,N(对接源_02物料!$B383)&gt;$L$3),0,1))</f>
        <v>0</v>
      </c>
      <c r="M1583" s="1" t="n">
        <f aca="false">IF(OR($M$1="",对接源_02物料!$C383="",对接源_02物料!$C383&lt;&gt;$M$1,对接源_02物料!$B383=""),0,IF(OR(N(对接源_02物料!$B383)&lt;$M$2,N(对接源_02物料!$B383)&gt;$M$3),0,1))</f>
        <v>0</v>
      </c>
      <c r="N1583" s="1" t="n">
        <f aca="false">IF(OR($N$1="",对接源_02物料!$C383="",对接源_02物料!$C383&lt;&gt;$N$1,对接源_02物料!$B383=""),0,IF(OR(N(对接源_02物料!$B383)&lt;$N$2,N(对接源_02物料!$B383)&gt;$N$3),0,1))</f>
        <v>0</v>
      </c>
      <c r="P1583" s="1" t="n">
        <f aca="false">IF(AND($K1583=1,AND(对接源_02物料!$X383="公司筐",N(对接源_02物料!$T383)&lt;&gt;0)),1,0)</f>
        <v>0</v>
      </c>
      <c r="Q1583" s="1" t="n">
        <f aca="false">N(Q1582)+$P1583</f>
        <v>13</v>
      </c>
      <c r="R1583" s="1" t="n">
        <f aca="false">IF(AND($K1583=1,AND(对接源_02物料!$X383="公司筐",N(对接源_02物料!$U383)&lt;&gt;0)),1,0)</f>
        <v>0</v>
      </c>
      <c r="S1583" s="1" t="n">
        <f aca="false">N(S1582)+$R1583</f>
        <v>5</v>
      </c>
      <c r="T1583" s="1" t="n">
        <f aca="false">IF(AND($K1583=1,AND(对接源_02物料!$X383="公司筐",N(对接源_02物料!$V383)&lt;&gt;0)),1,0)</f>
        <v>0</v>
      </c>
      <c r="U1583" s="1" t="n">
        <f aca="false">N(U1582)+$T1583</f>
        <v>28</v>
      </c>
      <c r="V1583" s="1" t="n">
        <f aca="false">IF(AND($L1583=1,AND(对接源_02物料!$X383="自备筐",N(对接源_02物料!$V383)&lt;&gt;0)),1,0)</f>
        <v>0</v>
      </c>
      <c r="W1583" s="1" t="n">
        <f aca="false">N(W1582)+$V1583</f>
        <v>7</v>
      </c>
      <c r="X1583" s="1" t="n">
        <f aca="false">IF(AND($L1583=1,AND(对接源_02物料!$X383="自备筐",N(对接源_02物料!$T383)&lt;&gt;0)),1,0)</f>
        <v>0</v>
      </c>
      <c r="Y1583" s="1" t="n">
        <f aca="false">N(Y1582)+$X1583</f>
        <v>0</v>
      </c>
      <c r="Z1583" s="1" t="n">
        <f aca="false">IF(AND($M1583=1,对接源_02物料!$D383="原料入库"),1,0)</f>
        <v>0</v>
      </c>
      <c r="AA1583" s="1" t="n">
        <f aca="false">N(AA1582)+$Z1583</f>
        <v>30</v>
      </c>
      <c r="AB1583" s="1" t="n">
        <f aca="false">IF(AND($M1583=1,LEFT(对接源_02物料!$D383,4)="原料出库"),1,0)</f>
        <v>0</v>
      </c>
      <c r="AC1583" s="1" t="n">
        <f aca="false">N(AC1582)+$AB1583</f>
        <v>19</v>
      </c>
      <c r="AD1583" s="1" t="n">
        <f aca="false">IF(AND($M1583=1,LEFT(对接源_02物料!$D383,4)="成品出库"),1,0)</f>
        <v>0</v>
      </c>
      <c r="AE1583" s="1" t="n">
        <f aca="false">N(AE1582)+$AD1583</f>
        <v>38</v>
      </c>
      <c r="AF1583" s="1" t="n">
        <f aca="false">IF(AND($N1583=1,AND(LEFT(对接源_02物料!$D383,4)="包装物料",N(对接源_02物料!$K383)&lt;&gt;0)),1,0)</f>
        <v>0</v>
      </c>
      <c r="AG1583" s="1" t="n">
        <f aca="false">N(AG1582)+$AF1583</f>
        <v>6</v>
      </c>
      <c r="AH1583" s="1" t="n">
        <f aca="false">IF(AND($N1583=1,AND(LEFT(对接源_02物料!$D383,3)="周转筐",N(对接源_02物料!$K383)&lt;&gt;0)),1,0)</f>
        <v>0</v>
      </c>
      <c r="AI1583" s="1" t="n">
        <f aca="false">N(AI1582)+$AH1583</f>
        <v>0</v>
      </c>
      <c r="AJ1583" s="1" t="n">
        <v>0</v>
      </c>
      <c r="AK1583" s="1" t="n">
        <f aca="false">N(AK1582)+$AJ1583</f>
        <v>3672</v>
      </c>
    </row>
    <row r="1584" customFormat="false" ht="13.5" hidden="false" customHeight="false" outlineLevel="0" collapsed="false">
      <c r="A1584" s="1" t="str">
        <f aca="false">IF(对接源_02物料!$C384="","",对接源_02物料!$C384)</f>
        <v/>
      </c>
      <c r="B1584" s="1" t="n">
        <f aca="false">IF(A1584="",0,IF(MATCH(A1584,$A$4:$A$2403,0)=ROW()-3,1,0))</f>
        <v>0</v>
      </c>
      <c r="C1584" s="1" t="n">
        <f aca="false">N(C1583)+B1584</f>
        <v>17</v>
      </c>
      <c r="K1584" s="1" t="n">
        <f aca="false">IF(OR($K$1="",对接源_02物料!$C384="",对接源_02物料!$C384&lt;&gt;$K$1,对接源_02物料!$B384=""),0,IF(OR(N(对接源_02物料!$B384)&lt;$K$2,N(对接源_02物料!$B384)&gt;$K$3),0,1))</f>
        <v>0</v>
      </c>
      <c r="L1584" s="1" t="n">
        <f aca="false">IF(OR($L$1="",对接源_02物料!$C384="",对接源_02物料!$C384&lt;&gt;$L$1,对接源_02物料!$B384=""),0,IF(OR(N(对接源_02物料!$B384)&lt;$L$2,N(对接源_02物料!$B384)&gt;$L$3),0,1))</f>
        <v>0</v>
      </c>
      <c r="M1584" s="1" t="n">
        <f aca="false">IF(OR($M$1="",对接源_02物料!$C384="",对接源_02物料!$C384&lt;&gt;$M$1,对接源_02物料!$B384=""),0,IF(OR(N(对接源_02物料!$B384)&lt;$M$2,N(对接源_02物料!$B384)&gt;$M$3),0,1))</f>
        <v>0</v>
      </c>
      <c r="N1584" s="1" t="n">
        <f aca="false">IF(OR($N$1="",对接源_02物料!$C384="",对接源_02物料!$C384&lt;&gt;$N$1,对接源_02物料!$B384=""),0,IF(OR(N(对接源_02物料!$B384)&lt;$N$2,N(对接源_02物料!$B384)&gt;$N$3),0,1))</f>
        <v>0</v>
      </c>
      <c r="P1584" s="1" t="n">
        <f aca="false">IF(AND($K1584=1,AND(对接源_02物料!$X384="公司筐",N(对接源_02物料!$T384)&lt;&gt;0)),1,0)</f>
        <v>0</v>
      </c>
      <c r="Q1584" s="1" t="n">
        <f aca="false">N(Q1583)+$P1584</f>
        <v>13</v>
      </c>
      <c r="R1584" s="1" t="n">
        <f aca="false">IF(AND($K1584=1,AND(对接源_02物料!$X384="公司筐",N(对接源_02物料!$U384)&lt;&gt;0)),1,0)</f>
        <v>0</v>
      </c>
      <c r="S1584" s="1" t="n">
        <f aca="false">N(S1583)+$R1584</f>
        <v>5</v>
      </c>
      <c r="T1584" s="1" t="n">
        <f aca="false">IF(AND($K1584=1,AND(对接源_02物料!$X384="公司筐",N(对接源_02物料!$V384)&lt;&gt;0)),1,0)</f>
        <v>0</v>
      </c>
      <c r="U1584" s="1" t="n">
        <f aca="false">N(U1583)+$T1584</f>
        <v>28</v>
      </c>
      <c r="V1584" s="1" t="n">
        <f aca="false">IF(AND($L1584=1,AND(对接源_02物料!$X384="自备筐",N(对接源_02物料!$V384)&lt;&gt;0)),1,0)</f>
        <v>0</v>
      </c>
      <c r="W1584" s="1" t="n">
        <f aca="false">N(W1583)+$V1584</f>
        <v>7</v>
      </c>
      <c r="X1584" s="1" t="n">
        <f aca="false">IF(AND($L1584=1,AND(对接源_02物料!$X384="自备筐",N(对接源_02物料!$T384)&lt;&gt;0)),1,0)</f>
        <v>0</v>
      </c>
      <c r="Y1584" s="1" t="n">
        <f aca="false">N(Y1583)+$X1584</f>
        <v>0</v>
      </c>
      <c r="Z1584" s="1" t="n">
        <f aca="false">IF(AND($M1584=1,对接源_02物料!$D384="原料入库"),1,0)</f>
        <v>0</v>
      </c>
      <c r="AA1584" s="1" t="n">
        <f aca="false">N(AA1583)+$Z1584</f>
        <v>30</v>
      </c>
      <c r="AB1584" s="1" t="n">
        <f aca="false">IF(AND($M1584=1,LEFT(对接源_02物料!$D384,4)="原料出库"),1,0)</f>
        <v>0</v>
      </c>
      <c r="AC1584" s="1" t="n">
        <f aca="false">N(AC1583)+$AB1584</f>
        <v>19</v>
      </c>
      <c r="AD1584" s="1" t="n">
        <f aca="false">IF(AND($M1584=1,LEFT(对接源_02物料!$D384,4)="成品出库"),1,0)</f>
        <v>0</v>
      </c>
      <c r="AE1584" s="1" t="n">
        <f aca="false">N(AE1583)+$AD1584</f>
        <v>38</v>
      </c>
      <c r="AF1584" s="1" t="n">
        <f aca="false">IF(AND($N1584=1,AND(LEFT(对接源_02物料!$D384,4)="包装物料",N(对接源_02物料!$K384)&lt;&gt;0)),1,0)</f>
        <v>0</v>
      </c>
      <c r="AG1584" s="1" t="n">
        <f aca="false">N(AG1583)+$AF1584</f>
        <v>6</v>
      </c>
      <c r="AH1584" s="1" t="n">
        <f aca="false">IF(AND($N1584=1,AND(LEFT(对接源_02物料!$D384,3)="周转筐",N(对接源_02物料!$K384)&lt;&gt;0)),1,0)</f>
        <v>0</v>
      </c>
      <c r="AI1584" s="1" t="n">
        <f aca="false">N(AI1583)+$AH1584</f>
        <v>0</v>
      </c>
      <c r="AJ1584" s="1" t="n">
        <v>0</v>
      </c>
      <c r="AK1584" s="1" t="n">
        <f aca="false">N(AK1583)+$AJ1584</f>
        <v>3672</v>
      </c>
    </row>
    <row r="1585" customFormat="false" ht="13.5" hidden="false" customHeight="false" outlineLevel="0" collapsed="false">
      <c r="A1585" s="1" t="str">
        <f aca="false">IF(对接源_02物料!$C385="","",对接源_02物料!$C385)</f>
        <v/>
      </c>
      <c r="B1585" s="1" t="n">
        <f aca="false">IF(A1585="",0,IF(MATCH(A1585,$A$4:$A$2403,0)=ROW()-3,1,0))</f>
        <v>0</v>
      </c>
      <c r="C1585" s="1" t="n">
        <f aca="false">N(C1584)+B1585</f>
        <v>17</v>
      </c>
      <c r="K1585" s="1" t="n">
        <f aca="false">IF(OR($K$1="",对接源_02物料!$C385="",对接源_02物料!$C385&lt;&gt;$K$1,对接源_02物料!$B385=""),0,IF(OR(N(对接源_02物料!$B385)&lt;$K$2,N(对接源_02物料!$B385)&gt;$K$3),0,1))</f>
        <v>0</v>
      </c>
      <c r="L1585" s="1" t="n">
        <f aca="false">IF(OR($L$1="",对接源_02物料!$C385="",对接源_02物料!$C385&lt;&gt;$L$1,对接源_02物料!$B385=""),0,IF(OR(N(对接源_02物料!$B385)&lt;$L$2,N(对接源_02物料!$B385)&gt;$L$3),0,1))</f>
        <v>0</v>
      </c>
      <c r="M1585" s="1" t="n">
        <f aca="false">IF(OR($M$1="",对接源_02物料!$C385="",对接源_02物料!$C385&lt;&gt;$M$1,对接源_02物料!$B385=""),0,IF(OR(N(对接源_02物料!$B385)&lt;$M$2,N(对接源_02物料!$B385)&gt;$M$3),0,1))</f>
        <v>0</v>
      </c>
      <c r="N1585" s="1" t="n">
        <f aca="false">IF(OR($N$1="",对接源_02物料!$C385="",对接源_02物料!$C385&lt;&gt;$N$1,对接源_02物料!$B385=""),0,IF(OR(N(对接源_02物料!$B385)&lt;$N$2,N(对接源_02物料!$B385)&gt;$N$3),0,1))</f>
        <v>0</v>
      </c>
      <c r="P1585" s="1" t="n">
        <f aca="false">IF(AND($K1585=1,AND(对接源_02物料!$X385="公司筐",N(对接源_02物料!$T385)&lt;&gt;0)),1,0)</f>
        <v>0</v>
      </c>
      <c r="Q1585" s="1" t="n">
        <f aca="false">N(Q1584)+$P1585</f>
        <v>13</v>
      </c>
      <c r="R1585" s="1" t="n">
        <f aca="false">IF(AND($K1585=1,AND(对接源_02物料!$X385="公司筐",N(对接源_02物料!$U385)&lt;&gt;0)),1,0)</f>
        <v>0</v>
      </c>
      <c r="S1585" s="1" t="n">
        <f aca="false">N(S1584)+$R1585</f>
        <v>5</v>
      </c>
      <c r="T1585" s="1" t="n">
        <f aca="false">IF(AND($K1585=1,AND(对接源_02物料!$X385="公司筐",N(对接源_02物料!$V385)&lt;&gt;0)),1,0)</f>
        <v>0</v>
      </c>
      <c r="U1585" s="1" t="n">
        <f aca="false">N(U1584)+$T1585</f>
        <v>28</v>
      </c>
      <c r="V1585" s="1" t="n">
        <f aca="false">IF(AND($L1585=1,AND(对接源_02物料!$X385="自备筐",N(对接源_02物料!$V385)&lt;&gt;0)),1,0)</f>
        <v>0</v>
      </c>
      <c r="W1585" s="1" t="n">
        <f aca="false">N(W1584)+$V1585</f>
        <v>7</v>
      </c>
      <c r="X1585" s="1" t="n">
        <f aca="false">IF(AND($L1585=1,AND(对接源_02物料!$X385="自备筐",N(对接源_02物料!$T385)&lt;&gt;0)),1,0)</f>
        <v>0</v>
      </c>
      <c r="Y1585" s="1" t="n">
        <f aca="false">N(Y1584)+$X1585</f>
        <v>0</v>
      </c>
      <c r="Z1585" s="1" t="n">
        <f aca="false">IF(AND($M1585=1,对接源_02物料!$D385="原料入库"),1,0)</f>
        <v>0</v>
      </c>
      <c r="AA1585" s="1" t="n">
        <f aca="false">N(AA1584)+$Z1585</f>
        <v>30</v>
      </c>
      <c r="AB1585" s="1" t="n">
        <f aca="false">IF(AND($M1585=1,LEFT(对接源_02物料!$D385,4)="原料出库"),1,0)</f>
        <v>0</v>
      </c>
      <c r="AC1585" s="1" t="n">
        <f aca="false">N(AC1584)+$AB1585</f>
        <v>19</v>
      </c>
      <c r="AD1585" s="1" t="n">
        <f aca="false">IF(AND($M1585=1,LEFT(对接源_02物料!$D385,4)="成品出库"),1,0)</f>
        <v>0</v>
      </c>
      <c r="AE1585" s="1" t="n">
        <f aca="false">N(AE1584)+$AD1585</f>
        <v>38</v>
      </c>
      <c r="AF1585" s="1" t="n">
        <f aca="false">IF(AND($N1585=1,AND(LEFT(对接源_02物料!$D385,4)="包装物料",N(对接源_02物料!$K385)&lt;&gt;0)),1,0)</f>
        <v>0</v>
      </c>
      <c r="AG1585" s="1" t="n">
        <f aca="false">N(AG1584)+$AF1585</f>
        <v>6</v>
      </c>
      <c r="AH1585" s="1" t="n">
        <f aca="false">IF(AND($N1585=1,AND(LEFT(对接源_02物料!$D385,3)="周转筐",N(对接源_02物料!$K385)&lt;&gt;0)),1,0)</f>
        <v>0</v>
      </c>
      <c r="AI1585" s="1" t="n">
        <f aca="false">N(AI1584)+$AH1585</f>
        <v>0</v>
      </c>
      <c r="AJ1585" s="1" t="n">
        <v>0</v>
      </c>
      <c r="AK1585" s="1" t="n">
        <f aca="false">N(AK1584)+$AJ1585</f>
        <v>3672</v>
      </c>
    </row>
    <row r="1586" customFormat="false" ht="13.5" hidden="false" customHeight="false" outlineLevel="0" collapsed="false">
      <c r="A1586" s="1" t="str">
        <f aca="false">IF(对接源_02物料!$C386="","",对接源_02物料!$C386)</f>
        <v/>
      </c>
      <c r="B1586" s="1" t="n">
        <f aca="false">IF(A1586="",0,IF(MATCH(A1586,$A$4:$A$2403,0)=ROW()-3,1,0))</f>
        <v>0</v>
      </c>
      <c r="C1586" s="1" t="n">
        <f aca="false">N(C1585)+B1586</f>
        <v>17</v>
      </c>
      <c r="K1586" s="1" t="n">
        <f aca="false">IF(OR($K$1="",对接源_02物料!$C386="",对接源_02物料!$C386&lt;&gt;$K$1,对接源_02物料!$B386=""),0,IF(OR(N(对接源_02物料!$B386)&lt;$K$2,N(对接源_02物料!$B386)&gt;$K$3),0,1))</f>
        <v>0</v>
      </c>
      <c r="L1586" s="1" t="n">
        <f aca="false">IF(OR($L$1="",对接源_02物料!$C386="",对接源_02物料!$C386&lt;&gt;$L$1,对接源_02物料!$B386=""),0,IF(OR(N(对接源_02物料!$B386)&lt;$L$2,N(对接源_02物料!$B386)&gt;$L$3),0,1))</f>
        <v>0</v>
      </c>
      <c r="M1586" s="1" t="n">
        <f aca="false">IF(OR($M$1="",对接源_02物料!$C386="",对接源_02物料!$C386&lt;&gt;$M$1,对接源_02物料!$B386=""),0,IF(OR(N(对接源_02物料!$B386)&lt;$M$2,N(对接源_02物料!$B386)&gt;$M$3),0,1))</f>
        <v>0</v>
      </c>
      <c r="N1586" s="1" t="n">
        <f aca="false">IF(OR($N$1="",对接源_02物料!$C386="",对接源_02物料!$C386&lt;&gt;$N$1,对接源_02物料!$B386=""),0,IF(OR(N(对接源_02物料!$B386)&lt;$N$2,N(对接源_02物料!$B386)&gt;$N$3),0,1))</f>
        <v>0</v>
      </c>
      <c r="P1586" s="1" t="n">
        <f aca="false">IF(AND($K1586=1,AND(对接源_02物料!$X386="公司筐",N(对接源_02物料!$T386)&lt;&gt;0)),1,0)</f>
        <v>0</v>
      </c>
      <c r="Q1586" s="1" t="n">
        <f aca="false">N(Q1585)+$P1586</f>
        <v>13</v>
      </c>
      <c r="R1586" s="1" t="n">
        <f aca="false">IF(AND($K1586=1,AND(对接源_02物料!$X386="公司筐",N(对接源_02物料!$U386)&lt;&gt;0)),1,0)</f>
        <v>0</v>
      </c>
      <c r="S1586" s="1" t="n">
        <f aca="false">N(S1585)+$R1586</f>
        <v>5</v>
      </c>
      <c r="T1586" s="1" t="n">
        <f aca="false">IF(AND($K1586=1,AND(对接源_02物料!$X386="公司筐",N(对接源_02物料!$V386)&lt;&gt;0)),1,0)</f>
        <v>0</v>
      </c>
      <c r="U1586" s="1" t="n">
        <f aca="false">N(U1585)+$T1586</f>
        <v>28</v>
      </c>
      <c r="V1586" s="1" t="n">
        <f aca="false">IF(AND($L1586=1,AND(对接源_02物料!$X386="自备筐",N(对接源_02物料!$V386)&lt;&gt;0)),1,0)</f>
        <v>0</v>
      </c>
      <c r="W1586" s="1" t="n">
        <f aca="false">N(W1585)+$V1586</f>
        <v>7</v>
      </c>
      <c r="X1586" s="1" t="n">
        <f aca="false">IF(AND($L1586=1,AND(对接源_02物料!$X386="自备筐",N(对接源_02物料!$T386)&lt;&gt;0)),1,0)</f>
        <v>0</v>
      </c>
      <c r="Y1586" s="1" t="n">
        <f aca="false">N(Y1585)+$X1586</f>
        <v>0</v>
      </c>
      <c r="Z1586" s="1" t="n">
        <f aca="false">IF(AND($M1586=1,对接源_02物料!$D386="原料入库"),1,0)</f>
        <v>0</v>
      </c>
      <c r="AA1586" s="1" t="n">
        <f aca="false">N(AA1585)+$Z1586</f>
        <v>30</v>
      </c>
      <c r="AB1586" s="1" t="n">
        <f aca="false">IF(AND($M1586=1,LEFT(对接源_02物料!$D386,4)="原料出库"),1,0)</f>
        <v>0</v>
      </c>
      <c r="AC1586" s="1" t="n">
        <f aca="false">N(AC1585)+$AB1586</f>
        <v>19</v>
      </c>
      <c r="AD1586" s="1" t="n">
        <f aca="false">IF(AND($M1586=1,LEFT(对接源_02物料!$D386,4)="成品出库"),1,0)</f>
        <v>0</v>
      </c>
      <c r="AE1586" s="1" t="n">
        <f aca="false">N(AE1585)+$AD1586</f>
        <v>38</v>
      </c>
      <c r="AF1586" s="1" t="n">
        <f aca="false">IF(AND($N1586=1,AND(LEFT(对接源_02物料!$D386,4)="包装物料",N(对接源_02物料!$K386)&lt;&gt;0)),1,0)</f>
        <v>0</v>
      </c>
      <c r="AG1586" s="1" t="n">
        <f aca="false">N(AG1585)+$AF1586</f>
        <v>6</v>
      </c>
      <c r="AH1586" s="1" t="n">
        <f aca="false">IF(AND($N1586=1,AND(LEFT(对接源_02物料!$D386,3)="周转筐",N(对接源_02物料!$K386)&lt;&gt;0)),1,0)</f>
        <v>0</v>
      </c>
      <c r="AI1586" s="1" t="n">
        <f aca="false">N(AI1585)+$AH1586</f>
        <v>0</v>
      </c>
      <c r="AJ1586" s="1" t="n">
        <v>0</v>
      </c>
      <c r="AK1586" s="1" t="n">
        <f aca="false">N(AK1585)+$AJ1586</f>
        <v>3672</v>
      </c>
    </row>
    <row r="1587" customFormat="false" ht="13.5" hidden="false" customHeight="false" outlineLevel="0" collapsed="false">
      <c r="A1587" s="1" t="str">
        <f aca="false">IF(对接源_02物料!$C387="","",对接源_02物料!$C387)</f>
        <v/>
      </c>
      <c r="B1587" s="1" t="n">
        <f aca="false">IF(A1587="",0,IF(MATCH(A1587,$A$4:$A$2403,0)=ROW()-3,1,0))</f>
        <v>0</v>
      </c>
      <c r="C1587" s="1" t="n">
        <f aca="false">N(C1586)+B1587</f>
        <v>17</v>
      </c>
      <c r="K1587" s="1" t="n">
        <f aca="false">IF(OR($K$1="",对接源_02物料!$C387="",对接源_02物料!$C387&lt;&gt;$K$1,对接源_02物料!$B387=""),0,IF(OR(N(对接源_02物料!$B387)&lt;$K$2,N(对接源_02物料!$B387)&gt;$K$3),0,1))</f>
        <v>0</v>
      </c>
      <c r="L1587" s="1" t="n">
        <f aca="false">IF(OR($L$1="",对接源_02物料!$C387="",对接源_02物料!$C387&lt;&gt;$L$1,对接源_02物料!$B387=""),0,IF(OR(N(对接源_02物料!$B387)&lt;$L$2,N(对接源_02物料!$B387)&gt;$L$3),0,1))</f>
        <v>0</v>
      </c>
      <c r="M1587" s="1" t="n">
        <f aca="false">IF(OR($M$1="",对接源_02物料!$C387="",对接源_02物料!$C387&lt;&gt;$M$1,对接源_02物料!$B387=""),0,IF(OR(N(对接源_02物料!$B387)&lt;$M$2,N(对接源_02物料!$B387)&gt;$M$3),0,1))</f>
        <v>0</v>
      </c>
      <c r="N1587" s="1" t="n">
        <f aca="false">IF(OR($N$1="",对接源_02物料!$C387="",对接源_02物料!$C387&lt;&gt;$N$1,对接源_02物料!$B387=""),0,IF(OR(N(对接源_02物料!$B387)&lt;$N$2,N(对接源_02物料!$B387)&gt;$N$3),0,1))</f>
        <v>0</v>
      </c>
      <c r="P1587" s="1" t="n">
        <f aca="false">IF(AND($K1587=1,AND(对接源_02物料!$X387="公司筐",N(对接源_02物料!$T387)&lt;&gt;0)),1,0)</f>
        <v>0</v>
      </c>
      <c r="Q1587" s="1" t="n">
        <f aca="false">N(Q1586)+$P1587</f>
        <v>13</v>
      </c>
      <c r="R1587" s="1" t="n">
        <f aca="false">IF(AND($K1587=1,AND(对接源_02物料!$X387="公司筐",N(对接源_02物料!$U387)&lt;&gt;0)),1,0)</f>
        <v>0</v>
      </c>
      <c r="S1587" s="1" t="n">
        <f aca="false">N(S1586)+$R1587</f>
        <v>5</v>
      </c>
      <c r="T1587" s="1" t="n">
        <f aca="false">IF(AND($K1587=1,AND(对接源_02物料!$X387="公司筐",N(对接源_02物料!$V387)&lt;&gt;0)),1,0)</f>
        <v>0</v>
      </c>
      <c r="U1587" s="1" t="n">
        <f aca="false">N(U1586)+$T1587</f>
        <v>28</v>
      </c>
      <c r="V1587" s="1" t="n">
        <f aca="false">IF(AND($L1587=1,AND(对接源_02物料!$X387="自备筐",N(对接源_02物料!$V387)&lt;&gt;0)),1,0)</f>
        <v>0</v>
      </c>
      <c r="W1587" s="1" t="n">
        <f aca="false">N(W1586)+$V1587</f>
        <v>7</v>
      </c>
      <c r="X1587" s="1" t="n">
        <f aca="false">IF(AND($L1587=1,AND(对接源_02物料!$X387="自备筐",N(对接源_02物料!$T387)&lt;&gt;0)),1,0)</f>
        <v>0</v>
      </c>
      <c r="Y1587" s="1" t="n">
        <f aca="false">N(Y1586)+$X1587</f>
        <v>0</v>
      </c>
      <c r="Z1587" s="1" t="n">
        <f aca="false">IF(AND($M1587=1,对接源_02物料!$D387="原料入库"),1,0)</f>
        <v>0</v>
      </c>
      <c r="AA1587" s="1" t="n">
        <f aca="false">N(AA1586)+$Z1587</f>
        <v>30</v>
      </c>
      <c r="AB1587" s="1" t="n">
        <f aca="false">IF(AND($M1587=1,LEFT(对接源_02物料!$D387,4)="原料出库"),1,0)</f>
        <v>0</v>
      </c>
      <c r="AC1587" s="1" t="n">
        <f aca="false">N(AC1586)+$AB1587</f>
        <v>19</v>
      </c>
      <c r="AD1587" s="1" t="n">
        <f aca="false">IF(AND($M1587=1,LEFT(对接源_02物料!$D387,4)="成品出库"),1,0)</f>
        <v>0</v>
      </c>
      <c r="AE1587" s="1" t="n">
        <f aca="false">N(AE1586)+$AD1587</f>
        <v>38</v>
      </c>
      <c r="AF1587" s="1" t="n">
        <f aca="false">IF(AND($N1587=1,AND(LEFT(对接源_02物料!$D387,4)="包装物料",N(对接源_02物料!$K387)&lt;&gt;0)),1,0)</f>
        <v>0</v>
      </c>
      <c r="AG1587" s="1" t="n">
        <f aca="false">N(AG1586)+$AF1587</f>
        <v>6</v>
      </c>
      <c r="AH1587" s="1" t="n">
        <f aca="false">IF(AND($N1587=1,AND(LEFT(对接源_02物料!$D387,3)="周转筐",N(对接源_02物料!$K387)&lt;&gt;0)),1,0)</f>
        <v>0</v>
      </c>
      <c r="AI1587" s="1" t="n">
        <f aca="false">N(AI1586)+$AH1587</f>
        <v>0</v>
      </c>
      <c r="AJ1587" s="1" t="n">
        <v>0</v>
      </c>
      <c r="AK1587" s="1" t="n">
        <f aca="false">N(AK1586)+$AJ1587</f>
        <v>3672</v>
      </c>
    </row>
    <row r="1588" customFormat="false" ht="13.5" hidden="false" customHeight="false" outlineLevel="0" collapsed="false">
      <c r="A1588" s="1" t="str">
        <f aca="false">IF(对接源_02物料!$C388="","",对接源_02物料!$C388)</f>
        <v/>
      </c>
      <c r="B1588" s="1" t="n">
        <f aca="false">IF(A1588="",0,IF(MATCH(A1588,$A$4:$A$2403,0)=ROW()-3,1,0))</f>
        <v>0</v>
      </c>
      <c r="C1588" s="1" t="n">
        <f aca="false">N(C1587)+B1588</f>
        <v>17</v>
      </c>
      <c r="K1588" s="1" t="n">
        <f aca="false">IF(OR($K$1="",对接源_02物料!$C388="",对接源_02物料!$C388&lt;&gt;$K$1,对接源_02物料!$B388=""),0,IF(OR(N(对接源_02物料!$B388)&lt;$K$2,N(对接源_02物料!$B388)&gt;$K$3),0,1))</f>
        <v>0</v>
      </c>
      <c r="L1588" s="1" t="n">
        <f aca="false">IF(OR($L$1="",对接源_02物料!$C388="",对接源_02物料!$C388&lt;&gt;$L$1,对接源_02物料!$B388=""),0,IF(OR(N(对接源_02物料!$B388)&lt;$L$2,N(对接源_02物料!$B388)&gt;$L$3),0,1))</f>
        <v>0</v>
      </c>
      <c r="M1588" s="1" t="n">
        <f aca="false">IF(OR($M$1="",对接源_02物料!$C388="",对接源_02物料!$C388&lt;&gt;$M$1,对接源_02物料!$B388=""),0,IF(OR(N(对接源_02物料!$B388)&lt;$M$2,N(对接源_02物料!$B388)&gt;$M$3),0,1))</f>
        <v>0</v>
      </c>
      <c r="N1588" s="1" t="n">
        <f aca="false">IF(OR($N$1="",对接源_02物料!$C388="",对接源_02物料!$C388&lt;&gt;$N$1,对接源_02物料!$B388=""),0,IF(OR(N(对接源_02物料!$B388)&lt;$N$2,N(对接源_02物料!$B388)&gt;$N$3),0,1))</f>
        <v>0</v>
      </c>
      <c r="P1588" s="1" t="n">
        <f aca="false">IF(AND($K1588=1,AND(对接源_02物料!$X388="公司筐",N(对接源_02物料!$T388)&lt;&gt;0)),1,0)</f>
        <v>0</v>
      </c>
      <c r="Q1588" s="1" t="n">
        <f aca="false">N(Q1587)+$P1588</f>
        <v>13</v>
      </c>
      <c r="R1588" s="1" t="n">
        <f aca="false">IF(AND($K1588=1,AND(对接源_02物料!$X388="公司筐",N(对接源_02物料!$U388)&lt;&gt;0)),1,0)</f>
        <v>0</v>
      </c>
      <c r="S1588" s="1" t="n">
        <f aca="false">N(S1587)+$R1588</f>
        <v>5</v>
      </c>
      <c r="T1588" s="1" t="n">
        <f aca="false">IF(AND($K1588=1,AND(对接源_02物料!$X388="公司筐",N(对接源_02物料!$V388)&lt;&gt;0)),1,0)</f>
        <v>0</v>
      </c>
      <c r="U1588" s="1" t="n">
        <f aca="false">N(U1587)+$T1588</f>
        <v>28</v>
      </c>
      <c r="V1588" s="1" t="n">
        <f aca="false">IF(AND($L1588=1,AND(对接源_02物料!$X388="自备筐",N(对接源_02物料!$V388)&lt;&gt;0)),1,0)</f>
        <v>0</v>
      </c>
      <c r="W1588" s="1" t="n">
        <f aca="false">N(W1587)+$V1588</f>
        <v>7</v>
      </c>
      <c r="X1588" s="1" t="n">
        <f aca="false">IF(AND($L1588=1,AND(对接源_02物料!$X388="自备筐",N(对接源_02物料!$T388)&lt;&gt;0)),1,0)</f>
        <v>0</v>
      </c>
      <c r="Y1588" s="1" t="n">
        <f aca="false">N(Y1587)+$X1588</f>
        <v>0</v>
      </c>
      <c r="Z1588" s="1" t="n">
        <f aca="false">IF(AND($M1588=1,对接源_02物料!$D388="原料入库"),1,0)</f>
        <v>0</v>
      </c>
      <c r="AA1588" s="1" t="n">
        <f aca="false">N(AA1587)+$Z1588</f>
        <v>30</v>
      </c>
      <c r="AB1588" s="1" t="n">
        <f aca="false">IF(AND($M1588=1,LEFT(对接源_02物料!$D388,4)="原料出库"),1,0)</f>
        <v>0</v>
      </c>
      <c r="AC1588" s="1" t="n">
        <f aca="false">N(AC1587)+$AB1588</f>
        <v>19</v>
      </c>
      <c r="AD1588" s="1" t="n">
        <f aca="false">IF(AND($M1588=1,LEFT(对接源_02物料!$D388,4)="成品出库"),1,0)</f>
        <v>0</v>
      </c>
      <c r="AE1588" s="1" t="n">
        <f aca="false">N(AE1587)+$AD1588</f>
        <v>38</v>
      </c>
      <c r="AF1588" s="1" t="n">
        <f aca="false">IF(AND($N1588=1,AND(LEFT(对接源_02物料!$D388,4)="包装物料",N(对接源_02物料!$K388)&lt;&gt;0)),1,0)</f>
        <v>0</v>
      </c>
      <c r="AG1588" s="1" t="n">
        <f aca="false">N(AG1587)+$AF1588</f>
        <v>6</v>
      </c>
      <c r="AH1588" s="1" t="n">
        <f aca="false">IF(AND($N1588=1,AND(LEFT(对接源_02物料!$D388,3)="周转筐",N(对接源_02物料!$K388)&lt;&gt;0)),1,0)</f>
        <v>0</v>
      </c>
      <c r="AI1588" s="1" t="n">
        <f aca="false">N(AI1587)+$AH1588</f>
        <v>0</v>
      </c>
      <c r="AJ1588" s="1" t="n">
        <v>0</v>
      </c>
      <c r="AK1588" s="1" t="n">
        <f aca="false">N(AK1587)+$AJ1588</f>
        <v>3672</v>
      </c>
    </row>
    <row r="1589" customFormat="false" ht="13.5" hidden="false" customHeight="false" outlineLevel="0" collapsed="false">
      <c r="A1589" s="1" t="str">
        <f aca="false">IF(对接源_02物料!$C389="","",对接源_02物料!$C389)</f>
        <v/>
      </c>
      <c r="B1589" s="1" t="n">
        <f aca="false">IF(A1589="",0,IF(MATCH(A1589,$A$4:$A$2403,0)=ROW()-3,1,0))</f>
        <v>0</v>
      </c>
      <c r="C1589" s="1" t="n">
        <f aca="false">N(C1588)+B1589</f>
        <v>17</v>
      </c>
      <c r="K1589" s="1" t="n">
        <f aca="false">IF(OR($K$1="",对接源_02物料!$C389="",对接源_02物料!$C389&lt;&gt;$K$1,对接源_02物料!$B389=""),0,IF(OR(N(对接源_02物料!$B389)&lt;$K$2,N(对接源_02物料!$B389)&gt;$K$3),0,1))</f>
        <v>0</v>
      </c>
      <c r="L1589" s="1" t="n">
        <f aca="false">IF(OR($L$1="",对接源_02物料!$C389="",对接源_02物料!$C389&lt;&gt;$L$1,对接源_02物料!$B389=""),0,IF(OR(N(对接源_02物料!$B389)&lt;$L$2,N(对接源_02物料!$B389)&gt;$L$3),0,1))</f>
        <v>0</v>
      </c>
      <c r="M1589" s="1" t="n">
        <f aca="false">IF(OR($M$1="",对接源_02物料!$C389="",对接源_02物料!$C389&lt;&gt;$M$1,对接源_02物料!$B389=""),0,IF(OR(N(对接源_02物料!$B389)&lt;$M$2,N(对接源_02物料!$B389)&gt;$M$3),0,1))</f>
        <v>0</v>
      </c>
      <c r="N1589" s="1" t="n">
        <f aca="false">IF(OR($N$1="",对接源_02物料!$C389="",对接源_02物料!$C389&lt;&gt;$N$1,对接源_02物料!$B389=""),0,IF(OR(N(对接源_02物料!$B389)&lt;$N$2,N(对接源_02物料!$B389)&gt;$N$3),0,1))</f>
        <v>0</v>
      </c>
      <c r="P1589" s="1" t="n">
        <f aca="false">IF(AND($K1589=1,AND(对接源_02物料!$X389="公司筐",N(对接源_02物料!$T389)&lt;&gt;0)),1,0)</f>
        <v>0</v>
      </c>
      <c r="Q1589" s="1" t="n">
        <f aca="false">N(Q1588)+$P1589</f>
        <v>13</v>
      </c>
      <c r="R1589" s="1" t="n">
        <f aca="false">IF(AND($K1589=1,AND(对接源_02物料!$X389="公司筐",N(对接源_02物料!$U389)&lt;&gt;0)),1,0)</f>
        <v>0</v>
      </c>
      <c r="S1589" s="1" t="n">
        <f aca="false">N(S1588)+$R1589</f>
        <v>5</v>
      </c>
      <c r="T1589" s="1" t="n">
        <f aca="false">IF(AND($K1589=1,AND(对接源_02物料!$X389="公司筐",N(对接源_02物料!$V389)&lt;&gt;0)),1,0)</f>
        <v>0</v>
      </c>
      <c r="U1589" s="1" t="n">
        <f aca="false">N(U1588)+$T1589</f>
        <v>28</v>
      </c>
      <c r="V1589" s="1" t="n">
        <f aca="false">IF(AND($L1589=1,AND(对接源_02物料!$X389="自备筐",N(对接源_02物料!$V389)&lt;&gt;0)),1,0)</f>
        <v>0</v>
      </c>
      <c r="W1589" s="1" t="n">
        <f aca="false">N(W1588)+$V1589</f>
        <v>7</v>
      </c>
      <c r="X1589" s="1" t="n">
        <f aca="false">IF(AND($L1589=1,AND(对接源_02物料!$X389="自备筐",N(对接源_02物料!$T389)&lt;&gt;0)),1,0)</f>
        <v>0</v>
      </c>
      <c r="Y1589" s="1" t="n">
        <f aca="false">N(Y1588)+$X1589</f>
        <v>0</v>
      </c>
      <c r="Z1589" s="1" t="n">
        <f aca="false">IF(AND($M1589=1,对接源_02物料!$D389="原料入库"),1,0)</f>
        <v>0</v>
      </c>
      <c r="AA1589" s="1" t="n">
        <f aca="false">N(AA1588)+$Z1589</f>
        <v>30</v>
      </c>
      <c r="AB1589" s="1" t="n">
        <f aca="false">IF(AND($M1589=1,LEFT(对接源_02物料!$D389,4)="原料出库"),1,0)</f>
        <v>0</v>
      </c>
      <c r="AC1589" s="1" t="n">
        <f aca="false">N(AC1588)+$AB1589</f>
        <v>19</v>
      </c>
      <c r="AD1589" s="1" t="n">
        <f aca="false">IF(AND($M1589=1,LEFT(对接源_02物料!$D389,4)="成品出库"),1,0)</f>
        <v>0</v>
      </c>
      <c r="AE1589" s="1" t="n">
        <f aca="false">N(AE1588)+$AD1589</f>
        <v>38</v>
      </c>
      <c r="AF1589" s="1" t="n">
        <f aca="false">IF(AND($N1589=1,AND(LEFT(对接源_02物料!$D389,4)="包装物料",N(对接源_02物料!$K389)&lt;&gt;0)),1,0)</f>
        <v>0</v>
      </c>
      <c r="AG1589" s="1" t="n">
        <f aca="false">N(AG1588)+$AF1589</f>
        <v>6</v>
      </c>
      <c r="AH1589" s="1" t="n">
        <f aca="false">IF(AND($N1589=1,AND(LEFT(对接源_02物料!$D389,3)="周转筐",N(对接源_02物料!$K389)&lt;&gt;0)),1,0)</f>
        <v>0</v>
      </c>
      <c r="AI1589" s="1" t="n">
        <f aca="false">N(AI1588)+$AH1589</f>
        <v>0</v>
      </c>
      <c r="AJ1589" s="1" t="n">
        <v>0</v>
      </c>
      <c r="AK1589" s="1" t="n">
        <f aca="false">N(AK1588)+$AJ1589</f>
        <v>3672</v>
      </c>
    </row>
    <row r="1590" customFormat="false" ht="13.5" hidden="false" customHeight="false" outlineLevel="0" collapsed="false">
      <c r="A1590" s="1" t="str">
        <f aca="false">IF(对接源_02物料!$C390="","",对接源_02物料!$C390)</f>
        <v/>
      </c>
      <c r="B1590" s="1" t="n">
        <f aca="false">IF(A1590="",0,IF(MATCH(A1590,$A$4:$A$2403,0)=ROW()-3,1,0))</f>
        <v>0</v>
      </c>
      <c r="C1590" s="1" t="n">
        <f aca="false">N(C1589)+B1590</f>
        <v>17</v>
      </c>
      <c r="K1590" s="1" t="n">
        <f aca="false">IF(OR($K$1="",对接源_02物料!$C390="",对接源_02物料!$C390&lt;&gt;$K$1,对接源_02物料!$B390=""),0,IF(OR(N(对接源_02物料!$B390)&lt;$K$2,N(对接源_02物料!$B390)&gt;$K$3),0,1))</f>
        <v>0</v>
      </c>
      <c r="L1590" s="1" t="n">
        <f aca="false">IF(OR($L$1="",对接源_02物料!$C390="",对接源_02物料!$C390&lt;&gt;$L$1,对接源_02物料!$B390=""),0,IF(OR(N(对接源_02物料!$B390)&lt;$L$2,N(对接源_02物料!$B390)&gt;$L$3),0,1))</f>
        <v>0</v>
      </c>
      <c r="M1590" s="1" t="n">
        <f aca="false">IF(OR($M$1="",对接源_02物料!$C390="",对接源_02物料!$C390&lt;&gt;$M$1,对接源_02物料!$B390=""),0,IF(OR(N(对接源_02物料!$B390)&lt;$M$2,N(对接源_02物料!$B390)&gt;$M$3),0,1))</f>
        <v>0</v>
      </c>
      <c r="N1590" s="1" t="n">
        <f aca="false">IF(OR($N$1="",对接源_02物料!$C390="",对接源_02物料!$C390&lt;&gt;$N$1,对接源_02物料!$B390=""),0,IF(OR(N(对接源_02物料!$B390)&lt;$N$2,N(对接源_02物料!$B390)&gt;$N$3),0,1))</f>
        <v>0</v>
      </c>
      <c r="P1590" s="1" t="n">
        <f aca="false">IF(AND($K1590=1,AND(对接源_02物料!$X390="公司筐",N(对接源_02物料!$T390)&lt;&gt;0)),1,0)</f>
        <v>0</v>
      </c>
      <c r="Q1590" s="1" t="n">
        <f aca="false">N(Q1589)+$P1590</f>
        <v>13</v>
      </c>
      <c r="R1590" s="1" t="n">
        <f aca="false">IF(AND($K1590=1,AND(对接源_02物料!$X390="公司筐",N(对接源_02物料!$U390)&lt;&gt;0)),1,0)</f>
        <v>0</v>
      </c>
      <c r="S1590" s="1" t="n">
        <f aca="false">N(S1589)+$R1590</f>
        <v>5</v>
      </c>
      <c r="T1590" s="1" t="n">
        <f aca="false">IF(AND($K1590=1,AND(对接源_02物料!$X390="公司筐",N(对接源_02物料!$V390)&lt;&gt;0)),1,0)</f>
        <v>0</v>
      </c>
      <c r="U1590" s="1" t="n">
        <f aca="false">N(U1589)+$T1590</f>
        <v>28</v>
      </c>
      <c r="V1590" s="1" t="n">
        <f aca="false">IF(AND($L1590=1,AND(对接源_02物料!$X390="自备筐",N(对接源_02物料!$V390)&lt;&gt;0)),1,0)</f>
        <v>0</v>
      </c>
      <c r="W1590" s="1" t="n">
        <f aca="false">N(W1589)+$V1590</f>
        <v>7</v>
      </c>
      <c r="X1590" s="1" t="n">
        <f aca="false">IF(AND($L1590=1,AND(对接源_02物料!$X390="自备筐",N(对接源_02物料!$T390)&lt;&gt;0)),1,0)</f>
        <v>0</v>
      </c>
      <c r="Y1590" s="1" t="n">
        <f aca="false">N(Y1589)+$X1590</f>
        <v>0</v>
      </c>
      <c r="Z1590" s="1" t="n">
        <f aca="false">IF(AND($M1590=1,对接源_02物料!$D390="原料入库"),1,0)</f>
        <v>0</v>
      </c>
      <c r="AA1590" s="1" t="n">
        <f aca="false">N(AA1589)+$Z1590</f>
        <v>30</v>
      </c>
      <c r="AB1590" s="1" t="n">
        <f aca="false">IF(AND($M1590=1,LEFT(对接源_02物料!$D390,4)="原料出库"),1,0)</f>
        <v>0</v>
      </c>
      <c r="AC1590" s="1" t="n">
        <f aca="false">N(AC1589)+$AB1590</f>
        <v>19</v>
      </c>
      <c r="AD1590" s="1" t="n">
        <f aca="false">IF(AND($M1590=1,LEFT(对接源_02物料!$D390,4)="成品出库"),1,0)</f>
        <v>0</v>
      </c>
      <c r="AE1590" s="1" t="n">
        <f aca="false">N(AE1589)+$AD1590</f>
        <v>38</v>
      </c>
      <c r="AF1590" s="1" t="n">
        <f aca="false">IF(AND($N1590=1,AND(LEFT(对接源_02物料!$D390,4)="包装物料",N(对接源_02物料!$K390)&lt;&gt;0)),1,0)</f>
        <v>0</v>
      </c>
      <c r="AG1590" s="1" t="n">
        <f aca="false">N(AG1589)+$AF1590</f>
        <v>6</v>
      </c>
      <c r="AH1590" s="1" t="n">
        <f aca="false">IF(AND($N1590=1,AND(LEFT(对接源_02物料!$D390,3)="周转筐",N(对接源_02物料!$K390)&lt;&gt;0)),1,0)</f>
        <v>0</v>
      </c>
      <c r="AI1590" s="1" t="n">
        <f aca="false">N(AI1589)+$AH1590</f>
        <v>0</v>
      </c>
      <c r="AJ1590" s="1" t="n">
        <v>0</v>
      </c>
      <c r="AK1590" s="1" t="n">
        <f aca="false">N(AK1589)+$AJ1590</f>
        <v>3672</v>
      </c>
    </row>
    <row r="1591" customFormat="false" ht="13.5" hidden="false" customHeight="false" outlineLevel="0" collapsed="false">
      <c r="A1591" s="1" t="str">
        <f aca="false">IF(对接源_02物料!$C391="","",对接源_02物料!$C391)</f>
        <v/>
      </c>
      <c r="B1591" s="1" t="n">
        <f aca="false">IF(A1591="",0,IF(MATCH(A1591,$A$4:$A$2403,0)=ROW()-3,1,0))</f>
        <v>0</v>
      </c>
      <c r="C1591" s="1" t="n">
        <f aca="false">N(C1590)+B1591</f>
        <v>17</v>
      </c>
      <c r="K1591" s="1" t="n">
        <f aca="false">IF(OR($K$1="",对接源_02物料!$C391="",对接源_02物料!$C391&lt;&gt;$K$1,对接源_02物料!$B391=""),0,IF(OR(N(对接源_02物料!$B391)&lt;$K$2,N(对接源_02物料!$B391)&gt;$K$3),0,1))</f>
        <v>0</v>
      </c>
      <c r="L1591" s="1" t="n">
        <f aca="false">IF(OR($L$1="",对接源_02物料!$C391="",对接源_02物料!$C391&lt;&gt;$L$1,对接源_02物料!$B391=""),0,IF(OR(N(对接源_02物料!$B391)&lt;$L$2,N(对接源_02物料!$B391)&gt;$L$3),0,1))</f>
        <v>0</v>
      </c>
      <c r="M1591" s="1" t="n">
        <f aca="false">IF(OR($M$1="",对接源_02物料!$C391="",对接源_02物料!$C391&lt;&gt;$M$1,对接源_02物料!$B391=""),0,IF(OR(N(对接源_02物料!$B391)&lt;$M$2,N(对接源_02物料!$B391)&gt;$M$3),0,1))</f>
        <v>0</v>
      </c>
      <c r="N1591" s="1" t="n">
        <f aca="false">IF(OR($N$1="",对接源_02物料!$C391="",对接源_02物料!$C391&lt;&gt;$N$1,对接源_02物料!$B391=""),0,IF(OR(N(对接源_02物料!$B391)&lt;$N$2,N(对接源_02物料!$B391)&gt;$N$3),0,1))</f>
        <v>0</v>
      </c>
      <c r="P1591" s="1" t="n">
        <f aca="false">IF(AND($K1591=1,AND(对接源_02物料!$X391="公司筐",N(对接源_02物料!$T391)&lt;&gt;0)),1,0)</f>
        <v>0</v>
      </c>
      <c r="Q1591" s="1" t="n">
        <f aca="false">N(Q1590)+$P1591</f>
        <v>13</v>
      </c>
      <c r="R1591" s="1" t="n">
        <f aca="false">IF(AND($K1591=1,AND(对接源_02物料!$X391="公司筐",N(对接源_02物料!$U391)&lt;&gt;0)),1,0)</f>
        <v>0</v>
      </c>
      <c r="S1591" s="1" t="n">
        <f aca="false">N(S1590)+$R1591</f>
        <v>5</v>
      </c>
      <c r="T1591" s="1" t="n">
        <f aca="false">IF(AND($K1591=1,AND(对接源_02物料!$X391="公司筐",N(对接源_02物料!$V391)&lt;&gt;0)),1,0)</f>
        <v>0</v>
      </c>
      <c r="U1591" s="1" t="n">
        <f aca="false">N(U1590)+$T1591</f>
        <v>28</v>
      </c>
      <c r="V1591" s="1" t="n">
        <f aca="false">IF(AND($L1591=1,AND(对接源_02物料!$X391="自备筐",N(对接源_02物料!$V391)&lt;&gt;0)),1,0)</f>
        <v>0</v>
      </c>
      <c r="W1591" s="1" t="n">
        <f aca="false">N(W1590)+$V1591</f>
        <v>7</v>
      </c>
      <c r="X1591" s="1" t="n">
        <f aca="false">IF(AND($L1591=1,AND(对接源_02物料!$X391="自备筐",N(对接源_02物料!$T391)&lt;&gt;0)),1,0)</f>
        <v>0</v>
      </c>
      <c r="Y1591" s="1" t="n">
        <f aca="false">N(Y1590)+$X1591</f>
        <v>0</v>
      </c>
      <c r="Z1591" s="1" t="n">
        <f aca="false">IF(AND($M1591=1,对接源_02物料!$D391="原料入库"),1,0)</f>
        <v>0</v>
      </c>
      <c r="AA1591" s="1" t="n">
        <f aca="false">N(AA1590)+$Z1591</f>
        <v>30</v>
      </c>
      <c r="AB1591" s="1" t="n">
        <f aca="false">IF(AND($M1591=1,LEFT(对接源_02物料!$D391,4)="原料出库"),1,0)</f>
        <v>0</v>
      </c>
      <c r="AC1591" s="1" t="n">
        <f aca="false">N(AC1590)+$AB1591</f>
        <v>19</v>
      </c>
      <c r="AD1591" s="1" t="n">
        <f aca="false">IF(AND($M1591=1,LEFT(对接源_02物料!$D391,4)="成品出库"),1,0)</f>
        <v>0</v>
      </c>
      <c r="AE1591" s="1" t="n">
        <f aca="false">N(AE1590)+$AD1591</f>
        <v>38</v>
      </c>
      <c r="AF1591" s="1" t="n">
        <f aca="false">IF(AND($N1591=1,AND(LEFT(对接源_02物料!$D391,4)="包装物料",N(对接源_02物料!$K391)&lt;&gt;0)),1,0)</f>
        <v>0</v>
      </c>
      <c r="AG1591" s="1" t="n">
        <f aca="false">N(AG1590)+$AF1591</f>
        <v>6</v>
      </c>
      <c r="AH1591" s="1" t="n">
        <f aca="false">IF(AND($N1591=1,AND(LEFT(对接源_02物料!$D391,3)="周转筐",N(对接源_02物料!$K391)&lt;&gt;0)),1,0)</f>
        <v>0</v>
      </c>
      <c r="AI1591" s="1" t="n">
        <f aca="false">N(AI1590)+$AH1591</f>
        <v>0</v>
      </c>
      <c r="AJ1591" s="1" t="n">
        <v>0</v>
      </c>
      <c r="AK1591" s="1" t="n">
        <f aca="false">N(AK1590)+$AJ1591</f>
        <v>3672</v>
      </c>
    </row>
    <row r="1592" customFormat="false" ht="13.5" hidden="false" customHeight="false" outlineLevel="0" collapsed="false">
      <c r="A1592" s="1" t="str">
        <f aca="false">IF(对接源_02物料!$C392="","",对接源_02物料!$C392)</f>
        <v/>
      </c>
      <c r="B1592" s="1" t="n">
        <f aca="false">IF(A1592="",0,IF(MATCH(A1592,$A$4:$A$2403,0)=ROW()-3,1,0))</f>
        <v>0</v>
      </c>
      <c r="C1592" s="1" t="n">
        <f aca="false">N(C1591)+B1592</f>
        <v>17</v>
      </c>
      <c r="K1592" s="1" t="n">
        <f aca="false">IF(OR($K$1="",对接源_02物料!$C392="",对接源_02物料!$C392&lt;&gt;$K$1,对接源_02物料!$B392=""),0,IF(OR(N(对接源_02物料!$B392)&lt;$K$2,N(对接源_02物料!$B392)&gt;$K$3),0,1))</f>
        <v>0</v>
      </c>
      <c r="L1592" s="1" t="n">
        <f aca="false">IF(OR($L$1="",对接源_02物料!$C392="",对接源_02物料!$C392&lt;&gt;$L$1,对接源_02物料!$B392=""),0,IF(OR(N(对接源_02物料!$B392)&lt;$L$2,N(对接源_02物料!$B392)&gt;$L$3),0,1))</f>
        <v>0</v>
      </c>
      <c r="M1592" s="1" t="n">
        <f aca="false">IF(OR($M$1="",对接源_02物料!$C392="",对接源_02物料!$C392&lt;&gt;$M$1,对接源_02物料!$B392=""),0,IF(OR(N(对接源_02物料!$B392)&lt;$M$2,N(对接源_02物料!$B392)&gt;$M$3),0,1))</f>
        <v>0</v>
      </c>
      <c r="N1592" s="1" t="n">
        <f aca="false">IF(OR($N$1="",对接源_02物料!$C392="",对接源_02物料!$C392&lt;&gt;$N$1,对接源_02物料!$B392=""),0,IF(OR(N(对接源_02物料!$B392)&lt;$N$2,N(对接源_02物料!$B392)&gt;$N$3),0,1))</f>
        <v>0</v>
      </c>
      <c r="P1592" s="1" t="n">
        <f aca="false">IF(AND($K1592=1,AND(对接源_02物料!$X392="公司筐",N(对接源_02物料!$T392)&lt;&gt;0)),1,0)</f>
        <v>0</v>
      </c>
      <c r="Q1592" s="1" t="n">
        <f aca="false">N(Q1591)+$P1592</f>
        <v>13</v>
      </c>
      <c r="R1592" s="1" t="n">
        <f aca="false">IF(AND($K1592=1,AND(对接源_02物料!$X392="公司筐",N(对接源_02物料!$U392)&lt;&gt;0)),1,0)</f>
        <v>0</v>
      </c>
      <c r="S1592" s="1" t="n">
        <f aca="false">N(S1591)+$R1592</f>
        <v>5</v>
      </c>
      <c r="T1592" s="1" t="n">
        <f aca="false">IF(AND($K1592=1,AND(对接源_02物料!$X392="公司筐",N(对接源_02物料!$V392)&lt;&gt;0)),1,0)</f>
        <v>0</v>
      </c>
      <c r="U1592" s="1" t="n">
        <f aca="false">N(U1591)+$T1592</f>
        <v>28</v>
      </c>
      <c r="V1592" s="1" t="n">
        <f aca="false">IF(AND($L1592=1,AND(对接源_02物料!$X392="自备筐",N(对接源_02物料!$V392)&lt;&gt;0)),1,0)</f>
        <v>0</v>
      </c>
      <c r="W1592" s="1" t="n">
        <f aca="false">N(W1591)+$V1592</f>
        <v>7</v>
      </c>
      <c r="X1592" s="1" t="n">
        <f aca="false">IF(AND($L1592=1,AND(对接源_02物料!$X392="自备筐",N(对接源_02物料!$T392)&lt;&gt;0)),1,0)</f>
        <v>0</v>
      </c>
      <c r="Y1592" s="1" t="n">
        <f aca="false">N(Y1591)+$X1592</f>
        <v>0</v>
      </c>
      <c r="Z1592" s="1" t="n">
        <f aca="false">IF(AND($M1592=1,对接源_02物料!$D392="原料入库"),1,0)</f>
        <v>0</v>
      </c>
      <c r="AA1592" s="1" t="n">
        <f aca="false">N(AA1591)+$Z1592</f>
        <v>30</v>
      </c>
      <c r="AB1592" s="1" t="n">
        <f aca="false">IF(AND($M1592=1,LEFT(对接源_02物料!$D392,4)="原料出库"),1,0)</f>
        <v>0</v>
      </c>
      <c r="AC1592" s="1" t="n">
        <f aca="false">N(AC1591)+$AB1592</f>
        <v>19</v>
      </c>
      <c r="AD1592" s="1" t="n">
        <f aca="false">IF(AND($M1592=1,LEFT(对接源_02物料!$D392,4)="成品出库"),1,0)</f>
        <v>0</v>
      </c>
      <c r="AE1592" s="1" t="n">
        <f aca="false">N(AE1591)+$AD1592</f>
        <v>38</v>
      </c>
      <c r="AF1592" s="1" t="n">
        <f aca="false">IF(AND($N1592=1,AND(LEFT(对接源_02物料!$D392,4)="包装物料",N(对接源_02物料!$K392)&lt;&gt;0)),1,0)</f>
        <v>0</v>
      </c>
      <c r="AG1592" s="1" t="n">
        <f aca="false">N(AG1591)+$AF1592</f>
        <v>6</v>
      </c>
      <c r="AH1592" s="1" t="n">
        <f aca="false">IF(AND($N1592=1,AND(LEFT(对接源_02物料!$D392,3)="周转筐",N(对接源_02物料!$K392)&lt;&gt;0)),1,0)</f>
        <v>0</v>
      </c>
      <c r="AI1592" s="1" t="n">
        <f aca="false">N(AI1591)+$AH1592</f>
        <v>0</v>
      </c>
      <c r="AJ1592" s="1" t="n">
        <v>0</v>
      </c>
      <c r="AK1592" s="1" t="n">
        <f aca="false">N(AK1591)+$AJ1592</f>
        <v>3672</v>
      </c>
    </row>
    <row r="1593" customFormat="false" ht="13.5" hidden="false" customHeight="false" outlineLevel="0" collapsed="false">
      <c r="A1593" s="1" t="str">
        <f aca="false">IF(对接源_02物料!$C393="","",对接源_02物料!$C393)</f>
        <v/>
      </c>
      <c r="B1593" s="1" t="n">
        <f aca="false">IF(A1593="",0,IF(MATCH(A1593,$A$4:$A$2403,0)=ROW()-3,1,0))</f>
        <v>0</v>
      </c>
      <c r="C1593" s="1" t="n">
        <f aca="false">N(C1592)+B1593</f>
        <v>17</v>
      </c>
      <c r="K1593" s="1" t="n">
        <f aca="false">IF(OR($K$1="",对接源_02物料!$C393="",对接源_02物料!$C393&lt;&gt;$K$1,对接源_02物料!$B393=""),0,IF(OR(N(对接源_02物料!$B393)&lt;$K$2,N(对接源_02物料!$B393)&gt;$K$3),0,1))</f>
        <v>0</v>
      </c>
      <c r="L1593" s="1" t="n">
        <f aca="false">IF(OR($L$1="",对接源_02物料!$C393="",对接源_02物料!$C393&lt;&gt;$L$1,对接源_02物料!$B393=""),0,IF(OR(N(对接源_02物料!$B393)&lt;$L$2,N(对接源_02物料!$B393)&gt;$L$3),0,1))</f>
        <v>0</v>
      </c>
      <c r="M1593" s="1" t="n">
        <f aca="false">IF(OR($M$1="",对接源_02物料!$C393="",对接源_02物料!$C393&lt;&gt;$M$1,对接源_02物料!$B393=""),0,IF(OR(N(对接源_02物料!$B393)&lt;$M$2,N(对接源_02物料!$B393)&gt;$M$3),0,1))</f>
        <v>0</v>
      </c>
      <c r="N1593" s="1" t="n">
        <f aca="false">IF(OR($N$1="",对接源_02物料!$C393="",对接源_02物料!$C393&lt;&gt;$N$1,对接源_02物料!$B393=""),0,IF(OR(N(对接源_02物料!$B393)&lt;$N$2,N(对接源_02物料!$B393)&gt;$N$3),0,1))</f>
        <v>0</v>
      </c>
      <c r="P1593" s="1" t="n">
        <f aca="false">IF(AND($K1593=1,AND(对接源_02物料!$X393="公司筐",N(对接源_02物料!$T393)&lt;&gt;0)),1,0)</f>
        <v>0</v>
      </c>
      <c r="Q1593" s="1" t="n">
        <f aca="false">N(Q1592)+$P1593</f>
        <v>13</v>
      </c>
      <c r="R1593" s="1" t="n">
        <f aca="false">IF(AND($K1593=1,AND(对接源_02物料!$X393="公司筐",N(对接源_02物料!$U393)&lt;&gt;0)),1,0)</f>
        <v>0</v>
      </c>
      <c r="S1593" s="1" t="n">
        <f aca="false">N(S1592)+$R1593</f>
        <v>5</v>
      </c>
      <c r="T1593" s="1" t="n">
        <f aca="false">IF(AND($K1593=1,AND(对接源_02物料!$X393="公司筐",N(对接源_02物料!$V393)&lt;&gt;0)),1,0)</f>
        <v>0</v>
      </c>
      <c r="U1593" s="1" t="n">
        <f aca="false">N(U1592)+$T1593</f>
        <v>28</v>
      </c>
      <c r="V1593" s="1" t="n">
        <f aca="false">IF(AND($L1593=1,AND(对接源_02物料!$X393="自备筐",N(对接源_02物料!$V393)&lt;&gt;0)),1,0)</f>
        <v>0</v>
      </c>
      <c r="W1593" s="1" t="n">
        <f aca="false">N(W1592)+$V1593</f>
        <v>7</v>
      </c>
      <c r="X1593" s="1" t="n">
        <f aca="false">IF(AND($L1593=1,AND(对接源_02物料!$X393="自备筐",N(对接源_02物料!$T393)&lt;&gt;0)),1,0)</f>
        <v>0</v>
      </c>
      <c r="Y1593" s="1" t="n">
        <f aca="false">N(Y1592)+$X1593</f>
        <v>0</v>
      </c>
      <c r="Z1593" s="1" t="n">
        <f aca="false">IF(AND($M1593=1,对接源_02物料!$D393="原料入库"),1,0)</f>
        <v>0</v>
      </c>
      <c r="AA1593" s="1" t="n">
        <f aca="false">N(AA1592)+$Z1593</f>
        <v>30</v>
      </c>
      <c r="AB1593" s="1" t="n">
        <f aca="false">IF(AND($M1593=1,LEFT(对接源_02物料!$D393,4)="原料出库"),1,0)</f>
        <v>0</v>
      </c>
      <c r="AC1593" s="1" t="n">
        <f aca="false">N(AC1592)+$AB1593</f>
        <v>19</v>
      </c>
      <c r="AD1593" s="1" t="n">
        <f aca="false">IF(AND($M1593=1,LEFT(对接源_02物料!$D393,4)="成品出库"),1,0)</f>
        <v>0</v>
      </c>
      <c r="AE1593" s="1" t="n">
        <f aca="false">N(AE1592)+$AD1593</f>
        <v>38</v>
      </c>
      <c r="AF1593" s="1" t="n">
        <f aca="false">IF(AND($N1593=1,AND(LEFT(对接源_02物料!$D393,4)="包装物料",N(对接源_02物料!$K393)&lt;&gt;0)),1,0)</f>
        <v>0</v>
      </c>
      <c r="AG1593" s="1" t="n">
        <f aca="false">N(AG1592)+$AF1593</f>
        <v>6</v>
      </c>
      <c r="AH1593" s="1" t="n">
        <f aca="false">IF(AND($N1593=1,AND(LEFT(对接源_02物料!$D393,3)="周转筐",N(对接源_02物料!$K393)&lt;&gt;0)),1,0)</f>
        <v>0</v>
      </c>
      <c r="AI1593" s="1" t="n">
        <f aca="false">N(AI1592)+$AH1593</f>
        <v>0</v>
      </c>
      <c r="AJ1593" s="1" t="n">
        <v>0</v>
      </c>
      <c r="AK1593" s="1" t="n">
        <f aca="false">N(AK1592)+$AJ1593</f>
        <v>3672</v>
      </c>
    </row>
    <row r="1594" customFormat="false" ht="13.5" hidden="false" customHeight="false" outlineLevel="0" collapsed="false">
      <c r="A1594" s="1" t="str">
        <f aca="false">IF(对接源_02物料!$C394="","",对接源_02物料!$C394)</f>
        <v/>
      </c>
      <c r="B1594" s="1" t="n">
        <f aca="false">IF(A1594="",0,IF(MATCH(A1594,$A$4:$A$2403,0)=ROW()-3,1,0))</f>
        <v>0</v>
      </c>
      <c r="C1594" s="1" t="n">
        <f aca="false">N(C1593)+B1594</f>
        <v>17</v>
      </c>
      <c r="K1594" s="1" t="n">
        <f aca="false">IF(OR($K$1="",对接源_02物料!$C394="",对接源_02物料!$C394&lt;&gt;$K$1,对接源_02物料!$B394=""),0,IF(OR(N(对接源_02物料!$B394)&lt;$K$2,N(对接源_02物料!$B394)&gt;$K$3),0,1))</f>
        <v>0</v>
      </c>
      <c r="L1594" s="1" t="n">
        <f aca="false">IF(OR($L$1="",对接源_02物料!$C394="",对接源_02物料!$C394&lt;&gt;$L$1,对接源_02物料!$B394=""),0,IF(OR(N(对接源_02物料!$B394)&lt;$L$2,N(对接源_02物料!$B394)&gt;$L$3),0,1))</f>
        <v>0</v>
      </c>
      <c r="M1594" s="1" t="n">
        <f aca="false">IF(OR($M$1="",对接源_02物料!$C394="",对接源_02物料!$C394&lt;&gt;$M$1,对接源_02物料!$B394=""),0,IF(OR(N(对接源_02物料!$B394)&lt;$M$2,N(对接源_02物料!$B394)&gt;$M$3),0,1))</f>
        <v>0</v>
      </c>
      <c r="N1594" s="1" t="n">
        <f aca="false">IF(OR($N$1="",对接源_02物料!$C394="",对接源_02物料!$C394&lt;&gt;$N$1,对接源_02物料!$B394=""),0,IF(OR(N(对接源_02物料!$B394)&lt;$N$2,N(对接源_02物料!$B394)&gt;$N$3),0,1))</f>
        <v>0</v>
      </c>
      <c r="P1594" s="1" t="n">
        <f aca="false">IF(AND($K1594=1,AND(对接源_02物料!$X394="公司筐",N(对接源_02物料!$T394)&lt;&gt;0)),1,0)</f>
        <v>0</v>
      </c>
      <c r="Q1594" s="1" t="n">
        <f aca="false">N(Q1593)+$P1594</f>
        <v>13</v>
      </c>
      <c r="R1594" s="1" t="n">
        <f aca="false">IF(AND($K1594=1,AND(对接源_02物料!$X394="公司筐",N(对接源_02物料!$U394)&lt;&gt;0)),1,0)</f>
        <v>0</v>
      </c>
      <c r="S1594" s="1" t="n">
        <f aca="false">N(S1593)+$R1594</f>
        <v>5</v>
      </c>
      <c r="T1594" s="1" t="n">
        <f aca="false">IF(AND($K1594=1,AND(对接源_02物料!$X394="公司筐",N(对接源_02物料!$V394)&lt;&gt;0)),1,0)</f>
        <v>0</v>
      </c>
      <c r="U1594" s="1" t="n">
        <f aca="false">N(U1593)+$T1594</f>
        <v>28</v>
      </c>
      <c r="V1594" s="1" t="n">
        <f aca="false">IF(AND($L1594=1,AND(对接源_02物料!$X394="自备筐",N(对接源_02物料!$V394)&lt;&gt;0)),1,0)</f>
        <v>0</v>
      </c>
      <c r="W1594" s="1" t="n">
        <f aca="false">N(W1593)+$V1594</f>
        <v>7</v>
      </c>
      <c r="X1594" s="1" t="n">
        <f aca="false">IF(AND($L1594=1,AND(对接源_02物料!$X394="自备筐",N(对接源_02物料!$T394)&lt;&gt;0)),1,0)</f>
        <v>0</v>
      </c>
      <c r="Y1594" s="1" t="n">
        <f aca="false">N(Y1593)+$X1594</f>
        <v>0</v>
      </c>
      <c r="Z1594" s="1" t="n">
        <f aca="false">IF(AND($M1594=1,对接源_02物料!$D394="原料入库"),1,0)</f>
        <v>0</v>
      </c>
      <c r="AA1594" s="1" t="n">
        <f aca="false">N(AA1593)+$Z1594</f>
        <v>30</v>
      </c>
      <c r="AB1594" s="1" t="n">
        <f aca="false">IF(AND($M1594=1,LEFT(对接源_02物料!$D394,4)="原料出库"),1,0)</f>
        <v>0</v>
      </c>
      <c r="AC1594" s="1" t="n">
        <f aca="false">N(AC1593)+$AB1594</f>
        <v>19</v>
      </c>
      <c r="AD1594" s="1" t="n">
        <f aca="false">IF(AND($M1594=1,LEFT(对接源_02物料!$D394,4)="成品出库"),1,0)</f>
        <v>0</v>
      </c>
      <c r="AE1594" s="1" t="n">
        <f aca="false">N(AE1593)+$AD1594</f>
        <v>38</v>
      </c>
      <c r="AF1594" s="1" t="n">
        <f aca="false">IF(AND($N1594=1,AND(LEFT(对接源_02物料!$D394,4)="包装物料",N(对接源_02物料!$K394)&lt;&gt;0)),1,0)</f>
        <v>0</v>
      </c>
      <c r="AG1594" s="1" t="n">
        <f aca="false">N(AG1593)+$AF1594</f>
        <v>6</v>
      </c>
      <c r="AH1594" s="1" t="n">
        <f aca="false">IF(AND($N1594=1,AND(LEFT(对接源_02物料!$D394,3)="周转筐",N(对接源_02物料!$K394)&lt;&gt;0)),1,0)</f>
        <v>0</v>
      </c>
      <c r="AI1594" s="1" t="n">
        <f aca="false">N(AI1593)+$AH1594</f>
        <v>0</v>
      </c>
      <c r="AJ1594" s="1" t="n">
        <v>0</v>
      </c>
      <c r="AK1594" s="1" t="n">
        <f aca="false">N(AK1593)+$AJ1594</f>
        <v>3672</v>
      </c>
    </row>
    <row r="1595" customFormat="false" ht="13.5" hidden="false" customHeight="false" outlineLevel="0" collapsed="false">
      <c r="A1595" s="1" t="str">
        <f aca="false">IF(对接源_02物料!$C395="","",对接源_02物料!$C395)</f>
        <v/>
      </c>
      <c r="B1595" s="1" t="n">
        <f aca="false">IF(A1595="",0,IF(MATCH(A1595,$A$4:$A$2403,0)=ROW()-3,1,0))</f>
        <v>0</v>
      </c>
      <c r="C1595" s="1" t="n">
        <f aca="false">N(C1594)+B1595</f>
        <v>17</v>
      </c>
      <c r="K1595" s="1" t="n">
        <f aca="false">IF(OR($K$1="",对接源_02物料!$C395="",对接源_02物料!$C395&lt;&gt;$K$1,对接源_02物料!$B395=""),0,IF(OR(N(对接源_02物料!$B395)&lt;$K$2,N(对接源_02物料!$B395)&gt;$K$3),0,1))</f>
        <v>0</v>
      </c>
      <c r="L1595" s="1" t="n">
        <f aca="false">IF(OR($L$1="",对接源_02物料!$C395="",对接源_02物料!$C395&lt;&gt;$L$1,对接源_02物料!$B395=""),0,IF(OR(N(对接源_02物料!$B395)&lt;$L$2,N(对接源_02物料!$B395)&gt;$L$3),0,1))</f>
        <v>0</v>
      </c>
      <c r="M1595" s="1" t="n">
        <f aca="false">IF(OR($M$1="",对接源_02物料!$C395="",对接源_02物料!$C395&lt;&gt;$M$1,对接源_02物料!$B395=""),0,IF(OR(N(对接源_02物料!$B395)&lt;$M$2,N(对接源_02物料!$B395)&gt;$M$3),0,1))</f>
        <v>0</v>
      </c>
      <c r="N1595" s="1" t="n">
        <f aca="false">IF(OR($N$1="",对接源_02物料!$C395="",对接源_02物料!$C395&lt;&gt;$N$1,对接源_02物料!$B395=""),0,IF(OR(N(对接源_02物料!$B395)&lt;$N$2,N(对接源_02物料!$B395)&gt;$N$3),0,1))</f>
        <v>0</v>
      </c>
      <c r="P1595" s="1" t="n">
        <f aca="false">IF(AND($K1595=1,AND(对接源_02物料!$X395="公司筐",N(对接源_02物料!$T395)&lt;&gt;0)),1,0)</f>
        <v>0</v>
      </c>
      <c r="Q1595" s="1" t="n">
        <f aca="false">N(Q1594)+$P1595</f>
        <v>13</v>
      </c>
      <c r="R1595" s="1" t="n">
        <f aca="false">IF(AND($K1595=1,AND(对接源_02物料!$X395="公司筐",N(对接源_02物料!$U395)&lt;&gt;0)),1,0)</f>
        <v>0</v>
      </c>
      <c r="S1595" s="1" t="n">
        <f aca="false">N(S1594)+$R1595</f>
        <v>5</v>
      </c>
      <c r="T1595" s="1" t="n">
        <f aca="false">IF(AND($K1595=1,AND(对接源_02物料!$X395="公司筐",N(对接源_02物料!$V395)&lt;&gt;0)),1,0)</f>
        <v>0</v>
      </c>
      <c r="U1595" s="1" t="n">
        <f aca="false">N(U1594)+$T1595</f>
        <v>28</v>
      </c>
      <c r="V1595" s="1" t="n">
        <f aca="false">IF(AND($L1595=1,AND(对接源_02物料!$X395="自备筐",N(对接源_02物料!$V395)&lt;&gt;0)),1,0)</f>
        <v>0</v>
      </c>
      <c r="W1595" s="1" t="n">
        <f aca="false">N(W1594)+$V1595</f>
        <v>7</v>
      </c>
      <c r="X1595" s="1" t="n">
        <f aca="false">IF(AND($L1595=1,AND(对接源_02物料!$X395="自备筐",N(对接源_02物料!$T395)&lt;&gt;0)),1,0)</f>
        <v>0</v>
      </c>
      <c r="Y1595" s="1" t="n">
        <f aca="false">N(Y1594)+$X1595</f>
        <v>0</v>
      </c>
      <c r="Z1595" s="1" t="n">
        <f aca="false">IF(AND($M1595=1,对接源_02物料!$D395="原料入库"),1,0)</f>
        <v>0</v>
      </c>
      <c r="AA1595" s="1" t="n">
        <f aca="false">N(AA1594)+$Z1595</f>
        <v>30</v>
      </c>
      <c r="AB1595" s="1" t="n">
        <f aca="false">IF(AND($M1595=1,LEFT(对接源_02物料!$D395,4)="原料出库"),1,0)</f>
        <v>0</v>
      </c>
      <c r="AC1595" s="1" t="n">
        <f aca="false">N(AC1594)+$AB1595</f>
        <v>19</v>
      </c>
      <c r="AD1595" s="1" t="n">
        <f aca="false">IF(AND($M1595=1,LEFT(对接源_02物料!$D395,4)="成品出库"),1,0)</f>
        <v>0</v>
      </c>
      <c r="AE1595" s="1" t="n">
        <f aca="false">N(AE1594)+$AD1595</f>
        <v>38</v>
      </c>
      <c r="AF1595" s="1" t="n">
        <f aca="false">IF(AND($N1595=1,AND(LEFT(对接源_02物料!$D395,4)="包装物料",N(对接源_02物料!$K395)&lt;&gt;0)),1,0)</f>
        <v>0</v>
      </c>
      <c r="AG1595" s="1" t="n">
        <f aca="false">N(AG1594)+$AF1595</f>
        <v>6</v>
      </c>
      <c r="AH1595" s="1" t="n">
        <f aca="false">IF(AND($N1595=1,AND(LEFT(对接源_02物料!$D395,3)="周转筐",N(对接源_02物料!$K395)&lt;&gt;0)),1,0)</f>
        <v>0</v>
      </c>
      <c r="AI1595" s="1" t="n">
        <f aca="false">N(AI1594)+$AH1595</f>
        <v>0</v>
      </c>
      <c r="AJ1595" s="1" t="n">
        <v>0</v>
      </c>
      <c r="AK1595" s="1" t="n">
        <f aca="false">N(AK1594)+$AJ1595</f>
        <v>3672</v>
      </c>
    </row>
    <row r="1596" customFormat="false" ht="13.5" hidden="false" customHeight="false" outlineLevel="0" collapsed="false">
      <c r="A1596" s="1" t="str">
        <f aca="false">IF(对接源_02物料!$C396="","",对接源_02物料!$C396)</f>
        <v/>
      </c>
      <c r="B1596" s="1" t="n">
        <f aca="false">IF(A1596="",0,IF(MATCH(A1596,$A$4:$A$2403,0)=ROW()-3,1,0))</f>
        <v>0</v>
      </c>
      <c r="C1596" s="1" t="n">
        <f aca="false">N(C1595)+B1596</f>
        <v>17</v>
      </c>
      <c r="K1596" s="1" t="n">
        <f aca="false">IF(OR($K$1="",对接源_02物料!$C396="",对接源_02物料!$C396&lt;&gt;$K$1,对接源_02物料!$B396=""),0,IF(OR(N(对接源_02物料!$B396)&lt;$K$2,N(对接源_02物料!$B396)&gt;$K$3),0,1))</f>
        <v>0</v>
      </c>
      <c r="L1596" s="1" t="n">
        <f aca="false">IF(OR($L$1="",对接源_02物料!$C396="",对接源_02物料!$C396&lt;&gt;$L$1,对接源_02物料!$B396=""),0,IF(OR(N(对接源_02物料!$B396)&lt;$L$2,N(对接源_02物料!$B396)&gt;$L$3),0,1))</f>
        <v>0</v>
      </c>
      <c r="M1596" s="1" t="n">
        <f aca="false">IF(OR($M$1="",对接源_02物料!$C396="",对接源_02物料!$C396&lt;&gt;$M$1,对接源_02物料!$B396=""),0,IF(OR(N(对接源_02物料!$B396)&lt;$M$2,N(对接源_02物料!$B396)&gt;$M$3),0,1))</f>
        <v>0</v>
      </c>
      <c r="N1596" s="1" t="n">
        <f aca="false">IF(OR($N$1="",对接源_02物料!$C396="",对接源_02物料!$C396&lt;&gt;$N$1,对接源_02物料!$B396=""),0,IF(OR(N(对接源_02物料!$B396)&lt;$N$2,N(对接源_02物料!$B396)&gt;$N$3),0,1))</f>
        <v>0</v>
      </c>
      <c r="P1596" s="1" t="n">
        <f aca="false">IF(AND($K1596=1,AND(对接源_02物料!$X396="公司筐",N(对接源_02物料!$T396)&lt;&gt;0)),1,0)</f>
        <v>0</v>
      </c>
      <c r="Q1596" s="1" t="n">
        <f aca="false">N(Q1595)+$P1596</f>
        <v>13</v>
      </c>
      <c r="R1596" s="1" t="n">
        <f aca="false">IF(AND($K1596=1,AND(对接源_02物料!$X396="公司筐",N(对接源_02物料!$U396)&lt;&gt;0)),1,0)</f>
        <v>0</v>
      </c>
      <c r="S1596" s="1" t="n">
        <f aca="false">N(S1595)+$R1596</f>
        <v>5</v>
      </c>
      <c r="T1596" s="1" t="n">
        <f aca="false">IF(AND($K1596=1,AND(对接源_02物料!$X396="公司筐",N(对接源_02物料!$V396)&lt;&gt;0)),1,0)</f>
        <v>0</v>
      </c>
      <c r="U1596" s="1" t="n">
        <f aca="false">N(U1595)+$T1596</f>
        <v>28</v>
      </c>
      <c r="V1596" s="1" t="n">
        <f aca="false">IF(AND($L1596=1,AND(对接源_02物料!$X396="自备筐",N(对接源_02物料!$V396)&lt;&gt;0)),1,0)</f>
        <v>0</v>
      </c>
      <c r="W1596" s="1" t="n">
        <f aca="false">N(W1595)+$V1596</f>
        <v>7</v>
      </c>
      <c r="X1596" s="1" t="n">
        <f aca="false">IF(AND($L1596=1,AND(对接源_02物料!$X396="自备筐",N(对接源_02物料!$T396)&lt;&gt;0)),1,0)</f>
        <v>0</v>
      </c>
      <c r="Y1596" s="1" t="n">
        <f aca="false">N(Y1595)+$X1596</f>
        <v>0</v>
      </c>
      <c r="Z1596" s="1" t="n">
        <f aca="false">IF(AND($M1596=1,对接源_02物料!$D396="原料入库"),1,0)</f>
        <v>0</v>
      </c>
      <c r="AA1596" s="1" t="n">
        <f aca="false">N(AA1595)+$Z1596</f>
        <v>30</v>
      </c>
      <c r="AB1596" s="1" t="n">
        <f aca="false">IF(AND($M1596=1,LEFT(对接源_02物料!$D396,4)="原料出库"),1,0)</f>
        <v>0</v>
      </c>
      <c r="AC1596" s="1" t="n">
        <f aca="false">N(AC1595)+$AB1596</f>
        <v>19</v>
      </c>
      <c r="AD1596" s="1" t="n">
        <f aca="false">IF(AND($M1596=1,LEFT(对接源_02物料!$D396,4)="成品出库"),1,0)</f>
        <v>0</v>
      </c>
      <c r="AE1596" s="1" t="n">
        <f aca="false">N(AE1595)+$AD1596</f>
        <v>38</v>
      </c>
      <c r="AF1596" s="1" t="n">
        <f aca="false">IF(AND($N1596=1,AND(LEFT(对接源_02物料!$D396,4)="包装物料",N(对接源_02物料!$K396)&lt;&gt;0)),1,0)</f>
        <v>0</v>
      </c>
      <c r="AG1596" s="1" t="n">
        <f aca="false">N(AG1595)+$AF1596</f>
        <v>6</v>
      </c>
      <c r="AH1596" s="1" t="n">
        <f aca="false">IF(AND($N1596=1,AND(LEFT(对接源_02物料!$D396,3)="周转筐",N(对接源_02物料!$K396)&lt;&gt;0)),1,0)</f>
        <v>0</v>
      </c>
      <c r="AI1596" s="1" t="n">
        <f aca="false">N(AI1595)+$AH1596</f>
        <v>0</v>
      </c>
      <c r="AJ1596" s="1" t="n">
        <v>0</v>
      </c>
      <c r="AK1596" s="1" t="n">
        <f aca="false">N(AK1595)+$AJ1596</f>
        <v>3672</v>
      </c>
    </row>
    <row r="1597" customFormat="false" ht="13.5" hidden="false" customHeight="false" outlineLevel="0" collapsed="false">
      <c r="A1597" s="1" t="str">
        <f aca="false">IF(对接源_02物料!$C397="","",对接源_02物料!$C397)</f>
        <v/>
      </c>
      <c r="B1597" s="1" t="n">
        <f aca="false">IF(A1597="",0,IF(MATCH(A1597,$A$4:$A$2403,0)=ROW()-3,1,0))</f>
        <v>0</v>
      </c>
      <c r="C1597" s="1" t="n">
        <f aca="false">N(C1596)+B1597</f>
        <v>17</v>
      </c>
      <c r="K1597" s="1" t="n">
        <f aca="false">IF(OR($K$1="",对接源_02物料!$C397="",对接源_02物料!$C397&lt;&gt;$K$1,对接源_02物料!$B397=""),0,IF(OR(N(对接源_02物料!$B397)&lt;$K$2,N(对接源_02物料!$B397)&gt;$K$3),0,1))</f>
        <v>0</v>
      </c>
      <c r="L1597" s="1" t="n">
        <f aca="false">IF(OR($L$1="",对接源_02物料!$C397="",对接源_02物料!$C397&lt;&gt;$L$1,对接源_02物料!$B397=""),0,IF(OR(N(对接源_02物料!$B397)&lt;$L$2,N(对接源_02物料!$B397)&gt;$L$3),0,1))</f>
        <v>0</v>
      </c>
      <c r="M1597" s="1" t="n">
        <f aca="false">IF(OR($M$1="",对接源_02物料!$C397="",对接源_02物料!$C397&lt;&gt;$M$1,对接源_02物料!$B397=""),0,IF(OR(N(对接源_02物料!$B397)&lt;$M$2,N(对接源_02物料!$B397)&gt;$M$3),0,1))</f>
        <v>0</v>
      </c>
      <c r="N1597" s="1" t="n">
        <f aca="false">IF(OR($N$1="",对接源_02物料!$C397="",对接源_02物料!$C397&lt;&gt;$N$1,对接源_02物料!$B397=""),0,IF(OR(N(对接源_02物料!$B397)&lt;$N$2,N(对接源_02物料!$B397)&gt;$N$3),0,1))</f>
        <v>0</v>
      </c>
      <c r="P1597" s="1" t="n">
        <f aca="false">IF(AND($K1597=1,AND(对接源_02物料!$X397="公司筐",N(对接源_02物料!$T397)&lt;&gt;0)),1,0)</f>
        <v>0</v>
      </c>
      <c r="Q1597" s="1" t="n">
        <f aca="false">N(Q1596)+$P1597</f>
        <v>13</v>
      </c>
      <c r="R1597" s="1" t="n">
        <f aca="false">IF(AND($K1597=1,AND(对接源_02物料!$X397="公司筐",N(对接源_02物料!$U397)&lt;&gt;0)),1,0)</f>
        <v>0</v>
      </c>
      <c r="S1597" s="1" t="n">
        <f aca="false">N(S1596)+$R1597</f>
        <v>5</v>
      </c>
      <c r="T1597" s="1" t="n">
        <f aca="false">IF(AND($K1597=1,AND(对接源_02物料!$X397="公司筐",N(对接源_02物料!$V397)&lt;&gt;0)),1,0)</f>
        <v>0</v>
      </c>
      <c r="U1597" s="1" t="n">
        <f aca="false">N(U1596)+$T1597</f>
        <v>28</v>
      </c>
      <c r="V1597" s="1" t="n">
        <f aca="false">IF(AND($L1597=1,AND(对接源_02物料!$X397="自备筐",N(对接源_02物料!$V397)&lt;&gt;0)),1,0)</f>
        <v>0</v>
      </c>
      <c r="W1597" s="1" t="n">
        <f aca="false">N(W1596)+$V1597</f>
        <v>7</v>
      </c>
      <c r="X1597" s="1" t="n">
        <f aca="false">IF(AND($L1597=1,AND(对接源_02物料!$X397="自备筐",N(对接源_02物料!$T397)&lt;&gt;0)),1,0)</f>
        <v>0</v>
      </c>
      <c r="Y1597" s="1" t="n">
        <f aca="false">N(Y1596)+$X1597</f>
        <v>0</v>
      </c>
      <c r="Z1597" s="1" t="n">
        <f aca="false">IF(AND($M1597=1,对接源_02物料!$D397="原料入库"),1,0)</f>
        <v>0</v>
      </c>
      <c r="AA1597" s="1" t="n">
        <f aca="false">N(AA1596)+$Z1597</f>
        <v>30</v>
      </c>
      <c r="AB1597" s="1" t="n">
        <f aca="false">IF(AND($M1597=1,LEFT(对接源_02物料!$D397,4)="原料出库"),1,0)</f>
        <v>0</v>
      </c>
      <c r="AC1597" s="1" t="n">
        <f aca="false">N(AC1596)+$AB1597</f>
        <v>19</v>
      </c>
      <c r="AD1597" s="1" t="n">
        <f aca="false">IF(AND($M1597=1,LEFT(对接源_02物料!$D397,4)="成品出库"),1,0)</f>
        <v>0</v>
      </c>
      <c r="AE1597" s="1" t="n">
        <f aca="false">N(AE1596)+$AD1597</f>
        <v>38</v>
      </c>
      <c r="AF1597" s="1" t="n">
        <f aca="false">IF(AND($N1597=1,AND(LEFT(对接源_02物料!$D397,4)="包装物料",N(对接源_02物料!$K397)&lt;&gt;0)),1,0)</f>
        <v>0</v>
      </c>
      <c r="AG1597" s="1" t="n">
        <f aca="false">N(AG1596)+$AF1597</f>
        <v>6</v>
      </c>
      <c r="AH1597" s="1" t="n">
        <f aca="false">IF(AND($N1597=1,AND(LEFT(对接源_02物料!$D397,3)="周转筐",N(对接源_02物料!$K397)&lt;&gt;0)),1,0)</f>
        <v>0</v>
      </c>
      <c r="AI1597" s="1" t="n">
        <f aca="false">N(AI1596)+$AH1597</f>
        <v>0</v>
      </c>
      <c r="AJ1597" s="1" t="n">
        <v>0</v>
      </c>
      <c r="AK1597" s="1" t="n">
        <f aca="false">N(AK1596)+$AJ1597</f>
        <v>3672</v>
      </c>
    </row>
    <row r="1598" customFormat="false" ht="13.5" hidden="false" customHeight="false" outlineLevel="0" collapsed="false">
      <c r="A1598" s="1" t="str">
        <f aca="false">IF(对接源_02物料!$C398="","",对接源_02物料!$C398)</f>
        <v/>
      </c>
      <c r="B1598" s="1" t="n">
        <f aca="false">IF(A1598="",0,IF(MATCH(A1598,$A$4:$A$2403,0)=ROW()-3,1,0))</f>
        <v>0</v>
      </c>
      <c r="C1598" s="1" t="n">
        <f aca="false">N(C1597)+B1598</f>
        <v>17</v>
      </c>
      <c r="K1598" s="1" t="n">
        <f aca="false">IF(OR($K$1="",对接源_02物料!$C398="",对接源_02物料!$C398&lt;&gt;$K$1,对接源_02物料!$B398=""),0,IF(OR(N(对接源_02物料!$B398)&lt;$K$2,N(对接源_02物料!$B398)&gt;$K$3),0,1))</f>
        <v>0</v>
      </c>
      <c r="L1598" s="1" t="n">
        <f aca="false">IF(OR($L$1="",对接源_02物料!$C398="",对接源_02物料!$C398&lt;&gt;$L$1,对接源_02物料!$B398=""),0,IF(OR(N(对接源_02物料!$B398)&lt;$L$2,N(对接源_02物料!$B398)&gt;$L$3),0,1))</f>
        <v>0</v>
      </c>
      <c r="M1598" s="1" t="n">
        <f aca="false">IF(OR($M$1="",对接源_02物料!$C398="",对接源_02物料!$C398&lt;&gt;$M$1,对接源_02物料!$B398=""),0,IF(OR(N(对接源_02物料!$B398)&lt;$M$2,N(对接源_02物料!$B398)&gt;$M$3),0,1))</f>
        <v>0</v>
      </c>
      <c r="N1598" s="1" t="n">
        <f aca="false">IF(OR($N$1="",对接源_02物料!$C398="",对接源_02物料!$C398&lt;&gt;$N$1,对接源_02物料!$B398=""),0,IF(OR(N(对接源_02物料!$B398)&lt;$N$2,N(对接源_02物料!$B398)&gt;$N$3),0,1))</f>
        <v>0</v>
      </c>
      <c r="P1598" s="1" t="n">
        <f aca="false">IF(AND($K1598=1,AND(对接源_02物料!$X398="公司筐",N(对接源_02物料!$T398)&lt;&gt;0)),1,0)</f>
        <v>0</v>
      </c>
      <c r="Q1598" s="1" t="n">
        <f aca="false">N(Q1597)+$P1598</f>
        <v>13</v>
      </c>
      <c r="R1598" s="1" t="n">
        <f aca="false">IF(AND($K1598=1,AND(对接源_02物料!$X398="公司筐",N(对接源_02物料!$U398)&lt;&gt;0)),1,0)</f>
        <v>0</v>
      </c>
      <c r="S1598" s="1" t="n">
        <f aca="false">N(S1597)+$R1598</f>
        <v>5</v>
      </c>
      <c r="T1598" s="1" t="n">
        <f aca="false">IF(AND($K1598=1,AND(对接源_02物料!$X398="公司筐",N(对接源_02物料!$V398)&lt;&gt;0)),1,0)</f>
        <v>0</v>
      </c>
      <c r="U1598" s="1" t="n">
        <f aca="false">N(U1597)+$T1598</f>
        <v>28</v>
      </c>
      <c r="V1598" s="1" t="n">
        <f aca="false">IF(AND($L1598=1,AND(对接源_02物料!$X398="自备筐",N(对接源_02物料!$V398)&lt;&gt;0)),1,0)</f>
        <v>0</v>
      </c>
      <c r="W1598" s="1" t="n">
        <f aca="false">N(W1597)+$V1598</f>
        <v>7</v>
      </c>
      <c r="X1598" s="1" t="n">
        <f aca="false">IF(AND($L1598=1,AND(对接源_02物料!$X398="自备筐",N(对接源_02物料!$T398)&lt;&gt;0)),1,0)</f>
        <v>0</v>
      </c>
      <c r="Y1598" s="1" t="n">
        <f aca="false">N(Y1597)+$X1598</f>
        <v>0</v>
      </c>
      <c r="Z1598" s="1" t="n">
        <f aca="false">IF(AND($M1598=1,对接源_02物料!$D398="原料入库"),1,0)</f>
        <v>0</v>
      </c>
      <c r="AA1598" s="1" t="n">
        <f aca="false">N(AA1597)+$Z1598</f>
        <v>30</v>
      </c>
      <c r="AB1598" s="1" t="n">
        <f aca="false">IF(AND($M1598=1,LEFT(对接源_02物料!$D398,4)="原料出库"),1,0)</f>
        <v>0</v>
      </c>
      <c r="AC1598" s="1" t="n">
        <f aca="false">N(AC1597)+$AB1598</f>
        <v>19</v>
      </c>
      <c r="AD1598" s="1" t="n">
        <f aca="false">IF(AND($M1598=1,LEFT(对接源_02物料!$D398,4)="成品出库"),1,0)</f>
        <v>0</v>
      </c>
      <c r="AE1598" s="1" t="n">
        <f aca="false">N(AE1597)+$AD1598</f>
        <v>38</v>
      </c>
      <c r="AF1598" s="1" t="n">
        <f aca="false">IF(AND($N1598=1,AND(LEFT(对接源_02物料!$D398,4)="包装物料",N(对接源_02物料!$K398)&lt;&gt;0)),1,0)</f>
        <v>0</v>
      </c>
      <c r="AG1598" s="1" t="n">
        <f aca="false">N(AG1597)+$AF1598</f>
        <v>6</v>
      </c>
      <c r="AH1598" s="1" t="n">
        <f aca="false">IF(AND($N1598=1,AND(LEFT(对接源_02物料!$D398,3)="周转筐",N(对接源_02物料!$K398)&lt;&gt;0)),1,0)</f>
        <v>0</v>
      </c>
      <c r="AI1598" s="1" t="n">
        <f aca="false">N(AI1597)+$AH1598</f>
        <v>0</v>
      </c>
      <c r="AJ1598" s="1" t="n">
        <v>0</v>
      </c>
      <c r="AK1598" s="1" t="n">
        <f aca="false">N(AK1597)+$AJ1598</f>
        <v>3672</v>
      </c>
    </row>
    <row r="1599" customFormat="false" ht="13.5" hidden="false" customHeight="false" outlineLevel="0" collapsed="false">
      <c r="A1599" s="1" t="str">
        <f aca="false">IF(对接源_02物料!$C399="","",对接源_02物料!$C399)</f>
        <v/>
      </c>
      <c r="B1599" s="1" t="n">
        <f aca="false">IF(A1599="",0,IF(MATCH(A1599,$A$4:$A$2403,0)=ROW()-3,1,0))</f>
        <v>0</v>
      </c>
      <c r="C1599" s="1" t="n">
        <f aca="false">N(C1598)+B1599</f>
        <v>17</v>
      </c>
      <c r="K1599" s="1" t="n">
        <f aca="false">IF(OR($K$1="",对接源_02物料!$C399="",对接源_02物料!$C399&lt;&gt;$K$1,对接源_02物料!$B399=""),0,IF(OR(N(对接源_02物料!$B399)&lt;$K$2,N(对接源_02物料!$B399)&gt;$K$3),0,1))</f>
        <v>0</v>
      </c>
      <c r="L1599" s="1" t="n">
        <f aca="false">IF(OR($L$1="",对接源_02物料!$C399="",对接源_02物料!$C399&lt;&gt;$L$1,对接源_02物料!$B399=""),0,IF(OR(N(对接源_02物料!$B399)&lt;$L$2,N(对接源_02物料!$B399)&gt;$L$3),0,1))</f>
        <v>0</v>
      </c>
      <c r="M1599" s="1" t="n">
        <f aca="false">IF(OR($M$1="",对接源_02物料!$C399="",对接源_02物料!$C399&lt;&gt;$M$1,对接源_02物料!$B399=""),0,IF(OR(N(对接源_02物料!$B399)&lt;$M$2,N(对接源_02物料!$B399)&gt;$M$3),0,1))</f>
        <v>0</v>
      </c>
      <c r="N1599" s="1" t="n">
        <f aca="false">IF(OR($N$1="",对接源_02物料!$C399="",对接源_02物料!$C399&lt;&gt;$N$1,对接源_02物料!$B399=""),0,IF(OR(N(对接源_02物料!$B399)&lt;$N$2,N(对接源_02物料!$B399)&gt;$N$3),0,1))</f>
        <v>0</v>
      </c>
      <c r="P1599" s="1" t="n">
        <f aca="false">IF(AND($K1599=1,AND(对接源_02物料!$X399="公司筐",N(对接源_02物料!$T399)&lt;&gt;0)),1,0)</f>
        <v>0</v>
      </c>
      <c r="Q1599" s="1" t="n">
        <f aca="false">N(Q1598)+$P1599</f>
        <v>13</v>
      </c>
      <c r="R1599" s="1" t="n">
        <f aca="false">IF(AND($K1599=1,AND(对接源_02物料!$X399="公司筐",N(对接源_02物料!$U399)&lt;&gt;0)),1,0)</f>
        <v>0</v>
      </c>
      <c r="S1599" s="1" t="n">
        <f aca="false">N(S1598)+$R1599</f>
        <v>5</v>
      </c>
      <c r="T1599" s="1" t="n">
        <f aca="false">IF(AND($K1599=1,AND(对接源_02物料!$X399="公司筐",N(对接源_02物料!$V399)&lt;&gt;0)),1,0)</f>
        <v>0</v>
      </c>
      <c r="U1599" s="1" t="n">
        <f aca="false">N(U1598)+$T1599</f>
        <v>28</v>
      </c>
      <c r="V1599" s="1" t="n">
        <f aca="false">IF(AND($L1599=1,AND(对接源_02物料!$X399="自备筐",N(对接源_02物料!$V399)&lt;&gt;0)),1,0)</f>
        <v>0</v>
      </c>
      <c r="W1599" s="1" t="n">
        <f aca="false">N(W1598)+$V1599</f>
        <v>7</v>
      </c>
      <c r="X1599" s="1" t="n">
        <f aca="false">IF(AND($L1599=1,AND(对接源_02物料!$X399="自备筐",N(对接源_02物料!$T399)&lt;&gt;0)),1,0)</f>
        <v>0</v>
      </c>
      <c r="Y1599" s="1" t="n">
        <f aca="false">N(Y1598)+$X1599</f>
        <v>0</v>
      </c>
      <c r="Z1599" s="1" t="n">
        <f aca="false">IF(AND($M1599=1,对接源_02物料!$D399="原料入库"),1,0)</f>
        <v>0</v>
      </c>
      <c r="AA1599" s="1" t="n">
        <f aca="false">N(AA1598)+$Z1599</f>
        <v>30</v>
      </c>
      <c r="AB1599" s="1" t="n">
        <f aca="false">IF(AND($M1599=1,LEFT(对接源_02物料!$D399,4)="原料出库"),1,0)</f>
        <v>0</v>
      </c>
      <c r="AC1599" s="1" t="n">
        <f aca="false">N(AC1598)+$AB1599</f>
        <v>19</v>
      </c>
      <c r="AD1599" s="1" t="n">
        <f aca="false">IF(AND($M1599=1,LEFT(对接源_02物料!$D399,4)="成品出库"),1,0)</f>
        <v>0</v>
      </c>
      <c r="AE1599" s="1" t="n">
        <f aca="false">N(AE1598)+$AD1599</f>
        <v>38</v>
      </c>
      <c r="AF1599" s="1" t="n">
        <f aca="false">IF(AND($N1599=1,AND(LEFT(对接源_02物料!$D399,4)="包装物料",N(对接源_02物料!$K399)&lt;&gt;0)),1,0)</f>
        <v>0</v>
      </c>
      <c r="AG1599" s="1" t="n">
        <f aca="false">N(AG1598)+$AF1599</f>
        <v>6</v>
      </c>
      <c r="AH1599" s="1" t="n">
        <f aca="false">IF(AND($N1599=1,AND(LEFT(对接源_02物料!$D399,3)="周转筐",N(对接源_02物料!$K399)&lt;&gt;0)),1,0)</f>
        <v>0</v>
      </c>
      <c r="AI1599" s="1" t="n">
        <f aca="false">N(AI1598)+$AH1599</f>
        <v>0</v>
      </c>
      <c r="AJ1599" s="1" t="n">
        <v>0</v>
      </c>
      <c r="AK1599" s="1" t="n">
        <f aca="false">N(AK1598)+$AJ1599</f>
        <v>3672</v>
      </c>
    </row>
    <row r="1600" customFormat="false" ht="13.5" hidden="false" customHeight="false" outlineLevel="0" collapsed="false">
      <c r="A1600" s="1" t="str">
        <f aca="false">IF(对接源_02物料!$C400="","",对接源_02物料!$C400)</f>
        <v/>
      </c>
      <c r="B1600" s="1" t="n">
        <f aca="false">IF(A1600="",0,IF(MATCH(A1600,$A$4:$A$2403,0)=ROW()-3,1,0))</f>
        <v>0</v>
      </c>
      <c r="C1600" s="1" t="n">
        <f aca="false">N(C1599)+B1600</f>
        <v>17</v>
      </c>
      <c r="K1600" s="1" t="n">
        <f aca="false">IF(OR($K$1="",对接源_02物料!$C400="",对接源_02物料!$C400&lt;&gt;$K$1,对接源_02物料!$B400=""),0,IF(OR(N(对接源_02物料!$B400)&lt;$K$2,N(对接源_02物料!$B400)&gt;$K$3),0,1))</f>
        <v>0</v>
      </c>
      <c r="L1600" s="1" t="n">
        <f aca="false">IF(OR($L$1="",对接源_02物料!$C400="",对接源_02物料!$C400&lt;&gt;$L$1,对接源_02物料!$B400=""),0,IF(OR(N(对接源_02物料!$B400)&lt;$L$2,N(对接源_02物料!$B400)&gt;$L$3),0,1))</f>
        <v>0</v>
      </c>
      <c r="M1600" s="1" t="n">
        <f aca="false">IF(OR($M$1="",对接源_02物料!$C400="",对接源_02物料!$C400&lt;&gt;$M$1,对接源_02物料!$B400=""),0,IF(OR(N(对接源_02物料!$B400)&lt;$M$2,N(对接源_02物料!$B400)&gt;$M$3),0,1))</f>
        <v>0</v>
      </c>
      <c r="N1600" s="1" t="n">
        <f aca="false">IF(OR($N$1="",对接源_02物料!$C400="",对接源_02物料!$C400&lt;&gt;$N$1,对接源_02物料!$B400=""),0,IF(OR(N(对接源_02物料!$B400)&lt;$N$2,N(对接源_02物料!$B400)&gt;$N$3),0,1))</f>
        <v>0</v>
      </c>
      <c r="P1600" s="1" t="n">
        <f aca="false">IF(AND($K1600=1,AND(对接源_02物料!$X400="公司筐",N(对接源_02物料!$T400)&lt;&gt;0)),1,0)</f>
        <v>0</v>
      </c>
      <c r="Q1600" s="1" t="n">
        <f aca="false">N(Q1599)+$P1600</f>
        <v>13</v>
      </c>
      <c r="R1600" s="1" t="n">
        <f aca="false">IF(AND($K1600=1,AND(对接源_02物料!$X400="公司筐",N(对接源_02物料!$U400)&lt;&gt;0)),1,0)</f>
        <v>0</v>
      </c>
      <c r="S1600" s="1" t="n">
        <f aca="false">N(S1599)+$R1600</f>
        <v>5</v>
      </c>
      <c r="T1600" s="1" t="n">
        <f aca="false">IF(AND($K1600=1,AND(对接源_02物料!$X400="公司筐",N(对接源_02物料!$V400)&lt;&gt;0)),1,0)</f>
        <v>0</v>
      </c>
      <c r="U1600" s="1" t="n">
        <f aca="false">N(U1599)+$T1600</f>
        <v>28</v>
      </c>
      <c r="V1600" s="1" t="n">
        <f aca="false">IF(AND($L1600=1,AND(对接源_02物料!$X400="自备筐",N(对接源_02物料!$V400)&lt;&gt;0)),1,0)</f>
        <v>0</v>
      </c>
      <c r="W1600" s="1" t="n">
        <f aca="false">N(W1599)+$V1600</f>
        <v>7</v>
      </c>
      <c r="X1600" s="1" t="n">
        <f aca="false">IF(AND($L1600=1,AND(对接源_02物料!$X400="自备筐",N(对接源_02物料!$T400)&lt;&gt;0)),1,0)</f>
        <v>0</v>
      </c>
      <c r="Y1600" s="1" t="n">
        <f aca="false">N(Y1599)+$X1600</f>
        <v>0</v>
      </c>
      <c r="Z1600" s="1" t="n">
        <f aca="false">IF(AND($M1600=1,对接源_02物料!$D400="原料入库"),1,0)</f>
        <v>0</v>
      </c>
      <c r="AA1600" s="1" t="n">
        <f aca="false">N(AA1599)+$Z1600</f>
        <v>30</v>
      </c>
      <c r="AB1600" s="1" t="n">
        <f aca="false">IF(AND($M1600=1,LEFT(对接源_02物料!$D400,4)="原料出库"),1,0)</f>
        <v>0</v>
      </c>
      <c r="AC1600" s="1" t="n">
        <f aca="false">N(AC1599)+$AB1600</f>
        <v>19</v>
      </c>
      <c r="AD1600" s="1" t="n">
        <f aca="false">IF(AND($M1600=1,LEFT(对接源_02物料!$D400,4)="成品出库"),1,0)</f>
        <v>0</v>
      </c>
      <c r="AE1600" s="1" t="n">
        <f aca="false">N(AE1599)+$AD1600</f>
        <v>38</v>
      </c>
      <c r="AF1600" s="1" t="n">
        <f aca="false">IF(AND($N1600=1,AND(LEFT(对接源_02物料!$D400,4)="包装物料",N(对接源_02物料!$K400)&lt;&gt;0)),1,0)</f>
        <v>0</v>
      </c>
      <c r="AG1600" s="1" t="n">
        <f aca="false">N(AG1599)+$AF1600</f>
        <v>6</v>
      </c>
      <c r="AH1600" s="1" t="n">
        <f aca="false">IF(AND($N1600=1,AND(LEFT(对接源_02物料!$D400,3)="周转筐",N(对接源_02物料!$K400)&lt;&gt;0)),1,0)</f>
        <v>0</v>
      </c>
      <c r="AI1600" s="1" t="n">
        <f aca="false">N(AI1599)+$AH1600</f>
        <v>0</v>
      </c>
      <c r="AJ1600" s="1" t="n">
        <v>0</v>
      </c>
      <c r="AK1600" s="1" t="n">
        <f aca="false">N(AK1599)+$AJ1600</f>
        <v>3672</v>
      </c>
    </row>
    <row r="1601" customFormat="false" ht="13.5" hidden="false" customHeight="false" outlineLevel="0" collapsed="false">
      <c r="A1601" s="1" t="str">
        <f aca="false">IF(对接源_02物料!$C401="","",对接源_02物料!$C401)</f>
        <v/>
      </c>
      <c r="B1601" s="1" t="n">
        <f aca="false">IF(A1601="",0,IF(MATCH(A1601,$A$4:$A$2403,0)=ROW()-3,1,0))</f>
        <v>0</v>
      </c>
      <c r="C1601" s="1" t="n">
        <f aca="false">N(C1600)+B1601</f>
        <v>17</v>
      </c>
      <c r="K1601" s="1" t="n">
        <f aca="false">IF(OR($K$1="",对接源_02物料!$C401="",对接源_02物料!$C401&lt;&gt;$K$1,对接源_02物料!$B401=""),0,IF(OR(N(对接源_02物料!$B401)&lt;$K$2,N(对接源_02物料!$B401)&gt;$K$3),0,1))</f>
        <v>0</v>
      </c>
      <c r="L1601" s="1" t="n">
        <f aca="false">IF(OR($L$1="",对接源_02物料!$C401="",对接源_02物料!$C401&lt;&gt;$L$1,对接源_02物料!$B401=""),0,IF(OR(N(对接源_02物料!$B401)&lt;$L$2,N(对接源_02物料!$B401)&gt;$L$3),0,1))</f>
        <v>0</v>
      </c>
      <c r="M1601" s="1" t="n">
        <f aca="false">IF(OR($M$1="",对接源_02物料!$C401="",对接源_02物料!$C401&lt;&gt;$M$1,对接源_02物料!$B401=""),0,IF(OR(N(对接源_02物料!$B401)&lt;$M$2,N(对接源_02物料!$B401)&gt;$M$3),0,1))</f>
        <v>0</v>
      </c>
      <c r="N1601" s="1" t="n">
        <f aca="false">IF(OR($N$1="",对接源_02物料!$C401="",对接源_02物料!$C401&lt;&gt;$N$1,对接源_02物料!$B401=""),0,IF(OR(N(对接源_02物料!$B401)&lt;$N$2,N(对接源_02物料!$B401)&gt;$N$3),0,1))</f>
        <v>0</v>
      </c>
      <c r="P1601" s="1" t="n">
        <f aca="false">IF(AND($K1601=1,AND(对接源_02物料!$X401="公司筐",N(对接源_02物料!$T401)&lt;&gt;0)),1,0)</f>
        <v>0</v>
      </c>
      <c r="Q1601" s="1" t="n">
        <f aca="false">N(Q1600)+$P1601</f>
        <v>13</v>
      </c>
      <c r="R1601" s="1" t="n">
        <f aca="false">IF(AND($K1601=1,AND(对接源_02物料!$X401="公司筐",N(对接源_02物料!$U401)&lt;&gt;0)),1,0)</f>
        <v>0</v>
      </c>
      <c r="S1601" s="1" t="n">
        <f aca="false">N(S1600)+$R1601</f>
        <v>5</v>
      </c>
      <c r="T1601" s="1" t="n">
        <f aca="false">IF(AND($K1601=1,AND(对接源_02物料!$X401="公司筐",N(对接源_02物料!$V401)&lt;&gt;0)),1,0)</f>
        <v>0</v>
      </c>
      <c r="U1601" s="1" t="n">
        <f aca="false">N(U1600)+$T1601</f>
        <v>28</v>
      </c>
      <c r="V1601" s="1" t="n">
        <f aca="false">IF(AND($L1601=1,AND(对接源_02物料!$X401="自备筐",N(对接源_02物料!$V401)&lt;&gt;0)),1,0)</f>
        <v>0</v>
      </c>
      <c r="W1601" s="1" t="n">
        <f aca="false">N(W1600)+$V1601</f>
        <v>7</v>
      </c>
      <c r="X1601" s="1" t="n">
        <f aca="false">IF(AND($L1601=1,AND(对接源_02物料!$X401="自备筐",N(对接源_02物料!$T401)&lt;&gt;0)),1,0)</f>
        <v>0</v>
      </c>
      <c r="Y1601" s="1" t="n">
        <f aca="false">N(Y1600)+$X1601</f>
        <v>0</v>
      </c>
      <c r="Z1601" s="1" t="n">
        <f aca="false">IF(AND($M1601=1,对接源_02物料!$D401="原料入库"),1,0)</f>
        <v>0</v>
      </c>
      <c r="AA1601" s="1" t="n">
        <f aca="false">N(AA1600)+$Z1601</f>
        <v>30</v>
      </c>
      <c r="AB1601" s="1" t="n">
        <f aca="false">IF(AND($M1601=1,LEFT(对接源_02物料!$D401,4)="原料出库"),1,0)</f>
        <v>0</v>
      </c>
      <c r="AC1601" s="1" t="n">
        <f aca="false">N(AC1600)+$AB1601</f>
        <v>19</v>
      </c>
      <c r="AD1601" s="1" t="n">
        <f aca="false">IF(AND($M1601=1,LEFT(对接源_02物料!$D401,4)="成品出库"),1,0)</f>
        <v>0</v>
      </c>
      <c r="AE1601" s="1" t="n">
        <f aca="false">N(AE1600)+$AD1601</f>
        <v>38</v>
      </c>
      <c r="AF1601" s="1" t="n">
        <f aca="false">IF(AND($N1601=1,AND(LEFT(对接源_02物料!$D401,4)="包装物料",N(对接源_02物料!$K401)&lt;&gt;0)),1,0)</f>
        <v>0</v>
      </c>
      <c r="AG1601" s="1" t="n">
        <f aca="false">N(AG1600)+$AF1601</f>
        <v>6</v>
      </c>
      <c r="AH1601" s="1" t="n">
        <f aca="false">IF(AND($N1601=1,AND(LEFT(对接源_02物料!$D401,3)="周转筐",N(对接源_02物料!$K401)&lt;&gt;0)),1,0)</f>
        <v>0</v>
      </c>
      <c r="AI1601" s="1" t="n">
        <f aca="false">N(AI1600)+$AH1601</f>
        <v>0</v>
      </c>
      <c r="AJ1601" s="1" t="n">
        <v>0</v>
      </c>
      <c r="AK1601" s="1" t="n">
        <f aca="false">N(AK1600)+$AJ1601</f>
        <v>3672</v>
      </c>
    </row>
    <row r="1602" customFormat="false" ht="13.5" hidden="false" customHeight="false" outlineLevel="0" collapsed="false">
      <c r="A1602" s="1" t="str">
        <f aca="false">IF(对接源_02物料!$C402="","",对接源_02物料!$C402)</f>
        <v/>
      </c>
      <c r="B1602" s="1" t="n">
        <f aca="false">IF(A1602="",0,IF(MATCH(A1602,$A$4:$A$2403,0)=ROW()-3,1,0))</f>
        <v>0</v>
      </c>
      <c r="C1602" s="1" t="n">
        <f aca="false">N(C1601)+B1602</f>
        <v>17</v>
      </c>
      <c r="K1602" s="1" t="n">
        <f aca="false">IF(OR($K$1="",对接源_02物料!$C402="",对接源_02物料!$C402&lt;&gt;$K$1,对接源_02物料!$B402=""),0,IF(OR(N(对接源_02物料!$B402)&lt;$K$2,N(对接源_02物料!$B402)&gt;$K$3),0,1))</f>
        <v>0</v>
      </c>
      <c r="L1602" s="1" t="n">
        <f aca="false">IF(OR($L$1="",对接源_02物料!$C402="",对接源_02物料!$C402&lt;&gt;$L$1,对接源_02物料!$B402=""),0,IF(OR(N(对接源_02物料!$B402)&lt;$L$2,N(对接源_02物料!$B402)&gt;$L$3),0,1))</f>
        <v>0</v>
      </c>
      <c r="M1602" s="1" t="n">
        <f aca="false">IF(OR($M$1="",对接源_02物料!$C402="",对接源_02物料!$C402&lt;&gt;$M$1,对接源_02物料!$B402=""),0,IF(OR(N(对接源_02物料!$B402)&lt;$M$2,N(对接源_02物料!$B402)&gt;$M$3),0,1))</f>
        <v>0</v>
      </c>
      <c r="N1602" s="1" t="n">
        <f aca="false">IF(OR($N$1="",对接源_02物料!$C402="",对接源_02物料!$C402&lt;&gt;$N$1,对接源_02物料!$B402=""),0,IF(OR(N(对接源_02物料!$B402)&lt;$N$2,N(对接源_02物料!$B402)&gt;$N$3),0,1))</f>
        <v>0</v>
      </c>
      <c r="P1602" s="1" t="n">
        <f aca="false">IF(AND($K1602=1,AND(对接源_02物料!$X402="公司筐",N(对接源_02物料!$T402)&lt;&gt;0)),1,0)</f>
        <v>0</v>
      </c>
      <c r="Q1602" s="1" t="n">
        <f aca="false">N(Q1601)+$P1602</f>
        <v>13</v>
      </c>
      <c r="R1602" s="1" t="n">
        <f aca="false">IF(AND($K1602=1,AND(对接源_02物料!$X402="公司筐",N(对接源_02物料!$U402)&lt;&gt;0)),1,0)</f>
        <v>0</v>
      </c>
      <c r="S1602" s="1" t="n">
        <f aca="false">N(S1601)+$R1602</f>
        <v>5</v>
      </c>
      <c r="T1602" s="1" t="n">
        <f aca="false">IF(AND($K1602=1,AND(对接源_02物料!$X402="公司筐",N(对接源_02物料!$V402)&lt;&gt;0)),1,0)</f>
        <v>0</v>
      </c>
      <c r="U1602" s="1" t="n">
        <f aca="false">N(U1601)+$T1602</f>
        <v>28</v>
      </c>
      <c r="V1602" s="1" t="n">
        <f aca="false">IF(AND($L1602=1,AND(对接源_02物料!$X402="自备筐",N(对接源_02物料!$V402)&lt;&gt;0)),1,0)</f>
        <v>0</v>
      </c>
      <c r="W1602" s="1" t="n">
        <f aca="false">N(W1601)+$V1602</f>
        <v>7</v>
      </c>
      <c r="X1602" s="1" t="n">
        <f aca="false">IF(AND($L1602=1,AND(对接源_02物料!$X402="自备筐",N(对接源_02物料!$T402)&lt;&gt;0)),1,0)</f>
        <v>0</v>
      </c>
      <c r="Y1602" s="1" t="n">
        <f aca="false">N(Y1601)+$X1602</f>
        <v>0</v>
      </c>
      <c r="Z1602" s="1" t="n">
        <f aca="false">IF(AND($M1602=1,对接源_02物料!$D402="原料入库"),1,0)</f>
        <v>0</v>
      </c>
      <c r="AA1602" s="1" t="n">
        <f aca="false">N(AA1601)+$Z1602</f>
        <v>30</v>
      </c>
      <c r="AB1602" s="1" t="n">
        <f aca="false">IF(AND($M1602=1,LEFT(对接源_02物料!$D402,4)="原料出库"),1,0)</f>
        <v>0</v>
      </c>
      <c r="AC1602" s="1" t="n">
        <f aca="false">N(AC1601)+$AB1602</f>
        <v>19</v>
      </c>
      <c r="AD1602" s="1" t="n">
        <f aca="false">IF(AND($M1602=1,LEFT(对接源_02物料!$D402,4)="成品出库"),1,0)</f>
        <v>0</v>
      </c>
      <c r="AE1602" s="1" t="n">
        <f aca="false">N(AE1601)+$AD1602</f>
        <v>38</v>
      </c>
      <c r="AF1602" s="1" t="n">
        <f aca="false">IF(AND($N1602=1,AND(LEFT(对接源_02物料!$D402,4)="包装物料",N(对接源_02物料!$K402)&lt;&gt;0)),1,0)</f>
        <v>0</v>
      </c>
      <c r="AG1602" s="1" t="n">
        <f aca="false">N(AG1601)+$AF1602</f>
        <v>6</v>
      </c>
      <c r="AH1602" s="1" t="n">
        <f aca="false">IF(AND($N1602=1,AND(LEFT(对接源_02物料!$D402,3)="周转筐",N(对接源_02物料!$K402)&lt;&gt;0)),1,0)</f>
        <v>0</v>
      </c>
      <c r="AI1602" s="1" t="n">
        <f aca="false">N(AI1601)+$AH1602</f>
        <v>0</v>
      </c>
      <c r="AJ1602" s="1" t="n">
        <v>0</v>
      </c>
      <c r="AK1602" s="1" t="n">
        <f aca="false">N(AK1601)+$AJ1602</f>
        <v>3672</v>
      </c>
    </row>
    <row r="1603" customFormat="false" ht="13.5" hidden="false" customHeight="false" outlineLevel="0" collapsed="false">
      <c r="A1603" s="1" t="str">
        <f aca="false">IF(对接源_02物料!$C403="","",对接源_02物料!$C403)</f>
        <v/>
      </c>
      <c r="B1603" s="1" t="n">
        <f aca="false">IF(A1603="",0,IF(MATCH(A1603,$A$4:$A$2403,0)=ROW()-3,1,0))</f>
        <v>0</v>
      </c>
      <c r="C1603" s="1" t="n">
        <f aca="false">N(C1602)+B1603</f>
        <v>17</v>
      </c>
      <c r="K1603" s="1" t="n">
        <f aca="false">IF(OR($K$1="",对接源_02物料!$C403="",对接源_02物料!$C403&lt;&gt;$K$1,对接源_02物料!$B403=""),0,IF(OR(N(对接源_02物料!$B403)&lt;$K$2,N(对接源_02物料!$B403)&gt;$K$3),0,1))</f>
        <v>0</v>
      </c>
      <c r="L1603" s="1" t="n">
        <f aca="false">IF(OR($L$1="",对接源_02物料!$C403="",对接源_02物料!$C403&lt;&gt;$L$1,对接源_02物料!$B403=""),0,IF(OR(N(对接源_02物料!$B403)&lt;$L$2,N(对接源_02物料!$B403)&gt;$L$3),0,1))</f>
        <v>0</v>
      </c>
      <c r="M1603" s="1" t="n">
        <f aca="false">IF(OR($M$1="",对接源_02物料!$C403="",对接源_02物料!$C403&lt;&gt;$M$1,对接源_02物料!$B403=""),0,IF(OR(N(对接源_02物料!$B403)&lt;$M$2,N(对接源_02物料!$B403)&gt;$M$3),0,1))</f>
        <v>0</v>
      </c>
      <c r="N1603" s="1" t="n">
        <f aca="false">IF(OR($N$1="",对接源_02物料!$C403="",对接源_02物料!$C403&lt;&gt;$N$1,对接源_02物料!$B403=""),0,IF(OR(N(对接源_02物料!$B403)&lt;$N$2,N(对接源_02物料!$B403)&gt;$N$3),0,1))</f>
        <v>0</v>
      </c>
      <c r="P1603" s="1" t="n">
        <f aca="false">IF(AND($K1603=1,AND(对接源_02物料!$X403="公司筐",N(对接源_02物料!$T403)&lt;&gt;0)),1,0)</f>
        <v>0</v>
      </c>
      <c r="Q1603" s="1" t="n">
        <f aca="false">N(Q1602)+$P1603</f>
        <v>13</v>
      </c>
      <c r="R1603" s="1" t="n">
        <f aca="false">IF(AND($K1603=1,AND(对接源_02物料!$X403="公司筐",N(对接源_02物料!$U403)&lt;&gt;0)),1,0)</f>
        <v>0</v>
      </c>
      <c r="S1603" s="1" t="n">
        <f aca="false">N(S1602)+$R1603</f>
        <v>5</v>
      </c>
      <c r="T1603" s="1" t="n">
        <f aca="false">IF(AND($K1603=1,AND(对接源_02物料!$X403="公司筐",N(对接源_02物料!$V403)&lt;&gt;0)),1,0)</f>
        <v>0</v>
      </c>
      <c r="U1603" s="1" t="n">
        <f aca="false">N(U1602)+$T1603</f>
        <v>28</v>
      </c>
      <c r="V1603" s="1" t="n">
        <f aca="false">IF(AND($L1603=1,AND(对接源_02物料!$X403="自备筐",N(对接源_02物料!$V403)&lt;&gt;0)),1,0)</f>
        <v>0</v>
      </c>
      <c r="W1603" s="1" t="n">
        <f aca="false">N(W1602)+$V1603</f>
        <v>7</v>
      </c>
      <c r="X1603" s="1" t="n">
        <f aca="false">IF(AND($L1603=1,AND(对接源_02物料!$X403="自备筐",N(对接源_02物料!$T403)&lt;&gt;0)),1,0)</f>
        <v>0</v>
      </c>
      <c r="Y1603" s="1" t="n">
        <f aca="false">N(Y1602)+$X1603</f>
        <v>0</v>
      </c>
      <c r="Z1603" s="1" t="n">
        <f aca="false">IF(AND($M1603=1,对接源_02物料!$D403="原料入库"),1,0)</f>
        <v>0</v>
      </c>
      <c r="AA1603" s="1" t="n">
        <f aca="false">N(AA1602)+$Z1603</f>
        <v>30</v>
      </c>
      <c r="AB1603" s="1" t="n">
        <f aca="false">IF(AND($M1603=1,LEFT(对接源_02物料!$D403,4)="原料出库"),1,0)</f>
        <v>0</v>
      </c>
      <c r="AC1603" s="1" t="n">
        <f aca="false">N(AC1602)+$AB1603</f>
        <v>19</v>
      </c>
      <c r="AD1603" s="1" t="n">
        <f aca="false">IF(AND($M1603=1,LEFT(对接源_02物料!$D403,4)="成品出库"),1,0)</f>
        <v>0</v>
      </c>
      <c r="AE1603" s="1" t="n">
        <f aca="false">N(AE1602)+$AD1603</f>
        <v>38</v>
      </c>
      <c r="AF1603" s="1" t="n">
        <f aca="false">IF(AND($N1603=1,AND(LEFT(对接源_02物料!$D403,4)="包装物料",N(对接源_02物料!$K403)&lt;&gt;0)),1,0)</f>
        <v>0</v>
      </c>
      <c r="AG1603" s="1" t="n">
        <f aca="false">N(AG1602)+$AF1603</f>
        <v>6</v>
      </c>
      <c r="AH1603" s="1" t="n">
        <f aca="false">IF(AND($N1603=1,AND(LEFT(对接源_02物料!$D403,3)="周转筐",N(对接源_02物料!$K403)&lt;&gt;0)),1,0)</f>
        <v>0</v>
      </c>
      <c r="AI1603" s="1" t="n">
        <f aca="false">N(AI1602)+$AH1603</f>
        <v>0</v>
      </c>
      <c r="AJ1603" s="1" t="n">
        <v>0</v>
      </c>
      <c r="AK1603" s="1" t="n">
        <f aca="false">N(AK1602)+$AJ1603</f>
        <v>3672</v>
      </c>
    </row>
    <row r="1604" customFormat="false" ht="13.5" hidden="false" customHeight="false" outlineLevel="0" collapsed="false">
      <c r="A1604" s="1" t="str">
        <f aca="false">IF(对接源_02物料!$C404="","",对接源_02物料!$C404)</f>
        <v/>
      </c>
      <c r="B1604" s="1" t="n">
        <f aca="false">IF(A1604="",0,IF(MATCH(A1604,$A$4:$A$2403,0)=ROW()-3,1,0))</f>
        <v>0</v>
      </c>
      <c r="C1604" s="1" t="n">
        <f aca="false">N(C1603)+B1604</f>
        <v>17</v>
      </c>
      <c r="K1604" s="1" t="n">
        <f aca="false">IF(OR($K$1="",对接源_02物料!$C404="",对接源_02物料!$C404&lt;&gt;$K$1,对接源_02物料!$B404=""),0,IF(OR(N(对接源_02物料!$B404)&lt;$K$2,N(对接源_02物料!$B404)&gt;$K$3),0,1))</f>
        <v>0</v>
      </c>
      <c r="L1604" s="1" t="n">
        <f aca="false">IF(OR($L$1="",对接源_02物料!$C404="",对接源_02物料!$C404&lt;&gt;$L$1,对接源_02物料!$B404=""),0,IF(OR(N(对接源_02物料!$B404)&lt;$L$2,N(对接源_02物料!$B404)&gt;$L$3),0,1))</f>
        <v>0</v>
      </c>
      <c r="M1604" s="1" t="n">
        <f aca="false">IF(OR($M$1="",对接源_02物料!$C404="",对接源_02物料!$C404&lt;&gt;$M$1,对接源_02物料!$B404=""),0,IF(OR(N(对接源_02物料!$B404)&lt;$M$2,N(对接源_02物料!$B404)&gt;$M$3),0,1))</f>
        <v>0</v>
      </c>
      <c r="N1604" s="1" t="n">
        <f aca="false">IF(OR($N$1="",对接源_02物料!$C404="",对接源_02物料!$C404&lt;&gt;$N$1,对接源_02物料!$B404=""),0,IF(OR(N(对接源_02物料!$B404)&lt;$N$2,N(对接源_02物料!$B404)&gt;$N$3),0,1))</f>
        <v>0</v>
      </c>
      <c r="P1604" s="1" t="n">
        <f aca="false">IF(AND($K1604=1,AND(对接源_02物料!$X404="公司筐",N(对接源_02物料!$T404)&lt;&gt;0)),1,0)</f>
        <v>0</v>
      </c>
      <c r="Q1604" s="1" t="n">
        <f aca="false">N(Q1603)+$P1604</f>
        <v>13</v>
      </c>
      <c r="R1604" s="1" t="n">
        <f aca="false">IF(AND($K1604=1,AND(对接源_02物料!$X404="公司筐",N(对接源_02物料!$U404)&lt;&gt;0)),1,0)</f>
        <v>0</v>
      </c>
      <c r="S1604" s="1" t="n">
        <f aca="false">N(S1603)+$R1604</f>
        <v>5</v>
      </c>
      <c r="T1604" s="1" t="n">
        <f aca="false">IF(AND($K1604=1,AND(对接源_02物料!$X404="公司筐",N(对接源_02物料!$V404)&lt;&gt;0)),1,0)</f>
        <v>0</v>
      </c>
      <c r="U1604" s="1" t="n">
        <f aca="false">N(U1603)+$T1604</f>
        <v>28</v>
      </c>
      <c r="V1604" s="1" t="n">
        <f aca="false">IF(AND($L1604=1,AND(对接源_02物料!$X404="自备筐",N(对接源_02物料!$V404)&lt;&gt;0)),1,0)</f>
        <v>0</v>
      </c>
      <c r="W1604" s="1" t="n">
        <f aca="false">N(W1603)+$V1604</f>
        <v>7</v>
      </c>
      <c r="X1604" s="1" t="n">
        <f aca="false">IF(AND($L1604=1,AND(对接源_02物料!$X404="自备筐",N(对接源_02物料!$T404)&lt;&gt;0)),1,0)</f>
        <v>0</v>
      </c>
      <c r="Y1604" s="1" t="n">
        <f aca="false">N(Y1603)+$X1604</f>
        <v>0</v>
      </c>
      <c r="Z1604" s="1" t="n">
        <f aca="false">IF(AND($M1604=1,对接源_02物料!$D404="原料入库"),1,0)</f>
        <v>0</v>
      </c>
      <c r="AA1604" s="1" t="n">
        <f aca="false">N(AA1603)+$Z1604</f>
        <v>30</v>
      </c>
      <c r="AB1604" s="1" t="n">
        <f aca="false">IF(AND($M1604=1,LEFT(对接源_02物料!$D404,4)="原料出库"),1,0)</f>
        <v>0</v>
      </c>
      <c r="AC1604" s="1" t="n">
        <f aca="false">N(AC1603)+$AB1604</f>
        <v>19</v>
      </c>
      <c r="AD1604" s="1" t="n">
        <f aca="false">IF(AND($M1604=1,LEFT(对接源_02物料!$D404,4)="成品出库"),1,0)</f>
        <v>0</v>
      </c>
      <c r="AE1604" s="1" t="n">
        <f aca="false">N(AE1603)+$AD1604</f>
        <v>38</v>
      </c>
      <c r="AF1604" s="1" t="n">
        <f aca="false">IF(AND($N1604=1,AND(LEFT(对接源_02物料!$D404,4)="包装物料",N(对接源_02物料!$K404)&lt;&gt;0)),1,0)</f>
        <v>0</v>
      </c>
      <c r="AG1604" s="1" t="n">
        <f aca="false">N(AG1603)+$AF1604</f>
        <v>6</v>
      </c>
      <c r="AH1604" s="1" t="n">
        <f aca="false">IF(AND($N1604=1,AND(LEFT(对接源_02物料!$D404,3)="周转筐",N(对接源_02物料!$K404)&lt;&gt;0)),1,0)</f>
        <v>0</v>
      </c>
      <c r="AI1604" s="1" t="n">
        <f aca="false">N(AI1603)+$AH1604</f>
        <v>0</v>
      </c>
      <c r="AJ1604" s="1" t="n">
        <v>0</v>
      </c>
      <c r="AK1604" s="1" t="n">
        <f aca="false">N(AK1603)+$AJ1604</f>
        <v>3672</v>
      </c>
    </row>
    <row r="1605" customFormat="false" ht="13.5" hidden="false" customHeight="false" outlineLevel="0" collapsed="false">
      <c r="A1605" s="1" t="str">
        <f aca="false">IF(对接源_02物料!$C405="","",对接源_02物料!$C405)</f>
        <v/>
      </c>
      <c r="B1605" s="1" t="n">
        <f aca="false">IF(A1605="",0,IF(MATCH(A1605,$A$4:$A$2403,0)=ROW()-3,1,0))</f>
        <v>0</v>
      </c>
      <c r="C1605" s="1" t="n">
        <f aca="false">N(C1604)+B1605</f>
        <v>17</v>
      </c>
      <c r="K1605" s="1" t="n">
        <f aca="false">IF(OR($K$1="",对接源_02物料!$C405="",对接源_02物料!$C405&lt;&gt;$K$1,对接源_02物料!$B405=""),0,IF(OR(N(对接源_02物料!$B405)&lt;$K$2,N(对接源_02物料!$B405)&gt;$K$3),0,1))</f>
        <v>0</v>
      </c>
      <c r="L1605" s="1" t="n">
        <f aca="false">IF(OR($L$1="",对接源_02物料!$C405="",对接源_02物料!$C405&lt;&gt;$L$1,对接源_02物料!$B405=""),0,IF(OR(N(对接源_02物料!$B405)&lt;$L$2,N(对接源_02物料!$B405)&gt;$L$3),0,1))</f>
        <v>0</v>
      </c>
      <c r="M1605" s="1" t="n">
        <f aca="false">IF(OR($M$1="",对接源_02物料!$C405="",对接源_02物料!$C405&lt;&gt;$M$1,对接源_02物料!$B405=""),0,IF(OR(N(对接源_02物料!$B405)&lt;$M$2,N(对接源_02物料!$B405)&gt;$M$3),0,1))</f>
        <v>0</v>
      </c>
      <c r="N1605" s="1" t="n">
        <f aca="false">IF(OR($N$1="",对接源_02物料!$C405="",对接源_02物料!$C405&lt;&gt;$N$1,对接源_02物料!$B405=""),0,IF(OR(N(对接源_02物料!$B405)&lt;$N$2,N(对接源_02物料!$B405)&gt;$N$3),0,1))</f>
        <v>0</v>
      </c>
      <c r="P1605" s="1" t="n">
        <f aca="false">IF(AND($K1605=1,AND(对接源_02物料!$X405="公司筐",N(对接源_02物料!$T405)&lt;&gt;0)),1,0)</f>
        <v>0</v>
      </c>
      <c r="Q1605" s="1" t="n">
        <f aca="false">N(Q1604)+$P1605</f>
        <v>13</v>
      </c>
      <c r="R1605" s="1" t="n">
        <f aca="false">IF(AND($K1605=1,AND(对接源_02物料!$X405="公司筐",N(对接源_02物料!$U405)&lt;&gt;0)),1,0)</f>
        <v>0</v>
      </c>
      <c r="S1605" s="1" t="n">
        <f aca="false">N(S1604)+$R1605</f>
        <v>5</v>
      </c>
      <c r="T1605" s="1" t="n">
        <f aca="false">IF(AND($K1605=1,AND(对接源_02物料!$X405="公司筐",N(对接源_02物料!$V405)&lt;&gt;0)),1,0)</f>
        <v>0</v>
      </c>
      <c r="U1605" s="1" t="n">
        <f aca="false">N(U1604)+$T1605</f>
        <v>28</v>
      </c>
      <c r="V1605" s="1" t="n">
        <f aca="false">IF(AND($L1605=1,AND(对接源_02物料!$X405="自备筐",N(对接源_02物料!$V405)&lt;&gt;0)),1,0)</f>
        <v>0</v>
      </c>
      <c r="W1605" s="1" t="n">
        <f aca="false">N(W1604)+$V1605</f>
        <v>7</v>
      </c>
      <c r="X1605" s="1" t="n">
        <f aca="false">IF(AND($L1605=1,AND(对接源_02物料!$X405="自备筐",N(对接源_02物料!$T405)&lt;&gt;0)),1,0)</f>
        <v>0</v>
      </c>
      <c r="Y1605" s="1" t="n">
        <f aca="false">N(Y1604)+$X1605</f>
        <v>0</v>
      </c>
      <c r="Z1605" s="1" t="n">
        <f aca="false">IF(AND($M1605=1,对接源_02物料!$D405="原料入库"),1,0)</f>
        <v>0</v>
      </c>
      <c r="AA1605" s="1" t="n">
        <f aca="false">N(AA1604)+$Z1605</f>
        <v>30</v>
      </c>
      <c r="AB1605" s="1" t="n">
        <f aca="false">IF(AND($M1605=1,LEFT(对接源_02物料!$D405,4)="原料出库"),1,0)</f>
        <v>0</v>
      </c>
      <c r="AC1605" s="1" t="n">
        <f aca="false">N(AC1604)+$AB1605</f>
        <v>19</v>
      </c>
      <c r="AD1605" s="1" t="n">
        <f aca="false">IF(AND($M1605=1,LEFT(对接源_02物料!$D405,4)="成品出库"),1,0)</f>
        <v>0</v>
      </c>
      <c r="AE1605" s="1" t="n">
        <f aca="false">N(AE1604)+$AD1605</f>
        <v>38</v>
      </c>
      <c r="AF1605" s="1" t="n">
        <f aca="false">IF(AND($N1605=1,AND(LEFT(对接源_02物料!$D405,4)="包装物料",N(对接源_02物料!$K405)&lt;&gt;0)),1,0)</f>
        <v>0</v>
      </c>
      <c r="AG1605" s="1" t="n">
        <f aca="false">N(AG1604)+$AF1605</f>
        <v>6</v>
      </c>
      <c r="AH1605" s="1" t="n">
        <f aca="false">IF(AND($N1605=1,AND(LEFT(对接源_02物料!$D405,3)="周转筐",N(对接源_02物料!$K405)&lt;&gt;0)),1,0)</f>
        <v>0</v>
      </c>
      <c r="AI1605" s="1" t="n">
        <f aca="false">N(AI1604)+$AH1605</f>
        <v>0</v>
      </c>
      <c r="AJ1605" s="1" t="n">
        <v>0</v>
      </c>
      <c r="AK1605" s="1" t="n">
        <f aca="false">N(AK1604)+$AJ1605</f>
        <v>3672</v>
      </c>
    </row>
    <row r="1606" customFormat="false" ht="13.5" hidden="false" customHeight="false" outlineLevel="0" collapsed="false">
      <c r="A1606" s="1" t="str">
        <f aca="false">IF(对接源_02物料!$C406="","",对接源_02物料!$C406)</f>
        <v/>
      </c>
      <c r="B1606" s="1" t="n">
        <f aca="false">IF(A1606="",0,IF(MATCH(A1606,$A$4:$A$2403,0)=ROW()-3,1,0))</f>
        <v>0</v>
      </c>
      <c r="C1606" s="1" t="n">
        <f aca="false">N(C1605)+B1606</f>
        <v>17</v>
      </c>
      <c r="K1606" s="1" t="n">
        <f aca="false">IF(OR($K$1="",对接源_02物料!$C406="",对接源_02物料!$C406&lt;&gt;$K$1,对接源_02物料!$B406=""),0,IF(OR(N(对接源_02物料!$B406)&lt;$K$2,N(对接源_02物料!$B406)&gt;$K$3),0,1))</f>
        <v>0</v>
      </c>
      <c r="L1606" s="1" t="n">
        <f aca="false">IF(OR($L$1="",对接源_02物料!$C406="",对接源_02物料!$C406&lt;&gt;$L$1,对接源_02物料!$B406=""),0,IF(OR(N(对接源_02物料!$B406)&lt;$L$2,N(对接源_02物料!$B406)&gt;$L$3),0,1))</f>
        <v>0</v>
      </c>
      <c r="M1606" s="1" t="n">
        <f aca="false">IF(OR($M$1="",对接源_02物料!$C406="",对接源_02物料!$C406&lt;&gt;$M$1,对接源_02物料!$B406=""),0,IF(OR(N(对接源_02物料!$B406)&lt;$M$2,N(对接源_02物料!$B406)&gt;$M$3),0,1))</f>
        <v>0</v>
      </c>
      <c r="N1606" s="1" t="n">
        <f aca="false">IF(OR($N$1="",对接源_02物料!$C406="",对接源_02物料!$C406&lt;&gt;$N$1,对接源_02物料!$B406=""),0,IF(OR(N(对接源_02物料!$B406)&lt;$N$2,N(对接源_02物料!$B406)&gt;$N$3),0,1))</f>
        <v>0</v>
      </c>
      <c r="P1606" s="1" t="n">
        <f aca="false">IF(AND($K1606=1,AND(对接源_02物料!$X406="公司筐",N(对接源_02物料!$T406)&lt;&gt;0)),1,0)</f>
        <v>0</v>
      </c>
      <c r="Q1606" s="1" t="n">
        <f aca="false">N(Q1605)+$P1606</f>
        <v>13</v>
      </c>
      <c r="R1606" s="1" t="n">
        <f aca="false">IF(AND($K1606=1,AND(对接源_02物料!$X406="公司筐",N(对接源_02物料!$U406)&lt;&gt;0)),1,0)</f>
        <v>0</v>
      </c>
      <c r="S1606" s="1" t="n">
        <f aca="false">N(S1605)+$R1606</f>
        <v>5</v>
      </c>
      <c r="T1606" s="1" t="n">
        <f aca="false">IF(AND($K1606=1,AND(对接源_02物料!$X406="公司筐",N(对接源_02物料!$V406)&lt;&gt;0)),1,0)</f>
        <v>0</v>
      </c>
      <c r="U1606" s="1" t="n">
        <f aca="false">N(U1605)+$T1606</f>
        <v>28</v>
      </c>
      <c r="V1606" s="1" t="n">
        <f aca="false">IF(AND($L1606=1,AND(对接源_02物料!$X406="自备筐",N(对接源_02物料!$V406)&lt;&gt;0)),1,0)</f>
        <v>0</v>
      </c>
      <c r="W1606" s="1" t="n">
        <f aca="false">N(W1605)+$V1606</f>
        <v>7</v>
      </c>
      <c r="X1606" s="1" t="n">
        <f aca="false">IF(AND($L1606=1,AND(对接源_02物料!$X406="自备筐",N(对接源_02物料!$T406)&lt;&gt;0)),1,0)</f>
        <v>0</v>
      </c>
      <c r="Y1606" s="1" t="n">
        <f aca="false">N(Y1605)+$X1606</f>
        <v>0</v>
      </c>
      <c r="Z1606" s="1" t="n">
        <f aca="false">IF(AND($M1606=1,对接源_02物料!$D406="原料入库"),1,0)</f>
        <v>0</v>
      </c>
      <c r="AA1606" s="1" t="n">
        <f aca="false">N(AA1605)+$Z1606</f>
        <v>30</v>
      </c>
      <c r="AB1606" s="1" t="n">
        <f aca="false">IF(AND($M1606=1,LEFT(对接源_02物料!$D406,4)="原料出库"),1,0)</f>
        <v>0</v>
      </c>
      <c r="AC1606" s="1" t="n">
        <f aca="false">N(AC1605)+$AB1606</f>
        <v>19</v>
      </c>
      <c r="AD1606" s="1" t="n">
        <f aca="false">IF(AND($M1606=1,LEFT(对接源_02物料!$D406,4)="成品出库"),1,0)</f>
        <v>0</v>
      </c>
      <c r="AE1606" s="1" t="n">
        <f aca="false">N(AE1605)+$AD1606</f>
        <v>38</v>
      </c>
      <c r="AF1606" s="1" t="n">
        <f aca="false">IF(AND($N1606=1,AND(LEFT(对接源_02物料!$D406,4)="包装物料",N(对接源_02物料!$K406)&lt;&gt;0)),1,0)</f>
        <v>0</v>
      </c>
      <c r="AG1606" s="1" t="n">
        <f aca="false">N(AG1605)+$AF1606</f>
        <v>6</v>
      </c>
      <c r="AH1606" s="1" t="n">
        <f aca="false">IF(AND($N1606=1,AND(LEFT(对接源_02物料!$D406,3)="周转筐",N(对接源_02物料!$K406)&lt;&gt;0)),1,0)</f>
        <v>0</v>
      </c>
      <c r="AI1606" s="1" t="n">
        <f aca="false">N(AI1605)+$AH1606</f>
        <v>0</v>
      </c>
      <c r="AJ1606" s="1" t="n">
        <v>0</v>
      </c>
      <c r="AK1606" s="1" t="n">
        <f aca="false">N(AK1605)+$AJ1606</f>
        <v>3672</v>
      </c>
    </row>
    <row r="1607" customFormat="false" ht="13.5" hidden="false" customHeight="false" outlineLevel="0" collapsed="false">
      <c r="A1607" s="1" t="str">
        <f aca="false">IF(对接源_02物料!$C407="","",对接源_02物料!$C407)</f>
        <v/>
      </c>
      <c r="B1607" s="1" t="n">
        <f aca="false">IF(A1607="",0,IF(MATCH(A1607,$A$4:$A$2403,0)=ROW()-3,1,0))</f>
        <v>0</v>
      </c>
      <c r="C1607" s="1" t="n">
        <f aca="false">N(C1606)+B1607</f>
        <v>17</v>
      </c>
      <c r="K1607" s="1" t="n">
        <f aca="false">IF(OR($K$1="",对接源_02物料!$C407="",对接源_02物料!$C407&lt;&gt;$K$1,对接源_02物料!$B407=""),0,IF(OR(N(对接源_02物料!$B407)&lt;$K$2,N(对接源_02物料!$B407)&gt;$K$3),0,1))</f>
        <v>0</v>
      </c>
      <c r="L1607" s="1" t="n">
        <f aca="false">IF(OR($L$1="",对接源_02物料!$C407="",对接源_02物料!$C407&lt;&gt;$L$1,对接源_02物料!$B407=""),0,IF(OR(N(对接源_02物料!$B407)&lt;$L$2,N(对接源_02物料!$B407)&gt;$L$3),0,1))</f>
        <v>0</v>
      </c>
      <c r="M1607" s="1" t="n">
        <f aca="false">IF(OR($M$1="",对接源_02物料!$C407="",对接源_02物料!$C407&lt;&gt;$M$1,对接源_02物料!$B407=""),0,IF(OR(N(对接源_02物料!$B407)&lt;$M$2,N(对接源_02物料!$B407)&gt;$M$3),0,1))</f>
        <v>0</v>
      </c>
      <c r="N1607" s="1" t="n">
        <f aca="false">IF(OR($N$1="",对接源_02物料!$C407="",对接源_02物料!$C407&lt;&gt;$N$1,对接源_02物料!$B407=""),0,IF(OR(N(对接源_02物料!$B407)&lt;$N$2,N(对接源_02物料!$B407)&gt;$N$3),0,1))</f>
        <v>0</v>
      </c>
      <c r="P1607" s="1" t="n">
        <f aca="false">IF(AND($K1607=1,AND(对接源_02物料!$X407="公司筐",N(对接源_02物料!$T407)&lt;&gt;0)),1,0)</f>
        <v>0</v>
      </c>
      <c r="Q1607" s="1" t="n">
        <f aca="false">N(Q1606)+$P1607</f>
        <v>13</v>
      </c>
      <c r="R1607" s="1" t="n">
        <f aca="false">IF(AND($K1607=1,AND(对接源_02物料!$X407="公司筐",N(对接源_02物料!$U407)&lt;&gt;0)),1,0)</f>
        <v>0</v>
      </c>
      <c r="S1607" s="1" t="n">
        <f aca="false">N(S1606)+$R1607</f>
        <v>5</v>
      </c>
      <c r="T1607" s="1" t="n">
        <f aca="false">IF(AND($K1607=1,AND(对接源_02物料!$X407="公司筐",N(对接源_02物料!$V407)&lt;&gt;0)),1,0)</f>
        <v>0</v>
      </c>
      <c r="U1607" s="1" t="n">
        <f aca="false">N(U1606)+$T1607</f>
        <v>28</v>
      </c>
      <c r="V1607" s="1" t="n">
        <f aca="false">IF(AND($L1607=1,AND(对接源_02物料!$X407="自备筐",N(对接源_02物料!$V407)&lt;&gt;0)),1,0)</f>
        <v>0</v>
      </c>
      <c r="W1607" s="1" t="n">
        <f aca="false">N(W1606)+$V1607</f>
        <v>7</v>
      </c>
      <c r="X1607" s="1" t="n">
        <f aca="false">IF(AND($L1607=1,AND(对接源_02物料!$X407="自备筐",N(对接源_02物料!$T407)&lt;&gt;0)),1,0)</f>
        <v>0</v>
      </c>
      <c r="Y1607" s="1" t="n">
        <f aca="false">N(Y1606)+$X1607</f>
        <v>0</v>
      </c>
      <c r="Z1607" s="1" t="n">
        <f aca="false">IF(AND($M1607=1,对接源_02物料!$D407="原料入库"),1,0)</f>
        <v>0</v>
      </c>
      <c r="AA1607" s="1" t="n">
        <f aca="false">N(AA1606)+$Z1607</f>
        <v>30</v>
      </c>
      <c r="AB1607" s="1" t="n">
        <f aca="false">IF(AND($M1607=1,LEFT(对接源_02物料!$D407,4)="原料出库"),1,0)</f>
        <v>0</v>
      </c>
      <c r="AC1607" s="1" t="n">
        <f aca="false">N(AC1606)+$AB1607</f>
        <v>19</v>
      </c>
      <c r="AD1607" s="1" t="n">
        <f aca="false">IF(AND($M1607=1,LEFT(对接源_02物料!$D407,4)="成品出库"),1,0)</f>
        <v>0</v>
      </c>
      <c r="AE1607" s="1" t="n">
        <f aca="false">N(AE1606)+$AD1607</f>
        <v>38</v>
      </c>
      <c r="AF1607" s="1" t="n">
        <f aca="false">IF(AND($N1607=1,AND(LEFT(对接源_02物料!$D407,4)="包装物料",N(对接源_02物料!$K407)&lt;&gt;0)),1,0)</f>
        <v>0</v>
      </c>
      <c r="AG1607" s="1" t="n">
        <f aca="false">N(AG1606)+$AF1607</f>
        <v>6</v>
      </c>
      <c r="AH1607" s="1" t="n">
        <f aca="false">IF(AND($N1607=1,AND(LEFT(对接源_02物料!$D407,3)="周转筐",N(对接源_02物料!$K407)&lt;&gt;0)),1,0)</f>
        <v>0</v>
      </c>
      <c r="AI1607" s="1" t="n">
        <f aca="false">N(AI1606)+$AH1607</f>
        <v>0</v>
      </c>
      <c r="AJ1607" s="1" t="n">
        <v>0</v>
      </c>
      <c r="AK1607" s="1" t="n">
        <f aca="false">N(AK1606)+$AJ1607</f>
        <v>3672</v>
      </c>
    </row>
    <row r="1608" customFormat="false" ht="13.5" hidden="false" customHeight="false" outlineLevel="0" collapsed="false">
      <c r="A1608" s="1" t="str">
        <f aca="false">IF(对接源_02物料!$C408="","",对接源_02物料!$C408)</f>
        <v/>
      </c>
      <c r="B1608" s="1" t="n">
        <f aca="false">IF(A1608="",0,IF(MATCH(A1608,$A$4:$A$2403,0)=ROW()-3,1,0))</f>
        <v>0</v>
      </c>
      <c r="C1608" s="1" t="n">
        <f aca="false">N(C1607)+B1608</f>
        <v>17</v>
      </c>
      <c r="K1608" s="1" t="n">
        <f aca="false">IF(OR($K$1="",对接源_02物料!$C408="",对接源_02物料!$C408&lt;&gt;$K$1,对接源_02物料!$B408=""),0,IF(OR(N(对接源_02物料!$B408)&lt;$K$2,N(对接源_02物料!$B408)&gt;$K$3),0,1))</f>
        <v>0</v>
      </c>
      <c r="L1608" s="1" t="n">
        <f aca="false">IF(OR($L$1="",对接源_02物料!$C408="",对接源_02物料!$C408&lt;&gt;$L$1,对接源_02物料!$B408=""),0,IF(OR(N(对接源_02物料!$B408)&lt;$L$2,N(对接源_02物料!$B408)&gt;$L$3),0,1))</f>
        <v>0</v>
      </c>
      <c r="M1608" s="1" t="n">
        <f aca="false">IF(OR($M$1="",对接源_02物料!$C408="",对接源_02物料!$C408&lt;&gt;$M$1,对接源_02物料!$B408=""),0,IF(OR(N(对接源_02物料!$B408)&lt;$M$2,N(对接源_02物料!$B408)&gt;$M$3),0,1))</f>
        <v>0</v>
      </c>
      <c r="N1608" s="1" t="n">
        <f aca="false">IF(OR($N$1="",对接源_02物料!$C408="",对接源_02物料!$C408&lt;&gt;$N$1,对接源_02物料!$B408=""),0,IF(OR(N(对接源_02物料!$B408)&lt;$N$2,N(对接源_02物料!$B408)&gt;$N$3),0,1))</f>
        <v>0</v>
      </c>
      <c r="P1608" s="1" t="n">
        <f aca="false">IF(AND($K1608=1,AND(对接源_02物料!$X408="公司筐",N(对接源_02物料!$T408)&lt;&gt;0)),1,0)</f>
        <v>0</v>
      </c>
      <c r="Q1608" s="1" t="n">
        <f aca="false">N(Q1607)+$P1608</f>
        <v>13</v>
      </c>
      <c r="R1608" s="1" t="n">
        <f aca="false">IF(AND($K1608=1,AND(对接源_02物料!$X408="公司筐",N(对接源_02物料!$U408)&lt;&gt;0)),1,0)</f>
        <v>0</v>
      </c>
      <c r="S1608" s="1" t="n">
        <f aca="false">N(S1607)+$R1608</f>
        <v>5</v>
      </c>
      <c r="T1608" s="1" t="n">
        <f aca="false">IF(AND($K1608=1,AND(对接源_02物料!$X408="公司筐",N(对接源_02物料!$V408)&lt;&gt;0)),1,0)</f>
        <v>0</v>
      </c>
      <c r="U1608" s="1" t="n">
        <f aca="false">N(U1607)+$T1608</f>
        <v>28</v>
      </c>
      <c r="V1608" s="1" t="n">
        <f aca="false">IF(AND($L1608=1,AND(对接源_02物料!$X408="自备筐",N(对接源_02物料!$V408)&lt;&gt;0)),1,0)</f>
        <v>0</v>
      </c>
      <c r="W1608" s="1" t="n">
        <f aca="false">N(W1607)+$V1608</f>
        <v>7</v>
      </c>
      <c r="X1608" s="1" t="n">
        <f aca="false">IF(AND($L1608=1,AND(对接源_02物料!$X408="自备筐",N(对接源_02物料!$T408)&lt;&gt;0)),1,0)</f>
        <v>0</v>
      </c>
      <c r="Y1608" s="1" t="n">
        <f aca="false">N(Y1607)+$X1608</f>
        <v>0</v>
      </c>
      <c r="Z1608" s="1" t="n">
        <f aca="false">IF(AND($M1608=1,对接源_02物料!$D408="原料入库"),1,0)</f>
        <v>0</v>
      </c>
      <c r="AA1608" s="1" t="n">
        <f aca="false">N(AA1607)+$Z1608</f>
        <v>30</v>
      </c>
      <c r="AB1608" s="1" t="n">
        <f aca="false">IF(AND($M1608=1,LEFT(对接源_02物料!$D408,4)="原料出库"),1,0)</f>
        <v>0</v>
      </c>
      <c r="AC1608" s="1" t="n">
        <f aca="false">N(AC1607)+$AB1608</f>
        <v>19</v>
      </c>
      <c r="AD1608" s="1" t="n">
        <f aca="false">IF(AND($M1608=1,LEFT(对接源_02物料!$D408,4)="成品出库"),1,0)</f>
        <v>0</v>
      </c>
      <c r="AE1608" s="1" t="n">
        <f aca="false">N(AE1607)+$AD1608</f>
        <v>38</v>
      </c>
      <c r="AF1608" s="1" t="n">
        <f aca="false">IF(AND($N1608=1,AND(LEFT(对接源_02物料!$D408,4)="包装物料",N(对接源_02物料!$K408)&lt;&gt;0)),1,0)</f>
        <v>0</v>
      </c>
      <c r="AG1608" s="1" t="n">
        <f aca="false">N(AG1607)+$AF1608</f>
        <v>6</v>
      </c>
      <c r="AH1608" s="1" t="n">
        <f aca="false">IF(AND($N1608=1,AND(LEFT(对接源_02物料!$D408,3)="周转筐",N(对接源_02物料!$K408)&lt;&gt;0)),1,0)</f>
        <v>0</v>
      </c>
      <c r="AI1608" s="1" t="n">
        <f aca="false">N(AI1607)+$AH1608</f>
        <v>0</v>
      </c>
      <c r="AJ1608" s="1" t="n">
        <v>0</v>
      </c>
      <c r="AK1608" s="1" t="n">
        <f aca="false">N(AK1607)+$AJ1608</f>
        <v>3672</v>
      </c>
    </row>
    <row r="1609" customFormat="false" ht="13.5" hidden="false" customHeight="false" outlineLevel="0" collapsed="false">
      <c r="A1609" s="1" t="str">
        <f aca="false">IF(对接源_02物料!$C409="","",对接源_02物料!$C409)</f>
        <v/>
      </c>
      <c r="B1609" s="1" t="n">
        <f aca="false">IF(A1609="",0,IF(MATCH(A1609,$A$4:$A$2403,0)=ROW()-3,1,0))</f>
        <v>0</v>
      </c>
      <c r="C1609" s="1" t="n">
        <f aca="false">N(C1608)+B1609</f>
        <v>17</v>
      </c>
      <c r="K1609" s="1" t="n">
        <f aca="false">IF(OR($K$1="",对接源_02物料!$C409="",对接源_02物料!$C409&lt;&gt;$K$1,对接源_02物料!$B409=""),0,IF(OR(N(对接源_02物料!$B409)&lt;$K$2,N(对接源_02物料!$B409)&gt;$K$3),0,1))</f>
        <v>0</v>
      </c>
      <c r="L1609" s="1" t="n">
        <f aca="false">IF(OR($L$1="",对接源_02物料!$C409="",对接源_02物料!$C409&lt;&gt;$L$1,对接源_02物料!$B409=""),0,IF(OR(N(对接源_02物料!$B409)&lt;$L$2,N(对接源_02物料!$B409)&gt;$L$3),0,1))</f>
        <v>0</v>
      </c>
      <c r="M1609" s="1" t="n">
        <f aca="false">IF(OR($M$1="",对接源_02物料!$C409="",对接源_02物料!$C409&lt;&gt;$M$1,对接源_02物料!$B409=""),0,IF(OR(N(对接源_02物料!$B409)&lt;$M$2,N(对接源_02物料!$B409)&gt;$M$3),0,1))</f>
        <v>0</v>
      </c>
      <c r="N1609" s="1" t="n">
        <f aca="false">IF(OR($N$1="",对接源_02物料!$C409="",对接源_02物料!$C409&lt;&gt;$N$1,对接源_02物料!$B409=""),0,IF(OR(N(对接源_02物料!$B409)&lt;$N$2,N(对接源_02物料!$B409)&gt;$N$3),0,1))</f>
        <v>0</v>
      </c>
      <c r="P1609" s="1" t="n">
        <f aca="false">IF(AND($K1609=1,AND(对接源_02物料!$X409="公司筐",N(对接源_02物料!$T409)&lt;&gt;0)),1,0)</f>
        <v>0</v>
      </c>
      <c r="Q1609" s="1" t="n">
        <f aca="false">N(Q1608)+$P1609</f>
        <v>13</v>
      </c>
      <c r="R1609" s="1" t="n">
        <f aca="false">IF(AND($K1609=1,AND(对接源_02物料!$X409="公司筐",N(对接源_02物料!$U409)&lt;&gt;0)),1,0)</f>
        <v>0</v>
      </c>
      <c r="S1609" s="1" t="n">
        <f aca="false">N(S1608)+$R1609</f>
        <v>5</v>
      </c>
      <c r="T1609" s="1" t="n">
        <f aca="false">IF(AND($K1609=1,AND(对接源_02物料!$X409="公司筐",N(对接源_02物料!$V409)&lt;&gt;0)),1,0)</f>
        <v>0</v>
      </c>
      <c r="U1609" s="1" t="n">
        <f aca="false">N(U1608)+$T1609</f>
        <v>28</v>
      </c>
      <c r="V1609" s="1" t="n">
        <f aca="false">IF(AND($L1609=1,AND(对接源_02物料!$X409="自备筐",N(对接源_02物料!$V409)&lt;&gt;0)),1,0)</f>
        <v>0</v>
      </c>
      <c r="W1609" s="1" t="n">
        <f aca="false">N(W1608)+$V1609</f>
        <v>7</v>
      </c>
      <c r="X1609" s="1" t="n">
        <f aca="false">IF(AND($L1609=1,AND(对接源_02物料!$X409="自备筐",N(对接源_02物料!$T409)&lt;&gt;0)),1,0)</f>
        <v>0</v>
      </c>
      <c r="Y1609" s="1" t="n">
        <f aca="false">N(Y1608)+$X1609</f>
        <v>0</v>
      </c>
      <c r="Z1609" s="1" t="n">
        <f aca="false">IF(AND($M1609=1,对接源_02物料!$D409="原料入库"),1,0)</f>
        <v>0</v>
      </c>
      <c r="AA1609" s="1" t="n">
        <f aca="false">N(AA1608)+$Z1609</f>
        <v>30</v>
      </c>
      <c r="AB1609" s="1" t="n">
        <f aca="false">IF(AND($M1609=1,LEFT(对接源_02物料!$D409,4)="原料出库"),1,0)</f>
        <v>0</v>
      </c>
      <c r="AC1609" s="1" t="n">
        <f aca="false">N(AC1608)+$AB1609</f>
        <v>19</v>
      </c>
      <c r="AD1609" s="1" t="n">
        <f aca="false">IF(AND($M1609=1,LEFT(对接源_02物料!$D409,4)="成品出库"),1,0)</f>
        <v>0</v>
      </c>
      <c r="AE1609" s="1" t="n">
        <f aca="false">N(AE1608)+$AD1609</f>
        <v>38</v>
      </c>
      <c r="AF1609" s="1" t="n">
        <f aca="false">IF(AND($N1609=1,AND(LEFT(对接源_02物料!$D409,4)="包装物料",N(对接源_02物料!$K409)&lt;&gt;0)),1,0)</f>
        <v>0</v>
      </c>
      <c r="AG1609" s="1" t="n">
        <f aca="false">N(AG1608)+$AF1609</f>
        <v>6</v>
      </c>
      <c r="AH1609" s="1" t="n">
        <f aca="false">IF(AND($N1609=1,AND(LEFT(对接源_02物料!$D409,3)="周转筐",N(对接源_02物料!$K409)&lt;&gt;0)),1,0)</f>
        <v>0</v>
      </c>
      <c r="AI1609" s="1" t="n">
        <f aca="false">N(AI1608)+$AH1609</f>
        <v>0</v>
      </c>
      <c r="AJ1609" s="1" t="n">
        <v>0</v>
      </c>
      <c r="AK1609" s="1" t="n">
        <f aca="false">N(AK1608)+$AJ1609</f>
        <v>3672</v>
      </c>
    </row>
    <row r="1610" customFormat="false" ht="13.5" hidden="false" customHeight="false" outlineLevel="0" collapsed="false">
      <c r="A1610" s="1" t="str">
        <f aca="false">IF(对接源_02物料!$C410="","",对接源_02物料!$C410)</f>
        <v/>
      </c>
      <c r="B1610" s="1" t="n">
        <f aca="false">IF(A1610="",0,IF(MATCH(A1610,$A$4:$A$2403,0)=ROW()-3,1,0))</f>
        <v>0</v>
      </c>
      <c r="C1610" s="1" t="n">
        <f aca="false">N(C1609)+B1610</f>
        <v>17</v>
      </c>
      <c r="K1610" s="1" t="n">
        <f aca="false">IF(OR($K$1="",对接源_02物料!$C410="",对接源_02物料!$C410&lt;&gt;$K$1,对接源_02物料!$B410=""),0,IF(OR(N(对接源_02物料!$B410)&lt;$K$2,N(对接源_02物料!$B410)&gt;$K$3),0,1))</f>
        <v>0</v>
      </c>
      <c r="L1610" s="1" t="n">
        <f aca="false">IF(OR($L$1="",对接源_02物料!$C410="",对接源_02物料!$C410&lt;&gt;$L$1,对接源_02物料!$B410=""),0,IF(OR(N(对接源_02物料!$B410)&lt;$L$2,N(对接源_02物料!$B410)&gt;$L$3),0,1))</f>
        <v>0</v>
      </c>
      <c r="M1610" s="1" t="n">
        <f aca="false">IF(OR($M$1="",对接源_02物料!$C410="",对接源_02物料!$C410&lt;&gt;$M$1,对接源_02物料!$B410=""),0,IF(OR(N(对接源_02物料!$B410)&lt;$M$2,N(对接源_02物料!$B410)&gt;$M$3),0,1))</f>
        <v>0</v>
      </c>
      <c r="N1610" s="1" t="n">
        <f aca="false">IF(OR($N$1="",对接源_02物料!$C410="",对接源_02物料!$C410&lt;&gt;$N$1,对接源_02物料!$B410=""),0,IF(OR(N(对接源_02物料!$B410)&lt;$N$2,N(对接源_02物料!$B410)&gt;$N$3),0,1))</f>
        <v>0</v>
      </c>
      <c r="P1610" s="1" t="n">
        <f aca="false">IF(AND($K1610=1,AND(对接源_02物料!$X410="公司筐",N(对接源_02物料!$T410)&lt;&gt;0)),1,0)</f>
        <v>0</v>
      </c>
      <c r="Q1610" s="1" t="n">
        <f aca="false">N(Q1609)+$P1610</f>
        <v>13</v>
      </c>
      <c r="R1610" s="1" t="n">
        <f aca="false">IF(AND($K1610=1,AND(对接源_02物料!$X410="公司筐",N(对接源_02物料!$U410)&lt;&gt;0)),1,0)</f>
        <v>0</v>
      </c>
      <c r="S1610" s="1" t="n">
        <f aca="false">N(S1609)+$R1610</f>
        <v>5</v>
      </c>
      <c r="T1610" s="1" t="n">
        <f aca="false">IF(AND($K1610=1,AND(对接源_02物料!$X410="公司筐",N(对接源_02物料!$V410)&lt;&gt;0)),1,0)</f>
        <v>0</v>
      </c>
      <c r="U1610" s="1" t="n">
        <f aca="false">N(U1609)+$T1610</f>
        <v>28</v>
      </c>
      <c r="V1610" s="1" t="n">
        <f aca="false">IF(AND($L1610=1,AND(对接源_02物料!$X410="自备筐",N(对接源_02物料!$V410)&lt;&gt;0)),1,0)</f>
        <v>0</v>
      </c>
      <c r="W1610" s="1" t="n">
        <f aca="false">N(W1609)+$V1610</f>
        <v>7</v>
      </c>
      <c r="X1610" s="1" t="n">
        <f aca="false">IF(AND($L1610=1,AND(对接源_02物料!$X410="自备筐",N(对接源_02物料!$T410)&lt;&gt;0)),1,0)</f>
        <v>0</v>
      </c>
      <c r="Y1610" s="1" t="n">
        <f aca="false">N(Y1609)+$X1610</f>
        <v>0</v>
      </c>
      <c r="Z1610" s="1" t="n">
        <f aca="false">IF(AND($M1610=1,对接源_02物料!$D410="原料入库"),1,0)</f>
        <v>0</v>
      </c>
      <c r="AA1610" s="1" t="n">
        <f aca="false">N(AA1609)+$Z1610</f>
        <v>30</v>
      </c>
      <c r="AB1610" s="1" t="n">
        <f aca="false">IF(AND($M1610=1,LEFT(对接源_02物料!$D410,4)="原料出库"),1,0)</f>
        <v>0</v>
      </c>
      <c r="AC1610" s="1" t="n">
        <f aca="false">N(AC1609)+$AB1610</f>
        <v>19</v>
      </c>
      <c r="AD1610" s="1" t="n">
        <f aca="false">IF(AND($M1610=1,LEFT(对接源_02物料!$D410,4)="成品出库"),1,0)</f>
        <v>0</v>
      </c>
      <c r="AE1610" s="1" t="n">
        <f aca="false">N(AE1609)+$AD1610</f>
        <v>38</v>
      </c>
      <c r="AF1610" s="1" t="n">
        <f aca="false">IF(AND($N1610=1,AND(LEFT(对接源_02物料!$D410,4)="包装物料",N(对接源_02物料!$K410)&lt;&gt;0)),1,0)</f>
        <v>0</v>
      </c>
      <c r="AG1610" s="1" t="n">
        <f aca="false">N(AG1609)+$AF1610</f>
        <v>6</v>
      </c>
      <c r="AH1610" s="1" t="n">
        <f aca="false">IF(AND($N1610=1,AND(LEFT(对接源_02物料!$D410,3)="周转筐",N(对接源_02物料!$K410)&lt;&gt;0)),1,0)</f>
        <v>0</v>
      </c>
      <c r="AI1610" s="1" t="n">
        <f aca="false">N(AI1609)+$AH1610</f>
        <v>0</v>
      </c>
      <c r="AJ1610" s="1" t="n">
        <v>0</v>
      </c>
      <c r="AK1610" s="1" t="n">
        <f aca="false">N(AK1609)+$AJ1610</f>
        <v>3672</v>
      </c>
    </row>
    <row r="1611" customFormat="false" ht="13.5" hidden="false" customHeight="false" outlineLevel="0" collapsed="false">
      <c r="A1611" s="1" t="str">
        <f aca="false">IF(对接源_02物料!$C411="","",对接源_02物料!$C411)</f>
        <v/>
      </c>
      <c r="B1611" s="1" t="n">
        <f aca="false">IF(A1611="",0,IF(MATCH(A1611,$A$4:$A$2403,0)=ROW()-3,1,0))</f>
        <v>0</v>
      </c>
      <c r="C1611" s="1" t="n">
        <f aca="false">N(C1610)+B1611</f>
        <v>17</v>
      </c>
      <c r="K1611" s="1" t="n">
        <f aca="false">IF(OR($K$1="",对接源_02物料!$C411="",对接源_02物料!$C411&lt;&gt;$K$1,对接源_02物料!$B411=""),0,IF(OR(N(对接源_02物料!$B411)&lt;$K$2,N(对接源_02物料!$B411)&gt;$K$3),0,1))</f>
        <v>0</v>
      </c>
      <c r="L1611" s="1" t="n">
        <f aca="false">IF(OR($L$1="",对接源_02物料!$C411="",对接源_02物料!$C411&lt;&gt;$L$1,对接源_02物料!$B411=""),0,IF(OR(N(对接源_02物料!$B411)&lt;$L$2,N(对接源_02物料!$B411)&gt;$L$3),0,1))</f>
        <v>0</v>
      </c>
      <c r="M1611" s="1" t="n">
        <f aca="false">IF(OR($M$1="",对接源_02物料!$C411="",对接源_02物料!$C411&lt;&gt;$M$1,对接源_02物料!$B411=""),0,IF(OR(N(对接源_02物料!$B411)&lt;$M$2,N(对接源_02物料!$B411)&gt;$M$3),0,1))</f>
        <v>0</v>
      </c>
      <c r="N1611" s="1" t="n">
        <f aca="false">IF(OR($N$1="",对接源_02物料!$C411="",对接源_02物料!$C411&lt;&gt;$N$1,对接源_02物料!$B411=""),0,IF(OR(N(对接源_02物料!$B411)&lt;$N$2,N(对接源_02物料!$B411)&gt;$N$3),0,1))</f>
        <v>0</v>
      </c>
      <c r="P1611" s="1" t="n">
        <f aca="false">IF(AND($K1611=1,AND(对接源_02物料!$X411="公司筐",N(对接源_02物料!$T411)&lt;&gt;0)),1,0)</f>
        <v>0</v>
      </c>
      <c r="Q1611" s="1" t="n">
        <f aca="false">N(Q1610)+$P1611</f>
        <v>13</v>
      </c>
      <c r="R1611" s="1" t="n">
        <f aca="false">IF(AND($K1611=1,AND(对接源_02物料!$X411="公司筐",N(对接源_02物料!$U411)&lt;&gt;0)),1,0)</f>
        <v>0</v>
      </c>
      <c r="S1611" s="1" t="n">
        <f aca="false">N(S1610)+$R1611</f>
        <v>5</v>
      </c>
      <c r="T1611" s="1" t="n">
        <f aca="false">IF(AND($K1611=1,AND(对接源_02物料!$X411="公司筐",N(对接源_02物料!$V411)&lt;&gt;0)),1,0)</f>
        <v>0</v>
      </c>
      <c r="U1611" s="1" t="n">
        <f aca="false">N(U1610)+$T1611</f>
        <v>28</v>
      </c>
      <c r="V1611" s="1" t="n">
        <f aca="false">IF(AND($L1611=1,AND(对接源_02物料!$X411="自备筐",N(对接源_02物料!$V411)&lt;&gt;0)),1,0)</f>
        <v>0</v>
      </c>
      <c r="W1611" s="1" t="n">
        <f aca="false">N(W1610)+$V1611</f>
        <v>7</v>
      </c>
      <c r="X1611" s="1" t="n">
        <f aca="false">IF(AND($L1611=1,AND(对接源_02物料!$X411="自备筐",N(对接源_02物料!$T411)&lt;&gt;0)),1,0)</f>
        <v>0</v>
      </c>
      <c r="Y1611" s="1" t="n">
        <f aca="false">N(Y1610)+$X1611</f>
        <v>0</v>
      </c>
      <c r="Z1611" s="1" t="n">
        <f aca="false">IF(AND($M1611=1,对接源_02物料!$D411="原料入库"),1,0)</f>
        <v>0</v>
      </c>
      <c r="AA1611" s="1" t="n">
        <f aca="false">N(AA1610)+$Z1611</f>
        <v>30</v>
      </c>
      <c r="AB1611" s="1" t="n">
        <f aca="false">IF(AND($M1611=1,LEFT(对接源_02物料!$D411,4)="原料出库"),1,0)</f>
        <v>0</v>
      </c>
      <c r="AC1611" s="1" t="n">
        <f aca="false">N(AC1610)+$AB1611</f>
        <v>19</v>
      </c>
      <c r="AD1611" s="1" t="n">
        <f aca="false">IF(AND($M1611=1,LEFT(对接源_02物料!$D411,4)="成品出库"),1,0)</f>
        <v>0</v>
      </c>
      <c r="AE1611" s="1" t="n">
        <f aca="false">N(AE1610)+$AD1611</f>
        <v>38</v>
      </c>
      <c r="AF1611" s="1" t="n">
        <f aca="false">IF(AND($N1611=1,AND(LEFT(对接源_02物料!$D411,4)="包装物料",N(对接源_02物料!$K411)&lt;&gt;0)),1,0)</f>
        <v>0</v>
      </c>
      <c r="AG1611" s="1" t="n">
        <f aca="false">N(AG1610)+$AF1611</f>
        <v>6</v>
      </c>
      <c r="AH1611" s="1" t="n">
        <f aca="false">IF(AND($N1611=1,AND(LEFT(对接源_02物料!$D411,3)="周转筐",N(对接源_02物料!$K411)&lt;&gt;0)),1,0)</f>
        <v>0</v>
      </c>
      <c r="AI1611" s="1" t="n">
        <f aca="false">N(AI1610)+$AH1611</f>
        <v>0</v>
      </c>
      <c r="AJ1611" s="1" t="n">
        <v>0</v>
      </c>
      <c r="AK1611" s="1" t="n">
        <f aca="false">N(AK1610)+$AJ1611</f>
        <v>3672</v>
      </c>
    </row>
    <row r="1612" customFormat="false" ht="13.5" hidden="false" customHeight="false" outlineLevel="0" collapsed="false">
      <c r="A1612" s="1" t="str">
        <f aca="false">IF(对接源_02物料!$C412="","",对接源_02物料!$C412)</f>
        <v/>
      </c>
      <c r="B1612" s="1" t="n">
        <f aca="false">IF(A1612="",0,IF(MATCH(A1612,$A$4:$A$2403,0)=ROW()-3,1,0))</f>
        <v>0</v>
      </c>
      <c r="C1612" s="1" t="n">
        <f aca="false">N(C1611)+B1612</f>
        <v>17</v>
      </c>
      <c r="K1612" s="1" t="n">
        <f aca="false">IF(OR($K$1="",对接源_02物料!$C412="",对接源_02物料!$C412&lt;&gt;$K$1,对接源_02物料!$B412=""),0,IF(OR(N(对接源_02物料!$B412)&lt;$K$2,N(对接源_02物料!$B412)&gt;$K$3),0,1))</f>
        <v>0</v>
      </c>
      <c r="L1612" s="1" t="n">
        <f aca="false">IF(OR($L$1="",对接源_02物料!$C412="",对接源_02物料!$C412&lt;&gt;$L$1,对接源_02物料!$B412=""),0,IF(OR(N(对接源_02物料!$B412)&lt;$L$2,N(对接源_02物料!$B412)&gt;$L$3),0,1))</f>
        <v>0</v>
      </c>
      <c r="M1612" s="1" t="n">
        <f aca="false">IF(OR($M$1="",对接源_02物料!$C412="",对接源_02物料!$C412&lt;&gt;$M$1,对接源_02物料!$B412=""),0,IF(OR(N(对接源_02物料!$B412)&lt;$M$2,N(对接源_02物料!$B412)&gt;$M$3),0,1))</f>
        <v>0</v>
      </c>
      <c r="N1612" s="1" t="n">
        <f aca="false">IF(OR($N$1="",对接源_02物料!$C412="",对接源_02物料!$C412&lt;&gt;$N$1,对接源_02物料!$B412=""),0,IF(OR(N(对接源_02物料!$B412)&lt;$N$2,N(对接源_02物料!$B412)&gt;$N$3),0,1))</f>
        <v>0</v>
      </c>
      <c r="P1612" s="1" t="n">
        <f aca="false">IF(AND($K1612=1,AND(对接源_02物料!$X412="公司筐",N(对接源_02物料!$T412)&lt;&gt;0)),1,0)</f>
        <v>0</v>
      </c>
      <c r="Q1612" s="1" t="n">
        <f aca="false">N(Q1611)+$P1612</f>
        <v>13</v>
      </c>
      <c r="R1612" s="1" t="n">
        <f aca="false">IF(AND($K1612=1,AND(对接源_02物料!$X412="公司筐",N(对接源_02物料!$U412)&lt;&gt;0)),1,0)</f>
        <v>0</v>
      </c>
      <c r="S1612" s="1" t="n">
        <f aca="false">N(S1611)+$R1612</f>
        <v>5</v>
      </c>
      <c r="T1612" s="1" t="n">
        <f aca="false">IF(AND($K1612=1,AND(对接源_02物料!$X412="公司筐",N(对接源_02物料!$V412)&lt;&gt;0)),1,0)</f>
        <v>0</v>
      </c>
      <c r="U1612" s="1" t="n">
        <f aca="false">N(U1611)+$T1612</f>
        <v>28</v>
      </c>
      <c r="V1612" s="1" t="n">
        <f aca="false">IF(AND($L1612=1,AND(对接源_02物料!$X412="自备筐",N(对接源_02物料!$V412)&lt;&gt;0)),1,0)</f>
        <v>0</v>
      </c>
      <c r="W1612" s="1" t="n">
        <f aca="false">N(W1611)+$V1612</f>
        <v>7</v>
      </c>
      <c r="X1612" s="1" t="n">
        <f aca="false">IF(AND($L1612=1,AND(对接源_02物料!$X412="自备筐",N(对接源_02物料!$T412)&lt;&gt;0)),1,0)</f>
        <v>0</v>
      </c>
      <c r="Y1612" s="1" t="n">
        <f aca="false">N(Y1611)+$X1612</f>
        <v>0</v>
      </c>
      <c r="Z1612" s="1" t="n">
        <f aca="false">IF(AND($M1612=1,对接源_02物料!$D412="原料入库"),1,0)</f>
        <v>0</v>
      </c>
      <c r="AA1612" s="1" t="n">
        <f aca="false">N(AA1611)+$Z1612</f>
        <v>30</v>
      </c>
      <c r="AB1612" s="1" t="n">
        <f aca="false">IF(AND($M1612=1,LEFT(对接源_02物料!$D412,4)="原料出库"),1,0)</f>
        <v>0</v>
      </c>
      <c r="AC1612" s="1" t="n">
        <f aca="false">N(AC1611)+$AB1612</f>
        <v>19</v>
      </c>
      <c r="AD1612" s="1" t="n">
        <f aca="false">IF(AND($M1612=1,LEFT(对接源_02物料!$D412,4)="成品出库"),1,0)</f>
        <v>0</v>
      </c>
      <c r="AE1612" s="1" t="n">
        <f aca="false">N(AE1611)+$AD1612</f>
        <v>38</v>
      </c>
      <c r="AF1612" s="1" t="n">
        <f aca="false">IF(AND($N1612=1,AND(LEFT(对接源_02物料!$D412,4)="包装物料",N(对接源_02物料!$K412)&lt;&gt;0)),1,0)</f>
        <v>0</v>
      </c>
      <c r="AG1612" s="1" t="n">
        <f aca="false">N(AG1611)+$AF1612</f>
        <v>6</v>
      </c>
      <c r="AH1612" s="1" t="n">
        <f aca="false">IF(AND($N1612=1,AND(LEFT(对接源_02物料!$D412,3)="周转筐",N(对接源_02物料!$K412)&lt;&gt;0)),1,0)</f>
        <v>0</v>
      </c>
      <c r="AI1612" s="1" t="n">
        <f aca="false">N(AI1611)+$AH1612</f>
        <v>0</v>
      </c>
      <c r="AJ1612" s="1" t="n">
        <v>0</v>
      </c>
      <c r="AK1612" s="1" t="n">
        <f aca="false">N(AK1611)+$AJ1612</f>
        <v>3672</v>
      </c>
    </row>
    <row r="1613" customFormat="false" ht="13.5" hidden="false" customHeight="false" outlineLevel="0" collapsed="false">
      <c r="A1613" s="1" t="str">
        <f aca="false">IF(对接源_02物料!$C413="","",对接源_02物料!$C413)</f>
        <v/>
      </c>
      <c r="B1613" s="1" t="n">
        <f aca="false">IF(A1613="",0,IF(MATCH(A1613,$A$4:$A$2403,0)=ROW()-3,1,0))</f>
        <v>0</v>
      </c>
      <c r="C1613" s="1" t="n">
        <f aca="false">N(C1612)+B1613</f>
        <v>17</v>
      </c>
      <c r="K1613" s="1" t="n">
        <f aca="false">IF(OR($K$1="",对接源_02物料!$C413="",对接源_02物料!$C413&lt;&gt;$K$1,对接源_02物料!$B413=""),0,IF(OR(N(对接源_02物料!$B413)&lt;$K$2,N(对接源_02物料!$B413)&gt;$K$3),0,1))</f>
        <v>0</v>
      </c>
      <c r="L1613" s="1" t="n">
        <f aca="false">IF(OR($L$1="",对接源_02物料!$C413="",对接源_02物料!$C413&lt;&gt;$L$1,对接源_02物料!$B413=""),0,IF(OR(N(对接源_02物料!$B413)&lt;$L$2,N(对接源_02物料!$B413)&gt;$L$3),0,1))</f>
        <v>0</v>
      </c>
      <c r="M1613" s="1" t="n">
        <f aca="false">IF(OR($M$1="",对接源_02物料!$C413="",对接源_02物料!$C413&lt;&gt;$M$1,对接源_02物料!$B413=""),0,IF(OR(N(对接源_02物料!$B413)&lt;$M$2,N(对接源_02物料!$B413)&gt;$M$3),0,1))</f>
        <v>0</v>
      </c>
      <c r="N1613" s="1" t="n">
        <f aca="false">IF(OR($N$1="",对接源_02物料!$C413="",对接源_02物料!$C413&lt;&gt;$N$1,对接源_02物料!$B413=""),0,IF(OR(N(对接源_02物料!$B413)&lt;$N$2,N(对接源_02物料!$B413)&gt;$N$3),0,1))</f>
        <v>0</v>
      </c>
      <c r="P1613" s="1" t="n">
        <f aca="false">IF(AND($K1613=1,AND(对接源_02物料!$X413="公司筐",N(对接源_02物料!$T413)&lt;&gt;0)),1,0)</f>
        <v>0</v>
      </c>
      <c r="Q1613" s="1" t="n">
        <f aca="false">N(Q1612)+$P1613</f>
        <v>13</v>
      </c>
      <c r="R1613" s="1" t="n">
        <f aca="false">IF(AND($K1613=1,AND(对接源_02物料!$X413="公司筐",N(对接源_02物料!$U413)&lt;&gt;0)),1,0)</f>
        <v>0</v>
      </c>
      <c r="S1613" s="1" t="n">
        <f aca="false">N(S1612)+$R1613</f>
        <v>5</v>
      </c>
      <c r="T1613" s="1" t="n">
        <f aca="false">IF(AND($K1613=1,AND(对接源_02物料!$X413="公司筐",N(对接源_02物料!$V413)&lt;&gt;0)),1,0)</f>
        <v>0</v>
      </c>
      <c r="U1613" s="1" t="n">
        <f aca="false">N(U1612)+$T1613</f>
        <v>28</v>
      </c>
      <c r="V1613" s="1" t="n">
        <f aca="false">IF(AND($L1613=1,AND(对接源_02物料!$X413="自备筐",N(对接源_02物料!$V413)&lt;&gt;0)),1,0)</f>
        <v>0</v>
      </c>
      <c r="W1613" s="1" t="n">
        <f aca="false">N(W1612)+$V1613</f>
        <v>7</v>
      </c>
      <c r="X1613" s="1" t="n">
        <f aca="false">IF(AND($L1613=1,AND(对接源_02物料!$X413="自备筐",N(对接源_02物料!$T413)&lt;&gt;0)),1,0)</f>
        <v>0</v>
      </c>
      <c r="Y1613" s="1" t="n">
        <f aca="false">N(Y1612)+$X1613</f>
        <v>0</v>
      </c>
      <c r="Z1613" s="1" t="n">
        <f aca="false">IF(AND($M1613=1,对接源_02物料!$D413="原料入库"),1,0)</f>
        <v>0</v>
      </c>
      <c r="AA1613" s="1" t="n">
        <f aca="false">N(AA1612)+$Z1613</f>
        <v>30</v>
      </c>
      <c r="AB1613" s="1" t="n">
        <f aca="false">IF(AND($M1613=1,LEFT(对接源_02物料!$D413,4)="原料出库"),1,0)</f>
        <v>0</v>
      </c>
      <c r="AC1613" s="1" t="n">
        <f aca="false">N(AC1612)+$AB1613</f>
        <v>19</v>
      </c>
      <c r="AD1613" s="1" t="n">
        <f aca="false">IF(AND($M1613=1,LEFT(对接源_02物料!$D413,4)="成品出库"),1,0)</f>
        <v>0</v>
      </c>
      <c r="AE1613" s="1" t="n">
        <f aca="false">N(AE1612)+$AD1613</f>
        <v>38</v>
      </c>
      <c r="AF1613" s="1" t="n">
        <f aca="false">IF(AND($N1613=1,AND(LEFT(对接源_02物料!$D413,4)="包装物料",N(对接源_02物料!$K413)&lt;&gt;0)),1,0)</f>
        <v>0</v>
      </c>
      <c r="AG1613" s="1" t="n">
        <f aca="false">N(AG1612)+$AF1613</f>
        <v>6</v>
      </c>
      <c r="AH1613" s="1" t="n">
        <f aca="false">IF(AND($N1613=1,AND(LEFT(对接源_02物料!$D413,3)="周转筐",N(对接源_02物料!$K413)&lt;&gt;0)),1,0)</f>
        <v>0</v>
      </c>
      <c r="AI1613" s="1" t="n">
        <f aca="false">N(AI1612)+$AH1613</f>
        <v>0</v>
      </c>
      <c r="AJ1613" s="1" t="n">
        <v>0</v>
      </c>
      <c r="AK1613" s="1" t="n">
        <f aca="false">N(AK1612)+$AJ1613</f>
        <v>3672</v>
      </c>
    </row>
    <row r="1614" customFormat="false" ht="13.5" hidden="false" customHeight="false" outlineLevel="0" collapsed="false">
      <c r="A1614" s="1" t="str">
        <f aca="false">IF(对接源_02物料!$C414="","",对接源_02物料!$C414)</f>
        <v/>
      </c>
      <c r="B1614" s="1" t="n">
        <f aca="false">IF(A1614="",0,IF(MATCH(A1614,$A$4:$A$2403,0)=ROW()-3,1,0))</f>
        <v>0</v>
      </c>
      <c r="C1614" s="1" t="n">
        <f aca="false">N(C1613)+B1614</f>
        <v>17</v>
      </c>
      <c r="K1614" s="1" t="n">
        <f aca="false">IF(OR($K$1="",对接源_02物料!$C414="",对接源_02物料!$C414&lt;&gt;$K$1,对接源_02物料!$B414=""),0,IF(OR(N(对接源_02物料!$B414)&lt;$K$2,N(对接源_02物料!$B414)&gt;$K$3),0,1))</f>
        <v>0</v>
      </c>
      <c r="L1614" s="1" t="n">
        <f aca="false">IF(OR($L$1="",对接源_02物料!$C414="",对接源_02物料!$C414&lt;&gt;$L$1,对接源_02物料!$B414=""),0,IF(OR(N(对接源_02物料!$B414)&lt;$L$2,N(对接源_02物料!$B414)&gt;$L$3),0,1))</f>
        <v>0</v>
      </c>
      <c r="M1614" s="1" t="n">
        <f aca="false">IF(OR($M$1="",对接源_02物料!$C414="",对接源_02物料!$C414&lt;&gt;$M$1,对接源_02物料!$B414=""),0,IF(OR(N(对接源_02物料!$B414)&lt;$M$2,N(对接源_02物料!$B414)&gt;$M$3),0,1))</f>
        <v>0</v>
      </c>
      <c r="N1614" s="1" t="n">
        <f aca="false">IF(OR($N$1="",对接源_02物料!$C414="",对接源_02物料!$C414&lt;&gt;$N$1,对接源_02物料!$B414=""),0,IF(OR(N(对接源_02物料!$B414)&lt;$N$2,N(对接源_02物料!$B414)&gt;$N$3),0,1))</f>
        <v>0</v>
      </c>
      <c r="P1614" s="1" t="n">
        <f aca="false">IF(AND($K1614=1,AND(对接源_02物料!$X414="公司筐",N(对接源_02物料!$T414)&lt;&gt;0)),1,0)</f>
        <v>0</v>
      </c>
      <c r="Q1614" s="1" t="n">
        <f aca="false">N(Q1613)+$P1614</f>
        <v>13</v>
      </c>
      <c r="R1614" s="1" t="n">
        <f aca="false">IF(AND($K1614=1,AND(对接源_02物料!$X414="公司筐",N(对接源_02物料!$U414)&lt;&gt;0)),1,0)</f>
        <v>0</v>
      </c>
      <c r="S1614" s="1" t="n">
        <f aca="false">N(S1613)+$R1614</f>
        <v>5</v>
      </c>
      <c r="T1614" s="1" t="n">
        <f aca="false">IF(AND($K1614=1,AND(对接源_02物料!$X414="公司筐",N(对接源_02物料!$V414)&lt;&gt;0)),1,0)</f>
        <v>0</v>
      </c>
      <c r="U1614" s="1" t="n">
        <f aca="false">N(U1613)+$T1614</f>
        <v>28</v>
      </c>
      <c r="V1614" s="1" t="n">
        <f aca="false">IF(AND($L1614=1,AND(对接源_02物料!$X414="自备筐",N(对接源_02物料!$V414)&lt;&gt;0)),1,0)</f>
        <v>0</v>
      </c>
      <c r="W1614" s="1" t="n">
        <f aca="false">N(W1613)+$V1614</f>
        <v>7</v>
      </c>
      <c r="X1614" s="1" t="n">
        <f aca="false">IF(AND($L1614=1,AND(对接源_02物料!$X414="自备筐",N(对接源_02物料!$T414)&lt;&gt;0)),1,0)</f>
        <v>0</v>
      </c>
      <c r="Y1614" s="1" t="n">
        <f aca="false">N(Y1613)+$X1614</f>
        <v>0</v>
      </c>
      <c r="Z1614" s="1" t="n">
        <f aca="false">IF(AND($M1614=1,对接源_02物料!$D414="原料入库"),1,0)</f>
        <v>0</v>
      </c>
      <c r="AA1614" s="1" t="n">
        <f aca="false">N(AA1613)+$Z1614</f>
        <v>30</v>
      </c>
      <c r="AB1614" s="1" t="n">
        <f aca="false">IF(AND($M1614=1,LEFT(对接源_02物料!$D414,4)="原料出库"),1,0)</f>
        <v>0</v>
      </c>
      <c r="AC1614" s="1" t="n">
        <f aca="false">N(AC1613)+$AB1614</f>
        <v>19</v>
      </c>
      <c r="AD1614" s="1" t="n">
        <f aca="false">IF(AND($M1614=1,LEFT(对接源_02物料!$D414,4)="成品出库"),1,0)</f>
        <v>0</v>
      </c>
      <c r="AE1614" s="1" t="n">
        <f aca="false">N(AE1613)+$AD1614</f>
        <v>38</v>
      </c>
      <c r="AF1614" s="1" t="n">
        <f aca="false">IF(AND($N1614=1,AND(LEFT(对接源_02物料!$D414,4)="包装物料",N(对接源_02物料!$K414)&lt;&gt;0)),1,0)</f>
        <v>0</v>
      </c>
      <c r="AG1614" s="1" t="n">
        <f aca="false">N(AG1613)+$AF1614</f>
        <v>6</v>
      </c>
      <c r="AH1614" s="1" t="n">
        <f aca="false">IF(AND($N1614=1,AND(LEFT(对接源_02物料!$D414,3)="周转筐",N(对接源_02物料!$K414)&lt;&gt;0)),1,0)</f>
        <v>0</v>
      </c>
      <c r="AI1614" s="1" t="n">
        <f aca="false">N(AI1613)+$AH1614</f>
        <v>0</v>
      </c>
      <c r="AJ1614" s="1" t="n">
        <v>0</v>
      </c>
      <c r="AK1614" s="1" t="n">
        <f aca="false">N(AK1613)+$AJ1614</f>
        <v>3672</v>
      </c>
    </row>
    <row r="1615" customFormat="false" ht="13.5" hidden="false" customHeight="false" outlineLevel="0" collapsed="false">
      <c r="A1615" s="1" t="str">
        <f aca="false">IF(对接源_02物料!$C415="","",对接源_02物料!$C415)</f>
        <v/>
      </c>
      <c r="B1615" s="1" t="n">
        <f aca="false">IF(A1615="",0,IF(MATCH(A1615,$A$4:$A$2403,0)=ROW()-3,1,0))</f>
        <v>0</v>
      </c>
      <c r="C1615" s="1" t="n">
        <f aca="false">N(C1614)+B1615</f>
        <v>17</v>
      </c>
      <c r="K1615" s="1" t="n">
        <f aca="false">IF(OR($K$1="",对接源_02物料!$C415="",对接源_02物料!$C415&lt;&gt;$K$1,对接源_02物料!$B415=""),0,IF(OR(N(对接源_02物料!$B415)&lt;$K$2,N(对接源_02物料!$B415)&gt;$K$3),0,1))</f>
        <v>0</v>
      </c>
      <c r="L1615" s="1" t="n">
        <f aca="false">IF(OR($L$1="",对接源_02物料!$C415="",对接源_02物料!$C415&lt;&gt;$L$1,对接源_02物料!$B415=""),0,IF(OR(N(对接源_02物料!$B415)&lt;$L$2,N(对接源_02物料!$B415)&gt;$L$3),0,1))</f>
        <v>0</v>
      </c>
      <c r="M1615" s="1" t="n">
        <f aca="false">IF(OR($M$1="",对接源_02物料!$C415="",对接源_02物料!$C415&lt;&gt;$M$1,对接源_02物料!$B415=""),0,IF(OR(N(对接源_02物料!$B415)&lt;$M$2,N(对接源_02物料!$B415)&gt;$M$3),0,1))</f>
        <v>0</v>
      </c>
      <c r="N1615" s="1" t="n">
        <f aca="false">IF(OR($N$1="",对接源_02物料!$C415="",对接源_02物料!$C415&lt;&gt;$N$1,对接源_02物料!$B415=""),0,IF(OR(N(对接源_02物料!$B415)&lt;$N$2,N(对接源_02物料!$B415)&gt;$N$3),0,1))</f>
        <v>0</v>
      </c>
      <c r="P1615" s="1" t="n">
        <f aca="false">IF(AND($K1615=1,AND(对接源_02物料!$X415="公司筐",N(对接源_02物料!$T415)&lt;&gt;0)),1,0)</f>
        <v>0</v>
      </c>
      <c r="Q1615" s="1" t="n">
        <f aca="false">N(Q1614)+$P1615</f>
        <v>13</v>
      </c>
      <c r="R1615" s="1" t="n">
        <f aca="false">IF(AND($K1615=1,AND(对接源_02物料!$X415="公司筐",N(对接源_02物料!$U415)&lt;&gt;0)),1,0)</f>
        <v>0</v>
      </c>
      <c r="S1615" s="1" t="n">
        <f aca="false">N(S1614)+$R1615</f>
        <v>5</v>
      </c>
      <c r="T1615" s="1" t="n">
        <f aca="false">IF(AND($K1615=1,AND(对接源_02物料!$X415="公司筐",N(对接源_02物料!$V415)&lt;&gt;0)),1,0)</f>
        <v>0</v>
      </c>
      <c r="U1615" s="1" t="n">
        <f aca="false">N(U1614)+$T1615</f>
        <v>28</v>
      </c>
      <c r="V1615" s="1" t="n">
        <f aca="false">IF(AND($L1615=1,AND(对接源_02物料!$X415="自备筐",N(对接源_02物料!$V415)&lt;&gt;0)),1,0)</f>
        <v>0</v>
      </c>
      <c r="W1615" s="1" t="n">
        <f aca="false">N(W1614)+$V1615</f>
        <v>7</v>
      </c>
      <c r="X1615" s="1" t="n">
        <f aca="false">IF(AND($L1615=1,AND(对接源_02物料!$X415="自备筐",N(对接源_02物料!$T415)&lt;&gt;0)),1,0)</f>
        <v>0</v>
      </c>
      <c r="Y1615" s="1" t="n">
        <f aca="false">N(Y1614)+$X1615</f>
        <v>0</v>
      </c>
      <c r="Z1615" s="1" t="n">
        <f aca="false">IF(AND($M1615=1,对接源_02物料!$D415="原料入库"),1,0)</f>
        <v>0</v>
      </c>
      <c r="AA1615" s="1" t="n">
        <f aca="false">N(AA1614)+$Z1615</f>
        <v>30</v>
      </c>
      <c r="AB1615" s="1" t="n">
        <f aca="false">IF(AND($M1615=1,LEFT(对接源_02物料!$D415,4)="原料出库"),1,0)</f>
        <v>0</v>
      </c>
      <c r="AC1615" s="1" t="n">
        <f aca="false">N(AC1614)+$AB1615</f>
        <v>19</v>
      </c>
      <c r="AD1615" s="1" t="n">
        <f aca="false">IF(AND($M1615=1,LEFT(对接源_02物料!$D415,4)="成品出库"),1,0)</f>
        <v>0</v>
      </c>
      <c r="AE1615" s="1" t="n">
        <f aca="false">N(AE1614)+$AD1615</f>
        <v>38</v>
      </c>
      <c r="AF1615" s="1" t="n">
        <f aca="false">IF(AND($N1615=1,AND(LEFT(对接源_02物料!$D415,4)="包装物料",N(对接源_02物料!$K415)&lt;&gt;0)),1,0)</f>
        <v>0</v>
      </c>
      <c r="AG1615" s="1" t="n">
        <f aca="false">N(AG1614)+$AF1615</f>
        <v>6</v>
      </c>
      <c r="AH1615" s="1" t="n">
        <f aca="false">IF(AND($N1615=1,AND(LEFT(对接源_02物料!$D415,3)="周转筐",N(对接源_02物料!$K415)&lt;&gt;0)),1,0)</f>
        <v>0</v>
      </c>
      <c r="AI1615" s="1" t="n">
        <f aca="false">N(AI1614)+$AH1615</f>
        <v>0</v>
      </c>
      <c r="AJ1615" s="1" t="n">
        <v>0</v>
      </c>
      <c r="AK1615" s="1" t="n">
        <f aca="false">N(AK1614)+$AJ1615</f>
        <v>3672</v>
      </c>
    </row>
    <row r="1616" customFormat="false" ht="13.5" hidden="false" customHeight="false" outlineLevel="0" collapsed="false">
      <c r="A1616" s="1" t="str">
        <f aca="false">IF(对接源_02物料!$C416="","",对接源_02物料!$C416)</f>
        <v/>
      </c>
      <c r="B1616" s="1" t="n">
        <f aca="false">IF(A1616="",0,IF(MATCH(A1616,$A$4:$A$2403,0)=ROW()-3,1,0))</f>
        <v>0</v>
      </c>
      <c r="C1616" s="1" t="n">
        <f aca="false">N(C1615)+B1616</f>
        <v>17</v>
      </c>
      <c r="K1616" s="1" t="n">
        <f aca="false">IF(OR($K$1="",对接源_02物料!$C416="",对接源_02物料!$C416&lt;&gt;$K$1,对接源_02物料!$B416=""),0,IF(OR(N(对接源_02物料!$B416)&lt;$K$2,N(对接源_02物料!$B416)&gt;$K$3),0,1))</f>
        <v>0</v>
      </c>
      <c r="L1616" s="1" t="n">
        <f aca="false">IF(OR($L$1="",对接源_02物料!$C416="",对接源_02物料!$C416&lt;&gt;$L$1,对接源_02物料!$B416=""),0,IF(OR(N(对接源_02物料!$B416)&lt;$L$2,N(对接源_02物料!$B416)&gt;$L$3),0,1))</f>
        <v>0</v>
      </c>
      <c r="M1616" s="1" t="n">
        <f aca="false">IF(OR($M$1="",对接源_02物料!$C416="",对接源_02物料!$C416&lt;&gt;$M$1,对接源_02物料!$B416=""),0,IF(OR(N(对接源_02物料!$B416)&lt;$M$2,N(对接源_02物料!$B416)&gt;$M$3),0,1))</f>
        <v>0</v>
      </c>
      <c r="N1616" s="1" t="n">
        <f aca="false">IF(OR($N$1="",对接源_02物料!$C416="",对接源_02物料!$C416&lt;&gt;$N$1,对接源_02物料!$B416=""),0,IF(OR(N(对接源_02物料!$B416)&lt;$N$2,N(对接源_02物料!$B416)&gt;$N$3),0,1))</f>
        <v>0</v>
      </c>
      <c r="P1616" s="1" t="n">
        <f aca="false">IF(AND($K1616=1,AND(对接源_02物料!$X416="公司筐",N(对接源_02物料!$T416)&lt;&gt;0)),1,0)</f>
        <v>0</v>
      </c>
      <c r="Q1616" s="1" t="n">
        <f aca="false">N(Q1615)+$P1616</f>
        <v>13</v>
      </c>
      <c r="R1616" s="1" t="n">
        <f aca="false">IF(AND($K1616=1,AND(对接源_02物料!$X416="公司筐",N(对接源_02物料!$U416)&lt;&gt;0)),1,0)</f>
        <v>0</v>
      </c>
      <c r="S1616" s="1" t="n">
        <f aca="false">N(S1615)+$R1616</f>
        <v>5</v>
      </c>
      <c r="T1616" s="1" t="n">
        <f aca="false">IF(AND($K1616=1,AND(对接源_02物料!$X416="公司筐",N(对接源_02物料!$V416)&lt;&gt;0)),1,0)</f>
        <v>0</v>
      </c>
      <c r="U1616" s="1" t="n">
        <f aca="false">N(U1615)+$T1616</f>
        <v>28</v>
      </c>
      <c r="V1616" s="1" t="n">
        <f aca="false">IF(AND($L1616=1,AND(对接源_02物料!$X416="自备筐",N(对接源_02物料!$V416)&lt;&gt;0)),1,0)</f>
        <v>0</v>
      </c>
      <c r="W1616" s="1" t="n">
        <f aca="false">N(W1615)+$V1616</f>
        <v>7</v>
      </c>
      <c r="X1616" s="1" t="n">
        <f aca="false">IF(AND($L1616=1,AND(对接源_02物料!$X416="自备筐",N(对接源_02物料!$T416)&lt;&gt;0)),1,0)</f>
        <v>0</v>
      </c>
      <c r="Y1616" s="1" t="n">
        <f aca="false">N(Y1615)+$X1616</f>
        <v>0</v>
      </c>
      <c r="Z1616" s="1" t="n">
        <f aca="false">IF(AND($M1616=1,对接源_02物料!$D416="原料入库"),1,0)</f>
        <v>0</v>
      </c>
      <c r="AA1616" s="1" t="n">
        <f aca="false">N(AA1615)+$Z1616</f>
        <v>30</v>
      </c>
      <c r="AB1616" s="1" t="n">
        <f aca="false">IF(AND($M1616=1,LEFT(对接源_02物料!$D416,4)="原料出库"),1,0)</f>
        <v>0</v>
      </c>
      <c r="AC1616" s="1" t="n">
        <f aca="false">N(AC1615)+$AB1616</f>
        <v>19</v>
      </c>
      <c r="AD1616" s="1" t="n">
        <f aca="false">IF(AND($M1616=1,LEFT(对接源_02物料!$D416,4)="成品出库"),1,0)</f>
        <v>0</v>
      </c>
      <c r="AE1616" s="1" t="n">
        <f aca="false">N(AE1615)+$AD1616</f>
        <v>38</v>
      </c>
      <c r="AF1616" s="1" t="n">
        <f aca="false">IF(AND($N1616=1,AND(LEFT(对接源_02物料!$D416,4)="包装物料",N(对接源_02物料!$K416)&lt;&gt;0)),1,0)</f>
        <v>0</v>
      </c>
      <c r="AG1616" s="1" t="n">
        <f aca="false">N(AG1615)+$AF1616</f>
        <v>6</v>
      </c>
      <c r="AH1616" s="1" t="n">
        <f aca="false">IF(AND($N1616=1,AND(LEFT(对接源_02物料!$D416,3)="周转筐",N(对接源_02物料!$K416)&lt;&gt;0)),1,0)</f>
        <v>0</v>
      </c>
      <c r="AI1616" s="1" t="n">
        <f aca="false">N(AI1615)+$AH1616</f>
        <v>0</v>
      </c>
      <c r="AJ1616" s="1" t="n">
        <v>0</v>
      </c>
      <c r="AK1616" s="1" t="n">
        <f aca="false">N(AK1615)+$AJ1616</f>
        <v>3672</v>
      </c>
    </row>
    <row r="1617" customFormat="false" ht="13.5" hidden="false" customHeight="false" outlineLevel="0" collapsed="false">
      <c r="A1617" s="1" t="str">
        <f aca="false">IF(对接源_02物料!$C417="","",对接源_02物料!$C417)</f>
        <v/>
      </c>
      <c r="B1617" s="1" t="n">
        <f aca="false">IF(A1617="",0,IF(MATCH(A1617,$A$4:$A$2403,0)=ROW()-3,1,0))</f>
        <v>0</v>
      </c>
      <c r="C1617" s="1" t="n">
        <f aca="false">N(C1616)+B1617</f>
        <v>17</v>
      </c>
      <c r="K1617" s="1" t="n">
        <f aca="false">IF(OR($K$1="",对接源_02物料!$C417="",对接源_02物料!$C417&lt;&gt;$K$1,对接源_02物料!$B417=""),0,IF(OR(N(对接源_02物料!$B417)&lt;$K$2,N(对接源_02物料!$B417)&gt;$K$3),0,1))</f>
        <v>0</v>
      </c>
      <c r="L1617" s="1" t="n">
        <f aca="false">IF(OR($L$1="",对接源_02物料!$C417="",对接源_02物料!$C417&lt;&gt;$L$1,对接源_02物料!$B417=""),0,IF(OR(N(对接源_02物料!$B417)&lt;$L$2,N(对接源_02物料!$B417)&gt;$L$3),0,1))</f>
        <v>0</v>
      </c>
      <c r="M1617" s="1" t="n">
        <f aca="false">IF(OR($M$1="",对接源_02物料!$C417="",对接源_02物料!$C417&lt;&gt;$M$1,对接源_02物料!$B417=""),0,IF(OR(N(对接源_02物料!$B417)&lt;$M$2,N(对接源_02物料!$B417)&gt;$M$3),0,1))</f>
        <v>0</v>
      </c>
      <c r="N1617" s="1" t="n">
        <f aca="false">IF(OR($N$1="",对接源_02物料!$C417="",对接源_02物料!$C417&lt;&gt;$N$1,对接源_02物料!$B417=""),0,IF(OR(N(对接源_02物料!$B417)&lt;$N$2,N(对接源_02物料!$B417)&gt;$N$3),0,1))</f>
        <v>0</v>
      </c>
      <c r="P1617" s="1" t="n">
        <f aca="false">IF(AND($K1617=1,AND(对接源_02物料!$X417="公司筐",N(对接源_02物料!$T417)&lt;&gt;0)),1,0)</f>
        <v>0</v>
      </c>
      <c r="Q1617" s="1" t="n">
        <f aca="false">N(Q1616)+$P1617</f>
        <v>13</v>
      </c>
      <c r="R1617" s="1" t="n">
        <f aca="false">IF(AND($K1617=1,AND(对接源_02物料!$X417="公司筐",N(对接源_02物料!$U417)&lt;&gt;0)),1,0)</f>
        <v>0</v>
      </c>
      <c r="S1617" s="1" t="n">
        <f aca="false">N(S1616)+$R1617</f>
        <v>5</v>
      </c>
      <c r="T1617" s="1" t="n">
        <f aca="false">IF(AND($K1617=1,AND(对接源_02物料!$X417="公司筐",N(对接源_02物料!$V417)&lt;&gt;0)),1,0)</f>
        <v>0</v>
      </c>
      <c r="U1617" s="1" t="n">
        <f aca="false">N(U1616)+$T1617</f>
        <v>28</v>
      </c>
      <c r="V1617" s="1" t="n">
        <f aca="false">IF(AND($L1617=1,AND(对接源_02物料!$X417="自备筐",N(对接源_02物料!$V417)&lt;&gt;0)),1,0)</f>
        <v>0</v>
      </c>
      <c r="W1617" s="1" t="n">
        <f aca="false">N(W1616)+$V1617</f>
        <v>7</v>
      </c>
      <c r="X1617" s="1" t="n">
        <f aca="false">IF(AND($L1617=1,AND(对接源_02物料!$X417="自备筐",N(对接源_02物料!$T417)&lt;&gt;0)),1,0)</f>
        <v>0</v>
      </c>
      <c r="Y1617" s="1" t="n">
        <f aca="false">N(Y1616)+$X1617</f>
        <v>0</v>
      </c>
      <c r="Z1617" s="1" t="n">
        <f aca="false">IF(AND($M1617=1,对接源_02物料!$D417="原料入库"),1,0)</f>
        <v>0</v>
      </c>
      <c r="AA1617" s="1" t="n">
        <f aca="false">N(AA1616)+$Z1617</f>
        <v>30</v>
      </c>
      <c r="AB1617" s="1" t="n">
        <f aca="false">IF(AND($M1617=1,LEFT(对接源_02物料!$D417,4)="原料出库"),1,0)</f>
        <v>0</v>
      </c>
      <c r="AC1617" s="1" t="n">
        <f aca="false">N(AC1616)+$AB1617</f>
        <v>19</v>
      </c>
      <c r="AD1617" s="1" t="n">
        <f aca="false">IF(AND($M1617=1,LEFT(对接源_02物料!$D417,4)="成品出库"),1,0)</f>
        <v>0</v>
      </c>
      <c r="AE1617" s="1" t="n">
        <f aca="false">N(AE1616)+$AD1617</f>
        <v>38</v>
      </c>
      <c r="AF1617" s="1" t="n">
        <f aca="false">IF(AND($N1617=1,AND(LEFT(对接源_02物料!$D417,4)="包装物料",N(对接源_02物料!$K417)&lt;&gt;0)),1,0)</f>
        <v>0</v>
      </c>
      <c r="AG1617" s="1" t="n">
        <f aca="false">N(AG1616)+$AF1617</f>
        <v>6</v>
      </c>
      <c r="AH1617" s="1" t="n">
        <f aca="false">IF(AND($N1617=1,AND(LEFT(对接源_02物料!$D417,3)="周转筐",N(对接源_02物料!$K417)&lt;&gt;0)),1,0)</f>
        <v>0</v>
      </c>
      <c r="AI1617" s="1" t="n">
        <f aca="false">N(AI1616)+$AH1617</f>
        <v>0</v>
      </c>
      <c r="AJ1617" s="1" t="n">
        <v>0</v>
      </c>
      <c r="AK1617" s="1" t="n">
        <f aca="false">N(AK1616)+$AJ1617</f>
        <v>3672</v>
      </c>
    </row>
    <row r="1618" customFormat="false" ht="13.5" hidden="false" customHeight="false" outlineLevel="0" collapsed="false">
      <c r="A1618" s="1" t="str">
        <f aca="false">IF(对接源_02物料!$C418="","",对接源_02物料!$C418)</f>
        <v/>
      </c>
      <c r="B1618" s="1" t="n">
        <f aca="false">IF(A1618="",0,IF(MATCH(A1618,$A$4:$A$2403,0)=ROW()-3,1,0))</f>
        <v>0</v>
      </c>
      <c r="C1618" s="1" t="n">
        <f aca="false">N(C1617)+B1618</f>
        <v>17</v>
      </c>
      <c r="K1618" s="1" t="n">
        <f aca="false">IF(OR($K$1="",对接源_02物料!$C418="",对接源_02物料!$C418&lt;&gt;$K$1,对接源_02物料!$B418=""),0,IF(OR(N(对接源_02物料!$B418)&lt;$K$2,N(对接源_02物料!$B418)&gt;$K$3),0,1))</f>
        <v>0</v>
      </c>
      <c r="L1618" s="1" t="n">
        <f aca="false">IF(OR($L$1="",对接源_02物料!$C418="",对接源_02物料!$C418&lt;&gt;$L$1,对接源_02物料!$B418=""),0,IF(OR(N(对接源_02物料!$B418)&lt;$L$2,N(对接源_02物料!$B418)&gt;$L$3),0,1))</f>
        <v>0</v>
      </c>
      <c r="M1618" s="1" t="n">
        <f aca="false">IF(OR($M$1="",对接源_02物料!$C418="",对接源_02物料!$C418&lt;&gt;$M$1,对接源_02物料!$B418=""),0,IF(OR(N(对接源_02物料!$B418)&lt;$M$2,N(对接源_02物料!$B418)&gt;$M$3),0,1))</f>
        <v>0</v>
      </c>
      <c r="N1618" s="1" t="n">
        <f aca="false">IF(OR($N$1="",对接源_02物料!$C418="",对接源_02物料!$C418&lt;&gt;$N$1,对接源_02物料!$B418=""),0,IF(OR(N(对接源_02物料!$B418)&lt;$N$2,N(对接源_02物料!$B418)&gt;$N$3),0,1))</f>
        <v>0</v>
      </c>
      <c r="P1618" s="1" t="n">
        <f aca="false">IF(AND($K1618=1,AND(对接源_02物料!$X418="公司筐",N(对接源_02物料!$T418)&lt;&gt;0)),1,0)</f>
        <v>0</v>
      </c>
      <c r="Q1618" s="1" t="n">
        <f aca="false">N(Q1617)+$P1618</f>
        <v>13</v>
      </c>
      <c r="R1618" s="1" t="n">
        <f aca="false">IF(AND($K1618=1,AND(对接源_02物料!$X418="公司筐",N(对接源_02物料!$U418)&lt;&gt;0)),1,0)</f>
        <v>0</v>
      </c>
      <c r="S1618" s="1" t="n">
        <f aca="false">N(S1617)+$R1618</f>
        <v>5</v>
      </c>
      <c r="T1618" s="1" t="n">
        <f aca="false">IF(AND($K1618=1,AND(对接源_02物料!$X418="公司筐",N(对接源_02物料!$V418)&lt;&gt;0)),1,0)</f>
        <v>0</v>
      </c>
      <c r="U1618" s="1" t="n">
        <f aca="false">N(U1617)+$T1618</f>
        <v>28</v>
      </c>
      <c r="V1618" s="1" t="n">
        <f aca="false">IF(AND($L1618=1,AND(对接源_02物料!$X418="自备筐",N(对接源_02物料!$V418)&lt;&gt;0)),1,0)</f>
        <v>0</v>
      </c>
      <c r="W1618" s="1" t="n">
        <f aca="false">N(W1617)+$V1618</f>
        <v>7</v>
      </c>
      <c r="X1618" s="1" t="n">
        <f aca="false">IF(AND($L1618=1,AND(对接源_02物料!$X418="自备筐",N(对接源_02物料!$T418)&lt;&gt;0)),1,0)</f>
        <v>0</v>
      </c>
      <c r="Y1618" s="1" t="n">
        <f aca="false">N(Y1617)+$X1618</f>
        <v>0</v>
      </c>
      <c r="Z1618" s="1" t="n">
        <f aca="false">IF(AND($M1618=1,对接源_02物料!$D418="原料入库"),1,0)</f>
        <v>0</v>
      </c>
      <c r="AA1618" s="1" t="n">
        <f aca="false">N(AA1617)+$Z1618</f>
        <v>30</v>
      </c>
      <c r="AB1618" s="1" t="n">
        <f aca="false">IF(AND($M1618=1,LEFT(对接源_02物料!$D418,4)="原料出库"),1,0)</f>
        <v>0</v>
      </c>
      <c r="AC1618" s="1" t="n">
        <f aca="false">N(AC1617)+$AB1618</f>
        <v>19</v>
      </c>
      <c r="AD1618" s="1" t="n">
        <f aca="false">IF(AND($M1618=1,LEFT(对接源_02物料!$D418,4)="成品出库"),1,0)</f>
        <v>0</v>
      </c>
      <c r="AE1618" s="1" t="n">
        <f aca="false">N(AE1617)+$AD1618</f>
        <v>38</v>
      </c>
      <c r="AF1618" s="1" t="n">
        <f aca="false">IF(AND($N1618=1,AND(LEFT(对接源_02物料!$D418,4)="包装物料",N(对接源_02物料!$K418)&lt;&gt;0)),1,0)</f>
        <v>0</v>
      </c>
      <c r="AG1618" s="1" t="n">
        <f aca="false">N(AG1617)+$AF1618</f>
        <v>6</v>
      </c>
      <c r="AH1618" s="1" t="n">
        <f aca="false">IF(AND($N1618=1,AND(LEFT(对接源_02物料!$D418,3)="周转筐",N(对接源_02物料!$K418)&lt;&gt;0)),1,0)</f>
        <v>0</v>
      </c>
      <c r="AI1618" s="1" t="n">
        <f aca="false">N(AI1617)+$AH1618</f>
        <v>0</v>
      </c>
      <c r="AJ1618" s="1" t="n">
        <v>0</v>
      </c>
      <c r="AK1618" s="1" t="n">
        <f aca="false">N(AK1617)+$AJ1618</f>
        <v>3672</v>
      </c>
    </row>
    <row r="1619" customFormat="false" ht="13.5" hidden="false" customHeight="false" outlineLevel="0" collapsed="false">
      <c r="A1619" s="1" t="str">
        <f aca="false">IF(对接源_02物料!$C419="","",对接源_02物料!$C419)</f>
        <v/>
      </c>
      <c r="B1619" s="1" t="n">
        <f aca="false">IF(A1619="",0,IF(MATCH(A1619,$A$4:$A$2403,0)=ROW()-3,1,0))</f>
        <v>0</v>
      </c>
      <c r="C1619" s="1" t="n">
        <f aca="false">N(C1618)+B1619</f>
        <v>17</v>
      </c>
      <c r="K1619" s="1" t="n">
        <f aca="false">IF(OR($K$1="",对接源_02物料!$C419="",对接源_02物料!$C419&lt;&gt;$K$1,对接源_02物料!$B419=""),0,IF(OR(N(对接源_02物料!$B419)&lt;$K$2,N(对接源_02物料!$B419)&gt;$K$3),0,1))</f>
        <v>0</v>
      </c>
      <c r="L1619" s="1" t="n">
        <f aca="false">IF(OR($L$1="",对接源_02物料!$C419="",对接源_02物料!$C419&lt;&gt;$L$1,对接源_02物料!$B419=""),0,IF(OR(N(对接源_02物料!$B419)&lt;$L$2,N(对接源_02物料!$B419)&gt;$L$3),0,1))</f>
        <v>0</v>
      </c>
      <c r="M1619" s="1" t="n">
        <f aca="false">IF(OR($M$1="",对接源_02物料!$C419="",对接源_02物料!$C419&lt;&gt;$M$1,对接源_02物料!$B419=""),0,IF(OR(N(对接源_02物料!$B419)&lt;$M$2,N(对接源_02物料!$B419)&gt;$M$3),0,1))</f>
        <v>0</v>
      </c>
      <c r="N1619" s="1" t="n">
        <f aca="false">IF(OR($N$1="",对接源_02物料!$C419="",对接源_02物料!$C419&lt;&gt;$N$1,对接源_02物料!$B419=""),0,IF(OR(N(对接源_02物料!$B419)&lt;$N$2,N(对接源_02物料!$B419)&gt;$N$3),0,1))</f>
        <v>0</v>
      </c>
      <c r="P1619" s="1" t="n">
        <f aca="false">IF(AND($K1619=1,AND(对接源_02物料!$X419="公司筐",N(对接源_02物料!$T419)&lt;&gt;0)),1,0)</f>
        <v>0</v>
      </c>
      <c r="Q1619" s="1" t="n">
        <f aca="false">N(Q1618)+$P1619</f>
        <v>13</v>
      </c>
      <c r="R1619" s="1" t="n">
        <f aca="false">IF(AND($K1619=1,AND(对接源_02物料!$X419="公司筐",N(对接源_02物料!$U419)&lt;&gt;0)),1,0)</f>
        <v>0</v>
      </c>
      <c r="S1619" s="1" t="n">
        <f aca="false">N(S1618)+$R1619</f>
        <v>5</v>
      </c>
      <c r="T1619" s="1" t="n">
        <f aca="false">IF(AND($K1619=1,AND(对接源_02物料!$X419="公司筐",N(对接源_02物料!$V419)&lt;&gt;0)),1,0)</f>
        <v>0</v>
      </c>
      <c r="U1619" s="1" t="n">
        <f aca="false">N(U1618)+$T1619</f>
        <v>28</v>
      </c>
      <c r="V1619" s="1" t="n">
        <f aca="false">IF(AND($L1619=1,AND(对接源_02物料!$X419="自备筐",N(对接源_02物料!$V419)&lt;&gt;0)),1,0)</f>
        <v>0</v>
      </c>
      <c r="W1619" s="1" t="n">
        <f aca="false">N(W1618)+$V1619</f>
        <v>7</v>
      </c>
      <c r="X1619" s="1" t="n">
        <f aca="false">IF(AND($L1619=1,AND(对接源_02物料!$X419="自备筐",N(对接源_02物料!$T419)&lt;&gt;0)),1,0)</f>
        <v>0</v>
      </c>
      <c r="Y1619" s="1" t="n">
        <f aca="false">N(Y1618)+$X1619</f>
        <v>0</v>
      </c>
      <c r="Z1619" s="1" t="n">
        <f aca="false">IF(AND($M1619=1,对接源_02物料!$D419="原料入库"),1,0)</f>
        <v>0</v>
      </c>
      <c r="AA1619" s="1" t="n">
        <f aca="false">N(AA1618)+$Z1619</f>
        <v>30</v>
      </c>
      <c r="AB1619" s="1" t="n">
        <f aca="false">IF(AND($M1619=1,LEFT(对接源_02物料!$D419,4)="原料出库"),1,0)</f>
        <v>0</v>
      </c>
      <c r="AC1619" s="1" t="n">
        <f aca="false">N(AC1618)+$AB1619</f>
        <v>19</v>
      </c>
      <c r="AD1619" s="1" t="n">
        <f aca="false">IF(AND($M1619=1,LEFT(对接源_02物料!$D419,4)="成品出库"),1,0)</f>
        <v>0</v>
      </c>
      <c r="AE1619" s="1" t="n">
        <f aca="false">N(AE1618)+$AD1619</f>
        <v>38</v>
      </c>
      <c r="AF1619" s="1" t="n">
        <f aca="false">IF(AND($N1619=1,AND(LEFT(对接源_02物料!$D419,4)="包装物料",N(对接源_02物料!$K419)&lt;&gt;0)),1,0)</f>
        <v>0</v>
      </c>
      <c r="AG1619" s="1" t="n">
        <f aca="false">N(AG1618)+$AF1619</f>
        <v>6</v>
      </c>
      <c r="AH1619" s="1" t="n">
        <f aca="false">IF(AND($N1619=1,AND(LEFT(对接源_02物料!$D419,3)="周转筐",N(对接源_02物料!$K419)&lt;&gt;0)),1,0)</f>
        <v>0</v>
      </c>
      <c r="AI1619" s="1" t="n">
        <f aca="false">N(AI1618)+$AH1619</f>
        <v>0</v>
      </c>
      <c r="AJ1619" s="1" t="n">
        <v>0</v>
      </c>
      <c r="AK1619" s="1" t="n">
        <f aca="false">N(AK1618)+$AJ1619</f>
        <v>3672</v>
      </c>
    </row>
    <row r="1620" customFormat="false" ht="13.5" hidden="false" customHeight="false" outlineLevel="0" collapsed="false">
      <c r="A1620" s="1" t="str">
        <f aca="false">IF(对接源_02物料!$C420="","",对接源_02物料!$C420)</f>
        <v/>
      </c>
      <c r="B1620" s="1" t="n">
        <f aca="false">IF(A1620="",0,IF(MATCH(A1620,$A$4:$A$2403,0)=ROW()-3,1,0))</f>
        <v>0</v>
      </c>
      <c r="C1620" s="1" t="n">
        <f aca="false">N(C1619)+B1620</f>
        <v>17</v>
      </c>
      <c r="K1620" s="1" t="n">
        <f aca="false">IF(OR($K$1="",对接源_02物料!$C420="",对接源_02物料!$C420&lt;&gt;$K$1,对接源_02物料!$B420=""),0,IF(OR(N(对接源_02物料!$B420)&lt;$K$2,N(对接源_02物料!$B420)&gt;$K$3),0,1))</f>
        <v>0</v>
      </c>
      <c r="L1620" s="1" t="n">
        <f aca="false">IF(OR($L$1="",对接源_02物料!$C420="",对接源_02物料!$C420&lt;&gt;$L$1,对接源_02物料!$B420=""),0,IF(OR(N(对接源_02物料!$B420)&lt;$L$2,N(对接源_02物料!$B420)&gt;$L$3),0,1))</f>
        <v>0</v>
      </c>
      <c r="M1620" s="1" t="n">
        <f aca="false">IF(OR($M$1="",对接源_02物料!$C420="",对接源_02物料!$C420&lt;&gt;$M$1,对接源_02物料!$B420=""),0,IF(OR(N(对接源_02物料!$B420)&lt;$M$2,N(对接源_02物料!$B420)&gt;$M$3),0,1))</f>
        <v>0</v>
      </c>
      <c r="N1620" s="1" t="n">
        <f aca="false">IF(OR($N$1="",对接源_02物料!$C420="",对接源_02物料!$C420&lt;&gt;$N$1,对接源_02物料!$B420=""),0,IF(OR(N(对接源_02物料!$B420)&lt;$N$2,N(对接源_02物料!$B420)&gt;$N$3),0,1))</f>
        <v>0</v>
      </c>
      <c r="P1620" s="1" t="n">
        <f aca="false">IF(AND($K1620=1,AND(对接源_02物料!$X420="公司筐",N(对接源_02物料!$T420)&lt;&gt;0)),1,0)</f>
        <v>0</v>
      </c>
      <c r="Q1620" s="1" t="n">
        <f aca="false">N(Q1619)+$P1620</f>
        <v>13</v>
      </c>
      <c r="R1620" s="1" t="n">
        <f aca="false">IF(AND($K1620=1,AND(对接源_02物料!$X420="公司筐",N(对接源_02物料!$U420)&lt;&gt;0)),1,0)</f>
        <v>0</v>
      </c>
      <c r="S1620" s="1" t="n">
        <f aca="false">N(S1619)+$R1620</f>
        <v>5</v>
      </c>
      <c r="T1620" s="1" t="n">
        <f aca="false">IF(AND($K1620=1,AND(对接源_02物料!$X420="公司筐",N(对接源_02物料!$V420)&lt;&gt;0)),1,0)</f>
        <v>0</v>
      </c>
      <c r="U1620" s="1" t="n">
        <f aca="false">N(U1619)+$T1620</f>
        <v>28</v>
      </c>
      <c r="V1620" s="1" t="n">
        <f aca="false">IF(AND($L1620=1,AND(对接源_02物料!$X420="自备筐",N(对接源_02物料!$V420)&lt;&gt;0)),1,0)</f>
        <v>0</v>
      </c>
      <c r="W1620" s="1" t="n">
        <f aca="false">N(W1619)+$V1620</f>
        <v>7</v>
      </c>
      <c r="X1620" s="1" t="n">
        <f aca="false">IF(AND($L1620=1,AND(对接源_02物料!$X420="自备筐",N(对接源_02物料!$T420)&lt;&gt;0)),1,0)</f>
        <v>0</v>
      </c>
      <c r="Y1620" s="1" t="n">
        <f aca="false">N(Y1619)+$X1620</f>
        <v>0</v>
      </c>
      <c r="Z1620" s="1" t="n">
        <f aca="false">IF(AND($M1620=1,对接源_02物料!$D420="原料入库"),1,0)</f>
        <v>0</v>
      </c>
      <c r="AA1620" s="1" t="n">
        <f aca="false">N(AA1619)+$Z1620</f>
        <v>30</v>
      </c>
      <c r="AB1620" s="1" t="n">
        <f aca="false">IF(AND($M1620=1,LEFT(对接源_02物料!$D420,4)="原料出库"),1,0)</f>
        <v>0</v>
      </c>
      <c r="AC1620" s="1" t="n">
        <f aca="false">N(AC1619)+$AB1620</f>
        <v>19</v>
      </c>
      <c r="AD1620" s="1" t="n">
        <f aca="false">IF(AND($M1620=1,LEFT(对接源_02物料!$D420,4)="成品出库"),1,0)</f>
        <v>0</v>
      </c>
      <c r="AE1620" s="1" t="n">
        <f aca="false">N(AE1619)+$AD1620</f>
        <v>38</v>
      </c>
      <c r="AF1620" s="1" t="n">
        <f aca="false">IF(AND($N1620=1,AND(LEFT(对接源_02物料!$D420,4)="包装物料",N(对接源_02物料!$K420)&lt;&gt;0)),1,0)</f>
        <v>0</v>
      </c>
      <c r="AG1620" s="1" t="n">
        <f aca="false">N(AG1619)+$AF1620</f>
        <v>6</v>
      </c>
      <c r="AH1620" s="1" t="n">
        <f aca="false">IF(AND($N1620=1,AND(LEFT(对接源_02物料!$D420,3)="周转筐",N(对接源_02物料!$K420)&lt;&gt;0)),1,0)</f>
        <v>0</v>
      </c>
      <c r="AI1620" s="1" t="n">
        <f aca="false">N(AI1619)+$AH1620</f>
        <v>0</v>
      </c>
      <c r="AJ1620" s="1" t="n">
        <v>0</v>
      </c>
      <c r="AK1620" s="1" t="n">
        <f aca="false">N(AK1619)+$AJ1620</f>
        <v>3672</v>
      </c>
    </row>
    <row r="1621" customFormat="false" ht="13.5" hidden="false" customHeight="false" outlineLevel="0" collapsed="false">
      <c r="A1621" s="1" t="str">
        <f aca="false">IF(对接源_02物料!$C421="","",对接源_02物料!$C421)</f>
        <v/>
      </c>
      <c r="B1621" s="1" t="n">
        <f aca="false">IF(A1621="",0,IF(MATCH(A1621,$A$4:$A$2403,0)=ROW()-3,1,0))</f>
        <v>0</v>
      </c>
      <c r="C1621" s="1" t="n">
        <f aca="false">N(C1620)+B1621</f>
        <v>17</v>
      </c>
      <c r="K1621" s="1" t="n">
        <f aca="false">IF(OR($K$1="",对接源_02物料!$C421="",对接源_02物料!$C421&lt;&gt;$K$1,对接源_02物料!$B421=""),0,IF(OR(N(对接源_02物料!$B421)&lt;$K$2,N(对接源_02物料!$B421)&gt;$K$3),0,1))</f>
        <v>0</v>
      </c>
      <c r="L1621" s="1" t="n">
        <f aca="false">IF(OR($L$1="",对接源_02物料!$C421="",对接源_02物料!$C421&lt;&gt;$L$1,对接源_02物料!$B421=""),0,IF(OR(N(对接源_02物料!$B421)&lt;$L$2,N(对接源_02物料!$B421)&gt;$L$3),0,1))</f>
        <v>0</v>
      </c>
      <c r="M1621" s="1" t="n">
        <f aca="false">IF(OR($M$1="",对接源_02物料!$C421="",对接源_02物料!$C421&lt;&gt;$M$1,对接源_02物料!$B421=""),0,IF(OR(N(对接源_02物料!$B421)&lt;$M$2,N(对接源_02物料!$B421)&gt;$M$3),0,1))</f>
        <v>0</v>
      </c>
      <c r="N1621" s="1" t="n">
        <f aca="false">IF(OR($N$1="",对接源_02物料!$C421="",对接源_02物料!$C421&lt;&gt;$N$1,对接源_02物料!$B421=""),0,IF(OR(N(对接源_02物料!$B421)&lt;$N$2,N(对接源_02物料!$B421)&gt;$N$3),0,1))</f>
        <v>0</v>
      </c>
      <c r="P1621" s="1" t="n">
        <f aca="false">IF(AND($K1621=1,AND(对接源_02物料!$X421="公司筐",N(对接源_02物料!$T421)&lt;&gt;0)),1,0)</f>
        <v>0</v>
      </c>
      <c r="Q1621" s="1" t="n">
        <f aca="false">N(Q1620)+$P1621</f>
        <v>13</v>
      </c>
      <c r="R1621" s="1" t="n">
        <f aca="false">IF(AND($K1621=1,AND(对接源_02物料!$X421="公司筐",N(对接源_02物料!$U421)&lt;&gt;0)),1,0)</f>
        <v>0</v>
      </c>
      <c r="S1621" s="1" t="n">
        <f aca="false">N(S1620)+$R1621</f>
        <v>5</v>
      </c>
      <c r="T1621" s="1" t="n">
        <f aca="false">IF(AND($K1621=1,AND(对接源_02物料!$X421="公司筐",N(对接源_02物料!$V421)&lt;&gt;0)),1,0)</f>
        <v>0</v>
      </c>
      <c r="U1621" s="1" t="n">
        <f aca="false">N(U1620)+$T1621</f>
        <v>28</v>
      </c>
      <c r="V1621" s="1" t="n">
        <f aca="false">IF(AND($L1621=1,AND(对接源_02物料!$X421="自备筐",N(对接源_02物料!$V421)&lt;&gt;0)),1,0)</f>
        <v>0</v>
      </c>
      <c r="W1621" s="1" t="n">
        <f aca="false">N(W1620)+$V1621</f>
        <v>7</v>
      </c>
      <c r="X1621" s="1" t="n">
        <f aca="false">IF(AND($L1621=1,AND(对接源_02物料!$X421="自备筐",N(对接源_02物料!$T421)&lt;&gt;0)),1,0)</f>
        <v>0</v>
      </c>
      <c r="Y1621" s="1" t="n">
        <f aca="false">N(Y1620)+$X1621</f>
        <v>0</v>
      </c>
      <c r="Z1621" s="1" t="n">
        <f aca="false">IF(AND($M1621=1,对接源_02物料!$D421="原料入库"),1,0)</f>
        <v>0</v>
      </c>
      <c r="AA1621" s="1" t="n">
        <f aca="false">N(AA1620)+$Z1621</f>
        <v>30</v>
      </c>
      <c r="AB1621" s="1" t="n">
        <f aca="false">IF(AND($M1621=1,LEFT(对接源_02物料!$D421,4)="原料出库"),1,0)</f>
        <v>0</v>
      </c>
      <c r="AC1621" s="1" t="n">
        <f aca="false">N(AC1620)+$AB1621</f>
        <v>19</v>
      </c>
      <c r="AD1621" s="1" t="n">
        <f aca="false">IF(AND($M1621=1,LEFT(对接源_02物料!$D421,4)="成品出库"),1,0)</f>
        <v>0</v>
      </c>
      <c r="AE1621" s="1" t="n">
        <f aca="false">N(AE1620)+$AD1621</f>
        <v>38</v>
      </c>
      <c r="AF1621" s="1" t="n">
        <f aca="false">IF(AND($N1621=1,AND(LEFT(对接源_02物料!$D421,4)="包装物料",N(对接源_02物料!$K421)&lt;&gt;0)),1,0)</f>
        <v>0</v>
      </c>
      <c r="AG1621" s="1" t="n">
        <f aca="false">N(AG1620)+$AF1621</f>
        <v>6</v>
      </c>
      <c r="AH1621" s="1" t="n">
        <f aca="false">IF(AND($N1621=1,AND(LEFT(对接源_02物料!$D421,3)="周转筐",N(对接源_02物料!$K421)&lt;&gt;0)),1,0)</f>
        <v>0</v>
      </c>
      <c r="AI1621" s="1" t="n">
        <f aca="false">N(AI1620)+$AH1621</f>
        <v>0</v>
      </c>
      <c r="AJ1621" s="1" t="n">
        <v>0</v>
      </c>
      <c r="AK1621" s="1" t="n">
        <f aca="false">N(AK1620)+$AJ1621</f>
        <v>3672</v>
      </c>
    </row>
    <row r="1622" customFormat="false" ht="13.5" hidden="false" customHeight="false" outlineLevel="0" collapsed="false">
      <c r="A1622" s="1" t="str">
        <f aca="false">IF(对接源_02物料!$C422="","",对接源_02物料!$C422)</f>
        <v/>
      </c>
      <c r="B1622" s="1" t="n">
        <f aca="false">IF(A1622="",0,IF(MATCH(A1622,$A$4:$A$2403,0)=ROW()-3,1,0))</f>
        <v>0</v>
      </c>
      <c r="C1622" s="1" t="n">
        <f aca="false">N(C1621)+B1622</f>
        <v>17</v>
      </c>
      <c r="K1622" s="1" t="n">
        <f aca="false">IF(OR($K$1="",对接源_02物料!$C422="",对接源_02物料!$C422&lt;&gt;$K$1,对接源_02物料!$B422=""),0,IF(OR(N(对接源_02物料!$B422)&lt;$K$2,N(对接源_02物料!$B422)&gt;$K$3),0,1))</f>
        <v>0</v>
      </c>
      <c r="L1622" s="1" t="n">
        <f aca="false">IF(OR($L$1="",对接源_02物料!$C422="",对接源_02物料!$C422&lt;&gt;$L$1,对接源_02物料!$B422=""),0,IF(OR(N(对接源_02物料!$B422)&lt;$L$2,N(对接源_02物料!$B422)&gt;$L$3),0,1))</f>
        <v>0</v>
      </c>
      <c r="M1622" s="1" t="n">
        <f aca="false">IF(OR($M$1="",对接源_02物料!$C422="",对接源_02物料!$C422&lt;&gt;$M$1,对接源_02物料!$B422=""),0,IF(OR(N(对接源_02物料!$B422)&lt;$M$2,N(对接源_02物料!$B422)&gt;$M$3),0,1))</f>
        <v>0</v>
      </c>
      <c r="N1622" s="1" t="n">
        <f aca="false">IF(OR($N$1="",对接源_02物料!$C422="",对接源_02物料!$C422&lt;&gt;$N$1,对接源_02物料!$B422=""),0,IF(OR(N(对接源_02物料!$B422)&lt;$N$2,N(对接源_02物料!$B422)&gt;$N$3),0,1))</f>
        <v>0</v>
      </c>
      <c r="P1622" s="1" t="n">
        <f aca="false">IF(AND($K1622=1,AND(对接源_02物料!$X422="公司筐",N(对接源_02物料!$T422)&lt;&gt;0)),1,0)</f>
        <v>0</v>
      </c>
      <c r="Q1622" s="1" t="n">
        <f aca="false">N(Q1621)+$P1622</f>
        <v>13</v>
      </c>
      <c r="R1622" s="1" t="n">
        <f aca="false">IF(AND($K1622=1,AND(对接源_02物料!$X422="公司筐",N(对接源_02物料!$U422)&lt;&gt;0)),1,0)</f>
        <v>0</v>
      </c>
      <c r="S1622" s="1" t="n">
        <f aca="false">N(S1621)+$R1622</f>
        <v>5</v>
      </c>
      <c r="T1622" s="1" t="n">
        <f aca="false">IF(AND($K1622=1,AND(对接源_02物料!$X422="公司筐",N(对接源_02物料!$V422)&lt;&gt;0)),1,0)</f>
        <v>0</v>
      </c>
      <c r="U1622" s="1" t="n">
        <f aca="false">N(U1621)+$T1622</f>
        <v>28</v>
      </c>
      <c r="V1622" s="1" t="n">
        <f aca="false">IF(AND($L1622=1,AND(对接源_02物料!$X422="自备筐",N(对接源_02物料!$V422)&lt;&gt;0)),1,0)</f>
        <v>0</v>
      </c>
      <c r="W1622" s="1" t="n">
        <f aca="false">N(W1621)+$V1622</f>
        <v>7</v>
      </c>
      <c r="X1622" s="1" t="n">
        <f aca="false">IF(AND($L1622=1,AND(对接源_02物料!$X422="自备筐",N(对接源_02物料!$T422)&lt;&gt;0)),1,0)</f>
        <v>0</v>
      </c>
      <c r="Y1622" s="1" t="n">
        <f aca="false">N(Y1621)+$X1622</f>
        <v>0</v>
      </c>
      <c r="Z1622" s="1" t="n">
        <f aca="false">IF(AND($M1622=1,对接源_02物料!$D422="原料入库"),1,0)</f>
        <v>0</v>
      </c>
      <c r="AA1622" s="1" t="n">
        <f aca="false">N(AA1621)+$Z1622</f>
        <v>30</v>
      </c>
      <c r="AB1622" s="1" t="n">
        <f aca="false">IF(AND($M1622=1,LEFT(对接源_02物料!$D422,4)="原料出库"),1,0)</f>
        <v>0</v>
      </c>
      <c r="AC1622" s="1" t="n">
        <f aca="false">N(AC1621)+$AB1622</f>
        <v>19</v>
      </c>
      <c r="AD1622" s="1" t="n">
        <f aca="false">IF(AND($M1622=1,LEFT(对接源_02物料!$D422,4)="成品出库"),1,0)</f>
        <v>0</v>
      </c>
      <c r="AE1622" s="1" t="n">
        <f aca="false">N(AE1621)+$AD1622</f>
        <v>38</v>
      </c>
      <c r="AF1622" s="1" t="n">
        <f aca="false">IF(AND($N1622=1,AND(LEFT(对接源_02物料!$D422,4)="包装物料",N(对接源_02物料!$K422)&lt;&gt;0)),1,0)</f>
        <v>0</v>
      </c>
      <c r="AG1622" s="1" t="n">
        <f aca="false">N(AG1621)+$AF1622</f>
        <v>6</v>
      </c>
      <c r="AH1622" s="1" t="n">
        <f aca="false">IF(AND($N1622=1,AND(LEFT(对接源_02物料!$D422,3)="周转筐",N(对接源_02物料!$K422)&lt;&gt;0)),1,0)</f>
        <v>0</v>
      </c>
      <c r="AI1622" s="1" t="n">
        <f aca="false">N(AI1621)+$AH1622</f>
        <v>0</v>
      </c>
      <c r="AJ1622" s="1" t="n">
        <v>0</v>
      </c>
      <c r="AK1622" s="1" t="n">
        <f aca="false">N(AK1621)+$AJ1622</f>
        <v>3672</v>
      </c>
    </row>
    <row r="1623" customFormat="false" ht="13.5" hidden="false" customHeight="false" outlineLevel="0" collapsed="false">
      <c r="A1623" s="1" t="str">
        <f aca="false">IF(对接源_02物料!$C423="","",对接源_02物料!$C423)</f>
        <v/>
      </c>
      <c r="B1623" s="1" t="n">
        <f aca="false">IF(A1623="",0,IF(MATCH(A1623,$A$4:$A$2403,0)=ROW()-3,1,0))</f>
        <v>0</v>
      </c>
      <c r="C1623" s="1" t="n">
        <f aca="false">N(C1622)+B1623</f>
        <v>17</v>
      </c>
      <c r="K1623" s="1" t="n">
        <f aca="false">IF(OR($K$1="",对接源_02物料!$C423="",对接源_02物料!$C423&lt;&gt;$K$1,对接源_02物料!$B423=""),0,IF(OR(N(对接源_02物料!$B423)&lt;$K$2,N(对接源_02物料!$B423)&gt;$K$3),0,1))</f>
        <v>0</v>
      </c>
      <c r="L1623" s="1" t="n">
        <f aca="false">IF(OR($L$1="",对接源_02物料!$C423="",对接源_02物料!$C423&lt;&gt;$L$1,对接源_02物料!$B423=""),0,IF(OR(N(对接源_02物料!$B423)&lt;$L$2,N(对接源_02物料!$B423)&gt;$L$3),0,1))</f>
        <v>0</v>
      </c>
      <c r="M1623" s="1" t="n">
        <f aca="false">IF(OR($M$1="",对接源_02物料!$C423="",对接源_02物料!$C423&lt;&gt;$M$1,对接源_02物料!$B423=""),0,IF(OR(N(对接源_02物料!$B423)&lt;$M$2,N(对接源_02物料!$B423)&gt;$M$3),0,1))</f>
        <v>0</v>
      </c>
      <c r="N1623" s="1" t="n">
        <f aca="false">IF(OR($N$1="",对接源_02物料!$C423="",对接源_02物料!$C423&lt;&gt;$N$1,对接源_02物料!$B423=""),0,IF(OR(N(对接源_02物料!$B423)&lt;$N$2,N(对接源_02物料!$B423)&gt;$N$3),0,1))</f>
        <v>0</v>
      </c>
      <c r="P1623" s="1" t="n">
        <f aca="false">IF(AND($K1623=1,AND(对接源_02物料!$X423="公司筐",N(对接源_02物料!$T423)&lt;&gt;0)),1,0)</f>
        <v>0</v>
      </c>
      <c r="Q1623" s="1" t="n">
        <f aca="false">N(Q1622)+$P1623</f>
        <v>13</v>
      </c>
      <c r="R1623" s="1" t="n">
        <f aca="false">IF(AND($K1623=1,AND(对接源_02物料!$X423="公司筐",N(对接源_02物料!$U423)&lt;&gt;0)),1,0)</f>
        <v>0</v>
      </c>
      <c r="S1623" s="1" t="n">
        <f aca="false">N(S1622)+$R1623</f>
        <v>5</v>
      </c>
      <c r="T1623" s="1" t="n">
        <f aca="false">IF(AND($K1623=1,AND(对接源_02物料!$X423="公司筐",N(对接源_02物料!$V423)&lt;&gt;0)),1,0)</f>
        <v>0</v>
      </c>
      <c r="U1623" s="1" t="n">
        <f aca="false">N(U1622)+$T1623</f>
        <v>28</v>
      </c>
      <c r="V1623" s="1" t="n">
        <f aca="false">IF(AND($L1623=1,AND(对接源_02物料!$X423="自备筐",N(对接源_02物料!$V423)&lt;&gt;0)),1,0)</f>
        <v>0</v>
      </c>
      <c r="W1623" s="1" t="n">
        <f aca="false">N(W1622)+$V1623</f>
        <v>7</v>
      </c>
      <c r="X1623" s="1" t="n">
        <f aca="false">IF(AND($L1623=1,AND(对接源_02物料!$X423="自备筐",N(对接源_02物料!$T423)&lt;&gt;0)),1,0)</f>
        <v>0</v>
      </c>
      <c r="Y1623" s="1" t="n">
        <f aca="false">N(Y1622)+$X1623</f>
        <v>0</v>
      </c>
      <c r="Z1623" s="1" t="n">
        <f aca="false">IF(AND($M1623=1,对接源_02物料!$D423="原料入库"),1,0)</f>
        <v>0</v>
      </c>
      <c r="AA1623" s="1" t="n">
        <f aca="false">N(AA1622)+$Z1623</f>
        <v>30</v>
      </c>
      <c r="AB1623" s="1" t="n">
        <f aca="false">IF(AND($M1623=1,LEFT(对接源_02物料!$D423,4)="原料出库"),1,0)</f>
        <v>0</v>
      </c>
      <c r="AC1623" s="1" t="n">
        <f aca="false">N(AC1622)+$AB1623</f>
        <v>19</v>
      </c>
      <c r="AD1623" s="1" t="n">
        <f aca="false">IF(AND($M1623=1,LEFT(对接源_02物料!$D423,4)="成品出库"),1,0)</f>
        <v>0</v>
      </c>
      <c r="AE1623" s="1" t="n">
        <f aca="false">N(AE1622)+$AD1623</f>
        <v>38</v>
      </c>
      <c r="AF1623" s="1" t="n">
        <f aca="false">IF(AND($N1623=1,AND(LEFT(对接源_02物料!$D423,4)="包装物料",N(对接源_02物料!$K423)&lt;&gt;0)),1,0)</f>
        <v>0</v>
      </c>
      <c r="AG1623" s="1" t="n">
        <f aca="false">N(AG1622)+$AF1623</f>
        <v>6</v>
      </c>
      <c r="AH1623" s="1" t="n">
        <f aca="false">IF(AND($N1623=1,AND(LEFT(对接源_02物料!$D423,3)="周转筐",N(对接源_02物料!$K423)&lt;&gt;0)),1,0)</f>
        <v>0</v>
      </c>
      <c r="AI1623" s="1" t="n">
        <f aca="false">N(AI1622)+$AH1623</f>
        <v>0</v>
      </c>
      <c r="AJ1623" s="1" t="n">
        <v>0</v>
      </c>
      <c r="AK1623" s="1" t="n">
        <f aca="false">N(AK1622)+$AJ1623</f>
        <v>3672</v>
      </c>
    </row>
    <row r="1624" customFormat="false" ht="13.5" hidden="false" customHeight="false" outlineLevel="0" collapsed="false">
      <c r="A1624" s="1" t="str">
        <f aca="false">IF(对接源_02物料!$C424="","",对接源_02物料!$C424)</f>
        <v/>
      </c>
      <c r="B1624" s="1" t="n">
        <f aca="false">IF(A1624="",0,IF(MATCH(A1624,$A$4:$A$2403,0)=ROW()-3,1,0))</f>
        <v>0</v>
      </c>
      <c r="C1624" s="1" t="n">
        <f aca="false">N(C1623)+B1624</f>
        <v>17</v>
      </c>
      <c r="K1624" s="1" t="n">
        <f aca="false">IF(OR($K$1="",对接源_02物料!$C424="",对接源_02物料!$C424&lt;&gt;$K$1,对接源_02物料!$B424=""),0,IF(OR(N(对接源_02物料!$B424)&lt;$K$2,N(对接源_02物料!$B424)&gt;$K$3),0,1))</f>
        <v>0</v>
      </c>
      <c r="L1624" s="1" t="n">
        <f aca="false">IF(OR($L$1="",对接源_02物料!$C424="",对接源_02物料!$C424&lt;&gt;$L$1,对接源_02物料!$B424=""),0,IF(OR(N(对接源_02物料!$B424)&lt;$L$2,N(对接源_02物料!$B424)&gt;$L$3),0,1))</f>
        <v>0</v>
      </c>
      <c r="M1624" s="1" t="n">
        <f aca="false">IF(OR($M$1="",对接源_02物料!$C424="",对接源_02物料!$C424&lt;&gt;$M$1,对接源_02物料!$B424=""),0,IF(OR(N(对接源_02物料!$B424)&lt;$M$2,N(对接源_02物料!$B424)&gt;$M$3),0,1))</f>
        <v>0</v>
      </c>
      <c r="N1624" s="1" t="n">
        <f aca="false">IF(OR($N$1="",对接源_02物料!$C424="",对接源_02物料!$C424&lt;&gt;$N$1,对接源_02物料!$B424=""),0,IF(OR(N(对接源_02物料!$B424)&lt;$N$2,N(对接源_02物料!$B424)&gt;$N$3),0,1))</f>
        <v>0</v>
      </c>
      <c r="P1624" s="1" t="n">
        <f aca="false">IF(AND($K1624=1,AND(对接源_02物料!$X424="公司筐",N(对接源_02物料!$T424)&lt;&gt;0)),1,0)</f>
        <v>0</v>
      </c>
      <c r="Q1624" s="1" t="n">
        <f aca="false">N(Q1623)+$P1624</f>
        <v>13</v>
      </c>
      <c r="R1624" s="1" t="n">
        <f aca="false">IF(AND($K1624=1,AND(对接源_02物料!$X424="公司筐",N(对接源_02物料!$U424)&lt;&gt;0)),1,0)</f>
        <v>0</v>
      </c>
      <c r="S1624" s="1" t="n">
        <f aca="false">N(S1623)+$R1624</f>
        <v>5</v>
      </c>
      <c r="T1624" s="1" t="n">
        <f aca="false">IF(AND($K1624=1,AND(对接源_02物料!$X424="公司筐",N(对接源_02物料!$V424)&lt;&gt;0)),1,0)</f>
        <v>0</v>
      </c>
      <c r="U1624" s="1" t="n">
        <f aca="false">N(U1623)+$T1624</f>
        <v>28</v>
      </c>
      <c r="V1624" s="1" t="n">
        <f aca="false">IF(AND($L1624=1,AND(对接源_02物料!$X424="自备筐",N(对接源_02物料!$V424)&lt;&gt;0)),1,0)</f>
        <v>0</v>
      </c>
      <c r="W1624" s="1" t="n">
        <f aca="false">N(W1623)+$V1624</f>
        <v>7</v>
      </c>
      <c r="X1624" s="1" t="n">
        <f aca="false">IF(AND($L1624=1,AND(对接源_02物料!$X424="自备筐",N(对接源_02物料!$T424)&lt;&gt;0)),1,0)</f>
        <v>0</v>
      </c>
      <c r="Y1624" s="1" t="n">
        <f aca="false">N(Y1623)+$X1624</f>
        <v>0</v>
      </c>
      <c r="Z1624" s="1" t="n">
        <f aca="false">IF(AND($M1624=1,对接源_02物料!$D424="原料入库"),1,0)</f>
        <v>0</v>
      </c>
      <c r="AA1624" s="1" t="n">
        <f aca="false">N(AA1623)+$Z1624</f>
        <v>30</v>
      </c>
      <c r="AB1624" s="1" t="n">
        <f aca="false">IF(AND($M1624=1,LEFT(对接源_02物料!$D424,4)="原料出库"),1,0)</f>
        <v>0</v>
      </c>
      <c r="AC1624" s="1" t="n">
        <f aca="false">N(AC1623)+$AB1624</f>
        <v>19</v>
      </c>
      <c r="AD1624" s="1" t="n">
        <f aca="false">IF(AND($M1624=1,LEFT(对接源_02物料!$D424,4)="成品出库"),1,0)</f>
        <v>0</v>
      </c>
      <c r="AE1624" s="1" t="n">
        <f aca="false">N(AE1623)+$AD1624</f>
        <v>38</v>
      </c>
      <c r="AF1624" s="1" t="n">
        <f aca="false">IF(AND($N1624=1,AND(LEFT(对接源_02物料!$D424,4)="包装物料",N(对接源_02物料!$K424)&lt;&gt;0)),1,0)</f>
        <v>0</v>
      </c>
      <c r="AG1624" s="1" t="n">
        <f aca="false">N(AG1623)+$AF1624</f>
        <v>6</v>
      </c>
      <c r="AH1624" s="1" t="n">
        <f aca="false">IF(AND($N1624=1,AND(LEFT(对接源_02物料!$D424,3)="周转筐",N(对接源_02物料!$K424)&lt;&gt;0)),1,0)</f>
        <v>0</v>
      </c>
      <c r="AI1624" s="1" t="n">
        <f aca="false">N(AI1623)+$AH1624</f>
        <v>0</v>
      </c>
      <c r="AJ1624" s="1" t="n">
        <v>0</v>
      </c>
      <c r="AK1624" s="1" t="n">
        <f aca="false">N(AK1623)+$AJ1624</f>
        <v>3672</v>
      </c>
    </row>
    <row r="1625" customFormat="false" ht="13.5" hidden="false" customHeight="false" outlineLevel="0" collapsed="false">
      <c r="A1625" s="1" t="str">
        <f aca="false">IF(对接源_02物料!$C425="","",对接源_02物料!$C425)</f>
        <v/>
      </c>
      <c r="B1625" s="1" t="n">
        <f aca="false">IF(A1625="",0,IF(MATCH(A1625,$A$4:$A$2403,0)=ROW()-3,1,0))</f>
        <v>0</v>
      </c>
      <c r="C1625" s="1" t="n">
        <f aca="false">N(C1624)+B1625</f>
        <v>17</v>
      </c>
      <c r="K1625" s="1" t="n">
        <f aca="false">IF(OR($K$1="",对接源_02物料!$C425="",对接源_02物料!$C425&lt;&gt;$K$1,对接源_02物料!$B425=""),0,IF(OR(N(对接源_02物料!$B425)&lt;$K$2,N(对接源_02物料!$B425)&gt;$K$3),0,1))</f>
        <v>0</v>
      </c>
      <c r="L1625" s="1" t="n">
        <f aca="false">IF(OR($L$1="",对接源_02物料!$C425="",对接源_02物料!$C425&lt;&gt;$L$1,对接源_02物料!$B425=""),0,IF(OR(N(对接源_02物料!$B425)&lt;$L$2,N(对接源_02物料!$B425)&gt;$L$3),0,1))</f>
        <v>0</v>
      </c>
      <c r="M1625" s="1" t="n">
        <f aca="false">IF(OR($M$1="",对接源_02物料!$C425="",对接源_02物料!$C425&lt;&gt;$M$1,对接源_02物料!$B425=""),0,IF(OR(N(对接源_02物料!$B425)&lt;$M$2,N(对接源_02物料!$B425)&gt;$M$3),0,1))</f>
        <v>0</v>
      </c>
      <c r="N1625" s="1" t="n">
        <f aca="false">IF(OR($N$1="",对接源_02物料!$C425="",对接源_02物料!$C425&lt;&gt;$N$1,对接源_02物料!$B425=""),0,IF(OR(N(对接源_02物料!$B425)&lt;$N$2,N(对接源_02物料!$B425)&gt;$N$3),0,1))</f>
        <v>0</v>
      </c>
      <c r="P1625" s="1" t="n">
        <f aca="false">IF(AND($K1625=1,AND(对接源_02物料!$X425="公司筐",N(对接源_02物料!$T425)&lt;&gt;0)),1,0)</f>
        <v>0</v>
      </c>
      <c r="Q1625" s="1" t="n">
        <f aca="false">N(Q1624)+$P1625</f>
        <v>13</v>
      </c>
      <c r="R1625" s="1" t="n">
        <f aca="false">IF(AND($K1625=1,AND(对接源_02物料!$X425="公司筐",N(对接源_02物料!$U425)&lt;&gt;0)),1,0)</f>
        <v>0</v>
      </c>
      <c r="S1625" s="1" t="n">
        <f aca="false">N(S1624)+$R1625</f>
        <v>5</v>
      </c>
      <c r="T1625" s="1" t="n">
        <f aca="false">IF(AND($K1625=1,AND(对接源_02物料!$X425="公司筐",N(对接源_02物料!$V425)&lt;&gt;0)),1,0)</f>
        <v>0</v>
      </c>
      <c r="U1625" s="1" t="n">
        <f aca="false">N(U1624)+$T1625</f>
        <v>28</v>
      </c>
      <c r="V1625" s="1" t="n">
        <f aca="false">IF(AND($L1625=1,AND(对接源_02物料!$X425="自备筐",N(对接源_02物料!$V425)&lt;&gt;0)),1,0)</f>
        <v>0</v>
      </c>
      <c r="W1625" s="1" t="n">
        <f aca="false">N(W1624)+$V1625</f>
        <v>7</v>
      </c>
      <c r="X1625" s="1" t="n">
        <f aca="false">IF(AND($L1625=1,AND(对接源_02物料!$X425="自备筐",N(对接源_02物料!$T425)&lt;&gt;0)),1,0)</f>
        <v>0</v>
      </c>
      <c r="Y1625" s="1" t="n">
        <f aca="false">N(Y1624)+$X1625</f>
        <v>0</v>
      </c>
      <c r="Z1625" s="1" t="n">
        <f aca="false">IF(AND($M1625=1,对接源_02物料!$D425="原料入库"),1,0)</f>
        <v>0</v>
      </c>
      <c r="AA1625" s="1" t="n">
        <f aca="false">N(AA1624)+$Z1625</f>
        <v>30</v>
      </c>
      <c r="AB1625" s="1" t="n">
        <f aca="false">IF(AND($M1625=1,LEFT(对接源_02物料!$D425,4)="原料出库"),1,0)</f>
        <v>0</v>
      </c>
      <c r="AC1625" s="1" t="n">
        <f aca="false">N(AC1624)+$AB1625</f>
        <v>19</v>
      </c>
      <c r="AD1625" s="1" t="n">
        <f aca="false">IF(AND($M1625=1,LEFT(对接源_02物料!$D425,4)="成品出库"),1,0)</f>
        <v>0</v>
      </c>
      <c r="AE1625" s="1" t="n">
        <f aca="false">N(AE1624)+$AD1625</f>
        <v>38</v>
      </c>
      <c r="AF1625" s="1" t="n">
        <f aca="false">IF(AND($N1625=1,AND(LEFT(对接源_02物料!$D425,4)="包装物料",N(对接源_02物料!$K425)&lt;&gt;0)),1,0)</f>
        <v>0</v>
      </c>
      <c r="AG1625" s="1" t="n">
        <f aca="false">N(AG1624)+$AF1625</f>
        <v>6</v>
      </c>
      <c r="AH1625" s="1" t="n">
        <f aca="false">IF(AND($N1625=1,AND(LEFT(对接源_02物料!$D425,3)="周转筐",N(对接源_02物料!$K425)&lt;&gt;0)),1,0)</f>
        <v>0</v>
      </c>
      <c r="AI1625" s="1" t="n">
        <f aca="false">N(AI1624)+$AH1625</f>
        <v>0</v>
      </c>
      <c r="AJ1625" s="1" t="n">
        <v>0</v>
      </c>
      <c r="AK1625" s="1" t="n">
        <f aca="false">N(AK1624)+$AJ1625</f>
        <v>3672</v>
      </c>
    </row>
    <row r="1626" customFormat="false" ht="13.5" hidden="false" customHeight="false" outlineLevel="0" collapsed="false">
      <c r="A1626" s="1" t="str">
        <f aca="false">IF(对接源_02物料!$C426="","",对接源_02物料!$C426)</f>
        <v/>
      </c>
      <c r="B1626" s="1" t="n">
        <f aca="false">IF(A1626="",0,IF(MATCH(A1626,$A$4:$A$2403,0)=ROW()-3,1,0))</f>
        <v>0</v>
      </c>
      <c r="C1626" s="1" t="n">
        <f aca="false">N(C1625)+B1626</f>
        <v>17</v>
      </c>
      <c r="K1626" s="1" t="n">
        <f aca="false">IF(OR($K$1="",对接源_02物料!$C426="",对接源_02物料!$C426&lt;&gt;$K$1,对接源_02物料!$B426=""),0,IF(OR(N(对接源_02物料!$B426)&lt;$K$2,N(对接源_02物料!$B426)&gt;$K$3),0,1))</f>
        <v>0</v>
      </c>
      <c r="L1626" s="1" t="n">
        <f aca="false">IF(OR($L$1="",对接源_02物料!$C426="",对接源_02物料!$C426&lt;&gt;$L$1,对接源_02物料!$B426=""),0,IF(OR(N(对接源_02物料!$B426)&lt;$L$2,N(对接源_02物料!$B426)&gt;$L$3),0,1))</f>
        <v>0</v>
      </c>
      <c r="M1626" s="1" t="n">
        <f aca="false">IF(OR($M$1="",对接源_02物料!$C426="",对接源_02物料!$C426&lt;&gt;$M$1,对接源_02物料!$B426=""),0,IF(OR(N(对接源_02物料!$B426)&lt;$M$2,N(对接源_02物料!$B426)&gt;$M$3),0,1))</f>
        <v>0</v>
      </c>
      <c r="N1626" s="1" t="n">
        <f aca="false">IF(OR($N$1="",对接源_02物料!$C426="",对接源_02物料!$C426&lt;&gt;$N$1,对接源_02物料!$B426=""),0,IF(OR(N(对接源_02物料!$B426)&lt;$N$2,N(对接源_02物料!$B426)&gt;$N$3),0,1))</f>
        <v>0</v>
      </c>
      <c r="P1626" s="1" t="n">
        <f aca="false">IF(AND($K1626=1,AND(对接源_02物料!$X426="公司筐",N(对接源_02物料!$T426)&lt;&gt;0)),1,0)</f>
        <v>0</v>
      </c>
      <c r="Q1626" s="1" t="n">
        <f aca="false">N(Q1625)+$P1626</f>
        <v>13</v>
      </c>
      <c r="R1626" s="1" t="n">
        <f aca="false">IF(AND($K1626=1,AND(对接源_02物料!$X426="公司筐",N(对接源_02物料!$U426)&lt;&gt;0)),1,0)</f>
        <v>0</v>
      </c>
      <c r="S1626" s="1" t="n">
        <f aca="false">N(S1625)+$R1626</f>
        <v>5</v>
      </c>
      <c r="T1626" s="1" t="n">
        <f aca="false">IF(AND($K1626=1,AND(对接源_02物料!$X426="公司筐",N(对接源_02物料!$V426)&lt;&gt;0)),1,0)</f>
        <v>0</v>
      </c>
      <c r="U1626" s="1" t="n">
        <f aca="false">N(U1625)+$T1626</f>
        <v>28</v>
      </c>
      <c r="V1626" s="1" t="n">
        <f aca="false">IF(AND($L1626=1,AND(对接源_02物料!$X426="自备筐",N(对接源_02物料!$V426)&lt;&gt;0)),1,0)</f>
        <v>0</v>
      </c>
      <c r="W1626" s="1" t="n">
        <f aca="false">N(W1625)+$V1626</f>
        <v>7</v>
      </c>
      <c r="X1626" s="1" t="n">
        <f aca="false">IF(AND($L1626=1,AND(对接源_02物料!$X426="自备筐",N(对接源_02物料!$T426)&lt;&gt;0)),1,0)</f>
        <v>0</v>
      </c>
      <c r="Y1626" s="1" t="n">
        <f aca="false">N(Y1625)+$X1626</f>
        <v>0</v>
      </c>
      <c r="Z1626" s="1" t="n">
        <f aca="false">IF(AND($M1626=1,对接源_02物料!$D426="原料入库"),1,0)</f>
        <v>0</v>
      </c>
      <c r="AA1626" s="1" t="n">
        <f aca="false">N(AA1625)+$Z1626</f>
        <v>30</v>
      </c>
      <c r="AB1626" s="1" t="n">
        <f aca="false">IF(AND($M1626=1,LEFT(对接源_02物料!$D426,4)="原料出库"),1,0)</f>
        <v>0</v>
      </c>
      <c r="AC1626" s="1" t="n">
        <f aca="false">N(AC1625)+$AB1626</f>
        <v>19</v>
      </c>
      <c r="AD1626" s="1" t="n">
        <f aca="false">IF(AND($M1626=1,LEFT(对接源_02物料!$D426,4)="成品出库"),1,0)</f>
        <v>0</v>
      </c>
      <c r="AE1626" s="1" t="n">
        <f aca="false">N(AE1625)+$AD1626</f>
        <v>38</v>
      </c>
      <c r="AF1626" s="1" t="n">
        <f aca="false">IF(AND($N1626=1,AND(LEFT(对接源_02物料!$D426,4)="包装物料",N(对接源_02物料!$K426)&lt;&gt;0)),1,0)</f>
        <v>0</v>
      </c>
      <c r="AG1626" s="1" t="n">
        <f aca="false">N(AG1625)+$AF1626</f>
        <v>6</v>
      </c>
      <c r="AH1626" s="1" t="n">
        <f aca="false">IF(AND($N1626=1,AND(LEFT(对接源_02物料!$D426,3)="周转筐",N(对接源_02物料!$K426)&lt;&gt;0)),1,0)</f>
        <v>0</v>
      </c>
      <c r="AI1626" s="1" t="n">
        <f aca="false">N(AI1625)+$AH1626</f>
        <v>0</v>
      </c>
      <c r="AJ1626" s="1" t="n">
        <v>0</v>
      </c>
      <c r="AK1626" s="1" t="n">
        <f aca="false">N(AK1625)+$AJ1626</f>
        <v>3672</v>
      </c>
    </row>
    <row r="1627" customFormat="false" ht="13.5" hidden="false" customHeight="false" outlineLevel="0" collapsed="false">
      <c r="A1627" s="1" t="str">
        <f aca="false">IF(对接源_02物料!$C427="","",对接源_02物料!$C427)</f>
        <v/>
      </c>
      <c r="B1627" s="1" t="n">
        <f aca="false">IF(A1627="",0,IF(MATCH(A1627,$A$4:$A$2403,0)=ROW()-3,1,0))</f>
        <v>0</v>
      </c>
      <c r="C1627" s="1" t="n">
        <f aca="false">N(C1626)+B1627</f>
        <v>17</v>
      </c>
      <c r="K1627" s="1" t="n">
        <f aca="false">IF(OR($K$1="",对接源_02物料!$C427="",对接源_02物料!$C427&lt;&gt;$K$1,对接源_02物料!$B427=""),0,IF(OR(N(对接源_02物料!$B427)&lt;$K$2,N(对接源_02物料!$B427)&gt;$K$3),0,1))</f>
        <v>0</v>
      </c>
      <c r="L1627" s="1" t="n">
        <f aca="false">IF(OR($L$1="",对接源_02物料!$C427="",对接源_02物料!$C427&lt;&gt;$L$1,对接源_02物料!$B427=""),0,IF(OR(N(对接源_02物料!$B427)&lt;$L$2,N(对接源_02物料!$B427)&gt;$L$3),0,1))</f>
        <v>0</v>
      </c>
      <c r="M1627" s="1" t="n">
        <f aca="false">IF(OR($M$1="",对接源_02物料!$C427="",对接源_02物料!$C427&lt;&gt;$M$1,对接源_02物料!$B427=""),0,IF(OR(N(对接源_02物料!$B427)&lt;$M$2,N(对接源_02物料!$B427)&gt;$M$3),0,1))</f>
        <v>0</v>
      </c>
      <c r="N1627" s="1" t="n">
        <f aca="false">IF(OR($N$1="",对接源_02物料!$C427="",对接源_02物料!$C427&lt;&gt;$N$1,对接源_02物料!$B427=""),0,IF(OR(N(对接源_02物料!$B427)&lt;$N$2,N(对接源_02物料!$B427)&gt;$N$3),0,1))</f>
        <v>0</v>
      </c>
      <c r="P1627" s="1" t="n">
        <f aca="false">IF(AND($K1627=1,AND(对接源_02物料!$X427="公司筐",N(对接源_02物料!$T427)&lt;&gt;0)),1,0)</f>
        <v>0</v>
      </c>
      <c r="Q1627" s="1" t="n">
        <f aca="false">N(Q1626)+$P1627</f>
        <v>13</v>
      </c>
      <c r="R1627" s="1" t="n">
        <f aca="false">IF(AND($K1627=1,AND(对接源_02物料!$X427="公司筐",N(对接源_02物料!$U427)&lt;&gt;0)),1,0)</f>
        <v>0</v>
      </c>
      <c r="S1627" s="1" t="n">
        <f aca="false">N(S1626)+$R1627</f>
        <v>5</v>
      </c>
      <c r="T1627" s="1" t="n">
        <f aca="false">IF(AND($K1627=1,AND(对接源_02物料!$X427="公司筐",N(对接源_02物料!$V427)&lt;&gt;0)),1,0)</f>
        <v>0</v>
      </c>
      <c r="U1627" s="1" t="n">
        <f aca="false">N(U1626)+$T1627</f>
        <v>28</v>
      </c>
      <c r="V1627" s="1" t="n">
        <f aca="false">IF(AND($L1627=1,AND(对接源_02物料!$X427="自备筐",N(对接源_02物料!$V427)&lt;&gt;0)),1,0)</f>
        <v>0</v>
      </c>
      <c r="W1627" s="1" t="n">
        <f aca="false">N(W1626)+$V1627</f>
        <v>7</v>
      </c>
      <c r="X1627" s="1" t="n">
        <f aca="false">IF(AND($L1627=1,AND(对接源_02物料!$X427="自备筐",N(对接源_02物料!$T427)&lt;&gt;0)),1,0)</f>
        <v>0</v>
      </c>
      <c r="Y1627" s="1" t="n">
        <f aca="false">N(Y1626)+$X1627</f>
        <v>0</v>
      </c>
      <c r="Z1627" s="1" t="n">
        <f aca="false">IF(AND($M1627=1,对接源_02物料!$D427="原料入库"),1,0)</f>
        <v>0</v>
      </c>
      <c r="AA1627" s="1" t="n">
        <f aca="false">N(AA1626)+$Z1627</f>
        <v>30</v>
      </c>
      <c r="AB1627" s="1" t="n">
        <f aca="false">IF(AND($M1627=1,LEFT(对接源_02物料!$D427,4)="原料出库"),1,0)</f>
        <v>0</v>
      </c>
      <c r="AC1627" s="1" t="n">
        <f aca="false">N(AC1626)+$AB1627</f>
        <v>19</v>
      </c>
      <c r="AD1627" s="1" t="n">
        <f aca="false">IF(AND($M1627=1,LEFT(对接源_02物料!$D427,4)="成品出库"),1,0)</f>
        <v>0</v>
      </c>
      <c r="AE1627" s="1" t="n">
        <f aca="false">N(AE1626)+$AD1627</f>
        <v>38</v>
      </c>
      <c r="AF1627" s="1" t="n">
        <f aca="false">IF(AND($N1627=1,AND(LEFT(对接源_02物料!$D427,4)="包装物料",N(对接源_02物料!$K427)&lt;&gt;0)),1,0)</f>
        <v>0</v>
      </c>
      <c r="AG1627" s="1" t="n">
        <f aca="false">N(AG1626)+$AF1627</f>
        <v>6</v>
      </c>
      <c r="AH1627" s="1" t="n">
        <f aca="false">IF(AND($N1627=1,AND(LEFT(对接源_02物料!$D427,3)="周转筐",N(对接源_02物料!$K427)&lt;&gt;0)),1,0)</f>
        <v>0</v>
      </c>
      <c r="AI1627" s="1" t="n">
        <f aca="false">N(AI1626)+$AH1627</f>
        <v>0</v>
      </c>
      <c r="AJ1627" s="1" t="n">
        <v>0</v>
      </c>
      <c r="AK1627" s="1" t="n">
        <f aca="false">N(AK1626)+$AJ1627</f>
        <v>3672</v>
      </c>
    </row>
    <row r="1628" customFormat="false" ht="13.5" hidden="false" customHeight="false" outlineLevel="0" collapsed="false">
      <c r="A1628" s="1" t="str">
        <f aca="false">IF(对接源_02物料!$C428="","",对接源_02物料!$C428)</f>
        <v/>
      </c>
      <c r="B1628" s="1" t="n">
        <f aca="false">IF(A1628="",0,IF(MATCH(A1628,$A$4:$A$2403,0)=ROW()-3,1,0))</f>
        <v>0</v>
      </c>
      <c r="C1628" s="1" t="n">
        <f aca="false">N(C1627)+B1628</f>
        <v>17</v>
      </c>
      <c r="K1628" s="1" t="n">
        <f aca="false">IF(OR($K$1="",对接源_02物料!$C428="",对接源_02物料!$C428&lt;&gt;$K$1,对接源_02物料!$B428=""),0,IF(OR(N(对接源_02物料!$B428)&lt;$K$2,N(对接源_02物料!$B428)&gt;$K$3),0,1))</f>
        <v>0</v>
      </c>
      <c r="L1628" s="1" t="n">
        <f aca="false">IF(OR($L$1="",对接源_02物料!$C428="",对接源_02物料!$C428&lt;&gt;$L$1,对接源_02物料!$B428=""),0,IF(OR(N(对接源_02物料!$B428)&lt;$L$2,N(对接源_02物料!$B428)&gt;$L$3),0,1))</f>
        <v>0</v>
      </c>
      <c r="M1628" s="1" t="n">
        <f aca="false">IF(OR($M$1="",对接源_02物料!$C428="",对接源_02物料!$C428&lt;&gt;$M$1,对接源_02物料!$B428=""),0,IF(OR(N(对接源_02物料!$B428)&lt;$M$2,N(对接源_02物料!$B428)&gt;$M$3),0,1))</f>
        <v>0</v>
      </c>
      <c r="N1628" s="1" t="n">
        <f aca="false">IF(OR($N$1="",对接源_02物料!$C428="",对接源_02物料!$C428&lt;&gt;$N$1,对接源_02物料!$B428=""),0,IF(OR(N(对接源_02物料!$B428)&lt;$N$2,N(对接源_02物料!$B428)&gt;$N$3),0,1))</f>
        <v>0</v>
      </c>
      <c r="P1628" s="1" t="n">
        <f aca="false">IF(AND($K1628=1,AND(对接源_02物料!$X428="公司筐",N(对接源_02物料!$T428)&lt;&gt;0)),1,0)</f>
        <v>0</v>
      </c>
      <c r="Q1628" s="1" t="n">
        <f aca="false">N(Q1627)+$P1628</f>
        <v>13</v>
      </c>
      <c r="R1628" s="1" t="n">
        <f aca="false">IF(AND($K1628=1,AND(对接源_02物料!$X428="公司筐",N(对接源_02物料!$U428)&lt;&gt;0)),1,0)</f>
        <v>0</v>
      </c>
      <c r="S1628" s="1" t="n">
        <f aca="false">N(S1627)+$R1628</f>
        <v>5</v>
      </c>
      <c r="T1628" s="1" t="n">
        <f aca="false">IF(AND($K1628=1,AND(对接源_02物料!$X428="公司筐",N(对接源_02物料!$V428)&lt;&gt;0)),1,0)</f>
        <v>0</v>
      </c>
      <c r="U1628" s="1" t="n">
        <f aca="false">N(U1627)+$T1628</f>
        <v>28</v>
      </c>
      <c r="V1628" s="1" t="n">
        <f aca="false">IF(AND($L1628=1,AND(对接源_02物料!$X428="自备筐",N(对接源_02物料!$V428)&lt;&gt;0)),1,0)</f>
        <v>0</v>
      </c>
      <c r="W1628" s="1" t="n">
        <f aca="false">N(W1627)+$V1628</f>
        <v>7</v>
      </c>
      <c r="X1628" s="1" t="n">
        <f aca="false">IF(AND($L1628=1,AND(对接源_02物料!$X428="自备筐",N(对接源_02物料!$T428)&lt;&gt;0)),1,0)</f>
        <v>0</v>
      </c>
      <c r="Y1628" s="1" t="n">
        <f aca="false">N(Y1627)+$X1628</f>
        <v>0</v>
      </c>
      <c r="Z1628" s="1" t="n">
        <f aca="false">IF(AND($M1628=1,对接源_02物料!$D428="原料入库"),1,0)</f>
        <v>0</v>
      </c>
      <c r="AA1628" s="1" t="n">
        <f aca="false">N(AA1627)+$Z1628</f>
        <v>30</v>
      </c>
      <c r="AB1628" s="1" t="n">
        <f aca="false">IF(AND($M1628=1,LEFT(对接源_02物料!$D428,4)="原料出库"),1,0)</f>
        <v>0</v>
      </c>
      <c r="AC1628" s="1" t="n">
        <f aca="false">N(AC1627)+$AB1628</f>
        <v>19</v>
      </c>
      <c r="AD1628" s="1" t="n">
        <f aca="false">IF(AND($M1628=1,LEFT(对接源_02物料!$D428,4)="成品出库"),1,0)</f>
        <v>0</v>
      </c>
      <c r="AE1628" s="1" t="n">
        <f aca="false">N(AE1627)+$AD1628</f>
        <v>38</v>
      </c>
      <c r="AF1628" s="1" t="n">
        <f aca="false">IF(AND($N1628=1,AND(LEFT(对接源_02物料!$D428,4)="包装物料",N(对接源_02物料!$K428)&lt;&gt;0)),1,0)</f>
        <v>0</v>
      </c>
      <c r="AG1628" s="1" t="n">
        <f aca="false">N(AG1627)+$AF1628</f>
        <v>6</v>
      </c>
      <c r="AH1628" s="1" t="n">
        <f aca="false">IF(AND($N1628=1,AND(LEFT(对接源_02物料!$D428,3)="周转筐",N(对接源_02物料!$K428)&lt;&gt;0)),1,0)</f>
        <v>0</v>
      </c>
      <c r="AI1628" s="1" t="n">
        <f aca="false">N(AI1627)+$AH1628</f>
        <v>0</v>
      </c>
      <c r="AJ1628" s="1" t="n">
        <v>0</v>
      </c>
      <c r="AK1628" s="1" t="n">
        <f aca="false">N(AK1627)+$AJ1628</f>
        <v>3672</v>
      </c>
    </row>
    <row r="1629" customFormat="false" ht="13.5" hidden="false" customHeight="false" outlineLevel="0" collapsed="false">
      <c r="A1629" s="1" t="str">
        <f aca="false">IF(对接源_02物料!$C429="","",对接源_02物料!$C429)</f>
        <v/>
      </c>
      <c r="B1629" s="1" t="n">
        <f aca="false">IF(A1629="",0,IF(MATCH(A1629,$A$4:$A$2403,0)=ROW()-3,1,0))</f>
        <v>0</v>
      </c>
      <c r="C1629" s="1" t="n">
        <f aca="false">N(C1628)+B1629</f>
        <v>17</v>
      </c>
      <c r="K1629" s="1" t="n">
        <f aca="false">IF(OR($K$1="",对接源_02物料!$C429="",对接源_02物料!$C429&lt;&gt;$K$1,对接源_02物料!$B429=""),0,IF(OR(N(对接源_02物料!$B429)&lt;$K$2,N(对接源_02物料!$B429)&gt;$K$3),0,1))</f>
        <v>0</v>
      </c>
      <c r="L1629" s="1" t="n">
        <f aca="false">IF(OR($L$1="",对接源_02物料!$C429="",对接源_02物料!$C429&lt;&gt;$L$1,对接源_02物料!$B429=""),0,IF(OR(N(对接源_02物料!$B429)&lt;$L$2,N(对接源_02物料!$B429)&gt;$L$3),0,1))</f>
        <v>0</v>
      </c>
      <c r="M1629" s="1" t="n">
        <f aca="false">IF(OR($M$1="",对接源_02物料!$C429="",对接源_02物料!$C429&lt;&gt;$M$1,对接源_02物料!$B429=""),0,IF(OR(N(对接源_02物料!$B429)&lt;$M$2,N(对接源_02物料!$B429)&gt;$M$3),0,1))</f>
        <v>0</v>
      </c>
      <c r="N1629" s="1" t="n">
        <f aca="false">IF(OR($N$1="",对接源_02物料!$C429="",对接源_02物料!$C429&lt;&gt;$N$1,对接源_02物料!$B429=""),0,IF(OR(N(对接源_02物料!$B429)&lt;$N$2,N(对接源_02物料!$B429)&gt;$N$3),0,1))</f>
        <v>0</v>
      </c>
      <c r="P1629" s="1" t="n">
        <f aca="false">IF(AND($K1629=1,AND(对接源_02物料!$X429="公司筐",N(对接源_02物料!$T429)&lt;&gt;0)),1,0)</f>
        <v>0</v>
      </c>
      <c r="Q1629" s="1" t="n">
        <f aca="false">N(Q1628)+$P1629</f>
        <v>13</v>
      </c>
      <c r="R1629" s="1" t="n">
        <f aca="false">IF(AND($K1629=1,AND(对接源_02物料!$X429="公司筐",N(对接源_02物料!$U429)&lt;&gt;0)),1,0)</f>
        <v>0</v>
      </c>
      <c r="S1629" s="1" t="n">
        <f aca="false">N(S1628)+$R1629</f>
        <v>5</v>
      </c>
      <c r="T1629" s="1" t="n">
        <f aca="false">IF(AND($K1629=1,AND(对接源_02物料!$X429="公司筐",N(对接源_02物料!$V429)&lt;&gt;0)),1,0)</f>
        <v>0</v>
      </c>
      <c r="U1629" s="1" t="n">
        <f aca="false">N(U1628)+$T1629</f>
        <v>28</v>
      </c>
      <c r="V1629" s="1" t="n">
        <f aca="false">IF(AND($L1629=1,AND(对接源_02物料!$X429="自备筐",N(对接源_02物料!$V429)&lt;&gt;0)),1,0)</f>
        <v>0</v>
      </c>
      <c r="W1629" s="1" t="n">
        <f aca="false">N(W1628)+$V1629</f>
        <v>7</v>
      </c>
      <c r="X1629" s="1" t="n">
        <f aca="false">IF(AND($L1629=1,AND(对接源_02物料!$X429="自备筐",N(对接源_02物料!$T429)&lt;&gt;0)),1,0)</f>
        <v>0</v>
      </c>
      <c r="Y1629" s="1" t="n">
        <f aca="false">N(Y1628)+$X1629</f>
        <v>0</v>
      </c>
      <c r="Z1629" s="1" t="n">
        <f aca="false">IF(AND($M1629=1,对接源_02物料!$D429="原料入库"),1,0)</f>
        <v>0</v>
      </c>
      <c r="AA1629" s="1" t="n">
        <f aca="false">N(AA1628)+$Z1629</f>
        <v>30</v>
      </c>
      <c r="AB1629" s="1" t="n">
        <f aca="false">IF(AND($M1629=1,LEFT(对接源_02物料!$D429,4)="原料出库"),1,0)</f>
        <v>0</v>
      </c>
      <c r="AC1629" s="1" t="n">
        <f aca="false">N(AC1628)+$AB1629</f>
        <v>19</v>
      </c>
      <c r="AD1629" s="1" t="n">
        <f aca="false">IF(AND($M1629=1,LEFT(对接源_02物料!$D429,4)="成品出库"),1,0)</f>
        <v>0</v>
      </c>
      <c r="AE1629" s="1" t="n">
        <f aca="false">N(AE1628)+$AD1629</f>
        <v>38</v>
      </c>
      <c r="AF1629" s="1" t="n">
        <f aca="false">IF(AND($N1629=1,AND(LEFT(对接源_02物料!$D429,4)="包装物料",N(对接源_02物料!$K429)&lt;&gt;0)),1,0)</f>
        <v>0</v>
      </c>
      <c r="AG1629" s="1" t="n">
        <f aca="false">N(AG1628)+$AF1629</f>
        <v>6</v>
      </c>
      <c r="AH1629" s="1" t="n">
        <f aca="false">IF(AND($N1629=1,AND(LEFT(对接源_02物料!$D429,3)="周转筐",N(对接源_02物料!$K429)&lt;&gt;0)),1,0)</f>
        <v>0</v>
      </c>
      <c r="AI1629" s="1" t="n">
        <f aca="false">N(AI1628)+$AH1629</f>
        <v>0</v>
      </c>
      <c r="AJ1629" s="1" t="n">
        <v>0</v>
      </c>
      <c r="AK1629" s="1" t="n">
        <f aca="false">N(AK1628)+$AJ1629</f>
        <v>3672</v>
      </c>
    </row>
    <row r="1630" customFormat="false" ht="13.5" hidden="false" customHeight="false" outlineLevel="0" collapsed="false">
      <c r="A1630" s="1" t="str">
        <f aca="false">IF(对接源_02物料!$C430="","",对接源_02物料!$C430)</f>
        <v/>
      </c>
      <c r="B1630" s="1" t="n">
        <f aca="false">IF(A1630="",0,IF(MATCH(A1630,$A$4:$A$2403,0)=ROW()-3,1,0))</f>
        <v>0</v>
      </c>
      <c r="C1630" s="1" t="n">
        <f aca="false">N(C1629)+B1630</f>
        <v>17</v>
      </c>
      <c r="K1630" s="1" t="n">
        <f aca="false">IF(OR($K$1="",对接源_02物料!$C430="",对接源_02物料!$C430&lt;&gt;$K$1,对接源_02物料!$B430=""),0,IF(OR(N(对接源_02物料!$B430)&lt;$K$2,N(对接源_02物料!$B430)&gt;$K$3),0,1))</f>
        <v>0</v>
      </c>
      <c r="L1630" s="1" t="n">
        <f aca="false">IF(OR($L$1="",对接源_02物料!$C430="",对接源_02物料!$C430&lt;&gt;$L$1,对接源_02物料!$B430=""),0,IF(OR(N(对接源_02物料!$B430)&lt;$L$2,N(对接源_02物料!$B430)&gt;$L$3),0,1))</f>
        <v>0</v>
      </c>
      <c r="M1630" s="1" t="n">
        <f aca="false">IF(OR($M$1="",对接源_02物料!$C430="",对接源_02物料!$C430&lt;&gt;$M$1,对接源_02物料!$B430=""),0,IF(OR(N(对接源_02物料!$B430)&lt;$M$2,N(对接源_02物料!$B430)&gt;$M$3),0,1))</f>
        <v>0</v>
      </c>
      <c r="N1630" s="1" t="n">
        <f aca="false">IF(OR($N$1="",对接源_02物料!$C430="",对接源_02物料!$C430&lt;&gt;$N$1,对接源_02物料!$B430=""),0,IF(OR(N(对接源_02物料!$B430)&lt;$N$2,N(对接源_02物料!$B430)&gt;$N$3),0,1))</f>
        <v>0</v>
      </c>
      <c r="P1630" s="1" t="n">
        <f aca="false">IF(AND($K1630=1,AND(对接源_02物料!$X430="公司筐",N(对接源_02物料!$T430)&lt;&gt;0)),1,0)</f>
        <v>0</v>
      </c>
      <c r="Q1630" s="1" t="n">
        <f aca="false">N(Q1629)+$P1630</f>
        <v>13</v>
      </c>
      <c r="R1630" s="1" t="n">
        <f aca="false">IF(AND($K1630=1,AND(对接源_02物料!$X430="公司筐",N(对接源_02物料!$U430)&lt;&gt;0)),1,0)</f>
        <v>0</v>
      </c>
      <c r="S1630" s="1" t="n">
        <f aca="false">N(S1629)+$R1630</f>
        <v>5</v>
      </c>
      <c r="T1630" s="1" t="n">
        <f aca="false">IF(AND($K1630=1,AND(对接源_02物料!$X430="公司筐",N(对接源_02物料!$V430)&lt;&gt;0)),1,0)</f>
        <v>0</v>
      </c>
      <c r="U1630" s="1" t="n">
        <f aca="false">N(U1629)+$T1630</f>
        <v>28</v>
      </c>
      <c r="V1630" s="1" t="n">
        <f aca="false">IF(AND($L1630=1,AND(对接源_02物料!$X430="自备筐",N(对接源_02物料!$V430)&lt;&gt;0)),1,0)</f>
        <v>0</v>
      </c>
      <c r="W1630" s="1" t="n">
        <f aca="false">N(W1629)+$V1630</f>
        <v>7</v>
      </c>
      <c r="X1630" s="1" t="n">
        <f aca="false">IF(AND($L1630=1,AND(对接源_02物料!$X430="自备筐",N(对接源_02物料!$T430)&lt;&gt;0)),1,0)</f>
        <v>0</v>
      </c>
      <c r="Y1630" s="1" t="n">
        <f aca="false">N(Y1629)+$X1630</f>
        <v>0</v>
      </c>
      <c r="Z1630" s="1" t="n">
        <f aca="false">IF(AND($M1630=1,对接源_02物料!$D430="原料入库"),1,0)</f>
        <v>0</v>
      </c>
      <c r="AA1630" s="1" t="n">
        <f aca="false">N(AA1629)+$Z1630</f>
        <v>30</v>
      </c>
      <c r="AB1630" s="1" t="n">
        <f aca="false">IF(AND($M1630=1,LEFT(对接源_02物料!$D430,4)="原料出库"),1,0)</f>
        <v>0</v>
      </c>
      <c r="AC1630" s="1" t="n">
        <f aca="false">N(AC1629)+$AB1630</f>
        <v>19</v>
      </c>
      <c r="AD1630" s="1" t="n">
        <f aca="false">IF(AND($M1630=1,LEFT(对接源_02物料!$D430,4)="成品出库"),1,0)</f>
        <v>0</v>
      </c>
      <c r="AE1630" s="1" t="n">
        <f aca="false">N(AE1629)+$AD1630</f>
        <v>38</v>
      </c>
      <c r="AF1630" s="1" t="n">
        <f aca="false">IF(AND($N1630=1,AND(LEFT(对接源_02物料!$D430,4)="包装物料",N(对接源_02物料!$K430)&lt;&gt;0)),1,0)</f>
        <v>0</v>
      </c>
      <c r="AG1630" s="1" t="n">
        <f aca="false">N(AG1629)+$AF1630</f>
        <v>6</v>
      </c>
      <c r="AH1630" s="1" t="n">
        <f aca="false">IF(AND($N1630=1,AND(LEFT(对接源_02物料!$D430,3)="周转筐",N(对接源_02物料!$K430)&lt;&gt;0)),1,0)</f>
        <v>0</v>
      </c>
      <c r="AI1630" s="1" t="n">
        <f aca="false">N(AI1629)+$AH1630</f>
        <v>0</v>
      </c>
      <c r="AJ1630" s="1" t="n">
        <v>0</v>
      </c>
      <c r="AK1630" s="1" t="n">
        <f aca="false">N(AK1629)+$AJ1630</f>
        <v>3672</v>
      </c>
    </row>
    <row r="1631" customFormat="false" ht="13.5" hidden="false" customHeight="false" outlineLevel="0" collapsed="false">
      <c r="A1631" s="1" t="str">
        <f aca="false">IF(对接源_02物料!$C431="","",对接源_02物料!$C431)</f>
        <v/>
      </c>
      <c r="B1631" s="1" t="n">
        <f aca="false">IF(A1631="",0,IF(MATCH(A1631,$A$4:$A$2403,0)=ROW()-3,1,0))</f>
        <v>0</v>
      </c>
      <c r="C1631" s="1" t="n">
        <f aca="false">N(C1630)+B1631</f>
        <v>17</v>
      </c>
      <c r="K1631" s="1" t="n">
        <f aca="false">IF(OR($K$1="",对接源_02物料!$C431="",对接源_02物料!$C431&lt;&gt;$K$1,对接源_02物料!$B431=""),0,IF(OR(N(对接源_02物料!$B431)&lt;$K$2,N(对接源_02物料!$B431)&gt;$K$3),0,1))</f>
        <v>0</v>
      </c>
      <c r="L1631" s="1" t="n">
        <f aca="false">IF(OR($L$1="",对接源_02物料!$C431="",对接源_02物料!$C431&lt;&gt;$L$1,对接源_02物料!$B431=""),0,IF(OR(N(对接源_02物料!$B431)&lt;$L$2,N(对接源_02物料!$B431)&gt;$L$3),0,1))</f>
        <v>0</v>
      </c>
      <c r="M1631" s="1" t="n">
        <f aca="false">IF(OR($M$1="",对接源_02物料!$C431="",对接源_02物料!$C431&lt;&gt;$M$1,对接源_02物料!$B431=""),0,IF(OR(N(对接源_02物料!$B431)&lt;$M$2,N(对接源_02物料!$B431)&gt;$M$3),0,1))</f>
        <v>0</v>
      </c>
      <c r="N1631" s="1" t="n">
        <f aca="false">IF(OR($N$1="",对接源_02物料!$C431="",对接源_02物料!$C431&lt;&gt;$N$1,对接源_02物料!$B431=""),0,IF(OR(N(对接源_02物料!$B431)&lt;$N$2,N(对接源_02物料!$B431)&gt;$N$3),0,1))</f>
        <v>0</v>
      </c>
      <c r="P1631" s="1" t="n">
        <f aca="false">IF(AND($K1631=1,AND(对接源_02物料!$X431="公司筐",N(对接源_02物料!$T431)&lt;&gt;0)),1,0)</f>
        <v>0</v>
      </c>
      <c r="Q1631" s="1" t="n">
        <f aca="false">N(Q1630)+$P1631</f>
        <v>13</v>
      </c>
      <c r="R1631" s="1" t="n">
        <f aca="false">IF(AND($K1631=1,AND(对接源_02物料!$X431="公司筐",N(对接源_02物料!$U431)&lt;&gt;0)),1,0)</f>
        <v>0</v>
      </c>
      <c r="S1631" s="1" t="n">
        <f aca="false">N(S1630)+$R1631</f>
        <v>5</v>
      </c>
      <c r="T1631" s="1" t="n">
        <f aca="false">IF(AND($K1631=1,AND(对接源_02物料!$X431="公司筐",N(对接源_02物料!$V431)&lt;&gt;0)),1,0)</f>
        <v>0</v>
      </c>
      <c r="U1631" s="1" t="n">
        <f aca="false">N(U1630)+$T1631</f>
        <v>28</v>
      </c>
      <c r="V1631" s="1" t="n">
        <f aca="false">IF(AND($L1631=1,AND(对接源_02物料!$X431="自备筐",N(对接源_02物料!$V431)&lt;&gt;0)),1,0)</f>
        <v>0</v>
      </c>
      <c r="W1631" s="1" t="n">
        <f aca="false">N(W1630)+$V1631</f>
        <v>7</v>
      </c>
      <c r="X1631" s="1" t="n">
        <f aca="false">IF(AND($L1631=1,AND(对接源_02物料!$X431="自备筐",N(对接源_02物料!$T431)&lt;&gt;0)),1,0)</f>
        <v>0</v>
      </c>
      <c r="Y1631" s="1" t="n">
        <f aca="false">N(Y1630)+$X1631</f>
        <v>0</v>
      </c>
      <c r="Z1631" s="1" t="n">
        <f aca="false">IF(AND($M1631=1,对接源_02物料!$D431="原料入库"),1,0)</f>
        <v>0</v>
      </c>
      <c r="AA1631" s="1" t="n">
        <f aca="false">N(AA1630)+$Z1631</f>
        <v>30</v>
      </c>
      <c r="AB1631" s="1" t="n">
        <f aca="false">IF(AND($M1631=1,LEFT(对接源_02物料!$D431,4)="原料出库"),1,0)</f>
        <v>0</v>
      </c>
      <c r="AC1631" s="1" t="n">
        <f aca="false">N(AC1630)+$AB1631</f>
        <v>19</v>
      </c>
      <c r="AD1631" s="1" t="n">
        <f aca="false">IF(AND($M1631=1,LEFT(对接源_02物料!$D431,4)="成品出库"),1,0)</f>
        <v>0</v>
      </c>
      <c r="AE1631" s="1" t="n">
        <f aca="false">N(AE1630)+$AD1631</f>
        <v>38</v>
      </c>
      <c r="AF1631" s="1" t="n">
        <f aca="false">IF(AND($N1631=1,AND(LEFT(对接源_02物料!$D431,4)="包装物料",N(对接源_02物料!$K431)&lt;&gt;0)),1,0)</f>
        <v>0</v>
      </c>
      <c r="AG1631" s="1" t="n">
        <f aca="false">N(AG1630)+$AF1631</f>
        <v>6</v>
      </c>
      <c r="AH1631" s="1" t="n">
        <f aca="false">IF(AND($N1631=1,AND(LEFT(对接源_02物料!$D431,3)="周转筐",N(对接源_02物料!$K431)&lt;&gt;0)),1,0)</f>
        <v>0</v>
      </c>
      <c r="AI1631" s="1" t="n">
        <f aca="false">N(AI1630)+$AH1631</f>
        <v>0</v>
      </c>
      <c r="AJ1631" s="1" t="n">
        <v>0</v>
      </c>
      <c r="AK1631" s="1" t="n">
        <f aca="false">N(AK1630)+$AJ1631</f>
        <v>3672</v>
      </c>
    </row>
    <row r="1632" customFormat="false" ht="13.5" hidden="false" customHeight="false" outlineLevel="0" collapsed="false">
      <c r="A1632" s="1" t="str">
        <f aca="false">IF(对接源_02物料!$C432="","",对接源_02物料!$C432)</f>
        <v/>
      </c>
      <c r="B1632" s="1" t="n">
        <f aca="false">IF(A1632="",0,IF(MATCH(A1632,$A$4:$A$2403,0)=ROW()-3,1,0))</f>
        <v>0</v>
      </c>
      <c r="C1632" s="1" t="n">
        <f aca="false">N(C1631)+B1632</f>
        <v>17</v>
      </c>
      <c r="K1632" s="1" t="n">
        <f aca="false">IF(OR($K$1="",对接源_02物料!$C432="",对接源_02物料!$C432&lt;&gt;$K$1,对接源_02物料!$B432=""),0,IF(OR(N(对接源_02物料!$B432)&lt;$K$2,N(对接源_02物料!$B432)&gt;$K$3),0,1))</f>
        <v>0</v>
      </c>
      <c r="L1632" s="1" t="n">
        <f aca="false">IF(OR($L$1="",对接源_02物料!$C432="",对接源_02物料!$C432&lt;&gt;$L$1,对接源_02物料!$B432=""),0,IF(OR(N(对接源_02物料!$B432)&lt;$L$2,N(对接源_02物料!$B432)&gt;$L$3),0,1))</f>
        <v>0</v>
      </c>
      <c r="M1632" s="1" t="n">
        <f aca="false">IF(OR($M$1="",对接源_02物料!$C432="",对接源_02物料!$C432&lt;&gt;$M$1,对接源_02物料!$B432=""),0,IF(OR(N(对接源_02物料!$B432)&lt;$M$2,N(对接源_02物料!$B432)&gt;$M$3),0,1))</f>
        <v>0</v>
      </c>
      <c r="N1632" s="1" t="n">
        <f aca="false">IF(OR($N$1="",对接源_02物料!$C432="",对接源_02物料!$C432&lt;&gt;$N$1,对接源_02物料!$B432=""),0,IF(OR(N(对接源_02物料!$B432)&lt;$N$2,N(对接源_02物料!$B432)&gt;$N$3),0,1))</f>
        <v>0</v>
      </c>
      <c r="P1632" s="1" t="n">
        <f aca="false">IF(AND($K1632=1,AND(对接源_02物料!$X432="公司筐",N(对接源_02物料!$T432)&lt;&gt;0)),1,0)</f>
        <v>0</v>
      </c>
      <c r="Q1632" s="1" t="n">
        <f aca="false">N(Q1631)+$P1632</f>
        <v>13</v>
      </c>
      <c r="R1632" s="1" t="n">
        <f aca="false">IF(AND($K1632=1,AND(对接源_02物料!$X432="公司筐",N(对接源_02物料!$U432)&lt;&gt;0)),1,0)</f>
        <v>0</v>
      </c>
      <c r="S1632" s="1" t="n">
        <f aca="false">N(S1631)+$R1632</f>
        <v>5</v>
      </c>
      <c r="T1632" s="1" t="n">
        <f aca="false">IF(AND($K1632=1,AND(对接源_02物料!$X432="公司筐",N(对接源_02物料!$V432)&lt;&gt;0)),1,0)</f>
        <v>0</v>
      </c>
      <c r="U1632" s="1" t="n">
        <f aca="false">N(U1631)+$T1632</f>
        <v>28</v>
      </c>
      <c r="V1632" s="1" t="n">
        <f aca="false">IF(AND($L1632=1,AND(对接源_02物料!$X432="自备筐",N(对接源_02物料!$V432)&lt;&gt;0)),1,0)</f>
        <v>0</v>
      </c>
      <c r="W1632" s="1" t="n">
        <f aca="false">N(W1631)+$V1632</f>
        <v>7</v>
      </c>
      <c r="X1632" s="1" t="n">
        <f aca="false">IF(AND($L1632=1,AND(对接源_02物料!$X432="自备筐",N(对接源_02物料!$T432)&lt;&gt;0)),1,0)</f>
        <v>0</v>
      </c>
      <c r="Y1632" s="1" t="n">
        <f aca="false">N(Y1631)+$X1632</f>
        <v>0</v>
      </c>
      <c r="Z1632" s="1" t="n">
        <f aca="false">IF(AND($M1632=1,对接源_02物料!$D432="原料入库"),1,0)</f>
        <v>0</v>
      </c>
      <c r="AA1632" s="1" t="n">
        <f aca="false">N(AA1631)+$Z1632</f>
        <v>30</v>
      </c>
      <c r="AB1632" s="1" t="n">
        <f aca="false">IF(AND($M1632=1,LEFT(对接源_02物料!$D432,4)="原料出库"),1,0)</f>
        <v>0</v>
      </c>
      <c r="AC1632" s="1" t="n">
        <f aca="false">N(AC1631)+$AB1632</f>
        <v>19</v>
      </c>
      <c r="AD1632" s="1" t="n">
        <f aca="false">IF(AND($M1632=1,LEFT(对接源_02物料!$D432,4)="成品出库"),1,0)</f>
        <v>0</v>
      </c>
      <c r="AE1632" s="1" t="n">
        <f aca="false">N(AE1631)+$AD1632</f>
        <v>38</v>
      </c>
      <c r="AF1632" s="1" t="n">
        <f aca="false">IF(AND($N1632=1,AND(LEFT(对接源_02物料!$D432,4)="包装物料",N(对接源_02物料!$K432)&lt;&gt;0)),1,0)</f>
        <v>0</v>
      </c>
      <c r="AG1632" s="1" t="n">
        <f aca="false">N(AG1631)+$AF1632</f>
        <v>6</v>
      </c>
      <c r="AH1632" s="1" t="n">
        <f aca="false">IF(AND($N1632=1,AND(LEFT(对接源_02物料!$D432,3)="周转筐",N(对接源_02物料!$K432)&lt;&gt;0)),1,0)</f>
        <v>0</v>
      </c>
      <c r="AI1632" s="1" t="n">
        <f aca="false">N(AI1631)+$AH1632</f>
        <v>0</v>
      </c>
      <c r="AJ1632" s="1" t="n">
        <v>0</v>
      </c>
      <c r="AK1632" s="1" t="n">
        <f aca="false">N(AK1631)+$AJ1632</f>
        <v>3672</v>
      </c>
    </row>
    <row r="1633" customFormat="false" ht="13.5" hidden="false" customHeight="false" outlineLevel="0" collapsed="false">
      <c r="A1633" s="1" t="str">
        <f aca="false">IF(对接源_02物料!$C433="","",对接源_02物料!$C433)</f>
        <v/>
      </c>
      <c r="B1633" s="1" t="n">
        <f aca="false">IF(A1633="",0,IF(MATCH(A1633,$A$4:$A$2403,0)=ROW()-3,1,0))</f>
        <v>0</v>
      </c>
      <c r="C1633" s="1" t="n">
        <f aca="false">N(C1632)+B1633</f>
        <v>17</v>
      </c>
      <c r="K1633" s="1" t="n">
        <f aca="false">IF(OR($K$1="",对接源_02物料!$C433="",对接源_02物料!$C433&lt;&gt;$K$1,对接源_02物料!$B433=""),0,IF(OR(N(对接源_02物料!$B433)&lt;$K$2,N(对接源_02物料!$B433)&gt;$K$3),0,1))</f>
        <v>0</v>
      </c>
      <c r="L1633" s="1" t="n">
        <f aca="false">IF(OR($L$1="",对接源_02物料!$C433="",对接源_02物料!$C433&lt;&gt;$L$1,对接源_02物料!$B433=""),0,IF(OR(N(对接源_02物料!$B433)&lt;$L$2,N(对接源_02物料!$B433)&gt;$L$3),0,1))</f>
        <v>0</v>
      </c>
      <c r="M1633" s="1" t="n">
        <f aca="false">IF(OR($M$1="",对接源_02物料!$C433="",对接源_02物料!$C433&lt;&gt;$M$1,对接源_02物料!$B433=""),0,IF(OR(N(对接源_02物料!$B433)&lt;$M$2,N(对接源_02物料!$B433)&gt;$M$3),0,1))</f>
        <v>0</v>
      </c>
      <c r="N1633" s="1" t="n">
        <f aca="false">IF(OR($N$1="",对接源_02物料!$C433="",对接源_02物料!$C433&lt;&gt;$N$1,对接源_02物料!$B433=""),0,IF(OR(N(对接源_02物料!$B433)&lt;$N$2,N(对接源_02物料!$B433)&gt;$N$3),0,1))</f>
        <v>0</v>
      </c>
      <c r="P1633" s="1" t="n">
        <f aca="false">IF(AND($K1633=1,AND(对接源_02物料!$X433="公司筐",N(对接源_02物料!$T433)&lt;&gt;0)),1,0)</f>
        <v>0</v>
      </c>
      <c r="Q1633" s="1" t="n">
        <f aca="false">N(Q1632)+$P1633</f>
        <v>13</v>
      </c>
      <c r="R1633" s="1" t="n">
        <f aca="false">IF(AND($K1633=1,AND(对接源_02物料!$X433="公司筐",N(对接源_02物料!$U433)&lt;&gt;0)),1,0)</f>
        <v>0</v>
      </c>
      <c r="S1633" s="1" t="n">
        <f aca="false">N(S1632)+$R1633</f>
        <v>5</v>
      </c>
      <c r="T1633" s="1" t="n">
        <f aca="false">IF(AND($K1633=1,AND(对接源_02物料!$X433="公司筐",N(对接源_02物料!$V433)&lt;&gt;0)),1,0)</f>
        <v>0</v>
      </c>
      <c r="U1633" s="1" t="n">
        <f aca="false">N(U1632)+$T1633</f>
        <v>28</v>
      </c>
      <c r="V1633" s="1" t="n">
        <f aca="false">IF(AND($L1633=1,AND(对接源_02物料!$X433="自备筐",N(对接源_02物料!$V433)&lt;&gt;0)),1,0)</f>
        <v>0</v>
      </c>
      <c r="W1633" s="1" t="n">
        <f aca="false">N(W1632)+$V1633</f>
        <v>7</v>
      </c>
      <c r="X1633" s="1" t="n">
        <f aca="false">IF(AND($L1633=1,AND(对接源_02物料!$X433="自备筐",N(对接源_02物料!$T433)&lt;&gt;0)),1,0)</f>
        <v>0</v>
      </c>
      <c r="Y1633" s="1" t="n">
        <f aca="false">N(Y1632)+$X1633</f>
        <v>0</v>
      </c>
      <c r="Z1633" s="1" t="n">
        <f aca="false">IF(AND($M1633=1,对接源_02物料!$D433="原料入库"),1,0)</f>
        <v>0</v>
      </c>
      <c r="AA1633" s="1" t="n">
        <f aca="false">N(AA1632)+$Z1633</f>
        <v>30</v>
      </c>
      <c r="AB1633" s="1" t="n">
        <f aca="false">IF(AND($M1633=1,LEFT(对接源_02物料!$D433,4)="原料出库"),1,0)</f>
        <v>0</v>
      </c>
      <c r="AC1633" s="1" t="n">
        <f aca="false">N(AC1632)+$AB1633</f>
        <v>19</v>
      </c>
      <c r="AD1633" s="1" t="n">
        <f aca="false">IF(AND($M1633=1,LEFT(对接源_02物料!$D433,4)="成品出库"),1,0)</f>
        <v>0</v>
      </c>
      <c r="AE1633" s="1" t="n">
        <f aca="false">N(AE1632)+$AD1633</f>
        <v>38</v>
      </c>
      <c r="AF1633" s="1" t="n">
        <f aca="false">IF(AND($N1633=1,AND(LEFT(对接源_02物料!$D433,4)="包装物料",N(对接源_02物料!$K433)&lt;&gt;0)),1,0)</f>
        <v>0</v>
      </c>
      <c r="AG1633" s="1" t="n">
        <f aca="false">N(AG1632)+$AF1633</f>
        <v>6</v>
      </c>
      <c r="AH1633" s="1" t="n">
        <f aca="false">IF(AND($N1633=1,AND(LEFT(对接源_02物料!$D433,3)="周转筐",N(对接源_02物料!$K433)&lt;&gt;0)),1,0)</f>
        <v>0</v>
      </c>
      <c r="AI1633" s="1" t="n">
        <f aca="false">N(AI1632)+$AH1633</f>
        <v>0</v>
      </c>
      <c r="AJ1633" s="1" t="n">
        <v>0</v>
      </c>
      <c r="AK1633" s="1" t="n">
        <f aca="false">N(AK1632)+$AJ1633</f>
        <v>3672</v>
      </c>
    </row>
    <row r="1634" customFormat="false" ht="13.5" hidden="false" customHeight="false" outlineLevel="0" collapsed="false">
      <c r="A1634" s="1" t="str">
        <f aca="false">IF(对接源_02物料!$C434="","",对接源_02物料!$C434)</f>
        <v/>
      </c>
      <c r="B1634" s="1" t="n">
        <f aca="false">IF(A1634="",0,IF(MATCH(A1634,$A$4:$A$2403,0)=ROW()-3,1,0))</f>
        <v>0</v>
      </c>
      <c r="C1634" s="1" t="n">
        <f aca="false">N(C1633)+B1634</f>
        <v>17</v>
      </c>
      <c r="K1634" s="1" t="n">
        <f aca="false">IF(OR($K$1="",对接源_02物料!$C434="",对接源_02物料!$C434&lt;&gt;$K$1,对接源_02物料!$B434=""),0,IF(OR(N(对接源_02物料!$B434)&lt;$K$2,N(对接源_02物料!$B434)&gt;$K$3),0,1))</f>
        <v>0</v>
      </c>
      <c r="L1634" s="1" t="n">
        <f aca="false">IF(OR($L$1="",对接源_02物料!$C434="",对接源_02物料!$C434&lt;&gt;$L$1,对接源_02物料!$B434=""),0,IF(OR(N(对接源_02物料!$B434)&lt;$L$2,N(对接源_02物料!$B434)&gt;$L$3),0,1))</f>
        <v>0</v>
      </c>
      <c r="M1634" s="1" t="n">
        <f aca="false">IF(OR($M$1="",对接源_02物料!$C434="",对接源_02物料!$C434&lt;&gt;$M$1,对接源_02物料!$B434=""),0,IF(OR(N(对接源_02物料!$B434)&lt;$M$2,N(对接源_02物料!$B434)&gt;$M$3),0,1))</f>
        <v>0</v>
      </c>
      <c r="N1634" s="1" t="n">
        <f aca="false">IF(OR($N$1="",对接源_02物料!$C434="",对接源_02物料!$C434&lt;&gt;$N$1,对接源_02物料!$B434=""),0,IF(OR(N(对接源_02物料!$B434)&lt;$N$2,N(对接源_02物料!$B434)&gt;$N$3),0,1))</f>
        <v>0</v>
      </c>
      <c r="P1634" s="1" t="n">
        <f aca="false">IF(AND($K1634=1,AND(对接源_02物料!$X434="公司筐",N(对接源_02物料!$T434)&lt;&gt;0)),1,0)</f>
        <v>0</v>
      </c>
      <c r="Q1634" s="1" t="n">
        <f aca="false">N(Q1633)+$P1634</f>
        <v>13</v>
      </c>
      <c r="R1634" s="1" t="n">
        <f aca="false">IF(AND($K1634=1,AND(对接源_02物料!$X434="公司筐",N(对接源_02物料!$U434)&lt;&gt;0)),1,0)</f>
        <v>0</v>
      </c>
      <c r="S1634" s="1" t="n">
        <f aca="false">N(S1633)+$R1634</f>
        <v>5</v>
      </c>
      <c r="T1634" s="1" t="n">
        <f aca="false">IF(AND($K1634=1,AND(对接源_02物料!$X434="公司筐",N(对接源_02物料!$V434)&lt;&gt;0)),1,0)</f>
        <v>0</v>
      </c>
      <c r="U1634" s="1" t="n">
        <f aca="false">N(U1633)+$T1634</f>
        <v>28</v>
      </c>
      <c r="V1634" s="1" t="n">
        <f aca="false">IF(AND($L1634=1,AND(对接源_02物料!$X434="自备筐",N(对接源_02物料!$V434)&lt;&gt;0)),1,0)</f>
        <v>0</v>
      </c>
      <c r="W1634" s="1" t="n">
        <f aca="false">N(W1633)+$V1634</f>
        <v>7</v>
      </c>
      <c r="X1634" s="1" t="n">
        <f aca="false">IF(AND($L1634=1,AND(对接源_02物料!$X434="自备筐",N(对接源_02物料!$T434)&lt;&gt;0)),1,0)</f>
        <v>0</v>
      </c>
      <c r="Y1634" s="1" t="n">
        <f aca="false">N(Y1633)+$X1634</f>
        <v>0</v>
      </c>
      <c r="Z1634" s="1" t="n">
        <f aca="false">IF(AND($M1634=1,对接源_02物料!$D434="原料入库"),1,0)</f>
        <v>0</v>
      </c>
      <c r="AA1634" s="1" t="n">
        <f aca="false">N(AA1633)+$Z1634</f>
        <v>30</v>
      </c>
      <c r="AB1634" s="1" t="n">
        <f aca="false">IF(AND($M1634=1,LEFT(对接源_02物料!$D434,4)="原料出库"),1,0)</f>
        <v>0</v>
      </c>
      <c r="AC1634" s="1" t="n">
        <f aca="false">N(AC1633)+$AB1634</f>
        <v>19</v>
      </c>
      <c r="AD1634" s="1" t="n">
        <f aca="false">IF(AND($M1634=1,LEFT(对接源_02物料!$D434,4)="成品出库"),1,0)</f>
        <v>0</v>
      </c>
      <c r="AE1634" s="1" t="n">
        <f aca="false">N(AE1633)+$AD1634</f>
        <v>38</v>
      </c>
      <c r="AF1634" s="1" t="n">
        <f aca="false">IF(AND($N1634=1,AND(LEFT(对接源_02物料!$D434,4)="包装物料",N(对接源_02物料!$K434)&lt;&gt;0)),1,0)</f>
        <v>0</v>
      </c>
      <c r="AG1634" s="1" t="n">
        <f aca="false">N(AG1633)+$AF1634</f>
        <v>6</v>
      </c>
      <c r="AH1634" s="1" t="n">
        <f aca="false">IF(AND($N1634=1,AND(LEFT(对接源_02物料!$D434,3)="周转筐",N(对接源_02物料!$K434)&lt;&gt;0)),1,0)</f>
        <v>0</v>
      </c>
      <c r="AI1634" s="1" t="n">
        <f aca="false">N(AI1633)+$AH1634</f>
        <v>0</v>
      </c>
      <c r="AJ1634" s="1" t="n">
        <v>0</v>
      </c>
      <c r="AK1634" s="1" t="n">
        <f aca="false">N(AK1633)+$AJ1634</f>
        <v>3672</v>
      </c>
    </row>
    <row r="1635" customFormat="false" ht="13.5" hidden="false" customHeight="false" outlineLevel="0" collapsed="false">
      <c r="A1635" s="1" t="str">
        <f aca="false">IF(对接源_02物料!$C435="","",对接源_02物料!$C435)</f>
        <v/>
      </c>
      <c r="B1635" s="1" t="n">
        <f aca="false">IF(A1635="",0,IF(MATCH(A1635,$A$4:$A$2403,0)=ROW()-3,1,0))</f>
        <v>0</v>
      </c>
      <c r="C1635" s="1" t="n">
        <f aca="false">N(C1634)+B1635</f>
        <v>17</v>
      </c>
      <c r="K1635" s="1" t="n">
        <f aca="false">IF(OR($K$1="",对接源_02物料!$C435="",对接源_02物料!$C435&lt;&gt;$K$1,对接源_02物料!$B435=""),0,IF(OR(N(对接源_02物料!$B435)&lt;$K$2,N(对接源_02物料!$B435)&gt;$K$3),0,1))</f>
        <v>0</v>
      </c>
      <c r="L1635" s="1" t="n">
        <f aca="false">IF(OR($L$1="",对接源_02物料!$C435="",对接源_02物料!$C435&lt;&gt;$L$1,对接源_02物料!$B435=""),0,IF(OR(N(对接源_02物料!$B435)&lt;$L$2,N(对接源_02物料!$B435)&gt;$L$3),0,1))</f>
        <v>0</v>
      </c>
      <c r="M1635" s="1" t="n">
        <f aca="false">IF(OR($M$1="",对接源_02物料!$C435="",对接源_02物料!$C435&lt;&gt;$M$1,对接源_02物料!$B435=""),0,IF(OR(N(对接源_02物料!$B435)&lt;$M$2,N(对接源_02物料!$B435)&gt;$M$3),0,1))</f>
        <v>0</v>
      </c>
      <c r="N1635" s="1" t="n">
        <f aca="false">IF(OR($N$1="",对接源_02物料!$C435="",对接源_02物料!$C435&lt;&gt;$N$1,对接源_02物料!$B435=""),0,IF(OR(N(对接源_02物料!$B435)&lt;$N$2,N(对接源_02物料!$B435)&gt;$N$3),0,1))</f>
        <v>0</v>
      </c>
      <c r="P1635" s="1" t="n">
        <f aca="false">IF(AND($K1635=1,AND(对接源_02物料!$X435="公司筐",N(对接源_02物料!$T435)&lt;&gt;0)),1,0)</f>
        <v>0</v>
      </c>
      <c r="Q1635" s="1" t="n">
        <f aca="false">N(Q1634)+$P1635</f>
        <v>13</v>
      </c>
      <c r="R1635" s="1" t="n">
        <f aca="false">IF(AND($K1635=1,AND(对接源_02物料!$X435="公司筐",N(对接源_02物料!$U435)&lt;&gt;0)),1,0)</f>
        <v>0</v>
      </c>
      <c r="S1635" s="1" t="n">
        <f aca="false">N(S1634)+$R1635</f>
        <v>5</v>
      </c>
      <c r="T1635" s="1" t="n">
        <f aca="false">IF(AND($K1635=1,AND(对接源_02物料!$X435="公司筐",N(对接源_02物料!$V435)&lt;&gt;0)),1,0)</f>
        <v>0</v>
      </c>
      <c r="U1635" s="1" t="n">
        <f aca="false">N(U1634)+$T1635</f>
        <v>28</v>
      </c>
      <c r="V1635" s="1" t="n">
        <f aca="false">IF(AND($L1635=1,AND(对接源_02物料!$X435="自备筐",N(对接源_02物料!$V435)&lt;&gt;0)),1,0)</f>
        <v>0</v>
      </c>
      <c r="W1635" s="1" t="n">
        <f aca="false">N(W1634)+$V1635</f>
        <v>7</v>
      </c>
      <c r="X1635" s="1" t="n">
        <f aca="false">IF(AND($L1635=1,AND(对接源_02物料!$X435="自备筐",N(对接源_02物料!$T435)&lt;&gt;0)),1,0)</f>
        <v>0</v>
      </c>
      <c r="Y1635" s="1" t="n">
        <f aca="false">N(Y1634)+$X1635</f>
        <v>0</v>
      </c>
      <c r="Z1635" s="1" t="n">
        <f aca="false">IF(AND($M1635=1,对接源_02物料!$D435="原料入库"),1,0)</f>
        <v>0</v>
      </c>
      <c r="AA1635" s="1" t="n">
        <f aca="false">N(AA1634)+$Z1635</f>
        <v>30</v>
      </c>
      <c r="AB1635" s="1" t="n">
        <f aca="false">IF(AND($M1635=1,LEFT(对接源_02物料!$D435,4)="原料出库"),1,0)</f>
        <v>0</v>
      </c>
      <c r="AC1635" s="1" t="n">
        <f aca="false">N(AC1634)+$AB1635</f>
        <v>19</v>
      </c>
      <c r="AD1635" s="1" t="n">
        <f aca="false">IF(AND($M1635=1,LEFT(对接源_02物料!$D435,4)="成品出库"),1,0)</f>
        <v>0</v>
      </c>
      <c r="AE1635" s="1" t="n">
        <f aca="false">N(AE1634)+$AD1635</f>
        <v>38</v>
      </c>
      <c r="AF1635" s="1" t="n">
        <f aca="false">IF(AND($N1635=1,AND(LEFT(对接源_02物料!$D435,4)="包装物料",N(对接源_02物料!$K435)&lt;&gt;0)),1,0)</f>
        <v>0</v>
      </c>
      <c r="AG1635" s="1" t="n">
        <f aca="false">N(AG1634)+$AF1635</f>
        <v>6</v>
      </c>
      <c r="AH1635" s="1" t="n">
        <f aca="false">IF(AND($N1635=1,AND(LEFT(对接源_02物料!$D435,3)="周转筐",N(对接源_02物料!$K435)&lt;&gt;0)),1,0)</f>
        <v>0</v>
      </c>
      <c r="AI1635" s="1" t="n">
        <f aca="false">N(AI1634)+$AH1635</f>
        <v>0</v>
      </c>
      <c r="AJ1635" s="1" t="n">
        <v>0</v>
      </c>
      <c r="AK1635" s="1" t="n">
        <f aca="false">N(AK1634)+$AJ1635</f>
        <v>3672</v>
      </c>
    </row>
    <row r="1636" customFormat="false" ht="13.5" hidden="false" customHeight="false" outlineLevel="0" collapsed="false">
      <c r="A1636" s="1" t="str">
        <f aca="false">IF(对接源_02物料!$C436="","",对接源_02物料!$C436)</f>
        <v/>
      </c>
      <c r="B1636" s="1" t="n">
        <f aca="false">IF(A1636="",0,IF(MATCH(A1636,$A$4:$A$2403,0)=ROW()-3,1,0))</f>
        <v>0</v>
      </c>
      <c r="C1636" s="1" t="n">
        <f aca="false">N(C1635)+B1636</f>
        <v>17</v>
      </c>
      <c r="K1636" s="1" t="n">
        <f aca="false">IF(OR($K$1="",对接源_02物料!$C436="",对接源_02物料!$C436&lt;&gt;$K$1,对接源_02物料!$B436=""),0,IF(OR(N(对接源_02物料!$B436)&lt;$K$2,N(对接源_02物料!$B436)&gt;$K$3),0,1))</f>
        <v>0</v>
      </c>
      <c r="L1636" s="1" t="n">
        <f aca="false">IF(OR($L$1="",对接源_02物料!$C436="",对接源_02物料!$C436&lt;&gt;$L$1,对接源_02物料!$B436=""),0,IF(OR(N(对接源_02物料!$B436)&lt;$L$2,N(对接源_02物料!$B436)&gt;$L$3),0,1))</f>
        <v>0</v>
      </c>
      <c r="M1636" s="1" t="n">
        <f aca="false">IF(OR($M$1="",对接源_02物料!$C436="",对接源_02物料!$C436&lt;&gt;$M$1,对接源_02物料!$B436=""),0,IF(OR(N(对接源_02物料!$B436)&lt;$M$2,N(对接源_02物料!$B436)&gt;$M$3),0,1))</f>
        <v>0</v>
      </c>
      <c r="N1636" s="1" t="n">
        <f aca="false">IF(OR($N$1="",对接源_02物料!$C436="",对接源_02物料!$C436&lt;&gt;$N$1,对接源_02物料!$B436=""),0,IF(OR(N(对接源_02物料!$B436)&lt;$N$2,N(对接源_02物料!$B436)&gt;$N$3),0,1))</f>
        <v>0</v>
      </c>
      <c r="P1636" s="1" t="n">
        <f aca="false">IF(AND($K1636=1,AND(对接源_02物料!$X436="公司筐",N(对接源_02物料!$T436)&lt;&gt;0)),1,0)</f>
        <v>0</v>
      </c>
      <c r="Q1636" s="1" t="n">
        <f aca="false">N(Q1635)+$P1636</f>
        <v>13</v>
      </c>
      <c r="R1636" s="1" t="n">
        <f aca="false">IF(AND($K1636=1,AND(对接源_02物料!$X436="公司筐",N(对接源_02物料!$U436)&lt;&gt;0)),1,0)</f>
        <v>0</v>
      </c>
      <c r="S1636" s="1" t="n">
        <f aca="false">N(S1635)+$R1636</f>
        <v>5</v>
      </c>
      <c r="T1636" s="1" t="n">
        <f aca="false">IF(AND($K1636=1,AND(对接源_02物料!$X436="公司筐",N(对接源_02物料!$V436)&lt;&gt;0)),1,0)</f>
        <v>0</v>
      </c>
      <c r="U1636" s="1" t="n">
        <f aca="false">N(U1635)+$T1636</f>
        <v>28</v>
      </c>
      <c r="V1636" s="1" t="n">
        <f aca="false">IF(AND($L1636=1,AND(对接源_02物料!$X436="自备筐",N(对接源_02物料!$V436)&lt;&gt;0)),1,0)</f>
        <v>0</v>
      </c>
      <c r="W1636" s="1" t="n">
        <f aca="false">N(W1635)+$V1636</f>
        <v>7</v>
      </c>
      <c r="X1636" s="1" t="n">
        <f aca="false">IF(AND($L1636=1,AND(对接源_02物料!$X436="自备筐",N(对接源_02物料!$T436)&lt;&gt;0)),1,0)</f>
        <v>0</v>
      </c>
      <c r="Y1636" s="1" t="n">
        <f aca="false">N(Y1635)+$X1636</f>
        <v>0</v>
      </c>
      <c r="Z1636" s="1" t="n">
        <f aca="false">IF(AND($M1636=1,对接源_02物料!$D436="原料入库"),1,0)</f>
        <v>0</v>
      </c>
      <c r="AA1636" s="1" t="n">
        <f aca="false">N(AA1635)+$Z1636</f>
        <v>30</v>
      </c>
      <c r="AB1636" s="1" t="n">
        <f aca="false">IF(AND($M1636=1,LEFT(对接源_02物料!$D436,4)="原料出库"),1,0)</f>
        <v>0</v>
      </c>
      <c r="AC1636" s="1" t="n">
        <f aca="false">N(AC1635)+$AB1636</f>
        <v>19</v>
      </c>
      <c r="AD1636" s="1" t="n">
        <f aca="false">IF(AND($M1636=1,LEFT(对接源_02物料!$D436,4)="成品出库"),1,0)</f>
        <v>0</v>
      </c>
      <c r="AE1636" s="1" t="n">
        <f aca="false">N(AE1635)+$AD1636</f>
        <v>38</v>
      </c>
      <c r="AF1636" s="1" t="n">
        <f aca="false">IF(AND($N1636=1,AND(LEFT(对接源_02物料!$D436,4)="包装物料",N(对接源_02物料!$K436)&lt;&gt;0)),1,0)</f>
        <v>0</v>
      </c>
      <c r="AG1636" s="1" t="n">
        <f aca="false">N(AG1635)+$AF1636</f>
        <v>6</v>
      </c>
      <c r="AH1636" s="1" t="n">
        <f aca="false">IF(AND($N1636=1,AND(LEFT(对接源_02物料!$D436,3)="周转筐",N(对接源_02物料!$K436)&lt;&gt;0)),1,0)</f>
        <v>0</v>
      </c>
      <c r="AI1636" s="1" t="n">
        <f aca="false">N(AI1635)+$AH1636</f>
        <v>0</v>
      </c>
      <c r="AJ1636" s="1" t="n">
        <v>0</v>
      </c>
      <c r="AK1636" s="1" t="n">
        <f aca="false">N(AK1635)+$AJ1636</f>
        <v>3672</v>
      </c>
    </row>
    <row r="1637" customFormat="false" ht="13.5" hidden="false" customHeight="false" outlineLevel="0" collapsed="false">
      <c r="A1637" s="1" t="str">
        <f aca="false">IF(对接源_02物料!$C437="","",对接源_02物料!$C437)</f>
        <v/>
      </c>
      <c r="B1637" s="1" t="n">
        <f aca="false">IF(A1637="",0,IF(MATCH(A1637,$A$4:$A$2403,0)=ROW()-3,1,0))</f>
        <v>0</v>
      </c>
      <c r="C1637" s="1" t="n">
        <f aca="false">N(C1636)+B1637</f>
        <v>17</v>
      </c>
      <c r="K1637" s="1" t="n">
        <f aca="false">IF(OR($K$1="",对接源_02物料!$C437="",对接源_02物料!$C437&lt;&gt;$K$1,对接源_02物料!$B437=""),0,IF(OR(N(对接源_02物料!$B437)&lt;$K$2,N(对接源_02物料!$B437)&gt;$K$3),0,1))</f>
        <v>0</v>
      </c>
      <c r="L1637" s="1" t="n">
        <f aca="false">IF(OR($L$1="",对接源_02物料!$C437="",对接源_02物料!$C437&lt;&gt;$L$1,对接源_02物料!$B437=""),0,IF(OR(N(对接源_02物料!$B437)&lt;$L$2,N(对接源_02物料!$B437)&gt;$L$3),0,1))</f>
        <v>0</v>
      </c>
      <c r="M1637" s="1" t="n">
        <f aca="false">IF(OR($M$1="",对接源_02物料!$C437="",对接源_02物料!$C437&lt;&gt;$M$1,对接源_02物料!$B437=""),0,IF(OR(N(对接源_02物料!$B437)&lt;$M$2,N(对接源_02物料!$B437)&gt;$M$3),0,1))</f>
        <v>0</v>
      </c>
      <c r="N1637" s="1" t="n">
        <f aca="false">IF(OR($N$1="",对接源_02物料!$C437="",对接源_02物料!$C437&lt;&gt;$N$1,对接源_02物料!$B437=""),0,IF(OR(N(对接源_02物料!$B437)&lt;$N$2,N(对接源_02物料!$B437)&gt;$N$3),0,1))</f>
        <v>0</v>
      </c>
      <c r="P1637" s="1" t="n">
        <f aca="false">IF(AND($K1637=1,AND(对接源_02物料!$X437="公司筐",N(对接源_02物料!$T437)&lt;&gt;0)),1,0)</f>
        <v>0</v>
      </c>
      <c r="Q1637" s="1" t="n">
        <f aca="false">N(Q1636)+$P1637</f>
        <v>13</v>
      </c>
      <c r="R1637" s="1" t="n">
        <f aca="false">IF(AND($K1637=1,AND(对接源_02物料!$X437="公司筐",N(对接源_02物料!$U437)&lt;&gt;0)),1,0)</f>
        <v>0</v>
      </c>
      <c r="S1637" s="1" t="n">
        <f aca="false">N(S1636)+$R1637</f>
        <v>5</v>
      </c>
      <c r="T1637" s="1" t="n">
        <f aca="false">IF(AND($K1637=1,AND(对接源_02物料!$X437="公司筐",N(对接源_02物料!$V437)&lt;&gt;0)),1,0)</f>
        <v>0</v>
      </c>
      <c r="U1637" s="1" t="n">
        <f aca="false">N(U1636)+$T1637</f>
        <v>28</v>
      </c>
      <c r="V1637" s="1" t="n">
        <f aca="false">IF(AND($L1637=1,AND(对接源_02物料!$X437="自备筐",N(对接源_02物料!$V437)&lt;&gt;0)),1,0)</f>
        <v>0</v>
      </c>
      <c r="W1637" s="1" t="n">
        <f aca="false">N(W1636)+$V1637</f>
        <v>7</v>
      </c>
      <c r="X1637" s="1" t="n">
        <f aca="false">IF(AND($L1637=1,AND(对接源_02物料!$X437="自备筐",N(对接源_02物料!$T437)&lt;&gt;0)),1,0)</f>
        <v>0</v>
      </c>
      <c r="Y1637" s="1" t="n">
        <f aca="false">N(Y1636)+$X1637</f>
        <v>0</v>
      </c>
      <c r="Z1637" s="1" t="n">
        <f aca="false">IF(AND($M1637=1,对接源_02物料!$D437="原料入库"),1,0)</f>
        <v>0</v>
      </c>
      <c r="AA1637" s="1" t="n">
        <f aca="false">N(AA1636)+$Z1637</f>
        <v>30</v>
      </c>
      <c r="AB1637" s="1" t="n">
        <f aca="false">IF(AND($M1637=1,LEFT(对接源_02物料!$D437,4)="原料出库"),1,0)</f>
        <v>0</v>
      </c>
      <c r="AC1637" s="1" t="n">
        <f aca="false">N(AC1636)+$AB1637</f>
        <v>19</v>
      </c>
      <c r="AD1637" s="1" t="n">
        <f aca="false">IF(AND($M1637=1,LEFT(对接源_02物料!$D437,4)="成品出库"),1,0)</f>
        <v>0</v>
      </c>
      <c r="AE1637" s="1" t="n">
        <f aca="false">N(AE1636)+$AD1637</f>
        <v>38</v>
      </c>
      <c r="AF1637" s="1" t="n">
        <f aca="false">IF(AND($N1637=1,AND(LEFT(对接源_02物料!$D437,4)="包装物料",N(对接源_02物料!$K437)&lt;&gt;0)),1,0)</f>
        <v>0</v>
      </c>
      <c r="AG1637" s="1" t="n">
        <f aca="false">N(AG1636)+$AF1637</f>
        <v>6</v>
      </c>
      <c r="AH1637" s="1" t="n">
        <f aca="false">IF(AND($N1637=1,AND(LEFT(对接源_02物料!$D437,3)="周转筐",N(对接源_02物料!$K437)&lt;&gt;0)),1,0)</f>
        <v>0</v>
      </c>
      <c r="AI1637" s="1" t="n">
        <f aca="false">N(AI1636)+$AH1637</f>
        <v>0</v>
      </c>
      <c r="AJ1637" s="1" t="n">
        <v>0</v>
      </c>
      <c r="AK1637" s="1" t="n">
        <f aca="false">N(AK1636)+$AJ1637</f>
        <v>3672</v>
      </c>
    </row>
    <row r="1638" customFormat="false" ht="13.5" hidden="false" customHeight="false" outlineLevel="0" collapsed="false">
      <c r="A1638" s="1" t="str">
        <f aca="false">IF(对接源_02物料!$C438="","",对接源_02物料!$C438)</f>
        <v/>
      </c>
      <c r="B1638" s="1" t="n">
        <f aca="false">IF(A1638="",0,IF(MATCH(A1638,$A$4:$A$2403,0)=ROW()-3,1,0))</f>
        <v>0</v>
      </c>
      <c r="C1638" s="1" t="n">
        <f aca="false">N(C1637)+B1638</f>
        <v>17</v>
      </c>
      <c r="K1638" s="1" t="n">
        <f aca="false">IF(OR($K$1="",对接源_02物料!$C438="",对接源_02物料!$C438&lt;&gt;$K$1,对接源_02物料!$B438=""),0,IF(OR(N(对接源_02物料!$B438)&lt;$K$2,N(对接源_02物料!$B438)&gt;$K$3),0,1))</f>
        <v>0</v>
      </c>
      <c r="L1638" s="1" t="n">
        <f aca="false">IF(OR($L$1="",对接源_02物料!$C438="",对接源_02物料!$C438&lt;&gt;$L$1,对接源_02物料!$B438=""),0,IF(OR(N(对接源_02物料!$B438)&lt;$L$2,N(对接源_02物料!$B438)&gt;$L$3),0,1))</f>
        <v>0</v>
      </c>
      <c r="M1638" s="1" t="n">
        <f aca="false">IF(OR($M$1="",对接源_02物料!$C438="",对接源_02物料!$C438&lt;&gt;$M$1,对接源_02物料!$B438=""),0,IF(OR(N(对接源_02物料!$B438)&lt;$M$2,N(对接源_02物料!$B438)&gt;$M$3),0,1))</f>
        <v>0</v>
      </c>
      <c r="N1638" s="1" t="n">
        <f aca="false">IF(OR($N$1="",对接源_02物料!$C438="",对接源_02物料!$C438&lt;&gt;$N$1,对接源_02物料!$B438=""),0,IF(OR(N(对接源_02物料!$B438)&lt;$N$2,N(对接源_02物料!$B438)&gt;$N$3),0,1))</f>
        <v>0</v>
      </c>
      <c r="P1638" s="1" t="n">
        <f aca="false">IF(AND($K1638=1,AND(对接源_02物料!$X438="公司筐",N(对接源_02物料!$T438)&lt;&gt;0)),1,0)</f>
        <v>0</v>
      </c>
      <c r="Q1638" s="1" t="n">
        <f aca="false">N(Q1637)+$P1638</f>
        <v>13</v>
      </c>
      <c r="R1638" s="1" t="n">
        <f aca="false">IF(AND($K1638=1,AND(对接源_02物料!$X438="公司筐",N(对接源_02物料!$U438)&lt;&gt;0)),1,0)</f>
        <v>0</v>
      </c>
      <c r="S1638" s="1" t="n">
        <f aca="false">N(S1637)+$R1638</f>
        <v>5</v>
      </c>
      <c r="T1638" s="1" t="n">
        <f aca="false">IF(AND($K1638=1,AND(对接源_02物料!$X438="公司筐",N(对接源_02物料!$V438)&lt;&gt;0)),1,0)</f>
        <v>0</v>
      </c>
      <c r="U1638" s="1" t="n">
        <f aca="false">N(U1637)+$T1638</f>
        <v>28</v>
      </c>
      <c r="V1638" s="1" t="n">
        <f aca="false">IF(AND($L1638=1,AND(对接源_02物料!$X438="自备筐",N(对接源_02物料!$V438)&lt;&gt;0)),1,0)</f>
        <v>0</v>
      </c>
      <c r="W1638" s="1" t="n">
        <f aca="false">N(W1637)+$V1638</f>
        <v>7</v>
      </c>
      <c r="X1638" s="1" t="n">
        <f aca="false">IF(AND($L1638=1,AND(对接源_02物料!$X438="自备筐",N(对接源_02物料!$T438)&lt;&gt;0)),1,0)</f>
        <v>0</v>
      </c>
      <c r="Y1638" s="1" t="n">
        <f aca="false">N(Y1637)+$X1638</f>
        <v>0</v>
      </c>
      <c r="Z1638" s="1" t="n">
        <f aca="false">IF(AND($M1638=1,对接源_02物料!$D438="原料入库"),1,0)</f>
        <v>0</v>
      </c>
      <c r="AA1638" s="1" t="n">
        <f aca="false">N(AA1637)+$Z1638</f>
        <v>30</v>
      </c>
      <c r="AB1638" s="1" t="n">
        <f aca="false">IF(AND($M1638=1,LEFT(对接源_02物料!$D438,4)="原料出库"),1,0)</f>
        <v>0</v>
      </c>
      <c r="AC1638" s="1" t="n">
        <f aca="false">N(AC1637)+$AB1638</f>
        <v>19</v>
      </c>
      <c r="AD1638" s="1" t="n">
        <f aca="false">IF(AND($M1638=1,LEFT(对接源_02物料!$D438,4)="成品出库"),1,0)</f>
        <v>0</v>
      </c>
      <c r="AE1638" s="1" t="n">
        <f aca="false">N(AE1637)+$AD1638</f>
        <v>38</v>
      </c>
      <c r="AF1638" s="1" t="n">
        <f aca="false">IF(AND($N1638=1,AND(LEFT(对接源_02物料!$D438,4)="包装物料",N(对接源_02物料!$K438)&lt;&gt;0)),1,0)</f>
        <v>0</v>
      </c>
      <c r="AG1638" s="1" t="n">
        <f aca="false">N(AG1637)+$AF1638</f>
        <v>6</v>
      </c>
      <c r="AH1638" s="1" t="n">
        <f aca="false">IF(AND($N1638=1,AND(LEFT(对接源_02物料!$D438,3)="周转筐",N(对接源_02物料!$K438)&lt;&gt;0)),1,0)</f>
        <v>0</v>
      </c>
      <c r="AI1638" s="1" t="n">
        <f aca="false">N(AI1637)+$AH1638</f>
        <v>0</v>
      </c>
      <c r="AJ1638" s="1" t="n">
        <v>0</v>
      </c>
      <c r="AK1638" s="1" t="n">
        <f aca="false">N(AK1637)+$AJ1638</f>
        <v>3672</v>
      </c>
    </row>
    <row r="1639" customFormat="false" ht="13.5" hidden="false" customHeight="false" outlineLevel="0" collapsed="false">
      <c r="A1639" s="1" t="str">
        <f aca="false">IF(对接源_02物料!$C439="","",对接源_02物料!$C439)</f>
        <v/>
      </c>
      <c r="B1639" s="1" t="n">
        <f aca="false">IF(A1639="",0,IF(MATCH(A1639,$A$4:$A$2403,0)=ROW()-3,1,0))</f>
        <v>0</v>
      </c>
      <c r="C1639" s="1" t="n">
        <f aca="false">N(C1638)+B1639</f>
        <v>17</v>
      </c>
      <c r="K1639" s="1" t="n">
        <f aca="false">IF(OR($K$1="",对接源_02物料!$C439="",对接源_02物料!$C439&lt;&gt;$K$1,对接源_02物料!$B439=""),0,IF(OR(N(对接源_02物料!$B439)&lt;$K$2,N(对接源_02物料!$B439)&gt;$K$3),0,1))</f>
        <v>0</v>
      </c>
      <c r="L1639" s="1" t="n">
        <f aca="false">IF(OR($L$1="",对接源_02物料!$C439="",对接源_02物料!$C439&lt;&gt;$L$1,对接源_02物料!$B439=""),0,IF(OR(N(对接源_02物料!$B439)&lt;$L$2,N(对接源_02物料!$B439)&gt;$L$3),0,1))</f>
        <v>0</v>
      </c>
      <c r="M1639" s="1" t="n">
        <f aca="false">IF(OR($M$1="",对接源_02物料!$C439="",对接源_02物料!$C439&lt;&gt;$M$1,对接源_02物料!$B439=""),0,IF(OR(N(对接源_02物料!$B439)&lt;$M$2,N(对接源_02物料!$B439)&gt;$M$3),0,1))</f>
        <v>0</v>
      </c>
      <c r="N1639" s="1" t="n">
        <f aca="false">IF(OR($N$1="",对接源_02物料!$C439="",对接源_02物料!$C439&lt;&gt;$N$1,对接源_02物料!$B439=""),0,IF(OR(N(对接源_02物料!$B439)&lt;$N$2,N(对接源_02物料!$B439)&gt;$N$3),0,1))</f>
        <v>0</v>
      </c>
      <c r="P1639" s="1" t="n">
        <f aca="false">IF(AND($K1639=1,AND(对接源_02物料!$X439="公司筐",N(对接源_02物料!$T439)&lt;&gt;0)),1,0)</f>
        <v>0</v>
      </c>
      <c r="Q1639" s="1" t="n">
        <f aca="false">N(Q1638)+$P1639</f>
        <v>13</v>
      </c>
      <c r="R1639" s="1" t="n">
        <f aca="false">IF(AND($K1639=1,AND(对接源_02物料!$X439="公司筐",N(对接源_02物料!$U439)&lt;&gt;0)),1,0)</f>
        <v>0</v>
      </c>
      <c r="S1639" s="1" t="n">
        <f aca="false">N(S1638)+$R1639</f>
        <v>5</v>
      </c>
      <c r="T1639" s="1" t="n">
        <f aca="false">IF(AND($K1639=1,AND(对接源_02物料!$X439="公司筐",N(对接源_02物料!$V439)&lt;&gt;0)),1,0)</f>
        <v>0</v>
      </c>
      <c r="U1639" s="1" t="n">
        <f aca="false">N(U1638)+$T1639</f>
        <v>28</v>
      </c>
      <c r="V1639" s="1" t="n">
        <f aca="false">IF(AND($L1639=1,AND(对接源_02物料!$X439="自备筐",N(对接源_02物料!$V439)&lt;&gt;0)),1,0)</f>
        <v>0</v>
      </c>
      <c r="W1639" s="1" t="n">
        <f aca="false">N(W1638)+$V1639</f>
        <v>7</v>
      </c>
      <c r="X1639" s="1" t="n">
        <f aca="false">IF(AND($L1639=1,AND(对接源_02物料!$X439="自备筐",N(对接源_02物料!$T439)&lt;&gt;0)),1,0)</f>
        <v>0</v>
      </c>
      <c r="Y1639" s="1" t="n">
        <f aca="false">N(Y1638)+$X1639</f>
        <v>0</v>
      </c>
      <c r="Z1639" s="1" t="n">
        <f aca="false">IF(AND($M1639=1,对接源_02物料!$D439="原料入库"),1,0)</f>
        <v>0</v>
      </c>
      <c r="AA1639" s="1" t="n">
        <f aca="false">N(AA1638)+$Z1639</f>
        <v>30</v>
      </c>
      <c r="AB1639" s="1" t="n">
        <f aca="false">IF(AND($M1639=1,LEFT(对接源_02物料!$D439,4)="原料出库"),1,0)</f>
        <v>0</v>
      </c>
      <c r="AC1639" s="1" t="n">
        <f aca="false">N(AC1638)+$AB1639</f>
        <v>19</v>
      </c>
      <c r="AD1639" s="1" t="n">
        <f aca="false">IF(AND($M1639=1,LEFT(对接源_02物料!$D439,4)="成品出库"),1,0)</f>
        <v>0</v>
      </c>
      <c r="AE1639" s="1" t="n">
        <f aca="false">N(AE1638)+$AD1639</f>
        <v>38</v>
      </c>
      <c r="AF1639" s="1" t="n">
        <f aca="false">IF(AND($N1639=1,AND(LEFT(对接源_02物料!$D439,4)="包装物料",N(对接源_02物料!$K439)&lt;&gt;0)),1,0)</f>
        <v>0</v>
      </c>
      <c r="AG1639" s="1" t="n">
        <f aca="false">N(AG1638)+$AF1639</f>
        <v>6</v>
      </c>
      <c r="AH1639" s="1" t="n">
        <f aca="false">IF(AND($N1639=1,AND(LEFT(对接源_02物料!$D439,3)="周转筐",N(对接源_02物料!$K439)&lt;&gt;0)),1,0)</f>
        <v>0</v>
      </c>
      <c r="AI1639" s="1" t="n">
        <f aca="false">N(AI1638)+$AH1639</f>
        <v>0</v>
      </c>
      <c r="AJ1639" s="1" t="n">
        <v>0</v>
      </c>
      <c r="AK1639" s="1" t="n">
        <f aca="false">N(AK1638)+$AJ1639</f>
        <v>3672</v>
      </c>
    </row>
    <row r="1640" customFormat="false" ht="13.5" hidden="false" customHeight="false" outlineLevel="0" collapsed="false">
      <c r="A1640" s="1" t="str">
        <f aca="false">IF(对接源_02物料!$C440="","",对接源_02物料!$C440)</f>
        <v/>
      </c>
      <c r="B1640" s="1" t="n">
        <f aca="false">IF(A1640="",0,IF(MATCH(A1640,$A$4:$A$2403,0)=ROW()-3,1,0))</f>
        <v>0</v>
      </c>
      <c r="C1640" s="1" t="n">
        <f aca="false">N(C1639)+B1640</f>
        <v>17</v>
      </c>
      <c r="K1640" s="1" t="n">
        <f aca="false">IF(OR($K$1="",对接源_02物料!$C440="",对接源_02物料!$C440&lt;&gt;$K$1,对接源_02物料!$B440=""),0,IF(OR(N(对接源_02物料!$B440)&lt;$K$2,N(对接源_02物料!$B440)&gt;$K$3),0,1))</f>
        <v>0</v>
      </c>
      <c r="L1640" s="1" t="n">
        <f aca="false">IF(OR($L$1="",对接源_02物料!$C440="",对接源_02物料!$C440&lt;&gt;$L$1,对接源_02物料!$B440=""),0,IF(OR(N(对接源_02物料!$B440)&lt;$L$2,N(对接源_02物料!$B440)&gt;$L$3),0,1))</f>
        <v>0</v>
      </c>
      <c r="M1640" s="1" t="n">
        <f aca="false">IF(OR($M$1="",对接源_02物料!$C440="",对接源_02物料!$C440&lt;&gt;$M$1,对接源_02物料!$B440=""),0,IF(OR(N(对接源_02物料!$B440)&lt;$M$2,N(对接源_02物料!$B440)&gt;$M$3),0,1))</f>
        <v>0</v>
      </c>
      <c r="N1640" s="1" t="n">
        <f aca="false">IF(OR($N$1="",对接源_02物料!$C440="",对接源_02物料!$C440&lt;&gt;$N$1,对接源_02物料!$B440=""),0,IF(OR(N(对接源_02物料!$B440)&lt;$N$2,N(对接源_02物料!$B440)&gt;$N$3),0,1))</f>
        <v>0</v>
      </c>
      <c r="P1640" s="1" t="n">
        <f aca="false">IF(AND($K1640=1,AND(对接源_02物料!$X440="公司筐",N(对接源_02物料!$T440)&lt;&gt;0)),1,0)</f>
        <v>0</v>
      </c>
      <c r="Q1640" s="1" t="n">
        <f aca="false">N(Q1639)+$P1640</f>
        <v>13</v>
      </c>
      <c r="R1640" s="1" t="n">
        <f aca="false">IF(AND($K1640=1,AND(对接源_02物料!$X440="公司筐",N(对接源_02物料!$U440)&lt;&gt;0)),1,0)</f>
        <v>0</v>
      </c>
      <c r="S1640" s="1" t="n">
        <f aca="false">N(S1639)+$R1640</f>
        <v>5</v>
      </c>
      <c r="T1640" s="1" t="n">
        <f aca="false">IF(AND($K1640=1,AND(对接源_02物料!$X440="公司筐",N(对接源_02物料!$V440)&lt;&gt;0)),1,0)</f>
        <v>0</v>
      </c>
      <c r="U1640" s="1" t="n">
        <f aca="false">N(U1639)+$T1640</f>
        <v>28</v>
      </c>
      <c r="V1640" s="1" t="n">
        <f aca="false">IF(AND($L1640=1,AND(对接源_02物料!$X440="自备筐",N(对接源_02物料!$V440)&lt;&gt;0)),1,0)</f>
        <v>0</v>
      </c>
      <c r="W1640" s="1" t="n">
        <f aca="false">N(W1639)+$V1640</f>
        <v>7</v>
      </c>
      <c r="X1640" s="1" t="n">
        <f aca="false">IF(AND($L1640=1,AND(对接源_02物料!$X440="自备筐",N(对接源_02物料!$T440)&lt;&gt;0)),1,0)</f>
        <v>0</v>
      </c>
      <c r="Y1640" s="1" t="n">
        <f aca="false">N(Y1639)+$X1640</f>
        <v>0</v>
      </c>
      <c r="Z1640" s="1" t="n">
        <f aca="false">IF(AND($M1640=1,对接源_02物料!$D440="原料入库"),1,0)</f>
        <v>0</v>
      </c>
      <c r="AA1640" s="1" t="n">
        <f aca="false">N(AA1639)+$Z1640</f>
        <v>30</v>
      </c>
      <c r="AB1640" s="1" t="n">
        <f aca="false">IF(AND($M1640=1,LEFT(对接源_02物料!$D440,4)="原料出库"),1,0)</f>
        <v>0</v>
      </c>
      <c r="AC1640" s="1" t="n">
        <f aca="false">N(AC1639)+$AB1640</f>
        <v>19</v>
      </c>
      <c r="AD1640" s="1" t="n">
        <f aca="false">IF(AND($M1640=1,LEFT(对接源_02物料!$D440,4)="成品出库"),1,0)</f>
        <v>0</v>
      </c>
      <c r="AE1640" s="1" t="n">
        <f aca="false">N(AE1639)+$AD1640</f>
        <v>38</v>
      </c>
      <c r="AF1640" s="1" t="n">
        <f aca="false">IF(AND($N1640=1,AND(LEFT(对接源_02物料!$D440,4)="包装物料",N(对接源_02物料!$K440)&lt;&gt;0)),1,0)</f>
        <v>0</v>
      </c>
      <c r="AG1640" s="1" t="n">
        <f aca="false">N(AG1639)+$AF1640</f>
        <v>6</v>
      </c>
      <c r="AH1640" s="1" t="n">
        <f aca="false">IF(AND($N1640=1,AND(LEFT(对接源_02物料!$D440,3)="周转筐",N(对接源_02物料!$K440)&lt;&gt;0)),1,0)</f>
        <v>0</v>
      </c>
      <c r="AI1640" s="1" t="n">
        <f aca="false">N(AI1639)+$AH1640</f>
        <v>0</v>
      </c>
      <c r="AJ1640" s="1" t="n">
        <v>0</v>
      </c>
      <c r="AK1640" s="1" t="n">
        <f aca="false">N(AK1639)+$AJ1640</f>
        <v>3672</v>
      </c>
    </row>
    <row r="1641" customFormat="false" ht="13.5" hidden="false" customHeight="false" outlineLevel="0" collapsed="false">
      <c r="A1641" s="1" t="str">
        <f aca="false">IF(对接源_02物料!$C441="","",对接源_02物料!$C441)</f>
        <v/>
      </c>
      <c r="B1641" s="1" t="n">
        <f aca="false">IF(A1641="",0,IF(MATCH(A1641,$A$4:$A$2403,0)=ROW()-3,1,0))</f>
        <v>0</v>
      </c>
      <c r="C1641" s="1" t="n">
        <f aca="false">N(C1640)+B1641</f>
        <v>17</v>
      </c>
      <c r="K1641" s="1" t="n">
        <f aca="false">IF(OR($K$1="",对接源_02物料!$C441="",对接源_02物料!$C441&lt;&gt;$K$1,对接源_02物料!$B441=""),0,IF(OR(N(对接源_02物料!$B441)&lt;$K$2,N(对接源_02物料!$B441)&gt;$K$3),0,1))</f>
        <v>0</v>
      </c>
      <c r="L1641" s="1" t="n">
        <f aca="false">IF(OR($L$1="",对接源_02物料!$C441="",对接源_02物料!$C441&lt;&gt;$L$1,对接源_02物料!$B441=""),0,IF(OR(N(对接源_02物料!$B441)&lt;$L$2,N(对接源_02物料!$B441)&gt;$L$3),0,1))</f>
        <v>0</v>
      </c>
      <c r="M1641" s="1" t="n">
        <f aca="false">IF(OR($M$1="",对接源_02物料!$C441="",对接源_02物料!$C441&lt;&gt;$M$1,对接源_02物料!$B441=""),0,IF(OR(N(对接源_02物料!$B441)&lt;$M$2,N(对接源_02物料!$B441)&gt;$M$3),0,1))</f>
        <v>0</v>
      </c>
      <c r="N1641" s="1" t="n">
        <f aca="false">IF(OR($N$1="",对接源_02物料!$C441="",对接源_02物料!$C441&lt;&gt;$N$1,对接源_02物料!$B441=""),0,IF(OR(N(对接源_02物料!$B441)&lt;$N$2,N(对接源_02物料!$B441)&gt;$N$3),0,1))</f>
        <v>0</v>
      </c>
      <c r="P1641" s="1" t="n">
        <f aca="false">IF(AND($K1641=1,AND(对接源_02物料!$X441="公司筐",N(对接源_02物料!$T441)&lt;&gt;0)),1,0)</f>
        <v>0</v>
      </c>
      <c r="Q1641" s="1" t="n">
        <f aca="false">N(Q1640)+$P1641</f>
        <v>13</v>
      </c>
      <c r="R1641" s="1" t="n">
        <f aca="false">IF(AND($K1641=1,AND(对接源_02物料!$X441="公司筐",N(对接源_02物料!$U441)&lt;&gt;0)),1,0)</f>
        <v>0</v>
      </c>
      <c r="S1641" s="1" t="n">
        <f aca="false">N(S1640)+$R1641</f>
        <v>5</v>
      </c>
      <c r="T1641" s="1" t="n">
        <f aca="false">IF(AND($K1641=1,AND(对接源_02物料!$X441="公司筐",N(对接源_02物料!$V441)&lt;&gt;0)),1,0)</f>
        <v>0</v>
      </c>
      <c r="U1641" s="1" t="n">
        <f aca="false">N(U1640)+$T1641</f>
        <v>28</v>
      </c>
      <c r="V1641" s="1" t="n">
        <f aca="false">IF(AND($L1641=1,AND(对接源_02物料!$X441="自备筐",N(对接源_02物料!$V441)&lt;&gt;0)),1,0)</f>
        <v>0</v>
      </c>
      <c r="W1641" s="1" t="n">
        <f aca="false">N(W1640)+$V1641</f>
        <v>7</v>
      </c>
      <c r="X1641" s="1" t="n">
        <f aca="false">IF(AND($L1641=1,AND(对接源_02物料!$X441="自备筐",N(对接源_02物料!$T441)&lt;&gt;0)),1,0)</f>
        <v>0</v>
      </c>
      <c r="Y1641" s="1" t="n">
        <f aca="false">N(Y1640)+$X1641</f>
        <v>0</v>
      </c>
      <c r="Z1641" s="1" t="n">
        <f aca="false">IF(AND($M1641=1,对接源_02物料!$D441="原料入库"),1,0)</f>
        <v>0</v>
      </c>
      <c r="AA1641" s="1" t="n">
        <f aca="false">N(AA1640)+$Z1641</f>
        <v>30</v>
      </c>
      <c r="AB1641" s="1" t="n">
        <f aca="false">IF(AND($M1641=1,LEFT(对接源_02物料!$D441,4)="原料出库"),1,0)</f>
        <v>0</v>
      </c>
      <c r="AC1641" s="1" t="n">
        <f aca="false">N(AC1640)+$AB1641</f>
        <v>19</v>
      </c>
      <c r="AD1641" s="1" t="n">
        <f aca="false">IF(AND($M1641=1,LEFT(对接源_02物料!$D441,4)="成品出库"),1,0)</f>
        <v>0</v>
      </c>
      <c r="AE1641" s="1" t="n">
        <f aca="false">N(AE1640)+$AD1641</f>
        <v>38</v>
      </c>
      <c r="AF1641" s="1" t="n">
        <f aca="false">IF(AND($N1641=1,AND(LEFT(对接源_02物料!$D441,4)="包装物料",N(对接源_02物料!$K441)&lt;&gt;0)),1,0)</f>
        <v>0</v>
      </c>
      <c r="AG1641" s="1" t="n">
        <f aca="false">N(AG1640)+$AF1641</f>
        <v>6</v>
      </c>
      <c r="AH1641" s="1" t="n">
        <f aca="false">IF(AND($N1641=1,AND(LEFT(对接源_02物料!$D441,3)="周转筐",N(对接源_02物料!$K441)&lt;&gt;0)),1,0)</f>
        <v>0</v>
      </c>
      <c r="AI1641" s="1" t="n">
        <f aca="false">N(AI1640)+$AH1641</f>
        <v>0</v>
      </c>
      <c r="AJ1641" s="1" t="n">
        <v>0</v>
      </c>
      <c r="AK1641" s="1" t="n">
        <f aca="false">N(AK1640)+$AJ1641</f>
        <v>3672</v>
      </c>
    </row>
    <row r="1642" customFormat="false" ht="13.5" hidden="false" customHeight="false" outlineLevel="0" collapsed="false">
      <c r="A1642" s="1" t="str">
        <f aca="false">IF(对接源_02物料!$C442="","",对接源_02物料!$C442)</f>
        <v/>
      </c>
      <c r="B1642" s="1" t="n">
        <f aca="false">IF(A1642="",0,IF(MATCH(A1642,$A$4:$A$2403,0)=ROW()-3,1,0))</f>
        <v>0</v>
      </c>
      <c r="C1642" s="1" t="n">
        <f aca="false">N(C1641)+B1642</f>
        <v>17</v>
      </c>
      <c r="K1642" s="1" t="n">
        <f aca="false">IF(OR($K$1="",对接源_02物料!$C442="",对接源_02物料!$C442&lt;&gt;$K$1,对接源_02物料!$B442=""),0,IF(OR(N(对接源_02物料!$B442)&lt;$K$2,N(对接源_02物料!$B442)&gt;$K$3),0,1))</f>
        <v>0</v>
      </c>
      <c r="L1642" s="1" t="n">
        <f aca="false">IF(OR($L$1="",对接源_02物料!$C442="",对接源_02物料!$C442&lt;&gt;$L$1,对接源_02物料!$B442=""),0,IF(OR(N(对接源_02物料!$B442)&lt;$L$2,N(对接源_02物料!$B442)&gt;$L$3),0,1))</f>
        <v>0</v>
      </c>
      <c r="M1642" s="1" t="n">
        <f aca="false">IF(OR($M$1="",对接源_02物料!$C442="",对接源_02物料!$C442&lt;&gt;$M$1,对接源_02物料!$B442=""),0,IF(OR(N(对接源_02物料!$B442)&lt;$M$2,N(对接源_02物料!$B442)&gt;$M$3),0,1))</f>
        <v>0</v>
      </c>
      <c r="N1642" s="1" t="n">
        <f aca="false">IF(OR($N$1="",对接源_02物料!$C442="",对接源_02物料!$C442&lt;&gt;$N$1,对接源_02物料!$B442=""),0,IF(OR(N(对接源_02物料!$B442)&lt;$N$2,N(对接源_02物料!$B442)&gt;$N$3),0,1))</f>
        <v>0</v>
      </c>
      <c r="P1642" s="1" t="n">
        <f aca="false">IF(AND($K1642=1,AND(对接源_02物料!$X442="公司筐",N(对接源_02物料!$T442)&lt;&gt;0)),1,0)</f>
        <v>0</v>
      </c>
      <c r="Q1642" s="1" t="n">
        <f aca="false">N(Q1641)+$P1642</f>
        <v>13</v>
      </c>
      <c r="R1642" s="1" t="n">
        <f aca="false">IF(AND($K1642=1,AND(对接源_02物料!$X442="公司筐",N(对接源_02物料!$U442)&lt;&gt;0)),1,0)</f>
        <v>0</v>
      </c>
      <c r="S1642" s="1" t="n">
        <f aca="false">N(S1641)+$R1642</f>
        <v>5</v>
      </c>
      <c r="T1642" s="1" t="n">
        <f aca="false">IF(AND($K1642=1,AND(对接源_02物料!$X442="公司筐",N(对接源_02物料!$V442)&lt;&gt;0)),1,0)</f>
        <v>0</v>
      </c>
      <c r="U1642" s="1" t="n">
        <f aca="false">N(U1641)+$T1642</f>
        <v>28</v>
      </c>
      <c r="V1642" s="1" t="n">
        <f aca="false">IF(AND($L1642=1,AND(对接源_02物料!$X442="自备筐",N(对接源_02物料!$V442)&lt;&gt;0)),1,0)</f>
        <v>0</v>
      </c>
      <c r="W1642" s="1" t="n">
        <f aca="false">N(W1641)+$V1642</f>
        <v>7</v>
      </c>
      <c r="X1642" s="1" t="n">
        <f aca="false">IF(AND($L1642=1,AND(对接源_02物料!$X442="自备筐",N(对接源_02物料!$T442)&lt;&gt;0)),1,0)</f>
        <v>0</v>
      </c>
      <c r="Y1642" s="1" t="n">
        <f aca="false">N(Y1641)+$X1642</f>
        <v>0</v>
      </c>
      <c r="Z1642" s="1" t="n">
        <f aca="false">IF(AND($M1642=1,对接源_02物料!$D442="原料入库"),1,0)</f>
        <v>0</v>
      </c>
      <c r="AA1642" s="1" t="n">
        <f aca="false">N(AA1641)+$Z1642</f>
        <v>30</v>
      </c>
      <c r="AB1642" s="1" t="n">
        <f aca="false">IF(AND($M1642=1,LEFT(对接源_02物料!$D442,4)="原料出库"),1,0)</f>
        <v>0</v>
      </c>
      <c r="AC1642" s="1" t="n">
        <f aca="false">N(AC1641)+$AB1642</f>
        <v>19</v>
      </c>
      <c r="AD1642" s="1" t="n">
        <f aca="false">IF(AND($M1642=1,LEFT(对接源_02物料!$D442,4)="成品出库"),1,0)</f>
        <v>0</v>
      </c>
      <c r="AE1642" s="1" t="n">
        <f aca="false">N(AE1641)+$AD1642</f>
        <v>38</v>
      </c>
      <c r="AF1642" s="1" t="n">
        <f aca="false">IF(AND($N1642=1,AND(LEFT(对接源_02物料!$D442,4)="包装物料",N(对接源_02物料!$K442)&lt;&gt;0)),1,0)</f>
        <v>0</v>
      </c>
      <c r="AG1642" s="1" t="n">
        <f aca="false">N(AG1641)+$AF1642</f>
        <v>6</v>
      </c>
      <c r="AH1642" s="1" t="n">
        <f aca="false">IF(AND($N1642=1,AND(LEFT(对接源_02物料!$D442,3)="周转筐",N(对接源_02物料!$K442)&lt;&gt;0)),1,0)</f>
        <v>0</v>
      </c>
      <c r="AI1642" s="1" t="n">
        <f aca="false">N(AI1641)+$AH1642</f>
        <v>0</v>
      </c>
      <c r="AJ1642" s="1" t="n">
        <v>0</v>
      </c>
      <c r="AK1642" s="1" t="n">
        <f aca="false">N(AK1641)+$AJ1642</f>
        <v>3672</v>
      </c>
    </row>
    <row r="1643" customFormat="false" ht="13.5" hidden="false" customHeight="false" outlineLevel="0" collapsed="false">
      <c r="A1643" s="1" t="str">
        <f aca="false">IF(对接源_02物料!$C443="","",对接源_02物料!$C443)</f>
        <v/>
      </c>
      <c r="B1643" s="1" t="n">
        <f aca="false">IF(A1643="",0,IF(MATCH(A1643,$A$4:$A$2403,0)=ROW()-3,1,0))</f>
        <v>0</v>
      </c>
      <c r="C1643" s="1" t="n">
        <f aca="false">N(C1642)+B1643</f>
        <v>17</v>
      </c>
      <c r="K1643" s="1" t="n">
        <f aca="false">IF(OR($K$1="",对接源_02物料!$C443="",对接源_02物料!$C443&lt;&gt;$K$1,对接源_02物料!$B443=""),0,IF(OR(N(对接源_02物料!$B443)&lt;$K$2,N(对接源_02物料!$B443)&gt;$K$3),0,1))</f>
        <v>0</v>
      </c>
      <c r="L1643" s="1" t="n">
        <f aca="false">IF(OR($L$1="",对接源_02物料!$C443="",对接源_02物料!$C443&lt;&gt;$L$1,对接源_02物料!$B443=""),0,IF(OR(N(对接源_02物料!$B443)&lt;$L$2,N(对接源_02物料!$B443)&gt;$L$3),0,1))</f>
        <v>0</v>
      </c>
      <c r="M1643" s="1" t="n">
        <f aca="false">IF(OR($M$1="",对接源_02物料!$C443="",对接源_02物料!$C443&lt;&gt;$M$1,对接源_02物料!$B443=""),0,IF(OR(N(对接源_02物料!$B443)&lt;$M$2,N(对接源_02物料!$B443)&gt;$M$3),0,1))</f>
        <v>0</v>
      </c>
      <c r="N1643" s="1" t="n">
        <f aca="false">IF(OR($N$1="",对接源_02物料!$C443="",对接源_02物料!$C443&lt;&gt;$N$1,对接源_02物料!$B443=""),0,IF(OR(N(对接源_02物料!$B443)&lt;$N$2,N(对接源_02物料!$B443)&gt;$N$3),0,1))</f>
        <v>0</v>
      </c>
      <c r="P1643" s="1" t="n">
        <f aca="false">IF(AND($K1643=1,AND(对接源_02物料!$X443="公司筐",N(对接源_02物料!$T443)&lt;&gt;0)),1,0)</f>
        <v>0</v>
      </c>
      <c r="Q1643" s="1" t="n">
        <f aca="false">N(Q1642)+$P1643</f>
        <v>13</v>
      </c>
      <c r="R1643" s="1" t="n">
        <f aca="false">IF(AND($K1643=1,AND(对接源_02物料!$X443="公司筐",N(对接源_02物料!$U443)&lt;&gt;0)),1,0)</f>
        <v>0</v>
      </c>
      <c r="S1643" s="1" t="n">
        <f aca="false">N(S1642)+$R1643</f>
        <v>5</v>
      </c>
      <c r="T1643" s="1" t="n">
        <f aca="false">IF(AND($K1643=1,AND(对接源_02物料!$X443="公司筐",N(对接源_02物料!$V443)&lt;&gt;0)),1,0)</f>
        <v>0</v>
      </c>
      <c r="U1643" s="1" t="n">
        <f aca="false">N(U1642)+$T1643</f>
        <v>28</v>
      </c>
      <c r="V1643" s="1" t="n">
        <f aca="false">IF(AND($L1643=1,AND(对接源_02物料!$X443="自备筐",N(对接源_02物料!$V443)&lt;&gt;0)),1,0)</f>
        <v>0</v>
      </c>
      <c r="W1643" s="1" t="n">
        <f aca="false">N(W1642)+$V1643</f>
        <v>7</v>
      </c>
      <c r="X1643" s="1" t="n">
        <f aca="false">IF(AND($L1643=1,AND(对接源_02物料!$X443="自备筐",N(对接源_02物料!$T443)&lt;&gt;0)),1,0)</f>
        <v>0</v>
      </c>
      <c r="Y1643" s="1" t="n">
        <f aca="false">N(Y1642)+$X1643</f>
        <v>0</v>
      </c>
      <c r="Z1643" s="1" t="n">
        <f aca="false">IF(AND($M1643=1,对接源_02物料!$D443="原料入库"),1,0)</f>
        <v>0</v>
      </c>
      <c r="AA1643" s="1" t="n">
        <f aca="false">N(AA1642)+$Z1643</f>
        <v>30</v>
      </c>
      <c r="AB1643" s="1" t="n">
        <f aca="false">IF(AND($M1643=1,LEFT(对接源_02物料!$D443,4)="原料出库"),1,0)</f>
        <v>0</v>
      </c>
      <c r="AC1643" s="1" t="n">
        <f aca="false">N(AC1642)+$AB1643</f>
        <v>19</v>
      </c>
      <c r="AD1643" s="1" t="n">
        <f aca="false">IF(AND($M1643=1,LEFT(对接源_02物料!$D443,4)="成品出库"),1,0)</f>
        <v>0</v>
      </c>
      <c r="AE1643" s="1" t="n">
        <f aca="false">N(AE1642)+$AD1643</f>
        <v>38</v>
      </c>
      <c r="AF1643" s="1" t="n">
        <f aca="false">IF(AND($N1643=1,AND(LEFT(对接源_02物料!$D443,4)="包装物料",N(对接源_02物料!$K443)&lt;&gt;0)),1,0)</f>
        <v>0</v>
      </c>
      <c r="AG1643" s="1" t="n">
        <f aca="false">N(AG1642)+$AF1643</f>
        <v>6</v>
      </c>
      <c r="AH1643" s="1" t="n">
        <f aca="false">IF(AND($N1643=1,AND(LEFT(对接源_02物料!$D443,3)="周转筐",N(对接源_02物料!$K443)&lt;&gt;0)),1,0)</f>
        <v>0</v>
      </c>
      <c r="AI1643" s="1" t="n">
        <f aca="false">N(AI1642)+$AH1643</f>
        <v>0</v>
      </c>
      <c r="AJ1643" s="1" t="n">
        <v>0</v>
      </c>
      <c r="AK1643" s="1" t="n">
        <f aca="false">N(AK1642)+$AJ1643</f>
        <v>3672</v>
      </c>
    </row>
    <row r="1644" customFormat="false" ht="13.5" hidden="false" customHeight="false" outlineLevel="0" collapsed="false">
      <c r="A1644" s="1" t="str">
        <f aca="false">IF(对接源_02物料!$C444="","",对接源_02物料!$C444)</f>
        <v/>
      </c>
      <c r="B1644" s="1" t="n">
        <f aca="false">IF(A1644="",0,IF(MATCH(A1644,$A$4:$A$2403,0)=ROW()-3,1,0))</f>
        <v>0</v>
      </c>
      <c r="C1644" s="1" t="n">
        <f aca="false">N(C1643)+B1644</f>
        <v>17</v>
      </c>
      <c r="K1644" s="1" t="n">
        <f aca="false">IF(OR($K$1="",对接源_02物料!$C444="",对接源_02物料!$C444&lt;&gt;$K$1,对接源_02物料!$B444=""),0,IF(OR(N(对接源_02物料!$B444)&lt;$K$2,N(对接源_02物料!$B444)&gt;$K$3),0,1))</f>
        <v>0</v>
      </c>
      <c r="L1644" s="1" t="n">
        <f aca="false">IF(OR($L$1="",对接源_02物料!$C444="",对接源_02物料!$C444&lt;&gt;$L$1,对接源_02物料!$B444=""),0,IF(OR(N(对接源_02物料!$B444)&lt;$L$2,N(对接源_02物料!$B444)&gt;$L$3),0,1))</f>
        <v>0</v>
      </c>
      <c r="M1644" s="1" t="n">
        <f aca="false">IF(OR($M$1="",对接源_02物料!$C444="",对接源_02物料!$C444&lt;&gt;$M$1,对接源_02物料!$B444=""),0,IF(OR(N(对接源_02物料!$B444)&lt;$M$2,N(对接源_02物料!$B444)&gt;$M$3),0,1))</f>
        <v>0</v>
      </c>
      <c r="N1644" s="1" t="n">
        <f aca="false">IF(OR($N$1="",对接源_02物料!$C444="",对接源_02物料!$C444&lt;&gt;$N$1,对接源_02物料!$B444=""),0,IF(OR(N(对接源_02物料!$B444)&lt;$N$2,N(对接源_02物料!$B444)&gt;$N$3),0,1))</f>
        <v>0</v>
      </c>
      <c r="P1644" s="1" t="n">
        <f aca="false">IF(AND($K1644=1,AND(对接源_02物料!$X444="公司筐",N(对接源_02物料!$T444)&lt;&gt;0)),1,0)</f>
        <v>0</v>
      </c>
      <c r="Q1644" s="1" t="n">
        <f aca="false">N(Q1643)+$P1644</f>
        <v>13</v>
      </c>
      <c r="R1644" s="1" t="n">
        <f aca="false">IF(AND($K1644=1,AND(对接源_02物料!$X444="公司筐",N(对接源_02物料!$U444)&lt;&gt;0)),1,0)</f>
        <v>0</v>
      </c>
      <c r="S1644" s="1" t="n">
        <f aca="false">N(S1643)+$R1644</f>
        <v>5</v>
      </c>
      <c r="T1644" s="1" t="n">
        <f aca="false">IF(AND($K1644=1,AND(对接源_02物料!$X444="公司筐",N(对接源_02物料!$V444)&lt;&gt;0)),1,0)</f>
        <v>0</v>
      </c>
      <c r="U1644" s="1" t="n">
        <f aca="false">N(U1643)+$T1644</f>
        <v>28</v>
      </c>
      <c r="V1644" s="1" t="n">
        <f aca="false">IF(AND($L1644=1,AND(对接源_02物料!$X444="自备筐",N(对接源_02物料!$V444)&lt;&gt;0)),1,0)</f>
        <v>0</v>
      </c>
      <c r="W1644" s="1" t="n">
        <f aca="false">N(W1643)+$V1644</f>
        <v>7</v>
      </c>
      <c r="X1644" s="1" t="n">
        <f aca="false">IF(AND($L1644=1,AND(对接源_02物料!$X444="自备筐",N(对接源_02物料!$T444)&lt;&gt;0)),1,0)</f>
        <v>0</v>
      </c>
      <c r="Y1644" s="1" t="n">
        <f aca="false">N(Y1643)+$X1644</f>
        <v>0</v>
      </c>
      <c r="Z1644" s="1" t="n">
        <f aca="false">IF(AND($M1644=1,对接源_02物料!$D444="原料入库"),1,0)</f>
        <v>0</v>
      </c>
      <c r="AA1644" s="1" t="n">
        <f aca="false">N(AA1643)+$Z1644</f>
        <v>30</v>
      </c>
      <c r="AB1644" s="1" t="n">
        <f aca="false">IF(AND($M1644=1,LEFT(对接源_02物料!$D444,4)="原料出库"),1,0)</f>
        <v>0</v>
      </c>
      <c r="AC1644" s="1" t="n">
        <f aca="false">N(AC1643)+$AB1644</f>
        <v>19</v>
      </c>
      <c r="AD1644" s="1" t="n">
        <f aca="false">IF(AND($M1644=1,LEFT(对接源_02物料!$D444,4)="成品出库"),1,0)</f>
        <v>0</v>
      </c>
      <c r="AE1644" s="1" t="n">
        <f aca="false">N(AE1643)+$AD1644</f>
        <v>38</v>
      </c>
      <c r="AF1644" s="1" t="n">
        <f aca="false">IF(AND($N1644=1,AND(LEFT(对接源_02物料!$D444,4)="包装物料",N(对接源_02物料!$K444)&lt;&gt;0)),1,0)</f>
        <v>0</v>
      </c>
      <c r="AG1644" s="1" t="n">
        <f aca="false">N(AG1643)+$AF1644</f>
        <v>6</v>
      </c>
      <c r="AH1644" s="1" t="n">
        <f aca="false">IF(AND($N1644=1,AND(LEFT(对接源_02物料!$D444,3)="周转筐",N(对接源_02物料!$K444)&lt;&gt;0)),1,0)</f>
        <v>0</v>
      </c>
      <c r="AI1644" s="1" t="n">
        <f aca="false">N(AI1643)+$AH1644</f>
        <v>0</v>
      </c>
      <c r="AJ1644" s="1" t="n">
        <v>0</v>
      </c>
      <c r="AK1644" s="1" t="n">
        <f aca="false">N(AK1643)+$AJ1644</f>
        <v>3672</v>
      </c>
    </row>
    <row r="1645" customFormat="false" ht="13.5" hidden="false" customHeight="false" outlineLevel="0" collapsed="false">
      <c r="A1645" s="1" t="str">
        <f aca="false">IF(对接源_02物料!$C445="","",对接源_02物料!$C445)</f>
        <v/>
      </c>
      <c r="B1645" s="1" t="n">
        <f aca="false">IF(A1645="",0,IF(MATCH(A1645,$A$4:$A$2403,0)=ROW()-3,1,0))</f>
        <v>0</v>
      </c>
      <c r="C1645" s="1" t="n">
        <f aca="false">N(C1644)+B1645</f>
        <v>17</v>
      </c>
      <c r="K1645" s="1" t="n">
        <f aca="false">IF(OR($K$1="",对接源_02物料!$C445="",对接源_02物料!$C445&lt;&gt;$K$1,对接源_02物料!$B445=""),0,IF(OR(N(对接源_02物料!$B445)&lt;$K$2,N(对接源_02物料!$B445)&gt;$K$3),0,1))</f>
        <v>0</v>
      </c>
      <c r="L1645" s="1" t="n">
        <f aca="false">IF(OR($L$1="",对接源_02物料!$C445="",对接源_02物料!$C445&lt;&gt;$L$1,对接源_02物料!$B445=""),0,IF(OR(N(对接源_02物料!$B445)&lt;$L$2,N(对接源_02物料!$B445)&gt;$L$3),0,1))</f>
        <v>0</v>
      </c>
      <c r="M1645" s="1" t="n">
        <f aca="false">IF(OR($M$1="",对接源_02物料!$C445="",对接源_02物料!$C445&lt;&gt;$M$1,对接源_02物料!$B445=""),0,IF(OR(N(对接源_02物料!$B445)&lt;$M$2,N(对接源_02物料!$B445)&gt;$M$3),0,1))</f>
        <v>0</v>
      </c>
      <c r="N1645" s="1" t="n">
        <f aca="false">IF(OR($N$1="",对接源_02物料!$C445="",对接源_02物料!$C445&lt;&gt;$N$1,对接源_02物料!$B445=""),0,IF(OR(N(对接源_02物料!$B445)&lt;$N$2,N(对接源_02物料!$B445)&gt;$N$3),0,1))</f>
        <v>0</v>
      </c>
      <c r="P1645" s="1" t="n">
        <f aca="false">IF(AND($K1645=1,AND(对接源_02物料!$X445="公司筐",N(对接源_02物料!$T445)&lt;&gt;0)),1,0)</f>
        <v>0</v>
      </c>
      <c r="Q1645" s="1" t="n">
        <f aca="false">N(Q1644)+$P1645</f>
        <v>13</v>
      </c>
      <c r="R1645" s="1" t="n">
        <f aca="false">IF(AND($K1645=1,AND(对接源_02物料!$X445="公司筐",N(对接源_02物料!$U445)&lt;&gt;0)),1,0)</f>
        <v>0</v>
      </c>
      <c r="S1645" s="1" t="n">
        <f aca="false">N(S1644)+$R1645</f>
        <v>5</v>
      </c>
      <c r="T1645" s="1" t="n">
        <f aca="false">IF(AND($K1645=1,AND(对接源_02物料!$X445="公司筐",N(对接源_02物料!$V445)&lt;&gt;0)),1,0)</f>
        <v>0</v>
      </c>
      <c r="U1645" s="1" t="n">
        <f aca="false">N(U1644)+$T1645</f>
        <v>28</v>
      </c>
      <c r="V1645" s="1" t="n">
        <f aca="false">IF(AND($L1645=1,AND(对接源_02物料!$X445="自备筐",N(对接源_02物料!$V445)&lt;&gt;0)),1,0)</f>
        <v>0</v>
      </c>
      <c r="W1645" s="1" t="n">
        <f aca="false">N(W1644)+$V1645</f>
        <v>7</v>
      </c>
      <c r="X1645" s="1" t="n">
        <f aca="false">IF(AND($L1645=1,AND(对接源_02物料!$X445="自备筐",N(对接源_02物料!$T445)&lt;&gt;0)),1,0)</f>
        <v>0</v>
      </c>
      <c r="Y1645" s="1" t="n">
        <f aca="false">N(Y1644)+$X1645</f>
        <v>0</v>
      </c>
      <c r="Z1645" s="1" t="n">
        <f aca="false">IF(AND($M1645=1,对接源_02物料!$D445="原料入库"),1,0)</f>
        <v>0</v>
      </c>
      <c r="AA1645" s="1" t="n">
        <f aca="false">N(AA1644)+$Z1645</f>
        <v>30</v>
      </c>
      <c r="AB1645" s="1" t="n">
        <f aca="false">IF(AND($M1645=1,LEFT(对接源_02物料!$D445,4)="原料出库"),1,0)</f>
        <v>0</v>
      </c>
      <c r="AC1645" s="1" t="n">
        <f aca="false">N(AC1644)+$AB1645</f>
        <v>19</v>
      </c>
      <c r="AD1645" s="1" t="n">
        <f aca="false">IF(AND($M1645=1,LEFT(对接源_02物料!$D445,4)="成品出库"),1,0)</f>
        <v>0</v>
      </c>
      <c r="AE1645" s="1" t="n">
        <f aca="false">N(AE1644)+$AD1645</f>
        <v>38</v>
      </c>
      <c r="AF1645" s="1" t="n">
        <f aca="false">IF(AND($N1645=1,AND(LEFT(对接源_02物料!$D445,4)="包装物料",N(对接源_02物料!$K445)&lt;&gt;0)),1,0)</f>
        <v>0</v>
      </c>
      <c r="AG1645" s="1" t="n">
        <f aca="false">N(AG1644)+$AF1645</f>
        <v>6</v>
      </c>
      <c r="AH1645" s="1" t="n">
        <f aca="false">IF(AND($N1645=1,AND(LEFT(对接源_02物料!$D445,3)="周转筐",N(对接源_02物料!$K445)&lt;&gt;0)),1,0)</f>
        <v>0</v>
      </c>
      <c r="AI1645" s="1" t="n">
        <f aca="false">N(AI1644)+$AH1645</f>
        <v>0</v>
      </c>
      <c r="AJ1645" s="1" t="n">
        <v>0</v>
      </c>
      <c r="AK1645" s="1" t="n">
        <f aca="false">N(AK1644)+$AJ1645</f>
        <v>3672</v>
      </c>
    </row>
    <row r="1646" customFormat="false" ht="13.5" hidden="false" customHeight="false" outlineLevel="0" collapsed="false">
      <c r="A1646" s="1" t="str">
        <f aca="false">IF(对接源_02物料!$C446="","",对接源_02物料!$C446)</f>
        <v/>
      </c>
      <c r="B1646" s="1" t="n">
        <f aca="false">IF(A1646="",0,IF(MATCH(A1646,$A$4:$A$2403,0)=ROW()-3,1,0))</f>
        <v>0</v>
      </c>
      <c r="C1646" s="1" t="n">
        <f aca="false">N(C1645)+B1646</f>
        <v>17</v>
      </c>
      <c r="K1646" s="1" t="n">
        <f aca="false">IF(OR($K$1="",对接源_02物料!$C446="",对接源_02物料!$C446&lt;&gt;$K$1,对接源_02物料!$B446=""),0,IF(OR(N(对接源_02物料!$B446)&lt;$K$2,N(对接源_02物料!$B446)&gt;$K$3),0,1))</f>
        <v>0</v>
      </c>
      <c r="L1646" s="1" t="n">
        <f aca="false">IF(OR($L$1="",对接源_02物料!$C446="",对接源_02物料!$C446&lt;&gt;$L$1,对接源_02物料!$B446=""),0,IF(OR(N(对接源_02物料!$B446)&lt;$L$2,N(对接源_02物料!$B446)&gt;$L$3),0,1))</f>
        <v>0</v>
      </c>
      <c r="M1646" s="1" t="n">
        <f aca="false">IF(OR($M$1="",对接源_02物料!$C446="",对接源_02物料!$C446&lt;&gt;$M$1,对接源_02物料!$B446=""),0,IF(OR(N(对接源_02物料!$B446)&lt;$M$2,N(对接源_02物料!$B446)&gt;$M$3),0,1))</f>
        <v>0</v>
      </c>
      <c r="N1646" s="1" t="n">
        <f aca="false">IF(OR($N$1="",对接源_02物料!$C446="",对接源_02物料!$C446&lt;&gt;$N$1,对接源_02物料!$B446=""),0,IF(OR(N(对接源_02物料!$B446)&lt;$N$2,N(对接源_02物料!$B446)&gt;$N$3),0,1))</f>
        <v>0</v>
      </c>
      <c r="P1646" s="1" t="n">
        <f aca="false">IF(AND($K1646=1,AND(对接源_02物料!$X446="公司筐",N(对接源_02物料!$T446)&lt;&gt;0)),1,0)</f>
        <v>0</v>
      </c>
      <c r="Q1646" s="1" t="n">
        <f aca="false">N(Q1645)+$P1646</f>
        <v>13</v>
      </c>
      <c r="R1646" s="1" t="n">
        <f aca="false">IF(AND($K1646=1,AND(对接源_02物料!$X446="公司筐",N(对接源_02物料!$U446)&lt;&gt;0)),1,0)</f>
        <v>0</v>
      </c>
      <c r="S1646" s="1" t="n">
        <f aca="false">N(S1645)+$R1646</f>
        <v>5</v>
      </c>
      <c r="T1646" s="1" t="n">
        <f aca="false">IF(AND($K1646=1,AND(对接源_02物料!$X446="公司筐",N(对接源_02物料!$V446)&lt;&gt;0)),1,0)</f>
        <v>0</v>
      </c>
      <c r="U1646" s="1" t="n">
        <f aca="false">N(U1645)+$T1646</f>
        <v>28</v>
      </c>
      <c r="V1646" s="1" t="n">
        <f aca="false">IF(AND($L1646=1,AND(对接源_02物料!$X446="自备筐",N(对接源_02物料!$V446)&lt;&gt;0)),1,0)</f>
        <v>0</v>
      </c>
      <c r="W1646" s="1" t="n">
        <f aca="false">N(W1645)+$V1646</f>
        <v>7</v>
      </c>
      <c r="X1646" s="1" t="n">
        <f aca="false">IF(AND($L1646=1,AND(对接源_02物料!$X446="自备筐",N(对接源_02物料!$T446)&lt;&gt;0)),1,0)</f>
        <v>0</v>
      </c>
      <c r="Y1646" s="1" t="n">
        <f aca="false">N(Y1645)+$X1646</f>
        <v>0</v>
      </c>
      <c r="Z1646" s="1" t="n">
        <f aca="false">IF(AND($M1646=1,对接源_02物料!$D446="原料入库"),1,0)</f>
        <v>0</v>
      </c>
      <c r="AA1646" s="1" t="n">
        <f aca="false">N(AA1645)+$Z1646</f>
        <v>30</v>
      </c>
      <c r="AB1646" s="1" t="n">
        <f aca="false">IF(AND($M1646=1,LEFT(对接源_02物料!$D446,4)="原料出库"),1,0)</f>
        <v>0</v>
      </c>
      <c r="AC1646" s="1" t="n">
        <f aca="false">N(AC1645)+$AB1646</f>
        <v>19</v>
      </c>
      <c r="AD1646" s="1" t="n">
        <f aca="false">IF(AND($M1646=1,LEFT(对接源_02物料!$D446,4)="成品出库"),1,0)</f>
        <v>0</v>
      </c>
      <c r="AE1646" s="1" t="n">
        <f aca="false">N(AE1645)+$AD1646</f>
        <v>38</v>
      </c>
      <c r="AF1646" s="1" t="n">
        <f aca="false">IF(AND($N1646=1,AND(LEFT(对接源_02物料!$D446,4)="包装物料",N(对接源_02物料!$K446)&lt;&gt;0)),1,0)</f>
        <v>0</v>
      </c>
      <c r="AG1646" s="1" t="n">
        <f aca="false">N(AG1645)+$AF1646</f>
        <v>6</v>
      </c>
      <c r="AH1646" s="1" t="n">
        <f aca="false">IF(AND($N1646=1,AND(LEFT(对接源_02物料!$D446,3)="周转筐",N(对接源_02物料!$K446)&lt;&gt;0)),1,0)</f>
        <v>0</v>
      </c>
      <c r="AI1646" s="1" t="n">
        <f aca="false">N(AI1645)+$AH1646</f>
        <v>0</v>
      </c>
      <c r="AJ1646" s="1" t="n">
        <v>0</v>
      </c>
      <c r="AK1646" s="1" t="n">
        <f aca="false">N(AK1645)+$AJ1646</f>
        <v>3672</v>
      </c>
    </row>
    <row r="1647" customFormat="false" ht="13.5" hidden="false" customHeight="false" outlineLevel="0" collapsed="false">
      <c r="A1647" s="1" t="str">
        <f aca="false">IF(对接源_02物料!$C447="","",对接源_02物料!$C447)</f>
        <v/>
      </c>
      <c r="B1647" s="1" t="n">
        <f aca="false">IF(A1647="",0,IF(MATCH(A1647,$A$4:$A$2403,0)=ROW()-3,1,0))</f>
        <v>0</v>
      </c>
      <c r="C1647" s="1" t="n">
        <f aca="false">N(C1646)+B1647</f>
        <v>17</v>
      </c>
      <c r="K1647" s="1" t="n">
        <f aca="false">IF(OR($K$1="",对接源_02物料!$C447="",对接源_02物料!$C447&lt;&gt;$K$1,对接源_02物料!$B447=""),0,IF(OR(N(对接源_02物料!$B447)&lt;$K$2,N(对接源_02物料!$B447)&gt;$K$3),0,1))</f>
        <v>0</v>
      </c>
      <c r="L1647" s="1" t="n">
        <f aca="false">IF(OR($L$1="",对接源_02物料!$C447="",对接源_02物料!$C447&lt;&gt;$L$1,对接源_02物料!$B447=""),0,IF(OR(N(对接源_02物料!$B447)&lt;$L$2,N(对接源_02物料!$B447)&gt;$L$3),0,1))</f>
        <v>0</v>
      </c>
      <c r="M1647" s="1" t="n">
        <f aca="false">IF(OR($M$1="",对接源_02物料!$C447="",对接源_02物料!$C447&lt;&gt;$M$1,对接源_02物料!$B447=""),0,IF(OR(N(对接源_02物料!$B447)&lt;$M$2,N(对接源_02物料!$B447)&gt;$M$3),0,1))</f>
        <v>0</v>
      </c>
      <c r="N1647" s="1" t="n">
        <f aca="false">IF(OR($N$1="",对接源_02物料!$C447="",对接源_02物料!$C447&lt;&gt;$N$1,对接源_02物料!$B447=""),0,IF(OR(N(对接源_02物料!$B447)&lt;$N$2,N(对接源_02物料!$B447)&gt;$N$3),0,1))</f>
        <v>0</v>
      </c>
      <c r="P1647" s="1" t="n">
        <f aca="false">IF(AND($K1647=1,AND(对接源_02物料!$X447="公司筐",N(对接源_02物料!$T447)&lt;&gt;0)),1,0)</f>
        <v>0</v>
      </c>
      <c r="Q1647" s="1" t="n">
        <f aca="false">N(Q1646)+$P1647</f>
        <v>13</v>
      </c>
      <c r="R1647" s="1" t="n">
        <f aca="false">IF(AND($K1647=1,AND(对接源_02物料!$X447="公司筐",N(对接源_02物料!$U447)&lt;&gt;0)),1,0)</f>
        <v>0</v>
      </c>
      <c r="S1647" s="1" t="n">
        <f aca="false">N(S1646)+$R1647</f>
        <v>5</v>
      </c>
      <c r="T1647" s="1" t="n">
        <f aca="false">IF(AND($K1647=1,AND(对接源_02物料!$X447="公司筐",N(对接源_02物料!$V447)&lt;&gt;0)),1,0)</f>
        <v>0</v>
      </c>
      <c r="U1647" s="1" t="n">
        <f aca="false">N(U1646)+$T1647</f>
        <v>28</v>
      </c>
      <c r="V1647" s="1" t="n">
        <f aca="false">IF(AND($L1647=1,AND(对接源_02物料!$X447="自备筐",N(对接源_02物料!$V447)&lt;&gt;0)),1,0)</f>
        <v>0</v>
      </c>
      <c r="W1647" s="1" t="n">
        <f aca="false">N(W1646)+$V1647</f>
        <v>7</v>
      </c>
      <c r="X1647" s="1" t="n">
        <f aca="false">IF(AND($L1647=1,AND(对接源_02物料!$X447="自备筐",N(对接源_02物料!$T447)&lt;&gt;0)),1,0)</f>
        <v>0</v>
      </c>
      <c r="Y1647" s="1" t="n">
        <f aca="false">N(Y1646)+$X1647</f>
        <v>0</v>
      </c>
      <c r="Z1647" s="1" t="n">
        <f aca="false">IF(AND($M1647=1,对接源_02物料!$D447="原料入库"),1,0)</f>
        <v>0</v>
      </c>
      <c r="AA1647" s="1" t="n">
        <f aca="false">N(AA1646)+$Z1647</f>
        <v>30</v>
      </c>
      <c r="AB1647" s="1" t="n">
        <f aca="false">IF(AND($M1647=1,LEFT(对接源_02物料!$D447,4)="原料出库"),1,0)</f>
        <v>0</v>
      </c>
      <c r="AC1647" s="1" t="n">
        <f aca="false">N(AC1646)+$AB1647</f>
        <v>19</v>
      </c>
      <c r="AD1647" s="1" t="n">
        <f aca="false">IF(AND($M1647=1,LEFT(对接源_02物料!$D447,4)="成品出库"),1,0)</f>
        <v>0</v>
      </c>
      <c r="AE1647" s="1" t="n">
        <f aca="false">N(AE1646)+$AD1647</f>
        <v>38</v>
      </c>
      <c r="AF1647" s="1" t="n">
        <f aca="false">IF(AND($N1647=1,AND(LEFT(对接源_02物料!$D447,4)="包装物料",N(对接源_02物料!$K447)&lt;&gt;0)),1,0)</f>
        <v>0</v>
      </c>
      <c r="AG1647" s="1" t="n">
        <f aca="false">N(AG1646)+$AF1647</f>
        <v>6</v>
      </c>
      <c r="AH1647" s="1" t="n">
        <f aca="false">IF(AND($N1647=1,AND(LEFT(对接源_02物料!$D447,3)="周转筐",N(对接源_02物料!$K447)&lt;&gt;0)),1,0)</f>
        <v>0</v>
      </c>
      <c r="AI1647" s="1" t="n">
        <f aca="false">N(AI1646)+$AH1647</f>
        <v>0</v>
      </c>
      <c r="AJ1647" s="1" t="n">
        <v>0</v>
      </c>
      <c r="AK1647" s="1" t="n">
        <f aca="false">N(AK1646)+$AJ1647</f>
        <v>3672</v>
      </c>
    </row>
    <row r="1648" customFormat="false" ht="13.5" hidden="false" customHeight="false" outlineLevel="0" collapsed="false">
      <c r="A1648" s="1" t="str">
        <f aca="false">IF(对接源_02物料!$C448="","",对接源_02物料!$C448)</f>
        <v/>
      </c>
      <c r="B1648" s="1" t="n">
        <f aca="false">IF(A1648="",0,IF(MATCH(A1648,$A$4:$A$2403,0)=ROW()-3,1,0))</f>
        <v>0</v>
      </c>
      <c r="C1648" s="1" t="n">
        <f aca="false">N(C1647)+B1648</f>
        <v>17</v>
      </c>
      <c r="K1648" s="1" t="n">
        <f aca="false">IF(OR($K$1="",对接源_02物料!$C448="",对接源_02物料!$C448&lt;&gt;$K$1,对接源_02物料!$B448=""),0,IF(OR(N(对接源_02物料!$B448)&lt;$K$2,N(对接源_02物料!$B448)&gt;$K$3),0,1))</f>
        <v>0</v>
      </c>
      <c r="L1648" s="1" t="n">
        <f aca="false">IF(OR($L$1="",对接源_02物料!$C448="",对接源_02物料!$C448&lt;&gt;$L$1,对接源_02物料!$B448=""),0,IF(OR(N(对接源_02物料!$B448)&lt;$L$2,N(对接源_02物料!$B448)&gt;$L$3),0,1))</f>
        <v>0</v>
      </c>
      <c r="M1648" s="1" t="n">
        <f aca="false">IF(OR($M$1="",对接源_02物料!$C448="",对接源_02物料!$C448&lt;&gt;$M$1,对接源_02物料!$B448=""),0,IF(OR(N(对接源_02物料!$B448)&lt;$M$2,N(对接源_02物料!$B448)&gt;$M$3),0,1))</f>
        <v>0</v>
      </c>
      <c r="N1648" s="1" t="n">
        <f aca="false">IF(OR($N$1="",对接源_02物料!$C448="",对接源_02物料!$C448&lt;&gt;$N$1,对接源_02物料!$B448=""),0,IF(OR(N(对接源_02物料!$B448)&lt;$N$2,N(对接源_02物料!$B448)&gt;$N$3),0,1))</f>
        <v>0</v>
      </c>
      <c r="P1648" s="1" t="n">
        <f aca="false">IF(AND($K1648=1,AND(对接源_02物料!$X448="公司筐",N(对接源_02物料!$T448)&lt;&gt;0)),1,0)</f>
        <v>0</v>
      </c>
      <c r="Q1648" s="1" t="n">
        <f aca="false">N(Q1647)+$P1648</f>
        <v>13</v>
      </c>
      <c r="R1648" s="1" t="n">
        <f aca="false">IF(AND($K1648=1,AND(对接源_02物料!$X448="公司筐",N(对接源_02物料!$U448)&lt;&gt;0)),1,0)</f>
        <v>0</v>
      </c>
      <c r="S1648" s="1" t="n">
        <f aca="false">N(S1647)+$R1648</f>
        <v>5</v>
      </c>
      <c r="T1648" s="1" t="n">
        <f aca="false">IF(AND($K1648=1,AND(对接源_02物料!$X448="公司筐",N(对接源_02物料!$V448)&lt;&gt;0)),1,0)</f>
        <v>0</v>
      </c>
      <c r="U1648" s="1" t="n">
        <f aca="false">N(U1647)+$T1648</f>
        <v>28</v>
      </c>
      <c r="V1648" s="1" t="n">
        <f aca="false">IF(AND($L1648=1,AND(对接源_02物料!$X448="自备筐",N(对接源_02物料!$V448)&lt;&gt;0)),1,0)</f>
        <v>0</v>
      </c>
      <c r="W1648" s="1" t="n">
        <f aca="false">N(W1647)+$V1648</f>
        <v>7</v>
      </c>
      <c r="X1648" s="1" t="n">
        <f aca="false">IF(AND($L1648=1,AND(对接源_02物料!$X448="自备筐",N(对接源_02物料!$T448)&lt;&gt;0)),1,0)</f>
        <v>0</v>
      </c>
      <c r="Y1648" s="1" t="n">
        <f aca="false">N(Y1647)+$X1648</f>
        <v>0</v>
      </c>
      <c r="Z1648" s="1" t="n">
        <f aca="false">IF(AND($M1648=1,对接源_02物料!$D448="原料入库"),1,0)</f>
        <v>0</v>
      </c>
      <c r="AA1648" s="1" t="n">
        <f aca="false">N(AA1647)+$Z1648</f>
        <v>30</v>
      </c>
      <c r="AB1648" s="1" t="n">
        <f aca="false">IF(AND($M1648=1,LEFT(对接源_02物料!$D448,4)="原料出库"),1,0)</f>
        <v>0</v>
      </c>
      <c r="AC1648" s="1" t="n">
        <f aca="false">N(AC1647)+$AB1648</f>
        <v>19</v>
      </c>
      <c r="AD1648" s="1" t="n">
        <f aca="false">IF(AND($M1648=1,LEFT(对接源_02物料!$D448,4)="成品出库"),1,0)</f>
        <v>0</v>
      </c>
      <c r="AE1648" s="1" t="n">
        <f aca="false">N(AE1647)+$AD1648</f>
        <v>38</v>
      </c>
      <c r="AF1648" s="1" t="n">
        <f aca="false">IF(AND($N1648=1,AND(LEFT(对接源_02物料!$D448,4)="包装物料",N(对接源_02物料!$K448)&lt;&gt;0)),1,0)</f>
        <v>0</v>
      </c>
      <c r="AG1648" s="1" t="n">
        <f aca="false">N(AG1647)+$AF1648</f>
        <v>6</v>
      </c>
      <c r="AH1648" s="1" t="n">
        <f aca="false">IF(AND($N1648=1,AND(LEFT(对接源_02物料!$D448,3)="周转筐",N(对接源_02物料!$K448)&lt;&gt;0)),1,0)</f>
        <v>0</v>
      </c>
      <c r="AI1648" s="1" t="n">
        <f aca="false">N(AI1647)+$AH1648</f>
        <v>0</v>
      </c>
      <c r="AJ1648" s="1" t="n">
        <v>0</v>
      </c>
      <c r="AK1648" s="1" t="n">
        <f aca="false">N(AK1647)+$AJ1648</f>
        <v>3672</v>
      </c>
    </row>
    <row r="1649" customFormat="false" ht="13.5" hidden="false" customHeight="false" outlineLevel="0" collapsed="false">
      <c r="A1649" s="1" t="str">
        <f aca="false">IF(对接源_02物料!$C449="","",对接源_02物料!$C449)</f>
        <v/>
      </c>
      <c r="B1649" s="1" t="n">
        <f aca="false">IF(A1649="",0,IF(MATCH(A1649,$A$4:$A$2403,0)=ROW()-3,1,0))</f>
        <v>0</v>
      </c>
      <c r="C1649" s="1" t="n">
        <f aca="false">N(C1648)+B1649</f>
        <v>17</v>
      </c>
      <c r="K1649" s="1" t="n">
        <f aca="false">IF(OR($K$1="",对接源_02物料!$C449="",对接源_02物料!$C449&lt;&gt;$K$1,对接源_02物料!$B449=""),0,IF(OR(N(对接源_02物料!$B449)&lt;$K$2,N(对接源_02物料!$B449)&gt;$K$3),0,1))</f>
        <v>0</v>
      </c>
      <c r="L1649" s="1" t="n">
        <f aca="false">IF(OR($L$1="",对接源_02物料!$C449="",对接源_02物料!$C449&lt;&gt;$L$1,对接源_02物料!$B449=""),0,IF(OR(N(对接源_02物料!$B449)&lt;$L$2,N(对接源_02物料!$B449)&gt;$L$3),0,1))</f>
        <v>0</v>
      </c>
      <c r="M1649" s="1" t="n">
        <f aca="false">IF(OR($M$1="",对接源_02物料!$C449="",对接源_02物料!$C449&lt;&gt;$M$1,对接源_02物料!$B449=""),0,IF(OR(N(对接源_02物料!$B449)&lt;$M$2,N(对接源_02物料!$B449)&gt;$M$3),0,1))</f>
        <v>0</v>
      </c>
      <c r="N1649" s="1" t="n">
        <f aca="false">IF(OR($N$1="",对接源_02物料!$C449="",对接源_02物料!$C449&lt;&gt;$N$1,对接源_02物料!$B449=""),0,IF(OR(N(对接源_02物料!$B449)&lt;$N$2,N(对接源_02物料!$B449)&gt;$N$3),0,1))</f>
        <v>0</v>
      </c>
      <c r="P1649" s="1" t="n">
        <f aca="false">IF(AND($K1649=1,AND(对接源_02物料!$X449="公司筐",N(对接源_02物料!$T449)&lt;&gt;0)),1,0)</f>
        <v>0</v>
      </c>
      <c r="Q1649" s="1" t="n">
        <f aca="false">N(Q1648)+$P1649</f>
        <v>13</v>
      </c>
      <c r="R1649" s="1" t="n">
        <f aca="false">IF(AND($K1649=1,AND(对接源_02物料!$X449="公司筐",N(对接源_02物料!$U449)&lt;&gt;0)),1,0)</f>
        <v>0</v>
      </c>
      <c r="S1649" s="1" t="n">
        <f aca="false">N(S1648)+$R1649</f>
        <v>5</v>
      </c>
      <c r="T1649" s="1" t="n">
        <f aca="false">IF(AND($K1649=1,AND(对接源_02物料!$X449="公司筐",N(对接源_02物料!$V449)&lt;&gt;0)),1,0)</f>
        <v>0</v>
      </c>
      <c r="U1649" s="1" t="n">
        <f aca="false">N(U1648)+$T1649</f>
        <v>28</v>
      </c>
      <c r="V1649" s="1" t="n">
        <f aca="false">IF(AND($L1649=1,AND(对接源_02物料!$X449="自备筐",N(对接源_02物料!$V449)&lt;&gt;0)),1,0)</f>
        <v>0</v>
      </c>
      <c r="W1649" s="1" t="n">
        <f aca="false">N(W1648)+$V1649</f>
        <v>7</v>
      </c>
      <c r="X1649" s="1" t="n">
        <f aca="false">IF(AND($L1649=1,AND(对接源_02物料!$X449="自备筐",N(对接源_02物料!$T449)&lt;&gt;0)),1,0)</f>
        <v>0</v>
      </c>
      <c r="Y1649" s="1" t="n">
        <f aca="false">N(Y1648)+$X1649</f>
        <v>0</v>
      </c>
      <c r="Z1649" s="1" t="n">
        <f aca="false">IF(AND($M1649=1,对接源_02物料!$D449="原料入库"),1,0)</f>
        <v>0</v>
      </c>
      <c r="AA1649" s="1" t="n">
        <f aca="false">N(AA1648)+$Z1649</f>
        <v>30</v>
      </c>
      <c r="AB1649" s="1" t="n">
        <f aca="false">IF(AND($M1649=1,LEFT(对接源_02物料!$D449,4)="原料出库"),1,0)</f>
        <v>0</v>
      </c>
      <c r="AC1649" s="1" t="n">
        <f aca="false">N(AC1648)+$AB1649</f>
        <v>19</v>
      </c>
      <c r="AD1649" s="1" t="n">
        <f aca="false">IF(AND($M1649=1,LEFT(对接源_02物料!$D449,4)="成品出库"),1,0)</f>
        <v>0</v>
      </c>
      <c r="AE1649" s="1" t="n">
        <f aca="false">N(AE1648)+$AD1649</f>
        <v>38</v>
      </c>
      <c r="AF1649" s="1" t="n">
        <f aca="false">IF(AND($N1649=1,AND(LEFT(对接源_02物料!$D449,4)="包装物料",N(对接源_02物料!$K449)&lt;&gt;0)),1,0)</f>
        <v>0</v>
      </c>
      <c r="AG1649" s="1" t="n">
        <f aca="false">N(AG1648)+$AF1649</f>
        <v>6</v>
      </c>
      <c r="AH1649" s="1" t="n">
        <f aca="false">IF(AND($N1649=1,AND(LEFT(对接源_02物料!$D449,3)="周转筐",N(对接源_02物料!$K449)&lt;&gt;0)),1,0)</f>
        <v>0</v>
      </c>
      <c r="AI1649" s="1" t="n">
        <f aca="false">N(AI1648)+$AH1649</f>
        <v>0</v>
      </c>
      <c r="AJ1649" s="1" t="n">
        <v>0</v>
      </c>
      <c r="AK1649" s="1" t="n">
        <f aca="false">N(AK1648)+$AJ1649</f>
        <v>3672</v>
      </c>
    </row>
    <row r="1650" customFormat="false" ht="13.5" hidden="false" customHeight="false" outlineLevel="0" collapsed="false">
      <c r="A1650" s="1" t="str">
        <f aca="false">IF(对接源_02物料!$C450="","",对接源_02物料!$C450)</f>
        <v/>
      </c>
      <c r="B1650" s="1" t="n">
        <f aca="false">IF(A1650="",0,IF(MATCH(A1650,$A$4:$A$2403,0)=ROW()-3,1,0))</f>
        <v>0</v>
      </c>
      <c r="C1650" s="1" t="n">
        <f aca="false">N(C1649)+B1650</f>
        <v>17</v>
      </c>
      <c r="K1650" s="1" t="n">
        <f aca="false">IF(OR($K$1="",对接源_02物料!$C450="",对接源_02物料!$C450&lt;&gt;$K$1,对接源_02物料!$B450=""),0,IF(OR(N(对接源_02物料!$B450)&lt;$K$2,N(对接源_02物料!$B450)&gt;$K$3),0,1))</f>
        <v>0</v>
      </c>
      <c r="L1650" s="1" t="n">
        <f aca="false">IF(OR($L$1="",对接源_02物料!$C450="",对接源_02物料!$C450&lt;&gt;$L$1,对接源_02物料!$B450=""),0,IF(OR(N(对接源_02物料!$B450)&lt;$L$2,N(对接源_02物料!$B450)&gt;$L$3),0,1))</f>
        <v>0</v>
      </c>
      <c r="M1650" s="1" t="n">
        <f aca="false">IF(OR($M$1="",对接源_02物料!$C450="",对接源_02物料!$C450&lt;&gt;$M$1,对接源_02物料!$B450=""),0,IF(OR(N(对接源_02物料!$B450)&lt;$M$2,N(对接源_02物料!$B450)&gt;$M$3),0,1))</f>
        <v>0</v>
      </c>
      <c r="N1650" s="1" t="n">
        <f aca="false">IF(OR($N$1="",对接源_02物料!$C450="",对接源_02物料!$C450&lt;&gt;$N$1,对接源_02物料!$B450=""),0,IF(OR(N(对接源_02物料!$B450)&lt;$N$2,N(对接源_02物料!$B450)&gt;$N$3),0,1))</f>
        <v>0</v>
      </c>
      <c r="P1650" s="1" t="n">
        <f aca="false">IF(AND($K1650=1,AND(对接源_02物料!$X450="公司筐",N(对接源_02物料!$T450)&lt;&gt;0)),1,0)</f>
        <v>0</v>
      </c>
      <c r="Q1650" s="1" t="n">
        <f aca="false">N(Q1649)+$P1650</f>
        <v>13</v>
      </c>
      <c r="R1650" s="1" t="n">
        <f aca="false">IF(AND($K1650=1,AND(对接源_02物料!$X450="公司筐",N(对接源_02物料!$U450)&lt;&gt;0)),1,0)</f>
        <v>0</v>
      </c>
      <c r="S1650" s="1" t="n">
        <f aca="false">N(S1649)+$R1650</f>
        <v>5</v>
      </c>
      <c r="T1650" s="1" t="n">
        <f aca="false">IF(AND($K1650=1,AND(对接源_02物料!$X450="公司筐",N(对接源_02物料!$V450)&lt;&gt;0)),1,0)</f>
        <v>0</v>
      </c>
      <c r="U1650" s="1" t="n">
        <f aca="false">N(U1649)+$T1650</f>
        <v>28</v>
      </c>
      <c r="V1650" s="1" t="n">
        <f aca="false">IF(AND($L1650=1,AND(对接源_02物料!$X450="自备筐",N(对接源_02物料!$V450)&lt;&gt;0)),1,0)</f>
        <v>0</v>
      </c>
      <c r="W1650" s="1" t="n">
        <f aca="false">N(W1649)+$V1650</f>
        <v>7</v>
      </c>
      <c r="X1650" s="1" t="n">
        <f aca="false">IF(AND($L1650=1,AND(对接源_02物料!$X450="自备筐",N(对接源_02物料!$T450)&lt;&gt;0)),1,0)</f>
        <v>0</v>
      </c>
      <c r="Y1650" s="1" t="n">
        <f aca="false">N(Y1649)+$X1650</f>
        <v>0</v>
      </c>
      <c r="Z1650" s="1" t="n">
        <f aca="false">IF(AND($M1650=1,对接源_02物料!$D450="原料入库"),1,0)</f>
        <v>0</v>
      </c>
      <c r="AA1650" s="1" t="n">
        <f aca="false">N(AA1649)+$Z1650</f>
        <v>30</v>
      </c>
      <c r="AB1650" s="1" t="n">
        <f aca="false">IF(AND($M1650=1,LEFT(对接源_02物料!$D450,4)="原料出库"),1,0)</f>
        <v>0</v>
      </c>
      <c r="AC1650" s="1" t="n">
        <f aca="false">N(AC1649)+$AB1650</f>
        <v>19</v>
      </c>
      <c r="AD1650" s="1" t="n">
        <f aca="false">IF(AND($M1650=1,LEFT(对接源_02物料!$D450,4)="成品出库"),1,0)</f>
        <v>0</v>
      </c>
      <c r="AE1650" s="1" t="n">
        <f aca="false">N(AE1649)+$AD1650</f>
        <v>38</v>
      </c>
      <c r="AF1650" s="1" t="n">
        <f aca="false">IF(AND($N1650=1,AND(LEFT(对接源_02物料!$D450,4)="包装物料",N(对接源_02物料!$K450)&lt;&gt;0)),1,0)</f>
        <v>0</v>
      </c>
      <c r="AG1650" s="1" t="n">
        <f aca="false">N(AG1649)+$AF1650</f>
        <v>6</v>
      </c>
      <c r="AH1650" s="1" t="n">
        <f aca="false">IF(AND($N1650=1,AND(LEFT(对接源_02物料!$D450,3)="周转筐",N(对接源_02物料!$K450)&lt;&gt;0)),1,0)</f>
        <v>0</v>
      </c>
      <c r="AI1650" s="1" t="n">
        <f aca="false">N(AI1649)+$AH1650</f>
        <v>0</v>
      </c>
      <c r="AJ1650" s="1" t="n">
        <v>0</v>
      </c>
      <c r="AK1650" s="1" t="n">
        <f aca="false">N(AK1649)+$AJ1650</f>
        <v>3672</v>
      </c>
    </row>
    <row r="1651" customFormat="false" ht="13.5" hidden="false" customHeight="false" outlineLevel="0" collapsed="false">
      <c r="A1651" s="1" t="str">
        <f aca="false">IF(对接源_02物料!$C451="","",对接源_02物料!$C451)</f>
        <v/>
      </c>
      <c r="B1651" s="1" t="n">
        <f aca="false">IF(A1651="",0,IF(MATCH(A1651,$A$4:$A$2403,0)=ROW()-3,1,0))</f>
        <v>0</v>
      </c>
      <c r="C1651" s="1" t="n">
        <f aca="false">N(C1650)+B1651</f>
        <v>17</v>
      </c>
      <c r="K1651" s="1" t="n">
        <f aca="false">IF(OR($K$1="",对接源_02物料!$C451="",对接源_02物料!$C451&lt;&gt;$K$1,对接源_02物料!$B451=""),0,IF(OR(N(对接源_02物料!$B451)&lt;$K$2,N(对接源_02物料!$B451)&gt;$K$3),0,1))</f>
        <v>0</v>
      </c>
      <c r="L1651" s="1" t="n">
        <f aca="false">IF(OR($L$1="",对接源_02物料!$C451="",对接源_02物料!$C451&lt;&gt;$L$1,对接源_02物料!$B451=""),0,IF(OR(N(对接源_02物料!$B451)&lt;$L$2,N(对接源_02物料!$B451)&gt;$L$3),0,1))</f>
        <v>0</v>
      </c>
      <c r="M1651" s="1" t="n">
        <f aca="false">IF(OR($M$1="",对接源_02物料!$C451="",对接源_02物料!$C451&lt;&gt;$M$1,对接源_02物料!$B451=""),0,IF(OR(N(对接源_02物料!$B451)&lt;$M$2,N(对接源_02物料!$B451)&gt;$M$3),0,1))</f>
        <v>0</v>
      </c>
      <c r="N1651" s="1" t="n">
        <f aca="false">IF(OR($N$1="",对接源_02物料!$C451="",对接源_02物料!$C451&lt;&gt;$N$1,对接源_02物料!$B451=""),0,IF(OR(N(对接源_02物料!$B451)&lt;$N$2,N(对接源_02物料!$B451)&gt;$N$3),0,1))</f>
        <v>0</v>
      </c>
      <c r="P1651" s="1" t="n">
        <f aca="false">IF(AND($K1651=1,AND(对接源_02物料!$X451="公司筐",N(对接源_02物料!$T451)&lt;&gt;0)),1,0)</f>
        <v>0</v>
      </c>
      <c r="Q1651" s="1" t="n">
        <f aca="false">N(Q1650)+$P1651</f>
        <v>13</v>
      </c>
      <c r="R1651" s="1" t="n">
        <f aca="false">IF(AND($K1651=1,AND(对接源_02物料!$X451="公司筐",N(对接源_02物料!$U451)&lt;&gt;0)),1,0)</f>
        <v>0</v>
      </c>
      <c r="S1651" s="1" t="n">
        <f aca="false">N(S1650)+$R1651</f>
        <v>5</v>
      </c>
      <c r="T1651" s="1" t="n">
        <f aca="false">IF(AND($K1651=1,AND(对接源_02物料!$X451="公司筐",N(对接源_02物料!$V451)&lt;&gt;0)),1,0)</f>
        <v>0</v>
      </c>
      <c r="U1651" s="1" t="n">
        <f aca="false">N(U1650)+$T1651</f>
        <v>28</v>
      </c>
      <c r="V1651" s="1" t="n">
        <f aca="false">IF(AND($L1651=1,AND(对接源_02物料!$X451="自备筐",N(对接源_02物料!$V451)&lt;&gt;0)),1,0)</f>
        <v>0</v>
      </c>
      <c r="W1651" s="1" t="n">
        <f aca="false">N(W1650)+$V1651</f>
        <v>7</v>
      </c>
      <c r="X1651" s="1" t="n">
        <f aca="false">IF(AND($L1651=1,AND(对接源_02物料!$X451="自备筐",N(对接源_02物料!$T451)&lt;&gt;0)),1,0)</f>
        <v>0</v>
      </c>
      <c r="Y1651" s="1" t="n">
        <f aca="false">N(Y1650)+$X1651</f>
        <v>0</v>
      </c>
      <c r="Z1651" s="1" t="n">
        <f aca="false">IF(AND($M1651=1,对接源_02物料!$D451="原料入库"),1,0)</f>
        <v>0</v>
      </c>
      <c r="AA1651" s="1" t="n">
        <f aca="false">N(AA1650)+$Z1651</f>
        <v>30</v>
      </c>
      <c r="AB1651" s="1" t="n">
        <f aca="false">IF(AND($M1651=1,LEFT(对接源_02物料!$D451,4)="原料出库"),1,0)</f>
        <v>0</v>
      </c>
      <c r="AC1651" s="1" t="n">
        <f aca="false">N(AC1650)+$AB1651</f>
        <v>19</v>
      </c>
      <c r="AD1651" s="1" t="n">
        <f aca="false">IF(AND($M1651=1,LEFT(对接源_02物料!$D451,4)="成品出库"),1,0)</f>
        <v>0</v>
      </c>
      <c r="AE1651" s="1" t="n">
        <f aca="false">N(AE1650)+$AD1651</f>
        <v>38</v>
      </c>
      <c r="AF1651" s="1" t="n">
        <f aca="false">IF(AND($N1651=1,AND(LEFT(对接源_02物料!$D451,4)="包装物料",N(对接源_02物料!$K451)&lt;&gt;0)),1,0)</f>
        <v>0</v>
      </c>
      <c r="AG1651" s="1" t="n">
        <f aca="false">N(AG1650)+$AF1651</f>
        <v>6</v>
      </c>
      <c r="AH1651" s="1" t="n">
        <f aca="false">IF(AND($N1651=1,AND(LEFT(对接源_02物料!$D451,3)="周转筐",N(对接源_02物料!$K451)&lt;&gt;0)),1,0)</f>
        <v>0</v>
      </c>
      <c r="AI1651" s="1" t="n">
        <f aca="false">N(AI1650)+$AH1651</f>
        <v>0</v>
      </c>
      <c r="AJ1651" s="1" t="n">
        <v>0</v>
      </c>
      <c r="AK1651" s="1" t="n">
        <f aca="false">N(AK1650)+$AJ1651</f>
        <v>3672</v>
      </c>
    </row>
    <row r="1652" customFormat="false" ht="13.5" hidden="false" customHeight="false" outlineLevel="0" collapsed="false">
      <c r="A1652" s="1" t="str">
        <f aca="false">IF(对接源_02物料!$C452="","",对接源_02物料!$C452)</f>
        <v/>
      </c>
      <c r="B1652" s="1" t="n">
        <f aca="false">IF(A1652="",0,IF(MATCH(A1652,$A$4:$A$2403,0)=ROW()-3,1,0))</f>
        <v>0</v>
      </c>
      <c r="C1652" s="1" t="n">
        <f aca="false">N(C1651)+B1652</f>
        <v>17</v>
      </c>
      <c r="K1652" s="1" t="n">
        <f aca="false">IF(OR($K$1="",对接源_02物料!$C452="",对接源_02物料!$C452&lt;&gt;$K$1,对接源_02物料!$B452=""),0,IF(OR(N(对接源_02物料!$B452)&lt;$K$2,N(对接源_02物料!$B452)&gt;$K$3),0,1))</f>
        <v>0</v>
      </c>
      <c r="L1652" s="1" t="n">
        <f aca="false">IF(OR($L$1="",对接源_02物料!$C452="",对接源_02物料!$C452&lt;&gt;$L$1,对接源_02物料!$B452=""),0,IF(OR(N(对接源_02物料!$B452)&lt;$L$2,N(对接源_02物料!$B452)&gt;$L$3),0,1))</f>
        <v>0</v>
      </c>
      <c r="M1652" s="1" t="n">
        <f aca="false">IF(OR($M$1="",对接源_02物料!$C452="",对接源_02物料!$C452&lt;&gt;$M$1,对接源_02物料!$B452=""),0,IF(OR(N(对接源_02物料!$B452)&lt;$M$2,N(对接源_02物料!$B452)&gt;$M$3),0,1))</f>
        <v>0</v>
      </c>
      <c r="N1652" s="1" t="n">
        <f aca="false">IF(OR($N$1="",对接源_02物料!$C452="",对接源_02物料!$C452&lt;&gt;$N$1,对接源_02物料!$B452=""),0,IF(OR(N(对接源_02物料!$B452)&lt;$N$2,N(对接源_02物料!$B452)&gt;$N$3),0,1))</f>
        <v>0</v>
      </c>
      <c r="P1652" s="1" t="n">
        <f aca="false">IF(AND($K1652=1,AND(对接源_02物料!$X452="公司筐",N(对接源_02物料!$T452)&lt;&gt;0)),1,0)</f>
        <v>0</v>
      </c>
      <c r="Q1652" s="1" t="n">
        <f aca="false">N(Q1651)+$P1652</f>
        <v>13</v>
      </c>
      <c r="R1652" s="1" t="n">
        <f aca="false">IF(AND($K1652=1,AND(对接源_02物料!$X452="公司筐",N(对接源_02物料!$U452)&lt;&gt;0)),1,0)</f>
        <v>0</v>
      </c>
      <c r="S1652" s="1" t="n">
        <f aca="false">N(S1651)+$R1652</f>
        <v>5</v>
      </c>
      <c r="T1652" s="1" t="n">
        <f aca="false">IF(AND($K1652=1,AND(对接源_02物料!$X452="公司筐",N(对接源_02物料!$V452)&lt;&gt;0)),1,0)</f>
        <v>0</v>
      </c>
      <c r="U1652" s="1" t="n">
        <f aca="false">N(U1651)+$T1652</f>
        <v>28</v>
      </c>
      <c r="V1652" s="1" t="n">
        <f aca="false">IF(AND($L1652=1,AND(对接源_02物料!$X452="自备筐",N(对接源_02物料!$V452)&lt;&gt;0)),1,0)</f>
        <v>0</v>
      </c>
      <c r="W1652" s="1" t="n">
        <f aca="false">N(W1651)+$V1652</f>
        <v>7</v>
      </c>
      <c r="X1652" s="1" t="n">
        <f aca="false">IF(AND($L1652=1,AND(对接源_02物料!$X452="自备筐",N(对接源_02物料!$T452)&lt;&gt;0)),1,0)</f>
        <v>0</v>
      </c>
      <c r="Y1652" s="1" t="n">
        <f aca="false">N(Y1651)+$X1652</f>
        <v>0</v>
      </c>
      <c r="Z1652" s="1" t="n">
        <f aca="false">IF(AND($M1652=1,对接源_02物料!$D452="原料入库"),1,0)</f>
        <v>0</v>
      </c>
      <c r="AA1652" s="1" t="n">
        <f aca="false">N(AA1651)+$Z1652</f>
        <v>30</v>
      </c>
      <c r="AB1652" s="1" t="n">
        <f aca="false">IF(AND($M1652=1,LEFT(对接源_02物料!$D452,4)="原料出库"),1,0)</f>
        <v>0</v>
      </c>
      <c r="AC1652" s="1" t="n">
        <f aca="false">N(AC1651)+$AB1652</f>
        <v>19</v>
      </c>
      <c r="AD1652" s="1" t="n">
        <f aca="false">IF(AND($M1652=1,LEFT(对接源_02物料!$D452,4)="成品出库"),1,0)</f>
        <v>0</v>
      </c>
      <c r="AE1652" s="1" t="n">
        <f aca="false">N(AE1651)+$AD1652</f>
        <v>38</v>
      </c>
      <c r="AF1652" s="1" t="n">
        <f aca="false">IF(AND($N1652=1,AND(LEFT(对接源_02物料!$D452,4)="包装物料",N(对接源_02物料!$K452)&lt;&gt;0)),1,0)</f>
        <v>0</v>
      </c>
      <c r="AG1652" s="1" t="n">
        <f aca="false">N(AG1651)+$AF1652</f>
        <v>6</v>
      </c>
      <c r="AH1652" s="1" t="n">
        <f aca="false">IF(AND($N1652=1,AND(LEFT(对接源_02物料!$D452,3)="周转筐",N(对接源_02物料!$K452)&lt;&gt;0)),1,0)</f>
        <v>0</v>
      </c>
      <c r="AI1652" s="1" t="n">
        <f aca="false">N(AI1651)+$AH1652</f>
        <v>0</v>
      </c>
      <c r="AJ1652" s="1" t="n">
        <v>0</v>
      </c>
      <c r="AK1652" s="1" t="n">
        <f aca="false">N(AK1651)+$AJ1652</f>
        <v>3672</v>
      </c>
    </row>
    <row r="1653" customFormat="false" ht="13.5" hidden="false" customHeight="false" outlineLevel="0" collapsed="false">
      <c r="A1653" s="1" t="str">
        <f aca="false">IF(对接源_02物料!$C453="","",对接源_02物料!$C453)</f>
        <v/>
      </c>
      <c r="B1653" s="1" t="n">
        <f aca="false">IF(A1653="",0,IF(MATCH(A1653,$A$4:$A$2403,0)=ROW()-3,1,0))</f>
        <v>0</v>
      </c>
      <c r="C1653" s="1" t="n">
        <f aca="false">N(C1652)+B1653</f>
        <v>17</v>
      </c>
      <c r="K1653" s="1" t="n">
        <f aca="false">IF(OR($K$1="",对接源_02物料!$C453="",对接源_02物料!$C453&lt;&gt;$K$1,对接源_02物料!$B453=""),0,IF(OR(N(对接源_02物料!$B453)&lt;$K$2,N(对接源_02物料!$B453)&gt;$K$3),0,1))</f>
        <v>0</v>
      </c>
      <c r="L1653" s="1" t="n">
        <f aca="false">IF(OR($L$1="",对接源_02物料!$C453="",对接源_02物料!$C453&lt;&gt;$L$1,对接源_02物料!$B453=""),0,IF(OR(N(对接源_02物料!$B453)&lt;$L$2,N(对接源_02物料!$B453)&gt;$L$3),0,1))</f>
        <v>0</v>
      </c>
      <c r="M1653" s="1" t="n">
        <f aca="false">IF(OR($M$1="",对接源_02物料!$C453="",对接源_02物料!$C453&lt;&gt;$M$1,对接源_02物料!$B453=""),0,IF(OR(N(对接源_02物料!$B453)&lt;$M$2,N(对接源_02物料!$B453)&gt;$M$3),0,1))</f>
        <v>0</v>
      </c>
      <c r="N1653" s="1" t="n">
        <f aca="false">IF(OR($N$1="",对接源_02物料!$C453="",对接源_02物料!$C453&lt;&gt;$N$1,对接源_02物料!$B453=""),0,IF(OR(N(对接源_02物料!$B453)&lt;$N$2,N(对接源_02物料!$B453)&gt;$N$3),0,1))</f>
        <v>0</v>
      </c>
      <c r="P1653" s="1" t="n">
        <f aca="false">IF(AND($K1653=1,AND(对接源_02物料!$X453="公司筐",N(对接源_02物料!$T453)&lt;&gt;0)),1,0)</f>
        <v>0</v>
      </c>
      <c r="Q1653" s="1" t="n">
        <f aca="false">N(Q1652)+$P1653</f>
        <v>13</v>
      </c>
      <c r="R1653" s="1" t="n">
        <f aca="false">IF(AND($K1653=1,AND(对接源_02物料!$X453="公司筐",N(对接源_02物料!$U453)&lt;&gt;0)),1,0)</f>
        <v>0</v>
      </c>
      <c r="S1653" s="1" t="n">
        <f aca="false">N(S1652)+$R1653</f>
        <v>5</v>
      </c>
      <c r="T1653" s="1" t="n">
        <f aca="false">IF(AND($K1653=1,AND(对接源_02物料!$X453="公司筐",N(对接源_02物料!$V453)&lt;&gt;0)),1,0)</f>
        <v>0</v>
      </c>
      <c r="U1653" s="1" t="n">
        <f aca="false">N(U1652)+$T1653</f>
        <v>28</v>
      </c>
      <c r="V1653" s="1" t="n">
        <f aca="false">IF(AND($L1653=1,AND(对接源_02物料!$X453="自备筐",N(对接源_02物料!$V453)&lt;&gt;0)),1,0)</f>
        <v>0</v>
      </c>
      <c r="W1653" s="1" t="n">
        <f aca="false">N(W1652)+$V1653</f>
        <v>7</v>
      </c>
      <c r="X1653" s="1" t="n">
        <f aca="false">IF(AND($L1653=1,AND(对接源_02物料!$X453="自备筐",N(对接源_02物料!$T453)&lt;&gt;0)),1,0)</f>
        <v>0</v>
      </c>
      <c r="Y1653" s="1" t="n">
        <f aca="false">N(Y1652)+$X1653</f>
        <v>0</v>
      </c>
      <c r="Z1653" s="1" t="n">
        <f aca="false">IF(AND($M1653=1,对接源_02物料!$D453="原料入库"),1,0)</f>
        <v>0</v>
      </c>
      <c r="AA1653" s="1" t="n">
        <f aca="false">N(AA1652)+$Z1653</f>
        <v>30</v>
      </c>
      <c r="AB1653" s="1" t="n">
        <f aca="false">IF(AND($M1653=1,LEFT(对接源_02物料!$D453,4)="原料出库"),1,0)</f>
        <v>0</v>
      </c>
      <c r="AC1653" s="1" t="n">
        <f aca="false">N(AC1652)+$AB1653</f>
        <v>19</v>
      </c>
      <c r="AD1653" s="1" t="n">
        <f aca="false">IF(AND($M1653=1,LEFT(对接源_02物料!$D453,4)="成品出库"),1,0)</f>
        <v>0</v>
      </c>
      <c r="AE1653" s="1" t="n">
        <f aca="false">N(AE1652)+$AD1653</f>
        <v>38</v>
      </c>
      <c r="AF1653" s="1" t="n">
        <f aca="false">IF(AND($N1653=1,AND(LEFT(对接源_02物料!$D453,4)="包装物料",N(对接源_02物料!$K453)&lt;&gt;0)),1,0)</f>
        <v>0</v>
      </c>
      <c r="AG1653" s="1" t="n">
        <f aca="false">N(AG1652)+$AF1653</f>
        <v>6</v>
      </c>
      <c r="AH1653" s="1" t="n">
        <f aca="false">IF(AND($N1653=1,AND(LEFT(对接源_02物料!$D453,3)="周转筐",N(对接源_02物料!$K453)&lt;&gt;0)),1,0)</f>
        <v>0</v>
      </c>
      <c r="AI1653" s="1" t="n">
        <f aca="false">N(AI1652)+$AH1653</f>
        <v>0</v>
      </c>
      <c r="AJ1653" s="1" t="n">
        <v>0</v>
      </c>
      <c r="AK1653" s="1" t="n">
        <f aca="false">N(AK1652)+$AJ1653</f>
        <v>3672</v>
      </c>
    </row>
    <row r="1654" customFormat="false" ht="13.5" hidden="false" customHeight="false" outlineLevel="0" collapsed="false">
      <c r="A1654" s="1" t="str">
        <f aca="false">IF(对接源_02物料!$C454="","",对接源_02物料!$C454)</f>
        <v/>
      </c>
      <c r="B1654" s="1" t="n">
        <f aca="false">IF(A1654="",0,IF(MATCH(A1654,$A$4:$A$2403,0)=ROW()-3,1,0))</f>
        <v>0</v>
      </c>
      <c r="C1654" s="1" t="n">
        <f aca="false">N(C1653)+B1654</f>
        <v>17</v>
      </c>
      <c r="K1654" s="1" t="n">
        <f aca="false">IF(OR($K$1="",对接源_02物料!$C454="",对接源_02物料!$C454&lt;&gt;$K$1,对接源_02物料!$B454=""),0,IF(OR(N(对接源_02物料!$B454)&lt;$K$2,N(对接源_02物料!$B454)&gt;$K$3),0,1))</f>
        <v>0</v>
      </c>
      <c r="L1654" s="1" t="n">
        <f aca="false">IF(OR($L$1="",对接源_02物料!$C454="",对接源_02物料!$C454&lt;&gt;$L$1,对接源_02物料!$B454=""),0,IF(OR(N(对接源_02物料!$B454)&lt;$L$2,N(对接源_02物料!$B454)&gt;$L$3),0,1))</f>
        <v>0</v>
      </c>
      <c r="M1654" s="1" t="n">
        <f aca="false">IF(OR($M$1="",对接源_02物料!$C454="",对接源_02物料!$C454&lt;&gt;$M$1,对接源_02物料!$B454=""),0,IF(OR(N(对接源_02物料!$B454)&lt;$M$2,N(对接源_02物料!$B454)&gt;$M$3),0,1))</f>
        <v>0</v>
      </c>
      <c r="N1654" s="1" t="n">
        <f aca="false">IF(OR($N$1="",对接源_02物料!$C454="",对接源_02物料!$C454&lt;&gt;$N$1,对接源_02物料!$B454=""),0,IF(OR(N(对接源_02物料!$B454)&lt;$N$2,N(对接源_02物料!$B454)&gt;$N$3),0,1))</f>
        <v>0</v>
      </c>
      <c r="P1654" s="1" t="n">
        <f aca="false">IF(AND($K1654=1,AND(对接源_02物料!$X454="公司筐",N(对接源_02物料!$T454)&lt;&gt;0)),1,0)</f>
        <v>0</v>
      </c>
      <c r="Q1654" s="1" t="n">
        <f aca="false">N(Q1653)+$P1654</f>
        <v>13</v>
      </c>
      <c r="R1654" s="1" t="n">
        <f aca="false">IF(AND($K1654=1,AND(对接源_02物料!$X454="公司筐",N(对接源_02物料!$U454)&lt;&gt;0)),1,0)</f>
        <v>0</v>
      </c>
      <c r="S1654" s="1" t="n">
        <f aca="false">N(S1653)+$R1654</f>
        <v>5</v>
      </c>
      <c r="T1654" s="1" t="n">
        <f aca="false">IF(AND($K1654=1,AND(对接源_02物料!$X454="公司筐",N(对接源_02物料!$V454)&lt;&gt;0)),1,0)</f>
        <v>0</v>
      </c>
      <c r="U1654" s="1" t="n">
        <f aca="false">N(U1653)+$T1654</f>
        <v>28</v>
      </c>
      <c r="V1654" s="1" t="n">
        <f aca="false">IF(AND($L1654=1,AND(对接源_02物料!$X454="自备筐",N(对接源_02物料!$V454)&lt;&gt;0)),1,0)</f>
        <v>0</v>
      </c>
      <c r="W1654" s="1" t="n">
        <f aca="false">N(W1653)+$V1654</f>
        <v>7</v>
      </c>
      <c r="X1654" s="1" t="n">
        <f aca="false">IF(AND($L1654=1,AND(对接源_02物料!$X454="自备筐",N(对接源_02物料!$T454)&lt;&gt;0)),1,0)</f>
        <v>0</v>
      </c>
      <c r="Y1654" s="1" t="n">
        <f aca="false">N(Y1653)+$X1654</f>
        <v>0</v>
      </c>
      <c r="Z1654" s="1" t="n">
        <f aca="false">IF(AND($M1654=1,对接源_02物料!$D454="原料入库"),1,0)</f>
        <v>0</v>
      </c>
      <c r="AA1654" s="1" t="n">
        <f aca="false">N(AA1653)+$Z1654</f>
        <v>30</v>
      </c>
      <c r="AB1654" s="1" t="n">
        <f aca="false">IF(AND($M1654=1,LEFT(对接源_02物料!$D454,4)="原料出库"),1,0)</f>
        <v>0</v>
      </c>
      <c r="AC1654" s="1" t="n">
        <f aca="false">N(AC1653)+$AB1654</f>
        <v>19</v>
      </c>
      <c r="AD1654" s="1" t="n">
        <f aca="false">IF(AND($M1654=1,LEFT(对接源_02物料!$D454,4)="成品出库"),1,0)</f>
        <v>0</v>
      </c>
      <c r="AE1654" s="1" t="n">
        <f aca="false">N(AE1653)+$AD1654</f>
        <v>38</v>
      </c>
      <c r="AF1654" s="1" t="n">
        <f aca="false">IF(AND($N1654=1,AND(LEFT(对接源_02物料!$D454,4)="包装物料",N(对接源_02物料!$K454)&lt;&gt;0)),1,0)</f>
        <v>0</v>
      </c>
      <c r="AG1654" s="1" t="n">
        <f aca="false">N(AG1653)+$AF1654</f>
        <v>6</v>
      </c>
      <c r="AH1654" s="1" t="n">
        <f aca="false">IF(AND($N1654=1,AND(LEFT(对接源_02物料!$D454,3)="周转筐",N(对接源_02物料!$K454)&lt;&gt;0)),1,0)</f>
        <v>0</v>
      </c>
      <c r="AI1654" s="1" t="n">
        <f aca="false">N(AI1653)+$AH1654</f>
        <v>0</v>
      </c>
      <c r="AJ1654" s="1" t="n">
        <v>0</v>
      </c>
      <c r="AK1654" s="1" t="n">
        <f aca="false">N(AK1653)+$AJ1654</f>
        <v>3672</v>
      </c>
    </row>
    <row r="1655" customFormat="false" ht="13.5" hidden="false" customHeight="false" outlineLevel="0" collapsed="false">
      <c r="A1655" s="1" t="str">
        <f aca="false">IF(对接源_02物料!$C455="","",对接源_02物料!$C455)</f>
        <v/>
      </c>
      <c r="B1655" s="1" t="n">
        <f aca="false">IF(A1655="",0,IF(MATCH(A1655,$A$4:$A$2403,0)=ROW()-3,1,0))</f>
        <v>0</v>
      </c>
      <c r="C1655" s="1" t="n">
        <f aca="false">N(C1654)+B1655</f>
        <v>17</v>
      </c>
      <c r="K1655" s="1" t="n">
        <f aca="false">IF(OR($K$1="",对接源_02物料!$C455="",对接源_02物料!$C455&lt;&gt;$K$1,对接源_02物料!$B455=""),0,IF(OR(N(对接源_02物料!$B455)&lt;$K$2,N(对接源_02物料!$B455)&gt;$K$3),0,1))</f>
        <v>0</v>
      </c>
      <c r="L1655" s="1" t="n">
        <f aca="false">IF(OR($L$1="",对接源_02物料!$C455="",对接源_02物料!$C455&lt;&gt;$L$1,对接源_02物料!$B455=""),0,IF(OR(N(对接源_02物料!$B455)&lt;$L$2,N(对接源_02物料!$B455)&gt;$L$3),0,1))</f>
        <v>0</v>
      </c>
      <c r="M1655" s="1" t="n">
        <f aca="false">IF(OR($M$1="",对接源_02物料!$C455="",对接源_02物料!$C455&lt;&gt;$M$1,对接源_02物料!$B455=""),0,IF(OR(N(对接源_02物料!$B455)&lt;$M$2,N(对接源_02物料!$B455)&gt;$M$3),0,1))</f>
        <v>0</v>
      </c>
      <c r="N1655" s="1" t="n">
        <f aca="false">IF(OR($N$1="",对接源_02物料!$C455="",对接源_02物料!$C455&lt;&gt;$N$1,对接源_02物料!$B455=""),0,IF(OR(N(对接源_02物料!$B455)&lt;$N$2,N(对接源_02物料!$B455)&gt;$N$3),0,1))</f>
        <v>0</v>
      </c>
      <c r="P1655" s="1" t="n">
        <f aca="false">IF(AND($K1655=1,AND(对接源_02物料!$X455="公司筐",N(对接源_02物料!$T455)&lt;&gt;0)),1,0)</f>
        <v>0</v>
      </c>
      <c r="Q1655" s="1" t="n">
        <f aca="false">N(Q1654)+$P1655</f>
        <v>13</v>
      </c>
      <c r="R1655" s="1" t="n">
        <f aca="false">IF(AND($K1655=1,AND(对接源_02物料!$X455="公司筐",N(对接源_02物料!$U455)&lt;&gt;0)),1,0)</f>
        <v>0</v>
      </c>
      <c r="S1655" s="1" t="n">
        <f aca="false">N(S1654)+$R1655</f>
        <v>5</v>
      </c>
      <c r="T1655" s="1" t="n">
        <f aca="false">IF(AND($K1655=1,AND(对接源_02物料!$X455="公司筐",N(对接源_02物料!$V455)&lt;&gt;0)),1,0)</f>
        <v>0</v>
      </c>
      <c r="U1655" s="1" t="n">
        <f aca="false">N(U1654)+$T1655</f>
        <v>28</v>
      </c>
      <c r="V1655" s="1" t="n">
        <f aca="false">IF(AND($L1655=1,AND(对接源_02物料!$X455="自备筐",N(对接源_02物料!$V455)&lt;&gt;0)),1,0)</f>
        <v>0</v>
      </c>
      <c r="W1655" s="1" t="n">
        <f aca="false">N(W1654)+$V1655</f>
        <v>7</v>
      </c>
      <c r="X1655" s="1" t="n">
        <f aca="false">IF(AND($L1655=1,AND(对接源_02物料!$X455="自备筐",N(对接源_02物料!$T455)&lt;&gt;0)),1,0)</f>
        <v>0</v>
      </c>
      <c r="Y1655" s="1" t="n">
        <f aca="false">N(Y1654)+$X1655</f>
        <v>0</v>
      </c>
      <c r="Z1655" s="1" t="n">
        <f aca="false">IF(AND($M1655=1,对接源_02物料!$D455="原料入库"),1,0)</f>
        <v>0</v>
      </c>
      <c r="AA1655" s="1" t="n">
        <f aca="false">N(AA1654)+$Z1655</f>
        <v>30</v>
      </c>
      <c r="AB1655" s="1" t="n">
        <f aca="false">IF(AND($M1655=1,LEFT(对接源_02物料!$D455,4)="原料出库"),1,0)</f>
        <v>0</v>
      </c>
      <c r="AC1655" s="1" t="n">
        <f aca="false">N(AC1654)+$AB1655</f>
        <v>19</v>
      </c>
      <c r="AD1655" s="1" t="n">
        <f aca="false">IF(AND($M1655=1,LEFT(对接源_02物料!$D455,4)="成品出库"),1,0)</f>
        <v>0</v>
      </c>
      <c r="AE1655" s="1" t="n">
        <f aca="false">N(AE1654)+$AD1655</f>
        <v>38</v>
      </c>
      <c r="AF1655" s="1" t="n">
        <f aca="false">IF(AND($N1655=1,AND(LEFT(对接源_02物料!$D455,4)="包装物料",N(对接源_02物料!$K455)&lt;&gt;0)),1,0)</f>
        <v>0</v>
      </c>
      <c r="AG1655" s="1" t="n">
        <f aca="false">N(AG1654)+$AF1655</f>
        <v>6</v>
      </c>
      <c r="AH1655" s="1" t="n">
        <f aca="false">IF(AND($N1655=1,AND(LEFT(对接源_02物料!$D455,3)="周转筐",N(对接源_02物料!$K455)&lt;&gt;0)),1,0)</f>
        <v>0</v>
      </c>
      <c r="AI1655" s="1" t="n">
        <f aca="false">N(AI1654)+$AH1655</f>
        <v>0</v>
      </c>
      <c r="AJ1655" s="1" t="n">
        <v>0</v>
      </c>
      <c r="AK1655" s="1" t="n">
        <f aca="false">N(AK1654)+$AJ1655</f>
        <v>3672</v>
      </c>
    </row>
    <row r="1656" customFormat="false" ht="13.5" hidden="false" customHeight="false" outlineLevel="0" collapsed="false">
      <c r="A1656" s="1" t="str">
        <f aca="false">IF(对接源_02物料!$C456="","",对接源_02物料!$C456)</f>
        <v/>
      </c>
      <c r="B1656" s="1" t="n">
        <f aca="false">IF(A1656="",0,IF(MATCH(A1656,$A$4:$A$2403,0)=ROW()-3,1,0))</f>
        <v>0</v>
      </c>
      <c r="C1656" s="1" t="n">
        <f aca="false">N(C1655)+B1656</f>
        <v>17</v>
      </c>
      <c r="K1656" s="1" t="n">
        <f aca="false">IF(OR($K$1="",对接源_02物料!$C456="",对接源_02物料!$C456&lt;&gt;$K$1,对接源_02物料!$B456=""),0,IF(OR(N(对接源_02物料!$B456)&lt;$K$2,N(对接源_02物料!$B456)&gt;$K$3),0,1))</f>
        <v>0</v>
      </c>
      <c r="L1656" s="1" t="n">
        <f aca="false">IF(OR($L$1="",对接源_02物料!$C456="",对接源_02物料!$C456&lt;&gt;$L$1,对接源_02物料!$B456=""),0,IF(OR(N(对接源_02物料!$B456)&lt;$L$2,N(对接源_02物料!$B456)&gt;$L$3),0,1))</f>
        <v>0</v>
      </c>
      <c r="M1656" s="1" t="n">
        <f aca="false">IF(OR($M$1="",对接源_02物料!$C456="",对接源_02物料!$C456&lt;&gt;$M$1,对接源_02物料!$B456=""),0,IF(OR(N(对接源_02物料!$B456)&lt;$M$2,N(对接源_02物料!$B456)&gt;$M$3),0,1))</f>
        <v>0</v>
      </c>
      <c r="N1656" s="1" t="n">
        <f aca="false">IF(OR($N$1="",对接源_02物料!$C456="",对接源_02物料!$C456&lt;&gt;$N$1,对接源_02物料!$B456=""),0,IF(OR(N(对接源_02物料!$B456)&lt;$N$2,N(对接源_02物料!$B456)&gt;$N$3),0,1))</f>
        <v>0</v>
      </c>
      <c r="P1656" s="1" t="n">
        <f aca="false">IF(AND($K1656=1,AND(对接源_02物料!$X456="公司筐",N(对接源_02物料!$T456)&lt;&gt;0)),1,0)</f>
        <v>0</v>
      </c>
      <c r="Q1656" s="1" t="n">
        <f aca="false">N(Q1655)+$P1656</f>
        <v>13</v>
      </c>
      <c r="R1656" s="1" t="n">
        <f aca="false">IF(AND($K1656=1,AND(对接源_02物料!$X456="公司筐",N(对接源_02物料!$U456)&lt;&gt;0)),1,0)</f>
        <v>0</v>
      </c>
      <c r="S1656" s="1" t="n">
        <f aca="false">N(S1655)+$R1656</f>
        <v>5</v>
      </c>
      <c r="T1656" s="1" t="n">
        <f aca="false">IF(AND($K1656=1,AND(对接源_02物料!$X456="公司筐",N(对接源_02物料!$V456)&lt;&gt;0)),1,0)</f>
        <v>0</v>
      </c>
      <c r="U1656" s="1" t="n">
        <f aca="false">N(U1655)+$T1656</f>
        <v>28</v>
      </c>
      <c r="V1656" s="1" t="n">
        <f aca="false">IF(AND($L1656=1,AND(对接源_02物料!$X456="自备筐",N(对接源_02物料!$V456)&lt;&gt;0)),1,0)</f>
        <v>0</v>
      </c>
      <c r="W1656" s="1" t="n">
        <f aca="false">N(W1655)+$V1656</f>
        <v>7</v>
      </c>
      <c r="X1656" s="1" t="n">
        <f aca="false">IF(AND($L1656=1,AND(对接源_02物料!$X456="自备筐",N(对接源_02物料!$T456)&lt;&gt;0)),1,0)</f>
        <v>0</v>
      </c>
      <c r="Y1656" s="1" t="n">
        <f aca="false">N(Y1655)+$X1656</f>
        <v>0</v>
      </c>
      <c r="Z1656" s="1" t="n">
        <f aca="false">IF(AND($M1656=1,对接源_02物料!$D456="原料入库"),1,0)</f>
        <v>0</v>
      </c>
      <c r="AA1656" s="1" t="n">
        <f aca="false">N(AA1655)+$Z1656</f>
        <v>30</v>
      </c>
      <c r="AB1656" s="1" t="n">
        <f aca="false">IF(AND($M1656=1,LEFT(对接源_02物料!$D456,4)="原料出库"),1,0)</f>
        <v>0</v>
      </c>
      <c r="AC1656" s="1" t="n">
        <f aca="false">N(AC1655)+$AB1656</f>
        <v>19</v>
      </c>
      <c r="AD1656" s="1" t="n">
        <f aca="false">IF(AND($M1656=1,LEFT(对接源_02物料!$D456,4)="成品出库"),1,0)</f>
        <v>0</v>
      </c>
      <c r="AE1656" s="1" t="n">
        <f aca="false">N(AE1655)+$AD1656</f>
        <v>38</v>
      </c>
      <c r="AF1656" s="1" t="n">
        <f aca="false">IF(AND($N1656=1,AND(LEFT(对接源_02物料!$D456,4)="包装物料",N(对接源_02物料!$K456)&lt;&gt;0)),1,0)</f>
        <v>0</v>
      </c>
      <c r="AG1656" s="1" t="n">
        <f aca="false">N(AG1655)+$AF1656</f>
        <v>6</v>
      </c>
      <c r="AH1656" s="1" t="n">
        <f aca="false">IF(AND($N1656=1,AND(LEFT(对接源_02物料!$D456,3)="周转筐",N(对接源_02物料!$K456)&lt;&gt;0)),1,0)</f>
        <v>0</v>
      </c>
      <c r="AI1656" s="1" t="n">
        <f aca="false">N(AI1655)+$AH1656</f>
        <v>0</v>
      </c>
      <c r="AJ1656" s="1" t="n">
        <v>0</v>
      </c>
      <c r="AK1656" s="1" t="n">
        <f aca="false">N(AK1655)+$AJ1656</f>
        <v>3672</v>
      </c>
    </row>
    <row r="1657" customFormat="false" ht="13.5" hidden="false" customHeight="false" outlineLevel="0" collapsed="false">
      <c r="A1657" s="1" t="str">
        <f aca="false">IF(对接源_02物料!$C457="","",对接源_02物料!$C457)</f>
        <v/>
      </c>
      <c r="B1657" s="1" t="n">
        <f aca="false">IF(A1657="",0,IF(MATCH(A1657,$A$4:$A$2403,0)=ROW()-3,1,0))</f>
        <v>0</v>
      </c>
      <c r="C1657" s="1" t="n">
        <f aca="false">N(C1656)+B1657</f>
        <v>17</v>
      </c>
      <c r="K1657" s="1" t="n">
        <f aca="false">IF(OR($K$1="",对接源_02物料!$C457="",对接源_02物料!$C457&lt;&gt;$K$1,对接源_02物料!$B457=""),0,IF(OR(N(对接源_02物料!$B457)&lt;$K$2,N(对接源_02物料!$B457)&gt;$K$3),0,1))</f>
        <v>0</v>
      </c>
      <c r="L1657" s="1" t="n">
        <f aca="false">IF(OR($L$1="",对接源_02物料!$C457="",对接源_02物料!$C457&lt;&gt;$L$1,对接源_02物料!$B457=""),0,IF(OR(N(对接源_02物料!$B457)&lt;$L$2,N(对接源_02物料!$B457)&gt;$L$3),0,1))</f>
        <v>0</v>
      </c>
      <c r="M1657" s="1" t="n">
        <f aca="false">IF(OR($M$1="",对接源_02物料!$C457="",对接源_02物料!$C457&lt;&gt;$M$1,对接源_02物料!$B457=""),0,IF(OR(N(对接源_02物料!$B457)&lt;$M$2,N(对接源_02物料!$B457)&gt;$M$3),0,1))</f>
        <v>0</v>
      </c>
      <c r="N1657" s="1" t="n">
        <f aca="false">IF(OR($N$1="",对接源_02物料!$C457="",对接源_02物料!$C457&lt;&gt;$N$1,对接源_02物料!$B457=""),0,IF(OR(N(对接源_02物料!$B457)&lt;$N$2,N(对接源_02物料!$B457)&gt;$N$3),0,1))</f>
        <v>0</v>
      </c>
      <c r="P1657" s="1" t="n">
        <f aca="false">IF(AND($K1657=1,AND(对接源_02物料!$X457="公司筐",N(对接源_02物料!$T457)&lt;&gt;0)),1,0)</f>
        <v>0</v>
      </c>
      <c r="Q1657" s="1" t="n">
        <f aca="false">N(Q1656)+$P1657</f>
        <v>13</v>
      </c>
      <c r="R1657" s="1" t="n">
        <f aca="false">IF(AND($K1657=1,AND(对接源_02物料!$X457="公司筐",N(对接源_02物料!$U457)&lt;&gt;0)),1,0)</f>
        <v>0</v>
      </c>
      <c r="S1657" s="1" t="n">
        <f aca="false">N(S1656)+$R1657</f>
        <v>5</v>
      </c>
      <c r="T1657" s="1" t="n">
        <f aca="false">IF(AND($K1657=1,AND(对接源_02物料!$X457="公司筐",N(对接源_02物料!$V457)&lt;&gt;0)),1,0)</f>
        <v>0</v>
      </c>
      <c r="U1657" s="1" t="n">
        <f aca="false">N(U1656)+$T1657</f>
        <v>28</v>
      </c>
      <c r="V1657" s="1" t="n">
        <f aca="false">IF(AND($L1657=1,AND(对接源_02物料!$X457="自备筐",N(对接源_02物料!$V457)&lt;&gt;0)),1,0)</f>
        <v>0</v>
      </c>
      <c r="W1657" s="1" t="n">
        <f aca="false">N(W1656)+$V1657</f>
        <v>7</v>
      </c>
      <c r="X1657" s="1" t="n">
        <f aca="false">IF(AND($L1657=1,AND(对接源_02物料!$X457="自备筐",N(对接源_02物料!$T457)&lt;&gt;0)),1,0)</f>
        <v>0</v>
      </c>
      <c r="Y1657" s="1" t="n">
        <f aca="false">N(Y1656)+$X1657</f>
        <v>0</v>
      </c>
      <c r="Z1657" s="1" t="n">
        <f aca="false">IF(AND($M1657=1,对接源_02物料!$D457="原料入库"),1,0)</f>
        <v>0</v>
      </c>
      <c r="AA1657" s="1" t="n">
        <f aca="false">N(AA1656)+$Z1657</f>
        <v>30</v>
      </c>
      <c r="AB1657" s="1" t="n">
        <f aca="false">IF(AND($M1657=1,LEFT(对接源_02物料!$D457,4)="原料出库"),1,0)</f>
        <v>0</v>
      </c>
      <c r="AC1657" s="1" t="n">
        <f aca="false">N(AC1656)+$AB1657</f>
        <v>19</v>
      </c>
      <c r="AD1657" s="1" t="n">
        <f aca="false">IF(AND($M1657=1,LEFT(对接源_02物料!$D457,4)="成品出库"),1,0)</f>
        <v>0</v>
      </c>
      <c r="AE1657" s="1" t="n">
        <f aca="false">N(AE1656)+$AD1657</f>
        <v>38</v>
      </c>
      <c r="AF1657" s="1" t="n">
        <f aca="false">IF(AND($N1657=1,AND(LEFT(对接源_02物料!$D457,4)="包装物料",N(对接源_02物料!$K457)&lt;&gt;0)),1,0)</f>
        <v>0</v>
      </c>
      <c r="AG1657" s="1" t="n">
        <f aca="false">N(AG1656)+$AF1657</f>
        <v>6</v>
      </c>
      <c r="AH1657" s="1" t="n">
        <f aca="false">IF(AND($N1657=1,AND(LEFT(对接源_02物料!$D457,3)="周转筐",N(对接源_02物料!$K457)&lt;&gt;0)),1,0)</f>
        <v>0</v>
      </c>
      <c r="AI1657" s="1" t="n">
        <f aca="false">N(AI1656)+$AH1657</f>
        <v>0</v>
      </c>
      <c r="AJ1657" s="1" t="n">
        <v>0</v>
      </c>
      <c r="AK1657" s="1" t="n">
        <f aca="false">N(AK1656)+$AJ1657</f>
        <v>3672</v>
      </c>
    </row>
    <row r="1658" customFormat="false" ht="13.5" hidden="false" customHeight="false" outlineLevel="0" collapsed="false">
      <c r="A1658" s="1" t="str">
        <f aca="false">IF(对接源_02物料!$C458="","",对接源_02物料!$C458)</f>
        <v/>
      </c>
      <c r="B1658" s="1" t="n">
        <f aca="false">IF(A1658="",0,IF(MATCH(A1658,$A$4:$A$2403,0)=ROW()-3,1,0))</f>
        <v>0</v>
      </c>
      <c r="C1658" s="1" t="n">
        <f aca="false">N(C1657)+B1658</f>
        <v>17</v>
      </c>
      <c r="K1658" s="1" t="n">
        <f aca="false">IF(OR($K$1="",对接源_02物料!$C458="",对接源_02物料!$C458&lt;&gt;$K$1,对接源_02物料!$B458=""),0,IF(OR(N(对接源_02物料!$B458)&lt;$K$2,N(对接源_02物料!$B458)&gt;$K$3),0,1))</f>
        <v>0</v>
      </c>
      <c r="L1658" s="1" t="n">
        <f aca="false">IF(OR($L$1="",对接源_02物料!$C458="",对接源_02物料!$C458&lt;&gt;$L$1,对接源_02物料!$B458=""),0,IF(OR(N(对接源_02物料!$B458)&lt;$L$2,N(对接源_02物料!$B458)&gt;$L$3),0,1))</f>
        <v>0</v>
      </c>
      <c r="M1658" s="1" t="n">
        <f aca="false">IF(OR($M$1="",对接源_02物料!$C458="",对接源_02物料!$C458&lt;&gt;$M$1,对接源_02物料!$B458=""),0,IF(OR(N(对接源_02物料!$B458)&lt;$M$2,N(对接源_02物料!$B458)&gt;$M$3),0,1))</f>
        <v>0</v>
      </c>
      <c r="N1658" s="1" t="n">
        <f aca="false">IF(OR($N$1="",对接源_02物料!$C458="",对接源_02物料!$C458&lt;&gt;$N$1,对接源_02物料!$B458=""),0,IF(OR(N(对接源_02物料!$B458)&lt;$N$2,N(对接源_02物料!$B458)&gt;$N$3),0,1))</f>
        <v>0</v>
      </c>
      <c r="P1658" s="1" t="n">
        <f aca="false">IF(AND($K1658=1,AND(对接源_02物料!$X458="公司筐",N(对接源_02物料!$T458)&lt;&gt;0)),1,0)</f>
        <v>0</v>
      </c>
      <c r="Q1658" s="1" t="n">
        <f aca="false">N(Q1657)+$P1658</f>
        <v>13</v>
      </c>
      <c r="R1658" s="1" t="n">
        <f aca="false">IF(AND($K1658=1,AND(对接源_02物料!$X458="公司筐",N(对接源_02物料!$U458)&lt;&gt;0)),1,0)</f>
        <v>0</v>
      </c>
      <c r="S1658" s="1" t="n">
        <f aca="false">N(S1657)+$R1658</f>
        <v>5</v>
      </c>
      <c r="T1658" s="1" t="n">
        <f aca="false">IF(AND($K1658=1,AND(对接源_02物料!$X458="公司筐",N(对接源_02物料!$V458)&lt;&gt;0)),1,0)</f>
        <v>0</v>
      </c>
      <c r="U1658" s="1" t="n">
        <f aca="false">N(U1657)+$T1658</f>
        <v>28</v>
      </c>
      <c r="V1658" s="1" t="n">
        <f aca="false">IF(AND($L1658=1,AND(对接源_02物料!$X458="自备筐",N(对接源_02物料!$V458)&lt;&gt;0)),1,0)</f>
        <v>0</v>
      </c>
      <c r="W1658" s="1" t="n">
        <f aca="false">N(W1657)+$V1658</f>
        <v>7</v>
      </c>
      <c r="X1658" s="1" t="n">
        <f aca="false">IF(AND($L1658=1,AND(对接源_02物料!$X458="自备筐",N(对接源_02物料!$T458)&lt;&gt;0)),1,0)</f>
        <v>0</v>
      </c>
      <c r="Y1658" s="1" t="n">
        <f aca="false">N(Y1657)+$X1658</f>
        <v>0</v>
      </c>
      <c r="Z1658" s="1" t="n">
        <f aca="false">IF(AND($M1658=1,对接源_02物料!$D458="原料入库"),1,0)</f>
        <v>0</v>
      </c>
      <c r="AA1658" s="1" t="n">
        <f aca="false">N(AA1657)+$Z1658</f>
        <v>30</v>
      </c>
      <c r="AB1658" s="1" t="n">
        <f aca="false">IF(AND($M1658=1,LEFT(对接源_02物料!$D458,4)="原料出库"),1,0)</f>
        <v>0</v>
      </c>
      <c r="AC1658" s="1" t="n">
        <f aca="false">N(AC1657)+$AB1658</f>
        <v>19</v>
      </c>
      <c r="AD1658" s="1" t="n">
        <f aca="false">IF(AND($M1658=1,LEFT(对接源_02物料!$D458,4)="成品出库"),1,0)</f>
        <v>0</v>
      </c>
      <c r="AE1658" s="1" t="n">
        <f aca="false">N(AE1657)+$AD1658</f>
        <v>38</v>
      </c>
      <c r="AF1658" s="1" t="n">
        <f aca="false">IF(AND($N1658=1,AND(LEFT(对接源_02物料!$D458,4)="包装物料",N(对接源_02物料!$K458)&lt;&gt;0)),1,0)</f>
        <v>0</v>
      </c>
      <c r="AG1658" s="1" t="n">
        <f aca="false">N(AG1657)+$AF1658</f>
        <v>6</v>
      </c>
      <c r="AH1658" s="1" t="n">
        <f aca="false">IF(AND($N1658=1,AND(LEFT(对接源_02物料!$D458,3)="周转筐",N(对接源_02物料!$K458)&lt;&gt;0)),1,0)</f>
        <v>0</v>
      </c>
      <c r="AI1658" s="1" t="n">
        <f aca="false">N(AI1657)+$AH1658</f>
        <v>0</v>
      </c>
      <c r="AJ1658" s="1" t="n">
        <v>0</v>
      </c>
      <c r="AK1658" s="1" t="n">
        <f aca="false">N(AK1657)+$AJ1658</f>
        <v>3672</v>
      </c>
    </row>
    <row r="1659" customFormat="false" ht="13.5" hidden="false" customHeight="false" outlineLevel="0" collapsed="false">
      <c r="A1659" s="1" t="str">
        <f aca="false">IF(对接源_02物料!$C459="","",对接源_02物料!$C459)</f>
        <v/>
      </c>
      <c r="B1659" s="1" t="n">
        <f aca="false">IF(A1659="",0,IF(MATCH(A1659,$A$4:$A$2403,0)=ROW()-3,1,0))</f>
        <v>0</v>
      </c>
      <c r="C1659" s="1" t="n">
        <f aca="false">N(C1658)+B1659</f>
        <v>17</v>
      </c>
      <c r="K1659" s="1" t="n">
        <f aca="false">IF(OR($K$1="",对接源_02物料!$C459="",对接源_02物料!$C459&lt;&gt;$K$1,对接源_02物料!$B459=""),0,IF(OR(N(对接源_02物料!$B459)&lt;$K$2,N(对接源_02物料!$B459)&gt;$K$3),0,1))</f>
        <v>0</v>
      </c>
      <c r="L1659" s="1" t="n">
        <f aca="false">IF(OR($L$1="",对接源_02物料!$C459="",对接源_02物料!$C459&lt;&gt;$L$1,对接源_02物料!$B459=""),0,IF(OR(N(对接源_02物料!$B459)&lt;$L$2,N(对接源_02物料!$B459)&gt;$L$3),0,1))</f>
        <v>0</v>
      </c>
      <c r="M1659" s="1" t="n">
        <f aca="false">IF(OR($M$1="",对接源_02物料!$C459="",对接源_02物料!$C459&lt;&gt;$M$1,对接源_02物料!$B459=""),0,IF(OR(N(对接源_02物料!$B459)&lt;$M$2,N(对接源_02物料!$B459)&gt;$M$3),0,1))</f>
        <v>0</v>
      </c>
      <c r="N1659" s="1" t="n">
        <f aca="false">IF(OR($N$1="",对接源_02物料!$C459="",对接源_02物料!$C459&lt;&gt;$N$1,对接源_02物料!$B459=""),0,IF(OR(N(对接源_02物料!$B459)&lt;$N$2,N(对接源_02物料!$B459)&gt;$N$3),0,1))</f>
        <v>0</v>
      </c>
      <c r="P1659" s="1" t="n">
        <f aca="false">IF(AND($K1659=1,AND(对接源_02物料!$X459="公司筐",N(对接源_02物料!$T459)&lt;&gt;0)),1,0)</f>
        <v>0</v>
      </c>
      <c r="Q1659" s="1" t="n">
        <f aca="false">N(Q1658)+$P1659</f>
        <v>13</v>
      </c>
      <c r="R1659" s="1" t="n">
        <f aca="false">IF(AND($K1659=1,AND(对接源_02物料!$X459="公司筐",N(对接源_02物料!$U459)&lt;&gt;0)),1,0)</f>
        <v>0</v>
      </c>
      <c r="S1659" s="1" t="n">
        <f aca="false">N(S1658)+$R1659</f>
        <v>5</v>
      </c>
      <c r="T1659" s="1" t="n">
        <f aca="false">IF(AND($K1659=1,AND(对接源_02物料!$X459="公司筐",N(对接源_02物料!$V459)&lt;&gt;0)),1,0)</f>
        <v>0</v>
      </c>
      <c r="U1659" s="1" t="n">
        <f aca="false">N(U1658)+$T1659</f>
        <v>28</v>
      </c>
      <c r="V1659" s="1" t="n">
        <f aca="false">IF(AND($L1659=1,AND(对接源_02物料!$X459="自备筐",N(对接源_02物料!$V459)&lt;&gt;0)),1,0)</f>
        <v>0</v>
      </c>
      <c r="W1659" s="1" t="n">
        <f aca="false">N(W1658)+$V1659</f>
        <v>7</v>
      </c>
      <c r="X1659" s="1" t="n">
        <f aca="false">IF(AND($L1659=1,AND(对接源_02物料!$X459="自备筐",N(对接源_02物料!$T459)&lt;&gt;0)),1,0)</f>
        <v>0</v>
      </c>
      <c r="Y1659" s="1" t="n">
        <f aca="false">N(Y1658)+$X1659</f>
        <v>0</v>
      </c>
      <c r="Z1659" s="1" t="n">
        <f aca="false">IF(AND($M1659=1,对接源_02物料!$D459="原料入库"),1,0)</f>
        <v>0</v>
      </c>
      <c r="AA1659" s="1" t="n">
        <f aca="false">N(AA1658)+$Z1659</f>
        <v>30</v>
      </c>
      <c r="AB1659" s="1" t="n">
        <f aca="false">IF(AND($M1659=1,LEFT(对接源_02物料!$D459,4)="原料出库"),1,0)</f>
        <v>0</v>
      </c>
      <c r="AC1659" s="1" t="n">
        <f aca="false">N(AC1658)+$AB1659</f>
        <v>19</v>
      </c>
      <c r="AD1659" s="1" t="n">
        <f aca="false">IF(AND($M1659=1,LEFT(对接源_02物料!$D459,4)="成品出库"),1,0)</f>
        <v>0</v>
      </c>
      <c r="AE1659" s="1" t="n">
        <f aca="false">N(AE1658)+$AD1659</f>
        <v>38</v>
      </c>
      <c r="AF1659" s="1" t="n">
        <f aca="false">IF(AND($N1659=1,AND(LEFT(对接源_02物料!$D459,4)="包装物料",N(对接源_02物料!$K459)&lt;&gt;0)),1,0)</f>
        <v>0</v>
      </c>
      <c r="AG1659" s="1" t="n">
        <f aca="false">N(AG1658)+$AF1659</f>
        <v>6</v>
      </c>
      <c r="AH1659" s="1" t="n">
        <f aca="false">IF(AND($N1659=1,AND(LEFT(对接源_02物料!$D459,3)="周转筐",N(对接源_02物料!$K459)&lt;&gt;0)),1,0)</f>
        <v>0</v>
      </c>
      <c r="AI1659" s="1" t="n">
        <f aca="false">N(AI1658)+$AH1659</f>
        <v>0</v>
      </c>
      <c r="AJ1659" s="1" t="n">
        <v>0</v>
      </c>
      <c r="AK1659" s="1" t="n">
        <f aca="false">N(AK1658)+$AJ1659</f>
        <v>3672</v>
      </c>
    </row>
    <row r="1660" customFormat="false" ht="13.5" hidden="false" customHeight="false" outlineLevel="0" collapsed="false">
      <c r="A1660" s="1" t="str">
        <f aca="false">IF(对接源_02物料!$C460="","",对接源_02物料!$C460)</f>
        <v/>
      </c>
      <c r="B1660" s="1" t="n">
        <f aca="false">IF(A1660="",0,IF(MATCH(A1660,$A$4:$A$2403,0)=ROW()-3,1,0))</f>
        <v>0</v>
      </c>
      <c r="C1660" s="1" t="n">
        <f aca="false">N(C1659)+B1660</f>
        <v>17</v>
      </c>
      <c r="K1660" s="1" t="n">
        <f aca="false">IF(OR($K$1="",对接源_02物料!$C460="",对接源_02物料!$C460&lt;&gt;$K$1,对接源_02物料!$B460=""),0,IF(OR(N(对接源_02物料!$B460)&lt;$K$2,N(对接源_02物料!$B460)&gt;$K$3),0,1))</f>
        <v>0</v>
      </c>
      <c r="L1660" s="1" t="n">
        <f aca="false">IF(OR($L$1="",对接源_02物料!$C460="",对接源_02物料!$C460&lt;&gt;$L$1,对接源_02物料!$B460=""),0,IF(OR(N(对接源_02物料!$B460)&lt;$L$2,N(对接源_02物料!$B460)&gt;$L$3),0,1))</f>
        <v>0</v>
      </c>
      <c r="M1660" s="1" t="n">
        <f aca="false">IF(OR($M$1="",对接源_02物料!$C460="",对接源_02物料!$C460&lt;&gt;$M$1,对接源_02物料!$B460=""),0,IF(OR(N(对接源_02物料!$B460)&lt;$M$2,N(对接源_02物料!$B460)&gt;$M$3),0,1))</f>
        <v>0</v>
      </c>
      <c r="N1660" s="1" t="n">
        <f aca="false">IF(OR($N$1="",对接源_02物料!$C460="",对接源_02物料!$C460&lt;&gt;$N$1,对接源_02物料!$B460=""),0,IF(OR(N(对接源_02物料!$B460)&lt;$N$2,N(对接源_02物料!$B460)&gt;$N$3),0,1))</f>
        <v>0</v>
      </c>
      <c r="P1660" s="1" t="n">
        <f aca="false">IF(AND($K1660=1,AND(对接源_02物料!$X460="公司筐",N(对接源_02物料!$T460)&lt;&gt;0)),1,0)</f>
        <v>0</v>
      </c>
      <c r="Q1660" s="1" t="n">
        <f aca="false">N(Q1659)+$P1660</f>
        <v>13</v>
      </c>
      <c r="R1660" s="1" t="n">
        <f aca="false">IF(AND($K1660=1,AND(对接源_02物料!$X460="公司筐",N(对接源_02物料!$U460)&lt;&gt;0)),1,0)</f>
        <v>0</v>
      </c>
      <c r="S1660" s="1" t="n">
        <f aca="false">N(S1659)+$R1660</f>
        <v>5</v>
      </c>
      <c r="T1660" s="1" t="n">
        <f aca="false">IF(AND($K1660=1,AND(对接源_02物料!$X460="公司筐",N(对接源_02物料!$V460)&lt;&gt;0)),1,0)</f>
        <v>0</v>
      </c>
      <c r="U1660" s="1" t="n">
        <f aca="false">N(U1659)+$T1660</f>
        <v>28</v>
      </c>
      <c r="V1660" s="1" t="n">
        <f aca="false">IF(AND($L1660=1,AND(对接源_02物料!$X460="自备筐",N(对接源_02物料!$V460)&lt;&gt;0)),1,0)</f>
        <v>0</v>
      </c>
      <c r="W1660" s="1" t="n">
        <f aca="false">N(W1659)+$V1660</f>
        <v>7</v>
      </c>
      <c r="X1660" s="1" t="n">
        <f aca="false">IF(AND($L1660=1,AND(对接源_02物料!$X460="自备筐",N(对接源_02物料!$T460)&lt;&gt;0)),1,0)</f>
        <v>0</v>
      </c>
      <c r="Y1660" s="1" t="n">
        <f aca="false">N(Y1659)+$X1660</f>
        <v>0</v>
      </c>
      <c r="Z1660" s="1" t="n">
        <f aca="false">IF(AND($M1660=1,对接源_02物料!$D460="原料入库"),1,0)</f>
        <v>0</v>
      </c>
      <c r="AA1660" s="1" t="n">
        <f aca="false">N(AA1659)+$Z1660</f>
        <v>30</v>
      </c>
      <c r="AB1660" s="1" t="n">
        <f aca="false">IF(AND($M1660=1,LEFT(对接源_02物料!$D460,4)="原料出库"),1,0)</f>
        <v>0</v>
      </c>
      <c r="AC1660" s="1" t="n">
        <f aca="false">N(AC1659)+$AB1660</f>
        <v>19</v>
      </c>
      <c r="AD1660" s="1" t="n">
        <f aca="false">IF(AND($M1660=1,LEFT(对接源_02物料!$D460,4)="成品出库"),1,0)</f>
        <v>0</v>
      </c>
      <c r="AE1660" s="1" t="n">
        <f aca="false">N(AE1659)+$AD1660</f>
        <v>38</v>
      </c>
      <c r="AF1660" s="1" t="n">
        <f aca="false">IF(AND($N1660=1,AND(LEFT(对接源_02物料!$D460,4)="包装物料",N(对接源_02物料!$K460)&lt;&gt;0)),1,0)</f>
        <v>0</v>
      </c>
      <c r="AG1660" s="1" t="n">
        <f aca="false">N(AG1659)+$AF1660</f>
        <v>6</v>
      </c>
      <c r="AH1660" s="1" t="n">
        <f aca="false">IF(AND($N1660=1,AND(LEFT(对接源_02物料!$D460,3)="周转筐",N(对接源_02物料!$K460)&lt;&gt;0)),1,0)</f>
        <v>0</v>
      </c>
      <c r="AI1660" s="1" t="n">
        <f aca="false">N(AI1659)+$AH1660</f>
        <v>0</v>
      </c>
      <c r="AJ1660" s="1" t="n">
        <v>0</v>
      </c>
      <c r="AK1660" s="1" t="n">
        <f aca="false">N(AK1659)+$AJ1660</f>
        <v>3672</v>
      </c>
    </row>
    <row r="1661" customFormat="false" ht="13.5" hidden="false" customHeight="false" outlineLevel="0" collapsed="false">
      <c r="A1661" s="1" t="str">
        <f aca="false">IF(对接源_02物料!$C461="","",对接源_02物料!$C461)</f>
        <v/>
      </c>
      <c r="B1661" s="1" t="n">
        <f aca="false">IF(A1661="",0,IF(MATCH(A1661,$A$4:$A$2403,0)=ROW()-3,1,0))</f>
        <v>0</v>
      </c>
      <c r="C1661" s="1" t="n">
        <f aca="false">N(C1660)+B1661</f>
        <v>17</v>
      </c>
      <c r="K1661" s="1" t="n">
        <f aca="false">IF(OR($K$1="",对接源_02物料!$C461="",对接源_02物料!$C461&lt;&gt;$K$1,对接源_02物料!$B461=""),0,IF(OR(N(对接源_02物料!$B461)&lt;$K$2,N(对接源_02物料!$B461)&gt;$K$3),0,1))</f>
        <v>0</v>
      </c>
      <c r="L1661" s="1" t="n">
        <f aca="false">IF(OR($L$1="",对接源_02物料!$C461="",对接源_02物料!$C461&lt;&gt;$L$1,对接源_02物料!$B461=""),0,IF(OR(N(对接源_02物料!$B461)&lt;$L$2,N(对接源_02物料!$B461)&gt;$L$3),0,1))</f>
        <v>0</v>
      </c>
      <c r="M1661" s="1" t="n">
        <f aca="false">IF(OR($M$1="",对接源_02物料!$C461="",对接源_02物料!$C461&lt;&gt;$M$1,对接源_02物料!$B461=""),0,IF(OR(N(对接源_02物料!$B461)&lt;$M$2,N(对接源_02物料!$B461)&gt;$M$3),0,1))</f>
        <v>0</v>
      </c>
      <c r="N1661" s="1" t="n">
        <f aca="false">IF(OR($N$1="",对接源_02物料!$C461="",对接源_02物料!$C461&lt;&gt;$N$1,对接源_02物料!$B461=""),0,IF(OR(N(对接源_02物料!$B461)&lt;$N$2,N(对接源_02物料!$B461)&gt;$N$3),0,1))</f>
        <v>0</v>
      </c>
      <c r="P1661" s="1" t="n">
        <f aca="false">IF(AND($K1661=1,AND(对接源_02物料!$X461="公司筐",N(对接源_02物料!$T461)&lt;&gt;0)),1,0)</f>
        <v>0</v>
      </c>
      <c r="Q1661" s="1" t="n">
        <f aca="false">N(Q1660)+$P1661</f>
        <v>13</v>
      </c>
      <c r="R1661" s="1" t="n">
        <f aca="false">IF(AND($K1661=1,AND(对接源_02物料!$X461="公司筐",N(对接源_02物料!$U461)&lt;&gt;0)),1,0)</f>
        <v>0</v>
      </c>
      <c r="S1661" s="1" t="n">
        <f aca="false">N(S1660)+$R1661</f>
        <v>5</v>
      </c>
      <c r="T1661" s="1" t="n">
        <f aca="false">IF(AND($K1661=1,AND(对接源_02物料!$X461="公司筐",N(对接源_02物料!$V461)&lt;&gt;0)),1,0)</f>
        <v>0</v>
      </c>
      <c r="U1661" s="1" t="n">
        <f aca="false">N(U1660)+$T1661</f>
        <v>28</v>
      </c>
      <c r="V1661" s="1" t="n">
        <f aca="false">IF(AND($L1661=1,AND(对接源_02物料!$X461="自备筐",N(对接源_02物料!$V461)&lt;&gt;0)),1,0)</f>
        <v>0</v>
      </c>
      <c r="W1661" s="1" t="n">
        <f aca="false">N(W1660)+$V1661</f>
        <v>7</v>
      </c>
      <c r="X1661" s="1" t="n">
        <f aca="false">IF(AND($L1661=1,AND(对接源_02物料!$X461="自备筐",N(对接源_02物料!$T461)&lt;&gt;0)),1,0)</f>
        <v>0</v>
      </c>
      <c r="Y1661" s="1" t="n">
        <f aca="false">N(Y1660)+$X1661</f>
        <v>0</v>
      </c>
      <c r="Z1661" s="1" t="n">
        <f aca="false">IF(AND($M1661=1,对接源_02物料!$D461="原料入库"),1,0)</f>
        <v>0</v>
      </c>
      <c r="AA1661" s="1" t="n">
        <f aca="false">N(AA1660)+$Z1661</f>
        <v>30</v>
      </c>
      <c r="AB1661" s="1" t="n">
        <f aca="false">IF(AND($M1661=1,LEFT(对接源_02物料!$D461,4)="原料出库"),1,0)</f>
        <v>0</v>
      </c>
      <c r="AC1661" s="1" t="n">
        <f aca="false">N(AC1660)+$AB1661</f>
        <v>19</v>
      </c>
      <c r="AD1661" s="1" t="n">
        <f aca="false">IF(AND($M1661=1,LEFT(对接源_02物料!$D461,4)="成品出库"),1,0)</f>
        <v>0</v>
      </c>
      <c r="AE1661" s="1" t="n">
        <f aca="false">N(AE1660)+$AD1661</f>
        <v>38</v>
      </c>
      <c r="AF1661" s="1" t="n">
        <f aca="false">IF(AND($N1661=1,AND(LEFT(对接源_02物料!$D461,4)="包装物料",N(对接源_02物料!$K461)&lt;&gt;0)),1,0)</f>
        <v>0</v>
      </c>
      <c r="AG1661" s="1" t="n">
        <f aca="false">N(AG1660)+$AF1661</f>
        <v>6</v>
      </c>
      <c r="AH1661" s="1" t="n">
        <f aca="false">IF(AND($N1661=1,AND(LEFT(对接源_02物料!$D461,3)="周转筐",N(对接源_02物料!$K461)&lt;&gt;0)),1,0)</f>
        <v>0</v>
      </c>
      <c r="AI1661" s="1" t="n">
        <f aca="false">N(AI1660)+$AH1661</f>
        <v>0</v>
      </c>
      <c r="AJ1661" s="1" t="n">
        <v>0</v>
      </c>
      <c r="AK1661" s="1" t="n">
        <f aca="false">N(AK1660)+$AJ1661</f>
        <v>3672</v>
      </c>
    </row>
    <row r="1662" customFormat="false" ht="13.5" hidden="false" customHeight="false" outlineLevel="0" collapsed="false">
      <c r="A1662" s="1" t="str">
        <f aca="false">IF(对接源_02物料!$C462="","",对接源_02物料!$C462)</f>
        <v/>
      </c>
      <c r="B1662" s="1" t="n">
        <f aca="false">IF(A1662="",0,IF(MATCH(A1662,$A$4:$A$2403,0)=ROW()-3,1,0))</f>
        <v>0</v>
      </c>
      <c r="C1662" s="1" t="n">
        <f aca="false">N(C1661)+B1662</f>
        <v>17</v>
      </c>
      <c r="K1662" s="1" t="n">
        <f aca="false">IF(OR($K$1="",对接源_02物料!$C462="",对接源_02物料!$C462&lt;&gt;$K$1,对接源_02物料!$B462=""),0,IF(OR(N(对接源_02物料!$B462)&lt;$K$2,N(对接源_02物料!$B462)&gt;$K$3),0,1))</f>
        <v>0</v>
      </c>
      <c r="L1662" s="1" t="n">
        <f aca="false">IF(OR($L$1="",对接源_02物料!$C462="",对接源_02物料!$C462&lt;&gt;$L$1,对接源_02物料!$B462=""),0,IF(OR(N(对接源_02物料!$B462)&lt;$L$2,N(对接源_02物料!$B462)&gt;$L$3),0,1))</f>
        <v>0</v>
      </c>
      <c r="M1662" s="1" t="n">
        <f aca="false">IF(OR($M$1="",对接源_02物料!$C462="",对接源_02物料!$C462&lt;&gt;$M$1,对接源_02物料!$B462=""),0,IF(OR(N(对接源_02物料!$B462)&lt;$M$2,N(对接源_02物料!$B462)&gt;$M$3),0,1))</f>
        <v>0</v>
      </c>
      <c r="N1662" s="1" t="n">
        <f aca="false">IF(OR($N$1="",对接源_02物料!$C462="",对接源_02物料!$C462&lt;&gt;$N$1,对接源_02物料!$B462=""),0,IF(OR(N(对接源_02物料!$B462)&lt;$N$2,N(对接源_02物料!$B462)&gt;$N$3),0,1))</f>
        <v>0</v>
      </c>
      <c r="P1662" s="1" t="n">
        <f aca="false">IF(AND($K1662=1,AND(对接源_02物料!$X462="公司筐",N(对接源_02物料!$T462)&lt;&gt;0)),1,0)</f>
        <v>0</v>
      </c>
      <c r="Q1662" s="1" t="n">
        <f aca="false">N(Q1661)+$P1662</f>
        <v>13</v>
      </c>
      <c r="R1662" s="1" t="n">
        <f aca="false">IF(AND($K1662=1,AND(对接源_02物料!$X462="公司筐",N(对接源_02物料!$U462)&lt;&gt;0)),1,0)</f>
        <v>0</v>
      </c>
      <c r="S1662" s="1" t="n">
        <f aca="false">N(S1661)+$R1662</f>
        <v>5</v>
      </c>
      <c r="T1662" s="1" t="n">
        <f aca="false">IF(AND($K1662=1,AND(对接源_02物料!$X462="公司筐",N(对接源_02物料!$V462)&lt;&gt;0)),1,0)</f>
        <v>0</v>
      </c>
      <c r="U1662" s="1" t="n">
        <f aca="false">N(U1661)+$T1662</f>
        <v>28</v>
      </c>
      <c r="V1662" s="1" t="n">
        <f aca="false">IF(AND($L1662=1,AND(对接源_02物料!$X462="自备筐",N(对接源_02物料!$V462)&lt;&gt;0)),1,0)</f>
        <v>0</v>
      </c>
      <c r="W1662" s="1" t="n">
        <f aca="false">N(W1661)+$V1662</f>
        <v>7</v>
      </c>
      <c r="X1662" s="1" t="n">
        <f aca="false">IF(AND($L1662=1,AND(对接源_02物料!$X462="自备筐",N(对接源_02物料!$T462)&lt;&gt;0)),1,0)</f>
        <v>0</v>
      </c>
      <c r="Y1662" s="1" t="n">
        <f aca="false">N(Y1661)+$X1662</f>
        <v>0</v>
      </c>
      <c r="Z1662" s="1" t="n">
        <f aca="false">IF(AND($M1662=1,对接源_02物料!$D462="原料入库"),1,0)</f>
        <v>0</v>
      </c>
      <c r="AA1662" s="1" t="n">
        <f aca="false">N(AA1661)+$Z1662</f>
        <v>30</v>
      </c>
      <c r="AB1662" s="1" t="n">
        <f aca="false">IF(AND($M1662=1,LEFT(对接源_02物料!$D462,4)="原料出库"),1,0)</f>
        <v>0</v>
      </c>
      <c r="AC1662" s="1" t="n">
        <f aca="false">N(AC1661)+$AB1662</f>
        <v>19</v>
      </c>
      <c r="AD1662" s="1" t="n">
        <f aca="false">IF(AND($M1662=1,LEFT(对接源_02物料!$D462,4)="成品出库"),1,0)</f>
        <v>0</v>
      </c>
      <c r="AE1662" s="1" t="n">
        <f aca="false">N(AE1661)+$AD1662</f>
        <v>38</v>
      </c>
      <c r="AF1662" s="1" t="n">
        <f aca="false">IF(AND($N1662=1,AND(LEFT(对接源_02物料!$D462,4)="包装物料",N(对接源_02物料!$K462)&lt;&gt;0)),1,0)</f>
        <v>0</v>
      </c>
      <c r="AG1662" s="1" t="n">
        <f aca="false">N(AG1661)+$AF1662</f>
        <v>6</v>
      </c>
      <c r="AH1662" s="1" t="n">
        <f aca="false">IF(AND($N1662=1,AND(LEFT(对接源_02物料!$D462,3)="周转筐",N(对接源_02物料!$K462)&lt;&gt;0)),1,0)</f>
        <v>0</v>
      </c>
      <c r="AI1662" s="1" t="n">
        <f aca="false">N(AI1661)+$AH1662</f>
        <v>0</v>
      </c>
      <c r="AJ1662" s="1" t="n">
        <v>0</v>
      </c>
      <c r="AK1662" s="1" t="n">
        <f aca="false">N(AK1661)+$AJ1662</f>
        <v>3672</v>
      </c>
    </row>
    <row r="1663" customFormat="false" ht="13.5" hidden="false" customHeight="false" outlineLevel="0" collapsed="false">
      <c r="A1663" s="1" t="str">
        <f aca="false">IF(对接源_02物料!$C463="","",对接源_02物料!$C463)</f>
        <v/>
      </c>
      <c r="B1663" s="1" t="n">
        <f aca="false">IF(A1663="",0,IF(MATCH(A1663,$A$4:$A$2403,0)=ROW()-3,1,0))</f>
        <v>0</v>
      </c>
      <c r="C1663" s="1" t="n">
        <f aca="false">N(C1662)+B1663</f>
        <v>17</v>
      </c>
      <c r="K1663" s="1" t="n">
        <f aca="false">IF(OR($K$1="",对接源_02物料!$C463="",对接源_02物料!$C463&lt;&gt;$K$1,对接源_02物料!$B463=""),0,IF(OR(N(对接源_02物料!$B463)&lt;$K$2,N(对接源_02物料!$B463)&gt;$K$3),0,1))</f>
        <v>0</v>
      </c>
      <c r="L1663" s="1" t="n">
        <f aca="false">IF(OR($L$1="",对接源_02物料!$C463="",对接源_02物料!$C463&lt;&gt;$L$1,对接源_02物料!$B463=""),0,IF(OR(N(对接源_02物料!$B463)&lt;$L$2,N(对接源_02物料!$B463)&gt;$L$3),0,1))</f>
        <v>0</v>
      </c>
      <c r="M1663" s="1" t="n">
        <f aca="false">IF(OR($M$1="",对接源_02物料!$C463="",对接源_02物料!$C463&lt;&gt;$M$1,对接源_02物料!$B463=""),0,IF(OR(N(对接源_02物料!$B463)&lt;$M$2,N(对接源_02物料!$B463)&gt;$M$3),0,1))</f>
        <v>0</v>
      </c>
      <c r="N1663" s="1" t="n">
        <f aca="false">IF(OR($N$1="",对接源_02物料!$C463="",对接源_02物料!$C463&lt;&gt;$N$1,对接源_02物料!$B463=""),0,IF(OR(N(对接源_02物料!$B463)&lt;$N$2,N(对接源_02物料!$B463)&gt;$N$3),0,1))</f>
        <v>0</v>
      </c>
      <c r="P1663" s="1" t="n">
        <f aca="false">IF(AND($K1663=1,AND(对接源_02物料!$X463="公司筐",N(对接源_02物料!$T463)&lt;&gt;0)),1,0)</f>
        <v>0</v>
      </c>
      <c r="Q1663" s="1" t="n">
        <f aca="false">N(Q1662)+$P1663</f>
        <v>13</v>
      </c>
      <c r="R1663" s="1" t="n">
        <f aca="false">IF(AND($K1663=1,AND(对接源_02物料!$X463="公司筐",N(对接源_02物料!$U463)&lt;&gt;0)),1,0)</f>
        <v>0</v>
      </c>
      <c r="S1663" s="1" t="n">
        <f aca="false">N(S1662)+$R1663</f>
        <v>5</v>
      </c>
      <c r="T1663" s="1" t="n">
        <f aca="false">IF(AND($K1663=1,AND(对接源_02物料!$X463="公司筐",N(对接源_02物料!$V463)&lt;&gt;0)),1,0)</f>
        <v>0</v>
      </c>
      <c r="U1663" s="1" t="n">
        <f aca="false">N(U1662)+$T1663</f>
        <v>28</v>
      </c>
      <c r="V1663" s="1" t="n">
        <f aca="false">IF(AND($L1663=1,AND(对接源_02物料!$X463="自备筐",N(对接源_02物料!$V463)&lt;&gt;0)),1,0)</f>
        <v>0</v>
      </c>
      <c r="W1663" s="1" t="n">
        <f aca="false">N(W1662)+$V1663</f>
        <v>7</v>
      </c>
      <c r="X1663" s="1" t="n">
        <f aca="false">IF(AND($L1663=1,AND(对接源_02物料!$X463="自备筐",N(对接源_02物料!$T463)&lt;&gt;0)),1,0)</f>
        <v>0</v>
      </c>
      <c r="Y1663" s="1" t="n">
        <f aca="false">N(Y1662)+$X1663</f>
        <v>0</v>
      </c>
      <c r="Z1663" s="1" t="n">
        <f aca="false">IF(AND($M1663=1,对接源_02物料!$D463="原料入库"),1,0)</f>
        <v>0</v>
      </c>
      <c r="AA1663" s="1" t="n">
        <f aca="false">N(AA1662)+$Z1663</f>
        <v>30</v>
      </c>
      <c r="AB1663" s="1" t="n">
        <f aca="false">IF(AND($M1663=1,LEFT(对接源_02物料!$D463,4)="原料出库"),1,0)</f>
        <v>0</v>
      </c>
      <c r="AC1663" s="1" t="n">
        <f aca="false">N(AC1662)+$AB1663</f>
        <v>19</v>
      </c>
      <c r="AD1663" s="1" t="n">
        <f aca="false">IF(AND($M1663=1,LEFT(对接源_02物料!$D463,4)="成品出库"),1,0)</f>
        <v>0</v>
      </c>
      <c r="AE1663" s="1" t="n">
        <f aca="false">N(AE1662)+$AD1663</f>
        <v>38</v>
      </c>
      <c r="AF1663" s="1" t="n">
        <f aca="false">IF(AND($N1663=1,AND(LEFT(对接源_02物料!$D463,4)="包装物料",N(对接源_02物料!$K463)&lt;&gt;0)),1,0)</f>
        <v>0</v>
      </c>
      <c r="AG1663" s="1" t="n">
        <f aca="false">N(AG1662)+$AF1663</f>
        <v>6</v>
      </c>
      <c r="AH1663" s="1" t="n">
        <f aca="false">IF(AND($N1663=1,AND(LEFT(对接源_02物料!$D463,3)="周转筐",N(对接源_02物料!$K463)&lt;&gt;0)),1,0)</f>
        <v>0</v>
      </c>
      <c r="AI1663" s="1" t="n">
        <f aca="false">N(AI1662)+$AH1663</f>
        <v>0</v>
      </c>
      <c r="AJ1663" s="1" t="n">
        <v>0</v>
      </c>
      <c r="AK1663" s="1" t="n">
        <f aca="false">N(AK1662)+$AJ1663</f>
        <v>3672</v>
      </c>
    </row>
    <row r="1664" customFormat="false" ht="13.5" hidden="false" customHeight="false" outlineLevel="0" collapsed="false">
      <c r="A1664" s="1" t="str">
        <f aca="false">IF(对接源_02物料!$C464="","",对接源_02物料!$C464)</f>
        <v/>
      </c>
      <c r="B1664" s="1" t="n">
        <f aca="false">IF(A1664="",0,IF(MATCH(A1664,$A$4:$A$2403,0)=ROW()-3,1,0))</f>
        <v>0</v>
      </c>
      <c r="C1664" s="1" t="n">
        <f aca="false">N(C1663)+B1664</f>
        <v>17</v>
      </c>
      <c r="K1664" s="1" t="n">
        <f aca="false">IF(OR($K$1="",对接源_02物料!$C464="",对接源_02物料!$C464&lt;&gt;$K$1,对接源_02物料!$B464=""),0,IF(OR(N(对接源_02物料!$B464)&lt;$K$2,N(对接源_02物料!$B464)&gt;$K$3),0,1))</f>
        <v>0</v>
      </c>
      <c r="L1664" s="1" t="n">
        <f aca="false">IF(OR($L$1="",对接源_02物料!$C464="",对接源_02物料!$C464&lt;&gt;$L$1,对接源_02物料!$B464=""),0,IF(OR(N(对接源_02物料!$B464)&lt;$L$2,N(对接源_02物料!$B464)&gt;$L$3),0,1))</f>
        <v>0</v>
      </c>
      <c r="M1664" s="1" t="n">
        <f aca="false">IF(OR($M$1="",对接源_02物料!$C464="",对接源_02物料!$C464&lt;&gt;$M$1,对接源_02物料!$B464=""),0,IF(OR(N(对接源_02物料!$B464)&lt;$M$2,N(对接源_02物料!$B464)&gt;$M$3),0,1))</f>
        <v>0</v>
      </c>
      <c r="N1664" s="1" t="n">
        <f aca="false">IF(OR($N$1="",对接源_02物料!$C464="",对接源_02物料!$C464&lt;&gt;$N$1,对接源_02物料!$B464=""),0,IF(OR(N(对接源_02物料!$B464)&lt;$N$2,N(对接源_02物料!$B464)&gt;$N$3),0,1))</f>
        <v>0</v>
      </c>
      <c r="P1664" s="1" t="n">
        <f aca="false">IF(AND($K1664=1,AND(对接源_02物料!$X464="公司筐",N(对接源_02物料!$T464)&lt;&gt;0)),1,0)</f>
        <v>0</v>
      </c>
      <c r="Q1664" s="1" t="n">
        <f aca="false">N(Q1663)+$P1664</f>
        <v>13</v>
      </c>
      <c r="R1664" s="1" t="n">
        <f aca="false">IF(AND($K1664=1,AND(对接源_02物料!$X464="公司筐",N(对接源_02物料!$U464)&lt;&gt;0)),1,0)</f>
        <v>0</v>
      </c>
      <c r="S1664" s="1" t="n">
        <f aca="false">N(S1663)+$R1664</f>
        <v>5</v>
      </c>
      <c r="T1664" s="1" t="n">
        <f aca="false">IF(AND($K1664=1,AND(对接源_02物料!$X464="公司筐",N(对接源_02物料!$V464)&lt;&gt;0)),1,0)</f>
        <v>0</v>
      </c>
      <c r="U1664" s="1" t="n">
        <f aca="false">N(U1663)+$T1664</f>
        <v>28</v>
      </c>
      <c r="V1664" s="1" t="n">
        <f aca="false">IF(AND($L1664=1,AND(对接源_02物料!$X464="自备筐",N(对接源_02物料!$V464)&lt;&gt;0)),1,0)</f>
        <v>0</v>
      </c>
      <c r="W1664" s="1" t="n">
        <f aca="false">N(W1663)+$V1664</f>
        <v>7</v>
      </c>
      <c r="X1664" s="1" t="n">
        <f aca="false">IF(AND($L1664=1,AND(对接源_02物料!$X464="自备筐",N(对接源_02物料!$T464)&lt;&gt;0)),1,0)</f>
        <v>0</v>
      </c>
      <c r="Y1664" s="1" t="n">
        <f aca="false">N(Y1663)+$X1664</f>
        <v>0</v>
      </c>
      <c r="Z1664" s="1" t="n">
        <f aca="false">IF(AND($M1664=1,对接源_02物料!$D464="原料入库"),1,0)</f>
        <v>0</v>
      </c>
      <c r="AA1664" s="1" t="n">
        <f aca="false">N(AA1663)+$Z1664</f>
        <v>30</v>
      </c>
      <c r="AB1664" s="1" t="n">
        <f aca="false">IF(AND($M1664=1,LEFT(对接源_02物料!$D464,4)="原料出库"),1,0)</f>
        <v>0</v>
      </c>
      <c r="AC1664" s="1" t="n">
        <f aca="false">N(AC1663)+$AB1664</f>
        <v>19</v>
      </c>
      <c r="AD1664" s="1" t="n">
        <f aca="false">IF(AND($M1664=1,LEFT(对接源_02物料!$D464,4)="成品出库"),1,0)</f>
        <v>0</v>
      </c>
      <c r="AE1664" s="1" t="n">
        <f aca="false">N(AE1663)+$AD1664</f>
        <v>38</v>
      </c>
      <c r="AF1664" s="1" t="n">
        <f aca="false">IF(AND($N1664=1,AND(LEFT(对接源_02物料!$D464,4)="包装物料",N(对接源_02物料!$K464)&lt;&gt;0)),1,0)</f>
        <v>0</v>
      </c>
      <c r="AG1664" s="1" t="n">
        <f aca="false">N(AG1663)+$AF1664</f>
        <v>6</v>
      </c>
      <c r="AH1664" s="1" t="n">
        <f aca="false">IF(AND($N1664=1,AND(LEFT(对接源_02物料!$D464,3)="周转筐",N(对接源_02物料!$K464)&lt;&gt;0)),1,0)</f>
        <v>0</v>
      </c>
      <c r="AI1664" s="1" t="n">
        <f aca="false">N(AI1663)+$AH1664</f>
        <v>0</v>
      </c>
      <c r="AJ1664" s="1" t="n">
        <v>0</v>
      </c>
      <c r="AK1664" s="1" t="n">
        <f aca="false">N(AK1663)+$AJ1664</f>
        <v>3672</v>
      </c>
    </row>
    <row r="1665" customFormat="false" ht="13.5" hidden="false" customHeight="false" outlineLevel="0" collapsed="false">
      <c r="A1665" s="1" t="str">
        <f aca="false">IF(对接源_02物料!$C465="","",对接源_02物料!$C465)</f>
        <v/>
      </c>
      <c r="B1665" s="1" t="n">
        <f aca="false">IF(A1665="",0,IF(MATCH(A1665,$A$4:$A$2403,0)=ROW()-3,1,0))</f>
        <v>0</v>
      </c>
      <c r="C1665" s="1" t="n">
        <f aca="false">N(C1664)+B1665</f>
        <v>17</v>
      </c>
      <c r="K1665" s="1" t="n">
        <f aca="false">IF(OR($K$1="",对接源_02物料!$C465="",对接源_02物料!$C465&lt;&gt;$K$1,对接源_02物料!$B465=""),0,IF(OR(N(对接源_02物料!$B465)&lt;$K$2,N(对接源_02物料!$B465)&gt;$K$3),0,1))</f>
        <v>0</v>
      </c>
      <c r="L1665" s="1" t="n">
        <f aca="false">IF(OR($L$1="",对接源_02物料!$C465="",对接源_02物料!$C465&lt;&gt;$L$1,对接源_02物料!$B465=""),0,IF(OR(N(对接源_02物料!$B465)&lt;$L$2,N(对接源_02物料!$B465)&gt;$L$3),0,1))</f>
        <v>0</v>
      </c>
      <c r="M1665" s="1" t="n">
        <f aca="false">IF(OR($M$1="",对接源_02物料!$C465="",对接源_02物料!$C465&lt;&gt;$M$1,对接源_02物料!$B465=""),0,IF(OR(N(对接源_02物料!$B465)&lt;$M$2,N(对接源_02物料!$B465)&gt;$M$3),0,1))</f>
        <v>0</v>
      </c>
      <c r="N1665" s="1" t="n">
        <f aca="false">IF(OR($N$1="",对接源_02物料!$C465="",对接源_02物料!$C465&lt;&gt;$N$1,对接源_02物料!$B465=""),0,IF(OR(N(对接源_02物料!$B465)&lt;$N$2,N(对接源_02物料!$B465)&gt;$N$3),0,1))</f>
        <v>0</v>
      </c>
      <c r="P1665" s="1" t="n">
        <f aca="false">IF(AND($K1665=1,AND(对接源_02物料!$X465="公司筐",N(对接源_02物料!$T465)&lt;&gt;0)),1,0)</f>
        <v>0</v>
      </c>
      <c r="Q1665" s="1" t="n">
        <f aca="false">N(Q1664)+$P1665</f>
        <v>13</v>
      </c>
      <c r="R1665" s="1" t="n">
        <f aca="false">IF(AND($K1665=1,AND(对接源_02物料!$X465="公司筐",N(对接源_02物料!$U465)&lt;&gt;0)),1,0)</f>
        <v>0</v>
      </c>
      <c r="S1665" s="1" t="n">
        <f aca="false">N(S1664)+$R1665</f>
        <v>5</v>
      </c>
      <c r="T1665" s="1" t="n">
        <f aca="false">IF(AND($K1665=1,AND(对接源_02物料!$X465="公司筐",N(对接源_02物料!$V465)&lt;&gt;0)),1,0)</f>
        <v>0</v>
      </c>
      <c r="U1665" s="1" t="n">
        <f aca="false">N(U1664)+$T1665</f>
        <v>28</v>
      </c>
      <c r="V1665" s="1" t="n">
        <f aca="false">IF(AND($L1665=1,AND(对接源_02物料!$X465="自备筐",N(对接源_02物料!$V465)&lt;&gt;0)),1,0)</f>
        <v>0</v>
      </c>
      <c r="W1665" s="1" t="n">
        <f aca="false">N(W1664)+$V1665</f>
        <v>7</v>
      </c>
      <c r="X1665" s="1" t="n">
        <f aca="false">IF(AND($L1665=1,AND(对接源_02物料!$X465="自备筐",N(对接源_02物料!$T465)&lt;&gt;0)),1,0)</f>
        <v>0</v>
      </c>
      <c r="Y1665" s="1" t="n">
        <f aca="false">N(Y1664)+$X1665</f>
        <v>0</v>
      </c>
      <c r="Z1665" s="1" t="n">
        <f aca="false">IF(AND($M1665=1,对接源_02物料!$D465="原料入库"),1,0)</f>
        <v>0</v>
      </c>
      <c r="AA1665" s="1" t="n">
        <f aca="false">N(AA1664)+$Z1665</f>
        <v>30</v>
      </c>
      <c r="AB1665" s="1" t="n">
        <f aca="false">IF(AND($M1665=1,LEFT(对接源_02物料!$D465,4)="原料出库"),1,0)</f>
        <v>0</v>
      </c>
      <c r="AC1665" s="1" t="n">
        <f aca="false">N(AC1664)+$AB1665</f>
        <v>19</v>
      </c>
      <c r="AD1665" s="1" t="n">
        <f aca="false">IF(AND($M1665=1,LEFT(对接源_02物料!$D465,4)="成品出库"),1,0)</f>
        <v>0</v>
      </c>
      <c r="AE1665" s="1" t="n">
        <f aca="false">N(AE1664)+$AD1665</f>
        <v>38</v>
      </c>
      <c r="AF1665" s="1" t="n">
        <f aca="false">IF(AND($N1665=1,AND(LEFT(对接源_02物料!$D465,4)="包装物料",N(对接源_02物料!$K465)&lt;&gt;0)),1,0)</f>
        <v>0</v>
      </c>
      <c r="AG1665" s="1" t="n">
        <f aca="false">N(AG1664)+$AF1665</f>
        <v>6</v>
      </c>
      <c r="AH1665" s="1" t="n">
        <f aca="false">IF(AND($N1665=1,AND(LEFT(对接源_02物料!$D465,3)="周转筐",N(对接源_02物料!$K465)&lt;&gt;0)),1,0)</f>
        <v>0</v>
      </c>
      <c r="AI1665" s="1" t="n">
        <f aca="false">N(AI1664)+$AH1665</f>
        <v>0</v>
      </c>
      <c r="AJ1665" s="1" t="n">
        <v>0</v>
      </c>
      <c r="AK1665" s="1" t="n">
        <f aca="false">N(AK1664)+$AJ1665</f>
        <v>3672</v>
      </c>
    </row>
    <row r="1666" customFormat="false" ht="13.5" hidden="false" customHeight="false" outlineLevel="0" collapsed="false">
      <c r="A1666" s="1" t="str">
        <f aca="false">IF(对接源_02物料!$C466="","",对接源_02物料!$C466)</f>
        <v/>
      </c>
      <c r="B1666" s="1" t="n">
        <f aca="false">IF(A1666="",0,IF(MATCH(A1666,$A$4:$A$2403,0)=ROW()-3,1,0))</f>
        <v>0</v>
      </c>
      <c r="C1666" s="1" t="n">
        <f aca="false">N(C1665)+B1666</f>
        <v>17</v>
      </c>
      <c r="K1666" s="1" t="n">
        <f aca="false">IF(OR($K$1="",对接源_02物料!$C466="",对接源_02物料!$C466&lt;&gt;$K$1,对接源_02物料!$B466=""),0,IF(OR(N(对接源_02物料!$B466)&lt;$K$2,N(对接源_02物料!$B466)&gt;$K$3),0,1))</f>
        <v>0</v>
      </c>
      <c r="L1666" s="1" t="n">
        <f aca="false">IF(OR($L$1="",对接源_02物料!$C466="",对接源_02物料!$C466&lt;&gt;$L$1,对接源_02物料!$B466=""),0,IF(OR(N(对接源_02物料!$B466)&lt;$L$2,N(对接源_02物料!$B466)&gt;$L$3),0,1))</f>
        <v>0</v>
      </c>
      <c r="M1666" s="1" t="n">
        <f aca="false">IF(OR($M$1="",对接源_02物料!$C466="",对接源_02物料!$C466&lt;&gt;$M$1,对接源_02物料!$B466=""),0,IF(OR(N(对接源_02物料!$B466)&lt;$M$2,N(对接源_02物料!$B466)&gt;$M$3),0,1))</f>
        <v>0</v>
      </c>
      <c r="N1666" s="1" t="n">
        <f aca="false">IF(OR($N$1="",对接源_02物料!$C466="",对接源_02物料!$C466&lt;&gt;$N$1,对接源_02物料!$B466=""),0,IF(OR(N(对接源_02物料!$B466)&lt;$N$2,N(对接源_02物料!$B466)&gt;$N$3),0,1))</f>
        <v>0</v>
      </c>
      <c r="P1666" s="1" t="n">
        <f aca="false">IF(AND($K1666=1,AND(对接源_02物料!$X466="公司筐",N(对接源_02物料!$T466)&lt;&gt;0)),1,0)</f>
        <v>0</v>
      </c>
      <c r="Q1666" s="1" t="n">
        <f aca="false">N(Q1665)+$P1666</f>
        <v>13</v>
      </c>
      <c r="R1666" s="1" t="n">
        <f aca="false">IF(AND($K1666=1,AND(对接源_02物料!$X466="公司筐",N(对接源_02物料!$U466)&lt;&gt;0)),1,0)</f>
        <v>0</v>
      </c>
      <c r="S1666" s="1" t="n">
        <f aca="false">N(S1665)+$R1666</f>
        <v>5</v>
      </c>
      <c r="T1666" s="1" t="n">
        <f aca="false">IF(AND($K1666=1,AND(对接源_02物料!$X466="公司筐",N(对接源_02物料!$V466)&lt;&gt;0)),1,0)</f>
        <v>0</v>
      </c>
      <c r="U1666" s="1" t="n">
        <f aca="false">N(U1665)+$T1666</f>
        <v>28</v>
      </c>
      <c r="V1666" s="1" t="n">
        <f aca="false">IF(AND($L1666=1,AND(对接源_02物料!$X466="自备筐",N(对接源_02物料!$V466)&lt;&gt;0)),1,0)</f>
        <v>0</v>
      </c>
      <c r="W1666" s="1" t="n">
        <f aca="false">N(W1665)+$V1666</f>
        <v>7</v>
      </c>
      <c r="X1666" s="1" t="n">
        <f aca="false">IF(AND($L1666=1,AND(对接源_02物料!$X466="自备筐",N(对接源_02物料!$T466)&lt;&gt;0)),1,0)</f>
        <v>0</v>
      </c>
      <c r="Y1666" s="1" t="n">
        <f aca="false">N(Y1665)+$X1666</f>
        <v>0</v>
      </c>
      <c r="Z1666" s="1" t="n">
        <f aca="false">IF(AND($M1666=1,对接源_02物料!$D466="原料入库"),1,0)</f>
        <v>0</v>
      </c>
      <c r="AA1666" s="1" t="n">
        <f aca="false">N(AA1665)+$Z1666</f>
        <v>30</v>
      </c>
      <c r="AB1666" s="1" t="n">
        <f aca="false">IF(AND($M1666=1,LEFT(对接源_02物料!$D466,4)="原料出库"),1,0)</f>
        <v>0</v>
      </c>
      <c r="AC1666" s="1" t="n">
        <f aca="false">N(AC1665)+$AB1666</f>
        <v>19</v>
      </c>
      <c r="AD1666" s="1" t="n">
        <f aca="false">IF(AND($M1666=1,LEFT(对接源_02物料!$D466,4)="成品出库"),1,0)</f>
        <v>0</v>
      </c>
      <c r="AE1666" s="1" t="n">
        <f aca="false">N(AE1665)+$AD1666</f>
        <v>38</v>
      </c>
      <c r="AF1666" s="1" t="n">
        <f aca="false">IF(AND($N1666=1,AND(LEFT(对接源_02物料!$D466,4)="包装物料",N(对接源_02物料!$K466)&lt;&gt;0)),1,0)</f>
        <v>0</v>
      </c>
      <c r="AG1666" s="1" t="n">
        <f aca="false">N(AG1665)+$AF1666</f>
        <v>6</v>
      </c>
      <c r="AH1666" s="1" t="n">
        <f aca="false">IF(AND($N1666=1,AND(LEFT(对接源_02物料!$D466,3)="周转筐",N(对接源_02物料!$K466)&lt;&gt;0)),1,0)</f>
        <v>0</v>
      </c>
      <c r="AI1666" s="1" t="n">
        <f aca="false">N(AI1665)+$AH1666</f>
        <v>0</v>
      </c>
      <c r="AJ1666" s="1" t="n">
        <v>0</v>
      </c>
      <c r="AK1666" s="1" t="n">
        <f aca="false">N(AK1665)+$AJ1666</f>
        <v>3672</v>
      </c>
    </row>
    <row r="1667" customFormat="false" ht="13.5" hidden="false" customHeight="false" outlineLevel="0" collapsed="false">
      <c r="A1667" s="1" t="str">
        <f aca="false">IF(对接源_02物料!$C467="","",对接源_02物料!$C467)</f>
        <v/>
      </c>
      <c r="B1667" s="1" t="n">
        <f aca="false">IF(A1667="",0,IF(MATCH(A1667,$A$4:$A$2403,0)=ROW()-3,1,0))</f>
        <v>0</v>
      </c>
      <c r="C1667" s="1" t="n">
        <f aca="false">N(C1666)+B1667</f>
        <v>17</v>
      </c>
      <c r="K1667" s="1" t="n">
        <f aca="false">IF(OR($K$1="",对接源_02物料!$C467="",对接源_02物料!$C467&lt;&gt;$K$1,对接源_02物料!$B467=""),0,IF(OR(N(对接源_02物料!$B467)&lt;$K$2,N(对接源_02物料!$B467)&gt;$K$3),0,1))</f>
        <v>0</v>
      </c>
      <c r="L1667" s="1" t="n">
        <f aca="false">IF(OR($L$1="",对接源_02物料!$C467="",对接源_02物料!$C467&lt;&gt;$L$1,对接源_02物料!$B467=""),0,IF(OR(N(对接源_02物料!$B467)&lt;$L$2,N(对接源_02物料!$B467)&gt;$L$3),0,1))</f>
        <v>0</v>
      </c>
      <c r="M1667" s="1" t="n">
        <f aca="false">IF(OR($M$1="",对接源_02物料!$C467="",对接源_02物料!$C467&lt;&gt;$M$1,对接源_02物料!$B467=""),0,IF(OR(N(对接源_02物料!$B467)&lt;$M$2,N(对接源_02物料!$B467)&gt;$M$3),0,1))</f>
        <v>0</v>
      </c>
      <c r="N1667" s="1" t="n">
        <f aca="false">IF(OR($N$1="",对接源_02物料!$C467="",对接源_02物料!$C467&lt;&gt;$N$1,对接源_02物料!$B467=""),0,IF(OR(N(对接源_02物料!$B467)&lt;$N$2,N(对接源_02物料!$B467)&gt;$N$3),0,1))</f>
        <v>0</v>
      </c>
      <c r="P1667" s="1" t="n">
        <f aca="false">IF(AND($K1667=1,AND(对接源_02物料!$X467="公司筐",N(对接源_02物料!$T467)&lt;&gt;0)),1,0)</f>
        <v>0</v>
      </c>
      <c r="Q1667" s="1" t="n">
        <f aca="false">N(Q1666)+$P1667</f>
        <v>13</v>
      </c>
      <c r="R1667" s="1" t="n">
        <f aca="false">IF(AND($K1667=1,AND(对接源_02物料!$X467="公司筐",N(对接源_02物料!$U467)&lt;&gt;0)),1,0)</f>
        <v>0</v>
      </c>
      <c r="S1667" s="1" t="n">
        <f aca="false">N(S1666)+$R1667</f>
        <v>5</v>
      </c>
      <c r="T1667" s="1" t="n">
        <f aca="false">IF(AND($K1667=1,AND(对接源_02物料!$X467="公司筐",N(对接源_02物料!$V467)&lt;&gt;0)),1,0)</f>
        <v>0</v>
      </c>
      <c r="U1667" s="1" t="n">
        <f aca="false">N(U1666)+$T1667</f>
        <v>28</v>
      </c>
      <c r="V1667" s="1" t="n">
        <f aca="false">IF(AND($L1667=1,AND(对接源_02物料!$X467="自备筐",N(对接源_02物料!$V467)&lt;&gt;0)),1,0)</f>
        <v>0</v>
      </c>
      <c r="W1667" s="1" t="n">
        <f aca="false">N(W1666)+$V1667</f>
        <v>7</v>
      </c>
      <c r="X1667" s="1" t="n">
        <f aca="false">IF(AND($L1667=1,AND(对接源_02物料!$X467="自备筐",N(对接源_02物料!$T467)&lt;&gt;0)),1,0)</f>
        <v>0</v>
      </c>
      <c r="Y1667" s="1" t="n">
        <f aca="false">N(Y1666)+$X1667</f>
        <v>0</v>
      </c>
      <c r="Z1667" s="1" t="n">
        <f aca="false">IF(AND($M1667=1,对接源_02物料!$D467="原料入库"),1,0)</f>
        <v>0</v>
      </c>
      <c r="AA1667" s="1" t="n">
        <f aca="false">N(AA1666)+$Z1667</f>
        <v>30</v>
      </c>
      <c r="AB1667" s="1" t="n">
        <f aca="false">IF(AND($M1667=1,LEFT(对接源_02物料!$D467,4)="原料出库"),1,0)</f>
        <v>0</v>
      </c>
      <c r="AC1667" s="1" t="n">
        <f aca="false">N(AC1666)+$AB1667</f>
        <v>19</v>
      </c>
      <c r="AD1667" s="1" t="n">
        <f aca="false">IF(AND($M1667=1,LEFT(对接源_02物料!$D467,4)="成品出库"),1,0)</f>
        <v>0</v>
      </c>
      <c r="AE1667" s="1" t="n">
        <f aca="false">N(AE1666)+$AD1667</f>
        <v>38</v>
      </c>
      <c r="AF1667" s="1" t="n">
        <f aca="false">IF(AND($N1667=1,AND(LEFT(对接源_02物料!$D467,4)="包装物料",N(对接源_02物料!$K467)&lt;&gt;0)),1,0)</f>
        <v>0</v>
      </c>
      <c r="AG1667" s="1" t="n">
        <f aca="false">N(AG1666)+$AF1667</f>
        <v>6</v>
      </c>
      <c r="AH1667" s="1" t="n">
        <f aca="false">IF(AND($N1667=1,AND(LEFT(对接源_02物料!$D467,3)="周转筐",N(对接源_02物料!$K467)&lt;&gt;0)),1,0)</f>
        <v>0</v>
      </c>
      <c r="AI1667" s="1" t="n">
        <f aca="false">N(AI1666)+$AH1667</f>
        <v>0</v>
      </c>
      <c r="AJ1667" s="1" t="n">
        <v>0</v>
      </c>
      <c r="AK1667" s="1" t="n">
        <f aca="false">N(AK1666)+$AJ1667</f>
        <v>3672</v>
      </c>
    </row>
    <row r="1668" customFormat="false" ht="13.5" hidden="false" customHeight="false" outlineLevel="0" collapsed="false">
      <c r="A1668" s="1" t="str">
        <f aca="false">IF(对接源_02物料!$C468="","",对接源_02物料!$C468)</f>
        <v/>
      </c>
      <c r="B1668" s="1" t="n">
        <f aca="false">IF(A1668="",0,IF(MATCH(A1668,$A$4:$A$2403,0)=ROW()-3,1,0))</f>
        <v>0</v>
      </c>
      <c r="C1668" s="1" t="n">
        <f aca="false">N(C1667)+B1668</f>
        <v>17</v>
      </c>
      <c r="K1668" s="1" t="n">
        <f aca="false">IF(OR($K$1="",对接源_02物料!$C468="",对接源_02物料!$C468&lt;&gt;$K$1,对接源_02物料!$B468=""),0,IF(OR(N(对接源_02物料!$B468)&lt;$K$2,N(对接源_02物料!$B468)&gt;$K$3),0,1))</f>
        <v>0</v>
      </c>
      <c r="L1668" s="1" t="n">
        <f aca="false">IF(OR($L$1="",对接源_02物料!$C468="",对接源_02物料!$C468&lt;&gt;$L$1,对接源_02物料!$B468=""),0,IF(OR(N(对接源_02物料!$B468)&lt;$L$2,N(对接源_02物料!$B468)&gt;$L$3),0,1))</f>
        <v>0</v>
      </c>
      <c r="M1668" s="1" t="n">
        <f aca="false">IF(OR($M$1="",对接源_02物料!$C468="",对接源_02物料!$C468&lt;&gt;$M$1,对接源_02物料!$B468=""),0,IF(OR(N(对接源_02物料!$B468)&lt;$M$2,N(对接源_02物料!$B468)&gt;$M$3),0,1))</f>
        <v>0</v>
      </c>
      <c r="N1668" s="1" t="n">
        <f aca="false">IF(OR($N$1="",对接源_02物料!$C468="",对接源_02物料!$C468&lt;&gt;$N$1,对接源_02物料!$B468=""),0,IF(OR(N(对接源_02物料!$B468)&lt;$N$2,N(对接源_02物料!$B468)&gt;$N$3),0,1))</f>
        <v>0</v>
      </c>
      <c r="P1668" s="1" t="n">
        <f aca="false">IF(AND($K1668=1,AND(对接源_02物料!$X468="公司筐",N(对接源_02物料!$T468)&lt;&gt;0)),1,0)</f>
        <v>0</v>
      </c>
      <c r="Q1668" s="1" t="n">
        <f aca="false">N(Q1667)+$P1668</f>
        <v>13</v>
      </c>
      <c r="R1668" s="1" t="n">
        <f aca="false">IF(AND($K1668=1,AND(对接源_02物料!$X468="公司筐",N(对接源_02物料!$U468)&lt;&gt;0)),1,0)</f>
        <v>0</v>
      </c>
      <c r="S1668" s="1" t="n">
        <f aca="false">N(S1667)+$R1668</f>
        <v>5</v>
      </c>
      <c r="T1668" s="1" t="n">
        <f aca="false">IF(AND($K1668=1,AND(对接源_02物料!$X468="公司筐",N(对接源_02物料!$V468)&lt;&gt;0)),1,0)</f>
        <v>0</v>
      </c>
      <c r="U1668" s="1" t="n">
        <f aca="false">N(U1667)+$T1668</f>
        <v>28</v>
      </c>
      <c r="V1668" s="1" t="n">
        <f aca="false">IF(AND($L1668=1,AND(对接源_02物料!$X468="自备筐",N(对接源_02物料!$V468)&lt;&gt;0)),1,0)</f>
        <v>0</v>
      </c>
      <c r="W1668" s="1" t="n">
        <f aca="false">N(W1667)+$V1668</f>
        <v>7</v>
      </c>
      <c r="X1668" s="1" t="n">
        <f aca="false">IF(AND($L1668=1,AND(对接源_02物料!$X468="自备筐",N(对接源_02物料!$T468)&lt;&gt;0)),1,0)</f>
        <v>0</v>
      </c>
      <c r="Y1668" s="1" t="n">
        <f aca="false">N(Y1667)+$X1668</f>
        <v>0</v>
      </c>
      <c r="Z1668" s="1" t="n">
        <f aca="false">IF(AND($M1668=1,对接源_02物料!$D468="原料入库"),1,0)</f>
        <v>0</v>
      </c>
      <c r="AA1668" s="1" t="n">
        <f aca="false">N(AA1667)+$Z1668</f>
        <v>30</v>
      </c>
      <c r="AB1668" s="1" t="n">
        <f aca="false">IF(AND($M1668=1,LEFT(对接源_02物料!$D468,4)="原料出库"),1,0)</f>
        <v>0</v>
      </c>
      <c r="AC1668" s="1" t="n">
        <f aca="false">N(AC1667)+$AB1668</f>
        <v>19</v>
      </c>
      <c r="AD1668" s="1" t="n">
        <f aca="false">IF(AND($M1668=1,LEFT(对接源_02物料!$D468,4)="成品出库"),1,0)</f>
        <v>0</v>
      </c>
      <c r="AE1668" s="1" t="n">
        <f aca="false">N(AE1667)+$AD1668</f>
        <v>38</v>
      </c>
      <c r="AF1668" s="1" t="n">
        <f aca="false">IF(AND($N1668=1,AND(LEFT(对接源_02物料!$D468,4)="包装物料",N(对接源_02物料!$K468)&lt;&gt;0)),1,0)</f>
        <v>0</v>
      </c>
      <c r="AG1668" s="1" t="n">
        <f aca="false">N(AG1667)+$AF1668</f>
        <v>6</v>
      </c>
      <c r="AH1668" s="1" t="n">
        <f aca="false">IF(AND($N1668=1,AND(LEFT(对接源_02物料!$D468,3)="周转筐",N(对接源_02物料!$K468)&lt;&gt;0)),1,0)</f>
        <v>0</v>
      </c>
      <c r="AI1668" s="1" t="n">
        <f aca="false">N(AI1667)+$AH1668</f>
        <v>0</v>
      </c>
      <c r="AJ1668" s="1" t="n">
        <v>0</v>
      </c>
      <c r="AK1668" s="1" t="n">
        <f aca="false">N(AK1667)+$AJ1668</f>
        <v>3672</v>
      </c>
    </row>
    <row r="1669" customFormat="false" ht="13.5" hidden="false" customHeight="false" outlineLevel="0" collapsed="false">
      <c r="A1669" s="1" t="str">
        <f aca="false">IF(对接源_02物料!$C469="","",对接源_02物料!$C469)</f>
        <v/>
      </c>
      <c r="B1669" s="1" t="n">
        <f aca="false">IF(A1669="",0,IF(MATCH(A1669,$A$4:$A$2403,0)=ROW()-3,1,0))</f>
        <v>0</v>
      </c>
      <c r="C1669" s="1" t="n">
        <f aca="false">N(C1668)+B1669</f>
        <v>17</v>
      </c>
      <c r="K1669" s="1" t="n">
        <f aca="false">IF(OR($K$1="",对接源_02物料!$C469="",对接源_02物料!$C469&lt;&gt;$K$1,对接源_02物料!$B469=""),0,IF(OR(N(对接源_02物料!$B469)&lt;$K$2,N(对接源_02物料!$B469)&gt;$K$3),0,1))</f>
        <v>0</v>
      </c>
      <c r="L1669" s="1" t="n">
        <f aca="false">IF(OR($L$1="",对接源_02物料!$C469="",对接源_02物料!$C469&lt;&gt;$L$1,对接源_02物料!$B469=""),0,IF(OR(N(对接源_02物料!$B469)&lt;$L$2,N(对接源_02物料!$B469)&gt;$L$3),0,1))</f>
        <v>0</v>
      </c>
      <c r="M1669" s="1" t="n">
        <f aca="false">IF(OR($M$1="",对接源_02物料!$C469="",对接源_02物料!$C469&lt;&gt;$M$1,对接源_02物料!$B469=""),0,IF(OR(N(对接源_02物料!$B469)&lt;$M$2,N(对接源_02物料!$B469)&gt;$M$3),0,1))</f>
        <v>0</v>
      </c>
      <c r="N1669" s="1" t="n">
        <f aca="false">IF(OR($N$1="",对接源_02物料!$C469="",对接源_02物料!$C469&lt;&gt;$N$1,对接源_02物料!$B469=""),0,IF(OR(N(对接源_02物料!$B469)&lt;$N$2,N(对接源_02物料!$B469)&gt;$N$3),0,1))</f>
        <v>0</v>
      </c>
      <c r="P1669" s="1" t="n">
        <f aca="false">IF(AND($K1669=1,AND(对接源_02物料!$X469="公司筐",N(对接源_02物料!$T469)&lt;&gt;0)),1,0)</f>
        <v>0</v>
      </c>
      <c r="Q1669" s="1" t="n">
        <f aca="false">N(Q1668)+$P1669</f>
        <v>13</v>
      </c>
      <c r="R1669" s="1" t="n">
        <f aca="false">IF(AND($K1669=1,AND(对接源_02物料!$X469="公司筐",N(对接源_02物料!$U469)&lt;&gt;0)),1,0)</f>
        <v>0</v>
      </c>
      <c r="S1669" s="1" t="n">
        <f aca="false">N(S1668)+$R1669</f>
        <v>5</v>
      </c>
      <c r="T1669" s="1" t="n">
        <f aca="false">IF(AND($K1669=1,AND(对接源_02物料!$X469="公司筐",N(对接源_02物料!$V469)&lt;&gt;0)),1,0)</f>
        <v>0</v>
      </c>
      <c r="U1669" s="1" t="n">
        <f aca="false">N(U1668)+$T1669</f>
        <v>28</v>
      </c>
      <c r="V1669" s="1" t="n">
        <f aca="false">IF(AND($L1669=1,AND(对接源_02物料!$X469="自备筐",N(对接源_02物料!$V469)&lt;&gt;0)),1,0)</f>
        <v>0</v>
      </c>
      <c r="W1669" s="1" t="n">
        <f aca="false">N(W1668)+$V1669</f>
        <v>7</v>
      </c>
      <c r="X1669" s="1" t="n">
        <f aca="false">IF(AND($L1669=1,AND(对接源_02物料!$X469="自备筐",N(对接源_02物料!$T469)&lt;&gt;0)),1,0)</f>
        <v>0</v>
      </c>
      <c r="Y1669" s="1" t="n">
        <f aca="false">N(Y1668)+$X1669</f>
        <v>0</v>
      </c>
      <c r="Z1669" s="1" t="n">
        <f aca="false">IF(AND($M1669=1,对接源_02物料!$D469="原料入库"),1,0)</f>
        <v>0</v>
      </c>
      <c r="AA1669" s="1" t="n">
        <f aca="false">N(AA1668)+$Z1669</f>
        <v>30</v>
      </c>
      <c r="AB1669" s="1" t="n">
        <f aca="false">IF(AND($M1669=1,LEFT(对接源_02物料!$D469,4)="原料出库"),1,0)</f>
        <v>0</v>
      </c>
      <c r="AC1669" s="1" t="n">
        <f aca="false">N(AC1668)+$AB1669</f>
        <v>19</v>
      </c>
      <c r="AD1669" s="1" t="n">
        <f aca="false">IF(AND($M1669=1,LEFT(对接源_02物料!$D469,4)="成品出库"),1,0)</f>
        <v>0</v>
      </c>
      <c r="AE1669" s="1" t="n">
        <f aca="false">N(AE1668)+$AD1669</f>
        <v>38</v>
      </c>
      <c r="AF1669" s="1" t="n">
        <f aca="false">IF(AND($N1669=1,AND(LEFT(对接源_02物料!$D469,4)="包装物料",N(对接源_02物料!$K469)&lt;&gt;0)),1,0)</f>
        <v>0</v>
      </c>
      <c r="AG1669" s="1" t="n">
        <f aca="false">N(AG1668)+$AF1669</f>
        <v>6</v>
      </c>
      <c r="AH1669" s="1" t="n">
        <f aca="false">IF(AND($N1669=1,AND(LEFT(对接源_02物料!$D469,3)="周转筐",N(对接源_02物料!$K469)&lt;&gt;0)),1,0)</f>
        <v>0</v>
      </c>
      <c r="AI1669" s="1" t="n">
        <f aca="false">N(AI1668)+$AH1669</f>
        <v>0</v>
      </c>
      <c r="AJ1669" s="1" t="n">
        <v>0</v>
      </c>
      <c r="AK1669" s="1" t="n">
        <f aca="false">N(AK1668)+$AJ1669</f>
        <v>3672</v>
      </c>
    </row>
    <row r="1670" customFormat="false" ht="13.5" hidden="false" customHeight="false" outlineLevel="0" collapsed="false">
      <c r="A1670" s="1" t="str">
        <f aca="false">IF(对接源_02物料!$C470="","",对接源_02物料!$C470)</f>
        <v/>
      </c>
      <c r="B1670" s="1" t="n">
        <f aca="false">IF(A1670="",0,IF(MATCH(A1670,$A$4:$A$2403,0)=ROW()-3,1,0))</f>
        <v>0</v>
      </c>
      <c r="C1670" s="1" t="n">
        <f aca="false">N(C1669)+B1670</f>
        <v>17</v>
      </c>
      <c r="K1670" s="1" t="n">
        <f aca="false">IF(OR($K$1="",对接源_02物料!$C470="",对接源_02物料!$C470&lt;&gt;$K$1,对接源_02物料!$B470=""),0,IF(OR(N(对接源_02物料!$B470)&lt;$K$2,N(对接源_02物料!$B470)&gt;$K$3),0,1))</f>
        <v>0</v>
      </c>
      <c r="L1670" s="1" t="n">
        <f aca="false">IF(OR($L$1="",对接源_02物料!$C470="",对接源_02物料!$C470&lt;&gt;$L$1,对接源_02物料!$B470=""),0,IF(OR(N(对接源_02物料!$B470)&lt;$L$2,N(对接源_02物料!$B470)&gt;$L$3),0,1))</f>
        <v>0</v>
      </c>
      <c r="M1670" s="1" t="n">
        <f aca="false">IF(OR($M$1="",对接源_02物料!$C470="",对接源_02物料!$C470&lt;&gt;$M$1,对接源_02物料!$B470=""),0,IF(OR(N(对接源_02物料!$B470)&lt;$M$2,N(对接源_02物料!$B470)&gt;$M$3),0,1))</f>
        <v>0</v>
      </c>
      <c r="N1670" s="1" t="n">
        <f aca="false">IF(OR($N$1="",对接源_02物料!$C470="",对接源_02物料!$C470&lt;&gt;$N$1,对接源_02物料!$B470=""),0,IF(OR(N(对接源_02物料!$B470)&lt;$N$2,N(对接源_02物料!$B470)&gt;$N$3),0,1))</f>
        <v>0</v>
      </c>
      <c r="P1670" s="1" t="n">
        <f aca="false">IF(AND($K1670=1,AND(对接源_02物料!$X470="公司筐",N(对接源_02物料!$T470)&lt;&gt;0)),1,0)</f>
        <v>0</v>
      </c>
      <c r="Q1670" s="1" t="n">
        <f aca="false">N(Q1669)+$P1670</f>
        <v>13</v>
      </c>
      <c r="R1670" s="1" t="n">
        <f aca="false">IF(AND($K1670=1,AND(对接源_02物料!$X470="公司筐",N(对接源_02物料!$U470)&lt;&gt;0)),1,0)</f>
        <v>0</v>
      </c>
      <c r="S1670" s="1" t="n">
        <f aca="false">N(S1669)+$R1670</f>
        <v>5</v>
      </c>
      <c r="T1670" s="1" t="n">
        <f aca="false">IF(AND($K1670=1,AND(对接源_02物料!$X470="公司筐",N(对接源_02物料!$V470)&lt;&gt;0)),1,0)</f>
        <v>0</v>
      </c>
      <c r="U1670" s="1" t="n">
        <f aca="false">N(U1669)+$T1670</f>
        <v>28</v>
      </c>
      <c r="V1670" s="1" t="n">
        <f aca="false">IF(AND($L1670=1,AND(对接源_02物料!$X470="自备筐",N(对接源_02物料!$V470)&lt;&gt;0)),1,0)</f>
        <v>0</v>
      </c>
      <c r="W1670" s="1" t="n">
        <f aca="false">N(W1669)+$V1670</f>
        <v>7</v>
      </c>
      <c r="X1670" s="1" t="n">
        <f aca="false">IF(AND($L1670=1,AND(对接源_02物料!$X470="自备筐",N(对接源_02物料!$T470)&lt;&gt;0)),1,0)</f>
        <v>0</v>
      </c>
      <c r="Y1670" s="1" t="n">
        <f aca="false">N(Y1669)+$X1670</f>
        <v>0</v>
      </c>
      <c r="Z1670" s="1" t="n">
        <f aca="false">IF(AND($M1670=1,对接源_02物料!$D470="原料入库"),1,0)</f>
        <v>0</v>
      </c>
      <c r="AA1670" s="1" t="n">
        <f aca="false">N(AA1669)+$Z1670</f>
        <v>30</v>
      </c>
      <c r="AB1670" s="1" t="n">
        <f aca="false">IF(AND($M1670=1,LEFT(对接源_02物料!$D470,4)="原料出库"),1,0)</f>
        <v>0</v>
      </c>
      <c r="AC1670" s="1" t="n">
        <f aca="false">N(AC1669)+$AB1670</f>
        <v>19</v>
      </c>
      <c r="AD1670" s="1" t="n">
        <f aca="false">IF(AND($M1670=1,LEFT(对接源_02物料!$D470,4)="成品出库"),1,0)</f>
        <v>0</v>
      </c>
      <c r="AE1670" s="1" t="n">
        <f aca="false">N(AE1669)+$AD1670</f>
        <v>38</v>
      </c>
      <c r="AF1670" s="1" t="n">
        <f aca="false">IF(AND($N1670=1,AND(LEFT(对接源_02物料!$D470,4)="包装物料",N(对接源_02物料!$K470)&lt;&gt;0)),1,0)</f>
        <v>0</v>
      </c>
      <c r="AG1670" s="1" t="n">
        <f aca="false">N(AG1669)+$AF1670</f>
        <v>6</v>
      </c>
      <c r="AH1670" s="1" t="n">
        <f aca="false">IF(AND($N1670=1,AND(LEFT(对接源_02物料!$D470,3)="周转筐",N(对接源_02物料!$K470)&lt;&gt;0)),1,0)</f>
        <v>0</v>
      </c>
      <c r="AI1670" s="1" t="n">
        <f aca="false">N(AI1669)+$AH1670</f>
        <v>0</v>
      </c>
      <c r="AJ1670" s="1" t="n">
        <v>0</v>
      </c>
      <c r="AK1670" s="1" t="n">
        <f aca="false">N(AK1669)+$AJ1670</f>
        <v>3672</v>
      </c>
    </row>
    <row r="1671" customFormat="false" ht="13.5" hidden="false" customHeight="false" outlineLevel="0" collapsed="false">
      <c r="A1671" s="1" t="str">
        <f aca="false">IF(对接源_02物料!$C471="","",对接源_02物料!$C471)</f>
        <v/>
      </c>
      <c r="B1671" s="1" t="n">
        <f aca="false">IF(A1671="",0,IF(MATCH(A1671,$A$4:$A$2403,0)=ROW()-3,1,0))</f>
        <v>0</v>
      </c>
      <c r="C1671" s="1" t="n">
        <f aca="false">N(C1670)+B1671</f>
        <v>17</v>
      </c>
      <c r="K1671" s="1" t="n">
        <f aca="false">IF(OR($K$1="",对接源_02物料!$C471="",对接源_02物料!$C471&lt;&gt;$K$1,对接源_02物料!$B471=""),0,IF(OR(N(对接源_02物料!$B471)&lt;$K$2,N(对接源_02物料!$B471)&gt;$K$3),0,1))</f>
        <v>0</v>
      </c>
      <c r="L1671" s="1" t="n">
        <f aca="false">IF(OR($L$1="",对接源_02物料!$C471="",对接源_02物料!$C471&lt;&gt;$L$1,对接源_02物料!$B471=""),0,IF(OR(N(对接源_02物料!$B471)&lt;$L$2,N(对接源_02物料!$B471)&gt;$L$3),0,1))</f>
        <v>0</v>
      </c>
      <c r="M1671" s="1" t="n">
        <f aca="false">IF(OR($M$1="",对接源_02物料!$C471="",对接源_02物料!$C471&lt;&gt;$M$1,对接源_02物料!$B471=""),0,IF(OR(N(对接源_02物料!$B471)&lt;$M$2,N(对接源_02物料!$B471)&gt;$M$3),0,1))</f>
        <v>0</v>
      </c>
      <c r="N1671" s="1" t="n">
        <f aca="false">IF(OR($N$1="",对接源_02物料!$C471="",对接源_02物料!$C471&lt;&gt;$N$1,对接源_02物料!$B471=""),0,IF(OR(N(对接源_02物料!$B471)&lt;$N$2,N(对接源_02物料!$B471)&gt;$N$3),0,1))</f>
        <v>0</v>
      </c>
      <c r="P1671" s="1" t="n">
        <f aca="false">IF(AND($K1671=1,AND(对接源_02物料!$X471="公司筐",N(对接源_02物料!$T471)&lt;&gt;0)),1,0)</f>
        <v>0</v>
      </c>
      <c r="Q1671" s="1" t="n">
        <f aca="false">N(Q1670)+$P1671</f>
        <v>13</v>
      </c>
      <c r="R1671" s="1" t="n">
        <f aca="false">IF(AND($K1671=1,AND(对接源_02物料!$X471="公司筐",N(对接源_02物料!$U471)&lt;&gt;0)),1,0)</f>
        <v>0</v>
      </c>
      <c r="S1671" s="1" t="n">
        <f aca="false">N(S1670)+$R1671</f>
        <v>5</v>
      </c>
      <c r="T1671" s="1" t="n">
        <f aca="false">IF(AND($K1671=1,AND(对接源_02物料!$X471="公司筐",N(对接源_02物料!$V471)&lt;&gt;0)),1,0)</f>
        <v>0</v>
      </c>
      <c r="U1671" s="1" t="n">
        <f aca="false">N(U1670)+$T1671</f>
        <v>28</v>
      </c>
      <c r="V1671" s="1" t="n">
        <f aca="false">IF(AND($L1671=1,AND(对接源_02物料!$X471="自备筐",N(对接源_02物料!$V471)&lt;&gt;0)),1,0)</f>
        <v>0</v>
      </c>
      <c r="W1671" s="1" t="n">
        <f aca="false">N(W1670)+$V1671</f>
        <v>7</v>
      </c>
      <c r="X1671" s="1" t="n">
        <f aca="false">IF(AND($L1671=1,AND(对接源_02物料!$X471="自备筐",N(对接源_02物料!$T471)&lt;&gt;0)),1,0)</f>
        <v>0</v>
      </c>
      <c r="Y1671" s="1" t="n">
        <f aca="false">N(Y1670)+$X1671</f>
        <v>0</v>
      </c>
      <c r="Z1671" s="1" t="n">
        <f aca="false">IF(AND($M1671=1,对接源_02物料!$D471="原料入库"),1,0)</f>
        <v>0</v>
      </c>
      <c r="AA1671" s="1" t="n">
        <f aca="false">N(AA1670)+$Z1671</f>
        <v>30</v>
      </c>
      <c r="AB1671" s="1" t="n">
        <f aca="false">IF(AND($M1671=1,LEFT(对接源_02物料!$D471,4)="原料出库"),1,0)</f>
        <v>0</v>
      </c>
      <c r="AC1671" s="1" t="n">
        <f aca="false">N(AC1670)+$AB1671</f>
        <v>19</v>
      </c>
      <c r="AD1671" s="1" t="n">
        <f aca="false">IF(AND($M1671=1,LEFT(对接源_02物料!$D471,4)="成品出库"),1,0)</f>
        <v>0</v>
      </c>
      <c r="AE1671" s="1" t="n">
        <f aca="false">N(AE1670)+$AD1671</f>
        <v>38</v>
      </c>
      <c r="AF1671" s="1" t="n">
        <f aca="false">IF(AND($N1671=1,AND(LEFT(对接源_02物料!$D471,4)="包装物料",N(对接源_02物料!$K471)&lt;&gt;0)),1,0)</f>
        <v>0</v>
      </c>
      <c r="AG1671" s="1" t="n">
        <f aca="false">N(AG1670)+$AF1671</f>
        <v>6</v>
      </c>
      <c r="AH1671" s="1" t="n">
        <f aca="false">IF(AND($N1671=1,AND(LEFT(对接源_02物料!$D471,3)="周转筐",N(对接源_02物料!$K471)&lt;&gt;0)),1,0)</f>
        <v>0</v>
      </c>
      <c r="AI1671" s="1" t="n">
        <f aca="false">N(AI1670)+$AH1671</f>
        <v>0</v>
      </c>
      <c r="AJ1671" s="1" t="n">
        <v>0</v>
      </c>
      <c r="AK1671" s="1" t="n">
        <f aca="false">N(AK1670)+$AJ1671</f>
        <v>3672</v>
      </c>
    </row>
    <row r="1672" customFormat="false" ht="13.5" hidden="false" customHeight="false" outlineLevel="0" collapsed="false">
      <c r="A1672" s="1" t="str">
        <f aca="false">IF(对接源_02物料!$C472="","",对接源_02物料!$C472)</f>
        <v/>
      </c>
      <c r="B1672" s="1" t="n">
        <f aca="false">IF(A1672="",0,IF(MATCH(A1672,$A$4:$A$2403,0)=ROW()-3,1,0))</f>
        <v>0</v>
      </c>
      <c r="C1672" s="1" t="n">
        <f aca="false">N(C1671)+B1672</f>
        <v>17</v>
      </c>
      <c r="K1672" s="1" t="n">
        <f aca="false">IF(OR($K$1="",对接源_02物料!$C472="",对接源_02物料!$C472&lt;&gt;$K$1,对接源_02物料!$B472=""),0,IF(OR(N(对接源_02物料!$B472)&lt;$K$2,N(对接源_02物料!$B472)&gt;$K$3),0,1))</f>
        <v>0</v>
      </c>
      <c r="L1672" s="1" t="n">
        <f aca="false">IF(OR($L$1="",对接源_02物料!$C472="",对接源_02物料!$C472&lt;&gt;$L$1,对接源_02物料!$B472=""),0,IF(OR(N(对接源_02物料!$B472)&lt;$L$2,N(对接源_02物料!$B472)&gt;$L$3),0,1))</f>
        <v>0</v>
      </c>
      <c r="M1672" s="1" t="n">
        <f aca="false">IF(OR($M$1="",对接源_02物料!$C472="",对接源_02物料!$C472&lt;&gt;$M$1,对接源_02物料!$B472=""),0,IF(OR(N(对接源_02物料!$B472)&lt;$M$2,N(对接源_02物料!$B472)&gt;$M$3),0,1))</f>
        <v>0</v>
      </c>
      <c r="N1672" s="1" t="n">
        <f aca="false">IF(OR($N$1="",对接源_02物料!$C472="",对接源_02物料!$C472&lt;&gt;$N$1,对接源_02物料!$B472=""),0,IF(OR(N(对接源_02物料!$B472)&lt;$N$2,N(对接源_02物料!$B472)&gt;$N$3),0,1))</f>
        <v>0</v>
      </c>
      <c r="P1672" s="1" t="n">
        <f aca="false">IF(AND($K1672=1,AND(对接源_02物料!$X472="公司筐",N(对接源_02物料!$T472)&lt;&gt;0)),1,0)</f>
        <v>0</v>
      </c>
      <c r="Q1672" s="1" t="n">
        <f aca="false">N(Q1671)+$P1672</f>
        <v>13</v>
      </c>
      <c r="R1672" s="1" t="n">
        <f aca="false">IF(AND($K1672=1,AND(对接源_02物料!$X472="公司筐",N(对接源_02物料!$U472)&lt;&gt;0)),1,0)</f>
        <v>0</v>
      </c>
      <c r="S1672" s="1" t="n">
        <f aca="false">N(S1671)+$R1672</f>
        <v>5</v>
      </c>
      <c r="T1672" s="1" t="n">
        <f aca="false">IF(AND($K1672=1,AND(对接源_02物料!$X472="公司筐",N(对接源_02物料!$V472)&lt;&gt;0)),1,0)</f>
        <v>0</v>
      </c>
      <c r="U1672" s="1" t="n">
        <f aca="false">N(U1671)+$T1672</f>
        <v>28</v>
      </c>
      <c r="V1672" s="1" t="n">
        <f aca="false">IF(AND($L1672=1,AND(对接源_02物料!$X472="自备筐",N(对接源_02物料!$V472)&lt;&gt;0)),1,0)</f>
        <v>0</v>
      </c>
      <c r="W1672" s="1" t="n">
        <f aca="false">N(W1671)+$V1672</f>
        <v>7</v>
      </c>
      <c r="X1672" s="1" t="n">
        <f aca="false">IF(AND($L1672=1,AND(对接源_02物料!$X472="自备筐",N(对接源_02物料!$T472)&lt;&gt;0)),1,0)</f>
        <v>0</v>
      </c>
      <c r="Y1672" s="1" t="n">
        <f aca="false">N(Y1671)+$X1672</f>
        <v>0</v>
      </c>
      <c r="Z1672" s="1" t="n">
        <f aca="false">IF(AND($M1672=1,对接源_02物料!$D472="原料入库"),1,0)</f>
        <v>0</v>
      </c>
      <c r="AA1672" s="1" t="n">
        <f aca="false">N(AA1671)+$Z1672</f>
        <v>30</v>
      </c>
      <c r="AB1672" s="1" t="n">
        <f aca="false">IF(AND($M1672=1,LEFT(对接源_02物料!$D472,4)="原料出库"),1,0)</f>
        <v>0</v>
      </c>
      <c r="AC1672" s="1" t="n">
        <f aca="false">N(AC1671)+$AB1672</f>
        <v>19</v>
      </c>
      <c r="AD1672" s="1" t="n">
        <f aca="false">IF(AND($M1672=1,LEFT(对接源_02物料!$D472,4)="成品出库"),1,0)</f>
        <v>0</v>
      </c>
      <c r="AE1672" s="1" t="n">
        <f aca="false">N(AE1671)+$AD1672</f>
        <v>38</v>
      </c>
      <c r="AF1672" s="1" t="n">
        <f aca="false">IF(AND($N1672=1,AND(LEFT(对接源_02物料!$D472,4)="包装物料",N(对接源_02物料!$K472)&lt;&gt;0)),1,0)</f>
        <v>0</v>
      </c>
      <c r="AG1672" s="1" t="n">
        <f aca="false">N(AG1671)+$AF1672</f>
        <v>6</v>
      </c>
      <c r="AH1672" s="1" t="n">
        <f aca="false">IF(AND($N1672=1,AND(LEFT(对接源_02物料!$D472,3)="周转筐",N(对接源_02物料!$K472)&lt;&gt;0)),1,0)</f>
        <v>0</v>
      </c>
      <c r="AI1672" s="1" t="n">
        <f aca="false">N(AI1671)+$AH1672</f>
        <v>0</v>
      </c>
      <c r="AJ1672" s="1" t="n">
        <v>0</v>
      </c>
      <c r="AK1672" s="1" t="n">
        <f aca="false">N(AK1671)+$AJ1672</f>
        <v>3672</v>
      </c>
    </row>
    <row r="1673" customFormat="false" ht="13.5" hidden="false" customHeight="false" outlineLevel="0" collapsed="false">
      <c r="A1673" s="1" t="str">
        <f aca="false">IF(对接源_02物料!$C473="","",对接源_02物料!$C473)</f>
        <v/>
      </c>
      <c r="B1673" s="1" t="n">
        <f aca="false">IF(A1673="",0,IF(MATCH(A1673,$A$4:$A$2403,0)=ROW()-3,1,0))</f>
        <v>0</v>
      </c>
      <c r="C1673" s="1" t="n">
        <f aca="false">N(C1672)+B1673</f>
        <v>17</v>
      </c>
      <c r="K1673" s="1" t="n">
        <f aca="false">IF(OR($K$1="",对接源_02物料!$C473="",对接源_02物料!$C473&lt;&gt;$K$1,对接源_02物料!$B473=""),0,IF(OR(N(对接源_02物料!$B473)&lt;$K$2,N(对接源_02物料!$B473)&gt;$K$3),0,1))</f>
        <v>0</v>
      </c>
      <c r="L1673" s="1" t="n">
        <f aca="false">IF(OR($L$1="",对接源_02物料!$C473="",对接源_02物料!$C473&lt;&gt;$L$1,对接源_02物料!$B473=""),0,IF(OR(N(对接源_02物料!$B473)&lt;$L$2,N(对接源_02物料!$B473)&gt;$L$3),0,1))</f>
        <v>0</v>
      </c>
      <c r="M1673" s="1" t="n">
        <f aca="false">IF(OR($M$1="",对接源_02物料!$C473="",对接源_02物料!$C473&lt;&gt;$M$1,对接源_02物料!$B473=""),0,IF(OR(N(对接源_02物料!$B473)&lt;$M$2,N(对接源_02物料!$B473)&gt;$M$3),0,1))</f>
        <v>0</v>
      </c>
      <c r="N1673" s="1" t="n">
        <f aca="false">IF(OR($N$1="",对接源_02物料!$C473="",对接源_02物料!$C473&lt;&gt;$N$1,对接源_02物料!$B473=""),0,IF(OR(N(对接源_02物料!$B473)&lt;$N$2,N(对接源_02物料!$B473)&gt;$N$3),0,1))</f>
        <v>0</v>
      </c>
      <c r="P1673" s="1" t="n">
        <f aca="false">IF(AND($K1673=1,AND(对接源_02物料!$X473="公司筐",N(对接源_02物料!$T473)&lt;&gt;0)),1,0)</f>
        <v>0</v>
      </c>
      <c r="Q1673" s="1" t="n">
        <f aca="false">N(Q1672)+$P1673</f>
        <v>13</v>
      </c>
      <c r="R1673" s="1" t="n">
        <f aca="false">IF(AND($K1673=1,AND(对接源_02物料!$X473="公司筐",N(对接源_02物料!$U473)&lt;&gt;0)),1,0)</f>
        <v>0</v>
      </c>
      <c r="S1673" s="1" t="n">
        <f aca="false">N(S1672)+$R1673</f>
        <v>5</v>
      </c>
      <c r="T1673" s="1" t="n">
        <f aca="false">IF(AND($K1673=1,AND(对接源_02物料!$X473="公司筐",N(对接源_02物料!$V473)&lt;&gt;0)),1,0)</f>
        <v>0</v>
      </c>
      <c r="U1673" s="1" t="n">
        <f aca="false">N(U1672)+$T1673</f>
        <v>28</v>
      </c>
      <c r="V1673" s="1" t="n">
        <f aca="false">IF(AND($L1673=1,AND(对接源_02物料!$X473="自备筐",N(对接源_02物料!$V473)&lt;&gt;0)),1,0)</f>
        <v>0</v>
      </c>
      <c r="W1673" s="1" t="n">
        <f aca="false">N(W1672)+$V1673</f>
        <v>7</v>
      </c>
      <c r="X1673" s="1" t="n">
        <f aca="false">IF(AND($L1673=1,AND(对接源_02物料!$X473="自备筐",N(对接源_02物料!$T473)&lt;&gt;0)),1,0)</f>
        <v>0</v>
      </c>
      <c r="Y1673" s="1" t="n">
        <f aca="false">N(Y1672)+$X1673</f>
        <v>0</v>
      </c>
      <c r="Z1673" s="1" t="n">
        <f aca="false">IF(AND($M1673=1,对接源_02物料!$D473="原料入库"),1,0)</f>
        <v>0</v>
      </c>
      <c r="AA1673" s="1" t="n">
        <f aca="false">N(AA1672)+$Z1673</f>
        <v>30</v>
      </c>
      <c r="AB1673" s="1" t="n">
        <f aca="false">IF(AND($M1673=1,LEFT(对接源_02物料!$D473,4)="原料出库"),1,0)</f>
        <v>0</v>
      </c>
      <c r="AC1673" s="1" t="n">
        <f aca="false">N(AC1672)+$AB1673</f>
        <v>19</v>
      </c>
      <c r="AD1673" s="1" t="n">
        <f aca="false">IF(AND($M1673=1,LEFT(对接源_02物料!$D473,4)="成品出库"),1,0)</f>
        <v>0</v>
      </c>
      <c r="AE1673" s="1" t="n">
        <f aca="false">N(AE1672)+$AD1673</f>
        <v>38</v>
      </c>
      <c r="AF1673" s="1" t="n">
        <f aca="false">IF(AND($N1673=1,AND(LEFT(对接源_02物料!$D473,4)="包装物料",N(对接源_02物料!$K473)&lt;&gt;0)),1,0)</f>
        <v>0</v>
      </c>
      <c r="AG1673" s="1" t="n">
        <f aca="false">N(AG1672)+$AF1673</f>
        <v>6</v>
      </c>
      <c r="AH1673" s="1" t="n">
        <f aca="false">IF(AND($N1673=1,AND(LEFT(对接源_02物料!$D473,3)="周转筐",N(对接源_02物料!$K473)&lt;&gt;0)),1,0)</f>
        <v>0</v>
      </c>
      <c r="AI1673" s="1" t="n">
        <f aca="false">N(AI1672)+$AH1673</f>
        <v>0</v>
      </c>
      <c r="AJ1673" s="1" t="n">
        <v>0</v>
      </c>
      <c r="AK1673" s="1" t="n">
        <f aca="false">N(AK1672)+$AJ1673</f>
        <v>3672</v>
      </c>
    </row>
    <row r="1674" customFormat="false" ht="13.5" hidden="false" customHeight="false" outlineLevel="0" collapsed="false">
      <c r="A1674" s="1" t="str">
        <f aca="false">IF(对接源_02物料!$C474="","",对接源_02物料!$C474)</f>
        <v/>
      </c>
      <c r="B1674" s="1" t="n">
        <f aca="false">IF(A1674="",0,IF(MATCH(A1674,$A$4:$A$2403,0)=ROW()-3,1,0))</f>
        <v>0</v>
      </c>
      <c r="C1674" s="1" t="n">
        <f aca="false">N(C1673)+B1674</f>
        <v>17</v>
      </c>
      <c r="K1674" s="1" t="n">
        <f aca="false">IF(OR($K$1="",对接源_02物料!$C474="",对接源_02物料!$C474&lt;&gt;$K$1,对接源_02物料!$B474=""),0,IF(OR(N(对接源_02物料!$B474)&lt;$K$2,N(对接源_02物料!$B474)&gt;$K$3),0,1))</f>
        <v>0</v>
      </c>
      <c r="L1674" s="1" t="n">
        <f aca="false">IF(OR($L$1="",对接源_02物料!$C474="",对接源_02物料!$C474&lt;&gt;$L$1,对接源_02物料!$B474=""),0,IF(OR(N(对接源_02物料!$B474)&lt;$L$2,N(对接源_02物料!$B474)&gt;$L$3),0,1))</f>
        <v>0</v>
      </c>
      <c r="M1674" s="1" t="n">
        <f aca="false">IF(OR($M$1="",对接源_02物料!$C474="",对接源_02物料!$C474&lt;&gt;$M$1,对接源_02物料!$B474=""),0,IF(OR(N(对接源_02物料!$B474)&lt;$M$2,N(对接源_02物料!$B474)&gt;$M$3),0,1))</f>
        <v>0</v>
      </c>
      <c r="N1674" s="1" t="n">
        <f aca="false">IF(OR($N$1="",对接源_02物料!$C474="",对接源_02物料!$C474&lt;&gt;$N$1,对接源_02物料!$B474=""),0,IF(OR(N(对接源_02物料!$B474)&lt;$N$2,N(对接源_02物料!$B474)&gt;$N$3),0,1))</f>
        <v>0</v>
      </c>
      <c r="P1674" s="1" t="n">
        <f aca="false">IF(AND($K1674=1,AND(对接源_02物料!$X474="公司筐",N(对接源_02物料!$T474)&lt;&gt;0)),1,0)</f>
        <v>0</v>
      </c>
      <c r="Q1674" s="1" t="n">
        <f aca="false">N(Q1673)+$P1674</f>
        <v>13</v>
      </c>
      <c r="R1674" s="1" t="n">
        <f aca="false">IF(AND($K1674=1,AND(对接源_02物料!$X474="公司筐",N(对接源_02物料!$U474)&lt;&gt;0)),1,0)</f>
        <v>0</v>
      </c>
      <c r="S1674" s="1" t="n">
        <f aca="false">N(S1673)+$R1674</f>
        <v>5</v>
      </c>
      <c r="T1674" s="1" t="n">
        <f aca="false">IF(AND($K1674=1,AND(对接源_02物料!$X474="公司筐",N(对接源_02物料!$V474)&lt;&gt;0)),1,0)</f>
        <v>0</v>
      </c>
      <c r="U1674" s="1" t="n">
        <f aca="false">N(U1673)+$T1674</f>
        <v>28</v>
      </c>
      <c r="V1674" s="1" t="n">
        <f aca="false">IF(AND($L1674=1,AND(对接源_02物料!$X474="自备筐",N(对接源_02物料!$V474)&lt;&gt;0)),1,0)</f>
        <v>0</v>
      </c>
      <c r="W1674" s="1" t="n">
        <f aca="false">N(W1673)+$V1674</f>
        <v>7</v>
      </c>
      <c r="X1674" s="1" t="n">
        <f aca="false">IF(AND($L1674=1,AND(对接源_02物料!$X474="自备筐",N(对接源_02物料!$T474)&lt;&gt;0)),1,0)</f>
        <v>0</v>
      </c>
      <c r="Y1674" s="1" t="n">
        <f aca="false">N(Y1673)+$X1674</f>
        <v>0</v>
      </c>
      <c r="Z1674" s="1" t="n">
        <f aca="false">IF(AND($M1674=1,对接源_02物料!$D474="原料入库"),1,0)</f>
        <v>0</v>
      </c>
      <c r="AA1674" s="1" t="n">
        <f aca="false">N(AA1673)+$Z1674</f>
        <v>30</v>
      </c>
      <c r="AB1674" s="1" t="n">
        <f aca="false">IF(AND($M1674=1,LEFT(对接源_02物料!$D474,4)="原料出库"),1,0)</f>
        <v>0</v>
      </c>
      <c r="AC1674" s="1" t="n">
        <f aca="false">N(AC1673)+$AB1674</f>
        <v>19</v>
      </c>
      <c r="AD1674" s="1" t="n">
        <f aca="false">IF(AND($M1674=1,LEFT(对接源_02物料!$D474,4)="成品出库"),1,0)</f>
        <v>0</v>
      </c>
      <c r="AE1674" s="1" t="n">
        <f aca="false">N(AE1673)+$AD1674</f>
        <v>38</v>
      </c>
      <c r="AF1674" s="1" t="n">
        <f aca="false">IF(AND($N1674=1,AND(LEFT(对接源_02物料!$D474,4)="包装物料",N(对接源_02物料!$K474)&lt;&gt;0)),1,0)</f>
        <v>0</v>
      </c>
      <c r="AG1674" s="1" t="n">
        <f aca="false">N(AG1673)+$AF1674</f>
        <v>6</v>
      </c>
      <c r="AH1674" s="1" t="n">
        <f aca="false">IF(AND($N1674=1,AND(LEFT(对接源_02物料!$D474,3)="周转筐",N(对接源_02物料!$K474)&lt;&gt;0)),1,0)</f>
        <v>0</v>
      </c>
      <c r="AI1674" s="1" t="n">
        <f aca="false">N(AI1673)+$AH1674</f>
        <v>0</v>
      </c>
      <c r="AJ1674" s="1" t="n">
        <v>0</v>
      </c>
      <c r="AK1674" s="1" t="n">
        <f aca="false">N(AK1673)+$AJ1674</f>
        <v>3672</v>
      </c>
    </row>
    <row r="1675" customFormat="false" ht="13.5" hidden="false" customHeight="false" outlineLevel="0" collapsed="false">
      <c r="A1675" s="1" t="str">
        <f aca="false">IF(对接源_02物料!$C475="","",对接源_02物料!$C475)</f>
        <v/>
      </c>
      <c r="B1675" s="1" t="n">
        <f aca="false">IF(A1675="",0,IF(MATCH(A1675,$A$4:$A$2403,0)=ROW()-3,1,0))</f>
        <v>0</v>
      </c>
      <c r="C1675" s="1" t="n">
        <f aca="false">N(C1674)+B1675</f>
        <v>17</v>
      </c>
      <c r="K1675" s="1" t="n">
        <f aca="false">IF(OR($K$1="",对接源_02物料!$C475="",对接源_02物料!$C475&lt;&gt;$K$1,对接源_02物料!$B475=""),0,IF(OR(N(对接源_02物料!$B475)&lt;$K$2,N(对接源_02物料!$B475)&gt;$K$3),0,1))</f>
        <v>0</v>
      </c>
      <c r="L1675" s="1" t="n">
        <f aca="false">IF(OR($L$1="",对接源_02物料!$C475="",对接源_02物料!$C475&lt;&gt;$L$1,对接源_02物料!$B475=""),0,IF(OR(N(对接源_02物料!$B475)&lt;$L$2,N(对接源_02物料!$B475)&gt;$L$3),0,1))</f>
        <v>0</v>
      </c>
      <c r="M1675" s="1" t="n">
        <f aca="false">IF(OR($M$1="",对接源_02物料!$C475="",对接源_02物料!$C475&lt;&gt;$M$1,对接源_02物料!$B475=""),0,IF(OR(N(对接源_02物料!$B475)&lt;$M$2,N(对接源_02物料!$B475)&gt;$M$3),0,1))</f>
        <v>0</v>
      </c>
      <c r="N1675" s="1" t="n">
        <f aca="false">IF(OR($N$1="",对接源_02物料!$C475="",对接源_02物料!$C475&lt;&gt;$N$1,对接源_02物料!$B475=""),0,IF(OR(N(对接源_02物料!$B475)&lt;$N$2,N(对接源_02物料!$B475)&gt;$N$3),0,1))</f>
        <v>0</v>
      </c>
      <c r="P1675" s="1" t="n">
        <f aca="false">IF(AND($K1675=1,AND(对接源_02物料!$X475="公司筐",N(对接源_02物料!$T475)&lt;&gt;0)),1,0)</f>
        <v>0</v>
      </c>
      <c r="Q1675" s="1" t="n">
        <f aca="false">N(Q1674)+$P1675</f>
        <v>13</v>
      </c>
      <c r="R1675" s="1" t="n">
        <f aca="false">IF(AND($K1675=1,AND(对接源_02物料!$X475="公司筐",N(对接源_02物料!$U475)&lt;&gt;0)),1,0)</f>
        <v>0</v>
      </c>
      <c r="S1675" s="1" t="n">
        <f aca="false">N(S1674)+$R1675</f>
        <v>5</v>
      </c>
      <c r="T1675" s="1" t="n">
        <f aca="false">IF(AND($K1675=1,AND(对接源_02物料!$X475="公司筐",N(对接源_02物料!$V475)&lt;&gt;0)),1,0)</f>
        <v>0</v>
      </c>
      <c r="U1675" s="1" t="n">
        <f aca="false">N(U1674)+$T1675</f>
        <v>28</v>
      </c>
      <c r="V1675" s="1" t="n">
        <f aca="false">IF(AND($L1675=1,AND(对接源_02物料!$X475="自备筐",N(对接源_02物料!$V475)&lt;&gt;0)),1,0)</f>
        <v>0</v>
      </c>
      <c r="W1675" s="1" t="n">
        <f aca="false">N(W1674)+$V1675</f>
        <v>7</v>
      </c>
      <c r="X1675" s="1" t="n">
        <f aca="false">IF(AND($L1675=1,AND(对接源_02物料!$X475="自备筐",N(对接源_02物料!$T475)&lt;&gt;0)),1,0)</f>
        <v>0</v>
      </c>
      <c r="Y1675" s="1" t="n">
        <f aca="false">N(Y1674)+$X1675</f>
        <v>0</v>
      </c>
      <c r="Z1675" s="1" t="n">
        <f aca="false">IF(AND($M1675=1,对接源_02物料!$D475="原料入库"),1,0)</f>
        <v>0</v>
      </c>
      <c r="AA1675" s="1" t="n">
        <f aca="false">N(AA1674)+$Z1675</f>
        <v>30</v>
      </c>
      <c r="AB1675" s="1" t="n">
        <f aca="false">IF(AND($M1675=1,LEFT(对接源_02物料!$D475,4)="原料出库"),1,0)</f>
        <v>0</v>
      </c>
      <c r="AC1675" s="1" t="n">
        <f aca="false">N(AC1674)+$AB1675</f>
        <v>19</v>
      </c>
      <c r="AD1675" s="1" t="n">
        <f aca="false">IF(AND($M1675=1,LEFT(对接源_02物料!$D475,4)="成品出库"),1,0)</f>
        <v>0</v>
      </c>
      <c r="AE1675" s="1" t="n">
        <f aca="false">N(AE1674)+$AD1675</f>
        <v>38</v>
      </c>
      <c r="AF1675" s="1" t="n">
        <f aca="false">IF(AND($N1675=1,AND(LEFT(对接源_02物料!$D475,4)="包装物料",N(对接源_02物料!$K475)&lt;&gt;0)),1,0)</f>
        <v>0</v>
      </c>
      <c r="AG1675" s="1" t="n">
        <f aca="false">N(AG1674)+$AF1675</f>
        <v>6</v>
      </c>
      <c r="AH1675" s="1" t="n">
        <f aca="false">IF(AND($N1675=1,AND(LEFT(对接源_02物料!$D475,3)="周转筐",N(对接源_02物料!$K475)&lt;&gt;0)),1,0)</f>
        <v>0</v>
      </c>
      <c r="AI1675" s="1" t="n">
        <f aca="false">N(AI1674)+$AH1675</f>
        <v>0</v>
      </c>
      <c r="AJ1675" s="1" t="n">
        <v>0</v>
      </c>
      <c r="AK1675" s="1" t="n">
        <f aca="false">N(AK1674)+$AJ1675</f>
        <v>3672</v>
      </c>
    </row>
    <row r="1676" customFormat="false" ht="13.5" hidden="false" customHeight="false" outlineLevel="0" collapsed="false">
      <c r="A1676" s="1" t="str">
        <f aca="false">IF(对接源_02物料!$C476="","",对接源_02物料!$C476)</f>
        <v/>
      </c>
      <c r="B1676" s="1" t="n">
        <f aca="false">IF(A1676="",0,IF(MATCH(A1676,$A$4:$A$2403,0)=ROW()-3,1,0))</f>
        <v>0</v>
      </c>
      <c r="C1676" s="1" t="n">
        <f aca="false">N(C1675)+B1676</f>
        <v>17</v>
      </c>
      <c r="K1676" s="1" t="n">
        <f aca="false">IF(OR($K$1="",对接源_02物料!$C476="",对接源_02物料!$C476&lt;&gt;$K$1,对接源_02物料!$B476=""),0,IF(OR(N(对接源_02物料!$B476)&lt;$K$2,N(对接源_02物料!$B476)&gt;$K$3),0,1))</f>
        <v>0</v>
      </c>
      <c r="L1676" s="1" t="n">
        <f aca="false">IF(OR($L$1="",对接源_02物料!$C476="",对接源_02物料!$C476&lt;&gt;$L$1,对接源_02物料!$B476=""),0,IF(OR(N(对接源_02物料!$B476)&lt;$L$2,N(对接源_02物料!$B476)&gt;$L$3),0,1))</f>
        <v>0</v>
      </c>
      <c r="M1676" s="1" t="n">
        <f aca="false">IF(OR($M$1="",对接源_02物料!$C476="",对接源_02物料!$C476&lt;&gt;$M$1,对接源_02物料!$B476=""),0,IF(OR(N(对接源_02物料!$B476)&lt;$M$2,N(对接源_02物料!$B476)&gt;$M$3),0,1))</f>
        <v>0</v>
      </c>
      <c r="N1676" s="1" t="n">
        <f aca="false">IF(OR($N$1="",对接源_02物料!$C476="",对接源_02物料!$C476&lt;&gt;$N$1,对接源_02物料!$B476=""),0,IF(OR(N(对接源_02物料!$B476)&lt;$N$2,N(对接源_02物料!$B476)&gt;$N$3),0,1))</f>
        <v>0</v>
      </c>
      <c r="P1676" s="1" t="n">
        <f aca="false">IF(AND($K1676=1,AND(对接源_02物料!$X476="公司筐",N(对接源_02物料!$T476)&lt;&gt;0)),1,0)</f>
        <v>0</v>
      </c>
      <c r="Q1676" s="1" t="n">
        <f aca="false">N(Q1675)+$P1676</f>
        <v>13</v>
      </c>
      <c r="R1676" s="1" t="n">
        <f aca="false">IF(AND($K1676=1,AND(对接源_02物料!$X476="公司筐",N(对接源_02物料!$U476)&lt;&gt;0)),1,0)</f>
        <v>0</v>
      </c>
      <c r="S1676" s="1" t="n">
        <f aca="false">N(S1675)+$R1676</f>
        <v>5</v>
      </c>
      <c r="T1676" s="1" t="n">
        <f aca="false">IF(AND($K1676=1,AND(对接源_02物料!$X476="公司筐",N(对接源_02物料!$V476)&lt;&gt;0)),1,0)</f>
        <v>0</v>
      </c>
      <c r="U1676" s="1" t="n">
        <f aca="false">N(U1675)+$T1676</f>
        <v>28</v>
      </c>
      <c r="V1676" s="1" t="n">
        <f aca="false">IF(AND($L1676=1,AND(对接源_02物料!$X476="自备筐",N(对接源_02物料!$V476)&lt;&gt;0)),1,0)</f>
        <v>0</v>
      </c>
      <c r="W1676" s="1" t="n">
        <f aca="false">N(W1675)+$V1676</f>
        <v>7</v>
      </c>
      <c r="X1676" s="1" t="n">
        <f aca="false">IF(AND($L1676=1,AND(对接源_02物料!$X476="自备筐",N(对接源_02物料!$T476)&lt;&gt;0)),1,0)</f>
        <v>0</v>
      </c>
      <c r="Y1676" s="1" t="n">
        <f aca="false">N(Y1675)+$X1676</f>
        <v>0</v>
      </c>
      <c r="Z1676" s="1" t="n">
        <f aca="false">IF(AND($M1676=1,对接源_02物料!$D476="原料入库"),1,0)</f>
        <v>0</v>
      </c>
      <c r="AA1676" s="1" t="n">
        <f aca="false">N(AA1675)+$Z1676</f>
        <v>30</v>
      </c>
      <c r="AB1676" s="1" t="n">
        <f aca="false">IF(AND($M1676=1,LEFT(对接源_02物料!$D476,4)="原料出库"),1,0)</f>
        <v>0</v>
      </c>
      <c r="AC1676" s="1" t="n">
        <f aca="false">N(AC1675)+$AB1676</f>
        <v>19</v>
      </c>
      <c r="AD1676" s="1" t="n">
        <f aca="false">IF(AND($M1676=1,LEFT(对接源_02物料!$D476,4)="成品出库"),1,0)</f>
        <v>0</v>
      </c>
      <c r="AE1676" s="1" t="n">
        <f aca="false">N(AE1675)+$AD1676</f>
        <v>38</v>
      </c>
      <c r="AF1676" s="1" t="n">
        <f aca="false">IF(AND($N1676=1,AND(LEFT(对接源_02物料!$D476,4)="包装物料",N(对接源_02物料!$K476)&lt;&gt;0)),1,0)</f>
        <v>0</v>
      </c>
      <c r="AG1676" s="1" t="n">
        <f aca="false">N(AG1675)+$AF1676</f>
        <v>6</v>
      </c>
      <c r="AH1676" s="1" t="n">
        <f aca="false">IF(AND($N1676=1,AND(LEFT(对接源_02物料!$D476,3)="周转筐",N(对接源_02物料!$K476)&lt;&gt;0)),1,0)</f>
        <v>0</v>
      </c>
      <c r="AI1676" s="1" t="n">
        <f aca="false">N(AI1675)+$AH1676</f>
        <v>0</v>
      </c>
      <c r="AJ1676" s="1" t="n">
        <v>0</v>
      </c>
      <c r="AK1676" s="1" t="n">
        <f aca="false">N(AK1675)+$AJ1676</f>
        <v>3672</v>
      </c>
    </row>
    <row r="1677" customFormat="false" ht="13.5" hidden="false" customHeight="false" outlineLevel="0" collapsed="false">
      <c r="A1677" s="1" t="str">
        <f aca="false">IF(对接源_02物料!$C477="","",对接源_02物料!$C477)</f>
        <v/>
      </c>
      <c r="B1677" s="1" t="n">
        <f aca="false">IF(A1677="",0,IF(MATCH(A1677,$A$4:$A$2403,0)=ROW()-3,1,0))</f>
        <v>0</v>
      </c>
      <c r="C1677" s="1" t="n">
        <f aca="false">N(C1676)+B1677</f>
        <v>17</v>
      </c>
      <c r="K1677" s="1" t="n">
        <f aca="false">IF(OR($K$1="",对接源_02物料!$C477="",对接源_02物料!$C477&lt;&gt;$K$1,对接源_02物料!$B477=""),0,IF(OR(N(对接源_02物料!$B477)&lt;$K$2,N(对接源_02物料!$B477)&gt;$K$3),0,1))</f>
        <v>0</v>
      </c>
      <c r="L1677" s="1" t="n">
        <f aca="false">IF(OR($L$1="",对接源_02物料!$C477="",对接源_02物料!$C477&lt;&gt;$L$1,对接源_02物料!$B477=""),0,IF(OR(N(对接源_02物料!$B477)&lt;$L$2,N(对接源_02物料!$B477)&gt;$L$3),0,1))</f>
        <v>0</v>
      </c>
      <c r="M1677" s="1" t="n">
        <f aca="false">IF(OR($M$1="",对接源_02物料!$C477="",对接源_02物料!$C477&lt;&gt;$M$1,对接源_02物料!$B477=""),0,IF(OR(N(对接源_02物料!$B477)&lt;$M$2,N(对接源_02物料!$B477)&gt;$M$3),0,1))</f>
        <v>0</v>
      </c>
      <c r="N1677" s="1" t="n">
        <f aca="false">IF(OR($N$1="",对接源_02物料!$C477="",对接源_02物料!$C477&lt;&gt;$N$1,对接源_02物料!$B477=""),0,IF(OR(N(对接源_02物料!$B477)&lt;$N$2,N(对接源_02物料!$B477)&gt;$N$3),0,1))</f>
        <v>0</v>
      </c>
      <c r="P1677" s="1" t="n">
        <f aca="false">IF(AND($K1677=1,AND(对接源_02物料!$X477="公司筐",N(对接源_02物料!$T477)&lt;&gt;0)),1,0)</f>
        <v>0</v>
      </c>
      <c r="Q1677" s="1" t="n">
        <f aca="false">N(Q1676)+$P1677</f>
        <v>13</v>
      </c>
      <c r="R1677" s="1" t="n">
        <f aca="false">IF(AND($K1677=1,AND(对接源_02物料!$X477="公司筐",N(对接源_02物料!$U477)&lt;&gt;0)),1,0)</f>
        <v>0</v>
      </c>
      <c r="S1677" s="1" t="n">
        <f aca="false">N(S1676)+$R1677</f>
        <v>5</v>
      </c>
      <c r="T1677" s="1" t="n">
        <f aca="false">IF(AND($K1677=1,AND(对接源_02物料!$X477="公司筐",N(对接源_02物料!$V477)&lt;&gt;0)),1,0)</f>
        <v>0</v>
      </c>
      <c r="U1677" s="1" t="n">
        <f aca="false">N(U1676)+$T1677</f>
        <v>28</v>
      </c>
      <c r="V1677" s="1" t="n">
        <f aca="false">IF(AND($L1677=1,AND(对接源_02物料!$X477="自备筐",N(对接源_02物料!$V477)&lt;&gt;0)),1,0)</f>
        <v>0</v>
      </c>
      <c r="W1677" s="1" t="n">
        <f aca="false">N(W1676)+$V1677</f>
        <v>7</v>
      </c>
      <c r="X1677" s="1" t="n">
        <f aca="false">IF(AND($L1677=1,AND(对接源_02物料!$X477="自备筐",N(对接源_02物料!$T477)&lt;&gt;0)),1,0)</f>
        <v>0</v>
      </c>
      <c r="Y1677" s="1" t="n">
        <f aca="false">N(Y1676)+$X1677</f>
        <v>0</v>
      </c>
      <c r="Z1677" s="1" t="n">
        <f aca="false">IF(AND($M1677=1,对接源_02物料!$D477="原料入库"),1,0)</f>
        <v>0</v>
      </c>
      <c r="AA1677" s="1" t="n">
        <f aca="false">N(AA1676)+$Z1677</f>
        <v>30</v>
      </c>
      <c r="AB1677" s="1" t="n">
        <f aca="false">IF(AND($M1677=1,LEFT(对接源_02物料!$D477,4)="原料出库"),1,0)</f>
        <v>0</v>
      </c>
      <c r="AC1677" s="1" t="n">
        <f aca="false">N(AC1676)+$AB1677</f>
        <v>19</v>
      </c>
      <c r="AD1677" s="1" t="n">
        <f aca="false">IF(AND($M1677=1,LEFT(对接源_02物料!$D477,4)="成品出库"),1,0)</f>
        <v>0</v>
      </c>
      <c r="AE1677" s="1" t="n">
        <f aca="false">N(AE1676)+$AD1677</f>
        <v>38</v>
      </c>
      <c r="AF1677" s="1" t="n">
        <f aca="false">IF(AND($N1677=1,AND(LEFT(对接源_02物料!$D477,4)="包装物料",N(对接源_02物料!$K477)&lt;&gt;0)),1,0)</f>
        <v>0</v>
      </c>
      <c r="AG1677" s="1" t="n">
        <f aca="false">N(AG1676)+$AF1677</f>
        <v>6</v>
      </c>
      <c r="AH1677" s="1" t="n">
        <f aca="false">IF(AND($N1677=1,AND(LEFT(对接源_02物料!$D477,3)="周转筐",N(对接源_02物料!$K477)&lt;&gt;0)),1,0)</f>
        <v>0</v>
      </c>
      <c r="AI1677" s="1" t="n">
        <f aca="false">N(AI1676)+$AH1677</f>
        <v>0</v>
      </c>
      <c r="AJ1677" s="1" t="n">
        <v>0</v>
      </c>
      <c r="AK1677" s="1" t="n">
        <f aca="false">N(AK1676)+$AJ1677</f>
        <v>3672</v>
      </c>
    </row>
    <row r="1678" customFormat="false" ht="13.5" hidden="false" customHeight="false" outlineLevel="0" collapsed="false">
      <c r="A1678" s="1" t="str">
        <f aca="false">IF(对接源_02物料!$C478="","",对接源_02物料!$C478)</f>
        <v/>
      </c>
      <c r="B1678" s="1" t="n">
        <f aca="false">IF(A1678="",0,IF(MATCH(A1678,$A$4:$A$2403,0)=ROW()-3,1,0))</f>
        <v>0</v>
      </c>
      <c r="C1678" s="1" t="n">
        <f aca="false">N(C1677)+B1678</f>
        <v>17</v>
      </c>
      <c r="K1678" s="1" t="n">
        <f aca="false">IF(OR($K$1="",对接源_02物料!$C478="",对接源_02物料!$C478&lt;&gt;$K$1,对接源_02物料!$B478=""),0,IF(OR(N(对接源_02物料!$B478)&lt;$K$2,N(对接源_02物料!$B478)&gt;$K$3),0,1))</f>
        <v>0</v>
      </c>
      <c r="L1678" s="1" t="n">
        <f aca="false">IF(OR($L$1="",对接源_02物料!$C478="",对接源_02物料!$C478&lt;&gt;$L$1,对接源_02物料!$B478=""),0,IF(OR(N(对接源_02物料!$B478)&lt;$L$2,N(对接源_02物料!$B478)&gt;$L$3),0,1))</f>
        <v>0</v>
      </c>
      <c r="M1678" s="1" t="n">
        <f aca="false">IF(OR($M$1="",对接源_02物料!$C478="",对接源_02物料!$C478&lt;&gt;$M$1,对接源_02物料!$B478=""),0,IF(OR(N(对接源_02物料!$B478)&lt;$M$2,N(对接源_02物料!$B478)&gt;$M$3),0,1))</f>
        <v>0</v>
      </c>
      <c r="N1678" s="1" t="n">
        <f aca="false">IF(OR($N$1="",对接源_02物料!$C478="",对接源_02物料!$C478&lt;&gt;$N$1,对接源_02物料!$B478=""),0,IF(OR(N(对接源_02物料!$B478)&lt;$N$2,N(对接源_02物料!$B478)&gt;$N$3),0,1))</f>
        <v>0</v>
      </c>
      <c r="P1678" s="1" t="n">
        <f aca="false">IF(AND($K1678=1,AND(对接源_02物料!$X478="公司筐",N(对接源_02物料!$T478)&lt;&gt;0)),1,0)</f>
        <v>0</v>
      </c>
      <c r="Q1678" s="1" t="n">
        <f aca="false">N(Q1677)+$P1678</f>
        <v>13</v>
      </c>
      <c r="R1678" s="1" t="n">
        <f aca="false">IF(AND($K1678=1,AND(对接源_02物料!$X478="公司筐",N(对接源_02物料!$U478)&lt;&gt;0)),1,0)</f>
        <v>0</v>
      </c>
      <c r="S1678" s="1" t="n">
        <f aca="false">N(S1677)+$R1678</f>
        <v>5</v>
      </c>
      <c r="T1678" s="1" t="n">
        <f aca="false">IF(AND($K1678=1,AND(对接源_02物料!$X478="公司筐",N(对接源_02物料!$V478)&lt;&gt;0)),1,0)</f>
        <v>0</v>
      </c>
      <c r="U1678" s="1" t="n">
        <f aca="false">N(U1677)+$T1678</f>
        <v>28</v>
      </c>
      <c r="V1678" s="1" t="n">
        <f aca="false">IF(AND($L1678=1,AND(对接源_02物料!$X478="自备筐",N(对接源_02物料!$V478)&lt;&gt;0)),1,0)</f>
        <v>0</v>
      </c>
      <c r="W1678" s="1" t="n">
        <f aca="false">N(W1677)+$V1678</f>
        <v>7</v>
      </c>
      <c r="X1678" s="1" t="n">
        <f aca="false">IF(AND($L1678=1,AND(对接源_02物料!$X478="自备筐",N(对接源_02物料!$T478)&lt;&gt;0)),1,0)</f>
        <v>0</v>
      </c>
      <c r="Y1678" s="1" t="n">
        <f aca="false">N(Y1677)+$X1678</f>
        <v>0</v>
      </c>
      <c r="Z1678" s="1" t="n">
        <f aca="false">IF(AND($M1678=1,对接源_02物料!$D478="原料入库"),1,0)</f>
        <v>0</v>
      </c>
      <c r="AA1678" s="1" t="n">
        <f aca="false">N(AA1677)+$Z1678</f>
        <v>30</v>
      </c>
      <c r="AB1678" s="1" t="n">
        <f aca="false">IF(AND($M1678=1,LEFT(对接源_02物料!$D478,4)="原料出库"),1,0)</f>
        <v>0</v>
      </c>
      <c r="AC1678" s="1" t="n">
        <f aca="false">N(AC1677)+$AB1678</f>
        <v>19</v>
      </c>
      <c r="AD1678" s="1" t="n">
        <f aca="false">IF(AND($M1678=1,LEFT(对接源_02物料!$D478,4)="成品出库"),1,0)</f>
        <v>0</v>
      </c>
      <c r="AE1678" s="1" t="n">
        <f aca="false">N(AE1677)+$AD1678</f>
        <v>38</v>
      </c>
      <c r="AF1678" s="1" t="n">
        <f aca="false">IF(AND($N1678=1,AND(LEFT(对接源_02物料!$D478,4)="包装物料",N(对接源_02物料!$K478)&lt;&gt;0)),1,0)</f>
        <v>0</v>
      </c>
      <c r="AG1678" s="1" t="n">
        <f aca="false">N(AG1677)+$AF1678</f>
        <v>6</v>
      </c>
      <c r="AH1678" s="1" t="n">
        <f aca="false">IF(AND($N1678=1,AND(LEFT(对接源_02物料!$D478,3)="周转筐",N(对接源_02物料!$K478)&lt;&gt;0)),1,0)</f>
        <v>0</v>
      </c>
      <c r="AI1678" s="1" t="n">
        <f aca="false">N(AI1677)+$AH1678</f>
        <v>0</v>
      </c>
      <c r="AJ1678" s="1" t="n">
        <v>0</v>
      </c>
      <c r="AK1678" s="1" t="n">
        <f aca="false">N(AK1677)+$AJ1678</f>
        <v>3672</v>
      </c>
    </row>
    <row r="1679" customFormat="false" ht="13.5" hidden="false" customHeight="false" outlineLevel="0" collapsed="false">
      <c r="A1679" s="1" t="str">
        <f aca="false">IF(对接源_02物料!$C479="","",对接源_02物料!$C479)</f>
        <v/>
      </c>
      <c r="B1679" s="1" t="n">
        <f aca="false">IF(A1679="",0,IF(MATCH(A1679,$A$4:$A$2403,0)=ROW()-3,1,0))</f>
        <v>0</v>
      </c>
      <c r="C1679" s="1" t="n">
        <f aca="false">N(C1678)+B1679</f>
        <v>17</v>
      </c>
      <c r="K1679" s="1" t="n">
        <f aca="false">IF(OR($K$1="",对接源_02物料!$C479="",对接源_02物料!$C479&lt;&gt;$K$1,对接源_02物料!$B479=""),0,IF(OR(N(对接源_02物料!$B479)&lt;$K$2,N(对接源_02物料!$B479)&gt;$K$3),0,1))</f>
        <v>0</v>
      </c>
      <c r="L1679" s="1" t="n">
        <f aca="false">IF(OR($L$1="",对接源_02物料!$C479="",对接源_02物料!$C479&lt;&gt;$L$1,对接源_02物料!$B479=""),0,IF(OR(N(对接源_02物料!$B479)&lt;$L$2,N(对接源_02物料!$B479)&gt;$L$3),0,1))</f>
        <v>0</v>
      </c>
      <c r="M1679" s="1" t="n">
        <f aca="false">IF(OR($M$1="",对接源_02物料!$C479="",对接源_02物料!$C479&lt;&gt;$M$1,对接源_02物料!$B479=""),0,IF(OR(N(对接源_02物料!$B479)&lt;$M$2,N(对接源_02物料!$B479)&gt;$M$3),0,1))</f>
        <v>0</v>
      </c>
      <c r="N1679" s="1" t="n">
        <f aca="false">IF(OR($N$1="",对接源_02物料!$C479="",对接源_02物料!$C479&lt;&gt;$N$1,对接源_02物料!$B479=""),0,IF(OR(N(对接源_02物料!$B479)&lt;$N$2,N(对接源_02物料!$B479)&gt;$N$3),0,1))</f>
        <v>0</v>
      </c>
      <c r="P1679" s="1" t="n">
        <f aca="false">IF(AND($K1679=1,AND(对接源_02物料!$X479="公司筐",N(对接源_02物料!$T479)&lt;&gt;0)),1,0)</f>
        <v>0</v>
      </c>
      <c r="Q1679" s="1" t="n">
        <f aca="false">N(Q1678)+$P1679</f>
        <v>13</v>
      </c>
      <c r="R1679" s="1" t="n">
        <f aca="false">IF(AND($K1679=1,AND(对接源_02物料!$X479="公司筐",N(对接源_02物料!$U479)&lt;&gt;0)),1,0)</f>
        <v>0</v>
      </c>
      <c r="S1679" s="1" t="n">
        <f aca="false">N(S1678)+$R1679</f>
        <v>5</v>
      </c>
      <c r="T1679" s="1" t="n">
        <f aca="false">IF(AND($K1679=1,AND(对接源_02物料!$X479="公司筐",N(对接源_02物料!$V479)&lt;&gt;0)),1,0)</f>
        <v>0</v>
      </c>
      <c r="U1679" s="1" t="n">
        <f aca="false">N(U1678)+$T1679</f>
        <v>28</v>
      </c>
      <c r="V1679" s="1" t="n">
        <f aca="false">IF(AND($L1679=1,AND(对接源_02物料!$X479="自备筐",N(对接源_02物料!$V479)&lt;&gt;0)),1,0)</f>
        <v>0</v>
      </c>
      <c r="W1679" s="1" t="n">
        <f aca="false">N(W1678)+$V1679</f>
        <v>7</v>
      </c>
      <c r="X1679" s="1" t="n">
        <f aca="false">IF(AND($L1679=1,AND(对接源_02物料!$X479="自备筐",N(对接源_02物料!$T479)&lt;&gt;0)),1,0)</f>
        <v>0</v>
      </c>
      <c r="Y1679" s="1" t="n">
        <f aca="false">N(Y1678)+$X1679</f>
        <v>0</v>
      </c>
      <c r="Z1679" s="1" t="n">
        <f aca="false">IF(AND($M1679=1,对接源_02物料!$D479="原料入库"),1,0)</f>
        <v>0</v>
      </c>
      <c r="AA1679" s="1" t="n">
        <f aca="false">N(AA1678)+$Z1679</f>
        <v>30</v>
      </c>
      <c r="AB1679" s="1" t="n">
        <f aca="false">IF(AND($M1679=1,LEFT(对接源_02物料!$D479,4)="原料出库"),1,0)</f>
        <v>0</v>
      </c>
      <c r="AC1679" s="1" t="n">
        <f aca="false">N(AC1678)+$AB1679</f>
        <v>19</v>
      </c>
      <c r="AD1679" s="1" t="n">
        <f aca="false">IF(AND($M1679=1,LEFT(对接源_02物料!$D479,4)="成品出库"),1,0)</f>
        <v>0</v>
      </c>
      <c r="AE1679" s="1" t="n">
        <f aca="false">N(AE1678)+$AD1679</f>
        <v>38</v>
      </c>
      <c r="AF1679" s="1" t="n">
        <f aca="false">IF(AND($N1679=1,AND(LEFT(对接源_02物料!$D479,4)="包装物料",N(对接源_02物料!$K479)&lt;&gt;0)),1,0)</f>
        <v>0</v>
      </c>
      <c r="AG1679" s="1" t="n">
        <f aca="false">N(AG1678)+$AF1679</f>
        <v>6</v>
      </c>
      <c r="AH1679" s="1" t="n">
        <f aca="false">IF(AND($N1679=1,AND(LEFT(对接源_02物料!$D479,3)="周转筐",N(对接源_02物料!$K479)&lt;&gt;0)),1,0)</f>
        <v>0</v>
      </c>
      <c r="AI1679" s="1" t="n">
        <f aca="false">N(AI1678)+$AH1679</f>
        <v>0</v>
      </c>
      <c r="AJ1679" s="1" t="n">
        <v>0</v>
      </c>
      <c r="AK1679" s="1" t="n">
        <f aca="false">N(AK1678)+$AJ1679</f>
        <v>3672</v>
      </c>
    </row>
    <row r="1680" customFormat="false" ht="13.5" hidden="false" customHeight="false" outlineLevel="0" collapsed="false">
      <c r="A1680" s="1" t="str">
        <f aca="false">IF(对接源_02物料!$C480="","",对接源_02物料!$C480)</f>
        <v/>
      </c>
      <c r="B1680" s="1" t="n">
        <f aca="false">IF(A1680="",0,IF(MATCH(A1680,$A$4:$A$2403,0)=ROW()-3,1,0))</f>
        <v>0</v>
      </c>
      <c r="C1680" s="1" t="n">
        <f aca="false">N(C1679)+B1680</f>
        <v>17</v>
      </c>
      <c r="K1680" s="1" t="n">
        <f aca="false">IF(OR($K$1="",对接源_02物料!$C480="",对接源_02物料!$C480&lt;&gt;$K$1,对接源_02物料!$B480=""),0,IF(OR(N(对接源_02物料!$B480)&lt;$K$2,N(对接源_02物料!$B480)&gt;$K$3),0,1))</f>
        <v>0</v>
      </c>
      <c r="L1680" s="1" t="n">
        <f aca="false">IF(OR($L$1="",对接源_02物料!$C480="",对接源_02物料!$C480&lt;&gt;$L$1,对接源_02物料!$B480=""),0,IF(OR(N(对接源_02物料!$B480)&lt;$L$2,N(对接源_02物料!$B480)&gt;$L$3),0,1))</f>
        <v>0</v>
      </c>
      <c r="M1680" s="1" t="n">
        <f aca="false">IF(OR($M$1="",对接源_02物料!$C480="",对接源_02物料!$C480&lt;&gt;$M$1,对接源_02物料!$B480=""),0,IF(OR(N(对接源_02物料!$B480)&lt;$M$2,N(对接源_02物料!$B480)&gt;$M$3),0,1))</f>
        <v>0</v>
      </c>
      <c r="N1680" s="1" t="n">
        <f aca="false">IF(OR($N$1="",对接源_02物料!$C480="",对接源_02物料!$C480&lt;&gt;$N$1,对接源_02物料!$B480=""),0,IF(OR(N(对接源_02物料!$B480)&lt;$N$2,N(对接源_02物料!$B480)&gt;$N$3),0,1))</f>
        <v>0</v>
      </c>
      <c r="P1680" s="1" t="n">
        <f aca="false">IF(AND($K1680=1,AND(对接源_02物料!$X480="公司筐",N(对接源_02物料!$T480)&lt;&gt;0)),1,0)</f>
        <v>0</v>
      </c>
      <c r="Q1680" s="1" t="n">
        <f aca="false">N(Q1679)+$P1680</f>
        <v>13</v>
      </c>
      <c r="R1680" s="1" t="n">
        <f aca="false">IF(AND($K1680=1,AND(对接源_02物料!$X480="公司筐",N(对接源_02物料!$U480)&lt;&gt;0)),1,0)</f>
        <v>0</v>
      </c>
      <c r="S1680" s="1" t="n">
        <f aca="false">N(S1679)+$R1680</f>
        <v>5</v>
      </c>
      <c r="T1680" s="1" t="n">
        <f aca="false">IF(AND($K1680=1,AND(对接源_02物料!$X480="公司筐",N(对接源_02物料!$V480)&lt;&gt;0)),1,0)</f>
        <v>0</v>
      </c>
      <c r="U1680" s="1" t="n">
        <f aca="false">N(U1679)+$T1680</f>
        <v>28</v>
      </c>
      <c r="V1680" s="1" t="n">
        <f aca="false">IF(AND($L1680=1,AND(对接源_02物料!$X480="自备筐",N(对接源_02物料!$V480)&lt;&gt;0)),1,0)</f>
        <v>0</v>
      </c>
      <c r="W1680" s="1" t="n">
        <f aca="false">N(W1679)+$V1680</f>
        <v>7</v>
      </c>
      <c r="X1680" s="1" t="n">
        <f aca="false">IF(AND($L1680=1,AND(对接源_02物料!$X480="自备筐",N(对接源_02物料!$T480)&lt;&gt;0)),1,0)</f>
        <v>0</v>
      </c>
      <c r="Y1680" s="1" t="n">
        <f aca="false">N(Y1679)+$X1680</f>
        <v>0</v>
      </c>
      <c r="Z1680" s="1" t="n">
        <f aca="false">IF(AND($M1680=1,对接源_02物料!$D480="原料入库"),1,0)</f>
        <v>0</v>
      </c>
      <c r="AA1680" s="1" t="n">
        <f aca="false">N(AA1679)+$Z1680</f>
        <v>30</v>
      </c>
      <c r="AB1680" s="1" t="n">
        <f aca="false">IF(AND($M1680=1,LEFT(对接源_02物料!$D480,4)="原料出库"),1,0)</f>
        <v>0</v>
      </c>
      <c r="AC1680" s="1" t="n">
        <f aca="false">N(AC1679)+$AB1680</f>
        <v>19</v>
      </c>
      <c r="AD1680" s="1" t="n">
        <f aca="false">IF(AND($M1680=1,LEFT(对接源_02物料!$D480,4)="成品出库"),1,0)</f>
        <v>0</v>
      </c>
      <c r="AE1680" s="1" t="n">
        <f aca="false">N(AE1679)+$AD1680</f>
        <v>38</v>
      </c>
      <c r="AF1680" s="1" t="n">
        <f aca="false">IF(AND($N1680=1,AND(LEFT(对接源_02物料!$D480,4)="包装物料",N(对接源_02物料!$K480)&lt;&gt;0)),1,0)</f>
        <v>0</v>
      </c>
      <c r="AG1680" s="1" t="n">
        <f aca="false">N(AG1679)+$AF1680</f>
        <v>6</v>
      </c>
      <c r="AH1680" s="1" t="n">
        <f aca="false">IF(AND($N1680=1,AND(LEFT(对接源_02物料!$D480,3)="周转筐",N(对接源_02物料!$K480)&lt;&gt;0)),1,0)</f>
        <v>0</v>
      </c>
      <c r="AI1680" s="1" t="n">
        <f aca="false">N(AI1679)+$AH1680</f>
        <v>0</v>
      </c>
      <c r="AJ1680" s="1" t="n">
        <v>0</v>
      </c>
      <c r="AK1680" s="1" t="n">
        <f aca="false">N(AK1679)+$AJ1680</f>
        <v>3672</v>
      </c>
    </row>
    <row r="1681" customFormat="false" ht="13.5" hidden="false" customHeight="false" outlineLevel="0" collapsed="false">
      <c r="A1681" s="1" t="str">
        <f aca="false">IF(对接源_02物料!$C481="","",对接源_02物料!$C481)</f>
        <v/>
      </c>
      <c r="B1681" s="1" t="n">
        <f aca="false">IF(A1681="",0,IF(MATCH(A1681,$A$4:$A$2403,0)=ROW()-3,1,0))</f>
        <v>0</v>
      </c>
      <c r="C1681" s="1" t="n">
        <f aca="false">N(C1680)+B1681</f>
        <v>17</v>
      </c>
      <c r="K1681" s="1" t="n">
        <f aca="false">IF(OR($K$1="",对接源_02物料!$C481="",对接源_02物料!$C481&lt;&gt;$K$1,对接源_02物料!$B481=""),0,IF(OR(N(对接源_02物料!$B481)&lt;$K$2,N(对接源_02物料!$B481)&gt;$K$3),0,1))</f>
        <v>0</v>
      </c>
      <c r="L1681" s="1" t="n">
        <f aca="false">IF(OR($L$1="",对接源_02物料!$C481="",对接源_02物料!$C481&lt;&gt;$L$1,对接源_02物料!$B481=""),0,IF(OR(N(对接源_02物料!$B481)&lt;$L$2,N(对接源_02物料!$B481)&gt;$L$3),0,1))</f>
        <v>0</v>
      </c>
      <c r="M1681" s="1" t="n">
        <f aca="false">IF(OR($M$1="",对接源_02物料!$C481="",对接源_02物料!$C481&lt;&gt;$M$1,对接源_02物料!$B481=""),0,IF(OR(N(对接源_02物料!$B481)&lt;$M$2,N(对接源_02物料!$B481)&gt;$M$3),0,1))</f>
        <v>0</v>
      </c>
      <c r="N1681" s="1" t="n">
        <f aca="false">IF(OR($N$1="",对接源_02物料!$C481="",对接源_02物料!$C481&lt;&gt;$N$1,对接源_02物料!$B481=""),0,IF(OR(N(对接源_02物料!$B481)&lt;$N$2,N(对接源_02物料!$B481)&gt;$N$3),0,1))</f>
        <v>0</v>
      </c>
      <c r="P1681" s="1" t="n">
        <f aca="false">IF(AND($K1681=1,AND(对接源_02物料!$X481="公司筐",N(对接源_02物料!$T481)&lt;&gt;0)),1,0)</f>
        <v>0</v>
      </c>
      <c r="Q1681" s="1" t="n">
        <f aca="false">N(Q1680)+$P1681</f>
        <v>13</v>
      </c>
      <c r="R1681" s="1" t="n">
        <f aca="false">IF(AND($K1681=1,AND(对接源_02物料!$X481="公司筐",N(对接源_02物料!$U481)&lt;&gt;0)),1,0)</f>
        <v>0</v>
      </c>
      <c r="S1681" s="1" t="n">
        <f aca="false">N(S1680)+$R1681</f>
        <v>5</v>
      </c>
      <c r="T1681" s="1" t="n">
        <f aca="false">IF(AND($K1681=1,AND(对接源_02物料!$X481="公司筐",N(对接源_02物料!$V481)&lt;&gt;0)),1,0)</f>
        <v>0</v>
      </c>
      <c r="U1681" s="1" t="n">
        <f aca="false">N(U1680)+$T1681</f>
        <v>28</v>
      </c>
      <c r="V1681" s="1" t="n">
        <f aca="false">IF(AND($L1681=1,AND(对接源_02物料!$X481="自备筐",N(对接源_02物料!$V481)&lt;&gt;0)),1,0)</f>
        <v>0</v>
      </c>
      <c r="W1681" s="1" t="n">
        <f aca="false">N(W1680)+$V1681</f>
        <v>7</v>
      </c>
      <c r="X1681" s="1" t="n">
        <f aca="false">IF(AND($L1681=1,AND(对接源_02物料!$X481="自备筐",N(对接源_02物料!$T481)&lt;&gt;0)),1,0)</f>
        <v>0</v>
      </c>
      <c r="Y1681" s="1" t="n">
        <f aca="false">N(Y1680)+$X1681</f>
        <v>0</v>
      </c>
      <c r="Z1681" s="1" t="n">
        <f aca="false">IF(AND($M1681=1,对接源_02物料!$D481="原料入库"),1,0)</f>
        <v>0</v>
      </c>
      <c r="AA1681" s="1" t="n">
        <f aca="false">N(AA1680)+$Z1681</f>
        <v>30</v>
      </c>
      <c r="AB1681" s="1" t="n">
        <f aca="false">IF(AND($M1681=1,LEFT(对接源_02物料!$D481,4)="原料出库"),1,0)</f>
        <v>0</v>
      </c>
      <c r="AC1681" s="1" t="n">
        <f aca="false">N(AC1680)+$AB1681</f>
        <v>19</v>
      </c>
      <c r="AD1681" s="1" t="n">
        <f aca="false">IF(AND($M1681=1,LEFT(对接源_02物料!$D481,4)="成品出库"),1,0)</f>
        <v>0</v>
      </c>
      <c r="AE1681" s="1" t="n">
        <f aca="false">N(AE1680)+$AD1681</f>
        <v>38</v>
      </c>
      <c r="AF1681" s="1" t="n">
        <f aca="false">IF(AND($N1681=1,AND(LEFT(对接源_02物料!$D481,4)="包装物料",N(对接源_02物料!$K481)&lt;&gt;0)),1,0)</f>
        <v>0</v>
      </c>
      <c r="AG1681" s="1" t="n">
        <f aca="false">N(AG1680)+$AF1681</f>
        <v>6</v>
      </c>
      <c r="AH1681" s="1" t="n">
        <f aca="false">IF(AND($N1681=1,AND(LEFT(对接源_02物料!$D481,3)="周转筐",N(对接源_02物料!$K481)&lt;&gt;0)),1,0)</f>
        <v>0</v>
      </c>
      <c r="AI1681" s="1" t="n">
        <f aca="false">N(AI1680)+$AH1681</f>
        <v>0</v>
      </c>
      <c r="AJ1681" s="1" t="n">
        <v>0</v>
      </c>
      <c r="AK1681" s="1" t="n">
        <f aca="false">N(AK1680)+$AJ1681</f>
        <v>3672</v>
      </c>
    </row>
    <row r="1682" customFormat="false" ht="13.5" hidden="false" customHeight="false" outlineLevel="0" collapsed="false">
      <c r="A1682" s="1" t="str">
        <f aca="false">IF(对接源_02物料!$C482="","",对接源_02物料!$C482)</f>
        <v/>
      </c>
      <c r="B1682" s="1" t="n">
        <f aca="false">IF(A1682="",0,IF(MATCH(A1682,$A$4:$A$2403,0)=ROW()-3,1,0))</f>
        <v>0</v>
      </c>
      <c r="C1682" s="1" t="n">
        <f aca="false">N(C1681)+B1682</f>
        <v>17</v>
      </c>
      <c r="K1682" s="1" t="n">
        <f aca="false">IF(OR($K$1="",对接源_02物料!$C482="",对接源_02物料!$C482&lt;&gt;$K$1,对接源_02物料!$B482=""),0,IF(OR(N(对接源_02物料!$B482)&lt;$K$2,N(对接源_02物料!$B482)&gt;$K$3),0,1))</f>
        <v>0</v>
      </c>
      <c r="L1682" s="1" t="n">
        <f aca="false">IF(OR($L$1="",对接源_02物料!$C482="",对接源_02物料!$C482&lt;&gt;$L$1,对接源_02物料!$B482=""),0,IF(OR(N(对接源_02物料!$B482)&lt;$L$2,N(对接源_02物料!$B482)&gt;$L$3),0,1))</f>
        <v>0</v>
      </c>
      <c r="M1682" s="1" t="n">
        <f aca="false">IF(OR($M$1="",对接源_02物料!$C482="",对接源_02物料!$C482&lt;&gt;$M$1,对接源_02物料!$B482=""),0,IF(OR(N(对接源_02物料!$B482)&lt;$M$2,N(对接源_02物料!$B482)&gt;$M$3),0,1))</f>
        <v>0</v>
      </c>
      <c r="N1682" s="1" t="n">
        <f aca="false">IF(OR($N$1="",对接源_02物料!$C482="",对接源_02物料!$C482&lt;&gt;$N$1,对接源_02物料!$B482=""),0,IF(OR(N(对接源_02物料!$B482)&lt;$N$2,N(对接源_02物料!$B482)&gt;$N$3),0,1))</f>
        <v>0</v>
      </c>
      <c r="P1682" s="1" t="n">
        <f aca="false">IF(AND($K1682=1,AND(对接源_02物料!$X482="公司筐",N(对接源_02物料!$T482)&lt;&gt;0)),1,0)</f>
        <v>0</v>
      </c>
      <c r="Q1682" s="1" t="n">
        <f aca="false">N(Q1681)+$P1682</f>
        <v>13</v>
      </c>
      <c r="R1682" s="1" t="n">
        <f aca="false">IF(AND($K1682=1,AND(对接源_02物料!$X482="公司筐",N(对接源_02物料!$U482)&lt;&gt;0)),1,0)</f>
        <v>0</v>
      </c>
      <c r="S1682" s="1" t="n">
        <f aca="false">N(S1681)+$R1682</f>
        <v>5</v>
      </c>
      <c r="T1682" s="1" t="n">
        <f aca="false">IF(AND($K1682=1,AND(对接源_02物料!$X482="公司筐",N(对接源_02物料!$V482)&lt;&gt;0)),1,0)</f>
        <v>0</v>
      </c>
      <c r="U1682" s="1" t="n">
        <f aca="false">N(U1681)+$T1682</f>
        <v>28</v>
      </c>
      <c r="V1682" s="1" t="n">
        <f aca="false">IF(AND($L1682=1,AND(对接源_02物料!$X482="自备筐",N(对接源_02物料!$V482)&lt;&gt;0)),1,0)</f>
        <v>0</v>
      </c>
      <c r="W1682" s="1" t="n">
        <f aca="false">N(W1681)+$V1682</f>
        <v>7</v>
      </c>
      <c r="X1682" s="1" t="n">
        <f aca="false">IF(AND($L1682=1,AND(对接源_02物料!$X482="自备筐",N(对接源_02物料!$T482)&lt;&gt;0)),1,0)</f>
        <v>0</v>
      </c>
      <c r="Y1682" s="1" t="n">
        <f aca="false">N(Y1681)+$X1682</f>
        <v>0</v>
      </c>
      <c r="Z1682" s="1" t="n">
        <f aca="false">IF(AND($M1682=1,对接源_02物料!$D482="原料入库"),1,0)</f>
        <v>0</v>
      </c>
      <c r="AA1682" s="1" t="n">
        <f aca="false">N(AA1681)+$Z1682</f>
        <v>30</v>
      </c>
      <c r="AB1682" s="1" t="n">
        <f aca="false">IF(AND($M1682=1,LEFT(对接源_02物料!$D482,4)="原料出库"),1,0)</f>
        <v>0</v>
      </c>
      <c r="AC1682" s="1" t="n">
        <f aca="false">N(AC1681)+$AB1682</f>
        <v>19</v>
      </c>
      <c r="AD1682" s="1" t="n">
        <f aca="false">IF(AND($M1682=1,LEFT(对接源_02物料!$D482,4)="成品出库"),1,0)</f>
        <v>0</v>
      </c>
      <c r="AE1682" s="1" t="n">
        <f aca="false">N(AE1681)+$AD1682</f>
        <v>38</v>
      </c>
      <c r="AF1682" s="1" t="n">
        <f aca="false">IF(AND($N1682=1,AND(LEFT(对接源_02物料!$D482,4)="包装物料",N(对接源_02物料!$K482)&lt;&gt;0)),1,0)</f>
        <v>0</v>
      </c>
      <c r="AG1682" s="1" t="n">
        <f aca="false">N(AG1681)+$AF1682</f>
        <v>6</v>
      </c>
      <c r="AH1682" s="1" t="n">
        <f aca="false">IF(AND($N1682=1,AND(LEFT(对接源_02物料!$D482,3)="周转筐",N(对接源_02物料!$K482)&lt;&gt;0)),1,0)</f>
        <v>0</v>
      </c>
      <c r="AI1682" s="1" t="n">
        <f aca="false">N(AI1681)+$AH1682</f>
        <v>0</v>
      </c>
      <c r="AJ1682" s="1" t="n">
        <v>0</v>
      </c>
      <c r="AK1682" s="1" t="n">
        <f aca="false">N(AK1681)+$AJ1682</f>
        <v>3672</v>
      </c>
    </row>
    <row r="1683" customFormat="false" ht="13.5" hidden="false" customHeight="false" outlineLevel="0" collapsed="false">
      <c r="A1683" s="1" t="str">
        <f aca="false">IF(对接源_02物料!$C483="","",对接源_02物料!$C483)</f>
        <v/>
      </c>
      <c r="B1683" s="1" t="n">
        <f aca="false">IF(A1683="",0,IF(MATCH(A1683,$A$4:$A$2403,0)=ROW()-3,1,0))</f>
        <v>0</v>
      </c>
      <c r="C1683" s="1" t="n">
        <f aca="false">N(C1682)+B1683</f>
        <v>17</v>
      </c>
      <c r="K1683" s="1" t="n">
        <f aca="false">IF(OR($K$1="",对接源_02物料!$C483="",对接源_02物料!$C483&lt;&gt;$K$1,对接源_02物料!$B483=""),0,IF(OR(N(对接源_02物料!$B483)&lt;$K$2,N(对接源_02物料!$B483)&gt;$K$3),0,1))</f>
        <v>0</v>
      </c>
      <c r="L1683" s="1" t="n">
        <f aca="false">IF(OR($L$1="",对接源_02物料!$C483="",对接源_02物料!$C483&lt;&gt;$L$1,对接源_02物料!$B483=""),0,IF(OR(N(对接源_02物料!$B483)&lt;$L$2,N(对接源_02物料!$B483)&gt;$L$3),0,1))</f>
        <v>0</v>
      </c>
      <c r="M1683" s="1" t="n">
        <f aca="false">IF(OR($M$1="",对接源_02物料!$C483="",对接源_02物料!$C483&lt;&gt;$M$1,对接源_02物料!$B483=""),0,IF(OR(N(对接源_02物料!$B483)&lt;$M$2,N(对接源_02物料!$B483)&gt;$M$3),0,1))</f>
        <v>0</v>
      </c>
      <c r="N1683" s="1" t="n">
        <f aca="false">IF(OR($N$1="",对接源_02物料!$C483="",对接源_02物料!$C483&lt;&gt;$N$1,对接源_02物料!$B483=""),0,IF(OR(N(对接源_02物料!$B483)&lt;$N$2,N(对接源_02物料!$B483)&gt;$N$3),0,1))</f>
        <v>0</v>
      </c>
      <c r="P1683" s="1" t="n">
        <f aca="false">IF(AND($K1683=1,AND(对接源_02物料!$X483="公司筐",N(对接源_02物料!$T483)&lt;&gt;0)),1,0)</f>
        <v>0</v>
      </c>
      <c r="Q1683" s="1" t="n">
        <f aca="false">N(Q1682)+$P1683</f>
        <v>13</v>
      </c>
      <c r="R1683" s="1" t="n">
        <f aca="false">IF(AND($K1683=1,AND(对接源_02物料!$X483="公司筐",N(对接源_02物料!$U483)&lt;&gt;0)),1,0)</f>
        <v>0</v>
      </c>
      <c r="S1683" s="1" t="n">
        <f aca="false">N(S1682)+$R1683</f>
        <v>5</v>
      </c>
      <c r="T1683" s="1" t="n">
        <f aca="false">IF(AND($K1683=1,AND(对接源_02物料!$X483="公司筐",N(对接源_02物料!$V483)&lt;&gt;0)),1,0)</f>
        <v>0</v>
      </c>
      <c r="U1683" s="1" t="n">
        <f aca="false">N(U1682)+$T1683</f>
        <v>28</v>
      </c>
      <c r="V1683" s="1" t="n">
        <f aca="false">IF(AND($L1683=1,AND(对接源_02物料!$X483="自备筐",N(对接源_02物料!$V483)&lt;&gt;0)),1,0)</f>
        <v>0</v>
      </c>
      <c r="W1683" s="1" t="n">
        <f aca="false">N(W1682)+$V1683</f>
        <v>7</v>
      </c>
      <c r="X1683" s="1" t="n">
        <f aca="false">IF(AND($L1683=1,AND(对接源_02物料!$X483="自备筐",N(对接源_02物料!$T483)&lt;&gt;0)),1,0)</f>
        <v>0</v>
      </c>
      <c r="Y1683" s="1" t="n">
        <f aca="false">N(Y1682)+$X1683</f>
        <v>0</v>
      </c>
      <c r="Z1683" s="1" t="n">
        <f aca="false">IF(AND($M1683=1,对接源_02物料!$D483="原料入库"),1,0)</f>
        <v>0</v>
      </c>
      <c r="AA1683" s="1" t="n">
        <f aca="false">N(AA1682)+$Z1683</f>
        <v>30</v>
      </c>
      <c r="AB1683" s="1" t="n">
        <f aca="false">IF(AND($M1683=1,LEFT(对接源_02物料!$D483,4)="原料出库"),1,0)</f>
        <v>0</v>
      </c>
      <c r="AC1683" s="1" t="n">
        <f aca="false">N(AC1682)+$AB1683</f>
        <v>19</v>
      </c>
      <c r="AD1683" s="1" t="n">
        <f aca="false">IF(AND($M1683=1,LEFT(对接源_02物料!$D483,4)="成品出库"),1,0)</f>
        <v>0</v>
      </c>
      <c r="AE1683" s="1" t="n">
        <f aca="false">N(AE1682)+$AD1683</f>
        <v>38</v>
      </c>
      <c r="AF1683" s="1" t="n">
        <f aca="false">IF(AND($N1683=1,AND(LEFT(对接源_02物料!$D483,4)="包装物料",N(对接源_02物料!$K483)&lt;&gt;0)),1,0)</f>
        <v>0</v>
      </c>
      <c r="AG1683" s="1" t="n">
        <f aca="false">N(AG1682)+$AF1683</f>
        <v>6</v>
      </c>
      <c r="AH1683" s="1" t="n">
        <f aca="false">IF(AND($N1683=1,AND(LEFT(对接源_02物料!$D483,3)="周转筐",N(对接源_02物料!$K483)&lt;&gt;0)),1,0)</f>
        <v>0</v>
      </c>
      <c r="AI1683" s="1" t="n">
        <f aca="false">N(AI1682)+$AH1683</f>
        <v>0</v>
      </c>
      <c r="AJ1683" s="1" t="n">
        <v>0</v>
      </c>
      <c r="AK1683" s="1" t="n">
        <f aca="false">N(AK1682)+$AJ1683</f>
        <v>3672</v>
      </c>
    </row>
    <row r="1684" customFormat="false" ht="13.5" hidden="false" customHeight="false" outlineLevel="0" collapsed="false">
      <c r="A1684" s="1" t="str">
        <f aca="false">IF(对接源_02物料!$C484="","",对接源_02物料!$C484)</f>
        <v/>
      </c>
      <c r="B1684" s="1" t="n">
        <f aca="false">IF(A1684="",0,IF(MATCH(A1684,$A$4:$A$2403,0)=ROW()-3,1,0))</f>
        <v>0</v>
      </c>
      <c r="C1684" s="1" t="n">
        <f aca="false">N(C1683)+B1684</f>
        <v>17</v>
      </c>
      <c r="K1684" s="1" t="n">
        <f aca="false">IF(OR($K$1="",对接源_02物料!$C484="",对接源_02物料!$C484&lt;&gt;$K$1,对接源_02物料!$B484=""),0,IF(OR(N(对接源_02物料!$B484)&lt;$K$2,N(对接源_02物料!$B484)&gt;$K$3),0,1))</f>
        <v>0</v>
      </c>
      <c r="L1684" s="1" t="n">
        <f aca="false">IF(OR($L$1="",对接源_02物料!$C484="",对接源_02物料!$C484&lt;&gt;$L$1,对接源_02物料!$B484=""),0,IF(OR(N(对接源_02物料!$B484)&lt;$L$2,N(对接源_02物料!$B484)&gt;$L$3),0,1))</f>
        <v>0</v>
      </c>
      <c r="M1684" s="1" t="n">
        <f aca="false">IF(OR($M$1="",对接源_02物料!$C484="",对接源_02物料!$C484&lt;&gt;$M$1,对接源_02物料!$B484=""),0,IF(OR(N(对接源_02物料!$B484)&lt;$M$2,N(对接源_02物料!$B484)&gt;$M$3),0,1))</f>
        <v>0</v>
      </c>
      <c r="N1684" s="1" t="n">
        <f aca="false">IF(OR($N$1="",对接源_02物料!$C484="",对接源_02物料!$C484&lt;&gt;$N$1,对接源_02物料!$B484=""),0,IF(OR(N(对接源_02物料!$B484)&lt;$N$2,N(对接源_02物料!$B484)&gt;$N$3),0,1))</f>
        <v>0</v>
      </c>
      <c r="P1684" s="1" t="n">
        <f aca="false">IF(AND($K1684=1,AND(对接源_02物料!$X484="公司筐",N(对接源_02物料!$T484)&lt;&gt;0)),1,0)</f>
        <v>0</v>
      </c>
      <c r="Q1684" s="1" t="n">
        <f aca="false">N(Q1683)+$P1684</f>
        <v>13</v>
      </c>
      <c r="R1684" s="1" t="n">
        <f aca="false">IF(AND($K1684=1,AND(对接源_02物料!$X484="公司筐",N(对接源_02物料!$U484)&lt;&gt;0)),1,0)</f>
        <v>0</v>
      </c>
      <c r="S1684" s="1" t="n">
        <f aca="false">N(S1683)+$R1684</f>
        <v>5</v>
      </c>
      <c r="T1684" s="1" t="n">
        <f aca="false">IF(AND($K1684=1,AND(对接源_02物料!$X484="公司筐",N(对接源_02物料!$V484)&lt;&gt;0)),1,0)</f>
        <v>0</v>
      </c>
      <c r="U1684" s="1" t="n">
        <f aca="false">N(U1683)+$T1684</f>
        <v>28</v>
      </c>
      <c r="V1684" s="1" t="n">
        <f aca="false">IF(AND($L1684=1,AND(对接源_02物料!$X484="自备筐",N(对接源_02物料!$V484)&lt;&gt;0)),1,0)</f>
        <v>0</v>
      </c>
      <c r="W1684" s="1" t="n">
        <f aca="false">N(W1683)+$V1684</f>
        <v>7</v>
      </c>
      <c r="X1684" s="1" t="n">
        <f aca="false">IF(AND($L1684=1,AND(对接源_02物料!$X484="自备筐",N(对接源_02物料!$T484)&lt;&gt;0)),1,0)</f>
        <v>0</v>
      </c>
      <c r="Y1684" s="1" t="n">
        <f aca="false">N(Y1683)+$X1684</f>
        <v>0</v>
      </c>
      <c r="Z1684" s="1" t="n">
        <f aca="false">IF(AND($M1684=1,对接源_02物料!$D484="原料入库"),1,0)</f>
        <v>0</v>
      </c>
      <c r="AA1684" s="1" t="n">
        <f aca="false">N(AA1683)+$Z1684</f>
        <v>30</v>
      </c>
      <c r="AB1684" s="1" t="n">
        <f aca="false">IF(AND($M1684=1,LEFT(对接源_02物料!$D484,4)="原料出库"),1,0)</f>
        <v>0</v>
      </c>
      <c r="AC1684" s="1" t="n">
        <f aca="false">N(AC1683)+$AB1684</f>
        <v>19</v>
      </c>
      <c r="AD1684" s="1" t="n">
        <f aca="false">IF(AND($M1684=1,LEFT(对接源_02物料!$D484,4)="成品出库"),1,0)</f>
        <v>0</v>
      </c>
      <c r="AE1684" s="1" t="n">
        <f aca="false">N(AE1683)+$AD1684</f>
        <v>38</v>
      </c>
      <c r="AF1684" s="1" t="n">
        <f aca="false">IF(AND($N1684=1,AND(LEFT(对接源_02物料!$D484,4)="包装物料",N(对接源_02物料!$K484)&lt;&gt;0)),1,0)</f>
        <v>0</v>
      </c>
      <c r="AG1684" s="1" t="n">
        <f aca="false">N(AG1683)+$AF1684</f>
        <v>6</v>
      </c>
      <c r="AH1684" s="1" t="n">
        <f aca="false">IF(AND($N1684=1,AND(LEFT(对接源_02物料!$D484,3)="周转筐",N(对接源_02物料!$K484)&lt;&gt;0)),1,0)</f>
        <v>0</v>
      </c>
      <c r="AI1684" s="1" t="n">
        <f aca="false">N(AI1683)+$AH1684</f>
        <v>0</v>
      </c>
      <c r="AJ1684" s="1" t="n">
        <v>0</v>
      </c>
      <c r="AK1684" s="1" t="n">
        <f aca="false">N(AK1683)+$AJ1684</f>
        <v>3672</v>
      </c>
    </row>
    <row r="1685" customFormat="false" ht="13.5" hidden="false" customHeight="false" outlineLevel="0" collapsed="false">
      <c r="A1685" s="1" t="str">
        <f aca="false">IF(对接源_02物料!$C485="","",对接源_02物料!$C485)</f>
        <v/>
      </c>
      <c r="B1685" s="1" t="n">
        <f aca="false">IF(A1685="",0,IF(MATCH(A1685,$A$4:$A$2403,0)=ROW()-3,1,0))</f>
        <v>0</v>
      </c>
      <c r="C1685" s="1" t="n">
        <f aca="false">N(C1684)+B1685</f>
        <v>17</v>
      </c>
      <c r="K1685" s="1" t="n">
        <f aca="false">IF(OR($K$1="",对接源_02物料!$C485="",对接源_02物料!$C485&lt;&gt;$K$1,对接源_02物料!$B485=""),0,IF(OR(N(对接源_02物料!$B485)&lt;$K$2,N(对接源_02物料!$B485)&gt;$K$3),0,1))</f>
        <v>0</v>
      </c>
      <c r="L1685" s="1" t="n">
        <f aca="false">IF(OR($L$1="",对接源_02物料!$C485="",对接源_02物料!$C485&lt;&gt;$L$1,对接源_02物料!$B485=""),0,IF(OR(N(对接源_02物料!$B485)&lt;$L$2,N(对接源_02物料!$B485)&gt;$L$3),0,1))</f>
        <v>0</v>
      </c>
      <c r="M1685" s="1" t="n">
        <f aca="false">IF(OR($M$1="",对接源_02物料!$C485="",对接源_02物料!$C485&lt;&gt;$M$1,对接源_02物料!$B485=""),0,IF(OR(N(对接源_02物料!$B485)&lt;$M$2,N(对接源_02物料!$B485)&gt;$M$3),0,1))</f>
        <v>0</v>
      </c>
      <c r="N1685" s="1" t="n">
        <f aca="false">IF(OR($N$1="",对接源_02物料!$C485="",对接源_02物料!$C485&lt;&gt;$N$1,对接源_02物料!$B485=""),0,IF(OR(N(对接源_02物料!$B485)&lt;$N$2,N(对接源_02物料!$B485)&gt;$N$3),0,1))</f>
        <v>0</v>
      </c>
      <c r="P1685" s="1" t="n">
        <f aca="false">IF(AND($K1685=1,AND(对接源_02物料!$X485="公司筐",N(对接源_02物料!$T485)&lt;&gt;0)),1,0)</f>
        <v>0</v>
      </c>
      <c r="Q1685" s="1" t="n">
        <f aca="false">N(Q1684)+$P1685</f>
        <v>13</v>
      </c>
      <c r="R1685" s="1" t="n">
        <f aca="false">IF(AND($K1685=1,AND(对接源_02物料!$X485="公司筐",N(对接源_02物料!$U485)&lt;&gt;0)),1,0)</f>
        <v>0</v>
      </c>
      <c r="S1685" s="1" t="n">
        <f aca="false">N(S1684)+$R1685</f>
        <v>5</v>
      </c>
      <c r="T1685" s="1" t="n">
        <f aca="false">IF(AND($K1685=1,AND(对接源_02物料!$X485="公司筐",N(对接源_02物料!$V485)&lt;&gt;0)),1,0)</f>
        <v>0</v>
      </c>
      <c r="U1685" s="1" t="n">
        <f aca="false">N(U1684)+$T1685</f>
        <v>28</v>
      </c>
      <c r="V1685" s="1" t="n">
        <f aca="false">IF(AND($L1685=1,AND(对接源_02物料!$X485="自备筐",N(对接源_02物料!$V485)&lt;&gt;0)),1,0)</f>
        <v>0</v>
      </c>
      <c r="W1685" s="1" t="n">
        <f aca="false">N(W1684)+$V1685</f>
        <v>7</v>
      </c>
      <c r="X1685" s="1" t="n">
        <f aca="false">IF(AND($L1685=1,AND(对接源_02物料!$X485="自备筐",N(对接源_02物料!$T485)&lt;&gt;0)),1,0)</f>
        <v>0</v>
      </c>
      <c r="Y1685" s="1" t="n">
        <f aca="false">N(Y1684)+$X1685</f>
        <v>0</v>
      </c>
      <c r="Z1685" s="1" t="n">
        <f aca="false">IF(AND($M1685=1,对接源_02物料!$D485="原料入库"),1,0)</f>
        <v>0</v>
      </c>
      <c r="AA1685" s="1" t="n">
        <f aca="false">N(AA1684)+$Z1685</f>
        <v>30</v>
      </c>
      <c r="AB1685" s="1" t="n">
        <f aca="false">IF(AND($M1685=1,LEFT(对接源_02物料!$D485,4)="原料出库"),1,0)</f>
        <v>0</v>
      </c>
      <c r="AC1685" s="1" t="n">
        <f aca="false">N(AC1684)+$AB1685</f>
        <v>19</v>
      </c>
      <c r="AD1685" s="1" t="n">
        <f aca="false">IF(AND($M1685=1,LEFT(对接源_02物料!$D485,4)="成品出库"),1,0)</f>
        <v>0</v>
      </c>
      <c r="AE1685" s="1" t="n">
        <f aca="false">N(AE1684)+$AD1685</f>
        <v>38</v>
      </c>
      <c r="AF1685" s="1" t="n">
        <f aca="false">IF(AND($N1685=1,AND(LEFT(对接源_02物料!$D485,4)="包装物料",N(对接源_02物料!$K485)&lt;&gt;0)),1,0)</f>
        <v>0</v>
      </c>
      <c r="AG1685" s="1" t="n">
        <f aca="false">N(AG1684)+$AF1685</f>
        <v>6</v>
      </c>
      <c r="AH1685" s="1" t="n">
        <f aca="false">IF(AND($N1685=1,AND(LEFT(对接源_02物料!$D485,3)="周转筐",N(对接源_02物料!$K485)&lt;&gt;0)),1,0)</f>
        <v>0</v>
      </c>
      <c r="AI1685" s="1" t="n">
        <f aca="false">N(AI1684)+$AH1685</f>
        <v>0</v>
      </c>
      <c r="AJ1685" s="1" t="n">
        <v>0</v>
      </c>
      <c r="AK1685" s="1" t="n">
        <f aca="false">N(AK1684)+$AJ1685</f>
        <v>3672</v>
      </c>
    </row>
    <row r="1686" customFormat="false" ht="13.5" hidden="false" customHeight="false" outlineLevel="0" collapsed="false">
      <c r="A1686" s="1" t="str">
        <f aca="false">IF(对接源_02物料!$C486="","",对接源_02物料!$C486)</f>
        <v/>
      </c>
      <c r="B1686" s="1" t="n">
        <f aca="false">IF(A1686="",0,IF(MATCH(A1686,$A$4:$A$2403,0)=ROW()-3,1,0))</f>
        <v>0</v>
      </c>
      <c r="C1686" s="1" t="n">
        <f aca="false">N(C1685)+B1686</f>
        <v>17</v>
      </c>
      <c r="K1686" s="1" t="n">
        <f aca="false">IF(OR($K$1="",对接源_02物料!$C486="",对接源_02物料!$C486&lt;&gt;$K$1,对接源_02物料!$B486=""),0,IF(OR(N(对接源_02物料!$B486)&lt;$K$2,N(对接源_02物料!$B486)&gt;$K$3),0,1))</f>
        <v>0</v>
      </c>
      <c r="L1686" s="1" t="n">
        <f aca="false">IF(OR($L$1="",对接源_02物料!$C486="",对接源_02物料!$C486&lt;&gt;$L$1,对接源_02物料!$B486=""),0,IF(OR(N(对接源_02物料!$B486)&lt;$L$2,N(对接源_02物料!$B486)&gt;$L$3),0,1))</f>
        <v>0</v>
      </c>
      <c r="M1686" s="1" t="n">
        <f aca="false">IF(OR($M$1="",对接源_02物料!$C486="",对接源_02物料!$C486&lt;&gt;$M$1,对接源_02物料!$B486=""),0,IF(OR(N(对接源_02物料!$B486)&lt;$M$2,N(对接源_02物料!$B486)&gt;$M$3),0,1))</f>
        <v>0</v>
      </c>
      <c r="N1686" s="1" t="n">
        <f aca="false">IF(OR($N$1="",对接源_02物料!$C486="",对接源_02物料!$C486&lt;&gt;$N$1,对接源_02物料!$B486=""),0,IF(OR(N(对接源_02物料!$B486)&lt;$N$2,N(对接源_02物料!$B486)&gt;$N$3),0,1))</f>
        <v>0</v>
      </c>
      <c r="P1686" s="1" t="n">
        <f aca="false">IF(AND($K1686=1,AND(对接源_02物料!$X486="公司筐",N(对接源_02物料!$T486)&lt;&gt;0)),1,0)</f>
        <v>0</v>
      </c>
      <c r="Q1686" s="1" t="n">
        <f aca="false">N(Q1685)+$P1686</f>
        <v>13</v>
      </c>
      <c r="R1686" s="1" t="n">
        <f aca="false">IF(AND($K1686=1,AND(对接源_02物料!$X486="公司筐",N(对接源_02物料!$U486)&lt;&gt;0)),1,0)</f>
        <v>0</v>
      </c>
      <c r="S1686" s="1" t="n">
        <f aca="false">N(S1685)+$R1686</f>
        <v>5</v>
      </c>
      <c r="T1686" s="1" t="n">
        <f aca="false">IF(AND($K1686=1,AND(对接源_02物料!$X486="公司筐",N(对接源_02物料!$V486)&lt;&gt;0)),1,0)</f>
        <v>0</v>
      </c>
      <c r="U1686" s="1" t="n">
        <f aca="false">N(U1685)+$T1686</f>
        <v>28</v>
      </c>
      <c r="V1686" s="1" t="n">
        <f aca="false">IF(AND($L1686=1,AND(对接源_02物料!$X486="自备筐",N(对接源_02物料!$V486)&lt;&gt;0)),1,0)</f>
        <v>0</v>
      </c>
      <c r="W1686" s="1" t="n">
        <f aca="false">N(W1685)+$V1686</f>
        <v>7</v>
      </c>
      <c r="X1686" s="1" t="n">
        <f aca="false">IF(AND($L1686=1,AND(对接源_02物料!$X486="自备筐",N(对接源_02物料!$T486)&lt;&gt;0)),1,0)</f>
        <v>0</v>
      </c>
      <c r="Y1686" s="1" t="n">
        <f aca="false">N(Y1685)+$X1686</f>
        <v>0</v>
      </c>
      <c r="Z1686" s="1" t="n">
        <f aca="false">IF(AND($M1686=1,对接源_02物料!$D486="原料入库"),1,0)</f>
        <v>0</v>
      </c>
      <c r="AA1686" s="1" t="n">
        <f aca="false">N(AA1685)+$Z1686</f>
        <v>30</v>
      </c>
      <c r="AB1686" s="1" t="n">
        <f aca="false">IF(AND($M1686=1,LEFT(对接源_02物料!$D486,4)="原料出库"),1,0)</f>
        <v>0</v>
      </c>
      <c r="AC1686" s="1" t="n">
        <f aca="false">N(AC1685)+$AB1686</f>
        <v>19</v>
      </c>
      <c r="AD1686" s="1" t="n">
        <f aca="false">IF(AND($M1686=1,LEFT(对接源_02物料!$D486,4)="成品出库"),1,0)</f>
        <v>0</v>
      </c>
      <c r="AE1686" s="1" t="n">
        <f aca="false">N(AE1685)+$AD1686</f>
        <v>38</v>
      </c>
      <c r="AF1686" s="1" t="n">
        <f aca="false">IF(AND($N1686=1,AND(LEFT(对接源_02物料!$D486,4)="包装物料",N(对接源_02物料!$K486)&lt;&gt;0)),1,0)</f>
        <v>0</v>
      </c>
      <c r="AG1686" s="1" t="n">
        <f aca="false">N(AG1685)+$AF1686</f>
        <v>6</v>
      </c>
      <c r="AH1686" s="1" t="n">
        <f aca="false">IF(AND($N1686=1,AND(LEFT(对接源_02物料!$D486,3)="周转筐",N(对接源_02物料!$K486)&lt;&gt;0)),1,0)</f>
        <v>0</v>
      </c>
      <c r="AI1686" s="1" t="n">
        <f aca="false">N(AI1685)+$AH1686</f>
        <v>0</v>
      </c>
      <c r="AJ1686" s="1" t="n">
        <v>0</v>
      </c>
      <c r="AK1686" s="1" t="n">
        <f aca="false">N(AK1685)+$AJ1686</f>
        <v>3672</v>
      </c>
    </row>
    <row r="1687" customFormat="false" ht="13.5" hidden="false" customHeight="false" outlineLevel="0" collapsed="false">
      <c r="A1687" s="1" t="str">
        <f aca="false">IF(对接源_02物料!$C487="","",对接源_02物料!$C487)</f>
        <v/>
      </c>
      <c r="B1687" s="1" t="n">
        <f aca="false">IF(A1687="",0,IF(MATCH(A1687,$A$4:$A$2403,0)=ROW()-3,1,0))</f>
        <v>0</v>
      </c>
      <c r="C1687" s="1" t="n">
        <f aca="false">N(C1686)+B1687</f>
        <v>17</v>
      </c>
      <c r="K1687" s="1" t="n">
        <f aca="false">IF(OR($K$1="",对接源_02物料!$C487="",对接源_02物料!$C487&lt;&gt;$K$1,对接源_02物料!$B487=""),0,IF(OR(N(对接源_02物料!$B487)&lt;$K$2,N(对接源_02物料!$B487)&gt;$K$3),0,1))</f>
        <v>0</v>
      </c>
      <c r="L1687" s="1" t="n">
        <f aca="false">IF(OR($L$1="",对接源_02物料!$C487="",对接源_02物料!$C487&lt;&gt;$L$1,对接源_02物料!$B487=""),0,IF(OR(N(对接源_02物料!$B487)&lt;$L$2,N(对接源_02物料!$B487)&gt;$L$3),0,1))</f>
        <v>0</v>
      </c>
      <c r="M1687" s="1" t="n">
        <f aca="false">IF(OR($M$1="",对接源_02物料!$C487="",对接源_02物料!$C487&lt;&gt;$M$1,对接源_02物料!$B487=""),0,IF(OR(N(对接源_02物料!$B487)&lt;$M$2,N(对接源_02物料!$B487)&gt;$M$3),0,1))</f>
        <v>0</v>
      </c>
      <c r="N1687" s="1" t="n">
        <f aca="false">IF(OR($N$1="",对接源_02物料!$C487="",对接源_02物料!$C487&lt;&gt;$N$1,对接源_02物料!$B487=""),0,IF(OR(N(对接源_02物料!$B487)&lt;$N$2,N(对接源_02物料!$B487)&gt;$N$3),0,1))</f>
        <v>0</v>
      </c>
      <c r="P1687" s="1" t="n">
        <f aca="false">IF(AND($K1687=1,AND(对接源_02物料!$X487="公司筐",N(对接源_02物料!$T487)&lt;&gt;0)),1,0)</f>
        <v>0</v>
      </c>
      <c r="Q1687" s="1" t="n">
        <f aca="false">N(Q1686)+$P1687</f>
        <v>13</v>
      </c>
      <c r="R1687" s="1" t="n">
        <f aca="false">IF(AND($K1687=1,AND(对接源_02物料!$X487="公司筐",N(对接源_02物料!$U487)&lt;&gt;0)),1,0)</f>
        <v>0</v>
      </c>
      <c r="S1687" s="1" t="n">
        <f aca="false">N(S1686)+$R1687</f>
        <v>5</v>
      </c>
      <c r="T1687" s="1" t="n">
        <f aca="false">IF(AND($K1687=1,AND(对接源_02物料!$X487="公司筐",N(对接源_02物料!$V487)&lt;&gt;0)),1,0)</f>
        <v>0</v>
      </c>
      <c r="U1687" s="1" t="n">
        <f aca="false">N(U1686)+$T1687</f>
        <v>28</v>
      </c>
      <c r="V1687" s="1" t="n">
        <f aca="false">IF(AND($L1687=1,AND(对接源_02物料!$X487="自备筐",N(对接源_02物料!$V487)&lt;&gt;0)),1,0)</f>
        <v>0</v>
      </c>
      <c r="W1687" s="1" t="n">
        <f aca="false">N(W1686)+$V1687</f>
        <v>7</v>
      </c>
      <c r="X1687" s="1" t="n">
        <f aca="false">IF(AND($L1687=1,AND(对接源_02物料!$X487="自备筐",N(对接源_02物料!$T487)&lt;&gt;0)),1,0)</f>
        <v>0</v>
      </c>
      <c r="Y1687" s="1" t="n">
        <f aca="false">N(Y1686)+$X1687</f>
        <v>0</v>
      </c>
      <c r="Z1687" s="1" t="n">
        <f aca="false">IF(AND($M1687=1,对接源_02物料!$D487="原料入库"),1,0)</f>
        <v>0</v>
      </c>
      <c r="AA1687" s="1" t="n">
        <f aca="false">N(AA1686)+$Z1687</f>
        <v>30</v>
      </c>
      <c r="AB1687" s="1" t="n">
        <f aca="false">IF(AND($M1687=1,LEFT(对接源_02物料!$D487,4)="原料出库"),1,0)</f>
        <v>0</v>
      </c>
      <c r="AC1687" s="1" t="n">
        <f aca="false">N(AC1686)+$AB1687</f>
        <v>19</v>
      </c>
      <c r="AD1687" s="1" t="n">
        <f aca="false">IF(AND($M1687=1,LEFT(对接源_02物料!$D487,4)="成品出库"),1,0)</f>
        <v>0</v>
      </c>
      <c r="AE1687" s="1" t="n">
        <f aca="false">N(AE1686)+$AD1687</f>
        <v>38</v>
      </c>
      <c r="AF1687" s="1" t="n">
        <f aca="false">IF(AND($N1687=1,AND(LEFT(对接源_02物料!$D487,4)="包装物料",N(对接源_02物料!$K487)&lt;&gt;0)),1,0)</f>
        <v>0</v>
      </c>
      <c r="AG1687" s="1" t="n">
        <f aca="false">N(AG1686)+$AF1687</f>
        <v>6</v>
      </c>
      <c r="AH1687" s="1" t="n">
        <f aca="false">IF(AND($N1687=1,AND(LEFT(对接源_02物料!$D487,3)="周转筐",N(对接源_02物料!$K487)&lt;&gt;0)),1,0)</f>
        <v>0</v>
      </c>
      <c r="AI1687" s="1" t="n">
        <f aca="false">N(AI1686)+$AH1687</f>
        <v>0</v>
      </c>
      <c r="AJ1687" s="1" t="n">
        <v>0</v>
      </c>
      <c r="AK1687" s="1" t="n">
        <f aca="false">N(AK1686)+$AJ1687</f>
        <v>3672</v>
      </c>
    </row>
    <row r="1688" customFormat="false" ht="13.5" hidden="false" customHeight="false" outlineLevel="0" collapsed="false">
      <c r="A1688" s="1" t="str">
        <f aca="false">IF(对接源_02物料!$C488="","",对接源_02物料!$C488)</f>
        <v/>
      </c>
      <c r="B1688" s="1" t="n">
        <f aca="false">IF(A1688="",0,IF(MATCH(A1688,$A$4:$A$2403,0)=ROW()-3,1,0))</f>
        <v>0</v>
      </c>
      <c r="C1688" s="1" t="n">
        <f aca="false">N(C1687)+B1688</f>
        <v>17</v>
      </c>
      <c r="K1688" s="1" t="n">
        <f aca="false">IF(OR($K$1="",对接源_02物料!$C488="",对接源_02物料!$C488&lt;&gt;$K$1,对接源_02物料!$B488=""),0,IF(OR(N(对接源_02物料!$B488)&lt;$K$2,N(对接源_02物料!$B488)&gt;$K$3),0,1))</f>
        <v>0</v>
      </c>
      <c r="L1688" s="1" t="n">
        <f aca="false">IF(OR($L$1="",对接源_02物料!$C488="",对接源_02物料!$C488&lt;&gt;$L$1,对接源_02物料!$B488=""),0,IF(OR(N(对接源_02物料!$B488)&lt;$L$2,N(对接源_02物料!$B488)&gt;$L$3),0,1))</f>
        <v>0</v>
      </c>
      <c r="M1688" s="1" t="n">
        <f aca="false">IF(OR($M$1="",对接源_02物料!$C488="",对接源_02物料!$C488&lt;&gt;$M$1,对接源_02物料!$B488=""),0,IF(OR(N(对接源_02物料!$B488)&lt;$M$2,N(对接源_02物料!$B488)&gt;$M$3),0,1))</f>
        <v>0</v>
      </c>
      <c r="N1688" s="1" t="n">
        <f aca="false">IF(OR($N$1="",对接源_02物料!$C488="",对接源_02物料!$C488&lt;&gt;$N$1,对接源_02物料!$B488=""),0,IF(OR(N(对接源_02物料!$B488)&lt;$N$2,N(对接源_02物料!$B488)&gt;$N$3),0,1))</f>
        <v>0</v>
      </c>
      <c r="P1688" s="1" t="n">
        <f aca="false">IF(AND($K1688=1,AND(对接源_02物料!$X488="公司筐",N(对接源_02物料!$T488)&lt;&gt;0)),1,0)</f>
        <v>0</v>
      </c>
      <c r="Q1688" s="1" t="n">
        <f aca="false">N(Q1687)+$P1688</f>
        <v>13</v>
      </c>
      <c r="R1688" s="1" t="n">
        <f aca="false">IF(AND($K1688=1,AND(对接源_02物料!$X488="公司筐",N(对接源_02物料!$U488)&lt;&gt;0)),1,0)</f>
        <v>0</v>
      </c>
      <c r="S1688" s="1" t="n">
        <f aca="false">N(S1687)+$R1688</f>
        <v>5</v>
      </c>
      <c r="T1688" s="1" t="n">
        <f aca="false">IF(AND($K1688=1,AND(对接源_02物料!$X488="公司筐",N(对接源_02物料!$V488)&lt;&gt;0)),1,0)</f>
        <v>0</v>
      </c>
      <c r="U1688" s="1" t="n">
        <f aca="false">N(U1687)+$T1688</f>
        <v>28</v>
      </c>
      <c r="V1688" s="1" t="n">
        <f aca="false">IF(AND($L1688=1,AND(对接源_02物料!$X488="自备筐",N(对接源_02物料!$V488)&lt;&gt;0)),1,0)</f>
        <v>0</v>
      </c>
      <c r="W1688" s="1" t="n">
        <f aca="false">N(W1687)+$V1688</f>
        <v>7</v>
      </c>
      <c r="X1688" s="1" t="n">
        <f aca="false">IF(AND($L1688=1,AND(对接源_02物料!$X488="自备筐",N(对接源_02物料!$T488)&lt;&gt;0)),1,0)</f>
        <v>0</v>
      </c>
      <c r="Y1688" s="1" t="n">
        <f aca="false">N(Y1687)+$X1688</f>
        <v>0</v>
      </c>
      <c r="Z1688" s="1" t="n">
        <f aca="false">IF(AND($M1688=1,对接源_02物料!$D488="原料入库"),1,0)</f>
        <v>0</v>
      </c>
      <c r="AA1688" s="1" t="n">
        <f aca="false">N(AA1687)+$Z1688</f>
        <v>30</v>
      </c>
      <c r="AB1688" s="1" t="n">
        <f aca="false">IF(AND($M1688=1,LEFT(对接源_02物料!$D488,4)="原料出库"),1,0)</f>
        <v>0</v>
      </c>
      <c r="AC1688" s="1" t="n">
        <f aca="false">N(AC1687)+$AB1688</f>
        <v>19</v>
      </c>
      <c r="AD1688" s="1" t="n">
        <f aca="false">IF(AND($M1688=1,LEFT(对接源_02物料!$D488,4)="成品出库"),1,0)</f>
        <v>0</v>
      </c>
      <c r="AE1688" s="1" t="n">
        <f aca="false">N(AE1687)+$AD1688</f>
        <v>38</v>
      </c>
      <c r="AF1688" s="1" t="n">
        <f aca="false">IF(AND($N1688=1,AND(LEFT(对接源_02物料!$D488,4)="包装物料",N(对接源_02物料!$K488)&lt;&gt;0)),1,0)</f>
        <v>0</v>
      </c>
      <c r="AG1688" s="1" t="n">
        <f aca="false">N(AG1687)+$AF1688</f>
        <v>6</v>
      </c>
      <c r="AH1688" s="1" t="n">
        <f aca="false">IF(AND($N1688=1,AND(LEFT(对接源_02物料!$D488,3)="周转筐",N(对接源_02物料!$K488)&lt;&gt;0)),1,0)</f>
        <v>0</v>
      </c>
      <c r="AI1688" s="1" t="n">
        <f aca="false">N(AI1687)+$AH1688</f>
        <v>0</v>
      </c>
      <c r="AJ1688" s="1" t="n">
        <v>0</v>
      </c>
      <c r="AK1688" s="1" t="n">
        <f aca="false">N(AK1687)+$AJ1688</f>
        <v>3672</v>
      </c>
    </row>
    <row r="1689" customFormat="false" ht="13.5" hidden="false" customHeight="false" outlineLevel="0" collapsed="false">
      <c r="A1689" s="1" t="str">
        <f aca="false">IF(对接源_02物料!$C489="","",对接源_02物料!$C489)</f>
        <v/>
      </c>
      <c r="B1689" s="1" t="n">
        <f aca="false">IF(A1689="",0,IF(MATCH(A1689,$A$4:$A$2403,0)=ROW()-3,1,0))</f>
        <v>0</v>
      </c>
      <c r="C1689" s="1" t="n">
        <f aca="false">N(C1688)+B1689</f>
        <v>17</v>
      </c>
      <c r="K1689" s="1" t="n">
        <f aca="false">IF(OR($K$1="",对接源_02物料!$C489="",对接源_02物料!$C489&lt;&gt;$K$1,对接源_02物料!$B489=""),0,IF(OR(N(对接源_02物料!$B489)&lt;$K$2,N(对接源_02物料!$B489)&gt;$K$3),0,1))</f>
        <v>0</v>
      </c>
      <c r="L1689" s="1" t="n">
        <f aca="false">IF(OR($L$1="",对接源_02物料!$C489="",对接源_02物料!$C489&lt;&gt;$L$1,对接源_02物料!$B489=""),0,IF(OR(N(对接源_02物料!$B489)&lt;$L$2,N(对接源_02物料!$B489)&gt;$L$3),0,1))</f>
        <v>0</v>
      </c>
      <c r="M1689" s="1" t="n">
        <f aca="false">IF(OR($M$1="",对接源_02物料!$C489="",对接源_02物料!$C489&lt;&gt;$M$1,对接源_02物料!$B489=""),0,IF(OR(N(对接源_02物料!$B489)&lt;$M$2,N(对接源_02物料!$B489)&gt;$M$3),0,1))</f>
        <v>0</v>
      </c>
      <c r="N1689" s="1" t="n">
        <f aca="false">IF(OR($N$1="",对接源_02物料!$C489="",对接源_02物料!$C489&lt;&gt;$N$1,对接源_02物料!$B489=""),0,IF(OR(N(对接源_02物料!$B489)&lt;$N$2,N(对接源_02物料!$B489)&gt;$N$3),0,1))</f>
        <v>0</v>
      </c>
      <c r="P1689" s="1" t="n">
        <f aca="false">IF(AND($K1689=1,AND(对接源_02物料!$X489="公司筐",N(对接源_02物料!$T489)&lt;&gt;0)),1,0)</f>
        <v>0</v>
      </c>
      <c r="Q1689" s="1" t="n">
        <f aca="false">N(Q1688)+$P1689</f>
        <v>13</v>
      </c>
      <c r="R1689" s="1" t="n">
        <f aca="false">IF(AND($K1689=1,AND(对接源_02物料!$X489="公司筐",N(对接源_02物料!$U489)&lt;&gt;0)),1,0)</f>
        <v>0</v>
      </c>
      <c r="S1689" s="1" t="n">
        <f aca="false">N(S1688)+$R1689</f>
        <v>5</v>
      </c>
      <c r="T1689" s="1" t="n">
        <f aca="false">IF(AND($K1689=1,AND(对接源_02物料!$X489="公司筐",N(对接源_02物料!$V489)&lt;&gt;0)),1,0)</f>
        <v>0</v>
      </c>
      <c r="U1689" s="1" t="n">
        <f aca="false">N(U1688)+$T1689</f>
        <v>28</v>
      </c>
      <c r="V1689" s="1" t="n">
        <f aca="false">IF(AND($L1689=1,AND(对接源_02物料!$X489="自备筐",N(对接源_02物料!$V489)&lt;&gt;0)),1,0)</f>
        <v>0</v>
      </c>
      <c r="W1689" s="1" t="n">
        <f aca="false">N(W1688)+$V1689</f>
        <v>7</v>
      </c>
      <c r="X1689" s="1" t="n">
        <f aca="false">IF(AND($L1689=1,AND(对接源_02物料!$X489="自备筐",N(对接源_02物料!$T489)&lt;&gt;0)),1,0)</f>
        <v>0</v>
      </c>
      <c r="Y1689" s="1" t="n">
        <f aca="false">N(Y1688)+$X1689</f>
        <v>0</v>
      </c>
      <c r="Z1689" s="1" t="n">
        <f aca="false">IF(AND($M1689=1,对接源_02物料!$D489="原料入库"),1,0)</f>
        <v>0</v>
      </c>
      <c r="AA1689" s="1" t="n">
        <f aca="false">N(AA1688)+$Z1689</f>
        <v>30</v>
      </c>
      <c r="AB1689" s="1" t="n">
        <f aca="false">IF(AND($M1689=1,LEFT(对接源_02物料!$D489,4)="原料出库"),1,0)</f>
        <v>0</v>
      </c>
      <c r="AC1689" s="1" t="n">
        <f aca="false">N(AC1688)+$AB1689</f>
        <v>19</v>
      </c>
      <c r="AD1689" s="1" t="n">
        <f aca="false">IF(AND($M1689=1,LEFT(对接源_02物料!$D489,4)="成品出库"),1,0)</f>
        <v>0</v>
      </c>
      <c r="AE1689" s="1" t="n">
        <f aca="false">N(AE1688)+$AD1689</f>
        <v>38</v>
      </c>
      <c r="AF1689" s="1" t="n">
        <f aca="false">IF(AND($N1689=1,AND(LEFT(对接源_02物料!$D489,4)="包装物料",N(对接源_02物料!$K489)&lt;&gt;0)),1,0)</f>
        <v>0</v>
      </c>
      <c r="AG1689" s="1" t="n">
        <f aca="false">N(AG1688)+$AF1689</f>
        <v>6</v>
      </c>
      <c r="AH1689" s="1" t="n">
        <f aca="false">IF(AND($N1689=1,AND(LEFT(对接源_02物料!$D489,3)="周转筐",N(对接源_02物料!$K489)&lt;&gt;0)),1,0)</f>
        <v>0</v>
      </c>
      <c r="AI1689" s="1" t="n">
        <f aca="false">N(AI1688)+$AH1689</f>
        <v>0</v>
      </c>
      <c r="AJ1689" s="1" t="n">
        <v>0</v>
      </c>
      <c r="AK1689" s="1" t="n">
        <f aca="false">N(AK1688)+$AJ1689</f>
        <v>3672</v>
      </c>
    </row>
    <row r="1690" customFormat="false" ht="13.5" hidden="false" customHeight="false" outlineLevel="0" collapsed="false">
      <c r="A1690" s="1" t="str">
        <f aca="false">IF(对接源_02物料!$C490="","",对接源_02物料!$C490)</f>
        <v/>
      </c>
      <c r="B1690" s="1" t="n">
        <f aca="false">IF(A1690="",0,IF(MATCH(A1690,$A$4:$A$2403,0)=ROW()-3,1,0))</f>
        <v>0</v>
      </c>
      <c r="C1690" s="1" t="n">
        <f aca="false">N(C1689)+B1690</f>
        <v>17</v>
      </c>
      <c r="K1690" s="1" t="n">
        <f aca="false">IF(OR($K$1="",对接源_02物料!$C490="",对接源_02物料!$C490&lt;&gt;$K$1,对接源_02物料!$B490=""),0,IF(OR(N(对接源_02物料!$B490)&lt;$K$2,N(对接源_02物料!$B490)&gt;$K$3),0,1))</f>
        <v>0</v>
      </c>
      <c r="L1690" s="1" t="n">
        <f aca="false">IF(OR($L$1="",对接源_02物料!$C490="",对接源_02物料!$C490&lt;&gt;$L$1,对接源_02物料!$B490=""),0,IF(OR(N(对接源_02物料!$B490)&lt;$L$2,N(对接源_02物料!$B490)&gt;$L$3),0,1))</f>
        <v>0</v>
      </c>
      <c r="M1690" s="1" t="n">
        <f aca="false">IF(OR($M$1="",对接源_02物料!$C490="",对接源_02物料!$C490&lt;&gt;$M$1,对接源_02物料!$B490=""),0,IF(OR(N(对接源_02物料!$B490)&lt;$M$2,N(对接源_02物料!$B490)&gt;$M$3),0,1))</f>
        <v>0</v>
      </c>
      <c r="N1690" s="1" t="n">
        <f aca="false">IF(OR($N$1="",对接源_02物料!$C490="",对接源_02物料!$C490&lt;&gt;$N$1,对接源_02物料!$B490=""),0,IF(OR(N(对接源_02物料!$B490)&lt;$N$2,N(对接源_02物料!$B490)&gt;$N$3),0,1))</f>
        <v>0</v>
      </c>
      <c r="P1690" s="1" t="n">
        <f aca="false">IF(AND($K1690=1,AND(对接源_02物料!$X490="公司筐",N(对接源_02物料!$T490)&lt;&gt;0)),1,0)</f>
        <v>0</v>
      </c>
      <c r="Q1690" s="1" t="n">
        <f aca="false">N(Q1689)+$P1690</f>
        <v>13</v>
      </c>
      <c r="R1690" s="1" t="n">
        <f aca="false">IF(AND($K1690=1,AND(对接源_02物料!$X490="公司筐",N(对接源_02物料!$U490)&lt;&gt;0)),1,0)</f>
        <v>0</v>
      </c>
      <c r="S1690" s="1" t="n">
        <f aca="false">N(S1689)+$R1690</f>
        <v>5</v>
      </c>
      <c r="T1690" s="1" t="n">
        <f aca="false">IF(AND($K1690=1,AND(对接源_02物料!$X490="公司筐",N(对接源_02物料!$V490)&lt;&gt;0)),1,0)</f>
        <v>0</v>
      </c>
      <c r="U1690" s="1" t="n">
        <f aca="false">N(U1689)+$T1690</f>
        <v>28</v>
      </c>
      <c r="V1690" s="1" t="n">
        <f aca="false">IF(AND($L1690=1,AND(对接源_02物料!$X490="自备筐",N(对接源_02物料!$V490)&lt;&gt;0)),1,0)</f>
        <v>0</v>
      </c>
      <c r="W1690" s="1" t="n">
        <f aca="false">N(W1689)+$V1690</f>
        <v>7</v>
      </c>
      <c r="X1690" s="1" t="n">
        <f aca="false">IF(AND($L1690=1,AND(对接源_02物料!$X490="自备筐",N(对接源_02物料!$T490)&lt;&gt;0)),1,0)</f>
        <v>0</v>
      </c>
      <c r="Y1690" s="1" t="n">
        <f aca="false">N(Y1689)+$X1690</f>
        <v>0</v>
      </c>
      <c r="Z1690" s="1" t="n">
        <f aca="false">IF(AND($M1690=1,对接源_02物料!$D490="原料入库"),1,0)</f>
        <v>0</v>
      </c>
      <c r="AA1690" s="1" t="n">
        <f aca="false">N(AA1689)+$Z1690</f>
        <v>30</v>
      </c>
      <c r="AB1690" s="1" t="n">
        <f aca="false">IF(AND($M1690=1,LEFT(对接源_02物料!$D490,4)="原料出库"),1,0)</f>
        <v>0</v>
      </c>
      <c r="AC1690" s="1" t="n">
        <f aca="false">N(AC1689)+$AB1690</f>
        <v>19</v>
      </c>
      <c r="AD1690" s="1" t="n">
        <f aca="false">IF(AND($M1690=1,LEFT(对接源_02物料!$D490,4)="成品出库"),1,0)</f>
        <v>0</v>
      </c>
      <c r="AE1690" s="1" t="n">
        <f aca="false">N(AE1689)+$AD1690</f>
        <v>38</v>
      </c>
      <c r="AF1690" s="1" t="n">
        <f aca="false">IF(AND($N1690=1,AND(LEFT(对接源_02物料!$D490,4)="包装物料",N(对接源_02物料!$K490)&lt;&gt;0)),1,0)</f>
        <v>0</v>
      </c>
      <c r="AG1690" s="1" t="n">
        <f aca="false">N(AG1689)+$AF1690</f>
        <v>6</v>
      </c>
      <c r="AH1690" s="1" t="n">
        <f aca="false">IF(AND($N1690=1,AND(LEFT(对接源_02物料!$D490,3)="周转筐",N(对接源_02物料!$K490)&lt;&gt;0)),1,0)</f>
        <v>0</v>
      </c>
      <c r="AI1690" s="1" t="n">
        <f aca="false">N(AI1689)+$AH1690</f>
        <v>0</v>
      </c>
      <c r="AJ1690" s="1" t="n">
        <v>0</v>
      </c>
      <c r="AK1690" s="1" t="n">
        <f aca="false">N(AK1689)+$AJ1690</f>
        <v>3672</v>
      </c>
    </row>
    <row r="1691" customFormat="false" ht="13.5" hidden="false" customHeight="false" outlineLevel="0" collapsed="false">
      <c r="A1691" s="1" t="str">
        <f aca="false">IF(对接源_02物料!$C491="","",对接源_02物料!$C491)</f>
        <v/>
      </c>
      <c r="B1691" s="1" t="n">
        <f aca="false">IF(A1691="",0,IF(MATCH(A1691,$A$4:$A$2403,0)=ROW()-3,1,0))</f>
        <v>0</v>
      </c>
      <c r="C1691" s="1" t="n">
        <f aca="false">N(C1690)+B1691</f>
        <v>17</v>
      </c>
      <c r="K1691" s="1" t="n">
        <f aca="false">IF(OR($K$1="",对接源_02物料!$C491="",对接源_02物料!$C491&lt;&gt;$K$1,对接源_02物料!$B491=""),0,IF(OR(N(对接源_02物料!$B491)&lt;$K$2,N(对接源_02物料!$B491)&gt;$K$3),0,1))</f>
        <v>0</v>
      </c>
      <c r="L1691" s="1" t="n">
        <f aca="false">IF(OR($L$1="",对接源_02物料!$C491="",对接源_02物料!$C491&lt;&gt;$L$1,对接源_02物料!$B491=""),0,IF(OR(N(对接源_02物料!$B491)&lt;$L$2,N(对接源_02物料!$B491)&gt;$L$3),0,1))</f>
        <v>0</v>
      </c>
      <c r="M1691" s="1" t="n">
        <f aca="false">IF(OR($M$1="",对接源_02物料!$C491="",对接源_02物料!$C491&lt;&gt;$M$1,对接源_02物料!$B491=""),0,IF(OR(N(对接源_02物料!$B491)&lt;$M$2,N(对接源_02物料!$B491)&gt;$M$3),0,1))</f>
        <v>0</v>
      </c>
      <c r="N1691" s="1" t="n">
        <f aca="false">IF(OR($N$1="",对接源_02物料!$C491="",对接源_02物料!$C491&lt;&gt;$N$1,对接源_02物料!$B491=""),0,IF(OR(N(对接源_02物料!$B491)&lt;$N$2,N(对接源_02物料!$B491)&gt;$N$3),0,1))</f>
        <v>0</v>
      </c>
      <c r="P1691" s="1" t="n">
        <f aca="false">IF(AND($K1691=1,AND(对接源_02物料!$X491="公司筐",N(对接源_02物料!$T491)&lt;&gt;0)),1,0)</f>
        <v>0</v>
      </c>
      <c r="Q1691" s="1" t="n">
        <f aca="false">N(Q1690)+$P1691</f>
        <v>13</v>
      </c>
      <c r="R1691" s="1" t="n">
        <f aca="false">IF(AND($K1691=1,AND(对接源_02物料!$X491="公司筐",N(对接源_02物料!$U491)&lt;&gt;0)),1,0)</f>
        <v>0</v>
      </c>
      <c r="S1691" s="1" t="n">
        <f aca="false">N(S1690)+$R1691</f>
        <v>5</v>
      </c>
      <c r="T1691" s="1" t="n">
        <f aca="false">IF(AND($K1691=1,AND(对接源_02物料!$X491="公司筐",N(对接源_02物料!$V491)&lt;&gt;0)),1,0)</f>
        <v>0</v>
      </c>
      <c r="U1691" s="1" t="n">
        <f aca="false">N(U1690)+$T1691</f>
        <v>28</v>
      </c>
      <c r="V1691" s="1" t="n">
        <f aca="false">IF(AND($L1691=1,AND(对接源_02物料!$X491="自备筐",N(对接源_02物料!$V491)&lt;&gt;0)),1,0)</f>
        <v>0</v>
      </c>
      <c r="W1691" s="1" t="n">
        <f aca="false">N(W1690)+$V1691</f>
        <v>7</v>
      </c>
      <c r="X1691" s="1" t="n">
        <f aca="false">IF(AND($L1691=1,AND(对接源_02物料!$X491="自备筐",N(对接源_02物料!$T491)&lt;&gt;0)),1,0)</f>
        <v>0</v>
      </c>
      <c r="Y1691" s="1" t="n">
        <f aca="false">N(Y1690)+$X1691</f>
        <v>0</v>
      </c>
      <c r="Z1691" s="1" t="n">
        <f aca="false">IF(AND($M1691=1,对接源_02物料!$D491="原料入库"),1,0)</f>
        <v>0</v>
      </c>
      <c r="AA1691" s="1" t="n">
        <f aca="false">N(AA1690)+$Z1691</f>
        <v>30</v>
      </c>
      <c r="AB1691" s="1" t="n">
        <f aca="false">IF(AND($M1691=1,LEFT(对接源_02物料!$D491,4)="原料出库"),1,0)</f>
        <v>0</v>
      </c>
      <c r="AC1691" s="1" t="n">
        <f aca="false">N(AC1690)+$AB1691</f>
        <v>19</v>
      </c>
      <c r="AD1691" s="1" t="n">
        <f aca="false">IF(AND($M1691=1,LEFT(对接源_02物料!$D491,4)="成品出库"),1,0)</f>
        <v>0</v>
      </c>
      <c r="AE1691" s="1" t="n">
        <f aca="false">N(AE1690)+$AD1691</f>
        <v>38</v>
      </c>
      <c r="AF1691" s="1" t="n">
        <f aca="false">IF(AND($N1691=1,AND(LEFT(对接源_02物料!$D491,4)="包装物料",N(对接源_02物料!$K491)&lt;&gt;0)),1,0)</f>
        <v>0</v>
      </c>
      <c r="AG1691" s="1" t="n">
        <f aca="false">N(AG1690)+$AF1691</f>
        <v>6</v>
      </c>
      <c r="AH1691" s="1" t="n">
        <f aca="false">IF(AND($N1691=1,AND(LEFT(对接源_02物料!$D491,3)="周转筐",N(对接源_02物料!$K491)&lt;&gt;0)),1,0)</f>
        <v>0</v>
      </c>
      <c r="AI1691" s="1" t="n">
        <f aca="false">N(AI1690)+$AH1691</f>
        <v>0</v>
      </c>
      <c r="AJ1691" s="1" t="n">
        <v>0</v>
      </c>
      <c r="AK1691" s="1" t="n">
        <f aca="false">N(AK1690)+$AJ1691</f>
        <v>3672</v>
      </c>
    </row>
    <row r="1692" customFormat="false" ht="13.5" hidden="false" customHeight="false" outlineLevel="0" collapsed="false">
      <c r="A1692" s="1" t="str">
        <f aca="false">IF(对接源_02物料!$C492="","",对接源_02物料!$C492)</f>
        <v/>
      </c>
      <c r="B1692" s="1" t="n">
        <f aca="false">IF(A1692="",0,IF(MATCH(A1692,$A$4:$A$2403,0)=ROW()-3,1,0))</f>
        <v>0</v>
      </c>
      <c r="C1692" s="1" t="n">
        <f aca="false">N(C1691)+B1692</f>
        <v>17</v>
      </c>
      <c r="K1692" s="1" t="n">
        <f aca="false">IF(OR($K$1="",对接源_02物料!$C492="",对接源_02物料!$C492&lt;&gt;$K$1,对接源_02物料!$B492=""),0,IF(OR(N(对接源_02物料!$B492)&lt;$K$2,N(对接源_02物料!$B492)&gt;$K$3),0,1))</f>
        <v>0</v>
      </c>
      <c r="L1692" s="1" t="n">
        <f aca="false">IF(OR($L$1="",对接源_02物料!$C492="",对接源_02物料!$C492&lt;&gt;$L$1,对接源_02物料!$B492=""),0,IF(OR(N(对接源_02物料!$B492)&lt;$L$2,N(对接源_02物料!$B492)&gt;$L$3),0,1))</f>
        <v>0</v>
      </c>
      <c r="M1692" s="1" t="n">
        <f aca="false">IF(OR($M$1="",对接源_02物料!$C492="",对接源_02物料!$C492&lt;&gt;$M$1,对接源_02物料!$B492=""),0,IF(OR(N(对接源_02物料!$B492)&lt;$M$2,N(对接源_02物料!$B492)&gt;$M$3),0,1))</f>
        <v>0</v>
      </c>
      <c r="N1692" s="1" t="n">
        <f aca="false">IF(OR($N$1="",对接源_02物料!$C492="",对接源_02物料!$C492&lt;&gt;$N$1,对接源_02物料!$B492=""),0,IF(OR(N(对接源_02物料!$B492)&lt;$N$2,N(对接源_02物料!$B492)&gt;$N$3),0,1))</f>
        <v>0</v>
      </c>
      <c r="P1692" s="1" t="n">
        <f aca="false">IF(AND($K1692=1,AND(对接源_02物料!$X492="公司筐",N(对接源_02物料!$T492)&lt;&gt;0)),1,0)</f>
        <v>0</v>
      </c>
      <c r="Q1692" s="1" t="n">
        <f aca="false">N(Q1691)+$P1692</f>
        <v>13</v>
      </c>
      <c r="R1692" s="1" t="n">
        <f aca="false">IF(AND($K1692=1,AND(对接源_02物料!$X492="公司筐",N(对接源_02物料!$U492)&lt;&gt;0)),1,0)</f>
        <v>0</v>
      </c>
      <c r="S1692" s="1" t="n">
        <f aca="false">N(S1691)+$R1692</f>
        <v>5</v>
      </c>
      <c r="T1692" s="1" t="n">
        <f aca="false">IF(AND($K1692=1,AND(对接源_02物料!$X492="公司筐",N(对接源_02物料!$V492)&lt;&gt;0)),1,0)</f>
        <v>0</v>
      </c>
      <c r="U1692" s="1" t="n">
        <f aca="false">N(U1691)+$T1692</f>
        <v>28</v>
      </c>
      <c r="V1692" s="1" t="n">
        <f aca="false">IF(AND($L1692=1,AND(对接源_02物料!$X492="自备筐",N(对接源_02物料!$V492)&lt;&gt;0)),1,0)</f>
        <v>0</v>
      </c>
      <c r="W1692" s="1" t="n">
        <f aca="false">N(W1691)+$V1692</f>
        <v>7</v>
      </c>
      <c r="X1692" s="1" t="n">
        <f aca="false">IF(AND($L1692=1,AND(对接源_02物料!$X492="自备筐",N(对接源_02物料!$T492)&lt;&gt;0)),1,0)</f>
        <v>0</v>
      </c>
      <c r="Y1692" s="1" t="n">
        <f aca="false">N(Y1691)+$X1692</f>
        <v>0</v>
      </c>
      <c r="Z1692" s="1" t="n">
        <f aca="false">IF(AND($M1692=1,对接源_02物料!$D492="原料入库"),1,0)</f>
        <v>0</v>
      </c>
      <c r="AA1692" s="1" t="n">
        <f aca="false">N(AA1691)+$Z1692</f>
        <v>30</v>
      </c>
      <c r="AB1692" s="1" t="n">
        <f aca="false">IF(AND($M1692=1,LEFT(对接源_02物料!$D492,4)="原料出库"),1,0)</f>
        <v>0</v>
      </c>
      <c r="AC1692" s="1" t="n">
        <f aca="false">N(AC1691)+$AB1692</f>
        <v>19</v>
      </c>
      <c r="AD1692" s="1" t="n">
        <f aca="false">IF(AND($M1692=1,LEFT(对接源_02物料!$D492,4)="成品出库"),1,0)</f>
        <v>0</v>
      </c>
      <c r="AE1692" s="1" t="n">
        <f aca="false">N(AE1691)+$AD1692</f>
        <v>38</v>
      </c>
      <c r="AF1692" s="1" t="n">
        <f aca="false">IF(AND($N1692=1,AND(LEFT(对接源_02物料!$D492,4)="包装物料",N(对接源_02物料!$K492)&lt;&gt;0)),1,0)</f>
        <v>0</v>
      </c>
      <c r="AG1692" s="1" t="n">
        <f aca="false">N(AG1691)+$AF1692</f>
        <v>6</v>
      </c>
      <c r="AH1692" s="1" t="n">
        <f aca="false">IF(AND($N1692=1,AND(LEFT(对接源_02物料!$D492,3)="周转筐",N(对接源_02物料!$K492)&lt;&gt;0)),1,0)</f>
        <v>0</v>
      </c>
      <c r="AI1692" s="1" t="n">
        <f aca="false">N(AI1691)+$AH1692</f>
        <v>0</v>
      </c>
      <c r="AJ1692" s="1" t="n">
        <v>0</v>
      </c>
      <c r="AK1692" s="1" t="n">
        <f aca="false">N(AK1691)+$AJ1692</f>
        <v>3672</v>
      </c>
    </row>
    <row r="1693" customFormat="false" ht="13.5" hidden="false" customHeight="false" outlineLevel="0" collapsed="false">
      <c r="A1693" s="1" t="str">
        <f aca="false">IF(对接源_02物料!$C493="","",对接源_02物料!$C493)</f>
        <v/>
      </c>
      <c r="B1693" s="1" t="n">
        <f aca="false">IF(A1693="",0,IF(MATCH(A1693,$A$4:$A$2403,0)=ROW()-3,1,0))</f>
        <v>0</v>
      </c>
      <c r="C1693" s="1" t="n">
        <f aca="false">N(C1692)+B1693</f>
        <v>17</v>
      </c>
      <c r="K1693" s="1" t="n">
        <f aca="false">IF(OR($K$1="",对接源_02物料!$C493="",对接源_02物料!$C493&lt;&gt;$K$1,对接源_02物料!$B493=""),0,IF(OR(N(对接源_02物料!$B493)&lt;$K$2,N(对接源_02物料!$B493)&gt;$K$3),0,1))</f>
        <v>0</v>
      </c>
      <c r="L1693" s="1" t="n">
        <f aca="false">IF(OR($L$1="",对接源_02物料!$C493="",对接源_02物料!$C493&lt;&gt;$L$1,对接源_02物料!$B493=""),0,IF(OR(N(对接源_02物料!$B493)&lt;$L$2,N(对接源_02物料!$B493)&gt;$L$3),0,1))</f>
        <v>0</v>
      </c>
      <c r="M1693" s="1" t="n">
        <f aca="false">IF(OR($M$1="",对接源_02物料!$C493="",对接源_02物料!$C493&lt;&gt;$M$1,对接源_02物料!$B493=""),0,IF(OR(N(对接源_02物料!$B493)&lt;$M$2,N(对接源_02物料!$B493)&gt;$M$3),0,1))</f>
        <v>0</v>
      </c>
      <c r="N1693" s="1" t="n">
        <f aca="false">IF(OR($N$1="",对接源_02物料!$C493="",对接源_02物料!$C493&lt;&gt;$N$1,对接源_02物料!$B493=""),0,IF(OR(N(对接源_02物料!$B493)&lt;$N$2,N(对接源_02物料!$B493)&gt;$N$3),0,1))</f>
        <v>0</v>
      </c>
      <c r="P1693" s="1" t="n">
        <f aca="false">IF(AND($K1693=1,AND(对接源_02物料!$X493="公司筐",N(对接源_02物料!$T493)&lt;&gt;0)),1,0)</f>
        <v>0</v>
      </c>
      <c r="Q1693" s="1" t="n">
        <f aca="false">N(Q1692)+$P1693</f>
        <v>13</v>
      </c>
      <c r="R1693" s="1" t="n">
        <f aca="false">IF(AND($K1693=1,AND(对接源_02物料!$X493="公司筐",N(对接源_02物料!$U493)&lt;&gt;0)),1,0)</f>
        <v>0</v>
      </c>
      <c r="S1693" s="1" t="n">
        <f aca="false">N(S1692)+$R1693</f>
        <v>5</v>
      </c>
      <c r="T1693" s="1" t="n">
        <f aca="false">IF(AND($K1693=1,AND(对接源_02物料!$X493="公司筐",N(对接源_02物料!$V493)&lt;&gt;0)),1,0)</f>
        <v>0</v>
      </c>
      <c r="U1693" s="1" t="n">
        <f aca="false">N(U1692)+$T1693</f>
        <v>28</v>
      </c>
      <c r="V1693" s="1" t="n">
        <f aca="false">IF(AND($L1693=1,AND(对接源_02物料!$X493="自备筐",N(对接源_02物料!$V493)&lt;&gt;0)),1,0)</f>
        <v>0</v>
      </c>
      <c r="W1693" s="1" t="n">
        <f aca="false">N(W1692)+$V1693</f>
        <v>7</v>
      </c>
      <c r="X1693" s="1" t="n">
        <f aca="false">IF(AND($L1693=1,AND(对接源_02物料!$X493="自备筐",N(对接源_02物料!$T493)&lt;&gt;0)),1,0)</f>
        <v>0</v>
      </c>
      <c r="Y1693" s="1" t="n">
        <f aca="false">N(Y1692)+$X1693</f>
        <v>0</v>
      </c>
      <c r="Z1693" s="1" t="n">
        <f aca="false">IF(AND($M1693=1,对接源_02物料!$D493="原料入库"),1,0)</f>
        <v>0</v>
      </c>
      <c r="AA1693" s="1" t="n">
        <f aca="false">N(AA1692)+$Z1693</f>
        <v>30</v>
      </c>
      <c r="AB1693" s="1" t="n">
        <f aca="false">IF(AND($M1693=1,LEFT(对接源_02物料!$D493,4)="原料出库"),1,0)</f>
        <v>0</v>
      </c>
      <c r="AC1693" s="1" t="n">
        <f aca="false">N(AC1692)+$AB1693</f>
        <v>19</v>
      </c>
      <c r="AD1693" s="1" t="n">
        <f aca="false">IF(AND($M1693=1,LEFT(对接源_02物料!$D493,4)="成品出库"),1,0)</f>
        <v>0</v>
      </c>
      <c r="AE1693" s="1" t="n">
        <f aca="false">N(AE1692)+$AD1693</f>
        <v>38</v>
      </c>
      <c r="AF1693" s="1" t="n">
        <f aca="false">IF(AND($N1693=1,AND(LEFT(对接源_02物料!$D493,4)="包装物料",N(对接源_02物料!$K493)&lt;&gt;0)),1,0)</f>
        <v>0</v>
      </c>
      <c r="AG1693" s="1" t="n">
        <f aca="false">N(AG1692)+$AF1693</f>
        <v>6</v>
      </c>
      <c r="AH1693" s="1" t="n">
        <f aca="false">IF(AND($N1693=1,AND(LEFT(对接源_02物料!$D493,3)="周转筐",N(对接源_02物料!$K493)&lt;&gt;0)),1,0)</f>
        <v>0</v>
      </c>
      <c r="AI1693" s="1" t="n">
        <f aca="false">N(AI1692)+$AH1693</f>
        <v>0</v>
      </c>
      <c r="AJ1693" s="1" t="n">
        <v>0</v>
      </c>
      <c r="AK1693" s="1" t="n">
        <f aca="false">N(AK1692)+$AJ1693</f>
        <v>3672</v>
      </c>
    </row>
    <row r="1694" customFormat="false" ht="13.5" hidden="false" customHeight="false" outlineLevel="0" collapsed="false">
      <c r="A1694" s="1" t="str">
        <f aca="false">IF(对接源_02物料!$C494="","",对接源_02物料!$C494)</f>
        <v/>
      </c>
      <c r="B1694" s="1" t="n">
        <f aca="false">IF(A1694="",0,IF(MATCH(A1694,$A$4:$A$2403,0)=ROW()-3,1,0))</f>
        <v>0</v>
      </c>
      <c r="C1694" s="1" t="n">
        <f aca="false">N(C1693)+B1694</f>
        <v>17</v>
      </c>
      <c r="K1694" s="1" t="n">
        <f aca="false">IF(OR($K$1="",对接源_02物料!$C494="",对接源_02物料!$C494&lt;&gt;$K$1,对接源_02物料!$B494=""),0,IF(OR(N(对接源_02物料!$B494)&lt;$K$2,N(对接源_02物料!$B494)&gt;$K$3),0,1))</f>
        <v>0</v>
      </c>
      <c r="L1694" s="1" t="n">
        <f aca="false">IF(OR($L$1="",对接源_02物料!$C494="",对接源_02物料!$C494&lt;&gt;$L$1,对接源_02物料!$B494=""),0,IF(OR(N(对接源_02物料!$B494)&lt;$L$2,N(对接源_02物料!$B494)&gt;$L$3),0,1))</f>
        <v>0</v>
      </c>
      <c r="M1694" s="1" t="n">
        <f aca="false">IF(OR($M$1="",对接源_02物料!$C494="",对接源_02物料!$C494&lt;&gt;$M$1,对接源_02物料!$B494=""),0,IF(OR(N(对接源_02物料!$B494)&lt;$M$2,N(对接源_02物料!$B494)&gt;$M$3),0,1))</f>
        <v>0</v>
      </c>
      <c r="N1694" s="1" t="n">
        <f aca="false">IF(OR($N$1="",对接源_02物料!$C494="",对接源_02物料!$C494&lt;&gt;$N$1,对接源_02物料!$B494=""),0,IF(OR(N(对接源_02物料!$B494)&lt;$N$2,N(对接源_02物料!$B494)&gt;$N$3),0,1))</f>
        <v>0</v>
      </c>
      <c r="P1694" s="1" t="n">
        <f aca="false">IF(AND($K1694=1,AND(对接源_02物料!$X494="公司筐",N(对接源_02物料!$T494)&lt;&gt;0)),1,0)</f>
        <v>0</v>
      </c>
      <c r="Q1694" s="1" t="n">
        <f aca="false">N(Q1693)+$P1694</f>
        <v>13</v>
      </c>
      <c r="R1694" s="1" t="n">
        <f aca="false">IF(AND($K1694=1,AND(对接源_02物料!$X494="公司筐",N(对接源_02物料!$U494)&lt;&gt;0)),1,0)</f>
        <v>0</v>
      </c>
      <c r="S1694" s="1" t="n">
        <f aca="false">N(S1693)+$R1694</f>
        <v>5</v>
      </c>
      <c r="T1694" s="1" t="n">
        <f aca="false">IF(AND($K1694=1,AND(对接源_02物料!$X494="公司筐",N(对接源_02物料!$V494)&lt;&gt;0)),1,0)</f>
        <v>0</v>
      </c>
      <c r="U1694" s="1" t="n">
        <f aca="false">N(U1693)+$T1694</f>
        <v>28</v>
      </c>
      <c r="V1694" s="1" t="n">
        <f aca="false">IF(AND($L1694=1,AND(对接源_02物料!$X494="自备筐",N(对接源_02物料!$V494)&lt;&gt;0)),1,0)</f>
        <v>0</v>
      </c>
      <c r="W1694" s="1" t="n">
        <f aca="false">N(W1693)+$V1694</f>
        <v>7</v>
      </c>
      <c r="X1694" s="1" t="n">
        <f aca="false">IF(AND($L1694=1,AND(对接源_02物料!$X494="自备筐",N(对接源_02物料!$T494)&lt;&gt;0)),1,0)</f>
        <v>0</v>
      </c>
      <c r="Y1694" s="1" t="n">
        <f aca="false">N(Y1693)+$X1694</f>
        <v>0</v>
      </c>
      <c r="Z1694" s="1" t="n">
        <f aca="false">IF(AND($M1694=1,对接源_02物料!$D494="原料入库"),1,0)</f>
        <v>0</v>
      </c>
      <c r="AA1694" s="1" t="n">
        <f aca="false">N(AA1693)+$Z1694</f>
        <v>30</v>
      </c>
      <c r="AB1694" s="1" t="n">
        <f aca="false">IF(AND($M1694=1,LEFT(对接源_02物料!$D494,4)="原料出库"),1,0)</f>
        <v>0</v>
      </c>
      <c r="AC1694" s="1" t="n">
        <f aca="false">N(AC1693)+$AB1694</f>
        <v>19</v>
      </c>
      <c r="AD1694" s="1" t="n">
        <f aca="false">IF(AND($M1694=1,LEFT(对接源_02物料!$D494,4)="成品出库"),1,0)</f>
        <v>0</v>
      </c>
      <c r="AE1694" s="1" t="n">
        <f aca="false">N(AE1693)+$AD1694</f>
        <v>38</v>
      </c>
      <c r="AF1694" s="1" t="n">
        <f aca="false">IF(AND($N1694=1,AND(LEFT(对接源_02物料!$D494,4)="包装物料",N(对接源_02物料!$K494)&lt;&gt;0)),1,0)</f>
        <v>0</v>
      </c>
      <c r="AG1694" s="1" t="n">
        <f aca="false">N(AG1693)+$AF1694</f>
        <v>6</v>
      </c>
      <c r="AH1694" s="1" t="n">
        <f aca="false">IF(AND($N1694=1,AND(LEFT(对接源_02物料!$D494,3)="周转筐",N(对接源_02物料!$K494)&lt;&gt;0)),1,0)</f>
        <v>0</v>
      </c>
      <c r="AI1694" s="1" t="n">
        <f aca="false">N(AI1693)+$AH1694</f>
        <v>0</v>
      </c>
      <c r="AJ1694" s="1" t="n">
        <v>0</v>
      </c>
      <c r="AK1694" s="1" t="n">
        <f aca="false">N(AK1693)+$AJ1694</f>
        <v>3672</v>
      </c>
    </row>
    <row r="1695" customFormat="false" ht="13.5" hidden="false" customHeight="false" outlineLevel="0" collapsed="false">
      <c r="A1695" s="1" t="str">
        <f aca="false">IF(对接源_02物料!$C495="","",对接源_02物料!$C495)</f>
        <v/>
      </c>
      <c r="B1695" s="1" t="n">
        <f aca="false">IF(A1695="",0,IF(MATCH(A1695,$A$4:$A$2403,0)=ROW()-3,1,0))</f>
        <v>0</v>
      </c>
      <c r="C1695" s="1" t="n">
        <f aca="false">N(C1694)+B1695</f>
        <v>17</v>
      </c>
      <c r="K1695" s="1" t="n">
        <f aca="false">IF(OR($K$1="",对接源_02物料!$C495="",对接源_02物料!$C495&lt;&gt;$K$1,对接源_02物料!$B495=""),0,IF(OR(N(对接源_02物料!$B495)&lt;$K$2,N(对接源_02物料!$B495)&gt;$K$3),0,1))</f>
        <v>0</v>
      </c>
      <c r="L1695" s="1" t="n">
        <f aca="false">IF(OR($L$1="",对接源_02物料!$C495="",对接源_02物料!$C495&lt;&gt;$L$1,对接源_02物料!$B495=""),0,IF(OR(N(对接源_02物料!$B495)&lt;$L$2,N(对接源_02物料!$B495)&gt;$L$3),0,1))</f>
        <v>0</v>
      </c>
      <c r="M1695" s="1" t="n">
        <f aca="false">IF(OR($M$1="",对接源_02物料!$C495="",对接源_02物料!$C495&lt;&gt;$M$1,对接源_02物料!$B495=""),0,IF(OR(N(对接源_02物料!$B495)&lt;$M$2,N(对接源_02物料!$B495)&gt;$M$3),0,1))</f>
        <v>0</v>
      </c>
      <c r="N1695" s="1" t="n">
        <f aca="false">IF(OR($N$1="",对接源_02物料!$C495="",对接源_02物料!$C495&lt;&gt;$N$1,对接源_02物料!$B495=""),0,IF(OR(N(对接源_02物料!$B495)&lt;$N$2,N(对接源_02物料!$B495)&gt;$N$3),0,1))</f>
        <v>0</v>
      </c>
      <c r="P1695" s="1" t="n">
        <f aca="false">IF(AND($K1695=1,AND(对接源_02物料!$X495="公司筐",N(对接源_02物料!$T495)&lt;&gt;0)),1,0)</f>
        <v>0</v>
      </c>
      <c r="Q1695" s="1" t="n">
        <f aca="false">N(Q1694)+$P1695</f>
        <v>13</v>
      </c>
      <c r="R1695" s="1" t="n">
        <f aca="false">IF(AND($K1695=1,AND(对接源_02物料!$X495="公司筐",N(对接源_02物料!$U495)&lt;&gt;0)),1,0)</f>
        <v>0</v>
      </c>
      <c r="S1695" s="1" t="n">
        <f aca="false">N(S1694)+$R1695</f>
        <v>5</v>
      </c>
      <c r="T1695" s="1" t="n">
        <f aca="false">IF(AND($K1695=1,AND(对接源_02物料!$X495="公司筐",N(对接源_02物料!$V495)&lt;&gt;0)),1,0)</f>
        <v>0</v>
      </c>
      <c r="U1695" s="1" t="n">
        <f aca="false">N(U1694)+$T1695</f>
        <v>28</v>
      </c>
      <c r="V1695" s="1" t="n">
        <f aca="false">IF(AND($L1695=1,AND(对接源_02物料!$X495="自备筐",N(对接源_02物料!$V495)&lt;&gt;0)),1,0)</f>
        <v>0</v>
      </c>
      <c r="W1695" s="1" t="n">
        <f aca="false">N(W1694)+$V1695</f>
        <v>7</v>
      </c>
      <c r="X1695" s="1" t="n">
        <f aca="false">IF(AND($L1695=1,AND(对接源_02物料!$X495="自备筐",N(对接源_02物料!$T495)&lt;&gt;0)),1,0)</f>
        <v>0</v>
      </c>
      <c r="Y1695" s="1" t="n">
        <f aca="false">N(Y1694)+$X1695</f>
        <v>0</v>
      </c>
      <c r="Z1695" s="1" t="n">
        <f aca="false">IF(AND($M1695=1,对接源_02物料!$D495="原料入库"),1,0)</f>
        <v>0</v>
      </c>
      <c r="AA1695" s="1" t="n">
        <f aca="false">N(AA1694)+$Z1695</f>
        <v>30</v>
      </c>
      <c r="AB1695" s="1" t="n">
        <f aca="false">IF(AND($M1695=1,LEFT(对接源_02物料!$D495,4)="原料出库"),1,0)</f>
        <v>0</v>
      </c>
      <c r="AC1695" s="1" t="n">
        <f aca="false">N(AC1694)+$AB1695</f>
        <v>19</v>
      </c>
      <c r="AD1695" s="1" t="n">
        <f aca="false">IF(AND($M1695=1,LEFT(对接源_02物料!$D495,4)="成品出库"),1,0)</f>
        <v>0</v>
      </c>
      <c r="AE1695" s="1" t="n">
        <f aca="false">N(AE1694)+$AD1695</f>
        <v>38</v>
      </c>
      <c r="AF1695" s="1" t="n">
        <f aca="false">IF(AND($N1695=1,AND(LEFT(对接源_02物料!$D495,4)="包装物料",N(对接源_02物料!$K495)&lt;&gt;0)),1,0)</f>
        <v>0</v>
      </c>
      <c r="AG1695" s="1" t="n">
        <f aca="false">N(AG1694)+$AF1695</f>
        <v>6</v>
      </c>
      <c r="AH1695" s="1" t="n">
        <f aca="false">IF(AND($N1695=1,AND(LEFT(对接源_02物料!$D495,3)="周转筐",N(对接源_02物料!$K495)&lt;&gt;0)),1,0)</f>
        <v>0</v>
      </c>
      <c r="AI1695" s="1" t="n">
        <f aca="false">N(AI1694)+$AH1695</f>
        <v>0</v>
      </c>
      <c r="AJ1695" s="1" t="n">
        <v>0</v>
      </c>
      <c r="AK1695" s="1" t="n">
        <f aca="false">N(AK1694)+$AJ1695</f>
        <v>3672</v>
      </c>
    </row>
    <row r="1696" customFormat="false" ht="13.5" hidden="false" customHeight="false" outlineLevel="0" collapsed="false">
      <c r="A1696" s="1" t="str">
        <f aca="false">IF(对接源_02物料!$C496="","",对接源_02物料!$C496)</f>
        <v/>
      </c>
      <c r="B1696" s="1" t="n">
        <f aca="false">IF(A1696="",0,IF(MATCH(A1696,$A$4:$A$2403,0)=ROW()-3,1,0))</f>
        <v>0</v>
      </c>
      <c r="C1696" s="1" t="n">
        <f aca="false">N(C1695)+B1696</f>
        <v>17</v>
      </c>
      <c r="K1696" s="1" t="n">
        <f aca="false">IF(OR($K$1="",对接源_02物料!$C496="",对接源_02物料!$C496&lt;&gt;$K$1,对接源_02物料!$B496=""),0,IF(OR(N(对接源_02物料!$B496)&lt;$K$2,N(对接源_02物料!$B496)&gt;$K$3),0,1))</f>
        <v>0</v>
      </c>
      <c r="L1696" s="1" t="n">
        <f aca="false">IF(OR($L$1="",对接源_02物料!$C496="",对接源_02物料!$C496&lt;&gt;$L$1,对接源_02物料!$B496=""),0,IF(OR(N(对接源_02物料!$B496)&lt;$L$2,N(对接源_02物料!$B496)&gt;$L$3),0,1))</f>
        <v>0</v>
      </c>
      <c r="M1696" s="1" t="n">
        <f aca="false">IF(OR($M$1="",对接源_02物料!$C496="",对接源_02物料!$C496&lt;&gt;$M$1,对接源_02物料!$B496=""),0,IF(OR(N(对接源_02物料!$B496)&lt;$M$2,N(对接源_02物料!$B496)&gt;$M$3),0,1))</f>
        <v>0</v>
      </c>
      <c r="N1696" s="1" t="n">
        <f aca="false">IF(OR($N$1="",对接源_02物料!$C496="",对接源_02物料!$C496&lt;&gt;$N$1,对接源_02物料!$B496=""),0,IF(OR(N(对接源_02物料!$B496)&lt;$N$2,N(对接源_02物料!$B496)&gt;$N$3),0,1))</f>
        <v>0</v>
      </c>
      <c r="P1696" s="1" t="n">
        <f aca="false">IF(AND($K1696=1,AND(对接源_02物料!$X496="公司筐",N(对接源_02物料!$T496)&lt;&gt;0)),1,0)</f>
        <v>0</v>
      </c>
      <c r="Q1696" s="1" t="n">
        <f aca="false">N(Q1695)+$P1696</f>
        <v>13</v>
      </c>
      <c r="R1696" s="1" t="n">
        <f aca="false">IF(AND($K1696=1,AND(对接源_02物料!$X496="公司筐",N(对接源_02物料!$U496)&lt;&gt;0)),1,0)</f>
        <v>0</v>
      </c>
      <c r="S1696" s="1" t="n">
        <f aca="false">N(S1695)+$R1696</f>
        <v>5</v>
      </c>
      <c r="T1696" s="1" t="n">
        <f aca="false">IF(AND($K1696=1,AND(对接源_02物料!$X496="公司筐",N(对接源_02物料!$V496)&lt;&gt;0)),1,0)</f>
        <v>0</v>
      </c>
      <c r="U1696" s="1" t="n">
        <f aca="false">N(U1695)+$T1696</f>
        <v>28</v>
      </c>
      <c r="V1696" s="1" t="n">
        <f aca="false">IF(AND($L1696=1,AND(对接源_02物料!$X496="自备筐",N(对接源_02物料!$V496)&lt;&gt;0)),1,0)</f>
        <v>0</v>
      </c>
      <c r="W1696" s="1" t="n">
        <f aca="false">N(W1695)+$V1696</f>
        <v>7</v>
      </c>
      <c r="X1696" s="1" t="n">
        <f aca="false">IF(AND($L1696=1,AND(对接源_02物料!$X496="自备筐",N(对接源_02物料!$T496)&lt;&gt;0)),1,0)</f>
        <v>0</v>
      </c>
      <c r="Y1696" s="1" t="n">
        <f aca="false">N(Y1695)+$X1696</f>
        <v>0</v>
      </c>
      <c r="Z1696" s="1" t="n">
        <f aca="false">IF(AND($M1696=1,对接源_02物料!$D496="原料入库"),1,0)</f>
        <v>0</v>
      </c>
      <c r="AA1696" s="1" t="n">
        <f aca="false">N(AA1695)+$Z1696</f>
        <v>30</v>
      </c>
      <c r="AB1696" s="1" t="n">
        <f aca="false">IF(AND($M1696=1,LEFT(对接源_02物料!$D496,4)="原料出库"),1,0)</f>
        <v>0</v>
      </c>
      <c r="AC1696" s="1" t="n">
        <f aca="false">N(AC1695)+$AB1696</f>
        <v>19</v>
      </c>
      <c r="AD1696" s="1" t="n">
        <f aca="false">IF(AND($M1696=1,LEFT(对接源_02物料!$D496,4)="成品出库"),1,0)</f>
        <v>0</v>
      </c>
      <c r="AE1696" s="1" t="n">
        <f aca="false">N(AE1695)+$AD1696</f>
        <v>38</v>
      </c>
      <c r="AF1696" s="1" t="n">
        <f aca="false">IF(AND($N1696=1,AND(LEFT(对接源_02物料!$D496,4)="包装物料",N(对接源_02物料!$K496)&lt;&gt;0)),1,0)</f>
        <v>0</v>
      </c>
      <c r="AG1696" s="1" t="n">
        <f aca="false">N(AG1695)+$AF1696</f>
        <v>6</v>
      </c>
      <c r="AH1696" s="1" t="n">
        <f aca="false">IF(AND($N1696=1,AND(LEFT(对接源_02物料!$D496,3)="周转筐",N(对接源_02物料!$K496)&lt;&gt;0)),1,0)</f>
        <v>0</v>
      </c>
      <c r="AI1696" s="1" t="n">
        <f aca="false">N(AI1695)+$AH1696</f>
        <v>0</v>
      </c>
      <c r="AJ1696" s="1" t="n">
        <v>0</v>
      </c>
      <c r="AK1696" s="1" t="n">
        <f aca="false">N(AK1695)+$AJ1696</f>
        <v>3672</v>
      </c>
    </row>
    <row r="1697" customFormat="false" ht="13.5" hidden="false" customHeight="false" outlineLevel="0" collapsed="false">
      <c r="A1697" s="1" t="str">
        <f aca="false">IF(对接源_02物料!$C497="","",对接源_02物料!$C497)</f>
        <v/>
      </c>
      <c r="B1697" s="1" t="n">
        <f aca="false">IF(A1697="",0,IF(MATCH(A1697,$A$4:$A$2403,0)=ROW()-3,1,0))</f>
        <v>0</v>
      </c>
      <c r="C1697" s="1" t="n">
        <f aca="false">N(C1696)+B1697</f>
        <v>17</v>
      </c>
      <c r="K1697" s="1" t="n">
        <f aca="false">IF(OR($K$1="",对接源_02物料!$C497="",对接源_02物料!$C497&lt;&gt;$K$1,对接源_02物料!$B497=""),0,IF(OR(N(对接源_02物料!$B497)&lt;$K$2,N(对接源_02物料!$B497)&gt;$K$3),0,1))</f>
        <v>0</v>
      </c>
      <c r="L1697" s="1" t="n">
        <f aca="false">IF(OR($L$1="",对接源_02物料!$C497="",对接源_02物料!$C497&lt;&gt;$L$1,对接源_02物料!$B497=""),0,IF(OR(N(对接源_02物料!$B497)&lt;$L$2,N(对接源_02物料!$B497)&gt;$L$3),0,1))</f>
        <v>0</v>
      </c>
      <c r="M1697" s="1" t="n">
        <f aca="false">IF(OR($M$1="",对接源_02物料!$C497="",对接源_02物料!$C497&lt;&gt;$M$1,对接源_02物料!$B497=""),0,IF(OR(N(对接源_02物料!$B497)&lt;$M$2,N(对接源_02物料!$B497)&gt;$M$3),0,1))</f>
        <v>0</v>
      </c>
      <c r="N1697" s="1" t="n">
        <f aca="false">IF(OR($N$1="",对接源_02物料!$C497="",对接源_02物料!$C497&lt;&gt;$N$1,对接源_02物料!$B497=""),0,IF(OR(N(对接源_02物料!$B497)&lt;$N$2,N(对接源_02物料!$B497)&gt;$N$3),0,1))</f>
        <v>0</v>
      </c>
      <c r="P1697" s="1" t="n">
        <f aca="false">IF(AND($K1697=1,AND(对接源_02物料!$X497="公司筐",N(对接源_02物料!$T497)&lt;&gt;0)),1,0)</f>
        <v>0</v>
      </c>
      <c r="Q1697" s="1" t="n">
        <f aca="false">N(Q1696)+$P1697</f>
        <v>13</v>
      </c>
      <c r="R1697" s="1" t="n">
        <f aca="false">IF(AND($K1697=1,AND(对接源_02物料!$X497="公司筐",N(对接源_02物料!$U497)&lt;&gt;0)),1,0)</f>
        <v>0</v>
      </c>
      <c r="S1697" s="1" t="n">
        <f aca="false">N(S1696)+$R1697</f>
        <v>5</v>
      </c>
      <c r="T1697" s="1" t="n">
        <f aca="false">IF(AND($K1697=1,AND(对接源_02物料!$X497="公司筐",N(对接源_02物料!$V497)&lt;&gt;0)),1,0)</f>
        <v>0</v>
      </c>
      <c r="U1697" s="1" t="n">
        <f aca="false">N(U1696)+$T1697</f>
        <v>28</v>
      </c>
      <c r="V1697" s="1" t="n">
        <f aca="false">IF(AND($L1697=1,AND(对接源_02物料!$X497="自备筐",N(对接源_02物料!$V497)&lt;&gt;0)),1,0)</f>
        <v>0</v>
      </c>
      <c r="W1697" s="1" t="n">
        <f aca="false">N(W1696)+$V1697</f>
        <v>7</v>
      </c>
      <c r="X1697" s="1" t="n">
        <f aca="false">IF(AND($L1697=1,AND(对接源_02物料!$X497="自备筐",N(对接源_02物料!$T497)&lt;&gt;0)),1,0)</f>
        <v>0</v>
      </c>
      <c r="Y1697" s="1" t="n">
        <f aca="false">N(Y1696)+$X1697</f>
        <v>0</v>
      </c>
      <c r="Z1697" s="1" t="n">
        <f aca="false">IF(AND($M1697=1,对接源_02物料!$D497="原料入库"),1,0)</f>
        <v>0</v>
      </c>
      <c r="AA1697" s="1" t="n">
        <f aca="false">N(AA1696)+$Z1697</f>
        <v>30</v>
      </c>
      <c r="AB1697" s="1" t="n">
        <f aca="false">IF(AND($M1697=1,LEFT(对接源_02物料!$D497,4)="原料出库"),1,0)</f>
        <v>0</v>
      </c>
      <c r="AC1697" s="1" t="n">
        <f aca="false">N(AC1696)+$AB1697</f>
        <v>19</v>
      </c>
      <c r="AD1697" s="1" t="n">
        <f aca="false">IF(AND($M1697=1,LEFT(对接源_02物料!$D497,4)="成品出库"),1,0)</f>
        <v>0</v>
      </c>
      <c r="AE1697" s="1" t="n">
        <f aca="false">N(AE1696)+$AD1697</f>
        <v>38</v>
      </c>
      <c r="AF1697" s="1" t="n">
        <f aca="false">IF(AND($N1697=1,AND(LEFT(对接源_02物料!$D497,4)="包装物料",N(对接源_02物料!$K497)&lt;&gt;0)),1,0)</f>
        <v>0</v>
      </c>
      <c r="AG1697" s="1" t="n">
        <f aca="false">N(AG1696)+$AF1697</f>
        <v>6</v>
      </c>
      <c r="AH1697" s="1" t="n">
        <f aca="false">IF(AND($N1697=1,AND(LEFT(对接源_02物料!$D497,3)="周转筐",N(对接源_02物料!$K497)&lt;&gt;0)),1,0)</f>
        <v>0</v>
      </c>
      <c r="AI1697" s="1" t="n">
        <f aca="false">N(AI1696)+$AH1697</f>
        <v>0</v>
      </c>
      <c r="AJ1697" s="1" t="n">
        <v>0</v>
      </c>
      <c r="AK1697" s="1" t="n">
        <f aca="false">N(AK1696)+$AJ1697</f>
        <v>3672</v>
      </c>
    </row>
    <row r="1698" customFormat="false" ht="13.5" hidden="false" customHeight="false" outlineLevel="0" collapsed="false">
      <c r="A1698" s="1" t="str">
        <f aca="false">IF(对接源_02物料!$C498="","",对接源_02物料!$C498)</f>
        <v/>
      </c>
      <c r="B1698" s="1" t="n">
        <f aca="false">IF(A1698="",0,IF(MATCH(A1698,$A$4:$A$2403,0)=ROW()-3,1,0))</f>
        <v>0</v>
      </c>
      <c r="C1698" s="1" t="n">
        <f aca="false">N(C1697)+B1698</f>
        <v>17</v>
      </c>
      <c r="K1698" s="1" t="n">
        <f aca="false">IF(OR($K$1="",对接源_02物料!$C498="",对接源_02物料!$C498&lt;&gt;$K$1,对接源_02物料!$B498=""),0,IF(OR(N(对接源_02物料!$B498)&lt;$K$2,N(对接源_02物料!$B498)&gt;$K$3),0,1))</f>
        <v>0</v>
      </c>
      <c r="L1698" s="1" t="n">
        <f aca="false">IF(OR($L$1="",对接源_02物料!$C498="",对接源_02物料!$C498&lt;&gt;$L$1,对接源_02物料!$B498=""),0,IF(OR(N(对接源_02物料!$B498)&lt;$L$2,N(对接源_02物料!$B498)&gt;$L$3),0,1))</f>
        <v>0</v>
      </c>
      <c r="M1698" s="1" t="n">
        <f aca="false">IF(OR($M$1="",对接源_02物料!$C498="",对接源_02物料!$C498&lt;&gt;$M$1,对接源_02物料!$B498=""),0,IF(OR(N(对接源_02物料!$B498)&lt;$M$2,N(对接源_02物料!$B498)&gt;$M$3),0,1))</f>
        <v>0</v>
      </c>
      <c r="N1698" s="1" t="n">
        <f aca="false">IF(OR($N$1="",对接源_02物料!$C498="",对接源_02物料!$C498&lt;&gt;$N$1,对接源_02物料!$B498=""),0,IF(OR(N(对接源_02物料!$B498)&lt;$N$2,N(对接源_02物料!$B498)&gt;$N$3),0,1))</f>
        <v>0</v>
      </c>
      <c r="P1698" s="1" t="n">
        <f aca="false">IF(AND($K1698=1,AND(对接源_02物料!$X498="公司筐",N(对接源_02物料!$T498)&lt;&gt;0)),1,0)</f>
        <v>0</v>
      </c>
      <c r="Q1698" s="1" t="n">
        <f aca="false">N(Q1697)+$P1698</f>
        <v>13</v>
      </c>
      <c r="R1698" s="1" t="n">
        <f aca="false">IF(AND($K1698=1,AND(对接源_02物料!$X498="公司筐",N(对接源_02物料!$U498)&lt;&gt;0)),1,0)</f>
        <v>0</v>
      </c>
      <c r="S1698" s="1" t="n">
        <f aca="false">N(S1697)+$R1698</f>
        <v>5</v>
      </c>
      <c r="T1698" s="1" t="n">
        <f aca="false">IF(AND($K1698=1,AND(对接源_02物料!$X498="公司筐",N(对接源_02物料!$V498)&lt;&gt;0)),1,0)</f>
        <v>0</v>
      </c>
      <c r="U1698" s="1" t="n">
        <f aca="false">N(U1697)+$T1698</f>
        <v>28</v>
      </c>
      <c r="V1698" s="1" t="n">
        <f aca="false">IF(AND($L1698=1,AND(对接源_02物料!$X498="自备筐",N(对接源_02物料!$V498)&lt;&gt;0)),1,0)</f>
        <v>0</v>
      </c>
      <c r="W1698" s="1" t="n">
        <f aca="false">N(W1697)+$V1698</f>
        <v>7</v>
      </c>
      <c r="X1698" s="1" t="n">
        <f aca="false">IF(AND($L1698=1,AND(对接源_02物料!$X498="自备筐",N(对接源_02物料!$T498)&lt;&gt;0)),1,0)</f>
        <v>0</v>
      </c>
      <c r="Y1698" s="1" t="n">
        <f aca="false">N(Y1697)+$X1698</f>
        <v>0</v>
      </c>
      <c r="Z1698" s="1" t="n">
        <f aca="false">IF(AND($M1698=1,对接源_02物料!$D498="原料入库"),1,0)</f>
        <v>0</v>
      </c>
      <c r="AA1698" s="1" t="n">
        <f aca="false">N(AA1697)+$Z1698</f>
        <v>30</v>
      </c>
      <c r="AB1698" s="1" t="n">
        <f aca="false">IF(AND($M1698=1,LEFT(对接源_02物料!$D498,4)="原料出库"),1,0)</f>
        <v>0</v>
      </c>
      <c r="AC1698" s="1" t="n">
        <f aca="false">N(AC1697)+$AB1698</f>
        <v>19</v>
      </c>
      <c r="AD1698" s="1" t="n">
        <f aca="false">IF(AND($M1698=1,LEFT(对接源_02物料!$D498,4)="成品出库"),1,0)</f>
        <v>0</v>
      </c>
      <c r="AE1698" s="1" t="n">
        <f aca="false">N(AE1697)+$AD1698</f>
        <v>38</v>
      </c>
      <c r="AF1698" s="1" t="n">
        <f aca="false">IF(AND($N1698=1,AND(LEFT(对接源_02物料!$D498,4)="包装物料",N(对接源_02物料!$K498)&lt;&gt;0)),1,0)</f>
        <v>0</v>
      </c>
      <c r="AG1698" s="1" t="n">
        <f aca="false">N(AG1697)+$AF1698</f>
        <v>6</v>
      </c>
      <c r="AH1698" s="1" t="n">
        <f aca="false">IF(AND($N1698=1,AND(LEFT(对接源_02物料!$D498,3)="周转筐",N(对接源_02物料!$K498)&lt;&gt;0)),1,0)</f>
        <v>0</v>
      </c>
      <c r="AI1698" s="1" t="n">
        <f aca="false">N(AI1697)+$AH1698</f>
        <v>0</v>
      </c>
      <c r="AJ1698" s="1" t="n">
        <v>0</v>
      </c>
      <c r="AK1698" s="1" t="n">
        <f aca="false">N(AK1697)+$AJ1698</f>
        <v>3672</v>
      </c>
    </row>
    <row r="1699" customFormat="false" ht="13.5" hidden="false" customHeight="false" outlineLevel="0" collapsed="false">
      <c r="A1699" s="1" t="str">
        <f aca="false">IF(对接源_02物料!$C499="","",对接源_02物料!$C499)</f>
        <v/>
      </c>
      <c r="B1699" s="1" t="n">
        <f aca="false">IF(A1699="",0,IF(MATCH(A1699,$A$4:$A$2403,0)=ROW()-3,1,0))</f>
        <v>0</v>
      </c>
      <c r="C1699" s="1" t="n">
        <f aca="false">N(C1698)+B1699</f>
        <v>17</v>
      </c>
      <c r="K1699" s="1" t="n">
        <f aca="false">IF(OR($K$1="",对接源_02物料!$C499="",对接源_02物料!$C499&lt;&gt;$K$1,对接源_02物料!$B499=""),0,IF(OR(N(对接源_02物料!$B499)&lt;$K$2,N(对接源_02物料!$B499)&gt;$K$3),0,1))</f>
        <v>0</v>
      </c>
      <c r="L1699" s="1" t="n">
        <f aca="false">IF(OR($L$1="",对接源_02物料!$C499="",对接源_02物料!$C499&lt;&gt;$L$1,对接源_02物料!$B499=""),0,IF(OR(N(对接源_02物料!$B499)&lt;$L$2,N(对接源_02物料!$B499)&gt;$L$3),0,1))</f>
        <v>0</v>
      </c>
      <c r="M1699" s="1" t="n">
        <f aca="false">IF(OR($M$1="",对接源_02物料!$C499="",对接源_02物料!$C499&lt;&gt;$M$1,对接源_02物料!$B499=""),0,IF(OR(N(对接源_02物料!$B499)&lt;$M$2,N(对接源_02物料!$B499)&gt;$M$3),0,1))</f>
        <v>0</v>
      </c>
      <c r="N1699" s="1" t="n">
        <f aca="false">IF(OR($N$1="",对接源_02物料!$C499="",对接源_02物料!$C499&lt;&gt;$N$1,对接源_02物料!$B499=""),0,IF(OR(N(对接源_02物料!$B499)&lt;$N$2,N(对接源_02物料!$B499)&gt;$N$3),0,1))</f>
        <v>0</v>
      </c>
      <c r="P1699" s="1" t="n">
        <f aca="false">IF(AND($K1699=1,AND(对接源_02物料!$X499="公司筐",N(对接源_02物料!$T499)&lt;&gt;0)),1,0)</f>
        <v>0</v>
      </c>
      <c r="Q1699" s="1" t="n">
        <f aca="false">N(Q1698)+$P1699</f>
        <v>13</v>
      </c>
      <c r="R1699" s="1" t="n">
        <f aca="false">IF(AND($K1699=1,AND(对接源_02物料!$X499="公司筐",N(对接源_02物料!$U499)&lt;&gt;0)),1,0)</f>
        <v>0</v>
      </c>
      <c r="S1699" s="1" t="n">
        <f aca="false">N(S1698)+$R1699</f>
        <v>5</v>
      </c>
      <c r="T1699" s="1" t="n">
        <f aca="false">IF(AND($K1699=1,AND(对接源_02物料!$X499="公司筐",N(对接源_02物料!$V499)&lt;&gt;0)),1,0)</f>
        <v>0</v>
      </c>
      <c r="U1699" s="1" t="n">
        <f aca="false">N(U1698)+$T1699</f>
        <v>28</v>
      </c>
      <c r="V1699" s="1" t="n">
        <f aca="false">IF(AND($L1699=1,AND(对接源_02物料!$X499="自备筐",N(对接源_02物料!$V499)&lt;&gt;0)),1,0)</f>
        <v>0</v>
      </c>
      <c r="W1699" s="1" t="n">
        <f aca="false">N(W1698)+$V1699</f>
        <v>7</v>
      </c>
      <c r="X1699" s="1" t="n">
        <f aca="false">IF(AND($L1699=1,AND(对接源_02物料!$X499="自备筐",N(对接源_02物料!$T499)&lt;&gt;0)),1,0)</f>
        <v>0</v>
      </c>
      <c r="Y1699" s="1" t="n">
        <f aca="false">N(Y1698)+$X1699</f>
        <v>0</v>
      </c>
      <c r="Z1699" s="1" t="n">
        <f aca="false">IF(AND($M1699=1,对接源_02物料!$D499="原料入库"),1,0)</f>
        <v>0</v>
      </c>
      <c r="AA1699" s="1" t="n">
        <f aca="false">N(AA1698)+$Z1699</f>
        <v>30</v>
      </c>
      <c r="AB1699" s="1" t="n">
        <f aca="false">IF(AND($M1699=1,LEFT(对接源_02物料!$D499,4)="原料出库"),1,0)</f>
        <v>0</v>
      </c>
      <c r="AC1699" s="1" t="n">
        <f aca="false">N(AC1698)+$AB1699</f>
        <v>19</v>
      </c>
      <c r="AD1699" s="1" t="n">
        <f aca="false">IF(AND($M1699=1,LEFT(对接源_02物料!$D499,4)="成品出库"),1,0)</f>
        <v>0</v>
      </c>
      <c r="AE1699" s="1" t="n">
        <f aca="false">N(AE1698)+$AD1699</f>
        <v>38</v>
      </c>
      <c r="AF1699" s="1" t="n">
        <f aca="false">IF(AND($N1699=1,AND(LEFT(对接源_02物料!$D499,4)="包装物料",N(对接源_02物料!$K499)&lt;&gt;0)),1,0)</f>
        <v>0</v>
      </c>
      <c r="AG1699" s="1" t="n">
        <f aca="false">N(AG1698)+$AF1699</f>
        <v>6</v>
      </c>
      <c r="AH1699" s="1" t="n">
        <f aca="false">IF(AND($N1699=1,AND(LEFT(对接源_02物料!$D499,3)="周转筐",N(对接源_02物料!$K499)&lt;&gt;0)),1,0)</f>
        <v>0</v>
      </c>
      <c r="AI1699" s="1" t="n">
        <f aca="false">N(AI1698)+$AH1699</f>
        <v>0</v>
      </c>
      <c r="AJ1699" s="1" t="n">
        <v>0</v>
      </c>
      <c r="AK1699" s="1" t="n">
        <f aca="false">N(AK1698)+$AJ1699</f>
        <v>3672</v>
      </c>
    </row>
    <row r="1700" customFormat="false" ht="13.5" hidden="false" customHeight="false" outlineLevel="0" collapsed="false">
      <c r="A1700" s="1" t="str">
        <f aca="false">IF(对接源_02物料!$C500="","",对接源_02物料!$C500)</f>
        <v/>
      </c>
      <c r="B1700" s="1" t="n">
        <f aca="false">IF(A1700="",0,IF(MATCH(A1700,$A$4:$A$2403,0)=ROW()-3,1,0))</f>
        <v>0</v>
      </c>
      <c r="C1700" s="1" t="n">
        <f aca="false">N(C1699)+B1700</f>
        <v>17</v>
      </c>
      <c r="K1700" s="1" t="n">
        <f aca="false">IF(OR($K$1="",对接源_02物料!$C500="",对接源_02物料!$C500&lt;&gt;$K$1,对接源_02物料!$B500=""),0,IF(OR(N(对接源_02物料!$B500)&lt;$K$2,N(对接源_02物料!$B500)&gt;$K$3),0,1))</f>
        <v>0</v>
      </c>
      <c r="L1700" s="1" t="n">
        <f aca="false">IF(OR($L$1="",对接源_02物料!$C500="",对接源_02物料!$C500&lt;&gt;$L$1,对接源_02物料!$B500=""),0,IF(OR(N(对接源_02物料!$B500)&lt;$L$2,N(对接源_02物料!$B500)&gt;$L$3),0,1))</f>
        <v>0</v>
      </c>
      <c r="M1700" s="1" t="n">
        <f aca="false">IF(OR($M$1="",对接源_02物料!$C500="",对接源_02物料!$C500&lt;&gt;$M$1,对接源_02物料!$B500=""),0,IF(OR(N(对接源_02物料!$B500)&lt;$M$2,N(对接源_02物料!$B500)&gt;$M$3),0,1))</f>
        <v>0</v>
      </c>
      <c r="N1700" s="1" t="n">
        <f aca="false">IF(OR($N$1="",对接源_02物料!$C500="",对接源_02物料!$C500&lt;&gt;$N$1,对接源_02物料!$B500=""),0,IF(OR(N(对接源_02物料!$B500)&lt;$N$2,N(对接源_02物料!$B500)&gt;$N$3),0,1))</f>
        <v>0</v>
      </c>
      <c r="P1700" s="1" t="n">
        <f aca="false">IF(AND($K1700=1,AND(对接源_02物料!$X500="公司筐",N(对接源_02物料!$T500)&lt;&gt;0)),1,0)</f>
        <v>0</v>
      </c>
      <c r="Q1700" s="1" t="n">
        <f aca="false">N(Q1699)+$P1700</f>
        <v>13</v>
      </c>
      <c r="R1700" s="1" t="n">
        <f aca="false">IF(AND($K1700=1,AND(对接源_02物料!$X500="公司筐",N(对接源_02物料!$U500)&lt;&gt;0)),1,0)</f>
        <v>0</v>
      </c>
      <c r="S1700" s="1" t="n">
        <f aca="false">N(S1699)+$R1700</f>
        <v>5</v>
      </c>
      <c r="T1700" s="1" t="n">
        <f aca="false">IF(AND($K1700=1,AND(对接源_02物料!$X500="公司筐",N(对接源_02物料!$V500)&lt;&gt;0)),1,0)</f>
        <v>0</v>
      </c>
      <c r="U1700" s="1" t="n">
        <f aca="false">N(U1699)+$T1700</f>
        <v>28</v>
      </c>
      <c r="V1700" s="1" t="n">
        <f aca="false">IF(AND($L1700=1,AND(对接源_02物料!$X500="自备筐",N(对接源_02物料!$V500)&lt;&gt;0)),1,0)</f>
        <v>0</v>
      </c>
      <c r="W1700" s="1" t="n">
        <f aca="false">N(W1699)+$V1700</f>
        <v>7</v>
      </c>
      <c r="X1700" s="1" t="n">
        <f aca="false">IF(AND($L1700=1,AND(对接源_02物料!$X500="自备筐",N(对接源_02物料!$T500)&lt;&gt;0)),1,0)</f>
        <v>0</v>
      </c>
      <c r="Y1700" s="1" t="n">
        <f aca="false">N(Y1699)+$X1700</f>
        <v>0</v>
      </c>
      <c r="Z1700" s="1" t="n">
        <f aca="false">IF(AND($M1700=1,对接源_02物料!$D500="原料入库"),1,0)</f>
        <v>0</v>
      </c>
      <c r="AA1700" s="1" t="n">
        <f aca="false">N(AA1699)+$Z1700</f>
        <v>30</v>
      </c>
      <c r="AB1700" s="1" t="n">
        <f aca="false">IF(AND($M1700=1,LEFT(对接源_02物料!$D500,4)="原料出库"),1,0)</f>
        <v>0</v>
      </c>
      <c r="AC1700" s="1" t="n">
        <f aca="false">N(AC1699)+$AB1700</f>
        <v>19</v>
      </c>
      <c r="AD1700" s="1" t="n">
        <f aca="false">IF(AND($M1700=1,LEFT(对接源_02物料!$D500,4)="成品出库"),1,0)</f>
        <v>0</v>
      </c>
      <c r="AE1700" s="1" t="n">
        <f aca="false">N(AE1699)+$AD1700</f>
        <v>38</v>
      </c>
      <c r="AF1700" s="1" t="n">
        <f aca="false">IF(AND($N1700=1,AND(LEFT(对接源_02物料!$D500,4)="包装物料",N(对接源_02物料!$K500)&lt;&gt;0)),1,0)</f>
        <v>0</v>
      </c>
      <c r="AG1700" s="1" t="n">
        <f aca="false">N(AG1699)+$AF1700</f>
        <v>6</v>
      </c>
      <c r="AH1700" s="1" t="n">
        <f aca="false">IF(AND($N1700=1,AND(LEFT(对接源_02物料!$D500,3)="周转筐",N(对接源_02物料!$K500)&lt;&gt;0)),1,0)</f>
        <v>0</v>
      </c>
      <c r="AI1700" s="1" t="n">
        <f aca="false">N(AI1699)+$AH1700</f>
        <v>0</v>
      </c>
      <c r="AJ1700" s="1" t="n">
        <v>0</v>
      </c>
      <c r="AK1700" s="1" t="n">
        <f aca="false">N(AK1699)+$AJ1700</f>
        <v>3672</v>
      </c>
    </row>
    <row r="1701" customFormat="false" ht="13.5" hidden="false" customHeight="false" outlineLevel="0" collapsed="false">
      <c r="A1701" s="1" t="str">
        <f aca="false">IF(对接源_02物料!$C501="","",对接源_02物料!$C501)</f>
        <v/>
      </c>
      <c r="B1701" s="1" t="n">
        <f aca="false">IF(A1701="",0,IF(MATCH(A1701,$A$4:$A$2403,0)=ROW()-3,1,0))</f>
        <v>0</v>
      </c>
      <c r="C1701" s="1" t="n">
        <f aca="false">N(C1700)+B1701</f>
        <v>17</v>
      </c>
      <c r="K1701" s="1" t="n">
        <f aca="false">IF(OR($K$1="",对接源_02物料!$C501="",对接源_02物料!$C501&lt;&gt;$K$1,对接源_02物料!$B501=""),0,IF(OR(N(对接源_02物料!$B501)&lt;$K$2,N(对接源_02物料!$B501)&gt;$K$3),0,1))</f>
        <v>0</v>
      </c>
      <c r="L1701" s="1" t="n">
        <f aca="false">IF(OR($L$1="",对接源_02物料!$C501="",对接源_02物料!$C501&lt;&gt;$L$1,对接源_02物料!$B501=""),0,IF(OR(N(对接源_02物料!$B501)&lt;$L$2,N(对接源_02物料!$B501)&gt;$L$3),0,1))</f>
        <v>0</v>
      </c>
      <c r="M1701" s="1" t="n">
        <f aca="false">IF(OR($M$1="",对接源_02物料!$C501="",对接源_02物料!$C501&lt;&gt;$M$1,对接源_02物料!$B501=""),0,IF(OR(N(对接源_02物料!$B501)&lt;$M$2,N(对接源_02物料!$B501)&gt;$M$3),0,1))</f>
        <v>0</v>
      </c>
      <c r="N1701" s="1" t="n">
        <f aca="false">IF(OR($N$1="",对接源_02物料!$C501="",对接源_02物料!$C501&lt;&gt;$N$1,对接源_02物料!$B501=""),0,IF(OR(N(对接源_02物料!$B501)&lt;$N$2,N(对接源_02物料!$B501)&gt;$N$3),0,1))</f>
        <v>0</v>
      </c>
      <c r="P1701" s="1" t="n">
        <f aca="false">IF(AND($K1701=1,AND(对接源_02物料!$X501="公司筐",N(对接源_02物料!$T501)&lt;&gt;0)),1,0)</f>
        <v>0</v>
      </c>
      <c r="Q1701" s="1" t="n">
        <f aca="false">N(Q1700)+$P1701</f>
        <v>13</v>
      </c>
      <c r="R1701" s="1" t="n">
        <f aca="false">IF(AND($K1701=1,AND(对接源_02物料!$X501="公司筐",N(对接源_02物料!$U501)&lt;&gt;0)),1,0)</f>
        <v>0</v>
      </c>
      <c r="S1701" s="1" t="n">
        <f aca="false">N(S1700)+$R1701</f>
        <v>5</v>
      </c>
      <c r="T1701" s="1" t="n">
        <f aca="false">IF(AND($K1701=1,AND(对接源_02物料!$X501="公司筐",N(对接源_02物料!$V501)&lt;&gt;0)),1,0)</f>
        <v>0</v>
      </c>
      <c r="U1701" s="1" t="n">
        <f aca="false">N(U1700)+$T1701</f>
        <v>28</v>
      </c>
      <c r="V1701" s="1" t="n">
        <f aca="false">IF(AND($L1701=1,AND(对接源_02物料!$X501="自备筐",N(对接源_02物料!$V501)&lt;&gt;0)),1,0)</f>
        <v>0</v>
      </c>
      <c r="W1701" s="1" t="n">
        <f aca="false">N(W1700)+$V1701</f>
        <v>7</v>
      </c>
      <c r="X1701" s="1" t="n">
        <f aca="false">IF(AND($L1701=1,AND(对接源_02物料!$X501="自备筐",N(对接源_02物料!$T501)&lt;&gt;0)),1,0)</f>
        <v>0</v>
      </c>
      <c r="Y1701" s="1" t="n">
        <f aca="false">N(Y1700)+$X1701</f>
        <v>0</v>
      </c>
      <c r="Z1701" s="1" t="n">
        <f aca="false">IF(AND($M1701=1,对接源_02物料!$D501="原料入库"),1,0)</f>
        <v>0</v>
      </c>
      <c r="AA1701" s="1" t="n">
        <f aca="false">N(AA1700)+$Z1701</f>
        <v>30</v>
      </c>
      <c r="AB1701" s="1" t="n">
        <f aca="false">IF(AND($M1701=1,LEFT(对接源_02物料!$D501,4)="原料出库"),1,0)</f>
        <v>0</v>
      </c>
      <c r="AC1701" s="1" t="n">
        <f aca="false">N(AC1700)+$AB1701</f>
        <v>19</v>
      </c>
      <c r="AD1701" s="1" t="n">
        <f aca="false">IF(AND($M1701=1,LEFT(对接源_02物料!$D501,4)="成品出库"),1,0)</f>
        <v>0</v>
      </c>
      <c r="AE1701" s="1" t="n">
        <f aca="false">N(AE1700)+$AD1701</f>
        <v>38</v>
      </c>
      <c r="AF1701" s="1" t="n">
        <f aca="false">IF(AND($N1701=1,AND(LEFT(对接源_02物料!$D501,4)="包装物料",N(对接源_02物料!$K501)&lt;&gt;0)),1,0)</f>
        <v>0</v>
      </c>
      <c r="AG1701" s="1" t="n">
        <f aca="false">N(AG1700)+$AF1701</f>
        <v>6</v>
      </c>
      <c r="AH1701" s="1" t="n">
        <f aca="false">IF(AND($N1701=1,AND(LEFT(对接源_02物料!$D501,3)="周转筐",N(对接源_02物料!$K501)&lt;&gt;0)),1,0)</f>
        <v>0</v>
      </c>
      <c r="AI1701" s="1" t="n">
        <f aca="false">N(AI1700)+$AH1701</f>
        <v>0</v>
      </c>
      <c r="AJ1701" s="1" t="n">
        <v>0</v>
      </c>
      <c r="AK1701" s="1" t="n">
        <f aca="false">N(AK1700)+$AJ1701</f>
        <v>3672</v>
      </c>
    </row>
    <row r="1702" customFormat="false" ht="13.5" hidden="false" customHeight="false" outlineLevel="0" collapsed="false">
      <c r="A1702" s="1" t="str">
        <f aca="false">IF(对接源_02物料!$C502="","",对接源_02物料!$C502)</f>
        <v/>
      </c>
      <c r="B1702" s="1" t="n">
        <f aca="false">IF(A1702="",0,IF(MATCH(A1702,$A$4:$A$2403,0)=ROW()-3,1,0))</f>
        <v>0</v>
      </c>
      <c r="C1702" s="1" t="n">
        <f aca="false">N(C1701)+B1702</f>
        <v>17</v>
      </c>
      <c r="K1702" s="1" t="n">
        <f aca="false">IF(OR($K$1="",对接源_02物料!$C502="",对接源_02物料!$C502&lt;&gt;$K$1,对接源_02物料!$B502=""),0,IF(OR(N(对接源_02物料!$B502)&lt;$K$2,N(对接源_02物料!$B502)&gt;$K$3),0,1))</f>
        <v>0</v>
      </c>
      <c r="L1702" s="1" t="n">
        <f aca="false">IF(OR($L$1="",对接源_02物料!$C502="",对接源_02物料!$C502&lt;&gt;$L$1,对接源_02物料!$B502=""),0,IF(OR(N(对接源_02物料!$B502)&lt;$L$2,N(对接源_02物料!$B502)&gt;$L$3),0,1))</f>
        <v>0</v>
      </c>
      <c r="M1702" s="1" t="n">
        <f aca="false">IF(OR($M$1="",对接源_02物料!$C502="",对接源_02物料!$C502&lt;&gt;$M$1,对接源_02物料!$B502=""),0,IF(OR(N(对接源_02物料!$B502)&lt;$M$2,N(对接源_02物料!$B502)&gt;$M$3),0,1))</f>
        <v>0</v>
      </c>
      <c r="N1702" s="1" t="n">
        <f aca="false">IF(OR($N$1="",对接源_02物料!$C502="",对接源_02物料!$C502&lt;&gt;$N$1,对接源_02物料!$B502=""),0,IF(OR(N(对接源_02物料!$B502)&lt;$N$2,N(对接源_02物料!$B502)&gt;$N$3),0,1))</f>
        <v>0</v>
      </c>
      <c r="P1702" s="1" t="n">
        <f aca="false">IF(AND($K1702=1,AND(对接源_02物料!$X502="公司筐",N(对接源_02物料!$T502)&lt;&gt;0)),1,0)</f>
        <v>0</v>
      </c>
      <c r="Q1702" s="1" t="n">
        <f aca="false">N(Q1701)+$P1702</f>
        <v>13</v>
      </c>
      <c r="R1702" s="1" t="n">
        <f aca="false">IF(AND($K1702=1,AND(对接源_02物料!$X502="公司筐",N(对接源_02物料!$U502)&lt;&gt;0)),1,0)</f>
        <v>0</v>
      </c>
      <c r="S1702" s="1" t="n">
        <f aca="false">N(S1701)+$R1702</f>
        <v>5</v>
      </c>
      <c r="T1702" s="1" t="n">
        <f aca="false">IF(AND($K1702=1,AND(对接源_02物料!$X502="公司筐",N(对接源_02物料!$V502)&lt;&gt;0)),1,0)</f>
        <v>0</v>
      </c>
      <c r="U1702" s="1" t="n">
        <f aca="false">N(U1701)+$T1702</f>
        <v>28</v>
      </c>
      <c r="V1702" s="1" t="n">
        <f aca="false">IF(AND($L1702=1,AND(对接源_02物料!$X502="自备筐",N(对接源_02物料!$V502)&lt;&gt;0)),1,0)</f>
        <v>0</v>
      </c>
      <c r="W1702" s="1" t="n">
        <f aca="false">N(W1701)+$V1702</f>
        <v>7</v>
      </c>
      <c r="X1702" s="1" t="n">
        <f aca="false">IF(AND($L1702=1,AND(对接源_02物料!$X502="自备筐",N(对接源_02物料!$T502)&lt;&gt;0)),1,0)</f>
        <v>0</v>
      </c>
      <c r="Y1702" s="1" t="n">
        <f aca="false">N(Y1701)+$X1702</f>
        <v>0</v>
      </c>
      <c r="Z1702" s="1" t="n">
        <f aca="false">IF(AND($M1702=1,对接源_02物料!$D502="原料入库"),1,0)</f>
        <v>0</v>
      </c>
      <c r="AA1702" s="1" t="n">
        <f aca="false">N(AA1701)+$Z1702</f>
        <v>30</v>
      </c>
      <c r="AB1702" s="1" t="n">
        <f aca="false">IF(AND($M1702=1,LEFT(对接源_02物料!$D502,4)="原料出库"),1,0)</f>
        <v>0</v>
      </c>
      <c r="AC1702" s="1" t="n">
        <f aca="false">N(AC1701)+$AB1702</f>
        <v>19</v>
      </c>
      <c r="AD1702" s="1" t="n">
        <f aca="false">IF(AND($M1702=1,LEFT(对接源_02物料!$D502,4)="成品出库"),1,0)</f>
        <v>0</v>
      </c>
      <c r="AE1702" s="1" t="n">
        <f aca="false">N(AE1701)+$AD1702</f>
        <v>38</v>
      </c>
      <c r="AF1702" s="1" t="n">
        <f aca="false">IF(AND($N1702=1,AND(LEFT(对接源_02物料!$D502,4)="包装物料",N(对接源_02物料!$K502)&lt;&gt;0)),1,0)</f>
        <v>0</v>
      </c>
      <c r="AG1702" s="1" t="n">
        <f aca="false">N(AG1701)+$AF1702</f>
        <v>6</v>
      </c>
      <c r="AH1702" s="1" t="n">
        <f aca="false">IF(AND($N1702=1,AND(LEFT(对接源_02物料!$D502,3)="周转筐",N(对接源_02物料!$K502)&lt;&gt;0)),1,0)</f>
        <v>0</v>
      </c>
      <c r="AI1702" s="1" t="n">
        <f aca="false">N(AI1701)+$AH1702</f>
        <v>0</v>
      </c>
      <c r="AJ1702" s="1" t="n">
        <v>0</v>
      </c>
      <c r="AK1702" s="1" t="n">
        <f aca="false">N(AK1701)+$AJ1702</f>
        <v>3672</v>
      </c>
    </row>
    <row r="1703" customFormat="false" ht="13.5" hidden="false" customHeight="false" outlineLevel="0" collapsed="false">
      <c r="A1703" s="1" t="str">
        <f aca="false">IF(对接源_02物料!$C503="","",对接源_02物料!$C503)</f>
        <v/>
      </c>
      <c r="B1703" s="1" t="n">
        <f aca="false">IF(A1703="",0,IF(MATCH(A1703,$A$4:$A$2403,0)=ROW()-3,1,0))</f>
        <v>0</v>
      </c>
      <c r="C1703" s="1" t="n">
        <f aca="false">N(C1702)+B1703</f>
        <v>17</v>
      </c>
      <c r="K1703" s="1" t="n">
        <f aca="false">IF(OR($K$1="",对接源_02物料!$C503="",对接源_02物料!$C503&lt;&gt;$K$1,对接源_02物料!$B503=""),0,IF(OR(N(对接源_02物料!$B503)&lt;$K$2,N(对接源_02物料!$B503)&gt;$K$3),0,1))</f>
        <v>0</v>
      </c>
      <c r="L1703" s="1" t="n">
        <f aca="false">IF(OR($L$1="",对接源_02物料!$C503="",对接源_02物料!$C503&lt;&gt;$L$1,对接源_02物料!$B503=""),0,IF(OR(N(对接源_02物料!$B503)&lt;$L$2,N(对接源_02物料!$B503)&gt;$L$3),0,1))</f>
        <v>0</v>
      </c>
      <c r="M1703" s="1" t="n">
        <f aca="false">IF(OR($M$1="",对接源_02物料!$C503="",对接源_02物料!$C503&lt;&gt;$M$1,对接源_02物料!$B503=""),0,IF(OR(N(对接源_02物料!$B503)&lt;$M$2,N(对接源_02物料!$B503)&gt;$M$3),0,1))</f>
        <v>0</v>
      </c>
      <c r="N1703" s="1" t="n">
        <f aca="false">IF(OR($N$1="",对接源_02物料!$C503="",对接源_02物料!$C503&lt;&gt;$N$1,对接源_02物料!$B503=""),0,IF(OR(N(对接源_02物料!$B503)&lt;$N$2,N(对接源_02物料!$B503)&gt;$N$3),0,1))</f>
        <v>0</v>
      </c>
      <c r="P1703" s="1" t="n">
        <f aca="false">IF(AND($K1703=1,AND(对接源_02物料!$X503="公司筐",N(对接源_02物料!$T503)&lt;&gt;0)),1,0)</f>
        <v>0</v>
      </c>
      <c r="Q1703" s="1" t="n">
        <f aca="false">N(Q1702)+$P1703</f>
        <v>13</v>
      </c>
      <c r="R1703" s="1" t="n">
        <f aca="false">IF(AND($K1703=1,AND(对接源_02物料!$X503="公司筐",N(对接源_02物料!$U503)&lt;&gt;0)),1,0)</f>
        <v>0</v>
      </c>
      <c r="S1703" s="1" t="n">
        <f aca="false">N(S1702)+$R1703</f>
        <v>5</v>
      </c>
      <c r="T1703" s="1" t="n">
        <f aca="false">IF(AND($K1703=1,AND(对接源_02物料!$X503="公司筐",N(对接源_02物料!$V503)&lt;&gt;0)),1,0)</f>
        <v>0</v>
      </c>
      <c r="U1703" s="1" t="n">
        <f aca="false">N(U1702)+$T1703</f>
        <v>28</v>
      </c>
      <c r="V1703" s="1" t="n">
        <f aca="false">IF(AND($L1703=1,AND(对接源_02物料!$X503="自备筐",N(对接源_02物料!$V503)&lt;&gt;0)),1,0)</f>
        <v>0</v>
      </c>
      <c r="W1703" s="1" t="n">
        <f aca="false">N(W1702)+$V1703</f>
        <v>7</v>
      </c>
      <c r="X1703" s="1" t="n">
        <f aca="false">IF(AND($L1703=1,AND(对接源_02物料!$X503="自备筐",N(对接源_02物料!$T503)&lt;&gt;0)),1,0)</f>
        <v>0</v>
      </c>
      <c r="Y1703" s="1" t="n">
        <f aca="false">N(Y1702)+$X1703</f>
        <v>0</v>
      </c>
      <c r="Z1703" s="1" t="n">
        <f aca="false">IF(AND($M1703=1,对接源_02物料!$D503="原料入库"),1,0)</f>
        <v>0</v>
      </c>
      <c r="AA1703" s="1" t="n">
        <f aca="false">N(AA1702)+$Z1703</f>
        <v>30</v>
      </c>
      <c r="AB1703" s="1" t="n">
        <f aca="false">IF(AND($M1703=1,LEFT(对接源_02物料!$D503,4)="原料出库"),1,0)</f>
        <v>0</v>
      </c>
      <c r="AC1703" s="1" t="n">
        <f aca="false">N(AC1702)+$AB1703</f>
        <v>19</v>
      </c>
      <c r="AD1703" s="1" t="n">
        <f aca="false">IF(AND($M1703=1,LEFT(对接源_02物料!$D503,4)="成品出库"),1,0)</f>
        <v>0</v>
      </c>
      <c r="AE1703" s="1" t="n">
        <f aca="false">N(AE1702)+$AD1703</f>
        <v>38</v>
      </c>
      <c r="AF1703" s="1" t="n">
        <f aca="false">IF(AND($N1703=1,AND(LEFT(对接源_02物料!$D503,4)="包装物料",N(对接源_02物料!$K503)&lt;&gt;0)),1,0)</f>
        <v>0</v>
      </c>
      <c r="AG1703" s="1" t="n">
        <f aca="false">N(AG1702)+$AF1703</f>
        <v>6</v>
      </c>
      <c r="AH1703" s="1" t="n">
        <f aca="false">IF(AND($N1703=1,AND(LEFT(对接源_02物料!$D503,3)="周转筐",N(对接源_02物料!$K503)&lt;&gt;0)),1,0)</f>
        <v>0</v>
      </c>
      <c r="AI1703" s="1" t="n">
        <f aca="false">N(AI1702)+$AH1703</f>
        <v>0</v>
      </c>
      <c r="AJ1703" s="1" t="n">
        <v>0</v>
      </c>
      <c r="AK1703" s="1" t="n">
        <f aca="false">N(AK1702)+$AJ1703</f>
        <v>3672</v>
      </c>
    </row>
    <row r="1704" customFormat="false" ht="13.5" hidden="false" customHeight="false" outlineLevel="0" collapsed="false">
      <c r="A1704" s="1" t="str">
        <f aca="false">IF(对接源_02物料!$C504="","",对接源_02物料!$C504)</f>
        <v/>
      </c>
      <c r="B1704" s="1" t="n">
        <f aca="false">IF(A1704="",0,IF(MATCH(A1704,$A$4:$A$2403,0)=ROW()-3,1,0))</f>
        <v>0</v>
      </c>
      <c r="C1704" s="1" t="n">
        <f aca="false">N(C1703)+B1704</f>
        <v>17</v>
      </c>
      <c r="K1704" s="1" t="n">
        <f aca="false">IF(OR($K$1="",对接源_02物料!$C504="",对接源_02物料!$C504&lt;&gt;$K$1,对接源_02物料!$B504=""),0,IF(OR(N(对接源_02物料!$B504)&lt;$K$2,N(对接源_02物料!$B504)&gt;$K$3),0,1))</f>
        <v>0</v>
      </c>
      <c r="L1704" s="1" t="n">
        <f aca="false">IF(OR($L$1="",对接源_02物料!$C504="",对接源_02物料!$C504&lt;&gt;$L$1,对接源_02物料!$B504=""),0,IF(OR(N(对接源_02物料!$B504)&lt;$L$2,N(对接源_02物料!$B504)&gt;$L$3),0,1))</f>
        <v>0</v>
      </c>
      <c r="M1704" s="1" t="n">
        <f aca="false">IF(OR($M$1="",对接源_02物料!$C504="",对接源_02物料!$C504&lt;&gt;$M$1,对接源_02物料!$B504=""),0,IF(OR(N(对接源_02物料!$B504)&lt;$M$2,N(对接源_02物料!$B504)&gt;$M$3),0,1))</f>
        <v>0</v>
      </c>
      <c r="N1704" s="1" t="n">
        <f aca="false">IF(OR($N$1="",对接源_02物料!$C504="",对接源_02物料!$C504&lt;&gt;$N$1,对接源_02物料!$B504=""),0,IF(OR(N(对接源_02物料!$B504)&lt;$N$2,N(对接源_02物料!$B504)&gt;$N$3),0,1))</f>
        <v>0</v>
      </c>
      <c r="P1704" s="1" t="n">
        <f aca="false">IF(AND($K1704=1,AND(对接源_02物料!$X504="公司筐",N(对接源_02物料!$T504)&lt;&gt;0)),1,0)</f>
        <v>0</v>
      </c>
      <c r="Q1704" s="1" t="n">
        <f aca="false">N(Q1703)+$P1704</f>
        <v>13</v>
      </c>
      <c r="R1704" s="1" t="n">
        <f aca="false">IF(AND($K1704=1,AND(对接源_02物料!$X504="公司筐",N(对接源_02物料!$U504)&lt;&gt;0)),1,0)</f>
        <v>0</v>
      </c>
      <c r="S1704" s="1" t="n">
        <f aca="false">N(S1703)+$R1704</f>
        <v>5</v>
      </c>
      <c r="T1704" s="1" t="n">
        <f aca="false">IF(AND($K1704=1,AND(对接源_02物料!$X504="公司筐",N(对接源_02物料!$V504)&lt;&gt;0)),1,0)</f>
        <v>0</v>
      </c>
      <c r="U1704" s="1" t="n">
        <f aca="false">N(U1703)+$T1704</f>
        <v>28</v>
      </c>
      <c r="V1704" s="1" t="n">
        <f aca="false">IF(AND($L1704=1,AND(对接源_02物料!$X504="自备筐",N(对接源_02物料!$V504)&lt;&gt;0)),1,0)</f>
        <v>0</v>
      </c>
      <c r="W1704" s="1" t="n">
        <f aca="false">N(W1703)+$V1704</f>
        <v>7</v>
      </c>
      <c r="X1704" s="1" t="n">
        <f aca="false">IF(AND($L1704=1,AND(对接源_02物料!$X504="自备筐",N(对接源_02物料!$T504)&lt;&gt;0)),1,0)</f>
        <v>0</v>
      </c>
      <c r="Y1704" s="1" t="n">
        <f aca="false">N(Y1703)+$X1704</f>
        <v>0</v>
      </c>
      <c r="Z1704" s="1" t="n">
        <f aca="false">IF(AND($M1704=1,对接源_02物料!$D504="原料入库"),1,0)</f>
        <v>0</v>
      </c>
      <c r="AA1704" s="1" t="n">
        <f aca="false">N(AA1703)+$Z1704</f>
        <v>30</v>
      </c>
      <c r="AB1704" s="1" t="n">
        <f aca="false">IF(AND($M1704=1,LEFT(对接源_02物料!$D504,4)="原料出库"),1,0)</f>
        <v>0</v>
      </c>
      <c r="AC1704" s="1" t="n">
        <f aca="false">N(AC1703)+$AB1704</f>
        <v>19</v>
      </c>
      <c r="AD1704" s="1" t="n">
        <f aca="false">IF(AND($M1704=1,LEFT(对接源_02物料!$D504,4)="成品出库"),1,0)</f>
        <v>0</v>
      </c>
      <c r="AE1704" s="1" t="n">
        <f aca="false">N(AE1703)+$AD1704</f>
        <v>38</v>
      </c>
      <c r="AF1704" s="1" t="n">
        <f aca="false">IF(AND($N1704=1,AND(LEFT(对接源_02物料!$D504,4)="包装物料",N(对接源_02物料!$K504)&lt;&gt;0)),1,0)</f>
        <v>0</v>
      </c>
      <c r="AG1704" s="1" t="n">
        <f aca="false">N(AG1703)+$AF1704</f>
        <v>6</v>
      </c>
      <c r="AH1704" s="1" t="n">
        <f aca="false">IF(AND($N1704=1,AND(LEFT(对接源_02物料!$D504,3)="周转筐",N(对接源_02物料!$K504)&lt;&gt;0)),1,0)</f>
        <v>0</v>
      </c>
      <c r="AI1704" s="1" t="n">
        <f aca="false">N(AI1703)+$AH1704</f>
        <v>0</v>
      </c>
      <c r="AJ1704" s="1" t="n">
        <v>0</v>
      </c>
      <c r="AK1704" s="1" t="n">
        <f aca="false">N(AK1703)+$AJ1704</f>
        <v>3672</v>
      </c>
    </row>
    <row r="1705" customFormat="false" ht="13.5" hidden="false" customHeight="false" outlineLevel="0" collapsed="false">
      <c r="A1705" s="1" t="str">
        <f aca="false">IF(对接源_02物料!$C505="","",对接源_02物料!$C505)</f>
        <v/>
      </c>
      <c r="B1705" s="1" t="n">
        <f aca="false">IF(A1705="",0,IF(MATCH(A1705,$A$4:$A$2403,0)=ROW()-3,1,0))</f>
        <v>0</v>
      </c>
      <c r="C1705" s="1" t="n">
        <f aca="false">N(C1704)+B1705</f>
        <v>17</v>
      </c>
      <c r="K1705" s="1" t="n">
        <f aca="false">IF(OR($K$1="",对接源_02物料!$C505="",对接源_02物料!$C505&lt;&gt;$K$1,对接源_02物料!$B505=""),0,IF(OR(N(对接源_02物料!$B505)&lt;$K$2,N(对接源_02物料!$B505)&gt;$K$3),0,1))</f>
        <v>0</v>
      </c>
      <c r="L1705" s="1" t="n">
        <f aca="false">IF(OR($L$1="",对接源_02物料!$C505="",对接源_02物料!$C505&lt;&gt;$L$1,对接源_02物料!$B505=""),0,IF(OR(N(对接源_02物料!$B505)&lt;$L$2,N(对接源_02物料!$B505)&gt;$L$3),0,1))</f>
        <v>0</v>
      </c>
      <c r="M1705" s="1" t="n">
        <f aca="false">IF(OR($M$1="",对接源_02物料!$C505="",对接源_02物料!$C505&lt;&gt;$M$1,对接源_02物料!$B505=""),0,IF(OR(N(对接源_02物料!$B505)&lt;$M$2,N(对接源_02物料!$B505)&gt;$M$3),0,1))</f>
        <v>0</v>
      </c>
      <c r="N1705" s="1" t="n">
        <f aca="false">IF(OR($N$1="",对接源_02物料!$C505="",对接源_02物料!$C505&lt;&gt;$N$1,对接源_02物料!$B505=""),0,IF(OR(N(对接源_02物料!$B505)&lt;$N$2,N(对接源_02物料!$B505)&gt;$N$3),0,1))</f>
        <v>0</v>
      </c>
      <c r="P1705" s="1" t="n">
        <f aca="false">IF(AND($K1705=1,AND(对接源_02物料!$X505="公司筐",N(对接源_02物料!$T505)&lt;&gt;0)),1,0)</f>
        <v>0</v>
      </c>
      <c r="Q1705" s="1" t="n">
        <f aca="false">N(Q1704)+$P1705</f>
        <v>13</v>
      </c>
      <c r="R1705" s="1" t="n">
        <f aca="false">IF(AND($K1705=1,AND(对接源_02物料!$X505="公司筐",N(对接源_02物料!$U505)&lt;&gt;0)),1,0)</f>
        <v>0</v>
      </c>
      <c r="S1705" s="1" t="n">
        <f aca="false">N(S1704)+$R1705</f>
        <v>5</v>
      </c>
      <c r="T1705" s="1" t="n">
        <f aca="false">IF(AND($K1705=1,AND(对接源_02物料!$X505="公司筐",N(对接源_02物料!$V505)&lt;&gt;0)),1,0)</f>
        <v>0</v>
      </c>
      <c r="U1705" s="1" t="n">
        <f aca="false">N(U1704)+$T1705</f>
        <v>28</v>
      </c>
      <c r="V1705" s="1" t="n">
        <f aca="false">IF(AND($L1705=1,AND(对接源_02物料!$X505="自备筐",N(对接源_02物料!$V505)&lt;&gt;0)),1,0)</f>
        <v>0</v>
      </c>
      <c r="W1705" s="1" t="n">
        <f aca="false">N(W1704)+$V1705</f>
        <v>7</v>
      </c>
      <c r="X1705" s="1" t="n">
        <f aca="false">IF(AND($L1705=1,AND(对接源_02物料!$X505="自备筐",N(对接源_02物料!$T505)&lt;&gt;0)),1,0)</f>
        <v>0</v>
      </c>
      <c r="Y1705" s="1" t="n">
        <f aca="false">N(Y1704)+$X1705</f>
        <v>0</v>
      </c>
      <c r="Z1705" s="1" t="n">
        <f aca="false">IF(AND($M1705=1,对接源_02物料!$D505="原料入库"),1,0)</f>
        <v>0</v>
      </c>
      <c r="AA1705" s="1" t="n">
        <f aca="false">N(AA1704)+$Z1705</f>
        <v>30</v>
      </c>
      <c r="AB1705" s="1" t="n">
        <f aca="false">IF(AND($M1705=1,LEFT(对接源_02物料!$D505,4)="原料出库"),1,0)</f>
        <v>0</v>
      </c>
      <c r="AC1705" s="1" t="n">
        <f aca="false">N(AC1704)+$AB1705</f>
        <v>19</v>
      </c>
      <c r="AD1705" s="1" t="n">
        <f aca="false">IF(AND($M1705=1,LEFT(对接源_02物料!$D505,4)="成品出库"),1,0)</f>
        <v>0</v>
      </c>
      <c r="AE1705" s="1" t="n">
        <f aca="false">N(AE1704)+$AD1705</f>
        <v>38</v>
      </c>
      <c r="AF1705" s="1" t="n">
        <f aca="false">IF(AND($N1705=1,AND(LEFT(对接源_02物料!$D505,4)="包装物料",N(对接源_02物料!$K505)&lt;&gt;0)),1,0)</f>
        <v>0</v>
      </c>
      <c r="AG1705" s="1" t="n">
        <f aca="false">N(AG1704)+$AF1705</f>
        <v>6</v>
      </c>
      <c r="AH1705" s="1" t="n">
        <f aca="false">IF(AND($N1705=1,AND(LEFT(对接源_02物料!$D505,3)="周转筐",N(对接源_02物料!$K505)&lt;&gt;0)),1,0)</f>
        <v>0</v>
      </c>
      <c r="AI1705" s="1" t="n">
        <f aca="false">N(AI1704)+$AH1705</f>
        <v>0</v>
      </c>
      <c r="AJ1705" s="1" t="n">
        <v>0</v>
      </c>
      <c r="AK1705" s="1" t="n">
        <f aca="false">N(AK1704)+$AJ1705</f>
        <v>3672</v>
      </c>
    </row>
    <row r="1706" customFormat="false" ht="13.5" hidden="false" customHeight="false" outlineLevel="0" collapsed="false">
      <c r="A1706" s="1" t="str">
        <f aca="false">IF(对接源_02物料!$C506="","",对接源_02物料!$C506)</f>
        <v/>
      </c>
      <c r="B1706" s="1" t="n">
        <f aca="false">IF(A1706="",0,IF(MATCH(A1706,$A$4:$A$2403,0)=ROW()-3,1,0))</f>
        <v>0</v>
      </c>
      <c r="C1706" s="1" t="n">
        <f aca="false">N(C1705)+B1706</f>
        <v>17</v>
      </c>
      <c r="K1706" s="1" t="n">
        <f aca="false">IF(OR($K$1="",对接源_02物料!$C506="",对接源_02物料!$C506&lt;&gt;$K$1,对接源_02物料!$B506=""),0,IF(OR(N(对接源_02物料!$B506)&lt;$K$2,N(对接源_02物料!$B506)&gt;$K$3),0,1))</f>
        <v>0</v>
      </c>
      <c r="L1706" s="1" t="n">
        <f aca="false">IF(OR($L$1="",对接源_02物料!$C506="",对接源_02物料!$C506&lt;&gt;$L$1,对接源_02物料!$B506=""),0,IF(OR(N(对接源_02物料!$B506)&lt;$L$2,N(对接源_02物料!$B506)&gt;$L$3),0,1))</f>
        <v>0</v>
      </c>
      <c r="M1706" s="1" t="n">
        <f aca="false">IF(OR($M$1="",对接源_02物料!$C506="",对接源_02物料!$C506&lt;&gt;$M$1,对接源_02物料!$B506=""),0,IF(OR(N(对接源_02物料!$B506)&lt;$M$2,N(对接源_02物料!$B506)&gt;$M$3),0,1))</f>
        <v>0</v>
      </c>
      <c r="N1706" s="1" t="n">
        <f aca="false">IF(OR($N$1="",对接源_02物料!$C506="",对接源_02物料!$C506&lt;&gt;$N$1,对接源_02物料!$B506=""),0,IF(OR(N(对接源_02物料!$B506)&lt;$N$2,N(对接源_02物料!$B506)&gt;$N$3),0,1))</f>
        <v>0</v>
      </c>
      <c r="P1706" s="1" t="n">
        <f aca="false">IF(AND($K1706=1,AND(对接源_02物料!$X506="公司筐",N(对接源_02物料!$T506)&lt;&gt;0)),1,0)</f>
        <v>0</v>
      </c>
      <c r="Q1706" s="1" t="n">
        <f aca="false">N(Q1705)+$P1706</f>
        <v>13</v>
      </c>
      <c r="R1706" s="1" t="n">
        <f aca="false">IF(AND($K1706=1,AND(对接源_02物料!$X506="公司筐",N(对接源_02物料!$U506)&lt;&gt;0)),1,0)</f>
        <v>0</v>
      </c>
      <c r="S1706" s="1" t="n">
        <f aca="false">N(S1705)+$R1706</f>
        <v>5</v>
      </c>
      <c r="T1706" s="1" t="n">
        <f aca="false">IF(AND($K1706=1,AND(对接源_02物料!$X506="公司筐",N(对接源_02物料!$V506)&lt;&gt;0)),1,0)</f>
        <v>0</v>
      </c>
      <c r="U1706" s="1" t="n">
        <f aca="false">N(U1705)+$T1706</f>
        <v>28</v>
      </c>
      <c r="V1706" s="1" t="n">
        <f aca="false">IF(AND($L1706=1,AND(对接源_02物料!$X506="自备筐",N(对接源_02物料!$V506)&lt;&gt;0)),1,0)</f>
        <v>0</v>
      </c>
      <c r="W1706" s="1" t="n">
        <f aca="false">N(W1705)+$V1706</f>
        <v>7</v>
      </c>
      <c r="X1706" s="1" t="n">
        <f aca="false">IF(AND($L1706=1,AND(对接源_02物料!$X506="自备筐",N(对接源_02物料!$T506)&lt;&gt;0)),1,0)</f>
        <v>0</v>
      </c>
      <c r="Y1706" s="1" t="n">
        <f aca="false">N(Y1705)+$X1706</f>
        <v>0</v>
      </c>
      <c r="Z1706" s="1" t="n">
        <f aca="false">IF(AND($M1706=1,对接源_02物料!$D506="原料入库"),1,0)</f>
        <v>0</v>
      </c>
      <c r="AA1706" s="1" t="n">
        <f aca="false">N(AA1705)+$Z1706</f>
        <v>30</v>
      </c>
      <c r="AB1706" s="1" t="n">
        <f aca="false">IF(AND($M1706=1,LEFT(对接源_02物料!$D506,4)="原料出库"),1,0)</f>
        <v>0</v>
      </c>
      <c r="AC1706" s="1" t="n">
        <f aca="false">N(AC1705)+$AB1706</f>
        <v>19</v>
      </c>
      <c r="AD1706" s="1" t="n">
        <f aca="false">IF(AND($M1706=1,LEFT(对接源_02物料!$D506,4)="成品出库"),1,0)</f>
        <v>0</v>
      </c>
      <c r="AE1706" s="1" t="n">
        <f aca="false">N(AE1705)+$AD1706</f>
        <v>38</v>
      </c>
      <c r="AF1706" s="1" t="n">
        <f aca="false">IF(AND($N1706=1,AND(LEFT(对接源_02物料!$D506,4)="包装物料",N(对接源_02物料!$K506)&lt;&gt;0)),1,0)</f>
        <v>0</v>
      </c>
      <c r="AG1706" s="1" t="n">
        <f aca="false">N(AG1705)+$AF1706</f>
        <v>6</v>
      </c>
      <c r="AH1706" s="1" t="n">
        <f aca="false">IF(AND($N1706=1,AND(LEFT(对接源_02物料!$D506,3)="周转筐",N(对接源_02物料!$K506)&lt;&gt;0)),1,0)</f>
        <v>0</v>
      </c>
      <c r="AI1706" s="1" t="n">
        <f aca="false">N(AI1705)+$AH1706</f>
        <v>0</v>
      </c>
      <c r="AJ1706" s="1" t="n">
        <v>0</v>
      </c>
      <c r="AK1706" s="1" t="n">
        <f aca="false">N(AK1705)+$AJ1706</f>
        <v>3672</v>
      </c>
    </row>
    <row r="1707" customFormat="false" ht="13.5" hidden="false" customHeight="false" outlineLevel="0" collapsed="false">
      <c r="A1707" s="1" t="str">
        <f aca="false">IF(对接源_02物料!$C507="","",对接源_02物料!$C507)</f>
        <v/>
      </c>
      <c r="B1707" s="1" t="n">
        <f aca="false">IF(A1707="",0,IF(MATCH(A1707,$A$4:$A$2403,0)=ROW()-3,1,0))</f>
        <v>0</v>
      </c>
      <c r="C1707" s="1" t="n">
        <f aca="false">N(C1706)+B1707</f>
        <v>17</v>
      </c>
      <c r="K1707" s="1" t="n">
        <f aca="false">IF(OR($K$1="",对接源_02物料!$C507="",对接源_02物料!$C507&lt;&gt;$K$1,对接源_02物料!$B507=""),0,IF(OR(N(对接源_02物料!$B507)&lt;$K$2,N(对接源_02物料!$B507)&gt;$K$3),0,1))</f>
        <v>0</v>
      </c>
      <c r="L1707" s="1" t="n">
        <f aca="false">IF(OR($L$1="",对接源_02物料!$C507="",对接源_02物料!$C507&lt;&gt;$L$1,对接源_02物料!$B507=""),0,IF(OR(N(对接源_02物料!$B507)&lt;$L$2,N(对接源_02物料!$B507)&gt;$L$3),0,1))</f>
        <v>0</v>
      </c>
      <c r="M1707" s="1" t="n">
        <f aca="false">IF(OR($M$1="",对接源_02物料!$C507="",对接源_02物料!$C507&lt;&gt;$M$1,对接源_02物料!$B507=""),0,IF(OR(N(对接源_02物料!$B507)&lt;$M$2,N(对接源_02物料!$B507)&gt;$M$3),0,1))</f>
        <v>0</v>
      </c>
      <c r="N1707" s="1" t="n">
        <f aca="false">IF(OR($N$1="",对接源_02物料!$C507="",对接源_02物料!$C507&lt;&gt;$N$1,对接源_02物料!$B507=""),0,IF(OR(N(对接源_02物料!$B507)&lt;$N$2,N(对接源_02物料!$B507)&gt;$N$3),0,1))</f>
        <v>0</v>
      </c>
      <c r="P1707" s="1" t="n">
        <f aca="false">IF(AND($K1707=1,AND(对接源_02物料!$X507="公司筐",N(对接源_02物料!$T507)&lt;&gt;0)),1,0)</f>
        <v>0</v>
      </c>
      <c r="Q1707" s="1" t="n">
        <f aca="false">N(Q1706)+$P1707</f>
        <v>13</v>
      </c>
      <c r="R1707" s="1" t="n">
        <f aca="false">IF(AND($K1707=1,AND(对接源_02物料!$X507="公司筐",N(对接源_02物料!$U507)&lt;&gt;0)),1,0)</f>
        <v>0</v>
      </c>
      <c r="S1707" s="1" t="n">
        <f aca="false">N(S1706)+$R1707</f>
        <v>5</v>
      </c>
      <c r="T1707" s="1" t="n">
        <f aca="false">IF(AND($K1707=1,AND(对接源_02物料!$X507="公司筐",N(对接源_02物料!$V507)&lt;&gt;0)),1,0)</f>
        <v>0</v>
      </c>
      <c r="U1707" s="1" t="n">
        <f aca="false">N(U1706)+$T1707</f>
        <v>28</v>
      </c>
      <c r="V1707" s="1" t="n">
        <f aca="false">IF(AND($L1707=1,AND(对接源_02物料!$X507="自备筐",N(对接源_02物料!$V507)&lt;&gt;0)),1,0)</f>
        <v>0</v>
      </c>
      <c r="W1707" s="1" t="n">
        <f aca="false">N(W1706)+$V1707</f>
        <v>7</v>
      </c>
      <c r="X1707" s="1" t="n">
        <f aca="false">IF(AND($L1707=1,AND(对接源_02物料!$X507="自备筐",N(对接源_02物料!$T507)&lt;&gt;0)),1,0)</f>
        <v>0</v>
      </c>
      <c r="Y1707" s="1" t="n">
        <f aca="false">N(Y1706)+$X1707</f>
        <v>0</v>
      </c>
      <c r="Z1707" s="1" t="n">
        <f aca="false">IF(AND($M1707=1,对接源_02物料!$D507="原料入库"),1,0)</f>
        <v>0</v>
      </c>
      <c r="AA1707" s="1" t="n">
        <f aca="false">N(AA1706)+$Z1707</f>
        <v>30</v>
      </c>
      <c r="AB1707" s="1" t="n">
        <f aca="false">IF(AND($M1707=1,LEFT(对接源_02物料!$D507,4)="原料出库"),1,0)</f>
        <v>0</v>
      </c>
      <c r="AC1707" s="1" t="n">
        <f aca="false">N(AC1706)+$AB1707</f>
        <v>19</v>
      </c>
      <c r="AD1707" s="1" t="n">
        <f aca="false">IF(AND($M1707=1,LEFT(对接源_02物料!$D507,4)="成品出库"),1,0)</f>
        <v>0</v>
      </c>
      <c r="AE1707" s="1" t="n">
        <f aca="false">N(AE1706)+$AD1707</f>
        <v>38</v>
      </c>
      <c r="AF1707" s="1" t="n">
        <f aca="false">IF(AND($N1707=1,AND(LEFT(对接源_02物料!$D507,4)="包装物料",N(对接源_02物料!$K507)&lt;&gt;0)),1,0)</f>
        <v>0</v>
      </c>
      <c r="AG1707" s="1" t="n">
        <f aca="false">N(AG1706)+$AF1707</f>
        <v>6</v>
      </c>
      <c r="AH1707" s="1" t="n">
        <f aca="false">IF(AND($N1707=1,AND(LEFT(对接源_02物料!$D507,3)="周转筐",N(对接源_02物料!$K507)&lt;&gt;0)),1,0)</f>
        <v>0</v>
      </c>
      <c r="AI1707" s="1" t="n">
        <f aca="false">N(AI1706)+$AH1707</f>
        <v>0</v>
      </c>
      <c r="AJ1707" s="1" t="n">
        <v>0</v>
      </c>
      <c r="AK1707" s="1" t="n">
        <f aca="false">N(AK1706)+$AJ1707</f>
        <v>3672</v>
      </c>
    </row>
    <row r="1708" customFormat="false" ht="13.5" hidden="false" customHeight="false" outlineLevel="0" collapsed="false">
      <c r="A1708" s="1" t="str">
        <f aca="false">IF(对接源_02物料!$C508="","",对接源_02物料!$C508)</f>
        <v/>
      </c>
      <c r="B1708" s="1" t="n">
        <f aca="false">IF(A1708="",0,IF(MATCH(A1708,$A$4:$A$2403,0)=ROW()-3,1,0))</f>
        <v>0</v>
      </c>
      <c r="C1708" s="1" t="n">
        <f aca="false">N(C1707)+B1708</f>
        <v>17</v>
      </c>
      <c r="K1708" s="1" t="n">
        <f aca="false">IF(OR($K$1="",对接源_02物料!$C508="",对接源_02物料!$C508&lt;&gt;$K$1,对接源_02物料!$B508=""),0,IF(OR(N(对接源_02物料!$B508)&lt;$K$2,N(对接源_02物料!$B508)&gt;$K$3),0,1))</f>
        <v>0</v>
      </c>
      <c r="L1708" s="1" t="n">
        <f aca="false">IF(OR($L$1="",对接源_02物料!$C508="",对接源_02物料!$C508&lt;&gt;$L$1,对接源_02物料!$B508=""),0,IF(OR(N(对接源_02物料!$B508)&lt;$L$2,N(对接源_02物料!$B508)&gt;$L$3),0,1))</f>
        <v>0</v>
      </c>
      <c r="M1708" s="1" t="n">
        <f aca="false">IF(OR($M$1="",对接源_02物料!$C508="",对接源_02物料!$C508&lt;&gt;$M$1,对接源_02物料!$B508=""),0,IF(OR(N(对接源_02物料!$B508)&lt;$M$2,N(对接源_02物料!$B508)&gt;$M$3),0,1))</f>
        <v>0</v>
      </c>
      <c r="N1708" s="1" t="n">
        <f aca="false">IF(OR($N$1="",对接源_02物料!$C508="",对接源_02物料!$C508&lt;&gt;$N$1,对接源_02物料!$B508=""),0,IF(OR(N(对接源_02物料!$B508)&lt;$N$2,N(对接源_02物料!$B508)&gt;$N$3),0,1))</f>
        <v>0</v>
      </c>
      <c r="P1708" s="1" t="n">
        <f aca="false">IF(AND($K1708=1,AND(对接源_02物料!$X508="公司筐",N(对接源_02物料!$T508)&lt;&gt;0)),1,0)</f>
        <v>0</v>
      </c>
      <c r="Q1708" s="1" t="n">
        <f aca="false">N(Q1707)+$P1708</f>
        <v>13</v>
      </c>
      <c r="R1708" s="1" t="n">
        <f aca="false">IF(AND($K1708=1,AND(对接源_02物料!$X508="公司筐",N(对接源_02物料!$U508)&lt;&gt;0)),1,0)</f>
        <v>0</v>
      </c>
      <c r="S1708" s="1" t="n">
        <f aca="false">N(S1707)+$R1708</f>
        <v>5</v>
      </c>
      <c r="T1708" s="1" t="n">
        <f aca="false">IF(AND($K1708=1,AND(对接源_02物料!$X508="公司筐",N(对接源_02物料!$V508)&lt;&gt;0)),1,0)</f>
        <v>0</v>
      </c>
      <c r="U1708" s="1" t="n">
        <f aca="false">N(U1707)+$T1708</f>
        <v>28</v>
      </c>
      <c r="V1708" s="1" t="n">
        <f aca="false">IF(AND($L1708=1,AND(对接源_02物料!$X508="自备筐",N(对接源_02物料!$V508)&lt;&gt;0)),1,0)</f>
        <v>0</v>
      </c>
      <c r="W1708" s="1" t="n">
        <f aca="false">N(W1707)+$V1708</f>
        <v>7</v>
      </c>
      <c r="X1708" s="1" t="n">
        <f aca="false">IF(AND($L1708=1,AND(对接源_02物料!$X508="自备筐",N(对接源_02物料!$T508)&lt;&gt;0)),1,0)</f>
        <v>0</v>
      </c>
      <c r="Y1708" s="1" t="n">
        <f aca="false">N(Y1707)+$X1708</f>
        <v>0</v>
      </c>
      <c r="Z1708" s="1" t="n">
        <f aca="false">IF(AND($M1708=1,对接源_02物料!$D508="原料入库"),1,0)</f>
        <v>0</v>
      </c>
      <c r="AA1708" s="1" t="n">
        <f aca="false">N(AA1707)+$Z1708</f>
        <v>30</v>
      </c>
      <c r="AB1708" s="1" t="n">
        <f aca="false">IF(AND($M1708=1,LEFT(对接源_02物料!$D508,4)="原料出库"),1,0)</f>
        <v>0</v>
      </c>
      <c r="AC1708" s="1" t="n">
        <f aca="false">N(AC1707)+$AB1708</f>
        <v>19</v>
      </c>
      <c r="AD1708" s="1" t="n">
        <f aca="false">IF(AND($M1708=1,LEFT(对接源_02物料!$D508,4)="成品出库"),1,0)</f>
        <v>0</v>
      </c>
      <c r="AE1708" s="1" t="n">
        <f aca="false">N(AE1707)+$AD1708</f>
        <v>38</v>
      </c>
      <c r="AF1708" s="1" t="n">
        <f aca="false">IF(AND($N1708=1,AND(LEFT(对接源_02物料!$D508,4)="包装物料",N(对接源_02物料!$K508)&lt;&gt;0)),1,0)</f>
        <v>0</v>
      </c>
      <c r="AG1708" s="1" t="n">
        <f aca="false">N(AG1707)+$AF1708</f>
        <v>6</v>
      </c>
      <c r="AH1708" s="1" t="n">
        <f aca="false">IF(AND($N1708=1,AND(LEFT(对接源_02物料!$D508,3)="周转筐",N(对接源_02物料!$K508)&lt;&gt;0)),1,0)</f>
        <v>0</v>
      </c>
      <c r="AI1708" s="1" t="n">
        <f aca="false">N(AI1707)+$AH1708</f>
        <v>0</v>
      </c>
      <c r="AJ1708" s="1" t="n">
        <v>0</v>
      </c>
      <c r="AK1708" s="1" t="n">
        <f aca="false">N(AK1707)+$AJ1708</f>
        <v>3672</v>
      </c>
    </row>
    <row r="1709" customFormat="false" ht="13.5" hidden="false" customHeight="false" outlineLevel="0" collapsed="false">
      <c r="A1709" s="1" t="str">
        <f aca="false">IF(对接源_02物料!$C509="","",对接源_02物料!$C509)</f>
        <v/>
      </c>
      <c r="B1709" s="1" t="n">
        <f aca="false">IF(A1709="",0,IF(MATCH(A1709,$A$4:$A$2403,0)=ROW()-3,1,0))</f>
        <v>0</v>
      </c>
      <c r="C1709" s="1" t="n">
        <f aca="false">N(C1708)+B1709</f>
        <v>17</v>
      </c>
      <c r="K1709" s="1" t="n">
        <f aca="false">IF(OR($K$1="",对接源_02物料!$C509="",对接源_02物料!$C509&lt;&gt;$K$1,对接源_02物料!$B509=""),0,IF(OR(N(对接源_02物料!$B509)&lt;$K$2,N(对接源_02物料!$B509)&gt;$K$3),0,1))</f>
        <v>0</v>
      </c>
      <c r="L1709" s="1" t="n">
        <f aca="false">IF(OR($L$1="",对接源_02物料!$C509="",对接源_02物料!$C509&lt;&gt;$L$1,对接源_02物料!$B509=""),0,IF(OR(N(对接源_02物料!$B509)&lt;$L$2,N(对接源_02物料!$B509)&gt;$L$3),0,1))</f>
        <v>0</v>
      </c>
      <c r="M1709" s="1" t="n">
        <f aca="false">IF(OR($M$1="",对接源_02物料!$C509="",对接源_02物料!$C509&lt;&gt;$M$1,对接源_02物料!$B509=""),0,IF(OR(N(对接源_02物料!$B509)&lt;$M$2,N(对接源_02物料!$B509)&gt;$M$3),0,1))</f>
        <v>0</v>
      </c>
      <c r="N1709" s="1" t="n">
        <f aca="false">IF(OR($N$1="",对接源_02物料!$C509="",对接源_02物料!$C509&lt;&gt;$N$1,对接源_02物料!$B509=""),0,IF(OR(N(对接源_02物料!$B509)&lt;$N$2,N(对接源_02物料!$B509)&gt;$N$3),0,1))</f>
        <v>0</v>
      </c>
      <c r="P1709" s="1" t="n">
        <f aca="false">IF(AND($K1709=1,AND(对接源_02物料!$X509="公司筐",N(对接源_02物料!$T509)&lt;&gt;0)),1,0)</f>
        <v>0</v>
      </c>
      <c r="Q1709" s="1" t="n">
        <f aca="false">N(Q1708)+$P1709</f>
        <v>13</v>
      </c>
      <c r="R1709" s="1" t="n">
        <f aca="false">IF(AND($K1709=1,AND(对接源_02物料!$X509="公司筐",N(对接源_02物料!$U509)&lt;&gt;0)),1,0)</f>
        <v>0</v>
      </c>
      <c r="S1709" s="1" t="n">
        <f aca="false">N(S1708)+$R1709</f>
        <v>5</v>
      </c>
      <c r="T1709" s="1" t="n">
        <f aca="false">IF(AND($K1709=1,AND(对接源_02物料!$X509="公司筐",N(对接源_02物料!$V509)&lt;&gt;0)),1,0)</f>
        <v>0</v>
      </c>
      <c r="U1709" s="1" t="n">
        <f aca="false">N(U1708)+$T1709</f>
        <v>28</v>
      </c>
      <c r="V1709" s="1" t="n">
        <f aca="false">IF(AND($L1709=1,AND(对接源_02物料!$X509="自备筐",N(对接源_02物料!$V509)&lt;&gt;0)),1,0)</f>
        <v>0</v>
      </c>
      <c r="W1709" s="1" t="n">
        <f aca="false">N(W1708)+$V1709</f>
        <v>7</v>
      </c>
      <c r="X1709" s="1" t="n">
        <f aca="false">IF(AND($L1709=1,AND(对接源_02物料!$X509="自备筐",N(对接源_02物料!$T509)&lt;&gt;0)),1,0)</f>
        <v>0</v>
      </c>
      <c r="Y1709" s="1" t="n">
        <f aca="false">N(Y1708)+$X1709</f>
        <v>0</v>
      </c>
      <c r="Z1709" s="1" t="n">
        <f aca="false">IF(AND($M1709=1,对接源_02物料!$D509="原料入库"),1,0)</f>
        <v>0</v>
      </c>
      <c r="AA1709" s="1" t="n">
        <f aca="false">N(AA1708)+$Z1709</f>
        <v>30</v>
      </c>
      <c r="AB1709" s="1" t="n">
        <f aca="false">IF(AND($M1709=1,LEFT(对接源_02物料!$D509,4)="原料出库"),1,0)</f>
        <v>0</v>
      </c>
      <c r="AC1709" s="1" t="n">
        <f aca="false">N(AC1708)+$AB1709</f>
        <v>19</v>
      </c>
      <c r="AD1709" s="1" t="n">
        <f aca="false">IF(AND($M1709=1,LEFT(对接源_02物料!$D509,4)="成品出库"),1,0)</f>
        <v>0</v>
      </c>
      <c r="AE1709" s="1" t="n">
        <f aca="false">N(AE1708)+$AD1709</f>
        <v>38</v>
      </c>
      <c r="AF1709" s="1" t="n">
        <f aca="false">IF(AND($N1709=1,AND(LEFT(对接源_02物料!$D509,4)="包装物料",N(对接源_02物料!$K509)&lt;&gt;0)),1,0)</f>
        <v>0</v>
      </c>
      <c r="AG1709" s="1" t="n">
        <f aca="false">N(AG1708)+$AF1709</f>
        <v>6</v>
      </c>
      <c r="AH1709" s="1" t="n">
        <f aca="false">IF(AND($N1709=1,AND(LEFT(对接源_02物料!$D509,3)="周转筐",N(对接源_02物料!$K509)&lt;&gt;0)),1,0)</f>
        <v>0</v>
      </c>
      <c r="AI1709" s="1" t="n">
        <f aca="false">N(AI1708)+$AH1709</f>
        <v>0</v>
      </c>
      <c r="AJ1709" s="1" t="n">
        <v>0</v>
      </c>
      <c r="AK1709" s="1" t="n">
        <f aca="false">N(AK1708)+$AJ1709</f>
        <v>3672</v>
      </c>
    </row>
    <row r="1710" customFormat="false" ht="13.5" hidden="false" customHeight="false" outlineLevel="0" collapsed="false">
      <c r="A1710" s="1" t="str">
        <f aca="false">IF(对接源_02物料!$C510="","",对接源_02物料!$C510)</f>
        <v/>
      </c>
      <c r="B1710" s="1" t="n">
        <f aca="false">IF(A1710="",0,IF(MATCH(A1710,$A$4:$A$2403,0)=ROW()-3,1,0))</f>
        <v>0</v>
      </c>
      <c r="C1710" s="1" t="n">
        <f aca="false">N(C1709)+B1710</f>
        <v>17</v>
      </c>
      <c r="K1710" s="1" t="n">
        <f aca="false">IF(OR($K$1="",对接源_02物料!$C510="",对接源_02物料!$C510&lt;&gt;$K$1,对接源_02物料!$B510=""),0,IF(OR(N(对接源_02物料!$B510)&lt;$K$2,N(对接源_02物料!$B510)&gt;$K$3),0,1))</f>
        <v>0</v>
      </c>
      <c r="L1710" s="1" t="n">
        <f aca="false">IF(OR($L$1="",对接源_02物料!$C510="",对接源_02物料!$C510&lt;&gt;$L$1,对接源_02物料!$B510=""),0,IF(OR(N(对接源_02物料!$B510)&lt;$L$2,N(对接源_02物料!$B510)&gt;$L$3),0,1))</f>
        <v>0</v>
      </c>
      <c r="M1710" s="1" t="n">
        <f aca="false">IF(OR($M$1="",对接源_02物料!$C510="",对接源_02物料!$C510&lt;&gt;$M$1,对接源_02物料!$B510=""),0,IF(OR(N(对接源_02物料!$B510)&lt;$M$2,N(对接源_02物料!$B510)&gt;$M$3),0,1))</f>
        <v>0</v>
      </c>
      <c r="N1710" s="1" t="n">
        <f aca="false">IF(OR($N$1="",对接源_02物料!$C510="",对接源_02物料!$C510&lt;&gt;$N$1,对接源_02物料!$B510=""),0,IF(OR(N(对接源_02物料!$B510)&lt;$N$2,N(对接源_02物料!$B510)&gt;$N$3),0,1))</f>
        <v>0</v>
      </c>
      <c r="P1710" s="1" t="n">
        <f aca="false">IF(AND($K1710=1,AND(对接源_02物料!$X510="公司筐",N(对接源_02物料!$T510)&lt;&gt;0)),1,0)</f>
        <v>0</v>
      </c>
      <c r="Q1710" s="1" t="n">
        <f aca="false">N(Q1709)+$P1710</f>
        <v>13</v>
      </c>
      <c r="R1710" s="1" t="n">
        <f aca="false">IF(AND($K1710=1,AND(对接源_02物料!$X510="公司筐",N(对接源_02物料!$U510)&lt;&gt;0)),1,0)</f>
        <v>0</v>
      </c>
      <c r="S1710" s="1" t="n">
        <f aca="false">N(S1709)+$R1710</f>
        <v>5</v>
      </c>
      <c r="T1710" s="1" t="n">
        <f aca="false">IF(AND($K1710=1,AND(对接源_02物料!$X510="公司筐",N(对接源_02物料!$V510)&lt;&gt;0)),1,0)</f>
        <v>0</v>
      </c>
      <c r="U1710" s="1" t="n">
        <f aca="false">N(U1709)+$T1710</f>
        <v>28</v>
      </c>
      <c r="V1710" s="1" t="n">
        <f aca="false">IF(AND($L1710=1,AND(对接源_02物料!$X510="自备筐",N(对接源_02物料!$V510)&lt;&gt;0)),1,0)</f>
        <v>0</v>
      </c>
      <c r="W1710" s="1" t="n">
        <f aca="false">N(W1709)+$V1710</f>
        <v>7</v>
      </c>
      <c r="X1710" s="1" t="n">
        <f aca="false">IF(AND($L1710=1,AND(对接源_02物料!$X510="自备筐",N(对接源_02物料!$T510)&lt;&gt;0)),1,0)</f>
        <v>0</v>
      </c>
      <c r="Y1710" s="1" t="n">
        <f aca="false">N(Y1709)+$X1710</f>
        <v>0</v>
      </c>
      <c r="Z1710" s="1" t="n">
        <f aca="false">IF(AND($M1710=1,对接源_02物料!$D510="原料入库"),1,0)</f>
        <v>0</v>
      </c>
      <c r="AA1710" s="1" t="n">
        <f aca="false">N(AA1709)+$Z1710</f>
        <v>30</v>
      </c>
      <c r="AB1710" s="1" t="n">
        <f aca="false">IF(AND($M1710=1,LEFT(对接源_02物料!$D510,4)="原料出库"),1,0)</f>
        <v>0</v>
      </c>
      <c r="AC1710" s="1" t="n">
        <f aca="false">N(AC1709)+$AB1710</f>
        <v>19</v>
      </c>
      <c r="AD1710" s="1" t="n">
        <f aca="false">IF(AND($M1710=1,LEFT(对接源_02物料!$D510,4)="成品出库"),1,0)</f>
        <v>0</v>
      </c>
      <c r="AE1710" s="1" t="n">
        <f aca="false">N(AE1709)+$AD1710</f>
        <v>38</v>
      </c>
      <c r="AF1710" s="1" t="n">
        <f aca="false">IF(AND($N1710=1,AND(LEFT(对接源_02物料!$D510,4)="包装物料",N(对接源_02物料!$K510)&lt;&gt;0)),1,0)</f>
        <v>0</v>
      </c>
      <c r="AG1710" s="1" t="n">
        <f aca="false">N(AG1709)+$AF1710</f>
        <v>6</v>
      </c>
      <c r="AH1710" s="1" t="n">
        <f aca="false">IF(AND($N1710=1,AND(LEFT(对接源_02物料!$D510,3)="周转筐",N(对接源_02物料!$K510)&lt;&gt;0)),1,0)</f>
        <v>0</v>
      </c>
      <c r="AI1710" s="1" t="n">
        <f aca="false">N(AI1709)+$AH1710</f>
        <v>0</v>
      </c>
      <c r="AJ1710" s="1" t="n">
        <v>0</v>
      </c>
      <c r="AK1710" s="1" t="n">
        <f aca="false">N(AK1709)+$AJ1710</f>
        <v>3672</v>
      </c>
    </row>
    <row r="1711" customFormat="false" ht="13.5" hidden="false" customHeight="false" outlineLevel="0" collapsed="false">
      <c r="A1711" s="1" t="str">
        <f aca="false">IF(对接源_02物料!$C511="","",对接源_02物料!$C511)</f>
        <v/>
      </c>
      <c r="B1711" s="1" t="n">
        <f aca="false">IF(A1711="",0,IF(MATCH(A1711,$A$4:$A$2403,0)=ROW()-3,1,0))</f>
        <v>0</v>
      </c>
      <c r="C1711" s="1" t="n">
        <f aca="false">N(C1710)+B1711</f>
        <v>17</v>
      </c>
      <c r="K1711" s="1" t="n">
        <f aca="false">IF(OR($K$1="",对接源_02物料!$C511="",对接源_02物料!$C511&lt;&gt;$K$1,对接源_02物料!$B511=""),0,IF(OR(N(对接源_02物料!$B511)&lt;$K$2,N(对接源_02物料!$B511)&gt;$K$3),0,1))</f>
        <v>0</v>
      </c>
      <c r="L1711" s="1" t="n">
        <f aca="false">IF(OR($L$1="",对接源_02物料!$C511="",对接源_02物料!$C511&lt;&gt;$L$1,对接源_02物料!$B511=""),0,IF(OR(N(对接源_02物料!$B511)&lt;$L$2,N(对接源_02物料!$B511)&gt;$L$3),0,1))</f>
        <v>0</v>
      </c>
      <c r="M1711" s="1" t="n">
        <f aca="false">IF(OR($M$1="",对接源_02物料!$C511="",对接源_02物料!$C511&lt;&gt;$M$1,对接源_02物料!$B511=""),0,IF(OR(N(对接源_02物料!$B511)&lt;$M$2,N(对接源_02物料!$B511)&gt;$M$3),0,1))</f>
        <v>0</v>
      </c>
      <c r="N1711" s="1" t="n">
        <f aca="false">IF(OR($N$1="",对接源_02物料!$C511="",对接源_02物料!$C511&lt;&gt;$N$1,对接源_02物料!$B511=""),0,IF(OR(N(对接源_02物料!$B511)&lt;$N$2,N(对接源_02物料!$B511)&gt;$N$3),0,1))</f>
        <v>0</v>
      </c>
      <c r="P1711" s="1" t="n">
        <f aca="false">IF(AND($K1711=1,AND(对接源_02物料!$X511="公司筐",N(对接源_02物料!$T511)&lt;&gt;0)),1,0)</f>
        <v>0</v>
      </c>
      <c r="Q1711" s="1" t="n">
        <f aca="false">N(Q1710)+$P1711</f>
        <v>13</v>
      </c>
      <c r="R1711" s="1" t="n">
        <f aca="false">IF(AND($K1711=1,AND(对接源_02物料!$X511="公司筐",N(对接源_02物料!$U511)&lt;&gt;0)),1,0)</f>
        <v>0</v>
      </c>
      <c r="S1711" s="1" t="n">
        <f aca="false">N(S1710)+$R1711</f>
        <v>5</v>
      </c>
      <c r="T1711" s="1" t="n">
        <f aca="false">IF(AND($K1711=1,AND(对接源_02物料!$X511="公司筐",N(对接源_02物料!$V511)&lt;&gt;0)),1,0)</f>
        <v>0</v>
      </c>
      <c r="U1711" s="1" t="n">
        <f aca="false">N(U1710)+$T1711</f>
        <v>28</v>
      </c>
      <c r="V1711" s="1" t="n">
        <f aca="false">IF(AND($L1711=1,AND(对接源_02物料!$X511="自备筐",N(对接源_02物料!$V511)&lt;&gt;0)),1,0)</f>
        <v>0</v>
      </c>
      <c r="W1711" s="1" t="n">
        <f aca="false">N(W1710)+$V1711</f>
        <v>7</v>
      </c>
      <c r="X1711" s="1" t="n">
        <f aca="false">IF(AND($L1711=1,AND(对接源_02物料!$X511="自备筐",N(对接源_02物料!$T511)&lt;&gt;0)),1,0)</f>
        <v>0</v>
      </c>
      <c r="Y1711" s="1" t="n">
        <f aca="false">N(Y1710)+$X1711</f>
        <v>0</v>
      </c>
      <c r="Z1711" s="1" t="n">
        <f aca="false">IF(AND($M1711=1,对接源_02物料!$D511="原料入库"),1,0)</f>
        <v>0</v>
      </c>
      <c r="AA1711" s="1" t="n">
        <f aca="false">N(AA1710)+$Z1711</f>
        <v>30</v>
      </c>
      <c r="AB1711" s="1" t="n">
        <f aca="false">IF(AND($M1711=1,LEFT(对接源_02物料!$D511,4)="原料出库"),1,0)</f>
        <v>0</v>
      </c>
      <c r="AC1711" s="1" t="n">
        <f aca="false">N(AC1710)+$AB1711</f>
        <v>19</v>
      </c>
      <c r="AD1711" s="1" t="n">
        <f aca="false">IF(AND($M1711=1,LEFT(对接源_02物料!$D511,4)="成品出库"),1,0)</f>
        <v>0</v>
      </c>
      <c r="AE1711" s="1" t="n">
        <f aca="false">N(AE1710)+$AD1711</f>
        <v>38</v>
      </c>
      <c r="AF1711" s="1" t="n">
        <f aca="false">IF(AND($N1711=1,AND(LEFT(对接源_02物料!$D511,4)="包装物料",N(对接源_02物料!$K511)&lt;&gt;0)),1,0)</f>
        <v>0</v>
      </c>
      <c r="AG1711" s="1" t="n">
        <f aca="false">N(AG1710)+$AF1711</f>
        <v>6</v>
      </c>
      <c r="AH1711" s="1" t="n">
        <f aca="false">IF(AND($N1711=1,AND(LEFT(对接源_02物料!$D511,3)="周转筐",N(对接源_02物料!$K511)&lt;&gt;0)),1,0)</f>
        <v>0</v>
      </c>
      <c r="AI1711" s="1" t="n">
        <f aca="false">N(AI1710)+$AH1711</f>
        <v>0</v>
      </c>
      <c r="AJ1711" s="1" t="n">
        <v>0</v>
      </c>
      <c r="AK1711" s="1" t="n">
        <f aca="false">N(AK1710)+$AJ1711</f>
        <v>3672</v>
      </c>
    </row>
    <row r="1712" customFormat="false" ht="13.5" hidden="false" customHeight="false" outlineLevel="0" collapsed="false">
      <c r="A1712" s="1" t="str">
        <f aca="false">IF(对接源_02物料!$C512="","",对接源_02物料!$C512)</f>
        <v/>
      </c>
      <c r="B1712" s="1" t="n">
        <f aca="false">IF(A1712="",0,IF(MATCH(A1712,$A$4:$A$2403,0)=ROW()-3,1,0))</f>
        <v>0</v>
      </c>
      <c r="C1712" s="1" t="n">
        <f aca="false">N(C1711)+B1712</f>
        <v>17</v>
      </c>
      <c r="K1712" s="1" t="n">
        <f aca="false">IF(OR($K$1="",对接源_02物料!$C512="",对接源_02物料!$C512&lt;&gt;$K$1,对接源_02物料!$B512=""),0,IF(OR(N(对接源_02物料!$B512)&lt;$K$2,N(对接源_02物料!$B512)&gt;$K$3),0,1))</f>
        <v>0</v>
      </c>
      <c r="L1712" s="1" t="n">
        <f aca="false">IF(OR($L$1="",对接源_02物料!$C512="",对接源_02物料!$C512&lt;&gt;$L$1,对接源_02物料!$B512=""),0,IF(OR(N(对接源_02物料!$B512)&lt;$L$2,N(对接源_02物料!$B512)&gt;$L$3),0,1))</f>
        <v>0</v>
      </c>
      <c r="M1712" s="1" t="n">
        <f aca="false">IF(OR($M$1="",对接源_02物料!$C512="",对接源_02物料!$C512&lt;&gt;$M$1,对接源_02物料!$B512=""),0,IF(OR(N(对接源_02物料!$B512)&lt;$M$2,N(对接源_02物料!$B512)&gt;$M$3),0,1))</f>
        <v>0</v>
      </c>
      <c r="N1712" s="1" t="n">
        <f aca="false">IF(OR($N$1="",对接源_02物料!$C512="",对接源_02物料!$C512&lt;&gt;$N$1,对接源_02物料!$B512=""),0,IF(OR(N(对接源_02物料!$B512)&lt;$N$2,N(对接源_02物料!$B512)&gt;$N$3),0,1))</f>
        <v>0</v>
      </c>
      <c r="P1712" s="1" t="n">
        <f aca="false">IF(AND($K1712=1,AND(对接源_02物料!$X512="公司筐",N(对接源_02物料!$T512)&lt;&gt;0)),1,0)</f>
        <v>0</v>
      </c>
      <c r="Q1712" s="1" t="n">
        <f aca="false">N(Q1711)+$P1712</f>
        <v>13</v>
      </c>
      <c r="R1712" s="1" t="n">
        <f aca="false">IF(AND($K1712=1,AND(对接源_02物料!$X512="公司筐",N(对接源_02物料!$U512)&lt;&gt;0)),1,0)</f>
        <v>0</v>
      </c>
      <c r="S1712" s="1" t="n">
        <f aca="false">N(S1711)+$R1712</f>
        <v>5</v>
      </c>
      <c r="T1712" s="1" t="n">
        <f aca="false">IF(AND($K1712=1,AND(对接源_02物料!$X512="公司筐",N(对接源_02物料!$V512)&lt;&gt;0)),1,0)</f>
        <v>0</v>
      </c>
      <c r="U1712" s="1" t="n">
        <f aca="false">N(U1711)+$T1712</f>
        <v>28</v>
      </c>
      <c r="V1712" s="1" t="n">
        <f aca="false">IF(AND($L1712=1,AND(对接源_02物料!$X512="自备筐",N(对接源_02物料!$V512)&lt;&gt;0)),1,0)</f>
        <v>0</v>
      </c>
      <c r="W1712" s="1" t="n">
        <f aca="false">N(W1711)+$V1712</f>
        <v>7</v>
      </c>
      <c r="X1712" s="1" t="n">
        <f aca="false">IF(AND($L1712=1,AND(对接源_02物料!$X512="自备筐",N(对接源_02物料!$T512)&lt;&gt;0)),1,0)</f>
        <v>0</v>
      </c>
      <c r="Y1712" s="1" t="n">
        <f aca="false">N(Y1711)+$X1712</f>
        <v>0</v>
      </c>
      <c r="Z1712" s="1" t="n">
        <f aca="false">IF(AND($M1712=1,对接源_02物料!$D512="原料入库"),1,0)</f>
        <v>0</v>
      </c>
      <c r="AA1712" s="1" t="n">
        <f aca="false">N(AA1711)+$Z1712</f>
        <v>30</v>
      </c>
      <c r="AB1712" s="1" t="n">
        <f aca="false">IF(AND($M1712=1,LEFT(对接源_02物料!$D512,4)="原料出库"),1,0)</f>
        <v>0</v>
      </c>
      <c r="AC1712" s="1" t="n">
        <f aca="false">N(AC1711)+$AB1712</f>
        <v>19</v>
      </c>
      <c r="AD1712" s="1" t="n">
        <f aca="false">IF(AND($M1712=1,LEFT(对接源_02物料!$D512,4)="成品出库"),1,0)</f>
        <v>0</v>
      </c>
      <c r="AE1712" s="1" t="n">
        <f aca="false">N(AE1711)+$AD1712</f>
        <v>38</v>
      </c>
      <c r="AF1712" s="1" t="n">
        <f aca="false">IF(AND($N1712=1,AND(LEFT(对接源_02物料!$D512,4)="包装物料",N(对接源_02物料!$K512)&lt;&gt;0)),1,0)</f>
        <v>0</v>
      </c>
      <c r="AG1712" s="1" t="n">
        <f aca="false">N(AG1711)+$AF1712</f>
        <v>6</v>
      </c>
      <c r="AH1712" s="1" t="n">
        <f aca="false">IF(AND($N1712=1,AND(LEFT(对接源_02物料!$D512,3)="周转筐",N(对接源_02物料!$K512)&lt;&gt;0)),1,0)</f>
        <v>0</v>
      </c>
      <c r="AI1712" s="1" t="n">
        <f aca="false">N(AI1711)+$AH1712</f>
        <v>0</v>
      </c>
      <c r="AJ1712" s="1" t="n">
        <v>0</v>
      </c>
      <c r="AK1712" s="1" t="n">
        <f aca="false">N(AK1711)+$AJ1712</f>
        <v>3672</v>
      </c>
    </row>
    <row r="1713" customFormat="false" ht="13.5" hidden="false" customHeight="false" outlineLevel="0" collapsed="false">
      <c r="A1713" s="1" t="str">
        <f aca="false">IF(对接源_02物料!$C513="","",对接源_02物料!$C513)</f>
        <v/>
      </c>
      <c r="B1713" s="1" t="n">
        <f aca="false">IF(A1713="",0,IF(MATCH(A1713,$A$4:$A$2403,0)=ROW()-3,1,0))</f>
        <v>0</v>
      </c>
      <c r="C1713" s="1" t="n">
        <f aca="false">N(C1712)+B1713</f>
        <v>17</v>
      </c>
      <c r="K1713" s="1" t="n">
        <f aca="false">IF(OR($K$1="",对接源_02物料!$C513="",对接源_02物料!$C513&lt;&gt;$K$1,对接源_02物料!$B513=""),0,IF(OR(N(对接源_02物料!$B513)&lt;$K$2,N(对接源_02物料!$B513)&gt;$K$3),0,1))</f>
        <v>0</v>
      </c>
      <c r="L1713" s="1" t="n">
        <f aca="false">IF(OR($L$1="",对接源_02物料!$C513="",对接源_02物料!$C513&lt;&gt;$L$1,对接源_02物料!$B513=""),0,IF(OR(N(对接源_02物料!$B513)&lt;$L$2,N(对接源_02物料!$B513)&gt;$L$3),0,1))</f>
        <v>0</v>
      </c>
      <c r="M1713" s="1" t="n">
        <f aca="false">IF(OR($M$1="",对接源_02物料!$C513="",对接源_02物料!$C513&lt;&gt;$M$1,对接源_02物料!$B513=""),0,IF(OR(N(对接源_02物料!$B513)&lt;$M$2,N(对接源_02物料!$B513)&gt;$M$3),0,1))</f>
        <v>0</v>
      </c>
      <c r="N1713" s="1" t="n">
        <f aca="false">IF(OR($N$1="",对接源_02物料!$C513="",对接源_02物料!$C513&lt;&gt;$N$1,对接源_02物料!$B513=""),0,IF(OR(N(对接源_02物料!$B513)&lt;$N$2,N(对接源_02物料!$B513)&gt;$N$3),0,1))</f>
        <v>0</v>
      </c>
      <c r="P1713" s="1" t="n">
        <f aca="false">IF(AND($K1713=1,AND(对接源_02物料!$X513="公司筐",N(对接源_02物料!$T513)&lt;&gt;0)),1,0)</f>
        <v>0</v>
      </c>
      <c r="Q1713" s="1" t="n">
        <f aca="false">N(Q1712)+$P1713</f>
        <v>13</v>
      </c>
      <c r="R1713" s="1" t="n">
        <f aca="false">IF(AND($K1713=1,AND(对接源_02物料!$X513="公司筐",N(对接源_02物料!$U513)&lt;&gt;0)),1,0)</f>
        <v>0</v>
      </c>
      <c r="S1713" s="1" t="n">
        <f aca="false">N(S1712)+$R1713</f>
        <v>5</v>
      </c>
      <c r="T1713" s="1" t="n">
        <f aca="false">IF(AND($K1713=1,AND(对接源_02物料!$X513="公司筐",N(对接源_02物料!$V513)&lt;&gt;0)),1,0)</f>
        <v>0</v>
      </c>
      <c r="U1713" s="1" t="n">
        <f aca="false">N(U1712)+$T1713</f>
        <v>28</v>
      </c>
      <c r="V1713" s="1" t="n">
        <f aca="false">IF(AND($L1713=1,AND(对接源_02物料!$X513="自备筐",N(对接源_02物料!$V513)&lt;&gt;0)),1,0)</f>
        <v>0</v>
      </c>
      <c r="W1713" s="1" t="n">
        <f aca="false">N(W1712)+$V1713</f>
        <v>7</v>
      </c>
      <c r="X1713" s="1" t="n">
        <f aca="false">IF(AND($L1713=1,AND(对接源_02物料!$X513="自备筐",N(对接源_02物料!$T513)&lt;&gt;0)),1,0)</f>
        <v>0</v>
      </c>
      <c r="Y1713" s="1" t="n">
        <f aca="false">N(Y1712)+$X1713</f>
        <v>0</v>
      </c>
      <c r="Z1713" s="1" t="n">
        <f aca="false">IF(AND($M1713=1,对接源_02物料!$D513="原料入库"),1,0)</f>
        <v>0</v>
      </c>
      <c r="AA1713" s="1" t="n">
        <f aca="false">N(AA1712)+$Z1713</f>
        <v>30</v>
      </c>
      <c r="AB1713" s="1" t="n">
        <f aca="false">IF(AND($M1713=1,LEFT(对接源_02物料!$D513,4)="原料出库"),1,0)</f>
        <v>0</v>
      </c>
      <c r="AC1713" s="1" t="n">
        <f aca="false">N(AC1712)+$AB1713</f>
        <v>19</v>
      </c>
      <c r="AD1713" s="1" t="n">
        <f aca="false">IF(AND($M1713=1,LEFT(对接源_02物料!$D513,4)="成品出库"),1,0)</f>
        <v>0</v>
      </c>
      <c r="AE1713" s="1" t="n">
        <f aca="false">N(AE1712)+$AD1713</f>
        <v>38</v>
      </c>
      <c r="AF1713" s="1" t="n">
        <f aca="false">IF(AND($N1713=1,AND(LEFT(对接源_02物料!$D513,4)="包装物料",N(对接源_02物料!$K513)&lt;&gt;0)),1,0)</f>
        <v>0</v>
      </c>
      <c r="AG1713" s="1" t="n">
        <f aca="false">N(AG1712)+$AF1713</f>
        <v>6</v>
      </c>
      <c r="AH1713" s="1" t="n">
        <f aca="false">IF(AND($N1713=1,AND(LEFT(对接源_02物料!$D513,3)="周转筐",N(对接源_02物料!$K513)&lt;&gt;0)),1,0)</f>
        <v>0</v>
      </c>
      <c r="AI1713" s="1" t="n">
        <f aca="false">N(AI1712)+$AH1713</f>
        <v>0</v>
      </c>
      <c r="AJ1713" s="1" t="n">
        <v>0</v>
      </c>
      <c r="AK1713" s="1" t="n">
        <f aca="false">N(AK1712)+$AJ1713</f>
        <v>3672</v>
      </c>
    </row>
    <row r="1714" customFormat="false" ht="13.5" hidden="false" customHeight="false" outlineLevel="0" collapsed="false">
      <c r="A1714" s="1" t="str">
        <f aca="false">IF(对接源_02物料!$C514="","",对接源_02物料!$C514)</f>
        <v/>
      </c>
      <c r="B1714" s="1" t="n">
        <f aca="false">IF(A1714="",0,IF(MATCH(A1714,$A$4:$A$2403,0)=ROW()-3,1,0))</f>
        <v>0</v>
      </c>
      <c r="C1714" s="1" t="n">
        <f aca="false">N(C1713)+B1714</f>
        <v>17</v>
      </c>
      <c r="K1714" s="1" t="n">
        <f aca="false">IF(OR($K$1="",对接源_02物料!$C514="",对接源_02物料!$C514&lt;&gt;$K$1,对接源_02物料!$B514=""),0,IF(OR(N(对接源_02物料!$B514)&lt;$K$2,N(对接源_02物料!$B514)&gt;$K$3),0,1))</f>
        <v>0</v>
      </c>
      <c r="L1714" s="1" t="n">
        <f aca="false">IF(OR($L$1="",对接源_02物料!$C514="",对接源_02物料!$C514&lt;&gt;$L$1,对接源_02物料!$B514=""),0,IF(OR(N(对接源_02物料!$B514)&lt;$L$2,N(对接源_02物料!$B514)&gt;$L$3),0,1))</f>
        <v>0</v>
      </c>
      <c r="M1714" s="1" t="n">
        <f aca="false">IF(OR($M$1="",对接源_02物料!$C514="",对接源_02物料!$C514&lt;&gt;$M$1,对接源_02物料!$B514=""),0,IF(OR(N(对接源_02物料!$B514)&lt;$M$2,N(对接源_02物料!$B514)&gt;$M$3),0,1))</f>
        <v>0</v>
      </c>
      <c r="N1714" s="1" t="n">
        <f aca="false">IF(OR($N$1="",对接源_02物料!$C514="",对接源_02物料!$C514&lt;&gt;$N$1,对接源_02物料!$B514=""),0,IF(OR(N(对接源_02物料!$B514)&lt;$N$2,N(对接源_02物料!$B514)&gt;$N$3),0,1))</f>
        <v>0</v>
      </c>
      <c r="P1714" s="1" t="n">
        <f aca="false">IF(AND($K1714=1,AND(对接源_02物料!$X514="公司筐",N(对接源_02物料!$T514)&lt;&gt;0)),1,0)</f>
        <v>0</v>
      </c>
      <c r="Q1714" s="1" t="n">
        <f aca="false">N(Q1713)+$P1714</f>
        <v>13</v>
      </c>
      <c r="R1714" s="1" t="n">
        <f aca="false">IF(AND($K1714=1,AND(对接源_02物料!$X514="公司筐",N(对接源_02物料!$U514)&lt;&gt;0)),1,0)</f>
        <v>0</v>
      </c>
      <c r="S1714" s="1" t="n">
        <f aca="false">N(S1713)+$R1714</f>
        <v>5</v>
      </c>
      <c r="T1714" s="1" t="n">
        <f aca="false">IF(AND($K1714=1,AND(对接源_02物料!$X514="公司筐",N(对接源_02物料!$V514)&lt;&gt;0)),1,0)</f>
        <v>0</v>
      </c>
      <c r="U1714" s="1" t="n">
        <f aca="false">N(U1713)+$T1714</f>
        <v>28</v>
      </c>
      <c r="V1714" s="1" t="n">
        <f aca="false">IF(AND($L1714=1,AND(对接源_02物料!$X514="自备筐",N(对接源_02物料!$V514)&lt;&gt;0)),1,0)</f>
        <v>0</v>
      </c>
      <c r="W1714" s="1" t="n">
        <f aca="false">N(W1713)+$V1714</f>
        <v>7</v>
      </c>
      <c r="X1714" s="1" t="n">
        <f aca="false">IF(AND($L1714=1,AND(对接源_02物料!$X514="自备筐",N(对接源_02物料!$T514)&lt;&gt;0)),1,0)</f>
        <v>0</v>
      </c>
      <c r="Y1714" s="1" t="n">
        <f aca="false">N(Y1713)+$X1714</f>
        <v>0</v>
      </c>
      <c r="Z1714" s="1" t="n">
        <f aca="false">IF(AND($M1714=1,对接源_02物料!$D514="原料入库"),1,0)</f>
        <v>0</v>
      </c>
      <c r="AA1714" s="1" t="n">
        <f aca="false">N(AA1713)+$Z1714</f>
        <v>30</v>
      </c>
      <c r="AB1714" s="1" t="n">
        <f aca="false">IF(AND($M1714=1,LEFT(对接源_02物料!$D514,4)="原料出库"),1,0)</f>
        <v>0</v>
      </c>
      <c r="AC1714" s="1" t="n">
        <f aca="false">N(AC1713)+$AB1714</f>
        <v>19</v>
      </c>
      <c r="AD1714" s="1" t="n">
        <f aca="false">IF(AND($M1714=1,LEFT(对接源_02物料!$D514,4)="成品出库"),1,0)</f>
        <v>0</v>
      </c>
      <c r="AE1714" s="1" t="n">
        <f aca="false">N(AE1713)+$AD1714</f>
        <v>38</v>
      </c>
      <c r="AF1714" s="1" t="n">
        <f aca="false">IF(AND($N1714=1,AND(LEFT(对接源_02物料!$D514,4)="包装物料",N(对接源_02物料!$K514)&lt;&gt;0)),1,0)</f>
        <v>0</v>
      </c>
      <c r="AG1714" s="1" t="n">
        <f aca="false">N(AG1713)+$AF1714</f>
        <v>6</v>
      </c>
      <c r="AH1714" s="1" t="n">
        <f aca="false">IF(AND($N1714=1,AND(LEFT(对接源_02物料!$D514,3)="周转筐",N(对接源_02物料!$K514)&lt;&gt;0)),1,0)</f>
        <v>0</v>
      </c>
      <c r="AI1714" s="1" t="n">
        <f aca="false">N(AI1713)+$AH1714</f>
        <v>0</v>
      </c>
      <c r="AJ1714" s="1" t="n">
        <v>0</v>
      </c>
      <c r="AK1714" s="1" t="n">
        <f aca="false">N(AK1713)+$AJ1714</f>
        <v>3672</v>
      </c>
    </row>
    <row r="1715" customFormat="false" ht="13.5" hidden="false" customHeight="false" outlineLevel="0" collapsed="false">
      <c r="A1715" s="1" t="str">
        <f aca="false">IF(对接源_02物料!$C515="","",对接源_02物料!$C515)</f>
        <v/>
      </c>
      <c r="B1715" s="1" t="n">
        <f aca="false">IF(A1715="",0,IF(MATCH(A1715,$A$4:$A$2403,0)=ROW()-3,1,0))</f>
        <v>0</v>
      </c>
      <c r="C1715" s="1" t="n">
        <f aca="false">N(C1714)+B1715</f>
        <v>17</v>
      </c>
      <c r="K1715" s="1" t="n">
        <f aca="false">IF(OR($K$1="",对接源_02物料!$C515="",对接源_02物料!$C515&lt;&gt;$K$1,对接源_02物料!$B515=""),0,IF(OR(N(对接源_02物料!$B515)&lt;$K$2,N(对接源_02物料!$B515)&gt;$K$3),0,1))</f>
        <v>0</v>
      </c>
      <c r="L1715" s="1" t="n">
        <f aca="false">IF(OR($L$1="",对接源_02物料!$C515="",对接源_02物料!$C515&lt;&gt;$L$1,对接源_02物料!$B515=""),0,IF(OR(N(对接源_02物料!$B515)&lt;$L$2,N(对接源_02物料!$B515)&gt;$L$3),0,1))</f>
        <v>0</v>
      </c>
      <c r="M1715" s="1" t="n">
        <f aca="false">IF(OR($M$1="",对接源_02物料!$C515="",对接源_02物料!$C515&lt;&gt;$M$1,对接源_02物料!$B515=""),0,IF(OR(N(对接源_02物料!$B515)&lt;$M$2,N(对接源_02物料!$B515)&gt;$M$3),0,1))</f>
        <v>0</v>
      </c>
      <c r="N1715" s="1" t="n">
        <f aca="false">IF(OR($N$1="",对接源_02物料!$C515="",对接源_02物料!$C515&lt;&gt;$N$1,对接源_02物料!$B515=""),0,IF(OR(N(对接源_02物料!$B515)&lt;$N$2,N(对接源_02物料!$B515)&gt;$N$3),0,1))</f>
        <v>0</v>
      </c>
      <c r="P1715" s="1" t="n">
        <f aca="false">IF(AND($K1715=1,AND(对接源_02物料!$X515="公司筐",N(对接源_02物料!$T515)&lt;&gt;0)),1,0)</f>
        <v>0</v>
      </c>
      <c r="Q1715" s="1" t="n">
        <f aca="false">N(Q1714)+$P1715</f>
        <v>13</v>
      </c>
      <c r="R1715" s="1" t="n">
        <f aca="false">IF(AND($K1715=1,AND(对接源_02物料!$X515="公司筐",N(对接源_02物料!$U515)&lt;&gt;0)),1,0)</f>
        <v>0</v>
      </c>
      <c r="S1715" s="1" t="n">
        <f aca="false">N(S1714)+$R1715</f>
        <v>5</v>
      </c>
      <c r="T1715" s="1" t="n">
        <f aca="false">IF(AND($K1715=1,AND(对接源_02物料!$X515="公司筐",N(对接源_02物料!$V515)&lt;&gt;0)),1,0)</f>
        <v>0</v>
      </c>
      <c r="U1715" s="1" t="n">
        <f aca="false">N(U1714)+$T1715</f>
        <v>28</v>
      </c>
      <c r="V1715" s="1" t="n">
        <f aca="false">IF(AND($L1715=1,AND(对接源_02物料!$X515="自备筐",N(对接源_02物料!$V515)&lt;&gt;0)),1,0)</f>
        <v>0</v>
      </c>
      <c r="W1715" s="1" t="n">
        <f aca="false">N(W1714)+$V1715</f>
        <v>7</v>
      </c>
      <c r="X1715" s="1" t="n">
        <f aca="false">IF(AND($L1715=1,AND(对接源_02物料!$X515="自备筐",N(对接源_02物料!$T515)&lt;&gt;0)),1,0)</f>
        <v>0</v>
      </c>
      <c r="Y1715" s="1" t="n">
        <f aca="false">N(Y1714)+$X1715</f>
        <v>0</v>
      </c>
      <c r="Z1715" s="1" t="n">
        <f aca="false">IF(AND($M1715=1,对接源_02物料!$D515="原料入库"),1,0)</f>
        <v>0</v>
      </c>
      <c r="AA1715" s="1" t="n">
        <f aca="false">N(AA1714)+$Z1715</f>
        <v>30</v>
      </c>
      <c r="AB1715" s="1" t="n">
        <f aca="false">IF(AND($M1715=1,LEFT(对接源_02物料!$D515,4)="原料出库"),1,0)</f>
        <v>0</v>
      </c>
      <c r="AC1715" s="1" t="n">
        <f aca="false">N(AC1714)+$AB1715</f>
        <v>19</v>
      </c>
      <c r="AD1715" s="1" t="n">
        <f aca="false">IF(AND($M1715=1,LEFT(对接源_02物料!$D515,4)="成品出库"),1,0)</f>
        <v>0</v>
      </c>
      <c r="AE1715" s="1" t="n">
        <f aca="false">N(AE1714)+$AD1715</f>
        <v>38</v>
      </c>
      <c r="AF1715" s="1" t="n">
        <f aca="false">IF(AND($N1715=1,AND(LEFT(对接源_02物料!$D515,4)="包装物料",N(对接源_02物料!$K515)&lt;&gt;0)),1,0)</f>
        <v>0</v>
      </c>
      <c r="AG1715" s="1" t="n">
        <f aca="false">N(AG1714)+$AF1715</f>
        <v>6</v>
      </c>
      <c r="AH1715" s="1" t="n">
        <f aca="false">IF(AND($N1715=1,AND(LEFT(对接源_02物料!$D515,3)="周转筐",N(对接源_02物料!$K515)&lt;&gt;0)),1,0)</f>
        <v>0</v>
      </c>
      <c r="AI1715" s="1" t="n">
        <f aca="false">N(AI1714)+$AH1715</f>
        <v>0</v>
      </c>
      <c r="AJ1715" s="1" t="n">
        <v>0</v>
      </c>
      <c r="AK1715" s="1" t="n">
        <f aca="false">N(AK1714)+$AJ1715</f>
        <v>3672</v>
      </c>
    </row>
    <row r="1716" customFormat="false" ht="13.5" hidden="false" customHeight="false" outlineLevel="0" collapsed="false">
      <c r="A1716" s="1" t="str">
        <f aca="false">IF(对接源_02物料!$C516="","",对接源_02物料!$C516)</f>
        <v/>
      </c>
      <c r="B1716" s="1" t="n">
        <f aca="false">IF(A1716="",0,IF(MATCH(A1716,$A$4:$A$2403,0)=ROW()-3,1,0))</f>
        <v>0</v>
      </c>
      <c r="C1716" s="1" t="n">
        <f aca="false">N(C1715)+B1716</f>
        <v>17</v>
      </c>
      <c r="K1716" s="1" t="n">
        <f aca="false">IF(OR($K$1="",对接源_02物料!$C516="",对接源_02物料!$C516&lt;&gt;$K$1,对接源_02物料!$B516=""),0,IF(OR(N(对接源_02物料!$B516)&lt;$K$2,N(对接源_02物料!$B516)&gt;$K$3),0,1))</f>
        <v>0</v>
      </c>
      <c r="L1716" s="1" t="n">
        <f aca="false">IF(OR($L$1="",对接源_02物料!$C516="",对接源_02物料!$C516&lt;&gt;$L$1,对接源_02物料!$B516=""),0,IF(OR(N(对接源_02物料!$B516)&lt;$L$2,N(对接源_02物料!$B516)&gt;$L$3),0,1))</f>
        <v>0</v>
      </c>
      <c r="M1716" s="1" t="n">
        <f aca="false">IF(OR($M$1="",对接源_02物料!$C516="",对接源_02物料!$C516&lt;&gt;$M$1,对接源_02物料!$B516=""),0,IF(OR(N(对接源_02物料!$B516)&lt;$M$2,N(对接源_02物料!$B516)&gt;$M$3),0,1))</f>
        <v>0</v>
      </c>
      <c r="N1716" s="1" t="n">
        <f aca="false">IF(OR($N$1="",对接源_02物料!$C516="",对接源_02物料!$C516&lt;&gt;$N$1,对接源_02物料!$B516=""),0,IF(OR(N(对接源_02物料!$B516)&lt;$N$2,N(对接源_02物料!$B516)&gt;$N$3),0,1))</f>
        <v>0</v>
      </c>
      <c r="P1716" s="1" t="n">
        <f aca="false">IF(AND($K1716=1,AND(对接源_02物料!$X516="公司筐",N(对接源_02物料!$T516)&lt;&gt;0)),1,0)</f>
        <v>0</v>
      </c>
      <c r="Q1716" s="1" t="n">
        <f aca="false">N(Q1715)+$P1716</f>
        <v>13</v>
      </c>
      <c r="R1716" s="1" t="n">
        <f aca="false">IF(AND($K1716=1,AND(对接源_02物料!$X516="公司筐",N(对接源_02物料!$U516)&lt;&gt;0)),1,0)</f>
        <v>0</v>
      </c>
      <c r="S1716" s="1" t="n">
        <f aca="false">N(S1715)+$R1716</f>
        <v>5</v>
      </c>
      <c r="T1716" s="1" t="n">
        <f aca="false">IF(AND($K1716=1,AND(对接源_02物料!$X516="公司筐",N(对接源_02物料!$V516)&lt;&gt;0)),1,0)</f>
        <v>0</v>
      </c>
      <c r="U1716" s="1" t="n">
        <f aca="false">N(U1715)+$T1716</f>
        <v>28</v>
      </c>
      <c r="V1716" s="1" t="n">
        <f aca="false">IF(AND($L1716=1,AND(对接源_02物料!$X516="自备筐",N(对接源_02物料!$V516)&lt;&gt;0)),1,0)</f>
        <v>0</v>
      </c>
      <c r="W1716" s="1" t="n">
        <f aca="false">N(W1715)+$V1716</f>
        <v>7</v>
      </c>
      <c r="X1716" s="1" t="n">
        <f aca="false">IF(AND($L1716=1,AND(对接源_02物料!$X516="自备筐",N(对接源_02物料!$T516)&lt;&gt;0)),1,0)</f>
        <v>0</v>
      </c>
      <c r="Y1716" s="1" t="n">
        <f aca="false">N(Y1715)+$X1716</f>
        <v>0</v>
      </c>
      <c r="Z1716" s="1" t="n">
        <f aca="false">IF(AND($M1716=1,对接源_02物料!$D516="原料入库"),1,0)</f>
        <v>0</v>
      </c>
      <c r="AA1716" s="1" t="n">
        <f aca="false">N(AA1715)+$Z1716</f>
        <v>30</v>
      </c>
      <c r="AB1716" s="1" t="n">
        <f aca="false">IF(AND($M1716=1,LEFT(对接源_02物料!$D516,4)="原料出库"),1,0)</f>
        <v>0</v>
      </c>
      <c r="AC1716" s="1" t="n">
        <f aca="false">N(AC1715)+$AB1716</f>
        <v>19</v>
      </c>
      <c r="AD1716" s="1" t="n">
        <f aca="false">IF(AND($M1716=1,LEFT(对接源_02物料!$D516,4)="成品出库"),1,0)</f>
        <v>0</v>
      </c>
      <c r="AE1716" s="1" t="n">
        <f aca="false">N(AE1715)+$AD1716</f>
        <v>38</v>
      </c>
      <c r="AF1716" s="1" t="n">
        <f aca="false">IF(AND($N1716=1,AND(LEFT(对接源_02物料!$D516,4)="包装物料",N(对接源_02物料!$K516)&lt;&gt;0)),1,0)</f>
        <v>0</v>
      </c>
      <c r="AG1716" s="1" t="n">
        <f aca="false">N(AG1715)+$AF1716</f>
        <v>6</v>
      </c>
      <c r="AH1716" s="1" t="n">
        <f aca="false">IF(AND($N1716=1,AND(LEFT(对接源_02物料!$D516,3)="周转筐",N(对接源_02物料!$K516)&lt;&gt;0)),1,0)</f>
        <v>0</v>
      </c>
      <c r="AI1716" s="1" t="n">
        <f aca="false">N(AI1715)+$AH1716</f>
        <v>0</v>
      </c>
      <c r="AJ1716" s="1" t="n">
        <v>0</v>
      </c>
      <c r="AK1716" s="1" t="n">
        <f aca="false">N(AK1715)+$AJ1716</f>
        <v>3672</v>
      </c>
    </row>
    <row r="1717" customFormat="false" ht="13.5" hidden="false" customHeight="false" outlineLevel="0" collapsed="false">
      <c r="A1717" s="1" t="str">
        <f aca="false">IF(对接源_02物料!$C517="","",对接源_02物料!$C517)</f>
        <v/>
      </c>
      <c r="B1717" s="1" t="n">
        <f aca="false">IF(A1717="",0,IF(MATCH(A1717,$A$4:$A$2403,0)=ROW()-3,1,0))</f>
        <v>0</v>
      </c>
      <c r="C1717" s="1" t="n">
        <f aca="false">N(C1716)+B1717</f>
        <v>17</v>
      </c>
      <c r="K1717" s="1" t="n">
        <f aca="false">IF(OR($K$1="",对接源_02物料!$C517="",对接源_02物料!$C517&lt;&gt;$K$1,对接源_02物料!$B517=""),0,IF(OR(N(对接源_02物料!$B517)&lt;$K$2,N(对接源_02物料!$B517)&gt;$K$3),0,1))</f>
        <v>0</v>
      </c>
      <c r="L1717" s="1" t="n">
        <f aca="false">IF(OR($L$1="",对接源_02物料!$C517="",对接源_02物料!$C517&lt;&gt;$L$1,对接源_02物料!$B517=""),0,IF(OR(N(对接源_02物料!$B517)&lt;$L$2,N(对接源_02物料!$B517)&gt;$L$3),0,1))</f>
        <v>0</v>
      </c>
      <c r="M1717" s="1" t="n">
        <f aca="false">IF(OR($M$1="",对接源_02物料!$C517="",对接源_02物料!$C517&lt;&gt;$M$1,对接源_02物料!$B517=""),0,IF(OR(N(对接源_02物料!$B517)&lt;$M$2,N(对接源_02物料!$B517)&gt;$M$3),0,1))</f>
        <v>0</v>
      </c>
      <c r="N1717" s="1" t="n">
        <f aca="false">IF(OR($N$1="",对接源_02物料!$C517="",对接源_02物料!$C517&lt;&gt;$N$1,对接源_02物料!$B517=""),0,IF(OR(N(对接源_02物料!$B517)&lt;$N$2,N(对接源_02物料!$B517)&gt;$N$3),0,1))</f>
        <v>0</v>
      </c>
      <c r="P1717" s="1" t="n">
        <f aca="false">IF(AND($K1717=1,AND(对接源_02物料!$X517="公司筐",N(对接源_02物料!$T517)&lt;&gt;0)),1,0)</f>
        <v>0</v>
      </c>
      <c r="Q1717" s="1" t="n">
        <f aca="false">N(Q1716)+$P1717</f>
        <v>13</v>
      </c>
      <c r="R1717" s="1" t="n">
        <f aca="false">IF(AND($K1717=1,AND(对接源_02物料!$X517="公司筐",N(对接源_02物料!$U517)&lt;&gt;0)),1,0)</f>
        <v>0</v>
      </c>
      <c r="S1717" s="1" t="n">
        <f aca="false">N(S1716)+$R1717</f>
        <v>5</v>
      </c>
      <c r="T1717" s="1" t="n">
        <f aca="false">IF(AND($K1717=1,AND(对接源_02物料!$X517="公司筐",N(对接源_02物料!$V517)&lt;&gt;0)),1,0)</f>
        <v>0</v>
      </c>
      <c r="U1717" s="1" t="n">
        <f aca="false">N(U1716)+$T1717</f>
        <v>28</v>
      </c>
      <c r="V1717" s="1" t="n">
        <f aca="false">IF(AND($L1717=1,AND(对接源_02物料!$X517="自备筐",N(对接源_02物料!$V517)&lt;&gt;0)),1,0)</f>
        <v>0</v>
      </c>
      <c r="W1717" s="1" t="n">
        <f aca="false">N(W1716)+$V1717</f>
        <v>7</v>
      </c>
      <c r="X1717" s="1" t="n">
        <f aca="false">IF(AND($L1717=1,AND(对接源_02物料!$X517="自备筐",N(对接源_02物料!$T517)&lt;&gt;0)),1,0)</f>
        <v>0</v>
      </c>
      <c r="Y1717" s="1" t="n">
        <f aca="false">N(Y1716)+$X1717</f>
        <v>0</v>
      </c>
      <c r="Z1717" s="1" t="n">
        <f aca="false">IF(AND($M1717=1,对接源_02物料!$D517="原料入库"),1,0)</f>
        <v>0</v>
      </c>
      <c r="AA1717" s="1" t="n">
        <f aca="false">N(AA1716)+$Z1717</f>
        <v>30</v>
      </c>
      <c r="AB1717" s="1" t="n">
        <f aca="false">IF(AND($M1717=1,LEFT(对接源_02物料!$D517,4)="原料出库"),1,0)</f>
        <v>0</v>
      </c>
      <c r="AC1717" s="1" t="n">
        <f aca="false">N(AC1716)+$AB1717</f>
        <v>19</v>
      </c>
      <c r="AD1717" s="1" t="n">
        <f aca="false">IF(AND($M1717=1,LEFT(对接源_02物料!$D517,4)="成品出库"),1,0)</f>
        <v>0</v>
      </c>
      <c r="AE1717" s="1" t="n">
        <f aca="false">N(AE1716)+$AD1717</f>
        <v>38</v>
      </c>
      <c r="AF1717" s="1" t="n">
        <f aca="false">IF(AND($N1717=1,AND(LEFT(对接源_02物料!$D517,4)="包装物料",N(对接源_02物料!$K517)&lt;&gt;0)),1,0)</f>
        <v>0</v>
      </c>
      <c r="AG1717" s="1" t="n">
        <f aca="false">N(AG1716)+$AF1717</f>
        <v>6</v>
      </c>
      <c r="AH1717" s="1" t="n">
        <f aca="false">IF(AND($N1717=1,AND(LEFT(对接源_02物料!$D517,3)="周转筐",N(对接源_02物料!$K517)&lt;&gt;0)),1,0)</f>
        <v>0</v>
      </c>
      <c r="AI1717" s="1" t="n">
        <f aca="false">N(AI1716)+$AH1717</f>
        <v>0</v>
      </c>
      <c r="AJ1717" s="1" t="n">
        <v>0</v>
      </c>
      <c r="AK1717" s="1" t="n">
        <f aca="false">N(AK1716)+$AJ1717</f>
        <v>3672</v>
      </c>
    </row>
    <row r="1718" customFormat="false" ht="13.5" hidden="false" customHeight="false" outlineLevel="0" collapsed="false">
      <c r="A1718" s="1" t="str">
        <f aca="false">IF(对接源_02物料!$C518="","",对接源_02物料!$C518)</f>
        <v/>
      </c>
      <c r="B1718" s="1" t="n">
        <f aca="false">IF(A1718="",0,IF(MATCH(A1718,$A$4:$A$2403,0)=ROW()-3,1,0))</f>
        <v>0</v>
      </c>
      <c r="C1718" s="1" t="n">
        <f aca="false">N(C1717)+B1718</f>
        <v>17</v>
      </c>
      <c r="K1718" s="1" t="n">
        <f aca="false">IF(OR($K$1="",对接源_02物料!$C518="",对接源_02物料!$C518&lt;&gt;$K$1,对接源_02物料!$B518=""),0,IF(OR(N(对接源_02物料!$B518)&lt;$K$2,N(对接源_02物料!$B518)&gt;$K$3),0,1))</f>
        <v>0</v>
      </c>
      <c r="L1718" s="1" t="n">
        <f aca="false">IF(OR($L$1="",对接源_02物料!$C518="",对接源_02物料!$C518&lt;&gt;$L$1,对接源_02物料!$B518=""),0,IF(OR(N(对接源_02物料!$B518)&lt;$L$2,N(对接源_02物料!$B518)&gt;$L$3),0,1))</f>
        <v>0</v>
      </c>
      <c r="M1718" s="1" t="n">
        <f aca="false">IF(OR($M$1="",对接源_02物料!$C518="",对接源_02物料!$C518&lt;&gt;$M$1,对接源_02物料!$B518=""),0,IF(OR(N(对接源_02物料!$B518)&lt;$M$2,N(对接源_02物料!$B518)&gt;$M$3),0,1))</f>
        <v>0</v>
      </c>
      <c r="N1718" s="1" t="n">
        <f aca="false">IF(OR($N$1="",对接源_02物料!$C518="",对接源_02物料!$C518&lt;&gt;$N$1,对接源_02物料!$B518=""),0,IF(OR(N(对接源_02物料!$B518)&lt;$N$2,N(对接源_02物料!$B518)&gt;$N$3),0,1))</f>
        <v>0</v>
      </c>
      <c r="P1718" s="1" t="n">
        <f aca="false">IF(AND($K1718=1,AND(对接源_02物料!$X518="公司筐",N(对接源_02物料!$T518)&lt;&gt;0)),1,0)</f>
        <v>0</v>
      </c>
      <c r="Q1718" s="1" t="n">
        <f aca="false">N(Q1717)+$P1718</f>
        <v>13</v>
      </c>
      <c r="R1718" s="1" t="n">
        <f aca="false">IF(AND($K1718=1,AND(对接源_02物料!$X518="公司筐",N(对接源_02物料!$U518)&lt;&gt;0)),1,0)</f>
        <v>0</v>
      </c>
      <c r="S1718" s="1" t="n">
        <f aca="false">N(S1717)+$R1718</f>
        <v>5</v>
      </c>
      <c r="T1718" s="1" t="n">
        <f aca="false">IF(AND($K1718=1,AND(对接源_02物料!$X518="公司筐",N(对接源_02物料!$V518)&lt;&gt;0)),1,0)</f>
        <v>0</v>
      </c>
      <c r="U1718" s="1" t="n">
        <f aca="false">N(U1717)+$T1718</f>
        <v>28</v>
      </c>
      <c r="V1718" s="1" t="n">
        <f aca="false">IF(AND($L1718=1,AND(对接源_02物料!$X518="自备筐",N(对接源_02物料!$V518)&lt;&gt;0)),1,0)</f>
        <v>0</v>
      </c>
      <c r="W1718" s="1" t="n">
        <f aca="false">N(W1717)+$V1718</f>
        <v>7</v>
      </c>
      <c r="X1718" s="1" t="n">
        <f aca="false">IF(AND($L1718=1,AND(对接源_02物料!$X518="自备筐",N(对接源_02物料!$T518)&lt;&gt;0)),1,0)</f>
        <v>0</v>
      </c>
      <c r="Y1718" s="1" t="n">
        <f aca="false">N(Y1717)+$X1718</f>
        <v>0</v>
      </c>
      <c r="Z1718" s="1" t="n">
        <f aca="false">IF(AND($M1718=1,对接源_02物料!$D518="原料入库"),1,0)</f>
        <v>0</v>
      </c>
      <c r="AA1718" s="1" t="n">
        <f aca="false">N(AA1717)+$Z1718</f>
        <v>30</v>
      </c>
      <c r="AB1718" s="1" t="n">
        <f aca="false">IF(AND($M1718=1,LEFT(对接源_02物料!$D518,4)="原料出库"),1,0)</f>
        <v>0</v>
      </c>
      <c r="AC1718" s="1" t="n">
        <f aca="false">N(AC1717)+$AB1718</f>
        <v>19</v>
      </c>
      <c r="AD1718" s="1" t="n">
        <f aca="false">IF(AND($M1718=1,LEFT(对接源_02物料!$D518,4)="成品出库"),1,0)</f>
        <v>0</v>
      </c>
      <c r="AE1718" s="1" t="n">
        <f aca="false">N(AE1717)+$AD1718</f>
        <v>38</v>
      </c>
      <c r="AF1718" s="1" t="n">
        <f aca="false">IF(AND($N1718=1,AND(LEFT(对接源_02物料!$D518,4)="包装物料",N(对接源_02物料!$K518)&lt;&gt;0)),1,0)</f>
        <v>0</v>
      </c>
      <c r="AG1718" s="1" t="n">
        <f aca="false">N(AG1717)+$AF1718</f>
        <v>6</v>
      </c>
      <c r="AH1718" s="1" t="n">
        <f aca="false">IF(AND($N1718=1,AND(LEFT(对接源_02物料!$D518,3)="周转筐",N(对接源_02物料!$K518)&lt;&gt;0)),1,0)</f>
        <v>0</v>
      </c>
      <c r="AI1718" s="1" t="n">
        <f aca="false">N(AI1717)+$AH1718</f>
        <v>0</v>
      </c>
      <c r="AJ1718" s="1" t="n">
        <v>0</v>
      </c>
      <c r="AK1718" s="1" t="n">
        <f aca="false">N(AK1717)+$AJ1718</f>
        <v>3672</v>
      </c>
    </row>
    <row r="1719" customFormat="false" ht="13.5" hidden="false" customHeight="false" outlineLevel="0" collapsed="false">
      <c r="A1719" s="1" t="str">
        <f aca="false">IF(对接源_02物料!$C519="","",对接源_02物料!$C519)</f>
        <v/>
      </c>
      <c r="B1719" s="1" t="n">
        <f aca="false">IF(A1719="",0,IF(MATCH(A1719,$A$4:$A$2403,0)=ROW()-3,1,0))</f>
        <v>0</v>
      </c>
      <c r="C1719" s="1" t="n">
        <f aca="false">N(C1718)+B1719</f>
        <v>17</v>
      </c>
      <c r="K1719" s="1" t="n">
        <f aca="false">IF(OR($K$1="",对接源_02物料!$C519="",对接源_02物料!$C519&lt;&gt;$K$1,对接源_02物料!$B519=""),0,IF(OR(N(对接源_02物料!$B519)&lt;$K$2,N(对接源_02物料!$B519)&gt;$K$3),0,1))</f>
        <v>0</v>
      </c>
      <c r="L1719" s="1" t="n">
        <f aca="false">IF(OR($L$1="",对接源_02物料!$C519="",对接源_02物料!$C519&lt;&gt;$L$1,对接源_02物料!$B519=""),0,IF(OR(N(对接源_02物料!$B519)&lt;$L$2,N(对接源_02物料!$B519)&gt;$L$3),0,1))</f>
        <v>0</v>
      </c>
      <c r="M1719" s="1" t="n">
        <f aca="false">IF(OR($M$1="",对接源_02物料!$C519="",对接源_02物料!$C519&lt;&gt;$M$1,对接源_02物料!$B519=""),0,IF(OR(N(对接源_02物料!$B519)&lt;$M$2,N(对接源_02物料!$B519)&gt;$M$3),0,1))</f>
        <v>0</v>
      </c>
      <c r="N1719" s="1" t="n">
        <f aca="false">IF(OR($N$1="",对接源_02物料!$C519="",对接源_02物料!$C519&lt;&gt;$N$1,对接源_02物料!$B519=""),0,IF(OR(N(对接源_02物料!$B519)&lt;$N$2,N(对接源_02物料!$B519)&gt;$N$3),0,1))</f>
        <v>0</v>
      </c>
      <c r="P1719" s="1" t="n">
        <f aca="false">IF(AND($K1719=1,AND(对接源_02物料!$X519="公司筐",N(对接源_02物料!$T519)&lt;&gt;0)),1,0)</f>
        <v>0</v>
      </c>
      <c r="Q1719" s="1" t="n">
        <f aca="false">N(Q1718)+$P1719</f>
        <v>13</v>
      </c>
      <c r="R1719" s="1" t="n">
        <f aca="false">IF(AND($K1719=1,AND(对接源_02物料!$X519="公司筐",N(对接源_02物料!$U519)&lt;&gt;0)),1,0)</f>
        <v>0</v>
      </c>
      <c r="S1719" s="1" t="n">
        <f aca="false">N(S1718)+$R1719</f>
        <v>5</v>
      </c>
      <c r="T1719" s="1" t="n">
        <f aca="false">IF(AND($K1719=1,AND(对接源_02物料!$X519="公司筐",N(对接源_02物料!$V519)&lt;&gt;0)),1,0)</f>
        <v>0</v>
      </c>
      <c r="U1719" s="1" t="n">
        <f aca="false">N(U1718)+$T1719</f>
        <v>28</v>
      </c>
      <c r="V1719" s="1" t="n">
        <f aca="false">IF(AND($L1719=1,AND(对接源_02物料!$X519="自备筐",N(对接源_02物料!$V519)&lt;&gt;0)),1,0)</f>
        <v>0</v>
      </c>
      <c r="W1719" s="1" t="n">
        <f aca="false">N(W1718)+$V1719</f>
        <v>7</v>
      </c>
      <c r="X1719" s="1" t="n">
        <f aca="false">IF(AND($L1719=1,AND(对接源_02物料!$X519="自备筐",N(对接源_02物料!$T519)&lt;&gt;0)),1,0)</f>
        <v>0</v>
      </c>
      <c r="Y1719" s="1" t="n">
        <f aca="false">N(Y1718)+$X1719</f>
        <v>0</v>
      </c>
      <c r="Z1719" s="1" t="n">
        <f aca="false">IF(AND($M1719=1,对接源_02物料!$D519="原料入库"),1,0)</f>
        <v>0</v>
      </c>
      <c r="AA1719" s="1" t="n">
        <f aca="false">N(AA1718)+$Z1719</f>
        <v>30</v>
      </c>
      <c r="AB1719" s="1" t="n">
        <f aca="false">IF(AND($M1719=1,LEFT(对接源_02物料!$D519,4)="原料出库"),1,0)</f>
        <v>0</v>
      </c>
      <c r="AC1719" s="1" t="n">
        <f aca="false">N(AC1718)+$AB1719</f>
        <v>19</v>
      </c>
      <c r="AD1719" s="1" t="n">
        <f aca="false">IF(AND($M1719=1,LEFT(对接源_02物料!$D519,4)="成品出库"),1,0)</f>
        <v>0</v>
      </c>
      <c r="AE1719" s="1" t="n">
        <f aca="false">N(AE1718)+$AD1719</f>
        <v>38</v>
      </c>
      <c r="AF1719" s="1" t="n">
        <f aca="false">IF(AND($N1719=1,AND(LEFT(对接源_02物料!$D519,4)="包装物料",N(对接源_02物料!$K519)&lt;&gt;0)),1,0)</f>
        <v>0</v>
      </c>
      <c r="AG1719" s="1" t="n">
        <f aca="false">N(AG1718)+$AF1719</f>
        <v>6</v>
      </c>
      <c r="AH1719" s="1" t="n">
        <f aca="false">IF(AND($N1719=1,AND(LEFT(对接源_02物料!$D519,3)="周转筐",N(对接源_02物料!$K519)&lt;&gt;0)),1,0)</f>
        <v>0</v>
      </c>
      <c r="AI1719" s="1" t="n">
        <f aca="false">N(AI1718)+$AH1719</f>
        <v>0</v>
      </c>
      <c r="AJ1719" s="1" t="n">
        <v>0</v>
      </c>
      <c r="AK1719" s="1" t="n">
        <f aca="false">N(AK1718)+$AJ1719</f>
        <v>3672</v>
      </c>
    </row>
    <row r="1720" customFormat="false" ht="13.5" hidden="false" customHeight="false" outlineLevel="0" collapsed="false">
      <c r="A1720" s="1" t="str">
        <f aca="false">IF(对接源_02物料!$C520="","",对接源_02物料!$C520)</f>
        <v/>
      </c>
      <c r="B1720" s="1" t="n">
        <f aca="false">IF(A1720="",0,IF(MATCH(A1720,$A$4:$A$2403,0)=ROW()-3,1,0))</f>
        <v>0</v>
      </c>
      <c r="C1720" s="1" t="n">
        <f aca="false">N(C1719)+B1720</f>
        <v>17</v>
      </c>
      <c r="K1720" s="1" t="n">
        <f aca="false">IF(OR($K$1="",对接源_02物料!$C520="",对接源_02物料!$C520&lt;&gt;$K$1,对接源_02物料!$B520=""),0,IF(OR(N(对接源_02物料!$B520)&lt;$K$2,N(对接源_02物料!$B520)&gt;$K$3),0,1))</f>
        <v>0</v>
      </c>
      <c r="L1720" s="1" t="n">
        <f aca="false">IF(OR($L$1="",对接源_02物料!$C520="",对接源_02物料!$C520&lt;&gt;$L$1,对接源_02物料!$B520=""),0,IF(OR(N(对接源_02物料!$B520)&lt;$L$2,N(对接源_02物料!$B520)&gt;$L$3),0,1))</f>
        <v>0</v>
      </c>
      <c r="M1720" s="1" t="n">
        <f aca="false">IF(OR($M$1="",对接源_02物料!$C520="",对接源_02物料!$C520&lt;&gt;$M$1,对接源_02物料!$B520=""),0,IF(OR(N(对接源_02物料!$B520)&lt;$M$2,N(对接源_02物料!$B520)&gt;$M$3),0,1))</f>
        <v>0</v>
      </c>
      <c r="N1720" s="1" t="n">
        <f aca="false">IF(OR($N$1="",对接源_02物料!$C520="",对接源_02物料!$C520&lt;&gt;$N$1,对接源_02物料!$B520=""),0,IF(OR(N(对接源_02物料!$B520)&lt;$N$2,N(对接源_02物料!$B520)&gt;$N$3),0,1))</f>
        <v>0</v>
      </c>
      <c r="P1720" s="1" t="n">
        <f aca="false">IF(AND($K1720=1,AND(对接源_02物料!$X520="公司筐",N(对接源_02物料!$T520)&lt;&gt;0)),1,0)</f>
        <v>0</v>
      </c>
      <c r="Q1720" s="1" t="n">
        <f aca="false">N(Q1719)+$P1720</f>
        <v>13</v>
      </c>
      <c r="R1720" s="1" t="n">
        <f aca="false">IF(AND($K1720=1,AND(对接源_02物料!$X520="公司筐",N(对接源_02物料!$U520)&lt;&gt;0)),1,0)</f>
        <v>0</v>
      </c>
      <c r="S1720" s="1" t="n">
        <f aca="false">N(S1719)+$R1720</f>
        <v>5</v>
      </c>
      <c r="T1720" s="1" t="n">
        <f aca="false">IF(AND($K1720=1,AND(对接源_02物料!$X520="公司筐",N(对接源_02物料!$V520)&lt;&gt;0)),1,0)</f>
        <v>0</v>
      </c>
      <c r="U1720" s="1" t="n">
        <f aca="false">N(U1719)+$T1720</f>
        <v>28</v>
      </c>
      <c r="V1720" s="1" t="n">
        <f aca="false">IF(AND($L1720=1,AND(对接源_02物料!$X520="自备筐",N(对接源_02物料!$V520)&lt;&gt;0)),1,0)</f>
        <v>0</v>
      </c>
      <c r="W1720" s="1" t="n">
        <f aca="false">N(W1719)+$V1720</f>
        <v>7</v>
      </c>
      <c r="X1720" s="1" t="n">
        <f aca="false">IF(AND($L1720=1,AND(对接源_02物料!$X520="自备筐",N(对接源_02物料!$T520)&lt;&gt;0)),1,0)</f>
        <v>0</v>
      </c>
      <c r="Y1720" s="1" t="n">
        <f aca="false">N(Y1719)+$X1720</f>
        <v>0</v>
      </c>
      <c r="Z1720" s="1" t="n">
        <f aca="false">IF(AND($M1720=1,对接源_02物料!$D520="原料入库"),1,0)</f>
        <v>0</v>
      </c>
      <c r="AA1720" s="1" t="n">
        <f aca="false">N(AA1719)+$Z1720</f>
        <v>30</v>
      </c>
      <c r="AB1720" s="1" t="n">
        <f aca="false">IF(AND($M1720=1,LEFT(对接源_02物料!$D520,4)="原料出库"),1,0)</f>
        <v>0</v>
      </c>
      <c r="AC1720" s="1" t="n">
        <f aca="false">N(AC1719)+$AB1720</f>
        <v>19</v>
      </c>
      <c r="AD1720" s="1" t="n">
        <f aca="false">IF(AND($M1720=1,LEFT(对接源_02物料!$D520,4)="成品出库"),1,0)</f>
        <v>0</v>
      </c>
      <c r="AE1720" s="1" t="n">
        <f aca="false">N(AE1719)+$AD1720</f>
        <v>38</v>
      </c>
      <c r="AF1720" s="1" t="n">
        <f aca="false">IF(AND($N1720=1,AND(LEFT(对接源_02物料!$D520,4)="包装物料",N(对接源_02物料!$K520)&lt;&gt;0)),1,0)</f>
        <v>0</v>
      </c>
      <c r="AG1720" s="1" t="n">
        <f aca="false">N(AG1719)+$AF1720</f>
        <v>6</v>
      </c>
      <c r="AH1720" s="1" t="n">
        <f aca="false">IF(AND($N1720=1,AND(LEFT(对接源_02物料!$D520,3)="周转筐",N(对接源_02物料!$K520)&lt;&gt;0)),1,0)</f>
        <v>0</v>
      </c>
      <c r="AI1720" s="1" t="n">
        <f aca="false">N(AI1719)+$AH1720</f>
        <v>0</v>
      </c>
      <c r="AJ1720" s="1" t="n">
        <v>0</v>
      </c>
      <c r="AK1720" s="1" t="n">
        <f aca="false">N(AK1719)+$AJ1720</f>
        <v>3672</v>
      </c>
    </row>
    <row r="1721" customFormat="false" ht="13.5" hidden="false" customHeight="false" outlineLevel="0" collapsed="false">
      <c r="A1721" s="1" t="str">
        <f aca="false">IF(对接源_02物料!$C521="","",对接源_02物料!$C521)</f>
        <v/>
      </c>
      <c r="B1721" s="1" t="n">
        <f aca="false">IF(A1721="",0,IF(MATCH(A1721,$A$4:$A$2403,0)=ROW()-3,1,0))</f>
        <v>0</v>
      </c>
      <c r="C1721" s="1" t="n">
        <f aca="false">N(C1720)+B1721</f>
        <v>17</v>
      </c>
      <c r="K1721" s="1" t="n">
        <f aca="false">IF(OR($K$1="",对接源_02物料!$C521="",对接源_02物料!$C521&lt;&gt;$K$1,对接源_02物料!$B521=""),0,IF(OR(N(对接源_02物料!$B521)&lt;$K$2,N(对接源_02物料!$B521)&gt;$K$3),0,1))</f>
        <v>0</v>
      </c>
      <c r="L1721" s="1" t="n">
        <f aca="false">IF(OR($L$1="",对接源_02物料!$C521="",对接源_02物料!$C521&lt;&gt;$L$1,对接源_02物料!$B521=""),0,IF(OR(N(对接源_02物料!$B521)&lt;$L$2,N(对接源_02物料!$B521)&gt;$L$3),0,1))</f>
        <v>0</v>
      </c>
      <c r="M1721" s="1" t="n">
        <f aca="false">IF(OR($M$1="",对接源_02物料!$C521="",对接源_02物料!$C521&lt;&gt;$M$1,对接源_02物料!$B521=""),0,IF(OR(N(对接源_02物料!$B521)&lt;$M$2,N(对接源_02物料!$B521)&gt;$M$3),0,1))</f>
        <v>0</v>
      </c>
      <c r="N1721" s="1" t="n">
        <f aca="false">IF(OR($N$1="",对接源_02物料!$C521="",对接源_02物料!$C521&lt;&gt;$N$1,对接源_02物料!$B521=""),0,IF(OR(N(对接源_02物料!$B521)&lt;$N$2,N(对接源_02物料!$B521)&gt;$N$3),0,1))</f>
        <v>0</v>
      </c>
      <c r="P1721" s="1" t="n">
        <f aca="false">IF(AND($K1721=1,AND(对接源_02物料!$X521="公司筐",N(对接源_02物料!$T521)&lt;&gt;0)),1,0)</f>
        <v>0</v>
      </c>
      <c r="Q1721" s="1" t="n">
        <f aca="false">N(Q1720)+$P1721</f>
        <v>13</v>
      </c>
      <c r="R1721" s="1" t="n">
        <f aca="false">IF(AND($K1721=1,AND(对接源_02物料!$X521="公司筐",N(对接源_02物料!$U521)&lt;&gt;0)),1,0)</f>
        <v>0</v>
      </c>
      <c r="S1721" s="1" t="n">
        <f aca="false">N(S1720)+$R1721</f>
        <v>5</v>
      </c>
      <c r="T1721" s="1" t="n">
        <f aca="false">IF(AND($K1721=1,AND(对接源_02物料!$X521="公司筐",N(对接源_02物料!$V521)&lt;&gt;0)),1,0)</f>
        <v>0</v>
      </c>
      <c r="U1721" s="1" t="n">
        <f aca="false">N(U1720)+$T1721</f>
        <v>28</v>
      </c>
      <c r="V1721" s="1" t="n">
        <f aca="false">IF(AND($L1721=1,AND(对接源_02物料!$X521="自备筐",N(对接源_02物料!$V521)&lt;&gt;0)),1,0)</f>
        <v>0</v>
      </c>
      <c r="W1721" s="1" t="n">
        <f aca="false">N(W1720)+$V1721</f>
        <v>7</v>
      </c>
      <c r="X1721" s="1" t="n">
        <f aca="false">IF(AND($L1721=1,AND(对接源_02物料!$X521="自备筐",N(对接源_02物料!$T521)&lt;&gt;0)),1,0)</f>
        <v>0</v>
      </c>
      <c r="Y1721" s="1" t="n">
        <f aca="false">N(Y1720)+$X1721</f>
        <v>0</v>
      </c>
      <c r="Z1721" s="1" t="n">
        <f aca="false">IF(AND($M1721=1,对接源_02物料!$D521="原料入库"),1,0)</f>
        <v>0</v>
      </c>
      <c r="AA1721" s="1" t="n">
        <f aca="false">N(AA1720)+$Z1721</f>
        <v>30</v>
      </c>
      <c r="AB1721" s="1" t="n">
        <f aca="false">IF(AND($M1721=1,LEFT(对接源_02物料!$D521,4)="原料出库"),1,0)</f>
        <v>0</v>
      </c>
      <c r="AC1721" s="1" t="n">
        <f aca="false">N(AC1720)+$AB1721</f>
        <v>19</v>
      </c>
      <c r="AD1721" s="1" t="n">
        <f aca="false">IF(AND($M1721=1,LEFT(对接源_02物料!$D521,4)="成品出库"),1,0)</f>
        <v>0</v>
      </c>
      <c r="AE1721" s="1" t="n">
        <f aca="false">N(AE1720)+$AD1721</f>
        <v>38</v>
      </c>
      <c r="AF1721" s="1" t="n">
        <f aca="false">IF(AND($N1721=1,AND(LEFT(对接源_02物料!$D521,4)="包装物料",N(对接源_02物料!$K521)&lt;&gt;0)),1,0)</f>
        <v>0</v>
      </c>
      <c r="AG1721" s="1" t="n">
        <f aca="false">N(AG1720)+$AF1721</f>
        <v>6</v>
      </c>
      <c r="AH1721" s="1" t="n">
        <f aca="false">IF(AND($N1721=1,AND(LEFT(对接源_02物料!$D521,3)="周转筐",N(对接源_02物料!$K521)&lt;&gt;0)),1,0)</f>
        <v>0</v>
      </c>
      <c r="AI1721" s="1" t="n">
        <f aca="false">N(AI1720)+$AH1721</f>
        <v>0</v>
      </c>
      <c r="AJ1721" s="1" t="n">
        <v>0</v>
      </c>
      <c r="AK1721" s="1" t="n">
        <f aca="false">N(AK1720)+$AJ1721</f>
        <v>3672</v>
      </c>
    </row>
    <row r="1722" customFormat="false" ht="13.5" hidden="false" customHeight="false" outlineLevel="0" collapsed="false">
      <c r="A1722" s="1" t="str">
        <f aca="false">IF(对接源_02物料!$C522="","",对接源_02物料!$C522)</f>
        <v/>
      </c>
      <c r="B1722" s="1" t="n">
        <f aca="false">IF(A1722="",0,IF(MATCH(A1722,$A$4:$A$2403,0)=ROW()-3,1,0))</f>
        <v>0</v>
      </c>
      <c r="C1722" s="1" t="n">
        <f aca="false">N(C1721)+B1722</f>
        <v>17</v>
      </c>
      <c r="K1722" s="1" t="n">
        <f aca="false">IF(OR($K$1="",对接源_02物料!$C522="",对接源_02物料!$C522&lt;&gt;$K$1,对接源_02物料!$B522=""),0,IF(OR(N(对接源_02物料!$B522)&lt;$K$2,N(对接源_02物料!$B522)&gt;$K$3),0,1))</f>
        <v>0</v>
      </c>
      <c r="L1722" s="1" t="n">
        <f aca="false">IF(OR($L$1="",对接源_02物料!$C522="",对接源_02物料!$C522&lt;&gt;$L$1,对接源_02物料!$B522=""),0,IF(OR(N(对接源_02物料!$B522)&lt;$L$2,N(对接源_02物料!$B522)&gt;$L$3),0,1))</f>
        <v>0</v>
      </c>
      <c r="M1722" s="1" t="n">
        <f aca="false">IF(OR($M$1="",对接源_02物料!$C522="",对接源_02物料!$C522&lt;&gt;$M$1,对接源_02物料!$B522=""),0,IF(OR(N(对接源_02物料!$B522)&lt;$M$2,N(对接源_02物料!$B522)&gt;$M$3),0,1))</f>
        <v>0</v>
      </c>
      <c r="N1722" s="1" t="n">
        <f aca="false">IF(OR($N$1="",对接源_02物料!$C522="",对接源_02物料!$C522&lt;&gt;$N$1,对接源_02物料!$B522=""),0,IF(OR(N(对接源_02物料!$B522)&lt;$N$2,N(对接源_02物料!$B522)&gt;$N$3),0,1))</f>
        <v>0</v>
      </c>
      <c r="P1722" s="1" t="n">
        <f aca="false">IF(AND($K1722=1,AND(对接源_02物料!$X522="公司筐",N(对接源_02物料!$T522)&lt;&gt;0)),1,0)</f>
        <v>0</v>
      </c>
      <c r="Q1722" s="1" t="n">
        <f aca="false">N(Q1721)+$P1722</f>
        <v>13</v>
      </c>
      <c r="R1722" s="1" t="n">
        <f aca="false">IF(AND($K1722=1,AND(对接源_02物料!$X522="公司筐",N(对接源_02物料!$U522)&lt;&gt;0)),1,0)</f>
        <v>0</v>
      </c>
      <c r="S1722" s="1" t="n">
        <f aca="false">N(S1721)+$R1722</f>
        <v>5</v>
      </c>
      <c r="T1722" s="1" t="n">
        <f aca="false">IF(AND($K1722=1,AND(对接源_02物料!$X522="公司筐",N(对接源_02物料!$V522)&lt;&gt;0)),1,0)</f>
        <v>0</v>
      </c>
      <c r="U1722" s="1" t="n">
        <f aca="false">N(U1721)+$T1722</f>
        <v>28</v>
      </c>
      <c r="V1722" s="1" t="n">
        <f aca="false">IF(AND($L1722=1,AND(对接源_02物料!$X522="自备筐",N(对接源_02物料!$V522)&lt;&gt;0)),1,0)</f>
        <v>0</v>
      </c>
      <c r="W1722" s="1" t="n">
        <f aca="false">N(W1721)+$V1722</f>
        <v>7</v>
      </c>
      <c r="X1722" s="1" t="n">
        <f aca="false">IF(AND($L1722=1,AND(对接源_02物料!$X522="自备筐",N(对接源_02物料!$T522)&lt;&gt;0)),1,0)</f>
        <v>0</v>
      </c>
      <c r="Y1722" s="1" t="n">
        <f aca="false">N(Y1721)+$X1722</f>
        <v>0</v>
      </c>
      <c r="Z1722" s="1" t="n">
        <f aca="false">IF(AND($M1722=1,对接源_02物料!$D522="原料入库"),1,0)</f>
        <v>0</v>
      </c>
      <c r="AA1722" s="1" t="n">
        <f aca="false">N(AA1721)+$Z1722</f>
        <v>30</v>
      </c>
      <c r="AB1722" s="1" t="n">
        <f aca="false">IF(AND($M1722=1,LEFT(对接源_02物料!$D522,4)="原料出库"),1,0)</f>
        <v>0</v>
      </c>
      <c r="AC1722" s="1" t="n">
        <f aca="false">N(AC1721)+$AB1722</f>
        <v>19</v>
      </c>
      <c r="AD1722" s="1" t="n">
        <f aca="false">IF(AND($M1722=1,LEFT(对接源_02物料!$D522,4)="成品出库"),1,0)</f>
        <v>0</v>
      </c>
      <c r="AE1722" s="1" t="n">
        <f aca="false">N(AE1721)+$AD1722</f>
        <v>38</v>
      </c>
      <c r="AF1722" s="1" t="n">
        <f aca="false">IF(AND($N1722=1,AND(LEFT(对接源_02物料!$D522,4)="包装物料",N(对接源_02物料!$K522)&lt;&gt;0)),1,0)</f>
        <v>0</v>
      </c>
      <c r="AG1722" s="1" t="n">
        <f aca="false">N(AG1721)+$AF1722</f>
        <v>6</v>
      </c>
      <c r="AH1722" s="1" t="n">
        <f aca="false">IF(AND($N1722=1,AND(LEFT(对接源_02物料!$D522,3)="周转筐",N(对接源_02物料!$K522)&lt;&gt;0)),1,0)</f>
        <v>0</v>
      </c>
      <c r="AI1722" s="1" t="n">
        <f aca="false">N(AI1721)+$AH1722</f>
        <v>0</v>
      </c>
      <c r="AJ1722" s="1" t="n">
        <v>0</v>
      </c>
      <c r="AK1722" s="1" t="n">
        <f aca="false">N(AK1721)+$AJ1722</f>
        <v>3672</v>
      </c>
    </row>
    <row r="1723" customFormat="false" ht="13.5" hidden="false" customHeight="false" outlineLevel="0" collapsed="false">
      <c r="A1723" s="1" t="str">
        <f aca="false">IF(对接源_02物料!$C523="","",对接源_02物料!$C523)</f>
        <v/>
      </c>
      <c r="B1723" s="1" t="n">
        <f aca="false">IF(A1723="",0,IF(MATCH(A1723,$A$4:$A$2403,0)=ROW()-3,1,0))</f>
        <v>0</v>
      </c>
      <c r="C1723" s="1" t="n">
        <f aca="false">N(C1722)+B1723</f>
        <v>17</v>
      </c>
      <c r="K1723" s="1" t="n">
        <f aca="false">IF(OR($K$1="",对接源_02物料!$C523="",对接源_02物料!$C523&lt;&gt;$K$1,对接源_02物料!$B523=""),0,IF(OR(N(对接源_02物料!$B523)&lt;$K$2,N(对接源_02物料!$B523)&gt;$K$3),0,1))</f>
        <v>0</v>
      </c>
      <c r="L1723" s="1" t="n">
        <f aca="false">IF(OR($L$1="",对接源_02物料!$C523="",对接源_02物料!$C523&lt;&gt;$L$1,对接源_02物料!$B523=""),0,IF(OR(N(对接源_02物料!$B523)&lt;$L$2,N(对接源_02物料!$B523)&gt;$L$3),0,1))</f>
        <v>0</v>
      </c>
      <c r="M1723" s="1" t="n">
        <f aca="false">IF(OR($M$1="",对接源_02物料!$C523="",对接源_02物料!$C523&lt;&gt;$M$1,对接源_02物料!$B523=""),0,IF(OR(N(对接源_02物料!$B523)&lt;$M$2,N(对接源_02物料!$B523)&gt;$M$3),0,1))</f>
        <v>0</v>
      </c>
      <c r="N1723" s="1" t="n">
        <f aca="false">IF(OR($N$1="",对接源_02物料!$C523="",对接源_02物料!$C523&lt;&gt;$N$1,对接源_02物料!$B523=""),0,IF(OR(N(对接源_02物料!$B523)&lt;$N$2,N(对接源_02物料!$B523)&gt;$N$3),0,1))</f>
        <v>0</v>
      </c>
      <c r="P1723" s="1" t="n">
        <f aca="false">IF(AND($K1723=1,AND(对接源_02物料!$X523="公司筐",N(对接源_02物料!$T523)&lt;&gt;0)),1,0)</f>
        <v>0</v>
      </c>
      <c r="Q1723" s="1" t="n">
        <f aca="false">N(Q1722)+$P1723</f>
        <v>13</v>
      </c>
      <c r="R1723" s="1" t="n">
        <f aca="false">IF(AND($K1723=1,AND(对接源_02物料!$X523="公司筐",N(对接源_02物料!$U523)&lt;&gt;0)),1,0)</f>
        <v>0</v>
      </c>
      <c r="S1723" s="1" t="n">
        <f aca="false">N(S1722)+$R1723</f>
        <v>5</v>
      </c>
      <c r="T1723" s="1" t="n">
        <f aca="false">IF(AND($K1723=1,AND(对接源_02物料!$X523="公司筐",N(对接源_02物料!$V523)&lt;&gt;0)),1,0)</f>
        <v>0</v>
      </c>
      <c r="U1723" s="1" t="n">
        <f aca="false">N(U1722)+$T1723</f>
        <v>28</v>
      </c>
      <c r="V1723" s="1" t="n">
        <f aca="false">IF(AND($L1723=1,AND(对接源_02物料!$X523="自备筐",N(对接源_02物料!$V523)&lt;&gt;0)),1,0)</f>
        <v>0</v>
      </c>
      <c r="W1723" s="1" t="n">
        <f aca="false">N(W1722)+$V1723</f>
        <v>7</v>
      </c>
      <c r="X1723" s="1" t="n">
        <f aca="false">IF(AND($L1723=1,AND(对接源_02物料!$X523="自备筐",N(对接源_02物料!$T523)&lt;&gt;0)),1,0)</f>
        <v>0</v>
      </c>
      <c r="Y1723" s="1" t="n">
        <f aca="false">N(Y1722)+$X1723</f>
        <v>0</v>
      </c>
      <c r="Z1723" s="1" t="n">
        <f aca="false">IF(AND($M1723=1,对接源_02物料!$D523="原料入库"),1,0)</f>
        <v>0</v>
      </c>
      <c r="AA1723" s="1" t="n">
        <f aca="false">N(AA1722)+$Z1723</f>
        <v>30</v>
      </c>
      <c r="AB1723" s="1" t="n">
        <f aca="false">IF(AND($M1723=1,LEFT(对接源_02物料!$D523,4)="原料出库"),1,0)</f>
        <v>0</v>
      </c>
      <c r="AC1723" s="1" t="n">
        <f aca="false">N(AC1722)+$AB1723</f>
        <v>19</v>
      </c>
      <c r="AD1723" s="1" t="n">
        <f aca="false">IF(AND($M1723=1,LEFT(对接源_02物料!$D523,4)="成品出库"),1,0)</f>
        <v>0</v>
      </c>
      <c r="AE1723" s="1" t="n">
        <f aca="false">N(AE1722)+$AD1723</f>
        <v>38</v>
      </c>
      <c r="AF1723" s="1" t="n">
        <f aca="false">IF(AND($N1723=1,AND(LEFT(对接源_02物料!$D523,4)="包装物料",N(对接源_02物料!$K523)&lt;&gt;0)),1,0)</f>
        <v>0</v>
      </c>
      <c r="AG1723" s="1" t="n">
        <f aca="false">N(AG1722)+$AF1723</f>
        <v>6</v>
      </c>
      <c r="AH1723" s="1" t="n">
        <f aca="false">IF(AND($N1723=1,AND(LEFT(对接源_02物料!$D523,3)="周转筐",N(对接源_02物料!$K523)&lt;&gt;0)),1,0)</f>
        <v>0</v>
      </c>
      <c r="AI1723" s="1" t="n">
        <f aca="false">N(AI1722)+$AH1723</f>
        <v>0</v>
      </c>
      <c r="AJ1723" s="1" t="n">
        <v>0</v>
      </c>
      <c r="AK1723" s="1" t="n">
        <f aca="false">N(AK1722)+$AJ1723</f>
        <v>3672</v>
      </c>
    </row>
    <row r="1724" customFormat="false" ht="13.5" hidden="false" customHeight="false" outlineLevel="0" collapsed="false">
      <c r="A1724" s="1" t="str">
        <f aca="false">IF(对接源_02物料!$C524="","",对接源_02物料!$C524)</f>
        <v/>
      </c>
      <c r="B1724" s="1" t="n">
        <f aca="false">IF(A1724="",0,IF(MATCH(A1724,$A$4:$A$2403,0)=ROW()-3,1,0))</f>
        <v>0</v>
      </c>
      <c r="C1724" s="1" t="n">
        <f aca="false">N(C1723)+B1724</f>
        <v>17</v>
      </c>
      <c r="K1724" s="1" t="n">
        <f aca="false">IF(OR($K$1="",对接源_02物料!$C524="",对接源_02物料!$C524&lt;&gt;$K$1,对接源_02物料!$B524=""),0,IF(OR(N(对接源_02物料!$B524)&lt;$K$2,N(对接源_02物料!$B524)&gt;$K$3),0,1))</f>
        <v>0</v>
      </c>
      <c r="L1724" s="1" t="n">
        <f aca="false">IF(OR($L$1="",对接源_02物料!$C524="",对接源_02物料!$C524&lt;&gt;$L$1,对接源_02物料!$B524=""),0,IF(OR(N(对接源_02物料!$B524)&lt;$L$2,N(对接源_02物料!$B524)&gt;$L$3),0,1))</f>
        <v>0</v>
      </c>
      <c r="M1724" s="1" t="n">
        <f aca="false">IF(OR($M$1="",对接源_02物料!$C524="",对接源_02物料!$C524&lt;&gt;$M$1,对接源_02物料!$B524=""),0,IF(OR(N(对接源_02物料!$B524)&lt;$M$2,N(对接源_02物料!$B524)&gt;$M$3),0,1))</f>
        <v>0</v>
      </c>
      <c r="N1724" s="1" t="n">
        <f aca="false">IF(OR($N$1="",对接源_02物料!$C524="",对接源_02物料!$C524&lt;&gt;$N$1,对接源_02物料!$B524=""),0,IF(OR(N(对接源_02物料!$B524)&lt;$N$2,N(对接源_02物料!$B524)&gt;$N$3),0,1))</f>
        <v>0</v>
      </c>
      <c r="P1724" s="1" t="n">
        <f aca="false">IF(AND($K1724=1,AND(对接源_02物料!$X524="公司筐",N(对接源_02物料!$T524)&lt;&gt;0)),1,0)</f>
        <v>0</v>
      </c>
      <c r="Q1724" s="1" t="n">
        <f aca="false">N(Q1723)+$P1724</f>
        <v>13</v>
      </c>
      <c r="R1724" s="1" t="n">
        <f aca="false">IF(AND($K1724=1,AND(对接源_02物料!$X524="公司筐",N(对接源_02物料!$U524)&lt;&gt;0)),1,0)</f>
        <v>0</v>
      </c>
      <c r="S1724" s="1" t="n">
        <f aca="false">N(S1723)+$R1724</f>
        <v>5</v>
      </c>
      <c r="T1724" s="1" t="n">
        <f aca="false">IF(AND($K1724=1,AND(对接源_02物料!$X524="公司筐",N(对接源_02物料!$V524)&lt;&gt;0)),1,0)</f>
        <v>0</v>
      </c>
      <c r="U1724" s="1" t="n">
        <f aca="false">N(U1723)+$T1724</f>
        <v>28</v>
      </c>
      <c r="V1724" s="1" t="n">
        <f aca="false">IF(AND($L1724=1,AND(对接源_02物料!$X524="自备筐",N(对接源_02物料!$V524)&lt;&gt;0)),1,0)</f>
        <v>0</v>
      </c>
      <c r="W1724" s="1" t="n">
        <f aca="false">N(W1723)+$V1724</f>
        <v>7</v>
      </c>
      <c r="X1724" s="1" t="n">
        <f aca="false">IF(AND($L1724=1,AND(对接源_02物料!$X524="自备筐",N(对接源_02物料!$T524)&lt;&gt;0)),1,0)</f>
        <v>0</v>
      </c>
      <c r="Y1724" s="1" t="n">
        <f aca="false">N(Y1723)+$X1724</f>
        <v>0</v>
      </c>
      <c r="Z1724" s="1" t="n">
        <f aca="false">IF(AND($M1724=1,对接源_02物料!$D524="原料入库"),1,0)</f>
        <v>0</v>
      </c>
      <c r="AA1724" s="1" t="n">
        <f aca="false">N(AA1723)+$Z1724</f>
        <v>30</v>
      </c>
      <c r="AB1724" s="1" t="n">
        <f aca="false">IF(AND($M1724=1,LEFT(对接源_02物料!$D524,4)="原料出库"),1,0)</f>
        <v>0</v>
      </c>
      <c r="AC1724" s="1" t="n">
        <f aca="false">N(AC1723)+$AB1724</f>
        <v>19</v>
      </c>
      <c r="AD1724" s="1" t="n">
        <f aca="false">IF(AND($M1724=1,LEFT(对接源_02物料!$D524,4)="成品出库"),1,0)</f>
        <v>0</v>
      </c>
      <c r="AE1724" s="1" t="n">
        <f aca="false">N(AE1723)+$AD1724</f>
        <v>38</v>
      </c>
      <c r="AF1724" s="1" t="n">
        <f aca="false">IF(AND($N1724=1,AND(LEFT(对接源_02物料!$D524,4)="包装物料",N(对接源_02物料!$K524)&lt;&gt;0)),1,0)</f>
        <v>0</v>
      </c>
      <c r="AG1724" s="1" t="n">
        <f aca="false">N(AG1723)+$AF1724</f>
        <v>6</v>
      </c>
      <c r="AH1724" s="1" t="n">
        <f aca="false">IF(AND($N1724=1,AND(LEFT(对接源_02物料!$D524,3)="周转筐",N(对接源_02物料!$K524)&lt;&gt;0)),1,0)</f>
        <v>0</v>
      </c>
      <c r="AI1724" s="1" t="n">
        <f aca="false">N(AI1723)+$AH1724</f>
        <v>0</v>
      </c>
      <c r="AJ1724" s="1" t="n">
        <v>0</v>
      </c>
      <c r="AK1724" s="1" t="n">
        <f aca="false">N(AK1723)+$AJ1724</f>
        <v>3672</v>
      </c>
    </row>
    <row r="1725" customFormat="false" ht="13.5" hidden="false" customHeight="false" outlineLevel="0" collapsed="false">
      <c r="A1725" s="1" t="str">
        <f aca="false">IF(对接源_02物料!$C525="","",对接源_02物料!$C525)</f>
        <v/>
      </c>
      <c r="B1725" s="1" t="n">
        <f aca="false">IF(A1725="",0,IF(MATCH(A1725,$A$4:$A$2403,0)=ROW()-3,1,0))</f>
        <v>0</v>
      </c>
      <c r="C1725" s="1" t="n">
        <f aca="false">N(C1724)+B1725</f>
        <v>17</v>
      </c>
      <c r="K1725" s="1" t="n">
        <f aca="false">IF(OR($K$1="",对接源_02物料!$C525="",对接源_02物料!$C525&lt;&gt;$K$1,对接源_02物料!$B525=""),0,IF(OR(N(对接源_02物料!$B525)&lt;$K$2,N(对接源_02物料!$B525)&gt;$K$3),0,1))</f>
        <v>0</v>
      </c>
      <c r="L1725" s="1" t="n">
        <f aca="false">IF(OR($L$1="",对接源_02物料!$C525="",对接源_02物料!$C525&lt;&gt;$L$1,对接源_02物料!$B525=""),0,IF(OR(N(对接源_02物料!$B525)&lt;$L$2,N(对接源_02物料!$B525)&gt;$L$3),0,1))</f>
        <v>0</v>
      </c>
      <c r="M1725" s="1" t="n">
        <f aca="false">IF(OR($M$1="",对接源_02物料!$C525="",对接源_02物料!$C525&lt;&gt;$M$1,对接源_02物料!$B525=""),0,IF(OR(N(对接源_02物料!$B525)&lt;$M$2,N(对接源_02物料!$B525)&gt;$M$3),0,1))</f>
        <v>0</v>
      </c>
      <c r="N1725" s="1" t="n">
        <f aca="false">IF(OR($N$1="",对接源_02物料!$C525="",对接源_02物料!$C525&lt;&gt;$N$1,对接源_02物料!$B525=""),0,IF(OR(N(对接源_02物料!$B525)&lt;$N$2,N(对接源_02物料!$B525)&gt;$N$3),0,1))</f>
        <v>0</v>
      </c>
      <c r="P1725" s="1" t="n">
        <f aca="false">IF(AND($K1725=1,AND(对接源_02物料!$X525="公司筐",N(对接源_02物料!$T525)&lt;&gt;0)),1,0)</f>
        <v>0</v>
      </c>
      <c r="Q1725" s="1" t="n">
        <f aca="false">N(Q1724)+$P1725</f>
        <v>13</v>
      </c>
      <c r="R1725" s="1" t="n">
        <f aca="false">IF(AND($K1725=1,AND(对接源_02物料!$X525="公司筐",N(对接源_02物料!$U525)&lt;&gt;0)),1,0)</f>
        <v>0</v>
      </c>
      <c r="S1725" s="1" t="n">
        <f aca="false">N(S1724)+$R1725</f>
        <v>5</v>
      </c>
      <c r="T1725" s="1" t="n">
        <f aca="false">IF(AND($K1725=1,AND(对接源_02物料!$X525="公司筐",N(对接源_02物料!$V525)&lt;&gt;0)),1,0)</f>
        <v>0</v>
      </c>
      <c r="U1725" s="1" t="n">
        <f aca="false">N(U1724)+$T1725</f>
        <v>28</v>
      </c>
      <c r="V1725" s="1" t="n">
        <f aca="false">IF(AND($L1725=1,AND(对接源_02物料!$X525="自备筐",N(对接源_02物料!$V525)&lt;&gt;0)),1,0)</f>
        <v>0</v>
      </c>
      <c r="W1725" s="1" t="n">
        <f aca="false">N(W1724)+$V1725</f>
        <v>7</v>
      </c>
      <c r="X1725" s="1" t="n">
        <f aca="false">IF(AND($L1725=1,AND(对接源_02物料!$X525="自备筐",N(对接源_02物料!$T525)&lt;&gt;0)),1,0)</f>
        <v>0</v>
      </c>
      <c r="Y1725" s="1" t="n">
        <f aca="false">N(Y1724)+$X1725</f>
        <v>0</v>
      </c>
      <c r="Z1725" s="1" t="n">
        <f aca="false">IF(AND($M1725=1,对接源_02物料!$D525="原料入库"),1,0)</f>
        <v>0</v>
      </c>
      <c r="AA1725" s="1" t="n">
        <f aca="false">N(AA1724)+$Z1725</f>
        <v>30</v>
      </c>
      <c r="AB1725" s="1" t="n">
        <f aca="false">IF(AND($M1725=1,LEFT(对接源_02物料!$D525,4)="原料出库"),1,0)</f>
        <v>0</v>
      </c>
      <c r="AC1725" s="1" t="n">
        <f aca="false">N(AC1724)+$AB1725</f>
        <v>19</v>
      </c>
      <c r="AD1725" s="1" t="n">
        <f aca="false">IF(AND($M1725=1,LEFT(对接源_02物料!$D525,4)="成品出库"),1,0)</f>
        <v>0</v>
      </c>
      <c r="AE1725" s="1" t="n">
        <f aca="false">N(AE1724)+$AD1725</f>
        <v>38</v>
      </c>
      <c r="AF1725" s="1" t="n">
        <f aca="false">IF(AND($N1725=1,AND(LEFT(对接源_02物料!$D525,4)="包装物料",N(对接源_02物料!$K525)&lt;&gt;0)),1,0)</f>
        <v>0</v>
      </c>
      <c r="AG1725" s="1" t="n">
        <f aca="false">N(AG1724)+$AF1725</f>
        <v>6</v>
      </c>
      <c r="AH1725" s="1" t="n">
        <f aca="false">IF(AND($N1725=1,AND(LEFT(对接源_02物料!$D525,3)="周转筐",N(对接源_02物料!$K525)&lt;&gt;0)),1,0)</f>
        <v>0</v>
      </c>
      <c r="AI1725" s="1" t="n">
        <f aca="false">N(AI1724)+$AH1725</f>
        <v>0</v>
      </c>
      <c r="AJ1725" s="1" t="n">
        <v>0</v>
      </c>
      <c r="AK1725" s="1" t="n">
        <f aca="false">N(AK1724)+$AJ1725</f>
        <v>3672</v>
      </c>
    </row>
    <row r="1726" customFormat="false" ht="13.5" hidden="false" customHeight="false" outlineLevel="0" collapsed="false">
      <c r="A1726" s="1" t="str">
        <f aca="false">IF(对接源_02物料!$C526="","",对接源_02物料!$C526)</f>
        <v/>
      </c>
      <c r="B1726" s="1" t="n">
        <f aca="false">IF(A1726="",0,IF(MATCH(A1726,$A$4:$A$2403,0)=ROW()-3,1,0))</f>
        <v>0</v>
      </c>
      <c r="C1726" s="1" t="n">
        <f aca="false">N(C1725)+B1726</f>
        <v>17</v>
      </c>
      <c r="K1726" s="1" t="n">
        <f aca="false">IF(OR($K$1="",对接源_02物料!$C526="",对接源_02物料!$C526&lt;&gt;$K$1,对接源_02物料!$B526=""),0,IF(OR(N(对接源_02物料!$B526)&lt;$K$2,N(对接源_02物料!$B526)&gt;$K$3),0,1))</f>
        <v>0</v>
      </c>
      <c r="L1726" s="1" t="n">
        <f aca="false">IF(OR($L$1="",对接源_02物料!$C526="",对接源_02物料!$C526&lt;&gt;$L$1,对接源_02物料!$B526=""),0,IF(OR(N(对接源_02物料!$B526)&lt;$L$2,N(对接源_02物料!$B526)&gt;$L$3),0,1))</f>
        <v>0</v>
      </c>
      <c r="M1726" s="1" t="n">
        <f aca="false">IF(OR($M$1="",对接源_02物料!$C526="",对接源_02物料!$C526&lt;&gt;$M$1,对接源_02物料!$B526=""),0,IF(OR(N(对接源_02物料!$B526)&lt;$M$2,N(对接源_02物料!$B526)&gt;$M$3),0,1))</f>
        <v>0</v>
      </c>
      <c r="N1726" s="1" t="n">
        <f aca="false">IF(OR($N$1="",对接源_02物料!$C526="",对接源_02物料!$C526&lt;&gt;$N$1,对接源_02物料!$B526=""),0,IF(OR(N(对接源_02物料!$B526)&lt;$N$2,N(对接源_02物料!$B526)&gt;$N$3),0,1))</f>
        <v>0</v>
      </c>
      <c r="P1726" s="1" t="n">
        <f aca="false">IF(AND($K1726=1,AND(对接源_02物料!$X526="公司筐",N(对接源_02物料!$T526)&lt;&gt;0)),1,0)</f>
        <v>0</v>
      </c>
      <c r="Q1726" s="1" t="n">
        <f aca="false">N(Q1725)+$P1726</f>
        <v>13</v>
      </c>
      <c r="R1726" s="1" t="n">
        <f aca="false">IF(AND($K1726=1,AND(对接源_02物料!$X526="公司筐",N(对接源_02物料!$U526)&lt;&gt;0)),1,0)</f>
        <v>0</v>
      </c>
      <c r="S1726" s="1" t="n">
        <f aca="false">N(S1725)+$R1726</f>
        <v>5</v>
      </c>
      <c r="T1726" s="1" t="n">
        <f aca="false">IF(AND($K1726=1,AND(对接源_02物料!$X526="公司筐",N(对接源_02物料!$V526)&lt;&gt;0)),1,0)</f>
        <v>0</v>
      </c>
      <c r="U1726" s="1" t="n">
        <f aca="false">N(U1725)+$T1726</f>
        <v>28</v>
      </c>
      <c r="V1726" s="1" t="n">
        <f aca="false">IF(AND($L1726=1,AND(对接源_02物料!$X526="自备筐",N(对接源_02物料!$V526)&lt;&gt;0)),1,0)</f>
        <v>0</v>
      </c>
      <c r="W1726" s="1" t="n">
        <f aca="false">N(W1725)+$V1726</f>
        <v>7</v>
      </c>
      <c r="X1726" s="1" t="n">
        <f aca="false">IF(AND($L1726=1,AND(对接源_02物料!$X526="自备筐",N(对接源_02物料!$T526)&lt;&gt;0)),1,0)</f>
        <v>0</v>
      </c>
      <c r="Y1726" s="1" t="n">
        <f aca="false">N(Y1725)+$X1726</f>
        <v>0</v>
      </c>
      <c r="Z1726" s="1" t="n">
        <f aca="false">IF(AND($M1726=1,对接源_02物料!$D526="原料入库"),1,0)</f>
        <v>0</v>
      </c>
      <c r="AA1726" s="1" t="n">
        <f aca="false">N(AA1725)+$Z1726</f>
        <v>30</v>
      </c>
      <c r="AB1726" s="1" t="n">
        <f aca="false">IF(AND($M1726=1,LEFT(对接源_02物料!$D526,4)="原料出库"),1,0)</f>
        <v>0</v>
      </c>
      <c r="AC1726" s="1" t="n">
        <f aca="false">N(AC1725)+$AB1726</f>
        <v>19</v>
      </c>
      <c r="AD1726" s="1" t="n">
        <f aca="false">IF(AND($M1726=1,LEFT(对接源_02物料!$D526,4)="成品出库"),1,0)</f>
        <v>0</v>
      </c>
      <c r="AE1726" s="1" t="n">
        <f aca="false">N(AE1725)+$AD1726</f>
        <v>38</v>
      </c>
      <c r="AF1726" s="1" t="n">
        <f aca="false">IF(AND($N1726=1,AND(LEFT(对接源_02物料!$D526,4)="包装物料",N(对接源_02物料!$K526)&lt;&gt;0)),1,0)</f>
        <v>0</v>
      </c>
      <c r="AG1726" s="1" t="n">
        <f aca="false">N(AG1725)+$AF1726</f>
        <v>6</v>
      </c>
      <c r="AH1726" s="1" t="n">
        <f aca="false">IF(AND($N1726=1,AND(LEFT(对接源_02物料!$D526,3)="周转筐",N(对接源_02物料!$K526)&lt;&gt;0)),1,0)</f>
        <v>0</v>
      </c>
      <c r="AI1726" s="1" t="n">
        <f aca="false">N(AI1725)+$AH1726</f>
        <v>0</v>
      </c>
      <c r="AJ1726" s="1" t="n">
        <v>0</v>
      </c>
      <c r="AK1726" s="1" t="n">
        <f aca="false">N(AK1725)+$AJ1726</f>
        <v>3672</v>
      </c>
    </row>
    <row r="1727" customFormat="false" ht="13.5" hidden="false" customHeight="false" outlineLevel="0" collapsed="false">
      <c r="A1727" s="1" t="str">
        <f aca="false">IF(对接源_02物料!$C527="","",对接源_02物料!$C527)</f>
        <v/>
      </c>
      <c r="B1727" s="1" t="n">
        <f aca="false">IF(A1727="",0,IF(MATCH(A1727,$A$4:$A$2403,0)=ROW()-3,1,0))</f>
        <v>0</v>
      </c>
      <c r="C1727" s="1" t="n">
        <f aca="false">N(C1726)+B1727</f>
        <v>17</v>
      </c>
      <c r="K1727" s="1" t="n">
        <f aca="false">IF(OR($K$1="",对接源_02物料!$C527="",对接源_02物料!$C527&lt;&gt;$K$1,对接源_02物料!$B527=""),0,IF(OR(N(对接源_02物料!$B527)&lt;$K$2,N(对接源_02物料!$B527)&gt;$K$3),0,1))</f>
        <v>0</v>
      </c>
      <c r="L1727" s="1" t="n">
        <f aca="false">IF(OR($L$1="",对接源_02物料!$C527="",对接源_02物料!$C527&lt;&gt;$L$1,对接源_02物料!$B527=""),0,IF(OR(N(对接源_02物料!$B527)&lt;$L$2,N(对接源_02物料!$B527)&gt;$L$3),0,1))</f>
        <v>0</v>
      </c>
      <c r="M1727" s="1" t="n">
        <f aca="false">IF(OR($M$1="",对接源_02物料!$C527="",对接源_02物料!$C527&lt;&gt;$M$1,对接源_02物料!$B527=""),0,IF(OR(N(对接源_02物料!$B527)&lt;$M$2,N(对接源_02物料!$B527)&gt;$M$3),0,1))</f>
        <v>0</v>
      </c>
      <c r="N1727" s="1" t="n">
        <f aca="false">IF(OR($N$1="",对接源_02物料!$C527="",对接源_02物料!$C527&lt;&gt;$N$1,对接源_02物料!$B527=""),0,IF(OR(N(对接源_02物料!$B527)&lt;$N$2,N(对接源_02物料!$B527)&gt;$N$3),0,1))</f>
        <v>0</v>
      </c>
      <c r="P1727" s="1" t="n">
        <f aca="false">IF(AND($K1727=1,AND(对接源_02物料!$X527="公司筐",N(对接源_02物料!$T527)&lt;&gt;0)),1,0)</f>
        <v>0</v>
      </c>
      <c r="Q1727" s="1" t="n">
        <f aca="false">N(Q1726)+$P1727</f>
        <v>13</v>
      </c>
      <c r="R1727" s="1" t="n">
        <f aca="false">IF(AND($K1727=1,AND(对接源_02物料!$X527="公司筐",N(对接源_02物料!$U527)&lt;&gt;0)),1,0)</f>
        <v>0</v>
      </c>
      <c r="S1727" s="1" t="n">
        <f aca="false">N(S1726)+$R1727</f>
        <v>5</v>
      </c>
      <c r="T1727" s="1" t="n">
        <f aca="false">IF(AND($K1727=1,AND(对接源_02物料!$X527="公司筐",N(对接源_02物料!$V527)&lt;&gt;0)),1,0)</f>
        <v>0</v>
      </c>
      <c r="U1727" s="1" t="n">
        <f aca="false">N(U1726)+$T1727</f>
        <v>28</v>
      </c>
      <c r="V1727" s="1" t="n">
        <f aca="false">IF(AND($L1727=1,AND(对接源_02物料!$X527="自备筐",N(对接源_02物料!$V527)&lt;&gt;0)),1,0)</f>
        <v>0</v>
      </c>
      <c r="W1727" s="1" t="n">
        <f aca="false">N(W1726)+$V1727</f>
        <v>7</v>
      </c>
      <c r="X1727" s="1" t="n">
        <f aca="false">IF(AND($L1727=1,AND(对接源_02物料!$X527="自备筐",N(对接源_02物料!$T527)&lt;&gt;0)),1,0)</f>
        <v>0</v>
      </c>
      <c r="Y1727" s="1" t="n">
        <f aca="false">N(Y1726)+$X1727</f>
        <v>0</v>
      </c>
      <c r="Z1727" s="1" t="n">
        <f aca="false">IF(AND($M1727=1,对接源_02物料!$D527="原料入库"),1,0)</f>
        <v>0</v>
      </c>
      <c r="AA1727" s="1" t="n">
        <f aca="false">N(AA1726)+$Z1727</f>
        <v>30</v>
      </c>
      <c r="AB1727" s="1" t="n">
        <f aca="false">IF(AND($M1727=1,LEFT(对接源_02物料!$D527,4)="原料出库"),1,0)</f>
        <v>0</v>
      </c>
      <c r="AC1727" s="1" t="n">
        <f aca="false">N(AC1726)+$AB1727</f>
        <v>19</v>
      </c>
      <c r="AD1727" s="1" t="n">
        <f aca="false">IF(AND($M1727=1,LEFT(对接源_02物料!$D527,4)="成品出库"),1,0)</f>
        <v>0</v>
      </c>
      <c r="AE1727" s="1" t="n">
        <f aca="false">N(AE1726)+$AD1727</f>
        <v>38</v>
      </c>
      <c r="AF1727" s="1" t="n">
        <f aca="false">IF(AND($N1727=1,AND(LEFT(对接源_02物料!$D527,4)="包装物料",N(对接源_02物料!$K527)&lt;&gt;0)),1,0)</f>
        <v>0</v>
      </c>
      <c r="AG1727" s="1" t="n">
        <f aca="false">N(AG1726)+$AF1727</f>
        <v>6</v>
      </c>
      <c r="AH1727" s="1" t="n">
        <f aca="false">IF(AND($N1727=1,AND(LEFT(对接源_02物料!$D527,3)="周转筐",N(对接源_02物料!$K527)&lt;&gt;0)),1,0)</f>
        <v>0</v>
      </c>
      <c r="AI1727" s="1" t="n">
        <f aca="false">N(AI1726)+$AH1727</f>
        <v>0</v>
      </c>
      <c r="AJ1727" s="1" t="n">
        <v>0</v>
      </c>
      <c r="AK1727" s="1" t="n">
        <f aca="false">N(AK1726)+$AJ1727</f>
        <v>3672</v>
      </c>
    </row>
    <row r="1728" customFormat="false" ht="13.5" hidden="false" customHeight="false" outlineLevel="0" collapsed="false">
      <c r="A1728" s="1" t="str">
        <f aca="false">IF(对接源_02物料!$C528="","",对接源_02物料!$C528)</f>
        <v/>
      </c>
      <c r="B1728" s="1" t="n">
        <f aca="false">IF(A1728="",0,IF(MATCH(A1728,$A$4:$A$2403,0)=ROW()-3,1,0))</f>
        <v>0</v>
      </c>
      <c r="C1728" s="1" t="n">
        <f aca="false">N(C1727)+B1728</f>
        <v>17</v>
      </c>
      <c r="K1728" s="1" t="n">
        <f aca="false">IF(OR($K$1="",对接源_02物料!$C528="",对接源_02物料!$C528&lt;&gt;$K$1,对接源_02物料!$B528=""),0,IF(OR(N(对接源_02物料!$B528)&lt;$K$2,N(对接源_02物料!$B528)&gt;$K$3),0,1))</f>
        <v>0</v>
      </c>
      <c r="L1728" s="1" t="n">
        <f aca="false">IF(OR($L$1="",对接源_02物料!$C528="",对接源_02物料!$C528&lt;&gt;$L$1,对接源_02物料!$B528=""),0,IF(OR(N(对接源_02物料!$B528)&lt;$L$2,N(对接源_02物料!$B528)&gt;$L$3),0,1))</f>
        <v>0</v>
      </c>
      <c r="M1728" s="1" t="n">
        <f aca="false">IF(OR($M$1="",对接源_02物料!$C528="",对接源_02物料!$C528&lt;&gt;$M$1,对接源_02物料!$B528=""),0,IF(OR(N(对接源_02物料!$B528)&lt;$M$2,N(对接源_02物料!$B528)&gt;$M$3),0,1))</f>
        <v>0</v>
      </c>
      <c r="N1728" s="1" t="n">
        <f aca="false">IF(OR($N$1="",对接源_02物料!$C528="",对接源_02物料!$C528&lt;&gt;$N$1,对接源_02物料!$B528=""),0,IF(OR(N(对接源_02物料!$B528)&lt;$N$2,N(对接源_02物料!$B528)&gt;$N$3),0,1))</f>
        <v>0</v>
      </c>
      <c r="P1728" s="1" t="n">
        <f aca="false">IF(AND($K1728=1,AND(对接源_02物料!$X528="公司筐",N(对接源_02物料!$T528)&lt;&gt;0)),1,0)</f>
        <v>0</v>
      </c>
      <c r="Q1728" s="1" t="n">
        <f aca="false">N(Q1727)+$P1728</f>
        <v>13</v>
      </c>
      <c r="R1728" s="1" t="n">
        <f aca="false">IF(AND($K1728=1,AND(对接源_02物料!$X528="公司筐",N(对接源_02物料!$U528)&lt;&gt;0)),1,0)</f>
        <v>0</v>
      </c>
      <c r="S1728" s="1" t="n">
        <f aca="false">N(S1727)+$R1728</f>
        <v>5</v>
      </c>
      <c r="T1728" s="1" t="n">
        <f aca="false">IF(AND($K1728=1,AND(对接源_02物料!$X528="公司筐",N(对接源_02物料!$V528)&lt;&gt;0)),1,0)</f>
        <v>0</v>
      </c>
      <c r="U1728" s="1" t="n">
        <f aca="false">N(U1727)+$T1728</f>
        <v>28</v>
      </c>
      <c r="V1728" s="1" t="n">
        <f aca="false">IF(AND($L1728=1,AND(对接源_02物料!$X528="自备筐",N(对接源_02物料!$V528)&lt;&gt;0)),1,0)</f>
        <v>0</v>
      </c>
      <c r="W1728" s="1" t="n">
        <f aca="false">N(W1727)+$V1728</f>
        <v>7</v>
      </c>
      <c r="X1728" s="1" t="n">
        <f aca="false">IF(AND($L1728=1,AND(对接源_02物料!$X528="自备筐",N(对接源_02物料!$T528)&lt;&gt;0)),1,0)</f>
        <v>0</v>
      </c>
      <c r="Y1728" s="1" t="n">
        <f aca="false">N(Y1727)+$X1728</f>
        <v>0</v>
      </c>
      <c r="Z1728" s="1" t="n">
        <f aca="false">IF(AND($M1728=1,对接源_02物料!$D528="原料入库"),1,0)</f>
        <v>0</v>
      </c>
      <c r="AA1728" s="1" t="n">
        <f aca="false">N(AA1727)+$Z1728</f>
        <v>30</v>
      </c>
      <c r="AB1728" s="1" t="n">
        <f aca="false">IF(AND($M1728=1,LEFT(对接源_02物料!$D528,4)="原料出库"),1,0)</f>
        <v>0</v>
      </c>
      <c r="AC1728" s="1" t="n">
        <f aca="false">N(AC1727)+$AB1728</f>
        <v>19</v>
      </c>
      <c r="AD1728" s="1" t="n">
        <f aca="false">IF(AND($M1728=1,LEFT(对接源_02物料!$D528,4)="成品出库"),1,0)</f>
        <v>0</v>
      </c>
      <c r="AE1728" s="1" t="n">
        <f aca="false">N(AE1727)+$AD1728</f>
        <v>38</v>
      </c>
      <c r="AF1728" s="1" t="n">
        <f aca="false">IF(AND($N1728=1,AND(LEFT(对接源_02物料!$D528,4)="包装物料",N(对接源_02物料!$K528)&lt;&gt;0)),1,0)</f>
        <v>0</v>
      </c>
      <c r="AG1728" s="1" t="n">
        <f aca="false">N(AG1727)+$AF1728</f>
        <v>6</v>
      </c>
      <c r="AH1728" s="1" t="n">
        <f aca="false">IF(AND($N1728=1,AND(LEFT(对接源_02物料!$D528,3)="周转筐",N(对接源_02物料!$K528)&lt;&gt;0)),1,0)</f>
        <v>0</v>
      </c>
      <c r="AI1728" s="1" t="n">
        <f aca="false">N(AI1727)+$AH1728</f>
        <v>0</v>
      </c>
      <c r="AJ1728" s="1" t="n">
        <v>0</v>
      </c>
      <c r="AK1728" s="1" t="n">
        <f aca="false">N(AK1727)+$AJ1728</f>
        <v>3672</v>
      </c>
    </row>
    <row r="1729" customFormat="false" ht="13.5" hidden="false" customHeight="false" outlineLevel="0" collapsed="false">
      <c r="A1729" s="1" t="str">
        <f aca="false">IF(对接源_02物料!$C529="","",对接源_02物料!$C529)</f>
        <v/>
      </c>
      <c r="B1729" s="1" t="n">
        <f aca="false">IF(A1729="",0,IF(MATCH(A1729,$A$4:$A$2403,0)=ROW()-3,1,0))</f>
        <v>0</v>
      </c>
      <c r="C1729" s="1" t="n">
        <f aca="false">N(C1728)+B1729</f>
        <v>17</v>
      </c>
      <c r="K1729" s="1" t="n">
        <f aca="false">IF(OR($K$1="",对接源_02物料!$C529="",对接源_02物料!$C529&lt;&gt;$K$1,对接源_02物料!$B529=""),0,IF(OR(N(对接源_02物料!$B529)&lt;$K$2,N(对接源_02物料!$B529)&gt;$K$3),0,1))</f>
        <v>0</v>
      </c>
      <c r="L1729" s="1" t="n">
        <f aca="false">IF(OR($L$1="",对接源_02物料!$C529="",对接源_02物料!$C529&lt;&gt;$L$1,对接源_02物料!$B529=""),0,IF(OR(N(对接源_02物料!$B529)&lt;$L$2,N(对接源_02物料!$B529)&gt;$L$3),0,1))</f>
        <v>0</v>
      </c>
      <c r="M1729" s="1" t="n">
        <f aca="false">IF(OR($M$1="",对接源_02物料!$C529="",对接源_02物料!$C529&lt;&gt;$M$1,对接源_02物料!$B529=""),0,IF(OR(N(对接源_02物料!$B529)&lt;$M$2,N(对接源_02物料!$B529)&gt;$M$3),0,1))</f>
        <v>0</v>
      </c>
      <c r="N1729" s="1" t="n">
        <f aca="false">IF(OR($N$1="",对接源_02物料!$C529="",对接源_02物料!$C529&lt;&gt;$N$1,对接源_02物料!$B529=""),0,IF(OR(N(对接源_02物料!$B529)&lt;$N$2,N(对接源_02物料!$B529)&gt;$N$3),0,1))</f>
        <v>0</v>
      </c>
      <c r="P1729" s="1" t="n">
        <f aca="false">IF(AND($K1729=1,AND(对接源_02物料!$X529="公司筐",N(对接源_02物料!$T529)&lt;&gt;0)),1,0)</f>
        <v>0</v>
      </c>
      <c r="Q1729" s="1" t="n">
        <f aca="false">N(Q1728)+$P1729</f>
        <v>13</v>
      </c>
      <c r="R1729" s="1" t="n">
        <f aca="false">IF(AND($K1729=1,AND(对接源_02物料!$X529="公司筐",N(对接源_02物料!$U529)&lt;&gt;0)),1,0)</f>
        <v>0</v>
      </c>
      <c r="S1729" s="1" t="n">
        <f aca="false">N(S1728)+$R1729</f>
        <v>5</v>
      </c>
      <c r="T1729" s="1" t="n">
        <f aca="false">IF(AND($K1729=1,AND(对接源_02物料!$X529="公司筐",N(对接源_02物料!$V529)&lt;&gt;0)),1,0)</f>
        <v>0</v>
      </c>
      <c r="U1729" s="1" t="n">
        <f aca="false">N(U1728)+$T1729</f>
        <v>28</v>
      </c>
      <c r="V1729" s="1" t="n">
        <f aca="false">IF(AND($L1729=1,AND(对接源_02物料!$X529="自备筐",N(对接源_02物料!$V529)&lt;&gt;0)),1,0)</f>
        <v>0</v>
      </c>
      <c r="W1729" s="1" t="n">
        <f aca="false">N(W1728)+$V1729</f>
        <v>7</v>
      </c>
      <c r="X1729" s="1" t="n">
        <f aca="false">IF(AND($L1729=1,AND(对接源_02物料!$X529="自备筐",N(对接源_02物料!$T529)&lt;&gt;0)),1,0)</f>
        <v>0</v>
      </c>
      <c r="Y1729" s="1" t="n">
        <f aca="false">N(Y1728)+$X1729</f>
        <v>0</v>
      </c>
      <c r="Z1729" s="1" t="n">
        <f aca="false">IF(AND($M1729=1,对接源_02物料!$D529="原料入库"),1,0)</f>
        <v>0</v>
      </c>
      <c r="AA1729" s="1" t="n">
        <f aca="false">N(AA1728)+$Z1729</f>
        <v>30</v>
      </c>
      <c r="AB1729" s="1" t="n">
        <f aca="false">IF(AND($M1729=1,LEFT(对接源_02物料!$D529,4)="原料出库"),1,0)</f>
        <v>0</v>
      </c>
      <c r="AC1729" s="1" t="n">
        <f aca="false">N(AC1728)+$AB1729</f>
        <v>19</v>
      </c>
      <c r="AD1729" s="1" t="n">
        <f aca="false">IF(AND($M1729=1,LEFT(对接源_02物料!$D529,4)="成品出库"),1,0)</f>
        <v>0</v>
      </c>
      <c r="AE1729" s="1" t="n">
        <f aca="false">N(AE1728)+$AD1729</f>
        <v>38</v>
      </c>
      <c r="AF1729" s="1" t="n">
        <f aca="false">IF(AND($N1729=1,AND(LEFT(对接源_02物料!$D529,4)="包装物料",N(对接源_02物料!$K529)&lt;&gt;0)),1,0)</f>
        <v>0</v>
      </c>
      <c r="AG1729" s="1" t="n">
        <f aca="false">N(AG1728)+$AF1729</f>
        <v>6</v>
      </c>
      <c r="AH1729" s="1" t="n">
        <f aca="false">IF(AND($N1729=1,AND(LEFT(对接源_02物料!$D529,3)="周转筐",N(对接源_02物料!$K529)&lt;&gt;0)),1,0)</f>
        <v>0</v>
      </c>
      <c r="AI1729" s="1" t="n">
        <f aca="false">N(AI1728)+$AH1729</f>
        <v>0</v>
      </c>
      <c r="AJ1729" s="1" t="n">
        <v>0</v>
      </c>
      <c r="AK1729" s="1" t="n">
        <f aca="false">N(AK1728)+$AJ1729</f>
        <v>3672</v>
      </c>
    </row>
    <row r="1730" customFormat="false" ht="13.5" hidden="false" customHeight="false" outlineLevel="0" collapsed="false">
      <c r="A1730" s="1" t="str">
        <f aca="false">IF(对接源_02物料!$C530="","",对接源_02物料!$C530)</f>
        <v/>
      </c>
      <c r="B1730" s="1" t="n">
        <f aca="false">IF(A1730="",0,IF(MATCH(A1730,$A$4:$A$2403,0)=ROW()-3,1,0))</f>
        <v>0</v>
      </c>
      <c r="C1730" s="1" t="n">
        <f aca="false">N(C1729)+B1730</f>
        <v>17</v>
      </c>
      <c r="K1730" s="1" t="n">
        <f aca="false">IF(OR($K$1="",对接源_02物料!$C530="",对接源_02物料!$C530&lt;&gt;$K$1,对接源_02物料!$B530=""),0,IF(OR(N(对接源_02物料!$B530)&lt;$K$2,N(对接源_02物料!$B530)&gt;$K$3),0,1))</f>
        <v>0</v>
      </c>
      <c r="L1730" s="1" t="n">
        <f aca="false">IF(OR($L$1="",对接源_02物料!$C530="",对接源_02物料!$C530&lt;&gt;$L$1,对接源_02物料!$B530=""),0,IF(OR(N(对接源_02物料!$B530)&lt;$L$2,N(对接源_02物料!$B530)&gt;$L$3),0,1))</f>
        <v>0</v>
      </c>
      <c r="M1730" s="1" t="n">
        <f aca="false">IF(OR($M$1="",对接源_02物料!$C530="",对接源_02物料!$C530&lt;&gt;$M$1,对接源_02物料!$B530=""),0,IF(OR(N(对接源_02物料!$B530)&lt;$M$2,N(对接源_02物料!$B530)&gt;$M$3),0,1))</f>
        <v>0</v>
      </c>
      <c r="N1730" s="1" t="n">
        <f aca="false">IF(OR($N$1="",对接源_02物料!$C530="",对接源_02物料!$C530&lt;&gt;$N$1,对接源_02物料!$B530=""),0,IF(OR(N(对接源_02物料!$B530)&lt;$N$2,N(对接源_02物料!$B530)&gt;$N$3),0,1))</f>
        <v>0</v>
      </c>
      <c r="P1730" s="1" t="n">
        <f aca="false">IF(AND($K1730=1,AND(对接源_02物料!$X530="公司筐",N(对接源_02物料!$T530)&lt;&gt;0)),1,0)</f>
        <v>0</v>
      </c>
      <c r="Q1730" s="1" t="n">
        <f aca="false">N(Q1729)+$P1730</f>
        <v>13</v>
      </c>
      <c r="R1730" s="1" t="n">
        <f aca="false">IF(AND($K1730=1,AND(对接源_02物料!$X530="公司筐",N(对接源_02物料!$U530)&lt;&gt;0)),1,0)</f>
        <v>0</v>
      </c>
      <c r="S1730" s="1" t="n">
        <f aca="false">N(S1729)+$R1730</f>
        <v>5</v>
      </c>
      <c r="T1730" s="1" t="n">
        <f aca="false">IF(AND($K1730=1,AND(对接源_02物料!$X530="公司筐",N(对接源_02物料!$V530)&lt;&gt;0)),1,0)</f>
        <v>0</v>
      </c>
      <c r="U1730" s="1" t="n">
        <f aca="false">N(U1729)+$T1730</f>
        <v>28</v>
      </c>
      <c r="V1730" s="1" t="n">
        <f aca="false">IF(AND($L1730=1,AND(对接源_02物料!$X530="自备筐",N(对接源_02物料!$V530)&lt;&gt;0)),1,0)</f>
        <v>0</v>
      </c>
      <c r="W1730" s="1" t="n">
        <f aca="false">N(W1729)+$V1730</f>
        <v>7</v>
      </c>
      <c r="X1730" s="1" t="n">
        <f aca="false">IF(AND($L1730=1,AND(对接源_02物料!$X530="自备筐",N(对接源_02物料!$T530)&lt;&gt;0)),1,0)</f>
        <v>0</v>
      </c>
      <c r="Y1730" s="1" t="n">
        <f aca="false">N(Y1729)+$X1730</f>
        <v>0</v>
      </c>
      <c r="Z1730" s="1" t="n">
        <f aca="false">IF(AND($M1730=1,对接源_02物料!$D530="原料入库"),1,0)</f>
        <v>0</v>
      </c>
      <c r="AA1730" s="1" t="n">
        <f aca="false">N(AA1729)+$Z1730</f>
        <v>30</v>
      </c>
      <c r="AB1730" s="1" t="n">
        <f aca="false">IF(AND($M1730=1,LEFT(对接源_02物料!$D530,4)="原料出库"),1,0)</f>
        <v>0</v>
      </c>
      <c r="AC1730" s="1" t="n">
        <f aca="false">N(AC1729)+$AB1730</f>
        <v>19</v>
      </c>
      <c r="AD1730" s="1" t="n">
        <f aca="false">IF(AND($M1730=1,LEFT(对接源_02物料!$D530,4)="成品出库"),1,0)</f>
        <v>0</v>
      </c>
      <c r="AE1730" s="1" t="n">
        <f aca="false">N(AE1729)+$AD1730</f>
        <v>38</v>
      </c>
      <c r="AF1730" s="1" t="n">
        <f aca="false">IF(AND($N1730=1,AND(LEFT(对接源_02物料!$D530,4)="包装物料",N(对接源_02物料!$K530)&lt;&gt;0)),1,0)</f>
        <v>0</v>
      </c>
      <c r="AG1730" s="1" t="n">
        <f aca="false">N(AG1729)+$AF1730</f>
        <v>6</v>
      </c>
      <c r="AH1730" s="1" t="n">
        <f aca="false">IF(AND($N1730=1,AND(LEFT(对接源_02物料!$D530,3)="周转筐",N(对接源_02物料!$K530)&lt;&gt;0)),1,0)</f>
        <v>0</v>
      </c>
      <c r="AI1730" s="1" t="n">
        <f aca="false">N(AI1729)+$AH1730</f>
        <v>0</v>
      </c>
      <c r="AJ1730" s="1" t="n">
        <v>0</v>
      </c>
      <c r="AK1730" s="1" t="n">
        <f aca="false">N(AK1729)+$AJ1730</f>
        <v>3672</v>
      </c>
    </row>
    <row r="1731" customFormat="false" ht="13.5" hidden="false" customHeight="false" outlineLevel="0" collapsed="false">
      <c r="A1731" s="1" t="str">
        <f aca="false">IF(对接源_02物料!$C531="","",对接源_02物料!$C531)</f>
        <v/>
      </c>
      <c r="B1731" s="1" t="n">
        <f aca="false">IF(A1731="",0,IF(MATCH(A1731,$A$4:$A$2403,0)=ROW()-3,1,0))</f>
        <v>0</v>
      </c>
      <c r="C1731" s="1" t="n">
        <f aca="false">N(C1730)+B1731</f>
        <v>17</v>
      </c>
      <c r="K1731" s="1" t="n">
        <f aca="false">IF(OR($K$1="",对接源_02物料!$C531="",对接源_02物料!$C531&lt;&gt;$K$1,对接源_02物料!$B531=""),0,IF(OR(N(对接源_02物料!$B531)&lt;$K$2,N(对接源_02物料!$B531)&gt;$K$3),0,1))</f>
        <v>0</v>
      </c>
      <c r="L1731" s="1" t="n">
        <f aca="false">IF(OR($L$1="",对接源_02物料!$C531="",对接源_02物料!$C531&lt;&gt;$L$1,对接源_02物料!$B531=""),0,IF(OR(N(对接源_02物料!$B531)&lt;$L$2,N(对接源_02物料!$B531)&gt;$L$3),0,1))</f>
        <v>0</v>
      </c>
      <c r="M1731" s="1" t="n">
        <f aca="false">IF(OR($M$1="",对接源_02物料!$C531="",对接源_02物料!$C531&lt;&gt;$M$1,对接源_02物料!$B531=""),0,IF(OR(N(对接源_02物料!$B531)&lt;$M$2,N(对接源_02物料!$B531)&gt;$M$3),0,1))</f>
        <v>0</v>
      </c>
      <c r="N1731" s="1" t="n">
        <f aca="false">IF(OR($N$1="",对接源_02物料!$C531="",对接源_02物料!$C531&lt;&gt;$N$1,对接源_02物料!$B531=""),0,IF(OR(N(对接源_02物料!$B531)&lt;$N$2,N(对接源_02物料!$B531)&gt;$N$3),0,1))</f>
        <v>0</v>
      </c>
      <c r="P1731" s="1" t="n">
        <f aca="false">IF(AND($K1731=1,AND(对接源_02物料!$X531="公司筐",N(对接源_02物料!$T531)&lt;&gt;0)),1,0)</f>
        <v>0</v>
      </c>
      <c r="Q1731" s="1" t="n">
        <f aca="false">N(Q1730)+$P1731</f>
        <v>13</v>
      </c>
      <c r="R1731" s="1" t="n">
        <f aca="false">IF(AND($K1731=1,AND(对接源_02物料!$X531="公司筐",N(对接源_02物料!$U531)&lt;&gt;0)),1,0)</f>
        <v>0</v>
      </c>
      <c r="S1731" s="1" t="n">
        <f aca="false">N(S1730)+$R1731</f>
        <v>5</v>
      </c>
      <c r="T1731" s="1" t="n">
        <f aca="false">IF(AND($K1731=1,AND(对接源_02物料!$X531="公司筐",N(对接源_02物料!$V531)&lt;&gt;0)),1,0)</f>
        <v>0</v>
      </c>
      <c r="U1731" s="1" t="n">
        <f aca="false">N(U1730)+$T1731</f>
        <v>28</v>
      </c>
      <c r="V1731" s="1" t="n">
        <f aca="false">IF(AND($L1731=1,AND(对接源_02物料!$X531="自备筐",N(对接源_02物料!$V531)&lt;&gt;0)),1,0)</f>
        <v>0</v>
      </c>
      <c r="W1731" s="1" t="n">
        <f aca="false">N(W1730)+$V1731</f>
        <v>7</v>
      </c>
      <c r="X1731" s="1" t="n">
        <f aca="false">IF(AND($L1731=1,AND(对接源_02物料!$X531="自备筐",N(对接源_02物料!$T531)&lt;&gt;0)),1,0)</f>
        <v>0</v>
      </c>
      <c r="Y1731" s="1" t="n">
        <f aca="false">N(Y1730)+$X1731</f>
        <v>0</v>
      </c>
      <c r="Z1731" s="1" t="n">
        <f aca="false">IF(AND($M1731=1,对接源_02物料!$D531="原料入库"),1,0)</f>
        <v>0</v>
      </c>
      <c r="AA1731" s="1" t="n">
        <f aca="false">N(AA1730)+$Z1731</f>
        <v>30</v>
      </c>
      <c r="AB1731" s="1" t="n">
        <f aca="false">IF(AND($M1731=1,LEFT(对接源_02物料!$D531,4)="原料出库"),1,0)</f>
        <v>0</v>
      </c>
      <c r="AC1731" s="1" t="n">
        <f aca="false">N(AC1730)+$AB1731</f>
        <v>19</v>
      </c>
      <c r="AD1731" s="1" t="n">
        <f aca="false">IF(AND($M1731=1,LEFT(对接源_02物料!$D531,4)="成品出库"),1,0)</f>
        <v>0</v>
      </c>
      <c r="AE1731" s="1" t="n">
        <f aca="false">N(AE1730)+$AD1731</f>
        <v>38</v>
      </c>
      <c r="AF1731" s="1" t="n">
        <f aca="false">IF(AND($N1731=1,AND(LEFT(对接源_02物料!$D531,4)="包装物料",N(对接源_02物料!$K531)&lt;&gt;0)),1,0)</f>
        <v>0</v>
      </c>
      <c r="AG1731" s="1" t="n">
        <f aca="false">N(AG1730)+$AF1731</f>
        <v>6</v>
      </c>
      <c r="AH1731" s="1" t="n">
        <f aca="false">IF(AND($N1731=1,AND(LEFT(对接源_02物料!$D531,3)="周转筐",N(对接源_02物料!$K531)&lt;&gt;0)),1,0)</f>
        <v>0</v>
      </c>
      <c r="AI1731" s="1" t="n">
        <f aca="false">N(AI1730)+$AH1731</f>
        <v>0</v>
      </c>
      <c r="AJ1731" s="1" t="n">
        <v>0</v>
      </c>
      <c r="AK1731" s="1" t="n">
        <f aca="false">N(AK1730)+$AJ1731</f>
        <v>3672</v>
      </c>
    </row>
    <row r="1732" customFormat="false" ht="13.5" hidden="false" customHeight="false" outlineLevel="0" collapsed="false">
      <c r="A1732" s="1" t="str">
        <f aca="false">IF(对接源_02物料!$C532="","",对接源_02物料!$C532)</f>
        <v/>
      </c>
      <c r="B1732" s="1" t="n">
        <f aca="false">IF(A1732="",0,IF(MATCH(A1732,$A$4:$A$2403,0)=ROW()-3,1,0))</f>
        <v>0</v>
      </c>
      <c r="C1732" s="1" t="n">
        <f aca="false">N(C1731)+B1732</f>
        <v>17</v>
      </c>
      <c r="K1732" s="1" t="n">
        <f aca="false">IF(OR($K$1="",对接源_02物料!$C532="",对接源_02物料!$C532&lt;&gt;$K$1,对接源_02物料!$B532=""),0,IF(OR(N(对接源_02物料!$B532)&lt;$K$2,N(对接源_02物料!$B532)&gt;$K$3),0,1))</f>
        <v>0</v>
      </c>
      <c r="L1732" s="1" t="n">
        <f aca="false">IF(OR($L$1="",对接源_02物料!$C532="",对接源_02物料!$C532&lt;&gt;$L$1,对接源_02物料!$B532=""),0,IF(OR(N(对接源_02物料!$B532)&lt;$L$2,N(对接源_02物料!$B532)&gt;$L$3),0,1))</f>
        <v>0</v>
      </c>
      <c r="M1732" s="1" t="n">
        <f aca="false">IF(OR($M$1="",对接源_02物料!$C532="",对接源_02物料!$C532&lt;&gt;$M$1,对接源_02物料!$B532=""),0,IF(OR(N(对接源_02物料!$B532)&lt;$M$2,N(对接源_02物料!$B532)&gt;$M$3),0,1))</f>
        <v>0</v>
      </c>
      <c r="N1732" s="1" t="n">
        <f aca="false">IF(OR($N$1="",对接源_02物料!$C532="",对接源_02物料!$C532&lt;&gt;$N$1,对接源_02物料!$B532=""),0,IF(OR(N(对接源_02物料!$B532)&lt;$N$2,N(对接源_02物料!$B532)&gt;$N$3),0,1))</f>
        <v>0</v>
      </c>
      <c r="P1732" s="1" t="n">
        <f aca="false">IF(AND($K1732=1,AND(对接源_02物料!$X532="公司筐",N(对接源_02物料!$T532)&lt;&gt;0)),1,0)</f>
        <v>0</v>
      </c>
      <c r="Q1732" s="1" t="n">
        <f aca="false">N(Q1731)+$P1732</f>
        <v>13</v>
      </c>
      <c r="R1732" s="1" t="n">
        <f aca="false">IF(AND($K1732=1,AND(对接源_02物料!$X532="公司筐",N(对接源_02物料!$U532)&lt;&gt;0)),1,0)</f>
        <v>0</v>
      </c>
      <c r="S1732" s="1" t="n">
        <f aca="false">N(S1731)+$R1732</f>
        <v>5</v>
      </c>
      <c r="T1732" s="1" t="n">
        <f aca="false">IF(AND($K1732=1,AND(对接源_02物料!$X532="公司筐",N(对接源_02物料!$V532)&lt;&gt;0)),1,0)</f>
        <v>0</v>
      </c>
      <c r="U1732" s="1" t="n">
        <f aca="false">N(U1731)+$T1732</f>
        <v>28</v>
      </c>
      <c r="V1732" s="1" t="n">
        <f aca="false">IF(AND($L1732=1,AND(对接源_02物料!$X532="自备筐",N(对接源_02物料!$V532)&lt;&gt;0)),1,0)</f>
        <v>0</v>
      </c>
      <c r="W1732" s="1" t="n">
        <f aca="false">N(W1731)+$V1732</f>
        <v>7</v>
      </c>
      <c r="X1732" s="1" t="n">
        <f aca="false">IF(AND($L1732=1,AND(对接源_02物料!$X532="自备筐",N(对接源_02物料!$T532)&lt;&gt;0)),1,0)</f>
        <v>0</v>
      </c>
      <c r="Y1732" s="1" t="n">
        <f aca="false">N(Y1731)+$X1732</f>
        <v>0</v>
      </c>
      <c r="Z1732" s="1" t="n">
        <f aca="false">IF(AND($M1732=1,对接源_02物料!$D532="原料入库"),1,0)</f>
        <v>0</v>
      </c>
      <c r="AA1732" s="1" t="n">
        <f aca="false">N(AA1731)+$Z1732</f>
        <v>30</v>
      </c>
      <c r="AB1732" s="1" t="n">
        <f aca="false">IF(AND($M1732=1,LEFT(对接源_02物料!$D532,4)="原料出库"),1,0)</f>
        <v>0</v>
      </c>
      <c r="AC1732" s="1" t="n">
        <f aca="false">N(AC1731)+$AB1732</f>
        <v>19</v>
      </c>
      <c r="AD1732" s="1" t="n">
        <f aca="false">IF(AND($M1732=1,LEFT(对接源_02物料!$D532,4)="成品出库"),1,0)</f>
        <v>0</v>
      </c>
      <c r="AE1732" s="1" t="n">
        <f aca="false">N(AE1731)+$AD1732</f>
        <v>38</v>
      </c>
      <c r="AF1732" s="1" t="n">
        <f aca="false">IF(AND($N1732=1,AND(LEFT(对接源_02物料!$D532,4)="包装物料",N(对接源_02物料!$K532)&lt;&gt;0)),1,0)</f>
        <v>0</v>
      </c>
      <c r="AG1732" s="1" t="n">
        <f aca="false">N(AG1731)+$AF1732</f>
        <v>6</v>
      </c>
      <c r="AH1732" s="1" t="n">
        <f aca="false">IF(AND($N1732=1,AND(LEFT(对接源_02物料!$D532,3)="周转筐",N(对接源_02物料!$K532)&lt;&gt;0)),1,0)</f>
        <v>0</v>
      </c>
      <c r="AI1732" s="1" t="n">
        <f aca="false">N(AI1731)+$AH1732</f>
        <v>0</v>
      </c>
      <c r="AJ1732" s="1" t="n">
        <v>0</v>
      </c>
      <c r="AK1732" s="1" t="n">
        <f aca="false">N(AK1731)+$AJ1732</f>
        <v>3672</v>
      </c>
    </row>
    <row r="1733" customFormat="false" ht="13.5" hidden="false" customHeight="false" outlineLevel="0" collapsed="false">
      <c r="A1733" s="1" t="str">
        <f aca="false">IF(对接源_02物料!$C533="","",对接源_02物料!$C533)</f>
        <v/>
      </c>
      <c r="B1733" s="1" t="n">
        <f aca="false">IF(A1733="",0,IF(MATCH(A1733,$A$4:$A$2403,0)=ROW()-3,1,0))</f>
        <v>0</v>
      </c>
      <c r="C1733" s="1" t="n">
        <f aca="false">N(C1732)+B1733</f>
        <v>17</v>
      </c>
      <c r="K1733" s="1" t="n">
        <f aca="false">IF(OR($K$1="",对接源_02物料!$C533="",对接源_02物料!$C533&lt;&gt;$K$1,对接源_02物料!$B533=""),0,IF(OR(N(对接源_02物料!$B533)&lt;$K$2,N(对接源_02物料!$B533)&gt;$K$3),0,1))</f>
        <v>0</v>
      </c>
      <c r="L1733" s="1" t="n">
        <f aca="false">IF(OR($L$1="",对接源_02物料!$C533="",对接源_02物料!$C533&lt;&gt;$L$1,对接源_02物料!$B533=""),0,IF(OR(N(对接源_02物料!$B533)&lt;$L$2,N(对接源_02物料!$B533)&gt;$L$3),0,1))</f>
        <v>0</v>
      </c>
      <c r="M1733" s="1" t="n">
        <f aca="false">IF(OR($M$1="",对接源_02物料!$C533="",对接源_02物料!$C533&lt;&gt;$M$1,对接源_02物料!$B533=""),0,IF(OR(N(对接源_02物料!$B533)&lt;$M$2,N(对接源_02物料!$B533)&gt;$M$3),0,1))</f>
        <v>0</v>
      </c>
      <c r="N1733" s="1" t="n">
        <f aca="false">IF(OR($N$1="",对接源_02物料!$C533="",对接源_02物料!$C533&lt;&gt;$N$1,对接源_02物料!$B533=""),0,IF(OR(N(对接源_02物料!$B533)&lt;$N$2,N(对接源_02物料!$B533)&gt;$N$3),0,1))</f>
        <v>0</v>
      </c>
      <c r="P1733" s="1" t="n">
        <f aca="false">IF(AND($K1733=1,AND(对接源_02物料!$X533="公司筐",N(对接源_02物料!$T533)&lt;&gt;0)),1,0)</f>
        <v>0</v>
      </c>
      <c r="Q1733" s="1" t="n">
        <f aca="false">N(Q1732)+$P1733</f>
        <v>13</v>
      </c>
      <c r="R1733" s="1" t="n">
        <f aca="false">IF(AND($K1733=1,AND(对接源_02物料!$X533="公司筐",N(对接源_02物料!$U533)&lt;&gt;0)),1,0)</f>
        <v>0</v>
      </c>
      <c r="S1733" s="1" t="n">
        <f aca="false">N(S1732)+$R1733</f>
        <v>5</v>
      </c>
      <c r="T1733" s="1" t="n">
        <f aca="false">IF(AND($K1733=1,AND(对接源_02物料!$X533="公司筐",N(对接源_02物料!$V533)&lt;&gt;0)),1,0)</f>
        <v>0</v>
      </c>
      <c r="U1733" s="1" t="n">
        <f aca="false">N(U1732)+$T1733</f>
        <v>28</v>
      </c>
      <c r="V1733" s="1" t="n">
        <f aca="false">IF(AND($L1733=1,AND(对接源_02物料!$X533="自备筐",N(对接源_02物料!$V533)&lt;&gt;0)),1,0)</f>
        <v>0</v>
      </c>
      <c r="W1733" s="1" t="n">
        <f aca="false">N(W1732)+$V1733</f>
        <v>7</v>
      </c>
      <c r="X1733" s="1" t="n">
        <f aca="false">IF(AND($L1733=1,AND(对接源_02物料!$X533="自备筐",N(对接源_02物料!$T533)&lt;&gt;0)),1,0)</f>
        <v>0</v>
      </c>
      <c r="Y1733" s="1" t="n">
        <f aca="false">N(Y1732)+$X1733</f>
        <v>0</v>
      </c>
      <c r="Z1733" s="1" t="n">
        <f aca="false">IF(AND($M1733=1,对接源_02物料!$D533="原料入库"),1,0)</f>
        <v>0</v>
      </c>
      <c r="AA1733" s="1" t="n">
        <f aca="false">N(AA1732)+$Z1733</f>
        <v>30</v>
      </c>
      <c r="AB1733" s="1" t="n">
        <f aca="false">IF(AND($M1733=1,LEFT(对接源_02物料!$D533,4)="原料出库"),1,0)</f>
        <v>0</v>
      </c>
      <c r="AC1733" s="1" t="n">
        <f aca="false">N(AC1732)+$AB1733</f>
        <v>19</v>
      </c>
      <c r="AD1733" s="1" t="n">
        <f aca="false">IF(AND($M1733=1,LEFT(对接源_02物料!$D533,4)="成品出库"),1,0)</f>
        <v>0</v>
      </c>
      <c r="AE1733" s="1" t="n">
        <f aca="false">N(AE1732)+$AD1733</f>
        <v>38</v>
      </c>
      <c r="AF1733" s="1" t="n">
        <f aca="false">IF(AND($N1733=1,AND(LEFT(对接源_02物料!$D533,4)="包装物料",N(对接源_02物料!$K533)&lt;&gt;0)),1,0)</f>
        <v>0</v>
      </c>
      <c r="AG1733" s="1" t="n">
        <f aca="false">N(AG1732)+$AF1733</f>
        <v>6</v>
      </c>
      <c r="AH1733" s="1" t="n">
        <f aca="false">IF(AND($N1733=1,AND(LEFT(对接源_02物料!$D533,3)="周转筐",N(对接源_02物料!$K533)&lt;&gt;0)),1,0)</f>
        <v>0</v>
      </c>
      <c r="AI1733" s="1" t="n">
        <f aca="false">N(AI1732)+$AH1733</f>
        <v>0</v>
      </c>
      <c r="AJ1733" s="1" t="n">
        <v>0</v>
      </c>
      <c r="AK1733" s="1" t="n">
        <f aca="false">N(AK1732)+$AJ1733</f>
        <v>3672</v>
      </c>
    </row>
    <row r="1734" customFormat="false" ht="13.5" hidden="false" customHeight="false" outlineLevel="0" collapsed="false">
      <c r="A1734" s="1" t="str">
        <f aca="false">IF(对接源_02物料!$C534="","",对接源_02物料!$C534)</f>
        <v/>
      </c>
      <c r="B1734" s="1" t="n">
        <f aca="false">IF(A1734="",0,IF(MATCH(A1734,$A$4:$A$2403,0)=ROW()-3,1,0))</f>
        <v>0</v>
      </c>
      <c r="C1734" s="1" t="n">
        <f aca="false">N(C1733)+B1734</f>
        <v>17</v>
      </c>
      <c r="K1734" s="1" t="n">
        <f aca="false">IF(OR($K$1="",对接源_02物料!$C534="",对接源_02物料!$C534&lt;&gt;$K$1,对接源_02物料!$B534=""),0,IF(OR(N(对接源_02物料!$B534)&lt;$K$2,N(对接源_02物料!$B534)&gt;$K$3),0,1))</f>
        <v>0</v>
      </c>
      <c r="L1734" s="1" t="n">
        <f aca="false">IF(OR($L$1="",对接源_02物料!$C534="",对接源_02物料!$C534&lt;&gt;$L$1,对接源_02物料!$B534=""),0,IF(OR(N(对接源_02物料!$B534)&lt;$L$2,N(对接源_02物料!$B534)&gt;$L$3),0,1))</f>
        <v>0</v>
      </c>
      <c r="M1734" s="1" t="n">
        <f aca="false">IF(OR($M$1="",对接源_02物料!$C534="",对接源_02物料!$C534&lt;&gt;$M$1,对接源_02物料!$B534=""),0,IF(OR(N(对接源_02物料!$B534)&lt;$M$2,N(对接源_02物料!$B534)&gt;$M$3),0,1))</f>
        <v>0</v>
      </c>
      <c r="N1734" s="1" t="n">
        <f aca="false">IF(OR($N$1="",对接源_02物料!$C534="",对接源_02物料!$C534&lt;&gt;$N$1,对接源_02物料!$B534=""),0,IF(OR(N(对接源_02物料!$B534)&lt;$N$2,N(对接源_02物料!$B534)&gt;$N$3),0,1))</f>
        <v>0</v>
      </c>
      <c r="P1734" s="1" t="n">
        <f aca="false">IF(AND($K1734=1,AND(对接源_02物料!$X534="公司筐",N(对接源_02物料!$T534)&lt;&gt;0)),1,0)</f>
        <v>0</v>
      </c>
      <c r="Q1734" s="1" t="n">
        <f aca="false">N(Q1733)+$P1734</f>
        <v>13</v>
      </c>
      <c r="R1734" s="1" t="n">
        <f aca="false">IF(AND($K1734=1,AND(对接源_02物料!$X534="公司筐",N(对接源_02物料!$U534)&lt;&gt;0)),1,0)</f>
        <v>0</v>
      </c>
      <c r="S1734" s="1" t="n">
        <f aca="false">N(S1733)+$R1734</f>
        <v>5</v>
      </c>
      <c r="T1734" s="1" t="n">
        <f aca="false">IF(AND($K1734=1,AND(对接源_02物料!$X534="公司筐",N(对接源_02物料!$V534)&lt;&gt;0)),1,0)</f>
        <v>0</v>
      </c>
      <c r="U1734" s="1" t="n">
        <f aca="false">N(U1733)+$T1734</f>
        <v>28</v>
      </c>
      <c r="V1734" s="1" t="n">
        <f aca="false">IF(AND($L1734=1,AND(对接源_02物料!$X534="自备筐",N(对接源_02物料!$V534)&lt;&gt;0)),1,0)</f>
        <v>0</v>
      </c>
      <c r="W1734" s="1" t="n">
        <f aca="false">N(W1733)+$V1734</f>
        <v>7</v>
      </c>
      <c r="X1734" s="1" t="n">
        <f aca="false">IF(AND($L1734=1,AND(对接源_02物料!$X534="自备筐",N(对接源_02物料!$T534)&lt;&gt;0)),1,0)</f>
        <v>0</v>
      </c>
      <c r="Y1734" s="1" t="n">
        <f aca="false">N(Y1733)+$X1734</f>
        <v>0</v>
      </c>
      <c r="Z1734" s="1" t="n">
        <f aca="false">IF(AND($M1734=1,对接源_02物料!$D534="原料入库"),1,0)</f>
        <v>0</v>
      </c>
      <c r="AA1734" s="1" t="n">
        <f aca="false">N(AA1733)+$Z1734</f>
        <v>30</v>
      </c>
      <c r="AB1734" s="1" t="n">
        <f aca="false">IF(AND($M1734=1,LEFT(对接源_02物料!$D534,4)="原料出库"),1,0)</f>
        <v>0</v>
      </c>
      <c r="AC1734" s="1" t="n">
        <f aca="false">N(AC1733)+$AB1734</f>
        <v>19</v>
      </c>
      <c r="AD1734" s="1" t="n">
        <f aca="false">IF(AND($M1734=1,LEFT(对接源_02物料!$D534,4)="成品出库"),1,0)</f>
        <v>0</v>
      </c>
      <c r="AE1734" s="1" t="n">
        <f aca="false">N(AE1733)+$AD1734</f>
        <v>38</v>
      </c>
      <c r="AF1734" s="1" t="n">
        <f aca="false">IF(AND($N1734=1,AND(LEFT(对接源_02物料!$D534,4)="包装物料",N(对接源_02物料!$K534)&lt;&gt;0)),1,0)</f>
        <v>0</v>
      </c>
      <c r="AG1734" s="1" t="n">
        <f aca="false">N(AG1733)+$AF1734</f>
        <v>6</v>
      </c>
      <c r="AH1734" s="1" t="n">
        <f aca="false">IF(AND($N1734=1,AND(LEFT(对接源_02物料!$D534,3)="周转筐",N(对接源_02物料!$K534)&lt;&gt;0)),1,0)</f>
        <v>0</v>
      </c>
      <c r="AI1734" s="1" t="n">
        <f aca="false">N(AI1733)+$AH1734</f>
        <v>0</v>
      </c>
      <c r="AJ1734" s="1" t="n">
        <v>0</v>
      </c>
      <c r="AK1734" s="1" t="n">
        <f aca="false">N(AK1733)+$AJ1734</f>
        <v>3672</v>
      </c>
    </row>
    <row r="1735" customFormat="false" ht="13.5" hidden="false" customHeight="false" outlineLevel="0" collapsed="false">
      <c r="A1735" s="1" t="str">
        <f aca="false">IF(对接源_02物料!$C535="","",对接源_02物料!$C535)</f>
        <v/>
      </c>
      <c r="B1735" s="1" t="n">
        <f aca="false">IF(A1735="",0,IF(MATCH(A1735,$A$4:$A$2403,0)=ROW()-3,1,0))</f>
        <v>0</v>
      </c>
      <c r="C1735" s="1" t="n">
        <f aca="false">N(C1734)+B1735</f>
        <v>17</v>
      </c>
      <c r="K1735" s="1" t="n">
        <f aca="false">IF(OR($K$1="",对接源_02物料!$C535="",对接源_02物料!$C535&lt;&gt;$K$1,对接源_02物料!$B535=""),0,IF(OR(N(对接源_02物料!$B535)&lt;$K$2,N(对接源_02物料!$B535)&gt;$K$3),0,1))</f>
        <v>0</v>
      </c>
      <c r="L1735" s="1" t="n">
        <f aca="false">IF(OR($L$1="",对接源_02物料!$C535="",对接源_02物料!$C535&lt;&gt;$L$1,对接源_02物料!$B535=""),0,IF(OR(N(对接源_02物料!$B535)&lt;$L$2,N(对接源_02物料!$B535)&gt;$L$3),0,1))</f>
        <v>0</v>
      </c>
      <c r="M1735" s="1" t="n">
        <f aca="false">IF(OR($M$1="",对接源_02物料!$C535="",对接源_02物料!$C535&lt;&gt;$M$1,对接源_02物料!$B535=""),0,IF(OR(N(对接源_02物料!$B535)&lt;$M$2,N(对接源_02物料!$B535)&gt;$M$3),0,1))</f>
        <v>0</v>
      </c>
      <c r="N1735" s="1" t="n">
        <f aca="false">IF(OR($N$1="",对接源_02物料!$C535="",对接源_02物料!$C535&lt;&gt;$N$1,对接源_02物料!$B535=""),0,IF(OR(N(对接源_02物料!$B535)&lt;$N$2,N(对接源_02物料!$B535)&gt;$N$3),0,1))</f>
        <v>0</v>
      </c>
      <c r="P1735" s="1" t="n">
        <f aca="false">IF(AND($K1735=1,AND(对接源_02物料!$X535="公司筐",N(对接源_02物料!$T535)&lt;&gt;0)),1,0)</f>
        <v>0</v>
      </c>
      <c r="Q1735" s="1" t="n">
        <f aca="false">N(Q1734)+$P1735</f>
        <v>13</v>
      </c>
      <c r="R1735" s="1" t="n">
        <f aca="false">IF(AND($K1735=1,AND(对接源_02物料!$X535="公司筐",N(对接源_02物料!$U535)&lt;&gt;0)),1,0)</f>
        <v>0</v>
      </c>
      <c r="S1735" s="1" t="n">
        <f aca="false">N(S1734)+$R1735</f>
        <v>5</v>
      </c>
      <c r="T1735" s="1" t="n">
        <f aca="false">IF(AND($K1735=1,AND(对接源_02物料!$X535="公司筐",N(对接源_02物料!$V535)&lt;&gt;0)),1,0)</f>
        <v>0</v>
      </c>
      <c r="U1735" s="1" t="n">
        <f aca="false">N(U1734)+$T1735</f>
        <v>28</v>
      </c>
      <c r="V1735" s="1" t="n">
        <f aca="false">IF(AND($L1735=1,AND(对接源_02物料!$X535="自备筐",N(对接源_02物料!$V535)&lt;&gt;0)),1,0)</f>
        <v>0</v>
      </c>
      <c r="W1735" s="1" t="n">
        <f aca="false">N(W1734)+$V1735</f>
        <v>7</v>
      </c>
      <c r="X1735" s="1" t="n">
        <f aca="false">IF(AND($L1735=1,AND(对接源_02物料!$X535="自备筐",N(对接源_02物料!$T535)&lt;&gt;0)),1,0)</f>
        <v>0</v>
      </c>
      <c r="Y1735" s="1" t="n">
        <f aca="false">N(Y1734)+$X1735</f>
        <v>0</v>
      </c>
      <c r="Z1735" s="1" t="n">
        <f aca="false">IF(AND($M1735=1,对接源_02物料!$D535="原料入库"),1,0)</f>
        <v>0</v>
      </c>
      <c r="AA1735" s="1" t="n">
        <f aca="false">N(AA1734)+$Z1735</f>
        <v>30</v>
      </c>
      <c r="AB1735" s="1" t="n">
        <f aca="false">IF(AND($M1735=1,LEFT(对接源_02物料!$D535,4)="原料出库"),1,0)</f>
        <v>0</v>
      </c>
      <c r="AC1735" s="1" t="n">
        <f aca="false">N(AC1734)+$AB1735</f>
        <v>19</v>
      </c>
      <c r="AD1735" s="1" t="n">
        <f aca="false">IF(AND($M1735=1,LEFT(对接源_02物料!$D535,4)="成品出库"),1,0)</f>
        <v>0</v>
      </c>
      <c r="AE1735" s="1" t="n">
        <f aca="false">N(AE1734)+$AD1735</f>
        <v>38</v>
      </c>
      <c r="AF1735" s="1" t="n">
        <f aca="false">IF(AND($N1735=1,AND(LEFT(对接源_02物料!$D535,4)="包装物料",N(对接源_02物料!$K535)&lt;&gt;0)),1,0)</f>
        <v>0</v>
      </c>
      <c r="AG1735" s="1" t="n">
        <f aca="false">N(AG1734)+$AF1735</f>
        <v>6</v>
      </c>
      <c r="AH1735" s="1" t="n">
        <f aca="false">IF(AND($N1735=1,AND(LEFT(对接源_02物料!$D535,3)="周转筐",N(对接源_02物料!$K535)&lt;&gt;0)),1,0)</f>
        <v>0</v>
      </c>
      <c r="AI1735" s="1" t="n">
        <f aca="false">N(AI1734)+$AH1735</f>
        <v>0</v>
      </c>
      <c r="AJ1735" s="1" t="n">
        <v>0</v>
      </c>
      <c r="AK1735" s="1" t="n">
        <f aca="false">N(AK1734)+$AJ1735</f>
        <v>3672</v>
      </c>
    </row>
    <row r="1736" customFormat="false" ht="13.5" hidden="false" customHeight="false" outlineLevel="0" collapsed="false">
      <c r="A1736" s="1" t="str">
        <f aca="false">IF(对接源_02物料!$C536="","",对接源_02物料!$C536)</f>
        <v/>
      </c>
      <c r="B1736" s="1" t="n">
        <f aca="false">IF(A1736="",0,IF(MATCH(A1736,$A$4:$A$2403,0)=ROW()-3,1,0))</f>
        <v>0</v>
      </c>
      <c r="C1736" s="1" t="n">
        <f aca="false">N(C1735)+B1736</f>
        <v>17</v>
      </c>
      <c r="K1736" s="1" t="n">
        <f aca="false">IF(OR($K$1="",对接源_02物料!$C536="",对接源_02物料!$C536&lt;&gt;$K$1,对接源_02物料!$B536=""),0,IF(OR(N(对接源_02物料!$B536)&lt;$K$2,N(对接源_02物料!$B536)&gt;$K$3),0,1))</f>
        <v>0</v>
      </c>
      <c r="L1736" s="1" t="n">
        <f aca="false">IF(OR($L$1="",对接源_02物料!$C536="",对接源_02物料!$C536&lt;&gt;$L$1,对接源_02物料!$B536=""),0,IF(OR(N(对接源_02物料!$B536)&lt;$L$2,N(对接源_02物料!$B536)&gt;$L$3),0,1))</f>
        <v>0</v>
      </c>
      <c r="M1736" s="1" t="n">
        <f aca="false">IF(OR($M$1="",对接源_02物料!$C536="",对接源_02物料!$C536&lt;&gt;$M$1,对接源_02物料!$B536=""),0,IF(OR(N(对接源_02物料!$B536)&lt;$M$2,N(对接源_02物料!$B536)&gt;$M$3),0,1))</f>
        <v>0</v>
      </c>
      <c r="N1736" s="1" t="n">
        <f aca="false">IF(OR($N$1="",对接源_02物料!$C536="",对接源_02物料!$C536&lt;&gt;$N$1,对接源_02物料!$B536=""),0,IF(OR(N(对接源_02物料!$B536)&lt;$N$2,N(对接源_02物料!$B536)&gt;$N$3),0,1))</f>
        <v>0</v>
      </c>
      <c r="P1736" s="1" t="n">
        <f aca="false">IF(AND($K1736=1,AND(对接源_02物料!$X536="公司筐",N(对接源_02物料!$T536)&lt;&gt;0)),1,0)</f>
        <v>0</v>
      </c>
      <c r="Q1736" s="1" t="n">
        <f aca="false">N(Q1735)+$P1736</f>
        <v>13</v>
      </c>
      <c r="R1736" s="1" t="n">
        <f aca="false">IF(AND($K1736=1,AND(对接源_02物料!$X536="公司筐",N(对接源_02物料!$U536)&lt;&gt;0)),1,0)</f>
        <v>0</v>
      </c>
      <c r="S1736" s="1" t="n">
        <f aca="false">N(S1735)+$R1736</f>
        <v>5</v>
      </c>
      <c r="T1736" s="1" t="n">
        <f aca="false">IF(AND($K1736=1,AND(对接源_02物料!$X536="公司筐",N(对接源_02物料!$V536)&lt;&gt;0)),1,0)</f>
        <v>0</v>
      </c>
      <c r="U1736" s="1" t="n">
        <f aca="false">N(U1735)+$T1736</f>
        <v>28</v>
      </c>
      <c r="V1736" s="1" t="n">
        <f aca="false">IF(AND($L1736=1,AND(对接源_02物料!$X536="自备筐",N(对接源_02物料!$V536)&lt;&gt;0)),1,0)</f>
        <v>0</v>
      </c>
      <c r="W1736" s="1" t="n">
        <f aca="false">N(W1735)+$V1736</f>
        <v>7</v>
      </c>
      <c r="X1736" s="1" t="n">
        <f aca="false">IF(AND($L1736=1,AND(对接源_02物料!$X536="自备筐",N(对接源_02物料!$T536)&lt;&gt;0)),1,0)</f>
        <v>0</v>
      </c>
      <c r="Y1736" s="1" t="n">
        <f aca="false">N(Y1735)+$X1736</f>
        <v>0</v>
      </c>
      <c r="Z1736" s="1" t="n">
        <f aca="false">IF(AND($M1736=1,对接源_02物料!$D536="原料入库"),1,0)</f>
        <v>0</v>
      </c>
      <c r="AA1736" s="1" t="n">
        <f aca="false">N(AA1735)+$Z1736</f>
        <v>30</v>
      </c>
      <c r="AB1736" s="1" t="n">
        <f aca="false">IF(AND($M1736=1,LEFT(对接源_02物料!$D536,4)="原料出库"),1,0)</f>
        <v>0</v>
      </c>
      <c r="AC1736" s="1" t="n">
        <f aca="false">N(AC1735)+$AB1736</f>
        <v>19</v>
      </c>
      <c r="AD1736" s="1" t="n">
        <f aca="false">IF(AND($M1736=1,LEFT(对接源_02物料!$D536,4)="成品出库"),1,0)</f>
        <v>0</v>
      </c>
      <c r="AE1736" s="1" t="n">
        <f aca="false">N(AE1735)+$AD1736</f>
        <v>38</v>
      </c>
      <c r="AF1736" s="1" t="n">
        <f aca="false">IF(AND($N1736=1,AND(LEFT(对接源_02物料!$D536,4)="包装物料",N(对接源_02物料!$K536)&lt;&gt;0)),1,0)</f>
        <v>0</v>
      </c>
      <c r="AG1736" s="1" t="n">
        <f aca="false">N(AG1735)+$AF1736</f>
        <v>6</v>
      </c>
      <c r="AH1736" s="1" t="n">
        <f aca="false">IF(AND($N1736=1,AND(LEFT(对接源_02物料!$D536,3)="周转筐",N(对接源_02物料!$K536)&lt;&gt;0)),1,0)</f>
        <v>0</v>
      </c>
      <c r="AI1736" s="1" t="n">
        <f aca="false">N(AI1735)+$AH1736</f>
        <v>0</v>
      </c>
      <c r="AJ1736" s="1" t="n">
        <v>0</v>
      </c>
      <c r="AK1736" s="1" t="n">
        <f aca="false">N(AK1735)+$AJ1736</f>
        <v>3672</v>
      </c>
    </row>
    <row r="1737" customFormat="false" ht="13.5" hidden="false" customHeight="false" outlineLevel="0" collapsed="false">
      <c r="A1737" s="1" t="str">
        <f aca="false">IF(对接源_02物料!$C537="","",对接源_02物料!$C537)</f>
        <v/>
      </c>
      <c r="B1737" s="1" t="n">
        <f aca="false">IF(A1737="",0,IF(MATCH(A1737,$A$4:$A$2403,0)=ROW()-3,1,0))</f>
        <v>0</v>
      </c>
      <c r="C1737" s="1" t="n">
        <f aca="false">N(C1736)+B1737</f>
        <v>17</v>
      </c>
      <c r="K1737" s="1" t="n">
        <f aca="false">IF(OR($K$1="",对接源_02物料!$C537="",对接源_02物料!$C537&lt;&gt;$K$1,对接源_02物料!$B537=""),0,IF(OR(N(对接源_02物料!$B537)&lt;$K$2,N(对接源_02物料!$B537)&gt;$K$3),0,1))</f>
        <v>0</v>
      </c>
      <c r="L1737" s="1" t="n">
        <f aca="false">IF(OR($L$1="",对接源_02物料!$C537="",对接源_02物料!$C537&lt;&gt;$L$1,对接源_02物料!$B537=""),0,IF(OR(N(对接源_02物料!$B537)&lt;$L$2,N(对接源_02物料!$B537)&gt;$L$3),0,1))</f>
        <v>0</v>
      </c>
      <c r="M1737" s="1" t="n">
        <f aca="false">IF(OR($M$1="",对接源_02物料!$C537="",对接源_02物料!$C537&lt;&gt;$M$1,对接源_02物料!$B537=""),0,IF(OR(N(对接源_02物料!$B537)&lt;$M$2,N(对接源_02物料!$B537)&gt;$M$3),0,1))</f>
        <v>0</v>
      </c>
      <c r="N1737" s="1" t="n">
        <f aca="false">IF(OR($N$1="",对接源_02物料!$C537="",对接源_02物料!$C537&lt;&gt;$N$1,对接源_02物料!$B537=""),0,IF(OR(N(对接源_02物料!$B537)&lt;$N$2,N(对接源_02物料!$B537)&gt;$N$3),0,1))</f>
        <v>0</v>
      </c>
      <c r="P1737" s="1" t="n">
        <f aca="false">IF(AND($K1737=1,AND(对接源_02物料!$X537="公司筐",N(对接源_02物料!$T537)&lt;&gt;0)),1,0)</f>
        <v>0</v>
      </c>
      <c r="Q1737" s="1" t="n">
        <f aca="false">N(Q1736)+$P1737</f>
        <v>13</v>
      </c>
      <c r="R1737" s="1" t="n">
        <f aca="false">IF(AND($K1737=1,AND(对接源_02物料!$X537="公司筐",N(对接源_02物料!$U537)&lt;&gt;0)),1,0)</f>
        <v>0</v>
      </c>
      <c r="S1737" s="1" t="n">
        <f aca="false">N(S1736)+$R1737</f>
        <v>5</v>
      </c>
      <c r="T1737" s="1" t="n">
        <f aca="false">IF(AND($K1737=1,AND(对接源_02物料!$X537="公司筐",N(对接源_02物料!$V537)&lt;&gt;0)),1,0)</f>
        <v>0</v>
      </c>
      <c r="U1737" s="1" t="n">
        <f aca="false">N(U1736)+$T1737</f>
        <v>28</v>
      </c>
      <c r="V1737" s="1" t="n">
        <f aca="false">IF(AND($L1737=1,AND(对接源_02物料!$X537="自备筐",N(对接源_02物料!$V537)&lt;&gt;0)),1,0)</f>
        <v>0</v>
      </c>
      <c r="W1737" s="1" t="n">
        <f aca="false">N(W1736)+$V1737</f>
        <v>7</v>
      </c>
      <c r="X1737" s="1" t="n">
        <f aca="false">IF(AND($L1737=1,AND(对接源_02物料!$X537="自备筐",N(对接源_02物料!$T537)&lt;&gt;0)),1,0)</f>
        <v>0</v>
      </c>
      <c r="Y1737" s="1" t="n">
        <f aca="false">N(Y1736)+$X1737</f>
        <v>0</v>
      </c>
      <c r="Z1737" s="1" t="n">
        <f aca="false">IF(AND($M1737=1,对接源_02物料!$D537="原料入库"),1,0)</f>
        <v>0</v>
      </c>
      <c r="AA1737" s="1" t="n">
        <f aca="false">N(AA1736)+$Z1737</f>
        <v>30</v>
      </c>
      <c r="AB1737" s="1" t="n">
        <f aca="false">IF(AND($M1737=1,LEFT(对接源_02物料!$D537,4)="原料出库"),1,0)</f>
        <v>0</v>
      </c>
      <c r="AC1737" s="1" t="n">
        <f aca="false">N(AC1736)+$AB1737</f>
        <v>19</v>
      </c>
      <c r="AD1737" s="1" t="n">
        <f aca="false">IF(AND($M1737=1,LEFT(对接源_02物料!$D537,4)="成品出库"),1,0)</f>
        <v>0</v>
      </c>
      <c r="AE1737" s="1" t="n">
        <f aca="false">N(AE1736)+$AD1737</f>
        <v>38</v>
      </c>
      <c r="AF1737" s="1" t="n">
        <f aca="false">IF(AND($N1737=1,AND(LEFT(对接源_02物料!$D537,4)="包装物料",N(对接源_02物料!$K537)&lt;&gt;0)),1,0)</f>
        <v>0</v>
      </c>
      <c r="AG1737" s="1" t="n">
        <f aca="false">N(AG1736)+$AF1737</f>
        <v>6</v>
      </c>
      <c r="AH1737" s="1" t="n">
        <f aca="false">IF(AND($N1737=1,AND(LEFT(对接源_02物料!$D537,3)="周转筐",N(对接源_02物料!$K537)&lt;&gt;0)),1,0)</f>
        <v>0</v>
      </c>
      <c r="AI1737" s="1" t="n">
        <f aca="false">N(AI1736)+$AH1737</f>
        <v>0</v>
      </c>
      <c r="AJ1737" s="1" t="n">
        <v>0</v>
      </c>
      <c r="AK1737" s="1" t="n">
        <f aca="false">N(AK1736)+$AJ1737</f>
        <v>3672</v>
      </c>
    </row>
    <row r="1738" customFormat="false" ht="13.5" hidden="false" customHeight="false" outlineLevel="0" collapsed="false">
      <c r="A1738" s="1" t="str">
        <f aca="false">IF(对接源_02物料!$C538="","",对接源_02物料!$C538)</f>
        <v/>
      </c>
      <c r="B1738" s="1" t="n">
        <f aca="false">IF(A1738="",0,IF(MATCH(A1738,$A$4:$A$2403,0)=ROW()-3,1,0))</f>
        <v>0</v>
      </c>
      <c r="C1738" s="1" t="n">
        <f aca="false">N(C1737)+B1738</f>
        <v>17</v>
      </c>
      <c r="K1738" s="1" t="n">
        <f aca="false">IF(OR($K$1="",对接源_02物料!$C538="",对接源_02物料!$C538&lt;&gt;$K$1,对接源_02物料!$B538=""),0,IF(OR(N(对接源_02物料!$B538)&lt;$K$2,N(对接源_02物料!$B538)&gt;$K$3),0,1))</f>
        <v>0</v>
      </c>
      <c r="L1738" s="1" t="n">
        <f aca="false">IF(OR($L$1="",对接源_02物料!$C538="",对接源_02物料!$C538&lt;&gt;$L$1,对接源_02物料!$B538=""),0,IF(OR(N(对接源_02物料!$B538)&lt;$L$2,N(对接源_02物料!$B538)&gt;$L$3),0,1))</f>
        <v>0</v>
      </c>
      <c r="M1738" s="1" t="n">
        <f aca="false">IF(OR($M$1="",对接源_02物料!$C538="",对接源_02物料!$C538&lt;&gt;$M$1,对接源_02物料!$B538=""),0,IF(OR(N(对接源_02物料!$B538)&lt;$M$2,N(对接源_02物料!$B538)&gt;$M$3),0,1))</f>
        <v>0</v>
      </c>
      <c r="N1738" s="1" t="n">
        <f aca="false">IF(OR($N$1="",对接源_02物料!$C538="",对接源_02物料!$C538&lt;&gt;$N$1,对接源_02物料!$B538=""),0,IF(OR(N(对接源_02物料!$B538)&lt;$N$2,N(对接源_02物料!$B538)&gt;$N$3),0,1))</f>
        <v>0</v>
      </c>
      <c r="P1738" s="1" t="n">
        <f aca="false">IF(AND($K1738=1,AND(对接源_02物料!$X538="公司筐",N(对接源_02物料!$T538)&lt;&gt;0)),1,0)</f>
        <v>0</v>
      </c>
      <c r="Q1738" s="1" t="n">
        <f aca="false">N(Q1737)+$P1738</f>
        <v>13</v>
      </c>
      <c r="R1738" s="1" t="n">
        <f aca="false">IF(AND($K1738=1,AND(对接源_02物料!$X538="公司筐",N(对接源_02物料!$U538)&lt;&gt;0)),1,0)</f>
        <v>0</v>
      </c>
      <c r="S1738" s="1" t="n">
        <f aca="false">N(S1737)+$R1738</f>
        <v>5</v>
      </c>
      <c r="T1738" s="1" t="n">
        <f aca="false">IF(AND($K1738=1,AND(对接源_02物料!$X538="公司筐",N(对接源_02物料!$V538)&lt;&gt;0)),1,0)</f>
        <v>0</v>
      </c>
      <c r="U1738" s="1" t="n">
        <f aca="false">N(U1737)+$T1738</f>
        <v>28</v>
      </c>
      <c r="V1738" s="1" t="n">
        <f aca="false">IF(AND($L1738=1,AND(对接源_02物料!$X538="自备筐",N(对接源_02物料!$V538)&lt;&gt;0)),1,0)</f>
        <v>0</v>
      </c>
      <c r="W1738" s="1" t="n">
        <f aca="false">N(W1737)+$V1738</f>
        <v>7</v>
      </c>
      <c r="X1738" s="1" t="n">
        <f aca="false">IF(AND($L1738=1,AND(对接源_02物料!$X538="自备筐",N(对接源_02物料!$T538)&lt;&gt;0)),1,0)</f>
        <v>0</v>
      </c>
      <c r="Y1738" s="1" t="n">
        <f aca="false">N(Y1737)+$X1738</f>
        <v>0</v>
      </c>
      <c r="Z1738" s="1" t="n">
        <f aca="false">IF(AND($M1738=1,对接源_02物料!$D538="原料入库"),1,0)</f>
        <v>0</v>
      </c>
      <c r="AA1738" s="1" t="n">
        <f aca="false">N(AA1737)+$Z1738</f>
        <v>30</v>
      </c>
      <c r="AB1738" s="1" t="n">
        <f aca="false">IF(AND($M1738=1,LEFT(对接源_02物料!$D538,4)="原料出库"),1,0)</f>
        <v>0</v>
      </c>
      <c r="AC1738" s="1" t="n">
        <f aca="false">N(AC1737)+$AB1738</f>
        <v>19</v>
      </c>
      <c r="AD1738" s="1" t="n">
        <f aca="false">IF(AND($M1738=1,LEFT(对接源_02物料!$D538,4)="成品出库"),1,0)</f>
        <v>0</v>
      </c>
      <c r="AE1738" s="1" t="n">
        <f aca="false">N(AE1737)+$AD1738</f>
        <v>38</v>
      </c>
      <c r="AF1738" s="1" t="n">
        <f aca="false">IF(AND($N1738=1,AND(LEFT(对接源_02物料!$D538,4)="包装物料",N(对接源_02物料!$K538)&lt;&gt;0)),1,0)</f>
        <v>0</v>
      </c>
      <c r="AG1738" s="1" t="n">
        <f aca="false">N(AG1737)+$AF1738</f>
        <v>6</v>
      </c>
      <c r="AH1738" s="1" t="n">
        <f aca="false">IF(AND($N1738=1,AND(LEFT(对接源_02物料!$D538,3)="周转筐",N(对接源_02物料!$K538)&lt;&gt;0)),1,0)</f>
        <v>0</v>
      </c>
      <c r="AI1738" s="1" t="n">
        <f aca="false">N(AI1737)+$AH1738</f>
        <v>0</v>
      </c>
      <c r="AJ1738" s="1" t="n">
        <v>0</v>
      </c>
      <c r="AK1738" s="1" t="n">
        <f aca="false">N(AK1737)+$AJ1738</f>
        <v>3672</v>
      </c>
    </row>
    <row r="1739" customFormat="false" ht="13.5" hidden="false" customHeight="false" outlineLevel="0" collapsed="false">
      <c r="A1739" s="1" t="str">
        <f aca="false">IF(对接源_02物料!$C539="","",对接源_02物料!$C539)</f>
        <v/>
      </c>
      <c r="B1739" s="1" t="n">
        <f aca="false">IF(A1739="",0,IF(MATCH(A1739,$A$4:$A$2403,0)=ROW()-3,1,0))</f>
        <v>0</v>
      </c>
      <c r="C1739" s="1" t="n">
        <f aca="false">N(C1738)+B1739</f>
        <v>17</v>
      </c>
      <c r="K1739" s="1" t="n">
        <f aca="false">IF(OR($K$1="",对接源_02物料!$C539="",对接源_02物料!$C539&lt;&gt;$K$1,对接源_02物料!$B539=""),0,IF(OR(N(对接源_02物料!$B539)&lt;$K$2,N(对接源_02物料!$B539)&gt;$K$3),0,1))</f>
        <v>0</v>
      </c>
      <c r="L1739" s="1" t="n">
        <f aca="false">IF(OR($L$1="",对接源_02物料!$C539="",对接源_02物料!$C539&lt;&gt;$L$1,对接源_02物料!$B539=""),0,IF(OR(N(对接源_02物料!$B539)&lt;$L$2,N(对接源_02物料!$B539)&gt;$L$3),0,1))</f>
        <v>0</v>
      </c>
      <c r="M1739" s="1" t="n">
        <f aca="false">IF(OR($M$1="",对接源_02物料!$C539="",对接源_02物料!$C539&lt;&gt;$M$1,对接源_02物料!$B539=""),0,IF(OR(N(对接源_02物料!$B539)&lt;$M$2,N(对接源_02物料!$B539)&gt;$M$3),0,1))</f>
        <v>0</v>
      </c>
      <c r="N1739" s="1" t="n">
        <f aca="false">IF(OR($N$1="",对接源_02物料!$C539="",对接源_02物料!$C539&lt;&gt;$N$1,对接源_02物料!$B539=""),0,IF(OR(N(对接源_02物料!$B539)&lt;$N$2,N(对接源_02物料!$B539)&gt;$N$3),0,1))</f>
        <v>0</v>
      </c>
      <c r="P1739" s="1" t="n">
        <f aca="false">IF(AND($K1739=1,AND(对接源_02物料!$X539="公司筐",N(对接源_02物料!$T539)&lt;&gt;0)),1,0)</f>
        <v>0</v>
      </c>
      <c r="Q1739" s="1" t="n">
        <f aca="false">N(Q1738)+$P1739</f>
        <v>13</v>
      </c>
      <c r="R1739" s="1" t="n">
        <f aca="false">IF(AND($K1739=1,AND(对接源_02物料!$X539="公司筐",N(对接源_02物料!$U539)&lt;&gt;0)),1,0)</f>
        <v>0</v>
      </c>
      <c r="S1739" s="1" t="n">
        <f aca="false">N(S1738)+$R1739</f>
        <v>5</v>
      </c>
      <c r="T1739" s="1" t="n">
        <f aca="false">IF(AND($K1739=1,AND(对接源_02物料!$X539="公司筐",N(对接源_02物料!$V539)&lt;&gt;0)),1,0)</f>
        <v>0</v>
      </c>
      <c r="U1739" s="1" t="n">
        <f aca="false">N(U1738)+$T1739</f>
        <v>28</v>
      </c>
      <c r="V1739" s="1" t="n">
        <f aca="false">IF(AND($L1739=1,AND(对接源_02物料!$X539="自备筐",N(对接源_02物料!$V539)&lt;&gt;0)),1,0)</f>
        <v>0</v>
      </c>
      <c r="W1739" s="1" t="n">
        <f aca="false">N(W1738)+$V1739</f>
        <v>7</v>
      </c>
      <c r="X1739" s="1" t="n">
        <f aca="false">IF(AND($L1739=1,AND(对接源_02物料!$X539="自备筐",N(对接源_02物料!$T539)&lt;&gt;0)),1,0)</f>
        <v>0</v>
      </c>
      <c r="Y1739" s="1" t="n">
        <f aca="false">N(Y1738)+$X1739</f>
        <v>0</v>
      </c>
      <c r="Z1739" s="1" t="n">
        <f aca="false">IF(AND($M1739=1,对接源_02物料!$D539="原料入库"),1,0)</f>
        <v>0</v>
      </c>
      <c r="AA1739" s="1" t="n">
        <f aca="false">N(AA1738)+$Z1739</f>
        <v>30</v>
      </c>
      <c r="AB1739" s="1" t="n">
        <f aca="false">IF(AND($M1739=1,LEFT(对接源_02物料!$D539,4)="原料出库"),1,0)</f>
        <v>0</v>
      </c>
      <c r="AC1739" s="1" t="n">
        <f aca="false">N(AC1738)+$AB1739</f>
        <v>19</v>
      </c>
      <c r="AD1739" s="1" t="n">
        <f aca="false">IF(AND($M1739=1,LEFT(对接源_02物料!$D539,4)="成品出库"),1,0)</f>
        <v>0</v>
      </c>
      <c r="AE1739" s="1" t="n">
        <f aca="false">N(AE1738)+$AD1739</f>
        <v>38</v>
      </c>
      <c r="AF1739" s="1" t="n">
        <f aca="false">IF(AND($N1739=1,AND(LEFT(对接源_02物料!$D539,4)="包装物料",N(对接源_02物料!$K539)&lt;&gt;0)),1,0)</f>
        <v>0</v>
      </c>
      <c r="AG1739" s="1" t="n">
        <f aca="false">N(AG1738)+$AF1739</f>
        <v>6</v>
      </c>
      <c r="AH1739" s="1" t="n">
        <f aca="false">IF(AND($N1739=1,AND(LEFT(对接源_02物料!$D539,3)="周转筐",N(对接源_02物料!$K539)&lt;&gt;0)),1,0)</f>
        <v>0</v>
      </c>
      <c r="AI1739" s="1" t="n">
        <f aca="false">N(AI1738)+$AH1739</f>
        <v>0</v>
      </c>
      <c r="AJ1739" s="1" t="n">
        <v>0</v>
      </c>
      <c r="AK1739" s="1" t="n">
        <f aca="false">N(AK1738)+$AJ1739</f>
        <v>3672</v>
      </c>
    </row>
    <row r="1740" customFormat="false" ht="13.5" hidden="false" customHeight="false" outlineLevel="0" collapsed="false">
      <c r="A1740" s="1" t="str">
        <f aca="false">IF(对接源_02物料!$C540="","",对接源_02物料!$C540)</f>
        <v/>
      </c>
      <c r="B1740" s="1" t="n">
        <f aca="false">IF(A1740="",0,IF(MATCH(A1740,$A$4:$A$2403,0)=ROW()-3,1,0))</f>
        <v>0</v>
      </c>
      <c r="C1740" s="1" t="n">
        <f aca="false">N(C1739)+B1740</f>
        <v>17</v>
      </c>
      <c r="K1740" s="1" t="n">
        <f aca="false">IF(OR($K$1="",对接源_02物料!$C540="",对接源_02物料!$C540&lt;&gt;$K$1,对接源_02物料!$B540=""),0,IF(OR(N(对接源_02物料!$B540)&lt;$K$2,N(对接源_02物料!$B540)&gt;$K$3),0,1))</f>
        <v>0</v>
      </c>
      <c r="L1740" s="1" t="n">
        <f aca="false">IF(OR($L$1="",对接源_02物料!$C540="",对接源_02物料!$C540&lt;&gt;$L$1,对接源_02物料!$B540=""),0,IF(OR(N(对接源_02物料!$B540)&lt;$L$2,N(对接源_02物料!$B540)&gt;$L$3),0,1))</f>
        <v>0</v>
      </c>
      <c r="M1740" s="1" t="n">
        <f aca="false">IF(OR($M$1="",对接源_02物料!$C540="",对接源_02物料!$C540&lt;&gt;$M$1,对接源_02物料!$B540=""),0,IF(OR(N(对接源_02物料!$B540)&lt;$M$2,N(对接源_02物料!$B540)&gt;$M$3),0,1))</f>
        <v>0</v>
      </c>
      <c r="N1740" s="1" t="n">
        <f aca="false">IF(OR($N$1="",对接源_02物料!$C540="",对接源_02物料!$C540&lt;&gt;$N$1,对接源_02物料!$B540=""),0,IF(OR(N(对接源_02物料!$B540)&lt;$N$2,N(对接源_02物料!$B540)&gt;$N$3),0,1))</f>
        <v>0</v>
      </c>
      <c r="P1740" s="1" t="n">
        <f aca="false">IF(AND($K1740=1,AND(对接源_02物料!$X540="公司筐",N(对接源_02物料!$T540)&lt;&gt;0)),1,0)</f>
        <v>0</v>
      </c>
      <c r="Q1740" s="1" t="n">
        <f aca="false">N(Q1739)+$P1740</f>
        <v>13</v>
      </c>
      <c r="R1740" s="1" t="n">
        <f aca="false">IF(AND($K1740=1,AND(对接源_02物料!$X540="公司筐",N(对接源_02物料!$U540)&lt;&gt;0)),1,0)</f>
        <v>0</v>
      </c>
      <c r="S1740" s="1" t="n">
        <f aca="false">N(S1739)+$R1740</f>
        <v>5</v>
      </c>
      <c r="T1740" s="1" t="n">
        <f aca="false">IF(AND($K1740=1,AND(对接源_02物料!$X540="公司筐",N(对接源_02物料!$V540)&lt;&gt;0)),1,0)</f>
        <v>0</v>
      </c>
      <c r="U1740" s="1" t="n">
        <f aca="false">N(U1739)+$T1740</f>
        <v>28</v>
      </c>
      <c r="V1740" s="1" t="n">
        <f aca="false">IF(AND($L1740=1,AND(对接源_02物料!$X540="自备筐",N(对接源_02物料!$V540)&lt;&gt;0)),1,0)</f>
        <v>0</v>
      </c>
      <c r="W1740" s="1" t="n">
        <f aca="false">N(W1739)+$V1740</f>
        <v>7</v>
      </c>
      <c r="X1740" s="1" t="n">
        <f aca="false">IF(AND($L1740=1,AND(对接源_02物料!$X540="自备筐",N(对接源_02物料!$T540)&lt;&gt;0)),1,0)</f>
        <v>0</v>
      </c>
      <c r="Y1740" s="1" t="n">
        <f aca="false">N(Y1739)+$X1740</f>
        <v>0</v>
      </c>
      <c r="Z1740" s="1" t="n">
        <f aca="false">IF(AND($M1740=1,对接源_02物料!$D540="原料入库"),1,0)</f>
        <v>0</v>
      </c>
      <c r="AA1740" s="1" t="n">
        <f aca="false">N(AA1739)+$Z1740</f>
        <v>30</v>
      </c>
      <c r="AB1740" s="1" t="n">
        <f aca="false">IF(AND($M1740=1,LEFT(对接源_02物料!$D540,4)="原料出库"),1,0)</f>
        <v>0</v>
      </c>
      <c r="AC1740" s="1" t="n">
        <f aca="false">N(AC1739)+$AB1740</f>
        <v>19</v>
      </c>
      <c r="AD1740" s="1" t="n">
        <f aca="false">IF(AND($M1740=1,LEFT(对接源_02物料!$D540,4)="成品出库"),1,0)</f>
        <v>0</v>
      </c>
      <c r="AE1740" s="1" t="n">
        <f aca="false">N(AE1739)+$AD1740</f>
        <v>38</v>
      </c>
      <c r="AF1740" s="1" t="n">
        <f aca="false">IF(AND($N1740=1,AND(LEFT(对接源_02物料!$D540,4)="包装物料",N(对接源_02物料!$K540)&lt;&gt;0)),1,0)</f>
        <v>0</v>
      </c>
      <c r="AG1740" s="1" t="n">
        <f aca="false">N(AG1739)+$AF1740</f>
        <v>6</v>
      </c>
      <c r="AH1740" s="1" t="n">
        <f aca="false">IF(AND($N1740=1,AND(LEFT(对接源_02物料!$D540,3)="周转筐",N(对接源_02物料!$K540)&lt;&gt;0)),1,0)</f>
        <v>0</v>
      </c>
      <c r="AI1740" s="1" t="n">
        <f aca="false">N(AI1739)+$AH1740</f>
        <v>0</v>
      </c>
      <c r="AJ1740" s="1" t="n">
        <v>0</v>
      </c>
      <c r="AK1740" s="1" t="n">
        <f aca="false">N(AK1739)+$AJ1740</f>
        <v>3672</v>
      </c>
    </row>
    <row r="1741" customFormat="false" ht="13.5" hidden="false" customHeight="false" outlineLevel="0" collapsed="false">
      <c r="A1741" s="1" t="str">
        <f aca="false">IF(对接源_02物料!$C541="","",对接源_02物料!$C541)</f>
        <v/>
      </c>
      <c r="B1741" s="1" t="n">
        <f aca="false">IF(A1741="",0,IF(MATCH(A1741,$A$4:$A$2403,0)=ROW()-3,1,0))</f>
        <v>0</v>
      </c>
      <c r="C1741" s="1" t="n">
        <f aca="false">N(C1740)+B1741</f>
        <v>17</v>
      </c>
      <c r="K1741" s="1" t="n">
        <f aca="false">IF(OR($K$1="",对接源_02物料!$C541="",对接源_02物料!$C541&lt;&gt;$K$1,对接源_02物料!$B541=""),0,IF(OR(N(对接源_02物料!$B541)&lt;$K$2,N(对接源_02物料!$B541)&gt;$K$3),0,1))</f>
        <v>0</v>
      </c>
      <c r="L1741" s="1" t="n">
        <f aca="false">IF(OR($L$1="",对接源_02物料!$C541="",对接源_02物料!$C541&lt;&gt;$L$1,对接源_02物料!$B541=""),0,IF(OR(N(对接源_02物料!$B541)&lt;$L$2,N(对接源_02物料!$B541)&gt;$L$3),0,1))</f>
        <v>0</v>
      </c>
      <c r="M1741" s="1" t="n">
        <f aca="false">IF(OR($M$1="",对接源_02物料!$C541="",对接源_02物料!$C541&lt;&gt;$M$1,对接源_02物料!$B541=""),0,IF(OR(N(对接源_02物料!$B541)&lt;$M$2,N(对接源_02物料!$B541)&gt;$M$3),0,1))</f>
        <v>0</v>
      </c>
      <c r="N1741" s="1" t="n">
        <f aca="false">IF(OR($N$1="",对接源_02物料!$C541="",对接源_02物料!$C541&lt;&gt;$N$1,对接源_02物料!$B541=""),0,IF(OR(N(对接源_02物料!$B541)&lt;$N$2,N(对接源_02物料!$B541)&gt;$N$3),0,1))</f>
        <v>0</v>
      </c>
      <c r="P1741" s="1" t="n">
        <f aca="false">IF(AND($K1741=1,AND(对接源_02物料!$X541="公司筐",N(对接源_02物料!$T541)&lt;&gt;0)),1,0)</f>
        <v>0</v>
      </c>
      <c r="Q1741" s="1" t="n">
        <f aca="false">N(Q1740)+$P1741</f>
        <v>13</v>
      </c>
      <c r="R1741" s="1" t="n">
        <f aca="false">IF(AND($K1741=1,AND(对接源_02物料!$X541="公司筐",N(对接源_02物料!$U541)&lt;&gt;0)),1,0)</f>
        <v>0</v>
      </c>
      <c r="S1741" s="1" t="n">
        <f aca="false">N(S1740)+$R1741</f>
        <v>5</v>
      </c>
      <c r="T1741" s="1" t="n">
        <f aca="false">IF(AND($K1741=1,AND(对接源_02物料!$X541="公司筐",N(对接源_02物料!$V541)&lt;&gt;0)),1,0)</f>
        <v>0</v>
      </c>
      <c r="U1741" s="1" t="n">
        <f aca="false">N(U1740)+$T1741</f>
        <v>28</v>
      </c>
      <c r="V1741" s="1" t="n">
        <f aca="false">IF(AND($L1741=1,AND(对接源_02物料!$X541="自备筐",N(对接源_02物料!$V541)&lt;&gt;0)),1,0)</f>
        <v>0</v>
      </c>
      <c r="W1741" s="1" t="n">
        <f aca="false">N(W1740)+$V1741</f>
        <v>7</v>
      </c>
      <c r="X1741" s="1" t="n">
        <f aca="false">IF(AND($L1741=1,AND(对接源_02物料!$X541="自备筐",N(对接源_02物料!$T541)&lt;&gt;0)),1,0)</f>
        <v>0</v>
      </c>
      <c r="Y1741" s="1" t="n">
        <f aca="false">N(Y1740)+$X1741</f>
        <v>0</v>
      </c>
      <c r="Z1741" s="1" t="n">
        <f aca="false">IF(AND($M1741=1,对接源_02物料!$D541="原料入库"),1,0)</f>
        <v>0</v>
      </c>
      <c r="AA1741" s="1" t="n">
        <f aca="false">N(AA1740)+$Z1741</f>
        <v>30</v>
      </c>
      <c r="AB1741" s="1" t="n">
        <f aca="false">IF(AND($M1741=1,LEFT(对接源_02物料!$D541,4)="原料出库"),1,0)</f>
        <v>0</v>
      </c>
      <c r="AC1741" s="1" t="n">
        <f aca="false">N(AC1740)+$AB1741</f>
        <v>19</v>
      </c>
      <c r="AD1741" s="1" t="n">
        <f aca="false">IF(AND($M1741=1,LEFT(对接源_02物料!$D541,4)="成品出库"),1,0)</f>
        <v>0</v>
      </c>
      <c r="AE1741" s="1" t="n">
        <f aca="false">N(AE1740)+$AD1741</f>
        <v>38</v>
      </c>
      <c r="AF1741" s="1" t="n">
        <f aca="false">IF(AND($N1741=1,AND(LEFT(对接源_02物料!$D541,4)="包装物料",N(对接源_02物料!$K541)&lt;&gt;0)),1,0)</f>
        <v>0</v>
      </c>
      <c r="AG1741" s="1" t="n">
        <f aca="false">N(AG1740)+$AF1741</f>
        <v>6</v>
      </c>
      <c r="AH1741" s="1" t="n">
        <f aca="false">IF(AND($N1741=1,AND(LEFT(对接源_02物料!$D541,3)="周转筐",N(对接源_02物料!$K541)&lt;&gt;0)),1,0)</f>
        <v>0</v>
      </c>
      <c r="AI1741" s="1" t="n">
        <f aca="false">N(AI1740)+$AH1741</f>
        <v>0</v>
      </c>
      <c r="AJ1741" s="1" t="n">
        <v>0</v>
      </c>
      <c r="AK1741" s="1" t="n">
        <f aca="false">N(AK1740)+$AJ1741</f>
        <v>3672</v>
      </c>
    </row>
    <row r="1742" customFormat="false" ht="13.5" hidden="false" customHeight="false" outlineLevel="0" collapsed="false">
      <c r="A1742" s="1" t="str">
        <f aca="false">IF(对接源_02物料!$C542="","",对接源_02物料!$C542)</f>
        <v/>
      </c>
      <c r="B1742" s="1" t="n">
        <f aca="false">IF(A1742="",0,IF(MATCH(A1742,$A$4:$A$2403,0)=ROW()-3,1,0))</f>
        <v>0</v>
      </c>
      <c r="C1742" s="1" t="n">
        <f aca="false">N(C1741)+B1742</f>
        <v>17</v>
      </c>
      <c r="K1742" s="1" t="n">
        <f aca="false">IF(OR($K$1="",对接源_02物料!$C542="",对接源_02物料!$C542&lt;&gt;$K$1,对接源_02物料!$B542=""),0,IF(OR(N(对接源_02物料!$B542)&lt;$K$2,N(对接源_02物料!$B542)&gt;$K$3),0,1))</f>
        <v>0</v>
      </c>
      <c r="L1742" s="1" t="n">
        <f aca="false">IF(OR($L$1="",对接源_02物料!$C542="",对接源_02物料!$C542&lt;&gt;$L$1,对接源_02物料!$B542=""),0,IF(OR(N(对接源_02物料!$B542)&lt;$L$2,N(对接源_02物料!$B542)&gt;$L$3),0,1))</f>
        <v>0</v>
      </c>
      <c r="M1742" s="1" t="n">
        <f aca="false">IF(OR($M$1="",对接源_02物料!$C542="",对接源_02物料!$C542&lt;&gt;$M$1,对接源_02物料!$B542=""),0,IF(OR(N(对接源_02物料!$B542)&lt;$M$2,N(对接源_02物料!$B542)&gt;$M$3),0,1))</f>
        <v>0</v>
      </c>
      <c r="N1742" s="1" t="n">
        <f aca="false">IF(OR($N$1="",对接源_02物料!$C542="",对接源_02物料!$C542&lt;&gt;$N$1,对接源_02物料!$B542=""),0,IF(OR(N(对接源_02物料!$B542)&lt;$N$2,N(对接源_02物料!$B542)&gt;$N$3),0,1))</f>
        <v>0</v>
      </c>
      <c r="P1742" s="1" t="n">
        <f aca="false">IF(AND($K1742=1,AND(对接源_02物料!$X542="公司筐",N(对接源_02物料!$T542)&lt;&gt;0)),1,0)</f>
        <v>0</v>
      </c>
      <c r="Q1742" s="1" t="n">
        <f aca="false">N(Q1741)+$P1742</f>
        <v>13</v>
      </c>
      <c r="R1742" s="1" t="n">
        <f aca="false">IF(AND($K1742=1,AND(对接源_02物料!$X542="公司筐",N(对接源_02物料!$U542)&lt;&gt;0)),1,0)</f>
        <v>0</v>
      </c>
      <c r="S1742" s="1" t="n">
        <f aca="false">N(S1741)+$R1742</f>
        <v>5</v>
      </c>
      <c r="T1742" s="1" t="n">
        <f aca="false">IF(AND($K1742=1,AND(对接源_02物料!$X542="公司筐",N(对接源_02物料!$V542)&lt;&gt;0)),1,0)</f>
        <v>0</v>
      </c>
      <c r="U1742" s="1" t="n">
        <f aca="false">N(U1741)+$T1742</f>
        <v>28</v>
      </c>
      <c r="V1742" s="1" t="n">
        <f aca="false">IF(AND($L1742=1,AND(对接源_02物料!$X542="自备筐",N(对接源_02物料!$V542)&lt;&gt;0)),1,0)</f>
        <v>0</v>
      </c>
      <c r="W1742" s="1" t="n">
        <f aca="false">N(W1741)+$V1742</f>
        <v>7</v>
      </c>
      <c r="X1742" s="1" t="n">
        <f aca="false">IF(AND($L1742=1,AND(对接源_02物料!$X542="自备筐",N(对接源_02物料!$T542)&lt;&gt;0)),1,0)</f>
        <v>0</v>
      </c>
      <c r="Y1742" s="1" t="n">
        <f aca="false">N(Y1741)+$X1742</f>
        <v>0</v>
      </c>
      <c r="Z1742" s="1" t="n">
        <f aca="false">IF(AND($M1742=1,对接源_02物料!$D542="原料入库"),1,0)</f>
        <v>0</v>
      </c>
      <c r="AA1742" s="1" t="n">
        <f aca="false">N(AA1741)+$Z1742</f>
        <v>30</v>
      </c>
      <c r="AB1742" s="1" t="n">
        <f aca="false">IF(AND($M1742=1,LEFT(对接源_02物料!$D542,4)="原料出库"),1,0)</f>
        <v>0</v>
      </c>
      <c r="AC1742" s="1" t="n">
        <f aca="false">N(AC1741)+$AB1742</f>
        <v>19</v>
      </c>
      <c r="AD1742" s="1" t="n">
        <f aca="false">IF(AND($M1742=1,LEFT(对接源_02物料!$D542,4)="成品出库"),1,0)</f>
        <v>0</v>
      </c>
      <c r="AE1742" s="1" t="n">
        <f aca="false">N(AE1741)+$AD1742</f>
        <v>38</v>
      </c>
      <c r="AF1742" s="1" t="n">
        <f aca="false">IF(AND($N1742=1,AND(LEFT(对接源_02物料!$D542,4)="包装物料",N(对接源_02物料!$K542)&lt;&gt;0)),1,0)</f>
        <v>0</v>
      </c>
      <c r="AG1742" s="1" t="n">
        <f aca="false">N(AG1741)+$AF1742</f>
        <v>6</v>
      </c>
      <c r="AH1742" s="1" t="n">
        <f aca="false">IF(AND($N1742=1,AND(LEFT(对接源_02物料!$D542,3)="周转筐",N(对接源_02物料!$K542)&lt;&gt;0)),1,0)</f>
        <v>0</v>
      </c>
      <c r="AI1742" s="1" t="n">
        <f aca="false">N(AI1741)+$AH1742</f>
        <v>0</v>
      </c>
      <c r="AJ1742" s="1" t="n">
        <v>0</v>
      </c>
      <c r="AK1742" s="1" t="n">
        <f aca="false">N(AK1741)+$AJ1742</f>
        <v>3672</v>
      </c>
    </row>
    <row r="1743" customFormat="false" ht="13.5" hidden="false" customHeight="false" outlineLevel="0" collapsed="false">
      <c r="A1743" s="1" t="str">
        <f aca="false">IF(对接源_02物料!$C543="","",对接源_02物料!$C543)</f>
        <v/>
      </c>
      <c r="B1743" s="1" t="n">
        <f aca="false">IF(A1743="",0,IF(MATCH(A1743,$A$4:$A$2403,0)=ROW()-3,1,0))</f>
        <v>0</v>
      </c>
      <c r="C1743" s="1" t="n">
        <f aca="false">N(C1742)+B1743</f>
        <v>17</v>
      </c>
      <c r="K1743" s="1" t="n">
        <f aca="false">IF(OR($K$1="",对接源_02物料!$C543="",对接源_02物料!$C543&lt;&gt;$K$1,对接源_02物料!$B543=""),0,IF(OR(N(对接源_02物料!$B543)&lt;$K$2,N(对接源_02物料!$B543)&gt;$K$3),0,1))</f>
        <v>0</v>
      </c>
      <c r="L1743" s="1" t="n">
        <f aca="false">IF(OR($L$1="",对接源_02物料!$C543="",对接源_02物料!$C543&lt;&gt;$L$1,对接源_02物料!$B543=""),0,IF(OR(N(对接源_02物料!$B543)&lt;$L$2,N(对接源_02物料!$B543)&gt;$L$3),0,1))</f>
        <v>0</v>
      </c>
      <c r="M1743" s="1" t="n">
        <f aca="false">IF(OR($M$1="",对接源_02物料!$C543="",对接源_02物料!$C543&lt;&gt;$M$1,对接源_02物料!$B543=""),0,IF(OR(N(对接源_02物料!$B543)&lt;$M$2,N(对接源_02物料!$B543)&gt;$M$3),0,1))</f>
        <v>0</v>
      </c>
      <c r="N1743" s="1" t="n">
        <f aca="false">IF(OR($N$1="",对接源_02物料!$C543="",对接源_02物料!$C543&lt;&gt;$N$1,对接源_02物料!$B543=""),0,IF(OR(N(对接源_02物料!$B543)&lt;$N$2,N(对接源_02物料!$B543)&gt;$N$3),0,1))</f>
        <v>0</v>
      </c>
      <c r="P1743" s="1" t="n">
        <f aca="false">IF(AND($K1743=1,AND(对接源_02物料!$X543="公司筐",N(对接源_02物料!$T543)&lt;&gt;0)),1,0)</f>
        <v>0</v>
      </c>
      <c r="Q1743" s="1" t="n">
        <f aca="false">N(Q1742)+$P1743</f>
        <v>13</v>
      </c>
      <c r="R1743" s="1" t="n">
        <f aca="false">IF(AND($K1743=1,AND(对接源_02物料!$X543="公司筐",N(对接源_02物料!$U543)&lt;&gt;0)),1,0)</f>
        <v>0</v>
      </c>
      <c r="S1743" s="1" t="n">
        <f aca="false">N(S1742)+$R1743</f>
        <v>5</v>
      </c>
      <c r="T1743" s="1" t="n">
        <f aca="false">IF(AND($K1743=1,AND(对接源_02物料!$X543="公司筐",N(对接源_02物料!$V543)&lt;&gt;0)),1,0)</f>
        <v>0</v>
      </c>
      <c r="U1743" s="1" t="n">
        <f aca="false">N(U1742)+$T1743</f>
        <v>28</v>
      </c>
      <c r="V1743" s="1" t="n">
        <f aca="false">IF(AND($L1743=1,AND(对接源_02物料!$X543="自备筐",N(对接源_02物料!$V543)&lt;&gt;0)),1,0)</f>
        <v>0</v>
      </c>
      <c r="W1743" s="1" t="n">
        <f aca="false">N(W1742)+$V1743</f>
        <v>7</v>
      </c>
      <c r="X1743" s="1" t="n">
        <f aca="false">IF(AND($L1743=1,AND(对接源_02物料!$X543="自备筐",N(对接源_02物料!$T543)&lt;&gt;0)),1,0)</f>
        <v>0</v>
      </c>
      <c r="Y1743" s="1" t="n">
        <f aca="false">N(Y1742)+$X1743</f>
        <v>0</v>
      </c>
      <c r="Z1743" s="1" t="n">
        <f aca="false">IF(AND($M1743=1,对接源_02物料!$D543="原料入库"),1,0)</f>
        <v>0</v>
      </c>
      <c r="AA1743" s="1" t="n">
        <f aca="false">N(AA1742)+$Z1743</f>
        <v>30</v>
      </c>
      <c r="AB1743" s="1" t="n">
        <f aca="false">IF(AND($M1743=1,LEFT(对接源_02物料!$D543,4)="原料出库"),1,0)</f>
        <v>0</v>
      </c>
      <c r="AC1743" s="1" t="n">
        <f aca="false">N(AC1742)+$AB1743</f>
        <v>19</v>
      </c>
      <c r="AD1743" s="1" t="n">
        <f aca="false">IF(AND($M1743=1,LEFT(对接源_02物料!$D543,4)="成品出库"),1,0)</f>
        <v>0</v>
      </c>
      <c r="AE1743" s="1" t="n">
        <f aca="false">N(AE1742)+$AD1743</f>
        <v>38</v>
      </c>
      <c r="AF1743" s="1" t="n">
        <f aca="false">IF(AND($N1743=1,AND(LEFT(对接源_02物料!$D543,4)="包装物料",N(对接源_02物料!$K543)&lt;&gt;0)),1,0)</f>
        <v>0</v>
      </c>
      <c r="AG1743" s="1" t="n">
        <f aca="false">N(AG1742)+$AF1743</f>
        <v>6</v>
      </c>
      <c r="AH1743" s="1" t="n">
        <f aca="false">IF(AND($N1743=1,AND(LEFT(对接源_02物料!$D543,3)="周转筐",N(对接源_02物料!$K543)&lt;&gt;0)),1,0)</f>
        <v>0</v>
      </c>
      <c r="AI1743" s="1" t="n">
        <f aca="false">N(AI1742)+$AH1743</f>
        <v>0</v>
      </c>
      <c r="AJ1743" s="1" t="n">
        <v>0</v>
      </c>
      <c r="AK1743" s="1" t="n">
        <f aca="false">N(AK1742)+$AJ1743</f>
        <v>3672</v>
      </c>
    </row>
    <row r="1744" customFormat="false" ht="13.5" hidden="false" customHeight="false" outlineLevel="0" collapsed="false">
      <c r="A1744" s="1" t="str">
        <f aca="false">IF(对接源_02物料!$C544="","",对接源_02物料!$C544)</f>
        <v/>
      </c>
      <c r="B1744" s="1" t="n">
        <f aca="false">IF(A1744="",0,IF(MATCH(A1744,$A$4:$A$2403,0)=ROW()-3,1,0))</f>
        <v>0</v>
      </c>
      <c r="C1744" s="1" t="n">
        <f aca="false">N(C1743)+B1744</f>
        <v>17</v>
      </c>
      <c r="K1744" s="1" t="n">
        <f aca="false">IF(OR($K$1="",对接源_02物料!$C544="",对接源_02物料!$C544&lt;&gt;$K$1,对接源_02物料!$B544=""),0,IF(OR(N(对接源_02物料!$B544)&lt;$K$2,N(对接源_02物料!$B544)&gt;$K$3),0,1))</f>
        <v>0</v>
      </c>
      <c r="L1744" s="1" t="n">
        <f aca="false">IF(OR($L$1="",对接源_02物料!$C544="",对接源_02物料!$C544&lt;&gt;$L$1,对接源_02物料!$B544=""),0,IF(OR(N(对接源_02物料!$B544)&lt;$L$2,N(对接源_02物料!$B544)&gt;$L$3),0,1))</f>
        <v>0</v>
      </c>
      <c r="M1744" s="1" t="n">
        <f aca="false">IF(OR($M$1="",对接源_02物料!$C544="",对接源_02物料!$C544&lt;&gt;$M$1,对接源_02物料!$B544=""),0,IF(OR(N(对接源_02物料!$B544)&lt;$M$2,N(对接源_02物料!$B544)&gt;$M$3),0,1))</f>
        <v>0</v>
      </c>
      <c r="N1744" s="1" t="n">
        <f aca="false">IF(OR($N$1="",对接源_02物料!$C544="",对接源_02物料!$C544&lt;&gt;$N$1,对接源_02物料!$B544=""),0,IF(OR(N(对接源_02物料!$B544)&lt;$N$2,N(对接源_02物料!$B544)&gt;$N$3),0,1))</f>
        <v>0</v>
      </c>
      <c r="P1744" s="1" t="n">
        <f aca="false">IF(AND($K1744=1,AND(对接源_02物料!$X544="公司筐",N(对接源_02物料!$T544)&lt;&gt;0)),1,0)</f>
        <v>0</v>
      </c>
      <c r="Q1744" s="1" t="n">
        <f aca="false">N(Q1743)+$P1744</f>
        <v>13</v>
      </c>
      <c r="R1744" s="1" t="n">
        <f aca="false">IF(AND($K1744=1,AND(对接源_02物料!$X544="公司筐",N(对接源_02物料!$U544)&lt;&gt;0)),1,0)</f>
        <v>0</v>
      </c>
      <c r="S1744" s="1" t="n">
        <f aca="false">N(S1743)+$R1744</f>
        <v>5</v>
      </c>
      <c r="T1744" s="1" t="n">
        <f aca="false">IF(AND($K1744=1,AND(对接源_02物料!$X544="公司筐",N(对接源_02物料!$V544)&lt;&gt;0)),1,0)</f>
        <v>0</v>
      </c>
      <c r="U1744" s="1" t="n">
        <f aca="false">N(U1743)+$T1744</f>
        <v>28</v>
      </c>
      <c r="V1744" s="1" t="n">
        <f aca="false">IF(AND($L1744=1,AND(对接源_02物料!$X544="自备筐",N(对接源_02物料!$V544)&lt;&gt;0)),1,0)</f>
        <v>0</v>
      </c>
      <c r="W1744" s="1" t="n">
        <f aca="false">N(W1743)+$V1744</f>
        <v>7</v>
      </c>
      <c r="X1744" s="1" t="n">
        <f aca="false">IF(AND($L1744=1,AND(对接源_02物料!$X544="自备筐",N(对接源_02物料!$T544)&lt;&gt;0)),1,0)</f>
        <v>0</v>
      </c>
      <c r="Y1744" s="1" t="n">
        <f aca="false">N(Y1743)+$X1744</f>
        <v>0</v>
      </c>
      <c r="Z1744" s="1" t="n">
        <f aca="false">IF(AND($M1744=1,对接源_02物料!$D544="原料入库"),1,0)</f>
        <v>0</v>
      </c>
      <c r="AA1744" s="1" t="n">
        <f aca="false">N(AA1743)+$Z1744</f>
        <v>30</v>
      </c>
      <c r="AB1744" s="1" t="n">
        <f aca="false">IF(AND($M1744=1,LEFT(对接源_02物料!$D544,4)="原料出库"),1,0)</f>
        <v>0</v>
      </c>
      <c r="AC1744" s="1" t="n">
        <f aca="false">N(AC1743)+$AB1744</f>
        <v>19</v>
      </c>
      <c r="AD1744" s="1" t="n">
        <f aca="false">IF(AND($M1744=1,LEFT(对接源_02物料!$D544,4)="成品出库"),1,0)</f>
        <v>0</v>
      </c>
      <c r="AE1744" s="1" t="n">
        <f aca="false">N(AE1743)+$AD1744</f>
        <v>38</v>
      </c>
      <c r="AF1744" s="1" t="n">
        <f aca="false">IF(AND($N1744=1,AND(LEFT(对接源_02物料!$D544,4)="包装物料",N(对接源_02物料!$K544)&lt;&gt;0)),1,0)</f>
        <v>0</v>
      </c>
      <c r="AG1744" s="1" t="n">
        <f aca="false">N(AG1743)+$AF1744</f>
        <v>6</v>
      </c>
      <c r="AH1744" s="1" t="n">
        <f aca="false">IF(AND($N1744=1,AND(LEFT(对接源_02物料!$D544,3)="周转筐",N(对接源_02物料!$K544)&lt;&gt;0)),1,0)</f>
        <v>0</v>
      </c>
      <c r="AI1744" s="1" t="n">
        <f aca="false">N(AI1743)+$AH1744</f>
        <v>0</v>
      </c>
      <c r="AJ1744" s="1" t="n">
        <v>0</v>
      </c>
      <c r="AK1744" s="1" t="n">
        <f aca="false">N(AK1743)+$AJ1744</f>
        <v>3672</v>
      </c>
    </row>
    <row r="1745" customFormat="false" ht="13.5" hidden="false" customHeight="false" outlineLevel="0" collapsed="false">
      <c r="A1745" s="1" t="str">
        <f aca="false">IF(对接源_02物料!$C545="","",对接源_02物料!$C545)</f>
        <v/>
      </c>
      <c r="B1745" s="1" t="n">
        <f aca="false">IF(A1745="",0,IF(MATCH(A1745,$A$4:$A$2403,0)=ROW()-3,1,0))</f>
        <v>0</v>
      </c>
      <c r="C1745" s="1" t="n">
        <f aca="false">N(C1744)+B1745</f>
        <v>17</v>
      </c>
      <c r="K1745" s="1" t="n">
        <f aca="false">IF(OR($K$1="",对接源_02物料!$C545="",对接源_02物料!$C545&lt;&gt;$K$1,对接源_02物料!$B545=""),0,IF(OR(N(对接源_02物料!$B545)&lt;$K$2,N(对接源_02物料!$B545)&gt;$K$3),0,1))</f>
        <v>0</v>
      </c>
      <c r="L1745" s="1" t="n">
        <f aca="false">IF(OR($L$1="",对接源_02物料!$C545="",对接源_02物料!$C545&lt;&gt;$L$1,对接源_02物料!$B545=""),0,IF(OR(N(对接源_02物料!$B545)&lt;$L$2,N(对接源_02物料!$B545)&gt;$L$3),0,1))</f>
        <v>0</v>
      </c>
      <c r="M1745" s="1" t="n">
        <f aca="false">IF(OR($M$1="",对接源_02物料!$C545="",对接源_02物料!$C545&lt;&gt;$M$1,对接源_02物料!$B545=""),0,IF(OR(N(对接源_02物料!$B545)&lt;$M$2,N(对接源_02物料!$B545)&gt;$M$3),0,1))</f>
        <v>0</v>
      </c>
      <c r="N1745" s="1" t="n">
        <f aca="false">IF(OR($N$1="",对接源_02物料!$C545="",对接源_02物料!$C545&lt;&gt;$N$1,对接源_02物料!$B545=""),0,IF(OR(N(对接源_02物料!$B545)&lt;$N$2,N(对接源_02物料!$B545)&gt;$N$3),0,1))</f>
        <v>0</v>
      </c>
      <c r="P1745" s="1" t="n">
        <f aca="false">IF(AND($K1745=1,AND(对接源_02物料!$X545="公司筐",N(对接源_02物料!$T545)&lt;&gt;0)),1,0)</f>
        <v>0</v>
      </c>
      <c r="Q1745" s="1" t="n">
        <f aca="false">N(Q1744)+$P1745</f>
        <v>13</v>
      </c>
      <c r="R1745" s="1" t="n">
        <f aca="false">IF(AND($K1745=1,AND(对接源_02物料!$X545="公司筐",N(对接源_02物料!$U545)&lt;&gt;0)),1,0)</f>
        <v>0</v>
      </c>
      <c r="S1745" s="1" t="n">
        <f aca="false">N(S1744)+$R1745</f>
        <v>5</v>
      </c>
      <c r="T1745" s="1" t="n">
        <f aca="false">IF(AND($K1745=1,AND(对接源_02物料!$X545="公司筐",N(对接源_02物料!$V545)&lt;&gt;0)),1,0)</f>
        <v>0</v>
      </c>
      <c r="U1745" s="1" t="n">
        <f aca="false">N(U1744)+$T1745</f>
        <v>28</v>
      </c>
      <c r="V1745" s="1" t="n">
        <f aca="false">IF(AND($L1745=1,AND(对接源_02物料!$X545="自备筐",N(对接源_02物料!$V545)&lt;&gt;0)),1,0)</f>
        <v>0</v>
      </c>
      <c r="W1745" s="1" t="n">
        <f aca="false">N(W1744)+$V1745</f>
        <v>7</v>
      </c>
      <c r="X1745" s="1" t="n">
        <f aca="false">IF(AND($L1745=1,AND(对接源_02物料!$X545="自备筐",N(对接源_02物料!$T545)&lt;&gt;0)),1,0)</f>
        <v>0</v>
      </c>
      <c r="Y1745" s="1" t="n">
        <f aca="false">N(Y1744)+$X1745</f>
        <v>0</v>
      </c>
      <c r="Z1745" s="1" t="n">
        <f aca="false">IF(AND($M1745=1,对接源_02物料!$D545="原料入库"),1,0)</f>
        <v>0</v>
      </c>
      <c r="AA1745" s="1" t="n">
        <f aca="false">N(AA1744)+$Z1745</f>
        <v>30</v>
      </c>
      <c r="AB1745" s="1" t="n">
        <f aca="false">IF(AND($M1745=1,LEFT(对接源_02物料!$D545,4)="原料出库"),1,0)</f>
        <v>0</v>
      </c>
      <c r="AC1745" s="1" t="n">
        <f aca="false">N(AC1744)+$AB1745</f>
        <v>19</v>
      </c>
      <c r="AD1745" s="1" t="n">
        <f aca="false">IF(AND($M1745=1,LEFT(对接源_02物料!$D545,4)="成品出库"),1,0)</f>
        <v>0</v>
      </c>
      <c r="AE1745" s="1" t="n">
        <f aca="false">N(AE1744)+$AD1745</f>
        <v>38</v>
      </c>
      <c r="AF1745" s="1" t="n">
        <f aca="false">IF(AND($N1745=1,AND(LEFT(对接源_02物料!$D545,4)="包装物料",N(对接源_02物料!$K545)&lt;&gt;0)),1,0)</f>
        <v>0</v>
      </c>
      <c r="AG1745" s="1" t="n">
        <f aca="false">N(AG1744)+$AF1745</f>
        <v>6</v>
      </c>
      <c r="AH1745" s="1" t="n">
        <f aca="false">IF(AND($N1745=1,AND(LEFT(对接源_02物料!$D545,3)="周转筐",N(对接源_02物料!$K545)&lt;&gt;0)),1,0)</f>
        <v>0</v>
      </c>
      <c r="AI1745" s="1" t="n">
        <f aca="false">N(AI1744)+$AH1745</f>
        <v>0</v>
      </c>
      <c r="AJ1745" s="1" t="n">
        <v>0</v>
      </c>
      <c r="AK1745" s="1" t="n">
        <f aca="false">N(AK1744)+$AJ1745</f>
        <v>3672</v>
      </c>
    </row>
    <row r="1746" customFormat="false" ht="13.5" hidden="false" customHeight="false" outlineLevel="0" collapsed="false">
      <c r="A1746" s="1" t="str">
        <f aca="false">IF(对接源_02物料!$C546="","",对接源_02物料!$C546)</f>
        <v/>
      </c>
      <c r="B1746" s="1" t="n">
        <f aca="false">IF(A1746="",0,IF(MATCH(A1746,$A$4:$A$2403,0)=ROW()-3,1,0))</f>
        <v>0</v>
      </c>
      <c r="C1746" s="1" t="n">
        <f aca="false">N(C1745)+B1746</f>
        <v>17</v>
      </c>
      <c r="K1746" s="1" t="n">
        <f aca="false">IF(OR($K$1="",对接源_02物料!$C546="",对接源_02物料!$C546&lt;&gt;$K$1,对接源_02物料!$B546=""),0,IF(OR(N(对接源_02物料!$B546)&lt;$K$2,N(对接源_02物料!$B546)&gt;$K$3),0,1))</f>
        <v>0</v>
      </c>
      <c r="L1746" s="1" t="n">
        <f aca="false">IF(OR($L$1="",对接源_02物料!$C546="",对接源_02物料!$C546&lt;&gt;$L$1,对接源_02物料!$B546=""),0,IF(OR(N(对接源_02物料!$B546)&lt;$L$2,N(对接源_02物料!$B546)&gt;$L$3),0,1))</f>
        <v>0</v>
      </c>
      <c r="M1746" s="1" t="n">
        <f aca="false">IF(OR($M$1="",对接源_02物料!$C546="",对接源_02物料!$C546&lt;&gt;$M$1,对接源_02物料!$B546=""),0,IF(OR(N(对接源_02物料!$B546)&lt;$M$2,N(对接源_02物料!$B546)&gt;$M$3),0,1))</f>
        <v>0</v>
      </c>
      <c r="N1746" s="1" t="n">
        <f aca="false">IF(OR($N$1="",对接源_02物料!$C546="",对接源_02物料!$C546&lt;&gt;$N$1,对接源_02物料!$B546=""),0,IF(OR(N(对接源_02物料!$B546)&lt;$N$2,N(对接源_02物料!$B546)&gt;$N$3),0,1))</f>
        <v>0</v>
      </c>
      <c r="P1746" s="1" t="n">
        <f aca="false">IF(AND($K1746=1,AND(对接源_02物料!$X546="公司筐",N(对接源_02物料!$T546)&lt;&gt;0)),1,0)</f>
        <v>0</v>
      </c>
      <c r="Q1746" s="1" t="n">
        <f aca="false">N(Q1745)+$P1746</f>
        <v>13</v>
      </c>
      <c r="R1746" s="1" t="n">
        <f aca="false">IF(AND($K1746=1,AND(对接源_02物料!$X546="公司筐",N(对接源_02物料!$U546)&lt;&gt;0)),1,0)</f>
        <v>0</v>
      </c>
      <c r="S1746" s="1" t="n">
        <f aca="false">N(S1745)+$R1746</f>
        <v>5</v>
      </c>
      <c r="T1746" s="1" t="n">
        <f aca="false">IF(AND($K1746=1,AND(对接源_02物料!$X546="公司筐",N(对接源_02物料!$V546)&lt;&gt;0)),1,0)</f>
        <v>0</v>
      </c>
      <c r="U1746" s="1" t="n">
        <f aca="false">N(U1745)+$T1746</f>
        <v>28</v>
      </c>
      <c r="V1746" s="1" t="n">
        <f aca="false">IF(AND($L1746=1,AND(对接源_02物料!$X546="自备筐",N(对接源_02物料!$V546)&lt;&gt;0)),1,0)</f>
        <v>0</v>
      </c>
      <c r="W1746" s="1" t="n">
        <f aca="false">N(W1745)+$V1746</f>
        <v>7</v>
      </c>
      <c r="X1746" s="1" t="n">
        <f aca="false">IF(AND($L1746=1,AND(对接源_02物料!$X546="自备筐",N(对接源_02物料!$T546)&lt;&gt;0)),1,0)</f>
        <v>0</v>
      </c>
      <c r="Y1746" s="1" t="n">
        <f aca="false">N(Y1745)+$X1746</f>
        <v>0</v>
      </c>
      <c r="Z1746" s="1" t="n">
        <f aca="false">IF(AND($M1746=1,对接源_02物料!$D546="原料入库"),1,0)</f>
        <v>0</v>
      </c>
      <c r="AA1746" s="1" t="n">
        <f aca="false">N(AA1745)+$Z1746</f>
        <v>30</v>
      </c>
      <c r="AB1746" s="1" t="n">
        <f aca="false">IF(AND($M1746=1,LEFT(对接源_02物料!$D546,4)="原料出库"),1,0)</f>
        <v>0</v>
      </c>
      <c r="AC1746" s="1" t="n">
        <f aca="false">N(AC1745)+$AB1746</f>
        <v>19</v>
      </c>
      <c r="AD1746" s="1" t="n">
        <f aca="false">IF(AND($M1746=1,LEFT(对接源_02物料!$D546,4)="成品出库"),1,0)</f>
        <v>0</v>
      </c>
      <c r="AE1746" s="1" t="n">
        <f aca="false">N(AE1745)+$AD1746</f>
        <v>38</v>
      </c>
      <c r="AF1746" s="1" t="n">
        <f aca="false">IF(AND($N1746=1,AND(LEFT(对接源_02物料!$D546,4)="包装物料",N(对接源_02物料!$K546)&lt;&gt;0)),1,0)</f>
        <v>0</v>
      </c>
      <c r="AG1746" s="1" t="n">
        <f aca="false">N(AG1745)+$AF1746</f>
        <v>6</v>
      </c>
      <c r="AH1746" s="1" t="n">
        <f aca="false">IF(AND($N1746=1,AND(LEFT(对接源_02物料!$D546,3)="周转筐",N(对接源_02物料!$K546)&lt;&gt;0)),1,0)</f>
        <v>0</v>
      </c>
      <c r="AI1746" s="1" t="n">
        <f aca="false">N(AI1745)+$AH1746</f>
        <v>0</v>
      </c>
      <c r="AJ1746" s="1" t="n">
        <v>0</v>
      </c>
      <c r="AK1746" s="1" t="n">
        <f aca="false">N(AK1745)+$AJ1746</f>
        <v>3672</v>
      </c>
    </row>
    <row r="1747" customFormat="false" ht="13.5" hidden="false" customHeight="false" outlineLevel="0" collapsed="false">
      <c r="A1747" s="1" t="str">
        <f aca="false">IF(对接源_02物料!$C547="","",对接源_02物料!$C547)</f>
        <v/>
      </c>
      <c r="B1747" s="1" t="n">
        <f aca="false">IF(A1747="",0,IF(MATCH(A1747,$A$4:$A$2403,0)=ROW()-3,1,0))</f>
        <v>0</v>
      </c>
      <c r="C1747" s="1" t="n">
        <f aca="false">N(C1746)+B1747</f>
        <v>17</v>
      </c>
      <c r="K1747" s="1" t="n">
        <f aca="false">IF(OR($K$1="",对接源_02物料!$C547="",对接源_02物料!$C547&lt;&gt;$K$1,对接源_02物料!$B547=""),0,IF(OR(N(对接源_02物料!$B547)&lt;$K$2,N(对接源_02物料!$B547)&gt;$K$3),0,1))</f>
        <v>0</v>
      </c>
      <c r="L1747" s="1" t="n">
        <f aca="false">IF(OR($L$1="",对接源_02物料!$C547="",对接源_02物料!$C547&lt;&gt;$L$1,对接源_02物料!$B547=""),0,IF(OR(N(对接源_02物料!$B547)&lt;$L$2,N(对接源_02物料!$B547)&gt;$L$3),0,1))</f>
        <v>0</v>
      </c>
      <c r="M1747" s="1" t="n">
        <f aca="false">IF(OR($M$1="",对接源_02物料!$C547="",对接源_02物料!$C547&lt;&gt;$M$1,对接源_02物料!$B547=""),0,IF(OR(N(对接源_02物料!$B547)&lt;$M$2,N(对接源_02物料!$B547)&gt;$M$3),0,1))</f>
        <v>0</v>
      </c>
      <c r="N1747" s="1" t="n">
        <f aca="false">IF(OR($N$1="",对接源_02物料!$C547="",对接源_02物料!$C547&lt;&gt;$N$1,对接源_02物料!$B547=""),0,IF(OR(N(对接源_02物料!$B547)&lt;$N$2,N(对接源_02物料!$B547)&gt;$N$3),0,1))</f>
        <v>0</v>
      </c>
      <c r="P1747" s="1" t="n">
        <f aca="false">IF(AND($K1747=1,AND(对接源_02物料!$X547="公司筐",N(对接源_02物料!$T547)&lt;&gt;0)),1,0)</f>
        <v>0</v>
      </c>
      <c r="Q1747" s="1" t="n">
        <f aca="false">N(Q1746)+$P1747</f>
        <v>13</v>
      </c>
      <c r="R1747" s="1" t="n">
        <f aca="false">IF(AND($K1747=1,AND(对接源_02物料!$X547="公司筐",N(对接源_02物料!$U547)&lt;&gt;0)),1,0)</f>
        <v>0</v>
      </c>
      <c r="S1747" s="1" t="n">
        <f aca="false">N(S1746)+$R1747</f>
        <v>5</v>
      </c>
      <c r="T1747" s="1" t="n">
        <f aca="false">IF(AND($K1747=1,AND(对接源_02物料!$X547="公司筐",N(对接源_02物料!$V547)&lt;&gt;0)),1,0)</f>
        <v>0</v>
      </c>
      <c r="U1747" s="1" t="n">
        <f aca="false">N(U1746)+$T1747</f>
        <v>28</v>
      </c>
      <c r="V1747" s="1" t="n">
        <f aca="false">IF(AND($L1747=1,AND(对接源_02物料!$X547="自备筐",N(对接源_02物料!$V547)&lt;&gt;0)),1,0)</f>
        <v>0</v>
      </c>
      <c r="W1747" s="1" t="n">
        <f aca="false">N(W1746)+$V1747</f>
        <v>7</v>
      </c>
      <c r="X1747" s="1" t="n">
        <f aca="false">IF(AND($L1747=1,AND(对接源_02物料!$X547="自备筐",N(对接源_02物料!$T547)&lt;&gt;0)),1,0)</f>
        <v>0</v>
      </c>
      <c r="Y1747" s="1" t="n">
        <f aca="false">N(Y1746)+$X1747</f>
        <v>0</v>
      </c>
      <c r="Z1747" s="1" t="n">
        <f aca="false">IF(AND($M1747=1,对接源_02物料!$D547="原料入库"),1,0)</f>
        <v>0</v>
      </c>
      <c r="AA1747" s="1" t="n">
        <f aca="false">N(AA1746)+$Z1747</f>
        <v>30</v>
      </c>
      <c r="AB1747" s="1" t="n">
        <f aca="false">IF(AND($M1747=1,LEFT(对接源_02物料!$D547,4)="原料出库"),1,0)</f>
        <v>0</v>
      </c>
      <c r="AC1747" s="1" t="n">
        <f aca="false">N(AC1746)+$AB1747</f>
        <v>19</v>
      </c>
      <c r="AD1747" s="1" t="n">
        <f aca="false">IF(AND($M1747=1,LEFT(对接源_02物料!$D547,4)="成品出库"),1,0)</f>
        <v>0</v>
      </c>
      <c r="AE1747" s="1" t="n">
        <f aca="false">N(AE1746)+$AD1747</f>
        <v>38</v>
      </c>
      <c r="AF1747" s="1" t="n">
        <f aca="false">IF(AND($N1747=1,AND(LEFT(对接源_02物料!$D547,4)="包装物料",N(对接源_02物料!$K547)&lt;&gt;0)),1,0)</f>
        <v>0</v>
      </c>
      <c r="AG1747" s="1" t="n">
        <f aca="false">N(AG1746)+$AF1747</f>
        <v>6</v>
      </c>
      <c r="AH1747" s="1" t="n">
        <f aca="false">IF(AND($N1747=1,AND(LEFT(对接源_02物料!$D547,3)="周转筐",N(对接源_02物料!$K547)&lt;&gt;0)),1,0)</f>
        <v>0</v>
      </c>
      <c r="AI1747" s="1" t="n">
        <f aca="false">N(AI1746)+$AH1747</f>
        <v>0</v>
      </c>
      <c r="AJ1747" s="1" t="n">
        <v>0</v>
      </c>
      <c r="AK1747" s="1" t="n">
        <f aca="false">N(AK1746)+$AJ1747</f>
        <v>3672</v>
      </c>
    </row>
    <row r="1748" customFormat="false" ht="13.5" hidden="false" customHeight="false" outlineLevel="0" collapsed="false">
      <c r="A1748" s="1" t="str">
        <f aca="false">IF(对接源_02物料!$C548="","",对接源_02物料!$C548)</f>
        <v/>
      </c>
      <c r="B1748" s="1" t="n">
        <f aca="false">IF(A1748="",0,IF(MATCH(A1748,$A$4:$A$2403,0)=ROW()-3,1,0))</f>
        <v>0</v>
      </c>
      <c r="C1748" s="1" t="n">
        <f aca="false">N(C1747)+B1748</f>
        <v>17</v>
      </c>
      <c r="K1748" s="1" t="n">
        <f aca="false">IF(OR($K$1="",对接源_02物料!$C548="",对接源_02物料!$C548&lt;&gt;$K$1,对接源_02物料!$B548=""),0,IF(OR(N(对接源_02物料!$B548)&lt;$K$2,N(对接源_02物料!$B548)&gt;$K$3),0,1))</f>
        <v>0</v>
      </c>
      <c r="L1748" s="1" t="n">
        <f aca="false">IF(OR($L$1="",对接源_02物料!$C548="",对接源_02物料!$C548&lt;&gt;$L$1,对接源_02物料!$B548=""),0,IF(OR(N(对接源_02物料!$B548)&lt;$L$2,N(对接源_02物料!$B548)&gt;$L$3),0,1))</f>
        <v>0</v>
      </c>
      <c r="M1748" s="1" t="n">
        <f aca="false">IF(OR($M$1="",对接源_02物料!$C548="",对接源_02物料!$C548&lt;&gt;$M$1,对接源_02物料!$B548=""),0,IF(OR(N(对接源_02物料!$B548)&lt;$M$2,N(对接源_02物料!$B548)&gt;$M$3),0,1))</f>
        <v>0</v>
      </c>
      <c r="N1748" s="1" t="n">
        <f aca="false">IF(OR($N$1="",对接源_02物料!$C548="",对接源_02物料!$C548&lt;&gt;$N$1,对接源_02物料!$B548=""),0,IF(OR(N(对接源_02物料!$B548)&lt;$N$2,N(对接源_02物料!$B548)&gt;$N$3),0,1))</f>
        <v>0</v>
      </c>
      <c r="P1748" s="1" t="n">
        <f aca="false">IF(AND($K1748=1,AND(对接源_02物料!$X548="公司筐",N(对接源_02物料!$T548)&lt;&gt;0)),1,0)</f>
        <v>0</v>
      </c>
      <c r="Q1748" s="1" t="n">
        <f aca="false">N(Q1747)+$P1748</f>
        <v>13</v>
      </c>
      <c r="R1748" s="1" t="n">
        <f aca="false">IF(AND($K1748=1,AND(对接源_02物料!$X548="公司筐",N(对接源_02物料!$U548)&lt;&gt;0)),1,0)</f>
        <v>0</v>
      </c>
      <c r="S1748" s="1" t="n">
        <f aca="false">N(S1747)+$R1748</f>
        <v>5</v>
      </c>
      <c r="T1748" s="1" t="n">
        <f aca="false">IF(AND($K1748=1,AND(对接源_02物料!$X548="公司筐",N(对接源_02物料!$V548)&lt;&gt;0)),1,0)</f>
        <v>0</v>
      </c>
      <c r="U1748" s="1" t="n">
        <f aca="false">N(U1747)+$T1748</f>
        <v>28</v>
      </c>
      <c r="V1748" s="1" t="n">
        <f aca="false">IF(AND($L1748=1,AND(对接源_02物料!$X548="自备筐",N(对接源_02物料!$V548)&lt;&gt;0)),1,0)</f>
        <v>0</v>
      </c>
      <c r="W1748" s="1" t="n">
        <f aca="false">N(W1747)+$V1748</f>
        <v>7</v>
      </c>
      <c r="X1748" s="1" t="n">
        <f aca="false">IF(AND($L1748=1,AND(对接源_02物料!$X548="自备筐",N(对接源_02物料!$T548)&lt;&gt;0)),1,0)</f>
        <v>0</v>
      </c>
      <c r="Y1748" s="1" t="n">
        <f aca="false">N(Y1747)+$X1748</f>
        <v>0</v>
      </c>
      <c r="Z1748" s="1" t="n">
        <f aca="false">IF(AND($M1748=1,对接源_02物料!$D548="原料入库"),1,0)</f>
        <v>0</v>
      </c>
      <c r="AA1748" s="1" t="n">
        <f aca="false">N(AA1747)+$Z1748</f>
        <v>30</v>
      </c>
      <c r="AB1748" s="1" t="n">
        <f aca="false">IF(AND($M1748=1,LEFT(对接源_02物料!$D548,4)="原料出库"),1,0)</f>
        <v>0</v>
      </c>
      <c r="AC1748" s="1" t="n">
        <f aca="false">N(AC1747)+$AB1748</f>
        <v>19</v>
      </c>
      <c r="AD1748" s="1" t="n">
        <f aca="false">IF(AND($M1748=1,LEFT(对接源_02物料!$D548,4)="成品出库"),1,0)</f>
        <v>0</v>
      </c>
      <c r="AE1748" s="1" t="n">
        <f aca="false">N(AE1747)+$AD1748</f>
        <v>38</v>
      </c>
      <c r="AF1748" s="1" t="n">
        <f aca="false">IF(AND($N1748=1,AND(LEFT(对接源_02物料!$D548,4)="包装物料",N(对接源_02物料!$K548)&lt;&gt;0)),1,0)</f>
        <v>0</v>
      </c>
      <c r="AG1748" s="1" t="n">
        <f aca="false">N(AG1747)+$AF1748</f>
        <v>6</v>
      </c>
      <c r="AH1748" s="1" t="n">
        <f aca="false">IF(AND($N1748=1,AND(LEFT(对接源_02物料!$D548,3)="周转筐",N(对接源_02物料!$K548)&lt;&gt;0)),1,0)</f>
        <v>0</v>
      </c>
      <c r="AI1748" s="1" t="n">
        <f aca="false">N(AI1747)+$AH1748</f>
        <v>0</v>
      </c>
      <c r="AJ1748" s="1" t="n">
        <v>0</v>
      </c>
      <c r="AK1748" s="1" t="n">
        <f aca="false">N(AK1747)+$AJ1748</f>
        <v>3672</v>
      </c>
    </row>
    <row r="1749" customFormat="false" ht="13.5" hidden="false" customHeight="false" outlineLevel="0" collapsed="false">
      <c r="A1749" s="1" t="str">
        <f aca="false">IF(对接源_02物料!$C549="","",对接源_02物料!$C549)</f>
        <v/>
      </c>
      <c r="B1749" s="1" t="n">
        <f aca="false">IF(A1749="",0,IF(MATCH(A1749,$A$4:$A$2403,0)=ROW()-3,1,0))</f>
        <v>0</v>
      </c>
      <c r="C1749" s="1" t="n">
        <f aca="false">N(C1748)+B1749</f>
        <v>17</v>
      </c>
      <c r="K1749" s="1" t="n">
        <f aca="false">IF(OR($K$1="",对接源_02物料!$C549="",对接源_02物料!$C549&lt;&gt;$K$1,对接源_02物料!$B549=""),0,IF(OR(N(对接源_02物料!$B549)&lt;$K$2,N(对接源_02物料!$B549)&gt;$K$3),0,1))</f>
        <v>0</v>
      </c>
      <c r="L1749" s="1" t="n">
        <f aca="false">IF(OR($L$1="",对接源_02物料!$C549="",对接源_02物料!$C549&lt;&gt;$L$1,对接源_02物料!$B549=""),0,IF(OR(N(对接源_02物料!$B549)&lt;$L$2,N(对接源_02物料!$B549)&gt;$L$3),0,1))</f>
        <v>0</v>
      </c>
      <c r="M1749" s="1" t="n">
        <f aca="false">IF(OR($M$1="",对接源_02物料!$C549="",对接源_02物料!$C549&lt;&gt;$M$1,对接源_02物料!$B549=""),0,IF(OR(N(对接源_02物料!$B549)&lt;$M$2,N(对接源_02物料!$B549)&gt;$M$3),0,1))</f>
        <v>0</v>
      </c>
      <c r="N1749" s="1" t="n">
        <f aca="false">IF(OR($N$1="",对接源_02物料!$C549="",对接源_02物料!$C549&lt;&gt;$N$1,对接源_02物料!$B549=""),0,IF(OR(N(对接源_02物料!$B549)&lt;$N$2,N(对接源_02物料!$B549)&gt;$N$3),0,1))</f>
        <v>0</v>
      </c>
      <c r="P1749" s="1" t="n">
        <f aca="false">IF(AND($K1749=1,AND(对接源_02物料!$X549="公司筐",N(对接源_02物料!$T549)&lt;&gt;0)),1,0)</f>
        <v>0</v>
      </c>
      <c r="Q1749" s="1" t="n">
        <f aca="false">N(Q1748)+$P1749</f>
        <v>13</v>
      </c>
      <c r="R1749" s="1" t="n">
        <f aca="false">IF(AND($K1749=1,AND(对接源_02物料!$X549="公司筐",N(对接源_02物料!$U549)&lt;&gt;0)),1,0)</f>
        <v>0</v>
      </c>
      <c r="S1749" s="1" t="n">
        <f aca="false">N(S1748)+$R1749</f>
        <v>5</v>
      </c>
      <c r="T1749" s="1" t="n">
        <f aca="false">IF(AND($K1749=1,AND(对接源_02物料!$X549="公司筐",N(对接源_02物料!$V549)&lt;&gt;0)),1,0)</f>
        <v>0</v>
      </c>
      <c r="U1749" s="1" t="n">
        <f aca="false">N(U1748)+$T1749</f>
        <v>28</v>
      </c>
      <c r="V1749" s="1" t="n">
        <f aca="false">IF(AND($L1749=1,AND(对接源_02物料!$X549="自备筐",N(对接源_02物料!$V549)&lt;&gt;0)),1,0)</f>
        <v>0</v>
      </c>
      <c r="W1749" s="1" t="n">
        <f aca="false">N(W1748)+$V1749</f>
        <v>7</v>
      </c>
      <c r="X1749" s="1" t="n">
        <f aca="false">IF(AND($L1749=1,AND(对接源_02物料!$X549="自备筐",N(对接源_02物料!$T549)&lt;&gt;0)),1,0)</f>
        <v>0</v>
      </c>
      <c r="Y1749" s="1" t="n">
        <f aca="false">N(Y1748)+$X1749</f>
        <v>0</v>
      </c>
      <c r="Z1749" s="1" t="n">
        <f aca="false">IF(AND($M1749=1,对接源_02物料!$D549="原料入库"),1,0)</f>
        <v>0</v>
      </c>
      <c r="AA1749" s="1" t="n">
        <f aca="false">N(AA1748)+$Z1749</f>
        <v>30</v>
      </c>
      <c r="AB1749" s="1" t="n">
        <f aca="false">IF(AND($M1749=1,LEFT(对接源_02物料!$D549,4)="原料出库"),1,0)</f>
        <v>0</v>
      </c>
      <c r="AC1749" s="1" t="n">
        <f aca="false">N(AC1748)+$AB1749</f>
        <v>19</v>
      </c>
      <c r="AD1749" s="1" t="n">
        <f aca="false">IF(AND($M1749=1,LEFT(对接源_02物料!$D549,4)="成品出库"),1,0)</f>
        <v>0</v>
      </c>
      <c r="AE1749" s="1" t="n">
        <f aca="false">N(AE1748)+$AD1749</f>
        <v>38</v>
      </c>
      <c r="AF1749" s="1" t="n">
        <f aca="false">IF(AND($N1749=1,AND(LEFT(对接源_02物料!$D549,4)="包装物料",N(对接源_02物料!$K549)&lt;&gt;0)),1,0)</f>
        <v>0</v>
      </c>
      <c r="AG1749" s="1" t="n">
        <f aca="false">N(AG1748)+$AF1749</f>
        <v>6</v>
      </c>
      <c r="AH1749" s="1" t="n">
        <f aca="false">IF(AND($N1749=1,AND(LEFT(对接源_02物料!$D549,3)="周转筐",N(对接源_02物料!$K549)&lt;&gt;0)),1,0)</f>
        <v>0</v>
      </c>
      <c r="AI1749" s="1" t="n">
        <f aca="false">N(AI1748)+$AH1749</f>
        <v>0</v>
      </c>
      <c r="AJ1749" s="1" t="n">
        <v>0</v>
      </c>
      <c r="AK1749" s="1" t="n">
        <f aca="false">N(AK1748)+$AJ1749</f>
        <v>3672</v>
      </c>
    </row>
    <row r="1750" customFormat="false" ht="13.5" hidden="false" customHeight="false" outlineLevel="0" collapsed="false">
      <c r="A1750" s="1" t="str">
        <f aca="false">IF(对接源_02物料!$C550="","",对接源_02物料!$C550)</f>
        <v/>
      </c>
      <c r="B1750" s="1" t="n">
        <f aca="false">IF(A1750="",0,IF(MATCH(A1750,$A$4:$A$2403,0)=ROW()-3,1,0))</f>
        <v>0</v>
      </c>
      <c r="C1750" s="1" t="n">
        <f aca="false">N(C1749)+B1750</f>
        <v>17</v>
      </c>
      <c r="K1750" s="1" t="n">
        <f aca="false">IF(OR($K$1="",对接源_02物料!$C550="",对接源_02物料!$C550&lt;&gt;$K$1,对接源_02物料!$B550=""),0,IF(OR(N(对接源_02物料!$B550)&lt;$K$2,N(对接源_02物料!$B550)&gt;$K$3),0,1))</f>
        <v>0</v>
      </c>
      <c r="L1750" s="1" t="n">
        <f aca="false">IF(OR($L$1="",对接源_02物料!$C550="",对接源_02物料!$C550&lt;&gt;$L$1,对接源_02物料!$B550=""),0,IF(OR(N(对接源_02物料!$B550)&lt;$L$2,N(对接源_02物料!$B550)&gt;$L$3),0,1))</f>
        <v>0</v>
      </c>
      <c r="M1750" s="1" t="n">
        <f aca="false">IF(OR($M$1="",对接源_02物料!$C550="",对接源_02物料!$C550&lt;&gt;$M$1,对接源_02物料!$B550=""),0,IF(OR(N(对接源_02物料!$B550)&lt;$M$2,N(对接源_02物料!$B550)&gt;$M$3),0,1))</f>
        <v>0</v>
      </c>
      <c r="N1750" s="1" t="n">
        <f aca="false">IF(OR($N$1="",对接源_02物料!$C550="",对接源_02物料!$C550&lt;&gt;$N$1,对接源_02物料!$B550=""),0,IF(OR(N(对接源_02物料!$B550)&lt;$N$2,N(对接源_02物料!$B550)&gt;$N$3),0,1))</f>
        <v>0</v>
      </c>
      <c r="P1750" s="1" t="n">
        <f aca="false">IF(AND($K1750=1,AND(对接源_02物料!$X550="公司筐",N(对接源_02物料!$T550)&lt;&gt;0)),1,0)</f>
        <v>0</v>
      </c>
      <c r="Q1750" s="1" t="n">
        <f aca="false">N(Q1749)+$P1750</f>
        <v>13</v>
      </c>
      <c r="R1750" s="1" t="n">
        <f aca="false">IF(AND($K1750=1,AND(对接源_02物料!$X550="公司筐",N(对接源_02物料!$U550)&lt;&gt;0)),1,0)</f>
        <v>0</v>
      </c>
      <c r="S1750" s="1" t="n">
        <f aca="false">N(S1749)+$R1750</f>
        <v>5</v>
      </c>
      <c r="T1750" s="1" t="n">
        <f aca="false">IF(AND($K1750=1,AND(对接源_02物料!$X550="公司筐",N(对接源_02物料!$V550)&lt;&gt;0)),1,0)</f>
        <v>0</v>
      </c>
      <c r="U1750" s="1" t="n">
        <f aca="false">N(U1749)+$T1750</f>
        <v>28</v>
      </c>
      <c r="V1750" s="1" t="n">
        <f aca="false">IF(AND($L1750=1,AND(对接源_02物料!$X550="自备筐",N(对接源_02物料!$V550)&lt;&gt;0)),1,0)</f>
        <v>0</v>
      </c>
      <c r="W1750" s="1" t="n">
        <f aca="false">N(W1749)+$V1750</f>
        <v>7</v>
      </c>
      <c r="X1750" s="1" t="n">
        <f aca="false">IF(AND($L1750=1,AND(对接源_02物料!$X550="自备筐",N(对接源_02物料!$T550)&lt;&gt;0)),1,0)</f>
        <v>0</v>
      </c>
      <c r="Y1750" s="1" t="n">
        <f aca="false">N(Y1749)+$X1750</f>
        <v>0</v>
      </c>
      <c r="Z1750" s="1" t="n">
        <f aca="false">IF(AND($M1750=1,对接源_02物料!$D550="原料入库"),1,0)</f>
        <v>0</v>
      </c>
      <c r="AA1750" s="1" t="n">
        <f aca="false">N(AA1749)+$Z1750</f>
        <v>30</v>
      </c>
      <c r="AB1750" s="1" t="n">
        <f aca="false">IF(AND($M1750=1,LEFT(对接源_02物料!$D550,4)="原料出库"),1,0)</f>
        <v>0</v>
      </c>
      <c r="AC1750" s="1" t="n">
        <f aca="false">N(AC1749)+$AB1750</f>
        <v>19</v>
      </c>
      <c r="AD1750" s="1" t="n">
        <f aca="false">IF(AND($M1750=1,LEFT(对接源_02物料!$D550,4)="成品出库"),1,0)</f>
        <v>0</v>
      </c>
      <c r="AE1750" s="1" t="n">
        <f aca="false">N(AE1749)+$AD1750</f>
        <v>38</v>
      </c>
      <c r="AF1750" s="1" t="n">
        <f aca="false">IF(AND($N1750=1,AND(LEFT(对接源_02物料!$D550,4)="包装物料",N(对接源_02物料!$K550)&lt;&gt;0)),1,0)</f>
        <v>0</v>
      </c>
      <c r="AG1750" s="1" t="n">
        <f aca="false">N(AG1749)+$AF1750</f>
        <v>6</v>
      </c>
      <c r="AH1750" s="1" t="n">
        <f aca="false">IF(AND($N1750=1,AND(LEFT(对接源_02物料!$D550,3)="周转筐",N(对接源_02物料!$K550)&lt;&gt;0)),1,0)</f>
        <v>0</v>
      </c>
      <c r="AI1750" s="1" t="n">
        <f aca="false">N(AI1749)+$AH1750</f>
        <v>0</v>
      </c>
      <c r="AJ1750" s="1" t="n">
        <v>0</v>
      </c>
      <c r="AK1750" s="1" t="n">
        <f aca="false">N(AK1749)+$AJ1750</f>
        <v>3672</v>
      </c>
    </row>
    <row r="1751" customFormat="false" ht="13.5" hidden="false" customHeight="false" outlineLevel="0" collapsed="false">
      <c r="A1751" s="1" t="str">
        <f aca="false">IF(对接源_02物料!$C551="","",对接源_02物料!$C551)</f>
        <v/>
      </c>
      <c r="B1751" s="1" t="n">
        <f aca="false">IF(A1751="",0,IF(MATCH(A1751,$A$4:$A$2403,0)=ROW()-3,1,0))</f>
        <v>0</v>
      </c>
      <c r="C1751" s="1" t="n">
        <f aca="false">N(C1750)+B1751</f>
        <v>17</v>
      </c>
      <c r="K1751" s="1" t="n">
        <f aca="false">IF(OR($K$1="",对接源_02物料!$C551="",对接源_02物料!$C551&lt;&gt;$K$1,对接源_02物料!$B551=""),0,IF(OR(N(对接源_02物料!$B551)&lt;$K$2,N(对接源_02物料!$B551)&gt;$K$3),0,1))</f>
        <v>0</v>
      </c>
      <c r="L1751" s="1" t="n">
        <f aca="false">IF(OR($L$1="",对接源_02物料!$C551="",对接源_02物料!$C551&lt;&gt;$L$1,对接源_02物料!$B551=""),0,IF(OR(N(对接源_02物料!$B551)&lt;$L$2,N(对接源_02物料!$B551)&gt;$L$3),0,1))</f>
        <v>0</v>
      </c>
      <c r="M1751" s="1" t="n">
        <f aca="false">IF(OR($M$1="",对接源_02物料!$C551="",对接源_02物料!$C551&lt;&gt;$M$1,对接源_02物料!$B551=""),0,IF(OR(N(对接源_02物料!$B551)&lt;$M$2,N(对接源_02物料!$B551)&gt;$M$3),0,1))</f>
        <v>0</v>
      </c>
      <c r="N1751" s="1" t="n">
        <f aca="false">IF(OR($N$1="",对接源_02物料!$C551="",对接源_02物料!$C551&lt;&gt;$N$1,对接源_02物料!$B551=""),0,IF(OR(N(对接源_02物料!$B551)&lt;$N$2,N(对接源_02物料!$B551)&gt;$N$3),0,1))</f>
        <v>0</v>
      </c>
      <c r="P1751" s="1" t="n">
        <f aca="false">IF(AND($K1751=1,AND(对接源_02物料!$X551="公司筐",N(对接源_02物料!$T551)&lt;&gt;0)),1,0)</f>
        <v>0</v>
      </c>
      <c r="Q1751" s="1" t="n">
        <f aca="false">N(Q1750)+$P1751</f>
        <v>13</v>
      </c>
      <c r="R1751" s="1" t="n">
        <f aca="false">IF(AND($K1751=1,AND(对接源_02物料!$X551="公司筐",N(对接源_02物料!$U551)&lt;&gt;0)),1,0)</f>
        <v>0</v>
      </c>
      <c r="S1751" s="1" t="n">
        <f aca="false">N(S1750)+$R1751</f>
        <v>5</v>
      </c>
      <c r="T1751" s="1" t="n">
        <f aca="false">IF(AND($K1751=1,AND(对接源_02物料!$X551="公司筐",N(对接源_02物料!$V551)&lt;&gt;0)),1,0)</f>
        <v>0</v>
      </c>
      <c r="U1751" s="1" t="n">
        <f aca="false">N(U1750)+$T1751</f>
        <v>28</v>
      </c>
      <c r="V1751" s="1" t="n">
        <f aca="false">IF(AND($L1751=1,AND(对接源_02物料!$X551="自备筐",N(对接源_02物料!$V551)&lt;&gt;0)),1,0)</f>
        <v>0</v>
      </c>
      <c r="W1751" s="1" t="n">
        <f aca="false">N(W1750)+$V1751</f>
        <v>7</v>
      </c>
      <c r="X1751" s="1" t="n">
        <f aca="false">IF(AND($L1751=1,AND(对接源_02物料!$X551="自备筐",N(对接源_02物料!$T551)&lt;&gt;0)),1,0)</f>
        <v>0</v>
      </c>
      <c r="Y1751" s="1" t="n">
        <f aca="false">N(Y1750)+$X1751</f>
        <v>0</v>
      </c>
      <c r="Z1751" s="1" t="n">
        <f aca="false">IF(AND($M1751=1,对接源_02物料!$D551="原料入库"),1,0)</f>
        <v>0</v>
      </c>
      <c r="AA1751" s="1" t="n">
        <f aca="false">N(AA1750)+$Z1751</f>
        <v>30</v>
      </c>
      <c r="AB1751" s="1" t="n">
        <f aca="false">IF(AND($M1751=1,LEFT(对接源_02物料!$D551,4)="原料出库"),1,0)</f>
        <v>0</v>
      </c>
      <c r="AC1751" s="1" t="n">
        <f aca="false">N(AC1750)+$AB1751</f>
        <v>19</v>
      </c>
      <c r="AD1751" s="1" t="n">
        <f aca="false">IF(AND($M1751=1,LEFT(对接源_02物料!$D551,4)="成品出库"),1,0)</f>
        <v>0</v>
      </c>
      <c r="AE1751" s="1" t="n">
        <f aca="false">N(AE1750)+$AD1751</f>
        <v>38</v>
      </c>
      <c r="AF1751" s="1" t="n">
        <f aca="false">IF(AND($N1751=1,AND(LEFT(对接源_02物料!$D551,4)="包装物料",N(对接源_02物料!$K551)&lt;&gt;0)),1,0)</f>
        <v>0</v>
      </c>
      <c r="AG1751" s="1" t="n">
        <f aca="false">N(AG1750)+$AF1751</f>
        <v>6</v>
      </c>
      <c r="AH1751" s="1" t="n">
        <f aca="false">IF(AND($N1751=1,AND(LEFT(对接源_02物料!$D551,3)="周转筐",N(对接源_02物料!$K551)&lt;&gt;0)),1,0)</f>
        <v>0</v>
      </c>
      <c r="AI1751" s="1" t="n">
        <f aca="false">N(AI1750)+$AH1751</f>
        <v>0</v>
      </c>
      <c r="AJ1751" s="1" t="n">
        <v>0</v>
      </c>
      <c r="AK1751" s="1" t="n">
        <f aca="false">N(AK1750)+$AJ1751</f>
        <v>3672</v>
      </c>
    </row>
    <row r="1752" customFormat="false" ht="13.5" hidden="false" customHeight="false" outlineLevel="0" collapsed="false">
      <c r="A1752" s="1" t="str">
        <f aca="false">IF(对接源_02物料!$C552="","",对接源_02物料!$C552)</f>
        <v/>
      </c>
      <c r="B1752" s="1" t="n">
        <f aca="false">IF(A1752="",0,IF(MATCH(A1752,$A$4:$A$2403,0)=ROW()-3,1,0))</f>
        <v>0</v>
      </c>
      <c r="C1752" s="1" t="n">
        <f aca="false">N(C1751)+B1752</f>
        <v>17</v>
      </c>
      <c r="K1752" s="1" t="n">
        <f aca="false">IF(OR($K$1="",对接源_02物料!$C552="",对接源_02物料!$C552&lt;&gt;$K$1,对接源_02物料!$B552=""),0,IF(OR(N(对接源_02物料!$B552)&lt;$K$2,N(对接源_02物料!$B552)&gt;$K$3),0,1))</f>
        <v>0</v>
      </c>
      <c r="L1752" s="1" t="n">
        <f aca="false">IF(OR($L$1="",对接源_02物料!$C552="",对接源_02物料!$C552&lt;&gt;$L$1,对接源_02物料!$B552=""),0,IF(OR(N(对接源_02物料!$B552)&lt;$L$2,N(对接源_02物料!$B552)&gt;$L$3),0,1))</f>
        <v>0</v>
      </c>
      <c r="M1752" s="1" t="n">
        <f aca="false">IF(OR($M$1="",对接源_02物料!$C552="",对接源_02物料!$C552&lt;&gt;$M$1,对接源_02物料!$B552=""),0,IF(OR(N(对接源_02物料!$B552)&lt;$M$2,N(对接源_02物料!$B552)&gt;$M$3),0,1))</f>
        <v>0</v>
      </c>
      <c r="N1752" s="1" t="n">
        <f aca="false">IF(OR($N$1="",对接源_02物料!$C552="",对接源_02物料!$C552&lt;&gt;$N$1,对接源_02物料!$B552=""),0,IF(OR(N(对接源_02物料!$B552)&lt;$N$2,N(对接源_02物料!$B552)&gt;$N$3),0,1))</f>
        <v>0</v>
      </c>
      <c r="P1752" s="1" t="n">
        <f aca="false">IF(AND($K1752=1,AND(对接源_02物料!$X552="公司筐",N(对接源_02物料!$T552)&lt;&gt;0)),1,0)</f>
        <v>0</v>
      </c>
      <c r="Q1752" s="1" t="n">
        <f aca="false">N(Q1751)+$P1752</f>
        <v>13</v>
      </c>
      <c r="R1752" s="1" t="n">
        <f aca="false">IF(AND($K1752=1,AND(对接源_02物料!$X552="公司筐",N(对接源_02物料!$U552)&lt;&gt;0)),1,0)</f>
        <v>0</v>
      </c>
      <c r="S1752" s="1" t="n">
        <f aca="false">N(S1751)+$R1752</f>
        <v>5</v>
      </c>
      <c r="T1752" s="1" t="n">
        <f aca="false">IF(AND($K1752=1,AND(对接源_02物料!$X552="公司筐",N(对接源_02物料!$V552)&lt;&gt;0)),1,0)</f>
        <v>0</v>
      </c>
      <c r="U1752" s="1" t="n">
        <f aca="false">N(U1751)+$T1752</f>
        <v>28</v>
      </c>
      <c r="V1752" s="1" t="n">
        <f aca="false">IF(AND($L1752=1,AND(对接源_02物料!$X552="自备筐",N(对接源_02物料!$V552)&lt;&gt;0)),1,0)</f>
        <v>0</v>
      </c>
      <c r="W1752" s="1" t="n">
        <f aca="false">N(W1751)+$V1752</f>
        <v>7</v>
      </c>
      <c r="X1752" s="1" t="n">
        <f aca="false">IF(AND($L1752=1,AND(对接源_02物料!$X552="自备筐",N(对接源_02物料!$T552)&lt;&gt;0)),1,0)</f>
        <v>0</v>
      </c>
      <c r="Y1752" s="1" t="n">
        <f aca="false">N(Y1751)+$X1752</f>
        <v>0</v>
      </c>
      <c r="Z1752" s="1" t="n">
        <f aca="false">IF(AND($M1752=1,对接源_02物料!$D552="原料入库"),1,0)</f>
        <v>0</v>
      </c>
      <c r="AA1752" s="1" t="n">
        <f aca="false">N(AA1751)+$Z1752</f>
        <v>30</v>
      </c>
      <c r="AB1752" s="1" t="n">
        <f aca="false">IF(AND($M1752=1,LEFT(对接源_02物料!$D552,4)="原料出库"),1,0)</f>
        <v>0</v>
      </c>
      <c r="AC1752" s="1" t="n">
        <f aca="false">N(AC1751)+$AB1752</f>
        <v>19</v>
      </c>
      <c r="AD1752" s="1" t="n">
        <f aca="false">IF(AND($M1752=1,LEFT(对接源_02物料!$D552,4)="成品出库"),1,0)</f>
        <v>0</v>
      </c>
      <c r="AE1752" s="1" t="n">
        <f aca="false">N(AE1751)+$AD1752</f>
        <v>38</v>
      </c>
      <c r="AF1752" s="1" t="n">
        <f aca="false">IF(AND($N1752=1,AND(LEFT(对接源_02物料!$D552,4)="包装物料",N(对接源_02物料!$K552)&lt;&gt;0)),1,0)</f>
        <v>0</v>
      </c>
      <c r="AG1752" s="1" t="n">
        <f aca="false">N(AG1751)+$AF1752</f>
        <v>6</v>
      </c>
      <c r="AH1752" s="1" t="n">
        <f aca="false">IF(AND($N1752=1,AND(LEFT(对接源_02物料!$D552,3)="周转筐",N(对接源_02物料!$K552)&lt;&gt;0)),1,0)</f>
        <v>0</v>
      </c>
      <c r="AI1752" s="1" t="n">
        <f aca="false">N(AI1751)+$AH1752</f>
        <v>0</v>
      </c>
      <c r="AJ1752" s="1" t="n">
        <v>0</v>
      </c>
      <c r="AK1752" s="1" t="n">
        <f aca="false">N(AK1751)+$AJ1752</f>
        <v>3672</v>
      </c>
    </row>
    <row r="1753" customFormat="false" ht="13.5" hidden="false" customHeight="false" outlineLevel="0" collapsed="false">
      <c r="A1753" s="1" t="str">
        <f aca="false">IF(对接源_02物料!$C553="","",对接源_02物料!$C553)</f>
        <v/>
      </c>
      <c r="B1753" s="1" t="n">
        <f aca="false">IF(A1753="",0,IF(MATCH(A1753,$A$4:$A$2403,0)=ROW()-3,1,0))</f>
        <v>0</v>
      </c>
      <c r="C1753" s="1" t="n">
        <f aca="false">N(C1752)+B1753</f>
        <v>17</v>
      </c>
      <c r="K1753" s="1" t="n">
        <f aca="false">IF(OR($K$1="",对接源_02物料!$C553="",对接源_02物料!$C553&lt;&gt;$K$1,对接源_02物料!$B553=""),0,IF(OR(N(对接源_02物料!$B553)&lt;$K$2,N(对接源_02物料!$B553)&gt;$K$3),0,1))</f>
        <v>0</v>
      </c>
      <c r="L1753" s="1" t="n">
        <f aca="false">IF(OR($L$1="",对接源_02物料!$C553="",对接源_02物料!$C553&lt;&gt;$L$1,对接源_02物料!$B553=""),0,IF(OR(N(对接源_02物料!$B553)&lt;$L$2,N(对接源_02物料!$B553)&gt;$L$3),0,1))</f>
        <v>0</v>
      </c>
      <c r="M1753" s="1" t="n">
        <f aca="false">IF(OR($M$1="",对接源_02物料!$C553="",对接源_02物料!$C553&lt;&gt;$M$1,对接源_02物料!$B553=""),0,IF(OR(N(对接源_02物料!$B553)&lt;$M$2,N(对接源_02物料!$B553)&gt;$M$3),0,1))</f>
        <v>0</v>
      </c>
      <c r="N1753" s="1" t="n">
        <f aca="false">IF(OR($N$1="",对接源_02物料!$C553="",对接源_02物料!$C553&lt;&gt;$N$1,对接源_02物料!$B553=""),0,IF(OR(N(对接源_02物料!$B553)&lt;$N$2,N(对接源_02物料!$B553)&gt;$N$3),0,1))</f>
        <v>0</v>
      </c>
      <c r="P1753" s="1" t="n">
        <f aca="false">IF(AND($K1753=1,AND(对接源_02物料!$X553="公司筐",N(对接源_02物料!$T553)&lt;&gt;0)),1,0)</f>
        <v>0</v>
      </c>
      <c r="Q1753" s="1" t="n">
        <f aca="false">N(Q1752)+$P1753</f>
        <v>13</v>
      </c>
      <c r="R1753" s="1" t="n">
        <f aca="false">IF(AND($K1753=1,AND(对接源_02物料!$X553="公司筐",N(对接源_02物料!$U553)&lt;&gt;0)),1,0)</f>
        <v>0</v>
      </c>
      <c r="S1753" s="1" t="n">
        <f aca="false">N(S1752)+$R1753</f>
        <v>5</v>
      </c>
      <c r="T1753" s="1" t="n">
        <f aca="false">IF(AND($K1753=1,AND(对接源_02物料!$X553="公司筐",N(对接源_02物料!$V553)&lt;&gt;0)),1,0)</f>
        <v>0</v>
      </c>
      <c r="U1753" s="1" t="n">
        <f aca="false">N(U1752)+$T1753</f>
        <v>28</v>
      </c>
      <c r="V1753" s="1" t="n">
        <f aca="false">IF(AND($L1753=1,AND(对接源_02物料!$X553="自备筐",N(对接源_02物料!$V553)&lt;&gt;0)),1,0)</f>
        <v>0</v>
      </c>
      <c r="W1753" s="1" t="n">
        <f aca="false">N(W1752)+$V1753</f>
        <v>7</v>
      </c>
      <c r="X1753" s="1" t="n">
        <f aca="false">IF(AND($L1753=1,AND(对接源_02物料!$X553="自备筐",N(对接源_02物料!$T553)&lt;&gt;0)),1,0)</f>
        <v>0</v>
      </c>
      <c r="Y1753" s="1" t="n">
        <f aca="false">N(Y1752)+$X1753</f>
        <v>0</v>
      </c>
      <c r="Z1753" s="1" t="n">
        <f aca="false">IF(AND($M1753=1,对接源_02物料!$D553="原料入库"),1,0)</f>
        <v>0</v>
      </c>
      <c r="AA1753" s="1" t="n">
        <f aca="false">N(AA1752)+$Z1753</f>
        <v>30</v>
      </c>
      <c r="AB1753" s="1" t="n">
        <f aca="false">IF(AND($M1753=1,LEFT(对接源_02物料!$D553,4)="原料出库"),1,0)</f>
        <v>0</v>
      </c>
      <c r="AC1753" s="1" t="n">
        <f aca="false">N(AC1752)+$AB1753</f>
        <v>19</v>
      </c>
      <c r="AD1753" s="1" t="n">
        <f aca="false">IF(AND($M1753=1,LEFT(对接源_02物料!$D553,4)="成品出库"),1,0)</f>
        <v>0</v>
      </c>
      <c r="AE1753" s="1" t="n">
        <f aca="false">N(AE1752)+$AD1753</f>
        <v>38</v>
      </c>
      <c r="AF1753" s="1" t="n">
        <f aca="false">IF(AND($N1753=1,AND(LEFT(对接源_02物料!$D553,4)="包装物料",N(对接源_02物料!$K553)&lt;&gt;0)),1,0)</f>
        <v>0</v>
      </c>
      <c r="AG1753" s="1" t="n">
        <f aca="false">N(AG1752)+$AF1753</f>
        <v>6</v>
      </c>
      <c r="AH1753" s="1" t="n">
        <f aca="false">IF(AND($N1753=1,AND(LEFT(对接源_02物料!$D553,3)="周转筐",N(对接源_02物料!$K553)&lt;&gt;0)),1,0)</f>
        <v>0</v>
      </c>
      <c r="AI1753" s="1" t="n">
        <f aca="false">N(AI1752)+$AH1753</f>
        <v>0</v>
      </c>
      <c r="AJ1753" s="1" t="n">
        <v>0</v>
      </c>
      <c r="AK1753" s="1" t="n">
        <f aca="false">N(AK1752)+$AJ1753</f>
        <v>3672</v>
      </c>
    </row>
    <row r="1754" customFormat="false" ht="13.5" hidden="false" customHeight="false" outlineLevel="0" collapsed="false">
      <c r="A1754" s="1" t="str">
        <f aca="false">IF(对接源_02物料!$C554="","",对接源_02物料!$C554)</f>
        <v/>
      </c>
      <c r="B1754" s="1" t="n">
        <f aca="false">IF(A1754="",0,IF(MATCH(A1754,$A$4:$A$2403,0)=ROW()-3,1,0))</f>
        <v>0</v>
      </c>
      <c r="C1754" s="1" t="n">
        <f aca="false">N(C1753)+B1754</f>
        <v>17</v>
      </c>
      <c r="K1754" s="1" t="n">
        <f aca="false">IF(OR($K$1="",对接源_02物料!$C554="",对接源_02物料!$C554&lt;&gt;$K$1,对接源_02物料!$B554=""),0,IF(OR(N(对接源_02物料!$B554)&lt;$K$2,N(对接源_02物料!$B554)&gt;$K$3),0,1))</f>
        <v>0</v>
      </c>
      <c r="L1754" s="1" t="n">
        <f aca="false">IF(OR($L$1="",对接源_02物料!$C554="",对接源_02物料!$C554&lt;&gt;$L$1,对接源_02物料!$B554=""),0,IF(OR(N(对接源_02物料!$B554)&lt;$L$2,N(对接源_02物料!$B554)&gt;$L$3),0,1))</f>
        <v>0</v>
      </c>
      <c r="M1754" s="1" t="n">
        <f aca="false">IF(OR($M$1="",对接源_02物料!$C554="",对接源_02物料!$C554&lt;&gt;$M$1,对接源_02物料!$B554=""),0,IF(OR(N(对接源_02物料!$B554)&lt;$M$2,N(对接源_02物料!$B554)&gt;$M$3),0,1))</f>
        <v>0</v>
      </c>
      <c r="N1754" s="1" t="n">
        <f aca="false">IF(OR($N$1="",对接源_02物料!$C554="",对接源_02物料!$C554&lt;&gt;$N$1,对接源_02物料!$B554=""),0,IF(OR(N(对接源_02物料!$B554)&lt;$N$2,N(对接源_02物料!$B554)&gt;$N$3),0,1))</f>
        <v>0</v>
      </c>
      <c r="P1754" s="1" t="n">
        <f aca="false">IF(AND($K1754=1,AND(对接源_02物料!$X554="公司筐",N(对接源_02物料!$T554)&lt;&gt;0)),1,0)</f>
        <v>0</v>
      </c>
      <c r="Q1754" s="1" t="n">
        <f aca="false">N(Q1753)+$P1754</f>
        <v>13</v>
      </c>
      <c r="R1754" s="1" t="n">
        <f aca="false">IF(AND($K1754=1,AND(对接源_02物料!$X554="公司筐",N(对接源_02物料!$U554)&lt;&gt;0)),1,0)</f>
        <v>0</v>
      </c>
      <c r="S1754" s="1" t="n">
        <f aca="false">N(S1753)+$R1754</f>
        <v>5</v>
      </c>
      <c r="T1754" s="1" t="n">
        <f aca="false">IF(AND($K1754=1,AND(对接源_02物料!$X554="公司筐",N(对接源_02物料!$V554)&lt;&gt;0)),1,0)</f>
        <v>0</v>
      </c>
      <c r="U1754" s="1" t="n">
        <f aca="false">N(U1753)+$T1754</f>
        <v>28</v>
      </c>
      <c r="V1754" s="1" t="n">
        <f aca="false">IF(AND($L1754=1,AND(对接源_02物料!$X554="自备筐",N(对接源_02物料!$V554)&lt;&gt;0)),1,0)</f>
        <v>0</v>
      </c>
      <c r="W1754" s="1" t="n">
        <f aca="false">N(W1753)+$V1754</f>
        <v>7</v>
      </c>
      <c r="X1754" s="1" t="n">
        <f aca="false">IF(AND($L1754=1,AND(对接源_02物料!$X554="自备筐",N(对接源_02物料!$T554)&lt;&gt;0)),1,0)</f>
        <v>0</v>
      </c>
      <c r="Y1754" s="1" t="n">
        <f aca="false">N(Y1753)+$X1754</f>
        <v>0</v>
      </c>
      <c r="Z1754" s="1" t="n">
        <f aca="false">IF(AND($M1754=1,对接源_02物料!$D554="原料入库"),1,0)</f>
        <v>0</v>
      </c>
      <c r="AA1754" s="1" t="n">
        <f aca="false">N(AA1753)+$Z1754</f>
        <v>30</v>
      </c>
      <c r="AB1754" s="1" t="n">
        <f aca="false">IF(AND($M1754=1,LEFT(对接源_02物料!$D554,4)="原料出库"),1,0)</f>
        <v>0</v>
      </c>
      <c r="AC1754" s="1" t="n">
        <f aca="false">N(AC1753)+$AB1754</f>
        <v>19</v>
      </c>
      <c r="AD1754" s="1" t="n">
        <f aca="false">IF(AND($M1754=1,LEFT(对接源_02物料!$D554,4)="成品出库"),1,0)</f>
        <v>0</v>
      </c>
      <c r="AE1754" s="1" t="n">
        <f aca="false">N(AE1753)+$AD1754</f>
        <v>38</v>
      </c>
      <c r="AF1754" s="1" t="n">
        <f aca="false">IF(AND($N1754=1,AND(LEFT(对接源_02物料!$D554,4)="包装物料",N(对接源_02物料!$K554)&lt;&gt;0)),1,0)</f>
        <v>0</v>
      </c>
      <c r="AG1754" s="1" t="n">
        <f aca="false">N(AG1753)+$AF1754</f>
        <v>6</v>
      </c>
      <c r="AH1754" s="1" t="n">
        <f aca="false">IF(AND($N1754=1,AND(LEFT(对接源_02物料!$D554,3)="周转筐",N(对接源_02物料!$K554)&lt;&gt;0)),1,0)</f>
        <v>0</v>
      </c>
      <c r="AI1754" s="1" t="n">
        <f aca="false">N(AI1753)+$AH1754</f>
        <v>0</v>
      </c>
      <c r="AJ1754" s="1" t="n">
        <v>0</v>
      </c>
      <c r="AK1754" s="1" t="n">
        <f aca="false">N(AK1753)+$AJ1754</f>
        <v>3672</v>
      </c>
    </row>
    <row r="1755" customFormat="false" ht="13.5" hidden="false" customHeight="false" outlineLevel="0" collapsed="false">
      <c r="A1755" s="1" t="str">
        <f aca="false">IF(对接源_02物料!$C555="","",对接源_02物料!$C555)</f>
        <v/>
      </c>
      <c r="B1755" s="1" t="n">
        <f aca="false">IF(A1755="",0,IF(MATCH(A1755,$A$4:$A$2403,0)=ROW()-3,1,0))</f>
        <v>0</v>
      </c>
      <c r="C1755" s="1" t="n">
        <f aca="false">N(C1754)+B1755</f>
        <v>17</v>
      </c>
      <c r="K1755" s="1" t="n">
        <f aca="false">IF(OR($K$1="",对接源_02物料!$C555="",对接源_02物料!$C555&lt;&gt;$K$1,对接源_02物料!$B555=""),0,IF(OR(N(对接源_02物料!$B555)&lt;$K$2,N(对接源_02物料!$B555)&gt;$K$3),0,1))</f>
        <v>0</v>
      </c>
      <c r="L1755" s="1" t="n">
        <f aca="false">IF(OR($L$1="",对接源_02物料!$C555="",对接源_02物料!$C555&lt;&gt;$L$1,对接源_02物料!$B555=""),0,IF(OR(N(对接源_02物料!$B555)&lt;$L$2,N(对接源_02物料!$B555)&gt;$L$3),0,1))</f>
        <v>0</v>
      </c>
      <c r="M1755" s="1" t="n">
        <f aca="false">IF(OR($M$1="",对接源_02物料!$C555="",对接源_02物料!$C555&lt;&gt;$M$1,对接源_02物料!$B555=""),0,IF(OR(N(对接源_02物料!$B555)&lt;$M$2,N(对接源_02物料!$B555)&gt;$M$3),0,1))</f>
        <v>0</v>
      </c>
      <c r="N1755" s="1" t="n">
        <f aca="false">IF(OR($N$1="",对接源_02物料!$C555="",对接源_02物料!$C555&lt;&gt;$N$1,对接源_02物料!$B555=""),0,IF(OR(N(对接源_02物料!$B555)&lt;$N$2,N(对接源_02物料!$B555)&gt;$N$3),0,1))</f>
        <v>0</v>
      </c>
      <c r="P1755" s="1" t="n">
        <f aca="false">IF(AND($K1755=1,AND(对接源_02物料!$X555="公司筐",N(对接源_02物料!$T555)&lt;&gt;0)),1,0)</f>
        <v>0</v>
      </c>
      <c r="Q1755" s="1" t="n">
        <f aca="false">N(Q1754)+$P1755</f>
        <v>13</v>
      </c>
      <c r="R1755" s="1" t="n">
        <f aca="false">IF(AND($K1755=1,AND(对接源_02物料!$X555="公司筐",N(对接源_02物料!$U555)&lt;&gt;0)),1,0)</f>
        <v>0</v>
      </c>
      <c r="S1755" s="1" t="n">
        <f aca="false">N(S1754)+$R1755</f>
        <v>5</v>
      </c>
      <c r="T1755" s="1" t="n">
        <f aca="false">IF(AND($K1755=1,AND(对接源_02物料!$X555="公司筐",N(对接源_02物料!$V555)&lt;&gt;0)),1,0)</f>
        <v>0</v>
      </c>
      <c r="U1755" s="1" t="n">
        <f aca="false">N(U1754)+$T1755</f>
        <v>28</v>
      </c>
      <c r="V1755" s="1" t="n">
        <f aca="false">IF(AND($L1755=1,AND(对接源_02物料!$X555="自备筐",N(对接源_02物料!$V555)&lt;&gt;0)),1,0)</f>
        <v>0</v>
      </c>
      <c r="W1755" s="1" t="n">
        <f aca="false">N(W1754)+$V1755</f>
        <v>7</v>
      </c>
      <c r="X1755" s="1" t="n">
        <f aca="false">IF(AND($L1755=1,AND(对接源_02物料!$X555="自备筐",N(对接源_02物料!$T555)&lt;&gt;0)),1,0)</f>
        <v>0</v>
      </c>
      <c r="Y1755" s="1" t="n">
        <f aca="false">N(Y1754)+$X1755</f>
        <v>0</v>
      </c>
      <c r="Z1755" s="1" t="n">
        <f aca="false">IF(AND($M1755=1,对接源_02物料!$D555="原料入库"),1,0)</f>
        <v>0</v>
      </c>
      <c r="AA1755" s="1" t="n">
        <f aca="false">N(AA1754)+$Z1755</f>
        <v>30</v>
      </c>
      <c r="AB1755" s="1" t="n">
        <f aca="false">IF(AND($M1755=1,LEFT(对接源_02物料!$D555,4)="原料出库"),1,0)</f>
        <v>0</v>
      </c>
      <c r="AC1755" s="1" t="n">
        <f aca="false">N(AC1754)+$AB1755</f>
        <v>19</v>
      </c>
      <c r="AD1755" s="1" t="n">
        <f aca="false">IF(AND($M1755=1,LEFT(对接源_02物料!$D555,4)="成品出库"),1,0)</f>
        <v>0</v>
      </c>
      <c r="AE1755" s="1" t="n">
        <f aca="false">N(AE1754)+$AD1755</f>
        <v>38</v>
      </c>
      <c r="AF1755" s="1" t="n">
        <f aca="false">IF(AND($N1755=1,AND(LEFT(对接源_02物料!$D555,4)="包装物料",N(对接源_02物料!$K555)&lt;&gt;0)),1,0)</f>
        <v>0</v>
      </c>
      <c r="AG1755" s="1" t="n">
        <f aca="false">N(AG1754)+$AF1755</f>
        <v>6</v>
      </c>
      <c r="AH1755" s="1" t="n">
        <f aca="false">IF(AND($N1755=1,AND(LEFT(对接源_02物料!$D555,3)="周转筐",N(对接源_02物料!$K555)&lt;&gt;0)),1,0)</f>
        <v>0</v>
      </c>
      <c r="AI1755" s="1" t="n">
        <f aca="false">N(AI1754)+$AH1755</f>
        <v>0</v>
      </c>
      <c r="AJ1755" s="1" t="n">
        <v>0</v>
      </c>
      <c r="AK1755" s="1" t="n">
        <f aca="false">N(AK1754)+$AJ1755</f>
        <v>3672</v>
      </c>
    </row>
    <row r="1756" customFormat="false" ht="13.5" hidden="false" customHeight="false" outlineLevel="0" collapsed="false">
      <c r="A1756" s="1" t="str">
        <f aca="false">IF(对接源_02物料!$C556="","",对接源_02物料!$C556)</f>
        <v/>
      </c>
      <c r="B1756" s="1" t="n">
        <f aca="false">IF(A1756="",0,IF(MATCH(A1756,$A$4:$A$2403,0)=ROW()-3,1,0))</f>
        <v>0</v>
      </c>
      <c r="C1756" s="1" t="n">
        <f aca="false">N(C1755)+B1756</f>
        <v>17</v>
      </c>
      <c r="K1756" s="1" t="n">
        <f aca="false">IF(OR($K$1="",对接源_02物料!$C556="",对接源_02物料!$C556&lt;&gt;$K$1,对接源_02物料!$B556=""),0,IF(OR(N(对接源_02物料!$B556)&lt;$K$2,N(对接源_02物料!$B556)&gt;$K$3),0,1))</f>
        <v>0</v>
      </c>
      <c r="L1756" s="1" t="n">
        <f aca="false">IF(OR($L$1="",对接源_02物料!$C556="",对接源_02物料!$C556&lt;&gt;$L$1,对接源_02物料!$B556=""),0,IF(OR(N(对接源_02物料!$B556)&lt;$L$2,N(对接源_02物料!$B556)&gt;$L$3),0,1))</f>
        <v>0</v>
      </c>
      <c r="M1756" s="1" t="n">
        <f aca="false">IF(OR($M$1="",对接源_02物料!$C556="",对接源_02物料!$C556&lt;&gt;$M$1,对接源_02物料!$B556=""),0,IF(OR(N(对接源_02物料!$B556)&lt;$M$2,N(对接源_02物料!$B556)&gt;$M$3),0,1))</f>
        <v>0</v>
      </c>
      <c r="N1756" s="1" t="n">
        <f aca="false">IF(OR($N$1="",对接源_02物料!$C556="",对接源_02物料!$C556&lt;&gt;$N$1,对接源_02物料!$B556=""),0,IF(OR(N(对接源_02物料!$B556)&lt;$N$2,N(对接源_02物料!$B556)&gt;$N$3),0,1))</f>
        <v>0</v>
      </c>
      <c r="P1756" s="1" t="n">
        <f aca="false">IF(AND($K1756=1,AND(对接源_02物料!$X556="公司筐",N(对接源_02物料!$T556)&lt;&gt;0)),1,0)</f>
        <v>0</v>
      </c>
      <c r="Q1756" s="1" t="n">
        <f aca="false">N(Q1755)+$P1756</f>
        <v>13</v>
      </c>
      <c r="R1756" s="1" t="n">
        <f aca="false">IF(AND($K1756=1,AND(对接源_02物料!$X556="公司筐",N(对接源_02物料!$U556)&lt;&gt;0)),1,0)</f>
        <v>0</v>
      </c>
      <c r="S1756" s="1" t="n">
        <f aca="false">N(S1755)+$R1756</f>
        <v>5</v>
      </c>
      <c r="T1756" s="1" t="n">
        <f aca="false">IF(AND($K1756=1,AND(对接源_02物料!$X556="公司筐",N(对接源_02物料!$V556)&lt;&gt;0)),1,0)</f>
        <v>0</v>
      </c>
      <c r="U1756" s="1" t="n">
        <f aca="false">N(U1755)+$T1756</f>
        <v>28</v>
      </c>
      <c r="V1756" s="1" t="n">
        <f aca="false">IF(AND($L1756=1,AND(对接源_02物料!$X556="自备筐",N(对接源_02物料!$V556)&lt;&gt;0)),1,0)</f>
        <v>0</v>
      </c>
      <c r="W1756" s="1" t="n">
        <f aca="false">N(W1755)+$V1756</f>
        <v>7</v>
      </c>
      <c r="X1756" s="1" t="n">
        <f aca="false">IF(AND($L1756=1,AND(对接源_02物料!$X556="自备筐",N(对接源_02物料!$T556)&lt;&gt;0)),1,0)</f>
        <v>0</v>
      </c>
      <c r="Y1756" s="1" t="n">
        <f aca="false">N(Y1755)+$X1756</f>
        <v>0</v>
      </c>
      <c r="Z1756" s="1" t="n">
        <f aca="false">IF(AND($M1756=1,对接源_02物料!$D556="原料入库"),1,0)</f>
        <v>0</v>
      </c>
      <c r="AA1756" s="1" t="n">
        <f aca="false">N(AA1755)+$Z1756</f>
        <v>30</v>
      </c>
      <c r="AB1756" s="1" t="n">
        <f aca="false">IF(AND($M1756=1,LEFT(对接源_02物料!$D556,4)="原料出库"),1,0)</f>
        <v>0</v>
      </c>
      <c r="AC1756" s="1" t="n">
        <f aca="false">N(AC1755)+$AB1756</f>
        <v>19</v>
      </c>
      <c r="AD1756" s="1" t="n">
        <f aca="false">IF(AND($M1756=1,LEFT(对接源_02物料!$D556,4)="成品出库"),1,0)</f>
        <v>0</v>
      </c>
      <c r="AE1756" s="1" t="n">
        <f aca="false">N(AE1755)+$AD1756</f>
        <v>38</v>
      </c>
      <c r="AF1756" s="1" t="n">
        <f aca="false">IF(AND($N1756=1,AND(LEFT(对接源_02物料!$D556,4)="包装物料",N(对接源_02物料!$K556)&lt;&gt;0)),1,0)</f>
        <v>0</v>
      </c>
      <c r="AG1756" s="1" t="n">
        <f aca="false">N(AG1755)+$AF1756</f>
        <v>6</v>
      </c>
      <c r="AH1756" s="1" t="n">
        <f aca="false">IF(AND($N1756=1,AND(LEFT(对接源_02物料!$D556,3)="周转筐",N(对接源_02物料!$K556)&lt;&gt;0)),1,0)</f>
        <v>0</v>
      </c>
      <c r="AI1756" s="1" t="n">
        <f aca="false">N(AI1755)+$AH1756</f>
        <v>0</v>
      </c>
      <c r="AJ1756" s="1" t="n">
        <v>0</v>
      </c>
      <c r="AK1756" s="1" t="n">
        <f aca="false">N(AK1755)+$AJ1756</f>
        <v>3672</v>
      </c>
    </row>
    <row r="1757" customFormat="false" ht="13.5" hidden="false" customHeight="false" outlineLevel="0" collapsed="false">
      <c r="A1757" s="1" t="str">
        <f aca="false">IF(对接源_02物料!$C557="","",对接源_02物料!$C557)</f>
        <v/>
      </c>
      <c r="B1757" s="1" t="n">
        <f aca="false">IF(A1757="",0,IF(MATCH(A1757,$A$4:$A$2403,0)=ROW()-3,1,0))</f>
        <v>0</v>
      </c>
      <c r="C1757" s="1" t="n">
        <f aca="false">N(C1756)+B1757</f>
        <v>17</v>
      </c>
      <c r="K1757" s="1" t="n">
        <f aca="false">IF(OR($K$1="",对接源_02物料!$C557="",对接源_02物料!$C557&lt;&gt;$K$1,对接源_02物料!$B557=""),0,IF(OR(N(对接源_02物料!$B557)&lt;$K$2,N(对接源_02物料!$B557)&gt;$K$3),0,1))</f>
        <v>0</v>
      </c>
      <c r="L1757" s="1" t="n">
        <f aca="false">IF(OR($L$1="",对接源_02物料!$C557="",对接源_02物料!$C557&lt;&gt;$L$1,对接源_02物料!$B557=""),0,IF(OR(N(对接源_02物料!$B557)&lt;$L$2,N(对接源_02物料!$B557)&gt;$L$3),0,1))</f>
        <v>0</v>
      </c>
      <c r="M1757" s="1" t="n">
        <f aca="false">IF(OR($M$1="",对接源_02物料!$C557="",对接源_02物料!$C557&lt;&gt;$M$1,对接源_02物料!$B557=""),0,IF(OR(N(对接源_02物料!$B557)&lt;$M$2,N(对接源_02物料!$B557)&gt;$M$3),0,1))</f>
        <v>0</v>
      </c>
      <c r="N1757" s="1" t="n">
        <f aca="false">IF(OR($N$1="",对接源_02物料!$C557="",对接源_02物料!$C557&lt;&gt;$N$1,对接源_02物料!$B557=""),0,IF(OR(N(对接源_02物料!$B557)&lt;$N$2,N(对接源_02物料!$B557)&gt;$N$3),0,1))</f>
        <v>0</v>
      </c>
      <c r="P1757" s="1" t="n">
        <f aca="false">IF(AND($K1757=1,AND(对接源_02物料!$X557="公司筐",N(对接源_02物料!$T557)&lt;&gt;0)),1,0)</f>
        <v>0</v>
      </c>
      <c r="Q1757" s="1" t="n">
        <f aca="false">N(Q1756)+$P1757</f>
        <v>13</v>
      </c>
      <c r="R1757" s="1" t="n">
        <f aca="false">IF(AND($K1757=1,AND(对接源_02物料!$X557="公司筐",N(对接源_02物料!$U557)&lt;&gt;0)),1,0)</f>
        <v>0</v>
      </c>
      <c r="S1757" s="1" t="n">
        <f aca="false">N(S1756)+$R1757</f>
        <v>5</v>
      </c>
      <c r="T1757" s="1" t="n">
        <f aca="false">IF(AND($K1757=1,AND(对接源_02物料!$X557="公司筐",N(对接源_02物料!$V557)&lt;&gt;0)),1,0)</f>
        <v>0</v>
      </c>
      <c r="U1757" s="1" t="n">
        <f aca="false">N(U1756)+$T1757</f>
        <v>28</v>
      </c>
      <c r="V1757" s="1" t="n">
        <f aca="false">IF(AND($L1757=1,AND(对接源_02物料!$X557="自备筐",N(对接源_02物料!$V557)&lt;&gt;0)),1,0)</f>
        <v>0</v>
      </c>
      <c r="W1757" s="1" t="n">
        <f aca="false">N(W1756)+$V1757</f>
        <v>7</v>
      </c>
      <c r="X1757" s="1" t="n">
        <f aca="false">IF(AND($L1757=1,AND(对接源_02物料!$X557="自备筐",N(对接源_02物料!$T557)&lt;&gt;0)),1,0)</f>
        <v>0</v>
      </c>
      <c r="Y1757" s="1" t="n">
        <f aca="false">N(Y1756)+$X1757</f>
        <v>0</v>
      </c>
      <c r="Z1757" s="1" t="n">
        <f aca="false">IF(AND($M1757=1,对接源_02物料!$D557="原料入库"),1,0)</f>
        <v>0</v>
      </c>
      <c r="AA1757" s="1" t="n">
        <f aca="false">N(AA1756)+$Z1757</f>
        <v>30</v>
      </c>
      <c r="AB1757" s="1" t="n">
        <f aca="false">IF(AND($M1757=1,LEFT(对接源_02物料!$D557,4)="原料出库"),1,0)</f>
        <v>0</v>
      </c>
      <c r="AC1757" s="1" t="n">
        <f aca="false">N(AC1756)+$AB1757</f>
        <v>19</v>
      </c>
      <c r="AD1757" s="1" t="n">
        <f aca="false">IF(AND($M1757=1,LEFT(对接源_02物料!$D557,4)="成品出库"),1,0)</f>
        <v>0</v>
      </c>
      <c r="AE1757" s="1" t="n">
        <f aca="false">N(AE1756)+$AD1757</f>
        <v>38</v>
      </c>
      <c r="AF1757" s="1" t="n">
        <f aca="false">IF(AND($N1757=1,AND(LEFT(对接源_02物料!$D557,4)="包装物料",N(对接源_02物料!$K557)&lt;&gt;0)),1,0)</f>
        <v>0</v>
      </c>
      <c r="AG1757" s="1" t="n">
        <f aca="false">N(AG1756)+$AF1757</f>
        <v>6</v>
      </c>
      <c r="AH1757" s="1" t="n">
        <f aca="false">IF(AND($N1757=1,AND(LEFT(对接源_02物料!$D557,3)="周转筐",N(对接源_02物料!$K557)&lt;&gt;0)),1,0)</f>
        <v>0</v>
      </c>
      <c r="AI1757" s="1" t="n">
        <f aca="false">N(AI1756)+$AH1757</f>
        <v>0</v>
      </c>
      <c r="AJ1757" s="1" t="n">
        <v>0</v>
      </c>
      <c r="AK1757" s="1" t="n">
        <f aca="false">N(AK1756)+$AJ1757</f>
        <v>3672</v>
      </c>
    </row>
    <row r="1758" customFormat="false" ht="13.5" hidden="false" customHeight="false" outlineLevel="0" collapsed="false">
      <c r="A1758" s="1" t="str">
        <f aca="false">IF(对接源_02物料!$C558="","",对接源_02物料!$C558)</f>
        <v/>
      </c>
      <c r="B1758" s="1" t="n">
        <f aca="false">IF(A1758="",0,IF(MATCH(A1758,$A$4:$A$2403,0)=ROW()-3,1,0))</f>
        <v>0</v>
      </c>
      <c r="C1758" s="1" t="n">
        <f aca="false">N(C1757)+B1758</f>
        <v>17</v>
      </c>
      <c r="K1758" s="1" t="n">
        <f aca="false">IF(OR($K$1="",对接源_02物料!$C558="",对接源_02物料!$C558&lt;&gt;$K$1,对接源_02物料!$B558=""),0,IF(OR(N(对接源_02物料!$B558)&lt;$K$2,N(对接源_02物料!$B558)&gt;$K$3),0,1))</f>
        <v>0</v>
      </c>
      <c r="L1758" s="1" t="n">
        <f aca="false">IF(OR($L$1="",对接源_02物料!$C558="",对接源_02物料!$C558&lt;&gt;$L$1,对接源_02物料!$B558=""),0,IF(OR(N(对接源_02物料!$B558)&lt;$L$2,N(对接源_02物料!$B558)&gt;$L$3),0,1))</f>
        <v>0</v>
      </c>
      <c r="M1758" s="1" t="n">
        <f aca="false">IF(OR($M$1="",对接源_02物料!$C558="",对接源_02物料!$C558&lt;&gt;$M$1,对接源_02物料!$B558=""),0,IF(OR(N(对接源_02物料!$B558)&lt;$M$2,N(对接源_02物料!$B558)&gt;$M$3),0,1))</f>
        <v>0</v>
      </c>
      <c r="N1758" s="1" t="n">
        <f aca="false">IF(OR($N$1="",对接源_02物料!$C558="",对接源_02物料!$C558&lt;&gt;$N$1,对接源_02物料!$B558=""),0,IF(OR(N(对接源_02物料!$B558)&lt;$N$2,N(对接源_02物料!$B558)&gt;$N$3),0,1))</f>
        <v>0</v>
      </c>
      <c r="P1758" s="1" t="n">
        <f aca="false">IF(AND($K1758=1,AND(对接源_02物料!$X558="公司筐",N(对接源_02物料!$T558)&lt;&gt;0)),1,0)</f>
        <v>0</v>
      </c>
      <c r="Q1758" s="1" t="n">
        <f aca="false">N(Q1757)+$P1758</f>
        <v>13</v>
      </c>
      <c r="R1758" s="1" t="n">
        <f aca="false">IF(AND($K1758=1,AND(对接源_02物料!$X558="公司筐",N(对接源_02物料!$U558)&lt;&gt;0)),1,0)</f>
        <v>0</v>
      </c>
      <c r="S1758" s="1" t="n">
        <f aca="false">N(S1757)+$R1758</f>
        <v>5</v>
      </c>
      <c r="T1758" s="1" t="n">
        <f aca="false">IF(AND($K1758=1,AND(对接源_02物料!$X558="公司筐",N(对接源_02物料!$V558)&lt;&gt;0)),1,0)</f>
        <v>0</v>
      </c>
      <c r="U1758" s="1" t="n">
        <f aca="false">N(U1757)+$T1758</f>
        <v>28</v>
      </c>
      <c r="V1758" s="1" t="n">
        <f aca="false">IF(AND($L1758=1,AND(对接源_02物料!$X558="自备筐",N(对接源_02物料!$V558)&lt;&gt;0)),1,0)</f>
        <v>0</v>
      </c>
      <c r="W1758" s="1" t="n">
        <f aca="false">N(W1757)+$V1758</f>
        <v>7</v>
      </c>
      <c r="X1758" s="1" t="n">
        <f aca="false">IF(AND($L1758=1,AND(对接源_02物料!$X558="自备筐",N(对接源_02物料!$T558)&lt;&gt;0)),1,0)</f>
        <v>0</v>
      </c>
      <c r="Y1758" s="1" t="n">
        <f aca="false">N(Y1757)+$X1758</f>
        <v>0</v>
      </c>
      <c r="Z1758" s="1" t="n">
        <f aca="false">IF(AND($M1758=1,对接源_02物料!$D558="原料入库"),1,0)</f>
        <v>0</v>
      </c>
      <c r="AA1758" s="1" t="n">
        <f aca="false">N(AA1757)+$Z1758</f>
        <v>30</v>
      </c>
      <c r="AB1758" s="1" t="n">
        <f aca="false">IF(AND($M1758=1,LEFT(对接源_02物料!$D558,4)="原料出库"),1,0)</f>
        <v>0</v>
      </c>
      <c r="AC1758" s="1" t="n">
        <f aca="false">N(AC1757)+$AB1758</f>
        <v>19</v>
      </c>
      <c r="AD1758" s="1" t="n">
        <f aca="false">IF(AND($M1758=1,LEFT(对接源_02物料!$D558,4)="成品出库"),1,0)</f>
        <v>0</v>
      </c>
      <c r="AE1758" s="1" t="n">
        <f aca="false">N(AE1757)+$AD1758</f>
        <v>38</v>
      </c>
      <c r="AF1758" s="1" t="n">
        <f aca="false">IF(AND($N1758=1,AND(LEFT(对接源_02物料!$D558,4)="包装物料",N(对接源_02物料!$K558)&lt;&gt;0)),1,0)</f>
        <v>0</v>
      </c>
      <c r="AG1758" s="1" t="n">
        <f aca="false">N(AG1757)+$AF1758</f>
        <v>6</v>
      </c>
      <c r="AH1758" s="1" t="n">
        <f aca="false">IF(AND($N1758=1,AND(LEFT(对接源_02物料!$D558,3)="周转筐",N(对接源_02物料!$K558)&lt;&gt;0)),1,0)</f>
        <v>0</v>
      </c>
      <c r="AI1758" s="1" t="n">
        <f aca="false">N(AI1757)+$AH1758</f>
        <v>0</v>
      </c>
      <c r="AJ1758" s="1" t="n">
        <v>0</v>
      </c>
      <c r="AK1758" s="1" t="n">
        <f aca="false">N(AK1757)+$AJ1758</f>
        <v>3672</v>
      </c>
    </row>
    <row r="1759" customFormat="false" ht="13.5" hidden="false" customHeight="false" outlineLevel="0" collapsed="false">
      <c r="A1759" s="1" t="str">
        <f aca="false">IF(对接源_02物料!$C559="","",对接源_02物料!$C559)</f>
        <v/>
      </c>
      <c r="B1759" s="1" t="n">
        <f aca="false">IF(A1759="",0,IF(MATCH(A1759,$A$4:$A$2403,0)=ROW()-3,1,0))</f>
        <v>0</v>
      </c>
      <c r="C1759" s="1" t="n">
        <f aca="false">N(C1758)+B1759</f>
        <v>17</v>
      </c>
      <c r="K1759" s="1" t="n">
        <f aca="false">IF(OR($K$1="",对接源_02物料!$C559="",对接源_02物料!$C559&lt;&gt;$K$1,对接源_02物料!$B559=""),0,IF(OR(N(对接源_02物料!$B559)&lt;$K$2,N(对接源_02物料!$B559)&gt;$K$3),0,1))</f>
        <v>0</v>
      </c>
      <c r="L1759" s="1" t="n">
        <f aca="false">IF(OR($L$1="",对接源_02物料!$C559="",对接源_02物料!$C559&lt;&gt;$L$1,对接源_02物料!$B559=""),0,IF(OR(N(对接源_02物料!$B559)&lt;$L$2,N(对接源_02物料!$B559)&gt;$L$3),0,1))</f>
        <v>0</v>
      </c>
      <c r="M1759" s="1" t="n">
        <f aca="false">IF(OR($M$1="",对接源_02物料!$C559="",对接源_02物料!$C559&lt;&gt;$M$1,对接源_02物料!$B559=""),0,IF(OR(N(对接源_02物料!$B559)&lt;$M$2,N(对接源_02物料!$B559)&gt;$M$3),0,1))</f>
        <v>0</v>
      </c>
      <c r="N1759" s="1" t="n">
        <f aca="false">IF(OR($N$1="",对接源_02物料!$C559="",对接源_02物料!$C559&lt;&gt;$N$1,对接源_02物料!$B559=""),0,IF(OR(N(对接源_02物料!$B559)&lt;$N$2,N(对接源_02物料!$B559)&gt;$N$3),0,1))</f>
        <v>0</v>
      </c>
      <c r="P1759" s="1" t="n">
        <f aca="false">IF(AND($K1759=1,AND(对接源_02物料!$X559="公司筐",N(对接源_02物料!$T559)&lt;&gt;0)),1,0)</f>
        <v>0</v>
      </c>
      <c r="Q1759" s="1" t="n">
        <f aca="false">N(Q1758)+$P1759</f>
        <v>13</v>
      </c>
      <c r="R1759" s="1" t="n">
        <f aca="false">IF(AND($K1759=1,AND(对接源_02物料!$X559="公司筐",N(对接源_02物料!$U559)&lt;&gt;0)),1,0)</f>
        <v>0</v>
      </c>
      <c r="S1759" s="1" t="n">
        <f aca="false">N(S1758)+$R1759</f>
        <v>5</v>
      </c>
      <c r="T1759" s="1" t="n">
        <f aca="false">IF(AND($K1759=1,AND(对接源_02物料!$X559="公司筐",N(对接源_02物料!$V559)&lt;&gt;0)),1,0)</f>
        <v>0</v>
      </c>
      <c r="U1759" s="1" t="n">
        <f aca="false">N(U1758)+$T1759</f>
        <v>28</v>
      </c>
      <c r="V1759" s="1" t="n">
        <f aca="false">IF(AND($L1759=1,AND(对接源_02物料!$X559="自备筐",N(对接源_02物料!$V559)&lt;&gt;0)),1,0)</f>
        <v>0</v>
      </c>
      <c r="W1759" s="1" t="n">
        <f aca="false">N(W1758)+$V1759</f>
        <v>7</v>
      </c>
      <c r="X1759" s="1" t="n">
        <f aca="false">IF(AND($L1759=1,AND(对接源_02物料!$X559="自备筐",N(对接源_02物料!$T559)&lt;&gt;0)),1,0)</f>
        <v>0</v>
      </c>
      <c r="Y1759" s="1" t="n">
        <f aca="false">N(Y1758)+$X1759</f>
        <v>0</v>
      </c>
      <c r="Z1759" s="1" t="n">
        <f aca="false">IF(AND($M1759=1,对接源_02物料!$D559="原料入库"),1,0)</f>
        <v>0</v>
      </c>
      <c r="AA1759" s="1" t="n">
        <f aca="false">N(AA1758)+$Z1759</f>
        <v>30</v>
      </c>
      <c r="AB1759" s="1" t="n">
        <f aca="false">IF(AND($M1759=1,LEFT(对接源_02物料!$D559,4)="原料出库"),1,0)</f>
        <v>0</v>
      </c>
      <c r="AC1759" s="1" t="n">
        <f aca="false">N(AC1758)+$AB1759</f>
        <v>19</v>
      </c>
      <c r="AD1759" s="1" t="n">
        <f aca="false">IF(AND($M1759=1,LEFT(对接源_02物料!$D559,4)="成品出库"),1,0)</f>
        <v>0</v>
      </c>
      <c r="AE1759" s="1" t="n">
        <f aca="false">N(AE1758)+$AD1759</f>
        <v>38</v>
      </c>
      <c r="AF1759" s="1" t="n">
        <f aca="false">IF(AND($N1759=1,AND(LEFT(对接源_02物料!$D559,4)="包装物料",N(对接源_02物料!$K559)&lt;&gt;0)),1,0)</f>
        <v>0</v>
      </c>
      <c r="AG1759" s="1" t="n">
        <f aca="false">N(AG1758)+$AF1759</f>
        <v>6</v>
      </c>
      <c r="AH1759" s="1" t="n">
        <f aca="false">IF(AND($N1759=1,AND(LEFT(对接源_02物料!$D559,3)="周转筐",N(对接源_02物料!$K559)&lt;&gt;0)),1,0)</f>
        <v>0</v>
      </c>
      <c r="AI1759" s="1" t="n">
        <f aca="false">N(AI1758)+$AH1759</f>
        <v>0</v>
      </c>
      <c r="AJ1759" s="1" t="n">
        <v>0</v>
      </c>
      <c r="AK1759" s="1" t="n">
        <f aca="false">N(AK1758)+$AJ1759</f>
        <v>3672</v>
      </c>
    </row>
    <row r="1760" customFormat="false" ht="13.5" hidden="false" customHeight="false" outlineLevel="0" collapsed="false">
      <c r="A1760" s="1" t="str">
        <f aca="false">IF(对接源_02物料!$C560="","",对接源_02物料!$C560)</f>
        <v/>
      </c>
      <c r="B1760" s="1" t="n">
        <f aca="false">IF(A1760="",0,IF(MATCH(A1760,$A$4:$A$2403,0)=ROW()-3,1,0))</f>
        <v>0</v>
      </c>
      <c r="C1760" s="1" t="n">
        <f aca="false">N(C1759)+B1760</f>
        <v>17</v>
      </c>
      <c r="K1760" s="1" t="n">
        <f aca="false">IF(OR($K$1="",对接源_02物料!$C560="",对接源_02物料!$C560&lt;&gt;$K$1,对接源_02物料!$B560=""),0,IF(OR(N(对接源_02物料!$B560)&lt;$K$2,N(对接源_02物料!$B560)&gt;$K$3),0,1))</f>
        <v>0</v>
      </c>
      <c r="L1760" s="1" t="n">
        <f aca="false">IF(OR($L$1="",对接源_02物料!$C560="",对接源_02物料!$C560&lt;&gt;$L$1,对接源_02物料!$B560=""),0,IF(OR(N(对接源_02物料!$B560)&lt;$L$2,N(对接源_02物料!$B560)&gt;$L$3),0,1))</f>
        <v>0</v>
      </c>
      <c r="M1760" s="1" t="n">
        <f aca="false">IF(OR($M$1="",对接源_02物料!$C560="",对接源_02物料!$C560&lt;&gt;$M$1,对接源_02物料!$B560=""),0,IF(OR(N(对接源_02物料!$B560)&lt;$M$2,N(对接源_02物料!$B560)&gt;$M$3),0,1))</f>
        <v>0</v>
      </c>
      <c r="N1760" s="1" t="n">
        <f aca="false">IF(OR($N$1="",对接源_02物料!$C560="",对接源_02物料!$C560&lt;&gt;$N$1,对接源_02物料!$B560=""),0,IF(OR(N(对接源_02物料!$B560)&lt;$N$2,N(对接源_02物料!$B560)&gt;$N$3),0,1))</f>
        <v>0</v>
      </c>
      <c r="P1760" s="1" t="n">
        <f aca="false">IF(AND($K1760=1,AND(对接源_02物料!$X560="公司筐",N(对接源_02物料!$T560)&lt;&gt;0)),1,0)</f>
        <v>0</v>
      </c>
      <c r="Q1760" s="1" t="n">
        <f aca="false">N(Q1759)+$P1760</f>
        <v>13</v>
      </c>
      <c r="R1760" s="1" t="n">
        <f aca="false">IF(AND($K1760=1,AND(对接源_02物料!$X560="公司筐",N(对接源_02物料!$U560)&lt;&gt;0)),1,0)</f>
        <v>0</v>
      </c>
      <c r="S1760" s="1" t="n">
        <f aca="false">N(S1759)+$R1760</f>
        <v>5</v>
      </c>
      <c r="T1760" s="1" t="n">
        <f aca="false">IF(AND($K1760=1,AND(对接源_02物料!$X560="公司筐",N(对接源_02物料!$V560)&lt;&gt;0)),1,0)</f>
        <v>0</v>
      </c>
      <c r="U1760" s="1" t="n">
        <f aca="false">N(U1759)+$T1760</f>
        <v>28</v>
      </c>
      <c r="V1760" s="1" t="n">
        <f aca="false">IF(AND($L1760=1,AND(对接源_02物料!$X560="自备筐",N(对接源_02物料!$V560)&lt;&gt;0)),1,0)</f>
        <v>0</v>
      </c>
      <c r="W1760" s="1" t="n">
        <f aca="false">N(W1759)+$V1760</f>
        <v>7</v>
      </c>
      <c r="X1760" s="1" t="n">
        <f aca="false">IF(AND($L1760=1,AND(对接源_02物料!$X560="自备筐",N(对接源_02物料!$T560)&lt;&gt;0)),1,0)</f>
        <v>0</v>
      </c>
      <c r="Y1760" s="1" t="n">
        <f aca="false">N(Y1759)+$X1760</f>
        <v>0</v>
      </c>
      <c r="Z1760" s="1" t="n">
        <f aca="false">IF(AND($M1760=1,对接源_02物料!$D560="原料入库"),1,0)</f>
        <v>0</v>
      </c>
      <c r="AA1760" s="1" t="n">
        <f aca="false">N(AA1759)+$Z1760</f>
        <v>30</v>
      </c>
      <c r="AB1760" s="1" t="n">
        <f aca="false">IF(AND($M1760=1,LEFT(对接源_02物料!$D560,4)="原料出库"),1,0)</f>
        <v>0</v>
      </c>
      <c r="AC1760" s="1" t="n">
        <f aca="false">N(AC1759)+$AB1760</f>
        <v>19</v>
      </c>
      <c r="AD1760" s="1" t="n">
        <f aca="false">IF(AND($M1760=1,LEFT(对接源_02物料!$D560,4)="成品出库"),1,0)</f>
        <v>0</v>
      </c>
      <c r="AE1760" s="1" t="n">
        <f aca="false">N(AE1759)+$AD1760</f>
        <v>38</v>
      </c>
      <c r="AF1760" s="1" t="n">
        <f aca="false">IF(AND($N1760=1,AND(LEFT(对接源_02物料!$D560,4)="包装物料",N(对接源_02物料!$K560)&lt;&gt;0)),1,0)</f>
        <v>0</v>
      </c>
      <c r="AG1760" s="1" t="n">
        <f aca="false">N(AG1759)+$AF1760</f>
        <v>6</v>
      </c>
      <c r="AH1760" s="1" t="n">
        <f aca="false">IF(AND($N1760=1,AND(LEFT(对接源_02物料!$D560,3)="周转筐",N(对接源_02物料!$K560)&lt;&gt;0)),1,0)</f>
        <v>0</v>
      </c>
      <c r="AI1760" s="1" t="n">
        <f aca="false">N(AI1759)+$AH1760</f>
        <v>0</v>
      </c>
      <c r="AJ1760" s="1" t="n">
        <v>0</v>
      </c>
      <c r="AK1760" s="1" t="n">
        <f aca="false">N(AK1759)+$AJ1760</f>
        <v>3672</v>
      </c>
    </row>
    <row r="1761" customFormat="false" ht="13.5" hidden="false" customHeight="false" outlineLevel="0" collapsed="false">
      <c r="A1761" s="1" t="str">
        <f aca="false">IF(对接源_02物料!$C561="","",对接源_02物料!$C561)</f>
        <v/>
      </c>
      <c r="B1761" s="1" t="n">
        <f aca="false">IF(A1761="",0,IF(MATCH(A1761,$A$4:$A$2403,0)=ROW()-3,1,0))</f>
        <v>0</v>
      </c>
      <c r="C1761" s="1" t="n">
        <f aca="false">N(C1760)+B1761</f>
        <v>17</v>
      </c>
      <c r="K1761" s="1" t="n">
        <f aca="false">IF(OR($K$1="",对接源_02物料!$C561="",对接源_02物料!$C561&lt;&gt;$K$1,对接源_02物料!$B561=""),0,IF(OR(N(对接源_02物料!$B561)&lt;$K$2,N(对接源_02物料!$B561)&gt;$K$3),0,1))</f>
        <v>0</v>
      </c>
      <c r="L1761" s="1" t="n">
        <f aca="false">IF(OR($L$1="",对接源_02物料!$C561="",对接源_02物料!$C561&lt;&gt;$L$1,对接源_02物料!$B561=""),0,IF(OR(N(对接源_02物料!$B561)&lt;$L$2,N(对接源_02物料!$B561)&gt;$L$3),0,1))</f>
        <v>0</v>
      </c>
      <c r="M1761" s="1" t="n">
        <f aca="false">IF(OR($M$1="",对接源_02物料!$C561="",对接源_02物料!$C561&lt;&gt;$M$1,对接源_02物料!$B561=""),0,IF(OR(N(对接源_02物料!$B561)&lt;$M$2,N(对接源_02物料!$B561)&gt;$M$3),0,1))</f>
        <v>0</v>
      </c>
      <c r="N1761" s="1" t="n">
        <f aca="false">IF(OR($N$1="",对接源_02物料!$C561="",对接源_02物料!$C561&lt;&gt;$N$1,对接源_02物料!$B561=""),0,IF(OR(N(对接源_02物料!$B561)&lt;$N$2,N(对接源_02物料!$B561)&gt;$N$3),0,1))</f>
        <v>0</v>
      </c>
      <c r="P1761" s="1" t="n">
        <f aca="false">IF(AND($K1761=1,AND(对接源_02物料!$X561="公司筐",N(对接源_02物料!$T561)&lt;&gt;0)),1,0)</f>
        <v>0</v>
      </c>
      <c r="Q1761" s="1" t="n">
        <f aca="false">N(Q1760)+$P1761</f>
        <v>13</v>
      </c>
      <c r="R1761" s="1" t="n">
        <f aca="false">IF(AND($K1761=1,AND(对接源_02物料!$X561="公司筐",N(对接源_02物料!$U561)&lt;&gt;0)),1,0)</f>
        <v>0</v>
      </c>
      <c r="S1761" s="1" t="n">
        <f aca="false">N(S1760)+$R1761</f>
        <v>5</v>
      </c>
      <c r="T1761" s="1" t="n">
        <f aca="false">IF(AND($K1761=1,AND(对接源_02物料!$X561="公司筐",N(对接源_02物料!$V561)&lt;&gt;0)),1,0)</f>
        <v>0</v>
      </c>
      <c r="U1761" s="1" t="n">
        <f aca="false">N(U1760)+$T1761</f>
        <v>28</v>
      </c>
      <c r="V1761" s="1" t="n">
        <f aca="false">IF(AND($L1761=1,AND(对接源_02物料!$X561="自备筐",N(对接源_02物料!$V561)&lt;&gt;0)),1,0)</f>
        <v>0</v>
      </c>
      <c r="W1761" s="1" t="n">
        <f aca="false">N(W1760)+$V1761</f>
        <v>7</v>
      </c>
      <c r="X1761" s="1" t="n">
        <f aca="false">IF(AND($L1761=1,AND(对接源_02物料!$X561="自备筐",N(对接源_02物料!$T561)&lt;&gt;0)),1,0)</f>
        <v>0</v>
      </c>
      <c r="Y1761" s="1" t="n">
        <f aca="false">N(Y1760)+$X1761</f>
        <v>0</v>
      </c>
      <c r="Z1761" s="1" t="n">
        <f aca="false">IF(AND($M1761=1,对接源_02物料!$D561="原料入库"),1,0)</f>
        <v>0</v>
      </c>
      <c r="AA1761" s="1" t="n">
        <f aca="false">N(AA1760)+$Z1761</f>
        <v>30</v>
      </c>
      <c r="AB1761" s="1" t="n">
        <f aca="false">IF(AND($M1761=1,LEFT(对接源_02物料!$D561,4)="原料出库"),1,0)</f>
        <v>0</v>
      </c>
      <c r="AC1761" s="1" t="n">
        <f aca="false">N(AC1760)+$AB1761</f>
        <v>19</v>
      </c>
      <c r="AD1761" s="1" t="n">
        <f aca="false">IF(AND($M1761=1,LEFT(对接源_02物料!$D561,4)="成品出库"),1,0)</f>
        <v>0</v>
      </c>
      <c r="AE1761" s="1" t="n">
        <f aca="false">N(AE1760)+$AD1761</f>
        <v>38</v>
      </c>
      <c r="AF1761" s="1" t="n">
        <f aca="false">IF(AND($N1761=1,AND(LEFT(对接源_02物料!$D561,4)="包装物料",N(对接源_02物料!$K561)&lt;&gt;0)),1,0)</f>
        <v>0</v>
      </c>
      <c r="AG1761" s="1" t="n">
        <f aca="false">N(AG1760)+$AF1761</f>
        <v>6</v>
      </c>
      <c r="AH1761" s="1" t="n">
        <f aca="false">IF(AND($N1761=1,AND(LEFT(对接源_02物料!$D561,3)="周转筐",N(对接源_02物料!$K561)&lt;&gt;0)),1,0)</f>
        <v>0</v>
      </c>
      <c r="AI1761" s="1" t="n">
        <f aca="false">N(AI1760)+$AH1761</f>
        <v>0</v>
      </c>
      <c r="AJ1761" s="1" t="n">
        <v>0</v>
      </c>
      <c r="AK1761" s="1" t="n">
        <f aca="false">N(AK1760)+$AJ1761</f>
        <v>3672</v>
      </c>
    </row>
    <row r="1762" customFormat="false" ht="13.5" hidden="false" customHeight="false" outlineLevel="0" collapsed="false">
      <c r="A1762" s="1" t="str">
        <f aca="false">IF(对接源_02物料!$C562="","",对接源_02物料!$C562)</f>
        <v/>
      </c>
      <c r="B1762" s="1" t="n">
        <f aca="false">IF(A1762="",0,IF(MATCH(A1762,$A$4:$A$2403,0)=ROW()-3,1,0))</f>
        <v>0</v>
      </c>
      <c r="C1762" s="1" t="n">
        <f aca="false">N(C1761)+B1762</f>
        <v>17</v>
      </c>
      <c r="K1762" s="1" t="n">
        <f aca="false">IF(OR($K$1="",对接源_02物料!$C562="",对接源_02物料!$C562&lt;&gt;$K$1,对接源_02物料!$B562=""),0,IF(OR(N(对接源_02物料!$B562)&lt;$K$2,N(对接源_02物料!$B562)&gt;$K$3),0,1))</f>
        <v>0</v>
      </c>
      <c r="L1762" s="1" t="n">
        <f aca="false">IF(OR($L$1="",对接源_02物料!$C562="",对接源_02物料!$C562&lt;&gt;$L$1,对接源_02物料!$B562=""),0,IF(OR(N(对接源_02物料!$B562)&lt;$L$2,N(对接源_02物料!$B562)&gt;$L$3),0,1))</f>
        <v>0</v>
      </c>
      <c r="M1762" s="1" t="n">
        <f aca="false">IF(OR($M$1="",对接源_02物料!$C562="",对接源_02物料!$C562&lt;&gt;$M$1,对接源_02物料!$B562=""),0,IF(OR(N(对接源_02物料!$B562)&lt;$M$2,N(对接源_02物料!$B562)&gt;$M$3),0,1))</f>
        <v>0</v>
      </c>
      <c r="N1762" s="1" t="n">
        <f aca="false">IF(OR($N$1="",对接源_02物料!$C562="",对接源_02物料!$C562&lt;&gt;$N$1,对接源_02物料!$B562=""),0,IF(OR(N(对接源_02物料!$B562)&lt;$N$2,N(对接源_02物料!$B562)&gt;$N$3),0,1))</f>
        <v>0</v>
      </c>
      <c r="P1762" s="1" t="n">
        <f aca="false">IF(AND($K1762=1,AND(对接源_02物料!$X562="公司筐",N(对接源_02物料!$T562)&lt;&gt;0)),1,0)</f>
        <v>0</v>
      </c>
      <c r="Q1762" s="1" t="n">
        <f aca="false">N(Q1761)+$P1762</f>
        <v>13</v>
      </c>
      <c r="R1762" s="1" t="n">
        <f aca="false">IF(AND($K1762=1,AND(对接源_02物料!$X562="公司筐",N(对接源_02物料!$U562)&lt;&gt;0)),1,0)</f>
        <v>0</v>
      </c>
      <c r="S1762" s="1" t="n">
        <f aca="false">N(S1761)+$R1762</f>
        <v>5</v>
      </c>
      <c r="T1762" s="1" t="n">
        <f aca="false">IF(AND($K1762=1,AND(对接源_02物料!$X562="公司筐",N(对接源_02物料!$V562)&lt;&gt;0)),1,0)</f>
        <v>0</v>
      </c>
      <c r="U1762" s="1" t="n">
        <f aca="false">N(U1761)+$T1762</f>
        <v>28</v>
      </c>
      <c r="V1762" s="1" t="n">
        <f aca="false">IF(AND($L1762=1,AND(对接源_02物料!$X562="自备筐",N(对接源_02物料!$V562)&lt;&gt;0)),1,0)</f>
        <v>0</v>
      </c>
      <c r="W1762" s="1" t="n">
        <f aca="false">N(W1761)+$V1762</f>
        <v>7</v>
      </c>
      <c r="X1762" s="1" t="n">
        <f aca="false">IF(AND($L1762=1,AND(对接源_02物料!$X562="自备筐",N(对接源_02物料!$T562)&lt;&gt;0)),1,0)</f>
        <v>0</v>
      </c>
      <c r="Y1762" s="1" t="n">
        <f aca="false">N(Y1761)+$X1762</f>
        <v>0</v>
      </c>
      <c r="Z1762" s="1" t="n">
        <f aca="false">IF(AND($M1762=1,对接源_02物料!$D562="原料入库"),1,0)</f>
        <v>0</v>
      </c>
      <c r="AA1762" s="1" t="n">
        <f aca="false">N(AA1761)+$Z1762</f>
        <v>30</v>
      </c>
      <c r="AB1762" s="1" t="n">
        <f aca="false">IF(AND($M1762=1,LEFT(对接源_02物料!$D562,4)="原料出库"),1,0)</f>
        <v>0</v>
      </c>
      <c r="AC1762" s="1" t="n">
        <f aca="false">N(AC1761)+$AB1762</f>
        <v>19</v>
      </c>
      <c r="AD1762" s="1" t="n">
        <f aca="false">IF(AND($M1762=1,LEFT(对接源_02物料!$D562,4)="成品出库"),1,0)</f>
        <v>0</v>
      </c>
      <c r="AE1762" s="1" t="n">
        <f aca="false">N(AE1761)+$AD1762</f>
        <v>38</v>
      </c>
      <c r="AF1762" s="1" t="n">
        <f aca="false">IF(AND($N1762=1,AND(LEFT(对接源_02物料!$D562,4)="包装物料",N(对接源_02物料!$K562)&lt;&gt;0)),1,0)</f>
        <v>0</v>
      </c>
      <c r="AG1762" s="1" t="n">
        <f aca="false">N(AG1761)+$AF1762</f>
        <v>6</v>
      </c>
      <c r="AH1762" s="1" t="n">
        <f aca="false">IF(AND($N1762=1,AND(LEFT(对接源_02物料!$D562,3)="周转筐",N(对接源_02物料!$K562)&lt;&gt;0)),1,0)</f>
        <v>0</v>
      </c>
      <c r="AI1762" s="1" t="n">
        <f aca="false">N(AI1761)+$AH1762</f>
        <v>0</v>
      </c>
      <c r="AJ1762" s="1" t="n">
        <v>0</v>
      </c>
      <c r="AK1762" s="1" t="n">
        <f aca="false">N(AK1761)+$AJ1762</f>
        <v>3672</v>
      </c>
    </row>
    <row r="1763" customFormat="false" ht="13.5" hidden="false" customHeight="false" outlineLevel="0" collapsed="false">
      <c r="A1763" s="1" t="str">
        <f aca="false">IF(对接源_02物料!$C563="","",对接源_02物料!$C563)</f>
        <v/>
      </c>
      <c r="B1763" s="1" t="n">
        <f aca="false">IF(A1763="",0,IF(MATCH(A1763,$A$4:$A$2403,0)=ROW()-3,1,0))</f>
        <v>0</v>
      </c>
      <c r="C1763" s="1" t="n">
        <f aca="false">N(C1762)+B1763</f>
        <v>17</v>
      </c>
      <c r="K1763" s="1" t="n">
        <f aca="false">IF(OR($K$1="",对接源_02物料!$C563="",对接源_02物料!$C563&lt;&gt;$K$1,对接源_02物料!$B563=""),0,IF(OR(N(对接源_02物料!$B563)&lt;$K$2,N(对接源_02物料!$B563)&gt;$K$3),0,1))</f>
        <v>0</v>
      </c>
      <c r="L1763" s="1" t="n">
        <f aca="false">IF(OR($L$1="",对接源_02物料!$C563="",对接源_02物料!$C563&lt;&gt;$L$1,对接源_02物料!$B563=""),0,IF(OR(N(对接源_02物料!$B563)&lt;$L$2,N(对接源_02物料!$B563)&gt;$L$3),0,1))</f>
        <v>0</v>
      </c>
      <c r="M1763" s="1" t="n">
        <f aca="false">IF(OR($M$1="",对接源_02物料!$C563="",对接源_02物料!$C563&lt;&gt;$M$1,对接源_02物料!$B563=""),0,IF(OR(N(对接源_02物料!$B563)&lt;$M$2,N(对接源_02物料!$B563)&gt;$M$3),0,1))</f>
        <v>0</v>
      </c>
      <c r="N1763" s="1" t="n">
        <f aca="false">IF(OR($N$1="",对接源_02物料!$C563="",对接源_02物料!$C563&lt;&gt;$N$1,对接源_02物料!$B563=""),0,IF(OR(N(对接源_02物料!$B563)&lt;$N$2,N(对接源_02物料!$B563)&gt;$N$3),0,1))</f>
        <v>0</v>
      </c>
      <c r="P1763" s="1" t="n">
        <f aca="false">IF(AND($K1763=1,AND(对接源_02物料!$X563="公司筐",N(对接源_02物料!$T563)&lt;&gt;0)),1,0)</f>
        <v>0</v>
      </c>
      <c r="Q1763" s="1" t="n">
        <f aca="false">N(Q1762)+$P1763</f>
        <v>13</v>
      </c>
      <c r="R1763" s="1" t="n">
        <f aca="false">IF(AND($K1763=1,AND(对接源_02物料!$X563="公司筐",N(对接源_02物料!$U563)&lt;&gt;0)),1,0)</f>
        <v>0</v>
      </c>
      <c r="S1763" s="1" t="n">
        <f aca="false">N(S1762)+$R1763</f>
        <v>5</v>
      </c>
      <c r="T1763" s="1" t="n">
        <f aca="false">IF(AND($K1763=1,AND(对接源_02物料!$X563="公司筐",N(对接源_02物料!$V563)&lt;&gt;0)),1,0)</f>
        <v>0</v>
      </c>
      <c r="U1763" s="1" t="n">
        <f aca="false">N(U1762)+$T1763</f>
        <v>28</v>
      </c>
      <c r="V1763" s="1" t="n">
        <f aca="false">IF(AND($L1763=1,AND(对接源_02物料!$X563="自备筐",N(对接源_02物料!$V563)&lt;&gt;0)),1,0)</f>
        <v>0</v>
      </c>
      <c r="W1763" s="1" t="n">
        <f aca="false">N(W1762)+$V1763</f>
        <v>7</v>
      </c>
      <c r="X1763" s="1" t="n">
        <f aca="false">IF(AND($L1763=1,AND(对接源_02物料!$X563="自备筐",N(对接源_02物料!$T563)&lt;&gt;0)),1,0)</f>
        <v>0</v>
      </c>
      <c r="Y1763" s="1" t="n">
        <f aca="false">N(Y1762)+$X1763</f>
        <v>0</v>
      </c>
      <c r="Z1763" s="1" t="n">
        <f aca="false">IF(AND($M1763=1,对接源_02物料!$D563="原料入库"),1,0)</f>
        <v>0</v>
      </c>
      <c r="AA1763" s="1" t="n">
        <f aca="false">N(AA1762)+$Z1763</f>
        <v>30</v>
      </c>
      <c r="AB1763" s="1" t="n">
        <f aca="false">IF(AND($M1763=1,LEFT(对接源_02物料!$D563,4)="原料出库"),1,0)</f>
        <v>0</v>
      </c>
      <c r="AC1763" s="1" t="n">
        <f aca="false">N(AC1762)+$AB1763</f>
        <v>19</v>
      </c>
      <c r="AD1763" s="1" t="n">
        <f aca="false">IF(AND($M1763=1,LEFT(对接源_02物料!$D563,4)="成品出库"),1,0)</f>
        <v>0</v>
      </c>
      <c r="AE1763" s="1" t="n">
        <f aca="false">N(AE1762)+$AD1763</f>
        <v>38</v>
      </c>
      <c r="AF1763" s="1" t="n">
        <f aca="false">IF(AND($N1763=1,AND(LEFT(对接源_02物料!$D563,4)="包装物料",N(对接源_02物料!$K563)&lt;&gt;0)),1,0)</f>
        <v>0</v>
      </c>
      <c r="AG1763" s="1" t="n">
        <f aca="false">N(AG1762)+$AF1763</f>
        <v>6</v>
      </c>
      <c r="AH1763" s="1" t="n">
        <f aca="false">IF(AND($N1763=1,AND(LEFT(对接源_02物料!$D563,3)="周转筐",N(对接源_02物料!$K563)&lt;&gt;0)),1,0)</f>
        <v>0</v>
      </c>
      <c r="AI1763" s="1" t="n">
        <f aca="false">N(AI1762)+$AH1763</f>
        <v>0</v>
      </c>
      <c r="AJ1763" s="1" t="n">
        <v>0</v>
      </c>
      <c r="AK1763" s="1" t="n">
        <f aca="false">N(AK1762)+$AJ1763</f>
        <v>3672</v>
      </c>
    </row>
    <row r="1764" customFormat="false" ht="13.5" hidden="false" customHeight="false" outlineLevel="0" collapsed="false">
      <c r="A1764" s="1" t="str">
        <f aca="false">IF(对接源_02物料!$C564="","",对接源_02物料!$C564)</f>
        <v/>
      </c>
      <c r="B1764" s="1" t="n">
        <f aca="false">IF(A1764="",0,IF(MATCH(A1764,$A$4:$A$2403,0)=ROW()-3,1,0))</f>
        <v>0</v>
      </c>
      <c r="C1764" s="1" t="n">
        <f aca="false">N(C1763)+B1764</f>
        <v>17</v>
      </c>
      <c r="K1764" s="1" t="n">
        <f aca="false">IF(OR($K$1="",对接源_02物料!$C564="",对接源_02物料!$C564&lt;&gt;$K$1,对接源_02物料!$B564=""),0,IF(OR(N(对接源_02物料!$B564)&lt;$K$2,N(对接源_02物料!$B564)&gt;$K$3),0,1))</f>
        <v>0</v>
      </c>
      <c r="L1764" s="1" t="n">
        <f aca="false">IF(OR($L$1="",对接源_02物料!$C564="",对接源_02物料!$C564&lt;&gt;$L$1,对接源_02物料!$B564=""),0,IF(OR(N(对接源_02物料!$B564)&lt;$L$2,N(对接源_02物料!$B564)&gt;$L$3),0,1))</f>
        <v>0</v>
      </c>
      <c r="M1764" s="1" t="n">
        <f aca="false">IF(OR($M$1="",对接源_02物料!$C564="",对接源_02物料!$C564&lt;&gt;$M$1,对接源_02物料!$B564=""),0,IF(OR(N(对接源_02物料!$B564)&lt;$M$2,N(对接源_02物料!$B564)&gt;$M$3),0,1))</f>
        <v>0</v>
      </c>
      <c r="N1764" s="1" t="n">
        <f aca="false">IF(OR($N$1="",对接源_02物料!$C564="",对接源_02物料!$C564&lt;&gt;$N$1,对接源_02物料!$B564=""),0,IF(OR(N(对接源_02物料!$B564)&lt;$N$2,N(对接源_02物料!$B564)&gt;$N$3),0,1))</f>
        <v>0</v>
      </c>
      <c r="P1764" s="1" t="n">
        <f aca="false">IF(AND($K1764=1,AND(对接源_02物料!$X564="公司筐",N(对接源_02物料!$T564)&lt;&gt;0)),1,0)</f>
        <v>0</v>
      </c>
      <c r="Q1764" s="1" t="n">
        <f aca="false">N(Q1763)+$P1764</f>
        <v>13</v>
      </c>
      <c r="R1764" s="1" t="n">
        <f aca="false">IF(AND($K1764=1,AND(对接源_02物料!$X564="公司筐",N(对接源_02物料!$U564)&lt;&gt;0)),1,0)</f>
        <v>0</v>
      </c>
      <c r="S1764" s="1" t="n">
        <f aca="false">N(S1763)+$R1764</f>
        <v>5</v>
      </c>
      <c r="T1764" s="1" t="n">
        <f aca="false">IF(AND($K1764=1,AND(对接源_02物料!$X564="公司筐",N(对接源_02物料!$V564)&lt;&gt;0)),1,0)</f>
        <v>0</v>
      </c>
      <c r="U1764" s="1" t="n">
        <f aca="false">N(U1763)+$T1764</f>
        <v>28</v>
      </c>
      <c r="V1764" s="1" t="n">
        <f aca="false">IF(AND($L1764=1,AND(对接源_02物料!$X564="自备筐",N(对接源_02物料!$V564)&lt;&gt;0)),1,0)</f>
        <v>0</v>
      </c>
      <c r="W1764" s="1" t="n">
        <f aca="false">N(W1763)+$V1764</f>
        <v>7</v>
      </c>
      <c r="X1764" s="1" t="n">
        <f aca="false">IF(AND($L1764=1,AND(对接源_02物料!$X564="自备筐",N(对接源_02物料!$T564)&lt;&gt;0)),1,0)</f>
        <v>0</v>
      </c>
      <c r="Y1764" s="1" t="n">
        <f aca="false">N(Y1763)+$X1764</f>
        <v>0</v>
      </c>
      <c r="Z1764" s="1" t="n">
        <f aca="false">IF(AND($M1764=1,对接源_02物料!$D564="原料入库"),1,0)</f>
        <v>0</v>
      </c>
      <c r="AA1764" s="1" t="n">
        <f aca="false">N(AA1763)+$Z1764</f>
        <v>30</v>
      </c>
      <c r="AB1764" s="1" t="n">
        <f aca="false">IF(AND($M1764=1,LEFT(对接源_02物料!$D564,4)="原料出库"),1,0)</f>
        <v>0</v>
      </c>
      <c r="AC1764" s="1" t="n">
        <f aca="false">N(AC1763)+$AB1764</f>
        <v>19</v>
      </c>
      <c r="AD1764" s="1" t="n">
        <f aca="false">IF(AND($M1764=1,LEFT(对接源_02物料!$D564,4)="成品出库"),1,0)</f>
        <v>0</v>
      </c>
      <c r="AE1764" s="1" t="n">
        <f aca="false">N(AE1763)+$AD1764</f>
        <v>38</v>
      </c>
      <c r="AF1764" s="1" t="n">
        <f aca="false">IF(AND($N1764=1,AND(LEFT(对接源_02物料!$D564,4)="包装物料",N(对接源_02物料!$K564)&lt;&gt;0)),1,0)</f>
        <v>0</v>
      </c>
      <c r="AG1764" s="1" t="n">
        <f aca="false">N(AG1763)+$AF1764</f>
        <v>6</v>
      </c>
      <c r="AH1764" s="1" t="n">
        <f aca="false">IF(AND($N1764=1,AND(LEFT(对接源_02物料!$D564,3)="周转筐",N(对接源_02物料!$K564)&lt;&gt;0)),1,0)</f>
        <v>0</v>
      </c>
      <c r="AI1764" s="1" t="n">
        <f aca="false">N(AI1763)+$AH1764</f>
        <v>0</v>
      </c>
      <c r="AJ1764" s="1" t="n">
        <v>0</v>
      </c>
      <c r="AK1764" s="1" t="n">
        <f aca="false">N(AK1763)+$AJ1764</f>
        <v>3672</v>
      </c>
    </row>
    <row r="1765" customFormat="false" ht="13.5" hidden="false" customHeight="false" outlineLevel="0" collapsed="false">
      <c r="A1765" s="1" t="str">
        <f aca="false">IF(对接源_02物料!$C565="","",对接源_02物料!$C565)</f>
        <v/>
      </c>
      <c r="B1765" s="1" t="n">
        <f aca="false">IF(A1765="",0,IF(MATCH(A1765,$A$4:$A$2403,0)=ROW()-3,1,0))</f>
        <v>0</v>
      </c>
      <c r="C1765" s="1" t="n">
        <f aca="false">N(C1764)+B1765</f>
        <v>17</v>
      </c>
      <c r="K1765" s="1" t="n">
        <f aca="false">IF(OR($K$1="",对接源_02物料!$C565="",对接源_02物料!$C565&lt;&gt;$K$1,对接源_02物料!$B565=""),0,IF(OR(N(对接源_02物料!$B565)&lt;$K$2,N(对接源_02物料!$B565)&gt;$K$3),0,1))</f>
        <v>0</v>
      </c>
      <c r="L1765" s="1" t="n">
        <f aca="false">IF(OR($L$1="",对接源_02物料!$C565="",对接源_02物料!$C565&lt;&gt;$L$1,对接源_02物料!$B565=""),0,IF(OR(N(对接源_02物料!$B565)&lt;$L$2,N(对接源_02物料!$B565)&gt;$L$3),0,1))</f>
        <v>0</v>
      </c>
      <c r="M1765" s="1" t="n">
        <f aca="false">IF(OR($M$1="",对接源_02物料!$C565="",对接源_02物料!$C565&lt;&gt;$M$1,对接源_02物料!$B565=""),0,IF(OR(N(对接源_02物料!$B565)&lt;$M$2,N(对接源_02物料!$B565)&gt;$M$3),0,1))</f>
        <v>0</v>
      </c>
      <c r="N1765" s="1" t="n">
        <f aca="false">IF(OR($N$1="",对接源_02物料!$C565="",对接源_02物料!$C565&lt;&gt;$N$1,对接源_02物料!$B565=""),0,IF(OR(N(对接源_02物料!$B565)&lt;$N$2,N(对接源_02物料!$B565)&gt;$N$3),0,1))</f>
        <v>0</v>
      </c>
      <c r="P1765" s="1" t="n">
        <f aca="false">IF(AND($K1765=1,AND(对接源_02物料!$X565="公司筐",N(对接源_02物料!$T565)&lt;&gt;0)),1,0)</f>
        <v>0</v>
      </c>
      <c r="Q1765" s="1" t="n">
        <f aca="false">N(Q1764)+$P1765</f>
        <v>13</v>
      </c>
      <c r="R1765" s="1" t="n">
        <f aca="false">IF(AND($K1765=1,AND(对接源_02物料!$X565="公司筐",N(对接源_02物料!$U565)&lt;&gt;0)),1,0)</f>
        <v>0</v>
      </c>
      <c r="S1765" s="1" t="n">
        <f aca="false">N(S1764)+$R1765</f>
        <v>5</v>
      </c>
      <c r="T1765" s="1" t="n">
        <f aca="false">IF(AND($K1765=1,AND(对接源_02物料!$X565="公司筐",N(对接源_02物料!$V565)&lt;&gt;0)),1,0)</f>
        <v>0</v>
      </c>
      <c r="U1765" s="1" t="n">
        <f aca="false">N(U1764)+$T1765</f>
        <v>28</v>
      </c>
      <c r="V1765" s="1" t="n">
        <f aca="false">IF(AND($L1765=1,AND(对接源_02物料!$X565="自备筐",N(对接源_02物料!$V565)&lt;&gt;0)),1,0)</f>
        <v>0</v>
      </c>
      <c r="W1765" s="1" t="n">
        <f aca="false">N(W1764)+$V1765</f>
        <v>7</v>
      </c>
      <c r="X1765" s="1" t="n">
        <f aca="false">IF(AND($L1765=1,AND(对接源_02物料!$X565="自备筐",N(对接源_02物料!$T565)&lt;&gt;0)),1,0)</f>
        <v>0</v>
      </c>
      <c r="Y1765" s="1" t="n">
        <f aca="false">N(Y1764)+$X1765</f>
        <v>0</v>
      </c>
      <c r="Z1765" s="1" t="n">
        <f aca="false">IF(AND($M1765=1,对接源_02物料!$D565="原料入库"),1,0)</f>
        <v>0</v>
      </c>
      <c r="AA1765" s="1" t="n">
        <f aca="false">N(AA1764)+$Z1765</f>
        <v>30</v>
      </c>
      <c r="AB1765" s="1" t="n">
        <f aca="false">IF(AND($M1765=1,LEFT(对接源_02物料!$D565,4)="原料出库"),1,0)</f>
        <v>0</v>
      </c>
      <c r="AC1765" s="1" t="n">
        <f aca="false">N(AC1764)+$AB1765</f>
        <v>19</v>
      </c>
      <c r="AD1765" s="1" t="n">
        <f aca="false">IF(AND($M1765=1,LEFT(对接源_02物料!$D565,4)="成品出库"),1,0)</f>
        <v>0</v>
      </c>
      <c r="AE1765" s="1" t="n">
        <f aca="false">N(AE1764)+$AD1765</f>
        <v>38</v>
      </c>
      <c r="AF1765" s="1" t="n">
        <f aca="false">IF(AND($N1765=1,AND(LEFT(对接源_02物料!$D565,4)="包装物料",N(对接源_02物料!$K565)&lt;&gt;0)),1,0)</f>
        <v>0</v>
      </c>
      <c r="AG1765" s="1" t="n">
        <f aca="false">N(AG1764)+$AF1765</f>
        <v>6</v>
      </c>
      <c r="AH1765" s="1" t="n">
        <f aca="false">IF(AND($N1765=1,AND(LEFT(对接源_02物料!$D565,3)="周转筐",N(对接源_02物料!$K565)&lt;&gt;0)),1,0)</f>
        <v>0</v>
      </c>
      <c r="AI1765" s="1" t="n">
        <f aca="false">N(AI1764)+$AH1765</f>
        <v>0</v>
      </c>
      <c r="AJ1765" s="1" t="n">
        <v>0</v>
      </c>
      <c r="AK1765" s="1" t="n">
        <f aca="false">N(AK1764)+$AJ1765</f>
        <v>3672</v>
      </c>
    </row>
    <row r="1766" customFormat="false" ht="13.5" hidden="false" customHeight="false" outlineLevel="0" collapsed="false">
      <c r="A1766" s="1" t="str">
        <f aca="false">IF(对接源_02物料!$C566="","",对接源_02物料!$C566)</f>
        <v/>
      </c>
      <c r="B1766" s="1" t="n">
        <f aca="false">IF(A1766="",0,IF(MATCH(A1766,$A$4:$A$2403,0)=ROW()-3,1,0))</f>
        <v>0</v>
      </c>
      <c r="C1766" s="1" t="n">
        <f aca="false">N(C1765)+B1766</f>
        <v>17</v>
      </c>
      <c r="K1766" s="1" t="n">
        <f aca="false">IF(OR($K$1="",对接源_02物料!$C566="",对接源_02物料!$C566&lt;&gt;$K$1,对接源_02物料!$B566=""),0,IF(OR(N(对接源_02物料!$B566)&lt;$K$2,N(对接源_02物料!$B566)&gt;$K$3),0,1))</f>
        <v>0</v>
      </c>
      <c r="L1766" s="1" t="n">
        <f aca="false">IF(OR($L$1="",对接源_02物料!$C566="",对接源_02物料!$C566&lt;&gt;$L$1,对接源_02物料!$B566=""),0,IF(OR(N(对接源_02物料!$B566)&lt;$L$2,N(对接源_02物料!$B566)&gt;$L$3),0,1))</f>
        <v>0</v>
      </c>
      <c r="M1766" s="1" t="n">
        <f aca="false">IF(OR($M$1="",对接源_02物料!$C566="",对接源_02物料!$C566&lt;&gt;$M$1,对接源_02物料!$B566=""),0,IF(OR(N(对接源_02物料!$B566)&lt;$M$2,N(对接源_02物料!$B566)&gt;$M$3),0,1))</f>
        <v>0</v>
      </c>
      <c r="N1766" s="1" t="n">
        <f aca="false">IF(OR($N$1="",对接源_02物料!$C566="",对接源_02物料!$C566&lt;&gt;$N$1,对接源_02物料!$B566=""),0,IF(OR(N(对接源_02物料!$B566)&lt;$N$2,N(对接源_02物料!$B566)&gt;$N$3),0,1))</f>
        <v>0</v>
      </c>
      <c r="P1766" s="1" t="n">
        <f aca="false">IF(AND($K1766=1,AND(对接源_02物料!$X566="公司筐",N(对接源_02物料!$T566)&lt;&gt;0)),1,0)</f>
        <v>0</v>
      </c>
      <c r="Q1766" s="1" t="n">
        <f aca="false">N(Q1765)+$P1766</f>
        <v>13</v>
      </c>
      <c r="R1766" s="1" t="n">
        <f aca="false">IF(AND($K1766=1,AND(对接源_02物料!$X566="公司筐",N(对接源_02物料!$U566)&lt;&gt;0)),1,0)</f>
        <v>0</v>
      </c>
      <c r="S1766" s="1" t="n">
        <f aca="false">N(S1765)+$R1766</f>
        <v>5</v>
      </c>
      <c r="T1766" s="1" t="n">
        <f aca="false">IF(AND($K1766=1,AND(对接源_02物料!$X566="公司筐",N(对接源_02物料!$V566)&lt;&gt;0)),1,0)</f>
        <v>0</v>
      </c>
      <c r="U1766" s="1" t="n">
        <f aca="false">N(U1765)+$T1766</f>
        <v>28</v>
      </c>
      <c r="V1766" s="1" t="n">
        <f aca="false">IF(AND($L1766=1,AND(对接源_02物料!$X566="自备筐",N(对接源_02物料!$V566)&lt;&gt;0)),1,0)</f>
        <v>0</v>
      </c>
      <c r="W1766" s="1" t="n">
        <f aca="false">N(W1765)+$V1766</f>
        <v>7</v>
      </c>
      <c r="X1766" s="1" t="n">
        <f aca="false">IF(AND($L1766=1,AND(对接源_02物料!$X566="自备筐",N(对接源_02物料!$T566)&lt;&gt;0)),1,0)</f>
        <v>0</v>
      </c>
      <c r="Y1766" s="1" t="n">
        <f aca="false">N(Y1765)+$X1766</f>
        <v>0</v>
      </c>
      <c r="Z1766" s="1" t="n">
        <f aca="false">IF(AND($M1766=1,对接源_02物料!$D566="原料入库"),1,0)</f>
        <v>0</v>
      </c>
      <c r="AA1766" s="1" t="n">
        <f aca="false">N(AA1765)+$Z1766</f>
        <v>30</v>
      </c>
      <c r="AB1766" s="1" t="n">
        <f aca="false">IF(AND($M1766=1,LEFT(对接源_02物料!$D566,4)="原料出库"),1,0)</f>
        <v>0</v>
      </c>
      <c r="AC1766" s="1" t="n">
        <f aca="false">N(AC1765)+$AB1766</f>
        <v>19</v>
      </c>
      <c r="AD1766" s="1" t="n">
        <f aca="false">IF(AND($M1766=1,LEFT(对接源_02物料!$D566,4)="成品出库"),1,0)</f>
        <v>0</v>
      </c>
      <c r="AE1766" s="1" t="n">
        <f aca="false">N(AE1765)+$AD1766</f>
        <v>38</v>
      </c>
      <c r="AF1766" s="1" t="n">
        <f aca="false">IF(AND($N1766=1,AND(LEFT(对接源_02物料!$D566,4)="包装物料",N(对接源_02物料!$K566)&lt;&gt;0)),1,0)</f>
        <v>0</v>
      </c>
      <c r="AG1766" s="1" t="n">
        <f aca="false">N(AG1765)+$AF1766</f>
        <v>6</v>
      </c>
      <c r="AH1766" s="1" t="n">
        <f aca="false">IF(AND($N1766=1,AND(LEFT(对接源_02物料!$D566,3)="周转筐",N(对接源_02物料!$K566)&lt;&gt;0)),1,0)</f>
        <v>0</v>
      </c>
      <c r="AI1766" s="1" t="n">
        <f aca="false">N(AI1765)+$AH1766</f>
        <v>0</v>
      </c>
      <c r="AJ1766" s="1" t="n">
        <v>0</v>
      </c>
      <c r="AK1766" s="1" t="n">
        <f aca="false">N(AK1765)+$AJ1766</f>
        <v>3672</v>
      </c>
    </row>
    <row r="1767" customFormat="false" ht="13.5" hidden="false" customHeight="false" outlineLevel="0" collapsed="false">
      <c r="A1767" s="1" t="str">
        <f aca="false">IF(对接源_02物料!$C567="","",对接源_02物料!$C567)</f>
        <v/>
      </c>
      <c r="B1767" s="1" t="n">
        <f aca="false">IF(A1767="",0,IF(MATCH(A1767,$A$4:$A$2403,0)=ROW()-3,1,0))</f>
        <v>0</v>
      </c>
      <c r="C1767" s="1" t="n">
        <f aca="false">N(C1766)+B1767</f>
        <v>17</v>
      </c>
      <c r="K1767" s="1" t="n">
        <f aca="false">IF(OR($K$1="",对接源_02物料!$C567="",对接源_02物料!$C567&lt;&gt;$K$1,对接源_02物料!$B567=""),0,IF(OR(N(对接源_02物料!$B567)&lt;$K$2,N(对接源_02物料!$B567)&gt;$K$3),0,1))</f>
        <v>0</v>
      </c>
      <c r="L1767" s="1" t="n">
        <f aca="false">IF(OR($L$1="",对接源_02物料!$C567="",对接源_02物料!$C567&lt;&gt;$L$1,对接源_02物料!$B567=""),0,IF(OR(N(对接源_02物料!$B567)&lt;$L$2,N(对接源_02物料!$B567)&gt;$L$3),0,1))</f>
        <v>0</v>
      </c>
      <c r="M1767" s="1" t="n">
        <f aca="false">IF(OR($M$1="",对接源_02物料!$C567="",对接源_02物料!$C567&lt;&gt;$M$1,对接源_02物料!$B567=""),0,IF(OR(N(对接源_02物料!$B567)&lt;$M$2,N(对接源_02物料!$B567)&gt;$M$3),0,1))</f>
        <v>0</v>
      </c>
      <c r="N1767" s="1" t="n">
        <f aca="false">IF(OR($N$1="",对接源_02物料!$C567="",对接源_02物料!$C567&lt;&gt;$N$1,对接源_02物料!$B567=""),0,IF(OR(N(对接源_02物料!$B567)&lt;$N$2,N(对接源_02物料!$B567)&gt;$N$3),0,1))</f>
        <v>0</v>
      </c>
      <c r="P1767" s="1" t="n">
        <f aca="false">IF(AND($K1767=1,AND(对接源_02物料!$X567="公司筐",N(对接源_02物料!$T567)&lt;&gt;0)),1,0)</f>
        <v>0</v>
      </c>
      <c r="Q1767" s="1" t="n">
        <f aca="false">N(Q1766)+$P1767</f>
        <v>13</v>
      </c>
      <c r="R1767" s="1" t="n">
        <f aca="false">IF(AND($K1767=1,AND(对接源_02物料!$X567="公司筐",N(对接源_02物料!$U567)&lt;&gt;0)),1,0)</f>
        <v>0</v>
      </c>
      <c r="S1767" s="1" t="n">
        <f aca="false">N(S1766)+$R1767</f>
        <v>5</v>
      </c>
      <c r="T1767" s="1" t="n">
        <f aca="false">IF(AND($K1767=1,AND(对接源_02物料!$X567="公司筐",N(对接源_02物料!$V567)&lt;&gt;0)),1,0)</f>
        <v>0</v>
      </c>
      <c r="U1767" s="1" t="n">
        <f aca="false">N(U1766)+$T1767</f>
        <v>28</v>
      </c>
      <c r="V1767" s="1" t="n">
        <f aca="false">IF(AND($L1767=1,AND(对接源_02物料!$X567="自备筐",N(对接源_02物料!$V567)&lt;&gt;0)),1,0)</f>
        <v>0</v>
      </c>
      <c r="W1767" s="1" t="n">
        <f aca="false">N(W1766)+$V1767</f>
        <v>7</v>
      </c>
      <c r="X1767" s="1" t="n">
        <f aca="false">IF(AND($L1767=1,AND(对接源_02物料!$X567="自备筐",N(对接源_02物料!$T567)&lt;&gt;0)),1,0)</f>
        <v>0</v>
      </c>
      <c r="Y1767" s="1" t="n">
        <f aca="false">N(Y1766)+$X1767</f>
        <v>0</v>
      </c>
      <c r="Z1767" s="1" t="n">
        <f aca="false">IF(AND($M1767=1,对接源_02物料!$D567="原料入库"),1,0)</f>
        <v>0</v>
      </c>
      <c r="AA1767" s="1" t="n">
        <f aca="false">N(AA1766)+$Z1767</f>
        <v>30</v>
      </c>
      <c r="AB1767" s="1" t="n">
        <f aca="false">IF(AND($M1767=1,LEFT(对接源_02物料!$D567,4)="原料出库"),1,0)</f>
        <v>0</v>
      </c>
      <c r="AC1767" s="1" t="n">
        <f aca="false">N(AC1766)+$AB1767</f>
        <v>19</v>
      </c>
      <c r="AD1767" s="1" t="n">
        <f aca="false">IF(AND($M1767=1,LEFT(对接源_02物料!$D567,4)="成品出库"),1,0)</f>
        <v>0</v>
      </c>
      <c r="AE1767" s="1" t="n">
        <f aca="false">N(AE1766)+$AD1767</f>
        <v>38</v>
      </c>
      <c r="AF1767" s="1" t="n">
        <f aca="false">IF(AND($N1767=1,AND(LEFT(对接源_02物料!$D567,4)="包装物料",N(对接源_02物料!$K567)&lt;&gt;0)),1,0)</f>
        <v>0</v>
      </c>
      <c r="AG1767" s="1" t="n">
        <f aca="false">N(AG1766)+$AF1767</f>
        <v>6</v>
      </c>
      <c r="AH1767" s="1" t="n">
        <f aca="false">IF(AND($N1767=1,AND(LEFT(对接源_02物料!$D567,3)="周转筐",N(对接源_02物料!$K567)&lt;&gt;0)),1,0)</f>
        <v>0</v>
      </c>
      <c r="AI1767" s="1" t="n">
        <f aca="false">N(AI1766)+$AH1767</f>
        <v>0</v>
      </c>
      <c r="AJ1767" s="1" t="n">
        <v>0</v>
      </c>
      <c r="AK1767" s="1" t="n">
        <f aca="false">N(AK1766)+$AJ1767</f>
        <v>3672</v>
      </c>
    </row>
    <row r="1768" customFormat="false" ht="13.5" hidden="false" customHeight="false" outlineLevel="0" collapsed="false">
      <c r="A1768" s="1" t="str">
        <f aca="false">IF(对接源_02物料!$C568="","",对接源_02物料!$C568)</f>
        <v/>
      </c>
      <c r="B1768" s="1" t="n">
        <f aca="false">IF(A1768="",0,IF(MATCH(A1768,$A$4:$A$2403,0)=ROW()-3,1,0))</f>
        <v>0</v>
      </c>
      <c r="C1768" s="1" t="n">
        <f aca="false">N(C1767)+B1768</f>
        <v>17</v>
      </c>
      <c r="K1768" s="1" t="n">
        <f aca="false">IF(OR($K$1="",对接源_02物料!$C568="",对接源_02物料!$C568&lt;&gt;$K$1,对接源_02物料!$B568=""),0,IF(OR(N(对接源_02物料!$B568)&lt;$K$2,N(对接源_02物料!$B568)&gt;$K$3),0,1))</f>
        <v>0</v>
      </c>
      <c r="L1768" s="1" t="n">
        <f aca="false">IF(OR($L$1="",对接源_02物料!$C568="",对接源_02物料!$C568&lt;&gt;$L$1,对接源_02物料!$B568=""),0,IF(OR(N(对接源_02物料!$B568)&lt;$L$2,N(对接源_02物料!$B568)&gt;$L$3),0,1))</f>
        <v>0</v>
      </c>
      <c r="M1768" s="1" t="n">
        <f aca="false">IF(OR($M$1="",对接源_02物料!$C568="",对接源_02物料!$C568&lt;&gt;$M$1,对接源_02物料!$B568=""),0,IF(OR(N(对接源_02物料!$B568)&lt;$M$2,N(对接源_02物料!$B568)&gt;$M$3),0,1))</f>
        <v>0</v>
      </c>
      <c r="N1768" s="1" t="n">
        <f aca="false">IF(OR($N$1="",对接源_02物料!$C568="",对接源_02物料!$C568&lt;&gt;$N$1,对接源_02物料!$B568=""),0,IF(OR(N(对接源_02物料!$B568)&lt;$N$2,N(对接源_02物料!$B568)&gt;$N$3),0,1))</f>
        <v>0</v>
      </c>
      <c r="P1768" s="1" t="n">
        <f aca="false">IF(AND($K1768=1,AND(对接源_02物料!$X568="公司筐",N(对接源_02物料!$T568)&lt;&gt;0)),1,0)</f>
        <v>0</v>
      </c>
      <c r="Q1768" s="1" t="n">
        <f aca="false">N(Q1767)+$P1768</f>
        <v>13</v>
      </c>
      <c r="R1768" s="1" t="n">
        <f aca="false">IF(AND($K1768=1,AND(对接源_02物料!$X568="公司筐",N(对接源_02物料!$U568)&lt;&gt;0)),1,0)</f>
        <v>0</v>
      </c>
      <c r="S1768" s="1" t="n">
        <f aca="false">N(S1767)+$R1768</f>
        <v>5</v>
      </c>
      <c r="T1768" s="1" t="n">
        <f aca="false">IF(AND($K1768=1,AND(对接源_02物料!$X568="公司筐",N(对接源_02物料!$V568)&lt;&gt;0)),1,0)</f>
        <v>0</v>
      </c>
      <c r="U1768" s="1" t="n">
        <f aca="false">N(U1767)+$T1768</f>
        <v>28</v>
      </c>
      <c r="V1768" s="1" t="n">
        <f aca="false">IF(AND($L1768=1,AND(对接源_02物料!$X568="自备筐",N(对接源_02物料!$V568)&lt;&gt;0)),1,0)</f>
        <v>0</v>
      </c>
      <c r="W1768" s="1" t="n">
        <f aca="false">N(W1767)+$V1768</f>
        <v>7</v>
      </c>
      <c r="X1768" s="1" t="n">
        <f aca="false">IF(AND($L1768=1,AND(对接源_02物料!$X568="自备筐",N(对接源_02物料!$T568)&lt;&gt;0)),1,0)</f>
        <v>0</v>
      </c>
      <c r="Y1768" s="1" t="n">
        <f aca="false">N(Y1767)+$X1768</f>
        <v>0</v>
      </c>
      <c r="Z1768" s="1" t="n">
        <f aca="false">IF(AND($M1768=1,对接源_02物料!$D568="原料入库"),1,0)</f>
        <v>0</v>
      </c>
      <c r="AA1768" s="1" t="n">
        <f aca="false">N(AA1767)+$Z1768</f>
        <v>30</v>
      </c>
      <c r="AB1768" s="1" t="n">
        <f aca="false">IF(AND($M1768=1,LEFT(对接源_02物料!$D568,4)="原料出库"),1,0)</f>
        <v>0</v>
      </c>
      <c r="AC1768" s="1" t="n">
        <f aca="false">N(AC1767)+$AB1768</f>
        <v>19</v>
      </c>
      <c r="AD1768" s="1" t="n">
        <f aca="false">IF(AND($M1768=1,LEFT(对接源_02物料!$D568,4)="成品出库"),1,0)</f>
        <v>0</v>
      </c>
      <c r="AE1768" s="1" t="n">
        <f aca="false">N(AE1767)+$AD1768</f>
        <v>38</v>
      </c>
      <c r="AF1768" s="1" t="n">
        <f aca="false">IF(AND($N1768=1,AND(LEFT(对接源_02物料!$D568,4)="包装物料",N(对接源_02物料!$K568)&lt;&gt;0)),1,0)</f>
        <v>0</v>
      </c>
      <c r="AG1768" s="1" t="n">
        <f aca="false">N(AG1767)+$AF1768</f>
        <v>6</v>
      </c>
      <c r="AH1768" s="1" t="n">
        <f aca="false">IF(AND($N1768=1,AND(LEFT(对接源_02物料!$D568,3)="周转筐",N(对接源_02物料!$K568)&lt;&gt;0)),1,0)</f>
        <v>0</v>
      </c>
      <c r="AI1768" s="1" t="n">
        <f aca="false">N(AI1767)+$AH1768</f>
        <v>0</v>
      </c>
      <c r="AJ1768" s="1" t="n">
        <v>0</v>
      </c>
      <c r="AK1768" s="1" t="n">
        <f aca="false">N(AK1767)+$AJ1768</f>
        <v>3672</v>
      </c>
    </row>
    <row r="1769" customFormat="false" ht="13.5" hidden="false" customHeight="false" outlineLevel="0" collapsed="false">
      <c r="A1769" s="1" t="str">
        <f aca="false">IF(对接源_02物料!$C569="","",对接源_02物料!$C569)</f>
        <v/>
      </c>
      <c r="B1769" s="1" t="n">
        <f aca="false">IF(A1769="",0,IF(MATCH(A1769,$A$4:$A$2403,0)=ROW()-3,1,0))</f>
        <v>0</v>
      </c>
      <c r="C1769" s="1" t="n">
        <f aca="false">N(C1768)+B1769</f>
        <v>17</v>
      </c>
      <c r="K1769" s="1" t="n">
        <f aca="false">IF(OR($K$1="",对接源_02物料!$C569="",对接源_02物料!$C569&lt;&gt;$K$1,对接源_02物料!$B569=""),0,IF(OR(N(对接源_02物料!$B569)&lt;$K$2,N(对接源_02物料!$B569)&gt;$K$3),0,1))</f>
        <v>0</v>
      </c>
      <c r="L1769" s="1" t="n">
        <f aca="false">IF(OR($L$1="",对接源_02物料!$C569="",对接源_02物料!$C569&lt;&gt;$L$1,对接源_02物料!$B569=""),0,IF(OR(N(对接源_02物料!$B569)&lt;$L$2,N(对接源_02物料!$B569)&gt;$L$3),0,1))</f>
        <v>0</v>
      </c>
      <c r="M1769" s="1" t="n">
        <f aca="false">IF(OR($M$1="",对接源_02物料!$C569="",对接源_02物料!$C569&lt;&gt;$M$1,对接源_02物料!$B569=""),0,IF(OR(N(对接源_02物料!$B569)&lt;$M$2,N(对接源_02物料!$B569)&gt;$M$3),0,1))</f>
        <v>0</v>
      </c>
      <c r="N1769" s="1" t="n">
        <f aca="false">IF(OR($N$1="",对接源_02物料!$C569="",对接源_02物料!$C569&lt;&gt;$N$1,对接源_02物料!$B569=""),0,IF(OR(N(对接源_02物料!$B569)&lt;$N$2,N(对接源_02物料!$B569)&gt;$N$3),0,1))</f>
        <v>0</v>
      </c>
      <c r="P1769" s="1" t="n">
        <f aca="false">IF(AND($K1769=1,AND(对接源_02物料!$X569="公司筐",N(对接源_02物料!$T569)&lt;&gt;0)),1,0)</f>
        <v>0</v>
      </c>
      <c r="Q1769" s="1" t="n">
        <f aca="false">N(Q1768)+$P1769</f>
        <v>13</v>
      </c>
      <c r="R1769" s="1" t="n">
        <f aca="false">IF(AND($K1769=1,AND(对接源_02物料!$X569="公司筐",N(对接源_02物料!$U569)&lt;&gt;0)),1,0)</f>
        <v>0</v>
      </c>
      <c r="S1769" s="1" t="n">
        <f aca="false">N(S1768)+$R1769</f>
        <v>5</v>
      </c>
      <c r="T1769" s="1" t="n">
        <f aca="false">IF(AND($K1769=1,AND(对接源_02物料!$X569="公司筐",N(对接源_02物料!$V569)&lt;&gt;0)),1,0)</f>
        <v>0</v>
      </c>
      <c r="U1769" s="1" t="n">
        <f aca="false">N(U1768)+$T1769</f>
        <v>28</v>
      </c>
      <c r="V1769" s="1" t="n">
        <f aca="false">IF(AND($L1769=1,AND(对接源_02物料!$X569="自备筐",N(对接源_02物料!$V569)&lt;&gt;0)),1,0)</f>
        <v>0</v>
      </c>
      <c r="W1769" s="1" t="n">
        <f aca="false">N(W1768)+$V1769</f>
        <v>7</v>
      </c>
      <c r="X1769" s="1" t="n">
        <f aca="false">IF(AND($L1769=1,AND(对接源_02物料!$X569="自备筐",N(对接源_02物料!$T569)&lt;&gt;0)),1,0)</f>
        <v>0</v>
      </c>
      <c r="Y1769" s="1" t="n">
        <f aca="false">N(Y1768)+$X1769</f>
        <v>0</v>
      </c>
      <c r="Z1769" s="1" t="n">
        <f aca="false">IF(AND($M1769=1,对接源_02物料!$D569="原料入库"),1,0)</f>
        <v>0</v>
      </c>
      <c r="AA1769" s="1" t="n">
        <f aca="false">N(AA1768)+$Z1769</f>
        <v>30</v>
      </c>
      <c r="AB1769" s="1" t="n">
        <f aca="false">IF(AND($M1769=1,LEFT(对接源_02物料!$D569,4)="原料出库"),1,0)</f>
        <v>0</v>
      </c>
      <c r="AC1769" s="1" t="n">
        <f aca="false">N(AC1768)+$AB1769</f>
        <v>19</v>
      </c>
      <c r="AD1769" s="1" t="n">
        <f aca="false">IF(AND($M1769=1,LEFT(对接源_02物料!$D569,4)="成品出库"),1,0)</f>
        <v>0</v>
      </c>
      <c r="AE1769" s="1" t="n">
        <f aca="false">N(AE1768)+$AD1769</f>
        <v>38</v>
      </c>
      <c r="AF1769" s="1" t="n">
        <f aca="false">IF(AND($N1769=1,AND(LEFT(对接源_02物料!$D569,4)="包装物料",N(对接源_02物料!$K569)&lt;&gt;0)),1,0)</f>
        <v>0</v>
      </c>
      <c r="AG1769" s="1" t="n">
        <f aca="false">N(AG1768)+$AF1769</f>
        <v>6</v>
      </c>
      <c r="AH1769" s="1" t="n">
        <f aca="false">IF(AND($N1769=1,AND(LEFT(对接源_02物料!$D569,3)="周转筐",N(对接源_02物料!$K569)&lt;&gt;0)),1,0)</f>
        <v>0</v>
      </c>
      <c r="AI1769" s="1" t="n">
        <f aca="false">N(AI1768)+$AH1769</f>
        <v>0</v>
      </c>
      <c r="AJ1769" s="1" t="n">
        <v>0</v>
      </c>
      <c r="AK1769" s="1" t="n">
        <f aca="false">N(AK1768)+$AJ1769</f>
        <v>3672</v>
      </c>
    </row>
    <row r="1770" customFormat="false" ht="13.5" hidden="false" customHeight="false" outlineLevel="0" collapsed="false">
      <c r="A1770" s="1" t="str">
        <f aca="false">IF(对接源_02物料!$C570="","",对接源_02物料!$C570)</f>
        <v/>
      </c>
      <c r="B1770" s="1" t="n">
        <f aca="false">IF(A1770="",0,IF(MATCH(A1770,$A$4:$A$2403,0)=ROW()-3,1,0))</f>
        <v>0</v>
      </c>
      <c r="C1770" s="1" t="n">
        <f aca="false">N(C1769)+B1770</f>
        <v>17</v>
      </c>
      <c r="K1770" s="1" t="n">
        <f aca="false">IF(OR($K$1="",对接源_02物料!$C570="",对接源_02物料!$C570&lt;&gt;$K$1,对接源_02物料!$B570=""),0,IF(OR(N(对接源_02物料!$B570)&lt;$K$2,N(对接源_02物料!$B570)&gt;$K$3),0,1))</f>
        <v>0</v>
      </c>
      <c r="L1770" s="1" t="n">
        <f aca="false">IF(OR($L$1="",对接源_02物料!$C570="",对接源_02物料!$C570&lt;&gt;$L$1,对接源_02物料!$B570=""),0,IF(OR(N(对接源_02物料!$B570)&lt;$L$2,N(对接源_02物料!$B570)&gt;$L$3),0,1))</f>
        <v>0</v>
      </c>
      <c r="M1770" s="1" t="n">
        <f aca="false">IF(OR($M$1="",对接源_02物料!$C570="",对接源_02物料!$C570&lt;&gt;$M$1,对接源_02物料!$B570=""),0,IF(OR(N(对接源_02物料!$B570)&lt;$M$2,N(对接源_02物料!$B570)&gt;$M$3),0,1))</f>
        <v>0</v>
      </c>
      <c r="N1770" s="1" t="n">
        <f aca="false">IF(OR($N$1="",对接源_02物料!$C570="",对接源_02物料!$C570&lt;&gt;$N$1,对接源_02物料!$B570=""),0,IF(OR(N(对接源_02物料!$B570)&lt;$N$2,N(对接源_02物料!$B570)&gt;$N$3),0,1))</f>
        <v>0</v>
      </c>
      <c r="P1770" s="1" t="n">
        <f aca="false">IF(AND($K1770=1,AND(对接源_02物料!$X570="公司筐",N(对接源_02物料!$T570)&lt;&gt;0)),1,0)</f>
        <v>0</v>
      </c>
      <c r="Q1770" s="1" t="n">
        <f aca="false">N(Q1769)+$P1770</f>
        <v>13</v>
      </c>
      <c r="R1770" s="1" t="n">
        <f aca="false">IF(AND($K1770=1,AND(对接源_02物料!$X570="公司筐",N(对接源_02物料!$U570)&lt;&gt;0)),1,0)</f>
        <v>0</v>
      </c>
      <c r="S1770" s="1" t="n">
        <f aca="false">N(S1769)+$R1770</f>
        <v>5</v>
      </c>
      <c r="T1770" s="1" t="n">
        <f aca="false">IF(AND($K1770=1,AND(对接源_02物料!$X570="公司筐",N(对接源_02物料!$V570)&lt;&gt;0)),1,0)</f>
        <v>0</v>
      </c>
      <c r="U1770" s="1" t="n">
        <f aca="false">N(U1769)+$T1770</f>
        <v>28</v>
      </c>
      <c r="V1770" s="1" t="n">
        <f aca="false">IF(AND($L1770=1,AND(对接源_02物料!$X570="自备筐",N(对接源_02物料!$V570)&lt;&gt;0)),1,0)</f>
        <v>0</v>
      </c>
      <c r="W1770" s="1" t="n">
        <f aca="false">N(W1769)+$V1770</f>
        <v>7</v>
      </c>
      <c r="X1770" s="1" t="n">
        <f aca="false">IF(AND($L1770=1,AND(对接源_02物料!$X570="自备筐",N(对接源_02物料!$T570)&lt;&gt;0)),1,0)</f>
        <v>0</v>
      </c>
      <c r="Y1770" s="1" t="n">
        <f aca="false">N(Y1769)+$X1770</f>
        <v>0</v>
      </c>
      <c r="Z1770" s="1" t="n">
        <f aca="false">IF(AND($M1770=1,对接源_02物料!$D570="原料入库"),1,0)</f>
        <v>0</v>
      </c>
      <c r="AA1770" s="1" t="n">
        <f aca="false">N(AA1769)+$Z1770</f>
        <v>30</v>
      </c>
      <c r="AB1770" s="1" t="n">
        <f aca="false">IF(AND($M1770=1,LEFT(对接源_02物料!$D570,4)="原料出库"),1,0)</f>
        <v>0</v>
      </c>
      <c r="AC1770" s="1" t="n">
        <f aca="false">N(AC1769)+$AB1770</f>
        <v>19</v>
      </c>
      <c r="AD1770" s="1" t="n">
        <f aca="false">IF(AND($M1770=1,LEFT(对接源_02物料!$D570,4)="成品出库"),1,0)</f>
        <v>0</v>
      </c>
      <c r="AE1770" s="1" t="n">
        <f aca="false">N(AE1769)+$AD1770</f>
        <v>38</v>
      </c>
      <c r="AF1770" s="1" t="n">
        <f aca="false">IF(AND($N1770=1,AND(LEFT(对接源_02物料!$D570,4)="包装物料",N(对接源_02物料!$K570)&lt;&gt;0)),1,0)</f>
        <v>0</v>
      </c>
      <c r="AG1770" s="1" t="n">
        <f aca="false">N(AG1769)+$AF1770</f>
        <v>6</v>
      </c>
      <c r="AH1770" s="1" t="n">
        <f aca="false">IF(AND($N1770=1,AND(LEFT(对接源_02物料!$D570,3)="周转筐",N(对接源_02物料!$K570)&lt;&gt;0)),1,0)</f>
        <v>0</v>
      </c>
      <c r="AI1770" s="1" t="n">
        <f aca="false">N(AI1769)+$AH1770</f>
        <v>0</v>
      </c>
      <c r="AJ1770" s="1" t="n">
        <v>0</v>
      </c>
      <c r="AK1770" s="1" t="n">
        <f aca="false">N(AK1769)+$AJ1770</f>
        <v>3672</v>
      </c>
    </row>
    <row r="1771" customFormat="false" ht="13.5" hidden="false" customHeight="false" outlineLevel="0" collapsed="false">
      <c r="A1771" s="1" t="str">
        <f aca="false">IF(对接源_02物料!$C571="","",对接源_02物料!$C571)</f>
        <v/>
      </c>
      <c r="B1771" s="1" t="n">
        <f aca="false">IF(A1771="",0,IF(MATCH(A1771,$A$4:$A$2403,0)=ROW()-3,1,0))</f>
        <v>0</v>
      </c>
      <c r="C1771" s="1" t="n">
        <f aca="false">N(C1770)+B1771</f>
        <v>17</v>
      </c>
      <c r="K1771" s="1" t="n">
        <f aca="false">IF(OR($K$1="",对接源_02物料!$C571="",对接源_02物料!$C571&lt;&gt;$K$1,对接源_02物料!$B571=""),0,IF(OR(N(对接源_02物料!$B571)&lt;$K$2,N(对接源_02物料!$B571)&gt;$K$3),0,1))</f>
        <v>0</v>
      </c>
      <c r="L1771" s="1" t="n">
        <f aca="false">IF(OR($L$1="",对接源_02物料!$C571="",对接源_02物料!$C571&lt;&gt;$L$1,对接源_02物料!$B571=""),0,IF(OR(N(对接源_02物料!$B571)&lt;$L$2,N(对接源_02物料!$B571)&gt;$L$3),0,1))</f>
        <v>0</v>
      </c>
      <c r="M1771" s="1" t="n">
        <f aca="false">IF(OR($M$1="",对接源_02物料!$C571="",对接源_02物料!$C571&lt;&gt;$M$1,对接源_02物料!$B571=""),0,IF(OR(N(对接源_02物料!$B571)&lt;$M$2,N(对接源_02物料!$B571)&gt;$M$3),0,1))</f>
        <v>0</v>
      </c>
      <c r="N1771" s="1" t="n">
        <f aca="false">IF(OR($N$1="",对接源_02物料!$C571="",对接源_02物料!$C571&lt;&gt;$N$1,对接源_02物料!$B571=""),0,IF(OR(N(对接源_02物料!$B571)&lt;$N$2,N(对接源_02物料!$B571)&gt;$N$3),0,1))</f>
        <v>0</v>
      </c>
      <c r="P1771" s="1" t="n">
        <f aca="false">IF(AND($K1771=1,AND(对接源_02物料!$X571="公司筐",N(对接源_02物料!$T571)&lt;&gt;0)),1,0)</f>
        <v>0</v>
      </c>
      <c r="Q1771" s="1" t="n">
        <f aca="false">N(Q1770)+$P1771</f>
        <v>13</v>
      </c>
      <c r="R1771" s="1" t="n">
        <f aca="false">IF(AND($K1771=1,AND(对接源_02物料!$X571="公司筐",N(对接源_02物料!$U571)&lt;&gt;0)),1,0)</f>
        <v>0</v>
      </c>
      <c r="S1771" s="1" t="n">
        <f aca="false">N(S1770)+$R1771</f>
        <v>5</v>
      </c>
      <c r="T1771" s="1" t="n">
        <f aca="false">IF(AND($K1771=1,AND(对接源_02物料!$X571="公司筐",N(对接源_02物料!$V571)&lt;&gt;0)),1,0)</f>
        <v>0</v>
      </c>
      <c r="U1771" s="1" t="n">
        <f aca="false">N(U1770)+$T1771</f>
        <v>28</v>
      </c>
      <c r="V1771" s="1" t="n">
        <f aca="false">IF(AND($L1771=1,AND(对接源_02物料!$X571="自备筐",N(对接源_02物料!$V571)&lt;&gt;0)),1,0)</f>
        <v>0</v>
      </c>
      <c r="W1771" s="1" t="n">
        <f aca="false">N(W1770)+$V1771</f>
        <v>7</v>
      </c>
      <c r="X1771" s="1" t="n">
        <f aca="false">IF(AND($L1771=1,AND(对接源_02物料!$X571="自备筐",N(对接源_02物料!$T571)&lt;&gt;0)),1,0)</f>
        <v>0</v>
      </c>
      <c r="Y1771" s="1" t="n">
        <f aca="false">N(Y1770)+$X1771</f>
        <v>0</v>
      </c>
      <c r="Z1771" s="1" t="n">
        <f aca="false">IF(AND($M1771=1,对接源_02物料!$D571="原料入库"),1,0)</f>
        <v>0</v>
      </c>
      <c r="AA1771" s="1" t="n">
        <f aca="false">N(AA1770)+$Z1771</f>
        <v>30</v>
      </c>
      <c r="AB1771" s="1" t="n">
        <f aca="false">IF(AND($M1771=1,LEFT(对接源_02物料!$D571,4)="原料出库"),1,0)</f>
        <v>0</v>
      </c>
      <c r="AC1771" s="1" t="n">
        <f aca="false">N(AC1770)+$AB1771</f>
        <v>19</v>
      </c>
      <c r="AD1771" s="1" t="n">
        <f aca="false">IF(AND($M1771=1,LEFT(对接源_02物料!$D571,4)="成品出库"),1,0)</f>
        <v>0</v>
      </c>
      <c r="AE1771" s="1" t="n">
        <f aca="false">N(AE1770)+$AD1771</f>
        <v>38</v>
      </c>
      <c r="AF1771" s="1" t="n">
        <f aca="false">IF(AND($N1771=1,AND(LEFT(对接源_02物料!$D571,4)="包装物料",N(对接源_02物料!$K571)&lt;&gt;0)),1,0)</f>
        <v>0</v>
      </c>
      <c r="AG1771" s="1" t="n">
        <f aca="false">N(AG1770)+$AF1771</f>
        <v>6</v>
      </c>
      <c r="AH1771" s="1" t="n">
        <f aca="false">IF(AND($N1771=1,AND(LEFT(对接源_02物料!$D571,3)="周转筐",N(对接源_02物料!$K571)&lt;&gt;0)),1,0)</f>
        <v>0</v>
      </c>
      <c r="AI1771" s="1" t="n">
        <f aca="false">N(AI1770)+$AH1771</f>
        <v>0</v>
      </c>
      <c r="AJ1771" s="1" t="n">
        <v>0</v>
      </c>
      <c r="AK1771" s="1" t="n">
        <f aca="false">N(AK1770)+$AJ1771</f>
        <v>3672</v>
      </c>
    </row>
    <row r="1772" customFormat="false" ht="13.5" hidden="false" customHeight="false" outlineLevel="0" collapsed="false">
      <c r="A1772" s="1" t="str">
        <f aca="false">IF(对接源_02物料!$C572="","",对接源_02物料!$C572)</f>
        <v/>
      </c>
      <c r="B1772" s="1" t="n">
        <f aca="false">IF(A1772="",0,IF(MATCH(A1772,$A$4:$A$2403,0)=ROW()-3,1,0))</f>
        <v>0</v>
      </c>
      <c r="C1772" s="1" t="n">
        <f aca="false">N(C1771)+B1772</f>
        <v>17</v>
      </c>
      <c r="K1772" s="1" t="n">
        <f aca="false">IF(OR($K$1="",对接源_02物料!$C572="",对接源_02物料!$C572&lt;&gt;$K$1,对接源_02物料!$B572=""),0,IF(OR(N(对接源_02物料!$B572)&lt;$K$2,N(对接源_02物料!$B572)&gt;$K$3),0,1))</f>
        <v>0</v>
      </c>
      <c r="L1772" s="1" t="n">
        <f aca="false">IF(OR($L$1="",对接源_02物料!$C572="",对接源_02物料!$C572&lt;&gt;$L$1,对接源_02物料!$B572=""),0,IF(OR(N(对接源_02物料!$B572)&lt;$L$2,N(对接源_02物料!$B572)&gt;$L$3),0,1))</f>
        <v>0</v>
      </c>
      <c r="M1772" s="1" t="n">
        <f aca="false">IF(OR($M$1="",对接源_02物料!$C572="",对接源_02物料!$C572&lt;&gt;$M$1,对接源_02物料!$B572=""),0,IF(OR(N(对接源_02物料!$B572)&lt;$M$2,N(对接源_02物料!$B572)&gt;$M$3),0,1))</f>
        <v>0</v>
      </c>
      <c r="N1772" s="1" t="n">
        <f aca="false">IF(OR($N$1="",对接源_02物料!$C572="",对接源_02物料!$C572&lt;&gt;$N$1,对接源_02物料!$B572=""),0,IF(OR(N(对接源_02物料!$B572)&lt;$N$2,N(对接源_02物料!$B572)&gt;$N$3),0,1))</f>
        <v>0</v>
      </c>
      <c r="P1772" s="1" t="n">
        <f aca="false">IF(AND($K1772=1,AND(对接源_02物料!$X572="公司筐",N(对接源_02物料!$T572)&lt;&gt;0)),1,0)</f>
        <v>0</v>
      </c>
      <c r="Q1772" s="1" t="n">
        <f aca="false">N(Q1771)+$P1772</f>
        <v>13</v>
      </c>
      <c r="R1772" s="1" t="n">
        <f aca="false">IF(AND($K1772=1,AND(对接源_02物料!$X572="公司筐",N(对接源_02物料!$U572)&lt;&gt;0)),1,0)</f>
        <v>0</v>
      </c>
      <c r="S1772" s="1" t="n">
        <f aca="false">N(S1771)+$R1772</f>
        <v>5</v>
      </c>
      <c r="T1772" s="1" t="n">
        <f aca="false">IF(AND($K1772=1,AND(对接源_02物料!$X572="公司筐",N(对接源_02物料!$V572)&lt;&gt;0)),1,0)</f>
        <v>0</v>
      </c>
      <c r="U1772" s="1" t="n">
        <f aca="false">N(U1771)+$T1772</f>
        <v>28</v>
      </c>
      <c r="V1772" s="1" t="n">
        <f aca="false">IF(AND($L1772=1,AND(对接源_02物料!$X572="自备筐",N(对接源_02物料!$V572)&lt;&gt;0)),1,0)</f>
        <v>0</v>
      </c>
      <c r="W1772" s="1" t="n">
        <f aca="false">N(W1771)+$V1772</f>
        <v>7</v>
      </c>
      <c r="X1772" s="1" t="n">
        <f aca="false">IF(AND($L1772=1,AND(对接源_02物料!$X572="自备筐",N(对接源_02物料!$T572)&lt;&gt;0)),1,0)</f>
        <v>0</v>
      </c>
      <c r="Y1772" s="1" t="n">
        <f aca="false">N(Y1771)+$X1772</f>
        <v>0</v>
      </c>
      <c r="Z1772" s="1" t="n">
        <f aca="false">IF(AND($M1772=1,对接源_02物料!$D572="原料入库"),1,0)</f>
        <v>0</v>
      </c>
      <c r="AA1772" s="1" t="n">
        <f aca="false">N(AA1771)+$Z1772</f>
        <v>30</v>
      </c>
      <c r="AB1772" s="1" t="n">
        <f aca="false">IF(AND($M1772=1,LEFT(对接源_02物料!$D572,4)="原料出库"),1,0)</f>
        <v>0</v>
      </c>
      <c r="AC1772" s="1" t="n">
        <f aca="false">N(AC1771)+$AB1772</f>
        <v>19</v>
      </c>
      <c r="AD1772" s="1" t="n">
        <f aca="false">IF(AND($M1772=1,LEFT(对接源_02物料!$D572,4)="成品出库"),1,0)</f>
        <v>0</v>
      </c>
      <c r="AE1772" s="1" t="n">
        <f aca="false">N(AE1771)+$AD1772</f>
        <v>38</v>
      </c>
      <c r="AF1772" s="1" t="n">
        <f aca="false">IF(AND($N1772=1,AND(LEFT(对接源_02物料!$D572,4)="包装物料",N(对接源_02物料!$K572)&lt;&gt;0)),1,0)</f>
        <v>0</v>
      </c>
      <c r="AG1772" s="1" t="n">
        <f aca="false">N(AG1771)+$AF1772</f>
        <v>6</v>
      </c>
      <c r="AH1772" s="1" t="n">
        <f aca="false">IF(AND($N1772=1,AND(LEFT(对接源_02物料!$D572,3)="周转筐",N(对接源_02物料!$K572)&lt;&gt;0)),1,0)</f>
        <v>0</v>
      </c>
      <c r="AI1772" s="1" t="n">
        <f aca="false">N(AI1771)+$AH1772</f>
        <v>0</v>
      </c>
      <c r="AJ1772" s="1" t="n">
        <v>0</v>
      </c>
      <c r="AK1772" s="1" t="n">
        <f aca="false">N(AK1771)+$AJ1772</f>
        <v>3672</v>
      </c>
    </row>
    <row r="1773" customFormat="false" ht="13.5" hidden="false" customHeight="false" outlineLevel="0" collapsed="false">
      <c r="A1773" s="1" t="str">
        <f aca="false">IF(对接源_02物料!$C573="","",对接源_02物料!$C573)</f>
        <v/>
      </c>
      <c r="B1773" s="1" t="n">
        <f aca="false">IF(A1773="",0,IF(MATCH(A1773,$A$4:$A$2403,0)=ROW()-3,1,0))</f>
        <v>0</v>
      </c>
      <c r="C1773" s="1" t="n">
        <f aca="false">N(C1772)+B1773</f>
        <v>17</v>
      </c>
      <c r="K1773" s="1" t="n">
        <f aca="false">IF(OR($K$1="",对接源_02物料!$C573="",对接源_02物料!$C573&lt;&gt;$K$1,对接源_02物料!$B573=""),0,IF(OR(N(对接源_02物料!$B573)&lt;$K$2,N(对接源_02物料!$B573)&gt;$K$3),0,1))</f>
        <v>0</v>
      </c>
      <c r="L1773" s="1" t="n">
        <f aca="false">IF(OR($L$1="",对接源_02物料!$C573="",对接源_02物料!$C573&lt;&gt;$L$1,对接源_02物料!$B573=""),0,IF(OR(N(对接源_02物料!$B573)&lt;$L$2,N(对接源_02物料!$B573)&gt;$L$3),0,1))</f>
        <v>0</v>
      </c>
      <c r="M1773" s="1" t="n">
        <f aca="false">IF(OR($M$1="",对接源_02物料!$C573="",对接源_02物料!$C573&lt;&gt;$M$1,对接源_02物料!$B573=""),0,IF(OR(N(对接源_02物料!$B573)&lt;$M$2,N(对接源_02物料!$B573)&gt;$M$3),0,1))</f>
        <v>0</v>
      </c>
      <c r="N1773" s="1" t="n">
        <f aca="false">IF(OR($N$1="",对接源_02物料!$C573="",对接源_02物料!$C573&lt;&gt;$N$1,对接源_02物料!$B573=""),0,IF(OR(N(对接源_02物料!$B573)&lt;$N$2,N(对接源_02物料!$B573)&gt;$N$3),0,1))</f>
        <v>0</v>
      </c>
      <c r="P1773" s="1" t="n">
        <f aca="false">IF(AND($K1773=1,AND(对接源_02物料!$X573="公司筐",N(对接源_02物料!$T573)&lt;&gt;0)),1,0)</f>
        <v>0</v>
      </c>
      <c r="Q1773" s="1" t="n">
        <f aca="false">N(Q1772)+$P1773</f>
        <v>13</v>
      </c>
      <c r="R1773" s="1" t="n">
        <f aca="false">IF(AND($K1773=1,AND(对接源_02物料!$X573="公司筐",N(对接源_02物料!$U573)&lt;&gt;0)),1,0)</f>
        <v>0</v>
      </c>
      <c r="S1773" s="1" t="n">
        <f aca="false">N(S1772)+$R1773</f>
        <v>5</v>
      </c>
      <c r="T1773" s="1" t="n">
        <f aca="false">IF(AND($K1773=1,AND(对接源_02物料!$X573="公司筐",N(对接源_02物料!$V573)&lt;&gt;0)),1,0)</f>
        <v>0</v>
      </c>
      <c r="U1773" s="1" t="n">
        <f aca="false">N(U1772)+$T1773</f>
        <v>28</v>
      </c>
      <c r="V1773" s="1" t="n">
        <f aca="false">IF(AND($L1773=1,AND(对接源_02物料!$X573="自备筐",N(对接源_02物料!$V573)&lt;&gt;0)),1,0)</f>
        <v>0</v>
      </c>
      <c r="W1773" s="1" t="n">
        <f aca="false">N(W1772)+$V1773</f>
        <v>7</v>
      </c>
      <c r="X1773" s="1" t="n">
        <f aca="false">IF(AND($L1773=1,AND(对接源_02物料!$X573="自备筐",N(对接源_02物料!$T573)&lt;&gt;0)),1,0)</f>
        <v>0</v>
      </c>
      <c r="Y1773" s="1" t="n">
        <f aca="false">N(Y1772)+$X1773</f>
        <v>0</v>
      </c>
      <c r="Z1773" s="1" t="n">
        <f aca="false">IF(AND($M1773=1,对接源_02物料!$D573="原料入库"),1,0)</f>
        <v>0</v>
      </c>
      <c r="AA1773" s="1" t="n">
        <f aca="false">N(AA1772)+$Z1773</f>
        <v>30</v>
      </c>
      <c r="AB1773" s="1" t="n">
        <f aca="false">IF(AND($M1773=1,LEFT(对接源_02物料!$D573,4)="原料出库"),1,0)</f>
        <v>0</v>
      </c>
      <c r="AC1773" s="1" t="n">
        <f aca="false">N(AC1772)+$AB1773</f>
        <v>19</v>
      </c>
      <c r="AD1773" s="1" t="n">
        <f aca="false">IF(AND($M1773=1,LEFT(对接源_02物料!$D573,4)="成品出库"),1,0)</f>
        <v>0</v>
      </c>
      <c r="AE1773" s="1" t="n">
        <f aca="false">N(AE1772)+$AD1773</f>
        <v>38</v>
      </c>
      <c r="AF1773" s="1" t="n">
        <f aca="false">IF(AND($N1773=1,AND(LEFT(对接源_02物料!$D573,4)="包装物料",N(对接源_02物料!$K573)&lt;&gt;0)),1,0)</f>
        <v>0</v>
      </c>
      <c r="AG1773" s="1" t="n">
        <f aca="false">N(AG1772)+$AF1773</f>
        <v>6</v>
      </c>
      <c r="AH1773" s="1" t="n">
        <f aca="false">IF(AND($N1773=1,AND(LEFT(对接源_02物料!$D573,3)="周转筐",N(对接源_02物料!$K573)&lt;&gt;0)),1,0)</f>
        <v>0</v>
      </c>
      <c r="AI1773" s="1" t="n">
        <f aca="false">N(AI1772)+$AH1773</f>
        <v>0</v>
      </c>
      <c r="AJ1773" s="1" t="n">
        <v>0</v>
      </c>
      <c r="AK1773" s="1" t="n">
        <f aca="false">N(AK1772)+$AJ1773</f>
        <v>3672</v>
      </c>
    </row>
    <row r="1774" customFormat="false" ht="13.5" hidden="false" customHeight="false" outlineLevel="0" collapsed="false">
      <c r="A1774" s="1" t="str">
        <f aca="false">IF(对接源_02物料!$C574="","",对接源_02物料!$C574)</f>
        <v/>
      </c>
      <c r="B1774" s="1" t="n">
        <f aca="false">IF(A1774="",0,IF(MATCH(A1774,$A$4:$A$2403,0)=ROW()-3,1,0))</f>
        <v>0</v>
      </c>
      <c r="C1774" s="1" t="n">
        <f aca="false">N(C1773)+B1774</f>
        <v>17</v>
      </c>
      <c r="K1774" s="1" t="n">
        <f aca="false">IF(OR($K$1="",对接源_02物料!$C574="",对接源_02物料!$C574&lt;&gt;$K$1,对接源_02物料!$B574=""),0,IF(OR(N(对接源_02物料!$B574)&lt;$K$2,N(对接源_02物料!$B574)&gt;$K$3),0,1))</f>
        <v>0</v>
      </c>
      <c r="L1774" s="1" t="n">
        <f aca="false">IF(OR($L$1="",对接源_02物料!$C574="",对接源_02物料!$C574&lt;&gt;$L$1,对接源_02物料!$B574=""),0,IF(OR(N(对接源_02物料!$B574)&lt;$L$2,N(对接源_02物料!$B574)&gt;$L$3),0,1))</f>
        <v>0</v>
      </c>
      <c r="M1774" s="1" t="n">
        <f aca="false">IF(OR($M$1="",对接源_02物料!$C574="",对接源_02物料!$C574&lt;&gt;$M$1,对接源_02物料!$B574=""),0,IF(OR(N(对接源_02物料!$B574)&lt;$M$2,N(对接源_02物料!$B574)&gt;$M$3),0,1))</f>
        <v>0</v>
      </c>
      <c r="N1774" s="1" t="n">
        <f aca="false">IF(OR($N$1="",对接源_02物料!$C574="",对接源_02物料!$C574&lt;&gt;$N$1,对接源_02物料!$B574=""),0,IF(OR(N(对接源_02物料!$B574)&lt;$N$2,N(对接源_02物料!$B574)&gt;$N$3),0,1))</f>
        <v>0</v>
      </c>
      <c r="P1774" s="1" t="n">
        <f aca="false">IF(AND($K1774=1,AND(对接源_02物料!$X574="公司筐",N(对接源_02物料!$T574)&lt;&gt;0)),1,0)</f>
        <v>0</v>
      </c>
      <c r="Q1774" s="1" t="n">
        <f aca="false">N(Q1773)+$P1774</f>
        <v>13</v>
      </c>
      <c r="R1774" s="1" t="n">
        <f aca="false">IF(AND($K1774=1,AND(对接源_02物料!$X574="公司筐",N(对接源_02物料!$U574)&lt;&gt;0)),1,0)</f>
        <v>0</v>
      </c>
      <c r="S1774" s="1" t="n">
        <f aca="false">N(S1773)+$R1774</f>
        <v>5</v>
      </c>
      <c r="T1774" s="1" t="n">
        <f aca="false">IF(AND($K1774=1,AND(对接源_02物料!$X574="公司筐",N(对接源_02物料!$V574)&lt;&gt;0)),1,0)</f>
        <v>0</v>
      </c>
      <c r="U1774" s="1" t="n">
        <f aca="false">N(U1773)+$T1774</f>
        <v>28</v>
      </c>
      <c r="V1774" s="1" t="n">
        <f aca="false">IF(AND($L1774=1,AND(对接源_02物料!$X574="自备筐",N(对接源_02物料!$V574)&lt;&gt;0)),1,0)</f>
        <v>0</v>
      </c>
      <c r="W1774" s="1" t="n">
        <f aca="false">N(W1773)+$V1774</f>
        <v>7</v>
      </c>
      <c r="X1774" s="1" t="n">
        <f aca="false">IF(AND($L1774=1,AND(对接源_02物料!$X574="自备筐",N(对接源_02物料!$T574)&lt;&gt;0)),1,0)</f>
        <v>0</v>
      </c>
      <c r="Y1774" s="1" t="n">
        <f aca="false">N(Y1773)+$X1774</f>
        <v>0</v>
      </c>
      <c r="Z1774" s="1" t="n">
        <f aca="false">IF(AND($M1774=1,对接源_02物料!$D574="原料入库"),1,0)</f>
        <v>0</v>
      </c>
      <c r="AA1774" s="1" t="n">
        <f aca="false">N(AA1773)+$Z1774</f>
        <v>30</v>
      </c>
      <c r="AB1774" s="1" t="n">
        <f aca="false">IF(AND($M1774=1,LEFT(对接源_02物料!$D574,4)="原料出库"),1,0)</f>
        <v>0</v>
      </c>
      <c r="AC1774" s="1" t="n">
        <f aca="false">N(AC1773)+$AB1774</f>
        <v>19</v>
      </c>
      <c r="AD1774" s="1" t="n">
        <f aca="false">IF(AND($M1774=1,LEFT(对接源_02物料!$D574,4)="成品出库"),1,0)</f>
        <v>0</v>
      </c>
      <c r="AE1774" s="1" t="n">
        <f aca="false">N(AE1773)+$AD1774</f>
        <v>38</v>
      </c>
      <c r="AF1774" s="1" t="n">
        <f aca="false">IF(AND($N1774=1,AND(LEFT(对接源_02物料!$D574,4)="包装物料",N(对接源_02物料!$K574)&lt;&gt;0)),1,0)</f>
        <v>0</v>
      </c>
      <c r="AG1774" s="1" t="n">
        <f aca="false">N(AG1773)+$AF1774</f>
        <v>6</v>
      </c>
      <c r="AH1774" s="1" t="n">
        <f aca="false">IF(AND($N1774=1,AND(LEFT(对接源_02物料!$D574,3)="周转筐",N(对接源_02物料!$K574)&lt;&gt;0)),1,0)</f>
        <v>0</v>
      </c>
      <c r="AI1774" s="1" t="n">
        <f aca="false">N(AI1773)+$AH1774</f>
        <v>0</v>
      </c>
      <c r="AJ1774" s="1" t="n">
        <v>0</v>
      </c>
      <c r="AK1774" s="1" t="n">
        <f aca="false">N(AK1773)+$AJ1774</f>
        <v>3672</v>
      </c>
    </row>
    <row r="1775" customFormat="false" ht="13.5" hidden="false" customHeight="false" outlineLevel="0" collapsed="false">
      <c r="A1775" s="1" t="str">
        <f aca="false">IF(对接源_02物料!$C575="","",对接源_02物料!$C575)</f>
        <v/>
      </c>
      <c r="B1775" s="1" t="n">
        <f aca="false">IF(A1775="",0,IF(MATCH(A1775,$A$4:$A$2403,0)=ROW()-3,1,0))</f>
        <v>0</v>
      </c>
      <c r="C1775" s="1" t="n">
        <f aca="false">N(C1774)+B1775</f>
        <v>17</v>
      </c>
      <c r="K1775" s="1" t="n">
        <f aca="false">IF(OR($K$1="",对接源_02物料!$C575="",对接源_02物料!$C575&lt;&gt;$K$1,对接源_02物料!$B575=""),0,IF(OR(N(对接源_02物料!$B575)&lt;$K$2,N(对接源_02物料!$B575)&gt;$K$3),0,1))</f>
        <v>0</v>
      </c>
      <c r="L1775" s="1" t="n">
        <f aca="false">IF(OR($L$1="",对接源_02物料!$C575="",对接源_02物料!$C575&lt;&gt;$L$1,对接源_02物料!$B575=""),0,IF(OR(N(对接源_02物料!$B575)&lt;$L$2,N(对接源_02物料!$B575)&gt;$L$3),0,1))</f>
        <v>0</v>
      </c>
      <c r="M1775" s="1" t="n">
        <f aca="false">IF(OR($M$1="",对接源_02物料!$C575="",对接源_02物料!$C575&lt;&gt;$M$1,对接源_02物料!$B575=""),0,IF(OR(N(对接源_02物料!$B575)&lt;$M$2,N(对接源_02物料!$B575)&gt;$M$3),0,1))</f>
        <v>0</v>
      </c>
      <c r="N1775" s="1" t="n">
        <f aca="false">IF(OR($N$1="",对接源_02物料!$C575="",对接源_02物料!$C575&lt;&gt;$N$1,对接源_02物料!$B575=""),0,IF(OR(N(对接源_02物料!$B575)&lt;$N$2,N(对接源_02物料!$B575)&gt;$N$3),0,1))</f>
        <v>0</v>
      </c>
      <c r="P1775" s="1" t="n">
        <f aca="false">IF(AND($K1775=1,AND(对接源_02物料!$X575="公司筐",N(对接源_02物料!$T575)&lt;&gt;0)),1,0)</f>
        <v>0</v>
      </c>
      <c r="Q1775" s="1" t="n">
        <f aca="false">N(Q1774)+$P1775</f>
        <v>13</v>
      </c>
      <c r="R1775" s="1" t="n">
        <f aca="false">IF(AND($K1775=1,AND(对接源_02物料!$X575="公司筐",N(对接源_02物料!$U575)&lt;&gt;0)),1,0)</f>
        <v>0</v>
      </c>
      <c r="S1775" s="1" t="n">
        <f aca="false">N(S1774)+$R1775</f>
        <v>5</v>
      </c>
      <c r="T1775" s="1" t="n">
        <f aca="false">IF(AND($K1775=1,AND(对接源_02物料!$X575="公司筐",N(对接源_02物料!$V575)&lt;&gt;0)),1,0)</f>
        <v>0</v>
      </c>
      <c r="U1775" s="1" t="n">
        <f aca="false">N(U1774)+$T1775</f>
        <v>28</v>
      </c>
      <c r="V1775" s="1" t="n">
        <f aca="false">IF(AND($L1775=1,AND(对接源_02物料!$X575="自备筐",N(对接源_02物料!$V575)&lt;&gt;0)),1,0)</f>
        <v>0</v>
      </c>
      <c r="W1775" s="1" t="n">
        <f aca="false">N(W1774)+$V1775</f>
        <v>7</v>
      </c>
      <c r="X1775" s="1" t="n">
        <f aca="false">IF(AND($L1775=1,AND(对接源_02物料!$X575="自备筐",N(对接源_02物料!$T575)&lt;&gt;0)),1,0)</f>
        <v>0</v>
      </c>
      <c r="Y1775" s="1" t="n">
        <f aca="false">N(Y1774)+$X1775</f>
        <v>0</v>
      </c>
      <c r="Z1775" s="1" t="n">
        <f aca="false">IF(AND($M1775=1,对接源_02物料!$D575="原料入库"),1,0)</f>
        <v>0</v>
      </c>
      <c r="AA1775" s="1" t="n">
        <f aca="false">N(AA1774)+$Z1775</f>
        <v>30</v>
      </c>
      <c r="AB1775" s="1" t="n">
        <f aca="false">IF(AND($M1775=1,LEFT(对接源_02物料!$D575,4)="原料出库"),1,0)</f>
        <v>0</v>
      </c>
      <c r="AC1775" s="1" t="n">
        <f aca="false">N(AC1774)+$AB1775</f>
        <v>19</v>
      </c>
      <c r="AD1775" s="1" t="n">
        <f aca="false">IF(AND($M1775=1,LEFT(对接源_02物料!$D575,4)="成品出库"),1,0)</f>
        <v>0</v>
      </c>
      <c r="AE1775" s="1" t="n">
        <f aca="false">N(AE1774)+$AD1775</f>
        <v>38</v>
      </c>
      <c r="AF1775" s="1" t="n">
        <f aca="false">IF(AND($N1775=1,AND(LEFT(对接源_02物料!$D575,4)="包装物料",N(对接源_02物料!$K575)&lt;&gt;0)),1,0)</f>
        <v>0</v>
      </c>
      <c r="AG1775" s="1" t="n">
        <f aca="false">N(AG1774)+$AF1775</f>
        <v>6</v>
      </c>
      <c r="AH1775" s="1" t="n">
        <f aca="false">IF(AND($N1775=1,AND(LEFT(对接源_02物料!$D575,3)="周转筐",N(对接源_02物料!$K575)&lt;&gt;0)),1,0)</f>
        <v>0</v>
      </c>
      <c r="AI1775" s="1" t="n">
        <f aca="false">N(AI1774)+$AH1775</f>
        <v>0</v>
      </c>
      <c r="AJ1775" s="1" t="n">
        <v>0</v>
      </c>
      <c r="AK1775" s="1" t="n">
        <f aca="false">N(AK1774)+$AJ1775</f>
        <v>3672</v>
      </c>
    </row>
    <row r="1776" customFormat="false" ht="13.5" hidden="false" customHeight="false" outlineLevel="0" collapsed="false">
      <c r="A1776" s="1" t="str">
        <f aca="false">IF(对接源_02物料!$C576="","",对接源_02物料!$C576)</f>
        <v/>
      </c>
      <c r="B1776" s="1" t="n">
        <f aca="false">IF(A1776="",0,IF(MATCH(A1776,$A$4:$A$2403,0)=ROW()-3,1,0))</f>
        <v>0</v>
      </c>
      <c r="C1776" s="1" t="n">
        <f aca="false">N(C1775)+B1776</f>
        <v>17</v>
      </c>
      <c r="K1776" s="1" t="n">
        <f aca="false">IF(OR($K$1="",对接源_02物料!$C576="",对接源_02物料!$C576&lt;&gt;$K$1,对接源_02物料!$B576=""),0,IF(OR(N(对接源_02物料!$B576)&lt;$K$2,N(对接源_02物料!$B576)&gt;$K$3),0,1))</f>
        <v>0</v>
      </c>
      <c r="L1776" s="1" t="n">
        <f aca="false">IF(OR($L$1="",对接源_02物料!$C576="",对接源_02物料!$C576&lt;&gt;$L$1,对接源_02物料!$B576=""),0,IF(OR(N(对接源_02物料!$B576)&lt;$L$2,N(对接源_02物料!$B576)&gt;$L$3),0,1))</f>
        <v>0</v>
      </c>
      <c r="M1776" s="1" t="n">
        <f aca="false">IF(OR($M$1="",对接源_02物料!$C576="",对接源_02物料!$C576&lt;&gt;$M$1,对接源_02物料!$B576=""),0,IF(OR(N(对接源_02物料!$B576)&lt;$M$2,N(对接源_02物料!$B576)&gt;$M$3),0,1))</f>
        <v>0</v>
      </c>
      <c r="N1776" s="1" t="n">
        <f aca="false">IF(OR($N$1="",对接源_02物料!$C576="",对接源_02物料!$C576&lt;&gt;$N$1,对接源_02物料!$B576=""),0,IF(OR(N(对接源_02物料!$B576)&lt;$N$2,N(对接源_02物料!$B576)&gt;$N$3),0,1))</f>
        <v>0</v>
      </c>
      <c r="P1776" s="1" t="n">
        <f aca="false">IF(AND($K1776=1,AND(对接源_02物料!$X576="公司筐",N(对接源_02物料!$T576)&lt;&gt;0)),1,0)</f>
        <v>0</v>
      </c>
      <c r="Q1776" s="1" t="n">
        <f aca="false">N(Q1775)+$P1776</f>
        <v>13</v>
      </c>
      <c r="R1776" s="1" t="n">
        <f aca="false">IF(AND($K1776=1,AND(对接源_02物料!$X576="公司筐",N(对接源_02物料!$U576)&lt;&gt;0)),1,0)</f>
        <v>0</v>
      </c>
      <c r="S1776" s="1" t="n">
        <f aca="false">N(S1775)+$R1776</f>
        <v>5</v>
      </c>
      <c r="T1776" s="1" t="n">
        <f aca="false">IF(AND($K1776=1,AND(对接源_02物料!$X576="公司筐",N(对接源_02物料!$V576)&lt;&gt;0)),1,0)</f>
        <v>0</v>
      </c>
      <c r="U1776" s="1" t="n">
        <f aca="false">N(U1775)+$T1776</f>
        <v>28</v>
      </c>
      <c r="V1776" s="1" t="n">
        <f aca="false">IF(AND($L1776=1,AND(对接源_02物料!$X576="自备筐",N(对接源_02物料!$V576)&lt;&gt;0)),1,0)</f>
        <v>0</v>
      </c>
      <c r="W1776" s="1" t="n">
        <f aca="false">N(W1775)+$V1776</f>
        <v>7</v>
      </c>
      <c r="X1776" s="1" t="n">
        <f aca="false">IF(AND($L1776=1,AND(对接源_02物料!$X576="自备筐",N(对接源_02物料!$T576)&lt;&gt;0)),1,0)</f>
        <v>0</v>
      </c>
      <c r="Y1776" s="1" t="n">
        <f aca="false">N(Y1775)+$X1776</f>
        <v>0</v>
      </c>
      <c r="Z1776" s="1" t="n">
        <f aca="false">IF(AND($M1776=1,对接源_02物料!$D576="原料入库"),1,0)</f>
        <v>0</v>
      </c>
      <c r="AA1776" s="1" t="n">
        <f aca="false">N(AA1775)+$Z1776</f>
        <v>30</v>
      </c>
      <c r="AB1776" s="1" t="n">
        <f aca="false">IF(AND($M1776=1,LEFT(对接源_02物料!$D576,4)="原料出库"),1,0)</f>
        <v>0</v>
      </c>
      <c r="AC1776" s="1" t="n">
        <f aca="false">N(AC1775)+$AB1776</f>
        <v>19</v>
      </c>
      <c r="AD1776" s="1" t="n">
        <f aca="false">IF(AND($M1776=1,LEFT(对接源_02物料!$D576,4)="成品出库"),1,0)</f>
        <v>0</v>
      </c>
      <c r="AE1776" s="1" t="n">
        <f aca="false">N(AE1775)+$AD1776</f>
        <v>38</v>
      </c>
      <c r="AF1776" s="1" t="n">
        <f aca="false">IF(AND($N1776=1,AND(LEFT(对接源_02物料!$D576,4)="包装物料",N(对接源_02物料!$K576)&lt;&gt;0)),1,0)</f>
        <v>0</v>
      </c>
      <c r="AG1776" s="1" t="n">
        <f aca="false">N(AG1775)+$AF1776</f>
        <v>6</v>
      </c>
      <c r="AH1776" s="1" t="n">
        <f aca="false">IF(AND($N1776=1,AND(LEFT(对接源_02物料!$D576,3)="周转筐",N(对接源_02物料!$K576)&lt;&gt;0)),1,0)</f>
        <v>0</v>
      </c>
      <c r="AI1776" s="1" t="n">
        <f aca="false">N(AI1775)+$AH1776</f>
        <v>0</v>
      </c>
      <c r="AJ1776" s="1" t="n">
        <v>0</v>
      </c>
      <c r="AK1776" s="1" t="n">
        <f aca="false">N(AK1775)+$AJ1776</f>
        <v>3672</v>
      </c>
    </row>
    <row r="1777" customFormat="false" ht="13.5" hidden="false" customHeight="false" outlineLevel="0" collapsed="false">
      <c r="A1777" s="1" t="str">
        <f aca="false">IF(对接源_02物料!$C577="","",对接源_02物料!$C577)</f>
        <v/>
      </c>
      <c r="B1777" s="1" t="n">
        <f aca="false">IF(A1777="",0,IF(MATCH(A1777,$A$4:$A$2403,0)=ROW()-3,1,0))</f>
        <v>0</v>
      </c>
      <c r="C1777" s="1" t="n">
        <f aca="false">N(C1776)+B1777</f>
        <v>17</v>
      </c>
      <c r="K1777" s="1" t="n">
        <f aca="false">IF(OR($K$1="",对接源_02物料!$C577="",对接源_02物料!$C577&lt;&gt;$K$1,对接源_02物料!$B577=""),0,IF(OR(N(对接源_02物料!$B577)&lt;$K$2,N(对接源_02物料!$B577)&gt;$K$3),0,1))</f>
        <v>0</v>
      </c>
      <c r="L1777" s="1" t="n">
        <f aca="false">IF(OR($L$1="",对接源_02物料!$C577="",对接源_02物料!$C577&lt;&gt;$L$1,对接源_02物料!$B577=""),0,IF(OR(N(对接源_02物料!$B577)&lt;$L$2,N(对接源_02物料!$B577)&gt;$L$3),0,1))</f>
        <v>0</v>
      </c>
      <c r="M1777" s="1" t="n">
        <f aca="false">IF(OR($M$1="",对接源_02物料!$C577="",对接源_02物料!$C577&lt;&gt;$M$1,对接源_02物料!$B577=""),0,IF(OR(N(对接源_02物料!$B577)&lt;$M$2,N(对接源_02物料!$B577)&gt;$M$3),0,1))</f>
        <v>0</v>
      </c>
      <c r="N1777" s="1" t="n">
        <f aca="false">IF(OR($N$1="",对接源_02物料!$C577="",对接源_02物料!$C577&lt;&gt;$N$1,对接源_02物料!$B577=""),0,IF(OR(N(对接源_02物料!$B577)&lt;$N$2,N(对接源_02物料!$B577)&gt;$N$3),0,1))</f>
        <v>0</v>
      </c>
      <c r="P1777" s="1" t="n">
        <f aca="false">IF(AND($K1777=1,AND(对接源_02物料!$X577="公司筐",N(对接源_02物料!$T577)&lt;&gt;0)),1,0)</f>
        <v>0</v>
      </c>
      <c r="Q1777" s="1" t="n">
        <f aca="false">N(Q1776)+$P1777</f>
        <v>13</v>
      </c>
      <c r="R1777" s="1" t="n">
        <f aca="false">IF(AND($K1777=1,AND(对接源_02物料!$X577="公司筐",N(对接源_02物料!$U577)&lt;&gt;0)),1,0)</f>
        <v>0</v>
      </c>
      <c r="S1777" s="1" t="n">
        <f aca="false">N(S1776)+$R1777</f>
        <v>5</v>
      </c>
      <c r="T1777" s="1" t="n">
        <f aca="false">IF(AND($K1777=1,AND(对接源_02物料!$X577="公司筐",N(对接源_02物料!$V577)&lt;&gt;0)),1,0)</f>
        <v>0</v>
      </c>
      <c r="U1777" s="1" t="n">
        <f aca="false">N(U1776)+$T1777</f>
        <v>28</v>
      </c>
      <c r="V1777" s="1" t="n">
        <f aca="false">IF(AND($L1777=1,AND(对接源_02物料!$X577="自备筐",N(对接源_02物料!$V577)&lt;&gt;0)),1,0)</f>
        <v>0</v>
      </c>
      <c r="W1777" s="1" t="n">
        <f aca="false">N(W1776)+$V1777</f>
        <v>7</v>
      </c>
      <c r="X1777" s="1" t="n">
        <f aca="false">IF(AND($L1777=1,AND(对接源_02物料!$X577="自备筐",N(对接源_02物料!$T577)&lt;&gt;0)),1,0)</f>
        <v>0</v>
      </c>
      <c r="Y1777" s="1" t="n">
        <f aca="false">N(Y1776)+$X1777</f>
        <v>0</v>
      </c>
      <c r="Z1777" s="1" t="n">
        <f aca="false">IF(AND($M1777=1,对接源_02物料!$D577="原料入库"),1,0)</f>
        <v>0</v>
      </c>
      <c r="AA1777" s="1" t="n">
        <f aca="false">N(AA1776)+$Z1777</f>
        <v>30</v>
      </c>
      <c r="AB1777" s="1" t="n">
        <f aca="false">IF(AND($M1777=1,LEFT(对接源_02物料!$D577,4)="原料出库"),1,0)</f>
        <v>0</v>
      </c>
      <c r="AC1777" s="1" t="n">
        <f aca="false">N(AC1776)+$AB1777</f>
        <v>19</v>
      </c>
      <c r="AD1777" s="1" t="n">
        <f aca="false">IF(AND($M1777=1,LEFT(对接源_02物料!$D577,4)="成品出库"),1,0)</f>
        <v>0</v>
      </c>
      <c r="AE1777" s="1" t="n">
        <f aca="false">N(AE1776)+$AD1777</f>
        <v>38</v>
      </c>
      <c r="AF1777" s="1" t="n">
        <f aca="false">IF(AND($N1777=1,AND(LEFT(对接源_02物料!$D577,4)="包装物料",N(对接源_02物料!$K577)&lt;&gt;0)),1,0)</f>
        <v>0</v>
      </c>
      <c r="AG1777" s="1" t="n">
        <f aca="false">N(AG1776)+$AF1777</f>
        <v>6</v>
      </c>
      <c r="AH1777" s="1" t="n">
        <f aca="false">IF(AND($N1777=1,AND(LEFT(对接源_02物料!$D577,3)="周转筐",N(对接源_02物料!$K577)&lt;&gt;0)),1,0)</f>
        <v>0</v>
      </c>
      <c r="AI1777" s="1" t="n">
        <f aca="false">N(AI1776)+$AH1777</f>
        <v>0</v>
      </c>
      <c r="AJ1777" s="1" t="n">
        <v>0</v>
      </c>
      <c r="AK1777" s="1" t="n">
        <f aca="false">N(AK1776)+$AJ1777</f>
        <v>3672</v>
      </c>
    </row>
    <row r="1778" customFormat="false" ht="13.5" hidden="false" customHeight="false" outlineLevel="0" collapsed="false">
      <c r="A1778" s="1" t="str">
        <f aca="false">IF(对接源_02物料!$C578="","",对接源_02物料!$C578)</f>
        <v/>
      </c>
      <c r="B1778" s="1" t="n">
        <f aca="false">IF(A1778="",0,IF(MATCH(A1778,$A$4:$A$2403,0)=ROW()-3,1,0))</f>
        <v>0</v>
      </c>
      <c r="C1778" s="1" t="n">
        <f aca="false">N(C1777)+B1778</f>
        <v>17</v>
      </c>
      <c r="K1778" s="1" t="n">
        <f aca="false">IF(OR($K$1="",对接源_02物料!$C578="",对接源_02物料!$C578&lt;&gt;$K$1,对接源_02物料!$B578=""),0,IF(OR(N(对接源_02物料!$B578)&lt;$K$2,N(对接源_02物料!$B578)&gt;$K$3),0,1))</f>
        <v>0</v>
      </c>
      <c r="L1778" s="1" t="n">
        <f aca="false">IF(OR($L$1="",对接源_02物料!$C578="",对接源_02物料!$C578&lt;&gt;$L$1,对接源_02物料!$B578=""),0,IF(OR(N(对接源_02物料!$B578)&lt;$L$2,N(对接源_02物料!$B578)&gt;$L$3),0,1))</f>
        <v>0</v>
      </c>
      <c r="M1778" s="1" t="n">
        <f aca="false">IF(OR($M$1="",对接源_02物料!$C578="",对接源_02物料!$C578&lt;&gt;$M$1,对接源_02物料!$B578=""),0,IF(OR(N(对接源_02物料!$B578)&lt;$M$2,N(对接源_02物料!$B578)&gt;$M$3),0,1))</f>
        <v>0</v>
      </c>
      <c r="N1778" s="1" t="n">
        <f aca="false">IF(OR($N$1="",对接源_02物料!$C578="",对接源_02物料!$C578&lt;&gt;$N$1,对接源_02物料!$B578=""),0,IF(OR(N(对接源_02物料!$B578)&lt;$N$2,N(对接源_02物料!$B578)&gt;$N$3),0,1))</f>
        <v>0</v>
      </c>
      <c r="P1778" s="1" t="n">
        <f aca="false">IF(AND($K1778=1,AND(对接源_02物料!$X578="公司筐",N(对接源_02物料!$T578)&lt;&gt;0)),1,0)</f>
        <v>0</v>
      </c>
      <c r="Q1778" s="1" t="n">
        <f aca="false">N(Q1777)+$P1778</f>
        <v>13</v>
      </c>
      <c r="R1778" s="1" t="n">
        <f aca="false">IF(AND($K1778=1,AND(对接源_02物料!$X578="公司筐",N(对接源_02物料!$U578)&lt;&gt;0)),1,0)</f>
        <v>0</v>
      </c>
      <c r="S1778" s="1" t="n">
        <f aca="false">N(S1777)+$R1778</f>
        <v>5</v>
      </c>
      <c r="T1778" s="1" t="n">
        <f aca="false">IF(AND($K1778=1,AND(对接源_02物料!$X578="公司筐",N(对接源_02物料!$V578)&lt;&gt;0)),1,0)</f>
        <v>0</v>
      </c>
      <c r="U1778" s="1" t="n">
        <f aca="false">N(U1777)+$T1778</f>
        <v>28</v>
      </c>
      <c r="V1778" s="1" t="n">
        <f aca="false">IF(AND($L1778=1,AND(对接源_02物料!$X578="自备筐",N(对接源_02物料!$V578)&lt;&gt;0)),1,0)</f>
        <v>0</v>
      </c>
      <c r="W1778" s="1" t="n">
        <f aca="false">N(W1777)+$V1778</f>
        <v>7</v>
      </c>
      <c r="X1778" s="1" t="n">
        <f aca="false">IF(AND($L1778=1,AND(对接源_02物料!$X578="自备筐",N(对接源_02物料!$T578)&lt;&gt;0)),1,0)</f>
        <v>0</v>
      </c>
      <c r="Y1778" s="1" t="n">
        <f aca="false">N(Y1777)+$X1778</f>
        <v>0</v>
      </c>
      <c r="Z1778" s="1" t="n">
        <f aca="false">IF(AND($M1778=1,对接源_02物料!$D578="原料入库"),1,0)</f>
        <v>0</v>
      </c>
      <c r="AA1778" s="1" t="n">
        <f aca="false">N(AA1777)+$Z1778</f>
        <v>30</v>
      </c>
      <c r="AB1778" s="1" t="n">
        <f aca="false">IF(AND($M1778=1,LEFT(对接源_02物料!$D578,4)="原料出库"),1,0)</f>
        <v>0</v>
      </c>
      <c r="AC1778" s="1" t="n">
        <f aca="false">N(AC1777)+$AB1778</f>
        <v>19</v>
      </c>
      <c r="AD1778" s="1" t="n">
        <f aca="false">IF(AND($M1778=1,LEFT(对接源_02物料!$D578,4)="成品出库"),1,0)</f>
        <v>0</v>
      </c>
      <c r="AE1778" s="1" t="n">
        <f aca="false">N(AE1777)+$AD1778</f>
        <v>38</v>
      </c>
      <c r="AF1778" s="1" t="n">
        <f aca="false">IF(AND($N1778=1,AND(LEFT(对接源_02物料!$D578,4)="包装物料",N(对接源_02物料!$K578)&lt;&gt;0)),1,0)</f>
        <v>0</v>
      </c>
      <c r="AG1778" s="1" t="n">
        <f aca="false">N(AG1777)+$AF1778</f>
        <v>6</v>
      </c>
      <c r="AH1778" s="1" t="n">
        <f aca="false">IF(AND($N1778=1,AND(LEFT(对接源_02物料!$D578,3)="周转筐",N(对接源_02物料!$K578)&lt;&gt;0)),1,0)</f>
        <v>0</v>
      </c>
      <c r="AI1778" s="1" t="n">
        <f aca="false">N(AI1777)+$AH1778</f>
        <v>0</v>
      </c>
      <c r="AJ1778" s="1" t="n">
        <v>0</v>
      </c>
      <c r="AK1778" s="1" t="n">
        <f aca="false">N(AK1777)+$AJ1778</f>
        <v>3672</v>
      </c>
    </row>
    <row r="1779" customFormat="false" ht="13.5" hidden="false" customHeight="false" outlineLevel="0" collapsed="false">
      <c r="A1779" s="1" t="str">
        <f aca="false">IF(对接源_02物料!$C579="","",对接源_02物料!$C579)</f>
        <v/>
      </c>
      <c r="B1779" s="1" t="n">
        <f aca="false">IF(A1779="",0,IF(MATCH(A1779,$A$4:$A$2403,0)=ROW()-3,1,0))</f>
        <v>0</v>
      </c>
      <c r="C1779" s="1" t="n">
        <f aca="false">N(C1778)+B1779</f>
        <v>17</v>
      </c>
      <c r="K1779" s="1" t="n">
        <f aca="false">IF(OR($K$1="",对接源_02物料!$C579="",对接源_02物料!$C579&lt;&gt;$K$1,对接源_02物料!$B579=""),0,IF(OR(N(对接源_02物料!$B579)&lt;$K$2,N(对接源_02物料!$B579)&gt;$K$3),0,1))</f>
        <v>0</v>
      </c>
      <c r="L1779" s="1" t="n">
        <f aca="false">IF(OR($L$1="",对接源_02物料!$C579="",对接源_02物料!$C579&lt;&gt;$L$1,对接源_02物料!$B579=""),0,IF(OR(N(对接源_02物料!$B579)&lt;$L$2,N(对接源_02物料!$B579)&gt;$L$3),0,1))</f>
        <v>0</v>
      </c>
      <c r="M1779" s="1" t="n">
        <f aca="false">IF(OR($M$1="",对接源_02物料!$C579="",对接源_02物料!$C579&lt;&gt;$M$1,对接源_02物料!$B579=""),0,IF(OR(N(对接源_02物料!$B579)&lt;$M$2,N(对接源_02物料!$B579)&gt;$M$3),0,1))</f>
        <v>0</v>
      </c>
      <c r="N1779" s="1" t="n">
        <f aca="false">IF(OR($N$1="",对接源_02物料!$C579="",对接源_02物料!$C579&lt;&gt;$N$1,对接源_02物料!$B579=""),0,IF(OR(N(对接源_02物料!$B579)&lt;$N$2,N(对接源_02物料!$B579)&gt;$N$3),0,1))</f>
        <v>0</v>
      </c>
      <c r="P1779" s="1" t="n">
        <f aca="false">IF(AND($K1779=1,AND(对接源_02物料!$X579="公司筐",N(对接源_02物料!$T579)&lt;&gt;0)),1,0)</f>
        <v>0</v>
      </c>
      <c r="Q1779" s="1" t="n">
        <f aca="false">N(Q1778)+$P1779</f>
        <v>13</v>
      </c>
      <c r="R1779" s="1" t="n">
        <f aca="false">IF(AND($K1779=1,AND(对接源_02物料!$X579="公司筐",N(对接源_02物料!$U579)&lt;&gt;0)),1,0)</f>
        <v>0</v>
      </c>
      <c r="S1779" s="1" t="n">
        <f aca="false">N(S1778)+$R1779</f>
        <v>5</v>
      </c>
      <c r="T1779" s="1" t="n">
        <f aca="false">IF(AND($K1779=1,AND(对接源_02物料!$X579="公司筐",N(对接源_02物料!$V579)&lt;&gt;0)),1,0)</f>
        <v>0</v>
      </c>
      <c r="U1779" s="1" t="n">
        <f aca="false">N(U1778)+$T1779</f>
        <v>28</v>
      </c>
      <c r="V1779" s="1" t="n">
        <f aca="false">IF(AND($L1779=1,AND(对接源_02物料!$X579="自备筐",N(对接源_02物料!$V579)&lt;&gt;0)),1,0)</f>
        <v>0</v>
      </c>
      <c r="W1779" s="1" t="n">
        <f aca="false">N(W1778)+$V1779</f>
        <v>7</v>
      </c>
      <c r="X1779" s="1" t="n">
        <f aca="false">IF(AND($L1779=1,AND(对接源_02物料!$X579="自备筐",N(对接源_02物料!$T579)&lt;&gt;0)),1,0)</f>
        <v>0</v>
      </c>
      <c r="Y1779" s="1" t="n">
        <f aca="false">N(Y1778)+$X1779</f>
        <v>0</v>
      </c>
      <c r="Z1779" s="1" t="n">
        <f aca="false">IF(AND($M1779=1,对接源_02物料!$D579="原料入库"),1,0)</f>
        <v>0</v>
      </c>
      <c r="AA1779" s="1" t="n">
        <f aca="false">N(AA1778)+$Z1779</f>
        <v>30</v>
      </c>
      <c r="AB1779" s="1" t="n">
        <f aca="false">IF(AND($M1779=1,LEFT(对接源_02物料!$D579,4)="原料出库"),1,0)</f>
        <v>0</v>
      </c>
      <c r="AC1779" s="1" t="n">
        <f aca="false">N(AC1778)+$AB1779</f>
        <v>19</v>
      </c>
      <c r="AD1779" s="1" t="n">
        <f aca="false">IF(AND($M1779=1,LEFT(对接源_02物料!$D579,4)="成品出库"),1,0)</f>
        <v>0</v>
      </c>
      <c r="AE1779" s="1" t="n">
        <f aca="false">N(AE1778)+$AD1779</f>
        <v>38</v>
      </c>
      <c r="AF1779" s="1" t="n">
        <f aca="false">IF(AND($N1779=1,AND(LEFT(对接源_02物料!$D579,4)="包装物料",N(对接源_02物料!$K579)&lt;&gt;0)),1,0)</f>
        <v>0</v>
      </c>
      <c r="AG1779" s="1" t="n">
        <f aca="false">N(AG1778)+$AF1779</f>
        <v>6</v>
      </c>
      <c r="AH1779" s="1" t="n">
        <f aca="false">IF(AND($N1779=1,AND(LEFT(对接源_02物料!$D579,3)="周转筐",N(对接源_02物料!$K579)&lt;&gt;0)),1,0)</f>
        <v>0</v>
      </c>
      <c r="AI1779" s="1" t="n">
        <f aca="false">N(AI1778)+$AH1779</f>
        <v>0</v>
      </c>
      <c r="AJ1779" s="1" t="n">
        <v>0</v>
      </c>
      <c r="AK1779" s="1" t="n">
        <f aca="false">N(AK1778)+$AJ1779</f>
        <v>3672</v>
      </c>
    </row>
    <row r="1780" customFormat="false" ht="13.5" hidden="false" customHeight="false" outlineLevel="0" collapsed="false">
      <c r="A1780" s="1" t="str">
        <f aca="false">IF(对接源_02物料!$C580="","",对接源_02物料!$C580)</f>
        <v/>
      </c>
      <c r="B1780" s="1" t="n">
        <f aca="false">IF(A1780="",0,IF(MATCH(A1780,$A$4:$A$2403,0)=ROW()-3,1,0))</f>
        <v>0</v>
      </c>
      <c r="C1780" s="1" t="n">
        <f aca="false">N(C1779)+B1780</f>
        <v>17</v>
      </c>
      <c r="K1780" s="1" t="n">
        <f aca="false">IF(OR($K$1="",对接源_02物料!$C580="",对接源_02物料!$C580&lt;&gt;$K$1,对接源_02物料!$B580=""),0,IF(OR(N(对接源_02物料!$B580)&lt;$K$2,N(对接源_02物料!$B580)&gt;$K$3),0,1))</f>
        <v>0</v>
      </c>
      <c r="L1780" s="1" t="n">
        <f aca="false">IF(OR($L$1="",对接源_02物料!$C580="",对接源_02物料!$C580&lt;&gt;$L$1,对接源_02物料!$B580=""),0,IF(OR(N(对接源_02物料!$B580)&lt;$L$2,N(对接源_02物料!$B580)&gt;$L$3),0,1))</f>
        <v>0</v>
      </c>
      <c r="M1780" s="1" t="n">
        <f aca="false">IF(OR($M$1="",对接源_02物料!$C580="",对接源_02物料!$C580&lt;&gt;$M$1,对接源_02物料!$B580=""),0,IF(OR(N(对接源_02物料!$B580)&lt;$M$2,N(对接源_02物料!$B580)&gt;$M$3),0,1))</f>
        <v>0</v>
      </c>
      <c r="N1780" s="1" t="n">
        <f aca="false">IF(OR($N$1="",对接源_02物料!$C580="",对接源_02物料!$C580&lt;&gt;$N$1,对接源_02物料!$B580=""),0,IF(OR(N(对接源_02物料!$B580)&lt;$N$2,N(对接源_02物料!$B580)&gt;$N$3),0,1))</f>
        <v>0</v>
      </c>
      <c r="P1780" s="1" t="n">
        <f aca="false">IF(AND($K1780=1,AND(对接源_02物料!$X580="公司筐",N(对接源_02物料!$T580)&lt;&gt;0)),1,0)</f>
        <v>0</v>
      </c>
      <c r="Q1780" s="1" t="n">
        <f aca="false">N(Q1779)+$P1780</f>
        <v>13</v>
      </c>
      <c r="R1780" s="1" t="n">
        <f aca="false">IF(AND($K1780=1,AND(对接源_02物料!$X580="公司筐",N(对接源_02物料!$U580)&lt;&gt;0)),1,0)</f>
        <v>0</v>
      </c>
      <c r="S1780" s="1" t="n">
        <f aca="false">N(S1779)+$R1780</f>
        <v>5</v>
      </c>
      <c r="T1780" s="1" t="n">
        <f aca="false">IF(AND($K1780=1,AND(对接源_02物料!$X580="公司筐",N(对接源_02物料!$V580)&lt;&gt;0)),1,0)</f>
        <v>0</v>
      </c>
      <c r="U1780" s="1" t="n">
        <f aca="false">N(U1779)+$T1780</f>
        <v>28</v>
      </c>
      <c r="V1780" s="1" t="n">
        <f aca="false">IF(AND($L1780=1,AND(对接源_02物料!$X580="自备筐",N(对接源_02物料!$V580)&lt;&gt;0)),1,0)</f>
        <v>0</v>
      </c>
      <c r="W1780" s="1" t="n">
        <f aca="false">N(W1779)+$V1780</f>
        <v>7</v>
      </c>
      <c r="X1780" s="1" t="n">
        <f aca="false">IF(AND($L1780=1,AND(对接源_02物料!$X580="自备筐",N(对接源_02物料!$T580)&lt;&gt;0)),1,0)</f>
        <v>0</v>
      </c>
      <c r="Y1780" s="1" t="n">
        <f aca="false">N(Y1779)+$X1780</f>
        <v>0</v>
      </c>
      <c r="Z1780" s="1" t="n">
        <f aca="false">IF(AND($M1780=1,对接源_02物料!$D580="原料入库"),1,0)</f>
        <v>0</v>
      </c>
      <c r="AA1780" s="1" t="n">
        <f aca="false">N(AA1779)+$Z1780</f>
        <v>30</v>
      </c>
      <c r="AB1780" s="1" t="n">
        <f aca="false">IF(AND($M1780=1,LEFT(对接源_02物料!$D580,4)="原料出库"),1,0)</f>
        <v>0</v>
      </c>
      <c r="AC1780" s="1" t="n">
        <f aca="false">N(AC1779)+$AB1780</f>
        <v>19</v>
      </c>
      <c r="AD1780" s="1" t="n">
        <f aca="false">IF(AND($M1780=1,LEFT(对接源_02物料!$D580,4)="成品出库"),1,0)</f>
        <v>0</v>
      </c>
      <c r="AE1780" s="1" t="n">
        <f aca="false">N(AE1779)+$AD1780</f>
        <v>38</v>
      </c>
      <c r="AF1780" s="1" t="n">
        <f aca="false">IF(AND($N1780=1,AND(LEFT(对接源_02物料!$D580,4)="包装物料",N(对接源_02物料!$K580)&lt;&gt;0)),1,0)</f>
        <v>0</v>
      </c>
      <c r="AG1780" s="1" t="n">
        <f aca="false">N(AG1779)+$AF1780</f>
        <v>6</v>
      </c>
      <c r="AH1780" s="1" t="n">
        <f aca="false">IF(AND($N1780=1,AND(LEFT(对接源_02物料!$D580,3)="周转筐",N(对接源_02物料!$K580)&lt;&gt;0)),1,0)</f>
        <v>0</v>
      </c>
      <c r="AI1780" s="1" t="n">
        <f aca="false">N(AI1779)+$AH1780</f>
        <v>0</v>
      </c>
      <c r="AJ1780" s="1" t="n">
        <v>0</v>
      </c>
      <c r="AK1780" s="1" t="n">
        <f aca="false">N(AK1779)+$AJ1780</f>
        <v>3672</v>
      </c>
    </row>
    <row r="1781" customFormat="false" ht="13.5" hidden="false" customHeight="false" outlineLevel="0" collapsed="false">
      <c r="A1781" s="1" t="str">
        <f aca="false">IF(对接源_02物料!$C581="","",对接源_02物料!$C581)</f>
        <v/>
      </c>
      <c r="B1781" s="1" t="n">
        <f aca="false">IF(A1781="",0,IF(MATCH(A1781,$A$4:$A$2403,0)=ROW()-3,1,0))</f>
        <v>0</v>
      </c>
      <c r="C1781" s="1" t="n">
        <f aca="false">N(C1780)+B1781</f>
        <v>17</v>
      </c>
      <c r="K1781" s="1" t="n">
        <f aca="false">IF(OR($K$1="",对接源_02物料!$C581="",对接源_02物料!$C581&lt;&gt;$K$1,对接源_02物料!$B581=""),0,IF(OR(N(对接源_02物料!$B581)&lt;$K$2,N(对接源_02物料!$B581)&gt;$K$3),0,1))</f>
        <v>0</v>
      </c>
      <c r="L1781" s="1" t="n">
        <f aca="false">IF(OR($L$1="",对接源_02物料!$C581="",对接源_02物料!$C581&lt;&gt;$L$1,对接源_02物料!$B581=""),0,IF(OR(N(对接源_02物料!$B581)&lt;$L$2,N(对接源_02物料!$B581)&gt;$L$3),0,1))</f>
        <v>0</v>
      </c>
      <c r="M1781" s="1" t="n">
        <f aca="false">IF(OR($M$1="",对接源_02物料!$C581="",对接源_02物料!$C581&lt;&gt;$M$1,对接源_02物料!$B581=""),0,IF(OR(N(对接源_02物料!$B581)&lt;$M$2,N(对接源_02物料!$B581)&gt;$M$3),0,1))</f>
        <v>0</v>
      </c>
      <c r="N1781" s="1" t="n">
        <f aca="false">IF(OR($N$1="",对接源_02物料!$C581="",对接源_02物料!$C581&lt;&gt;$N$1,对接源_02物料!$B581=""),0,IF(OR(N(对接源_02物料!$B581)&lt;$N$2,N(对接源_02物料!$B581)&gt;$N$3),0,1))</f>
        <v>0</v>
      </c>
      <c r="P1781" s="1" t="n">
        <f aca="false">IF(AND($K1781=1,AND(对接源_02物料!$X581="公司筐",N(对接源_02物料!$T581)&lt;&gt;0)),1,0)</f>
        <v>0</v>
      </c>
      <c r="Q1781" s="1" t="n">
        <f aca="false">N(Q1780)+$P1781</f>
        <v>13</v>
      </c>
      <c r="R1781" s="1" t="n">
        <f aca="false">IF(AND($K1781=1,AND(对接源_02物料!$X581="公司筐",N(对接源_02物料!$U581)&lt;&gt;0)),1,0)</f>
        <v>0</v>
      </c>
      <c r="S1781" s="1" t="n">
        <f aca="false">N(S1780)+$R1781</f>
        <v>5</v>
      </c>
      <c r="T1781" s="1" t="n">
        <f aca="false">IF(AND($K1781=1,AND(对接源_02物料!$X581="公司筐",N(对接源_02物料!$V581)&lt;&gt;0)),1,0)</f>
        <v>0</v>
      </c>
      <c r="U1781" s="1" t="n">
        <f aca="false">N(U1780)+$T1781</f>
        <v>28</v>
      </c>
      <c r="V1781" s="1" t="n">
        <f aca="false">IF(AND($L1781=1,AND(对接源_02物料!$X581="自备筐",N(对接源_02物料!$V581)&lt;&gt;0)),1,0)</f>
        <v>0</v>
      </c>
      <c r="W1781" s="1" t="n">
        <f aca="false">N(W1780)+$V1781</f>
        <v>7</v>
      </c>
      <c r="X1781" s="1" t="n">
        <f aca="false">IF(AND($L1781=1,AND(对接源_02物料!$X581="自备筐",N(对接源_02物料!$T581)&lt;&gt;0)),1,0)</f>
        <v>0</v>
      </c>
      <c r="Y1781" s="1" t="n">
        <f aca="false">N(Y1780)+$X1781</f>
        <v>0</v>
      </c>
      <c r="Z1781" s="1" t="n">
        <f aca="false">IF(AND($M1781=1,对接源_02物料!$D581="原料入库"),1,0)</f>
        <v>0</v>
      </c>
      <c r="AA1781" s="1" t="n">
        <f aca="false">N(AA1780)+$Z1781</f>
        <v>30</v>
      </c>
      <c r="AB1781" s="1" t="n">
        <f aca="false">IF(AND($M1781=1,LEFT(对接源_02物料!$D581,4)="原料出库"),1,0)</f>
        <v>0</v>
      </c>
      <c r="AC1781" s="1" t="n">
        <f aca="false">N(AC1780)+$AB1781</f>
        <v>19</v>
      </c>
      <c r="AD1781" s="1" t="n">
        <f aca="false">IF(AND($M1781=1,LEFT(对接源_02物料!$D581,4)="成品出库"),1,0)</f>
        <v>0</v>
      </c>
      <c r="AE1781" s="1" t="n">
        <f aca="false">N(AE1780)+$AD1781</f>
        <v>38</v>
      </c>
      <c r="AF1781" s="1" t="n">
        <f aca="false">IF(AND($N1781=1,AND(LEFT(对接源_02物料!$D581,4)="包装物料",N(对接源_02物料!$K581)&lt;&gt;0)),1,0)</f>
        <v>0</v>
      </c>
      <c r="AG1781" s="1" t="n">
        <f aca="false">N(AG1780)+$AF1781</f>
        <v>6</v>
      </c>
      <c r="AH1781" s="1" t="n">
        <f aca="false">IF(AND($N1781=1,AND(LEFT(对接源_02物料!$D581,3)="周转筐",N(对接源_02物料!$K581)&lt;&gt;0)),1,0)</f>
        <v>0</v>
      </c>
      <c r="AI1781" s="1" t="n">
        <f aca="false">N(AI1780)+$AH1781</f>
        <v>0</v>
      </c>
      <c r="AJ1781" s="1" t="n">
        <v>0</v>
      </c>
      <c r="AK1781" s="1" t="n">
        <f aca="false">N(AK1780)+$AJ1781</f>
        <v>3672</v>
      </c>
    </row>
    <row r="1782" customFormat="false" ht="13.5" hidden="false" customHeight="false" outlineLevel="0" collapsed="false">
      <c r="A1782" s="1" t="str">
        <f aca="false">IF(对接源_02物料!$C582="","",对接源_02物料!$C582)</f>
        <v/>
      </c>
      <c r="B1782" s="1" t="n">
        <f aca="false">IF(A1782="",0,IF(MATCH(A1782,$A$4:$A$2403,0)=ROW()-3,1,0))</f>
        <v>0</v>
      </c>
      <c r="C1782" s="1" t="n">
        <f aca="false">N(C1781)+B1782</f>
        <v>17</v>
      </c>
      <c r="K1782" s="1" t="n">
        <f aca="false">IF(OR($K$1="",对接源_02物料!$C582="",对接源_02物料!$C582&lt;&gt;$K$1,对接源_02物料!$B582=""),0,IF(OR(N(对接源_02物料!$B582)&lt;$K$2,N(对接源_02物料!$B582)&gt;$K$3),0,1))</f>
        <v>0</v>
      </c>
      <c r="L1782" s="1" t="n">
        <f aca="false">IF(OR($L$1="",对接源_02物料!$C582="",对接源_02物料!$C582&lt;&gt;$L$1,对接源_02物料!$B582=""),0,IF(OR(N(对接源_02物料!$B582)&lt;$L$2,N(对接源_02物料!$B582)&gt;$L$3),0,1))</f>
        <v>0</v>
      </c>
      <c r="M1782" s="1" t="n">
        <f aca="false">IF(OR($M$1="",对接源_02物料!$C582="",对接源_02物料!$C582&lt;&gt;$M$1,对接源_02物料!$B582=""),0,IF(OR(N(对接源_02物料!$B582)&lt;$M$2,N(对接源_02物料!$B582)&gt;$M$3),0,1))</f>
        <v>0</v>
      </c>
      <c r="N1782" s="1" t="n">
        <f aca="false">IF(OR($N$1="",对接源_02物料!$C582="",对接源_02物料!$C582&lt;&gt;$N$1,对接源_02物料!$B582=""),0,IF(OR(N(对接源_02物料!$B582)&lt;$N$2,N(对接源_02物料!$B582)&gt;$N$3),0,1))</f>
        <v>0</v>
      </c>
      <c r="P1782" s="1" t="n">
        <f aca="false">IF(AND($K1782=1,AND(对接源_02物料!$X582="公司筐",N(对接源_02物料!$T582)&lt;&gt;0)),1,0)</f>
        <v>0</v>
      </c>
      <c r="Q1782" s="1" t="n">
        <f aca="false">N(Q1781)+$P1782</f>
        <v>13</v>
      </c>
      <c r="R1782" s="1" t="n">
        <f aca="false">IF(AND($K1782=1,AND(对接源_02物料!$X582="公司筐",N(对接源_02物料!$U582)&lt;&gt;0)),1,0)</f>
        <v>0</v>
      </c>
      <c r="S1782" s="1" t="n">
        <f aca="false">N(S1781)+$R1782</f>
        <v>5</v>
      </c>
      <c r="T1782" s="1" t="n">
        <f aca="false">IF(AND($K1782=1,AND(对接源_02物料!$X582="公司筐",N(对接源_02物料!$V582)&lt;&gt;0)),1,0)</f>
        <v>0</v>
      </c>
      <c r="U1782" s="1" t="n">
        <f aca="false">N(U1781)+$T1782</f>
        <v>28</v>
      </c>
      <c r="V1782" s="1" t="n">
        <f aca="false">IF(AND($L1782=1,AND(对接源_02物料!$X582="自备筐",N(对接源_02物料!$V582)&lt;&gt;0)),1,0)</f>
        <v>0</v>
      </c>
      <c r="W1782" s="1" t="n">
        <f aca="false">N(W1781)+$V1782</f>
        <v>7</v>
      </c>
      <c r="X1782" s="1" t="n">
        <f aca="false">IF(AND($L1782=1,AND(对接源_02物料!$X582="自备筐",N(对接源_02物料!$T582)&lt;&gt;0)),1,0)</f>
        <v>0</v>
      </c>
      <c r="Y1782" s="1" t="n">
        <f aca="false">N(Y1781)+$X1782</f>
        <v>0</v>
      </c>
      <c r="Z1782" s="1" t="n">
        <f aca="false">IF(AND($M1782=1,对接源_02物料!$D582="原料入库"),1,0)</f>
        <v>0</v>
      </c>
      <c r="AA1782" s="1" t="n">
        <f aca="false">N(AA1781)+$Z1782</f>
        <v>30</v>
      </c>
      <c r="AB1782" s="1" t="n">
        <f aca="false">IF(AND($M1782=1,LEFT(对接源_02物料!$D582,4)="原料出库"),1,0)</f>
        <v>0</v>
      </c>
      <c r="AC1782" s="1" t="n">
        <f aca="false">N(AC1781)+$AB1782</f>
        <v>19</v>
      </c>
      <c r="AD1782" s="1" t="n">
        <f aca="false">IF(AND($M1782=1,LEFT(对接源_02物料!$D582,4)="成品出库"),1,0)</f>
        <v>0</v>
      </c>
      <c r="AE1782" s="1" t="n">
        <f aca="false">N(AE1781)+$AD1782</f>
        <v>38</v>
      </c>
      <c r="AF1782" s="1" t="n">
        <f aca="false">IF(AND($N1782=1,AND(LEFT(对接源_02物料!$D582,4)="包装物料",N(对接源_02物料!$K582)&lt;&gt;0)),1,0)</f>
        <v>0</v>
      </c>
      <c r="AG1782" s="1" t="n">
        <f aca="false">N(AG1781)+$AF1782</f>
        <v>6</v>
      </c>
      <c r="AH1782" s="1" t="n">
        <f aca="false">IF(AND($N1782=1,AND(LEFT(对接源_02物料!$D582,3)="周转筐",N(对接源_02物料!$K582)&lt;&gt;0)),1,0)</f>
        <v>0</v>
      </c>
      <c r="AI1782" s="1" t="n">
        <f aca="false">N(AI1781)+$AH1782</f>
        <v>0</v>
      </c>
      <c r="AJ1782" s="1" t="n">
        <v>0</v>
      </c>
      <c r="AK1782" s="1" t="n">
        <f aca="false">N(AK1781)+$AJ1782</f>
        <v>3672</v>
      </c>
    </row>
    <row r="1783" customFormat="false" ht="13.5" hidden="false" customHeight="false" outlineLevel="0" collapsed="false">
      <c r="A1783" s="1" t="str">
        <f aca="false">IF(对接源_02物料!$C583="","",对接源_02物料!$C583)</f>
        <v/>
      </c>
      <c r="B1783" s="1" t="n">
        <f aca="false">IF(A1783="",0,IF(MATCH(A1783,$A$4:$A$2403,0)=ROW()-3,1,0))</f>
        <v>0</v>
      </c>
      <c r="C1783" s="1" t="n">
        <f aca="false">N(C1782)+B1783</f>
        <v>17</v>
      </c>
      <c r="K1783" s="1" t="n">
        <f aca="false">IF(OR($K$1="",对接源_02物料!$C583="",对接源_02物料!$C583&lt;&gt;$K$1,对接源_02物料!$B583=""),0,IF(OR(N(对接源_02物料!$B583)&lt;$K$2,N(对接源_02物料!$B583)&gt;$K$3),0,1))</f>
        <v>0</v>
      </c>
      <c r="L1783" s="1" t="n">
        <f aca="false">IF(OR($L$1="",对接源_02物料!$C583="",对接源_02物料!$C583&lt;&gt;$L$1,对接源_02物料!$B583=""),0,IF(OR(N(对接源_02物料!$B583)&lt;$L$2,N(对接源_02物料!$B583)&gt;$L$3),0,1))</f>
        <v>0</v>
      </c>
      <c r="M1783" s="1" t="n">
        <f aca="false">IF(OR($M$1="",对接源_02物料!$C583="",对接源_02物料!$C583&lt;&gt;$M$1,对接源_02物料!$B583=""),0,IF(OR(N(对接源_02物料!$B583)&lt;$M$2,N(对接源_02物料!$B583)&gt;$M$3),0,1))</f>
        <v>0</v>
      </c>
      <c r="N1783" s="1" t="n">
        <f aca="false">IF(OR($N$1="",对接源_02物料!$C583="",对接源_02物料!$C583&lt;&gt;$N$1,对接源_02物料!$B583=""),0,IF(OR(N(对接源_02物料!$B583)&lt;$N$2,N(对接源_02物料!$B583)&gt;$N$3),0,1))</f>
        <v>0</v>
      </c>
      <c r="P1783" s="1" t="n">
        <f aca="false">IF(AND($K1783=1,AND(对接源_02物料!$X583="公司筐",N(对接源_02物料!$T583)&lt;&gt;0)),1,0)</f>
        <v>0</v>
      </c>
      <c r="Q1783" s="1" t="n">
        <f aca="false">N(Q1782)+$P1783</f>
        <v>13</v>
      </c>
      <c r="R1783" s="1" t="n">
        <f aca="false">IF(AND($K1783=1,AND(对接源_02物料!$X583="公司筐",N(对接源_02物料!$U583)&lt;&gt;0)),1,0)</f>
        <v>0</v>
      </c>
      <c r="S1783" s="1" t="n">
        <f aca="false">N(S1782)+$R1783</f>
        <v>5</v>
      </c>
      <c r="T1783" s="1" t="n">
        <f aca="false">IF(AND($K1783=1,AND(对接源_02物料!$X583="公司筐",N(对接源_02物料!$V583)&lt;&gt;0)),1,0)</f>
        <v>0</v>
      </c>
      <c r="U1783" s="1" t="n">
        <f aca="false">N(U1782)+$T1783</f>
        <v>28</v>
      </c>
      <c r="V1783" s="1" t="n">
        <f aca="false">IF(AND($L1783=1,AND(对接源_02物料!$X583="自备筐",N(对接源_02物料!$V583)&lt;&gt;0)),1,0)</f>
        <v>0</v>
      </c>
      <c r="W1783" s="1" t="n">
        <f aca="false">N(W1782)+$V1783</f>
        <v>7</v>
      </c>
      <c r="X1783" s="1" t="n">
        <f aca="false">IF(AND($L1783=1,AND(对接源_02物料!$X583="自备筐",N(对接源_02物料!$T583)&lt;&gt;0)),1,0)</f>
        <v>0</v>
      </c>
      <c r="Y1783" s="1" t="n">
        <f aca="false">N(Y1782)+$X1783</f>
        <v>0</v>
      </c>
      <c r="Z1783" s="1" t="n">
        <f aca="false">IF(AND($M1783=1,对接源_02物料!$D583="原料入库"),1,0)</f>
        <v>0</v>
      </c>
      <c r="AA1783" s="1" t="n">
        <f aca="false">N(AA1782)+$Z1783</f>
        <v>30</v>
      </c>
      <c r="AB1783" s="1" t="n">
        <f aca="false">IF(AND($M1783=1,LEFT(对接源_02物料!$D583,4)="原料出库"),1,0)</f>
        <v>0</v>
      </c>
      <c r="AC1783" s="1" t="n">
        <f aca="false">N(AC1782)+$AB1783</f>
        <v>19</v>
      </c>
      <c r="AD1783" s="1" t="n">
        <f aca="false">IF(AND($M1783=1,LEFT(对接源_02物料!$D583,4)="成品出库"),1,0)</f>
        <v>0</v>
      </c>
      <c r="AE1783" s="1" t="n">
        <f aca="false">N(AE1782)+$AD1783</f>
        <v>38</v>
      </c>
      <c r="AF1783" s="1" t="n">
        <f aca="false">IF(AND($N1783=1,AND(LEFT(对接源_02物料!$D583,4)="包装物料",N(对接源_02物料!$K583)&lt;&gt;0)),1,0)</f>
        <v>0</v>
      </c>
      <c r="AG1783" s="1" t="n">
        <f aca="false">N(AG1782)+$AF1783</f>
        <v>6</v>
      </c>
      <c r="AH1783" s="1" t="n">
        <f aca="false">IF(AND($N1783=1,AND(LEFT(对接源_02物料!$D583,3)="周转筐",N(对接源_02物料!$K583)&lt;&gt;0)),1,0)</f>
        <v>0</v>
      </c>
      <c r="AI1783" s="1" t="n">
        <f aca="false">N(AI1782)+$AH1783</f>
        <v>0</v>
      </c>
      <c r="AJ1783" s="1" t="n">
        <v>0</v>
      </c>
      <c r="AK1783" s="1" t="n">
        <f aca="false">N(AK1782)+$AJ1783</f>
        <v>3672</v>
      </c>
    </row>
    <row r="1784" customFormat="false" ht="13.5" hidden="false" customHeight="false" outlineLevel="0" collapsed="false">
      <c r="A1784" s="1" t="str">
        <f aca="false">IF(对接源_02物料!$C584="","",对接源_02物料!$C584)</f>
        <v/>
      </c>
      <c r="B1784" s="1" t="n">
        <f aca="false">IF(A1784="",0,IF(MATCH(A1784,$A$4:$A$2403,0)=ROW()-3,1,0))</f>
        <v>0</v>
      </c>
      <c r="C1784" s="1" t="n">
        <f aca="false">N(C1783)+B1784</f>
        <v>17</v>
      </c>
      <c r="K1784" s="1" t="n">
        <f aca="false">IF(OR($K$1="",对接源_02物料!$C584="",对接源_02物料!$C584&lt;&gt;$K$1,对接源_02物料!$B584=""),0,IF(OR(N(对接源_02物料!$B584)&lt;$K$2,N(对接源_02物料!$B584)&gt;$K$3),0,1))</f>
        <v>0</v>
      </c>
      <c r="L1784" s="1" t="n">
        <f aca="false">IF(OR($L$1="",对接源_02物料!$C584="",对接源_02物料!$C584&lt;&gt;$L$1,对接源_02物料!$B584=""),0,IF(OR(N(对接源_02物料!$B584)&lt;$L$2,N(对接源_02物料!$B584)&gt;$L$3),0,1))</f>
        <v>0</v>
      </c>
      <c r="M1784" s="1" t="n">
        <f aca="false">IF(OR($M$1="",对接源_02物料!$C584="",对接源_02物料!$C584&lt;&gt;$M$1,对接源_02物料!$B584=""),0,IF(OR(N(对接源_02物料!$B584)&lt;$M$2,N(对接源_02物料!$B584)&gt;$M$3),0,1))</f>
        <v>0</v>
      </c>
      <c r="N1784" s="1" t="n">
        <f aca="false">IF(OR($N$1="",对接源_02物料!$C584="",对接源_02物料!$C584&lt;&gt;$N$1,对接源_02物料!$B584=""),0,IF(OR(N(对接源_02物料!$B584)&lt;$N$2,N(对接源_02物料!$B584)&gt;$N$3),0,1))</f>
        <v>0</v>
      </c>
      <c r="P1784" s="1" t="n">
        <f aca="false">IF(AND($K1784=1,AND(对接源_02物料!$X584="公司筐",N(对接源_02物料!$T584)&lt;&gt;0)),1,0)</f>
        <v>0</v>
      </c>
      <c r="Q1784" s="1" t="n">
        <f aca="false">N(Q1783)+$P1784</f>
        <v>13</v>
      </c>
      <c r="R1784" s="1" t="n">
        <f aca="false">IF(AND($K1784=1,AND(对接源_02物料!$X584="公司筐",N(对接源_02物料!$U584)&lt;&gt;0)),1,0)</f>
        <v>0</v>
      </c>
      <c r="S1784" s="1" t="n">
        <f aca="false">N(S1783)+$R1784</f>
        <v>5</v>
      </c>
      <c r="T1784" s="1" t="n">
        <f aca="false">IF(AND($K1784=1,AND(对接源_02物料!$X584="公司筐",N(对接源_02物料!$V584)&lt;&gt;0)),1,0)</f>
        <v>0</v>
      </c>
      <c r="U1784" s="1" t="n">
        <f aca="false">N(U1783)+$T1784</f>
        <v>28</v>
      </c>
      <c r="V1784" s="1" t="n">
        <f aca="false">IF(AND($L1784=1,AND(对接源_02物料!$X584="自备筐",N(对接源_02物料!$V584)&lt;&gt;0)),1,0)</f>
        <v>0</v>
      </c>
      <c r="W1784" s="1" t="n">
        <f aca="false">N(W1783)+$V1784</f>
        <v>7</v>
      </c>
      <c r="X1784" s="1" t="n">
        <f aca="false">IF(AND($L1784=1,AND(对接源_02物料!$X584="自备筐",N(对接源_02物料!$T584)&lt;&gt;0)),1,0)</f>
        <v>0</v>
      </c>
      <c r="Y1784" s="1" t="n">
        <f aca="false">N(Y1783)+$X1784</f>
        <v>0</v>
      </c>
      <c r="Z1784" s="1" t="n">
        <f aca="false">IF(AND($M1784=1,对接源_02物料!$D584="原料入库"),1,0)</f>
        <v>0</v>
      </c>
      <c r="AA1784" s="1" t="n">
        <f aca="false">N(AA1783)+$Z1784</f>
        <v>30</v>
      </c>
      <c r="AB1784" s="1" t="n">
        <f aca="false">IF(AND($M1784=1,LEFT(对接源_02物料!$D584,4)="原料出库"),1,0)</f>
        <v>0</v>
      </c>
      <c r="AC1784" s="1" t="n">
        <f aca="false">N(AC1783)+$AB1784</f>
        <v>19</v>
      </c>
      <c r="AD1784" s="1" t="n">
        <f aca="false">IF(AND($M1784=1,LEFT(对接源_02物料!$D584,4)="成品出库"),1,0)</f>
        <v>0</v>
      </c>
      <c r="AE1784" s="1" t="n">
        <f aca="false">N(AE1783)+$AD1784</f>
        <v>38</v>
      </c>
      <c r="AF1784" s="1" t="n">
        <f aca="false">IF(AND($N1784=1,AND(LEFT(对接源_02物料!$D584,4)="包装物料",N(对接源_02物料!$K584)&lt;&gt;0)),1,0)</f>
        <v>0</v>
      </c>
      <c r="AG1784" s="1" t="n">
        <f aca="false">N(AG1783)+$AF1784</f>
        <v>6</v>
      </c>
      <c r="AH1784" s="1" t="n">
        <f aca="false">IF(AND($N1784=1,AND(LEFT(对接源_02物料!$D584,3)="周转筐",N(对接源_02物料!$K584)&lt;&gt;0)),1,0)</f>
        <v>0</v>
      </c>
      <c r="AI1784" s="1" t="n">
        <f aca="false">N(AI1783)+$AH1784</f>
        <v>0</v>
      </c>
      <c r="AJ1784" s="1" t="n">
        <v>0</v>
      </c>
      <c r="AK1784" s="1" t="n">
        <f aca="false">N(AK1783)+$AJ1784</f>
        <v>3672</v>
      </c>
    </row>
    <row r="1785" customFormat="false" ht="13.5" hidden="false" customHeight="false" outlineLevel="0" collapsed="false">
      <c r="A1785" s="1" t="str">
        <f aca="false">IF(对接源_02物料!$C585="","",对接源_02物料!$C585)</f>
        <v/>
      </c>
      <c r="B1785" s="1" t="n">
        <f aca="false">IF(A1785="",0,IF(MATCH(A1785,$A$4:$A$2403,0)=ROW()-3,1,0))</f>
        <v>0</v>
      </c>
      <c r="C1785" s="1" t="n">
        <f aca="false">N(C1784)+B1785</f>
        <v>17</v>
      </c>
      <c r="K1785" s="1" t="n">
        <f aca="false">IF(OR($K$1="",对接源_02物料!$C585="",对接源_02物料!$C585&lt;&gt;$K$1,对接源_02物料!$B585=""),0,IF(OR(N(对接源_02物料!$B585)&lt;$K$2,N(对接源_02物料!$B585)&gt;$K$3),0,1))</f>
        <v>0</v>
      </c>
      <c r="L1785" s="1" t="n">
        <f aca="false">IF(OR($L$1="",对接源_02物料!$C585="",对接源_02物料!$C585&lt;&gt;$L$1,对接源_02物料!$B585=""),0,IF(OR(N(对接源_02物料!$B585)&lt;$L$2,N(对接源_02物料!$B585)&gt;$L$3),0,1))</f>
        <v>0</v>
      </c>
      <c r="M1785" s="1" t="n">
        <f aca="false">IF(OR($M$1="",对接源_02物料!$C585="",对接源_02物料!$C585&lt;&gt;$M$1,对接源_02物料!$B585=""),0,IF(OR(N(对接源_02物料!$B585)&lt;$M$2,N(对接源_02物料!$B585)&gt;$M$3),0,1))</f>
        <v>0</v>
      </c>
      <c r="N1785" s="1" t="n">
        <f aca="false">IF(OR($N$1="",对接源_02物料!$C585="",对接源_02物料!$C585&lt;&gt;$N$1,对接源_02物料!$B585=""),0,IF(OR(N(对接源_02物料!$B585)&lt;$N$2,N(对接源_02物料!$B585)&gt;$N$3),0,1))</f>
        <v>0</v>
      </c>
      <c r="P1785" s="1" t="n">
        <f aca="false">IF(AND($K1785=1,AND(对接源_02物料!$X585="公司筐",N(对接源_02物料!$T585)&lt;&gt;0)),1,0)</f>
        <v>0</v>
      </c>
      <c r="Q1785" s="1" t="n">
        <f aca="false">N(Q1784)+$P1785</f>
        <v>13</v>
      </c>
      <c r="R1785" s="1" t="n">
        <f aca="false">IF(AND($K1785=1,AND(对接源_02物料!$X585="公司筐",N(对接源_02物料!$U585)&lt;&gt;0)),1,0)</f>
        <v>0</v>
      </c>
      <c r="S1785" s="1" t="n">
        <f aca="false">N(S1784)+$R1785</f>
        <v>5</v>
      </c>
      <c r="T1785" s="1" t="n">
        <f aca="false">IF(AND($K1785=1,AND(对接源_02物料!$X585="公司筐",N(对接源_02物料!$V585)&lt;&gt;0)),1,0)</f>
        <v>0</v>
      </c>
      <c r="U1785" s="1" t="n">
        <f aca="false">N(U1784)+$T1785</f>
        <v>28</v>
      </c>
      <c r="V1785" s="1" t="n">
        <f aca="false">IF(AND($L1785=1,AND(对接源_02物料!$X585="自备筐",N(对接源_02物料!$V585)&lt;&gt;0)),1,0)</f>
        <v>0</v>
      </c>
      <c r="W1785" s="1" t="n">
        <f aca="false">N(W1784)+$V1785</f>
        <v>7</v>
      </c>
      <c r="X1785" s="1" t="n">
        <f aca="false">IF(AND($L1785=1,AND(对接源_02物料!$X585="自备筐",N(对接源_02物料!$T585)&lt;&gt;0)),1,0)</f>
        <v>0</v>
      </c>
      <c r="Y1785" s="1" t="n">
        <f aca="false">N(Y1784)+$X1785</f>
        <v>0</v>
      </c>
      <c r="Z1785" s="1" t="n">
        <f aca="false">IF(AND($M1785=1,对接源_02物料!$D585="原料入库"),1,0)</f>
        <v>0</v>
      </c>
      <c r="AA1785" s="1" t="n">
        <f aca="false">N(AA1784)+$Z1785</f>
        <v>30</v>
      </c>
      <c r="AB1785" s="1" t="n">
        <f aca="false">IF(AND($M1785=1,LEFT(对接源_02物料!$D585,4)="原料出库"),1,0)</f>
        <v>0</v>
      </c>
      <c r="AC1785" s="1" t="n">
        <f aca="false">N(AC1784)+$AB1785</f>
        <v>19</v>
      </c>
      <c r="AD1785" s="1" t="n">
        <f aca="false">IF(AND($M1785=1,LEFT(对接源_02物料!$D585,4)="成品出库"),1,0)</f>
        <v>0</v>
      </c>
      <c r="AE1785" s="1" t="n">
        <f aca="false">N(AE1784)+$AD1785</f>
        <v>38</v>
      </c>
      <c r="AF1785" s="1" t="n">
        <f aca="false">IF(AND($N1785=1,AND(LEFT(对接源_02物料!$D585,4)="包装物料",N(对接源_02物料!$K585)&lt;&gt;0)),1,0)</f>
        <v>0</v>
      </c>
      <c r="AG1785" s="1" t="n">
        <f aca="false">N(AG1784)+$AF1785</f>
        <v>6</v>
      </c>
      <c r="AH1785" s="1" t="n">
        <f aca="false">IF(AND($N1785=1,AND(LEFT(对接源_02物料!$D585,3)="周转筐",N(对接源_02物料!$K585)&lt;&gt;0)),1,0)</f>
        <v>0</v>
      </c>
      <c r="AI1785" s="1" t="n">
        <f aca="false">N(AI1784)+$AH1785</f>
        <v>0</v>
      </c>
      <c r="AJ1785" s="1" t="n">
        <v>0</v>
      </c>
      <c r="AK1785" s="1" t="n">
        <f aca="false">N(AK1784)+$AJ1785</f>
        <v>3672</v>
      </c>
    </row>
    <row r="1786" customFormat="false" ht="13.5" hidden="false" customHeight="false" outlineLevel="0" collapsed="false">
      <c r="A1786" s="1" t="str">
        <f aca="false">IF(对接源_02物料!$C586="","",对接源_02物料!$C586)</f>
        <v/>
      </c>
      <c r="B1786" s="1" t="n">
        <f aca="false">IF(A1786="",0,IF(MATCH(A1786,$A$4:$A$2403,0)=ROW()-3,1,0))</f>
        <v>0</v>
      </c>
      <c r="C1786" s="1" t="n">
        <f aca="false">N(C1785)+B1786</f>
        <v>17</v>
      </c>
      <c r="K1786" s="1" t="n">
        <f aca="false">IF(OR($K$1="",对接源_02物料!$C586="",对接源_02物料!$C586&lt;&gt;$K$1,对接源_02物料!$B586=""),0,IF(OR(N(对接源_02物料!$B586)&lt;$K$2,N(对接源_02物料!$B586)&gt;$K$3),0,1))</f>
        <v>0</v>
      </c>
      <c r="L1786" s="1" t="n">
        <f aca="false">IF(OR($L$1="",对接源_02物料!$C586="",对接源_02物料!$C586&lt;&gt;$L$1,对接源_02物料!$B586=""),0,IF(OR(N(对接源_02物料!$B586)&lt;$L$2,N(对接源_02物料!$B586)&gt;$L$3),0,1))</f>
        <v>0</v>
      </c>
      <c r="M1786" s="1" t="n">
        <f aca="false">IF(OR($M$1="",对接源_02物料!$C586="",对接源_02物料!$C586&lt;&gt;$M$1,对接源_02物料!$B586=""),0,IF(OR(N(对接源_02物料!$B586)&lt;$M$2,N(对接源_02物料!$B586)&gt;$M$3),0,1))</f>
        <v>0</v>
      </c>
      <c r="N1786" s="1" t="n">
        <f aca="false">IF(OR($N$1="",对接源_02物料!$C586="",对接源_02物料!$C586&lt;&gt;$N$1,对接源_02物料!$B586=""),0,IF(OR(N(对接源_02物料!$B586)&lt;$N$2,N(对接源_02物料!$B586)&gt;$N$3),0,1))</f>
        <v>0</v>
      </c>
      <c r="P1786" s="1" t="n">
        <f aca="false">IF(AND($K1786=1,AND(对接源_02物料!$X586="公司筐",N(对接源_02物料!$T586)&lt;&gt;0)),1,0)</f>
        <v>0</v>
      </c>
      <c r="Q1786" s="1" t="n">
        <f aca="false">N(Q1785)+$P1786</f>
        <v>13</v>
      </c>
      <c r="R1786" s="1" t="n">
        <f aca="false">IF(AND($K1786=1,AND(对接源_02物料!$X586="公司筐",N(对接源_02物料!$U586)&lt;&gt;0)),1,0)</f>
        <v>0</v>
      </c>
      <c r="S1786" s="1" t="n">
        <f aca="false">N(S1785)+$R1786</f>
        <v>5</v>
      </c>
      <c r="T1786" s="1" t="n">
        <f aca="false">IF(AND($K1786=1,AND(对接源_02物料!$X586="公司筐",N(对接源_02物料!$V586)&lt;&gt;0)),1,0)</f>
        <v>0</v>
      </c>
      <c r="U1786" s="1" t="n">
        <f aca="false">N(U1785)+$T1786</f>
        <v>28</v>
      </c>
      <c r="V1786" s="1" t="n">
        <f aca="false">IF(AND($L1786=1,AND(对接源_02物料!$X586="自备筐",N(对接源_02物料!$V586)&lt;&gt;0)),1,0)</f>
        <v>0</v>
      </c>
      <c r="W1786" s="1" t="n">
        <f aca="false">N(W1785)+$V1786</f>
        <v>7</v>
      </c>
      <c r="X1786" s="1" t="n">
        <f aca="false">IF(AND($L1786=1,AND(对接源_02物料!$X586="自备筐",N(对接源_02物料!$T586)&lt;&gt;0)),1,0)</f>
        <v>0</v>
      </c>
      <c r="Y1786" s="1" t="n">
        <f aca="false">N(Y1785)+$X1786</f>
        <v>0</v>
      </c>
      <c r="Z1786" s="1" t="n">
        <f aca="false">IF(AND($M1786=1,对接源_02物料!$D586="原料入库"),1,0)</f>
        <v>0</v>
      </c>
      <c r="AA1786" s="1" t="n">
        <f aca="false">N(AA1785)+$Z1786</f>
        <v>30</v>
      </c>
      <c r="AB1786" s="1" t="n">
        <f aca="false">IF(AND($M1786=1,LEFT(对接源_02物料!$D586,4)="原料出库"),1,0)</f>
        <v>0</v>
      </c>
      <c r="AC1786" s="1" t="n">
        <f aca="false">N(AC1785)+$AB1786</f>
        <v>19</v>
      </c>
      <c r="AD1786" s="1" t="n">
        <f aca="false">IF(AND($M1786=1,LEFT(对接源_02物料!$D586,4)="成品出库"),1,0)</f>
        <v>0</v>
      </c>
      <c r="AE1786" s="1" t="n">
        <f aca="false">N(AE1785)+$AD1786</f>
        <v>38</v>
      </c>
      <c r="AF1786" s="1" t="n">
        <f aca="false">IF(AND($N1786=1,AND(LEFT(对接源_02物料!$D586,4)="包装物料",N(对接源_02物料!$K586)&lt;&gt;0)),1,0)</f>
        <v>0</v>
      </c>
      <c r="AG1786" s="1" t="n">
        <f aca="false">N(AG1785)+$AF1786</f>
        <v>6</v>
      </c>
      <c r="AH1786" s="1" t="n">
        <f aca="false">IF(AND($N1786=1,AND(LEFT(对接源_02物料!$D586,3)="周转筐",N(对接源_02物料!$K586)&lt;&gt;0)),1,0)</f>
        <v>0</v>
      </c>
      <c r="AI1786" s="1" t="n">
        <f aca="false">N(AI1785)+$AH1786</f>
        <v>0</v>
      </c>
      <c r="AJ1786" s="1" t="n">
        <v>0</v>
      </c>
      <c r="AK1786" s="1" t="n">
        <f aca="false">N(AK1785)+$AJ1786</f>
        <v>3672</v>
      </c>
    </row>
    <row r="1787" customFormat="false" ht="13.5" hidden="false" customHeight="false" outlineLevel="0" collapsed="false">
      <c r="A1787" s="1" t="str">
        <f aca="false">IF(对接源_02物料!$C587="","",对接源_02物料!$C587)</f>
        <v/>
      </c>
      <c r="B1787" s="1" t="n">
        <f aca="false">IF(A1787="",0,IF(MATCH(A1787,$A$4:$A$2403,0)=ROW()-3,1,0))</f>
        <v>0</v>
      </c>
      <c r="C1787" s="1" t="n">
        <f aca="false">N(C1786)+B1787</f>
        <v>17</v>
      </c>
      <c r="K1787" s="1" t="n">
        <f aca="false">IF(OR($K$1="",对接源_02物料!$C587="",对接源_02物料!$C587&lt;&gt;$K$1,对接源_02物料!$B587=""),0,IF(OR(N(对接源_02物料!$B587)&lt;$K$2,N(对接源_02物料!$B587)&gt;$K$3),0,1))</f>
        <v>0</v>
      </c>
      <c r="L1787" s="1" t="n">
        <f aca="false">IF(OR($L$1="",对接源_02物料!$C587="",对接源_02物料!$C587&lt;&gt;$L$1,对接源_02物料!$B587=""),0,IF(OR(N(对接源_02物料!$B587)&lt;$L$2,N(对接源_02物料!$B587)&gt;$L$3),0,1))</f>
        <v>0</v>
      </c>
      <c r="M1787" s="1" t="n">
        <f aca="false">IF(OR($M$1="",对接源_02物料!$C587="",对接源_02物料!$C587&lt;&gt;$M$1,对接源_02物料!$B587=""),0,IF(OR(N(对接源_02物料!$B587)&lt;$M$2,N(对接源_02物料!$B587)&gt;$M$3),0,1))</f>
        <v>0</v>
      </c>
      <c r="N1787" s="1" t="n">
        <f aca="false">IF(OR($N$1="",对接源_02物料!$C587="",对接源_02物料!$C587&lt;&gt;$N$1,对接源_02物料!$B587=""),0,IF(OR(N(对接源_02物料!$B587)&lt;$N$2,N(对接源_02物料!$B587)&gt;$N$3),0,1))</f>
        <v>0</v>
      </c>
      <c r="P1787" s="1" t="n">
        <f aca="false">IF(AND($K1787=1,AND(对接源_02物料!$X587="公司筐",N(对接源_02物料!$T587)&lt;&gt;0)),1,0)</f>
        <v>0</v>
      </c>
      <c r="Q1787" s="1" t="n">
        <f aca="false">N(Q1786)+$P1787</f>
        <v>13</v>
      </c>
      <c r="R1787" s="1" t="n">
        <f aca="false">IF(AND($K1787=1,AND(对接源_02物料!$X587="公司筐",N(对接源_02物料!$U587)&lt;&gt;0)),1,0)</f>
        <v>0</v>
      </c>
      <c r="S1787" s="1" t="n">
        <f aca="false">N(S1786)+$R1787</f>
        <v>5</v>
      </c>
      <c r="T1787" s="1" t="n">
        <f aca="false">IF(AND($K1787=1,AND(对接源_02物料!$X587="公司筐",N(对接源_02物料!$V587)&lt;&gt;0)),1,0)</f>
        <v>0</v>
      </c>
      <c r="U1787" s="1" t="n">
        <f aca="false">N(U1786)+$T1787</f>
        <v>28</v>
      </c>
      <c r="V1787" s="1" t="n">
        <f aca="false">IF(AND($L1787=1,AND(对接源_02物料!$X587="自备筐",N(对接源_02物料!$V587)&lt;&gt;0)),1,0)</f>
        <v>0</v>
      </c>
      <c r="W1787" s="1" t="n">
        <f aca="false">N(W1786)+$V1787</f>
        <v>7</v>
      </c>
      <c r="X1787" s="1" t="n">
        <f aca="false">IF(AND($L1787=1,AND(对接源_02物料!$X587="自备筐",N(对接源_02物料!$T587)&lt;&gt;0)),1,0)</f>
        <v>0</v>
      </c>
      <c r="Y1787" s="1" t="n">
        <f aca="false">N(Y1786)+$X1787</f>
        <v>0</v>
      </c>
      <c r="Z1787" s="1" t="n">
        <f aca="false">IF(AND($M1787=1,对接源_02物料!$D587="原料入库"),1,0)</f>
        <v>0</v>
      </c>
      <c r="AA1787" s="1" t="n">
        <f aca="false">N(AA1786)+$Z1787</f>
        <v>30</v>
      </c>
      <c r="AB1787" s="1" t="n">
        <f aca="false">IF(AND($M1787=1,LEFT(对接源_02物料!$D587,4)="原料出库"),1,0)</f>
        <v>0</v>
      </c>
      <c r="AC1787" s="1" t="n">
        <f aca="false">N(AC1786)+$AB1787</f>
        <v>19</v>
      </c>
      <c r="AD1787" s="1" t="n">
        <f aca="false">IF(AND($M1787=1,LEFT(对接源_02物料!$D587,4)="成品出库"),1,0)</f>
        <v>0</v>
      </c>
      <c r="AE1787" s="1" t="n">
        <f aca="false">N(AE1786)+$AD1787</f>
        <v>38</v>
      </c>
      <c r="AF1787" s="1" t="n">
        <f aca="false">IF(AND($N1787=1,AND(LEFT(对接源_02物料!$D587,4)="包装物料",N(对接源_02物料!$K587)&lt;&gt;0)),1,0)</f>
        <v>0</v>
      </c>
      <c r="AG1787" s="1" t="n">
        <f aca="false">N(AG1786)+$AF1787</f>
        <v>6</v>
      </c>
      <c r="AH1787" s="1" t="n">
        <f aca="false">IF(AND($N1787=1,AND(LEFT(对接源_02物料!$D587,3)="周转筐",N(对接源_02物料!$K587)&lt;&gt;0)),1,0)</f>
        <v>0</v>
      </c>
      <c r="AI1787" s="1" t="n">
        <f aca="false">N(AI1786)+$AH1787</f>
        <v>0</v>
      </c>
      <c r="AJ1787" s="1" t="n">
        <v>0</v>
      </c>
      <c r="AK1787" s="1" t="n">
        <f aca="false">N(AK1786)+$AJ1787</f>
        <v>3672</v>
      </c>
    </row>
    <row r="1788" customFormat="false" ht="13.5" hidden="false" customHeight="false" outlineLevel="0" collapsed="false">
      <c r="A1788" s="1" t="str">
        <f aca="false">IF(对接源_02物料!$C588="","",对接源_02物料!$C588)</f>
        <v/>
      </c>
      <c r="B1788" s="1" t="n">
        <f aca="false">IF(A1788="",0,IF(MATCH(A1788,$A$4:$A$2403,0)=ROW()-3,1,0))</f>
        <v>0</v>
      </c>
      <c r="C1788" s="1" t="n">
        <f aca="false">N(C1787)+B1788</f>
        <v>17</v>
      </c>
      <c r="K1788" s="1" t="n">
        <f aca="false">IF(OR($K$1="",对接源_02物料!$C588="",对接源_02物料!$C588&lt;&gt;$K$1,对接源_02物料!$B588=""),0,IF(OR(N(对接源_02物料!$B588)&lt;$K$2,N(对接源_02物料!$B588)&gt;$K$3),0,1))</f>
        <v>0</v>
      </c>
      <c r="L1788" s="1" t="n">
        <f aca="false">IF(OR($L$1="",对接源_02物料!$C588="",对接源_02物料!$C588&lt;&gt;$L$1,对接源_02物料!$B588=""),0,IF(OR(N(对接源_02物料!$B588)&lt;$L$2,N(对接源_02物料!$B588)&gt;$L$3),0,1))</f>
        <v>0</v>
      </c>
      <c r="M1788" s="1" t="n">
        <f aca="false">IF(OR($M$1="",对接源_02物料!$C588="",对接源_02物料!$C588&lt;&gt;$M$1,对接源_02物料!$B588=""),0,IF(OR(N(对接源_02物料!$B588)&lt;$M$2,N(对接源_02物料!$B588)&gt;$M$3),0,1))</f>
        <v>0</v>
      </c>
      <c r="N1788" s="1" t="n">
        <f aca="false">IF(OR($N$1="",对接源_02物料!$C588="",对接源_02物料!$C588&lt;&gt;$N$1,对接源_02物料!$B588=""),0,IF(OR(N(对接源_02物料!$B588)&lt;$N$2,N(对接源_02物料!$B588)&gt;$N$3),0,1))</f>
        <v>0</v>
      </c>
      <c r="P1788" s="1" t="n">
        <f aca="false">IF(AND($K1788=1,AND(对接源_02物料!$X588="公司筐",N(对接源_02物料!$T588)&lt;&gt;0)),1,0)</f>
        <v>0</v>
      </c>
      <c r="Q1788" s="1" t="n">
        <f aca="false">N(Q1787)+$P1788</f>
        <v>13</v>
      </c>
      <c r="R1788" s="1" t="n">
        <f aca="false">IF(AND($K1788=1,AND(对接源_02物料!$X588="公司筐",N(对接源_02物料!$U588)&lt;&gt;0)),1,0)</f>
        <v>0</v>
      </c>
      <c r="S1788" s="1" t="n">
        <f aca="false">N(S1787)+$R1788</f>
        <v>5</v>
      </c>
      <c r="T1788" s="1" t="n">
        <f aca="false">IF(AND($K1788=1,AND(对接源_02物料!$X588="公司筐",N(对接源_02物料!$V588)&lt;&gt;0)),1,0)</f>
        <v>0</v>
      </c>
      <c r="U1788" s="1" t="n">
        <f aca="false">N(U1787)+$T1788</f>
        <v>28</v>
      </c>
      <c r="V1788" s="1" t="n">
        <f aca="false">IF(AND($L1788=1,AND(对接源_02物料!$X588="自备筐",N(对接源_02物料!$V588)&lt;&gt;0)),1,0)</f>
        <v>0</v>
      </c>
      <c r="W1788" s="1" t="n">
        <f aca="false">N(W1787)+$V1788</f>
        <v>7</v>
      </c>
      <c r="X1788" s="1" t="n">
        <f aca="false">IF(AND($L1788=1,AND(对接源_02物料!$X588="自备筐",N(对接源_02物料!$T588)&lt;&gt;0)),1,0)</f>
        <v>0</v>
      </c>
      <c r="Y1788" s="1" t="n">
        <f aca="false">N(Y1787)+$X1788</f>
        <v>0</v>
      </c>
      <c r="Z1788" s="1" t="n">
        <f aca="false">IF(AND($M1788=1,对接源_02物料!$D588="原料入库"),1,0)</f>
        <v>0</v>
      </c>
      <c r="AA1788" s="1" t="n">
        <f aca="false">N(AA1787)+$Z1788</f>
        <v>30</v>
      </c>
      <c r="AB1788" s="1" t="n">
        <f aca="false">IF(AND($M1788=1,LEFT(对接源_02物料!$D588,4)="原料出库"),1,0)</f>
        <v>0</v>
      </c>
      <c r="AC1788" s="1" t="n">
        <f aca="false">N(AC1787)+$AB1788</f>
        <v>19</v>
      </c>
      <c r="AD1788" s="1" t="n">
        <f aca="false">IF(AND($M1788=1,LEFT(对接源_02物料!$D588,4)="成品出库"),1,0)</f>
        <v>0</v>
      </c>
      <c r="AE1788" s="1" t="n">
        <f aca="false">N(AE1787)+$AD1788</f>
        <v>38</v>
      </c>
      <c r="AF1788" s="1" t="n">
        <f aca="false">IF(AND($N1788=1,AND(LEFT(对接源_02物料!$D588,4)="包装物料",N(对接源_02物料!$K588)&lt;&gt;0)),1,0)</f>
        <v>0</v>
      </c>
      <c r="AG1788" s="1" t="n">
        <f aca="false">N(AG1787)+$AF1788</f>
        <v>6</v>
      </c>
      <c r="AH1788" s="1" t="n">
        <f aca="false">IF(AND($N1788=1,AND(LEFT(对接源_02物料!$D588,3)="周转筐",N(对接源_02物料!$K588)&lt;&gt;0)),1,0)</f>
        <v>0</v>
      </c>
      <c r="AI1788" s="1" t="n">
        <f aca="false">N(AI1787)+$AH1788</f>
        <v>0</v>
      </c>
      <c r="AJ1788" s="1" t="n">
        <v>0</v>
      </c>
      <c r="AK1788" s="1" t="n">
        <f aca="false">N(AK1787)+$AJ1788</f>
        <v>3672</v>
      </c>
    </row>
    <row r="1789" customFormat="false" ht="13.5" hidden="false" customHeight="false" outlineLevel="0" collapsed="false">
      <c r="A1789" s="1" t="str">
        <f aca="false">IF(对接源_02物料!$C589="","",对接源_02物料!$C589)</f>
        <v/>
      </c>
      <c r="B1789" s="1" t="n">
        <f aca="false">IF(A1789="",0,IF(MATCH(A1789,$A$4:$A$2403,0)=ROW()-3,1,0))</f>
        <v>0</v>
      </c>
      <c r="C1789" s="1" t="n">
        <f aca="false">N(C1788)+B1789</f>
        <v>17</v>
      </c>
      <c r="K1789" s="1" t="n">
        <f aca="false">IF(OR($K$1="",对接源_02物料!$C589="",对接源_02物料!$C589&lt;&gt;$K$1,对接源_02物料!$B589=""),0,IF(OR(N(对接源_02物料!$B589)&lt;$K$2,N(对接源_02物料!$B589)&gt;$K$3),0,1))</f>
        <v>0</v>
      </c>
      <c r="L1789" s="1" t="n">
        <f aca="false">IF(OR($L$1="",对接源_02物料!$C589="",对接源_02物料!$C589&lt;&gt;$L$1,对接源_02物料!$B589=""),0,IF(OR(N(对接源_02物料!$B589)&lt;$L$2,N(对接源_02物料!$B589)&gt;$L$3),0,1))</f>
        <v>0</v>
      </c>
      <c r="M1789" s="1" t="n">
        <f aca="false">IF(OR($M$1="",对接源_02物料!$C589="",对接源_02物料!$C589&lt;&gt;$M$1,对接源_02物料!$B589=""),0,IF(OR(N(对接源_02物料!$B589)&lt;$M$2,N(对接源_02物料!$B589)&gt;$M$3),0,1))</f>
        <v>0</v>
      </c>
      <c r="N1789" s="1" t="n">
        <f aca="false">IF(OR($N$1="",对接源_02物料!$C589="",对接源_02物料!$C589&lt;&gt;$N$1,对接源_02物料!$B589=""),0,IF(OR(N(对接源_02物料!$B589)&lt;$N$2,N(对接源_02物料!$B589)&gt;$N$3),0,1))</f>
        <v>0</v>
      </c>
      <c r="P1789" s="1" t="n">
        <f aca="false">IF(AND($K1789=1,AND(对接源_02物料!$X589="公司筐",N(对接源_02物料!$T589)&lt;&gt;0)),1,0)</f>
        <v>0</v>
      </c>
      <c r="Q1789" s="1" t="n">
        <f aca="false">N(Q1788)+$P1789</f>
        <v>13</v>
      </c>
      <c r="R1789" s="1" t="n">
        <f aca="false">IF(AND($K1789=1,AND(对接源_02物料!$X589="公司筐",N(对接源_02物料!$U589)&lt;&gt;0)),1,0)</f>
        <v>0</v>
      </c>
      <c r="S1789" s="1" t="n">
        <f aca="false">N(S1788)+$R1789</f>
        <v>5</v>
      </c>
      <c r="T1789" s="1" t="n">
        <f aca="false">IF(AND($K1789=1,AND(对接源_02物料!$X589="公司筐",N(对接源_02物料!$V589)&lt;&gt;0)),1,0)</f>
        <v>0</v>
      </c>
      <c r="U1789" s="1" t="n">
        <f aca="false">N(U1788)+$T1789</f>
        <v>28</v>
      </c>
      <c r="V1789" s="1" t="n">
        <f aca="false">IF(AND($L1789=1,AND(对接源_02物料!$X589="自备筐",N(对接源_02物料!$V589)&lt;&gt;0)),1,0)</f>
        <v>0</v>
      </c>
      <c r="W1789" s="1" t="n">
        <f aca="false">N(W1788)+$V1789</f>
        <v>7</v>
      </c>
      <c r="X1789" s="1" t="n">
        <f aca="false">IF(AND($L1789=1,AND(对接源_02物料!$X589="自备筐",N(对接源_02物料!$T589)&lt;&gt;0)),1,0)</f>
        <v>0</v>
      </c>
      <c r="Y1789" s="1" t="n">
        <f aca="false">N(Y1788)+$X1789</f>
        <v>0</v>
      </c>
      <c r="Z1789" s="1" t="n">
        <f aca="false">IF(AND($M1789=1,对接源_02物料!$D589="原料入库"),1,0)</f>
        <v>0</v>
      </c>
      <c r="AA1789" s="1" t="n">
        <f aca="false">N(AA1788)+$Z1789</f>
        <v>30</v>
      </c>
      <c r="AB1789" s="1" t="n">
        <f aca="false">IF(AND($M1789=1,LEFT(对接源_02物料!$D589,4)="原料出库"),1,0)</f>
        <v>0</v>
      </c>
      <c r="AC1789" s="1" t="n">
        <f aca="false">N(AC1788)+$AB1789</f>
        <v>19</v>
      </c>
      <c r="AD1789" s="1" t="n">
        <f aca="false">IF(AND($M1789=1,LEFT(对接源_02物料!$D589,4)="成品出库"),1,0)</f>
        <v>0</v>
      </c>
      <c r="AE1789" s="1" t="n">
        <f aca="false">N(AE1788)+$AD1789</f>
        <v>38</v>
      </c>
      <c r="AF1789" s="1" t="n">
        <f aca="false">IF(AND($N1789=1,AND(LEFT(对接源_02物料!$D589,4)="包装物料",N(对接源_02物料!$K589)&lt;&gt;0)),1,0)</f>
        <v>0</v>
      </c>
      <c r="AG1789" s="1" t="n">
        <f aca="false">N(AG1788)+$AF1789</f>
        <v>6</v>
      </c>
      <c r="AH1789" s="1" t="n">
        <f aca="false">IF(AND($N1789=1,AND(LEFT(对接源_02物料!$D589,3)="周转筐",N(对接源_02物料!$K589)&lt;&gt;0)),1,0)</f>
        <v>0</v>
      </c>
      <c r="AI1789" s="1" t="n">
        <f aca="false">N(AI1788)+$AH1789</f>
        <v>0</v>
      </c>
      <c r="AJ1789" s="1" t="n">
        <v>0</v>
      </c>
      <c r="AK1789" s="1" t="n">
        <f aca="false">N(AK1788)+$AJ1789</f>
        <v>3672</v>
      </c>
    </row>
    <row r="1790" customFormat="false" ht="13.5" hidden="false" customHeight="false" outlineLevel="0" collapsed="false">
      <c r="A1790" s="1" t="str">
        <f aca="false">IF(对接源_02物料!$C590="","",对接源_02物料!$C590)</f>
        <v/>
      </c>
      <c r="B1790" s="1" t="n">
        <f aca="false">IF(A1790="",0,IF(MATCH(A1790,$A$4:$A$2403,0)=ROW()-3,1,0))</f>
        <v>0</v>
      </c>
      <c r="C1790" s="1" t="n">
        <f aca="false">N(C1789)+B1790</f>
        <v>17</v>
      </c>
      <c r="K1790" s="1" t="n">
        <f aca="false">IF(OR($K$1="",对接源_02物料!$C590="",对接源_02物料!$C590&lt;&gt;$K$1,对接源_02物料!$B590=""),0,IF(OR(N(对接源_02物料!$B590)&lt;$K$2,N(对接源_02物料!$B590)&gt;$K$3),0,1))</f>
        <v>0</v>
      </c>
      <c r="L1790" s="1" t="n">
        <f aca="false">IF(OR($L$1="",对接源_02物料!$C590="",对接源_02物料!$C590&lt;&gt;$L$1,对接源_02物料!$B590=""),0,IF(OR(N(对接源_02物料!$B590)&lt;$L$2,N(对接源_02物料!$B590)&gt;$L$3),0,1))</f>
        <v>0</v>
      </c>
      <c r="M1790" s="1" t="n">
        <f aca="false">IF(OR($M$1="",对接源_02物料!$C590="",对接源_02物料!$C590&lt;&gt;$M$1,对接源_02物料!$B590=""),0,IF(OR(N(对接源_02物料!$B590)&lt;$M$2,N(对接源_02物料!$B590)&gt;$M$3),0,1))</f>
        <v>0</v>
      </c>
      <c r="N1790" s="1" t="n">
        <f aca="false">IF(OR($N$1="",对接源_02物料!$C590="",对接源_02物料!$C590&lt;&gt;$N$1,对接源_02物料!$B590=""),0,IF(OR(N(对接源_02物料!$B590)&lt;$N$2,N(对接源_02物料!$B590)&gt;$N$3),0,1))</f>
        <v>0</v>
      </c>
      <c r="P1790" s="1" t="n">
        <f aca="false">IF(AND($K1790=1,AND(对接源_02物料!$X590="公司筐",N(对接源_02物料!$T590)&lt;&gt;0)),1,0)</f>
        <v>0</v>
      </c>
      <c r="Q1790" s="1" t="n">
        <f aca="false">N(Q1789)+$P1790</f>
        <v>13</v>
      </c>
      <c r="R1790" s="1" t="n">
        <f aca="false">IF(AND($K1790=1,AND(对接源_02物料!$X590="公司筐",N(对接源_02物料!$U590)&lt;&gt;0)),1,0)</f>
        <v>0</v>
      </c>
      <c r="S1790" s="1" t="n">
        <f aca="false">N(S1789)+$R1790</f>
        <v>5</v>
      </c>
      <c r="T1790" s="1" t="n">
        <f aca="false">IF(AND($K1790=1,AND(对接源_02物料!$X590="公司筐",N(对接源_02物料!$V590)&lt;&gt;0)),1,0)</f>
        <v>0</v>
      </c>
      <c r="U1790" s="1" t="n">
        <f aca="false">N(U1789)+$T1790</f>
        <v>28</v>
      </c>
      <c r="V1790" s="1" t="n">
        <f aca="false">IF(AND($L1790=1,AND(对接源_02物料!$X590="自备筐",N(对接源_02物料!$V590)&lt;&gt;0)),1,0)</f>
        <v>0</v>
      </c>
      <c r="W1790" s="1" t="n">
        <f aca="false">N(W1789)+$V1790</f>
        <v>7</v>
      </c>
      <c r="X1790" s="1" t="n">
        <f aca="false">IF(AND($L1790=1,AND(对接源_02物料!$X590="自备筐",N(对接源_02物料!$T590)&lt;&gt;0)),1,0)</f>
        <v>0</v>
      </c>
      <c r="Y1790" s="1" t="n">
        <f aca="false">N(Y1789)+$X1790</f>
        <v>0</v>
      </c>
      <c r="Z1790" s="1" t="n">
        <f aca="false">IF(AND($M1790=1,对接源_02物料!$D590="原料入库"),1,0)</f>
        <v>0</v>
      </c>
      <c r="AA1790" s="1" t="n">
        <f aca="false">N(AA1789)+$Z1790</f>
        <v>30</v>
      </c>
      <c r="AB1790" s="1" t="n">
        <f aca="false">IF(AND($M1790=1,LEFT(对接源_02物料!$D590,4)="原料出库"),1,0)</f>
        <v>0</v>
      </c>
      <c r="AC1790" s="1" t="n">
        <f aca="false">N(AC1789)+$AB1790</f>
        <v>19</v>
      </c>
      <c r="AD1790" s="1" t="n">
        <f aca="false">IF(AND($M1790=1,LEFT(对接源_02物料!$D590,4)="成品出库"),1,0)</f>
        <v>0</v>
      </c>
      <c r="AE1790" s="1" t="n">
        <f aca="false">N(AE1789)+$AD1790</f>
        <v>38</v>
      </c>
      <c r="AF1790" s="1" t="n">
        <f aca="false">IF(AND($N1790=1,AND(LEFT(对接源_02物料!$D590,4)="包装物料",N(对接源_02物料!$K590)&lt;&gt;0)),1,0)</f>
        <v>0</v>
      </c>
      <c r="AG1790" s="1" t="n">
        <f aca="false">N(AG1789)+$AF1790</f>
        <v>6</v>
      </c>
      <c r="AH1790" s="1" t="n">
        <f aca="false">IF(AND($N1790=1,AND(LEFT(对接源_02物料!$D590,3)="周转筐",N(对接源_02物料!$K590)&lt;&gt;0)),1,0)</f>
        <v>0</v>
      </c>
      <c r="AI1790" s="1" t="n">
        <f aca="false">N(AI1789)+$AH1790</f>
        <v>0</v>
      </c>
      <c r="AJ1790" s="1" t="n">
        <v>0</v>
      </c>
      <c r="AK1790" s="1" t="n">
        <f aca="false">N(AK1789)+$AJ1790</f>
        <v>3672</v>
      </c>
    </row>
    <row r="1791" customFormat="false" ht="13.5" hidden="false" customHeight="false" outlineLevel="0" collapsed="false">
      <c r="A1791" s="1" t="str">
        <f aca="false">IF(对接源_02物料!$C591="","",对接源_02物料!$C591)</f>
        <v/>
      </c>
      <c r="B1791" s="1" t="n">
        <f aca="false">IF(A1791="",0,IF(MATCH(A1791,$A$4:$A$2403,0)=ROW()-3,1,0))</f>
        <v>0</v>
      </c>
      <c r="C1791" s="1" t="n">
        <f aca="false">N(C1790)+B1791</f>
        <v>17</v>
      </c>
      <c r="K1791" s="1" t="n">
        <f aca="false">IF(OR($K$1="",对接源_02物料!$C591="",对接源_02物料!$C591&lt;&gt;$K$1,对接源_02物料!$B591=""),0,IF(OR(N(对接源_02物料!$B591)&lt;$K$2,N(对接源_02物料!$B591)&gt;$K$3),0,1))</f>
        <v>0</v>
      </c>
      <c r="L1791" s="1" t="n">
        <f aca="false">IF(OR($L$1="",对接源_02物料!$C591="",对接源_02物料!$C591&lt;&gt;$L$1,对接源_02物料!$B591=""),0,IF(OR(N(对接源_02物料!$B591)&lt;$L$2,N(对接源_02物料!$B591)&gt;$L$3),0,1))</f>
        <v>0</v>
      </c>
      <c r="M1791" s="1" t="n">
        <f aca="false">IF(OR($M$1="",对接源_02物料!$C591="",对接源_02物料!$C591&lt;&gt;$M$1,对接源_02物料!$B591=""),0,IF(OR(N(对接源_02物料!$B591)&lt;$M$2,N(对接源_02物料!$B591)&gt;$M$3),0,1))</f>
        <v>0</v>
      </c>
      <c r="N1791" s="1" t="n">
        <f aca="false">IF(OR($N$1="",对接源_02物料!$C591="",对接源_02物料!$C591&lt;&gt;$N$1,对接源_02物料!$B591=""),0,IF(OR(N(对接源_02物料!$B591)&lt;$N$2,N(对接源_02物料!$B591)&gt;$N$3),0,1))</f>
        <v>0</v>
      </c>
      <c r="P1791" s="1" t="n">
        <f aca="false">IF(AND($K1791=1,AND(对接源_02物料!$X591="公司筐",N(对接源_02物料!$T591)&lt;&gt;0)),1,0)</f>
        <v>0</v>
      </c>
      <c r="Q1791" s="1" t="n">
        <f aca="false">N(Q1790)+$P1791</f>
        <v>13</v>
      </c>
      <c r="R1791" s="1" t="n">
        <f aca="false">IF(AND($K1791=1,AND(对接源_02物料!$X591="公司筐",N(对接源_02物料!$U591)&lt;&gt;0)),1,0)</f>
        <v>0</v>
      </c>
      <c r="S1791" s="1" t="n">
        <f aca="false">N(S1790)+$R1791</f>
        <v>5</v>
      </c>
      <c r="T1791" s="1" t="n">
        <f aca="false">IF(AND($K1791=1,AND(对接源_02物料!$X591="公司筐",N(对接源_02物料!$V591)&lt;&gt;0)),1,0)</f>
        <v>0</v>
      </c>
      <c r="U1791" s="1" t="n">
        <f aca="false">N(U1790)+$T1791</f>
        <v>28</v>
      </c>
      <c r="V1791" s="1" t="n">
        <f aca="false">IF(AND($L1791=1,AND(对接源_02物料!$X591="自备筐",N(对接源_02物料!$V591)&lt;&gt;0)),1,0)</f>
        <v>0</v>
      </c>
      <c r="W1791" s="1" t="n">
        <f aca="false">N(W1790)+$V1791</f>
        <v>7</v>
      </c>
      <c r="X1791" s="1" t="n">
        <f aca="false">IF(AND($L1791=1,AND(对接源_02物料!$X591="自备筐",N(对接源_02物料!$T591)&lt;&gt;0)),1,0)</f>
        <v>0</v>
      </c>
      <c r="Y1791" s="1" t="n">
        <f aca="false">N(Y1790)+$X1791</f>
        <v>0</v>
      </c>
      <c r="Z1791" s="1" t="n">
        <f aca="false">IF(AND($M1791=1,对接源_02物料!$D591="原料入库"),1,0)</f>
        <v>0</v>
      </c>
      <c r="AA1791" s="1" t="n">
        <f aca="false">N(AA1790)+$Z1791</f>
        <v>30</v>
      </c>
      <c r="AB1791" s="1" t="n">
        <f aca="false">IF(AND($M1791=1,LEFT(对接源_02物料!$D591,4)="原料出库"),1,0)</f>
        <v>0</v>
      </c>
      <c r="AC1791" s="1" t="n">
        <f aca="false">N(AC1790)+$AB1791</f>
        <v>19</v>
      </c>
      <c r="AD1791" s="1" t="n">
        <f aca="false">IF(AND($M1791=1,LEFT(对接源_02物料!$D591,4)="成品出库"),1,0)</f>
        <v>0</v>
      </c>
      <c r="AE1791" s="1" t="n">
        <f aca="false">N(AE1790)+$AD1791</f>
        <v>38</v>
      </c>
      <c r="AF1791" s="1" t="n">
        <f aca="false">IF(AND($N1791=1,AND(LEFT(对接源_02物料!$D591,4)="包装物料",N(对接源_02物料!$K591)&lt;&gt;0)),1,0)</f>
        <v>0</v>
      </c>
      <c r="AG1791" s="1" t="n">
        <f aca="false">N(AG1790)+$AF1791</f>
        <v>6</v>
      </c>
      <c r="AH1791" s="1" t="n">
        <f aca="false">IF(AND($N1791=1,AND(LEFT(对接源_02物料!$D591,3)="周转筐",N(对接源_02物料!$K591)&lt;&gt;0)),1,0)</f>
        <v>0</v>
      </c>
      <c r="AI1791" s="1" t="n">
        <f aca="false">N(AI1790)+$AH1791</f>
        <v>0</v>
      </c>
      <c r="AJ1791" s="1" t="n">
        <v>0</v>
      </c>
      <c r="AK1791" s="1" t="n">
        <f aca="false">N(AK1790)+$AJ1791</f>
        <v>3672</v>
      </c>
    </row>
    <row r="1792" customFormat="false" ht="13.5" hidden="false" customHeight="false" outlineLevel="0" collapsed="false">
      <c r="A1792" s="1" t="str">
        <f aca="false">IF(对接源_02物料!$C592="","",对接源_02物料!$C592)</f>
        <v/>
      </c>
      <c r="B1792" s="1" t="n">
        <f aca="false">IF(A1792="",0,IF(MATCH(A1792,$A$4:$A$2403,0)=ROW()-3,1,0))</f>
        <v>0</v>
      </c>
      <c r="C1792" s="1" t="n">
        <f aca="false">N(C1791)+B1792</f>
        <v>17</v>
      </c>
      <c r="K1792" s="1" t="n">
        <f aca="false">IF(OR($K$1="",对接源_02物料!$C592="",对接源_02物料!$C592&lt;&gt;$K$1,对接源_02物料!$B592=""),0,IF(OR(N(对接源_02物料!$B592)&lt;$K$2,N(对接源_02物料!$B592)&gt;$K$3),0,1))</f>
        <v>0</v>
      </c>
      <c r="L1792" s="1" t="n">
        <f aca="false">IF(OR($L$1="",对接源_02物料!$C592="",对接源_02物料!$C592&lt;&gt;$L$1,对接源_02物料!$B592=""),0,IF(OR(N(对接源_02物料!$B592)&lt;$L$2,N(对接源_02物料!$B592)&gt;$L$3),0,1))</f>
        <v>0</v>
      </c>
      <c r="M1792" s="1" t="n">
        <f aca="false">IF(OR($M$1="",对接源_02物料!$C592="",对接源_02物料!$C592&lt;&gt;$M$1,对接源_02物料!$B592=""),0,IF(OR(N(对接源_02物料!$B592)&lt;$M$2,N(对接源_02物料!$B592)&gt;$M$3),0,1))</f>
        <v>0</v>
      </c>
      <c r="N1792" s="1" t="n">
        <f aca="false">IF(OR($N$1="",对接源_02物料!$C592="",对接源_02物料!$C592&lt;&gt;$N$1,对接源_02物料!$B592=""),0,IF(OR(N(对接源_02物料!$B592)&lt;$N$2,N(对接源_02物料!$B592)&gt;$N$3),0,1))</f>
        <v>0</v>
      </c>
      <c r="P1792" s="1" t="n">
        <f aca="false">IF(AND($K1792=1,AND(对接源_02物料!$X592="公司筐",N(对接源_02物料!$T592)&lt;&gt;0)),1,0)</f>
        <v>0</v>
      </c>
      <c r="Q1792" s="1" t="n">
        <f aca="false">N(Q1791)+$P1792</f>
        <v>13</v>
      </c>
      <c r="R1792" s="1" t="n">
        <f aca="false">IF(AND($K1792=1,AND(对接源_02物料!$X592="公司筐",N(对接源_02物料!$U592)&lt;&gt;0)),1,0)</f>
        <v>0</v>
      </c>
      <c r="S1792" s="1" t="n">
        <f aca="false">N(S1791)+$R1792</f>
        <v>5</v>
      </c>
      <c r="T1792" s="1" t="n">
        <f aca="false">IF(AND($K1792=1,AND(对接源_02物料!$X592="公司筐",N(对接源_02物料!$V592)&lt;&gt;0)),1,0)</f>
        <v>0</v>
      </c>
      <c r="U1792" s="1" t="n">
        <f aca="false">N(U1791)+$T1792</f>
        <v>28</v>
      </c>
      <c r="V1792" s="1" t="n">
        <f aca="false">IF(AND($L1792=1,AND(对接源_02物料!$X592="自备筐",N(对接源_02物料!$V592)&lt;&gt;0)),1,0)</f>
        <v>0</v>
      </c>
      <c r="W1792" s="1" t="n">
        <f aca="false">N(W1791)+$V1792</f>
        <v>7</v>
      </c>
      <c r="X1792" s="1" t="n">
        <f aca="false">IF(AND($L1792=1,AND(对接源_02物料!$X592="自备筐",N(对接源_02物料!$T592)&lt;&gt;0)),1,0)</f>
        <v>0</v>
      </c>
      <c r="Y1792" s="1" t="n">
        <f aca="false">N(Y1791)+$X1792</f>
        <v>0</v>
      </c>
      <c r="Z1792" s="1" t="n">
        <f aca="false">IF(AND($M1792=1,对接源_02物料!$D592="原料入库"),1,0)</f>
        <v>0</v>
      </c>
      <c r="AA1792" s="1" t="n">
        <f aca="false">N(AA1791)+$Z1792</f>
        <v>30</v>
      </c>
      <c r="AB1792" s="1" t="n">
        <f aca="false">IF(AND($M1792=1,LEFT(对接源_02物料!$D592,4)="原料出库"),1,0)</f>
        <v>0</v>
      </c>
      <c r="AC1792" s="1" t="n">
        <f aca="false">N(AC1791)+$AB1792</f>
        <v>19</v>
      </c>
      <c r="AD1792" s="1" t="n">
        <f aca="false">IF(AND($M1792=1,LEFT(对接源_02物料!$D592,4)="成品出库"),1,0)</f>
        <v>0</v>
      </c>
      <c r="AE1792" s="1" t="n">
        <f aca="false">N(AE1791)+$AD1792</f>
        <v>38</v>
      </c>
      <c r="AF1792" s="1" t="n">
        <f aca="false">IF(AND($N1792=1,AND(LEFT(对接源_02物料!$D592,4)="包装物料",N(对接源_02物料!$K592)&lt;&gt;0)),1,0)</f>
        <v>0</v>
      </c>
      <c r="AG1792" s="1" t="n">
        <f aca="false">N(AG1791)+$AF1792</f>
        <v>6</v>
      </c>
      <c r="AH1792" s="1" t="n">
        <f aca="false">IF(AND($N1792=1,AND(LEFT(对接源_02物料!$D592,3)="周转筐",N(对接源_02物料!$K592)&lt;&gt;0)),1,0)</f>
        <v>0</v>
      </c>
      <c r="AI1792" s="1" t="n">
        <f aca="false">N(AI1791)+$AH1792</f>
        <v>0</v>
      </c>
      <c r="AJ1792" s="1" t="n">
        <v>0</v>
      </c>
      <c r="AK1792" s="1" t="n">
        <f aca="false">N(AK1791)+$AJ1792</f>
        <v>3672</v>
      </c>
    </row>
    <row r="1793" customFormat="false" ht="13.5" hidden="false" customHeight="false" outlineLevel="0" collapsed="false">
      <c r="A1793" s="1" t="str">
        <f aca="false">IF(对接源_02物料!$C593="","",对接源_02物料!$C593)</f>
        <v/>
      </c>
      <c r="B1793" s="1" t="n">
        <f aca="false">IF(A1793="",0,IF(MATCH(A1793,$A$4:$A$2403,0)=ROW()-3,1,0))</f>
        <v>0</v>
      </c>
      <c r="C1793" s="1" t="n">
        <f aca="false">N(C1792)+B1793</f>
        <v>17</v>
      </c>
      <c r="K1793" s="1" t="n">
        <f aca="false">IF(OR($K$1="",对接源_02物料!$C593="",对接源_02物料!$C593&lt;&gt;$K$1,对接源_02物料!$B593=""),0,IF(OR(N(对接源_02物料!$B593)&lt;$K$2,N(对接源_02物料!$B593)&gt;$K$3),0,1))</f>
        <v>0</v>
      </c>
      <c r="L1793" s="1" t="n">
        <f aca="false">IF(OR($L$1="",对接源_02物料!$C593="",对接源_02物料!$C593&lt;&gt;$L$1,对接源_02物料!$B593=""),0,IF(OR(N(对接源_02物料!$B593)&lt;$L$2,N(对接源_02物料!$B593)&gt;$L$3),0,1))</f>
        <v>0</v>
      </c>
      <c r="M1793" s="1" t="n">
        <f aca="false">IF(OR($M$1="",对接源_02物料!$C593="",对接源_02物料!$C593&lt;&gt;$M$1,对接源_02物料!$B593=""),0,IF(OR(N(对接源_02物料!$B593)&lt;$M$2,N(对接源_02物料!$B593)&gt;$M$3),0,1))</f>
        <v>0</v>
      </c>
      <c r="N1793" s="1" t="n">
        <f aca="false">IF(OR($N$1="",对接源_02物料!$C593="",对接源_02物料!$C593&lt;&gt;$N$1,对接源_02物料!$B593=""),0,IF(OR(N(对接源_02物料!$B593)&lt;$N$2,N(对接源_02物料!$B593)&gt;$N$3),0,1))</f>
        <v>0</v>
      </c>
      <c r="P1793" s="1" t="n">
        <f aca="false">IF(AND($K1793=1,AND(对接源_02物料!$X593="公司筐",N(对接源_02物料!$T593)&lt;&gt;0)),1,0)</f>
        <v>0</v>
      </c>
      <c r="Q1793" s="1" t="n">
        <f aca="false">N(Q1792)+$P1793</f>
        <v>13</v>
      </c>
      <c r="R1793" s="1" t="n">
        <f aca="false">IF(AND($K1793=1,AND(对接源_02物料!$X593="公司筐",N(对接源_02物料!$U593)&lt;&gt;0)),1,0)</f>
        <v>0</v>
      </c>
      <c r="S1793" s="1" t="n">
        <f aca="false">N(S1792)+$R1793</f>
        <v>5</v>
      </c>
      <c r="T1793" s="1" t="n">
        <f aca="false">IF(AND($K1793=1,AND(对接源_02物料!$X593="公司筐",N(对接源_02物料!$V593)&lt;&gt;0)),1,0)</f>
        <v>0</v>
      </c>
      <c r="U1793" s="1" t="n">
        <f aca="false">N(U1792)+$T1793</f>
        <v>28</v>
      </c>
      <c r="V1793" s="1" t="n">
        <f aca="false">IF(AND($L1793=1,AND(对接源_02物料!$X593="自备筐",N(对接源_02物料!$V593)&lt;&gt;0)),1,0)</f>
        <v>0</v>
      </c>
      <c r="W1793" s="1" t="n">
        <f aca="false">N(W1792)+$V1793</f>
        <v>7</v>
      </c>
      <c r="X1793" s="1" t="n">
        <f aca="false">IF(AND($L1793=1,AND(对接源_02物料!$X593="自备筐",N(对接源_02物料!$T593)&lt;&gt;0)),1,0)</f>
        <v>0</v>
      </c>
      <c r="Y1793" s="1" t="n">
        <f aca="false">N(Y1792)+$X1793</f>
        <v>0</v>
      </c>
      <c r="Z1793" s="1" t="n">
        <f aca="false">IF(AND($M1793=1,对接源_02物料!$D593="原料入库"),1,0)</f>
        <v>0</v>
      </c>
      <c r="AA1793" s="1" t="n">
        <f aca="false">N(AA1792)+$Z1793</f>
        <v>30</v>
      </c>
      <c r="AB1793" s="1" t="n">
        <f aca="false">IF(AND($M1793=1,LEFT(对接源_02物料!$D593,4)="原料出库"),1,0)</f>
        <v>0</v>
      </c>
      <c r="AC1793" s="1" t="n">
        <f aca="false">N(AC1792)+$AB1793</f>
        <v>19</v>
      </c>
      <c r="AD1793" s="1" t="n">
        <f aca="false">IF(AND($M1793=1,LEFT(对接源_02物料!$D593,4)="成品出库"),1,0)</f>
        <v>0</v>
      </c>
      <c r="AE1793" s="1" t="n">
        <f aca="false">N(AE1792)+$AD1793</f>
        <v>38</v>
      </c>
      <c r="AF1793" s="1" t="n">
        <f aca="false">IF(AND($N1793=1,AND(LEFT(对接源_02物料!$D593,4)="包装物料",N(对接源_02物料!$K593)&lt;&gt;0)),1,0)</f>
        <v>0</v>
      </c>
      <c r="AG1793" s="1" t="n">
        <f aca="false">N(AG1792)+$AF1793</f>
        <v>6</v>
      </c>
      <c r="AH1793" s="1" t="n">
        <f aca="false">IF(AND($N1793=1,AND(LEFT(对接源_02物料!$D593,3)="周转筐",N(对接源_02物料!$K593)&lt;&gt;0)),1,0)</f>
        <v>0</v>
      </c>
      <c r="AI1793" s="1" t="n">
        <f aca="false">N(AI1792)+$AH1793</f>
        <v>0</v>
      </c>
      <c r="AJ1793" s="1" t="n">
        <v>0</v>
      </c>
      <c r="AK1793" s="1" t="n">
        <f aca="false">N(AK1792)+$AJ1793</f>
        <v>3672</v>
      </c>
    </row>
    <row r="1794" customFormat="false" ht="13.5" hidden="false" customHeight="false" outlineLevel="0" collapsed="false">
      <c r="A1794" s="1" t="str">
        <f aca="false">IF(对接源_02物料!$C594="","",对接源_02物料!$C594)</f>
        <v/>
      </c>
      <c r="B1794" s="1" t="n">
        <f aca="false">IF(A1794="",0,IF(MATCH(A1794,$A$4:$A$2403,0)=ROW()-3,1,0))</f>
        <v>0</v>
      </c>
      <c r="C1794" s="1" t="n">
        <f aca="false">N(C1793)+B1794</f>
        <v>17</v>
      </c>
      <c r="K1794" s="1" t="n">
        <f aca="false">IF(OR($K$1="",对接源_02物料!$C594="",对接源_02物料!$C594&lt;&gt;$K$1,对接源_02物料!$B594=""),0,IF(OR(N(对接源_02物料!$B594)&lt;$K$2,N(对接源_02物料!$B594)&gt;$K$3),0,1))</f>
        <v>0</v>
      </c>
      <c r="L1794" s="1" t="n">
        <f aca="false">IF(OR($L$1="",对接源_02物料!$C594="",对接源_02物料!$C594&lt;&gt;$L$1,对接源_02物料!$B594=""),0,IF(OR(N(对接源_02物料!$B594)&lt;$L$2,N(对接源_02物料!$B594)&gt;$L$3),0,1))</f>
        <v>0</v>
      </c>
      <c r="M1794" s="1" t="n">
        <f aca="false">IF(OR($M$1="",对接源_02物料!$C594="",对接源_02物料!$C594&lt;&gt;$M$1,对接源_02物料!$B594=""),0,IF(OR(N(对接源_02物料!$B594)&lt;$M$2,N(对接源_02物料!$B594)&gt;$M$3),0,1))</f>
        <v>0</v>
      </c>
      <c r="N1794" s="1" t="n">
        <f aca="false">IF(OR($N$1="",对接源_02物料!$C594="",对接源_02物料!$C594&lt;&gt;$N$1,对接源_02物料!$B594=""),0,IF(OR(N(对接源_02物料!$B594)&lt;$N$2,N(对接源_02物料!$B594)&gt;$N$3),0,1))</f>
        <v>0</v>
      </c>
      <c r="P1794" s="1" t="n">
        <f aca="false">IF(AND($K1794=1,AND(对接源_02物料!$X594="公司筐",N(对接源_02物料!$T594)&lt;&gt;0)),1,0)</f>
        <v>0</v>
      </c>
      <c r="Q1794" s="1" t="n">
        <f aca="false">N(Q1793)+$P1794</f>
        <v>13</v>
      </c>
      <c r="R1794" s="1" t="n">
        <f aca="false">IF(AND($K1794=1,AND(对接源_02物料!$X594="公司筐",N(对接源_02物料!$U594)&lt;&gt;0)),1,0)</f>
        <v>0</v>
      </c>
      <c r="S1794" s="1" t="n">
        <f aca="false">N(S1793)+$R1794</f>
        <v>5</v>
      </c>
      <c r="T1794" s="1" t="n">
        <f aca="false">IF(AND($K1794=1,AND(对接源_02物料!$X594="公司筐",N(对接源_02物料!$V594)&lt;&gt;0)),1,0)</f>
        <v>0</v>
      </c>
      <c r="U1794" s="1" t="n">
        <f aca="false">N(U1793)+$T1794</f>
        <v>28</v>
      </c>
      <c r="V1794" s="1" t="n">
        <f aca="false">IF(AND($L1794=1,AND(对接源_02物料!$X594="自备筐",N(对接源_02物料!$V594)&lt;&gt;0)),1,0)</f>
        <v>0</v>
      </c>
      <c r="W1794" s="1" t="n">
        <f aca="false">N(W1793)+$V1794</f>
        <v>7</v>
      </c>
      <c r="X1794" s="1" t="n">
        <f aca="false">IF(AND($L1794=1,AND(对接源_02物料!$X594="自备筐",N(对接源_02物料!$T594)&lt;&gt;0)),1,0)</f>
        <v>0</v>
      </c>
      <c r="Y1794" s="1" t="n">
        <f aca="false">N(Y1793)+$X1794</f>
        <v>0</v>
      </c>
      <c r="Z1794" s="1" t="n">
        <f aca="false">IF(AND($M1794=1,对接源_02物料!$D594="原料入库"),1,0)</f>
        <v>0</v>
      </c>
      <c r="AA1794" s="1" t="n">
        <f aca="false">N(AA1793)+$Z1794</f>
        <v>30</v>
      </c>
      <c r="AB1794" s="1" t="n">
        <f aca="false">IF(AND($M1794=1,LEFT(对接源_02物料!$D594,4)="原料出库"),1,0)</f>
        <v>0</v>
      </c>
      <c r="AC1794" s="1" t="n">
        <f aca="false">N(AC1793)+$AB1794</f>
        <v>19</v>
      </c>
      <c r="AD1794" s="1" t="n">
        <f aca="false">IF(AND($M1794=1,LEFT(对接源_02物料!$D594,4)="成品出库"),1,0)</f>
        <v>0</v>
      </c>
      <c r="AE1794" s="1" t="n">
        <f aca="false">N(AE1793)+$AD1794</f>
        <v>38</v>
      </c>
      <c r="AF1794" s="1" t="n">
        <f aca="false">IF(AND($N1794=1,AND(LEFT(对接源_02物料!$D594,4)="包装物料",N(对接源_02物料!$K594)&lt;&gt;0)),1,0)</f>
        <v>0</v>
      </c>
      <c r="AG1794" s="1" t="n">
        <f aca="false">N(AG1793)+$AF1794</f>
        <v>6</v>
      </c>
      <c r="AH1794" s="1" t="n">
        <f aca="false">IF(AND($N1794=1,AND(LEFT(对接源_02物料!$D594,3)="周转筐",N(对接源_02物料!$K594)&lt;&gt;0)),1,0)</f>
        <v>0</v>
      </c>
      <c r="AI1794" s="1" t="n">
        <f aca="false">N(AI1793)+$AH1794</f>
        <v>0</v>
      </c>
      <c r="AJ1794" s="1" t="n">
        <v>0</v>
      </c>
      <c r="AK1794" s="1" t="n">
        <f aca="false">N(AK1793)+$AJ1794</f>
        <v>3672</v>
      </c>
    </row>
    <row r="1795" customFormat="false" ht="13.5" hidden="false" customHeight="false" outlineLevel="0" collapsed="false">
      <c r="A1795" s="1" t="str">
        <f aca="false">IF(对接源_02物料!$C595="","",对接源_02物料!$C595)</f>
        <v/>
      </c>
      <c r="B1795" s="1" t="n">
        <f aca="false">IF(A1795="",0,IF(MATCH(A1795,$A$4:$A$2403,0)=ROW()-3,1,0))</f>
        <v>0</v>
      </c>
      <c r="C1795" s="1" t="n">
        <f aca="false">N(C1794)+B1795</f>
        <v>17</v>
      </c>
      <c r="K1795" s="1" t="n">
        <f aca="false">IF(OR($K$1="",对接源_02物料!$C595="",对接源_02物料!$C595&lt;&gt;$K$1,对接源_02物料!$B595=""),0,IF(OR(N(对接源_02物料!$B595)&lt;$K$2,N(对接源_02物料!$B595)&gt;$K$3),0,1))</f>
        <v>0</v>
      </c>
      <c r="L1795" s="1" t="n">
        <f aca="false">IF(OR($L$1="",对接源_02物料!$C595="",对接源_02物料!$C595&lt;&gt;$L$1,对接源_02物料!$B595=""),0,IF(OR(N(对接源_02物料!$B595)&lt;$L$2,N(对接源_02物料!$B595)&gt;$L$3),0,1))</f>
        <v>0</v>
      </c>
      <c r="M1795" s="1" t="n">
        <f aca="false">IF(OR($M$1="",对接源_02物料!$C595="",对接源_02物料!$C595&lt;&gt;$M$1,对接源_02物料!$B595=""),0,IF(OR(N(对接源_02物料!$B595)&lt;$M$2,N(对接源_02物料!$B595)&gt;$M$3),0,1))</f>
        <v>0</v>
      </c>
      <c r="N1795" s="1" t="n">
        <f aca="false">IF(OR($N$1="",对接源_02物料!$C595="",对接源_02物料!$C595&lt;&gt;$N$1,对接源_02物料!$B595=""),0,IF(OR(N(对接源_02物料!$B595)&lt;$N$2,N(对接源_02物料!$B595)&gt;$N$3),0,1))</f>
        <v>0</v>
      </c>
      <c r="P1795" s="1" t="n">
        <f aca="false">IF(AND($K1795=1,AND(对接源_02物料!$X595="公司筐",N(对接源_02物料!$T595)&lt;&gt;0)),1,0)</f>
        <v>0</v>
      </c>
      <c r="Q1795" s="1" t="n">
        <f aca="false">N(Q1794)+$P1795</f>
        <v>13</v>
      </c>
      <c r="R1795" s="1" t="n">
        <f aca="false">IF(AND($K1795=1,AND(对接源_02物料!$X595="公司筐",N(对接源_02物料!$U595)&lt;&gt;0)),1,0)</f>
        <v>0</v>
      </c>
      <c r="S1795" s="1" t="n">
        <f aca="false">N(S1794)+$R1795</f>
        <v>5</v>
      </c>
      <c r="T1795" s="1" t="n">
        <f aca="false">IF(AND($K1795=1,AND(对接源_02物料!$X595="公司筐",N(对接源_02物料!$V595)&lt;&gt;0)),1,0)</f>
        <v>0</v>
      </c>
      <c r="U1795" s="1" t="n">
        <f aca="false">N(U1794)+$T1795</f>
        <v>28</v>
      </c>
      <c r="V1795" s="1" t="n">
        <f aca="false">IF(AND($L1795=1,AND(对接源_02物料!$X595="自备筐",N(对接源_02物料!$V595)&lt;&gt;0)),1,0)</f>
        <v>0</v>
      </c>
      <c r="W1795" s="1" t="n">
        <f aca="false">N(W1794)+$V1795</f>
        <v>7</v>
      </c>
      <c r="X1795" s="1" t="n">
        <f aca="false">IF(AND($L1795=1,AND(对接源_02物料!$X595="自备筐",N(对接源_02物料!$T595)&lt;&gt;0)),1,0)</f>
        <v>0</v>
      </c>
      <c r="Y1795" s="1" t="n">
        <f aca="false">N(Y1794)+$X1795</f>
        <v>0</v>
      </c>
      <c r="Z1795" s="1" t="n">
        <f aca="false">IF(AND($M1795=1,对接源_02物料!$D595="原料入库"),1,0)</f>
        <v>0</v>
      </c>
      <c r="AA1795" s="1" t="n">
        <f aca="false">N(AA1794)+$Z1795</f>
        <v>30</v>
      </c>
      <c r="AB1795" s="1" t="n">
        <f aca="false">IF(AND($M1795=1,LEFT(对接源_02物料!$D595,4)="原料出库"),1,0)</f>
        <v>0</v>
      </c>
      <c r="AC1795" s="1" t="n">
        <f aca="false">N(AC1794)+$AB1795</f>
        <v>19</v>
      </c>
      <c r="AD1795" s="1" t="n">
        <f aca="false">IF(AND($M1795=1,LEFT(对接源_02物料!$D595,4)="成品出库"),1,0)</f>
        <v>0</v>
      </c>
      <c r="AE1795" s="1" t="n">
        <f aca="false">N(AE1794)+$AD1795</f>
        <v>38</v>
      </c>
      <c r="AF1795" s="1" t="n">
        <f aca="false">IF(AND($N1795=1,AND(LEFT(对接源_02物料!$D595,4)="包装物料",N(对接源_02物料!$K595)&lt;&gt;0)),1,0)</f>
        <v>0</v>
      </c>
      <c r="AG1795" s="1" t="n">
        <f aca="false">N(AG1794)+$AF1795</f>
        <v>6</v>
      </c>
      <c r="AH1795" s="1" t="n">
        <f aca="false">IF(AND($N1795=1,AND(LEFT(对接源_02物料!$D595,3)="周转筐",N(对接源_02物料!$K595)&lt;&gt;0)),1,0)</f>
        <v>0</v>
      </c>
      <c r="AI1795" s="1" t="n">
        <f aca="false">N(AI1794)+$AH1795</f>
        <v>0</v>
      </c>
      <c r="AJ1795" s="1" t="n">
        <v>0</v>
      </c>
      <c r="AK1795" s="1" t="n">
        <f aca="false">N(AK1794)+$AJ1795</f>
        <v>3672</v>
      </c>
    </row>
    <row r="1796" customFormat="false" ht="13.5" hidden="false" customHeight="false" outlineLevel="0" collapsed="false">
      <c r="A1796" s="1" t="str">
        <f aca="false">IF(对接源_02物料!$C596="","",对接源_02物料!$C596)</f>
        <v/>
      </c>
      <c r="B1796" s="1" t="n">
        <f aca="false">IF(A1796="",0,IF(MATCH(A1796,$A$4:$A$2403,0)=ROW()-3,1,0))</f>
        <v>0</v>
      </c>
      <c r="C1796" s="1" t="n">
        <f aca="false">N(C1795)+B1796</f>
        <v>17</v>
      </c>
      <c r="K1796" s="1" t="n">
        <f aca="false">IF(OR($K$1="",对接源_02物料!$C596="",对接源_02物料!$C596&lt;&gt;$K$1,对接源_02物料!$B596=""),0,IF(OR(N(对接源_02物料!$B596)&lt;$K$2,N(对接源_02物料!$B596)&gt;$K$3),0,1))</f>
        <v>0</v>
      </c>
      <c r="L1796" s="1" t="n">
        <f aca="false">IF(OR($L$1="",对接源_02物料!$C596="",对接源_02物料!$C596&lt;&gt;$L$1,对接源_02物料!$B596=""),0,IF(OR(N(对接源_02物料!$B596)&lt;$L$2,N(对接源_02物料!$B596)&gt;$L$3),0,1))</f>
        <v>0</v>
      </c>
      <c r="M1796" s="1" t="n">
        <f aca="false">IF(OR($M$1="",对接源_02物料!$C596="",对接源_02物料!$C596&lt;&gt;$M$1,对接源_02物料!$B596=""),0,IF(OR(N(对接源_02物料!$B596)&lt;$M$2,N(对接源_02物料!$B596)&gt;$M$3),0,1))</f>
        <v>0</v>
      </c>
      <c r="N1796" s="1" t="n">
        <f aca="false">IF(OR($N$1="",对接源_02物料!$C596="",对接源_02物料!$C596&lt;&gt;$N$1,对接源_02物料!$B596=""),0,IF(OR(N(对接源_02物料!$B596)&lt;$N$2,N(对接源_02物料!$B596)&gt;$N$3),0,1))</f>
        <v>0</v>
      </c>
      <c r="P1796" s="1" t="n">
        <f aca="false">IF(AND($K1796=1,AND(对接源_02物料!$X596="公司筐",N(对接源_02物料!$T596)&lt;&gt;0)),1,0)</f>
        <v>0</v>
      </c>
      <c r="Q1796" s="1" t="n">
        <f aca="false">N(Q1795)+$P1796</f>
        <v>13</v>
      </c>
      <c r="R1796" s="1" t="n">
        <f aca="false">IF(AND($K1796=1,AND(对接源_02物料!$X596="公司筐",N(对接源_02物料!$U596)&lt;&gt;0)),1,0)</f>
        <v>0</v>
      </c>
      <c r="S1796" s="1" t="n">
        <f aca="false">N(S1795)+$R1796</f>
        <v>5</v>
      </c>
      <c r="T1796" s="1" t="n">
        <f aca="false">IF(AND($K1796=1,AND(对接源_02物料!$X596="公司筐",N(对接源_02物料!$V596)&lt;&gt;0)),1,0)</f>
        <v>0</v>
      </c>
      <c r="U1796" s="1" t="n">
        <f aca="false">N(U1795)+$T1796</f>
        <v>28</v>
      </c>
      <c r="V1796" s="1" t="n">
        <f aca="false">IF(AND($L1796=1,AND(对接源_02物料!$X596="自备筐",N(对接源_02物料!$V596)&lt;&gt;0)),1,0)</f>
        <v>0</v>
      </c>
      <c r="W1796" s="1" t="n">
        <f aca="false">N(W1795)+$V1796</f>
        <v>7</v>
      </c>
      <c r="X1796" s="1" t="n">
        <f aca="false">IF(AND($L1796=1,AND(对接源_02物料!$X596="自备筐",N(对接源_02物料!$T596)&lt;&gt;0)),1,0)</f>
        <v>0</v>
      </c>
      <c r="Y1796" s="1" t="n">
        <f aca="false">N(Y1795)+$X1796</f>
        <v>0</v>
      </c>
      <c r="Z1796" s="1" t="n">
        <f aca="false">IF(AND($M1796=1,对接源_02物料!$D596="原料入库"),1,0)</f>
        <v>0</v>
      </c>
      <c r="AA1796" s="1" t="n">
        <f aca="false">N(AA1795)+$Z1796</f>
        <v>30</v>
      </c>
      <c r="AB1796" s="1" t="n">
        <f aca="false">IF(AND($M1796=1,LEFT(对接源_02物料!$D596,4)="原料出库"),1,0)</f>
        <v>0</v>
      </c>
      <c r="AC1796" s="1" t="n">
        <f aca="false">N(AC1795)+$AB1796</f>
        <v>19</v>
      </c>
      <c r="AD1796" s="1" t="n">
        <f aca="false">IF(AND($M1796=1,LEFT(对接源_02物料!$D596,4)="成品出库"),1,0)</f>
        <v>0</v>
      </c>
      <c r="AE1796" s="1" t="n">
        <f aca="false">N(AE1795)+$AD1796</f>
        <v>38</v>
      </c>
      <c r="AF1796" s="1" t="n">
        <f aca="false">IF(AND($N1796=1,AND(LEFT(对接源_02物料!$D596,4)="包装物料",N(对接源_02物料!$K596)&lt;&gt;0)),1,0)</f>
        <v>0</v>
      </c>
      <c r="AG1796" s="1" t="n">
        <f aca="false">N(AG1795)+$AF1796</f>
        <v>6</v>
      </c>
      <c r="AH1796" s="1" t="n">
        <f aca="false">IF(AND($N1796=1,AND(LEFT(对接源_02物料!$D596,3)="周转筐",N(对接源_02物料!$K596)&lt;&gt;0)),1,0)</f>
        <v>0</v>
      </c>
      <c r="AI1796" s="1" t="n">
        <f aca="false">N(AI1795)+$AH1796</f>
        <v>0</v>
      </c>
      <c r="AJ1796" s="1" t="n">
        <v>0</v>
      </c>
      <c r="AK1796" s="1" t="n">
        <f aca="false">N(AK1795)+$AJ1796</f>
        <v>3672</v>
      </c>
    </row>
    <row r="1797" customFormat="false" ht="13.5" hidden="false" customHeight="false" outlineLevel="0" collapsed="false">
      <c r="A1797" s="1" t="str">
        <f aca="false">IF(对接源_02物料!$C597="","",对接源_02物料!$C597)</f>
        <v/>
      </c>
      <c r="B1797" s="1" t="n">
        <f aca="false">IF(A1797="",0,IF(MATCH(A1797,$A$4:$A$2403,0)=ROW()-3,1,0))</f>
        <v>0</v>
      </c>
      <c r="C1797" s="1" t="n">
        <f aca="false">N(C1796)+B1797</f>
        <v>17</v>
      </c>
      <c r="K1797" s="1" t="n">
        <f aca="false">IF(OR($K$1="",对接源_02物料!$C597="",对接源_02物料!$C597&lt;&gt;$K$1,对接源_02物料!$B597=""),0,IF(OR(N(对接源_02物料!$B597)&lt;$K$2,N(对接源_02物料!$B597)&gt;$K$3),0,1))</f>
        <v>0</v>
      </c>
      <c r="L1797" s="1" t="n">
        <f aca="false">IF(OR($L$1="",对接源_02物料!$C597="",对接源_02物料!$C597&lt;&gt;$L$1,对接源_02物料!$B597=""),0,IF(OR(N(对接源_02物料!$B597)&lt;$L$2,N(对接源_02物料!$B597)&gt;$L$3),0,1))</f>
        <v>0</v>
      </c>
      <c r="M1797" s="1" t="n">
        <f aca="false">IF(OR($M$1="",对接源_02物料!$C597="",对接源_02物料!$C597&lt;&gt;$M$1,对接源_02物料!$B597=""),0,IF(OR(N(对接源_02物料!$B597)&lt;$M$2,N(对接源_02物料!$B597)&gt;$M$3),0,1))</f>
        <v>0</v>
      </c>
      <c r="N1797" s="1" t="n">
        <f aca="false">IF(OR($N$1="",对接源_02物料!$C597="",对接源_02物料!$C597&lt;&gt;$N$1,对接源_02物料!$B597=""),0,IF(OR(N(对接源_02物料!$B597)&lt;$N$2,N(对接源_02物料!$B597)&gt;$N$3),0,1))</f>
        <v>0</v>
      </c>
      <c r="P1797" s="1" t="n">
        <f aca="false">IF(AND($K1797=1,AND(对接源_02物料!$X597="公司筐",N(对接源_02物料!$T597)&lt;&gt;0)),1,0)</f>
        <v>0</v>
      </c>
      <c r="Q1797" s="1" t="n">
        <f aca="false">N(Q1796)+$P1797</f>
        <v>13</v>
      </c>
      <c r="R1797" s="1" t="n">
        <f aca="false">IF(AND($K1797=1,AND(对接源_02物料!$X597="公司筐",N(对接源_02物料!$U597)&lt;&gt;0)),1,0)</f>
        <v>0</v>
      </c>
      <c r="S1797" s="1" t="n">
        <f aca="false">N(S1796)+$R1797</f>
        <v>5</v>
      </c>
      <c r="T1797" s="1" t="n">
        <f aca="false">IF(AND($K1797=1,AND(对接源_02物料!$X597="公司筐",N(对接源_02物料!$V597)&lt;&gt;0)),1,0)</f>
        <v>0</v>
      </c>
      <c r="U1797" s="1" t="n">
        <f aca="false">N(U1796)+$T1797</f>
        <v>28</v>
      </c>
      <c r="V1797" s="1" t="n">
        <f aca="false">IF(AND($L1797=1,AND(对接源_02物料!$X597="自备筐",N(对接源_02物料!$V597)&lt;&gt;0)),1,0)</f>
        <v>0</v>
      </c>
      <c r="W1797" s="1" t="n">
        <f aca="false">N(W1796)+$V1797</f>
        <v>7</v>
      </c>
      <c r="X1797" s="1" t="n">
        <f aca="false">IF(AND($L1797=1,AND(对接源_02物料!$X597="自备筐",N(对接源_02物料!$T597)&lt;&gt;0)),1,0)</f>
        <v>0</v>
      </c>
      <c r="Y1797" s="1" t="n">
        <f aca="false">N(Y1796)+$X1797</f>
        <v>0</v>
      </c>
      <c r="Z1797" s="1" t="n">
        <f aca="false">IF(AND($M1797=1,对接源_02物料!$D597="原料入库"),1,0)</f>
        <v>0</v>
      </c>
      <c r="AA1797" s="1" t="n">
        <f aca="false">N(AA1796)+$Z1797</f>
        <v>30</v>
      </c>
      <c r="AB1797" s="1" t="n">
        <f aca="false">IF(AND($M1797=1,LEFT(对接源_02物料!$D597,4)="原料出库"),1,0)</f>
        <v>0</v>
      </c>
      <c r="AC1797" s="1" t="n">
        <f aca="false">N(AC1796)+$AB1797</f>
        <v>19</v>
      </c>
      <c r="AD1797" s="1" t="n">
        <f aca="false">IF(AND($M1797=1,LEFT(对接源_02物料!$D597,4)="成品出库"),1,0)</f>
        <v>0</v>
      </c>
      <c r="AE1797" s="1" t="n">
        <f aca="false">N(AE1796)+$AD1797</f>
        <v>38</v>
      </c>
      <c r="AF1797" s="1" t="n">
        <f aca="false">IF(AND($N1797=1,AND(LEFT(对接源_02物料!$D597,4)="包装物料",N(对接源_02物料!$K597)&lt;&gt;0)),1,0)</f>
        <v>0</v>
      </c>
      <c r="AG1797" s="1" t="n">
        <f aca="false">N(AG1796)+$AF1797</f>
        <v>6</v>
      </c>
      <c r="AH1797" s="1" t="n">
        <f aca="false">IF(AND($N1797=1,AND(LEFT(对接源_02物料!$D597,3)="周转筐",N(对接源_02物料!$K597)&lt;&gt;0)),1,0)</f>
        <v>0</v>
      </c>
      <c r="AI1797" s="1" t="n">
        <f aca="false">N(AI1796)+$AH1797</f>
        <v>0</v>
      </c>
      <c r="AJ1797" s="1" t="n">
        <v>0</v>
      </c>
      <c r="AK1797" s="1" t="n">
        <f aca="false">N(AK1796)+$AJ1797</f>
        <v>3672</v>
      </c>
    </row>
    <row r="1798" customFormat="false" ht="13.5" hidden="false" customHeight="false" outlineLevel="0" collapsed="false">
      <c r="A1798" s="1" t="str">
        <f aca="false">IF(对接源_02物料!$C598="","",对接源_02物料!$C598)</f>
        <v/>
      </c>
      <c r="B1798" s="1" t="n">
        <f aca="false">IF(A1798="",0,IF(MATCH(A1798,$A$4:$A$2403,0)=ROW()-3,1,0))</f>
        <v>0</v>
      </c>
      <c r="C1798" s="1" t="n">
        <f aca="false">N(C1797)+B1798</f>
        <v>17</v>
      </c>
      <c r="K1798" s="1" t="n">
        <f aca="false">IF(OR($K$1="",对接源_02物料!$C598="",对接源_02物料!$C598&lt;&gt;$K$1,对接源_02物料!$B598=""),0,IF(OR(N(对接源_02物料!$B598)&lt;$K$2,N(对接源_02物料!$B598)&gt;$K$3),0,1))</f>
        <v>0</v>
      </c>
      <c r="L1798" s="1" t="n">
        <f aca="false">IF(OR($L$1="",对接源_02物料!$C598="",对接源_02物料!$C598&lt;&gt;$L$1,对接源_02物料!$B598=""),0,IF(OR(N(对接源_02物料!$B598)&lt;$L$2,N(对接源_02物料!$B598)&gt;$L$3),0,1))</f>
        <v>0</v>
      </c>
      <c r="M1798" s="1" t="n">
        <f aca="false">IF(OR($M$1="",对接源_02物料!$C598="",对接源_02物料!$C598&lt;&gt;$M$1,对接源_02物料!$B598=""),0,IF(OR(N(对接源_02物料!$B598)&lt;$M$2,N(对接源_02物料!$B598)&gt;$M$3),0,1))</f>
        <v>0</v>
      </c>
      <c r="N1798" s="1" t="n">
        <f aca="false">IF(OR($N$1="",对接源_02物料!$C598="",对接源_02物料!$C598&lt;&gt;$N$1,对接源_02物料!$B598=""),0,IF(OR(N(对接源_02物料!$B598)&lt;$N$2,N(对接源_02物料!$B598)&gt;$N$3),0,1))</f>
        <v>0</v>
      </c>
      <c r="P1798" s="1" t="n">
        <f aca="false">IF(AND($K1798=1,AND(对接源_02物料!$X598="公司筐",N(对接源_02物料!$T598)&lt;&gt;0)),1,0)</f>
        <v>0</v>
      </c>
      <c r="Q1798" s="1" t="n">
        <f aca="false">N(Q1797)+$P1798</f>
        <v>13</v>
      </c>
      <c r="R1798" s="1" t="n">
        <f aca="false">IF(AND($K1798=1,AND(对接源_02物料!$X598="公司筐",N(对接源_02物料!$U598)&lt;&gt;0)),1,0)</f>
        <v>0</v>
      </c>
      <c r="S1798" s="1" t="n">
        <f aca="false">N(S1797)+$R1798</f>
        <v>5</v>
      </c>
      <c r="T1798" s="1" t="n">
        <f aca="false">IF(AND($K1798=1,AND(对接源_02物料!$X598="公司筐",N(对接源_02物料!$V598)&lt;&gt;0)),1,0)</f>
        <v>0</v>
      </c>
      <c r="U1798" s="1" t="n">
        <f aca="false">N(U1797)+$T1798</f>
        <v>28</v>
      </c>
      <c r="V1798" s="1" t="n">
        <f aca="false">IF(AND($L1798=1,AND(对接源_02物料!$X598="自备筐",N(对接源_02物料!$V598)&lt;&gt;0)),1,0)</f>
        <v>0</v>
      </c>
      <c r="W1798" s="1" t="n">
        <f aca="false">N(W1797)+$V1798</f>
        <v>7</v>
      </c>
      <c r="X1798" s="1" t="n">
        <f aca="false">IF(AND($L1798=1,AND(对接源_02物料!$X598="自备筐",N(对接源_02物料!$T598)&lt;&gt;0)),1,0)</f>
        <v>0</v>
      </c>
      <c r="Y1798" s="1" t="n">
        <f aca="false">N(Y1797)+$X1798</f>
        <v>0</v>
      </c>
      <c r="Z1798" s="1" t="n">
        <f aca="false">IF(AND($M1798=1,对接源_02物料!$D598="原料入库"),1,0)</f>
        <v>0</v>
      </c>
      <c r="AA1798" s="1" t="n">
        <f aca="false">N(AA1797)+$Z1798</f>
        <v>30</v>
      </c>
      <c r="AB1798" s="1" t="n">
        <f aca="false">IF(AND($M1798=1,LEFT(对接源_02物料!$D598,4)="原料出库"),1,0)</f>
        <v>0</v>
      </c>
      <c r="AC1798" s="1" t="n">
        <f aca="false">N(AC1797)+$AB1798</f>
        <v>19</v>
      </c>
      <c r="AD1798" s="1" t="n">
        <f aca="false">IF(AND($M1798=1,LEFT(对接源_02物料!$D598,4)="成品出库"),1,0)</f>
        <v>0</v>
      </c>
      <c r="AE1798" s="1" t="n">
        <f aca="false">N(AE1797)+$AD1798</f>
        <v>38</v>
      </c>
      <c r="AF1798" s="1" t="n">
        <f aca="false">IF(AND($N1798=1,AND(LEFT(对接源_02物料!$D598,4)="包装物料",N(对接源_02物料!$K598)&lt;&gt;0)),1,0)</f>
        <v>0</v>
      </c>
      <c r="AG1798" s="1" t="n">
        <f aca="false">N(AG1797)+$AF1798</f>
        <v>6</v>
      </c>
      <c r="AH1798" s="1" t="n">
        <f aca="false">IF(AND($N1798=1,AND(LEFT(对接源_02物料!$D598,3)="周转筐",N(对接源_02物料!$K598)&lt;&gt;0)),1,0)</f>
        <v>0</v>
      </c>
      <c r="AI1798" s="1" t="n">
        <f aca="false">N(AI1797)+$AH1798</f>
        <v>0</v>
      </c>
      <c r="AJ1798" s="1" t="n">
        <v>0</v>
      </c>
      <c r="AK1798" s="1" t="n">
        <f aca="false">N(AK1797)+$AJ1798</f>
        <v>3672</v>
      </c>
    </row>
    <row r="1799" customFormat="false" ht="13.5" hidden="false" customHeight="false" outlineLevel="0" collapsed="false">
      <c r="A1799" s="1" t="str">
        <f aca="false">IF(对接源_02物料!$C599="","",对接源_02物料!$C599)</f>
        <v/>
      </c>
      <c r="B1799" s="1" t="n">
        <f aca="false">IF(A1799="",0,IF(MATCH(A1799,$A$4:$A$2403,0)=ROW()-3,1,0))</f>
        <v>0</v>
      </c>
      <c r="C1799" s="1" t="n">
        <f aca="false">N(C1798)+B1799</f>
        <v>17</v>
      </c>
      <c r="K1799" s="1" t="n">
        <f aca="false">IF(OR($K$1="",对接源_02物料!$C599="",对接源_02物料!$C599&lt;&gt;$K$1,对接源_02物料!$B599=""),0,IF(OR(N(对接源_02物料!$B599)&lt;$K$2,N(对接源_02物料!$B599)&gt;$K$3),0,1))</f>
        <v>0</v>
      </c>
      <c r="L1799" s="1" t="n">
        <f aca="false">IF(OR($L$1="",对接源_02物料!$C599="",对接源_02物料!$C599&lt;&gt;$L$1,对接源_02物料!$B599=""),0,IF(OR(N(对接源_02物料!$B599)&lt;$L$2,N(对接源_02物料!$B599)&gt;$L$3),0,1))</f>
        <v>0</v>
      </c>
      <c r="M1799" s="1" t="n">
        <f aca="false">IF(OR($M$1="",对接源_02物料!$C599="",对接源_02物料!$C599&lt;&gt;$M$1,对接源_02物料!$B599=""),0,IF(OR(N(对接源_02物料!$B599)&lt;$M$2,N(对接源_02物料!$B599)&gt;$M$3),0,1))</f>
        <v>0</v>
      </c>
      <c r="N1799" s="1" t="n">
        <f aca="false">IF(OR($N$1="",对接源_02物料!$C599="",对接源_02物料!$C599&lt;&gt;$N$1,对接源_02物料!$B599=""),0,IF(OR(N(对接源_02物料!$B599)&lt;$N$2,N(对接源_02物料!$B599)&gt;$N$3),0,1))</f>
        <v>0</v>
      </c>
      <c r="P1799" s="1" t="n">
        <f aca="false">IF(AND($K1799=1,AND(对接源_02物料!$X599="公司筐",N(对接源_02物料!$T599)&lt;&gt;0)),1,0)</f>
        <v>0</v>
      </c>
      <c r="Q1799" s="1" t="n">
        <f aca="false">N(Q1798)+$P1799</f>
        <v>13</v>
      </c>
      <c r="R1799" s="1" t="n">
        <f aca="false">IF(AND($K1799=1,AND(对接源_02物料!$X599="公司筐",N(对接源_02物料!$U599)&lt;&gt;0)),1,0)</f>
        <v>0</v>
      </c>
      <c r="S1799" s="1" t="n">
        <f aca="false">N(S1798)+$R1799</f>
        <v>5</v>
      </c>
      <c r="T1799" s="1" t="n">
        <f aca="false">IF(AND($K1799=1,AND(对接源_02物料!$X599="公司筐",N(对接源_02物料!$V599)&lt;&gt;0)),1,0)</f>
        <v>0</v>
      </c>
      <c r="U1799" s="1" t="n">
        <f aca="false">N(U1798)+$T1799</f>
        <v>28</v>
      </c>
      <c r="V1799" s="1" t="n">
        <f aca="false">IF(AND($L1799=1,AND(对接源_02物料!$X599="自备筐",N(对接源_02物料!$V599)&lt;&gt;0)),1,0)</f>
        <v>0</v>
      </c>
      <c r="W1799" s="1" t="n">
        <f aca="false">N(W1798)+$V1799</f>
        <v>7</v>
      </c>
      <c r="X1799" s="1" t="n">
        <f aca="false">IF(AND($L1799=1,AND(对接源_02物料!$X599="自备筐",N(对接源_02物料!$T599)&lt;&gt;0)),1,0)</f>
        <v>0</v>
      </c>
      <c r="Y1799" s="1" t="n">
        <f aca="false">N(Y1798)+$X1799</f>
        <v>0</v>
      </c>
      <c r="Z1799" s="1" t="n">
        <f aca="false">IF(AND($M1799=1,对接源_02物料!$D599="原料入库"),1,0)</f>
        <v>0</v>
      </c>
      <c r="AA1799" s="1" t="n">
        <f aca="false">N(AA1798)+$Z1799</f>
        <v>30</v>
      </c>
      <c r="AB1799" s="1" t="n">
        <f aca="false">IF(AND($M1799=1,LEFT(对接源_02物料!$D599,4)="原料出库"),1,0)</f>
        <v>0</v>
      </c>
      <c r="AC1799" s="1" t="n">
        <f aca="false">N(AC1798)+$AB1799</f>
        <v>19</v>
      </c>
      <c r="AD1799" s="1" t="n">
        <f aca="false">IF(AND($M1799=1,LEFT(对接源_02物料!$D599,4)="成品出库"),1,0)</f>
        <v>0</v>
      </c>
      <c r="AE1799" s="1" t="n">
        <f aca="false">N(AE1798)+$AD1799</f>
        <v>38</v>
      </c>
      <c r="AF1799" s="1" t="n">
        <f aca="false">IF(AND($N1799=1,AND(LEFT(对接源_02物料!$D599,4)="包装物料",N(对接源_02物料!$K599)&lt;&gt;0)),1,0)</f>
        <v>0</v>
      </c>
      <c r="AG1799" s="1" t="n">
        <f aca="false">N(AG1798)+$AF1799</f>
        <v>6</v>
      </c>
      <c r="AH1799" s="1" t="n">
        <f aca="false">IF(AND($N1799=1,AND(LEFT(对接源_02物料!$D599,3)="周转筐",N(对接源_02物料!$K599)&lt;&gt;0)),1,0)</f>
        <v>0</v>
      </c>
      <c r="AI1799" s="1" t="n">
        <f aca="false">N(AI1798)+$AH1799</f>
        <v>0</v>
      </c>
      <c r="AJ1799" s="1" t="n">
        <v>0</v>
      </c>
      <c r="AK1799" s="1" t="n">
        <f aca="false">N(AK1798)+$AJ1799</f>
        <v>3672</v>
      </c>
    </row>
    <row r="1800" customFormat="false" ht="13.5" hidden="false" customHeight="false" outlineLevel="0" collapsed="false">
      <c r="A1800" s="1" t="str">
        <f aca="false">IF(对接源_02物料!$C600="","",对接源_02物料!$C600)</f>
        <v/>
      </c>
      <c r="B1800" s="1" t="n">
        <f aca="false">IF(A1800="",0,IF(MATCH(A1800,$A$4:$A$2403,0)=ROW()-3,1,0))</f>
        <v>0</v>
      </c>
      <c r="C1800" s="1" t="n">
        <f aca="false">N(C1799)+B1800</f>
        <v>17</v>
      </c>
      <c r="K1800" s="1" t="n">
        <f aca="false">IF(OR($K$1="",对接源_02物料!$C600="",对接源_02物料!$C600&lt;&gt;$K$1,对接源_02物料!$B600=""),0,IF(OR(N(对接源_02物料!$B600)&lt;$K$2,N(对接源_02物料!$B600)&gt;$K$3),0,1))</f>
        <v>0</v>
      </c>
      <c r="L1800" s="1" t="n">
        <f aca="false">IF(OR($L$1="",对接源_02物料!$C600="",对接源_02物料!$C600&lt;&gt;$L$1,对接源_02物料!$B600=""),0,IF(OR(N(对接源_02物料!$B600)&lt;$L$2,N(对接源_02物料!$B600)&gt;$L$3),0,1))</f>
        <v>0</v>
      </c>
      <c r="M1800" s="1" t="n">
        <f aca="false">IF(OR($M$1="",对接源_02物料!$C600="",对接源_02物料!$C600&lt;&gt;$M$1,对接源_02物料!$B600=""),0,IF(OR(N(对接源_02物料!$B600)&lt;$M$2,N(对接源_02物料!$B600)&gt;$M$3),0,1))</f>
        <v>0</v>
      </c>
      <c r="N1800" s="1" t="n">
        <f aca="false">IF(OR($N$1="",对接源_02物料!$C600="",对接源_02物料!$C600&lt;&gt;$N$1,对接源_02物料!$B600=""),0,IF(OR(N(对接源_02物料!$B600)&lt;$N$2,N(对接源_02物料!$B600)&gt;$N$3),0,1))</f>
        <v>0</v>
      </c>
      <c r="P1800" s="1" t="n">
        <f aca="false">IF(AND($K1800=1,AND(对接源_02物料!$X600="公司筐",N(对接源_02物料!$T600)&lt;&gt;0)),1,0)</f>
        <v>0</v>
      </c>
      <c r="Q1800" s="1" t="n">
        <f aca="false">N(Q1799)+$P1800</f>
        <v>13</v>
      </c>
      <c r="R1800" s="1" t="n">
        <f aca="false">IF(AND($K1800=1,AND(对接源_02物料!$X600="公司筐",N(对接源_02物料!$U600)&lt;&gt;0)),1,0)</f>
        <v>0</v>
      </c>
      <c r="S1800" s="1" t="n">
        <f aca="false">N(S1799)+$R1800</f>
        <v>5</v>
      </c>
      <c r="T1800" s="1" t="n">
        <f aca="false">IF(AND($K1800=1,AND(对接源_02物料!$X600="公司筐",N(对接源_02物料!$V600)&lt;&gt;0)),1,0)</f>
        <v>0</v>
      </c>
      <c r="U1800" s="1" t="n">
        <f aca="false">N(U1799)+$T1800</f>
        <v>28</v>
      </c>
      <c r="V1800" s="1" t="n">
        <f aca="false">IF(AND($L1800=1,AND(对接源_02物料!$X600="自备筐",N(对接源_02物料!$V600)&lt;&gt;0)),1,0)</f>
        <v>0</v>
      </c>
      <c r="W1800" s="1" t="n">
        <f aca="false">N(W1799)+$V1800</f>
        <v>7</v>
      </c>
      <c r="X1800" s="1" t="n">
        <f aca="false">IF(AND($L1800=1,AND(对接源_02物料!$X600="自备筐",N(对接源_02物料!$T600)&lt;&gt;0)),1,0)</f>
        <v>0</v>
      </c>
      <c r="Y1800" s="1" t="n">
        <f aca="false">N(Y1799)+$X1800</f>
        <v>0</v>
      </c>
      <c r="Z1800" s="1" t="n">
        <f aca="false">IF(AND($M1800=1,对接源_02物料!$D600="原料入库"),1,0)</f>
        <v>0</v>
      </c>
      <c r="AA1800" s="1" t="n">
        <f aca="false">N(AA1799)+$Z1800</f>
        <v>30</v>
      </c>
      <c r="AB1800" s="1" t="n">
        <f aca="false">IF(AND($M1800=1,LEFT(对接源_02物料!$D600,4)="原料出库"),1,0)</f>
        <v>0</v>
      </c>
      <c r="AC1800" s="1" t="n">
        <f aca="false">N(AC1799)+$AB1800</f>
        <v>19</v>
      </c>
      <c r="AD1800" s="1" t="n">
        <f aca="false">IF(AND($M1800=1,LEFT(对接源_02物料!$D600,4)="成品出库"),1,0)</f>
        <v>0</v>
      </c>
      <c r="AE1800" s="1" t="n">
        <f aca="false">N(AE1799)+$AD1800</f>
        <v>38</v>
      </c>
      <c r="AF1800" s="1" t="n">
        <f aca="false">IF(AND($N1800=1,AND(LEFT(对接源_02物料!$D600,4)="包装物料",N(对接源_02物料!$K600)&lt;&gt;0)),1,0)</f>
        <v>0</v>
      </c>
      <c r="AG1800" s="1" t="n">
        <f aca="false">N(AG1799)+$AF1800</f>
        <v>6</v>
      </c>
      <c r="AH1800" s="1" t="n">
        <f aca="false">IF(AND($N1800=1,AND(LEFT(对接源_02物料!$D600,3)="周转筐",N(对接源_02物料!$K600)&lt;&gt;0)),1,0)</f>
        <v>0</v>
      </c>
      <c r="AI1800" s="1" t="n">
        <f aca="false">N(AI1799)+$AH1800</f>
        <v>0</v>
      </c>
      <c r="AJ1800" s="1" t="n">
        <v>0</v>
      </c>
      <c r="AK1800" s="1" t="n">
        <f aca="false">N(AK1799)+$AJ1800</f>
        <v>3672</v>
      </c>
    </row>
    <row r="1801" customFormat="false" ht="13.5" hidden="false" customHeight="false" outlineLevel="0" collapsed="false">
      <c r="A1801" s="1" t="str">
        <f aca="false">IF(对接源_02物料!$C601="","",对接源_02物料!$C601)</f>
        <v/>
      </c>
      <c r="B1801" s="1" t="n">
        <f aca="false">IF(A1801="",0,IF(MATCH(A1801,$A$4:$A$2403,0)=ROW()-3,1,0))</f>
        <v>0</v>
      </c>
      <c r="C1801" s="1" t="n">
        <f aca="false">N(C1800)+B1801</f>
        <v>17</v>
      </c>
      <c r="K1801" s="1" t="n">
        <f aca="false">IF(OR($K$1="",对接源_02物料!$C601="",对接源_02物料!$C601&lt;&gt;$K$1,对接源_02物料!$B601=""),0,IF(OR(N(对接源_02物料!$B601)&lt;$K$2,N(对接源_02物料!$B601)&gt;$K$3),0,1))</f>
        <v>0</v>
      </c>
      <c r="L1801" s="1" t="n">
        <f aca="false">IF(OR($L$1="",对接源_02物料!$C601="",对接源_02物料!$C601&lt;&gt;$L$1,对接源_02物料!$B601=""),0,IF(OR(N(对接源_02物料!$B601)&lt;$L$2,N(对接源_02物料!$B601)&gt;$L$3),0,1))</f>
        <v>0</v>
      </c>
      <c r="M1801" s="1" t="n">
        <f aca="false">IF(OR($M$1="",对接源_02物料!$C601="",对接源_02物料!$C601&lt;&gt;$M$1,对接源_02物料!$B601=""),0,IF(OR(N(对接源_02物料!$B601)&lt;$M$2,N(对接源_02物料!$B601)&gt;$M$3),0,1))</f>
        <v>0</v>
      </c>
      <c r="N1801" s="1" t="n">
        <f aca="false">IF(OR($N$1="",对接源_02物料!$C601="",对接源_02物料!$C601&lt;&gt;$N$1,对接源_02物料!$B601=""),0,IF(OR(N(对接源_02物料!$B601)&lt;$N$2,N(对接源_02物料!$B601)&gt;$N$3),0,1))</f>
        <v>0</v>
      </c>
      <c r="P1801" s="1" t="n">
        <f aca="false">IF(AND($K1801=1,AND(对接源_02物料!$X601="公司筐",N(对接源_02物料!$T601)&lt;&gt;0)),1,0)</f>
        <v>0</v>
      </c>
      <c r="Q1801" s="1" t="n">
        <f aca="false">N(Q1800)+$P1801</f>
        <v>13</v>
      </c>
      <c r="R1801" s="1" t="n">
        <f aca="false">IF(AND($K1801=1,AND(对接源_02物料!$X601="公司筐",N(对接源_02物料!$U601)&lt;&gt;0)),1,0)</f>
        <v>0</v>
      </c>
      <c r="S1801" s="1" t="n">
        <f aca="false">N(S1800)+$R1801</f>
        <v>5</v>
      </c>
      <c r="T1801" s="1" t="n">
        <f aca="false">IF(AND($K1801=1,AND(对接源_02物料!$X601="公司筐",N(对接源_02物料!$V601)&lt;&gt;0)),1,0)</f>
        <v>0</v>
      </c>
      <c r="U1801" s="1" t="n">
        <f aca="false">N(U1800)+$T1801</f>
        <v>28</v>
      </c>
      <c r="V1801" s="1" t="n">
        <f aca="false">IF(AND($L1801=1,AND(对接源_02物料!$X601="自备筐",N(对接源_02物料!$V601)&lt;&gt;0)),1,0)</f>
        <v>0</v>
      </c>
      <c r="W1801" s="1" t="n">
        <f aca="false">N(W1800)+$V1801</f>
        <v>7</v>
      </c>
      <c r="X1801" s="1" t="n">
        <f aca="false">IF(AND($L1801=1,AND(对接源_02物料!$X601="自备筐",N(对接源_02物料!$T601)&lt;&gt;0)),1,0)</f>
        <v>0</v>
      </c>
      <c r="Y1801" s="1" t="n">
        <f aca="false">N(Y1800)+$X1801</f>
        <v>0</v>
      </c>
      <c r="Z1801" s="1" t="n">
        <f aca="false">IF(AND($M1801=1,对接源_02物料!$D601="原料入库"),1,0)</f>
        <v>0</v>
      </c>
      <c r="AA1801" s="1" t="n">
        <f aca="false">N(AA1800)+$Z1801</f>
        <v>30</v>
      </c>
      <c r="AB1801" s="1" t="n">
        <f aca="false">IF(AND($M1801=1,LEFT(对接源_02物料!$D601,4)="原料出库"),1,0)</f>
        <v>0</v>
      </c>
      <c r="AC1801" s="1" t="n">
        <f aca="false">N(AC1800)+$AB1801</f>
        <v>19</v>
      </c>
      <c r="AD1801" s="1" t="n">
        <f aca="false">IF(AND($M1801=1,LEFT(对接源_02物料!$D601,4)="成品出库"),1,0)</f>
        <v>0</v>
      </c>
      <c r="AE1801" s="1" t="n">
        <f aca="false">N(AE1800)+$AD1801</f>
        <v>38</v>
      </c>
      <c r="AF1801" s="1" t="n">
        <f aca="false">IF(AND($N1801=1,AND(LEFT(对接源_02物料!$D601,4)="包装物料",N(对接源_02物料!$K601)&lt;&gt;0)),1,0)</f>
        <v>0</v>
      </c>
      <c r="AG1801" s="1" t="n">
        <f aca="false">N(AG1800)+$AF1801</f>
        <v>6</v>
      </c>
      <c r="AH1801" s="1" t="n">
        <f aca="false">IF(AND($N1801=1,AND(LEFT(对接源_02物料!$D601,3)="周转筐",N(对接源_02物料!$K601)&lt;&gt;0)),1,0)</f>
        <v>0</v>
      </c>
      <c r="AI1801" s="1" t="n">
        <f aca="false">N(AI1800)+$AH1801</f>
        <v>0</v>
      </c>
      <c r="AJ1801" s="1" t="n">
        <v>0</v>
      </c>
      <c r="AK1801" s="1" t="n">
        <f aca="false">N(AK1800)+$AJ1801</f>
        <v>3672</v>
      </c>
    </row>
    <row r="1802" customFormat="false" ht="13.5" hidden="false" customHeight="false" outlineLevel="0" collapsed="false">
      <c r="A1802" s="1" t="str">
        <f aca="false">IF(对接源_02物料!$C602="","",对接源_02物料!$C602)</f>
        <v/>
      </c>
      <c r="B1802" s="1" t="n">
        <f aca="false">IF(A1802="",0,IF(MATCH(A1802,$A$4:$A$2403,0)=ROW()-3,1,0))</f>
        <v>0</v>
      </c>
      <c r="C1802" s="1" t="n">
        <f aca="false">N(C1801)+B1802</f>
        <v>17</v>
      </c>
      <c r="K1802" s="1" t="n">
        <f aca="false">IF(OR($K$1="",对接源_02物料!$C602="",对接源_02物料!$C602&lt;&gt;$K$1,对接源_02物料!$B602=""),0,IF(OR(N(对接源_02物料!$B602)&lt;$K$2,N(对接源_02物料!$B602)&gt;$K$3),0,1))</f>
        <v>0</v>
      </c>
      <c r="L1802" s="1" t="n">
        <f aca="false">IF(OR($L$1="",对接源_02物料!$C602="",对接源_02物料!$C602&lt;&gt;$L$1,对接源_02物料!$B602=""),0,IF(OR(N(对接源_02物料!$B602)&lt;$L$2,N(对接源_02物料!$B602)&gt;$L$3),0,1))</f>
        <v>0</v>
      </c>
      <c r="M1802" s="1" t="n">
        <f aca="false">IF(OR($M$1="",对接源_02物料!$C602="",对接源_02物料!$C602&lt;&gt;$M$1,对接源_02物料!$B602=""),0,IF(OR(N(对接源_02物料!$B602)&lt;$M$2,N(对接源_02物料!$B602)&gt;$M$3),0,1))</f>
        <v>0</v>
      </c>
      <c r="N1802" s="1" t="n">
        <f aca="false">IF(OR($N$1="",对接源_02物料!$C602="",对接源_02物料!$C602&lt;&gt;$N$1,对接源_02物料!$B602=""),0,IF(OR(N(对接源_02物料!$B602)&lt;$N$2,N(对接源_02物料!$B602)&gt;$N$3),0,1))</f>
        <v>0</v>
      </c>
      <c r="P1802" s="1" t="n">
        <f aca="false">IF(AND($K1802=1,AND(对接源_02物料!$X602="公司筐",N(对接源_02物料!$T602)&lt;&gt;0)),1,0)</f>
        <v>0</v>
      </c>
      <c r="Q1802" s="1" t="n">
        <f aca="false">N(Q1801)+$P1802</f>
        <v>13</v>
      </c>
      <c r="R1802" s="1" t="n">
        <f aca="false">IF(AND($K1802=1,AND(对接源_02物料!$X602="公司筐",N(对接源_02物料!$U602)&lt;&gt;0)),1,0)</f>
        <v>0</v>
      </c>
      <c r="S1802" s="1" t="n">
        <f aca="false">N(S1801)+$R1802</f>
        <v>5</v>
      </c>
      <c r="T1802" s="1" t="n">
        <f aca="false">IF(AND($K1802=1,AND(对接源_02物料!$X602="公司筐",N(对接源_02物料!$V602)&lt;&gt;0)),1,0)</f>
        <v>0</v>
      </c>
      <c r="U1802" s="1" t="n">
        <f aca="false">N(U1801)+$T1802</f>
        <v>28</v>
      </c>
      <c r="V1802" s="1" t="n">
        <f aca="false">IF(AND($L1802=1,AND(对接源_02物料!$X602="自备筐",N(对接源_02物料!$V602)&lt;&gt;0)),1,0)</f>
        <v>0</v>
      </c>
      <c r="W1802" s="1" t="n">
        <f aca="false">N(W1801)+$V1802</f>
        <v>7</v>
      </c>
      <c r="X1802" s="1" t="n">
        <f aca="false">IF(AND($L1802=1,AND(对接源_02物料!$X602="自备筐",N(对接源_02物料!$T602)&lt;&gt;0)),1,0)</f>
        <v>0</v>
      </c>
      <c r="Y1802" s="1" t="n">
        <f aca="false">N(Y1801)+$X1802</f>
        <v>0</v>
      </c>
      <c r="Z1802" s="1" t="n">
        <f aca="false">IF(AND($M1802=1,对接源_02物料!$D602="原料入库"),1,0)</f>
        <v>0</v>
      </c>
      <c r="AA1802" s="1" t="n">
        <f aca="false">N(AA1801)+$Z1802</f>
        <v>30</v>
      </c>
      <c r="AB1802" s="1" t="n">
        <f aca="false">IF(AND($M1802=1,LEFT(对接源_02物料!$D602,4)="原料出库"),1,0)</f>
        <v>0</v>
      </c>
      <c r="AC1802" s="1" t="n">
        <f aca="false">N(AC1801)+$AB1802</f>
        <v>19</v>
      </c>
      <c r="AD1802" s="1" t="n">
        <f aca="false">IF(AND($M1802=1,LEFT(对接源_02物料!$D602,4)="成品出库"),1,0)</f>
        <v>0</v>
      </c>
      <c r="AE1802" s="1" t="n">
        <f aca="false">N(AE1801)+$AD1802</f>
        <v>38</v>
      </c>
      <c r="AF1802" s="1" t="n">
        <f aca="false">IF(AND($N1802=1,AND(LEFT(对接源_02物料!$D602,4)="包装物料",N(对接源_02物料!$K602)&lt;&gt;0)),1,0)</f>
        <v>0</v>
      </c>
      <c r="AG1802" s="1" t="n">
        <f aca="false">N(AG1801)+$AF1802</f>
        <v>6</v>
      </c>
      <c r="AH1802" s="1" t="n">
        <f aca="false">IF(AND($N1802=1,AND(LEFT(对接源_02物料!$D602,3)="周转筐",N(对接源_02物料!$K602)&lt;&gt;0)),1,0)</f>
        <v>0</v>
      </c>
      <c r="AI1802" s="1" t="n">
        <f aca="false">N(AI1801)+$AH1802</f>
        <v>0</v>
      </c>
      <c r="AJ1802" s="1" t="n">
        <v>0</v>
      </c>
      <c r="AK1802" s="1" t="n">
        <f aca="false">N(AK1801)+$AJ1802</f>
        <v>3672</v>
      </c>
    </row>
    <row r="1803" customFormat="false" ht="13.5" hidden="false" customHeight="false" outlineLevel="0" collapsed="false">
      <c r="A1803" s="1" t="str">
        <f aca="false">IF(对接源_02物料!$C603="","",对接源_02物料!$C603)</f>
        <v/>
      </c>
      <c r="B1803" s="1" t="n">
        <f aca="false">IF(A1803="",0,IF(MATCH(A1803,$A$4:$A$2403,0)=ROW()-3,1,0))</f>
        <v>0</v>
      </c>
      <c r="C1803" s="1" t="n">
        <f aca="false">N(C1802)+B1803</f>
        <v>17</v>
      </c>
      <c r="K1803" s="1" t="n">
        <f aca="false">IF(OR($K$1="",对接源_02物料!$C603="",对接源_02物料!$C603&lt;&gt;$K$1,对接源_02物料!$B603=""),0,IF(OR(N(对接源_02物料!$B603)&lt;$K$2,N(对接源_02物料!$B603)&gt;$K$3),0,1))</f>
        <v>0</v>
      </c>
      <c r="L1803" s="1" t="n">
        <f aca="false">IF(OR($L$1="",对接源_02物料!$C603="",对接源_02物料!$C603&lt;&gt;$L$1,对接源_02物料!$B603=""),0,IF(OR(N(对接源_02物料!$B603)&lt;$L$2,N(对接源_02物料!$B603)&gt;$L$3),0,1))</f>
        <v>0</v>
      </c>
      <c r="M1803" s="1" t="n">
        <f aca="false">IF(OR($M$1="",对接源_02物料!$C603="",对接源_02物料!$C603&lt;&gt;$M$1,对接源_02物料!$B603=""),0,IF(OR(N(对接源_02物料!$B603)&lt;$M$2,N(对接源_02物料!$B603)&gt;$M$3),0,1))</f>
        <v>0</v>
      </c>
      <c r="N1803" s="1" t="n">
        <f aca="false">IF(OR($N$1="",对接源_02物料!$C603="",对接源_02物料!$C603&lt;&gt;$N$1,对接源_02物料!$B603=""),0,IF(OR(N(对接源_02物料!$B603)&lt;$N$2,N(对接源_02物料!$B603)&gt;$N$3),0,1))</f>
        <v>0</v>
      </c>
      <c r="P1803" s="1" t="n">
        <f aca="false">IF(AND($K1803=1,AND(对接源_02物料!$X603="公司筐",N(对接源_02物料!$T603)&lt;&gt;0)),1,0)</f>
        <v>0</v>
      </c>
      <c r="Q1803" s="1" t="n">
        <f aca="false">N(Q1802)+$P1803</f>
        <v>13</v>
      </c>
      <c r="R1803" s="1" t="n">
        <f aca="false">IF(AND($K1803=1,AND(对接源_02物料!$X603="公司筐",N(对接源_02物料!$U603)&lt;&gt;0)),1,0)</f>
        <v>0</v>
      </c>
      <c r="S1803" s="1" t="n">
        <f aca="false">N(S1802)+$R1803</f>
        <v>5</v>
      </c>
      <c r="T1803" s="1" t="n">
        <f aca="false">IF(AND($K1803=1,AND(对接源_02物料!$X603="公司筐",N(对接源_02物料!$V603)&lt;&gt;0)),1,0)</f>
        <v>0</v>
      </c>
      <c r="U1803" s="1" t="n">
        <f aca="false">N(U1802)+$T1803</f>
        <v>28</v>
      </c>
      <c r="V1803" s="1" t="n">
        <f aca="false">IF(AND($L1803=1,AND(对接源_02物料!$X603="自备筐",N(对接源_02物料!$V603)&lt;&gt;0)),1,0)</f>
        <v>0</v>
      </c>
      <c r="W1803" s="1" t="n">
        <f aca="false">N(W1802)+$V1803</f>
        <v>7</v>
      </c>
      <c r="X1803" s="1" t="n">
        <f aca="false">IF(AND($L1803=1,AND(对接源_02物料!$X603="自备筐",N(对接源_02物料!$T603)&lt;&gt;0)),1,0)</f>
        <v>0</v>
      </c>
      <c r="Y1803" s="1" t="n">
        <f aca="false">N(Y1802)+$X1803</f>
        <v>0</v>
      </c>
      <c r="Z1803" s="1" t="n">
        <f aca="false">IF(AND($M1803=1,对接源_02物料!$D603="原料入库"),1,0)</f>
        <v>0</v>
      </c>
      <c r="AA1803" s="1" t="n">
        <f aca="false">N(AA1802)+$Z1803</f>
        <v>30</v>
      </c>
      <c r="AB1803" s="1" t="n">
        <f aca="false">IF(AND($M1803=1,LEFT(对接源_02物料!$D603,4)="原料出库"),1,0)</f>
        <v>0</v>
      </c>
      <c r="AC1803" s="1" t="n">
        <f aca="false">N(AC1802)+$AB1803</f>
        <v>19</v>
      </c>
      <c r="AD1803" s="1" t="n">
        <f aca="false">IF(AND($M1803=1,LEFT(对接源_02物料!$D603,4)="成品出库"),1,0)</f>
        <v>0</v>
      </c>
      <c r="AE1803" s="1" t="n">
        <f aca="false">N(AE1802)+$AD1803</f>
        <v>38</v>
      </c>
      <c r="AF1803" s="1" t="n">
        <f aca="false">IF(AND($N1803=1,AND(LEFT(对接源_02物料!$D603,4)="包装物料",N(对接源_02物料!$K603)&lt;&gt;0)),1,0)</f>
        <v>0</v>
      </c>
      <c r="AG1803" s="1" t="n">
        <f aca="false">N(AG1802)+$AF1803</f>
        <v>6</v>
      </c>
      <c r="AH1803" s="1" t="n">
        <f aca="false">IF(AND($N1803=1,AND(LEFT(对接源_02物料!$D603,3)="周转筐",N(对接源_02物料!$K603)&lt;&gt;0)),1,0)</f>
        <v>0</v>
      </c>
      <c r="AI1803" s="1" t="n">
        <f aca="false">N(AI1802)+$AH1803</f>
        <v>0</v>
      </c>
      <c r="AJ1803" s="1" t="n">
        <v>0</v>
      </c>
      <c r="AK1803" s="1" t="n">
        <f aca="false">N(AK1802)+$AJ1803</f>
        <v>3672</v>
      </c>
    </row>
    <row r="1804" customFormat="false" ht="13.5" hidden="false" customHeight="false" outlineLevel="0" collapsed="false">
      <c r="A1804" s="1" t="str">
        <f aca="false">IF(对接源_02物料!$C604="","",对接源_02物料!$C604)</f>
        <v/>
      </c>
      <c r="B1804" s="1" t="n">
        <f aca="false">IF(A1804="",0,IF(MATCH(A1804,$A$4:$A$2403,0)=ROW()-3,1,0))</f>
        <v>0</v>
      </c>
      <c r="C1804" s="1" t="n">
        <f aca="false">N(C1803)+B1804</f>
        <v>17</v>
      </c>
      <c r="K1804" s="1" t="n">
        <f aca="false">IF(OR($K$1="",对接源_02物料!$C604="",对接源_02物料!$C604&lt;&gt;$K$1,对接源_02物料!$B604=""),0,IF(OR(N(对接源_02物料!$B604)&lt;$K$2,N(对接源_02物料!$B604)&gt;$K$3),0,1))</f>
        <v>0</v>
      </c>
      <c r="L1804" s="1" t="n">
        <f aca="false">IF(OR($L$1="",对接源_02物料!$C604="",对接源_02物料!$C604&lt;&gt;$L$1,对接源_02物料!$B604=""),0,IF(OR(N(对接源_02物料!$B604)&lt;$L$2,N(对接源_02物料!$B604)&gt;$L$3),0,1))</f>
        <v>0</v>
      </c>
      <c r="M1804" s="1" t="n">
        <f aca="false">IF(OR($M$1="",对接源_02物料!$C604="",对接源_02物料!$C604&lt;&gt;$M$1,对接源_02物料!$B604=""),0,IF(OR(N(对接源_02物料!$B604)&lt;$M$2,N(对接源_02物料!$B604)&gt;$M$3),0,1))</f>
        <v>0</v>
      </c>
      <c r="N1804" s="1" t="n">
        <f aca="false">IF(OR($N$1="",对接源_02物料!$C604="",对接源_02物料!$C604&lt;&gt;$N$1,对接源_02物料!$B604=""),0,IF(OR(N(对接源_02物料!$B604)&lt;$N$2,N(对接源_02物料!$B604)&gt;$N$3),0,1))</f>
        <v>0</v>
      </c>
      <c r="P1804" s="1" t="n">
        <f aca="false">IF(AND($K1804=1,AND(对接源_02物料!$X604="公司筐",N(对接源_02物料!$T604)&lt;&gt;0)),1,0)</f>
        <v>0</v>
      </c>
      <c r="Q1804" s="1" t="n">
        <f aca="false">N(Q1803)+$P1804</f>
        <v>13</v>
      </c>
      <c r="R1804" s="1" t="n">
        <f aca="false">IF(AND($K1804=1,AND(对接源_02物料!$X604="公司筐",N(对接源_02物料!$U604)&lt;&gt;0)),1,0)</f>
        <v>0</v>
      </c>
      <c r="S1804" s="1" t="n">
        <f aca="false">N(S1803)+$R1804</f>
        <v>5</v>
      </c>
      <c r="T1804" s="1" t="n">
        <f aca="false">IF(AND($K1804=1,AND(对接源_02物料!$X604="公司筐",N(对接源_02物料!$V604)&lt;&gt;0)),1,0)</f>
        <v>0</v>
      </c>
      <c r="U1804" s="1" t="n">
        <f aca="false">N(U1803)+$T1804</f>
        <v>28</v>
      </c>
      <c r="V1804" s="1" t="n">
        <f aca="false">IF(AND($L1804=1,AND(对接源_02物料!$X604="自备筐",N(对接源_02物料!$V604)&lt;&gt;0)),1,0)</f>
        <v>0</v>
      </c>
      <c r="W1804" s="1" t="n">
        <f aca="false">N(W1803)+$V1804</f>
        <v>7</v>
      </c>
      <c r="X1804" s="1" t="n">
        <f aca="false">IF(AND($L1804=1,AND(对接源_02物料!$X604="自备筐",N(对接源_02物料!$T604)&lt;&gt;0)),1,0)</f>
        <v>0</v>
      </c>
      <c r="Y1804" s="1" t="n">
        <f aca="false">N(Y1803)+$X1804</f>
        <v>0</v>
      </c>
      <c r="Z1804" s="1" t="n">
        <f aca="false">IF(AND($M1804=1,对接源_02物料!$D604="原料入库"),1,0)</f>
        <v>0</v>
      </c>
      <c r="AA1804" s="1" t="n">
        <f aca="false">N(AA1803)+$Z1804</f>
        <v>30</v>
      </c>
      <c r="AB1804" s="1" t="n">
        <f aca="false">IF(AND($M1804=1,LEFT(对接源_02物料!$D604,4)="原料出库"),1,0)</f>
        <v>0</v>
      </c>
      <c r="AC1804" s="1" t="n">
        <f aca="false">N(AC1803)+$AB1804</f>
        <v>19</v>
      </c>
      <c r="AD1804" s="1" t="n">
        <f aca="false">IF(AND($M1804=1,LEFT(对接源_02物料!$D604,4)="成品出库"),1,0)</f>
        <v>0</v>
      </c>
      <c r="AE1804" s="1" t="n">
        <f aca="false">N(AE1803)+$AD1804</f>
        <v>38</v>
      </c>
      <c r="AF1804" s="1" t="n">
        <f aca="false">IF(AND($N1804=1,AND(LEFT(对接源_02物料!$D604,4)="包装物料",N(对接源_02物料!$K604)&lt;&gt;0)),1,0)</f>
        <v>0</v>
      </c>
      <c r="AG1804" s="1" t="n">
        <f aca="false">N(AG1803)+$AF1804</f>
        <v>6</v>
      </c>
      <c r="AH1804" s="1" t="n">
        <f aca="false">IF(AND($N1804=1,AND(LEFT(对接源_02物料!$D604,3)="周转筐",N(对接源_02物料!$K604)&lt;&gt;0)),1,0)</f>
        <v>0</v>
      </c>
      <c r="AI1804" s="1" t="n">
        <f aca="false">N(AI1803)+$AH1804</f>
        <v>0</v>
      </c>
      <c r="AJ1804" s="1" t="n">
        <v>0</v>
      </c>
      <c r="AK1804" s="1" t="n">
        <f aca="false">N(AK1803)+$AJ1804</f>
        <v>3672</v>
      </c>
    </row>
    <row r="1805" customFormat="false" ht="13.5" hidden="false" customHeight="false" outlineLevel="0" collapsed="false">
      <c r="A1805" s="1" t="str">
        <f aca="false">IF(对接源_02物料!$C605="","",对接源_02物料!$C605)</f>
        <v/>
      </c>
      <c r="B1805" s="1" t="n">
        <f aca="false">IF(A1805="",0,IF(MATCH(A1805,$A$4:$A$2403,0)=ROW()-3,1,0))</f>
        <v>0</v>
      </c>
      <c r="C1805" s="1" t="n">
        <f aca="false">N(C1804)+B1805</f>
        <v>17</v>
      </c>
      <c r="K1805" s="1" t="n">
        <f aca="false">IF(OR($K$1="",对接源_02物料!$C605="",对接源_02物料!$C605&lt;&gt;$K$1,对接源_02物料!$B605=""),0,IF(OR(N(对接源_02物料!$B605)&lt;$K$2,N(对接源_02物料!$B605)&gt;$K$3),0,1))</f>
        <v>0</v>
      </c>
      <c r="L1805" s="1" t="n">
        <f aca="false">IF(OR($L$1="",对接源_02物料!$C605="",对接源_02物料!$C605&lt;&gt;$L$1,对接源_02物料!$B605=""),0,IF(OR(N(对接源_02物料!$B605)&lt;$L$2,N(对接源_02物料!$B605)&gt;$L$3),0,1))</f>
        <v>0</v>
      </c>
      <c r="M1805" s="1" t="n">
        <f aca="false">IF(OR($M$1="",对接源_02物料!$C605="",对接源_02物料!$C605&lt;&gt;$M$1,对接源_02物料!$B605=""),0,IF(OR(N(对接源_02物料!$B605)&lt;$M$2,N(对接源_02物料!$B605)&gt;$M$3),0,1))</f>
        <v>0</v>
      </c>
      <c r="N1805" s="1" t="n">
        <f aca="false">IF(OR($N$1="",对接源_02物料!$C605="",对接源_02物料!$C605&lt;&gt;$N$1,对接源_02物料!$B605=""),0,IF(OR(N(对接源_02物料!$B605)&lt;$N$2,N(对接源_02物料!$B605)&gt;$N$3),0,1))</f>
        <v>0</v>
      </c>
      <c r="P1805" s="1" t="n">
        <f aca="false">IF(AND($K1805=1,AND(对接源_02物料!$X605="公司筐",N(对接源_02物料!$T605)&lt;&gt;0)),1,0)</f>
        <v>0</v>
      </c>
      <c r="Q1805" s="1" t="n">
        <f aca="false">N(Q1804)+$P1805</f>
        <v>13</v>
      </c>
      <c r="R1805" s="1" t="n">
        <f aca="false">IF(AND($K1805=1,AND(对接源_02物料!$X605="公司筐",N(对接源_02物料!$U605)&lt;&gt;0)),1,0)</f>
        <v>0</v>
      </c>
      <c r="S1805" s="1" t="n">
        <f aca="false">N(S1804)+$R1805</f>
        <v>5</v>
      </c>
      <c r="T1805" s="1" t="n">
        <f aca="false">IF(AND($K1805=1,AND(对接源_02物料!$X605="公司筐",N(对接源_02物料!$V605)&lt;&gt;0)),1,0)</f>
        <v>0</v>
      </c>
      <c r="U1805" s="1" t="n">
        <f aca="false">N(U1804)+$T1805</f>
        <v>28</v>
      </c>
      <c r="V1805" s="1" t="n">
        <f aca="false">IF(AND($L1805=1,AND(对接源_02物料!$X605="自备筐",N(对接源_02物料!$V605)&lt;&gt;0)),1,0)</f>
        <v>0</v>
      </c>
      <c r="W1805" s="1" t="n">
        <f aca="false">N(W1804)+$V1805</f>
        <v>7</v>
      </c>
      <c r="X1805" s="1" t="n">
        <f aca="false">IF(AND($L1805=1,AND(对接源_02物料!$X605="自备筐",N(对接源_02物料!$T605)&lt;&gt;0)),1,0)</f>
        <v>0</v>
      </c>
      <c r="Y1805" s="1" t="n">
        <f aca="false">N(Y1804)+$X1805</f>
        <v>0</v>
      </c>
      <c r="Z1805" s="1" t="n">
        <f aca="false">IF(AND($M1805=1,对接源_02物料!$D605="原料入库"),1,0)</f>
        <v>0</v>
      </c>
      <c r="AA1805" s="1" t="n">
        <f aca="false">N(AA1804)+$Z1805</f>
        <v>30</v>
      </c>
      <c r="AB1805" s="1" t="n">
        <f aca="false">IF(AND($M1805=1,LEFT(对接源_02物料!$D605,4)="原料出库"),1,0)</f>
        <v>0</v>
      </c>
      <c r="AC1805" s="1" t="n">
        <f aca="false">N(AC1804)+$AB1805</f>
        <v>19</v>
      </c>
      <c r="AD1805" s="1" t="n">
        <f aca="false">IF(AND($M1805=1,LEFT(对接源_02物料!$D605,4)="成品出库"),1,0)</f>
        <v>0</v>
      </c>
      <c r="AE1805" s="1" t="n">
        <f aca="false">N(AE1804)+$AD1805</f>
        <v>38</v>
      </c>
      <c r="AF1805" s="1" t="n">
        <f aca="false">IF(AND($N1805=1,AND(LEFT(对接源_02物料!$D605,4)="包装物料",N(对接源_02物料!$K605)&lt;&gt;0)),1,0)</f>
        <v>0</v>
      </c>
      <c r="AG1805" s="1" t="n">
        <f aca="false">N(AG1804)+$AF1805</f>
        <v>6</v>
      </c>
      <c r="AH1805" s="1" t="n">
        <f aca="false">IF(AND($N1805=1,AND(LEFT(对接源_02物料!$D605,3)="周转筐",N(对接源_02物料!$K605)&lt;&gt;0)),1,0)</f>
        <v>0</v>
      </c>
      <c r="AI1805" s="1" t="n">
        <f aca="false">N(AI1804)+$AH1805</f>
        <v>0</v>
      </c>
      <c r="AJ1805" s="1" t="n">
        <v>0</v>
      </c>
      <c r="AK1805" s="1" t="n">
        <f aca="false">N(AK1804)+$AJ1805</f>
        <v>3672</v>
      </c>
    </row>
    <row r="1806" customFormat="false" ht="13.5" hidden="false" customHeight="false" outlineLevel="0" collapsed="false">
      <c r="A1806" s="1" t="str">
        <f aca="false">IF(对接源_02物料!$C606="","",对接源_02物料!$C606)</f>
        <v/>
      </c>
      <c r="B1806" s="1" t="n">
        <f aca="false">IF(A1806="",0,IF(MATCH(A1806,$A$4:$A$2403,0)=ROW()-3,1,0))</f>
        <v>0</v>
      </c>
      <c r="C1806" s="1" t="n">
        <f aca="false">N(C1805)+B1806</f>
        <v>17</v>
      </c>
      <c r="K1806" s="1" t="n">
        <f aca="false">IF(OR($K$1="",对接源_02物料!$C606="",对接源_02物料!$C606&lt;&gt;$K$1,对接源_02物料!$B606=""),0,IF(OR(N(对接源_02物料!$B606)&lt;$K$2,N(对接源_02物料!$B606)&gt;$K$3),0,1))</f>
        <v>0</v>
      </c>
      <c r="L1806" s="1" t="n">
        <f aca="false">IF(OR($L$1="",对接源_02物料!$C606="",对接源_02物料!$C606&lt;&gt;$L$1,对接源_02物料!$B606=""),0,IF(OR(N(对接源_02物料!$B606)&lt;$L$2,N(对接源_02物料!$B606)&gt;$L$3),0,1))</f>
        <v>0</v>
      </c>
      <c r="M1806" s="1" t="n">
        <f aca="false">IF(OR($M$1="",对接源_02物料!$C606="",对接源_02物料!$C606&lt;&gt;$M$1,对接源_02物料!$B606=""),0,IF(OR(N(对接源_02物料!$B606)&lt;$M$2,N(对接源_02物料!$B606)&gt;$M$3),0,1))</f>
        <v>0</v>
      </c>
      <c r="N1806" s="1" t="n">
        <f aca="false">IF(OR($N$1="",对接源_02物料!$C606="",对接源_02物料!$C606&lt;&gt;$N$1,对接源_02物料!$B606=""),0,IF(OR(N(对接源_02物料!$B606)&lt;$N$2,N(对接源_02物料!$B606)&gt;$N$3),0,1))</f>
        <v>0</v>
      </c>
      <c r="P1806" s="1" t="n">
        <f aca="false">IF(AND($K1806=1,AND(对接源_02物料!$X606="公司筐",N(对接源_02物料!$T606)&lt;&gt;0)),1,0)</f>
        <v>0</v>
      </c>
      <c r="Q1806" s="1" t="n">
        <f aca="false">N(Q1805)+$P1806</f>
        <v>13</v>
      </c>
      <c r="R1806" s="1" t="n">
        <f aca="false">IF(AND($K1806=1,AND(对接源_02物料!$X606="公司筐",N(对接源_02物料!$U606)&lt;&gt;0)),1,0)</f>
        <v>0</v>
      </c>
      <c r="S1806" s="1" t="n">
        <f aca="false">N(S1805)+$R1806</f>
        <v>5</v>
      </c>
      <c r="T1806" s="1" t="n">
        <f aca="false">IF(AND($K1806=1,AND(对接源_02物料!$X606="公司筐",N(对接源_02物料!$V606)&lt;&gt;0)),1,0)</f>
        <v>0</v>
      </c>
      <c r="U1806" s="1" t="n">
        <f aca="false">N(U1805)+$T1806</f>
        <v>28</v>
      </c>
      <c r="V1806" s="1" t="n">
        <f aca="false">IF(AND($L1806=1,AND(对接源_02物料!$X606="自备筐",N(对接源_02物料!$V606)&lt;&gt;0)),1,0)</f>
        <v>0</v>
      </c>
      <c r="W1806" s="1" t="n">
        <f aca="false">N(W1805)+$V1806</f>
        <v>7</v>
      </c>
      <c r="X1806" s="1" t="n">
        <f aca="false">IF(AND($L1806=1,AND(对接源_02物料!$X606="自备筐",N(对接源_02物料!$T606)&lt;&gt;0)),1,0)</f>
        <v>0</v>
      </c>
      <c r="Y1806" s="1" t="n">
        <f aca="false">N(Y1805)+$X1806</f>
        <v>0</v>
      </c>
      <c r="Z1806" s="1" t="n">
        <f aca="false">IF(AND($M1806=1,对接源_02物料!$D606="原料入库"),1,0)</f>
        <v>0</v>
      </c>
      <c r="AA1806" s="1" t="n">
        <f aca="false">N(AA1805)+$Z1806</f>
        <v>30</v>
      </c>
      <c r="AB1806" s="1" t="n">
        <f aca="false">IF(AND($M1806=1,LEFT(对接源_02物料!$D606,4)="原料出库"),1,0)</f>
        <v>0</v>
      </c>
      <c r="AC1806" s="1" t="n">
        <f aca="false">N(AC1805)+$AB1806</f>
        <v>19</v>
      </c>
      <c r="AD1806" s="1" t="n">
        <f aca="false">IF(AND($M1806=1,LEFT(对接源_02物料!$D606,4)="成品出库"),1,0)</f>
        <v>0</v>
      </c>
      <c r="AE1806" s="1" t="n">
        <f aca="false">N(AE1805)+$AD1806</f>
        <v>38</v>
      </c>
      <c r="AF1806" s="1" t="n">
        <f aca="false">IF(AND($N1806=1,AND(LEFT(对接源_02物料!$D606,4)="包装物料",N(对接源_02物料!$K606)&lt;&gt;0)),1,0)</f>
        <v>0</v>
      </c>
      <c r="AG1806" s="1" t="n">
        <f aca="false">N(AG1805)+$AF1806</f>
        <v>6</v>
      </c>
      <c r="AH1806" s="1" t="n">
        <f aca="false">IF(AND($N1806=1,AND(LEFT(对接源_02物料!$D606,3)="周转筐",N(对接源_02物料!$K606)&lt;&gt;0)),1,0)</f>
        <v>0</v>
      </c>
      <c r="AI1806" s="1" t="n">
        <f aca="false">N(AI1805)+$AH1806</f>
        <v>0</v>
      </c>
      <c r="AJ1806" s="1" t="n">
        <v>0</v>
      </c>
      <c r="AK1806" s="1" t="n">
        <f aca="false">N(AK1805)+$AJ1806</f>
        <v>3672</v>
      </c>
    </row>
    <row r="1807" customFormat="false" ht="13.5" hidden="false" customHeight="false" outlineLevel="0" collapsed="false">
      <c r="A1807" s="1" t="str">
        <f aca="false">IF(对接源_02物料!$C607="","",对接源_02物料!$C607)</f>
        <v/>
      </c>
      <c r="B1807" s="1" t="n">
        <f aca="false">IF(A1807="",0,IF(MATCH(A1807,$A$4:$A$2403,0)=ROW()-3,1,0))</f>
        <v>0</v>
      </c>
      <c r="C1807" s="1" t="n">
        <f aca="false">N(C1806)+B1807</f>
        <v>17</v>
      </c>
      <c r="K1807" s="1" t="n">
        <f aca="false">IF(OR($K$1="",对接源_02物料!$C607="",对接源_02物料!$C607&lt;&gt;$K$1,对接源_02物料!$B607=""),0,IF(OR(N(对接源_02物料!$B607)&lt;$K$2,N(对接源_02物料!$B607)&gt;$K$3),0,1))</f>
        <v>0</v>
      </c>
      <c r="L1807" s="1" t="n">
        <f aca="false">IF(OR($L$1="",对接源_02物料!$C607="",对接源_02物料!$C607&lt;&gt;$L$1,对接源_02物料!$B607=""),0,IF(OR(N(对接源_02物料!$B607)&lt;$L$2,N(对接源_02物料!$B607)&gt;$L$3),0,1))</f>
        <v>0</v>
      </c>
      <c r="M1807" s="1" t="n">
        <f aca="false">IF(OR($M$1="",对接源_02物料!$C607="",对接源_02物料!$C607&lt;&gt;$M$1,对接源_02物料!$B607=""),0,IF(OR(N(对接源_02物料!$B607)&lt;$M$2,N(对接源_02物料!$B607)&gt;$M$3),0,1))</f>
        <v>0</v>
      </c>
      <c r="N1807" s="1" t="n">
        <f aca="false">IF(OR($N$1="",对接源_02物料!$C607="",对接源_02物料!$C607&lt;&gt;$N$1,对接源_02物料!$B607=""),0,IF(OR(N(对接源_02物料!$B607)&lt;$N$2,N(对接源_02物料!$B607)&gt;$N$3),0,1))</f>
        <v>0</v>
      </c>
      <c r="P1807" s="1" t="n">
        <f aca="false">IF(AND($K1807=1,AND(对接源_02物料!$X607="公司筐",N(对接源_02物料!$T607)&lt;&gt;0)),1,0)</f>
        <v>0</v>
      </c>
      <c r="Q1807" s="1" t="n">
        <f aca="false">N(Q1806)+$P1807</f>
        <v>13</v>
      </c>
      <c r="R1807" s="1" t="n">
        <f aca="false">IF(AND($K1807=1,AND(对接源_02物料!$X607="公司筐",N(对接源_02物料!$U607)&lt;&gt;0)),1,0)</f>
        <v>0</v>
      </c>
      <c r="S1807" s="1" t="n">
        <f aca="false">N(S1806)+$R1807</f>
        <v>5</v>
      </c>
      <c r="T1807" s="1" t="n">
        <f aca="false">IF(AND($K1807=1,AND(对接源_02物料!$X607="公司筐",N(对接源_02物料!$V607)&lt;&gt;0)),1,0)</f>
        <v>0</v>
      </c>
      <c r="U1807" s="1" t="n">
        <f aca="false">N(U1806)+$T1807</f>
        <v>28</v>
      </c>
      <c r="V1807" s="1" t="n">
        <f aca="false">IF(AND($L1807=1,AND(对接源_02物料!$X607="自备筐",N(对接源_02物料!$V607)&lt;&gt;0)),1,0)</f>
        <v>0</v>
      </c>
      <c r="W1807" s="1" t="n">
        <f aca="false">N(W1806)+$V1807</f>
        <v>7</v>
      </c>
      <c r="X1807" s="1" t="n">
        <f aca="false">IF(AND($L1807=1,AND(对接源_02物料!$X607="自备筐",N(对接源_02物料!$T607)&lt;&gt;0)),1,0)</f>
        <v>0</v>
      </c>
      <c r="Y1807" s="1" t="n">
        <f aca="false">N(Y1806)+$X1807</f>
        <v>0</v>
      </c>
      <c r="Z1807" s="1" t="n">
        <f aca="false">IF(AND($M1807=1,对接源_02物料!$D607="原料入库"),1,0)</f>
        <v>0</v>
      </c>
      <c r="AA1807" s="1" t="n">
        <f aca="false">N(AA1806)+$Z1807</f>
        <v>30</v>
      </c>
      <c r="AB1807" s="1" t="n">
        <f aca="false">IF(AND($M1807=1,LEFT(对接源_02物料!$D607,4)="原料出库"),1,0)</f>
        <v>0</v>
      </c>
      <c r="AC1807" s="1" t="n">
        <f aca="false">N(AC1806)+$AB1807</f>
        <v>19</v>
      </c>
      <c r="AD1807" s="1" t="n">
        <f aca="false">IF(AND($M1807=1,LEFT(对接源_02物料!$D607,4)="成品出库"),1,0)</f>
        <v>0</v>
      </c>
      <c r="AE1807" s="1" t="n">
        <f aca="false">N(AE1806)+$AD1807</f>
        <v>38</v>
      </c>
      <c r="AF1807" s="1" t="n">
        <f aca="false">IF(AND($N1807=1,AND(LEFT(对接源_02物料!$D607,4)="包装物料",N(对接源_02物料!$K607)&lt;&gt;0)),1,0)</f>
        <v>0</v>
      </c>
      <c r="AG1807" s="1" t="n">
        <f aca="false">N(AG1806)+$AF1807</f>
        <v>6</v>
      </c>
      <c r="AH1807" s="1" t="n">
        <f aca="false">IF(AND($N1807=1,AND(LEFT(对接源_02物料!$D607,3)="周转筐",N(对接源_02物料!$K607)&lt;&gt;0)),1,0)</f>
        <v>0</v>
      </c>
      <c r="AI1807" s="1" t="n">
        <f aca="false">N(AI1806)+$AH1807</f>
        <v>0</v>
      </c>
      <c r="AJ1807" s="1" t="n">
        <v>0</v>
      </c>
      <c r="AK1807" s="1" t="n">
        <f aca="false">N(AK1806)+$AJ1807</f>
        <v>3672</v>
      </c>
    </row>
    <row r="1808" customFormat="false" ht="13.5" hidden="false" customHeight="false" outlineLevel="0" collapsed="false">
      <c r="A1808" s="1" t="str">
        <f aca="false">IF(对接源_02物料!$C608="","",对接源_02物料!$C608)</f>
        <v/>
      </c>
      <c r="B1808" s="1" t="n">
        <f aca="false">IF(A1808="",0,IF(MATCH(A1808,$A$4:$A$2403,0)=ROW()-3,1,0))</f>
        <v>0</v>
      </c>
      <c r="C1808" s="1" t="n">
        <f aca="false">N(C1807)+B1808</f>
        <v>17</v>
      </c>
      <c r="K1808" s="1" t="n">
        <f aca="false">IF(OR($K$1="",对接源_02物料!$C608="",对接源_02物料!$C608&lt;&gt;$K$1,对接源_02物料!$B608=""),0,IF(OR(N(对接源_02物料!$B608)&lt;$K$2,N(对接源_02物料!$B608)&gt;$K$3),0,1))</f>
        <v>0</v>
      </c>
      <c r="L1808" s="1" t="n">
        <f aca="false">IF(OR($L$1="",对接源_02物料!$C608="",对接源_02物料!$C608&lt;&gt;$L$1,对接源_02物料!$B608=""),0,IF(OR(N(对接源_02物料!$B608)&lt;$L$2,N(对接源_02物料!$B608)&gt;$L$3),0,1))</f>
        <v>0</v>
      </c>
      <c r="M1808" s="1" t="n">
        <f aca="false">IF(OR($M$1="",对接源_02物料!$C608="",对接源_02物料!$C608&lt;&gt;$M$1,对接源_02物料!$B608=""),0,IF(OR(N(对接源_02物料!$B608)&lt;$M$2,N(对接源_02物料!$B608)&gt;$M$3),0,1))</f>
        <v>0</v>
      </c>
      <c r="N1808" s="1" t="n">
        <f aca="false">IF(OR($N$1="",对接源_02物料!$C608="",对接源_02物料!$C608&lt;&gt;$N$1,对接源_02物料!$B608=""),0,IF(OR(N(对接源_02物料!$B608)&lt;$N$2,N(对接源_02物料!$B608)&gt;$N$3),0,1))</f>
        <v>0</v>
      </c>
      <c r="P1808" s="1" t="n">
        <f aca="false">IF(AND($K1808=1,AND(对接源_02物料!$X608="公司筐",N(对接源_02物料!$T608)&lt;&gt;0)),1,0)</f>
        <v>0</v>
      </c>
      <c r="Q1808" s="1" t="n">
        <f aca="false">N(Q1807)+$P1808</f>
        <v>13</v>
      </c>
      <c r="R1808" s="1" t="n">
        <f aca="false">IF(AND($K1808=1,AND(对接源_02物料!$X608="公司筐",N(对接源_02物料!$U608)&lt;&gt;0)),1,0)</f>
        <v>0</v>
      </c>
      <c r="S1808" s="1" t="n">
        <f aca="false">N(S1807)+$R1808</f>
        <v>5</v>
      </c>
      <c r="T1808" s="1" t="n">
        <f aca="false">IF(AND($K1808=1,AND(对接源_02物料!$X608="公司筐",N(对接源_02物料!$V608)&lt;&gt;0)),1,0)</f>
        <v>0</v>
      </c>
      <c r="U1808" s="1" t="n">
        <f aca="false">N(U1807)+$T1808</f>
        <v>28</v>
      </c>
      <c r="V1808" s="1" t="n">
        <f aca="false">IF(AND($L1808=1,AND(对接源_02物料!$X608="自备筐",N(对接源_02物料!$V608)&lt;&gt;0)),1,0)</f>
        <v>0</v>
      </c>
      <c r="W1808" s="1" t="n">
        <f aca="false">N(W1807)+$V1808</f>
        <v>7</v>
      </c>
      <c r="X1808" s="1" t="n">
        <f aca="false">IF(AND($L1808=1,AND(对接源_02物料!$X608="自备筐",N(对接源_02物料!$T608)&lt;&gt;0)),1,0)</f>
        <v>0</v>
      </c>
      <c r="Y1808" s="1" t="n">
        <f aca="false">N(Y1807)+$X1808</f>
        <v>0</v>
      </c>
      <c r="Z1808" s="1" t="n">
        <f aca="false">IF(AND($M1808=1,对接源_02物料!$D608="原料入库"),1,0)</f>
        <v>0</v>
      </c>
      <c r="AA1808" s="1" t="n">
        <f aca="false">N(AA1807)+$Z1808</f>
        <v>30</v>
      </c>
      <c r="AB1808" s="1" t="n">
        <f aca="false">IF(AND($M1808=1,LEFT(对接源_02物料!$D608,4)="原料出库"),1,0)</f>
        <v>0</v>
      </c>
      <c r="AC1808" s="1" t="n">
        <f aca="false">N(AC1807)+$AB1808</f>
        <v>19</v>
      </c>
      <c r="AD1808" s="1" t="n">
        <f aca="false">IF(AND($M1808=1,LEFT(对接源_02物料!$D608,4)="成品出库"),1,0)</f>
        <v>0</v>
      </c>
      <c r="AE1808" s="1" t="n">
        <f aca="false">N(AE1807)+$AD1808</f>
        <v>38</v>
      </c>
      <c r="AF1808" s="1" t="n">
        <f aca="false">IF(AND($N1808=1,AND(LEFT(对接源_02物料!$D608,4)="包装物料",N(对接源_02物料!$K608)&lt;&gt;0)),1,0)</f>
        <v>0</v>
      </c>
      <c r="AG1808" s="1" t="n">
        <f aca="false">N(AG1807)+$AF1808</f>
        <v>6</v>
      </c>
      <c r="AH1808" s="1" t="n">
        <f aca="false">IF(AND($N1808=1,AND(LEFT(对接源_02物料!$D608,3)="周转筐",N(对接源_02物料!$K608)&lt;&gt;0)),1,0)</f>
        <v>0</v>
      </c>
      <c r="AI1808" s="1" t="n">
        <f aca="false">N(AI1807)+$AH1808</f>
        <v>0</v>
      </c>
      <c r="AJ1808" s="1" t="n">
        <v>0</v>
      </c>
      <c r="AK1808" s="1" t="n">
        <f aca="false">N(AK1807)+$AJ1808</f>
        <v>3672</v>
      </c>
    </row>
    <row r="1809" customFormat="false" ht="13.5" hidden="false" customHeight="false" outlineLevel="0" collapsed="false">
      <c r="A1809" s="1" t="str">
        <f aca="false">IF(对接源_02物料!$C609="","",对接源_02物料!$C609)</f>
        <v/>
      </c>
      <c r="B1809" s="1" t="n">
        <f aca="false">IF(A1809="",0,IF(MATCH(A1809,$A$4:$A$2403,0)=ROW()-3,1,0))</f>
        <v>0</v>
      </c>
      <c r="C1809" s="1" t="n">
        <f aca="false">N(C1808)+B1809</f>
        <v>17</v>
      </c>
      <c r="K1809" s="1" t="n">
        <f aca="false">IF(OR($K$1="",对接源_02物料!$C609="",对接源_02物料!$C609&lt;&gt;$K$1,对接源_02物料!$B609=""),0,IF(OR(N(对接源_02物料!$B609)&lt;$K$2,N(对接源_02物料!$B609)&gt;$K$3),0,1))</f>
        <v>0</v>
      </c>
      <c r="L1809" s="1" t="n">
        <f aca="false">IF(OR($L$1="",对接源_02物料!$C609="",对接源_02物料!$C609&lt;&gt;$L$1,对接源_02物料!$B609=""),0,IF(OR(N(对接源_02物料!$B609)&lt;$L$2,N(对接源_02物料!$B609)&gt;$L$3),0,1))</f>
        <v>0</v>
      </c>
      <c r="M1809" s="1" t="n">
        <f aca="false">IF(OR($M$1="",对接源_02物料!$C609="",对接源_02物料!$C609&lt;&gt;$M$1,对接源_02物料!$B609=""),0,IF(OR(N(对接源_02物料!$B609)&lt;$M$2,N(对接源_02物料!$B609)&gt;$M$3),0,1))</f>
        <v>0</v>
      </c>
      <c r="N1809" s="1" t="n">
        <f aca="false">IF(OR($N$1="",对接源_02物料!$C609="",对接源_02物料!$C609&lt;&gt;$N$1,对接源_02物料!$B609=""),0,IF(OR(N(对接源_02物料!$B609)&lt;$N$2,N(对接源_02物料!$B609)&gt;$N$3),0,1))</f>
        <v>0</v>
      </c>
      <c r="P1809" s="1" t="n">
        <f aca="false">IF(AND($K1809=1,AND(对接源_02物料!$X609="公司筐",N(对接源_02物料!$T609)&lt;&gt;0)),1,0)</f>
        <v>0</v>
      </c>
      <c r="Q1809" s="1" t="n">
        <f aca="false">N(Q1808)+$P1809</f>
        <v>13</v>
      </c>
      <c r="R1809" s="1" t="n">
        <f aca="false">IF(AND($K1809=1,AND(对接源_02物料!$X609="公司筐",N(对接源_02物料!$U609)&lt;&gt;0)),1,0)</f>
        <v>0</v>
      </c>
      <c r="S1809" s="1" t="n">
        <f aca="false">N(S1808)+$R1809</f>
        <v>5</v>
      </c>
      <c r="T1809" s="1" t="n">
        <f aca="false">IF(AND($K1809=1,AND(对接源_02物料!$X609="公司筐",N(对接源_02物料!$V609)&lt;&gt;0)),1,0)</f>
        <v>0</v>
      </c>
      <c r="U1809" s="1" t="n">
        <f aca="false">N(U1808)+$T1809</f>
        <v>28</v>
      </c>
      <c r="V1809" s="1" t="n">
        <f aca="false">IF(AND($L1809=1,AND(对接源_02物料!$X609="自备筐",N(对接源_02物料!$V609)&lt;&gt;0)),1,0)</f>
        <v>0</v>
      </c>
      <c r="W1809" s="1" t="n">
        <f aca="false">N(W1808)+$V1809</f>
        <v>7</v>
      </c>
      <c r="X1809" s="1" t="n">
        <f aca="false">IF(AND($L1809=1,AND(对接源_02物料!$X609="自备筐",N(对接源_02物料!$T609)&lt;&gt;0)),1,0)</f>
        <v>0</v>
      </c>
      <c r="Y1809" s="1" t="n">
        <f aca="false">N(Y1808)+$X1809</f>
        <v>0</v>
      </c>
      <c r="Z1809" s="1" t="n">
        <f aca="false">IF(AND($M1809=1,对接源_02物料!$D609="原料入库"),1,0)</f>
        <v>0</v>
      </c>
      <c r="AA1809" s="1" t="n">
        <f aca="false">N(AA1808)+$Z1809</f>
        <v>30</v>
      </c>
      <c r="AB1809" s="1" t="n">
        <f aca="false">IF(AND($M1809=1,LEFT(对接源_02物料!$D609,4)="原料出库"),1,0)</f>
        <v>0</v>
      </c>
      <c r="AC1809" s="1" t="n">
        <f aca="false">N(AC1808)+$AB1809</f>
        <v>19</v>
      </c>
      <c r="AD1809" s="1" t="n">
        <f aca="false">IF(AND($M1809=1,LEFT(对接源_02物料!$D609,4)="成品出库"),1,0)</f>
        <v>0</v>
      </c>
      <c r="AE1809" s="1" t="n">
        <f aca="false">N(AE1808)+$AD1809</f>
        <v>38</v>
      </c>
      <c r="AF1809" s="1" t="n">
        <f aca="false">IF(AND($N1809=1,AND(LEFT(对接源_02物料!$D609,4)="包装物料",N(对接源_02物料!$K609)&lt;&gt;0)),1,0)</f>
        <v>0</v>
      </c>
      <c r="AG1809" s="1" t="n">
        <f aca="false">N(AG1808)+$AF1809</f>
        <v>6</v>
      </c>
      <c r="AH1809" s="1" t="n">
        <f aca="false">IF(AND($N1809=1,AND(LEFT(对接源_02物料!$D609,3)="周转筐",N(对接源_02物料!$K609)&lt;&gt;0)),1,0)</f>
        <v>0</v>
      </c>
      <c r="AI1809" s="1" t="n">
        <f aca="false">N(AI1808)+$AH1809</f>
        <v>0</v>
      </c>
      <c r="AJ1809" s="1" t="n">
        <v>0</v>
      </c>
      <c r="AK1809" s="1" t="n">
        <f aca="false">N(AK1808)+$AJ1809</f>
        <v>3672</v>
      </c>
    </row>
    <row r="1810" customFormat="false" ht="13.5" hidden="false" customHeight="false" outlineLevel="0" collapsed="false">
      <c r="A1810" s="1" t="str">
        <f aca="false">IF(对接源_02物料!$C610="","",对接源_02物料!$C610)</f>
        <v/>
      </c>
      <c r="B1810" s="1" t="n">
        <f aca="false">IF(A1810="",0,IF(MATCH(A1810,$A$4:$A$2403,0)=ROW()-3,1,0))</f>
        <v>0</v>
      </c>
      <c r="C1810" s="1" t="n">
        <f aca="false">N(C1809)+B1810</f>
        <v>17</v>
      </c>
      <c r="K1810" s="1" t="n">
        <f aca="false">IF(OR($K$1="",对接源_02物料!$C610="",对接源_02物料!$C610&lt;&gt;$K$1,对接源_02物料!$B610=""),0,IF(OR(N(对接源_02物料!$B610)&lt;$K$2,N(对接源_02物料!$B610)&gt;$K$3),0,1))</f>
        <v>0</v>
      </c>
      <c r="L1810" s="1" t="n">
        <f aca="false">IF(OR($L$1="",对接源_02物料!$C610="",对接源_02物料!$C610&lt;&gt;$L$1,对接源_02物料!$B610=""),0,IF(OR(N(对接源_02物料!$B610)&lt;$L$2,N(对接源_02物料!$B610)&gt;$L$3),0,1))</f>
        <v>0</v>
      </c>
      <c r="M1810" s="1" t="n">
        <f aca="false">IF(OR($M$1="",对接源_02物料!$C610="",对接源_02物料!$C610&lt;&gt;$M$1,对接源_02物料!$B610=""),0,IF(OR(N(对接源_02物料!$B610)&lt;$M$2,N(对接源_02物料!$B610)&gt;$M$3),0,1))</f>
        <v>0</v>
      </c>
      <c r="N1810" s="1" t="n">
        <f aca="false">IF(OR($N$1="",对接源_02物料!$C610="",对接源_02物料!$C610&lt;&gt;$N$1,对接源_02物料!$B610=""),0,IF(OR(N(对接源_02物料!$B610)&lt;$N$2,N(对接源_02物料!$B610)&gt;$N$3),0,1))</f>
        <v>0</v>
      </c>
      <c r="P1810" s="1" t="n">
        <f aca="false">IF(AND($K1810=1,AND(对接源_02物料!$X610="公司筐",N(对接源_02物料!$T610)&lt;&gt;0)),1,0)</f>
        <v>0</v>
      </c>
      <c r="Q1810" s="1" t="n">
        <f aca="false">N(Q1809)+$P1810</f>
        <v>13</v>
      </c>
      <c r="R1810" s="1" t="n">
        <f aca="false">IF(AND($K1810=1,AND(对接源_02物料!$X610="公司筐",N(对接源_02物料!$U610)&lt;&gt;0)),1,0)</f>
        <v>0</v>
      </c>
      <c r="S1810" s="1" t="n">
        <f aca="false">N(S1809)+$R1810</f>
        <v>5</v>
      </c>
      <c r="T1810" s="1" t="n">
        <f aca="false">IF(AND($K1810=1,AND(对接源_02物料!$X610="公司筐",N(对接源_02物料!$V610)&lt;&gt;0)),1,0)</f>
        <v>0</v>
      </c>
      <c r="U1810" s="1" t="n">
        <f aca="false">N(U1809)+$T1810</f>
        <v>28</v>
      </c>
      <c r="V1810" s="1" t="n">
        <f aca="false">IF(AND($L1810=1,AND(对接源_02物料!$X610="自备筐",N(对接源_02物料!$V610)&lt;&gt;0)),1,0)</f>
        <v>0</v>
      </c>
      <c r="W1810" s="1" t="n">
        <f aca="false">N(W1809)+$V1810</f>
        <v>7</v>
      </c>
      <c r="X1810" s="1" t="n">
        <f aca="false">IF(AND($L1810=1,AND(对接源_02物料!$X610="自备筐",N(对接源_02物料!$T610)&lt;&gt;0)),1,0)</f>
        <v>0</v>
      </c>
      <c r="Y1810" s="1" t="n">
        <f aca="false">N(Y1809)+$X1810</f>
        <v>0</v>
      </c>
      <c r="Z1810" s="1" t="n">
        <f aca="false">IF(AND($M1810=1,对接源_02物料!$D610="原料入库"),1,0)</f>
        <v>0</v>
      </c>
      <c r="AA1810" s="1" t="n">
        <f aca="false">N(AA1809)+$Z1810</f>
        <v>30</v>
      </c>
      <c r="AB1810" s="1" t="n">
        <f aca="false">IF(AND($M1810=1,LEFT(对接源_02物料!$D610,4)="原料出库"),1,0)</f>
        <v>0</v>
      </c>
      <c r="AC1810" s="1" t="n">
        <f aca="false">N(AC1809)+$AB1810</f>
        <v>19</v>
      </c>
      <c r="AD1810" s="1" t="n">
        <f aca="false">IF(AND($M1810=1,LEFT(对接源_02物料!$D610,4)="成品出库"),1,0)</f>
        <v>0</v>
      </c>
      <c r="AE1810" s="1" t="n">
        <f aca="false">N(AE1809)+$AD1810</f>
        <v>38</v>
      </c>
      <c r="AF1810" s="1" t="n">
        <f aca="false">IF(AND($N1810=1,AND(LEFT(对接源_02物料!$D610,4)="包装物料",N(对接源_02物料!$K610)&lt;&gt;0)),1,0)</f>
        <v>0</v>
      </c>
      <c r="AG1810" s="1" t="n">
        <f aca="false">N(AG1809)+$AF1810</f>
        <v>6</v>
      </c>
      <c r="AH1810" s="1" t="n">
        <f aca="false">IF(AND($N1810=1,AND(LEFT(对接源_02物料!$D610,3)="周转筐",N(对接源_02物料!$K610)&lt;&gt;0)),1,0)</f>
        <v>0</v>
      </c>
      <c r="AI1810" s="1" t="n">
        <f aca="false">N(AI1809)+$AH1810</f>
        <v>0</v>
      </c>
      <c r="AJ1810" s="1" t="n">
        <v>0</v>
      </c>
      <c r="AK1810" s="1" t="n">
        <f aca="false">N(AK1809)+$AJ1810</f>
        <v>3672</v>
      </c>
    </row>
    <row r="1811" customFormat="false" ht="13.5" hidden="false" customHeight="false" outlineLevel="0" collapsed="false">
      <c r="A1811" s="1" t="str">
        <f aca="false">IF(对接源_02物料!$C611="","",对接源_02物料!$C611)</f>
        <v/>
      </c>
      <c r="B1811" s="1" t="n">
        <f aca="false">IF(A1811="",0,IF(MATCH(A1811,$A$4:$A$2403,0)=ROW()-3,1,0))</f>
        <v>0</v>
      </c>
      <c r="C1811" s="1" t="n">
        <f aca="false">N(C1810)+B1811</f>
        <v>17</v>
      </c>
      <c r="K1811" s="1" t="n">
        <f aca="false">IF(OR($K$1="",对接源_02物料!$C611="",对接源_02物料!$C611&lt;&gt;$K$1,对接源_02物料!$B611=""),0,IF(OR(N(对接源_02物料!$B611)&lt;$K$2,N(对接源_02物料!$B611)&gt;$K$3),0,1))</f>
        <v>0</v>
      </c>
      <c r="L1811" s="1" t="n">
        <f aca="false">IF(OR($L$1="",对接源_02物料!$C611="",对接源_02物料!$C611&lt;&gt;$L$1,对接源_02物料!$B611=""),0,IF(OR(N(对接源_02物料!$B611)&lt;$L$2,N(对接源_02物料!$B611)&gt;$L$3),0,1))</f>
        <v>0</v>
      </c>
      <c r="M1811" s="1" t="n">
        <f aca="false">IF(OR($M$1="",对接源_02物料!$C611="",对接源_02物料!$C611&lt;&gt;$M$1,对接源_02物料!$B611=""),0,IF(OR(N(对接源_02物料!$B611)&lt;$M$2,N(对接源_02物料!$B611)&gt;$M$3),0,1))</f>
        <v>0</v>
      </c>
      <c r="N1811" s="1" t="n">
        <f aca="false">IF(OR($N$1="",对接源_02物料!$C611="",对接源_02物料!$C611&lt;&gt;$N$1,对接源_02物料!$B611=""),0,IF(OR(N(对接源_02物料!$B611)&lt;$N$2,N(对接源_02物料!$B611)&gt;$N$3),0,1))</f>
        <v>0</v>
      </c>
      <c r="P1811" s="1" t="n">
        <f aca="false">IF(AND($K1811=1,AND(对接源_02物料!$X611="公司筐",N(对接源_02物料!$T611)&lt;&gt;0)),1,0)</f>
        <v>0</v>
      </c>
      <c r="Q1811" s="1" t="n">
        <f aca="false">N(Q1810)+$P1811</f>
        <v>13</v>
      </c>
      <c r="R1811" s="1" t="n">
        <f aca="false">IF(AND($K1811=1,AND(对接源_02物料!$X611="公司筐",N(对接源_02物料!$U611)&lt;&gt;0)),1,0)</f>
        <v>0</v>
      </c>
      <c r="S1811" s="1" t="n">
        <f aca="false">N(S1810)+$R1811</f>
        <v>5</v>
      </c>
      <c r="T1811" s="1" t="n">
        <f aca="false">IF(AND($K1811=1,AND(对接源_02物料!$X611="公司筐",N(对接源_02物料!$V611)&lt;&gt;0)),1,0)</f>
        <v>0</v>
      </c>
      <c r="U1811" s="1" t="n">
        <f aca="false">N(U1810)+$T1811</f>
        <v>28</v>
      </c>
      <c r="V1811" s="1" t="n">
        <f aca="false">IF(AND($L1811=1,AND(对接源_02物料!$X611="自备筐",N(对接源_02物料!$V611)&lt;&gt;0)),1,0)</f>
        <v>0</v>
      </c>
      <c r="W1811" s="1" t="n">
        <f aca="false">N(W1810)+$V1811</f>
        <v>7</v>
      </c>
      <c r="X1811" s="1" t="n">
        <f aca="false">IF(AND($L1811=1,AND(对接源_02物料!$X611="自备筐",N(对接源_02物料!$T611)&lt;&gt;0)),1,0)</f>
        <v>0</v>
      </c>
      <c r="Y1811" s="1" t="n">
        <f aca="false">N(Y1810)+$X1811</f>
        <v>0</v>
      </c>
      <c r="Z1811" s="1" t="n">
        <f aca="false">IF(AND($M1811=1,对接源_02物料!$D611="原料入库"),1,0)</f>
        <v>0</v>
      </c>
      <c r="AA1811" s="1" t="n">
        <f aca="false">N(AA1810)+$Z1811</f>
        <v>30</v>
      </c>
      <c r="AB1811" s="1" t="n">
        <f aca="false">IF(AND($M1811=1,LEFT(对接源_02物料!$D611,4)="原料出库"),1,0)</f>
        <v>0</v>
      </c>
      <c r="AC1811" s="1" t="n">
        <f aca="false">N(AC1810)+$AB1811</f>
        <v>19</v>
      </c>
      <c r="AD1811" s="1" t="n">
        <f aca="false">IF(AND($M1811=1,LEFT(对接源_02物料!$D611,4)="成品出库"),1,0)</f>
        <v>0</v>
      </c>
      <c r="AE1811" s="1" t="n">
        <f aca="false">N(AE1810)+$AD1811</f>
        <v>38</v>
      </c>
      <c r="AF1811" s="1" t="n">
        <f aca="false">IF(AND($N1811=1,AND(LEFT(对接源_02物料!$D611,4)="包装物料",N(对接源_02物料!$K611)&lt;&gt;0)),1,0)</f>
        <v>0</v>
      </c>
      <c r="AG1811" s="1" t="n">
        <f aca="false">N(AG1810)+$AF1811</f>
        <v>6</v>
      </c>
      <c r="AH1811" s="1" t="n">
        <f aca="false">IF(AND($N1811=1,AND(LEFT(对接源_02物料!$D611,3)="周转筐",N(对接源_02物料!$K611)&lt;&gt;0)),1,0)</f>
        <v>0</v>
      </c>
      <c r="AI1811" s="1" t="n">
        <f aca="false">N(AI1810)+$AH1811</f>
        <v>0</v>
      </c>
      <c r="AJ1811" s="1" t="n">
        <v>0</v>
      </c>
      <c r="AK1811" s="1" t="n">
        <f aca="false">N(AK1810)+$AJ1811</f>
        <v>3672</v>
      </c>
    </row>
    <row r="1812" customFormat="false" ht="13.5" hidden="false" customHeight="false" outlineLevel="0" collapsed="false">
      <c r="A1812" s="1" t="str">
        <f aca="false">IF(对接源_02物料!$C612="","",对接源_02物料!$C612)</f>
        <v/>
      </c>
      <c r="B1812" s="1" t="n">
        <f aca="false">IF(A1812="",0,IF(MATCH(A1812,$A$4:$A$2403,0)=ROW()-3,1,0))</f>
        <v>0</v>
      </c>
      <c r="C1812" s="1" t="n">
        <f aca="false">N(C1811)+B1812</f>
        <v>17</v>
      </c>
      <c r="K1812" s="1" t="n">
        <f aca="false">IF(OR($K$1="",对接源_02物料!$C612="",对接源_02物料!$C612&lt;&gt;$K$1,对接源_02物料!$B612=""),0,IF(OR(N(对接源_02物料!$B612)&lt;$K$2,N(对接源_02物料!$B612)&gt;$K$3),0,1))</f>
        <v>0</v>
      </c>
      <c r="L1812" s="1" t="n">
        <f aca="false">IF(OR($L$1="",对接源_02物料!$C612="",对接源_02物料!$C612&lt;&gt;$L$1,对接源_02物料!$B612=""),0,IF(OR(N(对接源_02物料!$B612)&lt;$L$2,N(对接源_02物料!$B612)&gt;$L$3),0,1))</f>
        <v>0</v>
      </c>
      <c r="M1812" s="1" t="n">
        <f aca="false">IF(OR($M$1="",对接源_02物料!$C612="",对接源_02物料!$C612&lt;&gt;$M$1,对接源_02物料!$B612=""),0,IF(OR(N(对接源_02物料!$B612)&lt;$M$2,N(对接源_02物料!$B612)&gt;$M$3),0,1))</f>
        <v>0</v>
      </c>
      <c r="N1812" s="1" t="n">
        <f aca="false">IF(OR($N$1="",对接源_02物料!$C612="",对接源_02物料!$C612&lt;&gt;$N$1,对接源_02物料!$B612=""),0,IF(OR(N(对接源_02物料!$B612)&lt;$N$2,N(对接源_02物料!$B612)&gt;$N$3),0,1))</f>
        <v>0</v>
      </c>
      <c r="P1812" s="1" t="n">
        <f aca="false">IF(AND($K1812=1,AND(对接源_02物料!$X612="公司筐",N(对接源_02物料!$T612)&lt;&gt;0)),1,0)</f>
        <v>0</v>
      </c>
      <c r="Q1812" s="1" t="n">
        <f aca="false">N(Q1811)+$P1812</f>
        <v>13</v>
      </c>
      <c r="R1812" s="1" t="n">
        <f aca="false">IF(AND($K1812=1,AND(对接源_02物料!$X612="公司筐",N(对接源_02物料!$U612)&lt;&gt;0)),1,0)</f>
        <v>0</v>
      </c>
      <c r="S1812" s="1" t="n">
        <f aca="false">N(S1811)+$R1812</f>
        <v>5</v>
      </c>
      <c r="T1812" s="1" t="n">
        <f aca="false">IF(AND($K1812=1,AND(对接源_02物料!$X612="公司筐",N(对接源_02物料!$V612)&lt;&gt;0)),1,0)</f>
        <v>0</v>
      </c>
      <c r="U1812" s="1" t="n">
        <f aca="false">N(U1811)+$T1812</f>
        <v>28</v>
      </c>
      <c r="V1812" s="1" t="n">
        <f aca="false">IF(AND($L1812=1,AND(对接源_02物料!$X612="自备筐",N(对接源_02物料!$V612)&lt;&gt;0)),1,0)</f>
        <v>0</v>
      </c>
      <c r="W1812" s="1" t="n">
        <f aca="false">N(W1811)+$V1812</f>
        <v>7</v>
      </c>
      <c r="X1812" s="1" t="n">
        <f aca="false">IF(AND($L1812=1,AND(对接源_02物料!$X612="自备筐",N(对接源_02物料!$T612)&lt;&gt;0)),1,0)</f>
        <v>0</v>
      </c>
      <c r="Y1812" s="1" t="n">
        <f aca="false">N(Y1811)+$X1812</f>
        <v>0</v>
      </c>
      <c r="Z1812" s="1" t="n">
        <f aca="false">IF(AND($M1812=1,对接源_02物料!$D612="原料入库"),1,0)</f>
        <v>0</v>
      </c>
      <c r="AA1812" s="1" t="n">
        <f aca="false">N(AA1811)+$Z1812</f>
        <v>30</v>
      </c>
      <c r="AB1812" s="1" t="n">
        <f aca="false">IF(AND($M1812=1,LEFT(对接源_02物料!$D612,4)="原料出库"),1,0)</f>
        <v>0</v>
      </c>
      <c r="AC1812" s="1" t="n">
        <f aca="false">N(AC1811)+$AB1812</f>
        <v>19</v>
      </c>
      <c r="AD1812" s="1" t="n">
        <f aca="false">IF(AND($M1812=1,LEFT(对接源_02物料!$D612,4)="成品出库"),1,0)</f>
        <v>0</v>
      </c>
      <c r="AE1812" s="1" t="n">
        <f aca="false">N(AE1811)+$AD1812</f>
        <v>38</v>
      </c>
      <c r="AF1812" s="1" t="n">
        <f aca="false">IF(AND($N1812=1,AND(LEFT(对接源_02物料!$D612,4)="包装物料",N(对接源_02物料!$K612)&lt;&gt;0)),1,0)</f>
        <v>0</v>
      </c>
      <c r="AG1812" s="1" t="n">
        <f aca="false">N(AG1811)+$AF1812</f>
        <v>6</v>
      </c>
      <c r="AH1812" s="1" t="n">
        <f aca="false">IF(AND($N1812=1,AND(LEFT(对接源_02物料!$D612,3)="周转筐",N(对接源_02物料!$K612)&lt;&gt;0)),1,0)</f>
        <v>0</v>
      </c>
      <c r="AI1812" s="1" t="n">
        <f aca="false">N(AI1811)+$AH1812</f>
        <v>0</v>
      </c>
      <c r="AJ1812" s="1" t="n">
        <v>0</v>
      </c>
      <c r="AK1812" s="1" t="n">
        <f aca="false">N(AK1811)+$AJ1812</f>
        <v>3672</v>
      </c>
    </row>
    <row r="1813" customFormat="false" ht="13.5" hidden="false" customHeight="false" outlineLevel="0" collapsed="false">
      <c r="A1813" s="1" t="str">
        <f aca="false">IF(对接源_02物料!$C613="","",对接源_02物料!$C613)</f>
        <v/>
      </c>
      <c r="B1813" s="1" t="n">
        <f aca="false">IF(A1813="",0,IF(MATCH(A1813,$A$4:$A$2403,0)=ROW()-3,1,0))</f>
        <v>0</v>
      </c>
      <c r="C1813" s="1" t="n">
        <f aca="false">N(C1812)+B1813</f>
        <v>17</v>
      </c>
      <c r="K1813" s="1" t="n">
        <f aca="false">IF(OR($K$1="",对接源_02物料!$C613="",对接源_02物料!$C613&lt;&gt;$K$1,对接源_02物料!$B613=""),0,IF(OR(N(对接源_02物料!$B613)&lt;$K$2,N(对接源_02物料!$B613)&gt;$K$3),0,1))</f>
        <v>0</v>
      </c>
      <c r="L1813" s="1" t="n">
        <f aca="false">IF(OR($L$1="",对接源_02物料!$C613="",对接源_02物料!$C613&lt;&gt;$L$1,对接源_02物料!$B613=""),0,IF(OR(N(对接源_02物料!$B613)&lt;$L$2,N(对接源_02物料!$B613)&gt;$L$3),0,1))</f>
        <v>0</v>
      </c>
      <c r="M1813" s="1" t="n">
        <f aca="false">IF(OR($M$1="",对接源_02物料!$C613="",对接源_02物料!$C613&lt;&gt;$M$1,对接源_02物料!$B613=""),0,IF(OR(N(对接源_02物料!$B613)&lt;$M$2,N(对接源_02物料!$B613)&gt;$M$3),0,1))</f>
        <v>0</v>
      </c>
      <c r="N1813" s="1" t="n">
        <f aca="false">IF(OR($N$1="",对接源_02物料!$C613="",对接源_02物料!$C613&lt;&gt;$N$1,对接源_02物料!$B613=""),0,IF(OR(N(对接源_02物料!$B613)&lt;$N$2,N(对接源_02物料!$B613)&gt;$N$3),0,1))</f>
        <v>0</v>
      </c>
      <c r="P1813" s="1" t="n">
        <f aca="false">IF(AND($K1813=1,AND(对接源_02物料!$X613="公司筐",N(对接源_02物料!$T613)&lt;&gt;0)),1,0)</f>
        <v>0</v>
      </c>
      <c r="Q1813" s="1" t="n">
        <f aca="false">N(Q1812)+$P1813</f>
        <v>13</v>
      </c>
      <c r="R1813" s="1" t="n">
        <f aca="false">IF(AND($K1813=1,AND(对接源_02物料!$X613="公司筐",N(对接源_02物料!$U613)&lt;&gt;0)),1,0)</f>
        <v>0</v>
      </c>
      <c r="S1813" s="1" t="n">
        <f aca="false">N(S1812)+$R1813</f>
        <v>5</v>
      </c>
      <c r="T1813" s="1" t="n">
        <f aca="false">IF(AND($K1813=1,AND(对接源_02物料!$X613="公司筐",N(对接源_02物料!$V613)&lt;&gt;0)),1,0)</f>
        <v>0</v>
      </c>
      <c r="U1813" s="1" t="n">
        <f aca="false">N(U1812)+$T1813</f>
        <v>28</v>
      </c>
      <c r="V1813" s="1" t="n">
        <f aca="false">IF(AND($L1813=1,AND(对接源_02物料!$X613="自备筐",N(对接源_02物料!$V613)&lt;&gt;0)),1,0)</f>
        <v>0</v>
      </c>
      <c r="W1813" s="1" t="n">
        <f aca="false">N(W1812)+$V1813</f>
        <v>7</v>
      </c>
      <c r="X1813" s="1" t="n">
        <f aca="false">IF(AND($L1813=1,AND(对接源_02物料!$X613="自备筐",N(对接源_02物料!$T613)&lt;&gt;0)),1,0)</f>
        <v>0</v>
      </c>
      <c r="Y1813" s="1" t="n">
        <f aca="false">N(Y1812)+$X1813</f>
        <v>0</v>
      </c>
      <c r="Z1813" s="1" t="n">
        <f aca="false">IF(AND($M1813=1,对接源_02物料!$D613="原料入库"),1,0)</f>
        <v>0</v>
      </c>
      <c r="AA1813" s="1" t="n">
        <f aca="false">N(AA1812)+$Z1813</f>
        <v>30</v>
      </c>
      <c r="AB1813" s="1" t="n">
        <f aca="false">IF(AND($M1813=1,LEFT(对接源_02物料!$D613,4)="原料出库"),1,0)</f>
        <v>0</v>
      </c>
      <c r="AC1813" s="1" t="n">
        <f aca="false">N(AC1812)+$AB1813</f>
        <v>19</v>
      </c>
      <c r="AD1813" s="1" t="n">
        <f aca="false">IF(AND($M1813=1,LEFT(对接源_02物料!$D613,4)="成品出库"),1,0)</f>
        <v>0</v>
      </c>
      <c r="AE1813" s="1" t="n">
        <f aca="false">N(AE1812)+$AD1813</f>
        <v>38</v>
      </c>
      <c r="AF1813" s="1" t="n">
        <f aca="false">IF(AND($N1813=1,AND(LEFT(对接源_02物料!$D613,4)="包装物料",N(对接源_02物料!$K613)&lt;&gt;0)),1,0)</f>
        <v>0</v>
      </c>
      <c r="AG1813" s="1" t="n">
        <f aca="false">N(AG1812)+$AF1813</f>
        <v>6</v>
      </c>
      <c r="AH1813" s="1" t="n">
        <f aca="false">IF(AND($N1813=1,AND(LEFT(对接源_02物料!$D613,3)="周转筐",N(对接源_02物料!$K613)&lt;&gt;0)),1,0)</f>
        <v>0</v>
      </c>
      <c r="AI1813" s="1" t="n">
        <f aca="false">N(AI1812)+$AH1813</f>
        <v>0</v>
      </c>
      <c r="AJ1813" s="1" t="n">
        <v>0</v>
      </c>
      <c r="AK1813" s="1" t="n">
        <f aca="false">N(AK1812)+$AJ1813</f>
        <v>3672</v>
      </c>
    </row>
    <row r="1814" customFormat="false" ht="13.5" hidden="false" customHeight="false" outlineLevel="0" collapsed="false">
      <c r="A1814" s="1" t="str">
        <f aca="false">IF(对接源_02物料!$C614="","",对接源_02物料!$C614)</f>
        <v/>
      </c>
      <c r="B1814" s="1" t="n">
        <f aca="false">IF(A1814="",0,IF(MATCH(A1814,$A$4:$A$2403,0)=ROW()-3,1,0))</f>
        <v>0</v>
      </c>
      <c r="C1814" s="1" t="n">
        <f aca="false">N(C1813)+B1814</f>
        <v>17</v>
      </c>
      <c r="K1814" s="1" t="n">
        <f aca="false">IF(OR($K$1="",对接源_02物料!$C614="",对接源_02物料!$C614&lt;&gt;$K$1,对接源_02物料!$B614=""),0,IF(OR(N(对接源_02物料!$B614)&lt;$K$2,N(对接源_02物料!$B614)&gt;$K$3),0,1))</f>
        <v>0</v>
      </c>
      <c r="L1814" s="1" t="n">
        <f aca="false">IF(OR($L$1="",对接源_02物料!$C614="",对接源_02物料!$C614&lt;&gt;$L$1,对接源_02物料!$B614=""),0,IF(OR(N(对接源_02物料!$B614)&lt;$L$2,N(对接源_02物料!$B614)&gt;$L$3),0,1))</f>
        <v>0</v>
      </c>
      <c r="M1814" s="1" t="n">
        <f aca="false">IF(OR($M$1="",对接源_02物料!$C614="",对接源_02物料!$C614&lt;&gt;$M$1,对接源_02物料!$B614=""),0,IF(OR(N(对接源_02物料!$B614)&lt;$M$2,N(对接源_02物料!$B614)&gt;$M$3),0,1))</f>
        <v>0</v>
      </c>
      <c r="N1814" s="1" t="n">
        <f aca="false">IF(OR($N$1="",对接源_02物料!$C614="",对接源_02物料!$C614&lt;&gt;$N$1,对接源_02物料!$B614=""),0,IF(OR(N(对接源_02物料!$B614)&lt;$N$2,N(对接源_02物料!$B614)&gt;$N$3),0,1))</f>
        <v>0</v>
      </c>
      <c r="P1814" s="1" t="n">
        <f aca="false">IF(AND($K1814=1,AND(对接源_02物料!$X614="公司筐",N(对接源_02物料!$T614)&lt;&gt;0)),1,0)</f>
        <v>0</v>
      </c>
      <c r="Q1814" s="1" t="n">
        <f aca="false">N(Q1813)+$P1814</f>
        <v>13</v>
      </c>
      <c r="R1814" s="1" t="n">
        <f aca="false">IF(AND($K1814=1,AND(对接源_02物料!$X614="公司筐",N(对接源_02物料!$U614)&lt;&gt;0)),1,0)</f>
        <v>0</v>
      </c>
      <c r="S1814" s="1" t="n">
        <f aca="false">N(S1813)+$R1814</f>
        <v>5</v>
      </c>
      <c r="T1814" s="1" t="n">
        <f aca="false">IF(AND($K1814=1,AND(对接源_02物料!$X614="公司筐",N(对接源_02物料!$V614)&lt;&gt;0)),1,0)</f>
        <v>0</v>
      </c>
      <c r="U1814" s="1" t="n">
        <f aca="false">N(U1813)+$T1814</f>
        <v>28</v>
      </c>
      <c r="V1814" s="1" t="n">
        <f aca="false">IF(AND($L1814=1,AND(对接源_02物料!$X614="自备筐",N(对接源_02物料!$V614)&lt;&gt;0)),1,0)</f>
        <v>0</v>
      </c>
      <c r="W1814" s="1" t="n">
        <f aca="false">N(W1813)+$V1814</f>
        <v>7</v>
      </c>
      <c r="X1814" s="1" t="n">
        <f aca="false">IF(AND($L1814=1,AND(对接源_02物料!$X614="自备筐",N(对接源_02物料!$T614)&lt;&gt;0)),1,0)</f>
        <v>0</v>
      </c>
      <c r="Y1814" s="1" t="n">
        <f aca="false">N(Y1813)+$X1814</f>
        <v>0</v>
      </c>
      <c r="Z1814" s="1" t="n">
        <f aca="false">IF(AND($M1814=1,对接源_02物料!$D614="原料入库"),1,0)</f>
        <v>0</v>
      </c>
      <c r="AA1814" s="1" t="n">
        <f aca="false">N(AA1813)+$Z1814</f>
        <v>30</v>
      </c>
      <c r="AB1814" s="1" t="n">
        <f aca="false">IF(AND($M1814=1,LEFT(对接源_02物料!$D614,4)="原料出库"),1,0)</f>
        <v>0</v>
      </c>
      <c r="AC1814" s="1" t="n">
        <f aca="false">N(AC1813)+$AB1814</f>
        <v>19</v>
      </c>
      <c r="AD1814" s="1" t="n">
        <f aca="false">IF(AND($M1814=1,LEFT(对接源_02物料!$D614,4)="成品出库"),1,0)</f>
        <v>0</v>
      </c>
      <c r="AE1814" s="1" t="n">
        <f aca="false">N(AE1813)+$AD1814</f>
        <v>38</v>
      </c>
      <c r="AF1814" s="1" t="n">
        <f aca="false">IF(AND($N1814=1,AND(LEFT(对接源_02物料!$D614,4)="包装物料",N(对接源_02物料!$K614)&lt;&gt;0)),1,0)</f>
        <v>0</v>
      </c>
      <c r="AG1814" s="1" t="n">
        <f aca="false">N(AG1813)+$AF1814</f>
        <v>6</v>
      </c>
      <c r="AH1814" s="1" t="n">
        <f aca="false">IF(AND($N1814=1,AND(LEFT(对接源_02物料!$D614,3)="周转筐",N(对接源_02物料!$K614)&lt;&gt;0)),1,0)</f>
        <v>0</v>
      </c>
      <c r="AI1814" s="1" t="n">
        <f aca="false">N(AI1813)+$AH1814</f>
        <v>0</v>
      </c>
      <c r="AJ1814" s="1" t="n">
        <v>0</v>
      </c>
      <c r="AK1814" s="1" t="n">
        <f aca="false">N(AK1813)+$AJ1814</f>
        <v>3672</v>
      </c>
    </row>
    <row r="1815" customFormat="false" ht="13.5" hidden="false" customHeight="false" outlineLevel="0" collapsed="false">
      <c r="A1815" s="1" t="str">
        <f aca="false">IF(对接源_02物料!$C615="","",对接源_02物料!$C615)</f>
        <v/>
      </c>
      <c r="B1815" s="1" t="n">
        <f aca="false">IF(A1815="",0,IF(MATCH(A1815,$A$4:$A$2403,0)=ROW()-3,1,0))</f>
        <v>0</v>
      </c>
      <c r="C1815" s="1" t="n">
        <f aca="false">N(C1814)+B1815</f>
        <v>17</v>
      </c>
      <c r="K1815" s="1" t="n">
        <f aca="false">IF(OR($K$1="",对接源_02物料!$C615="",对接源_02物料!$C615&lt;&gt;$K$1,对接源_02物料!$B615=""),0,IF(OR(N(对接源_02物料!$B615)&lt;$K$2,N(对接源_02物料!$B615)&gt;$K$3),0,1))</f>
        <v>0</v>
      </c>
      <c r="L1815" s="1" t="n">
        <f aca="false">IF(OR($L$1="",对接源_02物料!$C615="",对接源_02物料!$C615&lt;&gt;$L$1,对接源_02物料!$B615=""),0,IF(OR(N(对接源_02物料!$B615)&lt;$L$2,N(对接源_02物料!$B615)&gt;$L$3),0,1))</f>
        <v>0</v>
      </c>
      <c r="M1815" s="1" t="n">
        <f aca="false">IF(OR($M$1="",对接源_02物料!$C615="",对接源_02物料!$C615&lt;&gt;$M$1,对接源_02物料!$B615=""),0,IF(OR(N(对接源_02物料!$B615)&lt;$M$2,N(对接源_02物料!$B615)&gt;$M$3),0,1))</f>
        <v>0</v>
      </c>
      <c r="N1815" s="1" t="n">
        <f aca="false">IF(OR($N$1="",对接源_02物料!$C615="",对接源_02物料!$C615&lt;&gt;$N$1,对接源_02物料!$B615=""),0,IF(OR(N(对接源_02物料!$B615)&lt;$N$2,N(对接源_02物料!$B615)&gt;$N$3),0,1))</f>
        <v>0</v>
      </c>
      <c r="P1815" s="1" t="n">
        <f aca="false">IF(AND($K1815=1,AND(对接源_02物料!$X615="公司筐",N(对接源_02物料!$T615)&lt;&gt;0)),1,0)</f>
        <v>0</v>
      </c>
      <c r="Q1815" s="1" t="n">
        <f aca="false">N(Q1814)+$P1815</f>
        <v>13</v>
      </c>
      <c r="R1815" s="1" t="n">
        <f aca="false">IF(AND($K1815=1,AND(对接源_02物料!$X615="公司筐",N(对接源_02物料!$U615)&lt;&gt;0)),1,0)</f>
        <v>0</v>
      </c>
      <c r="S1815" s="1" t="n">
        <f aca="false">N(S1814)+$R1815</f>
        <v>5</v>
      </c>
      <c r="T1815" s="1" t="n">
        <f aca="false">IF(AND($K1815=1,AND(对接源_02物料!$X615="公司筐",N(对接源_02物料!$V615)&lt;&gt;0)),1,0)</f>
        <v>0</v>
      </c>
      <c r="U1815" s="1" t="n">
        <f aca="false">N(U1814)+$T1815</f>
        <v>28</v>
      </c>
      <c r="V1815" s="1" t="n">
        <f aca="false">IF(AND($L1815=1,AND(对接源_02物料!$X615="自备筐",N(对接源_02物料!$V615)&lt;&gt;0)),1,0)</f>
        <v>0</v>
      </c>
      <c r="W1815" s="1" t="n">
        <f aca="false">N(W1814)+$V1815</f>
        <v>7</v>
      </c>
      <c r="X1815" s="1" t="n">
        <f aca="false">IF(AND($L1815=1,AND(对接源_02物料!$X615="自备筐",N(对接源_02物料!$T615)&lt;&gt;0)),1,0)</f>
        <v>0</v>
      </c>
      <c r="Y1815" s="1" t="n">
        <f aca="false">N(Y1814)+$X1815</f>
        <v>0</v>
      </c>
      <c r="Z1815" s="1" t="n">
        <f aca="false">IF(AND($M1815=1,对接源_02物料!$D615="原料入库"),1,0)</f>
        <v>0</v>
      </c>
      <c r="AA1815" s="1" t="n">
        <f aca="false">N(AA1814)+$Z1815</f>
        <v>30</v>
      </c>
      <c r="AB1815" s="1" t="n">
        <f aca="false">IF(AND($M1815=1,LEFT(对接源_02物料!$D615,4)="原料出库"),1,0)</f>
        <v>0</v>
      </c>
      <c r="AC1815" s="1" t="n">
        <f aca="false">N(AC1814)+$AB1815</f>
        <v>19</v>
      </c>
      <c r="AD1815" s="1" t="n">
        <f aca="false">IF(AND($M1815=1,LEFT(对接源_02物料!$D615,4)="成品出库"),1,0)</f>
        <v>0</v>
      </c>
      <c r="AE1815" s="1" t="n">
        <f aca="false">N(AE1814)+$AD1815</f>
        <v>38</v>
      </c>
      <c r="AF1815" s="1" t="n">
        <f aca="false">IF(AND($N1815=1,AND(LEFT(对接源_02物料!$D615,4)="包装物料",N(对接源_02物料!$K615)&lt;&gt;0)),1,0)</f>
        <v>0</v>
      </c>
      <c r="AG1815" s="1" t="n">
        <f aca="false">N(AG1814)+$AF1815</f>
        <v>6</v>
      </c>
      <c r="AH1815" s="1" t="n">
        <f aca="false">IF(AND($N1815=1,AND(LEFT(对接源_02物料!$D615,3)="周转筐",N(对接源_02物料!$K615)&lt;&gt;0)),1,0)</f>
        <v>0</v>
      </c>
      <c r="AI1815" s="1" t="n">
        <f aca="false">N(AI1814)+$AH1815</f>
        <v>0</v>
      </c>
      <c r="AJ1815" s="1" t="n">
        <v>0</v>
      </c>
      <c r="AK1815" s="1" t="n">
        <f aca="false">N(AK1814)+$AJ1815</f>
        <v>3672</v>
      </c>
    </row>
    <row r="1816" customFormat="false" ht="13.5" hidden="false" customHeight="false" outlineLevel="0" collapsed="false">
      <c r="A1816" s="1" t="str">
        <f aca="false">IF(对接源_02物料!$C616="","",对接源_02物料!$C616)</f>
        <v/>
      </c>
      <c r="B1816" s="1" t="n">
        <f aca="false">IF(A1816="",0,IF(MATCH(A1816,$A$4:$A$2403,0)=ROW()-3,1,0))</f>
        <v>0</v>
      </c>
      <c r="C1816" s="1" t="n">
        <f aca="false">N(C1815)+B1816</f>
        <v>17</v>
      </c>
      <c r="K1816" s="1" t="n">
        <f aca="false">IF(OR($K$1="",对接源_02物料!$C616="",对接源_02物料!$C616&lt;&gt;$K$1,对接源_02物料!$B616=""),0,IF(OR(N(对接源_02物料!$B616)&lt;$K$2,N(对接源_02物料!$B616)&gt;$K$3),0,1))</f>
        <v>0</v>
      </c>
      <c r="L1816" s="1" t="n">
        <f aca="false">IF(OR($L$1="",对接源_02物料!$C616="",对接源_02物料!$C616&lt;&gt;$L$1,对接源_02物料!$B616=""),0,IF(OR(N(对接源_02物料!$B616)&lt;$L$2,N(对接源_02物料!$B616)&gt;$L$3),0,1))</f>
        <v>0</v>
      </c>
      <c r="M1816" s="1" t="n">
        <f aca="false">IF(OR($M$1="",对接源_02物料!$C616="",对接源_02物料!$C616&lt;&gt;$M$1,对接源_02物料!$B616=""),0,IF(OR(N(对接源_02物料!$B616)&lt;$M$2,N(对接源_02物料!$B616)&gt;$M$3),0,1))</f>
        <v>0</v>
      </c>
      <c r="N1816" s="1" t="n">
        <f aca="false">IF(OR($N$1="",对接源_02物料!$C616="",对接源_02物料!$C616&lt;&gt;$N$1,对接源_02物料!$B616=""),0,IF(OR(N(对接源_02物料!$B616)&lt;$N$2,N(对接源_02物料!$B616)&gt;$N$3),0,1))</f>
        <v>0</v>
      </c>
      <c r="P1816" s="1" t="n">
        <f aca="false">IF(AND($K1816=1,AND(对接源_02物料!$X616="公司筐",N(对接源_02物料!$T616)&lt;&gt;0)),1,0)</f>
        <v>0</v>
      </c>
      <c r="Q1816" s="1" t="n">
        <f aca="false">N(Q1815)+$P1816</f>
        <v>13</v>
      </c>
      <c r="R1816" s="1" t="n">
        <f aca="false">IF(AND($K1816=1,AND(对接源_02物料!$X616="公司筐",N(对接源_02物料!$U616)&lt;&gt;0)),1,0)</f>
        <v>0</v>
      </c>
      <c r="S1816" s="1" t="n">
        <f aca="false">N(S1815)+$R1816</f>
        <v>5</v>
      </c>
      <c r="T1816" s="1" t="n">
        <f aca="false">IF(AND($K1816=1,AND(对接源_02物料!$X616="公司筐",N(对接源_02物料!$V616)&lt;&gt;0)),1,0)</f>
        <v>0</v>
      </c>
      <c r="U1816" s="1" t="n">
        <f aca="false">N(U1815)+$T1816</f>
        <v>28</v>
      </c>
      <c r="V1816" s="1" t="n">
        <f aca="false">IF(AND($L1816=1,AND(对接源_02物料!$X616="自备筐",N(对接源_02物料!$V616)&lt;&gt;0)),1,0)</f>
        <v>0</v>
      </c>
      <c r="W1816" s="1" t="n">
        <f aca="false">N(W1815)+$V1816</f>
        <v>7</v>
      </c>
      <c r="X1816" s="1" t="n">
        <f aca="false">IF(AND($L1816=1,AND(对接源_02物料!$X616="自备筐",N(对接源_02物料!$T616)&lt;&gt;0)),1,0)</f>
        <v>0</v>
      </c>
      <c r="Y1816" s="1" t="n">
        <f aca="false">N(Y1815)+$X1816</f>
        <v>0</v>
      </c>
      <c r="Z1816" s="1" t="n">
        <f aca="false">IF(AND($M1816=1,对接源_02物料!$D616="原料入库"),1,0)</f>
        <v>0</v>
      </c>
      <c r="AA1816" s="1" t="n">
        <f aca="false">N(AA1815)+$Z1816</f>
        <v>30</v>
      </c>
      <c r="AB1816" s="1" t="n">
        <f aca="false">IF(AND($M1816=1,LEFT(对接源_02物料!$D616,4)="原料出库"),1,0)</f>
        <v>0</v>
      </c>
      <c r="AC1816" s="1" t="n">
        <f aca="false">N(AC1815)+$AB1816</f>
        <v>19</v>
      </c>
      <c r="AD1816" s="1" t="n">
        <f aca="false">IF(AND($M1816=1,LEFT(对接源_02物料!$D616,4)="成品出库"),1,0)</f>
        <v>0</v>
      </c>
      <c r="AE1816" s="1" t="n">
        <f aca="false">N(AE1815)+$AD1816</f>
        <v>38</v>
      </c>
      <c r="AF1816" s="1" t="n">
        <f aca="false">IF(AND($N1816=1,AND(LEFT(对接源_02物料!$D616,4)="包装物料",N(对接源_02物料!$K616)&lt;&gt;0)),1,0)</f>
        <v>0</v>
      </c>
      <c r="AG1816" s="1" t="n">
        <f aca="false">N(AG1815)+$AF1816</f>
        <v>6</v>
      </c>
      <c r="AH1816" s="1" t="n">
        <f aca="false">IF(AND($N1816=1,AND(LEFT(对接源_02物料!$D616,3)="周转筐",N(对接源_02物料!$K616)&lt;&gt;0)),1,0)</f>
        <v>0</v>
      </c>
      <c r="AI1816" s="1" t="n">
        <f aca="false">N(AI1815)+$AH1816</f>
        <v>0</v>
      </c>
      <c r="AJ1816" s="1" t="n">
        <v>0</v>
      </c>
      <c r="AK1816" s="1" t="n">
        <f aca="false">N(AK1815)+$AJ1816</f>
        <v>3672</v>
      </c>
    </row>
    <row r="1817" customFormat="false" ht="13.5" hidden="false" customHeight="false" outlineLevel="0" collapsed="false">
      <c r="A1817" s="1" t="str">
        <f aca="false">IF(对接源_02物料!$C617="","",对接源_02物料!$C617)</f>
        <v/>
      </c>
      <c r="B1817" s="1" t="n">
        <f aca="false">IF(A1817="",0,IF(MATCH(A1817,$A$4:$A$2403,0)=ROW()-3,1,0))</f>
        <v>0</v>
      </c>
      <c r="C1817" s="1" t="n">
        <f aca="false">N(C1816)+B1817</f>
        <v>17</v>
      </c>
      <c r="K1817" s="1" t="n">
        <f aca="false">IF(OR($K$1="",对接源_02物料!$C617="",对接源_02物料!$C617&lt;&gt;$K$1,对接源_02物料!$B617=""),0,IF(OR(N(对接源_02物料!$B617)&lt;$K$2,N(对接源_02物料!$B617)&gt;$K$3),0,1))</f>
        <v>0</v>
      </c>
      <c r="L1817" s="1" t="n">
        <f aca="false">IF(OR($L$1="",对接源_02物料!$C617="",对接源_02物料!$C617&lt;&gt;$L$1,对接源_02物料!$B617=""),0,IF(OR(N(对接源_02物料!$B617)&lt;$L$2,N(对接源_02物料!$B617)&gt;$L$3),0,1))</f>
        <v>0</v>
      </c>
      <c r="M1817" s="1" t="n">
        <f aca="false">IF(OR($M$1="",对接源_02物料!$C617="",对接源_02物料!$C617&lt;&gt;$M$1,对接源_02物料!$B617=""),0,IF(OR(N(对接源_02物料!$B617)&lt;$M$2,N(对接源_02物料!$B617)&gt;$M$3),0,1))</f>
        <v>0</v>
      </c>
      <c r="N1817" s="1" t="n">
        <f aca="false">IF(OR($N$1="",对接源_02物料!$C617="",对接源_02物料!$C617&lt;&gt;$N$1,对接源_02物料!$B617=""),0,IF(OR(N(对接源_02物料!$B617)&lt;$N$2,N(对接源_02物料!$B617)&gt;$N$3),0,1))</f>
        <v>0</v>
      </c>
      <c r="P1817" s="1" t="n">
        <f aca="false">IF(AND($K1817=1,AND(对接源_02物料!$X617="公司筐",N(对接源_02物料!$T617)&lt;&gt;0)),1,0)</f>
        <v>0</v>
      </c>
      <c r="Q1817" s="1" t="n">
        <f aca="false">N(Q1816)+$P1817</f>
        <v>13</v>
      </c>
      <c r="R1817" s="1" t="n">
        <f aca="false">IF(AND($K1817=1,AND(对接源_02物料!$X617="公司筐",N(对接源_02物料!$U617)&lt;&gt;0)),1,0)</f>
        <v>0</v>
      </c>
      <c r="S1817" s="1" t="n">
        <f aca="false">N(S1816)+$R1817</f>
        <v>5</v>
      </c>
      <c r="T1817" s="1" t="n">
        <f aca="false">IF(AND($K1817=1,AND(对接源_02物料!$X617="公司筐",N(对接源_02物料!$V617)&lt;&gt;0)),1,0)</f>
        <v>0</v>
      </c>
      <c r="U1817" s="1" t="n">
        <f aca="false">N(U1816)+$T1817</f>
        <v>28</v>
      </c>
      <c r="V1817" s="1" t="n">
        <f aca="false">IF(AND($L1817=1,AND(对接源_02物料!$X617="自备筐",N(对接源_02物料!$V617)&lt;&gt;0)),1,0)</f>
        <v>0</v>
      </c>
      <c r="W1817" s="1" t="n">
        <f aca="false">N(W1816)+$V1817</f>
        <v>7</v>
      </c>
      <c r="X1817" s="1" t="n">
        <f aca="false">IF(AND($L1817=1,AND(对接源_02物料!$X617="自备筐",N(对接源_02物料!$T617)&lt;&gt;0)),1,0)</f>
        <v>0</v>
      </c>
      <c r="Y1817" s="1" t="n">
        <f aca="false">N(Y1816)+$X1817</f>
        <v>0</v>
      </c>
      <c r="Z1817" s="1" t="n">
        <f aca="false">IF(AND($M1817=1,对接源_02物料!$D617="原料入库"),1,0)</f>
        <v>0</v>
      </c>
      <c r="AA1817" s="1" t="n">
        <f aca="false">N(AA1816)+$Z1817</f>
        <v>30</v>
      </c>
      <c r="AB1817" s="1" t="n">
        <f aca="false">IF(AND($M1817=1,LEFT(对接源_02物料!$D617,4)="原料出库"),1,0)</f>
        <v>0</v>
      </c>
      <c r="AC1817" s="1" t="n">
        <f aca="false">N(AC1816)+$AB1817</f>
        <v>19</v>
      </c>
      <c r="AD1817" s="1" t="n">
        <f aca="false">IF(AND($M1817=1,LEFT(对接源_02物料!$D617,4)="成品出库"),1,0)</f>
        <v>0</v>
      </c>
      <c r="AE1817" s="1" t="n">
        <f aca="false">N(AE1816)+$AD1817</f>
        <v>38</v>
      </c>
      <c r="AF1817" s="1" t="n">
        <f aca="false">IF(AND($N1817=1,AND(LEFT(对接源_02物料!$D617,4)="包装物料",N(对接源_02物料!$K617)&lt;&gt;0)),1,0)</f>
        <v>0</v>
      </c>
      <c r="AG1817" s="1" t="n">
        <f aca="false">N(AG1816)+$AF1817</f>
        <v>6</v>
      </c>
      <c r="AH1817" s="1" t="n">
        <f aca="false">IF(AND($N1817=1,AND(LEFT(对接源_02物料!$D617,3)="周转筐",N(对接源_02物料!$K617)&lt;&gt;0)),1,0)</f>
        <v>0</v>
      </c>
      <c r="AI1817" s="1" t="n">
        <f aca="false">N(AI1816)+$AH1817</f>
        <v>0</v>
      </c>
      <c r="AJ1817" s="1" t="n">
        <v>0</v>
      </c>
      <c r="AK1817" s="1" t="n">
        <f aca="false">N(AK1816)+$AJ1817</f>
        <v>3672</v>
      </c>
    </row>
    <row r="1818" customFormat="false" ht="13.5" hidden="false" customHeight="false" outlineLevel="0" collapsed="false">
      <c r="A1818" s="1" t="str">
        <f aca="false">IF(对接源_02物料!$C618="","",对接源_02物料!$C618)</f>
        <v/>
      </c>
      <c r="B1818" s="1" t="n">
        <f aca="false">IF(A1818="",0,IF(MATCH(A1818,$A$4:$A$2403,0)=ROW()-3,1,0))</f>
        <v>0</v>
      </c>
      <c r="C1818" s="1" t="n">
        <f aca="false">N(C1817)+B1818</f>
        <v>17</v>
      </c>
      <c r="K1818" s="1" t="n">
        <f aca="false">IF(OR($K$1="",对接源_02物料!$C618="",对接源_02物料!$C618&lt;&gt;$K$1,对接源_02物料!$B618=""),0,IF(OR(N(对接源_02物料!$B618)&lt;$K$2,N(对接源_02物料!$B618)&gt;$K$3),0,1))</f>
        <v>0</v>
      </c>
      <c r="L1818" s="1" t="n">
        <f aca="false">IF(OR($L$1="",对接源_02物料!$C618="",对接源_02物料!$C618&lt;&gt;$L$1,对接源_02物料!$B618=""),0,IF(OR(N(对接源_02物料!$B618)&lt;$L$2,N(对接源_02物料!$B618)&gt;$L$3),0,1))</f>
        <v>0</v>
      </c>
      <c r="M1818" s="1" t="n">
        <f aca="false">IF(OR($M$1="",对接源_02物料!$C618="",对接源_02物料!$C618&lt;&gt;$M$1,对接源_02物料!$B618=""),0,IF(OR(N(对接源_02物料!$B618)&lt;$M$2,N(对接源_02物料!$B618)&gt;$M$3),0,1))</f>
        <v>0</v>
      </c>
      <c r="N1818" s="1" t="n">
        <f aca="false">IF(OR($N$1="",对接源_02物料!$C618="",对接源_02物料!$C618&lt;&gt;$N$1,对接源_02物料!$B618=""),0,IF(OR(N(对接源_02物料!$B618)&lt;$N$2,N(对接源_02物料!$B618)&gt;$N$3),0,1))</f>
        <v>0</v>
      </c>
      <c r="P1818" s="1" t="n">
        <f aca="false">IF(AND($K1818=1,AND(对接源_02物料!$X618="公司筐",N(对接源_02物料!$T618)&lt;&gt;0)),1,0)</f>
        <v>0</v>
      </c>
      <c r="Q1818" s="1" t="n">
        <f aca="false">N(Q1817)+$P1818</f>
        <v>13</v>
      </c>
      <c r="R1818" s="1" t="n">
        <f aca="false">IF(AND($K1818=1,AND(对接源_02物料!$X618="公司筐",N(对接源_02物料!$U618)&lt;&gt;0)),1,0)</f>
        <v>0</v>
      </c>
      <c r="S1818" s="1" t="n">
        <f aca="false">N(S1817)+$R1818</f>
        <v>5</v>
      </c>
      <c r="T1818" s="1" t="n">
        <f aca="false">IF(AND($K1818=1,AND(对接源_02物料!$X618="公司筐",N(对接源_02物料!$V618)&lt;&gt;0)),1,0)</f>
        <v>0</v>
      </c>
      <c r="U1818" s="1" t="n">
        <f aca="false">N(U1817)+$T1818</f>
        <v>28</v>
      </c>
      <c r="V1818" s="1" t="n">
        <f aca="false">IF(AND($L1818=1,AND(对接源_02物料!$X618="自备筐",N(对接源_02物料!$V618)&lt;&gt;0)),1,0)</f>
        <v>0</v>
      </c>
      <c r="W1818" s="1" t="n">
        <f aca="false">N(W1817)+$V1818</f>
        <v>7</v>
      </c>
      <c r="X1818" s="1" t="n">
        <f aca="false">IF(AND($L1818=1,AND(对接源_02物料!$X618="自备筐",N(对接源_02物料!$T618)&lt;&gt;0)),1,0)</f>
        <v>0</v>
      </c>
      <c r="Y1818" s="1" t="n">
        <f aca="false">N(Y1817)+$X1818</f>
        <v>0</v>
      </c>
      <c r="Z1818" s="1" t="n">
        <f aca="false">IF(AND($M1818=1,对接源_02物料!$D618="原料入库"),1,0)</f>
        <v>0</v>
      </c>
      <c r="AA1818" s="1" t="n">
        <f aca="false">N(AA1817)+$Z1818</f>
        <v>30</v>
      </c>
      <c r="AB1818" s="1" t="n">
        <f aca="false">IF(AND($M1818=1,LEFT(对接源_02物料!$D618,4)="原料出库"),1,0)</f>
        <v>0</v>
      </c>
      <c r="AC1818" s="1" t="n">
        <f aca="false">N(AC1817)+$AB1818</f>
        <v>19</v>
      </c>
      <c r="AD1818" s="1" t="n">
        <f aca="false">IF(AND($M1818=1,LEFT(对接源_02物料!$D618,4)="成品出库"),1,0)</f>
        <v>0</v>
      </c>
      <c r="AE1818" s="1" t="n">
        <f aca="false">N(AE1817)+$AD1818</f>
        <v>38</v>
      </c>
      <c r="AF1818" s="1" t="n">
        <f aca="false">IF(AND($N1818=1,AND(LEFT(对接源_02物料!$D618,4)="包装物料",N(对接源_02物料!$K618)&lt;&gt;0)),1,0)</f>
        <v>0</v>
      </c>
      <c r="AG1818" s="1" t="n">
        <f aca="false">N(AG1817)+$AF1818</f>
        <v>6</v>
      </c>
      <c r="AH1818" s="1" t="n">
        <f aca="false">IF(AND($N1818=1,AND(LEFT(对接源_02物料!$D618,3)="周转筐",N(对接源_02物料!$K618)&lt;&gt;0)),1,0)</f>
        <v>0</v>
      </c>
      <c r="AI1818" s="1" t="n">
        <f aca="false">N(AI1817)+$AH1818</f>
        <v>0</v>
      </c>
      <c r="AJ1818" s="1" t="n">
        <v>0</v>
      </c>
      <c r="AK1818" s="1" t="n">
        <f aca="false">N(AK1817)+$AJ1818</f>
        <v>3672</v>
      </c>
    </row>
    <row r="1819" customFormat="false" ht="13.5" hidden="false" customHeight="false" outlineLevel="0" collapsed="false">
      <c r="A1819" s="1" t="str">
        <f aca="false">IF(对接源_02物料!$C619="","",对接源_02物料!$C619)</f>
        <v/>
      </c>
      <c r="B1819" s="1" t="n">
        <f aca="false">IF(A1819="",0,IF(MATCH(A1819,$A$4:$A$2403,0)=ROW()-3,1,0))</f>
        <v>0</v>
      </c>
      <c r="C1819" s="1" t="n">
        <f aca="false">N(C1818)+B1819</f>
        <v>17</v>
      </c>
      <c r="K1819" s="1" t="n">
        <f aca="false">IF(OR($K$1="",对接源_02物料!$C619="",对接源_02物料!$C619&lt;&gt;$K$1,对接源_02物料!$B619=""),0,IF(OR(N(对接源_02物料!$B619)&lt;$K$2,N(对接源_02物料!$B619)&gt;$K$3),0,1))</f>
        <v>0</v>
      </c>
      <c r="L1819" s="1" t="n">
        <f aca="false">IF(OR($L$1="",对接源_02物料!$C619="",对接源_02物料!$C619&lt;&gt;$L$1,对接源_02物料!$B619=""),0,IF(OR(N(对接源_02物料!$B619)&lt;$L$2,N(对接源_02物料!$B619)&gt;$L$3),0,1))</f>
        <v>0</v>
      </c>
      <c r="M1819" s="1" t="n">
        <f aca="false">IF(OR($M$1="",对接源_02物料!$C619="",对接源_02物料!$C619&lt;&gt;$M$1,对接源_02物料!$B619=""),0,IF(OR(N(对接源_02物料!$B619)&lt;$M$2,N(对接源_02物料!$B619)&gt;$M$3),0,1))</f>
        <v>0</v>
      </c>
      <c r="N1819" s="1" t="n">
        <f aca="false">IF(OR($N$1="",对接源_02物料!$C619="",对接源_02物料!$C619&lt;&gt;$N$1,对接源_02物料!$B619=""),0,IF(OR(N(对接源_02物料!$B619)&lt;$N$2,N(对接源_02物料!$B619)&gt;$N$3),0,1))</f>
        <v>0</v>
      </c>
      <c r="P1819" s="1" t="n">
        <f aca="false">IF(AND($K1819=1,AND(对接源_02物料!$X619="公司筐",N(对接源_02物料!$T619)&lt;&gt;0)),1,0)</f>
        <v>0</v>
      </c>
      <c r="Q1819" s="1" t="n">
        <f aca="false">N(Q1818)+$P1819</f>
        <v>13</v>
      </c>
      <c r="R1819" s="1" t="n">
        <f aca="false">IF(AND($K1819=1,AND(对接源_02物料!$X619="公司筐",N(对接源_02物料!$U619)&lt;&gt;0)),1,0)</f>
        <v>0</v>
      </c>
      <c r="S1819" s="1" t="n">
        <f aca="false">N(S1818)+$R1819</f>
        <v>5</v>
      </c>
      <c r="T1819" s="1" t="n">
        <f aca="false">IF(AND($K1819=1,AND(对接源_02物料!$X619="公司筐",N(对接源_02物料!$V619)&lt;&gt;0)),1,0)</f>
        <v>0</v>
      </c>
      <c r="U1819" s="1" t="n">
        <f aca="false">N(U1818)+$T1819</f>
        <v>28</v>
      </c>
      <c r="V1819" s="1" t="n">
        <f aca="false">IF(AND($L1819=1,AND(对接源_02物料!$X619="自备筐",N(对接源_02物料!$V619)&lt;&gt;0)),1,0)</f>
        <v>0</v>
      </c>
      <c r="W1819" s="1" t="n">
        <f aca="false">N(W1818)+$V1819</f>
        <v>7</v>
      </c>
      <c r="X1819" s="1" t="n">
        <f aca="false">IF(AND($L1819=1,AND(对接源_02物料!$X619="自备筐",N(对接源_02物料!$T619)&lt;&gt;0)),1,0)</f>
        <v>0</v>
      </c>
      <c r="Y1819" s="1" t="n">
        <f aca="false">N(Y1818)+$X1819</f>
        <v>0</v>
      </c>
      <c r="Z1819" s="1" t="n">
        <f aca="false">IF(AND($M1819=1,对接源_02物料!$D619="原料入库"),1,0)</f>
        <v>0</v>
      </c>
      <c r="AA1819" s="1" t="n">
        <f aca="false">N(AA1818)+$Z1819</f>
        <v>30</v>
      </c>
      <c r="AB1819" s="1" t="n">
        <f aca="false">IF(AND($M1819=1,LEFT(对接源_02物料!$D619,4)="原料出库"),1,0)</f>
        <v>0</v>
      </c>
      <c r="AC1819" s="1" t="n">
        <f aca="false">N(AC1818)+$AB1819</f>
        <v>19</v>
      </c>
      <c r="AD1819" s="1" t="n">
        <f aca="false">IF(AND($M1819=1,LEFT(对接源_02物料!$D619,4)="成品出库"),1,0)</f>
        <v>0</v>
      </c>
      <c r="AE1819" s="1" t="n">
        <f aca="false">N(AE1818)+$AD1819</f>
        <v>38</v>
      </c>
      <c r="AF1819" s="1" t="n">
        <f aca="false">IF(AND($N1819=1,AND(LEFT(对接源_02物料!$D619,4)="包装物料",N(对接源_02物料!$K619)&lt;&gt;0)),1,0)</f>
        <v>0</v>
      </c>
      <c r="AG1819" s="1" t="n">
        <f aca="false">N(AG1818)+$AF1819</f>
        <v>6</v>
      </c>
      <c r="AH1819" s="1" t="n">
        <f aca="false">IF(AND($N1819=1,AND(LEFT(对接源_02物料!$D619,3)="周转筐",N(对接源_02物料!$K619)&lt;&gt;0)),1,0)</f>
        <v>0</v>
      </c>
      <c r="AI1819" s="1" t="n">
        <f aca="false">N(AI1818)+$AH1819</f>
        <v>0</v>
      </c>
      <c r="AJ1819" s="1" t="n">
        <v>0</v>
      </c>
      <c r="AK1819" s="1" t="n">
        <f aca="false">N(AK1818)+$AJ1819</f>
        <v>3672</v>
      </c>
    </row>
    <row r="1820" customFormat="false" ht="13.5" hidden="false" customHeight="false" outlineLevel="0" collapsed="false">
      <c r="A1820" s="1" t="str">
        <f aca="false">IF(对接源_02物料!$C620="","",对接源_02物料!$C620)</f>
        <v/>
      </c>
      <c r="B1820" s="1" t="n">
        <f aca="false">IF(A1820="",0,IF(MATCH(A1820,$A$4:$A$2403,0)=ROW()-3,1,0))</f>
        <v>0</v>
      </c>
      <c r="C1820" s="1" t="n">
        <f aca="false">N(C1819)+B1820</f>
        <v>17</v>
      </c>
      <c r="K1820" s="1" t="n">
        <f aca="false">IF(OR($K$1="",对接源_02物料!$C620="",对接源_02物料!$C620&lt;&gt;$K$1,对接源_02物料!$B620=""),0,IF(OR(N(对接源_02物料!$B620)&lt;$K$2,N(对接源_02物料!$B620)&gt;$K$3),0,1))</f>
        <v>0</v>
      </c>
      <c r="L1820" s="1" t="n">
        <f aca="false">IF(OR($L$1="",对接源_02物料!$C620="",对接源_02物料!$C620&lt;&gt;$L$1,对接源_02物料!$B620=""),0,IF(OR(N(对接源_02物料!$B620)&lt;$L$2,N(对接源_02物料!$B620)&gt;$L$3),0,1))</f>
        <v>0</v>
      </c>
      <c r="M1820" s="1" t="n">
        <f aca="false">IF(OR($M$1="",对接源_02物料!$C620="",对接源_02物料!$C620&lt;&gt;$M$1,对接源_02物料!$B620=""),0,IF(OR(N(对接源_02物料!$B620)&lt;$M$2,N(对接源_02物料!$B620)&gt;$M$3),0,1))</f>
        <v>0</v>
      </c>
      <c r="N1820" s="1" t="n">
        <f aca="false">IF(OR($N$1="",对接源_02物料!$C620="",对接源_02物料!$C620&lt;&gt;$N$1,对接源_02物料!$B620=""),0,IF(OR(N(对接源_02物料!$B620)&lt;$N$2,N(对接源_02物料!$B620)&gt;$N$3),0,1))</f>
        <v>0</v>
      </c>
      <c r="P1820" s="1" t="n">
        <f aca="false">IF(AND($K1820=1,AND(对接源_02物料!$X620="公司筐",N(对接源_02物料!$T620)&lt;&gt;0)),1,0)</f>
        <v>0</v>
      </c>
      <c r="Q1820" s="1" t="n">
        <f aca="false">N(Q1819)+$P1820</f>
        <v>13</v>
      </c>
      <c r="R1820" s="1" t="n">
        <f aca="false">IF(AND($K1820=1,AND(对接源_02物料!$X620="公司筐",N(对接源_02物料!$U620)&lt;&gt;0)),1,0)</f>
        <v>0</v>
      </c>
      <c r="S1820" s="1" t="n">
        <f aca="false">N(S1819)+$R1820</f>
        <v>5</v>
      </c>
      <c r="T1820" s="1" t="n">
        <f aca="false">IF(AND($K1820=1,AND(对接源_02物料!$X620="公司筐",N(对接源_02物料!$V620)&lt;&gt;0)),1,0)</f>
        <v>0</v>
      </c>
      <c r="U1820" s="1" t="n">
        <f aca="false">N(U1819)+$T1820</f>
        <v>28</v>
      </c>
      <c r="V1820" s="1" t="n">
        <f aca="false">IF(AND($L1820=1,AND(对接源_02物料!$X620="自备筐",N(对接源_02物料!$V620)&lt;&gt;0)),1,0)</f>
        <v>0</v>
      </c>
      <c r="W1820" s="1" t="n">
        <f aca="false">N(W1819)+$V1820</f>
        <v>7</v>
      </c>
      <c r="X1820" s="1" t="n">
        <f aca="false">IF(AND($L1820=1,AND(对接源_02物料!$X620="自备筐",N(对接源_02物料!$T620)&lt;&gt;0)),1,0)</f>
        <v>0</v>
      </c>
      <c r="Y1820" s="1" t="n">
        <f aca="false">N(Y1819)+$X1820</f>
        <v>0</v>
      </c>
      <c r="Z1820" s="1" t="n">
        <f aca="false">IF(AND($M1820=1,对接源_02物料!$D620="原料入库"),1,0)</f>
        <v>0</v>
      </c>
      <c r="AA1820" s="1" t="n">
        <f aca="false">N(AA1819)+$Z1820</f>
        <v>30</v>
      </c>
      <c r="AB1820" s="1" t="n">
        <f aca="false">IF(AND($M1820=1,LEFT(对接源_02物料!$D620,4)="原料出库"),1,0)</f>
        <v>0</v>
      </c>
      <c r="AC1820" s="1" t="n">
        <f aca="false">N(AC1819)+$AB1820</f>
        <v>19</v>
      </c>
      <c r="AD1820" s="1" t="n">
        <f aca="false">IF(AND($M1820=1,LEFT(对接源_02物料!$D620,4)="成品出库"),1,0)</f>
        <v>0</v>
      </c>
      <c r="AE1820" s="1" t="n">
        <f aca="false">N(AE1819)+$AD1820</f>
        <v>38</v>
      </c>
      <c r="AF1820" s="1" t="n">
        <f aca="false">IF(AND($N1820=1,AND(LEFT(对接源_02物料!$D620,4)="包装物料",N(对接源_02物料!$K620)&lt;&gt;0)),1,0)</f>
        <v>0</v>
      </c>
      <c r="AG1820" s="1" t="n">
        <f aca="false">N(AG1819)+$AF1820</f>
        <v>6</v>
      </c>
      <c r="AH1820" s="1" t="n">
        <f aca="false">IF(AND($N1820=1,AND(LEFT(对接源_02物料!$D620,3)="周转筐",N(对接源_02物料!$K620)&lt;&gt;0)),1,0)</f>
        <v>0</v>
      </c>
      <c r="AI1820" s="1" t="n">
        <f aca="false">N(AI1819)+$AH1820</f>
        <v>0</v>
      </c>
      <c r="AJ1820" s="1" t="n">
        <v>0</v>
      </c>
      <c r="AK1820" s="1" t="n">
        <f aca="false">N(AK1819)+$AJ1820</f>
        <v>3672</v>
      </c>
    </row>
    <row r="1821" customFormat="false" ht="13.5" hidden="false" customHeight="false" outlineLevel="0" collapsed="false">
      <c r="A1821" s="1" t="str">
        <f aca="false">IF(对接源_02物料!$C621="","",对接源_02物料!$C621)</f>
        <v/>
      </c>
      <c r="B1821" s="1" t="n">
        <f aca="false">IF(A1821="",0,IF(MATCH(A1821,$A$4:$A$2403,0)=ROW()-3,1,0))</f>
        <v>0</v>
      </c>
      <c r="C1821" s="1" t="n">
        <f aca="false">N(C1820)+B1821</f>
        <v>17</v>
      </c>
      <c r="K1821" s="1" t="n">
        <f aca="false">IF(OR($K$1="",对接源_02物料!$C621="",对接源_02物料!$C621&lt;&gt;$K$1,对接源_02物料!$B621=""),0,IF(OR(N(对接源_02物料!$B621)&lt;$K$2,N(对接源_02物料!$B621)&gt;$K$3),0,1))</f>
        <v>0</v>
      </c>
      <c r="L1821" s="1" t="n">
        <f aca="false">IF(OR($L$1="",对接源_02物料!$C621="",对接源_02物料!$C621&lt;&gt;$L$1,对接源_02物料!$B621=""),0,IF(OR(N(对接源_02物料!$B621)&lt;$L$2,N(对接源_02物料!$B621)&gt;$L$3),0,1))</f>
        <v>0</v>
      </c>
      <c r="M1821" s="1" t="n">
        <f aca="false">IF(OR($M$1="",对接源_02物料!$C621="",对接源_02物料!$C621&lt;&gt;$M$1,对接源_02物料!$B621=""),0,IF(OR(N(对接源_02物料!$B621)&lt;$M$2,N(对接源_02物料!$B621)&gt;$M$3),0,1))</f>
        <v>0</v>
      </c>
      <c r="N1821" s="1" t="n">
        <f aca="false">IF(OR($N$1="",对接源_02物料!$C621="",对接源_02物料!$C621&lt;&gt;$N$1,对接源_02物料!$B621=""),0,IF(OR(N(对接源_02物料!$B621)&lt;$N$2,N(对接源_02物料!$B621)&gt;$N$3),0,1))</f>
        <v>0</v>
      </c>
      <c r="P1821" s="1" t="n">
        <f aca="false">IF(AND($K1821=1,AND(对接源_02物料!$X621="公司筐",N(对接源_02物料!$T621)&lt;&gt;0)),1,0)</f>
        <v>0</v>
      </c>
      <c r="Q1821" s="1" t="n">
        <f aca="false">N(Q1820)+$P1821</f>
        <v>13</v>
      </c>
      <c r="R1821" s="1" t="n">
        <f aca="false">IF(AND($K1821=1,AND(对接源_02物料!$X621="公司筐",N(对接源_02物料!$U621)&lt;&gt;0)),1,0)</f>
        <v>0</v>
      </c>
      <c r="S1821" s="1" t="n">
        <f aca="false">N(S1820)+$R1821</f>
        <v>5</v>
      </c>
      <c r="T1821" s="1" t="n">
        <f aca="false">IF(AND($K1821=1,AND(对接源_02物料!$X621="公司筐",N(对接源_02物料!$V621)&lt;&gt;0)),1,0)</f>
        <v>0</v>
      </c>
      <c r="U1821" s="1" t="n">
        <f aca="false">N(U1820)+$T1821</f>
        <v>28</v>
      </c>
      <c r="V1821" s="1" t="n">
        <f aca="false">IF(AND($L1821=1,AND(对接源_02物料!$X621="自备筐",N(对接源_02物料!$V621)&lt;&gt;0)),1,0)</f>
        <v>0</v>
      </c>
      <c r="W1821" s="1" t="n">
        <f aca="false">N(W1820)+$V1821</f>
        <v>7</v>
      </c>
      <c r="X1821" s="1" t="n">
        <f aca="false">IF(AND($L1821=1,AND(对接源_02物料!$X621="自备筐",N(对接源_02物料!$T621)&lt;&gt;0)),1,0)</f>
        <v>0</v>
      </c>
      <c r="Y1821" s="1" t="n">
        <f aca="false">N(Y1820)+$X1821</f>
        <v>0</v>
      </c>
      <c r="Z1821" s="1" t="n">
        <f aca="false">IF(AND($M1821=1,对接源_02物料!$D621="原料入库"),1,0)</f>
        <v>0</v>
      </c>
      <c r="AA1821" s="1" t="n">
        <f aca="false">N(AA1820)+$Z1821</f>
        <v>30</v>
      </c>
      <c r="AB1821" s="1" t="n">
        <f aca="false">IF(AND($M1821=1,LEFT(对接源_02物料!$D621,4)="原料出库"),1,0)</f>
        <v>0</v>
      </c>
      <c r="AC1821" s="1" t="n">
        <f aca="false">N(AC1820)+$AB1821</f>
        <v>19</v>
      </c>
      <c r="AD1821" s="1" t="n">
        <f aca="false">IF(AND($M1821=1,LEFT(对接源_02物料!$D621,4)="成品出库"),1,0)</f>
        <v>0</v>
      </c>
      <c r="AE1821" s="1" t="n">
        <f aca="false">N(AE1820)+$AD1821</f>
        <v>38</v>
      </c>
      <c r="AF1821" s="1" t="n">
        <f aca="false">IF(AND($N1821=1,AND(LEFT(对接源_02物料!$D621,4)="包装物料",N(对接源_02物料!$K621)&lt;&gt;0)),1,0)</f>
        <v>0</v>
      </c>
      <c r="AG1821" s="1" t="n">
        <f aca="false">N(AG1820)+$AF1821</f>
        <v>6</v>
      </c>
      <c r="AH1821" s="1" t="n">
        <f aca="false">IF(AND($N1821=1,AND(LEFT(对接源_02物料!$D621,3)="周转筐",N(对接源_02物料!$K621)&lt;&gt;0)),1,0)</f>
        <v>0</v>
      </c>
      <c r="AI1821" s="1" t="n">
        <f aca="false">N(AI1820)+$AH1821</f>
        <v>0</v>
      </c>
      <c r="AJ1821" s="1" t="n">
        <v>0</v>
      </c>
      <c r="AK1821" s="1" t="n">
        <f aca="false">N(AK1820)+$AJ1821</f>
        <v>3672</v>
      </c>
    </row>
    <row r="1822" customFormat="false" ht="13.5" hidden="false" customHeight="false" outlineLevel="0" collapsed="false">
      <c r="A1822" s="1" t="str">
        <f aca="false">IF(对接源_02物料!$C622="","",对接源_02物料!$C622)</f>
        <v/>
      </c>
      <c r="B1822" s="1" t="n">
        <f aca="false">IF(A1822="",0,IF(MATCH(A1822,$A$4:$A$2403,0)=ROW()-3,1,0))</f>
        <v>0</v>
      </c>
      <c r="C1822" s="1" t="n">
        <f aca="false">N(C1821)+B1822</f>
        <v>17</v>
      </c>
      <c r="K1822" s="1" t="n">
        <f aca="false">IF(OR($K$1="",对接源_02物料!$C622="",对接源_02物料!$C622&lt;&gt;$K$1,对接源_02物料!$B622=""),0,IF(OR(N(对接源_02物料!$B622)&lt;$K$2,N(对接源_02物料!$B622)&gt;$K$3),0,1))</f>
        <v>0</v>
      </c>
      <c r="L1822" s="1" t="n">
        <f aca="false">IF(OR($L$1="",对接源_02物料!$C622="",对接源_02物料!$C622&lt;&gt;$L$1,对接源_02物料!$B622=""),0,IF(OR(N(对接源_02物料!$B622)&lt;$L$2,N(对接源_02物料!$B622)&gt;$L$3),0,1))</f>
        <v>0</v>
      </c>
      <c r="M1822" s="1" t="n">
        <f aca="false">IF(OR($M$1="",对接源_02物料!$C622="",对接源_02物料!$C622&lt;&gt;$M$1,对接源_02物料!$B622=""),0,IF(OR(N(对接源_02物料!$B622)&lt;$M$2,N(对接源_02物料!$B622)&gt;$M$3),0,1))</f>
        <v>0</v>
      </c>
      <c r="N1822" s="1" t="n">
        <f aca="false">IF(OR($N$1="",对接源_02物料!$C622="",对接源_02物料!$C622&lt;&gt;$N$1,对接源_02物料!$B622=""),0,IF(OR(N(对接源_02物料!$B622)&lt;$N$2,N(对接源_02物料!$B622)&gt;$N$3),0,1))</f>
        <v>0</v>
      </c>
      <c r="P1822" s="1" t="n">
        <f aca="false">IF(AND($K1822=1,AND(对接源_02物料!$X622="公司筐",N(对接源_02物料!$T622)&lt;&gt;0)),1,0)</f>
        <v>0</v>
      </c>
      <c r="Q1822" s="1" t="n">
        <f aca="false">N(Q1821)+$P1822</f>
        <v>13</v>
      </c>
      <c r="R1822" s="1" t="n">
        <f aca="false">IF(AND($K1822=1,AND(对接源_02物料!$X622="公司筐",N(对接源_02物料!$U622)&lt;&gt;0)),1,0)</f>
        <v>0</v>
      </c>
      <c r="S1822" s="1" t="n">
        <f aca="false">N(S1821)+$R1822</f>
        <v>5</v>
      </c>
      <c r="T1822" s="1" t="n">
        <f aca="false">IF(AND($K1822=1,AND(对接源_02物料!$X622="公司筐",N(对接源_02物料!$V622)&lt;&gt;0)),1,0)</f>
        <v>0</v>
      </c>
      <c r="U1822" s="1" t="n">
        <f aca="false">N(U1821)+$T1822</f>
        <v>28</v>
      </c>
      <c r="V1822" s="1" t="n">
        <f aca="false">IF(AND($L1822=1,AND(对接源_02物料!$X622="自备筐",N(对接源_02物料!$V622)&lt;&gt;0)),1,0)</f>
        <v>0</v>
      </c>
      <c r="W1822" s="1" t="n">
        <f aca="false">N(W1821)+$V1822</f>
        <v>7</v>
      </c>
      <c r="X1822" s="1" t="n">
        <f aca="false">IF(AND($L1822=1,AND(对接源_02物料!$X622="自备筐",N(对接源_02物料!$T622)&lt;&gt;0)),1,0)</f>
        <v>0</v>
      </c>
      <c r="Y1822" s="1" t="n">
        <f aca="false">N(Y1821)+$X1822</f>
        <v>0</v>
      </c>
      <c r="Z1822" s="1" t="n">
        <f aca="false">IF(AND($M1822=1,对接源_02物料!$D622="原料入库"),1,0)</f>
        <v>0</v>
      </c>
      <c r="AA1822" s="1" t="n">
        <f aca="false">N(AA1821)+$Z1822</f>
        <v>30</v>
      </c>
      <c r="AB1822" s="1" t="n">
        <f aca="false">IF(AND($M1822=1,LEFT(对接源_02物料!$D622,4)="原料出库"),1,0)</f>
        <v>0</v>
      </c>
      <c r="AC1822" s="1" t="n">
        <f aca="false">N(AC1821)+$AB1822</f>
        <v>19</v>
      </c>
      <c r="AD1822" s="1" t="n">
        <f aca="false">IF(AND($M1822=1,LEFT(对接源_02物料!$D622,4)="成品出库"),1,0)</f>
        <v>0</v>
      </c>
      <c r="AE1822" s="1" t="n">
        <f aca="false">N(AE1821)+$AD1822</f>
        <v>38</v>
      </c>
      <c r="AF1822" s="1" t="n">
        <f aca="false">IF(AND($N1822=1,AND(LEFT(对接源_02物料!$D622,4)="包装物料",N(对接源_02物料!$K622)&lt;&gt;0)),1,0)</f>
        <v>0</v>
      </c>
      <c r="AG1822" s="1" t="n">
        <f aca="false">N(AG1821)+$AF1822</f>
        <v>6</v>
      </c>
      <c r="AH1822" s="1" t="n">
        <f aca="false">IF(AND($N1822=1,AND(LEFT(对接源_02物料!$D622,3)="周转筐",N(对接源_02物料!$K622)&lt;&gt;0)),1,0)</f>
        <v>0</v>
      </c>
      <c r="AI1822" s="1" t="n">
        <f aca="false">N(AI1821)+$AH1822</f>
        <v>0</v>
      </c>
      <c r="AJ1822" s="1" t="n">
        <v>0</v>
      </c>
      <c r="AK1822" s="1" t="n">
        <f aca="false">N(AK1821)+$AJ1822</f>
        <v>3672</v>
      </c>
    </row>
    <row r="1823" customFormat="false" ht="13.5" hidden="false" customHeight="false" outlineLevel="0" collapsed="false">
      <c r="A1823" s="1" t="str">
        <f aca="false">IF(对接源_02物料!$C623="","",对接源_02物料!$C623)</f>
        <v/>
      </c>
      <c r="B1823" s="1" t="n">
        <f aca="false">IF(A1823="",0,IF(MATCH(A1823,$A$4:$A$2403,0)=ROW()-3,1,0))</f>
        <v>0</v>
      </c>
      <c r="C1823" s="1" t="n">
        <f aca="false">N(C1822)+B1823</f>
        <v>17</v>
      </c>
      <c r="K1823" s="1" t="n">
        <f aca="false">IF(OR($K$1="",对接源_02物料!$C623="",对接源_02物料!$C623&lt;&gt;$K$1,对接源_02物料!$B623=""),0,IF(OR(N(对接源_02物料!$B623)&lt;$K$2,N(对接源_02物料!$B623)&gt;$K$3),0,1))</f>
        <v>0</v>
      </c>
      <c r="L1823" s="1" t="n">
        <f aca="false">IF(OR($L$1="",对接源_02物料!$C623="",对接源_02物料!$C623&lt;&gt;$L$1,对接源_02物料!$B623=""),0,IF(OR(N(对接源_02物料!$B623)&lt;$L$2,N(对接源_02物料!$B623)&gt;$L$3),0,1))</f>
        <v>0</v>
      </c>
      <c r="M1823" s="1" t="n">
        <f aca="false">IF(OR($M$1="",对接源_02物料!$C623="",对接源_02物料!$C623&lt;&gt;$M$1,对接源_02物料!$B623=""),0,IF(OR(N(对接源_02物料!$B623)&lt;$M$2,N(对接源_02物料!$B623)&gt;$M$3),0,1))</f>
        <v>0</v>
      </c>
      <c r="N1823" s="1" t="n">
        <f aca="false">IF(OR($N$1="",对接源_02物料!$C623="",对接源_02物料!$C623&lt;&gt;$N$1,对接源_02物料!$B623=""),0,IF(OR(N(对接源_02物料!$B623)&lt;$N$2,N(对接源_02物料!$B623)&gt;$N$3),0,1))</f>
        <v>0</v>
      </c>
      <c r="P1823" s="1" t="n">
        <f aca="false">IF(AND($K1823=1,AND(对接源_02物料!$X623="公司筐",N(对接源_02物料!$T623)&lt;&gt;0)),1,0)</f>
        <v>0</v>
      </c>
      <c r="Q1823" s="1" t="n">
        <f aca="false">N(Q1822)+$P1823</f>
        <v>13</v>
      </c>
      <c r="R1823" s="1" t="n">
        <f aca="false">IF(AND($K1823=1,AND(对接源_02物料!$X623="公司筐",N(对接源_02物料!$U623)&lt;&gt;0)),1,0)</f>
        <v>0</v>
      </c>
      <c r="S1823" s="1" t="n">
        <f aca="false">N(S1822)+$R1823</f>
        <v>5</v>
      </c>
      <c r="T1823" s="1" t="n">
        <f aca="false">IF(AND($K1823=1,AND(对接源_02物料!$X623="公司筐",N(对接源_02物料!$V623)&lt;&gt;0)),1,0)</f>
        <v>0</v>
      </c>
      <c r="U1823" s="1" t="n">
        <f aca="false">N(U1822)+$T1823</f>
        <v>28</v>
      </c>
      <c r="V1823" s="1" t="n">
        <f aca="false">IF(AND($L1823=1,AND(对接源_02物料!$X623="自备筐",N(对接源_02物料!$V623)&lt;&gt;0)),1,0)</f>
        <v>0</v>
      </c>
      <c r="W1823" s="1" t="n">
        <f aca="false">N(W1822)+$V1823</f>
        <v>7</v>
      </c>
      <c r="X1823" s="1" t="n">
        <f aca="false">IF(AND($L1823=1,AND(对接源_02物料!$X623="自备筐",N(对接源_02物料!$T623)&lt;&gt;0)),1,0)</f>
        <v>0</v>
      </c>
      <c r="Y1823" s="1" t="n">
        <f aca="false">N(Y1822)+$X1823</f>
        <v>0</v>
      </c>
      <c r="Z1823" s="1" t="n">
        <f aca="false">IF(AND($M1823=1,对接源_02物料!$D623="原料入库"),1,0)</f>
        <v>0</v>
      </c>
      <c r="AA1823" s="1" t="n">
        <f aca="false">N(AA1822)+$Z1823</f>
        <v>30</v>
      </c>
      <c r="AB1823" s="1" t="n">
        <f aca="false">IF(AND($M1823=1,LEFT(对接源_02物料!$D623,4)="原料出库"),1,0)</f>
        <v>0</v>
      </c>
      <c r="AC1823" s="1" t="n">
        <f aca="false">N(AC1822)+$AB1823</f>
        <v>19</v>
      </c>
      <c r="AD1823" s="1" t="n">
        <f aca="false">IF(AND($M1823=1,LEFT(对接源_02物料!$D623,4)="成品出库"),1,0)</f>
        <v>0</v>
      </c>
      <c r="AE1823" s="1" t="n">
        <f aca="false">N(AE1822)+$AD1823</f>
        <v>38</v>
      </c>
      <c r="AF1823" s="1" t="n">
        <f aca="false">IF(AND($N1823=1,AND(LEFT(对接源_02物料!$D623,4)="包装物料",N(对接源_02物料!$K623)&lt;&gt;0)),1,0)</f>
        <v>0</v>
      </c>
      <c r="AG1823" s="1" t="n">
        <f aca="false">N(AG1822)+$AF1823</f>
        <v>6</v>
      </c>
      <c r="AH1823" s="1" t="n">
        <f aca="false">IF(AND($N1823=1,AND(LEFT(对接源_02物料!$D623,3)="周转筐",N(对接源_02物料!$K623)&lt;&gt;0)),1,0)</f>
        <v>0</v>
      </c>
      <c r="AI1823" s="1" t="n">
        <f aca="false">N(AI1822)+$AH1823</f>
        <v>0</v>
      </c>
      <c r="AJ1823" s="1" t="n">
        <v>0</v>
      </c>
      <c r="AK1823" s="1" t="n">
        <f aca="false">N(AK1822)+$AJ1823</f>
        <v>3672</v>
      </c>
    </row>
    <row r="1824" customFormat="false" ht="13.5" hidden="false" customHeight="false" outlineLevel="0" collapsed="false">
      <c r="A1824" s="1" t="str">
        <f aca="false">IF(对接源_02物料!$C624="","",对接源_02物料!$C624)</f>
        <v/>
      </c>
      <c r="B1824" s="1" t="n">
        <f aca="false">IF(A1824="",0,IF(MATCH(A1824,$A$4:$A$2403,0)=ROW()-3,1,0))</f>
        <v>0</v>
      </c>
      <c r="C1824" s="1" t="n">
        <f aca="false">N(C1823)+B1824</f>
        <v>17</v>
      </c>
      <c r="K1824" s="1" t="n">
        <f aca="false">IF(OR($K$1="",对接源_02物料!$C624="",对接源_02物料!$C624&lt;&gt;$K$1,对接源_02物料!$B624=""),0,IF(OR(N(对接源_02物料!$B624)&lt;$K$2,N(对接源_02物料!$B624)&gt;$K$3),0,1))</f>
        <v>0</v>
      </c>
      <c r="L1824" s="1" t="n">
        <f aca="false">IF(OR($L$1="",对接源_02物料!$C624="",对接源_02物料!$C624&lt;&gt;$L$1,对接源_02物料!$B624=""),0,IF(OR(N(对接源_02物料!$B624)&lt;$L$2,N(对接源_02物料!$B624)&gt;$L$3),0,1))</f>
        <v>0</v>
      </c>
      <c r="M1824" s="1" t="n">
        <f aca="false">IF(OR($M$1="",对接源_02物料!$C624="",对接源_02物料!$C624&lt;&gt;$M$1,对接源_02物料!$B624=""),0,IF(OR(N(对接源_02物料!$B624)&lt;$M$2,N(对接源_02物料!$B624)&gt;$M$3),0,1))</f>
        <v>0</v>
      </c>
      <c r="N1824" s="1" t="n">
        <f aca="false">IF(OR($N$1="",对接源_02物料!$C624="",对接源_02物料!$C624&lt;&gt;$N$1,对接源_02物料!$B624=""),0,IF(OR(N(对接源_02物料!$B624)&lt;$N$2,N(对接源_02物料!$B624)&gt;$N$3),0,1))</f>
        <v>0</v>
      </c>
      <c r="P1824" s="1" t="n">
        <f aca="false">IF(AND($K1824=1,AND(对接源_02物料!$X624="公司筐",N(对接源_02物料!$T624)&lt;&gt;0)),1,0)</f>
        <v>0</v>
      </c>
      <c r="Q1824" s="1" t="n">
        <f aca="false">N(Q1823)+$P1824</f>
        <v>13</v>
      </c>
      <c r="R1824" s="1" t="n">
        <f aca="false">IF(AND($K1824=1,AND(对接源_02物料!$X624="公司筐",N(对接源_02物料!$U624)&lt;&gt;0)),1,0)</f>
        <v>0</v>
      </c>
      <c r="S1824" s="1" t="n">
        <f aca="false">N(S1823)+$R1824</f>
        <v>5</v>
      </c>
      <c r="T1824" s="1" t="n">
        <f aca="false">IF(AND($K1824=1,AND(对接源_02物料!$X624="公司筐",N(对接源_02物料!$V624)&lt;&gt;0)),1,0)</f>
        <v>0</v>
      </c>
      <c r="U1824" s="1" t="n">
        <f aca="false">N(U1823)+$T1824</f>
        <v>28</v>
      </c>
      <c r="V1824" s="1" t="n">
        <f aca="false">IF(AND($L1824=1,AND(对接源_02物料!$X624="自备筐",N(对接源_02物料!$V624)&lt;&gt;0)),1,0)</f>
        <v>0</v>
      </c>
      <c r="W1824" s="1" t="n">
        <f aca="false">N(W1823)+$V1824</f>
        <v>7</v>
      </c>
      <c r="X1824" s="1" t="n">
        <f aca="false">IF(AND($L1824=1,AND(对接源_02物料!$X624="自备筐",N(对接源_02物料!$T624)&lt;&gt;0)),1,0)</f>
        <v>0</v>
      </c>
      <c r="Y1824" s="1" t="n">
        <f aca="false">N(Y1823)+$X1824</f>
        <v>0</v>
      </c>
      <c r="Z1824" s="1" t="n">
        <f aca="false">IF(AND($M1824=1,对接源_02物料!$D624="原料入库"),1,0)</f>
        <v>0</v>
      </c>
      <c r="AA1824" s="1" t="n">
        <f aca="false">N(AA1823)+$Z1824</f>
        <v>30</v>
      </c>
      <c r="AB1824" s="1" t="n">
        <f aca="false">IF(AND($M1824=1,LEFT(对接源_02物料!$D624,4)="原料出库"),1,0)</f>
        <v>0</v>
      </c>
      <c r="AC1824" s="1" t="n">
        <f aca="false">N(AC1823)+$AB1824</f>
        <v>19</v>
      </c>
      <c r="AD1824" s="1" t="n">
        <f aca="false">IF(AND($M1824=1,LEFT(对接源_02物料!$D624,4)="成品出库"),1,0)</f>
        <v>0</v>
      </c>
      <c r="AE1824" s="1" t="n">
        <f aca="false">N(AE1823)+$AD1824</f>
        <v>38</v>
      </c>
      <c r="AF1824" s="1" t="n">
        <f aca="false">IF(AND($N1824=1,AND(LEFT(对接源_02物料!$D624,4)="包装物料",N(对接源_02物料!$K624)&lt;&gt;0)),1,0)</f>
        <v>0</v>
      </c>
      <c r="AG1824" s="1" t="n">
        <f aca="false">N(AG1823)+$AF1824</f>
        <v>6</v>
      </c>
      <c r="AH1824" s="1" t="n">
        <f aca="false">IF(AND($N1824=1,AND(LEFT(对接源_02物料!$D624,3)="周转筐",N(对接源_02物料!$K624)&lt;&gt;0)),1,0)</f>
        <v>0</v>
      </c>
      <c r="AI1824" s="1" t="n">
        <f aca="false">N(AI1823)+$AH1824</f>
        <v>0</v>
      </c>
      <c r="AJ1824" s="1" t="n">
        <v>0</v>
      </c>
      <c r="AK1824" s="1" t="n">
        <f aca="false">N(AK1823)+$AJ1824</f>
        <v>3672</v>
      </c>
    </row>
    <row r="1825" customFormat="false" ht="13.5" hidden="false" customHeight="false" outlineLevel="0" collapsed="false">
      <c r="A1825" s="1" t="str">
        <f aca="false">IF(对接源_02物料!$C625="","",对接源_02物料!$C625)</f>
        <v/>
      </c>
      <c r="B1825" s="1" t="n">
        <f aca="false">IF(A1825="",0,IF(MATCH(A1825,$A$4:$A$2403,0)=ROW()-3,1,0))</f>
        <v>0</v>
      </c>
      <c r="C1825" s="1" t="n">
        <f aca="false">N(C1824)+B1825</f>
        <v>17</v>
      </c>
      <c r="K1825" s="1" t="n">
        <f aca="false">IF(OR($K$1="",对接源_02物料!$C625="",对接源_02物料!$C625&lt;&gt;$K$1,对接源_02物料!$B625=""),0,IF(OR(N(对接源_02物料!$B625)&lt;$K$2,N(对接源_02物料!$B625)&gt;$K$3),0,1))</f>
        <v>0</v>
      </c>
      <c r="L1825" s="1" t="n">
        <f aca="false">IF(OR($L$1="",对接源_02物料!$C625="",对接源_02物料!$C625&lt;&gt;$L$1,对接源_02物料!$B625=""),0,IF(OR(N(对接源_02物料!$B625)&lt;$L$2,N(对接源_02物料!$B625)&gt;$L$3),0,1))</f>
        <v>0</v>
      </c>
      <c r="M1825" s="1" t="n">
        <f aca="false">IF(OR($M$1="",对接源_02物料!$C625="",对接源_02物料!$C625&lt;&gt;$M$1,对接源_02物料!$B625=""),0,IF(OR(N(对接源_02物料!$B625)&lt;$M$2,N(对接源_02物料!$B625)&gt;$M$3),0,1))</f>
        <v>0</v>
      </c>
      <c r="N1825" s="1" t="n">
        <f aca="false">IF(OR($N$1="",对接源_02物料!$C625="",对接源_02物料!$C625&lt;&gt;$N$1,对接源_02物料!$B625=""),0,IF(OR(N(对接源_02物料!$B625)&lt;$N$2,N(对接源_02物料!$B625)&gt;$N$3),0,1))</f>
        <v>0</v>
      </c>
      <c r="P1825" s="1" t="n">
        <f aca="false">IF(AND($K1825=1,AND(对接源_02物料!$X625="公司筐",N(对接源_02物料!$T625)&lt;&gt;0)),1,0)</f>
        <v>0</v>
      </c>
      <c r="Q1825" s="1" t="n">
        <f aca="false">N(Q1824)+$P1825</f>
        <v>13</v>
      </c>
      <c r="R1825" s="1" t="n">
        <f aca="false">IF(AND($K1825=1,AND(对接源_02物料!$X625="公司筐",N(对接源_02物料!$U625)&lt;&gt;0)),1,0)</f>
        <v>0</v>
      </c>
      <c r="S1825" s="1" t="n">
        <f aca="false">N(S1824)+$R1825</f>
        <v>5</v>
      </c>
      <c r="T1825" s="1" t="n">
        <f aca="false">IF(AND($K1825=1,AND(对接源_02物料!$X625="公司筐",N(对接源_02物料!$V625)&lt;&gt;0)),1,0)</f>
        <v>0</v>
      </c>
      <c r="U1825" s="1" t="n">
        <f aca="false">N(U1824)+$T1825</f>
        <v>28</v>
      </c>
      <c r="V1825" s="1" t="n">
        <f aca="false">IF(AND($L1825=1,AND(对接源_02物料!$X625="自备筐",N(对接源_02物料!$V625)&lt;&gt;0)),1,0)</f>
        <v>0</v>
      </c>
      <c r="W1825" s="1" t="n">
        <f aca="false">N(W1824)+$V1825</f>
        <v>7</v>
      </c>
      <c r="X1825" s="1" t="n">
        <f aca="false">IF(AND($L1825=1,AND(对接源_02物料!$X625="自备筐",N(对接源_02物料!$T625)&lt;&gt;0)),1,0)</f>
        <v>0</v>
      </c>
      <c r="Y1825" s="1" t="n">
        <f aca="false">N(Y1824)+$X1825</f>
        <v>0</v>
      </c>
      <c r="Z1825" s="1" t="n">
        <f aca="false">IF(AND($M1825=1,对接源_02物料!$D625="原料入库"),1,0)</f>
        <v>0</v>
      </c>
      <c r="AA1825" s="1" t="n">
        <f aca="false">N(AA1824)+$Z1825</f>
        <v>30</v>
      </c>
      <c r="AB1825" s="1" t="n">
        <f aca="false">IF(AND($M1825=1,LEFT(对接源_02物料!$D625,4)="原料出库"),1,0)</f>
        <v>0</v>
      </c>
      <c r="AC1825" s="1" t="n">
        <f aca="false">N(AC1824)+$AB1825</f>
        <v>19</v>
      </c>
      <c r="AD1825" s="1" t="n">
        <f aca="false">IF(AND($M1825=1,LEFT(对接源_02物料!$D625,4)="成品出库"),1,0)</f>
        <v>0</v>
      </c>
      <c r="AE1825" s="1" t="n">
        <f aca="false">N(AE1824)+$AD1825</f>
        <v>38</v>
      </c>
      <c r="AF1825" s="1" t="n">
        <f aca="false">IF(AND($N1825=1,AND(LEFT(对接源_02物料!$D625,4)="包装物料",N(对接源_02物料!$K625)&lt;&gt;0)),1,0)</f>
        <v>0</v>
      </c>
      <c r="AG1825" s="1" t="n">
        <f aca="false">N(AG1824)+$AF1825</f>
        <v>6</v>
      </c>
      <c r="AH1825" s="1" t="n">
        <f aca="false">IF(AND($N1825=1,AND(LEFT(对接源_02物料!$D625,3)="周转筐",N(对接源_02物料!$K625)&lt;&gt;0)),1,0)</f>
        <v>0</v>
      </c>
      <c r="AI1825" s="1" t="n">
        <f aca="false">N(AI1824)+$AH1825</f>
        <v>0</v>
      </c>
      <c r="AJ1825" s="1" t="n">
        <v>0</v>
      </c>
      <c r="AK1825" s="1" t="n">
        <f aca="false">N(AK1824)+$AJ1825</f>
        <v>3672</v>
      </c>
    </row>
    <row r="1826" customFormat="false" ht="13.5" hidden="false" customHeight="false" outlineLevel="0" collapsed="false">
      <c r="A1826" s="1" t="str">
        <f aca="false">IF(对接源_02物料!$C626="","",对接源_02物料!$C626)</f>
        <v/>
      </c>
      <c r="B1826" s="1" t="n">
        <f aca="false">IF(A1826="",0,IF(MATCH(A1826,$A$4:$A$2403,0)=ROW()-3,1,0))</f>
        <v>0</v>
      </c>
      <c r="C1826" s="1" t="n">
        <f aca="false">N(C1825)+B1826</f>
        <v>17</v>
      </c>
      <c r="K1826" s="1" t="n">
        <f aca="false">IF(OR($K$1="",对接源_02物料!$C626="",对接源_02物料!$C626&lt;&gt;$K$1,对接源_02物料!$B626=""),0,IF(OR(N(对接源_02物料!$B626)&lt;$K$2,N(对接源_02物料!$B626)&gt;$K$3),0,1))</f>
        <v>0</v>
      </c>
      <c r="L1826" s="1" t="n">
        <f aca="false">IF(OR($L$1="",对接源_02物料!$C626="",对接源_02物料!$C626&lt;&gt;$L$1,对接源_02物料!$B626=""),0,IF(OR(N(对接源_02物料!$B626)&lt;$L$2,N(对接源_02物料!$B626)&gt;$L$3),0,1))</f>
        <v>0</v>
      </c>
      <c r="M1826" s="1" t="n">
        <f aca="false">IF(OR($M$1="",对接源_02物料!$C626="",对接源_02物料!$C626&lt;&gt;$M$1,对接源_02物料!$B626=""),0,IF(OR(N(对接源_02物料!$B626)&lt;$M$2,N(对接源_02物料!$B626)&gt;$M$3),0,1))</f>
        <v>0</v>
      </c>
      <c r="N1826" s="1" t="n">
        <f aca="false">IF(OR($N$1="",对接源_02物料!$C626="",对接源_02物料!$C626&lt;&gt;$N$1,对接源_02物料!$B626=""),0,IF(OR(N(对接源_02物料!$B626)&lt;$N$2,N(对接源_02物料!$B626)&gt;$N$3),0,1))</f>
        <v>0</v>
      </c>
      <c r="P1826" s="1" t="n">
        <f aca="false">IF(AND($K1826=1,AND(对接源_02物料!$X626="公司筐",N(对接源_02物料!$T626)&lt;&gt;0)),1,0)</f>
        <v>0</v>
      </c>
      <c r="Q1826" s="1" t="n">
        <f aca="false">N(Q1825)+$P1826</f>
        <v>13</v>
      </c>
      <c r="R1826" s="1" t="n">
        <f aca="false">IF(AND($K1826=1,AND(对接源_02物料!$X626="公司筐",N(对接源_02物料!$U626)&lt;&gt;0)),1,0)</f>
        <v>0</v>
      </c>
      <c r="S1826" s="1" t="n">
        <f aca="false">N(S1825)+$R1826</f>
        <v>5</v>
      </c>
      <c r="T1826" s="1" t="n">
        <f aca="false">IF(AND($K1826=1,AND(对接源_02物料!$X626="公司筐",N(对接源_02物料!$V626)&lt;&gt;0)),1,0)</f>
        <v>0</v>
      </c>
      <c r="U1826" s="1" t="n">
        <f aca="false">N(U1825)+$T1826</f>
        <v>28</v>
      </c>
      <c r="V1826" s="1" t="n">
        <f aca="false">IF(AND($L1826=1,AND(对接源_02物料!$X626="自备筐",N(对接源_02物料!$V626)&lt;&gt;0)),1,0)</f>
        <v>0</v>
      </c>
      <c r="W1826" s="1" t="n">
        <f aca="false">N(W1825)+$V1826</f>
        <v>7</v>
      </c>
      <c r="X1826" s="1" t="n">
        <f aca="false">IF(AND($L1826=1,AND(对接源_02物料!$X626="自备筐",N(对接源_02物料!$T626)&lt;&gt;0)),1,0)</f>
        <v>0</v>
      </c>
      <c r="Y1826" s="1" t="n">
        <f aca="false">N(Y1825)+$X1826</f>
        <v>0</v>
      </c>
      <c r="Z1826" s="1" t="n">
        <f aca="false">IF(AND($M1826=1,对接源_02物料!$D626="原料入库"),1,0)</f>
        <v>0</v>
      </c>
      <c r="AA1826" s="1" t="n">
        <f aca="false">N(AA1825)+$Z1826</f>
        <v>30</v>
      </c>
      <c r="AB1826" s="1" t="n">
        <f aca="false">IF(AND($M1826=1,LEFT(对接源_02物料!$D626,4)="原料出库"),1,0)</f>
        <v>0</v>
      </c>
      <c r="AC1826" s="1" t="n">
        <f aca="false">N(AC1825)+$AB1826</f>
        <v>19</v>
      </c>
      <c r="AD1826" s="1" t="n">
        <f aca="false">IF(AND($M1826=1,LEFT(对接源_02物料!$D626,4)="成品出库"),1,0)</f>
        <v>0</v>
      </c>
      <c r="AE1826" s="1" t="n">
        <f aca="false">N(AE1825)+$AD1826</f>
        <v>38</v>
      </c>
      <c r="AF1826" s="1" t="n">
        <f aca="false">IF(AND($N1826=1,AND(LEFT(对接源_02物料!$D626,4)="包装物料",N(对接源_02物料!$K626)&lt;&gt;0)),1,0)</f>
        <v>0</v>
      </c>
      <c r="AG1826" s="1" t="n">
        <f aca="false">N(AG1825)+$AF1826</f>
        <v>6</v>
      </c>
      <c r="AH1826" s="1" t="n">
        <f aca="false">IF(AND($N1826=1,AND(LEFT(对接源_02物料!$D626,3)="周转筐",N(对接源_02物料!$K626)&lt;&gt;0)),1,0)</f>
        <v>0</v>
      </c>
      <c r="AI1826" s="1" t="n">
        <f aca="false">N(AI1825)+$AH1826</f>
        <v>0</v>
      </c>
      <c r="AJ1826" s="1" t="n">
        <v>0</v>
      </c>
      <c r="AK1826" s="1" t="n">
        <f aca="false">N(AK1825)+$AJ1826</f>
        <v>3672</v>
      </c>
    </row>
    <row r="1827" customFormat="false" ht="13.5" hidden="false" customHeight="false" outlineLevel="0" collapsed="false">
      <c r="A1827" s="1" t="str">
        <f aca="false">IF(对接源_02物料!$C627="","",对接源_02物料!$C627)</f>
        <v/>
      </c>
      <c r="B1827" s="1" t="n">
        <f aca="false">IF(A1827="",0,IF(MATCH(A1827,$A$4:$A$2403,0)=ROW()-3,1,0))</f>
        <v>0</v>
      </c>
      <c r="C1827" s="1" t="n">
        <f aca="false">N(C1826)+B1827</f>
        <v>17</v>
      </c>
      <c r="K1827" s="1" t="n">
        <f aca="false">IF(OR($K$1="",对接源_02物料!$C627="",对接源_02物料!$C627&lt;&gt;$K$1,对接源_02物料!$B627=""),0,IF(OR(N(对接源_02物料!$B627)&lt;$K$2,N(对接源_02物料!$B627)&gt;$K$3),0,1))</f>
        <v>0</v>
      </c>
      <c r="L1827" s="1" t="n">
        <f aca="false">IF(OR($L$1="",对接源_02物料!$C627="",对接源_02物料!$C627&lt;&gt;$L$1,对接源_02物料!$B627=""),0,IF(OR(N(对接源_02物料!$B627)&lt;$L$2,N(对接源_02物料!$B627)&gt;$L$3),0,1))</f>
        <v>0</v>
      </c>
      <c r="M1827" s="1" t="n">
        <f aca="false">IF(OR($M$1="",对接源_02物料!$C627="",对接源_02物料!$C627&lt;&gt;$M$1,对接源_02物料!$B627=""),0,IF(OR(N(对接源_02物料!$B627)&lt;$M$2,N(对接源_02物料!$B627)&gt;$M$3),0,1))</f>
        <v>0</v>
      </c>
      <c r="N1827" s="1" t="n">
        <f aca="false">IF(OR($N$1="",对接源_02物料!$C627="",对接源_02物料!$C627&lt;&gt;$N$1,对接源_02物料!$B627=""),0,IF(OR(N(对接源_02物料!$B627)&lt;$N$2,N(对接源_02物料!$B627)&gt;$N$3),0,1))</f>
        <v>0</v>
      </c>
      <c r="P1827" s="1" t="n">
        <f aca="false">IF(AND($K1827=1,AND(对接源_02物料!$X627="公司筐",N(对接源_02物料!$T627)&lt;&gt;0)),1,0)</f>
        <v>0</v>
      </c>
      <c r="Q1827" s="1" t="n">
        <f aca="false">N(Q1826)+$P1827</f>
        <v>13</v>
      </c>
      <c r="R1827" s="1" t="n">
        <f aca="false">IF(AND($K1827=1,AND(对接源_02物料!$X627="公司筐",N(对接源_02物料!$U627)&lt;&gt;0)),1,0)</f>
        <v>0</v>
      </c>
      <c r="S1827" s="1" t="n">
        <f aca="false">N(S1826)+$R1827</f>
        <v>5</v>
      </c>
      <c r="T1827" s="1" t="n">
        <f aca="false">IF(AND($K1827=1,AND(对接源_02物料!$X627="公司筐",N(对接源_02物料!$V627)&lt;&gt;0)),1,0)</f>
        <v>0</v>
      </c>
      <c r="U1827" s="1" t="n">
        <f aca="false">N(U1826)+$T1827</f>
        <v>28</v>
      </c>
      <c r="V1827" s="1" t="n">
        <f aca="false">IF(AND($L1827=1,AND(对接源_02物料!$X627="自备筐",N(对接源_02物料!$V627)&lt;&gt;0)),1,0)</f>
        <v>0</v>
      </c>
      <c r="W1827" s="1" t="n">
        <f aca="false">N(W1826)+$V1827</f>
        <v>7</v>
      </c>
      <c r="X1827" s="1" t="n">
        <f aca="false">IF(AND($L1827=1,AND(对接源_02物料!$X627="自备筐",N(对接源_02物料!$T627)&lt;&gt;0)),1,0)</f>
        <v>0</v>
      </c>
      <c r="Y1827" s="1" t="n">
        <f aca="false">N(Y1826)+$X1827</f>
        <v>0</v>
      </c>
      <c r="Z1827" s="1" t="n">
        <f aca="false">IF(AND($M1827=1,对接源_02物料!$D627="原料入库"),1,0)</f>
        <v>0</v>
      </c>
      <c r="AA1827" s="1" t="n">
        <f aca="false">N(AA1826)+$Z1827</f>
        <v>30</v>
      </c>
      <c r="AB1827" s="1" t="n">
        <f aca="false">IF(AND($M1827=1,LEFT(对接源_02物料!$D627,4)="原料出库"),1,0)</f>
        <v>0</v>
      </c>
      <c r="AC1827" s="1" t="n">
        <f aca="false">N(AC1826)+$AB1827</f>
        <v>19</v>
      </c>
      <c r="AD1827" s="1" t="n">
        <f aca="false">IF(AND($M1827=1,LEFT(对接源_02物料!$D627,4)="成品出库"),1,0)</f>
        <v>0</v>
      </c>
      <c r="AE1827" s="1" t="n">
        <f aca="false">N(AE1826)+$AD1827</f>
        <v>38</v>
      </c>
      <c r="AF1827" s="1" t="n">
        <f aca="false">IF(AND($N1827=1,AND(LEFT(对接源_02物料!$D627,4)="包装物料",N(对接源_02物料!$K627)&lt;&gt;0)),1,0)</f>
        <v>0</v>
      </c>
      <c r="AG1827" s="1" t="n">
        <f aca="false">N(AG1826)+$AF1827</f>
        <v>6</v>
      </c>
      <c r="AH1827" s="1" t="n">
        <f aca="false">IF(AND($N1827=1,AND(LEFT(对接源_02物料!$D627,3)="周转筐",N(对接源_02物料!$K627)&lt;&gt;0)),1,0)</f>
        <v>0</v>
      </c>
      <c r="AI1827" s="1" t="n">
        <f aca="false">N(AI1826)+$AH1827</f>
        <v>0</v>
      </c>
      <c r="AJ1827" s="1" t="n">
        <v>0</v>
      </c>
      <c r="AK1827" s="1" t="n">
        <f aca="false">N(AK1826)+$AJ1827</f>
        <v>3672</v>
      </c>
    </row>
    <row r="1828" customFormat="false" ht="13.5" hidden="false" customHeight="false" outlineLevel="0" collapsed="false">
      <c r="A1828" s="1" t="str">
        <f aca="false">IF(对接源_02物料!$C628="","",对接源_02物料!$C628)</f>
        <v/>
      </c>
      <c r="B1828" s="1" t="n">
        <f aca="false">IF(A1828="",0,IF(MATCH(A1828,$A$4:$A$2403,0)=ROW()-3,1,0))</f>
        <v>0</v>
      </c>
      <c r="C1828" s="1" t="n">
        <f aca="false">N(C1827)+B1828</f>
        <v>17</v>
      </c>
      <c r="K1828" s="1" t="n">
        <f aca="false">IF(OR($K$1="",对接源_02物料!$C628="",对接源_02物料!$C628&lt;&gt;$K$1,对接源_02物料!$B628=""),0,IF(OR(N(对接源_02物料!$B628)&lt;$K$2,N(对接源_02物料!$B628)&gt;$K$3),0,1))</f>
        <v>0</v>
      </c>
      <c r="L1828" s="1" t="n">
        <f aca="false">IF(OR($L$1="",对接源_02物料!$C628="",对接源_02物料!$C628&lt;&gt;$L$1,对接源_02物料!$B628=""),0,IF(OR(N(对接源_02物料!$B628)&lt;$L$2,N(对接源_02物料!$B628)&gt;$L$3),0,1))</f>
        <v>0</v>
      </c>
      <c r="M1828" s="1" t="n">
        <f aca="false">IF(OR($M$1="",对接源_02物料!$C628="",对接源_02物料!$C628&lt;&gt;$M$1,对接源_02物料!$B628=""),0,IF(OR(N(对接源_02物料!$B628)&lt;$M$2,N(对接源_02物料!$B628)&gt;$M$3),0,1))</f>
        <v>0</v>
      </c>
      <c r="N1828" s="1" t="n">
        <f aca="false">IF(OR($N$1="",对接源_02物料!$C628="",对接源_02物料!$C628&lt;&gt;$N$1,对接源_02物料!$B628=""),0,IF(OR(N(对接源_02物料!$B628)&lt;$N$2,N(对接源_02物料!$B628)&gt;$N$3),0,1))</f>
        <v>0</v>
      </c>
      <c r="P1828" s="1" t="n">
        <f aca="false">IF(AND($K1828=1,AND(对接源_02物料!$X628="公司筐",N(对接源_02物料!$T628)&lt;&gt;0)),1,0)</f>
        <v>0</v>
      </c>
      <c r="Q1828" s="1" t="n">
        <f aca="false">N(Q1827)+$P1828</f>
        <v>13</v>
      </c>
      <c r="R1828" s="1" t="n">
        <f aca="false">IF(AND($K1828=1,AND(对接源_02物料!$X628="公司筐",N(对接源_02物料!$U628)&lt;&gt;0)),1,0)</f>
        <v>0</v>
      </c>
      <c r="S1828" s="1" t="n">
        <f aca="false">N(S1827)+$R1828</f>
        <v>5</v>
      </c>
      <c r="T1828" s="1" t="n">
        <f aca="false">IF(AND($K1828=1,AND(对接源_02物料!$X628="公司筐",N(对接源_02物料!$V628)&lt;&gt;0)),1,0)</f>
        <v>0</v>
      </c>
      <c r="U1828" s="1" t="n">
        <f aca="false">N(U1827)+$T1828</f>
        <v>28</v>
      </c>
      <c r="V1828" s="1" t="n">
        <f aca="false">IF(AND($L1828=1,AND(对接源_02物料!$X628="自备筐",N(对接源_02物料!$V628)&lt;&gt;0)),1,0)</f>
        <v>0</v>
      </c>
      <c r="W1828" s="1" t="n">
        <f aca="false">N(W1827)+$V1828</f>
        <v>7</v>
      </c>
      <c r="X1828" s="1" t="n">
        <f aca="false">IF(AND($L1828=1,AND(对接源_02物料!$X628="自备筐",N(对接源_02物料!$T628)&lt;&gt;0)),1,0)</f>
        <v>0</v>
      </c>
      <c r="Y1828" s="1" t="n">
        <f aca="false">N(Y1827)+$X1828</f>
        <v>0</v>
      </c>
      <c r="Z1828" s="1" t="n">
        <f aca="false">IF(AND($M1828=1,对接源_02物料!$D628="原料入库"),1,0)</f>
        <v>0</v>
      </c>
      <c r="AA1828" s="1" t="n">
        <f aca="false">N(AA1827)+$Z1828</f>
        <v>30</v>
      </c>
      <c r="AB1828" s="1" t="n">
        <f aca="false">IF(AND($M1828=1,LEFT(对接源_02物料!$D628,4)="原料出库"),1,0)</f>
        <v>0</v>
      </c>
      <c r="AC1828" s="1" t="n">
        <f aca="false">N(AC1827)+$AB1828</f>
        <v>19</v>
      </c>
      <c r="AD1828" s="1" t="n">
        <f aca="false">IF(AND($M1828=1,LEFT(对接源_02物料!$D628,4)="成品出库"),1,0)</f>
        <v>0</v>
      </c>
      <c r="AE1828" s="1" t="n">
        <f aca="false">N(AE1827)+$AD1828</f>
        <v>38</v>
      </c>
      <c r="AF1828" s="1" t="n">
        <f aca="false">IF(AND($N1828=1,AND(LEFT(对接源_02物料!$D628,4)="包装物料",N(对接源_02物料!$K628)&lt;&gt;0)),1,0)</f>
        <v>0</v>
      </c>
      <c r="AG1828" s="1" t="n">
        <f aca="false">N(AG1827)+$AF1828</f>
        <v>6</v>
      </c>
      <c r="AH1828" s="1" t="n">
        <f aca="false">IF(AND($N1828=1,AND(LEFT(对接源_02物料!$D628,3)="周转筐",N(对接源_02物料!$K628)&lt;&gt;0)),1,0)</f>
        <v>0</v>
      </c>
      <c r="AI1828" s="1" t="n">
        <f aca="false">N(AI1827)+$AH1828</f>
        <v>0</v>
      </c>
      <c r="AJ1828" s="1" t="n">
        <v>0</v>
      </c>
      <c r="AK1828" s="1" t="n">
        <f aca="false">N(AK1827)+$AJ1828</f>
        <v>3672</v>
      </c>
    </row>
    <row r="1829" customFormat="false" ht="13.5" hidden="false" customHeight="false" outlineLevel="0" collapsed="false">
      <c r="A1829" s="1" t="str">
        <f aca="false">IF(对接源_02物料!$C629="","",对接源_02物料!$C629)</f>
        <v/>
      </c>
      <c r="B1829" s="1" t="n">
        <f aca="false">IF(A1829="",0,IF(MATCH(A1829,$A$4:$A$2403,0)=ROW()-3,1,0))</f>
        <v>0</v>
      </c>
      <c r="C1829" s="1" t="n">
        <f aca="false">N(C1828)+B1829</f>
        <v>17</v>
      </c>
      <c r="K1829" s="1" t="n">
        <f aca="false">IF(OR($K$1="",对接源_02物料!$C629="",对接源_02物料!$C629&lt;&gt;$K$1,对接源_02物料!$B629=""),0,IF(OR(N(对接源_02物料!$B629)&lt;$K$2,N(对接源_02物料!$B629)&gt;$K$3),0,1))</f>
        <v>0</v>
      </c>
      <c r="L1829" s="1" t="n">
        <f aca="false">IF(OR($L$1="",对接源_02物料!$C629="",对接源_02物料!$C629&lt;&gt;$L$1,对接源_02物料!$B629=""),0,IF(OR(N(对接源_02物料!$B629)&lt;$L$2,N(对接源_02物料!$B629)&gt;$L$3),0,1))</f>
        <v>0</v>
      </c>
      <c r="M1829" s="1" t="n">
        <f aca="false">IF(OR($M$1="",对接源_02物料!$C629="",对接源_02物料!$C629&lt;&gt;$M$1,对接源_02物料!$B629=""),0,IF(OR(N(对接源_02物料!$B629)&lt;$M$2,N(对接源_02物料!$B629)&gt;$M$3),0,1))</f>
        <v>0</v>
      </c>
      <c r="N1829" s="1" t="n">
        <f aca="false">IF(OR($N$1="",对接源_02物料!$C629="",对接源_02物料!$C629&lt;&gt;$N$1,对接源_02物料!$B629=""),0,IF(OR(N(对接源_02物料!$B629)&lt;$N$2,N(对接源_02物料!$B629)&gt;$N$3),0,1))</f>
        <v>0</v>
      </c>
      <c r="P1829" s="1" t="n">
        <f aca="false">IF(AND($K1829=1,AND(对接源_02物料!$X629="公司筐",N(对接源_02物料!$T629)&lt;&gt;0)),1,0)</f>
        <v>0</v>
      </c>
      <c r="Q1829" s="1" t="n">
        <f aca="false">N(Q1828)+$P1829</f>
        <v>13</v>
      </c>
      <c r="R1829" s="1" t="n">
        <f aca="false">IF(AND($K1829=1,AND(对接源_02物料!$X629="公司筐",N(对接源_02物料!$U629)&lt;&gt;0)),1,0)</f>
        <v>0</v>
      </c>
      <c r="S1829" s="1" t="n">
        <f aca="false">N(S1828)+$R1829</f>
        <v>5</v>
      </c>
      <c r="T1829" s="1" t="n">
        <f aca="false">IF(AND($K1829=1,AND(对接源_02物料!$X629="公司筐",N(对接源_02物料!$V629)&lt;&gt;0)),1,0)</f>
        <v>0</v>
      </c>
      <c r="U1829" s="1" t="n">
        <f aca="false">N(U1828)+$T1829</f>
        <v>28</v>
      </c>
      <c r="V1829" s="1" t="n">
        <f aca="false">IF(AND($L1829=1,AND(对接源_02物料!$X629="自备筐",N(对接源_02物料!$V629)&lt;&gt;0)),1,0)</f>
        <v>0</v>
      </c>
      <c r="W1829" s="1" t="n">
        <f aca="false">N(W1828)+$V1829</f>
        <v>7</v>
      </c>
      <c r="X1829" s="1" t="n">
        <f aca="false">IF(AND($L1829=1,AND(对接源_02物料!$X629="自备筐",N(对接源_02物料!$T629)&lt;&gt;0)),1,0)</f>
        <v>0</v>
      </c>
      <c r="Y1829" s="1" t="n">
        <f aca="false">N(Y1828)+$X1829</f>
        <v>0</v>
      </c>
      <c r="Z1829" s="1" t="n">
        <f aca="false">IF(AND($M1829=1,对接源_02物料!$D629="原料入库"),1,0)</f>
        <v>0</v>
      </c>
      <c r="AA1829" s="1" t="n">
        <f aca="false">N(AA1828)+$Z1829</f>
        <v>30</v>
      </c>
      <c r="AB1829" s="1" t="n">
        <f aca="false">IF(AND($M1829=1,LEFT(对接源_02物料!$D629,4)="原料出库"),1,0)</f>
        <v>0</v>
      </c>
      <c r="AC1829" s="1" t="n">
        <f aca="false">N(AC1828)+$AB1829</f>
        <v>19</v>
      </c>
      <c r="AD1829" s="1" t="n">
        <f aca="false">IF(AND($M1829=1,LEFT(对接源_02物料!$D629,4)="成品出库"),1,0)</f>
        <v>0</v>
      </c>
      <c r="AE1829" s="1" t="n">
        <f aca="false">N(AE1828)+$AD1829</f>
        <v>38</v>
      </c>
      <c r="AF1829" s="1" t="n">
        <f aca="false">IF(AND($N1829=1,AND(LEFT(对接源_02物料!$D629,4)="包装物料",N(对接源_02物料!$K629)&lt;&gt;0)),1,0)</f>
        <v>0</v>
      </c>
      <c r="AG1829" s="1" t="n">
        <f aca="false">N(AG1828)+$AF1829</f>
        <v>6</v>
      </c>
      <c r="AH1829" s="1" t="n">
        <f aca="false">IF(AND($N1829=1,AND(LEFT(对接源_02物料!$D629,3)="周转筐",N(对接源_02物料!$K629)&lt;&gt;0)),1,0)</f>
        <v>0</v>
      </c>
      <c r="AI1829" s="1" t="n">
        <f aca="false">N(AI1828)+$AH1829</f>
        <v>0</v>
      </c>
      <c r="AJ1829" s="1" t="n">
        <v>0</v>
      </c>
      <c r="AK1829" s="1" t="n">
        <f aca="false">N(AK1828)+$AJ1829</f>
        <v>3672</v>
      </c>
    </row>
    <row r="1830" customFormat="false" ht="13.5" hidden="false" customHeight="false" outlineLevel="0" collapsed="false">
      <c r="A1830" s="1" t="str">
        <f aca="false">IF(对接源_02物料!$C630="","",对接源_02物料!$C630)</f>
        <v/>
      </c>
      <c r="B1830" s="1" t="n">
        <f aca="false">IF(A1830="",0,IF(MATCH(A1830,$A$4:$A$2403,0)=ROW()-3,1,0))</f>
        <v>0</v>
      </c>
      <c r="C1830" s="1" t="n">
        <f aca="false">N(C1829)+B1830</f>
        <v>17</v>
      </c>
      <c r="K1830" s="1" t="n">
        <f aca="false">IF(OR($K$1="",对接源_02物料!$C630="",对接源_02物料!$C630&lt;&gt;$K$1,对接源_02物料!$B630=""),0,IF(OR(N(对接源_02物料!$B630)&lt;$K$2,N(对接源_02物料!$B630)&gt;$K$3),0,1))</f>
        <v>0</v>
      </c>
      <c r="L1830" s="1" t="n">
        <f aca="false">IF(OR($L$1="",对接源_02物料!$C630="",对接源_02物料!$C630&lt;&gt;$L$1,对接源_02物料!$B630=""),0,IF(OR(N(对接源_02物料!$B630)&lt;$L$2,N(对接源_02物料!$B630)&gt;$L$3),0,1))</f>
        <v>0</v>
      </c>
      <c r="M1830" s="1" t="n">
        <f aca="false">IF(OR($M$1="",对接源_02物料!$C630="",对接源_02物料!$C630&lt;&gt;$M$1,对接源_02物料!$B630=""),0,IF(OR(N(对接源_02物料!$B630)&lt;$M$2,N(对接源_02物料!$B630)&gt;$M$3),0,1))</f>
        <v>0</v>
      </c>
      <c r="N1830" s="1" t="n">
        <f aca="false">IF(OR($N$1="",对接源_02物料!$C630="",对接源_02物料!$C630&lt;&gt;$N$1,对接源_02物料!$B630=""),0,IF(OR(N(对接源_02物料!$B630)&lt;$N$2,N(对接源_02物料!$B630)&gt;$N$3),0,1))</f>
        <v>0</v>
      </c>
      <c r="P1830" s="1" t="n">
        <f aca="false">IF(AND($K1830=1,AND(对接源_02物料!$X630="公司筐",N(对接源_02物料!$T630)&lt;&gt;0)),1,0)</f>
        <v>0</v>
      </c>
      <c r="Q1830" s="1" t="n">
        <f aca="false">N(Q1829)+$P1830</f>
        <v>13</v>
      </c>
      <c r="R1830" s="1" t="n">
        <f aca="false">IF(AND($K1830=1,AND(对接源_02物料!$X630="公司筐",N(对接源_02物料!$U630)&lt;&gt;0)),1,0)</f>
        <v>0</v>
      </c>
      <c r="S1830" s="1" t="n">
        <f aca="false">N(S1829)+$R1830</f>
        <v>5</v>
      </c>
      <c r="T1830" s="1" t="n">
        <f aca="false">IF(AND($K1830=1,AND(对接源_02物料!$X630="公司筐",N(对接源_02物料!$V630)&lt;&gt;0)),1,0)</f>
        <v>0</v>
      </c>
      <c r="U1830" s="1" t="n">
        <f aca="false">N(U1829)+$T1830</f>
        <v>28</v>
      </c>
      <c r="V1830" s="1" t="n">
        <f aca="false">IF(AND($L1830=1,AND(对接源_02物料!$X630="自备筐",N(对接源_02物料!$V630)&lt;&gt;0)),1,0)</f>
        <v>0</v>
      </c>
      <c r="W1830" s="1" t="n">
        <f aca="false">N(W1829)+$V1830</f>
        <v>7</v>
      </c>
      <c r="X1830" s="1" t="n">
        <f aca="false">IF(AND($L1830=1,AND(对接源_02物料!$X630="自备筐",N(对接源_02物料!$T630)&lt;&gt;0)),1,0)</f>
        <v>0</v>
      </c>
      <c r="Y1830" s="1" t="n">
        <f aca="false">N(Y1829)+$X1830</f>
        <v>0</v>
      </c>
      <c r="Z1830" s="1" t="n">
        <f aca="false">IF(AND($M1830=1,对接源_02物料!$D630="原料入库"),1,0)</f>
        <v>0</v>
      </c>
      <c r="AA1830" s="1" t="n">
        <f aca="false">N(AA1829)+$Z1830</f>
        <v>30</v>
      </c>
      <c r="AB1830" s="1" t="n">
        <f aca="false">IF(AND($M1830=1,LEFT(对接源_02物料!$D630,4)="原料出库"),1,0)</f>
        <v>0</v>
      </c>
      <c r="AC1830" s="1" t="n">
        <f aca="false">N(AC1829)+$AB1830</f>
        <v>19</v>
      </c>
      <c r="AD1830" s="1" t="n">
        <f aca="false">IF(AND($M1830=1,LEFT(对接源_02物料!$D630,4)="成品出库"),1,0)</f>
        <v>0</v>
      </c>
      <c r="AE1830" s="1" t="n">
        <f aca="false">N(AE1829)+$AD1830</f>
        <v>38</v>
      </c>
      <c r="AF1830" s="1" t="n">
        <f aca="false">IF(AND($N1830=1,AND(LEFT(对接源_02物料!$D630,4)="包装物料",N(对接源_02物料!$K630)&lt;&gt;0)),1,0)</f>
        <v>0</v>
      </c>
      <c r="AG1830" s="1" t="n">
        <f aca="false">N(AG1829)+$AF1830</f>
        <v>6</v>
      </c>
      <c r="AH1830" s="1" t="n">
        <f aca="false">IF(AND($N1830=1,AND(LEFT(对接源_02物料!$D630,3)="周转筐",N(对接源_02物料!$K630)&lt;&gt;0)),1,0)</f>
        <v>0</v>
      </c>
      <c r="AI1830" s="1" t="n">
        <f aca="false">N(AI1829)+$AH1830</f>
        <v>0</v>
      </c>
      <c r="AJ1830" s="1" t="n">
        <v>0</v>
      </c>
      <c r="AK1830" s="1" t="n">
        <f aca="false">N(AK1829)+$AJ1830</f>
        <v>3672</v>
      </c>
    </row>
    <row r="1831" customFormat="false" ht="13.5" hidden="false" customHeight="false" outlineLevel="0" collapsed="false">
      <c r="A1831" s="1" t="str">
        <f aca="false">IF(对接源_02物料!$C631="","",对接源_02物料!$C631)</f>
        <v/>
      </c>
      <c r="B1831" s="1" t="n">
        <f aca="false">IF(A1831="",0,IF(MATCH(A1831,$A$4:$A$2403,0)=ROW()-3,1,0))</f>
        <v>0</v>
      </c>
      <c r="C1831" s="1" t="n">
        <f aca="false">N(C1830)+B1831</f>
        <v>17</v>
      </c>
      <c r="K1831" s="1" t="n">
        <f aca="false">IF(OR($K$1="",对接源_02物料!$C631="",对接源_02物料!$C631&lt;&gt;$K$1,对接源_02物料!$B631=""),0,IF(OR(N(对接源_02物料!$B631)&lt;$K$2,N(对接源_02物料!$B631)&gt;$K$3),0,1))</f>
        <v>0</v>
      </c>
      <c r="L1831" s="1" t="n">
        <f aca="false">IF(OR($L$1="",对接源_02物料!$C631="",对接源_02物料!$C631&lt;&gt;$L$1,对接源_02物料!$B631=""),0,IF(OR(N(对接源_02物料!$B631)&lt;$L$2,N(对接源_02物料!$B631)&gt;$L$3),0,1))</f>
        <v>0</v>
      </c>
      <c r="M1831" s="1" t="n">
        <f aca="false">IF(OR($M$1="",对接源_02物料!$C631="",对接源_02物料!$C631&lt;&gt;$M$1,对接源_02物料!$B631=""),0,IF(OR(N(对接源_02物料!$B631)&lt;$M$2,N(对接源_02物料!$B631)&gt;$M$3),0,1))</f>
        <v>0</v>
      </c>
      <c r="N1831" s="1" t="n">
        <f aca="false">IF(OR($N$1="",对接源_02物料!$C631="",对接源_02物料!$C631&lt;&gt;$N$1,对接源_02物料!$B631=""),0,IF(OR(N(对接源_02物料!$B631)&lt;$N$2,N(对接源_02物料!$B631)&gt;$N$3),0,1))</f>
        <v>0</v>
      </c>
      <c r="P1831" s="1" t="n">
        <f aca="false">IF(AND($K1831=1,AND(对接源_02物料!$X631="公司筐",N(对接源_02物料!$T631)&lt;&gt;0)),1,0)</f>
        <v>0</v>
      </c>
      <c r="Q1831" s="1" t="n">
        <f aca="false">N(Q1830)+$P1831</f>
        <v>13</v>
      </c>
      <c r="R1831" s="1" t="n">
        <f aca="false">IF(AND($K1831=1,AND(对接源_02物料!$X631="公司筐",N(对接源_02物料!$U631)&lt;&gt;0)),1,0)</f>
        <v>0</v>
      </c>
      <c r="S1831" s="1" t="n">
        <f aca="false">N(S1830)+$R1831</f>
        <v>5</v>
      </c>
      <c r="T1831" s="1" t="n">
        <f aca="false">IF(AND($K1831=1,AND(对接源_02物料!$X631="公司筐",N(对接源_02物料!$V631)&lt;&gt;0)),1,0)</f>
        <v>0</v>
      </c>
      <c r="U1831" s="1" t="n">
        <f aca="false">N(U1830)+$T1831</f>
        <v>28</v>
      </c>
      <c r="V1831" s="1" t="n">
        <f aca="false">IF(AND($L1831=1,AND(对接源_02物料!$X631="自备筐",N(对接源_02物料!$V631)&lt;&gt;0)),1,0)</f>
        <v>0</v>
      </c>
      <c r="W1831" s="1" t="n">
        <f aca="false">N(W1830)+$V1831</f>
        <v>7</v>
      </c>
      <c r="X1831" s="1" t="n">
        <f aca="false">IF(AND($L1831=1,AND(对接源_02物料!$X631="自备筐",N(对接源_02物料!$T631)&lt;&gt;0)),1,0)</f>
        <v>0</v>
      </c>
      <c r="Y1831" s="1" t="n">
        <f aca="false">N(Y1830)+$X1831</f>
        <v>0</v>
      </c>
      <c r="Z1831" s="1" t="n">
        <f aca="false">IF(AND($M1831=1,对接源_02物料!$D631="原料入库"),1,0)</f>
        <v>0</v>
      </c>
      <c r="AA1831" s="1" t="n">
        <f aca="false">N(AA1830)+$Z1831</f>
        <v>30</v>
      </c>
      <c r="AB1831" s="1" t="n">
        <f aca="false">IF(AND($M1831=1,LEFT(对接源_02物料!$D631,4)="原料出库"),1,0)</f>
        <v>0</v>
      </c>
      <c r="AC1831" s="1" t="n">
        <f aca="false">N(AC1830)+$AB1831</f>
        <v>19</v>
      </c>
      <c r="AD1831" s="1" t="n">
        <f aca="false">IF(AND($M1831=1,LEFT(对接源_02物料!$D631,4)="成品出库"),1,0)</f>
        <v>0</v>
      </c>
      <c r="AE1831" s="1" t="n">
        <f aca="false">N(AE1830)+$AD1831</f>
        <v>38</v>
      </c>
      <c r="AF1831" s="1" t="n">
        <f aca="false">IF(AND($N1831=1,AND(LEFT(对接源_02物料!$D631,4)="包装物料",N(对接源_02物料!$K631)&lt;&gt;0)),1,0)</f>
        <v>0</v>
      </c>
      <c r="AG1831" s="1" t="n">
        <f aca="false">N(AG1830)+$AF1831</f>
        <v>6</v>
      </c>
      <c r="AH1831" s="1" t="n">
        <f aca="false">IF(AND($N1831=1,AND(LEFT(对接源_02物料!$D631,3)="周转筐",N(对接源_02物料!$K631)&lt;&gt;0)),1,0)</f>
        <v>0</v>
      </c>
      <c r="AI1831" s="1" t="n">
        <f aca="false">N(AI1830)+$AH1831</f>
        <v>0</v>
      </c>
      <c r="AJ1831" s="1" t="n">
        <v>0</v>
      </c>
      <c r="AK1831" s="1" t="n">
        <f aca="false">N(AK1830)+$AJ1831</f>
        <v>3672</v>
      </c>
    </row>
    <row r="1832" customFormat="false" ht="13.5" hidden="false" customHeight="false" outlineLevel="0" collapsed="false">
      <c r="A1832" s="1" t="str">
        <f aca="false">IF(对接源_02物料!$C632="","",对接源_02物料!$C632)</f>
        <v/>
      </c>
      <c r="B1832" s="1" t="n">
        <f aca="false">IF(A1832="",0,IF(MATCH(A1832,$A$4:$A$2403,0)=ROW()-3,1,0))</f>
        <v>0</v>
      </c>
      <c r="C1832" s="1" t="n">
        <f aca="false">N(C1831)+B1832</f>
        <v>17</v>
      </c>
      <c r="K1832" s="1" t="n">
        <f aca="false">IF(OR($K$1="",对接源_02物料!$C632="",对接源_02物料!$C632&lt;&gt;$K$1,对接源_02物料!$B632=""),0,IF(OR(N(对接源_02物料!$B632)&lt;$K$2,N(对接源_02物料!$B632)&gt;$K$3),0,1))</f>
        <v>0</v>
      </c>
      <c r="L1832" s="1" t="n">
        <f aca="false">IF(OR($L$1="",对接源_02物料!$C632="",对接源_02物料!$C632&lt;&gt;$L$1,对接源_02物料!$B632=""),0,IF(OR(N(对接源_02物料!$B632)&lt;$L$2,N(对接源_02物料!$B632)&gt;$L$3),0,1))</f>
        <v>0</v>
      </c>
      <c r="M1832" s="1" t="n">
        <f aca="false">IF(OR($M$1="",对接源_02物料!$C632="",对接源_02物料!$C632&lt;&gt;$M$1,对接源_02物料!$B632=""),0,IF(OR(N(对接源_02物料!$B632)&lt;$M$2,N(对接源_02物料!$B632)&gt;$M$3),0,1))</f>
        <v>0</v>
      </c>
      <c r="N1832" s="1" t="n">
        <f aca="false">IF(OR($N$1="",对接源_02物料!$C632="",对接源_02物料!$C632&lt;&gt;$N$1,对接源_02物料!$B632=""),0,IF(OR(N(对接源_02物料!$B632)&lt;$N$2,N(对接源_02物料!$B632)&gt;$N$3),0,1))</f>
        <v>0</v>
      </c>
      <c r="P1832" s="1" t="n">
        <f aca="false">IF(AND($K1832=1,AND(对接源_02物料!$X632="公司筐",N(对接源_02物料!$T632)&lt;&gt;0)),1,0)</f>
        <v>0</v>
      </c>
      <c r="Q1832" s="1" t="n">
        <f aca="false">N(Q1831)+$P1832</f>
        <v>13</v>
      </c>
      <c r="R1832" s="1" t="n">
        <f aca="false">IF(AND($K1832=1,AND(对接源_02物料!$X632="公司筐",N(对接源_02物料!$U632)&lt;&gt;0)),1,0)</f>
        <v>0</v>
      </c>
      <c r="S1832" s="1" t="n">
        <f aca="false">N(S1831)+$R1832</f>
        <v>5</v>
      </c>
      <c r="T1832" s="1" t="n">
        <f aca="false">IF(AND($K1832=1,AND(对接源_02物料!$X632="公司筐",N(对接源_02物料!$V632)&lt;&gt;0)),1,0)</f>
        <v>0</v>
      </c>
      <c r="U1832" s="1" t="n">
        <f aca="false">N(U1831)+$T1832</f>
        <v>28</v>
      </c>
      <c r="V1832" s="1" t="n">
        <f aca="false">IF(AND($L1832=1,AND(对接源_02物料!$X632="自备筐",N(对接源_02物料!$V632)&lt;&gt;0)),1,0)</f>
        <v>0</v>
      </c>
      <c r="W1832" s="1" t="n">
        <f aca="false">N(W1831)+$V1832</f>
        <v>7</v>
      </c>
      <c r="X1832" s="1" t="n">
        <f aca="false">IF(AND($L1832=1,AND(对接源_02物料!$X632="自备筐",N(对接源_02物料!$T632)&lt;&gt;0)),1,0)</f>
        <v>0</v>
      </c>
      <c r="Y1832" s="1" t="n">
        <f aca="false">N(Y1831)+$X1832</f>
        <v>0</v>
      </c>
      <c r="Z1832" s="1" t="n">
        <f aca="false">IF(AND($M1832=1,对接源_02物料!$D632="原料入库"),1,0)</f>
        <v>0</v>
      </c>
      <c r="AA1832" s="1" t="n">
        <f aca="false">N(AA1831)+$Z1832</f>
        <v>30</v>
      </c>
      <c r="AB1832" s="1" t="n">
        <f aca="false">IF(AND($M1832=1,LEFT(对接源_02物料!$D632,4)="原料出库"),1,0)</f>
        <v>0</v>
      </c>
      <c r="AC1832" s="1" t="n">
        <f aca="false">N(AC1831)+$AB1832</f>
        <v>19</v>
      </c>
      <c r="AD1832" s="1" t="n">
        <f aca="false">IF(AND($M1832=1,LEFT(对接源_02物料!$D632,4)="成品出库"),1,0)</f>
        <v>0</v>
      </c>
      <c r="AE1832" s="1" t="n">
        <f aca="false">N(AE1831)+$AD1832</f>
        <v>38</v>
      </c>
      <c r="AF1832" s="1" t="n">
        <f aca="false">IF(AND($N1832=1,AND(LEFT(对接源_02物料!$D632,4)="包装物料",N(对接源_02物料!$K632)&lt;&gt;0)),1,0)</f>
        <v>0</v>
      </c>
      <c r="AG1832" s="1" t="n">
        <f aca="false">N(AG1831)+$AF1832</f>
        <v>6</v>
      </c>
      <c r="AH1832" s="1" t="n">
        <f aca="false">IF(AND($N1832=1,AND(LEFT(对接源_02物料!$D632,3)="周转筐",N(对接源_02物料!$K632)&lt;&gt;0)),1,0)</f>
        <v>0</v>
      </c>
      <c r="AI1832" s="1" t="n">
        <f aca="false">N(AI1831)+$AH1832</f>
        <v>0</v>
      </c>
      <c r="AJ1832" s="1" t="n">
        <v>0</v>
      </c>
      <c r="AK1832" s="1" t="n">
        <f aca="false">N(AK1831)+$AJ1832</f>
        <v>3672</v>
      </c>
    </row>
    <row r="1833" customFormat="false" ht="13.5" hidden="false" customHeight="false" outlineLevel="0" collapsed="false">
      <c r="A1833" s="1" t="str">
        <f aca="false">IF(对接源_02物料!$C633="","",对接源_02物料!$C633)</f>
        <v/>
      </c>
      <c r="B1833" s="1" t="n">
        <f aca="false">IF(A1833="",0,IF(MATCH(A1833,$A$4:$A$2403,0)=ROW()-3,1,0))</f>
        <v>0</v>
      </c>
      <c r="C1833" s="1" t="n">
        <f aca="false">N(C1832)+B1833</f>
        <v>17</v>
      </c>
      <c r="K1833" s="1" t="n">
        <f aca="false">IF(OR($K$1="",对接源_02物料!$C633="",对接源_02物料!$C633&lt;&gt;$K$1,对接源_02物料!$B633=""),0,IF(OR(N(对接源_02物料!$B633)&lt;$K$2,N(对接源_02物料!$B633)&gt;$K$3),0,1))</f>
        <v>0</v>
      </c>
      <c r="L1833" s="1" t="n">
        <f aca="false">IF(OR($L$1="",对接源_02物料!$C633="",对接源_02物料!$C633&lt;&gt;$L$1,对接源_02物料!$B633=""),0,IF(OR(N(对接源_02物料!$B633)&lt;$L$2,N(对接源_02物料!$B633)&gt;$L$3),0,1))</f>
        <v>0</v>
      </c>
      <c r="M1833" s="1" t="n">
        <f aca="false">IF(OR($M$1="",对接源_02物料!$C633="",对接源_02物料!$C633&lt;&gt;$M$1,对接源_02物料!$B633=""),0,IF(OR(N(对接源_02物料!$B633)&lt;$M$2,N(对接源_02物料!$B633)&gt;$M$3),0,1))</f>
        <v>0</v>
      </c>
      <c r="N1833" s="1" t="n">
        <f aca="false">IF(OR($N$1="",对接源_02物料!$C633="",对接源_02物料!$C633&lt;&gt;$N$1,对接源_02物料!$B633=""),0,IF(OR(N(对接源_02物料!$B633)&lt;$N$2,N(对接源_02物料!$B633)&gt;$N$3),0,1))</f>
        <v>0</v>
      </c>
      <c r="P1833" s="1" t="n">
        <f aca="false">IF(AND($K1833=1,AND(对接源_02物料!$X633="公司筐",N(对接源_02物料!$T633)&lt;&gt;0)),1,0)</f>
        <v>0</v>
      </c>
      <c r="Q1833" s="1" t="n">
        <f aca="false">N(Q1832)+$P1833</f>
        <v>13</v>
      </c>
      <c r="R1833" s="1" t="n">
        <f aca="false">IF(AND($K1833=1,AND(对接源_02物料!$X633="公司筐",N(对接源_02物料!$U633)&lt;&gt;0)),1,0)</f>
        <v>0</v>
      </c>
      <c r="S1833" s="1" t="n">
        <f aca="false">N(S1832)+$R1833</f>
        <v>5</v>
      </c>
      <c r="T1833" s="1" t="n">
        <f aca="false">IF(AND($K1833=1,AND(对接源_02物料!$X633="公司筐",N(对接源_02物料!$V633)&lt;&gt;0)),1,0)</f>
        <v>0</v>
      </c>
      <c r="U1833" s="1" t="n">
        <f aca="false">N(U1832)+$T1833</f>
        <v>28</v>
      </c>
      <c r="V1833" s="1" t="n">
        <f aca="false">IF(AND($L1833=1,AND(对接源_02物料!$X633="自备筐",N(对接源_02物料!$V633)&lt;&gt;0)),1,0)</f>
        <v>0</v>
      </c>
      <c r="W1833" s="1" t="n">
        <f aca="false">N(W1832)+$V1833</f>
        <v>7</v>
      </c>
      <c r="X1833" s="1" t="n">
        <f aca="false">IF(AND($L1833=1,AND(对接源_02物料!$X633="自备筐",N(对接源_02物料!$T633)&lt;&gt;0)),1,0)</f>
        <v>0</v>
      </c>
      <c r="Y1833" s="1" t="n">
        <f aca="false">N(Y1832)+$X1833</f>
        <v>0</v>
      </c>
      <c r="Z1833" s="1" t="n">
        <f aca="false">IF(AND($M1833=1,对接源_02物料!$D633="原料入库"),1,0)</f>
        <v>0</v>
      </c>
      <c r="AA1833" s="1" t="n">
        <f aca="false">N(AA1832)+$Z1833</f>
        <v>30</v>
      </c>
      <c r="AB1833" s="1" t="n">
        <f aca="false">IF(AND($M1833=1,LEFT(对接源_02物料!$D633,4)="原料出库"),1,0)</f>
        <v>0</v>
      </c>
      <c r="AC1833" s="1" t="n">
        <f aca="false">N(AC1832)+$AB1833</f>
        <v>19</v>
      </c>
      <c r="AD1833" s="1" t="n">
        <f aca="false">IF(AND($M1833=1,LEFT(对接源_02物料!$D633,4)="成品出库"),1,0)</f>
        <v>0</v>
      </c>
      <c r="AE1833" s="1" t="n">
        <f aca="false">N(AE1832)+$AD1833</f>
        <v>38</v>
      </c>
      <c r="AF1833" s="1" t="n">
        <f aca="false">IF(AND($N1833=1,AND(LEFT(对接源_02物料!$D633,4)="包装物料",N(对接源_02物料!$K633)&lt;&gt;0)),1,0)</f>
        <v>0</v>
      </c>
      <c r="AG1833" s="1" t="n">
        <f aca="false">N(AG1832)+$AF1833</f>
        <v>6</v>
      </c>
      <c r="AH1833" s="1" t="n">
        <f aca="false">IF(AND($N1833=1,AND(LEFT(对接源_02物料!$D633,3)="周转筐",N(对接源_02物料!$K633)&lt;&gt;0)),1,0)</f>
        <v>0</v>
      </c>
      <c r="AI1833" s="1" t="n">
        <f aca="false">N(AI1832)+$AH1833</f>
        <v>0</v>
      </c>
      <c r="AJ1833" s="1" t="n">
        <v>0</v>
      </c>
      <c r="AK1833" s="1" t="n">
        <f aca="false">N(AK1832)+$AJ1833</f>
        <v>3672</v>
      </c>
    </row>
    <row r="1834" customFormat="false" ht="13.5" hidden="false" customHeight="false" outlineLevel="0" collapsed="false">
      <c r="A1834" s="1" t="str">
        <f aca="false">IF(对接源_02物料!$C634="","",对接源_02物料!$C634)</f>
        <v/>
      </c>
      <c r="B1834" s="1" t="n">
        <f aca="false">IF(A1834="",0,IF(MATCH(A1834,$A$4:$A$2403,0)=ROW()-3,1,0))</f>
        <v>0</v>
      </c>
      <c r="C1834" s="1" t="n">
        <f aca="false">N(C1833)+B1834</f>
        <v>17</v>
      </c>
      <c r="K1834" s="1" t="n">
        <f aca="false">IF(OR($K$1="",对接源_02物料!$C634="",对接源_02物料!$C634&lt;&gt;$K$1,对接源_02物料!$B634=""),0,IF(OR(N(对接源_02物料!$B634)&lt;$K$2,N(对接源_02物料!$B634)&gt;$K$3),0,1))</f>
        <v>0</v>
      </c>
      <c r="L1834" s="1" t="n">
        <f aca="false">IF(OR($L$1="",对接源_02物料!$C634="",对接源_02物料!$C634&lt;&gt;$L$1,对接源_02物料!$B634=""),0,IF(OR(N(对接源_02物料!$B634)&lt;$L$2,N(对接源_02物料!$B634)&gt;$L$3),0,1))</f>
        <v>0</v>
      </c>
      <c r="M1834" s="1" t="n">
        <f aca="false">IF(OR($M$1="",对接源_02物料!$C634="",对接源_02物料!$C634&lt;&gt;$M$1,对接源_02物料!$B634=""),0,IF(OR(N(对接源_02物料!$B634)&lt;$M$2,N(对接源_02物料!$B634)&gt;$M$3),0,1))</f>
        <v>0</v>
      </c>
      <c r="N1834" s="1" t="n">
        <f aca="false">IF(OR($N$1="",对接源_02物料!$C634="",对接源_02物料!$C634&lt;&gt;$N$1,对接源_02物料!$B634=""),0,IF(OR(N(对接源_02物料!$B634)&lt;$N$2,N(对接源_02物料!$B634)&gt;$N$3),0,1))</f>
        <v>0</v>
      </c>
      <c r="P1834" s="1" t="n">
        <f aca="false">IF(AND($K1834=1,AND(对接源_02物料!$X634="公司筐",N(对接源_02物料!$T634)&lt;&gt;0)),1,0)</f>
        <v>0</v>
      </c>
      <c r="Q1834" s="1" t="n">
        <f aca="false">N(Q1833)+$P1834</f>
        <v>13</v>
      </c>
      <c r="R1834" s="1" t="n">
        <f aca="false">IF(AND($K1834=1,AND(对接源_02物料!$X634="公司筐",N(对接源_02物料!$U634)&lt;&gt;0)),1,0)</f>
        <v>0</v>
      </c>
      <c r="S1834" s="1" t="n">
        <f aca="false">N(S1833)+$R1834</f>
        <v>5</v>
      </c>
      <c r="T1834" s="1" t="n">
        <f aca="false">IF(AND($K1834=1,AND(对接源_02物料!$X634="公司筐",N(对接源_02物料!$V634)&lt;&gt;0)),1,0)</f>
        <v>0</v>
      </c>
      <c r="U1834" s="1" t="n">
        <f aca="false">N(U1833)+$T1834</f>
        <v>28</v>
      </c>
      <c r="V1834" s="1" t="n">
        <f aca="false">IF(AND($L1834=1,AND(对接源_02物料!$X634="自备筐",N(对接源_02物料!$V634)&lt;&gt;0)),1,0)</f>
        <v>0</v>
      </c>
      <c r="W1834" s="1" t="n">
        <f aca="false">N(W1833)+$V1834</f>
        <v>7</v>
      </c>
      <c r="X1834" s="1" t="n">
        <f aca="false">IF(AND($L1834=1,AND(对接源_02物料!$X634="自备筐",N(对接源_02物料!$T634)&lt;&gt;0)),1,0)</f>
        <v>0</v>
      </c>
      <c r="Y1834" s="1" t="n">
        <f aca="false">N(Y1833)+$X1834</f>
        <v>0</v>
      </c>
      <c r="Z1834" s="1" t="n">
        <f aca="false">IF(AND($M1834=1,对接源_02物料!$D634="原料入库"),1,0)</f>
        <v>0</v>
      </c>
      <c r="AA1834" s="1" t="n">
        <f aca="false">N(AA1833)+$Z1834</f>
        <v>30</v>
      </c>
      <c r="AB1834" s="1" t="n">
        <f aca="false">IF(AND($M1834=1,LEFT(对接源_02物料!$D634,4)="原料出库"),1,0)</f>
        <v>0</v>
      </c>
      <c r="AC1834" s="1" t="n">
        <f aca="false">N(AC1833)+$AB1834</f>
        <v>19</v>
      </c>
      <c r="AD1834" s="1" t="n">
        <f aca="false">IF(AND($M1834=1,LEFT(对接源_02物料!$D634,4)="成品出库"),1,0)</f>
        <v>0</v>
      </c>
      <c r="AE1834" s="1" t="n">
        <f aca="false">N(AE1833)+$AD1834</f>
        <v>38</v>
      </c>
      <c r="AF1834" s="1" t="n">
        <f aca="false">IF(AND($N1834=1,AND(LEFT(对接源_02物料!$D634,4)="包装物料",N(对接源_02物料!$K634)&lt;&gt;0)),1,0)</f>
        <v>0</v>
      </c>
      <c r="AG1834" s="1" t="n">
        <f aca="false">N(AG1833)+$AF1834</f>
        <v>6</v>
      </c>
      <c r="AH1834" s="1" t="n">
        <f aca="false">IF(AND($N1834=1,AND(LEFT(对接源_02物料!$D634,3)="周转筐",N(对接源_02物料!$K634)&lt;&gt;0)),1,0)</f>
        <v>0</v>
      </c>
      <c r="AI1834" s="1" t="n">
        <f aca="false">N(AI1833)+$AH1834</f>
        <v>0</v>
      </c>
      <c r="AJ1834" s="1" t="n">
        <v>0</v>
      </c>
      <c r="AK1834" s="1" t="n">
        <f aca="false">N(AK1833)+$AJ1834</f>
        <v>3672</v>
      </c>
    </row>
    <row r="1835" customFormat="false" ht="13.5" hidden="false" customHeight="false" outlineLevel="0" collapsed="false">
      <c r="A1835" s="1" t="str">
        <f aca="false">IF(对接源_02物料!$C635="","",对接源_02物料!$C635)</f>
        <v/>
      </c>
      <c r="B1835" s="1" t="n">
        <f aca="false">IF(A1835="",0,IF(MATCH(A1835,$A$4:$A$2403,0)=ROW()-3,1,0))</f>
        <v>0</v>
      </c>
      <c r="C1835" s="1" t="n">
        <f aca="false">N(C1834)+B1835</f>
        <v>17</v>
      </c>
      <c r="K1835" s="1" t="n">
        <f aca="false">IF(OR($K$1="",对接源_02物料!$C635="",对接源_02物料!$C635&lt;&gt;$K$1,对接源_02物料!$B635=""),0,IF(OR(N(对接源_02物料!$B635)&lt;$K$2,N(对接源_02物料!$B635)&gt;$K$3),0,1))</f>
        <v>0</v>
      </c>
      <c r="L1835" s="1" t="n">
        <f aca="false">IF(OR($L$1="",对接源_02物料!$C635="",对接源_02物料!$C635&lt;&gt;$L$1,对接源_02物料!$B635=""),0,IF(OR(N(对接源_02物料!$B635)&lt;$L$2,N(对接源_02物料!$B635)&gt;$L$3),0,1))</f>
        <v>0</v>
      </c>
      <c r="M1835" s="1" t="n">
        <f aca="false">IF(OR($M$1="",对接源_02物料!$C635="",对接源_02物料!$C635&lt;&gt;$M$1,对接源_02物料!$B635=""),0,IF(OR(N(对接源_02物料!$B635)&lt;$M$2,N(对接源_02物料!$B635)&gt;$M$3),0,1))</f>
        <v>0</v>
      </c>
      <c r="N1835" s="1" t="n">
        <f aca="false">IF(OR($N$1="",对接源_02物料!$C635="",对接源_02物料!$C635&lt;&gt;$N$1,对接源_02物料!$B635=""),0,IF(OR(N(对接源_02物料!$B635)&lt;$N$2,N(对接源_02物料!$B635)&gt;$N$3),0,1))</f>
        <v>0</v>
      </c>
      <c r="P1835" s="1" t="n">
        <f aca="false">IF(AND($K1835=1,AND(对接源_02物料!$X635="公司筐",N(对接源_02物料!$T635)&lt;&gt;0)),1,0)</f>
        <v>0</v>
      </c>
      <c r="Q1835" s="1" t="n">
        <f aca="false">N(Q1834)+$P1835</f>
        <v>13</v>
      </c>
      <c r="R1835" s="1" t="n">
        <f aca="false">IF(AND($K1835=1,AND(对接源_02物料!$X635="公司筐",N(对接源_02物料!$U635)&lt;&gt;0)),1,0)</f>
        <v>0</v>
      </c>
      <c r="S1835" s="1" t="n">
        <f aca="false">N(S1834)+$R1835</f>
        <v>5</v>
      </c>
      <c r="T1835" s="1" t="n">
        <f aca="false">IF(AND($K1835=1,AND(对接源_02物料!$X635="公司筐",N(对接源_02物料!$V635)&lt;&gt;0)),1,0)</f>
        <v>0</v>
      </c>
      <c r="U1835" s="1" t="n">
        <f aca="false">N(U1834)+$T1835</f>
        <v>28</v>
      </c>
      <c r="V1835" s="1" t="n">
        <f aca="false">IF(AND($L1835=1,AND(对接源_02物料!$X635="自备筐",N(对接源_02物料!$V635)&lt;&gt;0)),1,0)</f>
        <v>0</v>
      </c>
      <c r="W1835" s="1" t="n">
        <f aca="false">N(W1834)+$V1835</f>
        <v>7</v>
      </c>
      <c r="X1835" s="1" t="n">
        <f aca="false">IF(AND($L1835=1,AND(对接源_02物料!$X635="自备筐",N(对接源_02物料!$T635)&lt;&gt;0)),1,0)</f>
        <v>0</v>
      </c>
      <c r="Y1835" s="1" t="n">
        <f aca="false">N(Y1834)+$X1835</f>
        <v>0</v>
      </c>
      <c r="Z1835" s="1" t="n">
        <f aca="false">IF(AND($M1835=1,对接源_02物料!$D635="原料入库"),1,0)</f>
        <v>0</v>
      </c>
      <c r="AA1835" s="1" t="n">
        <f aca="false">N(AA1834)+$Z1835</f>
        <v>30</v>
      </c>
      <c r="AB1835" s="1" t="n">
        <f aca="false">IF(AND($M1835=1,LEFT(对接源_02物料!$D635,4)="原料出库"),1,0)</f>
        <v>0</v>
      </c>
      <c r="AC1835" s="1" t="n">
        <f aca="false">N(AC1834)+$AB1835</f>
        <v>19</v>
      </c>
      <c r="AD1835" s="1" t="n">
        <f aca="false">IF(AND($M1835=1,LEFT(对接源_02物料!$D635,4)="成品出库"),1,0)</f>
        <v>0</v>
      </c>
      <c r="AE1835" s="1" t="n">
        <f aca="false">N(AE1834)+$AD1835</f>
        <v>38</v>
      </c>
      <c r="AF1835" s="1" t="n">
        <f aca="false">IF(AND($N1835=1,AND(LEFT(对接源_02物料!$D635,4)="包装物料",N(对接源_02物料!$K635)&lt;&gt;0)),1,0)</f>
        <v>0</v>
      </c>
      <c r="AG1835" s="1" t="n">
        <f aca="false">N(AG1834)+$AF1835</f>
        <v>6</v>
      </c>
      <c r="AH1835" s="1" t="n">
        <f aca="false">IF(AND($N1835=1,AND(LEFT(对接源_02物料!$D635,3)="周转筐",N(对接源_02物料!$K635)&lt;&gt;0)),1,0)</f>
        <v>0</v>
      </c>
      <c r="AI1835" s="1" t="n">
        <f aca="false">N(AI1834)+$AH1835</f>
        <v>0</v>
      </c>
      <c r="AJ1835" s="1" t="n">
        <v>0</v>
      </c>
      <c r="AK1835" s="1" t="n">
        <f aca="false">N(AK1834)+$AJ1835</f>
        <v>3672</v>
      </c>
    </row>
    <row r="1836" customFormat="false" ht="13.5" hidden="false" customHeight="false" outlineLevel="0" collapsed="false">
      <c r="A1836" s="1" t="str">
        <f aca="false">IF(对接源_02物料!$C636="","",对接源_02物料!$C636)</f>
        <v/>
      </c>
      <c r="B1836" s="1" t="n">
        <f aca="false">IF(A1836="",0,IF(MATCH(A1836,$A$4:$A$2403,0)=ROW()-3,1,0))</f>
        <v>0</v>
      </c>
      <c r="C1836" s="1" t="n">
        <f aca="false">N(C1835)+B1836</f>
        <v>17</v>
      </c>
      <c r="K1836" s="1" t="n">
        <f aca="false">IF(OR($K$1="",对接源_02物料!$C636="",对接源_02物料!$C636&lt;&gt;$K$1,对接源_02物料!$B636=""),0,IF(OR(N(对接源_02物料!$B636)&lt;$K$2,N(对接源_02物料!$B636)&gt;$K$3),0,1))</f>
        <v>0</v>
      </c>
      <c r="L1836" s="1" t="n">
        <f aca="false">IF(OR($L$1="",对接源_02物料!$C636="",对接源_02物料!$C636&lt;&gt;$L$1,对接源_02物料!$B636=""),0,IF(OR(N(对接源_02物料!$B636)&lt;$L$2,N(对接源_02物料!$B636)&gt;$L$3),0,1))</f>
        <v>0</v>
      </c>
      <c r="M1836" s="1" t="n">
        <f aca="false">IF(OR($M$1="",对接源_02物料!$C636="",对接源_02物料!$C636&lt;&gt;$M$1,对接源_02物料!$B636=""),0,IF(OR(N(对接源_02物料!$B636)&lt;$M$2,N(对接源_02物料!$B636)&gt;$M$3),0,1))</f>
        <v>0</v>
      </c>
      <c r="N1836" s="1" t="n">
        <f aca="false">IF(OR($N$1="",对接源_02物料!$C636="",对接源_02物料!$C636&lt;&gt;$N$1,对接源_02物料!$B636=""),0,IF(OR(N(对接源_02物料!$B636)&lt;$N$2,N(对接源_02物料!$B636)&gt;$N$3),0,1))</f>
        <v>0</v>
      </c>
      <c r="P1836" s="1" t="n">
        <f aca="false">IF(AND($K1836=1,AND(对接源_02物料!$X636="公司筐",N(对接源_02物料!$T636)&lt;&gt;0)),1,0)</f>
        <v>0</v>
      </c>
      <c r="Q1836" s="1" t="n">
        <f aca="false">N(Q1835)+$P1836</f>
        <v>13</v>
      </c>
      <c r="R1836" s="1" t="n">
        <f aca="false">IF(AND($K1836=1,AND(对接源_02物料!$X636="公司筐",N(对接源_02物料!$U636)&lt;&gt;0)),1,0)</f>
        <v>0</v>
      </c>
      <c r="S1836" s="1" t="n">
        <f aca="false">N(S1835)+$R1836</f>
        <v>5</v>
      </c>
      <c r="T1836" s="1" t="n">
        <f aca="false">IF(AND($K1836=1,AND(对接源_02物料!$X636="公司筐",N(对接源_02物料!$V636)&lt;&gt;0)),1,0)</f>
        <v>0</v>
      </c>
      <c r="U1836" s="1" t="n">
        <f aca="false">N(U1835)+$T1836</f>
        <v>28</v>
      </c>
      <c r="V1836" s="1" t="n">
        <f aca="false">IF(AND($L1836=1,AND(对接源_02物料!$X636="自备筐",N(对接源_02物料!$V636)&lt;&gt;0)),1,0)</f>
        <v>0</v>
      </c>
      <c r="W1836" s="1" t="n">
        <f aca="false">N(W1835)+$V1836</f>
        <v>7</v>
      </c>
      <c r="X1836" s="1" t="n">
        <f aca="false">IF(AND($L1836=1,AND(对接源_02物料!$X636="自备筐",N(对接源_02物料!$T636)&lt;&gt;0)),1,0)</f>
        <v>0</v>
      </c>
      <c r="Y1836" s="1" t="n">
        <f aca="false">N(Y1835)+$X1836</f>
        <v>0</v>
      </c>
      <c r="Z1836" s="1" t="n">
        <f aca="false">IF(AND($M1836=1,对接源_02物料!$D636="原料入库"),1,0)</f>
        <v>0</v>
      </c>
      <c r="AA1836" s="1" t="n">
        <f aca="false">N(AA1835)+$Z1836</f>
        <v>30</v>
      </c>
      <c r="AB1836" s="1" t="n">
        <f aca="false">IF(AND($M1836=1,LEFT(对接源_02物料!$D636,4)="原料出库"),1,0)</f>
        <v>0</v>
      </c>
      <c r="AC1836" s="1" t="n">
        <f aca="false">N(AC1835)+$AB1836</f>
        <v>19</v>
      </c>
      <c r="AD1836" s="1" t="n">
        <f aca="false">IF(AND($M1836=1,LEFT(对接源_02物料!$D636,4)="成品出库"),1,0)</f>
        <v>0</v>
      </c>
      <c r="AE1836" s="1" t="n">
        <f aca="false">N(AE1835)+$AD1836</f>
        <v>38</v>
      </c>
      <c r="AF1836" s="1" t="n">
        <f aca="false">IF(AND($N1836=1,AND(LEFT(对接源_02物料!$D636,4)="包装物料",N(对接源_02物料!$K636)&lt;&gt;0)),1,0)</f>
        <v>0</v>
      </c>
      <c r="AG1836" s="1" t="n">
        <f aca="false">N(AG1835)+$AF1836</f>
        <v>6</v>
      </c>
      <c r="AH1836" s="1" t="n">
        <f aca="false">IF(AND($N1836=1,AND(LEFT(对接源_02物料!$D636,3)="周转筐",N(对接源_02物料!$K636)&lt;&gt;0)),1,0)</f>
        <v>0</v>
      </c>
      <c r="AI1836" s="1" t="n">
        <f aca="false">N(AI1835)+$AH1836</f>
        <v>0</v>
      </c>
      <c r="AJ1836" s="1" t="n">
        <v>0</v>
      </c>
      <c r="AK1836" s="1" t="n">
        <f aca="false">N(AK1835)+$AJ1836</f>
        <v>3672</v>
      </c>
    </row>
    <row r="1837" customFormat="false" ht="13.5" hidden="false" customHeight="false" outlineLevel="0" collapsed="false">
      <c r="A1837" s="1" t="str">
        <f aca="false">IF(对接源_02物料!$C637="","",对接源_02物料!$C637)</f>
        <v/>
      </c>
      <c r="B1837" s="1" t="n">
        <f aca="false">IF(A1837="",0,IF(MATCH(A1837,$A$4:$A$2403,0)=ROW()-3,1,0))</f>
        <v>0</v>
      </c>
      <c r="C1837" s="1" t="n">
        <f aca="false">N(C1836)+B1837</f>
        <v>17</v>
      </c>
      <c r="K1837" s="1" t="n">
        <f aca="false">IF(OR($K$1="",对接源_02物料!$C637="",对接源_02物料!$C637&lt;&gt;$K$1,对接源_02物料!$B637=""),0,IF(OR(N(对接源_02物料!$B637)&lt;$K$2,N(对接源_02物料!$B637)&gt;$K$3),0,1))</f>
        <v>0</v>
      </c>
      <c r="L1837" s="1" t="n">
        <f aca="false">IF(OR($L$1="",对接源_02物料!$C637="",对接源_02物料!$C637&lt;&gt;$L$1,对接源_02物料!$B637=""),0,IF(OR(N(对接源_02物料!$B637)&lt;$L$2,N(对接源_02物料!$B637)&gt;$L$3),0,1))</f>
        <v>0</v>
      </c>
      <c r="M1837" s="1" t="n">
        <f aca="false">IF(OR($M$1="",对接源_02物料!$C637="",对接源_02物料!$C637&lt;&gt;$M$1,对接源_02物料!$B637=""),0,IF(OR(N(对接源_02物料!$B637)&lt;$M$2,N(对接源_02物料!$B637)&gt;$M$3),0,1))</f>
        <v>0</v>
      </c>
      <c r="N1837" s="1" t="n">
        <f aca="false">IF(OR($N$1="",对接源_02物料!$C637="",对接源_02物料!$C637&lt;&gt;$N$1,对接源_02物料!$B637=""),0,IF(OR(N(对接源_02物料!$B637)&lt;$N$2,N(对接源_02物料!$B637)&gt;$N$3),0,1))</f>
        <v>0</v>
      </c>
      <c r="P1837" s="1" t="n">
        <f aca="false">IF(AND($K1837=1,AND(对接源_02物料!$X637="公司筐",N(对接源_02物料!$T637)&lt;&gt;0)),1,0)</f>
        <v>0</v>
      </c>
      <c r="Q1837" s="1" t="n">
        <f aca="false">N(Q1836)+$P1837</f>
        <v>13</v>
      </c>
      <c r="R1837" s="1" t="n">
        <f aca="false">IF(AND($K1837=1,AND(对接源_02物料!$X637="公司筐",N(对接源_02物料!$U637)&lt;&gt;0)),1,0)</f>
        <v>0</v>
      </c>
      <c r="S1837" s="1" t="n">
        <f aca="false">N(S1836)+$R1837</f>
        <v>5</v>
      </c>
      <c r="T1837" s="1" t="n">
        <f aca="false">IF(AND($K1837=1,AND(对接源_02物料!$X637="公司筐",N(对接源_02物料!$V637)&lt;&gt;0)),1,0)</f>
        <v>0</v>
      </c>
      <c r="U1837" s="1" t="n">
        <f aca="false">N(U1836)+$T1837</f>
        <v>28</v>
      </c>
      <c r="V1837" s="1" t="n">
        <f aca="false">IF(AND($L1837=1,AND(对接源_02物料!$X637="自备筐",N(对接源_02物料!$V637)&lt;&gt;0)),1,0)</f>
        <v>0</v>
      </c>
      <c r="W1837" s="1" t="n">
        <f aca="false">N(W1836)+$V1837</f>
        <v>7</v>
      </c>
      <c r="X1837" s="1" t="n">
        <f aca="false">IF(AND($L1837=1,AND(对接源_02物料!$X637="自备筐",N(对接源_02物料!$T637)&lt;&gt;0)),1,0)</f>
        <v>0</v>
      </c>
      <c r="Y1837" s="1" t="n">
        <f aca="false">N(Y1836)+$X1837</f>
        <v>0</v>
      </c>
      <c r="Z1837" s="1" t="n">
        <f aca="false">IF(AND($M1837=1,对接源_02物料!$D637="原料入库"),1,0)</f>
        <v>0</v>
      </c>
      <c r="AA1837" s="1" t="n">
        <f aca="false">N(AA1836)+$Z1837</f>
        <v>30</v>
      </c>
      <c r="AB1837" s="1" t="n">
        <f aca="false">IF(AND($M1837=1,LEFT(对接源_02物料!$D637,4)="原料出库"),1,0)</f>
        <v>0</v>
      </c>
      <c r="AC1837" s="1" t="n">
        <f aca="false">N(AC1836)+$AB1837</f>
        <v>19</v>
      </c>
      <c r="AD1837" s="1" t="n">
        <f aca="false">IF(AND($M1837=1,LEFT(对接源_02物料!$D637,4)="成品出库"),1,0)</f>
        <v>0</v>
      </c>
      <c r="AE1837" s="1" t="n">
        <f aca="false">N(AE1836)+$AD1837</f>
        <v>38</v>
      </c>
      <c r="AF1837" s="1" t="n">
        <f aca="false">IF(AND($N1837=1,AND(LEFT(对接源_02物料!$D637,4)="包装物料",N(对接源_02物料!$K637)&lt;&gt;0)),1,0)</f>
        <v>0</v>
      </c>
      <c r="AG1837" s="1" t="n">
        <f aca="false">N(AG1836)+$AF1837</f>
        <v>6</v>
      </c>
      <c r="AH1837" s="1" t="n">
        <f aca="false">IF(AND($N1837=1,AND(LEFT(对接源_02物料!$D637,3)="周转筐",N(对接源_02物料!$K637)&lt;&gt;0)),1,0)</f>
        <v>0</v>
      </c>
      <c r="AI1837" s="1" t="n">
        <f aca="false">N(AI1836)+$AH1837</f>
        <v>0</v>
      </c>
      <c r="AJ1837" s="1" t="n">
        <v>0</v>
      </c>
      <c r="AK1837" s="1" t="n">
        <f aca="false">N(AK1836)+$AJ1837</f>
        <v>3672</v>
      </c>
    </row>
    <row r="1838" customFormat="false" ht="13.5" hidden="false" customHeight="false" outlineLevel="0" collapsed="false">
      <c r="A1838" s="1" t="str">
        <f aca="false">IF(对接源_02物料!$C638="","",对接源_02物料!$C638)</f>
        <v/>
      </c>
      <c r="B1838" s="1" t="n">
        <f aca="false">IF(A1838="",0,IF(MATCH(A1838,$A$4:$A$2403,0)=ROW()-3,1,0))</f>
        <v>0</v>
      </c>
      <c r="C1838" s="1" t="n">
        <f aca="false">N(C1837)+B1838</f>
        <v>17</v>
      </c>
      <c r="K1838" s="1" t="n">
        <f aca="false">IF(OR($K$1="",对接源_02物料!$C638="",对接源_02物料!$C638&lt;&gt;$K$1,对接源_02物料!$B638=""),0,IF(OR(N(对接源_02物料!$B638)&lt;$K$2,N(对接源_02物料!$B638)&gt;$K$3),0,1))</f>
        <v>0</v>
      </c>
      <c r="L1838" s="1" t="n">
        <f aca="false">IF(OR($L$1="",对接源_02物料!$C638="",对接源_02物料!$C638&lt;&gt;$L$1,对接源_02物料!$B638=""),0,IF(OR(N(对接源_02物料!$B638)&lt;$L$2,N(对接源_02物料!$B638)&gt;$L$3),0,1))</f>
        <v>0</v>
      </c>
      <c r="M1838" s="1" t="n">
        <f aca="false">IF(OR($M$1="",对接源_02物料!$C638="",对接源_02物料!$C638&lt;&gt;$M$1,对接源_02物料!$B638=""),0,IF(OR(N(对接源_02物料!$B638)&lt;$M$2,N(对接源_02物料!$B638)&gt;$M$3),0,1))</f>
        <v>0</v>
      </c>
      <c r="N1838" s="1" t="n">
        <f aca="false">IF(OR($N$1="",对接源_02物料!$C638="",对接源_02物料!$C638&lt;&gt;$N$1,对接源_02物料!$B638=""),0,IF(OR(N(对接源_02物料!$B638)&lt;$N$2,N(对接源_02物料!$B638)&gt;$N$3),0,1))</f>
        <v>0</v>
      </c>
      <c r="P1838" s="1" t="n">
        <f aca="false">IF(AND($K1838=1,AND(对接源_02物料!$X638="公司筐",N(对接源_02物料!$T638)&lt;&gt;0)),1,0)</f>
        <v>0</v>
      </c>
      <c r="Q1838" s="1" t="n">
        <f aca="false">N(Q1837)+$P1838</f>
        <v>13</v>
      </c>
      <c r="R1838" s="1" t="n">
        <f aca="false">IF(AND($K1838=1,AND(对接源_02物料!$X638="公司筐",N(对接源_02物料!$U638)&lt;&gt;0)),1,0)</f>
        <v>0</v>
      </c>
      <c r="S1838" s="1" t="n">
        <f aca="false">N(S1837)+$R1838</f>
        <v>5</v>
      </c>
      <c r="T1838" s="1" t="n">
        <f aca="false">IF(AND($K1838=1,AND(对接源_02物料!$X638="公司筐",N(对接源_02物料!$V638)&lt;&gt;0)),1,0)</f>
        <v>0</v>
      </c>
      <c r="U1838" s="1" t="n">
        <f aca="false">N(U1837)+$T1838</f>
        <v>28</v>
      </c>
      <c r="V1838" s="1" t="n">
        <f aca="false">IF(AND($L1838=1,AND(对接源_02物料!$X638="自备筐",N(对接源_02物料!$V638)&lt;&gt;0)),1,0)</f>
        <v>0</v>
      </c>
      <c r="W1838" s="1" t="n">
        <f aca="false">N(W1837)+$V1838</f>
        <v>7</v>
      </c>
      <c r="X1838" s="1" t="n">
        <f aca="false">IF(AND($L1838=1,AND(对接源_02物料!$X638="自备筐",N(对接源_02物料!$T638)&lt;&gt;0)),1,0)</f>
        <v>0</v>
      </c>
      <c r="Y1838" s="1" t="n">
        <f aca="false">N(Y1837)+$X1838</f>
        <v>0</v>
      </c>
      <c r="Z1838" s="1" t="n">
        <f aca="false">IF(AND($M1838=1,对接源_02物料!$D638="原料入库"),1,0)</f>
        <v>0</v>
      </c>
      <c r="AA1838" s="1" t="n">
        <f aca="false">N(AA1837)+$Z1838</f>
        <v>30</v>
      </c>
      <c r="AB1838" s="1" t="n">
        <f aca="false">IF(AND($M1838=1,LEFT(对接源_02物料!$D638,4)="原料出库"),1,0)</f>
        <v>0</v>
      </c>
      <c r="AC1838" s="1" t="n">
        <f aca="false">N(AC1837)+$AB1838</f>
        <v>19</v>
      </c>
      <c r="AD1838" s="1" t="n">
        <f aca="false">IF(AND($M1838=1,LEFT(对接源_02物料!$D638,4)="成品出库"),1,0)</f>
        <v>0</v>
      </c>
      <c r="AE1838" s="1" t="n">
        <f aca="false">N(AE1837)+$AD1838</f>
        <v>38</v>
      </c>
      <c r="AF1838" s="1" t="n">
        <f aca="false">IF(AND($N1838=1,AND(LEFT(对接源_02物料!$D638,4)="包装物料",N(对接源_02物料!$K638)&lt;&gt;0)),1,0)</f>
        <v>0</v>
      </c>
      <c r="AG1838" s="1" t="n">
        <f aca="false">N(AG1837)+$AF1838</f>
        <v>6</v>
      </c>
      <c r="AH1838" s="1" t="n">
        <f aca="false">IF(AND($N1838=1,AND(LEFT(对接源_02物料!$D638,3)="周转筐",N(对接源_02物料!$K638)&lt;&gt;0)),1,0)</f>
        <v>0</v>
      </c>
      <c r="AI1838" s="1" t="n">
        <f aca="false">N(AI1837)+$AH1838</f>
        <v>0</v>
      </c>
      <c r="AJ1838" s="1" t="n">
        <v>0</v>
      </c>
      <c r="AK1838" s="1" t="n">
        <f aca="false">N(AK1837)+$AJ1838</f>
        <v>3672</v>
      </c>
    </row>
    <row r="1839" customFormat="false" ht="13.5" hidden="false" customHeight="false" outlineLevel="0" collapsed="false">
      <c r="A1839" s="1" t="str">
        <f aca="false">IF(对接源_02物料!$C639="","",对接源_02物料!$C639)</f>
        <v/>
      </c>
      <c r="B1839" s="1" t="n">
        <f aca="false">IF(A1839="",0,IF(MATCH(A1839,$A$4:$A$2403,0)=ROW()-3,1,0))</f>
        <v>0</v>
      </c>
      <c r="C1839" s="1" t="n">
        <f aca="false">N(C1838)+B1839</f>
        <v>17</v>
      </c>
      <c r="K1839" s="1" t="n">
        <f aca="false">IF(OR($K$1="",对接源_02物料!$C639="",对接源_02物料!$C639&lt;&gt;$K$1,对接源_02物料!$B639=""),0,IF(OR(N(对接源_02物料!$B639)&lt;$K$2,N(对接源_02物料!$B639)&gt;$K$3),0,1))</f>
        <v>0</v>
      </c>
      <c r="L1839" s="1" t="n">
        <f aca="false">IF(OR($L$1="",对接源_02物料!$C639="",对接源_02物料!$C639&lt;&gt;$L$1,对接源_02物料!$B639=""),0,IF(OR(N(对接源_02物料!$B639)&lt;$L$2,N(对接源_02物料!$B639)&gt;$L$3),0,1))</f>
        <v>0</v>
      </c>
      <c r="M1839" s="1" t="n">
        <f aca="false">IF(OR($M$1="",对接源_02物料!$C639="",对接源_02物料!$C639&lt;&gt;$M$1,对接源_02物料!$B639=""),0,IF(OR(N(对接源_02物料!$B639)&lt;$M$2,N(对接源_02物料!$B639)&gt;$M$3),0,1))</f>
        <v>0</v>
      </c>
      <c r="N1839" s="1" t="n">
        <f aca="false">IF(OR($N$1="",对接源_02物料!$C639="",对接源_02物料!$C639&lt;&gt;$N$1,对接源_02物料!$B639=""),0,IF(OR(N(对接源_02物料!$B639)&lt;$N$2,N(对接源_02物料!$B639)&gt;$N$3),0,1))</f>
        <v>0</v>
      </c>
      <c r="P1839" s="1" t="n">
        <f aca="false">IF(AND($K1839=1,AND(对接源_02物料!$X639="公司筐",N(对接源_02物料!$T639)&lt;&gt;0)),1,0)</f>
        <v>0</v>
      </c>
      <c r="Q1839" s="1" t="n">
        <f aca="false">N(Q1838)+$P1839</f>
        <v>13</v>
      </c>
      <c r="R1839" s="1" t="n">
        <f aca="false">IF(AND($K1839=1,AND(对接源_02物料!$X639="公司筐",N(对接源_02物料!$U639)&lt;&gt;0)),1,0)</f>
        <v>0</v>
      </c>
      <c r="S1839" s="1" t="n">
        <f aca="false">N(S1838)+$R1839</f>
        <v>5</v>
      </c>
      <c r="T1839" s="1" t="n">
        <f aca="false">IF(AND($K1839=1,AND(对接源_02物料!$X639="公司筐",N(对接源_02物料!$V639)&lt;&gt;0)),1,0)</f>
        <v>0</v>
      </c>
      <c r="U1839" s="1" t="n">
        <f aca="false">N(U1838)+$T1839</f>
        <v>28</v>
      </c>
      <c r="V1839" s="1" t="n">
        <f aca="false">IF(AND($L1839=1,AND(对接源_02物料!$X639="自备筐",N(对接源_02物料!$V639)&lt;&gt;0)),1,0)</f>
        <v>0</v>
      </c>
      <c r="W1839" s="1" t="n">
        <f aca="false">N(W1838)+$V1839</f>
        <v>7</v>
      </c>
      <c r="X1839" s="1" t="n">
        <f aca="false">IF(AND($L1839=1,AND(对接源_02物料!$X639="自备筐",N(对接源_02物料!$T639)&lt;&gt;0)),1,0)</f>
        <v>0</v>
      </c>
      <c r="Y1839" s="1" t="n">
        <f aca="false">N(Y1838)+$X1839</f>
        <v>0</v>
      </c>
      <c r="Z1839" s="1" t="n">
        <f aca="false">IF(AND($M1839=1,对接源_02物料!$D639="原料入库"),1,0)</f>
        <v>0</v>
      </c>
      <c r="AA1839" s="1" t="n">
        <f aca="false">N(AA1838)+$Z1839</f>
        <v>30</v>
      </c>
      <c r="AB1839" s="1" t="n">
        <f aca="false">IF(AND($M1839=1,LEFT(对接源_02物料!$D639,4)="原料出库"),1,0)</f>
        <v>0</v>
      </c>
      <c r="AC1839" s="1" t="n">
        <f aca="false">N(AC1838)+$AB1839</f>
        <v>19</v>
      </c>
      <c r="AD1839" s="1" t="n">
        <f aca="false">IF(AND($M1839=1,LEFT(对接源_02物料!$D639,4)="成品出库"),1,0)</f>
        <v>0</v>
      </c>
      <c r="AE1839" s="1" t="n">
        <f aca="false">N(AE1838)+$AD1839</f>
        <v>38</v>
      </c>
      <c r="AF1839" s="1" t="n">
        <f aca="false">IF(AND($N1839=1,AND(LEFT(对接源_02物料!$D639,4)="包装物料",N(对接源_02物料!$K639)&lt;&gt;0)),1,0)</f>
        <v>0</v>
      </c>
      <c r="AG1839" s="1" t="n">
        <f aca="false">N(AG1838)+$AF1839</f>
        <v>6</v>
      </c>
      <c r="AH1839" s="1" t="n">
        <f aca="false">IF(AND($N1839=1,AND(LEFT(对接源_02物料!$D639,3)="周转筐",N(对接源_02物料!$K639)&lt;&gt;0)),1,0)</f>
        <v>0</v>
      </c>
      <c r="AI1839" s="1" t="n">
        <f aca="false">N(AI1838)+$AH1839</f>
        <v>0</v>
      </c>
      <c r="AJ1839" s="1" t="n">
        <v>0</v>
      </c>
      <c r="AK1839" s="1" t="n">
        <f aca="false">N(AK1838)+$AJ1839</f>
        <v>3672</v>
      </c>
    </row>
    <row r="1840" customFormat="false" ht="13.5" hidden="false" customHeight="false" outlineLevel="0" collapsed="false">
      <c r="A1840" s="1" t="str">
        <f aca="false">IF(对接源_02物料!$C640="","",对接源_02物料!$C640)</f>
        <v/>
      </c>
      <c r="B1840" s="1" t="n">
        <f aca="false">IF(A1840="",0,IF(MATCH(A1840,$A$4:$A$2403,0)=ROW()-3,1,0))</f>
        <v>0</v>
      </c>
      <c r="C1840" s="1" t="n">
        <f aca="false">N(C1839)+B1840</f>
        <v>17</v>
      </c>
      <c r="K1840" s="1" t="n">
        <f aca="false">IF(OR($K$1="",对接源_02物料!$C640="",对接源_02物料!$C640&lt;&gt;$K$1,对接源_02物料!$B640=""),0,IF(OR(N(对接源_02物料!$B640)&lt;$K$2,N(对接源_02物料!$B640)&gt;$K$3),0,1))</f>
        <v>0</v>
      </c>
      <c r="L1840" s="1" t="n">
        <f aca="false">IF(OR($L$1="",对接源_02物料!$C640="",对接源_02物料!$C640&lt;&gt;$L$1,对接源_02物料!$B640=""),0,IF(OR(N(对接源_02物料!$B640)&lt;$L$2,N(对接源_02物料!$B640)&gt;$L$3),0,1))</f>
        <v>0</v>
      </c>
      <c r="M1840" s="1" t="n">
        <f aca="false">IF(OR($M$1="",对接源_02物料!$C640="",对接源_02物料!$C640&lt;&gt;$M$1,对接源_02物料!$B640=""),0,IF(OR(N(对接源_02物料!$B640)&lt;$M$2,N(对接源_02物料!$B640)&gt;$M$3),0,1))</f>
        <v>0</v>
      </c>
      <c r="N1840" s="1" t="n">
        <f aca="false">IF(OR($N$1="",对接源_02物料!$C640="",对接源_02物料!$C640&lt;&gt;$N$1,对接源_02物料!$B640=""),0,IF(OR(N(对接源_02物料!$B640)&lt;$N$2,N(对接源_02物料!$B640)&gt;$N$3),0,1))</f>
        <v>0</v>
      </c>
      <c r="P1840" s="1" t="n">
        <f aca="false">IF(AND($K1840=1,AND(对接源_02物料!$X640="公司筐",N(对接源_02物料!$T640)&lt;&gt;0)),1,0)</f>
        <v>0</v>
      </c>
      <c r="Q1840" s="1" t="n">
        <f aca="false">N(Q1839)+$P1840</f>
        <v>13</v>
      </c>
      <c r="R1840" s="1" t="n">
        <f aca="false">IF(AND($K1840=1,AND(对接源_02物料!$X640="公司筐",N(对接源_02物料!$U640)&lt;&gt;0)),1,0)</f>
        <v>0</v>
      </c>
      <c r="S1840" s="1" t="n">
        <f aca="false">N(S1839)+$R1840</f>
        <v>5</v>
      </c>
      <c r="T1840" s="1" t="n">
        <f aca="false">IF(AND($K1840=1,AND(对接源_02物料!$X640="公司筐",N(对接源_02物料!$V640)&lt;&gt;0)),1,0)</f>
        <v>0</v>
      </c>
      <c r="U1840" s="1" t="n">
        <f aca="false">N(U1839)+$T1840</f>
        <v>28</v>
      </c>
      <c r="V1840" s="1" t="n">
        <f aca="false">IF(AND($L1840=1,AND(对接源_02物料!$X640="自备筐",N(对接源_02物料!$V640)&lt;&gt;0)),1,0)</f>
        <v>0</v>
      </c>
      <c r="W1840" s="1" t="n">
        <f aca="false">N(W1839)+$V1840</f>
        <v>7</v>
      </c>
      <c r="X1840" s="1" t="n">
        <f aca="false">IF(AND($L1840=1,AND(对接源_02物料!$X640="自备筐",N(对接源_02物料!$T640)&lt;&gt;0)),1,0)</f>
        <v>0</v>
      </c>
      <c r="Y1840" s="1" t="n">
        <f aca="false">N(Y1839)+$X1840</f>
        <v>0</v>
      </c>
      <c r="Z1840" s="1" t="n">
        <f aca="false">IF(AND($M1840=1,对接源_02物料!$D640="原料入库"),1,0)</f>
        <v>0</v>
      </c>
      <c r="AA1840" s="1" t="n">
        <f aca="false">N(AA1839)+$Z1840</f>
        <v>30</v>
      </c>
      <c r="AB1840" s="1" t="n">
        <f aca="false">IF(AND($M1840=1,LEFT(对接源_02物料!$D640,4)="原料出库"),1,0)</f>
        <v>0</v>
      </c>
      <c r="AC1840" s="1" t="n">
        <f aca="false">N(AC1839)+$AB1840</f>
        <v>19</v>
      </c>
      <c r="AD1840" s="1" t="n">
        <f aca="false">IF(AND($M1840=1,LEFT(对接源_02物料!$D640,4)="成品出库"),1,0)</f>
        <v>0</v>
      </c>
      <c r="AE1840" s="1" t="n">
        <f aca="false">N(AE1839)+$AD1840</f>
        <v>38</v>
      </c>
      <c r="AF1840" s="1" t="n">
        <f aca="false">IF(AND($N1840=1,AND(LEFT(对接源_02物料!$D640,4)="包装物料",N(对接源_02物料!$K640)&lt;&gt;0)),1,0)</f>
        <v>0</v>
      </c>
      <c r="AG1840" s="1" t="n">
        <f aca="false">N(AG1839)+$AF1840</f>
        <v>6</v>
      </c>
      <c r="AH1840" s="1" t="n">
        <f aca="false">IF(AND($N1840=1,AND(LEFT(对接源_02物料!$D640,3)="周转筐",N(对接源_02物料!$K640)&lt;&gt;0)),1,0)</f>
        <v>0</v>
      </c>
      <c r="AI1840" s="1" t="n">
        <f aca="false">N(AI1839)+$AH1840</f>
        <v>0</v>
      </c>
      <c r="AJ1840" s="1" t="n">
        <v>0</v>
      </c>
      <c r="AK1840" s="1" t="n">
        <f aca="false">N(AK1839)+$AJ1840</f>
        <v>3672</v>
      </c>
    </row>
    <row r="1841" customFormat="false" ht="13.5" hidden="false" customHeight="false" outlineLevel="0" collapsed="false">
      <c r="A1841" s="1" t="str">
        <f aca="false">IF(对接源_02物料!$C641="","",对接源_02物料!$C641)</f>
        <v/>
      </c>
      <c r="B1841" s="1" t="n">
        <f aca="false">IF(A1841="",0,IF(MATCH(A1841,$A$4:$A$2403,0)=ROW()-3,1,0))</f>
        <v>0</v>
      </c>
      <c r="C1841" s="1" t="n">
        <f aca="false">N(C1840)+B1841</f>
        <v>17</v>
      </c>
      <c r="K1841" s="1" t="n">
        <f aca="false">IF(OR($K$1="",对接源_02物料!$C641="",对接源_02物料!$C641&lt;&gt;$K$1,对接源_02物料!$B641=""),0,IF(OR(N(对接源_02物料!$B641)&lt;$K$2,N(对接源_02物料!$B641)&gt;$K$3),0,1))</f>
        <v>0</v>
      </c>
      <c r="L1841" s="1" t="n">
        <f aca="false">IF(OR($L$1="",对接源_02物料!$C641="",对接源_02物料!$C641&lt;&gt;$L$1,对接源_02物料!$B641=""),0,IF(OR(N(对接源_02物料!$B641)&lt;$L$2,N(对接源_02物料!$B641)&gt;$L$3),0,1))</f>
        <v>0</v>
      </c>
      <c r="M1841" s="1" t="n">
        <f aca="false">IF(OR($M$1="",对接源_02物料!$C641="",对接源_02物料!$C641&lt;&gt;$M$1,对接源_02物料!$B641=""),0,IF(OR(N(对接源_02物料!$B641)&lt;$M$2,N(对接源_02物料!$B641)&gt;$M$3),0,1))</f>
        <v>0</v>
      </c>
      <c r="N1841" s="1" t="n">
        <f aca="false">IF(OR($N$1="",对接源_02物料!$C641="",对接源_02物料!$C641&lt;&gt;$N$1,对接源_02物料!$B641=""),0,IF(OR(N(对接源_02物料!$B641)&lt;$N$2,N(对接源_02物料!$B641)&gt;$N$3),0,1))</f>
        <v>0</v>
      </c>
      <c r="P1841" s="1" t="n">
        <f aca="false">IF(AND($K1841=1,AND(对接源_02物料!$X641="公司筐",N(对接源_02物料!$T641)&lt;&gt;0)),1,0)</f>
        <v>0</v>
      </c>
      <c r="Q1841" s="1" t="n">
        <f aca="false">N(Q1840)+$P1841</f>
        <v>13</v>
      </c>
      <c r="R1841" s="1" t="n">
        <f aca="false">IF(AND($K1841=1,AND(对接源_02物料!$X641="公司筐",N(对接源_02物料!$U641)&lt;&gt;0)),1,0)</f>
        <v>0</v>
      </c>
      <c r="S1841" s="1" t="n">
        <f aca="false">N(S1840)+$R1841</f>
        <v>5</v>
      </c>
      <c r="T1841" s="1" t="n">
        <f aca="false">IF(AND($K1841=1,AND(对接源_02物料!$X641="公司筐",N(对接源_02物料!$V641)&lt;&gt;0)),1,0)</f>
        <v>0</v>
      </c>
      <c r="U1841" s="1" t="n">
        <f aca="false">N(U1840)+$T1841</f>
        <v>28</v>
      </c>
      <c r="V1841" s="1" t="n">
        <f aca="false">IF(AND($L1841=1,AND(对接源_02物料!$X641="自备筐",N(对接源_02物料!$V641)&lt;&gt;0)),1,0)</f>
        <v>0</v>
      </c>
      <c r="W1841" s="1" t="n">
        <f aca="false">N(W1840)+$V1841</f>
        <v>7</v>
      </c>
      <c r="X1841" s="1" t="n">
        <f aca="false">IF(AND($L1841=1,AND(对接源_02物料!$X641="自备筐",N(对接源_02物料!$T641)&lt;&gt;0)),1,0)</f>
        <v>0</v>
      </c>
      <c r="Y1841" s="1" t="n">
        <f aca="false">N(Y1840)+$X1841</f>
        <v>0</v>
      </c>
      <c r="Z1841" s="1" t="n">
        <f aca="false">IF(AND($M1841=1,对接源_02物料!$D641="原料入库"),1,0)</f>
        <v>0</v>
      </c>
      <c r="AA1841" s="1" t="n">
        <f aca="false">N(AA1840)+$Z1841</f>
        <v>30</v>
      </c>
      <c r="AB1841" s="1" t="n">
        <f aca="false">IF(AND($M1841=1,LEFT(对接源_02物料!$D641,4)="原料出库"),1,0)</f>
        <v>0</v>
      </c>
      <c r="AC1841" s="1" t="n">
        <f aca="false">N(AC1840)+$AB1841</f>
        <v>19</v>
      </c>
      <c r="AD1841" s="1" t="n">
        <f aca="false">IF(AND($M1841=1,LEFT(对接源_02物料!$D641,4)="成品出库"),1,0)</f>
        <v>0</v>
      </c>
      <c r="AE1841" s="1" t="n">
        <f aca="false">N(AE1840)+$AD1841</f>
        <v>38</v>
      </c>
      <c r="AF1841" s="1" t="n">
        <f aca="false">IF(AND($N1841=1,AND(LEFT(对接源_02物料!$D641,4)="包装物料",N(对接源_02物料!$K641)&lt;&gt;0)),1,0)</f>
        <v>0</v>
      </c>
      <c r="AG1841" s="1" t="n">
        <f aca="false">N(AG1840)+$AF1841</f>
        <v>6</v>
      </c>
      <c r="AH1841" s="1" t="n">
        <f aca="false">IF(AND($N1841=1,AND(LEFT(对接源_02物料!$D641,3)="周转筐",N(对接源_02物料!$K641)&lt;&gt;0)),1,0)</f>
        <v>0</v>
      </c>
      <c r="AI1841" s="1" t="n">
        <f aca="false">N(AI1840)+$AH1841</f>
        <v>0</v>
      </c>
      <c r="AJ1841" s="1" t="n">
        <v>0</v>
      </c>
      <c r="AK1841" s="1" t="n">
        <f aca="false">N(AK1840)+$AJ1841</f>
        <v>3672</v>
      </c>
    </row>
    <row r="1842" customFormat="false" ht="13.5" hidden="false" customHeight="false" outlineLevel="0" collapsed="false">
      <c r="A1842" s="1" t="str">
        <f aca="false">IF(对接源_02物料!$C642="","",对接源_02物料!$C642)</f>
        <v/>
      </c>
      <c r="B1842" s="1" t="n">
        <f aca="false">IF(A1842="",0,IF(MATCH(A1842,$A$4:$A$2403,0)=ROW()-3,1,0))</f>
        <v>0</v>
      </c>
      <c r="C1842" s="1" t="n">
        <f aca="false">N(C1841)+B1842</f>
        <v>17</v>
      </c>
      <c r="K1842" s="1" t="n">
        <f aca="false">IF(OR($K$1="",对接源_02物料!$C642="",对接源_02物料!$C642&lt;&gt;$K$1,对接源_02物料!$B642=""),0,IF(OR(N(对接源_02物料!$B642)&lt;$K$2,N(对接源_02物料!$B642)&gt;$K$3),0,1))</f>
        <v>0</v>
      </c>
      <c r="L1842" s="1" t="n">
        <f aca="false">IF(OR($L$1="",对接源_02物料!$C642="",对接源_02物料!$C642&lt;&gt;$L$1,对接源_02物料!$B642=""),0,IF(OR(N(对接源_02物料!$B642)&lt;$L$2,N(对接源_02物料!$B642)&gt;$L$3),0,1))</f>
        <v>0</v>
      </c>
      <c r="M1842" s="1" t="n">
        <f aca="false">IF(OR($M$1="",对接源_02物料!$C642="",对接源_02物料!$C642&lt;&gt;$M$1,对接源_02物料!$B642=""),0,IF(OR(N(对接源_02物料!$B642)&lt;$M$2,N(对接源_02物料!$B642)&gt;$M$3),0,1))</f>
        <v>0</v>
      </c>
      <c r="N1842" s="1" t="n">
        <f aca="false">IF(OR($N$1="",对接源_02物料!$C642="",对接源_02物料!$C642&lt;&gt;$N$1,对接源_02物料!$B642=""),0,IF(OR(N(对接源_02物料!$B642)&lt;$N$2,N(对接源_02物料!$B642)&gt;$N$3),0,1))</f>
        <v>0</v>
      </c>
      <c r="P1842" s="1" t="n">
        <f aca="false">IF(AND($K1842=1,AND(对接源_02物料!$X642="公司筐",N(对接源_02物料!$T642)&lt;&gt;0)),1,0)</f>
        <v>0</v>
      </c>
      <c r="Q1842" s="1" t="n">
        <f aca="false">N(Q1841)+$P1842</f>
        <v>13</v>
      </c>
      <c r="R1842" s="1" t="n">
        <f aca="false">IF(AND($K1842=1,AND(对接源_02物料!$X642="公司筐",N(对接源_02物料!$U642)&lt;&gt;0)),1,0)</f>
        <v>0</v>
      </c>
      <c r="S1842" s="1" t="n">
        <f aca="false">N(S1841)+$R1842</f>
        <v>5</v>
      </c>
      <c r="T1842" s="1" t="n">
        <f aca="false">IF(AND($K1842=1,AND(对接源_02物料!$X642="公司筐",N(对接源_02物料!$V642)&lt;&gt;0)),1,0)</f>
        <v>0</v>
      </c>
      <c r="U1842" s="1" t="n">
        <f aca="false">N(U1841)+$T1842</f>
        <v>28</v>
      </c>
      <c r="V1842" s="1" t="n">
        <f aca="false">IF(AND($L1842=1,AND(对接源_02物料!$X642="自备筐",N(对接源_02物料!$V642)&lt;&gt;0)),1,0)</f>
        <v>0</v>
      </c>
      <c r="W1842" s="1" t="n">
        <f aca="false">N(W1841)+$V1842</f>
        <v>7</v>
      </c>
      <c r="X1842" s="1" t="n">
        <f aca="false">IF(AND($L1842=1,AND(对接源_02物料!$X642="自备筐",N(对接源_02物料!$T642)&lt;&gt;0)),1,0)</f>
        <v>0</v>
      </c>
      <c r="Y1842" s="1" t="n">
        <f aca="false">N(Y1841)+$X1842</f>
        <v>0</v>
      </c>
      <c r="Z1842" s="1" t="n">
        <f aca="false">IF(AND($M1842=1,对接源_02物料!$D642="原料入库"),1,0)</f>
        <v>0</v>
      </c>
      <c r="AA1842" s="1" t="n">
        <f aca="false">N(AA1841)+$Z1842</f>
        <v>30</v>
      </c>
      <c r="AB1842" s="1" t="n">
        <f aca="false">IF(AND($M1842=1,LEFT(对接源_02物料!$D642,4)="原料出库"),1,0)</f>
        <v>0</v>
      </c>
      <c r="AC1842" s="1" t="n">
        <f aca="false">N(AC1841)+$AB1842</f>
        <v>19</v>
      </c>
      <c r="AD1842" s="1" t="n">
        <f aca="false">IF(AND($M1842=1,LEFT(对接源_02物料!$D642,4)="成品出库"),1,0)</f>
        <v>0</v>
      </c>
      <c r="AE1842" s="1" t="n">
        <f aca="false">N(AE1841)+$AD1842</f>
        <v>38</v>
      </c>
      <c r="AF1842" s="1" t="n">
        <f aca="false">IF(AND($N1842=1,AND(LEFT(对接源_02物料!$D642,4)="包装物料",N(对接源_02物料!$K642)&lt;&gt;0)),1,0)</f>
        <v>0</v>
      </c>
      <c r="AG1842" s="1" t="n">
        <f aca="false">N(AG1841)+$AF1842</f>
        <v>6</v>
      </c>
      <c r="AH1842" s="1" t="n">
        <f aca="false">IF(AND($N1842=1,AND(LEFT(对接源_02物料!$D642,3)="周转筐",N(对接源_02物料!$K642)&lt;&gt;0)),1,0)</f>
        <v>0</v>
      </c>
      <c r="AI1842" s="1" t="n">
        <f aca="false">N(AI1841)+$AH1842</f>
        <v>0</v>
      </c>
      <c r="AJ1842" s="1" t="n">
        <v>0</v>
      </c>
      <c r="AK1842" s="1" t="n">
        <f aca="false">N(AK1841)+$AJ1842</f>
        <v>3672</v>
      </c>
    </row>
    <row r="1843" customFormat="false" ht="13.5" hidden="false" customHeight="false" outlineLevel="0" collapsed="false">
      <c r="A1843" s="1" t="str">
        <f aca="false">IF(对接源_02物料!$C643="","",对接源_02物料!$C643)</f>
        <v/>
      </c>
      <c r="B1843" s="1" t="n">
        <f aca="false">IF(A1843="",0,IF(MATCH(A1843,$A$4:$A$2403,0)=ROW()-3,1,0))</f>
        <v>0</v>
      </c>
      <c r="C1843" s="1" t="n">
        <f aca="false">N(C1842)+B1843</f>
        <v>17</v>
      </c>
      <c r="K1843" s="1" t="n">
        <f aca="false">IF(OR($K$1="",对接源_02物料!$C643="",对接源_02物料!$C643&lt;&gt;$K$1,对接源_02物料!$B643=""),0,IF(OR(N(对接源_02物料!$B643)&lt;$K$2,N(对接源_02物料!$B643)&gt;$K$3),0,1))</f>
        <v>0</v>
      </c>
      <c r="L1843" s="1" t="n">
        <f aca="false">IF(OR($L$1="",对接源_02物料!$C643="",对接源_02物料!$C643&lt;&gt;$L$1,对接源_02物料!$B643=""),0,IF(OR(N(对接源_02物料!$B643)&lt;$L$2,N(对接源_02物料!$B643)&gt;$L$3),0,1))</f>
        <v>0</v>
      </c>
      <c r="M1843" s="1" t="n">
        <f aca="false">IF(OR($M$1="",对接源_02物料!$C643="",对接源_02物料!$C643&lt;&gt;$M$1,对接源_02物料!$B643=""),0,IF(OR(N(对接源_02物料!$B643)&lt;$M$2,N(对接源_02物料!$B643)&gt;$M$3),0,1))</f>
        <v>0</v>
      </c>
      <c r="N1843" s="1" t="n">
        <f aca="false">IF(OR($N$1="",对接源_02物料!$C643="",对接源_02物料!$C643&lt;&gt;$N$1,对接源_02物料!$B643=""),0,IF(OR(N(对接源_02物料!$B643)&lt;$N$2,N(对接源_02物料!$B643)&gt;$N$3),0,1))</f>
        <v>0</v>
      </c>
      <c r="P1843" s="1" t="n">
        <f aca="false">IF(AND($K1843=1,AND(对接源_02物料!$X643="公司筐",N(对接源_02物料!$T643)&lt;&gt;0)),1,0)</f>
        <v>0</v>
      </c>
      <c r="Q1843" s="1" t="n">
        <f aca="false">N(Q1842)+$P1843</f>
        <v>13</v>
      </c>
      <c r="R1843" s="1" t="n">
        <f aca="false">IF(AND($K1843=1,AND(对接源_02物料!$X643="公司筐",N(对接源_02物料!$U643)&lt;&gt;0)),1,0)</f>
        <v>0</v>
      </c>
      <c r="S1843" s="1" t="n">
        <f aca="false">N(S1842)+$R1843</f>
        <v>5</v>
      </c>
      <c r="T1843" s="1" t="n">
        <f aca="false">IF(AND($K1843=1,AND(对接源_02物料!$X643="公司筐",N(对接源_02物料!$V643)&lt;&gt;0)),1,0)</f>
        <v>0</v>
      </c>
      <c r="U1843" s="1" t="n">
        <f aca="false">N(U1842)+$T1843</f>
        <v>28</v>
      </c>
      <c r="V1843" s="1" t="n">
        <f aca="false">IF(AND($L1843=1,AND(对接源_02物料!$X643="自备筐",N(对接源_02物料!$V643)&lt;&gt;0)),1,0)</f>
        <v>0</v>
      </c>
      <c r="W1843" s="1" t="n">
        <f aca="false">N(W1842)+$V1843</f>
        <v>7</v>
      </c>
      <c r="X1843" s="1" t="n">
        <f aca="false">IF(AND($L1843=1,AND(对接源_02物料!$X643="自备筐",N(对接源_02物料!$T643)&lt;&gt;0)),1,0)</f>
        <v>0</v>
      </c>
      <c r="Y1843" s="1" t="n">
        <f aca="false">N(Y1842)+$X1843</f>
        <v>0</v>
      </c>
      <c r="Z1843" s="1" t="n">
        <f aca="false">IF(AND($M1843=1,对接源_02物料!$D643="原料入库"),1,0)</f>
        <v>0</v>
      </c>
      <c r="AA1843" s="1" t="n">
        <f aca="false">N(AA1842)+$Z1843</f>
        <v>30</v>
      </c>
      <c r="AB1843" s="1" t="n">
        <f aca="false">IF(AND($M1843=1,LEFT(对接源_02物料!$D643,4)="原料出库"),1,0)</f>
        <v>0</v>
      </c>
      <c r="AC1843" s="1" t="n">
        <f aca="false">N(AC1842)+$AB1843</f>
        <v>19</v>
      </c>
      <c r="AD1843" s="1" t="n">
        <f aca="false">IF(AND($M1843=1,LEFT(对接源_02物料!$D643,4)="成品出库"),1,0)</f>
        <v>0</v>
      </c>
      <c r="AE1843" s="1" t="n">
        <f aca="false">N(AE1842)+$AD1843</f>
        <v>38</v>
      </c>
      <c r="AF1843" s="1" t="n">
        <f aca="false">IF(AND($N1843=1,AND(LEFT(对接源_02物料!$D643,4)="包装物料",N(对接源_02物料!$K643)&lt;&gt;0)),1,0)</f>
        <v>0</v>
      </c>
      <c r="AG1843" s="1" t="n">
        <f aca="false">N(AG1842)+$AF1843</f>
        <v>6</v>
      </c>
      <c r="AH1843" s="1" t="n">
        <f aca="false">IF(AND($N1843=1,AND(LEFT(对接源_02物料!$D643,3)="周转筐",N(对接源_02物料!$K643)&lt;&gt;0)),1,0)</f>
        <v>0</v>
      </c>
      <c r="AI1843" s="1" t="n">
        <f aca="false">N(AI1842)+$AH1843</f>
        <v>0</v>
      </c>
      <c r="AJ1843" s="1" t="n">
        <v>0</v>
      </c>
      <c r="AK1843" s="1" t="n">
        <f aca="false">N(AK1842)+$AJ1843</f>
        <v>3672</v>
      </c>
    </row>
    <row r="1844" customFormat="false" ht="13.5" hidden="false" customHeight="false" outlineLevel="0" collapsed="false">
      <c r="A1844" s="1" t="str">
        <f aca="false">IF(对接源_02物料!$C644="","",对接源_02物料!$C644)</f>
        <v/>
      </c>
      <c r="B1844" s="1" t="n">
        <f aca="false">IF(A1844="",0,IF(MATCH(A1844,$A$4:$A$2403,0)=ROW()-3,1,0))</f>
        <v>0</v>
      </c>
      <c r="C1844" s="1" t="n">
        <f aca="false">N(C1843)+B1844</f>
        <v>17</v>
      </c>
      <c r="K1844" s="1" t="n">
        <f aca="false">IF(OR($K$1="",对接源_02物料!$C644="",对接源_02物料!$C644&lt;&gt;$K$1,对接源_02物料!$B644=""),0,IF(OR(N(对接源_02物料!$B644)&lt;$K$2,N(对接源_02物料!$B644)&gt;$K$3),0,1))</f>
        <v>0</v>
      </c>
      <c r="L1844" s="1" t="n">
        <f aca="false">IF(OR($L$1="",对接源_02物料!$C644="",对接源_02物料!$C644&lt;&gt;$L$1,对接源_02物料!$B644=""),0,IF(OR(N(对接源_02物料!$B644)&lt;$L$2,N(对接源_02物料!$B644)&gt;$L$3),0,1))</f>
        <v>0</v>
      </c>
      <c r="M1844" s="1" t="n">
        <f aca="false">IF(OR($M$1="",对接源_02物料!$C644="",对接源_02物料!$C644&lt;&gt;$M$1,对接源_02物料!$B644=""),0,IF(OR(N(对接源_02物料!$B644)&lt;$M$2,N(对接源_02物料!$B644)&gt;$M$3),0,1))</f>
        <v>0</v>
      </c>
      <c r="N1844" s="1" t="n">
        <f aca="false">IF(OR($N$1="",对接源_02物料!$C644="",对接源_02物料!$C644&lt;&gt;$N$1,对接源_02物料!$B644=""),0,IF(OR(N(对接源_02物料!$B644)&lt;$N$2,N(对接源_02物料!$B644)&gt;$N$3),0,1))</f>
        <v>0</v>
      </c>
      <c r="P1844" s="1" t="n">
        <f aca="false">IF(AND($K1844=1,AND(对接源_02物料!$X644="公司筐",N(对接源_02物料!$T644)&lt;&gt;0)),1,0)</f>
        <v>0</v>
      </c>
      <c r="Q1844" s="1" t="n">
        <f aca="false">N(Q1843)+$P1844</f>
        <v>13</v>
      </c>
      <c r="R1844" s="1" t="n">
        <f aca="false">IF(AND($K1844=1,AND(对接源_02物料!$X644="公司筐",N(对接源_02物料!$U644)&lt;&gt;0)),1,0)</f>
        <v>0</v>
      </c>
      <c r="S1844" s="1" t="n">
        <f aca="false">N(S1843)+$R1844</f>
        <v>5</v>
      </c>
      <c r="T1844" s="1" t="n">
        <f aca="false">IF(AND($K1844=1,AND(对接源_02物料!$X644="公司筐",N(对接源_02物料!$V644)&lt;&gt;0)),1,0)</f>
        <v>0</v>
      </c>
      <c r="U1844" s="1" t="n">
        <f aca="false">N(U1843)+$T1844</f>
        <v>28</v>
      </c>
      <c r="V1844" s="1" t="n">
        <f aca="false">IF(AND($L1844=1,AND(对接源_02物料!$X644="自备筐",N(对接源_02物料!$V644)&lt;&gt;0)),1,0)</f>
        <v>0</v>
      </c>
      <c r="W1844" s="1" t="n">
        <f aca="false">N(W1843)+$V1844</f>
        <v>7</v>
      </c>
      <c r="X1844" s="1" t="n">
        <f aca="false">IF(AND($L1844=1,AND(对接源_02物料!$X644="自备筐",N(对接源_02物料!$T644)&lt;&gt;0)),1,0)</f>
        <v>0</v>
      </c>
      <c r="Y1844" s="1" t="n">
        <f aca="false">N(Y1843)+$X1844</f>
        <v>0</v>
      </c>
      <c r="Z1844" s="1" t="n">
        <f aca="false">IF(AND($M1844=1,对接源_02物料!$D644="原料入库"),1,0)</f>
        <v>0</v>
      </c>
      <c r="AA1844" s="1" t="n">
        <f aca="false">N(AA1843)+$Z1844</f>
        <v>30</v>
      </c>
      <c r="AB1844" s="1" t="n">
        <f aca="false">IF(AND($M1844=1,LEFT(对接源_02物料!$D644,4)="原料出库"),1,0)</f>
        <v>0</v>
      </c>
      <c r="AC1844" s="1" t="n">
        <f aca="false">N(AC1843)+$AB1844</f>
        <v>19</v>
      </c>
      <c r="AD1844" s="1" t="n">
        <f aca="false">IF(AND($M1844=1,LEFT(对接源_02物料!$D644,4)="成品出库"),1,0)</f>
        <v>0</v>
      </c>
      <c r="AE1844" s="1" t="n">
        <f aca="false">N(AE1843)+$AD1844</f>
        <v>38</v>
      </c>
      <c r="AF1844" s="1" t="n">
        <f aca="false">IF(AND($N1844=1,AND(LEFT(对接源_02物料!$D644,4)="包装物料",N(对接源_02物料!$K644)&lt;&gt;0)),1,0)</f>
        <v>0</v>
      </c>
      <c r="AG1844" s="1" t="n">
        <f aca="false">N(AG1843)+$AF1844</f>
        <v>6</v>
      </c>
      <c r="AH1844" s="1" t="n">
        <f aca="false">IF(AND($N1844=1,AND(LEFT(对接源_02物料!$D644,3)="周转筐",N(对接源_02物料!$K644)&lt;&gt;0)),1,0)</f>
        <v>0</v>
      </c>
      <c r="AI1844" s="1" t="n">
        <f aca="false">N(AI1843)+$AH1844</f>
        <v>0</v>
      </c>
      <c r="AJ1844" s="1" t="n">
        <v>0</v>
      </c>
      <c r="AK1844" s="1" t="n">
        <f aca="false">N(AK1843)+$AJ1844</f>
        <v>3672</v>
      </c>
    </row>
    <row r="1845" customFormat="false" ht="13.5" hidden="false" customHeight="false" outlineLevel="0" collapsed="false">
      <c r="A1845" s="1" t="str">
        <f aca="false">IF(对接源_02物料!$C645="","",对接源_02物料!$C645)</f>
        <v/>
      </c>
      <c r="B1845" s="1" t="n">
        <f aca="false">IF(A1845="",0,IF(MATCH(A1845,$A$4:$A$2403,0)=ROW()-3,1,0))</f>
        <v>0</v>
      </c>
      <c r="C1845" s="1" t="n">
        <f aca="false">N(C1844)+B1845</f>
        <v>17</v>
      </c>
      <c r="K1845" s="1" t="n">
        <f aca="false">IF(OR($K$1="",对接源_02物料!$C645="",对接源_02物料!$C645&lt;&gt;$K$1,对接源_02物料!$B645=""),0,IF(OR(N(对接源_02物料!$B645)&lt;$K$2,N(对接源_02物料!$B645)&gt;$K$3),0,1))</f>
        <v>0</v>
      </c>
      <c r="L1845" s="1" t="n">
        <f aca="false">IF(OR($L$1="",对接源_02物料!$C645="",对接源_02物料!$C645&lt;&gt;$L$1,对接源_02物料!$B645=""),0,IF(OR(N(对接源_02物料!$B645)&lt;$L$2,N(对接源_02物料!$B645)&gt;$L$3),0,1))</f>
        <v>0</v>
      </c>
      <c r="M1845" s="1" t="n">
        <f aca="false">IF(OR($M$1="",对接源_02物料!$C645="",对接源_02物料!$C645&lt;&gt;$M$1,对接源_02物料!$B645=""),0,IF(OR(N(对接源_02物料!$B645)&lt;$M$2,N(对接源_02物料!$B645)&gt;$M$3),0,1))</f>
        <v>0</v>
      </c>
      <c r="N1845" s="1" t="n">
        <f aca="false">IF(OR($N$1="",对接源_02物料!$C645="",对接源_02物料!$C645&lt;&gt;$N$1,对接源_02物料!$B645=""),0,IF(OR(N(对接源_02物料!$B645)&lt;$N$2,N(对接源_02物料!$B645)&gt;$N$3),0,1))</f>
        <v>0</v>
      </c>
      <c r="P1845" s="1" t="n">
        <f aca="false">IF(AND($K1845=1,AND(对接源_02物料!$X645="公司筐",N(对接源_02物料!$T645)&lt;&gt;0)),1,0)</f>
        <v>0</v>
      </c>
      <c r="Q1845" s="1" t="n">
        <f aca="false">N(Q1844)+$P1845</f>
        <v>13</v>
      </c>
      <c r="R1845" s="1" t="n">
        <f aca="false">IF(AND($K1845=1,AND(对接源_02物料!$X645="公司筐",N(对接源_02物料!$U645)&lt;&gt;0)),1,0)</f>
        <v>0</v>
      </c>
      <c r="S1845" s="1" t="n">
        <f aca="false">N(S1844)+$R1845</f>
        <v>5</v>
      </c>
      <c r="T1845" s="1" t="n">
        <f aca="false">IF(AND($K1845=1,AND(对接源_02物料!$X645="公司筐",N(对接源_02物料!$V645)&lt;&gt;0)),1,0)</f>
        <v>0</v>
      </c>
      <c r="U1845" s="1" t="n">
        <f aca="false">N(U1844)+$T1845</f>
        <v>28</v>
      </c>
      <c r="V1845" s="1" t="n">
        <f aca="false">IF(AND($L1845=1,AND(对接源_02物料!$X645="自备筐",N(对接源_02物料!$V645)&lt;&gt;0)),1,0)</f>
        <v>0</v>
      </c>
      <c r="W1845" s="1" t="n">
        <f aca="false">N(W1844)+$V1845</f>
        <v>7</v>
      </c>
      <c r="X1845" s="1" t="n">
        <f aca="false">IF(AND($L1845=1,AND(对接源_02物料!$X645="自备筐",N(对接源_02物料!$T645)&lt;&gt;0)),1,0)</f>
        <v>0</v>
      </c>
      <c r="Y1845" s="1" t="n">
        <f aca="false">N(Y1844)+$X1845</f>
        <v>0</v>
      </c>
      <c r="Z1845" s="1" t="n">
        <f aca="false">IF(AND($M1845=1,对接源_02物料!$D645="原料入库"),1,0)</f>
        <v>0</v>
      </c>
      <c r="AA1845" s="1" t="n">
        <f aca="false">N(AA1844)+$Z1845</f>
        <v>30</v>
      </c>
      <c r="AB1845" s="1" t="n">
        <f aca="false">IF(AND($M1845=1,LEFT(对接源_02物料!$D645,4)="原料出库"),1,0)</f>
        <v>0</v>
      </c>
      <c r="AC1845" s="1" t="n">
        <f aca="false">N(AC1844)+$AB1845</f>
        <v>19</v>
      </c>
      <c r="AD1845" s="1" t="n">
        <f aca="false">IF(AND($M1845=1,LEFT(对接源_02物料!$D645,4)="成品出库"),1,0)</f>
        <v>0</v>
      </c>
      <c r="AE1845" s="1" t="n">
        <f aca="false">N(AE1844)+$AD1845</f>
        <v>38</v>
      </c>
      <c r="AF1845" s="1" t="n">
        <f aca="false">IF(AND($N1845=1,AND(LEFT(对接源_02物料!$D645,4)="包装物料",N(对接源_02物料!$K645)&lt;&gt;0)),1,0)</f>
        <v>0</v>
      </c>
      <c r="AG1845" s="1" t="n">
        <f aca="false">N(AG1844)+$AF1845</f>
        <v>6</v>
      </c>
      <c r="AH1845" s="1" t="n">
        <f aca="false">IF(AND($N1845=1,AND(LEFT(对接源_02物料!$D645,3)="周转筐",N(对接源_02物料!$K645)&lt;&gt;0)),1,0)</f>
        <v>0</v>
      </c>
      <c r="AI1845" s="1" t="n">
        <f aca="false">N(AI1844)+$AH1845</f>
        <v>0</v>
      </c>
      <c r="AJ1845" s="1" t="n">
        <v>0</v>
      </c>
      <c r="AK1845" s="1" t="n">
        <f aca="false">N(AK1844)+$AJ1845</f>
        <v>3672</v>
      </c>
    </row>
    <row r="1846" customFormat="false" ht="13.5" hidden="false" customHeight="false" outlineLevel="0" collapsed="false">
      <c r="A1846" s="1" t="str">
        <f aca="false">IF(对接源_02物料!$C646="","",对接源_02物料!$C646)</f>
        <v/>
      </c>
      <c r="B1846" s="1" t="n">
        <f aca="false">IF(A1846="",0,IF(MATCH(A1846,$A$4:$A$2403,0)=ROW()-3,1,0))</f>
        <v>0</v>
      </c>
      <c r="C1846" s="1" t="n">
        <f aca="false">N(C1845)+B1846</f>
        <v>17</v>
      </c>
      <c r="K1846" s="1" t="n">
        <f aca="false">IF(OR($K$1="",对接源_02物料!$C646="",对接源_02物料!$C646&lt;&gt;$K$1,对接源_02物料!$B646=""),0,IF(OR(N(对接源_02物料!$B646)&lt;$K$2,N(对接源_02物料!$B646)&gt;$K$3),0,1))</f>
        <v>0</v>
      </c>
      <c r="L1846" s="1" t="n">
        <f aca="false">IF(OR($L$1="",对接源_02物料!$C646="",对接源_02物料!$C646&lt;&gt;$L$1,对接源_02物料!$B646=""),0,IF(OR(N(对接源_02物料!$B646)&lt;$L$2,N(对接源_02物料!$B646)&gt;$L$3),0,1))</f>
        <v>0</v>
      </c>
      <c r="M1846" s="1" t="n">
        <f aca="false">IF(OR($M$1="",对接源_02物料!$C646="",对接源_02物料!$C646&lt;&gt;$M$1,对接源_02物料!$B646=""),0,IF(OR(N(对接源_02物料!$B646)&lt;$M$2,N(对接源_02物料!$B646)&gt;$M$3),0,1))</f>
        <v>0</v>
      </c>
      <c r="N1846" s="1" t="n">
        <f aca="false">IF(OR($N$1="",对接源_02物料!$C646="",对接源_02物料!$C646&lt;&gt;$N$1,对接源_02物料!$B646=""),0,IF(OR(N(对接源_02物料!$B646)&lt;$N$2,N(对接源_02物料!$B646)&gt;$N$3),0,1))</f>
        <v>0</v>
      </c>
      <c r="P1846" s="1" t="n">
        <f aca="false">IF(AND($K1846=1,AND(对接源_02物料!$X646="公司筐",N(对接源_02物料!$T646)&lt;&gt;0)),1,0)</f>
        <v>0</v>
      </c>
      <c r="Q1846" s="1" t="n">
        <f aca="false">N(Q1845)+$P1846</f>
        <v>13</v>
      </c>
      <c r="R1846" s="1" t="n">
        <f aca="false">IF(AND($K1846=1,AND(对接源_02物料!$X646="公司筐",N(对接源_02物料!$U646)&lt;&gt;0)),1,0)</f>
        <v>0</v>
      </c>
      <c r="S1846" s="1" t="n">
        <f aca="false">N(S1845)+$R1846</f>
        <v>5</v>
      </c>
      <c r="T1846" s="1" t="n">
        <f aca="false">IF(AND($K1846=1,AND(对接源_02物料!$X646="公司筐",N(对接源_02物料!$V646)&lt;&gt;0)),1,0)</f>
        <v>0</v>
      </c>
      <c r="U1846" s="1" t="n">
        <f aca="false">N(U1845)+$T1846</f>
        <v>28</v>
      </c>
      <c r="V1846" s="1" t="n">
        <f aca="false">IF(AND($L1846=1,AND(对接源_02物料!$X646="自备筐",N(对接源_02物料!$V646)&lt;&gt;0)),1,0)</f>
        <v>0</v>
      </c>
      <c r="W1846" s="1" t="n">
        <f aca="false">N(W1845)+$V1846</f>
        <v>7</v>
      </c>
      <c r="X1846" s="1" t="n">
        <f aca="false">IF(AND($L1846=1,AND(对接源_02物料!$X646="自备筐",N(对接源_02物料!$T646)&lt;&gt;0)),1,0)</f>
        <v>0</v>
      </c>
      <c r="Y1846" s="1" t="n">
        <f aca="false">N(Y1845)+$X1846</f>
        <v>0</v>
      </c>
      <c r="Z1846" s="1" t="n">
        <f aca="false">IF(AND($M1846=1,对接源_02物料!$D646="原料入库"),1,0)</f>
        <v>0</v>
      </c>
      <c r="AA1846" s="1" t="n">
        <f aca="false">N(AA1845)+$Z1846</f>
        <v>30</v>
      </c>
      <c r="AB1846" s="1" t="n">
        <f aca="false">IF(AND($M1846=1,LEFT(对接源_02物料!$D646,4)="原料出库"),1,0)</f>
        <v>0</v>
      </c>
      <c r="AC1846" s="1" t="n">
        <f aca="false">N(AC1845)+$AB1846</f>
        <v>19</v>
      </c>
      <c r="AD1846" s="1" t="n">
        <f aca="false">IF(AND($M1846=1,LEFT(对接源_02物料!$D646,4)="成品出库"),1,0)</f>
        <v>0</v>
      </c>
      <c r="AE1846" s="1" t="n">
        <f aca="false">N(AE1845)+$AD1846</f>
        <v>38</v>
      </c>
      <c r="AF1846" s="1" t="n">
        <f aca="false">IF(AND($N1846=1,AND(LEFT(对接源_02物料!$D646,4)="包装物料",N(对接源_02物料!$K646)&lt;&gt;0)),1,0)</f>
        <v>0</v>
      </c>
      <c r="AG1846" s="1" t="n">
        <f aca="false">N(AG1845)+$AF1846</f>
        <v>6</v>
      </c>
      <c r="AH1846" s="1" t="n">
        <f aca="false">IF(AND($N1846=1,AND(LEFT(对接源_02物料!$D646,3)="周转筐",N(对接源_02物料!$K646)&lt;&gt;0)),1,0)</f>
        <v>0</v>
      </c>
      <c r="AI1846" s="1" t="n">
        <f aca="false">N(AI1845)+$AH1846</f>
        <v>0</v>
      </c>
      <c r="AJ1846" s="1" t="n">
        <v>0</v>
      </c>
      <c r="AK1846" s="1" t="n">
        <f aca="false">N(AK1845)+$AJ1846</f>
        <v>3672</v>
      </c>
    </row>
    <row r="1847" customFormat="false" ht="13.5" hidden="false" customHeight="false" outlineLevel="0" collapsed="false">
      <c r="A1847" s="1" t="str">
        <f aca="false">IF(对接源_02物料!$C647="","",对接源_02物料!$C647)</f>
        <v/>
      </c>
      <c r="B1847" s="1" t="n">
        <f aca="false">IF(A1847="",0,IF(MATCH(A1847,$A$4:$A$2403,0)=ROW()-3,1,0))</f>
        <v>0</v>
      </c>
      <c r="C1847" s="1" t="n">
        <f aca="false">N(C1846)+B1847</f>
        <v>17</v>
      </c>
      <c r="K1847" s="1" t="n">
        <f aca="false">IF(OR($K$1="",对接源_02物料!$C647="",对接源_02物料!$C647&lt;&gt;$K$1,对接源_02物料!$B647=""),0,IF(OR(N(对接源_02物料!$B647)&lt;$K$2,N(对接源_02物料!$B647)&gt;$K$3),0,1))</f>
        <v>0</v>
      </c>
      <c r="L1847" s="1" t="n">
        <f aca="false">IF(OR($L$1="",对接源_02物料!$C647="",对接源_02物料!$C647&lt;&gt;$L$1,对接源_02物料!$B647=""),0,IF(OR(N(对接源_02物料!$B647)&lt;$L$2,N(对接源_02物料!$B647)&gt;$L$3),0,1))</f>
        <v>0</v>
      </c>
      <c r="M1847" s="1" t="n">
        <f aca="false">IF(OR($M$1="",对接源_02物料!$C647="",对接源_02物料!$C647&lt;&gt;$M$1,对接源_02物料!$B647=""),0,IF(OR(N(对接源_02物料!$B647)&lt;$M$2,N(对接源_02物料!$B647)&gt;$M$3),0,1))</f>
        <v>0</v>
      </c>
      <c r="N1847" s="1" t="n">
        <f aca="false">IF(OR($N$1="",对接源_02物料!$C647="",对接源_02物料!$C647&lt;&gt;$N$1,对接源_02物料!$B647=""),0,IF(OR(N(对接源_02物料!$B647)&lt;$N$2,N(对接源_02物料!$B647)&gt;$N$3),0,1))</f>
        <v>0</v>
      </c>
      <c r="P1847" s="1" t="n">
        <f aca="false">IF(AND($K1847=1,AND(对接源_02物料!$X647="公司筐",N(对接源_02物料!$T647)&lt;&gt;0)),1,0)</f>
        <v>0</v>
      </c>
      <c r="Q1847" s="1" t="n">
        <f aca="false">N(Q1846)+$P1847</f>
        <v>13</v>
      </c>
      <c r="R1847" s="1" t="n">
        <f aca="false">IF(AND($K1847=1,AND(对接源_02物料!$X647="公司筐",N(对接源_02物料!$U647)&lt;&gt;0)),1,0)</f>
        <v>0</v>
      </c>
      <c r="S1847" s="1" t="n">
        <f aca="false">N(S1846)+$R1847</f>
        <v>5</v>
      </c>
      <c r="T1847" s="1" t="n">
        <f aca="false">IF(AND($K1847=1,AND(对接源_02物料!$X647="公司筐",N(对接源_02物料!$V647)&lt;&gt;0)),1,0)</f>
        <v>0</v>
      </c>
      <c r="U1847" s="1" t="n">
        <f aca="false">N(U1846)+$T1847</f>
        <v>28</v>
      </c>
      <c r="V1847" s="1" t="n">
        <f aca="false">IF(AND($L1847=1,AND(对接源_02物料!$X647="自备筐",N(对接源_02物料!$V647)&lt;&gt;0)),1,0)</f>
        <v>0</v>
      </c>
      <c r="W1847" s="1" t="n">
        <f aca="false">N(W1846)+$V1847</f>
        <v>7</v>
      </c>
      <c r="X1847" s="1" t="n">
        <f aca="false">IF(AND($L1847=1,AND(对接源_02物料!$X647="自备筐",N(对接源_02物料!$T647)&lt;&gt;0)),1,0)</f>
        <v>0</v>
      </c>
      <c r="Y1847" s="1" t="n">
        <f aca="false">N(Y1846)+$X1847</f>
        <v>0</v>
      </c>
      <c r="Z1847" s="1" t="n">
        <f aca="false">IF(AND($M1847=1,对接源_02物料!$D647="原料入库"),1,0)</f>
        <v>0</v>
      </c>
      <c r="AA1847" s="1" t="n">
        <f aca="false">N(AA1846)+$Z1847</f>
        <v>30</v>
      </c>
      <c r="AB1847" s="1" t="n">
        <f aca="false">IF(AND($M1847=1,LEFT(对接源_02物料!$D647,4)="原料出库"),1,0)</f>
        <v>0</v>
      </c>
      <c r="AC1847" s="1" t="n">
        <f aca="false">N(AC1846)+$AB1847</f>
        <v>19</v>
      </c>
      <c r="AD1847" s="1" t="n">
        <f aca="false">IF(AND($M1847=1,LEFT(对接源_02物料!$D647,4)="成品出库"),1,0)</f>
        <v>0</v>
      </c>
      <c r="AE1847" s="1" t="n">
        <f aca="false">N(AE1846)+$AD1847</f>
        <v>38</v>
      </c>
      <c r="AF1847" s="1" t="n">
        <f aca="false">IF(AND($N1847=1,AND(LEFT(对接源_02物料!$D647,4)="包装物料",N(对接源_02物料!$K647)&lt;&gt;0)),1,0)</f>
        <v>0</v>
      </c>
      <c r="AG1847" s="1" t="n">
        <f aca="false">N(AG1846)+$AF1847</f>
        <v>6</v>
      </c>
      <c r="AH1847" s="1" t="n">
        <f aca="false">IF(AND($N1847=1,AND(LEFT(对接源_02物料!$D647,3)="周转筐",N(对接源_02物料!$K647)&lt;&gt;0)),1,0)</f>
        <v>0</v>
      </c>
      <c r="AI1847" s="1" t="n">
        <f aca="false">N(AI1846)+$AH1847</f>
        <v>0</v>
      </c>
      <c r="AJ1847" s="1" t="n">
        <v>0</v>
      </c>
      <c r="AK1847" s="1" t="n">
        <f aca="false">N(AK1846)+$AJ1847</f>
        <v>3672</v>
      </c>
    </row>
    <row r="1848" customFormat="false" ht="13.5" hidden="false" customHeight="false" outlineLevel="0" collapsed="false">
      <c r="A1848" s="1" t="str">
        <f aca="false">IF(对接源_02物料!$C648="","",对接源_02物料!$C648)</f>
        <v/>
      </c>
      <c r="B1848" s="1" t="n">
        <f aca="false">IF(A1848="",0,IF(MATCH(A1848,$A$4:$A$2403,0)=ROW()-3,1,0))</f>
        <v>0</v>
      </c>
      <c r="C1848" s="1" t="n">
        <f aca="false">N(C1847)+B1848</f>
        <v>17</v>
      </c>
      <c r="K1848" s="1" t="n">
        <f aca="false">IF(OR($K$1="",对接源_02物料!$C648="",对接源_02物料!$C648&lt;&gt;$K$1,对接源_02物料!$B648=""),0,IF(OR(N(对接源_02物料!$B648)&lt;$K$2,N(对接源_02物料!$B648)&gt;$K$3),0,1))</f>
        <v>0</v>
      </c>
      <c r="L1848" s="1" t="n">
        <f aca="false">IF(OR($L$1="",对接源_02物料!$C648="",对接源_02物料!$C648&lt;&gt;$L$1,对接源_02物料!$B648=""),0,IF(OR(N(对接源_02物料!$B648)&lt;$L$2,N(对接源_02物料!$B648)&gt;$L$3),0,1))</f>
        <v>0</v>
      </c>
      <c r="M1848" s="1" t="n">
        <f aca="false">IF(OR($M$1="",对接源_02物料!$C648="",对接源_02物料!$C648&lt;&gt;$M$1,对接源_02物料!$B648=""),0,IF(OR(N(对接源_02物料!$B648)&lt;$M$2,N(对接源_02物料!$B648)&gt;$M$3),0,1))</f>
        <v>0</v>
      </c>
      <c r="N1848" s="1" t="n">
        <f aca="false">IF(OR($N$1="",对接源_02物料!$C648="",对接源_02物料!$C648&lt;&gt;$N$1,对接源_02物料!$B648=""),0,IF(OR(N(对接源_02物料!$B648)&lt;$N$2,N(对接源_02物料!$B648)&gt;$N$3),0,1))</f>
        <v>0</v>
      </c>
      <c r="P1848" s="1" t="n">
        <f aca="false">IF(AND($K1848=1,AND(对接源_02物料!$X648="公司筐",N(对接源_02物料!$T648)&lt;&gt;0)),1,0)</f>
        <v>0</v>
      </c>
      <c r="Q1848" s="1" t="n">
        <f aca="false">N(Q1847)+$P1848</f>
        <v>13</v>
      </c>
      <c r="R1848" s="1" t="n">
        <f aca="false">IF(AND($K1848=1,AND(对接源_02物料!$X648="公司筐",N(对接源_02物料!$U648)&lt;&gt;0)),1,0)</f>
        <v>0</v>
      </c>
      <c r="S1848" s="1" t="n">
        <f aca="false">N(S1847)+$R1848</f>
        <v>5</v>
      </c>
      <c r="T1848" s="1" t="n">
        <f aca="false">IF(AND($K1848=1,AND(对接源_02物料!$X648="公司筐",N(对接源_02物料!$V648)&lt;&gt;0)),1,0)</f>
        <v>0</v>
      </c>
      <c r="U1848" s="1" t="n">
        <f aca="false">N(U1847)+$T1848</f>
        <v>28</v>
      </c>
      <c r="V1848" s="1" t="n">
        <f aca="false">IF(AND($L1848=1,AND(对接源_02物料!$X648="自备筐",N(对接源_02物料!$V648)&lt;&gt;0)),1,0)</f>
        <v>0</v>
      </c>
      <c r="W1848" s="1" t="n">
        <f aca="false">N(W1847)+$V1848</f>
        <v>7</v>
      </c>
      <c r="X1848" s="1" t="n">
        <f aca="false">IF(AND($L1848=1,AND(对接源_02物料!$X648="自备筐",N(对接源_02物料!$T648)&lt;&gt;0)),1,0)</f>
        <v>0</v>
      </c>
      <c r="Y1848" s="1" t="n">
        <f aca="false">N(Y1847)+$X1848</f>
        <v>0</v>
      </c>
      <c r="Z1848" s="1" t="n">
        <f aca="false">IF(AND($M1848=1,对接源_02物料!$D648="原料入库"),1,0)</f>
        <v>0</v>
      </c>
      <c r="AA1848" s="1" t="n">
        <f aca="false">N(AA1847)+$Z1848</f>
        <v>30</v>
      </c>
      <c r="AB1848" s="1" t="n">
        <f aca="false">IF(AND($M1848=1,LEFT(对接源_02物料!$D648,4)="原料出库"),1,0)</f>
        <v>0</v>
      </c>
      <c r="AC1848" s="1" t="n">
        <f aca="false">N(AC1847)+$AB1848</f>
        <v>19</v>
      </c>
      <c r="AD1848" s="1" t="n">
        <f aca="false">IF(AND($M1848=1,LEFT(对接源_02物料!$D648,4)="成品出库"),1,0)</f>
        <v>0</v>
      </c>
      <c r="AE1848" s="1" t="n">
        <f aca="false">N(AE1847)+$AD1848</f>
        <v>38</v>
      </c>
      <c r="AF1848" s="1" t="n">
        <f aca="false">IF(AND($N1848=1,AND(LEFT(对接源_02物料!$D648,4)="包装物料",N(对接源_02物料!$K648)&lt;&gt;0)),1,0)</f>
        <v>0</v>
      </c>
      <c r="AG1848" s="1" t="n">
        <f aca="false">N(AG1847)+$AF1848</f>
        <v>6</v>
      </c>
      <c r="AH1848" s="1" t="n">
        <f aca="false">IF(AND($N1848=1,AND(LEFT(对接源_02物料!$D648,3)="周转筐",N(对接源_02物料!$K648)&lt;&gt;0)),1,0)</f>
        <v>0</v>
      </c>
      <c r="AI1848" s="1" t="n">
        <f aca="false">N(AI1847)+$AH1848</f>
        <v>0</v>
      </c>
      <c r="AJ1848" s="1" t="n">
        <v>0</v>
      </c>
      <c r="AK1848" s="1" t="n">
        <f aca="false">N(AK1847)+$AJ1848</f>
        <v>3672</v>
      </c>
    </row>
    <row r="1849" customFormat="false" ht="13.5" hidden="false" customHeight="false" outlineLevel="0" collapsed="false">
      <c r="A1849" s="1" t="str">
        <f aca="false">IF(对接源_02物料!$C649="","",对接源_02物料!$C649)</f>
        <v/>
      </c>
      <c r="B1849" s="1" t="n">
        <f aca="false">IF(A1849="",0,IF(MATCH(A1849,$A$4:$A$2403,0)=ROW()-3,1,0))</f>
        <v>0</v>
      </c>
      <c r="C1849" s="1" t="n">
        <f aca="false">N(C1848)+B1849</f>
        <v>17</v>
      </c>
      <c r="K1849" s="1" t="n">
        <f aca="false">IF(OR($K$1="",对接源_02物料!$C649="",对接源_02物料!$C649&lt;&gt;$K$1,对接源_02物料!$B649=""),0,IF(OR(N(对接源_02物料!$B649)&lt;$K$2,N(对接源_02物料!$B649)&gt;$K$3),0,1))</f>
        <v>0</v>
      </c>
      <c r="L1849" s="1" t="n">
        <f aca="false">IF(OR($L$1="",对接源_02物料!$C649="",对接源_02物料!$C649&lt;&gt;$L$1,对接源_02物料!$B649=""),0,IF(OR(N(对接源_02物料!$B649)&lt;$L$2,N(对接源_02物料!$B649)&gt;$L$3),0,1))</f>
        <v>0</v>
      </c>
      <c r="M1849" s="1" t="n">
        <f aca="false">IF(OR($M$1="",对接源_02物料!$C649="",对接源_02物料!$C649&lt;&gt;$M$1,对接源_02物料!$B649=""),0,IF(OR(N(对接源_02物料!$B649)&lt;$M$2,N(对接源_02物料!$B649)&gt;$M$3),0,1))</f>
        <v>0</v>
      </c>
      <c r="N1849" s="1" t="n">
        <f aca="false">IF(OR($N$1="",对接源_02物料!$C649="",对接源_02物料!$C649&lt;&gt;$N$1,对接源_02物料!$B649=""),0,IF(OR(N(对接源_02物料!$B649)&lt;$N$2,N(对接源_02物料!$B649)&gt;$N$3),0,1))</f>
        <v>0</v>
      </c>
      <c r="P1849" s="1" t="n">
        <f aca="false">IF(AND($K1849=1,AND(对接源_02物料!$X649="公司筐",N(对接源_02物料!$T649)&lt;&gt;0)),1,0)</f>
        <v>0</v>
      </c>
      <c r="Q1849" s="1" t="n">
        <f aca="false">N(Q1848)+$P1849</f>
        <v>13</v>
      </c>
      <c r="R1849" s="1" t="n">
        <f aca="false">IF(AND($K1849=1,AND(对接源_02物料!$X649="公司筐",N(对接源_02物料!$U649)&lt;&gt;0)),1,0)</f>
        <v>0</v>
      </c>
      <c r="S1849" s="1" t="n">
        <f aca="false">N(S1848)+$R1849</f>
        <v>5</v>
      </c>
      <c r="T1849" s="1" t="n">
        <f aca="false">IF(AND($K1849=1,AND(对接源_02物料!$X649="公司筐",N(对接源_02物料!$V649)&lt;&gt;0)),1,0)</f>
        <v>0</v>
      </c>
      <c r="U1849" s="1" t="n">
        <f aca="false">N(U1848)+$T1849</f>
        <v>28</v>
      </c>
      <c r="V1849" s="1" t="n">
        <f aca="false">IF(AND($L1849=1,AND(对接源_02物料!$X649="自备筐",N(对接源_02物料!$V649)&lt;&gt;0)),1,0)</f>
        <v>0</v>
      </c>
      <c r="W1849" s="1" t="n">
        <f aca="false">N(W1848)+$V1849</f>
        <v>7</v>
      </c>
      <c r="X1849" s="1" t="n">
        <f aca="false">IF(AND($L1849=1,AND(对接源_02物料!$X649="自备筐",N(对接源_02物料!$T649)&lt;&gt;0)),1,0)</f>
        <v>0</v>
      </c>
      <c r="Y1849" s="1" t="n">
        <f aca="false">N(Y1848)+$X1849</f>
        <v>0</v>
      </c>
      <c r="Z1849" s="1" t="n">
        <f aca="false">IF(AND($M1849=1,对接源_02物料!$D649="原料入库"),1,0)</f>
        <v>0</v>
      </c>
      <c r="AA1849" s="1" t="n">
        <f aca="false">N(AA1848)+$Z1849</f>
        <v>30</v>
      </c>
      <c r="AB1849" s="1" t="n">
        <f aca="false">IF(AND($M1849=1,LEFT(对接源_02物料!$D649,4)="原料出库"),1,0)</f>
        <v>0</v>
      </c>
      <c r="AC1849" s="1" t="n">
        <f aca="false">N(AC1848)+$AB1849</f>
        <v>19</v>
      </c>
      <c r="AD1849" s="1" t="n">
        <f aca="false">IF(AND($M1849=1,LEFT(对接源_02物料!$D649,4)="成品出库"),1,0)</f>
        <v>0</v>
      </c>
      <c r="AE1849" s="1" t="n">
        <f aca="false">N(AE1848)+$AD1849</f>
        <v>38</v>
      </c>
      <c r="AF1849" s="1" t="n">
        <f aca="false">IF(AND($N1849=1,AND(LEFT(对接源_02物料!$D649,4)="包装物料",N(对接源_02物料!$K649)&lt;&gt;0)),1,0)</f>
        <v>0</v>
      </c>
      <c r="AG1849" s="1" t="n">
        <f aca="false">N(AG1848)+$AF1849</f>
        <v>6</v>
      </c>
      <c r="AH1849" s="1" t="n">
        <f aca="false">IF(AND($N1849=1,AND(LEFT(对接源_02物料!$D649,3)="周转筐",N(对接源_02物料!$K649)&lt;&gt;0)),1,0)</f>
        <v>0</v>
      </c>
      <c r="AI1849" s="1" t="n">
        <f aca="false">N(AI1848)+$AH1849</f>
        <v>0</v>
      </c>
      <c r="AJ1849" s="1" t="n">
        <v>0</v>
      </c>
      <c r="AK1849" s="1" t="n">
        <f aca="false">N(AK1848)+$AJ1849</f>
        <v>3672</v>
      </c>
    </row>
    <row r="1850" customFormat="false" ht="13.5" hidden="false" customHeight="false" outlineLevel="0" collapsed="false">
      <c r="A1850" s="1" t="str">
        <f aca="false">IF(对接源_02物料!$C650="","",对接源_02物料!$C650)</f>
        <v/>
      </c>
      <c r="B1850" s="1" t="n">
        <f aca="false">IF(A1850="",0,IF(MATCH(A1850,$A$4:$A$2403,0)=ROW()-3,1,0))</f>
        <v>0</v>
      </c>
      <c r="C1850" s="1" t="n">
        <f aca="false">N(C1849)+B1850</f>
        <v>17</v>
      </c>
      <c r="K1850" s="1" t="n">
        <f aca="false">IF(OR($K$1="",对接源_02物料!$C650="",对接源_02物料!$C650&lt;&gt;$K$1,对接源_02物料!$B650=""),0,IF(OR(N(对接源_02物料!$B650)&lt;$K$2,N(对接源_02物料!$B650)&gt;$K$3),0,1))</f>
        <v>0</v>
      </c>
      <c r="L1850" s="1" t="n">
        <f aca="false">IF(OR($L$1="",对接源_02物料!$C650="",对接源_02物料!$C650&lt;&gt;$L$1,对接源_02物料!$B650=""),0,IF(OR(N(对接源_02物料!$B650)&lt;$L$2,N(对接源_02物料!$B650)&gt;$L$3),0,1))</f>
        <v>0</v>
      </c>
      <c r="M1850" s="1" t="n">
        <f aca="false">IF(OR($M$1="",对接源_02物料!$C650="",对接源_02物料!$C650&lt;&gt;$M$1,对接源_02物料!$B650=""),0,IF(OR(N(对接源_02物料!$B650)&lt;$M$2,N(对接源_02物料!$B650)&gt;$M$3),0,1))</f>
        <v>0</v>
      </c>
      <c r="N1850" s="1" t="n">
        <f aca="false">IF(OR($N$1="",对接源_02物料!$C650="",对接源_02物料!$C650&lt;&gt;$N$1,对接源_02物料!$B650=""),0,IF(OR(N(对接源_02物料!$B650)&lt;$N$2,N(对接源_02物料!$B650)&gt;$N$3),0,1))</f>
        <v>0</v>
      </c>
      <c r="P1850" s="1" t="n">
        <f aca="false">IF(AND($K1850=1,AND(对接源_02物料!$X650="公司筐",N(对接源_02物料!$T650)&lt;&gt;0)),1,0)</f>
        <v>0</v>
      </c>
      <c r="Q1850" s="1" t="n">
        <f aca="false">N(Q1849)+$P1850</f>
        <v>13</v>
      </c>
      <c r="R1850" s="1" t="n">
        <f aca="false">IF(AND($K1850=1,AND(对接源_02物料!$X650="公司筐",N(对接源_02物料!$U650)&lt;&gt;0)),1,0)</f>
        <v>0</v>
      </c>
      <c r="S1850" s="1" t="n">
        <f aca="false">N(S1849)+$R1850</f>
        <v>5</v>
      </c>
      <c r="T1850" s="1" t="n">
        <f aca="false">IF(AND($K1850=1,AND(对接源_02物料!$X650="公司筐",N(对接源_02物料!$V650)&lt;&gt;0)),1,0)</f>
        <v>0</v>
      </c>
      <c r="U1850" s="1" t="n">
        <f aca="false">N(U1849)+$T1850</f>
        <v>28</v>
      </c>
      <c r="V1850" s="1" t="n">
        <f aca="false">IF(AND($L1850=1,AND(对接源_02物料!$X650="自备筐",N(对接源_02物料!$V650)&lt;&gt;0)),1,0)</f>
        <v>0</v>
      </c>
      <c r="W1850" s="1" t="n">
        <f aca="false">N(W1849)+$V1850</f>
        <v>7</v>
      </c>
      <c r="X1850" s="1" t="n">
        <f aca="false">IF(AND($L1850=1,AND(对接源_02物料!$X650="自备筐",N(对接源_02物料!$T650)&lt;&gt;0)),1,0)</f>
        <v>0</v>
      </c>
      <c r="Y1850" s="1" t="n">
        <f aca="false">N(Y1849)+$X1850</f>
        <v>0</v>
      </c>
      <c r="Z1850" s="1" t="n">
        <f aca="false">IF(AND($M1850=1,对接源_02物料!$D650="原料入库"),1,0)</f>
        <v>0</v>
      </c>
      <c r="AA1850" s="1" t="n">
        <f aca="false">N(AA1849)+$Z1850</f>
        <v>30</v>
      </c>
      <c r="AB1850" s="1" t="n">
        <f aca="false">IF(AND($M1850=1,LEFT(对接源_02物料!$D650,4)="原料出库"),1,0)</f>
        <v>0</v>
      </c>
      <c r="AC1850" s="1" t="n">
        <f aca="false">N(AC1849)+$AB1850</f>
        <v>19</v>
      </c>
      <c r="AD1850" s="1" t="n">
        <f aca="false">IF(AND($M1850=1,LEFT(对接源_02物料!$D650,4)="成品出库"),1,0)</f>
        <v>0</v>
      </c>
      <c r="AE1850" s="1" t="n">
        <f aca="false">N(AE1849)+$AD1850</f>
        <v>38</v>
      </c>
      <c r="AF1850" s="1" t="n">
        <f aca="false">IF(AND($N1850=1,AND(LEFT(对接源_02物料!$D650,4)="包装物料",N(对接源_02物料!$K650)&lt;&gt;0)),1,0)</f>
        <v>0</v>
      </c>
      <c r="AG1850" s="1" t="n">
        <f aca="false">N(AG1849)+$AF1850</f>
        <v>6</v>
      </c>
      <c r="AH1850" s="1" t="n">
        <f aca="false">IF(AND($N1850=1,AND(LEFT(对接源_02物料!$D650,3)="周转筐",N(对接源_02物料!$K650)&lt;&gt;0)),1,0)</f>
        <v>0</v>
      </c>
      <c r="AI1850" s="1" t="n">
        <f aca="false">N(AI1849)+$AH1850</f>
        <v>0</v>
      </c>
      <c r="AJ1850" s="1" t="n">
        <v>0</v>
      </c>
      <c r="AK1850" s="1" t="n">
        <f aca="false">N(AK1849)+$AJ1850</f>
        <v>3672</v>
      </c>
    </row>
    <row r="1851" customFormat="false" ht="13.5" hidden="false" customHeight="false" outlineLevel="0" collapsed="false">
      <c r="A1851" s="1" t="str">
        <f aca="false">IF(对接源_02物料!$C651="","",对接源_02物料!$C651)</f>
        <v/>
      </c>
      <c r="B1851" s="1" t="n">
        <f aca="false">IF(A1851="",0,IF(MATCH(A1851,$A$4:$A$2403,0)=ROW()-3,1,0))</f>
        <v>0</v>
      </c>
      <c r="C1851" s="1" t="n">
        <f aca="false">N(C1850)+B1851</f>
        <v>17</v>
      </c>
      <c r="K1851" s="1" t="n">
        <f aca="false">IF(OR($K$1="",对接源_02物料!$C651="",对接源_02物料!$C651&lt;&gt;$K$1,对接源_02物料!$B651=""),0,IF(OR(N(对接源_02物料!$B651)&lt;$K$2,N(对接源_02物料!$B651)&gt;$K$3),0,1))</f>
        <v>0</v>
      </c>
      <c r="L1851" s="1" t="n">
        <f aca="false">IF(OR($L$1="",对接源_02物料!$C651="",对接源_02物料!$C651&lt;&gt;$L$1,对接源_02物料!$B651=""),0,IF(OR(N(对接源_02物料!$B651)&lt;$L$2,N(对接源_02物料!$B651)&gt;$L$3),0,1))</f>
        <v>0</v>
      </c>
      <c r="M1851" s="1" t="n">
        <f aca="false">IF(OR($M$1="",对接源_02物料!$C651="",对接源_02物料!$C651&lt;&gt;$M$1,对接源_02物料!$B651=""),0,IF(OR(N(对接源_02物料!$B651)&lt;$M$2,N(对接源_02物料!$B651)&gt;$M$3),0,1))</f>
        <v>0</v>
      </c>
      <c r="N1851" s="1" t="n">
        <f aca="false">IF(OR($N$1="",对接源_02物料!$C651="",对接源_02物料!$C651&lt;&gt;$N$1,对接源_02物料!$B651=""),0,IF(OR(N(对接源_02物料!$B651)&lt;$N$2,N(对接源_02物料!$B651)&gt;$N$3),0,1))</f>
        <v>0</v>
      </c>
      <c r="P1851" s="1" t="n">
        <f aca="false">IF(AND($K1851=1,AND(对接源_02物料!$X651="公司筐",N(对接源_02物料!$T651)&lt;&gt;0)),1,0)</f>
        <v>0</v>
      </c>
      <c r="Q1851" s="1" t="n">
        <f aca="false">N(Q1850)+$P1851</f>
        <v>13</v>
      </c>
      <c r="R1851" s="1" t="n">
        <f aca="false">IF(AND($K1851=1,AND(对接源_02物料!$X651="公司筐",N(对接源_02物料!$U651)&lt;&gt;0)),1,0)</f>
        <v>0</v>
      </c>
      <c r="S1851" s="1" t="n">
        <f aca="false">N(S1850)+$R1851</f>
        <v>5</v>
      </c>
      <c r="T1851" s="1" t="n">
        <f aca="false">IF(AND($K1851=1,AND(对接源_02物料!$X651="公司筐",N(对接源_02物料!$V651)&lt;&gt;0)),1,0)</f>
        <v>0</v>
      </c>
      <c r="U1851" s="1" t="n">
        <f aca="false">N(U1850)+$T1851</f>
        <v>28</v>
      </c>
      <c r="V1851" s="1" t="n">
        <f aca="false">IF(AND($L1851=1,AND(对接源_02物料!$X651="自备筐",N(对接源_02物料!$V651)&lt;&gt;0)),1,0)</f>
        <v>0</v>
      </c>
      <c r="W1851" s="1" t="n">
        <f aca="false">N(W1850)+$V1851</f>
        <v>7</v>
      </c>
      <c r="X1851" s="1" t="n">
        <f aca="false">IF(AND($L1851=1,AND(对接源_02物料!$X651="自备筐",N(对接源_02物料!$T651)&lt;&gt;0)),1,0)</f>
        <v>0</v>
      </c>
      <c r="Y1851" s="1" t="n">
        <f aca="false">N(Y1850)+$X1851</f>
        <v>0</v>
      </c>
      <c r="Z1851" s="1" t="n">
        <f aca="false">IF(AND($M1851=1,对接源_02物料!$D651="原料入库"),1,0)</f>
        <v>0</v>
      </c>
      <c r="AA1851" s="1" t="n">
        <f aca="false">N(AA1850)+$Z1851</f>
        <v>30</v>
      </c>
      <c r="AB1851" s="1" t="n">
        <f aca="false">IF(AND($M1851=1,LEFT(对接源_02物料!$D651,4)="原料出库"),1,0)</f>
        <v>0</v>
      </c>
      <c r="AC1851" s="1" t="n">
        <f aca="false">N(AC1850)+$AB1851</f>
        <v>19</v>
      </c>
      <c r="AD1851" s="1" t="n">
        <f aca="false">IF(AND($M1851=1,LEFT(对接源_02物料!$D651,4)="成品出库"),1,0)</f>
        <v>0</v>
      </c>
      <c r="AE1851" s="1" t="n">
        <f aca="false">N(AE1850)+$AD1851</f>
        <v>38</v>
      </c>
      <c r="AF1851" s="1" t="n">
        <f aca="false">IF(AND($N1851=1,AND(LEFT(对接源_02物料!$D651,4)="包装物料",N(对接源_02物料!$K651)&lt;&gt;0)),1,0)</f>
        <v>0</v>
      </c>
      <c r="AG1851" s="1" t="n">
        <f aca="false">N(AG1850)+$AF1851</f>
        <v>6</v>
      </c>
      <c r="AH1851" s="1" t="n">
        <f aca="false">IF(AND($N1851=1,AND(LEFT(对接源_02物料!$D651,3)="周转筐",N(对接源_02物料!$K651)&lt;&gt;0)),1,0)</f>
        <v>0</v>
      </c>
      <c r="AI1851" s="1" t="n">
        <f aca="false">N(AI1850)+$AH1851</f>
        <v>0</v>
      </c>
      <c r="AJ1851" s="1" t="n">
        <v>0</v>
      </c>
      <c r="AK1851" s="1" t="n">
        <f aca="false">N(AK1850)+$AJ1851</f>
        <v>3672</v>
      </c>
    </row>
    <row r="1852" customFormat="false" ht="13.5" hidden="false" customHeight="false" outlineLevel="0" collapsed="false">
      <c r="A1852" s="1" t="str">
        <f aca="false">IF(对接源_02物料!$C652="","",对接源_02物料!$C652)</f>
        <v/>
      </c>
      <c r="B1852" s="1" t="n">
        <f aca="false">IF(A1852="",0,IF(MATCH(A1852,$A$4:$A$2403,0)=ROW()-3,1,0))</f>
        <v>0</v>
      </c>
      <c r="C1852" s="1" t="n">
        <f aca="false">N(C1851)+B1852</f>
        <v>17</v>
      </c>
      <c r="K1852" s="1" t="n">
        <f aca="false">IF(OR($K$1="",对接源_02物料!$C652="",对接源_02物料!$C652&lt;&gt;$K$1,对接源_02物料!$B652=""),0,IF(OR(N(对接源_02物料!$B652)&lt;$K$2,N(对接源_02物料!$B652)&gt;$K$3),0,1))</f>
        <v>0</v>
      </c>
      <c r="L1852" s="1" t="n">
        <f aca="false">IF(OR($L$1="",对接源_02物料!$C652="",对接源_02物料!$C652&lt;&gt;$L$1,对接源_02物料!$B652=""),0,IF(OR(N(对接源_02物料!$B652)&lt;$L$2,N(对接源_02物料!$B652)&gt;$L$3),0,1))</f>
        <v>0</v>
      </c>
      <c r="M1852" s="1" t="n">
        <f aca="false">IF(OR($M$1="",对接源_02物料!$C652="",对接源_02物料!$C652&lt;&gt;$M$1,对接源_02物料!$B652=""),0,IF(OR(N(对接源_02物料!$B652)&lt;$M$2,N(对接源_02物料!$B652)&gt;$M$3),0,1))</f>
        <v>0</v>
      </c>
      <c r="N1852" s="1" t="n">
        <f aca="false">IF(OR($N$1="",对接源_02物料!$C652="",对接源_02物料!$C652&lt;&gt;$N$1,对接源_02物料!$B652=""),0,IF(OR(N(对接源_02物料!$B652)&lt;$N$2,N(对接源_02物料!$B652)&gt;$N$3),0,1))</f>
        <v>0</v>
      </c>
      <c r="P1852" s="1" t="n">
        <f aca="false">IF(AND($K1852=1,AND(对接源_02物料!$X652="公司筐",N(对接源_02物料!$T652)&lt;&gt;0)),1,0)</f>
        <v>0</v>
      </c>
      <c r="Q1852" s="1" t="n">
        <f aca="false">N(Q1851)+$P1852</f>
        <v>13</v>
      </c>
      <c r="R1852" s="1" t="n">
        <f aca="false">IF(AND($K1852=1,AND(对接源_02物料!$X652="公司筐",N(对接源_02物料!$U652)&lt;&gt;0)),1,0)</f>
        <v>0</v>
      </c>
      <c r="S1852" s="1" t="n">
        <f aca="false">N(S1851)+$R1852</f>
        <v>5</v>
      </c>
      <c r="T1852" s="1" t="n">
        <f aca="false">IF(AND($K1852=1,AND(对接源_02物料!$X652="公司筐",N(对接源_02物料!$V652)&lt;&gt;0)),1,0)</f>
        <v>0</v>
      </c>
      <c r="U1852" s="1" t="n">
        <f aca="false">N(U1851)+$T1852</f>
        <v>28</v>
      </c>
      <c r="V1852" s="1" t="n">
        <f aca="false">IF(AND($L1852=1,AND(对接源_02物料!$X652="自备筐",N(对接源_02物料!$V652)&lt;&gt;0)),1,0)</f>
        <v>0</v>
      </c>
      <c r="W1852" s="1" t="n">
        <f aca="false">N(W1851)+$V1852</f>
        <v>7</v>
      </c>
      <c r="X1852" s="1" t="n">
        <f aca="false">IF(AND($L1852=1,AND(对接源_02物料!$X652="自备筐",N(对接源_02物料!$T652)&lt;&gt;0)),1,0)</f>
        <v>0</v>
      </c>
      <c r="Y1852" s="1" t="n">
        <f aca="false">N(Y1851)+$X1852</f>
        <v>0</v>
      </c>
      <c r="Z1852" s="1" t="n">
        <f aca="false">IF(AND($M1852=1,对接源_02物料!$D652="原料入库"),1,0)</f>
        <v>0</v>
      </c>
      <c r="AA1852" s="1" t="n">
        <f aca="false">N(AA1851)+$Z1852</f>
        <v>30</v>
      </c>
      <c r="AB1852" s="1" t="n">
        <f aca="false">IF(AND($M1852=1,LEFT(对接源_02物料!$D652,4)="原料出库"),1,0)</f>
        <v>0</v>
      </c>
      <c r="AC1852" s="1" t="n">
        <f aca="false">N(AC1851)+$AB1852</f>
        <v>19</v>
      </c>
      <c r="AD1852" s="1" t="n">
        <f aca="false">IF(AND($M1852=1,LEFT(对接源_02物料!$D652,4)="成品出库"),1,0)</f>
        <v>0</v>
      </c>
      <c r="AE1852" s="1" t="n">
        <f aca="false">N(AE1851)+$AD1852</f>
        <v>38</v>
      </c>
      <c r="AF1852" s="1" t="n">
        <f aca="false">IF(AND($N1852=1,AND(LEFT(对接源_02物料!$D652,4)="包装物料",N(对接源_02物料!$K652)&lt;&gt;0)),1,0)</f>
        <v>0</v>
      </c>
      <c r="AG1852" s="1" t="n">
        <f aca="false">N(AG1851)+$AF1852</f>
        <v>6</v>
      </c>
      <c r="AH1852" s="1" t="n">
        <f aca="false">IF(AND($N1852=1,AND(LEFT(对接源_02物料!$D652,3)="周转筐",N(对接源_02物料!$K652)&lt;&gt;0)),1,0)</f>
        <v>0</v>
      </c>
      <c r="AI1852" s="1" t="n">
        <f aca="false">N(AI1851)+$AH1852</f>
        <v>0</v>
      </c>
      <c r="AJ1852" s="1" t="n">
        <v>0</v>
      </c>
      <c r="AK1852" s="1" t="n">
        <f aca="false">N(AK1851)+$AJ1852</f>
        <v>3672</v>
      </c>
    </row>
    <row r="1853" customFormat="false" ht="13.5" hidden="false" customHeight="false" outlineLevel="0" collapsed="false">
      <c r="A1853" s="1" t="str">
        <f aca="false">IF(对接源_02物料!$C653="","",对接源_02物料!$C653)</f>
        <v/>
      </c>
      <c r="B1853" s="1" t="n">
        <f aca="false">IF(A1853="",0,IF(MATCH(A1853,$A$4:$A$2403,0)=ROW()-3,1,0))</f>
        <v>0</v>
      </c>
      <c r="C1853" s="1" t="n">
        <f aca="false">N(C1852)+B1853</f>
        <v>17</v>
      </c>
      <c r="K1853" s="1" t="n">
        <f aca="false">IF(OR($K$1="",对接源_02物料!$C653="",对接源_02物料!$C653&lt;&gt;$K$1,对接源_02物料!$B653=""),0,IF(OR(N(对接源_02物料!$B653)&lt;$K$2,N(对接源_02物料!$B653)&gt;$K$3),0,1))</f>
        <v>0</v>
      </c>
      <c r="L1853" s="1" t="n">
        <f aca="false">IF(OR($L$1="",对接源_02物料!$C653="",对接源_02物料!$C653&lt;&gt;$L$1,对接源_02物料!$B653=""),0,IF(OR(N(对接源_02物料!$B653)&lt;$L$2,N(对接源_02物料!$B653)&gt;$L$3),0,1))</f>
        <v>0</v>
      </c>
      <c r="M1853" s="1" t="n">
        <f aca="false">IF(OR($M$1="",对接源_02物料!$C653="",对接源_02物料!$C653&lt;&gt;$M$1,对接源_02物料!$B653=""),0,IF(OR(N(对接源_02物料!$B653)&lt;$M$2,N(对接源_02物料!$B653)&gt;$M$3),0,1))</f>
        <v>0</v>
      </c>
      <c r="N1853" s="1" t="n">
        <f aca="false">IF(OR($N$1="",对接源_02物料!$C653="",对接源_02物料!$C653&lt;&gt;$N$1,对接源_02物料!$B653=""),0,IF(OR(N(对接源_02物料!$B653)&lt;$N$2,N(对接源_02物料!$B653)&gt;$N$3),0,1))</f>
        <v>0</v>
      </c>
      <c r="P1853" s="1" t="n">
        <f aca="false">IF(AND($K1853=1,AND(对接源_02物料!$X653="公司筐",N(对接源_02物料!$T653)&lt;&gt;0)),1,0)</f>
        <v>0</v>
      </c>
      <c r="Q1853" s="1" t="n">
        <f aca="false">N(Q1852)+$P1853</f>
        <v>13</v>
      </c>
      <c r="R1853" s="1" t="n">
        <f aca="false">IF(AND($K1853=1,AND(对接源_02物料!$X653="公司筐",N(对接源_02物料!$U653)&lt;&gt;0)),1,0)</f>
        <v>0</v>
      </c>
      <c r="S1853" s="1" t="n">
        <f aca="false">N(S1852)+$R1853</f>
        <v>5</v>
      </c>
      <c r="T1853" s="1" t="n">
        <f aca="false">IF(AND($K1853=1,AND(对接源_02物料!$X653="公司筐",N(对接源_02物料!$V653)&lt;&gt;0)),1,0)</f>
        <v>0</v>
      </c>
      <c r="U1853" s="1" t="n">
        <f aca="false">N(U1852)+$T1853</f>
        <v>28</v>
      </c>
      <c r="V1853" s="1" t="n">
        <f aca="false">IF(AND($L1853=1,AND(对接源_02物料!$X653="自备筐",N(对接源_02物料!$V653)&lt;&gt;0)),1,0)</f>
        <v>0</v>
      </c>
      <c r="W1853" s="1" t="n">
        <f aca="false">N(W1852)+$V1853</f>
        <v>7</v>
      </c>
      <c r="X1853" s="1" t="n">
        <f aca="false">IF(AND($L1853=1,AND(对接源_02物料!$X653="自备筐",N(对接源_02物料!$T653)&lt;&gt;0)),1,0)</f>
        <v>0</v>
      </c>
      <c r="Y1853" s="1" t="n">
        <f aca="false">N(Y1852)+$X1853</f>
        <v>0</v>
      </c>
      <c r="Z1853" s="1" t="n">
        <f aca="false">IF(AND($M1853=1,对接源_02物料!$D653="原料入库"),1,0)</f>
        <v>0</v>
      </c>
      <c r="AA1853" s="1" t="n">
        <f aca="false">N(AA1852)+$Z1853</f>
        <v>30</v>
      </c>
      <c r="AB1853" s="1" t="n">
        <f aca="false">IF(AND($M1853=1,LEFT(对接源_02物料!$D653,4)="原料出库"),1,0)</f>
        <v>0</v>
      </c>
      <c r="AC1853" s="1" t="n">
        <f aca="false">N(AC1852)+$AB1853</f>
        <v>19</v>
      </c>
      <c r="AD1853" s="1" t="n">
        <f aca="false">IF(AND($M1853=1,LEFT(对接源_02物料!$D653,4)="成品出库"),1,0)</f>
        <v>0</v>
      </c>
      <c r="AE1853" s="1" t="n">
        <f aca="false">N(AE1852)+$AD1853</f>
        <v>38</v>
      </c>
      <c r="AF1853" s="1" t="n">
        <f aca="false">IF(AND($N1853=1,AND(LEFT(对接源_02物料!$D653,4)="包装物料",N(对接源_02物料!$K653)&lt;&gt;0)),1,0)</f>
        <v>0</v>
      </c>
      <c r="AG1853" s="1" t="n">
        <f aca="false">N(AG1852)+$AF1853</f>
        <v>6</v>
      </c>
      <c r="AH1853" s="1" t="n">
        <f aca="false">IF(AND($N1853=1,AND(LEFT(对接源_02物料!$D653,3)="周转筐",N(对接源_02物料!$K653)&lt;&gt;0)),1,0)</f>
        <v>0</v>
      </c>
      <c r="AI1853" s="1" t="n">
        <f aca="false">N(AI1852)+$AH1853</f>
        <v>0</v>
      </c>
      <c r="AJ1853" s="1" t="n">
        <v>0</v>
      </c>
      <c r="AK1853" s="1" t="n">
        <f aca="false">N(AK1852)+$AJ1853</f>
        <v>3672</v>
      </c>
    </row>
    <row r="1854" customFormat="false" ht="13.5" hidden="false" customHeight="false" outlineLevel="0" collapsed="false">
      <c r="A1854" s="1" t="str">
        <f aca="false">IF(对接源_02物料!$C654="","",对接源_02物料!$C654)</f>
        <v/>
      </c>
      <c r="B1854" s="1" t="n">
        <f aca="false">IF(A1854="",0,IF(MATCH(A1854,$A$4:$A$2403,0)=ROW()-3,1,0))</f>
        <v>0</v>
      </c>
      <c r="C1854" s="1" t="n">
        <f aca="false">N(C1853)+B1854</f>
        <v>17</v>
      </c>
      <c r="K1854" s="1" t="n">
        <f aca="false">IF(OR($K$1="",对接源_02物料!$C654="",对接源_02物料!$C654&lt;&gt;$K$1,对接源_02物料!$B654=""),0,IF(OR(N(对接源_02物料!$B654)&lt;$K$2,N(对接源_02物料!$B654)&gt;$K$3),0,1))</f>
        <v>0</v>
      </c>
      <c r="L1854" s="1" t="n">
        <f aca="false">IF(OR($L$1="",对接源_02物料!$C654="",对接源_02物料!$C654&lt;&gt;$L$1,对接源_02物料!$B654=""),0,IF(OR(N(对接源_02物料!$B654)&lt;$L$2,N(对接源_02物料!$B654)&gt;$L$3),0,1))</f>
        <v>0</v>
      </c>
      <c r="M1854" s="1" t="n">
        <f aca="false">IF(OR($M$1="",对接源_02物料!$C654="",对接源_02物料!$C654&lt;&gt;$M$1,对接源_02物料!$B654=""),0,IF(OR(N(对接源_02物料!$B654)&lt;$M$2,N(对接源_02物料!$B654)&gt;$M$3),0,1))</f>
        <v>0</v>
      </c>
      <c r="N1854" s="1" t="n">
        <f aca="false">IF(OR($N$1="",对接源_02物料!$C654="",对接源_02物料!$C654&lt;&gt;$N$1,对接源_02物料!$B654=""),0,IF(OR(N(对接源_02物料!$B654)&lt;$N$2,N(对接源_02物料!$B654)&gt;$N$3),0,1))</f>
        <v>0</v>
      </c>
      <c r="P1854" s="1" t="n">
        <f aca="false">IF(AND($K1854=1,AND(对接源_02物料!$X654="公司筐",N(对接源_02物料!$T654)&lt;&gt;0)),1,0)</f>
        <v>0</v>
      </c>
      <c r="Q1854" s="1" t="n">
        <f aca="false">N(Q1853)+$P1854</f>
        <v>13</v>
      </c>
      <c r="R1854" s="1" t="n">
        <f aca="false">IF(AND($K1854=1,AND(对接源_02物料!$X654="公司筐",N(对接源_02物料!$U654)&lt;&gt;0)),1,0)</f>
        <v>0</v>
      </c>
      <c r="S1854" s="1" t="n">
        <f aca="false">N(S1853)+$R1854</f>
        <v>5</v>
      </c>
      <c r="T1854" s="1" t="n">
        <f aca="false">IF(AND($K1854=1,AND(对接源_02物料!$X654="公司筐",N(对接源_02物料!$V654)&lt;&gt;0)),1,0)</f>
        <v>0</v>
      </c>
      <c r="U1854" s="1" t="n">
        <f aca="false">N(U1853)+$T1854</f>
        <v>28</v>
      </c>
      <c r="V1854" s="1" t="n">
        <f aca="false">IF(AND($L1854=1,AND(对接源_02物料!$X654="自备筐",N(对接源_02物料!$V654)&lt;&gt;0)),1,0)</f>
        <v>0</v>
      </c>
      <c r="W1854" s="1" t="n">
        <f aca="false">N(W1853)+$V1854</f>
        <v>7</v>
      </c>
      <c r="X1854" s="1" t="n">
        <f aca="false">IF(AND($L1854=1,AND(对接源_02物料!$X654="自备筐",N(对接源_02物料!$T654)&lt;&gt;0)),1,0)</f>
        <v>0</v>
      </c>
      <c r="Y1854" s="1" t="n">
        <f aca="false">N(Y1853)+$X1854</f>
        <v>0</v>
      </c>
      <c r="Z1854" s="1" t="n">
        <f aca="false">IF(AND($M1854=1,对接源_02物料!$D654="原料入库"),1,0)</f>
        <v>0</v>
      </c>
      <c r="AA1854" s="1" t="n">
        <f aca="false">N(AA1853)+$Z1854</f>
        <v>30</v>
      </c>
      <c r="AB1854" s="1" t="n">
        <f aca="false">IF(AND($M1854=1,LEFT(对接源_02物料!$D654,4)="原料出库"),1,0)</f>
        <v>0</v>
      </c>
      <c r="AC1854" s="1" t="n">
        <f aca="false">N(AC1853)+$AB1854</f>
        <v>19</v>
      </c>
      <c r="AD1854" s="1" t="n">
        <f aca="false">IF(AND($M1854=1,LEFT(对接源_02物料!$D654,4)="成品出库"),1,0)</f>
        <v>0</v>
      </c>
      <c r="AE1854" s="1" t="n">
        <f aca="false">N(AE1853)+$AD1854</f>
        <v>38</v>
      </c>
      <c r="AF1854" s="1" t="n">
        <f aca="false">IF(AND($N1854=1,AND(LEFT(对接源_02物料!$D654,4)="包装物料",N(对接源_02物料!$K654)&lt;&gt;0)),1,0)</f>
        <v>0</v>
      </c>
      <c r="AG1854" s="1" t="n">
        <f aca="false">N(AG1853)+$AF1854</f>
        <v>6</v>
      </c>
      <c r="AH1854" s="1" t="n">
        <f aca="false">IF(AND($N1854=1,AND(LEFT(对接源_02物料!$D654,3)="周转筐",N(对接源_02物料!$K654)&lt;&gt;0)),1,0)</f>
        <v>0</v>
      </c>
      <c r="AI1854" s="1" t="n">
        <f aca="false">N(AI1853)+$AH1854</f>
        <v>0</v>
      </c>
      <c r="AJ1854" s="1" t="n">
        <v>0</v>
      </c>
      <c r="AK1854" s="1" t="n">
        <f aca="false">N(AK1853)+$AJ1854</f>
        <v>3672</v>
      </c>
    </row>
    <row r="1855" customFormat="false" ht="13.5" hidden="false" customHeight="false" outlineLevel="0" collapsed="false">
      <c r="A1855" s="1" t="str">
        <f aca="false">IF(对接源_02物料!$C655="","",对接源_02物料!$C655)</f>
        <v/>
      </c>
      <c r="B1855" s="1" t="n">
        <f aca="false">IF(A1855="",0,IF(MATCH(A1855,$A$4:$A$2403,0)=ROW()-3,1,0))</f>
        <v>0</v>
      </c>
      <c r="C1855" s="1" t="n">
        <f aca="false">N(C1854)+B1855</f>
        <v>17</v>
      </c>
      <c r="K1855" s="1" t="n">
        <f aca="false">IF(OR($K$1="",对接源_02物料!$C655="",对接源_02物料!$C655&lt;&gt;$K$1,对接源_02物料!$B655=""),0,IF(OR(N(对接源_02物料!$B655)&lt;$K$2,N(对接源_02物料!$B655)&gt;$K$3),0,1))</f>
        <v>0</v>
      </c>
      <c r="L1855" s="1" t="n">
        <f aca="false">IF(OR($L$1="",对接源_02物料!$C655="",对接源_02物料!$C655&lt;&gt;$L$1,对接源_02物料!$B655=""),0,IF(OR(N(对接源_02物料!$B655)&lt;$L$2,N(对接源_02物料!$B655)&gt;$L$3),0,1))</f>
        <v>0</v>
      </c>
      <c r="M1855" s="1" t="n">
        <f aca="false">IF(OR($M$1="",对接源_02物料!$C655="",对接源_02物料!$C655&lt;&gt;$M$1,对接源_02物料!$B655=""),0,IF(OR(N(对接源_02物料!$B655)&lt;$M$2,N(对接源_02物料!$B655)&gt;$M$3),0,1))</f>
        <v>0</v>
      </c>
      <c r="N1855" s="1" t="n">
        <f aca="false">IF(OR($N$1="",对接源_02物料!$C655="",对接源_02物料!$C655&lt;&gt;$N$1,对接源_02物料!$B655=""),0,IF(OR(N(对接源_02物料!$B655)&lt;$N$2,N(对接源_02物料!$B655)&gt;$N$3),0,1))</f>
        <v>0</v>
      </c>
      <c r="P1855" s="1" t="n">
        <f aca="false">IF(AND($K1855=1,AND(对接源_02物料!$X655="公司筐",N(对接源_02物料!$T655)&lt;&gt;0)),1,0)</f>
        <v>0</v>
      </c>
      <c r="Q1855" s="1" t="n">
        <f aca="false">N(Q1854)+$P1855</f>
        <v>13</v>
      </c>
      <c r="R1855" s="1" t="n">
        <f aca="false">IF(AND($K1855=1,AND(对接源_02物料!$X655="公司筐",N(对接源_02物料!$U655)&lt;&gt;0)),1,0)</f>
        <v>0</v>
      </c>
      <c r="S1855" s="1" t="n">
        <f aca="false">N(S1854)+$R1855</f>
        <v>5</v>
      </c>
      <c r="T1855" s="1" t="n">
        <f aca="false">IF(AND($K1855=1,AND(对接源_02物料!$X655="公司筐",N(对接源_02物料!$V655)&lt;&gt;0)),1,0)</f>
        <v>0</v>
      </c>
      <c r="U1855" s="1" t="n">
        <f aca="false">N(U1854)+$T1855</f>
        <v>28</v>
      </c>
      <c r="V1855" s="1" t="n">
        <f aca="false">IF(AND($L1855=1,AND(对接源_02物料!$X655="自备筐",N(对接源_02物料!$V655)&lt;&gt;0)),1,0)</f>
        <v>0</v>
      </c>
      <c r="W1855" s="1" t="n">
        <f aca="false">N(W1854)+$V1855</f>
        <v>7</v>
      </c>
      <c r="X1855" s="1" t="n">
        <f aca="false">IF(AND($L1855=1,AND(对接源_02物料!$X655="自备筐",N(对接源_02物料!$T655)&lt;&gt;0)),1,0)</f>
        <v>0</v>
      </c>
      <c r="Y1855" s="1" t="n">
        <f aca="false">N(Y1854)+$X1855</f>
        <v>0</v>
      </c>
      <c r="Z1855" s="1" t="n">
        <f aca="false">IF(AND($M1855=1,对接源_02物料!$D655="原料入库"),1,0)</f>
        <v>0</v>
      </c>
      <c r="AA1855" s="1" t="n">
        <f aca="false">N(AA1854)+$Z1855</f>
        <v>30</v>
      </c>
      <c r="AB1855" s="1" t="n">
        <f aca="false">IF(AND($M1855=1,LEFT(对接源_02物料!$D655,4)="原料出库"),1,0)</f>
        <v>0</v>
      </c>
      <c r="AC1855" s="1" t="n">
        <f aca="false">N(AC1854)+$AB1855</f>
        <v>19</v>
      </c>
      <c r="AD1855" s="1" t="n">
        <f aca="false">IF(AND($M1855=1,LEFT(对接源_02物料!$D655,4)="成品出库"),1,0)</f>
        <v>0</v>
      </c>
      <c r="AE1855" s="1" t="n">
        <f aca="false">N(AE1854)+$AD1855</f>
        <v>38</v>
      </c>
      <c r="AF1855" s="1" t="n">
        <f aca="false">IF(AND($N1855=1,AND(LEFT(对接源_02物料!$D655,4)="包装物料",N(对接源_02物料!$K655)&lt;&gt;0)),1,0)</f>
        <v>0</v>
      </c>
      <c r="AG1855" s="1" t="n">
        <f aca="false">N(AG1854)+$AF1855</f>
        <v>6</v>
      </c>
      <c r="AH1855" s="1" t="n">
        <f aca="false">IF(AND($N1855=1,AND(LEFT(对接源_02物料!$D655,3)="周转筐",N(对接源_02物料!$K655)&lt;&gt;0)),1,0)</f>
        <v>0</v>
      </c>
      <c r="AI1855" s="1" t="n">
        <f aca="false">N(AI1854)+$AH1855</f>
        <v>0</v>
      </c>
      <c r="AJ1855" s="1" t="n">
        <v>0</v>
      </c>
      <c r="AK1855" s="1" t="n">
        <f aca="false">N(AK1854)+$AJ1855</f>
        <v>3672</v>
      </c>
    </row>
    <row r="1856" customFormat="false" ht="13.5" hidden="false" customHeight="false" outlineLevel="0" collapsed="false">
      <c r="A1856" s="1" t="str">
        <f aca="false">IF(对接源_02物料!$C656="","",对接源_02物料!$C656)</f>
        <v/>
      </c>
      <c r="B1856" s="1" t="n">
        <f aca="false">IF(A1856="",0,IF(MATCH(A1856,$A$4:$A$2403,0)=ROW()-3,1,0))</f>
        <v>0</v>
      </c>
      <c r="C1856" s="1" t="n">
        <f aca="false">N(C1855)+B1856</f>
        <v>17</v>
      </c>
      <c r="K1856" s="1" t="n">
        <f aca="false">IF(OR($K$1="",对接源_02物料!$C656="",对接源_02物料!$C656&lt;&gt;$K$1,对接源_02物料!$B656=""),0,IF(OR(N(对接源_02物料!$B656)&lt;$K$2,N(对接源_02物料!$B656)&gt;$K$3),0,1))</f>
        <v>0</v>
      </c>
      <c r="L1856" s="1" t="n">
        <f aca="false">IF(OR($L$1="",对接源_02物料!$C656="",对接源_02物料!$C656&lt;&gt;$L$1,对接源_02物料!$B656=""),0,IF(OR(N(对接源_02物料!$B656)&lt;$L$2,N(对接源_02物料!$B656)&gt;$L$3),0,1))</f>
        <v>0</v>
      </c>
      <c r="M1856" s="1" t="n">
        <f aca="false">IF(OR($M$1="",对接源_02物料!$C656="",对接源_02物料!$C656&lt;&gt;$M$1,对接源_02物料!$B656=""),0,IF(OR(N(对接源_02物料!$B656)&lt;$M$2,N(对接源_02物料!$B656)&gt;$M$3),0,1))</f>
        <v>0</v>
      </c>
      <c r="N1856" s="1" t="n">
        <f aca="false">IF(OR($N$1="",对接源_02物料!$C656="",对接源_02物料!$C656&lt;&gt;$N$1,对接源_02物料!$B656=""),0,IF(OR(N(对接源_02物料!$B656)&lt;$N$2,N(对接源_02物料!$B656)&gt;$N$3),0,1))</f>
        <v>0</v>
      </c>
      <c r="P1856" s="1" t="n">
        <f aca="false">IF(AND($K1856=1,AND(对接源_02物料!$X656="公司筐",N(对接源_02物料!$T656)&lt;&gt;0)),1,0)</f>
        <v>0</v>
      </c>
      <c r="Q1856" s="1" t="n">
        <f aca="false">N(Q1855)+$P1856</f>
        <v>13</v>
      </c>
      <c r="R1856" s="1" t="n">
        <f aca="false">IF(AND($K1856=1,AND(对接源_02物料!$X656="公司筐",N(对接源_02物料!$U656)&lt;&gt;0)),1,0)</f>
        <v>0</v>
      </c>
      <c r="S1856" s="1" t="n">
        <f aca="false">N(S1855)+$R1856</f>
        <v>5</v>
      </c>
      <c r="T1856" s="1" t="n">
        <f aca="false">IF(AND($K1856=1,AND(对接源_02物料!$X656="公司筐",N(对接源_02物料!$V656)&lt;&gt;0)),1,0)</f>
        <v>0</v>
      </c>
      <c r="U1856" s="1" t="n">
        <f aca="false">N(U1855)+$T1856</f>
        <v>28</v>
      </c>
      <c r="V1856" s="1" t="n">
        <f aca="false">IF(AND($L1856=1,AND(对接源_02物料!$X656="自备筐",N(对接源_02物料!$V656)&lt;&gt;0)),1,0)</f>
        <v>0</v>
      </c>
      <c r="W1856" s="1" t="n">
        <f aca="false">N(W1855)+$V1856</f>
        <v>7</v>
      </c>
      <c r="X1856" s="1" t="n">
        <f aca="false">IF(AND($L1856=1,AND(对接源_02物料!$X656="自备筐",N(对接源_02物料!$T656)&lt;&gt;0)),1,0)</f>
        <v>0</v>
      </c>
      <c r="Y1856" s="1" t="n">
        <f aca="false">N(Y1855)+$X1856</f>
        <v>0</v>
      </c>
      <c r="Z1856" s="1" t="n">
        <f aca="false">IF(AND($M1856=1,对接源_02物料!$D656="原料入库"),1,0)</f>
        <v>0</v>
      </c>
      <c r="AA1856" s="1" t="n">
        <f aca="false">N(AA1855)+$Z1856</f>
        <v>30</v>
      </c>
      <c r="AB1856" s="1" t="n">
        <f aca="false">IF(AND($M1856=1,LEFT(对接源_02物料!$D656,4)="原料出库"),1,0)</f>
        <v>0</v>
      </c>
      <c r="AC1856" s="1" t="n">
        <f aca="false">N(AC1855)+$AB1856</f>
        <v>19</v>
      </c>
      <c r="AD1856" s="1" t="n">
        <f aca="false">IF(AND($M1856=1,LEFT(对接源_02物料!$D656,4)="成品出库"),1,0)</f>
        <v>0</v>
      </c>
      <c r="AE1856" s="1" t="n">
        <f aca="false">N(AE1855)+$AD1856</f>
        <v>38</v>
      </c>
      <c r="AF1856" s="1" t="n">
        <f aca="false">IF(AND($N1856=1,AND(LEFT(对接源_02物料!$D656,4)="包装物料",N(对接源_02物料!$K656)&lt;&gt;0)),1,0)</f>
        <v>0</v>
      </c>
      <c r="AG1856" s="1" t="n">
        <f aca="false">N(AG1855)+$AF1856</f>
        <v>6</v>
      </c>
      <c r="AH1856" s="1" t="n">
        <f aca="false">IF(AND($N1856=1,AND(LEFT(对接源_02物料!$D656,3)="周转筐",N(对接源_02物料!$K656)&lt;&gt;0)),1,0)</f>
        <v>0</v>
      </c>
      <c r="AI1856" s="1" t="n">
        <f aca="false">N(AI1855)+$AH1856</f>
        <v>0</v>
      </c>
      <c r="AJ1856" s="1" t="n">
        <v>0</v>
      </c>
      <c r="AK1856" s="1" t="n">
        <f aca="false">N(AK1855)+$AJ1856</f>
        <v>3672</v>
      </c>
    </row>
    <row r="1857" customFormat="false" ht="13.5" hidden="false" customHeight="false" outlineLevel="0" collapsed="false">
      <c r="A1857" s="1" t="str">
        <f aca="false">IF(对接源_02物料!$C657="","",对接源_02物料!$C657)</f>
        <v/>
      </c>
      <c r="B1857" s="1" t="n">
        <f aca="false">IF(A1857="",0,IF(MATCH(A1857,$A$4:$A$2403,0)=ROW()-3,1,0))</f>
        <v>0</v>
      </c>
      <c r="C1857" s="1" t="n">
        <f aca="false">N(C1856)+B1857</f>
        <v>17</v>
      </c>
      <c r="K1857" s="1" t="n">
        <f aca="false">IF(OR($K$1="",对接源_02物料!$C657="",对接源_02物料!$C657&lt;&gt;$K$1,对接源_02物料!$B657=""),0,IF(OR(N(对接源_02物料!$B657)&lt;$K$2,N(对接源_02物料!$B657)&gt;$K$3),0,1))</f>
        <v>0</v>
      </c>
      <c r="L1857" s="1" t="n">
        <f aca="false">IF(OR($L$1="",对接源_02物料!$C657="",对接源_02物料!$C657&lt;&gt;$L$1,对接源_02物料!$B657=""),0,IF(OR(N(对接源_02物料!$B657)&lt;$L$2,N(对接源_02物料!$B657)&gt;$L$3),0,1))</f>
        <v>0</v>
      </c>
      <c r="M1857" s="1" t="n">
        <f aca="false">IF(OR($M$1="",对接源_02物料!$C657="",对接源_02物料!$C657&lt;&gt;$M$1,对接源_02物料!$B657=""),0,IF(OR(N(对接源_02物料!$B657)&lt;$M$2,N(对接源_02物料!$B657)&gt;$M$3),0,1))</f>
        <v>0</v>
      </c>
      <c r="N1857" s="1" t="n">
        <f aca="false">IF(OR($N$1="",对接源_02物料!$C657="",对接源_02物料!$C657&lt;&gt;$N$1,对接源_02物料!$B657=""),0,IF(OR(N(对接源_02物料!$B657)&lt;$N$2,N(对接源_02物料!$B657)&gt;$N$3),0,1))</f>
        <v>0</v>
      </c>
      <c r="P1857" s="1" t="n">
        <f aca="false">IF(AND($K1857=1,AND(对接源_02物料!$X657="公司筐",N(对接源_02物料!$T657)&lt;&gt;0)),1,0)</f>
        <v>0</v>
      </c>
      <c r="Q1857" s="1" t="n">
        <f aca="false">N(Q1856)+$P1857</f>
        <v>13</v>
      </c>
      <c r="R1857" s="1" t="n">
        <f aca="false">IF(AND($K1857=1,AND(对接源_02物料!$X657="公司筐",N(对接源_02物料!$U657)&lt;&gt;0)),1,0)</f>
        <v>0</v>
      </c>
      <c r="S1857" s="1" t="n">
        <f aca="false">N(S1856)+$R1857</f>
        <v>5</v>
      </c>
      <c r="T1857" s="1" t="n">
        <f aca="false">IF(AND($K1857=1,AND(对接源_02物料!$X657="公司筐",N(对接源_02物料!$V657)&lt;&gt;0)),1,0)</f>
        <v>0</v>
      </c>
      <c r="U1857" s="1" t="n">
        <f aca="false">N(U1856)+$T1857</f>
        <v>28</v>
      </c>
      <c r="V1857" s="1" t="n">
        <f aca="false">IF(AND($L1857=1,AND(对接源_02物料!$X657="自备筐",N(对接源_02物料!$V657)&lt;&gt;0)),1,0)</f>
        <v>0</v>
      </c>
      <c r="W1857" s="1" t="n">
        <f aca="false">N(W1856)+$V1857</f>
        <v>7</v>
      </c>
      <c r="X1857" s="1" t="n">
        <f aca="false">IF(AND($L1857=1,AND(对接源_02物料!$X657="自备筐",N(对接源_02物料!$T657)&lt;&gt;0)),1,0)</f>
        <v>0</v>
      </c>
      <c r="Y1857" s="1" t="n">
        <f aca="false">N(Y1856)+$X1857</f>
        <v>0</v>
      </c>
      <c r="Z1857" s="1" t="n">
        <f aca="false">IF(AND($M1857=1,对接源_02物料!$D657="原料入库"),1,0)</f>
        <v>0</v>
      </c>
      <c r="AA1857" s="1" t="n">
        <f aca="false">N(AA1856)+$Z1857</f>
        <v>30</v>
      </c>
      <c r="AB1857" s="1" t="n">
        <f aca="false">IF(AND($M1857=1,LEFT(对接源_02物料!$D657,4)="原料出库"),1,0)</f>
        <v>0</v>
      </c>
      <c r="AC1857" s="1" t="n">
        <f aca="false">N(AC1856)+$AB1857</f>
        <v>19</v>
      </c>
      <c r="AD1857" s="1" t="n">
        <f aca="false">IF(AND($M1857=1,LEFT(对接源_02物料!$D657,4)="成品出库"),1,0)</f>
        <v>0</v>
      </c>
      <c r="AE1857" s="1" t="n">
        <f aca="false">N(AE1856)+$AD1857</f>
        <v>38</v>
      </c>
      <c r="AF1857" s="1" t="n">
        <f aca="false">IF(AND($N1857=1,AND(LEFT(对接源_02物料!$D657,4)="包装物料",N(对接源_02物料!$K657)&lt;&gt;0)),1,0)</f>
        <v>0</v>
      </c>
      <c r="AG1857" s="1" t="n">
        <f aca="false">N(AG1856)+$AF1857</f>
        <v>6</v>
      </c>
      <c r="AH1857" s="1" t="n">
        <f aca="false">IF(AND($N1857=1,AND(LEFT(对接源_02物料!$D657,3)="周转筐",N(对接源_02物料!$K657)&lt;&gt;0)),1,0)</f>
        <v>0</v>
      </c>
      <c r="AI1857" s="1" t="n">
        <f aca="false">N(AI1856)+$AH1857</f>
        <v>0</v>
      </c>
      <c r="AJ1857" s="1" t="n">
        <v>0</v>
      </c>
      <c r="AK1857" s="1" t="n">
        <f aca="false">N(AK1856)+$AJ1857</f>
        <v>3672</v>
      </c>
    </row>
    <row r="1858" customFormat="false" ht="13.5" hidden="false" customHeight="false" outlineLevel="0" collapsed="false">
      <c r="A1858" s="1" t="str">
        <f aca="false">IF(对接源_02物料!$C658="","",对接源_02物料!$C658)</f>
        <v/>
      </c>
      <c r="B1858" s="1" t="n">
        <f aca="false">IF(A1858="",0,IF(MATCH(A1858,$A$4:$A$2403,0)=ROW()-3,1,0))</f>
        <v>0</v>
      </c>
      <c r="C1858" s="1" t="n">
        <f aca="false">N(C1857)+B1858</f>
        <v>17</v>
      </c>
      <c r="K1858" s="1" t="n">
        <f aca="false">IF(OR($K$1="",对接源_02物料!$C658="",对接源_02物料!$C658&lt;&gt;$K$1,对接源_02物料!$B658=""),0,IF(OR(N(对接源_02物料!$B658)&lt;$K$2,N(对接源_02物料!$B658)&gt;$K$3),0,1))</f>
        <v>0</v>
      </c>
      <c r="L1858" s="1" t="n">
        <f aca="false">IF(OR($L$1="",对接源_02物料!$C658="",对接源_02物料!$C658&lt;&gt;$L$1,对接源_02物料!$B658=""),0,IF(OR(N(对接源_02物料!$B658)&lt;$L$2,N(对接源_02物料!$B658)&gt;$L$3),0,1))</f>
        <v>0</v>
      </c>
      <c r="M1858" s="1" t="n">
        <f aca="false">IF(OR($M$1="",对接源_02物料!$C658="",对接源_02物料!$C658&lt;&gt;$M$1,对接源_02物料!$B658=""),0,IF(OR(N(对接源_02物料!$B658)&lt;$M$2,N(对接源_02物料!$B658)&gt;$M$3),0,1))</f>
        <v>0</v>
      </c>
      <c r="N1858" s="1" t="n">
        <f aca="false">IF(OR($N$1="",对接源_02物料!$C658="",对接源_02物料!$C658&lt;&gt;$N$1,对接源_02物料!$B658=""),0,IF(OR(N(对接源_02物料!$B658)&lt;$N$2,N(对接源_02物料!$B658)&gt;$N$3),0,1))</f>
        <v>0</v>
      </c>
      <c r="P1858" s="1" t="n">
        <f aca="false">IF(AND($K1858=1,AND(对接源_02物料!$X658="公司筐",N(对接源_02物料!$T658)&lt;&gt;0)),1,0)</f>
        <v>0</v>
      </c>
      <c r="Q1858" s="1" t="n">
        <f aca="false">N(Q1857)+$P1858</f>
        <v>13</v>
      </c>
      <c r="R1858" s="1" t="n">
        <f aca="false">IF(AND($K1858=1,AND(对接源_02物料!$X658="公司筐",N(对接源_02物料!$U658)&lt;&gt;0)),1,0)</f>
        <v>0</v>
      </c>
      <c r="S1858" s="1" t="n">
        <f aca="false">N(S1857)+$R1858</f>
        <v>5</v>
      </c>
      <c r="T1858" s="1" t="n">
        <f aca="false">IF(AND($K1858=1,AND(对接源_02物料!$X658="公司筐",N(对接源_02物料!$V658)&lt;&gt;0)),1,0)</f>
        <v>0</v>
      </c>
      <c r="U1858" s="1" t="n">
        <f aca="false">N(U1857)+$T1858</f>
        <v>28</v>
      </c>
      <c r="V1858" s="1" t="n">
        <f aca="false">IF(AND($L1858=1,AND(对接源_02物料!$X658="自备筐",N(对接源_02物料!$V658)&lt;&gt;0)),1,0)</f>
        <v>0</v>
      </c>
      <c r="W1858" s="1" t="n">
        <f aca="false">N(W1857)+$V1858</f>
        <v>7</v>
      </c>
      <c r="X1858" s="1" t="n">
        <f aca="false">IF(AND($L1858=1,AND(对接源_02物料!$X658="自备筐",N(对接源_02物料!$T658)&lt;&gt;0)),1,0)</f>
        <v>0</v>
      </c>
      <c r="Y1858" s="1" t="n">
        <f aca="false">N(Y1857)+$X1858</f>
        <v>0</v>
      </c>
      <c r="Z1858" s="1" t="n">
        <f aca="false">IF(AND($M1858=1,对接源_02物料!$D658="原料入库"),1,0)</f>
        <v>0</v>
      </c>
      <c r="AA1858" s="1" t="n">
        <f aca="false">N(AA1857)+$Z1858</f>
        <v>30</v>
      </c>
      <c r="AB1858" s="1" t="n">
        <f aca="false">IF(AND($M1858=1,LEFT(对接源_02物料!$D658,4)="原料出库"),1,0)</f>
        <v>0</v>
      </c>
      <c r="AC1858" s="1" t="n">
        <f aca="false">N(AC1857)+$AB1858</f>
        <v>19</v>
      </c>
      <c r="AD1858" s="1" t="n">
        <f aca="false">IF(AND($M1858=1,LEFT(对接源_02物料!$D658,4)="成品出库"),1,0)</f>
        <v>0</v>
      </c>
      <c r="AE1858" s="1" t="n">
        <f aca="false">N(AE1857)+$AD1858</f>
        <v>38</v>
      </c>
      <c r="AF1858" s="1" t="n">
        <f aca="false">IF(AND($N1858=1,AND(LEFT(对接源_02物料!$D658,4)="包装物料",N(对接源_02物料!$K658)&lt;&gt;0)),1,0)</f>
        <v>0</v>
      </c>
      <c r="AG1858" s="1" t="n">
        <f aca="false">N(AG1857)+$AF1858</f>
        <v>6</v>
      </c>
      <c r="AH1858" s="1" t="n">
        <f aca="false">IF(AND($N1858=1,AND(LEFT(对接源_02物料!$D658,3)="周转筐",N(对接源_02物料!$K658)&lt;&gt;0)),1,0)</f>
        <v>0</v>
      </c>
      <c r="AI1858" s="1" t="n">
        <f aca="false">N(AI1857)+$AH1858</f>
        <v>0</v>
      </c>
      <c r="AJ1858" s="1" t="n">
        <v>0</v>
      </c>
      <c r="AK1858" s="1" t="n">
        <f aca="false">N(AK1857)+$AJ1858</f>
        <v>3672</v>
      </c>
    </row>
    <row r="1859" customFormat="false" ht="13.5" hidden="false" customHeight="false" outlineLevel="0" collapsed="false">
      <c r="A1859" s="1" t="str">
        <f aca="false">IF(对接源_02物料!$C659="","",对接源_02物料!$C659)</f>
        <v/>
      </c>
      <c r="B1859" s="1" t="n">
        <f aca="false">IF(A1859="",0,IF(MATCH(A1859,$A$4:$A$2403,0)=ROW()-3,1,0))</f>
        <v>0</v>
      </c>
      <c r="C1859" s="1" t="n">
        <f aca="false">N(C1858)+B1859</f>
        <v>17</v>
      </c>
      <c r="K1859" s="1" t="n">
        <f aca="false">IF(OR($K$1="",对接源_02物料!$C659="",对接源_02物料!$C659&lt;&gt;$K$1,对接源_02物料!$B659=""),0,IF(OR(N(对接源_02物料!$B659)&lt;$K$2,N(对接源_02物料!$B659)&gt;$K$3),0,1))</f>
        <v>0</v>
      </c>
      <c r="L1859" s="1" t="n">
        <f aca="false">IF(OR($L$1="",对接源_02物料!$C659="",对接源_02物料!$C659&lt;&gt;$L$1,对接源_02物料!$B659=""),0,IF(OR(N(对接源_02物料!$B659)&lt;$L$2,N(对接源_02物料!$B659)&gt;$L$3),0,1))</f>
        <v>0</v>
      </c>
      <c r="M1859" s="1" t="n">
        <f aca="false">IF(OR($M$1="",对接源_02物料!$C659="",对接源_02物料!$C659&lt;&gt;$M$1,对接源_02物料!$B659=""),0,IF(OR(N(对接源_02物料!$B659)&lt;$M$2,N(对接源_02物料!$B659)&gt;$M$3),0,1))</f>
        <v>0</v>
      </c>
      <c r="N1859" s="1" t="n">
        <f aca="false">IF(OR($N$1="",对接源_02物料!$C659="",对接源_02物料!$C659&lt;&gt;$N$1,对接源_02物料!$B659=""),0,IF(OR(N(对接源_02物料!$B659)&lt;$N$2,N(对接源_02物料!$B659)&gt;$N$3),0,1))</f>
        <v>0</v>
      </c>
      <c r="P1859" s="1" t="n">
        <f aca="false">IF(AND($K1859=1,AND(对接源_02物料!$X659="公司筐",N(对接源_02物料!$T659)&lt;&gt;0)),1,0)</f>
        <v>0</v>
      </c>
      <c r="Q1859" s="1" t="n">
        <f aca="false">N(Q1858)+$P1859</f>
        <v>13</v>
      </c>
      <c r="R1859" s="1" t="n">
        <f aca="false">IF(AND($K1859=1,AND(对接源_02物料!$X659="公司筐",N(对接源_02物料!$U659)&lt;&gt;0)),1,0)</f>
        <v>0</v>
      </c>
      <c r="S1859" s="1" t="n">
        <f aca="false">N(S1858)+$R1859</f>
        <v>5</v>
      </c>
      <c r="T1859" s="1" t="n">
        <f aca="false">IF(AND($K1859=1,AND(对接源_02物料!$X659="公司筐",N(对接源_02物料!$V659)&lt;&gt;0)),1,0)</f>
        <v>0</v>
      </c>
      <c r="U1859" s="1" t="n">
        <f aca="false">N(U1858)+$T1859</f>
        <v>28</v>
      </c>
      <c r="V1859" s="1" t="n">
        <f aca="false">IF(AND($L1859=1,AND(对接源_02物料!$X659="自备筐",N(对接源_02物料!$V659)&lt;&gt;0)),1,0)</f>
        <v>0</v>
      </c>
      <c r="W1859" s="1" t="n">
        <f aca="false">N(W1858)+$V1859</f>
        <v>7</v>
      </c>
      <c r="X1859" s="1" t="n">
        <f aca="false">IF(AND($L1859=1,AND(对接源_02物料!$X659="自备筐",N(对接源_02物料!$T659)&lt;&gt;0)),1,0)</f>
        <v>0</v>
      </c>
      <c r="Y1859" s="1" t="n">
        <f aca="false">N(Y1858)+$X1859</f>
        <v>0</v>
      </c>
      <c r="Z1859" s="1" t="n">
        <f aca="false">IF(AND($M1859=1,对接源_02物料!$D659="原料入库"),1,0)</f>
        <v>0</v>
      </c>
      <c r="AA1859" s="1" t="n">
        <f aca="false">N(AA1858)+$Z1859</f>
        <v>30</v>
      </c>
      <c r="AB1859" s="1" t="n">
        <f aca="false">IF(AND($M1859=1,LEFT(对接源_02物料!$D659,4)="原料出库"),1,0)</f>
        <v>0</v>
      </c>
      <c r="AC1859" s="1" t="n">
        <f aca="false">N(AC1858)+$AB1859</f>
        <v>19</v>
      </c>
      <c r="AD1859" s="1" t="n">
        <f aca="false">IF(AND($M1859=1,LEFT(对接源_02物料!$D659,4)="成品出库"),1,0)</f>
        <v>0</v>
      </c>
      <c r="AE1859" s="1" t="n">
        <f aca="false">N(AE1858)+$AD1859</f>
        <v>38</v>
      </c>
      <c r="AF1859" s="1" t="n">
        <f aca="false">IF(AND($N1859=1,AND(LEFT(对接源_02物料!$D659,4)="包装物料",N(对接源_02物料!$K659)&lt;&gt;0)),1,0)</f>
        <v>0</v>
      </c>
      <c r="AG1859" s="1" t="n">
        <f aca="false">N(AG1858)+$AF1859</f>
        <v>6</v>
      </c>
      <c r="AH1859" s="1" t="n">
        <f aca="false">IF(AND($N1859=1,AND(LEFT(对接源_02物料!$D659,3)="周转筐",N(对接源_02物料!$K659)&lt;&gt;0)),1,0)</f>
        <v>0</v>
      </c>
      <c r="AI1859" s="1" t="n">
        <f aca="false">N(AI1858)+$AH1859</f>
        <v>0</v>
      </c>
      <c r="AJ1859" s="1" t="n">
        <v>0</v>
      </c>
      <c r="AK1859" s="1" t="n">
        <f aca="false">N(AK1858)+$AJ1859</f>
        <v>3672</v>
      </c>
    </row>
    <row r="1860" customFormat="false" ht="13.5" hidden="false" customHeight="false" outlineLevel="0" collapsed="false">
      <c r="A1860" s="1" t="str">
        <f aca="false">IF(对接源_02物料!$C660="","",对接源_02物料!$C660)</f>
        <v/>
      </c>
      <c r="B1860" s="1" t="n">
        <f aca="false">IF(A1860="",0,IF(MATCH(A1860,$A$4:$A$2403,0)=ROW()-3,1,0))</f>
        <v>0</v>
      </c>
      <c r="C1860" s="1" t="n">
        <f aca="false">N(C1859)+B1860</f>
        <v>17</v>
      </c>
      <c r="K1860" s="1" t="n">
        <f aca="false">IF(OR($K$1="",对接源_02物料!$C660="",对接源_02物料!$C660&lt;&gt;$K$1,对接源_02物料!$B660=""),0,IF(OR(N(对接源_02物料!$B660)&lt;$K$2,N(对接源_02物料!$B660)&gt;$K$3),0,1))</f>
        <v>0</v>
      </c>
      <c r="L1860" s="1" t="n">
        <f aca="false">IF(OR($L$1="",对接源_02物料!$C660="",对接源_02物料!$C660&lt;&gt;$L$1,对接源_02物料!$B660=""),0,IF(OR(N(对接源_02物料!$B660)&lt;$L$2,N(对接源_02物料!$B660)&gt;$L$3),0,1))</f>
        <v>0</v>
      </c>
      <c r="M1860" s="1" t="n">
        <f aca="false">IF(OR($M$1="",对接源_02物料!$C660="",对接源_02物料!$C660&lt;&gt;$M$1,对接源_02物料!$B660=""),0,IF(OR(N(对接源_02物料!$B660)&lt;$M$2,N(对接源_02物料!$B660)&gt;$M$3),0,1))</f>
        <v>0</v>
      </c>
      <c r="N1860" s="1" t="n">
        <f aca="false">IF(OR($N$1="",对接源_02物料!$C660="",对接源_02物料!$C660&lt;&gt;$N$1,对接源_02物料!$B660=""),0,IF(OR(N(对接源_02物料!$B660)&lt;$N$2,N(对接源_02物料!$B660)&gt;$N$3),0,1))</f>
        <v>0</v>
      </c>
      <c r="P1860" s="1" t="n">
        <f aca="false">IF(AND($K1860=1,AND(对接源_02物料!$X660="公司筐",N(对接源_02物料!$T660)&lt;&gt;0)),1,0)</f>
        <v>0</v>
      </c>
      <c r="Q1860" s="1" t="n">
        <f aca="false">N(Q1859)+$P1860</f>
        <v>13</v>
      </c>
      <c r="R1860" s="1" t="n">
        <f aca="false">IF(AND($K1860=1,AND(对接源_02物料!$X660="公司筐",N(对接源_02物料!$U660)&lt;&gt;0)),1,0)</f>
        <v>0</v>
      </c>
      <c r="S1860" s="1" t="n">
        <f aca="false">N(S1859)+$R1860</f>
        <v>5</v>
      </c>
      <c r="T1860" s="1" t="n">
        <f aca="false">IF(AND($K1860=1,AND(对接源_02物料!$X660="公司筐",N(对接源_02物料!$V660)&lt;&gt;0)),1,0)</f>
        <v>0</v>
      </c>
      <c r="U1860" s="1" t="n">
        <f aca="false">N(U1859)+$T1860</f>
        <v>28</v>
      </c>
      <c r="V1860" s="1" t="n">
        <f aca="false">IF(AND($L1860=1,AND(对接源_02物料!$X660="自备筐",N(对接源_02物料!$V660)&lt;&gt;0)),1,0)</f>
        <v>0</v>
      </c>
      <c r="W1860" s="1" t="n">
        <f aca="false">N(W1859)+$V1860</f>
        <v>7</v>
      </c>
      <c r="X1860" s="1" t="n">
        <f aca="false">IF(AND($L1860=1,AND(对接源_02物料!$X660="自备筐",N(对接源_02物料!$T660)&lt;&gt;0)),1,0)</f>
        <v>0</v>
      </c>
      <c r="Y1860" s="1" t="n">
        <f aca="false">N(Y1859)+$X1860</f>
        <v>0</v>
      </c>
      <c r="Z1860" s="1" t="n">
        <f aca="false">IF(AND($M1860=1,对接源_02物料!$D660="原料入库"),1,0)</f>
        <v>0</v>
      </c>
      <c r="AA1860" s="1" t="n">
        <f aca="false">N(AA1859)+$Z1860</f>
        <v>30</v>
      </c>
      <c r="AB1860" s="1" t="n">
        <f aca="false">IF(AND($M1860=1,LEFT(对接源_02物料!$D660,4)="原料出库"),1,0)</f>
        <v>0</v>
      </c>
      <c r="AC1860" s="1" t="n">
        <f aca="false">N(AC1859)+$AB1860</f>
        <v>19</v>
      </c>
      <c r="AD1860" s="1" t="n">
        <f aca="false">IF(AND($M1860=1,LEFT(对接源_02物料!$D660,4)="成品出库"),1,0)</f>
        <v>0</v>
      </c>
      <c r="AE1860" s="1" t="n">
        <f aca="false">N(AE1859)+$AD1860</f>
        <v>38</v>
      </c>
      <c r="AF1860" s="1" t="n">
        <f aca="false">IF(AND($N1860=1,AND(LEFT(对接源_02物料!$D660,4)="包装物料",N(对接源_02物料!$K660)&lt;&gt;0)),1,0)</f>
        <v>0</v>
      </c>
      <c r="AG1860" s="1" t="n">
        <f aca="false">N(AG1859)+$AF1860</f>
        <v>6</v>
      </c>
      <c r="AH1860" s="1" t="n">
        <f aca="false">IF(AND($N1860=1,AND(LEFT(对接源_02物料!$D660,3)="周转筐",N(对接源_02物料!$K660)&lt;&gt;0)),1,0)</f>
        <v>0</v>
      </c>
      <c r="AI1860" s="1" t="n">
        <f aca="false">N(AI1859)+$AH1860</f>
        <v>0</v>
      </c>
      <c r="AJ1860" s="1" t="n">
        <v>0</v>
      </c>
      <c r="AK1860" s="1" t="n">
        <f aca="false">N(AK1859)+$AJ1860</f>
        <v>3672</v>
      </c>
    </row>
    <row r="1861" customFormat="false" ht="13.5" hidden="false" customHeight="false" outlineLevel="0" collapsed="false">
      <c r="A1861" s="1" t="str">
        <f aca="false">IF(对接源_02物料!$C661="","",对接源_02物料!$C661)</f>
        <v/>
      </c>
      <c r="B1861" s="1" t="n">
        <f aca="false">IF(A1861="",0,IF(MATCH(A1861,$A$4:$A$2403,0)=ROW()-3,1,0))</f>
        <v>0</v>
      </c>
      <c r="C1861" s="1" t="n">
        <f aca="false">N(C1860)+B1861</f>
        <v>17</v>
      </c>
      <c r="K1861" s="1" t="n">
        <f aca="false">IF(OR($K$1="",对接源_02物料!$C661="",对接源_02物料!$C661&lt;&gt;$K$1,对接源_02物料!$B661=""),0,IF(OR(N(对接源_02物料!$B661)&lt;$K$2,N(对接源_02物料!$B661)&gt;$K$3),0,1))</f>
        <v>0</v>
      </c>
      <c r="L1861" s="1" t="n">
        <f aca="false">IF(OR($L$1="",对接源_02物料!$C661="",对接源_02物料!$C661&lt;&gt;$L$1,对接源_02物料!$B661=""),0,IF(OR(N(对接源_02物料!$B661)&lt;$L$2,N(对接源_02物料!$B661)&gt;$L$3),0,1))</f>
        <v>0</v>
      </c>
      <c r="M1861" s="1" t="n">
        <f aca="false">IF(OR($M$1="",对接源_02物料!$C661="",对接源_02物料!$C661&lt;&gt;$M$1,对接源_02物料!$B661=""),0,IF(OR(N(对接源_02物料!$B661)&lt;$M$2,N(对接源_02物料!$B661)&gt;$M$3),0,1))</f>
        <v>0</v>
      </c>
      <c r="N1861" s="1" t="n">
        <f aca="false">IF(OR($N$1="",对接源_02物料!$C661="",对接源_02物料!$C661&lt;&gt;$N$1,对接源_02物料!$B661=""),0,IF(OR(N(对接源_02物料!$B661)&lt;$N$2,N(对接源_02物料!$B661)&gt;$N$3),0,1))</f>
        <v>0</v>
      </c>
      <c r="P1861" s="1" t="n">
        <f aca="false">IF(AND($K1861=1,AND(对接源_02物料!$X661="公司筐",N(对接源_02物料!$T661)&lt;&gt;0)),1,0)</f>
        <v>0</v>
      </c>
      <c r="Q1861" s="1" t="n">
        <f aca="false">N(Q1860)+$P1861</f>
        <v>13</v>
      </c>
      <c r="R1861" s="1" t="n">
        <f aca="false">IF(AND($K1861=1,AND(对接源_02物料!$X661="公司筐",N(对接源_02物料!$U661)&lt;&gt;0)),1,0)</f>
        <v>0</v>
      </c>
      <c r="S1861" s="1" t="n">
        <f aca="false">N(S1860)+$R1861</f>
        <v>5</v>
      </c>
      <c r="T1861" s="1" t="n">
        <f aca="false">IF(AND($K1861=1,AND(对接源_02物料!$X661="公司筐",N(对接源_02物料!$V661)&lt;&gt;0)),1,0)</f>
        <v>0</v>
      </c>
      <c r="U1861" s="1" t="n">
        <f aca="false">N(U1860)+$T1861</f>
        <v>28</v>
      </c>
      <c r="V1861" s="1" t="n">
        <f aca="false">IF(AND($L1861=1,AND(对接源_02物料!$X661="自备筐",N(对接源_02物料!$V661)&lt;&gt;0)),1,0)</f>
        <v>0</v>
      </c>
      <c r="W1861" s="1" t="n">
        <f aca="false">N(W1860)+$V1861</f>
        <v>7</v>
      </c>
      <c r="X1861" s="1" t="n">
        <f aca="false">IF(AND($L1861=1,AND(对接源_02物料!$X661="自备筐",N(对接源_02物料!$T661)&lt;&gt;0)),1,0)</f>
        <v>0</v>
      </c>
      <c r="Y1861" s="1" t="n">
        <f aca="false">N(Y1860)+$X1861</f>
        <v>0</v>
      </c>
      <c r="Z1861" s="1" t="n">
        <f aca="false">IF(AND($M1861=1,对接源_02物料!$D661="原料入库"),1,0)</f>
        <v>0</v>
      </c>
      <c r="AA1861" s="1" t="n">
        <f aca="false">N(AA1860)+$Z1861</f>
        <v>30</v>
      </c>
      <c r="AB1861" s="1" t="n">
        <f aca="false">IF(AND($M1861=1,LEFT(对接源_02物料!$D661,4)="原料出库"),1,0)</f>
        <v>0</v>
      </c>
      <c r="AC1861" s="1" t="n">
        <f aca="false">N(AC1860)+$AB1861</f>
        <v>19</v>
      </c>
      <c r="AD1861" s="1" t="n">
        <f aca="false">IF(AND($M1861=1,LEFT(对接源_02物料!$D661,4)="成品出库"),1,0)</f>
        <v>0</v>
      </c>
      <c r="AE1861" s="1" t="n">
        <f aca="false">N(AE1860)+$AD1861</f>
        <v>38</v>
      </c>
      <c r="AF1861" s="1" t="n">
        <f aca="false">IF(AND($N1861=1,AND(LEFT(对接源_02物料!$D661,4)="包装物料",N(对接源_02物料!$K661)&lt;&gt;0)),1,0)</f>
        <v>0</v>
      </c>
      <c r="AG1861" s="1" t="n">
        <f aca="false">N(AG1860)+$AF1861</f>
        <v>6</v>
      </c>
      <c r="AH1861" s="1" t="n">
        <f aca="false">IF(AND($N1861=1,AND(LEFT(对接源_02物料!$D661,3)="周转筐",N(对接源_02物料!$K661)&lt;&gt;0)),1,0)</f>
        <v>0</v>
      </c>
      <c r="AI1861" s="1" t="n">
        <f aca="false">N(AI1860)+$AH1861</f>
        <v>0</v>
      </c>
      <c r="AJ1861" s="1" t="n">
        <v>0</v>
      </c>
      <c r="AK1861" s="1" t="n">
        <f aca="false">N(AK1860)+$AJ1861</f>
        <v>3672</v>
      </c>
    </row>
    <row r="1862" customFormat="false" ht="13.5" hidden="false" customHeight="false" outlineLevel="0" collapsed="false">
      <c r="A1862" s="1" t="str">
        <f aca="false">IF(对接源_02物料!$C662="","",对接源_02物料!$C662)</f>
        <v/>
      </c>
      <c r="B1862" s="1" t="n">
        <f aca="false">IF(A1862="",0,IF(MATCH(A1862,$A$4:$A$2403,0)=ROW()-3,1,0))</f>
        <v>0</v>
      </c>
      <c r="C1862" s="1" t="n">
        <f aca="false">N(C1861)+B1862</f>
        <v>17</v>
      </c>
      <c r="K1862" s="1" t="n">
        <f aca="false">IF(OR($K$1="",对接源_02物料!$C662="",对接源_02物料!$C662&lt;&gt;$K$1,对接源_02物料!$B662=""),0,IF(OR(N(对接源_02物料!$B662)&lt;$K$2,N(对接源_02物料!$B662)&gt;$K$3),0,1))</f>
        <v>0</v>
      </c>
      <c r="L1862" s="1" t="n">
        <f aca="false">IF(OR($L$1="",对接源_02物料!$C662="",对接源_02物料!$C662&lt;&gt;$L$1,对接源_02物料!$B662=""),0,IF(OR(N(对接源_02物料!$B662)&lt;$L$2,N(对接源_02物料!$B662)&gt;$L$3),0,1))</f>
        <v>0</v>
      </c>
      <c r="M1862" s="1" t="n">
        <f aca="false">IF(OR($M$1="",对接源_02物料!$C662="",对接源_02物料!$C662&lt;&gt;$M$1,对接源_02物料!$B662=""),0,IF(OR(N(对接源_02物料!$B662)&lt;$M$2,N(对接源_02物料!$B662)&gt;$M$3),0,1))</f>
        <v>0</v>
      </c>
      <c r="N1862" s="1" t="n">
        <f aca="false">IF(OR($N$1="",对接源_02物料!$C662="",对接源_02物料!$C662&lt;&gt;$N$1,对接源_02物料!$B662=""),0,IF(OR(N(对接源_02物料!$B662)&lt;$N$2,N(对接源_02物料!$B662)&gt;$N$3),0,1))</f>
        <v>0</v>
      </c>
      <c r="P1862" s="1" t="n">
        <f aca="false">IF(AND($K1862=1,AND(对接源_02物料!$X662="公司筐",N(对接源_02物料!$T662)&lt;&gt;0)),1,0)</f>
        <v>0</v>
      </c>
      <c r="Q1862" s="1" t="n">
        <f aca="false">N(Q1861)+$P1862</f>
        <v>13</v>
      </c>
      <c r="R1862" s="1" t="n">
        <f aca="false">IF(AND($K1862=1,AND(对接源_02物料!$X662="公司筐",N(对接源_02物料!$U662)&lt;&gt;0)),1,0)</f>
        <v>0</v>
      </c>
      <c r="S1862" s="1" t="n">
        <f aca="false">N(S1861)+$R1862</f>
        <v>5</v>
      </c>
      <c r="T1862" s="1" t="n">
        <f aca="false">IF(AND($K1862=1,AND(对接源_02物料!$X662="公司筐",N(对接源_02物料!$V662)&lt;&gt;0)),1,0)</f>
        <v>0</v>
      </c>
      <c r="U1862" s="1" t="n">
        <f aca="false">N(U1861)+$T1862</f>
        <v>28</v>
      </c>
      <c r="V1862" s="1" t="n">
        <f aca="false">IF(AND($L1862=1,AND(对接源_02物料!$X662="自备筐",N(对接源_02物料!$V662)&lt;&gt;0)),1,0)</f>
        <v>0</v>
      </c>
      <c r="W1862" s="1" t="n">
        <f aca="false">N(W1861)+$V1862</f>
        <v>7</v>
      </c>
      <c r="X1862" s="1" t="n">
        <f aca="false">IF(AND($L1862=1,AND(对接源_02物料!$X662="自备筐",N(对接源_02物料!$T662)&lt;&gt;0)),1,0)</f>
        <v>0</v>
      </c>
      <c r="Y1862" s="1" t="n">
        <f aca="false">N(Y1861)+$X1862</f>
        <v>0</v>
      </c>
      <c r="Z1862" s="1" t="n">
        <f aca="false">IF(AND($M1862=1,对接源_02物料!$D662="原料入库"),1,0)</f>
        <v>0</v>
      </c>
      <c r="AA1862" s="1" t="n">
        <f aca="false">N(AA1861)+$Z1862</f>
        <v>30</v>
      </c>
      <c r="AB1862" s="1" t="n">
        <f aca="false">IF(AND($M1862=1,LEFT(对接源_02物料!$D662,4)="原料出库"),1,0)</f>
        <v>0</v>
      </c>
      <c r="AC1862" s="1" t="n">
        <f aca="false">N(AC1861)+$AB1862</f>
        <v>19</v>
      </c>
      <c r="AD1862" s="1" t="n">
        <f aca="false">IF(AND($M1862=1,LEFT(对接源_02物料!$D662,4)="成品出库"),1,0)</f>
        <v>0</v>
      </c>
      <c r="AE1862" s="1" t="n">
        <f aca="false">N(AE1861)+$AD1862</f>
        <v>38</v>
      </c>
      <c r="AF1862" s="1" t="n">
        <f aca="false">IF(AND($N1862=1,AND(LEFT(对接源_02物料!$D662,4)="包装物料",N(对接源_02物料!$K662)&lt;&gt;0)),1,0)</f>
        <v>0</v>
      </c>
      <c r="AG1862" s="1" t="n">
        <f aca="false">N(AG1861)+$AF1862</f>
        <v>6</v>
      </c>
      <c r="AH1862" s="1" t="n">
        <f aca="false">IF(AND($N1862=1,AND(LEFT(对接源_02物料!$D662,3)="周转筐",N(对接源_02物料!$K662)&lt;&gt;0)),1,0)</f>
        <v>0</v>
      </c>
      <c r="AI1862" s="1" t="n">
        <f aca="false">N(AI1861)+$AH1862</f>
        <v>0</v>
      </c>
      <c r="AJ1862" s="1" t="n">
        <v>0</v>
      </c>
      <c r="AK1862" s="1" t="n">
        <f aca="false">N(AK1861)+$AJ1862</f>
        <v>3672</v>
      </c>
    </row>
    <row r="1863" customFormat="false" ht="13.5" hidden="false" customHeight="false" outlineLevel="0" collapsed="false">
      <c r="A1863" s="1" t="str">
        <f aca="false">IF(对接源_02物料!$C663="","",对接源_02物料!$C663)</f>
        <v/>
      </c>
      <c r="B1863" s="1" t="n">
        <f aca="false">IF(A1863="",0,IF(MATCH(A1863,$A$4:$A$2403,0)=ROW()-3,1,0))</f>
        <v>0</v>
      </c>
      <c r="C1863" s="1" t="n">
        <f aca="false">N(C1862)+B1863</f>
        <v>17</v>
      </c>
      <c r="K1863" s="1" t="n">
        <f aca="false">IF(OR($K$1="",对接源_02物料!$C663="",对接源_02物料!$C663&lt;&gt;$K$1,对接源_02物料!$B663=""),0,IF(OR(N(对接源_02物料!$B663)&lt;$K$2,N(对接源_02物料!$B663)&gt;$K$3),0,1))</f>
        <v>0</v>
      </c>
      <c r="L1863" s="1" t="n">
        <f aca="false">IF(OR($L$1="",对接源_02物料!$C663="",对接源_02物料!$C663&lt;&gt;$L$1,对接源_02物料!$B663=""),0,IF(OR(N(对接源_02物料!$B663)&lt;$L$2,N(对接源_02物料!$B663)&gt;$L$3),0,1))</f>
        <v>0</v>
      </c>
      <c r="M1863" s="1" t="n">
        <f aca="false">IF(OR($M$1="",对接源_02物料!$C663="",对接源_02物料!$C663&lt;&gt;$M$1,对接源_02物料!$B663=""),0,IF(OR(N(对接源_02物料!$B663)&lt;$M$2,N(对接源_02物料!$B663)&gt;$M$3),0,1))</f>
        <v>0</v>
      </c>
      <c r="N1863" s="1" t="n">
        <f aca="false">IF(OR($N$1="",对接源_02物料!$C663="",对接源_02物料!$C663&lt;&gt;$N$1,对接源_02物料!$B663=""),0,IF(OR(N(对接源_02物料!$B663)&lt;$N$2,N(对接源_02物料!$B663)&gt;$N$3),0,1))</f>
        <v>0</v>
      </c>
      <c r="P1863" s="1" t="n">
        <f aca="false">IF(AND($K1863=1,AND(对接源_02物料!$X663="公司筐",N(对接源_02物料!$T663)&lt;&gt;0)),1,0)</f>
        <v>0</v>
      </c>
      <c r="Q1863" s="1" t="n">
        <f aca="false">N(Q1862)+$P1863</f>
        <v>13</v>
      </c>
      <c r="R1863" s="1" t="n">
        <f aca="false">IF(AND($K1863=1,AND(对接源_02物料!$X663="公司筐",N(对接源_02物料!$U663)&lt;&gt;0)),1,0)</f>
        <v>0</v>
      </c>
      <c r="S1863" s="1" t="n">
        <f aca="false">N(S1862)+$R1863</f>
        <v>5</v>
      </c>
      <c r="T1863" s="1" t="n">
        <f aca="false">IF(AND($K1863=1,AND(对接源_02物料!$X663="公司筐",N(对接源_02物料!$V663)&lt;&gt;0)),1,0)</f>
        <v>0</v>
      </c>
      <c r="U1863" s="1" t="n">
        <f aca="false">N(U1862)+$T1863</f>
        <v>28</v>
      </c>
      <c r="V1863" s="1" t="n">
        <f aca="false">IF(AND($L1863=1,AND(对接源_02物料!$X663="自备筐",N(对接源_02物料!$V663)&lt;&gt;0)),1,0)</f>
        <v>0</v>
      </c>
      <c r="W1863" s="1" t="n">
        <f aca="false">N(W1862)+$V1863</f>
        <v>7</v>
      </c>
      <c r="X1863" s="1" t="n">
        <f aca="false">IF(AND($L1863=1,AND(对接源_02物料!$X663="自备筐",N(对接源_02物料!$T663)&lt;&gt;0)),1,0)</f>
        <v>0</v>
      </c>
      <c r="Y1863" s="1" t="n">
        <f aca="false">N(Y1862)+$X1863</f>
        <v>0</v>
      </c>
      <c r="Z1863" s="1" t="n">
        <f aca="false">IF(AND($M1863=1,对接源_02物料!$D663="原料入库"),1,0)</f>
        <v>0</v>
      </c>
      <c r="AA1863" s="1" t="n">
        <f aca="false">N(AA1862)+$Z1863</f>
        <v>30</v>
      </c>
      <c r="AB1863" s="1" t="n">
        <f aca="false">IF(AND($M1863=1,LEFT(对接源_02物料!$D663,4)="原料出库"),1,0)</f>
        <v>0</v>
      </c>
      <c r="AC1863" s="1" t="n">
        <f aca="false">N(AC1862)+$AB1863</f>
        <v>19</v>
      </c>
      <c r="AD1863" s="1" t="n">
        <f aca="false">IF(AND($M1863=1,LEFT(对接源_02物料!$D663,4)="成品出库"),1,0)</f>
        <v>0</v>
      </c>
      <c r="AE1863" s="1" t="n">
        <f aca="false">N(AE1862)+$AD1863</f>
        <v>38</v>
      </c>
      <c r="AF1863" s="1" t="n">
        <f aca="false">IF(AND($N1863=1,AND(LEFT(对接源_02物料!$D663,4)="包装物料",N(对接源_02物料!$K663)&lt;&gt;0)),1,0)</f>
        <v>0</v>
      </c>
      <c r="AG1863" s="1" t="n">
        <f aca="false">N(AG1862)+$AF1863</f>
        <v>6</v>
      </c>
      <c r="AH1863" s="1" t="n">
        <f aca="false">IF(AND($N1863=1,AND(LEFT(对接源_02物料!$D663,3)="周转筐",N(对接源_02物料!$K663)&lt;&gt;0)),1,0)</f>
        <v>0</v>
      </c>
      <c r="AI1863" s="1" t="n">
        <f aca="false">N(AI1862)+$AH1863</f>
        <v>0</v>
      </c>
      <c r="AJ1863" s="1" t="n">
        <v>0</v>
      </c>
      <c r="AK1863" s="1" t="n">
        <f aca="false">N(AK1862)+$AJ1863</f>
        <v>3672</v>
      </c>
    </row>
    <row r="1864" customFormat="false" ht="13.5" hidden="false" customHeight="false" outlineLevel="0" collapsed="false">
      <c r="A1864" s="1" t="str">
        <f aca="false">IF(对接源_02物料!$C664="","",对接源_02物料!$C664)</f>
        <v/>
      </c>
      <c r="B1864" s="1" t="n">
        <f aca="false">IF(A1864="",0,IF(MATCH(A1864,$A$4:$A$2403,0)=ROW()-3,1,0))</f>
        <v>0</v>
      </c>
      <c r="C1864" s="1" t="n">
        <f aca="false">N(C1863)+B1864</f>
        <v>17</v>
      </c>
      <c r="K1864" s="1" t="n">
        <f aca="false">IF(OR($K$1="",对接源_02物料!$C664="",对接源_02物料!$C664&lt;&gt;$K$1,对接源_02物料!$B664=""),0,IF(OR(N(对接源_02物料!$B664)&lt;$K$2,N(对接源_02物料!$B664)&gt;$K$3),0,1))</f>
        <v>0</v>
      </c>
      <c r="L1864" s="1" t="n">
        <f aca="false">IF(OR($L$1="",对接源_02物料!$C664="",对接源_02物料!$C664&lt;&gt;$L$1,对接源_02物料!$B664=""),0,IF(OR(N(对接源_02物料!$B664)&lt;$L$2,N(对接源_02物料!$B664)&gt;$L$3),0,1))</f>
        <v>0</v>
      </c>
      <c r="M1864" s="1" t="n">
        <f aca="false">IF(OR($M$1="",对接源_02物料!$C664="",对接源_02物料!$C664&lt;&gt;$M$1,对接源_02物料!$B664=""),0,IF(OR(N(对接源_02物料!$B664)&lt;$M$2,N(对接源_02物料!$B664)&gt;$M$3),0,1))</f>
        <v>0</v>
      </c>
      <c r="N1864" s="1" t="n">
        <f aca="false">IF(OR($N$1="",对接源_02物料!$C664="",对接源_02物料!$C664&lt;&gt;$N$1,对接源_02物料!$B664=""),0,IF(OR(N(对接源_02物料!$B664)&lt;$N$2,N(对接源_02物料!$B664)&gt;$N$3),0,1))</f>
        <v>0</v>
      </c>
      <c r="P1864" s="1" t="n">
        <f aca="false">IF(AND($K1864=1,AND(对接源_02物料!$X664="公司筐",N(对接源_02物料!$T664)&lt;&gt;0)),1,0)</f>
        <v>0</v>
      </c>
      <c r="Q1864" s="1" t="n">
        <f aca="false">N(Q1863)+$P1864</f>
        <v>13</v>
      </c>
      <c r="R1864" s="1" t="n">
        <f aca="false">IF(AND($K1864=1,AND(对接源_02物料!$X664="公司筐",N(对接源_02物料!$U664)&lt;&gt;0)),1,0)</f>
        <v>0</v>
      </c>
      <c r="S1864" s="1" t="n">
        <f aca="false">N(S1863)+$R1864</f>
        <v>5</v>
      </c>
      <c r="T1864" s="1" t="n">
        <f aca="false">IF(AND($K1864=1,AND(对接源_02物料!$X664="公司筐",N(对接源_02物料!$V664)&lt;&gt;0)),1,0)</f>
        <v>0</v>
      </c>
      <c r="U1864" s="1" t="n">
        <f aca="false">N(U1863)+$T1864</f>
        <v>28</v>
      </c>
      <c r="V1864" s="1" t="n">
        <f aca="false">IF(AND($L1864=1,AND(对接源_02物料!$X664="自备筐",N(对接源_02物料!$V664)&lt;&gt;0)),1,0)</f>
        <v>0</v>
      </c>
      <c r="W1864" s="1" t="n">
        <f aca="false">N(W1863)+$V1864</f>
        <v>7</v>
      </c>
      <c r="X1864" s="1" t="n">
        <f aca="false">IF(AND($L1864=1,AND(对接源_02物料!$X664="自备筐",N(对接源_02物料!$T664)&lt;&gt;0)),1,0)</f>
        <v>0</v>
      </c>
      <c r="Y1864" s="1" t="n">
        <f aca="false">N(Y1863)+$X1864</f>
        <v>0</v>
      </c>
      <c r="Z1864" s="1" t="n">
        <f aca="false">IF(AND($M1864=1,对接源_02物料!$D664="原料入库"),1,0)</f>
        <v>0</v>
      </c>
      <c r="AA1864" s="1" t="n">
        <f aca="false">N(AA1863)+$Z1864</f>
        <v>30</v>
      </c>
      <c r="AB1864" s="1" t="n">
        <f aca="false">IF(AND($M1864=1,LEFT(对接源_02物料!$D664,4)="原料出库"),1,0)</f>
        <v>0</v>
      </c>
      <c r="AC1864" s="1" t="n">
        <f aca="false">N(AC1863)+$AB1864</f>
        <v>19</v>
      </c>
      <c r="AD1864" s="1" t="n">
        <f aca="false">IF(AND($M1864=1,LEFT(对接源_02物料!$D664,4)="成品出库"),1,0)</f>
        <v>0</v>
      </c>
      <c r="AE1864" s="1" t="n">
        <f aca="false">N(AE1863)+$AD1864</f>
        <v>38</v>
      </c>
      <c r="AF1864" s="1" t="n">
        <f aca="false">IF(AND($N1864=1,AND(LEFT(对接源_02物料!$D664,4)="包装物料",N(对接源_02物料!$K664)&lt;&gt;0)),1,0)</f>
        <v>0</v>
      </c>
      <c r="AG1864" s="1" t="n">
        <f aca="false">N(AG1863)+$AF1864</f>
        <v>6</v>
      </c>
      <c r="AH1864" s="1" t="n">
        <f aca="false">IF(AND($N1864=1,AND(LEFT(对接源_02物料!$D664,3)="周转筐",N(对接源_02物料!$K664)&lt;&gt;0)),1,0)</f>
        <v>0</v>
      </c>
      <c r="AI1864" s="1" t="n">
        <f aca="false">N(AI1863)+$AH1864</f>
        <v>0</v>
      </c>
      <c r="AJ1864" s="1" t="n">
        <v>0</v>
      </c>
      <c r="AK1864" s="1" t="n">
        <f aca="false">N(AK1863)+$AJ1864</f>
        <v>3672</v>
      </c>
    </row>
    <row r="1865" customFormat="false" ht="13.5" hidden="false" customHeight="false" outlineLevel="0" collapsed="false">
      <c r="A1865" s="1" t="str">
        <f aca="false">IF(对接源_02物料!$C665="","",对接源_02物料!$C665)</f>
        <v/>
      </c>
      <c r="B1865" s="1" t="n">
        <f aca="false">IF(A1865="",0,IF(MATCH(A1865,$A$4:$A$2403,0)=ROW()-3,1,0))</f>
        <v>0</v>
      </c>
      <c r="C1865" s="1" t="n">
        <f aca="false">N(C1864)+B1865</f>
        <v>17</v>
      </c>
      <c r="K1865" s="1" t="n">
        <f aca="false">IF(OR($K$1="",对接源_02物料!$C665="",对接源_02物料!$C665&lt;&gt;$K$1,对接源_02物料!$B665=""),0,IF(OR(N(对接源_02物料!$B665)&lt;$K$2,N(对接源_02物料!$B665)&gt;$K$3),0,1))</f>
        <v>0</v>
      </c>
      <c r="L1865" s="1" t="n">
        <f aca="false">IF(OR($L$1="",对接源_02物料!$C665="",对接源_02物料!$C665&lt;&gt;$L$1,对接源_02物料!$B665=""),0,IF(OR(N(对接源_02物料!$B665)&lt;$L$2,N(对接源_02物料!$B665)&gt;$L$3),0,1))</f>
        <v>0</v>
      </c>
      <c r="M1865" s="1" t="n">
        <f aca="false">IF(OR($M$1="",对接源_02物料!$C665="",对接源_02物料!$C665&lt;&gt;$M$1,对接源_02物料!$B665=""),0,IF(OR(N(对接源_02物料!$B665)&lt;$M$2,N(对接源_02物料!$B665)&gt;$M$3),0,1))</f>
        <v>0</v>
      </c>
      <c r="N1865" s="1" t="n">
        <f aca="false">IF(OR($N$1="",对接源_02物料!$C665="",对接源_02物料!$C665&lt;&gt;$N$1,对接源_02物料!$B665=""),0,IF(OR(N(对接源_02物料!$B665)&lt;$N$2,N(对接源_02物料!$B665)&gt;$N$3),0,1))</f>
        <v>0</v>
      </c>
      <c r="P1865" s="1" t="n">
        <f aca="false">IF(AND($K1865=1,AND(对接源_02物料!$X665="公司筐",N(对接源_02物料!$T665)&lt;&gt;0)),1,0)</f>
        <v>0</v>
      </c>
      <c r="Q1865" s="1" t="n">
        <f aca="false">N(Q1864)+$P1865</f>
        <v>13</v>
      </c>
      <c r="R1865" s="1" t="n">
        <f aca="false">IF(AND($K1865=1,AND(对接源_02物料!$X665="公司筐",N(对接源_02物料!$U665)&lt;&gt;0)),1,0)</f>
        <v>0</v>
      </c>
      <c r="S1865" s="1" t="n">
        <f aca="false">N(S1864)+$R1865</f>
        <v>5</v>
      </c>
      <c r="T1865" s="1" t="n">
        <f aca="false">IF(AND($K1865=1,AND(对接源_02物料!$X665="公司筐",N(对接源_02物料!$V665)&lt;&gt;0)),1,0)</f>
        <v>0</v>
      </c>
      <c r="U1865" s="1" t="n">
        <f aca="false">N(U1864)+$T1865</f>
        <v>28</v>
      </c>
      <c r="V1865" s="1" t="n">
        <f aca="false">IF(AND($L1865=1,AND(对接源_02物料!$X665="自备筐",N(对接源_02物料!$V665)&lt;&gt;0)),1,0)</f>
        <v>0</v>
      </c>
      <c r="W1865" s="1" t="n">
        <f aca="false">N(W1864)+$V1865</f>
        <v>7</v>
      </c>
      <c r="X1865" s="1" t="n">
        <f aca="false">IF(AND($L1865=1,AND(对接源_02物料!$X665="自备筐",N(对接源_02物料!$T665)&lt;&gt;0)),1,0)</f>
        <v>0</v>
      </c>
      <c r="Y1865" s="1" t="n">
        <f aca="false">N(Y1864)+$X1865</f>
        <v>0</v>
      </c>
      <c r="Z1865" s="1" t="n">
        <f aca="false">IF(AND($M1865=1,对接源_02物料!$D665="原料入库"),1,0)</f>
        <v>0</v>
      </c>
      <c r="AA1865" s="1" t="n">
        <f aca="false">N(AA1864)+$Z1865</f>
        <v>30</v>
      </c>
      <c r="AB1865" s="1" t="n">
        <f aca="false">IF(AND($M1865=1,LEFT(对接源_02物料!$D665,4)="原料出库"),1,0)</f>
        <v>0</v>
      </c>
      <c r="AC1865" s="1" t="n">
        <f aca="false">N(AC1864)+$AB1865</f>
        <v>19</v>
      </c>
      <c r="AD1865" s="1" t="n">
        <f aca="false">IF(AND($M1865=1,LEFT(对接源_02物料!$D665,4)="成品出库"),1,0)</f>
        <v>0</v>
      </c>
      <c r="AE1865" s="1" t="n">
        <f aca="false">N(AE1864)+$AD1865</f>
        <v>38</v>
      </c>
      <c r="AF1865" s="1" t="n">
        <f aca="false">IF(AND($N1865=1,AND(LEFT(对接源_02物料!$D665,4)="包装物料",N(对接源_02物料!$K665)&lt;&gt;0)),1,0)</f>
        <v>0</v>
      </c>
      <c r="AG1865" s="1" t="n">
        <f aca="false">N(AG1864)+$AF1865</f>
        <v>6</v>
      </c>
      <c r="AH1865" s="1" t="n">
        <f aca="false">IF(AND($N1865=1,AND(LEFT(对接源_02物料!$D665,3)="周转筐",N(对接源_02物料!$K665)&lt;&gt;0)),1,0)</f>
        <v>0</v>
      </c>
      <c r="AI1865" s="1" t="n">
        <f aca="false">N(AI1864)+$AH1865</f>
        <v>0</v>
      </c>
      <c r="AJ1865" s="1" t="n">
        <v>0</v>
      </c>
      <c r="AK1865" s="1" t="n">
        <f aca="false">N(AK1864)+$AJ1865</f>
        <v>3672</v>
      </c>
    </row>
    <row r="1866" customFormat="false" ht="13.5" hidden="false" customHeight="false" outlineLevel="0" collapsed="false">
      <c r="A1866" s="1" t="str">
        <f aca="false">IF(对接源_02物料!$C666="","",对接源_02物料!$C666)</f>
        <v/>
      </c>
      <c r="B1866" s="1" t="n">
        <f aca="false">IF(A1866="",0,IF(MATCH(A1866,$A$4:$A$2403,0)=ROW()-3,1,0))</f>
        <v>0</v>
      </c>
      <c r="C1866" s="1" t="n">
        <f aca="false">N(C1865)+B1866</f>
        <v>17</v>
      </c>
      <c r="K1866" s="1" t="n">
        <f aca="false">IF(OR($K$1="",对接源_02物料!$C666="",对接源_02物料!$C666&lt;&gt;$K$1,对接源_02物料!$B666=""),0,IF(OR(N(对接源_02物料!$B666)&lt;$K$2,N(对接源_02物料!$B666)&gt;$K$3),0,1))</f>
        <v>0</v>
      </c>
      <c r="L1866" s="1" t="n">
        <f aca="false">IF(OR($L$1="",对接源_02物料!$C666="",对接源_02物料!$C666&lt;&gt;$L$1,对接源_02物料!$B666=""),0,IF(OR(N(对接源_02物料!$B666)&lt;$L$2,N(对接源_02物料!$B666)&gt;$L$3),0,1))</f>
        <v>0</v>
      </c>
      <c r="M1866" s="1" t="n">
        <f aca="false">IF(OR($M$1="",对接源_02物料!$C666="",对接源_02物料!$C666&lt;&gt;$M$1,对接源_02物料!$B666=""),0,IF(OR(N(对接源_02物料!$B666)&lt;$M$2,N(对接源_02物料!$B666)&gt;$M$3),0,1))</f>
        <v>0</v>
      </c>
      <c r="N1866" s="1" t="n">
        <f aca="false">IF(OR($N$1="",对接源_02物料!$C666="",对接源_02物料!$C666&lt;&gt;$N$1,对接源_02物料!$B666=""),0,IF(OR(N(对接源_02物料!$B666)&lt;$N$2,N(对接源_02物料!$B666)&gt;$N$3),0,1))</f>
        <v>0</v>
      </c>
      <c r="P1866" s="1" t="n">
        <f aca="false">IF(AND($K1866=1,AND(对接源_02物料!$X666="公司筐",N(对接源_02物料!$T666)&lt;&gt;0)),1,0)</f>
        <v>0</v>
      </c>
      <c r="Q1866" s="1" t="n">
        <f aca="false">N(Q1865)+$P1866</f>
        <v>13</v>
      </c>
      <c r="R1866" s="1" t="n">
        <f aca="false">IF(AND($K1866=1,AND(对接源_02物料!$X666="公司筐",N(对接源_02物料!$U666)&lt;&gt;0)),1,0)</f>
        <v>0</v>
      </c>
      <c r="S1866" s="1" t="n">
        <f aca="false">N(S1865)+$R1866</f>
        <v>5</v>
      </c>
      <c r="T1866" s="1" t="n">
        <f aca="false">IF(AND($K1866=1,AND(对接源_02物料!$X666="公司筐",N(对接源_02物料!$V666)&lt;&gt;0)),1,0)</f>
        <v>0</v>
      </c>
      <c r="U1866" s="1" t="n">
        <f aca="false">N(U1865)+$T1866</f>
        <v>28</v>
      </c>
      <c r="V1866" s="1" t="n">
        <f aca="false">IF(AND($L1866=1,AND(对接源_02物料!$X666="自备筐",N(对接源_02物料!$V666)&lt;&gt;0)),1,0)</f>
        <v>0</v>
      </c>
      <c r="W1866" s="1" t="n">
        <f aca="false">N(W1865)+$V1866</f>
        <v>7</v>
      </c>
      <c r="X1866" s="1" t="n">
        <f aca="false">IF(AND($L1866=1,AND(对接源_02物料!$X666="自备筐",N(对接源_02物料!$T666)&lt;&gt;0)),1,0)</f>
        <v>0</v>
      </c>
      <c r="Y1866" s="1" t="n">
        <f aca="false">N(Y1865)+$X1866</f>
        <v>0</v>
      </c>
      <c r="Z1866" s="1" t="n">
        <f aca="false">IF(AND($M1866=1,对接源_02物料!$D666="原料入库"),1,0)</f>
        <v>0</v>
      </c>
      <c r="AA1866" s="1" t="n">
        <f aca="false">N(AA1865)+$Z1866</f>
        <v>30</v>
      </c>
      <c r="AB1866" s="1" t="n">
        <f aca="false">IF(AND($M1866=1,LEFT(对接源_02物料!$D666,4)="原料出库"),1,0)</f>
        <v>0</v>
      </c>
      <c r="AC1866" s="1" t="n">
        <f aca="false">N(AC1865)+$AB1866</f>
        <v>19</v>
      </c>
      <c r="AD1866" s="1" t="n">
        <f aca="false">IF(AND($M1866=1,LEFT(对接源_02物料!$D666,4)="成品出库"),1,0)</f>
        <v>0</v>
      </c>
      <c r="AE1866" s="1" t="n">
        <f aca="false">N(AE1865)+$AD1866</f>
        <v>38</v>
      </c>
      <c r="AF1866" s="1" t="n">
        <f aca="false">IF(AND($N1866=1,AND(LEFT(对接源_02物料!$D666,4)="包装物料",N(对接源_02物料!$K666)&lt;&gt;0)),1,0)</f>
        <v>0</v>
      </c>
      <c r="AG1866" s="1" t="n">
        <f aca="false">N(AG1865)+$AF1866</f>
        <v>6</v>
      </c>
      <c r="AH1866" s="1" t="n">
        <f aca="false">IF(AND($N1866=1,AND(LEFT(对接源_02物料!$D666,3)="周转筐",N(对接源_02物料!$K666)&lt;&gt;0)),1,0)</f>
        <v>0</v>
      </c>
      <c r="AI1866" s="1" t="n">
        <f aca="false">N(AI1865)+$AH1866</f>
        <v>0</v>
      </c>
      <c r="AJ1866" s="1" t="n">
        <v>0</v>
      </c>
      <c r="AK1866" s="1" t="n">
        <f aca="false">N(AK1865)+$AJ1866</f>
        <v>3672</v>
      </c>
    </row>
    <row r="1867" customFormat="false" ht="13.5" hidden="false" customHeight="false" outlineLevel="0" collapsed="false">
      <c r="A1867" s="1" t="str">
        <f aca="false">IF(对接源_02物料!$C667="","",对接源_02物料!$C667)</f>
        <v/>
      </c>
      <c r="B1867" s="1" t="n">
        <f aca="false">IF(A1867="",0,IF(MATCH(A1867,$A$4:$A$2403,0)=ROW()-3,1,0))</f>
        <v>0</v>
      </c>
      <c r="C1867" s="1" t="n">
        <f aca="false">N(C1866)+B1867</f>
        <v>17</v>
      </c>
      <c r="K1867" s="1" t="n">
        <f aca="false">IF(OR($K$1="",对接源_02物料!$C667="",对接源_02物料!$C667&lt;&gt;$K$1,对接源_02物料!$B667=""),0,IF(OR(N(对接源_02物料!$B667)&lt;$K$2,N(对接源_02物料!$B667)&gt;$K$3),0,1))</f>
        <v>0</v>
      </c>
      <c r="L1867" s="1" t="n">
        <f aca="false">IF(OR($L$1="",对接源_02物料!$C667="",对接源_02物料!$C667&lt;&gt;$L$1,对接源_02物料!$B667=""),0,IF(OR(N(对接源_02物料!$B667)&lt;$L$2,N(对接源_02物料!$B667)&gt;$L$3),0,1))</f>
        <v>0</v>
      </c>
      <c r="M1867" s="1" t="n">
        <f aca="false">IF(OR($M$1="",对接源_02物料!$C667="",对接源_02物料!$C667&lt;&gt;$M$1,对接源_02物料!$B667=""),0,IF(OR(N(对接源_02物料!$B667)&lt;$M$2,N(对接源_02物料!$B667)&gt;$M$3),0,1))</f>
        <v>0</v>
      </c>
      <c r="N1867" s="1" t="n">
        <f aca="false">IF(OR($N$1="",对接源_02物料!$C667="",对接源_02物料!$C667&lt;&gt;$N$1,对接源_02物料!$B667=""),0,IF(OR(N(对接源_02物料!$B667)&lt;$N$2,N(对接源_02物料!$B667)&gt;$N$3),0,1))</f>
        <v>0</v>
      </c>
      <c r="P1867" s="1" t="n">
        <f aca="false">IF(AND($K1867=1,AND(对接源_02物料!$X667="公司筐",N(对接源_02物料!$T667)&lt;&gt;0)),1,0)</f>
        <v>0</v>
      </c>
      <c r="Q1867" s="1" t="n">
        <f aca="false">N(Q1866)+$P1867</f>
        <v>13</v>
      </c>
      <c r="R1867" s="1" t="n">
        <f aca="false">IF(AND($K1867=1,AND(对接源_02物料!$X667="公司筐",N(对接源_02物料!$U667)&lt;&gt;0)),1,0)</f>
        <v>0</v>
      </c>
      <c r="S1867" s="1" t="n">
        <f aca="false">N(S1866)+$R1867</f>
        <v>5</v>
      </c>
      <c r="T1867" s="1" t="n">
        <f aca="false">IF(AND($K1867=1,AND(对接源_02物料!$X667="公司筐",N(对接源_02物料!$V667)&lt;&gt;0)),1,0)</f>
        <v>0</v>
      </c>
      <c r="U1867" s="1" t="n">
        <f aca="false">N(U1866)+$T1867</f>
        <v>28</v>
      </c>
      <c r="V1867" s="1" t="n">
        <f aca="false">IF(AND($L1867=1,AND(对接源_02物料!$X667="自备筐",N(对接源_02物料!$V667)&lt;&gt;0)),1,0)</f>
        <v>0</v>
      </c>
      <c r="W1867" s="1" t="n">
        <f aca="false">N(W1866)+$V1867</f>
        <v>7</v>
      </c>
      <c r="X1867" s="1" t="n">
        <f aca="false">IF(AND($L1867=1,AND(对接源_02物料!$X667="自备筐",N(对接源_02物料!$T667)&lt;&gt;0)),1,0)</f>
        <v>0</v>
      </c>
      <c r="Y1867" s="1" t="n">
        <f aca="false">N(Y1866)+$X1867</f>
        <v>0</v>
      </c>
      <c r="Z1867" s="1" t="n">
        <f aca="false">IF(AND($M1867=1,对接源_02物料!$D667="原料入库"),1,0)</f>
        <v>0</v>
      </c>
      <c r="AA1867" s="1" t="n">
        <f aca="false">N(AA1866)+$Z1867</f>
        <v>30</v>
      </c>
      <c r="AB1867" s="1" t="n">
        <f aca="false">IF(AND($M1867=1,LEFT(对接源_02物料!$D667,4)="原料出库"),1,0)</f>
        <v>0</v>
      </c>
      <c r="AC1867" s="1" t="n">
        <f aca="false">N(AC1866)+$AB1867</f>
        <v>19</v>
      </c>
      <c r="AD1867" s="1" t="n">
        <f aca="false">IF(AND($M1867=1,LEFT(对接源_02物料!$D667,4)="成品出库"),1,0)</f>
        <v>0</v>
      </c>
      <c r="AE1867" s="1" t="n">
        <f aca="false">N(AE1866)+$AD1867</f>
        <v>38</v>
      </c>
      <c r="AF1867" s="1" t="n">
        <f aca="false">IF(AND($N1867=1,AND(LEFT(对接源_02物料!$D667,4)="包装物料",N(对接源_02物料!$K667)&lt;&gt;0)),1,0)</f>
        <v>0</v>
      </c>
      <c r="AG1867" s="1" t="n">
        <f aca="false">N(AG1866)+$AF1867</f>
        <v>6</v>
      </c>
      <c r="AH1867" s="1" t="n">
        <f aca="false">IF(AND($N1867=1,AND(LEFT(对接源_02物料!$D667,3)="周转筐",N(对接源_02物料!$K667)&lt;&gt;0)),1,0)</f>
        <v>0</v>
      </c>
      <c r="AI1867" s="1" t="n">
        <f aca="false">N(AI1866)+$AH1867</f>
        <v>0</v>
      </c>
      <c r="AJ1867" s="1" t="n">
        <v>0</v>
      </c>
      <c r="AK1867" s="1" t="n">
        <f aca="false">N(AK1866)+$AJ1867</f>
        <v>3672</v>
      </c>
    </row>
    <row r="1868" customFormat="false" ht="13.5" hidden="false" customHeight="false" outlineLevel="0" collapsed="false">
      <c r="A1868" s="1" t="str">
        <f aca="false">IF(对接源_02物料!$C668="","",对接源_02物料!$C668)</f>
        <v/>
      </c>
      <c r="B1868" s="1" t="n">
        <f aca="false">IF(A1868="",0,IF(MATCH(A1868,$A$4:$A$2403,0)=ROW()-3,1,0))</f>
        <v>0</v>
      </c>
      <c r="C1868" s="1" t="n">
        <f aca="false">N(C1867)+B1868</f>
        <v>17</v>
      </c>
      <c r="K1868" s="1" t="n">
        <f aca="false">IF(OR($K$1="",对接源_02物料!$C668="",对接源_02物料!$C668&lt;&gt;$K$1,对接源_02物料!$B668=""),0,IF(OR(N(对接源_02物料!$B668)&lt;$K$2,N(对接源_02物料!$B668)&gt;$K$3),0,1))</f>
        <v>0</v>
      </c>
      <c r="L1868" s="1" t="n">
        <f aca="false">IF(OR($L$1="",对接源_02物料!$C668="",对接源_02物料!$C668&lt;&gt;$L$1,对接源_02物料!$B668=""),0,IF(OR(N(对接源_02物料!$B668)&lt;$L$2,N(对接源_02物料!$B668)&gt;$L$3),0,1))</f>
        <v>0</v>
      </c>
      <c r="M1868" s="1" t="n">
        <f aca="false">IF(OR($M$1="",对接源_02物料!$C668="",对接源_02物料!$C668&lt;&gt;$M$1,对接源_02物料!$B668=""),0,IF(OR(N(对接源_02物料!$B668)&lt;$M$2,N(对接源_02物料!$B668)&gt;$M$3),0,1))</f>
        <v>0</v>
      </c>
      <c r="N1868" s="1" t="n">
        <f aca="false">IF(OR($N$1="",对接源_02物料!$C668="",对接源_02物料!$C668&lt;&gt;$N$1,对接源_02物料!$B668=""),0,IF(OR(N(对接源_02物料!$B668)&lt;$N$2,N(对接源_02物料!$B668)&gt;$N$3),0,1))</f>
        <v>0</v>
      </c>
      <c r="P1868" s="1" t="n">
        <f aca="false">IF(AND($K1868=1,AND(对接源_02物料!$X668="公司筐",N(对接源_02物料!$T668)&lt;&gt;0)),1,0)</f>
        <v>0</v>
      </c>
      <c r="Q1868" s="1" t="n">
        <f aca="false">N(Q1867)+$P1868</f>
        <v>13</v>
      </c>
      <c r="R1868" s="1" t="n">
        <f aca="false">IF(AND($K1868=1,AND(对接源_02物料!$X668="公司筐",N(对接源_02物料!$U668)&lt;&gt;0)),1,0)</f>
        <v>0</v>
      </c>
      <c r="S1868" s="1" t="n">
        <f aca="false">N(S1867)+$R1868</f>
        <v>5</v>
      </c>
      <c r="T1868" s="1" t="n">
        <f aca="false">IF(AND($K1868=1,AND(对接源_02物料!$X668="公司筐",N(对接源_02物料!$V668)&lt;&gt;0)),1,0)</f>
        <v>0</v>
      </c>
      <c r="U1868" s="1" t="n">
        <f aca="false">N(U1867)+$T1868</f>
        <v>28</v>
      </c>
      <c r="V1868" s="1" t="n">
        <f aca="false">IF(AND($L1868=1,AND(对接源_02物料!$X668="自备筐",N(对接源_02物料!$V668)&lt;&gt;0)),1,0)</f>
        <v>0</v>
      </c>
      <c r="W1868" s="1" t="n">
        <f aca="false">N(W1867)+$V1868</f>
        <v>7</v>
      </c>
      <c r="X1868" s="1" t="n">
        <f aca="false">IF(AND($L1868=1,AND(对接源_02物料!$X668="自备筐",N(对接源_02物料!$T668)&lt;&gt;0)),1,0)</f>
        <v>0</v>
      </c>
      <c r="Y1868" s="1" t="n">
        <f aca="false">N(Y1867)+$X1868</f>
        <v>0</v>
      </c>
      <c r="Z1868" s="1" t="n">
        <f aca="false">IF(AND($M1868=1,对接源_02物料!$D668="原料入库"),1,0)</f>
        <v>0</v>
      </c>
      <c r="AA1868" s="1" t="n">
        <f aca="false">N(AA1867)+$Z1868</f>
        <v>30</v>
      </c>
      <c r="AB1868" s="1" t="n">
        <f aca="false">IF(AND($M1868=1,LEFT(对接源_02物料!$D668,4)="原料出库"),1,0)</f>
        <v>0</v>
      </c>
      <c r="AC1868" s="1" t="n">
        <f aca="false">N(AC1867)+$AB1868</f>
        <v>19</v>
      </c>
      <c r="AD1868" s="1" t="n">
        <f aca="false">IF(AND($M1868=1,LEFT(对接源_02物料!$D668,4)="成品出库"),1,0)</f>
        <v>0</v>
      </c>
      <c r="AE1868" s="1" t="n">
        <f aca="false">N(AE1867)+$AD1868</f>
        <v>38</v>
      </c>
      <c r="AF1868" s="1" t="n">
        <f aca="false">IF(AND($N1868=1,AND(LEFT(对接源_02物料!$D668,4)="包装物料",N(对接源_02物料!$K668)&lt;&gt;0)),1,0)</f>
        <v>0</v>
      </c>
      <c r="AG1868" s="1" t="n">
        <f aca="false">N(AG1867)+$AF1868</f>
        <v>6</v>
      </c>
      <c r="AH1868" s="1" t="n">
        <f aca="false">IF(AND($N1868=1,AND(LEFT(对接源_02物料!$D668,3)="周转筐",N(对接源_02物料!$K668)&lt;&gt;0)),1,0)</f>
        <v>0</v>
      </c>
      <c r="AI1868" s="1" t="n">
        <f aca="false">N(AI1867)+$AH1868</f>
        <v>0</v>
      </c>
      <c r="AJ1868" s="1" t="n">
        <v>0</v>
      </c>
      <c r="AK1868" s="1" t="n">
        <f aca="false">N(AK1867)+$AJ1868</f>
        <v>3672</v>
      </c>
    </row>
    <row r="1869" customFormat="false" ht="13.5" hidden="false" customHeight="false" outlineLevel="0" collapsed="false">
      <c r="A1869" s="1" t="str">
        <f aca="false">IF(对接源_02物料!$C669="","",对接源_02物料!$C669)</f>
        <v/>
      </c>
      <c r="B1869" s="1" t="n">
        <f aca="false">IF(A1869="",0,IF(MATCH(A1869,$A$4:$A$2403,0)=ROW()-3,1,0))</f>
        <v>0</v>
      </c>
      <c r="C1869" s="1" t="n">
        <f aca="false">N(C1868)+B1869</f>
        <v>17</v>
      </c>
      <c r="K1869" s="1" t="n">
        <f aca="false">IF(OR($K$1="",对接源_02物料!$C669="",对接源_02物料!$C669&lt;&gt;$K$1,对接源_02物料!$B669=""),0,IF(OR(N(对接源_02物料!$B669)&lt;$K$2,N(对接源_02物料!$B669)&gt;$K$3),0,1))</f>
        <v>0</v>
      </c>
      <c r="L1869" s="1" t="n">
        <f aca="false">IF(OR($L$1="",对接源_02物料!$C669="",对接源_02物料!$C669&lt;&gt;$L$1,对接源_02物料!$B669=""),0,IF(OR(N(对接源_02物料!$B669)&lt;$L$2,N(对接源_02物料!$B669)&gt;$L$3),0,1))</f>
        <v>0</v>
      </c>
      <c r="M1869" s="1" t="n">
        <f aca="false">IF(OR($M$1="",对接源_02物料!$C669="",对接源_02物料!$C669&lt;&gt;$M$1,对接源_02物料!$B669=""),0,IF(OR(N(对接源_02物料!$B669)&lt;$M$2,N(对接源_02物料!$B669)&gt;$M$3),0,1))</f>
        <v>0</v>
      </c>
      <c r="N1869" s="1" t="n">
        <f aca="false">IF(OR($N$1="",对接源_02物料!$C669="",对接源_02物料!$C669&lt;&gt;$N$1,对接源_02物料!$B669=""),0,IF(OR(N(对接源_02物料!$B669)&lt;$N$2,N(对接源_02物料!$B669)&gt;$N$3),0,1))</f>
        <v>0</v>
      </c>
      <c r="P1869" s="1" t="n">
        <f aca="false">IF(AND($K1869=1,AND(对接源_02物料!$X669="公司筐",N(对接源_02物料!$T669)&lt;&gt;0)),1,0)</f>
        <v>0</v>
      </c>
      <c r="Q1869" s="1" t="n">
        <f aca="false">N(Q1868)+$P1869</f>
        <v>13</v>
      </c>
      <c r="R1869" s="1" t="n">
        <f aca="false">IF(AND($K1869=1,AND(对接源_02物料!$X669="公司筐",N(对接源_02物料!$U669)&lt;&gt;0)),1,0)</f>
        <v>0</v>
      </c>
      <c r="S1869" s="1" t="n">
        <f aca="false">N(S1868)+$R1869</f>
        <v>5</v>
      </c>
      <c r="T1869" s="1" t="n">
        <f aca="false">IF(AND($K1869=1,AND(对接源_02物料!$X669="公司筐",N(对接源_02物料!$V669)&lt;&gt;0)),1,0)</f>
        <v>0</v>
      </c>
      <c r="U1869" s="1" t="n">
        <f aca="false">N(U1868)+$T1869</f>
        <v>28</v>
      </c>
      <c r="V1869" s="1" t="n">
        <f aca="false">IF(AND($L1869=1,AND(对接源_02物料!$X669="自备筐",N(对接源_02物料!$V669)&lt;&gt;0)),1,0)</f>
        <v>0</v>
      </c>
      <c r="W1869" s="1" t="n">
        <f aca="false">N(W1868)+$V1869</f>
        <v>7</v>
      </c>
      <c r="X1869" s="1" t="n">
        <f aca="false">IF(AND($L1869=1,AND(对接源_02物料!$X669="自备筐",N(对接源_02物料!$T669)&lt;&gt;0)),1,0)</f>
        <v>0</v>
      </c>
      <c r="Y1869" s="1" t="n">
        <f aca="false">N(Y1868)+$X1869</f>
        <v>0</v>
      </c>
      <c r="Z1869" s="1" t="n">
        <f aca="false">IF(AND($M1869=1,对接源_02物料!$D669="原料入库"),1,0)</f>
        <v>0</v>
      </c>
      <c r="AA1869" s="1" t="n">
        <f aca="false">N(AA1868)+$Z1869</f>
        <v>30</v>
      </c>
      <c r="AB1869" s="1" t="n">
        <f aca="false">IF(AND($M1869=1,LEFT(对接源_02物料!$D669,4)="原料出库"),1,0)</f>
        <v>0</v>
      </c>
      <c r="AC1869" s="1" t="n">
        <f aca="false">N(AC1868)+$AB1869</f>
        <v>19</v>
      </c>
      <c r="AD1869" s="1" t="n">
        <f aca="false">IF(AND($M1869=1,LEFT(对接源_02物料!$D669,4)="成品出库"),1,0)</f>
        <v>0</v>
      </c>
      <c r="AE1869" s="1" t="n">
        <f aca="false">N(AE1868)+$AD1869</f>
        <v>38</v>
      </c>
      <c r="AF1869" s="1" t="n">
        <f aca="false">IF(AND($N1869=1,AND(LEFT(对接源_02物料!$D669,4)="包装物料",N(对接源_02物料!$K669)&lt;&gt;0)),1,0)</f>
        <v>0</v>
      </c>
      <c r="AG1869" s="1" t="n">
        <f aca="false">N(AG1868)+$AF1869</f>
        <v>6</v>
      </c>
      <c r="AH1869" s="1" t="n">
        <f aca="false">IF(AND($N1869=1,AND(LEFT(对接源_02物料!$D669,3)="周转筐",N(对接源_02物料!$K669)&lt;&gt;0)),1,0)</f>
        <v>0</v>
      </c>
      <c r="AI1869" s="1" t="n">
        <f aca="false">N(AI1868)+$AH1869</f>
        <v>0</v>
      </c>
      <c r="AJ1869" s="1" t="n">
        <v>0</v>
      </c>
      <c r="AK1869" s="1" t="n">
        <f aca="false">N(AK1868)+$AJ1869</f>
        <v>3672</v>
      </c>
    </row>
    <row r="1870" customFormat="false" ht="13.5" hidden="false" customHeight="false" outlineLevel="0" collapsed="false">
      <c r="A1870" s="1" t="str">
        <f aca="false">IF(对接源_02物料!$C670="","",对接源_02物料!$C670)</f>
        <v/>
      </c>
      <c r="B1870" s="1" t="n">
        <f aca="false">IF(A1870="",0,IF(MATCH(A1870,$A$4:$A$2403,0)=ROW()-3,1,0))</f>
        <v>0</v>
      </c>
      <c r="C1870" s="1" t="n">
        <f aca="false">N(C1869)+B1870</f>
        <v>17</v>
      </c>
      <c r="K1870" s="1" t="n">
        <f aca="false">IF(OR($K$1="",对接源_02物料!$C670="",对接源_02物料!$C670&lt;&gt;$K$1,对接源_02物料!$B670=""),0,IF(OR(N(对接源_02物料!$B670)&lt;$K$2,N(对接源_02物料!$B670)&gt;$K$3),0,1))</f>
        <v>0</v>
      </c>
      <c r="L1870" s="1" t="n">
        <f aca="false">IF(OR($L$1="",对接源_02物料!$C670="",对接源_02物料!$C670&lt;&gt;$L$1,对接源_02物料!$B670=""),0,IF(OR(N(对接源_02物料!$B670)&lt;$L$2,N(对接源_02物料!$B670)&gt;$L$3),0,1))</f>
        <v>0</v>
      </c>
      <c r="M1870" s="1" t="n">
        <f aca="false">IF(OR($M$1="",对接源_02物料!$C670="",对接源_02物料!$C670&lt;&gt;$M$1,对接源_02物料!$B670=""),0,IF(OR(N(对接源_02物料!$B670)&lt;$M$2,N(对接源_02物料!$B670)&gt;$M$3),0,1))</f>
        <v>0</v>
      </c>
      <c r="N1870" s="1" t="n">
        <f aca="false">IF(OR($N$1="",对接源_02物料!$C670="",对接源_02物料!$C670&lt;&gt;$N$1,对接源_02物料!$B670=""),0,IF(OR(N(对接源_02物料!$B670)&lt;$N$2,N(对接源_02物料!$B670)&gt;$N$3),0,1))</f>
        <v>0</v>
      </c>
      <c r="P1870" s="1" t="n">
        <f aca="false">IF(AND($K1870=1,AND(对接源_02物料!$X670="公司筐",N(对接源_02物料!$T670)&lt;&gt;0)),1,0)</f>
        <v>0</v>
      </c>
      <c r="Q1870" s="1" t="n">
        <f aca="false">N(Q1869)+$P1870</f>
        <v>13</v>
      </c>
      <c r="R1870" s="1" t="n">
        <f aca="false">IF(AND($K1870=1,AND(对接源_02物料!$X670="公司筐",N(对接源_02物料!$U670)&lt;&gt;0)),1,0)</f>
        <v>0</v>
      </c>
      <c r="S1870" s="1" t="n">
        <f aca="false">N(S1869)+$R1870</f>
        <v>5</v>
      </c>
      <c r="T1870" s="1" t="n">
        <f aca="false">IF(AND($K1870=1,AND(对接源_02物料!$X670="公司筐",N(对接源_02物料!$V670)&lt;&gt;0)),1,0)</f>
        <v>0</v>
      </c>
      <c r="U1870" s="1" t="n">
        <f aca="false">N(U1869)+$T1870</f>
        <v>28</v>
      </c>
      <c r="V1870" s="1" t="n">
        <f aca="false">IF(AND($L1870=1,AND(对接源_02物料!$X670="自备筐",N(对接源_02物料!$V670)&lt;&gt;0)),1,0)</f>
        <v>0</v>
      </c>
      <c r="W1870" s="1" t="n">
        <f aca="false">N(W1869)+$V1870</f>
        <v>7</v>
      </c>
      <c r="X1870" s="1" t="n">
        <f aca="false">IF(AND($L1870=1,AND(对接源_02物料!$X670="自备筐",N(对接源_02物料!$T670)&lt;&gt;0)),1,0)</f>
        <v>0</v>
      </c>
      <c r="Y1870" s="1" t="n">
        <f aca="false">N(Y1869)+$X1870</f>
        <v>0</v>
      </c>
      <c r="Z1870" s="1" t="n">
        <f aca="false">IF(AND($M1870=1,对接源_02物料!$D670="原料入库"),1,0)</f>
        <v>0</v>
      </c>
      <c r="AA1870" s="1" t="n">
        <f aca="false">N(AA1869)+$Z1870</f>
        <v>30</v>
      </c>
      <c r="AB1870" s="1" t="n">
        <f aca="false">IF(AND($M1870=1,LEFT(对接源_02物料!$D670,4)="原料出库"),1,0)</f>
        <v>0</v>
      </c>
      <c r="AC1870" s="1" t="n">
        <f aca="false">N(AC1869)+$AB1870</f>
        <v>19</v>
      </c>
      <c r="AD1870" s="1" t="n">
        <f aca="false">IF(AND($M1870=1,LEFT(对接源_02物料!$D670,4)="成品出库"),1,0)</f>
        <v>0</v>
      </c>
      <c r="AE1870" s="1" t="n">
        <f aca="false">N(AE1869)+$AD1870</f>
        <v>38</v>
      </c>
      <c r="AF1870" s="1" t="n">
        <f aca="false">IF(AND($N1870=1,AND(LEFT(对接源_02物料!$D670,4)="包装物料",N(对接源_02物料!$K670)&lt;&gt;0)),1,0)</f>
        <v>0</v>
      </c>
      <c r="AG1870" s="1" t="n">
        <f aca="false">N(AG1869)+$AF1870</f>
        <v>6</v>
      </c>
      <c r="AH1870" s="1" t="n">
        <f aca="false">IF(AND($N1870=1,AND(LEFT(对接源_02物料!$D670,3)="周转筐",N(对接源_02物料!$K670)&lt;&gt;0)),1,0)</f>
        <v>0</v>
      </c>
      <c r="AI1870" s="1" t="n">
        <f aca="false">N(AI1869)+$AH1870</f>
        <v>0</v>
      </c>
      <c r="AJ1870" s="1" t="n">
        <v>0</v>
      </c>
      <c r="AK1870" s="1" t="n">
        <f aca="false">N(AK1869)+$AJ1870</f>
        <v>3672</v>
      </c>
    </row>
    <row r="1871" customFormat="false" ht="13.5" hidden="false" customHeight="false" outlineLevel="0" collapsed="false">
      <c r="A1871" s="1" t="str">
        <f aca="false">IF(对接源_02物料!$C671="","",对接源_02物料!$C671)</f>
        <v/>
      </c>
      <c r="B1871" s="1" t="n">
        <f aca="false">IF(A1871="",0,IF(MATCH(A1871,$A$4:$A$2403,0)=ROW()-3,1,0))</f>
        <v>0</v>
      </c>
      <c r="C1871" s="1" t="n">
        <f aca="false">N(C1870)+B1871</f>
        <v>17</v>
      </c>
      <c r="K1871" s="1" t="n">
        <f aca="false">IF(OR($K$1="",对接源_02物料!$C671="",对接源_02物料!$C671&lt;&gt;$K$1,对接源_02物料!$B671=""),0,IF(OR(N(对接源_02物料!$B671)&lt;$K$2,N(对接源_02物料!$B671)&gt;$K$3),0,1))</f>
        <v>0</v>
      </c>
      <c r="L1871" s="1" t="n">
        <f aca="false">IF(OR($L$1="",对接源_02物料!$C671="",对接源_02物料!$C671&lt;&gt;$L$1,对接源_02物料!$B671=""),0,IF(OR(N(对接源_02物料!$B671)&lt;$L$2,N(对接源_02物料!$B671)&gt;$L$3),0,1))</f>
        <v>0</v>
      </c>
      <c r="M1871" s="1" t="n">
        <f aca="false">IF(OR($M$1="",对接源_02物料!$C671="",对接源_02物料!$C671&lt;&gt;$M$1,对接源_02物料!$B671=""),0,IF(OR(N(对接源_02物料!$B671)&lt;$M$2,N(对接源_02物料!$B671)&gt;$M$3),0,1))</f>
        <v>0</v>
      </c>
      <c r="N1871" s="1" t="n">
        <f aca="false">IF(OR($N$1="",对接源_02物料!$C671="",对接源_02物料!$C671&lt;&gt;$N$1,对接源_02物料!$B671=""),0,IF(OR(N(对接源_02物料!$B671)&lt;$N$2,N(对接源_02物料!$B671)&gt;$N$3),0,1))</f>
        <v>0</v>
      </c>
      <c r="P1871" s="1" t="n">
        <f aca="false">IF(AND($K1871=1,AND(对接源_02物料!$X671="公司筐",N(对接源_02物料!$T671)&lt;&gt;0)),1,0)</f>
        <v>0</v>
      </c>
      <c r="Q1871" s="1" t="n">
        <f aca="false">N(Q1870)+$P1871</f>
        <v>13</v>
      </c>
      <c r="R1871" s="1" t="n">
        <f aca="false">IF(AND($K1871=1,AND(对接源_02物料!$X671="公司筐",N(对接源_02物料!$U671)&lt;&gt;0)),1,0)</f>
        <v>0</v>
      </c>
      <c r="S1871" s="1" t="n">
        <f aca="false">N(S1870)+$R1871</f>
        <v>5</v>
      </c>
      <c r="T1871" s="1" t="n">
        <f aca="false">IF(AND($K1871=1,AND(对接源_02物料!$X671="公司筐",N(对接源_02物料!$V671)&lt;&gt;0)),1,0)</f>
        <v>0</v>
      </c>
      <c r="U1871" s="1" t="n">
        <f aca="false">N(U1870)+$T1871</f>
        <v>28</v>
      </c>
      <c r="V1871" s="1" t="n">
        <f aca="false">IF(AND($L1871=1,AND(对接源_02物料!$X671="自备筐",N(对接源_02物料!$V671)&lt;&gt;0)),1,0)</f>
        <v>0</v>
      </c>
      <c r="W1871" s="1" t="n">
        <f aca="false">N(W1870)+$V1871</f>
        <v>7</v>
      </c>
      <c r="X1871" s="1" t="n">
        <f aca="false">IF(AND($L1871=1,AND(对接源_02物料!$X671="自备筐",N(对接源_02物料!$T671)&lt;&gt;0)),1,0)</f>
        <v>0</v>
      </c>
      <c r="Y1871" s="1" t="n">
        <f aca="false">N(Y1870)+$X1871</f>
        <v>0</v>
      </c>
      <c r="Z1871" s="1" t="n">
        <f aca="false">IF(AND($M1871=1,对接源_02物料!$D671="原料入库"),1,0)</f>
        <v>0</v>
      </c>
      <c r="AA1871" s="1" t="n">
        <f aca="false">N(AA1870)+$Z1871</f>
        <v>30</v>
      </c>
      <c r="AB1871" s="1" t="n">
        <f aca="false">IF(AND($M1871=1,LEFT(对接源_02物料!$D671,4)="原料出库"),1,0)</f>
        <v>0</v>
      </c>
      <c r="AC1871" s="1" t="n">
        <f aca="false">N(AC1870)+$AB1871</f>
        <v>19</v>
      </c>
      <c r="AD1871" s="1" t="n">
        <f aca="false">IF(AND($M1871=1,LEFT(对接源_02物料!$D671,4)="成品出库"),1,0)</f>
        <v>0</v>
      </c>
      <c r="AE1871" s="1" t="n">
        <f aca="false">N(AE1870)+$AD1871</f>
        <v>38</v>
      </c>
      <c r="AF1871" s="1" t="n">
        <f aca="false">IF(AND($N1871=1,AND(LEFT(对接源_02物料!$D671,4)="包装物料",N(对接源_02物料!$K671)&lt;&gt;0)),1,0)</f>
        <v>0</v>
      </c>
      <c r="AG1871" s="1" t="n">
        <f aca="false">N(AG1870)+$AF1871</f>
        <v>6</v>
      </c>
      <c r="AH1871" s="1" t="n">
        <f aca="false">IF(AND($N1871=1,AND(LEFT(对接源_02物料!$D671,3)="周转筐",N(对接源_02物料!$K671)&lt;&gt;0)),1,0)</f>
        <v>0</v>
      </c>
      <c r="AI1871" s="1" t="n">
        <f aca="false">N(AI1870)+$AH1871</f>
        <v>0</v>
      </c>
      <c r="AJ1871" s="1" t="n">
        <v>0</v>
      </c>
      <c r="AK1871" s="1" t="n">
        <f aca="false">N(AK1870)+$AJ1871</f>
        <v>3672</v>
      </c>
    </row>
    <row r="1872" customFormat="false" ht="13.5" hidden="false" customHeight="false" outlineLevel="0" collapsed="false">
      <c r="A1872" s="1" t="str">
        <f aca="false">IF(对接源_02物料!$C672="","",对接源_02物料!$C672)</f>
        <v/>
      </c>
      <c r="B1872" s="1" t="n">
        <f aca="false">IF(A1872="",0,IF(MATCH(A1872,$A$4:$A$2403,0)=ROW()-3,1,0))</f>
        <v>0</v>
      </c>
      <c r="C1872" s="1" t="n">
        <f aca="false">N(C1871)+B1872</f>
        <v>17</v>
      </c>
      <c r="K1872" s="1" t="n">
        <f aca="false">IF(OR($K$1="",对接源_02物料!$C672="",对接源_02物料!$C672&lt;&gt;$K$1,对接源_02物料!$B672=""),0,IF(OR(N(对接源_02物料!$B672)&lt;$K$2,N(对接源_02物料!$B672)&gt;$K$3),0,1))</f>
        <v>0</v>
      </c>
      <c r="L1872" s="1" t="n">
        <f aca="false">IF(OR($L$1="",对接源_02物料!$C672="",对接源_02物料!$C672&lt;&gt;$L$1,对接源_02物料!$B672=""),0,IF(OR(N(对接源_02物料!$B672)&lt;$L$2,N(对接源_02物料!$B672)&gt;$L$3),0,1))</f>
        <v>0</v>
      </c>
      <c r="M1872" s="1" t="n">
        <f aca="false">IF(OR($M$1="",对接源_02物料!$C672="",对接源_02物料!$C672&lt;&gt;$M$1,对接源_02物料!$B672=""),0,IF(OR(N(对接源_02物料!$B672)&lt;$M$2,N(对接源_02物料!$B672)&gt;$M$3),0,1))</f>
        <v>0</v>
      </c>
      <c r="N1872" s="1" t="n">
        <f aca="false">IF(OR($N$1="",对接源_02物料!$C672="",对接源_02物料!$C672&lt;&gt;$N$1,对接源_02物料!$B672=""),0,IF(OR(N(对接源_02物料!$B672)&lt;$N$2,N(对接源_02物料!$B672)&gt;$N$3),0,1))</f>
        <v>0</v>
      </c>
      <c r="P1872" s="1" t="n">
        <f aca="false">IF(AND($K1872=1,AND(对接源_02物料!$X672="公司筐",N(对接源_02物料!$T672)&lt;&gt;0)),1,0)</f>
        <v>0</v>
      </c>
      <c r="Q1872" s="1" t="n">
        <f aca="false">N(Q1871)+$P1872</f>
        <v>13</v>
      </c>
      <c r="R1872" s="1" t="n">
        <f aca="false">IF(AND($K1872=1,AND(对接源_02物料!$X672="公司筐",N(对接源_02物料!$U672)&lt;&gt;0)),1,0)</f>
        <v>0</v>
      </c>
      <c r="S1872" s="1" t="n">
        <f aca="false">N(S1871)+$R1872</f>
        <v>5</v>
      </c>
      <c r="T1872" s="1" t="n">
        <f aca="false">IF(AND($K1872=1,AND(对接源_02物料!$X672="公司筐",N(对接源_02物料!$V672)&lt;&gt;0)),1,0)</f>
        <v>0</v>
      </c>
      <c r="U1872" s="1" t="n">
        <f aca="false">N(U1871)+$T1872</f>
        <v>28</v>
      </c>
      <c r="V1872" s="1" t="n">
        <f aca="false">IF(AND($L1872=1,AND(对接源_02物料!$X672="自备筐",N(对接源_02物料!$V672)&lt;&gt;0)),1,0)</f>
        <v>0</v>
      </c>
      <c r="W1872" s="1" t="n">
        <f aca="false">N(W1871)+$V1872</f>
        <v>7</v>
      </c>
      <c r="X1872" s="1" t="n">
        <f aca="false">IF(AND($L1872=1,AND(对接源_02物料!$X672="自备筐",N(对接源_02物料!$T672)&lt;&gt;0)),1,0)</f>
        <v>0</v>
      </c>
      <c r="Y1872" s="1" t="n">
        <f aca="false">N(Y1871)+$X1872</f>
        <v>0</v>
      </c>
      <c r="Z1872" s="1" t="n">
        <f aca="false">IF(AND($M1872=1,对接源_02物料!$D672="原料入库"),1,0)</f>
        <v>0</v>
      </c>
      <c r="AA1872" s="1" t="n">
        <f aca="false">N(AA1871)+$Z1872</f>
        <v>30</v>
      </c>
      <c r="AB1872" s="1" t="n">
        <f aca="false">IF(AND($M1872=1,LEFT(对接源_02物料!$D672,4)="原料出库"),1,0)</f>
        <v>0</v>
      </c>
      <c r="AC1872" s="1" t="n">
        <f aca="false">N(AC1871)+$AB1872</f>
        <v>19</v>
      </c>
      <c r="AD1872" s="1" t="n">
        <f aca="false">IF(AND($M1872=1,LEFT(对接源_02物料!$D672,4)="成品出库"),1,0)</f>
        <v>0</v>
      </c>
      <c r="AE1872" s="1" t="n">
        <f aca="false">N(AE1871)+$AD1872</f>
        <v>38</v>
      </c>
      <c r="AF1872" s="1" t="n">
        <f aca="false">IF(AND($N1872=1,AND(LEFT(对接源_02物料!$D672,4)="包装物料",N(对接源_02物料!$K672)&lt;&gt;0)),1,0)</f>
        <v>0</v>
      </c>
      <c r="AG1872" s="1" t="n">
        <f aca="false">N(AG1871)+$AF1872</f>
        <v>6</v>
      </c>
      <c r="AH1872" s="1" t="n">
        <f aca="false">IF(AND($N1872=1,AND(LEFT(对接源_02物料!$D672,3)="周转筐",N(对接源_02物料!$K672)&lt;&gt;0)),1,0)</f>
        <v>0</v>
      </c>
      <c r="AI1872" s="1" t="n">
        <f aca="false">N(AI1871)+$AH1872</f>
        <v>0</v>
      </c>
      <c r="AJ1872" s="1" t="n">
        <v>0</v>
      </c>
      <c r="AK1872" s="1" t="n">
        <f aca="false">N(AK1871)+$AJ1872</f>
        <v>3672</v>
      </c>
    </row>
    <row r="1873" customFormat="false" ht="13.5" hidden="false" customHeight="false" outlineLevel="0" collapsed="false">
      <c r="A1873" s="1" t="str">
        <f aca="false">IF(对接源_02物料!$C673="","",对接源_02物料!$C673)</f>
        <v/>
      </c>
      <c r="B1873" s="1" t="n">
        <f aca="false">IF(A1873="",0,IF(MATCH(A1873,$A$4:$A$2403,0)=ROW()-3,1,0))</f>
        <v>0</v>
      </c>
      <c r="C1873" s="1" t="n">
        <f aca="false">N(C1872)+B1873</f>
        <v>17</v>
      </c>
      <c r="K1873" s="1" t="n">
        <f aca="false">IF(OR($K$1="",对接源_02物料!$C673="",对接源_02物料!$C673&lt;&gt;$K$1,对接源_02物料!$B673=""),0,IF(OR(N(对接源_02物料!$B673)&lt;$K$2,N(对接源_02物料!$B673)&gt;$K$3),0,1))</f>
        <v>0</v>
      </c>
      <c r="L1873" s="1" t="n">
        <f aca="false">IF(OR($L$1="",对接源_02物料!$C673="",对接源_02物料!$C673&lt;&gt;$L$1,对接源_02物料!$B673=""),0,IF(OR(N(对接源_02物料!$B673)&lt;$L$2,N(对接源_02物料!$B673)&gt;$L$3),0,1))</f>
        <v>0</v>
      </c>
      <c r="M1873" s="1" t="n">
        <f aca="false">IF(OR($M$1="",对接源_02物料!$C673="",对接源_02物料!$C673&lt;&gt;$M$1,对接源_02物料!$B673=""),0,IF(OR(N(对接源_02物料!$B673)&lt;$M$2,N(对接源_02物料!$B673)&gt;$M$3),0,1))</f>
        <v>0</v>
      </c>
      <c r="N1873" s="1" t="n">
        <f aca="false">IF(OR($N$1="",对接源_02物料!$C673="",对接源_02物料!$C673&lt;&gt;$N$1,对接源_02物料!$B673=""),0,IF(OR(N(对接源_02物料!$B673)&lt;$N$2,N(对接源_02物料!$B673)&gt;$N$3),0,1))</f>
        <v>0</v>
      </c>
      <c r="P1873" s="1" t="n">
        <f aca="false">IF(AND($K1873=1,AND(对接源_02物料!$X673="公司筐",N(对接源_02物料!$T673)&lt;&gt;0)),1,0)</f>
        <v>0</v>
      </c>
      <c r="Q1873" s="1" t="n">
        <f aca="false">N(Q1872)+$P1873</f>
        <v>13</v>
      </c>
      <c r="R1873" s="1" t="n">
        <f aca="false">IF(AND($K1873=1,AND(对接源_02物料!$X673="公司筐",N(对接源_02物料!$U673)&lt;&gt;0)),1,0)</f>
        <v>0</v>
      </c>
      <c r="S1873" s="1" t="n">
        <f aca="false">N(S1872)+$R1873</f>
        <v>5</v>
      </c>
      <c r="T1873" s="1" t="n">
        <f aca="false">IF(AND($K1873=1,AND(对接源_02物料!$X673="公司筐",N(对接源_02物料!$V673)&lt;&gt;0)),1,0)</f>
        <v>0</v>
      </c>
      <c r="U1873" s="1" t="n">
        <f aca="false">N(U1872)+$T1873</f>
        <v>28</v>
      </c>
      <c r="V1873" s="1" t="n">
        <f aca="false">IF(AND($L1873=1,AND(对接源_02物料!$X673="自备筐",N(对接源_02物料!$V673)&lt;&gt;0)),1,0)</f>
        <v>0</v>
      </c>
      <c r="W1873" s="1" t="n">
        <f aca="false">N(W1872)+$V1873</f>
        <v>7</v>
      </c>
      <c r="X1873" s="1" t="n">
        <f aca="false">IF(AND($L1873=1,AND(对接源_02物料!$X673="自备筐",N(对接源_02物料!$T673)&lt;&gt;0)),1,0)</f>
        <v>0</v>
      </c>
      <c r="Y1873" s="1" t="n">
        <f aca="false">N(Y1872)+$X1873</f>
        <v>0</v>
      </c>
      <c r="Z1873" s="1" t="n">
        <f aca="false">IF(AND($M1873=1,对接源_02物料!$D673="原料入库"),1,0)</f>
        <v>0</v>
      </c>
      <c r="AA1873" s="1" t="n">
        <f aca="false">N(AA1872)+$Z1873</f>
        <v>30</v>
      </c>
      <c r="AB1873" s="1" t="n">
        <f aca="false">IF(AND($M1873=1,LEFT(对接源_02物料!$D673,4)="原料出库"),1,0)</f>
        <v>0</v>
      </c>
      <c r="AC1873" s="1" t="n">
        <f aca="false">N(AC1872)+$AB1873</f>
        <v>19</v>
      </c>
      <c r="AD1873" s="1" t="n">
        <f aca="false">IF(AND($M1873=1,LEFT(对接源_02物料!$D673,4)="成品出库"),1,0)</f>
        <v>0</v>
      </c>
      <c r="AE1873" s="1" t="n">
        <f aca="false">N(AE1872)+$AD1873</f>
        <v>38</v>
      </c>
      <c r="AF1873" s="1" t="n">
        <f aca="false">IF(AND($N1873=1,AND(LEFT(对接源_02物料!$D673,4)="包装物料",N(对接源_02物料!$K673)&lt;&gt;0)),1,0)</f>
        <v>0</v>
      </c>
      <c r="AG1873" s="1" t="n">
        <f aca="false">N(AG1872)+$AF1873</f>
        <v>6</v>
      </c>
      <c r="AH1873" s="1" t="n">
        <f aca="false">IF(AND($N1873=1,AND(LEFT(对接源_02物料!$D673,3)="周转筐",N(对接源_02物料!$K673)&lt;&gt;0)),1,0)</f>
        <v>0</v>
      </c>
      <c r="AI1873" s="1" t="n">
        <f aca="false">N(AI1872)+$AH1873</f>
        <v>0</v>
      </c>
      <c r="AJ1873" s="1" t="n">
        <v>0</v>
      </c>
      <c r="AK1873" s="1" t="n">
        <f aca="false">N(AK1872)+$AJ1873</f>
        <v>3672</v>
      </c>
    </row>
    <row r="1874" customFormat="false" ht="13.5" hidden="false" customHeight="false" outlineLevel="0" collapsed="false">
      <c r="A1874" s="1" t="str">
        <f aca="false">IF(对接源_02物料!$C674="","",对接源_02物料!$C674)</f>
        <v/>
      </c>
      <c r="B1874" s="1" t="n">
        <f aca="false">IF(A1874="",0,IF(MATCH(A1874,$A$4:$A$2403,0)=ROW()-3,1,0))</f>
        <v>0</v>
      </c>
      <c r="C1874" s="1" t="n">
        <f aca="false">N(C1873)+B1874</f>
        <v>17</v>
      </c>
      <c r="K1874" s="1" t="n">
        <f aca="false">IF(OR($K$1="",对接源_02物料!$C674="",对接源_02物料!$C674&lt;&gt;$K$1,对接源_02物料!$B674=""),0,IF(OR(N(对接源_02物料!$B674)&lt;$K$2,N(对接源_02物料!$B674)&gt;$K$3),0,1))</f>
        <v>0</v>
      </c>
      <c r="L1874" s="1" t="n">
        <f aca="false">IF(OR($L$1="",对接源_02物料!$C674="",对接源_02物料!$C674&lt;&gt;$L$1,对接源_02物料!$B674=""),0,IF(OR(N(对接源_02物料!$B674)&lt;$L$2,N(对接源_02物料!$B674)&gt;$L$3),0,1))</f>
        <v>0</v>
      </c>
      <c r="M1874" s="1" t="n">
        <f aca="false">IF(OR($M$1="",对接源_02物料!$C674="",对接源_02物料!$C674&lt;&gt;$M$1,对接源_02物料!$B674=""),0,IF(OR(N(对接源_02物料!$B674)&lt;$M$2,N(对接源_02物料!$B674)&gt;$M$3),0,1))</f>
        <v>0</v>
      </c>
      <c r="N1874" s="1" t="n">
        <f aca="false">IF(OR($N$1="",对接源_02物料!$C674="",对接源_02物料!$C674&lt;&gt;$N$1,对接源_02物料!$B674=""),0,IF(OR(N(对接源_02物料!$B674)&lt;$N$2,N(对接源_02物料!$B674)&gt;$N$3),0,1))</f>
        <v>0</v>
      </c>
      <c r="P1874" s="1" t="n">
        <f aca="false">IF(AND($K1874=1,AND(对接源_02物料!$X674="公司筐",N(对接源_02物料!$T674)&lt;&gt;0)),1,0)</f>
        <v>0</v>
      </c>
      <c r="Q1874" s="1" t="n">
        <f aca="false">N(Q1873)+$P1874</f>
        <v>13</v>
      </c>
      <c r="R1874" s="1" t="n">
        <f aca="false">IF(AND($K1874=1,AND(对接源_02物料!$X674="公司筐",N(对接源_02物料!$U674)&lt;&gt;0)),1,0)</f>
        <v>0</v>
      </c>
      <c r="S1874" s="1" t="n">
        <f aca="false">N(S1873)+$R1874</f>
        <v>5</v>
      </c>
      <c r="T1874" s="1" t="n">
        <f aca="false">IF(AND($K1874=1,AND(对接源_02物料!$X674="公司筐",N(对接源_02物料!$V674)&lt;&gt;0)),1,0)</f>
        <v>0</v>
      </c>
      <c r="U1874" s="1" t="n">
        <f aca="false">N(U1873)+$T1874</f>
        <v>28</v>
      </c>
      <c r="V1874" s="1" t="n">
        <f aca="false">IF(AND($L1874=1,AND(对接源_02物料!$X674="自备筐",N(对接源_02物料!$V674)&lt;&gt;0)),1,0)</f>
        <v>0</v>
      </c>
      <c r="W1874" s="1" t="n">
        <f aca="false">N(W1873)+$V1874</f>
        <v>7</v>
      </c>
      <c r="X1874" s="1" t="n">
        <f aca="false">IF(AND($L1874=1,AND(对接源_02物料!$X674="自备筐",N(对接源_02物料!$T674)&lt;&gt;0)),1,0)</f>
        <v>0</v>
      </c>
      <c r="Y1874" s="1" t="n">
        <f aca="false">N(Y1873)+$X1874</f>
        <v>0</v>
      </c>
      <c r="Z1874" s="1" t="n">
        <f aca="false">IF(AND($M1874=1,对接源_02物料!$D674="原料入库"),1,0)</f>
        <v>0</v>
      </c>
      <c r="AA1874" s="1" t="n">
        <f aca="false">N(AA1873)+$Z1874</f>
        <v>30</v>
      </c>
      <c r="AB1874" s="1" t="n">
        <f aca="false">IF(AND($M1874=1,LEFT(对接源_02物料!$D674,4)="原料出库"),1,0)</f>
        <v>0</v>
      </c>
      <c r="AC1874" s="1" t="n">
        <f aca="false">N(AC1873)+$AB1874</f>
        <v>19</v>
      </c>
      <c r="AD1874" s="1" t="n">
        <f aca="false">IF(AND($M1874=1,LEFT(对接源_02物料!$D674,4)="成品出库"),1,0)</f>
        <v>0</v>
      </c>
      <c r="AE1874" s="1" t="n">
        <f aca="false">N(AE1873)+$AD1874</f>
        <v>38</v>
      </c>
      <c r="AF1874" s="1" t="n">
        <f aca="false">IF(AND($N1874=1,AND(LEFT(对接源_02物料!$D674,4)="包装物料",N(对接源_02物料!$K674)&lt;&gt;0)),1,0)</f>
        <v>0</v>
      </c>
      <c r="AG1874" s="1" t="n">
        <f aca="false">N(AG1873)+$AF1874</f>
        <v>6</v>
      </c>
      <c r="AH1874" s="1" t="n">
        <f aca="false">IF(AND($N1874=1,AND(LEFT(对接源_02物料!$D674,3)="周转筐",N(对接源_02物料!$K674)&lt;&gt;0)),1,0)</f>
        <v>0</v>
      </c>
      <c r="AI1874" s="1" t="n">
        <f aca="false">N(AI1873)+$AH1874</f>
        <v>0</v>
      </c>
      <c r="AJ1874" s="1" t="n">
        <v>0</v>
      </c>
      <c r="AK1874" s="1" t="n">
        <f aca="false">N(AK1873)+$AJ1874</f>
        <v>3672</v>
      </c>
    </row>
    <row r="1875" customFormat="false" ht="13.5" hidden="false" customHeight="false" outlineLevel="0" collapsed="false">
      <c r="A1875" s="1" t="str">
        <f aca="false">IF(对接源_02物料!$C675="","",对接源_02物料!$C675)</f>
        <v/>
      </c>
      <c r="B1875" s="1" t="n">
        <f aca="false">IF(A1875="",0,IF(MATCH(A1875,$A$4:$A$2403,0)=ROW()-3,1,0))</f>
        <v>0</v>
      </c>
      <c r="C1875" s="1" t="n">
        <f aca="false">N(C1874)+B1875</f>
        <v>17</v>
      </c>
      <c r="K1875" s="1" t="n">
        <f aca="false">IF(OR($K$1="",对接源_02物料!$C675="",对接源_02物料!$C675&lt;&gt;$K$1,对接源_02物料!$B675=""),0,IF(OR(N(对接源_02物料!$B675)&lt;$K$2,N(对接源_02物料!$B675)&gt;$K$3),0,1))</f>
        <v>0</v>
      </c>
      <c r="L1875" s="1" t="n">
        <f aca="false">IF(OR($L$1="",对接源_02物料!$C675="",对接源_02物料!$C675&lt;&gt;$L$1,对接源_02物料!$B675=""),0,IF(OR(N(对接源_02物料!$B675)&lt;$L$2,N(对接源_02物料!$B675)&gt;$L$3),0,1))</f>
        <v>0</v>
      </c>
      <c r="M1875" s="1" t="n">
        <f aca="false">IF(OR($M$1="",对接源_02物料!$C675="",对接源_02物料!$C675&lt;&gt;$M$1,对接源_02物料!$B675=""),0,IF(OR(N(对接源_02物料!$B675)&lt;$M$2,N(对接源_02物料!$B675)&gt;$M$3),0,1))</f>
        <v>0</v>
      </c>
      <c r="N1875" s="1" t="n">
        <f aca="false">IF(OR($N$1="",对接源_02物料!$C675="",对接源_02物料!$C675&lt;&gt;$N$1,对接源_02物料!$B675=""),0,IF(OR(N(对接源_02物料!$B675)&lt;$N$2,N(对接源_02物料!$B675)&gt;$N$3),0,1))</f>
        <v>0</v>
      </c>
      <c r="P1875" s="1" t="n">
        <f aca="false">IF(AND($K1875=1,AND(对接源_02物料!$X675="公司筐",N(对接源_02物料!$T675)&lt;&gt;0)),1,0)</f>
        <v>0</v>
      </c>
      <c r="Q1875" s="1" t="n">
        <f aca="false">N(Q1874)+$P1875</f>
        <v>13</v>
      </c>
      <c r="R1875" s="1" t="n">
        <f aca="false">IF(AND($K1875=1,AND(对接源_02物料!$X675="公司筐",N(对接源_02物料!$U675)&lt;&gt;0)),1,0)</f>
        <v>0</v>
      </c>
      <c r="S1875" s="1" t="n">
        <f aca="false">N(S1874)+$R1875</f>
        <v>5</v>
      </c>
      <c r="T1875" s="1" t="n">
        <f aca="false">IF(AND($K1875=1,AND(对接源_02物料!$X675="公司筐",N(对接源_02物料!$V675)&lt;&gt;0)),1,0)</f>
        <v>0</v>
      </c>
      <c r="U1875" s="1" t="n">
        <f aca="false">N(U1874)+$T1875</f>
        <v>28</v>
      </c>
      <c r="V1875" s="1" t="n">
        <f aca="false">IF(AND($L1875=1,AND(对接源_02物料!$X675="自备筐",N(对接源_02物料!$V675)&lt;&gt;0)),1,0)</f>
        <v>0</v>
      </c>
      <c r="W1875" s="1" t="n">
        <f aca="false">N(W1874)+$V1875</f>
        <v>7</v>
      </c>
      <c r="X1875" s="1" t="n">
        <f aca="false">IF(AND($L1875=1,AND(对接源_02物料!$X675="自备筐",N(对接源_02物料!$T675)&lt;&gt;0)),1,0)</f>
        <v>0</v>
      </c>
      <c r="Y1875" s="1" t="n">
        <f aca="false">N(Y1874)+$X1875</f>
        <v>0</v>
      </c>
      <c r="Z1875" s="1" t="n">
        <f aca="false">IF(AND($M1875=1,对接源_02物料!$D675="原料入库"),1,0)</f>
        <v>0</v>
      </c>
      <c r="AA1875" s="1" t="n">
        <f aca="false">N(AA1874)+$Z1875</f>
        <v>30</v>
      </c>
      <c r="AB1875" s="1" t="n">
        <f aca="false">IF(AND($M1875=1,LEFT(对接源_02物料!$D675,4)="原料出库"),1,0)</f>
        <v>0</v>
      </c>
      <c r="AC1875" s="1" t="n">
        <f aca="false">N(AC1874)+$AB1875</f>
        <v>19</v>
      </c>
      <c r="AD1875" s="1" t="n">
        <f aca="false">IF(AND($M1875=1,LEFT(对接源_02物料!$D675,4)="成品出库"),1,0)</f>
        <v>0</v>
      </c>
      <c r="AE1875" s="1" t="n">
        <f aca="false">N(AE1874)+$AD1875</f>
        <v>38</v>
      </c>
      <c r="AF1875" s="1" t="n">
        <f aca="false">IF(AND($N1875=1,AND(LEFT(对接源_02物料!$D675,4)="包装物料",N(对接源_02物料!$K675)&lt;&gt;0)),1,0)</f>
        <v>0</v>
      </c>
      <c r="AG1875" s="1" t="n">
        <f aca="false">N(AG1874)+$AF1875</f>
        <v>6</v>
      </c>
      <c r="AH1875" s="1" t="n">
        <f aca="false">IF(AND($N1875=1,AND(LEFT(对接源_02物料!$D675,3)="周转筐",N(对接源_02物料!$K675)&lt;&gt;0)),1,0)</f>
        <v>0</v>
      </c>
      <c r="AI1875" s="1" t="n">
        <f aca="false">N(AI1874)+$AH1875</f>
        <v>0</v>
      </c>
      <c r="AJ1875" s="1" t="n">
        <v>0</v>
      </c>
      <c r="AK1875" s="1" t="n">
        <f aca="false">N(AK1874)+$AJ1875</f>
        <v>3672</v>
      </c>
    </row>
    <row r="1876" customFormat="false" ht="13.5" hidden="false" customHeight="false" outlineLevel="0" collapsed="false">
      <c r="A1876" s="1" t="str">
        <f aca="false">IF(对接源_02物料!$C676="","",对接源_02物料!$C676)</f>
        <v/>
      </c>
      <c r="B1876" s="1" t="n">
        <f aca="false">IF(A1876="",0,IF(MATCH(A1876,$A$4:$A$2403,0)=ROW()-3,1,0))</f>
        <v>0</v>
      </c>
      <c r="C1876" s="1" t="n">
        <f aca="false">N(C1875)+B1876</f>
        <v>17</v>
      </c>
      <c r="K1876" s="1" t="n">
        <f aca="false">IF(OR($K$1="",对接源_02物料!$C676="",对接源_02物料!$C676&lt;&gt;$K$1,对接源_02物料!$B676=""),0,IF(OR(N(对接源_02物料!$B676)&lt;$K$2,N(对接源_02物料!$B676)&gt;$K$3),0,1))</f>
        <v>0</v>
      </c>
      <c r="L1876" s="1" t="n">
        <f aca="false">IF(OR($L$1="",对接源_02物料!$C676="",对接源_02物料!$C676&lt;&gt;$L$1,对接源_02物料!$B676=""),0,IF(OR(N(对接源_02物料!$B676)&lt;$L$2,N(对接源_02物料!$B676)&gt;$L$3),0,1))</f>
        <v>0</v>
      </c>
      <c r="M1876" s="1" t="n">
        <f aca="false">IF(OR($M$1="",对接源_02物料!$C676="",对接源_02物料!$C676&lt;&gt;$M$1,对接源_02物料!$B676=""),0,IF(OR(N(对接源_02物料!$B676)&lt;$M$2,N(对接源_02物料!$B676)&gt;$M$3),0,1))</f>
        <v>0</v>
      </c>
      <c r="N1876" s="1" t="n">
        <f aca="false">IF(OR($N$1="",对接源_02物料!$C676="",对接源_02物料!$C676&lt;&gt;$N$1,对接源_02物料!$B676=""),0,IF(OR(N(对接源_02物料!$B676)&lt;$N$2,N(对接源_02物料!$B676)&gt;$N$3),0,1))</f>
        <v>0</v>
      </c>
      <c r="P1876" s="1" t="n">
        <f aca="false">IF(AND($K1876=1,AND(对接源_02物料!$X676="公司筐",N(对接源_02物料!$T676)&lt;&gt;0)),1,0)</f>
        <v>0</v>
      </c>
      <c r="Q1876" s="1" t="n">
        <f aca="false">N(Q1875)+$P1876</f>
        <v>13</v>
      </c>
      <c r="R1876" s="1" t="n">
        <f aca="false">IF(AND($K1876=1,AND(对接源_02物料!$X676="公司筐",N(对接源_02物料!$U676)&lt;&gt;0)),1,0)</f>
        <v>0</v>
      </c>
      <c r="S1876" s="1" t="n">
        <f aca="false">N(S1875)+$R1876</f>
        <v>5</v>
      </c>
      <c r="T1876" s="1" t="n">
        <f aca="false">IF(AND($K1876=1,AND(对接源_02物料!$X676="公司筐",N(对接源_02物料!$V676)&lt;&gt;0)),1,0)</f>
        <v>0</v>
      </c>
      <c r="U1876" s="1" t="n">
        <f aca="false">N(U1875)+$T1876</f>
        <v>28</v>
      </c>
      <c r="V1876" s="1" t="n">
        <f aca="false">IF(AND($L1876=1,AND(对接源_02物料!$X676="自备筐",N(对接源_02物料!$V676)&lt;&gt;0)),1,0)</f>
        <v>0</v>
      </c>
      <c r="W1876" s="1" t="n">
        <f aca="false">N(W1875)+$V1876</f>
        <v>7</v>
      </c>
      <c r="X1876" s="1" t="n">
        <f aca="false">IF(AND($L1876=1,AND(对接源_02物料!$X676="自备筐",N(对接源_02物料!$T676)&lt;&gt;0)),1,0)</f>
        <v>0</v>
      </c>
      <c r="Y1876" s="1" t="n">
        <f aca="false">N(Y1875)+$X1876</f>
        <v>0</v>
      </c>
      <c r="Z1876" s="1" t="n">
        <f aca="false">IF(AND($M1876=1,对接源_02物料!$D676="原料入库"),1,0)</f>
        <v>0</v>
      </c>
      <c r="AA1876" s="1" t="n">
        <f aca="false">N(AA1875)+$Z1876</f>
        <v>30</v>
      </c>
      <c r="AB1876" s="1" t="n">
        <f aca="false">IF(AND($M1876=1,LEFT(对接源_02物料!$D676,4)="原料出库"),1,0)</f>
        <v>0</v>
      </c>
      <c r="AC1876" s="1" t="n">
        <f aca="false">N(AC1875)+$AB1876</f>
        <v>19</v>
      </c>
      <c r="AD1876" s="1" t="n">
        <f aca="false">IF(AND($M1876=1,LEFT(对接源_02物料!$D676,4)="成品出库"),1,0)</f>
        <v>0</v>
      </c>
      <c r="AE1876" s="1" t="n">
        <f aca="false">N(AE1875)+$AD1876</f>
        <v>38</v>
      </c>
      <c r="AF1876" s="1" t="n">
        <f aca="false">IF(AND($N1876=1,AND(LEFT(对接源_02物料!$D676,4)="包装物料",N(对接源_02物料!$K676)&lt;&gt;0)),1,0)</f>
        <v>0</v>
      </c>
      <c r="AG1876" s="1" t="n">
        <f aca="false">N(AG1875)+$AF1876</f>
        <v>6</v>
      </c>
      <c r="AH1876" s="1" t="n">
        <f aca="false">IF(AND($N1876=1,AND(LEFT(对接源_02物料!$D676,3)="周转筐",N(对接源_02物料!$K676)&lt;&gt;0)),1,0)</f>
        <v>0</v>
      </c>
      <c r="AI1876" s="1" t="n">
        <f aca="false">N(AI1875)+$AH1876</f>
        <v>0</v>
      </c>
      <c r="AJ1876" s="1" t="n">
        <v>0</v>
      </c>
      <c r="AK1876" s="1" t="n">
        <f aca="false">N(AK1875)+$AJ1876</f>
        <v>3672</v>
      </c>
    </row>
    <row r="1877" customFormat="false" ht="13.5" hidden="false" customHeight="false" outlineLevel="0" collapsed="false">
      <c r="A1877" s="1" t="str">
        <f aca="false">IF(对接源_02物料!$C677="","",对接源_02物料!$C677)</f>
        <v/>
      </c>
      <c r="B1877" s="1" t="n">
        <f aca="false">IF(A1877="",0,IF(MATCH(A1877,$A$4:$A$2403,0)=ROW()-3,1,0))</f>
        <v>0</v>
      </c>
      <c r="C1877" s="1" t="n">
        <f aca="false">N(C1876)+B1877</f>
        <v>17</v>
      </c>
      <c r="K1877" s="1" t="n">
        <f aca="false">IF(OR($K$1="",对接源_02物料!$C677="",对接源_02物料!$C677&lt;&gt;$K$1,对接源_02物料!$B677=""),0,IF(OR(N(对接源_02物料!$B677)&lt;$K$2,N(对接源_02物料!$B677)&gt;$K$3),0,1))</f>
        <v>0</v>
      </c>
      <c r="L1877" s="1" t="n">
        <f aca="false">IF(OR($L$1="",对接源_02物料!$C677="",对接源_02物料!$C677&lt;&gt;$L$1,对接源_02物料!$B677=""),0,IF(OR(N(对接源_02物料!$B677)&lt;$L$2,N(对接源_02物料!$B677)&gt;$L$3),0,1))</f>
        <v>0</v>
      </c>
      <c r="M1877" s="1" t="n">
        <f aca="false">IF(OR($M$1="",对接源_02物料!$C677="",对接源_02物料!$C677&lt;&gt;$M$1,对接源_02物料!$B677=""),0,IF(OR(N(对接源_02物料!$B677)&lt;$M$2,N(对接源_02物料!$B677)&gt;$M$3),0,1))</f>
        <v>0</v>
      </c>
      <c r="N1877" s="1" t="n">
        <f aca="false">IF(OR($N$1="",对接源_02物料!$C677="",对接源_02物料!$C677&lt;&gt;$N$1,对接源_02物料!$B677=""),0,IF(OR(N(对接源_02物料!$B677)&lt;$N$2,N(对接源_02物料!$B677)&gt;$N$3),0,1))</f>
        <v>0</v>
      </c>
      <c r="P1877" s="1" t="n">
        <f aca="false">IF(AND($K1877=1,AND(对接源_02物料!$X677="公司筐",N(对接源_02物料!$T677)&lt;&gt;0)),1,0)</f>
        <v>0</v>
      </c>
      <c r="Q1877" s="1" t="n">
        <f aca="false">N(Q1876)+$P1877</f>
        <v>13</v>
      </c>
      <c r="R1877" s="1" t="n">
        <f aca="false">IF(AND($K1877=1,AND(对接源_02物料!$X677="公司筐",N(对接源_02物料!$U677)&lt;&gt;0)),1,0)</f>
        <v>0</v>
      </c>
      <c r="S1877" s="1" t="n">
        <f aca="false">N(S1876)+$R1877</f>
        <v>5</v>
      </c>
      <c r="T1877" s="1" t="n">
        <f aca="false">IF(AND($K1877=1,AND(对接源_02物料!$X677="公司筐",N(对接源_02物料!$V677)&lt;&gt;0)),1,0)</f>
        <v>0</v>
      </c>
      <c r="U1877" s="1" t="n">
        <f aca="false">N(U1876)+$T1877</f>
        <v>28</v>
      </c>
      <c r="V1877" s="1" t="n">
        <f aca="false">IF(AND($L1877=1,AND(对接源_02物料!$X677="自备筐",N(对接源_02物料!$V677)&lt;&gt;0)),1,0)</f>
        <v>0</v>
      </c>
      <c r="W1877" s="1" t="n">
        <f aca="false">N(W1876)+$V1877</f>
        <v>7</v>
      </c>
      <c r="X1877" s="1" t="n">
        <f aca="false">IF(AND($L1877=1,AND(对接源_02物料!$X677="自备筐",N(对接源_02物料!$T677)&lt;&gt;0)),1,0)</f>
        <v>0</v>
      </c>
      <c r="Y1877" s="1" t="n">
        <f aca="false">N(Y1876)+$X1877</f>
        <v>0</v>
      </c>
      <c r="Z1877" s="1" t="n">
        <f aca="false">IF(AND($M1877=1,对接源_02物料!$D677="原料入库"),1,0)</f>
        <v>0</v>
      </c>
      <c r="AA1877" s="1" t="n">
        <f aca="false">N(AA1876)+$Z1877</f>
        <v>30</v>
      </c>
      <c r="AB1877" s="1" t="n">
        <f aca="false">IF(AND($M1877=1,LEFT(对接源_02物料!$D677,4)="原料出库"),1,0)</f>
        <v>0</v>
      </c>
      <c r="AC1877" s="1" t="n">
        <f aca="false">N(AC1876)+$AB1877</f>
        <v>19</v>
      </c>
      <c r="AD1877" s="1" t="n">
        <f aca="false">IF(AND($M1877=1,LEFT(对接源_02物料!$D677,4)="成品出库"),1,0)</f>
        <v>0</v>
      </c>
      <c r="AE1877" s="1" t="n">
        <f aca="false">N(AE1876)+$AD1877</f>
        <v>38</v>
      </c>
      <c r="AF1877" s="1" t="n">
        <f aca="false">IF(AND($N1877=1,AND(LEFT(对接源_02物料!$D677,4)="包装物料",N(对接源_02物料!$K677)&lt;&gt;0)),1,0)</f>
        <v>0</v>
      </c>
      <c r="AG1877" s="1" t="n">
        <f aca="false">N(AG1876)+$AF1877</f>
        <v>6</v>
      </c>
      <c r="AH1877" s="1" t="n">
        <f aca="false">IF(AND($N1877=1,AND(LEFT(对接源_02物料!$D677,3)="周转筐",N(对接源_02物料!$K677)&lt;&gt;0)),1,0)</f>
        <v>0</v>
      </c>
      <c r="AI1877" s="1" t="n">
        <f aca="false">N(AI1876)+$AH1877</f>
        <v>0</v>
      </c>
      <c r="AJ1877" s="1" t="n">
        <v>0</v>
      </c>
      <c r="AK1877" s="1" t="n">
        <f aca="false">N(AK1876)+$AJ1877</f>
        <v>3672</v>
      </c>
    </row>
    <row r="1878" customFormat="false" ht="13.5" hidden="false" customHeight="false" outlineLevel="0" collapsed="false">
      <c r="A1878" s="1" t="str">
        <f aca="false">IF(对接源_02物料!$C678="","",对接源_02物料!$C678)</f>
        <v/>
      </c>
      <c r="B1878" s="1" t="n">
        <f aca="false">IF(A1878="",0,IF(MATCH(A1878,$A$4:$A$2403,0)=ROW()-3,1,0))</f>
        <v>0</v>
      </c>
      <c r="C1878" s="1" t="n">
        <f aca="false">N(C1877)+B1878</f>
        <v>17</v>
      </c>
      <c r="K1878" s="1" t="n">
        <f aca="false">IF(OR($K$1="",对接源_02物料!$C678="",对接源_02物料!$C678&lt;&gt;$K$1,对接源_02物料!$B678=""),0,IF(OR(N(对接源_02物料!$B678)&lt;$K$2,N(对接源_02物料!$B678)&gt;$K$3),0,1))</f>
        <v>0</v>
      </c>
      <c r="L1878" s="1" t="n">
        <f aca="false">IF(OR($L$1="",对接源_02物料!$C678="",对接源_02物料!$C678&lt;&gt;$L$1,对接源_02物料!$B678=""),0,IF(OR(N(对接源_02物料!$B678)&lt;$L$2,N(对接源_02物料!$B678)&gt;$L$3),0,1))</f>
        <v>0</v>
      </c>
      <c r="M1878" s="1" t="n">
        <f aca="false">IF(OR($M$1="",对接源_02物料!$C678="",对接源_02物料!$C678&lt;&gt;$M$1,对接源_02物料!$B678=""),0,IF(OR(N(对接源_02物料!$B678)&lt;$M$2,N(对接源_02物料!$B678)&gt;$M$3),0,1))</f>
        <v>0</v>
      </c>
      <c r="N1878" s="1" t="n">
        <f aca="false">IF(OR($N$1="",对接源_02物料!$C678="",对接源_02物料!$C678&lt;&gt;$N$1,对接源_02物料!$B678=""),0,IF(OR(N(对接源_02物料!$B678)&lt;$N$2,N(对接源_02物料!$B678)&gt;$N$3),0,1))</f>
        <v>0</v>
      </c>
      <c r="P1878" s="1" t="n">
        <f aca="false">IF(AND($K1878=1,AND(对接源_02物料!$X678="公司筐",N(对接源_02物料!$T678)&lt;&gt;0)),1,0)</f>
        <v>0</v>
      </c>
      <c r="Q1878" s="1" t="n">
        <f aca="false">N(Q1877)+$P1878</f>
        <v>13</v>
      </c>
      <c r="R1878" s="1" t="n">
        <f aca="false">IF(AND($K1878=1,AND(对接源_02物料!$X678="公司筐",N(对接源_02物料!$U678)&lt;&gt;0)),1,0)</f>
        <v>0</v>
      </c>
      <c r="S1878" s="1" t="n">
        <f aca="false">N(S1877)+$R1878</f>
        <v>5</v>
      </c>
      <c r="T1878" s="1" t="n">
        <f aca="false">IF(AND($K1878=1,AND(对接源_02物料!$X678="公司筐",N(对接源_02物料!$V678)&lt;&gt;0)),1,0)</f>
        <v>0</v>
      </c>
      <c r="U1878" s="1" t="n">
        <f aca="false">N(U1877)+$T1878</f>
        <v>28</v>
      </c>
      <c r="V1878" s="1" t="n">
        <f aca="false">IF(AND($L1878=1,AND(对接源_02物料!$X678="自备筐",N(对接源_02物料!$V678)&lt;&gt;0)),1,0)</f>
        <v>0</v>
      </c>
      <c r="W1878" s="1" t="n">
        <f aca="false">N(W1877)+$V1878</f>
        <v>7</v>
      </c>
      <c r="X1878" s="1" t="n">
        <f aca="false">IF(AND($L1878=1,AND(对接源_02物料!$X678="自备筐",N(对接源_02物料!$T678)&lt;&gt;0)),1,0)</f>
        <v>0</v>
      </c>
      <c r="Y1878" s="1" t="n">
        <f aca="false">N(Y1877)+$X1878</f>
        <v>0</v>
      </c>
      <c r="Z1878" s="1" t="n">
        <f aca="false">IF(AND($M1878=1,对接源_02物料!$D678="原料入库"),1,0)</f>
        <v>0</v>
      </c>
      <c r="AA1878" s="1" t="n">
        <f aca="false">N(AA1877)+$Z1878</f>
        <v>30</v>
      </c>
      <c r="AB1878" s="1" t="n">
        <f aca="false">IF(AND($M1878=1,LEFT(对接源_02物料!$D678,4)="原料出库"),1,0)</f>
        <v>0</v>
      </c>
      <c r="AC1878" s="1" t="n">
        <f aca="false">N(AC1877)+$AB1878</f>
        <v>19</v>
      </c>
      <c r="AD1878" s="1" t="n">
        <f aca="false">IF(AND($M1878=1,LEFT(对接源_02物料!$D678,4)="成品出库"),1,0)</f>
        <v>0</v>
      </c>
      <c r="AE1878" s="1" t="n">
        <f aca="false">N(AE1877)+$AD1878</f>
        <v>38</v>
      </c>
      <c r="AF1878" s="1" t="n">
        <f aca="false">IF(AND($N1878=1,AND(LEFT(对接源_02物料!$D678,4)="包装物料",N(对接源_02物料!$K678)&lt;&gt;0)),1,0)</f>
        <v>0</v>
      </c>
      <c r="AG1878" s="1" t="n">
        <f aca="false">N(AG1877)+$AF1878</f>
        <v>6</v>
      </c>
      <c r="AH1878" s="1" t="n">
        <f aca="false">IF(AND($N1878=1,AND(LEFT(对接源_02物料!$D678,3)="周转筐",N(对接源_02物料!$K678)&lt;&gt;0)),1,0)</f>
        <v>0</v>
      </c>
      <c r="AI1878" s="1" t="n">
        <f aca="false">N(AI1877)+$AH1878</f>
        <v>0</v>
      </c>
      <c r="AJ1878" s="1" t="n">
        <v>0</v>
      </c>
      <c r="AK1878" s="1" t="n">
        <f aca="false">N(AK1877)+$AJ1878</f>
        <v>3672</v>
      </c>
    </row>
    <row r="1879" customFormat="false" ht="13.5" hidden="false" customHeight="false" outlineLevel="0" collapsed="false">
      <c r="A1879" s="1" t="str">
        <f aca="false">IF(对接源_02物料!$C679="","",对接源_02物料!$C679)</f>
        <v/>
      </c>
      <c r="B1879" s="1" t="n">
        <f aca="false">IF(A1879="",0,IF(MATCH(A1879,$A$4:$A$2403,0)=ROW()-3,1,0))</f>
        <v>0</v>
      </c>
      <c r="C1879" s="1" t="n">
        <f aca="false">N(C1878)+B1879</f>
        <v>17</v>
      </c>
      <c r="K1879" s="1" t="n">
        <f aca="false">IF(OR($K$1="",对接源_02物料!$C679="",对接源_02物料!$C679&lt;&gt;$K$1,对接源_02物料!$B679=""),0,IF(OR(N(对接源_02物料!$B679)&lt;$K$2,N(对接源_02物料!$B679)&gt;$K$3),0,1))</f>
        <v>0</v>
      </c>
      <c r="L1879" s="1" t="n">
        <f aca="false">IF(OR($L$1="",对接源_02物料!$C679="",对接源_02物料!$C679&lt;&gt;$L$1,对接源_02物料!$B679=""),0,IF(OR(N(对接源_02物料!$B679)&lt;$L$2,N(对接源_02物料!$B679)&gt;$L$3),0,1))</f>
        <v>0</v>
      </c>
      <c r="M1879" s="1" t="n">
        <f aca="false">IF(OR($M$1="",对接源_02物料!$C679="",对接源_02物料!$C679&lt;&gt;$M$1,对接源_02物料!$B679=""),0,IF(OR(N(对接源_02物料!$B679)&lt;$M$2,N(对接源_02物料!$B679)&gt;$M$3),0,1))</f>
        <v>0</v>
      </c>
      <c r="N1879" s="1" t="n">
        <f aca="false">IF(OR($N$1="",对接源_02物料!$C679="",对接源_02物料!$C679&lt;&gt;$N$1,对接源_02物料!$B679=""),0,IF(OR(N(对接源_02物料!$B679)&lt;$N$2,N(对接源_02物料!$B679)&gt;$N$3),0,1))</f>
        <v>0</v>
      </c>
      <c r="P1879" s="1" t="n">
        <f aca="false">IF(AND($K1879=1,AND(对接源_02物料!$X679="公司筐",N(对接源_02物料!$T679)&lt;&gt;0)),1,0)</f>
        <v>0</v>
      </c>
      <c r="Q1879" s="1" t="n">
        <f aca="false">N(Q1878)+$P1879</f>
        <v>13</v>
      </c>
      <c r="R1879" s="1" t="n">
        <f aca="false">IF(AND($K1879=1,AND(对接源_02物料!$X679="公司筐",N(对接源_02物料!$U679)&lt;&gt;0)),1,0)</f>
        <v>0</v>
      </c>
      <c r="S1879" s="1" t="n">
        <f aca="false">N(S1878)+$R1879</f>
        <v>5</v>
      </c>
      <c r="T1879" s="1" t="n">
        <f aca="false">IF(AND($K1879=1,AND(对接源_02物料!$X679="公司筐",N(对接源_02物料!$V679)&lt;&gt;0)),1,0)</f>
        <v>0</v>
      </c>
      <c r="U1879" s="1" t="n">
        <f aca="false">N(U1878)+$T1879</f>
        <v>28</v>
      </c>
      <c r="V1879" s="1" t="n">
        <f aca="false">IF(AND($L1879=1,AND(对接源_02物料!$X679="自备筐",N(对接源_02物料!$V679)&lt;&gt;0)),1,0)</f>
        <v>0</v>
      </c>
      <c r="W1879" s="1" t="n">
        <f aca="false">N(W1878)+$V1879</f>
        <v>7</v>
      </c>
      <c r="X1879" s="1" t="n">
        <f aca="false">IF(AND($L1879=1,AND(对接源_02物料!$X679="自备筐",N(对接源_02物料!$T679)&lt;&gt;0)),1,0)</f>
        <v>0</v>
      </c>
      <c r="Y1879" s="1" t="n">
        <f aca="false">N(Y1878)+$X1879</f>
        <v>0</v>
      </c>
      <c r="Z1879" s="1" t="n">
        <f aca="false">IF(AND($M1879=1,对接源_02物料!$D679="原料入库"),1,0)</f>
        <v>0</v>
      </c>
      <c r="AA1879" s="1" t="n">
        <f aca="false">N(AA1878)+$Z1879</f>
        <v>30</v>
      </c>
      <c r="AB1879" s="1" t="n">
        <f aca="false">IF(AND($M1879=1,LEFT(对接源_02物料!$D679,4)="原料出库"),1,0)</f>
        <v>0</v>
      </c>
      <c r="AC1879" s="1" t="n">
        <f aca="false">N(AC1878)+$AB1879</f>
        <v>19</v>
      </c>
      <c r="AD1879" s="1" t="n">
        <f aca="false">IF(AND($M1879=1,LEFT(对接源_02物料!$D679,4)="成品出库"),1,0)</f>
        <v>0</v>
      </c>
      <c r="AE1879" s="1" t="n">
        <f aca="false">N(AE1878)+$AD1879</f>
        <v>38</v>
      </c>
      <c r="AF1879" s="1" t="n">
        <f aca="false">IF(AND($N1879=1,AND(LEFT(对接源_02物料!$D679,4)="包装物料",N(对接源_02物料!$K679)&lt;&gt;0)),1,0)</f>
        <v>0</v>
      </c>
      <c r="AG1879" s="1" t="n">
        <f aca="false">N(AG1878)+$AF1879</f>
        <v>6</v>
      </c>
      <c r="AH1879" s="1" t="n">
        <f aca="false">IF(AND($N1879=1,AND(LEFT(对接源_02物料!$D679,3)="周转筐",N(对接源_02物料!$K679)&lt;&gt;0)),1,0)</f>
        <v>0</v>
      </c>
      <c r="AI1879" s="1" t="n">
        <f aca="false">N(AI1878)+$AH1879</f>
        <v>0</v>
      </c>
      <c r="AJ1879" s="1" t="n">
        <v>0</v>
      </c>
      <c r="AK1879" s="1" t="n">
        <f aca="false">N(AK1878)+$AJ1879</f>
        <v>3672</v>
      </c>
    </row>
    <row r="1880" customFormat="false" ht="13.5" hidden="false" customHeight="false" outlineLevel="0" collapsed="false">
      <c r="A1880" s="1" t="str">
        <f aca="false">IF(对接源_02物料!$C680="","",对接源_02物料!$C680)</f>
        <v/>
      </c>
      <c r="B1880" s="1" t="n">
        <f aca="false">IF(A1880="",0,IF(MATCH(A1880,$A$4:$A$2403,0)=ROW()-3,1,0))</f>
        <v>0</v>
      </c>
      <c r="C1880" s="1" t="n">
        <f aca="false">N(C1879)+B1880</f>
        <v>17</v>
      </c>
      <c r="K1880" s="1" t="n">
        <f aca="false">IF(OR($K$1="",对接源_02物料!$C680="",对接源_02物料!$C680&lt;&gt;$K$1,对接源_02物料!$B680=""),0,IF(OR(N(对接源_02物料!$B680)&lt;$K$2,N(对接源_02物料!$B680)&gt;$K$3),0,1))</f>
        <v>0</v>
      </c>
      <c r="L1880" s="1" t="n">
        <f aca="false">IF(OR($L$1="",对接源_02物料!$C680="",对接源_02物料!$C680&lt;&gt;$L$1,对接源_02物料!$B680=""),0,IF(OR(N(对接源_02物料!$B680)&lt;$L$2,N(对接源_02物料!$B680)&gt;$L$3),0,1))</f>
        <v>0</v>
      </c>
      <c r="M1880" s="1" t="n">
        <f aca="false">IF(OR($M$1="",对接源_02物料!$C680="",对接源_02物料!$C680&lt;&gt;$M$1,对接源_02物料!$B680=""),0,IF(OR(N(对接源_02物料!$B680)&lt;$M$2,N(对接源_02物料!$B680)&gt;$M$3),0,1))</f>
        <v>0</v>
      </c>
      <c r="N1880" s="1" t="n">
        <f aca="false">IF(OR($N$1="",对接源_02物料!$C680="",对接源_02物料!$C680&lt;&gt;$N$1,对接源_02物料!$B680=""),0,IF(OR(N(对接源_02物料!$B680)&lt;$N$2,N(对接源_02物料!$B680)&gt;$N$3),0,1))</f>
        <v>0</v>
      </c>
      <c r="P1880" s="1" t="n">
        <f aca="false">IF(AND($K1880=1,AND(对接源_02物料!$X680="公司筐",N(对接源_02物料!$T680)&lt;&gt;0)),1,0)</f>
        <v>0</v>
      </c>
      <c r="Q1880" s="1" t="n">
        <f aca="false">N(Q1879)+$P1880</f>
        <v>13</v>
      </c>
      <c r="R1880" s="1" t="n">
        <f aca="false">IF(AND($K1880=1,AND(对接源_02物料!$X680="公司筐",N(对接源_02物料!$U680)&lt;&gt;0)),1,0)</f>
        <v>0</v>
      </c>
      <c r="S1880" s="1" t="n">
        <f aca="false">N(S1879)+$R1880</f>
        <v>5</v>
      </c>
      <c r="T1880" s="1" t="n">
        <f aca="false">IF(AND($K1880=1,AND(对接源_02物料!$X680="公司筐",N(对接源_02物料!$V680)&lt;&gt;0)),1,0)</f>
        <v>0</v>
      </c>
      <c r="U1880" s="1" t="n">
        <f aca="false">N(U1879)+$T1880</f>
        <v>28</v>
      </c>
      <c r="V1880" s="1" t="n">
        <f aca="false">IF(AND($L1880=1,AND(对接源_02物料!$X680="自备筐",N(对接源_02物料!$V680)&lt;&gt;0)),1,0)</f>
        <v>0</v>
      </c>
      <c r="W1880" s="1" t="n">
        <f aca="false">N(W1879)+$V1880</f>
        <v>7</v>
      </c>
      <c r="X1880" s="1" t="n">
        <f aca="false">IF(AND($L1880=1,AND(对接源_02物料!$X680="自备筐",N(对接源_02物料!$T680)&lt;&gt;0)),1,0)</f>
        <v>0</v>
      </c>
      <c r="Y1880" s="1" t="n">
        <f aca="false">N(Y1879)+$X1880</f>
        <v>0</v>
      </c>
      <c r="Z1880" s="1" t="n">
        <f aca="false">IF(AND($M1880=1,对接源_02物料!$D680="原料入库"),1,0)</f>
        <v>0</v>
      </c>
      <c r="AA1880" s="1" t="n">
        <f aca="false">N(AA1879)+$Z1880</f>
        <v>30</v>
      </c>
      <c r="AB1880" s="1" t="n">
        <f aca="false">IF(AND($M1880=1,LEFT(对接源_02物料!$D680,4)="原料出库"),1,0)</f>
        <v>0</v>
      </c>
      <c r="AC1880" s="1" t="n">
        <f aca="false">N(AC1879)+$AB1880</f>
        <v>19</v>
      </c>
      <c r="AD1880" s="1" t="n">
        <f aca="false">IF(AND($M1880=1,LEFT(对接源_02物料!$D680,4)="成品出库"),1,0)</f>
        <v>0</v>
      </c>
      <c r="AE1880" s="1" t="n">
        <f aca="false">N(AE1879)+$AD1880</f>
        <v>38</v>
      </c>
      <c r="AF1880" s="1" t="n">
        <f aca="false">IF(AND($N1880=1,AND(LEFT(对接源_02物料!$D680,4)="包装物料",N(对接源_02物料!$K680)&lt;&gt;0)),1,0)</f>
        <v>0</v>
      </c>
      <c r="AG1880" s="1" t="n">
        <f aca="false">N(AG1879)+$AF1880</f>
        <v>6</v>
      </c>
      <c r="AH1880" s="1" t="n">
        <f aca="false">IF(AND($N1880=1,AND(LEFT(对接源_02物料!$D680,3)="周转筐",N(对接源_02物料!$K680)&lt;&gt;0)),1,0)</f>
        <v>0</v>
      </c>
      <c r="AI1880" s="1" t="n">
        <f aca="false">N(AI1879)+$AH1880</f>
        <v>0</v>
      </c>
      <c r="AJ1880" s="1" t="n">
        <v>0</v>
      </c>
      <c r="AK1880" s="1" t="n">
        <f aca="false">N(AK1879)+$AJ1880</f>
        <v>3672</v>
      </c>
    </row>
    <row r="1881" customFormat="false" ht="13.5" hidden="false" customHeight="false" outlineLevel="0" collapsed="false">
      <c r="A1881" s="1" t="str">
        <f aca="false">IF(对接源_02物料!$C681="","",对接源_02物料!$C681)</f>
        <v/>
      </c>
      <c r="B1881" s="1" t="n">
        <f aca="false">IF(A1881="",0,IF(MATCH(A1881,$A$4:$A$2403,0)=ROW()-3,1,0))</f>
        <v>0</v>
      </c>
      <c r="C1881" s="1" t="n">
        <f aca="false">N(C1880)+B1881</f>
        <v>17</v>
      </c>
      <c r="K1881" s="1" t="n">
        <f aca="false">IF(OR($K$1="",对接源_02物料!$C681="",对接源_02物料!$C681&lt;&gt;$K$1,对接源_02物料!$B681=""),0,IF(OR(N(对接源_02物料!$B681)&lt;$K$2,N(对接源_02物料!$B681)&gt;$K$3),0,1))</f>
        <v>0</v>
      </c>
      <c r="L1881" s="1" t="n">
        <f aca="false">IF(OR($L$1="",对接源_02物料!$C681="",对接源_02物料!$C681&lt;&gt;$L$1,对接源_02物料!$B681=""),0,IF(OR(N(对接源_02物料!$B681)&lt;$L$2,N(对接源_02物料!$B681)&gt;$L$3),0,1))</f>
        <v>0</v>
      </c>
      <c r="M1881" s="1" t="n">
        <f aca="false">IF(OR($M$1="",对接源_02物料!$C681="",对接源_02物料!$C681&lt;&gt;$M$1,对接源_02物料!$B681=""),0,IF(OR(N(对接源_02物料!$B681)&lt;$M$2,N(对接源_02物料!$B681)&gt;$M$3),0,1))</f>
        <v>0</v>
      </c>
      <c r="N1881" s="1" t="n">
        <f aca="false">IF(OR($N$1="",对接源_02物料!$C681="",对接源_02物料!$C681&lt;&gt;$N$1,对接源_02物料!$B681=""),0,IF(OR(N(对接源_02物料!$B681)&lt;$N$2,N(对接源_02物料!$B681)&gt;$N$3),0,1))</f>
        <v>0</v>
      </c>
      <c r="P1881" s="1" t="n">
        <f aca="false">IF(AND($K1881=1,AND(对接源_02物料!$X681="公司筐",N(对接源_02物料!$T681)&lt;&gt;0)),1,0)</f>
        <v>0</v>
      </c>
      <c r="Q1881" s="1" t="n">
        <f aca="false">N(Q1880)+$P1881</f>
        <v>13</v>
      </c>
      <c r="R1881" s="1" t="n">
        <f aca="false">IF(AND($K1881=1,AND(对接源_02物料!$X681="公司筐",N(对接源_02物料!$U681)&lt;&gt;0)),1,0)</f>
        <v>0</v>
      </c>
      <c r="S1881" s="1" t="n">
        <f aca="false">N(S1880)+$R1881</f>
        <v>5</v>
      </c>
      <c r="T1881" s="1" t="n">
        <f aca="false">IF(AND($K1881=1,AND(对接源_02物料!$X681="公司筐",N(对接源_02物料!$V681)&lt;&gt;0)),1,0)</f>
        <v>0</v>
      </c>
      <c r="U1881" s="1" t="n">
        <f aca="false">N(U1880)+$T1881</f>
        <v>28</v>
      </c>
      <c r="V1881" s="1" t="n">
        <f aca="false">IF(AND($L1881=1,AND(对接源_02物料!$X681="自备筐",N(对接源_02物料!$V681)&lt;&gt;0)),1,0)</f>
        <v>0</v>
      </c>
      <c r="W1881" s="1" t="n">
        <f aca="false">N(W1880)+$V1881</f>
        <v>7</v>
      </c>
      <c r="X1881" s="1" t="n">
        <f aca="false">IF(AND($L1881=1,AND(对接源_02物料!$X681="自备筐",N(对接源_02物料!$T681)&lt;&gt;0)),1,0)</f>
        <v>0</v>
      </c>
      <c r="Y1881" s="1" t="n">
        <f aca="false">N(Y1880)+$X1881</f>
        <v>0</v>
      </c>
      <c r="Z1881" s="1" t="n">
        <f aca="false">IF(AND($M1881=1,对接源_02物料!$D681="原料入库"),1,0)</f>
        <v>0</v>
      </c>
      <c r="AA1881" s="1" t="n">
        <f aca="false">N(AA1880)+$Z1881</f>
        <v>30</v>
      </c>
      <c r="AB1881" s="1" t="n">
        <f aca="false">IF(AND($M1881=1,LEFT(对接源_02物料!$D681,4)="原料出库"),1,0)</f>
        <v>0</v>
      </c>
      <c r="AC1881" s="1" t="n">
        <f aca="false">N(AC1880)+$AB1881</f>
        <v>19</v>
      </c>
      <c r="AD1881" s="1" t="n">
        <f aca="false">IF(AND($M1881=1,LEFT(对接源_02物料!$D681,4)="成品出库"),1,0)</f>
        <v>0</v>
      </c>
      <c r="AE1881" s="1" t="n">
        <f aca="false">N(AE1880)+$AD1881</f>
        <v>38</v>
      </c>
      <c r="AF1881" s="1" t="n">
        <f aca="false">IF(AND($N1881=1,AND(LEFT(对接源_02物料!$D681,4)="包装物料",N(对接源_02物料!$K681)&lt;&gt;0)),1,0)</f>
        <v>0</v>
      </c>
      <c r="AG1881" s="1" t="n">
        <f aca="false">N(AG1880)+$AF1881</f>
        <v>6</v>
      </c>
      <c r="AH1881" s="1" t="n">
        <f aca="false">IF(AND($N1881=1,AND(LEFT(对接源_02物料!$D681,3)="周转筐",N(对接源_02物料!$K681)&lt;&gt;0)),1,0)</f>
        <v>0</v>
      </c>
      <c r="AI1881" s="1" t="n">
        <f aca="false">N(AI1880)+$AH1881</f>
        <v>0</v>
      </c>
      <c r="AJ1881" s="1" t="n">
        <v>0</v>
      </c>
      <c r="AK1881" s="1" t="n">
        <f aca="false">N(AK1880)+$AJ1881</f>
        <v>3672</v>
      </c>
    </row>
    <row r="1882" customFormat="false" ht="13.5" hidden="false" customHeight="false" outlineLevel="0" collapsed="false">
      <c r="A1882" s="1" t="str">
        <f aca="false">IF(对接源_02物料!$C682="","",对接源_02物料!$C682)</f>
        <v/>
      </c>
      <c r="B1882" s="1" t="n">
        <f aca="false">IF(A1882="",0,IF(MATCH(A1882,$A$4:$A$2403,0)=ROW()-3,1,0))</f>
        <v>0</v>
      </c>
      <c r="C1882" s="1" t="n">
        <f aca="false">N(C1881)+B1882</f>
        <v>17</v>
      </c>
      <c r="K1882" s="1" t="n">
        <f aca="false">IF(OR($K$1="",对接源_02物料!$C682="",对接源_02物料!$C682&lt;&gt;$K$1,对接源_02物料!$B682=""),0,IF(OR(N(对接源_02物料!$B682)&lt;$K$2,N(对接源_02物料!$B682)&gt;$K$3),0,1))</f>
        <v>0</v>
      </c>
      <c r="L1882" s="1" t="n">
        <f aca="false">IF(OR($L$1="",对接源_02物料!$C682="",对接源_02物料!$C682&lt;&gt;$L$1,对接源_02物料!$B682=""),0,IF(OR(N(对接源_02物料!$B682)&lt;$L$2,N(对接源_02物料!$B682)&gt;$L$3),0,1))</f>
        <v>0</v>
      </c>
      <c r="M1882" s="1" t="n">
        <f aca="false">IF(OR($M$1="",对接源_02物料!$C682="",对接源_02物料!$C682&lt;&gt;$M$1,对接源_02物料!$B682=""),0,IF(OR(N(对接源_02物料!$B682)&lt;$M$2,N(对接源_02物料!$B682)&gt;$M$3),0,1))</f>
        <v>0</v>
      </c>
      <c r="N1882" s="1" t="n">
        <f aca="false">IF(OR($N$1="",对接源_02物料!$C682="",对接源_02物料!$C682&lt;&gt;$N$1,对接源_02物料!$B682=""),0,IF(OR(N(对接源_02物料!$B682)&lt;$N$2,N(对接源_02物料!$B682)&gt;$N$3),0,1))</f>
        <v>0</v>
      </c>
      <c r="P1882" s="1" t="n">
        <f aca="false">IF(AND($K1882=1,AND(对接源_02物料!$X682="公司筐",N(对接源_02物料!$T682)&lt;&gt;0)),1,0)</f>
        <v>0</v>
      </c>
      <c r="Q1882" s="1" t="n">
        <f aca="false">N(Q1881)+$P1882</f>
        <v>13</v>
      </c>
      <c r="R1882" s="1" t="n">
        <f aca="false">IF(AND($K1882=1,AND(对接源_02物料!$X682="公司筐",N(对接源_02物料!$U682)&lt;&gt;0)),1,0)</f>
        <v>0</v>
      </c>
      <c r="S1882" s="1" t="n">
        <f aca="false">N(S1881)+$R1882</f>
        <v>5</v>
      </c>
      <c r="T1882" s="1" t="n">
        <f aca="false">IF(AND($K1882=1,AND(对接源_02物料!$X682="公司筐",N(对接源_02物料!$V682)&lt;&gt;0)),1,0)</f>
        <v>0</v>
      </c>
      <c r="U1882" s="1" t="n">
        <f aca="false">N(U1881)+$T1882</f>
        <v>28</v>
      </c>
      <c r="V1882" s="1" t="n">
        <f aca="false">IF(AND($L1882=1,AND(对接源_02物料!$X682="自备筐",N(对接源_02物料!$V682)&lt;&gt;0)),1,0)</f>
        <v>0</v>
      </c>
      <c r="W1882" s="1" t="n">
        <f aca="false">N(W1881)+$V1882</f>
        <v>7</v>
      </c>
      <c r="X1882" s="1" t="n">
        <f aca="false">IF(AND($L1882=1,AND(对接源_02物料!$X682="自备筐",N(对接源_02物料!$T682)&lt;&gt;0)),1,0)</f>
        <v>0</v>
      </c>
      <c r="Y1882" s="1" t="n">
        <f aca="false">N(Y1881)+$X1882</f>
        <v>0</v>
      </c>
      <c r="Z1882" s="1" t="n">
        <f aca="false">IF(AND($M1882=1,对接源_02物料!$D682="原料入库"),1,0)</f>
        <v>0</v>
      </c>
      <c r="AA1882" s="1" t="n">
        <f aca="false">N(AA1881)+$Z1882</f>
        <v>30</v>
      </c>
      <c r="AB1882" s="1" t="n">
        <f aca="false">IF(AND($M1882=1,LEFT(对接源_02物料!$D682,4)="原料出库"),1,0)</f>
        <v>0</v>
      </c>
      <c r="AC1882" s="1" t="n">
        <f aca="false">N(AC1881)+$AB1882</f>
        <v>19</v>
      </c>
      <c r="AD1882" s="1" t="n">
        <f aca="false">IF(AND($M1882=1,LEFT(对接源_02物料!$D682,4)="成品出库"),1,0)</f>
        <v>0</v>
      </c>
      <c r="AE1882" s="1" t="n">
        <f aca="false">N(AE1881)+$AD1882</f>
        <v>38</v>
      </c>
      <c r="AF1882" s="1" t="n">
        <f aca="false">IF(AND($N1882=1,AND(LEFT(对接源_02物料!$D682,4)="包装物料",N(对接源_02物料!$K682)&lt;&gt;0)),1,0)</f>
        <v>0</v>
      </c>
      <c r="AG1882" s="1" t="n">
        <f aca="false">N(AG1881)+$AF1882</f>
        <v>6</v>
      </c>
      <c r="AH1882" s="1" t="n">
        <f aca="false">IF(AND($N1882=1,AND(LEFT(对接源_02物料!$D682,3)="周转筐",N(对接源_02物料!$K682)&lt;&gt;0)),1,0)</f>
        <v>0</v>
      </c>
      <c r="AI1882" s="1" t="n">
        <f aca="false">N(AI1881)+$AH1882</f>
        <v>0</v>
      </c>
      <c r="AJ1882" s="1" t="n">
        <v>0</v>
      </c>
      <c r="AK1882" s="1" t="n">
        <f aca="false">N(AK1881)+$AJ1882</f>
        <v>3672</v>
      </c>
    </row>
    <row r="1883" customFormat="false" ht="13.5" hidden="false" customHeight="false" outlineLevel="0" collapsed="false">
      <c r="A1883" s="1" t="str">
        <f aca="false">IF(对接源_02物料!$C683="","",对接源_02物料!$C683)</f>
        <v/>
      </c>
      <c r="B1883" s="1" t="n">
        <f aca="false">IF(A1883="",0,IF(MATCH(A1883,$A$4:$A$2403,0)=ROW()-3,1,0))</f>
        <v>0</v>
      </c>
      <c r="C1883" s="1" t="n">
        <f aca="false">N(C1882)+B1883</f>
        <v>17</v>
      </c>
      <c r="K1883" s="1" t="n">
        <f aca="false">IF(OR($K$1="",对接源_02物料!$C683="",对接源_02物料!$C683&lt;&gt;$K$1,对接源_02物料!$B683=""),0,IF(OR(N(对接源_02物料!$B683)&lt;$K$2,N(对接源_02物料!$B683)&gt;$K$3),0,1))</f>
        <v>0</v>
      </c>
      <c r="L1883" s="1" t="n">
        <f aca="false">IF(OR($L$1="",对接源_02物料!$C683="",对接源_02物料!$C683&lt;&gt;$L$1,对接源_02物料!$B683=""),0,IF(OR(N(对接源_02物料!$B683)&lt;$L$2,N(对接源_02物料!$B683)&gt;$L$3),0,1))</f>
        <v>0</v>
      </c>
      <c r="M1883" s="1" t="n">
        <f aca="false">IF(OR($M$1="",对接源_02物料!$C683="",对接源_02物料!$C683&lt;&gt;$M$1,对接源_02物料!$B683=""),0,IF(OR(N(对接源_02物料!$B683)&lt;$M$2,N(对接源_02物料!$B683)&gt;$M$3),0,1))</f>
        <v>0</v>
      </c>
      <c r="N1883" s="1" t="n">
        <f aca="false">IF(OR($N$1="",对接源_02物料!$C683="",对接源_02物料!$C683&lt;&gt;$N$1,对接源_02物料!$B683=""),0,IF(OR(N(对接源_02物料!$B683)&lt;$N$2,N(对接源_02物料!$B683)&gt;$N$3),0,1))</f>
        <v>0</v>
      </c>
      <c r="P1883" s="1" t="n">
        <f aca="false">IF(AND($K1883=1,AND(对接源_02物料!$X683="公司筐",N(对接源_02物料!$T683)&lt;&gt;0)),1,0)</f>
        <v>0</v>
      </c>
      <c r="Q1883" s="1" t="n">
        <f aca="false">N(Q1882)+$P1883</f>
        <v>13</v>
      </c>
      <c r="R1883" s="1" t="n">
        <f aca="false">IF(AND($K1883=1,AND(对接源_02物料!$X683="公司筐",N(对接源_02物料!$U683)&lt;&gt;0)),1,0)</f>
        <v>0</v>
      </c>
      <c r="S1883" s="1" t="n">
        <f aca="false">N(S1882)+$R1883</f>
        <v>5</v>
      </c>
      <c r="T1883" s="1" t="n">
        <f aca="false">IF(AND($K1883=1,AND(对接源_02物料!$X683="公司筐",N(对接源_02物料!$V683)&lt;&gt;0)),1,0)</f>
        <v>0</v>
      </c>
      <c r="U1883" s="1" t="n">
        <f aca="false">N(U1882)+$T1883</f>
        <v>28</v>
      </c>
      <c r="V1883" s="1" t="n">
        <f aca="false">IF(AND($L1883=1,AND(对接源_02物料!$X683="自备筐",N(对接源_02物料!$V683)&lt;&gt;0)),1,0)</f>
        <v>0</v>
      </c>
      <c r="W1883" s="1" t="n">
        <f aca="false">N(W1882)+$V1883</f>
        <v>7</v>
      </c>
      <c r="X1883" s="1" t="n">
        <f aca="false">IF(AND($L1883=1,AND(对接源_02物料!$X683="自备筐",N(对接源_02物料!$T683)&lt;&gt;0)),1,0)</f>
        <v>0</v>
      </c>
      <c r="Y1883" s="1" t="n">
        <f aca="false">N(Y1882)+$X1883</f>
        <v>0</v>
      </c>
      <c r="Z1883" s="1" t="n">
        <f aca="false">IF(AND($M1883=1,对接源_02物料!$D683="原料入库"),1,0)</f>
        <v>0</v>
      </c>
      <c r="AA1883" s="1" t="n">
        <f aca="false">N(AA1882)+$Z1883</f>
        <v>30</v>
      </c>
      <c r="AB1883" s="1" t="n">
        <f aca="false">IF(AND($M1883=1,LEFT(对接源_02物料!$D683,4)="原料出库"),1,0)</f>
        <v>0</v>
      </c>
      <c r="AC1883" s="1" t="n">
        <f aca="false">N(AC1882)+$AB1883</f>
        <v>19</v>
      </c>
      <c r="AD1883" s="1" t="n">
        <f aca="false">IF(AND($M1883=1,LEFT(对接源_02物料!$D683,4)="成品出库"),1,0)</f>
        <v>0</v>
      </c>
      <c r="AE1883" s="1" t="n">
        <f aca="false">N(AE1882)+$AD1883</f>
        <v>38</v>
      </c>
      <c r="AF1883" s="1" t="n">
        <f aca="false">IF(AND($N1883=1,AND(LEFT(对接源_02物料!$D683,4)="包装物料",N(对接源_02物料!$K683)&lt;&gt;0)),1,0)</f>
        <v>0</v>
      </c>
      <c r="AG1883" s="1" t="n">
        <f aca="false">N(AG1882)+$AF1883</f>
        <v>6</v>
      </c>
      <c r="AH1883" s="1" t="n">
        <f aca="false">IF(AND($N1883=1,AND(LEFT(对接源_02物料!$D683,3)="周转筐",N(对接源_02物料!$K683)&lt;&gt;0)),1,0)</f>
        <v>0</v>
      </c>
      <c r="AI1883" s="1" t="n">
        <f aca="false">N(AI1882)+$AH1883</f>
        <v>0</v>
      </c>
      <c r="AJ1883" s="1" t="n">
        <v>0</v>
      </c>
      <c r="AK1883" s="1" t="n">
        <f aca="false">N(AK1882)+$AJ1883</f>
        <v>3672</v>
      </c>
    </row>
    <row r="1884" customFormat="false" ht="13.5" hidden="false" customHeight="false" outlineLevel="0" collapsed="false">
      <c r="A1884" s="1" t="str">
        <f aca="false">IF(对接源_02物料!$C684="","",对接源_02物料!$C684)</f>
        <v/>
      </c>
      <c r="B1884" s="1" t="n">
        <f aca="false">IF(A1884="",0,IF(MATCH(A1884,$A$4:$A$2403,0)=ROW()-3,1,0))</f>
        <v>0</v>
      </c>
      <c r="C1884" s="1" t="n">
        <f aca="false">N(C1883)+B1884</f>
        <v>17</v>
      </c>
      <c r="K1884" s="1" t="n">
        <f aca="false">IF(OR($K$1="",对接源_02物料!$C684="",对接源_02物料!$C684&lt;&gt;$K$1,对接源_02物料!$B684=""),0,IF(OR(N(对接源_02物料!$B684)&lt;$K$2,N(对接源_02物料!$B684)&gt;$K$3),0,1))</f>
        <v>0</v>
      </c>
      <c r="L1884" s="1" t="n">
        <f aca="false">IF(OR($L$1="",对接源_02物料!$C684="",对接源_02物料!$C684&lt;&gt;$L$1,对接源_02物料!$B684=""),0,IF(OR(N(对接源_02物料!$B684)&lt;$L$2,N(对接源_02物料!$B684)&gt;$L$3),0,1))</f>
        <v>0</v>
      </c>
      <c r="M1884" s="1" t="n">
        <f aca="false">IF(OR($M$1="",对接源_02物料!$C684="",对接源_02物料!$C684&lt;&gt;$M$1,对接源_02物料!$B684=""),0,IF(OR(N(对接源_02物料!$B684)&lt;$M$2,N(对接源_02物料!$B684)&gt;$M$3),0,1))</f>
        <v>0</v>
      </c>
      <c r="N1884" s="1" t="n">
        <f aca="false">IF(OR($N$1="",对接源_02物料!$C684="",对接源_02物料!$C684&lt;&gt;$N$1,对接源_02物料!$B684=""),0,IF(OR(N(对接源_02物料!$B684)&lt;$N$2,N(对接源_02物料!$B684)&gt;$N$3),0,1))</f>
        <v>0</v>
      </c>
      <c r="P1884" s="1" t="n">
        <f aca="false">IF(AND($K1884=1,AND(对接源_02物料!$X684="公司筐",N(对接源_02物料!$T684)&lt;&gt;0)),1,0)</f>
        <v>0</v>
      </c>
      <c r="Q1884" s="1" t="n">
        <f aca="false">N(Q1883)+$P1884</f>
        <v>13</v>
      </c>
      <c r="R1884" s="1" t="n">
        <f aca="false">IF(AND($K1884=1,AND(对接源_02物料!$X684="公司筐",N(对接源_02物料!$U684)&lt;&gt;0)),1,0)</f>
        <v>0</v>
      </c>
      <c r="S1884" s="1" t="n">
        <f aca="false">N(S1883)+$R1884</f>
        <v>5</v>
      </c>
      <c r="T1884" s="1" t="n">
        <f aca="false">IF(AND($K1884=1,AND(对接源_02物料!$X684="公司筐",N(对接源_02物料!$V684)&lt;&gt;0)),1,0)</f>
        <v>0</v>
      </c>
      <c r="U1884" s="1" t="n">
        <f aca="false">N(U1883)+$T1884</f>
        <v>28</v>
      </c>
      <c r="V1884" s="1" t="n">
        <f aca="false">IF(AND($L1884=1,AND(对接源_02物料!$X684="自备筐",N(对接源_02物料!$V684)&lt;&gt;0)),1,0)</f>
        <v>0</v>
      </c>
      <c r="W1884" s="1" t="n">
        <f aca="false">N(W1883)+$V1884</f>
        <v>7</v>
      </c>
      <c r="X1884" s="1" t="n">
        <f aca="false">IF(AND($L1884=1,AND(对接源_02物料!$X684="自备筐",N(对接源_02物料!$T684)&lt;&gt;0)),1,0)</f>
        <v>0</v>
      </c>
      <c r="Y1884" s="1" t="n">
        <f aca="false">N(Y1883)+$X1884</f>
        <v>0</v>
      </c>
      <c r="Z1884" s="1" t="n">
        <f aca="false">IF(AND($M1884=1,对接源_02物料!$D684="原料入库"),1,0)</f>
        <v>0</v>
      </c>
      <c r="AA1884" s="1" t="n">
        <f aca="false">N(AA1883)+$Z1884</f>
        <v>30</v>
      </c>
      <c r="AB1884" s="1" t="n">
        <f aca="false">IF(AND($M1884=1,LEFT(对接源_02物料!$D684,4)="原料出库"),1,0)</f>
        <v>0</v>
      </c>
      <c r="AC1884" s="1" t="n">
        <f aca="false">N(AC1883)+$AB1884</f>
        <v>19</v>
      </c>
      <c r="AD1884" s="1" t="n">
        <f aca="false">IF(AND($M1884=1,LEFT(对接源_02物料!$D684,4)="成品出库"),1,0)</f>
        <v>0</v>
      </c>
      <c r="AE1884" s="1" t="n">
        <f aca="false">N(AE1883)+$AD1884</f>
        <v>38</v>
      </c>
      <c r="AF1884" s="1" t="n">
        <f aca="false">IF(AND($N1884=1,AND(LEFT(对接源_02物料!$D684,4)="包装物料",N(对接源_02物料!$K684)&lt;&gt;0)),1,0)</f>
        <v>0</v>
      </c>
      <c r="AG1884" s="1" t="n">
        <f aca="false">N(AG1883)+$AF1884</f>
        <v>6</v>
      </c>
      <c r="AH1884" s="1" t="n">
        <f aca="false">IF(AND($N1884=1,AND(LEFT(对接源_02物料!$D684,3)="周转筐",N(对接源_02物料!$K684)&lt;&gt;0)),1,0)</f>
        <v>0</v>
      </c>
      <c r="AI1884" s="1" t="n">
        <f aca="false">N(AI1883)+$AH1884</f>
        <v>0</v>
      </c>
      <c r="AJ1884" s="1" t="n">
        <v>0</v>
      </c>
      <c r="AK1884" s="1" t="n">
        <f aca="false">N(AK1883)+$AJ1884</f>
        <v>3672</v>
      </c>
    </row>
    <row r="1885" customFormat="false" ht="13.5" hidden="false" customHeight="false" outlineLevel="0" collapsed="false">
      <c r="A1885" s="1" t="str">
        <f aca="false">IF(对接源_02物料!$C685="","",对接源_02物料!$C685)</f>
        <v/>
      </c>
      <c r="B1885" s="1" t="n">
        <f aca="false">IF(A1885="",0,IF(MATCH(A1885,$A$4:$A$2403,0)=ROW()-3,1,0))</f>
        <v>0</v>
      </c>
      <c r="C1885" s="1" t="n">
        <f aca="false">N(C1884)+B1885</f>
        <v>17</v>
      </c>
      <c r="K1885" s="1" t="n">
        <f aca="false">IF(OR($K$1="",对接源_02物料!$C685="",对接源_02物料!$C685&lt;&gt;$K$1,对接源_02物料!$B685=""),0,IF(OR(N(对接源_02物料!$B685)&lt;$K$2,N(对接源_02物料!$B685)&gt;$K$3),0,1))</f>
        <v>0</v>
      </c>
      <c r="L1885" s="1" t="n">
        <f aca="false">IF(OR($L$1="",对接源_02物料!$C685="",对接源_02物料!$C685&lt;&gt;$L$1,对接源_02物料!$B685=""),0,IF(OR(N(对接源_02物料!$B685)&lt;$L$2,N(对接源_02物料!$B685)&gt;$L$3),0,1))</f>
        <v>0</v>
      </c>
      <c r="M1885" s="1" t="n">
        <f aca="false">IF(OR($M$1="",对接源_02物料!$C685="",对接源_02物料!$C685&lt;&gt;$M$1,对接源_02物料!$B685=""),0,IF(OR(N(对接源_02物料!$B685)&lt;$M$2,N(对接源_02物料!$B685)&gt;$M$3),0,1))</f>
        <v>0</v>
      </c>
      <c r="N1885" s="1" t="n">
        <f aca="false">IF(OR($N$1="",对接源_02物料!$C685="",对接源_02物料!$C685&lt;&gt;$N$1,对接源_02物料!$B685=""),0,IF(OR(N(对接源_02物料!$B685)&lt;$N$2,N(对接源_02物料!$B685)&gt;$N$3),0,1))</f>
        <v>0</v>
      </c>
      <c r="P1885" s="1" t="n">
        <f aca="false">IF(AND($K1885=1,AND(对接源_02物料!$X685="公司筐",N(对接源_02物料!$T685)&lt;&gt;0)),1,0)</f>
        <v>0</v>
      </c>
      <c r="Q1885" s="1" t="n">
        <f aca="false">N(Q1884)+$P1885</f>
        <v>13</v>
      </c>
      <c r="R1885" s="1" t="n">
        <f aca="false">IF(AND($K1885=1,AND(对接源_02物料!$X685="公司筐",N(对接源_02物料!$U685)&lt;&gt;0)),1,0)</f>
        <v>0</v>
      </c>
      <c r="S1885" s="1" t="n">
        <f aca="false">N(S1884)+$R1885</f>
        <v>5</v>
      </c>
      <c r="T1885" s="1" t="n">
        <f aca="false">IF(AND($K1885=1,AND(对接源_02物料!$X685="公司筐",N(对接源_02物料!$V685)&lt;&gt;0)),1,0)</f>
        <v>0</v>
      </c>
      <c r="U1885" s="1" t="n">
        <f aca="false">N(U1884)+$T1885</f>
        <v>28</v>
      </c>
      <c r="V1885" s="1" t="n">
        <f aca="false">IF(AND($L1885=1,AND(对接源_02物料!$X685="自备筐",N(对接源_02物料!$V685)&lt;&gt;0)),1,0)</f>
        <v>0</v>
      </c>
      <c r="W1885" s="1" t="n">
        <f aca="false">N(W1884)+$V1885</f>
        <v>7</v>
      </c>
      <c r="X1885" s="1" t="n">
        <f aca="false">IF(AND($L1885=1,AND(对接源_02物料!$X685="自备筐",N(对接源_02物料!$T685)&lt;&gt;0)),1,0)</f>
        <v>0</v>
      </c>
      <c r="Y1885" s="1" t="n">
        <f aca="false">N(Y1884)+$X1885</f>
        <v>0</v>
      </c>
      <c r="Z1885" s="1" t="n">
        <f aca="false">IF(AND($M1885=1,对接源_02物料!$D685="原料入库"),1,0)</f>
        <v>0</v>
      </c>
      <c r="AA1885" s="1" t="n">
        <f aca="false">N(AA1884)+$Z1885</f>
        <v>30</v>
      </c>
      <c r="AB1885" s="1" t="n">
        <f aca="false">IF(AND($M1885=1,LEFT(对接源_02物料!$D685,4)="原料出库"),1,0)</f>
        <v>0</v>
      </c>
      <c r="AC1885" s="1" t="n">
        <f aca="false">N(AC1884)+$AB1885</f>
        <v>19</v>
      </c>
      <c r="AD1885" s="1" t="n">
        <f aca="false">IF(AND($M1885=1,LEFT(对接源_02物料!$D685,4)="成品出库"),1,0)</f>
        <v>0</v>
      </c>
      <c r="AE1885" s="1" t="n">
        <f aca="false">N(AE1884)+$AD1885</f>
        <v>38</v>
      </c>
      <c r="AF1885" s="1" t="n">
        <f aca="false">IF(AND($N1885=1,AND(LEFT(对接源_02物料!$D685,4)="包装物料",N(对接源_02物料!$K685)&lt;&gt;0)),1,0)</f>
        <v>0</v>
      </c>
      <c r="AG1885" s="1" t="n">
        <f aca="false">N(AG1884)+$AF1885</f>
        <v>6</v>
      </c>
      <c r="AH1885" s="1" t="n">
        <f aca="false">IF(AND($N1885=1,AND(LEFT(对接源_02物料!$D685,3)="周转筐",N(对接源_02物料!$K685)&lt;&gt;0)),1,0)</f>
        <v>0</v>
      </c>
      <c r="AI1885" s="1" t="n">
        <f aca="false">N(AI1884)+$AH1885</f>
        <v>0</v>
      </c>
      <c r="AJ1885" s="1" t="n">
        <v>0</v>
      </c>
      <c r="AK1885" s="1" t="n">
        <f aca="false">N(AK1884)+$AJ1885</f>
        <v>3672</v>
      </c>
    </row>
    <row r="1886" customFormat="false" ht="13.5" hidden="false" customHeight="false" outlineLevel="0" collapsed="false">
      <c r="A1886" s="1" t="str">
        <f aca="false">IF(对接源_02物料!$C686="","",对接源_02物料!$C686)</f>
        <v/>
      </c>
      <c r="B1886" s="1" t="n">
        <f aca="false">IF(A1886="",0,IF(MATCH(A1886,$A$4:$A$2403,0)=ROW()-3,1,0))</f>
        <v>0</v>
      </c>
      <c r="C1886" s="1" t="n">
        <f aca="false">N(C1885)+B1886</f>
        <v>17</v>
      </c>
      <c r="K1886" s="1" t="n">
        <f aca="false">IF(OR($K$1="",对接源_02物料!$C686="",对接源_02物料!$C686&lt;&gt;$K$1,对接源_02物料!$B686=""),0,IF(OR(N(对接源_02物料!$B686)&lt;$K$2,N(对接源_02物料!$B686)&gt;$K$3),0,1))</f>
        <v>0</v>
      </c>
      <c r="L1886" s="1" t="n">
        <f aca="false">IF(OR($L$1="",对接源_02物料!$C686="",对接源_02物料!$C686&lt;&gt;$L$1,对接源_02物料!$B686=""),0,IF(OR(N(对接源_02物料!$B686)&lt;$L$2,N(对接源_02物料!$B686)&gt;$L$3),0,1))</f>
        <v>0</v>
      </c>
      <c r="M1886" s="1" t="n">
        <f aca="false">IF(OR($M$1="",对接源_02物料!$C686="",对接源_02物料!$C686&lt;&gt;$M$1,对接源_02物料!$B686=""),0,IF(OR(N(对接源_02物料!$B686)&lt;$M$2,N(对接源_02物料!$B686)&gt;$M$3),0,1))</f>
        <v>0</v>
      </c>
      <c r="N1886" s="1" t="n">
        <f aca="false">IF(OR($N$1="",对接源_02物料!$C686="",对接源_02物料!$C686&lt;&gt;$N$1,对接源_02物料!$B686=""),0,IF(OR(N(对接源_02物料!$B686)&lt;$N$2,N(对接源_02物料!$B686)&gt;$N$3),0,1))</f>
        <v>0</v>
      </c>
      <c r="P1886" s="1" t="n">
        <f aca="false">IF(AND($K1886=1,AND(对接源_02物料!$X686="公司筐",N(对接源_02物料!$T686)&lt;&gt;0)),1,0)</f>
        <v>0</v>
      </c>
      <c r="Q1886" s="1" t="n">
        <f aca="false">N(Q1885)+$P1886</f>
        <v>13</v>
      </c>
      <c r="R1886" s="1" t="n">
        <f aca="false">IF(AND($K1886=1,AND(对接源_02物料!$X686="公司筐",N(对接源_02物料!$U686)&lt;&gt;0)),1,0)</f>
        <v>0</v>
      </c>
      <c r="S1886" s="1" t="n">
        <f aca="false">N(S1885)+$R1886</f>
        <v>5</v>
      </c>
      <c r="T1886" s="1" t="n">
        <f aca="false">IF(AND($K1886=1,AND(对接源_02物料!$X686="公司筐",N(对接源_02物料!$V686)&lt;&gt;0)),1,0)</f>
        <v>0</v>
      </c>
      <c r="U1886" s="1" t="n">
        <f aca="false">N(U1885)+$T1886</f>
        <v>28</v>
      </c>
      <c r="V1886" s="1" t="n">
        <f aca="false">IF(AND($L1886=1,AND(对接源_02物料!$X686="自备筐",N(对接源_02物料!$V686)&lt;&gt;0)),1,0)</f>
        <v>0</v>
      </c>
      <c r="W1886" s="1" t="n">
        <f aca="false">N(W1885)+$V1886</f>
        <v>7</v>
      </c>
      <c r="X1886" s="1" t="n">
        <f aca="false">IF(AND($L1886=1,AND(对接源_02物料!$X686="自备筐",N(对接源_02物料!$T686)&lt;&gt;0)),1,0)</f>
        <v>0</v>
      </c>
      <c r="Y1886" s="1" t="n">
        <f aca="false">N(Y1885)+$X1886</f>
        <v>0</v>
      </c>
      <c r="Z1886" s="1" t="n">
        <f aca="false">IF(AND($M1886=1,对接源_02物料!$D686="原料入库"),1,0)</f>
        <v>0</v>
      </c>
      <c r="AA1886" s="1" t="n">
        <f aca="false">N(AA1885)+$Z1886</f>
        <v>30</v>
      </c>
      <c r="AB1886" s="1" t="n">
        <f aca="false">IF(AND($M1886=1,LEFT(对接源_02物料!$D686,4)="原料出库"),1,0)</f>
        <v>0</v>
      </c>
      <c r="AC1886" s="1" t="n">
        <f aca="false">N(AC1885)+$AB1886</f>
        <v>19</v>
      </c>
      <c r="AD1886" s="1" t="n">
        <f aca="false">IF(AND($M1886=1,LEFT(对接源_02物料!$D686,4)="成品出库"),1,0)</f>
        <v>0</v>
      </c>
      <c r="AE1886" s="1" t="n">
        <f aca="false">N(AE1885)+$AD1886</f>
        <v>38</v>
      </c>
      <c r="AF1886" s="1" t="n">
        <f aca="false">IF(AND($N1886=1,AND(LEFT(对接源_02物料!$D686,4)="包装物料",N(对接源_02物料!$K686)&lt;&gt;0)),1,0)</f>
        <v>0</v>
      </c>
      <c r="AG1886" s="1" t="n">
        <f aca="false">N(AG1885)+$AF1886</f>
        <v>6</v>
      </c>
      <c r="AH1886" s="1" t="n">
        <f aca="false">IF(AND($N1886=1,AND(LEFT(对接源_02物料!$D686,3)="周转筐",N(对接源_02物料!$K686)&lt;&gt;0)),1,0)</f>
        <v>0</v>
      </c>
      <c r="AI1886" s="1" t="n">
        <f aca="false">N(AI1885)+$AH1886</f>
        <v>0</v>
      </c>
      <c r="AJ1886" s="1" t="n">
        <v>0</v>
      </c>
      <c r="AK1886" s="1" t="n">
        <f aca="false">N(AK1885)+$AJ1886</f>
        <v>3672</v>
      </c>
    </row>
    <row r="1887" customFormat="false" ht="13.5" hidden="false" customHeight="false" outlineLevel="0" collapsed="false">
      <c r="A1887" s="1" t="str">
        <f aca="false">IF(对接源_02物料!$C687="","",对接源_02物料!$C687)</f>
        <v/>
      </c>
      <c r="B1887" s="1" t="n">
        <f aca="false">IF(A1887="",0,IF(MATCH(A1887,$A$4:$A$2403,0)=ROW()-3,1,0))</f>
        <v>0</v>
      </c>
      <c r="C1887" s="1" t="n">
        <f aca="false">N(C1886)+B1887</f>
        <v>17</v>
      </c>
      <c r="K1887" s="1" t="n">
        <f aca="false">IF(OR($K$1="",对接源_02物料!$C687="",对接源_02物料!$C687&lt;&gt;$K$1,对接源_02物料!$B687=""),0,IF(OR(N(对接源_02物料!$B687)&lt;$K$2,N(对接源_02物料!$B687)&gt;$K$3),0,1))</f>
        <v>0</v>
      </c>
      <c r="L1887" s="1" t="n">
        <f aca="false">IF(OR($L$1="",对接源_02物料!$C687="",对接源_02物料!$C687&lt;&gt;$L$1,对接源_02物料!$B687=""),0,IF(OR(N(对接源_02物料!$B687)&lt;$L$2,N(对接源_02物料!$B687)&gt;$L$3),0,1))</f>
        <v>0</v>
      </c>
      <c r="M1887" s="1" t="n">
        <f aca="false">IF(OR($M$1="",对接源_02物料!$C687="",对接源_02物料!$C687&lt;&gt;$M$1,对接源_02物料!$B687=""),0,IF(OR(N(对接源_02物料!$B687)&lt;$M$2,N(对接源_02物料!$B687)&gt;$M$3),0,1))</f>
        <v>0</v>
      </c>
      <c r="N1887" s="1" t="n">
        <f aca="false">IF(OR($N$1="",对接源_02物料!$C687="",对接源_02物料!$C687&lt;&gt;$N$1,对接源_02物料!$B687=""),0,IF(OR(N(对接源_02物料!$B687)&lt;$N$2,N(对接源_02物料!$B687)&gt;$N$3),0,1))</f>
        <v>0</v>
      </c>
      <c r="P1887" s="1" t="n">
        <f aca="false">IF(AND($K1887=1,AND(对接源_02物料!$X687="公司筐",N(对接源_02物料!$T687)&lt;&gt;0)),1,0)</f>
        <v>0</v>
      </c>
      <c r="Q1887" s="1" t="n">
        <f aca="false">N(Q1886)+$P1887</f>
        <v>13</v>
      </c>
      <c r="R1887" s="1" t="n">
        <f aca="false">IF(AND($K1887=1,AND(对接源_02物料!$X687="公司筐",N(对接源_02物料!$U687)&lt;&gt;0)),1,0)</f>
        <v>0</v>
      </c>
      <c r="S1887" s="1" t="n">
        <f aca="false">N(S1886)+$R1887</f>
        <v>5</v>
      </c>
      <c r="T1887" s="1" t="n">
        <f aca="false">IF(AND($K1887=1,AND(对接源_02物料!$X687="公司筐",N(对接源_02物料!$V687)&lt;&gt;0)),1,0)</f>
        <v>0</v>
      </c>
      <c r="U1887" s="1" t="n">
        <f aca="false">N(U1886)+$T1887</f>
        <v>28</v>
      </c>
      <c r="V1887" s="1" t="n">
        <f aca="false">IF(AND($L1887=1,AND(对接源_02物料!$X687="自备筐",N(对接源_02物料!$V687)&lt;&gt;0)),1,0)</f>
        <v>0</v>
      </c>
      <c r="W1887" s="1" t="n">
        <f aca="false">N(W1886)+$V1887</f>
        <v>7</v>
      </c>
      <c r="X1887" s="1" t="n">
        <f aca="false">IF(AND($L1887=1,AND(对接源_02物料!$X687="自备筐",N(对接源_02物料!$T687)&lt;&gt;0)),1,0)</f>
        <v>0</v>
      </c>
      <c r="Y1887" s="1" t="n">
        <f aca="false">N(Y1886)+$X1887</f>
        <v>0</v>
      </c>
      <c r="Z1887" s="1" t="n">
        <f aca="false">IF(AND($M1887=1,对接源_02物料!$D687="原料入库"),1,0)</f>
        <v>0</v>
      </c>
      <c r="AA1887" s="1" t="n">
        <f aca="false">N(AA1886)+$Z1887</f>
        <v>30</v>
      </c>
      <c r="AB1887" s="1" t="n">
        <f aca="false">IF(AND($M1887=1,LEFT(对接源_02物料!$D687,4)="原料出库"),1,0)</f>
        <v>0</v>
      </c>
      <c r="AC1887" s="1" t="n">
        <f aca="false">N(AC1886)+$AB1887</f>
        <v>19</v>
      </c>
      <c r="AD1887" s="1" t="n">
        <f aca="false">IF(AND($M1887=1,LEFT(对接源_02物料!$D687,4)="成品出库"),1,0)</f>
        <v>0</v>
      </c>
      <c r="AE1887" s="1" t="n">
        <f aca="false">N(AE1886)+$AD1887</f>
        <v>38</v>
      </c>
      <c r="AF1887" s="1" t="n">
        <f aca="false">IF(AND($N1887=1,AND(LEFT(对接源_02物料!$D687,4)="包装物料",N(对接源_02物料!$K687)&lt;&gt;0)),1,0)</f>
        <v>0</v>
      </c>
      <c r="AG1887" s="1" t="n">
        <f aca="false">N(AG1886)+$AF1887</f>
        <v>6</v>
      </c>
      <c r="AH1887" s="1" t="n">
        <f aca="false">IF(AND($N1887=1,AND(LEFT(对接源_02物料!$D687,3)="周转筐",N(对接源_02物料!$K687)&lt;&gt;0)),1,0)</f>
        <v>0</v>
      </c>
      <c r="AI1887" s="1" t="n">
        <f aca="false">N(AI1886)+$AH1887</f>
        <v>0</v>
      </c>
      <c r="AJ1887" s="1" t="n">
        <v>0</v>
      </c>
      <c r="AK1887" s="1" t="n">
        <f aca="false">N(AK1886)+$AJ1887</f>
        <v>3672</v>
      </c>
    </row>
    <row r="1888" customFormat="false" ht="13.5" hidden="false" customHeight="false" outlineLevel="0" collapsed="false">
      <c r="A1888" s="1" t="str">
        <f aca="false">IF(对接源_02物料!$C688="","",对接源_02物料!$C688)</f>
        <v/>
      </c>
      <c r="B1888" s="1" t="n">
        <f aca="false">IF(A1888="",0,IF(MATCH(A1888,$A$4:$A$2403,0)=ROW()-3,1,0))</f>
        <v>0</v>
      </c>
      <c r="C1888" s="1" t="n">
        <f aca="false">N(C1887)+B1888</f>
        <v>17</v>
      </c>
      <c r="K1888" s="1" t="n">
        <f aca="false">IF(OR($K$1="",对接源_02物料!$C688="",对接源_02物料!$C688&lt;&gt;$K$1,对接源_02物料!$B688=""),0,IF(OR(N(对接源_02物料!$B688)&lt;$K$2,N(对接源_02物料!$B688)&gt;$K$3),0,1))</f>
        <v>0</v>
      </c>
      <c r="L1888" s="1" t="n">
        <f aca="false">IF(OR($L$1="",对接源_02物料!$C688="",对接源_02物料!$C688&lt;&gt;$L$1,对接源_02物料!$B688=""),0,IF(OR(N(对接源_02物料!$B688)&lt;$L$2,N(对接源_02物料!$B688)&gt;$L$3),0,1))</f>
        <v>0</v>
      </c>
      <c r="M1888" s="1" t="n">
        <f aca="false">IF(OR($M$1="",对接源_02物料!$C688="",对接源_02物料!$C688&lt;&gt;$M$1,对接源_02物料!$B688=""),0,IF(OR(N(对接源_02物料!$B688)&lt;$M$2,N(对接源_02物料!$B688)&gt;$M$3),0,1))</f>
        <v>0</v>
      </c>
      <c r="N1888" s="1" t="n">
        <f aca="false">IF(OR($N$1="",对接源_02物料!$C688="",对接源_02物料!$C688&lt;&gt;$N$1,对接源_02物料!$B688=""),0,IF(OR(N(对接源_02物料!$B688)&lt;$N$2,N(对接源_02物料!$B688)&gt;$N$3),0,1))</f>
        <v>0</v>
      </c>
      <c r="P1888" s="1" t="n">
        <f aca="false">IF(AND($K1888=1,AND(对接源_02物料!$X688="公司筐",N(对接源_02物料!$T688)&lt;&gt;0)),1,0)</f>
        <v>0</v>
      </c>
      <c r="Q1888" s="1" t="n">
        <f aca="false">N(Q1887)+$P1888</f>
        <v>13</v>
      </c>
      <c r="R1888" s="1" t="n">
        <f aca="false">IF(AND($K1888=1,AND(对接源_02物料!$X688="公司筐",N(对接源_02物料!$U688)&lt;&gt;0)),1,0)</f>
        <v>0</v>
      </c>
      <c r="S1888" s="1" t="n">
        <f aca="false">N(S1887)+$R1888</f>
        <v>5</v>
      </c>
      <c r="T1888" s="1" t="n">
        <f aca="false">IF(AND($K1888=1,AND(对接源_02物料!$X688="公司筐",N(对接源_02物料!$V688)&lt;&gt;0)),1,0)</f>
        <v>0</v>
      </c>
      <c r="U1888" s="1" t="n">
        <f aca="false">N(U1887)+$T1888</f>
        <v>28</v>
      </c>
      <c r="V1888" s="1" t="n">
        <f aca="false">IF(AND($L1888=1,AND(对接源_02物料!$X688="自备筐",N(对接源_02物料!$V688)&lt;&gt;0)),1,0)</f>
        <v>0</v>
      </c>
      <c r="W1888" s="1" t="n">
        <f aca="false">N(W1887)+$V1888</f>
        <v>7</v>
      </c>
      <c r="X1888" s="1" t="n">
        <f aca="false">IF(AND($L1888=1,AND(对接源_02物料!$X688="自备筐",N(对接源_02物料!$T688)&lt;&gt;0)),1,0)</f>
        <v>0</v>
      </c>
      <c r="Y1888" s="1" t="n">
        <f aca="false">N(Y1887)+$X1888</f>
        <v>0</v>
      </c>
      <c r="Z1888" s="1" t="n">
        <f aca="false">IF(AND($M1888=1,对接源_02物料!$D688="原料入库"),1,0)</f>
        <v>0</v>
      </c>
      <c r="AA1888" s="1" t="n">
        <f aca="false">N(AA1887)+$Z1888</f>
        <v>30</v>
      </c>
      <c r="AB1888" s="1" t="n">
        <f aca="false">IF(AND($M1888=1,LEFT(对接源_02物料!$D688,4)="原料出库"),1,0)</f>
        <v>0</v>
      </c>
      <c r="AC1888" s="1" t="n">
        <f aca="false">N(AC1887)+$AB1888</f>
        <v>19</v>
      </c>
      <c r="AD1888" s="1" t="n">
        <f aca="false">IF(AND($M1888=1,LEFT(对接源_02物料!$D688,4)="成品出库"),1,0)</f>
        <v>0</v>
      </c>
      <c r="AE1888" s="1" t="n">
        <f aca="false">N(AE1887)+$AD1888</f>
        <v>38</v>
      </c>
      <c r="AF1888" s="1" t="n">
        <f aca="false">IF(AND($N1888=1,AND(LEFT(对接源_02物料!$D688,4)="包装物料",N(对接源_02物料!$K688)&lt;&gt;0)),1,0)</f>
        <v>0</v>
      </c>
      <c r="AG1888" s="1" t="n">
        <f aca="false">N(AG1887)+$AF1888</f>
        <v>6</v>
      </c>
      <c r="AH1888" s="1" t="n">
        <f aca="false">IF(AND($N1888=1,AND(LEFT(对接源_02物料!$D688,3)="周转筐",N(对接源_02物料!$K688)&lt;&gt;0)),1,0)</f>
        <v>0</v>
      </c>
      <c r="AI1888" s="1" t="n">
        <f aca="false">N(AI1887)+$AH1888</f>
        <v>0</v>
      </c>
      <c r="AJ1888" s="1" t="n">
        <v>0</v>
      </c>
      <c r="AK1888" s="1" t="n">
        <f aca="false">N(AK1887)+$AJ1888</f>
        <v>3672</v>
      </c>
    </row>
    <row r="1889" customFormat="false" ht="13.5" hidden="false" customHeight="false" outlineLevel="0" collapsed="false">
      <c r="A1889" s="1" t="str">
        <f aca="false">IF(对接源_02物料!$C689="","",对接源_02物料!$C689)</f>
        <v/>
      </c>
      <c r="B1889" s="1" t="n">
        <f aca="false">IF(A1889="",0,IF(MATCH(A1889,$A$4:$A$2403,0)=ROW()-3,1,0))</f>
        <v>0</v>
      </c>
      <c r="C1889" s="1" t="n">
        <f aca="false">N(C1888)+B1889</f>
        <v>17</v>
      </c>
      <c r="K1889" s="1" t="n">
        <f aca="false">IF(OR($K$1="",对接源_02物料!$C689="",对接源_02物料!$C689&lt;&gt;$K$1,对接源_02物料!$B689=""),0,IF(OR(N(对接源_02物料!$B689)&lt;$K$2,N(对接源_02物料!$B689)&gt;$K$3),0,1))</f>
        <v>0</v>
      </c>
      <c r="L1889" s="1" t="n">
        <f aca="false">IF(OR($L$1="",对接源_02物料!$C689="",对接源_02物料!$C689&lt;&gt;$L$1,对接源_02物料!$B689=""),0,IF(OR(N(对接源_02物料!$B689)&lt;$L$2,N(对接源_02物料!$B689)&gt;$L$3),0,1))</f>
        <v>0</v>
      </c>
      <c r="M1889" s="1" t="n">
        <f aca="false">IF(OR($M$1="",对接源_02物料!$C689="",对接源_02物料!$C689&lt;&gt;$M$1,对接源_02物料!$B689=""),0,IF(OR(N(对接源_02物料!$B689)&lt;$M$2,N(对接源_02物料!$B689)&gt;$M$3),0,1))</f>
        <v>0</v>
      </c>
      <c r="N1889" s="1" t="n">
        <f aca="false">IF(OR($N$1="",对接源_02物料!$C689="",对接源_02物料!$C689&lt;&gt;$N$1,对接源_02物料!$B689=""),0,IF(OR(N(对接源_02物料!$B689)&lt;$N$2,N(对接源_02物料!$B689)&gt;$N$3),0,1))</f>
        <v>0</v>
      </c>
      <c r="P1889" s="1" t="n">
        <f aca="false">IF(AND($K1889=1,AND(对接源_02物料!$X689="公司筐",N(对接源_02物料!$T689)&lt;&gt;0)),1,0)</f>
        <v>0</v>
      </c>
      <c r="Q1889" s="1" t="n">
        <f aca="false">N(Q1888)+$P1889</f>
        <v>13</v>
      </c>
      <c r="R1889" s="1" t="n">
        <f aca="false">IF(AND($K1889=1,AND(对接源_02物料!$X689="公司筐",N(对接源_02物料!$U689)&lt;&gt;0)),1,0)</f>
        <v>0</v>
      </c>
      <c r="S1889" s="1" t="n">
        <f aca="false">N(S1888)+$R1889</f>
        <v>5</v>
      </c>
      <c r="T1889" s="1" t="n">
        <f aca="false">IF(AND($K1889=1,AND(对接源_02物料!$X689="公司筐",N(对接源_02物料!$V689)&lt;&gt;0)),1,0)</f>
        <v>0</v>
      </c>
      <c r="U1889" s="1" t="n">
        <f aca="false">N(U1888)+$T1889</f>
        <v>28</v>
      </c>
      <c r="V1889" s="1" t="n">
        <f aca="false">IF(AND($L1889=1,AND(对接源_02物料!$X689="自备筐",N(对接源_02物料!$V689)&lt;&gt;0)),1,0)</f>
        <v>0</v>
      </c>
      <c r="W1889" s="1" t="n">
        <f aca="false">N(W1888)+$V1889</f>
        <v>7</v>
      </c>
      <c r="X1889" s="1" t="n">
        <f aca="false">IF(AND($L1889=1,AND(对接源_02物料!$X689="自备筐",N(对接源_02物料!$T689)&lt;&gt;0)),1,0)</f>
        <v>0</v>
      </c>
      <c r="Y1889" s="1" t="n">
        <f aca="false">N(Y1888)+$X1889</f>
        <v>0</v>
      </c>
      <c r="Z1889" s="1" t="n">
        <f aca="false">IF(AND($M1889=1,对接源_02物料!$D689="原料入库"),1,0)</f>
        <v>0</v>
      </c>
      <c r="AA1889" s="1" t="n">
        <f aca="false">N(AA1888)+$Z1889</f>
        <v>30</v>
      </c>
      <c r="AB1889" s="1" t="n">
        <f aca="false">IF(AND($M1889=1,LEFT(对接源_02物料!$D689,4)="原料出库"),1,0)</f>
        <v>0</v>
      </c>
      <c r="AC1889" s="1" t="n">
        <f aca="false">N(AC1888)+$AB1889</f>
        <v>19</v>
      </c>
      <c r="AD1889" s="1" t="n">
        <f aca="false">IF(AND($M1889=1,LEFT(对接源_02物料!$D689,4)="成品出库"),1,0)</f>
        <v>0</v>
      </c>
      <c r="AE1889" s="1" t="n">
        <f aca="false">N(AE1888)+$AD1889</f>
        <v>38</v>
      </c>
      <c r="AF1889" s="1" t="n">
        <f aca="false">IF(AND($N1889=1,AND(LEFT(对接源_02物料!$D689,4)="包装物料",N(对接源_02物料!$K689)&lt;&gt;0)),1,0)</f>
        <v>0</v>
      </c>
      <c r="AG1889" s="1" t="n">
        <f aca="false">N(AG1888)+$AF1889</f>
        <v>6</v>
      </c>
      <c r="AH1889" s="1" t="n">
        <f aca="false">IF(AND($N1889=1,AND(LEFT(对接源_02物料!$D689,3)="周转筐",N(对接源_02物料!$K689)&lt;&gt;0)),1,0)</f>
        <v>0</v>
      </c>
      <c r="AI1889" s="1" t="n">
        <f aca="false">N(AI1888)+$AH1889</f>
        <v>0</v>
      </c>
      <c r="AJ1889" s="1" t="n">
        <v>0</v>
      </c>
      <c r="AK1889" s="1" t="n">
        <f aca="false">N(AK1888)+$AJ1889</f>
        <v>3672</v>
      </c>
    </row>
    <row r="1890" customFormat="false" ht="13.5" hidden="false" customHeight="false" outlineLevel="0" collapsed="false">
      <c r="A1890" s="1" t="str">
        <f aca="false">IF(对接源_02物料!$C690="","",对接源_02物料!$C690)</f>
        <v/>
      </c>
      <c r="B1890" s="1" t="n">
        <f aca="false">IF(A1890="",0,IF(MATCH(A1890,$A$4:$A$2403,0)=ROW()-3,1,0))</f>
        <v>0</v>
      </c>
      <c r="C1890" s="1" t="n">
        <f aca="false">N(C1889)+B1890</f>
        <v>17</v>
      </c>
      <c r="K1890" s="1" t="n">
        <f aca="false">IF(OR($K$1="",对接源_02物料!$C690="",对接源_02物料!$C690&lt;&gt;$K$1,对接源_02物料!$B690=""),0,IF(OR(N(对接源_02物料!$B690)&lt;$K$2,N(对接源_02物料!$B690)&gt;$K$3),0,1))</f>
        <v>0</v>
      </c>
      <c r="L1890" s="1" t="n">
        <f aca="false">IF(OR($L$1="",对接源_02物料!$C690="",对接源_02物料!$C690&lt;&gt;$L$1,对接源_02物料!$B690=""),0,IF(OR(N(对接源_02物料!$B690)&lt;$L$2,N(对接源_02物料!$B690)&gt;$L$3),0,1))</f>
        <v>0</v>
      </c>
      <c r="M1890" s="1" t="n">
        <f aca="false">IF(OR($M$1="",对接源_02物料!$C690="",对接源_02物料!$C690&lt;&gt;$M$1,对接源_02物料!$B690=""),0,IF(OR(N(对接源_02物料!$B690)&lt;$M$2,N(对接源_02物料!$B690)&gt;$M$3),0,1))</f>
        <v>0</v>
      </c>
      <c r="N1890" s="1" t="n">
        <f aca="false">IF(OR($N$1="",对接源_02物料!$C690="",对接源_02物料!$C690&lt;&gt;$N$1,对接源_02物料!$B690=""),0,IF(OR(N(对接源_02物料!$B690)&lt;$N$2,N(对接源_02物料!$B690)&gt;$N$3),0,1))</f>
        <v>0</v>
      </c>
      <c r="P1890" s="1" t="n">
        <f aca="false">IF(AND($K1890=1,AND(对接源_02物料!$X690="公司筐",N(对接源_02物料!$T690)&lt;&gt;0)),1,0)</f>
        <v>0</v>
      </c>
      <c r="Q1890" s="1" t="n">
        <f aca="false">N(Q1889)+$P1890</f>
        <v>13</v>
      </c>
      <c r="R1890" s="1" t="n">
        <f aca="false">IF(AND($K1890=1,AND(对接源_02物料!$X690="公司筐",N(对接源_02物料!$U690)&lt;&gt;0)),1,0)</f>
        <v>0</v>
      </c>
      <c r="S1890" s="1" t="n">
        <f aca="false">N(S1889)+$R1890</f>
        <v>5</v>
      </c>
      <c r="T1890" s="1" t="n">
        <f aca="false">IF(AND($K1890=1,AND(对接源_02物料!$X690="公司筐",N(对接源_02物料!$V690)&lt;&gt;0)),1,0)</f>
        <v>0</v>
      </c>
      <c r="U1890" s="1" t="n">
        <f aca="false">N(U1889)+$T1890</f>
        <v>28</v>
      </c>
      <c r="V1890" s="1" t="n">
        <f aca="false">IF(AND($L1890=1,AND(对接源_02物料!$X690="自备筐",N(对接源_02物料!$V690)&lt;&gt;0)),1,0)</f>
        <v>0</v>
      </c>
      <c r="W1890" s="1" t="n">
        <f aca="false">N(W1889)+$V1890</f>
        <v>7</v>
      </c>
      <c r="X1890" s="1" t="n">
        <f aca="false">IF(AND($L1890=1,AND(对接源_02物料!$X690="自备筐",N(对接源_02物料!$T690)&lt;&gt;0)),1,0)</f>
        <v>0</v>
      </c>
      <c r="Y1890" s="1" t="n">
        <f aca="false">N(Y1889)+$X1890</f>
        <v>0</v>
      </c>
      <c r="Z1890" s="1" t="n">
        <f aca="false">IF(AND($M1890=1,对接源_02物料!$D690="原料入库"),1,0)</f>
        <v>0</v>
      </c>
      <c r="AA1890" s="1" t="n">
        <f aca="false">N(AA1889)+$Z1890</f>
        <v>30</v>
      </c>
      <c r="AB1890" s="1" t="n">
        <f aca="false">IF(AND($M1890=1,LEFT(对接源_02物料!$D690,4)="原料出库"),1,0)</f>
        <v>0</v>
      </c>
      <c r="AC1890" s="1" t="n">
        <f aca="false">N(AC1889)+$AB1890</f>
        <v>19</v>
      </c>
      <c r="AD1890" s="1" t="n">
        <f aca="false">IF(AND($M1890=1,LEFT(对接源_02物料!$D690,4)="成品出库"),1,0)</f>
        <v>0</v>
      </c>
      <c r="AE1890" s="1" t="n">
        <f aca="false">N(AE1889)+$AD1890</f>
        <v>38</v>
      </c>
      <c r="AF1890" s="1" t="n">
        <f aca="false">IF(AND($N1890=1,AND(LEFT(对接源_02物料!$D690,4)="包装物料",N(对接源_02物料!$K690)&lt;&gt;0)),1,0)</f>
        <v>0</v>
      </c>
      <c r="AG1890" s="1" t="n">
        <f aca="false">N(AG1889)+$AF1890</f>
        <v>6</v>
      </c>
      <c r="AH1890" s="1" t="n">
        <f aca="false">IF(AND($N1890=1,AND(LEFT(对接源_02物料!$D690,3)="周转筐",N(对接源_02物料!$K690)&lt;&gt;0)),1,0)</f>
        <v>0</v>
      </c>
      <c r="AI1890" s="1" t="n">
        <f aca="false">N(AI1889)+$AH1890</f>
        <v>0</v>
      </c>
      <c r="AJ1890" s="1" t="n">
        <v>0</v>
      </c>
      <c r="AK1890" s="1" t="n">
        <f aca="false">N(AK1889)+$AJ1890</f>
        <v>3672</v>
      </c>
    </row>
    <row r="1891" customFormat="false" ht="13.5" hidden="false" customHeight="false" outlineLevel="0" collapsed="false">
      <c r="A1891" s="1" t="str">
        <f aca="false">IF(对接源_02物料!$C691="","",对接源_02物料!$C691)</f>
        <v/>
      </c>
      <c r="B1891" s="1" t="n">
        <f aca="false">IF(A1891="",0,IF(MATCH(A1891,$A$4:$A$2403,0)=ROW()-3,1,0))</f>
        <v>0</v>
      </c>
      <c r="C1891" s="1" t="n">
        <f aca="false">N(C1890)+B1891</f>
        <v>17</v>
      </c>
      <c r="K1891" s="1" t="n">
        <f aca="false">IF(OR($K$1="",对接源_02物料!$C691="",对接源_02物料!$C691&lt;&gt;$K$1,对接源_02物料!$B691=""),0,IF(OR(N(对接源_02物料!$B691)&lt;$K$2,N(对接源_02物料!$B691)&gt;$K$3),0,1))</f>
        <v>0</v>
      </c>
      <c r="L1891" s="1" t="n">
        <f aca="false">IF(OR($L$1="",对接源_02物料!$C691="",对接源_02物料!$C691&lt;&gt;$L$1,对接源_02物料!$B691=""),0,IF(OR(N(对接源_02物料!$B691)&lt;$L$2,N(对接源_02物料!$B691)&gt;$L$3),0,1))</f>
        <v>0</v>
      </c>
      <c r="M1891" s="1" t="n">
        <f aca="false">IF(OR($M$1="",对接源_02物料!$C691="",对接源_02物料!$C691&lt;&gt;$M$1,对接源_02物料!$B691=""),0,IF(OR(N(对接源_02物料!$B691)&lt;$M$2,N(对接源_02物料!$B691)&gt;$M$3),0,1))</f>
        <v>0</v>
      </c>
      <c r="N1891" s="1" t="n">
        <f aca="false">IF(OR($N$1="",对接源_02物料!$C691="",对接源_02物料!$C691&lt;&gt;$N$1,对接源_02物料!$B691=""),0,IF(OR(N(对接源_02物料!$B691)&lt;$N$2,N(对接源_02物料!$B691)&gt;$N$3),0,1))</f>
        <v>0</v>
      </c>
      <c r="P1891" s="1" t="n">
        <f aca="false">IF(AND($K1891=1,AND(对接源_02物料!$X691="公司筐",N(对接源_02物料!$T691)&lt;&gt;0)),1,0)</f>
        <v>0</v>
      </c>
      <c r="Q1891" s="1" t="n">
        <f aca="false">N(Q1890)+$P1891</f>
        <v>13</v>
      </c>
      <c r="R1891" s="1" t="n">
        <f aca="false">IF(AND($K1891=1,AND(对接源_02物料!$X691="公司筐",N(对接源_02物料!$U691)&lt;&gt;0)),1,0)</f>
        <v>0</v>
      </c>
      <c r="S1891" s="1" t="n">
        <f aca="false">N(S1890)+$R1891</f>
        <v>5</v>
      </c>
      <c r="T1891" s="1" t="n">
        <f aca="false">IF(AND($K1891=1,AND(对接源_02物料!$X691="公司筐",N(对接源_02物料!$V691)&lt;&gt;0)),1,0)</f>
        <v>0</v>
      </c>
      <c r="U1891" s="1" t="n">
        <f aca="false">N(U1890)+$T1891</f>
        <v>28</v>
      </c>
      <c r="V1891" s="1" t="n">
        <f aca="false">IF(AND($L1891=1,AND(对接源_02物料!$X691="自备筐",N(对接源_02物料!$V691)&lt;&gt;0)),1,0)</f>
        <v>0</v>
      </c>
      <c r="W1891" s="1" t="n">
        <f aca="false">N(W1890)+$V1891</f>
        <v>7</v>
      </c>
      <c r="X1891" s="1" t="n">
        <f aca="false">IF(AND($L1891=1,AND(对接源_02物料!$X691="自备筐",N(对接源_02物料!$T691)&lt;&gt;0)),1,0)</f>
        <v>0</v>
      </c>
      <c r="Y1891" s="1" t="n">
        <f aca="false">N(Y1890)+$X1891</f>
        <v>0</v>
      </c>
      <c r="Z1891" s="1" t="n">
        <f aca="false">IF(AND($M1891=1,对接源_02物料!$D691="原料入库"),1,0)</f>
        <v>0</v>
      </c>
      <c r="AA1891" s="1" t="n">
        <f aca="false">N(AA1890)+$Z1891</f>
        <v>30</v>
      </c>
      <c r="AB1891" s="1" t="n">
        <f aca="false">IF(AND($M1891=1,LEFT(对接源_02物料!$D691,4)="原料出库"),1,0)</f>
        <v>0</v>
      </c>
      <c r="AC1891" s="1" t="n">
        <f aca="false">N(AC1890)+$AB1891</f>
        <v>19</v>
      </c>
      <c r="AD1891" s="1" t="n">
        <f aca="false">IF(AND($M1891=1,LEFT(对接源_02物料!$D691,4)="成品出库"),1,0)</f>
        <v>0</v>
      </c>
      <c r="AE1891" s="1" t="n">
        <f aca="false">N(AE1890)+$AD1891</f>
        <v>38</v>
      </c>
      <c r="AF1891" s="1" t="n">
        <f aca="false">IF(AND($N1891=1,AND(LEFT(对接源_02物料!$D691,4)="包装物料",N(对接源_02物料!$K691)&lt;&gt;0)),1,0)</f>
        <v>0</v>
      </c>
      <c r="AG1891" s="1" t="n">
        <f aca="false">N(AG1890)+$AF1891</f>
        <v>6</v>
      </c>
      <c r="AH1891" s="1" t="n">
        <f aca="false">IF(AND($N1891=1,AND(LEFT(对接源_02物料!$D691,3)="周转筐",N(对接源_02物料!$K691)&lt;&gt;0)),1,0)</f>
        <v>0</v>
      </c>
      <c r="AI1891" s="1" t="n">
        <f aca="false">N(AI1890)+$AH1891</f>
        <v>0</v>
      </c>
      <c r="AJ1891" s="1" t="n">
        <v>0</v>
      </c>
      <c r="AK1891" s="1" t="n">
        <f aca="false">N(AK1890)+$AJ1891</f>
        <v>3672</v>
      </c>
    </row>
    <row r="1892" customFormat="false" ht="13.5" hidden="false" customHeight="false" outlineLevel="0" collapsed="false">
      <c r="A1892" s="1" t="str">
        <f aca="false">IF(对接源_02物料!$C692="","",对接源_02物料!$C692)</f>
        <v/>
      </c>
      <c r="B1892" s="1" t="n">
        <f aca="false">IF(A1892="",0,IF(MATCH(A1892,$A$4:$A$2403,0)=ROW()-3,1,0))</f>
        <v>0</v>
      </c>
      <c r="C1892" s="1" t="n">
        <f aca="false">N(C1891)+B1892</f>
        <v>17</v>
      </c>
      <c r="K1892" s="1" t="n">
        <f aca="false">IF(OR($K$1="",对接源_02物料!$C692="",对接源_02物料!$C692&lt;&gt;$K$1,对接源_02物料!$B692=""),0,IF(OR(N(对接源_02物料!$B692)&lt;$K$2,N(对接源_02物料!$B692)&gt;$K$3),0,1))</f>
        <v>0</v>
      </c>
      <c r="L1892" s="1" t="n">
        <f aca="false">IF(OR($L$1="",对接源_02物料!$C692="",对接源_02物料!$C692&lt;&gt;$L$1,对接源_02物料!$B692=""),0,IF(OR(N(对接源_02物料!$B692)&lt;$L$2,N(对接源_02物料!$B692)&gt;$L$3),0,1))</f>
        <v>0</v>
      </c>
      <c r="M1892" s="1" t="n">
        <f aca="false">IF(OR($M$1="",对接源_02物料!$C692="",对接源_02物料!$C692&lt;&gt;$M$1,对接源_02物料!$B692=""),0,IF(OR(N(对接源_02物料!$B692)&lt;$M$2,N(对接源_02物料!$B692)&gt;$M$3),0,1))</f>
        <v>0</v>
      </c>
      <c r="N1892" s="1" t="n">
        <f aca="false">IF(OR($N$1="",对接源_02物料!$C692="",对接源_02物料!$C692&lt;&gt;$N$1,对接源_02物料!$B692=""),0,IF(OR(N(对接源_02物料!$B692)&lt;$N$2,N(对接源_02物料!$B692)&gt;$N$3),0,1))</f>
        <v>0</v>
      </c>
      <c r="P1892" s="1" t="n">
        <f aca="false">IF(AND($K1892=1,AND(对接源_02物料!$X692="公司筐",N(对接源_02物料!$T692)&lt;&gt;0)),1,0)</f>
        <v>0</v>
      </c>
      <c r="Q1892" s="1" t="n">
        <f aca="false">N(Q1891)+$P1892</f>
        <v>13</v>
      </c>
      <c r="R1892" s="1" t="n">
        <f aca="false">IF(AND($K1892=1,AND(对接源_02物料!$X692="公司筐",N(对接源_02物料!$U692)&lt;&gt;0)),1,0)</f>
        <v>0</v>
      </c>
      <c r="S1892" s="1" t="n">
        <f aca="false">N(S1891)+$R1892</f>
        <v>5</v>
      </c>
      <c r="T1892" s="1" t="n">
        <f aca="false">IF(AND($K1892=1,AND(对接源_02物料!$X692="公司筐",N(对接源_02物料!$V692)&lt;&gt;0)),1,0)</f>
        <v>0</v>
      </c>
      <c r="U1892" s="1" t="n">
        <f aca="false">N(U1891)+$T1892</f>
        <v>28</v>
      </c>
      <c r="V1892" s="1" t="n">
        <f aca="false">IF(AND($L1892=1,AND(对接源_02物料!$X692="自备筐",N(对接源_02物料!$V692)&lt;&gt;0)),1,0)</f>
        <v>0</v>
      </c>
      <c r="W1892" s="1" t="n">
        <f aca="false">N(W1891)+$V1892</f>
        <v>7</v>
      </c>
      <c r="X1892" s="1" t="n">
        <f aca="false">IF(AND($L1892=1,AND(对接源_02物料!$X692="自备筐",N(对接源_02物料!$T692)&lt;&gt;0)),1,0)</f>
        <v>0</v>
      </c>
      <c r="Y1892" s="1" t="n">
        <f aca="false">N(Y1891)+$X1892</f>
        <v>0</v>
      </c>
      <c r="Z1892" s="1" t="n">
        <f aca="false">IF(AND($M1892=1,对接源_02物料!$D692="原料入库"),1,0)</f>
        <v>0</v>
      </c>
      <c r="AA1892" s="1" t="n">
        <f aca="false">N(AA1891)+$Z1892</f>
        <v>30</v>
      </c>
      <c r="AB1892" s="1" t="n">
        <f aca="false">IF(AND($M1892=1,LEFT(对接源_02物料!$D692,4)="原料出库"),1,0)</f>
        <v>0</v>
      </c>
      <c r="AC1892" s="1" t="n">
        <f aca="false">N(AC1891)+$AB1892</f>
        <v>19</v>
      </c>
      <c r="AD1892" s="1" t="n">
        <f aca="false">IF(AND($M1892=1,LEFT(对接源_02物料!$D692,4)="成品出库"),1,0)</f>
        <v>0</v>
      </c>
      <c r="AE1892" s="1" t="n">
        <f aca="false">N(AE1891)+$AD1892</f>
        <v>38</v>
      </c>
      <c r="AF1892" s="1" t="n">
        <f aca="false">IF(AND($N1892=1,AND(LEFT(对接源_02物料!$D692,4)="包装物料",N(对接源_02物料!$K692)&lt;&gt;0)),1,0)</f>
        <v>0</v>
      </c>
      <c r="AG1892" s="1" t="n">
        <f aca="false">N(AG1891)+$AF1892</f>
        <v>6</v>
      </c>
      <c r="AH1892" s="1" t="n">
        <f aca="false">IF(AND($N1892=1,AND(LEFT(对接源_02物料!$D692,3)="周转筐",N(对接源_02物料!$K692)&lt;&gt;0)),1,0)</f>
        <v>0</v>
      </c>
      <c r="AI1892" s="1" t="n">
        <f aca="false">N(AI1891)+$AH1892</f>
        <v>0</v>
      </c>
      <c r="AJ1892" s="1" t="n">
        <v>0</v>
      </c>
      <c r="AK1892" s="1" t="n">
        <f aca="false">N(AK1891)+$AJ1892</f>
        <v>3672</v>
      </c>
    </row>
    <row r="1893" customFormat="false" ht="13.5" hidden="false" customHeight="false" outlineLevel="0" collapsed="false">
      <c r="A1893" s="1" t="str">
        <f aca="false">IF(对接源_02物料!$C693="","",对接源_02物料!$C693)</f>
        <v/>
      </c>
      <c r="B1893" s="1" t="n">
        <f aca="false">IF(A1893="",0,IF(MATCH(A1893,$A$4:$A$2403,0)=ROW()-3,1,0))</f>
        <v>0</v>
      </c>
      <c r="C1893" s="1" t="n">
        <f aca="false">N(C1892)+B1893</f>
        <v>17</v>
      </c>
      <c r="K1893" s="1" t="n">
        <f aca="false">IF(OR($K$1="",对接源_02物料!$C693="",对接源_02物料!$C693&lt;&gt;$K$1,对接源_02物料!$B693=""),0,IF(OR(N(对接源_02物料!$B693)&lt;$K$2,N(对接源_02物料!$B693)&gt;$K$3),0,1))</f>
        <v>0</v>
      </c>
      <c r="L1893" s="1" t="n">
        <f aca="false">IF(OR($L$1="",对接源_02物料!$C693="",对接源_02物料!$C693&lt;&gt;$L$1,对接源_02物料!$B693=""),0,IF(OR(N(对接源_02物料!$B693)&lt;$L$2,N(对接源_02物料!$B693)&gt;$L$3),0,1))</f>
        <v>0</v>
      </c>
      <c r="M1893" s="1" t="n">
        <f aca="false">IF(OR($M$1="",对接源_02物料!$C693="",对接源_02物料!$C693&lt;&gt;$M$1,对接源_02物料!$B693=""),0,IF(OR(N(对接源_02物料!$B693)&lt;$M$2,N(对接源_02物料!$B693)&gt;$M$3),0,1))</f>
        <v>0</v>
      </c>
      <c r="N1893" s="1" t="n">
        <f aca="false">IF(OR($N$1="",对接源_02物料!$C693="",对接源_02物料!$C693&lt;&gt;$N$1,对接源_02物料!$B693=""),0,IF(OR(N(对接源_02物料!$B693)&lt;$N$2,N(对接源_02物料!$B693)&gt;$N$3),0,1))</f>
        <v>0</v>
      </c>
      <c r="P1893" s="1" t="n">
        <f aca="false">IF(AND($K1893=1,AND(对接源_02物料!$X693="公司筐",N(对接源_02物料!$T693)&lt;&gt;0)),1,0)</f>
        <v>0</v>
      </c>
      <c r="Q1893" s="1" t="n">
        <f aca="false">N(Q1892)+$P1893</f>
        <v>13</v>
      </c>
      <c r="R1893" s="1" t="n">
        <f aca="false">IF(AND($K1893=1,AND(对接源_02物料!$X693="公司筐",N(对接源_02物料!$U693)&lt;&gt;0)),1,0)</f>
        <v>0</v>
      </c>
      <c r="S1893" s="1" t="n">
        <f aca="false">N(S1892)+$R1893</f>
        <v>5</v>
      </c>
      <c r="T1893" s="1" t="n">
        <f aca="false">IF(AND($K1893=1,AND(对接源_02物料!$X693="公司筐",N(对接源_02物料!$V693)&lt;&gt;0)),1,0)</f>
        <v>0</v>
      </c>
      <c r="U1893" s="1" t="n">
        <f aca="false">N(U1892)+$T1893</f>
        <v>28</v>
      </c>
      <c r="V1893" s="1" t="n">
        <f aca="false">IF(AND($L1893=1,AND(对接源_02物料!$X693="自备筐",N(对接源_02物料!$V693)&lt;&gt;0)),1,0)</f>
        <v>0</v>
      </c>
      <c r="W1893" s="1" t="n">
        <f aca="false">N(W1892)+$V1893</f>
        <v>7</v>
      </c>
      <c r="X1893" s="1" t="n">
        <f aca="false">IF(AND($L1893=1,AND(对接源_02物料!$X693="自备筐",N(对接源_02物料!$T693)&lt;&gt;0)),1,0)</f>
        <v>0</v>
      </c>
      <c r="Y1893" s="1" t="n">
        <f aca="false">N(Y1892)+$X1893</f>
        <v>0</v>
      </c>
      <c r="Z1893" s="1" t="n">
        <f aca="false">IF(AND($M1893=1,对接源_02物料!$D693="原料入库"),1,0)</f>
        <v>0</v>
      </c>
      <c r="AA1893" s="1" t="n">
        <f aca="false">N(AA1892)+$Z1893</f>
        <v>30</v>
      </c>
      <c r="AB1893" s="1" t="n">
        <f aca="false">IF(AND($M1893=1,LEFT(对接源_02物料!$D693,4)="原料出库"),1,0)</f>
        <v>0</v>
      </c>
      <c r="AC1893" s="1" t="n">
        <f aca="false">N(AC1892)+$AB1893</f>
        <v>19</v>
      </c>
      <c r="AD1893" s="1" t="n">
        <f aca="false">IF(AND($M1893=1,LEFT(对接源_02物料!$D693,4)="成品出库"),1,0)</f>
        <v>0</v>
      </c>
      <c r="AE1893" s="1" t="n">
        <f aca="false">N(AE1892)+$AD1893</f>
        <v>38</v>
      </c>
      <c r="AF1893" s="1" t="n">
        <f aca="false">IF(AND($N1893=1,AND(LEFT(对接源_02物料!$D693,4)="包装物料",N(对接源_02物料!$K693)&lt;&gt;0)),1,0)</f>
        <v>0</v>
      </c>
      <c r="AG1893" s="1" t="n">
        <f aca="false">N(AG1892)+$AF1893</f>
        <v>6</v>
      </c>
      <c r="AH1893" s="1" t="n">
        <f aca="false">IF(AND($N1893=1,AND(LEFT(对接源_02物料!$D693,3)="周转筐",N(对接源_02物料!$K693)&lt;&gt;0)),1,0)</f>
        <v>0</v>
      </c>
      <c r="AI1893" s="1" t="n">
        <f aca="false">N(AI1892)+$AH1893</f>
        <v>0</v>
      </c>
      <c r="AJ1893" s="1" t="n">
        <v>0</v>
      </c>
      <c r="AK1893" s="1" t="n">
        <f aca="false">N(AK1892)+$AJ1893</f>
        <v>3672</v>
      </c>
    </row>
    <row r="1894" customFormat="false" ht="13.5" hidden="false" customHeight="false" outlineLevel="0" collapsed="false">
      <c r="A1894" s="1" t="str">
        <f aca="false">IF(对接源_02物料!$C694="","",对接源_02物料!$C694)</f>
        <v/>
      </c>
      <c r="B1894" s="1" t="n">
        <f aca="false">IF(A1894="",0,IF(MATCH(A1894,$A$4:$A$2403,0)=ROW()-3,1,0))</f>
        <v>0</v>
      </c>
      <c r="C1894" s="1" t="n">
        <f aca="false">N(C1893)+B1894</f>
        <v>17</v>
      </c>
      <c r="K1894" s="1" t="n">
        <f aca="false">IF(OR($K$1="",对接源_02物料!$C694="",对接源_02物料!$C694&lt;&gt;$K$1,对接源_02物料!$B694=""),0,IF(OR(N(对接源_02物料!$B694)&lt;$K$2,N(对接源_02物料!$B694)&gt;$K$3),0,1))</f>
        <v>0</v>
      </c>
      <c r="L1894" s="1" t="n">
        <f aca="false">IF(OR($L$1="",对接源_02物料!$C694="",对接源_02物料!$C694&lt;&gt;$L$1,对接源_02物料!$B694=""),0,IF(OR(N(对接源_02物料!$B694)&lt;$L$2,N(对接源_02物料!$B694)&gt;$L$3),0,1))</f>
        <v>0</v>
      </c>
      <c r="M1894" s="1" t="n">
        <f aca="false">IF(OR($M$1="",对接源_02物料!$C694="",对接源_02物料!$C694&lt;&gt;$M$1,对接源_02物料!$B694=""),0,IF(OR(N(对接源_02物料!$B694)&lt;$M$2,N(对接源_02物料!$B694)&gt;$M$3),0,1))</f>
        <v>0</v>
      </c>
      <c r="N1894" s="1" t="n">
        <f aca="false">IF(OR($N$1="",对接源_02物料!$C694="",对接源_02物料!$C694&lt;&gt;$N$1,对接源_02物料!$B694=""),0,IF(OR(N(对接源_02物料!$B694)&lt;$N$2,N(对接源_02物料!$B694)&gt;$N$3),0,1))</f>
        <v>0</v>
      </c>
      <c r="P1894" s="1" t="n">
        <f aca="false">IF(AND($K1894=1,AND(对接源_02物料!$X694="公司筐",N(对接源_02物料!$T694)&lt;&gt;0)),1,0)</f>
        <v>0</v>
      </c>
      <c r="Q1894" s="1" t="n">
        <f aca="false">N(Q1893)+$P1894</f>
        <v>13</v>
      </c>
      <c r="R1894" s="1" t="n">
        <f aca="false">IF(AND($K1894=1,AND(对接源_02物料!$X694="公司筐",N(对接源_02物料!$U694)&lt;&gt;0)),1,0)</f>
        <v>0</v>
      </c>
      <c r="S1894" s="1" t="n">
        <f aca="false">N(S1893)+$R1894</f>
        <v>5</v>
      </c>
      <c r="T1894" s="1" t="n">
        <f aca="false">IF(AND($K1894=1,AND(对接源_02物料!$X694="公司筐",N(对接源_02物料!$V694)&lt;&gt;0)),1,0)</f>
        <v>0</v>
      </c>
      <c r="U1894" s="1" t="n">
        <f aca="false">N(U1893)+$T1894</f>
        <v>28</v>
      </c>
      <c r="V1894" s="1" t="n">
        <f aca="false">IF(AND($L1894=1,AND(对接源_02物料!$X694="自备筐",N(对接源_02物料!$V694)&lt;&gt;0)),1,0)</f>
        <v>0</v>
      </c>
      <c r="W1894" s="1" t="n">
        <f aca="false">N(W1893)+$V1894</f>
        <v>7</v>
      </c>
      <c r="X1894" s="1" t="n">
        <f aca="false">IF(AND($L1894=1,AND(对接源_02物料!$X694="自备筐",N(对接源_02物料!$T694)&lt;&gt;0)),1,0)</f>
        <v>0</v>
      </c>
      <c r="Y1894" s="1" t="n">
        <f aca="false">N(Y1893)+$X1894</f>
        <v>0</v>
      </c>
      <c r="Z1894" s="1" t="n">
        <f aca="false">IF(AND($M1894=1,对接源_02物料!$D694="原料入库"),1,0)</f>
        <v>0</v>
      </c>
      <c r="AA1894" s="1" t="n">
        <f aca="false">N(AA1893)+$Z1894</f>
        <v>30</v>
      </c>
      <c r="AB1894" s="1" t="n">
        <f aca="false">IF(AND($M1894=1,LEFT(对接源_02物料!$D694,4)="原料出库"),1,0)</f>
        <v>0</v>
      </c>
      <c r="AC1894" s="1" t="n">
        <f aca="false">N(AC1893)+$AB1894</f>
        <v>19</v>
      </c>
      <c r="AD1894" s="1" t="n">
        <f aca="false">IF(AND($M1894=1,LEFT(对接源_02物料!$D694,4)="成品出库"),1,0)</f>
        <v>0</v>
      </c>
      <c r="AE1894" s="1" t="n">
        <f aca="false">N(AE1893)+$AD1894</f>
        <v>38</v>
      </c>
      <c r="AF1894" s="1" t="n">
        <f aca="false">IF(AND($N1894=1,AND(LEFT(对接源_02物料!$D694,4)="包装物料",N(对接源_02物料!$K694)&lt;&gt;0)),1,0)</f>
        <v>0</v>
      </c>
      <c r="AG1894" s="1" t="n">
        <f aca="false">N(AG1893)+$AF1894</f>
        <v>6</v>
      </c>
      <c r="AH1894" s="1" t="n">
        <f aca="false">IF(AND($N1894=1,AND(LEFT(对接源_02物料!$D694,3)="周转筐",N(对接源_02物料!$K694)&lt;&gt;0)),1,0)</f>
        <v>0</v>
      </c>
      <c r="AI1894" s="1" t="n">
        <f aca="false">N(AI1893)+$AH1894</f>
        <v>0</v>
      </c>
      <c r="AJ1894" s="1" t="n">
        <v>0</v>
      </c>
      <c r="AK1894" s="1" t="n">
        <f aca="false">N(AK1893)+$AJ1894</f>
        <v>3672</v>
      </c>
    </row>
    <row r="1895" customFormat="false" ht="13.5" hidden="false" customHeight="false" outlineLevel="0" collapsed="false">
      <c r="A1895" s="1" t="str">
        <f aca="false">IF(对接源_02物料!$C695="","",对接源_02物料!$C695)</f>
        <v/>
      </c>
      <c r="B1895" s="1" t="n">
        <f aca="false">IF(A1895="",0,IF(MATCH(A1895,$A$4:$A$2403,0)=ROW()-3,1,0))</f>
        <v>0</v>
      </c>
      <c r="C1895" s="1" t="n">
        <f aca="false">N(C1894)+B1895</f>
        <v>17</v>
      </c>
      <c r="K1895" s="1" t="n">
        <f aca="false">IF(OR($K$1="",对接源_02物料!$C695="",对接源_02物料!$C695&lt;&gt;$K$1,对接源_02物料!$B695=""),0,IF(OR(N(对接源_02物料!$B695)&lt;$K$2,N(对接源_02物料!$B695)&gt;$K$3),0,1))</f>
        <v>0</v>
      </c>
      <c r="L1895" s="1" t="n">
        <f aca="false">IF(OR($L$1="",对接源_02物料!$C695="",对接源_02物料!$C695&lt;&gt;$L$1,对接源_02物料!$B695=""),0,IF(OR(N(对接源_02物料!$B695)&lt;$L$2,N(对接源_02物料!$B695)&gt;$L$3),0,1))</f>
        <v>0</v>
      </c>
      <c r="M1895" s="1" t="n">
        <f aca="false">IF(OR($M$1="",对接源_02物料!$C695="",对接源_02物料!$C695&lt;&gt;$M$1,对接源_02物料!$B695=""),0,IF(OR(N(对接源_02物料!$B695)&lt;$M$2,N(对接源_02物料!$B695)&gt;$M$3),0,1))</f>
        <v>0</v>
      </c>
      <c r="N1895" s="1" t="n">
        <f aca="false">IF(OR($N$1="",对接源_02物料!$C695="",对接源_02物料!$C695&lt;&gt;$N$1,对接源_02物料!$B695=""),0,IF(OR(N(对接源_02物料!$B695)&lt;$N$2,N(对接源_02物料!$B695)&gt;$N$3),0,1))</f>
        <v>0</v>
      </c>
      <c r="P1895" s="1" t="n">
        <f aca="false">IF(AND($K1895=1,AND(对接源_02物料!$X695="公司筐",N(对接源_02物料!$T695)&lt;&gt;0)),1,0)</f>
        <v>0</v>
      </c>
      <c r="Q1895" s="1" t="n">
        <f aca="false">N(Q1894)+$P1895</f>
        <v>13</v>
      </c>
      <c r="R1895" s="1" t="n">
        <f aca="false">IF(AND($K1895=1,AND(对接源_02物料!$X695="公司筐",N(对接源_02物料!$U695)&lt;&gt;0)),1,0)</f>
        <v>0</v>
      </c>
      <c r="S1895" s="1" t="n">
        <f aca="false">N(S1894)+$R1895</f>
        <v>5</v>
      </c>
      <c r="T1895" s="1" t="n">
        <f aca="false">IF(AND($K1895=1,AND(对接源_02物料!$X695="公司筐",N(对接源_02物料!$V695)&lt;&gt;0)),1,0)</f>
        <v>0</v>
      </c>
      <c r="U1895" s="1" t="n">
        <f aca="false">N(U1894)+$T1895</f>
        <v>28</v>
      </c>
      <c r="V1895" s="1" t="n">
        <f aca="false">IF(AND($L1895=1,AND(对接源_02物料!$X695="自备筐",N(对接源_02物料!$V695)&lt;&gt;0)),1,0)</f>
        <v>0</v>
      </c>
      <c r="W1895" s="1" t="n">
        <f aca="false">N(W1894)+$V1895</f>
        <v>7</v>
      </c>
      <c r="X1895" s="1" t="n">
        <f aca="false">IF(AND($L1895=1,AND(对接源_02物料!$X695="自备筐",N(对接源_02物料!$T695)&lt;&gt;0)),1,0)</f>
        <v>0</v>
      </c>
      <c r="Y1895" s="1" t="n">
        <f aca="false">N(Y1894)+$X1895</f>
        <v>0</v>
      </c>
      <c r="Z1895" s="1" t="n">
        <f aca="false">IF(AND($M1895=1,对接源_02物料!$D695="原料入库"),1,0)</f>
        <v>0</v>
      </c>
      <c r="AA1895" s="1" t="n">
        <f aca="false">N(AA1894)+$Z1895</f>
        <v>30</v>
      </c>
      <c r="AB1895" s="1" t="n">
        <f aca="false">IF(AND($M1895=1,LEFT(对接源_02物料!$D695,4)="原料出库"),1,0)</f>
        <v>0</v>
      </c>
      <c r="AC1895" s="1" t="n">
        <f aca="false">N(AC1894)+$AB1895</f>
        <v>19</v>
      </c>
      <c r="AD1895" s="1" t="n">
        <f aca="false">IF(AND($M1895=1,LEFT(对接源_02物料!$D695,4)="成品出库"),1,0)</f>
        <v>0</v>
      </c>
      <c r="AE1895" s="1" t="n">
        <f aca="false">N(AE1894)+$AD1895</f>
        <v>38</v>
      </c>
      <c r="AF1895" s="1" t="n">
        <f aca="false">IF(AND($N1895=1,AND(LEFT(对接源_02物料!$D695,4)="包装物料",N(对接源_02物料!$K695)&lt;&gt;0)),1,0)</f>
        <v>0</v>
      </c>
      <c r="AG1895" s="1" t="n">
        <f aca="false">N(AG1894)+$AF1895</f>
        <v>6</v>
      </c>
      <c r="AH1895" s="1" t="n">
        <f aca="false">IF(AND($N1895=1,AND(LEFT(对接源_02物料!$D695,3)="周转筐",N(对接源_02物料!$K695)&lt;&gt;0)),1,0)</f>
        <v>0</v>
      </c>
      <c r="AI1895" s="1" t="n">
        <f aca="false">N(AI1894)+$AH1895</f>
        <v>0</v>
      </c>
      <c r="AJ1895" s="1" t="n">
        <v>0</v>
      </c>
      <c r="AK1895" s="1" t="n">
        <f aca="false">N(AK1894)+$AJ1895</f>
        <v>3672</v>
      </c>
    </row>
    <row r="1896" customFormat="false" ht="13.5" hidden="false" customHeight="false" outlineLevel="0" collapsed="false">
      <c r="A1896" s="1" t="str">
        <f aca="false">IF(对接源_02物料!$C696="","",对接源_02物料!$C696)</f>
        <v/>
      </c>
      <c r="B1896" s="1" t="n">
        <f aca="false">IF(A1896="",0,IF(MATCH(A1896,$A$4:$A$2403,0)=ROW()-3,1,0))</f>
        <v>0</v>
      </c>
      <c r="C1896" s="1" t="n">
        <f aca="false">N(C1895)+B1896</f>
        <v>17</v>
      </c>
      <c r="K1896" s="1" t="n">
        <f aca="false">IF(OR($K$1="",对接源_02物料!$C696="",对接源_02物料!$C696&lt;&gt;$K$1,对接源_02物料!$B696=""),0,IF(OR(N(对接源_02物料!$B696)&lt;$K$2,N(对接源_02物料!$B696)&gt;$K$3),0,1))</f>
        <v>0</v>
      </c>
      <c r="L1896" s="1" t="n">
        <f aca="false">IF(OR($L$1="",对接源_02物料!$C696="",对接源_02物料!$C696&lt;&gt;$L$1,对接源_02物料!$B696=""),0,IF(OR(N(对接源_02物料!$B696)&lt;$L$2,N(对接源_02物料!$B696)&gt;$L$3),0,1))</f>
        <v>0</v>
      </c>
      <c r="M1896" s="1" t="n">
        <f aca="false">IF(OR($M$1="",对接源_02物料!$C696="",对接源_02物料!$C696&lt;&gt;$M$1,对接源_02物料!$B696=""),0,IF(OR(N(对接源_02物料!$B696)&lt;$M$2,N(对接源_02物料!$B696)&gt;$M$3),0,1))</f>
        <v>0</v>
      </c>
      <c r="N1896" s="1" t="n">
        <f aca="false">IF(OR($N$1="",对接源_02物料!$C696="",对接源_02物料!$C696&lt;&gt;$N$1,对接源_02物料!$B696=""),0,IF(OR(N(对接源_02物料!$B696)&lt;$N$2,N(对接源_02物料!$B696)&gt;$N$3),0,1))</f>
        <v>0</v>
      </c>
      <c r="P1896" s="1" t="n">
        <f aca="false">IF(AND($K1896=1,AND(对接源_02物料!$X696="公司筐",N(对接源_02物料!$T696)&lt;&gt;0)),1,0)</f>
        <v>0</v>
      </c>
      <c r="Q1896" s="1" t="n">
        <f aca="false">N(Q1895)+$P1896</f>
        <v>13</v>
      </c>
      <c r="R1896" s="1" t="n">
        <f aca="false">IF(AND($K1896=1,AND(对接源_02物料!$X696="公司筐",N(对接源_02物料!$U696)&lt;&gt;0)),1,0)</f>
        <v>0</v>
      </c>
      <c r="S1896" s="1" t="n">
        <f aca="false">N(S1895)+$R1896</f>
        <v>5</v>
      </c>
      <c r="T1896" s="1" t="n">
        <f aca="false">IF(AND($K1896=1,AND(对接源_02物料!$X696="公司筐",N(对接源_02物料!$V696)&lt;&gt;0)),1,0)</f>
        <v>0</v>
      </c>
      <c r="U1896" s="1" t="n">
        <f aca="false">N(U1895)+$T1896</f>
        <v>28</v>
      </c>
      <c r="V1896" s="1" t="n">
        <f aca="false">IF(AND($L1896=1,AND(对接源_02物料!$X696="自备筐",N(对接源_02物料!$V696)&lt;&gt;0)),1,0)</f>
        <v>0</v>
      </c>
      <c r="W1896" s="1" t="n">
        <f aca="false">N(W1895)+$V1896</f>
        <v>7</v>
      </c>
      <c r="X1896" s="1" t="n">
        <f aca="false">IF(AND($L1896=1,AND(对接源_02物料!$X696="自备筐",N(对接源_02物料!$T696)&lt;&gt;0)),1,0)</f>
        <v>0</v>
      </c>
      <c r="Y1896" s="1" t="n">
        <f aca="false">N(Y1895)+$X1896</f>
        <v>0</v>
      </c>
      <c r="Z1896" s="1" t="n">
        <f aca="false">IF(AND($M1896=1,对接源_02物料!$D696="原料入库"),1,0)</f>
        <v>0</v>
      </c>
      <c r="AA1896" s="1" t="n">
        <f aca="false">N(AA1895)+$Z1896</f>
        <v>30</v>
      </c>
      <c r="AB1896" s="1" t="n">
        <f aca="false">IF(AND($M1896=1,LEFT(对接源_02物料!$D696,4)="原料出库"),1,0)</f>
        <v>0</v>
      </c>
      <c r="AC1896" s="1" t="n">
        <f aca="false">N(AC1895)+$AB1896</f>
        <v>19</v>
      </c>
      <c r="AD1896" s="1" t="n">
        <f aca="false">IF(AND($M1896=1,LEFT(对接源_02物料!$D696,4)="成品出库"),1,0)</f>
        <v>0</v>
      </c>
      <c r="AE1896" s="1" t="n">
        <f aca="false">N(AE1895)+$AD1896</f>
        <v>38</v>
      </c>
      <c r="AF1896" s="1" t="n">
        <f aca="false">IF(AND($N1896=1,AND(LEFT(对接源_02物料!$D696,4)="包装物料",N(对接源_02物料!$K696)&lt;&gt;0)),1,0)</f>
        <v>0</v>
      </c>
      <c r="AG1896" s="1" t="n">
        <f aca="false">N(AG1895)+$AF1896</f>
        <v>6</v>
      </c>
      <c r="AH1896" s="1" t="n">
        <f aca="false">IF(AND($N1896=1,AND(LEFT(对接源_02物料!$D696,3)="周转筐",N(对接源_02物料!$K696)&lt;&gt;0)),1,0)</f>
        <v>0</v>
      </c>
      <c r="AI1896" s="1" t="n">
        <f aca="false">N(AI1895)+$AH1896</f>
        <v>0</v>
      </c>
      <c r="AJ1896" s="1" t="n">
        <v>0</v>
      </c>
      <c r="AK1896" s="1" t="n">
        <f aca="false">N(AK1895)+$AJ1896</f>
        <v>3672</v>
      </c>
    </row>
    <row r="1897" customFormat="false" ht="13.5" hidden="false" customHeight="false" outlineLevel="0" collapsed="false">
      <c r="A1897" s="1" t="str">
        <f aca="false">IF(对接源_02物料!$C697="","",对接源_02物料!$C697)</f>
        <v/>
      </c>
      <c r="B1897" s="1" t="n">
        <f aca="false">IF(A1897="",0,IF(MATCH(A1897,$A$4:$A$2403,0)=ROW()-3,1,0))</f>
        <v>0</v>
      </c>
      <c r="C1897" s="1" t="n">
        <f aca="false">N(C1896)+B1897</f>
        <v>17</v>
      </c>
      <c r="K1897" s="1" t="n">
        <f aca="false">IF(OR($K$1="",对接源_02物料!$C697="",对接源_02物料!$C697&lt;&gt;$K$1,对接源_02物料!$B697=""),0,IF(OR(N(对接源_02物料!$B697)&lt;$K$2,N(对接源_02物料!$B697)&gt;$K$3),0,1))</f>
        <v>0</v>
      </c>
      <c r="L1897" s="1" t="n">
        <f aca="false">IF(OR($L$1="",对接源_02物料!$C697="",对接源_02物料!$C697&lt;&gt;$L$1,对接源_02物料!$B697=""),0,IF(OR(N(对接源_02物料!$B697)&lt;$L$2,N(对接源_02物料!$B697)&gt;$L$3),0,1))</f>
        <v>0</v>
      </c>
      <c r="M1897" s="1" t="n">
        <f aca="false">IF(OR($M$1="",对接源_02物料!$C697="",对接源_02物料!$C697&lt;&gt;$M$1,对接源_02物料!$B697=""),0,IF(OR(N(对接源_02物料!$B697)&lt;$M$2,N(对接源_02物料!$B697)&gt;$M$3),0,1))</f>
        <v>0</v>
      </c>
      <c r="N1897" s="1" t="n">
        <f aca="false">IF(OR($N$1="",对接源_02物料!$C697="",对接源_02物料!$C697&lt;&gt;$N$1,对接源_02物料!$B697=""),0,IF(OR(N(对接源_02物料!$B697)&lt;$N$2,N(对接源_02物料!$B697)&gt;$N$3),0,1))</f>
        <v>0</v>
      </c>
      <c r="P1897" s="1" t="n">
        <f aca="false">IF(AND($K1897=1,AND(对接源_02物料!$X697="公司筐",N(对接源_02物料!$T697)&lt;&gt;0)),1,0)</f>
        <v>0</v>
      </c>
      <c r="Q1897" s="1" t="n">
        <f aca="false">N(Q1896)+$P1897</f>
        <v>13</v>
      </c>
      <c r="R1897" s="1" t="n">
        <f aca="false">IF(AND($K1897=1,AND(对接源_02物料!$X697="公司筐",N(对接源_02物料!$U697)&lt;&gt;0)),1,0)</f>
        <v>0</v>
      </c>
      <c r="S1897" s="1" t="n">
        <f aca="false">N(S1896)+$R1897</f>
        <v>5</v>
      </c>
      <c r="T1897" s="1" t="n">
        <f aca="false">IF(AND($K1897=1,AND(对接源_02物料!$X697="公司筐",N(对接源_02物料!$V697)&lt;&gt;0)),1,0)</f>
        <v>0</v>
      </c>
      <c r="U1897" s="1" t="n">
        <f aca="false">N(U1896)+$T1897</f>
        <v>28</v>
      </c>
      <c r="V1897" s="1" t="n">
        <f aca="false">IF(AND($L1897=1,AND(对接源_02物料!$X697="自备筐",N(对接源_02物料!$V697)&lt;&gt;0)),1,0)</f>
        <v>0</v>
      </c>
      <c r="W1897" s="1" t="n">
        <f aca="false">N(W1896)+$V1897</f>
        <v>7</v>
      </c>
      <c r="X1897" s="1" t="n">
        <f aca="false">IF(AND($L1897=1,AND(对接源_02物料!$X697="自备筐",N(对接源_02物料!$T697)&lt;&gt;0)),1,0)</f>
        <v>0</v>
      </c>
      <c r="Y1897" s="1" t="n">
        <f aca="false">N(Y1896)+$X1897</f>
        <v>0</v>
      </c>
      <c r="Z1897" s="1" t="n">
        <f aca="false">IF(AND($M1897=1,对接源_02物料!$D697="原料入库"),1,0)</f>
        <v>0</v>
      </c>
      <c r="AA1897" s="1" t="n">
        <f aca="false">N(AA1896)+$Z1897</f>
        <v>30</v>
      </c>
      <c r="AB1897" s="1" t="n">
        <f aca="false">IF(AND($M1897=1,LEFT(对接源_02物料!$D697,4)="原料出库"),1,0)</f>
        <v>0</v>
      </c>
      <c r="AC1897" s="1" t="n">
        <f aca="false">N(AC1896)+$AB1897</f>
        <v>19</v>
      </c>
      <c r="AD1897" s="1" t="n">
        <f aca="false">IF(AND($M1897=1,LEFT(对接源_02物料!$D697,4)="成品出库"),1,0)</f>
        <v>0</v>
      </c>
      <c r="AE1897" s="1" t="n">
        <f aca="false">N(AE1896)+$AD1897</f>
        <v>38</v>
      </c>
      <c r="AF1897" s="1" t="n">
        <f aca="false">IF(AND($N1897=1,AND(LEFT(对接源_02物料!$D697,4)="包装物料",N(对接源_02物料!$K697)&lt;&gt;0)),1,0)</f>
        <v>0</v>
      </c>
      <c r="AG1897" s="1" t="n">
        <f aca="false">N(AG1896)+$AF1897</f>
        <v>6</v>
      </c>
      <c r="AH1897" s="1" t="n">
        <f aca="false">IF(AND($N1897=1,AND(LEFT(对接源_02物料!$D697,3)="周转筐",N(对接源_02物料!$K697)&lt;&gt;0)),1,0)</f>
        <v>0</v>
      </c>
      <c r="AI1897" s="1" t="n">
        <f aca="false">N(AI1896)+$AH1897</f>
        <v>0</v>
      </c>
      <c r="AJ1897" s="1" t="n">
        <v>0</v>
      </c>
      <c r="AK1897" s="1" t="n">
        <f aca="false">N(AK1896)+$AJ1897</f>
        <v>3672</v>
      </c>
    </row>
    <row r="1898" customFormat="false" ht="13.5" hidden="false" customHeight="false" outlineLevel="0" collapsed="false">
      <c r="A1898" s="1" t="str">
        <f aca="false">IF(对接源_02物料!$C698="","",对接源_02物料!$C698)</f>
        <v/>
      </c>
      <c r="B1898" s="1" t="n">
        <f aca="false">IF(A1898="",0,IF(MATCH(A1898,$A$4:$A$2403,0)=ROW()-3,1,0))</f>
        <v>0</v>
      </c>
      <c r="C1898" s="1" t="n">
        <f aca="false">N(C1897)+B1898</f>
        <v>17</v>
      </c>
      <c r="K1898" s="1" t="n">
        <f aca="false">IF(OR($K$1="",对接源_02物料!$C698="",对接源_02物料!$C698&lt;&gt;$K$1,对接源_02物料!$B698=""),0,IF(OR(N(对接源_02物料!$B698)&lt;$K$2,N(对接源_02物料!$B698)&gt;$K$3),0,1))</f>
        <v>0</v>
      </c>
      <c r="L1898" s="1" t="n">
        <f aca="false">IF(OR($L$1="",对接源_02物料!$C698="",对接源_02物料!$C698&lt;&gt;$L$1,对接源_02物料!$B698=""),0,IF(OR(N(对接源_02物料!$B698)&lt;$L$2,N(对接源_02物料!$B698)&gt;$L$3),0,1))</f>
        <v>0</v>
      </c>
      <c r="M1898" s="1" t="n">
        <f aca="false">IF(OR($M$1="",对接源_02物料!$C698="",对接源_02物料!$C698&lt;&gt;$M$1,对接源_02物料!$B698=""),0,IF(OR(N(对接源_02物料!$B698)&lt;$M$2,N(对接源_02物料!$B698)&gt;$M$3),0,1))</f>
        <v>0</v>
      </c>
      <c r="N1898" s="1" t="n">
        <f aca="false">IF(OR($N$1="",对接源_02物料!$C698="",对接源_02物料!$C698&lt;&gt;$N$1,对接源_02物料!$B698=""),0,IF(OR(N(对接源_02物料!$B698)&lt;$N$2,N(对接源_02物料!$B698)&gt;$N$3),0,1))</f>
        <v>0</v>
      </c>
      <c r="P1898" s="1" t="n">
        <f aca="false">IF(AND($K1898=1,AND(对接源_02物料!$X698="公司筐",N(对接源_02物料!$T698)&lt;&gt;0)),1,0)</f>
        <v>0</v>
      </c>
      <c r="Q1898" s="1" t="n">
        <f aca="false">N(Q1897)+$P1898</f>
        <v>13</v>
      </c>
      <c r="R1898" s="1" t="n">
        <f aca="false">IF(AND($K1898=1,AND(对接源_02物料!$X698="公司筐",N(对接源_02物料!$U698)&lt;&gt;0)),1,0)</f>
        <v>0</v>
      </c>
      <c r="S1898" s="1" t="n">
        <f aca="false">N(S1897)+$R1898</f>
        <v>5</v>
      </c>
      <c r="T1898" s="1" t="n">
        <f aca="false">IF(AND($K1898=1,AND(对接源_02物料!$X698="公司筐",N(对接源_02物料!$V698)&lt;&gt;0)),1,0)</f>
        <v>0</v>
      </c>
      <c r="U1898" s="1" t="n">
        <f aca="false">N(U1897)+$T1898</f>
        <v>28</v>
      </c>
      <c r="V1898" s="1" t="n">
        <f aca="false">IF(AND($L1898=1,AND(对接源_02物料!$X698="自备筐",N(对接源_02物料!$V698)&lt;&gt;0)),1,0)</f>
        <v>0</v>
      </c>
      <c r="W1898" s="1" t="n">
        <f aca="false">N(W1897)+$V1898</f>
        <v>7</v>
      </c>
      <c r="X1898" s="1" t="n">
        <f aca="false">IF(AND($L1898=1,AND(对接源_02物料!$X698="自备筐",N(对接源_02物料!$T698)&lt;&gt;0)),1,0)</f>
        <v>0</v>
      </c>
      <c r="Y1898" s="1" t="n">
        <f aca="false">N(Y1897)+$X1898</f>
        <v>0</v>
      </c>
      <c r="Z1898" s="1" t="n">
        <f aca="false">IF(AND($M1898=1,对接源_02物料!$D698="原料入库"),1,0)</f>
        <v>0</v>
      </c>
      <c r="AA1898" s="1" t="n">
        <f aca="false">N(AA1897)+$Z1898</f>
        <v>30</v>
      </c>
      <c r="AB1898" s="1" t="n">
        <f aca="false">IF(AND($M1898=1,LEFT(对接源_02物料!$D698,4)="原料出库"),1,0)</f>
        <v>0</v>
      </c>
      <c r="AC1898" s="1" t="n">
        <f aca="false">N(AC1897)+$AB1898</f>
        <v>19</v>
      </c>
      <c r="AD1898" s="1" t="n">
        <f aca="false">IF(AND($M1898=1,LEFT(对接源_02物料!$D698,4)="成品出库"),1,0)</f>
        <v>0</v>
      </c>
      <c r="AE1898" s="1" t="n">
        <f aca="false">N(AE1897)+$AD1898</f>
        <v>38</v>
      </c>
      <c r="AF1898" s="1" t="n">
        <f aca="false">IF(AND($N1898=1,AND(LEFT(对接源_02物料!$D698,4)="包装物料",N(对接源_02物料!$K698)&lt;&gt;0)),1,0)</f>
        <v>0</v>
      </c>
      <c r="AG1898" s="1" t="n">
        <f aca="false">N(AG1897)+$AF1898</f>
        <v>6</v>
      </c>
      <c r="AH1898" s="1" t="n">
        <f aca="false">IF(AND($N1898=1,AND(LEFT(对接源_02物料!$D698,3)="周转筐",N(对接源_02物料!$K698)&lt;&gt;0)),1,0)</f>
        <v>0</v>
      </c>
      <c r="AI1898" s="1" t="n">
        <f aca="false">N(AI1897)+$AH1898</f>
        <v>0</v>
      </c>
      <c r="AJ1898" s="1" t="n">
        <v>0</v>
      </c>
      <c r="AK1898" s="1" t="n">
        <f aca="false">N(AK1897)+$AJ1898</f>
        <v>3672</v>
      </c>
    </row>
    <row r="1899" customFormat="false" ht="13.5" hidden="false" customHeight="false" outlineLevel="0" collapsed="false">
      <c r="A1899" s="1" t="str">
        <f aca="false">IF(对接源_02物料!$C699="","",对接源_02物料!$C699)</f>
        <v/>
      </c>
      <c r="B1899" s="1" t="n">
        <f aca="false">IF(A1899="",0,IF(MATCH(A1899,$A$4:$A$2403,0)=ROW()-3,1,0))</f>
        <v>0</v>
      </c>
      <c r="C1899" s="1" t="n">
        <f aca="false">N(C1898)+B1899</f>
        <v>17</v>
      </c>
      <c r="K1899" s="1" t="n">
        <f aca="false">IF(OR($K$1="",对接源_02物料!$C699="",对接源_02物料!$C699&lt;&gt;$K$1,对接源_02物料!$B699=""),0,IF(OR(N(对接源_02物料!$B699)&lt;$K$2,N(对接源_02物料!$B699)&gt;$K$3),0,1))</f>
        <v>0</v>
      </c>
      <c r="L1899" s="1" t="n">
        <f aca="false">IF(OR($L$1="",对接源_02物料!$C699="",对接源_02物料!$C699&lt;&gt;$L$1,对接源_02物料!$B699=""),0,IF(OR(N(对接源_02物料!$B699)&lt;$L$2,N(对接源_02物料!$B699)&gt;$L$3),0,1))</f>
        <v>0</v>
      </c>
      <c r="M1899" s="1" t="n">
        <f aca="false">IF(OR($M$1="",对接源_02物料!$C699="",对接源_02物料!$C699&lt;&gt;$M$1,对接源_02物料!$B699=""),0,IF(OR(N(对接源_02物料!$B699)&lt;$M$2,N(对接源_02物料!$B699)&gt;$M$3),0,1))</f>
        <v>0</v>
      </c>
      <c r="N1899" s="1" t="n">
        <f aca="false">IF(OR($N$1="",对接源_02物料!$C699="",对接源_02物料!$C699&lt;&gt;$N$1,对接源_02物料!$B699=""),0,IF(OR(N(对接源_02物料!$B699)&lt;$N$2,N(对接源_02物料!$B699)&gt;$N$3),0,1))</f>
        <v>0</v>
      </c>
      <c r="P1899" s="1" t="n">
        <f aca="false">IF(AND($K1899=1,AND(对接源_02物料!$X699="公司筐",N(对接源_02物料!$T699)&lt;&gt;0)),1,0)</f>
        <v>0</v>
      </c>
      <c r="Q1899" s="1" t="n">
        <f aca="false">N(Q1898)+$P1899</f>
        <v>13</v>
      </c>
      <c r="R1899" s="1" t="n">
        <f aca="false">IF(AND($K1899=1,AND(对接源_02物料!$X699="公司筐",N(对接源_02物料!$U699)&lt;&gt;0)),1,0)</f>
        <v>0</v>
      </c>
      <c r="S1899" s="1" t="n">
        <f aca="false">N(S1898)+$R1899</f>
        <v>5</v>
      </c>
      <c r="T1899" s="1" t="n">
        <f aca="false">IF(AND($K1899=1,AND(对接源_02物料!$X699="公司筐",N(对接源_02物料!$V699)&lt;&gt;0)),1,0)</f>
        <v>0</v>
      </c>
      <c r="U1899" s="1" t="n">
        <f aca="false">N(U1898)+$T1899</f>
        <v>28</v>
      </c>
      <c r="V1899" s="1" t="n">
        <f aca="false">IF(AND($L1899=1,AND(对接源_02物料!$X699="自备筐",N(对接源_02物料!$V699)&lt;&gt;0)),1,0)</f>
        <v>0</v>
      </c>
      <c r="W1899" s="1" t="n">
        <f aca="false">N(W1898)+$V1899</f>
        <v>7</v>
      </c>
      <c r="X1899" s="1" t="n">
        <f aca="false">IF(AND($L1899=1,AND(对接源_02物料!$X699="自备筐",N(对接源_02物料!$T699)&lt;&gt;0)),1,0)</f>
        <v>0</v>
      </c>
      <c r="Y1899" s="1" t="n">
        <f aca="false">N(Y1898)+$X1899</f>
        <v>0</v>
      </c>
      <c r="Z1899" s="1" t="n">
        <f aca="false">IF(AND($M1899=1,对接源_02物料!$D699="原料入库"),1,0)</f>
        <v>0</v>
      </c>
      <c r="AA1899" s="1" t="n">
        <f aca="false">N(AA1898)+$Z1899</f>
        <v>30</v>
      </c>
      <c r="AB1899" s="1" t="n">
        <f aca="false">IF(AND($M1899=1,LEFT(对接源_02物料!$D699,4)="原料出库"),1,0)</f>
        <v>0</v>
      </c>
      <c r="AC1899" s="1" t="n">
        <f aca="false">N(AC1898)+$AB1899</f>
        <v>19</v>
      </c>
      <c r="AD1899" s="1" t="n">
        <f aca="false">IF(AND($M1899=1,LEFT(对接源_02物料!$D699,4)="成品出库"),1,0)</f>
        <v>0</v>
      </c>
      <c r="AE1899" s="1" t="n">
        <f aca="false">N(AE1898)+$AD1899</f>
        <v>38</v>
      </c>
      <c r="AF1899" s="1" t="n">
        <f aca="false">IF(AND($N1899=1,AND(LEFT(对接源_02物料!$D699,4)="包装物料",N(对接源_02物料!$K699)&lt;&gt;0)),1,0)</f>
        <v>0</v>
      </c>
      <c r="AG1899" s="1" t="n">
        <f aca="false">N(AG1898)+$AF1899</f>
        <v>6</v>
      </c>
      <c r="AH1899" s="1" t="n">
        <f aca="false">IF(AND($N1899=1,AND(LEFT(对接源_02物料!$D699,3)="周转筐",N(对接源_02物料!$K699)&lt;&gt;0)),1,0)</f>
        <v>0</v>
      </c>
      <c r="AI1899" s="1" t="n">
        <f aca="false">N(AI1898)+$AH1899</f>
        <v>0</v>
      </c>
      <c r="AJ1899" s="1" t="n">
        <v>0</v>
      </c>
      <c r="AK1899" s="1" t="n">
        <f aca="false">N(AK1898)+$AJ1899</f>
        <v>3672</v>
      </c>
    </row>
    <row r="1900" customFormat="false" ht="13.5" hidden="false" customHeight="false" outlineLevel="0" collapsed="false">
      <c r="A1900" s="1" t="str">
        <f aca="false">IF(对接源_02物料!$C700="","",对接源_02物料!$C700)</f>
        <v/>
      </c>
      <c r="B1900" s="1" t="n">
        <f aca="false">IF(A1900="",0,IF(MATCH(A1900,$A$4:$A$2403,0)=ROW()-3,1,0))</f>
        <v>0</v>
      </c>
      <c r="C1900" s="1" t="n">
        <f aca="false">N(C1899)+B1900</f>
        <v>17</v>
      </c>
      <c r="K1900" s="1" t="n">
        <f aca="false">IF(OR($K$1="",对接源_02物料!$C700="",对接源_02物料!$C700&lt;&gt;$K$1,对接源_02物料!$B700=""),0,IF(OR(N(对接源_02物料!$B700)&lt;$K$2,N(对接源_02物料!$B700)&gt;$K$3),0,1))</f>
        <v>0</v>
      </c>
      <c r="L1900" s="1" t="n">
        <f aca="false">IF(OR($L$1="",对接源_02物料!$C700="",对接源_02物料!$C700&lt;&gt;$L$1,对接源_02物料!$B700=""),0,IF(OR(N(对接源_02物料!$B700)&lt;$L$2,N(对接源_02物料!$B700)&gt;$L$3),0,1))</f>
        <v>0</v>
      </c>
      <c r="M1900" s="1" t="n">
        <f aca="false">IF(OR($M$1="",对接源_02物料!$C700="",对接源_02物料!$C700&lt;&gt;$M$1,对接源_02物料!$B700=""),0,IF(OR(N(对接源_02物料!$B700)&lt;$M$2,N(对接源_02物料!$B700)&gt;$M$3),0,1))</f>
        <v>0</v>
      </c>
      <c r="N1900" s="1" t="n">
        <f aca="false">IF(OR($N$1="",对接源_02物料!$C700="",对接源_02物料!$C700&lt;&gt;$N$1,对接源_02物料!$B700=""),0,IF(OR(N(对接源_02物料!$B700)&lt;$N$2,N(对接源_02物料!$B700)&gt;$N$3),0,1))</f>
        <v>0</v>
      </c>
      <c r="P1900" s="1" t="n">
        <f aca="false">IF(AND($K1900=1,AND(对接源_02物料!$X700="公司筐",N(对接源_02物料!$T700)&lt;&gt;0)),1,0)</f>
        <v>0</v>
      </c>
      <c r="Q1900" s="1" t="n">
        <f aca="false">N(Q1899)+$P1900</f>
        <v>13</v>
      </c>
      <c r="R1900" s="1" t="n">
        <f aca="false">IF(AND($K1900=1,AND(对接源_02物料!$X700="公司筐",N(对接源_02物料!$U700)&lt;&gt;0)),1,0)</f>
        <v>0</v>
      </c>
      <c r="S1900" s="1" t="n">
        <f aca="false">N(S1899)+$R1900</f>
        <v>5</v>
      </c>
      <c r="T1900" s="1" t="n">
        <f aca="false">IF(AND($K1900=1,AND(对接源_02物料!$X700="公司筐",N(对接源_02物料!$V700)&lt;&gt;0)),1,0)</f>
        <v>0</v>
      </c>
      <c r="U1900" s="1" t="n">
        <f aca="false">N(U1899)+$T1900</f>
        <v>28</v>
      </c>
      <c r="V1900" s="1" t="n">
        <f aca="false">IF(AND($L1900=1,AND(对接源_02物料!$X700="自备筐",N(对接源_02物料!$V700)&lt;&gt;0)),1,0)</f>
        <v>0</v>
      </c>
      <c r="W1900" s="1" t="n">
        <f aca="false">N(W1899)+$V1900</f>
        <v>7</v>
      </c>
      <c r="X1900" s="1" t="n">
        <f aca="false">IF(AND($L1900=1,AND(对接源_02物料!$X700="自备筐",N(对接源_02物料!$T700)&lt;&gt;0)),1,0)</f>
        <v>0</v>
      </c>
      <c r="Y1900" s="1" t="n">
        <f aca="false">N(Y1899)+$X1900</f>
        <v>0</v>
      </c>
      <c r="Z1900" s="1" t="n">
        <f aca="false">IF(AND($M1900=1,对接源_02物料!$D700="原料入库"),1,0)</f>
        <v>0</v>
      </c>
      <c r="AA1900" s="1" t="n">
        <f aca="false">N(AA1899)+$Z1900</f>
        <v>30</v>
      </c>
      <c r="AB1900" s="1" t="n">
        <f aca="false">IF(AND($M1900=1,LEFT(对接源_02物料!$D700,4)="原料出库"),1,0)</f>
        <v>0</v>
      </c>
      <c r="AC1900" s="1" t="n">
        <f aca="false">N(AC1899)+$AB1900</f>
        <v>19</v>
      </c>
      <c r="AD1900" s="1" t="n">
        <f aca="false">IF(AND($M1900=1,LEFT(对接源_02物料!$D700,4)="成品出库"),1,0)</f>
        <v>0</v>
      </c>
      <c r="AE1900" s="1" t="n">
        <f aca="false">N(AE1899)+$AD1900</f>
        <v>38</v>
      </c>
      <c r="AF1900" s="1" t="n">
        <f aca="false">IF(AND($N1900=1,AND(LEFT(对接源_02物料!$D700,4)="包装物料",N(对接源_02物料!$K700)&lt;&gt;0)),1,0)</f>
        <v>0</v>
      </c>
      <c r="AG1900" s="1" t="n">
        <f aca="false">N(AG1899)+$AF1900</f>
        <v>6</v>
      </c>
      <c r="AH1900" s="1" t="n">
        <f aca="false">IF(AND($N1900=1,AND(LEFT(对接源_02物料!$D700,3)="周转筐",N(对接源_02物料!$K700)&lt;&gt;0)),1,0)</f>
        <v>0</v>
      </c>
      <c r="AI1900" s="1" t="n">
        <f aca="false">N(AI1899)+$AH1900</f>
        <v>0</v>
      </c>
      <c r="AJ1900" s="1" t="n">
        <v>0</v>
      </c>
      <c r="AK1900" s="1" t="n">
        <f aca="false">N(AK1899)+$AJ1900</f>
        <v>3672</v>
      </c>
    </row>
    <row r="1901" customFormat="false" ht="13.5" hidden="false" customHeight="false" outlineLevel="0" collapsed="false">
      <c r="A1901" s="1" t="str">
        <f aca="false">IF(对接源_02物料!$C701="","",对接源_02物料!$C701)</f>
        <v/>
      </c>
      <c r="B1901" s="1" t="n">
        <f aca="false">IF(A1901="",0,IF(MATCH(A1901,$A$4:$A$2403,0)=ROW()-3,1,0))</f>
        <v>0</v>
      </c>
      <c r="C1901" s="1" t="n">
        <f aca="false">N(C1900)+B1901</f>
        <v>17</v>
      </c>
      <c r="K1901" s="1" t="n">
        <f aca="false">IF(OR($K$1="",对接源_02物料!$C701="",对接源_02物料!$C701&lt;&gt;$K$1,对接源_02物料!$B701=""),0,IF(OR(N(对接源_02物料!$B701)&lt;$K$2,N(对接源_02物料!$B701)&gt;$K$3),0,1))</f>
        <v>0</v>
      </c>
      <c r="L1901" s="1" t="n">
        <f aca="false">IF(OR($L$1="",对接源_02物料!$C701="",对接源_02物料!$C701&lt;&gt;$L$1,对接源_02物料!$B701=""),0,IF(OR(N(对接源_02物料!$B701)&lt;$L$2,N(对接源_02物料!$B701)&gt;$L$3),0,1))</f>
        <v>0</v>
      </c>
      <c r="M1901" s="1" t="n">
        <f aca="false">IF(OR($M$1="",对接源_02物料!$C701="",对接源_02物料!$C701&lt;&gt;$M$1,对接源_02物料!$B701=""),0,IF(OR(N(对接源_02物料!$B701)&lt;$M$2,N(对接源_02物料!$B701)&gt;$M$3),0,1))</f>
        <v>0</v>
      </c>
      <c r="N1901" s="1" t="n">
        <f aca="false">IF(OR($N$1="",对接源_02物料!$C701="",对接源_02物料!$C701&lt;&gt;$N$1,对接源_02物料!$B701=""),0,IF(OR(N(对接源_02物料!$B701)&lt;$N$2,N(对接源_02物料!$B701)&gt;$N$3),0,1))</f>
        <v>0</v>
      </c>
      <c r="P1901" s="1" t="n">
        <f aca="false">IF(AND($K1901=1,AND(对接源_02物料!$X701="公司筐",N(对接源_02物料!$T701)&lt;&gt;0)),1,0)</f>
        <v>0</v>
      </c>
      <c r="Q1901" s="1" t="n">
        <f aca="false">N(Q1900)+$P1901</f>
        <v>13</v>
      </c>
      <c r="R1901" s="1" t="n">
        <f aca="false">IF(AND($K1901=1,AND(对接源_02物料!$X701="公司筐",N(对接源_02物料!$U701)&lt;&gt;0)),1,0)</f>
        <v>0</v>
      </c>
      <c r="S1901" s="1" t="n">
        <f aca="false">N(S1900)+$R1901</f>
        <v>5</v>
      </c>
      <c r="T1901" s="1" t="n">
        <f aca="false">IF(AND($K1901=1,AND(对接源_02物料!$X701="公司筐",N(对接源_02物料!$V701)&lt;&gt;0)),1,0)</f>
        <v>0</v>
      </c>
      <c r="U1901" s="1" t="n">
        <f aca="false">N(U1900)+$T1901</f>
        <v>28</v>
      </c>
      <c r="V1901" s="1" t="n">
        <f aca="false">IF(AND($L1901=1,AND(对接源_02物料!$X701="自备筐",N(对接源_02物料!$V701)&lt;&gt;0)),1,0)</f>
        <v>0</v>
      </c>
      <c r="W1901" s="1" t="n">
        <f aca="false">N(W1900)+$V1901</f>
        <v>7</v>
      </c>
      <c r="X1901" s="1" t="n">
        <f aca="false">IF(AND($L1901=1,AND(对接源_02物料!$X701="自备筐",N(对接源_02物料!$T701)&lt;&gt;0)),1,0)</f>
        <v>0</v>
      </c>
      <c r="Y1901" s="1" t="n">
        <f aca="false">N(Y1900)+$X1901</f>
        <v>0</v>
      </c>
      <c r="Z1901" s="1" t="n">
        <f aca="false">IF(AND($M1901=1,对接源_02物料!$D701="原料入库"),1,0)</f>
        <v>0</v>
      </c>
      <c r="AA1901" s="1" t="n">
        <f aca="false">N(AA1900)+$Z1901</f>
        <v>30</v>
      </c>
      <c r="AB1901" s="1" t="n">
        <f aca="false">IF(AND($M1901=1,LEFT(对接源_02物料!$D701,4)="原料出库"),1,0)</f>
        <v>0</v>
      </c>
      <c r="AC1901" s="1" t="n">
        <f aca="false">N(AC1900)+$AB1901</f>
        <v>19</v>
      </c>
      <c r="AD1901" s="1" t="n">
        <f aca="false">IF(AND($M1901=1,LEFT(对接源_02物料!$D701,4)="成品出库"),1,0)</f>
        <v>0</v>
      </c>
      <c r="AE1901" s="1" t="n">
        <f aca="false">N(AE1900)+$AD1901</f>
        <v>38</v>
      </c>
      <c r="AF1901" s="1" t="n">
        <f aca="false">IF(AND($N1901=1,AND(LEFT(对接源_02物料!$D701,4)="包装物料",N(对接源_02物料!$K701)&lt;&gt;0)),1,0)</f>
        <v>0</v>
      </c>
      <c r="AG1901" s="1" t="n">
        <f aca="false">N(AG1900)+$AF1901</f>
        <v>6</v>
      </c>
      <c r="AH1901" s="1" t="n">
        <f aca="false">IF(AND($N1901=1,AND(LEFT(对接源_02物料!$D701,3)="周转筐",N(对接源_02物料!$K701)&lt;&gt;0)),1,0)</f>
        <v>0</v>
      </c>
      <c r="AI1901" s="1" t="n">
        <f aca="false">N(AI1900)+$AH1901</f>
        <v>0</v>
      </c>
      <c r="AJ1901" s="1" t="n">
        <v>0</v>
      </c>
      <c r="AK1901" s="1" t="n">
        <f aca="false">N(AK1900)+$AJ1901</f>
        <v>3672</v>
      </c>
    </row>
    <row r="1902" customFormat="false" ht="13.5" hidden="false" customHeight="false" outlineLevel="0" collapsed="false">
      <c r="A1902" s="1" t="str">
        <f aca="false">IF(对接源_02物料!$C702="","",对接源_02物料!$C702)</f>
        <v/>
      </c>
      <c r="B1902" s="1" t="n">
        <f aca="false">IF(A1902="",0,IF(MATCH(A1902,$A$4:$A$2403,0)=ROW()-3,1,0))</f>
        <v>0</v>
      </c>
      <c r="C1902" s="1" t="n">
        <f aca="false">N(C1901)+B1902</f>
        <v>17</v>
      </c>
      <c r="K1902" s="1" t="n">
        <f aca="false">IF(OR($K$1="",对接源_02物料!$C702="",对接源_02物料!$C702&lt;&gt;$K$1,对接源_02物料!$B702=""),0,IF(OR(N(对接源_02物料!$B702)&lt;$K$2,N(对接源_02物料!$B702)&gt;$K$3),0,1))</f>
        <v>0</v>
      </c>
      <c r="L1902" s="1" t="n">
        <f aca="false">IF(OR($L$1="",对接源_02物料!$C702="",对接源_02物料!$C702&lt;&gt;$L$1,对接源_02物料!$B702=""),0,IF(OR(N(对接源_02物料!$B702)&lt;$L$2,N(对接源_02物料!$B702)&gt;$L$3),0,1))</f>
        <v>0</v>
      </c>
      <c r="M1902" s="1" t="n">
        <f aca="false">IF(OR($M$1="",对接源_02物料!$C702="",对接源_02物料!$C702&lt;&gt;$M$1,对接源_02物料!$B702=""),0,IF(OR(N(对接源_02物料!$B702)&lt;$M$2,N(对接源_02物料!$B702)&gt;$M$3),0,1))</f>
        <v>0</v>
      </c>
      <c r="N1902" s="1" t="n">
        <f aca="false">IF(OR($N$1="",对接源_02物料!$C702="",对接源_02物料!$C702&lt;&gt;$N$1,对接源_02物料!$B702=""),0,IF(OR(N(对接源_02物料!$B702)&lt;$N$2,N(对接源_02物料!$B702)&gt;$N$3),0,1))</f>
        <v>0</v>
      </c>
      <c r="P1902" s="1" t="n">
        <f aca="false">IF(AND($K1902=1,AND(对接源_02物料!$X702="公司筐",N(对接源_02物料!$T702)&lt;&gt;0)),1,0)</f>
        <v>0</v>
      </c>
      <c r="Q1902" s="1" t="n">
        <f aca="false">N(Q1901)+$P1902</f>
        <v>13</v>
      </c>
      <c r="R1902" s="1" t="n">
        <f aca="false">IF(AND($K1902=1,AND(对接源_02物料!$X702="公司筐",N(对接源_02物料!$U702)&lt;&gt;0)),1,0)</f>
        <v>0</v>
      </c>
      <c r="S1902" s="1" t="n">
        <f aca="false">N(S1901)+$R1902</f>
        <v>5</v>
      </c>
      <c r="T1902" s="1" t="n">
        <f aca="false">IF(AND($K1902=1,AND(对接源_02物料!$X702="公司筐",N(对接源_02物料!$V702)&lt;&gt;0)),1,0)</f>
        <v>0</v>
      </c>
      <c r="U1902" s="1" t="n">
        <f aca="false">N(U1901)+$T1902</f>
        <v>28</v>
      </c>
      <c r="V1902" s="1" t="n">
        <f aca="false">IF(AND($L1902=1,AND(对接源_02物料!$X702="自备筐",N(对接源_02物料!$V702)&lt;&gt;0)),1,0)</f>
        <v>0</v>
      </c>
      <c r="W1902" s="1" t="n">
        <f aca="false">N(W1901)+$V1902</f>
        <v>7</v>
      </c>
      <c r="X1902" s="1" t="n">
        <f aca="false">IF(AND($L1902=1,AND(对接源_02物料!$X702="自备筐",N(对接源_02物料!$T702)&lt;&gt;0)),1,0)</f>
        <v>0</v>
      </c>
      <c r="Y1902" s="1" t="n">
        <f aca="false">N(Y1901)+$X1902</f>
        <v>0</v>
      </c>
      <c r="Z1902" s="1" t="n">
        <f aca="false">IF(AND($M1902=1,对接源_02物料!$D702="原料入库"),1,0)</f>
        <v>0</v>
      </c>
      <c r="AA1902" s="1" t="n">
        <f aca="false">N(AA1901)+$Z1902</f>
        <v>30</v>
      </c>
      <c r="AB1902" s="1" t="n">
        <f aca="false">IF(AND($M1902=1,LEFT(对接源_02物料!$D702,4)="原料出库"),1,0)</f>
        <v>0</v>
      </c>
      <c r="AC1902" s="1" t="n">
        <f aca="false">N(AC1901)+$AB1902</f>
        <v>19</v>
      </c>
      <c r="AD1902" s="1" t="n">
        <f aca="false">IF(AND($M1902=1,LEFT(对接源_02物料!$D702,4)="成品出库"),1,0)</f>
        <v>0</v>
      </c>
      <c r="AE1902" s="1" t="n">
        <f aca="false">N(AE1901)+$AD1902</f>
        <v>38</v>
      </c>
      <c r="AF1902" s="1" t="n">
        <f aca="false">IF(AND($N1902=1,AND(LEFT(对接源_02物料!$D702,4)="包装物料",N(对接源_02物料!$K702)&lt;&gt;0)),1,0)</f>
        <v>0</v>
      </c>
      <c r="AG1902" s="1" t="n">
        <f aca="false">N(AG1901)+$AF1902</f>
        <v>6</v>
      </c>
      <c r="AH1902" s="1" t="n">
        <f aca="false">IF(AND($N1902=1,AND(LEFT(对接源_02物料!$D702,3)="周转筐",N(对接源_02物料!$K702)&lt;&gt;0)),1,0)</f>
        <v>0</v>
      </c>
      <c r="AI1902" s="1" t="n">
        <f aca="false">N(AI1901)+$AH1902</f>
        <v>0</v>
      </c>
      <c r="AJ1902" s="1" t="n">
        <v>0</v>
      </c>
      <c r="AK1902" s="1" t="n">
        <f aca="false">N(AK1901)+$AJ1902</f>
        <v>3672</v>
      </c>
    </row>
    <row r="1903" customFormat="false" ht="13.5" hidden="false" customHeight="false" outlineLevel="0" collapsed="false">
      <c r="A1903" s="1" t="str">
        <f aca="false">IF(对接源_02物料!$C703="","",对接源_02物料!$C703)</f>
        <v/>
      </c>
      <c r="B1903" s="1" t="n">
        <f aca="false">IF(A1903="",0,IF(MATCH(A1903,$A$4:$A$2403,0)=ROW()-3,1,0))</f>
        <v>0</v>
      </c>
      <c r="C1903" s="1" t="n">
        <f aca="false">N(C1902)+B1903</f>
        <v>17</v>
      </c>
      <c r="K1903" s="1" t="n">
        <f aca="false">IF(OR($K$1="",对接源_02物料!$C703="",对接源_02物料!$C703&lt;&gt;$K$1,对接源_02物料!$B703=""),0,IF(OR(N(对接源_02物料!$B703)&lt;$K$2,N(对接源_02物料!$B703)&gt;$K$3),0,1))</f>
        <v>0</v>
      </c>
      <c r="L1903" s="1" t="n">
        <f aca="false">IF(OR($L$1="",对接源_02物料!$C703="",对接源_02物料!$C703&lt;&gt;$L$1,对接源_02物料!$B703=""),0,IF(OR(N(对接源_02物料!$B703)&lt;$L$2,N(对接源_02物料!$B703)&gt;$L$3),0,1))</f>
        <v>0</v>
      </c>
      <c r="M1903" s="1" t="n">
        <f aca="false">IF(OR($M$1="",对接源_02物料!$C703="",对接源_02物料!$C703&lt;&gt;$M$1,对接源_02物料!$B703=""),0,IF(OR(N(对接源_02物料!$B703)&lt;$M$2,N(对接源_02物料!$B703)&gt;$M$3),0,1))</f>
        <v>0</v>
      </c>
      <c r="N1903" s="1" t="n">
        <f aca="false">IF(OR($N$1="",对接源_02物料!$C703="",对接源_02物料!$C703&lt;&gt;$N$1,对接源_02物料!$B703=""),0,IF(OR(N(对接源_02物料!$B703)&lt;$N$2,N(对接源_02物料!$B703)&gt;$N$3),0,1))</f>
        <v>0</v>
      </c>
      <c r="P1903" s="1" t="n">
        <f aca="false">IF(AND($K1903=1,AND(对接源_02物料!$X703="公司筐",N(对接源_02物料!$T703)&lt;&gt;0)),1,0)</f>
        <v>0</v>
      </c>
      <c r="Q1903" s="1" t="n">
        <f aca="false">N(Q1902)+$P1903</f>
        <v>13</v>
      </c>
      <c r="R1903" s="1" t="n">
        <f aca="false">IF(AND($K1903=1,AND(对接源_02物料!$X703="公司筐",N(对接源_02物料!$U703)&lt;&gt;0)),1,0)</f>
        <v>0</v>
      </c>
      <c r="S1903" s="1" t="n">
        <f aca="false">N(S1902)+$R1903</f>
        <v>5</v>
      </c>
      <c r="T1903" s="1" t="n">
        <f aca="false">IF(AND($K1903=1,AND(对接源_02物料!$X703="公司筐",N(对接源_02物料!$V703)&lt;&gt;0)),1,0)</f>
        <v>0</v>
      </c>
      <c r="U1903" s="1" t="n">
        <f aca="false">N(U1902)+$T1903</f>
        <v>28</v>
      </c>
      <c r="V1903" s="1" t="n">
        <f aca="false">IF(AND($L1903=1,AND(对接源_02物料!$X703="自备筐",N(对接源_02物料!$V703)&lt;&gt;0)),1,0)</f>
        <v>0</v>
      </c>
      <c r="W1903" s="1" t="n">
        <f aca="false">N(W1902)+$V1903</f>
        <v>7</v>
      </c>
      <c r="X1903" s="1" t="n">
        <f aca="false">IF(AND($L1903=1,AND(对接源_02物料!$X703="自备筐",N(对接源_02物料!$T703)&lt;&gt;0)),1,0)</f>
        <v>0</v>
      </c>
      <c r="Y1903" s="1" t="n">
        <f aca="false">N(Y1902)+$X1903</f>
        <v>0</v>
      </c>
      <c r="Z1903" s="1" t="n">
        <f aca="false">IF(AND($M1903=1,对接源_02物料!$D703="原料入库"),1,0)</f>
        <v>0</v>
      </c>
      <c r="AA1903" s="1" t="n">
        <f aca="false">N(AA1902)+$Z1903</f>
        <v>30</v>
      </c>
      <c r="AB1903" s="1" t="n">
        <f aca="false">IF(AND($M1903=1,LEFT(对接源_02物料!$D703,4)="原料出库"),1,0)</f>
        <v>0</v>
      </c>
      <c r="AC1903" s="1" t="n">
        <f aca="false">N(AC1902)+$AB1903</f>
        <v>19</v>
      </c>
      <c r="AD1903" s="1" t="n">
        <f aca="false">IF(AND($M1903=1,LEFT(对接源_02物料!$D703,4)="成品出库"),1,0)</f>
        <v>0</v>
      </c>
      <c r="AE1903" s="1" t="n">
        <f aca="false">N(AE1902)+$AD1903</f>
        <v>38</v>
      </c>
      <c r="AF1903" s="1" t="n">
        <f aca="false">IF(AND($N1903=1,AND(LEFT(对接源_02物料!$D703,4)="包装物料",N(对接源_02物料!$K703)&lt;&gt;0)),1,0)</f>
        <v>0</v>
      </c>
      <c r="AG1903" s="1" t="n">
        <f aca="false">N(AG1902)+$AF1903</f>
        <v>6</v>
      </c>
      <c r="AH1903" s="1" t="n">
        <f aca="false">IF(AND($N1903=1,AND(LEFT(对接源_02物料!$D703,3)="周转筐",N(对接源_02物料!$K703)&lt;&gt;0)),1,0)</f>
        <v>0</v>
      </c>
      <c r="AI1903" s="1" t="n">
        <f aca="false">N(AI1902)+$AH1903</f>
        <v>0</v>
      </c>
      <c r="AJ1903" s="1" t="n">
        <v>0</v>
      </c>
      <c r="AK1903" s="1" t="n">
        <f aca="false">N(AK1902)+$AJ1903</f>
        <v>3672</v>
      </c>
    </row>
    <row r="1904" customFormat="false" ht="13.5" hidden="false" customHeight="false" outlineLevel="0" collapsed="false">
      <c r="A1904" s="1" t="str">
        <f aca="false">IF(对接源_02物料!$C704="","",对接源_02物料!$C704)</f>
        <v/>
      </c>
      <c r="B1904" s="1" t="n">
        <f aca="false">IF(A1904="",0,IF(MATCH(A1904,$A$4:$A$2403,0)=ROW()-3,1,0))</f>
        <v>0</v>
      </c>
      <c r="C1904" s="1" t="n">
        <f aca="false">N(C1903)+B1904</f>
        <v>17</v>
      </c>
      <c r="K1904" s="1" t="n">
        <f aca="false">IF(OR($K$1="",对接源_02物料!$C704="",对接源_02物料!$C704&lt;&gt;$K$1,对接源_02物料!$B704=""),0,IF(OR(N(对接源_02物料!$B704)&lt;$K$2,N(对接源_02物料!$B704)&gt;$K$3),0,1))</f>
        <v>0</v>
      </c>
      <c r="L1904" s="1" t="n">
        <f aca="false">IF(OR($L$1="",对接源_02物料!$C704="",对接源_02物料!$C704&lt;&gt;$L$1,对接源_02物料!$B704=""),0,IF(OR(N(对接源_02物料!$B704)&lt;$L$2,N(对接源_02物料!$B704)&gt;$L$3),0,1))</f>
        <v>0</v>
      </c>
      <c r="M1904" s="1" t="n">
        <f aca="false">IF(OR($M$1="",对接源_02物料!$C704="",对接源_02物料!$C704&lt;&gt;$M$1,对接源_02物料!$B704=""),0,IF(OR(N(对接源_02物料!$B704)&lt;$M$2,N(对接源_02物料!$B704)&gt;$M$3),0,1))</f>
        <v>0</v>
      </c>
      <c r="N1904" s="1" t="n">
        <f aca="false">IF(OR($N$1="",对接源_02物料!$C704="",对接源_02物料!$C704&lt;&gt;$N$1,对接源_02物料!$B704=""),0,IF(OR(N(对接源_02物料!$B704)&lt;$N$2,N(对接源_02物料!$B704)&gt;$N$3),0,1))</f>
        <v>0</v>
      </c>
      <c r="P1904" s="1" t="n">
        <f aca="false">IF(AND($K1904=1,AND(对接源_02物料!$X704="公司筐",N(对接源_02物料!$T704)&lt;&gt;0)),1,0)</f>
        <v>0</v>
      </c>
      <c r="Q1904" s="1" t="n">
        <f aca="false">N(Q1903)+$P1904</f>
        <v>13</v>
      </c>
      <c r="R1904" s="1" t="n">
        <f aca="false">IF(AND($K1904=1,AND(对接源_02物料!$X704="公司筐",N(对接源_02物料!$U704)&lt;&gt;0)),1,0)</f>
        <v>0</v>
      </c>
      <c r="S1904" s="1" t="n">
        <f aca="false">N(S1903)+$R1904</f>
        <v>5</v>
      </c>
      <c r="T1904" s="1" t="n">
        <f aca="false">IF(AND($K1904=1,AND(对接源_02物料!$X704="公司筐",N(对接源_02物料!$V704)&lt;&gt;0)),1,0)</f>
        <v>0</v>
      </c>
      <c r="U1904" s="1" t="n">
        <f aca="false">N(U1903)+$T1904</f>
        <v>28</v>
      </c>
      <c r="V1904" s="1" t="n">
        <f aca="false">IF(AND($L1904=1,AND(对接源_02物料!$X704="自备筐",N(对接源_02物料!$V704)&lt;&gt;0)),1,0)</f>
        <v>0</v>
      </c>
      <c r="W1904" s="1" t="n">
        <f aca="false">N(W1903)+$V1904</f>
        <v>7</v>
      </c>
      <c r="X1904" s="1" t="n">
        <f aca="false">IF(AND($L1904=1,AND(对接源_02物料!$X704="自备筐",N(对接源_02物料!$T704)&lt;&gt;0)),1,0)</f>
        <v>0</v>
      </c>
      <c r="Y1904" s="1" t="n">
        <f aca="false">N(Y1903)+$X1904</f>
        <v>0</v>
      </c>
      <c r="Z1904" s="1" t="n">
        <f aca="false">IF(AND($M1904=1,对接源_02物料!$D704="原料入库"),1,0)</f>
        <v>0</v>
      </c>
      <c r="AA1904" s="1" t="n">
        <f aca="false">N(AA1903)+$Z1904</f>
        <v>30</v>
      </c>
      <c r="AB1904" s="1" t="n">
        <f aca="false">IF(AND($M1904=1,LEFT(对接源_02物料!$D704,4)="原料出库"),1,0)</f>
        <v>0</v>
      </c>
      <c r="AC1904" s="1" t="n">
        <f aca="false">N(AC1903)+$AB1904</f>
        <v>19</v>
      </c>
      <c r="AD1904" s="1" t="n">
        <f aca="false">IF(AND($M1904=1,LEFT(对接源_02物料!$D704,4)="成品出库"),1,0)</f>
        <v>0</v>
      </c>
      <c r="AE1904" s="1" t="n">
        <f aca="false">N(AE1903)+$AD1904</f>
        <v>38</v>
      </c>
      <c r="AF1904" s="1" t="n">
        <f aca="false">IF(AND($N1904=1,AND(LEFT(对接源_02物料!$D704,4)="包装物料",N(对接源_02物料!$K704)&lt;&gt;0)),1,0)</f>
        <v>0</v>
      </c>
      <c r="AG1904" s="1" t="n">
        <f aca="false">N(AG1903)+$AF1904</f>
        <v>6</v>
      </c>
      <c r="AH1904" s="1" t="n">
        <f aca="false">IF(AND($N1904=1,AND(LEFT(对接源_02物料!$D704,3)="周转筐",N(对接源_02物料!$K704)&lt;&gt;0)),1,0)</f>
        <v>0</v>
      </c>
      <c r="AI1904" s="1" t="n">
        <f aca="false">N(AI1903)+$AH1904</f>
        <v>0</v>
      </c>
      <c r="AJ1904" s="1" t="n">
        <v>0</v>
      </c>
      <c r="AK1904" s="1" t="n">
        <f aca="false">N(AK1903)+$AJ1904</f>
        <v>3672</v>
      </c>
    </row>
    <row r="1905" customFormat="false" ht="13.5" hidden="false" customHeight="false" outlineLevel="0" collapsed="false">
      <c r="A1905" s="1" t="str">
        <f aca="false">IF(对接源_02物料!$C705="","",对接源_02物料!$C705)</f>
        <v/>
      </c>
      <c r="B1905" s="1" t="n">
        <f aca="false">IF(A1905="",0,IF(MATCH(A1905,$A$4:$A$2403,0)=ROW()-3,1,0))</f>
        <v>0</v>
      </c>
      <c r="C1905" s="1" t="n">
        <f aca="false">N(C1904)+B1905</f>
        <v>17</v>
      </c>
      <c r="K1905" s="1" t="n">
        <f aca="false">IF(OR($K$1="",对接源_02物料!$C705="",对接源_02物料!$C705&lt;&gt;$K$1,对接源_02物料!$B705=""),0,IF(OR(N(对接源_02物料!$B705)&lt;$K$2,N(对接源_02物料!$B705)&gt;$K$3),0,1))</f>
        <v>0</v>
      </c>
      <c r="L1905" s="1" t="n">
        <f aca="false">IF(OR($L$1="",对接源_02物料!$C705="",对接源_02物料!$C705&lt;&gt;$L$1,对接源_02物料!$B705=""),0,IF(OR(N(对接源_02物料!$B705)&lt;$L$2,N(对接源_02物料!$B705)&gt;$L$3),0,1))</f>
        <v>0</v>
      </c>
      <c r="M1905" s="1" t="n">
        <f aca="false">IF(OR($M$1="",对接源_02物料!$C705="",对接源_02物料!$C705&lt;&gt;$M$1,对接源_02物料!$B705=""),0,IF(OR(N(对接源_02物料!$B705)&lt;$M$2,N(对接源_02物料!$B705)&gt;$M$3),0,1))</f>
        <v>0</v>
      </c>
      <c r="N1905" s="1" t="n">
        <f aca="false">IF(OR($N$1="",对接源_02物料!$C705="",对接源_02物料!$C705&lt;&gt;$N$1,对接源_02物料!$B705=""),0,IF(OR(N(对接源_02物料!$B705)&lt;$N$2,N(对接源_02物料!$B705)&gt;$N$3),0,1))</f>
        <v>0</v>
      </c>
      <c r="P1905" s="1" t="n">
        <f aca="false">IF(AND($K1905=1,AND(对接源_02物料!$X705="公司筐",N(对接源_02物料!$T705)&lt;&gt;0)),1,0)</f>
        <v>0</v>
      </c>
      <c r="Q1905" s="1" t="n">
        <f aca="false">N(Q1904)+$P1905</f>
        <v>13</v>
      </c>
      <c r="R1905" s="1" t="n">
        <f aca="false">IF(AND($K1905=1,AND(对接源_02物料!$X705="公司筐",N(对接源_02物料!$U705)&lt;&gt;0)),1,0)</f>
        <v>0</v>
      </c>
      <c r="S1905" s="1" t="n">
        <f aca="false">N(S1904)+$R1905</f>
        <v>5</v>
      </c>
      <c r="T1905" s="1" t="n">
        <f aca="false">IF(AND($K1905=1,AND(对接源_02物料!$X705="公司筐",N(对接源_02物料!$V705)&lt;&gt;0)),1,0)</f>
        <v>0</v>
      </c>
      <c r="U1905" s="1" t="n">
        <f aca="false">N(U1904)+$T1905</f>
        <v>28</v>
      </c>
      <c r="V1905" s="1" t="n">
        <f aca="false">IF(AND($L1905=1,AND(对接源_02物料!$X705="自备筐",N(对接源_02物料!$V705)&lt;&gt;0)),1,0)</f>
        <v>0</v>
      </c>
      <c r="W1905" s="1" t="n">
        <f aca="false">N(W1904)+$V1905</f>
        <v>7</v>
      </c>
      <c r="X1905" s="1" t="n">
        <f aca="false">IF(AND($L1905=1,AND(对接源_02物料!$X705="自备筐",N(对接源_02物料!$T705)&lt;&gt;0)),1,0)</f>
        <v>0</v>
      </c>
      <c r="Y1905" s="1" t="n">
        <f aca="false">N(Y1904)+$X1905</f>
        <v>0</v>
      </c>
      <c r="Z1905" s="1" t="n">
        <f aca="false">IF(AND($M1905=1,对接源_02物料!$D705="原料入库"),1,0)</f>
        <v>0</v>
      </c>
      <c r="AA1905" s="1" t="n">
        <f aca="false">N(AA1904)+$Z1905</f>
        <v>30</v>
      </c>
      <c r="AB1905" s="1" t="n">
        <f aca="false">IF(AND($M1905=1,LEFT(对接源_02物料!$D705,4)="原料出库"),1,0)</f>
        <v>0</v>
      </c>
      <c r="AC1905" s="1" t="n">
        <f aca="false">N(AC1904)+$AB1905</f>
        <v>19</v>
      </c>
      <c r="AD1905" s="1" t="n">
        <f aca="false">IF(AND($M1905=1,LEFT(对接源_02物料!$D705,4)="成品出库"),1,0)</f>
        <v>0</v>
      </c>
      <c r="AE1905" s="1" t="n">
        <f aca="false">N(AE1904)+$AD1905</f>
        <v>38</v>
      </c>
      <c r="AF1905" s="1" t="n">
        <f aca="false">IF(AND($N1905=1,AND(LEFT(对接源_02物料!$D705,4)="包装物料",N(对接源_02物料!$K705)&lt;&gt;0)),1,0)</f>
        <v>0</v>
      </c>
      <c r="AG1905" s="1" t="n">
        <f aca="false">N(AG1904)+$AF1905</f>
        <v>6</v>
      </c>
      <c r="AH1905" s="1" t="n">
        <f aca="false">IF(AND($N1905=1,AND(LEFT(对接源_02物料!$D705,3)="周转筐",N(对接源_02物料!$K705)&lt;&gt;0)),1,0)</f>
        <v>0</v>
      </c>
      <c r="AI1905" s="1" t="n">
        <f aca="false">N(AI1904)+$AH1905</f>
        <v>0</v>
      </c>
      <c r="AJ1905" s="1" t="n">
        <v>0</v>
      </c>
      <c r="AK1905" s="1" t="n">
        <f aca="false">N(AK1904)+$AJ1905</f>
        <v>3672</v>
      </c>
    </row>
    <row r="1906" customFormat="false" ht="13.5" hidden="false" customHeight="false" outlineLevel="0" collapsed="false">
      <c r="A1906" s="1" t="str">
        <f aca="false">IF(对接源_02物料!$C706="","",对接源_02物料!$C706)</f>
        <v/>
      </c>
      <c r="B1906" s="1" t="n">
        <f aca="false">IF(A1906="",0,IF(MATCH(A1906,$A$4:$A$2403,0)=ROW()-3,1,0))</f>
        <v>0</v>
      </c>
      <c r="C1906" s="1" t="n">
        <f aca="false">N(C1905)+B1906</f>
        <v>17</v>
      </c>
      <c r="K1906" s="1" t="n">
        <f aca="false">IF(OR($K$1="",对接源_02物料!$C706="",对接源_02物料!$C706&lt;&gt;$K$1,对接源_02物料!$B706=""),0,IF(OR(N(对接源_02物料!$B706)&lt;$K$2,N(对接源_02物料!$B706)&gt;$K$3),0,1))</f>
        <v>0</v>
      </c>
      <c r="L1906" s="1" t="n">
        <f aca="false">IF(OR($L$1="",对接源_02物料!$C706="",对接源_02物料!$C706&lt;&gt;$L$1,对接源_02物料!$B706=""),0,IF(OR(N(对接源_02物料!$B706)&lt;$L$2,N(对接源_02物料!$B706)&gt;$L$3),0,1))</f>
        <v>0</v>
      </c>
      <c r="M1906" s="1" t="n">
        <f aca="false">IF(OR($M$1="",对接源_02物料!$C706="",对接源_02物料!$C706&lt;&gt;$M$1,对接源_02物料!$B706=""),0,IF(OR(N(对接源_02物料!$B706)&lt;$M$2,N(对接源_02物料!$B706)&gt;$M$3),0,1))</f>
        <v>0</v>
      </c>
      <c r="N1906" s="1" t="n">
        <f aca="false">IF(OR($N$1="",对接源_02物料!$C706="",对接源_02物料!$C706&lt;&gt;$N$1,对接源_02物料!$B706=""),0,IF(OR(N(对接源_02物料!$B706)&lt;$N$2,N(对接源_02物料!$B706)&gt;$N$3),0,1))</f>
        <v>0</v>
      </c>
      <c r="P1906" s="1" t="n">
        <f aca="false">IF(AND($K1906=1,AND(对接源_02物料!$X706="公司筐",N(对接源_02物料!$T706)&lt;&gt;0)),1,0)</f>
        <v>0</v>
      </c>
      <c r="Q1906" s="1" t="n">
        <f aca="false">N(Q1905)+$P1906</f>
        <v>13</v>
      </c>
      <c r="R1906" s="1" t="n">
        <f aca="false">IF(AND($K1906=1,AND(对接源_02物料!$X706="公司筐",N(对接源_02物料!$U706)&lt;&gt;0)),1,0)</f>
        <v>0</v>
      </c>
      <c r="S1906" s="1" t="n">
        <f aca="false">N(S1905)+$R1906</f>
        <v>5</v>
      </c>
      <c r="T1906" s="1" t="n">
        <f aca="false">IF(AND($K1906=1,AND(对接源_02物料!$X706="公司筐",N(对接源_02物料!$V706)&lt;&gt;0)),1,0)</f>
        <v>0</v>
      </c>
      <c r="U1906" s="1" t="n">
        <f aca="false">N(U1905)+$T1906</f>
        <v>28</v>
      </c>
      <c r="V1906" s="1" t="n">
        <f aca="false">IF(AND($L1906=1,AND(对接源_02物料!$X706="自备筐",N(对接源_02物料!$V706)&lt;&gt;0)),1,0)</f>
        <v>0</v>
      </c>
      <c r="W1906" s="1" t="n">
        <f aca="false">N(W1905)+$V1906</f>
        <v>7</v>
      </c>
      <c r="X1906" s="1" t="n">
        <f aca="false">IF(AND($L1906=1,AND(对接源_02物料!$X706="自备筐",N(对接源_02物料!$T706)&lt;&gt;0)),1,0)</f>
        <v>0</v>
      </c>
      <c r="Y1906" s="1" t="n">
        <f aca="false">N(Y1905)+$X1906</f>
        <v>0</v>
      </c>
      <c r="Z1906" s="1" t="n">
        <f aca="false">IF(AND($M1906=1,对接源_02物料!$D706="原料入库"),1,0)</f>
        <v>0</v>
      </c>
      <c r="AA1906" s="1" t="n">
        <f aca="false">N(AA1905)+$Z1906</f>
        <v>30</v>
      </c>
      <c r="AB1906" s="1" t="n">
        <f aca="false">IF(AND($M1906=1,LEFT(对接源_02物料!$D706,4)="原料出库"),1,0)</f>
        <v>0</v>
      </c>
      <c r="AC1906" s="1" t="n">
        <f aca="false">N(AC1905)+$AB1906</f>
        <v>19</v>
      </c>
      <c r="AD1906" s="1" t="n">
        <f aca="false">IF(AND($M1906=1,LEFT(对接源_02物料!$D706,4)="成品出库"),1,0)</f>
        <v>0</v>
      </c>
      <c r="AE1906" s="1" t="n">
        <f aca="false">N(AE1905)+$AD1906</f>
        <v>38</v>
      </c>
      <c r="AF1906" s="1" t="n">
        <f aca="false">IF(AND($N1906=1,AND(LEFT(对接源_02物料!$D706,4)="包装物料",N(对接源_02物料!$K706)&lt;&gt;0)),1,0)</f>
        <v>0</v>
      </c>
      <c r="AG1906" s="1" t="n">
        <f aca="false">N(AG1905)+$AF1906</f>
        <v>6</v>
      </c>
      <c r="AH1906" s="1" t="n">
        <f aca="false">IF(AND($N1906=1,AND(LEFT(对接源_02物料!$D706,3)="周转筐",N(对接源_02物料!$K706)&lt;&gt;0)),1,0)</f>
        <v>0</v>
      </c>
      <c r="AI1906" s="1" t="n">
        <f aca="false">N(AI1905)+$AH1906</f>
        <v>0</v>
      </c>
      <c r="AJ1906" s="1" t="n">
        <v>0</v>
      </c>
      <c r="AK1906" s="1" t="n">
        <f aca="false">N(AK1905)+$AJ1906</f>
        <v>3672</v>
      </c>
    </row>
    <row r="1907" customFormat="false" ht="13.5" hidden="false" customHeight="false" outlineLevel="0" collapsed="false">
      <c r="A1907" s="1" t="str">
        <f aca="false">IF(对接源_02物料!$C707="","",对接源_02物料!$C707)</f>
        <v/>
      </c>
      <c r="B1907" s="1" t="n">
        <f aca="false">IF(A1907="",0,IF(MATCH(A1907,$A$4:$A$2403,0)=ROW()-3,1,0))</f>
        <v>0</v>
      </c>
      <c r="C1907" s="1" t="n">
        <f aca="false">N(C1906)+B1907</f>
        <v>17</v>
      </c>
      <c r="K1907" s="1" t="n">
        <f aca="false">IF(OR($K$1="",对接源_02物料!$C707="",对接源_02物料!$C707&lt;&gt;$K$1,对接源_02物料!$B707=""),0,IF(OR(N(对接源_02物料!$B707)&lt;$K$2,N(对接源_02物料!$B707)&gt;$K$3),0,1))</f>
        <v>0</v>
      </c>
      <c r="L1907" s="1" t="n">
        <f aca="false">IF(OR($L$1="",对接源_02物料!$C707="",对接源_02物料!$C707&lt;&gt;$L$1,对接源_02物料!$B707=""),0,IF(OR(N(对接源_02物料!$B707)&lt;$L$2,N(对接源_02物料!$B707)&gt;$L$3),0,1))</f>
        <v>0</v>
      </c>
      <c r="M1907" s="1" t="n">
        <f aca="false">IF(OR($M$1="",对接源_02物料!$C707="",对接源_02物料!$C707&lt;&gt;$M$1,对接源_02物料!$B707=""),0,IF(OR(N(对接源_02物料!$B707)&lt;$M$2,N(对接源_02物料!$B707)&gt;$M$3),0,1))</f>
        <v>0</v>
      </c>
      <c r="N1907" s="1" t="n">
        <f aca="false">IF(OR($N$1="",对接源_02物料!$C707="",对接源_02物料!$C707&lt;&gt;$N$1,对接源_02物料!$B707=""),0,IF(OR(N(对接源_02物料!$B707)&lt;$N$2,N(对接源_02物料!$B707)&gt;$N$3),0,1))</f>
        <v>0</v>
      </c>
      <c r="P1907" s="1" t="n">
        <f aca="false">IF(AND($K1907=1,AND(对接源_02物料!$X707="公司筐",N(对接源_02物料!$T707)&lt;&gt;0)),1,0)</f>
        <v>0</v>
      </c>
      <c r="Q1907" s="1" t="n">
        <f aca="false">N(Q1906)+$P1907</f>
        <v>13</v>
      </c>
      <c r="R1907" s="1" t="n">
        <f aca="false">IF(AND($K1907=1,AND(对接源_02物料!$X707="公司筐",N(对接源_02物料!$U707)&lt;&gt;0)),1,0)</f>
        <v>0</v>
      </c>
      <c r="S1907" s="1" t="n">
        <f aca="false">N(S1906)+$R1907</f>
        <v>5</v>
      </c>
      <c r="T1907" s="1" t="n">
        <f aca="false">IF(AND($K1907=1,AND(对接源_02物料!$X707="公司筐",N(对接源_02物料!$V707)&lt;&gt;0)),1,0)</f>
        <v>0</v>
      </c>
      <c r="U1907" s="1" t="n">
        <f aca="false">N(U1906)+$T1907</f>
        <v>28</v>
      </c>
      <c r="V1907" s="1" t="n">
        <f aca="false">IF(AND($L1907=1,AND(对接源_02物料!$X707="自备筐",N(对接源_02物料!$V707)&lt;&gt;0)),1,0)</f>
        <v>0</v>
      </c>
      <c r="W1907" s="1" t="n">
        <f aca="false">N(W1906)+$V1907</f>
        <v>7</v>
      </c>
      <c r="X1907" s="1" t="n">
        <f aca="false">IF(AND($L1907=1,AND(对接源_02物料!$X707="自备筐",N(对接源_02物料!$T707)&lt;&gt;0)),1,0)</f>
        <v>0</v>
      </c>
      <c r="Y1907" s="1" t="n">
        <f aca="false">N(Y1906)+$X1907</f>
        <v>0</v>
      </c>
      <c r="Z1907" s="1" t="n">
        <f aca="false">IF(AND($M1907=1,对接源_02物料!$D707="原料入库"),1,0)</f>
        <v>0</v>
      </c>
      <c r="AA1907" s="1" t="n">
        <f aca="false">N(AA1906)+$Z1907</f>
        <v>30</v>
      </c>
      <c r="AB1907" s="1" t="n">
        <f aca="false">IF(AND($M1907=1,LEFT(对接源_02物料!$D707,4)="原料出库"),1,0)</f>
        <v>0</v>
      </c>
      <c r="AC1907" s="1" t="n">
        <f aca="false">N(AC1906)+$AB1907</f>
        <v>19</v>
      </c>
      <c r="AD1907" s="1" t="n">
        <f aca="false">IF(AND($M1907=1,LEFT(对接源_02物料!$D707,4)="成品出库"),1,0)</f>
        <v>0</v>
      </c>
      <c r="AE1907" s="1" t="n">
        <f aca="false">N(AE1906)+$AD1907</f>
        <v>38</v>
      </c>
      <c r="AF1907" s="1" t="n">
        <f aca="false">IF(AND($N1907=1,AND(LEFT(对接源_02物料!$D707,4)="包装物料",N(对接源_02物料!$K707)&lt;&gt;0)),1,0)</f>
        <v>0</v>
      </c>
      <c r="AG1907" s="1" t="n">
        <f aca="false">N(AG1906)+$AF1907</f>
        <v>6</v>
      </c>
      <c r="AH1907" s="1" t="n">
        <f aca="false">IF(AND($N1907=1,AND(LEFT(对接源_02物料!$D707,3)="周转筐",N(对接源_02物料!$K707)&lt;&gt;0)),1,0)</f>
        <v>0</v>
      </c>
      <c r="AI1907" s="1" t="n">
        <f aca="false">N(AI1906)+$AH1907</f>
        <v>0</v>
      </c>
      <c r="AJ1907" s="1" t="n">
        <v>0</v>
      </c>
      <c r="AK1907" s="1" t="n">
        <f aca="false">N(AK1906)+$AJ1907</f>
        <v>3672</v>
      </c>
    </row>
    <row r="1908" customFormat="false" ht="13.5" hidden="false" customHeight="false" outlineLevel="0" collapsed="false">
      <c r="A1908" s="1" t="str">
        <f aca="false">IF(对接源_02物料!$C708="","",对接源_02物料!$C708)</f>
        <v/>
      </c>
      <c r="B1908" s="1" t="n">
        <f aca="false">IF(A1908="",0,IF(MATCH(A1908,$A$4:$A$2403,0)=ROW()-3,1,0))</f>
        <v>0</v>
      </c>
      <c r="C1908" s="1" t="n">
        <f aca="false">N(C1907)+B1908</f>
        <v>17</v>
      </c>
      <c r="K1908" s="1" t="n">
        <f aca="false">IF(OR($K$1="",对接源_02物料!$C708="",对接源_02物料!$C708&lt;&gt;$K$1,对接源_02物料!$B708=""),0,IF(OR(N(对接源_02物料!$B708)&lt;$K$2,N(对接源_02物料!$B708)&gt;$K$3),0,1))</f>
        <v>0</v>
      </c>
      <c r="L1908" s="1" t="n">
        <f aca="false">IF(OR($L$1="",对接源_02物料!$C708="",对接源_02物料!$C708&lt;&gt;$L$1,对接源_02物料!$B708=""),0,IF(OR(N(对接源_02物料!$B708)&lt;$L$2,N(对接源_02物料!$B708)&gt;$L$3),0,1))</f>
        <v>0</v>
      </c>
      <c r="M1908" s="1" t="n">
        <f aca="false">IF(OR($M$1="",对接源_02物料!$C708="",对接源_02物料!$C708&lt;&gt;$M$1,对接源_02物料!$B708=""),0,IF(OR(N(对接源_02物料!$B708)&lt;$M$2,N(对接源_02物料!$B708)&gt;$M$3),0,1))</f>
        <v>0</v>
      </c>
      <c r="N1908" s="1" t="n">
        <f aca="false">IF(OR($N$1="",对接源_02物料!$C708="",对接源_02物料!$C708&lt;&gt;$N$1,对接源_02物料!$B708=""),0,IF(OR(N(对接源_02物料!$B708)&lt;$N$2,N(对接源_02物料!$B708)&gt;$N$3),0,1))</f>
        <v>0</v>
      </c>
      <c r="P1908" s="1" t="n">
        <f aca="false">IF(AND($K1908=1,AND(对接源_02物料!$X708="公司筐",N(对接源_02物料!$T708)&lt;&gt;0)),1,0)</f>
        <v>0</v>
      </c>
      <c r="Q1908" s="1" t="n">
        <f aca="false">N(Q1907)+$P1908</f>
        <v>13</v>
      </c>
      <c r="R1908" s="1" t="n">
        <f aca="false">IF(AND($K1908=1,AND(对接源_02物料!$X708="公司筐",N(对接源_02物料!$U708)&lt;&gt;0)),1,0)</f>
        <v>0</v>
      </c>
      <c r="S1908" s="1" t="n">
        <f aca="false">N(S1907)+$R1908</f>
        <v>5</v>
      </c>
      <c r="T1908" s="1" t="n">
        <f aca="false">IF(AND($K1908=1,AND(对接源_02物料!$X708="公司筐",N(对接源_02物料!$V708)&lt;&gt;0)),1,0)</f>
        <v>0</v>
      </c>
      <c r="U1908" s="1" t="n">
        <f aca="false">N(U1907)+$T1908</f>
        <v>28</v>
      </c>
      <c r="V1908" s="1" t="n">
        <f aca="false">IF(AND($L1908=1,AND(对接源_02物料!$X708="自备筐",N(对接源_02物料!$V708)&lt;&gt;0)),1,0)</f>
        <v>0</v>
      </c>
      <c r="W1908" s="1" t="n">
        <f aca="false">N(W1907)+$V1908</f>
        <v>7</v>
      </c>
      <c r="X1908" s="1" t="n">
        <f aca="false">IF(AND($L1908=1,AND(对接源_02物料!$X708="自备筐",N(对接源_02物料!$T708)&lt;&gt;0)),1,0)</f>
        <v>0</v>
      </c>
      <c r="Y1908" s="1" t="n">
        <f aca="false">N(Y1907)+$X1908</f>
        <v>0</v>
      </c>
      <c r="Z1908" s="1" t="n">
        <f aca="false">IF(AND($M1908=1,对接源_02物料!$D708="原料入库"),1,0)</f>
        <v>0</v>
      </c>
      <c r="AA1908" s="1" t="n">
        <f aca="false">N(AA1907)+$Z1908</f>
        <v>30</v>
      </c>
      <c r="AB1908" s="1" t="n">
        <f aca="false">IF(AND($M1908=1,LEFT(对接源_02物料!$D708,4)="原料出库"),1,0)</f>
        <v>0</v>
      </c>
      <c r="AC1908" s="1" t="n">
        <f aca="false">N(AC1907)+$AB1908</f>
        <v>19</v>
      </c>
      <c r="AD1908" s="1" t="n">
        <f aca="false">IF(AND($M1908=1,LEFT(对接源_02物料!$D708,4)="成品出库"),1,0)</f>
        <v>0</v>
      </c>
      <c r="AE1908" s="1" t="n">
        <f aca="false">N(AE1907)+$AD1908</f>
        <v>38</v>
      </c>
      <c r="AF1908" s="1" t="n">
        <f aca="false">IF(AND($N1908=1,AND(LEFT(对接源_02物料!$D708,4)="包装物料",N(对接源_02物料!$K708)&lt;&gt;0)),1,0)</f>
        <v>0</v>
      </c>
      <c r="AG1908" s="1" t="n">
        <f aca="false">N(AG1907)+$AF1908</f>
        <v>6</v>
      </c>
      <c r="AH1908" s="1" t="n">
        <f aca="false">IF(AND($N1908=1,AND(LEFT(对接源_02物料!$D708,3)="周转筐",N(对接源_02物料!$K708)&lt;&gt;0)),1,0)</f>
        <v>0</v>
      </c>
      <c r="AI1908" s="1" t="n">
        <f aca="false">N(AI1907)+$AH1908</f>
        <v>0</v>
      </c>
      <c r="AJ1908" s="1" t="n">
        <v>0</v>
      </c>
      <c r="AK1908" s="1" t="n">
        <f aca="false">N(AK1907)+$AJ1908</f>
        <v>3672</v>
      </c>
    </row>
    <row r="1909" customFormat="false" ht="13.5" hidden="false" customHeight="false" outlineLevel="0" collapsed="false">
      <c r="A1909" s="1" t="str">
        <f aca="false">IF(对接源_02物料!$C709="","",对接源_02物料!$C709)</f>
        <v/>
      </c>
      <c r="B1909" s="1" t="n">
        <f aca="false">IF(A1909="",0,IF(MATCH(A1909,$A$4:$A$2403,0)=ROW()-3,1,0))</f>
        <v>0</v>
      </c>
      <c r="C1909" s="1" t="n">
        <f aca="false">N(C1908)+B1909</f>
        <v>17</v>
      </c>
      <c r="K1909" s="1" t="n">
        <f aca="false">IF(OR($K$1="",对接源_02物料!$C709="",对接源_02物料!$C709&lt;&gt;$K$1,对接源_02物料!$B709=""),0,IF(OR(N(对接源_02物料!$B709)&lt;$K$2,N(对接源_02物料!$B709)&gt;$K$3),0,1))</f>
        <v>0</v>
      </c>
      <c r="L1909" s="1" t="n">
        <f aca="false">IF(OR($L$1="",对接源_02物料!$C709="",对接源_02物料!$C709&lt;&gt;$L$1,对接源_02物料!$B709=""),0,IF(OR(N(对接源_02物料!$B709)&lt;$L$2,N(对接源_02物料!$B709)&gt;$L$3),0,1))</f>
        <v>0</v>
      </c>
      <c r="M1909" s="1" t="n">
        <f aca="false">IF(OR($M$1="",对接源_02物料!$C709="",对接源_02物料!$C709&lt;&gt;$M$1,对接源_02物料!$B709=""),0,IF(OR(N(对接源_02物料!$B709)&lt;$M$2,N(对接源_02物料!$B709)&gt;$M$3),0,1))</f>
        <v>0</v>
      </c>
      <c r="N1909" s="1" t="n">
        <f aca="false">IF(OR($N$1="",对接源_02物料!$C709="",对接源_02物料!$C709&lt;&gt;$N$1,对接源_02物料!$B709=""),0,IF(OR(N(对接源_02物料!$B709)&lt;$N$2,N(对接源_02物料!$B709)&gt;$N$3),0,1))</f>
        <v>0</v>
      </c>
      <c r="P1909" s="1" t="n">
        <f aca="false">IF(AND($K1909=1,AND(对接源_02物料!$X709="公司筐",N(对接源_02物料!$T709)&lt;&gt;0)),1,0)</f>
        <v>0</v>
      </c>
      <c r="Q1909" s="1" t="n">
        <f aca="false">N(Q1908)+$P1909</f>
        <v>13</v>
      </c>
      <c r="R1909" s="1" t="n">
        <f aca="false">IF(AND($K1909=1,AND(对接源_02物料!$X709="公司筐",N(对接源_02物料!$U709)&lt;&gt;0)),1,0)</f>
        <v>0</v>
      </c>
      <c r="S1909" s="1" t="n">
        <f aca="false">N(S1908)+$R1909</f>
        <v>5</v>
      </c>
      <c r="T1909" s="1" t="n">
        <f aca="false">IF(AND($K1909=1,AND(对接源_02物料!$X709="公司筐",N(对接源_02物料!$V709)&lt;&gt;0)),1,0)</f>
        <v>0</v>
      </c>
      <c r="U1909" s="1" t="n">
        <f aca="false">N(U1908)+$T1909</f>
        <v>28</v>
      </c>
      <c r="V1909" s="1" t="n">
        <f aca="false">IF(AND($L1909=1,AND(对接源_02物料!$X709="自备筐",N(对接源_02物料!$V709)&lt;&gt;0)),1,0)</f>
        <v>0</v>
      </c>
      <c r="W1909" s="1" t="n">
        <f aca="false">N(W1908)+$V1909</f>
        <v>7</v>
      </c>
      <c r="X1909" s="1" t="n">
        <f aca="false">IF(AND($L1909=1,AND(对接源_02物料!$X709="自备筐",N(对接源_02物料!$T709)&lt;&gt;0)),1,0)</f>
        <v>0</v>
      </c>
      <c r="Y1909" s="1" t="n">
        <f aca="false">N(Y1908)+$X1909</f>
        <v>0</v>
      </c>
      <c r="Z1909" s="1" t="n">
        <f aca="false">IF(AND($M1909=1,对接源_02物料!$D709="原料入库"),1,0)</f>
        <v>0</v>
      </c>
      <c r="AA1909" s="1" t="n">
        <f aca="false">N(AA1908)+$Z1909</f>
        <v>30</v>
      </c>
      <c r="AB1909" s="1" t="n">
        <f aca="false">IF(AND($M1909=1,LEFT(对接源_02物料!$D709,4)="原料出库"),1,0)</f>
        <v>0</v>
      </c>
      <c r="AC1909" s="1" t="n">
        <f aca="false">N(AC1908)+$AB1909</f>
        <v>19</v>
      </c>
      <c r="AD1909" s="1" t="n">
        <f aca="false">IF(AND($M1909=1,LEFT(对接源_02物料!$D709,4)="成品出库"),1,0)</f>
        <v>0</v>
      </c>
      <c r="AE1909" s="1" t="n">
        <f aca="false">N(AE1908)+$AD1909</f>
        <v>38</v>
      </c>
      <c r="AF1909" s="1" t="n">
        <f aca="false">IF(AND($N1909=1,AND(LEFT(对接源_02物料!$D709,4)="包装物料",N(对接源_02物料!$K709)&lt;&gt;0)),1,0)</f>
        <v>0</v>
      </c>
      <c r="AG1909" s="1" t="n">
        <f aca="false">N(AG1908)+$AF1909</f>
        <v>6</v>
      </c>
      <c r="AH1909" s="1" t="n">
        <f aca="false">IF(AND($N1909=1,AND(LEFT(对接源_02物料!$D709,3)="周转筐",N(对接源_02物料!$K709)&lt;&gt;0)),1,0)</f>
        <v>0</v>
      </c>
      <c r="AI1909" s="1" t="n">
        <f aca="false">N(AI1908)+$AH1909</f>
        <v>0</v>
      </c>
      <c r="AJ1909" s="1" t="n">
        <v>0</v>
      </c>
      <c r="AK1909" s="1" t="n">
        <f aca="false">N(AK1908)+$AJ1909</f>
        <v>3672</v>
      </c>
    </row>
    <row r="1910" customFormat="false" ht="13.5" hidden="false" customHeight="false" outlineLevel="0" collapsed="false">
      <c r="A1910" s="1" t="str">
        <f aca="false">IF(对接源_02物料!$C710="","",对接源_02物料!$C710)</f>
        <v/>
      </c>
      <c r="B1910" s="1" t="n">
        <f aca="false">IF(A1910="",0,IF(MATCH(A1910,$A$4:$A$2403,0)=ROW()-3,1,0))</f>
        <v>0</v>
      </c>
      <c r="C1910" s="1" t="n">
        <f aca="false">N(C1909)+B1910</f>
        <v>17</v>
      </c>
      <c r="K1910" s="1" t="n">
        <f aca="false">IF(OR($K$1="",对接源_02物料!$C710="",对接源_02物料!$C710&lt;&gt;$K$1,对接源_02物料!$B710=""),0,IF(OR(N(对接源_02物料!$B710)&lt;$K$2,N(对接源_02物料!$B710)&gt;$K$3),0,1))</f>
        <v>0</v>
      </c>
      <c r="L1910" s="1" t="n">
        <f aca="false">IF(OR($L$1="",对接源_02物料!$C710="",对接源_02物料!$C710&lt;&gt;$L$1,对接源_02物料!$B710=""),0,IF(OR(N(对接源_02物料!$B710)&lt;$L$2,N(对接源_02物料!$B710)&gt;$L$3),0,1))</f>
        <v>0</v>
      </c>
      <c r="M1910" s="1" t="n">
        <f aca="false">IF(OR($M$1="",对接源_02物料!$C710="",对接源_02物料!$C710&lt;&gt;$M$1,对接源_02物料!$B710=""),0,IF(OR(N(对接源_02物料!$B710)&lt;$M$2,N(对接源_02物料!$B710)&gt;$M$3),0,1))</f>
        <v>0</v>
      </c>
      <c r="N1910" s="1" t="n">
        <f aca="false">IF(OR($N$1="",对接源_02物料!$C710="",对接源_02物料!$C710&lt;&gt;$N$1,对接源_02物料!$B710=""),0,IF(OR(N(对接源_02物料!$B710)&lt;$N$2,N(对接源_02物料!$B710)&gt;$N$3),0,1))</f>
        <v>0</v>
      </c>
      <c r="P1910" s="1" t="n">
        <f aca="false">IF(AND($K1910=1,AND(对接源_02物料!$X710="公司筐",N(对接源_02物料!$T710)&lt;&gt;0)),1,0)</f>
        <v>0</v>
      </c>
      <c r="Q1910" s="1" t="n">
        <f aca="false">N(Q1909)+$P1910</f>
        <v>13</v>
      </c>
      <c r="R1910" s="1" t="n">
        <f aca="false">IF(AND($K1910=1,AND(对接源_02物料!$X710="公司筐",N(对接源_02物料!$U710)&lt;&gt;0)),1,0)</f>
        <v>0</v>
      </c>
      <c r="S1910" s="1" t="n">
        <f aca="false">N(S1909)+$R1910</f>
        <v>5</v>
      </c>
      <c r="T1910" s="1" t="n">
        <f aca="false">IF(AND($K1910=1,AND(对接源_02物料!$X710="公司筐",N(对接源_02物料!$V710)&lt;&gt;0)),1,0)</f>
        <v>0</v>
      </c>
      <c r="U1910" s="1" t="n">
        <f aca="false">N(U1909)+$T1910</f>
        <v>28</v>
      </c>
      <c r="V1910" s="1" t="n">
        <f aca="false">IF(AND($L1910=1,AND(对接源_02物料!$X710="自备筐",N(对接源_02物料!$V710)&lt;&gt;0)),1,0)</f>
        <v>0</v>
      </c>
      <c r="W1910" s="1" t="n">
        <f aca="false">N(W1909)+$V1910</f>
        <v>7</v>
      </c>
      <c r="X1910" s="1" t="n">
        <f aca="false">IF(AND($L1910=1,AND(对接源_02物料!$X710="自备筐",N(对接源_02物料!$T710)&lt;&gt;0)),1,0)</f>
        <v>0</v>
      </c>
      <c r="Y1910" s="1" t="n">
        <f aca="false">N(Y1909)+$X1910</f>
        <v>0</v>
      </c>
      <c r="Z1910" s="1" t="n">
        <f aca="false">IF(AND($M1910=1,对接源_02物料!$D710="原料入库"),1,0)</f>
        <v>0</v>
      </c>
      <c r="AA1910" s="1" t="n">
        <f aca="false">N(AA1909)+$Z1910</f>
        <v>30</v>
      </c>
      <c r="AB1910" s="1" t="n">
        <f aca="false">IF(AND($M1910=1,LEFT(对接源_02物料!$D710,4)="原料出库"),1,0)</f>
        <v>0</v>
      </c>
      <c r="AC1910" s="1" t="n">
        <f aca="false">N(AC1909)+$AB1910</f>
        <v>19</v>
      </c>
      <c r="AD1910" s="1" t="n">
        <f aca="false">IF(AND($M1910=1,LEFT(对接源_02物料!$D710,4)="成品出库"),1,0)</f>
        <v>0</v>
      </c>
      <c r="AE1910" s="1" t="n">
        <f aca="false">N(AE1909)+$AD1910</f>
        <v>38</v>
      </c>
      <c r="AF1910" s="1" t="n">
        <f aca="false">IF(AND($N1910=1,AND(LEFT(对接源_02物料!$D710,4)="包装物料",N(对接源_02物料!$K710)&lt;&gt;0)),1,0)</f>
        <v>0</v>
      </c>
      <c r="AG1910" s="1" t="n">
        <f aca="false">N(AG1909)+$AF1910</f>
        <v>6</v>
      </c>
      <c r="AH1910" s="1" t="n">
        <f aca="false">IF(AND($N1910=1,AND(LEFT(对接源_02物料!$D710,3)="周转筐",N(对接源_02物料!$K710)&lt;&gt;0)),1,0)</f>
        <v>0</v>
      </c>
      <c r="AI1910" s="1" t="n">
        <f aca="false">N(AI1909)+$AH1910</f>
        <v>0</v>
      </c>
      <c r="AJ1910" s="1" t="n">
        <v>0</v>
      </c>
      <c r="AK1910" s="1" t="n">
        <f aca="false">N(AK1909)+$AJ1910</f>
        <v>3672</v>
      </c>
    </row>
    <row r="1911" customFormat="false" ht="13.5" hidden="false" customHeight="false" outlineLevel="0" collapsed="false">
      <c r="A1911" s="1" t="str">
        <f aca="false">IF(对接源_02物料!$C711="","",对接源_02物料!$C711)</f>
        <v/>
      </c>
      <c r="B1911" s="1" t="n">
        <f aca="false">IF(A1911="",0,IF(MATCH(A1911,$A$4:$A$2403,0)=ROW()-3,1,0))</f>
        <v>0</v>
      </c>
      <c r="C1911" s="1" t="n">
        <f aca="false">N(C1910)+B1911</f>
        <v>17</v>
      </c>
      <c r="K1911" s="1" t="n">
        <f aca="false">IF(OR($K$1="",对接源_02物料!$C711="",对接源_02物料!$C711&lt;&gt;$K$1,对接源_02物料!$B711=""),0,IF(OR(N(对接源_02物料!$B711)&lt;$K$2,N(对接源_02物料!$B711)&gt;$K$3),0,1))</f>
        <v>0</v>
      </c>
      <c r="L1911" s="1" t="n">
        <f aca="false">IF(OR($L$1="",对接源_02物料!$C711="",对接源_02物料!$C711&lt;&gt;$L$1,对接源_02物料!$B711=""),0,IF(OR(N(对接源_02物料!$B711)&lt;$L$2,N(对接源_02物料!$B711)&gt;$L$3),0,1))</f>
        <v>0</v>
      </c>
      <c r="M1911" s="1" t="n">
        <f aca="false">IF(OR($M$1="",对接源_02物料!$C711="",对接源_02物料!$C711&lt;&gt;$M$1,对接源_02物料!$B711=""),0,IF(OR(N(对接源_02物料!$B711)&lt;$M$2,N(对接源_02物料!$B711)&gt;$M$3),0,1))</f>
        <v>0</v>
      </c>
      <c r="N1911" s="1" t="n">
        <f aca="false">IF(OR($N$1="",对接源_02物料!$C711="",对接源_02物料!$C711&lt;&gt;$N$1,对接源_02物料!$B711=""),0,IF(OR(N(对接源_02物料!$B711)&lt;$N$2,N(对接源_02物料!$B711)&gt;$N$3),0,1))</f>
        <v>0</v>
      </c>
      <c r="P1911" s="1" t="n">
        <f aca="false">IF(AND($K1911=1,AND(对接源_02物料!$X711="公司筐",N(对接源_02物料!$T711)&lt;&gt;0)),1,0)</f>
        <v>0</v>
      </c>
      <c r="Q1911" s="1" t="n">
        <f aca="false">N(Q1910)+$P1911</f>
        <v>13</v>
      </c>
      <c r="R1911" s="1" t="n">
        <f aca="false">IF(AND($K1911=1,AND(对接源_02物料!$X711="公司筐",N(对接源_02物料!$U711)&lt;&gt;0)),1,0)</f>
        <v>0</v>
      </c>
      <c r="S1911" s="1" t="n">
        <f aca="false">N(S1910)+$R1911</f>
        <v>5</v>
      </c>
      <c r="T1911" s="1" t="n">
        <f aca="false">IF(AND($K1911=1,AND(对接源_02物料!$X711="公司筐",N(对接源_02物料!$V711)&lt;&gt;0)),1,0)</f>
        <v>0</v>
      </c>
      <c r="U1911" s="1" t="n">
        <f aca="false">N(U1910)+$T1911</f>
        <v>28</v>
      </c>
      <c r="V1911" s="1" t="n">
        <f aca="false">IF(AND($L1911=1,AND(对接源_02物料!$X711="自备筐",N(对接源_02物料!$V711)&lt;&gt;0)),1,0)</f>
        <v>0</v>
      </c>
      <c r="W1911" s="1" t="n">
        <f aca="false">N(W1910)+$V1911</f>
        <v>7</v>
      </c>
      <c r="X1911" s="1" t="n">
        <f aca="false">IF(AND($L1911=1,AND(对接源_02物料!$X711="自备筐",N(对接源_02物料!$T711)&lt;&gt;0)),1,0)</f>
        <v>0</v>
      </c>
      <c r="Y1911" s="1" t="n">
        <f aca="false">N(Y1910)+$X1911</f>
        <v>0</v>
      </c>
      <c r="Z1911" s="1" t="n">
        <f aca="false">IF(AND($M1911=1,对接源_02物料!$D711="原料入库"),1,0)</f>
        <v>0</v>
      </c>
      <c r="AA1911" s="1" t="n">
        <f aca="false">N(AA1910)+$Z1911</f>
        <v>30</v>
      </c>
      <c r="AB1911" s="1" t="n">
        <f aca="false">IF(AND($M1911=1,LEFT(对接源_02物料!$D711,4)="原料出库"),1,0)</f>
        <v>0</v>
      </c>
      <c r="AC1911" s="1" t="n">
        <f aca="false">N(AC1910)+$AB1911</f>
        <v>19</v>
      </c>
      <c r="AD1911" s="1" t="n">
        <f aca="false">IF(AND($M1911=1,LEFT(对接源_02物料!$D711,4)="成品出库"),1,0)</f>
        <v>0</v>
      </c>
      <c r="AE1911" s="1" t="n">
        <f aca="false">N(AE1910)+$AD1911</f>
        <v>38</v>
      </c>
      <c r="AF1911" s="1" t="n">
        <f aca="false">IF(AND($N1911=1,AND(LEFT(对接源_02物料!$D711,4)="包装物料",N(对接源_02物料!$K711)&lt;&gt;0)),1,0)</f>
        <v>0</v>
      </c>
      <c r="AG1911" s="1" t="n">
        <f aca="false">N(AG1910)+$AF1911</f>
        <v>6</v>
      </c>
      <c r="AH1911" s="1" t="n">
        <f aca="false">IF(AND($N1911=1,AND(LEFT(对接源_02物料!$D711,3)="周转筐",N(对接源_02物料!$K711)&lt;&gt;0)),1,0)</f>
        <v>0</v>
      </c>
      <c r="AI1911" s="1" t="n">
        <f aca="false">N(AI1910)+$AH1911</f>
        <v>0</v>
      </c>
      <c r="AJ1911" s="1" t="n">
        <v>0</v>
      </c>
      <c r="AK1911" s="1" t="n">
        <f aca="false">N(AK1910)+$AJ1911</f>
        <v>3672</v>
      </c>
    </row>
    <row r="1912" customFormat="false" ht="13.5" hidden="false" customHeight="false" outlineLevel="0" collapsed="false">
      <c r="A1912" s="1" t="str">
        <f aca="false">IF(对接源_02物料!$C712="","",对接源_02物料!$C712)</f>
        <v/>
      </c>
      <c r="B1912" s="1" t="n">
        <f aca="false">IF(A1912="",0,IF(MATCH(A1912,$A$4:$A$2403,0)=ROW()-3,1,0))</f>
        <v>0</v>
      </c>
      <c r="C1912" s="1" t="n">
        <f aca="false">N(C1911)+B1912</f>
        <v>17</v>
      </c>
      <c r="K1912" s="1" t="n">
        <f aca="false">IF(OR($K$1="",对接源_02物料!$C712="",对接源_02物料!$C712&lt;&gt;$K$1,对接源_02物料!$B712=""),0,IF(OR(N(对接源_02物料!$B712)&lt;$K$2,N(对接源_02物料!$B712)&gt;$K$3),0,1))</f>
        <v>0</v>
      </c>
      <c r="L1912" s="1" t="n">
        <f aca="false">IF(OR($L$1="",对接源_02物料!$C712="",对接源_02物料!$C712&lt;&gt;$L$1,对接源_02物料!$B712=""),0,IF(OR(N(对接源_02物料!$B712)&lt;$L$2,N(对接源_02物料!$B712)&gt;$L$3),0,1))</f>
        <v>0</v>
      </c>
      <c r="M1912" s="1" t="n">
        <f aca="false">IF(OR($M$1="",对接源_02物料!$C712="",对接源_02物料!$C712&lt;&gt;$M$1,对接源_02物料!$B712=""),0,IF(OR(N(对接源_02物料!$B712)&lt;$M$2,N(对接源_02物料!$B712)&gt;$M$3),0,1))</f>
        <v>0</v>
      </c>
      <c r="N1912" s="1" t="n">
        <f aca="false">IF(OR($N$1="",对接源_02物料!$C712="",对接源_02物料!$C712&lt;&gt;$N$1,对接源_02物料!$B712=""),0,IF(OR(N(对接源_02物料!$B712)&lt;$N$2,N(对接源_02物料!$B712)&gt;$N$3),0,1))</f>
        <v>0</v>
      </c>
      <c r="P1912" s="1" t="n">
        <f aca="false">IF(AND($K1912=1,AND(对接源_02物料!$X712="公司筐",N(对接源_02物料!$T712)&lt;&gt;0)),1,0)</f>
        <v>0</v>
      </c>
      <c r="Q1912" s="1" t="n">
        <f aca="false">N(Q1911)+$P1912</f>
        <v>13</v>
      </c>
      <c r="R1912" s="1" t="n">
        <f aca="false">IF(AND($K1912=1,AND(对接源_02物料!$X712="公司筐",N(对接源_02物料!$U712)&lt;&gt;0)),1,0)</f>
        <v>0</v>
      </c>
      <c r="S1912" s="1" t="n">
        <f aca="false">N(S1911)+$R1912</f>
        <v>5</v>
      </c>
      <c r="T1912" s="1" t="n">
        <f aca="false">IF(AND($K1912=1,AND(对接源_02物料!$X712="公司筐",N(对接源_02物料!$V712)&lt;&gt;0)),1,0)</f>
        <v>0</v>
      </c>
      <c r="U1912" s="1" t="n">
        <f aca="false">N(U1911)+$T1912</f>
        <v>28</v>
      </c>
      <c r="V1912" s="1" t="n">
        <f aca="false">IF(AND($L1912=1,AND(对接源_02物料!$X712="自备筐",N(对接源_02物料!$V712)&lt;&gt;0)),1,0)</f>
        <v>0</v>
      </c>
      <c r="W1912" s="1" t="n">
        <f aca="false">N(W1911)+$V1912</f>
        <v>7</v>
      </c>
      <c r="X1912" s="1" t="n">
        <f aca="false">IF(AND($L1912=1,AND(对接源_02物料!$X712="自备筐",N(对接源_02物料!$T712)&lt;&gt;0)),1,0)</f>
        <v>0</v>
      </c>
      <c r="Y1912" s="1" t="n">
        <f aca="false">N(Y1911)+$X1912</f>
        <v>0</v>
      </c>
      <c r="Z1912" s="1" t="n">
        <f aca="false">IF(AND($M1912=1,对接源_02物料!$D712="原料入库"),1,0)</f>
        <v>0</v>
      </c>
      <c r="AA1912" s="1" t="n">
        <f aca="false">N(AA1911)+$Z1912</f>
        <v>30</v>
      </c>
      <c r="AB1912" s="1" t="n">
        <f aca="false">IF(AND($M1912=1,LEFT(对接源_02物料!$D712,4)="原料出库"),1,0)</f>
        <v>0</v>
      </c>
      <c r="AC1912" s="1" t="n">
        <f aca="false">N(AC1911)+$AB1912</f>
        <v>19</v>
      </c>
      <c r="AD1912" s="1" t="n">
        <f aca="false">IF(AND($M1912=1,LEFT(对接源_02物料!$D712,4)="成品出库"),1,0)</f>
        <v>0</v>
      </c>
      <c r="AE1912" s="1" t="n">
        <f aca="false">N(AE1911)+$AD1912</f>
        <v>38</v>
      </c>
      <c r="AF1912" s="1" t="n">
        <f aca="false">IF(AND($N1912=1,AND(LEFT(对接源_02物料!$D712,4)="包装物料",N(对接源_02物料!$K712)&lt;&gt;0)),1,0)</f>
        <v>0</v>
      </c>
      <c r="AG1912" s="1" t="n">
        <f aca="false">N(AG1911)+$AF1912</f>
        <v>6</v>
      </c>
      <c r="AH1912" s="1" t="n">
        <f aca="false">IF(AND($N1912=1,AND(LEFT(对接源_02物料!$D712,3)="周转筐",N(对接源_02物料!$K712)&lt;&gt;0)),1,0)</f>
        <v>0</v>
      </c>
      <c r="AI1912" s="1" t="n">
        <f aca="false">N(AI1911)+$AH1912</f>
        <v>0</v>
      </c>
      <c r="AJ1912" s="1" t="n">
        <v>0</v>
      </c>
      <c r="AK1912" s="1" t="n">
        <f aca="false">N(AK1911)+$AJ1912</f>
        <v>3672</v>
      </c>
    </row>
    <row r="1913" customFormat="false" ht="13.5" hidden="false" customHeight="false" outlineLevel="0" collapsed="false">
      <c r="A1913" s="1" t="str">
        <f aca="false">IF(对接源_02物料!$C713="","",对接源_02物料!$C713)</f>
        <v/>
      </c>
      <c r="B1913" s="1" t="n">
        <f aca="false">IF(A1913="",0,IF(MATCH(A1913,$A$4:$A$2403,0)=ROW()-3,1,0))</f>
        <v>0</v>
      </c>
      <c r="C1913" s="1" t="n">
        <f aca="false">N(C1912)+B1913</f>
        <v>17</v>
      </c>
      <c r="K1913" s="1" t="n">
        <f aca="false">IF(OR($K$1="",对接源_02物料!$C713="",对接源_02物料!$C713&lt;&gt;$K$1,对接源_02物料!$B713=""),0,IF(OR(N(对接源_02物料!$B713)&lt;$K$2,N(对接源_02物料!$B713)&gt;$K$3),0,1))</f>
        <v>0</v>
      </c>
      <c r="L1913" s="1" t="n">
        <f aca="false">IF(OR($L$1="",对接源_02物料!$C713="",对接源_02物料!$C713&lt;&gt;$L$1,对接源_02物料!$B713=""),0,IF(OR(N(对接源_02物料!$B713)&lt;$L$2,N(对接源_02物料!$B713)&gt;$L$3),0,1))</f>
        <v>0</v>
      </c>
      <c r="M1913" s="1" t="n">
        <f aca="false">IF(OR($M$1="",对接源_02物料!$C713="",对接源_02物料!$C713&lt;&gt;$M$1,对接源_02物料!$B713=""),0,IF(OR(N(对接源_02物料!$B713)&lt;$M$2,N(对接源_02物料!$B713)&gt;$M$3),0,1))</f>
        <v>0</v>
      </c>
      <c r="N1913" s="1" t="n">
        <f aca="false">IF(OR($N$1="",对接源_02物料!$C713="",对接源_02物料!$C713&lt;&gt;$N$1,对接源_02物料!$B713=""),0,IF(OR(N(对接源_02物料!$B713)&lt;$N$2,N(对接源_02物料!$B713)&gt;$N$3),0,1))</f>
        <v>0</v>
      </c>
      <c r="P1913" s="1" t="n">
        <f aca="false">IF(AND($K1913=1,AND(对接源_02物料!$X713="公司筐",N(对接源_02物料!$T713)&lt;&gt;0)),1,0)</f>
        <v>0</v>
      </c>
      <c r="Q1913" s="1" t="n">
        <f aca="false">N(Q1912)+$P1913</f>
        <v>13</v>
      </c>
      <c r="R1913" s="1" t="n">
        <f aca="false">IF(AND($K1913=1,AND(对接源_02物料!$X713="公司筐",N(对接源_02物料!$U713)&lt;&gt;0)),1,0)</f>
        <v>0</v>
      </c>
      <c r="S1913" s="1" t="n">
        <f aca="false">N(S1912)+$R1913</f>
        <v>5</v>
      </c>
      <c r="T1913" s="1" t="n">
        <f aca="false">IF(AND($K1913=1,AND(对接源_02物料!$X713="公司筐",N(对接源_02物料!$V713)&lt;&gt;0)),1,0)</f>
        <v>0</v>
      </c>
      <c r="U1913" s="1" t="n">
        <f aca="false">N(U1912)+$T1913</f>
        <v>28</v>
      </c>
      <c r="V1913" s="1" t="n">
        <f aca="false">IF(AND($L1913=1,AND(对接源_02物料!$X713="自备筐",N(对接源_02物料!$V713)&lt;&gt;0)),1,0)</f>
        <v>0</v>
      </c>
      <c r="W1913" s="1" t="n">
        <f aca="false">N(W1912)+$V1913</f>
        <v>7</v>
      </c>
      <c r="X1913" s="1" t="n">
        <f aca="false">IF(AND($L1913=1,AND(对接源_02物料!$X713="自备筐",N(对接源_02物料!$T713)&lt;&gt;0)),1,0)</f>
        <v>0</v>
      </c>
      <c r="Y1913" s="1" t="n">
        <f aca="false">N(Y1912)+$X1913</f>
        <v>0</v>
      </c>
      <c r="Z1913" s="1" t="n">
        <f aca="false">IF(AND($M1913=1,对接源_02物料!$D713="原料入库"),1,0)</f>
        <v>0</v>
      </c>
      <c r="AA1913" s="1" t="n">
        <f aca="false">N(AA1912)+$Z1913</f>
        <v>30</v>
      </c>
      <c r="AB1913" s="1" t="n">
        <f aca="false">IF(AND($M1913=1,LEFT(对接源_02物料!$D713,4)="原料出库"),1,0)</f>
        <v>0</v>
      </c>
      <c r="AC1913" s="1" t="n">
        <f aca="false">N(AC1912)+$AB1913</f>
        <v>19</v>
      </c>
      <c r="AD1913" s="1" t="n">
        <f aca="false">IF(AND($M1913=1,LEFT(对接源_02物料!$D713,4)="成品出库"),1,0)</f>
        <v>0</v>
      </c>
      <c r="AE1913" s="1" t="n">
        <f aca="false">N(AE1912)+$AD1913</f>
        <v>38</v>
      </c>
      <c r="AF1913" s="1" t="n">
        <f aca="false">IF(AND($N1913=1,AND(LEFT(对接源_02物料!$D713,4)="包装物料",N(对接源_02物料!$K713)&lt;&gt;0)),1,0)</f>
        <v>0</v>
      </c>
      <c r="AG1913" s="1" t="n">
        <f aca="false">N(AG1912)+$AF1913</f>
        <v>6</v>
      </c>
      <c r="AH1913" s="1" t="n">
        <f aca="false">IF(AND($N1913=1,AND(LEFT(对接源_02物料!$D713,3)="周转筐",N(对接源_02物料!$K713)&lt;&gt;0)),1,0)</f>
        <v>0</v>
      </c>
      <c r="AI1913" s="1" t="n">
        <f aca="false">N(AI1912)+$AH1913</f>
        <v>0</v>
      </c>
      <c r="AJ1913" s="1" t="n">
        <v>0</v>
      </c>
      <c r="AK1913" s="1" t="n">
        <f aca="false">N(AK1912)+$AJ1913</f>
        <v>3672</v>
      </c>
    </row>
    <row r="1914" customFormat="false" ht="13.5" hidden="false" customHeight="false" outlineLevel="0" collapsed="false">
      <c r="A1914" s="1" t="str">
        <f aca="false">IF(对接源_02物料!$C714="","",对接源_02物料!$C714)</f>
        <v/>
      </c>
      <c r="B1914" s="1" t="n">
        <f aca="false">IF(A1914="",0,IF(MATCH(A1914,$A$4:$A$2403,0)=ROW()-3,1,0))</f>
        <v>0</v>
      </c>
      <c r="C1914" s="1" t="n">
        <f aca="false">N(C1913)+B1914</f>
        <v>17</v>
      </c>
      <c r="K1914" s="1" t="n">
        <f aca="false">IF(OR($K$1="",对接源_02物料!$C714="",对接源_02物料!$C714&lt;&gt;$K$1,对接源_02物料!$B714=""),0,IF(OR(N(对接源_02物料!$B714)&lt;$K$2,N(对接源_02物料!$B714)&gt;$K$3),0,1))</f>
        <v>0</v>
      </c>
      <c r="L1914" s="1" t="n">
        <f aca="false">IF(OR($L$1="",对接源_02物料!$C714="",对接源_02物料!$C714&lt;&gt;$L$1,对接源_02物料!$B714=""),0,IF(OR(N(对接源_02物料!$B714)&lt;$L$2,N(对接源_02物料!$B714)&gt;$L$3),0,1))</f>
        <v>0</v>
      </c>
      <c r="M1914" s="1" t="n">
        <f aca="false">IF(OR($M$1="",对接源_02物料!$C714="",对接源_02物料!$C714&lt;&gt;$M$1,对接源_02物料!$B714=""),0,IF(OR(N(对接源_02物料!$B714)&lt;$M$2,N(对接源_02物料!$B714)&gt;$M$3),0,1))</f>
        <v>0</v>
      </c>
      <c r="N1914" s="1" t="n">
        <f aca="false">IF(OR($N$1="",对接源_02物料!$C714="",对接源_02物料!$C714&lt;&gt;$N$1,对接源_02物料!$B714=""),0,IF(OR(N(对接源_02物料!$B714)&lt;$N$2,N(对接源_02物料!$B714)&gt;$N$3),0,1))</f>
        <v>0</v>
      </c>
      <c r="P1914" s="1" t="n">
        <f aca="false">IF(AND($K1914=1,AND(对接源_02物料!$X714="公司筐",N(对接源_02物料!$T714)&lt;&gt;0)),1,0)</f>
        <v>0</v>
      </c>
      <c r="Q1914" s="1" t="n">
        <f aca="false">N(Q1913)+$P1914</f>
        <v>13</v>
      </c>
      <c r="R1914" s="1" t="n">
        <f aca="false">IF(AND($K1914=1,AND(对接源_02物料!$X714="公司筐",N(对接源_02物料!$U714)&lt;&gt;0)),1,0)</f>
        <v>0</v>
      </c>
      <c r="S1914" s="1" t="n">
        <f aca="false">N(S1913)+$R1914</f>
        <v>5</v>
      </c>
      <c r="T1914" s="1" t="n">
        <f aca="false">IF(AND($K1914=1,AND(对接源_02物料!$X714="公司筐",N(对接源_02物料!$V714)&lt;&gt;0)),1,0)</f>
        <v>0</v>
      </c>
      <c r="U1914" s="1" t="n">
        <f aca="false">N(U1913)+$T1914</f>
        <v>28</v>
      </c>
      <c r="V1914" s="1" t="n">
        <f aca="false">IF(AND($L1914=1,AND(对接源_02物料!$X714="自备筐",N(对接源_02物料!$V714)&lt;&gt;0)),1,0)</f>
        <v>0</v>
      </c>
      <c r="W1914" s="1" t="n">
        <f aca="false">N(W1913)+$V1914</f>
        <v>7</v>
      </c>
      <c r="X1914" s="1" t="n">
        <f aca="false">IF(AND($L1914=1,AND(对接源_02物料!$X714="自备筐",N(对接源_02物料!$T714)&lt;&gt;0)),1,0)</f>
        <v>0</v>
      </c>
      <c r="Y1914" s="1" t="n">
        <f aca="false">N(Y1913)+$X1914</f>
        <v>0</v>
      </c>
      <c r="Z1914" s="1" t="n">
        <f aca="false">IF(AND($M1914=1,对接源_02物料!$D714="原料入库"),1,0)</f>
        <v>0</v>
      </c>
      <c r="AA1914" s="1" t="n">
        <f aca="false">N(AA1913)+$Z1914</f>
        <v>30</v>
      </c>
      <c r="AB1914" s="1" t="n">
        <f aca="false">IF(AND($M1914=1,LEFT(对接源_02物料!$D714,4)="原料出库"),1,0)</f>
        <v>0</v>
      </c>
      <c r="AC1914" s="1" t="n">
        <f aca="false">N(AC1913)+$AB1914</f>
        <v>19</v>
      </c>
      <c r="AD1914" s="1" t="n">
        <f aca="false">IF(AND($M1914=1,LEFT(对接源_02物料!$D714,4)="成品出库"),1,0)</f>
        <v>0</v>
      </c>
      <c r="AE1914" s="1" t="n">
        <f aca="false">N(AE1913)+$AD1914</f>
        <v>38</v>
      </c>
      <c r="AF1914" s="1" t="n">
        <f aca="false">IF(AND($N1914=1,AND(LEFT(对接源_02物料!$D714,4)="包装物料",N(对接源_02物料!$K714)&lt;&gt;0)),1,0)</f>
        <v>0</v>
      </c>
      <c r="AG1914" s="1" t="n">
        <f aca="false">N(AG1913)+$AF1914</f>
        <v>6</v>
      </c>
      <c r="AH1914" s="1" t="n">
        <f aca="false">IF(AND($N1914=1,AND(LEFT(对接源_02物料!$D714,3)="周转筐",N(对接源_02物料!$K714)&lt;&gt;0)),1,0)</f>
        <v>0</v>
      </c>
      <c r="AI1914" s="1" t="n">
        <f aca="false">N(AI1913)+$AH1914</f>
        <v>0</v>
      </c>
      <c r="AJ1914" s="1" t="n">
        <v>0</v>
      </c>
      <c r="AK1914" s="1" t="n">
        <f aca="false">N(AK1913)+$AJ1914</f>
        <v>3672</v>
      </c>
    </row>
    <row r="1915" customFormat="false" ht="13.5" hidden="false" customHeight="false" outlineLevel="0" collapsed="false">
      <c r="A1915" s="1" t="str">
        <f aca="false">IF(对接源_02物料!$C715="","",对接源_02物料!$C715)</f>
        <v/>
      </c>
      <c r="B1915" s="1" t="n">
        <f aca="false">IF(A1915="",0,IF(MATCH(A1915,$A$4:$A$2403,0)=ROW()-3,1,0))</f>
        <v>0</v>
      </c>
      <c r="C1915" s="1" t="n">
        <f aca="false">N(C1914)+B1915</f>
        <v>17</v>
      </c>
      <c r="K1915" s="1" t="n">
        <f aca="false">IF(OR($K$1="",对接源_02物料!$C715="",对接源_02物料!$C715&lt;&gt;$K$1,对接源_02物料!$B715=""),0,IF(OR(N(对接源_02物料!$B715)&lt;$K$2,N(对接源_02物料!$B715)&gt;$K$3),0,1))</f>
        <v>0</v>
      </c>
      <c r="L1915" s="1" t="n">
        <f aca="false">IF(OR($L$1="",对接源_02物料!$C715="",对接源_02物料!$C715&lt;&gt;$L$1,对接源_02物料!$B715=""),0,IF(OR(N(对接源_02物料!$B715)&lt;$L$2,N(对接源_02物料!$B715)&gt;$L$3),0,1))</f>
        <v>0</v>
      </c>
      <c r="M1915" s="1" t="n">
        <f aca="false">IF(OR($M$1="",对接源_02物料!$C715="",对接源_02物料!$C715&lt;&gt;$M$1,对接源_02物料!$B715=""),0,IF(OR(N(对接源_02物料!$B715)&lt;$M$2,N(对接源_02物料!$B715)&gt;$M$3),0,1))</f>
        <v>0</v>
      </c>
      <c r="N1915" s="1" t="n">
        <f aca="false">IF(OR($N$1="",对接源_02物料!$C715="",对接源_02物料!$C715&lt;&gt;$N$1,对接源_02物料!$B715=""),0,IF(OR(N(对接源_02物料!$B715)&lt;$N$2,N(对接源_02物料!$B715)&gt;$N$3),0,1))</f>
        <v>0</v>
      </c>
      <c r="P1915" s="1" t="n">
        <f aca="false">IF(AND($K1915=1,AND(对接源_02物料!$X715="公司筐",N(对接源_02物料!$T715)&lt;&gt;0)),1,0)</f>
        <v>0</v>
      </c>
      <c r="Q1915" s="1" t="n">
        <f aca="false">N(Q1914)+$P1915</f>
        <v>13</v>
      </c>
      <c r="R1915" s="1" t="n">
        <f aca="false">IF(AND($K1915=1,AND(对接源_02物料!$X715="公司筐",N(对接源_02物料!$U715)&lt;&gt;0)),1,0)</f>
        <v>0</v>
      </c>
      <c r="S1915" s="1" t="n">
        <f aca="false">N(S1914)+$R1915</f>
        <v>5</v>
      </c>
      <c r="T1915" s="1" t="n">
        <f aca="false">IF(AND($K1915=1,AND(对接源_02物料!$X715="公司筐",N(对接源_02物料!$V715)&lt;&gt;0)),1,0)</f>
        <v>0</v>
      </c>
      <c r="U1915" s="1" t="n">
        <f aca="false">N(U1914)+$T1915</f>
        <v>28</v>
      </c>
      <c r="V1915" s="1" t="n">
        <f aca="false">IF(AND($L1915=1,AND(对接源_02物料!$X715="自备筐",N(对接源_02物料!$V715)&lt;&gt;0)),1,0)</f>
        <v>0</v>
      </c>
      <c r="W1915" s="1" t="n">
        <f aca="false">N(W1914)+$V1915</f>
        <v>7</v>
      </c>
      <c r="X1915" s="1" t="n">
        <f aca="false">IF(AND($L1915=1,AND(对接源_02物料!$X715="自备筐",N(对接源_02物料!$T715)&lt;&gt;0)),1,0)</f>
        <v>0</v>
      </c>
      <c r="Y1915" s="1" t="n">
        <f aca="false">N(Y1914)+$X1915</f>
        <v>0</v>
      </c>
      <c r="Z1915" s="1" t="n">
        <f aca="false">IF(AND($M1915=1,对接源_02物料!$D715="原料入库"),1,0)</f>
        <v>0</v>
      </c>
      <c r="AA1915" s="1" t="n">
        <f aca="false">N(AA1914)+$Z1915</f>
        <v>30</v>
      </c>
      <c r="AB1915" s="1" t="n">
        <f aca="false">IF(AND($M1915=1,LEFT(对接源_02物料!$D715,4)="原料出库"),1,0)</f>
        <v>0</v>
      </c>
      <c r="AC1915" s="1" t="n">
        <f aca="false">N(AC1914)+$AB1915</f>
        <v>19</v>
      </c>
      <c r="AD1915" s="1" t="n">
        <f aca="false">IF(AND($M1915=1,LEFT(对接源_02物料!$D715,4)="成品出库"),1,0)</f>
        <v>0</v>
      </c>
      <c r="AE1915" s="1" t="n">
        <f aca="false">N(AE1914)+$AD1915</f>
        <v>38</v>
      </c>
      <c r="AF1915" s="1" t="n">
        <f aca="false">IF(AND($N1915=1,AND(LEFT(对接源_02物料!$D715,4)="包装物料",N(对接源_02物料!$K715)&lt;&gt;0)),1,0)</f>
        <v>0</v>
      </c>
      <c r="AG1915" s="1" t="n">
        <f aca="false">N(AG1914)+$AF1915</f>
        <v>6</v>
      </c>
      <c r="AH1915" s="1" t="n">
        <f aca="false">IF(AND($N1915=1,AND(LEFT(对接源_02物料!$D715,3)="周转筐",N(对接源_02物料!$K715)&lt;&gt;0)),1,0)</f>
        <v>0</v>
      </c>
      <c r="AI1915" s="1" t="n">
        <f aca="false">N(AI1914)+$AH1915</f>
        <v>0</v>
      </c>
      <c r="AJ1915" s="1" t="n">
        <v>0</v>
      </c>
      <c r="AK1915" s="1" t="n">
        <f aca="false">N(AK1914)+$AJ1915</f>
        <v>3672</v>
      </c>
    </row>
    <row r="1916" customFormat="false" ht="13.5" hidden="false" customHeight="false" outlineLevel="0" collapsed="false">
      <c r="A1916" s="1" t="str">
        <f aca="false">IF(对接源_02物料!$C716="","",对接源_02物料!$C716)</f>
        <v/>
      </c>
      <c r="B1916" s="1" t="n">
        <f aca="false">IF(A1916="",0,IF(MATCH(A1916,$A$4:$A$2403,0)=ROW()-3,1,0))</f>
        <v>0</v>
      </c>
      <c r="C1916" s="1" t="n">
        <f aca="false">N(C1915)+B1916</f>
        <v>17</v>
      </c>
      <c r="K1916" s="1" t="n">
        <f aca="false">IF(OR($K$1="",对接源_02物料!$C716="",对接源_02物料!$C716&lt;&gt;$K$1,对接源_02物料!$B716=""),0,IF(OR(N(对接源_02物料!$B716)&lt;$K$2,N(对接源_02物料!$B716)&gt;$K$3),0,1))</f>
        <v>0</v>
      </c>
      <c r="L1916" s="1" t="n">
        <f aca="false">IF(OR($L$1="",对接源_02物料!$C716="",对接源_02物料!$C716&lt;&gt;$L$1,对接源_02物料!$B716=""),0,IF(OR(N(对接源_02物料!$B716)&lt;$L$2,N(对接源_02物料!$B716)&gt;$L$3),0,1))</f>
        <v>0</v>
      </c>
      <c r="M1916" s="1" t="n">
        <f aca="false">IF(OR($M$1="",对接源_02物料!$C716="",对接源_02物料!$C716&lt;&gt;$M$1,对接源_02物料!$B716=""),0,IF(OR(N(对接源_02物料!$B716)&lt;$M$2,N(对接源_02物料!$B716)&gt;$M$3),0,1))</f>
        <v>0</v>
      </c>
      <c r="N1916" s="1" t="n">
        <f aca="false">IF(OR($N$1="",对接源_02物料!$C716="",对接源_02物料!$C716&lt;&gt;$N$1,对接源_02物料!$B716=""),0,IF(OR(N(对接源_02物料!$B716)&lt;$N$2,N(对接源_02物料!$B716)&gt;$N$3),0,1))</f>
        <v>0</v>
      </c>
      <c r="P1916" s="1" t="n">
        <f aca="false">IF(AND($K1916=1,AND(对接源_02物料!$X716="公司筐",N(对接源_02物料!$T716)&lt;&gt;0)),1,0)</f>
        <v>0</v>
      </c>
      <c r="Q1916" s="1" t="n">
        <f aca="false">N(Q1915)+$P1916</f>
        <v>13</v>
      </c>
      <c r="R1916" s="1" t="n">
        <f aca="false">IF(AND($K1916=1,AND(对接源_02物料!$X716="公司筐",N(对接源_02物料!$U716)&lt;&gt;0)),1,0)</f>
        <v>0</v>
      </c>
      <c r="S1916" s="1" t="n">
        <f aca="false">N(S1915)+$R1916</f>
        <v>5</v>
      </c>
      <c r="T1916" s="1" t="n">
        <f aca="false">IF(AND($K1916=1,AND(对接源_02物料!$X716="公司筐",N(对接源_02物料!$V716)&lt;&gt;0)),1,0)</f>
        <v>0</v>
      </c>
      <c r="U1916" s="1" t="n">
        <f aca="false">N(U1915)+$T1916</f>
        <v>28</v>
      </c>
      <c r="V1916" s="1" t="n">
        <f aca="false">IF(AND($L1916=1,AND(对接源_02物料!$X716="自备筐",N(对接源_02物料!$V716)&lt;&gt;0)),1,0)</f>
        <v>0</v>
      </c>
      <c r="W1916" s="1" t="n">
        <f aca="false">N(W1915)+$V1916</f>
        <v>7</v>
      </c>
      <c r="X1916" s="1" t="n">
        <f aca="false">IF(AND($L1916=1,AND(对接源_02物料!$X716="自备筐",N(对接源_02物料!$T716)&lt;&gt;0)),1,0)</f>
        <v>0</v>
      </c>
      <c r="Y1916" s="1" t="n">
        <f aca="false">N(Y1915)+$X1916</f>
        <v>0</v>
      </c>
      <c r="Z1916" s="1" t="n">
        <f aca="false">IF(AND($M1916=1,对接源_02物料!$D716="原料入库"),1,0)</f>
        <v>0</v>
      </c>
      <c r="AA1916" s="1" t="n">
        <f aca="false">N(AA1915)+$Z1916</f>
        <v>30</v>
      </c>
      <c r="AB1916" s="1" t="n">
        <f aca="false">IF(AND($M1916=1,LEFT(对接源_02物料!$D716,4)="原料出库"),1,0)</f>
        <v>0</v>
      </c>
      <c r="AC1916" s="1" t="n">
        <f aca="false">N(AC1915)+$AB1916</f>
        <v>19</v>
      </c>
      <c r="AD1916" s="1" t="n">
        <f aca="false">IF(AND($M1916=1,LEFT(对接源_02物料!$D716,4)="成品出库"),1,0)</f>
        <v>0</v>
      </c>
      <c r="AE1916" s="1" t="n">
        <f aca="false">N(AE1915)+$AD1916</f>
        <v>38</v>
      </c>
      <c r="AF1916" s="1" t="n">
        <f aca="false">IF(AND($N1916=1,AND(LEFT(对接源_02物料!$D716,4)="包装物料",N(对接源_02物料!$K716)&lt;&gt;0)),1,0)</f>
        <v>0</v>
      </c>
      <c r="AG1916" s="1" t="n">
        <f aca="false">N(AG1915)+$AF1916</f>
        <v>6</v>
      </c>
      <c r="AH1916" s="1" t="n">
        <f aca="false">IF(AND($N1916=1,AND(LEFT(对接源_02物料!$D716,3)="周转筐",N(对接源_02物料!$K716)&lt;&gt;0)),1,0)</f>
        <v>0</v>
      </c>
      <c r="AI1916" s="1" t="n">
        <f aca="false">N(AI1915)+$AH1916</f>
        <v>0</v>
      </c>
      <c r="AJ1916" s="1" t="n">
        <v>0</v>
      </c>
      <c r="AK1916" s="1" t="n">
        <f aca="false">N(AK1915)+$AJ1916</f>
        <v>3672</v>
      </c>
    </row>
    <row r="1917" customFormat="false" ht="13.5" hidden="false" customHeight="false" outlineLevel="0" collapsed="false">
      <c r="A1917" s="1" t="str">
        <f aca="false">IF(对接源_02物料!$C717="","",对接源_02物料!$C717)</f>
        <v/>
      </c>
      <c r="B1917" s="1" t="n">
        <f aca="false">IF(A1917="",0,IF(MATCH(A1917,$A$4:$A$2403,0)=ROW()-3,1,0))</f>
        <v>0</v>
      </c>
      <c r="C1917" s="1" t="n">
        <f aca="false">N(C1916)+B1917</f>
        <v>17</v>
      </c>
      <c r="K1917" s="1" t="n">
        <f aca="false">IF(OR($K$1="",对接源_02物料!$C717="",对接源_02物料!$C717&lt;&gt;$K$1,对接源_02物料!$B717=""),0,IF(OR(N(对接源_02物料!$B717)&lt;$K$2,N(对接源_02物料!$B717)&gt;$K$3),0,1))</f>
        <v>0</v>
      </c>
      <c r="L1917" s="1" t="n">
        <f aca="false">IF(OR($L$1="",对接源_02物料!$C717="",对接源_02物料!$C717&lt;&gt;$L$1,对接源_02物料!$B717=""),0,IF(OR(N(对接源_02物料!$B717)&lt;$L$2,N(对接源_02物料!$B717)&gt;$L$3),0,1))</f>
        <v>0</v>
      </c>
      <c r="M1917" s="1" t="n">
        <f aca="false">IF(OR($M$1="",对接源_02物料!$C717="",对接源_02物料!$C717&lt;&gt;$M$1,对接源_02物料!$B717=""),0,IF(OR(N(对接源_02物料!$B717)&lt;$M$2,N(对接源_02物料!$B717)&gt;$M$3),0,1))</f>
        <v>0</v>
      </c>
      <c r="N1917" s="1" t="n">
        <f aca="false">IF(OR($N$1="",对接源_02物料!$C717="",对接源_02物料!$C717&lt;&gt;$N$1,对接源_02物料!$B717=""),0,IF(OR(N(对接源_02物料!$B717)&lt;$N$2,N(对接源_02物料!$B717)&gt;$N$3),0,1))</f>
        <v>0</v>
      </c>
      <c r="P1917" s="1" t="n">
        <f aca="false">IF(AND($K1917=1,AND(对接源_02物料!$X717="公司筐",N(对接源_02物料!$T717)&lt;&gt;0)),1,0)</f>
        <v>0</v>
      </c>
      <c r="Q1917" s="1" t="n">
        <f aca="false">N(Q1916)+$P1917</f>
        <v>13</v>
      </c>
      <c r="R1917" s="1" t="n">
        <f aca="false">IF(AND($K1917=1,AND(对接源_02物料!$X717="公司筐",N(对接源_02物料!$U717)&lt;&gt;0)),1,0)</f>
        <v>0</v>
      </c>
      <c r="S1917" s="1" t="n">
        <f aca="false">N(S1916)+$R1917</f>
        <v>5</v>
      </c>
      <c r="T1917" s="1" t="n">
        <f aca="false">IF(AND($K1917=1,AND(对接源_02物料!$X717="公司筐",N(对接源_02物料!$V717)&lt;&gt;0)),1,0)</f>
        <v>0</v>
      </c>
      <c r="U1917" s="1" t="n">
        <f aca="false">N(U1916)+$T1917</f>
        <v>28</v>
      </c>
      <c r="V1917" s="1" t="n">
        <f aca="false">IF(AND($L1917=1,AND(对接源_02物料!$X717="自备筐",N(对接源_02物料!$V717)&lt;&gt;0)),1,0)</f>
        <v>0</v>
      </c>
      <c r="W1917" s="1" t="n">
        <f aca="false">N(W1916)+$V1917</f>
        <v>7</v>
      </c>
      <c r="X1917" s="1" t="n">
        <f aca="false">IF(AND($L1917=1,AND(对接源_02物料!$X717="自备筐",N(对接源_02物料!$T717)&lt;&gt;0)),1,0)</f>
        <v>0</v>
      </c>
      <c r="Y1917" s="1" t="n">
        <f aca="false">N(Y1916)+$X1917</f>
        <v>0</v>
      </c>
      <c r="Z1917" s="1" t="n">
        <f aca="false">IF(AND($M1917=1,对接源_02物料!$D717="原料入库"),1,0)</f>
        <v>0</v>
      </c>
      <c r="AA1917" s="1" t="n">
        <f aca="false">N(AA1916)+$Z1917</f>
        <v>30</v>
      </c>
      <c r="AB1917" s="1" t="n">
        <f aca="false">IF(AND($M1917=1,LEFT(对接源_02物料!$D717,4)="原料出库"),1,0)</f>
        <v>0</v>
      </c>
      <c r="AC1917" s="1" t="n">
        <f aca="false">N(AC1916)+$AB1917</f>
        <v>19</v>
      </c>
      <c r="AD1917" s="1" t="n">
        <f aca="false">IF(AND($M1917=1,LEFT(对接源_02物料!$D717,4)="成品出库"),1,0)</f>
        <v>0</v>
      </c>
      <c r="AE1917" s="1" t="n">
        <f aca="false">N(AE1916)+$AD1917</f>
        <v>38</v>
      </c>
      <c r="AF1917" s="1" t="n">
        <f aca="false">IF(AND($N1917=1,AND(LEFT(对接源_02物料!$D717,4)="包装物料",N(对接源_02物料!$K717)&lt;&gt;0)),1,0)</f>
        <v>0</v>
      </c>
      <c r="AG1917" s="1" t="n">
        <f aca="false">N(AG1916)+$AF1917</f>
        <v>6</v>
      </c>
      <c r="AH1917" s="1" t="n">
        <f aca="false">IF(AND($N1917=1,AND(LEFT(对接源_02物料!$D717,3)="周转筐",N(对接源_02物料!$K717)&lt;&gt;0)),1,0)</f>
        <v>0</v>
      </c>
      <c r="AI1917" s="1" t="n">
        <f aca="false">N(AI1916)+$AH1917</f>
        <v>0</v>
      </c>
      <c r="AJ1917" s="1" t="n">
        <v>0</v>
      </c>
      <c r="AK1917" s="1" t="n">
        <f aca="false">N(AK1916)+$AJ1917</f>
        <v>3672</v>
      </c>
    </row>
    <row r="1918" customFormat="false" ht="13.5" hidden="false" customHeight="false" outlineLevel="0" collapsed="false">
      <c r="A1918" s="1" t="str">
        <f aca="false">IF(对接源_02物料!$C718="","",对接源_02物料!$C718)</f>
        <v/>
      </c>
      <c r="B1918" s="1" t="n">
        <f aca="false">IF(A1918="",0,IF(MATCH(A1918,$A$4:$A$2403,0)=ROW()-3,1,0))</f>
        <v>0</v>
      </c>
      <c r="C1918" s="1" t="n">
        <f aca="false">N(C1917)+B1918</f>
        <v>17</v>
      </c>
      <c r="K1918" s="1" t="n">
        <f aca="false">IF(OR($K$1="",对接源_02物料!$C718="",对接源_02物料!$C718&lt;&gt;$K$1,对接源_02物料!$B718=""),0,IF(OR(N(对接源_02物料!$B718)&lt;$K$2,N(对接源_02物料!$B718)&gt;$K$3),0,1))</f>
        <v>0</v>
      </c>
      <c r="L1918" s="1" t="n">
        <f aca="false">IF(OR($L$1="",对接源_02物料!$C718="",对接源_02物料!$C718&lt;&gt;$L$1,对接源_02物料!$B718=""),0,IF(OR(N(对接源_02物料!$B718)&lt;$L$2,N(对接源_02物料!$B718)&gt;$L$3),0,1))</f>
        <v>0</v>
      </c>
      <c r="M1918" s="1" t="n">
        <f aca="false">IF(OR($M$1="",对接源_02物料!$C718="",对接源_02物料!$C718&lt;&gt;$M$1,对接源_02物料!$B718=""),0,IF(OR(N(对接源_02物料!$B718)&lt;$M$2,N(对接源_02物料!$B718)&gt;$M$3),0,1))</f>
        <v>0</v>
      </c>
      <c r="N1918" s="1" t="n">
        <f aca="false">IF(OR($N$1="",对接源_02物料!$C718="",对接源_02物料!$C718&lt;&gt;$N$1,对接源_02物料!$B718=""),0,IF(OR(N(对接源_02物料!$B718)&lt;$N$2,N(对接源_02物料!$B718)&gt;$N$3),0,1))</f>
        <v>0</v>
      </c>
      <c r="P1918" s="1" t="n">
        <f aca="false">IF(AND($K1918=1,AND(对接源_02物料!$X718="公司筐",N(对接源_02物料!$T718)&lt;&gt;0)),1,0)</f>
        <v>0</v>
      </c>
      <c r="Q1918" s="1" t="n">
        <f aca="false">N(Q1917)+$P1918</f>
        <v>13</v>
      </c>
      <c r="R1918" s="1" t="n">
        <f aca="false">IF(AND($K1918=1,AND(对接源_02物料!$X718="公司筐",N(对接源_02物料!$U718)&lt;&gt;0)),1,0)</f>
        <v>0</v>
      </c>
      <c r="S1918" s="1" t="n">
        <f aca="false">N(S1917)+$R1918</f>
        <v>5</v>
      </c>
      <c r="T1918" s="1" t="n">
        <f aca="false">IF(AND($K1918=1,AND(对接源_02物料!$X718="公司筐",N(对接源_02物料!$V718)&lt;&gt;0)),1,0)</f>
        <v>0</v>
      </c>
      <c r="U1918" s="1" t="n">
        <f aca="false">N(U1917)+$T1918</f>
        <v>28</v>
      </c>
      <c r="V1918" s="1" t="n">
        <f aca="false">IF(AND($L1918=1,AND(对接源_02物料!$X718="自备筐",N(对接源_02物料!$V718)&lt;&gt;0)),1,0)</f>
        <v>0</v>
      </c>
      <c r="W1918" s="1" t="n">
        <f aca="false">N(W1917)+$V1918</f>
        <v>7</v>
      </c>
      <c r="X1918" s="1" t="n">
        <f aca="false">IF(AND($L1918=1,AND(对接源_02物料!$X718="自备筐",N(对接源_02物料!$T718)&lt;&gt;0)),1,0)</f>
        <v>0</v>
      </c>
      <c r="Y1918" s="1" t="n">
        <f aca="false">N(Y1917)+$X1918</f>
        <v>0</v>
      </c>
      <c r="Z1918" s="1" t="n">
        <f aca="false">IF(AND($M1918=1,对接源_02物料!$D718="原料入库"),1,0)</f>
        <v>0</v>
      </c>
      <c r="AA1918" s="1" t="n">
        <f aca="false">N(AA1917)+$Z1918</f>
        <v>30</v>
      </c>
      <c r="AB1918" s="1" t="n">
        <f aca="false">IF(AND($M1918=1,LEFT(对接源_02物料!$D718,4)="原料出库"),1,0)</f>
        <v>0</v>
      </c>
      <c r="AC1918" s="1" t="n">
        <f aca="false">N(AC1917)+$AB1918</f>
        <v>19</v>
      </c>
      <c r="AD1918" s="1" t="n">
        <f aca="false">IF(AND($M1918=1,LEFT(对接源_02物料!$D718,4)="成品出库"),1,0)</f>
        <v>0</v>
      </c>
      <c r="AE1918" s="1" t="n">
        <f aca="false">N(AE1917)+$AD1918</f>
        <v>38</v>
      </c>
      <c r="AF1918" s="1" t="n">
        <f aca="false">IF(AND($N1918=1,AND(LEFT(对接源_02物料!$D718,4)="包装物料",N(对接源_02物料!$K718)&lt;&gt;0)),1,0)</f>
        <v>0</v>
      </c>
      <c r="AG1918" s="1" t="n">
        <f aca="false">N(AG1917)+$AF1918</f>
        <v>6</v>
      </c>
      <c r="AH1918" s="1" t="n">
        <f aca="false">IF(AND($N1918=1,AND(LEFT(对接源_02物料!$D718,3)="周转筐",N(对接源_02物料!$K718)&lt;&gt;0)),1,0)</f>
        <v>0</v>
      </c>
      <c r="AI1918" s="1" t="n">
        <f aca="false">N(AI1917)+$AH1918</f>
        <v>0</v>
      </c>
      <c r="AJ1918" s="1" t="n">
        <v>0</v>
      </c>
      <c r="AK1918" s="1" t="n">
        <f aca="false">N(AK1917)+$AJ1918</f>
        <v>3672</v>
      </c>
    </row>
    <row r="1919" customFormat="false" ht="13.5" hidden="false" customHeight="false" outlineLevel="0" collapsed="false">
      <c r="A1919" s="1" t="str">
        <f aca="false">IF(对接源_02物料!$C719="","",对接源_02物料!$C719)</f>
        <v/>
      </c>
      <c r="B1919" s="1" t="n">
        <f aca="false">IF(A1919="",0,IF(MATCH(A1919,$A$4:$A$2403,0)=ROW()-3,1,0))</f>
        <v>0</v>
      </c>
      <c r="C1919" s="1" t="n">
        <f aca="false">N(C1918)+B1919</f>
        <v>17</v>
      </c>
      <c r="K1919" s="1" t="n">
        <f aca="false">IF(OR($K$1="",对接源_02物料!$C719="",对接源_02物料!$C719&lt;&gt;$K$1,对接源_02物料!$B719=""),0,IF(OR(N(对接源_02物料!$B719)&lt;$K$2,N(对接源_02物料!$B719)&gt;$K$3),0,1))</f>
        <v>0</v>
      </c>
      <c r="L1919" s="1" t="n">
        <f aca="false">IF(OR($L$1="",对接源_02物料!$C719="",对接源_02物料!$C719&lt;&gt;$L$1,对接源_02物料!$B719=""),0,IF(OR(N(对接源_02物料!$B719)&lt;$L$2,N(对接源_02物料!$B719)&gt;$L$3),0,1))</f>
        <v>0</v>
      </c>
      <c r="M1919" s="1" t="n">
        <f aca="false">IF(OR($M$1="",对接源_02物料!$C719="",对接源_02物料!$C719&lt;&gt;$M$1,对接源_02物料!$B719=""),0,IF(OR(N(对接源_02物料!$B719)&lt;$M$2,N(对接源_02物料!$B719)&gt;$M$3),0,1))</f>
        <v>0</v>
      </c>
      <c r="N1919" s="1" t="n">
        <f aca="false">IF(OR($N$1="",对接源_02物料!$C719="",对接源_02物料!$C719&lt;&gt;$N$1,对接源_02物料!$B719=""),0,IF(OR(N(对接源_02物料!$B719)&lt;$N$2,N(对接源_02物料!$B719)&gt;$N$3),0,1))</f>
        <v>0</v>
      </c>
      <c r="P1919" s="1" t="n">
        <f aca="false">IF(AND($K1919=1,AND(对接源_02物料!$X719="公司筐",N(对接源_02物料!$T719)&lt;&gt;0)),1,0)</f>
        <v>0</v>
      </c>
      <c r="Q1919" s="1" t="n">
        <f aca="false">N(Q1918)+$P1919</f>
        <v>13</v>
      </c>
      <c r="R1919" s="1" t="n">
        <f aca="false">IF(AND($K1919=1,AND(对接源_02物料!$X719="公司筐",N(对接源_02物料!$U719)&lt;&gt;0)),1,0)</f>
        <v>0</v>
      </c>
      <c r="S1919" s="1" t="n">
        <f aca="false">N(S1918)+$R1919</f>
        <v>5</v>
      </c>
      <c r="T1919" s="1" t="n">
        <f aca="false">IF(AND($K1919=1,AND(对接源_02物料!$X719="公司筐",N(对接源_02物料!$V719)&lt;&gt;0)),1,0)</f>
        <v>0</v>
      </c>
      <c r="U1919" s="1" t="n">
        <f aca="false">N(U1918)+$T1919</f>
        <v>28</v>
      </c>
      <c r="V1919" s="1" t="n">
        <f aca="false">IF(AND($L1919=1,AND(对接源_02物料!$X719="自备筐",N(对接源_02物料!$V719)&lt;&gt;0)),1,0)</f>
        <v>0</v>
      </c>
      <c r="W1919" s="1" t="n">
        <f aca="false">N(W1918)+$V1919</f>
        <v>7</v>
      </c>
      <c r="X1919" s="1" t="n">
        <f aca="false">IF(AND($L1919=1,AND(对接源_02物料!$X719="自备筐",N(对接源_02物料!$T719)&lt;&gt;0)),1,0)</f>
        <v>0</v>
      </c>
      <c r="Y1919" s="1" t="n">
        <f aca="false">N(Y1918)+$X1919</f>
        <v>0</v>
      </c>
      <c r="Z1919" s="1" t="n">
        <f aca="false">IF(AND($M1919=1,对接源_02物料!$D719="原料入库"),1,0)</f>
        <v>0</v>
      </c>
      <c r="AA1919" s="1" t="n">
        <f aca="false">N(AA1918)+$Z1919</f>
        <v>30</v>
      </c>
      <c r="AB1919" s="1" t="n">
        <f aca="false">IF(AND($M1919=1,LEFT(对接源_02物料!$D719,4)="原料出库"),1,0)</f>
        <v>0</v>
      </c>
      <c r="AC1919" s="1" t="n">
        <f aca="false">N(AC1918)+$AB1919</f>
        <v>19</v>
      </c>
      <c r="AD1919" s="1" t="n">
        <f aca="false">IF(AND($M1919=1,LEFT(对接源_02物料!$D719,4)="成品出库"),1,0)</f>
        <v>0</v>
      </c>
      <c r="AE1919" s="1" t="n">
        <f aca="false">N(AE1918)+$AD1919</f>
        <v>38</v>
      </c>
      <c r="AF1919" s="1" t="n">
        <f aca="false">IF(AND($N1919=1,AND(LEFT(对接源_02物料!$D719,4)="包装物料",N(对接源_02物料!$K719)&lt;&gt;0)),1,0)</f>
        <v>0</v>
      </c>
      <c r="AG1919" s="1" t="n">
        <f aca="false">N(AG1918)+$AF1919</f>
        <v>6</v>
      </c>
      <c r="AH1919" s="1" t="n">
        <f aca="false">IF(AND($N1919=1,AND(LEFT(对接源_02物料!$D719,3)="周转筐",N(对接源_02物料!$K719)&lt;&gt;0)),1,0)</f>
        <v>0</v>
      </c>
      <c r="AI1919" s="1" t="n">
        <f aca="false">N(AI1918)+$AH1919</f>
        <v>0</v>
      </c>
      <c r="AJ1919" s="1" t="n">
        <v>0</v>
      </c>
      <c r="AK1919" s="1" t="n">
        <f aca="false">N(AK1918)+$AJ1919</f>
        <v>3672</v>
      </c>
    </row>
    <row r="1920" customFormat="false" ht="13.5" hidden="false" customHeight="false" outlineLevel="0" collapsed="false">
      <c r="A1920" s="1" t="str">
        <f aca="false">IF(对接源_02物料!$C720="","",对接源_02物料!$C720)</f>
        <v/>
      </c>
      <c r="B1920" s="1" t="n">
        <f aca="false">IF(A1920="",0,IF(MATCH(A1920,$A$4:$A$2403,0)=ROW()-3,1,0))</f>
        <v>0</v>
      </c>
      <c r="C1920" s="1" t="n">
        <f aca="false">N(C1919)+B1920</f>
        <v>17</v>
      </c>
      <c r="K1920" s="1" t="n">
        <f aca="false">IF(OR($K$1="",对接源_02物料!$C720="",对接源_02物料!$C720&lt;&gt;$K$1,对接源_02物料!$B720=""),0,IF(OR(N(对接源_02物料!$B720)&lt;$K$2,N(对接源_02物料!$B720)&gt;$K$3),0,1))</f>
        <v>0</v>
      </c>
      <c r="L1920" s="1" t="n">
        <f aca="false">IF(OR($L$1="",对接源_02物料!$C720="",对接源_02物料!$C720&lt;&gt;$L$1,对接源_02物料!$B720=""),0,IF(OR(N(对接源_02物料!$B720)&lt;$L$2,N(对接源_02物料!$B720)&gt;$L$3),0,1))</f>
        <v>0</v>
      </c>
      <c r="M1920" s="1" t="n">
        <f aca="false">IF(OR($M$1="",对接源_02物料!$C720="",对接源_02物料!$C720&lt;&gt;$M$1,对接源_02物料!$B720=""),0,IF(OR(N(对接源_02物料!$B720)&lt;$M$2,N(对接源_02物料!$B720)&gt;$M$3),0,1))</f>
        <v>0</v>
      </c>
      <c r="N1920" s="1" t="n">
        <f aca="false">IF(OR($N$1="",对接源_02物料!$C720="",对接源_02物料!$C720&lt;&gt;$N$1,对接源_02物料!$B720=""),0,IF(OR(N(对接源_02物料!$B720)&lt;$N$2,N(对接源_02物料!$B720)&gt;$N$3),0,1))</f>
        <v>0</v>
      </c>
      <c r="P1920" s="1" t="n">
        <f aca="false">IF(AND($K1920=1,AND(对接源_02物料!$X720="公司筐",N(对接源_02物料!$T720)&lt;&gt;0)),1,0)</f>
        <v>0</v>
      </c>
      <c r="Q1920" s="1" t="n">
        <f aca="false">N(Q1919)+$P1920</f>
        <v>13</v>
      </c>
      <c r="R1920" s="1" t="n">
        <f aca="false">IF(AND($K1920=1,AND(对接源_02物料!$X720="公司筐",N(对接源_02物料!$U720)&lt;&gt;0)),1,0)</f>
        <v>0</v>
      </c>
      <c r="S1920" s="1" t="n">
        <f aca="false">N(S1919)+$R1920</f>
        <v>5</v>
      </c>
      <c r="T1920" s="1" t="n">
        <f aca="false">IF(AND($K1920=1,AND(对接源_02物料!$X720="公司筐",N(对接源_02物料!$V720)&lt;&gt;0)),1,0)</f>
        <v>0</v>
      </c>
      <c r="U1920" s="1" t="n">
        <f aca="false">N(U1919)+$T1920</f>
        <v>28</v>
      </c>
      <c r="V1920" s="1" t="n">
        <f aca="false">IF(AND($L1920=1,AND(对接源_02物料!$X720="自备筐",N(对接源_02物料!$V720)&lt;&gt;0)),1,0)</f>
        <v>0</v>
      </c>
      <c r="W1920" s="1" t="n">
        <f aca="false">N(W1919)+$V1920</f>
        <v>7</v>
      </c>
      <c r="X1920" s="1" t="n">
        <f aca="false">IF(AND($L1920=1,AND(对接源_02物料!$X720="自备筐",N(对接源_02物料!$T720)&lt;&gt;0)),1,0)</f>
        <v>0</v>
      </c>
      <c r="Y1920" s="1" t="n">
        <f aca="false">N(Y1919)+$X1920</f>
        <v>0</v>
      </c>
      <c r="Z1920" s="1" t="n">
        <f aca="false">IF(AND($M1920=1,对接源_02物料!$D720="原料入库"),1,0)</f>
        <v>0</v>
      </c>
      <c r="AA1920" s="1" t="n">
        <f aca="false">N(AA1919)+$Z1920</f>
        <v>30</v>
      </c>
      <c r="AB1920" s="1" t="n">
        <f aca="false">IF(AND($M1920=1,LEFT(对接源_02物料!$D720,4)="原料出库"),1,0)</f>
        <v>0</v>
      </c>
      <c r="AC1920" s="1" t="n">
        <f aca="false">N(AC1919)+$AB1920</f>
        <v>19</v>
      </c>
      <c r="AD1920" s="1" t="n">
        <f aca="false">IF(AND($M1920=1,LEFT(对接源_02物料!$D720,4)="成品出库"),1,0)</f>
        <v>0</v>
      </c>
      <c r="AE1920" s="1" t="n">
        <f aca="false">N(AE1919)+$AD1920</f>
        <v>38</v>
      </c>
      <c r="AF1920" s="1" t="n">
        <f aca="false">IF(AND($N1920=1,AND(LEFT(对接源_02物料!$D720,4)="包装物料",N(对接源_02物料!$K720)&lt;&gt;0)),1,0)</f>
        <v>0</v>
      </c>
      <c r="AG1920" s="1" t="n">
        <f aca="false">N(AG1919)+$AF1920</f>
        <v>6</v>
      </c>
      <c r="AH1920" s="1" t="n">
        <f aca="false">IF(AND($N1920=1,AND(LEFT(对接源_02物料!$D720,3)="周转筐",N(对接源_02物料!$K720)&lt;&gt;0)),1,0)</f>
        <v>0</v>
      </c>
      <c r="AI1920" s="1" t="n">
        <f aca="false">N(AI1919)+$AH1920</f>
        <v>0</v>
      </c>
      <c r="AJ1920" s="1" t="n">
        <v>0</v>
      </c>
      <c r="AK1920" s="1" t="n">
        <f aca="false">N(AK1919)+$AJ1920</f>
        <v>3672</v>
      </c>
    </row>
    <row r="1921" customFormat="false" ht="13.5" hidden="false" customHeight="false" outlineLevel="0" collapsed="false">
      <c r="A1921" s="1" t="str">
        <f aca="false">IF(对接源_02物料!$C721="","",对接源_02物料!$C721)</f>
        <v/>
      </c>
      <c r="B1921" s="1" t="n">
        <f aca="false">IF(A1921="",0,IF(MATCH(A1921,$A$4:$A$2403,0)=ROW()-3,1,0))</f>
        <v>0</v>
      </c>
      <c r="C1921" s="1" t="n">
        <f aca="false">N(C1920)+B1921</f>
        <v>17</v>
      </c>
      <c r="K1921" s="1" t="n">
        <f aca="false">IF(OR($K$1="",对接源_02物料!$C721="",对接源_02物料!$C721&lt;&gt;$K$1,对接源_02物料!$B721=""),0,IF(OR(N(对接源_02物料!$B721)&lt;$K$2,N(对接源_02物料!$B721)&gt;$K$3),0,1))</f>
        <v>0</v>
      </c>
      <c r="L1921" s="1" t="n">
        <f aca="false">IF(OR($L$1="",对接源_02物料!$C721="",对接源_02物料!$C721&lt;&gt;$L$1,对接源_02物料!$B721=""),0,IF(OR(N(对接源_02物料!$B721)&lt;$L$2,N(对接源_02物料!$B721)&gt;$L$3),0,1))</f>
        <v>0</v>
      </c>
      <c r="M1921" s="1" t="n">
        <f aca="false">IF(OR($M$1="",对接源_02物料!$C721="",对接源_02物料!$C721&lt;&gt;$M$1,对接源_02物料!$B721=""),0,IF(OR(N(对接源_02物料!$B721)&lt;$M$2,N(对接源_02物料!$B721)&gt;$M$3),0,1))</f>
        <v>0</v>
      </c>
      <c r="N1921" s="1" t="n">
        <f aca="false">IF(OR($N$1="",对接源_02物料!$C721="",对接源_02物料!$C721&lt;&gt;$N$1,对接源_02物料!$B721=""),0,IF(OR(N(对接源_02物料!$B721)&lt;$N$2,N(对接源_02物料!$B721)&gt;$N$3),0,1))</f>
        <v>0</v>
      </c>
      <c r="P1921" s="1" t="n">
        <f aca="false">IF(AND($K1921=1,AND(对接源_02物料!$X721="公司筐",N(对接源_02物料!$T721)&lt;&gt;0)),1,0)</f>
        <v>0</v>
      </c>
      <c r="Q1921" s="1" t="n">
        <f aca="false">N(Q1920)+$P1921</f>
        <v>13</v>
      </c>
      <c r="R1921" s="1" t="n">
        <f aca="false">IF(AND($K1921=1,AND(对接源_02物料!$X721="公司筐",N(对接源_02物料!$U721)&lt;&gt;0)),1,0)</f>
        <v>0</v>
      </c>
      <c r="S1921" s="1" t="n">
        <f aca="false">N(S1920)+$R1921</f>
        <v>5</v>
      </c>
      <c r="T1921" s="1" t="n">
        <f aca="false">IF(AND($K1921=1,AND(对接源_02物料!$X721="公司筐",N(对接源_02物料!$V721)&lt;&gt;0)),1,0)</f>
        <v>0</v>
      </c>
      <c r="U1921" s="1" t="n">
        <f aca="false">N(U1920)+$T1921</f>
        <v>28</v>
      </c>
      <c r="V1921" s="1" t="n">
        <f aca="false">IF(AND($L1921=1,AND(对接源_02物料!$X721="自备筐",N(对接源_02物料!$V721)&lt;&gt;0)),1,0)</f>
        <v>0</v>
      </c>
      <c r="W1921" s="1" t="n">
        <f aca="false">N(W1920)+$V1921</f>
        <v>7</v>
      </c>
      <c r="X1921" s="1" t="n">
        <f aca="false">IF(AND($L1921=1,AND(对接源_02物料!$X721="自备筐",N(对接源_02物料!$T721)&lt;&gt;0)),1,0)</f>
        <v>0</v>
      </c>
      <c r="Y1921" s="1" t="n">
        <f aca="false">N(Y1920)+$X1921</f>
        <v>0</v>
      </c>
      <c r="Z1921" s="1" t="n">
        <f aca="false">IF(AND($M1921=1,对接源_02物料!$D721="原料入库"),1,0)</f>
        <v>0</v>
      </c>
      <c r="AA1921" s="1" t="n">
        <f aca="false">N(AA1920)+$Z1921</f>
        <v>30</v>
      </c>
      <c r="AB1921" s="1" t="n">
        <f aca="false">IF(AND($M1921=1,LEFT(对接源_02物料!$D721,4)="原料出库"),1,0)</f>
        <v>0</v>
      </c>
      <c r="AC1921" s="1" t="n">
        <f aca="false">N(AC1920)+$AB1921</f>
        <v>19</v>
      </c>
      <c r="AD1921" s="1" t="n">
        <f aca="false">IF(AND($M1921=1,LEFT(对接源_02物料!$D721,4)="成品出库"),1,0)</f>
        <v>0</v>
      </c>
      <c r="AE1921" s="1" t="n">
        <f aca="false">N(AE1920)+$AD1921</f>
        <v>38</v>
      </c>
      <c r="AF1921" s="1" t="n">
        <f aca="false">IF(AND($N1921=1,AND(LEFT(对接源_02物料!$D721,4)="包装物料",N(对接源_02物料!$K721)&lt;&gt;0)),1,0)</f>
        <v>0</v>
      </c>
      <c r="AG1921" s="1" t="n">
        <f aca="false">N(AG1920)+$AF1921</f>
        <v>6</v>
      </c>
      <c r="AH1921" s="1" t="n">
        <f aca="false">IF(AND($N1921=1,AND(LEFT(对接源_02物料!$D721,3)="周转筐",N(对接源_02物料!$K721)&lt;&gt;0)),1,0)</f>
        <v>0</v>
      </c>
      <c r="AI1921" s="1" t="n">
        <f aca="false">N(AI1920)+$AH1921</f>
        <v>0</v>
      </c>
      <c r="AJ1921" s="1" t="n">
        <v>0</v>
      </c>
      <c r="AK1921" s="1" t="n">
        <f aca="false">N(AK1920)+$AJ1921</f>
        <v>3672</v>
      </c>
    </row>
    <row r="1922" customFormat="false" ht="13.5" hidden="false" customHeight="false" outlineLevel="0" collapsed="false">
      <c r="A1922" s="1" t="str">
        <f aca="false">IF(对接源_02物料!$C722="","",对接源_02物料!$C722)</f>
        <v/>
      </c>
      <c r="B1922" s="1" t="n">
        <f aca="false">IF(A1922="",0,IF(MATCH(A1922,$A$4:$A$2403,0)=ROW()-3,1,0))</f>
        <v>0</v>
      </c>
      <c r="C1922" s="1" t="n">
        <f aca="false">N(C1921)+B1922</f>
        <v>17</v>
      </c>
      <c r="K1922" s="1" t="n">
        <f aca="false">IF(OR($K$1="",对接源_02物料!$C722="",对接源_02物料!$C722&lt;&gt;$K$1,对接源_02物料!$B722=""),0,IF(OR(N(对接源_02物料!$B722)&lt;$K$2,N(对接源_02物料!$B722)&gt;$K$3),0,1))</f>
        <v>0</v>
      </c>
      <c r="L1922" s="1" t="n">
        <f aca="false">IF(OR($L$1="",对接源_02物料!$C722="",对接源_02物料!$C722&lt;&gt;$L$1,对接源_02物料!$B722=""),0,IF(OR(N(对接源_02物料!$B722)&lt;$L$2,N(对接源_02物料!$B722)&gt;$L$3),0,1))</f>
        <v>0</v>
      </c>
      <c r="M1922" s="1" t="n">
        <f aca="false">IF(OR($M$1="",对接源_02物料!$C722="",对接源_02物料!$C722&lt;&gt;$M$1,对接源_02物料!$B722=""),0,IF(OR(N(对接源_02物料!$B722)&lt;$M$2,N(对接源_02物料!$B722)&gt;$M$3),0,1))</f>
        <v>0</v>
      </c>
      <c r="N1922" s="1" t="n">
        <f aca="false">IF(OR($N$1="",对接源_02物料!$C722="",对接源_02物料!$C722&lt;&gt;$N$1,对接源_02物料!$B722=""),0,IF(OR(N(对接源_02物料!$B722)&lt;$N$2,N(对接源_02物料!$B722)&gt;$N$3),0,1))</f>
        <v>0</v>
      </c>
      <c r="P1922" s="1" t="n">
        <f aca="false">IF(AND($K1922=1,AND(对接源_02物料!$X722="公司筐",N(对接源_02物料!$T722)&lt;&gt;0)),1,0)</f>
        <v>0</v>
      </c>
      <c r="Q1922" s="1" t="n">
        <f aca="false">N(Q1921)+$P1922</f>
        <v>13</v>
      </c>
      <c r="R1922" s="1" t="n">
        <f aca="false">IF(AND($K1922=1,AND(对接源_02物料!$X722="公司筐",N(对接源_02物料!$U722)&lt;&gt;0)),1,0)</f>
        <v>0</v>
      </c>
      <c r="S1922" s="1" t="n">
        <f aca="false">N(S1921)+$R1922</f>
        <v>5</v>
      </c>
      <c r="T1922" s="1" t="n">
        <f aca="false">IF(AND($K1922=1,AND(对接源_02物料!$X722="公司筐",N(对接源_02物料!$V722)&lt;&gt;0)),1,0)</f>
        <v>0</v>
      </c>
      <c r="U1922" s="1" t="n">
        <f aca="false">N(U1921)+$T1922</f>
        <v>28</v>
      </c>
      <c r="V1922" s="1" t="n">
        <f aca="false">IF(AND($L1922=1,AND(对接源_02物料!$X722="自备筐",N(对接源_02物料!$V722)&lt;&gt;0)),1,0)</f>
        <v>0</v>
      </c>
      <c r="W1922" s="1" t="n">
        <f aca="false">N(W1921)+$V1922</f>
        <v>7</v>
      </c>
      <c r="X1922" s="1" t="n">
        <f aca="false">IF(AND($L1922=1,AND(对接源_02物料!$X722="自备筐",N(对接源_02物料!$T722)&lt;&gt;0)),1,0)</f>
        <v>0</v>
      </c>
      <c r="Y1922" s="1" t="n">
        <f aca="false">N(Y1921)+$X1922</f>
        <v>0</v>
      </c>
      <c r="Z1922" s="1" t="n">
        <f aca="false">IF(AND($M1922=1,对接源_02物料!$D722="原料入库"),1,0)</f>
        <v>0</v>
      </c>
      <c r="AA1922" s="1" t="n">
        <f aca="false">N(AA1921)+$Z1922</f>
        <v>30</v>
      </c>
      <c r="AB1922" s="1" t="n">
        <f aca="false">IF(AND($M1922=1,LEFT(对接源_02物料!$D722,4)="原料出库"),1,0)</f>
        <v>0</v>
      </c>
      <c r="AC1922" s="1" t="n">
        <f aca="false">N(AC1921)+$AB1922</f>
        <v>19</v>
      </c>
      <c r="AD1922" s="1" t="n">
        <f aca="false">IF(AND($M1922=1,LEFT(对接源_02物料!$D722,4)="成品出库"),1,0)</f>
        <v>0</v>
      </c>
      <c r="AE1922" s="1" t="n">
        <f aca="false">N(AE1921)+$AD1922</f>
        <v>38</v>
      </c>
      <c r="AF1922" s="1" t="n">
        <f aca="false">IF(AND($N1922=1,AND(LEFT(对接源_02物料!$D722,4)="包装物料",N(对接源_02物料!$K722)&lt;&gt;0)),1,0)</f>
        <v>0</v>
      </c>
      <c r="AG1922" s="1" t="n">
        <f aca="false">N(AG1921)+$AF1922</f>
        <v>6</v>
      </c>
      <c r="AH1922" s="1" t="n">
        <f aca="false">IF(AND($N1922=1,AND(LEFT(对接源_02物料!$D722,3)="周转筐",N(对接源_02物料!$K722)&lt;&gt;0)),1,0)</f>
        <v>0</v>
      </c>
      <c r="AI1922" s="1" t="n">
        <f aca="false">N(AI1921)+$AH1922</f>
        <v>0</v>
      </c>
      <c r="AJ1922" s="1" t="n">
        <v>0</v>
      </c>
      <c r="AK1922" s="1" t="n">
        <f aca="false">N(AK1921)+$AJ1922</f>
        <v>3672</v>
      </c>
    </row>
    <row r="1923" customFormat="false" ht="13.5" hidden="false" customHeight="false" outlineLevel="0" collapsed="false">
      <c r="A1923" s="1" t="str">
        <f aca="false">IF(对接源_02物料!$C723="","",对接源_02物料!$C723)</f>
        <v/>
      </c>
      <c r="B1923" s="1" t="n">
        <f aca="false">IF(A1923="",0,IF(MATCH(A1923,$A$4:$A$2403,0)=ROW()-3,1,0))</f>
        <v>0</v>
      </c>
      <c r="C1923" s="1" t="n">
        <f aca="false">N(C1922)+B1923</f>
        <v>17</v>
      </c>
      <c r="K1923" s="1" t="n">
        <f aca="false">IF(OR($K$1="",对接源_02物料!$C723="",对接源_02物料!$C723&lt;&gt;$K$1,对接源_02物料!$B723=""),0,IF(OR(N(对接源_02物料!$B723)&lt;$K$2,N(对接源_02物料!$B723)&gt;$K$3),0,1))</f>
        <v>0</v>
      </c>
      <c r="L1923" s="1" t="n">
        <f aca="false">IF(OR($L$1="",对接源_02物料!$C723="",对接源_02物料!$C723&lt;&gt;$L$1,对接源_02物料!$B723=""),0,IF(OR(N(对接源_02物料!$B723)&lt;$L$2,N(对接源_02物料!$B723)&gt;$L$3),0,1))</f>
        <v>0</v>
      </c>
      <c r="M1923" s="1" t="n">
        <f aca="false">IF(OR($M$1="",对接源_02物料!$C723="",对接源_02物料!$C723&lt;&gt;$M$1,对接源_02物料!$B723=""),0,IF(OR(N(对接源_02物料!$B723)&lt;$M$2,N(对接源_02物料!$B723)&gt;$M$3),0,1))</f>
        <v>0</v>
      </c>
      <c r="N1923" s="1" t="n">
        <f aca="false">IF(OR($N$1="",对接源_02物料!$C723="",对接源_02物料!$C723&lt;&gt;$N$1,对接源_02物料!$B723=""),0,IF(OR(N(对接源_02物料!$B723)&lt;$N$2,N(对接源_02物料!$B723)&gt;$N$3),0,1))</f>
        <v>0</v>
      </c>
      <c r="P1923" s="1" t="n">
        <f aca="false">IF(AND($K1923=1,AND(对接源_02物料!$X723="公司筐",N(对接源_02物料!$T723)&lt;&gt;0)),1,0)</f>
        <v>0</v>
      </c>
      <c r="Q1923" s="1" t="n">
        <f aca="false">N(Q1922)+$P1923</f>
        <v>13</v>
      </c>
      <c r="R1923" s="1" t="n">
        <f aca="false">IF(AND($K1923=1,AND(对接源_02物料!$X723="公司筐",N(对接源_02物料!$U723)&lt;&gt;0)),1,0)</f>
        <v>0</v>
      </c>
      <c r="S1923" s="1" t="n">
        <f aca="false">N(S1922)+$R1923</f>
        <v>5</v>
      </c>
      <c r="T1923" s="1" t="n">
        <f aca="false">IF(AND($K1923=1,AND(对接源_02物料!$X723="公司筐",N(对接源_02物料!$V723)&lt;&gt;0)),1,0)</f>
        <v>0</v>
      </c>
      <c r="U1923" s="1" t="n">
        <f aca="false">N(U1922)+$T1923</f>
        <v>28</v>
      </c>
      <c r="V1923" s="1" t="n">
        <f aca="false">IF(AND($L1923=1,AND(对接源_02物料!$X723="自备筐",N(对接源_02物料!$V723)&lt;&gt;0)),1,0)</f>
        <v>0</v>
      </c>
      <c r="W1923" s="1" t="n">
        <f aca="false">N(W1922)+$V1923</f>
        <v>7</v>
      </c>
      <c r="X1923" s="1" t="n">
        <f aca="false">IF(AND($L1923=1,AND(对接源_02物料!$X723="自备筐",N(对接源_02物料!$T723)&lt;&gt;0)),1,0)</f>
        <v>0</v>
      </c>
      <c r="Y1923" s="1" t="n">
        <f aca="false">N(Y1922)+$X1923</f>
        <v>0</v>
      </c>
      <c r="Z1923" s="1" t="n">
        <f aca="false">IF(AND($M1923=1,对接源_02物料!$D723="原料入库"),1,0)</f>
        <v>0</v>
      </c>
      <c r="AA1923" s="1" t="n">
        <f aca="false">N(AA1922)+$Z1923</f>
        <v>30</v>
      </c>
      <c r="AB1923" s="1" t="n">
        <f aca="false">IF(AND($M1923=1,LEFT(对接源_02物料!$D723,4)="原料出库"),1,0)</f>
        <v>0</v>
      </c>
      <c r="AC1923" s="1" t="n">
        <f aca="false">N(AC1922)+$AB1923</f>
        <v>19</v>
      </c>
      <c r="AD1923" s="1" t="n">
        <f aca="false">IF(AND($M1923=1,LEFT(对接源_02物料!$D723,4)="成品出库"),1,0)</f>
        <v>0</v>
      </c>
      <c r="AE1923" s="1" t="n">
        <f aca="false">N(AE1922)+$AD1923</f>
        <v>38</v>
      </c>
      <c r="AF1923" s="1" t="n">
        <f aca="false">IF(AND($N1923=1,AND(LEFT(对接源_02物料!$D723,4)="包装物料",N(对接源_02物料!$K723)&lt;&gt;0)),1,0)</f>
        <v>0</v>
      </c>
      <c r="AG1923" s="1" t="n">
        <f aca="false">N(AG1922)+$AF1923</f>
        <v>6</v>
      </c>
      <c r="AH1923" s="1" t="n">
        <f aca="false">IF(AND($N1923=1,AND(LEFT(对接源_02物料!$D723,3)="周转筐",N(对接源_02物料!$K723)&lt;&gt;0)),1,0)</f>
        <v>0</v>
      </c>
      <c r="AI1923" s="1" t="n">
        <f aca="false">N(AI1922)+$AH1923</f>
        <v>0</v>
      </c>
      <c r="AJ1923" s="1" t="n">
        <v>0</v>
      </c>
      <c r="AK1923" s="1" t="n">
        <f aca="false">N(AK1922)+$AJ1923</f>
        <v>3672</v>
      </c>
    </row>
    <row r="1924" customFormat="false" ht="13.5" hidden="false" customHeight="false" outlineLevel="0" collapsed="false">
      <c r="A1924" s="1" t="str">
        <f aca="false">IF(对接源_02物料!$C724="","",对接源_02物料!$C724)</f>
        <v/>
      </c>
      <c r="B1924" s="1" t="n">
        <f aca="false">IF(A1924="",0,IF(MATCH(A1924,$A$4:$A$2403,0)=ROW()-3,1,0))</f>
        <v>0</v>
      </c>
      <c r="C1924" s="1" t="n">
        <f aca="false">N(C1923)+B1924</f>
        <v>17</v>
      </c>
      <c r="K1924" s="1" t="n">
        <f aca="false">IF(OR($K$1="",对接源_02物料!$C724="",对接源_02物料!$C724&lt;&gt;$K$1,对接源_02物料!$B724=""),0,IF(OR(N(对接源_02物料!$B724)&lt;$K$2,N(对接源_02物料!$B724)&gt;$K$3),0,1))</f>
        <v>0</v>
      </c>
      <c r="L1924" s="1" t="n">
        <f aca="false">IF(OR($L$1="",对接源_02物料!$C724="",对接源_02物料!$C724&lt;&gt;$L$1,对接源_02物料!$B724=""),0,IF(OR(N(对接源_02物料!$B724)&lt;$L$2,N(对接源_02物料!$B724)&gt;$L$3),0,1))</f>
        <v>0</v>
      </c>
      <c r="M1924" s="1" t="n">
        <f aca="false">IF(OR($M$1="",对接源_02物料!$C724="",对接源_02物料!$C724&lt;&gt;$M$1,对接源_02物料!$B724=""),0,IF(OR(N(对接源_02物料!$B724)&lt;$M$2,N(对接源_02物料!$B724)&gt;$M$3),0,1))</f>
        <v>0</v>
      </c>
      <c r="N1924" s="1" t="n">
        <f aca="false">IF(OR($N$1="",对接源_02物料!$C724="",对接源_02物料!$C724&lt;&gt;$N$1,对接源_02物料!$B724=""),0,IF(OR(N(对接源_02物料!$B724)&lt;$N$2,N(对接源_02物料!$B724)&gt;$N$3),0,1))</f>
        <v>0</v>
      </c>
      <c r="P1924" s="1" t="n">
        <f aca="false">IF(AND($K1924=1,AND(对接源_02物料!$X724="公司筐",N(对接源_02物料!$T724)&lt;&gt;0)),1,0)</f>
        <v>0</v>
      </c>
      <c r="Q1924" s="1" t="n">
        <f aca="false">N(Q1923)+$P1924</f>
        <v>13</v>
      </c>
      <c r="R1924" s="1" t="n">
        <f aca="false">IF(AND($K1924=1,AND(对接源_02物料!$X724="公司筐",N(对接源_02物料!$U724)&lt;&gt;0)),1,0)</f>
        <v>0</v>
      </c>
      <c r="S1924" s="1" t="n">
        <f aca="false">N(S1923)+$R1924</f>
        <v>5</v>
      </c>
      <c r="T1924" s="1" t="n">
        <f aca="false">IF(AND($K1924=1,AND(对接源_02物料!$X724="公司筐",N(对接源_02物料!$V724)&lt;&gt;0)),1,0)</f>
        <v>0</v>
      </c>
      <c r="U1924" s="1" t="n">
        <f aca="false">N(U1923)+$T1924</f>
        <v>28</v>
      </c>
      <c r="V1924" s="1" t="n">
        <f aca="false">IF(AND($L1924=1,AND(对接源_02物料!$X724="自备筐",N(对接源_02物料!$V724)&lt;&gt;0)),1,0)</f>
        <v>0</v>
      </c>
      <c r="W1924" s="1" t="n">
        <f aca="false">N(W1923)+$V1924</f>
        <v>7</v>
      </c>
      <c r="X1924" s="1" t="n">
        <f aca="false">IF(AND($L1924=1,AND(对接源_02物料!$X724="自备筐",N(对接源_02物料!$T724)&lt;&gt;0)),1,0)</f>
        <v>0</v>
      </c>
      <c r="Y1924" s="1" t="n">
        <f aca="false">N(Y1923)+$X1924</f>
        <v>0</v>
      </c>
      <c r="Z1924" s="1" t="n">
        <f aca="false">IF(AND($M1924=1,对接源_02物料!$D724="原料入库"),1,0)</f>
        <v>0</v>
      </c>
      <c r="AA1924" s="1" t="n">
        <f aca="false">N(AA1923)+$Z1924</f>
        <v>30</v>
      </c>
      <c r="AB1924" s="1" t="n">
        <f aca="false">IF(AND($M1924=1,LEFT(对接源_02物料!$D724,4)="原料出库"),1,0)</f>
        <v>0</v>
      </c>
      <c r="AC1924" s="1" t="n">
        <f aca="false">N(AC1923)+$AB1924</f>
        <v>19</v>
      </c>
      <c r="AD1924" s="1" t="n">
        <f aca="false">IF(AND($M1924=1,LEFT(对接源_02物料!$D724,4)="成品出库"),1,0)</f>
        <v>0</v>
      </c>
      <c r="AE1924" s="1" t="n">
        <f aca="false">N(AE1923)+$AD1924</f>
        <v>38</v>
      </c>
      <c r="AF1924" s="1" t="n">
        <f aca="false">IF(AND($N1924=1,AND(LEFT(对接源_02物料!$D724,4)="包装物料",N(对接源_02物料!$K724)&lt;&gt;0)),1,0)</f>
        <v>0</v>
      </c>
      <c r="AG1924" s="1" t="n">
        <f aca="false">N(AG1923)+$AF1924</f>
        <v>6</v>
      </c>
      <c r="AH1924" s="1" t="n">
        <f aca="false">IF(AND($N1924=1,AND(LEFT(对接源_02物料!$D724,3)="周转筐",N(对接源_02物料!$K724)&lt;&gt;0)),1,0)</f>
        <v>0</v>
      </c>
      <c r="AI1924" s="1" t="n">
        <f aca="false">N(AI1923)+$AH1924</f>
        <v>0</v>
      </c>
      <c r="AJ1924" s="1" t="n">
        <v>0</v>
      </c>
      <c r="AK1924" s="1" t="n">
        <f aca="false">N(AK1923)+$AJ1924</f>
        <v>3672</v>
      </c>
    </row>
    <row r="1925" customFormat="false" ht="13.5" hidden="false" customHeight="false" outlineLevel="0" collapsed="false">
      <c r="A1925" s="1" t="str">
        <f aca="false">IF(对接源_02物料!$C725="","",对接源_02物料!$C725)</f>
        <v/>
      </c>
      <c r="B1925" s="1" t="n">
        <f aca="false">IF(A1925="",0,IF(MATCH(A1925,$A$4:$A$2403,0)=ROW()-3,1,0))</f>
        <v>0</v>
      </c>
      <c r="C1925" s="1" t="n">
        <f aca="false">N(C1924)+B1925</f>
        <v>17</v>
      </c>
      <c r="K1925" s="1" t="n">
        <f aca="false">IF(OR($K$1="",对接源_02物料!$C725="",对接源_02物料!$C725&lt;&gt;$K$1,对接源_02物料!$B725=""),0,IF(OR(N(对接源_02物料!$B725)&lt;$K$2,N(对接源_02物料!$B725)&gt;$K$3),0,1))</f>
        <v>0</v>
      </c>
      <c r="L1925" s="1" t="n">
        <f aca="false">IF(OR($L$1="",对接源_02物料!$C725="",对接源_02物料!$C725&lt;&gt;$L$1,对接源_02物料!$B725=""),0,IF(OR(N(对接源_02物料!$B725)&lt;$L$2,N(对接源_02物料!$B725)&gt;$L$3),0,1))</f>
        <v>0</v>
      </c>
      <c r="M1925" s="1" t="n">
        <f aca="false">IF(OR($M$1="",对接源_02物料!$C725="",对接源_02物料!$C725&lt;&gt;$M$1,对接源_02物料!$B725=""),0,IF(OR(N(对接源_02物料!$B725)&lt;$M$2,N(对接源_02物料!$B725)&gt;$M$3),0,1))</f>
        <v>0</v>
      </c>
      <c r="N1925" s="1" t="n">
        <f aca="false">IF(OR($N$1="",对接源_02物料!$C725="",对接源_02物料!$C725&lt;&gt;$N$1,对接源_02物料!$B725=""),0,IF(OR(N(对接源_02物料!$B725)&lt;$N$2,N(对接源_02物料!$B725)&gt;$N$3),0,1))</f>
        <v>0</v>
      </c>
      <c r="P1925" s="1" t="n">
        <f aca="false">IF(AND($K1925=1,AND(对接源_02物料!$X725="公司筐",N(对接源_02物料!$T725)&lt;&gt;0)),1,0)</f>
        <v>0</v>
      </c>
      <c r="Q1925" s="1" t="n">
        <f aca="false">N(Q1924)+$P1925</f>
        <v>13</v>
      </c>
      <c r="R1925" s="1" t="n">
        <f aca="false">IF(AND($K1925=1,AND(对接源_02物料!$X725="公司筐",N(对接源_02物料!$U725)&lt;&gt;0)),1,0)</f>
        <v>0</v>
      </c>
      <c r="S1925" s="1" t="n">
        <f aca="false">N(S1924)+$R1925</f>
        <v>5</v>
      </c>
      <c r="T1925" s="1" t="n">
        <f aca="false">IF(AND($K1925=1,AND(对接源_02物料!$X725="公司筐",N(对接源_02物料!$V725)&lt;&gt;0)),1,0)</f>
        <v>0</v>
      </c>
      <c r="U1925" s="1" t="n">
        <f aca="false">N(U1924)+$T1925</f>
        <v>28</v>
      </c>
      <c r="V1925" s="1" t="n">
        <f aca="false">IF(AND($L1925=1,AND(对接源_02物料!$X725="自备筐",N(对接源_02物料!$V725)&lt;&gt;0)),1,0)</f>
        <v>0</v>
      </c>
      <c r="W1925" s="1" t="n">
        <f aca="false">N(W1924)+$V1925</f>
        <v>7</v>
      </c>
      <c r="X1925" s="1" t="n">
        <f aca="false">IF(AND($L1925=1,AND(对接源_02物料!$X725="自备筐",N(对接源_02物料!$T725)&lt;&gt;0)),1,0)</f>
        <v>0</v>
      </c>
      <c r="Y1925" s="1" t="n">
        <f aca="false">N(Y1924)+$X1925</f>
        <v>0</v>
      </c>
      <c r="Z1925" s="1" t="n">
        <f aca="false">IF(AND($M1925=1,对接源_02物料!$D725="原料入库"),1,0)</f>
        <v>0</v>
      </c>
      <c r="AA1925" s="1" t="n">
        <f aca="false">N(AA1924)+$Z1925</f>
        <v>30</v>
      </c>
      <c r="AB1925" s="1" t="n">
        <f aca="false">IF(AND($M1925=1,LEFT(对接源_02物料!$D725,4)="原料出库"),1,0)</f>
        <v>0</v>
      </c>
      <c r="AC1925" s="1" t="n">
        <f aca="false">N(AC1924)+$AB1925</f>
        <v>19</v>
      </c>
      <c r="AD1925" s="1" t="n">
        <f aca="false">IF(AND($M1925=1,LEFT(对接源_02物料!$D725,4)="成品出库"),1,0)</f>
        <v>0</v>
      </c>
      <c r="AE1925" s="1" t="n">
        <f aca="false">N(AE1924)+$AD1925</f>
        <v>38</v>
      </c>
      <c r="AF1925" s="1" t="n">
        <f aca="false">IF(AND($N1925=1,AND(LEFT(对接源_02物料!$D725,4)="包装物料",N(对接源_02物料!$K725)&lt;&gt;0)),1,0)</f>
        <v>0</v>
      </c>
      <c r="AG1925" s="1" t="n">
        <f aca="false">N(AG1924)+$AF1925</f>
        <v>6</v>
      </c>
      <c r="AH1925" s="1" t="n">
        <f aca="false">IF(AND($N1925=1,AND(LEFT(对接源_02物料!$D725,3)="周转筐",N(对接源_02物料!$K725)&lt;&gt;0)),1,0)</f>
        <v>0</v>
      </c>
      <c r="AI1925" s="1" t="n">
        <f aca="false">N(AI1924)+$AH1925</f>
        <v>0</v>
      </c>
      <c r="AJ1925" s="1" t="n">
        <v>0</v>
      </c>
      <c r="AK1925" s="1" t="n">
        <f aca="false">N(AK1924)+$AJ1925</f>
        <v>3672</v>
      </c>
    </row>
    <row r="1926" customFormat="false" ht="13.5" hidden="false" customHeight="false" outlineLevel="0" collapsed="false">
      <c r="A1926" s="1" t="str">
        <f aca="false">IF(对接源_02物料!$C726="","",对接源_02物料!$C726)</f>
        <v/>
      </c>
      <c r="B1926" s="1" t="n">
        <f aca="false">IF(A1926="",0,IF(MATCH(A1926,$A$4:$A$2403,0)=ROW()-3,1,0))</f>
        <v>0</v>
      </c>
      <c r="C1926" s="1" t="n">
        <f aca="false">N(C1925)+B1926</f>
        <v>17</v>
      </c>
      <c r="K1926" s="1" t="n">
        <f aca="false">IF(OR($K$1="",对接源_02物料!$C726="",对接源_02物料!$C726&lt;&gt;$K$1,对接源_02物料!$B726=""),0,IF(OR(N(对接源_02物料!$B726)&lt;$K$2,N(对接源_02物料!$B726)&gt;$K$3),0,1))</f>
        <v>0</v>
      </c>
      <c r="L1926" s="1" t="n">
        <f aca="false">IF(OR($L$1="",对接源_02物料!$C726="",对接源_02物料!$C726&lt;&gt;$L$1,对接源_02物料!$B726=""),0,IF(OR(N(对接源_02物料!$B726)&lt;$L$2,N(对接源_02物料!$B726)&gt;$L$3),0,1))</f>
        <v>0</v>
      </c>
      <c r="M1926" s="1" t="n">
        <f aca="false">IF(OR($M$1="",对接源_02物料!$C726="",对接源_02物料!$C726&lt;&gt;$M$1,对接源_02物料!$B726=""),0,IF(OR(N(对接源_02物料!$B726)&lt;$M$2,N(对接源_02物料!$B726)&gt;$M$3),0,1))</f>
        <v>0</v>
      </c>
      <c r="N1926" s="1" t="n">
        <f aca="false">IF(OR($N$1="",对接源_02物料!$C726="",对接源_02物料!$C726&lt;&gt;$N$1,对接源_02物料!$B726=""),0,IF(OR(N(对接源_02物料!$B726)&lt;$N$2,N(对接源_02物料!$B726)&gt;$N$3),0,1))</f>
        <v>0</v>
      </c>
      <c r="P1926" s="1" t="n">
        <f aca="false">IF(AND($K1926=1,AND(对接源_02物料!$X726="公司筐",N(对接源_02物料!$T726)&lt;&gt;0)),1,0)</f>
        <v>0</v>
      </c>
      <c r="Q1926" s="1" t="n">
        <f aca="false">N(Q1925)+$P1926</f>
        <v>13</v>
      </c>
      <c r="R1926" s="1" t="n">
        <f aca="false">IF(AND($K1926=1,AND(对接源_02物料!$X726="公司筐",N(对接源_02物料!$U726)&lt;&gt;0)),1,0)</f>
        <v>0</v>
      </c>
      <c r="S1926" s="1" t="n">
        <f aca="false">N(S1925)+$R1926</f>
        <v>5</v>
      </c>
      <c r="T1926" s="1" t="n">
        <f aca="false">IF(AND($K1926=1,AND(对接源_02物料!$X726="公司筐",N(对接源_02物料!$V726)&lt;&gt;0)),1,0)</f>
        <v>0</v>
      </c>
      <c r="U1926" s="1" t="n">
        <f aca="false">N(U1925)+$T1926</f>
        <v>28</v>
      </c>
      <c r="V1926" s="1" t="n">
        <f aca="false">IF(AND($L1926=1,AND(对接源_02物料!$X726="自备筐",N(对接源_02物料!$V726)&lt;&gt;0)),1,0)</f>
        <v>0</v>
      </c>
      <c r="W1926" s="1" t="n">
        <f aca="false">N(W1925)+$V1926</f>
        <v>7</v>
      </c>
      <c r="X1926" s="1" t="n">
        <f aca="false">IF(AND($L1926=1,AND(对接源_02物料!$X726="自备筐",N(对接源_02物料!$T726)&lt;&gt;0)),1,0)</f>
        <v>0</v>
      </c>
      <c r="Y1926" s="1" t="n">
        <f aca="false">N(Y1925)+$X1926</f>
        <v>0</v>
      </c>
      <c r="Z1926" s="1" t="n">
        <f aca="false">IF(AND($M1926=1,对接源_02物料!$D726="原料入库"),1,0)</f>
        <v>0</v>
      </c>
      <c r="AA1926" s="1" t="n">
        <f aca="false">N(AA1925)+$Z1926</f>
        <v>30</v>
      </c>
      <c r="AB1926" s="1" t="n">
        <f aca="false">IF(AND($M1926=1,LEFT(对接源_02物料!$D726,4)="原料出库"),1,0)</f>
        <v>0</v>
      </c>
      <c r="AC1926" s="1" t="n">
        <f aca="false">N(AC1925)+$AB1926</f>
        <v>19</v>
      </c>
      <c r="AD1926" s="1" t="n">
        <f aca="false">IF(AND($M1926=1,LEFT(对接源_02物料!$D726,4)="成品出库"),1,0)</f>
        <v>0</v>
      </c>
      <c r="AE1926" s="1" t="n">
        <f aca="false">N(AE1925)+$AD1926</f>
        <v>38</v>
      </c>
      <c r="AF1926" s="1" t="n">
        <f aca="false">IF(AND($N1926=1,AND(LEFT(对接源_02物料!$D726,4)="包装物料",N(对接源_02物料!$K726)&lt;&gt;0)),1,0)</f>
        <v>0</v>
      </c>
      <c r="AG1926" s="1" t="n">
        <f aca="false">N(AG1925)+$AF1926</f>
        <v>6</v>
      </c>
      <c r="AH1926" s="1" t="n">
        <f aca="false">IF(AND($N1926=1,AND(LEFT(对接源_02物料!$D726,3)="周转筐",N(对接源_02物料!$K726)&lt;&gt;0)),1,0)</f>
        <v>0</v>
      </c>
      <c r="AI1926" s="1" t="n">
        <f aca="false">N(AI1925)+$AH1926</f>
        <v>0</v>
      </c>
      <c r="AJ1926" s="1" t="n">
        <v>0</v>
      </c>
      <c r="AK1926" s="1" t="n">
        <f aca="false">N(AK1925)+$AJ1926</f>
        <v>3672</v>
      </c>
    </row>
    <row r="1927" customFormat="false" ht="13.5" hidden="false" customHeight="false" outlineLevel="0" collapsed="false">
      <c r="A1927" s="1" t="str">
        <f aca="false">IF(对接源_02物料!$C727="","",对接源_02物料!$C727)</f>
        <v/>
      </c>
      <c r="B1927" s="1" t="n">
        <f aca="false">IF(A1927="",0,IF(MATCH(A1927,$A$4:$A$2403,0)=ROW()-3,1,0))</f>
        <v>0</v>
      </c>
      <c r="C1927" s="1" t="n">
        <f aca="false">N(C1926)+B1927</f>
        <v>17</v>
      </c>
      <c r="K1927" s="1" t="n">
        <f aca="false">IF(OR($K$1="",对接源_02物料!$C727="",对接源_02物料!$C727&lt;&gt;$K$1,对接源_02物料!$B727=""),0,IF(OR(N(对接源_02物料!$B727)&lt;$K$2,N(对接源_02物料!$B727)&gt;$K$3),0,1))</f>
        <v>0</v>
      </c>
      <c r="L1927" s="1" t="n">
        <f aca="false">IF(OR($L$1="",对接源_02物料!$C727="",对接源_02物料!$C727&lt;&gt;$L$1,对接源_02物料!$B727=""),0,IF(OR(N(对接源_02物料!$B727)&lt;$L$2,N(对接源_02物料!$B727)&gt;$L$3),0,1))</f>
        <v>0</v>
      </c>
      <c r="M1927" s="1" t="n">
        <f aca="false">IF(OR($M$1="",对接源_02物料!$C727="",对接源_02物料!$C727&lt;&gt;$M$1,对接源_02物料!$B727=""),0,IF(OR(N(对接源_02物料!$B727)&lt;$M$2,N(对接源_02物料!$B727)&gt;$M$3),0,1))</f>
        <v>0</v>
      </c>
      <c r="N1927" s="1" t="n">
        <f aca="false">IF(OR($N$1="",对接源_02物料!$C727="",对接源_02物料!$C727&lt;&gt;$N$1,对接源_02物料!$B727=""),0,IF(OR(N(对接源_02物料!$B727)&lt;$N$2,N(对接源_02物料!$B727)&gt;$N$3),0,1))</f>
        <v>0</v>
      </c>
      <c r="P1927" s="1" t="n">
        <f aca="false">IF(AND($K1927=1,AND(对接源_02物料!$X727="公司筐",N(对接源_02物料!$T727)&lt;&gt;0)),1,0)</f>
        <v>0</v>
      </c>
      <c r="Q1927" s="1" t="n">
        <f aca="false">N(Q1926)+$P1927</f>
        <v>13</v>
      </c>
      <c r="R1927" s="1" t="n">
        <f aca="false">IF(AND($K1927=1,AND(对接源_02物料!$X727="公司筐",N(对接源_02物料!$U727)&lt;&gt;0)),1,0)</f>
        <v>0</v>
      </c>
      <c r="S1927" s="1" t="n">
        <f aca="false">N(S1926)+$R1927</f>
        <v>5</v>
      </c>
      <c r="T1927" s="1" t="n">
        <f aca="false">IF(AND($K1927=1,AND(对接源_02物料!$X727="公司筐",N(对接源_02物料!$V727)&lt;&gt;0)),1,0)</f>
        <v>0</v>
      </c>
      <c r="U1927" s="1" t="n">
        <f aca="false">N(U1926)+$T1927</f>
        <v>28</v>
      </c>
      <c r="V1927" s="1" t="n">
        <f aca="false">IF(AND($L1927=1,AND(对接源_02物料!$X727="自备筐",N(对接源_02物料!$V727)&lt;&gt;0)),1,0)</f>
        <v>0</v>
      </c>
      <c r="W1927" s="1" t="n">
        <f aca="false">N(W1926)+$V1927</f>
        <v>7</v>
      </c>
      <c r="X1927" s="1" t="n">
        <f aca="false">IF(AND($L1927=1,AND(对接源_02物料!$X727="自备筐",N(对接源_02物料!$T727)&lt;&gt;0)),1,0)</f>
        <v>0</v>
      </c>
      <c r="Y1927" s="1" t="n">
        <f aca="false">N(Y1926)+$X1927</f>
        <v>0</v>
      </c>
      <c r="Z1927" s="1" t="n">
        <f aca="false">IF(AND($M1927=1,对接源_02物料!$D727="原料入库"),1,0)</f>
        <v>0</v>
      </c>
      <c r="AA1927" s="1" t="n">
        <f aca="false">N(AA1926)+$Z1927</f>
        <v>30</v>
      </c>
      <c r="AB1927" s="1" t="n">
        <f aca="false">IF(AND($M1927=1,LEFT(对接源_02物料!$D727,4)="原料出库"),1,0)</f>
        <v>0</v>
      </c>
      <c r="AC1927" s="1" t="n">
        <f aca="false">N(AC1926)+$AB1927</f>
        <v>19</v>
      </c>
      <c r="AD1927" s="1" t="n">
        <f aca="false">IF(AND($M1927=1,LEFT(对接源_02物料!$D727,4)="成品出库"),1,0)</f>
        <v>0</v>
      </c>
      <c r="AE1927" s="1" t="n">
        <f aca="false">N(AE1926)+$AD1927</f>
        <v>38</v>
      </c>
      <c r="AF1927" s="1" t="n">
        <f aca="false">IF(AND($N1927=1,AND(LEFT(对接源_02物料!$D727,4)="包装物料",N(对接源_02物料!$K727)&lt;&gt;0)),1,0)</f>
        <v>0</v>
      </c>
      <c r="AG1927" s="1" t="n">
        <f aca="false">N(AG1926)+$AF1927</f>
        <v>6</v>
      </c>
      <c r="AH1927" s="1" t="n">
        <f aca="false">IF(AND($N1927=1,AND(LEFT(对接源_02物料!$D727,3)="周转筐",N(对接源_02物料!$K727)&lt;&gt;0)),1,0)</f>
        <v>0</v>
      </c>
      <c r="AI1927" s="1" t="n">
        <f aca="false">N(AI1926)+$AH1927</f>
        <v>0</v>
      </c>
      <c r="AJ1927" s="1" t="n">
        <v>0</v>
      </c>
      <c r="AK1927" s="1" t="n">
        <f aca="false">N(AK1926)+$AJ1927</f>
        <v>3672</v>
      </c>
    </row>
    <row r="1928" customFormat="false" ht="13.5" hidden="false" customHeight="false" outlineLevel="0" collapsed="false">
      <c r="A1928" s="1" t="str">
        <f aca="false">IF(对接源_02物料!$C728="","",对接源_02物料!$C728)</f>
        <v/>
      </c>
      <c r="B1928" s="1" t="n">
        <f aca="false">IF(A1928="",0,IF(MATCH(A1928,$A$4:$A$2403,0)=ROW()-3,1,0))</f>
        <v>0</v>
      </c>
      <c r="C1928" s="1" t="n">
        <f aca="false">N(C1927)+B1928</f>
        <v>17</v>
      </c>
      <c r="K1928" s="1" t="n">
        <f aca="false">IF(OR($K$1="",对接源_02物料!$C728="",对接源_02物料!$C728&lt;&gt;$K$1,对接源_02物料!$B728=""),0,IF(OR(N(对接源_02物料!$B728)&lt;$K$2,N(对接源_02物料!$B728)&gt;$K$3),0,1))</f>
        <v>0</v>
      </c>
      <c r="L1928" s="1" t="n">
        <f aca="false">IF(OR($L$1="",对接源_02物料!$C728="",对接源_02物料!$C728&lt;&gt;$L$1,对接源_02物料!$B728=""),0,IF(OR(N(对接源_02物料!$B728)&lt;$L$2,N(对接源_02物料!$B728)&gt;$L$3),0,1))</f>
        <v>0</v>
      </c>
      <c r="M1928" s="1" t="n">
        <f aca="false">IF(OR($M$1="",对接源_02物料!$C728="",对接源_02物料!$C728&lt;&gt;$M$1,对接源_02物料!$B728=""),0,IF(OR(N(对接源_02物料!$B728)&lt;$M$2,N(对接源_02物料!$B728)&gt;$M$3),0,1))</f>
        <v>0</v>
      </c>
      <c r="N1928" s="1" t="n">
        <f aca="false">IF(OR($N$1="",对接源_02物料!$C728="",对接源_02物料!$C728&lt;&gt;$N$1,对接源_02物料!$B728=""),0,IF(OR(N(对接源_02物料!$B728)&lt;$N$2,N(对接源_02物料!$B728)&gt;$N$3),0,1))</f>
        <v>0</v>
      </c>
      <c r="P1928" s="1" t="n">
        <f aca="false">IF(AND($K1928=1,AND(对接源_02物料!$X728="公司筐",N(对接源_02物料!$T728)&lt;&gt;0)),1,0)</f>
        <v>0</v>
      </c>
      <c r="Q1928" s="1" t="n">
        <f aca="false">N(Q1927)+$P1928</f>
        <v>13</v>
      </c>
      <c r="R1928" s="1" t="n">
        <f aca="false">IF(AND($K1928=1,AND(对接源_02物料!$X728="公司筐",N(对接源_02物料!$U728)&lt;&gt;0)),1,0)</f>
        <v>0</v>
      </c>
      <c r="S1928" s="1" t="n">
        <f aca="false">N(S1927)+$R1928</f>
        <v>5</v>
      </c>
      <c r="T1928" s="1" t="n">
        <f aca="false">IF(AND($K1928=1,AND(对接源_02物料!$X728="公司筐",N(对接源_02物料!$V728)&lt;&gt;0)),1,0)</f>
        <v>0</v>
      </c>
      <c r="U1928" s="1" t="n">
        <f aca="false">N(U1927)+$T1928</f>
        <v>28</v>
      </c>
      <c r="V1928" s="1" t="n">
        <f aca="false">IF(AND($L1928=1,AND(对接源_02物料!$X728="自备筐",N(对接源_02物料!$V728)&lt;&gt;0)),1,0)</f>
        <v>0</v>
      </c>
      <c r="W1928" s="1" t="n">
        <f aca="false">N(W1927)+$V1928</f>
        <v>7</v>
      </c>
      <c r="X1928" s="1" t="n">
        <f aca="false">IF(AND($L1928=1,AND(对接源_02物料!$X728="自备筐",N(对接源_02物料!$T728)&lt;&gt;0)),1,0)</f>
        <v>0</v>
      </c>
      <c r="Y1928" s="1" t="n">
        <f aca="false">N(Y1927)+$X1928</f>
        <v>0</v>
      </c>
      <c r="Z1928" s="1" t="n">
        <f aca="false">IF(AND($M1928=1,对接源_02物料!$D728="原料入库"),1,0)</f>
        <v>0</v>
      </c>
      <c r="AA1928" s="1" t="n">
        <f aca="false">N(AA1927)+$Z1928</f>
        <v>30</v>
      </c>
      <c r="AB1928" s="1" t="n">
        <f aca="false">IF(AND($M1928=1,LEFT(对接源_02物料!$D728,4)="原料出库"),1,0)</f>
        <v>0</v>
      </c>
      <c r="AC1928" s="1" t="n">
        <f aca="false">N(AC1927)+$AB1928</f>
        <v>19</v>
      </c>
      <c r="AD1928" s="1" t="n">
        <f aca="false">IF(AND($M1928=1,LEFT(对接源_02物料!$D728,4)="成品出库"),1,0)</f>
        <v>0</v>
      </c>
      <c r="AE1928" s="1" t="n">
        <f aca="false">N(AE1927)+$AD1928</f>
        <v>38</v>
      </c>
      <c r="AF1928" s="1" t="n">
        <f aca="false">IF(AND($N1928=1,AND(LEFT(对接源_02物料!$D728,4)="包装物料",N(对接源_02物料!$K728)&lt;&gt;0)),1,0)</f>
        <v>0</v>
      </c>
      <c r="AG1928" s="1" t="n">
        <f aca="false">N(AG1927)+$AF1928</f>
        <v>6</v>
      </c>
      <c r="AH1928" s="1" t="n">
        <f aca="false">IF(AND($N1928=1,AND(LEFT(对接源_02物料!$D728,3)="周转筐",N(对接源_02物料!$K728)&lt;&gt;0)),1,0)</f>
        <v>0</v>
      </c>
      <c r="AI1928" s="1" t="n">
        <f aca="false">N(AI1927)+$AH1928</f>
        <v>0</v>
      </c>
      <c r="AJ1928" s="1" t="n">
        <v>0</v>
      </c>
      <c r="AK1928" s="1" t="n">
        <f aca="false">N(AK1927)+$AJ1928</f>
        <v>3672</v>
      </c>
    </row>
    <row r="1929" customFormat="false" ht="13.5" hidden="false" customHeight="false" outlineLevel="0" collapsed="false">
      <c r="A1929" s="1" t="str">
        <f aca="false">IF(对接源_02物料!$C729="","",对接源_02物料!$C729)</f>
        <v/>
      </c>
      <c r="B1929" s="1" t="n">
        <f aca="false">IF(A1929="",0,IF(MATCH(A1929,$A$4:$A$2403,0)=ROW()-3,1,0))</f>
        <v>0</v>
      </c>
      <c r="C1929" s="1" t="n">
        <f aca="false">N(C1928)+B1929</f>
        <v>17</v>
      </c>
      <c r="K1929" s="1" t="n">
        <f aca="false">IF(OR($K$1="",对接源_02物料!$C729="",对接源_02物料!$C729&lt;&gt;$K$1,对接源_02物料!$B729=""),0,IF(OR(N(对接源_02物料!$B729)&lt;$K$2,N(对接源_02物料!$B729)&gt;$K$3),0,1))</f>
        <v>0</v>
      </c>
      <c r="L1929" s="1" t="n">
        <f aca="false">IF(OR($L$1="",对接源_02物料!$C729="",对接源_02物料!$C729&lt;&gt;$L$1,对接源_02物料!$B729=""),0,IF(OR(N(对接源_02物料!$B729)&lt;$L$2,N(对接源_02物料!$B729)&gt;$L$3),0,1))</f>
        <v>0</v>
      </c>
      <c r="M1929" s="1" t="n">
        <f aca="false">IF(OR($M$1="",对接源_02物料!$C729="",对接源_02物料!$C729&lt;&gt;$M$1,对接源_02物料!$B729=""),0,IF(OR(N(对接源_02物料!$B729)&lt;$M$2,N(对接源_02物料!$B729)&gt;$M$3),0,1))</f>
        <v>0</v>
      </c>
      <c r="N1929" s="1" t="n">
        <f aca="false">IF(OR($N$1="",对接源_02物料!$C729="",对接源_02物料!$C729&lt;&gt;$N$1,对接源_02物料!$B729=""),0,IF(OR(N(对接源_02物料!$B729)&lt;$N$2,N(对接源_02物料!$B729)&gt;$N$3),0,1))</f>
        <v>0</v>
      </c>
      <c r="P1929" s="1" t="n">
        <f aca="false">IF(AND($K1929=1,AND(对接源_02物料!$X729="公司筐",N(对接源_02物料!$T729)&lt;&gt;0)),1,0)</f>
        <v>0</v>
      </c>
      <c r="Q1929" s="1" t="n">
        <f aca="false">N(Q1928)+$P1929</f>
        <v>13</v>
      </c>
      <c r="R1929" s="1" t="n">
        <f aca="false">IF(AND($K1929=1,AND(对接源_02物料!$X729="公司筐",N(对接源_02物料!$U729)&lt;&gt;0)),1,0)</f>
        <v>0</v>
      </c>
      <c r="S1929" s="1" t="n">
        <f aca="false">N(S1928)+$R1929</f>
        <v>5</v>
      </c>
      <c r="T1929" s="1" t="n">
        <f aca="false">IF(AND($K1929=1,AND(对接源_02物料!$X729="公司筐",N(对接源_02物料!$V729)&lt;&gt;0)),1,0)</f>
        <v>0</v>
      </c>
      <c r="U1929" s="1" t="n">
        <f aca="false">N(U1928)+$T1929</f>
        <v>28</v>
      </c>
      <c r="V1929" s="1" t="n">
        <f aca="false">IF(AND($L1929=1,AND(对接源_02物料!$X729="自备筐",N(对接源_02物料!$V729)&lt;&gt;0)),1,0)</f>
        <v>0</v>
      </c>
      <c r="W1929" s="1" t="n">
        <f aca="false">N(W1928)+$V1929</f>
        <v>7</v>
      </c>
      <c r="X1929" s="1" t="n">
        <f aca="false">IF(AND($L1929=1,AND(对接源_02物料!$X729="自备筐",N(对接源_02物料!$T729)&lt;&gt;0)),1,0)</f>
        <v>0</v>
      </c>
      <c r="Y1929" s="1" t="n">
        <f aca="false">N(Y1928)+$X1929</f>
        <v>0</v>
      </c>
      <c r="Z1929" s="1" t="n">
        <f aca="false">IF(AND($M1929=1,对接源_02物料!$D729="原料入库"),1,0)</f>
        <v>0</v>
      </c>
      <c r="AA1929" s="1" t="n">
        <f aca="false">N(AA1928)+$Z1929</f>
        <v>30</v>
      </c>
      <c r="AB1929" s="1" t="n">
        <f aca="false">IF(AND($M1929=1,LEFT(对接源_02物料!$D729,4)="原料出库"),1,0)</f>
        <v>0</v>
      </c>
      <c r="AC1929" s="1" t="n">
        <f aca="false">N(AC1928)+$AB1929</f>
        <v>19</v>
      </c>
      <c r="AD1929" s="1" t="n">
        <f aca="false">IF(AND($M1929=1,LEFT(对接源_02物料!$D729,4)="成品出库"),1,0)</f>
        <v>0</v>
      </c>
      <c r="AE1929" s="1" t="n">
        <f aca="false">N(AE1928)+$AD1929</f>
        <v>38</v>
      </c>
      <c r="AF1929" s="1" t="n">
        <f aca="false">IF(AND($N1929=1,AND(LEFT(对接源_02物料!$D729,4)="包装物料",N(对接源_02物料!$K729)&lt;&gt;0)),1,0)</f>
        <v>0</v>
      </c>
      <c r="AG1929" s="1" t="n">
        <f aca="false">N(AG1928)+$AF1929</f>
        <v>6</v>
      </c>
      <c r="AH1929" s="1" t="n">
        <f aca="false">IF(AND($N1929=1,AND(LEFT(对接源_02物料!$D729,3)="周转筐",N(对接源_02物料!$K729)&lt;&gt;0)),1,0)</f>
        <v>0</v>
      </c>
      <c r="AI1929" s="1" t="n">
        <f aca="false">N(AI1928)+$AH1929</f>
        <v>0</v>
      </c>
      <c r="AJ1929" s="1" t="n">
        <v>0</v>
      </c>
      <c r="AK1929" s="1" t="n">
        <f aca="false">N(AK1928)+$AJ1929</f>
        <v>3672</v>
      </c>
    </row>
    <row r="1930" customFormat="false" ht="13.5" hidden="false" customHeight="false" outlineLevel="0" collapsed="false">
      <c r="A1930" s="1" t="str">
        <f aca="false">IF(对接源_02物料!$C730="","",对接源_02物料!$C730)</f>
        <v/>
      </c>
      <c r="B1930" s="1" t="n">
        <f aca="false">IF(A1930="",0,IF(MATCH(A1930,$A$4:$A$2403,0)=ROW()-3,1,0))</f>
        <v>0</v>
      </c>
      <c r="C1930" s="1" t="n">
        <f aca="false">N(C1929)+B1930</f>
        <v>17</v>
      </c>
      <c r="K1930" s="1" t="n">
        <f aca="false">IF(OR($K$1="",对接源_02物料!$C730="",对接源_02物料!$C730&lt;&gt;$K$1,对接源_02物料!$B730=""),0,IF(OR(N(对接源_02物料!$B730)&lt;$K$2,N(对接源_02物料!$B730)&gt;$K$3),0,1))</f>
        <v>0</v>
      </c>
      <c r="L1930" s="1" t="n">
        <f aca="false">IF(OR($L$1="",对接源_02物料!$C730="",对接源_02物料!$C730&lt;&gt;$L$1,对接源_02物料!$B730=""),0,IF(OR(N(对接源_02物料!$B730)&lt;$L$2,N(对接源_02物料!$B730)&gt;$L$3),0,1))</f>
        <v>0</v>
      </c>
      <c r="M1930" s="1" t="n">
        <f aca="false">IF(OR($M$1="",对接源_02物料!$C730="",对接源_02物料!$C730&lt;&gt;$M$1,对接源_02物料!$B730=""),0,IF(OR(N(对接源_02物料!$B730)&lt;$M$2,N(对接源_02物料!$B730)&gt;$M$3),0,1))</f>
        <v>0</v>
      </c>
      <c r="N1930" s="1" t="n">
        <f aca="false">IF(OR($N$1="",对接源_02物料!$C730="",对接源_02物料!$C730&lt;&gt;$N$1,对接源_02物料!$B730=""),0,IF(OR(N(对接源_02物料!$B730)&lt;$N$2,N(对接源_02物料!$B730)&gt;$N$3),0,1))</f>
        <v>0</v>
      </c>
      <c r="P1930" s="1" t="n">
        <f aca="false">IF(AND($K1930=1,AND(对接源_02物料!$X730="公司筐",N(对接源_02物料!$T730)&lt;&gt;0)),1,0)</f>
        <v>0</v>
      </c>
      <c r="Q1930" s="1" t="n">
        <f aca="false">N(Q1929)+$P1930</f>
        <v>13</v>
      </c>
      <c r="R1930" s="1" t="n">
        <f aca="false">IF(AND($K1930=1,AND(对接源_02物料!$X730="公司筐",N(对接源_02物料!$U730)&lt;&gt;0)),1,0)</f>
        <v>0</v>
      </c>
      <c r="S1930" s="1" t="n">
        <f aca="false">N(S1929)+$R1930</f>
        <v>5</v>
      </c>
      <c r="T1930" s="1" t="n">
        <f aca="false">IF(AND($K1930=1,AND(对接源_02物料!$X730="公司筐",N(对接源_02物料!$V730)&lt;&gt;0)),1,0)</f>
        <v>0</v>
      </c>
      <c r="U1930" s="1" t="n">
        <f aca="false">N(U1929)+$T1930</f>
        <v>28</v>
      </c>
      <c r="V1930" s="1" t="n">
        <f aca="false">IF(AND($L1930=1,AND(对接源_02物料!$X730="自备筐",N(对接源_02物料!$V730)&lt;&gt;0)),1,0)</f>
        <v>0</v>
      </c>
      <c r="W1930" s="1" t="n">
        <f aca="false">N(W1929)+$V1930</f>
        <v>7</v>
      </c>
      <c r="X1930" s="1" t="n">
        <f aca="false">IF(AND($L1930=1,AND(对接源_02物料!$X730="自备筐",N(对接源_02物料!$T730)&lt;&gt;0)),1,0)</f>
        <v>0</v>
      </c>
      <c r="Y1930" s="1" t="n">
        <f aca="false">N(Y1929)+$X1930</f>
        <v>0</v>
      </c>
      <c r="Z1930" s="1" t="n">
        <f aca="false">IF(AND($M1930=1,对接源_02物料!$D730="原料入库"),1,0)</f>
        <v>0</v>
      </c>
      <c r="AA1930" s="1" t="n">
        <f aca="false">N(AA1929)+$Z1930</f>
        <v>30</v>
      </c>
      <c r="AB1930" s="1" t="n">
        <f aca="false">IF(AND($M1930=1,LEFT(对接源_02物料!$D730,4)="原料出库"),1,0)</f>
        <v>0</v>
      </c>
      <c r="AC1930" s="1" t="n">
        <f aca="false">N(AC1929)+$AB1930</f>
        <v>19</v>
      </c>
      <c r="AD1930" s="1" t="n">
        <f aca="false">IF(AND($M1930=1,LEFT(对接源_02物料!$D730,4)="成品出库"),1,0)</f>
        <v>0</v>
      </c>
      <c r="AE1930" s="1" t="n">
        <f aca="false">N(AE1929)+$AD1930</f>
        <v>38</v>
      </c>
      <c r="AF1930" s="1" t="n">
        <f aca="false">IF(AND($N1930=1,AND(LEFT(对接源_02物料!$D730,4)="包装物料",N(对接源_02物料!$K730)&lt;&gt;0)),1,0)</f>
        <v>0</v>
      </c>
      <c r="AG1930" s="1" t="n">
        <f aca="false">N(AG1929)+$AF1930</f>
        <v>6</v>
      </c>
      <c r="AH1930" s="1" t="n">
        <f aca="false">IF(AND($N1930=1,AND(LEFT(对接源_02物料!$D730,3)="周转筐",N(对接源_02物料!$K730)&lt;&gt;0)),1,0)</f>
        <v>0</v>
      </c>
      <c r="AI1930" s="1" t="n">
        <f aca="false">N(AI1929)+$AH1930</f>
        <v>0</v>
      </c>
      <c r="AJ1930" s="1" t="n">
        <v>0</v>
      </c>
      <c r="AK1930" s="1" t="n">
        <f aca="false">N(AK1929)+$AJ1930</f>
        <v>3672</v>
      </c>
    </row>
    <row r="1931" customFormat="false" ht="13.5" hidden="false" customHeight="false" outlineLevel="0" collapsed="false">
      <c r="A1931" s="1" t="str">
        <f aca="false">IF(对接源_02物料!$C731="","",对接源_02物料!$C731)</f>
        <v/>
      </c>
      <c r="B1931" s="1" t="n">
        <f aca="false">IF(A1931="",0,IF(MATCH(A1931,$A$4:$A$2403,0)=ROW()-3,1,0))</f>
        <v>0</v>
      </c>
      <c r="C1931" s="1" t="n">
        <f aca="false">N(C1930)+B1931</f>
        <v>17</v>
      </c>
      <c r="K1931" s="1" t="n">
        <f aca="false">IF(OR($K$1="",对接源_02物料!$C731="",对接源_02物料!$C731&lt;&gt;$K$1,对接源_02物料!$B731=""),0,IF(OR(N(对接源_02物料!$B731)&lt;$K$2,N(对接源_02物料!$B731)&gt;$K$3),0,1))</f>
        <v>0</v>
      </c>
      <c r="L1931" s="1" t="n">
        <f aca="false">IF(OR($L$1="",对接源_02物料!$C731="",对接源_02物料!$C731&lt;&gt;$L$1,对接源_02物料!$B731=""),0,IF(OR(N(对接源_02物料!$B731)&lt;$L$2,N(对接源_02物料!$B731)&gt;$L$3),0,1))</f>
        <v>0</v>
      </c>
      <c r="M1931" s="1" t="n">
        <f aca="false">IF(OR($M$1="",对接源_02物料!$C731="",对接源_02物料!$C731&lt;&gt;$M$1,对接源_02物料!$B731=""),0,IF(OR(N(对接源_02物料!$B731)&lt;$M$2,N(对接源_02物料!$B731)&gt;$M$3),0,1))</f>
        <v>0</v>
      </c>
      <c r="N1931" s="1" t="n">
        <f aca="false">IF(OR($N$1="",对接源_02物料!$C731="",对接源_02物料!$C731&lt;&gt;$N$1,对接源_02物料!$B731=""),0,IF(OR(N(对接源_02物料!$B731)&lt;$N$2,N(对接源_02物料!$B731)&gt;$N$3),0,1))</f>
        <v>0</v>
      </c>
      <c r="P1931" s="1" t="n">
        <f aca="false">IF(AND($K1931=1,AND(对接源_02物料!$X731="公司筐",N(对接源_02物料!$T731)&lt;&gt;0)),1,0)</f>
        <v>0</v>
      </c>
      <c r="Q1931" s="1" t="n">
        <f aca="false">N(Q1930)+$P1931</f>
        <v>13</v>
      </c>
      <c r="R1931" s="1" t="n">
        <f aca="false">IF(AND($K1931=1,AND(对接源_02物料!$X731="公司筐",N(对接源_02物料!$U731)&lt;&gt;0)),1,0)</f>
        <v>0</v>
      </c>
      <c r="S1931" s="1" t="n">
        <f aca="false">N(S1930)+$R1931</f>
        <v>5</v>
      </c>
      <c r="T1931" s="1" t="n">
        <f aca="false">IF(AND($K1931=1,AND(对接源_02物料!$X731="公司筐",N(对接源_02物料!$V731)&lt;&gt;0)),1,0)</f>
        <v>0</v>
      </c>
      <c r="U1931" s="1" t="n">
        <f aca="false">N(U1930)+$T1931</f>
        <v>28</v>
      </c>
      <c r="V1931" s="1" t="n">
        <f aca="false">IF(AND($L1931=1,AND(对接源_02物料!$X731="自备筐",N(对接源_02物料!$V731)&lt;&gt;0)),1,0)</f>
        <v>0</v>
      </c>
      <c r="W1931" s="1" t="n">
        <f aca="false">N(W1930)+$V1931</f>
        <v>7</v>
      </c>
      <c r="X1931" s="1" t="n">
        <f aca="false">IF(AND($L1931=1,AND(对接源_02物料!$X731="自备筐",N(对接源_02物料!$T731)&lt;&gt;0)),1,0)</f>
        <v>0</v>
      </c>
      <c r="Y1931" s="1" t="n">
        <f aca="false">N(Y1930)+$X1931</f>
        <v>0</v>
      </c>
      <c r="Z1931" s="1" t="n">
        <f aca="false">IF(AND($M1931=1,对接源_02物料!$D731="原料入库"),1,0)</f>
        <v>0</v>
      </c>
      <c r="AA1931" s="1" t="n">
        <f aca="false">N(AA1930)+$Z1931</f>
        <v>30</v>
      </c>
      <c r="AB1931" s="1" t="n">
        <f aca="false">IF(AND($M1931=1,LEFT(对接源_02物料!$D731,4)="原料出库"),1,0)</f>
        <v>0</v>
      </c>
      <c r="AC1931" s="1" t="n">
        <f aca="false">N(AC1930)+$AB1931</f>
        <v>19</v>
      </c>
      <c r="AD1931" s="1" t="n">
        <f aca="false">IF(AND($M1931=1,LEFT(对接源_02物料!$D731,4)="成品出库"),1,0)</f>
        <v>0</v>
      </c>
      <c r="AE1931" s="1" t="n">
        <f aca="false">N(AE1930)+$AD1931</f>
        <v>38</v>
      </c>
      <c r="AF1931" s="1" t="n">
        <f aca="false">IF(AND($N1931=1,AND(LEFT(对接源_02物料!$D731,4)="包装物料",N(对接源_02物料!$K731)&lt;&gt;0)),1,0)</f>
        <v>0</v>
      </c>
      <c r="AG1931" s="1" t="n">
        <f aca="false">N(AG1930)+$AF1931</f>
        <v>6</v>
      </c>
      <c r="AH1931" s="1" t="n">
        <f aca="false">IF(AND($N1931=1,AND(LEFT(对接源_02物料!$D731,3)="周转筐",N(对接源_02物料!$K731)&lt;&gt;0)),1,0)</f>
        <v>0</v>
      </c>
      <c r="AI1931" s="1" t="n">
        <f aca="false">N(AI1930)+$AH1931</f>
        <v>0</v>
      </c>
      <c r="AJ1931" s="1" t="n">
        <v>0</v>
      </c>
      <c r="AK1931" s="1" t="n">
        <f aca="false">N(AK1930)+$AJ1931</f>
        <v>3672</v>
      </c>
    </row>
    <row r="1932" customFormat="false" ht="13.5" hidden="false" customHeight="false" outlineLevel="0" collapsed="false">
      <c r="A1932" s="1" t="str">
        <f aca="false">IF(对接源_02物料!$C732="","",对接源_02物料!$C732)</f>
        <v/>
      </c>
      <c r="B1932" s="1" t="n">
        <f aca="false">IF(A1932="",0,IF(MATCH(A1932,$A$4:$A$2403,0)=ROW()-3,1,0))</f>
        <v>0</v>
      </c>
      <c r="C1932" s="1" t="n">
        <f aca="false">N(C1931)+B1932</f>
        <v>17</v>
      </c>
      <c r="K1932" s="1" t="n">
        <f aca="false">IF(OR($K$1="",对接源_02物料!$C732="",对接源_02物料!$C732&lt;&gt;$K$1,对接源_02物料!$B732=""),0,IF(OR(N(对接源_02物料!$B732)&lt;$K$2,N(对接源_02物料!$B732)&gt;$K$3),0,1))</f>
        <v>0</v>
      </c>
      <c r="L1932" s="1" t="n">
        <f aca="false">IF(OR($L$1="",对接源_02物料!$C732="",对接源_02物料!$C732&lt;&gt;$L$1,对接源_02物料!$B732=""),0,IF(OR(N(对接源_02物料!$B732)&lt;$L$2,N(对接源_02物料!$B732)&gt;$L$3),0,1))</f>
        <v>0</v>
      </c>
      <c r="M1932" s="1" t="n">
        <f aca="false">IF(OR($M$1="",对接源_02物料!$C732="",对接源_02物料!$C732&lt;&gt;$M$1,对接源_02物料!$B732=""),0,IF(OR(N(对接源_02物料!$B732)&lt;$M$2,N(对接源_02物料!$B732)&gt;$M$3),0,1))</f>
        <v>0</v>
      </c>
      <c r="N1932" s="1" t="n">
        <f aca="false">IF(OR($N$1="",对接源_02物料!$C732="",对接源_02物料!$C732&lt;&gt;$N$1,对接源_02物料!$B732=""),0,IF(OR(N(对接源_02物料!$B732)&lt;$N$2,N(对接源_02物料!$B732)&gt;$N$3),0,1))</f>
        <v>0</v>
      </c>
      <c r="P1932" s="1" t="n">
        <f aca="false">IF(AND($K1932=1,AND(对接源_02物料!$X732="公司筐",N(对接源_02物料!$T732)&lt;&gt;0)),1,0)</f>
        <v>0</v>
      </c>
      <c r="Q1932" s="1" t="n">
        <f aca="false">N(Q1931)+$P1932</f>
        <v>13</v>
      </c>
      <c r="R1932" s="1" t="n">
        <f aca="false">IF(AND($K1932=1,AND(对接源_02物料!$X732="公司筐",N(对接源_02物料!$U732)&lt;&gt;0)),1,0)</f>
        <v>0</v>
      </c>
      <c r="S1932" s="1" t="n">
        <f aca="false">N(S1931)+$R1932</f>
        <v>5</v>
      </c>
      <c r="T1932" s="1" t="n">
        <f aca="false">IF(AND($K1932=1,AND(对接源_02物料!$X732="公司筐",N(对接源_02物料!$V732)&lt;&gt;0)),1,0)</f>
        <v>0</v>
      </c>
      <c r="U1932" s="1" t="n">
        <f aca="false">N(U1931)+$T1932</f>
        <v>28</v>
      </c>
      <c r="V1932" s="1" t="n">
        <f aca="false">IF(AND($L1932=1,AND(对接源_02物料!$X732="自备筐",N(对接源_02物料!$V732)&lt;&gt;0)),1,0)</f>
        <v>0</v>
      </c>
      <c r="W1932" s="1" t="n">
        <f aca="false">N(W1931)+$V1932</f>
        <v>7</v>
      </c>
      <c r="X1932" s="1" t="n">
        <f aca="false">IF(AND($L1932=1,AND(对接源_02物料!$X732="自备筐",N(对接源_02物料!$T732)&lt;&gt;0)),1,0)</f>
        <v>0</v>
      </c>
      <c r="Y1932" s="1" t="n">
        <f aca="false">N(Y1931)+$X1932</f>
        <v>0</v>
      </c>
      <c r="Z1932" s="1" t="n">
        <f aca="false">IF(AND($M1932=1,对接源_02物料!$D732="原料入库"),1,0)</f>
        <v>0</v>
      </c>
      <c r="AA1932" s="1" t="n">
        <f aca="false">N(AA1931)+$Z1932</f>
        <v>30</v>
      </c>
      <c r="AB1932" s="1" t="n">
        <f aca="false">IF(AND($M1932=1,LEFT(对接源_02物料!$D732,4)="原料出库"),1,0)</f>
        <v>0</v>
      </c>
      <c r="AC1932" s="1" t="n">
        <f aca="false">N(AC1931)+$AB1932</f>
        <v>19</v>
      </c>
      <c r="AD1932" s="1" t="n">
        <f aca="false">IF(AND($M1932=1,LEFT(对接源_02物料!$D732,4)="成品出库"),1,0)</f>
        <v>0</v>
      </c>
      <c r="AE1932" s="1" t="n">
        <f aca="false">N(AE1931)+$AD1932</f>
        <v>38</v>
      </c>
      <c r="AF1932" s="1" t="n">
        <f aca="false">IF(AND($N1932=1,AND(LEFT(对接源_02物料!$D732,4)="包装物料",N(对接源_02物料!$K732)&lt;&gt;0)),1,0)</f>
        <v>0</v>
      </c>
      <c r="AG1932" s="1" t="n">
        <f aca="false">N(AG1931)+$AF1932</f>
        <v>6</v>
      </c>
      <c r="AH1932" s="1" t="n">
        <f aca="false">IF(AND($N1932=1,AND(LEFT(对接源_02物料!$D732,3)="周转筐",N(对接源_02物料!$K732)&lt;&gt;0)),1,0)</f>
        <v>0</v>
      </c>
      <c r="AI1932" s="1" t="n">
        <f aca="false">N(AI1931)+$AH1932</f>
        <v>0</v>
      </c>
      <c r="AJ1932" s="1" t="n">
        <v>0</v>
      </c>
      <c r="AK1932" s="1" t="n">
        <f aca="false">N(AK1931)+$AJ1932</f>
        <v>3672</v>
      </c>
    </row>
    <row r="1933" customFormat="false" ht="13.5" hidden="false" customHeight="false" outlineLevel="0" collapsed="false">
      <c r="A1933" s="1" t="str">
        <f aca="false">IF(对接源_02物料!$C733="","",对接源_02物料!$C733)</f>
        <v/>
      </c>
      <c r="B1933" s="1" t="n">
        <f aca="false">IF(A1933="",0,IF(MATCH(A1933,$A$4:$A$2403,0)=ROW()-3,1,0))</f>
        <v>0</v>
      </c>
      <c r="C1933" s="1" t="n">
        <f aca="false">N(C1932)+B1933</f>
        <v>17</v>
      </c>
      <c r="K1933" s="1" t="n">
        <f aca="false">IF(OR($K$1="",对接源_02物料!$C733="",对接源_02物料!$C733&lt;&gt;$K$1,对接源_02物料!$B733=""),0,IF(OR(N(对接源_02物料!$B733)&lt;$K$2,N(对接源_02物料!$B733)&gt;$K$3),0,1))</f>
        <v>0</v>
      </c>
      <c r="L1933" s="1" t="n">
        <f aca="false">IF(OR($L$1="",对接源_02物料!$C733="",对接源_02物料!$C733&lt;&gt;$L$1,对接源_02物料!$B733=""),0,IF(OR(N(对接源_02物料!$B733)&lt;$L$2,N(对接源_02物料!$B733)&gt;$L$3),0,1))</f>
        <v>0</v>
      </c>
      <c r="M1933" s="1" t="n">
        <f aca="false">IF(OR($M$1="",对接源_02物料!$C733="",对接源_02物料!$C733&lt;&gt;$M$1,对接源_02物料!$B733=""),0,IF(OR(N(对接源_02物料!$B733)&lt;$M$2,N(对接源_02物料!$B733)&gt;$M$3),0,1))</f>
        <v>0</v>
      </c>
      <c r="N1933" s="1" t="n">
        <f aca="false">IF(OR($N$1="",对接源_02物料!$C733="",对接源_02物料!$C733&lt;&gt;$N$1,对接源_02物料!$B733=""),0,IF(OR(N(对接源_02物料!$B733)&lt;$N$2,N(对接源_02物料!$B733)&gt;$N$3),0,1))</f>
        <v>0</v>
      </c>
      <c r="P1933" s="1" t="n">
        <f aca="false">IF(AND($K1933=1,AND(对接源_02物料!$X733="公司筐",N(对接源_02物料!$T733)&lt;&gt;0)),1,0)</f>
        <v>0</v>
      </c>
      <c r="Q1933" s="1" t="n">
        <f aca="false">N(Q1932)+$P1933</f>
        <v>13</v>
      </c>
      <c r="R1933" s="1" t="n">
        <f aca="false">IF(AND($K1933=1,AND(对接源_02物料!$X733="公司筐",N(对接源_02物料!$U733)&lt;&gt;0)),1,0)</f>
        <v>0</v>
      </c>
      <c r="S1933" s="1" t="n">
        <f aca="false">N(S1932)+$R1933</f>
        <v>5</v>
      </c>
      <c r="T1933" s="1" t="n">
        <f aca="false">IF(AND($K1933=1,AND(对接源_02物料!$X733="公司筐",N(对接源_02物料!$V733)&lt;&gt;0)),1,0)</f>
        <v>0</v>
      </c>
      <c r="U1933" s="1" t="n">
        <f aca="false">N(U1932)+$T1933</f>
        <v>28</v>
      </c>
      <c r="V1933" s="1" t="n">
        <f aca="false">IF(AND($L1933=1,AND(对接源_02物料!$X733="自备筐",N(对接源_02物料!$V733)&lt;&gt;0)),1,0)</f>
        <v>0</v>
      </c>
      <c r="W1933" s="1" t="n">
        <f aca="false">N(W1932)+$V1933</f>
        <v>7</v>
      </c>
      <c r="X1933" s="1" t="n">
        <f aca="false">IF(AND($L1933=1,AND(对接源_02物料!$X733="自备筐",N(对接源_02物料!$T733)&lt;&gt;0)),1,0)</f>
        <v>0</v>
      </c>
      <c r="Y1933" s="1" t="n">
        <f aca="false">N(Y1932)+$X1933</f>
        <v>0</v>
      </c>
      <c r="Z1933" s="1" t="n">
        <f aca="false">IF(AND($M1933=1,对接源_02物料!$D733="原料入库"),1,0)</f>
        <v>0</v>
      </c>
      <c r="AA1933" s="1" t="n">
        <f aca="false">N(AA1932)+$Z1933</f>
        <v>30</v>
      </c>
      <c r="AB1933" s="1" t="n">
        <f aca="false">IF(AND($M1933=1,LEFT(对接源_02物料!$D733,4)="原料出库"),1,0)</f>
        <v>0</v>
      </c>
      <c r="AC1933" s="1" t="n">
        <f aca="false">N(AC1932)+$AB1933</f>
        <v>19</v>
      </c>
      <c r="AD1933" s="1" t="n">
        <f aca="false">IF(AND($M1933=1,LEFT(对接源_02物料!$D733,4)="成品出库"),1,0)</f>
        <v>0</v>
      </c>
      <c r="AE1933" s="1" t="n">
        <f aca="false">N(AE1932)+$AD1933</f>
        <v>38</v>
      </c>
      <c r="AF1933" s="1" t="n">
        <f aca="false">IF(AND($N1933=1,AND(LEFT(对接源_02物料!$D733,4)="包装物料",N(对接源_02物料!$K733)&lt;&gt;0)),1,0)</f>
        <v>0</v>
      </c>
      <c r="AG1933" s="1" t="n">
        <f aca="false">N(AG1932)+$AF1933</f>
        <v>6</v>
      </c>
      <c r="AH1933" s="1" t="n">
        <f aca="false">IF(AND($N1933=1,AND(LEFT(对接源_02物料!$D733,3)="周转筐",N(对接源_02物料!$K733)&lt;&gt;0)),1,0)</f>
        <v>0</v>
      </c>
      <c r="AI1933" s="1" t="n">
        <f aca="false">N(AI1932)+$AH1933</f>
        <v>0</v>
      </c>
      <c r="AJ1933" s="1" t="n">
        <v>0</v>
      </c>
      <c r="AK1933" s="1" t="n">
        <f aca="false">N(AK1932)+$AJ1933</f>
        <v>3672</v>
      </c>
    </row>
    <row r="1934" customFormat="false" ht="13.5" hidden="false" customHeight="false" outlineLevel="0" collapsed="false">
      <c r="A1934" s="1" t="str">
        <f aca="false">IF(对接源_02物料!$C734="","",对接源_02物料!$C734)</f>
        <v/>
      </c>
      <c r="B1934" s="1" t="n">
        <f aca="false">IF(A1934="",0,IF(MATCH(A1934,$A$4:$A$2403,0)=ROW()-3,1,0))</f>
        <v>0</v>
      </c>
      <c r="C1934" s="1" t="n">
        <f aca="false">N(C1933)+B1934</f>
        <v>17</v>
      </c>
      <c r="K1934" s="1" t="n">
        <f aca="false">IF(OR($K$1="",对接源_02物料!$C734="",对接源_02物料!$C734&lt;&gt;$K$1,对接源_02物料!$B734=""),0,IF(OR(N(对接源_02物料!$B734)&lt;$K$2,N(对接源_02物料!$B734)&gt;$K$3),0,1))</f>
        <v>0</v>
      </c>
      <c r="L1934" s="1" t="n">
        <f aca="false">IF(OR($L$1="",对接源_02物料!$C734="",对接源_02物料!$C734&lt;&gt;$L$1,对接源_02物料!$B734=""),0,IF(OR(N(对接源_02物料!$B734)&lt;$L$2,N(对接源_02物料!$B734)&gt;$L$3),0,1))</f>
        <v>0</v>
      </c>
      <c r="M1934" s="1" t="n">
        <f aca="false">IF(OR($M$1="",对接源_02物料!$C734="",对接源_02物料!$C734&lt;&gt;$M$1,对接源_02物料!$B734=""),0,IF(OR(N(对接源_02物料!$B734)&lt;$M$2,N(对接源_02物料!$B734)&gt;$M$3),0,1))</f>
        <v>0</v>
      </c>
      <c r="N1934" s="1" t="n">
        <f aca="false">IF(OR($N$1="",对接源_02物料!$C734="",对接源_02物料!$C734&lt;&gt;$N$1,对接源_02物料!$B734=""),0,IF(OR(N(对接源_02物料!$B734)&lt;$N$2,N(对接源_02物料!$B734)&gt;$N$3),0,1))</f>
        <v>0</v>
      </c>
      <c r="P1934" s="1" t="n">
        <f aca="false">IF(AND($K1934=1,AND(对接源_02物料!$X734="公司筐",N(对接源_02物料!$T734)&lt;&gt;0)),1,0)</f>
        <v>0</v>
      </c>
      <c r="Q1934" s="1" t="n">
        <f aca="false">N(Q1933)+$P1934</f>
        <v>13</v>
      </c>
      <c r="R1934" s="1" t="n">
        <f aca="false">IF(AND($K1934=1,AND(对接源_02物料!$X734="公司筐",N(对接源_02物料!$U734)&lt;&gt;0)),1,0)</f>
        <v>0</v>
      </c>
      <c r="S1934" s="1" t="n">
        <f aca="false">N(S1933)+$R1934</f>
        <v>5</v>
      </c>
      <c r="T1934" s="1" t="n">
        <f aca="false">IF(AND($K1934=1,AND(对接源_02物料!$X734="公司筐",N(对接源_02物料!$V734)&lt;&gt;0)),1,0)</f>
        <v>0</v>
      </c>
      <c r="U1934" s="1" t="n">
        <f aca="false">N(U1933)+$T1934</f>
        <v>28</v>
      </c>
      <c r="V1934" s="1" t="n">
        <f aca="false">IF(AND($L1934=1,AND(对接源_02物料!$X734="自备筐",N(对接源_02物料!$V734)&lt;&gt;0)),1,0)</f>
        <v>0</v>
      </c>
      <c r="W1934" s="1" t="n">
        <f aca="false">N(W1933)+$V1934</f>
        <v>7</v>
      </c>
      <c r="X1934" s="1" t="n">
        <f aca="false">IF(AND($L1934=1,AND(对接源_02物料!$X734="自备筐",N(对接源_02物料!$T734)&lt;&gt;0)),1,0)</f>
        <v>0</v>
      </c>
      <c r="Y1934" s="1" t="n">
        <f aca="false">N(Y1933)+$X1934</f>
        <v>0</v>
      </c>
      <c r="Z1934" s="1" t="n">
        <f aca="false">IF(AND($M1934=1,对接源_02物料!$D734="原料入库"),1,0)</f>
        <v>0</v>
      </c>
      <c r="AA1934" s="1" t="n">
        <f aca="false">N(AA1933)+$Z1934</f>
        <v>30</v>
      </c>
      <c r="AB1934" s="1" t="n">
        <f aca="false">IF(AND($M1934=1,LEFT(对接源_02物料!$D734,4)="原料出库"),1,0)</f>
        <v>0</v>
      </c>
      <c r="AC1934" s="1" t="n">
        <f aca="false">N(AC1933)+$AB1934</f>
        <v>19</v>
      </c>
      <c r="AD1934" s="1" t="n">
        <f aca="false">IF(AND($M1934=1,LEFT(对接源_02物料!$D734,4)="成品出库"),1,0)</f>
        <v>0</v>
      </c>
      <c r="AE1934" s="1" t="n">
        <f aca="false">N(AE1933)+$AD1934</f>
        <v>38</v>
      </c>
      <c r="AF1934" s="1" t="n">
        <f aca="false">IF(AND($N1934=1,AND(LEFT(对接源_02物料!$D734,4)="包装物料",N(对接源_02物料!$K734)&lt;&gt;0)),1,0)</f>
        <v>0</v>
      </c>
      <c r="AG1934" s="1" t="n">
        <f aca="false">N(AG1933)+$AF1934</f>
        <v>6</v>
      </c>
      <c r="AH1934" s="1" t="n">
        <f aca="false">IF(AND($N1934=1,AND(LEFT(对接源_02物料!$D734,3)="周转筐",N(对接源_02物料!$K734)&lt;&gt;0)),1,0)</f>
        <v>0</v>
      </c>
      <c r="AI1934" s="1" t="n">
        <f aca="false">N(AI1933)+$AH1934</f>
        <v>0</v>
      </c>
      <c r="AJ1934" s="1" t="n">
        <v>0</v>
      </c>
      <c r="AK1934" s="1" t="n">
        <f aca="false">N(AK1933)+$AJ1934</f>
        <v>3672</v>
      </c>
    </row>
    <row r="1935" customFormat="false" ht="13.5" hidden="false" customHeight="false" outlineLevel="0" collapsed="false">
      <c r="A1935" s="1" t="str">
        <f aca="false">IF(对接源_02物料!$C735="","",对接源_02物料!$C735)</f>
        <v/>
      </c>
      <c r="B1935" s="1" t="n">
        <f aca="false">IF(A1935="",0,IF(MATCH(A1935,$A$4:$A$2403,0)=ROW()-3,1,0))</f>
        <v>0</v>
      </c>
      <c r="C1935" s="1" t="n">
        <f aca="false">N(C1934)+B1935</f>
        <v>17</v>
      </c>
      <c r="K1935" s="1" t="n">
        <f aca="false">IF(OR($K$1="",对接源_02物料!$C735="",对接源_02物料!$C735&lt;&gt;$K$1,对接源_02物料!$B735=""),0,IF(OR(N(对接源_02物料!$B735)&lt;$K$2,N(对接源_02物料!$B735)&gt;$K$3),0,1))</f>
        <v>0</v>
      </c>
      <c r="L1935" s="1" t="n">
        <f aca="false">IF(OR($L$1="",对接源_02物料!$C735="",对接源_02物料!$C735&lt;&gt;$L$1,对接源_02物料!$B735=""),0,IF(OR(N(对接源_02物料!$B735)&lt;$L$2,N(对接源_02物料!$B735)&gt;$L$3),0,1))</f>
        <v>0</v>
      </c>
      <c r="M1935" s="1" t="n">
        <f aca="false">IF(OR($M$1="",对接源_02物料!$C735="",对接源_02物料!$C735&lt;&gt;$M$1,对接源_02物料!$B735=""),0,IF(OR(N(对接源_02物料!$B735)&lt;$M$2,N(对接源_02物料!$B735)&gt;$M$3),0,1))</f>
        <v>0</v>
      </c>
      <c r="N1935" s="1" t="n">
        <f aca="false">IF(OR($N$1="",对接源_02物料!$C735="",对接源_02物料!$C735&lt;&gt;$N$1,对接源_02物料!$B735=""),0,IF(OR(N(对接源_02物料!$B735)&lt;$N$2,N(对接源_02物料!$B735)&gt;$N$3),0,1))</f>
        <v>0</v>
      </c>
      <c r="P1935" s="1" t="n">
        <f aca="false">IF(AND($K1935=1,AND(对接源_02物料!$X735="公司筐",N(对接源_02物料!$T735)&lt;&gt;0)),1,0)</f>
        <v>0</v>
      </c>
      <c r="Q1935" s="1" t="n">
        <f aca="false">N(Q1934)+$P1935</f>
        <v>13</v>
      </c>
      <c r="R1935" s="1" t="n">
        <f aca="false">IF(AND($K1935=1,AND(对接源_02物料!$X735="公司筐",N(对接源_02物料!$U735)&lt;&gt;0)),1,0)</f>
        <v>0</v>
      </c>
      <c r="S1935" s="1" t="n">
        <f aca="false">N(S1934)+$R1935</f>
        <v>5</v>
      </c>
      <c r="T1935" s="1" t="n">
        <f aca="false">IF(AND($K1935=1,AND(对接源_02物料!$X735="公司筐",N(对接源_02物料!$V735)&lt;&gt;0)),1,0)</f>
        <v>0</v>
      </c>
      <c r="U1935" s="1" t="n">
        <f aca="false">N(U1934)+$T1935</f>
        <v>28</v>
      </c>
      <c r="V1935" s="1" t="n">
        <f aca="false">IF(AND($L1935=1,AND(对接源_02物料!$X735="自备筐",N(对接源_02物料!$V735)&lt;&gt;0)),1,0)</f>
        <v>0</v>
      </c>
      <c r="W1935" s="1" t="n">
        <f aca="false">N(W1934)+$V1935</f>
        <v>7</v>
      </c>
      <c r="X1935" s="1" t="n">
        <f aca="false">IF(AND($L1935=1,AND(对接源_02物料!$X735="自备筐",N(对接源_02物料!$T735)&lt;&gt;0)),1,0)</f>
        <v>0</v>
      </c>
      <c r="Y1935" s="1" t="n">
        <f aca="false">N(Y1934)+$X1935</f>
        <v>0</v>
      </c>
      <c r="Z1935" s="1" t="n">
        <f aca="false">IF(AND($M1935=1,对接源_02物料!$D735="原料入库"),1,0)</f>
        <v>0</v>
      </c>
      <c r="AA1935" s="1" t="n">
        <f aca="false">N(AA1934)+$Z1935</f>
        <v>30</v>
      </c>
      <c r="AB1935" s="1" t="n">
        <f aca="false">IF(AND($M1935=1,LEFT(对接源_02物料!$D735,4)="原料出库"),1,0)</f>
        <v>0</v>
      </c>
      <c r="AC1935" s="1" t="n">
        <f aca="false">N(AC1934)+$AB1935</f>
        <v>19</v>
      </c>
      <c r="AD1935" s="1" t="n">
        <f aca="false">IF(AND($M1935=1,LEFT(对接源_02物料!$D735,4)="成品出库"),1,0)</f>
        <v>0</v>
      </c>
      <c r="AE1935" s="1" t="n">
        <f aca="false">N(AE1934)+$AD1935</f>
        <v>38</v>
      </c>
      <c r="AF1935" s="1" t="n">
        <f aca="false">IF(AND($N1935=1,AND(LEFT(对接源_02物料!$D735,4)="包装物料",N(对接源_02物料!$K735)&lt;&gt;0)),1,0)</f>
        <v>0</v>
      </c>
      <c r="AG1935" s="1" t="n">
        <f aca="false">N(AG1934)+$AF1935</f>
        <v>6</v>
      </c>
      <c r="AH1935" s="1" t="n">
        <f aca="false">IF(AND($N1935=1,AND(LEFT(对接源_02物料!$D735,3)="周转筐",N(对接源_02物料!$K735)&lt;&gt;0)),1,0)</f>
        <v>0</v>
      </c>
      <c r="AI1935" s="1" t="n">
        <f aca="false">N(AI1934)+$AH1935</f>
        <v>0</v>
      </c>
      <c r="AJ1935" s="1" t="n">
        <v>0</v>
      </c>
      <c r="AK1935" s="1" t="n">
        <f aca="false">N(AK1934)+$AJ1935</f>
        <v>3672</v>
      </c>
    </row>
    <row r="1936" customFormat="false" ht="13.5" hidden="false" customHeight="false" outlineLevel="0" collapsed="false">
      <c r="A1936" s="1" t="str">
        <f aca="false">IF(对接源_02物料!$C736="","",对接源_02物料!$C736)</f>
        <v/>
      </c>
      <c r="B1936" s="1" t="n">
        <f aca="false">IF(A1936="",0,IF(MATCH(A1936,$A$4:$A$2403,0)=ROW()-3,1,0))</f>
        <v>0</v>
      </c>
      <c r="C1936" s="1" t="n">
        <f aca="false">N(C1935)+B1936</f>
        <v>17</v>
      </c>
      <c r="K1936" s="1" t="n">
        <f aca="false">IF(OR($K$1="",对接源_02物料!$C736="",对接源_02物料!$C736&lt;&gt;$K$1,对接源_02物料!$B736=""),0,IF(OR(N(对接源_02物料!$B736)&lt;$K$2,N(对接源_02物料!$B736)&gt;$K$3),0,1))</f>
        <v>0</v>
      </c>
      <c r="L1936" s="1" t="n">
        <f aca="false">IF(OR($L$1="",对接源_02物料!$C736="",对接源_02物料!$C736&lt;&gt;$L$1,对接源_02物料!$B736=""),0,IF(OR(N(对接源_02物料!$B736)&lt;$L$2,N(对接源_02物料!$B736)&gt;$L$3),0,1))</f>
        <v>0</v>
      </c>
      <c r="M1936" s="1" t="n">
        <f aca="false">IF(OR($M$1="",对接源_02物料!$C736="",对接源_02物料!$C736&lt;&gt;$M$1,对接源_02物料!$B736=""),0,IF(OR(N(对接源_02物料!$B736)&lt;$M$2,N(对接源_02物料!$B736)&gt;$M$3),0,1))</f>
        <v>0</v>
      </c>
      <c r="N1936" s="1" t="n">
        <f aca="false">IF(OR($N$1="",对接源_02物料!$C736="",对接源_02物料!$C736&lt;&gt;$N$1,对接源_02物料!$B736=""),0,IF(OR(N(对接源_02物料!$B736)&lt;$N$2,N(对接源_02物料!$B736)&gt;$N$3),0,1))</f>
        <v>0</v>
      </c>
      <c r="P1936" s="1" t="n">
        <f aca="false">IF(AND($K1936=1,AND(对接源_02物料!$X736="公司筐",N(对接源_02物料!$T736)&lt;&gt;0)),1,0)</f>
        <v>0</v>
      </c>
      <c r="Q1936" s="1" t="n">
        <f aca="false">N(Q1935)+$P1936</f>
        <v>13</v>
      </c>
      <c r="R1936" s="1" t="n">
        <f aca="false">IF(AND($K1936=1,AND(对接源_02物料!$X736="公司筐",N(对接源_02物料!$U736)&lt;&gt;0)),1,0)</f>
        <v>0</v>
      </c>
      <c r="S1936" s="1" t="n">
        <f aca="false">N(S1935)+$R1936</f>
        <v>5</v>
      </c>
      <c r="T1936" s="1" t="n">
        <f aca="false">IF(AND($K1936=1,AND(对接源_02物料!$X736="公司筐",N(对接源_02物料!$V736)&lt;&gt;0)),1,0)</f>
        <v>0</v>
      </c>
      <c r="U1936" s="1" t="n">
        <f aca="false">N(U1935)+$T1936</f>
        <v>28</v>
      </c>
      <c r="V1936" s="1" t="n">
        <f aca="false">IF(AND($L1936=1,AND(对接源_02物料!$X736="自备筐",N(对接源_02物料!$V736)&lt;&gt;0)),1,0)</f>
        <v>0</v>
      </c>
      <c r="W1936" s="1" t="n">
        <f aca="false">N(W1935)+$V1936</f>
        <v>7</v>
      </c>
      <c r="X1936" s="1" t="n">
        <f aca="false">IF(AND($L1936=1,AND(对接源_02物料!$X736="自备筐",N(对接源_02物料!$T736)&lt;&gt;0)),1,0)</f>
        <v>0</v>
      </c>
      <c r="Y1936" s="1" t="n">
        <f aca="false">N(Y1935)+$X1936</f>
        <v>0</v>
      </c>
      <c r="Z1936" s="1" t="n">
        <f aca="false">IF(AND($M1936=1,对接源_02物料!$D736="原料入库"),1,0)</f>
        <v>0</v>
      </c>
      <c r="AA1936" s="1" t="n">
        <f aca="false">N(AA1935)+$Z1936</f>
        <v>30</v>
      </c>
      <c r="AB1936" s="1" t="n">
        <f aca="false">IF(AND($M1936=1,LEFT(对接源_02物料!$D736,4)="原料出库"),1,0)</f>
        <v>0</v>
      </c>
      <c r="AC1936" s="1" t="n">
        <f aca="false">N(AC1935)+$AB1936</f>
        <v>19</v>
      </c>
      <c r="AD1936" s="1" t="n">
        <f aca="false">IF(AND($M1936=1,LEFT(对接源_02物料!$D736,4)="成品出库"),1,0)</f>
        <v>0</v>
      </c>
      <c r="AE1936" s="1" t="n">
        <f aca="false">N(AE1935)+$AD1936</f>
        <v>38</v>
      </c>
      <c r="AF1936" s="1" t="n">
        <f aca="false">IF(AND($N1936=1,AND(LEFT(对接源_02物料!$D736,4)="包装物料",N(对接源_02物料!$K736)&lt;&gt;0)),1,0)</f>
        <v>0</v>
      </c>
      <c r="AG1936" s="1" t="n">
        <f aca="false">N(AG1935)+$AF1936</f>
        <v>6</v>
      </c>
      <c r="AH1936" s="1" t="n">
        <f aca="false">IF(AND($N1936=1,AND(LEFT(对接源_02物料!$D736,3)="周转筐",N(对接源_02物料!$K736)&lt;&gt;0)),1,0)</f>
        <v>0</v>
      </c>
      <c r="AI1936" s="1" t="n">
        <f aca="false">N(AI1935)+$AH1936</f>
        <v>0</v>
      </c>
      <c r="AJ1936" s="1" t="n">
        <v>0</v>
      </c>
      <c r="AK1936" s="1" t="n">
        <f aca="false">N(AK1935)+$AJ1936</f>
        <v>3672</v>
      </c>
    </row>
    <row r="1937" customFormat="false" ht="13.5" hidden="false" customHeight="false" outlineLevel="0" collapsed="false">
      <c r="A1937" s="1" t="str">
        <f aca="false">IF(对接源_02物料!$C737="","",对接源_02物料!$C737)</f>
        <v/>
      </c>
      <c r="B1937" s="1" t="n">
        <f aca="false">IF(A1937="",0,IF(MATCH(A1937,$A$4:$A$2403,0)=ROW()-3,1,0))</f>
        <v>0</v>
      </c>
      <c r="C1937" s="1" t="n">
        <f aca="false">N(C1936)+B1937</f>
        <v>17</v>
      </c>
      <c r="K1937" s="1" t="n">
        <f aca="false">IF(OR($K$1="",对接源_02物料!$C737="",对接源_02物料!$C737&lt;&gt;$K$1,对接源_02物料!$B737=""),0,IF(OR(N(对接源_02物料!$B737)&lt;$K$2,N(对接源_02物料!$B737)&gt;$K$3),0,1))</f>
        <v>0</v>
      </c>
      <c r="L1937" s="1" t="n">
        <f aca="false">IF(OR($L$1="",对接源_02物料!$C737="",对接源_02物料!$C737&lt;&gt;$L$1,对接源_02物料!$B737=""),0,IF(OR(N(对接源_02物料!$B737)&lt;$L$2,N(对接源_02物料!$B737)&gt;$L$3),0,1))</f>
        <v>0</v>
      </c>
      <c r="M1937" s="1" t="n">
        <f aca="false">IF(OR($M$1="",对接源_02物料!$C737="",对接源_02物料!$C737&lt;&gt;$M$1,对接源_02物料!$B737=""),0,IF(OR(N(对接源_02物料!$B737)&lt;$M$2,N(对接源_02物料!$B737)&gt;$M$3),0,1))</f>
        <v>0</v>
      </c>
      <c r="N1937" s="1" t="n">
        <f aca="false">IF(OR($N$1="",对接源_02物料!$C737="",对接源_02物料!$C737&lt;&gt;$N$1,对接源_02物料!$B737=""),0,IF(OR(N(对接源_02物料!$B737)&lt;$N$2,N(对接源_02物料!$B737)&gt;$N$3),0,1))</f>
        <v>0</v>
      </c>
      <c r="P1937" s="1" t="n">
        <f aca="false">IF(AND($K1937=1,AND(对接源_02物料!$X737="公司筐",N(对接源_02物料!$T737)&lt;&gt;0)),1,0)</f>
        <v>0</v>
      </c>
      <c r="Q1937" s="1" t="n">
        <f aca="false">N(Q1936)+$P1937</f>
        <v>13</v>
      </c>
      <c r="R1937" s="1" t="n">
        <f aca="false">IF(AND($K1937=1,AND(对接源_02物料!$X737="公司筐",N(对接源_02物料!$U737)&lt;&gt;0)),1,0)</f>
        <v>0</v>
      </c>
      <c r="S1937" s="1" t="n">
        <f aca="false">N(S1936)+$R1937</f>
        <v>5</v>
      </c>
      <c r="T1937" s="1" t="n">
        <f aca="false">IF(AND($K1937=1,AND(对接源_02物料!$X737="公司筐",N(对接源_02物料!$V737)&lt;&gt;0)),1,0)</f>
        <v>0</v>
      </c>
      <c r="U1937" s="1" t="n">
        <f aca="false">N(U1936)+$T1937</f>
        <v>28</v>
      </c>
      <c r="V1937" s="1" t="n">
        <f aca="false">IF(AND($L1937=1,AND(对接源_02物料!$X737="自备筐",N(对接源_02物料!$V737)&lt;&gt;0)),1,0)</f>
        <v>0</v>
      </c>
      <c r="W1937" s="1" t="n">
        <f aca="false">N(W1936)+$V1937</f>
        <v>7</v>
      </c>
      <c r="X1937" s="1" t="n">
        <f aca="false">IF(AND($L1937=1,AND(对接源_02物料!$X737="自备筐",N(对接源_02物料!$T737)&lt;&gt;0)),1,0)</f>
        <v>0</v>
      </c>
      <c r="Y1937" s="1" t="n">
        <f aca="false">N(Y1936)+$X1937</f>
        <v>0</v>
      </c>
      <c r="Z1937" s="1" t="n">
        <f aca="false">IF(AND($M1937=1,对接源_02物料!$D737="原料入库"),1,0)</f>
        <v>0</v>
      </c>
      <c r="AA1937" s="1" t="n">
        <f aca="false">N(AA1936)+$Z1937</f>
        <v>30</v>
      </c>
      <c r="AB1937" s="1" t="n">
        <f aca="false">IF(AND($M1937=1,LEFT(对接源_02物料!$D737,4)="原料出库"),1,0)</f>
        <v>0</v>
      </c>
      <c r="AC1937" s="1" t="n">
        <f aca="false">N(AC1936)+$AB1937</f>
        <v>19</v>
      </c>
      <c r="AD1937" s="1" t="n">
        <f aca="false">IF(AND($M1937=1,LEFT(对接源_02物料!$D737,4)="成品出库"),1,0)</f>
        <v>0</v>
      </c>
      <c r="AE1937" s="1" t="n">
        <f aca="false">N(AE1936)+$AD1937</f>
        <v>38</v>
      </c>
      <c r="AF1937" s="1" t="n">
        <f aca="false">IF(AND($N1937=1,AND(LEFT(对接源_02物料!$D737,4)="包装物料",N(对接源_02物料!$K737)&lt;&gt;0)),1,0)</f>
        <v>0</v>
      </c>
      <c r="AG1937" s="1" t="n">
        <f aca="false">N(AG1936)+$AF1937</f>
        <v>6</v>
      </c>
      <c r="AH1937" s="1" t="n">
        <f aca="false">IF(AND($N1937=1,AND(LEFT(对接源_02物料!$D737,3)="周转筐",N(对接源_02物料!$K737)&lt;&gt;0)),1,0)</f>
        <v>0</v>
      </c>
      <c r="AI1937" s="1" t="n">
        <f aca="false">N(AI1936)+$AH1937</f>
        <v>0</v>
      </c>
      <c r="AJ1937" s="1" t="n">
        <v>0</v>
      </c>
      <c r="AK1937" s="1" t="n">
        <f aca="false">N(AK1936)+$AJ1937</f>
        <v>3672</v>
      </c>
    </row>
    <row r="1938" customFormat="false" ht="13.5" hidden="false" customHeight="false" outlineLevel="0" collapsed="false">
      <c r="A1938" s="1" t="str">
        <f aca="false">IF(对接源_02物料!$C738="","",对接源_02物料!$C738)</f>
        <v/>
      </c>
      <c r="B1938" s="1" t="n">
        <f aca="false">IF(A1938="",0,IF(MATCH(A1938,$A$4:$A$2403,0)=ROW()-3,1,0))</f>
        <v>0</v>
      </c>
      <c r="C1938" s="1" t="n">
        <f aca="false">N(C1937)+B1938</f>
        <v>17</v>
      </c>
      <c r="K1938" s="1" t="n">
        <f aca="false">IF(OR($K$1="",对接源_02物料!$C738="",对接源_02物料!$C738&lt;&gt;$K$1,对接源_02物料!$B738=""),0,IF(OR(N(对接源_02物料!$B738)&lt;$K$2,N(对接源_02物料!$B738)&gt;$K$3),0,1))</f>
        <v>0</v>
      </c>
      <c r="L1938" s="1" t="n">
        <f aca="false">IF(OR($L$1="",对接源_02物料!$C738="",对接源_02物料!$C738&lt;&gt;$L$1,对接源_02物料!$B738=""),0,IF(OR(N(对接源_02物料!$B738)&lt;$L$2,N(对接源_02物料!$B738)&gt;$L$3),0,1))</f>
        <v>0</v>
      </c>
      <c r="M1938" s="1" t="n">
        <f aca="false">IF(OR($M$1="",对接源_02物料!$C738="",对接源_02物料!$C738&lt;&gt;$M$1,对接源_02物料!$B738=""),0,IF(OR(N(对接源_02物料!$B738)&lt;$M$2,N(对接源_02物料!$B738)&gt;$M$3),0,1))</f>
        <v>0</v>
      </c>
      <c r="N1938" s="1" t="n">
        <f aca="false">IF(OR($N$1="",对接源_02物料!$C738="",对接源_02物料!$C738&lt;&gt;$N$1,对接源_02物料!$B738=""),0,IF(OR(N(对接源_02物料!$B738)&lt;$N$2,N(对接源_02物料!$B738)&gt;$N$3),0,1))</f>
        <v>0</v>
      </c>
      <c r="P1938" s="1" t="n">
        <f aca="false">IF(AND($K1938=1,AND(对接源_02物料!$X738="公司筐",N(对接源_02物料!$T738)&lt;&gt;0)),1,0)</f>
        <v>0</v>
      </c>
      <c r="Q1938" s="1" t="n">
        <f aca="false">N(Q1937)+$P1938</f>
        <v>13</v>
      </c>
      <c r="R1938" s="1" t="n">
        <f aca="false">IF(AND($K1938=1,AND(对接源_02物料!$X738="公司筐",N(对接源_02物料!$U738)&lt;&gt;0)),1,0)</f>
        <v>0</v>
      </c>
      <c r="S1938" s="1" t="n">
        <f aca="false">N(S1937)+$R1938</f>
        <v>5</v>
      </c>
      <c r="T1938" s="1" t="n">
        <f aca="false">IF(AND($K1938=1,AND(对接源_02物料!$X738="公司筐",N(对接源_02物料!$V738)&lt;&gt;0)),1,0)</f>
        <v>0</v>
      </c>
      <c r="U1938" s="1" t="n">
        <f aca="false">N(U1937)+$T1938</f>
        <v>28</v>
      </c>
      <c r="V1938" s="1" t="n">
        <f aca="false">IF(AND($L1938=1,AND(对接源_02物料!$X738="自备筐",N(对接源_02物料!$V738)&lt;&gt;0)),1,0)</f>
        <v>0</v>
      </c>
      <c r="W1938" s="1" t="n">
        <f aca="false">N(W1937)+$V1938</f>
        <v>7</v>
      </c>
      <c r="X1938" s="1" t="n">
        <f aca="false">IF(AND($L1938=1,AND(对接源_02物料!$X738="自备筐",N(对接源_02物料!$T738)&lt;&gt;0)),1,0)</f>
        <v>0</v>
      </c>
      <c r="Y1938" s="1" t="n">
        <f aca="false">N(Y1937)+$X1938</f>
        <v>0</v>
      </c>
      <c r="Z1938" s="1" t="n">
        <f aca="false">IF(AND($M1938=1,对接源_02物料!$D738="原料入库"),1,0)</f>
        <v>0</v>
      </c>
      <c r="AA1938" s="1" t="n">
        <f aca="false">N(AA1937)+$Z1938</f>
        <v>30</v>
      </c>
      <c r="AB1938" s="1" t="n">
        <f aca="false">IF(AND($M1938=1,LEFT(对接源_02物料!$D738,4)="原料出库"),1,0)</f>
        <v>0</v>
      </c>
      <c r="AC1938" s="1" t="n">
        <f aca="false">N(AC1937)+$AB1938</f>
        <v>19</v>
      </c>
      <c r="AD1938" s="1" t="n">
        <f aca="false">IF(AND($M1938=1,LEFT(对接源_02物料!$D738,4)="成品出库"),1,0)</f>
        <v>0</v>
      </c>
      <c r="AE1938" s="1" t="n">
        <f aca="false">N(AE1937)+$AD1938</f>
        <v>38</v>
      </c>
      <c r="AF1938" s="1" t="n">
        <f aca="false">IF(AND($N1938=1,AND(LEFT(对接源_02物料!$D738,4)="包装物料",N(对接源_02物料!$K738)&lt;&gt;0)),1,0)</f>
        <v>0</v>
      </c>
      <c r="AG1938" s="1" t="n">
        <f aca="false">N(AG1937)+$AF1938</f>
        <v>6</v>
      </c>
      <c r="AH1938" s="1" t="n">
        <f aca="false">IF(AND($N1938=1,AND(LEFT(对接源_02物料!$D738,3)="周转筐",N(对接源_02物料!$K738)&lt;&gt;0)),1,0)</f>
        <v>0</v>
      </c>
      <c r="AI1938" s="1" t="n">
        <f aca="false">N(AI1937)+$AH1938</f>
        <v>0</v>
      </c>
      <c r="AJ1938" s="1" t="n">
        <v>0</v>
      </c>
      <c r="AK1938" s="1" t="n">
        <f aca="false">N(AK1937)+$AJ1938</f>
        <v>3672</v>
      </c>
    </row>
    <row r="1939" customFormat="false" ht="13.5" hidden="false" customHeight="false" outlineLevel="0" collapsed="false">
      <c r="A1939" s="1" t="str">
        <f aca="false">IF(对接源_02物料!$C739="","",对接源_02物料!$C739)</f>
        <v/>
      </c>
      <c r="B1939" s="1" t="n">
        <f aca="false">IF(A1939="",0,IF(MATCH(A1939,$A$4:$A$2403,0)=ROW()-3,1,0))</f>
        <v>0</v>
      </c>
      <c r="C1939" s="1" t="n">
        <f aca="false">N(C1938)+B1939</f>
        <v>17</v>
      </c>
      <c r="K1939" s="1" t="n">
        <f aca="false">IF(OR($K$1="",对接源_02物料!$C739="",对接源_02物料!$C739&lt;&gt;$K$1,对接源_02物料!$B739=""),0,IF(OR(N(对接源_02物料!$B739)&lt;$K$2,N(对接源_02物料!$B739)&gt;$K$3),0,1))</f>
        <v>0</v>
      </c>
      <c r="L1939" s="1" t="n">
        <f aca="false">IF(OR($L$1="",对接源_02物料!$C739="",对接源_02物料!$C739&lt;&gt;$L$1,对接源_02物料!$B739=""),0,IF(OR(N(对接源_02物料!$B739)&lt;$L$2,N(对接源_02物料!$B739)&gt;$L$3),0,1))</f>
        <v>0</v>
      </c>
      <c r="M1939" s="1" t="n">
        <f aca="false">IF(OR($M$1="",对接源_02物料!$C739="",对接源_02物料!$C739&lt;&gt;$M$1,对接源_02物料!$B739=""),0,IF(OR(N(对接源_02物料!$B739)&lt;$M$2,N(对接源_02物料!$B739)&gt;$M$3),0,1))</f>
        <v>0</v>
      </c>
      <c r="N1939" s="1" t="n">
        <f aca="false">IF(OR($N$1="",对接源_02物料!$C739="",对接源_02物料!$C739&lt;&gt;$N$1,对接源_02物料!$B739=""),0,IF(OR(N(对接源_02物料!$B739)&lt;$N$2,N(对接源_02物料!$B739)&gt;$N$3),0,1))</f>
        <v>0</v>
      </c>
      <c r="P1939" s="1" t="n">
        <f aca="false">IF(AND($K1939=1,AND(对接源_02物料!$X739="公司筐",N(对接源_02物料!$T739)&lt;&gt;0)),1,0)</f>
        <v>0</v>
      </c>
      <c r="Q1939" s="1" t="n">
        <f aca="false">N(Q1938)+$P1939</f>
        <v>13</v>
      </c>
      <c r="R1939" s="1" t="n">
        <f aca="false">IF(AND($K1939=1,AND(对接源_02物料!$X739="公司筐",N(对接源_02物料!$U739)&lt;&gt;0)),1,0)</f>
        <v>0</v>
      </c>
      <c r="S1939" s="1" t="n">
        <f aca="false">N(S1938)+$R1939</f>
        <v>5</v>
      </c>
      <c r="T1939" s="1" t="n">
        <f aca="false">IF(AND($K1939=1,AND(对接源_02物料!$X739="公司筐",N(对接源_02物料!$V739)&lt;&gt;0)),1,0)</f>
        <v>0</v>
      </c>
      <c r="U1939" s="1" t="n">
        <f aca="false">N(U1938)+$T1939</f>
        <v>28</v>
      </c>
      <c r="V1939" s="1" t="n">
        <f aca="false">IF(AND($L1939=1,AND(对接源_02物料!$X739="自备筐",N(对接源_02物料!$V739)&lt;&gt;0)),1,0)</f>
        <v>0</v>
      </c>
      <c r="W1939" s="1" t="n">
        <f aca="false">N(W1938)+$V1939</f>
        <v>7</v>
      </c>
      <c r="X1939" s="1" t="n">
        <f aca="false">IF(AND($L1939=1,AND(对接源_02物料!$X739="自备筐",N(对接源_02物料!$T739)&lt;&gt;0)),1,0)</f>
        <v>0</v>
      </c>
      <c r="Y1939" s="1" t="n">
        <f aca="false">N(Y1938)+$X1939</f>
        <v>0</v>
      </c>
      <c r="Z1939" s="1" t="n">
        <f aca="false">IF(AND($M1939=1,对接源_02物料!$D739="原料入库"),1,0)</f>
        <v>0</v>
      </c>
      <c r="AA1939" s="1" t="n">
        <f aca="false">N(AA1938)+$Z1939</f>
        <v>30</v>
      </c>
      <c r="AB1939" s="1" t="n">
        <f aca="false">IF(AND($M1939=1,LEFT(对接源_02物料!$D739,4)="原料出库"),1,0)</f>
        <v>0</v>
      </c>
      <c r="AC1939" s="1" t="n">
        <f aca="false">N(AC1938)+$AB1939</f>
        <v>19</v>
      </c>
      <c r="AD1939" s="1" t="n">
        <f aca="false">IF(AND($M1939=1,LEFT(对接源_02物料!$D739,4)="成品出库"),1,0)</f>
        <v>0</v>
      </c>
      <c r="AE1939" s="1" t="n">
        <f aca="false">N(AE1938)+$AD1939</f>
        <v>38</v>
      </c>
      <c r="AF1939" s="1" t="n">
        <f aca="false">IF(AND($N1939=1,AND(LEFT(对接源_02物料!$D739,4)="包装物料",N(对接源_02物料!$K739)&lt;&gt;0)),1,0)</f>
        <v>0</v>
      </c>
      <c r="AG1939" s="1" t="n">
        <f aca="false">N(AG1938)+$AF1939</f>
        <v>6</v>
      </c>
      <c r="AH1939" s="1" t="n">
        <f aca="false">IF(AND($N1939=1,AND(LEFT(对接源_02物料!$D739,3)="周转筐",N(对接源_02物料!$K739)&lt;&gt;0)),1,0)</f>
        <v>0</v>
      </c>
      <c r="AI1939" s="1" t="n">
        <f aca="false">N(AI1938)+$AH1939</f>
        <v>0</v>
      </c>
      <c r="AJ1939" s="1" t="n">
        <v>0</v>
      </c>
      <c r="AK1939" s="1" t="n">
        <f aca="false">N(AK1938)+$AJ1939</f>
        <v>3672</v>
      </c>
    </row>
    <row r="1940" customFormat="false" ht="13.5" hidden="false" customHeight="false" outlineLevel="0" collapsed="false">
      <c r="A1940" s="1" t="str">
        <f aca="false">IF(对接源_02物料!$C740="","",对接源_02物料!$C740)</f>
        <v/>
      </c>
      <c r="B1940" s="1" t="n">
        <f aca="false">IF(A1940="",0,IF(MATCH(A1940,$A$4:$A$2403,0)=ROW()-3,1,0))</f>
        <v>0</v>
      </c>
      <c r="C1940" s="1" t="n">
        <f aca="false">N(C1939)+B1940</f>
        <v>17</v>
      </c>
      <c r="K1940" s="1" t="n">
        <f aca="false">IF(OR($K$1="",对接源_02物料!$C740="",对接源_02物料!$C740&lt;&gt;$K$1,对接源_02物料!$B740=""),0,IF(OR(N(对接源_02物料!$B740)&lt;$K$2,N(对接源_02物料!$B740)&gt;$K$3),0,1))</f>
        <v>0</v>
      </c>
      <c r="L1940" s="1" t="n">
        <f aca="false">IF(OR($L$1="",对接源_02物料!$C740="",对接源_02物料!$C740&lt;&gt;$L$1,对接源_02物料!$B740=""),0,IF(OR(N(对接源_02物料!$B740)&lt;$L$2,N(对接源_02物料!$B740)&gt;$L$3),0,1))</f>
        <v>0</v>
      </c>
      <c r="M1940" s="1" t="n">
        <f aca="false">IF(OR($M$1="",对接源_02物料!$C740="",对接源_02物料!$C740&lt;&gt;$M$1,对接源_02物料!$B740=""),0,IF(OR(N(对接源_02物料!$B740)&lt;$M$2,N(对接源_02物料!$B740)&gt;$M$3),0,1))</f>
        <v>0</v>
      </c>
      <c r="N1940" s="1" t="n">
        <f aca="false">IF(OR($N$1="",对接源_02物料!$C740="",对接源_02物料!$C740&lt;&gt;$N$1,对接源_02物料!$B740=""),0,IF(OR(N(对接源_02物料!$B740)&lt;$N$2,N(对接源_02物料!$B740)&gt;$N$3),0,1))</f>
        <v>0</v>
      </c>
      <c r="P1940" s="1" t="n">
        <f aca="false">IF(AND($K1940=1,AND(对接源_02物料!$X740="公司筐",N(对接源_02物料!$T740)&lt;&gt;0)),1,0)</f>
        <v>0</v>
      </c>
      <c r="Q1940" s="1" t="n">
        <f aca="false">N(Q1939)+$P1940</f>
        <v>13</v>
      </c>
      <c r="R1940" s="1" t="n">
        <f aca="false">IF(AND($K1940=1,AND(对接源_02物料!$X740="公司筐",N(对接源_02物料!$U740)&lt;&gt;0)),1,0)</f>
        <v>0</v>
      </c>
      <c r="S1940" s="1" t="n">
        <f aca="false">N(S1939)+$R1940</f>
        <v>5</v>
      </c>
      <c r="T1940" s="1" t="n">
        <f aca="false">IF(AND($K1940=1,AND(对接源_02物料!$X740="公司筐",N(对接源_02物料!$V740)&lt;&gt;0)),1,0)</f>
        <v>0</v>
      </c>
      <c r="U1940" s="1" t="n">
        <f aca="false">N(U1939)+$T1940</f>
        <v>28</v>
      </c>
      <c r="V1940" s="1" t="n">
        <f aca="false">IF(AND($L1940=1,AND(对接源_02物料!$X740="自备筐",N(对接源_02物料!$V740)&lt;&gt;0)),1,0)</f>
        <v>0</v>
      </c>
      <c r="W1940" s="1" t="n">
        <f aca="false">N(W1939)+$V1940</f>
        <v>7</v>
      </c>
      <c r="X1940" s="1" t="n">
        <f aca="false">IF(AND($L1940=1,AND(对接源_02物料!$X740="自备筐",N(对接源_02物料!$T740)&lt;&gt;0)),1,0)</f>
        <v>0</v>
      </c>
      <c r="Y1940" s="1" t="n">
        <f aca="false">N(Y1939)+$X1940</f>
        <v>0</v>
      </c>
      <c r="Z1940" s="1" t="n">
        <f aca="false">IF(AND($M1940=1,对接源_02物料!$D740="原料入库"),1,0)</f>
        <v>0</v>
      </c>
      <c r="AA1940" s="1" t="n">
        <f aca="false">N(AA1939)+$Z1940</f>
        <v>30</v>
      </c>
      <c r="AB1940" s="1" t="n">
        <f aca="false">IF(AND($M1940=1,LEFT(对接源_02物料!$D740,4)="原料出库"),1,0)</f>
        <v>0</v>
      </c>
      <c r="AC1940" s="1" t="n">
        <f aca="false">N(AC1939)+$AB1940</f>
        <v>19</v>
      </c>
      <c r="AD1940" s="1" t="n">
        <f aca="false">IF(AND($M1940=1,LEFT(对接源_02物料!$D740,4)="成品出库"),1,0)</f>
        <v>0</v>
      </c>
      <c r="AE1940" s="1" t="n">
        <f aca="false">N(AE1939)+$AD1940</f>
        <v>38</v>
      </c>
      <c r="AF1940" s="1" t="n">
        <f aca="false">IF(AND($N1940=1,AND(LEFT(对接源_02物料!$D740,4)="包装物料",N(对接源_02物料!$K740)&lt;&gt;0)),1,0)</f>
        <v>0</v>
      </c>
      <c r="AG1940" s="1" t="n">
        <f aca="false">N(AG1939)+$AF1940</f>
        <v>6</v>
      </c>
      <c r="AH1940" s="1" t="n">
        <f aca="false">IF(AND($N1940=1,AND(LEFT(对接源_02物料!$D740,3)="周转筐",N(对接源_02物料!$K740)&lt;&gt;0)),1,0)</f>
        <v>0</v>
      </c>
      <c r="AI1940" s="1" t="n">
        <f aca="false">N(AI1939)+$AH1940</f>
        <v>0</v>
      </c>
      <c r="AJ1940" s="1" t="n">
        <v>0</v>
      </c>
      <c r="AK1940" s="1" t="n">
        <f aca="false">N(AK1939)+$AJ1940</f>
        <v>3672</v>
      </c>
    </row>
    <row r="1941" customFormat="false" ht="13.5" hidden="false" customHeight="false" outlineLevel="0" collapsed="false">
      <c r="A1941" s="1" t="str">
        <f aca="false">IF(对接源_02物料!$C741="","",对接源_02物料!$C741)</f>
        <v/>
      </c>
      <c r="B1941" s="1" t="n">
        <f aca="false">IF(A1941="",0,IF(MATCH(A1941,$A$4:$A$2403,0)=ROW()-3,1,0))</f>
        <v>0</v>
      </c>
      <c r="C1941" s="1" t="n">
        <f aca="false">N(C1940)+B1941</f>
        <v>17</v>
      </c>
      <c r="K1941" s="1" t="n">
        <f aca="false">IF(OR($K$1="",对接源_02物料!$C741="",对接源_02物料!$C741&lt;&gt;$K$1,对接源_02物料!$B741=""),0,IF(OR(N(对接源_02物料!$B741)&lt;$K$2,N(对接源_02物料!$B741)&gt;$K$3),0,1))</f>
        <v>0</v>
      </c>
      <c r="L1941" s="1" t="n">
        <f aca="false">IF(OR($L$1="",对接源_02物料!$C741="",对接源_02物料!$C741&lt;&gt;$L$1,对接源_02物料!$B741=""),0,IF(OR(N(对接源_02物料!$B741)&lt;$L$2,N(对接源_02物料!$B741)&gt;$L$3),0,1))</f>
        <v>0</v>
      </c>
      <c r="M1941" s="1" t="n">
        <f aca="false">IF(OR($M$1="",对接源_02物料!$C741="",对接源_02物料!$C741&lt;&gt;$M$1,对接源_02物料!$B741=""),0,IF(OR(N(对接源_02物料!$B741)&lt;$M$2,N(对接源_02物料!$B741)&gt;$M$3),0,1))</f>
        <v>0</v>
      </c>
      <c r="N1941" s="1" t="n">
        <f aca="false">IF(OR($N$1="",对接源_02物料!$C741="",对接源_02物料!$C741&lt;&gt;$N$1,对接源_02物料!$B741=""),0,IF(OR(N(对接源_02物料!$B741)&lt;$N$2,N(对接源_02物料!$B741)&gt;$N$3),0,1))</f>
        <v>0</v>
      </c>
      <c r="P1941" s="1" t="n">
        <f aca="false">IF(AND($K1941=1,AND(对接源_02物料!$X741="公司筐",N(对接源_02物料!$T741)&lt;&gt;0)),1,0)</f>
        <v>0</v>
      </c>
      <c r="Q1941" s="1" t="n">
        <f aca="false">N(Q1940)+$P1941</f>
        <v>13</v>
      </c>
      <c r="R1941" s="1" t="n">
        <f aca="false">IF(AND($K1941=1,AND(对接源_02物料!$X741="公司筐",N(对接源_02物料!$U741)&lt;&gt;0)),1,0)</f>
        <v>0</v>
      </c>
      <c r="S1941" s="1" t="n">
        <f aca="false">N(S1940)+$R1941</f>
        <v>5</v>
      </c>
      <c r="T1941" s="1" t="n">
        <f aca="false">IF(AND($K1941=1,AND(对接源_02物料!$X741="公司筐",N(对接源_02物料!$V741)&lt;&gt;0)),1,0)</f>
        <v>0</v>
      </c>
      <c r="U1941" s="1" t="n">
        <f aca="false">N(U1940)+$T1941</f>
        <v>28</v>
      </c>
      <c r="V1941" s="1" t="n">
        <f aca="false">IF(AND($L1941=1,AND(对接源_02物料!$X741="自备筐",N(对接源_02物料!$V741)&lt;&gt;0)),1,0)</f>
        <v>0</v>
      </c>
      <c r="W1941" s="1" t="n">
        <f aca="false">N(W1940)+$V1941</f>
        <v>7</v>
      </c>
      <c r="X1941" s="1" t="n">
        <f aca="false">IF(AND($L1941=1,AND(对接源_02物料!$X741="自备筐",N(对接源_02物料!$T741)&lt;&gt;0)),1,0)</f>
        <v>0</v>
      </c>
      <c r="Y1941" s="1" t="n">
        <f aca="false">N(Y1940)+$X1941</f>
        <v>0</v>
      </c>
      <c r="Z1941" s="1" t="n">
        <f aca="false">IF(AND($M1941=1,对接源_02物料!$D741="原料入库"),1,0)</f>
        <v>0</v>
      </c>
      <c r="AA1941" s="1" t="n">
        <f aca="false">N(AA1940)+$Z1941</f>
        <v>30</v>
      </c>
      <c r="AB1941" s="1" t="n">
        <f aca="false">IF(AND($M1941=1,LEFT(对接源_02物料!$D741,4)="原料出库"),1,0)</f>
        <v>0</v>
      </c>
      <c r="AC1941" s="1" t="n">
        <f aca="false">N(AC1940)+$AB1941</f>
        <v>19</v>
      </c>
      <c r="AD1941" s="1" t="n">
        <f aca="false">IF(AND($M1941=1,LEFT(对接源_02物料!$D741,4)="成品出库"),1,0)</f>
        <v>0</v>
      </c>
      <c r="AE1941" s="1" t="n">
        <f aca="false">N(AE1940)+$AD1941</f>
        <v>38</v>
      </c>
      <c r="AF1941" s="1" t="n">
        <f aca="false">IF(AND($N1941=1,AND(LEFT(对接源_02物料!$D741,4)="包装物料",N(对接源_02物料!$K741)&lt;&gt;0)),1,0)</f>
        <v>0</v>
      </c>
      <c r="AG1941" s="1" t="n">
        <f aca="false">N(AG1940)+$AF1941</f>
        <v>6</v>
      </c>
      <c r="AH1941" s="1" t="n">
        <f aca="false">IF(AND($N1941=1,AND(LEFT(对接源_02物料!$D741,3)="周转筐",N(对接源_02物料!$K741)&lt;&gt;0)),1,0)</f>
        <v>0</v>
      </c>
      <c r="AI1941" s="1" t="n">
        <f aca="false">N(AI1940)+$AH1941</f>
        <v>0</v>
      </c>
      <c r="AJ1941" s="1" t="n">
        <v>0</v>
      </c>
      <c r="AK1941" s="1" t="n">
        <f aca="false">N(AK1940)+$AJ1941</f>
        <v>3672</v>
      </c>
    </row>
    <row r="1942" customFormat="false" ht="13.5" hidden="false" customHeight="false" outlineLevel="0" collapsed="false">
      <c r="A1942" s="1" t="str">
        <f aca="false">IF(对接源_02物料!$C742="","",对接源_02物料!$C742)</f>
        <v/>
      </c>
      <c r="B1942" s="1" t="n">
        <f aca="false">IF(A1942="",0,IF(MATCH(A1942,$A$4:$A$2403,0)=ROW()-3,1,0))</f>
        <v>0</v>
      </c>
      <c r="C1942" s="1" t="n">
        <f aca="false">N(C1941)+B1942</f>
        <v>17</v>
      </c>
      <c r="K1942" s="1" t="n">
        <f aca="false">IF(OR($K$1="",对接源_02物料!$C742="",对接源_02物料!$C742&lt;&gt;$K$1,对接源_02物料!$B742=""),0,IF(OR(N(对接源_02物料!$B742)&lt;$K$2,N(对接源_02物料!$B742)&gt;$K$3),0,1))</f>
        <v>0</v>
      </c>
      <c r="L1942" s="1" t="n">
        <f aca="false">IF(OR($L$1="",对接源_02物料!$C742="",对接源_02物料!$C742&lt;&gt;$L$1,对接源_02物料!$B742=""),0,IF(OR(N(对接源_02物料!$B742)&lt;$L$2,N(对接源_02物料!$B742)&gt;$L$3),0,1))</f>
        <v>0</v>
      </c>
      <c r="M1942" s="1" t="n">
        <f aca="false">IF(OR($M$1="",对接源_02物料!$C742="",对接源_02物料!$C742&lt;&gt;$M$1,对接源_02物料!$B742=""),0,IF(OR(N(对接源_02物料!$B742)&lt;$M$2,N(对接源_02物料!$B742)&gt;$M$3),0,1))</f>
        <v>0</v>
      </c>
      <c r="N1942" s="1" t="n">
        <f aca="false">IF(OR($N$1="",对接源_02物料!$C742="",对接源_02物料!$C742&lt;&gt;$N$1,对接源_02物料!$B742=""),0,IF(OR(N(对接源_02物料!$B742)&lt;$N$2,N(对接源_02物料!$B742)&gt;$N$3),0,1))</f>
        <v>0</v>
      </c>
      <c r="P1942" s="1" t="n">
        <f aca="false">IF(AND($K1942=1,AND(对接源_02物料!$X742="公司筐",N(对接源_02物料!$T742)&lt;&gt;0)),1,0)</f>
        <v>0</v>
      </c>
      <c r="Q1942" s="1" t="n">
        <f aca="false">N(Q1941)+$P1942</f>
        <v>13</v>
      </c>
      <c r="R1942" s="1" t="n">
        <f aca="false">IF(AND($K1942=1,AND(对接源_02物料!$X742="公司筐",N(对接源_02物料!$U742)&lt;&gt;0)),1,0)</f>
        <v>0</v>
      </c>
      <c r="S1942" s="1" t="n">
        <f aca="false">N(S1941)+$R1942</f>
        <v>5</v>
      </c>
      <c r="T1942" s="1" t="n">
        <f aca="false">IF(AND($K1942=1,AND(对接源_02物料!$X742="公司筐",N(对接源_02物料!$V742)&lt;&gt;0)),1,0)</f>
        <v>0</v>
      </c>
      <c r="U1942" s="1" t="n">
        <f aca="false">N(U1941)+$T1942</f>
        <v>28</v>
      </c>
      <c r="V1942" s="1" t="n">
        <f aca="false">IF(AND($L1942=1,AND(对接源_02物料!$X742="自备筐",N(对接源_02物料!$V742)&lt;&gt;0)),1,0)</f>
        <v>0</v>
      </c>
      <c r="W1942" s="1" t="n">
        <f aca="false">N(W1941)+$V1942</f>
        <v>7</v>
      </c>
      <c r="X1942" s="1" t="n">
        <f aca="false">IF(AND($L1942=1,AND(对接源_02物料!$X742="自备筐",N(对接源_02物料!$T742)&lt;&gt;0)),1,0)</f>
        <v>0</v>
      </c>
      <c r="Y1942" s="1" t="n">
        <f aca="false">N(Y1941)+$X1942</f>
        <v>0</v>
      </c>
      <c r="Z1942" s="1" t="n">
        <f aca="false">IF(AND($M1942=1,对接源_02物料!$D742="原料入库"),1,0)</f>
        <v>0</v>
      </c>
      <c r="AA1942" s="1" t="n">
        <f aca="false">N(AA1941)+$Z1942</f>
        <v>30</v>
      </c>
      <c r="AB1942" s="1" t="n">
        <f aca="false">IF(AND($M1942=1,LEFT(对接源_02物料!$D742,4)="原料出库"),1,0)</f>
        <v>0</v>
      </c>
      <c r="AC1942" s="1" t="n">
        <f aca="false">N(AC1941)+$AB1942</f>
        <v>19</v>
      </c>
      <c r="AD1942" s="1" t="n">
        <f aca="false">IF(AND($M1942=1,LEFT(对接源_02物料!$D742,4)="成品出库"),1,0)</f>
        <v>0</v>
      </c>
      <c r="AE1942" s="1" t="n">
        <f aca="false">N(AE1941)+$AD1942</f>
        <v>38</v>
      </c>
      <c r="AF1942" s="1" t="n">
        <f aca="false">IF(AND($N1942=1,AND(LEFT(对接源_02物料!$D742,4)="包装物料",N(对接源_02物料!$K742)&lt;&gt;0)),1,0)</f>
        <v>0</v>
      </c>
      <c r="AG1942" s="1" t="n">
        <f aca="false">N(AG1941)+$AF1942</f>
        <v>6</v>
      </c>
      <c r="AH1942" s="1" t="n">
        <f aca="false">IF(AND($N1942=1,AND(LEFT(对接源_02物料!$D742,3)="周转筐",N(对接源_02物料!$K742)&lt;&gt;0)),1,0)</f>
        <v>0</v>
      </c>
      <c r="AI1942" s="1" t="n">
        <f aca="false">N(AI1941)+$AH1942</f>
        <v>0</v>
      </c>
      <c r="AJ1942" s="1" t="n">
        <v>0</v>
      </c>
      <c r="AK1942" s="1" t="n">
        <f aca="false">N(AK1941)+$AJ1942</f>
        <v>3672</v>
      </c>
    </row>
    <row r="1943" customFormat="false" ht="13.5" hidden="false" customHeight="false" outlineLevel="0" collapsed="false">
      <c r="A1943" s="1" t="str">
        <f aca="false">IF(对接源_02物料!$C743="","",对接源_02物料!$C743)</f>
        <v/>
      </c>
      <c r="B1943" s="1" t="n">
        <f aca="false">IF(A1943="",0,IF(MATCH(A1943,$A$4:$A$2403,0)=ROW()-3,1,0))</f>
        <v>0</v>
      </c>
      <c r="C1943" s="1" t="n">
        <f aca="false">N(C1942)+B1943</f>
        <v>17</v>
      </c>
      <c r="K1943" s="1" t="n">
        <f aca="false">IF(OR($K$1="",对接源_02物料!$C743="",对接源_02物料!$C743&lt;&gt;$K$1,对接源_02物料!$B743=""),0,IF(OR(N(对接源_02物料!$B743)&lt;$K$2,N(对接源_02物料!$B743)&gt;$K$3),0,1))</f>
        <v>0</v>
      </c>
      <c r="L1943" s="1" t="n">
        <f aca="false">IF(OR($L$1="",对接源_02物料!$C743="",对接源_02物料!$C743&lt;&gt;$L$1,对接源_02物料!$B743=""),0,IF(OR(N(对接源_02物料!$B743)&lt;$L$2,N(对接源_02物料!$B743)&gt;$L$3),0,1))</f>
        <v>0</v>
      </c>
      <c r="M1943" s="1" t="n">
        <f aca="false">IF(OR($M$1="",对接源_02物料!$C743="",对接源_02物料!$C743&lt;&gt;$M$1,对接源_02物料!$B743=""),0,IF(OR(N(对接源_02物料!$B743)&lt;$M$2,N(对接源_02物料!$B743)&gt;$M$3),0,1))</f>
        <v>0</v>
      </c>
      <c r="N1943" s="1" t="n">
        <f aca="false">IF(OR($N$1="",对接源_02物料!$C743="",对接源_02物料!$C743&lt;&gt;$N$1,对接源_02物料!$B743=""),0,IF(OR(N(对接源_02物料!$B743)&lt;$N$2,N(对接源_02物料!$B743)&gt;$N$3),0,1))</f>
        <v>0</v>
      </c>
      <c r="P1943" s="1" t="n">
        <f aca="false">IF(AND($K1943=1,AND(对接源_02物料!$X743="公司筐",N(对接源_02物料!$T743)&lt;&gt;0)),1,0)</f>
        <v>0</v>
      </c>
      <c r="Q1943" s="1" t="n">
        <f aca="false">N(Q1942)+$P1943</f>
        <v>13</v>
      </c>
      <c r="R1943" s="1" t="n">
        <f aca="false">IF(AND($K1943=1,AND(对接源_02物料!$X743="公司筐",N(对接源_02物料!$U743)&lt;&gt;0)),1,0)</f>
        <v>0</v>
      </c>
      <c r="S1943" s="1" t="n">
        <f aca="false">N(S1942)+$R1943</f>
        <v>5</v>
      </c>
      <c r="T1943" s="1" t="n">
        <f aca="false">IF(AND($K1943=1,AND(对接源_02物料!$X743="公司筐",N(对接源_02物料!$V743)&lt;&gt;0)),1,0)</f>
        <v>0</v>
      </c>
      <c r="U1943" s="1" t="n">
        <f aca="false">N(U1942)+$T1943</f>
        <v>28</v>
      </c>
      <c r="V1943" s="1" t="n">
        <f aca="false">IF(AND($L1943=1,AND(对接源_02物料!$X743="自备筐",N(对接源_02物料!$V743)&lt;&gt;0)),1,0)</f>
        <v>0</v>
      </c>
      <c r="W1943" s="1" t="n">
        <f aca="false">N(W1942)+$V1943</f>
        <v>7</v>
      </c>
      <c r="X1943" s="1" t="n">
        <f aca="false">IF(AND($L1943=1,AND(对接源_02物料!$X743="自备筐",N(对接源_02物料!$T743)&lt;&gt;0)),1,0)</f>
        <v>0</v>
      </c>
      <c r="Y1943" s="1" t="n">
        <f aca="false">N(Y1942)+$X1943</f>
        <v>0</v>
      </c>
      <c r="Z1943" s="1" t="n">
        <f aca="false">IF(AND($M1943=1,对接源_02物料!$D743="原料入库"),1,0)</f>
        <v>0</v>
      </c>
      <c r="AA1943" s="1" t="n">
        <f aca="false">N(AA1942)+$Z1943</f>
        <v>30</v>
      </c>
      <c r="AB1943" s="1" t="n">
        <f aca="false">IF(AND($M1943=1,LEFT(对接源_02物料!$D743,4)="原料出库"),1,0)</f>
        <v>0</v>
      </c>
      <c r="AC1943" s="1" t="n">
        <f aca="false">N(AC1942)+$AB1943</f>
        <v>19</v>
      </c>
      <c r="AD1943" s="1" t="n">
        <f aca="false">IF(AND($M1943=1,LEFT(对接源_02物料!$D743,4)="成品出库"),1,0)</f>
        <v>0</v>
      </c>
      <c r="AE1943" s="1" t="n">
        <f aca="false">N(AE1942)+$AD1943</f>
        <v>38</v>
      </c>
      <c r="AF1943" s="1" t="n">
        <f aca="false">IF(AND($N1943=1,AND(LEFT(对接源_02物料!$D743,4)="包装物料",N(对接源_02物料!$K743)&lt;&gt;0)),1,0)</f>
        <v>0</v>
      </c>
      <c r="AG1943" s="1" t="n">
        <f aca="false">N(AG1942)+$AF1943</f>
        <v>6</v>
      </c>
      <c r="AH1943" s="1" t="n">
        <f aca="false">IF(AND($N1943=1,AND(LEFT(对接源_02物料!$D743,3)="周转筐",N(对接源_02物料!$K743)&lt;&gt;0)),1,0)</f>
        <v>0</v>
      </c>
      <c r="AI1943" s="1" t="n">
        <f aca="false">N(AI1942)+$AH1943</f>
        <v>0</v>
      </c>
      <c r="AJ1943" s="1" t="n">
        <v>0</v>
      </c>
      <c r="AK1943" s="1" t="n">
        <f aca="false">N(AK1942)+$AJ1943</f>
        <v>3672</v>
      </c>
    </row>
    <row r="1944" customFormat="false" ht="13.5" hidden="false" customHeight="false" outlineLevel="0" collapsed="false">
      <c r="A1944" s="1" t="str">
        <f aca="false">IF(对接源_02物料!$C744="","",对接源_02物料!$C744)</f>
        <v/>
      </c>
      <c r="B1944" s="1" t="n">
        <f aca="false">IF(A1944="",0,IF(MATCH(A1944,$A$4:$A$2403,0)=ROW()-3,1,0))</f>
        <v>0</v>
      </c>
      <c r="C1944" s="1" t="n">
        <f aca="false">N(C1943)+B1944</f>
        <v>17</v>
      </c>
      <c r="K1944" s="1" t="n">
        <f aca="false">IF(OR($K$1="",对接源_02物料!$C744="",对接源_02物料!$C744&lt;&gt;$K$1,对接源_02物料!$B744=""),0,IF(OR(N(对接源_02物料!$B744)&lt;$K$2,N(对接源_02物料!$B744)&gt;$K$3),0,1))</f>
        <v>0</v>
      </c>
      <c r="L1944" s="1" t="n">
        <f aca="false">IF(OR($L$1="",对接源_02物料!$C744="",对接源_02物料!$C744&lt;&gt;$L$1,对接源_02物料!$B744=""),0,IF(OR(N(对接源_02物料!$B744)&lt;$L$2,N(对接源_02物料!$B744)&gt;$L$3),0,1))</f>
        <v>0</v>
      </c>
      <c r="M1944" s="1" t="n">
        <f aca="false">IF(OR($M$1="",对接源_02物料!$C744="",对接源_02物料!$C744&lt;&gt;$M$1,对接源_02物料!$B744=""),0,IF(OR(N(对接源_02物料!$B744)&lt;$M$2,N(对接源_02物料!$B744)&gt;$M$3),0,1))</f>
        <v>0</v>
      </c>
      <c r="N1944" s="1" t="n">
        <f aca="false">IF(OR($N$1="",对接源_02物料!$C744="",对接源_02物料!$C744&lt;&gt;$N$1,对接源_02物料!$B744=""),0,IF(OR(N(对接源_02物料!$B744)&lt;$N$2,N(对接源_02物料!$B744)&gt;$N$3),0,1))</f>
        <v>0</v>
      </c>
      <c r="P1944" s="1" t="n">
        <f aca="false">IF(AND($K1944=1,AND(对接源_02物料!$X744="公司筐",N(对接源_02物料!$T744)&lt;&gt;0)),1,0)</f>
        <v>0</v>
      </c>
      <c r="Q1944" s="1" t="n">
        <f aca="false">N(Q1943)+$P1944</f>
        <v>13</v>
      </c>
      <c r="R1944" s="1" t="n">
        <f aca="false">IF(AND($K1944=1,AND(对接源_02物料!$X744="公司筐",N(对接源_02物料!$U744)&lt;&gt;0)),1,0)</f>
        <v>0</v>
      </c>
      <c r="S1944" s="1" t="n">
        <f aca="false">N(S1943)+$R1944</f>
        <v>5</v>
      </c>
      <c r="T1944" s="1" t="n">
        <f aca="false">IF(AND($K1944=1,AND(对接源_02物料!$X744="公司筐",N(对接源_02物料!$V744)&lt;&gt;0)),1,0)</f>
        <v>0</v>
      </c>
      <c r="U1944" s="1" t="n">
        <f aca="false">N(U1943)+$T1944</f>
        <v>28</v>
      </c>
      <c r="V1944" s="1" t="n">
        <f aca="false">IF(AND($L1944=1,AND(对接源_02物料!$X744="自备筐",N(对接源_02物料!$V744)&lt;&gt;0)),1,0)</f>
        <v>0</v>
      </c>
      <c r="W1944" s="1" t="n">
        <f aca="false">N(W1943)+$V1944</f>
        <v>7</v>
      </c>
      <c r="X1944" s="1" t="n">
        <f aca="false">IF(AND($L1944=1,AND(对接源_02物料!$X744="自备筐",N(对接源_02物料!$T744)&lt;&gt;0)),1,0)</f>
        <v>0</v>
      </c>
      <c r="Y1944" s="1" t="n">
        <f aca="false">N(Y1943)+$X1944</f>
        <v>0</v>
      </c>
      <c r="Z1944" s="1" t="n">
        <f aca="false">IF(AND($M1944=1,对接源_02物料!$D744="原料入库"),1,0)</f>
        <v>0</v>
      </c>
      <c r="AA1944" s="1" t="n">
        <f aca="false">N(AA1943)+$Z1944</f>
        <v>30</v>
      </c>
      <c r="AB1944" s="1" t="n">
        <f aca="false">IF(AND($M1944=1,LEFT(对接源_02物料!$D744,4)="原料出库"),1,0)</f>
        <v>0</v>
      </c>
      <c r="AC1944" s="1" t="n">
        <f aca="false">N(AC1943)+$AB1944</f>
        <v>19</v>
      </c>
      <c r="AD1944" s="1" t="n">
        <f aca="false">IF(AND($M1944=1,LEFT(对接源_02物料!$D744,4)="成品出库"),1,0)</f>
        <v>0</v>
      </c>
      <c r="AE1944" s="1" t="n">
        <f aca="false">N(AE1943)+$AD1944</f>
        <v>38</v>
      </c>
      <c r="AF1944" s="1" t="n">
        <f aca="false">IF(AND($N1944=1,AND(LEFT(对接源_02物料!$D744,4)="包装物料",N(对接源_02物料!$K744)&lt;&gt;0)),1,0)</f>
        <v>0</v>
      </c>
      <c r="AG1944" s="1" t="n">
        <f aca="false">N(AG1943)+$AF1944</f>
        <v>6</v>
      </c>
      <c r="AH1944" s="1" t="n">
        <f aca="false">IF(AND($N1944=1,AND(LEFT(对接源_02物料!$D744,3)="周转筐",N(对接源_02物料!$K744)&lt;&gt;0)),1,0)</f>
        <v>0</v>
      </c>
      <c r="AI1944" s="1" t="n">
        <f aca="false">N(AI1943)+$AH1944</f>
        <v>0</v>
      </c>
      <c r="AJ1944" s="1" t="n">
        <v>0</v>
      </c>
      <c r="AK1944" s="1" t="n">
        <f aca="false">N(AK1943)+$AJ1944</f>
        <v>3672</v>
      </c>
    </row>
    <row r="1945" customFormat="false" ht="13.5" hidden="false" customHeight="false" outlineLevel="0" collapsed="false">
      <c r="A1945" s="1" t="str">
        <f aca="false">IF(对接源_02物料!$C745="","",对接源_02物料!$C745)</f>
        <v/>
      </c>
      <c r="B1945" s="1" t="n">
        <f aca="false">IF(A1945="",0,IF(MATCH(A1945,$A$4:$A$2403,0)=ROW()-3,1,0))</f>
        <v>0</v>
      </c>
      <c r="C1945" s="1" t="n">
        <f aca="false">N(C1944)+B1945</f>
        <v>17</v>
      </c>
      <c r="K1945" s="1" t="n">
        <f aca="false">IF(OR($K$1="",对接源_02物料!$C745="",对接源_02物料!$C745&lt;&gt;$K$1,对接源_02物料!$B745=""),0,IF(OR(N(对接源_02物料!$B745)&lt;$K$2,N(对接源_02物料!$B745)&gt;$K$3),0,1))</f>
        <v>0</v>
      </c>
      <c r="L1945" s="1" t="n">
        <f aca="false">IF(OR($L$1="",对接源_02物料!$C745="",对接源_02物料!$C745&lt;&gt;$L$1,对接源_02物料!$B745=""),0,IF(OR(N(对接源_02物料!$B745)&lt;$L$2,N(对接源_02物料!$B745)&gt;$L$3),0,1))</f>
        <v>0</v>
      </c>
      <c r="M1945" s="1" t="n">
        <f aca="false">IF(OR($M$1="",对接源_02物料!$C745="",对接源_02物料!$C745&lt;&gt;$M$1,对接源_02物料!$B745=""),0,IF(OR(N(对接源_02物料!$B745)&lt;$M$2,N(对接源_02物料!$B745)&gt;$M$3),0,1))</f>
        <v>0</v>
      </c>
      <c r="N1945" s="1" t="n">
        <f aca="false">IF(OR($N$1="",对接源_02物料!$C745="",对接源_02物料!$C745&lt;&gt;$N$1,对接源_02物料!$B745=""),0,IF(OR(N(对接源_02物料!$B745)&lt;$N$2,N(对接源_02物料!$B745)&gt;$N$3),0,1))</f>
        <v>0</v>
      </c>
      <c r="P1945" s="1" t="n">
        <f aca="false">IF(AND($K1945=1,AND(对接源_02物料!$X745="公司筐",N(对接源_02物料!$T745)&lt;&gt;0)),1,0)</f>
        <v>0</v>
      </c>
      <c r="Q1945" s="1" t="n">
        <f aca="false">N(Q1944)+$P1945</f>
        <v>13</v>
      </c>
      <c r="R1945" s="1" t="n">
        <f aca="false">IF(AND($K1945=1,AND(对接源_02物料!$X745="公司筐",N(对接源_02物料!$U745)&lt;&gt;0)),1,0)</f>
        <v>0</v>
      </c>
      <c r="S1945" s="1" t="n">
        <f aca="false">N(S1944)+$R1945</f>
        <v>5</v>
      </c>
      <c r="T1945" s="1" t="n">
        <f aca="false">IF(AND($K1945=1,AND(对接源_02物料!$X745="公司筐",N(对接源_02物料!$V745)&lt;&gt;0)),1,0)</f>
        <v>0</v>
      </c>
      <c r="U1945" s="1" t="n">
        <f aca="false">N(U1944)+$T1945</f>
        <v>28</v>
      </c>
      <c r="V1945" s="1" t="n">
        <f aca="false">IF(AND($L1945=1,AND(对接源_02物料!$X745="自备筐",N(对接源_02物料!$V745)&lt;&gt;0)),1,0)</f>
        <v>0</v>
      </c>
      <c r="W1945" s="1" t="n">
        <f aca="false">N(W1944)+$V1945</f>
        <v>7</v>
      </c>
      <c r="X1945" s="1" t="n">
        <f aca="false">IF(AND($L1945=1,AND(对接源_02物料!$X745="自备筐",N(对接源_02物料!$T745)&lt;&gt;0)),1,0)</f>
        <v>0</v>
      </c>
      <c r="Y1945" s="1" t="n">
        <f aca="false">N(Y1944)+$X1945</f>
        <v>0</v>
      </c>
      <c r="Z1945" s="1" t="n">
        <f aca="false">IF(AND($M1945=1,对接源_02物料!$D745="原料入库"),1,0)</f>
        <v>0</v>
      </c>
      <c r="AA1945" s="1" t="n">
        <f aca="false">N(AA1944)+$Z1945</f>
        <v>30</v>
      </c>
      <c r="AB1945" s="1" t="n">
        <f aca="false">IF(AND($M1945=1,LEFT(对接源_02物料!$D745,4)="原料出库"),1,0)</f>
        <v>0</v>
      </c>
      <c r="AC1945" s="1" t="n">
        <f aca="false">N(AC1944)+$AB1945</f>
        <v>19</v>
      </c>
      <c r="AD1945" s="1" t="n">
        <f aca="false">IF(AND($M1945=1,LEFT(对接源_02物料!$D745,4)="成品出库"),1,0)</f>
        <v>0</v>
      </c>
      <c r="AE1945" s="1" t="n">
        <f aca="false">N(AE1944)+$AD1945</f>
        <v>38</v>
      </c>
      <c r="AF1945" s="1" t="n">
        <f aca="false">IF(AND($N1945=1,AND(LEFT(对接源_02物料!$D745,4)="包装物料",N(对接源_02物料!$K745)&lt;&gt;0)),1,0)</f>
        <v>0</v>
      </c>
      <c r="AG1945" s="1" t="n">
        <f aca="false">N(AG1944)+$AF1945</f>
        <v>6</v>
      </c>
      <c r="AH1945" s="1" t="n">
        <f aca="false">IF(AND($N1945=1,AND(LEFT(对接源_02物料!$D745,3)="周转筐",N(对接源_02物料!$K745)&lt;&gt;0)),1,0)</f>
        <v>0</v>
      </c>
      <c r="AI1945" s="1" t="n">
        <f aca="false">N(AI1944)+$AH1945</f>
        <v>0</v>
      </c>
      <c r="AJ1945" s="1" t="n">
        <v>0</v>
      </c>
      <c r="AK1945" s="1" t="n">
        <f aca="false">N(AK1944)+$AJ1945</f>
        <v>3672</v>
      </c>
    </row>
    <row r="1946" customFormat="false" ht="13.5" hidden="false" customHeight="false" outlineLevel="0" collapsed="false">
      <c r="A1946" s="1" t="str">
        <f aca="false">IF(对接源_02物料!$C746="","",对接源_02物料!$C746)</f>
        <v/>
      </c>
      <c r="B1946" s="1" t="n">
        <f aca="false">IF(A1946="",0,IF(MATCH(A1946,$A$4:$A$2403,0)=ROW()-3,1,0))</f>
        <v>0</v>
      </c>
      <c r="C1946" s="1" t="n">
        <f aca="false">N(C1945)+B1946</f>
        <v>17</v>
      </c>
      <c r="K1946" s="1" t="n">
        <f aca="false">IF(OR($K$1="",对接源_02物料!$C746="",对接源_02物料!$C746&lt;&gt;$K$1,对接源_02物料!$B746=""),0,IF(OR(N(对接源_02物料!$B746)&lt;$K$2,N(对接源_02物料!$B746)&gt;$K$3),0,1))</f>
        <v>0</v>
      </c>
      <c r="L1946" s="1" t="n">
        <f aca="false">IF(OR($L$1="",对接源_02物料!$C746="",对接源_02物料!$C746&lt;&gt;$L$1,对接源_02物料!$B746=""),0,IF(OR(N(对接源_02物料!$B746)&lt;$L$2,N(对接源_02物料!$B746)&gt;$L$3),0,1))</f>
        <v>0</v>
      </c>
      <c r="M1946" s="1" t="n">
        <f aca="false">IF(OR($M$1="",对接源_02物料!$C746="",对接源_02物料!$C746&lt;&gt;$M$1,对接源_02物料!$B746=""),0,IF(OR(N(对接源_02物料!$B746)&lt;$M$2,N(对接源_02物料!$B746)&gt;$M$3),0,1))</f>
        <v>0</v>
      </c>
      <c r="N1946" s="1" t="n">
        <f aca="false">IF(OR($N$1="",对接源_02物料!$C746="",对接源_02物料!$C746&lt;&gt;$N$1,对接源_02物料!$B746=""),0,IF(OR(N(对接源_02物料!$B746)&lt;$N$2,N(对接源_02物料!$B746)&gt;$N$3),0,1))</f>
        <v>0</v>
      </c>
      <c r="P1946" s="1" t="n">
        <f aca="false">IF(AND($K1946=1,AND(对接源_02物料!$X746="公司筐",N(对接源_02物料!$T746)&lt;&gt;0)),1,0)</f>
        <v>0</v>
      </c>
      <c r="Q1946" s="1" t="n">
        <f aca="false">N(Q1945)+$P1946</f>
        <v>13</v>
      </c>
      <c r="R1946" s="1" t="n">
        <f aca="false">IF(AND($K1946=1,AND(对接源_02物料!$X746="公司筐",N(对接源_02物料!$U746)&lt;&gt;0)),1,0)</f>
        <v>0</v>
      </c>
      <c r="S1946" s="1" t="n">
        <f aca="false">N(S1945)+$R1946</f>
        <v>5</v>
      </c>
      <c r="T1946" s="1" t="n">
        <f aca="false">IF(AND($K1946=1,AND(对接源_02物料!$X746="公司筐",N(对接源_02物料!$V746)&lt;&gt;0)),1,0)</f>
        <v>0</v>
      </c>
      <c r="U1946" s="1" t="n">
        <f aca="false">N(U1945)+$T1946</f>
        <v>28</v>
      </c>
      <c r="V1946" s="1" t="n">
        <f aca="false">IF(AND($L1946=1,AND(对接源_02物料!$X746="自备筐",N(对接源_02物料!$V746)&lt;&gt;0)),1,0)</f>
        <v>0</v>
      </c>
      <c r="W1946" s="1" t="n">
        <f aca="false">N(W1945)+$V1946</f>
        <v>7</v>
      </c>
      <c r="X1946" s="1" t="n">
        <f aca="false">IF(AND($L1946=1,AND(对接源_02物料!$X746="自备筐",N(对接源_02物料!$T746)&lt;&gt;0)),1,0)</f>
        <v>0</v>
      </c>
      <c r="Y1946" s="1" t="n">
        <f aca="false">N(Y1945)+$X1946</f>
        <v>0</v>
      </c>
      <c r="Z1946" s="1" t="n">
        <f aca="false">IF(AND($M1946=1,对接源_02物料!$D746="原料入库"),1,0)</f>
        <v>0</v>
      </c>
      <c r="AA1946" s="1" t="n">
        <f aca="false">N(AA1945)+$Z1946</f>
        <v>30</v>
      </c>
      <c r="AB1946" s="1" t="n">
        <f aca="false">IF(AND($M1946=1,LEFT(对接源_02物料!$D746,4)="原料出库"),1,0)</f>
        <v>0</v>
      </c>
      <c r="AC1946" s="1" t="n">
        <f aca="false">N(AC1945)+$AB1946</f>
        <v>19</v>
      </c>
      <c r="AD1946" s="1" t="n">
        <f aca="false">IF(AND($M1946=1,LEFT(对接源_02物料!$D746,4)="成品出库"),1,0)</f>
        <v>0</v>
      </c>
      <c r="AE1946" s="1" t="n">
        <f aca="false">N(AE1945)+$AD1946</f>
        <v>38</v>
      </c>
      <c r="AF1946" s="1" t="n">
        <f aca="false">IF(AND($N1946=1,AND(LEFT(对接源_02物料!$D746,4)="包装物料",N(对接源_02物料!$K746)&lt;&gt;0)),1,0)</f>
        <v>0</v>
      </c>
      <c r="AG1946" s="1" t="n">
        <f aca="false">N(AG1945)+$AF1946</f>
        <v>6</v>
      </c>
      <c r="AH1946" s="1" t="n">
        <f aca="false">IF(AND($N1946=1,AND(LEFT(对接源_02物料!$D746,3)="周转筐",N(对接源_02物料!$K746)&lt;&gt;0)),1,0)</f>
        <v>0</v>
      </c>
      <c r="AI1946" s="1" t="n">
        <f aca="false">N(AI1945)+$AH1946</f>
        <v>0</v>
      </c>
      <c r="AJ1946" s="1" t="n">
        <v>0</v>
      </c>
      <c r="AK1946" s="1" t="n">
        <f aca="false">N(AK1945)+$AJ1946</f>
        <v>3672</v>
      </c>
    </row>
    <row r="1947" customFormat="false" ht="13.5" hidden="false" customHeight="false" outlineLevel="0" collapsed="false">
      <c r="A1947" s="1" t="str">
        <f aca="false">IF(对接源_02物料!$C747="","",对接源_02物料!$C747)</f>
        <v/>
      </c>
      <c r="B1947" s="1" t="n">
        <f aca="false">IF(A1947="",0,IF(MATCH(A1947,$A$4:$A$2403,0)=ROW()-3,1,0))</f>
        <v>0</v>
      </c>
      <c r="C1947" s="1" t="n">
        <f aca="false">N(C1946)+B1947</f>
        <v>17</v>
      </c>
      <c r="K1947" s="1" t="n">
        <f aca="false">IF(OR($K$1="",对接源_02物料!$C747="",对接源_02物料!$C747&lt;&gt;$K$1,对接源_02物料!$B747=""),0,IF(OR(N(对接源_02物料!$B747)&lt;$K$2,N(对接源_02物料!$B747)&gt;$K$3),0,1))</f>
        <v>0</v>
      </c>
      <c r="L1947" s="1" t="n">
        <f aca="false">IF(OR($L$1="",对接源_02物料!$C747="",对接源_02物料!$C747&lt;&gt;$L$1,对接源_02物料!$B747=""),0,IF(OR(N(对接源_02物料!$B747)&lt;$L$2,N(对接源_02物料!$B747)&gt;$L$3),0,1))</f>
        <v>0</v>
      </c>
      <c r="M1947" s="1" t="n">
        <f aca="false">IF(OR($M$1="",对接源_02物料!$C747="",对接源_02物料!$C747&lt;&gt;$M$1,对接源_02物料!$B747=""),0,IF(OR(N(对接源_02物料!$B747)&lt;$M$2,N(对接源_02物料!$B747)&gt;$M$3),0,1))</f>
        <v>0</v>
      </c>
      <c r="N1947" s="1" t="n">
        <f aca="false">IF(OR($N$1="",对接源_02物料!$C747="",对接源_02物料!$C747&lt;&gt;$N$1,对接源_02物料!$B747=""),0,IF(OR(N(对接源_02物料!$B747)&lt;$N$2,N(对接源_02物料!$B747)&gt;$N$3),0,1))</f>
        <v>0</v>
      </c>
      <c r="P1947" s="1" t="n">
        <f aca="false">IF(AND($K1947=1,AND(对接源_02物料!$X747="公司筐",N(对接源_02物料!$T747)&lt;&gt;0)),1,0)</f>
        <v>0</v>
      </c>
      <c r="Q1947" s="1" t="n">
        <f aca="false">N(Q1946)+$P1947</f>
        <v>13</v>
      </c>
      <c r="R1947" s="1" t="n">
        <f aca="false">IF(AND($K1947=1,AND(对接源_02物料!$X747="公司筐",N(对接源_02物料!$U747)&lt;&gt;0)),1,0)</f>
        <v>0</v>
      </c>
      <c r="S1947" s="1" t="n">
        <f aca="false">N(S1946)+$R1947</f>
        <v>5</v>
      </c>
      <c r="T1947" s="1" t="n">
        <f aca="false">IF(AND($K1947=1,AND(对接源_02物料!$X747="公司筐",N(对接源_02物料!$V747)&lt;&gt;0)),1,0)</f>
        <v>0</v>
      </c>
      <c r="U1947" s="1" t="n">
        <f aca="false">N(U1946)+$T1947</f>
        <v>28</v>
      </c>
      <c r="V1947" s="1" t="n">
        <f aca="false">IF(AND($L1947=1,AND(对接源_02物料!$X747="自备筐",N(对接源_02物料!$V747)&lt;&gt;0)),1,0)</f>
        <v>0</v>
      </c>
      <c r="W1947" s="1" t="n">
        <f aca="false">N(W1946)+$V1947</f>
        <v>7</v>
      </c>
      <c r="X1947" s="1" t="n">
        <f aca="false">IF(AND($L1947=1,AND(对接源_02物料!$X747="自备筐",N(对接源_02物料!$T747)&lt;&gt;0)),1,0)</f>
        <v>0</v>
      </c>
      <c r="Y1947" s="1" t="n">
        <f aca="false">N(Y1946)+$X1947</f>
        <v>0</v>
      </c>
      <c r="Z1947" s="1" t="n">
        <f aca="false">IF(AND($M1947=1,对接源_02物料!$D747="原料入库"),1,0)</f>
        <v>0</v>
      </c>
      <c r="AA1947" s="1" t="n">
        <f aca="false">N(AA1946)+$Z1947</f>
        <v>30</v>
      </c>
      <c r="AB1947" s="1" t="n">
        <f aca="false">IF(AND($M1947=1,LEFT(对接源_02物料!$D747,4)="原料出库"),1,0)</f>
        <v>0</v>
      </c>
      <c r="AC1947" s="1" t="n">
        <f aca="false">N(AC1946)+$AB1947</f>
        <v>19</v>
      </c>
      <c r="AD1947" s="1" t="n">
        <f aca="false">IF(AND($M1947=1,LEFT(对接源_02物料!$D747,4)="成品出库"),1,0)</f>
        <v>0</v>
      </c>
      <c r="AE1947" s="1" t="n">
        <f aca="false">N(AE1946)+$AD1947</f>
        <v>38</v>
      </c>
      <c r="AF1947" s="1" t="n">
        <f aca="false">IF(AND($N1947=1,AND(LEFT(对接源_02物料!$D747,4)="包装物料",N(对接源_02物料!$K747)&lt;&gt;0)),1,0)</f>
        <v>0</v>
      </c>
      <c r="AG1947" s="1" t="n">
        <f aca="false">N(AG1946)+$AF1947</f>
        <v>6</v>
      </c>
      <c r="AH1947" s="1" t="n">
        <f aca="false">IF(AND($N1947=1,AND(LEFT(对接源_02物料!$D747,3)="周转筐",N(对接源_02物料!$K747)&lt;&gt;0)),1,0)</f>
        <v>0</v>
      </c>
      <c r="AI1947" s="1" t="n">
        <f aca="false">N(AI1946)+$AH1947</f>
        <v>0</v>
      </c>
      <c r="AJ1947" s="1" t="n">
        <v>0</v>
      </c>
      <c r="AK1947" s="1" t="n">
        <f aca="false">N(AK1946)+$AJ1947</f>
        <v>3672</v>
      </c>
    </row>
    <row r="1948" customFormat="false" ht="13.5" hidden="false" customHeight="false" outlineLevel="0" collapsed="false">
      <c r="A1948" s="1" t="str">
        <f aca="false">IF(对接源_02物料!$C748="","",对接源_02物料!$C748)</f>
        <v/>
      </c>
      <c r="B1948" s="1" t="n">
        <f aca="false">IF(A1948="",0,IF(MATCH(A1948,$A$4:$A$2403,0)=ROW()-3,1,0))</f>
        <v>0</v>
      </c>
      <c r="C1948" s="1" t="n">
        <f aca="false">N(C1947)+B1948</f>
        <v>17</v>
      </c>
      <c r="K1948" s="1" t="n">
        <f aca="false">IF(OR($K$1="",对接源_02物料!$C748="",对接源_02物料!$C748&lt;&gt;$K$1,对接源_02物料!$B748=""),0,IF(OR(N(对接源_02物料!$B748)&lt;$K$2,N(对接源_02物料!$B748)&gt;$K$3),0,1))</f>
        <v>0</v>
      </c>
      <c r="L1948" s="1" t="n">
        <f aca="false">IF(OR($L$1="",对接源_02物料!$C748="",对接源_02物料!$C748&lt;&gt;$L$1,对接源_02物料!$B748=""),0,IF(OR(N(对接源_02物料!$B748)&lt;$L$2,N(对接源_02物料!$B748)&gt;$L$3),0,1))</f>
        <v>0</v>
      </c>
      <c r="M1948" s="1" t="n">
        <f aca="false">IF(OR($M$1="",对接源_02物料!$C748="",对接源_02物料!$C748&lt;&gt;$M$1,对接源_02物料!$B748=""),0,IF(OR(N(对接源_02物料!$B748)&lt;$M$2,N(对接源_02物料!$B748)&gt;$M$3),0,1))</f>
        <v>0</v>
      </c>
      <c r="N1948" s="1" t="n">
        <f aca="false">IF(OR($N$1="",对接源_02物料!$C748="",对接源_02物料!$C748&lt;&gt;$N$1,对接源_02物料!$B748=""),0,IF(OR(N(对接源_02物料!$B748)&lt;$N$2,N(对接源_02物料!$B748)&gt;$N$3),0,1))</f>
        <v>0</v>
      </c>
      <c r="P1948" s="1" t="n">
        <f aca="false">IF(AND($K1948=1,AND(对接源_02物料!$X748="公司筐",N(对接源_02物料!$T748)&lt;&gt;0)),1,0)</f>
        <v>0</v>
      </c>
      <c r="Q1948" s="1" t="n">
        <f aca="false">N(Q1947)+$P1948</f>
        <v>13</v>
      </c>
      <c r="R1948" s="1" t="n">
        <f aca="false">IF(AND($K1948=1,AND(对接源_02物料!$X748="公司筐",N(对接源_02物料!$U748)&lt;&gt;0)),1,0)</f>
        <v>0</v>
      </c>
      <c r="S1948" s="1" t="n">
        <f aca="false">N(S1947)+$R1948</f>
        <v>5</v>
      </c>
      <c r="T1948" s="1" t="n">
        <f aca="false">IF(AND($K1948=1,AND(对接源_02物料!$X748="公司筐",N(对接源_02物料!$V748)&lt;&gt;0)),1,0)</f>
        <v>0</v>
      </c>
      <c r="U1948" s="1" t="n">
        <f aca="false">N(U1947)+$T1948</f>
        <v>28</v>
      </c>
      <c r="V1948" s="1" t="n">
        <f aca="false">IF(AND($L1948=1,AND(对接源_02物料!$X748="自备筐",N(对接源_02物料!$V748)&lt;&gt;0)),1,0)</f>
        <v>0</v>
      </c>
      <c r="W1948" s="1" t="n">
        <f aca="false">N(W1947)+$V1948</f>
        <v>7</v>
      </c>
      <c r="X1948" s="1" t="n">
        <f aca="false">IF(AND($L1948=1,AND(对接源_02物料!$X748="自备筐",N(对接源_02物料!$T748)&lt;&gt;0)),1,0)</f>
        <v>0</v>
      </c>
      <c r="Y1948" s="1" t="n">
        <f aca="false">N(Y1947)+$X1948</f>
        <v>0</v>
      </c>
      <c r="Z1948" s="1" t="n">
        <f aca="false">IF(AND($M1948=1,对接源_02物料!$D748="原料入库"),1,0)</f>
        <v>0</v>
      </c>
      <c r="AA1948" s="1" t="n">
        <f aca="false">N(AA1947)+$Z1948</f>
        <v>30</v>
      </c>
      <c r="AB1948" s="1" t="n">
        <f aca="false">IF(AND($M1948=1,LEFT(对接源_02物料!$D748,4)="原料出库"),1,0)</f>
        <v>0</v>
      </c>
      <c r="AC1948" s="1" t="n">
        <f aca="false">N(AC1947)+$AB1948</f>
        <v>19</v>
      </c>
      <c r="AD1948" s="1" t="n">
        <f aca="false">IF(AND($M1948=1,LEFT(对接源_02物料!$D748,4)="成品出库"),1,0)</f>
        <v>0</v>
      </c>
      <c r="AE1948" s="1" t="n">
        <f aca="false">N(AE1947)+$AD1948</f>
        <v>38</v>
      </c>
      <c r="AF1948" s="1" t="n">
        <f aca="false">IF(AND($N1948=1,AND(LEFT(对接源_02物料!$D748,4)="包装物料",N(对接源_02物料!$K748)&lt;&gt;0)),1,0)</f>
        <v>0</v>
      </c>
      <c r="AG1948" s="1" t="n">
        <f aca="false">N(AG1947)+$AF1948</f>
        <v>6</v>
      </c>
      <c r="AH1948" s="1" t="n">
        <f aca="false">IF(AND($N1948=1,AND(LEFT(对接源_02物料!$D748,3)="周转筐",N(对接源_02物料!$K748)&lt;&gt;0)),1,0)</f>
        <v>0</v>
      </c>
      <c r="AI1948" s="1" t="n">
        <f aca="false">N(AI1947)+$AH1948</f>
        <v>0</v>
      </c>
      <c r="AJ1948" s="1" t="n">
        <v>0</v>
      </c>
      <c r="AK1948" s="1" t="n">
        <f aca="false">N(AK1947)+$AJ1948</f>
        <v>3672</v>
      </c>
    </row>
    <row r="1949" customFormat="false" ht="13.5" hidden="false" customHeight="false" outlineLevel="0" collapsed="false">
      <c r="A1949" s="1" t="str">
        <f aca="false">IF(对接源_02物料!$C749="","",对接源_02物料!$C749)</f>
        <v/>
      </c>
      <c r="B1949" s="1" t="n">
        <f aca="false">IF(A1949="",0,IF(MATCH(A1949,$A$4:$A$2403,0)=ROW()-3,1,0))</f>
        <v>0</v>
      </c>
      <c r="C1949" s="1" t="n">
        <f aca="false">N(C1948)+B1949</f>
        <v>17</v>
      </c>
      <c r="K1949" s="1" t="n">
        <f aca="false">IF(OR($K$1="",对接源_02物料!$C749="",对接源_02物料!$C749&lt;&gt;$K$1,对接源_02物料!$B749=""),0,IF(OR(N(对接源_02物料!$B749)&lt;$K$2,N(对接源_02物料!$B749)&gt;$K$3),0,1))</f>
        <v>0</v>
      </c>
      <c r="L1949" s="1" t="n">
        <f aca="false">IF(OR($L$1="",对接源_02物料!$C749="",对接源_02物料!$C749&lt;&gt;$L$1,对接源_02物料!$B749=""),0,IF(OR(N(对接源_02物料!$B749)&lt;$L$2,N(对接源_02物料!$B749)&gt;$L$3),0,1))</f>
        <v>0</v>
      </c>
      <c r="M1949" s="1" t="n">
        <f aca="false">IF(OR($M$1="",对接源_02物料!$C749="",对接源_02物料!$C749&lt;&gt;$M$1,对接源_02物料!$B749=""),0,IF(OR(N(对接源_02物料!$B749)&lt;$M$2,N(对接源_02物料!$B749)&gt;$M$3),0,1))</f>
        <v>0</v>
      </c>
      <c r="N1949" s="1" t="n">
        <f aca="false">IF(OR($N$1="",对接源_02物料!$C749="",对接源_02物料!$C749&lt;&gt;$N$1,对接源_02物料!$B749=""),0,IF(OR(N(对接源_02物料!$B749)&lt;$N$2,N(对接源_02物料!$B749)&gt;$N$3),0,1))</f>
        <v>0</v>
      </c>
      <c r="P1949" s="1" t="n">
        <f aca="false">IF(AND($K1949=1,AND(对接源_02物料!$X749="公司筐",N(对接源_02物料!$T749)&lt;&gt;0)),1,0)</f>
        <v>0</v>
      </c>
      <c r="Q1949" s="1" t="n">
        <f aca="false">N(Q1948)+$P1949</f>
        <v>13</v>
      </c>
      <c r="R1949" s="1" t="n">
        <f aca="false">IF(AND($K1949=1,AND(对接源_02物料!$X749="公司筐",N(对接源_02物料!$U749)&lt;&gt;0)),1,0)</f>
        <v>0</v>
      </c>
      <c r="S1949" s="1" t="n">
        <f aca="false">N(S1948)+$R1949</f>
        <v>5</v>
      </c>
      <c r="T1949" s="1" t="n">
        <f aca="false">IF(AND($K1949=1,AND(对接源_02物料!$X749="公司筐",N(对接源_02物料!$V749)&lt;&gt;0)),1,0)</f>
        <v>0</v>
      </c>
      <c r="U1949" s="1" t="n">
        <f aca="false">N(U1948)+$T1949</f>
        <v>28</v>
      </c>
      <c r="V1949" s="1" t="n">
        <f aca="false">IF(AND($L1949=1,AND(对接源_02物料!$X749="自备筐",N(对接源_02物料!$V749)&lt;&gt;0)),1,0)</f>
        <v>0</v>
      </c>
      <c r="W1949" s="1" t="n">
        <f aca="false">N(W1948)+$V1949</f>
        <v>7</v>
      </c>
      <c r="X1949" s="1" t="n">
        <f aca="false">IF(AND($L1949=1,AND(对接源_02物料!$X749="自备筐",N(对接源_02物料!$T749)&lt;&gt;0)),1,0)</f>
        <v>0</v>
      </c>
      <c r="Y1949" s="1" t="n">
        <f aca="false">N(Y1948)+$X1949</f>
        <v>0</v>
      </c>
      <c r="Z1949" s="1" t="n">
        <f aca="false">IF(AND($M1949=1,对接源_02物料!$D749="原料入库"),1,0)</f>
        <v>0</v>
      </c>
      <c r="AA1949" s="1" t="n">
        <f aca="false">N(AA1948)+$Z1949</f>
        <v>30</v>
      </c>
      <c r="AB1949" s="1" t="n">
        <f aca="false">IF(AND($M1949=1,LEFT(对接源_02物料!$D749,4)="原料出库"),1,0)</f>
        <v>0</v>
      </c>
      <c r="AC1949" s="1" t="n">
        <f aca="false">N(AC1948)+$AB1949</f>
        <v>19</v>
      </c>
      <c r="AD1949" s="1" t="n">
        <f aca="false">IF(AND($M1949=1,LEFT(对接源_02物料!$D749,4)="成品出库"),1,0)</f>
        <v>0</v>
      </c>
      <c r="AE1949" s="1" t="n">
        <f aca="false">N(AE1948)+$AD1949</f>
        <v>38</v>
      </c>
      <c r="AF1949" s="1" t="n">
        <f aca="false">IF(AND($N1949=1,AND(LEFT(对接源_02物料!$D749,4)="包装物料",N(对接源_02物料!$K749)&lt;&gt;0)),1,0)</f>
        <v>0</v>
      </c>
      <c r="AG1949" s="1" t="n">
        <f aca="false">N(AG1948)+$AF1949</f>
        <v>6</v>
      </c>
      <c r="AH1949" s="1" t="n">
        <f aca="false">IF(AND($N1949=1,AND(LEFT(对接源_02物料!$D749,3)="周转筐",N(对接源_02物料!$K749)&lt;&gt;0)),1,0)</f>
        <v>0</v>
      </c>
      <c r="AI1949" s="1" t="n">
        <f aca="false">N(AI1948)+$AH1949</f>
        <v>0</v>
      </c>
      <c r="AJ1949" s="1" t="n">
        <v>0</v>
      </c>
      <c r="AK1949" s="1" t="n">
        <f aca="false">N(AK1948)+$AJ1949</f>
        <v>3672</v>
      </c>
    </row>
    <row r="1950" customFormat="false" ht="13.5" hidden="false" customHeight="false" outlineLevel="0" collapsed="false">
      <c r="A1950" s="1" t="str">
        <f aca="false">IF(对接源_02物料!$C750="","",对接源_02物料!$C750)</f>
        <v/>
      </c>
      <c r="B1950" s="1" t="n">
        <f aca="false">IF(A1950="",0,IF(MATCH(A1950,$A$4:$A$2403,0)=ROW()-3,1,0))</f>
        <v>0</v>
      </c>
      <c r="C1950" s="1" t="n">
        <f aca="false">N(C1949)+B1950</f>
        <v>17</v>
      </c>
      <c r="K1950" s="1" t="n">
        <f aca="false">IF(OR($K$1="",对接源_02物料!$C750="",对接源_02物料!$C750&lt;&gt;$K$1,对接源_02物料!$B750=""),0,IF(OR(N(对接源_02物料!$B750)&lt;$K$2,N(对接源_02物料!$B750)&gt;$K$3),0,1))</f>
        <v>0</v>
      </c>
      <c r="L1950" s="1" t="n">
        <f aca="false">IF(OR($L$1="",对接源_02物料!$C750="",对接源_02物料!$C750&lt;&gt;$L$1,对接源_02物料!$B750=""),0,IF(OR(N(对接源_02物料!$B750)&lt;$L$2,N(对接源_02物料!$B750)&gt;$L$3),0,1))</f>
        <v>0</v>
      </c>
      <c r="M1950" s="1" t="n">
        <f aca="false">IF(OR($M$1="",对接源_02物料!$C750="",对接源_02物料!$C750&lt;&gt;$M$1,对接源_02物料!$B750=""),0,IF(OR(N(对接源_02物料!$B750)&lt;$M$2,N(对接源_02物料!$B750)&gt;$M$3),0,1))</f>
        <v>0</v>
      </c>
      <c r="N1950" s="1" t="n">
        <f aca="false">IF(OR($N$1="",对接源_02物料!$C750="",对接源_02物料!$C750&lt;&gt;$N$1,对接源_02物料!$B750=""),0,IF(OR(N(对接源_02物料!$B750)&lt;$N$2,N(对接源_02物料!$B750)&gt;$N$3),0,1))</f>
        <v>0</v>
      </c>
      <c r="P1950" s="1" t="n">
        <f aca="false">IF(AND($K1950=1,AND(对接源_02物料!$X750="公司筐",N(对接源_02物料!$T750)&lt;&gt;0)),1,0)</f>
        <v>0</v>
      </c>
      <c r="Q1950" s="1" t="n">
        <f aca="false">N(Q1949)+$P1950</f>
        <v>13</v>
      </c>
      <c r="R1950" s="1" t="n">
        <f aca="false">IF(AND($K1950=1,AND(对接源_02物料!$X750="公司筐",N(对接源_02物料!$U750)&lt;&gt;0)),1,0)</f>
        <v>0</v>
      </c>
      <c r="S1950" s="1" t="n">
        <f aca="false">N(S1949)+$R1950</f>
        <v>5</v>
      </c>
      <c r="T1950" s="1" t="n">
        <f aca="false">IF(AND($K1950=1,AND(对接源_02物料!$X750="公司筐",N(对接源_02物料!$V750)&lt;&gt;0)),1,0)</f>
        <v>0</v>
      </c>
      <c r="U1950" s="1" t="n">
        <f aca="false">N(U1949)+$T1950</f>
        <v>28</v>
      </c>
      <c r="V1950" s="1" t="n">
        <f aca="false">IF(AND($L1950=1,AND(对接源_02物料!$X750="自备筐",N(对接源_02物料!$V750)&lt;&gt;0)),1,0)</f>
        <v>0</v>
      </c>
      <c r="W1950" s="1" t="n">
        <f aca="false">N(W1949)+$V1950</f>
        <v>7</v>
      </c>
      <c r="X1950" s="1" t="n">
        <f aca="false">IF(AND($L1950=1,AND(对接源_02物料!$X750="自备筐",N(对接源_02物料!$T750)&lt;&gt;0)),1,0)</f>
        <v>0</v>
      </c>
      <c r="Y1950" s="1" t="n">
        <f aca="false">N(Y1949)+$X1950</f>
        <v>0</v>
      </c>
      <c r="Z1950" s="1" t="n">
        <f aca="false">IF(AND($M1950=1,对接源_02物料!$D750="原料入库"),1,0)</f>
        <v>0</v>
      </c>
      <c r="AA1950" s="1" t="n">
        <f aca="false">N(AA1949)+$Z1950</f>
        <v>30</v>
      </c>
      <c r="AB1950" s="1" t="n">
        <f aca="false">IF(AND($M1950=1,LEFT(对接源_02物料!$D750,4)="原料出库"),1,0)</f>
        <v>0</v>
      </c>
      <c r="AC1950" s="1" t="n">
        <f aca="false">N(AC1949)+$AB1950</f>
        <v>19</v>
      </c>
      <c r="AD1950" s="1" t="n">
        <f aca="false">IF(AND($M1950=1,LEFT(对接源_02物料!$D750,4)="成品出库"),1,0)</f>
        <v>0</v>
      </c>
      <c r="AE1950" s="1" t="n">
        <f aca="false">N(AE1949)+$AD1950</f>
        <v>38</v>
      </c>
      <c r="AF1950" s="1" t="n">
        <f aca="false">IF(AND($N1950=1,AND(LEFT(对接源_02物料!$D750,4)="包装物料",N(对接源_02物料!$K750)&lt;&gt;0)),1,0)</f>
        <v>0</v>
      </c>
      <c r="AG1950" s="1" t="n">
        <f aca="false">N(AG1949)+$AF1950</f>
        <v>6</v>
      </c>
      <c r="AH1950" s="1" t="n">
        <f aca="false">IF(AND($N1950=1,AND(LEFT(对接源_02物料!$D750,3)="周转筐",N(对接源_02物料!$K750)&lt;&gt;0)),1,0)</f>
        <v>0</v>
      </c>
      <c r="AI1950" s="1" t="n">
        <f aca="false">N(AI1949)+$AH1950</f>
        <v>0</v>
      </c>
      <c r="AJ1950" s="1" t="n">
        <v>0</v>
      </c>
      <c r="AK1950" s="1" t="n">
        <f aca="false">N(AK1949)+$AJ1950</f>
        <v>3672</v>
      </c>
    </row>
    <row r="1951" customFormat="false" ht="13.5" hidden="false" customHeight="false" outlineLevel="0" collapsed="false">
      <c r="A1951" s="1" t="str">
        <f aca="false">IF(对接源_02物料!$C751="","",对接源_02物料!$C751)</f>
        <v/>
      </c>
      <c r="B1951" s="1" t="n">
        <f aca="false">IF(A1951="",0,IF(MATCH(A1951,$A$4:$A$2403,0)=ROW()-3,1,0))</f>
        <v>0</v>
      </c>
      <c r="C1951" s="1" t="n">
        <f aca="false">N(C1950)+B1951</f>
        <v>17</v>
      </c>
      <c r="K1951" s="1" t="n">
        <f aca="false">IF(OR($K$1="",对接源_02物料!$C751="",对接源_02物料!$C751&lt;&gt;$K$1,对接源_02物料!$B751=""),0,IF(OR(N(对接源_02物料!$B751)&lt;$K$2,N(对接源_02物料!$B751)&gt;$K$3),0,1))</f>
        <v>0</v>
      </c>
      <c r="L1951" s="1" t="n">
        <f aca="false">IF(OR($L$1="",对接源_02物料!$C751="",对接源_02物料!$C751&lt;&gt;$L$1,对接源_02物料!$B751=""),0,IF(OR(N(对接源_02物料!$B751)&lt;$L$2,N(对接源_02物料!$B751)&gt;$L$3),0,1))</f>
        <v>0</v>
      </c>
      <c r="M1951" s="1" t="n">
        <f aca="false">IF(OR($M$1="",对接源_02物料!$C751="",对接源_02物料!$C751&lt;&gt;$M$1,对接源_02物料!$B751=""),0,IF(OR(N(对接源_02物料!$B751)&lt;$M$2,N(对接源_02物料!$B751)&gt;$M$3),0,1))</f>
        <v>0</v>
      </c>
      <c r="N1951" s="1" t="n">
        <f aca="false">IF(OR($N$1="",对接源_02物料!$C751="",对接源_02物料!$C751&lt;&gt;$N$1,对接源_02物料!$B751=""),0,IF(OR(N(对接源_02物料!$B751)&lt;$N$2,N(对接源_02物料!$B751)&gt;$N$3),0,1))</f>
        <v>0</v>
      </c>
      <c r="P1951" s="1" t="n">
        <f aca="false">IF(AND($K1951=1,AND(对接源_02物料!$X751="公司筐",N(对接源_02物料!$T751)&lt;&gt;0)),1,0)</f>
        <v>0</v>
      </c>
      <c r="Q1951" s="1" t="n">
        <f aca="false">N(Q1950)+$P1951</f>
        <v>13</v>
      </c>
      <c r="R1951" s="1" t="n">
        <f aca="false">IF(AND($K1951=1,AND(对接源_02物料!$X751="公司筐",N(对接源_02物料!$U751)&lt;&gt;0)),1,0)</f>
        <v>0</v>
      </c>
      <c r="S1951" s="1" t="n">
        <f aca="false">N(S1950)+$R1951</f>
        <v>5</v>
      </c>
      <c r="T1951" s="1" t="n">
        <f aca="false">IF(AND($K1951=1,AND(对接源_02物料!$X751="公司筐",N(对接源_02物料!$V751)&lt;&gt;0)),1,0)</f>
        <v>0</v>
      </c>
      <c r="U1951" s="1" t="n">
        <f aca="false">N(U1950)+$T1951</f>
        <v>28</v>
      </c>
      <c r="V1951" s="1" t="n">
        <f aca="false">IF(AND($L1951=1,AND(对接源_02物料!$X751="自备筐",N(对接源_02物料!$V751)&lt;&gt;0)),1,0)</f>
        <v>0</v>
      </c>
      <c r="W1951" s="1" t="n">
        <f aca="false">N(W1950)+$V1951</f>
        <v>7</v>
      </c>
      <c r="X1951" s="1" t="n">
        <f aca="false">IF(AND($L1951=1,AND(对接源_02物料!$X751="自备筐",N(对接源_02物料!$T751)&lt;&gt;0)),1,0)</f>
        <v>0</v>
      </c>
      <c r="Y1951" s="1" t="n">
        <f aca="false">N(Y1950)+$X1951</f>
        <v>0</v>
      </c>
      <c r="Z1951" s="1" t="n">
        <f aca="false">IF(AND($M1951=1,对接源_02物料!$D751="原料入库"),1,0)</f>
        <v>0</v>
      </c>
      <c r="AA1951" s="1" t="n">
        <f aca="false">N(AA1950)+$Z1951</f>
        <v>30</v>
      </c>
      <c r="AB1951" s="1" t="n">
        <f aca="false">IF(AND($M1951=1,LEFT(对接源_02物料!$D751,4)="原料出库"),1,0)</f>
        <v>0</v>
      </c>
      <c r="AC1951" s="1" t="n">
        <f aca="false">N(AC1950)+$AB1951</f>
        <v>19</v>
      </c>
      <c r="AD1951" s="1" t="n">
        <f aca="false">IF(AND($M1951=1,LEFT(对接源_02物料!$D751,4)="成品出库"),1,0)</f>
        <v>0</v>
      </c>
      <c r="AE1951" s="1" t="n">
        <f aca="false">N(AE1950)+$AD1951</f>
        <v>38</v>
      </c>
      <c r="AF1951" s="1" t="n">
        <f aca="false">IF(AND($N1951=1,AND(LEFT(对接源_02物料!$D751,4)="包装物料",N(对接源_02物料!$K751)&lt;&gt;0)),1,0)</f>
        <v>0</v>
      </c>
      <c r="AG1951" s="1" t="n">
        <f aca="false">N(AG1950)+$AF1951</f>
        <v>6</v>
      </c>
      <c r="AH1951" s="1" t="n">
        <f aca="false">IF(AND($N1951=1,AND(LEFT(对接源_02物料!$D751,3)="周转筐",N(对接源_02物料!$K751)&lt;&gt;0)),1,0)</f>
        <v>0</v>
      </c>
      <c r="AI1951" s="1" t="n">
        <f aca="false">N(AI1950)+$AH1951</f>
        <v>0</v>
      </c>
      <c r="AJ1951" s="1" t="n">
        <v>0</v>
      </c>
      <c r="AK1951" s="1" t="n">
        <f aca="false">N(AK1950)+$AJ1951</f>
        <v>3672</v>
      </c>
    </row>
    <row r="1952" customFormat="false" ht="13.5" hidden="false" customHeight="false" outlineLevel="0" collapsed="false">
      <c r="A1952" s="1" t="str">
        <f aca="false">IF(对接源_02物料!$C752="","",对接源_02物料!$C752)</f>
        <v/>
      </c>
      <c r="B1952" s="1" t="n">
        <f aca="false">IF(A1952="",0,IF(MATCH(A1952,$A$4:$A$2403,0)=ROW()-3,1,0))</f>
        <v>0</v>
      </c>
      <c r="C1952" s="1" t="n">
        <f aca="false">N(C1951)+B1952</f>
        <v>17</v>
      </c>
      <c r="K1952" s="1" t="n">
        <f aca="false">IF(OR($K$1="",对接源_02物料!$C752="",对接源_02物料!$C752&lt;&gt;$K$1,对接源_02物料!$B752=""),0,IF(OR(N(对接源_02物料!$B752)&lt;$K$2,N(对接源_02物料!$B752)&gt;$K$3),0,1))</f>
        <v>0</v>
      </c>
      <c r="L1952" s="1" t="n">
        <f aca="false">IF(OR($L$1="",对接源_02物料!$C752="",对接源_02物料!$C752&lt;&gt;$L$1,对接源_02物料!$B752=""),0,IF(OR(N(对接源_02物料!$B752)&lt;$L$2,N(对接源_02物料!$B752)&gt;$L$3),0,1))</f>
        <v>0</v>
      </c>
      <c r="M1952" s="1" t="n">
        <f aca="false">IF(OR($M$1="",对接源_02物料!$C752="",对接源_02物料!$C752&lt;&gt;$M$1,对接源_02物料!$B752=""),0,IF(OR(N(对接源_02物料!$B752)&lt;$M$2,N(对接源_02物料!$B752)&gt;$M$3),0,1))</f>
        <v>0</v>
      </c>
      <c r="N1952" s="1" t="n">
        <f aca="false">IF(OR($N$1="",对接源_02物料!$C752="",对接源_02物料!$C752&lt;&gt;$N$1,对接源_02物料!$B752=""),0,IF(OR(N(对接源_02物料!$B752)&lt;$N$2,N(对接源_02物料!$B752)&gt;$N$3),0,1))</f>
        <v>0</v>
      </c>
      <c r="P1952" s="1" t="n">
        <f aca="false">IF(AND($K1952=1,AND(对接源_02物料!$X752="公司筐",N(对接源_02物料!$T752)&lt;&gt;0)),1,0)</f>
        <v>0</v>
      </c>
      <c r="Q1952" s="1" t="n">
        <f aca="false">N(Q1951)+$P1952</f>
        <v>13</v>
      </c>
      <c r="R1952" s="1" t="n">
        <f aca="false">IF(AND($K1952=1,AND(对接源_02物料!$X752="公司筐",N(对接源_02物料!$U752)&lt;&gt;0)),1,0)</f>
        <v>0</v>
      </c>
      <c r="S1952" s="1" t="n">
        <f aca="false">N(S1951)+$R1952</f>
        <v>5</v>
      </c>
      <c r="T1952" s="1" t="n">
        <f aca="false">IF(AND($K1952=1,AND(对接源_02物料!$X752="公司筐",N(对接源_02物料!$V752)&lt;&gt;0)),1,0)</f>
        <v>0</v>
      </c>
      <c r="U1952" s="1" t="n">
        <f aca="false">N(U1951)+$T1952</f>
        <v>28</v>
      </c>
      <c r="V1952" s="1" t="n">
        <f aca="false">IF(AND($L1952=1,AND(对接源_02物料!$X752="自备筐",N(对接源_02物料!$V752)&lt;&gt;0)),1,0)</f>
        <v>0</v>
      </c>
      <c r="W1952" s="1" t="n">
        <f aca="false">N(W1951)+$V1952</f>
        <v>7</v>
      </c>
      <c r="X1952" s="1" t="n">
        <f aca="false">IF(AND($L1952=1,AND(对接源_02物料!$X752="自备筐",N(对接源_02物料!$T752)&lt;&gt;0)),1,0)</f>
        <v>0</v>
      </c>
      <c r="Y1952" s="1" t="n">
        <f aca="false">N(Y1951)+$X1952</f>
        <v>0</v>
      </c>
      <c r="Z1952" s="1" t="n">
        <f aca="false">IF(AND($M1952=1,对接源_02物料!$D752="原料入库"),1,0)</f>
        <v>0</v>
      </c>
      <c r="AA1952" s="1" t="n">
        <f aca="false">N(AA1951)+$Z1952</f>
        <v>30</v>
      </c>
      <c r="AB1952" s="1" t="n">
        <f aca="false">IF(AND($M1952=1,LEFT(对接源_02物料!$D752,4)="原料出库"),1,0)</f>
        <v>0</v>
      </c>
      <c r="AC1952" s="1" t="n">
        <f aca="false">N(AC1951)+$AB1952</f>
        <v>19</v>
      </c>
      <c r="AD1952" s="1" t="n">
        <f aca="false">IF(AND($M1952=1,LEFT(对接源_02物料!$D752,4)="成品出库"),1,0)</f>
        <v>0</v>
      </c>
      <c r="AE1952" s="1" t="n">
        <f aca="false">N(AE1951)+$AD1952</f>
        <v>38</v>
      </c>
      <c r="AF1952" s="1" t="n">
        <f aca="false">IF(AND($N1952=1,AND(LEFT(对接源_02物料!$D752,4)="包装物料",N(对接源_02物料!$K752)&lt;&gt;0)),1,0)</f>
        <v>0</v>
      </c>
      <c r="AG1952" s="1" t="n">
        <f aca="false">N(AG1951)+$AF1952</f>
        <v>6</v>
      </c>
      <c r="AH1952" s="1" t="n">
        <f aca="false">IF(AND($N1952=1,AND(LEFT(对接源_02物料!$D752,3)="周转筐",N(对接源_02物料!$K752)&lt;&gt;0)),1,0)</f>
        <v>0</v>
      </c>
      <c r="AI1952" s="1" t="n">
        <f aca="false">N(AI1951)+$AH1952</f>
        <v>0</v>
      </c>
      <c r="AJ1952" s="1" t="n">
        <v>0</v>
      </c>
      <c r="AK1952" s="1" t="n">
        <f aca="false">N(AK1951)+$AJ1952</f>
        <v>3672</v>
      </c>
    </row>
    <row r="1953" customFormat="false" ht="13.5" hidden="false" customHeight="false" outlineLevel="0" collapsed="false">
      <c r="A1953" s="1" t="str">
        <f aca="false">IF(对接源_02物料!$C753="","",对接源_02物料!$C753)</f>
        <v/>
      </c>
      <c r="B1953" s="1" t="n">
        <f aca="false">IF(A1953="",0,IF(MATCH(A1953,$A$4:$A$2403,0)=ROW()-3,1,0))</f>
        <v>0</v>
      </c>
      <c r="C1953" s="1" t="n">
        <f aca="false">N(C1952)+B1953</f>
        <v>17</v>
      </c>
      <c r="K1953" s="1" t="n">
        <f aca="false">IF(OR($K$1="",对接源_02物料!$C753="",对接源_02物料!$C753&lt;&gt;$K$1,对接源_02物料!$B753=""),0,IF(OR(N(对接源_02物料!$B753)&lt;$K$2,N(对接源_02物料!$B753)&gt;$K$3),0,1))</f>
        <v>0</v>
      </c>
      <c r="L1953" s="1" t="n">
        <f aca="false">IF(OR($L$1="",对接源_02物料!$C753="",对接源_02物料!$C753&lt;&gt;$L$1,对接源_02物料!$B753=""),0,IF(OR(N(对接源_02物料!$B753)&lt;$L$2,N(对接源_02物料!$B753)&gt;$L$3),0,1))</f>
        <v>0</v>
      </c>
      <c r="M1953" s="1" t="n">
        <f aca="false">IF(OR($M$1="",对接源_02物料!$C753="",对接源_02物料!$C753&lt;&gt;$M$1,对接源_02物料!$B753=""),0,IF(OR(N(对接源_02物料!$B753)&lt;$M$2,N(对接源_02物料!$B753)&gt;$M$3),0,1))</f>
        <v>0</v>
      </c>
      <c r="N1953" s="1" t="n">
        <f aca="false">IF(OR($N$1="",对接源_02物料!$C753="",对接源_02物料!$C753&lt;&gt;$N$1,对接源_02物料!$B753=""),0,IF(OR(N(对接源_02物料!$B753)&lt;$N$2,N(对接源_02物料!$B753)&gt;$N$3),0,1))</f>
        <v>0</v>
      </c>
      <c r="P1953" s="1" t="n">
        <f aca="false">IF(AND($K1953=1,AND(对接源_02物料!$X753="公司筐",N(对接源_02物料!$T753)&lt;&gt;0)),1,0)</f>
        <v>0</v>
      </c>
      <c r="Q1953" s="1" t="n">
        <f aca="false">N(Q1952)+$P1953</f>
        <v>13</v>
      </c>
      <c r="R1953" s="1" t="n">
        <f aca="false">IF(AND($K1953=1,AND(对接源_02物料!$X753="公司筐",N(对接源_02物料!$U753)&lt;&gt;0)),1,0)</f>
        <v>0</v>
      </c>
      <c r="S1953" s="1" t="n">
        <f aca="false">N(S1952)+$R1953</f>
        <v>5</v>
      </c>
      <c r="T1953" s="1" t="n">
        <f aca="false">IF(AND($K1953=1,AND(对接源_02物料!$X753="公司筐",N(对接源_02物料!$V753)&lt;&gt;0)),1,0)</f>
        <v>0</v>
      </c>
      <c r="U1953" s="1" t="n">
        <f aca="false">N(U1952)+$T1953</f>
        <v>28</v>
      </c>
      <c r="V1953" s="1" t="n">
        <f aca="false">IF(AND($L1953=1,AND(对接源_02物料!$X753="自备筐",N(对接源_02物料!$V753)&lt;&gt;0)),1,0)</f>
        <v>0</v>
      </c>
      <c r="W1953" s="1" t="n">
        <f aca="false">N(W1952)+$V1953</f>
        <v>7</v>
      </c>
      <c r="X1953" s="1" t="n">
        <f aca="false">IF(AND($L1953=1,AND(对接源_02物料!$X753="自备筐",N(对接源_02物料!$T753)&lt;&gt;0)),1,0)</f>
        <v>0</v>
      </c>
      <c r="Y1953" s="1" t="n">
        <f aca="false">N(Y1952)+$X1953</f>
        <v>0</v>
      </c>
      <c r="Z1953" s="1" t="n">
        <f aca="false">IF(AND($M1953=1,对接源_02物料!$D753="原料入库"),1,0)</f>
        <v>0</v>
      </c>
      <c r="AA1953" s="1" t="n">
        <f aca="false">N(AA1952)+$Z1953</f>
        <v>30</v>
      </c>
      <c r="AB1953" s="1" t="n">
        <f aca="false">IF(AND($M1953=1,LEFT(对接源_02物料!$D753,4)="原料出库"),1,0)</f>
        <v>0</v>
      </c>
      <c r="AC1953" s="1" t="n">
        <f aca="false">N(AC1952)+$AB1953</f>
        <v>19</v>
      </c>
      <c r="AD1953" s="1" t="n">
        <f aca="false">IF(AND($M1953=1,LEFT(对接源_02物料!$D753,4)="成品出库"),1,0)</f>
        <v>0</v>
      </c>
      <c r="AE1953" s="1" t="n">
        <f aca="false">N(AE1952)+$AD1953</f>
        <v>38</v>
      </c>
      <c r="AF1953" s="1" t="n">
        <f aca="false">IF(AND($N1953=1,AND(LEFT(对接源_02物料!$D753,4)="包装物料",N(对接源_02物料!$K753)&lt;&gt;0)),1,0)</f>
        <v>0</v>
      </c>
      <c r="AG1953" s="1" t="n">
        <f aca="false">N(AG1952)+$AF1953</f>
        <v>6</v>
      </c>
      <c r="AH1953" s="1" t="n">
        <f aca="false">IF(AND($N1953=1,AND(LEFT(对接源_02物料!$D753,3)="周转筐",N(对接源_02物料!$K753)&lt;&gt;0)),1,0)</f>
        <v>0</v>
      </c>
      <c r="AI1953" s="1" t="n">
        <f aca="false">N(AI1952)+$AH1953</f>
        <v>0</v>
      </c>
      <c r="AJ1953" s="1" t="n">
        <v>0</v>
      </c>
      <c r="AK1953" s="1" t="n">
        <f aca="false">N(AK1952)+$AJ1953</f>
        <v>3672</v>
      </c>
    </row>
    <row r="1954" customFormat="false" ht="13.5" hidden="false" customHeight="false" outlineLevel="0" collapsed="false">
      <c r="A1954" s="1" t="str">
        <f aca="false">IF(对接源_02物料!$C754="","",对接源_02物料!$C754)</f>
        <v/>
      </c>
      <c r="B1954" s="1" t="n">
        <f aca="false">IF(A1954="",0,IF(MATCH(A1954,$A$4:$A$2403,0)=ROW()-3,1,0))</f>
        <v>0</v>
      </c>
      <c r="C1954" s="1" t="n">
        <f aca="false">N(C1953)+B1954</f>
        <v>17</v>
      </c>
      <c r="K1954" s="1" t="n">
        <f aca="false">IF(OR($K$1="",对接源_02物料!$C754="",对接源_02物料!$C754&lt;&gt;$K$1,对接源_02物料!$B754=""),0,IF(OR(N(对接源_02物料!$B754)&lt;$K$2,N(对接源_02物料!$B754)&gt;$K$3),0,1))</f>
        <v>0</v>
      </c>
      <c r="L1954" s="1" t="n">
        <f aca="false">IF(OR($L$1="",对接源_02物料!$C754="",对接源_02物料!$C754&lt;&gt;$L$1,对接源_02物料!$B754=""),0,IF(OR(N(对接源_02物料!$B754)&lt;$L$2,N(对接源_02物料!$B754)&gt;$L$3),0,1))</f>
        <v>0</v>
      </c>
      <c r="M1954" s="1" t="n">
        <f aca="false">IF(OR($M$1="",对接源_02物料!$C754="",对接源_02物料!$C754&lt;&gt;$M$1,对接源_02物料!$B754=""),0,IF(OR(N(对接源_02物料!$B754)&lt;$M$2,N(对接源_02物料!$B754)&gt;$M$3),0,1))</f>
        <v>0</v>
      </c>
      <c r="N1954" s="1" t="n">
        <f aca="false">IF(OR($N$1="",对接源_02物料!$C754="",对接源_02物料!$C754&lt;&gt;$N$1,对接源_02物料!$B754=""),0,IF(OR(N(对接源_02物料!$B754)&lt;$N$2,N(对接源_02物料!$B754)&gt;$N$3),0,1))</f>
        <v>0</v>
      </c>
      <c r="P1954" s="1" t="n">
        <f aca="false">IF(AND($K1954=1,AND(对接源_02物料!$X754="公司筐",N(对接源_02物料!$T754)&lt;&gt;0)),1,0)</f>
        <v>0</v>
      </c>
      <c r="Q1954" s="1" t="n">
        <f aca="false">N(Q1953)+$P1954</f>
        <v>13</v>
      </c>
      <c r="R1954" s="1" t="n">
        <f aca="false">IF(AND($K1954=1,AND(对接源_02物料!$X754="公司筐",N(对接源_02物料!$U754)&lt;&gt;0)),1,0)</f>
        <v>0</v>
      </c>
      <c r="S1954" s="1" t="n">
        <f aca="false">N(S1953)+$R1954</f>
        <v>5</v>
      </c>
      <c r="T1954" s="1" t="n">
        <f aca="false">IF(AND($K1954=1,AND(对接源_02物料!$X754="公司筐",N(对接源_02物料!$V754)&lt;&gt;0)),1,0)</f>
        <v>0</v>
      </c>
      <c r="U1954" s="1" t="n">
        <f aca="false">N(U1953)+$T1954</f>
        <v>28</v>
      </c>
      <c r="V1954" s="1" t="n">
        <f aca="false">IF(AND($L1954=1,AND(对接源_02物料!$X754="自备筐",N(对接源_02物料!$V754)&lt;&gt;0)),1,0)</f>
        <v>0</v>
      </c>
      <c r="W1954" s="1" t="n">
        <f aca="false">N(W1953)+$V1954</f>
        <v>7</v>
      </c>
      <c r="X1954" s="1" t="n">
        <f aca="false">IF(AND($L1954=1,AND(对接源_02物料!$X754="自备筐",N(对接源_02物料!$T754)&lt;&gt;0)),1,0)</f>
        <v>0</v>
      </c>
      <c r="Y1954" s="1" t="n">
        <f aca="false">N(Y1953)+$X1954</f>
        <v>0</v>
      </c>
      <c r="Z1954" s="1" t="n">
        <f aca="false">IF(AND($M1954=1,对接源_02物料!$D754="原料入库"),1,0)</f>
        <v>0</v>
      </c>
      <c r="AA1954" s="1" t="n">
        <f aca="false">N(AA1953)+$Z1954</f>
        <v>30</v>
      </c>
      <c r="AB1954" s="1" t="n">
        <f aca="false">IF(AND($M1954=1,LEFT(对接源_02物料!$D754,4)="原料出库"),1,0)</f>
        <v>0</v>
      </c>
      <c r="AC1954" s="1" t="n">
        <f aca="false">N(AC1953)+$AB1954</f>
        <v>19</v>
      </c>
      <c r="AD1954" s="1" t="n">
        <f aca="false">IF(AND($M1954=1,LEFT(对接源_02物料!$D754,4)="成品出库"),1,0)</f>
        <v>0</v>
      </c>
      <c r="AE1954" s="1" t="n">
        <f aca="false">N(AE1953)+$AD1954</f>
        <v>38</v>
      </c>
      <c r="AF1954" s="1" t="n">
        <f aca="false">IF(AND($N1954=1,AND(LEFT(对接源_02物料!$D754,4)="包装物料",N(对接源_02物料!$K754)&lt;&gt;0)),1,0)</f>
        <v>0</v>
      </c>
      <c r="AG1954" s="1" t="n">
        <f aca="false">N(AG1953)+$AF1954</f>
        <v>6</v>
      </c>
      <c r="AH1954" s="1" t="n">
        <f aca="false">IF(AND($N1954=1,AND(LEFT(对接源_02物料!$D754,3)="周转筐",N(对接源_02物料!$K754)&lt;&gt;0)),1,0)</f>
        <v>0</v>
      </c>
      <c r="AI1954" s="1" t="n">
        <f aca="false">N(AI1953)+$AH1954</f>
        <v>0</v>
      </c>
      <c r="AJ1954" s="1" t="n">
        <v>0</v>
      </c>
      <c r="AK1954" s="1" t="n">
        <f aca="false">N(AK1953)+$AJ1954</f>
        <v>3672</v>
      </c>
    </row>
    <row r="1955" customFormat="false" ht="13.5" hidden="false" customHeight="false" outlineLevel="0" collapsed="false">
      <c r="A1955" s="1" t="str">
        <f aca="false">IF(对接源_02物料!$C755="","",对接源_02物料!$C755)</f>
        <v/>
      </c>
      <c r="B1955" s="1" t="n">
        <f aca="false">IF(A1955="",0,IF(MATCH(A1955,$A$4:$A$2403,0)=ROW()-3,1,0))</f>
        <v>0</v>
      </c>
      <c r="C1955" s="1" t="n">
        <f aca="false">N(C1954)+B1955</f>
        <v>17</v>
      </c>
      <c r="K1955" s="1" t="n">
        <f aca="false">IF(OR($K$1="",对接源_02物料!$C755="",对接源_02物料!$C755&lt;&gt;$K$1,对接源_02物料!$B755=""),0,IF(OR(N(对接源_02物料!$B755)&lt;$K$2,N(对接源_02物料!$B755)&gt;$K$3),0,1))</f>
        <v>0</v>
      </c>
      <c r="L1955" s="1" t="n">
        <f aca="false">IF(OR($L$1="",对接源_02物料!$C755="",对接源_02物料!$C755&lt;&gt;$L$1,对接源_02物料!$B755=""),0,IF(OR(N(对接源_02物料!$B755)&lt;$L$2,N(对接源_02物料!$B755)&gt;$L$3),0,1))</f>
        <v>0</v>
      </c>
      <c r="M1955" s="1" t="n">
        <f aca="false">IF(OR($M$1="",对接源_02物料!$C755="",对接源_02物料!$C755&lt;&gt;$M$1,对接源_02物料!$B755=""),0,IF(OR(N(对接源_02物料!$B755)&lt;$M$2,N(对接源_02物料!$B755)&gt;$M$3),0,1))</f>
        <v>0</v>
      </c>
      <c r="N1955" s="1" t="n">
        <f aca="false">IF(OR($N$1="",对接源_02物料!$C755="",对接源_02物料!$C755&lt;&gt;$N$1,对接源_02物料!$B755=""),0,IF(OR(N(对接源_02物料!$B755)&lt;$N$2,N(对接源_02物料!$B755)&gt;$N$3),0,1))</f>
        <v>0</v>
      </c>
      <c r="P1955" s="1" t="n">
        <f aca="false">IF(AND($K1955=1,AND(对接源_02物料!$X755="公司筐",N(对接源_02物料!$T755)&lt;&gt;0)),1,0)</f>
        <v>0</v>
      </c>
      <c r="Q1955" s="1" t="n">
        <f aca="false">N(Q1954)+$P1955</f>
        <v>13</v>
      </c>
      <c r="R1955" s="1" t="n">
        <f aca="false">IF(AND($K1955=1,AND(对接源_02物料!$X755="公司筐",N(对接源_02物料!$U755)&lt;&gt;0)),1,0)</f>
        <v>0</v>
      </c>
      <c r="S1955" s="1" t="n">
        <f aca="false">N(S1954)+$R1955</f>
        <v>5</v>
      </c>
      <c r="T1955" s="1" t="n">
        <f aca="false">IF(AND($K1955=1,AND(对接源_02物料!$X755="公司筐",N(对接源_02物料!$V755)&lt;&gt;0)),1,0)</f>
        <v>0</v>
      </c>
      <c r="U1955" s="1" t="n">
        <f aca="false">N(U1954)+$T1955</f>
        <v>28</v>
      </c>
      <c r="V1955" s="1" t="n">
        <f aca="false">IF(AND($L1955=1,AND(对接源_02物料!$X755="自备筐",N(对接源_02物料!$V755)&lt;&gt;0)),1,0)</f>
        <v>0</v>
      </c>
      <c r="W1955" s="1" t="n">
        <f aca="false">N(W1954)+$V1955</f>
        <v>7</v>
      </c>
      <c r="X1955" s="1" t="n">
        <f aca="false">IF(AND($L1955=1,AND(对接源_02物料!$X755="自备筐",N(对接源_02物料!$T755)&lt;&gt;0)),1,0)</f>
        <v>0</v>
      </c>
      <c r="Y1955" s="1" t="n">
        <f aca="false">N(Y1954)+$X1955</f>
        <v>0</v>
      </c>
      <c r="Z1955" s="1" t="n">
        <f aca="false">IF(AND($M1955=1,对接源_02物料!$D755="原料入库"),1,0)</f>
        <v>0</v>
      </c>
      <c r="AA1955" s="1" t="n">
        <f aca="false">N(AA1954)+$Z1955</f>
        <v>30</v>
      </c>
      <c r="AB1955" s="1" t="n">
        <f aca="false">IF(AND($M1955=1,LEFT(对接源_02物料!$D755,4)="原料出库"),1,0)</f>
        <v>0</v>
      </c>
      <c r="AC1955" s="1" t="n">
        <f aca="false">N(AC1954)+$AB1955</f>
        <v>19</v>
      </c>
      <c r="AD1955" s="1" t="n">
        <f aca="false">IF(AND($M1955=1,LEFT(对接源_02物料!$D755,4)="成品出库"),1,0)</f>
        <v>0</v>
      </c>
      <c r="AE1955" s="1" t="n">
        <f aca="false">N(AE1954)+$AD1955</f>
        <v>38</v>
      </c>
      <c r="AF1955" s="1" t="n">
        <f aca="false">IF(AND($N1955=1,AND(LEFT(对接源_02物料!$D755,4)="包装物料",N(对接源_02物料!$K755)&lt;&gt;0)),1,0)</f>
        <v>0</v>
      </c>
      <c r="AG1955" s="1" t="n">
        <f aca="false">N(AG1954)+$AF1955</f>
        <v>6</v>
      </c>
      <c r="AH1955" s="1" t="n">
        <f aca="false">IF(AND($N1955=1,AND(LEFT(对接源_02物料!$D755,3)="周转筐",N(对接源_02物料!$K755)&lt;&gt;0)),1,0)</f>
        <v>0</v>
      </c>
      <c r="AI1955" s="1" t="n">
        <f aca="false">N(AI1954)+$AH1955</f>
        <v>0</v>
      </c>
      <c r="AJ1955" s="1" t="n">
        <v>0</v>
      </c>
      <c r="AK1955" s="1" t="n">
        <f aca="false">N(AK1954)+$AJ1955</f>
        <v>3672</v>
      </c>
    </row>
    <row r="1956" customFormat="false" ht="13.5" hidden="false" customHeight="false" outlineLevel="0" collapsed="false">
      <c r="A1956" s="1" t="str">
        <f aca="false">IF(对接源_02物料!$C756="","",对接源_02物料!$C756)</f>
        <v/>
      </c>
      <c r="B1956" s="1" t="n">
        <f aca="false">IF(A1956="",0,IF(MATCH(A1956,$A$4:$A$2403,0)=ROW()-3,1,0))</f>
        <v>0</v>
      </c>
      <c r="C1956" s="1" t="n">
        <f aca="false">N(C1955)+B1956</f>
        <v>17</v>
      </c>
      <c r="K1956" s="1" t="n">
        <f aca="false">IF(OR($K$1="",对接源_02物料!$C756="",对接源_02物料!$C756&lt;&gt;$K$1,对接源_02物料!$B756=""),0,IF(OR(N(对接源_02物料!$B756)&lt;$K$2,N(对接源_02物料!$B756)&gt;$K$3),0,1))</f>
        <v>0</v>
      </c>
      <c r="L1956" s="1" t="n">
        <f aca="false">IF(OR($L$1="",对接源_02物料!$C756="",对接源_02物料!$C756&lt;&gt;$L$1,对接源_02物料!$B756=""),0,IF(OR(N(对接源_02物料!$B756)&lt;$L$2,N(对接源_02物料!$B756)&gt;$L$3),0,1))</f>
        <v>0</v>
      </c>
      <c r="M1956" s="1" t="n">
        <f aca="false">IF(OR($M$1="",对接源_02物料!$C756="",对接源_02物料!$C756&lt;&gt;$M$1,对接源_02物料!$B756=""),0,IF(OR(N(对接源_02物料!$B756)&lt;$M$2,N(对接源_02物料!$B756)&gt;$M$3),0,1))</f>
        <v>0</v>
      </c>
      <c r="N1956" s="1" t="n">
        <f aca="false">IF(OR($N$1="",对接源_02物料!$C756="",对接源_02物料!$C756&lt;&gt;$N$1,对接源_02物料!$B756=""),0,IF(OR(N(对接源_02物料!$B756)&lt;$N$2,N(对接源_02物料!$B756)&gt;$N$3),0,1))</f>
        <v>0</v>
      </c>
      <c r="P1956" s="1" t="n">
        <f aca="false">IF(AND($K1956=1,AND(对接源_02物料!$X756="公司筐",N(对接源_02物料!$T756)&lt;&gt;0)),1,0)</f>
        <v>0</v>
      </c>
      <c r="Q1956" s="1" t="n">
        <f aca="false">N(Q1955)+$P1956</f>
        <v>13</v>
      </c>
      <c r="R1956" s="1" t="n">
        <f aca="false">IF(AND($K1956=1,AND(对接源_02物料!$X756="公司筐",N(对接源_02物料!$U756)&lt;&gt;0)),1,0)</f>
        <v>0</v>
      </c>
      <c r="S1956" s="1" t="n">
        <f aca="false">N(S1955)+$R1956</f>
        <v>5</v>
      </c>
      <c r="T1956" s="1" t="n">
        <f aca="false">IF(AND($K1956=1,AND(对接源_02物料!$X756="公司筐",N(对接源_02物料!$V756)&lt;&gt;0)),1,0)</f>
        <v>0</v>
      </c>
      <c r="U1956" s="1" t="n">
        <f aca="false">N(U1955)+$T1956</f>
        <v>28</v>
      </c>
      <c r="V1956" s="1" t="n">
        <f aca="false">IF(AND($L1956=1,AND(对接源_02物料!$X756="自备筐",N(对接源_02物料!$V756)&lt;&gt;0)),1,0)</f>
        <v>0</v>
      </c>
      <c r="W1956" s="1" t="n">
        <f aca="false">N(W1955)+$V1956</f>
        <v>7</v>
      </c>
      <c r="X1956" s="1" t="n">
        <f aca="false">IF(AND($L1956=1,AND(对接源_02物料!$X756="自备筐",N(对接源_02物料!$T756)&lt;&gt;0)),1,0)</f>
        <v>0</v>
      </c>
      <c r="Y1956" s="1" t="n">
        <f aca="false">N(Y1955)+$X1956</f>
        <v>0</v>
      </c>
      <c r="Z1956" s="1" t="n">
        <f aca="false">IF(AND($M1956=1,对接源_02物料!$D756="原料入库"),1,0)</f>
        <v>0</v>
      </c>
      <c r="AA1956" s="1" t="n">
        <f aca="false">N(AA1955)+$Z1956</f>
        <v>30</v>
      </c>
      <c r="AB1956" s="1" t="n">
        <f aca="false">IF(AND($M1956=1,LEFT(对接源_02物料!$D756,4)="原料出库"),1,0)</f>
        <v>0</v>
      </c>
      <c r="AC1956" s="1" t="n">
        <f aca="false">N(AC1955)+$AB1956</f>
        <v>19</v>
      </c>
      <c r="AD1956" s="1" t="n">
        <f aca="false">IF(AND($M1956=1,LEFT(对接源_02物料!$D756,4)="成品出库"),1,0)</f>
        <v>0</v>
      </c>
      <c r="AE1956" s="1" t="n">
        <f aca="false">N(AE1955)+$AD1956</f>
        <v>38</v>
      </c>
      <c r="AF1956" s="1" t="n">
        <f aca="false">IF(AND($N1956=1,AND(LEFT(对接源_02物料!$D756,4)="包装物料",N(对接源_02物料!$K756)&lt;&gt;0)),1,0)</f>
        <v>0</v>
      </c>
      <c r="AG1956" s="1" t="n">
        <f aca="false">N(AG1955)+$AF1956</f>
        <v>6</v>
      </c>
      <c r="AH1956" s="1" t="n">
        <f aca="false">IF(AND($N1956=1,AND(LEFT(对接源_02物料!$D756,3)="周转筐",N(对接源_02物料!$K756)&lt;&gt;0)),1,0)</f>
        <v>0</v>
      </c>
      <c r="AI1956" s="1" t="n">
        <f aca="false">N(AI1955)+$AH1956</f>
        <v>0</v>
      </c>
      <c r="AJ1956" s="1" t="n">
        <v>0</v>
      </c>
      <c r="AK1956" s="1" t="n">
        <f aca="false">N(AK1955)+$AJ1956</f>
        <v>3672</v>
      </c>
    </row>
    <row r="1957" customFormat="false" ht="13.5" hidden="false" customHeight="false" outlineLevel="0" collapsed="false">
      <c r="A1957" s="1" t="str">
        <f aca="false">IF(对接源_02物料!$C757="","",对接源_02物料!$C757)</f>
        <v/>
      </c>
      <c r="B1957" s="1" t="n">
        <f aca="false">IF(A1957="",0,IF(MATCH(A1957,$A$4:$A$2403,0)=ROW()-3,1,0))</f>
        <v>0</v>
      </c>
      <c r="C1957" s="1" t="n">
        <f aca="false">N(C1956)+B1957</f>
        <v>17</v>
      </c>
      <c r="K1957" s="1" t="n">
        <f aca="false">IF(OR($K$1="",对接源_02物料!$C757="",对接源_02物料!$C757&lt;&gt;$K$1,对接源_02物料!$B757=""),0,IF(OR(N(对接源_02物料!$B757)&lt;$K$2,N(对接源_02物料!$B757)&gt;$K$3),0,1))</f>
        <v>0</v>
      </c>
      <c r="L1957" s="1" t="n">
        <f aca="false">IF(OR($L$1="",对接源_02物料!$C757="",对接源_02物料!$C757&lt;&gt;$L$1,对接源_02物料!$B757=""),0,IF(OR(N(对接源_02物料!$B757)&lt;$L$2,N(对接源_02物料!$B757)&gt;$L$3),0,1))</f>
        <v>0</v>
      </c>
      <c r="M1957" s="1" t="n">
        <f aca="false">IF(OR($M$1="",对接源_02物料!$C757="",对接源_02物料!$C757&lt;&gt;$M$1,对接源_02物料!$B757=""),0,IF(OR(N(对接源_02物料!$B757)&lt;$M$2,N(对接源_02物料!$B757)&gt;$M$3),0,1))</f>
        <v>0</v>
      </c>
      <c r="N1957" s="1" t="n">
        <f aca="false">IF(OR($N$1="",对接源_02物料!$C757="",对接源_02物料!$C757&lt;&gt;$N$1,对接源_02物料!$B757=""),0,IF(OR(N(对接源_02物料!$B757)&lt;$N$2,N(对接源_02物料!$B757)&gt;$N$3),0,1))</f>
        <v>0</v>
      </c>
      <c r="P1957" s="1" t="n">
        <f aca="false">IF(AND($K1957=1,AND(对接源_02物料!$X757="公司筐",N(对接源_02物料!$T757)&lt;&gt;0)),1,0)</f>
        <v>0</v>
      </c>
      <c r="Q1957" s="1" t="n">
        <f aca="false">N(Q1956)+$P1957</f>
        <v>13</v>
      </c>
      <c r="R1957" s="1" t="n">
        <f aca="false">IF(AND($K1957=1,AND(对接源_02物料!$X757="公司筐",N(对接源_02物料!$U757)&lt;&gt;0)),1,0)</f>
        <v>0</v>
      </c>
      <c r="S1957" s="1" t="n">
        <f aca="false">N(S1956)+$R1957</f>
        <v>5</v>
      </c>
      <c r="T1957" s="1" t="n">
        <f aca="false">IF(AND($K1957=1,AND(对接源_02物料!$X757="公司筐",N(对接源_02物料!$V757)&lt;&gt;0)),1,0)</f>
        <v>0</v>
      </c>
      <c r="U1957" s="1" t="n">
        <f aca="false">N(U1956)+$T1957</f>
        <v>28</v>
      </c>
      <c r="V1957" s="1" t="n">
        <f aca="false">IF(AND($L1957=1,AND(对接源_02物料!$X757="自备筐",N(对接源_02物料!$V757)&lt;&gt;0)),1,0)</f>
        <v>0</v>
      </c>
      <c r="W1957" s="1" t="n">
        <f aca="false">N(W1956)+$V1957</f>
        <v>7</v>
      </c>
      <c r="X1957" s="1" t="n">
        <f aca="false">IF(AND($L1957=1,AND(对接源_02物料!$X757="自备筐",N(对接源_02物料!$T757)&lt;&gt;0)),1,0)</f>
        <v>0</v>
      </c>
      <c r="Y1957" s="1" t="n">
        <f aca="false">N(Y1956)+$X1957</f>
        <v>0</v>
      </c>
      <c r="Z1957" s="1" t="n">
        <f aca="false">IF(AND($M1957=1,对接源_02物料!$D757="原料入库"),1,0)</f>
        <v>0</v>
      </c>
      <c r="AA1957" s="1" t="n">
        <f aca="false">N(AA1956)+$Z1957</f>
        <v>30</v>
      </c>
      <c r="AB1957" s="1" t="n">
        <f aca="false">IF(AND($M1957=1,LEFT(对接源_02物料!$D757,4)="原料出库"),1,0)</f>
        <v>0</v>
      </c>
      <c r="AC1957" s="1" t="n">
        <f aca="false">N(AC1956)+$AB1957</f>
        <v>19</v>
      </c>
      <c r="AD1957" s="1" t="n">
        <f aca="false">IF(AND($M1957=1,LEFT(对接源_02物料!$D757,4)="成品出库"),1,0)</f>
        <v>0</v>
      </c>
      <c r="AE1957" s="1" t="n">
        <f aca="false">N(AE1956)+$AD1957</f>
        <v>38</v>
      </c>
      <c r="AF1957" s="1" t="n">
        <f aca="false">IF(AND($N1957=1,AND(LEFT(对接源_02物料!$D757,4)="包装物料",N(对接源_02物料!$K757)&lt;&gt;0)),1,0)</f>
        <v>0</v>
      </c>
      <c r="AG1957" s="1" t="n">
        <f aca="false">N(AG1956)+$AF1957</f>
        <v>6</v>
      </c>
      <c r="AH1957" s="1" t="n">
        <f aca="false">IF(AND($N1957=1,AND(LEFT(对接源_02物料!$D757,3)="周转筐",N(对接源_02物料!$K757)&lt;&gt;0)),1,0)</f>
        <v>0</v>
      </c>
      <c r="AI1957" s="1" t="n">
        <f aca="false">N(AI1956)+$AH1957</f>
        <v>0</v>
      </c>
      <c r="AJ1957" s="1" t="n">
        <v>0</v>
      </c>
      <c r="AK1957" s="1" t="n">
        <f aca="false">N(AK1956)+$AJ1957</f>
        <v>3672</v>
      </c>
    </row>
    <row r="1958" customFormat="false" ht="13.5" hidden="false" customHeight="false" outlineLevel="0" collapsed="false">
      <c r="A1958" s="1" t="str">
        <f aca="false">IF(对接源_02物料!$C758="","",对接源_02物料!$C758)</f>
        <v/>
      </c>
      <c r="B1958" s="1" t="n">
        <f aca="false">IF(A1958="",0,IF(MATCH(A1958,$A$4:$A$2403,0)=ROW()-3,1,0))</f>
        <v>0</v>
      </c>
      <c r="C1958" s="1" t="n">
        <f aca="false">N(C1957)+B1958</f>
        <v>17</v>
      </c>
      <c r="K1958" s="1" t="n">
        <f aca="false">IF(OR($K$1="",对接源_02物料!$C758="",对接源_02物料!$C758&lt;&gt;$K$1,对接源_02物料!$B758=""),0,IF(OR(N(对接源_02物料!$B758)&lt;$K$2,N(对接源_02物料!$B758)&gt;$K$3),0,1))</f>
        <v>0</v>
      </c>
      <c r="L1958" s="1" t="n">
        <f aca="false">IF(OR($L$1="",对接源_02物料!$C758="",对接源_02物料!$C758&lt;&gt;$L$1,对接源_02物料!$B758=""),0,IF(OR(N(对接源_02物料!$B758)&lt;$L$2,N(对接源_02物料!$B758)&gt;$L$3),0,1))</f>
        <v>0</v>
      </c>
      <c r="M1958" s="1" t="n">
        <f aca="false">IF(OR($M$1="",对接源_02物料!$C758="",对接源_02物料!$C758&lt;&gt;$M$1,对接源_02物料!$B758=""),0,IF(OR(N(对接源_02物料!$B758)&lt;$M$2,N(对接源_02物料!$B758)&gt;$M$3),0,1))</f>
        <v>0</v>
      </c>
      <c r="N1958" s="1" t="n">
        <f aca="false">IF(OR($N$1="",对接源_02物料!$C758="",对接源_02物料!$C758&lt;&gt;$N$1,对接源_02物料!$B758=""),0,IF(OR(N(对接源_02物料!$B758)&lt;$N$2,N(对接源_02物料!$B758)&gt;$N$3),0,1))</f>
        <v>0</v>
      </c>
      <c r="P1958" s="1" t="n">
        <f aca="false">IF(AND($K1958=1,AND(对接源_02物料!$X758="公司筐",N(对接源_02物料!$T758)&lt;&gt;0)),1,0)</f>
        <v>0</v>
      </c>
      <c r="Q1958" s="1" t="n">
        <f aca="false">N(Q1957)+$P1958</f>
        <v>13</v>
      </c>
      <c r="R1958" s="1" t="n">
        <f aca="false">IF(AND($K1958=1,AND(对接源_02物料!$X758="公司筐",N(对接源_02物料!$U758)&lt;&gt;0)),1,0)</f>
        <v>0</v>
      </c>
      <c r="S1958" s="1" t="n">
        <f aca="false">N(S1957)+$R1958</f>
        <v>5</v>
      </c>
      <c r="T1958" s="1" t="n">
        <f aca="false">IF(AND($K1958=1,AND(对接源_02物料!$X758="公司筐",N(对接源_02物料!$V758)&lt;&gt;0)),1,0)</f>
        <v>0</v>
      </c>
      <c r="U1958" s="1" t="n">
        <f aca="false">N(U1957)+$T1958</f>
        <v>28</v>
      </c>
      <c r="V1958" s="1" t="n">
        <f aca="false">IF(AND($L1958=1,AND(对接源_02物料!$X758="自备筐",N(对接源_02物料!$V758)&lt;&gt;0)),1,0)</f>
        <v>0</v>
      </c>
      <c r="W1958" s="1" t="n">
        <f aca="false">N(W1957)+$V1958</f>
        <v>7</v>
      </c>
      <c r="X1958" s="1" t="n">
        <f aca="false">IF(AND($L1958=1,AND(对接源_02物料!$X758="自备筐",N(对接源_02物料!$T758)&lt;&gt;0)),1,0)</f>
        <v>0</v>
      </c>
      <c r="Y1958" s="1" t="n">
        <f aca="false">N(Y1957)+$X1958</f>
        <v>0</v>
      </c>
      <c r="Z1958" s="1" t="n">
        <f aca="false">IF(AND($M1958=1,对接源_02物料!$D758="原料入库"),1,0)</f>
        <v>0</v>
      </c>
      <c r="AA1958" s="1" t="n">
        <f aca="false">N(AA1957)+$Z1958</f>
        <v>30</v>
      </c>
      <c r="AB1958" s="1" t="n">
        <f aca="false">IF(AND($M1958=1,LEFT(对接源_02物料!$D758,4)="原料出库"),1,0)</f>
        <v>0</v>
      </c>
      <c r="AC1958" s="1" t="n">
        <f aca="false">N(AC1957)+$AB1958</f>
        <v>19</v>
      </c>
      <c r="AD1958" s="1" t="n">
        <f aca="false">IF(AND($M1958=1,LEFT(对接源_02物料!$D758,4)="成品出库"),1,0)</f>
        <v>0</v>
      </c>
      <c r="AE1958" s="1" t="n">
        <f aca="false">N(AE1957)+$AD1958</f>
        <v>38</v>
      </c>
      <c r="AF1958" s="1" t="n">
        <f aca="false">IF(AND($N1958=1,AND(LEFT(对接源_02物料!$D758,4)="包装物料",N(对接源_02物料!$K758)&lt;&gt;0)),1,0)</f>
        <v>0</v>
      </c>
      <c r="AG1958" s="1" t="n">
        <f aca="false">N(AG1957)+$AF1958</f>
        <v>6</v>
      </c>
      <c r="AH1958" s="1" t="n">
        <f aca="false">IF(AND($N1958=1,AND(LEFT(对接源_02物料!$D758,3)="周转筐",N(对接源_02物料!$K758)&lt;&gt;0)),1,0)</f>
        <v>0</v>
      </c>
      <c r="AI1958" s="1" t="n">
        <f aca="false">N(AI1957)+$AH1958</f>
        <v>0</v>
      </c>
      <c r="AJ1958" s="1" t="n">
        <v>0</v>
      </c>
      <c r="AK1958" s="1" t="n">
        <f aca="false">N(AK1957)+$AJ1958</f>
        <v>3672</v>
      </c>
    </row>
    <row r="1959" customFormat="false" ht="13.5" hidden="false" customHeight="false" outlineLevel="0" collapsed="false">
      <c r="A1959" s="1" t="str">
        <f aca="false">IF(对接源_02物料!$C759="","",对接源_02物料!$C759)</f>
        <v/>
      </c>
      <c r="B1959" s="1" t="n">
        <f aca="false">IF(A1959="",0,IF(MATCH(A1959,$A$4:$A$2403,0)=ROW()-3,1,0))</f>
        <v>0</v>
      </c>
      <c r="C1959" s="1" t="n">
        <f aca="false">N(C1958)+B1959</f>
        <v>17</v>
      </c>
      <c r="K1959" s="1" t="n">
        <f aca="false">IF(OR($K$1="",对接源_02物料!$C759="",对接源_02物料!$C759&lt;&gt;$K$1,对接源_02物料!$B759=""),0,IF(OR(N(对接源_02物料!$B759)&lt;$K$2,N(对接源_02物料!$B759)&gt;$K$3),0,1))</f>
        <v>0</v>
      </c>
      <c r="L1959" s="1" t="n">
        <f aca="false">IF(OR($L$1="",对接源_02物料!$C759="",对接源_02物料!$C759&lt;&gt;$L$1,对接源_02物料!$B759=""),0,IF(OR(N(对接源_02物料!$B759)&lt;$L$2,N(对接源_02物料!$B759)&gt;$L$3),0,1))</f>
        <v>0</v>
      </c>
      <c r="M1959" s="1" t="n">
        <f aca="false">IF(OR($M$1="",对接源_02物料!$C759="",对接源_02物料!$C759&lt;&gt;$M$1,对接源_02物料!$B759=""),0,IF(OR(N(对接源_02物料!$B759)&lt;$M$2,N(对接源_02物料!$B759)&gt;$M$3),0,1))</f>
        <v>0</v>
      </c>
      <c r="N1959" s="1" t="n">
        <f aca="false">IF(OR($N$1="",对接源_02物料!$C759="",对接源_02物料!$C759&lt;&gt;$N$1,对接源_02物料!$B759=""),0,IF(OR(N(对接源_02物料!$B759)&lt;$N$2,N(对接源_02物料!$B759)&gt;$N$3),0,1))</f>
        <v>0</v>
      </c>
      <c r="P1959" s="1" t="n">
        <f aca="false">IF(AND($K1959=1,AND(对接源_02物料!$X759="公司筐",N(对接源_02物料!$T759)&lt;&gt;0)),1,0)</f>
        <v>0</v>
      </c>
      <c r="Q1959" s="1" t="n">
        <f aca="false">N(Q1958)+$P1959</f>
        <v>13</v>
      </c>
      <c r="R1959" s="1" t="n">
        <f aca="false">IF(AND($K1959=1,AND(对接源_02物料!$X759="公司筐",N(对接源_02物料!$U759)&lt;&gt;0)),1,0)</f>
        <v>0</v>
      </c>
      <c r="S1959" s="1" t="n">
        <f aca="false">N(S1958)+$R1959</f>
        <v>5</v>
      </c>
      <c r="T1959" s="1" t="n">
        <f aca="false">IF(AND($K1959=1,AND(对接源_02物料!$X759="公司筐",N(对接源_02物料!$V759)&lt;&gt;0)),1,0)</f>
        <v>0</v>
      </c>
      <c r="U1959" s="1" t="n">
        <f aca="false">N(U1958)+$T1959</f>
        <v>28</v>
      </c>
      <c r="V1959" s="1" t="n">
        <f aca="false">IF(AND($L1959=1,AND(对接源_02物料!$X759="自备筐",N(对接源_02物料!$V759)&lt;&gt;0)),1,0)</f>
        <v>0</v>
      </c>
      <c r="W1959" s="1" t="n">
        <f aca="false">N(W1958)+$V1959</f>
        <v>7</v>
      </c>
      <c r="X1959" s="1" t="n">
        <f aca="false">IF(AND($L1959=1,AND(对接源_02物料!$X759="自备筐",N(对接源_02物料!$T759)&lt;&gt;0)),1,0)</f>
        <v>0</v>
      </c>
      <c r="Y1959" s="1" t="n">
        <f aca="false">N(Y1958)+$X1959</f>
        <v>0</v>
      </c>
      <c r="Z1959" s="1" t="n">
        <f aca="false">IF(AND($M1959=1,对接源_02物料!$D759="原料入库"),1,0)</f>
        <v>0</v>
      </c>
      <c r="AA1959" s="1" t="n">
        <f aca="false">N(AA1958)+$Z1959</f>
        <v>30</v>
      </c>
      <c r="AB1959" s="1" t="n">
        <f aca="false">IF(AND($M1959=1,LEFT(对接源_02物料!$D759,4)="原料出库"),1,0)</f>
        <v>0</v>
      </c>
      <c r="AC1959" s="1" t="n">
        <f aca="false">N(AC1958)+$AB1959</f>
        <v>19</v>
      </c>
      <c r="AD1959" s="1" t="n">
        <f aca="false">IF(AND($M1959=1,LEFT(对接源_02物料!$D759,4)="成品出库"),1,0)</f>
        <v>0</v>
      </c>
      <c r="AE1959" s="1" t="n">
        <f aca="false">N(AE1958)+$AD1959</f>
        <v>38</v>
      </c>
      <c r="AF1959" s="1" t="n">
        <f aca="false">IF(AND($N1959=1,AND(LEFT(对接源_02物料!$D759,4)="包装物料",N(对接源_02物料!$K759)&lt;&gt;0)),1,0)</f>
        <v>0</v>
      </c>
      <c r="AG1959" s="1" t="n">
        <f aca="false">N(AG1958)+$AF1959</f>
        <v>6</v>
      </c>
      <c r="AH1959" s="1" t="n">
        <f aca="false">IF(AND($N1959=1,AND(LEFT(对接源_02物料!$D759,3)="周转筐",N(对接源_02物料!$K759)&lt;&gt;0)),1,0)</f>
        <v>0</v>
      </c>
      <c r="AI1959" s="1" t="n">
        <f aca="false">N(AI1958)+$AH1959</f>
        <v>0</v>
      </c>
      <c r="AJ1959" s="1" t="n">
        <v>0</v>
      </c>
      <c r="AK1959" s="1" t="n">
        <f aca="false">N(AK1958)+$AJ1959</f>
        <v>3672</v>
      </c>
    </row>
    <row r="1960" customFormat="false" ht="13.5" hidden="false" customHeight="false" outlineLevel="0" collapsed="false">
      <c r="A1960" s="1" t="str">
        <f aca="false">IF(对接源_02物料!$C760="","",对接源_02物料!$C760)</f>
        <v/>
      </c>
      <c r="B1960" s="1" t="n">
        <f aca="false">IF(A1960="",0,IF(MATCH(A1960,$A$4:$A$2403,0)=ROW()-3,1,0))</f>
        <v>0</v>
      </c>
      <c r="C1960" s="1" t="n">
        <f aca="false">N(C1959)+B1960</f>
        <v>17</v>
      </c>
      <c r="K1960" s="1" t="n">
        <f aca="false">IF(OR($K$1="",对接源_02物料!$C760="",对接源_02物料!$C760&lt;&gt;$K$1,对接源_02物料!$B760=""),0,IF(OR(N(对接源_02物料!$B760)&lt;$K$2,N(对接源_02物料!$B760)&gt;$K$3),0,1))</f>
        <v>0</v>
      </c>
      <c r="L1960" s="1" t="n">
        <f aca="false">IF(OR($L$1="",对接源_02物料!$C760="",对接源_02物料!$C760&lt;&gt;$L$1,对接源_02物料!$B760=""),0,IF(OR(N(对接源_02物料!$B760)&lt;$L$2,N(对接源_02物料!$B760)&gt;$L$3),0,1))</f>
        <v>0</v>
      </c>
      <c r="M1960" s="1" t="n">
        <f aca="false">IF(OR($M$1="",对接源_02物料!$C760="",对接源_02物料!$C760&lt;&gt;$M$1,对接源_02物料!$B760=""),0,IF(OR(N(对接源_02物料!$B760)&lt;$M$2,N(对接源_02物料!$B760)&gt;$M$3),0,1))</f>
        <v>0</v>
      </c>
      <c r="N1960" s="1" t="n">
        <f aca="false">IF(OR($N$1="",对接源_02物料!$C760="",对接源_02物料!$C760&lt;&gt;$N$1,对接源_02物料!$B760=""),0,IF(OR(N(对接源_02物料!$B760)&lt;$N$2,N(对接源_02物料!$B760)&gt;$N$3),0,1))</f>
        <v>0</v>
      </c>
      <c r="P1960" s="1" t="n">
        <f aca="false">IF(AND($K1960=1,AND(对接源_02物料!$X760="公司筐",N(对接源_02物料!$T760)&lt;&gt;0)),1,0)</f>
        <v>0</v>
      </c>
      <c r="Q1960" s="1" t="n">
        <f aca="false">N(Q1959)+$P1960</f>
        <v>13</v>
      </c>
      <c r="R1960" s="1" t="n">
        <f aca="false">IF(AND($K1960=1,AND(对接源_02物料!$X760="公司筐",N(对接源_02物料!$U760)&lt;&gt;0)),1,0)</f>
        <v>0</v>
      </c>
      <c r="S1960" s="1" t="n">
        <f aca="false">N(S1959)+$R1960</f>
        <v>5</v>
      </c>
      <c r="T1960" s="1" t="n">
        <f aca="false">IF(AND($K1960=1,AND(对接源_02物料!$X760="公司筐",N(对接源_02物料!$V760)&lt;&gt;0)),1,0)</f>
        <v>0</v>
      </c>
      <c r="U1960" s="1" t="n">
        <f aca="false">N(U1959)+$T1960</f>
        <v>28</v>
      </c>
      <c r="V1960" s="1" t="n">
        <f aca="false">IF(AND($L1960=1,AND(对接源_02物料!$X760="自备筐",N(对接源_02物料!$V760)&lt;&gt;0)),1,0)</f>
        <v>0</v>
      </c>
      <c r="W1960" s="1" t="n">
        <f aca="false">N(W1959)+$V1960</f>
        <v>7</v>
      </c>
      <c r="X1960" s="1" t="n">
        <f aca="false">IF(AND($L1960=1,AND(对接源_02物料!$X760="自备筐",N(对接源_02物料!$T760)&lt;&gt;0)),1,0)</f>
        <v>0</v>
      </c>
      <c r="Y1960" s="1" t="n">
        <f aca="false">N(Y1959)+$X1960</f>
        <v>0</v>
      </c>
      <c r="Z1960" s="1" t="n">
        <f aca="false">IF(AND($M1960=1,对接源_02物料!$D760="原料入库"),1,0)</f>
        <v>0</v>
      </c>
      <c r="AA1960" s="1" t="n">
        <f aca="false">N(AA1959)+$Z1960</f>
        <v>30</v>
      </c>
      <c r="AB1960" s="1" t="n">
        <f aca="false">IF(AND($M1960=1,LEFT(对接源_02物料!$D760,4)="原料出库"),1,0)</f>
        <v>0</v>
      </c>
      <c r="AC1960" s="1" t="n">
        <f aca="false">N(AC1959)+$AB1960</f>
        <v>19</v>
      </c>
      <c r="AD1960" s="1" t="n">
        <f aca="false">IF(AND($M1960=1,LEFT(对接源_02物料!$D760,4)="成品出库"),1,0)</f>
        <v>0</v>
      </c>
      <c r="AE1960" s="1" t="n">
        <f aca="false">N(AE1959)+$AD1960</f>
        <v>38</v>
      </c>
      <c r="AF1960" s="1" t="n">
        <f aca="false">IF(AND($N1960=1,AND(LEFT(对接源_02物料!$D760,4)="包装物料",N(对接源_02物料!$K760)&lt;&gt;0)),1,0)</f>
        <v>0</v>
      </c>
      <c r="AG1960" s="1" t="n">
        <f aca="false">N(AG1959)+$AF1960</f>
        <v>6</v>
      </c>
      <c r="AH1960" s="1" t="n">
        <f aca="false">IF(AND($N1960=1,AND(LEFT(对接源_02物料!$D760,3)="周转筐",N(对接源_02物料!$K760)&lt;&gt;0)),1,0)</f>
        <v>0</v>
      </c>
      <c r="AI1960" s="1" t="n">
        <f aca="false">N(AI1959)+$AH1960</f>
        <v>0</v>
      </c>
      <c r="AJ1960" s="1" t="n">
        <v>0</v>
      </c>
      <c r="AK1960" s="1" t="n">
        <f aca="false">N(AK1959)+$AJ1960</f>
        <v>3672</v>
      </c>
    </row>
    <row r="1961" customFormat="false" ht="13.5" hidden="false" customHeight="false" outlineLevel="0" collapsed="false">
      <c r="A1961" s="1" t="str">
        <f aca="false">IF(对接源_02物料!$C761="","",对接源_02物料!$C761)</f>
        <v/>
      </c>
      <c r="B1961" s="1" t="n">
        <f aca="false">IF(A1961="",0,IF(MATCH(A1961,$A$4:$A$2403,0)=ROW()-3,1,0))</f>
        <v>0</v>
      </c>
      <c r="C1961" s="1" t="n">
        <f aca="false">N(C1960)+B1961</f>
        <v>17</v>
      </c>
      <c r="K1961" s="1" t="n">
        <f aca="false">IF(OR($K$1="",对接源_02物料!$C761="",对接源_02物料!$C761&lt;&gt;$K$1,对接源_02物料!$B761=""),0,IF(OR(N(对接源_02物料!$B761)&lt;$K$2,N(对接源_02物料!$B761)&gt;$K$3),0,1))</f>
        <v>0</v>
      </c>
      <c r="L1961" s="1" t="n">
        <f aca="false">IF(OR($L$1="",对接源_02物料!$C761="",对接源_02物料!$C761&lt;&gt;$L$1,对接源_02物料!$B761=""),0,IF(OR(N(对接源_02物料!$B761)&lt;$L$2,N(对接源_02物料!$B761)&gt;$L$3),0,1))</f>
        <v>0</v>
      </c>
      <c r="M1961" s="1" t="n">
        <f aca="false">IF(OR($M$1="",对接源_02物料!$C761="",对接源_02物料!$C761&lt;&gt;$M$1,对接源_02物料!$B761=""),0,IF(OR(N(对接源_02物料!$B761)&lt;$M$2,N(对接源_02物料!$B761)&gt;$M$3),0,1))</f>
        <v>0</v>
      </c>
      <c r="N1961" s="1" t="n">
        <f aca="false">IF(OR($N$1="",对接源_02物料!$C761="",对接源_02物料!$C761&lt;&gt;$N$1,对接源_02物料!$B761=""),0,IF(OR(N(对接源_02物料!$B761)&lt;$N$2,N(对接源_02物料!$B761)&gt;$N$3),0,1))</f>
        <v>0</v>
      </c>
      <c r="P1961" s="1" t="n">
        <f aca="false">IF(AND($K1961=1,AND(对接源_02物料!$X761="公司筐",N(对接源_02物料!$T761)&lt;&gt;0)),1,0)</f>
        <v>0</v>
      </c>
      <c r="Q1961" s="1" t="n">
        <f aca="false">N(Q1960)+$P1961</f>
        <v>13</v>
      </c>
      <c r="R1961" s="1" t="n">
        <f aca="false">IF(AND($K1961=1,AND(对接源_02物料!$X761="公司筐",N(对接源_02物料!$U761)&lt;&gt;0)),1,0)</f>
        <v>0</v>
      </c>
      <c r="S1961" s="1" t="n">
        <f aca="false">N(S1960)+$R1961</f>
        <v>5</v>
      </c>
      <c r="T1961" s="1" t="n">
        <f aca="false">IF(AND($K1961=1,AND(对接源_02物料!$X761="公司筐",N(对接源_02物料!$V761)&lt;&gt;0)),1,0)</f>
        <v>0</v>
      </c>
      <c r="U1961" s="1" t="n">
        <f aca="false">N(U1960)+$T1961</f>
        <v>28</v>
      </c>
      <c r="V1961" s="1" t="n">
        <f aca="false">IF(AND($L1961=1,AND(对接源_02物料!$X761="自备筐",N(对接源_02物料!$V761)&lt;&gt;0)),1,0)</f>
        <v>0</v>
      </c>
      <c r="W1961" s="1" t="n">
        <f aca="false">N(W1960)+$V1961</f>
        <v>7</v>
      </c>
      <c r="X1961" s="1" t="n">
        <f aca="false">IF(AND($L1961=1,AND(对接源_02物料!$X761="自备筐",N(对接源_02物料!$T761)&lt;&gt;0)),1,0)</f>
        <v>0</v>
      </c>
      <c r="Y1961" s="1" t="n">
        <f aca="false">N(Y1960)+$X1961</f>
        <v>0</v>
      </c>
      <c r="Z1961" s="1" t="n">
        <f aca="false">IF(AND($M1961=1,对接源_02物料!$D761="原料入库"),1,0)</f>
        <v>0</v>
      </c>
      <c r="AA1961" s="1" t="n">
        <f aca="false">N(AA1960)+$Z1961</f>
        <v>30</v>
      </c>
      <c r="AB1961" s="1" t="n">
        <f aca="false">IF(AND($M1961=1,LEFT(对接源_02物料!$D761,4)="原料出库"),1,0)</f>
        <v>0</v>
      </c>
      <c r="AC1961" s="1" t="n">
        <f aca="false">N(AC1960)+$AB1961</f>
        <v>19</v>
      </c>
      <c r="AD1961" s="1" t="n">
        <f aca="false">IF(AND($M1961=1,LEFT(对接源_02物料!$D761,4)="成品出库"),1,0)</f>
        <v>0</v>
      </c>
      <c r="AE1961" s="1" t="n">
        <f aca="false">N(AE1960)+$AD1961</f>
        <v>38</v>
      </c>
      <c r="AF1961" s="1" t="n">
        <f aca="false">IF(AND($N1961=1,AND(LEFT(对接源_02物料!$D761,4)="包装物料",N(对接源_02物料!$K761)&lt;&gt;0)),1,0)</f>
        <v>0</v>
      </c>
      <c r="AG1961" s="1" t="n">
        <f aca="false">N(AG1960)+$AF1961</f>
        <v>6</v>
      </c>
      <c r="AH1961" s="1" t="n">
        <f aca="false">IF(AND($N1961=1,AND(LEFT(对接源_02物料!$D761,3)="周转筐",N(对接源_02物料!$K761)&lt;&gt;0)),1,0)</f>
        <v>0</v>
      </c>
      <c r="AI1961" s="1" t="n">
        <f aca="false">N(AI1960)+$AH1961</f>
        <v>0</v>
      </c>
      <c r="AJ1961" s="1" t="n">
        <v>0</v>
      </c>
      <c r="AK1961" s="1" t="n">
        <f aca="false">N(AK1960)+$AJ1961</f>
        <v>3672</v>
      </c>
    </row>
    <row r="1962" customFormat="false" ht="13.5" hidden="false" customHeight="false" outlineLevel="0" collapsed="false">
      <c r="A1962" s="1" t="str">
        <f aca="false">IF(对接源_02物料!$C762="","",对接源_02物料!$C762)</f>
        <v/>
      </c>
      <c r="B1962" s="1" t="n">
        <f aca="false">IF(A1962="",0,IF(MATCH(A1962,$A$4:$A$2403,0)=ROW()-3,1,0))</f>
        <v>0</v>
      </c>
      <c r="C1962" s="1" t="n">
        <f aca="false">N(C1961)+B1962</f>
        <v>17</v>
      </c>
      <c r="K1962" s="1" t="n">
        <f aca="false">IF(OR($K$1="",对接源_02物料!$C762="",对接源_02物料!$C762&lt;&gt;$K$1,对接源_02物料!$B762=""),0,IF(OR(N(对接源_02物料!$B762)&lt;$K$2,N(对接源_02物料!$B762)&gt;$K$3),0,1))</f>
        <v>0</v>
      </c>
      <c r="L1962" s="1" t="n">
        <f aca="false">IF(OR($L$1="",对接源_02物料!$C762="",对接源_02物料!$C762&lt;&gt;$L$1,对接源_02物料!$B762=""),0,IF(OR(N(对接源_02物料!$B762)&lt;$L$2,N(对接源_02物料!$B762)&gt;$L$3),0,1))</f>
        <v>0</v>
      </c>
      <c r="M1962" s="1" t="n">
        <f aca="false">IF(OR($M$1="",对接源_02物料!$C762="",对接源_02物料!$C762&lt;&gt;$M$1,对接源_02物料!$B762=""),0,IF(OR(N(对接源_02物料!$B762)&lt;$M$2,N(对接源_02物料!$B762)&gt;$M$3),0,1))</f>
        <v>0</v>
      </c>
      <c r="N1962" s="1" t="n">
        <f aca="false">IF(OR($N$1="",对接源_02物料!$C762="",对接源_02物料!$C762&lt;&gt;$N$1,对接源_02物料!$B762=""),0,IF(OR(N(对接源_02物料!$B762)&lt;$N$2,N(对接源_02物料!$B762)&gt;$N$3),0,1))</f>
        <v>0</v>
      </c>
      <c r="P1962" s="1" t="n">
        <f aca="false">IF(AND($K1962=1,AND(对接源_02物料!$X762="公司筐",N(对接源_02物料!$T762)&lt;&gt;0)),1,0)</f>
        <v>0</v>
      </c>
      <c r="Q1962" s="1" t="n">
        <f aca="false">N(Q1961)+$P1962</f>
        <v>13</v>
      </c>
      <c r="R1962" s="1" t="n">
        <f aca="false">IF(AND($K1962=1,AND(对接源_02物料!$X762="公司筐",N(对接源_02物料!$U762)&lt;&gt;0)),1,0)</f>
        <v>0</v>
      </c>
      <c r="S1962" s="1" t="n">
        <f aca="false">N(S1961)+$R1962</f>
        <v>5</v>
      </c>
      <c r="T1962" s="1" t="n">
        <f aca="false">IF(AND($K1962=1,AND(对接源_02物料!$X762="公司筐",N(对接源_02物料!$V762)&lt;&gt;0)),1,0)</f>
        <v>0</v>
      </c>
      <c r="U1962" s="1" t="n">
        <f aca="false">N(U1961)+$T1962</f>
        <v>28</v>
      </c>
      <c r="V1962" s="1" t="n">
        <f aca="false">IF(AND($L1962=1,AND(对接源_02物料!$X762="自备筐",N(对接源_02物料!$V762)&lt;&gt;0)),1,0)</f>
        <v>0</v>
      </c>
      <c r="W1962" s="1" t="n">
        <f aca="false">N(W1961)+$V1962</f>
        <v>7</v>
      </c>
      <c r="X1962" s="1" t="n">
        <f aca="false">IF(AND($L1962=1,AND(对接源_02物料!$X762="自备筐",N(对接源_02物料!$T762)&lt;&gt;0)),1,0)</f>
        <v>0</v>
      </c>
      <c r="Y1962" s="1" t="n">
        <f aca="false">N(Y1961)+$X1962</f>
        <v>0</v>
      </c>
      <c r="Z1962" s="1" t="n">
        <f aca="false">IF(AND($M1962=1,对接源_02物料!$D762="原料入库"),1,0)</f>
        <v>0</v>
      </c>
      <c r="AA1962" s="1" t="n">
        <f aca="false">N(AA1961)+$Z1962</f>
        <v>30</v>
      </c>
      <c r="AB1962" s="1" t="n">
        <f aca="false">IF(AND($M1962=1,LEFT(对接源_02物料!$D762,4)="原料出库"),1,0)</f>
        <v>0</v>
      </c>
      <c r="AC1962" s="1" t="n">
        <f aca="false">N(AC1961)+$AB1962</f>
        <v>19</v>
      </c>
      <c r="AD1962" s="1" t="n">
        <f aca="false">IF(AND($M1962=1,LEFT(对接源_02物料!$D762,4)="成品出库"),1,0)</f>
        <v>0</v>
      </c>
      <c r="AE1962" s="1" t="n">
        <f aca="false">N(AE1961)+$AD1962</f>
        <v>38</v>
      </c>
      <c r="AF1962" s="1" t="n">
        <f aca="false">IF(AND($N1962=1,AND(LEFT(对接源_02物料!$D762,4)="包装物料",N(对接源_02物料!$K762)&lt;&gt;0)),1,0)</f>
        <v>0</v>
      </c>
      <c r="AG1962" s="1" t="n">
        <f aca="false">N(AG1961)+$AF1962</f>
        <v>6</v>
      </c>
      <c r="AH1962" s="1" t="n">
        <f aca="false">IF(AND($N1962=1,AND(LEFT(对接源_02物料!$D762,3)="周转筐",N(对接源_02物料!$K762)&lt;&gt;0)),1,0)</f>
        <v>0</v>
      </c>
      <c r="AI1962" s="1" t="n">
        <f aca="false">N(AI1961)+$AH1962</f>
        <v>0</v>
      </c>
      <c r="AJ1962" s="1" t="n">
        <v>0</v>
      </c>
      <c r="AK1962" s="1" t="n">
        <f aca="false">N(AK1961)+$AJ1962</f>
        <v>3672</v>
      </c>
    </row>
    <row r="1963" customFormat="false" ht="13.5" hidden="false" customHeight="false" outlineLevel="0" collapsed="false">
      <c r="A1963" s="1" t="str">
        <f aca="false">IF(对接源_02物料!$C763="","",对接源_02物料!$C763)</f>
        <v/>
      </c>
      <c r="B1963" s="1" t="n">
        <f aca="false">IF(A1963="",0,IF(MATCH(A1963,$A$4:$A$2403,0)=ROW()-3,1,0))</f>
        <v>0</v>
      </c>
      <c r="C1963" s="1" t="n">
        <f aca="false">N(C1962)+B1963</f>
        <v>17</v>
      </c>
      <c r="K1963" s="1" t="n">
        <f aca="false">IF(OR($K$1="",对接源_02物料!$C763="",对接源_02物料!$C763&lt;&gt;$K$1,对接源_02物料!$B763=""),0,IF(OR(N(对接源_02物料!$B763)&lt;$K$2,N(对接源_02物料!$B763)&gt;$K$3),0,1))</f>
        <v>0</v>
      </c>
      <c r="L1963" s="1" t="n">
        <f aca="false">IF(OR($L$1="",对接源_02物料!$C763="",对接源_02物料!$C763&lt;&gt;$L$1,对接源_02物料!$B763=""),0,IF(OR(N(对接源_02物料!$B763)&lt;$L$2,N(对接源_02物料!$B763)&gt;$L$3),0,1))</f>
        <v>0</v>
      </c>
      <c r="M1963" s="1" t="n">
        <f aca="false">IF(OR($M$1="",对接源_02物料!$C763="",对接源_02物料!$C763&lt;&gt;$M$1,对接源_02物料!$B763=""),0,IF(OR(N(对接源_02物料!$B763)&lt;$M$2,N(对接源_02物料!$B763)&gt;$M$3),0,1))</f>
        <v>0</v>
      </c>
      <c r="N1963" s="1" t="n">
        <f aca="false">IF(OR($N$1="",对接源_02物料!$C763="",对接源_02物料!$C763&lt;&gt;$N$1,对接源_02物料!$B763=""),0,IF(OR(N(对接源_02物料!$B763)&lt;$N$2,N(对接源_02物料!$B763)&gt;$N$3),0,1))</f>
        <v>0</v>
      </c>
      <c r="P1963" s="1" t="n">
        <f aca="false">IF(AND($K1963=1,AND(对接源_02物料!$X763="公司筐",N(对接源_02物料!$T763)&lt;&gt;0)),1,0)</f>
        <v>0</v>
      </c>
      <c r="Q1963" s="1" t="n">
        <f aca="false">N(Q1962)+$P1963</f>
        <v>13</v>
      </c>
      <c r="R1963" s="1" t="n">
        <f aca="false">IF(AND($K1963=1,AND(对接源_02物料!$X763="公司筐",N(对接源_02物料!$U763)&lt;&gt;0)),1,0)</f>
        <v>0</v>
      </c>
      <c r="S1963" s="1" t="n">
        <f aca="false">N(S1962)+$R1963</f>
        <v>5</v>
      </c>
      <c r="T1963" s="1" t="n">
        <f aca="false">IF(AND($K1963=1,AND(对接源_02物料!$X763="公司筐",N(对接源_02物料!$V763)&lt;&gt;0)),1,0)</f>
        <v>0</v>
      </c>
      <c r="U1963" s="1" t="n">
        <f aca="false">N(U1962)+$T1963</f>
        <v>28</v>
      </c>
      <c r="V1963" s="1" t="n">
        <f aca="false">IF(AND($L1963=1,AND(对接源_02物料!$X763="自备筐",N(对接源_02物料!$V763)&lt;&gt;0)),1,0)</f>
        <v>0</v>
      </c>
      <c r="W1963" s="1" t="n">
        <f aca="false">N(W1962)+$V1963</f>
        <v>7</v>
      </c>
      <c r="X1963" s="1" t="n">
        <f aca="false">IF(AND($L1963=1,AND(对接源_02物料!$X763="自备筐",N(对接源_02物料!$T763)&lt;&gt;0)),1,0)</f>
        <v>0</v>
      </c>
      <c r="Y1963" s="1" t="n">
        <f aca="false">N(Y1962)+$X1963</f>
        <v>0</v>
      </c>
      <c r="Z1963" s="1" t="n">
        <f aca="false">IF(AND($M1963=1,对接源_02物料!$D763="原料入库"),1,0)</f>
        <v>0</v>
      </c>
      <c r="AA1963" s="1" t="n">
        <f aca="false">N(AA1962)+$Z1963</f>
        <v>30</v>
      </c>
      <c r="AB1963" s="1" t="n">
        <f aca="false">IF(AND($M1963=1,LEFT(对接源_02物料!$D763,4)="原料出库"),1,0)</f>
        <v>0</v>
      </c>
      <c r="AC1963" s="1" t="n">
        <f aca="false">N(AC1962)+$AB1963</f>
        <v>19</v>
      </c>
      <c r="AD1963" s="1" t="n">
        <f aca="false">IF(AND($M1963=1,LEFT(对接源_02物料!$D763,4)="成品出库"),1,0)</f>
        <v>0</v>
      </c>
      <c r="AE1963" s="1" t="n">
        <f aca="false">N(AE1962)+$AD1963</f>
        <v>38</v>
      </c>
      <c r="AF1963" s="1" t="n">
        <f aca="false">IF(AND($N1963=1,AND(LEFT(对接源_02物料!$D763,4)="包装物料",N(对接源_02物料!$K763)&lt;&gt;0)),1,0)</f>
        <v>0</v>
      </c>
      <c r="AG1963" s="1" t="n">
        <f aca="false">N(AG1962)+$AF1963</f>
        <v>6</v>
      </c>
      <c r="AH1963" s="1" t="n">
        <f aca="false">IF(AND($N1963=1,AND(LEFT(对接源_02物料!$D763,3)="周转筐",N(对接源_02物料!$K763)&lt;&gt;0)),1,0)</f>
        <v>0</v>
      </c>
      <c r="AI1963" s="1" t="n">
        <f aca="false">N(AI1962)+$AH1963</f>
        <v>0</v>
      </c>
      <c r="AJ1963" s="1" t="n">
        <v>0</v>
      </c>
      <c r="AK1963" s="1" t="n">
        <f aca="false">N(AK1962)+$AJ1963</f>
        <v>3672</v>
      </c>
    </row>
    <row r="1964" customFormat="false" ht="13.5" hidden="false" customHeight="false" outlineLevel="0" collapsed="false">
      <c r="A1964" s="1" t="str">
        <f aca="false">IF(对接源_02物料!$C764="","",对接源_02物料!$C764)</f>
        <v/>
      </c>
      <c r="B1964" s="1" t="n">
        <f aca="false">IF(A1964="",0,IF(MATCH(A1964,$A$4:$A$2403,0)=ROW()-3,1,0))</f>
        <v>0</v>
      </c>
      <c r="C1964" s="1" t="n">
        <f aca="false">N(C1963)+B1964</f>
        <v>17</v>
      </c>
      <c r="K1964" s="1" t="n">
        <f aca="false">IF(OR($K$1="",对接源_02物料!$C764="",对接源_02物料!$C764&lt;&gt;$K$1,对接源_02物料!$B764=""),0,IF(OR(N(对接源_02物料!$B764)&lt;$K$2,N(对接源_02物料!$B764)&gt;$K$3),0,1))</f>
        <v>0</v>
      </c>
      <c r="L1964" s="1" t="n">
        <f aca="false">IF(OR($L$1="",对接源_02物料!$C764="",对接源_02物料!$C764&lt;&gt;$L$1,对接源_02物料!$B764=""),0,IF(OR(N(对接源_02物料!$B764)&lt;$L$2,N(对接源_02物料!$B764)&gt;$L$3),0,1))</f>
        <v>0</v>
      </c>
      <c r="M1964" s="1" t="n">
        <f aca="false">IF(OR($M$1="",对接源_02物料!$C764="",对接源_02物料!$C764&lt;&gt;$M$1,对接源_02物料!$B764=""),0,IF(OR(N(对接源_02物料!$B764)&lt;$M$2,N(对接源_02物料!$B764)&gt;$M$3),0,1))</f>
        <v>0</v>
      </c>
      <c r="N1964" s="1" t="n">
        <f aca="false">IF(OR($N$1="",对接源_02物料!$C764="",对接源_02物料!$C764&lt;&gt;$N$1,对接源_02物料!$B764=""),0,IF(OR(N(对接源_02物料!$B764)&lt;$N$2,N(对接源_02物料!$B764)&gt;$N$3),0,1))</f>
        <v>0</v>
      </c>
      <c r="P1964" s="1" t="n">
        <f aca="false">IF(AND($K1964=1,AND(对接源_02物料!$X764="公司筐",N(对接源_02物料!$T764)&lt;&gt;0)),1,0)</f>
        <v>0</v>
      </c>
      <c r="Q1964" s="1" t="n">
        <f aca="false">N(Q1963)+$P1964</f>
        <v>13</v>
      </c>
      <c r="R1964" s="1" t="n">
        <f aca="false">IF(AND($K1964=1,AND(对接源_02物料!$X764="公司筐",N(对接源_02物料!$U764)&lt;&gt;0)),1,0)</f>
        <v>0</v>
      </c>
      <c r="S1964" s="1" t="n">
        <f aca="false">N(S1963)+$R1964</f>
        <v>5</v>
      </c>
      <c r="T1964" s="1" t="n">
        <f aca="false">IF(AND($K1964=1,AND(对接源_02物料!$X764="公司筐",N(对接源_02物料!$V764)&lt;&gt;0)),1,0)</f>
        <v>0</v>
      </c>
      <c r="U1964" s="1" t="n">
        <f aca="false">N(U1963)+$T1964</f>
        <v>28</v>
      </c>
      <c r="V1964" s="1" t="n">
        <f aca="false">IF(AND($L1964=1,AND(对接源_02物料!$X764="自备筐",N(对接源_02物料!$V764)&lt;&gt;0)),1,0)</f>
        <v>0</v>
      </c>
      <c r="W1964" s="1" t="n">
        <f aca="false">N(W1963)+$V1964</f>
        <v>7</v>
      </c>
      <c r="X1964" s="1" t="n">
        <f aca="false">IF(AND($L1964=1,AND(对接源_02物料!$X764="自备筐",N(对接源_02物料!$T764)&lt;&gt;0)),1,0)</f>
        <v>0</v>
      </c>
      <c r="Y1964" s="1" t="n">
        <f aca="false">N(Y1963)+$X1964</f>
        <v>0</v>
      </c>
      <c r="Z1964" s="1" t="n">
        <f aca="false">IF(AND($M1964=1,对接源_02物料!$D764="原料入库"),1,0)</f>
        <v>0</v>
      </c>
      <c r="AA1964" s="1" t="n">
        <f aca="false">N(AA1963)+$Z1964</f>
        <v>30</v>
      </c>
      <c r="AB1964" s="1" t="n">
        <f aca="false">IF(AND($M1964=1,LEFT(对接源_02物料!$D764,4)="原料出库"),1,0)</f>
        <v>0</v>
      </c>
      <c r="AC1964" s="1" t="n">
        <f aca="false">N(AC1963)+$AB1964</f>
        <v>19</v>
      </c>
      <c r="AD1964" s="1" t="n">
        <f aca="false">IF(AND($M1964=1,LEFT(对接源_02物料!$D764,4)="成品出库"),1,0)</f>
        <v>0</v>
      </c>
      <c r="AE1964" s="1" t="n">
        <f aca="false">N(AE1963)+$AD1964</f>
        <v>38</v>
      </c>
      <c r="AF1964" s="1" t="n">
        <f aca="false">IF(AND($N1964=1,AND(LEFT(对接源_02物料!$D764,4)="包装物料",N(对接源_02物料!$K764)&lt;&gt;0)),1,0)</f>
        <v>0</v>
      </c>
      <c r="AG1964" s="1" t="n">
        <f aca="false">N(AG1963)+$AF1964</f>
        <v>6</v>
      </c>
      <c r="AH1964" s="1" t="n">
        <f aca="false">IF(AND($N1964=1,AND(LEFT(对接源_02物料!$D764,3)="周转筐",N(对接源_02物料!$K764)&lt;&gt;0)),1,0)</f>
        <v>0</v>
      </c>
      <c r="AI1964" s="1" t="n">
        <f aca="false">N(AI1963)+$AH1964</f>
        <v>0</v>
      </c>
      <c r="AJ1964" s="1" t="n">
        <v>0</v>
      </c>
      <c r="AK1964" s="1" t="n">
        <f aca="false">N(AK1963)+$AJ1964</f>
        <v>3672</v>
      </c>
    </row>
    <row r="1965" customFormat="false" ht="13.5" hidden="false" customHeight="false" outlineLevel="0" collapsed="false">
      <c r="A1965" s="1" t="str">
        <f aca="false">IF(对接源_02物料!$C765="","",对接源_02物料!$C765)</f>
        <v/>
      </c>
      <c r="B1965" s="1" t="n">
        <f aca="false">IF(A1965="",0,IF(MATCH(A1965,$A$4:$A$2403,0)=ROW()-3,1,0))</f>
        <v>0</v>
      </c>
      <c r="C1965" s="1" t="n">
        <f aca="false">N(C1964)+B1965</f>
        <v>17</v>
      </c>
      <c r="K1965" s="1" t="n">
        <f aca="false">IF(OR($K$1="",对接源_02物料!$C765="",对接源_02物料!$C765&lt;&gt;$K$1,对接源_02物料!$B765=""),0,IF(OR(N(对接源_02物料!$B765)&lt;$K$2,N(对接源_02物料!$B765)&gt;$K$3),0,1))</f>
        <v>0</v>
      </c>
      <c r="L1965" s="1" t="n">
        <f aca="false">IF(OR($L$1="",对接源_02物料!$C765="",对接源_02物料!$C765&lt;&gt;$L$1,对接源_02物料!$B765=""),0,IF(OR(N(对接源_02物料!$B765)&lt;$L$2,N(对接源_02物料!$B765)&gt;$L$3),0,1))</f>
        <v>0</v>
      </c>
      <c r="M1965" s="1" t="n">
        <f aca="false">IF(OR($M$1="",对接源_02物料!$C765="",对接源_02物料!$C765&lt;&gt;$M$1,对接源_02物料!$B765=""),0,IF(OR(N(对接源_02物料!$B765)&lt;$M$2,N(对接源_02物料!$B765)&gt;$M$3),0,1))</f>
        <v>0</v>
      </c>
      <c r="N1965" s="1" t="n">
        <f aca="false">IF(OR($N$1="",对接源_02物料!$C765="",对接源_02物料!$C765&lt;&gt;$N$1,对接源_02物料!$B765=""),0,IF(OR(N(对接源_02物料!$B765)&lt;$N$2,N(对接源_02物料!$B765)&gt;$N$3),0,1))</f>
        <v>0</v>
      </c>
      <c r="P1965" s="1" t="n">
        <f aca="false">IF(AND($K1965=1,AND(对接源_02物料!$X765="公司筐",N(对接源_02物料!$T765)&lt;&gt;0)),1,0)</f>
        <v>0</v>
      </c>
      <c r="Q1965" s="1" t="n">
        <f aca="false">N(Q1964)+$P1965</f>
        <v>13</v>
      </c>
      <c r="R1965" s="1" t="n">
        <f aca="false">IF(AND($K1965=1,AND(对接源_02物料!$X765="公司筐",N(对接源_02物料!$U765)&lt;&gt;0)),1,0)</f>
        <v>0</v>
      </c>
      <c r="S1965" s="1" t="n">
        <f aca="false">N(S1964)+$R1965</f>
        <v>5</v>
      </c>
      <c r="T1965" s="1" t="n">
        <f aca="false">IF(AND($K1965=1,AND(对接源_02物料!$X765="公司筐",N(对接源_02物料!$V765)&lt;&gt;0)),1,0)</f>
        <v>0</v>
      </c>
      <c r="U1965" s="1" t="n">
        <f aca="false">N(U1964)+$T1965</f>
        <v>28</v>
      </c>
      <c r="V1965" s="1" t="n">
        <f aca="false">IF(AND($L1965=1,AND(对接源_02物料!$X765="自备筐",N(对接源_02物料!$V765)&lt;&gt;0)),1,0)</f>
        <v>0</v>
      </c>
      <c r="W1965" s="1" t="n">
        <f aca="false">N(W1964)+$V1965</f>
        <v>7</v>
      </c>
      <c r="X1965" s="1" t="n">
        <f aca="false">IF(AND($L1965=1,AND(对接源_02物料!$X765="自备筐",N(对接源_02物料!$T765)&lt;&gt;0)),1,0)</f>
        <v>0</v>
      </c>
      <c r="Y1965" s="1" t="n">
        <f aca="false">N(Y1964)+$X1965</f>
        <v>0</v>
      </c>
      <c r="Z1965" s="1" t="n">
        <f aca="false">IF(AND($M1965=1,对接源_02物料!$D765="原料入库"),1,0)</f>
        <v>0</v>
      </c>
      <c r="AA1965" s="1" t="n">
        <f aca="false">N(AA1964)+$Z1965</f>
        <v>30</v>
      </c>
      <c r="AB1965" s="1" t="n">
        <f aca="false">IF(AND($M1965=1,LEFT(对接源_02物料!$D765,4)="原料出库"),1,0)</f>
        <v>0</v>
      </c>
      <c r="AC1965" s="1" t="n">
        <f aca="false">N(AC1964)+$AB1965</f>
        <v>19</v>
      </c>
      <c r="AD1965" s="1" t="n">
        <f aca="false">IF(AND($M1965=1,LEFT(对接源_02物料!$D765,4)="成品出库"),1,0)</f>
        <v>0</v>
      </c>
      <c r="AE1965" s="1" t="n">
        <f aca="false">N(AE1964)+$AD1965</f>
        <v>38</v>
      </c>
      <c r="AF1965" s="1" t="n">
        <f aca="false">IF(AND($N1965=1,AND(LEFT(对接源_02物料!$D765,4)="包装物料",N(对接源_02物料!$K765)&lt;&gt;0)),1,0)</f>
        <v>0</v>
      </c>
      <c r="AG1965" s="1" t="n">
        <f aca="false">N(AG1964)+$AF1965</f>
        <v>6</v>
      </c>
      <c r="AH1965" s="1" t="n">
        <f aca="false">IF(AND($N1965=1,AND(LEFT(对接源_02物料!$D765,3)="周转筐",N(对接源_02物料!$K765)&lt;&gt;0)),1,0)</f>
        <v>0</v>
      </c>
      <c r="AI1965" s="1" t="n">
        <f aca="false">N(AI1964)+$AH1965</f>
        <v>0</v>
      </c>
      <c r="AJ1965" s="1" t="n">
        <v>0</v>
      </c>
      <c r="AK1965" s="1" t="n">
        <f aca="false">N(AK1964)+$AJ1965</f>
        <v>3672</v>
      </c>
    </row>
    <row r="1966" customFormat="false" ht="13.5" hidden="false" customHeight="false" outlineLevel="0" collapsed="false">
      <c r="A1966" s="1" t="str">
        <f aca="false">IF(对接源_02物料!$C766="","",对接源_02物料!$C766)</f>
        <v/>
      </c>
      <c r="B1966" s="1" t="n">
        <f aca="false">IF(A1966="",0,IF(MATCH(A1966,$A$4:$A$2403,0)=ROW()-3,1,0))</f>
        <v>0</v>
      </c>
      <c r="C1966" s="1" t="n">
        <f aca="false">N(C1965)+B1966</f>
        <v>17</v>
      </c>
      <c r="K1966" s="1" t="n">
        <f aca="false">IF(OR($K$1="",对接源_02物料!$C766="",对接源_02物料!$C766&lt;&gt;$K$1,对接源_02物料!$B766=""),0,IF(OR(N(对接源_02物料!$B766)&lt;$K$2,N(对接源_02物料!$B766)&gt;$K$3),0,1))</f>
        <v>0</v>
      </c>
      <c r="L1966" s="1" t="n">
        <f aca="false">IF(OR($L$1="",对接源_02物料!$C766="",对接源_02物料!$C766&lt;&gt;$L$1,对接源_02物料!$B766=""),0,IF(OR(N(对接源_02物料!$B766)&lt;$L$2,N(对接源_02物料!$B766)&gt;$L$3),0,1))</f>
        <v>0</v>
      </c>
      <c r="M1966" s="1" t="n">
        <f aca="false">IF(OR($M$1="",对接源_02物料!$C766="",对接源_02物料!$C766&lt;&gt;$M$1,对接源_02物料!$B766=""),0,IF(OR(N(对接源_02物料!$B766)&lt;$M$2,N(对接源_02物料!$B766)&gt;$M$3),0,1))</f>
        <v>0</v>
      </c>
      <c r="N1966" s="1" t="n">
        <f aca="false">IF(OR($N$1="",对接源_02物料!$C766="",对接源_02物料!$C766&lt;&gt;$N$1,对接源_02物料!$B766=""),0,IF(OR(N(对接源_02物料!$B766)&lt;$N$2,N(对接源_02物料!$B766)&gt;$N$3),0,1))</f>
        <v>0</v>
      </c>
      <c r="P1966" s="1" t="n">
        <f aca="false">IF(AND($K1966=1,AND(对接源_02物料!$X766="公司筐",N(对接源_02物料!$T766)&lt;&gt;0)),1,0)</f>
        <v>0</v>
      </c>
      <c r="Q1966" s="1" t="n">
        <f aca="false">N(Q1965)+$P1966</f>
        <v>13</v>
      </c>
      <c r="R1966" s="1" t="n">
        <f aca="false">IF(AND($K1966=1,AND(对接源_02物料!$X766="公司筐",N(对接源_02物料!$U766)&lt;&gt;0)),1,0)</f>
        <v>0</v>
      </c>
      <c r="S1966" s="1" t="n">
        <f aca="false">N(S1965)+$R1966</f>
        <v>5</v>
      </c>
      <c r="T1966" s="1" t="n">
        <f aca="false">IF(AND($K1966=1,AND(对接源_02物料!$X766="公司筐",N(对接源_02物料!$V766)&lt;&gt;0)),1,0)</f>
        <v>0</v>
      </c>
      <c r="U1966" s="1" t="n">
        <f aca="false">N(U1965)+$T1966</f>
        <v>28</v>
      </c>
      <c r="V1966" s="1" t="n">
        <f aca="false">IF(AND($L1966=1,AND(对接源_02物料!$X766="自备筐",N(对接源_02物料!$V766)&lt;&gt;0)),1,0)</f>
        <v>0</v>
      </c>
      <c r="W1966" s="1" t="n">
        <f aca="false">N(W1965)+$V1966</f>
        <v>7</v>
      </c>
      <c r="X1966" s="1" t="n">
        <f aca="false">IF(AND($L1966=1,AND(对接源_02物料!$X766="自备筐",N(对接源_02物料!$T766)&lt;&gt;0)),1,0)</f>
        <v>0</v>
      </c>
      <c r="Y1966" s="1" t="n">
        <f aca="false">N(Y1965)+$X1966</f>
        <v>0</v>
      </c>
      <c r="Z1966" s="1" t="n">
        <f aca="false">IF(AND($M1966=1,对接源_02物料!$D766="原料入库"),1,0)</f>
        <v>0</v>
      </c>
      <c r="AA1966" s="1" t="n">
        <f aca="false">N(AA1965)+$Z1966</f>
        <v>30</v>
      </c>
      <c r="AB1966" s="1" t="n">
        <f aca="false">IF(AND($M1966=1,LEFT(对接源_02物料!$D766,4)="原料出库"),1,0)</f>
        <v>0</v>
      </c>
      <c r="AC1966" s="1" t="n">
        <f aca="false">N(AC1965)+$AB1966</f>
        <v>19</v>
      </c>
      <c r="AD1966" s="1" t="n">
        <f aca="false">IF(AND($M1966=1,LEFT(对接源_02物料!$D766,4)="成品出库"),1,0)</f>
        <v>0</v>
      </c>
      <c r="AE1966" s="1" t="n">
        <f aca="false">N(AE1965)+$AD1966</f>
        <v>38</v>
      </c>
      <c r="AF1966" s="1" t="n">
        <f aca="false">IF(AND($N1966=1,AND(LEFT(对接源_02物料!$D766,4)="包装物料",N(对接源_02物料!$K766)&lt;&gt;0)),1,0)</f>
        <v>0</v>
      </c>
      <c r="AG1966" s="1" t="n">
        <f aca="false">N(AG1965)+$AF1966</f>
        <v>6</v>
      </c>
      <c r="AH1966" s="1" t="n">
        <f aca="false">IF(AND($N1966=1,AND(LEFT(对接源_02物料!$D766,3)="周转筐",N(对接源_02物料!$K766)&lt;&gt;0)),1,0)</f>
        <v>0</v>
      </c>
      <c r="AI1966" s="1" t="n">
        <f aca="false">N(AI1965)+$AH1966</f>
        <v>0</v>
      </c>
      <c r="AJ1966" s="1" t="n">
        <v>0</v>
      </c>
      <c r="AK1966" s="1" t="n">
        <f aca="false">N(AK1965)+$AJ1966</f>
        <v>3672</v>
      </c>
    </row>
    <row r="1967" customFormat="false" ht="13.5" hidden="false" customHeight="false" outlineLevel="0" collapsed="false">
      <c r="A1967" s="1" t="str">
        <f aca="false">IF(对接源_02物料!$C767="","",对接源_02物料!$C767)</f>
        <v/>
      </c>
      <c r="B1967" s="1" t="n">
        <f aca="false">IF(A1967="",0,IF(MATCH(A1967,$A$4:$A$2403,0)=ROW()-3,1,0))</f>
        <v>0</v>
      </c>
      <c r="C1967" s="1" t="n">
        <f aca="false">N(C1966)+B1967</f>
        <v>17</v>
      </c>
      <c r="K1967" s="1" t="n">
        <f aca="false">IF(OR($K$1="",对接源_02物料!$C767="",对接源_02物料!$C767&lt;&gt;$K$1,对接源_02物料!$B767=""),0,IF(OR(N(对接源_02物料!$B767)&lt;$K$2,N(对接源_02物料!$B767)&gt;$K$3),0,1))</f>
        <v>0</v>
      </c>
      <c r="L1967" s="1" t="n">
        <f aca="false">IF(OR($L$1="",对接源_02物料!$C767="",对接源_02物料!$C767&lt;&gt;$L$1,对接源_02物料!$B767=""),0,IF(OR(N(对接源_02物料!$B767)&lt;$L$2,N(对接源_02物料!$B767)&gt;$L$3),0,1))</f>
        <v>0</v>
      </c>
      <c r="M1967" s="1" t="n">
        <f aca="false">IF(OR($M$1="",对接源_02物料!$C767="",对接源_02物料!$C767&lt;&gt;$M$1,对接源_02物料!$B767=""),0,IF(OR(N(对接源_02物料!$B767)&lt;$M$2,N(对接源_02物料!$B767)&gt;$M$3),0,1))</f>
        <v>0</v>
      </c>
      <c r="N1967" s="1" t="n">
        <f aca="false">IF(OR($N$1="",对接源_02物料!$C767="",对接源_02物料!$C767&lt;&gt;$N$1,对接源_02物料!$B767=""),0,IF(OR(N(对接源_02物料!$B767)&lt;$N$2,N(对接源_02物料!$B767)&gt;$N$3),0,1))</f>
        <v>0</v>
      </c>
      <c r="P1967" s="1" t="n">
        <f aca="false">IF(AND($K1967=1,AND(对接源_02物料!$X767="公司筐",N(对接源_02物料!$T767)&lt;&gt;0)),1,0)</f>
        <v>0</v>
      </c>
      <c r="Q1967" s="1" t="n">
        <f aca="false">N(Q1966)+$P1967</f>
        <v>13</v>
      </c>
      <c r="R1967" s="1" t="n">
        <f aca="false">IF(AND($K1967=1,AND(对接源_02物料!$X767="公司筐",N(对接源_02物料!$U767)&lt;&gt;0)),1,0)</f>
        <v>0</v>
      </c>
      <c r="S1967" s="1" t="n">
        <f aca="false">N(S1966)+$R1967</f>
        <v>5</v>
      </c>
      <c r="T1967" s="1" t="n">
        <f aca="false">IF(AND($K1967=1,AND(对接源_02物料!$X767="公司筐",N(对接源_02物料!$V767)&lt;&gt;0)),1,0)</f>
        <v>0</v>
      </c>
      <c r="U1967" s="1" t="n">
        <f aca="false">N(U1966)+$T1967</f>
        <v>28</v>
      </c>
      <c r="V1967" s="1" t="n">
        <f aca="false">IF(AND($L1967=1,AND(对接源_02物料!$X767="自备筐",N(对接源_02物料!$V767)&lt;&gt;0)),1,0)</f>
        <v>0</v>
      </c>
      <c r="W1967" s="1" t="n">
        <f aca="false">N(W1966)+$V1967</f>
        <v>7</v>
      </c>
      <c r="X1967" s="1" t="n">
        <f aca="false">IF(AND($L1967=1,AND(对接源_02物料!$X767="自备筐",N(对接源_02物料!$T767)&lt;&gt;0)),1,0)</f>
        <v>0</v>
      </c>
      <c r="Y1967" s="1" t="n">
        <f aca="false">N(Y1966)+$X1967</f>
        <v>0</v>
      </c>
      <c r="Z1967" s="1" t="n">
        <f aca="false">IF(AND($M1967=1,对接源_02物料!$D767="原料入库"),1,0)</f>
        <v>0</v>
      </c>
      <c r="AA1967" s="1" t="n">
        <f aca="false">N(AA1966)+$Z1967</f>
        <v>30</v>
      </c>
      <c r="AB1967" s="1" t="n">
        <f aca="false">IF(AND($M1967=1,LEFT(对接源_02物料!$D767,4)="原料出库"),1,0)</f>
        <v>0</v>
      </c>
      <c r="AC1967" s="1" t="n">
        <f aca="false">N(AC1966)+$AB1967</f>
        <v>19</v>
      </c>
      <c r="AD1967" s="1" t="n">
        <f aca="false">IF(AND($M1967=1,LEFT(对接源_02物料!$D767,4)="成品出库"),1,0)</f>
        <v>0</v>
      </c>
      <c r="AE1967" s="1" t="n">
        <f aca="false">N(AE1966)+$AD1967</f>
        <v>38</v>
      </c>
      <c r="AF1967" s="1" t="n">
        <f aca="false">IF(AND($N1967=1,AND(LEFT(对接源_02物料!$D767,4)="包装物料",N(对接源_02物料!$K767)&lt;&gt;0)),1,0)</f>
        <v>0</v>
      </c>
      <c r="AG1967" s="1" t="n">
        <f aca="false">N(AG1966)+$AF1967</f>
        <v>6</v>
      </c>
      <c r="AH1967" s="1" t="n">
        <f aca="false">IF(AND($N1967=1,AND(LEFT(对接源_02物料!$D767,3)="周转筐",N(对接源_02物料!$K767)&lt;&gt;0)),1,0)</f>
        <v>0</v>
      </c>
      <c r="AI1967" s="1" t="n">
        <f aca="false">N(AI1966)+$AH1967</f>
        <v>0</v>
      </c>
      <c r="AJ1967" s="1" t="n">
        <v>0</v>
      </c>
      <c r="AK1967" s="1" t="n">
        <f aca="false">N(AK1966)+$AJ1967</f>
        <v>3672</v>
      </c>
    </row>
    <row r="1968" customFormat="false" ht="13.5" hidden="false" customHeight="false" outlineLevel="0" collapsed="false">
      <c r="A1968" s="1" t="str">
        <f aca="false">IF(对接源_02物料!$C768="","",对接源_02物料!$C768)</f>
        <v/>
      </c>
      <c r="B1968" s="1" t="n">
        <f aca="false">IF(A1968="",0,IF(MATCH(A1968,$A$4:$A$2403,0)=ROW()-3,1,0))</f>
        <v>0</v>
      </c>
      <c r="C1968" s="1" t="n">
        <f aca="false">N(C1967)+B1968</f>
        <v>17</v>
      </c>
      <c r="K1968" s="1" t="n">
        <f aca="false">IF(OR($K$1="",对接源_02物料!$C768="",对接源_02物料!$C768&lt;&gt;$K$1,对接源_02物料!$B768=""),0,IF(OR(N(对接源_02物料!$B768)&lt;$K$2,N(对接源_02物料!$B768)&gt;$K$3),0,1))</f>
        <v>0</v>
      </c>
      <c r="L1968" s="1" t="n">
        <f aca="false">IF(OR($L$1="",对接源_02物料!$C768="",对接源_02物料!$C768&lt;&gt;$L$1,对接源_02物料!$B768=""),0,IF(OR(N(对接源_02物料!$B768)&lt;$L$2,N(对接源_02物料!$B768)&gt;$L$3),0,1))</f>
        <v>0</v>
      </c>
      <c r="M1968" s="1" t="n">
        <f aca="false">IF(OR($M$1="",对接源_02物料!$C768="",对接源_02物料!$C768&lt;&gt;$M$1,对接源_02物料!$B768=""),0,IF(OR(N(对接源_02物料!$B768)&lt;$M$2,N(对接源_02物料!$B768)&gt;$M$3),0,1))</f>
        <v>0</v>
      </c>
      <c r="N1968" s="1" t="n">
        <f aca="false">IF(OR($N$1="",对接源_02物料!$C768="",对接源_02物料!$C768&lt;&gt;$N$1,对接源_02物料!$B768=""),0,IF(OR(N(对接源_02物料!$B768)&lt;$N$2,N(对接源_02物料!$B768)&gt;$N$3),0,1))</f>
        <v>0</v>
      </c>
      <c r="P1968" s="1" t="n">
        <f aca="false">IF(AND($K1968=1,AND(对接源_02物料!$X768="公司筐",N(对接源_02物料!$T768)&lt;&gt;0)),1,0)</f>
        <v>0</v>
      </c>
      <c r="Q1968" s="1" t="n">
        <f aca="false">N(Q1967)+$P1968</f>
        <v>13</v>
      </c>
      <c r="R1968" s="1" t="n">
        <f aca="false">IF(AND($K1968=1,AND(对接源_02物料!$X768="公司筐",N(对接源_02物料!$U768)&lt;&gt;0)),1,0)</f>
        <v>0</v>
      </c>
      <c r="S1968" s="1" t="n">
        <f aca="false">N(S1967)+$R1968</f>
        <v>5</v>
      </c>
      <c r="T1968" s="1" t="n">
        <f aca="false">IF(AND($K1968=1,AND(对接源_02物料!$X768="公司筐",N(对接源_02物料!$V768)&lt;&gt;0)),1,0)</f>
        <v>0</v>
      </c>
      <c r="U1968" s="1" t="n">
        <f aca="false">N(U1967)+$T1968</f>
        <v>28</v>
      </c>
      <c r="V1968" s="1" t="n">
        <f aca="false">IF(AND($L1968=1,AND(对接源_02物料!$X768="自备筐",N(对接源_02物料!$V768)&lt;&gt;0)),1,0)</f>
        <v>0</v>
      </c>
      <c r="W1968" s="1" t="n">
        <f aca="false">N(W1967)+$V1968</f>
        <v>7</v>
      </c>
      <c r="X1968" s="1" t="n">
        <f aca="false">IF(AND($L1968=1,AND(对接源_02物料!$X768="自备筐",N(对接源_02物料!$T768)&lt;&gt;0)),1,0)</f>
        <v>0</v>
      </c>
      <c r="Y1968" s="1" t="n">
        <f aca="false">N(Y1967)+$X1968</f>
        <v>0</v>
      </c>
      <c r="Z1968" s="1" t="n">
        <f aca="false">IF(AND($M1968=1,对接源_02物料!$D768="原料入库"),1,0)</f>
        <v>0</v>
      </c>
      <c r="AA1968" s="1" t="n">
        <f aca="false">N(AA1967)+$Z1968</f>
        <v>30</v>
      </c>
      <c r="AB1968" s="1" t="n">
        <f aca="false">IF(AND($M1968=1,LEFT(对接源_02物料!$D768,4)="原料出库"),1,0)</f>
        <v>0</v>
      </c>
      <c r="AC1968" s="1" t="n">
        <f aca="false">N(AC1967)+$AB1968</f>
        <v>19</v>
      </c>
      <c r="AD1968" s="1" t="n">
        <f aca="false">IF(AND($M1968=1,LEFT(对接源_02物料!$D768,4)="成品出库"),1,0)</f>
        <v>0</v>
      </c>
      <c r="AE1968" s="1" t="n">
        <f aca="false">N(AE1967)+$AD1968</f>
        <v>38</v>
      </c>
      <c r="AF1968" s="1" t="n">
        <f aca="false">IF(AND($N1968=1,AND(LEFT(对接源_02物料!$D768,4)="包装物料",N(对接源_02物料!$K768)&lt;&gt;0)),1,0)</f>
        <v>0</v>
      </c>
      <c r="AG1968" s="1" t="n">
        <f aca="false">N(AG1967)+$AF1968</f>
        <v>6</v>
      </c>
      <c r="AH1968" s="1" t="n">
        <f aca="false">IF(AND($N1968=1,AND(LEFT(对接源_02物料!$D768,3)="周转筐",N(对接源_02物料!$K768)&lt;&gt;0)),1,0)</f>
        <v>0</v>
      </c>
      <c r="AI1968" s="1" t="n">
        <f aca="false">N(AI1967)+$AH1968</f>
        <v>0</v>
      </c>
      <c r="AJ1968" s="1" t="n">
        <v>0</v>
      </c>
      <c r="AK1968" s="1" t="n">
        <f aca="false">N(AK1967)+$AJ1968</f>
        <v>3672</v>
      </c>
    </row>
    <row r="1969" customFormat="false" ht="13.5" hidden="false" customHeight="false" outlineLevel="0" collapsed="false">
      <c r="A1969" s="1" t="str">
        <f aca="false">IF(对接源_02物料!$C769="","",对接源_02物料!$C769)</f>
        <v/>
      </c>
      <c r="B1969" s="1" t="n">
        <f aca="false">IF(A1969="",0,IF(MATCH(A1969,$A$4:$A$2403,0)=ROW()-3,1,0))</f>
        <v>0</v>
      </c>
      <c r="C1969" s="1" t="n">
        <f aca="false">N(C1968)+B1969</f>
        <v>17</v>
      </c>
      <c r="K1969" s="1" t="n">
        <f aca="false">IF(OR($K$1="",对接源_02物料!$C769="",对接源_02物料!$C769&lt;&gt;$K$1,对接源_02物料!$B769=""),0,IF(OR(N(对接源_02物料!$B769)&lt;$K$2,N(对接源_02物料!$B769)&gt;$K$3),0,1))</f>
        <v>0</v>
      </c>
      <c r="L1969" s="1" t="n">
        <f aca="false">IF(OR($L$1="",对接源_02物料!$C769="",对接源_02物料!$C769&lt;&gt;$L$1,对接源_02物料!$B769=""),0,IF(OR(N(对接源_02物料!$B769)&lt;$L$2,N(对接源_02物料!$B769)&gt;$L$3),0,1))</f>
        <v>0</v>
      </c>
      <c r="M1969" s="1" t="n">
        <f aca="false">IF(OR($M$1="",对接源_02物料!$C769="",对接源_02物料!$C769&lt;&gt;$M$1,对接源_02物料!$B769=""),0,IF(OR(N(对接源_02物料!$B769)&lt;$M$2,N(对接源_02物料!$B769)&gt;$M$3),0,1))</f>
        <v>0</v>
      </c>
      <c r="N1969" s="1" t="n">
        <f aca="false">IF(OR($N$1="",对接源_02物料!$C769="",对接源_02物料!$C769&lt;&gt;$N$1,对接源_02物料!$B769=""),0,IF(OR(N(对接源_02物料!$B769)&lt;$N$2,N(对接源_02物料!$B769)&gt;$N$3),0,1))</f>
        <v>0</v>
      </c>
      <c r="P1969" s="1" t="n">
        <f aca="false">IF(AND($K1969=1,AND(对接源_02物料!$X769="公司筐",N(对接源_02物料!$T769)&lt;&gt;0)),1,0)</f>
        <v>0</v>
      </c>
      <c r="Q1969" s="1" t="n">
        <f aca="false">N(Q1968)+$P1969</f>
        <v>13</v>
      </c>
      <c r="R1969" s="1" t="n">
        <f aca="false">IF(AND($K1969=1,AND(对接源_02物料!$X769="公司筐",N(对接源_02物料!$U769)&lt;&gt;0)),1,0)</f>
        <v>0</v>
      </c>
      <c r="S1969" s="1" t="n">
        <f aca="false">N(S1968)+$R1969</f>
        <v>5</v>
      </c>
      <c r="T1969" s="1" t="n">
        <f aca="false">IF(AND($K1969=1,AND(对接源_02物料!$X769="公司筐",N(对接源_02物料!$V769)&lt;&gt;0)),1,0)</f>
        <v>0</v>
      </c>
      <c r="U1969" s="1" t="n">
        <f aca="false">N(U1968)+$T1969</f>
        <v>28</v>
      </c>
      <c r="V1969" s="1" t="n">
        <f aca="false">IF(AND($L1969=1,AND(对接源_02物料!$X769="自备筐",N(对接源_02物料!$V769)&lt;&gt;0)),1,0)</f>
        <v>0</v>
      </c>
      <c r="W1969" s="1" t="n">
        <f aca="false">N(W1968)+$V1969</f>
        <v>7</v>
      </c>
      <c r="X1969" s="1" t="n">
        <f aca="false">IF(AND($L1969=1,AND(对接源_02物料!$X769="自备筐",N(对接源_02物料!$T769)&lt;&gt;0)),1,0)</f>
        <v>0</v>
      </c>
      <c r="Y1969" s="1" t="n">
        <f aca="false">N(Y1968)+$X1969</f>
        <v>0</v>
      </c>
      <c r="Z1969" s="1" t="n">
        <f aca="false">IF(AND($M1969=1,对接源_02物料!$D769="原料入库"),1,0)</f>
        <v>0</v>
      </c>
      <c r="AA1969" s="1" t="n">
        <f aca="false">N(AA1968)+$Z1969</f>
        <v>30</v>
      </c>
      <c r="AB1969" s="1" t="n">
        <f aca="false">IF(AND($M1969=1,LEFT(对接源_02物料!$D769,4)="原料出库"),1,0)</f>
        <v>0</v>
      </c>
      <c r="AC1969" s="1" t="n">
        <f aca="false">N(AC1968)+$AB1969</f>
        <v>19</v>
      </c>
      <c r="AD1969" s="1" t="n">
        <f aca="false">IF(AND($M1969=1,LEFT(对接源_02物料!$D769,4)="成品出库"),1,0)</f>
        <v>0</v>
      </c>
      <c r="AE1969" s="1" t="n">
        <f aca="false">N(AE1968)+$AD1969</f>
        <v>38</v>
      </c>
      <c r="AF1969" s="1" t="n">
        <f aca="false">IF(AND($N1969=1,AND(LEFT(对接源_02物料!$D769,4)="包装物料",N(对接源_02物料!$K769)&lt;&gt;0)),1,0)</f>
        <v>0</v>
      </c>
      <c r="AG1969" s="1" t="n">
        <f aca="false">N(AG1968)+$AF1969</f>
        <v>6</v>
      </c>
      <c r="AH1969" s="1" t="n">
        <f aca="false">IF(AND($N1969=1,AND(LEFT(对接源_02物料!$D769,3)="周转筐",N(对接源_02物料!$K769)&lt;&gt;0)),1,0)</f>
        <v>0</v>
      </c>
      <c r="AI1969" s="1" t="n">
        <f aca="false">N(AI1968)+$AH1969</f>
        <v>0</v>
      </c>
      <c r="AJ1969" s="1" t="n">
        <v>0</v>
      </c>
      <c r="AK1969" s="1" t="n">
        <f aca="false">N(AK1968)+$AJ1969</f>
        <v>3672</v>
      </c>
    </row>
    <row r="1970" customFormat="false" ht="13.5" hidden="false" customHeight="false" outlineLevel="0" collapsed="false">
      <c r="A1970" s="1" t="str">
        <f aca="false">IF(对接源_02物料!$C770="","",对接源_02物料!$C770)</f>
        <v/>
      </c>
      <c r="B1970" s="1" t="n">
        <f aca="false">IF(A1970="",0,IF(MATCH(A1970,$A$4:$A$2403,0)=ROW()-3,1,0))</f>
        <v>0</v>
      </c>
      <c r="C1970" s="1" t="n">
        <f aca="false">N(C1969)+B1970</f>
        <v>17</v>
      </c>
      <c r="K1970" s="1" t="n">
        <f aca="false">IF(OR($K$1="",对接源_02物料!$C770="",对接源_02物料!$C770&lt;&gt;$K$1,对接源_02物料!$B770=""),0,IF(OR(N(对接源_02物料!$B770)&lt;$K$2,N(对接源_02物料!$B770)&gt;$K$3),0,1))</f>
        <v>0</v>
      </c>
      <c r="L1970" s="1" t="n">
        <f aca="false">IF(OR($L$1="",对接源_02物料!$C770="",对接源_02物料!$C770&lt;&gt;$L$1,对接源_02物料!$B770=""),0,IF(OR(N(对接源_02物料!$B770)&lt;$L$2,N(对接源_02物料!$B770)&gt;$L$3),0,1))</f>
        <v>0</v>
      </c>
      <c r="M1970" s="1" t="n">
        <f aca="false">IF(OR($M$1="",对接源_02物料!$C770="",对接源_02物料!$C770&lt;&gt;$M$1,对接源_02物料!$B770=""),0,IF(OR(N(对接源_02物料!$B770)&lt;$M$2,N(对接源_02物料!$B770)&gt;$M$3),0,1))</f>
        <v>0</v>
      </c>
      <c r="N1970" s="1" t="n">
        <f aca="false">IF(OR($N$1="",对接源_02物料!$C770="",对接源_02物料!$C770&lt;&gt;$N$1,对接源_02物料!$B770=""),0,IF(OR(N(对接源_02物料!$B770)&lt;$N$2,N(对接源_02物料!$B770)&gt;$N$3),0,1))</f>
        <v>0</v>
      </c>
      <c r="P1970" s="1" t="n">
        <f aca="false">IF(AND($K1970=1,AND(对接源_02物料!$X770="公司筐",N(对接源_02物料!$T770)&lt;&gt;0)),1,0)</f>
        <v>0</v>
      </c>
      <c r="Q1970" s="1" t="n">
        <f aca="false">N(Q1969)+$P1970</f>
        <v>13</v>
      </c>
      <c r="R1970" s="1" t="n">
        <f aca="false">IF(AND($K1970=1,AND(对接源_02物料!$X770="公司筐",N(对接源_02物料!$U770)&lt;&gt;0)),1,0)</f>
        <v>0</v>
      </c>
      <c r="S1970" s="1" t="n">
        <f aca="false">N(S1969)+$R1970</f>
        <v>5</v>
      </c>
      <c r="T1970" s="1" t="n">
        <f aca="false">IF(AND($K1970=1,AND(对接源_02物料!$X770="公司筐",N(对接源_02物料!$V770)&lt;&gt;0)),1,0)</f>
        <v>0</v>
      </c>
      <c r="U1970" s="1" t="n">
        <f aca="false">N(U1969)+$T1970</f>
        <v>28</v>
      </c>
      <c r="V1970" s="1" t="n">
        <f aca="false">IF(AND($L1970=1,AND(对接源_02物料!$X770="自备筐",N(对接源_02物料!$V770)&lt;&gt;0)),1,0)</f>
        <v>0</v>
      </c>
      <c r="W1970" s="1" t="n">
        <f aca="false">N(W1969)+$V1970</f>
        <v>7</v>
      </c>
      <c r="X1970" s="1" t="n">
        <f aca="false">IF(AND($L1970=1,AND(对接源_02物料!$X770="自备筐",N(对接源_02物料!$T770)&lt;&gt;0)),1,0)</f>
        <v>0</v>
      </c>
      <c r="Y1970" s="1" t="n">
        <f aca="false">N(Y1969)+$X1970</f>
        <v>0</v>
      </c>
      <c r="Z1970" s="1" t="n">
        <f aca="false">IF(AND($M1970=1,对接源_02物料!$D770="原料入库"),1,0)</f>
        <v>0</v>
      </c>
      <c r="AA1970" s="1" t="n">
        <f aca="false">N(AA1969)+$Z1970</f>
        <v>30</v>
      </c>
      <c r="AB1970" s="1" t="n">
        <f aca="false">IF(AND($M1970=1,LEFT(对接源_02物料!$D770,4)="原料出库"),1,0)</f>
        <v>0</v>
      </c>
      <c r="AC1970" s="1" t="n">
        <f aca="false">N(AC1969)+$AB1970</f>
        <v>19</v>
      </c>
      <c r="AD1970" s="1" t="n">
        <f aca="false">IF(AND($M1970=1,LEFT(对接源_02物料!$D770,4)="成品出库"),1,0)</f>
        <v>0</v>
      </c>
      <c r="AE1970" s="1" t="n">
        <f aca="false">N(AE1969)+$AD1970</f>
        <v>38</v>
      </c>
      <c r="AF1970" s="1" t="n">
        <f aca="false">IF(AND($N1970=1,AND(LEFT(对接源_02物料!$D770,4)="包装物料",N(对接源_02物料!$K770)&lt;&gt;0)),1,0)</f>
        <v>0</v>
      </c>
      <c r="AG1970" s="1" t="n">
        <f aca="false">N(AG1969)+$AF1970</f>
        <v>6</v>
      </c>
      <c r="AH1970" s="1" t="n">
        <f aca="false">IF(AND($N1970=1,AND(LEFT(对接源_02物料!$D770,3)="周转筐",N(对接源_02物料!$K770)&lt;&gt;0)),1,0)</f>
        <v>0</v>
      </c>
      <c r="AI1970" s="1" t="n">
        <f aca="false">N(AI1969)+$AH1970</f>
        <v>0</v>
      </c>
      <c r="AJ1970" s="1" t="n">
        <v>0</v>
      </c>
      <c r="AK1970" s="1" t="n">
        <f aca="false">N(AK1969)+$AJ1970</f>
        <v>3672</v>
      </c>
    </row>
    <row r="1971" customFormat="false" ht="13.5" hidden="false" customHeight="false" outlineLevel="0" collapsed="false">
      <c r="A1971" s="1" t="str">
        <f aca="false">IF(对接源_02物料!$C771="","",对接源_02物料!$C771)</f>
        <v/>
      </c>
      <c r="B1971" s="1" t="n">
        <f aca="false">IF(A1971="",0,IF(MATCH(A1971,$A$4:$A$2403,0)=ROW()-3,1,0))</f>
        <v>0</v>
      </c>
      <c r="C1971" s="1" t="n">
        <f aca="false">N(C1970)+B1971</f>
        <v>17</v>
      </c>
      <c r="K1971" s="1" t="n">
        <f aca="false">IF(OR($K$1="",对接源_02物料!$C771="",对接源_02物料!$C771&lt;&gt;$K$1,对接源_02物料!$B771=""),0,IF(OR(N(对接源_02物料!$B771)&lt;$K$2,N(对接源_02物料!$B771)&gt;$K$3),0,1))</f>
        <v>0</v>
      </c>
      <c r="L1971" s="1" t="n">
        <f aca="false">IF(OR($L$1="",对接源_02物料!$C771="",对接源_02物料!$C771&lt;&gt;$L$1,对接源_02物料!$B771=""),0,IF(OR(N(对接源_02物料!$B771)&lt;$L$2,N(对接源_02物料!$B771)&gt;$L$3),0,1))</f>
        <v>0</v>
      </c>
      <c r="M1971" s="1" t="n">
        <f aca="false">IF(OR($M$1="",对接源_02物料!$C771="",对接源_02物料!$C771&lt;&gt;$M$1,对接源_02物料!$B771=""),0,IF(OR(N(对接源_02物料!$B771)&lt;$M$2,N(对接源_02物料!$B771)&gt;$M$3),0,1))</f>
        <v>0</v>
      </c>
      <c r="N1971" s="1" t="n">
        <f aca="false">IF(OR($N$1="",对接源_02物料!$C771="",对接源_02物料!$C771&lt;&gt;$N$1,对接源_02物料!$B771=""),0,IF(OR(N(对接源_02物料!$B771)&lt;$N$2,N(对接源_02物料!$B771)&gt;$N$3),0,1))</f>
        <v>0</v>
      </c>
      <c r="P1971" s="1" t="n">
        <f aca="false">IF(AND($K1971=1,AND(对接源_02物料!$X771="公司筐",N(对接源_02物料!$T771)&lt;&gt;0)),1,0)</f>
        <v>0</v>
      </c>
      <c r="Q1971" s="1" t="n">
        <f aca="false">N(Q1970)+$P1971</f>
        <v>13</v>
      </c>
      <c r="R1971" s="1" t="n">
        <f aca="false">IF(AND($K1971=1,AND(对接源_02物料!$X771="公司筐",N(对接源_02物料!$U771)&lt;&gt;0)),1,0)</f>
        <v>0</v>
      </c>
      <c r="S1971" s="1" t="n">
        <f aca="false">N(S1970)+$R1971</f>
        <v>5</v>
      </c>
      <c r="T1971" s="1" t="n">
        <f aca="false">IF(AND($K1971=1,AND(对接源_02物料!$X771="公司筐",N(对接源_02物料!$V771)&lt;&gt;0)),1,0)</f>
        <v>0</v>
      </c>
      <c r="U1971" s="1" t="n">
        <f aca="false">N(U1970)+$T1971</f>
        <v>28</v>
      </c>
      <c r="V1971" s="1" t="n">
        <f aca="false">IF(AND($L1971=1,AND(对接源_02物料!$X771="自备筐",N(对接源_02物料!$V771)&lt;&gt;0)),1,0)</f>
        <v>0</v>
      </c>
      <c r="W1971" s="1" t="n">
        <f aca="false">N(W1970)+$V1971</f>
        <v>7</v>
      </c>
      <c r="X1971" s="1" t="n">
        <f aca="false">IF(AND($L1971=1,AND(对接源_02物料!$X771="自备筐",N(对接源_02物料!$T771)&lt;&gt;0)),1,0)</f>
        <v>0</v>
      </c>
      <c r="Y1971" s="1" t="n">
        <f aca="false">N(Y1970)+$X1971</f>
        <v>0</v>
      </c>
      <c r="Z1971" s="1" t="n">
        <f aca="false">IF(AND($M1971=1,对接源_02物料!$D771="原料入库"),1,0)</f>
        <v>0</v>
      </c>
      <c r="AA1971" s="1" t="n">
        <f aca="false">N(AA1970)+$Z1971</f>
        <v>30</v>
      </c>
      <c r="AB1971" s="1" t="n">
        <f aca="false">IF(AND($M1971=1,LEFT(对接源_02物料!$D771,4)="原料出库"),1,0)</f>
        <v>0</v>
      </c>
      <c r="AC1971" s="1" t="n">
        <f aca="false">N(AC1970)+$AB1971</f>
        <v>19</v>
      </c>
      <c r="AD1971" s="1" t="n">
        <f aca="false">IF(AND($M1971=1,LEFT(对接源_02物料!$D771,4)="成品出库"),1,0)</f>
        <v>0</v>
      </c>
      <c r="AE1971" s="1" t="n">
        <f aca="false">N(AE1970)+$AD1971</f>
        <v>38</v>
      </c>
      <c r="AF1971" s="1" t="n">
        <f aca="false">IF(AND($N1971=1,AND(LEFT(对接源_02物料!$D771,4)="包装物料",N(对接源_02物料!$K771)&lt;&gt;0)),1,0)</f>
        <v>0</v>
      </c>
      <c r="AG1971" s="1" t="n">
        <f aca="false">N(AG1970)+$AF1971</f>
        <v>6</v>
      </c>
      <c r="AH1971" s="1" t="n">
        <f aca="false">IF(AND($N1971=1,AND(LEFT(对接源_02物料!$D771,3)="周转筐",N(对接源_02物料!$K771)&lt;&gt;0)),1,0)</f>
        <v>0</v>
      </c>
      <c r="AI1971" s="1" t="n">
        <f aca="false">N(AI1970)+$AH1971</f>
        <v>0</v>
      </c>
      <c r="AJ1971" s="1" t="n">
        <v>0</v>
      </c>
      <c r="AK1971" s="1" t="n">
        <f aca="false">N(AK1970)+$AJ1971</f>
        <v>3672</v>
      </c>
    </row>
    <row r="1972" customFormat="false" ht="13.5" hidden="false" customHeight="false" outlineLevel="0" collapsed="false">
      <c r="A1972" s="1" t="str">
        <f aca="false">IF(对接源_02物料!$C772="","",对接源_02物料!$C772)</f>
        <v/>
      </c>
      <c r="B1972" s="1" t="n">
        <f aca="false">IF(A1972="",0,IF(MATCH(A1972,$A$4:$A$2403,0)=ROW()-3,1,0))</f>
        <v>0</v>
      </c>
      <c r="C1972" s="1" t="n">
        <f aca="false">N(C1971)+B1972</f>
        <v>17</v>
      </c>
      <c r="K1972" s="1" t="n">
        <f aca="false">IF(OR($K$1="",对接源_02物料!$C772="",对接源_02物料!$C772&lt;&gt;$K$1,对接源_02物料!$B772=""),0,IF(OR(N(对接源_02物料!$B772)&lt;$K$2,N(对接源_02物料!$B772)&gt;$K$3),0,1))</f>
        <v>0</v>
      </c>
      <c r="L1972" s="1" t="n">
        <f aca="false">IF(OR($L$1="",对接源_02物料!$C772="",对接源_02物料!$C772&lt;&gt;$L$1,对接源_02物料!$B772=""),0,IF(OR(N(对接源_02物料!$B772)&lt;$L$2,N(对接源_02物料!$B772)&gt;$L$3),0,1))</f>
        <v>0</v>
      </c>
      <c r="M1972" s="1" t="n">
        <f aca="false">IF(OR($M$1="",对接源_02物料!$C772="",对接源_02物料!$C772&lt;&gt;$M$1,对接源_02物料!$B772=""),0,IF(OR(N(对接源_02物料!$B772)&lt;$M$2,N(对接源_02物料!$B772)&gt;$M$3),0,1))</f>
        <v>0</v>
      </c>
      <c r="N1972" s="1" t="n">
        <f aca="false">IF(OR($N$1="",对接源_02物料!$C772="",对接源_02物料!$C772&lt;&gt;$N$1,对接源_02物料!$B772=""),0,IF(OR(N(对接源_02物料!$B772)&lt;$N$2,N(对接源_02物料!$B772)&gt;$N$3),0,1))</f>
        <v>0</v>
      </c>
      <c r="P1972" s="1" t="n">
        <f aca="false">IF(AND($K1972=1,AND(对接源_02物料!$X772="公司筐",N(对接源_02物料!$T772)&lt;&gt;0)),1,0)</f>
        <v>0</v>
      </c>
      <c r="Q1972" s="1" t="n">
        <f aca="false">N(Q1971)+$P1972</f>
        <v>13</v>
      </c>
      <c r="R1972" s="1" t="n">
        <f aca="false">IF(AND($K1972=1,AND(对接源_02物料!$X772="公司筐",N(对接源_02物料!$U772)&lt;&gt;0)),1,0)</f>
        <v>0</v>
      </c>
      <c r="S1972" s="1" t="n">
        <f aca="false">N(S1971)+$R1972</f>
        <v>5</v>
      </c>
      <c r="T1972" s="1" t="n">
        <f aca="false">IF(AND($K1972=1,AND(对接源_02物料!$X772="公司筐",N(对接源_02物料!$V772)&lt;&gt;0)),1,0)</f>
        <v>0</v>
      </c>
      <c r="U1972" s="1" t="n">
        <f aca="false">N(U1971)+$T1972</f>
        <v>28</v>
      </c>
      <c r="V1972" s="1" t="n">
        <f aca="false">IF(AND($L1972=1,AND(对接源_02物料!$X772="自备筐",N(对接源_02物料!$V772)&lt;&gt;0)),1,0)</f>
        <v>0</v>
      </c>
      <c r="W1972" s="1" t="n">
        <f aca="false">N(W1971)+$V1972</f>
        <v>7</v>
      </c>
      <c r="X1972" s="1" t="n">
        <f aca="false">IF(AND($L1972=1,AND(对接源_02物料!$X772="自备筐",N(对接源_02物料!$T772)&lt;&gt;0)),1,0)</f>
        <v>0</v>
      </c>
      <c r="Y1972" s="1" t="n">
        <f aca="false">N(Y1971)+$X1972</f>
        <v>0</v>
      </c>
      <c r="Z1972" s="1" t="n">
        <f aca="false">IF(AND($M1972=1,对接源_02物料!$D772="原料入库"),1,0)</f>
        <v>0</v>
      </c>
      <c r="AA1972" s="1" t="n">
        <f aca="false">N(AA1971)+$Z1972</f>
        <v>30</v>
      </c>
      <c r="AB1972" s="1" t="n">
        <f aca="false">IF(AND($M1972=1,LEFT(对接源_02物料!$D772,4)="原料出库"),1,0)</f>
        <v>0</v>
      </c>
      <c r="AC1972" s="1" t="n">
        <f aca="false">N(AC1971)+$AB1972</f>
        <v>19</v>
      </c>
      <c r="AD1972" s="1" t="n">
        <f aca="false">IF(AND($M1972=1,LEFT(对接源_02物料!$D772,4)="成品出库"),1,0)</f>
        <v>0</v>
      </c>
      <c r="AE1972" s="1" t="n">
        <f aca="false">N(AE1971)+$AD1972</f>
        <v>38</v>
      </c>
      <c r="AF1972" s="1" t="n">
        <f aca="false">IF(AND($N1972=1,AND(LEFT(对接源_02物料!$D772,4)="包装物料",N(对接源_02物料!$K772)&lt;&gt;0)),1,0)</f>
        <v>0</v>
      </c>
      <c r="AG1972" s="1" t="n">
        <f aca="false">N(AG1971)+$AF1972</f>
        <v>6</v>
      </c>
      <c r="AH1972" s="1" t="n">
        <f aca="false">IF(AND($N1972=1,AND(LEFT(对接源_02物料!$D772,3)="周转筐",N(对接源_02物料!$K772)&lt;&gt;0)),1,0)</f>
        <v>0</v>
      </c>
      <c r="AI1972" s="1" t="n">
        <f aca="false">N(AI1971)+$AH1972</f>
        <v>0</v>
      </c>
      <c r="AJ1972" s="1" t="n">
        <v>0</v>
      </c>
      <c r="AK1972" s="1" t="n">
        <f aca="false">N(AK1971)+$AJ1972</f>
        <v>3672</v>
      </c>
    </row>
    <row r="1973" customFormat="false" ht="13.5" hidden="false" customHeight="false" outlineLevel="0" collapsed="false">
      <c r="A1973" s="1" t="str">
        <f aca="false">IF(对接源_02物料!$C773="","",对接源_02物料!$C773)</f>
        <v/>
      </c>
      <c r="B1973" s="1" t="n">
        <f aca="false">IF(A1973="",0,IF(MATCH(A1973,$A$4:$A$2403,0)=ROW()-3,1,0))</f>
        <v>0</v>
      </c>
      <c r="C1973" s="1" t="n">
        <f aca="false">N(C1972)+B1973</f>
        <v>17</v>
      </c>
      <c r="K1973" s="1" t="n">
        <f aca="false">IF(OR($K$1="",对接源_02物料!$C773="",对接源_02物料!$C773&lt;&gt;$K$1,对接源_02物料!$B773=""),0,IF(OR(N(对接源_02物料!$B773)&lt;$K$2,N(对接源_02物料!$B773)&gt;$K$3),0,1))</f>
        <v>0</v>
      </c>
      <c r="L1973" s="1" t="n">
        <f aca="false">IF(OR($L$1="",对接源_02物料!$C773="",对接源_02物料!$C773&lt;&gt;$L$1,对接源_02物料!$B773=""),0,IF(OR(N(对接源_02物料!$B773)&lt;$L$2,N(对接源_02物料!$B773)&gt;$L$3),0,1))</f>
        <v>0</v>
      </c>
      <c r="M1973" s="1" t="n">
        <f aca="false">IF(OR($M$1="",对接源_02物料!$C773="",对接源_02物料!$C773&lt;&gt;$M$1,对接源_02物料!$B773=""),0,IF(OR(N(对接源_02物料!$B773)&lt;$M$2,N(对接源_02物料!$B773)&gt;$M$3),0,1))</f>
        <v>0</v>
      </c>
      <c r="N1973" s="1" t="n">
        <f aca="false">IF(OR($N$1="",对接源_02物料!$C773="",对接源_02物料!$C773&lt;&gt;$N$1,对接源_02物料!$B773=""),0,IF(OR(N(对接源_02物料!$B773)&lt;$N$2,N(对接源_02物料!$B773)&gt;$N$3),0,1))</f>
        <v>0</v>
      </c>
      <c r="P1973" s="1" t="n">
        <f aca="false">IF(AND($K1973=1,AND(对接源_02物料!$X773="公司筐",N(对接源_02物料!$T773)&lt;&gt;0)),1,0)</f>
        <v>0</v>
      </c>
      <c r="Q1973" s="1" t="n">
        <f aca="false">N(Q1972)+$P1973</f>
        <v>13</v>
      </c>
      <c r="R1973" s="1" t="n">
        <f aca="false">IF(AND($K1973=1,AND(对接源_02物料!$X773="公司筐",N(对接源_02物料!$U773)&lt;&gt;0)),1,0)</f>
        <v>0</v>
      </c>
      <c r="S1973" s="1" t="n">
        <f aca="false">N(S1972)+$R1973</f>
        <v>5</v>
      </c>
      <c r="T1973" s="1" t="n">
        <f aca="false">IF(AND($K1973=1,AND(对接源_02物料!$X773="公司筐",N(对接源_02物料!$V773)&lt;&gt;0)),1,0)</f>
        <v>0</v>
      </c>
      <c r="U1973" s="1" t="n">
        <f aca="false">N(U1972)+$T1973</f>
        <v>28</v>
      </c>
      <c r="V1973" s="1" t="n">
        <f aca="false">IF(AND($L1973=1,AND(对接源_02物料!$X773="自备筐",N(对接源_02物料!$V773)&lt;&gt;0)),1,0)</f>
        <v>0</v>
      </c>
      <c r="W1973" s="1" t="n">
        <f aca="false">N(W1972)+$V1973</f>
        <v>7</v>
      </c>
      <c r="X1973" s="1" t="n">
        <f aca="false">IF(AND($L1973=1,AND(对接源_02物料!$X773="自备筐",N(对接源_02物料!$T773)&lt;&gt;0)),1,0)</f>
        <v>0</v>
      </c>
      <c r="Y1973" s="1" t="n">
        <f aca="false">N(Y1972)+$X1973</f>
        <v>0</v>
      </c>
      <c r="Z1973" s="1" t="n">
        <f aca="false">IF(AND($M1973=1,对接源_02物料!$D773="原料入库"),1,0)</f>
        <v>0</v>
      </c>
      <c r="AA1973" s="1" t="n">
        <f aca="false">N(AA1972)+$Z1973</f>
        <v>30</v>
      </c>
      <c r="AB1973" s="1" t="n">
        <f aca="false">IF(AND($M1973=1,LEFT(对接源_02物料!$D773,4)="原料出库"),1,0)</f>
        <v>0</v>
      </c>
      <c r="AC1973" s="1" t="n">
        <f aca="false">N(AC1972)+$AB1973</f>
        <v>19</v>
      </c>
      <c r="AD1973" s="1" t="n">
        <f aca="false">IF(AND($M1973=1,LEFT(对接源_02物料!$D773,4)="成品出库"),1,0)</f>
        <v>0</v>
      </c>
      <c r="AE1973" s="1" t="n">
        <f aca="false">N(AE1972)+$AD1973</f>
        <v>38</v>
      </c>
      <c r="AF1973" s="1" t="n">
        <f aca="false">IF(AND($N1973=1,AND(LEFT(对接源_02物料!$D773,4)="包装物料",N(对接源_02物料!$K773)&lt;&gt;0)),1,0)</f>
        <v>0</v>
      </c>
      <c r="AG1973" s="1" t="n">
        <f aca="false">N(AG1972)+$AF1973</f>
        <v>6</v>
      </c>
      <c r="AH1973" s="1" t="n">
        <f aca="false">IF(AND($N1973=1,AND(LEFT(对接源_02物料!$D773,3)="周转筐",N(对接源_02物料!$K773)&lt;&gt;0)),1,0)</f>
        <v>0</v>
      </c>
      <c r="AI1973" s="1" t="n">
        <f aca="false">N(AI1972)+$AH1973</f>
        <v>0</v>
      </c>
      <c r="AJ1973" s="1" t="n">
        <v>0</v>
      </c>
      <c r="AK1973" s="1" t="n">
        <f aca="false">N(AK1972)+$AJ1973</f>
        <v>3672</v>
      </c>
    </row>
    <row r="1974" customFormat="false" ht="13.5" hidden="false" customHeight="false" outlineLevel="0" collapsed="false">
      <c r="A1974" s="1" t="str">
        <f aca="false">IF(对接源_02物料!$C774="","",对接源_02物料!$C774)</f>
        <v/>
      </c>
      <c r="B1974" s="1" t="n">
        <f aca="false">IF(A1974="",0,IF(MATCH(A1974,$A$4:$A$2403,0)=ROW()-3,1,0))</f>
        <v>0</v>
      </c>
      <c r="C1974" s="1" t="n">
        <f aca="false">N(C1973)+B1974</f>
        <v>17</v>
      </c>
      <c r="K1974" s="1" t="n">
        <f aca="false">IF(OR($K$1="",对接源_02物料!$C774="",对接源_02物料!$C774&lt;&gt;$K$1,对接源_02物料!$B774=""),0,IF(OR(N(对接源_02物料!$B774)&lt;$K$2,N(对接源_02物料!$B774)&gt;$K$3),0,1))</f>
        <v>0</v>
      </c>
      <c r="L1974" s="1" t="n">
        <f aca="false">IF(OR($L$1="",对接源_02物料!$C774="",对接源_02物料!$C774&lt;&gt;$L$1,对接源_02物料!$B774=""),0,IF(OR(N(对接源_02物料!$B774)&lt;$L$2,N(对接源_02物料!$B774)&gt;$L$3),0,1))</f>
        <v>0</v>
      </c>
      <c r="M1974" s="1" t="n">
        <f aca="false">IF(OR($M$1="",对接源_02物料!$C774="",对接源_02物料!$C774&lt;&gt;$M$1,对接源_02物料!$B774=""),0,IF(OR(N(对接源_02物料!$B774)&lt;$M$2,N(对接源_02物料!$B774)&gt;$M$3),0,1))</f>
        <v>0</v>
      </c>
      <c r="N1974" s="1" t="n">
        <f aca="false">IF(OR($N$1="",对接源_02物料!$C774="",对接源_02物料!$C774&lt;&gt;$N$1,对接源_02物料!$B774=""),0,IF(OR(N(对接源_02物料!$B774)&lt;$N$2,N(对接源_02物料!$B774)&gt;$N$3),0,1))</f>
        <v>0</v>
      </c>
      <c r="P1974" s="1" t="n">
        <f aca="false">IF(AND($K1974=1,AND(对接源_02物料!$X774="公司筐",N(对接源_02物料!$T774)&lt;&gt;0)),1,0)</f>
        <v>0</v>
      </c>
      <c r="Q1974" s="1" t="n">
        <f aca="false">N(Q1973)+$P1974</f>
        <v>13</v>
      </c>
      <c r="R1974" s="1" t="n">
        <f aca="false">IF(AND($K1974=1,AND(对接源_02物料!$X774="公司筐",N(对接源_02物料!$U774)&lt;&gt;0)),1,0)</f>
        <v>0</v>
      </c>
      <c r="S1974" s="1" t="n">
        <f aca="false">N(S1973)+$R1974</f>
        <v>5</v>
      </c>
      <c r="T1974" s="1" t="n">
        <f aca="false">IF(AND($K1974=1,AND(对接源_02物料!$X774="公司筐",N(对接源_02物料!$V774)&lt;&gt;0)),1,0)</f>
        <v>0</v>
      </c>
      <c r="U1974" s="1" t="n">
        <f aca="false">N(U1973)+$T1974</f>
        <v>28</v>
      </c>
      <c r="V1974" s="1" t="n">
        <f aca="false">IF(AND($L1974=1,AND(对接源_02物料!$X774="自备筐",N(对接源_02物料!$V774)&lt;&gt;0)),1,0)</f>
        <v>0</v>
      </c>
      <c r="W1974" s="1" t="n">
        <f aca="false">N(W1973)+$V1974</f>
        <v>7</v>
      </c>
      <c r="X1974" s="1" t="n">
        <f aca="false">IF(AND($L1974=1,AND(对接源_02物料!$X774="自备筐",N(对接源_02物料!$T774)&lt;&gt;0)),1,0)</f>
        <v>0</v>
      </c>
      <c r="Y1974" s="1" t="n">
        <f aca="false">N(Y1973)+$X1974</f>
        <v>0</v>
      </c>
      <c r="Z1974" s="1" t="n">
        <f aca="false">IF(AND($M1974=1,对接源_02物料!$D774="原料入库"),1,0)</f>
        <v>0</v>
      </c>
      <c r="AA1974" s="1" t="n">
        <f aca="false">N(AA1973)+$Z1974</f>
        <v>30</v>
      </c>
      <c r="AB1974" s="1" t="n">
        <f aca="false">IF(AND($M1974=1,LEFT(对接源_02物料!$D774,4)="原料出库"),1,0)</f>
        <v>0</v>
      </c>
      <c r="AC1974" s="1" t="n">
        <f aca="false">N(AC1973)+$AB1974</f>
        <v>19</v>
      </c>
      <c r="AD1974" s="1" t="n">
        <f aca="false">IF(AND($M1974=1,LEFT(对接源_02物料!$D774,4)="成品出库"),1,0)</f>
        <v>0</v>
      </c>
      <c r="AE1974" s="1" t="n">
        <f aca="false">N(AE1973)+$AD1974</f>
        <v>38</v>
      </c>
      <c r="AF1974" s="1" t="n">
        <f aca="false">IF(AND($N1974=1,AND(LEFT(对接源_02物料!$D774,4)="包装物料",N(对接源_02物料!$K774)&lt;&gt;0)),1,0)</f>
        <v>0</v>
      </c>
      <c r="AG1974" s="1" t="n">
        <f aca="false">N(AG1973)+$AF1974</f>
        <v>6</v>
      </c>
      <c r="AH1974" s="1" t="n">
        <f aca="false">IF(AND($N1974=1,AND(LEFT(对接源_02物料!$D774,3)="周转筐",N(对接源_02物料!$K774)&lt;&gt;0)),1,0)</f>
        <v>0</v>
      </c>
      <c r="AI1974" s="1" t="n">
        <f aca="false">N(AI1973)+$AH1974</f>
        <v>0</v>
      </c>
      <c r="AJ1974" s="1" t="n">
        <v>0</v>
      </c>
      <c r="AK1974" s="1" t="n">
        <f aca="false">N(AK1973)+$AJ1974</f>
        <v>3672</v>
      </c>
    </row>
    <row r="1975" customFormat="false" ht="13.5" hidden="false" customHeight="false" outlineLevel="0" collapsed="false">
      <c r="A1975" s="1" t="str">
        <f aca="false">IF(对接源_02物料!$C775="","",对接源_02物料!$C775)</f>
        <v/>
      </c>
      <c r="B1975" s="1" t="n">
        <f aca="false">IF(A1975="",0,IF(MATCH(A1975,$A$4:$A$2403,0)=ROW()-3,1,0))</f>
        <v>0</v>
      </c>
      <c r="C1975" s="1" t="n">
        <f aca="false">N(C1974)+B1975</f>
        <v>17</v>
      </c>
      <c r="K1975" s="1" t="n">
        <f aca="false">IF(OR($K$1="",对接源_02物料!$C775="",对接源_02物料!$C775&lt;&gt;$K$1,对接源_02物料!$B775=""),0,IF(OR(N(对接源_02物料!$B775)&lt;$K$2,N(对接源_02物料!$B775)&gt;$K$3),0,1))</f>
        <v>0</v>
      </c>
      <c r="L1975" s="1" t="n">
        <f aca="false">IF(OR($L$1="",对接源_02物料!$C775="",对接源_02物料!$C775&lt;&gt;$L$1,对接源_02物料!$B775=""),0,IF(OR(N(对接源_02物料!$B775)&lt;$L$2,N(对接源_02物料!$B775)&gt;$L$3),0,1))</f>
        <v>0</v>
      </c>
      <c r="M1975" s="1" t="n">
        <f aca="false">IF(OR($M$1="",对接源_02物料!$C775="",对接源_02物料!$C775&lt;&gt;$M$1,对接源_02物料!$B775=""),0,IF(OR(N(对接源_02物料!$B775)&lt;$M$2,N(对接源_02物料!$B775)&gt;$M$3),0,1))</f>
        <v>0</v>
      </c>
      <c r="N1975" s="1" t="n">
        <f aca="false">IF(OR($N$1="",对接源_02物料!$C775="",对接源_02物料!$C775&lt;&gt;$N$1,对接源_02物料!$B775=""),0,IF(OR(N(对接源_02物料!$B775)&lt;$N$2,N(对接源_02物料!$B775)&gt;$N$3),0,1))</f>
        <v>0</v>
      </c>
      <c r="P1975" s="1" t="n">
        <f aca="false">IF(AND($K1975=1,AND(对接源_02物料!$X775="公司筐",N(对接源_02物料!$T775)&lt;&gt;0)),1,0)</f>
        <v>0</v>
      </c>
      <c r="Q1975" s="1" t="n">
        <f aca="false">N(Q1974)+$P1975</f>
        <v>13</v>
      </c>
      <c r="R1975" s="1" t="n">
        <f aca="false">IF(AND($K1975=1,AND(对接源_02物料!$X775="公司筐",N(对接源_02物料!$U775)&lt;&gt;0)),1,0)</f>
        <v>0</v>
      </c>
      <c r="S1975" s="1" t="n">
        <f aca="false">N(S1974)+$R1975</f>
        <v>5</v>
      </c>
      <c r="T1975" s="1" t="n">
        <f aca="false">IF(AND($K1975=1,AND(对接源_02物料!$X775="公司筐",N(对接源_02物料!$V775)&lt;&gt;0)),1,0)</f>
        <v>0</v>
      </c>
      <c r="U1975" s="1" t="n">
        <f aca="false">N(U1974)+$T1975</f>
        <v>28</v>
      </c>
      <c r="V1975" s="1" t="n">
        <f aca="false">IF(AND($L1975=1,AND(对接源_02物料!$X775="自备筐",N(对接源_02物料!$V775)&lt;&gt;0)),1,0)</f>
        <v>0</v>
      </c>
      <c r="W1975" s="1" t="n">
        <f aca="false">N(W1974)+$V1975</f>
        <v>7</v>
      </c>
      <c r="X1975" s="1" t="n">
        <f aca="false">IF(AND($L1975=1,AND(对接源_02物料!$X775="自备筐",N(对接源_02物料!$T775)&lt;&gt;0)),1,0)</f>
        <v>0</v>
      </c>
      <c r="Y1975" s="1" t="n">
        <f aca="false">N(Y1974)+$X1975</f>
        <v>0</v>
      </c>
      <c r="Z1975" s="1" t="n">
        <f aca="false">IF(AND($M1975=1,对接源_02物料!$D775="原料入库"),1,0)</f>
        <v>0</v>
      </c>
      <c r="AA1975" s="1" t="n">
        <f aca="false">N(AA1974)+$Z1975</f>
        <v>30</v>
      </c>
      <c r="AB1975" s="1" t="n">
        <f aca="false">IF(AND($M1975=1,LEFT(对接源_02物料!$D775,4)="原料出库"),1,0)</f>
        <v>0</v>
      </c>
      <c r="AC1975" s="1" t="n">
        <f aca="false">N(AC1974)+$AB1975</f>
        <v>19</v>
      </c>
      <c r="AD1975" s="1" t="n">
        <f aca="false">IF(AND($M1975=1,LEFT(对接源_02物料!$D775,4)="成品出库"),1,0)</f>
        <v>0</v>
      </c>
      <c r="AE1975" s="1" t="n">
        <f aca="false">N(AE1974)+$AD1975</f>
        <v>38</v>
      </c>
      <c r="AF1975" s="1" t="n">
        <f aca="false">IF(AND($N1975=1,AND(LEFT(对接源_02物料!$D775,4)="包装物料",N(对接源_02物料!$K775)&lt;&gt;0)),1,0)</f>
        <v>0</v>
      </c>
      <c r="AG1975" s="1" t="n">
        <f aca="false">N(AG1974)+$AF1975</f>
        <v>6</v>
      </c>
      <c r="AH1975" s="1" t="n">
        <f aca="false">IF(AND($N1975=1,AND(LEFT(对接源_02物料!$D775,3)="周转筐",N(对接源_02物料!$K775)&lt;&gt;0)),1,0)</f>
        <v>0</v>
      </c>
      <c r="AI1975" s="1" t="n">
        <f aca="false">N(AI1974)+$AH1975</f>
        <v>0</v>
      </c>
      <c r="AJ1975" s="1" t="n">
        <v>0</v>
      </c>
      <c r="AK1975" s="1" t="n">
        <f aca="false">N(AK1974)+$AJ1975</f>
        <v>3672</v>
      </c>
    </row>
    <row r="1976" customFormat="false" ht="13.5" hidden="false" customHeight="false" outlineLevel="0" collapsed="false">
      <c r="A1976" s="1" t="str">
        <f aca="false">IF(对接源_02物料!$C776="","",对接源_02物料!$C776)</f>
        <v/>
      </c>
      <c r="B1976" s="1" t="n">
        <f aca="false">IF(A1976="",0,IF(MATCH(A1976,$A$4:$A$2403,0)=ROW()-3,1,0))</f>
        <v>0</v>
      </c>
      <c r="C1976" s="1" t="n">
        <f aca="false">N(C1975)+B1976</f>
        <v>17</v>
      </c>
      <c r="K1976" s="1" t="n">
        <f aca="false">IF(OR($K$1="",对接源_02物料!$C776="",对接源_02物料!$C776&lt;&gt;$K$1,对接源_02物料!$B776=""),0,IF(OR(N(对接源_02物料!$B776)&lt;$K$2,N(对接源_02物料!$B776)&gt;$K$3),0,1))</f>
        <v>0</v>
      </c>
      <c r="L1976" s="1" t="n">
        <f aca="false">IF(OR($L$1="",对接源_02物料!$C776="",对接源_02物料!$C776&lt;&gt;$L$1,对接源_02物料!$B776=""),0,IF(OR(N(对接源_02物料!$B776)&lt;$L$2,N(对接源_02物料!$B776)&gt;$L$3),0,1))</f>
        <v>0</v>
      </c>
      <c r="M1976" s="1" t="n">
        <f aca="false">IF(OR($M$1="",对接源_02物料!$C776="",对接源_02物料!$C776&lt;&gt;$M$1,对接源_02物料!$B776=""),0,IF(OR(N(对接源_02物料!$B776)&lt;$M$2,N(对接源_02物料!$B776)&gt;$M$3),0,1))</f>
        <v>0</v>
      </c>
      <c r="N1976" s="1" t="n">
        <f aca="false">IF(OR($N$1="",对接源_02物料!$C776="",对接源_02物料!$C776&lt;&gt;$N$1,对接源_02物料!$B776=""),0,IF(OR(N(对接源_02物料!$B776)&lt;$N$2,N(对接源_02物料!$B776)&gt;$N$3),0,1))</f>
        <v>0</v>
      </c>
      <c r="P1976" s="1" t="n">
        <f aca="false">IF(AND($K1976=1,AND(对接源_02物料!$X776="公司筐",N(对接源_02物料!$T776)&lt;&gt;0)),1,0)</f>
        <v>0</v>
      </c>
      <c r="Q1976" s="1" t="n">
        <f aca="false">N(Q1975)+$P1976</f>
        <v>13</v>
      </c>
      <c r="R1976" s="1" t="n">
        <f aca="false">IF(AND($K1976=1,AND(对接源_02物料!$X776="公司筐",N(对接源_02物料!$U776)&lt;&gt;0)),1,0)</f>
        <v>0</v>
      </c>
      <c r="S1976" s="1" t="n">
        <f aca="false">N(S1975)+$R1976</f>
        <v>5</v>
      </c>
      <c r="T1976" s="1" t="n">
        <f aca="false">IF(AND($K1976=1,AND(对接源_02物料!$X776="公司筐",N(对接源_02物料!$V776)&lt;&gt;0)),1,0)</f>
        <v>0</v>
      </c>
      <c r="U1976" s="1" t="n">
        <f aca="false">N(U1975)+$T1976</f>
        <v>28</v>
      </c>
      <c r="V1976" s="1" t="n">
        <f aca="false">IF(AND($L1976=1,AND(对接源_02物料!$X776="自备筐",N(对接源_02物料!$V776)&lt;&gt;0)),1,0)</f>
        <v>0</v>
      </c>
      <c r="W1976" s="1" t="n">
        <f aca="false">N(W1975)+$V1976</f>
        <v>7</v>
      </c>
      <c r="X1976" s="1" t="n">
        <f aca="false">IF(AND($L1976=1,AND(对接源_02物料!$X776="自备筐",N(对接源_02物料!$T776)&lt;&gt;0)),1,0)</f>
        <v>0</v>
      </c>
      <c r="Y1976" s="1" t="n">
        <f aca="false">N(Y1975)+$X1976</f>
        <v>0</v>
      </c>
      <c r="Z1976" s="1" t="n">
        <f aca="false">IF(AND($M1976=1,对接源_02物料!$D776="原料入库"),1,0)</f>
        <v>0</v>
      </c>
      <c r="AA1976" s="1" t="n">
        <f aca="false">N(AA1975)+$Z1976</f>
        <v>30</v>
      </c>
      <c r="AB1976" s="1" t="n">
        <f aca="false">IF(AND($M1976=1,LEFT(对接源_02物料!$D776,4)="原料出库"),1,0)</f>
        <v>0</v>
      </c>
      <c r="AC1976" s="1" t="n">
        <f aca="false">N(AC1975)+$AB1976</f>
        <v>19</v>
      </c>
      <c r="AD1976" s="1" t="n">
        <f aca="false">IF(AND($M1976=1,LEFT(对接源_02物料!$D776,4)="成品出库"),1,0)</f>
        <v>0</v>
      </c>
      <c r="AE1976" s="1" t="n">
        <f aca="false">N(AE1975)+$AD1976</f>
        <v>38</v>
      </c>
      <c r="AF1976" s="1" t="n">
        <f aca="false">IF(AND($N1976=1,AND(LEFT(对接源_02物料!$D776,4)="包装物料",N(对接源_02物料!$K776)&lt;&gt;0)),1,0)</f>
        <v>0</v>
      </c>
      <c r="AG1976" s="1" t="n">
        <f aca="false">N(AG1975)+$AF1976</f>
        <v>6</v>
      </c>
      <c r="AH1976" s="1" t="n">
        <f aca="false">IF(AND($N1976=1,AND(LEFT(对接源_02物料!$D776,3)="周转筐",N(对接源_02物料!$K776)&lt;&gt;0)),1,0)</f>
        <v>0</v>
      </c>
      <c r="AI1976" s="1" t="n">
        <f aca="false">N(AI1975)+$AH1976</f>
        <v>0</v>
      </c>
      <c r="AJ1976" s="1" t="n">
        <v>0</v>
      </c>
      <c r="AK1976" s="1" t="n">
        <f aca="false">N(AK1975)+$AJ1976</f>
        <v>3672</v>
      </c>
    </row>
    <row r="1977" customFormat="false" ht="13.5" hidden="false" customHeight="false" outlineLevel="0" collapsed="false">
      <c r="A1977" s="1" t="str">
        <f aca="false">IF(对接源_02物料!$C777="","",对接源_02物料!$C777)</f>
        <v/>
      </c>
      <c r="B1977" s="1" t="n">
        <f aca="false">IF(A1977="",0,IF(MATCH(A1977,$A$4:$A$2403,0)=ROW()-3,1,0))</f>
        <v>0</v>
      </c>
      <c r="C1977" s="1" t="n">
        <f aca="false">N(C1976)+B1977</f>
        <v>17</v>
      </c>
      <c r="K1977" s="1" t="n">
        <f aca="false">IF(OR($K$1="",对接源_02物料!$C777="",对接源_02物料!$C777&lt;&gt;$K$1,对接源_02物料!$B777=""),0,IF(OR(N(对接源_02物料!$B777)&lt;$K$2,N(对接源_02物料!$B777)&gt;$K$3),0,1))</f>
        <v>0</v>
      </c>
      <c r="L1977" s="1" t="n">
        <f aca="false">IF(OR($L$1="",对接源_02物料!$C777="",对接源_02物料!$C777&lt;&gt;$L$1,对接源_02物料!$B777=""),0,IF(OR(N(对接源_02物料!$B777)&lt;$L$2,N(对接源_02物料!$B777)&gt;$L$3),0,1))</f>
        <v>0</v>
      </c>
      <c r="M1977" s="1" t="n">
        <f aca="false">IF(OR($M$1="",对接源_02物料!$C777="",对接源_02物料!$C777&lt;&gt;$M$1,对接源_02物料!$B777=""),0,IF(OR(N(对接源_02物料!$B777)&lt;$M$2,N(对接源_02物料!$B777)&gt;$M$3),0,1))</f>
        <v>0</v>
      </c>
      <c r="N1977" s="1" t="n">
        <f aca="false">IF(OR($N$1="",对接源_02物料!$C777="",对接源_02物料!$C777&lt;&gt;$N$1,对接源_02物料!$B777=""),0,IF(OR(N(对接源_02物料!$B777)&lt;$N$2,N(对接源_02物料!$B777)&gt;$N$3),0,1))</f>
        <v>0</v>
      </c>
      <c r="P1977" s="1" t="n">
        <f aca="false">IF(AND($K1977=1,AND(对接源_02物料!$X777="公司筐",N(对接源_02物料!$T777)&lt;&gt;0)),1,0)</f>
        <v>0</v>
      </c>
      <c r="Q1977" s="1" t="n">
        <f aca="false">N(Q1976)+$P1977</f>
        <v>13</v>
      </c>
      <c r="R1977" s="1" t="n">
        <f aca="false">IF(AND($K1977=1,AND(对接源_02物料!$X777="公司筐",N(对接源_02物料!$U777)&lt;&gt;0)),1,0)</f>
        <v>0</v>
      </c>
      <c r="S1977" s="1" t="n">
        <f aca="false">N(S1976)+$R1977</f>
        <v>5</v>
      </c>
      <c r="T1977" s="1" t="n">
        <f aca="false">IF(AND($K1977=1,AND(对接源_02物料!$X777="公司筐",N(对接源_02物料!$V777)&lt;&gt;0)),1,0)</f>
        <v>0</v>
      </c>
      <c r="U1977" s="1" t="n">
        <f aca="false">N(U1976)+$T1977</f>
        <v>28</v>
      </c>
      <c r="V1977" s="1" t="n">
        <f aca="false">IF(AND($L1977=1,AND(对接源_02物料!$X777="自备筐",N(对接源_02物料!$V777)&lt;&gt;0)),1,0)</f>
        <v>0</v>
      </c>
      <c r="W1977" s="1" t="n">
        <f aca="false">N(W1976)+$V1977</f>
        <v>7</v>
      </c>
      <c r="X1977" s="1" t="n">
        <f aca="false">IF(AND($L1977=1,AND(对接源_02物料!$X777="自备筐",N(对接源_02物料!$T777)&lt;&gt;0)),1,0)</f>
        <v>0</v>
      </c>
      <c r="Y1977" s="1" t="n">
        <f aca="false">N(Y1976)+$X1977</f>
        <v>0</v>
      </c>
      <c r="Z1977" s="1" t="n">
        <f aca="false">IF(AND($M1977=1,对接源_02物料!$D777="原料入库"),1,0)</f>
        <v>0</v>
      </c>
      <c r="AA1977" s="1" t="n">
        <f aca="false">N(AA1976)+$Z1977</f>
        <v>30</v>
      </c>
      <c r="AB1977" s="1" t="n">
        <f aca="false">IF(AND($M1977=1,LEFT(对接源_02物料!$D777,4)="原料出库"),1,0)</f>
        <v>0</v>
      </c>
      <c r="AC1977" s="1" t="n">
        <f aca="false">N(AC1976)+$AB1977</f>
        <v>19</v>
      </c>
      <c r="AD1977" s="1" t="n">
        <f aca="false">IF(AND($M1977=1,LEFT(对接源_02物料!$D777,4)="成品出库"),1,0)</f>
        <v>0</v>
      </c>
      <c r="AE1977" s="1" t="n">
        <f aca="false">N(AE1976)+$AD1977</f>
        <v>38</v>
      </c>
      <c r="AF1977" s="1" t="n">
        <f aca="false">IF(AND($N1977=1,AND(LEFT(对接源_02物料!$D777,4)="包装物料",N(对接源_02物料!$K777)&lt;&gt;0)),1,0)</f>
        <v>0</v>
      </c>
      <c r="AG1977" s="1" t="n">
        <f aca="false">N(AG1976)+$AF1977</f>
        <v>6</v>
      </c>
      <c r="AH1977" s="1" t="n">
        <f aca="false">IF(AND($N1977=1,AND(LEFT(对接源_02物料!$D777,3)="周转筐",N(对接源_02物料!$K777)&lt;&gt;0)),1,0)</f>
        <v>0</v>
      </c>
      <c r="AI1977" s="1" t="n">
        <f aca="false">N(AI1976)+$AH1977</f>
        <v>0</v>
      </c>
      <c r="AJ1977" s="1" t="n">
        <v>0</v>
      </c>
      <c r="AK1977" s="1" t="n">
        <f aca="false">N(AK1976)+$AJ1977</f>
        <v>3672</v>
      </c>
    </row>
    <row r="1978" customFormat="false" ht="13.5" hidden="false" customHeight="false" outlineLevel="0" collapsed="false">
      <c r="A1978" s="1" t="str">
        <f aca="false">IF(对接源_02物料!$C778="","",对接源_02物料!$C778)</f>
        <v/>
      </c>
      <c r="B1978" s="1" t="n">
        <f aca="false">IF(A1978="",0,IF(MATCH(A1978,$A$4:$A$2403,0)=ROW()-3,1,0))</f>
        <v>0</v>
      </c>
      <c r="C1978" s="1" t="n">
        <f aca="false">N(C1977)+B1978</f>
        <v>17</v>
      </c>
      <c r="K1978" s="1" t="n">
        <f aca="false">IF(OR($K$1="",对接源_02物料!$C778="",对接源_02物料!$C778&lt;&gt;$K$1,对接源_02物料!$B778=""),0,IF(OR(N(对接源_02物料!$B778)&lt;$K$2,N(对接源_02物料!$B778)&gt;$K$3),0,1))</f>
        <v>0</v>
      </c>
      <c r="L1978" s="1" t="n">
        <f aca="false">IF(OR($L$1="",对接源_02物料!$C778="",对接源_02物料!$C778&lt;&gt;$L$1,对接源_02物料!$B778=""),0,IF(OR(N(对接源_02物料!$B778)&lt;$L$2,N(对接源_02物料!$B778)&gt;$L$3),0,1))</f>
        <v>0</v>
      </c>
      <c r="M1978" s="1" t="n">
        <f aca="false">IF(OR($M$1="",对接源_02物料!$C778="",对接源_02物料!$C778&lt;&gt;$M$1,对接源_02物料!$B778=""),0,IF(OR(N(对接源_02物料!$B778)&lt;$M$2,N(对接源_02物料!$B778)&gt;$M$3),0,1))</f>
        <v>0</v>
      </c>
      <c r="N1978" s="1" t="n">
        <f aca="false">IF(OR($N$1="",对接源_02物料!$C778="",对接源_02物料!$C778&lt;&gt;$N$1,对接源_02物料!$B778=""),0,IF(OR(N(对接源_02物料!$B778)&lt;$N$2,N(对接源_02物料!$B778)&gt;$N$3),0,1))</f>
        <v>0</v>
      </c>
      <c r="P1978" s="1" t="n">
        <f aca="false">IF(AND($K1978=1,AND(对接源_02物料!$X778="公司筐",N(对接源_02物料!$T778)&lt;&gt;0)),1,0)</f>
        <v>0</v>
      </c>
      <c r="Q1978" s="1" t="n">
        <f aca="false">N(Q1977)+$P1978</f>
        <v>13</v>
      </c>
      <c r="R1978" s="1" t="n">
        <f aca="false">IF(AND($K1978=1,AND(对接源_02物料!$X778="公司筐",N(对接源_02物料!$U778)&lt;&gt;0)),1,0)</f>
        <v>0</v>
      </c>
      <c r="S1978" s="1" t="n">
        <f aca="false">N(S1977)+$R1978</f>
        <v>5</v>
      </c>
      <c r="T1978" s="1" t="n">
        <f aca="false">IF(AND($K1978=1,AND(对接源_02物料!$X778="公司筐",N(对接源_02物料!$V778)&lt;&gt;0)),1,0)</f>
        <v>0</v>
      </c>
      <c r="U1978" s="1" t="n">
        <f aca="false">N(U1977)+$T1978</f>
        <v>28</v>
      </c>
      <c r="V1978" s="1" t="n">
        <f aca="false">IF(AND($L1978=1,AND(对接源_02物料!$X778="自备筐",N(对接源_02物料!$V778)&lt;&gt;0)),1,0)</f>
        <v>0</v>
      </c>
      <c r="W1978" s="1" t="n">
        <f aca="false">N(W1977)+$V1978</f>
        <v>7</v>
      </c>
      <c r="X1978" s="1" t="n">
        <f aca="false">IF(AND($L1978=1,AND(对接源_02物料!$X778="自备筐",N(对接源_02物料!$T778)&lt;&gt;0)),1,0)</f>
        <v>0</v>
      </c>
      <c r="Y1978" s="1" t="n">
        <f aca="false">N(Y1977)+$X1978</f>
        <v>0</v>
      </c>
      <c r="Z1978" s="1" t="n">
        <f aca="false">IF(AND($M1978=1,对接源_02物料!$D778="原料入库"),1,0)</f>
        <v>0</v>
      </c>
      <c r="AA1978" s="1" t="n">
        <f aca="false">N(AA1977)+$Z1978</f>
        <v>30</v>
      </c>
      <c r="AB1978" s="1" t="n">
        <f aca="false">IF(AND($M1978=1,LEFT(对接源_02物料!$D778,4)="原料出库"),1,0)</f>
        <v>0</v>
      </c>
      <c r="AC1978" s="1" t="n">
        <f aca="false">N(AC1977)+$AB1978</f>
        <v>19</v>
      </c>
      <c r="AD1978" s="1" t="n">
        <f aca="false">IF(AND($M1978=1,LEFT(对接源_02物料!$D778,4)="成品出库"),1,0)</f>
        <v>0</v>
      </c>
      <c r="AE1978" s="1" t="n">
        <f aca="false">N(AE1977)+$AD1978</f>
        <v>38</v>
      </c>
      <c r="AF1978" s="1" t="n">
        <f aca="false">IF(AND($N1978=1,AND(LEFT(对接源_02物料!$D778,4)="包装物料",N(对接源_02物料!$K778)&lt;&gt;0)),1,0)</f>
        <v>0</v>
      </c>
      <c r="AG1978" s="1" t="n">
        <f aca="false">N(AG1977)+$AF1978</f>
        <v>6</v>
      </c>
      <c r="AH1978" s="1" t="n">
        <f aca="false">IF(AND($N1978=1,AND(LEFT(对接源_02物料!$D778,3)="周转筐",N(对接源_02物料!$K778)&lt;&gt;0)),1,0)</f>
        <v>0</v>
      </c>
      <c r="AI1978" s="1" t="n">
        <f aca="false">N(AI1977)+$AH1978</f>
        <v>0</v>
      </c>
      <c r="AJ1978" s="1" t="n">
        <v>0</v>
      </c>
      <c r="AK1978" s="1" t="n">
        <f aca="false">N(AK1977)+$AJ1978</f>
        <v>3672</v>
      </c>
    </row>
    <row r="1979" customFormat="false" ht="13.5" hidden="false" customHeight="false" outlineLevel="0" collapsed="false">
      <c r="A1979" s="1" t="str">
        <f aca="false">IF(对接源_02物料!$C779="","",对接源_02物料!$C779)</f>
        <v/>
      </c>
      <c r="B1979" s="1" t="n">
        <f aca="false">IF(A1979="",0,IF(MATCH(A1979,$A$4:$A$2403,0)=ROW()-3,1,0))</f>
        <v>0</v>
      </c>
      <c r="C1979" s="1" t="n">
        <f aca="false">N(C1978)+B1979</f>
        <v>17</v>
      </c>
      <c r="K1979" s="1" t="n">
        <f aca="false">IF(OR($K$1="",对接源_02物料!$C779="",对接源_02物料!$C779&lt;&gt;$K$1,对接源_02物料!$B779=""),0,IF(OR(N(对接源_02物料!$B779)&lt;$K$2,N(对接源_02物料!$B779)&gt;$K$3),0,1))</f>
        <v>0</v>
      </c>
      <c r="L1979" s="1" t="n">
        <f aca="false">IF(OR($L$1="",对接源_02物料!$C779="",对接源_02物料!$C779&lt;&gt;$L$1,对接源_02物料!$B779=""),0,IF(OR(N(对接源_02物料!$B779)&lt;$L$2,N(对接源_02物料!$B779)&gt;$L$3),0,1))</f>
        <v>0</v>
      </c>
      <c r="M1979" s="1" t="n">
        <f aca="false">IF(OR($M$1="",对接源_02物料!$C779="",对接源_02物料!$C779&lt;&gt;$M$1,对接源_02物料!$B779=""),0,IF(OR(N(对接源_02物料!$B779)&lt;$M$2,N(对接源_02物料!$B779)&gt;$M$3),0,1))</f>
        <v>0</v>
      </c>
      <c r="N1979" s="1" t="n">
        <f aca="false">IF(OR($N$1="",对接源_02物料!$C779="",对接源_02物料!$C779&lt;&gt;$N$1,对接源_02物料!$B779=""),0,IF(OR(N(对接源_02物料!$B779)&lt;$N$2,N(对接源_02物料!$B779)&gt;$N$3),0,1))</f>
        <v>0</v>
      </c>
      <c r="P1979" s="1" t="n">
        <f aca="false">IF(AND($K1979=1,AND(对接源_02物料!$X779="公司筐",N(对接源_02物料!$T779)&lt;&gt;0)),1,0)</f>
        <v>0</v>
      </c>
      <c r="Q1979" s="1" t="n">
        <f aca="false">N(Q1978)+$P1979</f>
        <v>13</v>
      </c>
      <c r="R1979" s="1" t="n">
        <f aca="false">IF(AND($K1979=1,AND(对接源_02物料!$X779="公司筐",N(对接源_02物料!$U779)&lt;&gt;0)),1,0)</f>
        <v>0</v>
      </c>
      <c r="S1979" s="1" t="n">
        <f aca="false">N(S1978)+$R1979</f>
        <v>5</v>
      </c>
      <c r="T1979" s="1" t="n">
        <f aca="false">IF(AND($K1979=1,AND(对接源_02物料!$X779="公司筐",N(对接源_02物料!$V779)&lt;&gt;0)),1,0)</f>
        <v>0</v>
      </c>
      <c r="U1979" s="1" t="n">
        <f aca="false">N(U1978)+$T1979</f>
        <v>28</v>
      </c>
      <c r="V1979" s="1" t="n">
        <f aca="false">IF(AND($L1979=1,AND(对接源_02物料!$X779="自备筐",N(对接源_02物料!$V779)&lt;&gt;0)),1,0)</f>
        <v>0</v>
      </c>
      <c r="W1979" s="1" t="n">
        <f aca="false">N(W1978)+$V1979</f>
        <v>7</v>
      </c>
      <c r="X1979" s="1" t="n">
        <f aca="false">IF(AND($L1979=1,AND(对接源_02物料!$X779="自备筐",N(对接源_02物料!$T779)&lt;&gt;0)),1,0)</f>
        <v>0</v>
      </c>
      <c r="Y1979" s="1" t="n">
        <f aca="false">N(Y1978)+$X1979</f>
        <v>0</v>
      </c>
      <c r="Z1979" s="1" t="n">
        <f aca="false">IF(AND($M1979=1,对接源_02物料!$D779="原料入库"),1,0)</f>
        <v>0</v>
      </c>
      <c r="AA1979" s="1" t="n">
        <f aca="false">N(AA1978)+$Z1979</f>
        <v>30</v>
      </c>
      <c r="AB1979" s="1" t="n">
        <f aca="false">IF(AND($M1979=1,LEFT(对接源_02物料!$D779,4)="原料出库"),1,0)</f>
        <v>0</v>
      </c>
      <c r="AC1979" s="1" t="n">
        <f aca="false">N(AC1978)+$AB1979</f>
        <v>19</v>
      </c>
      <c r="AD1979" s="1" t="n">
        <f aca="false">IF(AND($M1979=1,LEFT(对接源_02物料!$D779,4)="成品出库"),1,0)</f>
        <v>0</v>
      </c>
      <c r="AE1979" s="1" t="n">
        <f aca="false">N(AE1978)+$AD1979</f>
        <v>38</v>
      </c>
      <c r="AF1979" s="1" t="n">
        <f aca="false">IF(AND($N1979=1,AND(LEFT(对接源_02物料!$D779,4)="包装物料",N(对接源_02物料!$K779)&lt;&gt;0)),1,0)</f>
        <v>0</v>
      </c>
      <c r="AG1979" s="1" t="n">
        <f aca="false">N(AG1978)+$AF1979</f>
        <v>6</v>
      </c>
      <c r="AH1979" s="1" t="n">
        <f aca="false">IF(AND($N1979=1,AND(LEFT(对接源_02物料!$D779,3)="周转筐",N(对接源_02物料!$K779)&lt;&gt;0)),1,0)</f>
        <v>0</v>
      </c>
      <c r="AI1979" s="1" t="n">
        <f aca="false">N(AI1978)+$AH1979</f>
        <v>0</v>
      </c>
      <c r="AJ1979" s="1" t="n">
        <v>0</v>
      </c>
      <c r="AK1979" s="1" t="n">
        <f aca="false">N(AK1978)+$AJ1979</f>
        <v>3672</v>
      </c>
    </row>
    <row r="1980" customFormat="false" ht="13.5" hidden="false" customHeight="false" outlineLevel="0" collapsed="false">
      <c r="A1980" s="1" t="str">
        <f aca="false">IF(对接源_02物料!$C780="","",对接源_02物料!$C780)</f>
        <v/>
      </c>
      <c r="B1980" s="1" t="n">
        <f aca="false">IF(A1980="",0,IF(MATCH(A1980,$A$4:$A$2403,0)=ROW()-3,1,0))</f>
        <v>0</v>
      </c>
      <c r="C1980" s="1" t="n">
        <f aca="false">N(C1979)+B1980</f>
        <v>17</v>
      </c>
      <c r="K1980" s="1" t="n">
        <f aca="false">IF(OR($K$1="",对接源_02物料!$C780="",对接源_02物料!$C780&lt;&gt;$K$1,对接源_02物料!$B780=""),0,IF(OR(N(对接源_02物料!$B780)&lt;$K$2,N(对接源_02物料!$B780)&gt;$K$3),0,1))</f>
        <v>0</v>
      </c>
      <c r="L1980" s="1" t="n">
        <f aca="false">IF(OR($L$1="",对接源_02物料!$C780="",对接源_02物料!$C780&lt;&gt;$L$1,对接源_02物料!$B780=""),0,IF(OR(N(对接源_02物料!$B780)&lt;$L$2,N(对接源_02物料!$B780)&gt;$L$3),0,1))</f>
        <v>0</v>
      </c>
      <c r="M1980" s="1" t="n">
        <f aca="false">IF(OR($M$1="",对接源_02物料!$C780="",对接源_02物料!$C780&lt;&gt;$M$1,对接源_02物料!$B780=""),0,IF(OR(N(对接源_02物料!$B780)&lt;$M$2,N(对接源_02物料!$B780)&gt;$M$3),0,1))</f>
        <v>0</v>
      </c>
      <c r="N1980" s="1" t="n">
        <f aca="false">IF(OR($N$1="",对接源_02物料!$C780="",对接源_02物料!$C780&lt;&gt;$N$1,对接源_02物料!$B780=""),0,IF(OR(N(对接源_02物料!$B780)&lt;$N$2,N(对接源_02物料!$B780)&gt;$N$3),0,1))</f>
        <v>0</v>
      </c>
      <c r="P1980" s="1" t="n">
        <f aca="false">IF(AND($K1980=1,AND(对接源_02物料!$X780="公司筐",N(对接源_02物料!$T780)&lt;&gt;0)),1,0)</f>
        <v>0</v>
      </c>
      <c r="Q1980" s="1" t="n">
        <f aca="false">N(Q1979)+$P1980</f>
        <v>13</v>
      </c>
      <c r="R1980" s="1" t="n">
        <f aca="false">IF(AND($K1980=1,AND(对接源_02物料!$X780="公司筐",N(对接源_02物料!$U780)&lt;&gt;0)),1,0)</f>
        <v>0</v>
      </c>
      <c r="S1980" s="1" t="n">
        <f aca="false">N(S1979)+$R1980</f>
        <v>5</v>
      </c>
      <c r="T1980" s="1" t="n">
        <f aca="false">IF(AND($K1980=1,AND(对接源_02物料!$X780="公司筐",N(对接源_02物料!$V780)&lt;&gt;0)),1,0)</f>
        <v>0</v>
      </c>
      <c r="U1980" s="1" t="n">
        <f aca="false">N(U1979)+$T1980</f>
        <v>28</v>
      </c>
      <c r="V1980" s="1" t="n">
        <f aca="false">IF(AND($L1980=1,AND(对接源_02物料!$X780="自备筐",N(对接源_02物料!$V780)&lt;&gt;0)),1,0)</f>
        <v>0</v>
      </c>
      <c r="W1980" s="1" t="n">
        <f aca="false">N(W1979)+$V1980</f>
        <v>7</v>
      </c>
      <c r="X1980" s="1" t="n">
        <f aca="false">IF(AND($L1980=1,AND(对接源_02物料!$X780="自备筐",N(对接源_02物料!$T780)&lt;&gt;0)),1,0)</f>
        <v>0</v>
      </c>
      <c r="Y1980" s="1" t="n">
        <f aca="false">N(Y1979)+$X1980</f>
        <v>0</v>
      </c>
      <c r="Z1980" s="1" t="n">
        <f aca="false">IF(AND($M1980=1,对接源_02物料!$D780="原料入库"),1,0)</f>
        <v>0</v>
      </c>
      <c r="AA1980" s="1" t="n">
        <f aca="false">N(AA1979)+$Z1980</f>
        <v>30</v>
      </c>
      <c r="AB1980" s="1" t="n">
        <f aca="false">IF(AND($M1980=1,LEFT(对接源_02物料!$D780,4)="原料出库"),1,0)</f>
        <v>0</v>
      </c>
      <c r="AC1980" s="1" t="n">
        <f aca="false">N(AC1979)+$AB1980</f>
        <v>19</v>
      </c>
      <c r="AD1980" s="1" t="n">
        <f aca="false">IF(AND($M1980=1,LEFT(对接源_02物料!$D780,4)="成品出库"),1,0)</f>
        <v>0</v>
      </c>
      <c r="AE1980" s="1" t="n">
        <f aca="false">N(AE1979)+$AD1980</f>
        <v>38</v>
      </c>
      <c r="AF1980" s="1" t="n">
        <f aca="false">IF(AND($N1980=1,AND(LEFT(对接源_02物料!$D780,4)="包装物料",N(对接源_02物料!$K780)&lt;&gt;0)),1,0)</f>
        <v>0</v>
      </c>
      <c r="AG1980" s="1" t="n">
        <f aca="false">N(AG1979)+$AF1980</f>
        <v>6</v>
      </c>
      <c r="AH1980" s="1" t="n">
        <f aca="false">IF(AND($N1980=1,AND(LEFT(对接源_02物料!$D780,3)="周转筐",N(对接源_02物料!$K780)&lt;&gt;0)),1,0)</f>
        <v>0</v>
      </c>
      <c r="AI1980" s="1" t="n">
        <f aca="false">N(AI1979)+$AH1980</f>
        <v>0</v>
      </c>
      <c r="AJ1980" s="1" t="n">
        <v>0</v>
      </c>
      <c r="AK1980" s="1" t="n">
        <f aca="false">N(AK1979)+$AJ1980</f>
        <v>3672</v>
      </c>
    </row>
    <row r="1981" customFormat="false" ht="13.5" hidden="false" customHeight="false" outlineLevel="0" collapsed="false">
      <c r="A1981" s="1" t="str">
        <f aca="false">IF(对接源_02物料!$C781="","",对接源_02物料!$C781)</f>
        <v/>
      </c>
      <c r="B1981" s="1" t="n">
        <f aca="false">IF(A1981="",0,IF(MATCH(A1981,$A$4:$A$2403,0)=ROW()-3,1,0))</f>
        <v>0</v>
      </c>
      <c r="C1981" s="1" t="n">
        <f aca="false">N(C1980)+B1981</f>
        <v>17</v>
      </c>
      <c r="K1981" s="1" t="n">
        <f aca="false">IF(OR($K$1="",对接源_02物料!$C781="",对接源_02物料!$C781&lt;&gt;$K$1,对接源_02物料!$B781=""),0,IF(OR(N(对接源_02物料!$B781)&lt;$K$2,N(对接源_02物料!$B781)&gt;$K$3),0,1))</f>
        <v>0</v>
      </c>
      <c r="L1981" s="1" t="n">
        <f aca="false">IF(OR($L$1="",对接源_02物料!$C781="",对接源_02物料!$C781&lt;&gt;$L$1,对接源_02物料!$B781=""),0,IF(OR(N(对接源_02物料!$B781)&lt;$L$2,N(对接源_02物料!$B781)&gt;$L$3),0,1))</f>
        <v>0</v>
      </c>
      <c r="M1981" s="1" t="n">
        <f aca="false">IF(OR($M$1="",对接源_02物料!$C781="",对接源_02物料!$C781&lt;&gt;$M$1,对接源_02物料!$B781=""),0,IF(OR(N(对接源_02物料!$B781)&lt;$M$2,N(对接源_02物料!$B781)&gt;$M$3),0,1))</f>
        <v>0</v>
      </c>
      <c r="N1981" s="1" t="n">
        <f aca="false">IF(OR($N$1="",对接源_02物料!$C781="",对接源_02物料!$C781&lt;&gt;$N$1,对接源_02物料!$B781=""),0,IF(OR(N(对接源_02物料!$B781)&lt;$N$2,N(对接源_02物料!$B781)&gt;$N$3),0,1))</f>
        <v>0</v>
      </c>
      <c r="P1981" s="1" t="n">
        <f aca="false">IF(AND($K1981=1,AND(对接源_02物料!$X781="公司筐",N(对接源_02物料!$T781)&lt;&gt;0)),1,0)</f>
        <v>0</v>
      </c>
      <c r="Q1981" s="1" t="n">
        <f aca="false">N(Q1980)+$P1981</f>
        <v>13</v>
      </c>
      <c r="R1981" s="1" t="n">
        <f aca="false">IF(AND($K1981=1,AND(对接源_02物料!$X781="公司筐",N(对接源_02物料!$U781)&lt;&gt;0)),1,0)</f>
        <v>0</v>
      </c>
      <c r="S1981" s="1" t="n">
        <f aca="false">N(S1980)+$R1981</f>
        <v>5</v>
      </c>
      <c r="T1981" s="1" t="n">
        <f aca="false">IF(AND($K1981=1,AND(对接源_02物料!$X781="公司筐",N(对接源_02物料!$V781)&lt;&gt;0)),1,0)</f>
        <v>0</v>
      </c>
      <c r="U1981" s="1" t="n">
        <f aca="false">N(U1980)+$T1981</f>
        <v>28</v>
      </c>
      <c r="V1981" s="1" t="n">
        <f aca="false">IF(AND($L1981=1,AND(对接源_02物料!$X781="自备筐",N(对接源_02物料!$V781)&lt;&gt;0)),1,0)</f>
        <v>0</v>
      </c>
      <c r="W1981" s="1" t="n">
        <f aca="false">N(W1980)+$V1981</f>
        <v>7</v>
      </c>
      <c r="X1981" s="1" t="n">
        <f aca="false">IF(AND($L1981=1,AND(对接源_02物料!$X781="自备筐",N(对接源_02物料!$T781)&lt;&gt;0)),1,0)</f>
        <v>0</v>
      </c>
      <c r="Y1981" s="1" t="n">
        <f aca="false">N(Y1980)+$X1981</f>
        <v>0</v>
      </c>
      <c r="Z1981" s="1" t="n">
        <f aca="false">IF(AND($M1981=1,对接源_02物料!$D781="原料入库"),1,0)</f>
        <v>0</v>
      </c>
      <c r="AA1981" s="1" t="n">
        <f aca="false">N(AA1980)+$Z1981</f>
        <v>30</v>
      </c>
      <c r="AB1981" s="1" t="n">
        <f aca="false">IF(AND($M1981=1,LEFT(对接源_02物料!$D781,4)="原料出库"),1,0)</f>
        <v>0</v>
      </c>
      <c r="AC1981" s="1" t="n">
        <f aca="false">N(AC1980)+$AB1981</f>
        <v>19</v>
      </c>
      <c r="AD1981" s="1" t="n">
        <f aca="false">IF(AND($M1981=1,LEFT(对接源_02物料!$D781,4)="成品出库"),1,0)</f>
        <v>0</v>
      </c>
      <c r="AE1981" s="1" t="n">
        <f aca="false">N(AE1980)+$AD1981</f>
        <v>38</v>
      </c>
      <c r="AF1981" s="1" t="n">
        <f aca="false">IF(AND($N1981=1,AND(LEFT(对接源_02物料!$D781,4)="包装物料",N(对接源_02物料!$K781)&lt;&gt;0)),1,0)</f>
        <v>0</v>
      </c>
      <c r="AG1981" s="1" t="n">
        <f aca="false">N(AG1980)+$AF1981</f>
        <v>6</v>
      </c>
      <c r="AH1981" s="1" t="n">
        <f aca="false">IF(AND($N1981=1,AND(LEFT(对接源_02物料!$D781,3)="周转筐",N(对接源_02物料!$K781)&lt;&gt;0)),1,0)</f>
        <v>0</v>
      </c>
      <c r="AI1981" s="1" t="n">
        <f aca="false">N(AI1980)+$AH1981</f>
        <v>0</v>
      </c>
      <c r="AJ1981" s="1" t="n">
        <v>0</v>
      </c>
      <c r="AK1981" s="1" t="n">
        <f aca="false">N(AK1980)+$AJ1981</f>
        <v>3672</v>
      </c>
    </row>
    <row r="1982" customFormat="false" ht="13.5" hidden="false" customHeight="false" outlineLevel="0" collapsed="false">
      <c r="A1982" s="1" t="str">
        <f aca="false">IF(对接源_02物料!$C782="","",对接源_02物料!$C782)</f>
        <v/>
      </c>
      <c r="B1982" s="1" t="n">
        <f aca="false">IF(A1982="",0,IF(MATCH(A1982,$A$4:$A$2403,0)=ROW()-3,1,0))</f>
        <v>0</v>
      </c>
      <c r="C1982" s="1" t="n">
        <f aca="false">N(C1981)+B1982</f>
        <v>17</v>
      </c>
      <c r="K1982" s="1" t="n">
        <f aca="false">IF(OR($K$1="",对接源_02物料!$C782="",对接源_02物料!$C782&lt;&gt;$K$1,对接源_02物料!$B782=""),0,IF(OR(N(对接源_02物料!$B782)&lt;$K$2,N(对接源_02物料!$B782)&gt;$K$3),0,1))</f>
        <v>0</v>
      </c>
      <c r="L1982" s="1" t="n">
        <f aca="false">IF(OR($L$1="",对接源_02物料!$C782="",对接源_02物料!$C782&lt;&gt;$L$1,对接源_02物料!$B782=""),0,IF(OR(N(对接源_02物料!$B782)&lt;$L$2,N(对接源_02物料!$B782)&gt;$L$3),0,1))</f>
        <v>0</v>
      </c>
      <c r="M1982" s="1" t="n">
        <f aca="false">IF(OR($M$1="",对接源_02物料!$C782="",对接源_02物料!$C782&lt;&gt;$M$1,对接源_02物料!$B782=""),0,IF(OR(N(对接源_02物料!$B782)&lt;$M$2,N(对接源_02物料!$B782)&gt;$M$3),0,1))</f>
        <v>0</v>
      </c>
      <c r="N1982" s="1" t="n">
        <f aca="false">IF(OR($N$1="",对接源_02物料!$C782="",对接源_02物料!$C782&lt;&gt;$N$1,对接源_02物料!$B782=""),0,IF(OR(N(对接源_02物料!$B782)&lt;$N$2,N(对接源_02物料!$B782)&gt;$N$3),0,1))</f>
        <v>0</v>
      </c>
      <c r="P1982" s="1" t="n">
        <f aca="false">IF(AND($K1982=1,AND(对接源_02物料!$X782="公司筐",N(对接源_02物料!$T782)&lt;&gt;0)),1,0)</f>
        <v>0</v>
      </c>
      <c r="Q1982" s="1" t="n">
        <f aca="false">N(Q1981)+$P1982</f>
        <v>13</v>
      </c>
      <c r="R1982" s="1" t="n">
        <f aca="false">IF(AND($K1982=1,AND(对接源_02物料!$X782="公司筐",N(对接源_02物料!$U782)&lt;&gt;0)),1,0)</f>
        <v>0</v>
      </c>
      <c r="S1982" s="1" t="n">
        <f aca="false">N(S1981)+$R1982</f>
        <v>5</v>
      </c>
      <c r="T1982" s="1" t="n">
        <f aca="false">IF(AND($K1982=1,AND(对接源_02物料!$X782="公司筐",N(对接源_02物料!$V782)&lt;&gt;0)),1,0)</f>
        <v>0</v>
      </c>
      <c r="U1982" s="1" t="n">
        <f aca="false">N(U1981)+$T1982</f>
        <v>28</v>
      </c>
      <c r="V1982" s="1" t="n">
        <f aca="false">IF(AND($L1982=1,AND(对接源_02物料!$X782="自备筐",N(对接源_02物料!$V782)&lt;&gt;0)),1,0)</f>
        <v>0</v>
      </c>
      <c r="W1982" s="1" t="n">
        <f aca="false">N(W1981)+$V1982</f>
        <v>7</v>
      </c>
      <c r="X1982" s="1" t="n">
        <f aca="false">IF(AND($L1982=1,AND(对接源_02物料!$X782="自备筐",N(对接源_02物料!$T782)&lt;&gt;0)),1,0)</f>
        <v>0</v>
      </c>
      <c r="Y1982" s="1" t="n">
        <f aca="false">N(Y1981)+$X1982</f>
        <v>0</v>
      </c>
      <c r="Z1982" s="1" t="n">
        <f aca="false">IF(AND($M1982=1,对接源_02物料!$D782="原料入库"),1,0)</f>
        <v>0</v>
      </c>
      <c r="AA1982" s="1" t="n">
        <f aca="false">N(AA1981)+$Z1982</f>
        <v>30</v>
      </c>
      <c r="AB1982" s="1" t="n">
        <f aca="false">IF(AND($M1982=1,LEFT(对接源_02物料!$D782,4)="原料出库"),1,0)</f>
        <v>0</v>
      </c>
      <c r="AC1982" s="1" t="n">
        <f aca="false">N(AC1981)+$AB1982</f>
        <v>19</v>
      </c>
      <c r="AD1982" s="1" t="n">
        <f aca="false">IF(AND($M1982=1,LEFT(对接源_02物料!$D782,4)="成品出库"),1,0)</f>
        <v>0</v>
      </c>
      <c r="AE1982" s="1" t="n">
        <f aca="false">N(AE1981)+$AD1982</f>
        <v>38</v>
      </c>
      <c r="AF1982" s="1" t="n">
        <f aca="false">IF(AND($N1982=1,AND(LEFT(对接源_02物料!$D782,4)="包装物料",N(对接源_02物料!$K782)&lt;&gt;0)),1,0)</f>
        <v>0</v>
      </c>
      <c r="AG1982" s="1" t="n">
        <f aca="false">N(AG1981)+$AF1982</f>
        <v>6</v>
      </c>
      <c r="AH1982" s="1" t="n">
        <f aca="false">IF(AND($N1982=1,AND(LEFT(对接源_02物料!$D782,3)="周转筐",N(对接源_02物料!$K782)&lt;&gt;0)),1,0)</f>
        <v>0</v>
      </c>
      <c r="AI1982" s="1" t="n">
        <f aca="false">N(AI1981)+$AH1982</f>
        <v>0</v>
      </c>
      <c r="AJ1982" s="1" t="n">
        <v>0</v>
      </c>
      <c r="AK1982" s="1" t="n">
        <f aca="false">N(AK1981)+$AJ1982</f>
        <v>3672</v>
      </c>
    </row>
    <row r="1983" customFormat="false" ht="13.5" hidden="false" customHeight="false" outlineLevel="0" collapsed="false">
      <c r="A1983" s="1" t="str">
        <f aca="false">IF(对接源_02物料!$C783="","",对接源_02物料!$C783)</f>
        <v/>
      </c>
      <c r="B1983" s="1" t="n">
        <f aca="false">IF(A1983="",0,IF(MATCH(A1983,$A$4:$A$2403,0)=ROW()-3,1,0))</f>
        <v>0</v>
      </c>
      <c r="C1983" s="1" t="n">
        <f aca="false">N(C1982)+B1983</f>
        <v>17</v>
      </c>
      <c r="K1983" s="1" t="n">
        <f aca="false">IF(OR($K$1="",对接源_02物料!$C783="",对接源_02物料!$C783&lt;&gt;$K$1,对接源_02物料!$B783=""),0,IF(OR(N(对接源_02物料!$B783)&lt;$K$2,N(对接源_02物料!$B783)&gt;$K$3),0,1))</f>
        <v>0</v>
      </c>
      <c r="L1983" s="1" t="n">
        <f aca="false">IF(OR($L$1="",对接源_02物料!$C783="",对接源_02物料!$C783&lt;&gt;$L$1,对接源_02物料!$B783=""),0,IF(OR(N(对接源_02物料!$B783)&lt;$L$2,N(对接源_02物料!$B783)&gt;$L$3),0,1))</f>
        <v>0</v>
      </c>
      <c r="M1983" s="1" t="n">
        <f aca="false">IF(OR($M$1="",对接源_02物料!$C783="",对接源_02物料!$C783&lt;&gt;$M$1,对接源_02物料!$B783=""),0,IF(OR(N(对接源_02物料!$B783)&lt;$M$2,N(对接源_02物料!$B783)&gt;$M$3),0,1))</f>
        <v>0</v>
      </c>
      <c r="N1983" s="1" t="n">
        <f aca="false">IF(OR($N$1="",对接源_02物料!$C783="",对接源_02物料!$C783&lt;&gt;$N$1,对接源_02物料!$B783=""),0,IF(OR(N(对接源_02物料!$B783)&lt;$N$2,N(对接源_02物料!$B783)&gt;$N$3),0,1))</f>
        <v>0</v>
      </c>
      <c r="P1983" s="1" t="n">
        <f aca="false">IF(AND($K1983=1,AND(对接源_02物料!$X783="公司筐",N(对接源_02物料!$T783)&lt;&gt;0)),1,0)</f>
        <v>0</v>
      </c>
      <c r="Q1983" s="1" t="n">
        <f aca="false">N(Q1982)+$P1983</f>
        <v>13</v>
      </c>
      <c r="R1983" s="1" t="n">
        <f aca="false">IF(AND($K1983=1,AND(对接源_02物料!$X783="公司筐",N(对接源_02物料!$U783)&lt;&gt;0)),1,0)</f>
        <v>0</v>
      </c>
      <c r="S1983" s="1" t="n">
        <f aca="false">N(S1982)+$R1983</f>
        <v>5</v>
      </c>
      <c r="T1983" s="1" t="n">
        <f aca="false">IF(AND($K1983=1,AND(对接源_02物料!$X783="公司筐",N(对接源_02物料!$V783)&lt;&gt;0)),1,0)</f>
        <v>0</v>
      </c>
      <c r="U1983" s="1" t="n">
        <f aca="false">N(U1982)+$T1983</f>
        <v>28</v>
      </c>
      <c r="V1983" s="1" t="n">
        <f aca="false">IF(AND($L1983=1,AND(对接源_02物料!$X783="自备筐",N(对接源_02物料!$V783)&lt;&gt;0)),1,0)</f>
        <v>0</v>
      </c>
      <c r="W1983" s="1" t="n">
        <f aca="false">N(W1982)+$V1983</f>
        <v>7</v>
      </c>
      <c r="X1983" s="1" t="n">
        <f aca="false">IF(AND($L1983=1,AND(对接源_02物料!$X783="自备筐",N(对接源_02物料!$T783)&lt;&gt;0)),1,0)</f>
        <v>0</v>
      </c>
      <c r="Y1983" s="1" t="n">
        <f aca="false">N(Y1982)+$X1983</f>
        <v>0</v>
      </c>
      <c r="Z1983" s="1" t="n">
        <f aca="false">IF(AND($M1983=1,对接源_02物料!$D783="原料入库"),1,0)</f>
        <v>0</v>
      </c>
      <c r="AA1983" s="1" t="n">
        <f aca="false">N(AA1982)+$Z1983</f>
        <v>30</v>
      </c>
      <c r="AB1983" s="1" t="n">
        <f aca="false">IF(AND($M1983=1,LEFT(对接源_02物料!$D783,4)="原料出库"),1,0)</f>
        <v>0</v>
      </c>
      <c r="AC1983" s="1" t="n">
        <f aca="false">N(AC1982)+$AB1983</f>
        <v>19</v>
      </c>
      <c r="AD1983" s="1" t="n">
        <f aca="false">IF(AND($M1983=1,LEFT(对接源_02物料!$D783,4)="成品出库"),1,0)</f>
        <v>0</v>
      </c>
      <c r="AE1983" s="1" t="n">
        <f aca="false">N(AE1982)+$AD1983</f>
        <v>38</v>
      </c>
      <c r="AF1983" s="1" t="n">
        <f aca="false">IF(AND($N1983=1,AND(LEFT(对接源_02物料!$D783,4)="包装物料",N(对接源_02物料!$K783)&lt;&gt;0)),1,0)</f>
        <v>0</v>
      </c>
      <c r="AG1983" s="1" t="n">
        <f aca="false">N(AG1982)+$AF1983</f>
        <v>6</v>
      </c>
      <c r="AH1983" s="1" t="n">
        <f aca="false">IF(AND($N1983=1,AND(LEFT(对接源_02物料!$D783,3)="周转筐",N(对接源_02物料!$K783)&lt;&gt;0)),1,0)</f>
        <v>0</v>
      </c>
      <c r="AI1983" s="1" t="n">
        <f aca="false">N(AI1982)+$AH1983</f>
        <v>0</v>
      </c>
      <c r="AJ1983" s="1" t="n">
        <v>0</v>
      </c>
      <c r="AK1983" s="1" t="n">
        <f aca="false">N(AK1982)+$AJ1983</f>
        <v>3672</v>
      </c>
    </row>
    <row r="1984" customFormat="false" ht="13.5" hidden="false" customHeight="false" outlineLevel="0" collapsed="false">
      <c r="A1984" s="1" t="str">
        <f aca="false">IF(对接源_02物料!$C784="","",对接源_02物料!$C784)</f>
        <v/>
      </c>
      <c r="B1984" s="1" t="n">
        <f aca="false">IF(A1984="",0,IF(MATCH(A1984,$A$4:$A$2403,0)=ROW()-3,1,0))</f>
        <v>0</v>
      </c>
      <c r="C1984" s="1" t="n">
        <f aca="false">N(C1983)+B1984</f>
        <v>17</v>
      </c>
      <c r="K1984" s="1" t="n">
        <f aca="false">IF(OR($K$1="",对接源_02物料!$C784="",对接源_02物料!$C784&lt;&gt;$K$1,对接源_02物料!$B784=""),0,IF(OR(N(对接源_02物料!$B784)&lt;$K$2,N(对接源_02物料!$B784)&gt;$K$3),0,1))</f>
        <v>0</v>
      </c>
      <c r="L1984" s="1" t="n">
        <f aca="false">IF(OR($L$1="",对接源_02物料!$C784="",对接源_02物料!$C784&lt;&gt;$L$1,对接源_02物料!$B784=""),0,IF(OR(N(对接源_02物料!$B784)&lt;$L$2,N(对接源_02物料!$B784)&gt;$L$3),0,1))</f>
        <v>0</v>
      </c>
      <c r="M1984" s="1" t="n">
        <f aca="false">IF(OR($M$1="",对接源_02物料!$C784="",对接源_02物料!$C784&lt;&gt;$M$1,对接源_02物料!$B784=""),0,IF(OR(N(对接源_02物料!$B784)&lt;$M$2,N(对接源_02物料!$B784)&gt;$M$3),0,1))</f>
        <v>0</v>
      </c>
      <c r="N1984" s="1" t="n">
        <f aca="false">IF(OR($N$1="",对接源_02物料!$C784="",对接源_02物料!$C784&lt;&gt;$N$1,对接源_02物料!$B784=""),0,IF(OR(N(对接源_02物料!$B784)&lt;$N$2,N(对接源_02物料!$B784)&gt;$N$3),0,1))</f>
        <v>0</v>
      </c>
      <c r="P1984" s="1" t="n">
        <f aca="false">IF(AND($K1984=1,AND(对接源_02物料!$X784="公司筐",N(对接源_02物料!$T784)&lt;&gt;0)),1,0)</f>
        <v>0</v>
      </c>
      <c r="Q1984" s="1" t="n">
        <f aca="false">N(Q1983)+$P1984</f>
        <v>13</v>
      </c>
      <c r="R1984" s="1" t="n">
        <f aca="false">IF(AND($K1984=1,AND(对接源_02物料!$X784="公司筐",N(对接源_02物料!$U784)&lt;&gt;0)),1,0)</f>
        <v>0</v>
      </c>
      <c r="S1984" s="1" t="n">
        <f aca="false">N(S1983)+$R1984</f>
        <v>5</v>
      </c>
      <c r="T1984" s="1" t="n">
        <f aca="false">IF(AND($K1984=1,AND(对接源_02物料!$X784="公司筐",N(对接源_02物料!$V784)&lt;&gt;0)),1,0)</f>
        <v>0</v>
      </c>
      <c r="U1984" s="1" t="n">
        <f aca="false">N(U1983)+$T1984</f>
        <v>28</v>
      </c>
      <c r="V1984" s="1" t="n">
        <f aca="false">IF(AND($L1984=1,AND(对接源_02物料!$X784="自备筐",N(对接源_02物料!$V784)&lt;&gt;0)),1,0)</f>
        <v>0</v>
      </c>
      <c r="W1984" s="1" t="n">
        <f aca="false">N(W1983)+$V1984</f>
        <v>7</v>
      </c>
      <c r="X1984" s="1" t="n">
        <f aca="false">IF(AND($L1984=1,AND(对接源_02物料!$X784="自备筐",N(对接源_02物料!$T784)&lt;&gt;0)),1,0)</f>
        <v>0</v>
      </c>
      <c r="Y1984" s="1" t="n">
        <f aca="false">N(Y1983)+$X1984</f>
        <v>0</v>
      </c>
      <c r="Z1984" s="1" t="n">
        <f aca="false">IF(AND($M1984=1,对接源_02物料!$D784="原料入库"),1,0)</f>
        <v>0</v>
      </c>
      <c r="AA1984" s="1" t="n">
        <f aca="false">N(AA1983)+$Z1984</f>
        <v>30</v>
      </c>
      <c r="AB1984" s="1" t="n">
        <f aca="false">IF(AND($M1984=1,LEFT(对接源_02物料!$D784,4)="原料出库"),1,0)</f>
        <v>0</v>
      </c>
      <c r="AC1984" s="1" t="n">
        <f aca="false">N(AC1983)+$AB1984</f>
        <v>19</v>
      </c>
      <c r="AD1984" s="1" t="n">
        <f aca="false">IF(AND($M1984=1,LEFT(对接源_02物料!$D784,4)="成品出库"),1,0)</f>
        <v>0</v>
      </c>
      <c r="AE1984" s="1" t="n">
        <f aca="false">N(AE1983)+$AD1984</f>
        <v>38</v>
      </c>
      <c r="AF1984" s="1" t="n">
        <f aca="false">IF(AND($N1984=1,AND(LEFT(对接源_02物料!$D784,4)="包装物料",N(对接源_02物料!$K784)&lt;&gt;0)),1,0)</f>
        <v>0</v>
      </c>
      <c r="AG1984" s="1" t="n">
        <f aca="false">N(AG1983)+$AF1984</f>
        <v>6</v>
      </c>
      <c r="AH1984" s="1" t="n">
        <f aca="false">IF(AND($N1984=1,AND(LEFT(对接源_02物料!$D784,3)="周转筐",N(对接源_02物料!$K784)&lt;&gt;0)),1,0)</f>
        <v>0</v>
      </c>
      <c r="AI1984" s="1" t="n">
        <f aca="false">N(AI1983)+$AH1984</f>
        <v>0</v>
      </c>
      <c r="AJ1984" s="1" t="n">
        <v>0</v>
      </c>
      <c r="AK1984" s="1" t="n">
        <f aca="false">N(AK1983)+$AJ1984</f>
        <v>3672</v>
      </c>
    </row>
    <row r="1985" customFormat="false" ht="13.5" hidden="false" customHeight="false" outlineLevel="0" collapsed="false">
      <c r="A1985" s="1" t="str">
        <f aca="false">IF(对接源_02物料!$C785="","",对接源_02物料!$C785)</f>
        <v/>
      </c>
      <c r="B1985" s="1" t="n">
        <f aca="false">IF(A1985="",0,IF(MATCH(A1985,$A$4:$A$2403,0)=ROW()-3,1,0))</f>
        <v>0</v>
      </c>
      <c r="C1985" s="1" t="n">
        <f aca="false">N(C1984)+B1985</f>
        <v>17</v>
      </c>
      <c r="K1985" s="1" t="n">
        <f aca="false">IF(OR($K$1="",对接源_02物料!$C785="",对接源_02物料!$C785&lt;&gt;$K$1,对接源_02物料!$B785=""),0,IF(OR(N(对接源_02物料!$B785)&lt;$K$2,N(对接源_02物料!$B785)&gt;$K$3),0,1))</f>
        <v>0</v>
      </c>
      <c r="L1985" s="1" t="n">
        <f aca="false">IF(OR($L$1="",对接源_02物料!$C785="",对接源_02物料!$C785&lt;&gt;$L$1,对接源_02物料!$B785=""),0,IF(OR(N(对接源_02物料!$B785)&lt;$L$2,N(对接源_02物料!$B785)&gt;$L$3),0,1))</f>
        <v>0</v>
      </c>
      <c r="M1985" s="1" t="n">
        <f aca="false">IF(OR($M$1="",对接源_02物料!$C785="",对接源_02物料!$C785&lt;&gt;$M$1,对接源_02物料!$B785=""),0,IF(OR(N(对接源_02物料!$B785)&lt;$M$2,N(对接源_02物料!$B785)&gt;$M$3),0,1))</f>
        <v>0</v>
      </c>
      <c r="N1985" s="1" t="n">
        <f aca="false">IF(OR($N$1="",对接源_02物料!$C785="",对接源_02物料!$C785&lt;&gt;$N$1,对接源_02物料!$B785=""),0,IF(OR(N(对接源_02物料!$B785)&lt;$N$2,N(对接源_02物料!$B785)&gt;$N$3),0,1))</f>
        <v>0</v>
      </c>
      <c r="P1985" s="1" t="n">
        <f aca="false">IF(AND($K1985=1,AND(对接源_02物料!$X785="公司筐",N(对接源_02物料!$T785)&lt;&gt;0)),1,0)</f>
        <v>0</v>
      </c>
      <c r="Q1985" s="1" t="n">
        <f aca="false">N(Q1984)+$P1985</f>
        <v>13</v>
      </c>
      <c r="R1985" s="1" t="n">
        <f aca="false">IF(AND($K1985=1,AND(对接源_02物料!$X785="公司筐",N(对接源_02物料!$U785)&lt;&gt;0)),1,0)</f>
        <v>0</v>
      </c>
      <c r="S1985" s="1" t="n">
        <f aca="false">N(S1984)+$R1985</f>
        <v>5</v>
      </c>
      <c r="T1985" s="1" t="n">
        <f aca="false">IF(AND($K1985=1,AND(对接源_02物料!$X785="公司筐",N(对接源_02物料!$V785)&lt;&gt;0)),1,0)</f>
        <v>0</v>
      </c>
      <c r="U1985" s="1" t="n">
        <f aca="false">N(U1984)+$T1985</f>
        <v>28</v>
      </c>
      <c r="V1985" s="1" t="n">
        <f aca="false">IF(AND($L1985=1,AND(对接源_02物料!$X785="自备筐",N(对接源_02物料!$V785)&lt;&gt;0)),1,0)</f>
        <v>0</v>
      </c>
      <c r="W1985" s="1" t="n">
        <f aca="false">N(W1984)+$V1985</f>
        <v>7</v>
      </c>
      <c r="X1985" s="1" t="n">
        <f aca="false">IF(AND($L1985=1,AND(对接源_02物料!$X785="自备筐",N(对接源_02物料!$T785)&lt;&gt;0)),1,0)</f>
        <v>0</v>
      </c>
      <c r="Y1985" s="1" t="n">
        <f aca="false">N(Y1984)+$X1985</f>
        <v>0</v>
      </c>
      <c r="Z1985" s="1" t="n">
        <f aca="false">IF(AND($M1985=1,对接源_02物料!$D785="原料入库"),1,0)</f>
        <v>0</v>
      </c>
      <c r="AA1985" s="1" t="n">
        <f aca="false">N(AA1984)+$Z1985</f>
        <v>30</v>
      </c>
      <c r="AB1985" s="1" t="n">
        <f aca="false">IF(AND($M1985=1,LEFT(对接源_02物料!$D785,4)="原料出库"),1,0)</f>
        <v>0</v>
      </c>
      <c r="AC1985" s="1" t="n">
        <f aca="false">N(AC1984)+$AB1985</f>
        <v>19</v>
      </c>
      <c r="AD1985" s="1" t="n">
        <f aca="false">IF(AND($M1985=1,LEFT(对接源_02物料!$D785,4)="成品出库"),1,0)</f>
        <v>0</v>
      </c>
      <c r="AE1985" s="1" t="n">
        <f aca="false">N(AE1984)+$AD1985</f>
        <v>38</v>
      </c>
      <c r="AF1985" s="1" t="n">
        <f aca="false">IF(AND($N1985=1,AND(LEFT(对接源_02物料!$D785,4)="包装物料",N(对接源_02物料!$K785)&lt;&gt;0)),1,0)</f>
        <v>0</v>
      </c>
      <c r="AG1985" s="1" t="n">
        <f aca="false">N(AG1984)+$AF1985</f>
        <v>6</v>
      </c>
      <c r="AH1985" s="1" t="n">
        <f aca="false">IF(AND($N1985=1,AND(LEFT(对接源_02物料!$D785,3)="周转筐",N(对接源_02物料!$K785)&lt;&gt;0)),1,0)</f>
        <v>0</v>
      </c>
      <c r="AI1985" s="1" t="n">
        <f aca="false">N(AI1984)+$AH1985</f>
        <v>0</v>
      </c>
      <c r="AJ1985" s="1" t="n">
        <v>0</v>
      </c>
      <c r="AK1985" s="1" t="n">
        <f aca="false">N(AK1984)+$AJ1985</f>
        <v>3672</v>
      </c>
    </row>
    <row r="1986" customFormat="false" ht="13.5" hidden="false" customHeight="false" outlineLevel="0" collapsed="false">
      <c r="A1986" s="1" t="str">
        <f aca="false">IF(对接源_02物料!$C786="","",对接源_02物料!$C786)</f>
        <v/>
      </c>
      <c r="B1986" s="1" t="n">
        <f aca="false">IF(A1986="",0,IF(MATCH(A1986,$A$4:$A$2403,0)=ROW()-3,1,0))</f>
        <v>0</v>
      </c>
      <c r="C1986" s="1" t="n">
        <f aca="false">N(C1985)+B1986</f>
        <v>17</v>
      </c>
      <c r="K1986" s="1" t="n">
        <f aca="false">IF(OR($K$1="",对接源_02物料!$C786="",对接源_02物料!$C786&lt;&gt;$K$1,对接源_02物料!$B786=""),0,IF(OR(N(对接源_02物料!$B786)&lt;$K$2,N(对接源_02物料!$B786)&gt;$K$3),0,1))</f>
        <v>0</v>
      </c>
      <c r="L1986" s="1" t="n">
        <f aca="false">IF(OR($L$1="",对接源_02物料!$C786="",对接源_02物料!$C786&lt;&gt;$L$1,对接源_02物料!$B786=""),0,IF(OR(N(对接源_02物料!$B786)&lt;$L$2,N(对接源_02物料!$B786)&gt;$L$3),0,1))</f>
        <v>0</v>
      </c>
      <c r="M1986" s="1" t="n">
        <f aca="false">IF(OR($M$1="",对接源_02物料!$C786="",对接源_02物料!$C786&lt;&gt;$M$1,对接源_02物料!$B786=""),0,IF(OR(N(对接源_02物料!$B786)&lt;$M$2,N(对接源_02物料!$B786)&gt;$M$3),0,1))</f>
        <v>0</v>
      </c>
      <c r="N1986" s="1" t="n">
        <f aca="false">IF(OR($N$1="",对接源_02物料!$C786="",对接源_02物料!$C786&lt;&gt;$N$1,对接源_02物料!$B786=""),0,IF(OR(N(对接源_02物料!$B786)&lt;$N$2,N(对接源_02物料!$B786)&gt;$N$3),0,1))</f>
        <v>0</v>
      </c>
      <c r="P1986" s="1" t="n">
        <f aca="false">IF(AND($K1986=1,AND(对接源_02物料!$X786="公司筐",N(对接源_02物料!$T786)&lt;&gt;0)),1,0)</f>
        <v>0</v>
      </c>
      <c r="Q1986" s="1" t="n">
        <f aca="false">N(Q1985)+$P1986</f>
        <v>13</v>
      </c>
      <c r="R1986" s="1" t="n">
        <f aca="false">IF(AND($K1986=1,AND(对接源_02物料!$X786="公司筐",N(对接源_02物料!$U786)&lt;&gt;0)),1,0)</f>
        <v>0</v>
      </c>
      <c r="S1986" s="1" t="n">
        <f aca="false">N(S1985)+$R1986</f>
        <v>5</v>
      </c>
      <c r="T1986" s="1" t="n">
        <f aca="false">IF(AND($K1986=1,AND(对接源_02物料!$X786="公司筐",N(对接源_02物料!$V786)&lt;&gt;0)),1,0)</f>
        <v>0</v>
      </c>
      <c r="U1986" s="1" t="n">
        <f aca="false">N(U1985)+$T1986</f>
        <v>28</v>
      </c>
      <c r="V1986" s="1" t="n">
        <f aca="false">IF(AND($L1986=1,AND(对接源_02物料!$X786="自备筐",N(对接源_02物料!$V786)&lt;&gt;0)),1,0)</f>
        <v>0</v>
      </c>
      <c r="W1986" s="1" t="n">
        <f aca="false">N(W1985)+$V1986</f>
        <v>7</v>
      </c>
      <c r="X1986" s="1" t="n">
        <f aca="false">IF(AND($L1986=1,AND(对接源_02物料!$X786="自备筐",N(对接源_02物料!$T786)&lt;&gt;0)),1,0)</f>
        <v>0</v>
      </c>
      <c r="Y1986" s="1" t="n">
        <f aca="false">N(Y1985)+$X1986</f>
        <v>0</v>
      </c>
      <c r="Z1986" s="1" t="n">
        <f aca="false">IF(AND($M1986=1,对接源_02物料!$D786="原料入库"),1,0)</f>
        <v>0</v>
      </c>
      <c r="AA1986" s="1" t="n">
        <f aca="false">N(AA1985)+$Z1986</f>
        <v>30</v>
      </c>
      <c r="AB1986" s="1" t="n">
        <f aca="false">IF(AND($M1986=1,LEFT(对接源_02物料!$D786,4)="原料出库"),1,0)</f>
        <v>0</v>
      </c>
      <c r="AC1986" s="1" t="n">
        <f aca="false">N(AC1985)+$AB1986</f>
        <v>19</v>
      </c>
      <c r="AD1986" s="1" t="n">
        <f aca="false">IF(AND($M1986=1,LEFT(对接源_02物料!$D786,4)="成品出库"),1,0)</f>
        <v>0</v>
      </c>
      <c r="AE1986" s="1" t="n">
        <f aca="false">N(AE1985)+$AD1986</f>
        <v>38</v>
      </c>
      <c r="AF1986" s="1" t="n">
        <f aca="false">IF(AND($N1986=1,AND(LEFT(对接源_02物料!$D786,4)="包装物料",N(对接源_02物料!$K786)&lt;&gt;0)),1,0)</f>
        <v>0</v>
      </c>
      <c r="AG1986" s="1" t="n">
        <f aca="false">N(AG1985)+$AF1986</f>
        <v>6</v>
      </c>
      <c r="AH1986" s="1" t="n">
        <f aca="false">IF(AND($N1986=1,AND(LEFT(对接源_02物料!$D786,3)="周转筐",N(对接源_02物料!$K786)&lt;&gt;0)),1,0)</f>
        <v>0</v>
      </c>
      <c r="AI1986" s="1" t="n">
        <f aca="false">N(AI1985)+$AH1986</f>
        <v>0</v>
      </c>
      <c r="AJ1986" s="1" t="n">
        <v>0</v>
      </c>
      <c r="AK1986" s="1" t="n">
        <f aca="false">N(AK1985)+$AJ1986</f>
        <v>3672</v>
      </c>
    </row>
    <row r="1987" customFormat="false" ht="13.5" hidden="false" customHeight="false" outlineLevel="0" collapsed="false">
      <c r="A1987" s="1" t="str">
        <f aca="false">IF(对接源_02物料!$C787="","",对接源_02物料!$C787)</f>
        <v/>
      </c>
      <c r="B1987" s="1" t="n">
        <f aca="false">IF(A1987="",0,IF(MATCH(A1987,$A$4:$A$2403,0)=ROW()-3,1,0))</f>
        <v>0</v>
      </c>
      <c r="C1987" s="1" t="n">
        <f aca="false">N(C1986)+B1987</f>
        <v>17</v>
      </c>
      <c r="K1987" s="1" t="n">
        <f aca="false">IF(OR($K$1="",对接源_02物料!$C787="",对接源_02物料!$C787&lt;&gt;$K$1,对接源_02物料!$B787=""),0,IF(OR(N(对接源_02物料!$B787)&lt;$K$2,N(对接源_02物料!$B787)&gt;$K$3),0,1))</f>
        <v>0</v>
      </c>
      <c r="L1987" s="1" t="n">
        <f aca="false">IF(OR($L$1="",对接源_02物料!$C787="",对接源_02物料!$C787&lt;&gt;$L$1,对接源_02物料!$B787=""),0,IF(OR(N(对接源_02物料!$B787)&lt;$L$2,N(对接源_02物料!$B787)&gt;$L$3),0,1))</f>
        <v>0</v>
      </c>
      <c r="M1987" s="1" t="n">
        <f aca="false">IF(OR($M$1="",对接源_02物料!$C787="",对接源_02物料!$C787&lt;&gt;$M$1,对接源_02物料!$B787=""),0,IF(OR(N(对接源_02物料!$B787)&lt;$M$2,N(对接源_02物料!$B787)&gt;$M$3),0,1))</f>
        <v>0</v>
      </c>
      <c r="N1987" s="1" t="n">
        <f aca="false">IF(OR($N$1="",对接源_02物料!$C787="",对接源_02物料!$C787&lt;&gt;$N$1,对接源_02物料!$B787=""),0,IF(OR(N(对接源_02物料!$B787)&lt;$N$2,N(对接源_02物料!$B787)&gt;$N$3),0,1))</f>
        <v>0</v>
      </c>
      <c r="P1987" s="1" t="n">
        <f aca="false">IF(AND($K1987=1,AND(对接源_02物料!$X787="公司筐",N(对接源_02物料!$T787)&lt;&gt;0)),1,0)</f>
        <v>0</v>
      </c>
      <c r="Q1987" s="1" t="n">
        <f aca="false">N(Q1986)+$P1987</f>
        <v>13</v>
      </c>
      <c r="R1987" s="1" t="n">
        <f aca="false">IF(AND($K1987=1,AND(对接源_02物料!$X787="公司筐",N(对接源_02物料!$U787)&lt;&gt;0)),1,0)</f>
        <v>0</v>
      </c>
      <c r="S1987" s="1" t="n">
        <f aca="false">N(S1986)+$R1987</f>
        <v>5</v>
      </c>
      <c r="T1987" s="1" t="n">
        <f aca="false">IF(AND($K1987=1,AND(对接源_02物料!$X787="公司筐",N(对接源_02物料!$V787)&lt;&gt;0)),1,0)</f>
        <v>0</v>
      </c>
      <c r="U1987" s="1" t="n">
        <f aca="false">N(U1986)+$T1987</f>
        <v>28</v>
      </c>
      <c r="V1987" s="1" t="n">
        <f aca="false">IF(AND($L1987=1,AND(对接源_02物料!$X787="自备筐",N(对接源_02物料!$V787)&lt;&gt;0)),1,0)</f>
        <v>0</v>
      </c>
      <c r="W1987" s="1" t="n">
        <f aca="false">N(W1986)+$V1987</f>
        <v>7</v>
      </c>
      <c r="X1987" s="1" t="n">
        <f aca="false">IF(AND($L1987=1,AND(对接源_02物料!$X787="自备筐",N(对接源_02物料!$T787)&lt;&gt;0)),1,0)</f>
        <v>0</v>
      </c>
      <c r="Y1987" s="1" t="n">
        <f aca="false">N(Y1986)+$X1987</f>
        <v>0</v>
      </c>
      <c r="Z1987" s="1" t="n">
        <f aca="false">IF(AND($M1987=1,对接源_02物料!$D787="原料入库"),1,0)</f>
        <v>0</v>
      </c>
      <c r="AA1987" s="1" t="n">
        <f aca="false">N(AA1986)+$Z1987</f>
        <v>30</v>
      </c>
      <c r="AB1987" s="1" t="n">
        <f aca="false">IF(AND($M1987=1,LEFT(对接源_02物料!$D787,4)="原料出库"),1,0)</f>
        <v>0</v>
      </c>
      <c r="AC1987" s="1" t="n">
        <f aca="false">N(AC1986)+$AB1987</f>
        <v>19</v>
      </c>
      <c r="AD1987" s="1" t="n">
        <f aca="false">IF(AND($M1987=1,LEFT(对接源_02物料!$D787,4)="成品出库"),1,0)</f>
        <v>0</v>
      </c>
      <c r="AE1987" s="1" t="n">
        <f aca="false">N(AE1986)+$AD1987</f>
        <v>38</v>
      </c>
      <c r="AF1987" s="1" t="n">
        <f aca="false">IF(AND($N1987=1,AND(LEFT(对接源_02物料!$D787,4)="包装物料",N(对接源_02物料!$K787)&lt;&gt;0)),1,0)</f>
        <v>0</v>
      </c>
      <c r="AG1987" s="1" t="n">
        <f aca="false">N(AG1986)+$AF1987</f>
        <v>6</v>
      </c>
      <c r="AH1987" s="1" t="n">
        <f aca="false">IF(AND($N1987=1,AND(LEFT(对接源_02物料!$D787,3)="周转筐",N(对接源_02物料!$K787)&lt;&gt;0)),1,0)</f>
        <v>0</v>
      </c>
      <c r="AI1987" s="1" t="n">
        <f aca="false">N(AI1986)+$AH1987</f>
        <v>0</v>
      </c>
      <c r="AJ1987" s="1" t="n">
        <v>0</v>
      </c>
      <c r="AK1987" s="1" t="n">
        <f aca="false">N(AK1986)+$AJ1987</f>
        <v>3672</v>
      </c>
    </row>
    <row r="1988" customFormat="false" ht="13.5" hidden="false" customHeight="false" outlineLevel="0" collapsed="false">
      <c r="A1988" s="1" t="str">
        <f aca="false">IF(对接源_02物料!$C788="","",对接源_02物料!$C788)</f>
        <v/>
      </c>
      <c r="B1988" s="1" t="n">
        <f aca="false">IF(A1988="",0,IF(MATCH(A1988,$A$4:$A$2403,0)=ROW()-3,1,0))</f>
        <v>0</v>
      </c>
      <c r="C1988" s="1" t="n">
        <f aca="false">N(C1987)+B1988</f>
        <v>17</v>
      </c>
      <c r="K1988" s="1" t="n">
        <f aca="false">IF(OR($K$1="",对接源_02物料!$C788="",对接源_02物料!$C788&lt;&gt;$K$1,对接源_02物料!$B788=""),0,IF(OR(N(对接源_02物料!$B788)&lt;$K$2,N(对接源_02物料!$B788)&gt;$K$3),0,1))</f>
        <v>0</v>
      </c>
      <c r="L1988" s="1" t="n">
        <f aca="false">IF(OR($L$1="",对接源_02物料!$C788="",对接源_02物料!$C788&lt;&gt;$L$1,对接源_02物料!$B788=""),0,IF(OR(N(对接源_02物料!$B788)&lt;$L$2,N(对接源_02物料!$B788)&gt;$L$3),0,1))</f>
        <v>0</v>
      </c>
      <c r="M1988" s="1" t="n">
        <f aca="false">IF(OR($M$1="",对接源_02物料!$C788="",对接源_02物料!$C788&lt;&gt;$M$1,对接源_02物料!$B788=""),0,IF(OR(N(对接源_02物料!$B788)&lt;$M$2,N(对接源_02物料!$B788)&gt;$M$3),0,1))</f>
        <v>0</v>
      </c>
      <c r="N1988" s="1" t="n">
        <f aca="false">IF(OR($N$1="",对接源_02物料!$C788="",对接源_02物料!$C788&lt;&gt;$N$1,对接源_02物料!$B788=""),0,IF(OR(N(对接源_02物料!$B788)&lt;$N$2,N(对接源_02物料!$B788)&gt;$N$3),0,1))</f>
        <v>0</v>
      </c>
      <c r="P1988" s="1" t="n">
        <f aca="false">IF(AND($K1988=1,AND(对接源_02物料!$X788="公司筐",N(对接源_02物料!$T788)&lt;&gt;0)),1,0)</f>
        <v>0</v>
      </c>
      <c r="Q1988" s="1" t="n">
        <f aca="false">N(Q1987)+$P1988</f>
        <v>13</v>
      </c>
      <c r="R1988" s="1" t="n">
        <f aca="false">IF(AND($K1988=1,AND(对接源_02物料!$X788="公司筐",N(对接源_02物料!$U788)&lt;&gt;0)),1,0)</f>
        <v>0</v>
      </c>
      <c r="S1988" s="1" t="n">
        <f aca="false">N(S1987)+$R1988</f>
        <v>5</v>
      </c>
      <c r="T1988" s="1" t="n">
        <f aca="false">IF(AND($K1988=1,AND(对接源_02物料!$X788="公司筐",N(对接源_02物料!$V788)&lt;&gt;0)),1,0)</f>
        <v>0</v>
      </c>
      <c r="U1988" s="1" t="n">
        <f aca="false">N(U1987)+$T1988</f>
        <v>28</v>
      </c>
      <c r="V1988" s="1" t="n">
        <f aca="false">IF(AND($L1988=1,AND(对接源_02物料!$X788="自备筐",N(对接源_02物料!$V788)&lt;&gt;0)),1,0)</f>
        <v>0</v>
      </c>
      <c r="W1988" s="1" t="n">
        <f aca="false">N(W1987)+$V1988</f>
        <v>7</v>
      </c>
      <c r="X1988" s="1" t="n">
        <f aca="false">IF(AND($L1988=1,AND(对接源_02物料!$X788="自备筐",N(对接源_02物料!$T788)&lt;&gt;0)),1,0)</f>
        <v>0</v>
      </c>
      <c r="Y1988" s="1" t="n">
        <f aca="false">N(Y1987)+$X1988</f>
        <v>0</v>
      </c>
      <c r="Z1988" s="1" t="n">
        <f aca="false">IF(AND($M1988=1,对接源_02物料!$D788="原料入库"),1,0)</f>
        <v>0</v>
      </c>
      <c r="AA1988" s="1" t="n">
        <f aca="false">N(AA1987)+$Z1988</f>
        <v>30</v>
      </c>
      <c r="AB1988" s="1" t="n">
        <f aca="false">IF(AND($M1988=1,LEFT(对接源_02物料!$D788,4)="原料出库"),1,0)</f>
        <v>0</v>
      </c>
      <c r="AC1988" s="1" t="n">
        <f aca="false">N(AC1987)+$AB1988</f>
        <v>19</v>
      </c>
      <c r="AD1988" s="1" t="n">
        <f aca="false">IF(AND($M1988=1,LEFT(对接源_02物料!$D788,4)="成品出库"),1,0)</f>
        <v>0</v>
      </c>
      <c r="AE1988" s="1" t="n">
        <f aca="false">N(AE1987)+$AD1988</f>
        <v>38</v>
      </c>
      <c r="AF1988" s="1" t="n">
        <f aca="false">IF(AND($N1988=1,AND(LEFT(对接源_02物料!$D788,4)="包装物料",N(对接源_02物料!$K788)&lt;&gt;0)),1,0)</f>
        <v>0</v>
      </c>
      <c r="AG1988" s="1" t="n">
        <f aca="false">N(AG1987)+$AF1988</f>
        <v>6</v>
      </c>
      <c r="AH1988" s="1" t="n">
        <f aca="false">IF(AND($N1988=1,AND(LEFT(对接源_02物料!$D788,3)="周转筐",N(对接源_02物料!$K788)&lt;&gt;0)),1,0)</f>
        <v>0</v>
      </c>
      <c r="AI1988" s="1" t="n">
        <f aca="false">N(AI1987)+$AH1988</f>
        <v>0</v>
      </c>
      <c r="AJ1988" s="1" t="n">
        <v>0</v>
      </c>
      <c r="AK1988" s="1" t="n">
        <f aca="false">N(AK1987)+$AJ1988</f>
        <v>3672</v>
      </c>
    </row>
    <row r="1989" customFormat="false" ht="13.5" hidden="false" customHeight="false" outlineLevel="0" collapsed="false">
      <c r="A1989" s="1" t="str">
        <f aca="false">IF(对接源_02物料!$C789="","",对接源_02物料!$C789)</f>
        <v/>
      </c>
      <c r="B1989" s="1" t="n">
        <f aca="false">IF(A1989="",0,IF(MATCH(A1989,$A$4:$A$2403,0)=ROW()-3,1,0))</f>
        <v>0</v>
      </c>
      <c r="C1989" s="1" t="n">
        <f aca="false">N(C1988)+B1989</f>
        <v>17</v>
      </c>
      <c r="K1989" s="1" t="n">
        <f aca="false">IF(OR($K$1="",对接源_02物料!$C789="",对接源_02物料!$C789&lt;&gt;$K$1,对接源_02物料!$B789=""),0,IF(OR(N(对接源_02物料!$B789)&lt;$K$2,N(对接源_02物料!$B789)&gt;$K$3),0,1))</f>
        <v>0</v>
      </c>
      <c r="L1989" s="1" t="n">
        <f aca="false">IF(OR($L$1="",对接源_02物料!$C789="",对接源_02物料!$C789&lt;&gt;$L$1,对接源_02物料!$B789=""),0,IF(OR(N(对接源_02物料!$B789)&lt;$L$2,N(对接源_02物料!$B789)&gt;$L$3),0,1))</f>
        <v>0</v>
      </c>
      <c r="M1989" s="1" t="n">
        <f aca="false">IF(OR($M$1="",对接源_02物料!$C789="",对接源_02物料!$C789&lt;&gt;$M$1,对接源_02物料!$B789=""),0,IF(OR(N(对接源_02物料!$B789)&lt;$M$2,N(对接源_02物料!$B789)&gt;$M$3),0,1))</f>
        <v>0</v>
      </c>
      <c r="N1989" s="1" t="n">
        <f aca="false">IF(OR($N$1="",对接源_02物料!$C789="",对接源_02物料!$C789&lt;&gt;$N$1,对接源_02物料!$B789=""),0,IF(OR(N(对接源_02物料!$B789)&lt;$N$2,N(对接源_02物料!$B789)&gt;$N$3),0,1))</f>
        <v>0</v>
      </c>
      <c r="P1989" s="1" t="n">
        <f aca="false">IF(AND($K1989=1,AND(对接源_02物料!$X789="公司筐",N(对接源_02物料!$T789)&lt;&gt;0)),1,0)</f>
        <v>0</v>
      </c>
      <c r="Q1989" s="1" t="n">
        <f aca="false">N(Q1988)+$P1989</f>
        <v>13</v>
      </c>
      <c r="R1989" s="1" t="n">
        <f aca="false">IF(AND($K1989=1,AND(对接源_02物料!$X789="公司筐",N(对接源_02物料!$U789)&lt;&gt;0)),1,0)</f>
        <v>0</v>
      </c>
      <c r="S1989" s="1" t="n">
        <f aca="false">N(S1988)+$R1989</f>
        <v>5</v>
      </c>
      <c r="T1989" s="1" t="n">
        <f aca="false">IF(AND($K1989=1,AND(对接源_02物料!$X789="公司筐",N(对接源_02物料!$V789)&lt;&gt;0)),1,0)</f>
        <v>0</v>
      </c>
      <c r="U1989" s="1" t="n">
        <f aca="false">N(U1988)+$T1989</f>
        <v>28</v>
      </c>
      <c r="V1989" s="1" t="n">
        <f aca="false">IF(AND($L1989=1,AND(对接源_02物料!$X789="自备筐",N(对接源_02物料!$V789)&lt;&gt;0)),1,0)</f>
        <v>0</v>
      </c>
      <c r="W1989" s="1" t="n">
        <f aca="false">N(W1988)+$V1989</f>
        <v>7</v>
      </c>
      <c r="X1989" s="1" t="n">
        <f aca="false">IF(AND($L1989=1,AND(对接源_02物料!$X789="自备筐",N(对接源_02物料!$T789)&lt;&gt;0)),1,0)</f>
        <v>0</v>
      </c>
      <c r="Y1989" s="1" t="n">
        <f aca="false">N(Y1988)+$X1989</f>
        <v>0</v>
      </c>
      <c r="Z1989" s="1" t="n">
        <f aca="false">IF(AND($M1989=1,对接源_02物料!$D789="原料入库"),1,0)</f>
        <v>0</v>
      </c>
      <c r="AA1989" s="1" t="n">
        <f aca="false">N(AA1988)+$Z1989</f>
        <v>30</v>
      </c>
      <c r="AB1989" s="1" t="n">
        <f aca="false">IF(AND($M1989=1,LEFT(对接源_02物料!$D789,4)="原料出库"),1,0)</f>
        <v>0</v>
      </c>
      <c r="AC1989" s="1" t="n">
        <f aca="false">N(AC1988)+$AB1989</f>
        <v>19</v>
      </c>
      <c r="AD1989" s="1" t="n">
        <f aca="false">IF(AND($M1989=1,LEFT(对接源_02物料!$D789,4)="成品出库"),1,0)</f>
        <v>0</v>
      </c>
      <c r="AE1989" s="1" t="n">
        <f aca="false">N(AE1988)+$AD1989</f>
        <v>38</v>
      </c>
      <c r="AF1989" s="1" t="n">
        <f aca="false">IF(AND($N1989=1,AND(LEFT(对接源_02物料!$D789,4)="包装物料",N(对接源_02物料!$K789)&lt;&gt;0)),1,0)</f>
        <v>0</v>
      </c>
      <c r="AG1989" s="1" t="n">
        <f aca="false">N(AG1988)+$AF1989</f>
        <v>6</v>
      </c>
      <c r="AH1989" s="1" t="n">
        <f aca="false">IF(AND($N1989=1,AND(LEFT(对接源_02物料!$D789,3)="周转筐",N(对接源_02物料!$K789)&lt;&gt;0)),1,0)</f>
        <v>0</v>
      </c>
      <c r="AI1989" s="1" t="n">
        <f aca="false">N(AI1988)+$AH1989</f>
        <v>0</v>
      </c>
      <c r="AJ1989" s="1" t="n">
        <v>0</v>
      </c>
      <c r="AK1989" s="1" t="n">
        <f aca="false">N(AK1988)+$AJ1989</f>
        <v>3672</v>
      </c>
    </row>
    <row r="1990" customFormat="false" ht="13.5" hidden="false" customHeight="false" outlineLevel="0" collapsed="false">
      <c r="A1990" s="1" t="str">
        <f aca="false">IF(对接源_02物料!$C790="","",对接源_02物料!$C790)</f>
        <v/>
      </c>
      <c r="B1990" s="1" t="n">
        <f aca="false">IF(A1990="",0,IF(MATCH(A1990,$A$4:$A$2403,0)=ROW()-3,1,0))</f>
        <v>0</v>
      </c>
      <c r="C1990" s="1" t="n">
        <f aca="false">N(C1989)+B1990</f>
        <v>17</v>
      </c>
      <c r="K1990" s="1" t="n">
        <f aca="false">IF(OR($K$1="",对接源_02物料!$C790="",对接源_02物料!$C790&lt;&gt;$K$1,对接源_02物料!$B790=""),0,IF(OR(N(对接源_02物料!$B790)&lt;$K$2,N(对接源_02物料!$B790)&gt;$K$3),0,1))</f>
        <v>0</v>
      </c>
      <c r="L1990" s="1" t="n">
        <f aca="false">IF(OR($L$1="",对接源_02物料!$C790="",对接源_02物料!$C790&lt;&gt;$L$1,对接源_02物料!$B790=""),0,IF(OR(N(对接源_02物料!$B790)&lt;$L$2,N(对接源_02物料!$B790)&gt;$L$3),0,1))</f>
        <v>0</v>
      </c>
      <c r="M1990" s="1" t="n">
        <f aca="false">IF(OR($M$1="",对接源_02物料!$C790="",对接源_02物料!$C790&lt;&gt;$M$1,对接源_02物料!$B790=""),0,IF(OR(N(对接源_02物料!$B790)&lt;$M$2,N(对接源_02物料!$B790)&gt;$M$3),0,1))</f>
        <v>0</v>
      </c>
      <c r="N1990" s="1" t="n">
        <f aca="false">IF(OR($N$1="",对接源_02物料!$C790="",对接源_02物料!$C790&lt;&gt;$N$1,对接源_02物料!$B790=""),0,IF(OR(N(对接源_02物料!$B790)&lt;$N$2,N(对接源_02物料!$B790)&gt;$N$3),0,1))</f>
        <v>0</v>
      </c>
      <c r="P1990" s="1" t="n">
        <f aca="false">IF(AND($K1990=1,AND(对接源_02物料!$X790="公司筐",N(对接源_02物料!$T790)&lt;&gt;0)),1,0)</f>
        <v>0</v>
      </c>
      <c r="Q1990" s="1" t="n">
        <f aca="false">N(Q1989)+$P1990</f>
        <v>13</v>
      </c>
      <c r="R1990" s="1" t="n">
        <f aca="false">IF(AND($K1990=1,AND(对接源_02物料!$X790="公司筐",N(对接源_02物料!$U790)&lt;&gt;0)),1,0)</f>
        <v>0</v>
      </c>
      <c r="S1990" s="1" t="n">
        <f aca="false">N(S1989)+$R1990</f>
        <v>5</v>
      </c>
      <c r="T1990" s="1" t="n">
        <f aca="false">IF(AND($K1990=1,AND(对接源_02物料!$X790="公司筐",N(对接源_02物料!$V790)&lt;&gt;0)),1,0)</f>
        <v>0</v>
      </c>
      <c r="U1990" s="1" t="n">
        <f aca="false">N(U1989)+$T1990</f>
        <v>28</v>
      </c>
      <c r="V1990" s="1" t="n">
        <f aca="false">IF(AND($L1990=1,AND(对接源_02物料!$X790="自备筐",N(对接源_02物料!$V790)&lt;&gt;0)),1,0)</f>
        <v>0</v>
      </c>
      <c r="W1990" s="1" t="n">
        <f aca="false">N(W1989)+$V1990</f>
        <v>7</v>
      </c>
      <c r="X1990" s="1" t="n">
        <f aca="false">IF(AND($L1990=1,AND(对接源_02物料!$X790="自备筐",N(对接源_02物料!$T790)&lt;&gt;0)),1,0)</f>
        <v>0</v>
      </c>
      <c r="Y1990" s="1" t="n">
        <f aca="false">N(Y1989)+$X1990</f>
        <v>0</v>
      </c>
      <c r="Z1990" s="1" t="n">
        <f aca="false">IF(AND($M1990=1,对接源_02物料!$D790="原料入库"),1,0)</f>
        <v>0</v>
      </c>
      <c r="AA1990" s="1" t="n">
        <f aca="false">N(AA1989)+$Z1990</f>
        <v>30</v>
      </c>
      <c r="AB1990" s="1" t="n">
        <f aca="false">IF(AND($M1990=1,LEFT(对接源_02物料!$D790,4)="原料出库"),1,0)</f>
        <v>0</v>
      </c>
      <c r="AC1990" s="1" t="n">
        <f aca="false">N(AC1989)+$AB1990</f>
        <v>19</v>
      </c>
      <c r="AD1990" s="1" t="n">
        <f aca="false">IF(AND($M1990=1,LEFT(对接源_02物料!$D790,4)="成品出库"),1,0)</f>
        <v>0</v>
      </c>
      <c r="AE1990" s="1" t="n">
        <f aca="false">N(AE1989)+$AD1990</f>
        <v>38</v>
      </c>
      <c r="AF1990" s="1" t="n">
        <f aca="false">IF(AND($N1990=1,AND(LEFT(对接源_02物料!$D790,4)="包装物料",N(对接源_02物料!$K790)&lt;&gt;0)),1,0)</f>
        <v>0</v>
      </c>
      <c r="AG1990" s="1" t="n">
        <f aca="false">N(AG1989)+$AF1990</f>
        <v>6</v>
      </c>
      <c r="AH1990" s="1" t="n">
        <f aca="false">IF(AND($N1990=1,AND(LEFT(对接源_02物料!$D790,3)="周转筐",N(对接源_02物料!$K790)&lt;&gt;0)),1,0)</f>
        <v>0</v>
      </c>
      <c r="AI1990" s="1" t="n">
        <f aca="false">N(AI1989)+$AH1990</f>
        <v>0</v>
      </c>
      <c r="AJ1990" s="1" t="n">
        <v>0</v>
      </c>
      <c r="AK1990" s="1" t="n">
        <f aca="false">N(AK1989)+$AJ1990</f>
        <v>3672</v>
      </c>
    </row>
    <row r="1991" customFormat="false" ht="13.5" hidden="false" customHeight="false" outlineLevel="0" collapsed="false">
      <c r="A1991" s="1" t="str">
        <f aca="false">IF(对接源_02物料!$C791="","",对接源_02物料!$C791)</f>
        <v/>
      </c>
      <c r="B1991" s="1" t="n">
        <f aca="false">IF(A1991="",0,IF(MATCH(A1991,$A$4:$A$2403,0)=ROW()-3,1,0))</f>
        <v>0</v>
      </c>
      <c r="C1991" s="1" t="n">
        <f aca="false">N(C1990)+B1991</f>
        <v>17</v>
      </c>
      <c r="K1991" s="1" t="n">
        <f aca="false">IF(OR($K$1="",对接源_02物料!$C791="",对接源_02物料!$C791&lt;&gt;$K$1,对接源_02物料!$B791=""),0,IF(OR(N(对接源_02物料!$B791)&lt;$K$2,N(对接源_02物料!$B791)&gt;$K$3),0,1))</f>
        <v>0</v>
      </c>
      <c r="L1991" s="1" t="n">
        <f aca="false">IF(OR($L$1="",对接源_02物料!$C791="",对接源_02物料!$C791&lt;&gt;$L$1,对接源_02物料!$B791=""),0,IF(OR(N(对接源_02物料!$B791)&lt;$L$2,N(对接源_02物料!$B791)&gt;$L$3),0,1))</f>
        <v>0</v>
      </c>
      <c r="M1991" s="1" t="n">
        <f aca="false">IF(OR($M$1="",对接源_02物料!$C791="",对接源_02物料!$C791&lt;&gt;$M$1,对接源_02物料!$B791=""),0,IF(OR(N(对接源_02物料!$B791)&lt;$M$2,N(对接源_02物料!$B791)&gt;$M$3),0,1))</f>
        <v>0</v>
      </c>
      <c r="N1991" s="1" t="n">
        <f aca="false">IF(OR($N$1="",对接源_02物料!$C791="",对接源_02物料!$C791&lt;&gt;$N$1,对接源_02物料!$B791=""),0,IF(OR(N(对接源_02物料!$B791)&lt;$N$2,N(对接源_02物料!$B791)&gt;$N$3),0,1))</f>
        <v>0</v>
      </c>
      <c r="P1991" s="1" t="n">
        <f aca="false">IF(AND($K1991=1,AND(对接源_02物料!$X791="公司筐",N(对接源_02物料!$T791)&lt;&gt;0)),1,0)</f>
        <v>0</v>
      </c>
      <c r="Q1991" s="1" t="n">
        <f aca="false">N(Q1990)+$P1991</f>
        <v>13</v>
      </c>
      <c r="R1991" s="1" t="n">
        <f aca="false">IF(AND($K1991=1,AND(对接源_02物料!$X791="公司筐",N(对接源_02物料!$U791)&lt;&gt;0)),1,0)</f>
        <v>0</v>
      </c>
      <c r="S1991" s="1" t="n">
        <f aca="false">N(S1990)+$R1991</f>
        <v>5</v>
      </c>
      <c r="T1991" s="1" t="n">
        <f aca="false">IF(AND($K1991=1,AND(对接源_02物料!$X791="公司筐",N(对接源_02物料!$V791)&lt;&gt;0)),1,0)</f>
        <v>0</v>
      </c>
      <c r="U1991" s="1" t="n">
        <f aca="false">N(U1990)+$T1991</f>
        <v>28</v>
      </c>
      <c r="V1991" s="1" t="n">
        <f aca="false">IF(AND($L1991=1,AND(对接源_02物料!$X791="自备筐",N(对接源_02物料!$V791)&lt;&gt;0)),1,0)</f>
        <v>0</v>
      </c>
      <c r="W1991" s="1" t="n">
        <f aca="false">N(W1990)+$V1991</f>
        <v>7</v>
      </c>
      <c r="X1991" s="1" t="n">
        <f aca="false">IF(AND($L1991=1,AND(对接源_02物料!$X791="自备筐",N(对接源_02物料!$T791)&lt;&gt;0)),1,0)</f>
        <v>0</v>
      </c>
      <c r="Y1991" s="1" t="n">
        <f aca="false">N(Y1990)+$X1991</f>
        <v>0</v>
      </c>
      <c r="Z1991" s="1" t="n">
        <f aca="false">IF(AND($M1991=1,对接源_02物料!$D791="原料入库"),1,0)</f>
        <v>0</v>
      </c>
      <c r="AA1991" s="1" t="n">
        <f aca="false">N(AA1990)+$Z1991</f>
        <v>30</v>
      </c>
      <c r="AB1991" s="1" t="n">
        <f aca="false">IF(AND($M1991=1,LEFT(对接源_02物料!$D791,4)="原料出库"),1,0)</f>
        <v>0</v>
      </c>
      <c r="AC1991" s="1" t="n">
        <f aca="false">N(AC1990)+$AB1991</f>
        <v>19</v>
      </c>
      <c r="AD1991" s="1" t="n">
        <f aca="false">IF(AND($M1991=1,LEFT(对接源_02物料!$D791,4)="成品出库"),1,0)</f>
        <v>0</v>
      </c>
      <c r="AE1991" s="1" t="n">
        <f aca="false">N(AE1990)+$AD1991</f>
        <v>38</v>
      </c>
      <c r="AF1991" s="1" t="n">
        <f aca="false">IF(AND($N1991=1,AND(LEFT(对接源_02物料!$D791,4)="包装物料",N(对接源_02物料!$K791)&lt;&gt;0)),1,0)</f>
        <v>0</v>
      </c>
      <c r="AG1991" s="1" t="n">
        <f aca="false">N(AG1990)+$AF1991</f>
        <v>6</v>
      </c>
      <c r="AH1991" s="1" t="n">
        <f aca="false">IF(AND($N1991=1,AND(LEFT(对接源_02物料!$D791,3)="周转筐",N(对接源_02物料!$K791)&lt;&gt;0)),1,0)</f>
        <v>0</v>
      </c>
      <c r="AI1991" s="1" t="n">
        <f aca="false">N(AI1990)+$AH1991</f>
        <v>0</v>
      </c>
      <c r="AJ1991" s="1" t="n">
        <v>0</v>
      </c>
      <c r="AK1991" s="1" t="n">
        <f aca="false">N(AK1990)+$AJ1991</f>
        <v>3672</v>
      </c>
    </row>
    <row r="1992" customFormat="false" ht="13.5" hidden="false" customHeight="false" outlineLevel="0" collapsed="false">
      <c r="A1992" s="1" t="str">
        <f aca="false">IF(对接源_02物料!$C792="","",对接源_02物料!$C792)</f>
        <v/>
      </c>
      <c r="B1992" s="1" t="n">
        <f aca="false">IF(A1992="",0,IF(MATCH(A1992,$A$4:$A$2403,0)=ROW()-3,1,0))</f>
        <v>0</v>
      </c>
      <c r="C1992" s="1" t="n">
        <f aca="false">N(C1991)+B1992</f>
        <v>17</v>
      </c>
      <c r="K1992" s="1" t="n">
        <f aca="false">IF(OR($K$1="",对接源_02物料!$C792="",对接源_02物料!$C792&lt;&gt;$K$1,对接源_02物料!$B792=""),0,IF(OR(N(对接源_02物料!$B792)&lt;$K$2,N(对接源_02物料!$B792)&gt;$K$3),0,1))</f>
        <v>0</v>
      </c>
      <c r="L1992" s="1" t="n">
        <f aca="false">IF(OR($L$1="",对接源_02物料!$C792="",对接源_02物料!$C792&lt;&gt;$L$1,对接源_02物料!$B792=""),0,IF(OR(N(对接源_02物料!$B792)&lt;$L$2,N(对接源_02物料!$B792)&gt;$L$3),0,1))</f>
        <v>0</v>
      </c>
      <c r="M1992" s="1" t="n">
        <f aca="false">IF(OR($M$1="",对接源_02物料!$C792="",对接源_02物料!$C792&lt;&gt;$M$1,对接源_02物料!$B792=""),0,IF(OR(N(对接源_02物料!$B792)&lt;$M$2,N(对接源_02物料!$B792)&gt;$M$3),0,1))</f>
        <v>0</v>
      </c>
      <c r="N1992" s="1" t="n">
        <f aca="false">IF(OR($N$1="",对接源_02物料!$C792="",对接源_02物料!$C792&lt;&gt;$N$1,对接源_02物料!$B792=""),0,IF(OR(N(对接源_02物料!$B792)&lt;$N$2,N(对接源_02物料!$B792)&gt;$N$3),0,1))</f>
        <v>0</v>
      </c>
      <c r="P1992" s="1" t="n">
        <f aca="false">IF(AND($K1992=1,AND(对接源_02物料!$X792="公司筐",N(对接源_02物料!$T792)&lt;&gt;0)),1,0)</f>
        <v>0</v>
      </c>
      <c r="Q1992" s="1" t="n">
        <f aca="false">N(Q1991)+$P1992</f>
        <v>13</v>
      </c>
      <c r="R1992" s="1" t="n">
        <f aca="false">IF(AND($K1992=1,AND(对接源_02物料!$X792="公司筐",N(对接源_02物料!$U792)&lt;&gt;0)),1,0)</f>
        <v>0</v>
      </c>
      <c r="S1992" s="1" t="n">
        <f aca="false">N(S1991)+$R1992</f>
        <v>5</v>
      </c>
      <c r="T1992" s="1" t="n">
        <f aca="false">IF(AND($K1992=1,AND(对接源_02物料!$X792="公司筐",N(对接源_02物料!$V792)&lt;&gt;0)),1,0)</f>
        <v>0</v>
      </c>
      <c r="U1992" s="1" t="n">
        <f aca="false">N(U1991)+$T1992</f>
        <v>28</v>
      </c>
      <c r="V1992" s="1" t="n">
        <f aca="false">IF(AND($L1992=1,AND(对接源_02物料!$X792="自备筐",N(对接源_02物料!$V792)&lt;&gt;0)),1,0)</f>
        <v>0</v>
      </c>
      <c r="W1992" s="1" t="n">
        <f aca="false">N(W1991)+$V1992</f>
        <v>7</v>
      </c>
      <c r="X1992" s="1" t="n">
        <f aca="false">IF(AND($L1992=1,AND(对接源_02物料!$X792="自备筐",N(对接源_02物料!$T792)&lt;&gt;0)),1,0)</f>
        <v>0</v>
      </c>
      <c r="Y1992" s="1" t="n">
        <f aca="false">N(Y1991)+$X1992</f>
        <v>0</v>
      </c>
      <c r="Z1992" s="1" t="n">
        <f aca="false">IF(AND($M1992=1,对接源_02物料!$D792="原料入库"),1,0)</f>
        <v>0</v>
      </c>
      <c r="AA1992" s="1" t="n">
        <f aca="false">N(AA1991)+$Z1992</f>
        <v>30</v>
      </c>
      <c r="AB1992" s="1" t="n">
        <f aca="false">IF(AND($M1992=1,LEFT(对接源_02物料!$D792,4)="原料出库"),1,0)</f>
        <v>0</v>
      </c>
      <c r="AC1992" s="1" t="n">
        <f aca="false">N(AC1991)+$AB1992</f>
        <v>19</v>
      </c>
      <c r="AD1992" s="1" t="n">
        <f aca="false">IF(AND($M1992=1,LEFT(对接源_02物料!$D792,4)="成品出库"),1,0)</f>
        <v>0</v>
      </c>
      <c r="AE1992" s="1" t="n">
        <f aca="false">N(AE1991)+$AD1992</f>
        <v>38</v>
      </c>
      <c r="AF1992" s="1" t="n">
        <f aca="false">IF(AND($N1992=1,AND(LEFT(对接源_02物料!$D792,4)="包装物料",N(对接源_02物料!$K792)&lt;&gt;0)),1,0)</f>
        <v>0</v>
      </c>
      <c r="AG1992" s="1" t="n">
        <f aca="false">N(AG1991)+$AF1992</f>
        <v>6</v>
      </c>
      <c r="AH1992" s="1" t="n">
        <f aca="false">IF(AND($N1992=1,AND(LEFT(对接源_02物料!$D792,3)="周转筐",N(对接源_02物料!$K792)&lt;&gt;0)),1,0)</f>
        <v>0</v>
      </c>
      <c r="AI1992" s="1" t="n">
        <f aca="false">N(AI1991)+$AH1992</f>
        <v>0</v>
      </c>
      <c r="AJ1992" s="1" t="n">
        <v>0</v>
      </c>
      <c r="AK1992" s="1" t="n">
        <f aca="false">N(AK1991)+$AJ1992</f>
        <v>3672</v>
      </c>
    </row>
    <row r="1993" customFormat="false" ht="13.5" hidden="false" customHeight="false" outlineLevel="0" collapsed="false">
      <c r="A1993" s="1" t="str">
        <f aca="false">IF(对接源_02物料!$C793="","",对接源_02物料!$C793)</f>
        <v/>
      </c>
      <c r="B1993" s="1" t="n">
        <f aca="false">IF(A1993="",0,IF(MATCH(A1993,$A$4:$A$2403,0)=ROW()-3,1,0))</f>
        <v>0</v>
      </c>
      <c r="C1993" s="1" t="n">
        <f aca="false">N(C1992)+B1993</f>
        <v>17</v>
      </c>
      <c r="K1993" s="1" t="n">
        <f aca="false">IF(OR($K$1="",对接源_02物料!$C793="",对接源_02物料!$C793&lt;&gt;$K$1,对接源_02物料!$B793=""),0,IF(OR(N(对接源_02物料!$B793)&lt;$K$2,N(对接源_02物料!$B793)&gt;$K$3),0,1))</f>
        <v>0</v>
      </c>
      <c r="L1993" s="1" t="n">
        <f aca="false">IF(OR($L$1="",对接源_02物料!$C793="",对接源_02物料!$C793&lt;&gt;$L$1,对接源_02物料!$B793=""),0,IF(OR(N(对接源_02物料!$B793)&lt;$L$2,N(对接源_02物料!$B793)&gt;$L$3),0,1))</f>
        <v>0</v>
      </c>
      <c r="M1993" s="1" t="n">
        <f aca="false">IF(OR($M$1="",对接源_02物料!$C793="",对接源_02物料!$C793&lt;&gt;$M$1,对接源_02物料!$B793=""),0,IF(OR(N(对接源_02物料!$B793)&lt;$M$2,N(对接源_02物料!$B793)&gt;$M$3),0,1))</f>
        <v>0</v>
      </c>
      <c r="N1993" s="1" t="n">
        <f aca="false">IF(OR($N$1="",对接源_02物料!$C793="",对接源_02物料!$C793&lt;&gt;$N$1,对接源_02物料!$B793=""),0,IF(OR(N(对接源_02物料!$B793)&lt;$N$2,N(对接源_02物料!$B793)&gt;$N$3),0,1))</f>
        <v>0</v>
      </c>
      <c r="P1993" s="1" t="n">
        <f aca="false">IF(AND($K1993=1,AND(对接源_02物料!$X793="公司筐",N(对接源_02物料!$T793)&lt;&gt;0)),1,0)</f>
        <v>0</v>
      </c>
      <c r="Q1993" s="1" t="n">
        <f aca="false">N(Q1992)+$P1993</f>
        <v>13</v>
      </c>
      <c r="R1993" s="1" t="n">
        <f aca="false">IF(AND($K1993=1,AND(对接源_02物料!$X793="公司筐",N(对接源_02物料!$U793)&lt;&gt;0)),1,0)</f>
        <v>0</v>
      </c>
      <c r="S1993" s="1" t="n">
        <f aca="false">N(S1992)+$R1993</f>
        <v>5</v>
      </c>
      <c r="T1993" s="1" t="n">
        <f aca="false">IF(AND($K1993=1,AND(对接源_02物料!$X793="公司筐",N(对接源_02物料!$V793)&lt;&gt;0)),1,0)</f>
        <v>0</v>
      </c>
      <c r="U1993" s="1" t="n">
        <f aca="false">N(U1992)+$T1993</f>
        <v>28</v>
      </c>
      <c r="V1993" s="1" t="n">
        <f aca="false">IF(AND($L1993=1,AND(对接源_02物料!$X793="自备筐",N(对接源_02物料!$V793)&lt;&gt;0)),1,0)</f>
        <v>0</v>
      </c>
      <c r="W1993" s="1" t="n">
        <f aca="false">N(W1992)+$V1993</f>
        <v>7</v>
      </c>
      <c r="X1993" s="1" t="n">
        <f aca="false">IF(AND($L1993=1,AND(对接源_02物料!$X793="自备筐",N(对接源_02物料!$T793)&lt;&gt;0)),1,0)</f>
        <v>0</v>
      </c>
      <c r="Y1993" s="1" t="n">
        <f aca="false">N(Y1992)+$X1993</f>
        <v>0</v>
      </c>
      <c r="Z1993" s="1" t="n">
        <f aca="false">IF(AND($M1993=1,对接源_02物料!$D793="原料入库"),1,0)</f>
        <v>0</v>
      </c>
      <c r="AA1993" s="1" t="n">
        <f aca="false">N(AA1992)+$Z1993</f>
        <v>30</v>
      </c>
      <c r="AB1993" s="1" t="n">
        <f aca="false">IF(AND($M1993=1,LEFT(对接源_02物料!$D793,4)="原料出库"),1,0)</f>
        <v>0</v>
      </c>
      <c r="AC1993" s="1" t="n">
        <f aca="false">N(AC1992)+$AB1993</f>
        <v>19</v>
      </c>
      <c r="AD1993" s="1" t="n">
        <f aca="false">IF(AND($M1993=1,LEFT(对接源_02物料!$D793,4)="成品出库"),1,0)</f>
        <v>0</v>
      </c>
      <c r="AE1993" s="1" t="n">
        <f aca="false">N(AE1992)+$AD1993</f>
        <v>38</v>
      </c>
      <c r="AF1993" s="1" t="n">
        <f aca="false">IF(AND($N1993=1,AND(LEFT(对接源_02物料!$D793,4)="包装物料",N(对接源_02物料!$K793)&lt;&gt;0)),1,0)</f>
        <v>0</v>
      </c>
      <c r="AG1993" s="1" t="n">
        <f aca="false">N(AG1992)+$AF1993</f>
        <v>6</v>
      </c>
      <c r="AH1993" s="1" t="n">
        <f aca="false">IF(AND($N1993=1,AND(LEFT(对接源_02物料!$D793,3)="周转筐",N(对接源_02物料!$K793)&lt;&gt;0)),1,0)</f>
        <v>0</v>
      </c>
      <c r="AI1993" s="1" t="n">
        <f aca="false">N(AI1992)+$AH1993</f>
        <v>0</v>
      </c>
      <c r="AJ1993" s="1" t="n">
        <v>0</v>
      </c>
      <c r="AK1993" s="1" t="n">
        <f aca="false">N(AK1992)+$AJ1993</f>
        <v>3672</v>
      </c>
    </row>
    <row r="1994" customFormat="false" ht="13.5" hidden="false" customHeight="false" outlineLevel="0" collapsed="false">
      <c r="A1994" s="1" t="str">
        <f aca="false">IF(对接源_02物料!$C794="","",对接源_02物料!$C794)</f>
        <v/>
      </c>
      <c r="B1994" s="1" t="n">
        <f aca="false">IF(A1994="",0,IF(MATCH(A1994,$A$4:$A$2403,0)=ROW()-3,1,0))</f>
        <v>0</v>
      </c>
      <c r="C1994" s="1" t="n">
        <f aca="false">N(C1993)+B1994</f>
        <v>17</v>
      </c>
      <c r="K1994" s="1" t="n">
        <f aca="false">IF(OR($K$1="",对接源_02物料!$C794="",对接源_02物料!$C794&lt;&gt;$K$1,对接源_02物料!$B794=""),0,IF(OR(N(对接源_02物料!$B794)&lt;$K$2,N(对接源_02物料!$B794)&gt;$K$3),0,1))</f>
        <v>0</v>
      </c>
      <c r="L1994" s="1" t="n">
        <f aca="false">IF(OR($L$1="",对接源_02物料!$C794="",对接源_02物料!$C794&lt;&gt;$L$1,对接源_02物料!$B794=""),0,IF(OR(N(对接源_02物料!$B794)&lt;$L$2,N(对接源_02物料!$B794)&gt;$L$3),0,1))</f>
        <v>0</v>
      </c>
      <c r="M1994" s="1" t="n">
        <f aca="false">IF(OR($M$1="",对接源_02物料!$C794="",对接源_02物料!$C794&lt;&gt;$M$1,对接源_02物料!$B794=""),0,IF(OR(N(对接源_02物料!$B794)&lt;$M$2,N(对接源_02物料!$B794)&gt;$M$3),0,1))</f>
        <v>0</v>
      </c>
      <c r="N1994" s="1" t="n">
        <f aca="false">IF(OR($N$1="",对接源_02物料!$C794="",对接源_02物料!$C794&lt;&gt;$N$1,对接源_02物料!$B794=""),0,IF(OR(N(对接源_02物料!$B794)&lt;$N$2,N(对接源_02物料!$B794)&gt;$N$3),0,1))</f>
        <v>0</v>
      </c>
      <c r="P1994" s="1" t="n">
        <f aca="false">IF(AND($K1994=1,AND(对接源_02物料!$X794="公司筐",N(对接源_02物料!$T794)&lt;&gt;0)),1,0)</f>
        <v>0</v>
      </c>
      <c r="Q1994" s="1" t="n">
        <f aca="false">N(Q1993)+$P1994</f>
        <v>13</v>
      </c>
      <c r="R1994" s="1" t="n">
        <f aca="false">IF(AND($K1994=1,AND(对接源_02物料!$X794="公司筐",N(对接源_02物料!$U794)&lt;&gt;0)),1,0)</f>
        <v>0</v>
      </c>
      <c r="S1994" s="1" t="n">
        <f aca="false">N(S1993)+$R1994</f>
        <v>5</v>
      </c>
      <c r="T1994" s="1" t="n">
        <f aca="false">IF(AND($K1994=1,AND(对接源_02物料!$X794="公司筐",N(对接源_02物料!$V794)&lt;&gt;0)),1,0)</f>
        <v>0</v>
      </c>
      <c r="U1994" s="1" t="n">
        <f aca="false">N(U1993)+$T1994</f>
        <v>28</v>
      </c>
      <c r="V1994" s="1" t="n">
        <f aca="false">IF(AND($L1994=1,AND(对接源_02物料!$X794="自备筐",N(对接源_02物料!$V794)&lt;&gt;0)),1,0)</f>
        <v>0</v>
      </c>
      <c r="W1994" s="1" t="n">
        <f aca="false">N(W1993)+$V1994</f>
        <v>7</v>
      </c>
      <c r="X1994" s="1" t="n">
        <f aca="false">IF(AND($L1994=1,AND(对接源_02物料!$X794="自备筐",N(对接源_02物料!$T794)&lt;&gt;0)),1,0)</f>
        <v>0</v>
      </c>
      <c r="Y1994" s="1" t="n">
        <f aca="false">N(Y1993)+$X1994</f>
        <v>0</v>
      </c>
      <c r="Z1994" s="1" t="n">
        <f aca="false">IF(AND($M1994=1,对接源_02物料!$D794="原料入库"),1,0)</f>
        <v>0</v>
      </c>
      <c r="AA1994" s="1" t="n">
        <f aca="false">N(AA1993)+$Z1994</f>
        <v>30</v>
      </c>
      <c r="AB1994" s="1" t="n">
        <f aca="false">IF(AND($M1994=1,LEFT(对接源_02物料!$D794,4)="原料出库"),1,0)</f>
        <v>0</v>
      </c>
      <c r="AC1994" s="1" t="n">
        <f aca="false">N(AC1993)+$AB1994</f>
        <v>19</v>
      </c>
      <c r="AD1994" s="1" t="n">
        <f aca="false">IF(AND($M1994=1,LEFT(对接源_02物料!$D794,4)="成品出库"),1,0)</f>
        <v>0</v>
      </c>
      <c r="AE1994" s="1" t="n">
        <f aca="false">N(AE1993)+$AD1994</f>
        <v>38</v>
      </c>
      <c r="AF1994" s="1" t="n">
        <f aca="false">IF(AND($N1994=1,AND(LEFT(对接源_02物料!$D794,4)="包装物料",N(对接源_02物料!$K794)&lt;&gt;0)),1,0)</f>
        <v>0</v>
      </c>
      <c r="AG1994" s="1" t="n">
        <f aca="false">N(AG1993)+$AF1994</f>
        <v>6</v>
      </c>
      <c r="AH1994" s="1" t="n">
        <f aca="false">IF(AND($N1994=1,AND(LEFT(对接源_02物料!$D794,3)="周转筐",N(对接源_02物料!$K794)&lt;&gt;0)),1,0)</f>
        <v>0</v>
      </c>
      <c r="AI1994" s="1" t="n">
        <f aca="false">N(AI1993)+$AH1994</f>
        <v>0</v>
      </c>
      <c r="AJ1994" s="1" t="n">
        <v>0</v>
      </c>
      <c r="AK1994" s="1" t="n">
        <f aca="false">N(AK1993)+$AJ1994</f>
        <v>3672</v>
      </c>
    </row>
    <row r="1995" customFormat="false" ht="13.5" hidden="false" customHeight="false" outlineLevel="0" collapsed="false">
      <c r="A1995" s="1" t="str">
        <f aca="false">IF(对接源_02物料!$C795="","",对接源_02物料!$C795)</f>
        <v/>
      </c>
      <c r="B1995" s="1" t="n">
        <f aca="false">IF(A1995="",0,IF(MATCH(A1995,$A$4:$A$2403,0)=ROW()-3,1,0))</f>
        <v>0</v>
      </c>
      <c r="C1995" s="1" t="n">
        <f aca="false">N(C1994)+B1995</f>
        <v>17</v>
      </c>
      <c r="K1995" s="1" t="n">
        <f aca="false">IF(OR($K$1="",对接源_02物料!$C795="",对接源_02物料!$C795&lt;&gt;$K$1,对接源_02物料!$B795=""),0,IF(OR(N(对接源_02物料!$B795)&lt;$K$2,N(对接源_02物料!$B795)&gt;$K$3),0,1))</f>
        <v>0</v>
      </c>
      <c r="L1995" s="1" t="n">
        <f aca="false">IF(OR($L$1="",对接源_02物料!$C795="",对接源_02物料!$C795&lt;&gt;$L$1,对接源_02物料!$B795=""),0,IF(OR(N(对接源_02物料!$B795)&lt;$L$2,N(对接源_02物料!$B795)&gt;$L$3),0,1))</f>
        <v>0</v>
      </c>
      <c r="M1995" s="1" t="n">
        <f aca="false">IF(OR($M$1="",对接源_02物料!$C795="",对接源_02物料!$C795&lt;&gt;$M$1,对接源_02物料!$B795=""),0,IF(OR(N(对接源_02物料!$B795)&lt;$M$2,N(对接源_02物料!$B795)&gt;$M$3),0,1))</f>
        <v>0</v>
      </c>
      <c r="N1995" s="1" t="n">
        <f aca="false">IF(OR($N$1="",对接源_02物料!$C795="",对接源_02物料!$C795&lt;&gt;$N$1,对接源_02物料!$B795=""),0,IF(OR(N(对接源_02物料!$B795)&lt;$N$2,N(对接源_02物料!$B795)&gt;$N$3),0,1))</f>
        <v>0</v>
      </c>
      <c r="P1995" s="1" t="n">
        <f aca="false">IF(AND($K1995=1,AND(对接源_02物料!$X795="公司筐",N(对接源_02物料!$T795)&lt;&gt;0)),1,0)</f>
        <v>0</v>
      </c>
      <c r="Q1995" s="1" t="n">
        <f aca="false">N(Q1994)+$P1995</f>
        <v>13</v>
      </c>
      <c r="R1995" s="1" t="n">
        <f aca="false">IF(AND($K1995=1,AND(对接源_02物料!$X795="公司筐",N(对接源_02物料!$U795)&lt;&gt;0)),1,0)</f>
        <v>0</v>
      </c>
      <c r="S1995" s="1" t="n">
        <f aca="false">N(S1994)+$R1995</f>
        <v>5</v>
      </c>
      <c r="T1995" s="1" t="n">
        <f aca="false">IF(AND($K1995=1,AND(对接源_02物料!$X795="公司筐",N(对接源_02物料!$V795)&lt;&gt;0)),1,0)</f>
        <v>0</v>
      </c>
      <c r="U1995" s="1" t="n">
        <f aca="false">N(U1994)+$T1995</f>
        <v>28</v>
      </c>
      <c r="V1995" s="1" t="n">
        <f aca="false">IF(AND($L1995=1,AND(对接源_02物料!$X795="自备筐",N(对接源_02物料!$V795)&lt;&gt;0)),1,0)</f>
        <v>0</v>
      </c>
      <c r="W1995" s="1" t="n">
        <f aca="false">N(W1994)+$V1995</f>
        <v>7</v>
      </c>
      <c r="X1995" s="1" t="n">
        <f aca="false">IF(AND($L1995=1,AND(对接源_02物料!$X795="自备筐",N(对接源_02物料!$T795)&lt;&gt;0)),1,0)</f>
        <v>0</v>
      </c>
      <c r="Y1995" s="1" t="n">
        <f aca="false">N(Y1994)+$X1995</f>
        <v>0</v>
      </c>
      <c r="Z1995" s="1" t="n">
        <f aca="false">IF(AND($M1995=1,对接源_02物料!$D795="原料入库"),1,0)</f>
        <v>0</v>
      </c>
      <c r="AA1995" s="1" t="n">
        <f aca="false">N(AA1994)+$Z1995</f>
        <v>30</v>
      </c>
      <c r="AB1995" s="1" t="n">
        <f aca="false">IF(AND($M1995=1,LEFT(对接源_02物料!$D795,4)="原料出库"),1,0)</f>
        <v>0</v>
      </c>
      <c r="AC1995" s="1" t="n">
        <f aca="false">N(AC1994)+$AB1995</f>
        <v>19</v>
      </c>
      <c r="AD1995" s="1" t="n">
        <f aca="false">IF(AND($M1995=1,LEFT(对接源_02物料!$D795,4)="成品出库"),1,0)</f>
        <v>0</v>
      </c>
      <c r="AE1995" s="1" t="n">
        <f aca="false">N(AE1994)+$AD1995</f>
        <v>38</v>
      </c>
      <c r="AF1995" s="1" t="n">
        <f aca="false">IF(AND($N1995=1,AND(LEFT(对接源_02物料!$D795,4)="包装物料",N(对接源_02物料!$K795)&lt;&gt;0)),1,0)</f>
        <v>0</v>
      </c>
      <c r="AG1995" s="1" t="n">
        <f aca="false">N(AG1994)+$AF1995</f>
        <v>6</v>
      </c>
      <c r="AH1995" s="1" t="n">
        <f aca="false">IF(AND($N1995=1,AND(LEFT(对接源_02物料!$D795,3)="周转筐",N(对接源_02物料!$K795)&lt;&gt;0)),1,0)</f>
        <v>0</v>
      </c>
      <c r="AI1995" s="1" t="n">
        <f aca="false">N(AI1994)+$AH1995</f>
        <v>0</v>
      </c>
      <c r="AJ1995" s="1" t="n">
        <v>0</v>
      </c>
      <c r="AK1995" s="1" t="n">
        <f aca="false">N(AK1994)+$AJ1995</f>
        <v>3672</v>
      </c>
    </row>
    <row r="1996" customFormat="false" ht="13.5" hidden="false" customHeight="false" outlineLevel="0" collapsed="false">
      <c r="A1996" s="1" t="str">
        <f aca="false">IF(对接源_02物料!$C796="","",对接源_02物料!$C796)</f>
        <v/>
      </c>
      <c r="B1996" s="1" t="n">
        <f aca="false">IF(A1996="",0,IF(MATCH(A1996,$A$4:$A$2403,0)=ROW()-3,1,0))</f>
        <v>0</v>
      </c>
      <c r="C1996" s="1" t="n">
        <f aca="false">N(C1995)+B1996</f>
        <v>17</v>
      </c>
      <c r="K1996" s="1" t="n">
        <f aca="false">IF(OR($K$1="",对接源_02物料!$C796="",对接源_02物料!$C796&lt;&gt;$K$1,对接源_02物料!$B796=""),0,IF(OR(N(对接源_02物料!$B796)&lt;$K$2,N(对接源_02物料!$B796)&gt;$K$3),0,1))</f>
        <v>0</v>
      </c>
      <c r="L1996" s="1" t="n">
        <f aca="false">IF(OR($L$1="",对接源_02物料!$C796="",对接源_02物料!$C796&lt;&gt;$L$1,对接源_02物料!$B796=""),0,IF(OR(N(对接源_02物料!$B796)&lt;$L$2,N(对接源_02物料!$B796)&gt;$L$3),0,1))</f>
        <v>0</v>
      </c>
      <c r="M1996" s="1" t="n">
        <f aca="false">IF(OR($M$1="",对接源_02物料!$C796="",对接源_02物料!$C796&lt;&gt;$M$1,对接源_02物料!$B796=""),0,IF(OR(N(对接源_02物料!$B796)&lt;$M$2,N(对接源_02物料!$B796)&gt;$M$3),0,1))</f>
        <v>0</v>
      </c>
      <c r="N1996" s="1" t="n">
        <f aca="false">IF(OR($N$1="",对接源_02物料!$C796="",对接源_02物料!$C796&lt;&gt;$N$1,对接源_02物料!$B796=""),0,IF(OR(N(对接源_02物料!$B796)&lt;$N$2,N(对接源_02物料!$B796)&gt;$N$3),0,1))</f>
        <v>0</v>
      </c>
      <c r="P1996" s="1" t="n">
        <f aca="false">IF(AND($K1996=1,AND(对接源_02物料!$X796="公司筐",N(对接源_02物料!$T796)&lt;&gt;0)),1,0)</f>
        <v>0</v>
      </c>
      <c r="Q1996" s="1" t="n">
        <f aca="false">N(Q1995)+$P1996</f>
        <v>13</v>
      </c>
      <c r="R1996" s="1" t="n">
        <f aca="false">IF(AND($K1996=1,AND(对接源_02物料!$X796="公司筐",N(对接源_02物料!$U796)&lt;&gt;0)),1,0)</f>
        <v>0</v>
      </c>
      <c r="S1996" s="1" t="n">
        <f aca="false">N(S1995)+$R1996</f>
        <v>5</v>
      </c>
      <c r="T1996" s="1" t="n">
        <f aca="false">IF(AND($K1996=1,AND(对接源_02物料!$X796="公司筐",N(对接源_02物料!$V796)&lt;&gt;0)),1,0)</f>
        <v>0</v>
      </c>
      <c r="U1996" s="1" t="n">
        <f aca="false">N(U1995)+$T1996</f>
        <v>28</v>
      </c>
      <c r="V1996" s="1" t="n">
        <f aca="false">IF(AND($L1996=1,AND(对接源_02物料!$X796="自备筐",N(对接源_02物料!$V796)&lt;&gt;0)),1,0)</f>
        <v>0</v>
      </c>
      <c r="W1996" s="1" t="n">
        <f aca="false">N(W1995)+$V1996</f>
        <v>7</v>
      </c>
      <c r="X1996" s="1" t="n">
        <f aca="false">IF(AND($L1996=1,AND(对接源_02物料!$X796="自备筐",N(对接源_02物料!$T796)&lt;&gt;0)),1,0)</f>
        <v>0</v>
      </c>
      <c r="Y1996" s="1" t="n">
        <f aca="false">N(Y1995)+$X1996</f>
        <v>0</v>
      </c>
      <c r="Z1996" s="1" t="n">
        <f aca="false">IF(AND($M1996=1,对接源_02物料!$D796="原料入库"),1,0)</f>
        <v>0</v>
      </c>
      <c r="AA1996" s="1" t="n">
        <f aca="false">N(AA1995)+$Z1996</f>
        <v>30</v>
      </c>
      <c r="AB1996" s="1" t="n">
        <f aca="false">IF(AND($M1996=1,LEFT(对接源_02物料!$D796,4)="原料出库"),1,0)</f>
        <v>0</v>
      </c>
      <c r="AC1996" s="1" t="n">
        <f aca="false">N(AC1995)+$AB1996</f>
        <v>19</v>
      </c>
      <c r="AD1996" s="1" t="n">
        <f aca="false">IF(AND($M1996=1,LEFT(对接源_02物料!$D796,4)="成品出库"),1,0)</f>
        <v>0</v>
      </c>
      <c r="AE1996" s="1" t="n">
        <f aca="false">N(AE1995)+$AD1996</f>
        <v>38</v>
      </c>
      <c r="AF1996" s="1" t="n">
        <f aca="false">IF(AND($N1996=1,AND(LEFT(对接源_02物料!$D796,4)="包装物料",N(对接源_02物料!$K796)&lt;&gt;0)),1,0)</f>
        <v>0</v>
      </c>
      <c r="AG1996" s="1" t="n">
        <f aca="false">N(AG1995)+$AF1996</f>
        <v>6</v>
      </c>
      <c r="AH1996" s="1" t="n">
        <f aca="false">IF(AND($N1996=1,AND(LEFT(对接源_02物料!$D796,3)="周转筐",N(对接源_02物料!$K796)&lt;&gt;0)),1,0)</f>
        <v>0</v>
      </c>
      <c r="AI1996" s="1" t="n">
        <f aca="false">N(AI1995)+$AH1996</f>
        <v>0</v>
      </c>
      <c r="AJ1996" s="1" t="n">
        <v>0</v>
      </c>
      <c r="AK1996" s="1" t="n">
        <f aca="false">N(AK1995)+$AJ1996</f>
        <v>3672</v>
      </c>
    </row>
    <row r="1997" customFormat="false" ht="13.5" hidden="false" customHeight="false" outlineLevel="0" collapsed="false">
      <c r="A1997" s="1" t="str">
        <f aca="false">IF(对接源_02物料!$C797="","",对接源_02物料!$C797)</f>
        <v/>
      </c>
      <c r="B1997" s="1" t="n">
        <f aca="false">IF(A1997="",0,IF(MATCH(A1997,$A$4:$A$2403,0)=ROW()-3,1,0))</f>
        <v>0</v>
      </c>
      <c r="C1997" s="1" t="n">
        <f aca="false">N(C1996)+B1997</f>
        <v>17</v>
      </c>
      <c r="K1997" s="1" t="n">
        <f aca="false">IF(OR($K$1="",对接源_02物料!$C797="",对接源_02物料!$C797&lt;&gt;$K$1,对接源_02物料!$B797=""),0,IF(OR(N(对接源_02物料!$B797)&lt;$K$2,N(对接源_02物料!$B797)&gt;$K$3),0,1))</f>
        <v>0</v>
      </c>
      <c r="L1997" s="1" t="n">
        <f aca="false">IF(OR($L$1="",对接源_02物料!$C797="",对接源_02物料!$C797&lt;&gt;$L$1,对接源_02物料!$B797=""),0,IF(OR(N(对接源_02物料!$B797)&lt;$L$2,N(对接源_02物料!$B797)&gt;$L$3),0,1))</f>
        <v>0</v>
      </c>
      <c r="M1997" s="1" t="n">
        <f aca="false">IF(OR($M$1="",对接源_02物料!$C797="",对接源_02物料!$C797&lt;&gt;$M$1,对接源_02物料!$B797=""),0,IF(OR(N(对接源_02物料!$B797)&lt;$M$2,N(对接源_02物料!$B797)&gt;$M$3),0,1))</f>
        <v>0</v>
      </c>
      <c r="N1997" s="1" t="n">
        <f aca="false">IF(OR($N$1="",对接源_02物料!$C797="",对接源_02物料!$C797&lt;&gt;$N$1,对接源_02物料!$B797=""),0,IF(OR(N(对接源_02物料!$B797)&lt;$N$2,N(对接源_02物料!$B797)&gt;$N$3),0,1))</f>
        <v>0</v>
      </c>
      <c r="P1997" s="1" t="n">
        <f aca="false">IF(AND($K1997=1,AND(对接源_02物料!$X797="公司筐",N(对接源_02物料!$T797)&lt;&gt;0)),1,0)</f>
        <v>0</v>
      </c>
      <c r="Q1997" s="1" t="n">
        <f aca="false">N(Q1996)+$P1997</f>
        <v>13</v>
      </c>
      <c r="R1997" s="1" t="n">
        <f aca="false">IF(AND($K1997=1,AND(对接源_02物料!$X797="公司筐",N(对接源_02物料!$U797)&lt;&gt;0)),1,0)</f>
        <v>0</v>
      </c>
      <c r="S1997" s="1" t="n">
        <f aca="false">N(S1996)+$R1997</f>
        <v>5</v>
      </c>
      <c r="T1997" s="1" t="n">
        <f aca="false">IF(AND($K1997=1,AND(对接源_02物料!$X797="公司筐",N(对接源_02物料!$V797)&lt;&gt;0)),1,0)</f>
        <v>0</v>
      </c>
      <c r="U1997" s="1" t="n">
        <f aca="false">N(U1996)+$T1997</f>
        <v>28</v>
      </c>
      <c r="V1997" s="1" t="n">
        <f aca="false">IF(AND($L1997=1,AND(对接源_02物料!$X797="自备筐",N(对接源_02物料!$V797)&lt;&gt;0)),1,0)</f>
        <v>0</v>
      </c>
      <c r="W1997" s="1" t="n">
        <f aca="false">N(W1996)+$V1997</f>
        <v>7</v>
      </c>
      <c r="X1997" s="1" t="n">
        <f aca="false">IF(AND($L1997=1,AND(对接源_02物料!$X797="自备筐",N(对接源_02物料!$T797)&lt;&gt;0)),1,0)</f>
        <v>0</v>
      </c>
      <c r="Y1997" s="1" t="n">
        <f aca="false">N(Y1996)+$X1997</f>
        <v>0</v>
      </c>
      <c r="Z1997" s="1" t="n">
        <f aca="false">IF(AND($M1997=1,对接源_02物料!$D797="原料入库"),1,0)</f>
        <v>0</v>
      </c>
      <c r="AA1997" s="1" t="n">
        <f aca="false">N(AA1996)+$Z1997</f>
        <v>30</v>
      </c>
      <c r="AB1997" s="1" t="n">
        <f aca="false">IF(AND($M1997=1,LEFT(对接源_02物料!$D797,4)="原料出库"),1,0)</f>
        <v>0</v>
      </c>
      <c r="AC1997" s="1" t="n">
        <f aca="false">N(AC1996)+$AB1997</f>
        <v>19</v>
      </c>
      <c r="AD1997" s="1" t="n">
        <f aca="false">IF(AND($M1997=1,LEFT(对接源_02物料!$D797,4)="成品出库"),1,0)</f>
        <v>0</v>
      </c>
      <c r="AE1997" s="1" t="n">
        <f aca="false">N(AE1996)+$AD1997</f>
        <v>38</v>
      </c>
      <c r="AF1997" s="1" t="n">
        <f aca="false">IF(AND($N1997=1,AND(LEFT(对接源_02物料!$D797,4)="包装物料",N(对接源_02物料!$K797)&lt;&gt;0)),1,0)</f>
        <v>0</v>
      </c>
      <c r="AG1997" s="1" t="n">
        <f aca="false">N(AG1996)+$AF1997</f>
        <v>6</v>
      </c>
      <c r="AH1997" s="1" t="n">
        <f aca="false">IF(AND($N1997=1,AND(LEFT(对接源_02物料!$D797,3)="周转筐",N(对接源_02物料!$K797)&lt;&gt;0)),1,0)</f>
        <v>0</v>
      </c>
      <c r="AI1997" s="1" t="n">
        <f aca="false">N(AI1996)+$AH1997</f>
        <v>0</v>
      </c>
      <c r="AJ1997" s="1" t="n">
        <v>0</v>
      </c>
      <c r="AK1997" s="1" t="n">
        <f aca="false">N(AK1996)+$AJ1997</f>
        <v>3672</v>
      </c>
    </row>
    <row r="1998" customFormat="false" ht="13.5" hidden="false" customHeight="false" outlineLevel="0" collapsed="false">
      <c r="A1998" s="1" t="str">
        <f aca="false">IF(对接源_02物料!$C798="","",对接源_02物料!$C798)</f>
        <v/>
      </c>
      <c r="B1998" s="1" t="n">
        <f aca="false">IF(A1998="",0,IF(MATCH(A1998,$A$4:$A$2403,0)=ROW()-3,1,0))</f>
        <v>0</v>
      </c>
      <c r="C1998" s="1" t="n">
        <f aca="false">N(C1997)+B1998</f>
        <v>17</v>
      </c>
      <c r="K1998" s="1" t="n">
        <f aca="false">IF(OR($K$1="",对接源_02物料!$C798="",对接源_02物料!$C798&lt;&gt;$K$1,对接源_02物料!$B798=""),0,IF(OR(N(对接源_02物料!$B798)&lt;$K$2,N(对接源_02物料!$B798)&gt;$K$3),0,1))</f>
        <v>0</v>
      </c>
      <c r="L1998" s="1" t="n">
        <f aca="false">IF(OR($L$1="",对接源_02物料!$C798="",对接源_02物料!$C798&lt;&gt;$L$1,对接源_02物料!$B798=""),0,IF(OR(N(对接源_02物料!$B798)&lt;$L$2,N(对接源_02物料!$B798)&gt;$L$3),0,1))</f>
        <v>0</v>
      </c>
      <c r="M1998" s="1" t="n">
        <f aca="false">IF(OR($M$1="",对接源_02物料!$C798="",对接源_02物料!$C798&lt;&gt;$M$1,对接源_02物料!$B798=""),0,IF(OR(N(对接源_02物料!$B798)&lt;$M$2,N(对接源_02物料!$B798)&gt;$M$3),0,1))</f>
        <v>0</v>
      </c>
      <c r="N1998" s="1" t="n">
        <f aca="false">IF(OR($N$1="",对接源_02物料!$C798="",对接源_02物料!$C798&lt;&gt;$N$1,对接源_02物料!$B798=""),0,IF(OR(N(对接源_02物料!$B798)&lt;$N$2,N(对接源_02物料!$B798)&gt;$N$3),0,1))</f>
        <v>0</v>
      </c>
      <c r="P1998" s="1" t="n">
        <f aca="false">IF(AND($K1998=1,AND(对接源_02物料!$X798="公司筐",N(对接源_02物料!$T798)&lt;&gt;0)),1,0)</f>
        <v>0</v>
      </c>
      <c r="Q1998" s="1" t="n">
        <f aca="false">N(Q1997)+$P1998</f>
        <v>13</v>
      </c>
      <c r="R1998" s="1" t="n">
        <f aca="false">IF(AND($K1998=1,AND(对接源_02物料!$X798="公司筐",N(对接源_02物料!$U798)&lt;&gt;0)),1,0)</f>
        <v>0</v>
      </c>
      <c r="S1998" s="1" t="n">
        <f aca="false">N(S1997)+$R1998</f>
        <v>5</v>
      </c>
      <c r="T1998" s="1" t="n">
        <f aca="false">IF(AND($K1998=1,AND(对接源_02物料!$X798="公司筐",N(对接源_02物料!$V798)&lt;&gt;0)),1,0)</f>
        <v>0</v>
      </c>
      <c r="U1998" s="1" t="n">
        <f aca="false">N(U1997)+$T1998</f>
        <v>28</v>
      </c>
      <c r="V1998" s="1" t="n">
        <f aca="false">IF(AND($L1998=1,AND(对接源_02物料!$X798="自备筐",N(对接源_02物料!$V798)&lt;&gt;0)),1,0)</f>
        <v>0</v>
      </c>
      <c r="W1998" s="1" t="n">
        <f aca="false">N(W1997)+$V1998</f>
        <v>7</v>
      </c>
      <c r="X1998" s="1" t="n">
        <f aca="false">IF(AND($L1998=1,AND(对接源_02物料!$X798="自备筐",N(对接源_02物料!$T798)&lt;&gt;0)),1,0)</f>
        <v>0</v>
      </c>
      <c r="Y1998" s="1" t="n">
        <f aca="false">N(Y1997)+$X1998</f>
        <v>0</v>
      </c>
      <c r="Z1998" s="1" t="n">
        <f aca="false">IF(AND($M1998=1,对接源_02物料!$D798="原料入库"),1,0)</f>
        <v>0</v>
      </c>
      <c r="AA1998" s="1" t="n">
        <f aca="false">N(AA1997)+$Z1998</f>
        <v>30</v>
      </c>
      <c r="AB1998" s="1" t="n">
        <f aca="false">IF(AND($M1998=1,LEFT(对接源_02物料!$D798,4)="原料出库"),1,0)</f>
        <v>0</v>
      </c>
      <c r="AC1998" s="1" t="n">
        <f aca="false">N(AC1997)+$AB1998</f>
        <v>19</v>
      </c>
      <c r="AD1998" s="1" t="n">
        <f aca="false">IF(AND($M1998=1,LEFT(对接源_02物料!$D798,4)="成品出库"),1,0)</f>
        <v>0</v>
      </c>
      <c r="AE1998" s="1" t="n">
        <f aca="false">N(AE1997)+$AD1998</f>
        <v>38</v>
      </c>
      <c r="AF1998" s="1" t="n">
        <f aca="false">IF(AND($N1998=1,AND(LEFT(对接源_02物料!$D798,4)="包装物料",N(对接源_02物料!$K798)&lt;&gt;0)),1,0)</f>
        <v>0</v>
      </c>
      <c r="AG1998" s="1" t="n">
        <f aca="false">N(AG1997)+$AF1998</f>
        <v>6</v>
      </c>
      <c r="AH1998" s="1" t="n">
        <f aca="false">IF(AND($N1998=1,AND(LEFT(对接源_02物料!$D798,3)="周转筐",N(对接源_02物料!$K798)&lt;&gt;0)),1,0)</f>
        <v>0</v>
      </c>
      <c r="AI1998" s="1" t="n">
        <f aca="false">N(AI1997)+$AH1998</f>
        <v>0</v>
      </c>
      <c r="AJ1998" s="1" t="n">
        <v>0</v>
      </c>
      <c r="AK1998" s="1" t="n">
        <f aca="false">N(AK1997)+$AJ1998</f>
        <v>3672</v>
      </c>
    </row>
    <row r="1999" customFormat="false" ht="13.5" hidden="false" customHeight="false" outlineLevel="0" collapsed="false">
      <c r="A1999" s="1" t="str">
        <f aca="false">IF(对接源_02物料!$C799="","",对接源_02物料!$C799)</f>
        <v/>
      </c>
      <c r="B1999" s="1" t="n">
        <f aca="false">IF(A1999="",0,IF(MATCH(A1999,$A$4:$A$2403,0)=ROW()-3,1,0))</f>
        <v>0</v>
      </c>
      <c r="C1999" s="1" t="n">
        <f aca="false">N(C1998)+B1999</f>
        <v>17</v>
      </c>
      <c r="K1999" s="1" t="n">
        <f aca="false">IF(OR($K$1="",对接源_02物料!$C799="",对接源_02物料!$C799&lt;&gt;$K$1,对接源_02物料!$B799=""),0,IF(OR(N(对接源_02物料!$B799)&lt;$K$2,N(对接源_02物料!$B799)&gt;$K$3),0,1))</f>
        <v>0</v>
      </c>
      <c r="L1999" s="1" t="n">
        <f aca="false">IF(OR($L$1="",对接源_02物料!$C799="",对接源_02物料!$C799&lt;&gt;$L$1,对接源_02物料!$B799=""),0,IF(OR(N(对接源_02物料!$B799)&lt;$L$2,N(对接源_02物料!$B799)&gt;$L$3),0,1))</f>
        <v>0</v>
      </c>
      <c r="M1999" s="1" t="n">
        <f aca="false">IF(OR($M$1="",对接源_02物料!$C799="",对接源_02物料!$C799&lt;&gt;$M$1,对接源_02物料!$B799=""),0,IF(OR(N(对接源_02物料!$B799)&lt;$M$2,N(对接源_02物料!$B799)&gt;$M$3),0,1))</f>
        <v>0</v>
      </c>
      <c r="N1999" s="1" t="n">
        <f aca="false">IF(OR($N$1="",对接源_02物料!$C799="",对接源_02物料!$C799&lt;&gt;$N$1,对接源_02物料!$B799=""),0,IF(OR(N(对接源_02物料!$B799)&lt;$N$2,N(对接源_02物料!$B799)&gt;$N$3),0,1))</f>
        <v>0</v>
      </c>
      <c r="P1999" s="1" t="n">
        <f aca="false">IF(AND($K1999=1,AND(对接源_02物料!$X799="公司筐",N(对接源_02物料!$T799)&lt;&gt;0)),1,0)</f>
        <v>0</v>
      </c>
      <c r="Q1999" s="1" t="n">
        <f aca="false">N(Q1998)+$P1999</f>
        <v>13</v>
      </c>
      <c r="R1999" s="1" t="n">
        <f aca="false">IF(AND($K1999=1,AND(对接源_02物料!$X799="公司筐",N(对接源_02物料!$U799)&lt;&gt;0)),1,0)</f>
        <v>0</v>
      </c>
      <c r="S1999" s="1" t="n">
        <f aca="false">N(S1998)+$R1999</f>
        <v>5</v>
      </c>
      <c r="T1999" s="1" t="n">
        <f aca="false">IF(AND($K1999=1,AND(对接源_02物料!$X799="公司筐",N(对接源_02物料!$V799)&lt;&gt;0)),1,0)</f>
        <v>0</v>
      </c>
      <c r="U1999" s="1" t="n">
        <f aca="false">N(U1998)+$T1999</f>
        <v>28</v>
      </c>
      <c r="V1999" s="1" t="n">
        <f aca="false">IF(AND($L1999=1,AND(对接源_02物料!$X799="自备筐",N(对接源_02物料!$V799)&lt;&gt;0)),1,0)</f>
        <v>0</v>
      </c>
      <c r="W1999" s="1" t="n">
        <f aca="false">N(W1998)+$V1999</f>
        <v>7</v>
      </c>
      <c r="X1999" s="1" t="n">
        <f aca="false">IF(AND($L1999=1,AND(对接源_02物料!$X799="自备筐",N(对接源_02物料!$T799)&lt;&gt;0)),1,0)</f>
        <v>0</v>
      </c>
      <c r="Y1999" s="1" t="n">
        <f aca="false">N(Y1998)+$X1999</f>
        <v>0</v>
      </c>
      <c r="Z1999" s="1" t="n">
        <f aca="false">IF(AND($M1999=1,对接源_02物料!$D799="原料入库"),1,0)</f>
        <v>0</v>
      </c>
      <c r="AA1999" s="1" t="n">
        <f aca="false">N(AA1998)+$Z1999</f>
        <v>30</v>
      </c>
      <c r="AB1999" s="1" t="n">
        <f aca="false">IF(AND($M1999=1,LEFT(对接源_02物料!$D799,4)="原料出库"),1,0)</f>
        <v>0</v>
      </c>
      <c r="AC1999" s="1" t="n">
        <f aca="false">N(AC1998)+$AB1999</f>
        <v>19</v>
      </c>
      <c r="AD1999" s="1" t="n">
        <f aca="false">IF(AND($M1999=1,LEFT(对接源_02物料!$D799,4)="成品出库"),1,0)</f>
        <v>0</v>
      </c>
      <c r="AE1999" s="1" t="n">
        <f aca="false">N(AE1998)+$AD1999</f>
        <v>38</v>
      </c>
      <c r="AF1999" s="1" t="n">
        <f aca="false">IF(AND($N1999=1,AND(LEFT(对接源_02物料!$D799,4)="包装物料",N(对接源_02物料!$K799)&lt;&gt;0)),1,0)</f>
        <v>0</v>
      </c>
      <c r="AG1999" s="1" t="n">
        <f aca="false">N(AG1998)+$AF1999</f>
        <v>6</v>
      </c>
      <c r="AH1999" s="1" t="n">
        <f aca="false">IF(AND($N1999=1,AND(LEFT(对接源_02物料!$D799,3)="周转筐",N(对接源_02物料!$K799)&lt;&gt;0)),1,0)</f>
        <v>0</v>
      </c>
      <c r="AI1999" s="1" t="n">
        <f aca="false">N(AI1998)+$AH1999</f>
        <v>0</v>
      </c>
      <c r="AJ1999" s="1" t="n">
        <v>0</v>
      </c>
      <c r="AK1999" s="1" t="n">
        <f aca="false">N(AK1998)+$AJ1999</f>
        <v>3672</v>
      </c>
    </row>
    <row r="2000" customFormat="false" ht="13.5" hidden="false" customHeight="false" outlineLevel="0" collapsed="false">
      <c r="A2000" s="1" t="str">
        <f aca="false">IF(对接源_02物料!$C800="","",对接源_02物料!$C800)</f>
        <v/>
      </c>
      <c r="B2000" s="1" t="n">
        <f aca="false">IF(A2000="",0,IF(MATCH(A2000,$A$4:$A$2403,0)=ROW()-3,1,0))</f>
        <v>0</v>
      </c>
      <c r="C2000" s="1" t="n">
        <f aca="false">N(C1999)+B2000</f>
        <v>17</v>
      </c>
      <c r="K2000" s="1" t="n">
        <f aca="false">IF(OR($K$1="",对接源_02物料!$C800="",对接源_02物料!$C800&lt;&gt;$K$1,对接源_02物料!$B800=""),0,IF(OR(N(对接源_02物料!$B800)&lt;$K$2,N(对接源_02物料!$B800)&gt;$K$3),0,1))</f>
        <v>0</v>
      </c>
      <c r="L2000" s="1" t="n">
        <f aca="false">IF(OR($L$1="",对接源_02物料!$C800="",对接源_02物料!$C800&lt;&gt;$L$1,对接源_02物料!$B800=""),0,IF(OR(N(对接源_02物料!$B800)&lt;$L$2,N(对接源_02物料!$B800)&gt;$L$3),0,1))</f>
        <v>0</v>
      </c>
      <c r="M2000" s="1" t="n">
        <f aca="false">IF(OR($M$1="",对接源_02物料!$C800="",对接源_02物料!$C800&lt;&gt;$M$1,对接源_02物料!$B800=""),0,IF(OR(N(对接源_02物料!$B800)&lt;$M$2,N(对接源_02物料!$B800)&gt;$M$3),0,1))</f>
        <v>0</v>
      </c>
      <c r="N2000" s="1" t="n">
        <f aca="false">IF(OR($N$1="",对接源_02物料!$C800="",对接源_02物料!$C800&lt;&gt;$N$1,对接源_02物料!$B800=""),0,IF(OR(N(对接源_02物料!$B800)&lt;$N$2,N(对接源_02物料!$B800)&gt;$N$3),0,1))</f>
        <v>0</v>
      </c>
      <c r="P2000" s="1" t="n">
        <f aca="false">IF(AND($K2000=1,AND(对接源_02物料!$X800="公司筐",N(对接源_02物料!$T800)&lt;&gt;0)),1,0)</f>
        <v>0</v>
      </c>
      <c r="Q2000" s="1" t="n">
        <f aca="false">N(Q1999)+$P2000</f>
        <v>13</v>
      </c>
      <c r="R2000" s="1" t="n">
        <f aca="false">IF(AND($K2000=1,AND(对接源_02物料!$X800="公司筐",N(对接源_02物料!$U800)&lt;&gt;0)),1,0)</f>
        <v>0</v>
      </c>
      <c r="S2000" s="1" t="n">
        <f aca="false">N(S1999)+$R2000</f>
        <v>5</v>
      </c>
      <c r="T2000" s="1" t="n">
        <f aca="false">IF(AND($K2000=1,AND(对接源_02物料!$X800="公司筐",N(对接源_02物料!$V800)&lt;&gt;0)),1,0)</f>
        <v>0</v>
      </c>
      <c r="U2000" s="1" t="n">
        <f aca="false">N(U1999)+$T2000</f>
        <v>28</v>
      </c>
      <c r="V2000" s="1" t="n">
        <f aca="false">IF(AND($L2000=1,AND(对接源_02物料!$X800="自备筐",N(对接源_02物料!$V800)&lt;&gt;0)),1,0)</f>
        <v>0</v>
      </c>
      <c r="W2000" s="1" t="n">
        <f aca="false">N(W1999)+$V2000</f>
        <v>7</v>
      </c>
      <c r="X2000" s="1" t="n">
        <f aca="false">IF(AND($L2000=1,AND(对接源_02物料!$X800="自备筐",N(对接源_02物料!$T800)&lt;&gt;0)),1,0)</f>
        <v>0</v>
      </c>
      <c r="Y2000" s="1" t="n">
        <f aca="false">N(Y1999)+$X2000</f>
        <v>0</v>
      </c>
      <c r="Z2000" s="1" t="n">
        <f aca="false">IF(AND($M2000=1,对接源_02物料!$D800="原料入库"),1,0)</f>
        <v>0</v>
      </c>
      <c r="AA2000" s="1" t="n">
        <f aca="false">N(AA1999)+$Z2000</f>
        <v>30</v>
      </c>
      <c r="AB2000" s="1" t="n">
        <f aca="false">IF(AND($M2000=1,LEFT(对接源_02物料!$D800,4)="原料出库"),1,0)</f>
        <v>0</v>
      </c>
      <c r="AC2000" s="1" t="n">
        <f aca="false">N(AC1999)+$AB2000</f>
        <v>19</v>
      </c>
      <c r="AD2000" s="1" t="n">
        <f aca="false">IF(AND($M2000=1,LEFT(对接源_02物料!$D800,4)="成品出库"),1,0)</f>
        <v>0</v>
      </c>
      <c r="AE2000" s="1" t="n">
        <f aca="false">N(AE1999)+$AD2000</f>
        <v>38</v>
      </c>
      <c r="AF2000" s="1" t="n">
        <f aca="false">IF(AND($N2000=1,AND(LEFT(对接源_02物料!$D800,4)="包装物料",N(对接源_02物料!$K800)&lt;&gt;0)),1,0)</f>
        <v>0</v>
      </c>
      <c r="AG2000" s="1" t="n">
        <f aca="false">N(AG1999)+$AF2000</f>
        <v>6</v>
      </c>
      <c r="AH2000" s="1" t="n">
        <f aca="false">IF(AND($N2000=1,AND(LEFT(对接源_02物料!$D800,3)="周转筐",N(对接源_02物料!$K800)&lt;&gt;0)),1,0)</f>
        <v>0</v>
      </c>
      <c r="AI2000" s="1" t="n">
        <f aca="false">N(AI1999)+$AH2000</f>
        <v>0</v>
      </c>
      <c r="AJ2000" s="1" t="n">
        <v>0</v>
      </c>
      <c r="AK2000" s="1" t="n">
        <f aca="false">N(AK1999)+$AJ2000</f>
        <v>3672</v>
      </c>
    </row>
    <row r="2001" customFormat="false" ht="13.5" hidden="false" customHeight="false" outlineLevel="0" collapsed="false">
      <c r="A2001" s="1" t="str">
        <f aca="false">IF(对接源_02物料!$C801="","",对接源_02物料!$C801)</f>
        <v/>
      </c>
      <c r="B2001" s="1" t="n">
        <f aca="false">IF(A2001="",0,IF(MATCH(A2001,$A$4:$A$2403,0)=ROW()-3,1,0))</f>
        <v>0</v>
      </c>
      <c r="C2001" s="1" t="n">
        <f aca="false">N(C2000)+B2001</f>
        <v>17</v>
      </c>
      <c r="K2001" s="1" t="n">
        <f aca="false">IF(OR($K$1="",对接源_02物料!$C801="",对接源_02物料!$C801&lt;&gt;$K$1,对接源_02物料!$B801=""),0,IF(OR(N(对接源_02物料!$B801)&lt;$K$2,N(对接源_02物料!$B801)&gt;$K$3),0,1))</f>
        <v>0</v>
      </c>
      <c r="L2001" s="1" t="n">
        <f aca="false">IF(OR($L$1="",对接源_02物料!$C801="",对接源_02物料!$C801&lt;&gt;$L$1,对接源_02物料!$B801=""),0,IF(OR(N(对接源_02物料!$B801)&lt;$L$2,N(对接源_02物料!$B801)&gt;$L$3),0,1))</f>
        <v>0</v>
      </c>
      <c r="M2001" s="1" t="n">
        <f aca="false">IF(OR($M$1="",对接源_02物料!$C801="",对接源_02物料!$C801&lt;&gt;$M$1,对接源_02物料!$B801=""),0,IF(OR(N(对接源_02物料!$B801)&lt;$M$2,N(对接源_02物料!$B801)&gt;$M$3),0,1))</f>
        <v>0</v>
      </c>
      <c r="N2001" s="1" t="n">
        <f aca="false">IF(OR($N$1="",对接源_02物料!$C801="",对接源_02物料!$C801&lt;&gt;$N$1,对接源_02物料!$B801=""),0,IF(OR(N(对接源_02物料!$B801)&lt;$N$2,N(对接源_02物料!$B801)&gt;$N$3),0,1))</f>
        <v>0</v>
      </c>
      <c r="P2001" s="1" t="n">
        <f aca="false">IF(AND($K2001=1,AND(对接源_02物料!$X801="公司筐",N(对接源_02物料!$T801)&lt;&gt;0)),1,0)</f>
        <v>0</v>
      </c>
      <c r="Q2001" s="1" t="n">
        <f aca="false">N(Q2000)+$P2001</f>
        <v>13</v>
      </c>
      <c r="R2001" s="1" t="n">
        <f aca="false">IF(AND($K2001=1,AND(对接源_02物料!$X801="公司筐",N(对接源_02物料!$U801)&lt;&gt;0)),1,0)</f>
        <v>0</v>
      </c>
      <c r="S2001" s="1" t="n">
        <f aca="false">N(S2000)+$R2001</f>
        <v>5</v>
      </c>
      <c r="T2001" s="1" t="n">
        <f aca="false">IF(AND($K2001=1,AND(对接源_02物料!$X801="公司筐",N(对接源_02物料!$V801)&lt;&gt;0)),1,0)</f>
        <v>0</v>
      </c>
      <c r="U2001" s="1" t="n">
        <f aca="false">N(U2000)+$T2001</f>
        <v>28</v>
      </c>
      <c r="V2001" s="1" t="n">
        <f aca="false">IF(AND($L2001=1,AND(对接源_02物料!$X801="自备筐",N(对接源_02物料!$V801)&lt;&gt;0)),1,0)</f>
        <v>0</v>
      </c>
      <c r="W2001" s="1" t="n">
        <f aca="false">N(W2000)+$V2001</f>
        <v>7</v>
      </c>
      <c r="X2001" s="1" t="n">
        <f aca="false">IF(AND($L2001=1,AND(对接源_02物料!$X801="自备筐",N(对接源_02物料!$T801)&lt;&gt;0)),1,0)</f>
        <v>0</v>
      </c>
      <c r="Y2001" s="1" t="n">
        <f aca="false">N(Y2000)+$X2001</f>
        <v>0</v>
      </c>
      <c r="Z2001" s="1" t="n">
        <f aca="false">IF(AND($M2001=1,对接源_02物料!$D801="原料入库"),1,0)</f>
        <v>0</v>
      </c>
      <c r="AA2001" s="1" t="n">
        <f aca="false">N(AA2000)+$Z2001</f>
        <v>30</v>
      </c>
      <c r="AB2001" s="1" t="n">
        <f aca="false">IF(AND($M2001=1,LEFT(对接源_02物料!$D801,4)="原料出库"),1,0)</f>
        <v>0</v>
      </c>
      <c r="AC2001" s="1" t="n">
        <f aca="false">N(AC2000)+$AB2001</f>
        <v>19</v>
      </c>
      <c r="AD2001" s="1" t="n">
        <f aca="false">IF(AND($M2001=1,LEFT(对接源_02物料!$D801,4)="成品出库"),1,0)</f>
        <v>0</v>
      </c>
      <c r="AE2001" s="1" t="n">
        <f aca="false">N(AE2000)+$AD2001</f>
        <v>38</v>
      </c>
      <c r="AF2001" s="1" t="n">
        <f aca="false">IF(AND($N2001=1,AND(LEFT(对接源_02物料!$D801,4)="包装物料",N(对接源_02物料!$K801)&lt;&gt;0)),1,0)</f>
        <v>0</v>
      </c>
      <c r="AG2001" s="1" t="n">
        <f aca="false">N(AG2000)+$AF2001</f>
        <v>6</v>
      </c>
      <c r="AH2001" s="1" t="n">
        <f aca="false">IF(AND($N2001=1,AND(LEFT(对接源_02物料!$D801,3)="周转筐",N(对接源_02物料!$K801)&lt;&gt;0)),1,0)</f>
        <v>0</v>
      </c>
      <c r="AI2001" s="1" t="n">
        <f aca="false">N(AI2000)+$AH2001</f>
        <v>0</v>
      </c>
      <c r="AJ2001" s="1" t="n">
        <v>0</v>
      </c>
      <c r="AK2001" s="1" t="n">
        <f aca="false">N(AK2000)+$AJ2001</f>
        <v>3672</v>
      </c>
    </row>
    <row r="2002" customFormat="false" ht="13.5" hidden="false" customHeight="false" outlineLevel="0" collapsed="false">
      <c r="A2002" s="1" t="str">
        <f aca="false">IF(对接源_02物料!$C802="","",对接源_02物料!$C802)</f>
        <v/>
      </c>
      <c r="B2002" s="1" t="n">
        <f aca="false">IF(A2002="",0,IF(MATCH(A2002,$A$4:$A$2403,0)=ROW()-3,1,0))</f>
        <v>0</v>
      </c>
      <c r="C2002" s="1" t="n">
        <f aca="false">N(C2001)+B2002</f>
        <v>17</v>
      </c>
      <c r="K2002" s="1" t="n">
        <f aca="false">IF(OR($K$1="",对接源_02物料!$C802="",对接源_02物料!$C802&lt;&gt;$K$1,对接源_02物料!$B802=""),0,IF(OR(N(对接源_02物料!$B802)&lt;$K$2,N(对接源_02物料!$B802)&gt;$K$3),0,1))</f>
        <v>0</v>
      </c>
      <c r="L2002" s="1" t="n">
        <f aca="false">IF(OR($L$1="",对接源_02物料!$C802="",对接源_02物料!$C802&lt;&gt;$L$1,对接源_02物料!$B802=""),0,IF(OR(N(对接源_02物料!$B802)&lt;$L$2,N(对接源_02物料!$B802)&gt;$L$3),0,1))</f>
        <v>0</v>
      </c>
      <c r="M2002" s="1" t="n">
        <f aca="false">IF(OR($M$1="",对接源_02物料!$C802="",对接源_02物料!$C802&lt;&gt;$M$1,对接源_02物料!$B802=""),0,IF(OR(N(对接源_02物料!$B802)&lt;$M$2,N(对接源_02物料!$B802)&gt;$M$3),0,1))</f>
        <v>0</v>
      </c>
      <c r="N2002" s="1" t="n">
        <f aca="false">IF(OR($N$1="",对接源_02物料!$C802="",对接源_02物料!$C802&lt;&gt;$N$1,对接源_02物料!$B802=""),0,IF(OR(N(对接源_02物料!$B802)&lt;$N$2,N(对接源_02物料!$B802)&gt;$N$3),0,1))</f>
        <v>0</v>
      </c>
      <c r="P2002" s="1" t="n">
        <f aca="false">IF(AND($K2002=1,AND(对接源_02物料!$X802="公司筐",N(对接源_02物料!$T802)&lt;&gt;0)),1,0)</f>
        <v>0</v>
      </c>
      <c r="Q2002" s="1" t="n">
        <f aca="false">N(Q2001)+$P2002</f>
        <v>13</v>
      </c>
      <c r="R2002" s="1" t="n">
        <f aca="false">IF(AND($K2002=1,AND(对接源_02物料!$X802="公司筐",N(对接源_02物料!$U802)&lt;&gt;0)),1,0)</f>
        <v>0</v>
      </c>
      <c r="S2002" s="1" t="n">
        <f aca="false">N(S2001)+$R2002</f>
        <v>5</v>
      </c>
      <c r="T2002" s="1" t="n">
        <f aca="false">IF(AND($K2002=1,AND(对接源_02物料!$X802="公司筐",N(对接源_02物料!$V802)&lt;&gt;0)),1,0)</f>
        <v>0</v>
      </c>
      <c r="U2002" s="1" t="n">
        <f aca="false">N(U2001)+$T2002</f>
        <v>28</v>
      </c>
      <c r="V2002" s="1" t="n">
        <f aca="false">IF(AND($L2002=1,AND(对接源_02物料!$X802="自备筐",N(对接源_02物料!$V802)&lt;&gt;0)),1,0)</f>
        <v>0</v>
      </c>
      <c r="W2002" s="1" t="n">
        <f aca="false">N(W2001)+$V2002</f>
        <v>7</v>
      </c>
      <c r="X2002" s="1" t="n">
        <f aca="false">IF(AND($L2002=1,AND(对接源_02物料!$X802="自备筐",N(对接源_02物料!$T802)&lt;&gt;0)),1,0)</f>
        <v>0</v>
      </c>
      <c r="Y2002" s="1" t="n">
        <f aca="false">N(Y2001)+$X2002</f>
        <v>0</v>
      </c>
      <c r="Z2002" s="1" t="n">
        <f aca="false">IF(AND($M2002=1,对接源_02物料!$D802="原料入库"),1,0)</f>
        <v>0</v>
      </c>
      <c r="AA2002" s="1" t="n">
        <f aca="false">N(AA2001)+$Z2002</f>
        <v>30</v>
      </c>
      <c r="AB2002" s="1" t="n">
        <f aca="false">IF(AND($M2002=1,LEFT(对接源_02物料!$D802,4)="原料出库"),1,0)</f>
        <v>0</v>
      </c>
      <c r="AC2002" s="1" t="n">
        <f aca="false">N(AC2001)+$AB2002</f>
        <v>19</v>
      </c>
      <c r="AD2002" s="1" t="n">
        <f aca="false">IF(AND($M2002=1,LEFT(对接源_02物料!$D802,4)="成品出库"),1,0)</f>
        <v>0</v>
      </c>
      <c r="AE2002" s="1" t="n">
        <f aca="false">N(AE2001)+$AD2002</f>
        <v>38</v>
      </c>
      <c r="AF2002" s="1" t="n">
        <f aca="false">IF(AND($N2002=1,AND(LEFT(对接源_02物料!$D802,4)="包装物料",N(对接源_02物料!$K802)&lt;&gt;0)),1,0)</f>
        <v>0</v>
      </c>
      <c r="AG2002" s="1" t="n">
        <f aca="false">N(AG2001)+$AF2002</f>
        <v>6</v>
      </c>
      <c r="AH2002" s="1" t="n">
        <f aca="false">IF(AND($N2002=1,AND(LEFT(对接源_02物料!$D802,3)="周转筐",N(对接源_02物料!$K802)&lt;&gt;0)),1,0)</f>
        <v>0</v>
      </c>
      <c r="AI2002" s="1" t="n">
        <f aca="false">N(AI2001)+$AH2002</f>
        <v>0</v>
      </c>
      <c r="AJ2002" s="1" t="n">
        <v>0</v>
      </c>
      <c r="AK2002" s="1" t="n">
        <f aca="false">N(AK2001)+$AJ2002</f>
        <v>3672</v>
      </c>
    </row>
    <row r="2003" customFormat="false" ht="13.5" hidden="false" customHeight="false" outlineLevel="0" collapsed="false">
      <c r="A2003" s="1" t="str">
        <f aca="false">IF(对接源_02物料!$C803="","",对接源_02物料!$C803)</f>
        <v/>
      </c>
      <c r="B2003" s="1" t="n">
        <f aca="false">IF(A2003="",0,IF(MATCH(A2003,$A$4:$A$2403,0)=ROW()-3,1,0))</f>
        <v>0</v>
      </c>
      <c r="C2003" s="1" t="n">
        <f aca="false">N(C2002)+B2003</f>
        <v>17</v>
      </c>
      <c r="K2003" s="1" t="n">
        <f aca="false">IF(OR($K$1="",对接源_02物料!$C803="",对接源_02物料!$C803&lt;&gt;$K$1,对接源_02物料!$B803=""),0,IF(OR(N(对接源_02物料!$B803)&lt;$K$2,N(对接源_02物料!$B803)&gt;$K$3),0,1))</f>
        <v>0</v>
      </c>
      <c r="L2003" s="1" t="n">
        <f aca="false">IF(OR($L$1="",对接源_02物料!$C803="",对接源_02物料!$C803&lt;&gt;$L$1,对接源_02物料!$B803=""),0,IF(OR(N(对接源_02物料!$B803)&lt;$L$2,N(对接源_02物料!$B803)&gt;$L$3),0,1))</f>
        <v>0</v>
      </c>
      <c r="M2003" s="1" t="n">
        <f aca="false">IF(OR($M$1="",对接源_02物料!$C803="",对接源_02物料!$C803&lt;&gt;$M$1,对接源_02物料!$B803=""),0,IF(OR(N(对接源_02物料!$B803)&lt;$M$2,N(对接源_02物料!$B803)&gt;$M$3),0,1))</f>
        <v>0</v>
      </c>
      <c r="N2003" s="1" t="n">
        <f aca="false">IF(OR($N$1="",对接源_02物料!$C803="",对接源_02物料!$C803&lt;&gt;$N$1,对接源_02物料!$B803=""),0,IF(OR(N(对接源_02物料!$B803)&lt;$N$2,N(对接源_02物料!$B803)&gt;$N$3),0,1))</f>
        <v>0</v>
      </c>
      <c r="P2003" s="1" t="n">
        <f aca="false">IF(AND($K2003=1,AND(对接源_02物料!$X803="公司筐",N(对接源_02物料!$T803)&lt;&gt;0)),1,0)</f>
        <v>0</v>
      </c>
      <c r="Q2003" s="1" t="n">
        <f aca="false">N(Q2002)+$P2003</f>
        <v>13</v>
      </c>
      <c r="R2003" s="1" t="n">
        <f aca="false">IF(AND($K2003=1,AND(对接源_02物料!$X803="公司筐",N(对接源_02物料!$U803)&lt;&gt;0)),1,0)</f>
        <v>0</v>
      </c>
      <c r="S2003" s="1" t="n">
        <f aca="false">N(S2002)+$R2003</f>
        <v>5</v>
      </c>
      <c r="T2003" s="1" t="n">
        <f aca="false">IF(AND($K2003=1,AND(对接源_02物料!$X803="公司筐",N(对接源_02物料!$V803)&lt;&gt;0)),1,0)</f>
        <v>0</v>
      </c>
      <c r="U2003" s="1" t="n">
        <f aca="false">N(U2002)+$T2003</f>
        <v>28</v>
      </c>
      <c r="V2003" s="1" t="n">
        <f aca="false">IF(AND($L2003=1,AND(对接源_02物料!$X803="自备筐",N(对接源_02物料!$V803)&lt;&gt;0)),1,0)</f>
        <v>0</v>
      </c>
      <c r="W2003" s="1" t="n">
        <f aca="false">N(W2002)+$V2003</f>
        <v>7</v>
      </c>
      <c r="X2003" s="1" t="n">
        <f aca="false">IF(AND($L2003=1,AND(对接源_02物料!$X803="自备筐",N(对接源_02物料!$T803)&lt;&gt;0)),1,0)</f>
        <v>0</v>
      </c>
      <c r="Y2003" s="1" t="n">
        <f aca="false">N(Y2002)+$X2003</f>
        <v>0</v>
      </c>
      <c r="Z2003" s="1" t="n">
        <f aca="false">IF(AND($M2003=1,对接源_02物料!$D803="原料入库"),1,0)</f>
        <v>0</v>
      </c>
      <c r="AA2003" s="1" t="n">
        <f aca="false">N(AA2002)+$Z2003</f>
        <v>30</v>
      </c>
      <c r="AB2003" s="1" t="n">
        <f aca="false">IF(AND($M2003=1,LEFT(对接源_02物料!$D803,4)="原料出库"),1,0)</f>
        <v>0</v>
      </c>
      <c r="AC2003" s="1" t="n">
        <f aca="false">N(AC2002)+$AB2003</f>
        <v>19</v>
      </c>
      <c r="AD2003" s="1" t="n">
        <f aca="false">IF(AND($M2003=1,LEFT(对接源_02物料!$D803,4)="成品出库"),1,0)</f>
        <v>0</v>
      </c>
      <c r="AE2003" s="1" t="n">
        <f aca="false">N(AE2002)+$AD2003</f>
        <v>38</v>
      </c>
      <c r="AF2003" s="1" t="n">
        <f aca="false">IF(AND($N2003=1,AND(LEFT(对接源_02物料!$D803,4)="包装物料",N(对接源_02物料!$K803)&lt;&gt;0)),1,0)</f>
        <v>0</v>
      </c>
      <c r="AG2003" s="1" t="n">
        <f aca="false">N(AG2002)+$AF2003</f>
        <v>6</v>
      </c>
      <c r="AH2003" s="1" t="n">
        <f aca="false">IF(AND($N2003=1,AND(LEFT(对接源_02物料!$D803,3)="周转筐",N(对接源_02物料!$K803)&lt;&gt;0)),1,0)</f>
        <v>0</v>
      </c>
      <c r="AI2003" s="1" t="n">
        <f aca="false">N(AI2002)+$AH2003</f>
        <v>0</v>
      </c>
      <c r="AJ2003" s="1" t="n">
        <v>0</v>
      </c>
      <c r="AK2003" s="1" t="n">
        <f aca="false">N(AK2002)+$AJ2003</f>
        <v>3672</v>
      </c>
    </row>
    <row r="2004" customFormat="false" ht="13.5" hidden="false" customHeight="false" outlineLevel="0" collapsed="false">
      <c r="A2004" s="1" t="str">
        <f aca="false">IF(对接源_02物料!$C804="","",对接源_02物料!$C804)</f>
        <v/>
      </c>
      <c r="B2004" s="1" t="n">
        <f aca="false">IF(A2004="",0,IF(MATCH(A2004,$A$4:$A$2403,0)=ROW()-3,1,0))</f>
        <v>0</v>
      </c>
      <c r="C2004" s="1" t="n">
        <f aca="false">N(C2003)+B2004</f>
        <v>17</v>
      </c>
      <c r="K2004" s="1" t="n">
        <f aca="false">IF(OR($K$1="",对接源_02物料!$C804="",对接源_02物料!$C804&lt;&gt;$K$1,对接源_02物料!$B804=""),0,IF(OR(N(对接源_02物料!$B804)&lt;$K$2,N(对接源_02物料!$B804)&gt;$K$3),0,1))</f>
        <v>0</v>
      </c>
      <c r="L2004" s="1" t="n">
        <f aca="false">IF(OR($L$1="",对接源_02物料!$C804="",对接源_02物料!$C804&lt;&gt;$L$1,对接源_02物料!$B804=""),0,IF(OR(N(对接源_02物料!$B804)&lt;$L$2,N(对接源_02物料!$B804)&gt;$L$3),0,1))</f>
        <v>0</v>
      </c>
      <c r="M2004" s="1" t="n">
        <f aca="false">IF(OR($M$1="",对接源_02物料!$C804="",对接源_02物料!$C804&lt;&gt;$M$1,对接源_02物料!$B804=""),0,IF(OR(N(对接源_02物料!$B804)&lt;$M$2,N(对接源_02物料!$B804)&gt;$M$3),0,1))</f>
        <v>0</v>
      </c>
      <c r="N2004" s="1" t="n">
        <f aca="false">IF(OR($N$1="",对接源_02物料!$C804="",对接源_02物料!$C804&lt;&gt;$N$1,对接源_02物料!$B804=""),0,IF(OR(N(对接源_02物料!$B804)&lt;$N$2,N(对接源_02物料!$B804)&gt;$N$3),0,1))</f>
        <v>0</v>
      </c>
      <c r="P2004" s="1" t="n">
        <f aca="false">IF(AND($K2004=1,AND(对接源_02物料!$X804="公司筐",N(对接源_02物料!$T804)&lt;&gt;0)),1,0)</f>
        <v>0</v>
      </c>
      <c r="Q2004" s="1" t="n">
        <f aca="false">N(Q2003)+$P2004</f>
        <v>13</v>
      </c>
      <c r="R2004" s="1" t="n">
        <f aca="false">IF(AND($K2004=1,AND(对接源_02物料!$X804="公司筐",N(对接源_02物料!$U804)&lt;&gt;0)),1,0)</f>
        <v>0</v>
      </c>
      <c r="S2004" s="1" t="n">
        <f aca="false">N(S2003)+$R2004</f>
        <v>5</v>
      </c>
      <c r="T2004" s="1" t="n">
        <f aca="false">IF(AND($K2004=1,AND(对接源_02物料!$X804="公司筐",N(对接源_02物料!$V804)&lt;&gt;0)),1,0)</f>
        <v>0</v>
      </c>
      <c r="U2004" s="1" t="n">
        <f aca="false">N(U2003)+$T2004</f>
        <v>28</v>
      </c>
      <c r="V2004" s="1" t="n">
        <f aca="false">IF(AND($L2004=1,AND(对接源_02物料!$X804="自备筐",N(对接源_02物料!$V804)&lt;&gt;0)),1,0)</f>
        <v>0</v>
      </c>
      <c r="W2004" s="1" t="n">
        <f aca="false">N(W2003)+$V2004</f>
        <v>7</v>
      </c>
      <c r="X2004" s="1" t="n">
        <f aca="false">IF(AND($L2004=1,AND(对接源_02物料!$X804="自备筐",N(对接源_02物料!$T804)&lt;&gt;0)),1,0)</f>
        <v>0</v>
      </c>
      <c r="Y2004" s="1" t="n">
        <f aca="false">N(Y2003)+$X2004</f>
        <v>0</v>
      </c>
      <c r="Z2004" s="1" t="n">
        <f aca="false">IF(AND($M2004=1,对接源_02物料!$D804="原料入库"),1,0)</f>
        <v>0</v>
      </c>
      <c r="AA2004" s="1" t="n">
        <f aca="false">N(AA2003)+$Z2004</f>
        <v>30</v>
      </c>
      <c r="AB2004" s="1" t="n">
        <f aca="false">IF(AND($M2004=1,LEFT(对接源_02物料!$D804,4)="原料出库"),1,0)</f>
        <v>0</v>
      </c>
      <c r="AC2004" s="1" t="n">
        <f aca="false">N(AC2003)+$AB2004</f>
        <v>19</v>
      </c>
      <c r="AD2004" s="1" t="n">
        <f aca="false">IF(AND($M2004=1,LEFT(对接源_02物料!$D804,4)="成品出库"),1,0)</f>
        <v>0</v>
      </c>
      <c r="AE2004" s="1" t="n">
        <f aca="false">N(AE2003)+$AD2004</f>
        <v>38</v>
      </c>
      <c r="AF2004" s="1" t="n">
        <f aca="false">IF(AND($N2004=1,AND(LEFT(对接源_02物料!$D804,4)="包装物料",N(对接源_02物料!$K804)&lt;&gt;0)),1,0)</f>
        <v>0</v>
      </c>
      <c r="AG2004" s="1" t="n">
        <f aca="false">N(AG2003)+$AF2004</f>
        <v>6</v>
      </c>
      <c r="AH2004" s="1" t="n">
        <f aca="false">IF(AND($N2004=1,AND(LEFT(对接源_02物料!$D804,3)="周转筐",N(对接源_02物料!$K804)&lt;&gt;0)),1,0)</f>
        <v>0</v>
      </c>
      <c r="AI2004" s="1" t="n">
        <f aca="false">N(AI2003)+$AH2004</f>
        <v>0</v>
      </c>
      <c r="AJ2004" s="1" t="n">
        <v>0</v>
      </c>
      <c r="AK2004" s="1" t="n">
        <f aca="false">N(AK2003)+$AJ2004</f>
        <v>3672</v>
      </c>
    </row>
    <row r="2005" customFormat="false" ht="13.5" hidden="false" customHeight="false" outlineLevel="0" collapsed="false">
      <c r="A2005" s="1" t="str">
        <f aca="false">IF(对接源_02物料!$C805="","",对接源_02物料!$C805)</f>
        <v/>
      </c>
      <c r="B2005" s="1" t="n">
        <f aca="false">IF(A2005="",0,IF(MATCH(A2005,$A$4:$A$2403,0)=ROW()-3,1,0))</f>
        <v>0</v>
      </c>
      <c r="C2005" s="1" t="n">
        <f aca="false">N(C2004)+B2005</f>
        <v>17</v>
      </c>
      <c r="K2005" s="1" t="n">
        <f aca="false">IF(OR($K$1="",对接源_02物料!$C805="",对接源_02物料!$C805&lt;&gt;$K$1,对接源_02物料!$B805=""),0,IF(OR(N(对接源_02物料!$B805)&lt;$K$2,N(对接源_02物料!$B805)&gt;$K$3),0,1))</f>
        <v>0</v>
      </c>
      <c r="L2005" s="1" t="n">
        <f aca="false">IF(OR($L$1="",对接源_02物料!$C805="",对接源_02物料!$C805&lt;&gt;$L$1,对接源_02物料!$B805=""),0,IF(OR(N(对接源_02物料!$B805)&lt;$L$2,N(对接源_02物料!$B805)&gt;$L$3),0,1))</f>
        <v>0</v>
      </c>
      <c r="M2005" s="1" t="n">
        <f aca="false">IF(OR($M$1="",对接源_02物料!$C805="",对接源_02物料!$C805&lt;&gt;$M$1,对接源_02物料!$B805=""),0,IF(OR(N(对接源_02物料!$B805)&lt;$M$2,N(对接源_02物料!$B805)&gt;$M$3),0,1))</f>
        <v>0</v>
      </c>
      <c r="N2005" s="1" t="n">
        <f aca="false">IF(OR($N$1="",对接源_02物料!$C805="",对接源_02物料!$C805&lt;&gt;$N$1,对接源_02物料!$B805=""),0,IF(OR(N(对接源_02物料!$B805)&lt;$N$2,N(对接源_02物料!$B805)&gt;$N$3),0,1))</f>
        <v>0</v>
      </c>
      <c r="P2005" s="1" t="n">
        <f aca="false">IF(AND($K2005=1,AND(对接源_02物料!$X805="公司筐",N(对接源_02物料!$T805)&lt;&gt;0)),1,0)</f>
        <v>0</v>
      </c>
      <c r="Q2005" s="1" t="n">
        <f aca="false">N(Q2004)+$P2005</f>
        <v>13</v>
      </c>
      <c r="R2005" s="1" t="n">
        <f aca="false">IF(AND($K2005=1,AND(对接源_02物料!$X805="公司筐",N(对接源_02物料!$U805)&lt;&gt;0)),1,0)</f>
        <v>0</v>
      </c>
      <c r="S2005" s="1" t="n">
        <f aca="false">N(S2004)+$R2005</f>
        <v>5</v>
      </c>
      <c r="T2005" s="1" t="n">
        <f aca="false">IF(AND($K2005=1,AND(对接源_02物料!$X805="公司筐",N(对接源_02物料!$V805)&lt;&gt;0)),1,0)</f>
        <v>0</v>
      </c>
      <c r="U2005" s="1" t="n">
        <f aca="false">N(U2004)+$T2005</f>
        <v>28</v>
      </c>
      <c r="V2005" s="1" t="n">
        <f aca="false">IF(AND($L2005=1,AND(对接源_02物料!$X805="自备筐",N(对接源_02物料!$V805)&lt;&gt;0)),1,0)</f>
        <v>0</v>
      </c>
      <c r="W2005" s="1" t="n">
        <f aca="false">N(W2004)+$V2005</f>
        <v>7</v>
      </c>
      <c r="X2005" s="1" t="n">
        <f aca="false">IF(AND($L2005=1,AND(对接源_02物料!$X805="自备筐",N(对接源_02物料!$T805)&lt;&gt;0)),1,0)</f>
        <v>0</v>
      </c>
      <c r="Y2005" s="1" t="n">
        <f aca="false">N(Y2004)+$X2005</f>
        <v>0</v>
      </c>
      <c r="Z2005" s="1" t="n">
        <f aca="false">IF(AND($M2005=1,对接源_02物料!$D805="原料入库"),1,0)</f>
        <v>0</v>
      </c>
      <c r="AA2005" s="1" t="n">
        <f aca="false">N(AA2004)+$Z2005</f>
        <v>30</v>
      </c>
      <c r="AB2005" s="1" t="n">
        <f aca="false">IF(AND($M2005=1,LEFT(对接源_02物料!$D805,4)="原料出库"),1,0)</f>
        <v>0</v>
      </c>
      <c r="AC2005" s="1" t="n">
        <f aca="false">N(AC2004)+$AB2005</f>
        <v>19</v>
      </c>
      <c r="AD2005" s="1" t="n">
        <f aca="false">IF(AND($M2005=1,LEFT(对接源_02物料!$D805,4)="成品出库"),1,0)</f>
        <v>0</v>
      </c>
      <c r="AE2005" s="1" t="n">
        <f aca="false">N(AE2004)+$AD2005</f>
        <v>38</v>
      </c>
      <c r="AF2005" s="1" t="n">
        <f aca="false">IF(AND($N2005=1,AND(LEFT(对接源_02物料!$D805,4)="包装物料",N(对接源_02物料!$K805)&lt;&gt;0)),1,0)</f>
        <v>0</v>
      </c>
      <c r="AG2005" s="1" t="n">
        <f aca="false">N(AG2004)+$AF2005</f>
        <v>6</v>
      </c>
      <c r="AH2005" s="1" t="n">
        <f aca="false">IF(AND($N2005=1,AND(LEFT(对接源_02物料!$D805,3)="周转筐",N(对接源_02物料!$K805)&lt;&gt;0)),1,0)</f>
        <v>0</v>
      </c>
      <c r="AI2005" s="1" t="n">
        <f aca="false">N(AI2004)+$AH2005</f>
        <v>0</v>
      </c>
      <c r="AJ2005" s="1" t="n">
        <v>0</v>
      </c>
      <c r="AK2005" s="1" t="n">
        <f aca="false">N(AK2004)+$AJ2005</f>
        <v>3672</v>
      </c>
    </row>
    <row r="2006" customFormat="false" ht="13.5" hidden="false" customHeight="false" outlineLevel="0" collapsed="false">
      <c r="A2006" s="1" t="str">
        <f aca="false">IF(对接源_02物料!$C806="","",对接源_02物料!$C806)</f>
        <v/>
      </c>
      <c r="B2006" s="1" t="n">
        <f aca="false">IF(A2006="",0,IF(MATCH(A2006,$A$4:$A$2403,0)=ROW()-3,1,0))</f>
        <v>0</v>
      </c>
      <c r="C2006" s="1" t="n">
        <f aca="false">N(C2005)+B2006</f>
        <v>17</v>
      </c>
      <c r="K2006" s="1" t="n">
        <f aca="false">IF(OR($K$1="",对接源_02物料!$C806="",对接源_02物料!$C806&lt;&gt;$K$1,对接源_02物料!$B806=""),0,IF(OR(N(对接源_02物料!$B806)&lt;$K$2,N(对接源_02物料!$B806)&gt;$K$3),0,1))</f>
        <v>0</v>
      </c>
      <c r="L2006" s="1" t="n">
        <f aca="false">IF(OR($L$1="",对接源_02物料!$C806="",对接源_02物料!$C806&lt;&gt;$L$1,对接源_02物料!$B806=""),0,IF(OR(N(对接源_02物料!$B806)&lt;$L$2,N(对接源_02物料!$B806)&gt;$L$3),0,1))</f>
        <v>0</v>
      </c>
      <c r="M2006" s="1" t="n">
        <f aca="false">IF(OR($M$1="",对接源_02物料!$C806="",对接源_02物料!$C806&lt;&gt;$M$1,对接源_02物料!$B806=""),0,IF(OR(N(对接源_02物料!$B806)&lt;$M$2,N(对接源_02物料!$B806)&gt;$M$3),0,1))</f>
        <v>0</v>
      </c>
      <c r="N2006" s="1" t="n">
        <f aca="false">IF(OR($N$1="",对接源_02物料!$C806="",对接源_02物料!$C806&lt;&gt;$N$1,对接源_02物料!$B806=""),0,IF(OR(N(对接源_02物料!$B806)&lt;$N$2,N(对接源_02物料!$B806)&gt;$N$3),0,1))</f>
        <v>0</v>
      </c>
      <c r="P2006" s="1" t="n">
        <f aca="false">IF(AND($K2006=1,AND(对接源_02物料!$X806="公司筐",N(对接源_02物料!$T806)&lt;&gt;0)),1,0)</f>
        <v>0</v>
      </c>
      <c r="Q2006" s="1" t="n">
        <f aca="false">N(Q2005)+$P2006</f>
        <v>13</v>
      </c>
      <c r="R2006" s="1" t="n">
        <f aca="false">IF(AND($K2006=1,AND(对接源_02物料!$X806="公司筐",N(对接源_02物料!$U806)&lt;&gt;0)),1,0)</f>
        <v>0</v>
      </c>
      <c r="S2006" s="1" t="n">
        <f aca="false">N(S2005)+$R2006</f>
        <v>5</v>
      </c>
      <c r="T2006" s="1" t="n">
        <f aca="false">IF(AND($K2006=1,AND(对接源_02物料!$X806="公司筐",N(对接源_02物料!$V806)&lt;&gt;0)),1,0)</f>
        <v>0</v>
      </c>
      <c r="U2006" s="1" t="n">
        <f aca="false">N(U2005)+$T2006</f>
        <v>28</v>
      </c>
      <c r="V2006" s="1" t="n">
        <f aca="false">IF(AND($L2006=1,AND(对接源_02物料!$X806="自备筐",N(对接源_02物料!$V806)&lt;&gt;0)),1,0)</f>
        <v>0</v>
      </c>
      <c r="W2006" s="1" t="n">
        <f aca="false">N(W2005)+$V2006</f>
        <v>7</v>
      </c>
      <c r="X2006" s="1" t="n">
        <f aca="false">IF(AND($L2006=1,AND(对接源_02物料!$X806="自备筐",N(对接源_02物料!$T806)&lt;&gt;0)),1,0)</f>
        <v>0</v>
      </c>
      <c r="Y2006" s="1" t="n">
        <f aca="false">N(Y2005)+$X2006</f>
        <v>0</v>
      </c>
      <c r="Z2006" s="1" t="n">
        <f aca="false">IF(AND($M2006=1,对接源_02物料!$D806="原料入库"),1,0)</f>
        <v>0</v>
      </c>
      <c r="AA2006" s="1" t="n">
        <f aca="false">N(AA2005)+$Z2006</f>
        <v>30</v>
      </c>
      <c r="AB2006" s="1" t="n">
        <f aca="false">IF(AND($M2006=1,LEFT(对接源_02物料!$D806,4)="原料出库"),1,0)</f>
        <v>0</v>
      </c>
      <c r="AC2006" s="1" t="n">
        <f aca="false">N(AC2005)+$AB2006</f>
        <v>19</v>
      </c>
      <c r="AD2006" s="1" t="n">
        <f aca="false">IF(AND($M2006=1,LEFT(对接源_02物料!$D806,4)="成品出库"),1,0)</f>
        <v>0</v>
      </c>
      <c r="AE2006" s="1" t="n">
        <f aca="false">N(AE2005)+$AD2006</f>
        <v>38</v>
      </c>
      <c r="AF2006" s="1" t="n">
        <f aca="false">IF(AND($N2006=1,AND(LEFT(对接源_02物料!$D806,4)="包装物料",N(对接源_02物料!$K806)&lt;&gt;0)),1,0)</f>
        <v>0</v>
      </c>
      <c r="AG2006" s="1" t="n">
        <f aca="false">N(AG2005)+$AF2006</f>
        <v>6</v>
      </c>
      <c r="AH2006" s="1" t="n">
        <f aca="false">IF(AND($N2006=1,AND(LEFT(对接源_02物料!$D806,3)="周转筐",N(对接源_02物料!$K806)&lt;&gt;0)),1,0)</f>
        <v>0</v>
      </c>
      <c r="AI2006" s="1" t="n">
        <f aca="false">N(AI2005)+$AH2006</f>
        <v>0</v>
      </c>
      <c r="AJ2006" s="1" t="n">
        <v>0</v>
      </c>
      <c r="AK2006" s="1" t="n">
        <f aca="false">N(AK2005)+$AJ2006</f>
        <v>3672</v>
      </c>
    </row>
    <row r="2007" customFormat="false" ht="13.5" hidden="false" customHeight="false" outlineLevel="0" collapsed="false">
      <c r="A2007" s="1" t="str">
        <f aca="false">IF(对接源_02物料!$C807="","",对接源_02物料!$C807)</f>
        <v/>
      </c>
      <c r="B2007" s="1" t="n">
        <f aca="false">IF(A2007="",0,IF(MATCH(A2007,$A$4:$A$2403,0)=ROW()-3,1,0))</f>
        <v>0</v>
      </c>
      <c r="C2007" s="1" t="n">
        <f aca="false">N(C2006)+B2007</f>
        <v>17</v>
      </c>
      <c r="K2007" s="1" t="n">
        <f aca="false">IF(OR($K$1="",对接源_02物料!$C807="",对接源_02物料!$C807&lt;&gt;$K$1,对接源_02物料!$B807=""),0,IF(OR(N(对接源_02物料!$B807)&lt;$K$2,N(对接源_02物料!$B807)&gt;$K$3),0,1))</f>
        <v>0</v>
      </c>
      <c r="L2007" s="1" t="n">
        <f aca="false">IF(OR($L$1="",对接源_02物料!$C807="",对接源_02物料!$C807&lt;&gt;$L$1,对接源_02物料!$B807=""),0,IF(OR(N(对接源_02物料!$B807)&lt;$L$2,N(对接源_02物料!$B807)&gt;$L$3),0,1))</f>
        <v>0</v>
      </c>
      <c r="M2007" s="1" t="n">
        <f aca="false">IF(OR($M$1="",对接源_02物料!$C807="",对接源_02物料!$C807&lt;&gt;$M$1,对接源_02物料!$B807=""),0,IF(OR(N(对接源_02物料!$B807)&lt;$M$2,N(对接源_02物料!$B807)&gt;$M$3),0,1))</f>
        <v>0</v>
      </c>
      <c r="N2007" s="1" t="n">
        <f aca="false">IF(OR($N$1="",对接源_02物料!$C807="",对接源_02物料!$C807&lt;&gt;$N$1,对接源_02物料!$B807=""),0,IF(OR(N(对接源_02物料!$B807)&lt;$N$2,N(对接源_02物料!$B807)&gt;$N$3),0,1))</f>
        <v>0</v>
      </c>
      <c r="P2007" s="1" t="n">
        <f aca="false">IF(AND($K2007=1,AND(对接源_02物料!$X807="公司筐",N(对接源_02物料!$T807)&lt;&gt;0)),1,0)</f>
        <v>0</v>
      </c>
      <c r="Q2007" s="1" t="n">
        <f aca="false">N(Q2006)+$P2007</f>
        <v>13</v>
      </c>
      <c r="R2007" s="1" t="n">
        <f aca="false">IF(AND($K2007=1,AND(对接源_02物料!$X807="公司筐",N(对接源_02物料!$U807)&lt;&gt;0)),1,0)</f>
        <v>0</v>
      </c>
      <c r="S2007" s="1" t="n">
        <f aca="false">N(S2006)+$R2007</f>
        <v>5</v>
      </c>
      <c r="T2007" s="1" t="n">
        <f aca="false">IF(AND($K2007=1,AND(对接源_02物料!$X807="公司筐",N(对接源_02物料!$V807)&lt;&gt;0)),1,0)</f>
        <v>0</v>
      </c>
      <c r="U2007" s="1" t="n">
        <f aca="false">N(U2006)+$T2007</f>
        <v>28</v>
      </c>
      <c r="V2007" s="1" t="n">
        <f aca="false">IF(AND($L2007=1,AND(对接源_02物料!$X807="自备筐",N(对接源_02物料!$V807)&lt;&gt;0)),1,0)</f>
        <v>0</v>
      </c>
      <c r="W2007" s="1" t="n">
        <f aca="false">N(W2006)+$V2007</f>
        <v>7</v>
      </c>
      <c r="X2007" s="1" t="n">
        <f aca="false">IF(AND($L2007=1,AND(对接源_02物料!$X807="自备筐",N(对接源_02物料!$T807)&lt;&gt;0)),1,0)</f>
        <v>0</v>
      </c>
      <c r="Y2007" s="1" t="n">
        <f aca="false">N(Y2006)+$X2007</f>
        <v>0</v>
      </c>
      <c r="Z2007" s="1" t="n">
        <f aca="false">IF(AND($M2007=1,对接源_02物料!$D807="原料入库"),1,0)</f>
        <v>0</v>
      </c>
      <c r="AA2007" s="1" t="n">
        <f aca="false">N(AA2006)+$Z2007</f>
        <v>30</v>
      </c>
      <c r="AB2007" s="1" t="n">
        <f aca="false">IF(AND($M2007=1,LEFT(对接源_02物料!$D807,4)="原料出库"),1,0)</f>
        <v>0</v>
      </c>
      <c r="AC2007" s="1" t="n">
        <f aca="false">N(AC2006)+$AB2007</f>
        <v>19</v>
      </c>
      <c r="AD2007" s="1" t="n">
        <f aca="false">IF(AND($M2007=1,LEFT(对接源_02物料!$D807,4)="成品出库"),1,0)</f>
        <v>0</v>
      </c>
      <c r="AE2007" s="1" t="n">
        <f aca="false">N(AE2006)+$AD2007</f>
        <v>38</v>
      </c>
      <c r="AF2007" s="1" t="n">
        <f aca="false">IF(AND($N2007=1,AND(LEFT(对接源_02物料!$D807,4)="包装物料",N(对接源_02物料!$K807)&lt;&gt;0)),1,0)</f>
        <v>0</v>
      </c>
      <c r="AG2007" s="1" t="n">
        <f aca="false">N(AG2006)+$AF2007</f>
        <v>6</v>
      </c>
      <c r="AH2007" s="1" t="n">
        <f aca="false">IF(AND($N2007=1,AND(LEFT(对接源_02物料!$D807,3)="周转筐",N(对接源_02物料!$K807)&lt;&gt;0)),1,0)</f>
        <v>0</v>
      </c>
      <c r="AI2007" s="1" t="n">
        <f aca="false">N(AI2006)+$AH2007</f>
        <v>0</v>
      </c>
      <c r="AJ2007" s="1" t="n">
        <v>0</v>
      </c>
      <c r="AK2007" s="1" t="n">
        <f aca="false">N(AK2006)+$AJ2007</f>
        <v>3672</v>
      </c>
    </row>
    <row r="2008" customFormat="false" ht="13.5" hidden="false" customHeight="false" outlineLevel="0" collapsed="false">
      <c r="A2008" s="1" t="str">
        <f aca="false">IF(对接源_02物料!$C808="","",对接源_02物料!$C808)</f>
        <v/>
      </c>
      <c r="B2008" s="1" t="n">
        <f aca="false">IF(A2008="",0,IF(MATCH(A2008,$A$4:$A$2403,0)=ROW()-3,1,0))</f>
        <v>0</v>
      </c>
      <c r="C2008" s="1" t="n">
        <f aca="false">N(C2007)+B2008</f>
        <v>17</v>
      </c>
      <c r="K2008" s="1" t="n">
        <f aca="false">IF(OR($K$1="",对接源_02物料!$C808="",对接源_02物料!$C808&lt;&gt;$K$1,对接源_02物料!$B808=""),0,IF(OR(N(对接源_02物料!$B808)&lt;$K$2,N(对接源_02物料!$B808)&gt;$K$3),0,1))</f>
        <v>0</v>
      </c>
      <c r="L2008" s="1" t="n">
        <f aca="false">IF(OR($L$1="",对接源_02物料!$C808="",对接源_02物料!$C808&lt;&gt;$L$1,对接源_02物料!$B808=""),0,IF(OR(N(对接源_02物料!$B808)&lt;$L$2,N(对接源_02物料!$B808)&gt;$L$3),0,1))</f>
        <v>0</v>
      </c>
      <c r="M2008" s="1" t="n">
        <f aca="false">IF(OR($M$1="",对接源_02物料!$C808="",对接源_02物料!$C808&lt;&gt;$M$1,对接源_02物料!$B808=""),0,IF(OR(N(对接源_02物料!$B808)&lt;$M$2,N(对接源_02物料!$B808)&gt;$M$3),0,1))</f>
        <v>0</v>
      </c>
      <c r="N2008" s="1" t="n">
        <f aca="false">IF(OR($N$1="",对接源_02物料!$C808="",对接源_02物料!$C808&lt;&gt;$N$1,对接源_02物料!$B808=""),0,IF(OR(N(对接源_02物料!$B808)&lt;$N$2,N(对接源_02物料!$B808)&gt;$N$3),0,1))</f>
        <v>0</v>
      </c>
      <c r="P2008" s="1" t="n">
        <f aca="false">IF(AND($K2008=1,AND(对接源_02物料!$X808="公司筐",N(对接源_02物料!$T808)&lt;&gt;0)),1,0)</f>
        <v>0</v>
      </c>
      <c r="Q2008" s="1" t="n">
        <f aca="false">N(Q2007)+$P2008</f>
        <v>13</v>
      </c>
      <c r="R2008" s="1" t="n">
        <f aca="false">IF(AND($K2008=1,AND(对接源_02物料!$X808="公司筐",N(对接源_02物料!$U808)&lt;&gt;0)),1,0)</f>
        <v>0</v>
      </c>
      <c r="S2008" s="1" t="n">
        <f aca="false">N(S2007)+$R2008</f>
        <v>5</v>
      </c>
      <c r="T2008" s="1" t="n">
        <f aca="false">IF(AND($K2008=1,AND(对接源_02物料!$X808="公司筐",N(对接源_02物料!$V808)&lt;&gt;0)),1,0)</f>
        <v>0</v>
      </c>
      <c r="U2008" s="1" t="n">
        <f aca="false">N(U2007)+$T2008</f>
        <v>28</v>
      </c>
      <c r="V2008" s="1" t="n">
        <f aca="false">IF(AND($L2008=1,AND(对接源_02物料!$X808="自备筐",N(对接源_02物料!$V808)&lt;&gt;0)),1,0)</f>
        <v>0</v>
      </c>
      <c r="W2008" s="1" t="n">
        <f aca="false">N(W2007)+$V2008</f>
        <v>7</v>
      </c>
      <c r="X2008" s="1" t="n">
        <f aca="false">IF(AND($L2008=1,AND(对接源_02物料!$X808="自备筐",N(对接源_02物料!$T808)&lt;&gt;0)),1,0)</f>
        <v>0</v>
      </c>
      <c r="Y2008" s="1" t="n">
        <f aca="false">N(Y2007)+$X2008</f>
        <v>0</v>
      </c>
      <c r="Z2008" s="1" t="n">
        <f aca="false">IF(AND($M2008=1,对接源_02物料!$D808="原料入库"),1,0)</f>
        <v>0</v>
      </c>
      <c r="AA2008" s="1" t="n">
        <f aca="false">N(AA2007)+$Z2008</f>
        <v>30</v>
      </c>
      <c r="AB2008" s="1" t="n">
        <f aca="false">IF(AND($M2008=1,LEFT(对接源_02物料!$D808,4)="原料出库"),1,0)</f>
        <v>0</v>
      </c>
      <c r="AC2008" s="1" t="n">
        <f aca="false">N(AC2007)+$AB2008</f>
        <v>19</v>
      </c>
      <c r="AD2008" s="1" t="n">
        <f aca="false">IF(AND($M2008=1,LEFT(对接源_02物料!$D808,4)="成品出库"),1,0)</f>
        <v>0</v>
      </c>
      <c r="AE2008" s="1" t="n">
        <f aca="false">N(AE2007)+$AD2008</f>
        <v>38</v>
      </c>
      <c r="AF2008" s="1" t="n">
        <f aca="false">IF(AND($N2008=1,AND(LEFT(对接源_02物料!$D808,4)="包装物料",N(对接源_02物料!$K808)&lt;&gt;0)),1,0)</f>
        <v>0</v>
      </c>
      <c r="AG2008" s="1" t="n">
        <f aca="false">N(AG2007)+$AF2008</f>
        <v>6</v>
      </c>
      <c r="AH2008" s="1" t="n">
        <f aca="false">IF(AND($N2008=1,AND(LEFT(对接源_02物料!$D808,3)="周转筐",N(对接源_02物料!$K808)&lt;&gt;0)),1,0)</f>
        <v>0</v>
      </c>
      <c r="AI2008" s="1" t="n">
        <f aca="false">N(AI2007)+$AH2008</f>
        <v>0</v>
      </c>
      <c r="AJ2008" s="1" t="n">
        <v>0</v>
      </c>
      <c r="AK2008" s="1" t="n">
        <f aca="false">N(AK2007)+$AJ2008</f>
        <v>3672</v>
      </c>
    </row>
    <row r="2009" customFormat="false" ht="13.5" hidden="false" customHeight="false" outlineLevel="0" collapsed="false">
      <c r="A2009" s="1" t="str">
        <f aca="false">IF(对接源_02物料!$C809="","",对接源_02物料!$C809)</f>
        <v/>
      </c>
      <c r="B2009" s="1" t="n">
        <f aca="false">IF(A2009="",0,IF(MATCH(A2009,$A$4:$A$2403,0)=ROW()-3,1,0))</f>
        <v>0</v>
      </c>
      <c r="C2009" s="1" t="n">
        <f aca="false">N(C2008)+B2009</f>
        <v>17</v>
      </c>
      <c r="K2009" s="1" t="n">
        <f aca="false">IF(OR($K$1="",对接源_02物料!$C809="",对接源_02物料!$C809&lt;&gt;$K$1,对接源_02物料!$B809=""),0,IF(OR(N(对接源_02物料!$B809)&lt;$K$2,N(对接源_02物料!$B809)&gt;$K$3),0,1))</f>
        <v>0</v>
      </c>
      <c r="L2009" s="1" t="n">
        <f aca="false">IF(OR($L$1="",对接源_02物料!$C809="",对接源_02物料!$C809&lt;&gt;$L$1,对接源_02物料!$B809=""),0,IF(OR(N(对接源_02物料!$B809)&lt;$L$2,N(对接源_02物料!$B809)&gt;$L$3),0,1))</f>
        <v>0</v>
      </c>
      <c r="M2009" s="1" t="n">
        <f aca="false">IF(OR($M$1="",对接源_02物料!$C809="",对接源_02物料!$C809&lt;&gt;$M$1,对接源_02物料!$B809=""),0,IF(OR(N(对接源_02物料!$B809)&lt;$M$2,N(对接源_02物料!$B809)&gt;$M$3),0,1))</f>
        <v>0</v>
      </c>
      <c r="N2009" s="1" t="n">
        <f aca="false">IF(OR($N$1="",对接源_02物料!$C809="",对接源_02物料!$C809&lt;&gt;$N$1,对接源_02物料!$B809=""),0,IF(OR(N(对接源_02物料!$B809)&lt;$N$2,N(对接源_02物料!$B809)&gt;$N$3),0,1))</f>
        <v>0</v>
      </c>
      <c r="P2009" s="1" t="n">
        <f aca="false">IF(AND($K2009=1,AND(对接源_02物料!$X809="公司筐",N(对接源_02物料!$T809)&lt;&gt;0)),1,0)</f>
        <v>0</v>
      </c>
      <c r="Q2009" s="1" t="n">
        <f aca="false">N(Q2008)+$P2009</f>
        <v>13</v>
      </c>
      <c r="R2009" s="1" t="n">
        <f aca="false">IF(AND($K2009=1,AND(对接源_02物料!$X809="公司筐",N(对接源_02物料!$U809)&lt;&gt;0)),1,0)</f>
        <v>0</v>
      </c>
      <c r="S2009" s="1" t="n">
        <f aca="false">N(S2008)+$R2009</f>
        <v>5</v>
      </c>
      <c r="T2009" s="1" t="n">
        <f aca="false">IF(AND($K2009=1,AND(对接源_02物料!$X809="公司筐",N(对接源_02物料!$V809)&lt;&gt;0)),1,0)</f>
        <v>0</v>
      </c>
      <c r="U2009" s="1" t="n">
        <f aca="false">N(U2008)+$T2009</f>
        <v>28</v>
      </c>
      <c r="V2009" s="1" t="n">
        <f aca="false">IF(AND($L2009=1,AND(对接源_02物料!$X809="自备筐",N(对接源_02物料!$V809)&lt;&gt;0)),1,0)</f>
        <v>0</v>
      </c>
      <c r="W2009" s="1" t="n">
        <f aca="false">N(W2008)+$V2009</f>
        <v>7</v>
      </c>
      <c r="X2009" s="1" t="n">
        <f aca="false">IF(AND($L2009=1,AND(对接源_02物料!$X809="自备筐",N(对接源_02物料!$T809)&lt;&gt;0)),1,0)</f>
        <v>0</v>
      </c>
      <c r="Y2009" s="1" t="n">
        <f aca="false">N(Y2008)+$X2009</f>
        <v>0</v>
      </c>
      <c r="Z2009" s="1" t="n">
        <f aca="false">IF(AND($M2009=1,对接源_02物料!$D809="原料入库"),1,0)</f>
        <v>0</v>
      </c>
      <c r="AA2009" s="1" t="n">
        <f aca="false">N(AA2008)+$Z2009</f>
        <v>30</v>
      </c>
      <c r="AB2009" s="1" t="n">
        <f aca="false">IF(AND($M2009=1,LEFT(对接源_02物料!$D809,4)="原料出库"),1,0)</f>
        <v>0</v>
      </c>
      <c r="AC2009" s="1" t="n">
        <f aca="false">N(AC2008)+$AB2009</f>
        <v>19</v>
      </c>
      <c r="AD2009" s="1" t="n">
        <f aca="false">IF(AND($M2009=1,LEFT(对接源_02物料!$D809,4)="成品出库"),1,0)</f>
        <v>0</v>
      </c>
      <c r="AE2009" s="1" t="n">
        <f aca="false">N(AE2008)+$AD2009</f>
        <v>38</v>
      </c>
      <c r="AF2009" s="1" t="n">
        <f aca="false">IF(AND($N2009=1,AND(LEFT(对接源_02物料!$D809,4)="包装物料",N(对接源_02物料!$K809)&lt;&gt;0)),1,0)</f>
        <v>0</v>
      </c>
      <c r="AG2009" s="1" t="n">
        <f aca="false">N(AG2008)+$AF2009</f>
        <v>6</v>
      </c>
      <c r="AH2009" s="1" t="n">
        <f aca="false">IF(AND($N2009=1,AND(LEFT(对接源_02物料!$D809,3)="周转筐",N(对接源_02物料!$K809)&lt;&gt;0)),1,0)</f>
        <v>0</v>
      </c>
      <c r="AI2009" s="1" t="n">
        <f aca="false">N(AI2008)+$AH2009</f>
        <v>0</v>
      </c>
      <c r="AJ2009" s="1" t="n">
        <v>0</v>
      </c>
      <c r="AK2009" s="1" t="n">
        <f aca="false">N(AK2008)+$AJ2009</f>
        <v>3672</v>
      </c>
    </row>
    <row r="2010" customFormat="false" ht="13.5" hidden="false" customHeight="false" outlineLevel="0" collapsed="false">
      <c r="A2010" s="1" t="str">
        <f aca="false">IF(对接源_02物料!$C810="","",对接源_02物料!$C810)</f>
        <v/>
      </c>
      <c r="B2010" s="1" t="n">
        <f aca="false">IF(A2010="",0,IF(MATCH(A2010,$A$4:$A$2403,0)=ROW()-3,1,0))</f>
        <v>0</v>
      </c>
      <c r="C2010" s="1" t="n">
        <f aca="false">N(C2009)+B2010</f>
        <v>17</v>
      </c>
      <c r="K2010" s="1" t="n">
        <f aca="false">IF(OR($K$1="",对接源_02物料!$C810="",对接源_02物料!$C810&lt;&gt;$K$1,对接源_02物料!$B810=""),0,IF(OR(N(对接源_02物料!$B810)&lt;$K$2,N(对接源_02物料!$B810)&gt;$K$3),0,1))</f>
        <v>0</v>
      </c>
      <c r="L2010" s="1" t="n">
        <f aca="false">IF(OR($L$1="",对接源_02物料!$C810="",对接源_02物料!$C810&lt;&gt;$L$1,对接源_02物料!$B810=""),0,IF(OR(N(对接源_02物料!$B810)&lt;$L$2,N(对接源_02物料!$B810)&gt;$L$3),0,1))</f>
        <v>0</v>
      </c>
      <c r="M2010" s="1" t="n">
        <f aca="false">IF(OR($M$1="",对接源_02物料!$C810="",对接源_02物料!$C810&lt;&gt;$M$1,对接源_02物料!$B810=""),0,IF(OR(N(对接源_02物料!$B810)&lt;$M$2,N(对接源_02物料!$B810)&gt;$M$3),0,1))</f>
        <v>0</v>
      </c>
      <c r="N2010" s="1" t="n">
        <f aca="false">IF(OR($N$1="",对接源_02物料!$C810="",对接源_02物料!$C810&lt;&gt;$N$1,对接源_02物料!$B810=""),0,IF(OR(N(对接源_02物料!$B810)&lt;$N$2,N(对接源_02物料!$B810)&gt;$N$3),0,1))</f>
        <v>0</v>
      </c>
      <c r="P2010" s="1" t="n">
        <f aca="false">IF(AND($K2010=1,AND(对接源_02物料!$X810="公司筐",N(对接源_02物料!$T810)&lt;&gt;0)),1,0)</f>
        <v>0</v>
      </c>
      <c r="Q2010" s="1" t="n">
        <f aca="false">N(Q2009)+$P2010</f>
        <v>13</v>
      </c>
      <c r="R2010" s="1" t="n">
        <f aca="false">IF(AND($K2010=1,AND(对接源_02物料!$X810="公司筐",N(对接源_02物料!$U810)&lt;&gt;0)),1,0)</f>
        <v>0</v>
      </c>
      <c r="S2010" s="1" t="n">
        <f aca="false">N(S2009)+$R2010</f>
        <v>5</v>
      </c>
      <c r="T2010" s="1" t="n">
        <f aca="false">IF(AND($K2010=1,AND(对接源_02物料!$X810="公司筐",N(对接源_02物料!$V810)&lt;&gt;0)),1,0)</f>
        <v>0</v>
      </c>
      <c r="U2010" s="1" t="n">
        <f aca="false">N(U2009)+$T2010</f>
        <v>28</v>
      </c>
      <c r="V2010" s="1" t="n">
        <f aca="false">IF(AND($L2010=1,AND(对接源_02物料!$X810="自备筐",N(对接源_02物料!$V810)&lt;&gt;0)),1,0)</f>
        <v>0</v>
      </c>
      <c r="W2010" s="1" t="n">
        <f aca="false">N(W2009)+$V2010</f>
        <v>7</v>
      </c>
      <c r="X2010" s="1" t="n">
        <f aca="false">IF(AND($L2010=1,AND(对接源_02物料!$X810="自备筐",N(对接源_02物料!$T810)&lt;&gt;0)),1,0)</f>
        <v>0</v>
      </c>
      <c r="Y2010" s="1" t="n">
        <f aca="false">N(Y2009)+$X2010</f>
        <v>0</v>
      </c>
      <c r="Z2010" s="1" t="n">
        <f aca="false">IF(AND($M2010=1,对接源_02物料!$D810="原料入库"),1,0)</f>
        <v>0</v>
      </c>
      <c r="AA2010" s="1" t="n">
        <f aca="false">N(AA2009)+$Z2010</f>
        <v>30</v>
      </c>
      <c r="AB2010" s="1" t="n">
        <f aca="false">IF(AND($M2010=1,LEFT(对接源_02物料!$D810,4)="原料出库"),1,0)</f>
        <v>0</v>
      </c>
      <c r="AC2010" s="1" t="n">
        <f aca="false">N(AC2009)+$AB2010</f>
        <v>19</v>
      </c>
      <c r="AD2010" s="1" t="n">
        <f aca="false">IF(AND($M2010=1,LEFT(对接源_02物料!$D810,4)="成品出库"),1,0)</f>
        <v>0</v>
      </c>
      <c r="AE2010" s="1" t="n">
        <f aca="false">N(AE2009)+$AD2010</f>
        <v>38</v>
      </c>
      <c r="AF2010" s="1" t="n">
        <f aca="false">IF(AND($N2010=1,AND(LEFT(对接源_02物料!$D810,4)="包装物料",N(对接源_02物料!$K810)&lt;&gt;0)),1,0)</f>
        <v>0</v>
      </c>
      <c r="AG2010" s="1" t="n">
        <f aca="false">N(AG2009)+$AF2010</f>
        <v>6</v>
      </c>
      <c r="AH2010" s="1" t="n">
        <f aca="false">IF(AND($N2010=1,AND(LEFT(对接源_02物料!$D810,3)="周转筐",N(对接源_02物料!$K810)&lt;&gt;0)),1,0)</f>
        <v>0</v>
      </c>
      <c r="AI2010" s="1" t="n">
        <f aca="false">N(AI2009)+$AH2010</f>
        <v>0</v>
      </c>
      <c r="AJ2010" s="1" t="n">
        <v>0</v>
      </c>
      <c r="AK2010" s="1" t="n">
        <f aca="false">N(AK2009)+$AJ2010</f>
        <v>3672</v>
      </c>
    </row>
    <row r="2011" customFormat="false" ht="13.5" hidden="false" customHeight="false" outlineLevel="0" collapsed="false">
      <c r="A2011" s="1" t="str">
        <f aca="false">IF(对接源_02物料!$C811="","",对接源_02物料!$C811)</f>
        <v/>
      </c>
      <c r="B2011" s="1" t="n">
        <f aca="false">IF(A2011="",0,IF(MATCH(A2011,$A$4:$A$2403,0)=ROW()-3,1,0))</f>
        <v>0</v>
      </c>
      <c r="C2011" s="1" t="n">
        <f aca="false">N(C2010)+B2011</f>
        <v>17</v>
      </c>
      <c r="K2011" s="1" t="n">
        <f aca="false">IF(OR($K$1="",对接源_02物料!$C811="",对接源_02物料!$C811&lt;&gt;$K$1,对接源_02物料!$B811=""),0,IF(OR(N(对接源_02物料!$B811)&lt;$K$2,N(对接源_02物料!$B811)&gt;$K$3),0,1))</f>
        <v>0</v>
      </c>
      <c r="L2011" s="1" t="n">
        <f aca="false">IF(OR($L$1="",对接源_02物料!$C811="",对接源_02物料!$C811&lt;&gt;$L$1,对接源_02物料!$B811=""),0,IF(OR(N(对接源_02物料!$B811)&lt;$L$2,N(对接源_02物料!$B811)&gt;$L$3),0,1))</f>
        <v>0</v>
      </c>
      <c r="M2011" s="1" t="n">
        <f aca="false">IF(OR($M$1="",对接源_02物料!$C811="",对接源_02物料!$C811&lt;&gt;$M$1,对接源_02物料!$B811=""),0,IF(OR(N(对接源_02物料!$B811)&lt;$M$2,N(对接源_02物料!$B811)&gt;$M$3),0,1))</f>
        <v>0</v>
      </c>
      <c r="N2011" s="1" t="n">
        <f aca="false">IF(OR($N$1="",对接源_02物料!$C811="",对接源_02物料!$C811&lt;&gt;$N$1,对接源_02物料!$B811=""),0,IF(OR(N(对接源_02物料!$B811)&lt;$N$2,N(对接源_02物料!$B811)&gt;$N$3),0,1))</f>
        <v>0</v>
      </c>
      <c r="P2011" s="1" t="n">
        <f aca="false">IF(AND($K2011=1,AND(对接源_02物料!$X811="公司筐",N(对接源_02物料!$T811)&lt;&gt;0)),1,0)</f>
        <v>0</v>
      </c>
      <c r="Q2011" s="1" t="n">
        <f aca="false">N(Q2010)+$P2011</f>
        <v>13</v>
      </c>
      <c r="R2011" s="1" t="n">
        <f aca="false">IF(AND($K2011=1,AND(对接源_02物料!$X811="公司筐",N(对接源_02物料!$U811)&lt;&gt;0)),1,0)</f>
        <v>0</v>
      </c>
      <c r="S2011" s="1" t="n">
        <f aca="false">N(S2010)+$R2011</f>
        <v>5</v>
      </c>
      <c r="T2011" s="1" t="n">
        <f aca="false">IF(AND($K2011=1,AND(对接源_02物料!$X811="公司筐",N(对接源_02物料!$V811)&lt;&gt;0)),1,0)</f>
        <v>0</v>
      </c>
      <c r="U2011" s="1" t="n">
        <f aca="false">N(U2010)+$T2011</f>
        <v>28</v>
      </c>
      <c r="V2011" s="1" t="n">
        <f aca="false">IF(AND($L2011=1,AND(对接源_02物料!$X811="自备筐",N(对接源_02物料!$V811)&lt;&gt;0)),1,0)</f>
        <v>0</v>
      </c>
      <c r="W2011" s="1" t="n">
        <f aca="false">N(W2010)+$V2011</f>
        <v>7</v>
      </c>
      <c r="X2011" s="1" t="n">
        <f aca="false">IF(AND($L2011=1,AND(对接源_02物料!$X811="自备筐",N(对接源_02物料!$T811)&lt;&gt;0)),1,0)</f>
        <v>0</v>
      </c>
      <c r="Y2011" s="1" t="n">
        <f aca="false">N(Y2010)+$X2011</f>
        <v>0</v>
      </c>
      <c r="Z2011" s="1" t="n">
        <f aca="false">IF(AND($M2011=1,对接源_02物料!$D811="原料入库"),1,0)</f>
        <v>0</v>
      </c>
      <c r="AA2011" s="1" t="n">
        <f aca="false">N(AA2010)+$Z2011</f>
        <v>30</v>
      </c>
      <c r="AB2011" s="1" t="n">
        <f aca="false">IF(AND($M2011=1,LEFT(对接源_02物料!$D811,4)="原料出库"),1,0)</f>
        <v>0</v>
      </c>
      <c r="AC2011" s="1" t="n">
        <f aca="false">N(AC2010)+$AB2011</f>
        <v>19</v>
      </c>
      <c r="AD2011" s="1" t="n">
        <f aca="false">IF(AND($M2011=1,LEFT(对接源_02物料!$D811,4)="成品出库"),1,0)</f>
        <v>0</v>
      </c>
      <c r="AE2011" s="1" t="n">
        <f aca="false">N(AE2010)+$AD2011</f>
        <v>38</v>
      </c>
      <c r="AF2011" s="1" t="n">
        <f aca="false">IF(AND($N2011=1,AND(LEFT(对接源_02物料!$D811,4)="包装物料",N(对接源_02物料!$K811)&lt;&gt;0)),1,0)</f>
        <v>0</v>
      </c>
      <c r="AG2011" s="1" t="n">
        <f aca="false">N(AG2010)+$AF2011</f>
        <v>6</v>
      </c>
      <c r="AH2011" s="1" t="n">
        <f aca="false">IF(AND($N2011=1,AND(LEFT(对接源_02物料!$D811,3)="周转筐",N(对接源_02物料!$K811)&lt;&gt;0)),1,0)</f>
        <v>0</v>
      </c>
      <c r="AI2011" s="1" t="n">
        <f aca="false">N(AI2010)+$AH2011</f>
        <v>0</v>
      </c>
      <c r="AJ2011" s="1" t="n">
        <v>0</v>
      </c>
      <c r="AK2011" s="1" t="n">
        <f aca="false">N(AK2010)+$AJ2011</f>
        <v>3672</v>
      </c>
    </row>
    <row r="2012" customFormat="false" ht="13.5" hidden="false" customHeight="false" outlineLevel="0" collapsed="false">
      <c r="A2012" s="1" t="str">
        <f aca="false">IF(对接源_02物料!$C812="","",对接源_02物料!$C812)</f>
        <v/>
      </c>
      <c r="B2012" s="1" t="n">
        <f aca="false">IF(A2012="",0,IF(MATCH(A2012,$A$4:$A$2403,0)=ROW()-3,1,0))</f>
        <v>0</v>
      </c>
      <c r="C2012" s="1" t="n">
        <f aca="false">N(C2011)+B2012</f>
        <v>17</v>
      </c>
      <c r="K2012" s="1" t="n">
        <f aca="false">IF(OR($K$1="",对接源_02物料!$C812="",对接源_02物料!$C812&lt;&gt;$K$1,对接源_02物料!$B812=""),0,IF(OR(N(对接源_02物料!$B812)&lt;$K$2,N(对接源_02物料!$B812)&gt;$K$3),0,1))</f>
        <v>0</v>
      </c>
      <c r="L2012" s="1" t="n">
        <f aca="false">IF(OR($L$1="",对接源_02物料!$C812="",对接源_02物料!$C812&lt;&gt;$L$1,对接源_02物料!$B812=""),0,IF(OR(N(对接源_02物料!$B812)&lt;$L$2,N(对接源_02物料!$B812)&gt;$L$3),0,1))</f>
        <v>0</v>
      </c>
      <c r="M2012" s="1" t="n">
        <f aca="false">IF(OR($M$1="",对接源_02物料!$C812="",对接源_02物料!$C812&lt;&gt;$M$1,对接源_02物料!$B812=""),0,IF(OR(N(对接源_02物料!$B812)&lt;$M$2,N(对接源_02物料!$B812)&gt;$M$3),0,1))</f>
        <v>0</v>
      </c>
      <c r="N2012" s="1" t="n">
        <f aca="false">IF(OR($N$1="",对接源_02物料!$C812="",对接源_02物料!$C812&lt;&gt;$N$1,对接源_02物料!$B812=""),0,IF(OR(N(对接源_02物料!$B812)&lt;$N$2,N(对接源_02物料!$B812)&gt;$N$3),0,1))</f>
        <v>0</v>
      </c>
      <c r="P2012" s="1" t="n">
        <f aca="false">IF(AND($K2012=1,AND(对接源_02物料!$X812="公司筐",N(对接源_02物料!$T812)&lt;&gt;0)),1,0)</f>
        <v>0</v>
      </c>
      <c r="Q2012" s="1" t="n">
        <f aca="false">N(Q2011)+$P2012</f>
        <v>13</v>
      </c>
      <c r="R2012" s="1" t="n">
        <f aca="false">IF(AND($K2012=1,AND(对接源_02物料!$X812="公司筐",N(对接源_02物料!$U812)&lt;&gt;0)),1,0)</f>
        <v>0</v>
      </c>
      <c r="S2012" s="1" t="n">
        <f aca="false">N(S2011)+$R2012</f>
        <v>5</v>
      </c>
      <c r="T2012" s="1" t="n">
        <f aca="false">IF(AND($K2012=1,AND(对接源_02物料!$X812="公司筐",N(对接源_02物料!$V812)&lt;&gt;0)),1,0)</f>
        <v>0</v>
      </c>
      <c r="U2012" s="1" t="n">
        <f aca="false">N(U2011)+$T2012</f>
        <v>28</v>
      </c>
      <c r="V2012" s="1" t="n">
        <f aca="false">IF(AND($L2012=1,AND(对接源_02物料!$X812="自备筐",N(对接源_02物料!$V812)&lt;&gt;0)),1,0)</f>
        <v>0</v>
      </c>
      <c r="W2012" s="1" t="n">
        <f aca="false">N(W2011)+$V2012</f>
        <v>7</v>
      </c>
      <c r="X2012" s="1" t="n">
        <f aca="false">IF(AND($L2012=1,AND(对接源_02物料!$X812="自备筐",N(对接源_02物料!$T812)&lt;&gt;0)),1,0)</f>
        <v>0</v>
      </c>
      <c r="Y2012" s="1" t="n">
        <f aca="false">N(Y2011)+$X2012</f>
        <v>0</v>
      </c>
      <c r="Z2012" s="1" t="n">
        <f aca="false">IF(AND($M2012=1,对接源_02物料!$D812="原料入库"),1,0)</f>
        <v>0</v>
      </c>
      <c r="AA2012" s="1" t="n">
        <f aca="false">N(AA2011)+$Z2012</f>
        <v>30</v>
      </c>
      <c r="AB2012" s="1" t="n">
        <f aca="false">IF(AND($M2012=1,LEFT(对接源_02物料!$D812,4)="原料出库"),1,0)</f>
        <v>0</v>
      </c>
      <c r="AC2012" s="1" t="n">
        <f aca="false">N(AC2011)+$AB2012</f>
        <v>19</v>
      </c>
      <c r="AD2012" s="1" t="n">
        <f aca="false">IF(AND($M2012=1,LEFT(对接源_02物料!$D812,4)="成品出库"),1,0)</f>
        <v>0</v>
      </c>
      <c r="AE2012" s="1" t="n">
        <f aca="false">N(AE2011)+$AD2012</f>
        <v>38</v>
      </c>
      <c r="AF2012" s="1" t="n">
        <f aca="false">IF(AND($N2012=1,AND(LEFT(对接源_02物料!$D812,4)="包装物料",N(对接源_02物料!$K812)&lt;&gt;0)),1,0)</f>
        <v>0</v>
      </c>
      <c r="AG2012" s="1" t="n">
        <f aca="false">N(AG2011)+$AF2012</f>
        <v>6</v>
      </c>
      <c r="AH2012" s="1" t="n">
        <f aca="false">IF(AND($N2012=1,AND(LEFT(对接源_02物料!$D812,3)="周转筐",N(对接源_02物料!$K812)&lt;&gt;0)),1,0)</f>
        <v>0</v>
      </c>
      <c r="AI2012" s="1" t="n">
        <f aca="false">N(AI2011)+$AH2012</f>
        <v>0</v>
      </c>
      <c r="AJ2012" s="1" t="n">
        <v>0</v>
      </c>
      <c r="AK2012" s="1" t="n">
        <f aca="false">N(AK2011)+$AJ2012</f>
        <v>3672</v>
      </c>
    </row>
    <row r="2013" customFormat="false" ht="13.5" hidden="false" customHeight="false" outlineLevel="0" collapsed="false">
      <c r="A2013" s="1" t="str">
        <f aca="false">IF(对接源_02物料!$C813="","",对接源_02物料!$C813)</f>
        <v/>
      </c>
      <c r="B2013" s="1" t="n">
        <f aca="false">IF(A2013="",0,IF(MATCH(A2013,$A$4:$A$2403,0)=ROW()-3,1,0))</f>
        <v>0</v>
      </c>
      <c r="C2013" s="1" t="n">
        <f aca="false">N(C2012)+B2013</f>
        <v>17</v>
      </c>
      <c r="K2013" s="1" t="n">
        <f aca="false">IF(OR($K$1="",对接源_02物料!$C813="",对接源_02物料!$C813&lt;&gt;$K$1,对接源_02物料!$B813=""),0,IF(OR(N(对接源_02物料!$B813)&lt;$K$2,N(对接源_02物料!$B813)&gt;$K$3),0,1))</f>
        <v>0</v>
      </c>
      <c r="L2013" s="1" t="n">
        <f aca="false">IF(OR($L$1="",对接源_02物料!$C813="",对接源_02物料!$C813&lt;&gt;$L$1,对接源_02物料!$B813=""),0,IF(OR(N(对接源_02物料!$B813)&lt;$L$2,N(对接源_02物料!$B813)&gt;$L$3),0,1))</f>
        <v>0</v>
      </c>
      <c r="M2013" s="1" t="n">
        <f aca="false">IF(OR($M$1="",对接源_02物料!$C813="",对接源_02物料!$C813&lt;&gt;$M$1,对接源_02物料!$B813=""),0,IF(OR(N(对接源_02物料!$B813)&lt;$M$2,N(对接源_02物料!$B813)&gt;$M$3),0,1))</f>
        <v>0</v>
      </c>
      <c r="N2013" s="1" t="n">
        <f aca="false">IF(OR($N$1="",对接源_02物料!$C813="",对接源_02物料!$C813&lt;&gt;$N$1,对接源_02物料!$B813=""),0,IF(OR(N(对接源_02物料!$B813)&lt;$N$2,N(对接源_02物料!$B813)&gt;$N$3),0,1))</f>
        <v>0</v>
      </c>
      <c r="P2013" s="1" t="n">
        <f aca="false">IF(AND($K2013=1,AND(对接源_02物料!$X813="公司筐",N(对接源_02物料!$T813)&lt;&gt;0)),1,0)</f>
        <v>0</v>
      </c>
      <c r="Q2013" s="1" t="n">
        <f aca="false">N(Q2012)+$P2013</f>
        <v>13</v>
      </c>
      <c r="R2013" s="1" t="n">
        <f aca="false">IF(AND($K2013=1,AND(对接源_02物料!$X813="公司筐",N(对接源_02物料!$U813)&lt;&gt;0)),1,0)</f>
        <v>0</v>
      </c>
      <c r="S2013" s="1" t="n">
        <f aca="false">N(S2012)+$R2013</f>
        <v>5</v>
      </c>
      <c r="T2013" s="1" t="n">
        <f aca="false">IF(AND($K2013=1,AND(对接源_02物料!$X813="公司筐",N(对接源_02物料!$V813)&lt;&gt;0)),1,0)</f>
        <v>0</v>
      </c>
      <c r="U2013" s="1" t="n">
        <f aca="false">N(U2012)+$T2013</f>
        <v>28</v>
      </c>
      <c r="V2013" s="1" t="n">
        <f aca="false">IF(AND($L2013=1,AND(对接源_02物料!$X813="自备筐",N(对接源_02物料!$V813)&lt;&gt;0)),1,0)</f>
        <v>0</v>
      </c>
      <c r="W2013" s="1" t="n">
        <f aca="false">N(W2012)+$V2013</f>
        <v>7</v>
      </c>
      <c r="X2013" s="1" t="n">
        <f aca="false">IF(AND($L2013=1,AND(对接源_02物料!$X813="自备筐",N(对接源_02物料!$T813)&lt;&gt;0)),1,0)</f>
        <v>0</v>
      </c>
      <c r="Y2013" s="1" t="n">
        <f aca="false">N(Y2012)+$X2013</f>
        <v>0</v>
      </c>
      <c r="Z2013" s="1" t="n">
        <f aca="false">IF(AND($M2013=1,对接源_02物料!$D813="原料入库"),1,0)</f>
        <v>0</v>
      </c>
      <c r="AA2013" s="1" t="n">
        <f aca="false">N(AA2012)+$Z2013</f>
        <v>30</v>
      </c>
      <c r="AB2013" s="1" t="n">
        <f aca="false">IF(AND($M2013=1,LEFT(对接源_02物料!$D813,4)="原料出库"),1,0)</f>
        <v>0</v>
      </c>
      <c r="AC2013" s="1" t="n">
        <f aca="false">N(AC2012)+$AB2013</f>
        <v>19</v>
      </c>
      <c r="AD2013" s="1" t="n">
        <f aca="false">IF(AND($M2013=1,LEFT(对接源_02物料!$D813,4)="成品出库"),1,0)</f>
        <v>0</v>
      </c>
      <c r="AE2013" s="1" t="n">
        <f aca="false">N(AE2012)+$AD2013</f>
        <v>38</v>
      </c>
      <c r="AF2013" s="1" t="n">
        <f aca="false">IF(AND($N2013=1,AND(LEFT(对接源_02物料!$D813,4)="包装物料",N(对接源_02物料!$K813)&lt;&gt;0)),1,0)</f>
        <v>0</v>
      </c>
      <c r="AG2013" s="1" t="n">
        <f aca="false">N(AG2012)+$AF2013</f>
        <v>6</v>
      </c>
      <c r="AH2013" s="1" t="n">
        <f aca="false">IF(AND($N2013=1,AND(LEFT(对接源_02物料!$D813,3)="周转筐",N(对接源_02物料!$K813)&lt;&gt;0)),1,0)</f>
        <v>0</v>
      </c>
      <c r="AI2013" s="1" t="n">
        <f aca="false">N(AI2012)+$AH2013</f>
        <v>0</v>
      </c>
      <c r="AJ2013" s="1" t="n">
        <v>0</v>
      </c>
      <c r="AK2013" s="1" t="n">
        <f aca="false">N(AK2012)+$AJ2013</f>
        <v>3672</v>
      </c>
    </row>
    <row r="2014" customFormat="false" ht="13.5" hidden="false" customHeight="false" outlineLevel="0" collapsed="false">
      <c r="A2014" s="1" t="str">
        <f aca="false">IF(对接源_02物料!$C814="","",对接源_02物料!$C814)</f>
        <v/>
      </c>
      <c r="B2014" s="1" t="n">
        <f aca="false">IF(A2014="",0,IF(MATCH(A2014,$A$4:$A$2403,0)=ROW()-3,1,0))</f>
        <v>0</v>
      </c>
      <c r="C2014" s="1" t="n">
        <f aca="false">N(C2013)+B2014</f>
        <v>17</v>
      </c>
      <c r="K2014" s="1" t="n">
        <f aca="false">IF(OR($K$1="",对接源_02物料!$C814="",对接源_02物料!$C814&lt;&gt;$K$1,对接源_02物料!$B814=""),0,IF(OR(N(对接源_02物料!$B814)&lt;$K$2,N(对接源_02物料!$B814)&gt;$K$3),0,1))</f>
        <v>0</v>
      </c>
      <c r="L2014" s="1" t="n">
        <f aca="false">IF(OR($L$1="",对接源_02物料!$C814="",对接源_02物料!$C814&lt;&gt;$L$1,对接源_02物料!$B814=""),0,IF(OR(N(对接源_02物料!$B814)&lt;$L$2,N(对接源_02物料!$B814)&gt;$L$3),0,1))</f>
        <v>0</v>
      </c>
      <c r="M2014" s="1" t="n">
        <f aca="false">IF(OR($M$1="",对接源_02物料!$C814="",对接源_02物料!$C814&lt;&gt;$M$1,对接源_02物料!$B814=""),0,IF(OR(N(对接源_02物料!$B814)&lt;$M$2,N(对接源_02物料!$B814)&gt;$M$3),0,1))</f>
        <v>0</v>
      </c>
      <c r="N2014" s="1" t="n">
        <f aca="false">IF(OR($N$1="",对接源_02物料!$C814="",对接源_02物料!$C814&lt;&gt;$N$1,对接源_02物料!$B814=""),0,IF(OR(N(对接源_02物料!$B814)&lt;$N$2,N(对接源_02物料!$B814)&gt;$N$3),0,1))</f>
        <v>0</v>
      </c>
      <c r="P2014" s="1" t="n">
        <f aca="false">IF(AND($K2014=1,AND(对接源_02物料!$X814="公司筐",N(对接源_02物料!$T814)&lt;&gt;0)),1,0)</f>
        <v>0</v>
      </c>
      <c r="Q2014" s="1" t="n">
        <f aca="false">N(Q2013)+$P2014</f>
        <v>13</v>
      </c>
      <c r="R2014" s="1" t="n">
        <f aca="false">IF(AND($K2014=1,AND(对接源_02物料!$X814="公司筐",N(对接源_02物料!$U814)&lt;&gt;0)),1,0)</f>
        <v>0</v>
      </c>
      <c r="S2014" s="1" t="n">
        <f aca="false">N(S2013)+$R2014</f>
        <v>5</v>
      </c>
      <c r="T2014" s="1" t="n">
        <f aca="false">IF(AND($K2014=1,AND(对接源_02物料!$X814="公司筐",N(对接源_02物料!$V814)&lt;&gt;0)),1,0)</f>
        <v>0</v>
      </c>
      <c r="U2014" s="1" t="n">
        <f aca="false">N(U2013)+$T2014</f>
        <v>28</v>
      </c>
      <c r="V2014" s="1" t="n">
        <f aca="false">IF(AND($L2014=1,AND(对接源_02物料!$X814="自备筐",N(对接源_02物料!$V814)&lt;&gt;0)),1,0)</f>
        <v>0</v>
      </c>
      <c r="W2014" s="1" t="n">
        <f aca="false">N(W2013)+$V2014</f>
        <v>7</v>
      </c>
      <c r="X2014" s="1" t="n">
        <f aca="false">IF(AND($L2014=1,AND(对接源_02物料!$X814="自备筐",N(对接源_02物料!$T814)&lt;&gt;0)),1,0)</f>
        <v>0</v>
      </c>
      <c r="Y2014" s="1" t="n">
        <f aca="false">N(Y2013)+$X2014</f>
        <v>0</v>
      </c>
      <c r="Z2014" s="1" t="n">
        <f aca="false">IF(AND($M2014=1,对接源_02物料!$D814="原料入库"),1,0)</f>
        <v>0</v>
      </c>
      <c r="AA2014" s="1" t="n">
        <f aca="false">N(AA2013)+$Z2014</f>
        <v>30</v>
      </c>
      <c r="AB2014" s="1" t="n">
        <f aca="false">IF(AND($M2014=1,LEFT(对接源_02物料!$D814,4)="原料出库"),1,0)</f>
        <v>0</v>
      </c>
      <c r="AC2014" s="1" t="n">
        <f aca="false">N(AC2013)+$AB2014</f>
        <v>19</v>
      </c>
      <c r="AD2014" s="1" t="n">
        <f aca="false">IF(AND($M2014=1,LEFT(对接源_02物料!$D814,4)="成品出库"),1,0)</f>
        <v>0</v>
      </c>
      <c r="AE2014" s="1" t="n">
        <f aca="false">N(AE2013)+$AD2014</f>
        <v>38</v>
      </c>
      <c r="AF2014" s="1" t="n">
        <f aca="false">IF(AND($N2014=1,AND(LEFT(对接源_02物料!$D814,4)="包装物料",N(对接源_02物料!$K814)&lt;&gt;0)),1,0)</f>
        <v>0</v>
      </c>
      <c r="AG2014" s="1" t="n">
        <f aca="false">N(AG2013)+$AF2014</f>
        <v>6</v>
      </c>
      <c r="AH2014" s="1" t="n">
        <f aca="false">IF(AND($N2014=1,AND(LEFT(对接源_02物料!$D814,3)="周转筐",N(对接源_02物料!$K814)&lt;&gt;0)),1,0)</f>
        <v>0</v>
      </c>
      <c r="AI2014" s="1" t="n">
        <f aca="false">N(AI2013)+$AH2014</f>
        <v>0</v>
      </c>
      <c r="AJ2014" s="1" t="n">
        <v>0</v>
      </c>
      <c r="AK2014" s="1" t="n">
        <f aca="false">N(AK2013)+$AJ2014</f>
        <v>3672</v>
      </c>
    </row>
    <row r="2015" customFormat="false" ht="13.5" hidden="false" customHeight="false" outlineLevel="0" collapsed="false">
      <c r="A2015" s="1" t="str">
        <f aca="false">IF(对接源_02物料!$C815="","",对接源_02物料!$C815)</f>
        <v/>
      </c>
      <c r="B2015" s="1" t="n">
        <f aca="false">IF(A2015="",0,IF(MATCH(A2015,$A$4:$A$2403,0)=ROW()-3,1,0))</f>
        <v>0</v>
      </c>
      <c r="C2015" s="1" t="n">
        <f aca="false">N(C2014)+B2015</f>
        <v>17</v>
      </c>
      <c r="K2015" s="1" t="n">
        <f aca="false">IF(OR($K$1="",对接源_02物料!$C815="",对接源_02物料!$C815&lt;&gt;$K$1,对接源_02物料!$B815=""),0,IF(OR(N(对接源_02物料!$B815)&lt;$K$2,N(对接源_02物料!$B815)&gt;$K$3),0,1))</f>
        <v>0</v>
      </c>
      <c r="L2015" s="1" t="n">
        <f aca="false">IF(OR($L$1="",对接源_02物料!$C815="",对接源_02物料!$C815&lt;&gt;$L$1,对接源_02物料!$B815=""),0,IF(OR(N(对接源_02物料!$B815)&lt;$L$2,N(对接源_02物料!$B815)&gt;$L$3),0,1))</f>
        <v>0</v>
      </c>
      <c r="M2015" s="1" t="n">
        <f aca="false">IF(OR($M$1="",对接源_02物料!$C815="",对接源_02物料!$C815&lt;&gt;$M$1,对接源_02物料!$B815=""),0,IF(OR(N(对接源_02物料!$B815)&lt;$M$2,N(对接源_02物料!$B815)&gt;$M$3),0,1))</f>
        <v>0</v>
      </c>
      <c r="N2015" s="1" t="n">
        <f aca="false">IF(OR($N$1="",对接源_02物料!$C815="",对接源_02物料!$C815&lt;&gt;$N$1,对接源_02物料!$B815=""),0,IF(OR(N(对接源_02物料!$B815)&lt;$N$2,N(对接源_02物料!$B815)&gt;$N$3),0,1))</f>
        <v>0</v>
      </c>
      <c r="P2015" s="1" t="n">
        <f aca="false">IF(AND($K2015=1,AND(对接源_02物料!$X815="公司筐",N(对接源_02物料!$T815)&lt;&gt;0)),1,0)</f>
        <v>0</v>
      </c>
      <c r="Q2015" s="1" t="n">
        <f aca="false">N(Q2014)+$P2015</f>
        <v>13</v>
      </c>
      <c r="R2015" s="1" t="n">
        <f aca="false">IF(AND($K2015=1,AND(对接源_02物料!$X815="公司筐",N(对接源_02物料!$U815)&lt;&gt;0)),1,0)</f>
        <v>0</v>
      </c>
      <c r="S2015" s="1" t="n">
        <f aca="false">N(S2014)+$R2015</f>
        <v>5</v>
      </c>
      <c r="T2015" s="1" t="n">
        <f aca="false">IF(AND($K2015=1,AND(对接源_02物料!$X815="公司筐",N(对接源_02物料!$V815)&lt;&gt;0)),1,0)</f>
        <v>0</v>
      </c>
      <c r="U2015" s="1" t="n">
        <f aca="false">N(U2014)+$T2015</f>
        <v>28</v>
      </c>
      <c r="V2015" s="1" t="n">
        <f aca="false">IF(AND($L2015=1,AND(对接源_02物料!$X815="自备筐",N(对接源_02物料!$V815)&lt;&gt;0)),1,0)</f>
        <v>0</v>
      </c>
      <c r="W2015" s="1" t="n">
        <f aca="false">N(W2014)+$V2015</f>
        <v>7</v>
      </c>
      <c r="X2015" s="1" t="n">
        <f aca="false">IF(AND($L2015=1,AND(对接源_02物料!$X815="自备筐",N(对接源_02物料!$T815)&lt;&gt;0)),1,0)</f>
        <v>0</v>
      </c>
      <c r="Y2015" s="1" t="n">
        <f aca="false">N(Y2014)+$X2015</f>
        <v>0</v>
      </c>
      <c r="Z2015" s="1" t="n">
        <f aca="false">IF(AND($M2015=1,对接源_02物料!$D815="原料入库"),1,0)</f>
        <v>0</v>
      </c>
      <c r="AA2015" s="1" t="n">
        <f aca="false">N(AA2014)+$Z2015</f>
        <v>30</v>
      </c>
      <c r="AB2015" s="1" t="n">
        <f aca="false">IF(AND($M2015=1,LEFT(对接源_02物料!$D815,4)="原料出库"),1,0)</f>
        <v>0</v>
      </c>
      <c r="AC2015" s="1" t="n">
        <f aca="false">N(AC2014)+$AB2015</f>
        <v>19</v>
      </c>
      <c r="AD2015" s="1" t="n">
        <f aca="false">IF(AND($M2015=1,LEFT(对接源_02物料!$D815,4)="成品出库"),1,0)</f>
        <v>0</v>
      </c>
      <c r="AE2015" s="1" t="n">
        <f aca="false">N(AE2014)+$AD2015</f>
        <v>38</v>
      </c>
      <c r="AF2015" s="1" t="n">
        <f aca="false">IF(AND($N2015=1,AND(LEFT(对接源_02物料!$D815,4)="包装物料",N(对接源_02物料!$K815)&lt;&gt;0)),1,0)</f>
        <v>0</v>
      </c>
      <c r="AG2015" s="1" t="n">
        <f aca="false">N(AG2014)+$AF2015</f>
        <v>6</v>
      </c>
      <c r="AH2015" s="1" t="n">
        <f aca="false">IF(AND($N2015=1,AND(LEFT(对接源_02物料!$D815,3)="周转筐",N(对接源_02物料!$K815)&lt;&gt;0)),1,0)</f>
        <v>0</v>
      </c>
      <c r="AI2015" s="1" t="n">
        <f aca="false">N(AI2014)+$AH2015</f>
        <v>0</v>
      </c>
      <c r="AJ2015" s="1" t="n">
        <v>0</v>
      </c>
      <c r="AK2015" s="1" t="n">
        <f aca="false">N(AK2014)+$AJ2015</f>
        <v>3672</v>
      </c>
    </row>
    <row r="2016" customFormat="false" ht="13.5" hidden="false" customHeight="false" outlineLevel="0" collapsed="false">
      <c r="A2016" s="1" t="str">
        <f aca="false">IF(对接源_02物料!$C816="","",对接源_02物料!$C816)</f>
        <v/>
      </c>
      <c r="B2016" s="1" t="n">
        <f aca="false">IF(A2016="",0,IF(MATCH(A2016,$A$4:$A$2403,0)=ROW()-3,1,0))</f>
        <v>0</v>
      </c>
      <c r="C2016" s="1" t="n">
        <f aca="false">N(C2015)+B2016</f>
        <v>17</v>
      </c>
      <c r="K2016" s="1" t="n">
        <f aca="false">IF(OR($K$1="",对接源_02物料!$C816="",对接源_02物料!$C816&lt;&gt;$K$1,对接源_02物料!$B816=""),0,IF(OR(N(对接源_02物料!$B816)&lt;$K$2,N(对接源_02物料!$B816)&gt;$K$3),0,1))</f>
        <v>0</v>
      </c>
      <c r="L2016" s="1" t="n">
        <f aca="false">IF(OR($L$1="",对接源_02物料!$C816="",对接源_02物料!$C816&lt;&gt;$L$1,对接源_02物料!$B816=""),0,IF(OR(N(对接源_02物料!$B816)&lt;$L$2,N(对接源_02物料!$B816)&gt;$L$3),0,1))</f>
        <v>0</v>
      </c>
      <c r="M2016" s="1" t="n">
        <f aca="false">IF(OR($M$1="",对接源_02物料!$C816="",对接源_02物料!$C816&lt;&gt;$M$1,对接源_02物料!$B816=""),0,IF(OR(N(对接源_02物料!$B816)&lt;$M$2,N(对接源_02物料!$B816)&gt;$M$3),0,1))</f>
        <v>0</v>
      </c>
      <c r="N2016" s="1" t="n">
        <f aca="false">IF(OR($N$1="",对接源_02物料!$C816="",对接源_02物料!$C816&lt;&gt;$N$1,对接源_02物料!$B816=""),0,IF(OR(N(对接源_02物料!$B816)&lt;$N$2,N(对接源_02物料!$B816)&gt;$N$3),0,1))</f>
        <v>0</v>
      </c>
      <c r="P2016" s="1" t="n">
        <f aca="false">IF(AND($K2016=1,AND(对接源_02物料!$X816="公司筐",N(对接源_02物料!$T816)&lt;&gt;0)),1,0)</f>
        <v>0</v>
      </c>
      <c r="Q2016" s="1" t="n">
        <f aca="false">N(Q2015)+$P2016</f>
        <v>13</v>
      </c>
      <c r="R2016" s="1" t="n">
        <f aca="false">IF(AND($K2016=1,AND(对接源_02物料!$X816="公司筐",N(对接源_02物料!$U816)&lt;&gt;0)),1,0)</f>
        <v>0</v>
      </c>
      <c r="S2016" s="1" t="n">
        <f aca="false">N(S2015)+$R2016</f>
        <v>5</v>
      </c>
      <c r="T2016" s="1" t="n">
        <f aca="false">IF(AND($K2016=1,AND(对接源_02物料!$X816="公司筐",N(对接源_02物料!$V816)&lt;&gt;0)),1,0)</f>
        <v>0</v>
      </c>
      <c r="U2016" s="1" t="n">
        <f aca="false">N(U2015)+$T2016</f>
        <v>28</v>
      </c>
      <c r="V2016" s="1" t="n">
        <f aca="false">IF(AND($L2016=1,AND(对接源_02物料!$X816="自备筐",N(对接源_02物料!$V816)&lt;&gt;0)),1,0)</f>
        <v>0</v>
      </c>
      <c r="W2016" s="1" t="n">
        <f aca="false">N(W2015)+$V2016</f>
        <v>7</v>
      </c>
      <c r="X2016" s="1" t="n">
        <f aca="false">IF(AND($L2016=1,AND(对接源_02物料!$X816="自备筐",N(对接源_02物料!$T816)&lt;&gt;0)),1,0)</f>
        <v>0</v>
      </c>
      <c r="Y2016" s="1" t="n">
        <f aca="false">N(Y2015)+$X2016</f>
        <v>0</v>
      </c>
      <c r="Z2016" s="1" t="n">
        <f aca="false">IF(AND($M2016=1,对接源_02物料!$D816="原料入库"),1,0)</f>
        <v>0</v>
      </c>
      <c r="AA2016" s="1" t="n">
        <f aca="false">N(AA2015)+$Z2016</f>
        <v>30</v>
      </c>
      <c r="AB2016" s="1" t="n">
        <f aca="false">IF(AND($M2016=1,LEFT(对接源_02物料!$D816,4)="原料出库"),1,0)</f>
        <v>0</v>
      </c>
      <c r="AC2016" s="1" t="n">
        <f aca="false">N(AC2015)+$AB2016</f>
        <v>19</v>
      </c>
      <c r="AD2016" s="1" t="n">
        <f aca="false">IF(AND($M2016=1,LEFT(对接源_02物料!$D816,4)="成品出库"),1,0)</f>
        <v>0</v>
      </c>
      <c r="AE2016" s="1" t="n">
        <f aca="false">N(AE2015)+$AD2016</f>
        <v>38</v>
      </c>
      <c r="AF2016" s="1" t="n">
        <f aca="false">IF(AND($N2016=1,AND(LEFT(对接源_02物料!$D816,4)="包装物料",N(对接源_02物料!$K816)&lt;&gt;0)),1,0)</f>
        <v>0</v>
      </c>
      <c r="AG2016" s="1" t="n">
        <f aca="false">N(AG2015)+$AF2016</f>
        <v>6</v>
      </c>
      <c r="AH2016" s="1" t="n">
        <f aca="false">IF(AND($N2016=1,AND(LEFT(对接源_02物料!$D816,3)="周转筐",N(对接源_02物料!$K816)&lt;&gt;0)),1,0)</f>
        <v>0</v>
      </c>
      <c r="AI2016" s="1" t="n">
        <f aca="false">N(AI2015)+$AH2016</f>
        <v>0</v>
      </c>
      <c r="AJ2016" s="1" t="n">
        <v>0</v>
      </c>
      <c r="AK2016" s="1" t="n">
        <f aca="false">N(AK2015)+$AJ2016</f>
        <v>3672</v>
      </c>
    </row>
    <row r="2017" customFormat="false" ht="13.5" hidden="false" customHeight="false" outlineLevel="0" collapsed="false">
      <c r="A2017" s="1" t="str">
        <f aca="false">IF(对接源_02物料!$C817="","",对接源_02物料!$C817)</f>
        <v/>
      </c>
      <c r="B2017" s="1" t="n">
        <f aca="false">IF(A2017="",0,IF(MATCH(A2017,$A$4:$A$2403,0)=ROW()-3,1,0))</f>
        <v>0</v>
      </c>
      <c r="C2017" s="1" t="n">
        <f aca="false">N(C2016)+B2017</f>
        <v>17</v>
      </c>
      <c r="K2017" s="1" t="n">
        <f aca="false">IF(OR($K$1="",对接源_02物料!$C817="",对接源_02物料!$C817&lt;&gt;$K$1,对接源_02物料!$B817=""),0,IF(OR(N(对接源_02物料!$B817)&lt;$K$2,N(对接源_02物料!$B817)&gt;$K$3),0,1))</f>
        <v>0</v>
      </c>
      <c r="L2017" s="1" t="n">
        <f aca="false">IF(OR($L$1="",对接源_02物料!$C817="",对接源_02物料!$C817&lt;&gt;$L$1,对接源_02物料!$B817=""),0,IF(OR(N(对接源_02物料!$B817)&lt;$L$2,N(对接源_02物料!$B817)&gt;$L$3),0,1))</f>
        <v>0</v>
      </c>
      <c r="M2017" s="1" t="n">
        <f aca="false">IF(OR($M$1="",对接源_02物料!$C817="",对接源_02物料!$C817&lt;&gt;$M$1,对接源_02物料!$B817=""),0,IF(OR(N(对接源_02物料!$B817)&lt;$M$2,N(对接源_02物料!$B817)&gt;$M$3),0,1))</f>
        <v>0</v>
      </c>
      <c r="N2017" s="1" t="n">
        <f aca="false">IF(OR($N$1="",对接源_02物料!$C817="",对接源_02物料!$C817&lt;&gt;$N$1,对接源_02物料!$B817=""),0,IF(OR(N(对接源_02物料!$B817)&lt;$N$2,N(对接源_02物料!$B817)&gt;$N$3),0,1))</f>
        <v>0</v>
      </c>
      <c r="P2017" s="1" t="n">
        <f aca="false">IF(AND($K2017=1,AND(对接源_02物料!$X817="公司筐",N(对接源_02物料!$T817)&lt;&gt;0)),1,0)</f>
        <v>0</v>
      </c>
      <c r="Q2017" s="1" t="n">
        <f aca="false">N(Q2016)+$P2017</f>
        <v>13</v>
      </c>
      <c r="R2017" s="1" t="n">
        <f aca="false">IF(AND($K2017=1,AND(对接源_02物料!$X817="公司筐",N(对接源_02物料!$U817)&lt;&gt;0)),1,0)</f>
        <v>0</v>
      </c>
      <c r="S2017" s="1" t="n">
        <f aca="false">N(S2016)+$R2017</f>
        <v>5</v>
      </c>
      <c r="T2017" s="1" t="n">
        <f aca="false">IF(AND($K2017=1,AND(对接源_02物料!$X817="公司筐",N(对接源_02物料!$V817)&lt;&gt;0)),1,0)</f>
        <v>0</v>
      </c>
      <c r="U2017" s="1" t="n">
        <f aca="false">N(U2016)+$T2017</f>
        <v>28</v>
      </c>
      <c r="V2017" s="1" t="n">
        <f aca="false">IF(AND($L2017=1,AND(对接源_02物料!$X817="自备筐",N(对接源_02物料!$V817)&lt;&gt;0)),1,0)</f>
        <v>0</v>
      </c>
      <c r="W2017" s="1" t="n">
        <f aca="false">N(W2016)+$V2017</f>
        <v>7</v>
      </c>
      <c r="X2017" s="1" t="n">
        <f aca="false">IF(AND($L2017=1,AND(对接源_02物料!$X817="自备筐",N(对接源_02物料!$T817)&lt;&gt;0)),1,0)</f>
        <v>0</v>
      </c>
      <c r="Y2017" s="1" t="n">
        <f aca="false">N(Y2016)+$X2017</f>
        <v>0</v>
      </c>
      <c r="Z2017" s="1" t="n">
        <f aca="false">IF(AND($M2017=1,对接源_02物料!$D817="原料入库"),1,0)</f>
        <v>0</v>
      </c>
      <c r="AA2017" s="1" t="n">
        <f aca="false">N(AA2016)+$Z2017</f>
        <v>30</v>
      </c>
      <c r="AB2017" s="1" t="n">
        <f aca="false">IF(AND($M2017=1,LEFT(对接源_02物料!$D817,4)="原料出库"),1,0)</f>
        <v>0</v>
      </c>
      <c r="AC2017" s="1" t="n">
        <f aca="false">N(AC2016)+$AB2017</f>
        <v>19</v>
      </c>
      <c r="AD2017" s="1" t="n">
        <f aca="false">IF(AND($M2017=1,LEFT(对接源_02物料!$D817,4)="成品出库"),1,0)</f>
        <v>0</v>
      </c>
      <c r="AE2017" s="1" t="n">
        <f aca="false">N(AE2016)+$AD2017</f>
        <v>38</v>
      </c>
      <c r="AF2017" s="1" t="n">
        <f aca="false">IF(AND($N2017=1,AND(LEFT(对接源_02物料!$D817,4)="包装物料",N(对接源_02物料!$K817)&lt;&gt;0)),1,0)</f>
        <v>0</v>
      </c>
      <c r="AG2017" s="1" t="n">
        <f aca="false">N(AG2016)+$AF2017</f>
        <v>6</v>
      </c>
      <c r="AH2017" s="1" t="n">
        <f aca="false">IF(AND($N2017=1,AND(LEFT(对接源_02物料!$D817,3)="周转筐",N(对接源_02物料!$K817)&lt;&gt;0)),1,0)</f>
        <v>0</v>
      </c>
      <c r="AI2017" s="1" t="n">
        <f aca="false">N(AI2016)+$AH2017</f>
        <v>0</v>
      </c>
      <c r="AJ2017" s="1" t="n">
        <v>0</v>
      </c>
      <c r="AK2017" s="1" t="n">
        <f aca="false">N(AK2016)+$AJ2017</f>
        <v>3672</v>
      </c>
    </row>
    <row r="2018" customFormat="false" ht="13.5" hidden="false" customHeight="false" outlineLevel="0" collapsed="false">
      <c r="A2018" s="1" t="str">
        <f aca="false">IF(对接源_02物料!$C818="","",对接源_02物料!$C818)</f>
        <v/>
      </c>
      <c r="B2018" s="1" t="n">
        <f aca="false">IF(A2018="",0,IF(MATCH(A2018,$A$4:$A$2403,0)=ROW()-3,1,0))</f>
        <v>0</v>
      </c>
      <c r="C2018" s="1" t="n">
        <f aca="false">N(C2017)+B2018</f>
        <v>17</v>
      </c>
      <c r="K2018" s="1" t="n">
        <f aca="false">IF(OR($K$1="",对接源_02物料!$C818="",对接源_02物料!$C818&lt;&gt;$K$1,对接源_02物料!$B818=""),0,IF(OR(N(对接源_02物料!$B818)&lt;$K$2,N(对接源_02物料!$B818)&gt;$K$3),0,1))</f>
        <v>0</v>
      </c>
      <c r="L2018" s="1" t="n">
        <f aca="false">IF(OR($L$1="",对接源_02物料!$C818="",对接源_02物料!$C818&lt;&gt;$L$1,对接源_02物料!$B818=""),0,IF(OR(N(对接源_02物料!$B818)&lt;$L$2,N(对接源_02物料!$B818)&gt;$L$3),0,1))</f>
        <v>0</v>
      </c>
      <c r="M2018" s="1" t="n">
        <f aca="false">IF(OR($M$1="",对接源_02物料!$C818="",对接源_02物料!$C818&lt;&gt;$M$1,对接源_02物料!$B818=""),0,IF(OR(N(对接源_02物料!$B818)&lt;$M$2,N(对接源_02物料!$B818)&gt;$M$3),0,1))</f>
        <v>0</v>
      </c>
      <c r="N2018" s="1" t="n">
        <f aca="false">IF(OR($N$1="",对接源_02物料!$C818="",对接源_02物料!$C818&lt;&gt;$N$1,对接源_02物料!$B818=""),0,IF(OR(N(对接源_02物料!$B818)&lt;$N$2,N(对接源_02物料!$B818)&gt;$N$3),0,1))</f>
        <v>0</v>
      </c>
      <c r="P2018" s="1" t="n">
        <f aca="false">IF(AND($K2018=1,AND(对接源_02物料!$X818="公司筐",N(对接源_02物料!$T818)&lt;&gt;0)),1,0)</f>
        <v>0</v>
      </c>
      <c r="Q2018" s="1" t="n">
        <f aca="false">N(Q2017)+$P2018</f>
        <v>13</v>
      </c>
      <c r="R2018" s="1" t="n">
        <f aca="false">IF(AND($K2018=1,AND(对接源_02物料!$X818="公司筐",N(对接源_02物料!$U818)&lt;&gt;0)),1,0)</f>
        <v>0</v>
      </c>
      <c r="S2018" s="1" t="n">
        <f aca="false">N(S2017)+$R2018</f>
        <v>5</v>
      </c>
      <c r="T2018" s="1" t="n">
        <f aca="false">IF(AND($K2018=1,AND(对接源_02物料!$X818="公司筐",N(对接源_02物料!$V818)&lt;&gt;0)),1,0)</f>
        <v>0</v>
      </c>
      <c r="U2018" s="1" t="n">
        <f aca="false">N(U2017)+$T2018</f>
        <v>28</v>
      </c>
      <c r="V2018" s="1" t="n">
        <f aca="false">IF(AND($L2018=1,AND(对接源_02物料!$X818="自备筐",N(对接源_02物料!$V818)&lt;&gt;0)),1,0)</f>
        <v>0</v>
      </c>
      <c r="W2018" s="1" t="n">
        <f aca="false">N(W2017)+$V2018</f>
        <v>7</v>
      </c>
      <c r="X2018" s="1" t="n">
        <f aca="false">IF(AND($L2018=1,AND(对接源_02物料!$X818="自备筐",N(对接源_02物料!$T818)&lt;&gt;0)),1,0)</f>
        <v>0</v>
      </c>
      <c r="Y2018" s="1" t="n">
        <f aca="false">N(Y2017)+$X2018</f>
        <v>0</v>
      </c>
      <c r="Z2018" s="1" t="n">
        <f aca="false">IF(AND($M2018=1,对接源_02物料!$D818="原料入库"),1,0)</f>
        <v>0</v>
      </c>
      <c r="AA2018" s="1" t="n">
        <f aca="false">N(AA2017)+$Z2018</f>
        <v>30</v>
      </c>
      <c r="AB2018" s="1" t="n">
        <f aca="false">IF(AND($M2018=1,LEFT(对接源_02物料!$D818,4)="原料出库"),1,0)</f>
        <v>0</v>
      </c>
      <c r="AC2018" s="1" t="n">
        <f aca="false">N(AC2017)+$AB2018</f>
        <v>19</v>
      </c>
      <c r="AD2018" s="1" t="n">
        <f aca="false">IF(AND($M2018=1,LEFT(对接源_02物料!$D818,4)="成品出库"),1,0)</f>
        <v>0</v>
      </c>
      <c r="AE2018" s="1" t="n">
        <f aca="false">N(AE2017)+$AD2018</f>
        <v>38</v>
      </c>
      <c r="AF2018" s="1" t="n">
        <f aca="false">IF(AND($N2018=1,AND(LEFT(对接源_02物料!$D818,4)="包装物料",N(对接源_02物料!$K818)&lt;&gt;0)),1,0)</f>
        <v>0</v>
      </c>
      <c r="AG2018" s="1" t="n">
        <f aca="false">N(AG2017)+$AF2018</f>
        <v>6</v>
      </c>
      <c r="AH2018" s="1" t="n">
        <f aca="false">IF(AND($N2018=1,AND(LEFT(对接源_02物料!$D818,3)="周转筐",N(对接源_02物料!$K818)&lt;&gt;0)),1,0)</f>
        <v>0</v>
      </c>
      <c r="AI2018" s="1" t="n">
        <f aca="false">N(AI2017)+$AH2018</f>
        <v>0</v>
      </c>
      <c r="AJ2018" s="1" t="n">
        <v>0</v>
      </c>
      <c r="AK2018" s="1" t="n">
        <f aca="false">N(AK2017)+$AJ2018</f>
        <v>3672</v>
      </c>
    </row>
    <row r="2019" customFormat="false" ht="13.5" hidden="false" customHeight="false" outlineLevel="0" collapsed="false">
      <c r="A2019" s="1" t="str">
        <f aca="false">IF(对接源_02物料!$C819="","",对接源_02物料!$C819)</f>
        <v/>
      </c>
      <c r="B2019" s="1" t="n">
        <f aca="false">IF(A2019="",0,IF(MATCH(A2019,$A$4:$A$2403,0)=ROW()-3,1,0))</f>
        <v>0</v>
      </c>
      <c r="C2019" s="1" t="n">
        <f aca="false">N(C2018)+B2019</f>
        <v>17</v>
      </c>
      <c r="K2019" s="1" t="n">
        <f aca="false">IF(OR($K$1="",对接源_02物料!$C819="",对接源_02物料!$C819&lt;&gt;$K$1,对接源_02物料!$B819=""),0,IF(OR(N(对接源_02物料!$B819)&lt;$K$2,N(对接源_02物料!$B819)&gt;$K$3),0,1))</f>
        <v>0</v>
      </c>
      <c r="L2019" s="1" t="n">
        <f aca="false">IF(OR($L$1="",对接源_02物料!$C819="",对接源_02物料!$C819&lt;&gt;$L$1,对接源_02物料!$B819=""),0,IF(OR(N(对接源_02物料!$B819)&lt;$L$2,N(对接源_02物料!$B819)&gt;$L$3),0,1))</f>
        <v>0</v>
      </c>
      <c r="M2019" s="1" t="n">
        <f aca="false">IF(OR($M$1="",对接源_02物料!$C819="",对接源_02物料!$C819&lt;&gt;$M$1,对接源_02物料!$B819=""),0,IF(OR(N(对接源_02物料!$B819)&lt;$M$2,N(对接源_02物料!$B819)&gt;$M$3),0,1))</f>
        <v>0</v>
      </c>
      <c r="N2019" s="1" t="n">
        <f aca="false">IF(OR($N$1="",对接源_02物料!$C819="",对接源_02物料!$C819&lt;&gt;$N$1,对接源_02物料!$B819=""),0,IF(OR(N(对接源_02物料!$B819)&lt;$N$2,N(对接源_02物料!$B819)&gt;$N$3),0,1))</f>
        <v>0</v>
      </c>
      <c r="P2019" s="1" t="n">
        <f aca="false">IF(AND($K2019=1,AND(对接源_02物料!$X819="公司筐",N(对接源_02物料!$T819)&lt;&gt;0)),1,0)</f>
        <v>0</v>
      </c>
      <c r="Q2019" s="1" t="n">
        <f aca="false">N(Q2018)+$P2019</f>
        <v>13</v>
      </c>
      <c r="R2019" s="1" t="n">
        <f aca="false">IF(AND($K2019=1,AND(对接源_02物料!$X819="公司筐",N(对接源_02物料!$U819)&lt;&gt;0)),1,0)</f>
        <v>0</v>
      </c>
      <c r="S2019" s="1" t="n">
        <f aca="false">N(S2018)+$R2019</f>
        <v>5</v>
      </c>
      <c r="T2019" s="1" t="n">
        <f aca="false">IF(AND($K2019=1,AND(对接源_02物料!$X819="公司筐",N(对接源_02物料!$V819)&lt;&gt;0)),1,0)</f>
        <v>0</v>
      </c>
      <c r="U2019" s="1" t="n">
        <f aca="false">N(U2018)+$T2019</f>
        <v>28</v>
      </c>
      <c r="V2019" s="1" t="n">
        <f aca="false">IF(AND($L2019=1,AND(对接源_02物料!$X819="自备筐",N(对接源_02物料!$V819)&lt;&gt;0)),1,0)</f>
        <v>0</v>
      </c>
      <c r="W2019" s="1" t="n">
        <f aca="false">N(W2018)+$V2019</f>
        <v>7</v>
      </c>
      <c r="X2019" s="1" t="n">
        <f aca="false">IF(AND($L2019=1,AND(对接源_02物料!$X819="自备筐",N(对接源_02物料!$T819)&lt;&gt;0)),1,0)</f>
        <v>0</v>
      </c>
      <c r="Y2019" s="1" t="n">
        <f aca="false">N(Y2018)+$X2019</f>
        <v>0</v>
      </c>
      <c r="Z2019" s="1" t="n">
        <f aca="false">IF(AND($M2019=1,对接源_02物料!$D819="原料入库"),1,0)</f>
        <v>0</v>
      </c>
      <c r="AA2019" s="1" t="n">
        <f aca="false">N(AA2018)+$Z2019</f>
        <v>30</v>
      </c>
      <c r="AB2019" s="1" t="n">
        <f aca="false">IF(AND($M2019=1,LEFT(对接源_02物料!$D819,4)="原料出库"),1,0)</f>
        <v>0</v>
      </c>
      <c r="AC2019" s="1" t="n">
        <f aca="false">N(AC2018)+$AB2019</f>
        <v>19</v>
      </c>
      <c r="AD2019" s="1" t="n">
        <f aca="false">IF(AND($M2019=1,LEFT(对接源_02物料!$D819,4)="成品出库"),1,0)</f>
        <v>0</v>
      </c>
      <c r="AE2019" s="1" t="n">
        <f aca="false">N(AE2018)+$AD2019</f>
        <v>38</v>
      </c>
      <c r="AF2019" s="1" t="n">
        <f aca="false">IF(AND($N2019=1,AND(LEFT(对接源_02物料!$D819,4)="包装物料",N(对接源_02物料!$K819)&lt;&gt;0)),1,0)</f>
        <v>0</v>
      </c>
      <c r="AG2019" s="1" t="n">
        <f aca="false">N(AG2018)+$AF2019</f>
        <v>6</v>
      </c>
      <c r="AH2019" s="1" t="n">
        <f aca="false">IF(AND($N2019=1,AND(LEFT(对接源_02物料!$D819,3)="周转筐",N(对接源_02物料!$K819)&lt;&gt;0)),1,0)</f>
        <v>0</v>
      </c>
      <c r="AI2019" s="1" t="n">
        <f aca="false">N(AI2018)+$AH2019</f>
        <v>0</v>
      </c>
      <c r="AJ2019" s="1" t="n">
        <v>0</v>
      </c>
      <c r="AK2019" s="1" t="n">
        <f aca="false">N(AK2018)+$AJ2019</f>
        <v>3672</v>
      </c>
    </row>
    <row r="2020" customFormat="false" ht="13.5" hidden="false" customHeight="false" outlineLevel="0" collapsed="false">
      <c r="A2020" s="1" t="str">
        <f aca="false">IF(对接源_02物料!$C820="","",对接源_02物料!$C820)</f>
        <v/>
      </c>
      <c r="B2020" s="1" t="n">
        <f aca="false">IF(A2020="",0,IF(MATCH(A2020,$A$4:$A$2403,0)=ROW()-3,1,0))</f>
        <v>0</v>
      </c>
      <c r="C2020" s="1" t="n">
        <f aca="false">N(C2019)+B2020</f>
        <v>17</v>
      </c>
      <c r="K2020" s="1" t="n">
        <f aca="false">IF(OR($K$1="",对接源_02物料!$C820="",对接源_02物料!$C820&lt;&gt;$K$1,对接源_02物料!$B820=""),0,IF(OR(N(对接源_02物料!$B820)&lt;$K$2,N(对接源_02物料!$B820)&gt;$K$3),0,1))</f>
        <v>0</v>
      </c>
      <c r="L2020" s="1" t="n">
        <f aca="false">IF(OR($L$1="",对接源_02物料!$C820="",对接源_02物料!$C820&lt;&gt;$L$1,对接源_02物料!$B820=""),0,IF(OR(N(对接源_02物料!$B820)&lt;$L$2,N(对接源_02物料!$B820)&gt;$L$3),0,1))</f>
        <v>0</v>
      </c>
      <c r="M2020" s="1" t="n">
        <f aca="false">IF(OR($M$1="",对接源_02物料!$C820="",对接源_02物料!$C820&lt;&gt;$M$1,对接源_02物料!$B820=""),0,IF(OR(N(对接源_02物料!$B820)&lt;$M$2,N(对接源_02物料!$B820)&gt;$M$3),0,1))</f>
        <v>0</v>
      </c>
      <c r="N2020" s="1" t="n">
        <f aca="false">IF(OR($N$1="",对接源_02物料!$C820="",对接源_02物料!$C820&lt;&gt;$N$1,对接源_02物料!$B820=""),0,IF(OR(N(对接源_02物料!$B820)&lt;$N$2,N(对接源_02物料!$B820)&gt;$N$3),0,1))</f>
        <v>0</v>
      </c>
      <c r="P2020" s="1" t="n">
        <f aca="false">IF(AND($K2020=1,AND(对接源_02物料!$X820="公司筐",N(对接源_02物料!$T820)&lt;&gt;0)),1,0)</f>
        <v>0</v>
      </c>
      <c r="Q2020" s="1" t="n">
        <f aca="false">N(Q2019)+$P2020</f>
        <v>13</v>
      </c>
      <c r="R2020" s="1" t="n">
        <f aca="false">IF(AND($K2020=1,AND(对接源_02物料!$X820="公司筐",N(对接源_02物料!$U820)&lt;&gt;0)),1,0)</f>
        <v>0</v>
      </c>
      <c r="S2020" s="1" t="n">
        <f aca="false">N(S2019)+$R2020</f>
        <v>5</v>
      </c>
      <c r="T2020" s="1" t="n">
        <f aca="false">IF(AND($K2020=1,AND(对接源_02物料!$X820="公司筐",N(对接源_02物料!$V820)&lt;&gt;0)),1,0)</f>
        <v>0</v>
      </c>
      <c r="U2020" s="1" t="n">
        <f aca="false">N(U2019)+$T2020</f>
        <v>28</v>
      </c>
      <c r="V2020" s="1" t="n">
        <f aca="false">IF(AND($L2020=1,AND(对接源_02物料!$X820="自备筐",N(对接源_02物料!$V820)&lt;&gt;0)),1,0)</f>
        <v>0</v>
      </c>
      <c r="W2020" s="1" t="n">
        <f aca="false">N(W2019)+$V2020</f>
        <v>7</v>
      </c>
      <c r="X2020" s="1" t="n">
        <f aca="false">IF(AND($L2020=1,AND(对接源_02物料!$X820="自备筐",N(对接源_02物料!$T820)&lt;&gt;0)),1,0)</f>
        <v>0</v>
      </c>
      <c r="Y2020" s="1" t="n">
        <f aca="false">N(Y2019)+$X2020</f>
        <v>0</v>
      </c>
      <c r="Z2020" s="1" t="n">
        <f aca="false">IF(AND($M2020=1,对接源_02物料!$D820="原料入库"),1,0)</f>
        <v>0</v>
      </c>
      <c r="AA2020" s="1" t="n">
        <f aca="false">N(AA2019)+$Z2020</f>
        <v>30</v>
      </c>
      <c r="AB2020" s="1" t="n">
        <f aca="false">IF(AND($M2020=1,LEFT(对接源_02物料!$D820,4)="原料出库"),1,0)</f>
        <v>0</v>
      </c>
      <c r="AC2020" s="1" t="n">
        <f aca="false">N(AC2019)+$AB2020</f>
        <v>19</v>
      </c>
      <c r="AD2020" s="1" t="n">
        <f aca="false">IF(AND($M2020=1,LEFT(对接源_02物料!$D820,4)="成品出库"),1,0)</f>
        <v>0</v>
      </c>
      <c r="AE2020" s="1" t="n">
        <f aca="false">N(AE2019)+$AD2020</f>
        <v>38</v>
      </c>
      <c r="AF2020" s="1" t="n">
        <f aca="false">IF(AND($N2020=1,AND(LEFT(对接源_02物料!$D820,4)="包装物料",N(对接源_02物料!$K820)&lt;&gt;0)),1,0)</f>
        <v>0</v>
      </c>
      <c r="AG2020" s="1" t="n">
        <f aca="false">N(AG2019)+$AF2020</f>
        <v>6</v>
      </c>
      <c r="AH2020" s="1" t="n">
        <f aca="false">IF(AND($N2020=1,AND(LEFT(对接源_02物料!$D820,3)="周转筐",N(对接源_02物料!$K820)&lt;&gt;0)),1,0)</f>
        <v>0</v>
      </c>
      <c r="AI2020" s="1" t="n">
        <f aca="false">N(AI2019)+$AH2020</f>
        <v>0</v>
      </c>
      <c r="AJ2020" s="1" t="n">
        <v>0</v>
      </c>
      <c r="AK2020" s="1" t="n">
        <f aca="false">N(AK2019)+$AJ2020</f>
        <v>3672</v>
      </c>
    </row>
    <row r="2021" customFormat="false" ht="13.5" hidden="false" customHeight="false" outlineLevel="0" collapsed="false">
      <c r="A2021" s="1" t="str">
        <f aca="false">IF(对接源_02物料!$C821="","",对接源_02物料!$C821)</f>
        <v/>
      </c>
      <c r="B2021" s="1" t="n">
        <f aca="false">IF(A2021="",0,IF(MATCH(A2021,$A$4:$A$2403,0)=ROW()-3,1,0))</f>
        <v>0</v>
      </c>
      <c r="C2021" s="1" t="n">
        <f aca="false">N(C2020)+B2021</f>
        <v>17</v>
      </c>
      <c r="K2021" s="1" t="n">
        <f aca="false">IF(OR($K$1="",对接源_02物料!$C821="",对接源_02物料!$C821&lt;&gt;$K$1,对接源_02物料!$B821=""),0,IF(OR(N(对接源_02物料!$B821)&lt;$K$2,N(对接源_02物料!$B821)&gt;$K$3),0,1))</f>
        <v>0</v>
      </c>
      <c r="L2021" s="1" t="n">
        <f aca="false">IF(OR($L$1="",对接源_02物料!$C821="",对接源_02物料!$C821&lt;&gt;$L$1,对接源_02物料!$B821=""),0,IF(OR(N(对接源_02物料!$B821)&lt;$L$2,N(对接源_02物料!$B821)&gt;$L$3),0,1))</f>
        <v>0</v>
      </c>
      <c r="M2021" s="1" t="n">
        <f aca="false">IF(OR($M$1="",对接源_02物料!$C821="",对接源_02物料!$C821&lt;&gt;$M$1,对接源_02物料!$B821=""),0,IF(OR(N(对接源_02物料!$B821)&lt;$M$2,N(对接源_02物料!$B821)&gt;$M$3),0,1))</f>
        <v>0</v>
      </c>
      <c r="N2021" s="1" t="n">
        <f aca="false">IF(OR($N$1="",对接源_02物料!$C821="",对接源_02物料!$C821&lt;&gt;$N$1,对接源_02物料!$B821=""),0,IF(OR(N(对接源_02物料!$B821)&lt;$N$2,N(对接源_02物料!$B821)&gt;$N$3),0,1))</f>
        <v>0</v>
      </c>
      <c r="P2021" s="1" t="n">
        <f aca="false">IF(AND($K2021=1,AND(对接源_02物料!$X821="公司筐",N(对接源_02物料!$T821)&lt;&gt;0)),1,0)</f>
        <v>0</v>
      </c>
      <c r="Q2021" s="1" t="n">
        <f aca="false">N(Q2020)+$P2021</f>
        <v>13</v>
      </c>
      <c r="R2021" s="1" t="n">
        <f aca="false">IF(AND($K2021=1,AND(对接源_02物料!$X821="公司筐",N(对接源_02物料!$U821)&lt;&gt;0)),1,0)</f>
        <v>0</v>
      </c>
      <c r="S2021" s="1" t="n">
        <f aca="false">N(S2020)+$R2021</f>
        <v>5</v>
      </c>
      <c r="T2021" s="1" t="n">
        <f aca="false">IF(AND($K2021=1,AND(对接源_02物料!$X821="公司筐",N(对接源_02物料!$V821)&lt;&gt;0)),1,0)</f>
        <v>0</v>
      </c>
      <c r="U2021" s="1" t="n">
        <f aca="false">N(U2020)+$T2021</f>
        <v>28</v>
      </c>
      <c r="V2021" s="1" t="n">
        <f aca="false">IF(AND($L2021=1,AND(对接源_02物料!$X821="自备筐",N(对接源_02物料!$V821)&lt;&gt;0)),1,0)</f>
        <v>0</v>
      </c>
      <c r="W2021" s="1" t="n">
        <f aca="false">N(W2020)+$V2021</f>
        <v>7</v>
      </c>
      <c r="X2021" s="1" t="n">
        <f aca="false">IF(AND($L2021=1,AND(对接源_02物料!$X821="自备筐",N(对接源_02物料!$T821)&lt;&gt;0)),1,0)</f>
        <v>0</v>
      </c>
      <c r="Y2021" s="1" t="n">
        <f aca="false">N(Y2020)+$X2021</f>
        <v>0</v>
      </c>
      <c r="Z2021" s="1" t="n">
        <f aca="false">IF(AND($M2021=1,对接源_02物料!$D821="原料入库"),1,0)</f>
        <v>0</v>
      </c>
      <c r="AA2021" s="1" t="n">
        <f aca="false">N(AA2020)+$Z2021</f>
        <v>30</v>
      </c>
      <c r="AB2021" s="1" t="n">
        <f aca="false">IF(AND($M2021=1,LEFT(对接源_02物料!$D821,4)="原料出库"),1,0)</f>
        <v>0</v>
      </c>
      <c r="AC2021" s="1" t="n">
        <f aca="false">N(AC2020)+$AB2021</f>
        <v>19</v>
      </c>
      <c r="AD2021" s="1" t="n">
        <f aca="false">IF(AND($M2021=1,LEFT(对接源_02物料!$D821,4)="成品出库"),1,0)</f>
        <v>0</v>
      </c>
      <c r="AE2021" s="1" t="n">
        <f aca="false">N(AE2020)+$AD2021</f>
        <v>38</v>
      </c>
      <c r="AF2021" s="1" t="n">
        <f aca="false">IF(AND($N2021=1,AND(LEFT(对接源_02物料!$D821,4)="包装物料",N(对接源_02物料!$K821)&lt;&gt;0)),1,0)</f>
        <v>0</v>
      </c>
      <c r="AG2021" s="1" t="n">
        <f aca="false">N(AG2020)+$AF2021</f>
        <v>6</v>
      </c>
      <c r="AH2021" s="1" t="n">
        <f aca="false">IF(AND($N2021=1,AND(LEFT(对接源_02物料!$D821,3)="周转筐",N(对接源_02物料!$K821)&lt;&gt;0)),1,0)</f>
        <v>0</v>
      </c>
      <c r="AI2021" s="1" t="n">
        <f aca="false">N(AI2020)+$AH2021</f>
        <v>0</v>
      </c>
      <c r="AJ2021" s="1" t="n">
        <v>0</v>
      </c>
      <c r="AK2021" s="1" t="n">
        <f aca="false">N(AK2020)+$AJ2021</f>
        <v>3672</v>
      </c>
    </row>
    <row r="2022" customFormat="false" ht="13.5" hidden="false" customHeight="false" outlineLevel="0" collapsed="false">
      <c r="A2022" s="1" t="str">
        <f aca="false">IF(对接源_02物料!$C822="","",对接源_02物料!$C822)</f>
        <v/>
      </c>
      <c r="B2022" s="1" t="n">
        <f aca="false">IF(A2022="",0,IF(MATCH(A2022,$A$4:$A$2403,0)=ROW()-3,1,0))</f>
        <v>0</v>
      </c>
      <c r="C2022" s="1" t="n">
        <f aca="false">N(C2021)+B2022</f>
        <v>17</v>
      </c>
      <c r="K2022" s="1" t="n">
        <f aca="false">IF(OR($K$1="",对接源_02物料!$C822="",对接源_02物料!$C822&lt;&gt;$K$1,对接源_02物料!$B822=""),0,IF(OR(N(对接源_02物料!$B822)&lt;$K$2,N(对接源_02物料!$B822)&gt;$K$3),0,1))</f>
        <v>0</v>
      </c>
      <c r="L2022" s="1" t="n">
        <f aca="false">IF(OR($L$1="",对接源_02物料!$C822="",对接源_02物料!$C822&lt;&gt;$L$1,对接源_02物料!$B822=""),0,IF(OR(N(对接源_02物料!$B822)&lt;$L$2,N(对接源_02物料!$B822)&gt;$L$3),0,1))</f>
        <v>0</v>
      </c>
      <c r="M2022" s="1" t="n">
        <f aca="false">IF(OR($M$1="",对接源_02物料!$C822="",对接源_02物料!$C822&lt;&gt;$M$1,对接源_02物料!$B822=""),0,IF(OR(N(对接源_02物料!$B822)&lt;$M$2,N(对接源_02物料!$B822)&gt;$M$3),0,1))</f>
        <v>0</v>
      </c>
      <c r="N2022" s="1" t="n">
        <f aca="false">IF(OR($N$1="",对接源_02物料!$C822="",对接源_02物料!$C822&lt;&gt;$N$1,对接源_02物料!$B822=""),0,IF(OR(N(对接源_02物料!$B822)&lt;$N$2,N(对接源_02物料!$B822)&gt;$N$3),0,1))</f>
        <v>0</v>
      </c>
      <c r="P2022" s="1" t="n">
        <f aca="false">IF(AND($K2022=1,AND(对接源_02物料!$X822="公司筐",N(对接源_02物料!$T822)&lt;&gt;0)),1,0)</f>
        <v>0</v>
      </c>
      <c r="Q2022" s="1" t="n">
        <f aca="false">N(Q2021)+$P2022</f>
        <v>13</v>
      </c>
      <c r="R2022" s="1" t="n">
        <f aca="false">IF(AND($K2022=1,AND(对接源_02物料!$X822="公司筐",N(对接源_02物料!$U822)&lt;&gt;0)),1,0)</f>
        <v>0</v>
      </c>
      <c r="S2022" s="1" t="n">
        <f aca="false">N(S2021)+$R2022</f>
        <v>5</v>
      </c>
      <c r="T2022" s="1" t="n">
        <f aca="false">IF(AND($K2022=1,AND(对接源_02物料!$X822="公司筐",N(对接源_02物料!$V822)&lt;&gt;0)),1,0)</f>
        <v>0</v>
      </c>
      <c r="U2022" s="1" t="n">
        <f aca="false">N(U2021)+$T2022</f>
        <v>28</v>
      </c>
      <c r="V2022" s="1" t="n">
        <f aca="false">IF(AND($L2022=1,AND(对接源_02物料!$X822="自备筐",N(对接源_02物料!$V822)&lt;&gt;0)),1,0)</f>
        <v>0</v>
      </c>
      <c r="W2022" s="1" t="n">
        <f aca="false">N(W2021)+$V2022</f>
        <v>7</v>
      </c>
      <c r="X2022" s="1" t="n">
        <f aca="false">IF(AND($L2022=1,AND(对接源_02物料!$X822="自备筐",N(对接源_02物料!$T822)&lt;&gt;0)),1,0)</f>
        <v>0</v>
      </c>
      <c r="Y2022" s="1" t="n">
        <f aca="false">N(Y2021)+$X2022</f>
        <v>0</v>
      </c>
      <c r="Z2022" s="1" t="n">
        <f aca="false">IF(AND($M2022=1,对接源_02物料!$D822="原料入库"),1,0)</f>
        <v>0</v>
      </c>
      <c r="AA2022" s="1" t="n">
        <f aca="false">N(AA2021)+$Z2022</f>
        <v>30</v>
      </c>
      <c r="AB2022" s="1" t="n">
        <f aca="false">IF(AND($M2022=1,LEFT(对接源_02物料!$D822,4)="原料出库"),1,0)</f>
        <v>0</v>
      </c>
      <c r="AC2022" s="1" t="n">
        <f aca="false">N(AC2021)+$AB2022</f>
        <v>19</v>
      </c>
      <c r="AD2022" s="1" t="n">
        <f aca="false">IF(AND($M2022=1,LEFT(对接源_02物料!$D822,4)="成品出库"),1,0)</f>
        <v>0</v>
      </c>
      <c r="AE2022" s="1" t="n">
        <f aca="false">N(AE2021)+$AD2022</f>
        <v>38</v>
      </c>
      <c r="AF2022" s="1" t="n">
        <f aca="false">IF(AND($N2022=1,AND(LEFT(对接源_02物料!$D822,4)="包装物料",N(对接源_02物料!$K822)&lt;&gt;0)),1,0)</f>
        <v>0</v>
      </c>
      <c r="AG2022" s="1" t="n">
        <f aca="false">N(AG2021)+$AF2022</f>
        <v>6</v>
      </c>
      <c r="AH2022" s="1" t="n">
        <f aca="false">IF(AND($N2022=1,AND(LEFT(对接源_02物料!$D822,3)="周转筐",N(对接源_02物料!$K822)&lt;&gt;0)),1,0)</f>
        <v>0</v>
      </c>
      <c r="AI2022" s="1" t="n">
        <f aca="false">N(AI2021)+$AH2022</f>
        <v>0</v>
      </c>
      <c r="AJ2022" s="1" t="n">
        <v>0</v>
      </c>
      <c r="AK2022" s="1" t="n">
        <f aca="false">N(AK2021)+$AJ2022</f>
        <v>3672</v>
      </c>
    </row>
    <row r="2023" customFormat="false" ht="13.5" hidden="false" customHeight="false" outlineLevel="0" collapsed="false">
      <c r="A2023" s="1" t="str">
        <f aca="false">IF(对接源_02物料!$C823="","",对接源_02物料!$C823)</f>
        <v/>
      </c>
      <c r="B2023" s="1" t="n">
        <f aca="false">IF(A2023="",0,IF(MATCH(A2023,$A$4:$A$2403,0)=ROW()-3,1,0))</f>
        <v>0</v>
      </c>
      <c r="C2023" s="1" t="n">
        <f aca="false">N(C2022)+B2023</f>
        <v>17</v>
      </c>
      <c r="K2023" s="1" t="n">
        <f aca="false">IF(OR($K$1="",对接源_02物料!$C823="",对接源_02物料!$C823&lt;&gt;$K$1,对接源_02物料!$B823=""),0,IF(OR(N(对接源_02物料!$B823)&lt;$K$2,N(对接源_02物料!$B823)&gt;$K$3),0,1))</f>
        <v>0</v>
      </c>
      <c r="L2023" s="1" t="n">
        <f aca="false">IF(OR($L$1="",对接源_02物料!$C823="",对接源_02物料!$C823&lt;&gt;$L$1,对接源_02物料!$B823=""),0,IF(OR(N(对接源_02物料!$B823)&lt;$L$2,N(对接源_02物料!$B823)&gt;$L$3),0,1))</f>
        <v>0</v>
      </c>
      <c r="M2023" s="1" t="n">
        <f aca="false">IF(OR($M$1="",对接源_02物料!$C823="",对接源_02物料!$C823&lt;&gt;$M$1,对接源_02物料!$B823=""),0,IF(OR(N(对接源_02物料!$B823)&lt;$M$2,N(对接源_02物料!$B823)&gt;$M$3),0,1))</f>
        <v>0</v>
      </c>
      <c r="N2023" s="1" t="n">
        <f aca="false">IF(OR($N$1="",对接源_02物料!$C823="",对接源_02物料!$C823&lt;&gt;$N$1,对接源_02物料!$B823=""),0,IF(OR(N(对接源_02物料!$B823)&lt;$N$2,N(对接源_02物料!$B823)&gt;$N$3),0,1))</f>
        <v>0</v>
      </c>
      <c r="P2023" s="1" t="n">
        <f aca="false">IF(AND($K2023=1,AND(对接源_02物料!$X823="公司筐",N(对接源_02物料!$T823)&lt;&gt;0)),1,0)</f>
        <v>0</v>
      </c>
      <c r="Q2023" s="1" t="n">
        <f aca="false">N(Q2022)+$P2023</f>
        <v>13</v>
      </c>
      <c r="R2023" s="1" t="n">
        <f aca="false">IF(AND($K2023=1,AND(对接源_02物料!$X823="公司筐",N(对接源_02物料!$U823)&lt;&gt;0)),1,0)</f>
        <v>0</v>
      </c>
      <c r="S2023" s="1" t="n">
        <f aca="false">N(S2022)+$R2023</f>
        <v>5</v>
      </c>
      <c r="T2023" s="1" t="n">
        <f aca="false">IF(AND($K2023=1,AND(对接源_02物料!$X823="公司筐",N(对接源_02物料!$V823)&lt;&gt;0)),1,0)</f>
        <v>0</v>
      </c>
      <c r="U2023" s="1" t="n">
        <f aca="false">N(U2022)+$T2023</f>
        <v>28</v>
      </c>
      <c r="V2023" s="1" t="n">
        <f aca="false">IF(AND($L2023=1,AND(对接源_02物料!$X823="自备筐",N(对接源_02物料!$V823)&lt;&gt;0)),1,0)</f>
        <v>0</v>
      </c>
      <c r="W2023" s="1" t="n">
        <f aca="false">N(W2022)+$V2023</f>
        <v>7</v>
      </c>
      <c r="X2023" s="1" t="n">
        <f aca="false">IF(AND($L2023=1,AND(对接源_02物料!$X823="自备筐",N(对接源_02物料!$T823)&lt;&gt;0)),1,0)</f>
        <v>0</v>
      </c>
      <c r="Y2023" s="1" t="n">
        <f aca="false">N(Y2022)+$X2023</f>
        <v>0</v>
      </c>
      <c r="Z2023" s="1" t="n">
        <f aca="false">IF(AND($M2023=1,对接源_02物料!$D823="原料入库"),1,0)</f>
        <v>0</v>
      </c>
      <c r="AA2023" s="1" t="n">
        <f aca="false">N(AA2022)+$Z2023</f>
        <v>30</v>
      </c>
      <c r="AB2023" s="1" t="n">
        <f aca="false">IF(AND($M2023=1,LEFT(对接源_02物料!$D823,4)="原料出库"),1,0)</f>
        <v>0</v>
      </c>
      <c r="AC2023" s="1" t="n">
        <f aca="false">N(AC2022)+$AB2023</f>
        <v>19</v>
      </c>
      <c r="AD2023" s="1" t="n">
        <f aca="false">IF(AND($M2023=1,LEFT(对接源_02物料!$D823,4)="成品出库"),1,0)</f>
        <v>0</v>
      </c>
      <c r="AE2023" s="1" t="n">
        <f aca="false">N(AE2022)+$AD2023</f>
        <v>38</v>
      </c>
      <c r="AF2023" s="1" t="n">
        <f aca="false">IF(AND($N2023=1,AND(LEFT(对接源_02物料!$D823,4)="包装物料",N(对接源_02物料!$K823)&lt;&gt;0)),1,0)</f>
        <v>0</v>
      </c>
      <c r="AG2023" s="1" t="n">
        <f aca="false">N(AG2022)+$AF2023</f>
        <v>6</v>
      </c>
      <c r="AH2023" s="1" t="n">
        <f aca="false">IF(AND($N2023=1,AND(LEFT(对接源_02物料!$D823,3)="周转筐",N(对接源_02物料!$K823)&lt;&gt;0)),1,0)</f>
        <v>0</v>
      </c>
      <c r="AI2023" s="1" t="n">
        <f aca="false">N(AI2022)+$AH2023</f>
        <v>0</v>
      </c>
      <c r="AJ2023" s="1" t="n">
        <v>0</v>
      </c>
      <c r="AK2023" s="1" t="n">
        <f aca="false">N(AK2022)+$AJ2023</f>
        <v>3672</v>
      </c>
    </row>
    <row r="2024" customFormat="false" ht="13.5" hidden="false" customHeight="false" outlineLevel="0" collapsed="false">
      <c r="A2024" s="1" t="str">
        <f aca="false">IF(对接源_02物料!$C824="","",对接源_02物料!$C824)</f>
        <v/>
      </c>
      <c r="B2024" s="1" t="n">
        <f aca="false">IF(A2024="",0,IF(MATCH(A2024,$A$4:$A$2403,0)=ROW()-3,1,0))</f>
        <v>0</v>
      </c>
      <c r="C2024" s="1" t="n">
        <f aca="false">N(C2023)+B2024</f>
        <v>17</v>
      </c>
      <c r="K2024" s="1" t="n">
        <f aca="false">IF(OR($K$1="",对接源_02物料!$C824="",对接源_02物料!$C824&lt;&gt;$K$1,对接源_02物料!$B824=""),0,IF(OR(N(对接源_02物料!$B824)&lt;$K$2,N(对接源_02物料!$B824)&gt;$K$3),0,1))</f>
        <v>0</v>
      </c>
      <c r="L2024" s="1" t="n">
        <f aca="false">IF(OR($L$1="",对接源_02物料!$C824="",对接源_02物料!$C824&lt;&gt;$L$1,对接源_02物料!$B824=""),0,IF(OR(N(对接源_02物料!$B824)&lt;$L$2,N(对接源_02物料!$B824)&gt;$L$3),0,1))</f>
        <v>0</v>
      </c>
      <c r="M2024" s="1" t="n">
        <f aca="false">IF(OR($M$1="",对接源_02物料!$C824="",对接源_02物料!$C824&lt;&gt;$M$1,对接源_02物料!$B824=""),0,IF(OR(N(对接源_02物料!$B824)&lt;$M$2,N(对接源_02物料!$B824)&gt;$M$3),0,1))</f>
        <v>0</v>
      </c>
      <c r="N2024" s="1" t="n">
        <f aca="false">IF(OR($N$1="",对接源_02物料!$C824="",对接源_02物料!$C824&lt;&gt;$N$1,对接源_02物料!$B824=""),0,IF(OR(N(对接源_02物料!$B824)&lt;$N$2,N(对接源_02物料!$B824)&gt;$N$3),0,1))</f>
        <v>0</v>
      </c>
      <c r="P2024" s="1" t="n">
        <f aca="false">IF(AND($K2024=1,AND(对接源_02物料!$X824="公司筐",N(对接源_02物料!$T824)&lt;&gt;0)),1,0)</f>
        <v>0</v>
      </c>
      <c r="Q2024" s="1" t="n">
        <f aca="false">N(Q2023)+$P2024</f>
        <v>13</v>
      </c>
      <c r="R2024" s="1" t="n">
        <f aca="false">IF(AND($K2024=1,AND(对接源_02物料!$X824="公司筐",N(对接源_02物料!$U824)&lt;&gt;0)),1,0)</f>
        <v>0</v>
      </c>
      <c r="S2024" s="1" t="n">
        <f aca="false">N(S2023)+$R2024</f>
        <v>5</v>
      </c>
      <c r="T2024" s="1" t="n">
        <f aca="false">IF(AND($K2024=1,AND(对接源_02物料!$X824="公司筐",N(对接源_02物料!$V824)&lt;&gt;0)),1,0)</f>
        <v>0</v>
      </c>
      <c r="U2024" s="1" t="n">
        <f aca="false">N(U2023)+$T2024</f>
        <v>28</v>
      </c>
      <c r="V2024" s="1" t="n">
        <f aca="false">IF(AND($L2024=1,AND(对接源_02物料!$X824="自备筐",N(对接源_02物料!$V824)&lt;&gt;0)),1,0)</f>
        <v>0</v>
      </c>
      <c r="W2024" s="1" t="n">
        <f aca="false">N(W2023)+$V2024</f>
        <v>7</v>
      </c>
      <c r="X2024" s="1" t="n">
        <f aca="false">IF(AND($L2024=1,AND(对接源_02物料!$X824="自备筐",N(对接源_02物料!$T824)&lt;&gt;0)),1,0)</f>
        <v>0</v>
      </c>
      <c r="Y2024" s="1" t="n">
        <f aca="false">N(Y2023)+$X2024</f>
        <v>0</v>
      </c>
      <c r="Z2024" s="1" t="n">
        <f aca="false">IF(AND($M2024=1,对接源_02物料!$D824="原料入库"),1,0)</f>
        <v>0</v>
      </c>
      <c r="AA2024" s="1" t="n">
        <f aca="false">N(AA2023)+$Z2024</f>
        <v>30</v>
      </c>
      <c r="AB2024" s="1" t="n">
        <f aca="false">IF(AND($M2024=1,LEFT(对接源_02物料!$D824,4)="原料出库"),1,0)</f>
        <v>0</v>
      </c>
      <c r="AC2024" s="1" t="n">
        <f aca="false">N(AC2023)+$AB2024</f>
        <v>19</v>
      </c>
      <c r="AD2024" s="1" t="n">
        <f aca="false">IF(AND($M2024=1,LEFT(对接源_02物料!$D824,4)="成品出库"),1,0)</f>
        <v>0</v>
      </c>
      <c r="AE2024" s="1" t="n">
        <f aca="false">N(AE2023)+$AD2024</f>
        <v>38</v>
      </c>
      <c r="AF2024" s="1" t="n">
        <f aca="false">IF(AND($N2024=1,AND(LEFT(对接源_02物料!$D824,4)="包装物料",N(对接源_02物料!$K824)&lt;&gt;0)),1,0)</f>
        <v>0</v>
      </c>
      <c r="AG2024" s="1" t="n">
        <f aca="false">N(AG2023)+$AF2024</f>
        <v>6</v>
      </c>
      <c r="AH2024" s="1" t="n">
        <f aca="false">IF(AND($N2024=1,AND(LEFT(对接源_02物料!$D824,3)="周转筐",N(对接源_02物料!$K824)&lt;&gt;0)),1,0)</f>
        <v>0</v>
      </c>
      <c r="AI2024" s="1" t="n">
        <f aca="false">N(AI2023)+$AH2024</f>
        <v>0</v>
      </c>
      <c r="AJ2024" s="1" t="n">
        <v>0</v>
      </c>
      <c r="AK2024" s="1" t="n">
        <f aca="false">N(AK2023)+$AJ2024</f>
        <v>3672</v>
      </c>
    </row>
    <row r="2025" customFormat="false" ht="13.5" hidden="false" customHeight="false" outlineLevel="0" collapsed="false">
      <c r="A2025" s="1" t="str">
        <f aca="false">IF(对接源_02物料!$C825="","",对接源_02物料!$C825)</f>
        <v/>
      </c>
      <c r="B2025" s="1" t="n">
        <f aca="false">IF(A2025="",0,IF(MATCH(A2025,$A$4:$A$2403,0)=ROW()-3,1,0))</f>
        <v>0</v>
      </c>
      <c r="C2025" s="1" t="n">
        <f aca="false">N(C2024)+B2025</f>
        <v>17</v>
      </c>
      <c r="K2025" s="1" t="n">
        <f aca="false">IF(OR($K$1="",对接源_02物料!$C825="",对接源_02物料!$C825&lt;&gt;$K$1,对接源_02物料!$B825=""),0,IF(OR(N(对接源_02物料!$B825)&lt;$K$2,N(对接源_02物料!$B825)&gt;$K$3),0,1))</f>
        <v>0</v>
      </c>
      <c r="L2025" s="1" t="n">
        <f aca="false">IF(OR($L$1="",对接源_02物料!$C825="",对接源_02物料!$C825&lt;&gt;$L$1,对接源_02物料!$B825=""),0,IF(OR(N(对接源_02物料!$B825)&lt;$L$2,N(对接源_02物料!$B825)&gt;$L$3),0,1))</f>
        <v>0</v>
      </c>
      <c r="M2025" s="1" t="n">
        <f aca="false">IF(OR($M$1="",对接源_02物料!$C825="",对接源_02物料!$C825&lt;&gt;$M$1,对接源_02物料!$B825=""),0,IF(OR(N(对接源_02物料!$B825)&lt;$M$2,N(对接源_02物料!$B825)&gt;$M$3),0,1))</f>
        <v>0</v>
      </c>
      <c r="N2025" s="1" t="n">
        <f aca="false">IF(OR($N$1="",对接源_02物料!$C825="",对接源_02物料!$C825&lt;&gt;$N$1,对接源_02物料!$B825=""),0,IF(OR(N(对接源_02物料!$B825)&lt;$N$2,N(对接源_02物料!$B825)&gt;$N$3),0,1))</f>
        <v>0</v>
      </c>
      <c r="P2025" s="1" t="n">
        <f aca="false">IF(AND($K2025=1,AND(对接源_02物料!$X825="公司筐",N(对接源_02物料!$T825)&lt;&gt;0)),1,0)</f>
        <v>0</v>
      </c>
      <c r="Q2025" s="1" t="n">
        <f aca="false">N(Q2024)+$P2025</f>
        <v>13</v>
      </c>
      <c r="R2025" s="1" t="n">
        <f aca="false">IF(AND($K2025=1,AND(对接源_02物料!$X825="公司筐",N(对接源_02物料!$U825)&lt;&gt;0)),1,0)</f>
        <v>0</v>
      </c>
      <c r="S2025" s="1" t="n">
        <f aca="false">N(S2024)+$R2025</f>
        <v>5</v>
      </c>
      <c r="T2025" s="1" t="n">
        <f aca="false">IF(AND($K2025=1,AND(对接源_02物料!$X825="公司筐",N(对接源_02物料!$V825)&lt;&gt;0)),1,0)</f>
        <v>0</v>
      </c>
      <c r="U2025" s="1" t="n">
        <f aca="false">N(U2024)+$T2025</f>
        <v>28</v>
      </c>
      <c r="V2025" s="1" t="n">
        <f aca="false">IF(AND($L2025=1,AND(对接源_02物料!$X825="自备筐",N(对接源_02物料!$V825)&lt;&gt;0)),1,0)</f>
        <v>0</v>
      </c>
      <c r="W2025" s="1" t="n">
        <f aca="false">N(W2024)+$V2025</f>
        <v>7</v>
      </c>
      <c r="X2025" s="1" t="n">
        <f aca="false">IF(AND($L2025=1,AND(对接源_02物料!$X825="自备筐",N(对接源_02物料!$T825)&lt;&gt;0)),1,0)</f>
        <v>0</v>
      </c>
      <c r="Y2025" s="1" t="n">
        <f aca="false">N(Y2024)+$X2025</f>
        <v>0</v>
      </c>
      <c r="Z2025" s="1" t="n">
        <f aca="false">IF(AND($M2025=1,对接源_02物料!$D825="原料入库"),1,0)</f>
        <v>0</v>
      </c>
      <c r="AA2025" s="1" t="n">
        <f aca="false">N(AA2024)+$Z2025</f>
        <v>30</v>
      </c>
      <c r="AB2025" s="1" t="n">
        <f aca="false">IF(AND($M2025=1,LEFT(对接源_02物料!$D825,4)="原料出库"),1,0)</f>
        <v>0</v>
      </c>
      <c r="AC2025" s="1" t="n">
        <f aca="false">N(AC2024)+$AB2025</f>
        <v>19</v>
      </c>
      <c r="AD2025" s="1" t="n">
        <f aca="false">IF(AND($M2025=1,LEFT(对接源_02物料!$D825,4)="成品出库"),1,0)</f>
        <v>0</v>
      </c>
      <c r="AE2025" s="1" t="n">
        <f aca="false">N(AE2024)+$AD2025</f>
        <v>38</v>
      </c>
      <c r="AF2025" s="1" t="n">
        <f aca="false">IF(AND($N2025=1,AND(LEFT(对接源_02物料!$D825,4)="包装物料",N(对接源_02物料!$K825)&lt;&gt;0)),1,0)</f>
        <v>0</v>
      </c>
      <c r="AG2025" s="1" t="n">
        <f aca="false">N(AG2024)+$AF2025</f>
        <v>6</v>
      </c>
      <c r="AH2025" s="1" t="n">
        <f aca="false">IF(AND($N2025=1,AND(LEFT(对接源_02物料!$D825,3)="周转筐",N(对接源_02物料!$K825)&lt;&gt;0)),1,0)</f>
        <v>0</v>
      </c>
      <c r="AI2025" s="1" t="n">
        <f aca="false">N(AI2024)+$AH2025</f>
        <v>0</v>
      </c>
      <c r="AJ2025" s="1" t="n">
        <v>0</v>
      </c>
      <c r="AK2025" s="1" t="n">
        <f aca="false">N(AK2024)+$AJ2025</f>
        <v>3672</v>
      </c>
    </row>
    <row r="2026" customFormat="false" ht="13.5" hidden="false" customHeight="false" outlineLevel="0" collapsed="false">
      <c r="A2026" s="1" t="str">
        <f aca="false">IF(对接源_02物料!$C826="","",对接源_02物料!$C826)</f>
        <v/>
      </c>
      <c r="B2026" s="1" t="n">
        <f aca="false">IF(A2026="",0,IF(MATCH(A2026,$A$4:$A$2403,0)=ROW()-3,1,0))</f>
        <v>0</v>
      </c>
      <c r="C2026" s="1" t="n">
        <f aca="false">N(C2025)+B2026</f>
        <v>17</v>
      </c>
      <c r="K2026" s="1" t="n">
        <f aca="false">IF(OR($K$1="",对接源_02物料!$C826="",对接源_02物料!$C826&lt;&gt;$K$1,对接源_02物料!$B826=""),0,IF(OR(N(对接源_02物料!$B826)&lt;$K$2,N(对接源_02物料!$B826)&gt;$K$3),0,1))</f>
        <v>0</v>
      </c>
      <c r="L2026" s="1" t="n">
        <f aca="false">IF(OR($L$1="",对接源_02物料!$C826="",对接源_02物料!$C826&lt;&gt;$L$1,对接源_02物料!$B826=""),0,IF(OR(N(对接源_02物料!$B826)&lt;$L$2,N(对接源_02物料!$B826)&gt;$L$3),0,1))</f>
        <v>0</v>
      </c>
      <c r="M2026" s="1" t="n">
        <f aca="false">IF(OR($M$1="",对接源_02物料!$C826="",对接源_02物料!$C826&lt;&gt;$M$1,对接源_02物料!$B826=""),0,IF(OR(N(对接源_02物料!$B826)&lt;$M$2,N(对接源_02物料!$B826)&gt;$M$3),0,1))</f>
        <v>0</v>
      </c>
      <c r="N2026" s="1" t="n">
        <f aca="false">IF(OR($N$1="",对接源_02物料!$C826="",对接源_02物料!$C826&lt;&gt;$N$1,对接源_02物料!$B826=""),0,IF(OR(N(对接源_02物料!$B826)&lt;$N$2,N(对接源_02物料!$B826)&gt;$N$3),0,1))</f>
        <v>0</v>
      </c>
      <c r="P2026" s="1" t="n">
        <f aca="false">IF(AND($K2026=1,AND(对接源_02物料!$X826="公司筐",N(对接源_02物料!$T826)&lt;&gt;0)),1,0)</f>
        <v>0</v>
      </c>
      <c r="Q2026" s="1" t="n">
        <f aca="false">N(Q2025)+$P2026</f>
        <v>13</v>
      </c>
      <c r="R2026" s="1" t="n">
        <f aca="false">IF(AND($K2026=1,AND(对接源_02物料!$X826="公司筐",N(对接源_02物料!$U826)&lt;&gt;0)),1,0)</f>
        <v>0</v>
      </c>
      <c r="S2026" s="1" t="n">
        <f aca="false">N(S2025)+$R2026</f>
        <v>5</v>
      </c>
      <c r="T2026" s="1" t="n">
        <f aca="false">IF(AND($K2026=1,AND(对接源_02物料!$X826="公司筐",N(对接源_02物料!$V826)&lt;&gt;0)),1,0)</f>
        <v>0</v>
      </c>
      <c r="U2026" s="1" t="n">
        <f aca="false">N(U2025)+$T2026</f>
        <v>28</v>
      </c>
      <c r="V2026" s="1" t="n">
        <f aca="false">IF(AND($L2026=1,AND(对接源_02物料!$X826="自备筐",N(对接源_02物料!$V826)&lt;&gt;0)),1,0)</f>
        <v>0</v>
      </c>
      <c r="W2026" s="1" t="n">
        <f aca="false">N(W2025)+$V2026</f>
        <v>7</v>
      </c>
      <c r="X2026" s="1" t="n">
        <f aca="false">IF(AND($L2026=1,AND(对接源_02物料!$X826="自备筐",N(对接源_02物料!$T826)&lt;&gt;0)),1,0)</f>
        <v>0</v>
      </c>
      <c r="Y2026" s="1" t="n">
        <f aca="false">N(Y2025)+$X2026</f>
        <v>0</v>
      </c>
      <c r="Z2026" s="1" t="n">
        <f aca="false">IF(AND($M2026=1,对接源_02物料!$D826="原料入库"),1,0)</f>
        <v>0</v>
      </c>
      <c r="AA2026" s="1" t="n">
        <f aca="false">N(AA2025)+$Z2026</f>
        <v>30</v>
      </c>
      <c r="AB2026" s="1" t="n">
        <f aca="false">IF(AND($M2026=1,LEFT(对接源_02物料!$D826,4)="原料出库"),1,0)</f>
        <v>0</v>
      </c>
      <c r="AC2026" s="1" t="n">
        <f aca="false">N(AC2025)+$AB2026</f>
        <v>19</v>
      </c>
      <c r="AD2026" s="1" t="n">
        <f aca="false">IF(AND($M2026=1,LEFT(对接源_02物料!$D826,4)="成品出库"),1,0)</f>
        <v>0</v>
      </c>
      <c r="AE2026" s="1" t="n">
        <f aca="false">N(AE2025)+$AD2026</f>
        <v>38</v>
      </c>
      <c r="AF2026" s="1" t="n">
        <f aca="false">IF(AND($N2026=1,AND(LEFT(对接源_02物料!$D826,4)="包装物料",N(对接源_02物料!$K826)&lt;&gt;0)),1,0)</f>
        <v>0</v>
      </c>
      <c r="AG2026" s="1" t="n">
        <f aca="false">N(AG2025)+$AF2026</f>
        <v>6</v>
      </c>
      <c r="AH2026" s="1" t="n">
        <f aca="false">IF(AND($N2026=1,AND(LEFT(对接源_02物料!$D826,3)="周转筐",N(对接源_02物料!$K826)&lt;&gt;0)),1,0)</f>
        <v>0</v>
      </c>
      <c r="AI2026" s="1" t="n">
        <f aca="false">N(AI2025)+$AH2026</f>
        <v>0</v>
      </c>
      <c r="AJ2026" s="1" t="n">
        <v>0</v>
      </c>
      <c r="AK2026" s="1" t="n">
        <f aca="false">N(AK2025)+$AJ2026</f>
        <v>3672</v>
      </c>
    </row>
    <row r="2027" customFormat="false" ht="13.5" hidden="false" customHeight="false" outlineLevel="0" collapsed="false">
      <c r="A2027" s="1" t="str">
        <f aca="false">IF(对接源_02物料!$C827="","",对接源_02物料!$C827)</f>
        <v/>
      </c>
      <c r="B2027" s="1" t="n">
        <f aca="false">IF(A2027="",0,IF(MATCH(A2027,$A$4:$A$2403,0)=ROW()-3,1,0))</f>
        <v>0</v>
      </c>
      <c r="C2027" s="1" t="n">
        <f aca="false">N(C2026)+B2027</f>
        <v>17</v>
      </c>
      <c r="K2027" s="1" t="n">
        <f aca="false">IF(OR($K$1="",对接源_02物料!$C827="",对接源_02物料!$C827&lt;&gt;$K$1,对接源_02物料!$B827=""),0,IF(OR(N(对接源_02物料!$B827)&lt;$K$2,N(对接源_02物料!$B827)&gt;$K$3),0,1))</f>
        <v>0</v>
      </c>
      <c r="L2027" s="1" t="n">
        <f aca="false">IF(OR($L$1="",对接源_02物料!$C827="",对接源_02物料!$C827&lt;&gt;$L$1,对接源_02物料!$B827=""),0,IF(OR(N(对接源_02物料!$B827)&lt;$L$2,N(对接源_02物料!$B827)&gt;$L$3),0,1))</f>
        <v>0</v>
      </c>
      <c r="M2027" s="1" t="n">
        <f aca="false">IF(OR($M$1="",对接源_02物料!$C827="",对接源_02物料!$C827&lt;&gt;$M$1,对接源_02物料!$B827=""),0,IF(OR(N(对接源_02物料!$B827)&lt;$M$2,N(对接源_02物料!$B827)&gt;$M$3),0,1))</f>
        <v>0</v>
      </c>
      <c r="N2027" s="1" t="n">
        <f aca="false">IF(OR($N$1="",对接源_02物料!$C827="",对接源_02物料!$C827&lt;&gt;$N$1,对接源_02物料!$B827=""),0,IF(OR(N(对接源_02物料!$B827)&lt;$N$2,N(对接源_02物料!$B827)&gt;$N$3),0,1))</f>
        <v>0</v>
      </c>
      <c r="P2027" s="1" t="n">
        <f aca="false">IF(AND($K2027=1,AND(对接源_02物料!$X827="公司筐",N(对接源_02物料!$T827)&lt;&gt;0)),1,0)</f>
        <v>0</v>
      </c>
      <c r="Q2027" s="1" t="n">
        <f aca="false">N(Q2026)+$P2027</f>
        <v>13</v>
      </c>
      <c r="R2027" s="1" t="n">
        <f aca="false">IF(AND($K2027=1,AND(对接源_02物料!$X827="公司筐",N(对接源_02物料!$U827)&lt;&gt;0)),1,0)</f>
        <v>0</v>
      </c>
      <c r="S2027" s="1" t="n">
        <f aca="false">N(S2026)+$R2027</f>
        <v>5</v>
      </c>
      <c r="T2027" s="1" t="n">
        <f aca="false">IF(AND($K2027=1,AND(对接源_02物料!$X827="公司筐",N(对接源_02物料!$V827)&lt;&gt;0)),1,0)</f>
        <v>0</v>
      </c>
      <c r="U2027" s="1" t="n">
        <f aca="false">N(U2026)+$T2027</f>
        <v>28</v>
      </c>
      <c r="V2027" s="1" t="n">
        <f aca="false">IF(AND($L2027=1,AND(对接源_02物料!$X827="自备筐",N(对接源_02物料!$V827)&lt;&gt;0)),1,0)</f>
        <v>0</v>
      </c>
      <c r="W2027" s="1" t="n">
        <f aca="false">N(W2026)+$V2027</f>
        <v>7</v>
      </c>
      <c r="X2027" s="1" t="n">
        <f aca="false">IF(AND($L2027=1,AND(对接源_02物料!$X827="自备筐",N(对接源_02物料!$T827)&lt;&gt;0)),1,0)</f>
        <v>0</v>
      </c>
      <c r="Y2027" s="1" t="n">
        <f aca="false">N(Y2026)+$X2027</f>
        <v>0</v>
      </c>
      <c r="Z2027" s="1" t="n">
        <f aca="false">IF(AND($M2027=1,对接源_02物料!$D827="原料入库"),1,0)</f>
        <v>0</v>
      </c>
      <c r="AA2027" s="1" t="n">
        <f aca="false">N(AA2026)+$Z2027</f>
        <v>30</v>
      </c>
      <c r="AB2027" s="1" t="n">
        <f aca="false">IF(AND($M2027=1,LEFT(对接源_02物料!$D827,4)="原料出库"),1,0)</f>
        <v>0</v>
      </c>
      <c r="AC2027" s="1" t="n">
        <f aca="false">N(AC2026)+$AB2027</f>
        <v>19</v>
      </c>
      <c r="AD2027" s="1" t="n">
        <f aca="false">IF(AND($M2027=1,LEFT(对接源_02物料!$D827,4)="成品出库"),1,0)</f>
        <v>0</v>
      </c>
      <c r="AE2027" s="1" t="n">
        <f aca="false">N(AE2026)+$AD2027</f>
        <v>38</v>
      </c>
      <c r="AF2027" s="1" t="n">
        <f aca="false">IF(AND($N2027=1,AND(LEFT(对接源_02物料!$D827,4)="包装物料",N(对接源_02物料!$K827)&lt;&gt;0)),1,0)</f>
        <v>0</v>
      </c>
      <c r="AG2027" s="1" t="n">
        <f aca="false">N(AG2026)+$AF2027</f>
        <v>6</v>
      </c>
      <c r="AH2027" s="1" t="n">
        <f aca="false">IF(AND($N2027=1,AND(LEFT(对接源_02物料!$D827,3)="周转筐",N(对接源_02物料!$K827)&lt;&gt;0)),1,0)</f>
        <v>0</v>
      </c>
      <c r="AI2027" s="1" t="n">
        <f aca="false">N(AI2026)+$AH2027</f>
        <v>0</v>
      </c>
      <c r="AJ2027" s="1" t="n">
        <v>0</v>
      </c>
      <c r="AK2027" s="1" t="n">
        <f aca="false">N(AK2026)+$AJ2027</f>
        <v>3672</v>
      </c>
    </row>
    <row r="2028" customFormat="false" ht="13.5" hidden="false" customHeight="false" outlineLevel="0" collapsed="false">
      <c r="A2028" s="1" t="str">
        <f aca="false">IF(对接源_02物料!$C828="","",对接源_02物料!$C828)</f>
        <v/>
      </c>
      <c r="B2028" s="1" t="n">
        <f aca="false">IF(A2028="",0,IF(MATCH(A2028,$A$4:$A$2403,0)=ROW()-3,1,0))</f>
        <v>0</v>
      </c>
      <c r="C2028" s="1" t="n">
        <f aca="false">N(C2027)+B2028</f>
        <v>17</v>
      </c>
      <c r="K2028" s="1" t="n">
        <f aca="false">IF(OR($K$1="",对接源_02物料!$C828="",对接源_02物料!$C828&lt;&gt;$K$1,对接源_02物料!$B828=""),0,IF(OR(N(对接源_02物料!$B828)&lt;$K$2,N(对接源_02物料!$B828)&gt;$K$3),0,1))</f>
        <v>0</v>
      </c>
      <c r="L2028" s="1" t="n">
        <f aca="false">IF(OR($L$1="",对接源_02物料!$C828="",对接源_02物料!$C828&lt;&gt;$L$1,对接源_02物料!$B828=""),0,IF(OR(N(对接源_02物料!$B828)&lt;$L$2,N(对接源_02物料!$B828)&gt;$L$3),0,1))</f>
        <v>0</v>
      </c>
      <c r="M2028" s="1" t="n">
        <f aca="false">IF(OR($M$1="",对接源_02物料!$C828="",对接源_02物料!$C828&lt;&gt;$M$1,对接源_02物料!$B828=""),0,IF(OR(N(对接源_02物料!$B828)&lt;$M$2,N(对接源_02物料!$B828)&gt;$M$3),0,1))</f>
        <v>0</v>
      </c>
      <c r="N2028" s="1" t="n">
        <f aca="false">IF(OR($N$1="",对接源_02物料!$C828="",对接源_02物料!$C828&lt;&gt;$N$1,对接源_02物料!$B828=""),0,IF(OR(N(对接源_02物料!$B828)&lt;$N$2,N(对接源_02物料!$B828)&gt;$N$3),0,1))</f>
        <v>0</v>
      </c>
      <c r="P2028" s="1" t="n">
        <f aca="false">IF(AND($K2028=1,AND(对接源_02物料!$X828="公司筐",N(对接源_02物料!$T828)&lt;&gt;0)),1,0)</f>
        <v>0</v>
      </c>
      <c r="Q2028" s="1" t="n">
        <f aca="false">N(Q2027)+$P2028</f>
        <v>13</v>
      </c>
      <c r="R2028" s="1" t="n">
        <f aca="false">IF(AND($K2028=1,AND(对接源_02物料!$X828="公司筐",N(对接源_02物料!$U828)&lt;&gt;0)),1,0)</f>
        <v>0</v>
      </c>
      <c r="S2028" s="1" t="n">
        <f aca="false">N(S2027)+$R2028</f>
        <v>5</v>
      </c>
      <c r="T2028" s="1" t="n">
        <f aca="false">IF(AND($K2028=1,AND(对接源_02物料!$X828="公司筐",N(对接源_02物料!$V828)&lt;&gt;0)),1,0)</f>
        <v>0</v>
      </c>
      <c r="U2028" s="1" t="n">
        <f aca="false">N(U2027)+$T2028</f>
        <v>28</v>
      </c>
      <c r="V2028" s="1" t="n">
        <f aca="false">IF(AND($L2028=1,AND(对接源_02物料!$X828="自备筐",N(对接源_02物料!$V828)&lt;&gt;0)),1,0)</f>
        <v>0</v>
      </c>
      <c r="W2028" s="1" t="n">
        <f aca="false">N(W2027)+$V2028</f>
        <v>7</v>
      </c>
      <c r="X2028" s="1" t="n">
        <f aca="false">IF(AND($L2028=1,AND(对接源_02物料!$X828="自备筐",N(对接源_02物料!$T828)&lt;&gt;0)),1,0)</f>
        <v>0</v>
      </c>
      <c r="Y2028" s="1" t="n">
        <f aca="false">N(Y2027)+$X2028</f>
        <v>0</v>
      </c>
      <c r="Z2028" s="1" t="n">
        <f aca="false">IF(AND($M2028=1,对接源_02物料!$D828="原料入库"),1,0)</f>
        <v>0</v>
      </c>
      <c r="AA2028" s="1" t="n">
        <f aca="false">N(AA2027)+$Z2028</f>
        <v>30</v>
      </c>
      <c r="AB2028" s="1" t="n">
        <f aca="false">IF(AND($M2028=1,LEFT(对接源_02物料!$D828,4)="原料出库"),1,0)</f>
        <v>0</v>
      </c>
      <c r="AC2028" s="1" t="n">
        <f aca="false">N(AC2027)+$AB2028</f>
        <v>19</v>
      </c>
      <c r="AD2028" s="1" t="n">
        <f aca="false">IF(AND($M2028=1,LEFT(对接源_02物料!$D828,4)="成品出库"),1,0)</f>
        <v>0</v>
      </c>
      <c r="AE2028" s="1" t="n">
        <f aca="false">N(AE2027)+$AD2028</f>
        <v>38</v>
      </c>
      <c r="AF2028" s="1" t="n">
        <f aca="false">IF(AND($N2028=1,AND(LEFT(对接源_02物料!$D828,4)="包装物料",N(对接源_02物料!$K828)&lt;&gt;0)),1,0)</f>
        <v>0</v>
      </c>
      <c r="AG2028" s="1" t="n">
        <f aca="false">N(AG2027)+$AF2028</f>
        <v>6</v>
      </c>
      <c r="AH2028" s="1" t="n">
        <f aca="false">IF(AND($N2028=1,AND(LEFT(对接源_02物料!$D828,3)="周转筐",N(对接源_02物料!$K828)&lt;&gt;0)),1,0)</f>
        <v>0</v>
      </c>
      <c r="AI2028" s="1" t="n">
        <f aca="false">N(AI2027)+$AH2028</f>
        <v>0</v>
      </c>
      <c r="AJ2028" s="1" t="n">
        <v>0</v>
      </c>
      <c r="AK2028" s="1" t="n">
        <f aca="false">N(AK2027)+$AJ2028</f>
        <v>3672</v>
      </c>
    </row>
    <row r="2029" customFormat="false" ht="13.5" hidden="false" customHeight="false" outlineLevel="0" collapsed="false">
      <c r="A2029" s="1" t="str">
        <f aca="false">IF(对接源_02物料!$C829="","",对接源_02物料!$C829)</f>
        <v/>
      </c>
      <c r="B2029" s="1" t="n">
        <f aca="false">IF(A2029="",0,IF(MATCH(A2029,$A$4:$A$2403,0)=ROW()-3,1,0))</f>
        <v>0</v>
      </c>
      <c r="C2029" s="1" t="n">
        <f aca="false">N(C2028)+B2029</f>
        <v>17</v>
      </c>
      <c r="K2029" s="1" t="n">
        <f aca="false">IF(OR($K$1="",对接源_02物料!$C829="",对接源_02物料!$C829&lt;&gt;$K$1,对接源_02物料!$B829=""),0,IF(OR(N(对接源_02物料!$B829)&lt;$K$2,N(对接源_02物料!$B829)&gt;$K$3),0,1))</f>
        <v>0</v>
      </c>
      <c r="L2029" s="1" t="n">
        <f aca="false">IF(OR($L$1="",对接源_02物料!$C829="",对接源_02物料!$C829&lt;&gt;$L$1,对接源_02物料!$B829=""),0,IF(OR(N(对接源_02物料!$B829)&lt;$L$2,N(对接源_02物料!$B829)&gt;$L$3),0,1))</f>
        <v>0</v>
      </c>
      <c r="M2029" s="1" t="n">
        <f aca="false">IF(OR($M$1="",对接源_02物料!$C829="",对接源_02物料!$C829&lt;&gt;$M$1,对接源_02物料!$B829=""),0,IF(OR(N(对接源_02物料!$B829)&lt;$M$2,N(对接源_02物料!$B829)&gt;$M$3),0,1))</f>
        <v>0</v>
      </c>
      <c r="N2029" s="1" t="n">
        <f aca="false">IF(OR($N$1="",对接源_02物料!$C829="",对接源_02物料!$C829&lt;&gt;$N$1,对接源_02物料!$B829=""),0,IF(OR(N(对接源_02物料!$B829)&lt;$N$2,N(对接源_02物料!$B829)&gt;$N$3),0,1))</f>
        <v>0</v>
      </c>
      <c r="P2029" s="1" t="n">
        <f aca="false">IF(AND($K2029=1,AND(对接源_02物料!$X829="公司筐",N(对接源_02物料!$T829)&lt;&gt;0)),1,0)</f>
        <v>0</v>
      </c>
      <c r="Q2029" s="1" t="n">
        <f aca="false">N(Q2028)+$P2029</f>
        <v>13</v>
      </c>
      <c r="R2029" s="1" t="n">
        <f aca="false">IF(AND($K2029=1,AND(对接源_02物料!$X829="公司筐",N(对接源_02物料!$U829)&lt;&gt;0)),1,0)</f>
        <v>0</v>
      </c>
      <c r="S2029" s="1" t="n">
        <f aca="false">N(S2028)+$R2029</f>
        <v>5</v>
      </c>
      <c r="T2029" s="1" t="n">
        <f aca="false">IF(AND($K2029=1,AND(对接源_02物料!$X829="公司筐",N(对接源_02物料!$V829)&lt;&gt;0)),1,0)</f>
        <v>0</v>
      </c>
      <c r="U2029" s="1" t="n">
        <f aca="false">N(U2028)+$T2029</f>
        <v>28</v>
      </c>
      <c r="V2029" s="1" t="n">
        <f aca="false">IF(AND($L2029=1,AND(对接源_02物料!$X829="自备筐",N(对接源_02物料!$V829)&lt;&gt;0)),1,0)</f>
        <v>0</v>
      </c>
      <c r="W2029" s="1" t="n">
        <f aca="false">N(W2028)+$V2029</f>
        <v>7</v>
      </c>
      <c r="X2029" s="1" t="n">
        <f aca="false">IF(AND($L2029=1,AND(对接源_02物料!$X829="自备筐",N(对接源_02物料!$T829)&lt;&gt;0)),1,0)</f>
        <v>0</v>
      </c>
      <c r="Y2029" s="1" t="n">
        <f aca="false">N(Y2028)+$X2029</f>
        <v>0</v>
      </c>
      <c r="Z2029" s="1" t="n">
        <f aca="false">IF(AND($M2029=1,对接源_02物料!$D829="原料入库"),1,0)</f>
        <v>0</v>
      </c>
      <c r="AA2029" s="1" t="n">
        <f aca="false">N(AA2028)+$Z2029</f>
        <v>30</v>
      </c>
      <c r="AB2029" s="1" t="n">
        <f aca="false">IF(AND($M2029=1,LEFT(对接源_02物料!$D829,4)="原料出库"),1,0)</f>
        <v>0</v>
      </c>
      <c r="AC2029" s="1" t="n">
        <f aca="false">N(AC2028)+$AB2029</f>
        <v>19</v>
      </c>
      <c r="AD2029" s="1" t="n">
        <f aca="false">IF(AND($M2029=1,LEFT(对接源_02物料!$D829,4)="成品出库"),1,0)</f>
        <v>0</v>
      </c>
      <c r="AE2029" s="1" t="n">
        <f aca="false">N(AE2028)+$AD2029</f>
        <v>38</v>
      </c>
      <c r="AF2029" s="1" t="n">
        <f aca="false">IF(AND($N2029=1,AND(LEFT(对接源_02物料!$D829,4)="包装物料",N(对接源_02物料!$K829)&lt;&gt;0)),1,0)</f>
        <v>0</v>
      </c>
      <c r="AG2029" s="1" t="n">
        <f aca="false">N(AG2028)+$AF2029</f>
        <v>6</v>
      </c>
      <c r="AH2029" s="1" t="n">
        <f aca="false">IF(AND($N2029=1,AND(LEFT(对接源_02物料!$D829,3)="周转筐",N(对接源_02物料!$K829)&lt;&gt;0)),1,0)</f>
        <v>0</v>
      </c>
      <c r="AI2029" s="1" t="n">
        <f aca="false">N(AI2028)+$AH2029</f>
        <v>0</v>
      </c>
      <c r="AJ2029" s="1" t="n">
        <v>0</v>
      </c>
      <c r="AK2029" s="1" t="n">
        <f aca="false">N(AK2028)+$AJ2029</f>
        <v>3672</v>
      </c>
    </row>
    <row r="2030" customFormat="false" ht="13.5" hidden="false" customHeight="false" outlineLevel="0" collapsed="false">
      <c r="A2030" s="1" t="str">
        <f aca="false">IF(对接源_02物料!$C830="","",对接源_02物料!$C830)</f>
        <v/>
      </c>
      <c r="B2030" s="1" t="n">
        <f aca="false">IF(A2030="",0,IF(MATCH(A2030,$A$4:$A$2403,0)=ROW()-3,1,0))</f>
        <v>0</v>
      </c>
      <c r="C2030" s="1" t="n">
        <f aca="false">N(C2029)+B2030</f>
        <v>17</v>
      </c>
      <c r="K2030" s="1" t="n">
        <f aca="false">IF(OR($K$1="",对接源_02物料!$C830="",对接源_02物料!$C830&lt;&gt;$K$1,对接源_02物料!$B830=""),0,IF(OR(N(对接源_02物料!$B830)&lt;$K$2,N(对接源_02物料!$B830)&gt;$K$3),0,1))</f>
        <v>0</v>
      </c>
      <c r="L2030" s="1" t="n">
        <f aca="false">IF(OR($L$1="",对接源_02物料!$C830="",对接源_02物料!$C830&lt;&gt;$L$1,对接源_02物料!$B830=""),0,IF(OR(N(对接源_02物料!$B830)&lt;$L$2,N(对接源_02物料!$B830)&gt;$L$3),0,1))</f>
        <v>0</v>
      </c>
      <c r="M2030" s="1" t="n">
        <f aca="false">IF(OR($M$1="",对接源_02物料!$C830="",对接源_02物料!$C830&lt;&gt;$M$1,对接源_02物料!$B830=""),0,IF(OR(N(对接源_02物料!$B830)&lt;$M$2,N(对接源_02物料!$B830)&gt;$M$3),0,1))</f>
        <v>0</v>
      </c>
      <c r="N2030" s="1" t="n">
        <f aca="false">IF(OR($N$1="",对接源_02物料!$C830="",对接源_02物料!$C830&lt;&gt;$N$1,对接源_02物料!$B830=""),0,IF(OR(N(对接源_02物料!$B830)&lt;$N$2,N(对接源_02物料!$B830)&gt;$N$3),0,1))</f>
        <v>0</v>
      </c>
      <c r="P2030" s="1" t="n">
        <f aca="false">IF(AND($K2030=1,AND(对接源_02物料!$X830="公司筐",N(对接源_02物料!$T830)&lt;&gt;0)),1,0)</f>
        <v>0</v>
      </c>
      <c r="Q2030" s="1" t="n">
        <f aca="false">N(Q2029)+$P2030</f>
        <v>13</v>
      </c>
      <c r="R2030" s="1" t="n">
        <f aca="false">IF(AND($K2030=1,AND(对接源_02物料!$X830="公司筐",N(对接源_02物料!$U830)&lt;&gt;0)),1,0)</f>
        <v>0</v>
      </c>
      <c r="S2030" s="1" t="n">
        <f aca="false">N(S2029)+$R2030</f>
        <v>5</v>
      </c>
      <c r="T2030" s="1" t="n">
        <f aca="false">IF(AND($K2030=1,AND(对接源_02物料!$X830="公司筐",N(对接源_02物料!$V830)&lt;&gt;0)),1,0)</f>
        <v>0</v>
      </c>
      <c r="U2030" s="1" t="n">
        <f aca="false">N(U2029)+$T2030</f>
        <v>28</v>
      </c>
      <c r="V2030" s="1" t="n">
        <f aca="false">IF(AND($L2030=1,AND(对接源_02物料!$X830="自备筐",N(对接源_02物料!$V830)&lt;&gt;0)),1,0)</f>
        <v>0</v>
      </c>
      <c r="W2030" s="1" t="n">
        <f aca="false">N(W2029)+$V2030</f>
        <v>7</v>
      </c>
      <c r="X2030" s="1" t="n">
        <f aca="false">IF(AND($L2030=1,AND(对接源_02物料!$X830="自备筐",N(对接源_02物料!$T830)&lt;&gt;0)),1,0)</f>
        <v>0</v>
      </c>
      <c r="Y2030" s="1" t="n">
        <f aca="false">N(Y2029)+$X2030</f>
        <v>0</v>
      </c>
      <c r="Z2030" s="1" t="n">
        <f aca="false">IF(AND($M2030=1,对接源_02物料!$D830="原料入库"),1,0)</f>
        <v>0</v>
      </c>
      <c r="AA2030" s="1" t="n">
        <f aca="false">N(AA2029)+$Z2030</f>
        <v>30</v>
      </c>
      <c r="AB2030" s="1" t="n">
        <f aca="false">IF(AND($M2030=1,LEFT(对接源_02物料!$D830,4)="原料出库"),1,0)</f>
        <v>0</v>
      </c>
      <c r="AC2030" s="1" t="n">
        <f aca="false">N(AC2029)+$AB2030</f>
        <v>19</v>
      </c>
      <c r="AD2030" s="1" t="n">
        <f aca="false">IF(AND($M2030=1,LEFT(对接源_02物料!$D830,4)="成品出库"),1,0)</f>
        <v>0</v>
      </c>
      <c r="AE2030" s="1" t="n">
        <f aca="false">N(AE2029)+$AD2030</f>
        <v>38</v>
      </c>
      <c r="AF2030" s="1" t="n">
        <f aca="false">IF(AND($N2030=1,AND(LEFT(对接源_02物料!$D830,4)="包装物料",N(对接源_02物料!$K830)&lt;&gt;0)),1,0)</f>
        <v>0</v>
      </c>
      <c r="AG2030" s="1" t="n">
        <f aca="false">N(AG2029)+$AF2030</f>
        <v>6</v>
      </c>
      <c r="AH2030" s="1" t="n">
        <f aca="false">IF(AND($N2030=1,AND(LEFT(对接源_02物料!$D830,3)="周转筐",N(对接源_02物料!$K830)&lt;&gt;0)),1,0)</f>
        <v>0</v>
      </c>
      <c r="AI2030" s="1" t="n">
        <f aca="false">N(AI2029)+$AH2030</f>
        <v>0</v>
      </c>
      <c r="AJ2030" s="1" t="n">
        <v>0</v>
      </c>
      <c r="AK2030" s="1" t="n">
        <f aca="false">N(AK2029)+$AJ2030</f>
        <v>3672</v>
      </c>
    </row>
    <row r="2031" customFormat="false" ht="13.5" hidden="false" customHeight="false" outlineLevel="0" collapsed="false">
      <c r="A2031" s="1" t="str">
        <f aca="false">IF(对接源_02物料!$C831="","",对接源_02物料!$C831)</f>
        <v/>
      </c>
      <c r="B2031" s="1" t="n">
        <f aca="false">IF(A2031="",0,IF(MATCH(A2031,$A$4:$A$2403,0)=ROW()-3,1,0))</f>
        <v>0</v>
      </c>
      <c r="C2031" s="1" t="n">
        <f aca="false">N(C2030)+B2031</f>
        <v>17</v>
      </c>
      <c r="K2031" s="1" t="n">
        <f aca="false">IF(OR($K$1="",对接源_02物料!$C831="",对接源_02物料!$C831&lt;&gt;$K$1,对接源_02物料!$B831=""),0,IF(OR(N(对接源_02物料!$B831)&lt;$K$2,N(对接源_02物料!$B831)&gt;$K$3),0,1))</f>
        <v>0</v>
      </c>
      <c r="L2031" s="1" t="n">
        <f aca="false">IF(OR($L$1="",对接源_02物料!$C831="",对接源_02物料!$C831&lt;&gt;$L$1,对接源_02物料!$B831=""),0,IF(OR(N(对接源_02物料!$B831)&lt;$L$2,N(对接源_02物料!$B831)&gt;$L$3),0,1))</f>
        <v>0</v>
      </c>
      <c r="M2031" s="1" t="n">
        <f aca="false">IF(OR($M$1="",对接源_02物料!$C831="",对接源_02物料!$C831&lt;&gt;$M$1,对接源_02物料!$B831=""),0,IF(OR(N(对接源_02物料!$B831)&lt;$M$2,N(对接源_02物料!$B831)&gt;$M$3),0,1))</f>
        <v>0</v>
      </c>
      <c r="N2031" s="1" t="n">
        <f aca="false">IF(OR($N$1="",对接源_02物料!$C831="",对接源_02物料!$C831&lt;&gt;$N$1,对接源_02物料!$B831=""),0,IF(OR(N(对接源_02物料!$B831)&lt;$N$2,N(对接源_02物料!$B831)&gt;$N$3),0,1))</f>
        <v>0</v>
      </c>
      <c r="P2031" s="1" t="n">
        <f aca="false">IF(AND($K2031=1,AND(对接源_02物料!$X831="公司筐",N(对接源_02物料!$T831)&lt;&gt;0)),1,0)</f>
        <v>0</v>
      </c>
      <c r="Q2031" s="1" t="n">
        <f aca="false">N(Q2030)+$P2031</f>
        <v>13</v>
      </c>
      <c r="R2031" s="1" t="n">
        <f aca="false">IF(AND($K2031=1,AND(对接源_02物料!$X831="公司筐",N(对接源_02物料!$U831)&lt;&gt;0)),1,0)</f>
        <v>0</v>
      </c>
      <c r="S2031" s="1" t="n">
        <f aca="false">N(S2030)+$R2031</f>
        <v>5</v>
      </c>
      <c r="T2031" s="1" t="n">
        <f aca="false">IF(AND($K2031=1,AND(对接源_02物料!$X831="公司筐",N(对接源_02物料!$V831)&lt;&gt;0)),1,0)</f>
        <v>0</v>
      </c>
      <c r="U2031" s="1" t="n">
        <f aca="false">N(U2030)+$T2031</f>
        <v>28</v>
      </c>
      <c r="V2031" s="1" t="n">
        <f aca="false">IF(AND($L2031=1,AND(对接源_02物料!$X831="自备筐",N(对接源_02物料!$V831)&lt;&gt;0)),1,0)</f>
        <v>0</v>
      </c>
      <c r="W2031" s="1" t="n">
        <f aca="false">N(W2030)+$V2031</f>
        <v>7</v>
      </c>
      <c r="X2031" s="1" t="n">
        <f aca="false">IF(AND($L2031=1,AND(对接源_02物料!$X831="自备筐",N(对接源_02物料!$T831)&lt;&gt;0)),1,0)</f>
        <v>0</v>
      </c>
      <c r="Y2031" s="1" t="n">
        <f aca="false">N(Y2030)+$X2031</f>
        <v>0</v>
      </c>
      <c r="Z2031" s="1" t="n">
        <f aca="false">IF(AND($M2031=1,对接源_02物料!$D831="原料入库"),1,0)</f>
        <v>0</v>
      </c>
      <c r="AA2031" s="1" t="n">
        <f aca="false">N(AA2030)+$Z2031</f>
        <v>30</v>
      </c>
      <c r="AB2031" s="1" t="n">
        <f aca="false">IF(AND($M2031=1,LEFT(对接源_02物料!$D831,4)="原料出库"),1,0)</f>
        <v>0</v>
      </c>
      <c r="AC2031" s="1" t="n">
        <f aca="false">N(AC2030)+$AB2031</f>
        <v>19</v>
      </c>
      <c r="AD2031" s="1" t="n">
        <f aca="false">IF(AND($M2031=1,LEFT(对接源_02物料!$D831,4)="成品出库"),1,0)</f>
        <v>0</v>
      </c>
      <c r="AE2031" s="1" t="n">
        <f aca="false">N(AE2030)+$AD2031</f>
        <v>38</v>
      </c>
      <c r="AF2031" s="1" t="n">
        <f aca="false">IF(AND($N2031=1,AND(LEFT(对接源_02物料!$D831,4)="包装物料",N(对接源_02物料!$K831)&lt;&gt;0)),1,0)</f>
        <v>0</v>
      </c>
      <c r="AG2031" s="1" t="n">
        <f aca="false">N(AG2030)+$AF2031</f>
        <v>6</v>
      </c>
      <c r="AH2031" s="1" t="n">
        <f aca="false">IF(AND($N2031=1,AND(LEFT(对接源_02物料!$D831,3)="周转筐",N(对接源_02物料!$K831)&lt;&gt;0)),1,0)</f>
        <v>0</v>
      </c>
      <c r="AI2031" s="1" t="n">
        <f aca="false">N(AI2030)+$AH2031</f>
        <v>0</v>
      </c>
      <c r="AJ2031" s="1" t="n">
        <v>0</v>
      </c>
      <c r="AK2031" s="1" t="n">
        <f aca="false">N(AK2030)+$AJ2031</f>
        <v>3672</v>
      </c>
    </row>
    <row r="2032" customFormat="false" ht="13.5" hidden="false" customHeight="false" outlineLevel="0" collapsed="false">
      <c r="A2032" s="1" t="str">
        <f aca="false">IF(对接源_02物料!$C832="","",对接源_02物料!$C832)</f>
        <v/>
      </c>
      <c r="B2032" s="1" t="n">
        <f aca="false">IF(A2032="",0,IF(MATCH(A2032,$A$4:$A$2403,0)=ROW()-3,1,0))</f>
        <v>0</v>
      </c>
      <c r="C2032" s="1" t="n">
        <f aca="false">N(C2031)+B2032</f>
        <v>17</v>
      </c>
      <c r="K2032" s="1" t="n">
        <f aca="false">IF(OR($K$1="",对接源_02物料!$C832="",对接源_02物料!$C832&lt;&gt;$K$1,对接源_02物料!$B832=""),0,IF(OR(N(对接源_02物料!$B832)&lt;$K$2,N(对接源_02物料!$B832)&gt;$K$3),0,1))</f>
        <v>0</v>
      </c>
      <c r="L2032" s="1" t="n">
        <f aca="false">IF(OR($L$1="",对接源_02物料!$C832="",对接源_02物料!$C832&lt;&gt;$L$1,对接源_02物料!$B832=""),0,IF(OR(N(对接源_02物料!$B832)&lt;$L$2,N(对接源_02物料!$B832)&gt;$L$3),0,1))</f>
        <v>0</v>
      </c>
      <c r="M2032" s="1" t="n">
        <f aca="false">IF(OR($M$1="",对接源_02物料!$C832="",对接源_02物料!$C832&lt;&gt;$M$1,对接源_02物料!$B832=""),0,IF(OR(N(对接源_02物料!$B832)&lt;$M$2,N(对接源_02物料!$B832)&gt;$M$3),0,1))</f>
        <v>0</v>
      </c>
      <c r="N2032" s="1" t="n">
        <f aca="false">IF(OR($N$1="",对接源_02物料!$C832="",对接源_02物料!$C832&lt;&gt;$N$1,对接源_02物料!$B832=""),0,IF(OR(N(对接源_02物料!$B832)&lt;$N$2,N(对接源_02物料!$B832)&gt;$N$3),0,1))</f>
        <v>0</v>
      </c>
      <c r="P2032" s="1" t="n">
        <f aca="false">IF(AND($K2032=1,AND(对接源_02物料!$X832="公司筐",N(对接源_02物料!$T832)&lt;&gt;0)),1,0)</f>
        <v>0</v>
      </c>
      <c r="Q2032" s="1" t="n">
        <f aca="false">N(Q2031)+$P2032</f>
        <v>13</v>
      </c>
      <c r="R2032" s="1" t="n">
        <f aca="false">IF(AND($K2032=1,AND(对接源_02物料!$X832="公司筐",N(对接源_02物料!$U832)&lt;&gt;0)),1,0)</f>
        <v>0</v>
      </c>
      <c r="S2032" s="1" t="n">
        <f aca="false">N(S2031)+$R2032</f>
        <v>5</v>
      </c>
      <c r="T2032" s="1" t="n">
        <f aca="false">IF(AND($K2032=1,AND(对接源_02物料!$X832="公司筐",N(对接源_02物料!$V832)&lt;&gt;0)),1,0)</f>
        <v>0</v>
      </c>
      <c r="U2032" s="1" t="n">
        <f aca="false">N(U2031)+$T2032</f>
        <v>28</v>
      </c>
      <c r="V2032" s="1" t="n">
        <f aca="false">IF(AND($L2032=1,AND(对接源_02物料!$X832="自备筐",N(对接源_02物料!$V832)&lt;&gt;0)),1,0)</f>
        <v>0</v>
      </c>
      <c r="W2032" s="1" t="n">
        <f aca="false">N(W2031)+$V2032</f>
        <v>7</v>
      </c>
      <c r="X2032" s="1" t="n">
        <f aca="false">IF(AND($L2032=1,AND(对接源_02物料!$X832="自备筐",N(对接源_02物料!$T832)&lt;&gt;0)),1,0)</f>
        <v>0</v>
      </c>
      <c r="Y2032" s="1" t="n">
        <f aca="false">N(Y2031)+$X2032</f>
        <v>0</v>
      </c>
      <c r="Z2032" s="1" t="n">
        <f aca="false">IF(AND($M2032=1,对接源_02物料!$D832="原料入库"),1,0)</f>
        <v>0</v>
      </c>
      <c r="AA2032" s="1" t="n">
        <f aca="false">N(AA2031)+$Z2032</f>
        <v>30</v>
      </c>
      <c r="AB2032" s="1" t="n">
        <f aca="false">IF(AND($M2032=1,LEFT(对接源_02物料!$D832,4)="原料出库"),1,0)</f>
        <v>0</v>
      </c>
      <c r="AC2032" s="1" t="n">
        <f aca="false">N(AC2031)+$AB2032</f>
        <v>19</v>
      </c>
      <c r="AD2032" s="1" t="n">
        <f aca="false">IF(AND($M2032=1,LEFT(对接源_02物料!$D832,4)="成品出库"),1,0)</f>
        <v>0</v>
      </c>
      <c r="AE2032" s="1" t="n">
        <f aca="false">N(AE2031)+$AD2032</f>
        <v>38</v>
      </c>
      <c r="AF2032" s="1" t="n">
        <f aca="false">IF(AND($N2032=1,AND(LEFT(对接源_02物料!$D832,4)="包装物料",N(对接源_02物料!$K832)&lt;&gt;0)),1,0)</f>
        <v>0</v>
      </c>
      <c r="AG2032" s="1" t="n">
        <f aca="false">N(AG2031)+$AF2032</f>
        <v>6</v>
      </c>
      <c r="AH2032" s="1" t="n">
        <f aca="false">IF(AND($N2032=1,AND(LEFT(对接源_02物料!$D832,3)="周转筐",N(对接源_02物料!$K832)&lt;&gt;0)),1,0)</f>
        <v>0</v>
      </c>
      <c r="AI2032" s="1" t="n">
        <f aca="false">N(AI2031)+$AH2032</f>
        <v>0</v>
      </c>
      <c r="AJ2032" s="1" t="n">
        <v>0</v>
      </c>
      <c r="AK2032" s="1" t="n">
        <f aca="false">N(AK2031)+$AJ2032</f>
        <v>3672</v>
      </c>
    </row>
    <row r="2033" customFormat="false" ht="13.5" hidden="false" customHeight="false" outlineLevel="0" collapsed="false">
      <c r="A2033" s="1" t="str">
        <f aca="false">IF(对接源_02物料!$C833="","",对接源_02物料!$C833)</f>
        <v/>
      </c>
      <c r="B2033" s="1" t="n">
        <f aca="false">IF(A2033="",0,IF(MATCH(A2033,$A$4:$A$2403,0)=ROW()-3,1,0))</f>
        <v>0</v>
      </c>
      <c r="C2033" s="1" t="n">
        <f aca="false">N(C2032)+B2033</f>
        <v>17</v>
      </c>
      <c r="K2033" s="1" t="n">
        <f aca="false">IF(OR($K$1="",对接源_02物料!$C833="",对接源_02物料!$C833&lt;&gt;$K$1,对接源_02物料!$B833=""),0,IF(OR(N(对接源_02物料!$B833)&lt;$K$2,N(对接源_02物料!$B833)&gt;$K$3),0,1))</f>
        <v>0</v>
      </c>
      <c r="L2033" s="1" t="n">
        <f aca="false">IF(OR($L$1="",对接源_02物料!$C833="",对接源_02物料!$C833&lt;&gt;$L$1,对接源_02物料!$B833=""),0,IF(OR(N(对接源_02物料!$B833)&lt;$L$2,N(对接源_02物料!$B833)&gt;$L$3),0,1))</f>
        <v>0</v>
      </c>
      <c r="M2033" s="1" t="n">
        <f aca="false">IF(OR($M$1="",对接源_02物料!$C833="",对接源_02物料!$C833&lt;&gt;$M$1,对接源_02物料!$B833=""),0,IF(OR(N(对接源_02物料!$B833)&lt;$M$2,N(对接源_02物料!$B833)&gt;$M$3),0,1))</f>
        <v>0</v>
      </c>
      <c r="N2033" s="1" t="n">
        <f aca="false">IF(OR($N$1="",对接源_02物料!$C833="",对接源_02物料!$C833&lt;&gt;$N$1,对接源_02物料!$B833=""),0,IF(OR(N(对接源_02物料!$B833)&lt;$N$2,N(对接源_02物料!$B833)&gt;$N$3),0,1))</f>
        <v>0</v>
      </c>
      <c r="P2033" s="1" t="n">
        <f aca="false">IF(AND($K2033=1,AND(对接源_02物料!$X833="公司筐",N(对接源_02物料!$T833)&lt;&gt;0)),1,0)</f>
        <v>0</v>
      </c>
      <c r="Q2033" s="1" t="n">
        <f aca="false">N(Q2032)+$P2033</f>
        <v>13</v>
      </c>
      <c r="R2033" s="1" t="n">
        <f aca="false">IF(AND($K2033=1,AND(对接源_02物料!$X833="公司筐",N(对接源_02物料!$U833)&lt;&gt;0)),1,0)</f>
        <v>0</v>
      </c>
      <c r="S2033" s="1" t="n">
        <f aca="false">N(S2032)+$R2033</f>
        <v>5</v>
      </c>
      <c r="T2033" s="1" t="n">
        <f aca="false">IF(AND($K2033=1,AND(对接源_02物料!$X833="公司筐",N(对接源_02物料!$V833)&lt;&gt;0)),1,0)</f>
        <v>0</v>
      </c>
      <c r="U2033" s="1" t="n">
        <f aca="false">N(U2032)+$T2033</f>
        <v>28</v>
      </c>
      <c r="V2033" s="1" t="n">
        <f aca="false">IF(AND($L2033=1,AND(对接源_02物料!$X833="自备筐",N(对接源_02物料!$V833)&lt;&gt;0)),1,0)</f>
        <v>0</v>
      </c>
      <c r="W2033" s="1" t="n">
        <f aca="false">N(W2032)+$V2033</f>
        <v>7</v>
      </c>
      <c r="X2033" s="1" t="n">
        <f aca="false">IF(AND($L2033=1,AND(对接源_02物料!$X833="自备筐",N(对接源_02物料!$T833)&lt;&gt;0)),1,0)</f>
        <v>0</v>
      </c>
      <c r="Y2033" s="1" t="n">
        <f aca="false">N(Y2032)+$X2033</f>
        <v>0</v>
      </c>
      <c r="Z2033" s="1" t="n">
        <f aca="false">IF(AND($M2033=1,对接源_02物料!$D833="原料入库"),1,0)</f>
        <v>0</v>
      </c>
      <c r="AA2033" s="1" t="n">
        <f aca="false">N(AA2032)+$Z2033</f>
        <v>30</v>
      </c>
      <c r="AB2033" s="1" t="n">
        <f aca="false">IF(AND($M2033=1,LEFT(对接源_02物料!$D833,4)="原料出库"),1,0)</f>
        <v>0</v>
      </c>
      <c r="AC2033" s="1" t="n">
        <f aca="false">N(AC2032)+$AB2033</f>
        <v>19</v>
      </c>
      <c r="AD2033" s="1" t="n">
        <f aca="false">IF(AND($M2033=1,LEFT(对接源_02物料!$D833,4)="成品出库"),1,0)</f>
        <v>0</v>
      </c>
      <c r="AE2033" s="1" t="n">
        <f aca="false">N(AE2032)+$AD2033</f>
        <v>38</v>
      </c>
      <c r="AF2033" s="1" t="n">
        <f aca="false">IF(AND($N2033=1,AND(LEFT(对接源_02物料!$D833,4)="包装物料",N(对接源_02物料!$K833)&lt;&gt;0)),1,0)</f>
        <v>0</v>
      </c>
      <c r="AG2033" s="1" t="n">
        <f aca="false">N(AG2032)+$AF2033</f>
        <v>6</v>
      </c>
      <c r="AH2033" s="1" t="n">
        <f aca="false">IF(AND($N2033=1,AND(LEFT(对接源_02物料!$D833,3)="周转筐",N(对接源_02物料!$K833)&lt;&gt;0)),1,0)</f>
        <v>0</v>
      </c>
      <c r="AI2033" s="1" t="n">
        <f aca="false">N(AI2032)+$AH2033</f>
        <v>0</v>
      </c>
      <c r="AJ2033" s="1" t="n">
        <v>0</v>
      </c>
      <c r="AK2033" s="1" t="n">
        <f aca="false">N(AK2032)+$AJ2033</f>
        <v>3672</v>
      </c>
    </row>
    <row r="2034" customFormat="false" ht="13.5" hidden="false" customHeight="false" outlineLevel="0" collapsed="false">
      <c r="A2034" s="1" t="str">
        <f aca="false">IF(对接源_02物料!$C834="","",对接源_02物料!$C834)</f>
        <v/>
      </c>
      <c r="B2034" s="1" t="n">
        <f aca="false">IF(A2034="",0,IF(MATCH(A2034,$A$4:$A$2403,0)=ROW()-3,1,0))</f>
        <v>0</v>
      </c>
      <c r="C2034" s="1" t="n">
        <f aca="false">N(C2033)+B2034</f>
        <v>17</v>
      </c>
      <c r="K2034" s="1" t="n">
        <f aca="false">IF(OR($K$1="",对接源_02物料!$C834="",对接源_02物料!$C834&lt;&gt;$K$1,对接源_02物料!$B834=""),0,IF(OR(N(对接源_02物料!$B834)&lt;$K$2,N(对接源_02物料!$B834)&gt;$K$3),0,1))</f>
        <v>0</v>
      </c>
      <c r="L2034" s="1" t="n">
        <f aca="false">IF(OR($L$1="",对接源_02物料!$C834="",对接源_02物料!$C834&lt;&gt;$L$1,对接源_02物料!$B834=""),0,IF(OR(N(对接源_02物料!$B834)&lt;$L$2,N(对接源_02物料!$B834)&gt;$L$3),0,1))</f>
        <v>0</v>
      </c>
      <c r="M2034" s="1" t="n">
        <f aca="false">IF(OR($M$1="",对接源_02物料!$C834="",对接源_02物料!$C834&lt;&gt;$M$1,对接源_02物料!$B834=""),0,IF(OR(N(对接源_02物料!$B834)&lt;$M$2,N(对接源_02物料!$B834)&gt;$M$3),0,1))</f>
        <v>0</v>
      </c>
      <c r="N2034" s="1" t="n">
        <f aca="false">IF(OR($N$1="",对接源_02物料!$C834="",对接源_02物料!$C834&lt;&gt;$N$1,对接源_02物料!$B834=""),0,IF(OR(N(对接源_02物料!$B834)&lt;$N$2,N(对接源_02物料!$B834)&gt;$N$3),0,1))</f>
        <v>0</v>
      </c>
      <c r="P2034" s="1" t="n">
        <f aca="false">IF(AND($K2034=1,AND(对接源_02物料!$X834="公司筐",N(对接源_02物料!$T834)&lt;&gt;0)),1,0)</f>
        <v>0</v>
      </c>
      <c r="Q2034" s="1" t="n">
        <f aca="false">N(Q2033)+$P2034</f>
        <v>13</v>
      </c>
      <c r="R2034" s="1" t="n">
        <f aca="false">IF(AND($K2034=1,AND(对接源_02物料!$X834="公司筐",N(对接源_02物料!$U834)&lt;&gt;0)),1,0)</f>
        <v>0</v>
      </c>
      <c r="S2034" s="1" t="n">
        <f aca="false">N(S2033)+$R2034</f>
        <v>5</v>
      </c>
      <c r="T2034" s="1" t="n">
        <f aca="false">IF(AND($K2034=1,AND(对接源_02物料!$X834="公司筐",N(对接源_02物料!$V834)&lt;&gt;0)),1,0)</f>
        <v>0</v>
      </c>
      <c r="U2034" s="1" t="n">
        <f aca="false">N(U2033)+$T2034</f>
        <v>28</v>
      </c>
      <c r="V2034" s="1" t="n">
        <f aca="false">IF(AND($L2034=1,AND(对接源_02物料!$X834="自备筐",N(对接源_02物料!$V834)&lt;&gt;0)),1,0)</f>
        <v>0</v>
      </c>
      <c r="W2034" s="1" t="n">
        <f aca="false">N(W2033)+$V2034</f>
        <v>7</v>
      </c>
      <c r="X2034" s="1" t="n">
        <f aca="false">IF(AND($L2034=1,AND(对接源_02物料!$X834="自备筐",N(对接源_02物料!$T834)&lt;&gt;0)),1,0)</f>
        <v>0</v>
      </c>
      <c r="Y2034" s="1" t="n">
        <f aca="false">N(Y2033)+$X2034</f>
        <v>0</v>
      </c>
      <c r="Z2034" s="1" t="n">
        <f aca="false">IF(AND($M2034=1,对接源_02物料!$D834="原料入库"),1,0)</f>
        <v>0</v>
      </c>
      <c r="AA2034" s="1" t="n">
        <f aca="false">N(AA2033)+$Z2034</f>
        <v>30</v>
      </c>
      <c r="AB2034" s="1" t="n">
        <f aca="false">IF(AND($M2034=1,LEFT(对接源_02物料!$D834,4)="原料出库"),1,0)</f>
        <v>0</v>
      </c>
      <c r="AC2034" s="1" t="n">
        <f aca="false">N(AC2033)+$AB2034</f>
        <v>19</v>
      </c>
      <c r="AD2034" s="1" t="n">
        <f aca="false">IF(AND($M2034=1,LEFT(对接源_02物料!$D834,4)="成品出库"),1,0)</f>
        <v>0</v>
      </c>
      <c r="AE2034" s="1" t="n">
        <f aca="false">N(AE2033)+$AD2034</f>
        <v>38</v>
      </c>
      <c r="AF2034" s="1" t="n">
        <f aca="false">IF(AND($N2034=1,AND(LEFT(对接源_02物料!$D834,4)="包装物料",N(对接源_02物料!$K834)&lt;&gt;0)),1,0)</f>
        <v>0</v>
      </c>
      <c r="AG2034" s="1" t="n">
        <f aca="false">N(AG2033)+$AF2034</f>
        <v>6</v>
      </c>
      <c r="AH2034" s="1" t="n">
        <f aca="false">IF(AND($N2034=1,AND(LEFT(对接源_02物料!$D834,3)="周转筐",N(对接源_02物料!$K834)&lt;&gt;0)),1,0)</f>
        <v>0</v>
      </c>
      <c r="AI2034" s="1" t="n">
        <f aca="false">N(AI2033)+$AH2034</f>
        <v>0</v>
      </c>
      <c r="AJ2034" s="1" t="n">
        <v>0</v>
      </c>
      <c r="AK2034" s="1" t="n">
        <f aca="false">N(AK2033)+$AJ2034</f>
        <v>3672</v>
      </c>
    </row>
    <row r="2035" customFormat="false" ht="13.5" hidden="false" customHeight="false" outlineLevel="0" collapsed="false">
      <c r="A2035" s="1" t="str">
        <f aca="false">IF(对接源_02物料!$C835="","",对接源_02物料!$C835)</f>
        <v/>
      </c>
      <c r="B2035" s="1" t="n">
        <f aca="false">IF(A2035="",0,IF(MATCH(A2035,$A$4:$A$2403,0)=ROW()-3,1,0))</f>
        <v>0</v>
      </c>
      <c r="C2035" s="1" t="n">
        <f aca="false">N(C2034)+B2035</f>
        <v>17</v>
      </c>
      <c r="K2035" s="1" t="n">
        <f aca="false">IF(OR($K$1="",对接源_02物料!$C835="",对接源_02物料!$C835&lt;&gt;$K$1,对接源_02物料!$B835=""),0,IF(OR(N(对接源_02物料!$B835)&lt;$K$2,N(对接源_02物料!$B835)&gt;$K$3),0,1))</f>
        <v>0</v>
      </c>
      <c r="L2035" s="1" t="n">
        <f aca="false">IF(OR($L$1="",对接源_02物料!$C835="",对接源_02物料!$C835&lt;&gt;$L$1,对接源_02物料!$B835=""),0,IF(OR(N(对接源_02物料!$B835)&lt;$L$2,N(对接源_02物料!$B835)&gt;$L$3),0,1))</f>
        <v>0</v>
      </c>
      <c r="M2035" s="1" t="n">
        <f aca="false">IF(OR($M$1="",对接源_02物料!$C835="",对接源_02物料!$C835&lt;&gt;$M$1,对接源_02物料!$B835=""),0,IF(OR(N(对接源_02物料!$B835)&lt;$M$2,N(对接源_02物料!$B835)&gt;$M$3),0,1))</f>
        <v>0</v>
      </c>
      <c r="N2035" s="1" t="n">
        <f aca="false">IF(OR($N$1="",对接源_02物料!$C835="",对接源_02物料!$C835&lt;&gt;$N$1,对接源_02物料!$B835=""),0,IF(OR(N(对接源_02物料!$B835)&lt;$N$2,N(对接源_02物料!$B835)&gt;$N$3),0,1))</f>
        <v>0</v>
      </c>
      <c r="P2035" s="1" t="n">
        <f aca="false">IF(AND($K2035=1,AND(对接源_02物料!$X835="公司筐",N(对接源_02物料!$T835)&lt;&gt;0)),1,0)</f>
        <v>0</v>
      </c>
      <c r="Q2035" s="1" t="n">
        <f aca="false">N(Q2034)+$P2035</f>
        <v>13</v>
      </c>
      <c r="R2035" s="1" t="n">
        <f aca="false">IF(AND($K2035=1,AND(对接源_02物料!$X835="公司筐",N(对接源_02物料!$U835)&lt;&gt;0)),1,0)</f>
        <v>0</v>
      </c>
      <c r="S2035" s="1" t="n">
        <f aca="false">N(S2034)+$R2035</f>
        <v>5</v>
      </c>
      <c r="T2035" s="1" t="n">
        <f aca="false">IF(AND($K2035=1,AND(对接源_02物料!$X835="公司筐",N(对接源_02物料!$V835)&lt;&gt;0)),1,0)</f>
        <v>0</v>
      </c>
      <c r="U2035" s="1" t="n">
        <f aca="false">N(U2034)+$T2035</f>
        <v>28</v>
      </c>
      <c r="V2035" s="1" t="n">
        <f aca="false">IF(AND($L2035=1,AND(对接源_02物料!$X835="自备筐",N(对接源_02物料!$V835)&lt;&gt;0)),1,0)</f>
        <v>0</v>
      </c>
      <c r="W2035" s="1" t="n">
        <f aca="false">N(W2034)+$V2035</f>
        <v>7</v>
      </c>
      <c r="X2035" s="1" t="n">
        <f aca="false">IF(AND($L2035=1,AND(对接源_02物料!$X835="自备筐",N(对接源_02物料!$T835)&lt;&gt;0)),1,0)</f>
        <v>0</v>
      </c>
      <c r="Y2035" s="1" t="n">
        <f aca="false">N(Y2034)+$X2035</f>
        <v>0</v>
      </c>
      <c r="Z2035" s="1" t="n">
        <f aca="false">IF(AND($M2035=1,对接源_02物料!$D835="原料入库"),1,0)</f>
        <v>0</v>
      </c>
      <c r="AA2035" s="1" t="n">
        <f aca="false">N(AA2034)+$Z2035</f>
        <v>30</v>
      </c>
      <c r="AB2035" s="1" t="n">
        <f aca="false">IF(AND($M2035=1,LEFT(对接源_02物料!$D835,4)="原料出库"),1,0)</f>
        <v>0</v>
      </c>
      <c r="AC2035" s="1" t="n">
        <f aca="false">N(AC2034)+$AB2035</f>
        <v>19</v>
      </c>
      <c r="AD2035" s="1" t="n">
        <f aca="false">IF(AND($M2035=1,LEFT(对接源_02物料!$D835,4)="成品出库"),1,0)</f>
        <v>0</v>
      </c>
      <c r="AE2035" s="1" t="n">
        <f aca="false">N(AE2034)+$AD2035</f>
        <v>38</v>
      </c>
      <c r="AF2035" s="1" t="n">
        <f aca="false">IF(AND($N2035=1,AND(LEFT(对接源_02物料!$D835,4)="包装物料",N(对接源_02物料!$K835)&lt;&gt;0)),1,0)</f>
        <v>0</v>
      </c>
      <c r="AG2035" s="1" t="n">
        <f aca="false">N(AG2034)+$AF2035</f>
        <v>6</v>
      </c>
      <c r="AH2035" s="1" t="n">
        <f aca="false">IF(AND($N2035=1,AND(LEFT(对接源_02物料!$D835,3)="周转筐",N(对接源_02物料!$K835)&lt;&gt;0)),1,0)</f>
        <v>0</v>
      </c>
      <c r="AI2035" s="1" t="n">
        <f aca="false">N(AI2034)+$AH2035</f>
        <v>0</v>
      </c>
      <c r="AJ2035" s="1" t="n">
        <v>0</v>
      </c>
      <c r="AK2035" s="1" t="n">
        <f aca="false">N(AK2034)+$AJ2035</f>
        <v>3672</v>
      </c>
    </row>
    <row r="2036" customFormat="false" ht="13.5" hidden="false" customHeight="false" outlineLevel="0" collapsed="false">
      <c r="A2036" s="1" t="str">
        <f aca="false">IF(对接源_02物料!$C836="","",对接源_02物料!$C836)</f>
        <v/>
      </c>
      <c r="B2036" s="1" t="n">
        <f aca="false">IF(A2036="",0,IF(MATCH(A2036,$A$4:$A$2403,0)=ROW()-3,1,0))</f>
        <v>0</v>
      </c>
      <c r="C2036" s="1" t="n">
        <f aca="false">N(C2035)+B2036</f>
        <v>17</v>
      </c>
      <c r="K2036" s="1" t="n">
        <f aca="false">IF(OR($K$1="",对接源_02物料!$C836="",对接源_02物料!$C836&lt;&gt;$K$1,对接源_02物料!$B836=""),0,IF(OR(N(对接源_02物料!$B836)&lt;$K$2,N(对接源_02物料!$B836)&gt;$K$3),0,1))</f>
        <v>0</v>
      </c>
      <c r="L2036" s="1" t="n">
        <f aca="false">IF(OR($L$1="",对接源_02物料!$C836="",对接源_02物料!$C836&lt;&gt;$L$1,对接源_02物料!$B836=""),0,IF(OR(N(对接源_02物料!$B836)&lt;$L$2,N(对接源_02物料!$B836)&gt;$L$3),0,1))</f>
        <v>0</v>
      </c>
      <c r="M2036" s="1" t="n">
        <f aca="false">IF(OR($M$1="",对接源_02物料!$C836="",对接源_02物料!$C836&lt;&gt;$M$1,对接源_02物料!$B836=""),0,IF(OR(N(对接源_02物料!$B836)&lt;$M$2,N(对接源_02物料!$B836)&gt;$M$3),0,1))</f>
        <v>0</v>
      </c>
      <c r="N2036" s="1" t="n">
        <f aca="false">IF(OR($N$1="",对接源_02物料!$C836="",对接源_02物料!$C836&lt;&gt;$N$1,对接源_02物料!$B836=""),0,IF(OR(N(对接源_02物料!$B836)&lt;$N$2,N(对接源_02物料!$B836)&gt;$N$3),0,1))</f>
        <v>0</v>
      </c>
      <c r="P2036" s="1" t="n">
        <f aca="false">IF(AND($K2036=1,AND(对接源_02物料!$X836="公司筐",N(对接源_02物料!$T836)&lt;&gt;0)),1,0)</f>
        <v>0</v>
      </c>
      <c r="Q2036" s="1" t="n">
        <f aca="false">N(Q2035)+$P2036</f>
        <v>13</v>
      </c>
      <c r="R2036" s="1" t="n">
        <f aca="false">IF(AND($K2036=1,AND(对接源_02物料!$X836="公司筐",N(对接源_02物料!$U836)&lt;&gt;0)),1,0)</f>
        <v>0</v>
      </c>
      <c r="S2036" s="1" t="n">
        <f aca="false">N(S2035)+$R2036</f>
        <v>5</v>
      </c>
      <c r="T2036" s="1" t="n">
        <f aca="false">IF(AND($K2036=1,AND(对接源_02物料!$X836="公司筐",N(对接源_02物料!$V836)&lt;&gt;0)),1,0)</f>
        <v>0</v>
      </c>
      <c r="U2036" s="1" t="n">
        <f aca="false">N(U2035)+$T2036</f>
        <v>28</v>
      </c>
      <c r="V2036" s="1" t="n">
        <f aca="false">IF(AND($L2036=1,AND(对接源_02物料!$X836="自备筐",N(对接源_02物料!$V836)&lt;&gt;0)),1,0)</f>
        <v>0</v>
      </c>
      <c r="W2036" s="1" t="n">
        <f aca="false">N(W2035)+$V2036</f>
        <v>7</v>
      </c>
      <c r="X2036" s="1" t="n">
        <f aca="false">IF(AND($L2036=1,AND(对接源_02物料!$X836="自备筐",N(对接源_02物料!$T836)&lt;&gt;0)),1,0)</f>
        <v>0</v>
      </c>
      <c r="Y2036" s="1" t="n">
        <f aca="false">N(Y2035)+$X2036</f>
        <v>0</v>
      </c>
      <c r="Z2036" s="1" t="n">
        <f aca="false">IF(AND($M2036=1,对接源_02物料!$D836="原料入库"),1,0)</f>
        <v>0</v>
      </c>
      <c r="AA2036" s="1" t="n">
        <f aca="false">N(AA2035)+$Z2036</f>
        <v>30</v>
      </c>
      <c r="AB2036" s="1" t="n">
        <f aca="false">IF(AND($M2036=1,LEFT(对接源_02物料!$D836,4)="原料出库"),1,0)</f>
        <v>0</v>
      </c>
      <c r="AC2036" s="1" t="n">
        <f aca="false">N(AC2035)+$AB2036</f>
        <v>19</v>
      </c>
      <c r="AD2036" s="1" t="n">
        <f aca="false">IF(AND($M2036=1,LEFT(对接源_02物料!$D836,4)="成品出库"),1,0)</f>
        <v>0</v>
      </c>
      <c r="AE2036" s="1" t="n">
        <f aca="false">N(AE2035)+$AD2036</f>
        <v>38</v>
      </c>
      <c r="AF2036" s="1" t="n">
        <f aca="false">IF(AND($N2036=1,AND(LEFT(对接源_02物料!$D836,4)="包装物料",N(对接源_02物料!$K836)&lt;&gt;0)),1,0)</f>
        <v>0</v>
      </c>
      <c r="AG2036" s="1" t="n">
        <f aca="false">N(AG2035)+$AF2036</f>
        <v>6</v>
      </c>
      <c r="AH2036" s="1" t="n">
        <f aca="false">IF(AND($N2036=1,AND(LEFT(对接源_02物料!$D836,3)="周转筐",N(对接源_02物料!$K836)&lt;&gt;0)),1,0)</f>
        <v>0</v>
      </c>
      <c r="AI2036" s="1" t="n">
        <f aca="false">N(AI2035)+$AH2036</f>
        <v>0</v>
      </c>
      <c r="AJ2036" s="1" t="n">
        <v>0</v>
      </c>
      <c r="AK2036" s="1" t="n">
        <f aca="false">N(AK2035)+$AJ2036</f>
        <v>3672</v>
      </c>
    </row>
    <row r="2037" customFormat="false" ht="13.5" hidden="false" customHeight="false" outlineLevel="0" collapsed="false">
      <c r="A2037" s="1" t="str">
        <f aca="false">IF(对接源_02物料!$C837="","",对接源_02物料!$C837)</f>
        <v/>
      </c>
      <c r="B2037" s="1" t="n">
        <f aca="false">IF(A2037="",0,IF(MATCH(A2037,$A$4:$A$2403,0)=ROW()-3,1,0))</f>
        <v>0</v>
      </c>
      <c r="C2037" s="1" t="n">
        <f aca="false">N(C2036)+B2037</f>
        <v>17</v>
      </c>
      <c r="K2037" s="1" t="n">
        <f aca="false">IF(OR($K$1="",对接源_02物料!$C837="",对接源_02物料!$C837&lt;&gt;$K$1,对接源_02物料!$B837=""),0,IF(OR(N(对接源_02物料!$B837)&lt;$K$2,N(对接源_02物料!$B837)&gt;$K$3),0,1))</f>
        <v>0</v>
      </c>
      <c r="L2037" s="1" t="n">
        <f aca="false">IF(OR($L$1="",对接源_02物料!$C837="",对接源_02物料!$C837&lt;&gt;$L$1,对接源_02物料!$B837=""),0,IF(OR(N(对接源_02物料!$B837)&lt;$L$2,N(对接源_02物料!$B837)&gt;$L$3),0,1))</f>
        <v>0</v>
      </c>
      <c r="M2037" s="1" t="n">
        <f aca="false">IF(OR($M$1="",对接源_02物料!$C837="",对接源_02物料!$C837&lt;&gt;$M$1,对接源_02物料!$B837=""),0,IF(OR(N(对接源_02物料!$B837)&lt;$M$2,N(对接源_02物料!$B837)&gt;$M$3),0,1))</f>
        <v>0</v>
      </c>
      <c r="N2037" s="1" t="n">
        <f aca="false">IF(OR($N$1="",对接源_02物料!$C837="",对接源_02物料!$C837&lt;&gt;$N$1,对接源_02物料!$B837=""),0,IF(OR(N(对接源_02物料!$B837)&lt;$N$2,N(对接源_02物料!$B837)&gt;$N$3),0,1))</f>
        <v>0</v>
      </c>
      <c r="P2037" s="1" t="n">
        <f aca="false">IF(AND($K2037=1,AND(对接源_02物料!$X837="公司筐",N(对接源_02物料!$T837)&lt;&gt;0)),1,0)</f>
        <v>0</v>
      </c>
      <c r="Q2037" s="1" t="n">
        <f aca="false">N(Q2036)+$P2037</f>
        <v>13</v>
      </c>
      <c r="R2037" s="1" t="n">
        <f aca="false">IF(AND($K2037=1,AND(对接源_02物料!$X837="公司筐",N(对接源_02物料!$U837)&lt;&gt;0)),1,0)</f>
        <v>0</v>
      </c>
      <c r="S2037" s="1" t="n">
        <f aca="false">N(S2036)+$R2037</f>
        <v>5</v>
      </c>
      <c r="T2037" s="1" t="n">
        <f aca="false">IF(AND($K2037=1,AND(对接源_02物料!$X837="公司筐",N(对接源_02物料!$V837)&lt;&gt;0)),1,0)</f>
        <v>0</v>
      </c>
      <c r="U2037" s="1" t="n">
        <f aca="false">N(U2036)+$T2037</f>
        <v>28</v>
      </c>
      <c r="V2037" s="1" t="n">
        <f aca="false">IF(AND($L2037=1,AND(对接源_02物料!$X837="自备筐",N(对接源_02物料!$V837)&lt;&gt;0)),1,0)</f>
        <v>0</v>
      </c>
      <c r="W2037" s="1" t="n">
        <f aca="false">N(W2036)+$V2037</f>
        <v>7</v>
      </c>
      <c r="X2037" s="1" t="n">
        <f aca="false">IF(AND($L2037=1,AND(对接源_02物料!$X837="自备筐",N(对接源_02物料!$T837)&lt;&gt;0)),1,0)</f>
        <v>0</v>
      </c>
      <c r="Y2037" s="1" t="n">
        <f aca="false">N(Y2036)+$X2037</f>
        <v>0</v>
      </c>
      <c r="Z2037" s="1" t="n">
        <f aca="false">IF(AND($M2037=1,对接源_02物料!$D837="原料入库"),1,0)</f>
        <v>0</v>
      </c>
      <c r="AA2037" s="1" t="n">
        <f aca="false">N(AA2036)+$Z2037</f>
        <v>30</v>
      </c>
      <c r="AB2037" s="1" t="n">
        <f aca="false">IF(AND($M2037=1,LEFT(对接源_02物料!$D837,4)="原料出库"),1,0)</f>
        <v>0</v>
      </c>
      <c r="AC2037" s="1" t="n">
        <f aca="false">N(AC2036)+$AB2037</f>
        <v>19</v>
      </c>
      <c r="AD2037" s="1" t="n">
        <f aca="false">IF(AND($M2037=1,LEFT(对接源_02物料!$D837,4)="成品出库"),1,0)</f>
        <v>0</v>
      </c>
      <c r="AE2037" s="1" t="n">
        <f aca="false">N(AE2036)+$AD2037</f>
        <v>38</v>
      </c>
      <c r="AF2037" s="1" t="n">
        <f aca="false">IF(AND($N2037=1,AND(LEFT(对接源_02物料!$D837,4)="包装物料",N(对接源_02物料!$K837)&lt;&gt;0)),1,0)</f>
        <v>0</v>
      </c>
      <c r="AG2037" s="1" t="n">
        <f aca="false">N(AG2036)+$AF2037</f>
        <v>6</v>
      </c>
      <c r="AH2037" s="1" t="n">
        <f aca="false">IF(AND($N2037=1,AND(LEFT(对接源_02物料!$D837,3)="周转筐",N(对接源_02物料!$K837)&lt;&gt;0)),1,0)</f>
        <v>0</v>
      </c>
      <c r="AI2037" s="1" t="n">
        <f aca="false">N(AI2036)+$AH2037</f>
        <v>0</v>
      </c>
      <c r="AJ2037" s="1" t="n">
        <v>0</v>
      </c>
      <c r="AK2037" s="1" t="n">
        <f aca="false">N(AK2036)+$AJ2037</f>
        <v>3672</v>
      </c>
    </row>
    <row r="2038" customFormat="false" ht="13.5" hidden="false" customHeight="false" outlineLevel="0" collapsed="false">
      <c r="A2038" s="1" t="str">
        <f aca="false">IF(对接源_02物料!$C838="","",对接源_02物料!$C838)</f>
        <v/>
      </c>
      <c r="B2038" s="1" t="n">
        <f aca="false">IF(A2038="",0,IF(MATCH(A2038,$A$4:$A$2403,0)=ROW()-3,1,0))</f>
        <v>0</v>
      </c>
      <c r="C2038" s="1" t="n">
        <f aca="false">N(C2037)+B2038</f>
        <v>17</v>
      </c>
      <c r="K2038" s="1" t="n">
        <f aca="false">IF(OR($K$1="",对接源_02物料!$C838="",对接源_02物料!$C838&lt;&gt;$K$1,对接源_02物料!$B838=""),0,IF(OR(N(对接源_02物料!$B838)&lt;$K$2,N(对接源_02物料!$B838)&gt;$K$3),0,1))</f>
        <v>0</v>
      </c>
      <c r="L2038" s="1" t="n">
        <f aca="false">IF(OR($L$1="",对接源_02物料!$C838="",对接源_02物料!$C838&lt;&gt;$L$1,对接源_02物料!$B838=""),0,IF(OR(N(对接源_02物料!$B838)&lt;$L$2,N(对接源_02物料!$B838)&gt;$L$3),0,1))</f>
        <v>0</v>
      </c>
      <c r="M2038" s="1" t="n">
        <f aca="false">IF(OR($M$1="",对接源_02物料!$C838="",对接源_02物料!$C838&lt;&gt;$M$1,对接源_02物料!$B838=""),0,IF(OR(N(对接源_02物料!$B838)&lt;$M$2,N(对接源_02物料!$B838)&gt;$M$3),0,1))</f>
        <v>0</v>
      </c>
      <c r="N2038" s="1" t="n">
        <f aca="false">IF(OR($N$1="",对接源_02物料!$C838="",对接源_02物料!$C838&lt;&gt;$N$1,对接源_02物料!$B838=""),0,IF(OR(N(对接源_02物料!$B838)&lt;$N$2,N(对接源_02物料!$B838)&gt;$N$3),0,1))</f>
        <v>0</v>
      </c>
      <c r="P2038" s="1" t="n">
        <f aca="false">IF(AND($K2038=1,AND(对接源_02物料!$X838="公司筐",N(对接源_02物料!$T838)&lt;&gt;0)),1,0)</f>
        <v>0</v>
      </c>
      <c r="Q2038" s="1" t="n">
        <f aca="false">N(Q2037)+$P2038</f>
        <v>13</v>
      </c>
      <c r="R2038" s="1" t="n">
        <f aca="false">IF(AND($K2038=1,AND(对接源_02物料!$X838="公司筐",N(对接源_02物料!$U838)&lt;&gt;0)),1,0)</f>
        <v>0</v>
      </c>
      <c r="S2038" s="1" t="n">
        <f aca="false">N(S2037)+$R2038</f>
        <v>5</v>
      </c>
      <c r="T2038" s="1" t="n">
        <f aca="false">IF(AND($K2038=1,AND(对接源_02物料!$X838="公司筐",N(对接源_02物料!$V838)&lt;&gt;0)),1,0)</f>
        <v>0</v>
      </c>
      <c r="U2038" s="1" t="n">
        <f aca="false">N(U2037)+$T2038</f>
        <v>28</v>
      </c>
      <c r="V2038" s="1" t="n">
        <f aca="false">IF(AND($L2038=1,AND(对接源_02物料!$X838="自备筐",N(对接源_02物料!$V838)&lt;&gt;0)),1,0)</f>
        <v>0</v>
      </c>
      <c r="W2038" s="1" t="n">
        <f aca="false">N(W2037)+$V2038</f>
        <v>7</v>
      </c>
      <c r="X2038" s="1" t="n">
        <f aca="false">IF(AND($L2038=1,AND(对接源_02物料!$X838="自备筐",N(对接源_02物料!$T838)&lt;&gt;0)),1,0)</f>
        <v>0</v>
      </c>
      <c r="Y2038" s="1" t="n">
        <f aca="false">N(Y2037)+$X2038</f>
        <v>0</v>
      </c>
      <c r="Z2038" s="1" t="n">
        <f aca="false">IF(AND($M2038=1,对接源_02物料!$D838="原料入库"),1,0)</f>
        <v>0</v>
      </c>
      <c r="AA2038" s="1" t="n">
        <f aca="false">N(AA2037)+$Z2038</f>
        <v>30</v>
      </c>
      <c r="AB2038" s="1" t="n">
        <f aca="false">IF(AND($M2038=1,LEFT(对接源_02物料!$D838,4)="原料出库"),1,0)</f>
        <v>0</v>
      </c>
      <c r="AC2038" s="1" t="n">
        <f aca="false">N(AC2037)+$AB2038</f>
        <v>19</v>
      </c>
      <c r="AD2038" s="1" t="n">
        <f aca="false">IF(AND($M2038=1,LEFT(对接源_02物料!$D838,4)="成品出库"),1,0)</f>
        <v>0</v>
      </c>
      <c r="AE2038" s="1" t="n">
        <f aca="false">N(AE2037)+$AD2038</f>
        <v>38</v>
      </c>
      <c r="AF2038" s="1" t="n">
        <f aca="false">IF(AND($N2038=1,AND(LEFT(对接源_02物料!$D838,4)="包装物料",N(对接源_02物料!$K838)&lt;&gt;0)),1,0)</f>
        <v>0</v>
      </c>
      <c r="AG2038" s="1" t="n">
        <f aca="false">N(AG2037)+$AF2038</f>
        <v>6</v>
      </c>
      <c r="AH2038" s="1" t="n">
        <f aca="false">IF(AND($N2038=1,AND(LEFT(对接源_02物料!$D838,3)="周转筐",N(对接源_02物料!$K838)&lt;&gt;0)),1,0)</f>
        <v>0</v>
      </c>
      <c r="AI2038" s="1" t="n">
        <f aca="false">N(AI2037)+$AH2038</f>
        <v>0</v>
      </c>
      <c r="AJ2038" s="1" t="n">
        <v>0</v>
      </c>
      <c r="AK2038" s="1" t="n">
        <f aca="false">N(AK2037)+$AJ2038</f>
        <v>3672</v>
      </c>
    </row>
    <row r="2039" customFormat="false" ht="13.5" hidden="false" customHeight="false" outlineLevel="0" collapsed="false">
      <c r="A2039" s="1" t="str">
        <f aca="false">IF(对接源_02物料!$C839="","",对接源_02物料!$C839)</f>
        <v/>
      </c>
      <c r="B2039" s="1" t="n">
        <f aca="false">IF(A2039="",0,IF(MATCH(A2039,$A$4:$A$2403,0)=ROW()-3,1,0))</f>
        <v>0</v>
      </c>
      <c r="C2039" s="1" t="n">
        <f aca="false">N(C2038)+B2039</f>
        <v>17</v>
      </c>
      <c r="K2039" s="1" t="n">
        <f aca="false">IF(OR($K$1="",对接源_02物料!$C839="",对接源_02物料!$C839&lt;&gt;$K$1,对接源_02物料!$B839=""),0,IF(OR(N(对接源_02物料!$B839)&lt;$K$2,N(对接源_02物料!$B839)&gt;$K$3),0,1))</f>
        <v>0</v>
      </c>
      <c r="L2039" s="1" t="n">
        <f aca="false">IF(OR($L$1="",对接源_02物料!$C839="",对接源_02物料!$C839&lt;&gt;$L$1,对接源_02物料!$B839=""),0,IF(OR(N(对接源_02物料!$B839)&lt;$L$2,N(对接源_02物料!$B839)&gt;$L$3),0,1))</f>
        <v>0</v>
      </c>
      <c r="M2039" s="1" t="n">
        <f aca="false">IF(OR($M$1="",对接源_02物料!$C839="",对接源_02物料!$C839&lt;&gt;$M$1,对接源_02物料!$B839=""),0,IF(OR(N(对接源_02物料!$B839)&lt;$M$2,N(对接源_02物料!$B839)&gt;$M$3),0,1))</f>
        <v>0</v>
      </c>
      <c r="N2039" s="1" t="n">
        <f aca="false">IF(OR($N$1="",对接源_02物料!$C839="",对接源_02物料!$C839&lt;&gt;$N$1,对接源_02物料!$B839=""),0,IF(OR(N(对接源_02物料!$B839)&lt;$N$2,N(对接源_02物料!$B839)&gt;$N$3),0,1))</f>
        <v>0</v>
      </c>
      <c r="P2039" s="1" t="n">
        <f aca="false">IF(AND($K2039=1,AND(对接源_02物料!$X839="公司筐",N(对接源_02物料!$T839)&lt;&gt;0)),1,0)</f>
        <v>0</v>
      </c>
      <c r="Q2039" s="1" t="n">
        <f aca="false">N(Q2038)+$P2039</f>
        <v>13</v>
      </c>
      <c r="R2039" s="1" t="n">
        <f aca="false">IF(AND($K2039=1,AND(对接源_02物料!$X839="公司筐",N(对接源_02物料!$U839)&lt;&gt;0)),1,0)</f>
        <v>0</v>
      </c>
      <c r="S2039" s="1" t="n">
        <f aca="false">N(S2038)+$R2039</f>
        <v>5</v>
      </c>
      <c r="T2039" s="1" t="n">
        <f aca="false">IF(AND($K2039=1,AND(对接源_02物料!$X839="公司筐",N(对接源_02物料!$V839)&lt;&gt;0)),1,0)</f>
        <v>0</v>
      </c>
      <c r="U2039" s="1" t="n">
        <f aca="false">N(U2038)+$T2039</f>
        <v>28</v>
      </c>
      <c r="V2039" s="1" t="n">
        <f aca="false">IF(AND($L2039=1,AND(对接源_02物料!$X839="自备筐",N(对接源_02物料!$V839)&lt;&gt;0)),1,0)</f>
        <v>0</v>
      </c>
      <c r="W2039" s="1" t="n">
        <f aca="false">N(W2038)+$V2039</f>
        <v>7</v>
      </c>
      <c r="X2039" s="1" t="n">
        <f aca="false">IF(AND($L2039=1,AND(对接源_02物料!$X839="自备筐",N(对接源_02物料!$T839)&lt;&gt;0)),1,0)</f>
        <v>0</v>
      </c>
      <c r="Y2039" s="1" t="n">
        <f aca="false">N(Y2038)+$X2039</f>
        <v>0</v>
      </c>
      <c r="Z2039" s="1" t="n">
        <f aca="false">IF(AND($M2039=1,对接源_02物料!$D839="原料入库"),1,0)</f>
        <v>0</v>
      </c>
      <c r="AA2039" s="1" t="n">
        <f aca="false">N(AA2038)+$Z2039</f>
        <v>30</v>
      </c>
      <c r="AB2039" s="1" t="n">
        <f aca="false">IF(AND($M2039=1,LEFT(对接源_02物料!$D839,4)="原料出库"),1,0)</f>
        <v>0</v>
      </c>
      <c r="AC2039" s="1" t="n">
        <f aca="false">N(AC2038)+$AB2039</f>
        <v>19</v>
      </c>
      <c r="AD2039" s="1" t="n">
        <f aca="false">IF(AND($M2039=1,LEFT(对接源_02物料!$D839,4)="成品出库"),1,0)</f>
        <v>0</v>
      </c>
      <c r="AE2039" s="1" t="n">
        <f aca="false">N(AE2038)+$AD2039</f>
        <v>38</v>
      </c>
      <c r="AF2039" s="1" t="n">
        <f aca="false">IF(AND($N2039=1,AND(LEFT(对接源_02物料!$D839,4)="包装物料",N(对接源_02物料!$K839)&lt;&gt;0)),1,0)</f>
        <v>0</v>
      </c>
      <c r="AG2039" s="1" t="n">
        <f aca="false">N(AG2038)+$AF2039</f>
        <v>6</v>
      </c>
      <c r="AH2039" s="1" t="n">
        <f aca="false">IF(AND($N2039=1,AND(LEFT(对接源_02物料!$D839,3)="周转筐",N(对接源_02物料!$K839)&lt;&gt;0)),1,0)</f>
        <v>0</v>
      </c>
      <c r="AI2039" s="1" t="n">
        <f aca="false">N(AI2038)+$AH2039</f>
        <v>0</v>
      </c>
      <c r="AJ2039" s="1" t="n">
        <v>0</v>
      </c>
      <c r="AK2039" s="1" t="n">
        <f aca="false">N(AK2038)+$AJ2039</f>
        <v>3672</v>
      </c>
    </row>
    <row r="2040" customFormat="false" ht="13.5" hidden="false" customHeight="false" outlineLevel="0" collapsed="false">
      <c r="A2040" s="1" t="str">
        <f aca="false">IF(对接源_02物料!$C840="","",对接源_02物料!$C840)</f>
        <v/>
      </c>
      <c r="B2040" s="1" t="n">
        <f aca="false">IF(A2040="",0,IF(MATCH(A2040,$A$4:$A$2403,0)=ROW()-3,1,0))</f>
        <v>0</v>
      </c>
      <c r="C2040" s="1" t="n">
        <f aca="false">N(C2039)+B2040</f>
        <v>17</v>
      </c>
      <c r="K2040" s="1" t="n">
        <f aca="false">IF(OR($K$1="",对接源_02物料!$C840="",对接源_02物料!$C840&lt;&gt;$K$1,对接源_02物料!$B840=""),0,IF(OR(N(对接源_02物料!$B840)&lt;$K$2,N(对接源_02物料!$B840)&gt;$K$3),0,1))</f>
        <v>0</v>
      </c>
      <c r="L2040" s="1" t="n">
        <f aca="false">IF(OR($L$1="",对接源_02物料!$C840="",对接源_02物料!$C840&lt;&gt;$L$1,对接源_02物料!$B840=""),0,IF(OR(N(对接源_02物料!$B840)&lt;$L$2,N(对接源_02物料!$B840)&gt;$L$3),0,1))</f>
        <v>0</v>
      </c>
      <c r="M2040" s="1" t="n">
        <f aca="false">IF(OR($M$1="",对接源_02物料!$C840="",对接源_02物料!$C840&lt;&gt;$M$1,对接源_02物料!$B840=""),0,IF(OR(N(对接源_02物料!$B840)&lt;$M$2,N(对接源_02物料!$B840)&gt;$M$3),0,1))</f>
        <v>0</v>
      </c>
      <c r="N2040" s="1" t="n">
        <f aca="false">IF(OR($N$1="",对接源_02物料!$C840="",对接源_02物料!$C840&lt;&gt;$N$1,对接源_02物料!$B840=""),0,IF(OR(N(对接源_02物料!$B840)&lt;$N$2,N(对接源_02物料!$B840)&gt;$N$3),0,1))</f>
        <v>0</v>
      </c>
      <c r="P2040" s="1" t="n">
        <f aca="false">IF(AND($K2040=1,AND(对接源_02物料!$X840="公司筐",N(对接源_02物料!$T840)&lt;&gt;0)),1,0)</f>
        <v>0</v>
      </c>
      <c r="Q2040" s="1" t="n">
        <f aca="false">N(Q2039)+$P2040</f>
        <v>13</v>
      </c>
      <c r="R2040" s="1" t="n">
        <f aca="false">IF(AND($K2040=1,AND(对接源_02物料!$X840="公司筐",N(对接源_02物料!$U840)&lt;&gt;0)),1,0)</f>
        <v>0</v>
      </c>
      <c r="S2040" s="1" t="n">
        <f aca="false">N(S2039)+$R2040</f>
        <v>5</v>
      </c>
      <c r="T2040" s="1" t="n">
        <f aca="false">IF(AND($K2040=1,AND(对接源_02物料!$X840="公司筐",N(对接源_02物料!$V840)&lt;&gt;0)),1,0)</f>
        <v>0</v>
      </c>
      <c r="U2040" s="1" t="n">
        <f aca="false">N(U2039)+$T2040</f>
        <v>28</v>
      </c>
      <c r="V2040" s="1" t="n">
        <f aca="false">IF(AND($L2040=1,AND(对接源_02物料!$X840="自备筐",N(对接源_02物料!$V840)&lt;&gt;0)),1,0)</f>
        <v>0</v>
      </c>
      <c r="W2040" s="1" t="n">
        <f aca="false">N(W2039)+$V2040</f>
        <v>7</v>
      </c>
      <c r="X2040" s="1" t="n">
        <f aca="false">IF(AND($L2040=1,AND(对接源_02物料!$X840="自备筐",N(对接源_02物料!$T840)&lt;&gt;0)),1,0)</f>
        <v>0</v>
      </c>
      <c r="Y2040" s="1" t="n">
        <f aca="false">N(Y2039)+$X2040</f>
        <v>0</v>
      </c>
      <c r="Z2040" s="1" t="n">
        <f aca="false">IF(AND($M2040=1,对接源_02物料!$D840="原料入库"),1,0)</f>
        <v>0</v>
      </c>
      <c r="AA2040" s="1" t="n">
        <f aca="false">N(AA2039)+$Z2040</f>
        <v>30</v>
      </c>
      <c r="AB2040" s="1" t="n">
        <f aca="false">IF(AND($M2040=1,LEFT(对接源_02物料!$D840,4)="原料出库"),1,0)</f>
        <v>0</v>
      </c>
      <c r="AC2040" s="1" t="n">
        <f aca="false">N(AC2039)+$AB2040</f>
        <v>19</v>
      </c>
      <c r="AD2040" s="1" t="n">
        <f aca="false">IF(AND($M2040=1,LEFT(对接源_02物料!$D840,4)="成品出库"),1,0)</f>
        <v>0</v>
      </c>
      <c r="AE2040" s="1" t="n">
        <f aca="false">N(AE2039)+$AD2040</f>
        <v>38</v>
      </c>
      <c r="AF2040" s="1" t="n">
        <f aca="false">IF(AND($N2040=1,AND(LEFT(对接源_02物料!$D840,4)="包装物料",N(对接源_02物料!$K840)&lt;&gt;0)),1,0)</f>
        <v>0</v>
      </c>
      <c r="AG2040" s="1" t="n">
        <f aca="false">N(AG2039)+$AF2040</f>
        <v>6</v>
      </c>
      <c r="AH2040" s="1" t="n">
        <f aca="false">IF(AND($N2040=1,AND(LEFT(对接源_02物料!$D840,3)="周转筐",N(对接源_02物料!$K840)&lt;&gt;0)),1,0)</f>
        <v>0</v>
      </c>
      <c r="AI2040" s="1" t="n">
        <f aca="false">N(AI2039)+$AH2040</f>
        <v>0</v>
      </c>
      <c r="AJ2040" s="1" t="n">
        <v>0</v>
      </c>
      <c r="AK2040" s="1" t="n">
        <f aca="false">N(AK2039)+$AJ2040</f>
        <v>3672</v>
      </c>
    </row>
    <row r="2041" customFormat="false" ht="13.5" hidden="false" customHeight="false" outlineLevel="0" collapsed="false">
      <c r="A2041" s="1" t="str">
        <f aca="false">IF(对接源_02物料!$C841="","",对接源_02物料!$C841)</f>
        <v/>
      </c>
      <c r="B2041" s="1" t="n">
        <f aca="false">IF(A2041="",0,IF(MATCH(A2041,$A$4:$A$2403,0)=ROW()-3,1,0))</f>
        <v>0</v>
      </c>
      <c r="C2041" s="1" t="n">
        <f aca="false">N(C2040)+B2041</f>
        <v>17</v>
      </c>
      <c r="K2041" s="1" t="n">
        <f aca="false">IF(OR($K$1="",对接源_02物料!$C841="",对接源_02物料!$C841&lt;&gt;$K$1,对接源_02物料!$B841=""),0,IF(OR(N(对接源_02物料!$B841)&lt;$K$2,N(对接源_02物料!$B841)&gt;$K$3),0,1))</f>
        <v>0</v>
      </c>
      <c r="L2041" s="1" t="n">
        <f aca="false">IF(OR($L$1="",对接源_02物料!$C841="",对接源_02物料!$C841&lt;&gt;$L$1,对接源_02物料!$B841=""),0,IF(OR(N(对接源_02物料!$B841)&lt;$L$2,N(对接源_02物料!$B841)&gt;$L$3),0,1))</f>
        <v>0</v>
      </c>
      <c r="M2041" s="1" t="n">
        <f aca="false">IF(OR($M$1="",对接源_02物料!$C841="",对接源_02物料!$C841&lt;&gt;$M$1,对接源_02物料!$B841=""),0,IF(OR(N(对接源_02物料!$B841)&lt;$M$2,N(对接源_02物料!$B841)&gt;$M$3),0,1))</f>
        <v>0</v>
      </c>
      <c r="N2041" s="1" t="n">
        <f aca="false">IF(OR($N$1="",对接源_02物料!$C841="",对接源_02物料!$C841&lt;&gt;$N$1,对接源_02物料!$B841=""),0,IF(OR(N(对接源_02物料!$B841)&lt;$N$2,N(对接源_02物料!$B841)&gt;$N$3),0,1))</f>
        <v>0</v>
      </c>
      <c r="P2041" s="1" t="n">
        <f aca="false">IF(AND($K2041=1,AND(对接源_02物料!$X841="公司筐",N(对接源_02物料!$T841)&lt;&gt;0)),1,0)</f>
        <v>0</v>
      </c>
      <c r="Q2041" s="1" t="n">
        <f aca="false">N(Q2040)+$P2041</f>
        <v>13</v>
      </c>
      <c r="R2041" s="1" t="n">
        <f aca="false">IF(AND($K2041=1,AND(对接源_02物料!$X841="公司筐",N(对接源_02物料!$U841)&lt;&gt;0)),1,0)</f>
        <v>0</v>
      </c>
      <c r="S2041" s="1" t="n">
        <f aca="false">N(S2040)+$R2041</f>
        <v>5</v>
      </c>
      <c r="T2041" s="1" t="n">
        <f aca="false">IF(AND($K2041=1,AND(对接源_02物料!$X841="公司筐",N(对接源_02物料!$V841)&lt;&gt;0)),1,0)</f>
        <v>0</v>
      </c>
      <c r="U2041" s="1" t="n">
        <f aca="false">N(U2040)+$T2041</f>
        <v>28</v>
      </c>
      <c r="V2041" s="1" t="n">
        <f aca="false">IF(AND($L2041=1,AND(对接源_02物料!$X841="自备筐",N(对接源_02物料!$V841)&lt;&gt;0)),1,0)</f>
        <v>0</v>
      </c>
      <c r="W2041" s="1" t="n">
        <f aca="false">N(W2040)+$V2041</f>
        <v>7</v>
      </c>
      <c r="X2041" s="1" t="n">
        <f aca="false">IF(AND($L2041=1,AND(对接源_02物料!$X841="自备筐",N(对接源_02物料!$T841)&lt;&gt;0)),1,0)</f>
        <v>0</v>
      </c>
      <c r="Y2041" s="1" t="n">
        <f aca="false">N(Y2040)+$X2041</f>
        <v>0</v>
      </c>
      <c r="Z2041" s="1" t="n">
        <f aca="false">IF(AND($M2041=1,对接源_02物料!$D841="原料入库"),1,0)</f>
        <v>0</v>
      </c>
      <c r="AA2041" s="1" t="n">
        <f aca="false">N(AA2040)+$Z2041</f>
        <v>30</v>
      </c>
      <c r="AB2041" s="1" t="n">
        <f aca="false">IF(AND($M2041=1,LEFT(对接源_02物料!$D841,4)="原料出库"),1,0)</f>
        <v>0</v>
      </c>
      <c r="AC2041" s="1" t="n">
        <f aca="false">N(AC2040)+$AB2041</f>
        <v>19</v>
      </c>
      <c r="AD2041" s="1" t="n">
        <f aca="false">IF(AND($M2041=1,LEFT(对接源_02物料!$D841,4)="成品出库"),1,0)</f>
        <v>0</v>
      </c>
      <c r="AE2041" s="1" t="n">
        <f aca="false">N(AE2040)+$AD2041</f>
        <v>38</v>
      </c>
      <c r="AF2041" s="1" t="n">
        <f aca="false">IF(AND($N2041=1,AND(LEFT(对接源_02物料!$D841,4)="包装物料",N(对接源_02物料!$K841)&lt;&gt;0)),1,0)</f>
        <v>0</v>
      </c>
      <c r="AG2041" s="1" t="n">
        <f aca="false">N(AG2040)+$AF2041</f>
        <v>6</v>
      </c>
      <c r="AH2041" s="1" t="n">
        <f aca="false">IF(AND($N2041=1,AND(LEFT(对接源_02物料!$D841,3)="周转筐",N(对接源_02物料!$K841)&lt;&gt;0)),1,0)</f>
        <v>0</v>
      </c>
      <c r="AI2041" s="1" t="n">
        <f aca="false">N(AI2040)+$AH2041</f>
        <v>0</v>
      </c>
      <c r="AJ2041" s="1" t="n">
        <v>0</v>
      </c>
      <c r="AK2041" s="1" t="n">
        <f aca="false">N(AK2040)+$AJ2041</f>
        <v>3672</v>
      </c>
    </row>
    <row r="2042" customFormat="false" ht="13.5" hidden="false" customHeight="false" outlineLevel="0" collapsed="false">
      <c r="A2042" s="1" t="str">
        <f aca="false">IF(对接源_02物料!$C842="","",对接源_02物料!$C842)</f>
        <v/>
      </c>
      <c r="B2042" s="1" t="n">
        <f aca="false">IF(A2042="",0,IF(MATCH(A2042,$A$4:$A$2403,0)=ROW()-3,1,0))</f>
        <v>0</v>
      </c>
      <c r="C2042" s="1" t="n">
        <f aca="false">N(C2041)+B2042</f>
        <v>17</v>
      </c>
      <c r="K2042" s="1" t="n">
        <f aca="false">IF(OR($K$1="",对接源_02物料!$C842="",对接源_02物料!$C842&lt;&gt;$K$1,对接源_02物料!$B842=""),0,IF(OR(N(对接源_02物料!$B842)&lt;$K$2,N(对接源_02物料!$B842)&gt;$K$3),0,1))</f>
        <v>0</v>
      </c>
      <c r="L2042" s="1" t="n">
        <f aca="false">IF(OR($L$1="",对接源_02物料!$C842="",对接源_02物料!$C842&lt;&gt;$L$1,对接源_02物料!$B842=""),0,IF(OR(N(对接源_02物料!$B842)&lt;$L$2,N(对接源_02物料!$B842)&gt;$L$3),0,1))</f>
        <v>0</v>
      </c>
      <c r="M2042" s="1" t="n">
        <f aca="false">IF(OR($M$1="",对接源_02物料!$C842="",对接源_02物料!$C842&lt;&gt;$M$1,对接源_02物料!$B842=""),0,IF(OR(N(对接源_02物料!$B842)&lt;$M$2,N(对接源_02物料!$B842)&gt;$M$3),0,1))</f>
        <v>0</v>
      </c>
      <c r="N2042" s="1" t="n">
        <f aca="false">IF(OR($N$1="",对接源_02物料!$C842="",对接源_02物料!$C842&lt;&gt;$N$1,对接源_02物料!$B842=""),0,IF(OR(N(对接源_02物料!$B842)&lt;$N$2,N(对接源_02物料!$B842)&gt;$N$3),0,1))</f>
        <v>0</v>
      </c>
      <c r="P2042" s="1" t="n">
        <f aca="false">IF(AND($K2042=1,AND(对接源_02物料!$X842="公司筐",N(对接源_02物料!$T842)&lt;&gt;0)),1,0)</f>
        <v>0</v>
      </c>
      <c r="Q2042" s="1" t="n">
        <f aca="false">N(Q2041)+$P2042</f>
        <v>13</v>
      </c>
      <c r="R2042" s="1" t="n">
        <f aca="false">IF(AND($K2042=1,AND(对接源_02物料!$X842="公司筐",N(对接源_02物料!$U842)&lt;&gt;0)),1,0)</f>
        <v>0</v>
      </c>
      <c r="S2042" s="1" t="n">
        <f aca="false">N(S2041)+$R2042</f>
        <v>5</v>
      </c>
      <c r="T2042" s="1" t="n">
        <f aca="false">IF(AND($K2042=1,AND(对接源_02物料!$X842="公司筐",N(对接源_02物料!$V842)&lt;&gt;0)),1,0)</f>
        <v>0</v>
      </c>
      <c r="U2042" s="1" t="n">
        <f aca="false">N(U2041)+$T2042</f>
        <v>28</v>
      </c>
      <c r="V2042" s="1" t="n">
        <f aca="false">IF(AND($L2042=1,AND(对接源_02物料!$X842="自备筐",N(对接源_02物料!$V842)&lt;&gt;0)),1,0)</f>
        <v>0</v>
      </c>
      <c r="W2042" s="1" t="n">
        <f aca="false">N(W2041)+$V2042</f>
        <v>7</v>
      </c>
      <c r="X2042" s="1" t="n">
        <f aca="false">IF(AND($L2042=1,AND(对接源_02物料!$X842="自备筐",N(对接源_02物料!$T842)&lt;&gt;0)),1,0)</f>
        <v>0</v>
      </c>
      <c r="Y2042" s="1" t="n">
        <f aca="false">N(Y2041)+$X2042</f>
        <v>0</v>
      </c>
      <c r="Z2042" s="1" t="n">
        <f aca="false">IF(AND($M2042=1,对接源_02物料!$D842="原料入库"),1,0)</f>
        <v>0</v>
      </c>
      <c r="AA2042" s="1" t="n">
        <f aca="false">N(AA2041)+$Z2042</f>
        <v>30</v>
      </c>
      <c r="AB2042" s="1" t="n">
        <f aca="false">IF(AND($M2042=1,LEFT(对接源_02物料!$D842,4)="原料出库"),1,0)</f>
        <v>0</v>
      </c>
      <c r="AC2042" s="1" t="n">
        <f aca="false">N(AC2041)+$AB2042</f>
        <v>19</v>
      </c>
      <c r="AD2042" s="1" t="n">
        <f aca="false">IF(AND($M2042=1,LEFT(对接源_02物料!$D842,4)="成品出库"),1,0)</f>
        <v>0</v>
      </c>
      <c r="AE2042" s="1" t="n">
        <f aca="false">N(AE2041)+$AD2042</f>
        <v>38</v>
      </c>
      <c r="AF2042" s="1" t="n">
        <f aca="false">IF(AND($N2042=1,AND(LEFT(对接源_02物料!$D842,4)="包装物料",N(对接源_02物料!$K842)&lt;&gt;0)),1,0)</f>
        <v>0</v>
      </c>
      <c r="AG2042" s="1" t="n">
        <f aca="false">N(AG2041)+$AF2042</f>
        <v>6</v>
      </c>
      <c r="AH2042" s="1" t="n">
        <f aca="false">IF(AND($N2042=1,AND(LEFT(对接源_02物料!$D842,3)="周转筐",N(对接源_02物料!$K842)&lt;&gt;0)),1,0)</f>
        <v>0</v>
      </c>
      <c r="AI2042" s="1" t="n">
        <f aca="false">N(AI2041)+$AH2042</f>
        <v>0</v>
      </c>
      <c r="AJ2042" s="1" t="n">
        <v>0</v>
      </c>
      <c r="AK2042" s="1" t="n">
        <f aca="false">N(AK2041)+$AJ2042</f>
        <v>3672</v>
      </c>
    </row>
    <row r="2043" customFormat="false" ht="13.5" hidden="false" customHeight="false" outlineLevel="0" collapsed="false">
      <c r="A2043" s="1" t="str">
        <f aca="false">IF(对接源_02物料!$C843="","",对接源_02物料!$C843)</f>
        <v/>
      </c>
      <c r="B2043" s="1" t="n">
        <f aca="false">IF(A2043="",0,IF(MATCH(A2043,$A$4:$A$2403,0)=ROW()-3,1,0))</f>
        <v>0</v>
      </c>
      <c r="C2043" s="1" t="n">
        <f aca="false">N(C2042)+B2043</f>
        <v>17</v>
      </c>
      <c r="K2043" s="1" t="n">
        <f aca="false">IF(OR($K$1="",对接源_02物料!$C843="",对接源_02物料!$C843&lt;&gt;$K$1,对接源_02物料!$B843=""),0,IF(OR(N(对接源_02物料!$B843)&lt;$K$2,N(对接源_02物料!$B843)&gt;$K$3),0,1))</f>
        <v>0</v>
      </c>
      <c r="L2043" s="1" t="n">
        <f aca="false">IF(OR($L$1="",对接源_02物料!$C843="",对接源_02物料!$C843&lt;&gt;$L$1,对接源_02物料!$B843=""),0,IF(OR(N(对接源_02物料!$B843)&lt;$L$2,N(对接源_02物料!$B843)&gt;$L$3),0,1))</f>
        <v>0</v>
      </c>
      <c r="M2043" s="1" t="n">
        <f aca="false">IF(OR($M$1="",对接源_02物料!$C843="",对接源_02物料!$C843&lt;&gt;$M$1,对接源_02物料!$B843=""),0,IF(OR(N(对接源_02物料!$B843)&lt;$M$2,N(对接源_02物料!$B843)&gt;$M$3),0,1))</f>
        <v>0</v>
      </c>
      <c r="N2043" s="1" t="n">
        <f aca="false">IF(OR($N$1="",对接源_02物料!$C843="",对接源_02物料!$C843&lt;&gt;$N$1,对接源_02物料!$B843=""),0,IF(OR(N(对接源_02物料!$B843)&lt;$N$2,N(对接源_02物料!$B843)&gt;$N$3),0,1))</f>
        <v>0</v>
      </c>
      <c r="P2043" s="1" t="n">
        <f aca="false">IF(AND($K2043=1,AND(对接源_02物料!$X843="公司筐",N(对接源_02物料!$T843)&lt;&gt;0)),1,0)</f>
        <v>0</v>
      </c>
      <c r="Q2043" s="1" t="n">
        <f aca="false">N(Q2042)+$P2043</f>
        <v>13</v>
      </c>
      <c r="R2043" s="1" t="n">
        <f aca="false">IF(AND($K2043=1,AND(对接源_02物料!$X843="公司筐",N(对接源_02物料!$U843)&lt;&gt;0)),1,0)</f>
        <v>0</v>
      </c>
      <c r="S2043" s="1" t="n">
        <f aca="false">N(S2042)+$R2043</f>
        <v>5</v>
      </c>
      <c r="T2043" s="1" t="n">
        <f aca="false">IF(AND($K2043=1,AND(对接源_02物料!$X843="公司筐",N(对接源_02物料!$V843)&lt;&gt;0)),1,0)</f>
        <v>0</v>
      </c>
      <c r="U2043" s="1" t="n">
        <f aca="false">N(U2042)+$T2043</f>
        <v>28</v>
      </c>
      <c r="V2043" s="1" t="n">
        <f aca="false">IF(AND($L2043=1,AND(对接源_02物料!$X843="自备筐",N(对接源_02物料!$V843)&lt;&gt;0)),1,0)</f>
        <v>0</v>
      </c>
      <c r="W2043" s="1" t="n">
        <f aca="false">N(W2042)+$V2043</f>
        <v>7</v>
      </c>
      <c r="X2043" s="1" t="n">
        <f aca="false">IF(AND($L2043=1,AND(对接源_02物料!$X843="自备筐",N(对接源_02物料!$T843)&lt;&gt;0)),1,0)</f>
        <v>0</v>
      </c>
      <c r="Y2043" s="1" t="n">
        <f aca="false">N(Y2042)+$X2043</f>
        <v>0</v>
      </c>
      <c r="Z2043" s="1" t="n">
        <f aca="false">IF(AND($M2043=1,对接源_02物料!$D843="原料入库"),1,0)</f>
        <v>0</v>
      </c>
      <c r="AA2043" s="1" t="n">
        <f aca="false">N(AA2042)+$Z2043</f>
        <v>30</v>
      </c>
      <c r="AB2043" s="1" t="n">
        <f aca="false">IF(AND($M2043=1,LEFT(对接源_02物料!$D843,4)="原料出库"),1,0)</f>
        <v>0</v>
      </c>
      <c r="AC2043" s="1" t="n">
        <f aca="false">N(AC2042)+$AB2043</f>
        <v>19</v>
      </c>
      <c r="AD2043" s="1" t="n">
        <f aca="false">IF(AND($M2043=1,LEFT(对接源_02物料!$D843,4)="成品出库"),1,0)</f>
        <v>0</v>
      </c>
      <c r="AE2043" s="1" t="n">
        <f aca="false">N(AE2042)+$AD2043</f>
        <v>38</v>
      </c>
      <c r="AF2043" s="1" t="n">
        <f aca="false">IF(AND($N2043=1,AND(LEFT(对接源_02物料!$D843,4)="包装物料",N(对接源_02物料!$K843)&lt;&gt;0)),1,0)</f>
        <v>0</v>
      </c>
      <c r="AG2043" s="1" t="n">
        <f aca="false">N(AG2042)+$AF2043</f>
        <v>6</v>
      </c>
      <c r="AH2043" s="1" t="n">
        <f aca="false">IF(AND($N2043=1,AND(LEFT(对接源_02物料!$D843,3)="周转筐",N(对接源_02物料!$K843)&lt;&gt;0)),1,0)</f>
        <v>0</v>
      </c>
      <c r="AI2043" s="1" t="n">
        <f aca="false">N(AI2042)+$AH2043</f>
        <v>0</v>
      </c>
      <c r="AJ2043" s="1" t="n">
        <v>0</v>
      </c>
      <c r="AK2043" s="1" t="n">
        <f aca="false">N(AK2042)+$AJ2043</f>
        <v>3672</v>
      </c>
    </row>
    <row r="2044" customFormat="false" ht="13.5" hidden="false" customHeight="false" outlineLevel="0" collapsed="false">
      <c r="A2044" s="1" t="str">
        <f aca="false">IF(对接源_02物料!$C844="","",对接源_02物料!$C844)</f>
        <v/>
      </c>
      <c r="B2044" s="1" t="n">
        <f aca="false">IF(A2044="",0,IF(MATCH(A2044,$A$4:$A$2403,0)=ROW()-3,1,0))</f>
        <v>0</v>
      </c>
      <c r="C2044" s="1" t="n">
        <f aca="false">N(C2043)+B2044</f>
        <v>17</v>
      </c>
      <c r="K2044" s="1" t="n">
        <f aca="false">IF(OR($K$1="",对接源_02物料!$C844="",对接源_02物料!$C844&lt;&gt;$K$1,对接源_02物料!$B844=""),0,IF(OR(N(对接源_02物料!$B844)&lt;$K$2,N(对接源_02物料!$B844)&gt;$K$3),0,1))</f>
        <v>0</v>
      </c>
      <c r="L2044" s="1" t="n">
        <f aca="false">IF(OR($L$1="",对接源_02物料!$C844="",对接源_02物料!$C844&lt;&gt;$L$1,对接源_02物料!$B844=""),0,IF(OR(N(对接源_02物料!$B844)&lt;$L$2,N(对接源_02物料!$B844)&gt;$L$3),0,1))</f>
        <v>0</v>
      </c>
      <c r="M2044" s="1" t="n">
        <f aca="false">IF(OR($M$1="",对接源_02物料!$C844="",对接源_02物料!$C844&lt;&gt;$M$1,对接源_02物料!$B844=""),0,IF(OR(N(对接源_02物料!$B844)&lt;$M$2,N(对接源_02物料!$B844)&gt;$M$3),0,1))</f>
        <v>0</v>
      </c>
      <c r="N2044" s="1" t="n">
        <f aca="false">IF(OR($N$1="",对接源_02物料!$C844="",对接源_02物料!$C844&lt;&gt;$N$1,对接源_02物料!$B844=""),0,IF(OR(N(对接源_02物料!$B844)&lt;$N$2,N(对接源_02物料!$B844)&gt;$N$3),0,1))</f>
        <v>0</v>
      </c>
      <c r="P2044" s="1" t="n">
        <f aca="false">IF(AND($K2044=1,AND(对接源_02物料!$X844="公司筐",N(对接源_02物料!$T844)&lt;&gt;0)),1,0)</f>
        <v>0</v>
      </c>
      <c r="Q2044" s="1" t="n">
        <f aca="false">N(Q2043)+$P2044</f>
        <v>13</v>
      </c>
      <c r="R2044" s="1" t="n">
        <f aca="false">IF(AND($K2044=1,AND(对接源_02物料!$X844="公司筐",N(对接源_02物料!$U844)&lt;&gt;0)),1,0)</f>
        <v>0</v>
      </c>
      <c r="S2044" s="1" t="n">
        <f aca="false">N(S2043)+$R2044</f>
        <v>5</v>
      </c>
      <c r="T2044" s="1" t="n">
        <f aca="false">IF(AND($K2044=1,AND(对接源_02物料!$X844="公司筐",N(对接源_02物料!$V844)&lt;&gt;0)),1,0)</f>
        <v>0</v>
      </c>
      <c r="U2044" s="1" t="n">
        <f aca="false">N(U2043)+$T2044</f>
        <v>28</v>
      </c>
      <c r="V2044" s="1" t="n">
        <f aca="false">IF(AND($L2044=1,AND(对接源_02物料!$X844="自备筐",N(对接源_02物料!$V844)&lt;&gt;0)),1,0)</f>
        <v>0</v>
      </c>
      <c r="W2044" s="1" t="n">
        <f aca="false">N(W2043)+$V2044</f>
        <v>7</v>
      </c>
      <c r="X2044" s="1" t="n">
        <f aca="false">IF(AND($L2044=1,AND(对接源_02物料!$X844="自备筐",N(对接源_02物料!$T844)&lt;&gt;0)),1,0)</f>
        <v>0</v>
      </c>
      <c r="Y2044" s="1" t="n">
        <f aca="false">N(Y2043)+$X2044</f>
        <v>0</v>
      </c>
      <c r="Z2044" s="1" t="n">
        <f aca="false">IF(AND($M2044=1,对接源_02物料!$D844="原料入库"),1,0)</f>
        <v>0</v>
      </c>
      <c r="AA2044" s="1" t="n">
        <f aca="false">N(AA2043)+$Z2044</f>
        <v>30</v>
      </c>
      <c r="AB2044" s="1" t="n">
        <f aca="false">IF(AND($M2044=1,LEFT(对接源_02物料!$D844,4)="原料出库"),1,0)</f>
        <v>0</v>
      </c>
      <c r="AC2044" s="1" t="n">
        <f aca="false">N(AC2043)+$AB2044</f>
        <v>19</v>
      </c>
      <c r="AD2044" s="1" t="n">
        <f aca="false">IF(AND($M2044=1,LEFT(对接源_02物料!$D844,4)="成品出库"),1,0)</f>
        <v>0</v>
      </c>
      <c r="AE2044" s="1" t="n">
        <f aca="false">N(AE2043)+$AD2044</f>
        <v>38</v>
      </c>
      <c r="AF2044" s="1" t="n">
        <f aca="false">IF(AND($N2044=1,AND(LEFT(对接源_02物料!$D844,4)="包装物料",N(对接源_02物料!$K844)&lt;&gt;0)),1,0)</f>
        <v>0</v>
      </c>
      <c r="AG2044" s="1" t="n">
        <f aca="false">N(AG2043)+$AF2044</f>
        <v>6</v>
      </c>
      <c r="AH2044" s="1" t="n">
        <f aca="false">IF(AND($N2044=1,AND(LEFT(对接源_02物料!$D844,3)="周转筐",N(对接源_02物料!$K844)&lt;&gt;0)),1,0)</f>
        <v>0</v>
      </c>
      <c r="AI2044" s="1" t="n">
        <f aca="false">N(AI2043)+$AH2044</f>
        <v>0</v>
      </c>
      <c r="AJ2044" s="1" t="n">
        <v>0</v>
      </c>
      <c r="AK2044" s="1" t="n">
        <f aca="false">N(AK2043)+$AJ2044</f>
        <v>3672</v>
      </c>
    </row>
    <row r="2045" customFormat="false" ht="13.5" hidden="false" customHeight="false" outlineLevel="0" collapsed="false">
      <c r="A2045" s="1" t="str">
        <f aca="false">IF(对接源_02物料!$C845="","",对接源_02物料!$C845)</f>
        <v/>
      </c>
      <c r="B2045" s="1" t="n">
        <f aca="false">IF(A2045="",0,IF(MATCH(A2045,$A$4:$A$2403,0)=ROW()-3,1,0))</f>
        <v>0</v>
      </c>
      <c r="C2045" s="1" t="n">
        <f aca="false">N(C2044)+B2045</f>
        <v>17</v>
      </c>
      <c r="K2045" s="1" t="n">
        <f aca="false">IF(OR($K$1="",对接源_02物料!$C845="",对接源_02物料!$C845&lt;&gt;$K$1,对接源_02物料!$B845=""),0,IF(OR(N(对接源_02物料!$B845)&lt;$K$2,N(对接源_02物料!$B845)&gt;$K$3),0,1))</f>
        <v>0</v>
      </c>
      <c r="L2045" s="1" t="n">
        <f aca="false">IF(OR($L$1="",对接源_02物料!$C845="",对接源_02物料!$C845&lt;&gt;$L$1,对接源_02物料!$B845=""),0,IF(OR(N(对接源_02物料!$B845)&lt;$L$2,N(对接源_02物料!$B845)&gt;$L$3),0,1))</f>
        <v>0</v>
      </c>
      <c r="M2045" s="1" t="n">
        <f aca="false">IF(OR($M$1="",对接源_02物料!$C845="",对接源_02物料!$C845&lt;&gt;$M$1,对接源_02物料!$B845=""),0,IF(OR(N(对接源_02物料!$B845)&lt;$M$2,N(对接源_02物料!$B845)&gt;$M$3),0,1))</f>
        <v>0</v>
      </c>
      <c r="N2045" s="1" t="n">
        <f aca="false">IF(OR($N$1="",对接源_02物料!$C845="",对接源_02物料!$C845&lt;&gt;$N$1,对接源_02物料!$B845=""),0,IF(OR(N(对接源_02物料!$B845)&lt;$N$2,N(对接源_02物料!$B845)&gt;$N$3),0,1))</f>
        <v>0</v>
      </c>
      <c r="P2045" s="1" t="n">
        <f aca="false">IF(AND($K2045=1,AND(对接源_02物料!$X845="公司筐",N(对接源_02物料!$T845)&lt;&gt;0)),1,0)</f>
        <v>0</v>
      </c>
      <c r="Q2045" s="1" t="n">
        <f aca="false">N(Q2044)+$P2045</f>
        <v>13</v>
      </c>
      <c r="R2045" s="1" t="n">
        <f aca="false">IF(AND($K2045=1,AND(对接源_02物料!$X845="公司筐",N(对接源_02物料!$U845)&lt;&gt;0)),1,0)</f>
        <v>0</v>
      </c>
      <c r="S2045" s="1" t="n">
        <f aca="false">N(S2044)+$R2045</f>
        <v>5</v>
      </c>
      <c r="T2045" s="1" t="n">
        <f aca="false">IF(AND($K2045=1,AND(对接源_02物料!$X845="公司筐",N(对接源_02物料!$V845)&lt;&gt;0)),1,0)</f>
        <v>0</v>
      </c>
      <c r="U2045" s="1" t="n">
        <f aca="false">N(U2044)+$T2045</f>
        <v>28</v>
      </c>
      <c r="V2045" s="1" t="n">
        <f aca="false">IF(AND($L2045=1,AND(对接源_02物料!$X845="自备筐",N(对接源_02物料!$V845)&lt;&gt;0)),1,0)</f>
        <v>0</v>
      </c>
      <c r="W2045" s="1" t="n">
        <f aca="false">N(W2044)+$V2045</f>
        <v>7</v>
      </c>
      <c r="X2045" s="1" t="n">
        <f aca="false">IF(AND($L2045=1,AND(对接源_02物料!$X845="自备筐",N(对接源_02物料!$T845)&lt;&gt;0)),1,0)</f>
        <v>0</v>
      </c>
      <c r="Y2045" s="1" t="n">
        <f aca="false">N(Y2044)+$X2045</f>
        <v>0</v>
      </c>
      <c r="Z2045" s="1" t="n">
        <f aca="false">IF(AND($M2045=1,对接源_02物料!$D845="原料入库"),1,0)</f>
        <v>0</v>
      </c>
      <c r="AA2045" s="1" t="n">
        <f aca="false">N(AA2044)+$Z2045</f>
        <v>30</v>
      </c>
      <c r="AB2045" s="1" t="n">
        <f aca="false">IF(AND($M2045=1,LEFT(对接源_02物料!$D845,4)="原料出库"),1,0)</f>
        <v>0</v>
      </c>
      <c r="AC2045" s="1" t="n">
        <f aca="false">N(AC2044)+$AB2045</f>
        <v>19</v>
      </c>
      <c r="AD2045" s="1" t="n">
        <f aca="false">IF(AND($M2045=1,LEFT(对接源_02物料!$D845,4)="成品出库"),1,0)</f>
        <v>0</v>
      </c>
      <c r="AE2045" s="1" t="n">
        <f aca="false">N(AE2044)+$AD2045</f>
        <v>38</v>
      </c>
      <c r="AF2045" s="1" t="n">
        <f aca="false">IF(AND($N2045=1,AND(LEFT(对接源_02物料!$D845,4)="包装物料",N(对接源_02物料!$K845)&lt;&gt;0)),1,0)</f>
        <v>0</v>
      </c>
      <c r="AG2045" s="1" t="n">
        <f aca="false">N(AG2044)+$AF2045</f>
        <v>6</v>
      </c>
      <c r="AH2045" s="1" t="n">
        <f aca="false">IF(AND($N2045=1,AND(LEFT(对接源_02物料!$D845,3)="周转筐",N(对接源_02物料!$K845)&lt;&gt;0)),1,0)</f>
        <v>0</v>
      </c>
      <c r="AI2045" s="1" t="n">
        <f aca="false">N(AI2044)+$AH2045</f>
        <v>0</v>
      </c>
      <c r="AJ2045" s="1" t="n">
        <v>0</v>
      </c>
      <c r="AK2045" s="1" t="n">
        <f aca="false">N(AK2044)+$AJ2045</f>
        <v>3672</v>
      </c>
    </row>
    <row r="2046" customFormat="false" ht="13.5" hidden="false" customHeight="false" outlineLevel="0" collapsed="false">
      <c r="A2046" s="1" t="str">
        <f aca="false">IF(对接源_02物料!$C846="","",对接源_02物料!$C846)</f>
        <v/>
      </c>
      <c r="B2046" s="1" t="n">
        <f aca="false">IF(A2046="",0,IF(MATCH(A2046,$A$4:$A$2403,0)=ROW()-3,1,0))</f>
        <v>0</v>
      </c>
      <c r="C2046" s="1" t="n">
        <f aca="false">N(C2045)+B2046</f>
        <v>17</v>
      </c>
      <c r="K2046" s="1" t="n">
        <f aca="false">IF(OR($K$1="",对接源_02物料!$C846="",对接源_02物料!$C846&lt;&gt;$K$1,对接源_02物料!$B846=""),0,IF(OR(N(对接源_02物料!$B846)&lt;$K$2,N(对接源_02物料!$B846)&gt;$K$3),0,1))</f>
        <v>0</v>
      </c>
      <c r="L2046" s="1" t="n">
        <f aca="false">IF(OR($L$1="",对接源_02物料!$C846="",对接源_02物料!$C846&lt;&gt;$L$1,对接源_02物料!$B846=""),0,IF(OR(N(对接源_02物料!$B846)&lt;$L$2,N(对接源_02物料!$B846)&gt;$L$3),0,1))</f>
        <v>0</v>
      </c>
      <c r="M2046" s="1" t="n">
        <f aca="false">IF(OR($M$1="",对接源_02物料!$C846="",对接源_02物料!$C846&lt;&gt;$M$1,对接源_02物料!$B846=""),0,IF(OR(N(对接源_02物料!$B846)&lt;$M$2,N(对接源_02物料!$B846)&gt;$M$3),0,1))</f>
        <v>0</v>
      </c>
      <c r="N2046" s="1" t="n">
        <f aca="false">IF(OR($N$1="",对接源_02物料!$C846="",对接源_02物料!$C846&lt;&gt;$N$1,对接源_02物料!$B846=""),0,IF(OR(N(对接源_02物料!$B846)&lt;$N$2,N(对接源_02物料!$B846)&gt;$N$3),0,1))</f>
        <v>0</v>
      </c>
      <c r="P2046" s="1" t="n">
        <f aca="false">IF(AND($K2046=1,AND(对接源_02物料!$X846="公司筐",N(对接源_02物料!$T846)&lt;&gt;0)),1,0)</f>
        <v>0</v>
      </c>
      <c r="Q2046" s="1" t="n">
        <f aca="false">N(Q2045)+$P2046</f>
        <v>13</v>
      </c>
      <c r="R2046" s="1" t="n">
        <f aca="false">IF(AND($K2046=1,AND(对接源_02物料!$X846="公司筐",N(对接源_02物料!$U846)&lt;&gt;0)),1,0)</f>
        <v>0</v>
      </c>
      <c r="S2046" s="1" t="n">
        <f aca="false">N(S2045)+$R2046</f>
        <v>5</v>
      </c>
      <c r="T2046" s="1" t="n">
        <f aca="false">IF(AND($K2046=1,AND(对接源_02物料!$X846="公司筐",N(对接源_02物料!$V846)&lt;&gt;0)),1,0)</f>
        <v>0</v>
      </c>
      <c r="U2046" s="1" t="n">
        <f aca="false">N(U2045)+$T2046</f>
        <v>28</v>
      </c>
      <c r="V2046" s="1" t="n">
        <f aca="false">IF(AND($L2046=1,AND(对接源_02物料!$X846="自备筐",N(对接源_02物料!$V846)&lt;&gt;0)),1,0)</f>
        <v>0</v>
      </c>
      <c r="W2046" s="1" t="n">
        <f aca="false">N(W2045)+$V2046</f>
        <v>7</v>
      </c>
      <c r="X2046" s="1" t="n">
        <f aca="false">IF(AND($L2046=1,AND(对接源_02物料!$X846="自备筐",N(对接源_02物料!$T846)&lt;&gt;0)),1,0)</f>
        <v>0</v>
      </c>
      <c r="Y2046" s="1" t="n">
        <f aca="false">N(Y2045)+$X2046</f>
        <v>0</v>
      </c>
      <c r="Z2046" s="1" t="n">
        <f aca="false">IF(AND($M2046=1,对接源_02物料!$D846="原料入库"),1,0)</f>
        <v>0</v>
      </c>
      <c r="AA2046" s="1" t="n">
        <f aca="false">N(AA2045)+$Z2046</f>
        <v>30</v>
      </c>
      <c r="AB2046" s="1" t="n">
        <f aca="false">IF(AND($M2046=1,LEFT(对接源_02物料!$D846,4)="原料出库"),1,0)</f>
        <v>0</v>
      </c>
      <c r="AC2046" s="1" t="n">
        <f aca="false">N(AC2045)+$AB2046</f>
        <v>19</v>
      </c>
      <c r="AD2046" s="1" t="n">
        <f aca="false">IF(AND($M2046=1,LEFT(对接源_02物料!$D846,4)="成品出库"),1,0)</f>
        <v>0</v>
      </c>
      <c r="AE2046" s="1" t="n">
        <f aca="false">N(AE2045)+$AD2046</f>
        <v>38</v>
      </c>
      <c r="AF2046" s="1" t="n">
        <f aca="false">IF(AND($N2046=1,AND(LEFT(对接源_02物料!$D846,4)="包装物料",N(对接源_02物料!$K846)&lt;&gt;0)),1,0)</f>
        <v>0</v>
      </c>
      <c r="AG2046" s="1" t="n">
        <f aca="false">N(AG2045)+$AF2046</f>
        <v>6</v>
      </c>
      <c r="AH2046" s="1" t="n">
        <f aca="false">IF(AND($N2046=1,AND(LEFT(对接源_02物料!$D846,3)="周转筐",N(对接源_02物料!$K846)&lt;&gt;0)),1,0)</f>
        <v>0</v>
      </c>
      <c r="AI2046" s="1" t="n">
        <f aca="false">N(AI2045)+$AH2046</f>
        <v>0</v>
      </c>
      <c r="AJ2046" s="1" t="n">
        <v>0</v>
      </c>
      <c r="AK2046" s="1" t="n">
        <f aca="false">N(AK2045)+$AJ2046</f>
        <v>3672</v>
      </c>
    </row>
    <row r="2047" customFormat="false" ht="13.5" hidden="false" customHeight="false" outlineLevel="0" collapsed="false">
      <c r="A2047" s="1" t="str">
        <f aca="false">IF(对接源_02物料!$C847="","",对接源_02物料!$C847)</f>
        <v/>
      </c>
      <c r="B2047" s="1" t="n">
        <f aca="false">IF(A2047="",0,IF(MATCH(A2047,$A$4:$A$2403,0)=ROW()-3,1,0))</f>
        <v>0</v>
      </c>
      <c r="C2047" s="1" t="n">
        <f aca="false">N(C2046)+B2047</f>
        <v>17</v>
      </c>
      <c r="K2047" s="1" t="n">
        <f aca="false">IF(OR($K$1="",对接源_02物料!$C847="",对接源_02物料!$C847&lt;&gt;$K$1,对接源_02物料!$B847=""),0,IF(OR(N(对接源_02物料!$B847)&lt;$K$2,N(对接源_02物料!$B847)&gt;$K$3),0,1))</f>
        <v>0</v>
      </c>
      <c r="L2047" s="1" t="n">
        <f aca="false">IF(OR($L$1="",对接源_02物料!$C847="",对接源_02物料!$C847&lt;&gt;$L$1,对接源_02物料!$B847=""),0,IF(OR(N(对接源_02物料!$B847)&lt;$L$2,N(对接源_02物料!$B847)&gt;$L$3),0,1))</f>
        <v>0</v>
      </c>
      <c r="M2047" s="1" t="n">
        <f aca="false">IF(OR($M$1="",对接源_02物料!$C847="",对接源_02物料!$C847&lt;&gt;$M$1,对接源_02物料!$B847=""),0,IF(OR(N(对接源_02物料!$B847)&lt;$M$2,N(对接源_02物料!$B847)&gt;$M$3),0,1))</f>
        <v>0</v>
      </c>
      <c r="N2047" s="1" t="n">
        <f aca="false">IF(OR($N$1="",对接源_02物料!$C847="",对接源_02物料!$C847&lt;&gt;$N$1,对接源_02物料!$B847=""),0,IF(OR(N(对接源_02物料!$B847)&lt;$N$2,N(对接源_02物料!$B847)&gt;$N$3),0,1))</f>
        <v>0</v>
      </c>
      <c r="P2047" s="1" t="n">
        <f aca="false">IF(AND($K2047=1,AND(对接源_02物料!$X847="公司筐",N(对接源_02物料!$T847)&lt;&gt;0)),1,0)</f>
        <v>0</v>
      </c>
      <c r="Q2047" s="1" t="n">
        <f aca="false">N(Q2046)+$P2047</f>
        <v>13</v>
      </c>
      <c r="R2047" s="1" t="n">
        <f aca="false">IF(AND($K2047=1,AND(对接源_02物料!$X847="公司筐",N(对接源_02物料!$U847)&lt;&gt;0)),1,0)</f>
        <v>0</v>
      </c>
      <c r="S2047" s="1" t="n">
        <f aca="false">N(S2046)+$R2047</f>
        <v>5</v>
      </c>
      <c r="T2047" s="1" t="n">
        <f aca="false">IF(AND($K2047=1,AND(对接源_02物料!$X847="公司筐",N(对接源_02物料!$V847)&lt;&gt;0)),1,0)</f>
        <v>0</v>
      </c>
      <c r="U2047" s="1" t="n">
        <f aca="false">N(U2046)+$T2047</f>
        <v>28</v>
      </c>
      <c r="V2047" s="1" t="n">
        <f aca="false">IF(AND($L2047=1,AND(对接源_02物料!$X847="自备筐",N(对接源_02物料!$V847)&lt;&gt;0)),1,0)</f>
        <v>0</v>
      </c>
      <c r="W2047" s="1" t="n">
        <f aca="false">N(W2046)+$V2047</f>
        <v>7</v>
      </c>
      <c r="X2047" s="1" t="n">
        <f aca="false">IF(AND($L2047=1,AND(对接源_02物料!$X847="自备筐",N(对接源_02物料!$T847)&lt;&gt;0)),1,0)</f>
        <v>0</v>
      </c>
      <c r="Y2047" s="1" t="n">
        <f aca="false">N(Y2046)+$X2047</f>
        <v>0</v>
      </c>
      <c r="Z2047" s="1" t="n">
        <f aca="false">IF(AND($M2047=1,对接源_02物料!$D847="原料入库"),1,0)</f>
        <v>0</v>
      </c>
      <c r="AA2047" s="1" t="n">
        <f aca="false">N(AA2046)+$Z2047</f>
        <v>30</v>
      </c>
      <c r="AB2047" s="1" t="n">
        <f aca="false">IF(AND($M2047=1,LEFT(对接源_02物料!$D847,4)="原料出库"),1,0)</f>
        <v>0</v>
      </c>
      <c r="AC2047" s="1" t="n">
        <f aca="false">N(AC2046)+$AB2047</f>
        <v>19</v>
      </c>
      <c r="AD2047" s="1" t="n">
        <f aca="false">IF(AND($M2047=1,LEFT(对接源_02物料!$D847,4)="成品出库"),1,0)</f>
        <v>0</v>
      </c>
      <c r="AE2047" s="1" t="n">
        <f aca="false">N(AE2046)+$AD2047</f>
        <v>38</v>
      </c>
      <c r="AF2047" s="1" t="n">
        <f aca="false">IF(AND($N2047=1,AND(LEFT(对接源_02物料!$D847,4)="包装物料",N(对接源_02物料!$K847)&lt;&gt;0)),1,0)</f>
        <v>0</v>
      </c>
      <c r="AG2047" s="1" t="n">
        <f aca="false">N(AG2046)+$AF2047</f>
        <v>6</v>
      </c>
      <c r="AH2047" s="1" t="n">
        <f aca="false">IF(AND($N2047=1,AND(LEFT(对接源_02物料!$D847,3)="周转筐",N(对接源_02物料!$K847)&lt;&gt;0)),1,0)</f>
        <v>0</v>
      </c>
      <c r="AI2047" s="1" t="n">
        <f aca="false">N(AI2046)+$AH2047</f>
        <v>0</v>
      </c>
      <c r="AJ2047" s="1" t="n">
        <v>0</v>
      </c>
      <c r="AK2047" s="1" t="n">
        <f aca="false">N(AK2046)+$AJ2047</f>
        <v>3672</v>
      </c>
    </row>
    <row r="2048" customFormat="false" ht="13.5" hidden="false" customHeight="false" outlineLevel="0" collapsed="false">
      <c r="A2048" s="1" t="str">
        <f aca="false">IF(对接源_02物料!$C848="","",对接源_02物料!$C848)</f>
        <v/>
      </c>
      <c r="B2048" s="1" t="n">
        <f aca="false">IF(A2048="",0,IF(MATCH(A2048,$A$4:$A$2403,0)=ROW()-3,1,0))</f>
        <v>0</v>
      </c>
      <c r="C2048" s="1" t="n">
        <f aca="false">N(C2047)+B2048</f>
        <v>17</v>
      </c>
      <c r="K2048" s="1" t="n">
        <f aca="false">IF(OR($K$1="",对接源_02物料!$C848="",对接源_02物料!$C848&lt;&gt;$K$1,对接源_02物料!$B848=""),0,IF(OR(N(对接源_02物料!$B848)&lt;$K$2,N(对接源_02物料!$B848)&gt;$K$3),0,1))</f>
        <v>0</v>
      </c>
      <c r="L2048" s="1" t="n">
        <f aca="false">IF(OR($L$1="",对接源_02物料!$C848="",对接源_02物料!$C848&lt;&gt;$L$1,对接源_02物料!$B848=""),0,IF(OR(N(对接源_02物料!$B848)&lt;$L$2,N(对接源_02物料!$B848)&gt;$L$3),0,1))</f>
        <v>0</v>
      </c>
      <c r="M2048" s="1" t="n">
        <f aca="false">IF(OR($M$1="",对接源_02物料!$C848="",对接源_02物料!$C848&lt;&gt;$M$1,对接源_02物料!$B848=""),0,IF(OR(N(对接源_02物料!$B848)&lt;$M$2,N(对接源_02物料!$B848)&gt;$M$3),0,1))</f>
        <v>0</v>
      </c>
      <c r="N2048" s="1" t="n">
        <f aca="false">IF(OR($N$1="",对接源_02物料!$C848="",对接源_02物料!$C848&lt;&gt;$N$1,对接源_02物料!$B848=""),0,IF(OR(N(对接源_02物料!$B848)&lt;$N$2,N(对接源_02物料!$B848)&gt;$N$3),0,1))</f>
        <v>0</v>
      </c>
      <c r="P2048" s="1" t="n">
        <f aca="false">IF(AND($K2048=1,AND(对接源_02物料!$X848="公司筐",N(对接源_02物料!$T848)&lt;&gt;0)),1,0)</f>
        <v>0</v>
      </c>
      <c r="Q2048" s="1" t="n">
        <f aca="false">N(Q2047)+$P2048</f>
        <v>13</v>
      </c>
      <c r="R2048" s="1" t="n">
        <f aca="false">IF(AND($K2048=1,AND(对接源_02物料!$X848="公司筐",N(对接源_02物料!$U848)&lt;&gt;0)),1,0)</f>
        <v>0</v>
      </c>
      <c r="S2048" s="1" t="n">
        <f aca="false">N(S2047)+$R2048</f>
        <v>5</v>
      </c>
      <c r="T2048" s="1" t="n">
        <f aca="false">IF(AND($K2048=1,AND(对接源_02物料!$X848="公司筐",N(对接源_02物料!$V848)&lt;&gt;0)),1,0)</f>
        <v>0</v>
      </c>
      <c r="U2048" s="1" t="n">
        <f aca="false">N(U2047)+$T2048</f>
        <v>28</v>
      </c>
      <c r="V2048" s="1" t="n">
        <f aca="false">IF(AND($L2048=1,AND(对接源_02物料!$X848="自备筐",N(对接源_02物料!$V848)&lt;&gt;0)),1,0)</f>
        <v>0</v>
      </c>
      <c r="W2048" s="1" t="n">
        <f aca="false">N(W2047)+$V2048</f>
        <v>7</v>
      </c>
      <c r="X2048" s="1" t="n">
        <f aca="false">IF(AND($L2048=1,AND(对接源_02物料!$X848="自备筐",N(对接源_02物料!$T848)&lt;&gt;0)),1,0)</f>
        <v>0</v>
      </c>
      <c r="Y2048" s="1" t="n">
        <f aca="false">N(Y2047)+$X2048</f>
        <v>0</v>
      </c>
      <c r="Z2048" s="1" t="n">
        <f aca="false">IF(AND($M2048=1,对接源_02物料!$D848="原料入库"),1,0)</f>
        <v>0</v>
      </c>
      <c r="AA2048" s="1" t="n">
        <f aca="false">N(AA2047)+$Z2048</f>
        <v>30</v>
      </c>
      <c r="AB2048" s="1" t="n">
        <f aca="false">IF(AND($M2048=1,LEFT(对接源_02物料!$D848,4)="原料出库"),1,0)</f>
        <v>0</v>
      </c>
      <c r="AC2048" s="1" t="n">
        <f aca="false">N(AC2047)+$AB2048</f>
        <v>19</v>
      </c>
      <c r="AD2048" s="1" t="n">
        <f aca="false">IF(AND($M2048=1,LEFT(对接源_02物料!$D848,4)="成品出库"),1,0)</f>
        <v>0</v>
      </c>
      <c r="AE2048" s="1" t="n">
        <f aca="false">N(AE2047)+$AD2048</f>
        <v>38</v>
      </c>
      <c r="AF2048" s="1" t="n">
        <f aca="false">IF(AND($N2048=1,AND(LEFT(对接源_02物料!$D848,4)="包装物料",N(对接源_02物料!$K848)&lt;&gt;0)),1,0)</f>
        <v>0</v>
      </c>
      <c r="AG2048" s="1" t="n">
        <f aca="false">N(AG2047)+$AF2048</f>
        <v>6</v>
      </c>
      <c r="AH2048" s="1" t="n">
        <f aca="false">IF(AND($N2048=1,AND(LEFT(对接源_02物料!$D848,3)="周转筐",N(对接源_02物料!$K848)&lt;&gt;0)),1,0)</f>
        <v>0</v>
      </c>
      <c r="AI2048" s="1" t="n">
        <f aca="false">N(AI2047)+$AH2048</f>
        <v>0</v>
      </c>
      <c r="AJ2048" s="1" t="n">
        <v>0</v>
      </c>
      <c r="AK2048" s="1" t="n">
        <f aca="false">N(AK2047)+$AJ2048</f>
        <v>3672</v>
      </c>
    </row>
    <row r="2049" customFormat="false" ht="13.5" hidden="false" customHeight="false" outlineLevel="0" collapsed="false">
      <c r="A2049" s="1" t="str">
        <f aca="false">IF(对接源_02物料!$C849="","",对接源_02物料!$C849)</f>
        <v/>
      </c>
      <c r="B2049" s="1" t="n">
        <f aca="false">IF(A2049="",0,IF(MATCH(A2049,$A$4:$A$2403,0)=ROW()-3,1,0))</f>
        <v>0</v>
      </c>
      <c r="C2049" s="1" t="n">
        <f aca="false">N(C2048)+B2049</f>
        <v>17</v>
      </c>
      <c r="K2049" s="1" t="n">
        <f aca="false">IF(OR($K$1="",对接源_02物料!$C849="",对接源_02物料!$C849&lt;&gt;$K$1,对接源_02物料!$B849=""),0,IF(OR(N(对接源_02物料!$B849)&lt;$K$2,N(对接源_02物料!$B849)&gt;$K$3),0,1))</f>
        <v>0</v>
      </c>
      <c r="L2049" s="1" t="n">
        <f aca="false">IF(OR($L$1="",对接源_02物料!$C849="",对接源_02物料!$C849&lt;&gt;$L$1,对接源_02物料!$B849=""),0,IF(OR(N(对接源_02物料!$B849)&lt;$L$2,N(对接源_02物料!$B849)&gt;$L$3),0,1))</f>
        <v>0</v>
      </c>
      <c r="M2049" s="1" t="n">
        <f aca="false">IF(OR($M$1="",对接源_02物料!$C849="",对接源_02物料!$C849&lt;&gt;$M$1,对接源_02物料!$B849=""),0,IF(OR(N(对接源_02物料!$B849)&lt;$M$2,N(对接源_02物料!$B849)&gt;$M$3),0,1))</f>
        <v>0</v>
      </c>
      <c r="N2049" s="1" t="n">
        <f aca="false">IF(OR($N$1="",对接源_02物料!$C849="",对接源_02物料!$C849&lt;&gt;$N$1,对接源_02物料!$B849=""),0,IF(OR(N(对接源_02物料!$B849)&lt;$N$2,N(对接源_02物料!$B849)&gt;$N$3),0,1))</f>
        <v>0</v>
      </c>
      <c r="P2049" s="1" t="n">
        <f aca="false">IF(AND($K2049=1,AND(对接源_02物料!$X849="公司筐",N(对接源_02物料!$T849)&lt;&gt;0)),1,0)</f>
        <v>0</v>
      </c>
      <c r="Q2049" s="1" t="n">
        <f aca="false">N(Q2048)+$P2049</f>
        <v>13</v>
      </c>
      <c r="R2049" s="1" t="n">
        <f aca="false">IF(AND($K2049=1,AND(对接源_02物料!$X849="公司筐",N(对接源_02物料!$U849)&lt;&gt;0)),1,0)</f>
        <v>0</v>
      </c>
      <c r="S2049" s="1" t="n">
        <f aca="false">N(S2048)+$R2049</f>
        <v>5</v>
      </c>
      <c r="T2049" s="1" t="n">
        <f aca="false">IF(AND($K2049=1,AND(对接源_02物料!$X849="公司筐",N(对接源_02物料!$V849)&lt;&gt;0)),1,0)</f>
        <v>0</v>
      </c>
      <c r="U2049" s="1" t="n">
        <f aca="false">N(U2048)+$T2049</f>
        <v>28</v>
      </c>
      <c r="V2049" s="1" t="n">
        <f aca="false">IF(AND($L2049=1,AND(对接源_02物料!$X849="自备筐",N(对接源_02物料!$V849)&lt;&gt;0)),1,0)</f>
        <v>0</v>
      </c>
      <c r="W2049" s="1" t="n">
        <f aca="false">N(W2048)+$V2049</f>
        <v>7</v>
      </c>
      <c r="X2049" s="1" t="n">
        <f aca="false">IF(AND($L2049=1,AND(对接源_02物料!$X849="自备筐",N(对接源_02物料!$T849)&lt;&gt;0)),1,0)</f>
        <v>0</v>
      </c>
      <c r="Y2049" s="1" t="n">
        <f aca="false">N(Y2048)+$X2049</f>
        <v>0</v>
      </c>
      <c r="Z2049" s="1" t="n">
        <f aca="false">IF(AND($M2049=1,对接源_02物料!$D849="原料入库"),1,0)</f>
        <v>0</v>
      </c>
      <c r="AA2049" s="1" t="n">
        <f aca="false">N(AA2048)+$Z2049</f>
        <v>30</v>
      </c>
      <c r="AB2049" s="1" t="n">
        <f aca="false">IF(AND($M2049=1,LEFT(对接源_02物料!$D849,4)="原料出库"),1,0)</f>
        <v>0</v>
      </c>
      <c r="AC2049" s="1" t="n">
        <f aca="false">N(AC2048)+$AB2049</f>
        <v>19</v>
      </c>
      <c r="AD2049" s="1" t="n">
        <f aca="false">IF(AND($M2049=1,LEFT(对接源_02物料!$D849,4)="成品出库"),1,0)</f>
        <v>0</v>
      </c>
      <c r="AE2049" s="1" t="n">
        <f aca="false">N(AE2048)+$AD2049</f>
        <v>38</v>
      </c>
      <c r="AF2049" s="1" t="n">
        <f aca="false">IF(AND($N2049=1,AND(LEFT(对接源_02物料!$D849,4)="包装物料",N(对接源_02物料!$K849)&lt;&gt;0)),1,0)</f>
        <v>0</v>
      </c>
      <c r="AG2049" s="1" t="n">
        <f aca="false">N(AG2048)+$AF2049</f>
        <v>6</v>
      </c>
      <c r="AH2049" s="1" t="n">
        <f aca="false">IF(AND($N2049=1,AND(LEFT(对接源_02物料!$D849,3)="周转筐",N(对接源_02物料!$K849)&lt;&gt;0)),1,0)</f>
        <v>0</v>
      </c>
      <c r="AI2049" s="1" t="n">
        <f aca="false">N(AI2048)+$AH2049</f>
        <v>0</v>
      </c>
      <c r="AJ2049" s="1" t="n">
        <v>0</v>
      </c>
      <c r="AK2049" s="1" t="n">
        <f aca="false">N(AK2048)+$AJ2049</f>
        <v>3672</v>
      </c>
    </row>
    <row r="2050" customFormat="false" ht="13.5" hidden="false" customHeight="false" outlineLevel="0" collapsed="false">
      <c r="A2050" s="1" t="str">
        <f aca="false">IF(对接源_02物料!$C850="","",对接源_02物料!$C850)</f>
        <v/>
      </c>
      <c r="B2050" s="1" t="n">
        <f aca="false">IF(A2050="",0,IF(MATCH(A2050,$A$4:$A$2403,0)=ROW()-3,1,0))</f>
        <v>0</v>
      </c>
      <c r="C2050" s="1" t="n">
        <f aca="false">N(C2049)+B2050</f>
        <v>17</v>
      </c>
      <c r="K2050" s="1" t="n">
        <f aca="false">IF(OR($K$1="",对接源_02物料!$C850="",对接源_02物料!$C850&lt;&gt;$K$1,对接源_02物料!$B850=""),0,IF(OR(N(对接源_02物料!$B850)&lt;$K$2,N(对接源_02物料!$B850)&gt;$K$3),0,1))</f>
        <v>0</v>
      </c>
      <c r="L2050" s="1" t="n">
        <f aca="false">IF(OR($L$1="",对接源_02物料!$C850="",对接源_02物料!$C850&lt;&gt;$L$1,对接源_02物料!$B850=""),0,IF(OR(N(对接源_02物料!$B850)&lt;$L$2,N(对接源_02物料!$B850)&gt;$L$3),0,1))</f>
        <v>0</v>
      </c>
      <c r="M2050" s="1" t="n">
        <f aca="false">IF(OR($M$1="",对接源_02物料!$C850="",对接源_02物料!$C850&lt;&gt;$M$1,对接源_02物料!$B850=""),0,IF(OR(N(对接源_02物料!$B850)&lt;$M$2,N(对接源_02物料!$B850)&gt;$M$3),0,1))</f>
        <v>0</v>
      </c>
      <c r="N2050" s="1" t="n">
        <f aca="false">IF(OR($N$1="",对接源_02物料!$C850="",对接源_02物料!$C850&lt;&gt;$N$1,对接源_02物料!$B850=""),0,IF(OR(N(对接源_02物料!$B850)&lt;$N$2,N(对接源_02物料!$B850)&gt;$N$3),0,1))</f>
        <v>0</v>
      </c>
      <c r="P2050" s="1" t="n">
        <f aca="false">IF(AND($K2050=1,AND(对接源_02物料!$X850="公司筐",N(对接源_02物料!$T850)&lt;&gt;0)),1,0)</f>
        <v>0</v>
      </c>
      <c r="Q2050" s="1" t="n">
        <f aca="false">N(Q2049)+$P2050</f>
        <v>13</v>
      </c>
      <c r="R2050" s="1" t="n">
        <f aca="false">IF(AND($K2050=1,AND(对接源_02物料!$X850="公司筐",N(对接源_02物料!$U850)&lt;&gt;0)),1,0)</f>
        <v>0</v>
      </c>
      <c r="S2050" s="1" t="n">
        <f aca="false">N(S2049)+$R2050</f>
        <v>5</v>
      </c>
      <c r="T2050" s="1" t="n">
        <f aca="false">IF(AND($K2050=1,AND(对接源_02物料!$X850="公司筐",N(对接源_02物料!$V850)&lt;&gt;0)),1,0)</f>
        <v>0</v>
      </c>
      <c r="U2050" s="1" t="n">
        <f aca="false">N(U2049)+$T2050</f>
        <v>28</v>
      </c>
      <c r="V2050" s="1" t="n">
        <f aca="false">IF(AND($L2050=1,AND(对接源_02物料!$X850="自备筐",N(对接源_02物料!$V850)&lt;&gt;0)),1,0)</f>
        <v>0</v>
      </c>
      <c r="W2050" s="1" t="n">
        <f aca="false">N(W2049)+$V2050</f>
        <v>7</v>
      </c>
      <c r="X2050" s="1" t="n">
        <f aca="false">IF(AND($L2050=1,AND(对接源_02物料!$X850="自备筐",N(对接源_02物料!$T850)&lt;&gt;0)),1,0)</f>
        <v>0</v>
      </c>
      <c r="Y2050" s="1" t="n">
        <f aca="false">N(Y2049)+$X2050</f>
        <v>0</v>
      </c>
      <c r="Z2050" s="1" t="n">
        <f aca="false">IF(AND($M2050=1,对接源_02物料!$D850="原料入库"),1,0)</f>
        <v>0</v>
      </c>
      <c r="AA2050" s="1" t="n">
        <f aca="false">N(AA2049)+$Z2050</f>
        <v>30</v>
      </c>
      <c r="AB2050" s="1" t="n">
        <f aca="false">IF(AND($M2050=1,LEFT(对接源_02物料!$D850,4)="原料出库"),1,0)</f>
        <v>0</v>
      </c>
      <c r="AC2050" s="1" t="n">
        <f aca="false">N(AC2049)+$AB2050</f>
        <v>19</v>
      </c>
      <c r="AD2050" s="1" t="n">
        <f aca="false">IF(AND($M2050=1,LEFT(对接源_02物料!$D850,4)="成品出库"),1,0)</f>
        <v>0</v>
      </c>
      <c r="AE2050" s="1" t="n">
        <f aca="false">N(AE2049)+$AD2050</f>
        <v>38</v>
      </c>
      <c r="AF2050" s="1" t="n">
        <f aca="false">IF(AND($N2050=1,AND(LEFT(对接源_02物料!$D850,4)="包装物料",N(对接源_02物料!$K850)&lt;&gt;0)),1,0)</f>
        <v>0</v>
      </c>
      <c r="AG2050" s="1" t="n">
        <f aca="false">N(AG2049)+$AF2050</f>
        <v>6</v>
      </c>
      <c r="AH2050" s="1" t="n">
        <f aca="false">IF(AND($N2050=1,AND(LEFT(对接源_02物料!$D850,3)="周转筐",N(对接源_02物料!$K850)&lt;&gt;0)),1,0)</f>
        <v>0</v>
      </c>
      <c r="AI2050" s="1" t="n">
        <f aca="false">N(AI2049)+$AH2050</f>
        <v>0</v>
      </c>
      <c r="AJ2050" s="1" t="n">
        <v>0</v>
      </c>
      <c r="AK2050" s="1" t="n">
        <f aca="false">N(AK2049)+$AJ2050</f>
        <v>3672</v>
      </c>
    </row>
    <row r="2051" customFormat="false" ht="13.5" hidden="false" customHeight="false" outlineLevel="0" collapsed="false">
      <c r="A2051" s="1" t="str">
        <f aca="false">IF(对接源_02物料!$C851="","",对接源_02物料!$C851)</f>
        <v/>
      </c>
      <c r="B2051" s="1" t="n">
        <f aca="false">IF(A2051="",0,IF(MATCH(A2051,$A$4:$A$2403,0)=ROW()-3,1,0))</f>
        <v>0</v>
      </c>
      <c r="C2051" s="1" t="n">
        <f aca="false">N(C2050)+B2051</f>
        <v>17</v>
      </c>
      <c r="K2051" s="1" t="n">
        <f aca="false">IF(OR($K$1="",对接源_02物料!$C851="",对接源_02物料!$C851&lt;&gt;$K$1,对接源_02物料!$B851=""),0,IF(OR(N(对接源_02物料!$B851)&lt;$K$2,N(对接源_02物料!$B851)&gt;$K$3),0,1))</f>
        <v>0</v>
      </c>
      <c r="L2051" s="1" t="n">
        <f aca="false">IF(OR($L$1="",对接源_02物料!$C851="",对接源_02物料!$C851&lt;&gt;$L$1,对接源_02物料!$B851=""),0,IF(OR(N(对接源_02物料!$B851)&lt;$L$2,N(对接源_02物料!$B851)&gt;$L$3),0,1))</f>
        <v>0</v>
      </c>
      <c r="M2051" s="1" t="n">
        <f aca="false">IF(OR($M$1="",对接源_02物料!$C851="",对接源_02物料!$C851&lt;&gt;$M$1,对接源_02物料!$B851=""),0,IF(OR(N(对接源_02物料!$B851)&lt;$M$2,N(对接源_02物料!$B851)&gt;$M$3),0,1))</f>
        <v>0</v>
      </c>
      <c r="N2051" s="1" t="n">
        <f aca="false">IF(OR($N$1="",对接源_02物料!$C851="",对接源_02物料!$C851&lt;&gt;$N$1,对接源_02物料!$B851=""),0,IF(OR(N(对接源_02物料!$B851)&lt;$N$2,N(对接源_02物料!$B851)&gt;$N$3),0,1))</f>
        <v>0</v>
      </c>
      <c r="P2051" s="1" t="n">
        <f aca="false">IF(AND($K2051=1,AND(对接源_02物料!$X851="公司筐",N(对接源_02物料!$T851)&lt;&gt;0)),1,0)</f>
        <v>0</v>
      </c>
      <c r="Q2051" s="1" t="n">
        <f aca="false">N(Q2050)+$P2051</f>
        <v>13</v>
      </c>
      <c r="R2051" s="1" t="n">
        <f aca="false">IF(AND($K2051=1,AND(对接源_02物料!$X851="公司筐",N(对接源_02物料!$U851)&lt;&gt;0)),1,0)</f>
        <v>0</v>
      </c>
      <c r="S2051" s="1" t="n">
        <f aca="false">N(S2050)+$R2051</f>
        <v>5</v>
      </c>
      <c r="T2051" s="1" t="n">
        <f aca="false">IF(AND($K2051=1,AND(对接源_02物料!$X851="公司筐",N(对接源_02物料!$V851)&lt;&gt;0)),1,0)</f>
        <v>0</v>
      </c>
      <c r="U2051" s="1" t="n">
        <f aca="false">N(U2050)+$T2051</f>
        <v>28</v>
      </c>
      <c r="V2051" s="1" t="n">
        <f aca="false">IF(AND($L2051=1,AND(对接源_02物料!$X851="自备筐",N(对接源_02物料!$V851)&lt;&gt;0)),1,0)</f>
        <v>0</v>
      </c>
      <c r="W2051" s="1" t="n">
        <f aca="false">N(W2050)+$V2051</f>
        <v>7</v>
      </c>
      <c r="X2051" s="1" t="n">
        <f aca="false">IF(AND($L2051=1,AND(对接源_02物料!$X851="自备筐",N(对接源_02物料!$T851)&lt;&gt;0)),1,0)</f>
        <v>0</v>
      </c>
      <c r="Y2051" s="1" t="n">
        <f aca="false">N(Y2050)+$X2051</f>
        <v>0</v>
      </c>
      <c r="Z2051" s="1" t="n">
        <f aca="false">IF(AND($M2051=1,对接源_02物料!$D851="原料入库"),1,0)</f>
        <v>0</v>
      </c>
      <c r="AA2051" s="1" t="n">
        <f aca="false">N(AA2050)+$Z2051</f>
        <v>30</v>
      </c>
      <c r="AB2051" s="1" t="n">
        <f aca="false">IF(AND($M2051=1,LEFT(对接源_02物料!$D851,4)="原料出库"),1,0)</f>
        <v>0</v>
      </c>
      <c r="AC2051" s="1" t="n">
        <f aca="false">N(AC2050)+$AB2051</f>
        <v>19</v>
      </c>
      <c r="AD2051" s="1" t="n">
        <f aca="false">IF(AND($M2051=1,LEFT(对接源_02物料!$D851,4)="成品出库"),1,0)</f>
        <v>0</v>
      </c>
      <c r="AE2051" s="1" t="n">
        <f aca="false">N(AE2050)+$AD2051</f>
        <v>38</v>
      </c>
      <c r="AF2051" s="1" t="n">
        <f aca="false">IF(AND($N2051=1,AND(LEFT(对接源_02物料!$D851,4)="包装物料",N(对接源_02物料!$K851)&lt;&gt;0)),1,0)</f>
        <v>0</v>
      </c>
      <c r="AG2051" s="1" t="n">
        <f aca="false">N(AG2050)+$AF2051</f>
        <v>6</v>
      </c>
      <c r="AH2051" s="1" t="n">
        <f aca="false">IF(AND($N2051=1,AND(LEFT(对接源_02物料!$D851,3)="周转筐",N(对接源_02物料!$K851)&lt;&gt;0)),1,0)</f>
        <v>0</v>
      </c>
      <c r="AI2051" s="1" t="n">
        <f aca="false">N(AI2050)+$AH2051</f>
        <v>0</v>
      </c>
      <c r="AJ2051" s="1" t="n">
        <v>0</v>
      </c>
      <c r="AK2051" s="1" t="n">
        <f aca="false">N(AK2050)+$AJ2051</f>
        <v>3672</v>
      </c>
    </row>
    <row r="2052" customFormat="false" ht="13.5" hidden="false" customHeight="false" outlineLevel="0" collapsed="false">
      <c r="A2052" s="1" t="str">
        <f aca="false">IF(对接源_02物料!$C852="","",对接源_02物料!$C852)</f>
        <v/>
      </c>
      <c r="B2052" s="1" t="n">
        <f aca="false">IF(A2052="",0,IF(MATCH(A2052,$A$4:$A$2403,0)=ROW()-3,1,0))</f>
        <v>0</v>
      </c>
      <c r="C2052" s="1" t="n">
        <f aca="false">N(C2051)+B2052</f>
        <v>17</v>
      </c>
      <c r="K2052" s="1" t="n">
        <f aca="false">IF(OR($K$1="",对接源_02物料!$C852="",对接源_02物料!$C852&lt;&gt;$K$1,对接源_02物料!$B852=""),0,IF(OR(N(对接源_02物料!$B852)&lt;$K$2,N(对接源_02物料!$B852)&gt;$K$3),0,1))</f>
        <v>0</v>
      </c>
      <c r="L2052" s="1" t="n">
        <f aca="false">IF(OR($L$1="",对接源_02物料!$C852="",对接源_02物料!$C852&lt;&gt;$L$1,对接源_02物料!$B852=""),0,IF(OR(N(对接源_02物料!$B852)&lt;$L$2,N(对接源_02物料!$B852)&gt;$L$3),0,1))</f>
        <v>0</v>
      </c>
      <c r="M2052" s="1" t="n">
        <f aca="false">IF(OR($M$1="",对接源_02物料!$C852="",对接源_02物料!$C852&lt;&gt;$M$1,对接源_02物料!$B852=""),0,IF(OR(N(对接源_02物料!$B852)&lt;$M$2,N(对接源_02物料!$B852)&gt;$M$3),0,1))</f>
        <v>0</v>
      </c>
      <c r="N2052" s="1" t="n">
        <f aca="false">IF(OR($N$1="",对接源_02物料!$C852="",对接源_02物料!$C852&lt;&gt;$N$1,对接源_02物料!$B852=""),0,IF(OR(N(对接源_02物料!$B852)&lt;$N$2,N(对接源_02物料!$B852)&gt;$N$3),0,1))</f>
        <v>0</v>
      </c>
      <c r="P2052" s="1" t="n">
        <f aca="false">IF(AND($K2052=1,AND(对接源_02物料!$X852="公司筐",N(对接源_02物料!$T852)&lt;&gt;0)),1,0)</f>
        <v>0</v>
      </c>
      <c r="Q2052" s="1" t="n">
        <f aca="false">N(Q2051)+$P2052</f>
        <v>13</v>
      </c>
      <c r="R2052" s="1" t="n">
        <f aca="false">IF(AND($K2052=1,AND(对接源_02物料!$X852="公司筐",N(对接源_02物料!$U852)&lt;&gt;0)),1,0)</f>
        <v>0</v>
      </c>
      <c r="S2052" s="1" t="n">
        <f aca="false">N(S2051)+$R2052</f>
        <v>5</v>
      </c>
      <c r="T2052" s="1" t="n">
        <f aca="false">IF(AND($K2052=1,AND(对接源_02物料!$X852="公司筐",N(对接源_02物料!$V852)&lt;&gt;0)),1,0)</f>
        <v>0</v>
      </c>
      <c r="U2052" s="1" t="n">
        <f aca="false">N(U2051)+$T2052</f>
        <v>28</v>
      </c>
      <c r="V2052" s="1" t="n">
        <f aca="false">IF(AND($L2052=1,AND(对接源_02物料!$X852="自备筐",N(对接源_02物料!$V852)&lt;&gt;0)),1,0)</f>
        <v>0</v>
      </c>
      <c r="W2052" s="1" t="n">
        <f aca="false">N(W2051)+$V2052</f>
        <v>7</v>
      </c>
      <c r="X2052" s="1" t="n">
        <f aca="false">IF(AND($L2052=1,AND(对接源_02物料!$X852="自备筐",N(对接源_02物料!$T852)&lt;&gt;0)),1,0)</f>
        <v>0</v>
      </c>
      <c r="Y2052" s="1" t="n">
        <f aca="false">N(Y2051)+$X2052</f>
        <v>0</v>
      </c>
      <c r="Z2052" s="1" t="n">
        <f aca="false">IF(AND($M2052=1,对接源_02物料!$D852="原料入库"),1,0)</f>
        <v>0</v>
      </c>
      <c r="AA2052" s="1" t="n">
        <f aca="false">N(AA2051)+$Z2052</f>
        <v>30</v>
      </c>
      <c r="AB2052" s="1" t="n">
        <f aca="false">IF(AND($M2052=1,LEFT(对接源_02物料!$D852,4)="原料出库"),1,0)</f>
        <v>0</v>
      </c>
      <c r="AC2052" s="1" t="n">
        <f aca="false">N(AC2051)+$AB2052</f>
        <v>19</v>
      </c>
      <c r="AD2052" s="1" t="n">
        <f aca="false">IF(AND($M2052=1,LEFT(对接源_02物料!$D852,4)="成品出库"),1,0)</f>
        <v>0</v>
      </c>
      <c r="AE2052" s="1" t="n">
        <f aca="false">N(AE2051)+$AD2052</f>
        <v>38</v>
      </c>
      <c r="AF2052" s="1" t="n">
        <f aca="false">IF(AND($N2052=1,AND(LEFT(对接源_02物料!$D852,4)="包装物料",N(对接源_02物料!$K852)&lt;&gt;0)),1,0)</f>
        <v>0</v>
      </c>
      <c r="AG2052" s="1" t="n">
        <f aca="false">N(AG2051)+$AF2052</f>
        <v>6</v>
      </c>
      <c r="AH2052" s="1" t="n">
        <f aca="false">IF(AND($N2052=1,AND(LEFT(对接源_02物料!$D852,3)="周转筐",N(对接源_02物料!$K852)&lt;&gt;0)),1,0)</f>
        <v>0</v>
      </c>
      <c r="AI2052" s="1" t="n">
        <f aca="false">N(AI2051)+$AH2052</f>
        <v>0</v>
      </c>
      <c r="AJ2052" s="1" t="n">
        <v>0</v>
      </c>
      <c r="AK2052" s="1" t="n">
        <f aca="false">N(AK2051)+$AJ2052</f>
        <v>3672</v>
      </c>
    </row>
    <row r="2053" customFormat="false" ht="13.5" hidden="false" customHeight="false" outlineLevel="0" collapsed="false">
      <c r="A2053" s="1" t="str">
        <f aca="false">IF(对接源_02物料!$C853="","",对接源_02物料!$C853)</f>
        <v/>
      </c>
      <c r="B2053" s="1" t="n">
        <f aca="false">IF(A2053="",0,IF(MATCH(A2053,$A$4:$A$2403,0)=ROW()-3,1,0))</f>
        <v>0</v>
      </c>
      <c r="C2053" s="1" t="n">
        <f aca="false">N(C2052)+B2053</f>
        <v>17</v>
      </c>
      <c r="K2053" s="1" t="n">
        <f aca="false">IF(OR($K$1="",对接源_02物料!$C853="",对接源_02物料!$C853&lt;&gt;$K$1,对接源_02物料!$B853=""),0,IF(OR(N(对接源_02物料!$B853)&lt;$K$2,N(对接源_02物料!$B853)&gt;$K$3),0,1))</f>
        <v>0</v>
      </c>
      <c r="L2053" s="1" t="n">
        <f aca="false">IF(OR($L$1="",对接源_02物料!$C853="",对接源_02物料!$C853&lt;&gt;$L$1,对接源_02物料!$B853=""),0,IF(OR(N(对接源_02物料!$B853)&lt;$L$2,N(对接源_02物料!$B853)&gt;$L$3),0,1))</f>
        <v>0</v>
      </c>
      <c r="M2053" s="1" t="n">
        <f aca="false">IF(OR($M$1="",对接源_02物料!$C853="",对接源_02物料!$C853&lt;&gt;$M$1,对接源_02物料!$B853=""),0,IF(OR(N(对接源_02物料!$B853)&lt;$M$2,N(对接源_02物料!$B853)&gt;$M$3),0,1))</f>
        <v>0</v>
      </c>
      <c r="N2053" s="1" t="n">
        <f aca="false">IF(OR($N$1="",对接源_02物料!$C853="",对接源_02物料!$C853&lt;&gt;$N$1,对接源_02物料!$B853=""),0,IF(OR(N(对接源_02物料!$B853)&lt;$N$2,N(对接源_02物料!$B853)&gt;$N$3),0,1))</f>
        <v>0</v>
      </c>
      <c r="P2053" s="1" t="n">
        <f aca="false">IF(AND($K2053=1,AND(对接源_02物料!$X853="公司筐",N(对接源_02物料!$T853)&lt;&gt;0)),1,0)</f>
        <v>0</v>
      </c>
      <c r="Q2053" s="1" t="n">
        <f aca="false">N(Q2052)+$P2053</f>
        <v>13</v>
      </c>
      <c r="R2053" s="1" t="n">
        <f aca="false">IF(AND($K2053=1,AND(对接源_02物料!$X853="公司筐",N(对接源_02物料!$U853)&lt;&gt;0)),1,0)</f>
        <v>0</v>
      </c>
      <c r="S2053" s="1" t="n">
        <f aca="false">N(S2052)+$R2053</f>
        <v>5</v>
      </c>
      <c r="T2053" s="1" t="n">
        <f aca="false">IF(AND($K2053=1,AND(对接源_02物料!$X853="公司筐",N(对接源_02物料!$V853)&lt;&gt;0)),1,0)</f>
        <v>0</v>
      </c>
      <c r="U2053" s="1" t="n">
        <f aca="false">N(U2052)+$T2053</f>
        <v>28</v>
      </c>
      <c r="V2053" s="1" t="n">
        <f aca="false">IF(AND($L2053=1,AND(对接源_02物料!$X853="自备筐",N(对接源_02物料!$V853)&lt;&gt;0)),1,0)</f>
        <v>0</v>
      </c>
      <c r="W2053" s="1" t="n">
        <f aca="false">N(W2052)+$V2053</f>
        <v>7</v>
      </c>
      <c r="X2053" s="1" t="n">
        <f aca="false">IF(AND($L2053=1,AND(对接源_02物料!$X853="自备筐",N(对接源_02物料!$T853)&lt;&gt;0)),1,0)</f>
        <v>0</v>
      </c>
      <c r="Y2053" s="1" t="n">
        <f aca="false">N(Y2052)+$X2053</f>
        <v>0</v>
      </c>
      <c r="Z2053" s="1" t="n">
        <f aca="false">IF(AND($M2053=1,对接源_02物料!$D853="原料入库"),1,0)</f>
        <v>0</v>
      </c>
      <c r="AA2053" s="1" t="n">
        <f aca="false">N(AA2052)+$Z2053</f>
        <v>30</v>
      </c>
      <c r="AB2053" s="1" t="n">
        <f aca="false">IF(AND($M2053=1,LEFT(对接源_02物料!$D853,4)="原料出库"),1,0)</f>
        <v>0</v>
      </c>
      <c r="AC2053" s="1" t="n">
        <f aca="false">N(AC2052)+$AB2053</f>
        <v>19</v>
      </c>
      <c r="AD2053" s="1" t="n">
        <f aca="false">IF(AND($M2053=1,LEFT(对接源_02物料!$D853,4)="成品出库"),1,0)</f>
        <v>0</v>
      </c>
      <c r="AE2053" s="1" t="n">
        <f aca="false">N(AE2052)+$AD2053</f>
        <v>38</v>
      </c>
      <c r="AF2053" s="1" t="n">
        <f aca="false">IF(AND($N2053=1,AND(LEFT(对接源_02物料!$D853,4)="包装物料",N(对接源_02物料!$K853)&lt;&gt;0)),1,0)</f>
        <v>0</v>
      </c>
      <c r="AG2053" s="1" t="n">
        <f aca="false">N(AG2052)+$AF2053</f>
        <v>6</v>
      </c>
      <c r="AH2053" s="1" t="n">
        <f aca="false">IF(AND($N2053=1,AND(LEFT(对接源_02物料!$D853,3)="周转筐",N(对接源_02物料!$K853)&lt;&gt;0)),1,0)</f>
        <v>0</v>
      </c>
      <c r="AI2053" s="1" t="n">
        <f aca="false">N(AI2052)+$AH2053</f>
        <v>0</v>
      </c>
      <c r="AJ2053" s="1" t="n">
        <v>0</v>
      </c>
      <c r="AK2053" s="1" t="n">
        <f aca="false">N(AK2052)+$AJ2053</f>
        <v>3672</v>
      </c>
    </row>
    <row r="2054" customFormat="false" ht="13.5" hidden="false" customHeight="false" outlineLevel="0" collapsed="false">
      <c r="A2054" s="1" t="str">
        <f aca="false">IF(对接源_02物料!$C854="","",对接源_02物料!$C854)</f>
        <v/>
      </c>
      <c r="B2054" s="1" t="n">
        <f aca="false">IF(A2054="",0,IF(MATCH(A2054,$A$4:$A$2403,0)=ROW()-3,1,0))</f>
        <v>0</v>
      </c>
      <c r="C2054" s="1" t="n">
        <f aca="false">N(C2053)+B2054</f>
        <v>17</v>
      </c>
      <c r="K2054" s="1" t="n">
        <f aca="false">IF(OR($K$1="",对接源_02物料!$C854="",对接源_02物料!$C854&lt;&gt;$K$1,对接源_02物料!$B854=""),0,IF(OR(N(对接源_02物料!$B854)&lt;$K$2,N(对接源_02物料!$B854)&gt;$K$3),0,1))</f>
        <v>0</v>
      </c>
      <c r="L2054" s="1" t="n">
        <f aca="false">IF(OR($L$1="",对接源_02物料!$C854="",对接源_02物料!$C854&lt;&gt;$L$1,对接源_02物料!$B854=""),0,IF(OR(N(对接源_02物料!$B854)&lt;$L$2,N(对接源_02物料!$B854)&gt;$L$3),0,1))</f>
        <v>0</v>
      </c>
      <c r="M2054" s="1" t="n">
        <f aca="false">IF(OR($M$1="",对接源_02物料!$C854="",对接源_02物料!$C854&lt;&gt;$M$1,对接源_02物料!$B854=""),0,IF(OR(N(对接源_02物料!$B854)&lt;$M$2,N(对接源_02物料!$B854)&gt;$M$3),0,1))</f>
        <v>0</v>
      </c>
      <c r="N2054" s="1" t="n">
        <f aca="false">IF(OR($N$1="",对接源_02物料!$C854="",对接源_02物料!$C854&lt;&gt;$N$1,对接源_02物料!$B854=""),0,IF(OR(N(对接源_02物料!$B854)&lt;$N$2,N(对接源_02物料!$B854)&gt;$N$3),0,1))</f>
        <v>0</v>
      </c>
      <c r="P2054" s="1" t="n">
        <f aca="false">IF(AND($K2054=1,AND(对接源_02物料!$X854="公司筐",N(对接源_02物料!$T854)&lt;&gt;0)),1,0)</f>
        <v>0</v>
      </c>
      <c r="Q2054" s="1" t="n">
        <f aca="false">N(Q2053)+$P2054</f>
        <v>13</v>
      </c>
      <c r="R2054" s="1" t="n">
        <f aca="false">IF(AND($K2054=1,AND(对接源_02物料!$X854="公司筐",N(对接源_02物料!$U854)&lt;&gt;0)),1,0)</f>
        <v>0</v>
      </c>
      <c r="S2054" s="1" t="n">
        <f aca="false">N(S2053)+$R2054</f>
        <v>5</v>
      </c>
      <c r="T2054" s="1" t="n">
        <f aca="false">IF(AND($K2054=1,AND(对接源_02物料!$X854="公司筐",N(对接源_02物料!$V854)&lt;&gt;0)),1,0)</f>
        <v>0</v>
      </c>
      <c r="U2054" s="1" t="n">
        <f aca="false">N(U2053)+$T2054</f>
        <v>28</v>
      </c>
      <c r="V2054" s="1" t="n">
        <f aca="false">IF(AND($L2054=1,AND(对接源_02物料!$X854="自备筐",N(对接源_02物料!$V854)&lt;&gt;0)),1,0)</f>
        <v>0</v>
      </c>
      <c r="W2054" s="1" t="n">
        <f aca="false">N(W2053)+$V2054</f>
        <v>7</v>
      </c>
      <c r="X2054" s="1" t="n">
        <f aca="false">IF(AND($L2054=1,AND(对接源_02物料!$X854="自备筐",N(对接源_02物料!$T854)&lt;&gt;0)),1,0)</f>
        <v>0</v>
      </c>
      <c r="Y2054" s="1" t="n">
        <f aca="false">N(Y2053)+$X2054</f>
        <v>0</v>
      </c>
      <c r="Z2054" s="1" t="n">
        <f aca="false">IF(AND($M2054=1,对接源_02物料!$D854="原料入库"),1,0)</f>
        <v>0</v>
      </c>
      <c r="AA2054" s="1" t="n">
        <f aca="false">N(AA2053)+$Z2054</f>
        <v>30</v>
      </c>
      <c r="AB2054" s="1" t="n">
        <f aca="false">IF(AND($M2054=1,LEFT(对接源_02物料!$D854,4)="原料出库"),1,0)</f>
        <v>0</v>
      </c>
      <c r="AC2054" s="1" t="n">
        <f aca="false">N(AC2053)+$AB2054</f>
        <v>19</v>
      </c>
      <c r="AD2054" s="1" t="n">
        <f aca="false">IF(AND($M2054=1,LEFT(对接源_02物料!$D854,4)="成品出库"),1,0)</f>
        <v>0</v>
      </c>
      <c r="AE2054" s="1" t="n">
        <f aca="false">N(AE2053)+$AD2054</f>
        <v>38</v>
      </c>
      <c r="AF2054" s="1" t="n">
        <f aca="false">IF(AND($N2054=1,AND(LEFT(对接源_02物料!$D854,4)="包装物料",N(对接源_02物料!$K854)&lt;&gt;0)),1,0)</f>
        <v>0</v>
      </c>
      <c r="AG2054" s="1" t="n">
        <f aca="false">N(AG2053)+$AF2054</f>
        <v>6</v>
      </c>
      <c r="AH2054" s="1" t="n">
        <f aca="false">IF(AND($N2054=1,AND(LEFT(对接源_02物料!$D854,3)="周转筐",N(对接源_02物料!$K854)&lt;&gt;0)),1,0)</f>
        <v>0</v>
      </c>
      <c r="AI2054" s="1" t="n">
        <f aca="false">N(AI2053)+$AH2054</f>
        <v>0</v>
      </c>
      <c r="AJ2054" s="1" t="n">
        <v>0</v>
      </c>
      <c r="AK2054" s="1" t="n">
        <f aca="false">N(AK2053)+$AJ2054</f>
        <v>3672</v>
      </c>
    </row>
    <row r="2055" customFormat="false" ht="13.5" hidden="false" customHeight="false" outlineLevel="0" collapsed="false">
      <c r="A2055" s="1" t="str">
        <f aca="false">IF(对接源_02物料!$C855="","",对接源_02物料!$C855)</f>
        <v/>
      </c>
      <c r="B2055" s="1" t="n">
        <f aca="false">IF(A2055="",0,IF(MATCH(A2055,$A$4:$A$2403,0)=ROW()-3,1,0))</f>
        <v>0</v>
      </c>
      <c r="C2055" s="1" t="n">
        <f aca="false">N(C2054)+B2055</f>
        <v>17</v>
      </c>
      <c r="K2055" s="1" t="n">
        <f aca="false">IF(OR($K$1="",对接源_02物料!$C855="",对接源_02物料!$C855&lt;&gt;$K$1,对接源_02物料!$B855=""),0,IF(OR(N(对接源_02物料!$B855)&lt;$K$2,N(对接源_02物料!$B855)&gt;$K$3),0,1))</f>
        <v>0</v>
      </c>
      <c r="L2055" s="1" t="n">
        <f aca="false">IF(OR($L$1="",对接源_02物料!$C855="",对接源_02物料!$C855&lt;&gt;$L$1,对接源_02物料!$B855=""),0,IF(OR(N(对接源_02物料!$B855)&lt;$L$2,N(对接源_02物料!$B855)&gt;$L$3),0,1))</f>
        <v>0</v>
      </c>
      <c r="M2055" s="1" t="n">
        <f aca="false">IF(OR($M$1="",对接源_02物料!$C855="",对接源_02物料!$C855&lt;&gt;$M$1,对接源_02物料!$B855=""),0,IF(OR(N(对接源_02物料!$B855)&lt;$M$2,N(对接源_02物料!$B855)&gt;$M$3),0,1))</f>
        <v>0</v>
      </c>
      <c r="N2055" s="1" t="n">
        <f aca="false">IF(OR($N$1="",对接源_02物料!$C855="",对接源_02物料!$C855&lt;&gt;$N$1,对接源_02物料!$B855=""),0,IF(OR(N(对接源_02物料!$B855)&lt;$N$2,N(对接源_02物料!$B855)&gt;$N$3),0,1))</f>
        <v>0</v>
      </c>
      <c r="P2055" s="1" t="n">
        <f aca="false">IF(AND($K2055=1,AND(对接源_02物料!$X855="公司筐",N(对接源_02物料!$T855)&lt;&gt;0)),1,0)</f>
        <v>0</v>
      </c>
      <c r="Q2055" s="1" t="n">
        <f aca="false">N(Q2054)+$P2055</f>
        <v>13</v>
      </c>
      <c r="R2055" s="1" t="n">
        <f aca="false">IF(AND($K2055=1,AND(对接源_02物料!$X855="公司筐",N(对接源_02物料!$U855)&lt;&gt;0)),1,0)</f>
        <v>0</v>
      </c>
      <c r="S2055" s="1" t="n">
        <f aca="false">N(S2054)+$R2055</f>
        <v>5</v>
      </c>
      <c r="T2055" s="1" t="n">
        <f aca="false">IF(AND($K2055=1,AND(对接源_02物料!$X855="公司筐",N(对接源_02物料!$V855)&lt;&gt;0)),1,0)</f>
        <v>0</v>
      </c>
      <c r="U2055" s="1" t="n">
        <f aca="false">N(U2054)+$T2055</f>
        <v>28</v>
      </c>
      <c r="V2055" s="1" t="n">
        <f aca="false">IF(AND($L2055=1,AND(对接源_02物料!$X855="自备筐",N(对接源_02物料!$V855)&lt;&gt;0)),1,0)</f>
        <v>0</v>
      </c>
      <c r="W2055" s="1" t="n">
        <f aca="false">N(W2054)+$V2055</f>
        <v>7</v>
      </c>
      <c r="X2055" s="1" t="n">
        <f aca="false">IF(AND($L2055=1,AND(对接源_02物料!$X855="自备筐",N(对接源_02物料!$T855)&lt;&gt;0)),1,0)</f>
        <v>0</v>
      </c>
      <c r="Y2055" s="1" t="n">
        <f aca="false">N(Y2054)+$X2055</f>
        <v>0</v>
      </c>
      <c r="Z2055" s="1" t="n">
        <f aca="false">IF(AND($M2055=1,对接源_02物料!$D855="原料入库"),1,0)</f>
        <v>0</v>
      </c>
      <c r="AA2055" s="1" t="n">
        <f aca="false">N(AA2054)+$Z2055</f>
        <v>30</v>
      </c>
      <c r="AB2055" s="1" t="n">
        <f aca="false">IF(AND($M2055=1,LEFT(对接源_02物料!$D855,4)="原料出库"),1,0)</f>
        <v>0</v>
      </c>
      <c r="AC2055" s="1" t="n">
        <f aca="false">N(AC2054)+$AB2055</f>
        <v>19</v>
      </c>
      <c r="AD2055" s="1" t="n">
        <f aca="false">IF(AND($M2055=1,LEFT(对接源_02物料!$D855,4)="成品出库"),1,0)</f>
        <v>0</v>
      </c>
      <c r="AE2055" s="1" t="n">
        <f aca="false">N(AE2054)+$AD2055</f>
        <v>38</v>
      </c>
      <c r="AF2055" s="1" t="n">
        <f aca="false">IF(AND($N2055=1,AND(LEFT(对接源_02物料!$D855,4)="包装物料",N(对接源_02物料!$K855)&lt;&gt;0)),1,0)</f>
        <v>0</v>
      </c>
      <c r="AG2055" s="1" t="n">
        <f aca="false">N(AG2054)+$AF2055</f>
        <v>6</v>
      </c>
      <c r="AH2055" s="1" t="n">
        <f aca="false">IF(AND($N2055=1,AND(LEFT(对接源_02物料!$D855,3)="周转筐",N(对接源_02物料!$K855)&lt;&gt;0)),1,0)</f>
        <v>0</v>
      </c>
      <c r="AI2055" s="1" t="n">
        <f aca="false">N(AI2054)+$AH2055</f>
        <v>0</v>
      </c>
      <c r="AJ2055" s="1" t="n">
        <v>0</v>
      </c>
      <c r="AK2055" s="1" t="n">
        <f aca="false">N(AK2054)+$AJ2055</f>
        <v>3672</v>
      </c>
    </row>
    <row r="2056" customFormat="false" ht="13.5" hidden="false" customHeight="false" outlineLevel="0" collapsed="false">
      <c r="A2056" s="1" t="str">
        <f aca="false">IF(对接源_02物料!$C856="","",对接源_02物料!$C856)</f>
        <v/>
      </c>
      <c r="B2056" s="1" t="n">
        <f aca="false">IF(A2056="",0,IF(MATCH(A2056,$A$4:$A$2403,0)=ROW()-3,1,0))</f>
        <v>0</v>
      </c>
      <c r="C2056" s="1" t="n">
        <f aca="false">N(C2055)+B2056</f>
        <v>17</v>
      </c>
      <c r="K2056" s="1" t="n">
        <f aca="false">IF(OR($K$1="",对接源_02物料!$C856="",对接源_02物料!$C856&lt;&gt;$K$1,对接源_02物料!$B856=""),0,IF(OR(N(对接源_02物料!$B856)&lt;$K$2,N(对接源_02物料!$B856)&gt;$K$3),0,1))</f>
        <v>0</v>
      </c>
      <c r="L2056" s="1" t="n">
        <f aca="false">IF(OR($L$1="",对接源_02物料!$C856="",对接源_02物料!$C856&lt;&gt;$L$1,对接源_02物料!$B856=""),0,IF(OR(N(对接源_02物料!$B856)&lt;$L$2,N(对接源_02物料!$B856)&gt;$L$3),0,1))</f>
        <v>0</v>
      </c>
      <c r="M2056" s="1" t="n">
        <f aca="false">IF(OR($M$1="",对接源_02物料!$C856="",对接源_02物料!$C856&lt;&gt;$M$1,对接源_02物料!$B856=""),0,IF(OR(N(对接源_02物料!$B856)&lt;$M$2,N(对接源_02物料!$B856)&gt;$M$3),0,1))</f>
        <v>0</v>
      </c>
      <c r="N2056" s="1" t="n">
        <f aca="false">IF(OR($N$1="",对接源_02物料!$C856="",对接源_02物料!$C856&lt;&gt;$N$1,对接源_02物料!$B856=""),0,IF(OR(N(对接源_02物料!$B856)&lt;$N$2,N(对接源_02物料!$B856)&gt;$N$3),0,1))</f>
        <v>0</v>
      </c>
      <c r="P2056" s="1" t="n">
        <f aca="false">IF(AND($K2056=1,AND(对接源_02物料!$X856="公司筐",N(对接源_02物料!$T856)&lt;&gt;0)),1,0)</f>
        <v>0</v>
      </c>
      <c r="Q2056" s="1" t="n">
        <f aca="false">N(Q2055)+$P2056</f>
        <v>13</v>
      </c>
      <c r="R2056" s="1" t="n">
        <f aca="false">IF(AND($K2056=1,AND(对接源_02物料!$X856="公司筐",N(对接源_02物料!$U856)&lt;&gt;0)),1,0)</f>
        <v>0</v>
      </c>
      <c r="S2056" s="1" t="n">
        <f aca="false">N(S2055)+$R2056</f>
        <v>5</v>
      </c>
      <c r="T2056" s="1" t="n">
        <f aca="false">IF(AND($K2056=1,AND(对接源_02物料!$X856="公司筐",N(对接源_02物料!$V856)&lt;&gt;0)),1,0)</f>
        <v>0</v>
      </c>
      <c r="U2056" s="1" t="n">
        <f aca="false">N(U2055)+$T2056</f>
        <v>28</v>
      </c>
      <c r="V2056" s="1" t="n">
        <f aca="false">IF(AND($L2056=1,AND(对接源_02物料!$X856="自备筐",N(对接源_02物料!$V856)&lt;&gt;0)),1,0)</f>
        <v>0</v>
      </c>
      <c r="W2056" s="1" t="n">
        <f aca="false">N(W2055)+$V2056</f>
        <v>7</v>
      </c>
      <c r="X2056" s="1" t="n">
        <f aca="false">IF(AND($L2056=1,AND(对接源_02物料!$X856="自备筐",N(对接源_02物料!$T856)&lt;&gt;0)),1,0)</f>
        <v>0</v>
      </c>
      <c r="Y2056" s="1" t="n">
        <f aca="false">N(Y2055)+$X2056</f>
        <v>0</v>
      </c>
      <c r="Z2056" s="1" t="n">
        <f aca="false">IF(AND($M2056=1,对接源_02物料!$D856="原料入库"),1,0)</f>
        <v>0</v>
      </c>
      <c r="AA2056" s="1" t="n">
        <f aca="false">N(AA2055)+$Z2056</f>
        <v>30</v>
      </c>
      <c r="AB2056" s="1" t="n">
        <f aca="false">IF(AND($M2056=1,LEFT(对接源_02物料!$D856,4)="原料出库"),1,0)</f>
        <v>0</v>
      </c>
      <c r="AC2056" s="1" t="n">
        <f aca="false">N(AC2055)+$AB2056</f>
        <v>19</v>
      </c>
      <c r="AD2056" s="1" t="n">
        <f aca="false">IF(AND($M2056=1,LEFT(对接源_02物料!$D856,4)="成品出库"),1,0)</f>
        <v>0</v>
      </c>
      <c r="AE2056" s="1" t="n">
        <f aca="false">N(AE2055)+$AD2056</f>
        <v>38</v>
      </c>
      <c r="AF2056" s="1" t="n">
        <f aca="false">IF(AND($N2056=1,AND(LEFT(对接源_02物料!$D856,4)="包装物料",N(对接源_02物料!$K856)&lt;&gt;0)),1,0)</f>
        <v>0</v>
      </c>
      <c r="AG2056" s="1" t="n">
        <f aca="false">N(AG2055)+$AF2056</f>
        <v>6</v>
      </c>
      <c r="AH2056" s="1" t="n">
        <f aca="false">IF(AND($N2056=1,AND(LEFT(对接源_02物料!$D856,3)="周转筐",N(对接源_02物料!$K856)&lt;&gt;0)),1,0)</f>
        <v>0</v>
      </c>
      <c r="AI2056" s="1" t="n">
        <f aca="false">N(AI2055)+$AH2056</f>
        <v>0</v>
      </c>
      <c r="AJ2056" s="1" t="n">
        <v>0</v>
      </c>
      <c r="AK2056" s="1" t="n">
        <f aca="false">N(AK2055)+$AJ2056</f>
        <v>3672</v>
      </c>
    </row>
    <row r="2057" customFormat="false" ht="13.5" hidden="false" customHeight="false" outlineLevel="0" collapsed="false">
      <c r="A2057" s="1" t="str">
        <f aca="false">IF(对接源_02物料!$C857="","",对接源_02物料!$C857)</f>
        <v/>
      </c>
      <c r="B2057" s="1" t="n">
        <f aca="false">IF(A2057="",0,IF(MATCH(A2057,$A$4:$A$2403,0)=ROW()-3,1,0))</f>
        <v>0</v>
      </c>
      <c r="C2057" s="1" t="n">
        <f aca="false">N(C2056)+B2057</f>
        <v>17</v>
      </c>
      <c r="K2057" s="1" t="n">
        <f aca="false">IF(OR($K$1="",对接源_02物料!$C857="",对接源_02物料!$C857&lt;&gt;$K$1,对接源_02物料!$B857=""),0,IF(OR(N(对接源_02物料!$B857)&lt;$K$2,N(对接源_02物料!$B857)&gt;$K$3),0,1))</f>
        <v>0</v>
      </c>
      <c r="L2057" s="1" t="n">
        <f aca="false">IF(OR($L$1="",对接源_02物料!$C857="",对接源_02物料!$C857&lt;&gt;$L$1,对接源_02物料!$B857=""),0,IF(OR(N(对接源_02物料!$B857)&lt;$L$2,N(对接源_02物料!$B857)&gt;$L$3),0,1))</f>
        <v>0</v>
      </c>
      <c r="M2057" s="1" t="n">
        <f aca="false">IF(OR($M$1="",对接源_02物料!$C857="",对接源_02物料!$C857&lt;&gt;$M$1,对接源_02物料!$B857=""),0,IF(OR(N(对接源_02物料!$B857)&lt;$M$2,N(对接源_02物料!$B857)&gt;$M$3),0,1))</f>
        <v>0</v>
      </c>
      <c r="N2057" s="1" t="n">
        <f aca="false">IF(OR($N$1="",对接源_02物料!$C857="",对接源_02物料!$C857&lt;&gt;$N$1,对接源_02物料!$B857=""),0,IF(OR(N(对接源_02物料!$B857)&lt;$N$2,N(对接源_02物料!$B857)&gt;$N$3),0,1))</f>
        <v>0</v>
      </c>
      <c r="P2057" s="1" t="n">
        <f aca="false">IF(AND($K2057=1,AND(对接源_02物料!$X857="公司筐",N(对接源_02物料!$T857)&lt;&gt;0)),1,0)</f>
        <v>0</v>
      </c>
      <c r="Q2057" s="1" t="n">
        <f aca="false">N(Q2056)+$P2057</f>
        <v>13</v>
      </c>
      <c r="R2057" s="1" t="n">
        <f aca="false">IF(AND($K2057=1,AND(对接源_02物料!$X857="公司筐",N(对接源_02物料!$U857)&lt;&gt;0)),1,0)</f>
        <v>0</v>
      </c>
      <c r="S2057" s="1" t="n">
        <f aca="false">N(S2056)+$R2057</f>
        <v>5</v>
      </c>
      <c r="T2057" s="1" t="n">
        <f aca="false">IF(AND($K2057=1,AND(对接源_02物料!$X857="公司筐",N(对接源_02物料!$V857)&lt;&gt;0)),1,0)</f>
        <v>0</v>
      </c>
      <c r="U2057" s="1" t="n">
        <f aca="false">N(U2056)+$T2057</f>
        <v>28</v>
      </c>
      <c r="V2057" s="1" t="n">
        <f aca="false">IF(AND($L2057=1,AND(对接源_02物料!$X857="自备筐",N(对接源_02物料!$V857)&lt;&gt;0)),1,0)</f>
        <v>0</v>
      </c>
      <c r="W2057" s="1" t="n">
        <f aca="false">N(W2056)+$V2057</f>
        <v>7</v>
      </c>
      <c r="X2057" s="1" t="n">
        <f aca="false">IF(AND($L2057=1,AND(对接源_02物料!$X857="自备筐",N(对接源_02物料!$T857)&lt;&gt;0)),1,0)</f>
        <v>0</v>
      </c>
      <c r="Y2057" s="1" t="n">
        <f aca="false">N(Y2056)+$X2057</f>
        <v>0</v>
      </c>
      <c r="Z2057" s="1" t="n">
        <f aca="false">IF(AND($M2057=1,对接源_02物料!$D857="原料入库"),1,0)</f>
        <v>0</v>
      </c>
      <c r="AA2057" s="1" t="n">
        <f aca="false">N(AA2056)+$Z2057</f>
        <v>30</v>
      </c>
      <c r="AB2057" s="1" t="n">
        <f aca="false">IF(AND($M2057=1,LEFT(对接源_02物料!$D857,4)="原料出库"),1,0)</f>
        <v>0</v>
      </c>
      <c r="AC2057" s="1" t="n">
        <f aca="false">N(AC2056)+$AB2057</f>
        <v>19</v>
      </c>
      <c r="AD2057" s="1" t="n">
        <f aca="false">IF(AND($M2057=1,LEFT(对接源_02物料!$D857,4)="成品出库"),1,0)</f>
        <v>0</v>
      </c>
      <c r="AE2057" s="1" t="n">
        <f aca="false">N(AE2056)+$AD2057</f>
        <v>38</v>
      </c>
      <c r="AF2057" s="1" t="n">
        <f aca="false">IF(AND($N2057=1,AND(LEFT(对接源_02物料!$D857,4)="包装物料",N(对接源_02物料!$K857)&lt;&gt;0)),1,0)</f>
        <v>0</v>
      </c>
      <c r="AG2057" s="1" t="n">
        <f aca="false">N(AG2056)+$AF2057</f>
        <v>6</v>
      </c>
      <c r="AH2057" s="1" t="n">
        <f aca="false">IF(AND($N2057=1,AND(LEFT(对接源_02物料!$D857,3)="周转筐",N(对接源_02物料!$K857)&lt;&gt;0)),1,0)</f>
        <v>0</v>
      </c>
      <c r="AI2057" s="1" t="n">
        <f aca="false">N(AI2056)+$AH2057</f>
        <v>0</v>
      </c>
      <c r="AJ2057" s="1" t="n">
        <v>0</v>
      </c>
      <c r="AK2057" s="1" t="n">
        <f aca="false">N(AK2056)+$AJ2057</f>
        <v>3672</v>
      </c>
    </row>
    <row r="2058" customFormat="false" ht="13.5" hidden="false" customHeight="false" outlineLevel="0" collapsed="false">
      <c r="A2058" s="1" t="str">
        <f aca="false">IF(对接源_02物料!$C858="","",对接源_02物料!$C858)</f>
        <v/>
      </c>
      <c r="B2058" s="1" t="n">
        <f aca="false">IF(A2058="",0,IF(MATCH(A2058,$A$4:$A$2403,0)=ROW()-3,1,0))</f>
        <v>0</v>
      </c>
      <c r="C2058" s="1" t="n">
        <f aca="false">N(C2057)+B2058</f>
        <v>17</v>
      </c>
      <c r="K2058" s="1" t="n">
        <f aca="false">IF(OR($K$1="",对接源_02物料!$C858="",对接源_02物料!$C858&lt;&gt;$K$1,对接源_02物料!$B858=""),0,IF(OR(N(对接源_02物料!$B858)&lt;$K$2,N(对接源_02物料!$B858)&gt;$K$3),0,1))</f>
        <v>0</v>
      </c>
      <c r="L2058" s="1" t="n">
        <f aca="false">IF(OR($L$1="",对接源_02物料!$C858="",对接源_02物料!$C858&lt;&gt;$L$1,对接源_02物料!$B858=""),0,IF(OR(N(对接源_02物料!$B858)&lt;$L$2,N(对接源_02物料!$B858)&gt;$L$3),0,1))</f>
        <v>0</v>
      </c>
      <c r="M2058" s="1" t="n">
        <f aca="false">IF(OR($M$1="",对接源_02物料!$C858="",对接源_02物料!$C858&lt;&gt;$M$1,对接源_02物料!$B858=""),0,IF(OR(N(对接源_02物料!$B858)&lt;$M$2,N(对接源_02物料!$B858)&gt;$M$3),0,1))</f>
        <v>0</v>
      </c>
      <c r="N2058" s="1" t="n">
        <f aca="false">IF(OR($N$1="",对接源_02物料!$C858="",对接源_02物料!$C858&lt;&gt;$N$1,对接源_02物料!$B858=""),0,IF(OR(N(对接源_02物料!$B858)&lt;$N$2,N(对接源_02物料!$B858)&gt;$N$3),0,1))</f>
        <v>0</v>
      </c>
      <c r="P2058" s="1" t="n">
        <f aca="false">IF(AND($K2058=1,AND(对接源_02物料!$X858="公司筐",N(对接源_02物料!$T858)&lt;&gt;0)),1,0)</f>
        <v>0</v>
      </c>
      <c r="Q2058" s="1" t="n">
        <f aca="false">N(Q2057)+$P2058</f>
        <v>13</v>
      </c>
      <c r="R2058" s="1" t="n">
        <f aca="false">IF(AND($K2058=1,AND(对接源_02物料!$X858="公司筐",N(对接源_02物料!$U858)&lt;&gt;0)),1,0)</f>
        <v>0</v>
      </c>
      <c r="S2058" s="1" t="n">
        <f aca="false">N(S2057)+$R2058</f>
        <v>5</v>
      </c>
      <c r="T2058" s="1" t="n">
        <f aca="false">IF(AND($K2058=1,AND(对接源_02物料!$X858="公司筐",N(对接源_02物料!$V858)&lt;&gt;0)),1,0)</f>
        <v>0</v>
      </c>
      <c r="U2058" s="1" t="n">
        <f aca="false">N(U2057)+$T2058</f>
        <v>28</v>
      </c>
      <c r="V2058" s="1" t="n">
        <f aca="false">IF(AND($L2058=1,AND(对接源_02物料!$X858="自备筐",N(对接源_02物料!$V858)&lt;&gt;0)),1,0)</f>
        <v>0</v>
      </c>
      <c r="W2058" s="1" t="n">
        <f aca="false">N(W2057)+$V2058</f>
        <v>7</v>
      </c>
      <c r="X2058" s="1" t="n">
        <f aca="false">IF(AND($L2058=1,AND(对接源_02物料!$X858="自备筐",N(对接源_02物料!$T858)&lt;&gt;0)),1,0)</f>
        <v>0</v>
      </c>
      <c r="Y2058" s="1" t="n">
        <f aca="false">N(Y2057)+$X2058</f>
        <v>0</v>
      </c>
      <c r="Z2058" s="1" t="n">
        <f aca="false">IF(AND($M2058=1,对接源_02物料!$D858="原料入库"),1,0)</f>
        <v>0</v>
      </c>
      <c r="AA2058" s="1" t="n">
        <f aca="false">N(AA2057)+$Z2058</f>
        <v>30</v>
      </c>
      <c r="AB2058" s="1" t="n">
        <f aca="false">IF(AND($M2058=1,LEFT(对接源_02物料!$D858,4)="原料出库"),1,0)</f>
        <v>0</v>
      </c>
      <c r="AC2058" s="1" t="n">
        <f aca="false">N(AC2057)+$AB2058</f>
        <v>19</v>
      </c>
      <c r="AD2058" s="1" t="n">
        <f aca="false">IF(AND($M2058=1,LEFT(对接源_02物料!$D858,4)="成品出库"),1,0)</f>
        <v>0</v>
      </c>
      <c r="AE2058" s="1" t="n">
        <f aca="false">N(AE2057)+$AD2058</f>
        <v>38</v>
      </c>
      <c r="AF2058" s="1" t="n">
        <f aca="false">IF(AND($N2058=1,AND(LEFT(对接源_02物料!$D858,4)="包装物料",N(对接源_02物料!$K858)&lt;&gt;0)),1,0)</f>
        <v>0</v>
      </c>
      <c r="AG2058" s="1" t="n">
        <f aca="false">N(AG2057)+$AF2058</f>
        <v>6</v>
      </c>
      <c r="AH2058" s="1" t="n">
        <f aca="false">IF(AND($N2058=1,AND(LEFT(对接源_02物料!$D858,3)="周转筐",N(对接源_02物料!$K858)&lt;&gt;0)),1,0)</f>
        <v>0</v>
      </c>
      <c r="AI2058" s="1" t="n">
        <f aca="false">N(AI2057)+$AH2058</f>
        <v>0</v>
      </c>
      <c r="AJ2058" s="1" t="n">
        <v>0</v>
      </c>
      <c r="AK2058" s="1" t="n">
        <f aca="false">N(AK2057)+$AJ2058</f>
        <v>3672</v>
      </c>
    </row>
    <row r="2059" customFormat="false" ht="13.5" hidden="false" customHeight="false" outlineLevel="0" collapsed="false">
      <c r="A2059" s="1" t="str">
        <f aca="false">IF(对接源_02物料!$C859="","",对接源_02物料!$C859)</f>
        <v/>
      </c>
      <c r="B2059" s="1" t="n">
        <f aca="false">IF(A2059="",0,IF(MATCH(A2059,$A$4:$A$2403,0)=ROW()-3,1,0))</f>
        <v>0</v>
      </c>
      <c r="C2059" s="1" t="n">
        <f aca="false">N(C2058)+B2059</f>
        <v>17</v>
      </c>
      <c r="K2059" s="1" t="n">
        <f aca="false">IF(OR($K$1="",对接源_02物料!$C859="",对接源_02物料!$C859&lt;&gt;$K$1,对接源_02物料!$B859=""),0,IF(OR(N(对接源_02物料!$B859)&lt;$K$2,N(对接源_02物料!$B859)&gt;$K$3),0,1))</f>
        <v>0</v>
      </c>
      <c r="L2059" s="1" t="n">
        <f aca="false">IF(OR($L$1="",对接源_02物料!$C859="",对接源_02物料!$C859&lt;&gt;$L$1,对接源_02物料!$B859=""),0,IF(OR(N(对接源_02物料!$B859)&lt;$L$2,N(对接源_02物料!$B859)&gt;$L$3),0,1))</f>
        <v>0</v>
      </c>
      <c r="M2059" s="1" t="n">
        <f aca="false">IF(OR($M$1="",对接源_02物料!$C859="",对接源_02物料!$C859&lt;&gt;$M$1,对接源_02物料!$B859=""),0,IF(OR(N(对接源_02物料!$B859)&lt;$M$2,N(对接源_02物料!$B859)&gt;$M$3),0,1))</f>
        <v>0</v>
      </c>
      <c r="N2059" s="1" t="n">
        <f aca="false">IF(OR($N$1="",对接源_02物料!$C859="",对接源_02物料!$C859&lt;&gt;$N$1,对接源_02物料!$B859=""),0,IF(OR(N(对接源_02物料!$B859)&lt;$N$2,N(对接源_02物料!$B859)&gt;$N$3),0,1))</f>
        <v>0</v>
      </c>
      <c r="P2059" s="1" t="n">
        <f aca="false">IF(AND($K2059=1,AND(对接源_02物料!$X859="公司筐",N(对接源_02物料!$T859)&lt;&gt;0)),1,0)</f>
        <v>0</v>
      </c>
      <c r="Q2059" s="1" t="n">
        <f aca="false">N(Q2058)+$P2059</f>
        <v>13</v>
      </c>
      <c r="R2059" s="1" t="n">
        <f aca="false">IF(AND($K2059=1,AND(对接源_02物料!$X859="公司筐",N(对接源_02物料!$U859)&lt;&gt;0)),1,0)</f>
        <v>0</v>
      </c>
      <c r="S2059" s="1" t="n">
        <f aca="false">N(S2058)+$R2059</f>
        <v>5</v>
      </c>
      <c r="T2059" s="1" t="n">
        <f aca="false">IF(AND($K2059=1,AND(对接源_02物料!$X859="公司筐",N(对接源_02物料!$V859)&lt;&gt;0)),1,0)</f>
        <v>0</v>
      </c>
      <c r="U2059" s="1" t="n">
        <f aca="false">N(U2058)+$T2059</f>
        <v>28</v>
      </c>
      <c r="V2059" s="1" t="n">
        <f aca="false">IF(AND($L2059=1,AND(对接源_02物料!$X859="自备筐",N(对接源_02物料!$V859)&lt;&gt;0)),1,0)</f>
        <v>0</v>
      </c>
      <c r="W2059" s="1" t="n">
        <f aca="false">N(W2058)+$V2059</f>
        <v>7</v>
      </c>
      <c r="X2059" s="1" t="n">
        <f aca="false">IF(AND($L2059=1,AND(对接源_02物料!$X859="自备筐",N(对接源_02物料!$T859)&lt;&gt;0)),1,0)</f>
        <v>0</v>
      </c>
      <c r="Y2059" s="1" t="n">
        <f aca="false">N(Y2058)+$X2059</f>
        <v>0</v>
      </c>
      <c r="Z2059" s="1" t="n">
        <f aca="false">IF(AND($M2059=1,对接源_02物料!$D859="原料入库"),1,0)</f>
        <v>0</v>
      </c>
      <c r="AA2059" s="1" t="n">
        <f aca="false">N(AA2058)+$Z2059</f>
        <v>30</v>
      </c>
      <c r="AB2059" s="1" t="n">
        <f aca="false">IF(AND($M2059=1,LEFT(对接源_02物料!$D859,4)="原料出库"),1,0)</f>
        <v>0</v>
      </c>
      <c r="AC2059" s="1" t="n">
        <f aca="false">N(AC2058)+$AB2059</f>
        <v>19</v>
      </c>
      <c r="AD2059" s="1" t="n">
        <f aca="false">IF(AND($M2059=1,LEFT(对接源_02物料!$D859,4)="成品出库"),1,0)</f>
        <v>0</v>
      </c>
      <c r="AE2059" s="1" t="n">
        <f aca="false">N(AE2058)+$AD2059</f>
        <v>38</v>
      </c>
      <c r="AF2059" s="1" t="n">
        <f aca="false">IF(AND($N2059=1,AND(LEFT(对接源_02物料!$D859,4)="包装物料",N(对接源_02物料!$K859)&lt;&gt;0)),1,0)</f>
        <v>0</v>
      </c>
      <c r="AG2059" s="1" t="n">
        <f aca="false">N(AG2058)+$AF2059</f>
        <v>6</v>
      </c>
      <c r="AH2059" s="1" t="n">
        <f aca="false">IF(AND($N2059=1,AND(LEFT(对接源_02物料!$D859,3)="周转筐",N(对接源_02物料!$K859)&lt;&gt;0)),1,0)</f>
        <v>0</v>
      </c>
      <c r="AI2059" s="1" t="n">
        <f aca="false">N(AI2058)+$AH2059</f>
        <v>0</v>
      </c>
      <c r="AJ2059" s="1" t="n">
        <v>0</v>
      </c>
      <c r="AK2059" s="1" t="n">
        <f aca="false">N(AK2058)+$AJ2059</f>
        <v>3672</v>
      </c>
    </row>
    <row r="2060" customFormat="false" ht="13.5" hidden="false" customHeight="false" outlineLevel="0" collapsed="false">
      <c r="A2060" s="1" t="str">
        <f aca="false">IF(对接源_02物料!$C860="","",对接源_02物料!$C860)</f>
        <v/>
      </c>
      <c r="B2060" s="1" t="n">
        <f aca="false">IF(A2060="",0,IF(MATCH(A2060,$A$4:$A$2403,0)=ROW()-3,1,0))</f>
        <v>0</v>
      </c>
      <c r="C2060" s="1" t="n">
        <f aca="false">N(C2059)+B2060</f>
        <v>17</v>
      </c>
      <c r="K2060" s="1" t="n">
        <f aca="false">IF(OR($K$1="",对接源_02物料!$C860="",对接源_02物料!$C860&lt;&gt;$K$1,对接源_02物料!$B860=""),0,IF(OR(N(对接源_02物料!$B860)&lt;$K$2,N(对接源_02物料!$B860)&gt;$K$3),0,1))</f>
        <v>0</v>
      </c>
      <c r="L2060" s="1" t="n">
        <f aca="false">IF(OR($L$1="",对接源_02物料!$C860="",对接源_02物料!$C860&lt;&gt;$L$1,对接源_02物料!$B860=""),0,IF(OR(N(对接源_02物料!$B860)&lt;$L$2,N(对接源_02物料!$B860)&gt;$L$3),0,1))</f>
        <v>0</v>
      </c>
      <c r="M2060" s="1" t="n">
        <f aca="false">IF(OR($M$1="",对接源_02物料!$C860="",对接源_02物料!$C860&lt;&gt;$M$1,对接源_02物料!$B860=""),0,IF(OR(N(对接源_02物料!$B860)&lt;$M$2,N(对接源_02物料!$B860)&gt;$M$3),0,1))</f>
        <v>0</v>
      </c>
      <c r="N2060" s="1" t="n">
        <f aca="false">IF(OR($N$1="",对接源_02物料!$C860="",对接源_02物料!$C860&lt;&gt;$N$1,对接源_02物料!$B860=""),0,IF(OR(N(对接源_02物料!$B860)&lt;$N$2,N(对接源_02物料!$B860)&gt;$N$3),0,1))</f>
        <v>0</v>
      </c>
      <c r="P2060" s="1" t="n">
        <f aca="false">IF(AND($K2060=1,AND(对接源_02物料!$X860="公司筐",N(对接源_02物料!$T860)&lt;&gt;0)),1,0)</f>
        <v>0</v>
      </c>
      <c r="Q2060" s="1" t="n">
        <f aca="false">N(Q2059)+$P2060</f>
        <v>13</v>
      </c>
      <c r="R2060" s="1" t="n">
        <f aca="false">IF(AND($K2060=1,AND(对接源_02物料!$X860="公司筐",N(对接源_02物料!$U860)&lt;&gt;0)),1,0)</f>
        <v>0</v>
      </c>
      <c r="S2060" s="1" t="n">
        <f aca="false">N(S2059)+$R2060</f>
        <v>5</v>
      </c>
      <c r="T2060" s="1" t="n">
        <f aca="false">IF(AND($K2060=1,AND(对接源_02物料!$X860="公司筐",N(对接源_02物料!$V860)&lt;&gt;0)),1,0)</f>
        <v>0</v>
      </c>
      <c r="U2060" s="1" t="n">
        <f aca="false">N(U2059)+$T2060</f>
        <v>28</v>
      </c>
      <c r="V2060" s="1" t="n">
        <f aca="false">IF(AND($L2060=1,AND(对接源_02物料!$X860="自备筐",N(对接源_02物料!$V860)&lt;&gt;0)),1,0)</f>
        <v>0</v>
      </c>
      <c r="W2060" s="1" t="n">
        <f aca="false">N(W2059)+$V2060</f>
        <v>7</v>
      </c>
      <c r="X2060" s="1" t="n">
        <f aca="false">IF(AND($L2060=1,AND(对接源_02物料!$X860="自备筐",N(对接源_02物料!$T860)&lt;&gt;0)),1,0)</f>
        <v>0</v>
      </c>
      <c r="Y2060" s="1" t="n">
        <f aca="false">N(Y2059)+$X2060</f>
        <v>0</v>
      </c>
      <c r="Z2060" s="1" t="n">
        <f aca="false">IF(AND($M2060=1,对接源_02物料!$D860="原料入库"),1,0)</f>
        <v>0</v>
      </c>
      <c r="AA2060" s="1" t="n">
        <f aca="false">N(AA2059)+$Z2060</f>
        <v>30</v>
      </c>
      <c r="AB2060" s="1" t="n">
        <f aca="false">IF(AND($M2060=1,LEFT(对接源_02物料!$D860,4)="原料出库"),1,0)</f>
        <v>0</v>
      </c>
      <c r="AC2060" s="1" t="n">
        <f aca="false">N(AC2059)+$AB2060</f>
        <v>19</v>
      </c>
      <c r="AD2060" s="1" t="n">
        <f aca="false">IF(AND($M2060=1,LEFT(对接源_02物料!$D860,4)="成品出库"),1,0)</f>
        <v>0</v>
      </c>
      <c r="AE2060" s="1" t="n">
        <f aca="false">N(AE2059)+$AD2060</f>
        <v>38</v>
      </c>
      <c r="AF2060" s="1" t="n">
        <f aca="false">IF(AND($N2060=1,AND(LEFT(对接源_02物料!$D860,4)="包装物料",N(对接源_02物料!$K860)&lt;&gt;0)),1,0)</f>
        <v>0</v>
      </c>
      <c r="AG2060" s="1" t="n">
        <f aca="false">N(AG2059)+$AF2060</f>
        <v>6</v>
      </c>
      <c r="AH2060" s="1" t="n">
        <f aca="false">IF(AND($N2060=1,AND(LEFT(对接源_02物料!$D860,3)="周转筐",N(对接源_02物料!$K860)&lt;&gt;0)),1,0)</f>
        <v>0</v>
      </c>
      <c r="AI2060" s="1" t="n">
        <f aca="false">N(AI2059)+$AH2060</f>
        <v>0</v>
      </c>
      <c r="AJ2060" s="1" t="n">
        <v>0</v>
      </c>
      <c r="AK2060" s="1" t="n">
        <f aca="false">N(AK2059)+$AJ2060</f>
        <v>3672</v>
      </c>
    </row>
    <row r="2061" customFormat="false" ht="13.5" hidden="false" customHeight="false" outlineLevel="0" collapsed="false">
      <c r="A2061" s="1" t="str">
        <f aca="false">IF(对接源_02物料!$C861="","",对接源_02物料!$C861)</f>
        <v/>
      </c>
      <c r="B2061" s="1" t="n">
        <f aca="false">IF(A2061="",0,IF(MATCH(A2061,$A$4:$A$2403,0)=ROW()-3,1,0))</f>
        <v>0</v>
      </c>
      <c r="C2061" s="1" t="n">
        <f aca="false">N(C2060)+B2061</f>
        <v>17</v>
      </c>
      <c r="K2061" s="1" t="n">
        <f aca="false">IF(OR($K$1="",对接源_02物料!$C861="",对接源_02物料!$C861&lt;&gt;$K$1,对接源_02物料!$B861=""),0,IF(OR(N(对接源_02物料!$B861)&lt;$K$2,N(对接源_02物料!$B861)&gt;$K$3),0,1))</f>
        <v>0</v>
      </c>
      <c r="L2061" s="1" t="n">
        <f aca="false">IF(OR($L$1="",对接源_02物料!$C861="",对接源_02物料!$C861&lt;&gt;$L$1,对接源_02物料!$B861=""),0,IF(OR(N(对接源_02物料!$B861)&lt;$L$2,N(对接源_02物料!$B861)&gt;$L$3),0,1))</f>
        <v>0</v>
      </c>
      <c r="M2061" s="1" t="n">
        <f aca="false">IF(OR($M$1="",对接源_02物料!$C861="",对接源_02物料!$C861&lt;&gt;$M$1,对接源_02物料!$B861=""),0,IF(OR(N(对接源_02物料!$B861)&lt;$M$2,N(对接源_02物料!$B861)&gt;$M$3),0,1))</f>
        <v>0</v>
      </c>
      <c r="N2061" s="1" t="n">
        <f aca="false">IF(OR($N$1="",对接源_02物料!$C861="",对接源_02物料!$C861&lt;&gt;$N$1,对接源_02物料!$B861=""),0,IF(OR(N(对接源_02物料!$B861)&lt;$N$2,N(对接源_02物料!$B861)&gt;$N$3),0,1))</f>
        <v>0</v>
      </c>
      <c r="P2061" s="1" t="n">
        <f aca="false">IF(AND($K2061=1,AND(对接源_02物料!$X861="公司筐",N(对接源_02物料!$T861)&lt;&gt;0)),1,0)</f>
        <v>0</v>
      </c>
      <c r="Q2061" s="1" t="n">
        <f aca="false">N(Q2060)+$P2061</f>
        <v>13</v>
      </c>
      <c r="R2061" s="1" t="n">
        <f aca="false">IF(AND($K2061=1,AND(对接源_02物料!$X861="公司筐",N(对接源_02物料!$U861)&lt;&gt;0)),1,0)</f>
        <v>0</v>
      </c>
      <c r="S2061" s="1" t="n">
        <f aca="false">N(S2060)+$R2061</f>
        <v>5</v>
      </c>
      <c r="T2061" s="1" t="n">
        <f aca="false">IF(AND($K2061=1,AND(对接源_02物料!$X861="公司筐",N(对接源_02物料!$V861)&lt;&gt;0)),1,0)</f>
        <v>0</v>
      </c>
      <c r="U2061" s="1" t="n">
        <f aca="false">N(U2060)+$T2061</f>
        <v>28</v>
      </c>
      <c r="V2061" s="1" t="n">
        <f aca="false">IF(AND($L2061=1,AND(对接源_02物料!$X861="自备筐",N(对接源_02物料!$V861)&lt;&gt;0)),1,0)</f>
        <v>0</v>
      </c>
      <c r="W2061" s="1" t="n">
        <f aca="false">N(W2060)+$V2061</f>
        <v>7</v>
      </c>
      <c r="X2061" s="1" t="n">
        <f aca="false">IF(AND($L2061=1,AND(对接源_02物料!$X861="自备筐",N(对接源_02物料!$T861)&lt;&gt;0)),1,0)</f>
        <v>0</v>
      </c>
      <c r="Y2061" s="1" t="n">
        <f aca="false">N(Y2060)+$X2061</f>
        <v>0</v>
      </c>
      <c r="Z2061" s="1" t="n">
        <f aca="false">IF(AND($M2061=1,对接源_02物料!$D861="原料入库"),1,0)</f>
        <v>0</v>
      </c>
      <c r="AA2061" s="1" t="n">
        <f aca="false">N(AA2060)+$Z2061</f>
        <v>30</v>
      </c>
      <c r="AB2061" s="1" t="n">
        <f aca="false">IF(AND($M2061=1,LEFT(对接源_02物料!$D861,4)="原料出库"),1,0)</f>
        <v>0</v>
      </c>
      <c r="AC2061" s="1" t="n">
        <f aca="false">N(AC2060)+$AB2061</f>
        <v>19</v>
      </c>
      <c r="AD2061" s="1" t="n">
        <f aca="false">IF(AND($M2061=1,LEFT(对接源_02物料!$D861,4)="成品出库"),1,0)</f>
        <v>0</v>
      </c>
      <c r="AE2061" s="1" t="n">
        <f aca="false">N(AE2060)+$AD2061</f>
        <v>38</v>
      </c>
      <c r="AF2061" s="1" t="n">
        <f aca="false">IF(AND($N2061=1,AND(LEFT(对接源_02物料!$D861,4)="包装物料",N(对接源_02物料!$K861)&lt;&gt;0)),1,0)</f>
        <v>0</v>
      </c>
      <c r="AG2061" s="1" t="n">
        <f aca="false">N(AG2060)+$AF2061</f>
        <v>6</v>
      </c>
      <c r="AH2061" s="1" t="n">
        <f aca="false">IF(AND($N2061=1,AND(LEFT(对接源_02物料!$D861,3)="周转筐",N(对接源_02物料!$K861)&lt;&gt;0)),1,0)</f>
        <v>0</v>
      </c>
      <c r="AI2061" s="1" t="n">
        <f aca="false">N(AI2060)+$AH2061</f>
        <v>0</v>
      </c>
      <c r="AJ2061" s="1" t="n">
        <v>0</v>
      </c>
      <c r="AK2061" s="1" t="n">
        <f aca="false">N(AK2060)+$AJ2061</f>
        <v>3672</v>
      </c>
    </row>
    <row r="2062" customFormat="false" ht="13.5" hidden="false" customHeight="false" outlineLevel="0" collapsed="false">
      <c r="A2062" s="1" t="str">
        <f aca="false">IF(对接源_02物料!$C862="","",对接源_02物料!$C862)</f>
        <v/>
      </c>
      <c r="B2062" s="1" t="n">
        <f aca="false">IF(A2062="",0,IF(MATCH(A2062,$A$4:$A$2403,0)=ROW()-3,1,0))</f>
        <v>0</v>
      </c>
      <c r="C2062" s="1" t="n">
        <f aca="false">N(C2061)+B2062</f>
        <v>17</v>
      </c>
      <c r="K2062" s="1" t="n">
        <f aca="false">IF(OR($K$1="",对接源_02物料!$C862="",对接源_02物料!$C862&lt;&gt;$K$1,对接源_02物料!$B862=""),0,IF(OR(N(对接源_02物料!$B862)&lt;$K$2,N(对接源_02物料!$B862)&gt;$K$3),0,1))</f>
        <v>0</v>
      </c>
      <c r="L2062" s="1" t="n">
        <f aca="false">IF(OR($L$1="",对接源_02物料!$C862="",对接源_02物料!$C862&lt;&gt;$L$1,对接源_02物料!$B862=""),0,IF(OR(N(对接源_02物料!$B862)&lt;$L$2,N(对接源_02物料!$B862)&gt;$L$3),0,1))</f>
        <v>0</v>
      </c>
      <c r="M2062" s="1" t="n">
        <f aca="false">IF(OR($M$1="",对接源_02物料!$C862="",对接源_02物料!$C862&lt;&gt;$M$1,对接源_02物料!$B862=""),0,IF(OR(N(对接源_02物料!$B862)&lt;$M$2,N(对接源_02物料!$B862)&gt;$M$3),0,1))</f>
        <v>0</v>
      </c>
      <c r="N2062" s="1" t="n">
        <f aca="false">IF(OR($N$1="",对接源_02物料!$C862="",对接源_02物料!$C862&lt;&gt;$N$1,对接源_02物料!$B862=""),0,IF(OR(N(对接源_02物料!$B862)&lt;$N$2,N(对接源_02物料!$B862)&gt;$N$3),0,1))</f>
        <v>0</v>
      </c>
      <c r="P2062" s="1" t="n">
        <f aca="false">IF(AND($K2062=1,AND(对接源_02物料!$X862="公司筐",N(对接源_02物料!$T862)&lt;&gt;0)),1,0)</f>
        <v>0</v>
      </c>
      <c r="Q2062" s="1" t="n">
        <f aca="false">N(Q2061)+$P2062</f>
        <v>13</v>
      </c>
      <c r="R2062" s="1" t="n">
        <f aca="false">IF(AND($K2062=1,AND(对接源_02物料!$X862="公司筐",N(对接源_02物料!$U862)&lt;&gt;0)),1,0)</f>
        <v>0</v>
      </c>
      <c r="S2062" s="1" t="n">
        <f aca="false">N(S2061)+$R2062</f>
        <v>5</v>
      </c>
      <c r="T2062" s="1" t="n">
        <f aca="false">IF(AND($K2062=1,AND(对接源_02物料!$X862="公司筐",N(对接源_02物料!$V862)&lt;&gt;0)),1,0)</f>
        <v>0</v>
      </c>
      <c r="U2062" s="1" t="n">
        <f aca="false">N(U2061)+$T2062</f>
        <v>28</v>
      </c>
      <c r="V2062" s="1" t="n">
        <f aca="false">IF(AND($L2062=1,AND(对接源_02物料!$X862="自备筐",N(对接源_02物料!$V862)&lt;&gt;0)),1,0)</f>
        <v>0</v>
      </c>
      <c r="W2062" s="1" t="n">
        <f aca="false">N(W2061)+$V2062</f>
        <v>7</v>
      </c>
      <c r="X2062" s="1" t="n">
        <f aca="false">IF(AND($L2062=1,AND(对接源_02物料!$X862="自备筐",N(对接源_02物料!$T862)&lt;&gt;0)),1,0)</f>
        <v>0</v>
      </c>
      <c r="Y2062" s="1" t="n">
        <f aca="false">N(Y2061)+$X2062</f>
        <v>0</v>
      </c>
      <c r="Z2062" s="1" t="n">
        <f aca="false">IF(AND($M2062=1,对接源_02物料!$D862="原料入库"),1,0)</f>
        <v>0</v>
      </c>
      <c r="AA2062" s="1" t="n">
        <f aca="false">N(AA2061)+$Z2062</f>
        <v>30</v>
      </c>
      <c r="AB2062" s="1" t="n">
        <f aca="false">IF(AND($M2062=1,LEFT(对接源_02物料!$D862,4)="原料出库"),1,0)</f>
        <v>0</v>
      </c>
      <c r="AC2062" s="1" t="n">
        <f aca="false">N(AC2061)+$AB2062</f>
        <v>19</v>
      </c>
      <c r="AD2062" s="1" t="n">
        <f aca="false">IF(AND($M2062=1,LEFT(对接源_02物料!$D862,4)="成品出库"),1,0)</f>
        <v>0</v>
      </c>
      <c r="AE2062" s="1" t="n">
        <f aca="false">N(AE2061)+$AD2062</f>
        <v>38</v>
      </c>
      <c r="AF2062" s="1" t="n">
        <f aca="false">IF(AND($N2062=1,AND(LEFT(对接源_02物料!$D862,4)="包装物料",N(对接源_02物料!$K862)&lt;&gt;0)),1,0)</f>
        <v>0</v>
      </c>
      <c r="AG2062" s="1" t="n">
        <f aca="false">N(AG2061)+$AF2062</f>
        <v>6</v>
      </c>
      <c r="AH2062" s="1" t="n">
        <f aca="false">IF(AND($N2062=1,AND(LEFT(对接源_02物料!$D862,3)="周转筐",N(对接源_02物料!$K862)&lt;&gt;0)),1,0)</f>
        <v>0</v>
      </c>
      <c r="AI2062" s="1" t="n">
        <f aca="false">N(AI2061)+$AH2062</f>
        <v>0</v>
      </c>
      <c r="AJ2062" s="1" t="n">
        <v>0</v>
      </c>
      <c r="AK2062" s="1" t="n">
        <f aca="false">N(AK2061)+$AJ2062</f>
        <v>3672</v>
      </c>
    </row>
    <row r="2063" customFormat="false" ht="13.5" hidden="false" customHeight="false" outlineLevel="0" collapsed="false">
      <c r="A2063" s="1" t="str">
        <f aca="false">IF(对接源_02物料!$C863="","",对接源_02物料!$C863)</f>
        <v/>
      </c>
      <c r="B2063" s="1" t="n">
        <f aca="false">IF(A2063="",0,IF(MATCH(A2063,$A$4:$A$2403,0)=ROW()-3,1,0))</f>
        <v>0</v>
      </c>
      <c r="C2063" s="1" t="n">
        <f aca="false">N(C2062)+B2063</f>
        <v>17</v>
      </c>
      <c r="K2063" s="1" t="n">
        <f aca="false">IF(OR($K$1="",对接源_02物料!$C863="",对接源_02物料!$C863&lt;&gt;$K$1,对接源_02物料!$B863=""),0,IF(OR(N(对接源_02物料!$B863)&lt;$K$2,N(对接源_02物料!$B863)&gt;$K$3),0,1))</f>
        <v>0</v>
      </c>
      <c r="L2063" s="1" t="n">
        <f aca="false">IF(OR($L$1="",对接源_02物料!$C863="",对接源_02物料!$C863&lt;&gt;$L$1,对接源_02物料!$B863=""),0,IF(OR(N(对接源_02物料!$B863)&lt;$L$2,N(对接源_02物料!$B863)&gt;$L$3),0,1))</f>
        <v>0</v>
      </c>
      <c r="M2063" s="1" t="n">
        <f aca="false">IF(OR($M$1="",对接源_02物料!$C863="",对接源_02物料!$C863&lt;&gt;$M$1,对接源_02物料!$B863=""),0,IF(OR(N(对接源_02物料!$B863)&lt;$M$2,N(对接源_02物料!$B863)&gt;$M$3),0,1))</f>
        <v>0</v>
      </c>
      <c r="N2063" s="1" t="n">
        <f aca="false">IF(OR($N$1="",对接源_02物料!$C863="",对接源_02物料!$C863&lt;&gt;$N$1,对接源_02物料!$B863=""),0,IF(OR(N(对接源_02物料!$B863)&lt;$N$2,N(对接源_02物料!$B863)&gt;$N$3),0,1))</f>
        <v>0</v>
      </c>
      <c r="P2063" s="1" t="n">
        <f aca="false">IF(AND($K2063=1,AND(对接源_02物料!$X863="公司筐",N(对接源_02物料!$T863)&lt;&gt;0)),1,0)</f>
        <v>0</v>
      </c>
      <c r="Q2063" s="1" t="n">
        <f aca="false">N(Q2062)+$P2063</f>
        <v>13</v>
      </c>
      <c r="R2063" s="1" t="n">
        <f aca="false">IF(AND($K2063=1,AND(对接源_02物料!$X863="公司筐",N(对接源_02物料!$U863)&lt;&gt;0)),1,0)</f>
        <v>0</v>
      </c>
      <c r="S2063" s="1" t="n">
        <f aca="false">N(S2062)+$R2063</f>
        <v>5</v>
      </c>
      <c r="T2063" s="1" t="n">
        <f aca="false">IF(AND($K2063=1,AND(对接源_02物料!$X863="公司筐",N(对接源_02物料!$V863)&lt;&gt;0)),1,0)</f>
        <v>0</v>
      </c>
      <c r="U2063" s="1" t="n">
        <f aca="false">N(U2062)+$T2063</f>
        <v>28</v>
      </c>
      <c r="V2063" s="1" t="n">
        <f aca="false">IF(AND($L2063=1,AND(对接源_02物料!$X863="自备筐",N(对接源_02物料!$V863)&lt;&gt;0)),1,0)</f>
        <v>0</v>
      </c>
      <c r="W2063" s="1" t="n">
        <f aca="false">N(W2062)+$V2063</f>
        <v>7</v>
      </c>
      <c r="X2063" s="1" t="n">
        <f aca="false">IF(AND($L2063=1,AND(对接源_02物料!$X863="自备筐",N(对接源_02物料!$T863)&lt;&gt;0)),1,0)</f>
        <v>0</v>
      </c>
      <c r="Y2063" s="1" t="n">
        <f aca="false">N(Y2062)+$X2063</f>
        <v>0</v>
      </c>
      <c r="Z2063" s="1" t="n">
        <f aca="false">IF(AND($M2063=1,对接源_02物料!$D863="原料入库"),1,0)</f>
        <v>0</v>
      </c>
      <c r="AA2063" s="1" t="n">
        <f aca="false">N(AA2062)+$Z2063</f>
        <v>30</v>
      </c>
      <c r="AB2063" s="1" t="n">
        <f aca="false">IF(AND($M2063=1,LEFT(对接源_02物料!$D863,4)="原料出库"),1,0)</f>
        <v>0</v>
      </c>
      <c r="AC2063" s="1" t="n">
        <f aca="false">N(AC2062)+$AB2063</f>
        <v>19</v>
      </c>
      <c r="AD2063" s="1" t="n">
        <f aca="false">IF(AND($M2063=1,LEFT(对接源_02物料!$D863,4)="成品出库"),1,0)</f>
        <v>0</v>
      </c>
      <c r="AE2063" s="1" t="n">
        <f aca="false">N(AE2062)+$AD2063</f>
        <v>38</v>
      </c>
      <c r="AF2063" s="1" t="n">
        <f aca="false">IF(AND($N2063=1,AND(LEFT(对接源_02物料!$D863,4)="包装物料",N(对接源_02物料!$K863)&lt;&gt;0)),1,0)</f>
        <v>0</v>
      </c>
      <c r="AG2063" s="1" t="n">
        <f aca="false">N(AG2062)+$AF2063</f>
        <v>6</v>
      </c>
      <c r="AH2063" s="1" t="n">
        <f aca="false">IF(AND($N2063=1,AND(LEFT(对接源_02物料!$D863,3)="周转筐",N(对接源_02物料!$K863)&lt;&gt;0)),1,0)</f>
        <v>0</v>
      </c>
      <c r="AI2063" s="1" t="n">
        <f aca="false">N(AI2062)+$AH2063</f>
        <v>0</v>
      </c>
      <c r="AJ2063" s="1" t="n">
        <v>0</v>
      </c>
      <c r="AK2063" s="1" t="n">
        <f aca="false">N(AK2062)+$AJ2063</f>
        <v>3672</v>
      </c>
    </row>
    <row r="2064" customFormat="false" ht="13.5" hidden="false" customHeight="false" outlineLevel="0" collapsed="false">
      <c r="A2064" s="1" t="str">
        <f aca="false">IF(对接源_02物料!$C864="","",对接源_02物料!$C864)</f>
        <v/>
      </c>
      <c r="B2064" s="1" t="n">
        <f aca="false">IF(A2064="",0,IF(MATCH(A2064,$A$4:$A$2403,0)=ROW()-3,1,0))</f>
        <v>0</v>
      </c>
      <c r="C2064" s="1" t="n">
        <f aca="false">N(C2063)+B2064</f>
        <v>17</v>
      </c>
      <c r="K2064" s="1" t="n">
        <f aca="false">IF(OR($K$1="",对接源_02物料!$C864="",对接源_02物料!$C864&lt;&gt;$K$1,对接源_02物料!$B864=""),0,IF(OR(N(对接源_02物料!$B864)&lt;$K$2,N(对接源_02物料!$B864)&gt;$K$3),0,1))</f>
        <v>0</v>
      </c>
      <c r="L2064" s="1" t="n">
        <f aca="false">IF(OR($L$1="",对接源_02物料!$C864="",对接源_02物料!$C864&lt;&gt;$L$1,对接源_02物料!$B864=""),0,IF(OR(N(对接源_02物料!$B864)&lt;$L$2,N(对接源_02物料!$B864)&gt;$L$3),0,1))</f>
        <v>0</v>
      </c>
      <c r="M2064" s="1" t="n">
        <f aca="false">IF(OR($M$1="",对接源_02物料!$C864="",对接源_02物料!$C864&lt;&gt;$M$1,对接源_02物料!$B864=""),0,IF(OR(N(对接源_02物料!$B864)&lt;$M$2,N(对接源_02物料!$B864)&gt;$M$3),0,1))</f>
        <v>0</v>
      </c>
      <c r="N2064" s="1" t="n">
        <f aca="false">IF(OR($N$1="",对接源_02物料!$C864="",对接源_02物料!$C864&lt;&gt;$N$1,对接源_02物料!$B864=""),0,IF(OR(N(对接源_02物料!$B864)&lt;$N$2,N(对接源_02物料!$B864)&gt;$N$3),0,1))</f>
        <v>0</v>
      </c>
      <c r="P2064" s="1" t="n">
        <f aca="false">IF(AND($K2064=1,AND(对接源_02物料!$X864="公司筐",N(对接源_02物料!$T864)&lt;&gt;0)),1,0)</f>
        <v>0</v>
      </c>
      <c r="Q2064" s="1" t="n">
        <f aca="false">N(Q2063)+$P2064</f>
        <v>13</v>
      </c>
      <c r="R2064" s="1" t="n">
        <f aca="false">IF(AND($K2064=1,AND(对接源_02物料!$X864="公司筐",N(对接源_02物料!$U864)&lt;&gt;0)),1,0)</f>
        <v>0</v>
      </c>
      <c r="S2064" s="1" t="n">
        <f aca="false">N(S2063)+$R2064</f>
        <v>5</v>
      </c>
      <c r="T2064" s="1" t="n">
        <f aca="false">IF(AND($K2064=1,AND(对接源_02物料!$X864="公司筐",N(对接源_02物料!$V864)&lt;&gt;0)),1,0)</f>
        <v>0</v>
      </c>
      <c r="U2064" s="1" t="n">
        <f aca="false">N(U2063)+$T2064</f>
        <v>28</v>
      </c>
      <c r="V2064" s="1" t="n">
        <f aca="false">IF(AND($L2064=1,AND(对接源_02物料!$X864="自备筐",N(对接源_02物料!$V864)&lt;&gt;0)),1,0)</f>
        <v>0</v>
      </c>
      <c r="W2064" s="1" t="n">
        <f aca="false">N(W2063)+$V2064</f>
        <v>7</v>
      </c>
      <c r="X2064" s="1" t="n">
        <f aca="false">IF(AND($L2064=1,AND(对接源_02物料!$X864="自备筐",N(对接源_02物料!$T864)&lt;&gt;0)),1,0)</f>
        <v>0</v>
      </c>
      <c r="Y2064" s="1" t="n">
        <f aca="false">N(Y2063)+$X2064</f>
        <v>0</v>
      </c>
      <c r="Z2064" s="1" t="n">
        <f aca="false">IF(AND($M2064=1,对接源_02物料!$D864="原料入库"),1,0)</f>
        <v>0</v>
      </c>
      <c r="AA2064" s="1" t="n">
        <f aca="false">N(AA2063)+$Z2064</f>
        <v>30</v>
      </c>
      <c r="AB2064" s="1" t="n">
        <f aca="false">IF(AND($M2064=1,LEFT(对接源_02物料!$D864,4)="原料出库"),1,0)</f>
        <v>0</v>
      </c>
      <c r="AC2064" s="1" t="n">
        <f aca="false">N(AC2063)+$AB2064</f>
        <v>19</v>
      </c>
      <c r="AD2064" s="1" t="n">
        <f aca="false">IF(AND($M2064=1,LEFT(对接源_02物料!$D864,4)="成品出库"),1,0)</f>
        <v>0</v>
      </c>
      <c r="AE2064" s="1" t="n">
        <f aca="false">N(AE2063)+$AD2064</f>
        <v>38</v>
      </c>
      <c r="AF2064" s="1" t="n">
        <f aca="false">IF(AND($N2064=1,AND(LEFT(对接源_02物料!$D864,4)="包装物料",N(对接源_02物料!$K864)&lt;&gt;0)),1,0)</f>
        <v>0</v>
      </c>
      <c r="AG2064" s="1" t="n">
        <f aca="false">N(AG2063)+$AF2064</f>
        <v>6</v>
      </c>
      <c r="AH2064" s="1" t="n">
        <f aca="false">IF(AND($N2064=1,AND(LEFT(对接源_02物料!$D864,3)="周转筐",N(对接源_02物料!$K864)&lt;&gt;0)),1,0)</f>
        <v>0</v>
      </c>
      <c r="AI2064" s="1" t="n">
        <f aca="false">N(AI2063)+$AH2064</f>
        <v>0</v>
      </c>
      <c r="AJ2064" s="1" t="n">
        <v>0</v>
      </c>
      <c r="AK2064" s="1" t="n">
        <f aca="false">N(AK2063)+$AJ2064</f>
        <v>3672</v>
      </c>
    </row>
    <row r="2065" customFormat="false" ht="13.5" hidden="false" customHeight="false" outlineLevel="0" collapsed="false">
      <c r="A2065" s="1" t="str">
        <f aca="false">IF(对接源_02物料!$C865="","",对接源_02物料!$C865)</f>
        <v/>
      </c>
      <c r="B2065" s="1" t="n">
        <f aca="false">IF(A2065="",0,IF(MATCH(A2065,$A$4:$A$2403,0)=ROW()-3,1,0))</f>
        <v>0</v>
      </c>
      <c r="C2065" s="1" t="n">
        <f aca="false">N(C2064)+B2065</f>
        <v>17</v>
      </c>
      <c r="K2065" s="1" t="n">
        <f aca="false">IF(OR($K$1="",对接源_02物料!$C865="",对接源_02物料!$C865&lt;&gt;$K$1,对接源_02物料!$B865=""),0,IF(OR(N(对接源_02物料!$B865)&lt;$K$2,N(对接源_02物料!$B865)&gt;$K$3),0,1))</f>
        <v>0</v>
      </c>
      <c r="L2065" s="1" t="n">
        <f aca="false">IF(OR($L$1="",对接源_02物料!$C865="",对接源_02物料!$C865&lt;&gt;$L$1,对接源_02物料!$B865=""),0,IF(OR(N(对接源_02物料!$B865)&lt;$L$2,N(对接源_02物料!$B865)&gt;$L$3),0,1))</f>
        <v>0</v>
      </c>
      <c r="M2065" s="1" t="n">
        <f aca="false">IF(OR($M$1="",对接源_02物料!$C865="",对接源_02物料!$C865&lt;&gt;$M$1,对接源_02物料!$B865=""),0,IF(OR(N(对接源_02物料!$B865)&lt;$M$2,N(对接源_02物料!$B865)&gt;$M$3),0,1))</f>
        <v>0</v>
      </c>
      <c r="N2065" s="1" t="n">
        <f aca="false">IF(OR($N$1="",对接源_02物料!$C865="",对接源_02物料!$C865&lt;&gt;$N$1,对接源_02物料!$B865=""),0,IF(OR(N(对接源_02物料!$B865)&lt;$N$2,N(对接源_02物料!$B865)&gt;$N$3),0,1))</f>
        <v>0</v>
      </c>
      <c r="P2065" s="1" t="n">
        <f aca="false">IF(AND($K2065=1,AND(对接源_02物料!$X865="公司筐",N(对接源_02物料!$T865)&lt;&gt;0)),1,0)</f>
        <v>0</v>
      </c>
      <c r="Q2065" s="1" t="n">
        <f aca="false">N(Q2064)+$P2065</f>
        <v>13</v>
      </c>
      <c r="R2065" s="1" t="n">
        <f aca="false">IF(AND($K2065=1,AND(对接源_02物料!$X865="公司筐",N(对接源_02物料!$U865)&lt;&gt;0)),1,0)</f>
        <v>0</v>
      </c>
      <c r="S2065" s="1" t="n">
        <f aca="false">N(S2064)+$R2065</f>
        <v>5</v>
      </c>
      <c r="T2065" s="1" t="n">
        <f aca="false">IF(AND($K2065=1,AND(对接源_02物料!$X865="公司筐",N(对接源_02物料!$V865)&lt;&gt;0)),1,0)</f>
        <v>0</v>
      </c>
      <c r="U2065" s="1" t="n">
        <f aca="false">N(U2064)+$T2065</f>
        <v>28</v>
      </c>
      <c r="V2065" s="1" t="n">
        <f aca="false">IF(AND($L2065=1,AND(对接源_02物料!$X865="自备筐",N(对接源_02物料!$V865)&lt;&gt;0)),1,0)</f>
        <v>0</v>
      </c>
      <c r="W2065" s="1" t="n">
        <f aca="false">N(W2064)+$V2065</f>
        <v>7</v>
      </c>
      <c r="X2065" s="1" t="n">
        <f aca="false">IF(AND($L2065=1,AND(对接源_02物料!$X865="自备筐",N(对接源_02物料!$T865)&lt;&gt;0)),1,0)</f>
        <v>0</v>
      </c>
      <c r="Y2065" s="1" t="n">
        <f aca="false">N(Y2064)+$X2065</f>
        <v>0</v>
      </c>
      <c r="Z2065" s="1" t="n">
        <f aca="false">IF(AND($M2065=1,对接源_02物料!$D865="原料入库"),1,0)</f>
        <v>0</v>
      </c>
      <c r="AA2065" s="1" t="n">
        <f aca="false">N(AA2064)+$Z2065</f>
        <v>30</v>
      </c>
      <c r="AB2065" s="1" t="n">
        <f aca="false">IF(AND($M2065=1,LEFT(对接源_02物料!$D865,4)="原料出库"),1,0)</f>
        <v>0</v>
      </c>
      <c r="AC2065" s="1" t="n">
        <f aca="false">N(AC2064)+$AB2065</f>
        <v>19</v>
      </c>
      <c r="AD2065" s="1" t="n">
        <f aca="false">IF(AND($M2065=1,LEFT(对接源_02物料!$D865,4)="成品出库"),1,0)</f>
        <v>0</v>
      </c>
      <c r="AE2065" s="1" t="n">
        <f aca="false">N(AE2064)+$AD2065</f>
        <v>38</v>
      </c>
      <c r="AF2065" s="1" t="n">
        <f aca="false">IF(AND($N2065=1,AND(LEFT(对接源_02物料!$D865,4)="包装物料",N(对接源_02物料!$K865)&lt;&gt;0)),1,0)</f>
        <v>0</v>
      </c>
      <c r="AG2065" s="1" t="n">
        <f aca="false">N(AG2064)+$AF2065</f>
        <v>6</v>
      </c>
      <c r="AH2065" s="1" t="n">
        <f aca="false">IF(AND($N2065=1,AND(LEFT(对接源_02物料!$D865,3)="周转筐",N(对接源_02物料!$K865)&lt;&gt;0)),1,0)</f>
        <v>0</v>
      </c>
      <c r="AI2065" s="1" t="n">
        <f aca="false">N(AI2064)+$AH2065</f>
        <v>0</v>
      </c>
      <c r="AJ2065" s="1" t="n">
        <v>0</v>
      </c>
      <c r="AK2065" s="1" t="n">
        <f aca="false">N(AK2064)+$AJ2065</f>
        <v>3672</v>
      </c>
    </row>
    <row r="2066" customFormat="false" ht="13.5" hidden="false" customHeight="false" outlineLevel="0" collapsed="false">
      <c r="A2066" s="1" t="str">
        <f aca="false">IF(对接源_02物料!$C866="","",对接源_02物料!$C866)</f>
        <v/>
      </c>
      <c r="B2066" s="1" t="n">
        <f aca="false">IF(A2066="",0,IF(MATCH(A2066,$A$4:$A$2403,0)=ROW()-3,1,0))</f>
        <v>0</v>
      </c>
      <c r="C2066" s="1" t="n">
        <f aca="false">N(C2065)+B2066</f>
        <v>17</v>
      </c>
      <c r="K2066" s="1" t="n">
        <f aca="false">IF(OR($K$1="",对接源_02物料!$C866="",对接源_02物料!$C866&lt;&gt;$K$1,对接源_02物料!$B866=""),0,IF(OR(N(对接源_02物料!$B866)&lt;$K$2,N(对接源_02物料!$B866)&gt;$K$3),0,1))</f>
        <v>0</v>
      </c>
      <c r="L2066" s="1" t="n">
        <f aca="false">IF(OR($L$1="",对接源_02物料!$C866="",对接源_02物料!$C866&lt;&gt;$L$1,对接源_02物料!$B866=""),0,IF(OR(N(对接源_02物料!$B866)&lt;$L$2,N(对接源_02物料!$B866)&gt;$L$3),0,1))</f>
        <v>0</v>
      </c>
      <c r="M2066" s="1" t="n">
        <f aca="false">IF(OR($M$1="",对接源_02物料!$C866="",对接源_02物料!$C866&lt;&gt;$M$1,对接源_02物料!$B866=""),0,IF(OR(N(对接源_02物料!$B866)&lt;$M$2,N(对接源_02物料!$B866)&gt;$M$3),0,1))</f>
        <v>0</v>
      </c>
      <c r="N2066" s="1" t="n">
        <f aca="false">IF(OR($N$1="",对接源_02物料!$C866="",对接源_02物料!$C866&lt;&gt;$N$1,对接源_02物料!$B866=""),0,IF(OR(N(对接源_02物料!$B866)&lt;$N$2,N(对接源_02物料!$B866)&gt;$N$3),0,1))</f>
        <v>0</v>
      </c>
      <c r="P2066" s="1" t="n">
        <f aca="false">IF(AND($K2066=1,AND(对接源_02物料!$X866="公司筐",N(对接源_02物料!$T866)&lt;&gt;0)),1,0)</f>
        <v>0</v>
      </c>
      <c r="Q2066" s="1" t="n">
        <f aca="false">N(Q2065)+$P2066</f>
        <v>13</v>
      </c>
      <c r="R2066" s="1" t="n">
        <f aca="false">IF(AND($K2066=1,AND(对接源_02物料!$X866="公司筐",N(对接源_02物料!$U866)&lt;&gt;0)),1,0)</f>
        <v>0</v>
      </c>
      <c r="S2066" s="1" t="n">
        <f aca="false">N(S2065)+$R2066</f>
        <v>5</v>
      </c>
      <c r="T2066" s="1" t="n">
        <f aca="false">IF(AND($K2066=1,AND(对接源_02物料!$X866="公司筐",N(对接源_02物料!$V866)&lt;&gt;0)),1,0)</f>
        <v>0</v>
      </c>
      <c r="U2066" s="1" t="n">
        <f aca="false">N(U2065)+$T2066</f>
        <v>28</v>
      </c>
      <c r="V2066" s="1" t="n">
        <f aca="false">IF(AND($L2066=1,AND(对接源_02物料!$X866="自备筐",N(对接源_02物料!$V866)&lt;&gt;0)),1,0)</f>
        <v>0</v>
      </c>
      <c r="W2066" s="1" t="n">
        <f aca="false">N(W2065)+$V2066</f>
        <v>7</v>
      </c>
      <c r="X2066" s="1" t="n">
        <f aca="false">IF(AND($L2066=1,AND(对接源_02物料!$X866="自备筐",N(对接源_02物料!$T866)&lt;&gt;0)),1,0)</f>
        <v>0</v>
      </c>
      <c r="Y2066" s="1" t="n">
        <f aca="false">N(Y2065)+$X2066</f>
        <v>0</v>
      </c>
      <c r="Z2066" s="1" t="n">
        <f aca="false">IF(AND($M2066=1,对接源_02物料!$D866="原料入库"),1,0)</f>
        <v>0</v>
      </c>
      <c r="AA2066" s="1" t="n">
        <f aca="false">N(AA2065)+$Z2066</f>
        <v>30</v>
      </c>
      <c r="AB2066" s="1" t="n">
        <f aca="false">IF(AND($M2066=1,LEFT(对接源_02物料!$D866,4)="原料出库"),1,0)</f>
        <v>0</v>
      </c>
      <c r="AC2066" s="1" t="n">
        <f aca="false">N(AC2065)+$AB2066</f>
        <v>19</v>
      </c>
      <c r="AD2066" s="1" t="n">
        <f aca="false">IF(AND($M2066=1,LEFT(对接源_02物料!$D866,4)="成品出库"),1,0)</f>
        <v>0</v>
      </c>
      <c r="AE2066" s="1" t="n">
        <f aca="false">N(AE2065)+$AD2066</f>
        <v>38</v>
      </c>
      <c r="AF2066" s="1" t="n">
        <f aca="false">IF(AND($N2066=1,AND(LEFT(对接源_02物料!$D866,4)="包装物料",N(对接源_02物料!$K866)&lt;&gt;0)),1,0)</f>
        <v>0</v>
      </c>
      <c r="AG2066" s="1" t="n">
        <f aca="false">N(AG2065)+$AF2066</f>
        <v>6</v>
      </c>
      <c r="AH2066" s="1" t="n">
        <f aca="false">IF(AND($N2066=1,AND(LEFT(对接源_02物料!$D866,3)="周转筐",N(对接源_02物料!$K866)&lt;&gt;0)),1,0)</f>
        <v>0</v>
      </c>
      <c r="AI2066" s="1" t="n">
        <f aca="false">N(AI2065)+$AH2066</f>
        <v>0</v>
      </c>
      <c r="AJ2066" s="1" t="n">
        <v>0</v>
      </c>
      <c r="AK2066" s="1" t="n">
        <f aca="false">N(AK2065)+$AJ2066</f>
        <v>3672</v>
      </c>
    </row>
    <row r="2067" customFormat="false" ht="13.5" hidden="false" customHeight="false" outlineLevel="0" collapsed="false">
      <c r="A2067" s="1" t="str">
        <f aca="false">IF(对接源_02物料!$C867="","",对接源_02物料!$C867)</f>
        <v/>
      </c>
      <c r="B2067" s="1" t="n">
        <f aca="false">IF(A2067="",0,IF(MATCH(A2067,$A$4:$A$2403,0)=ROW()-3,1,0))</f>
        <v>0</v>
      </c>
      <c r="C2067" s="1" t="n">
        <f aca="false">N(C2066)+B2067</f>
        <v>17</v>
      </c>
      <c r="K2067" s="1" t="n">
        <f aca="false">IF(OR($K$1="",对接源_02物料!$C867="",对接源_02物料!$C867&lt;&gt;$K$1,对接源_02物料!$B867=""),0,IF(OR(N(对接源_02物料!$B867)&lt;$K$2,N(对接源_02物料!$B867)&gt;$K$3),0,1))</f>
        <v>0</v>
      </c>
      <c r="L2067" s="1" t="n">
        <f aca="false">IF(OR($L$1="",对接源_02物料!$C867="",对接源_02物料!$C867&lt;&gt;$L$1,对接源_02物料!$B867=""),0,IF(OR(N(对接源_02物料!$B867)&lt;$L$2,N(对接源_02物料!$B867)&gt;$L$3),0,1))</f>
        <v>0</v>
      </c>
      <c r="M2067" s="1" t="n">
        <f aca="false">IF(OR($M$1="",对接源_02物料!$C867="",对接源_02物料!$C867&lt;&gt;$M$1,对接源_02物料!$B867=""),0,IF(OR(N(对接源_02物料!$B867)&lt;$M$2,N(对接源_02物料!$B867)&gt;$M$3),0,1))</f>
        <v>0</v>
      </c>
      <c r="N2067" s="1" t="n">
        <f aca="false">IF(OR($N$1="",对接源_02物料!$C867="",对接源_02物料!$C867&lt;&gt;$N$1,对接源_02物料!$B867=""),0,IF(OR(N(对接源_02物料!$B867)&lt;$N$2,N(对接源_02物料!$B867)&gt;$N$3),0,1))</f>
        <v>0</v>
      </c>
      <c r="P2067" s="1" t="n">
        <f aca="false">IF(AND($K2067=1,AND(对接源_02物料!$X867="公司筐",N(对接源_02物料!$T867)&lt;&gt;0)),1,0)</f>
        <v>0</v>
      </c>
      <c r="Q2067" s="1" t="n">
        <f aca="false">N(Q2066)+$P2067</f>
        <v>13</v>
      </c>
      <c r="R2067" s="1" t="n">
        <f aca="false">IF(AND($K2067=1,AND(对接源_02物料!$X867="公司筐",N(对接源_02物料!$U867)&lt;&gt;0)),1,0)</f>
        <v>0</v>
      </c>
      <c r="S2067" s="1" t="n">
        <f aca="false">N(S2066)+$R2067</f>
        <v>5</v>
      </c>
      <c r="T2067" s="1" t="n">
        <f aca="false">IF(AND($K2067=1,AND(对接源_02物料!$X867="公司筐",N(对接源_02物料!$V867)&lt;&gt;0)),1,0)</f>
        <v>0</v>
      </c>
      <c r="U2067" s="1" t="n">
        <f aca="false">N(U2066)+$T2067</f>
        <v>28</v>
      </c>
      <c r="V2067" s="1" t="n">
        <f aca="false">IF(AND($L2067=1,AND(对接源_02物料!$X867="自备筐",N(对接源_02物料!$V867)&lt;&gt;0)),1,0)</f>
        <v>0</v>
      </c>
      <c r="W2067" s="1" t="n">
        <f aca="false">N(W2066)+$V2067</f>
        <v>7</v>
      </c>
      <c r="X2067" s="1" t="n">
        <f aca="false">IF(AND($L2067=1,AND(对接源_02物料!$X867="自备筐",N(对接源_02物料!$T867)&lt;&gt;0)),1,0)</f>
        <v>0</v>
      </c>
      <c r="Y2067" s="1" t="n">
        <f aca="false">N(Y2066)+$X2067</f>
        <v>0</v>
      </c>
      <c r="Z2067" s="1" t="n">
        <f aca="false">IF(AND($M2067=1,对接源_02物料!$D867="原料入库"),1,0)</f>
        <v>0</v>
      </c>
      <c r="AA2067" s="1" t="n">
        <f aca="false">N(AA2066)+$Z2067</f>
        <v>30</v>
      </c>
      <c r="AB2067" s="1" t="n">
        <f aca="false">IF(AND($M2067=1,LEFT(对接源_02物料!$D867,4)="原料出库"),1,0)</f>
        <v>0</v>
      </c>
      <c r="AC2067" s="1" t="n">
        <f aca="false">N(AC2066)+$AB2067</f>
        <v>19</v>
      </c>
      <c r="AD2067" s="1" t="n">
        <f aca="false">IF(AND($M2067=1,LEFT(对接源_02物料!$D867,4)="成品出库"),1,0)</f>
        <v>0</v>
      </c>
      <c r="AE2067" s="1" t="n">
        <f aca="false">N(AE2066)+$AD2067</f>
        <v>38</v>
      </c>
      <c r="AF2067" s="1" t="n">
        <f aca="false">IF(AND($N2067=1,AND(LEFT(对接源_02物料!$D867,4)="包装物料",N(对接源_02物料!$K867)&lt;&gt;0)),1,0)</f>
        <v>0</v>
      </c>
      <c r="AG2067" s="1" t="n">
        <f aca="false">N(AG2066)+$AF2067</f>
        <v>6</v>
      </c>
      <c r="AH2067" s="1" t="n">
        <f aca="false">IF(AND($N2067=1,AND(LEFT(对接源_02物料!$D867,3)="周转筐",N(对接源_02物料!$K867)&lt;&gt;0)),1,0)</f>
        <v>0</v>
      </c>
      <c r="AI2067" s="1" t="n">
        <f aca="false">N(AI2066)+$AH2067</f>
        <v>0</v>
      </c>
      <c r="AJ2067" s="1" t="n">
        <v>0</v>
      </c>
      <c r="AK2067" s="1" t="n">
        <f aca="false">N(AK2066)+$AJ2067</f>
        <v>3672</v>
      </c>
    </row>
    <row r="2068" customFormat="false" ht="13.5" hidden="false" customHeight="false" outlineLevel="0" collapsed="false">
      <c r="A2068" s="1" t="str">
        <f aca="false">IF(对接源_02物料!$C868="","",对接源_02物料!$C868)</f>
        <v/>
      </c>
      <c r="B2068" s="1" t="n">
        <f aca="false">IF(A2068="",0,IF(MATCH(A2068,$A$4:$A$2403,0)=ROW()-3,1,0))</f>
        <v>0</v>
      </c>
      <c r="C2068" s="1" t="n">
        <f aca="false">N(C2067)+B2068</f>
        <v>17</v>
      </c>
      <c r="K2068" s="1" t="n">
        <f aca="false">IF(OR($K$1="",对接源_02物料!$C868="",对接源_02物料!$C868&lt;&gt;$K$1,对接源_02物料!$B868=""),0,IF(OR(N(对接源_02物料!$B868)&lt;$K$2,N(对接源_02物料!$B868)&gt;$K$3),0,1))</f>
        <v>0</v>
      </c>
      <c r="L2068" s="1" t="n">
        <f aca="false">IF(OR($L$1="",对接源_02物料!$C868="",对接源_02物料!$C868&lt;&gt;$L$1,对接源_02物料!$B868=""),0,IF(OR(N(对接源_02物料!$B868)&lt;$L$2,N(对接源_02物料!$B868)&gt;$L$3),0,1))</f>
        <v>0</v>
      </c>
      <c r="M2068" s="1" t="n">
        <f aca="false">IF(OR($M$1="",对接源_02物料!$C868="",对接源_02物料!$C868&lt;&gt;$M$1,对接源_02物料!$B868=""),0,IF(OR(N(对接源_02物料!$B868)&lt;$M$2,N(对接源_02物料!$B868)&gt;$M$3),0,1))</f>
        <v>0</v>
      </c>
      <c r="N2068" s="1" t="n">
        <f aca="false">IF(OR($N$1="",对接源_02物料!$C868="",对接源_02物料!$C868&lt;&gt;$N$1,对接源_02物料!$B868=""),0,IF(OR(N(对接源_02物料!$B868)&lt;$N$2,N(对接源_02物料!$B868)&gt;$N$3),0,1))</f>
        <v>0</v>
      </c>
      <c r="P2068" s="1" t="n">
        <f aca="false">IF(AND($K2068=1,AND(对接源_02物料!$X868="公司筐",N(对接源_02物料!$T868)&lt;&gt;0)),1,0)</f>
        <v>0</v>
      </c>
      <c r="Q2068" s="1" t="n">
        <f aca="false">N(Q2067)+$P2068</f>
        <v>13</v>
      </c>
      <c r="R2068" s="1" t="n">
        <f aca="false">IF(AND($K2068=1,AND(对接源_02物料!$X868="公司筐",N(对接源_02物料!$U868)&lt;&gt;0)),1,0)</f>
        <v>0</v>
      </c>
      <c r="S2068" s="1" t="n">
        <f aca="false">N(S2067)+$R2068</f>
        <v>5</v>
      </c>
      <c r="T2068" s="1" t="n">
        <f aca="false">IF(AND($K2068=1,AND(对接源_02物料!$X868="公司筐",N(对接源_02物料!$V868)&lt;&gt;0)),1,0)</f>
        <v>0</v>
      </c>
      <c r="U2068" s="1" t="n">
        <f aca="false">N(U2067)+$T2068</f>
        <v>28</v>
      </c>
      <c r="V2068" s="1" t="n">
        <f aca="false">IF(AND($L2068=1,AND(对接源_02物料!$X868="自备筐",N(对接源_02物料!$V868)&lt;&gt;0)),1,0)</f>
        <v>0</v>
      </c>
      <c r="W2068" s="1" t="n">
        <f aca="false">N(W2067)+$V2068</f>
        <v>7</v>
      </c>
      <c r="X2068" s="1" t="n">
        <f aca="false">IF(AND($L2068=1,AND(对接源_02物料!$X868="自备筐",N(对接源_02物料!$T868)&lt;&gt;0)),1,0)</f>
        <v>0</v>
      </c>
      <c r="Y2068" s="1" t="n">
        <f aca="false">N(Y2067)+$X2068</f>
        <v>0</v>
      </c>
      <c r="Z2068" s="1" t="n">
        <f aca="false">IF(AND($M2068=1,对接源_02物料!$D868="原料入库"),1,0)</f>
        <v>0</v>
      </c>
      <c r="AA2068" s="1" t="n">
        <f aca="false">N(AA2067)+$Z2068</f>
        <v>30</v>
      </c>
      <c r="AB2068" s="1" t="n">
        <f aca="false">IF(AND($M2068=1,LEFT(对接源_02物料!$D868,4)="原料出库"),1,0)</f>
        <v>0</v>
      </c>
      <c r="AC2068" s="1" t="n">
        <f aca="false">N(AC2067)+$AB2068</f>
        <v>19</v>
      </c>
      <c r="AD2068" s="1" t="n">
        <f aca="false">IF(AND($M2068=1,LEFT(对接源_02物料!$D868,4)="成品出库"),1,0)</f>
        <v>0</v>
      </c>
      <c r="AE2068" s="1" t="n">
        <f aca="false">N(AE2067)+$AD2068</f>
        <v>38</v>
      </c>
      <c r="AF2068" s="1" t="n">
        <f aca="false">IF(AND($N2068=1,AND(LEFT(对接源_02物料!$D868,4)="包装物料",N(对接源_02物料!$K868)&lt;&gt;0)),1,0)</f>
        <v>0</v>
      </c>
      <c r="AG2068" s="1" t="n">
        <f aca="false">N(AG2067)+$AF2068</f>
        <v>6</v>
      </c>
      <c r="AH2068" s="1" t="n">
        <f aca="false">IF(AND($N2068=1,AND(LEFT(对接源_02物料!$D868,3)="周转筐",N(对接源_02物料!$K868)&lt;&gt;0)),1,0)</f>
        <v>0</v>
      </c>
      <c r="AI2068" s="1" t="n">
        <f aca="false">N(AI2067)+$AH2068</f>
        <v>0</v>
      </c>
      <c r="AJ2068" s="1" t="n">
        <v>0</v>
      </c>
      <c r="AK2068" s="1" t="n">
        <f aca="false">N(AK2067)+$AJ2068</f>
        <v>3672</v>
      </c>
    </row>
    <row r="2069" customFormat="false" ht="13.5" hidden="false" customHeight="false" outlineLevel="0" collapsed="false">
      <c r="A2069" s="1" t="str">
        <f aca="false">IF(对接源_02物料!$C869="","",对接源_02物料!$C869)</f>
        <v/>
      </c>
      <c r="B2069" s="1" t="n">
        <f aca="false">IF(A2069="",0,IF(MATCH(A2069,$A$4:$A$2403,0)=ROW()-3,1,0))</f>
        <v>0</v>
      </c>
      <c r="C2069" s="1" t="n">
        <f aca="false">N(C2068)+B2069</f>
        <v>17</v>
      </c>
      <c r="K2069" s="1" t="n">
        <f aca="false">IF(OR($K$1="",对接源_02物料!$C869="",对接源_02物料!$C869&lt;&gt;$K$1,对接源_02物料!$B869=""),0,IF(OR(N(对接源_02物料!$B869)&lt;$K$2,N(对接源_02物料!$B869)&gt;$K$3),0,1))</f>
        <v>0</v>
      </c>
      <c r="L2069" s="1" t="n">
        <f aca="false">IF(OR($L$1="",对接源_02物料!$C869="",对接源_02物料!$C869&lt;&gt;$L$1,对接源_02物料!$B869=""),0,IF(OR(N(对接源_02物料!$B869)&lt;$L$2,N(对接源_02物料!$B869)&gt;$L$3),0,1))</f>
        <v>0</v>
      </c>
      <c r="M2069" s="1" t="n">
        <f aca="false">IF(OR($M$1="",对接源_02物料!$C869="",对接源_02物料!$C869&lt;&gt;$M$1,对接源_02物料!$B869=""),0,IF(OR(N(对接源_02物料!$B869)&lt;$M$2,N(对接源_02物料!$B869)&gt;$M$3),0,1))</f>
        <v>0</v>
      </c>
      <c r="N2069" s="1" t="n">
        <f aca="false">IF(OR($N$1="",对接源_02物料!$C869="",对接源_02物料!$C869&lt;&gt;$N$1,对接源_02物料!$B869=""),0,IF(OR(N(对接源_02物料!$B869)&lt;$N$2,N(对接源_02物料!$B869)&gt;$N$3),0,1))</f>
        <v>0</v>
      </c>
      <c r="P2069" s="1" t="n">
        <f aca="false">IF(AND($K2069=1,AND(对接源_02物料!$X869="公司筐",N(对接源_02物料!$T869)&lt;&gt;0)),1,0)</f>
        <v>0</v>
      </c>
      <c r="Q2069" s="1" t="n">
        <f aca="false">N(Q2068)+$P2069</f>
        <v>13</v>
      </c>
      <c r="R2069" s="1" t="n">
        <f aca="false">IF(AND($K2069=1,AND(对接源_02物料!$X869="公司筐",N(对接源_02物料!$U869)&lt;&gt;0)),1,0)</f>
        <v>0</v>
      </c>
      <c r="S2069" s="1" t="n">
        <f aca="false">N(S2068)+$R2069</f>
        <v>5</v>
      </c>
      <c r="T2069" s="1" t="n">
        <f aca="false">IF(AND($K2069=1,AND(对接源_02物料!$X869="公司筐",N(对接源_02物料!$V869)&lt;&gt;0)),1,0)</f>
        <v>0</v>
      </c>
      <c r="U2069" s="1" t="n">
        <f aca="false">N(U2068)+$T2069</f>
        <v>28</v>
      </c>
      <c r="V2069" s="1" t="n">
        <f aca="false">IF(AND($L2069=1,AND(对接源_02物料!$X869="自备筐",N(对接源_02物料!$V869)&lt;&gt;0)),1,0)</f>
        <v>0</v>
      </c>
      <c r="W2069" s="1" t="n">
        <f aca="false">N(W2068)+$V2069</f>
        <v>7</v>
      </c>
      <c r="X2069" s="1" t="n">
        <f aca="false">IF(AND($L2069=1,AND(对接源_02物料!$X869="自备筐",N(对接源_02物料!$T869)&lt;&gt;0)),1,0)</f>
        <v>0</v>
      </c>
      <c r="Y2069" s="1" t="n">
        <f aca="false">N(Y2068)+$X2069</f>
        <v>0</v>
      </c>
      <c r="Z2069" s="1" t="n">
        <f aca="false">IF(AND($M2069=1,对接源_02物料!$D869="原料入库"),1,0)</f>
        <v>0</v>
      </c>
      <c r="AA2069" s="1" t="n">
        <f aca="false">N(AA2068)+$Z2069</f>
        <v>30</v>
      </c>
      <c r="AB2069" s="1" t="n">
        <f aca="false">IF(AND($M2069=1,LEFT(对接源_02物料!$D869,4)="原料出库"),1,0)</f>
        <v>0</v>
      </c>
      <c r="AC2069" s="1" t="n">
        <f aca="false">N(AC2068)+$AB2069</f>
        <v>19</v>
      </c>
      <c r="AD2069" s="1" t="n">
        <f aca="false">IF(AND($M2069=1,LEFT(对接源_02物料!$D869,4)="成品出库"),1,0)</f>
        <v>0</v>
      </c>
      <c r="AE2069" s="1" t="n">
        <f aca="false">N(AE2068)+$AD2069</f>
        <v>38</v>
      </c>
      <c r="AF2069" s="1" t="n">
        <f aca="false">IF(AND($N2069=1,AND(LEFT(对接源_02物料!$D869,4)="包装物料",N(对接源_02物料!$K869)&lt;&gt;0)),1,0)</f>
        <v>0</v>
      </c>
      <c r="AG2069" s="1" t="n">
        <f aca="false">N(AG2068)+$AF2069</f>
        <v>6</v>
      </c>
      <c r="AH2069" s="1" t="n">
        <f aca="false">IF(AND($N2069=1,AND(LEFT(对接源_02物料!$D869,3)="周转筐",N(对接源_02物料!$K869)&lt;&gt;0)),1,0)</f>
        <v>0</v>
      </c>
      <c r="AI2069" s="1" t="n">
        <f aca="false">N(AI2068)+$AH2069</f>
        <v>0</v>
      </c>
      <c r="AJ2069" s="1" t="n">
        <v>0</v>
      </c>
      <c r="AK2069" s="1" t="n">
        <f aca="false">N(AK2068)+$AJ2069</f>
        <v>3672</v>
      </c>
    </row>
    <row r="2070" customFormat="false" ht="13.5" hidden="false" customHeight="false" outlineLevel="0" collapsed="false">
      <c r="A2070" s="1" t="str">
        <f aca="false">IF(对接源_02物料!$C870="","",对接源_02物料!$C870)</f>
        <v/>
      </c>
      <c r="B2070" s="1" t="n">
        <f aca="false">IF(A2070="",0,IF(MATCH(A2070,$A$4:$A$2403,0)=ROW()-3,1,0))</f>
        <v>0</v>
      </c>
      <c r="C2070" s="1" t="n">
        <f aca="false">N(C2069)+B2070</f>
        <v>17</v>
      </c>
      <c r="K2070" s="1" t="n">
        <f aca="false">IF(OR($K$1="",对接源_02物料!$C870="",对接源_02物料!$C870&lt;&gt;$K$1,对接源_02物料!$B870=""),0,IF(OR(N(对接源_02物料!$B870)&lt;$K$2,N(对接源_02物料!$B870)&gt;$K$3),0,1))</f>
        <v>0</v>
      </c>
      <c r="L2070" s="1" t="n">
        <f aca="false">IF(OR($L$1="",对接源_02物料!$C870="",对接源_02物料!$C870&lt;&gt;$L$1,对接源_02物料!$B870=""),0,IF(OR(N(对接源_02物料!$B870)&lt;$L$2,N(对接源_02物料!$B870)&gt;$L$3),0,1))</f>
        <v>0</v>
      </c>
      <c r="M2070" s="1" t="n">
        <f aca="false">IF(OR($M$1="",对接源_02物料!$C870="",对接源_02物料!$C870&lt;&gt;$M$1,对接源_02物料!$B870=""),0,IF(OR(N(对接源_02物料!$B870)&lt;$M$2,N(对接源_02物料!$B870)&gt;$M$3),0,1))</f>
        <v>0</v>
      </c>
      <c r="N2070" s="1" t="n">
        <f aca="false">IF(OR($N$1="",对接源_02物料!$C870="",对接源_02物料!$C870&lt;&gt;$N$1,对接源_02物料!$B870=""),0,IF(OR(N(对接源_02物料!$B870)&lt;$N$2,N(对接源_02物料!$B870)&gt;$N$3),0,1))</f>
        <v>0</v>
      </c>
      <c r="P2070" s="1" t="n">
        <f aca="false">IF(AND($K2070=1,AND(对接源_02物料!$X870="公司筐",N(对接源_02物料!$T870)&lt;&gt;0)),1,0)</f>
        <v>0</v>
      </c>
      <c r="Q2070" s="1" t="n">
        <f aca="false">N(Q2069)+$P2070</f>
        <v>13</v>
      </c>
      <c r="R2070" s="1" t="n">
        <f aca="false">IF(AND($K2070=1,AND(对接源_02物料!$X870="公司筐",N(对接源_02物料!$U870)&lt;&gt;0)),1,0)</f>
        <v>0</v>
      </c>
      <c r="S2070" s="1" t="n">
        <f aca="false">N(S2069)+$R2070</f>
        <v>5</v>
      </c>
      <c r="T2070" s="1" t="n">
        <f aca="false">IF(AND($K2070=1,AND(对接源_02物料!$X870="公司筐",N(对接源_02物料!$V870)&lt;&gt;0)),1,0)</f>
        <v>0</v>
      </c>
      <c r="U2070" s="1" t="n">
        <f aca="false">N(U2069)+$T2070</f>
        <v>28</v>
      </c>
      <c r="V2070" s="1" t="n">
        <f aca="false">IF(AND($L2070=1,AND(对接源_02物料!$X870="自备筐",N(对接源_02物料!$V870)&lt;&gt;0)),1,0)</f>
        <v>0</v>
      </c>
      <c r="W2070" s="1" t="n">
        <f aca="false">N(W2069)+$V2070</f>
        <v>7</v>
      </c>
      <c r="X2070" s="1" t="n">
        <f aca="false">IF(AND($L2070=1,AND(对接源_02物料!$X870="自备筐",N(对接源_02物料!$T870)&lt;&gt;0)),1,0)</f>
        <v>0</v>
      </c>
      <c r="Y2070" s="1" t="n">
        <f aca="false">N(Y2069)+$X2070</f>
        <v>0</v>
      </c>
      <c r="Z2070" s="1" t="n">
        <f aca="false">IF(AND($M2070=1,对接源_02物料!$D870="原料入库"),1,0)</f>
        <v>0</v>
      </c>
      <c r="AA2070" s="1" t="n">
        <f aca="false">N(AA2069)+$Z2070</f>
        <v>30</v>
      </c>
      <c r="AB2070" s="1" t="n">
        <f aca="false">IF(AND($M2070=1,LEFT(对接源_02物料!$D870,4)="原料出库"),1,0)</f>
        <v>0</v>
      </c>
      <c r="AC2070" s="1" t="n">
        <f aca="false">N(AC2069)+$AB2070</f>
        <v>19</v>
      </c>
      <c r="AD2070" s="1" t="n">
        <f aca="false">IF(AND($M2070=1,LEFT(对接源_02物料!$D870,4)="成品出库"),1,0)</f>
        <v>0</v>
      </c>
      <c r="AE2070" s="1" t="n">
        <f aca="false">N(AE2069)+$AD2070</f>
        <v>38</v>
      </c>
      <c r="AF2070" s="1" t="n">
        <f aca="false">IF(AND($N2070=1,AND(LEFT(对接源_02物料!$D870,4)="包装物料",N(对接源_02物料!$K870)&lt;&gt;0)),1,0)</f>
        <v>0</v>
      </c>
      <c r="AG2070" s="1" t="n">
        <f aca="false">N(AG2069)+$AF2070</f>
        <v>6</v>
      </c>
      <c r="AH2070" s="1" t="n">
        <f aca="false">IF(AND($N2070=1,AND(LEFT(对接源_02物料!$D870,3)="周转筐",N(对接源_02物料!$K870)&lt;&gt;0)),1,0)</f>
        <v>0</v>
      </c>
      <c r="AI2070" s="1" t="n">
        <f aca="false">N(AI2069)+$AH2070</f>
        <v>0</v>
      </c>
      <c r="AJ2070" s="1" t="n">
        <v>0</v>
      </c>
      <c r="AK2070" s="1" t="n">
        <f aca="false">N(AK2069)+$AJ2070</f>
        <v>3672</v>
      </c>
    </row>
    <row r="2071" customFormat="false" ht="13.5" hidden="false" customHeight="false" outlineLevel="0" collapsed="false">
      <c r="A2071" s="1" t="str">
        <f aca="false">IF(对接源_02物料!$C871="","",对接源_02物料!$C871)</f>
        <v/>
      </c>
      <c r="B2071" s="1" t="n">
        <f aca="false">IF(A2071="",0,IF(MATCH(A2071,$A$4:$A$2403,0)=ROW()-3,1,0))</f>
        <v>0</v>
      </c>
      <c r="C2071" s="1" t="n">
        <f aca="false">N(C2070)+B2071</f>
        <v>17</v>
      </c>
      <c r="K2071" s="1" t="n">
        <f aca="false">IF(OR($K$1="",对接源_02物料!$C871="",对接源_02物料!$C871&lt;&gt;$K$1,对接源_02物料!$B871=""),0,IF(OR(N(对接源_02物料!$B871)&lt;$K$2,N(对接源_02物料!$B871)&gt;$K$3),0,1))</f>
        <v>0</v>
      </c>
      <c r="L2071" s="1" t="n">
        <f aca="false">IF(OR($L$1="",对接源_02物料!$C871="",对接源_02物料!$C871&lt;&gt;$L$1,对接源_02物料!$B871=""),0,IF(OR(N(对接源_02物料!$B871)&lt;$L$2,N(对接源_02物料!$B871)&gt;$L$3),0,1))</f>
        <v>0</v>
      </c>
      <c r="M2071" s="1" t="n">
        <f aca="false">IF(OR($M$1="",对接源_02物料!$C871="",对接源_02物料!$C871&lt;&gt;$M$1,对接源_02物料!$B871=""),0,IF(OR(N(对接源_02物料!$B871)&lt;$M$2,N(对接源_02物料!$B871)&gt;$M$3),0,1))</f>
        <v>0</v>
      </c>
      <c r="N2071" s="1" t="n">
        <f aca="false">IF(OR($N$1="",对接源_02物料!$C871="",对接源_02物料!$C871&lt;&gt;$N$1,对接源_02物料!$B871=""),0,IF(OR(N(对接源_02物料!$B871)&lt;$N$2,N(对接源_02物料!$B871)&gt;$N$3),0,1))</f>
        <v>0</v>
      </c>
      <c r="P2071" s="1" t="n">
        <f aca="false">IF(AND($K2071=1,AND(对接源_02物料!$X871="公司筐",N(对接源_02物料!$T871)&lt;&gt;0)),1,0)</f>
        <v>0</v>
      </c>
      <c r="Q2071" s="1" t="n">
        <f aca="false">N(Q2070)+$P2071</f>
        <v>13</v>
      </c>
      <c r="R2071" s="1" t="n">
        <f aca="false">IF(AND($K2071=1,AND(对接源_02物料!$X871="公司筐",N(对接源_02物料!$U871)&lt;&gt;0)),1,0)</f>
        <v>0</v>
      </c>
      <c r="S2071" s="1" t="n">
        <f aca="false">N(S2070)+$R2071</f>
        <v>5</v>
      </c>
      <c r="T2071" s="1" t="n">
        <f aca="false">IF(AND($K2071=1,AND(对接源_02物料!$X871="公司筐",N(对接源_02物料!$V871)&lt;&gt;0)),1,0)</f>
        <v>0</v>
      </c>
      <c r="U2071" s="1" t="n">
        <f aca="false">N(U2070)+$T2071</f>
        <v>28</v>
      </c>
      <c r="V2071" s="1" t="n">
        <f aca="false">IF(AND($L2071=1,AND(对接源_02物料!$X871="自备筐",N(对接源_02物料!$V871)&lt;&gt;0)),1,0)</f>
        <v>0</v>
      </c>
      <c r="W2071" s="1" t="n">
        <f aca="false">N(W2070)+$V2071</f>
        <v>7</v>
      </c>
      <c r="X2071" s="1" t="n">
        <f aca="false">IF(AND($L2071=1,AND(对接源_02物料!$X871="自备筐",N(对接源_02物料!$T871)&lt;&gt;0)),1,0)</f>
        <v>0</v>
      </c>
      <c r="Y2071" s="1" t="n">
        <f aca="false">N(Y2070)+$X2071</f>
        <v>0</v>
      </c>
      <c r="Z2071" s="1" t="n">
        <f aca="false">IF(AND($M2071=1,对接源_02物料!$D871="原料入库"),1,0)</f>
        <v>0</v>
      </c>
      <c r="AA2071" s="1" t="n">
        <f aca="false">N(AA2070)+$Z2071</f>
        <v>30</v>
      </c>
      <c r="AB2071" s="1" t="n">
        <f aca="false">IF(AND($M2071=1,LEFT(对接源_02物料!$D871,4)="原料出库"),1,0)</f>
        <v>0</v>
      </c>
      <c r="AC2071" s="1" t="n">
        <f aca="false">N(AC2070)+$AB2071</f>
        <v>19</v>
      </c>
      <c r="AD2071" s="1" t="n">
        <f aca="false">IF(AND($M2071=1,LEFT(对接源_02物料!$D871,4)="成品出库"),1,0)</f>
        <v>0</v>
      </c>
      <c r="AE2071" s="1" t="n">
        <f aca="false">N(AE2070)+$AD2071</f>
        <v>38</v>
      </c>
      <c r="AF2071" s="1" t="n">
        <f aca="false">IF(AND($N2071=1,AND(LEFT(对接源_02物料!$D871,4)="包装物料",N(对接源_02物料!$K871)&lt;&gt;0)),1,0)</f>
        <v>0</v>
      </c>
      <c r="AG2071" s="1" t="n">
        <f aca="false">N(AG2070)+$AF2071</f>
        <v>6</v>
      </c>
      <c r="AH2071" s="1" t="n">
        <f aca="false">IF(AND($N2071=1,AND(LEFT(对接源_02物料!$D871,3)="周转筐",N(对接源_02物料!$K871)&lt;&gt;0)),1,0)</f>
        <v>0</v>
      </c>
      <c r="AI2071" s="1" t="n">
        <f aca="false">N(AI2070)+$AH2071</f>
        <v>0</v>
      </c>
      <c r="AJ2071" s="1" t="n">
        <v>0</v>
      </c>
      <c r="AK2071" s="1" t="n">
        <f aca="false">N(AK2070)+$AJ2071</f>
        <v>3672</v>
      </c>
    </row>
    <row r="2072" customFormat="false" ht="13.5" hidden="false" customHeight="false" outlineLevel="0" collapsed="false">
      <c r="A2072" s="1" t="str">
        <f aca="false">IF(对接源_02物料!$C872="","",对接源_02物料!$C872)</f>
        <v/>
      </c>
      <c r="B2072" s="1" t="n">
        <f aca="false">IF(A2072="",0,IF(MATCH(A2072,$A$4:$A$2403,0)=ROW()-3,1,0))</f>
        <v>0</v>
      </c>
      <c r="C2072" s="1" t="n">
        <f aca="false">N(C2071)+B2072</f>
        <v>17</v>
      </c>
      <c r="K2072" s="1" t="n">
        <f aca="false">IF(OR($K$1="",对接源_02物料!$C872="",对接源_02物料!$C872&lt;&gt;$K$1,对接源_02物料!$B872=""),0,IF(OR(N(对接源_02物料!$B872)&lt;$K$2,N(对接源_02物料!$B872)&gt;$K$3),0,1))</f>
        <v>0</v>
      </c>
      <c r="L2072" s="1" t="n">
        <f aca="false">IF(OR($L$1="",对接源_02物料!$C872="",对接源_02物料!$C872&lt;&gt;$L$1,对接源_02物料!$B872=""),0,IF(OR(N(对接源_02物料!$B872)&lt;$L$2,N(对接源_02物料!$B872)&gt;$L$3),0,1))</f>
        <v>0</v>
      </c>
      <c r="M2072" s="1" t="n">
        <f aca="false">IF(OR($M$1="",对接源_02物料!$C872="",对接源_02物料!$C872&lt;&gt;$M$1,对接源_02物料!$B872=""),0,IF(OR(N(对接源_02物料!$B872)&lt;$M$2,N(对接源_02物料!$B872)&gt;$M$3),0,1))</f>
        <v>0</v>
      </c>
      <c r="N2072" s="1" t="n">
        <f aca="false">IF(OR($N$1="",对接源_02物料!$C872="",对接源_02物料!$C872&lt;&gt;$N$1,对接源_02物料!$B872=""),0,IF(OR(N(对接源_02物料!$B872)&lt;$N$2,N(对接源_02物料!$B872)&gt;$N$3),0,1))</f>
        <v>0</v>
      </c>
      <c r="P2072" s="1" t="n">
        <f aca="false">IF(AND($K2072=1,AND(对接源_02物料!$X872="公司筐",N(对接源_02物料!$T872)&lt;&gt;0)),1,0)</f>
        <v>0</v>
      </c>
      <c r="Q2072" s="1" t="n">
        <f aca="false">N(Q2071)+$P2072</f>
        <v>13</v>
      </c>
      <c r="R2072" s="1" t="n">
        <f aca="false">IF(AND($K2072=1,AND(对接源_02物料!$X872="公司筐",N(对接源_02物料!$U872)&lt;&gt;0)),1,0)</f>
        <v>0</v>
      </c>
      <c r="S2072" s="1" t="n">
        <f aca="false">N(S2071)+$R2072</f>
        <v>5</v>
      </c>
      <c r="T2072" s="1" t="n">
        <f aca="false">IF(AND($K2072=1,AND(对接源_02物料!$X872="公司筐",N(对接源_02物料!$V872)&lt;&gt;0)),1,0)</f>
        <v>0</v>
      </c>
      <c r="U2072" s="1" t="n">
        <f aca="false">N(U2071)+$T2072</f>
        <v>28</v>
      </c>
      <c r="V2072" s="1" t="n">
        <f aca="false">IF(AND($L2072=1,AND(对接源_02物料!$X872="自备筐",N(对接源_02物料!$V872)&lt;&gt;0)),1,0)</f>
        <v>0</v>
      </c>
      <c r="W2072" s="1" t="n">
        <f aca="false">N(W2071)+$V2072</f>
        <v>7</v>
      </c>
      <c r="X2072" s="1" t="n">
        <f aca="false">IF(AND($L2072=1,AND(对接源_02物料!$X872="自备筐",N(对接源_02物料!$T872)&lt;&gt;0)),1,0)</f>
        <v>0</v>
      </c>
      <c r="Y2072" s="1" t="n">
        <f aca="false">N(Y2071)+$X2072</f>
        <v>0</v>
      </c>
      <c r="Z2072" s="1" t="n">
        <f aca="false">IF(AND($M2072=1,对接源_02物料!$D872="原料入库"),1,0)</f>
        <v>0</v>
      </c>
      <c r="AA2072" s="1" t="n">
        <f aca="false">N(AA2071)+$Z2072</f>
        <v>30</v>
      </c>
      <c r="AB2072" s="1" t="n">
        <f aca="false">IF(AND($M2072=1,LEFT(对接源_02物料!$D872,4)="原料出库"),1,0)</f>
        <v>0</v>
      </c>
      <c r="AC2072" s="1" t="n">
        <f aca="false">N(AC2071)+$AB2072</f>
        <v>19</v>
      </c>
      <c r="AD2072" s="1" t="n">
        <f aca="false">IF(AND($M2072=1,LEFT(对接源_02物料!$D872,4)="成品出库"),1,0)</f>
        <v>0</v>
      </c>
      <c r="AE2072" s="1" t="n">
        <f aca="false">N(AE2071)+$AD2072</f>
        <v>38</v>
      </c>
      <c r="AF2072" s="1" t="n">
        <f aca="false">IF(AND($N2072=1,AND(LEFT(对接源_02物料!$D872,4)="包装物料",N(对接源_02物料!$K872)&lt;&gt;0)),1,0)</f>
        <v>0</v>
      </c>
      <c r="AG2072" s="1" t="n">
        <f aca="false">N(AG2071)+$AF2072</f>
        <v>6</v>
      </c>
      <c r="AH2072" s="1" t="n">
        <f aca="false">IF(AND($N2072=1,AND(LEFT(对接源_02物料!$D872,3)="周转筐",N(对接源_02物料!$K872)&lt;&gt;0)),1,0)</f>
        <v>0</v>
      </c>
      <c r="AI2072" s="1" t="n">
        <f aca="false">N(AI2071)+$AH2072</f>
        <v>0</v>
      </c>
      <c r="AJ2072" s="1" t="n">
        <v>0</v>
      </c>
      <c r="AK2072" s="1" t="n">
        <f aca="false">N(AK2071)+$AJ2072</f>
        <v>3672</v>
      </c>
    </row>
    <row r="2073" customFormat="false" ht="13.5" hidden="false" customHeight="false" outlineLevel="0" collapsed="false">
      <c r="A2073" s="1" t="str">
        <f aca="false">IF(对接源_02物料!$C873="","",对接源_02物料!$C873)</f>
        <v/>
      </c>
      <c r="B2073" s="1" t="n">
        <f aca="false">IF(A2073="",0,IF(MATCH(A2073,$A$4:$A$2403,0)=ROW()-3,1,0))</f>
        <v>0</v>
      </c>
      <c r="C2073" s="1" t="n">
        <f aca="false">N(C2072)+B2073</f>
        <v>17</v>
      </c>
      <c r="K2073" s="1" t="n">
        <f aca="false">IF(OR($K$1="",对接源_02物料!$C873="",对接源_02物料!$C873&lt;&gt;$K$1,对接源_02物料!$B873=""),0,IF(OR(N(对接源_02物料!$B873)&lt;$K$2,N(对接源_02物料!$B873)&gt;$K$3),0,1))</f>
        <v>0</v>
      </c>
      <c r="L2073" s="1" t="n">
        <f aca="false">IF(OR($L$1="",对接源_02物料!$C873="",对接源_02物料!$C873&lt;&gt;$L$1,对接源_02物料!$B873=""),0,IF(OR(N(对接源_02物料!$B873)&lt;$L$2,N(对接源_02物料!$B873)&gt;$L$3),0,1))</f>
        <v>0</v>
      </c>
      <c r="M2073" s="1" t="n">
        <f aca="false">IF(OR($M$1="",对接源_02物料!$C873="",对接源_02物料!$C873&lt;&gt;$M$1,对接源_02物料!$B873=""),0,IF(OR(N(对接源_02物料!$B873)&lt;$M$2,N(对接源_02物料!$B873)&gt;$M$3),0,1))</f>
        <v>0</v>
      </c>
      <c r="N2073" s="1" t="n">
        <f aca="false">IF(OR($N$1="",对接源_02物料!$C873="",对接源_02物料!$C873&lt;&gt;$N$1,对接源_02物料!$B873=""),0,IF(OR(N(对接源_02物料!$B873)&lt;$N$2,N(对接源_02物料!$B873)&gt;$N$3),0,1))</f>
        <v>0</v>
      </c>
      <c r="P2073" s="1" t="n">
        <f aca="false">IF(AND($K2073=1,AND(对接源_02物料!$X873="公司筐",N(对接源_02物料!$T873)&lt;&gt;0)),1,0)</f>
        <v>0</v>
      </c>
      <c r="Q2073" s="1" t="n">
        <f aca="false">N(Q2072)+$P2073</f>
        <v>13</v>
      </c>
      <c r="R2073" s="1" t="n">
        <f aca="false">IF(AND($K2073=1,AND(对接源_02物料!$X873="公司筐",N(对接源_02物料!$U873)&lt;&gt;0)),1,0)</f>
        <v>0</v>
      </c>
      <c r="S2073" s="1" t="n">
        <f aca="false">N(S2072)+$R2073</f>
        <v>5</v>
      </c>
      <c r="T2073" s="1" t="n">
        <f aca="false">IF(AND($K2073=1,AND(对接源_02物料!$X873="公司筐",N(对接源_02物料!$V873)&lt;&gt;0)),1,0)</f>
        <v>0</v>
      </c>
      <c r="U2073" s="1" t="n">
        <f aca="false">N(U2072)+$T2073</f>
        <v>28</v>
      </c>
      <c r="V2073" s="1" t="n">
        <f aca="false">IF(AND($L2073=1,AND(对接源_02物料!$X873="自备筐",N(对接源_02物料!$V873)&lt;&gt;0)),1,0)</f>
        <v>0</v>
      </c>
      <c r="W2073" s="1" t="n">
        <f aca="false">N(W2072)+$V2073</f>
        <v>7</v>
      </c>
      <c r="X2073" s="1" t="n">
        <f aca="false">IF(AND($L2073=1,AND(对接源_02物料!$X873="自备筐",N(对接源_02物料!$T873)&lt;&gt;0)),1,0)</f>
        <v>0</v>
      </c>
      <c r="Y2073" s="1" t="n">
        <f aca="false">N(Y2072)+$X2073</f>
        <v>0</v>
      </c>
      <c r="Z2073" s="1" t="n">
        <f aca="false">IF(AND($M2073=1,对接源_02物料!$D873="原料入库"),1,0)</f>
        <v>0</v>
      </c>
      <c r="AA2073" s="1" t="n">
        <f aca="false">N(AA2072)+$Z2073</f>
        <v>30</v>
      </c>
      <c r="AB2073" s="1" t="n">
        <f aca="false">IF(AND($M2073=1,LEFT(对接源_02物料!$D873,4)="原料出库"),1,0)</f>
        <v>0</v>
      </c>
      <c r="AC2073" s="1" t="n">
        <f aca="false">N(AC2072)+$AB2073</f>
        <v>19</v>
      </c>
      <c r="AD2073" s="1" t="n">
        <f aca="false">IF(AND($M2073=1,LEFT(对接源_02物料!$D873,4)="成品出库"),1,0)</f>
        <v>0</v>
      </c>
      <c r="AE2073" s="1" t="n">
        <f aca="false">N(AE2072)+$AD2073</f>
        <v>38</v>
      </c>
      <c r="AF2073" s="1" t="n">
        <f aca="false">IF(AND($N2073=1,AND(LEFT(对接源_02物料!$D873,4)="包装物料",N(对接源_02物料!$K873)&lt;&gt;0)),1,0)</f>
        <v>0</v>
      </c>
      <c r="AG2073" s="1" t="n">
        <f aca="false">N(AG2072)+$AF2073</f>
        <v>6</v>
      </c>
      <c r="AH2073" s="1" t="n">
        <f aca="false">IF(AND($N2073=1,AND(LEFT(对接源_02物料!$D873,3)="周转筐",N(对接源_02物料!$K873)&lt;&gt;0)),1,0)</f>
        <v>0</v>
      </c>
      <c r="AI2073" s="1" t="n">
        <f aca="false">N(AI2072)+$AH2073</f>
        <v>0</v>
      </c>
      <c r="AJ2073" s="1" t="n">
        <v>0</v>
      </c>
      <c r="AK2073" s="1" t="n">
        <f aca="false">N(AK2072)+$AJ2073</f>
        <v>3672</v>
      </c>
    </row>
    <row r="2074" customFormat="false" ht="13.5" hidden="false" customHeight="false" outlineLevel="0" collapsed="false">
      <c r="A2074" s="1" t="str">
        <f aca="false">IF(对接源_02物料!$C874="","",对接源_02物料!$C874)</f>
        <v/>
      </c>
      <c r="B2074" s="1" t="n">
        <f aca="false">IF(A2074="",0,IF(MATCH(A2074,$A$4:$A$2403,0)=ROW()-3,1,0))</f>
        <v>0</v>
      </c>
      <c r="C2074" s="1" t="n">
        <f aca="false">N(C2073)+B2074</f>
        <v>17</v>
      </c>
      <c r="K2074" s="1" t="n">
        <f aca="false">IF(OR($K$1="",对接源_02物料!$C874="",对接源_02物料!$C874&lt;&gt;$K$1,对接源_02物料!$B874=""),0,IF(OR(N(对接源_02物料!$B874)&lt;$K$2,N(对接源_02物料!$B874)&gt;$K$3),0,1))</f>
        <v>0</v>
      </c>
      <c r="L2074" s="1" t="n">
        <f aca="false">IF(OR($L$1="",对接源_02物料!$C874="",对接源_02物料!$C874&lt;&gt;$L$1,对接源_02物料!$B874=""),0,IF(OR(N(对接源_02物料!$B874)&lt;$L$2,N(对接源_02物料!$B874)&gt;$L$3),0,1))</f>
        <v>0</v>
      </c>
      <c r="M2074" s="1" t="n">
        <f aca="false">IF(OR($M$1="",对接源_02物料!$C874="",对接源_02物料!$C874&lt;&gt;$M$1,对接源_02物料!$B874=""),0,IF(OR(N(对接源_02物料!$B874)&lt;$M$2,N(对接源_02物料!$B874)&gt;$M$3),0,1))</f>
        <v>0</v>
      </c>
      <c r="N2074" s="1" t="n">
        <f aca="false">IF(OR($N$1="",对接源_02物料!$C874="",对接源_02物料!$C874&lt;&gt;$N$1,对接源_02物料!$B874=""),0,IF(OR(N(对接源_02物料!$B874)&lt;$N$2,N(对接源_02物料!$B874)&gt;$N$3),0,1))</f>
        <v>0</v>
      </c>
      <c r="P2074" s="1" t="n">
        <f aca="false">IF(AND($K2074=1,AND(对接源_02物料!$X874="公司筐",N(对接源_02物料!$T874)&lt;&gt;0)),1,0)</f>
        <v>0</v>
      </c>
      <c r="Q2074" s="1" t="n">
        <f aca="false">N(Q2073)+$P2074</f>
        <v>13</v>
      </c>
      <c r="R2074" s="1" t="n">
        <f aca="false">IF(AND($K2074=1,AND(对接源_02物料!$X874="公司筐",N(对接源_02物料!$U874)&lt;&gt;0)),1,0)</f>
        <v>0</v>
      </c>
      <c r="S2074" s="1" t="n">
        <f aca="false">N(S2073)+$R2074</f>
        <v>5</v>
      </c>
      <c r="T2074" s="1" t="n">
        <f aca="false">IF(AND($K2074=1,AND(对接源_02物料!$X874="公司筐",N(对接源_02物料!$V874)&lt;&gt;0)),1,0)</f>
        <v>0</v>
      </c>
      <c r="U2074" s="1" t="n">
        <f aca="false">N(U2073)+$T2074</f>
        <v>28</v>
      </c>
      <c r="V2074" s="1" t="n">
        <f aca="false">IF(AND($L2074=1,AND(对接源_02物料!$X874="自备筐",N(对接源_02物料!$V874)&lt;&gt;0)),1,0)</f>
        <v>0</v>
      </c>
      <c r="W2074" s="1" t="n">
        <f aca="false">N(W2073)+$V2074</f>
        <v>7</v>
      </c>
      <c r="X2074" s="1" t="n">
        <f aca="false">IF(AND($L2074=1,AND(对接源_02物料!$X874="自备筐",N(对接源_02物料!$T874)&lt;&gt;0)),1,0)</f>
        <v>0</v>
      </c>
      <c r="Y2074" s="1" t="n">
        <f aca="false">N(Y2073)+$X2074</f>
        <v>0</v>
      </c>
      <c r="Z2074" s="1" t="n">
        <f aca="false">IF(AND($M2074=1,对接源_02物料!$D874="原料入库"),1,0)</f>
        <v>0</v>
      </c>
      <c r="AA2074" s="1" t="n">
        <f aca="false">N(AA2073)+$Z2074</f>
        <v>30</v>
      </c>
      <c r="AB2074" s="1" t="n">
        <f aca="false">IF(AND($M2074=1,LEFT(对接源_02物料!$D874,4)="原料出库"),1,0)</f>
        <v>0</v>
      </c>
      <c r="AC2074" s="1" t="n">
        <f aca="false">N(AC2073)+$AB2074</f>
        <v>19</v>
      </c>
      <c r="AD2074" s="1" t="n">
        <f aca="false">IF(AND($M2074=1,LEFT(对接源_02物料!$D874,4)="成品出库"),1,0)</f>
        <v>0</v>
      </c>
      <c r="AE2074" s="1" t="n">
        <f aca="false">N(AE2073)+$AD2074</f>
        <v>38</v>
      </c>
      <c r="AF2074" s="1" t="n">
        <f aca="false">IF(AND($N2074=1,AND(LEFT(对接源_02物料!$D874,4)="包装物料",N(对接源_02物料!$K874)&lt;&gt;0)),1,0)</f>
        <v>0</v>
      </c>
      <c r="AG2074" s="1" t="n">
        <f aca="false">N(AG2073)+$AF2074</f>
        <v>6</v>
      </c>
      <c r="AH2074" s="1" t="n">
        <f aca="false">IF(AND($N2074=1,AND(LEFT(对接源_02物料!$D874,3)="周转筐",N(对接源_02物料!$K874)&lt;&gt;0)),1,0)</f>
        <v>0</v>
      </c>
      <c r="AI2074" s="1" t="n">
        <f aca="false">N(AI2073)+$AH2074</f>
        <v>0</v>
      </c>
      <c r="AJ2074" s="1" t="n">
        <v>0</v>
      </c>
      <c r="AK2074" s="1" t="n">
        <f aca="false">N(AK2073)+$AJ2074</f>
        <v>3672</v>
      </c>
    </row>
    <row r="2075" customFormat="false" ht="13.5" hidden="false" customHeight="false" outlineLevel="0" collapsed="false">
      <c r="A2075" s="1" t="str">
        <f aca="false">IF(对接源_02物料!$C875="","",对接源_02物料!$C875)</f>
        <v/>
      </c>
      <c r="B2075" s="1" t="n">
        <f aca="false">IF(A2075="",0,IF(MATCH(A2075,$A$4:$A$2403,0)=ROW()-3,1,0))</f>
        <v>0</v>
      </c>
      <c r="C2075" s="1" t="n">
        <f aca="false">N(C2074)+B2075</f>
        <v>17</v>
      </c>
      <c r="K2075" s="1" t="n">
        <f aca="false">IF(OR($K$1="",对接源_02物料!$C875="",对接源_02物料!$C875&lt;&gt;$K$1,对接源_02物料!$B875=""),0,IF(OR(N(对接源_02物料!$B875)&lt;$K$2,N(对接源_02物料!$B875)&gt;$K$3),0,1))</f>
        <v>0</v>
      </c>
      <c r="L2075" s="1" t="n">
        <f aca="false">IF(OR($L$1="",对接源_02物料!$C875="",对接源_02物料!$C875&lt;&gt;$L$1,对接源_02物料!$B875=""),0,IF(OR(N(对接源_02物料!$B875)&lt;$L$2,N(对接源_02物料!$B875)&gt;$L$3),0,1))</f>
        <v>0</v>
      </c>
      <c r="M2075" s="1" t="n">
        <f aca="false">IF(OR($M$1="",对接源_02物料!$C875="",对接源_02物料!$C875&lt;&gt;$M$1,对接源_02物料!$B875=""),0,IF(OR(N(对接源_02物料!$B875)&lt;$M$2,N(对接源_02物料!$B875)&gt;$M$3),0,1))</f>
        <v>0</v>
      </c>
      <c r="N2075" s="1" t="n">
        <f aca="false">IF(OR($N$1="",对接源_02物料!$C875="",对接源_02物料!$C875&lt;&gt;$N$1,对接源_02物料!$B875=""),0,IF(OR(N(对接源_02物料!$B875)&lt;$N$2,N(对接源_02物料!$B875)&gt;$N$3),0,1))</f>
        <v>0</v>
      </c>
      <c r="P2075" s="1" t="n">
        <f aca="false">IF(AND($K2075=1,AND(对接源_02物料!$X875="公司筐",N(对接源_02物料!$T875)&lt;&gt;0)),1,0)</f>
        <v>0</v>
      </c>
      <c r="Q2075" s="1" t="n">
        <f aca="false">N(Q2074)+$P2075</f>
        <v>13</v>
      </c>
      <c r="R2075" s="1" t="n">
        <f aca="false">IF(AND($K2075=1,AND(对接源_02物料!$X875="公司筐",N(对接源_02物料!$U875)&lt;&gt;0)),1,0)</f>
        <v>0</v>
      </c>
      <c r="S2075" s="1" t="n">
        <f aca="false">N(S2074)+$R2075</f>
        <v>5</v>
      </c>
      <c r="T2075" s="1" t="n">
        <f aca="false">IF(AND($K2075=1,AND(对接源_02物料!$X875="公司筐",N(对接源_02物料!$V875)&lt;&gt;0)),1,0)</f>
        <v>0</v>
      </c>
      <c r="U2075" s="1" t="n">
        <f aca="false">N(U2074)+$T2075</f>
        <v>28</v>
      </c>
      <c r="V2075" s="1" t="n">
        <f aca="false">IF(AND($L2075=1,AND(对接源_02物料!$X875="自备筐",N(对接源_02物料!$V875)&lt;&gt;0)),1,0)</f>
        <v>0</v>
      </c>
      <c r="W2075" s="1" t="n">
        <f aca="false">N(W2074)+$V2075</f>
        <v>7</v>
      </c>
      <c r="X2075" s="1" t="n">
        <f aca="false">IF(AND($L2075=1,AND(对接源_02物料!$X875="自备筐",N(对接源_02物料!$T875)&lt;&gt;0)),1,0)</f>
        <v>0</v>
      </c>
      <c r="Y2075" s="1" t="n">
        <f aca="false">N(Y2074)+$X2075</f>
        <v>0</v>
      </c>
      <c r="Z2075" s="1" t="n">
        <f aca="false">IF(AND($M2075=1,对接源_02物料!$D875="原料入库"),1,0)</f>
        <v>0</v>
      </c>
      <c r="AA2075" s="1" t="n">
        <f aca="false">N(AA2074)+$Z2075</f>
        <v>30</v>
      </c>
      <c r="AB2075" s="1" t="n">
        <f aca="false">IF(AND($M2075=1,LEFT(对接源_02物料!$D875,4)="原料出库"),1,0)</f>
        <v>0</v>
      </c>
      <c r="AC2075" s="1" t="n">
        <f aca="false">N(AC2074)+$AB2075</f>
        <v>19</v>
      </c>
      <c r="AD2075" s="1" t="n">
        <f aca="false">IF(AND($M2075=1,LEFT(对接源_02物料!$D875,4)="成品出库"),1,0)</f>
        <v>0</v>
      </c>
      <c r="AE2075" s="1" t="n">
        <f aca="false">N(AE2074)+$AD2075</f>
        <v>38</v>
      </c>
      <c r="AF2075" s="1" t="n">
        <f aca="false">IF(AND($N2075=1,AND(LEFT(对接源_02物料!$D875,4)="包装物料",N(对接源_02物料!$K875)&lt;&gt;0)),1,0)</f>
        <v>0</v>
      </c>
      <c r="AG2075" s="1" t="n">
        <f aca="false">N(AG2074)+$AF2075</f>
        <v>6</v>
      </c>
      <c r="AH2075" s="1" t="n">
        <f aca="false">IF(AND($N2075=1,AND(LEFT(对接源_02物料!$D875,3)="周转筐",N(对接源_02物料!$K875)&lt;&gt;0)),1,0)</f>
        <v>0</v>
      </c>
      <c r="AI2075" s="1" t="n">
        <f aca="false">N(AI2074)+$AH2075</f>
        <v>0</v>
      </c>
      <c r="AJ2075" s="1" t="n">
        <v>0</v>
      </c>
      <c r="AK2075" s="1" t="n">
        <f aca="false">N(AK2074)+$AJ2075</f>
        <v>3672</v>
      </c>
    </row>
    <row r="2076" customFormat="false" ht="13.5" hidden="false" customHeight="false" outlineLevel="0" collapsed="false">
      <c r="A2076" s="1" t="str">
        <f aca="false">IF(对接源_02物料!$C876="","",对接源_02物料!$C876)</f>
        <v/>
      </c>
      <c r="B2076" s="1" t="n">
        <f aca="false">IF(A2076="",0,IF(MATCH(A2076,$A$4:$A$2403,0)=ROW()-3,1,0))</f>
        <v>0</v>
      </c>
      <c r="C2076" s="1" t="n">
        <f aca="false">N(C2075)+B2076</f>
        <v>17</v>
      </c>
      <c r="K2076" s="1" t="n">
        <f aca="false">IF(OR($K$1="",对接源_02物料!$C876="",对接源_02物料!$C876&lt;&gt;$K$1,对接源_02物料!$B876=""),0,IF(OR(N(对接源_02物料!$B876)&lt;$K$2,N(对接源_02物料!$B876)&gt;$K$3),0,1))</f>
        <v>0</v>
      </c>
      <c r="L2076" s="1" t="n">
        <f aca="false">IF(OR($L$1="",对接源_02物料!$C876="",对接源_02物料!$C876&lt;&gt;$L$1,对接源_02物料!$B876=""),0,IF(OR(N(对接源_02物料!$B876)&lt;$L$2,N(对接源_02物料!$B876)&gt;$L$3),0,1))</f>
        <v>0</v>
      </c>
      <c r="M2076" s="1" t="n">
        <f aca="false">IF(OR($M$1="",对接源_02物料!$C876="",对接源_02物料!$C876&lt;&gt;$M$1,对接源_02物料!$B876=""),0,IF(OR(N(对接源_02物料!$B876)&lt;$M$2,N(对接源_02物料!$B876)&gt;$M$3),0,1))</f>
        <v>0</v>
      </c>
      <c r="N2076" s="1" t="n">
        <f aca="false">IF(OR($N$1="",对接源_02物料!$C876="",对接源_02物料!$C876&lt;&gt;$N$1,对接源_02物料!$B876=""),0,IF(OR(N(对接源_02物料!$B876)&lt;$N$2,N(对接源_02物料!$B876)&gt;$N$3),0,1))</f>
        <v>0</v>
      </c>
      <c r="P2076" s="1" t="n">
        <f aca="false">IF(AND($K2076=1,AND(对接源_02物料!$X876="公司筐",N(对接源_02物料!$T876)&lt;&gt;0)),1,0)</f>
        <v>0</v>
      </c>
      <c r="Q2076" s="1" t="n">
        <f aca="false">N(Q2075)+$P2076</f>
        <v>13</v>
      </c>
      <c r="R2076" s="1" t="n">
        <f aca="false">IF(AND($K2076=1,AND(对接源_02物料!$X876="公司筐",N(对接源_02物料!$U876)&lt;&gt;0)),1,0)</f>
        <v>0</v>
      </c>
      <c r="S2076" s="1" t="n">
        <f aca="false">N(S2075)+$R2076</f>
        <v>5</v>
      </c>
      <c r="T2076" s="1" t="n">
        <f aca="false">IF(AND($K2076=1,AND(对接源_02物料!$X876="公司筐",N(对接源_02物料!$V876)&lt;&gt;0)),1,0)</f>
        <v>0</v>
      </c>
      <c r="U2076" s="1" t="n">
        <f aca="false">N(U2075)+$T2076</f>
        <v>28</v>
      </c>
      <c r="V2076" s="1" t="n">
        <f aca="false">IF(AND($L2076=1,AND(对接源_02物料!$X876="自备筐",N(对接源_02物料!$V876)&lt;&gt;0)),1,0)</f>
        <v>0</v>
      </c>
      <c r="W2076" s="1" t="n">
        <f aca="false">N(W2075)+$V2076</f>
        <v>7</v>
      </c>
      <c r="X2076" s="1" t="n">
        <f aca="false">IF(AND($L2076=1,AND(对接源_02物料!$X876="自备筐",N(对接源_02物料!$T876)&lt;&gt;0)),1,0)</f>
        <v>0</v>
      </c>
      <c r="Y2076" s="1" t="n">
        <f aca="false">N(Y2075)+$X2076</f>
        <v>0</v>
      </c>
      <c r="Z2076" s="1" t="n">
        <f aca="false">IF(AND($M2076=1,对接源_02物料!$D876="原料入库"),1,0)</f>
        <v>0</v>
      </c>
      <c r="AA2076" s="1" t="n">
        <f aca="false">N(AA2075)+$Z2076</f>
        <v>30</v>
      </c>
      <c r="AB2076" s="1" t="n">
        <f aca="false">IF(AND($M2076=1,LEFT(对接源_02物料!$D876,4)="原料出库"),1,0)</f>
        <v>0</v>
      </c>
      <c r="AC2076" s="1" t="n">
        <f aca="false">N(AC2075)+$AB2076</f>
        <v>19</v>
      </c>
      <c r="AD2076" s="1" t="n">
        <f aca="false">IF(AND($M2076=1,LEFT(对接源_02物料!$D876,4)="成品出库"),1,0)</f>
        <v>0</v>
      </c>
      <c r="AE2076" s="1" t="n">
        <f aca="false">N(AE2075)+$AD2076</f>
        <v>38</v>
      </c>
      <c r="AF2076" s="1" t="n">
        <f aca="false">IF(AND($N2076=1,AND(LEFT(对接源_02物料!$D876,4)="包装物料",N(对接源_02物料!$K876)&lt;&gt;0)),1,0)</f>
        <v>0</v>
      </c>
      <c r="AG2076" s="1" t="n">
        <f aca="false">N(AG2075)+$AF2076</f>
        <v>6</v>
      </c>
      <c r="AH2076" s="1" t="n">
        <f aca="false">IF(AND($N2076=1,AND(LEFT(对接源_02物料!$D876,3)="周转筐",N(对接源_02物料!$K876)&lt;&gt;0)),1,0)</f>
        <v>0</v>
      </c>
      <c r="AI2076" s="1" t="n">
        <f aca="false">N(AI2075)+$AH2076</f>
        <v>0</v>
      </c>
      <c r="AJ2076" s="1" t="n">
        <v>0</v>
      </c>
      <c r="AK2076" s="1" t="n">
        <f aca="false">N(AK2075)+$AJ2076</f>
        <v>3672</v>
      </c>
    </row>
    <row r="2077" customFormat="false" ht="13.5" hidden="false" customHeight="false" outlineLevel="0" collapsed="false">
      <c r="A2077" s="1" t="str">
        <f aca="false">IF(对接源_02物料!$C877="","",对接源_02物料!$C877)</f>
        <v/>
      </c>
      <c r="B2077" s="1" t="n">
        <f aca="false">IF(A2077="",0,IF(MATCH(A2077,$A$4:$A$2403,0)=ROW()-3,1,0))</f>
        <v>0</v>
      </c>
      <c r="C2077" s="1" t="n">
        <f aca="false">N(C2076)+B2077</f>
        <v>17</v>
      </c>
      <c r="K2077" s="1" t="n">
        <f aca="false">IF(OR($K$1="",对接源_02物料!$C877="",对接源_02物料!$C877&lt;&gt;$K$1,对接源_02物料!$B877=""),0,IF(OR(N(对接源_02物料!$B877)&lt;$K$2,N(对接源_02物料!$B877)&gt;$K$3),0,1))</f>
        <v>0</v>
      </c>
      <c r="L2077" s="1" t="n">
        <f aca="false">IF(OR($L$1="",对接源_02物料!$C877="",对接源_02物料!$C877&lt;&gt;$L$1,对接源_02物料!$B877=""),0,IF(OR(N(对接源_02物料!$B877)&lt;$L$2,N(对接源_02物料!$B877)&gt;$L$3),0,1))</f>
        <v>0</v>
      </c>
      <c r="M2077" s="1" t="n">
        <f aca="false">IF(OR($M$1="",对接源_02物料!$C877="",对接源_02物料!$C877&lt;&gt;$M$1,对接源_02物料!$B877=""),0,IF(OR(N(对接源_02物料!$B877)&lt;$M$2,N(对接源_02物料!$B877)&gt;$M$3),0,1))</f>
        <v>0</v>
      </c>
      <c r="N2077" s="1" t="n">
        <f aca="false">IF(OR($N$1="",对接源_02物料!$C877="",对接源_02物料!$C877&lt;&gt;$N$1,对接源_02物料!$B877=""),0,IF(OR(N(对接源_02物料!$B877)&lt;$N$2,N(对接源_02物料!$B877)&gt;$N$3),0,1))</f>
        <v>0</v>
      </c>
      <c r="P2077" s="1" t="n">
        <f aca="false">IF(AND($K2077=1,AND(对接源_02物料!$X877="公司筐",N(对接源_02物料!$T877)&lt;&gt;0)),1,0)</f>
        <v>0</v>
      </c>
      <c r="Q2077" s="1" t="n">
        <f aca="false">N(Q2076)+$P2077</f>
        <v>13</v>
      </c>
      <c r="R2077" s="1" t="n">
        <f aca="false">IF(AND($K2077=1,AND(对接源_02物料!$X877="公司筐",N(对接源_02物料!$U877)&lt;&gt;0)),1,0)</f>
        <v>0</v>
      </c>
      <c r="S2077" s="1" t="n">
        <f aca="false">N(S2076)+$R2077</f>
        <v>5</v>
      </c>
      <c r="T2077" s="1" t="n">
        <f aca="false">IF(AND($K2077=1,AND(对接源_02物料!$X877="公司筐",N(对接源_02物料!$V877)&lt;&gt;0)),1,0)</f>
        <v>0</v>
      </c>
      <c r="U2077" s="1" t="n">
        <f aca="false">N(U2076)+$T2077</f>
        <v>28</v>
      </c>
      <c r="V2077" s="1" t="n">
        <f aca="false">IF(AND($L2077=1,AND(对接源_02物料!$X877="自备筐",N(对接源_02物料!$V877)&lt;&gt;0)),1,0)</f>
        <v>0</v>
      </c>
      <c r="W2077" s="1" t="n">
        <f aca="false">N(W2076)+$V2077</f>
        <v>7</v>
      </c>
      <c r="X2077" s="1" t="n">
        <f aca="false">IF(AND($L2077=1,AND(对接源_02物料!$X877="自备筐",N(对接源_02物料!$T877)&lt;&gt;0)),1,0)</f>
        <v>0</v>
      </c>
      <c r="Y2077" s="1" t="n">
        <f aca="false">N(Y2076)+$X2077</f>
        <v>0</v>
      </c>
      <c r="Z2077" s="1" t="n">
        <f aca="false">IF(AND($M2077=1,对接源_02物料!$D877="原料入库"),1,0)</f>
        <v>0</v>
      </c>
      <c r="AA2077" s="1" t="n">
        <f aca="false">N(AA2076)+$Z2077</f>
        <v>30</v>
      </c>
      <c r="AB2077" s="1" t="n">
        <f aca="false">IF(AND($M2077=1,LEFT(对接源_02物料!$D877,4)="原料出库"),1,0)</f>
        <v>0</v>
      </c>
      <c r="AC2077" s="1" t="n">
        <f aca="false">N(AC2076)+$AB2077</f>
        <v>19</v>
      </c>
      <c r="AD2077" s="1" t="n">
        <f aca="false">IF(AND($M2077=1,LEFT(对接源_02物料!$D877,4)="成品出库"),1,0)</f>
        <v>0</v>
      </c>
      <c r="AE2077" s="1" t="n">
        <f aca="false">N(AE2076)+$AD2077</f>
        <v>38</v>
      </c>
      <c r="AF2077" s="1" t="n">
        <f aca="false">IF(AND($N2077=1,AND(LEFT(对接源_02物料!$D877,4)="包装物料",N(对接源_02物料!$K877)&lt;&gt;0)),1,0)</f>
        <v>0</v>
      </c>
      <c r="AG2077" s="1" t="n">
        <f aca="false">N(AG2076)+$AF2077</f>
        <v>6</v>
      </c>
      <c r="AH2077" s="1" t="n">
        <f aca="false">IF(AND($N2077=1,AND(LEFT(对接源_02物料!$D877,3)="周转筐",N(对接源_02物料!$K877)&lt;&gt;0)),1,0)</f>
        <v>0</v>
      </c>
      <c r="AI2077" s="1" t="n">
        <f aca="false">N(AI2076)+$AH2077</f>
        <v>0</v>
      </c>
      <c r="AJ2077" s="1" t="n">
        <v>0</v>
      </c>
      <c r="AK2077" s="1" t="n">
        <f aca="false">N(AK2076)+$AJ2077</f>
        <v>3672</v>
      </c>
    </row>
    <row r="2078" customFormat="false" ht="13.5" hidden="false" customHeight="false" outlineLevel="0" collapsed="false">
      <c r="A2078" s="1" t="str">
        <f aca="false">IF(对接源_02物料!$C878="","",对接源_02物料!$C878)</f>
        <v/>
      </c>
      <c r="B2078" s="1" t="n">
        <f aca="false">IF(A2078="",0,IF(MATCH(A2078,$A$4:$A$2403,0)=ROW()-3,1,0))</f>
        <v>0</v>
      </c>
      <c r="C2078" s="1" t="n">
        <f aca="false">N(C2077)+B2078</f>
        <v>17</v>
      </c>
      <c r="K2078" s="1" t="n">
        <f aca="false">IF(OR($K$1="",对接源_02物料!$C878="",对接源_02物料!$C878&lt;&gt;$K$1,对接源_02物料!$B878=""),0,IF(OR(N(对接源_02物料!$B878)&lt;$K$2,N(对接源_02物料!$B878)&gt;$K$3),0,1))</f>
        <v>0</v>
      </c>
      <c r="L2078" s="1" t="n">
        <f aca="false">IF(OR($L$1="",对接源_02物料!$C878="",对接源_02物料!$C878&lt;&gt;$L$1,对接源_02物料!$B878=""),0,IF(OR(N(对接源_02物料!$B878)&lt;$L$2,N(对接源_02物料!$B878)&gt;$L$3),0,1))</f>
        <v>0</v>
      </c>
      <c r="M2078" s="1" t="n">
        <f aca="false">IF(OR($M$1="",对接源_02物料!$C878="",对接源_02物料!$C878&lt;&gt;$M$1,对接源_02物料!$B878=""),0,IF(OR(N(对接源_02物料!$B878)&lt;$M$2,N(对接源_02物料!$B878)&gt;$M$3),0,1))</f>
        <v>0</v>
      </c>
      <c r="N2078" s="1" t="n">
        <f aca="false">IF(OR($N$1="",对接源_02物料!$C878="",对接源_02物料!$C878&lt;&gt;$N$1,对接源_02物料!$B878=""),0,IF(OR(N(对接源_02物料!$B878)&lt;$N$2,N(对接源_02物料!$B878)&gt;$N$3),0,1))</f>
        <v>0</v>
      </c>
      <c r="P2078" s="1" t="n">
        <f aca="false">IF(AND($K2078=1,AND(对接源_02物料!$X878="公司筐",N(对接源_02物料!$T878)&lt;&gt;0)),1,0)</f>
        <v>0</v>
      </c>
      <c r="Q2078" s="1" t="n">
        <f aca="false">N(Q2077)+$P2078</f>
        <v>13</v>
      </c>
      <c r="R2078" s="1" t="n">
        <f aca="false">IF(AND($K2078=1,AND(对接源_02物料!$X878="公司筐",N(对接源_02物料!$U878)&lt;&gt;0)),1,0)</f>
        <v>0</v>
      </c>
      <c r="S2078" s="1" t="n">
        <f aca="false">N(S2077)+$R2078</f>
        <v>5</v>
      </c>
      <c r="T2078" s="1" t="n">
        <f aca="false">IF(AND($K2078=1,AND(对接源_02物料!$X878="公司筐",N(对接源_02物料!$V878)&lt;&gt;0)),1,0)</f>
        <v>0</v>
      </c>
      <c r="U2078" s="1" t="n">
        <f aca="false">N(U2077)+$T2078</f>
        <v>28</v>
      </c>
      <c r="V2078" s="1" t="n">
        <f aca="false">IF(AND($L2078=1,AND(对接源_02物料!$X878="自备筐",N(对接源_02物料!$V878)&lt;&gt;0)),1,0)</f>
        <v>0</v>
      </c>
      <c r="W2078" s="1" t="n">
        <f aca="false">N(W2077)+$V2078</f>
        <v>7</v>
      </c>
      <c r="X2078" s="1" t="n">
        <f aca="false">IF(AND($L2078=1,AND(对接源_02物料!$X878="自备筐",N(对接源_02物料!$T878)&lt;&gt;0)),1,0)</f>
        <v>0</v>
      </c>
      <c r="Y2078" s="1" t="n">
        <f aca="false">N(Y2077)+$X2078</f>
        <v>0</v>
      </c>
      <c r="Z2078" s="1" t="n">
        <f aca="false">IF(AND($M2078=1,对接源_02物料!$D878="原料入库"),1,0)</f>
        <v>0</v>
      </c>
      <c r="AA2078" s="1" t="n">
        <f aca="false">N(AA2077)+$Z2078</f>
        <v>30</v>
      </c>
      <c r="AB2078" s="1" t="n">
        <f aca="false">IF(AND($M2078=1,LEFT(对接源_02物料!$D878,4)="原料出库"),1,0)</f>
        <v>0</v>
      </c>
      <c r="AC2078" s="1" t="n">
        <f aca="false">N(AC2077)+$AB2078</f>
        <v>19</v>
      </c>
      <c r="AD2078" s="1" t="n">
        <f aca="false">IF(AND($M2078=1,LEFT(对接源_02物料!$D878,4)="成品出库"),1,0)</f>
        <v>0</v>
      </c>
      <c r="AE2078" s="1" t="n">
        <f aca="false">N(AE2077)+$AD2078</f>
        <v>38</v>
      </c>
      <c r="AF2078" s="1" t="n">
        <f aca="false">IF(AND($N2078=1,AND(LEFT(对接源_02物料!$D878,4)="包装物料",N(对接源_02物料!$K878)&lt;&gt;0)),1,0)</f>
        <v>0</v>
      </c>
      <c r="AG2078" s="1" t="n">
        <f aca="false">N(AG2077)+$AF2078</f>
        <v>6</v>
      </c>
      <c r="AH2078" s="1" t="n">
        <f aca="false">IF(AND($N2078=1,AND(LEFT(对接源_02物料!$D878,3)="周转筐",N(对接源_02物料!$K878)&lt;&gt;0)),1,0)</f>
        <v>0</v>
      </c>
      <c r="AI2078" s="1" t="n">
        <f aca="false">N(AI2077)+$AH2078</f>
        <v>0</v>
      </c>
      <c r="AJ2078" s="1" t="n">
        <v>0</v>
      </c>
      <c r="AK2078" s="1" t="n">
        <f aca="false">N(AK2077)+$AJ2078</f>
        <v>3672</v>
      </c>
    </row>
    <row r="2079" customFormat="false" ht="13.5" hidden="false" customHeight="false" outlineLevel="0" collapsed="false">
      <c r="A2079" s="1" t="str">
        <f aca="false">IF(对接源_02物料!$C879="","",对接源_02物料!$C879)</f>
        <v/>
      </c>
      <c r="B2079" s="1" t="n">
        <f aca="false">IF(A2079="",0,IF(MATCH(A2079,$A$4:$A$2403,0)=ROW()-3,1,0))</f>
        <v>0</v>
      </c>
      <c r="C2079" s="1" t="n">
        <f aca="false">N(C2078)+B2079</f>
        <v>17</v>
      </c>
      <c r="K2079" s="1" t="n">
        <f aca="false">IF(OR($K$1="",对接源_02物料!$C879="",对接源_02物料!$C879&lt;&gt;$K$1,对接源_02物料!$B879=""),0,IF(OR(N(对接源_02物料!$B879)&lt;$K$2,N(对接源_02物料!$B879)&gt;$K$3),0,1))</f>
        <v>0</v>
      </c>
      <c r="L2079" s="1" t="n">
        <f aca="false">IF(OR($L$1="",对接源_02物料!$C879="",对接源_02物料!$C879&lt;&gt;$L$1,对接源_02物料!$B879=""),0,IF(OR(N(对接源_02物料!$B879)&lt;$L$2,N(对接源_02物料!$B879)&gt;$L$3),0,1))</f>
        <v>0</v>
      </c>
      <c r="M2079" s="1" t="n">
        <f aca="false">IF(OR($M$1="",对接源_02物料!$C879="",对接源_02物料!$C879&lt;&gt;$M$1,对接源_02物料!$B879=""),0,IF(OR(N(对接源_02物料!$B879)&lt;$M$2,N(对接源_02物料!$B879)&gt;$M$3),0,1))</f>
        <v>0</v>
      </c>
      <c r="N2079" s="1" t="n">
        <f aca="false">IF(OR($N$1="",对接源_02物料!$C879="",对接源_02物料!$C879&lt;&gt;$N$1,对接源_02物料!$B879=""),0,IF(OR(N(对接源_02物料!$B879)&lt;$N$2,N(对接源_02物料!$B879)&gt;$N$3),0,1))</f>
        <v>0</v>
      </c>
      <c r="P2079" s="1" t="n">
        <f aca="false">IF(AND($K2079=1,AND(对接源_02物料!$X879="公司筐",N(对接源_02物料!$T879)&lt;&gt;0)),1,0)</f>
        <v>0</v>
      </c>
      <c r="Q2079" s="1" t="n">
        <f aca="false">N(Q2078)+$P2079</f>
        <v>13</v>
      </c>
      <c r="R2079" s="1" t="n">
        <f aca="false">IF(AND($K2079=1,AND(对接源_02物料!$X879="公司筐",N(对接源_02物料!$U879)&lt;&gt;0)),1,0)</f>
        <v>0</v>
      </c>
      <c r="S2079" s="1" t="n">
        <f aca="false">N(S2078)+$R2079</f>
        <v>5</v>
      </c>
      <c r="T2079" s="1" t="n">
        <f aca="false">IF(AND($K2079=1,AND(对接源_02物料!$X879="公司筐",N(对接源_02物料!$V879)&lt;&gt;0)),1,0)</f>
        <v>0</v>
      </c>
      <c r="U2079" s="1" t="n">
        <f aca="false">N(U2078)+$T2079</f>
        <v>28</v>
      </c>
      <c r="V2079" s="1" t="n">
        <f aca="false">IF(AND($L2079=1,AND(对接源_02物料!$X879="自备筐",N(对接源_02物料!$V879)&lt;&gt;0)),1,0)</f>
        <v>0</v>
      </c>
      <c r="W2079" s="1" t="n">
        <f aca="false">N(W2078)+$V2079</f>
        <v>7</v>
      </c>
      <c r="X2079" s="1" t="n">
        <f aca="false">IF(AND($L2079=1,AND(对接源_02物料!$X879="自备筐",N(对接源_02物料!$T879)&lt;&gt;0)),1,0)</f>
        <v>0</v>
      </c>
      <c r="Y2079" s="1" t="n">
        <f aca="false">N(Y2078)+$X2079</f>
        <v>0</v>
      </c>
      <c r="Z2079" s="1" t="n">
        <f aca="false">IF(AND($M2079=1,对接源_02物料!$D879="原料入库"),1,0)</f>
        <v>0</v>
      </c>
      <c r="AA2079" s="1" t="n">
        <f aca="false">N(AA2078)+$Z2079</f>
        <v>30</v>
      </c>
      <c r="AB2079" s="1" t="n">
        <f aca="false">IF(AND($M2079=1,LEFT(对接源_02物料!$D879,4)="原料出库"),1,0)</f>
        <v>0</v>
      </c>
      <c r="AC2079" s="1" t="n">
        <f aca="false">N(AC2078)+$AB2079</f>
        <v>19</v>
      </c>
      <c r="AD2079" s="1" t="n">
        <f aca="false">IF(AND($M2079=1,LEFT(对接源_02物料!$D879,4)="成品出库"),1,0)</f>
        <v>0</v>
      </c>
      <c r="AE2079" s="1" t="n">
        <f aca="false">N(AE2078)+$AD2079</f>
        <v>38</v>
      </c>
      <c r="AF2079" s="1" t="n">
        <f aca="false">IF(AND($N2079=1,AND(LEFT(对接源_02物料!$D879,4)="包装物料",N(对接源_02物料!$K879)&lt;&gt;0)),1,0)</f>
        <v>0</v>
      </c>
      <c r="AG2079" s="1" t="n">
        <f aca="false">N(AG2078)+$AF2079</f>
        <v>6</v>
      </c>
      <c r="AH2079" s="1" t="n">
        <f aca="false">IF(AND($N2079=1,AND(LEFT(对接源_02物料!$D879,3)="周转筐",N(对接源_02物料!$K879)&lt;&gt;0)),1,0)</f>
        <v>0</v>
      </c>
      <c r="AI2079" s="1" t="n">
        <f aca="false">N(AI2078)+$AH2079</f>
        <v>0</v>
      </c>
      <c r="AJ2079" s="1" t="n">
        <v>0</v>
      </c>
      <c r="AK2079" s="1" t="n">
        <f aca="false">N(AK2078)+$AJ2079</f>
        <v>3672</v>
      </c>
    </row>
    <row r="2080" customFormat="false" ht="13.5" hidden="false" customHeight="false" outlineLevel="0" collapsed="false">
      <c r="A2080" s="1" t="str">
        <f aca="false">IF(对接源_02物料!$C880="","",对接源_02物料!$C880)</f>
        <v/>
      </c>
      <c r="B2080" s="1" t="n">
        <f aca="false">IF(A2080="",0,IF(MATCH(A2080,$A$4:$A$2403,0)=ROW()-3,1,0))</f>
        <v>0</v>
      </c>
      <c r="C2080" s="1" t="n">
        <f aca="false">N(C2079)+B2080</f>
        <v>17</v>
      </c>
      <c r="K2080" s="1" t="n">
        <f aca="false">IF(OR($K$1="",对接源_02物料!$C880="",对接源_02物料!$C880&lt;&gt;$K$1,对接源_02物料!$B880=""),0,IF(OR(N(对接源_02物料!$B880)&lt;$K$2,N(对接源_02物料!$B880)&gt;$K$3),0,1))</f>
        <v>0</v>
      </c>
      <c r="L2080" s="1" t="n">
        <f aca="false">IF(OR($L$1="",对接源_02物料!$C880="",对接源_02物料!$C880&lt;&gt;$L$1,对接源_02物料!$B880=""),0,IF(OR(N(对接源_02物料!$B880)&lt;$L$2,N(对接源_02物料!$B880)&gt;$L$3),0,1))</f>
        <v>0</v>
      </c>
      <c r="M2080" s="1" t="n">
        <f aca="false">IF(OR($M$1="",对接源_02物料!$C880="",对接源_02物料!$C880&lt;&gt;$M$1,对接源_02物料!$B880=""),0,IF(OR(N(对接源_02物料!$B880)&lt;$M$2,N(对接源_02物料!$B880)&gt;$M$3),0,1))</f>
        <v>0</v>
      </c>
      <c r="N2080" s="1" t="n">
        <f aca="false">IF(OR($N$1="",对接源_02物料!$C880="",对接源_02物料!$C880&lt;&gt;$N$1,对接源_02物料!$B880=""),0,IF(OR(N(对接源_02物料!$B880)&lt;$N$2,N(对接源_02物料!$B880)&gt;$N$3),0,1))</f>
        <v>0</v>
      </c>
      <c r="P2080" s="1" t="n">
        <f aca="false">IF(AND($K2080=1,AND(对接源_02物料!$X880="公司筐",N(对接源_02物料!$T880)&lt;&gt;0)),1,0)</f>
        <v>0</v>
      </c>
      <c r="Q2080" s="1" t="n">
        <f aca="false">N(Q2079)+$P2080</f>
        <v>13</v>
      </c>
      <c r="R2080" s="1" t="n">
        <f aca="false">IF(AND($K2080=1,AND(对接源_02物料!$X880="公司筐",N(对接源_02物料!$U880)&lt;&gt;0)),1,0)</f>
        <v>0</v>
      </c>
      <c r="S2080" s="1" t="n">
        <f aca="false">N(S2079)+$R2080</f>
        <v>5</v>
      </c>
      <c r="T2080" s="1" t="n">
        <f aca="false">IF(AND($K2080=1,AND(对接源_02物料!$X880="公司筐",N(对接源_02物料!$V880)&lt;&gt;0)),1,0)</f>
        <v>0</v>
      </c>
      <c r="U2080" s="1" t="n">
        <f aca="false">N(U2079)+$T2080</f>
        <v>28</v>
      </c>
      <c r="V2080" s="1" t="n">
        <f aca="false">IF(AND($L2080=1,AND(对接源_02物料!$X880="自备筐",N(对接源_02物料!$V880)&lt;&gt;0)),1,0)</f>
        <v>0</v>
      </c>
      <c r="W2080" s="1" t="n">
        <f aca="false">N(W2079)+$V2080</f>
        <v>7</v>
      </c>
      <c r="X2080" s="1" t="n">
        <f aca="false">IF(AND($L2080=1,AND(对接源_02物料!$X880="自备筐",N(对接源_02物料!$T880)&lt;&gt;0)),1,0)</f>
        <v>0</v>
      </c>
      <c r="Y2080" s="1" t="n">
        <f aca="false">N(Y2079)+$X2080</f>
        <v>0</v>
      </c>
      <c r="Z2080" s="1" t="n">
        <f aca="false">IF(AND($M2080=1,对接源_02物料!$D880="原料入库"),1,0)</f>
        <v>0</v>
      </c>
      <c r="AA2080" s="1" t="n">
        <f aca="false">N(AA2079)+$Z2080</f>
        <v>30</v>
      </c>
      <c r="AB2080" s="1" t="n">
        <f aca="false">IF(AND($M2080=1,LEFT(对接源_02物料!$D880,4)="原料出库"),1,0)</f>
        <v>0</v>
      </c>
      <c r="AC2080" s="1" t="n">
        <f aca="false">N(AC2079)+$AB2080</f>
        <v>19</v>
      </c>
      <c r="AD2080" s="1" t="n">
        <f aca="false">IF(AND($M2080=1,LEFT(对接源_02物料!$D880,4)="成品出库"),1,0)</f>
        <v>0</v>
      </c>
      <c r="AE2080" s="1" t="n">
        <f aca="false">N(AE2079)+$AD2080</f>
        <v>38</v>
      </c>
      <c r="AF2080" s="1" t="n">
        <f aca="false">IF(AND($N2080=1,AND(LEFT(对接源_02物料!$D880,4)="包装物料",N(对接源_02物料!$K880)&lt;&gt;0)),1,0)</f>
        <v>0</v>
      </c>
      <c r="AG2080" s="1" t="n">
        <f aca="false">N(AG2079)+$AF2080</f>
        <v>6</v>
      </c>
      <c r="AH2080" s="1" t="n">
        <f aca="false">IF(AND($N2080=1,AND(LEFT(对接源_02物料!$D880,3)="周转筐",N(对接源_02物料!$K880)&lt;&gt;0)),1,0)</f>
        <v>0</v>
      </c>
      <c r="AI2080" s="1" t="n">
        <f aca="false">N(AI2079)+$AH2080</f>
        <v>0</v>
      </c>
      <c r="AJ2080" s="1" t="n">
        <v>0</v>
      </c>
      <c r="AK2080" s="1" t="n">
        <f aca="false">N(AK2079)+$AJ2080</f>
        <v>3672</v>
      </c>
    </row>
    <row r="2081" customFormat="false" ht="13.5" hidden="false" customHeight="false" outlineLevel="0" collapsed="false">
      <c r="A2081" s="1" t="str">
        <f aca="false">IF(对接源_02物料!$C881="","",对接源_02物料!$C881)</f>
        <v/>
      </c>
      <c r="B2081" s="1" t="n">
        <f aca="false">IF(A2081="",0,IF(MATCH(A2081,$A$4:$A$2403,0)=ROW()-3,1,0))</f>
        <v>0</v>
      </c>
      <c r="C2081" s="1" t="n">
        <f aca="false">N(C2080)+B2081</f>
        <v>17</v>
      </c>
      <c r="K2081" s="1" t="n">
        <f aca="false">IF(OR($K$1="",对接源_02物料!$C881="",对接源_02物料!$C881&lt;&gt;$K$1,对接源_02物料!$B881=""),0,IF(OR(N(对接源_02物料!$B881)&lt;$K$2,N(对接源_02物料!$B881)&gt;$K$3),0,1))</f>
        <v>0</v>
      </c>
      <c r="L2081" s="1" t="n">
        <f aca="false">IF(OR($L$1="",对接源_02物料!$C881="",对接源_02物料!$C881&lt;&gt;$L$1,对接源_02物料!$B881=""),0,IF(OR(N(对接源_02物料!$B881)&lt;$L$2,N(对接源_02物料!$B881)&gt;$L$3),0,1))</f>
        <v>0</v>
      </c>
      <c r="M2081" s="1" t="n">
        <f aca="false">IF(OR($M$1="",对接源_02物料!$C881="",对接源_02物料!$C881&lt;&gt;$M$1,对接源_02物料!$B881=""),0,IF(OR(N(对接源_02物料!$B881)&lt;$M$2,N(对接源_02物料!$B881)&gt;$M$3),0,1))</f>
        <v>0</v>
      </c>
      <c r="N2081" s="1" t="n">
        <f aca="false">IF(OR($N$1="",对接源_02物料!$C881="",对接源_02物料!$C881&lt;&gt;$N$1,对接源_02物料!$B881=""),0,IF(OR(N(对接源_02物料!$B881)&lt;$N$2,N(对接源_02物料!$B881)&gt;$N$3),0,1))</f>
        <v>0</v>
      </c>
      <c r="P2081" s="1" t="n">
        <f aca="false">IF(AND($K2081=1,AND(对接源_02物料!$X881="公司筐",N(对接源_02物料!$T881)&lt;&gt;0)),1,0)</f>
        <v>0</v>
      </c>
      <c r="Q2081" s="1" t="n">
        <f aca="false">N(Q2080)+$P2081</f>
        <v>13</v>
      </c>
      <c r="R2081" s="1" t="n">
        <f aca="false">IF(AND($K2081=1,AND(对接源_02物料!$X881="公司筐",N(对接源_02物料!$U881)&lt;&gt;0)),1,0)</f>
        <v>0</v>
      </c>
      <c r="S2081" s="1" t="n">
        <f aca="false">N(S2080)+$R2081</f>
        <v>5</v>
      </c>
      <c r="T2081" s="1" t="n">
        <f aca="false">IF(AND($K2081=1,AND(对接源_02物料!$X881="公司筐",N(对接源_02物料!$V881)&lt;&gt;0)),1,0)</f>
        <v>0</v>
      </c>
      <c r="U2081" s="1" t="n">
        <f aca="false">N(U2080)+$T2081</f>
        <v>28</v>
      </c>
      <c r="V2081" s="1" t="n">
        <f aca="false">IF(AND($L2081=1,AND(对接源_02物料!$X881="自备筐",N(对接源_02物料!$V881)&lt;&gt;0)),1,0)</f>
        <v>0</v>
      </c>
      <c r="W2081" s="1" t="n">
        <f aca="false">N(W2080)+$V2081</f>
        <v>7</v>
      </c>
      <c r="X2081" s="1" t="n">
        <f aca="false">IF(AND($L2081=1,AND(对接源_02物料!$X881="自备筐",N(对接源_02物料!$T881)&lt;&gt;0)),1,0)</f>
        <v>0</v>
      </c>
      <c r="Y2081" s="1" t="n">
        <f aca="false">N(Y2080)+$X2081</f>
        <v>0</v>
      </c>
      <c r="Z2081" s="1" t="n">
        <f aca="false">IF(AND($M2081=1,对接源_02物料!$D881="原料入库"),1,0)</f>
        <v>0</v>
      </c>
      <c r="AA2081" s="1" t="n">
        <f aca="false">N(AA2080)+$Z2081</f>
        <v>30</v>
      </c>
      <c r="AB2081" s="1" t="n">
        <f aca="false">IF(AND($M2081=1,LEFT(对接源_02物料!$D881,4)="原料出库"),1,0)</f>
        <v>0</v>
      </c>
      <c r="AC2081" s="1" t="n">
        <f aca="false">N(AC2080)+$AB2081</f>
        <v>19</v>
      </c>
      <c r="AD2081" s="1" t="n">
        <f aca="false">IF(AND($M2081=1,LEFT(对接源_02物料!$D881,4)="成品出库"),1,0)</f>
        <v>0</v>
      </c>
      <c r="AE2081" s="1" t="n">
        <f aca="false">N(AE2080)+$AD2081</f>
        <v>38</v>
      </c>
      <c r="AF2081" s="1" t="n">
        <f aca="false">IF(AND($N2081=1,AND(LEFT(对接源_02物料!$D881,4)="包装物料",N(对接源_02物料!$K881)&lt;&gt;0)),1,0)</f>
        <v>0</v>
      </c>
      <c r="AG2081" s="1" t="n">
        <f aca="false">N(AG2080)+$AF2081</f>
        <v>6</v>
      </c>
      <c r="AH2081" s="1" t="n">
        <f aca="false">IF(AND($N2081=1,AND(LEFT(对接源_02物料!$D881,3)="周转筐",N(对接源_02物料!$K881)&lt;&gt;0)),1,0)</f>
        <v>0</v>
      </c>
      <c r="AI2081" s="1" t="n">
        <f aca="false">N(AI2080)+$AH2081</f>
        <v>0</v>
      </c>
      <c r="AJ2081" s="1" t="n">
        <v>0</v>
      </c>
      <c r="AK2081" s="1" t="n">
        <f aca="false">N(AK2080)+$AJ2081</f>
        <v>3672</v>
      </c>
    </row>
    <row r="2082" customFormat="false" ht="13.5" hidden="false" customHeight="false" outlineLevel="0" collapsed="false">
      <c r="A2082" s="1" t="str">
        <f aca="false">IF(对接源_02物料!$C882="","",对接源_02物料!$C882)</f>
        <v/>
      </c>
      <c r="B2082" s="1" t="n">
        <f aca="false">IF(A2082="",0,IF(MATCH(A2082,$A$4:$A$2403,0)=ROW()-3,1,0))</f>
        <v>0</v>
      </c>
      <c r="C2082" s="1" t="n">
        <f aca="false">N(C2081)+B2082</f>
        <v>17</v>
      </c>
      <c r="K2082" s="1" t="n">
        <f aca="false">IF(OR($K$1="",对接源_02物料!$C882="",对接源_02物料!$C882&lt;&gt;$K$1,对接源_02物料!$B882=""),0,IF(OR(N(对接源_02物料!$B882)&lt;$K$2,N(对接源_02物料!$B882)&gt;$K$3),0,1))</f>
        <v>0</v>
      </c>
      <c r="L2082" s="1" t="n">
        <f aca="false">IF(OR($L$1="",对接源_02物料!$C882="",对接源_02物料!$C882&lt;&gt;$L$1,对接源_02物料!$B882=""),0,IF(OR(N(对接源_02物料!$B882)&lt;$L$2,N(对接源_02物料!$B882)&gt;$L$3),0,1))</f>
        <v>0</v>
      </c>
      <c r="M2082" s="1" t="n">
        <f aca="false">IF(OR($M$1="",对接源_02物料!$C882="",对接源_02物料!$C882&lt;&gt;$M$1,对接源_02物料!$B882=""),0,IF(OR(N(对接源_02物料!$B882)&lt;$M$2,N(对接源_02物料!$B882)&gt;$M$3),0,1))</f>
        <v>0</v>
      </c>
      <c r="N2082" s="1" t="n">
        <f aca="false">IF(OR($N$1="",对接源_02物料!$C882="",对接源_02物料!$C882&lt;&gt;$N$1,对接源_02物料!$B882=""),0,IF(OR(N(对接源_02物料!$B882)&lt;$N$2,N(对接源_02物料!$B882)&gt;$N$3),0,1))</f>
        <v>0</v>
      </c>
      <c r="P2082" s="1" t="n">
        <f aca="false">IF(AND($K2082=1,AND(对接源_02物料!$X882="公司筐",N(对接源_02物料!$T882)&lt;&gt;0)),1,0)</f>
        <v>0</v>
      </c>
      <c r="Q2082" s="1" t="n">
        <f aca="false">N(Q2081)+$P2082</f>
        <v>13</v>
      </c>
      <c r="R2082" s="1" t="n">
        <f aca="false">IF(AND($K2082=1,AND(对接源_02物料!$X882="公司筐",N(对接源_02物料!$U882)&lt;&gt;0)),1,0)</f>
        <v>0</v>
      </c>
      <c r="S2082" s="1" t="n">
        <f aca="false">N(S2081)+$R2082</f>
        <v>5</v>
      </c>
      <c r="T2082" s="1" t="n">
        <f aca="false">IF(AND($K2082=1,AND(对接源_02物料!$X882="公司筐",N(对接源_02物料!$V882)&lt;&gt;0)),1,0)</f>
        <v>0</v>
      </c>
      <c r="U2082" s="1" t="n">
        <f aca="false">N(U2081)+$T2082</f>
        <v>28</v>
      </c>
      <c r="V2082" s="1" t="n">
        <f aca="false">IF(AND($L2082=1,AND(对接源_02物料!$X882="自备筐",N(对接源_02物料!$V882)&lt;&gt;0)),1,0)</f>
        <v>0</v>
      </c>
      <c r="W2082" s="1" t="n">
        <f aca="false">N(W2081)+$V2082</f>
        <v>7</v>
      </c>
      <c r="X2082" s="1" t="n">
        <f aca="false">IF(AND($L2082=1,AND(对接源_02物料!$X882="自备筐",N(对接源_02物料!$T882)&lt;&gt;0)),1,0)</f>
        <v>0</v>
      </c>
      <c r="Y2082" s="1" t="n">
        <f aca="false">N(Y2081)+$X2082</f>
        <v>0</v>
      </c>
      <c r="Z2082" s="1" t="n">
        <f aca="false">IF(AND($M2082=1,对接源_02物料!$D882="原料入库"),1,0)</f>
        <v>0</v>
      </c>
      <c r="AA2082" s="1" t="n">
        <f aca="false">N(AA2081)+$Z2082</f>
        <v>30</v>
      </c>
      <c r="AB2082" s="1" t="n">
        <f aca="false">IF(AND($M2082=1,LEFT(对接源_02物料!$D882,4)="原料出库"),1,0)</f>
        <v>0</v>
      </c>
      <c r="AC2082" s="1" t="n">
        <f aca="false">N(AC2081)+$AB2082</f>
        <v>19</v>
      </c>
      <c r="AD2082" s="1" t="n">
        <f aca="false">IF(AND($M2082=1,LEFT(对接源_02物料!$D882,4)="成品出库"),1,0)</f>
        <v>0</v>
      </c>
      <c r="AE2082" s="1" t="n">
        <f aca="false">N(AE2081)+$AD2082</f>
        <v>38</v>
      </c>
      <c r="AF2082" s="1" t="n">
        <f aca="false">IF(AND($N2082=1,AND(LEFT(对接源_02物料!$D882,4)="包装物料",N(对接源_02物料!$K882)&lt;&gt;0)),1,0)</f>
        <v>0</v>
      </c>
      <c r="AG2082" s="1" t="n">
        <f aca="false">N(AG2081)+$AF2082</f>
        <v>6</v>
      </c>
      <c r="AH2082" s="1" t="n">
        <f aca="false">IF(AND($N2082=1,AND(LEFT(对接源_02物料!$D882,3)="周转筐",N(对接源_02物料!$K882)&lt;&gt;0)),1,0)</f>
        <v>0</v>
      </c>
      <c r="AI2082" s="1" t="n">
        <f aca="false">N(AI2081)+$AH2082</f>
        <v>0</v>
      </c>
      <c r="AJ2082" s="1" t="n">
        <v>0</v>
      </c>
      <c r="AK2082" s="1" t="n">
        <f aca="false">N(AK2081)+$AJ2082</f>
        <v>3672</v>
      </c>
    </row>
    <row r="2083" customFormat="false" ht="13.5" hidden="false" customHeight="false" outlineLevel="0" collapsed="false">
      <c r="A2083" s="1" t="str">
        <f aca="false">IF(对接源_02物料!$C883="","",对接源_02物料!$C883)</f>
        <v/>
      </c>
      <c r="B2083" s="1" t="n">
        <f aca="false">IF(A2083="",0,IF(MATCH(A2083,$A$4:$A$2403,0)=ROW()-3,1,0))</f>
        <v>0</v>
      </c>
      <c r="C2083" s="1" t="n">
        <f aca="false">N(C2082)+B2083</f>
        <v>17</v>
      </c>
      <c r="K2083" s="1" t="n">
        <f aca="false">IF(OR($K$1="",对接源_02物料!$C883="",对接源_02物料!$C883&lt;&gt;$K$1,对接源_02物料!$B883=""),0,IF(OR(N(对接源_02物料!$B883)&lt;$K$2,N(对接源_02物料!$B883)&gt;$K$3),0,1))</f>
        <v>0</v>
      </c>
      <c r="L2083" s="1" t="n">
        <f aca="false">IF(OR($L$1="",对接源_02物料!$C883="",对接源_02物料!$C883&lt;&gt;$L$1,对接源_02物料!$B883=""),0,IF(OR(N(对接源_02物料!$B883)&lt;$L$2,N(对接源_02物料!$B883)&gt;$L$3),0,1))</f>
        <v>0</v>
      </c>
      <c r="M2083" s="1" t="n">
        <f aca="false">IF(OR($M$1="",对接源_02物料!$C883="",对接源_02物料!$C883&lt;&gt;$M$1,对接源_02物料!$B883=""),0,IF(OR(N(对接源_02物料!$B883)&lt;$M$2,N(对接源_02物料!$B883)&gt;$M$3),0,1))</f>
        <v>0</v>
      </c>
      <c r="N2083" s="1" t="n">
        <f aca="false">IF(OR($N$1="",对接源_02物料!$C883="",对接源_02物料!$C883&lt;&gt;$N$1,对接源_02物料!$B883=""),0,IF(OR(N(对接源_02物料!$B883)&lt;$N$2,N(对接源_02物料!$B883)&gt;$N$3),0,1))</f>
        <v>0</v>
      </c>
      <c r="P2083" s="1" t="n">
        <f aca="false">IF(AND($K2083=1,AND(对接源_02物料!$X883="公司筐",N(对接源_02物料!$T883)&lt;&gt;0)),1,0)</f>
        <v>0</v>
      </c>
      <c r="Q2083" s="1" t="n">
        <f aca="false">N(Q2082)+$P2083</f>
        <v>13</v>
      </c>
      <c r="R2083" s="1" t="n">
        <f aca="false">IF(AND($K2083=1,AND(对接源_02物料!$X883="公司筐",N(对接源_02物料!$U883)&lt;&gt;0)),1,0)</f>
        <v>0</v>
      </c>
      <c r="S2083" s="1" t="n">
        <f aca="false">N(S2082)+$R2083</f>
        <v>5</v>
      </c>
      <c r="T2083" s="1" t="n">
        <f aca="false">IF(AND($K2083=1,AND(对接源_02物料!$X883="公司筐",N(对接源_02物料!$V883)&lt;&gt;0)),1,0)</f>
        <v>0</v>
      </c>
      <c r="U2083" s="1" t="n">
        <f aca="false">N(U2082)+$T2083</f>
        <v>28</v>
      </c>
      <c r="V2083" s="1" t="n">
        <f aca="false">IF(AND($L2083=1,AND(对接源_02物料!$X883="自备筐",N(对接源_02物料!$V883)&lt;&gt;0)),1,0)</f>
        <v>0</v>
      </c>
      <c r="W2083" s="1" t="n">
        <f aca="false">N(W2082)+$V2083</f>
        <v>7</v>
      </c>
      <c r="X2083" s="1" t="n">
        <f aca="false">IF(AND($L2083=1,AND(对接源_02物料!$X883="自备筐",N(对接源_02物料!$T883)&lt;&gt;0)),1,0)</f>
        <v>0</v>
      </c>
      <c r="Y2083" s="1" t="n">
        <f aca="false">N(Y2082)+$X2083</f>
        <v>0</v>
      </c>
      <c r="Z2083" s="1" t="n">
        <f aca="false">IF(AND($M2083=1,对接源_02物料!$D883="原料入库"),1,0)</f>
        <v>0</v>
      </c>
      <c r="AA2083" s="1" t="n">
        <f aca="false">N(AA2082)+$Z2083</f>
        <v>30</v>
      </c>
      <c r="AB2083" s="1" t="n">
        <f aca="false">IF(AND($M2083=1,LEFT(对接源_02物料!$D883,4)="原料出库"),1,0)</f>
        <v>0</v>
      </c>
      <c r="AC2083" s="1" t="n">
        <f aca="false">N(AC2082)+$AB2083</f>
        <v>19</v>
      </c>
      <c r="AD2083" s="1" t="n">
        <f aca="false">IF(AND($M2083=1,LEFT(对接源_02物料!$D883,4)="成品出库"),1,0)</f>
        <v>0</v>
      </c>
      <c r="AE2083" s="1" t="n">
        <f aca="false">N(AE2082)+$AD2083</f>
        <v>38</v>
      </c>
      <c r="AF2083" s="1" t="n">
        <f aca="false">IF(AND($N2083=1,AND(LEFT(对接源_02物料!$D883,4)="包装物料",N(对接源_02物料!$K883)&lt;&gt;0)),1,0)</f>
        <v>0</v>
      </c>
      <c r="AG2083" s="1" t="n">
        <f aca="false">N(AG2082)+$AF2083</f>
        <v>6</v>
      </c>
      <c r="AH2083" s="1" t="n">
        <f aca="false">IF(AND($N2083=1,AND(LEFT(对接源_02物料!$D883,3)="周转筐",N(对接源_02物料!$K883)&lt;&gt;0)),1,0)</f>
        <v>0</v>
      </c>
      <c r="AI2083" s="1" t="n">
        <f aca="false">N(AI2082)+$AH2083</f>
        <v>0</v>
      </c>
      <c r="AJ2083" s="1" t="n">
        <v>0</v>
      </c>
      <c r="AK2083" s="1" t="n">
        <f aca="false">N(AK2082)+$AJ2083</f>
        <v>3672</v>
      </c>
    </row>
    <row r="2084" customFormat="false" ht="13.5" hidden="false" customHeight="false" outlineLevel="0" collapsed="false">
      <c r="A2084" s="1" t="str">
        <f aca="false">IF(对接源_02物料!$C884="","",对接源_02物料!$C884)</f>
        <v/>
      </c>
      <c r="B2084" s="1" t="n">
        <f aca="false">IF(A2084="",0,IF(MATCH(A2084,$A$4:$A$2403,0)=ROW()-3,1,0))</f>
        <v>0</v>
      </c>
      <c r="C2084" s="1" t="n">
        <f aca="false">N(C2083)+B2084</f>
        <v>17</v>
      </c>
      <c r="K2084" s="1" t="n">
        <f aca="false">IF(OR($K$1="",对接源_02物料!$C884="",对接源_02物料!$C884&lt;&gt;$K$1,对接源_02物料!$B884=""),0,IF(OR(N(对接源_02物料!$B884)&lt;$K$2,N(对接源_02物料!$B884)&gt;$K$3),0,1))</f>
        <v>0</v>
      </c>
      <c r="L2084" s="1" t="n">
        <f aca="false">IF(OR($L$1="",对接源_02物料!$C884="",对接源_02物料!$C884&lt;&gt;$L$1,对接源_02物料!$B884=""),0,IF(OR(N(对接源_02物料!$B884)&lt;$L$2,N(对接源_02物料!$B884)&gt;$L$3),0,1))</f>
        <v>0</v>
      </c>
      <c r="M2084" s="1" t="n">
        <f aca="false">IF(OR($M$1="",对接源_02物料!$C884="",对接源_02物料!$C884&lt;&gt;$M$1,对接源_02物料!$B884=""),0,IF(OR(N(对接源_02物料!$B884)&lt;$M$2,N(对接源_02物料!$B884)&gt;$M$3),0,1))</f>
        <v>0</v>
      </c>
      <c r="N2084" s="1" t="n">
        <f aca="false">IF(OR($N$1="",对接源_02物料!$C884="",对接源_02物料!$C884&lt;&gt;$N$1,对接源_02物料!$B884=""),0,IF(OR(N(对接源_02物料!$B884)&lt;$N$2,N(对接源_02物料!$B884)&gt;$N$3),0,1))</f>
        <v>0</v>
      </c>
      <c r="P2084" s="1" t="n">
        <f aca="false">IF(AND($K2084=1,AND(对接源_02物料!$X884="公司筐",N(对接源_02物料!$T884)&lt;&gt;0)),1,0)</f>
        <v>0</v>
      </c>
      <c r="Q2084" s="1" t="n">
        <f aca="false">N(Q2083)+$P2084</f>
        <v>13</v>
      </c>
      <c r="R2084" s="1" t="n">
        <f aca="false">IF(AND($K2084=1,AND(对接源_02物料!$X884="公司筐",N(对接源_02物料!$U884)&lt;&gt;0)),1,0)</f>
        <v>0</v>
      </c>
      <c r="S2084" s="1" t="n">
        <f aca="false">N(S2083)+$R2084</f>
        <v>5</v>
      </c>
      <c r="T2084" s="1" t="n">
        <f aca="false">IF(AND($K2084=1,AND(对接源_02物料!$X884="公司筐",N(对接源_02物料!$V884)&lt;&gt;0)),1,0)</f>
        <v>0</v>
      </c>
      <c r="U2084" s="1" t="n">
        <f aca="false">N(U2083)+$T2084</f>
        <v>28</v>
      </c>
      <c r="V2084" s="1" t="n">
        <f aca="false">IF(AND($L2084=1,AND(对接源_02物料!$X884="自备筐",N(对接源_02物料!$V884)&lt;&gt;0)),1,0)</f>
        <v>0</v>
      </c>
      <c r="W2084" s="1" t="n">
        <f aca="false">N(W2083)+$V2084</f>
        <v>7</v>
      </c>
      <c r="X2084" s="1" t="n">
        <f aca="false">IF(AND($L2084=1,AND(对接源_02物料!$X884="自备筐",N(对接源_02物料!$T884)&lt;&gt;0)),1,0)</f>
        <v>0</v>
      </c>
      <c r="Y2084" s="1" t="n">
        <f aca="false">N(Y2083)+$X2084</f>
        <v>0</v>
      </c>
      <c r="Z2084" s="1" t="n">
        <f aca="false">IF(AND($M2084=1,对接源_02物料!$D884="原料入库"),1,0)</f>
        <v>0</v>
      </c>
      <c r="AA2084" s="1" t="n">
        <f aca="false">N(AA2083)+$Z2084</f>
        <v>30</v>
      </c>
      <c r="AB2084" s="1" t="n">
        <f aca="false">IF(AND($M2084=1,LEFT(对接源_02物料!$D884,4)="原料出库"),1,0)</f>
        <v>0</v>
      </c>
      <c r="AC2084" s="1" t="n">
        <f aca="false">N(AC2083)+$AB2084</f>
        <v>19</v>
      </c>
      <c r="AD2084" s="1" t="n">
        <f aca="false">IF(AND($M2084=1,LEFT(对接源_02物料!$D884,4)="成品出库"),1,0)</f>
        <v>0</v>
      </c>
      <c r="AE2084" s="1" t="n">
        <f aca="false">N(AE2083)+$AD2084</f>
        <v>38</v>
      </c>
      <c r="AF2084" s="1" t="n">
        <f aca="false">IF(AND($N2084=1,AND(LEFT(对接源_02物料!$D884,4)="包装物料",N(对接源_02物料!$K884)&lt;&gt;0)),1,0)</f>
        <v>0</v>
      </c>
      <c r="AG2084" s="1" t="n">
        <f aca="false">N(AG2083)+$AF2084</f>
        <v>6</v>
      </c>
      <c r="AH2084" s="1" t="n">
        <f aca="false">IF(AND($N2084=1,AND(LEFT(对接源_02物料!$D884,3)="周转筐",N(对接源_02物料!$K884)&lt;&gt;0)),1,0)</f>
        <v>0</v>
      </c>
      <c r="AI2084" s="1" t="n">
        <f aca="false">N(AI2083)+$AH2084</f>
        <v>0</v>
      </c>
      <c r="AJ2084" s="1" t="n">
        <v>0</v>
      </c>
      <c r="AK2084" s="1" t="n">
        <f aca="false">N(AK2083)+$AJ2084</f>
        <v>3672</v>
      </c>
    </row>
    <row r="2085" customFormat="false" ht="13.5" hidden="false" customHeight="false" outlineLevel="0" collapsed="false">
      <c r="A2085" s="1" t="str">
        <f aca="false">IF(对接源_02物料!$C885="","",对接源_02物料!$C885)</f>
        <v/>
      </c>
      <c r="B2085" s="1" t="n">
        <f aca="false">IF(A2085="",0,IF(MATCH(A2085,$A$4:$A$2403,0)=ROW()-3,1,0))</f>
        <v>0</v>
      </c>
      <c r="C2085" s="1" t="n">
        <f aca="false">N(C2084)+B2085</f>
        <v>17</v>
      </c>
      <c r="K2085" s="1" t="n">
        <f aca="false">IF(OR($K$1="",对接源_02物料!$C885="",对接源_02物料!$C885&lt;&gt;$K$1,对接源_02物料!$B885=""),0,IF(OR(N(对接源_02物料!$B885)&lt;$K$2,N(对接源_02物料!$B885)&gt;$K$3),0,1))</f>
        <v>0</v>
      </c>
      <c r="L2085" s="1" t="n">
        <f aca="false">IF(OR($L$1="",对接源_02物料!$C885="",对接源_02物料!$C885&lt;&gt;$L$1,对接源_02物料!$B885=""),0,IF(OR(N(对接源_02物料!$B885)&lt;$L$2,N(对接源_02物料!$B885)&gt;$L$3),0,1))</f>
        <v>0</v>
      </c>
      <c r="M2085" s="1" t="n">
        <f aca="false">IF(OR($M$1="",对接源_02物料!$C885="",对接源_02物料!$C885&lt;&gt;$M$1,对接源_02物料!$B885=""),0,IF(OR(N(对接源_02物料!$B885)&lt;$M$2,N(对接源_02物料!$B885)&gt;$M$3),0,1))</f>
        <v>0</v>
      </c>
      <c r="N2085" s="1" t="n">
        <f aca="false">IF(OR($N$1="",对接源_02物料!$C885="",对接源_02物料!$C885&lt;&gt;$N$1,对接源_02物料!$B885=""),0,IF(OR(N(对接源_02物料!$B885)&lt;$N$2,N(对接源_02物料!$B885)&gt;$N$3),0,1))</f>
        <v>0</v>
      </c>
      <c r="P2085" s="1" t="n">
        <f aca="false">IF(AND($K2085=1,AND(对接源_02物料!$X885="公司筐",N(对接源_02物料!$T885)&lt;&gt;0)),1,0)</f>
        <v>0</v>
      </c>
      <c r="Q2085" s="1" t="n">
        <f aca="false">N(Q2084)+$P2085</f>
        <v>13</v>
      </c>
      <c r="R2085" s="1" t="n">
        <f aca="false">IF(AND($K2085=1,AND(对接源_02物料!$X885="公司筐",N(对接源_02物料!$U885)&lt;&gt;0)),1,0)</f>
        <v>0</v>
      </c>
      <c r="S2085" s="1" t="n">
        <f aca="false">N(S2084)+$R2085</f>
        <v>5</v>
      </c>
      <c r="T2085" s="1" t="n">
        <f aca="false">IF(AND($K2085=1,AND(对接源_02物料!$X885="公司筐",N(对接源_02物料!$V885)&lt;&gt;0)),1,0)</f>
        <v>0</v>
      </c>
      <c r="U2085" s="1" t="n">
        <f aca="false">N(U2084)+$T2085</f>
        <v>28</v>
      </c>
      <c r="V2085" s="1" t="n">
        <f aca="false">IF(AND($L2085=1,AND(对接源_02物料!$X885="自备筐",N(对接源_02物料!$V885)&lt;&gt;0)),1,0)</f>
        <v>0</v>
      </c>
      <c r="W2085" s="1" t="n">
        <f aca="false">N(W2084)+$V2085</f>
        <v>7</v>
      </c>
      <c r="X2085" s="1" t="n">
        <f aca="false">IF(AND($L2085=1,AND(对接源_02物料!$X885="自备筐",N(对接源_02物料!$T885)&lt;&gt;0)),1,0)</f>
        <v>0</v>
      </c>
      <c r="Y2085" s="1" t="n">
        <f aca="false">N(Y2084)+$X2085</f>
        <v>0</v>
      </c>
      <c r="Z2085" s="1" t="n">
        <f aca="false">IF(AND($M2085=1,对接源_02物料!$D885="原料入库"),1,0)</f>
        <v>0</v>
      </c>
      <c r="AA2085" s="1" t="n">
        <f aca="false">N(AA2084)+$Z2085</f>
        <v>30</v>
      </c>
      <c r="AB2085" s="1" t="n">
        <f aca="false">IF(AND($M2085=1,LEFT(对接源_02物料!$D885,4)="原料出库"),1,0)</f>
        <v>0</v>
      </c>
      <c r="AC2085" s="1" t="n">
        <f aca="false">N(AC2084)+$AB2085</f>
        <v>19</v>
      </c>
      <c r="AD2085" s="1" t="n">
        <f aca="false">IF(AND($M2085=1,LEFT(对接源_02物料!$D885,4)="成品出库"),1,0)</f>
        <v>0</v>
      </c>
      <c r="AE2085" s="1" t="n">
        <f aca="false">N(AE2084)+$AD2085</f>
        <v>38</v>
      </c>
      <c r="AF2085" s="1" t="n">
        <f aca="false">IF(AND($N2085=1,AND(LEFT(对接源_02物料!$D885,4)="包装物料",N(对接源_02物料!$K885)&lt;&gt;0)),1,0)</f>
        <v>0</v>
      </c>
      <c r="AG2085" s="1" t="n">
        <f aca="false">N(AG2084)+$AF2085</f>
        <v>6</v>
      </c>
      <c r="AH2085" s="1" t="n">
        <f aca="false">IF(AND($N2085=1,AND(LEFT(对接源_02物料!$D885,3)="周转筐",N(对接源_02物料!$K885)&lt;&gt;0)),1,0)</f>
        <v>0</v>
      </c>
      <c r="AI2085" s="1" t="n">
        <f aca="false">N(AI2084)+$AH2085</f>
        <v>0</v>
      </c>
      <c r="AJ2085" s="1" t="n">
        <v>0</v>
      </c>
      <c r="AK2085" s="1" t="n">
        <f aca="false">N(AK2084)+$AJ2085</f>
        <v>3672</v>
      </c>
    </row>
    <row r="2086" customFormat="false" ht="13.5" hidden="false" customHeight="false" outlineLevel="0" collapsed="false">
      <c r="A2086" s="1" t="str">
        <f aca="false">IF(对接源_02物料!$C886="","",对接源_02物料!$C886)</f>
        <v/>
      </c>
      <c r="B2086" s="1" t="n">
        <f aca="false">IF(A2086="",0,IF(MATCH(A2086,$A$4:$A$2403,0)=ROW()-3,1,0))</f>
        <v>0</v>
      </c>
      <c r="C2086" s="1" t="n">
        <f aca="false">N(C2085)+B2086</f>
        <v>17</v>
      </c>
      <c r="K2086" s="1" t="n">
        <f aca="false">IF(OR($K$1="",对接源_02物料!$C886="",对接源_02物料!$C886&lt;&gt;$K$1,对接源_02物料!$B886=""),0,IF(OR(N(对接源_02物料!$B886)&lt;$K$2,N(对接源_02物料!$B886)&gt;$K$3),0,1))</f>
        <v>0</v>
      </c>
      <c r="L2086" s="1" t="n">
        <f aca="false">IF(OR($L$1="",对接源_02物料!$C886="",对接源_02物料!$C886&lt;&gt;$L$1,对接源_02物料!$B886=""),0,IF(OR(N(对接源_02物料!$B886)&lt;$L$2,N(对接源_02物料!$B886)&gt;$L$3),0,1))</f>
        <v>0</v>
      </c>
      <c r="M2086" s="1" t="n">
        <f aca="false">IF(OR($M$1="",对接源_02物料!$C886="",对接源_02物料!$C886&lt;&gt;$M$1,对接源_02物料!$B886=""),0,IF(OR(N(对接源_02物料!$B886)&lt;$M$2,N(对接源_02物料!$B886)&gt;$M$3),0,1))</f>
        <v>0</v>
      </c>
      <c r="N2086" s="1" t="n">
        <f aca="false">IF(OR($N$1="",对接源_02物料!$C886="",对接源_02物料!$C886&lt;&gt;$N$1,对接源_02物料!$B886=""),0,IF(OR(N(对接源_02物料!$B886)&lt;$N$2,N(对接源_02物料!$B886)&gt;$N$3),0,1))</f>
        <v>0</v>
      </c>
      <c r="P2086" s="1" t="n">
        <f aca="false">IF(AND($K2086=1,AND(对接源_02物料!$X886="公司筐",N(对接源_02物料!$T886)&lt;&gt;0)),1,0)</f>
        <v>0</v>
      </c>
      <c r="Q2086" s="1" t="n">
        <f aca="false">N(Q2085)+$P2086</f>
        <v>13</v>
      </c>
      <c r="R2086" s="1" t="n">
        <f aca="false">IF(AND($K2086=1,AND(对接源_02物料!$X886="公司筐",N(对接源_02物料!$U886)&lt;&gt;0)),1,0)</f>
        <v>0</v>
      </c>
      <c r="S2086" s="1" t="n">
        <f aca="false">N(S2085)+$R2086</f>
        <v>5</v>
      </c>
      <c r="T2086" s="1" t="n">
        <f aca="false">IF(AND($K2086=1,AND(对接源_02物料!$X886="公司筐",N(对接源_02物料!$V886)&lt;&gt;0)),1,0)</f>
        <v>0</v>
      </c>
      <c r="U2086" s="1" t="n">
        <f aca="false">N(U2085)+$T2086</f>
        <v>28</v>
      </c>
      <c r="V2086" s="1" t="n">
        <f aca="false">IF(AND($L2086=1,AND(对接源_02物料!$X886="自备筐",N(对接源_02物料!$V886)&lt;&gt;0)),1,0)</f>
        <v>0</v>
      </c>
      <c r="W2086" s="1" t="n">
        <f aca="false">N(W2085)+$V2086</f>
        <v>7</v>
      </c>
      <c r="X2086" s="1" t="n">
        <f aca="false">IF(AND($L2086=1,AND(对接源_02物料!$X886="自备筐",N(对接源_02物料!$T886)&lt;&gt;0)),1,0)</f>
        <v>0</v>
      </c>
      <c r="Y2086" s="1" t="n">
        <f aca="false">N(Y2085)+$X2086</f>
        <v>0</v>
      </c>
      <c r="Z2086" s="1" t="n">
        <f aca="false">IF(AND($M2086=1,对接源_02物料!$D886="原料入库"),1,0)</f>
        <v>0</v>
      </c>
      <c r="AA2086" s="1" t="n">
        <f aca="false">N(AA2085)+$Z2086</f>
        <v>30</v>
      </c>
      <c r="AB2086" s="1" t="n">
        <f aca="false">IF(AND($M2086=1,LEFT(对接源_02物料!$D886,4)="原料出库"),1,0)</f>
        <v>0</v>
      </c>
      <c r="AC2086" s="1" t="n">
        <f aca="false">N(AC2085)+$AB2086</f>
        <v>19</v>
      </c>
      <c r="AD2086" s="1" t="n">
        <f aca="false">IF(AND($M2086=1,LEFT(对接源_02物料!$D886,4)="成品出库"),1,0)</f>
        <v>0</v>
      </c>
      <c r="AE2086" s="1" t="n">
        <f aca="false">N(AE2085)+$AD2086</f>
        <v>38</v>
      </c>
      <c r="AF2086" s="1" t="n">
        <f aca="false">IF(AND($N2086=1,AND(LEFT(对接源_02物料!$D886,4)="包装物料",N(对接源_02物料!$K886)&lt;&gt;0)),1,0)</f>
        <v>0</v>
      </c>
      <c r="AG2086" s="1" t="n">
        <f aca="false">N(AG2085)+$AF2086</f>
        <v>6</v>
      </c>
      <c r="AH2086" s="1" t="n">
        <f aca="false">IF(AND($N2086=1,AND(LEFT(对接源_02物料!$D886,3)="周转筐",N(对接源_02物料!$K886)&lt;&gt;0)),1,0)</f>
        <v>0</v>
      </c>
      <c r="AI2086" s="1" t="n">
        <f aca="false">N(AI2085)+$AH2086</f>
        <v>0</v>
      </c>
      <c r="AJ2086" s="1" t="n">
        <v>0</v>
      </c>
      <c r="AK2086" s="1" t="n">
        <f aca="false">N(AK2085)+$AJ2086</f>
        <v>3672</v>
      </c>
    </row>
    <row r="2087" customFormat="false" ht="13.5" hidden="false" customHeight="false" outlineLevel="0" collapsed="false">
      <c r="A2087" s="1" t="str">
        <f aca="false">IF(对接源_02物料!$C887="","",对接源_02物料!$C887)</f>
        <v/>
      </c>
      <c r="B2087" s="1" t="n">
        <f aca="false">IF(A2087="",0,IF(MATCH(A2087,$A$4:$A$2403,0)=ROW()-3,1,0))</f>
        <v>0</v>
      </c>
      <c r="C2087" s="1" t="n">
        <f aca="false">N(C2086)+B2087</f>
        <v>17</v>
      </c>
      <c r="K2087" s="1" t="n">
        <f aca="false">IF(OR($K$1="",对接源_02物料!$C887="",对接源_02物料!$C887&lt;&gt;$K$1,对接源_02物料!$B887=""),0,IF(OR(N(对接源_02物料!$B887)&lt;$K$2,N(对接源_02物料!$B887)&gt;$K$3),0,1))</f>
        <v>0</v>
      </c>
      <c r="L2087" s="1" t="n">
        <f aca="false">IF(OR($L$1="",对接源_02物料!$C887="",对接源_02物料!$C887&lt;&gt;$L$1,对接源_02物料!$B887=""),0,IF(OR(N(对接源_02物料!$B887)&lt;$L$2,N(对接源_02物料!$B887)&gt;$L$3),0,1))</f>
        <v>0</v>
      </c>
      <c r="M2087" s="1" t="n">
        <f aca="false">IF(OR($M$1="",对接源_02物料!$C887="",对接源_02物料!$C887&lt;&gt;$M$1,对接源_02物料!$B887=""),0,IF(OR(N(对接源_02物料!$B887)&lt;$M$2,N(对接源_02物料!$B887)&gt;$M$3),0,1))</f>
        <v>0</v>
      </c>
      <c r="N2087" s="1" t="n">
        <f aca="false">IF(OR($N$1="",对接源_02物料!$C887="",对接源_02物料!$C887&lt;&gt;$N$1,对接源_02物料!$B887=""),0,IF(OR(N(对接源_02物料!$B887)&lt;$N$2,N(对接源_02物料!$B887)&gt;$N$3),0,1))</f>
        <v>0</v>
      </c>
      <c r="P2087" s="1" t="n">
        <f aca="false">IF(AND($K2087=1,AND(对接源_02物料!$X887="公司筐",N(对接源_02物料!$T887)&lt;&gt;0)),1,0)</f>
        <v>0</v>
      </c>
      <c r="Q2087" s="1" t="n">
        <f aca="false">N(Q2086)+$P2087</f>
        <v>13</v>
      </c>
      <c r="R2087" s="1" t="n">
        <f aca="false">IF(AND($K2087=1,AND(对接源_02物料!$X887="公司筐",N(对接源_02物料!$U887)&lt;&gt;0)),1,0)</f>
        <v>0</v>
      </c>
      <c r="S2087" s="1" t="n">
        <f aca="false">N(S2086)+$R2087</f>
        <v>5</v>
      </c>
      <c r="T2087" s="1" t="n">
        <f aca="false">IF(AND($K2087=1,AND(对接源_02物料!$X887="公司筐",N(对接源_02物料!$V887)&lt;&gt;0)),1,0)</f>
        <v>0</v>
      </c>
      <c r="U2087" s="1" t="n">
        <f aca="false">N(U2086)+$T2087</f>
        <v>28</v>
      </c>
      <c r="V2087" s="1" t="n">
        <f aca="false">IF(AND($L2087=1,AND(对接源_02物料!$X887="自备筐",N(对接源_02物料!$V887)&lt;&gt;0)),1,0)</f>
        <v>0</v>
      </c>
      <c r="W2087" s="1" t="n">
        <f aca="false">N(W2086)+$V2087</f>
        <v>7</v>
      </c>
      <c r="X2087" s="1" t="n">
        <f aca="false">IF(AND($L2087=1,AND(对接源_02物料!$X887="自备筐",N(对接源_02物料!$T887)&lt;&gt;0)),1,0)</f>
        <v>0</v>
      </c>
      <c r="Y2087" s="1" t="n">
        <f aca="false">N(Y2086)+$X2087</f>
        <v>0</v>
      </c>
      <c r="Z2087" s="1" t="n">
        <f aca="false">IF(AND($M2087=1,对接源_02物料!$D887="原料入库"),1,0)</f>
        <v>0</v>
      </c>
      <c r="AA2087" s="1" t="n">
        <f aca="false">N(AA2086)+$Z2087</f>
        <v>30</v>
      </c>
      <c r="AB2087" s="1" t="n">
        <f aca="false">IF(AND($M2087=1,LEFT(对接源_02物料!$D887,4)="原料出库"),1,0)</f>
        <v>0</v>
      </c>
      <c r="AC2087" s="1" t="n">
        <f aca="false">N(AC2086)+$AB2087</f>
        <v>19</v>
      </c>
      <c r="AD2087" s="1" t="n">
        <f aca="false">IF(AND($M2087=1,LEFT(对接源_02物料!$D887,4)="成品出库"),1,0)</f>
        <v>0</v>
      </c>
      <c r="AE2087" s="1" t="n">
        <f aca="false">N(AE2086)+$AD2087</f>
        <v>38</v>
      </c>
      <c r="AF2087" s="1" t="n">
        <f aca="false">IF(AND($N2087=1,AND(LEFT(对接源_02物料!$D887,4)="包装物料",N(对接源_02物料!$K887)&lt;&gt;0)),1,0)</f>
        <v>0</v>
      </c>
      <c r="AG2087" s="1" t="n">
        <f aca="false">N(AG2086)+$AF2087</f>
        <v>6</v>
      </c>
      <c r="AH2087" s="1" t="n">
        <f aca="false">IF(AND($N2087=1,AND(LEFT(对接源_02物料!$D887,3)="周转筐",N(对接源_02物料!$K887)&lt;&gt;0)),1,0)</f>
        <v>0</v>
      </c>
      <c r="AI2087" s="1" t="n">
        <f aca="false">N(AI2086)+$AH2087</f>
        <v>0</v>
      </c>
      <c r="AJ2087" s="1" t="n">
        <v>0</v>
      </c>
      <c r="AK2087" s="1" t="n">
        <f aca="false">N(AK2086)+$AJ2087</f>
        <v>3672</v>
      </c>
    </row>
    <row r="2088" customFormat="false" ht="13.5" hidden="false" customHeight="false" outlineLevel="0" collapsed="false">
      <c r="A2088" s="1" t="str">
        <f aca="false">IF(对接源_02物料!$C888="","",对接源_02物料!$C888)</f>
        <v/>
      </c>
      <c r="B2088" s="1" t="n">
        <f aca="false">IF(A2088="",0,IF(MATCH(A2088,$A$4:$A$2403,0)=ROW()-3,1,0))</f>
        <v>0</v>
      </c>
      <c r="C2088" s="1" t="n">
        <f aca="false">N(C2087)+B2088</f>
        <v>17</v>
      </c>
      <c r="K2088" s="1" t="n">
        <f aca="false">IF(OR($K$1="",对接源_02物料!$C888="",对接源_02物料!$C888&lt;&gt;$K$1,对接源_02物料!$B888=""),0,IF(OR(N(对接源_02物料!$B888)&lt;$K$2,N(对接源_02物料!$B888)&gt;$K$3),0,1))</f>
        <v>0</v>
      </c>
      <c r="L2088" s="1" t="n">
        <f aca="false">IF(OR($L$1="",对接源_02物料!$C888="",对接源_02物料!$C888&lt;&gt;$L$1,对接源_02物料!$B888=""),0,IF(OR(N(对接源_02物料!$B888)&lt;$L$2,N(对接源_02物料!$B888)&gt;$L$3),0,1))</f>
        <v>0</v>
      </c>
      <c r="M2088" s="1" t="n">
        <f aca="false">IF(OR($M$1="",对接源_02物料!$C888="",对接源_02物料!$C888&lt;&gt;$M$1,对接源_02物料!$B888=""),0,IF(OR(N(对接源_02物料!$B888)&lt;$M$2,N(对接源_02物料!$B888)&gt;$M$3),0,1))</f>
        <v>0</v>
      </c>
      <c r="N2088" s="1" t="n">
        <f aca="false">IF(OR($N$1="",对接源_02物料!$C888="",对接源_02物料!$C888&lt;&gt;$N$1,对接源_02物料!$B888=""),0,IF(OR(N(对接源_02物料!$B888)&lt;$N$2,N(对接源_02物料!$B888)&gt;$N$3),0,1))</f>
        <v>0</v>
      </c>
      <c r="P2088" s="1" t="n">
        <f aca="false">IF(AND($K2088=1,AND(对接源_02物料!$X888="公司筐",N(对接源_02物料!$T888)&lt;&gt;0)),1,0)</f>
        <v>0</v>
      </c>
      <c r="Q2088" s="1" t="n">
        <f aca="false">N(Q2087)+$P2088</f>
        <v>13</v>
      </c>
      <c r="R2088" s="1" t="n">
        <f aca="false">IF(AND($K2088=1,AND(对接源_02物料!$X888="公司筐",N(对接源_02物料!$U888)&lt;&gt;0)),1,0)</f>
        <v>0</v>
      </c>
      <c r="S2088" s="1" t="n">
        <f aca="false">N(S2087)+$R2088</f>
        <v>5</v>
      </c>
      <c r="T2088" s="1" t="n">
        <f aca="false">IF(AND($K2088=1,AND(对接源_02物料!$X888="公司筐",N(对接源_02物料!$V888)&lt;&gt;0)),1,0)</f>
        <v>0</v>
      </c>
      <c r="U2088" s="1" t="n">
        <f aca="false">N(U2087)+$T2088</f>
        <v>28</v>
      </c>
      <c r="V2088" s="1" t="n">
        <f aca="false">IF(AND($L2088=1,AND(对接源_02物料!$X888="自备筐",N(对接源_02物料!$V888)&lt;&gt;0)),1,0)</f>
        <v>0</v>
      </c>
      <c r="W2088" s="1" t="n">
        <f aca="false">N(W2087)+$V2088</f>
        <v>7</v>
      </c>
      <c r="X2088" s="1" t="n">
        <f aca="false">IF(AND($L2088=1,AND(对接源_02物料!$X888="自备筐",N(对接源_02物料!$T888)&lt;&gt;0)),1,0)</f>
        <v>0</v>
      </c>
      <c r="Y2088" s="1" t="n">
        <f aca="false">N(Y2087)+$X2088</f>
        <v>0</v>
      </c>
      <c r="Z2088" s="1" t="n">
        <f aca="false">IF(AND($M2088=1,对接源_02物料!$D888="原料入库"),1,0)</f>
        <v>0</v>
      </c>
      <c r="AA2088" s="1" t="n">
        <f aca="false">N(AA2087)+$Z2088</f>
        <v>30</v>
      </c>
      <c r="AB2088" s="1" t="n">
        <f aca="false">IF(AND($M2088=1,LEFT(对接源_02物料!$D888,4)="原料出库"),1,0)</f>
        <v>0</v>
      </c>
      <c r="AC2088" s="1" t="n">
        <f aca="false">N(AC2087)+$AB2088</f>
        <v>19</v>
      </c>
      <c r="AD2088" s="1" t="n">
        <f aca="false">IF(AND($M2088=1,LEFT(对接源_02物料!$D888,4)="成品出库"),1,0)</f>
        <v>0</v>
      </c>
      <c r="AE2088" s="1" t="n">
        <f aca="false">N(AE2087)+$AD2088</f>
        <v>38</v>
      </c>
      <c r="AF2088" s="1" t="n">
        <f aca="false">IF(AND($N2088=1,AND(LEFT(对接源_02物料!$D888,4)="包装物料",N(对接源_02物料!$K888)&lt;&gt;0)),1,0)</f>
        <v>0</v>
      </c>
      <c r="AG2088" s="1" t="n">
        <f aca="false">N(AG2087)+$AF2088</f>
        <v>6</v>
      </c>
      <c r="AH2088" s="1" t="n">
        <f aca="false">IF(AND($N2088=1,AND(LEFT(对接源_02物料!$D888,3)="周转筐",N(对接源_02物料!$K888)&lt;&gt;0)),1,0)</f>
        <v>0</v>
      </c>
      <c r="AI2088" s="1" t="n">
        <f aca="false">N(AI2087)+$AH2088</f>
        <v>0</v>
      </c>
      <c r="AJ2088" s="1" t="n">
        <v>0</v>
      </c>
      <c r="AK2088" s="1" t="n">
        <f aca="false">N(AK2087)+$AJ2088</f>
        <v>3672</v>
      </c>
    </row>
    <row r="2089" customFormat="false" ht="13.5" hidden="false" customHeight="false" outlineLevel="0" collapsed="false">
      <c r="A2089" s="1" t="str">
        <f aca="false">IF(对接源_02物料!$C889="","",对接源_02物料!$C889)</f>
        <v/>
      </c>
      <c r="B2089" s="1" t="n">
        <f aca="false">IF(A2089="",0,IF(MATCH(A2089,$A$4:$A$2403,0)=ROW()-3,1,0))</f>
        <v>0</v>
      </c>
      <c r="C2089" s="1" t="n">
        <f aca="false">N(C2088)+B2089</f>
        <v>17</v>
      </c>
      <c r="K2089" s="1" t="n">
        <f aca="false">IF(OR($K$1="",对接源_02物料!$C889="",对接源_02物料!$C889&lt;&gt;$K$1,对接源_02物料!$B889=""),0,IF(OR(N(对接源_02物料!$B889)&lt;$K$2,N(对接源_02物料!$B889)&gt;$K$3),0,1))</f>
        <v>0</v>
      </c>
      <c r="L2089" s="1" t="n">
        <f aca="false">IF(OR($L$1="",对接源_02物料!$C889="",对接源_02物料!$C889&lt;&gt;$L$1,对接源_02物料!$B889=""),0,IF(OR(N(对接源_02物料!$B889)&lt;$L$2,N(对接源_02物料!$B889)&gt;$L$3),0,1))</f>
        <v>0</v>
      </c>
      <c r="M2089" s="1" t="n">
        <f aca="false">IF(OR($M$1="",对接源_02物料!$C889="",对接源_02物料!$C889&lt;&gt;$M$1,对接源_02物料!$B889=""),0,IF(OR(N(对接源_02物料!$B889)&lt;$M$2,N(对接源_02物料!$B889)&gt;$M$3),0,1))</f>
        <v>0</v>
      </c>
      <c r="N2089" s="1" t="n">
        <f aca="false">IF(OR($N$1="",对接源_02物料!$C889="",对接源_02物料!$C889&lt;&gt;$N$1,对接源_02物料!$B889=""),0,IF(OR(N(对接源_02物料!$B889)&lt;$N$2,N(对接源_02物料!$B889)&gt;$N$3),0,1))</f>
        <v>0</v>
      </c>
      <c r="P2089" s="1" t="n">
        <f aca="false">IF(AND($K2089=1,AND(对接源_02物料!$X889="公司筐",N(对接源_02物料!$T889)&lt;&gt;0)),1,0)</f>
        <v>0</v>
      </c>
      <c r="Q2089" s="1" t="n">
        <f aca="false">N(Q2088)+$P2089</f>
        <v>13</v>
      </c>
      <c r="R2089" s="1" t="n">
        <f aca="false">IF(AND($K2089=1,AND(对接源_02物料!$X889="公司筐",N(对接源_02物料!$U889)&lt;&gt;0)),1,0)</f>
        <v>0</v>
      </c>
      <c r="S2089" s="1" t="n">
        <f aca="false">N(S2088)+$R2089</f>
        <v>5</v>
      </c>
      <c r="T2089" s="1" t="n">
        <f aca="false">IF(AND($K2089=1,AND(对接源_02物料!$X889="公司筐",N(对接源_02物料!$V889)&lt;&gt;0)),1,0)</f>
        <v>0</v>
      </c>
      <c r="U2089" s="1" t="n">
        <f aca="false">N(U2088)+$T2089</f>
        <v>28</v>
      </c>
      <c r="V2089" s="1" t="n">
        <f aca="false">IF(AND($L2089=1,AND(对接源_02物料!$X889="自备筐",N(对接源_02物料!$V889)&lt;&gt;0)),1,0)</f>
        <v>0</v>
      </c>
      <c r="W2089" s="1" t="n">
        <f aca="false">N(W2088)+$V2089</f>
        <v>7</v>
      </c>
      <c r="X2089" s="1" t="n">
        <f aca="false">IF(AND($L2089=1,AND(对接源_02物料!$X889="自备筐",N(对接源_02物料!$T889)&lt;&gt;0)),1,0)</f>
        <v>0</v>
      </c>
      <c r="Y2089" s="1" t="n">
        <f aca="false">N(Y2088)+$X2089</f>
        <v>0</v>
      </c>
      <c r="Z2089" s="1" t="n">
        <f aca="false">IF(AND($M2089=1,对接源_02物料!$D889="原料入库"),1,0)</f>
        <v>0</v>
      </c>
      <c r="AA2089" s="1" t="n">
        <f aca="false">N(AA2088)+$Z2089</f>
        <v>30</v>
      </c>
      <c r="AB2089" s="1" t="n">
        <f aca="false">IF(AND($M2089=1,LEFT(对接源_02物料!$D889,4)="原料出库"),1,0)</f>
        <v>0</v>
      </c>
      <c r="AC2089" s="1" t="n">
        <f aca="false">N(AC2088)+$AB2089</f>
        <v>19</v>
      </c>
      <c r="AD2089" s="1" t="n">
        <f aca="false">IF(AND($M2089=1,LEFT(对接源_02物料!$D889,4)="成品出库"),1,0)</f>
        <v>0</v>
      </c>
      <c r="AE2089" s="1" t="n">
        <f aca="false">N(AE2088)+$AD2089</f>
        <v>38</v>
      </c>
      <c r="AF2089" s="1" t="n">
        <f aca="false">IF(AND($N2089=1,AND(LEFT(对接源_02物料!$D889,4)="包装物料",N(对接源_02物料!$K889)&lt;&gt;0)),1,0)</f>
        <v>0</v>
      </c>
      <c r="AG2089" s="1" t="n">
        <f aca="false">N(AG2088)+$AF2089</f>
        <v>6</v>
      </c>
      <c r="AH2089" s="1" t="n">
        <f aca="false">IF(AND($N2089=1,AND(LEFT(对接源_02物料!$D889,3)="周转筐",N(对接源_02物料!$K889)&lt;&gt;0)),1,0)</f>
        <v>0</v>
      </c>
      <c r="AI2089" s="1" t="n">
        <f aca="false">N(AI2088)+$AH2089</f>
        <v>0</v>
      </c>
      <c r="AJ2089" s="1" t="n">
        <v>0</v>
      </c>
      <c r="AK2089" s="1" t="n">
        <f aca="false">N(AK2088)+$AJ2089</f>
        <v>3672</v>
      </c>
    </row>
    <row r="2090" customFormat="false" ht="13.5" hidden="false" customHeight="false" outlineLevel="0" collapsed="false">
      <c r="A2090" s="1" t="str">
        <f aca="false">IF(对接源_02物料!$C890="","",对接源_02物料!$C890)</f>
        <v/>
      </c>
      <c r="B2090" s="1" t="n">
        <f aca="false">IF(A2090="",0,IF(MATCH(A2090,$A$4:$A$2403,0)=ROW()-3,1,0))</f>
        <v>0</v>
      </c>
      <c r="C2090" s="1" t="n">
        <f aca="false">N(C2089)+B2090</f>
        <v>17</v>
      </c>
      <c r="K2090" s="1" t="n">
        <f aca="false">IF(OR($K$1="",对接源_02物料!$C890="",对接源_02物料!$C890&lt;&gt;$K$1,对接源_02物料!$B890=""),0,IF(OR(N(对接源_02物料!$B890)&lt;$K$2,N(对接源_02物料!$B890)&gt;$K$3),0,1))</f>
        <v>0</v>
      </c>
      <c r="L2090" s="1" t="n">
        <f aca="false">IF(OR($L$1="",对接源_02物料!$C890="",对接源_02物料!$C890&lt;&gt;$L$1,对接源_02物料!$B890=""),0,IF(OR(N(对接源_02物料!$B890)&lt;$L$2,N(对接源_02物料!$B890)&gt;$L$3),0,1))</f>
        <v>0</v>
      </c>
      <c r="M2090" s="1" t="n">
        <f aca="false">IF(OR($M$1="",对接源_02物料!$C890="",对接源_02物料!$C890&lt;&gt;$M$1,对接源_02物料!$B890=""),0,IF(OR(N(对接源_02物料!$B890)&lt;$M$2,N(对接源_02物料!$B890)&gt;$M$3),0,1))</f>
        <v>0</v>
      </c>
      <c r="N2090" s="1" t="n">
        <f aca="false">IF(OR($N$1="",对接源_02物料!$C890="",对接源_02物料!$C890&lt;&gt;$N$1,对接源_02物料!$B890=""),0,IF(OR(N(对接源_02物料!$B890)&lt;$N$2,N(对接源_02物料!$B890)&gt;$N$3),0,1))</f>
        <v>0</v>
      </c>
      <c r="P2090" s="1" t="n">
        <f aca="false">IF(AND($K2090=1,AND(对接源_02物料!$X890="公司筐",N(对接源_02物料!$T890)&lt;&gt;0)),1,0)</f>
        <v>0</v>
      </c>
      <c r="Q2090" s="1" t="n">
        <f aca="false">N(Q2089)+$P2090</f>
        <v>13</v>
      </c>
      <c r="R2090" s="1" t="n">
        <f aca="false">IF(AND($K2090=1,AND(对接源_02物料!$X890="公司筐",N(对接源_02物料!$U890)&lt;&gt;0)),1,0)</f>
        <v>0</v>
      </c>
      <c r="S2090" s="1" t="n">
        <f aca="false">N(S2089)+$R2090</f>
        <v>5</v>
      </c>
      <c r="T2090" s="1" t="n">
        <f aca="false">IF(AND($K2090=1,AND(对接源_02物料!$X890="公司筐",N(对接源_02物料!$V890)&lt;&gt;0)),1,0)</f>
        <v>0</v>
      </c>
      <c r="U2090" s="1" t="n">
        <f aca="false">N(U2089)+$T2090</f>
        <v>28</v>
      </c>
      <c r="V2090" s="1" t="n">
        <f aca="false">IF(AND($L2090=1,AND(对接源_02物料!$X890="自备筐",N(对接源_02物料!$V890)&lt;&gt;0)),1,0)</f>
        <v>0</v>
      </c>
      <c r="W2090" s="1" t="n">
        <f aca="false">N(W2089)+$V2090</f>
        <v>7</v>
      </c>
      <c r="X2090" s="1" t="n">
        <f aca="false">IF(AND($L2090=1,AND(对接源_02物料!$X890="自备筐",N(对接源_02物料!$T890)&lt;&gt;0)),1,0)</f>
        <v>0</v>
      </c>
      <c r="Y2090" s="1" t="n">
        <f aca="false">N(Y2089)+$X2090</f>
        <v>0</v>
      </c>
      <c r="Z2090" s="1" t="n">
        <f aca="false">IF(AND($M2090=1,对接源_02物料!$D890="原料入库"),1,0)</f>
        <v>0</v>
      </c>
      <c r="AA2090" s="1" t="n">
        <f aca="false">N(AA2089)+$Z2090</f>
        <v>30</v>
      </c>
      <c r="AB2090" s="1" t="n">
        <f aca="false">IF(AND($M2090=1,LEFT(对接源_02物料!$D890,4)="原料出库"),1,0)</f>
        <v>0</v>
      </c>
      <c r="AC2090" s="1" t="n">
        <f aca="false">N(AC2089)+$AB2090</f>
        <v>19</v>
      </c>
      <c r="AD2090" s="1" t="n">
        <f aca="false">IF(AND($M2090=1,LEFT(对接源_02物料!$D890,4)="成品出库"),1,0)</f>
        <v>0</v>
      </c>
      <c r="AE2090" s="1" t="n">
        <f aca="false">N(AE2089)+$AD2090</f>
        <v>38</v>
      </c>
      <c r="AF2090" s="1" t="n">
        <f aca="false">IF(AND($N2090=1,AND(LEFT(对接源_02物料!$D890,4)="包装物料",N(对接源_02物料!$K890)&lt;&gt;0)),1,0)</f>
        <v>0</v>
      </c>
      <c r="AG2090" s="1" t="n">
        <f aca="false">N(AG2089)+$AF2090</f>
        <v>6</v>
      </c>
      <c r="AH2090" s="1" t="n">
        <f aca="false">IF(AND($N2090=1,AND(LEFT(对接源_02物料!$D890,3)="周转筐",N(对接源_02物料!$K890)&lt;&gt;0)),1,0)</f>
        <v>0</v>
      </c>
      <c r="AI2090" s="1" t="n">
        <f aca="false">N(AI2089)+$AH2090</f>
        <v>0</v>
      </c>
      <c r="AJ2090" s="1" t="n">
        <v>0</v>
      </c>
      <c r="AK2090" s="1" t="n">
        <f aca="false">N(AK2089)+$AJ2090</f>
        <v>3672</v>
      </c>
    </row>
    <row r="2091" customFormat="false" ht="13.5" hidden="false" customHeight="false" outlineLevel="0" collapsed="false">
      <c r="A2091" s="1" t="str">
        <f aca="false">IF(对接源_02物料!$C891="","",对接源_02物料!$C891)</f>
        <v/>
      </c>
      <c r="B2091" s="1" t="n">
        <f aca="false">IF(A2091="",0,IF(MATCH(A2091,$A$4:$A$2403,0)=ROW()-3,1,0))</f>
        <v>0</v>
      </c>
      <c r="C2091" s="1" t="n">
        <f aca="false">N(C2090)+B2091</f>
        <v>17</v>
      </c>
      <c r="K2091" s="1" t="n">
        <f aca="false">IF(OR($K$1="",对接源_02物料!$C891="",对接源_02物料!$C891&lt;&gt;$K$1,对接源_02物料!$B891=""),0,IF(OR(N(对接源_02物料!$B891)&lt;$K$2,N(对接源_02物料!$B891)&gt;$K$3),0,1))</f>
        <v>0</v>
      </c>
      <c r="L2091" s="1" t="n">
        <f aca="false">IF(OR($L$1="",对接源_02物料!$C891="",对接源_02物料!$C891&lt;&gt;$L$1,对接源_02物料!$B891=""),0,IF(OR(N(对接源_02物料!$B891)&lt;$L$2,N(对接源_02物料!$B891)&gt;$L$3),0,1))</f>
        <v>0</v>
      </c>
      <c r="M2091" s="1" t="n">
        <f aca="false">IF(OR($M$1="",对接源_02物料!$C891="",对接源_02物料!$C891&lt;&gt;$M$1,对接源_02物料!$B891=""),0,IF(OR(N(对接源_02物料!$B891)&lt;$M$2,N(对接源_02物料!$B891)&gt;$M$3),0,1))</f>
        <v>0</v>
      </c>
      <c r="N2091" s="1" t="n">
        <f aca="false">IF(OR($N$1="",对接源_02物料!$C891="",对接源_02物料!$C891&lt;&gt;$N$1,对接源_02物料!$B891=""),0,IF(OR(N(对接源_02物料!$B891)&lt;$N$2,N(对接源_02物料!$B891)&gt;$N$3),0,1))</f>
        <v>0</v>
      </c>
      <c r="P2091" s="1" t="n">
        <f aca="false">IF(AND($K2091=1,AND(对接源_02物料!$X891="公司筐",N(对接源_02物料!$T891)&lt;&gt;0)),1,0)</f>
        <v>0</v>
      </c>
      <c r="Q2091" s="1" t="n">
        <f aca="false">N(Q2090)+$P2091</f>
        <v>13</v>
      </c>
      <c r="R2091" s="1" t="n">
        <f aca="false">IF(AND($K2091=1,AND(对接源_02物料!$X891="公司筐",N(对接源_02物料!$U891)&lt;&gt;0)),1,0)</f>
        <v>0</v>
      </c>
      <c r="S2091" s="1" t="n">
        <f aca="false">N(S2090)+$R2091</f>
        <v>5</v>
      </c>
      <c r="T2091" s="1" t="n">
        <f aca="false">IF(AND($K2091=1,AND(对接源_02物料!$X891="公司筐",N(对接源_02物料!$V891)&lt;&gt;0)),1,0)</f>
        <v>0</v>
      </c>
      <c r="U2091" s="1" t="n">
        <f aca="false">N(U2090)+$T2091</f>
        <v>28</v>
      </c>
      <c r="V2091" s="1" t="n">
        <f aca="false">IF(AND($L2091=1,AND(对接源_02物料!$X891="自备筐",N(对接源_02物料!$V891)&lt;&gt;0)),1,0)</f>
        <v>0</v>
      </c>
      <c r="W2091" s="1" t="n">
        <f aca="false">N(W2090)+$V2091</f>
        <v>7</v>
      </c>
      <c r="X2091" s="1" t="n">
        <f aca="false">IF(AND($L2091=1,AND(对接源_02物料!$X891="自备筐",N(对接源_02物料!$T891)&lt;&gt;0)),1,0)</f>
        <v>0</v>
      </c>
      <c r="Y2091" s="1" t="n">
        <f aca="false">N(Y2090)+$X2091</f>
        <v>0</v>
      </c>
      <c r="Z2091" s="1" t="n">
        <f aca="false">IF(AND($M2091=1,对接源_02物料!$D891="原料入库"),1,0)</f>
        <v>0</v>
      </c>
      <c r="AA2091" s="1" t="n">
        <f aca="false">N(AA2090)+$Z2091</f>
        <v>30</v>
      </c>
      <c r="AB2091" s="1" t="n">
        <f aca="false">IF(AND($M2091=1,LEFT(对接源_02物料!$D891,4)="原料出库"),1,0)</f>
        <v>0</v>
      </c>
      <c r="AC2091" s="1" t="n">
        <f aca="false">N(AC2090)+$AB2091</f>
        <v>19</v>
      </c>
      <c r="AD2091" s="1" t="n">
        <f aca="false">IF(AND($M2091=1,LEFT(对接源_02物料!$D891,4)="成品出库"),1,0)</f>
        <v>0</v>
      </c>
      <c r="AE2091" s="1" t="n">
        <f aca="false">N(AE2090)+$AD2091</f>
        <v>38</v>
      </c>
      <c r="AF2091" s="1" t="n">
        <f aca="false">IF(AND($N2091=1,AND(LEFT(对接源_02物料!$D891,4)="包装物料",N(对接源_02物料!$K891)&lt;&gt;0)),1,0)</f>
        <v>0</v>
      </c>
      <c r="AG2091" s="1" t="n">
        <f aca="false">N(AG2090)+$AF2091</f>
        <v>6</v>
      </c>
      <c r="AH2091" s="1" t="n">
        <f aca="false">IF(AND($N2091=1,AND(LEFT(对接源_02物料!$D891,3)="周转筐",N(对接源_02物料!$K891)&lt;&gt;0)),1,0)</f>
        <v>0</v>
      </c>
      <c r="AI2091" s="1" t="n">
        <f aca="false">N(AI2090)+$AH2091</f>
        <v>0</v>
      </c>
      <c r="AJ2091" s="1" t="n">
        <v>0</v>
      </c>
      <c r="AK2091" s="1" t="n">
        <f aca="false">N(AK2090)+$AJ2091</f>
        <v>3672</v>
      </c>
    </row>
    <row r="2092" customFormat="false" ht="13.5" hidden="false" customHeight="false" outlineLevel="0" collapsed="false">
      <c r="A2092" s="1" t="str">
        <f aca="false">IF(对接源_02物料!$C892="","",对接源_02物料!$C892)</f>
        <v/>
      </c>
      <c r="B2092" s="1" t="n">
        <f aca="false">IF(A2092="",0,IF(MATCH(A2092,$A$4:$A$2403,0)=ROW()-3,1,0))</f>
        <v>0</v>
      </c>
      <c r="C2092" s="1" t="n">
        <f aca="false">N(C2091)+B2092</f>
        <v>17</v>
      </c>
      <c r="K2092" s="1" t="n">
        <f aca="false">IF(OR($K$1="",对接源_02物料!$C892="",对接源_02物料!$C892&lt;&gt;$K$1,对接源_02物料!$B892=""),0,IF(OR(N(对接源_02物料!$B892)&lt;$K$2,N(对接源_02物料!$B892)&gt;$K$3),0,1))</f>
        <v>0</v>
      </c>
      <c r="L2092" s="1" t="n">
        <f aca="false">IF(OR($L$1="",对接源_02物料!$C892="",对接源_02物料!$C892&lt;&gt;$L$1,对接源_02物料!$B892=""),0,IF(OR(N(对接源_02物料!$B892)&lt;$L$2,N(对接源_02物料!$B892)&gt;$L$3),0,1))</f>
        <v>0</v>
      </c>
      <c r="M2092" s="1" t="n">
        <f aca="false">IF(OR($M$1="",对接源_02物料!$C892="",对接源_02物料!$C892&lt;&gt;$M$1,对接源_02物料!$B892=""),0,IF(OR(N(对接源_02物料!$B892)&lt;$M$2,N(对接源_02物料!$B892)&gt;$M$3),0,1))</f>
        <v>0</v>
      </c>
      <c r="N2092" s="1" t="n">
        <f aca="false">IF(OR($N$1="",对接源_02物料!$C892="",对接源_02物料!$C892&lt;&gt;$N$1,对接源_02物料!$B892=""),0,IF(OR(N(对接源_02物料!$B892)&lt;$N$2,N(对接源_02物料!$B892)&gt;$N$3),0,1))</f>
        <v>0</v>
      </c>
      <c r="P2092" s="1" t="n">
        <f aca="false">IF(AND($K2092=1,AND(对接源_02物料!$X892="公司筐",N(对接源_02物料!$T892)&lt;&gt;0)),1,0)</f>
        <v>0</v>
      </c>
      <c r="Q2092" s="1" t="n">
        <f aca="false">N(Q2091)+$P2092</f>
        <v>13</v>
      </c>
      <c r="R2092" s="1" t="n">
        <f aca="false">IF(AND($K2092=1,AND(对接源_02物料!$X892="公司筐",N(对接源_02物料!$U892)&lt;&gt;0)),1,0)</f>
        <v>0</v>
      </c>
      <c r="S2092" s="1" t="n">
        <f aca="false">N(S2091)+$R2092</f>
        <v>5</v>
      </c>
      <c r="T2092" s="1" t="n">
        <f aca="false">IF(AND($K2092=1,AND(对接源_02物料!$X892="公司筐",N(对接源_02物料!$V892)&lt;&gt;0)),1,0)</f>
        <v>0</v>
      </c>
      <c r="U2092" s="1" t="n">
        <f aca="false">N(U2091)+$T2092</f>
        <v>28</v>
      </c>
      <c r="V2092" s="1" t="n">
        <f aca="false">IF(AND($L2092=1,AND(对接源_02物料!$X892="自备筐",N(对接源_02物料!$V892)&lt;&gt;0)),1,0)</f>
        <v>0</v>
      </c>
      <c r="W2092" s="1" t="n">
        <f aca="false">N(W2091)+$V2092</f>
        <v>7</v>
      </c>
      <c r="X2092" s="1" t="n">
        <f aca="false">IF(AND($L2092=1,AND(对接源_02物料!$X892="自备筐",N(对接源_02物料!$T892)&lt;&gt;0)),1,0)</f>
        <v>0</v>
      </c>
      <c r="Y2092" s="1" t="n">
        <f aca="false">N(Y2091)+$X2092</f>
        <v>0</v>
      </c>
      <c r="Z2092" s="1" t="n">
        <f aca="false">IF(AND($M2092=1,对接源_02物料!$D892="原料入库"),1,0)</f>
        <v>0</v>
      </c>
      <c r="AA2092" s="1" t="n">
        <f aca="false">N(AA2091)+$Z2092</f>
        <v>30</v>
      </c>
      <c r="AB2092" s="1" t="n">
        <f aca="false">IF(AND($M2092=1,LEFT(对接源_02物料!$D892,4)="原料出库"),1,0)</f>
        <v>0</v>
      </c>
      <c r="AC2092" s="1" t="n">
        <f aca="false">N(AC2091)+$AB2092</f>
        <v>19</v>
      </c>
      <c r="AD2092" s="1" t="n">
        <f aca="false">IF(AND($M2092=1,LEFT(对接源_02物料!$D892,4)="成品出库"),1,0)</f>
        <v>0</v>
      </c>
      <c r="AE2092" s="1" t="n">
        <f aca="false">N(AE2091)+$AD2092</f>
        <v>38</v>
      </c>
      <c r="AF2092" s="1" t="n">
        <f aca="false">IF(AND($N2092=1,AND(LEFT(对接源_02物料!$D892,4)="包装物料",N(对接源_02物料!$K892)&lt;&gt;0)),1,0)</f>
        <v>0</v>
      </c>
      <c r="AG2092" s="1" t="n">
        <f aca="false">N(AG2091)+$AF2092</f>
        <v>6</v>
      </c>
      <c r="AH2092" s="1" t="n">
        <f aca="false">IF(AND($N2092=1,AND(LEFT(对接源_02物料!$D892,3)="周转筐",N(对接源_02物料!$K892)&lt;&gt;0)),1,0)</f>
        <v>0</v>
      </c>
      <c r="AI2092" s="1" t="n">
        <f aca="false">N(AI2091)+$AH2092</f>
        <v>0</v>
      </c>
      <c r="AJ2092" s="1" t="n">
        <v>0</v>
      </c>
      <c r="AK2092" s="1" t="n">
        <f aca="false">N(AK2091)+$AJ2092</f>
        <v>3672</v>
      </c>
    </row>
    <row r="2093" customFormat="false" ht="13.5" hidden="false" customHeight="false" outlineLevel="0" collapsed="false">
      <c r="A2093" s="1" t="str">
        <f aca="false">IF(对接源_02物料!$C893="","",对接源_02物料!$C893)</f>
        <v/>
      </c>
      <c r="B2093" s="1" t="n">
        <f aca="false">IF(A2093="",0,IF(MATCH(A2093,$A$4:$A$2403,0)=ROW()-3,1,0))</f>
        <v>0</v>
      </c>
      <c r="C2093" s="1" t="n">
        <f aca="false">N(C2092)+B2093</f>
        <v>17</v>
      </c>
      <c r="K2093" s="1" t="n">
        <f aca="false">IF(OR($K$1="",对接源_02物料!$C893="",对接源_02物料!$C893&lt;&gt;$K$1,对接源_02物料!$B893=""),0,IF(OR(N(对接源_02物料!$B893)&lt;$K$2,N(对接源_02物料!$B893)&gt;$K$3),0,1))</f>
        <v>0</v>
      </c>
      <c r="L2093" s="1" t="n">
        <f aca="false">IF(OR($L$1="",对接源_02物料!$C893="",对接源_02物料!$C893&lt;&gt;$L$1,对接源_02物料!$B893=""),0,IF(OR(N(对接源_02物料!$B893)&lt;$L$2,N(对接源_02物料!$B893)&gt;$L$3),0,1))</f>
        <v>0</v>
      </c>
      <c r="M2093" s="1" t="n">
        <f aca="false">IF(OR($M$1="",对接源_02物料!$C893="",对接源_02物料!$C893&lt;&gt;$M$1,对接源_02物料!$B893=""),0,IF(OR(N(对接源_02物料!$B893)&lt;$M$2,N(对接源_02物料!$B893)&gt;$M$3),0,1))</f>
        <v>0</v>
      </c>
      <c r="N2093" s="1" t="n">
        <f aca="false">IF(OR($N$1="",对接源_02物料!$C893="",对接源_02物料!$C893&lt;&gt;$N$1,对接源_02物料!$B893=""),0,IF(OR(N(对接源_02物料!$B893)&lt;$N$2,N(对接源_02物料!$B893)&gt;$N$3),0,1))</f>
        <v>0</v>
      </c>
      <c r="P2093" s="1" t="n">
        <f aca="false">IF(AND($K2093=1,AND(对接源_02物料!$X893="公司筐",N(对接源_02物料!$T893)&lt;&gt;0)),1,0)</f>
        <v>0</v>
      </c>
      <c r="Q2093" s="1" t="n">
        <f aca="false">N(Q2092)+$P2093</f>
        <v>13</v>
      </c>
      <c r="R2093" s="1" t="n">
        <f aca="false">IF(AND($K2093=1,AND(对接源_02物料!$X893="公司筐",N(对接源_02物料!$U893)&lt;&gt;0)),1,0)</f>
        <v>0</v>
      </c>
      <c r="S2093" s="1" t="n">
        <f aca="false">N(S2092)+$R2093</f>
        <v>5</v>
      </c>
      <c r="T2093" s="1" t="n">
        <f aca="false">IF(AND($K2093=1,AND(对接源_02物料!$X893="公司筐",N(对接源_02物料!$V893)&lt;&gt;0)),1,0)</f>
        <v>0</v>
      </c>
      <c r="U2093" s="1" t="n">
        <f aca="false">N(U2092)+$T2093</f>
        <v>28</v>
      </c>
      <c r="V2093" s="1" t="n">
        <f aca="false">IF(AND($L2093=1,AND(对接源_02物料!$X893="自备筐",N(对接源_02物料!$V893)&lt;&gt;0)),1,0)</f>
        <v>0</v>
      </c>
      <c r="W2093" s="1" t="n">
        <f aca="false">N(W2092)+$V2093</f>
        <v>7</v>
      </c>
      <c r="X2093" s="1" t="n">
        <f aca="false">IF(AND($L2093=1,AND(对接源_02物料!$X893="自备筐",N(对接源_02物料!$T893)&lt;&gt;0)),1,0)</f>
        <v>0</v>
      </c>
      <c r="Y2093" s="1" t="n">
        <f aca="false">N(Y2092)+$X2093</f>
        <v>0</v>
      </c>
      <c r="Z2093" s="1" t="n">
        <f aca="false">IF(AND($M2093=1,对接源_02物料!$D893="原料入库"),1,0)</f>
        <v>0</v>
      </c>
      <c r="AA2093" s="1" t="n">
        <f aca="false">N(AA2092)+$Z2093</f>
        <v>30</v>
      </c>
      <c r="AB2093" s="1" t="n">
        <f aca="false">IF(AND($M2093=1,LEFT(对接源_02物料!$D893,4)="原料出库"),1,0)</f>
        <v>0</v>
      </c>
      <c r="AC2093" s="1" t="n">
        <f aca="false">N(AC2092)+$AB2093</f>
        <v>19</v>
      </c>
      <c r="AD2093" s="1" t="n">
        <f aca="false">IF(AND($M2093=1,LEFT(对接源_02物料!$D893,4)="成品出库"),1,0)</f>
        <v>0</v>
      </c>
      <c r="AE2093" s="1" t="n">
        <f aca="false">N(AE2092)+$AD2093</f>
        <v>38</v>
      </c>
      <c r="AF2093" s="1" t="n">
        <f aca="false">IF(AND($N2093=1,AND(LEFT(对接源_02物料!$D893,4)="包装物料",N(对接源_02物料!$K893)&lt;&gt;0)),1,0)</f>
        <v>0</v>
      </c>
      <c r="AG2093" s="1" t="n">
        <f aca="false">N(AG2092)+$AF2093</f>
        <v>6</v>
      </c>
      <c r="AH2093" s="1" t="n">
        <f aca="false">IF(AND($N2093=1,AND(LEFT(对接源_02物料!$D893,3)="周转筐",N(对接源_02物料!$K893)&lt;&gt;0)),1,0)</f>
        <v>0</v>
      </c>
      <c r="AI2093" s="1" t="n">
        <f aca="false">N(AI2092)+$AH2093</f>
        <v>0</v>
      </c>
      <c r="AJ2093" s="1" t="n">
        <v>0</v>
      </c>
      <c r="AK2093" s="1" t="n">
        <f aca="false">N(AK2092)+$AJ2093</f>
        <v>3672</v>
      </c>
    </row>
    <row r="2094" customFormat="false" ht="13.5" hidden="false" customHeight="false" outlineLevel="0" collapsed="false">
      <c r="A2094" s="1" t="str">
        <f aca="false">IF(对接源_02物料!$C894="","",对接源_02物料!$C894)</f>
        <v/>
      </c>
      <c r="B2094" s="1" t="n">
        <f aca="false">IF(A2094="",0,IF(MATCH(A2094,$A$4:$A$2403,0)=ROW()-3,1,0))</f>
        <v>0</v>
      </c>
      <c r="C2094" s="1" t="n">
        <f aca="false">N(C2093)+B2094</f>
        <v>17</v>
      </c>
      <c r="K2094" s="1" t="n">
        <f aca="false">IF(OR($K$1="",对接源_02物料!$C894="",对接源_02物料!$C894&lt;&gt;$K$1,对接源_02物料!$B894=""),0,IF(OR(N(对接源_02物料!$B894)&lt;$K$2,N(对接源_02物料!$B894)&gt;$K$3),0,1))</f>
        <v>0</v>
      </c>
      <c r="L2094" s="1" t="n">
        <f aca="false">IF(OR($L$1="",对接源_02物料!$C894="",对接源_02物料!$C894&lt;&gt;$L$1,对接源_02物料!$B894=""),0,IF(OR(N(对接源_02物料!$B894)&lt;$L$2,N(对接源_02物料!$B894)&gt;$L$3),0,1))</f>
        <v>0</v>
      </c>
      <c r="M2094" s="1" t="n">
        <f aca="false">IF(OR($M$1="",对接源_02物料!$C894="",对接源_02物料!$C894&lt;&gt;$M$1,对接源_02物料!$B894=""),0,IF(OR(N(对接源_02物料!$B894)&lt;$M$2,N(对接源_02物料!$B894)&gt;$M$3),0,1))</f>
        <v>0</v>
      </c>
      <c r="N2094" s="1" t="n">
        <f aca="false">IF(OR($N$1="",对接源_02物料!$C894="",对接源_02物料!$C894&lt;&gt;$N$1,对接源_02物料!$B894=""),0,IF(OR(N(对接源_02物料!$B894)&lt;$N$2,N(对接源_02物料!$B894)&gt;$N$3),0,1))</f>
        <v>0</v>
      </c>
      <c r="P2094" s="1" t="n">
        <f aca="false">IF(AND($K2094=1,AND(对接源_02物料!$X894="公司筐",N(对接源_02物料!$T894)&lt;&gt;0)),1,0)</f>
        <v>0</v>
      </c>
      <c r="Q2094" s="1" t="n">
        <f aca="false">N(Q2093)+$P2094</f>
        <v>13</v>
      </c>
      <c r="R2094" s="1" t="n">
        <f aca="false">IF(AND($K2094=1,AND(对接源_02物料!$X894="公司筐",N(对接源_02物料!$U894)&lt;&gt;0)),1,0)</f>
        <v>0</v>
      </c>
      <c r="S2094" s="1" t="n">
        <f aca="false">N(S2093)+$R2094</f>
        <v>5</v>
      </c>
      <c r="T2094" s="1" t="n">
        <f aca="false">IF(AND($K2094=1,AND(对接源_02物料!$X894="公司筐",N(对接源_02物料!$V894)&lt;&gt;0)),1,0)</f>
        <v>0</v>
      </c>
      <c r="U2094" s="1" t="n">
        <f aca="false">N(U2093)+$T2094</f>
        <v>28</v>
      </c>
      <c r="V2094" s="1" t="n">
        <f aca="false">IF(AND($L2094=1,AND(对接源_02物料!$X894="自备筐",N(对接源_02物料!$V894)&lt;&gt;0)),1,0)</f>
        <v>0</v>
      </c>
      <c r="W2094" s="1" t="n">
        <f aca="false">N(W2093)+$V2094</f>
        <v>7</v>
      </c>
      <c r="X2094" s="1" t="n">
        <f aca="false">IF(AND($L2094=1,AND(对接源_02物料!$X894="自备筐",N(对接源_02物料!$T894)&lt;&gt;0)),1,0)</f>
        <v>0</v>
      </c>
      <c r="Y2094" s="1" t="n">
        <f aca="false">N(Y2093)+$X2094</f>
        <v>0</v>
      </c>
      <c r="Z2094" s="1" t="n">
        <f aca="false">IF(AND($M2094=1,对接源_02物料!$D894="原料入库"),1,0)</f>
        <v>0</v>
      </c>
      <c r="AA2094" s="1" t="n">
        <f aca="false">N(AA2093)+$Z2094</f>
        <v>30</v>
      </c>
      <c r="AB2094" s="1" t="n">
        <f aca="false">IF(AND($M2094=1,LEFT(对接源_02物料!$D894,4)="原料出库"),1,0)</f>
        <v>0</v>
      </c>
      <c r="AC2094" s="1" t="n">
        <f aca="false">N(AC2093)+$AB2094</f>
        <v>19</v>
      </c>
      <c r="AD2094" s="1" t="n">
        <f aca="false">IF(AND($M2094=1,LEFT(对接源_02物料!$D894,4)="成品出库"),1,0)</f>
        <v>0</v>
      </c>
      <c r="AE2094" s="1" t="n">
        <f aca="false">N(AE2093)+$AD2094</f>
        <v>38</v>
      </c>
      <c r="AF2094" s="1" t="n">
        <f aca="false">IF(AND($N2094=1,AND(LEFT(对接源_02物料!$D894,4)="包装物料",N(对接源_02物料!$K894)&lt;&gt;0)),1,0)</f>
        <v>0</v>
      </c>
      <c r="AG2094" s="1" t="n">
        <f aca="false">N(AG2093)+$AF2094</f>
        <v>6</v>
      </c>
      <c r="AH2094" s="1" t="n">
        <f aca="false">IF(AND($N2094=1,AND(LEFT(对接源_02物料!$D894,3)="周转筐",N(对接源_02物料!$K894)&lt;&gt;0)),1,0)</f>
        <v>0</v>
      </c>
      <c r="AI2094" s="1" t="n">
        <f aca="false">N(AI2093)+$AH2094</f>
        <v>0</v>
      </c>
      <c r="AJ2094" s="1" t="n">
        <v>0</v>
      </c>
      <c r="AK2094" s="1" t="n">
        <f aca="false">N(AK2093)+$AJ2094</f>
        <v>3672</v>
      </c>
    </row>
    <row r="2095" customFormat="false" ht="13.5" hidden="false" customHeight="false" outlineLevel="0" collapsed="false">
      <c r="A2095" s="1" t="str">
        <f aca="false">IF(对接源_02物料!$C895="","",对接源_02物料!$C895)</f>
        <v/>
      </c>
      <c r="B2095" s="1" t="n">
        <f aca="false">IF(A2095="",0,IF(MATCH(A2095,$A$4:$A$2403,0)=ROW()-3,1,0))</f>
        <v>0</v>
      </c>
      <c r="C2095" s="1" t="n">
        <f aca="false">N(C2094)+B2095</f>
        <v>17</v>
      </c>
      <c r="K2095" s="1" t="n">
        <f aca="false">IF(OR($K$1="",对接源_02物料!$C895="",对接源_02物料!$C895&lt;&gt;$K$1,对接源_02物料!$B895=""),0,IF(OR(N(对接源_02物料!$B895)&lt;$K$2,N(对接源_02物料!$B895)&gt;$K$3),0,1))</f>
        <v>0</v>
      </c>
      <c r="L2095" s="1" t="n">
        <f aca="false">IF(OR($L$1="",对接源_02物料!$C895="",对接源_02物料!$C895&lt;&gt;$L$1,对接源_02物料!$B895=""),0,IF(OR(N(对接源_02物料!$B895)&lt;$L$2,N(对接源_02物料!$B895)&gt;$L$3),0,1))</f>
        <v>0</v>
      </c>
      <c r="M2095" s="1" t="n">
        <f aca="false">IF(OR($M$1="",对接源_02物料!$C895="",对接源_02物料!$C895&lt;&gt;$M$1,对接源_02物料!$B895=""),0,IF(OR(N(对接源_02物料!$B895)&lt;$M$2,N(对接源_02物料!$B895)&gt;$M$3),0,1))</f>
        <v>0</v>
      </c>
      <c r="N2095" s="1" t="n">
        <f aca="false">IF(OR($N$1="",对接源_02物料!$C895="",对接源_02物料!$C895&lt;&gt;$N$1,对接源_02物料!$B895=""),0,IF(OR(N(对接源_02物料!$B895)&lt;$N$2,N(对接源_02物料!$B895)&gt;$N$3),0,1))</f>
        <v>0</v>
      </c>
      <c r="P2095" s="1" t="n">
        <f aca="false">IF(AND($K2095=1,AND(对接源_02物料!$X895="公司筐",N(对接源_02物料!$T895)&lt;&gt;0)),1,0)</f>
        <v>0</v>
      </c>
      <c r="Q2095" s="1" t="n">
        <f aca="false">N(Q2094)+$P2095</f>
        <v>13</v>
      </c>
      <c r="R2095" s="1" t="n">
        <f aca="false">IF(AND($K2095=1,AND(对接源_02物料!$X895="公司筐",N(对接源_02物料!$U895)&lt;&gt;0)),1,0)</f>
        <v>0</v>
      </c>
      <c r="S2095" s="1" t="n">
        <f aca="false">N(S2094)+$R2095</f>
        <v>5</v>
      </c>
      <c r="T2095" s="1" t="n">
        <f aca="false">IF(AND($K2095=1,AND(对接源_02物料!$X895="公司筐",N(对接源_02物料!$V895)&lt;&gt;0)),1,0)</f>
        <v>0</v>
      </c>
      <c r="U2095" s="1" t="n">
        <f aca="false">N(U2094)+$T2095</f>
        <v>28</v>
      </c>
      <c r="V2095" s="1" t="n">
        <f aca="false">IF(AND($L2095=1,AND(对接源_02物料!$X895="自备筐",N(对接源_02物料!$V895)&lt;&gt;0)),1,0)</f>
        <v>0</v>
      </c>
      <c r="W2095" s="1" t="n">
        <f aca="false">N(W2094)+$V2095</f>
        <v>7</v>
      </c>
      <c r="X2095" s="1" t="n">
        <f aca="false">IF(AND($L2095=1,AND(对接源_02物料!$X895="自备筐",N(对接源_02物料!$T895)&lt;&gt;0)),1,0)</f>
        <v>0</v>
      </c>
      <c r="Y2095" s="1" t="n">
        <f aca="false">N(Y2094)+$X2095</f>
        <v>0</v>
      </c>
      <c r="Z2095" s="1" t="n">
        <f aca="false">IF(AND($M2095=1,对接源_02物料!$D895="原料入库"),1,0)</f>
        <v>0</v>
      </c>
      <c r="AA2095" s="1" t="n">
        <f aca="false">N(AA2094)+$Z2095</f>
        <v>30</v>
      </c>
      <c r="AB2095" s="1" t="n">
        <f aca="false">IF(AND($M2095=1,LEFT(对接源_02物料!$D895,4)="原料出库"),1,0)</f>
        <v>0</v>
      </c>
      <c r="AC2095" s="1" t="n">
        <f aca="false">N(AC2094)+$AB2095</f>
        <v>19</v>
      </c>
      <c r="AD2095" s="1" t="n">
        <f aca="false">IF(AND($M2095=1,LEFT(对接源_02物料!$D895,4)="成品出库"),1,0)</f>
        <v>0</v>
      </c>
      <c r="AE2095" s="1" t="n">
        <f aca="false">N(AE2094)+$AD2095</f>
        <v>38</v>
      </c>
      <c r="AF2095" s="1" t="n">
        <f aca="false">IF(AND($N2095=1,AND(LEFT(对接源_02物料!$D895,4)="包装物料",N(对接源_02物料!$K895)&lt;&gt;0)),1,0)</f>
        <v>0</v>
      </c>
      <c r="AG2095" s="1" t="n">
        <f aca="false">N(AG2094)+$AF2095</f>
        <v>6</v>
      </c>
      <c r="AH2095" s="1" t="n">
        <f aca="false">IF(AND($N2095=1,AND(LEFT(对接源_02物料!$D895,3)="周转筐",N(对接源_02物料!$K895)&lt;&gt;0)),1,0)</f>
        <v>0</v>
      </c>
      <c r="AI2095" s="1" t="n">
        <f aca="false">N(AI2094)+$AH2095</f>
        <v>0</v>
      </c>
      <c r="AJ2095" s="1" t="n">
        <v>0</v>
      </c>
      <c r="AK2095" s="1" t="n">
        <f aca="false">N(AK2094)+$AJ2095</f>
        <v>3672</v>
      </c>
    </row>
    <row r="2096" customFormat="false" ht="13.5" hidden="false" customHeight="false" outlineLevel="0" collapsed="false">
      <c r="A2096" s="1" t="str">
        <f aca="false">IF(对接源_02物料!$C896="","",对接源_02物料!$C896)</f>
        <v/>
      </c>
      <c r="B2096" s="1" t="n">
        <f aca="false">IF(A2096="",0,IF(MATCH(A2096,$A$4:$A$2403,0)=ROW()-3,1,0))</f>
        <v>0</v>
      </c>
      <c r="C2096" s="1" t="n">
        <f aca="false">N(C2095)+B2096</f>
        <v>17</v>
      </c>
      <c r="K2096" s="1" t="n">
        <f aca="false">IF(OR($K$1="",对接源_02物料!$C896="",对接源_02物料!$C896&lt;&gt;$K$1,对接源_02物料!$B896=""),0,IF(OR(N(对接源_02物料!$B896)&lt;$K$2,N(对接源_02物料!$B896)&gt;$K$3),0,1))</f>
        <v>0</v>
      </c>
      <c r="L2096" s="1" t="n">
        <f aca="false">IF(OR($L$1="",对接源_02物料!$C896="",对接源_02物料!$C896&lt;&gt;$L$1,对接源_02物料!$B896=""),0,IF(OR(N(对接源_02物料!$B896)&lt;$L$2,N(对接源_02物料!$B896)&gt;$L$3),0,1))</f>
        <v>0</v>
      </c>
      <c r="M2096" s="1" t="n">
        <f aca="false">IF(OR($M$1="",对接源_02物料!$C896="",对接源_02物料!$C896&lt;&gt;$M$1,对接源_02物料!$B896=""),0,IF(OR(N(对接源_02物料!$B896)&lt;$M$2,N(对接源_02物料!$B896)&gt;$M$3),0,1))</f>
        <v>0</v>
      </c>
      <c r="N2096" s="1" t="n">
        <f aca="false">IF(OR($N$1="",对接源_02物料!$C896="",对接源_02物料!$C896&lt;&gt;$N$1,对接源_02物料!$B896=""),0,IF(OR(N(对接源_02物料!$B896)&lt;$N$2,N(对接源_02物料!$B896)&gt;$N$3),0,1))</f>
        <v>0</v>
      </c>
      <c r="P2096" s="1" t="n">
        <f aca="false">IF(AND($K2096=1,AND(对接源_02物料!$X896="公司筐",N(对接源_02物料!$T896)&lt;&gt;0)),1,0)</f>
        <v>0</v>
      </c>
      <c r="Q2096" s="1" t="n">
        <f aca="false">N(Q2095)+$P2096</f>
        <v>13</v>
      </c>
      <c r="R2096" s="1" t="n">
        <f aca="false">IF(AND($K2096=1,AND(对接源_02物料!$X896="公司筐",N(对接源_02物料!$U896)&lt;&gt;0)),1,0)</f>
        <v>0</v>
      </c>
      <c r="S2096" s="1" t="n">
        <f aca="false">N(S2095)+$R2096</f>
        <v>5</v>
      </c>
      <c r="T2096" s="1" t="n">
        <f aca="false">IF(AND($K2096=1,AND(对接源_02物料!$X896="公司筐",N(对接源_02物料!$V896)&lt;&gt;0)),1,0)</f>
        <v>0</v>
      </c>
      <c r="U2096" s="1" t="n">
        <f aca="false">N(U2095)+$T2096</f>
        <v>28</v>
      </c>
      <c r="V2096" s="1" t="n">
        <f aca="false">IF(AND($L2096=1,AND(对接源_02物料!$X896="自备筐",N(对接源_02物料!$V896)&lt;&gt;0)),1,0)</f>
        <v>0</v>
      </c>
      <c r="W2096" s="1" t="n">
        <f aca="false">N(W2095)+$V2096</f>
        <v>7</v>
      </c>
      <c r="X2096" s="1" t="n">
        <f aca="false">IF(AND($L2096=1,AND(对接源_02物料!$X896="自备筐",N(对接源_02物料!$T896)&lt;&gt;0)),1,0)</f>
        <v>0</v>
      </c>
      <c r="Y2096" s="1" t="n">
        <f aca="false">N(Y2095)+$X2096</f>
        <v>0</v>
      </c>
      <c r="Z2096" s="1" t="n">
        <f aca="false">IF(AND($M2096=1,对接源_02物料!$D896="原料入库"),1,0)</f>
        <v>0</v>
      </c>
      <c r="AA2096" s="1" t="n">
        <f aca="false">N(AA2095)+$Z2096</f>
        <v>30</v>
      </c>
      <c r="AB2096" s="1" t="n">
        <f aca="false">IF(AND($M2096=1,LEFT(对接源_02物料!$D896,4)="原料出库"),1,0)</f>
        <v>0</v>
      </c>
      <c r="AC2096" s="1" t="n">
        <f aca="false">N(AC2095)+$AB2096</f>
        <v>19</v>
      </c>
      <c r="AD2096" s="1" t="n">
        <f aca="false">IF(AND($M2096=1,LEFT(对接源_02物料!$D896,4)="成品出库"),1,0)</f>
        <v>0</v>
      </c>
      <c r="AE2096" s="1" t="n">
        <f aca="false">N(AE2095)+$AD2096</f>
        <v>38</v>
      </c>
      <c r="AF2096" s="1" t="n">
        <f aca="false">IF(AND($N2096=1,AND(LEFT(对接源_02物料!$D896,4)="包装物料",N(对接源_02物料!$K896)&lt;&gt;0)),1,0)</f>
        <v>0</v>
      </c>
      <c r="AG2096" s="1" t="n">
        <f aca="false">N(AG2095)+$AF2096</f>
        <v>6</v>
      </c>
      <c r="AH2096" s="1" t="n">
        <f aca="false">IF(AND($N2096=1,AND(LEFT(对接源_02物料!$D896,3)="周转筐",N(对接源_02物料!$K896)&lt;&gt;0)),1,0)</f>
        <v>0</v>
      </c>
      <c r="AI2096" s="1" t="n">
        <f aca="false">N(AI2095)+$AH2096</f>
        <v>0</v>
      </c>
      <c r="AJ2096" s="1" t="n">
        <v>0</v>
      </c>
      <c r="AK2096" s="1" t="n">
        <f aca="false">N(AK2095)+$AJ2096</f>
        <v>3672</v>
      </c>
    </row>
    <row r="2097" customFormat="false" ht="13.5" hidden="false" customHeight="false" outlineLevel="0" collapsed="false">
      <c r="A2097" s="1" t="str">
        <f aca="false">IF(对接源_02物料!$C897="","",对接源_02物料!$C897)</f>
        <v/>
      </c>
      <c r="B2097" s="1" t="n">
        <f aca="false">IF(A2097="",0,IF(MATCH(A2097,$A$4:$A$2403,0)=ROW()-3,1,0))</f>
        <v>0</v>
      </c>
      <c r="C2097" s="1" t="n">
        <f aca="false">N(C2096)+B2097</f>
        <v>17</v>
      </c>
      <c r="K2097" s="1" t="n">
        <f aca="false">IF(OR($K$1="",对接源_02物料!$C897="",对接源_02物料!$C897&lt;&gt;$K$1,对接源_02物料!$B897=""),0,IF(OR(N(对接源_02物料!$B897)&lt;$K$2,N(对接源_02物料!$B897)&gt;$K$3),0,1))</f>
        <v>0</v>
      </c>
      <c r="L2097" s="1" t="n">
        <f aca="false">IF(OR($L$1="",对接源_02物料!$C897="",对接源_02物料!$C897&lt;&gt;$L$1,对接源_02物料!$B897=""),0,IF(OR(N(对接源_02物料!$B897)&lt;$L$2,N(对接源_02物料!$B897)&gt;$L$3),0,1))</f>
        <v>0</v>
      </c>
      <c r="M2097" s="1" t="n">
        <f aca="false">IF(OR($M$1="",对接源_02物料!$C897="",对接源_02物料!$C897&lt;&gt;$M$1,对接源_02物料!$B897=""),0,IF(OR(N(对接源_02物料!$B897)&lt;$M$2,N(对接源_02物料!$B897)&gt;$M$3),0,1))</f>
        <v>0</v>
      </c>
      <c r="N2097" s="1" t="n">
        <f aca="false">IF(OR($N$1="",对接源_02物料!$C897="",对接源_02物料!$C897&lt;&gt;$N$1,对接源_02物料!$B897=""),0,IF(OR(N(对接源_02物料!$B897)&lt;$N$2,N(对接源_02物料!$B897)&gt;$N$3),0,1))</f>
        <v>0</v>
      </c>
      <c r="P2097" s="1" t="n">
        <f aca="false">IF(AND($K2097=1,AND(对接源_02物料!$X897="公司筐",N(对接源_02物料!$T897)&lt;&gt;0)),1,0)</f>
        <v>0</v>
      </c>
      <c r="Q2097" s="1" t="n">
        <f aca="false">N(Q2096)+$P2097</f>
        <v>13</v>
      </c>
      <c r="R2097" s="1" t="n">
        <f aca="false">IF(AND($K2097=1,AND(对接源_02物料!$X897="公司筐",N(对接源_02物料!$U897)&lt;&gt;0)),1,0)</f>
        <v>0</v>
      </c>
      <c r="S2097" s="1" t="n">
        <f aca="false">N(S2096)+$R2097</f>
        <v>5</v>
      </c>
      <c r="T2097" s="1" t="n">
        <f aca="false">IF(AND($K2097=1,AND(对接源_02物料!$X897="公司筐",N(对接源_02物料!$V897)&lt;&gt;0)),1,0)</f>
        <v>0</v>
      </c>
      <c r="U2097" s="1" t="n">
        <f aca="false">N(U2096)+$T2097</f>
        <v>28</v>
      </c>
      <c r="V2097" s="1" t="n">
        <f aca="false">IF(AND($L2097=1,AND(对接源_02物料!$X897="自备筐",N(对接源_02物料!$V897)&lt;&gt;0)),1,0)</f>
        <v>0</v>
      </c>
      <c r="W2097" s="1" t="n">
        <f aca="false">N(W2096)+$V2097</f>
        <v>7</v>
      </c>
      <c r="X2097" s="1" t="n">
        <f aca="false">IF(AND($L2097=1,AND(对接源_02物料!$X897="自备筐",N(对接源_02物料!$T897)&lt;&gt;0)),1,0)</f>
        <v>0</v>
      </c>
      <c r="Y2097" s="1" t="n">
        <f aca="false">N(Y2096)+$X2097</f>
        <v>0</v>
      </c>
      <c r="Z2097" s="1" t="n">
        <f aca="false">IF(AND($M2097=1,对接源_02物料!$D897="原料入库"),1,0)</f>
        <v>0</v>
      </c>
      <c r="AA2097" s="1" t="n">
        <f aca="false">N(AA2096)+$Z2097</f>
        <v>30</v>
      </c>
      <c r="AB2097" s="1" t="n">
        <f aca="false">IF(AND($M2097=1,LEFT(对接源_02物料!$D897,4)="原料出库"),1,0)</f>
        <v>0</v>
      </c>
      <c r="AC2097" s="1" t="n">
        <f aca="false">N(AC2096)+$AB2097</f>
        <v>19</v>
      </c>
      <c r="AD2097" s="1" t="n">
        <f aca="false">IF(AND($M2097=1,LEFT(对接源_02物料!$D897,4)="成品出库"),1,0)</f>
        <v>0</v>
      </c>
      <c r="AE2097" s="1" t="n">
        <f aca="false">N(AE2096)+$AD2097</f>
        <v>38</v>
      </c>
      <c r="AF2097" s="1" t="n">
        <f aca="false">IF(AND($N2097=1,AND(LEFT(对接源_02物料!$D897,4)="包装物料",N(对接源_02物料!$K897)&lt;&gt;0)),1,0)</f>
        <v>0</v>
      </c>
      <c r="AG2097" s="1" t="n">
        <f aca="false">N(AG2096)+$AF2097</f>
        <v>6</v>
      </c>
      <c r="AH2097" s="1" t="n">
        <f aca="false">IF(AND($N2097=1,AND(LEFT(对接源_02物料!$D897,3)="周转筐",N(对接源_02物料!$K897)&lt;&gt;0)),1,0)</f>
        <v>0</v>
      </c>
      <c r="AI2097" s="1" t="n">
        <f aca="false">N(AI2096)+$AH2097</f>
        <v>0</v>
      </c>
      <c r="AJ2097" s="1" t="n">
        <v>0</v>
      </c>
      <c r="AK2097" s="1" t="n">
        <f aca="false">N(AK2096)+$AJ2097</f>
        <v>3672</v>
      </c>
    </row>
    <row r="2098" customFormat="false" ht="13.5" hidden="false" customHeight="false" outlineLevel="0" collapsed="false">
      <c r="A2098" s="1" t="str">
        <f aca="false">IF(对接源_02物料!$C898="","",对接源_02物料!$C898)</f>
        <v/>
      </c>
      <c r="B2098" s="1" t="n">
        <f aca="false">IF(A2098="",0,IF(MATCH(A2098,$A$4:$A$2403,0)=ROW()-3,1,0))</f>
        <v>0</v>
      </c>
      <c r="C2098" s="1" t="n">
        <f aca="false">N(C2097)+B2098</f>
        <v>17</v>
      </c>
      <c r="K2098" s="1" t="n">
        <f aca="false">IF(OR($K$1="",对接源_02物料!$C898="",对接源_02物料!$C898&lt;&gt;$K$1,对接源_02物料!$B898=""),0,IF(OR(N(对接源_02物料!$B898)&lt;$K$2,N(对接源_02物料!$B898)&gt;$K$3),0,1))</f>
        <v>0</v>
      </c>
      <c r="L2098" s="1" t="n">
        <f aca="false">IF(OR($L$1="",对接源_02物料!$C898="",对接源_02物料!$C898&lt;&gt;$L$1,对接源_02物料!$B898=""),0,IF(OR(N(对接源_02物料!$B898)&lt;$L$2,N(对接源_02物料!$B898)&gt;$L$3),0,1))</f>
        <v>0</v>
      </c>
      <c r="M2098" s="1" t="n">
        <f aca="false">IF(OR($M$1="",对接源_02物料!$C898="",对接源_02物料!$C898&lt;&gt;$M$1,对接源_02物料!$B898=""),0,IF(OR(N(对接源_02物料!$B898)&lt;$M$2,N(对接源_02物料!$B898)&gt;$M$3),0,1))</f>
        <v>0</v>
      </c>
      <c r="N2098" s="1" t="n">
        <f aca="false">IF(OR($N$1="",对接源_02物料!$C898="",对接源_02物料!$C898&lt;&gt;$N$1,对接源_02物料!$B898=""),0,IF(OR(N(对接源_02物料!$B898)&lt;$N$2,N(对接源_02物料!$B898)&gt;$N$3),0,1))</f>
        <v>0</v>
      </c>
      <c r="P2098" s="1" t="n">
        <f aca="false">IF(AND($K2098=1,AND(对接源_02物料!$X898="公司筐",N(对接源_02物料!$T898)&lt;&gt;0)),1,0)</f>
        <v>0</v>
      </c>
      <c r="Q2098" s="1" t="n">
        <f aca="false">N(Q2097)+$P2098</f>
        <v>13</v>
      </c>
      <c r="R2098" s="1" t="n">
        <f aca="false">IF(AND($K2098=1,AND(对接源_02物料!$X898="公司筐",N(对接源_02物料!$U898)&lt;&gt;0)),1,0)</f>
        <v>0</v>
      </c>
      <c r="S2098" s="1" t="n">
        <f aca="false">N(S2097)+$R2098</f>
        <v>5</v>
      </c>
      <c r="T2098" s="1" t="n">
        <f aca="false">IF(AND($K2098=1,AND(对接源_02物料!$X898="公司筐",N(对接源_02物料!$V898)&lt;&gt;0)),1,0)</f>
        <v>0</v>
      </c>
      <c r="U2098" s="1" t="n">
        <f aca="false">N(U2097)+$T2098</f>
        <v>28</v>
      </c>
      <c r="V2098" s="1" t="n">
        <f aca="false">IF(AND($L2098=1,AND(对接源_02物料!$X898="自备筐",N(对接源_02物料!$V898)&lt;&gt;0)),1,0)</f>
        <v>0</v>
      </c>
      <c r="W2098" s="1" t="n">
        <f aca="false">N(W2097)+$V2098</f>
        <v>7</v>
      </c>
      <c r="X2098" s="1" t="n">
        <f aca="false">IF(AND($L2098=1,AND(对接源_02物料!$X898="自备筐",N(对接源_02物料!$T898)&lt;&gt;0)),1,0)</f>
        <v>0</v>
      </c>
      <c r="Y2098" s="1" t="n">
        <f aca="false">N(Y2097)+$X2098</f>
        <v>0</v>
      </c>
      <c r="Z2098" s="1" t="n">
        <f aca="false">IF(AND($M2098=1,对接源_02物料!$D898="原料入库"),1,0)</f>
        <v>0</v>
      </c>
      <c r="AA2098" s="1" t="n">
        <f aca="false">N(AA2097)+$Z2098</f>
        <v>30</v>
      </c>
      <c r="AB2098" s="1" t="n">
        <f aca="false">IF(AND($M2098=1,LEFT(对接源_02物料!$D898,4)="原料出库"),1,0)</f>
        <v>0</v>
      </c>
      <c r="AC2098" s="1" t="n">
        <f aca="false">N(AC2097)+$AB2098</f>
        <v>19</v>
      </c>
      <c r="AD2098" s="1" t="n">
        <f aca="false">IF(AND($M2098=1,LEFT(对接源_02物料!$D898,4)="成品出库"),1,0)</f>
        <v>0</v>
      </c>
      <c r="AE2098" s="1" t="n">
        <f aca="false">N(AE2097)+$AD2098</f>
        <v>38</v>
      </c>
      <c r="AF2098" s="1" t="n">
        <f aca="false">IF(AND($N2098=1,AND(LEFT(对接源_02物料!$D898,4)="包装物料",N(对接源_02物料!$K898)&lt;&gt;0)),1,0)</f>
        <v>0</v>
      </c>
      <c r="AG2098" s="1" t="n">
        <f aca="false">N(AG2097)+$AF2098</f>
        <v>6</v>
      </c>
      <c r="AH2098" s="1" t="n">
        <f aca="false">IF(AND($N2098=1,AND(LEFT(对接源_02物料!$D898,3)="周转筐",N(对接源_02物料!$K898)&lt;&gt;0)),1,0)</f>
        <v>0</v>
      </c>
      <c r="AI2098" s="1" t="n">
        <f aca="false">N(AI2097)+$AH2098</f>
        <v>0</v>
      </c>
      <c r="AJ2098" s="1" t="n">
        <v>0</v>
      </c>
      <c r="AK2098" s="1" t="n">
        <f aca="false">N(AK2097)+$AJ2098</f>
        <v>3672</v>
      </c>
    </row>
    <row r="2099" customFormat="false" ht="13.5" hidden="false" customHeight="false" outlineLevel="0" collapsed="false">
      <c r="A2099" s="1" t="str">
        <f aca="false">IF(对接源_02物料!$C899="","",对接源_02物料!$C899)</f>
        <v/>
      </c>
      <c r="B2099" s="1" t="n">
        <f aca="false">IF(A2099="",0,IF(MATCH(A2099,$A$4:$A$2403,0)=ROW()-3,1,0))</f>
        <v>0</v>
      </c>
      <c r="C2099" s="1" t="n">
        <f aca="false">N(C2098)+B2099</f>
        <v>17</v>
      </c>
      <c r="K2099" s="1" t="n">
        <f aca="false">IF(OR($K$1="",对接源_02物料!$C899="",对接源_02物料!$C899&lt;&gt;$K$1,对接源_02物料!$B899=""),0,IF(OR(N(对接源_02物料!$B899)&lt;$K$2,N(对接源_02物料!$B899)&gt;$K$3),0,1))</f>
        <v>0</v>
      </c>
      <c r="L2099" s="1" t="n">
        <f aca="false">IF(OR($L$1="",对接源_02物料!$C899="",对接源_02物料!$C899&lt;&gt;$L$1,对接源_02物料!$B899=""),0,IF(OR(N(对接源_02物料!$B899)&lt;$L$2,N(对接源_02物料!$B899)&gt;$L$3),0,1))</f>
        <v>0</v>
      </c>
      <c r="M2099" s="1" t="n">
        <f aca="false">IF(OR($M$1="",对接源_02物料!$C899="",对接源_02物料!$C899&lt;&gt;$M$1,对接源_02物料!$B899=""),0,IF(OR(N(对接源_02物料!$B899)&lt;$M$2,N(对接源_02物料!$B899)&gt;$M$3),0,1))</f>
        <v>0</v>
      </c>
      <c r="N2099" s="1" t="n">
        <f aca="false">IF(OR($N$1="",对接源_02物料!$C899="",对接源_02物料!$C899&lt;&gt;$N$1,对接源_02物料!$B899=""),0,IF(OR(N(对接源_02物料!$B899)&lt;$N$2,N(对接源_02物料!$B899)&gt;$N$3),0,1))</f>
        <v>0</v>
      </c>
      <c r="P2099" s="1" t="n">
        <f aca="false">IF(AND($K2099=1,AND(对接源_02物料!$X899="公司筐",N(对接源_02物料!$T899)&lt;&gt;0)),1,0)</f>
        <v>0</v>
      </c>
      <c r="Q2099" s="1" t="n">
        <f aca="false">N(Q2098)+$P2099</f>
        <v>13</v>
      </c>
      <c r="R2099" s="1" t="n">
        <f aca="false">IF(AND($K2099=1,AND(对接源_02物料!$X899="公司筐",N(对接源_02物料!$U899)&lt;&gt;0)),1,0)</f>
        <v>0</v>
      </c>
      <c r="S2099" s="1" t="n">
        <f aca="false">N(S2098)+$R2099</f>
        <v>5</v>
      </c>
      <c r="T2099" s="1" t="n">
        <f aca="false">IF(AND($K2099=1,AND(对接源_02物料!$X899="公司筐",N(对接源_02物料!$V899)&lt;&gt;0)),1,0)</f>
        <v>0</v>
      </c>
      <c r="U2099" s="1" t="n">
        <f aca="false">N(U2098)+$T2099</f>
        <v>28</v>
      </c>
      <c r="V2099" s="1" t="n">
        <f aca="false">IF(AND($L2099=1,AND(对接源_02物料!$X899="自备筐",N(对接源_02物料!$V899)&lt;&gt;0)),1,0)</f>
        <v>0</v>
      </c>
      <c r="W2099" s="1" t="n">
        <f aca="false">N(W2098)+$V2099</f>
        <v>7</v>
      </c>
      <c r="X2099" s="1" t="n">
        <f aca="false">IF(AND($L2099=1,AND(对接源_02物料!$X899="自备筐",N(对接源_02物料!$T899)&lt;&gt;0)),1,0)</f>
        <v>0</v>
      </c>
      <c r="Y2099" s="1" t="n">
        <f aca="false">N(Y2098)+$X2099</f>
        <v>0</v>
      </c>
      <c r="Z2099" s="1" t="n">
        <f aca="false">IF(AND($M2099=1,对接源_02物料!$D899="原料入库"),1,0)</f>
        <v>0</v>
      </c>
      <c r="AA2099" s="1" t="n">
        <f aca="false">N(AA2098)+$Z2099</f>
        <v>30</v>
      </c>
      <c r="AB2099" s="1" t="n">
        <f aca="false">IF(AND($M2099=1,LEFT(对接源_02物料!$D899,4)="原料出库"),1,0)</f>
        <v>0</v>
      </c>
      <c r="AC2099" s="1" t="n">
        <f aca="false">N(AC2098)+$AB2099</f>
        <v>19</v>
      </c>
      <c r="AD2099" s="1" t="n">
        <f aca="false">IF(AND($M2099=1,LEFT(对接源_02物料!$D899,4)="成品出库"),1,0)</f>
        <v>0</v>
      </c>
      <c r="AE2099" s="1" t="n">
        <f aca="false">N(AE2098)+$AD2099</f>
        <v>38</v>
      </c>
      <c r="AF2099" s="1" t="n">
        <f aca="false">IF(AND($N2099=1,AND(LEFT(对接源_02物料!$D899,4)="包装物料",N(对接源_02物料!$K899)&lt;&gt;0)),1,0)</f>
        <v>0</v>
      </c>
      <c r="AG2099" s="1" t="n">
        <f aca="false">N(AG2098)+$AF2099</f>
        <v>6</v>
      </c>
      <c r="AH2099" s="1" t="n">
        <f aca="false">IF(AND($N2099=1,AND(LEFT(对接源_02物料!$D899,3)="周转筐",N(对接源_02物料!$K899)&lt;&gt;0)),1,0)</f>
        <v>0</v>
      </c>
      <c r="AI2099" s="1" t="n">
        <f aca="false">N(AI2098)+$AH2099</f>
        <v>0</v>
      </c>
      <c r="AJ2099" s="1" t="n">
        <v>0</v>
      </c>
      <c r="AK2099" s="1" t="n">
        <f aca="false">N(AK2098)+$AJ2099</f>
        <v>3672</v>
      </c>
    </row>
    <row r="2100" customFormat="false" ht="13.5" hidden="false" customHeight="false" outlineLevel="0" collapsed="false">
      <c r="A2100" s="1" t="str">
        <f aca="false">IF(对接源_02物料!$C900="","",对接源_02物料!$C900)</f>
        <v/>
      </c>
      <c r="B2100" s="1" t="n">
        <f aca="false">IF(A2100="",0,IF(MATCH(A2100,$A$4:$A$2403,0)=ROW()-3,1,0))</f>
        <v>0</v>
      </c>
      <c r="C2100" s="1" t="n">
        <f aca="false">N(C2099)+B2100</f>
        <v>17</v>
      </c>
      <c r="K2100" s="1" t="n">
        <f aca="false">IF(OR($K$1="",对接源_02物料!$C900="",对接源_02物料!$C900&lt;&gt;$K$1,对接源_02物料!$B900=""),0,IF(OR(N(对接源_02物料!$B900)&lt;$K$2,N(对接源_02物料!$B900)&gt;$K$3),0,1))</f>
        <v>0</v>
      </c>
      <c r="L2100" s="1" t="n">
        <f aca="false">IF(OR($L$1="",对接源_02物料!$C900="",对接源_02物料!$C900&lt;&gt;$L$1,对接源_02物料!$B900=""),0,IF(OR(N(对接源_02物料!$B900)&lt;$L$2,N(对接源_02物料!$B900)&gt;$L$3),0,1))</f>
        <v>0</v>
      </c>
      <c r="M2100" s="1" t="n">
        <f aca="false">IF(OR($M$1="",对接源_02物料!$C900="",对接源_02物料!$C900&lt;&gt;$M$1,对接源_02物料!$B900=""),0,IF(OR(N(对接源_02物料!$B900)&lt;$M$2,N(对接源_02物料!$B900)&gt;$M$3),0,1))</f>
        <v>0</v>
      </c>
      <c r="N2100" s="1" t="n">
        <f aca="false">IF(OR($N$1="",对接源_02物料!$C900="",对接源_02物料!$C900&lt;&gt;$N$1,对接源_02物料!$B900=""),0,IF(OR(N(对接源_02物料!$B900)&lt;$N$2,N(对接源_02物料!$B900)&gt;$N$3),0,1))</f>
        <v>0</v>
      </c>
      <c r="P2100" s="1" t="n">
        <f aca="false">IF(AND($K2100=1,AND(对接源_02物料!$X900="公司筐",N(对接源_02物料!$T900)&lt;&gt;0)),1,0)</f>
        <v>0</v>
      </c>
      <c r="Q2100" s="1" t="n">
        <f aca="false">N(Q2099)+$P2100</f>
        <v>13</v>
      </c>
      <c r="R2100" s="1" t="n">
        <f aca="false">IF(AND($K2100=1,AND(对接源_02物料!$X900="公司筐",N(对接源_02物料!$U900)&lt;&gt;0)),1,0)</f>
        <v>0</v>
      </c>
      <c r="S2100" s="1" t="n">
        <f aca="false">N(S2099)+$R2100</f>
        <v>5</v>
      </c>
      <c r="T2100" s="1" t="n">
        <f aca="false">IF(AND($K2100=1,AND(对接源_02物料!$X900="公司筐",N(对接源_02物料!$V900)&lt;&gt;0)),1,0)</f>
        <v>0</v>
      </c>
      <c r="U2100" s="1" t="n">
        <f aca="false">N(U2099)+$T2100</f>
        <v>28</v>
      </c>
      <c r="V2100" s="1" t="n">
        <f aca="false">IF(AND($L2100=1,AND(对接源_02物料!$X900="自备筐",N(对接源_02物料!$V900)&lt;&gt;0)),1,0)</f>
        <v>0</v>
      </c>
      <c r="W2100" s="1" t="n">
        <f aca="false">N(W2099)+$V2100</f>
        <v>7</v>
      </c>
      <c r="X2100" s="1" t="n">
        <f aca="false">IF(AND($L2100=1,AND(对接源_02物料!$X900="自备筐",N(对接源_02物料!$T900)&lt;&gt;0)),1,0)</f>
        <v>0</v>
      </c>
      <c r="Y2100" s="1" t="n">
        <f aca="false">N(Y2099)+$X2100</f>
        <v>0</v>
      </c>
      <c r="Z2100" s="1" t="n">
        <f aca="false">IF(AND($M2100=1,对接源_02物料!$D900="原料入库"),1,0)</f>
        <v>0</v>
      </c>
      <c r="AA2100" s="1" t="n">
        <f aca="false">N(AA2099)+$Z2100</f>
        <v>30</v>
      </c>
      <c r="AB2100" s="1" t="n">
        <f aca="false">IF(AND($M2100=1,LEFT(对接源_02物料!$D900,4)="原料出库"),1,0)</f>
        <v>0</v>
      </c>
      <c r="AC2100" s="1" t="n">
        <f aca="false">N(AC2099)+$AB2100</f>
        <v>19</v>
      </c>
      <c r="AD2100" s="1" t="n">
        <f aca="false">IF(AND($M2100=1,LEFT(对接源_02物料!$D900,4)="成品出库"),1,0)</f>
        <v>0</v>
      </c>
      <c r="AE2100" s="1" t="n">
        <f aca="false">N(AE2099)+$AD2100</f>
        <v>38</v>
      </c>
      <c r="AF2100" s="1" t="n">
        <f aca="false">IF(AND($N2100=1,AND(LEFT(对接源_02物料!$D900,4)="包装物料",N(对接源_02物料!$K900)&lt;&gt;0)),1,0)</f>
        <v>0</v>
      </c>
      <c r="AG2100" s="1" t="n">
        <f aca="false">N(AG2099)+$AF2100</f>
        <v>6</v>
      </c>
      <c r="AH2100" s="1" t="n">
        <f aca="false">IF(AND($N2100=1,AND(LEFT(对接源_02物料!$D900,3)="周转筐",N(对接源_02物料!$K900)&lt;&gt;0)),1,0)</f>
        <v>0</v>
      </c>
      <c r="AI2100" s="1" t="n">
        <f aca="false">N(AI2099)+$AH2100</f>
        <v>0</v>
      </c>
      <c r="AJ2100" s="1" t="n">
        <v>0</v>
      </c>
      <c r="AK2100" s="1" t="n">
        <f aca="false">N(AK2099)+$AJ2100</f>
        <v>3672</v>
      </c>
    </row>
    <row r="2101" customFormat="false" ht="13.5" hidden="false" customHeight="false" outlineLevel="0" collapsed="false">
      <c r="A2101" s="1" t="str">
        <f aca="false">IF(对接源_02物料!$C901="","",对接源_02物料!$C901)</f>
        <v/>
      </c>
      <c r="B2101" s="1" t="n">
        <f aca="false">IF(A2101="",0,IF(MATCH(A2101,$A$4:$A$2403,0)=ROW()-3,1,0))</f>
        <v>0</v>
      </c>
      <c r="C2101" s="1" t="n">
        <f aca="false">N(C2100)+B2101</f>
        <v>17</v>
      </c>
      <c r="K2101" s="1" t="n">
        <f aca="false">IF(OR($K$1="",对接源_02物料!$C901="",对接源_02物料!$C901&lt;&gt;$K$1,对接源_02物料!$B901=""),0,IF(OR(N(对接源_02物料!$B901)&lt;$K$2,N(对接源_02物料!$B901)&gt;$K$3),0,1))</f>
        <v>0</v>
      </c>
      <c r="L2101" s="1" t="n">
        <f aca="false">IF(OR($L$1="",对接源_02物料!$C901="",对接源_02物料!$C901&lt;&gt;$L$1,对接源_02物料!$B901=""),0,IF(OR(N(对接源_02物料!$B901)&lt;$L$2,N(对接源_02物料!$B901)&gt;$L$3),0,1))</f>
        <v>0</v>
      </c>
      <c r="M2101" s="1" t="n">
        <f aca="false">IF(OR($M$1="",对接源_02物料!$C901="",对接源_02物料!$C901&lt;&gt;$M$1,对接源_02物料!$B901=""),0,IF(OR(N(对接源_02物料!$B901)&lt;$M$2,N(对接源_02物料!$B901)&gt;$M$3),0,1))</f>
        <v>0</v>
      </c>
      <c r="N2101" s="1" t="n">
        <f aca="false">IF(OR($N$1="",对接源_02物料!$C901="",对接源_02物料!$C901&lt;&gt;$N$1,对接源_02物料!$B901=""),0,IF(OR(N(对接源_02物料!$B901)&lt;$N$2,N(对接源_02物料!$B901)&gt;$N$3),0,1))</f>
        <v>0</v>
      </c>
      <c r="P2101" s="1" t="n">
        <f aca="false">IF(AND($K2101=1,AND(对接源_02物料!$X901="公司筐",N(对接源_02物料!$T901)&lt;&gt;0)),1,0)</f>
        <v>0</v>
      </c>
      <c r="Q2101" s="1" t="n">
        <f aca="false">N(Q2100)+$P2101</f>
        <v>13</v>
      </c>
      <c r="R2101" s="1" t="n">
        <f aca="false">IF(AND($K2101=1,AND(对接源_02物料!$X901="公司筐",N(对接源_02物料!$U901)&lt;&gt;0)),1,0)</f>
        <v>0</v>
      </c>
      <c r="S2101" s="1" t="n">
        <f aca="false">N(S2100)+$R2101</f>
        <v>5</v>
      </c>
      <c r="T2101" s="1" t="n">
        <f aca="false">IF(AND($K2101=1,AND(对接源_02物料!$X901="公司筐",N(对接源_02物料!$V901)&lt;&gt;0)),1,0)</f>
        <v>0</v>
      </c>
      <c r="U2101" s="1" t="n">
        <f aca="false">N(U2100)+$T2101</f>
        <v>28</v>
      </c>
      <c r="V2101" s="1" t="n">
        <f aca="false">IF(AND($L2101=1,AND(对接源_02物料!$X901="自备筐",N(对接源_02物料!$V901)&lt;&gt;0)),1,0)</f>
        <v>0</v>
      </c>
      <c r="W2101" s="1" t="n">
        <f aca="false">N(W2100)+$V2101</f>
        <v>7</v>
      </c>
      <c r="X2101" s="1" t="n">
        <f aca="false">IF(AND($L2101=1,AND(对接源_02物料!$X901="自备筐",N(对接源_02物料!$T901)&lt;&gt;0)),1,0)</f>
        <v>0</v>
      </c>
      <c r="Y2101" s="1" t="n">
        <f aca="false">N(Y2100)+$X2101</f>
        <v>0</v>
      </c>
      <c r="Z2101" s="1" t="n">
        <f aca="false">IF(AND($M2101=1,对接源_02物料!$D901="原料入库"),1,0)</f>
        <v>0</v>
      </c>
      <c r="AA2101" s="1" t="n">
        <f aca="false">N(AA2100)+$Z2101</f>
        <v>30</v>
      </c>
      <c r="AB2101" s="1" t="n">
        <f aca="false">IF(AND($M2101=1,LEFT(对接源_02物料!$D901,4)="原料出库"),1,0)</f>
        <v>0</v>
      </c>
      <c r="AC2101" s="1" t="n">
        <f aca="false">N(AC2100)+$AB2101</f>
        <v>19</v>
      </c>
      <c r="AD2101" s="1" t="n">
        <f aca="false">IF(AND($M2101=1,LEFT(对接源_02物料!$D901,4)="成品出库"),1,0)</f>
        <v>0</v>
      </c>
      <c r="AE2101" s="1" t="n">
        <f aca="false">N(AE2100)+$AD2101</f>
        <v>38</v>
      </c>
      <c r="AF2101" s="1" t="n">
        <f aca="false">IF(AND($N2101=1,AND(LEFT(对接源_02物料!$D901,4)="包装物料",N(对接源_02物料!$K901)&lt;&gt;0)),1,0)</f>
        <v>0</v>
      </c>
      <c r="AG2101" s="1" t="n">
        <f aca="false">N(AG2100)+$AF2101</f>
        <v>6</v>
      </c>
      <c r="AH2101" s="1" t="n">
        <f aca="false">IF(AND($N2101=1,AND(LEFT(对接源_02物料!$D901,3)="周转筐",N(对接源_02物料!$K901)&lt;&gt;0)),1,0)</f>
        <v>0</v>
      </c>
      <c r="AI2101" s="1" t="n">
        <f aca="false">N(AI2100)+$AH2101</f>
        <v>0</v>
      </c>
      <c r="AJ2101" s="1" t="n">
        <v>0</v>
      </c>
      <c r="AK2101" s="1" t="n">
        <f aca="false">N(AK2100)+$AJ2101</f>
        <v>3672</v>
      </c>
    </row>
    <row r="2102" customFormat="false" ht="13.5" hidden="false" customHeight="false" outlineLevel="0" collapsed="false">
      <c r="A2102" s="1" t="str">
        <f aca="false">IF(对接源_02物料!$C902="","",对接源_02物料!$C902)</f>
        <v/>
      </c>
      <c r="B2102" s="1" t="n">
        <f aca="false">IF(A2102="",0,IF(MATCH(A2102,$A$4:$A$2403,0)=ROW()-3,1,0))</f>
        <v>0</v>
      </c>
      <c r="C2102" s="1" t="n">
        <f aca="false">N(C2101)+B2102</f>
        <v>17</v>
      </c>
      <c r="K2102" s="1" t="n">
        <f aca="false">IF(OR($K$1="",对接源_02物料!$C902="",对接源_02物料!$C902&lt;&gt;$K$1,对接源_02物料!$B902=""),0,IF(OR(N(对接源_02物料!$B902)&lt;$K$2,N(对接源_02物料!$B902)&gt;$K$3),0,1))</f>
        <v>0</v>
      </c>
      <c r="L2102" s="1" t="n">
        <f aca="false">IF(OR($L$1="",对接源_02物料!$C902="",对接源_02物料!$C902&lt;&gt;$L$1,对接源_02物料!$B902=""),0,IF(OR(N(对接源_02物料!$B902)&lt;$L$2,N(对接源_02物料!$B902)&gt;$L$3),0,1))</f>
        <v>0</v>
      </c>
      <c r="M2102" s="1" t="n">
        <f aca="false">IF(OR($M$1="",对接源_02物料!$C902="",对接源_02物料!$C902&lt;&gt;$M$1,对接源_02物料!$B902=""),0,IF(OR(N(对接源_02物料!$B902)&lt;$M$2,N(对接源_02物料!$B902)&gt;$M$3),0,1))</f>
        <v>0</v>
      </c>
      <c r="N2102" s="1" t="n">
        <f aca="false">IF(OR($N$1="",对接源_02物料!$C902="",对接源_02物料!$C902&lt;&gt;$N$1,对接源_02物料!$B902=""),0,IF(OR(N(对接源_02物料!$B902)&lt;$N$2,N(对接源_02物料!$B902)&gt;$N$3),0,1))</f>
        <v>0</v>
      </c>
      <c r="P2102" s="1" t="n">
        <f aca="false">IF(AND($K2102=1,AND(对接源_02物料!$X902="公司筐",N(对接源_02物料!$T902)&lt;&gt;0)),1,0)</f>
        <v>0</v>
      </c>
      <c r="Q2102" s="1" t="n">
        <f aca="false">N(Q2101)+$P2102</f>
        <v>13</v>
      </c>
      <c r="R2102" s="1" t="n">
        <f aca="false">IF(AND($K2102=1,AND(对接源_02物料!$X902="公司筐",N(对接源_02物料!$U902)&lt;&gt;0)),1,0)</f>
        <v>0</v>
      </c>
      <c r="S2102" s="1" t="n">
        <f aca="false">N(S2101)+$R2102</f>
        <v>5</v>
      </c>
      <c r="T2102" s="1" t="n">
        <f aca="false">IF(AND($K2102=1,AND(对接源_02物料!$X902="公司筐",N(对接源_02物料!$V902)&lt;&gt;0)),1,0)</f>
        <v>0</v>
      </c>
      <c r="U2102" s="1" t="n">
        <f aca="false">N(U2101)+$T2102</f>
        <v>28</v>
      </c>
      <c r="V2102" s="1" t="n">
        <f aca="false">IF(AND($L2102=1,AND(对接源_02物料!$X902="自备筐",N(对接源_02物料!$V902)&lt;&gt;0)),1,0)</f>
        <v>0</v>
      </c>
      <c r="W2102" s="1" t="n">
        <f aca="false">N(W2101)+$V2102</f>
        <v>7</v>
      </c>
      <c r="X2102" s="1" t="n">
        <f aca="false">IF(AND($L2102=1,AND(对接源_02物料!$X902="自备筐",N(对接源_02物料!$T902)&lt;&gt;0)),1,0)</f>
        <v>0</v>
      </c>
      <c r="Y2102" s="1" t="n">
        <f aca="false">N(Y2101)+$X2102</f>
        <v>0</v>
      </c>
      <c r="Z2102" s="1" t="n">
        <f aca="false">IF(AND($M2102=1,对接源_02物料!$D902="原料入库"),1,0)</f>
        <v>0</v>
      </c>
      <c r="AA2102" s="1" t="n">
        <f aca="false">N(AA2101)+$Z2102</f>
        <v>30</v>
      </c>
      <c r="AB2102" s="1" t="n">
        <f aca="false">IF(AND($M2102=1,LEFT(对接源_02物料!$D902,4)="原料出库"),1,0)</f>
        <v>0</v>
      </c>
      <c r="AC2102" s="1" t="n">
        <f aca="false">N(AC2101)+$AB2102</f>
        <v>19</v>
      </c>
      <c r="AD2102" s="1" t="n">
        <f aca="false">IF(AND($M2102=1,LEFT(对接源_02物料!$D902,4)="成品出库"),1,0)</f>
        <v>0</v>
      </c>
      <c r="AE2102" s="1" t="n">
        <f aca="false">N(AE2101)+$AD2102</f>
        <v>38</v>
      </c>
      <c r="AF2102" s="1" t="n">
        <f aca="false">IF(AND($N2102=1,AND(LEFT(对接源_02物料!$D902,4)="包装物料",N(对接源_02物料!$K902)&lt;&gt;0)),1,0)</f>
        <v>0</v>
      </c>
      <c r="AG2102" s="1" t="n">
        <f aca="false">N(AG2101)+$AF2102</f>
        <v>6</v>
      </c>
      <c r="AH2102" s="1" t="n">
        <f aca="false">IF(AND($N2102=1,AND(LEFT(对接源_02物料!$D902,3)="周转筐",N(对接源_02物料!$K902)&lt;&gt;0)),1,0)</f>
        <v>0</v>
      </c>
      <c r="AI2102" s="1" t="n">
        <f aca="false">N(AI2101)+$AH2102</f>
        <v>0</v>
      </c>
      <c r="AJ2102" s="1" t="n">
        <v>0</v>
      </c>
      <c r="AK2102" s="1" t="n">
        <f aca="false">N(AK2101)+$AJ2102</f>
        <v>3672</v>
      </c>
    </row>
    <row r="2103" customFormat="false" ht="13.5" hidden="false" customHeight="false" outlineLevel="0" collapsed="false">
      <c r="A2103" s="1" t="str">
        <f aca="false">IF(对接源_02物料!$C903="","",对接源_02物料!$C903)</f>
        <v/>
      </c>
      <c r="B2103" s="1" t="n">
        <f aca="false">IF(A2103="",0,IF(MATCH(A2103,$A$4:$A$2403,0)=ROW()-3,1,0))</f>
        <v>0</v>
      </c>
      <c r="C2103" s="1" t="n">
        <f aca="false">N(C2102)+B2103</f>
        <v>17</v>
      </c>
      <c r="K2103" s="1" t="n">
        <f aca="false">IF(OR($K$1="",对接源_02物料!$C903="",对接源_02物料!$C903&lt;&gt;$K$1,对接源_02物料!$B903=""),0,IF(OR(N(对接源_02物料!$B903)&lt;$K$2,N(对接源_02物料!$B903)&gt;$K$3),0,1))</f>
        <v>0</v>
      </c>
      <c r="L2103" s="1" t="n">
        <f aca="false">IF(OR($L$1="",对接源_02物料!$C903="",对接源_02物料!$C903&lt;&gt;$L$1,对接源_02物料!$B903=""),0,IF(OR(N(对接源_02物料!$B903)&lt;$L$2,N(对接源_02物料!$B903)&gt;$L$3),0,1))</f>
        <v>0</v>
      </c>
      <c r="M2103" s="1" t="n">
        <f aca="false">IF(OR($M$1="",对接源_02物料!$C903="",对接源_02物料!$C903&lt;&gt;$M$1,对接源_02物料!$B903=""),0,IF(OR(N(对接源_02物料!$B903)&lt;$M$2,N(对接源_02物料!$B903)&gt;$M$3),0,1))</f>
        <v>0</v>
      </c>
      <c r="N2103" s="1" t="n">
        <f aca="false">IF(OR($N$1="",对接源_02物料!$C903="",对接源_02物料!$C903&lt;&gt;$N$1,对接源_02物料!$B903=""),0,IF(OR(N(对接源_02物料!$B903)&lt;$N$2,N(对接源_02物料!$B903)&gt;$N$3),0,1))</f>
        <v>0</v>
      </c>
      <c r="P2103" s="1" t="n">
        <f aca="false">IF(AND($K2103=1,AND(对接源_02物料!$X903="公司筐",N(对接源_02物料!$T903)&lt;&gt;0)),1,0)</f>
        <v>0</v>
      </c>
      <c r="Q2103" s="1" t="n">
        <f aca="false">N(Q2102)+$P2103</f>
        <v>13</v>
      </c>
      <c r="R2103" s="1" t="n">
        <f aca="false">IF(AND($K2103=1,AND(对接源_02物料!$X903="公司筐",N(对接源_02物料!$U903)&lt;&gt;0)),1,0)</f>
        <v>0</v>
      </c>
      <c r="S2103" s="1" t="n">
        <f aca="false">N(S2102)+$R2103</f>
        <v>5</v>
      </c>
      <c r="T2103" s="1" t="n">
        <f aca="false">IF(AND($K2103=1,AND(对接源_02物料!$X903="公司筐",N(对接源_02物料!$V903)&lt;&gt;0)),1,0)</f>
        <v>0</v>
      </c>
      <c r="U2103" s="1" t="n">
        <f aca="false">N(U2102)+$T2103</f>
        <v>28</v>
      </c>
      <c r="V2103" s="1" t="n">
        <f aca="false">IF(AND($L2103=1,AND(对接源_02物料!$X903="自备筐",N(对接源_02物料!$V903)&lt;&gt;0)),1,0)</f>
        <v>0</v>
      </c>
      <c r="W2103" s="1" t="n">
        <f aca="false">N(W2102)+$V2103</f>
        <v>7</v>
      </c>
      <c r="X2103" s="1" t="n">
        <f aca="false">IF(AND($L2103=1,AND(对接源_02物料!$X903="自备筐",N(对接源_02物料!$T903)&lt;&gt;0)),1,0)</f>
        <v>0</v>
      </c>
      <c r="Y2103" s="1" t="n">
        <f aca="false">N(Y2102)+$X2103</f>
        <v>0</v>
      </c>
      <c r="Z2103" s="1" t="n">
        <f aca="false">IF(AND($M2103=1,对接源_02物料!$D903="原料入库"),1,0)</f>
        <v>0</v>
      </c>
      <c r="AA2103" s="1" t="n">
        <f aca="false">N(AA2102)+$Z2103</f>
        <v>30</v>
      </c>
      <c r="AB2103" s="1" t="n">
        <f aca="false">IF(AND($M2103=1,LEFT(对接源_02物料!$D903,4)="原料出库"),1,0)</f>
        <v>0</v>
      </c>
      <c r="AC2103" s="1" t="n">
        <f aca="false">N(AC2102)+$AB2103</f>
        <v>19</v>
      </c>
      <c r="AD2103" s="1" t="n">
        <f aca="false">IF(AND($M2103=1,LEFT(对接源_02物料!$D903,4)="成品出库"),1,0)</f>
        <v>0</v>
      </c>
      <c r="AE2103" s="1" t="n">
        <f aca="false">N(AE2102)+$AD2103</f>
        <v>38</v>
      </c>
      <c r="AF2103" s="1" t="n">
        <f aca="false">IF(AND($N2103=1,AND(LEFT(对接源_02物料!$D903,4)="包装物料",N(对接源_02物料!$K903)&lt;&gt;0)),1,0)</f>
        <v>0</v>
      </c>
      <c r="AG2103" s="1" t="n">
        <f aca="false">N(AG2102)+$AF2103</f>
        <v>6</v>
      </c>
      <c r="AH2103" s="1" t="n">
        <f aca="false">IF(AND($N2103=1,AND(LEFT(对接源_02物料!$D903,3)="周转筐",N(对接源_02物料!$K903)&lt;&gt;0)),1,0)</f>
        <v>0</v>
      </c>
      <c r="AI2103" s="1" t="n">
        <f aca="false">N(AI2102)+$AH2103</f>
        <v>0</v>
      </c>
      <c r="AJ2103" s="1" t="n">
        <v>0</v>
      </c>
      <c r="AK2103" s="1" t="n">
        <f aca="false">N(AK2102)+$AJ2103</f>
        <v>3672</v>
      </c>
    </row>
    <row r="2104" customFormat="false" ht="13.5" hidden="false" customHeight="false" outlineLevel="0" collapsed="false">
      <c r="A2104" s="1" t="str">
        <f aca="false">IF(对接源_02物料!$C904="","",对接源_02物料!$C904)</f>
        <v/>
      </c>
      <c r="B2104" s="1" t="n">
        <f aca="false">IF(A2104="",0,IF(MATCH(A2104,$A$4:$A$2403,0)=ROW()-3,1,0))</f>
        <v>0</v>
      </c>
      <c r="C2104" s="1" t="n">
        <f aca="false">N(C2103)+B2104</f>
        <v>17</v>
      </c>
      <c r="K2104" s="1" t="n">
        <f aca="false">IF(OR($K$1="",对接源_02物料!$C904="",对接源_02物料!$C904&lt;&gt;$K$1,对接源_02物料!$B904=""),0,IF(OR(N(对接源_02物料!$B904)&lt;$K$2,N(对接源_02物料!$B904)&gt;$K$3),0,1))</f>
        <v>0</v>
      </c>
      <c r="L2104" s="1" t="n">
        <f aca="false">IF(OR($L$1="",对接源_02物料!$C904="",对接源_02物料!$C904&lt;&gt;$L$1,对接源_02物料!$B904=""),0,IF(OR(N(对接源_02物料!$B904)&lt;$L$2,N(对接源_02物料!$B904)&gt;$L$3),0,1))</f>
        <v>0</v>
      </c>
      <c r="M2104" s="1" t="n">
        <f aca="false">IF(OR($M$1="",对接源_02物料!$C904="",对接源_02物料!$C904&lt;&gt;$M$1,对接源_02物料!$B904=""),0,IF(OR(N(对接源_02物料!$B904)&lt;$M$2,N(对接源_02物料!$B904)&gt;$M$3),0,1))</f>
        <v>0</v>
      </c>
      <c r="N2104" s="1" t="n">
        <f aca="false">IF(OR($N$1="",对接源_02物料!$C904="",对接源_02物料!$C904&lt;&gt;$N$1,对接源_02物料!$B904=""),0,IF(OR(N(对接源_02物料!$B904)&lt;$N$2,N(对接源_02物料!$B904)&gt;$N$3),0,1))</f>
        <v>0</v>
      </c>
      <c r="P2104" s="1" t="n">
        <f aca="false">IF(AND($K2104=1,AND(对接源_02物料!$X904="公司筐",N(对接源_02物料!$T904)&lt;&gt;0)),1,0)</f>
        <v>0</v>
      </c>
      <c r="Q2104" s="1" t="n">
        <f aca="false">N(Q2103)+$P2104</f>
        <v>13</v>
      </c>
      <c r="R2104" s="1" t="n">
        <f aca="false">IF(AND($K2104=1,AND(对接源_02物料!$X904="公司筐",N(对接源_02物料!$U904)&lt;&gt;0)),1,0)</f>
        <v>0</v>
      </c>
      <c r="S2104" s="1" t="n">
        <f aca="false">N(S2103)+$R2104</f>
        <v>5</v>
      </c>
      <c r="T2104" s="1" t="n">
        <f aca="false">IF(AND($K2104=1,AND(对接源_02物料!$X904="公司筐",N(对接源_02物料!$V904)&lt;&gt;0)),1,0)</f>
        <v>0</v>
      </c>
      <c r="U2104" s="1" t="n">
        <f aca="false">N(U2103)+$T2104</f>
        <v>28</v>
      </c>
      <c r="V2104" s="1" t="n">
        <f aca="false">IF(AND($L2104=1,AND(对接源_02物料!$X904="自备筐",N(对接源_02物料!$V904)&lt;&gt;0)),1,0)</f>
        <v>0</v>
      </c>
      <c r="W2104" s="1" t="n">
        <f aca="false">N(W2103)+$V2104</f>
        <v>7</v>
      </c>
      <c r="X2104" s="1" t="n">
        <f aca="false">IF(AND($L2104=1,AND(对接源_02物料!$X904="自备筐",N(对接源_02物料!$T904)&lt;&gt;0)),1,0)</f>
        <v>0</v>
      </c>
      <c r="Y2104" s="1" t="n">
        <f aca="false">N(Y2103)+$X2104</f>
        <v>0</v>
      </c>
      <c r="Z2104" s="1" t="n">
        <f aca="false">IF(AND($M2104=1,对接源_02物料!$D904="原料入库"),1,0)</f>
        <v>0</v>
      </c>
      <c r="AA2104" s="1" t="n">
        <f aca="false">N(AA2103)+$Z2104</f>
        <v>30</v>
      </c>
      <c r="AB2104" s="1" t="n">
        <f aca="false">IF(AND($M2104=1,LEFT(对接源_02物料!$D904,4)="原料出库"),1,0)</f>
        <v>0</v>
      </c>
      <c r="AC2104" s="1" t="n">
        <f aca="false">N(AC2103)+$AB2104</f>
        <v>19</v>
      </c>
      <c r="AD2104" s="1" t="n">
        <f aca="false">IF(AND($M2104=1,LEFT(对接源_02物料!$D904,4)="成品出库"),1,0)</f>
        <v>0</v>
      </c>
      <c r="AE2104" s="1" t="n">
        <f aca="false">N(AE2103)+$AD2104</f>
        <v>38</v>
      </c>
      <c r="AF2104" s="1" t="n">
        <f aca="false">IF(AND($N2104=1,AND(LEFT(对接源_02物料!$D904,4)="包装物料",N(对接源_02物料!$K904)&lt;&gt;0)),1,0)</f>
        <v>0</v>
      </c>
      <c r="AG2104" s="1" t="n">
        <f aca="false">N(AG2103)+$AF2104</f>
        <v>6</v>
      </c>
      <c r="AH2104" s="1" t="n">
        <f aca="false">IF(AND($N2104=1,AND(LEFT(对接源_02物料!$D904,3)="周转筐",N(对接源_02物料!$K904)&lt;&gt;0)),1,0)</f>
        <v>0</v>
      </c>
      <c r="AI2104" s="1" t="n">
        <f aca="false">N(AI2103)+$AH2104</f>
        <v>0</v>
      </c>
      <c r="AJ2104" s="1" t="n">
        <v>0</v>
      </c>
      <c r="AK2104" s="1" t="n">
        <f aca="false">N(AK2103)+$AJ2104</f>
        <v>3672</v>
      </c>
    </row>
    <row r="2105" customFormat="false" ht="13.5" hidden="false" customHeight="false" outlineLevel="0" collapsed="false">
      <c r="A2105" s="1" t="str">
        <f aca="false">IF(对接源_02物料!$C905="","",对接源_02物料!$C905)</f>
        <v/>
      </c>
      <c r="B2105" s="1" t="n">
        <f aca="false">IF(A2105="",0,IF(MATCH(A2105,$A$4:$A$2403,0)=ROW()-3,1,0))</f>
        <v>0</v>
      </c>
      <c r="C2105" s="1" t="n">
        <f aca="false">N(C2104)+B2105</f>
        <v>17</v>
      </c>
      <c r="K2105" s="1" t="n">
        <f aca="false">IF(OR($K$1="",对接源_02物料!$C905="",对接源_02物料!$C905&lt;&gt;$K$1,对接源_02物料!$B905=""),0,IF(OR(N(对接源_02物料!$B905)&lt;$K$2,N(对接源_02物料!$B905)&gt;$K$3),0,1))</f>
        <v>0</v>
      </c>
      <c r="L2105" s="1" t="n">
        <f aca="false">IF(OR($L$1="",对接源_02物料!$C905="",对接源_02物料!$C905&lt;&gt;$L$1,对接源_02物料!$B905=""),0,IF(OR(N(对接源_02物料!$B905)&lt;$L$2,N(对接源_02物料!$B905)&gt;$L$3),0,1))</f>
        <v>0</v>
      </c>
      <c r="M2105" s="1" t="n">
        <f aca="false">IF(OR($M$1="",对接源_02物料!$C905="",对接源_02物料!$C905&lt;&gt;$M$1,对接源_02物料!$B905=""),0,IF(OR(N(对接源_02物料!$B905)&lt;$M$2,N(对接源_02物料!$B905)&gt;$M$3),0,1))</f>
        <v>0</v>
      </c>
      <c r="N2105" s="1" t="n">
        <f aca="false">IF(OR($N$1="",对接源_02物料!$C905="",对接源_02物料!$C905&lt;&gt;$N$1,对接源_02物料!$B905=""),0,IF(OR(N(对接源_02物料!$B905)&lt;$N$2,N(对接源_02物料!$B905)&gt;$N$3),0,1))</f>
        <v>0</v>
      </c>
      <c r="P2105" s="1" t="n">
        <f aca="false">IF(AND($K2105=1,AND(对接源_02物料!$X905="公司筐",N(对接源_02物料!$T905)&lt;&gt;0)),1,0)</f>
        <v>0</v>
      </c>
      <c r="Q2105" s="1" t="n">
        <f aca="false">N(Q2104)+$P2105</f>
        <v>13</v>
      </c>
      <c r="R2105" s="1" t="n">
        <f aca="false">IF(AND($K2105=1,AND(对接源_02物料!$X905="公司筐",N(对接源_02物料!$U905)&lt;&gt;0)),1,0)</f>
        <v>0</v>
      </c>
      <c r="S2105" s="1" t="n">
        <f aca="false">N(S2104)+$R2105</f>
        <v>5</v>
      </c>
      <c r="T2105" s="1" t="n">
        <f aca="false">IF(AND($K2105=1,AND(对接源_02物料!$X905="公司筐",N(对接源_02物料!$V905)&lt;&gt;0)),1,0)</f>
        <v>0</v>
      </c>
      <c r="U2105" s="1" t="n">
        <f aca="false">N(U2104)+$T2105</f>
        <v>28</v>
      </c>
      <c r="V2105" s="1" t="n">
        <f aca="false">IF(AND($L2105=1,AND(对接源_02物料!$X905="自备筐",N(对接源_02物料!$V905)&lt;&gt;0)),1,0)</f>
        <v>0</v>
      </c>
      <c r="W2105" s="1" t="n">
        <f aca="false">N(W2104)+$V2105</f>
        <v>7</v>
      </c>
      <c r="X2105" s="1" t="n">
        <f aca="false">IF(AND($L2105=1,AND(对接源_02物料!$X905="自备筐",N(对接源_02物料!$T905)&lt;&gt;0)),1,0)</f>
        <v>0</v>
      </c>
      <c r="Y2105" s="1" t="n">
        <f aca="false">N(Y2104)+$X2105</f>
        <v>0</v>
      </c>
      <c r="Z2105" s="1" t="n">
        <f aca="false">IF(AND($M2105=1,对接源_02物料!$D905="原料入库"),1,0)</f>
        <v>0</v>
      </c>
      <c r="AA2105" s="1" t="n">
        <f aca="false">N(AA2104)+$Z2105</f>
        <v>30</v>
      </c>
      <c r="AB2105" s="1" t="n">
        <f aca="false">IF(AND($M2105=1,LEFT(对接源_02物料!$D905,4)="原料出库"),1,0)</f>
        <v>0</v>
      </c>
      <c r="AC2105" s="1" t="n">
        <f aca="false">N(AC2104)+$AB2105</f>
        <v>19</v>
      </c>
      <c r="AD2105" s="1" t="n">
        <f aca="false">IF(AND($M2105=1,LEFT(对接源_02物料!$D905,4)="成品出库"),1,0)</f>
        <v>0</v>
      </c>
      <c r="AE2105" s="1" t="n">
        <f aca="false">N(AE2104)+$AD2105</f>
        <v>38</v>
      </c>
      <c r="AF2105" s="1" t="n">
        <f aca="false">IF(AND($N2105=1,AND(LEFT(对接源_02物料!$D905,4)="包装物料",N(对接源_02物料!$K905)&lt;&gt;0)),1,0)</f>
        <v>0</v>
      </c>
      <c r="AG2105" s="1" t="n">
        <f aca="false">N(AG2104)+$AF2105</f>
        <v>6</v>
      </c>
      <c r="AH2105" s="1" t="n">
        <f aca="false">IF(AND($N2105=1,AND(LEFT(对接源_02物料!$D905,3)="周转筐",N(对接源_02物料!$K905)&lt;&gt;0)),1,0)</f>
        <v>0</v>
      </c>
      <c r="AI2105" s="1" t="n">
        <f aca="false">N(AI2104)+$AH2105</f>
        <v>0</v>
      </c>
      <c r="AJ2105" s="1" t="n">
        <v>0</v>
      </c>
      <c r="AK2105" s="1" t="n">
        <f aca="false">N(AK2104)+$AJ2105</f>
        <v>3672</v>
      </c>
    </row>
    <row r="2106" customFormat="false" ht="13.5" hidden="false" customHeight="false" outlineLevel="0" collapsed="false">
      <c r="A2106" s="1" t="str">
        <f aca="false">IF(对接源_02物料!$C906="","",对接源_02物料!$C906)</f>
        <v/>
      </c>
      <c r="B2106" s="1" t="n">
        <f aca="false">IF(A2106="",0,IF(MATCH(A2106,$A$4:$A$2403,0)=ROW()-3,1,0))</f>
        <v>0</v>
      </c>
      <c r="C2106" s="1" t="n">
        <f aca="false">N(C2105)+B2106</f>
        <v>17</v>
      </c>
      <c r="K2106" s="1" t="n">
        <f aca="false">IF(OR($K$1="",对接源_02物料!$C906="",对接源_02物料!$C906&lt;&gt;$K$1,对接源_02物料!$B906=""),0,IF(OR(N(对接源_02物料!$B906)&lt;$K$2,N(对接源_02物料!$B906)&gt;$K$3),0,1))</f>
        <v>0</v>
      </c>
      <c r="L2106" s="1" t="n">
        <f aca="false">IF(OR($L$1="",对接源_02物料!$C906="",对接源_02物料!$C906&lt;&gt;$L$1,对接源_02物料!$B906=""),0,IF(OR(N(对接源_02物料!$B906)&lt;$L$2,N(对接源_02物料!$B906)&gt;$L$3),0,1))</f>
        <v>0</v>
      </c>
      <c r="M2106" s="1" t="n">
        <f aca="false">IF(OR($M$1="",对接源_02物料!$C906="",对接源_02物料!$C906&lt;&gt;$M$1,对接源_02物料!$B906=""),0,IF(OR(N(对接源_02物料!$B906)&lt;$M$2,N(对接源_02物料!$B906)&gt;$M$3),0,1))</f>
        <v>0</v>
      </c>
      <c r="N2106" s="1" t="n">
        <f aca="false">IF(OR($N$1="",对接源_02物料!$C906="",对接源_02物料!$C906&lt;&gt;$N$1,对接源_02物料!$B906=""),0,IF(OR(N(对接源_02物料!$B906)&lt;$N$2,N(对接源_02物料!$B906)&gt;$N$3),0,1))</f>
        <v>0</v>
      </c>
      <c r="P2106" s="1" t="n">
        <f aca="false">IF(AND($K2106=1,AND(对接源_02物料!$X906="公司筐",N(对接源_02物料!$T906)&lt;&gt;0)),1,0)</f>
        <v>0</v>
      </c>
      <c r="Q2106" s="1" t="n">
        <f aca="false">N(Q2105)+$P2106</f>
        <v>13</v>
      </c>
      <c r="R2106" s="1" t="n">
        <f aca="false">IF(AND($K2106=1,AND(对接源_02物料!$X906="公司筐",N(对接源_02物料!$U906)&lt;&gt;0)),1,0)</f>
        <v>0</v>
      </c>
      <c r="S2106" s="1" t="n">
        <f aca="false">N(S2105)+$R2106</f>
        <v>5</v>
      </c>
      <c r="T2106" s="1" t="n">
        <f aca="false">IF(AND($K2106=1,AND(对接源_02物料!$X906="公司筐",N(对接源_02物料!$V906)&lt;&gt;0)),1,0)</f>
        <v>0</v>
      </c>
      <c r="U2106" s="1" t="n">
        <f aca="false">N(U2105)+$T2106</f>
        <v>28</v>
      </c>
      <c r="V2106" s="1" t="n">
        <f aca="false">IF(AND($L2106=1,AND(对接源_02物料!$X906="自备筐",N(对接源_02物料!$V906)&lt;&gt;0)),1,0)</f>
        <v>0</v>
      </c>
      <c r="W2106" s="1" t="n">
        <f aca="false">N(W2105)+$V2106</f>
        <v>7</v>
      </c>
      <c r="X2106" s="1" t="n">
        <f aca="false">IF(AND($L2106=1,AND(对接源_02物料!$X906="自备筐",N(对接源_02物料!$T906)&lt;&gt;0)),1,0)</f>
        <v>0</v>
      </c>
      <c r="Y2106" s="1" t="n">
        <f aca="false">N(Y2105)+$X2106</f>
        <v>0</v>
      </c>
      <c r="Z2106" s="1" t="n">
        <f aca="false">IF(AND($M2106=1,对接源_02物料!$D906="原料入库"),1,0)</f>
        <v>0</v>
      </c>
      <c r="AA2106" s="1" t="n">
        <f aca="false">N(AA2105)+$Z2106</f>
        <v>30</v>
      </c>
      <c r="AB2106" s="1" t="n">
        <f aca="false">IF(AND($M2106=1,LEFT(对接源_02物料!$D906,4)="原料出库"),1,0)</f>
        <v>0</v>
      </c>
      <c r="AC2106" s="1" t="n">
        <f aca="false">N(AC2105)+$AB2106</f>
        <v>19</v>
      </c>
      <c r="AD2106" s="1" t="n">
        <f aca="false">IF(AND($M2106=1,LEFT(对接源_02物料!$D906,4)="成品出库"),1,0)</f>
        <v>0</v>
      </c>
      <c r="AE2106" s="1" t="n">
        <f aca="false">N(AE2105)+$AD2106</f>
        <v>38</v>
      </c>
      <c r="AF2106" s="1" t="n">
        <f aca="false">IF(AND($N2106=1,AND(LEFT(对接源_02物料!$D906,4)="包装物料",N(对接源_02物料!$K906)&lt;&gt;0)),1,0)</f>
        <v>0</v>
      </c>
      <c r="AG2106" s="1" t="n">
        <f aca="false">N(AG2105)+$AF2106</f>
        <v>6</v>
      </c>
      <c r="AH2106" s="1" t="n">
        <f aca="false">IF(AND($N2106=1,AND(LEFT(对接源_02物料!$D906,3)="周转筐",N(对接源_02物料!$K906)&lt;&gt;0)),1,0)</f>
        <v>0</v>
      </c>
      <c r="AI2106" s="1" t="n">
        <f aca="false">N(AI2105)+$AH2106</f>
        <v>0</v>
      </c>
      <c r="AJ2106" s="1" t="n">
        <v>0</v>
      </c>
      <c r="AK2106" s="1" t="n">
        <f aca="false">N(AK2105)+$AJ2106</f>
        <v>3672</v>
      </c>
    </row>
    <row r="2107" customFormat="false" ht="13.5" hidden="false" customHeight="false" outlineLevel="0" collapsed="false">
      <c r="A2107" s="1" t="str">
        <f aca="false">IF(对接源_02物料!$C907="","",对接源_02物料!$C907)</f>
        <v/>
      </c>
      <c r="B2107" s="1" t="n">
        <f aca="false">IF(A2107="",0,IF(MATCH(A2107,$A$4:$A$2403,0)=ROW()-3,1,0))</f>
        <v>0</v>
      </c>
      <c r="C2107" s="1" t="n">
        <f aca="false">N(C2106)+B2107</f>
        <v>17</v>
      </c>
      <c r="K2107" s="1" t="n">
        <f aca="false">IF(OR($K$1="",对接源_02物料!$C907="",对接源_02物料!$C907&lt;&gt;$K$1,对接源_02物料!$B907=""),0,IF(OR(N(对接源_02物料!$B907)&lt;$K$2,N(对接源_02物料!$B907)&gt;$K$3),0,1))</f>
        <v>0</v>
      </c>
      <c r="L2107" s="1" t="n">
        <f aca="false">IF(OR($L$1="",对接源_02物料!$C907="",对接源_02物料!$C907&lt;&gt;$L$1,对接源_02物料!$B907=""),0,IF(OR(N(对接源_02物料!$B907)&lt;$L$2,N(对接源_02物料!$B907)&gt;$L$3),0,1))</f>
        <v>0</v>
      </c>
      <c r="M2107" s="1" t="n">
        <f aca="false">IF(OR($M$1="",对接源_02物料!$C907="",对接源_02物料!$C907&lt;&gt;$M$1,对接源_02物料!$B907=""),0,IF(OR(N(对接源_02物料!$B907)&lt;$M$2,N(对接源_02物料!$B907)&gt;$M$3),0,1))</f>
        <v>0</v>
      </c>
      <c r="N2107" s="1" t="n">
        <f aca="false">IF(OR($N$1="",对接源_02物料!$C907="",对接源_02物料!$C907&lt;&gt;$N$1,对接源_02物料!$B907=""),0,IF(OR(N(对接源_02物料!$B907)&lt;$N$2,N(对接源_02物料!$B907)&gt;$N$3),0,1))</f>
        <v>0</v>
      </c>
      <c r="P2107" s="1" t="n">
        <f aca="false">IF(AND($K2107=1,AND(对接源_02物料!$X907="公司筐",N(对接源_02物料!$T907)&lt;&gt;0)),1,0)</f>
        <v>0</v>
      </c>
      <c r="Q2107" s="1" t="n">
        <f aca="false">N(Q2106)+$P2107</f>
        <v>13</v>
      </c>
      <c r="R2107" s="1" t="n">
        <f aca="false">IF(AND($K2107=1,AND(对接源_02物料!$X907="公司筐",N(对接源_02物料!$U907)&lt;&gt;0)),1,0)</f>
        <v>0</v>
      </c>
      <c r="S2107" s="1" t="n">
        <f aca="false">N(S2106)+$R2107</f>
        <v>5</v>
      </c>
      <c r="T2107" s="1" t="n">
        <f aca="false">IF(AND($K2107=1,AND(对接源_02物料!$X907="公司筐",N(对接源_02物料!$V907)&lt;&gt;0)),1,0)</f>
        <v>0</v>
      </c>
      <c r="U2107" s="1" t="n">
        <f aca="false">N(U2106)+$T2107</f>
        <v>28</v>
      </c>
      <c r="V2107" s="1" t="n">
        <f aca="false">IF(AND($L2107=1,AND(对接源_02物料!$X907="自备筐",N(对接源_02物料!$V907)&lt;&gt;0)),1,0)</f>
        <v>0</v>
      </c>
      <c r="W2107" s="1" t="n">
        <f aca="false">N(W2106)+$V2107</f>
        <v>7</v>
      </c>
      <c r="X2107" s="1" t="n">
        <f aca="false">IF(AND($L2107=1,AND(对接源_02物料!$X907="自备筐",N(对接源_02物料!$T907)&lt;&gt;0)),1,0)</f>
        <v>0</v>
      </c>
      <c r="Y2107" s="1" t="n">
        <f aca="false">N(Y2106)+$X2107</f>
        <v>0</v>
      </c>
      <c r="Z2107" s="1" t="n">
        <f aca="false">IF(AND($M2107=1,对接源_02物料!$D907="原料入库"),1,0)</f>
        <v>0</v>
      </c>
      <c r="AA2107" s="1" t="n">
        <f aca="false">N(AA2106)+$Z2107</f>
        <v>30</v>
      </c>
      <c r="AB2107" s="1" t="n">
        <f aca="false">IF(AND($M2107=1,LEFT(对接源_02物料!$D907,4)="原料出库"),1,0)</f>
        <v>0</v>
      </c>
      <c r="AC2107" s="1" t="n">
        <f aca="false">N(AC2106)+$AB2107</f>
        <v>19</v>
      </c>
      <c r="AD2107" s="1" t="n">
        <f aca="false">IF(AND($M2107=1,LEFT(对接源_02物料!$D907,4)="成品出库"),1,0)</f>
        <v>0</v>
      </c>
      <c r="AE2107" s="1" t="n">
        <f aca="false">N(AE2106)+$AD2107</f>
        <v>38</v>
      </c>
      <c r="AF2107" s="1" t="n">
        <f aca="false">IF(AND($N2107=1,AND(LEFT(对接源_02物料!$D907,4)="包装物料",N(对接源_02物料!$K907)&lt;&gt;0)),1,0)</f>
        <v>0</v>
      </c>
      <c r="AG2107" s="1" t="n">
        <f aca="false">N(AG2106)+$AF2107</f>
        <v>6</v>
      </c>
      <c r="AH2107" s="1" t="n">
        <f aca="false">IF(AND($N2107=1,AND(LEFT(对接源_02物料!$D907,3)="周转筐",N(对接源_02物料!$K907)&lt;&gt;0)),1,0)</f>
        <v>0</v>
      </c>
      <c r="AI2107" s="1" t="n">
        <f aca="false">N(AI2106)+$AH2107</f>
        <v>0</v>
      </c>
      <c r="AJ2107" s="1" t="n">
        <v>0</v>
      </c>
      <c r="AK2107" s="1" t="n">
        <f aca="false">N(AK2106)+$AJ2107</f>
        <v>3672</v>
      </c>
    </row>
    <row r="2108" customFormat="false" ht="13.5" hidden="false" customHeight="false" outlineLevel="0" collapsed="false">
      <c r="A2108" s="1" t="str">
        <f aca="false">IF(对接源_02物料!$C908="","",对接源_02物料!$C908)</f>
        <v/>
      </c>
      <c r="B2108" s="1" t="n">
        <f aca="false">IF(A2108="",0,IF(MATCH(A2108,$A$4:$A$2403,0)=ROW()-3,1,0))</f>
        <v>0</v>
      </c>
      <c r="C2108" s="1" t="n">
        <f aca="false">N(C2107)+B2108</f>
        <v>17</v>
      </c>
      <c r="K2108" s="1" t="n">
        <f aca="false">IF(OR($K$1="",对接源_02物料!$C908="",对接源_02物料!$C908&lt;&gt;$K$1,对接源_02物料!$B908=""),0,IF(OR(N(对接源_02物料!$B908)&lt;$K$2,N(对接源_02物料!$B908)&gt;$K$3),0,1))</f>
        <v>0</v>
      </c>
      <c r="L2108" s="1" t="n">
        <f aca="false">IF(OR($L$1="",对接源_02物料!$C908="",对接源_02物料!$C908&lt;&gt;$L$1,对接源_02物料!$B908=""),0,IF(OR(N(对接源_02物料!$B908)&lt;$L$2,N(对接源_02物料!$B908)&gt;$L$3),0,1))</f>
        <v>0</v>
      </c>
      <c r="M2108" s="1" t="n">
        <f aca="false">IF(OR($M$1="",对接源_02物料!$C908="",对接源_02物料!$C908&lt;&gt;$M$1,对接源_02物料!$B908=""),0,IF(OR(N(对接源_02物料!$B908)&lt;$M$2,N(对接源_02物料!$B908)&gt;$M$3),0,1))</f>
        <v>0</v>
      </c>
      <c r="N2108" s="1" t="n">
        <f aca="false">IF(OR($N$1="",对接源_02物料!$C908="",对接源_02物料!$C908&lt;&gt;$N$1,对接源_02物料!$B908=""),0,IF(OR(N(对接源_02物料!$B908)&lt;$N$2,N(对接源_02物料!$B908)&gt;$N$3),0,1))</f>
        <v>0</v>
      </c>
      <c r="P2108" s="1" t="n">
        <f aca="false">IF(AND($K2108=1,AND(对接源_02物料!$X908="公司筐",N(对接源_02物料!$T908)&lt;&gt;0)),1,0)</f>
        <v>0</v>
      </c>
      <c r="Q2108" s="1" t="n">
        <f aca="false">N(Q2107)+$P2108</f>
        <v>13</v>
      </c>
      <c r="R2108" s="1" t="n">
        <f aca="false">IF(AND($K2108=1,AND(对接源_02物料!$X908="公司筐",N(对接源_02物料!$U908)&lt;&gt;0)),1,0)</f>
        <v>0</v>
      </c>
      <c r="S2108" s="1" t="n">
        <f aca="false">N(S2107)+$R2108</f>
        <v>5</v>
      </c>
      <c r="T2108" s="1" t="n">
        <f aca="false">IF(AND($K2108=1,AND(对接源_02物料!$X908="公司筐",N(对接源_02物料!$V908)&lt;&gt;0)),1,0)</f>
        <v>0</v>
      </c>
      <c r="U2108" s="1" t="n">
        <f aca="false">N(U2107)+$T2108</f>
        <v>28</v>
      </c>
      <c r="V2108" s="1" t="n">
        <f aca="false">IF(AND($L2108=1,AND(对接源_02物料!$X908="自备筐",N(对接源_02物料!$V908)&lt;&gt;0)),1,0)</f>
        <v>0</v>
      </c>
      <c r="W2108" s="1" t="n">
        <f aca="false">N(W2107)+$V2108</f>
        <v>7</v>
      </c>
      <c r="X2108" s="1" t="n">
        <f aca="false">IF(AND($L2108=1,AND(对接源_02物料!$X908="自备筐",N(对接源_02物料!$T908)&lt;&gt;0)),1,0)</f>
        <v>0</v>
      </c>
      <c r="Y2108" s="1" t="n">
        <f aca="false">N(Y2107)+$X2108</f>
        <v>0</v>
      </c>
      <c r="Z2108" s="1" t="n">
        <f aca="false">IF(AND($M2108=1,对接源_02物料!$D908="原料入库"),1,0)</f>
        <v>0</v>
      </c>
      <c r="AA2108" s="1" t="n">
        <f aca="false">N(AA2107)+$Z2108</f>
        <v>30</v>
      </c>
      <c r="AB2108" s="1" t="n">
        <f aca="false">IF(AND($M2108=1,LEFT(对接源_02物料!$D908,4)="原料出库"),1,0)</f>
        <v>0</v>
      </c>
      <c r="AC2108" s="1" t="n">
        <f aca="false">N(AC2107)+$AB2108</f>
        <v>19</v>
      </c>
      <c r="AD2108" s="1" t="n">
        <f aca="false">IF(AND($M2108=1,LEFT(对接源_02物料!$D908,4)="成品出库"),1,0)</f>
        <v>0</v>
      </c>
      <c r="AE2108" s="1" t="n">
        <f aca="false">N(AE2107)+$AD2108</f>
        <v>38</v>
      </c>
      <c r="AF2108" s="1" t="n">
        <f aca="false">IF(AND($N2108=1,AND(LEFT(对接源_02物料!$D908,4)="包装物料",N(对接源_02物料!$K908)&lt;&gt;0)),1,0)</f>
        <v>0</v>
      </c>
      <c r="AG2108" s="1" t="n">
        <f aca="false">N(AG2107)+$AF2108</f>
        <v>6</v>
      </c>
      <c r="AH2108" s="1" t="n">
        <f aca="false">IF(AND($N2108=1,AND(LEFT(对接源_02物料!$D908,3)="周转筐",N(对接源_02物料!$K908)&lt;&gt;0)),1,0)</f>
        <v>0</v>
      </c>
      <c r="AI2108" s="1" t="n">
        <f aca="false">N(AI2107)+$AH2108</f>
        <v>0</v>
      </c>
      <c r="AJ2108" s="1" t="n">
        <v>0</v>
      </c>
      <c r="AK2108" s="1" t="n">
        <f aca="false">N(AK2107)+$AJ2108</f>
        <v>3672</v>
      </c>
    </row>
    <row r="2109" customFormat="false" ht="13.5" hidden="false" customHeight="false" outlineLevel="0" collapsed="false">
      <c r="A2109" s="1" t="str">
        <f aca="false">IF(对接源_02物料!$C909="","",对接源_02物料!$C909)</f>
        <v/>
      </c>
      <c r="B2109" s="1" t="n">
        <f aca="false">IF(A2109="",0,IF(MATCH(A2109,$A$4:$A$2403,0)=ROW()-3,1,0))</f>
        <v>0</v>
      </c>
      <c r="C2109" s="1" t="n">
        <f aca="false">N(C2108)+B2109</f>
        <v>17</v>
      </c>
      <c r="K2109" s="1" t="n">
        <f aca="false">IF(OR($K$1="",对接源_02物料!$C909="",对接源_02物料!$C909&lt;&gt;$K$1,对接源_02物料!$B909=""),0,IF(OR(N(对接源_02物料!$B909)&lt;$K$2,N(对接源_02物料!$B909)&gt;$K$3),0,1))</f>
        <v>0</v>
      </c>
      <c r="L2109" s="1" t="n">
        <f aca="false">IF(OR($L$1="",对接源_02物料!$C909="",对接源_02物料!$C909&lt;&gt;$L$1,对接源_02物料!$B909=""),0,IF(OR(N(对接源_02物料!$B909)&lt;$L$2,N(对接源_02物料!$B909)&gt;$L$3),0,1))</f>
        <v>0</v>
      </c>
      <c r="M2109" s="1" t="n">
        <f aca="false">IF(OR($M$1="",对接源_02物料!$C909="",对接源_02物料!$C909&lt;&gt;$M$1,对接源_02物料!$B909=""),0,IF(OR(N(对接源_02物料!$B909)&lt;$M$2,N(对接源_02物料!$B909)&gt;$M$3),0,1))</f>
        <v>0</v>
      </c>
      <c r="N2109" s="1" t="n">
        <f aca="false">IF(OR($N$1="",对接源_02物料!$C909="",对接源_02物料!$C909&lt;&gt;$N$1,对接源_02物料!$B909=""),0,IF(OR(N(对接源_02物料!$B909)&lt;$N$2,N(对接源_02物料!$B909)&gt;$N$3),0,1))</f>
        <v>0</v>
      </c>
      <c r="P2109" s="1" t="n">
        <f aca="false">IF(AND($K2109=1,AND(对接源_02物料!$X909="公司筐",N(对接源_02物料!$T909)&lt;&gt;0)),1,0)</f>
        <v>0</v>
      </c>
      <c r="Q2109" s="1" t="n">
        <f aca="false">N(Q2108)+$P2109</f>
        <v>13</v>
      </c>
      <c r="R2109" s="1" t="n">
        <f aca="false">IF(AND($K2109=1,AND(对接源_02物料!$X909="公司筐",N(对接源_02物料!$U909)&lt;&gt;0)),1,0)</f>
        <v>0</v>
      </c>
      <c r="S2109" s="1" t="n">
        <f aca="false">N(S2108)+$R2109</f>
        <v>5</v>
      </c>
      <c r="T2109" s="1" t="n">
        <f aca="false">IF(AND($K2109=1,AND(对接源_02物料!$X909="公司筐",N(对接源_02物料!$V909)&lt;&gt;0)),1,0)</f>
        <v>0</v>
      </c>
      <c r="U2109" s="1" t="n">
        <f aca="false">N(U2108)+$T2109</f>
        <v>28</v>
      </c>
      <c r="V2109" s="1" t="n">
        <f aca="false">IF(AND($L2109=1,AND(对接源_02物料!$X909="自备筐",N(对接源_02物料!$V909)&lt;&gt;0)),1,0)</f>
        <v>0</v>
      </c>
      <c r="W2109" s="1" t="n">
        <f aca="false">N(W2108)+$V2109</f>
        <v>7</v>
      </c>
      <c r="X2109" s="1" t="n">
        <f aca="false">IF(AND($L2109=1,AND(对接源_02物料!$X909="自备筐",N(对接源_02物料!$T909)&lt;&gt;0)),1,0)</f>
        <v>0</v>
      </c>
      <c r="Y2109" s="1" t="n">
        <f aca="false">N(Y2108)+$X2109</f>
        <v>0</v>
      </c>
      <c r="Z2109" s="1" t="n">
        <f aca="false">IF(AND($M2109=1,对接源_02物料!$D909="原料入库"),1,0)</f>
        <v>0</v>
      </c>
      <c r="AA2109" s="1" t="n">
        <f aca="false">N(AA2108)+$Z2109</f>
        <v>30</v>
      </c>
      <c r="AB2109" s="1" t="n">
        <f aca="false">IF(AND($M2109=1,LEFT(对接源_02物料!$D909,4)="原料出库"),1,0)</f>
        <v>0</v>
      </c>
      <c r="AC2109" s="1" t="n">
        <f aca="false">N(AC2108)+$AB2109</f>
        <v>19</v>
      </c>
      <c r="AD2109" s="1" t="n">
        <f aca="false">IF(AND($M2109=1,LEFT(对接源_02物料!$D909,4)="成品出库"),1,0)</f>
        <v>0</v>
      </c>
      <c r="AE2109" s="1" t="n">
        <f aca="false">N(AE2108)+$AD2109</f>
        <v>38</v>
      </c>
      <c r="AF2109" s="1" t="n">
        <f aca="false">IF(AND($N2109=1,AND(LEFT(对接源_02物料!$D909,4)="包装物料",N(对接源_02物料!$K909)&lt;&gt;0)),1,0)</f>
        <v>0</v>
      </c>
      <c r="AG2109" s="1" t="n">
        <f aca="false">N(AG2108)+$AF2109</f>
        <v>6</v>
      </c>
      <c r="AH2109" s="1" t="n">
        <f aca="false">IF(AND($N2109=1,AND(LEFT(对接源_02物料!$D909,3)="周转筐",N(对接源_02物料!$K909)&lt;&gt;0)),1,0)</f>
        <v>0</v>
      </c>
      <c r="AI2109" s="1" t="n">
        <f aca="false">N(AI2108)+$AH2109</f>
        <v>0</v>
      </c>
      <c r="AJ2109" s="1" t="n">
        <v>0</v>
      </c>
      <c r="AK2109" s="1" t="n">
        <f aca="false">N(AK2108)+$AJ2109</f>
        <v>3672</v>
      </c>
    </row>
    <row r="2110" customFormat="false" ht="13.5" hidden="false" customHeight="false" outlineLevel="0" collapsed="false">
      <c r="A2110" s="1" t="str">
        <f aca="false">IF(对接源_02物料!$C910="","",对接源_02物料!$C910)</f>
        <v/>
      </c>
      <c r="B2110" s="1" t="n">
        <f aca="false">IF(A2110="",0,IF(MATCH(A2110,$A$4:$A$2403,0)=ROW()-3,1,0))</f>
        <v>0</v>
      </c>
      <c r="C2110" s="1" t="n">
        <f aca="false">N(C2109)+B2110</f>
        <v>17</v>
      </c>
      <c r="K2110" s="1" t="n">
        <f aca="false">IF(OR($K$1="",对接源_02物料!$C910="",对接源_02物料!$C910&lt;&gt;$K$1,对接源_02物料!$B910=""),0,IF(OR(N(对接源_02物料!$B910)&lt;$K$2,N(对接源_02物料!$B910)&gt;$K$3),0,1))</f>
        <v>0</v>
      </c>
      <c r="L2110" s="1" t="n">
        <f aca="false">IF(OR($L$1="",对接源_02物料!$C910="",对接源_02物料!$C910&lt;&gt;$L$1,对接源_02物料!$B910=""),0,IF(OR(N(对接源_02物料!$B910)&lt;$L$2,N(对接源_02物料!$B910)&gt;$L$3),0,1))</f>
        <v>0</v>
      </c>
      <c r="M2110" s="1" t="n">
        <f aca="false">IF(OR($M$1="",对接源_02物料!$C910="",对接源_02物料!$C910&lt;&gt;$M$1,对接源_02物料!$B910=""),0,IF(OR(N(对接源_02物料!$B910)&lt;$M$2,N(对接源_02物料!$B910)&gt;$M$3),0,1))</f>
        <v>0</v>
      </c>
      <c r="N2110" s="1" t="n">
        <f aca="false">IF(OR($N$1="",对接源_02物料!$C910="",对接源_02物料!$C910&lt;&gt;$N$1,对接源_02物料!$B910=""),0,IF(OR(N(对接源_02物料!$B910)&lt;$N$2,N(对接源_02物料!$B910)&gt;$N$3),0,1))</f>
        <v>0</v>
      </c>
      <c r="P2110" s="1" t="n">
        <f aca="false">IF(AND($K2110=1,AND(对接源_02物料!$X910="公司筐",N(对接源_02物料!$T910)&lt;&gt;0)),1,0)</f>
        <v>0</v>
      </c>
      <c r="Q2110" s="1" t="n">
        <f aca="false">N(Q2109)+$P2110</f>
        <v>13</v>
      </c>
      <c r="R2110" s="1" t="n">
        <f aca="false">IF(AND($K2110=1,AND(对接源_02物料!$X910="公司筐",N(对接源_02物料!$U910)&lt;&gt;0)),1,0)</f>
        <v>0</v>
      </c>
      <c r="S2110" s="1" t="n">
        <f aca="false">N(S2109)+$R2110</f>
        <v>5</v>
      </c>
      <c r="T2110" s="1" t="n">
        <f aca="false">IF(AND($K2110=1,AND(对接源_02物料!$X910="公司筐",N(对接源_02物料!$V910)&lt;&gt;0)),1,0)</f>
        <v>0</v>
      </c>
      <c r="U2110" s="1" t="n">
        <f aca="false">N(U2109)+$T2110</f>
        <v>28</v>
      </c>
      <c r="V2110" s="1" t="n">
        <f aca="false">IF(AND($L2110=1,AND(对接源_02物料!$X910="自备筐",N(对接源_02物料!$V910)&lt;&gt;0)),1,0)</f>
        <v>0</v>
      </c>
      <c r="W2110" s="1" t="n">
        <f aca="false">N(W2109)+$V2110</f>
        <v>7</v>
      </c>
      <c r="X2110" s="1" t="n">
        <f aca="false">IF(AND($L2110=1,AND(对接源_02物料!$X910="自备筐",N(对接源_02物料!$T910)&lt;&gt;0)),1,0)</f>
        <v>0</v>
      </c>
      <c r="Y2110" s="1" t="n">
        <f aca="false">N(Y2109)+$X2110</f>
        <v>0</v>
      </c>
      <c r="Z2110" s="1" t="n">
        <f aca="false">IF(AND($M2110=1,对接源_02物料!$D910="原料入库"),1,0)</f>
        <v>0</v>
      </c>
      <c r="AA2110" s="1" t="n">
        <f aca="false">N(AA2109)+$Z2110</f>
        <v>30</v>
      </c>
      <c r="AB2110" s="1" t="n">
        <f aca="false">IF(AND($M2110=1,LEFT(对接源_02物料!$D910,4)="原料出库"),1,0)</f>
        <v>0</v>
      </c>
      <c r="AC2110" s="1" t="n">
        <f aca="false">N(AC2109)+$AB2110</f>
        <v>19</v>
      </c>
      <c r="AD2110" s="1" t="n">
        <f aca="false">IF(AND($M2110=1,LEFT(对接源_02物料!$D910,4)="成品出库"),1,0)</f>
        <v>0</v>
      </c>
      <c r="AE2110" s="1" t="n">
        <f aca="false">N(AE2109)+$AD2110</f>
        <v>38</v>
      </c>
      <c r="AF2110" s="1" t="n">
        <f aca="false">IF(AND($N2110=1,AND(LEFT(对接源_02物料!$D910,4)="包装物料",N(对接源_02物料!$K910)&lt;&gt;0)),1,0)</f>
        <v>0</v>
      </c>
      <c r="AG2110" s="1" t="n">
        <f aca="false">N(AG2109)+$AF2110</f>
        <v>6</v>
      </c>
      <c r="AH2110" s="1" t="n">
        <f aca="false">IF(AND($N2110=1,AND(LEFT(对接源_02物料!$D910,3)="周转筐",N(对接源_02物料!$K910)&lt;&gt;0)),1,0)</f>
        <v>0</v>
      </c>
      <c r="AI2110" s="1" t="n">
        <f aca="false">N(AI2109)+$AH2110</f>
        <v>0</v>
      </c>
      <c r="AJ2110" s="1" t="n">
        <v>0</v>
      </c>
      <c r="AK2110" s="1" t="n">
        <f aca="false">N(AK2109)+$AJ2110</f>
        <v>3672</v>
      </c>
    </row>
    <row r="2111" customFormat="false" ht="13.5" hidden="false" customHeight="false" outlineLevel="0" collapsed="false">
      <c r="A2111" s="1" t="str">
        <f aca="false">IF(对接源_02物料!$C911="","",对接源_02物料!$C911)</f>
        <v/>
      </c>
      <c r="B2111" s="1" t="n">
        <f aca="false">IF(A2111="",0,IF(MATCH(A2111,$A$4:$A$2403,0)=ROW()-3,1,0))</f>
        <v>0</v>
      </c>
      <c r="C2111" s="1" t="n">
        <f aca="false">N(C2110)+B2111</f>
        <v>17</v>
      </c>
      <c r="K2111" s="1" t="n">
        <f aca="false">IF(OR($K$1="",对接源_02物料!$C911="",对接源_02物料!$C911&lt;&gt;$K$1,对接源_02物料!$B911=""),0,IF(OR(N(对接源_02物料!$B911)&lt;$K$2,N(对接源_02物料!$B911)&gt;$K$3),0,1))</f>
        <v>0</v>
      </c>
      <c r="L2111" s="1" t="n">
        <f aca="false">IF(OR($L$1="",对接源_02物料!$C911="",对接源_02物料!$C911&lt;&gt;$L$1,对接源_02物料!$B911=""),0,IF(OR(N(对接源_02物料!$B911)&lt;$L$2,N(对接源_02物料!$B911)&gt;$L$3),0,1))</f>
        <v>0</v>
      </c>
      <c r="M2111" s="1" t="n">
        <f aca="false">IF(OR($M$1="",对接源_02物料!$C911="",对接源_02物料!$C911&lt;&gt;$M$1,对接源_02物料!$B911=""),0,IF(OR(N(对接源_02物料!$B911)&lt;$M$2,N(对接源_02物料!$B911)&gt;$M$3),0,1))</f>
        <v>0</v>
      </c>
      <c r="N2111" s="1" t="n">
        <f aca="false">IF(OR($N$1="",对接源_02物料!$C911="",对接源_02物料!$C911&lt;&gt;$N$1,对接源_02物料!$B911=""),0,IF(OR(N(对接源_02物料!$B911)&lt;$N$2,N(对接源_02物料!$B911)&gt;$N$3),0,1))</f>
        <v>0</v>
      </c>
      <c r="P2111" s="1" t="n">
        <f aca="false">IF(AND($K2111=1,AND(对接源_02物料!$X911="公司筐",N(对接源_02物料!$T911)&lt;&gt;0)),1,0)</f>
        <v>0</v>
      </c>
      <c r="Q2111" s="1" t="n">
        <f aca="false">N(Q2110)+$P2111</f>
        <v>13</v>
      </c>
      <c r="R2111" s="1" t="n">
        <f aca="false">IF(AND($K2111=1,AND(对接源_02物料!$X911="公司筐",N(对接源_02物料!$U911)&lt;&gt;0)),1,0)</f>
        <v>0</v>
      </c>
      <c r="S2111" s="1" t="n">
        <f aca="false">N(S2110)+$R2111</f>
        <v>5</v>
      </c>
      <c r="T2111" s="1" t="n">
        <f aca="false">IF(AND($K2111=1,AND(对接源_02物料!$X911="公司筐",N(对接源_02物料!$V911)&lt;&gt;0)),1,0)</f>
        <v>0</v>
      </c>
      <c r="U2111" s="1" t="n">
        <f aca="false">N(U2110)+$T2111</f>
        <v>28</v>
      </c>
      <c r="V2111" s="1" t="n">
        <f aca="false">IF(AND($L2111=1,AND(对接源_02物料!$X911="自备筐",N(对接源_02物料!$V911)&lt;&gt;0)),1,0)</f>
        <v>0</v>
      </c>
      <c r="W2111" s="1" t="n">
        <f aca="false">N(W2110)+$V2111</f>
        <v>7</v>
      </c>
      <c r="X2111" s="1" t="n">
        <f aca="false">IF(AND($L2111=1,AND(对接源_02物料!$X911="自备筐",N(对接源_02物料!$T911)&lt;&gt;0)),1,0)</f>
        <v>0</v>
      </c>
      <c r="Y2111" s="1" t="n">
        <f aca="false">N(Y2110)+$X2111</f>
        <v>0</v>
      </c>
      <c r="Z2111" s="1" t="n">
        <f aca="false">IF(AND($M2111=1,对接源_02物料!$D911="原料入库"),1,0)</f>
        <v>0</v>
      </c>
      <c r="AA2111" s="1" t="n">
        <f aca="false">N(AA2110)+$Z2111</f>
        <v>30</v>
      </c>
      <c r="AB2111" s="1" t="n">
        <f aca="false">IF(AND($M2111=1,LEFT(对接源_02物料!$D911,4)="原料出库"),1,0)</f>
        <v>0</v>
      </c>
      <c r="AC2111" s="1" t="n">
        <f aca="false">N(AC2110)+$AB2111</f>
        <v>19</v>
      </c>
      <c r="AD2111" s="1" t="n">
        <f aca="false">IF(AND($M2111=1,LEFT(对接源_02物料!$D911,4)="成品出库"),1,0)</f>
        <v>0</v>
      </c>
      <c r="AE2111" s="1" t="n">
        <f aca="false">N(AE2110)+$AD2111</f>
        <v>38</v>
      </c>
      <c r="AF2111" s="1" t="n">
        <f aca="false">IF(AND($N2111=1,AND(LEFT(对接源_02物料!$D911,4)="包装物料",N(对接源_02物料!$K911)&lt;&gt;0)),1,0)</f>
        <v>0</v>
      </c>
      <c r="AG2111" s="1" t="n">
        <f aca="false">N(AG2110)+$AF2111</f>
        <v>6</v>
      </c>
      <c r="AH2111" s="1" t="n">
        <f aca="false">IF(AND($N2111=1,AND(LEFT(对接源_02物料!$D911,3)="周转筐",N(对接源_02物料!$K911)&lt;&gt;0)),1,0)</f>
        <v>0</v>
      </c>
      <c r="AI2111" s="1" t="n">
        <f aca="false">N(AI2110)+$AH2111</f>
        <v>0</v>
      </c>
      <c r="AJ2111" s="1" t="n">
        <v>0</v>
      </c>
      <c r="AK2111" s="1" t="n">
        <f aca="false">N(AK2110)+$AJ2111</f>
        <v>3672</v>
      </c>
    </row>
    <row r="2112" customFormat="false" ht="13.5" hidden="false" customHeight="false" outlineLevel="0" collapsed="false">
      <c r="A2112" s="1" t="str">
        <f aca="false">IF(对接源_02物料!$C912="","",对接源_02物料!$C912)</f>
        <v/>
      </c>
      <c r="B2112" s="1" t="n">
        <f aca="false">IF(A2112="",0,IF(MATCH(A2112,$A$4:$A$2403,0)=ROW()-3,1,0))</f>
        <v>0</v>
      </c>
      <c r="C2112" s="1" t="n">
        <f aca="false">N(C2111)+B2112</f>
        <v>17</v>
      </c>
      <c r="K2112" s="1" t="n">
        <f aca="false">IF(OR($K$1="",对接源_02物料!$C912="",对接源_02物料!$C912&lt;&gt;$K$1,对接源_02物料!$B912=""),0,IF(OR(N(对接源_02物料!$B912)&lt;$K$2,N(对接源_02物料!$B912)&gt;$K$3),0,1))</f>
        <v>0</v>
      </c>
      <c r="L2112" s="1" t="n">
        <f aca="false">IF(OR($L$1="",对接源_02物料!$C912="",对接源_02物料!$C912&lt;&gt;$L$1,对接源_02物料!$B912=""),0,IF(OR(N(对接源_02物料!$B912)&lt;$L$2,N(对接源_02物料!$B912)&gt;$L$3),0,1))</f>
        <v>0</v>
      </c>
      <c r="M2112" s="1" t="n">
        <f aca="false">IF(OR($M$1="",对接源_02物料!$C912="",对接源_02物料!$C912&lt;&gt;$M$1,对接源_02物料!$B912=""),0,IF(OR(N(对接源_02物料!$B912)&lt;$M$2,N(对接源_02物料!$B912)&gt;$M$3),0,1))</f>
        <v>0</v>
      </c>
      <c r="N2112" s="1" t="n">
        <f aca="false">IF(OR($N$1="",对接源_02物料!$C912="",对接源_02物料!$C912&lt;&gt;$N$1,对接源_02物料!$B912=""),0,IF(OR(N(对接源_02物料!$B912)&lt;$N$2,N(对接源_02物料!$B912)&gt;$N$3),0,1))</f>
        <v>0</v>
      </c>
      <c r="P2112" s="1" t="n">
        <f aca="false">IF(AND($K2112=1,AND(对接源_02物料!$X912="公司筐",N(对接源_02物料!$T912)&lt;&gt;0)),1,0)</f>
        <v>0</v>
      </c>
      <c r="Q2112" s="1" t="n">
        <f aca="false">N(Q2111)+$P2112</f>
        <v>13</v>
      </c>
      <c r="R2112" s="1" t="n">
        <f aca="false">IF(AND($K2112=1,AND(对接源_02物料!$X912="公司筐",N(对接源_02物料!$U912)&lt;&gt;0)),1,0)</f>
        <v>0</v>
      </c>
      <c r="S2112" s="1" t="n">
        <f aca="false">N(S2111)+$R2112</f>
        <v>5</v>
      </c>
      <c r="T2112" s="1" t="n">
        <f aca="false">IF(AND($K2112=1,AND(对接源_02物料!$X912="公司筐",N(对接源_02物料!$V912)&lt;&gt;0)),1,0)</f>
        <v>0</v>
      </c>
      <c r="U2112" s="1" t="n">
        <f aca="false">N(U2111)+$T2112</f>
        <v>28</v>
      </c>
      <c r="V2112" s="1" t="n">
        <f aca="false">IF(AND($L2112=1,AND(对接源_02物料!$X912="自备筐",N(对接源_02物料!$V912)&lt;&gt;0)),1,0)</f>
        <v>0</v>
      </c>
      <c r="W2112" s="1" t="n">
        <f aca="false">N(W2111)+$V2112</f>
        <v>7</v>
      </c>
      <c r="X2112" s="1" t="n">
        <f aca="false">IF(AND($L2112=1,AND(对接源_02物料!$X912="自备筐",N(对接源_02物料!$T912)&lt;&gt;0)),1,0)</f>
        <v>0</v>
      </c>
      <c r="Y2112" s="1" t="n">
        <f aca="false">N(Y2111)+$X2112</f>
        <v>0</v>
      </c>
      <c r="Z2112" s="1" t="n">
        <f aca="false">IF(AND($M2112=1,对接源_02物料!$D912="原料入库"),1,0)</f>
        <v>0</v>
      </c>
      <c r="AA2112" s="1" t="n">
        <f aca="false">N(AA2111)+$Z2112</f>
        <v>30</v>
      </c>
      <c r="AB2112" s="1" t="n">
        <f aca="false">IF(AND($M2112=1,LEFT(对接源_02物料!$D912,4)="原料出库"),1,0)</f>
        <v>0</v>
      </c>
      <c r="AC2112" s="1" t="n">
        <f aca="false">N(AC2111)+$AB2112</f>
        <v>19</v>
      </c>
      <c r="AD2112" s="1" t="n">
        <f aca="false">IF(AND($M2112=1,LEFT(对接源_02物料!$D912,4)="成品出库"),1,0)</f>
        <v>0</v>
      </c>
      <c r="AE2112" s="1" t="n">
        <f aca="false">N(AE2111)+$AD2112</f>
        <v>38</v>
      </c>
      <c r="AF2112" s="1" t="n">
        <f aca="false">IF(AND($N2112=1,AND(LEFT(对接源_02物料!$D912,4)="包装物料",N(对接源_02物料!$K912)&lt;&gt;0)),1,0)</f>
        <v>0</v>
      </c>
      <c r="AG2112" s="1" t="n">
        <f aca="false">N(AG2111)+$AF2112</f>
        <v>6</v>
      </c>
      <c r="AH2112" s="1" t="n">
        <f aca="false">IF(AND($N2112=1,AND(LEFT(对接源_02物料!$D912,3)="周转筐",N(对接源_02物料!$K912)&lt;&gt;0)),1,0)</f>
        <v>0</v>
      </c>
      <c r="AI2112" s="1" t="n">
        <f aca="false">N(AI2111)+$AH2112</f>
        <v>0</v>
      </c>
      <c r="AJ2112" s="1" t="n">
        <v>0</v>
      </c>
      <c r="AK2112" s="1" t="n">
        <f aca="false">N(AK2111)+$AJ2112</f>
        <v>3672</v>
      </c>
    </row>
    <row r="2113" customFormat="false" ht="13.5" hidden="false" customHeight="false" outlineLevel="0" collapsed="false">
      <c r="A2113" s="1" t="str">
        <f aca="false">IF(对接源_02物料!$C913="","",对接源_02物料!$C913)</f>
        <v/>
      </c>
      <c r="B2113" s="1" t="n">
        <f aca="false">IF(A2113="",0,IF(MATCH(A2113,$A$4:$A$2403,0)=ROW()-3,1,0))</f>
        <v>0</v>
      </c>
      <c r="C2113" s="1" t="n">
        <f aca="false">N(C2112)+B2113</f>
        <v>17</v>
      </c>
      <c r="K2113" s="1" t="n">
        <f aca="false">IF(OR($K$1="",对接源_02物料!$C913="",对接源_02物料!$C913&lt;&gt;$K$1,对接源_02物料!$B913=""),0,IF(OR(N(对接源_02物料!$B913)&lt;$K$2,N(对接源_02物料!$B913)&gt;$K$3),0,1))</f>
        <v>0</v>
      </c>
      <c r="L2113" s="1" t="n">
        <f aca="false">IF(OR($L$1="",对接源_02物料!$C913="",对接源_02物料!$C913&lt;&gt;$L$1,对接源_02物料!$B913=""),0,IF(OR(N(对接源_02物料!$B913)&lt;$L$2,N(对接源_02物料!$B913)&gt;$L$3),0,1))</f>
        <v>0</v>
      </c>
      <c r="M2113" s="1" t="n">
        <f aca="false">IF(OR($M$1="",对接源_02物料!$C913="",对接源_02物料!$C913&lt;&gt;$M$1,对接源_02物料!$B913=""),0,IF(OR(N(对接源_02物料!$B913)&lt;$M$2,N(对接源_02物料!$B913)&gt;$M$3),0,1))</f>
        <v>0</v>
      </c>
      <c r="N2113" s="1" t="n">
        <f aca="false">IF(OR($N$1="",对接源_02物料!$C913="",对接源_02物料!$C913&lt;&gt;$N$1,对接源_02物料!$B913=""),0,IF(OR(N(对接源_02物料!$B913)&lt;$N$2,N(对接源_02物料!$B913)&gt;$N$3),0,1))</f>
        <v>0</v>
      </c>
      <c r="P2113" s="1" t="n">
        <f aca="false">IF(AND($K2113=1,AND(对接源_02物料!$X913="公司筐",N(对接源_02物料!$T913)&lt;&gt;0)),1,0)</f>
        <v>0</v>
      </c>
      <c r="Q2113" s="1" t="n">
        <f aca="false">N(Q2112)+$P2113</f>
        <v>13</v>
      </c>
      <c r="R2113" s="1" t="n">
        <f aca="false">IF(AND($K2113=1,AND(对接源_02物料!$X913="公司筐",N(对接源_02物料!$U913)&lt;&gt;0)),1,0)</f>
        <v>0</v>
      </c>
      <c r="S2113" s="1" t="n">
        <f aca="false">N(S2112)+$R2113</f>
        <v>5</v>
      </c>
      <c r="T2113" s="1" t="n">
        <f aca="false">IF(AND($K2113=1,AND(对接源_02物料!$X913="公司筐",N(对接源_02物料!$V913)&lt;&gt;0)),1,0)</f>
        <v>0</v>
      </c>
      <c r="U2113" s="1" t="n">
        <f aca="false">N(U2112)+$T2113</f>
        <v>28</v>
      </c>
      <c r="V2113" s="1" t="n">
        <f aca="false">IF(AND($L2113=1,AND(对接源_02物料!$X913="自备筐",N(对接源_02物料!$V913)&lt;&gt;0)),1,0)</f>
        <v>0</v>
      </c>
      <c r="W2113" s="1" t="n">
        <f aca="false">N(W2112)+$V2113</f>
        <v>7</v>
      </c>
      <c r="X2113" s="1" t="n">
        <f aca="false">IF(AND($L2113=1,AND(对接源_02物料!$X913="自备筐",N(对接源_02物料!$T913)&lt;&gt;0)),1,0)</f>
        <v>0</v>
      </c>
      <c r="Y2113" s="1" t="n">
        <f aca="false">N(Y2112)+$X2113</f>
        <v>0</v>
      </c>
      <c r="Z2113" s="1" t="n">
        <f aca="false">IF(AND($M2113=1,对接源_02物料!$D913="原料入库"),1,0)</f>
        <v>0</v>
      </c>
      <c r="AA2113" s="1" t="n">
        <f aca="false">N(AA2112)+$Z2113</f>
        <v>30</v>
      </c>
      <c r="AB2113" s="1" t="n">
        <f aca="false">IF(AND($M2113=1,LEFT(对接源_02物料!$D913,4)="原料出库"),1,0)</f>
        <v>0</v>
      </c>
      <c r="AC2113" s="1" t="n">
        <f aca="false">N(AC2112)+$AB2113</f>
        <v>19</v>
      </c>
      <c r="AD2113" s="1" t="n">
        <f aca="false">IF(AND($M2113=1,LEFT(对接源_02物料!$D913,4)="成品出库"),1,0)</f>
        <v>0</v>
      </c>
      <c r="AE2113" s="1" t="n">
        <f aca="false">N(AE2112)+$AD2113</f>
        <v>38</v>
      </c>
      <c r="AF2113" s="1" t="n">
        <f aca="false">IF(AND($N2113=1,AND(LEFT(对接源_02物料!$D913,4)="包装物料",N(对接源_02物料!$K913)&lt;&gt;0)),1,0)</f>
        <v>0</v>
      </c>
      <c r="AG2113" s="1" t="n">
        <f aca="false">N(AG2112)+$AF2113</f>
        <v>6</v>
      </c>
      <c r="AH2113" s="1" t="n">
        <f aca="false">IF(AND($N2113=1,AND(LEFT(对接源_02物料!$D913,3)="周转筐",N(对接源_02物料!$K913)&lt;&gt;0)),1,0)</f>
        <v>0</v>
      </c>
      <c r="AI2113" s="1" t="n">
        <f aca="false">N(AI2112)+$AH2113</f>
        <v>0</v>
      </c>
      <c r="AJ2113" s="1" t="n">
        <v>0</v>
      </c>
      <c r="AK2113" s="1" t="n">
        <f aca="false">N(AK2112)+$AJ2113</f>
        <v>3672</v>
      </c>
    </row>
    <row r="2114" customFormat="false" ht="13.5" hidden="false" customHeight="false" outlineLevel="0" collapsed="false">
      <c r="A2114" s="1" t="str">
        <f aca="false">IF(对接源_02物料!$C914="","",对接源_02物料!$C914)</f>
        <v/>
      </c>
      <c r="B2114" s="1" t="n">
        <f aca="false">IF(A2114="",0,IF(MATCH(A2114,$A$4:$A$2403,0)=ROW()-3,1,0))</f>
        <v>0</v>
      </c>
      <c r="C2114" s="1" t="n">
        <f aca="false">N(C2113)+B2114</f>
        <v>17</v>
      </c>
      <c r="K2114" s="1" t="n">
        <f aca="false">IF(OR($K$1="",对接源_02物料!$C914="",对接源_02物料!$C914&lt;&gt;$K$1,对接源_02物料!$B914=""),0,IF(OR(N(对接源_02物料!$B914)&lt;$K$2,N(对接源_02物料!$B914)&gt;$K$3),0,1))</f>
        <v>0</v>
      </c>
      <c r="L2114" s="1" t="n">
        <f aca="false">IF(OR($L$1="",对接源_02物料!$C914="",对接源_02物料!$C914&lt;&gt;$L$1,对接源_02物料!$B914=""),0,IF(OR(N(对接源_02物料!$B914)&lt;$L$2,N(对接源_02物料!$B914)&gt;$L$3),0,1))</f>
        <v>0</v>
      </c>
      <c r="M2114" s="1" t="n">
        <f aca="false">IF(OR($M$1="",对接源_02物料!$C914="",对接源_02物料!$C914&lt;&gt;$M$1,对接源_02物料!$B914=""),0,IF(OR(N(对接源_02物料!$B914)&lt;$M$2,N(对接源_02物料!$B914)&gt;$M$3),0,1))</f>
        <v>0</v>
      </c>
      <c r="N2114" s="1" t="n">
        <f aca="false">IF(OR($N$1="",对接源_02物料!$C914="",对接源_02物料!$C914&lt;&gt;$N$1,对接源_02物料!$B914=""),0,IF(OR(N(对接源_02物料!$B914)&lt;$N$2,N(对接源_02物料!$B914)&gt;$N$3),0,1))</f>
        <v>0</v>
      </c>
      <c r="P2114" s="1" t="n">
        <f aca="false">IF(AND($K2114=1,AND(对接源_02物料!$X914="公司筐",N(对接源_02物料!$T914)&lt;&gt;0)),1,0)</f>
        <v>0</v>
      </c>
      <c r="Q2114" s="1" t="n">
        <f aca="false">N(Q2113)+$P2114</f>
        <v>13</v>
      </c>
      <c r="R2114" s="1" t="n">
        <f aca="false">IF(AND($K2114=1,AND(对接源_02物料!$X914="公司筐",N(对接源_02物料!$U914)&lt;&gt;0)),1,0)</f>
        <v>0</v>
      </c>
      <c r="S2114" s="1" t="n">
        <f aca="false">N(S2113)+$R2114</f>
        <v>5</v>
      </c>
      <c r="T2114" s="1" t="n">
        <f aca="false">IF(AND($K2114=1,AND(对接源_02物料!$X914="公司筐",N(对接源_02物料!$V914)&lt;&gt;0)),1,0)</f>
        <v>0</v>
      </c>
      <c r="U2114" s="1" t="n">
        <f aca="false">N(U2113)+$T2114</f>
        <v>28</v>
      </c>
      <c r="V2114" s="1" t="n">
        <f aca="false">IF(AND($L2114=1,AND(对接源_02物料!$X914="自备筐",N(对接源_02物料!$V914)&lt;&gt;0)),1,0)</f>
        <v>0</v>
      </c>
      <c r="W2114" s="1" t="n">
        <f aca="false">N(W2113)+$V2114</f>
        <v>7</v>
      </c>
      <c r="X2114" s="1" t="n">
        <f aca="false">IF(AND($L2114=1,AND(对接源_02物料!$X914="自备筐",N(对接源_02物料!$T914)&lt;&gt;0)),1,0)</f>
        <v>0</v>
      </c>
      <c r="Y2114" s="1" t="n">
        <f aca="false">N(Y2113)+$X2114</f>
        <v>0</v>
      </c>
      <c r="Z2114" s="1" t="n">
        <f aca="false">IF(AND($M2114=1,对接源_02物料!$D914="原料入库"),1,0)</f>
        <v>0</v>
      </c>
      <c r="AA2114" s="1" t="n">
        <f aca="false">N(AA2113)+$Z2114</f>
        <v>30</v>
      </c>
      <c r="AB2114" s="1" t="n">
        <f aca="false">IF(AND($M2114=1,LEFT(对接源_02物料!$D914,4)="原料出库"),1,0)</f>
        <v>0</v>
      </c>
      <c r="AC2114" s="1" t="n">
        <f aca="false">N(AC2113)+$AB2114</f>
        <v>19</v>
      </c>
      <c r="AD2114" s="1" t="n">
        <f aca="false">IF(AND($M2114=1,LEFT(对接源_02物料!$D914,4)="成品出库"),1,0)</f>
        <v>0</v>
      </c>
      <c r="AE2114" s="1" t="n">
        <f aca="false">N(AE2113)+$AD2114</f>
        <v>38</v>
      </c>
      <c r="AF2114" s="1" t="n">
        <f aca="false">IF(AND($N2114=1,AND(LEFT(对接源_02物料!$D914,4)="包装物料",N(对接源_02物料!$K914)&lt;&gt;0)),1,0)</f>
        <v>0</v>
      </c>
      <c r="AG2114" s="1" t="n">
        <f aca="false">N(AG2113)+$AF2114</f>
        <v>6</v>
      </c>
      <c r="AH2114" s="1" t="n">
        <f aca="false">IF(AND($N2114=1,AND(LEFT(对接源_02物料!$D914,3)="周转筐",N(对接源_02物料!$K914)&lt;&gt;0)),1,0)</f>
        <v>0</v>
      </c>
      <c r="AI2114" s="1" t="n">
        <f aca="false">N(AI2113)+$AH2114</f>
        <v>0</v>
      </c>
      <c r="AJ2114" s="1" t="n">
        <v>0</v>
      </c>
      <c r="AK2114" s="1" t="n">
        <f aca="false">N(AK2113)+$AJ2114</f>
        <v>3672</v>
      </c>
    </row>
    <row r="2115" customFormat="false" ht="13.5" hidden="false" customHeight="false" outlineLevel="0" collapsed="false">
      <c r="A2115" s="1" t="str">
        <f aca="false">IF(对接源_02物料!$C915="","",对接源_02物料!$C915)</f>
        <v/>
      </c>
      <c r="B2115" s="1" t="n">
        <f aca="false">IF(A2115="",0,IF(MATCH(A2115,$A$4:$A$2403,0)=ROW()-3,1,0))</f>
        <v>0</v>
      </c>
      <c r="C2115" s="1" t="n">
        <f aca="false">N(C2114)+B2115</f>
        <v>17</v>
      </c>
      <c r="K2115" s="1" t="n">
        <f aca="false">IF(OR($K$1="",对接源_02物料!$C915="",对接源_02物料!$C915&lt;&gt;$K$1,对接源_02物料!$B915=""),0,IF(OR(N(对接源_02物料!$B915)&lt;$K$2,N(对接源_02物料!$B915)&gt;$K$3),0,1))</f>
        <v>0</v>
      </c>
      <c r="L2115" s="1" t="n">
        <f aca="false">IF(OR($L$1="",对接源_02物料!$C915="",对接源_02物料!$C915&lt;&gt;$L$1,对接源_02物料!$B915=""),0,IF(OR(N(对接源_02物料!$B915)&lt;$L$2,N(对接源_02物料!$B915)&gt;$L$3),0,1))</f>
        <v>0</v>
      </c>
      <c r="M2115" s="1" t="n">
        <f aca="false">IF(OR($M$1="",对接源_02物料!$C915="",对接源_02物料!$C915&lt;&gt;$M$1,对接源_02物料!$B915=""),0,IF(OR(N(对接源_02物料!$B915)&lt;$M$2,N(对接源_02物料!$B915)&gt;$M$3),0,1))</f>
        <v>0</v>
      </c>
      <c r="N2115" s="1" t="n">
        <f aca="false">IF(OR($N$1="",对接源_02物料!$C915="",对接源_02物料!$C915&lt;&gt;$N$1,对接源_02物料!$B915=""),0,IF(OR(N(对接源_02物料!$B915)&lt;$N$2,N(对接源_02物料!$B915)&gt;$N$3),0,1))</f>
        <v>0</v>
      </c>
      <c r="P2115" s="1" t="n">
        <f aca="false">IF(AND($K2115=1,AND(对接源_02物料!$X915="公司筐",N(对接源_02物料!$T915)&lt;&gt;0)),1,0)</f>
        <v>0</v>
      </c>
      <c r="Q2115" s="1" t="n">
        <f aca="false">N(Q2114)+$P2115</f>
        <v>13</v>
      </c>
      <c r="R2115" s="1" t="n">
        <f aca="false">IF(AND($K2115=1,AND(对接源_02物料!$X915="公司筐",N(对接源_02物料!$U915)&lt;&gt;0)),1,0)</f>
        <v>0</v>
      </c>
      <c r="S2115" s="1" t="n">
        <f aca="false">N(S2114)+$R2115</f>
        <v>5</v>
      </c>
      <c r="T2115" s="1" t="n">
        <f aca="false">IF(AND($K2115=1,AND(对接源_02物料!$X915="公司筐",N(对接源_02物料!$V915)&lt;&gt;0)),1,0)</f>
        <v>0</v>
      </c>
      <c r="U2115" s="1" t="n">
        <f aca="false">N(U2114)+$T2115</f>
        <v>28</v>
      </c>
      <c r="V2115" s="1" t="n">
        <f aca="false">IF(AND($L2115=1,AND(对接源_02物料!$X915="自备筐",N(对接源_02物料!$V915)&lt;&gt;0)),1,0)</f>
        <v>0</v>
      </c>
      <c r="W2115" s="1" t="n">
        <f aca="false">N(W2114)+$V2115</f>
        <v>7</v>
      </c>
      <c r="X2115" s="1" t="n">
        <f aca="false">IF(AND($L2115=1,AND(对接源_02物料!$X915="自备筐",N(对接源_02物料!$T915)&lt;&gt;0)),1,0)</f>
        <v>0</v>
      </c>
      <c r="Y2115" s="1" t="n">
        <f aca="false">N(Y2114)+$X2115</f>
        <v>0</v>
      </c>
      <c r="Z2115" s="1" t="n">
        <f aca="false">IF(AND($M2115=1,对接源_02物料!$D915="原料入库"),1,0)</f>
        <v>0</v>
      </c>
      <c r="AA2115" s="1" t="n">
        <f aca="false">N(AA2114)+$Z2115</f>
        <v>30</v>
      </c>
      <c r="AB2115" s="1" t="n">
        <f aca="false">IF(AND($M2115=1,LEFT(对接源_02物料!$D915,4)="原料出库"),1,0)</f>
        <v>0</v>
      </c>
      <c r="AC2115" s="1" t="n">
        <f aca="false">N(AC2114)+$AB2115</f>
        <v>19</v>
      </c>
      <c r="AD2115" s="1" t="n">
        <f aca="false">IF(AND($M2115=1,LEFT(对接源_02物料!$D915,4)="成品出库"),1,0)</f>
        <v>0</v>
      </c>
      <c r="AE2115" s="1" t="n">
        <f aca="false">N(AE2114)+$AD2115</f>
        <v>38</v>
      </c>
      <c r="AF2115" s="1" t="n">
        <f aca="false">IF(AND($N2115=1,AND(LEFT(对接源_02物料!$D915,4)="包装物料",N(对接源_02物料!$K915)&lt;&gt;0)),1,0)</f>
        <v>0</v>
      </c>
      <c r="AG2115" s="1" t="n">
        <f aca="false">N(AG2114)+$AF2115</f>
        <v>6</v>
      </c>
      <c r="AH2115" s="1" t="n">
        <f aca="false">IF(AND($N2115=1,AND(LEFT(对接源_02物料!$D915,3)="周转筐",N(对接源_02物料!$K915)&lt;&gt;0)),1,0)</f>
        <v>0</v>
      </c>
      <c r="AI2115" s="1" t="n">
        <f aca="false">N(AI2114)+$AH2115</f>
        <v>0</v>
      </c>
      <c r="AJ2115" s="1" t="n">
        <v>0</v>
      </c>
      <c r="AK2115" s="1" t="n">
        <f aca="false">N(AK2114)+$AJ2115</f>
        <v>3672</v>
      </c>
    </row>
    <row r="2116" customFormat="false" ht="13.5" hidden="false" customHeight="false" outlineLevel="0" collapsed="false">
      <c r="A2116" s="1" t="str">
        <f aca="false">IF(对接源_02物料!$C916="","",对接源_02物料!$C916)</f>
        <v/>
      </c>
      <c r="B2116" s="1" t="n">
        <f aca="false">IF(A2116="",0,IF(MATCH(A2116,$A$4:$A$2403,0)=ROW()-3,1,0))</f>
        <v>0</v>
      </c>
      <c r="C2116" s="1" t="n">
        <f aca="false">N(C2115)+B2116</f>
        <v>17</v>
      </c>
      <c r="K2116" s="1" t="n">
        <f aca="false">IF(OR($K$1="",对接源_02物料!$C916="",对接源_02物料!$C916&lt;&gt;$K$1,对接源_02物料!$B916=""),0,IF(OR(N(对接源_02物料!$B916)&lt;$K$2,N(对接源_02物料!$B916)&gt;$K$3),0,1))</f>
        <v>0</v>
      </c>
      <c r="L2116" s="1" t="n">
        <f aca="false">IF(OR($L$1="",对接源_02物料!$C916="",对接源_02物料!$C916&lt;&gt;$L$1,对接源_02物料!$B916=""),0,IF(OR(N(对接源_02物料!$B916)&lt;$L$2,N(对接源_02物料!$B916)&gt;$L$3),0,1))</f>
        <v>0</v>
      </c>
      <c r="M2116" s="1" t="n">
        <f aca="false">IF(OR($M$1="",对接源_02物料!$C916="",对接源_02物料!$C916&lt;&gt;$M$1,对接源_02物料!$B916=""),0,IF(OR(N(对接源_02物料!$B916)&lt;$M$2,N(对接源_02物料!$B916)&gt;$M$3),0,1))</f>
        <v>0</v>
      </c>
      <c r="N2116" s="1" t="n">
        <f aca="false">IF(OR($N$1="",对接源_02物料!$C916="",对接源_02物料!$C916&lt;&gt;$N$1,对接源_02物料!$B916=""),0,IF(OR(N(对接源_02物料!$B916)&lt;$N$2,N(对接源_02物料!$B916)&gt;$N$3),0,1))</f>
        <v>0</v>
      </c>
      <c r="P2116" s="1" t="n">
        <f aca="false">IF(AND($K2116=1,AND(对接源_02物料!$X916="公司筐",N(对接源_02物料!$T916)&lt;&gt;0)),1,0)</f>
        <v>0</v>
      </c>
      <c r="Q2116" s="1" t="n">
        <f aca="false">N(Q2115)+$P2116</f>
        <v>13</v>
      </c>
      <c r="R2116" s="1" t="n">
        <f aca="false">IF(AND($K2116=1,AND(对接源_02物料!$X916="公司筐",N(对接源_02物料!$U916)&lt;&gt;0)),1,0)</f>
        <v>0</v>
      </c>
      <c r="S2116" s="1" t="n">
        <f aca="false">N(S2115)+$R2116</f>
        <v>5</v>
      </c>
      <c r="T2116" s="1" t="n">
        <f aca="false">IF(AND($K2116=1,AND(对接源_02物料!$X916="公司筐",N(对接源_02物料!$V916)&lt;&gt;0)),1,0)</f>
        <v>0</v>
      </c>
      <c r="U2116" s="1" t="n">
        <f aca="false">N(U2115)+$T2116</f>
        <v>28</v>
      </c>
      <c r="V2116" s="1" t="n">
        <f aca="false">IF(AND($L2116=1,AND(对接源_02物料!$X916="自备筐",N(对接源_02物料!$V916)&lt;&gt;0)),1,0)</f>
        <v>0</v>
      </c>
      <c r="W2116" s="1" t="n">
        <f aca="false">N(W2115)+$V2116</f>
        <v>7</v>
      </c>
      <c r="X2116" s="1" t="n">
        <f aca="false">IF(AND($L2116=1,AND(对接源_02物料!$X916="自备筐",N(对接源_02物料!$T916)&lt;&gt;0)),1,0)</f>
        <v>0</v>
      </c>
      <c r="Y2116" s="1" t="n">
        <f aca="false">N(Y2115)+$X2116</f>
        <v>0</v>
      </c>
      <c r="Z2116" s="1" t="n">
        <f aca="false">IF(AND($M2116=1,对接源_02物料!$D916="原料入库"),1,0)</f>
        <v>0</v>
      </c>
      <c r="AA2116" s="1" t="n">
        <f aca="false">N(AA2115)+$Z2116</f>
        <v>30</v>
      </c>
      <c r="AB2116" s="1" t="n">
        <f aca="false">IF(AND($M2116=1,LEFT(对接源_02物料!$D916,4)="原料出库"),1,0)</f>
        <v>0</v>
      </c>
      <c r="AC2116" s="1" t="n">
        <f aca="false">N(AC2115)+$AB2116</f>
        <v>19</v>
      </c>
      <c r="AD2116" s="1" t="n">
        <f aca="false">IF(AND($M2116=1,LEFT(对接源_02物料!$D916,4)="成品出库"),1,0)</f>
        <v>0</v>
      </c>
      <c r="AE2116" s="1" t="n">
        <f aca="false">N(AE2115)+$AD2116</f>
        <v>38</v>
      </c>
      <c r="AF2116" s="1" t="n">
        <f aca="false">IF(AND($N2116=1,AND(LEFT(对接源_02物料!$D916,4)="包装物料",N(对接源_02物料!$K916)&lt;&gt;0)),1,0)</f>
        <v>0</v>
      </c>
      <c r="AG2116" s="1" t="n">
        <f aca="false">N(AG2115)+$AF2116</f>
        <v>6</v>
      </c>
      <c r="AH2116" s="1" t="n">
        <f aca="false">IF(AND($N2116=1,AND(LEFT(对接源_02物料!$D916,3)="周转筐",N(对接源_02物料!$K916)&lt;&gt;0)),1,0)</f>
        <v>0</v>
      </c>
      <c r="AI2116" s="1" t="n">
        <f aca="false">N(AI2115)+$AH2116</f>
        <v>0</v>
      </c>
      <c r="AJ2116" s="1" t="n">
        <v>0</v>
      </c>
      <c r="AK2116" s="1" t="n">
        <f aca="false">N(AK2115)+$AJ2116</f>
        <v>3672</v>
      </c>
    </row>
    <row r="2117" customFormat="false" ht="13.5" hidden="false" customHeight="false" outlineLevel="0" collapsed="false">
      <c r="A2117" s="1" t="str">
        <f aca="false">IF(对接源_02物料!$C917="","",对接源_02物料!$C917)</f>
        <v/>
      </c>
      <c r="B2117" s="1" t="n">
        <f aca="false">IF(A2117="",0,IF(MATCH(A2117,$A$4:$A$2403,0)=ROW()-3,1,0))</f>
        <v>0</v>
      </c>
      <c r="C2117" s="1" t="n">
        <f aca="false">N(C2116)+B2117</f>
        <v>17</v>
      </c>
      <c r="K2117" s="1" t="n">
        <f aca="false">IF(OR($K$1="",对接源_02物料!$C917="",对接源_02物料!$C917&lt;&gt;$K$1,对接源_02物料!$B917=""),0,IF(OR(N(对接源_02物料!$B917)&lt;$K$2,N(对接源_02物料!$B917)&gt;$K$3),0,1))</f>
        <v>0</v>
      </c>
      <c r="L2117" s="1" t="n">
        <f aca="false">IF(OR($L$1="",对接源_02物料!$C917="",对接源_02物料!$C917&lt;&gt;$L$1,对接源_02物料!$B917=""),0,IF(OR(N(对接源_02物料!$B917)&lt;$L$2,N(对接源_02物料!$B917)&gt;$L$3),0,1))</f>
        <v>0</v>
      </c>
      <c r="M2117" s="1" t="n">
        <f aca="false">IF(OR($M$1="",对接源_02物料!$C917="",对接源_02物料!$C917&lt;&gt;$M$1,对接源_02物料!$B917=""),0,IF(OR(N(对接源_02物料!$B917)&lt;$M$2,N(对接源_02物料!$B917)&gt;$M$3),0,1))</f>
        <v>0</v>
      </c>
      <c r="N2117" s="1" t="n">
        <f aca="false">IF(OR($N$1="",对接源_02物料!$C917="",对接源_02物料!$C917&lt;&gt;$N$1,对接源_02物料!$B917=""),0,IF(OR(N(对接源_02物料!$B917)&lt;$N$2,N(对接源_02物料!$B917)&gt;$N$3),0,1))</f>
        <v>0</v>
      </c>
      <c r="P2117" s="1" t="n">
        <f aca="false">IF(AND($K2117=1,AND(对接源_02物料!$X917="公司筐",N(对接源_02物料!$T917)&lt;&gt;0)),1,0)</f>
        <v>0</v>
      </c>
      <c r="Q2117" s="1" t="n">
        <f aca="false">N(Q2116)+$P2117</f>
        <v>13</v>
      </c>
      <c r="R2117" s="1" t="n">
        <f aca="false">IF(AND($K2117=1,AND(对接源_02物料!$X917="公司筐",N(对接源_02物料!$U917)&lt;&gt;0)),1,0)</f>
        <v>0</v>
      </c>
      <c r="S2117" s="1" t="n">
        <f aca="false">N(S2116)+$R2117</f>
        <v>5</v>
      </c>
      <c r="T2117" s="1" t="n">
        <f aca="false">IF(AND($K2117=1,AND(对接源_02物料!$X917="公司筐",N(对接源_02物料!$V917)&lt;&gt;0)),1,0)</f>
        <v>0</v>
      </c>
      <c r="U2117" s="1" t="n">
        <f aca="false">N(U2116)+$T2117</f>
        <v>28</v>
      </c>
      <c r="V2117" s="1" t="n">
        <f aca="false">IF(AND($L2117=1,AND(对接源_02物料!$X917="自备筐",N(对接源_02物料!$V917)&lt;&gt;0)),1,0)</f>
        <v>0</v>
      </c>
      <c r="W2117" s="1" t="n">
        <f aca="false">N(W2116)+$V2117</f>
        <v>7</v>
      </c>
      <c r="X2117" s="1" t="n">
        <f aca="false">IF(AND($L2117=1,AND(对接源_02物料!$X917="自备筐",N(对接源_02物料!$T917)&lt;&gt;0)),1,0)</f>
        <v>0</v>
      </c>
      <c r="Y2117" s="1" t="n">
        <f aca="false">N(Y2116)+$X2117</f>
        <v>0</v>
      </c>
      <c r="Z2117" s="1" t="n">
        <f aca="false">IF(AND($M2117=1,对接源_02物料!$D917="原料入库"),1,0)</f>
        <v>0</v>
      </c>
      <c r="AA2117" s="1" t="n">
        <f aca="false">N(AA2116)+$Z2117</f>
        <v>30</v>
      </c>
      <c r="AB2117" s="1" t="n">
        <f aca="false">IF(AND($M2117=1,LEFT(对接源_02物料!$D917,4)="原料出库"),1,0)</f>
        <v>0</v>
      </c>
      <c r="AC2117" s="1" t="n">
        <f aca="false">N(AC2116)+$AB2117</f>
        <v>19</v>
      </c>
      <c r="AD2117" s="1" t="n">
        <f aca="false">IF(AND($M2117=1,LEFT(对接源_02物料!$D917,4)="成品出库"),1,0)</f>
        <v>0</v>
      </c>
      <c r="AE2117" s="1" t="n">
        <f aca="false">N(AE2116)+$AD2117</f>
        <v>38</v>
      </c>
      <c r="AF2117" s="1" t="n">
        <f aca="false">IF(AND($N2117=1,AND(LEFT(对接源_02物料!$D917,4)="包装物料",N(对接源_02物料!$K917)&lt;&gt;0)),1,0)</f>
        <v>0</v>
      </c>
      <c r="AG2117" s="1" t="n">
        <f aca="false">N(AG2116)+$AF2117</f>
        <v>6</v>
      </c>
      <c r="AH2117" s="1" t="n">
        <f aca="false">IF(AND($N2117=1,AND(LEFT(对接源_02物料!$D917,3)="周转筐",N(对接源_02物料!$K917)&lt;&gt;0)),1,0)</f>
        <v>0</v>
      </c>
      <c r="AI2117" s="1" t="n">
        <f aca="false">N(AI2116)+$AH2117</f>
        <v>0</v>
      </c>
      <c r="AJ2117" s="1" t="n">
        <v>0</v>
      </c>
      <c r="AK2117" s="1" t="n">
        <f aca="false">N(AK2116)+$AJ2117</f>
        <v>3672</v>
      </c>
    </row>
    <row r="2118" customFormat="false" ht="13.5" hidden="false" customHeight="false" outlineLevel="0" collapsed="false">
      <c r="A2118" s="1" t="str">
        <f aca="false">IF(对接源_02物料!$C918="","",对接源_02物料!$C918)</f>
        <v/>
      </c>
      <c r="B2118" s="1" t="n">
        <f aca="false">IF(A2118="",0,IF(MATCH(A2118,$A$4:$A$2403,0)=ROW()-3,1,0))</f>
        <v>0</v>
      </c>
      <c r="C2118" s="1" t="n">
        <f aca="false">N(C2117)+B2118</f>
        <v>17</v>
      </c>
      <c r="K2118" s="1" t="n">
        <f aca="false">IF(OR($K$1="",对接源_02物料!$C918="",对接源_02物料!$C918&lt;&gt;$K$1,对接源_02物料!$B918=""),0,IF(OR(N(对接源_02物料!$B918)&lt;$K$2,N(对接源_02物料!$B918)&gt;$K$3),0,1))</f>
        <v>0</v>
      </c>
      <c r="L2118" s="1" t="n">
        <f aca="false">IF(OR($L$1="",对接源_02物料!$C918="",对接源_02物料!$C918&lt;&gt;$L$1,对接源_02物料!$B918=""),0,IF(OR(N(对接源_02物料!$B918)&lt;$L$2,N(对接源_02物料!$B918)&gt;$L$3),0,1))</f>
        <v>0</v>
      </c>
      <c r="M2118" s="1" t="n">
        <f aca="false">IF(OR($M$1="",对接源_02物料!$C918="",对接源_02物料!$C918&lt;&gt;$M$1,对接源_02物料!$B918=""),0,IF(OR(N(对接源_02物料!$B918)&lt;$M$2,N(对接源_02物料!$B918)&gt;$M$3),0,1))</f>
        <v>0</v>
      </c>
      <c r="N2118" s="1" t="n">
        <f aca="false">IF(OR($N$1="",对接源_02物料!$C918="",对接源_02物料!$C918&lt;&gt;$N$1,对接源_02物料!$B918=""),0,IF(OR(N(对接源_02物料!$B918)&lt;$N$2,N(对接源_02物料!$B918)&gt;$N$3),0,1))</f>
        <v>0</v>
      </c>
      <c r="P2118" s="1" t="n">
        <f aca="false">IF(AND($K2118=1,AND(对接源_02物料!$X918="公司筐",N(对接源_02物料!$T918)&lt;&gt;0)),1,0)</f>
        <v>0</v>
      </c>
      <c r="Q2118" s="1" t="n">
        <f aca="false">N(Q2117)+$P2118</f>
        <v>13</v>
      </c>
      <c r="R2118" s="1" t="n">
        <f aca="false">IF(AND($K2118=1,AND(对接源_02物料!$X918="公司筐",N(对接源_02物料!$U918)&lt;&gt;0)),1,0)</f>
        <v>0</v>
      </c>
      <c r="S2118" s="1" t="n">
        <f aca="false">N(S2117)+$R2118</f>
        <v>5</v>
      </c>
      <c r="T2118" s="1" t="n">
        <f aca="false">IF(AND($K2118=1,AND(对接源_02物料!$X918="公司筐",N(对接源_02物料!$V918)&lt;&gt;0)),1,0)</f>
        <v>0</v>
      </c>
      <c r="U2118" s="1" t="n">
        <f aca="false">N(U2117)+$T2118</f>
        <v>28</v>
      </c>
      <c r="V2118" s="1" t="n">
        <f aca="false">IF(AND($L2118=1,AND(对接源_02物料!$X918="自备筐",N(对接源_02物料!$V918)&lt;&gt;0)),1,0)</f>
        <v>0</v>
      </c>
      <c r="W2118" s="1" t="n">
        <f aca="false">N(W2117)+$V2118</f>
        <v>7</v>
      </c>
      <c r="X2118" s="1" t="n">
        <f aca="false">IF(AND($L2118=1,AND(对接源_02物料!$X918="自备筐",N(对接源_02物料!$T918)&lt;&gt;0)),1,0)</f>
        <v>0</v>
      </c>
      <c r="Y2118" s="1" t="n">
        <f aca="false">N(Y2117)+$X2118</f>
        <v>0</v>
      </c>
      <c r="Z2118" s="1" t="n">
        <f aca="false">IF(AND($M2118=1,对接源_02物料!$D918="原料入库"),1,0)</f>
        <v>0</v>
      </c>
      <c r="AA2118" s="1" t="n">
        <f aca="false">N(AA2117)+$Z2118</f>
        <v>30</v>
      </c>
      <c r="AB2118" s="1" t="n">
        <f aca="false">IF(AND($M2118=1,LEFT(对接源_02物料!$D918,4)="原料出库"),1,0)</f>
        <v>0</v>
      </c>
      <c r="AC2118" s="1" t="n">
        <f aca="false">N(AC2117)+$AB2118</f>
        <v>19</v>
      </c>
      <c r="AD2118" s="1" t="n">
        <f aca="false">IF(AND($M2118=1,LEFT(对接源_02物料!$D918,4)="成品出库"),1,0)</f>
        <v>0</v>
      </c>
      <c r="AE2118" s="1" t="n">
        <f aca="false">N(AE2117)+$AD2118</f>
        <v>38</v>
      </c>
      <c r="AF2118" s="1" t="n">
        <f aca="false">IF(AND($N2118=1,AND(LEFT(对接源_02物料!$D918,4)="包装物料",N(对接源_02物料!$K918)&lt;&gt;0)),1,0)</f>
        <v>0</v>
      </c>
      <c r="AG2118" s="1" t="n">
        <f aca="false">N(AG2117)+$AF2118</f>
        <v>6</v>
      </c>
      <c r="AH2118" s="1" t="n">
        <f aca="false">IF(AND($N2118=1,AND(LEFT(对接源_02物料!$D918,3)="周转筐",N(对接源_02物料!$K918)&lt;&gt;0)),1,0)</f>
        <v>0</v>
      </c>
      <c r="AI2118" s="1" t="n">
        <f aca="false">N(AI2117)+$AH2118</f>
        <v>0</v>
      </c>
      <c r="AJ2118" s="1" t="n">
        <v>0</v>
      </c>
      <c r="AK2118" s="1" t="n">
        <f aca="false">N(AK2117)+$AJ2118</f>
        <v>3672</v>
      </c>
    </row>
    <row r="2119" customFormat="false" ht="13.5" hidden="false" customHeight="false" outlineLevel="0" collapsed="false">
      <c r="A2119" s="1" t="str">
        <f aca="false">IF(对接源_02物料!$C919="","",对接源_02物料!$C919)</f>
        <v/>
      </c>
      <c r="B2119" s="1" t="n">
        <f aca="false">IF(A2119="",0,IF(MATCH(A2119,$A$4:$A$2403,0)=ROW()-3,1,0))</f>
        <v>0</v>
      </c>
      <c r="C2119" s="1" t="n">
        <f aca="false">N(C2118)+B2119</f>
        <v>17</v>
      </c>
      <c r="K2119" s="1" t="n">
        <f aca="false">IF(OR($K$1="",对接源_02物料!$C919="",对接源_02物料!$C919&lt;&gt;$K$1,对接源_02物料!$B919=""),0,IF(OR(N(对接源_02物料!$B919)&lt;$K$2,N(对接源_02物料!$B919)&gt;$K$3),0,1))</f>
        <v>0</v>
      </c>
      <c r="L2119" s="1" t="n">
        <f aca="false">IF(OR($L$1="",对接源_02物料!$C919="",对接源_02物料!$C919&lt;&gt;$L$1,对接源_02物料!$B919=""),0,IF(OR(N(对接源_02物料!$B919)&lt;$L$2,N(对接源_02物料!$B919)&gt;$L$3),0,1))</f>
        <v>0</v>
      </c>
      <c r="M2119" s="1" t="n">
        <f aca="false">IF(OR($M$1="",对接源_02物料!$C919="",对接源_02物料!$C919&lt;&gt;$M$1,对接源_02物料!$B919=""),0,IF(OR(N(对接源_02物料!$B919)&lt;$M$2,N(对接源_02物料!$B919)&gt;$M$3),0,1))</f>
        <v>0</v>
      </c>
      <c r="N2119" s="1" t="n">
        <f aca="false">IF(OR($N$1="",对接源_02物料!$C919="",对接源_02物料!$C919&lt;&gt;$N$1,对接源_02物料!$B919=""),0,IF(OR(N(对接源_02物料!$B919)&lt;$N$2,N(对接源_02物料!$B919)&gt;$N$3),0,1))</f>
        <v>0</v>
      </c>
      <c r="P2119" s="1" t="n">
        <f aca="false">IF(AND($K2119=1,AND(对接源_02物料!$X919="公司筐",N(对接源_02物料!$T919)&lt;&gt;0)),1,0)</f>
        <v>0</v>
      </c>
      <c r="Q2119" s="1" t="n">
        <f aca="false">N(Q2118)+$P2119</f>
        <v>13</v>
      </c>
      <c r="R2119" s="1" t="n">
        <f aca="false">IF(AND($K2119=1,AND(对接源_02物料!$X919="公司筐",N(对接源_02物料!$U919)&lt;&gt;0)),1,0)</f>
        <v>0</v>
      </c>
      <c r="S2119" s="1" t="n">
        <f aca="false">N(S2118)+$R2119</f>
        <v>5</v>
      </c>
      <c r="T2119" s="1" t="n">
        <f aca="false">IF(AND($K2119=1,AND(对接源_02物料!$X919="公司筐",N(对接源_02物料!$V919)&lt;&gt;0)),1,0)</f>
        <v>0</v>
      </c>
      <c r="U2119" s="1" t="n">
        <f aca="false">N(U2118)+$T2119</f>
        <v>28</v>
      </c>
      <c r="V2119" s="1" t="n">
        <f aca="false">IF(AND($L2119=1,AND(对接源_02物料!$X919="自备筐",N(对接源_02物料!$V919)&lt;&gt;0)),1,0)</f>
        <v>0</v>
      </c>
      <c r="W2119" s="1" t="n">
        <f aca="false">N(W2118)+$V2119</f>
        <v>7</v>
      </c>
      <c r="X2119" s="1" t="n">
        <f aca="false">IF(AND($L2119=1,AND(对接源_02物料!$X919="自备筐",N(对接源_02物料!$T919)&lt;&gt;0)),1,0)</f>
        <v>0</v>
      </c>
      <c r="Y2119" s="1" t="n">
        <f aca="false">N(Y2118)+$X2119</f>
        <v>0</v>
      </c>
      <c r="Z2119" s="1" t="n">
        <f aca="false">IF(AND($M2119=1,对接源_02物料!$D919="原料入库"),1,0)</f>
        <v>0</v>
      </c>
      <c r="AA2119" s="1" t="n">
        <f aca="false">N(AA2118)+$Z2119</f>
        <v>30</v>
      </c>
      <c r="AB2119" s="1" t="n">
        <f aca="false">IF(AND($M2119=1,LEFT(对接源_02物料!$D919,4)="原料出库"),1,0)</f>
        <v>0</v>
      </c>
      <c r="AC2119" s="1" t="n">
        <f aca="false">N(AC2118)+$AB2119</f>
        <v>19</v>
      </c>
      <c r="AD2119" s="1" t="n">
        <f aca="false">IF(AND($M2119=1,LEFT(对接源_02物料!$D919,4)="成品出库"),1,0)</f>
        <v>0</v>
      </c>
      <c r="AE2119" s="1" t="n">
        <f aca="false">N(AE2118)+$AD2119</f>
        <v>38</v>
      </c>
      <c r="AF2119" s="1" t="n">
        <f aca="false">IF(AND($N2119=1,AND(LEFT(对接源_02物料!$D919,4)="包装物料",N(对接源_02物料!$K919)&lt;&gt;0)),1,0)</f>
        <v>0</v>
      </c>
      <c r="AG2119" s="1" t="n">
        <f aca="false">N(AG2118)+$AF2119</f>
        <v>6</v>
      </c>
      <c r="AH2119" s="1" t="n">
        <f aca="false">IF(AND($N2119=1,AND(LEFT(对接源_02物料!$D919,3)="周转筐",N(对接源_02物料!$K919)&lt;&gt;0)),1,0)</f>
        <v>0</v>
      </c>
      <c r="AI2119" s="1" t="n">
        <f aca="false">N(AI2118)+$AH2119</f>
        <v>0</v>
      </c>
      <c r="AJ2119" s="1" t="n">
        <v>0</v>
      </c>
      <c r="AK2119" s="1" t="n">
        <f aca="false">N(AK2118)+$AJ2119</f>
        <v>3672</v>
      </c>
    </row>
    <row r="2120" customFormat="false" ht="13.5" hidden="false" customHeight="false" outlineLevel="0" collapsed="false">
      <c r="A2120" s="1" t="str">
        <f aca="false">IF(对接源_02物料!$C920="","",对接源_02物料!$C920)</f>
        <v/>
      </c>
      <c r="B2120" s="1" t="n">
        <f aca="false">IF(A2120="",0,IF(MATCH(A2120,$A$4:$A$2403,0)=ROW()-3,1,0))</f>
        <v>0</v>
      </c>
      <c r="C2120" s="1" t="n">
        <f aca="false">N(C2119)+B2120</f>
        <v>17</v>
      </c>
      <c r="K2120" s="1" t="n">
        <f aca="false">IF(OR($K$1="",对接源_02物料!$C920="",对接源_02物料!$C920&lt;&gt;$K$1,对接源_02物料!$B920=""),0,IF(OR(N(对接源_02物料!$B920)&lt;$K$2,N(对接源_02物料!$B920)&gt;$K$3),0,1))</f>
        <v>0</v>
      </c>
      <c r="L2120" s="1" t="n">
        <f aca="false">IF(OR($L$1="",对接源_02物料!$C920="",对接源_02物料!$C920&lt;&gt;$L$1,对接源_02物料!$B920=""),0,IF(OR(N(对接源_02物料!$B920)&lt;$L$2,N(对接源_02物料!$B920)&gt;$L$3),0,1))</f>
        <v>0</v>
      </c>
      <c r="M2120" s="1" t="n">
        <f aca="false">IF(OR($M$1="",对接源_02物料!$C920="",对接源_02物料!$C920&lt;&gt;$M$1,对接源_02物料!$B920=""),0,IF(OR(N(对接源_02物料!$B920)&lt;$M$2,N(对接源_02物料!$B920)&gt;$M$3),0,1))</f>
        <v>0</v>
      </c>
      <c r="N2120" s="1" t="n">
        <f aca="false">IF(OR($N$1="",对接源_02物料!$C920="",对接源_02物料!$C920&lt;&gt;$N$1,对接源_02物料!$B920=""),0,IF(OR(N(对接源_02物料!$B920)&lt;$N$2,N(对接源_02物料!$B920)&gt;$N$3),0,1))</f>
        <v>0</v>
      </c>
      <c r="P2120" s="1" t="n">
        <f aca="false">IF(AND($K2120=1,AND(对接源_02物料!$X920="公司筐",N(对接源_02物料!$T920)&lt;&gt;0)),1,0)</f>
        <v>0</v>
      </c>
      <c r="Q2120" s="1" t="n">
        <f aca="false">N(Q2119)+$P2120</f>
        <v>13</v>
      </c>
      <c r="R2120" s="1" t="n">
        <f aca="false">IF(AND($K2120=1,AND(对接源_02物料!$X920="公司筐",N(对接源_02物料!$U920)&lt;&gt;0)),1,0)</f>
        <v>0</v>
      </c>
      <c r="S2120" s="1" t="n">
        <f aca="false">N(S2119)+$R2120</f>
        <v>5</v>
      </c>
      <c r="T2120" s="1" t="n">
        <f aca="false">IF(AND($K2120=1,AND(对接源_02物料!$X920="公司筐",N(对接源_02物料!$V920)&lt;&gt;0)),1,0)</f>
        <v>0</v>
      </c>
      <c r="U2120" s="1" t="n">
        <f aca="false">N(U2119)+$T2120</f>
        <v>28</v>
      </c>
      <c r="V2120" s="1" t="n">
        <f aca="false">IF(AND($L2120=1,AND(对接源_02物料!$X920="自备筐",N(对接源_02物料!$V920)&lt;&gt;0)),1,0)</f>
        <v>0</v>
      </c>
      <c r="W2120" s="1" t="n">
        <f aca="false">N(W2119)+$V2120</f>
        <v>7</v>
      </c>
      <c r="X2120" s="1" t="n">
        <f aca="false">IF(AND($L2120=1,AND(对接源_02物料!$X920="自备筐",N(对接源_02物料!$T920)&lt;&gt;0)),1,0)</f>
        <v>0</v>
      </c>
      <c r="Y2120" s="1" t="n">
        <f aca="false">N(Y2119)+$X2120</f>
        <v>0</v>
      </c>
      <c r="Z2120" s="1" t="n">
        <f aca="false">IF(AND($M2120=1,对接源_02物料!$D920="原料入库"),1,0)</f>
        <v>0</v>
      </c>
      <c r="AA2120" s="1" t="n">
        <f aca="false">N(AA2119)+$Z2120</f>
        <v>30</v>
      </c>
      <c r="AB2120" s="1" t="n">
        <f aca="false">IF(AND($M2120=1,LEFT(对接源_02物料!$D920,4)="原料出库"),1,0)</f>
        <v>0</v>
      </c>
      <c r="AC2120" s="1" t="n">
        <f aca="false">N(AC2119)+$AB2120</f>
        <v>19</v>
      </c>
      <c r="AD2120" s="1" t="n">
        <f aca="false">IF(AND($M2120=1,LEFT(对接源_02物料!$D920,4)="成品出库"),1,0)</f>
        <v>0</v>
      </c>
      <c r="AE2120" s="1" t="n">
        <f aca="false">N(AE2119)+$AD2120</f>
        <v>38</v>
      </c>
      <c r="AF2120" s="1" t="n">
        <f aca="false">IF(AND($N2120=1,AND(LEFT(对接源_02物料!$D920,4)="包装物料",N(对接源_02物料!$K920)&lt;&gt;0)),1,0)</f>
        <v>0</v>
      </c>
      <c r="AG2120" s="1" t="n">
        <f aca="false">N(AG2119)+$AF2120</f>
        <v>6</v>
      </c>
      <c r="AH2120" s="1" t="n">
        <f aca="false">IF(AND($N2120=1,AND(LEFT(对接源_02物料!$D920,3)="周转筐",N(对接源_02物料!$K920)&lt;&gt;0)),1,0)</f>
        <v>0</v>
      </c>
      <c r="AI2120" s="1" t="n">
        <f aca="false">N(AI2119)+$AH2120</f>
        <v>0</v>
      </c>
      <c r="AJ2120" s="1" t="n">
        <v>0</v>
      </c>
      <c r="AK2120" s="1" t="n">
        <f aca="false">N(AK2119)+$AJ2120</f>
        <v>3672</v>
      </c>
    </row>
    <row r="2121" customFormat="false" ht="13.5" hidden="false" customHeight="false" outlineLevel="0" collapsed="false">
      <c r="A2121" s="1" t="str">
        <f aca="false">IF(对接源_02物料!$C921="","",对接源_02物料!$C921)</f>
        <v/>
      </c>
      <c r="B2121" s="1" t="n">
        <f aca="false">IF(A2121="",0,IF(MATCH(A2121,$A$4:$A$2403,0)=ROW()-3,1,0))</f>
        <v>0</v>
      </c>
      <c r="C2121" s="1" t="n">
        <f aca="false">N(C2120)+B2121</f>
        <v>17</v>
      </c>
      <c r="K2121" s="1" t="n">
        <f aca="false">IF(OR($K$1="",对接源_02物料!$C921="",对接源_02物料!$C921&lt;&gt;$K$1,对接源_02物料!$B921=""),0,IF(OR(N(对接源_02物料!$B921)&lt;$K$2,N(对接源_02物料!$B921)&gt;$K$3),0,1))</f>
        <v>0</v>
      </c>
      <c r="L2121" s="1" t="n">
        <f aca="false">IF(OR($L$1="",对接源_02物料!$C921="",对接源_02物料!$C921&lt;&gt;$L$1,对接源_02物料!$B921=""),0,IF(OR(N(对接源_02物料!$B921)&lt;$L$2,N(对接源_02物料!$B921)&gt;$L$3),0,1))</f>
        <v>0</v>
      </c>
      <c r="M2121" s="1" t="n">
        <f aca="false">IF(OR($M$1="",对接源_02物料!$C921="",对接源_02物料!$C921&lt;&gt;$M$1,对接源_02物料!$B921=""),0,IF(OR(N(对接源_02物料!$B921)&lt;$M$2,N(对接源_02物料!$B921)&gt;$M$3),0,1))</f>
        <v>0</v>
      </c>
      <c r="N2121" s="1" t="n">
        <f aca="false">IF(OR($N$1="",对接源_02物料!$C921="",对接源_02物料!$C921&lt;&gt;$N$1,对接源_02物料!$B921=""),0,IF(OR(N(对接源_02物料!$B921)&lt;$N$2,N(对接源_02物料!$B921)&gt;$N$3),0,1))</f>
        <v>0</v>
      </c>
      <c r="P2121" s="1" t="n">
        <f aca="false">IF(AND($K2121=1,AND(对接源_02物料!$X921="公司筐",N(对接源_02物料!$T921)&lt;&gt;0)),1,0)</f>
        <v>0</v>
      </c>
      <c r="Q2121" s="1" t="n">
        <f aca="false">N(Q2120)+$P2121</f>
        <v>13</v>
      </c>
      <c r="R2121" s="1" t="n">
        <f aca="false">IF(AND($K2121=1,AND(对接源_02物料!$X921="公司筐",N(对接源_02物料!$U921)&lt;&gt;0)),1,0)</f>
        <v>0</v>
      </c>
      <c r="S2121" s="1" t="n">
        <f aca="false">N(S2120)+$R2121</f>
        <v>5</v>
      </c>
      <c r="T2121" s="1" t="n">
        <f aca="false">IF(AND($K2121=1,AND(对接源_02物料!$X921="公司筐",N(对接源_02物料!$V921)&lt;&gt;0)),1,0)</f>
        <v>0</v>
      </c>
      <c r="U2121" s="1" t="n">
        <f aca="false">N(U2120)+$T2121</f>
        <v>28</v>
      </c>
      <c r="V2121" s="1" t="n">
        <f aca="false">IF(AND($L2121=1,AND(对接源_02物料!$X921="自备筐",N(对接源_02物料!$V921)&lt;&gt;0)),1,0)</f>
        <v>0</v>
      </c>
      <c r="W2121" s="1" t="n">
        <f aca="false">N(W2120)+$V2121</f>
        <v>7</v>
      </c>
      <c r="X2121" s="1" t="n">
        <f aca="false">IF(AND($L2121=1,AND(对接源_02物料!$X921="自备筐",N(对接源_02物料!$T921)&lt;&gt;0)),1,0)</f>
        <v>0</v>
      </c>
      <c r="Y2121" s="1" t="n">
        <f aca="false">N(Y2120)+$X2121</f>
        <v>0</v>
      </c>
      <c r="Z2121" s="1" t="n">
        <f aca="false">IF(AND($M2121=1,对接源_02物料!$D921="原料入库"),1,0)</f>
        <v>0</v>
      </c>
      <c r="AA2121" s="1" t="n">
        <f aca="false">N(AA2120)+$Z2121</f>
        <v>30</v>
      </c>
      <c r="AB2121" s="1" t="n">
        <f aca="false">IF(AND($M2121=1,LEFT(对接源_02物料!$D921,4)="原料出库"),1,0)</f>
        <v>0</v>
      </c>
      <c r="AC2121" s="1" t="n">
        <f aca="false">N(AC2120)+$AB2121</f>
        <v>19</v>
      </c>
      <c r="AD2121" s="1" t="n">
        <f aca="false">IF(AND($M2121=1,LEFT(对接源_02物料!$D921,4)="成品出库"),1,0)</f>
        <v>0</v>
      </c>
      <c r="AE2121" s="1" t="n">
        <f aca="false">N(AE2120)+$AD2121</f>
        <v>38</v>
      </c>
      <c r="AF2121" s="1" t="n">
        <f aca="false">IF(AND($N2121=1,AND(LEFT(对接源_02物料!$D921,4)="包装物料",N(对接源_02物料!$K921)&lt;&gt;0)),1,0)</f>
        <v>0</v>
      </c>
      <c r="AG2121" s="1" t="n">
        <f aca="false">N(AG2120)+$AF2121</f>
        <v>6</v>
      </c>
      <c r="AH2121" s="1" t="n">
        <f aca="false">IF(AND($N2121=1,AND(LEFT(对接源_02物料!$D921,3)="周转筐",N(对接源_02物料!$K921)&lt;&gt;0)),1,0)</f>
        <v>0</v>
      </c>
      <c r="AI2121" s="1" t="n">
        <f aca="false">N(AI2120)+$AH2121</f>
        <v>0</v>
      </c>
      <c r="AJ2121" s="1" t="n">
        <v>0</v>
      </c>
      <c r="AK2121" s="1" t="n">
        <f aca="false">N(AK2120)+$AJ2121</f>
        <v>3672</v>
      </c>
    </row>
    <row r="2122" customFormat="false" ht="13.5" hidden="false" customHeight="false" outlineLevel="0" collapsed="false">
      <c r="A2122" s="1" t="str">
        <f aca="false">IF(对接源_02物料!$C922="","",对接源_02物料!$C922)</f>
        <v/>
      </c>
      <c r="B2122" s="1" t="n">
        <f aca="false">IF(A2122="",0,IF(MATCH(A2122,$A$4:$A$2403,0)=ROW()-3,1,0))</f>
        <v>0</v>
      </c>
      <c r="C2122" s="1" t="n">
        <f aca="false">N(C2121)+B2122</f>
        <v>17</v>
      </c>
      <c r="K2122" s="1" t="n">
        <f aca="false">IF(OR($K$1="",对接源_02物料!$C922="",对接源_02物料!$C922&lt;&gt;$K$1,对接源_02物料!$B922=""),0,IF(OR(N(对接源_02物料!$B922)&lt;$K$2,N(对接源_02物料!$B922)&gt;$K$3),0,1))</f>
        <v>0</v>
      </c>
      <c r="L2122" s="1" t="n">
        <f aca="false">IF(OR($L$1="",对接源_02物料!$C922="",对接源_02物料!$C922&lt;&gt;$L$1,对接源_02物料!$B922=""),0,IF(OR(N(对接源_02物料!$B922)&lt;$L$2,N(对接源_02物料!$B922)&gt;$L$3),0,1))</f>
        <v>0</v>
      </c>
      <c r="M2122" s="1" t="n">
        <f aca="false">IF(OR($M$1="",对接源_02物料!$C922="",对接源_02物料!$C922&lt;&gt;$M$1,对接源_02物料!$B922=""),0,IF(OR(N(对接源_02物料!$B922)&lt;$M$2,N(对接源_02物料!$B922)&gt;$M$3),0,1))</f>
        <v>0</v>
      </c>
      <c r="N2122" s="1" t="n">
        <f aca="false">IF(OR($N$1="",对接源_02物料!$C922="",对接源_02物料!$C922&lt;&gt;$N$1,对接源_02物料!$B922=""),0,IF(OR(N(对接源_02物料!$B922)&lt;$N$2,N(对接源_02物料!$B922)&gt;$N$3),0,1))</f>
        <v>0</v>
      </c>
      <c r="P2122" s="1" t="n">
        <f aca="false">IF(AND($K2122=1,AND(对接源_02物料!$X922="公司筐",N(对接源_02物料!$T922)&lt;&gt;0)),1,0)</f>
        <v>0</v>
      </c>
      <c r="Q2122" s="1" t="n">
        <f aca="false">N(Q2121)+$P2122</f>
        <v>13</v>
      </c>
      <c r="R2122" s="1" t="n">
        <f aca="false">IF(AND($K2122=1,AND(对接源_02物料!$X922="公司筐",N(对接源_02物料!$U922)&lt;&gt;0)),1,0)</f>
        <v>0</v>
      </c>
      <c r="S2122" s="1" t="n">
        <f aca="false">N(S2121)+$R2122</f>
        <v>5</v>
      </c>
      <c r="T2122" s="1" t="n">
        <f aca="false">IF(AND($K2122=1,AND(对接源_02物料!$X922="公司筐",N(对接源_02物料!$V922)&lt;&gt;0)),1,0)</f>
        <v>0</v>
      </c>
      <c r="U2122" s="1" t="n">
        <f aca="false">N(U2121)+$T2122</f>
        <v>28</v>
      </c>
      <c r="V2122" s="1" t="n">
        <f aca="false">IF(AND($L2122=1,AND(对接源_02物料!$X922="自备筐",N(对接源_02物料!$V922)&lt;&gt;0)),1,0)</f>
        <v>0</v>
      </c>
      <c r="W2122" s="1" t="n">
        <f aca="false">N(W2121)+$V2122</f>
        <v>7</v>
      </c>
      <c r="X2122" s="1" t="n">
        <f aca="false">IF(AND($L2122=1,AND(对接源_02物料!$X922="自备筐",N(对接源_02物料!$T922)&lt;&gt;0)),1,0)</f>
        <v>0</v>
      </c>
      <c r="Y2122" s="1" t="n">
        <f aca="false">N(Y2121)+$X2122</f>
        <v>0</v>
      </c>
      <c r="Z2122" s="1" t="n">
        <f aca="false">IF(AND($M2122=1,对接源_02物料!$D922="原料入库"),1,0)</f>
        <v>0</v>
      </c>
      <c r="AA2122" s="1" t="n">
        <f aca="false">N(AA2121)+$Z2122</f>
        <v>30</v>
      </c>
      <c r="AB2122" s="1" t="n">
        <f aca="false">IF(AND($M2122=1,LEFT(对接源_02物料!$D922,4)="原料出库"),1,0)</f>
        <v>0</v>
      </c>
      <c r="AC2122" s="1" t="n">
        <f aca="false">N(AC2121)+$AB2122</f>
        <v>19</v>
      </c>
      <c r="AD2122" s="1" t="n">
        <f aca="false">IF(AND($M2122=1,LEFT(对接源_02物料!$D922,4)="成品出库"),1,0)</f>
        <v>0</v>
      </c>
      <c r="AE2122" s="1" t="n">
        <f aca="false">N(AE2121)+$AD2122</f>
        <v>38</v>
      </c>
      <c r="AF2122" s="1" t="n">
        <f aca="false">IF(AND($N2122=1,AND(LEFT(对接源_02物料!$D922,4)="包装物料",N(对接源_02物料!$K922)&lt;&gt;0)),1,0)</f>
        <v>0</v>
      </c>
      <c r="AG2122" s="1" t="n">
        <f aca="false">N(AG2121)+$AF2122</f>
        <v>6</v>
      </c>
      <c r="AH2122" s="1" t="n">
        <f aca="false">IF(AND($N2122=1,AND(LEFT(对接源_02物料!$D922,3)="周转筐",N(对接源_02物料!$K922)&lt;&gt;0)),1,0)</f>
        <v>0</v>
      </c>
      <c r="AI2122" s="1" t="n">
        <f aca="false">N(AI2121)+$AH2122</f>
        <v>0</v>
      </c>
      <c r="AJ2122" s="1" t="n">
        <v>0</v>
      </c>
      <c r="AK2122" s="1" t="n">
        <f aca="false">N(AK2121)+$AJ2122</f>
        <v>3672</v>
      </c>
    </row>
    <row r="2123" customFormat="false" ht="13.5" hidden="false" customHeight="false" outlineLevel="0" collapsed="false">
      <c r="A2123" s="1" t="str">
        <f aca="false">IF(对接源_02物料!$C923="","",对接源_02物料!$C923)</f>
        <v/>
      </c>
      <c r="B2123" s="1" t="n">
        <f aca="false">IF(A2123="",0,IF(MATCH(A2123,$A$4:$A$2403,0)=ROW()-3,1,0))</f>
        <v>0</v>
      </c>
      <c r="C2123" s="1" t="n">
        <f aca="false">N(C2122)+B2123</f>
        <v>17</v>
      </c>
      <c r="K2123" s="1" t="n">
        <f aca="false">IF(OR($K$1="",对接源_02物料!$C923="",对接源_02物料!$C923&lt;&gt;$K$1,对接源_02物料!$B923=""),0,IF(OR(N(对接源_02物料!$B923)&lt;$K$2,N(对接源_02物料!$B923)&gt;$K$3),0,1))</f>
        <v>0</v>
      </c>
      <c r="L2123" s="1" t="n">
        <f aca="false">IF(OR($L$1="",对接源_02物料!$C923="",对接源_02物料!$C923&lt;&gt;$L$1,对接源_02物料!$B923=""),0,IF(OR(N(对接源_02物料!$B923)&lt;$L$2,N(对接源_02物料!$B923)&gt;$L$3),0,1))</f>
        <v>0</v>
      </c>
      <c r="M2123" s="1" t="n">
        <f aca="false">IF(OR($M$1="",对接源_02物料!$C923="",对接源_02物料!$C923&lt;&gt;$M$1,对接源_02物料!$B923=""),0,IF(OR(N(对接源_02物料!$B923)&lt;$M$2,N(对接源_02物料!$B923)&gt;$M$3),0,1))</f>
        <v>0</v>
      </c>
      <c r="N2123" s="1" t="n">
        <f aca="false">IF(OR($N$1="",对接源_02物料!$C923="",对接源_02物料!$C923&lt;&gt;$N$1,对接源_02物料!$B923=""),0,IF(OR(N(对接源_02物料!$B923)&lt;$N$2,N(对接源_02物料!$B923)&gt;$N$3),0,1))</f>
        <v>0</v>
      </c>
      <c r="P2123" s="1" t="n">
        <f aca="false">IF(AND($K2123=1,AND(对接源_02物料!$X923="公司筐",N(对接源_02物料!$T923)&lt;&gt;0)),1,0)</f>
        <v>0</v>
      </c>
      <c r="Q2123" s="1" t="n">
        <f aca="false">N(Q2122)+$P2123</f>
        <v>13</v>
      </c>
      <c r="R2123" s="1" t="n">
        <f aca="false">IF(AND($K2123=1,AND(对接源_02物料!$X923="公司筐",N(对接源_02物料!$U923)&lt;&gt;0)),1,0)</f>
        <v>0</v>
      </c>
      <c r="S2123" s="1" t="n">
        <f aca="false">N(S2122)+$R2123</f>
        <v>5</v>
      </c>
      <c r="T2123" s="1" t="n">
        <f aca="false">IF(AND($K2123=1,AND(对接源_02物料!$X923="公司筐",N(对接源_02物料!$V923)&lt;&gt;0)),1,0)</f>
        <v>0</v>
      </c>
      <c r="U2123" s="1" t="n">
        <f aca="false">N(U2122)+$T2123</f>
        <v>28</v>
      </c>
      <c r="V2123" s="1" t="n">
        <f aca="false">IF(AND($L2123=1,AND(对接源_02物料!$X923="自备筐",N(对接源_02物料!$V923)&lt;&gt;0)),1,0)</f>
        <v>0</v>
      </c>
      <c r="W2123" s="1" t="n">
        <f aca="false">N(W2122)+$V2123</f>
        <v>7</v>
      </c>
      <c r="X2123" s="1" t="n">
        <f aca="false">IF(AND($L2123=1,AND(对接源_02物料!$X923="自备筐",N(对接源_02物料!$T923)&lt;&gt;0)),1,0)</f>
        <v>0</v>
      </c>
      <c r="Y2123" s="1" t="n">
        <f aca="false">N(Y2122)+$X2123</f>
        <v>0</v>
      </c>
      <c r="Z2123" s="1" t="n">
        <f aca="false">IF(AND($M2123=1,对接源_02物料!$D923="原料入库"),1,0)</f>
        <v>0</v>
      </c>
      <c r="AA2123" s="1" t="n">
        <f aca="false">N(AA2122)+$Z2123</f>
        <v>30</v>
      </c>
      <c r="AB2123" s="1" t="n">
        <f aca="false">IF(AND($M2123=1,LEFT(对接源_02物料!$D923,4)="原料出库"),1,0)</f>
        <v>0</v>
      </c>
      <c r="AC2123" s="1" t="n">
        <f aca="false">N(AC2122)+$AB2123</f>
        <v>19</v>
      </c>
      <c r="AD2123" s="1" t="n">
        <f aca="false">IF(AND($M2123=1,LEFT(对接源_02物料!$D923,4)="成品出库"),1,0)</f>
        <v>0</v>
      </c>
      <c r="AE2123" s="1" t="n">
        <f aca="false">N(AE2122)+$AD2123</f>
        <v>38</v>
      </c>
      <c r="AF2123" s="1" t="n">
        <f aca="false">IF(AND($N2123=1,AND(LEFT(对接源_02物料!$D923,4)="包装物料",N(对接源_02物料!$K923)&lt;&gt;0)),1,0)</f>
        <v>0</v>
      </c>
      <c r="AG2123" s="1" t="n">
        <f aca="false">N(AG2122)+$AF2123</f>
        <v>6</v>
      </c>
      <c r="AH2123" s="1" t="n">
        <f aca="false">IF(AND($N2123=1,AND(LEFT(对接源_02物料!$D923,3)="周转筐",N(对接源_02物料!$K923)&lt;&gt;0)),1,0)</f>
        <v>0</v>
      </c>
      <c r="AI2123" s="1" t="n">
        <f aca="false">N(AI2122)+$AH2123</f>
        <v>0</v>
      </c>
      <c r="AJ2123" s="1" t="n">
        <v>0</v>
      </c>
      <c r="AK2123" s="1" t="n">
        <f aca="false">N(AK2122)+$AJ2123</f>
        <v>3672</v>
      </c>
    </row>
    <row r="2124" customFormat="false" ht="13.5" hidden="false" customHeight="false" outlineLevel="0" collapsed="false">
      <c r="A2124" s="1" t="str">
        <f aca="false">IF(对接源_02物料!$C924="","",对接源_02物料!$C924)</f>
        <v/>
      </c>
      <c r="B2124" s="1" t="n">
        <f aca="false">IF(A2124="",0,IF(MATCH(A2124,$A$4:$A$2403,0)=ROW()-3,1,0))</f>
        <v>0</v>
      </c>
      <c r="C2124" s="1" t="n">
        <f aca="false">N(C2123)+B2124</f>
        <v>17</v>
      </c>
      <c r="K2124" s="1" t="n">
        <f aca="false">IF(OR($K$1="",对接源_02物料!$C924="",对接源_02物料!$C924&lt;&gt;$K$1,对接源_02物料!$B924=""),0,IF(OR(N(对接源_02物料!$B924)&lt;$K$2,N(对接源_02物料!$B924)&gt;$K$3),0,1))</f>
        <v>0</v>
      </c>
      <c r="L2124" s="1" t="n">
        <f aca="false">IF(OR($L$1="",对接源_02物料!$C924="",对接源_02物料!$C924&lt;&gt;$L$1,对接源_02物料!$B924=""),0,IF(OR(N(对接源_02物料!$B924)&lt;$L$2,N(对接源_02物料!$B924)&gt;$L$3),0,1))</f>
        <v>0</v>
      </c>
      <c r="M2124" s="1" t="n">
        <f aca="false">IF(OR($M$1="",对接源_02物料!$C924="",对接源_02物料!$C924&lt;&gt;$M$1,对接源_02物料!$B924=""),0,IF(OR(N(对接源_02物料!$B924)&lt;$M$2,N(对接源_02物料!$B924)&gt;$M$3),0,1))</f>
        <v>0</v>
      </c>
      <c r="N2124" s="1" t="n">
        <f aca="false">IF(OR($N$1="",对接源_02物料!$C924="",对接源_02物料!$C924&lt;&gt;$N$1,对接源_02物料!$B924=""),0,IF(OR(N(对接源_02物料!$B924)&lt;$N$2,N(对接源_02物料!$B924)&gt;$N$3),0,1))</f>
        <v>0</v>
      </c>
      <c r="P2124" s="1" t="n">
        <f aca="false">IF(AND($K2124=1,AND(对接源_02物料!$X924="公司筐",N(对接源_02物料!$T924)&lt;&gt;0)),1,0)</f>
        <v>0</v>
      </c>
      <c r="Q2124" s="1" t="n">
        <f aca="false">N(Q2123)+$P2124</f>
        <v>13</v>
      </c>
      <c r="R2124" s="1" t="n">
        <f aca="false">IF(AND($K2124=1,AND(对接源_02物料!$X924="公司筐",N(对接源_02物料!$U924)&lt;&gt;0)),1,0)</f>
        <v>0</v>
      </c>
      <c r="S2124" s="1" t="n">
        <f aca="false">N(S2123)+$R2124</f>
        <v>5</v>
      </c>
      <c r="T2124" s="1" t="n">
        <f aca="false">IF(AND($K2124=1,AND(对接源_02物料!$X924="公司筐",N(对接源_02物料!$V924)&lt;&gt;0)),1,0)</f>
        <v>0</v>
      </c>
      <c r="U2124" s="1" t="n">
        <f aca="false">N(U2123)+$T2124</f>
        <v>28</v>
      </c>
      <c r="V2124" s="1" t="n">
        <f aca="false">IF(AND($L2124=1,AND(对接源_02物料!$X924="自备筐",N(对接源_02物料!$V924)&lt;&gt;0)),1,0)</f>
        <v>0</v>
      </c>
      <c r="W2124" s="1" t="n">
        <f aca="false">N(W2123)+$V2124</f>
        <v>7</v>
      </c>
      <c r="X2124" s="1" t="n">
        <f aca="false">IF(AND($L2124=1,AND(对接源_02物料!$X924="自备筐",N(对接源_02物料!$T924)&lt;&gt;0)),1,0)</f>
        <v>0</v>
      </c>
      <c r="Y2124" s="1" t="n">
        <f aca="false">N(Y2123)+$X2124</f>
        <v>0</v>
      </c>
      <c r="Z2124" s="1" t="n">
        <f aca="false">IF(AND($M2124=1,对接源_02物料!$D924="原料入库"),1,0)</f>
        <v>0</v>
      </c>
      <c r="AA2124" s="1" t="n">
        <f aca="false">N(AA2123)+$Z2124</f>
        <v>30</v>
      </c>
      <c r="AB2124" s="1" t="n">
        <f aca="false">IF(AND($M2124=1,LEFT(对接源_02物料!$D924,4)="原料出库"),1,0)</f>
        <v>0</v>
      </c>
      <c r="AC2124" s="1" t="n">
        <f aca="false">N(AC2123)+$AB2124</f>
        <v>19</v>
      </c>
      <c r="AD2124" s="1" t="n">
        <f aca="false">IF(AND($M2124=1,LEFT(对接源_02物料!$D924,4)="成品出库"),1,0)</f>
        <v>0</v>
      </c>
      <c r="AE2124" s="1" t="n">
        <f aca="false">N(AE2123)+$AD2124</f>
        <v>38</v>
      </c>
      <c r="AF2124" s="1" t="n">
        <f aca="false">IF(AND($N2124=1,AND(LEFT(对接源_02物料!$D924,4)="包装物料",N(对接源_02物料!$K924)&lt;&gt;0)),1,0)</f>
        <v>0</v>
      </c>
      <c r="AG2124" s="1" t="n">
        <f aca="false">N(AG2123)+$AF2124</f>
        <v>6</v>
      </c>
      <c r="AH2124" s="1" t="n">
        <f aca="false">IF(AND($N2124=1,AND(LEFT(对接源_02物料!$D924,3)="周转筐",N(对接源_02物料!$K924)&lt;&gt;0)),1,0)</f>
        <v>0</v>
      </c>
      <c r="AI2124" s="1" t="n">
        <f aca="false">N(AI2123)+$AH2124</f>
        <v>0</v>
      </c>
      <c r="AJ2124" s="1" t="n">
        <v>0</v>
      </c>
      <c r="AK2124" s="1" t="n">
        <f aca="false">N(AK2123)+$AJ2124</f>
        <v>3672</v>
      </c>
    </row>
    <row r="2125" customFormat="false" ht="13.5" hidden="false" customHeight="false" outlineLevel="0" collapsed="false">
      <c r="A2125" s="1" t="str">
        <f aca="false">IF(对接源_02物料!$C925="","",对接源_02物料!$C925)</f>
        <v/>
      </c>
      <c r="B2125" s="1" t="n">
        <f aca="false">IF(A2125="",0,IF(MATCH(A2125,$A$4:$A$2403,0)=ROW()-3,1,0))</f>
        <v>0</v>
      </c>
      <c r="C2125" s="1" t="n">
        <f aca="false">N(C2124)+B2125</f>
        <v>17</v>
      </c>
      <c r="K2125" s="1" t="n">
        <f aca="false">IF(OR($K$1="",对接源_02物料!$C925="",对接源_02物料!$C925&lt;&gt;$K$1,对接源_02物料!$B925=""),0,IF(OR(N(对接源_02物料!$B925)&lt;$K$2,N(对接源_02物料!$B925)&gt;$K$3),0,1))</f>
        <v>0</v>
      </c>
      <c r="L2125" s="1" t="n">
        <f aca="false">IF(OR($L$1="",对接源_02物料!$C925="",对接源_02物料!$C925&lt;&gt;$L$1,对接源_02物料!$B925=""),0,IF(OR(N(对接源_02物料!$B925)&lt;$L$2,N(对接源_02物料!$B925)&gt;$L$3),0,1))</f>
        <v>0</v>
      </c>
      <c r="M2125" s="1" t="n">
        <f aca="false">IF(OR($M$1="",对接源_02物料!$C925="",对接源_02物料!$C925&lt;&gt;$M$1,对接源_02物料!$B925=""),0,IF(OR(N(对接源_02物料!$B925)&lt;$M$2,N(对接源_02物料!$B925)&gt;$M$3),0,1))</f>
        <v>0</v>
      </c>
      <c r="N2125" s="1" t="n">
        <f aca="false">IF(OR($N$1="",对接源_02物料!$C925="",对接源_02物料!$C925&lt;&gt;$N$1,对接源_02物料!$B925=""),0,IF(OR(N(对接源_02物料!$B925)&lt;$N$2,N(对接源_02物料!$B925)&gt;$N$3),0,1))</f>
        <v>0</v>
      </c>
      <c r="P2125" s="1" t="n">
        <f aca="false">IF(AND($K2125=1,AND(对接源_02物料!$X925="公司筐",N(对接源_02物料!$T925)&lt;&gt;0)),1,0)</f>
        <v>0</v>
      </c>
      <c r="Q2125" s="1" t="n">
        <f aca="false">N(Q2124)+$P2125</f>
        <v>13</v>
      </c>
      <c r="R2125" s="1" t="n">
        <f aca="false">IF(AND($K2125=1,AND(对接源_02物料!$X925="公司筐",N(对接源_02物料!$U925)&lt;&gt;0)),1,0)</f>
        <v>0</v>
      </c>
      <c r="S2125" s="1" t="n">
        <f aca="false">N(S2124)+$R2125</f>
        <v>5</v>
      </c>
      <c r="T2125" s="1" t="n">
        <f aca="false">IF(AND($K2125=1,AND(对接源_02物料!$X925="公司筐",N(对接源_02物料!$V925)&lt;&gt;0)),1,0)</f>
        <v>0</v>
      </c>
      <c r="U2125" s="1" t="n">
        <f aca="false">N(U2124)+$T2125</f>
        <v>28</v>
      </c>
      <c r="V2125" s="1" t="n">
        <f aca="false">IF(AND($L2125=1,AND(对接源_02物料!$X925="自备筐",N(对接源_02物料!$V925)&lt;&gt;0)),1,0)</f>
        <v>0</v>
      </c>
      <c r="W2125" s="1" t="n">
        <f aca="false">N(W2124)+$V2125</f>
        <v>7</v>
      </c>
      <c r="X2125" s="1" t="n">
        <f aca="false">IF(AND($L2125=1,AND(对接源_02物料!$X925="自备筐",N(对接源_02物料!$T925)&lt;&gt;0)),1,0)</f>
        <v>0</v>
      </c>
      <c r="Y2125" s="1" t="n">
        <f aca="false">N(Y2124)+$X2125</f>
        <v>0</v>
      </c>
      <c r="Z2125" s="1" t="n">
        <f aca="false">IF(AND($M2125=1,对接源_02物料!$D925="原料入库"),1,0)</f>
        <v>0</v>
      </c>
      <c r="AA2125" s="1" t="n">
        <f aca="false">N(AA2124)+$Z2125</f>
        <v>30</v>
      </c>
      <c r="AB2125" s="1" t="n">
        <f aca="false">IF(AND($M2125=1,LEFT(对接源_02物料!$D925,4)="原料出库"),1,0)</f>
        <v>0</v>
      </c>
      <c r="AC2125" s="1" t="n">
        <f aca="false">N(AC2124)+$AB2125</f>
        <v>19</v>
      </c>
      <c r="AD2125" s="1" t="n">
        <f aca="false">IF(AND($M2125=1,LEFT(对接源_02物料!$D925,4)="成品出库"),1,0)</f>
        <v>0</v>
      </c>
      <c r="AE2125" s="1" t="n">
        <f aca="false">N(AE2124)+$AD2125</f>
        <v>38</v>
      </c>
      <c r="AF2125" s="1" t="n">
        <f aca="false">IF(AND($N2125=1,AND(LEFT(对接源_02物料!$D925,4)="包装物料",N(对接源_02物料!$K925)&lt;&gt;0)),1,0)</f>
        <v>0</v>
      </c>
      <c r="AG2125" s="1" t="n">
        <f aca="false">N(AG2124)+$AF2125</f>
        <v>6</v>
      </c>
      <c r="AH2125" s="1" t="n">
        <f aca="false">IF(AND($N2125=1,AND(LEFT(对接源_02物料!$D925,3)="周转筐",N(对接源_02物料!$K925)&lt;&gt;0)),1,0)</f>
        <v>0</v>
      </c>
      <c r="AI2125" s="1" t="n">
        <f aca="false">N(AI2124)+$AH2125</f>
        <v>0</v>
      </c>
      <c r="AJ2125" s="1" t="n">
        <v>0</v>
      </c>
      <c r="AK2125" s="1" t="n">
        <f aca="false">N(AK2124)+$AJ2125</f>
        <v>3672</v>
      </c>
    </row>
    <row r="2126" customFormat="false" ht="13.5" hidden="false" customHeight="false" outlineLevel="0" collapsed="false">
      <c r="A2126" s="1" t="str">
        <f aca="false">IF(对接源_02物料!$C926="","",对接源_02物料!$C926)</f>
        <v/>
      </c>
      <c r="B2126" s="1" t="n">
        <f aca="false">IF(A2126="",0,IF(MATCH(A2126,$A$4:$A$2403,0)=ROW()-3,1,0))</f>
        <v>0</v>
      </c>
      <c r="C2126" s="1" t="n">
        <f aca="false">N(C2125)+B2126</f>
        <v>17</v>
      </c>
      <c r="K2126" s="1" t="n">
        <f aca="false">IF(OR($K$1="",对接源_02物料!$C926="",对接源_02物料!$C926&lt;&gt;$K$1,对接源_02物料!$B926=""),0,IF(OR(N(对接源_02物料!$B926)&lt;$K$2,N(对接源_02物料!$B926)&gt;$K$3),0,1))</f>
        <v>0</v>
      </c>
      <c r="L2126" s="1" t="n">
        <f aca="false">IF(OR($L$1="",对接源_02物料!$C926="",对接源_02物料!$C926&lt;&gt;$L$1,对接源_02物料!$B926=""),0,IF(OR(N(对接源_02物料!$B926)&lt;$L$2,N(对接源_02物料!$B926)&gt;$L$3),0,1))</f>
        <v>0</v>
      </c>
      <c r="M2126" s="1" t="n">
        <f aca="false">IF(OR($M$1="",对接源_02物料!$C926="",对接源_02物料!$C926&lt;&gt;$M$1,对接源_02物料!$B926=""),0,IF(OR(N(对接源_02物料!$B926)&lt;$M$2,N(对接源_02物料!$B926)&gt;$M$3),0,1))</f>
        <v>0</v>
      </c>
      <c r="N2126" s="1" t="n">
        <f aca="false">IF(OR($N$1="",对接源_02物料!$C926="",对接源_02物料!$C926&lt;&gt;$N$1,对接源_02物料!$B926=""),0,IF(OR(N(对接源_02物料!$B926)&lt;$N$2,N(对接源_02物料!$B926)&gt;$N$3),0,1))</f>
        <v>0</v>
      </c>
      <c r="P2126" s="1" t="n">
        <f aca="false">IF(AND($K2126=1,AND(对接源_02物料!$X926="公司筐",N(对接源_02物料!$T926)&lt;&gt;0)),1,0)</f>
        <v>0</v>
      </c>
      <c r="Q2126" s="1" t="n">
        <f aca="false">N(Q2125)+$P2126</f>
        <v>13</v>
      </c>
      <c r="R2126" s="1" t="n">
        <f aca="false">IF(AND($K2126=1,AND(对接源_02物料!$X926="公司筐",N(对接源_02物料!$U926)&lt;&gt;0)),1,0)</f>
        <v>0</v>
      </c>
      <c r="S2126" s="1" t="n">
        <f aca="false">N(S2125)+$R2126</f>
        <v>5</v>
      </c>
      <c r="T2126" s="1" t="n">
        <f aca="false">IF(AND($K2126=1,AND(对接源_02物料!$X926="公司筐",N(对接源_02物料!$V926)&lt;&gt;0)),1,0)</f>
        <v>0</v>
      </c>
      <c r="U2126" s="1" t="n">
        <f aca="false">N(U2125)+$T2126</f>
        <v>28</v>
      </c>
      <c r="V2126" s="1" t="n">
        <f aca="false">IF(AND($L2126=1,AND(对接源_02物料!$X926="自备筐",N(对接源_02物料!$V926)&lt;&gt;0)),1,0)</f>
        <v>0</v>
      </c>
      <c r="W2126" s="1" t="n">
        <f aca="false">N(W2125)+$V2126</f>
        <v>7</v>
      </c>
      <c r="X2126" s="1" t="n">
        <f aca="false">IF(AND($L2126=1,AND(对接源_02物料!$X926="自备筐",N(对接源_02物料!$T926)&lt;&gt;0)),1,0)</f>
        <v>0</v>
      </c>
      <c r="Y2126" s="1" t="n">
        <f aca="false">N(Y2125)+$X2126</f>
        <v>0</v>
      </c>
      <c r="Z2126" s="1" t="n">
        <f aca="false">IF(AND($M2126=1,对接源_02物料!$D926="原料入库"),1,0)</f>
        <v>0</v>
      </c>
      <c r="AA2126" s="1" t="n">
        <f aca="false">N(AA2125)+$Z2126</f>
        <v>30</v>
      </c>
      <c r="AB2126" s="1" t="n">
        <f aca="false">IF(AND($M2126=1,LEFT(对接源_02物料!$D926,4)="原料出库"),1,0)</f>
        <v>0</v>
      </c>
      <c r="AC2126" s="1" t="n">
        <f aca="false">N(AC2125)+$AB2126</f>
        <v>19</v>
      </c>
      <c r="AD2126" s="1" t="n">
        <f aca="false">IF(AND($M2126=1,LEFT(对接源_02物料!$D926,4)="成品出库"),1,0)</f>
        <v>0</v>
      </c>
      <c r="AE2126" s="1" t="n">
        <f aca="false">N(AE2125)+$AD2126</f>
        <v>38</v>
      </c>
      <c r="AF2126" s="1" t="n">
        <f aca="false">IF(AND($N2126=1,AND(LEFT(对接源_02物料!$D926,4)="包装物料",N(对接源_02物料!$K926)&lt;&gt;0)),1,0)</f>
        <v>0</v>
      </c>
      <c r="AG2126" s="1" t="n">
        <f aca="false">N(AG2125)+$AF2126</f>
        <v>6</v>
      </c>
      <c r="AH2126" s="1" t="n">
        <f aca="false">IF(AND($N2126=1,AND(LEFT(对接源_02物料!$D926,3)="周转筐",N(对接源_02物料!$K926)&lt;&gt;0)),1,0)</f>
        <v>0</v>
      </c>
      <c r="AI2126" s="1" t="n">
        <f aca="false">N(AI2125)+$AH2126</f>
        <v>0</v>
      </c>
      <c r="AJ2126" s="1" t="n">
        <v>0</v>
      </c>
      <c r="AK2126" s="1" t="n">
        <f aca="false">N(AK2125)+$AJ2126</f>
        <v>3672</v>
      </c>
    </row>
    <row r="2127" customFormat="false" ht="13.5" hidden="false" customHeight="false" outlineLevel="0" collapsed="false">
      <c r="A2127" s="1" t="str">
        <f aca="false">IF(对接源_02物料!$C927="","",对接源_02物料!$C927)</f>
        <v/>
      </c>
      <c r="B2127" s="1" t="n">
        <f aca="false">IF(A2127="",0,IF(MATCH(A2127,$A$4:$A$2403,0)=ROW()-3,1,0))</f>
        <v>0</v>
      </c>
      <c r="C2127" s="1" t="n">
        <f aca="false">N(C2126)+B2127</f>
        <v>17</v>
      </c>
      <c r="K2127" s="1" t="n">
        <f aca="false">IF(OR($K$1="",对接源_02物料!$C927="",对接源_02物料!$C927&lt;&gt;$K$1,对接源_02物料!$B927=""),0,IF(OR(N(对接源_02物料!$B927)&lt;$K$2,N(对接源_02物料!$B927)&gt;$K$3),0,1))</f>
        <v>0</v>
      </c>
      <c r="L2127" s="1" t="n">
        <f aca="false">IF(OR($L$1="",对接源_02物料!$C927="",对接源_02物料!$C927&lt;&gt;$L$1,对接源_02物料!$B927=""),0,IF(OR(N(对接源_02物料!$B927)&lt;$L$2,N(对接源_02物料!$B927)&gt;$L$3),0,1))</f>
        <v>0</v>
      </c>
      <c r="M2127" s="1" t="n">
        <f aca="false">IF(OR($M$1="",对接源_02物料!$C927="",对接源_02物料!$C927&lt;&gt;$M$1,对接源_02物料!$B927=""),0,IF(OR(N(对接源_02物料!$B927)&lt;$M$2,N(对接源_02物料!$B927)&gt;$M$3),0,1))</f>
        <v>0</v>
      </c>
      <c r="N2127" s="1" t="n">
        <f aca="false">IF(OR($N$1="",对接源_02物料!$C927="",对接源_02物料!$C927&lt;&gt;$N$1,对接源_02物料!$B927=""),0,IF(OR(N(对接源_02物料!$B927)&lt;$N$2,N(对接源_02物料!$B927)&gt;$N$3),0,1))</f>
        <v>0</v>
      </c>
      <c r="P2127" s="1" t="n">
        <f aca="false">IF(AND($K2127=1,AND(对接源_02物料!$X927="公司筐",N(对接源_02物料!$T927)&lt;&gt;0)),1,0)</f>
        <v>0</v>
      </c>
      <c r="Q2127" s="1" t="n">
        <f aca="false">N(Q2126)+$P2127</f>
        <v>13</v>
      </c>
      <c r="R2127" s="1" t="n">
        <f aca="false">IF(AND($K2127=1,AND(对接源_02物料!$X927="公司筐",N(对接源_02物料!$U927)&lt;&gt;0)),1,0)</f>
        <v>0</v>
      </c>
      <c r="S2127" s="1" t="n">
        <f aca="false">N(S2126)+$R2127</f>
        <v>5</v>
      </c>
      <c r="T2127" s="1" t="n">
        <f aca="false">IF(AND($K2127=1,AND(对接源_02物料!$X927="公司筐",N(对接源_02物料!$V927)&lt;&gt;0)),1,0)</f>
        <v>0</v>
      </c>
      <c r="U2127" s="1" t="n">
        <f aca="false">N(U2126)+$T2127</f>
        <v>28</v>
      </c>
      <c r="V2127" s="1" t="n">
        <f aca="false">IF(AND($L2127=1,AND(对接源_02物料!$X927="自备筐",N(对接源_02物料!$V927)&lt;&gt;0)),1,0)</f>
        <v>0</v>
      </c>
      <c r="W2127" s="1" t="n">
        <f aca="false">N(W2126)+$V2127</f>
        <v>7</v>
      </c>
      <c r="X2127" s="1" t="n">
        <f aca="false">IF(AND($L2127=1,AND(对接源_02物料!$X927="自备筐",N(对接源_02物料!$T927)&lt;&gt;0)),1,0)</f>
        <v>0</v>
      </c>
      <c r="Y2127" s="1" t="n">
        <f aca="false">N(Y2126)+$X2127</f>
        <v>0</v>
      </c>
      <c r="Z2127" s="1" t="n">
        <f aca="false">IF(AND($M2127=1,对接源_02物料!$D927="原料入库"),1,0)</f>
        <v>0</v>
      </c>
      <c r="AA2127" s="1" t="n">
        <f aca="false">N(AA2126)+$Z2127</f>
        <v>30</v>
      </c>
      <c r="AB2127" s="1" t="n">
        <f aca="false">IF(AND($M2127=1,LEFT(对接源_02物料!$D927,4)="原料出库"),1,0)</f>
        <v>0</v>
      </c>
      <c r="AC2127" s="1" t="n">
        <f aca="false">N(AC2126)+$AB2127</f>
        <v>19</v>
      </c>
      <c r="AD2127" s="1" t="n">
        <f aca="false">IF(AND($M2127=1,LEFT(对接源_02物料!$D927,4)="成品出库"),1,0)</f>
        <v>0</v>
      </c>
      <c r="AE2127" s="1" t="n">
        <f aca="false">N(AE2126)+$AD2127</f>
        <v>38</v>
      </c>
      <c r="AF2127" s="1" t="n">
        <f aca="false">IF(AND($N2127=1,AND(LEFT(对接源_02物料!$D927,4)="包装物料",N(对接源_02物料!$K927)&lt;&gt;0)),1,0)</f>
        <v>0</v>
      </c>
      <c r="AG2127" s="1" t="n">
        <f aca="false">N(AG2126)+$AF2127</f>
        <v>6</v>
      </c>
      <c r="AH2127" s="1" t="n">
        <f aca="false">IF(AND($N2127=1,AND(LEFT(对接源_02物料!$D927,3)="周转筐",N(对接源_02物料!$K927)&lt;&gt;0)),1,0)</f>
        <v>0</v>
      </c>
      <c r="AI2127" s="1" t="n">
        <f aca="false">N(AI2126)+$AH2127</f>
        <v>0</v>
      </c>
      <c r="AJ2127" s="1" t="n">
        <v>0</v>
      </c>
      <c r="AK2127" s="1" t="n">
        <f aca="false">N(AK2126)+$AJ2127</f>
        <v>3672</v>
      </c>
    </row>
    <row r="2128" customFormat="false" ht="13.5" hidden="false" customHeight="false" outlineLevel="0" collapsed="false">
      <c r="A2128" s="1" t="str">
        <f aca="false">IF(对接源_02物料!$C928="","",对接源_02物料!$C928)</f>
        <v/>
      </c>
      <c r="B2128" s="1" t="n">
        <f aca="false">IF(A2128="",0,IF(MATCH(A2128,$A$4:$A$2403,0)=ROW()-3,1,0))</f>
        <v>0</v>
      </c>
      <c r="C2128" s="1" t="n">
        <f aca="false">N(C2127)+B2128</f>
        <v>17</v>
      </c>
      <c r="K2128" s="1" t="n">
        <f aca="false">IF(OR($K$1="",对接源_02物料!$C928="",对接源_02物料!$C928&lt;&gt;$K$1,对接源_02物料!$B928=""),0,IF(OR(N(对接源_02物料!$B928)&lt;$K$2,N(对接源_02物料!$B928)&gt;$K$3),0,1))</f>
        <v>0</v>
      </c>
      <c r="L2128" s="1" t="n">
        <f aca="false">IF(OR($L$1="",对接源_02物料!$C928="",对接源_02物料!$C928&lt;&gt;$L$1,对接源_02物料!$B928=""),0,IF(OR(N(对接源_02物料!$B928)&lt;$L$2,N(对接源_02物料!$B928)&gt;$L$3),0,1))</f>
        <v>0</v>
      </c>
      <c r="M2128" s="1" t="n">
        <f aca="false">IF(OR($M$1="",对接源_02物料!$C928="",对接源_02物料!$C928&lt;&gt;$M$1,对接源_02物料!$B928=""),0,IF(OR(N(对接源_02物料!$B928)&lt;$M$2,N(对接源_02物料!$B928)&gt;$M$3),0,1))</f>
        <v>0</v>
      </c>
      <c r="N2128" s="1" t="n">
        <f aca="false">IF(OR($N$1="",对接源_02物料!$C928="",对接源_02物料!$C928&lt;&gt;$N$1,对接源_02物料!$B928=""),0,IF(OR(N(对接源_02物料!$B928)&lt;$N$2,N(对接源_02物料!$B928)&gt;$N$3),0,1))</f>
        <v>0</v>
      </c>
      <c r="P2128" s="1" t="n">
        <f aca="false">IF(AND($K2128=1,AND(对接源_02物料!$X928="公司筐",N(对接源_02物料!$T928)&lt;&gt;0)),1,0)</f>
        <v>0</v>
      </c>
      <c r="Q2128" s="1" t="n">
        <f aca="false">N(Q2127)+$P2128</f>
        <v>13</v>
      </c>
      <c r="R2128" s="1" t="n">
        <f aca="false">IF(AND($K2128=1,AND(对接源_02物料!$X928="公司筐",N(对接源_02物料!$U928)&lt;&gt;0)),1,0)</f>
        <v>0</v>
      </c>
      <c r="S2128" s="1" t="n">
        <f aca="false">N(S2127)+$R2128</f>
        <v>5</v>
      </c>
      <c r="T2128" s="1" t="n">
        <f aca="false">IF(AND($K2128=1,AND(对接源_02物料!$X928="公司筐",N(对接源_02物料!$V928)&lt;&gt;0)),1,0)</f>
        <v>0</v>
      </c>
      <c r="U2128" s="1" t="n">
        <f aca="false">N(U2127)+$T2128</f>
        <v>28</v>
      </c>
      <c r="V2128" s="1" t="n">
        <f aca="false">IF(AND($L2128=1,AND(对接源_02物料!$X928="自备筐",N(对接源_02物料!$V928)&lt;&gt;0)),1,0)</f>
        <v>0</v>
      </c>
      <c r="W2128" s="1" t="n">
        <f aca="false">N(W2127)+$V2128</f>
        <v>7</v>
      </c>
      <c r="X2128" s="1" t="n">
        <f aca="false">IF(AND($L2128=1,AND(对接源_02物料!$X928="自备筐",N(对接源_02物料!$T928)&lt;&gt;0)),1,0)</f>
        <v>0</v>
      </c>
      <c r="Y2128" s="1" t="n">
        <f aca="false">N(Y2127)+$X2128</f>
        <v>0</v>
      </c>
      <c r="Z2128" s="1" t="n">
        <f aca="false">IF(AND($M2128=1,对接源_02物料!$D928="原料入库"),1,0)</f>
        <v>0</v>
      </c>
      <c r="AA2128" s="1" t="n">
        <f aca="false">N(AA2127)+$Z2128</f>
        <v>30</v>
      </c>
      <c r="AB2128" s="1" t="n">
        <f aca="false">IF(AND($M2128=1,LEFT(对接源_02物料!$D928,4)="原料出库"),1,0)</f>
        <v>0</v>
      </c>
      <c r="AC2128" s="1" t="n">
        <f aca="false">N(AC2127)+$AB2128</f>
        <v>19</v>
      </c>
      <c r="AD2128" s="1" t="n">
        <f aca="false">IF(AND($M2128=1,LEFT(对接源_02物料!$D928,4)="成品出库"),1,0)</f>
        <v>0</v>
      </c>
      <c r="AE2128" s="1" t="n">
        <f aca="false">N(AE2127)+$AD2128</f>
        <v>38</v>
      </c>
      <c r="AF2128" s="1" t="n">
        <f aca="false">IF(AND($N2128=1,AND(LEFT(对接源_02物料!$D928,4)="包装物料",N(对接源_02物料!$K928)&lt;&gt;0)),1,0)</f>
        <v>0</v>
      </c>
      <c r="AG2128" s="1" t="n">
        <f aca="false">N(AG2127)+$AF2128</f>
        <v>6</v>
      </c>
      <c r="AH2128" s="1" t="n">
        <f aca="false">IF(AND($N2128=1,AND(LEFT(对接源_02物料!$D928,3)="周转筐",N(对接源_02物料!$K928)&lt;&gt;0)),1,0)</f>
        <v>0</v>
      </c>
      <c r="AI2128" s="1" t="n">
        <f aca="false">N(AI2127)+$AH2128</f>
        <v>0</v>
      </c>
      <c r="AJ2128" s="1" t="n">
        <v>0</v>
      </c>
      <c r="AK2128" s="1" t="n">
        <f aca="false">N(AK2127)+$AJ2128</f>
        <v>3672</v>
      </c>
    </row>
    <row r="2129" customFormat="false" ht="13.5" hidden="false" customHeight="false" outlineLevel="0" collapsed="false">
      <c r="A2129" s="1" t="str">
        <f aca="false">IF(对接源_02物料!$C929="","",对接源_02物料!$C929)</f>
        <v/>
      </c>
      <c r="B2129" s="1" t="n">
        <f aca="false">IF(A2129="",0,IF(MATCH(A2129,$A$4:$A$2403,0)=ROW()-3,1,0))</f>
        <v>0</v>
      </c>
      <c r="C2129" s="1" t="n">
        <f aca="false">N(C2128)+B2129</f>
        <v>17</v>
      </c>
      <c r="K2129" s="1" t="n">
        <f aca="false">IF(OR($K$1="",对接源_02物料!$C929="",对接源_02物料!$C929&lt;&gt;$K$1,对接源_02物料!$B929=""),0,IF(OR(N(对接源_02物料!$B929)&lt;$K$2,N(对接源_02物料!$B929)&gt;$K$3),0,1))</f>
        <v>0</v>
      </c>
      <c r="L2129" s="1" t="n">
        <f aca="false">IF(OR($L$1="",对接源_02物料!$C929="",对接源_02物料!$C929&lt;&gt;$L$1,对接源_02物料!$B929=""),0,IF(OR(N(对接源_02物料!$B929)&lt;$L$2,N(对接源_02物料!$B929)&gt;$L$3),0,1))</f>
        <v>0</v>
      </c>
      <c r="M2129" s="1" t="n">
        <f aca="false">IF(OR($M$1="",对接源_02物料!$C929="",对接源_02物料!$C929&lt;&gt;$M$1,对接源_02物料!$B929=""),0,IF(OR(N(对接源_02物料!$B929)&lt;$M$2,N(对接源_02物料!$B929)&gt;$M$3),0,1))</f>
        <v>0</v>
      </c>
      <c r="N2129" s="1" t="n">
        <f aca="false">IF(OR($N$1="",对接源_02物料!$C929="",对接源_02物料!$C929&lt;&gt;$N$1,对接源_02物料!$B929=""),0,IF(OR(N(对接源_02物料!$B929)&lt;$N$2,N(对接源_02物料!$B929)&gt;$N$3),0,1))</f>
        <v>0</v>
      </c>
      <c r="P2129" s="1" t="n">
        <f aca="false">IF(AND($K2129=1,AND(对接源_02物料!$X929="公司筐",N(对接源_02物料!$T929)&lt;&gt;0)),1,0)</f>
        <v>0</v>
      </c>
      <c r="Q2129" s="1" t="n">
        <f aca="false">N(Q2128)+$P2129</f>
        <v>13</v>
      </c>
      <c r="R2129" s="1" t="n">
        <f aca="false">IF(AND($K2129=1,AND(对接源_02物料!$X929="公司筐",N(对接源_02物料!$U929)&lt;&gt;0)),1,0)</f>
        <v>0</v>
      </c>
      <c r="S2129" s="1" t="n">
        <f aca="false">N(S2128)+$R2129</f>
        <v>5</v>
      </c>
      <c r="T2129" s="1" t="n">
        <f aca="false">IF(AND($K2129=1,AND(对接源_02物料!$X929="公司筐",N(对接源_02物料!$V929)&lt;&gt;0)),1,0)</f>
        <v>0</v>
      </c>
      <c r="U2129" s="1" t="n">
        <f aca="false">N(U2128)+$T2129</f>
        <v>28</v>
      </c>
      <c r="V2129" s="1" t="n">
        <f aca="false">IF(AND($L2129=1,AND(对接源_02物料!$X929="自备筐",N(对接源_02物料!$V929)&lt;&gt;0)),1,0)</f>
        <v>0</v>
      </c>
      <c r="W2129" s="1" t="n">
        <f aca="false">N(W2128)+$V2129</f>
        <v>7</v>
      </c>
      <c r="X2129" s="1" t="n">
        <f aca="false">IF(AND($L2129=1,AND(对接源_02物料!$X929="自备筐",N(对接源_02物料!$T929)&lt;&gt;0)),1,0)</f>
        <v>0</v>
      </c>
      <c r="Y2129" s="1" t="n">
        <f aca="false">N(Y2128)+$X2129</f>
        <v>0</v>
      </c>
      <c r="Z2129" s="1" t="n">
        <f aca="false">IF(AND($M2129=1,对接源_02物料!$D929="原料入库"),1,0)</f>
        <v>0</v>
      </c>
      <c r="AA2129" s="1" t="n">
        <f aca="false">N(AA2128)+$Z2129</f>
        <v>30</v>
      </c>
      <c r="AB2129" s="1" t="n">
        <f aca="false">IF(AND($M2129=1,LEFT(对接源_02物料!$D929,4)="原料出库"),1,0)</f>
        <v>0</v>
      </c>
      <c r="AC2129" s="1" t="n">
        <f aca="false">N(AC2128)+$AB2129</f>
        <v>19</v>
      </c>
      <c r="AD2129" s="1" t="n">
        <f aca="false">IF(AND($M2129=1,LEFT(对接源_02物料!$D929,4)="成品出库"),1,0)</f>
        <v>0</v>
      </c>
      <c r="AE2129" s="1" t="n">
        <f aca="false">N(AE2128)+$AD2129</f>
        <v>38</v>
      </c>
      <c r="AF2129" s="1" t="n">
        <f aca="false">IF(AND($N2129=1,AND(LEFT(对接源_02物料!$D929,4)="包装物料",N(对接源_02物料!$K929)&lt;&gt;0)),1,0)</f>
        <v>0</v>
      </c>
      <c r="AG2129" s="1" t="n">
        <f aca="false">N(AG2128)+$AF2129</f>
        <v>6</v>
      </c>
      <c r="AH2129" s="1" t="n">
        <f aca="false">IF(AND($N2129=1,AND(LEFT(对接源_02物料!$D929,3)="周转筐",N(对接源_02物料!$K929)&lt;&gt;0)),1,0)</f>
        <v>0</v>
      </c>
      <c r="AI2129" s="1" t="n">
        <f aca="false">N(AI2128)+$AH2129</f>
        <v>0</v>
      </c>
      <c r="AJ2129" s="1" t="n">
        <v>0</v>
      </c>
      <c r="AK2129" s="1" t="n">
        <f aca="false">N(AK2128)+$AJ2129</f>
        <v>3672</v>
      </c>
    </row>
    <row r="2130" customFormat="false" ht="13.5" hidden="false" customHeight="false" outlineLevel="0" collapsed="false">
      <c r="A2130" s="1" t="str">
        <f aca="false">IF(对接源_02物料!$C930="","",对接源_02物料!$C930)</f>
        <v/>
      </c>
      <c r="B2130" s="1" t="n">
        <f aca="false">IF(A2130="",0,IF(MATCH(A2130,$A$4:$A$2403,0)=ROW()-3,1,0))</f>
        <v>0</v>
      </c>
      <c r="C2130" s="1" t="n">
        <f aca="false">N(C2129)+B2130</f>
        <v>17</v>
      </c>
      <c r="K2130" s="1" t="n">
        <f aca="false">IF(OR($K$1="",对接源_02物料!$C930="",对接源_02物料!$C930&lt;&gt;$K$1,对接源_02物料!$B930=""),0,IF(OR(N(对接源_02物料!$B930)&lt;$K$2,N(对接源_02物料!$B930)&gt;$K$3),0,1))</f>
        <v>0</v>
      </c>
      <c r="L2130" s="1" t="n">
        <f aca="false">IF(OR($L$1="",对接源_02物料!$C930="",对接源_02物料!$C930&lt;&gt;$L$1,对接源_02物料!$B930=""),0,IF(OR(N(对接源_02物料!$B930)&lt;$L$2,N(对接源_02物料!$B930)&gt;$L$3),0,1))</f>
        <v>0</v>
      </c>
      <c r="M2130" s="1" t="n">
        <f aca="false">IF(OR($M$1="",对接源_02物料!$C930="",对接源_02物料!$C930&lt;&gt;$M$1,对接源_02物料!$B930=""),0,IF(OR(N(对接源_02物料!$B930)&lt;$M$2,N(对接源_02物料!$B930)&gt;$M$3),0,1))</f>
        <v>0</v>
      </c>
      <c r="N2130" s="1" t="n">
        <f aca="false">IF(OR($N$1="",对接源_02物料!$C930="",对接源_02物料!$C930&lt;&gt;$N$1,对接源_02物料!$B930=""),0,IF(OR(N(对接源_02物料!$B930)&lt;$N$2,N(对接源_02物料!$B930)&gt;$N$3),0,1))</f>
        <v>0</v>
      </c>
      <c r="P2130" s="1" t="n">
        <f aca="false">IF(AND($K2130=1,AND(对接源_02物料!$X930="公司筐",N(对接源_02物料!$T930)&lt;&gt;0)),1,0)</f>
        <v>0</v>
      </c>
      <c r="Q2130" s="1" t="n">
        <f aca="false">N(Q2129)+$P2130</f>
        <v>13</v>
      </c>
      <c r="R2130" s="1" t="n">
        <f aca="false">IF(AND($K2130=1,AND(对接源_02物料!$X930="公司筐",N(对接源_02物料!$U930)&lt;&gt;0)),1,0)</f>
        <v>0</v>
      </c>
      <c r="S2130" s="1" t="n">
        <f aca="false">N(S2129)+$R2130</f>
        <v>5</v>
      </c>
      <c r="T2130" s="1" t="n">
        <f aca="false">IF(AND($K2130=1,AND(对接源_02物料!$X930="公司筐",N(对接源_02物料!$V930)&lt;&gt;0)),1,0)</f>
        <v>0</v>
      </c>
      <c r="U2130" s="1" t="n">
        <f aca="false">N(U2129)+$T2130</f>
        <v>28</v>
      </c>
      <c r="V2130" s="1" t="n">
        <f aca="false">IF(AND($L2130=1,AND(对接源_02物料!$X930="自备筐",N(对接源_02物料!$V930)&lt;&gt;0)),1,0)</f>
        <v>0</v>
      </c>
      <c r="W2130" s="1" t="n">
        <f aca="false">N(W2129)+$V2130</f>
        <v>7</v>
      </c>
      <c r="X2130" s="1" t="n">
        <f aca="false">IF(AND($L2130=1,AND(对接源_02物料!$X930="自备筐",N(对接源_02物料!$T930)&lt;&gt;0)),1,0)</f>
        <v>0</v>
      </c>
      <c r="Y2130" s="1" t="n">
        <f aca="false">N(Y2129)+$X2130</f>
        <v>0</v>
      </c>
      <c r="Z2130" s="1" t="n">
        <f aca="false">IF(AND($M2130=1,对接源_02物料!$D930="原料入库"),1,0)</f>
        <v>0</v>
      </c>
      <c r="AA2130" s="1" t="n">
        <f aca="false">N(AA2129)+$Z2130</f>
        <v>30</v>
      </c>
      <c r="AB2130" s="1" t="n">
        <f aca="false">IF(AND($M2130=1,LEFT(对接源_02物料!$D930,4)="原料出库"),1,0)</f>
        <v>0</v>
      </c>
      <c r="AC2130" s="1" t="n">
        <f aca="false">N(AC2129)+$AB2130</f>
        <v>19</v>
      </c>
      <c r="AD2130" s="1" t="n">
        <f aca="false">IF(AND($M2130=1,LEFT(对接源_02物料!$D930,4)="成品出库"),1,0)</f>
        <v>0</v>
      </c>
      <c r="AE2130" s="1" t="n">
        <f aca="false">N(AE2129)+$AD2130</f>
        <v>38</v>
      </c>
      <c r="AF2130" s="1" t="n">
        <f aca="false">IF(AND($N2130=1,AND(LEFT(对接源_02物料!$D930,4)="包装物料",N(对接源_02物料!$K930)&lt;&gt;0)),1,0)</f>
        <v>0</v>
      </c>
      <c r="AG2130" s="1" t="n">
        <f aca="false">N(AG2129)+$AF2130</f>
        <v>6</v>
      </c>
      <c r="AH2130" s="1" t="n">
        <f aca="false">IF(AND($N2130=1,AND(LEFT(对接源_02物料!$D930,3)="周转筐",N(对接源_02物料!$K930)&lt;&gt;0)),1,0)</f>
        <v>0</v>
      </c>
      <c r="AI2130" s="1" t="n">
        <f aca="false">N(AI2129)+$AH2130</f>
        <v>0</v>
      </c>
      <c r="AJ2130" s="1" t="n">
        <v>0</v>
      </c>
      <c r="AK2130" s="1" t="n">
        <f aca="false">N(AK2129)+$AJ2130</f>
        <v>3672</v>
      </c>
    </row>
    <row r="2131" customFormat="false" ht="13.5" hidden="false" customHeight="false" outlineLevel="0" collapsed="false">
      <c r="A2131" s="1" t="str">
        <f aca="false">IF(对接源_02物料!$C931="","",对接源_02物料!$C931)</f>
        <v/>
      </c>
      <c r="B2131" s="1" t="n">
        <f aca="false">IF(A2131="",0,IF(MATCH(A2131,$A$4:$A$2403,0)=ROW()-3,1,0))</f>
        <v>0</v>
      </c>
      <c r="C2131" s="1" t="n">
        <f aca="false">N(C2130)+B2131</f>
        <v>17</v>
      </c>
      <c r="K2131" s="1" t="n">
        <f aca="false">IF(OR($K$1="",对接源_02物料!$C931="",对接源_02物料!$C931&lt;&gt;$K$1,对接源_02物料!$B931=""),0,IF(OR(N(对接源_02物料!$B931)&lt;$K$2,N(对接源_02物料!$B931)&gt;$K$3),0,1))</f>
        <v>0</v>
      </c>
      <c r="L2131" s="1" t="n">
        <f aca="false">IF(OR($L$1="",对接源_02物料!$C931="",对接源_02物料!$C931&lt;&gt;$L$1,对接源_02物料!$B931=""),0,IF(OR(N(对接源_02物料!$B931)&lt;$L$2,N(对接源_02物料!$B931)&gt;$L$3),0,1))</f>
        <v>0</v>
      </c>
      <c r="M2131" s="1" t="n">
        <f aca="false">IF(OR($M$1="",对接源_02物料!$C931="",对接源_02物料!$C931&lt;&gt;$M$1,对接源_02物料!$B931=""),0,IF(OR(N(对接源_02物料!$B931)&lt;$M$2,N(对接源_02物料!$B931)&gt;$M$3),0,1))</f>
        <v>0</v>
      </c>
      <c r="N2131" s="1" t="n">
        <f aca="false">IF(OR($N$1="",对接源_02物料!$C931="",对接源_02物料!$C931&lt;&gt;$N$1,对接源_02物料!$B931=""),0,IF(OR(N(对接源_02物料!$B931)&lt;$N$2,N(对接源_02物料!$B931)&gt;$N$3),0,1))</f>
        <v>0</v>
      </c>
      <c r="P2131" s="1" t="n">
        <f aca="false">IF(AND($K2131=1,AND(对接源_02物料!$X931="公司筐",N(对接源_02物料!$T931)&lt;&gt;0)),1,0)</f>
        <v>0</v>
      </c>
      <c r="Q2131" s="1" t="n">
        <f aca="false">N(Q2130)+$P2131</f>
        <v>13</v>
      </c>
      <c r="R2131" s="1" t="n">
        <f aca="false">IF(AND($K2131=1,AND(对接源_02物料!$X931="公司筐",N(对接源_02物料!$U931)&lt;&gt;0)),1,0)</f>
        <v>0</v>
      </c>
      <c r="S2131" s="1" t="n">
        <f aca="false">N(S2130)+$R2131</f>
        <v>5</v>
      </c>
      <c r="T2131" s="1" t="n">
        <f aca="false">IF(AND($K2131=1,AND(对接源_02物料!$X931="公司筐",N(对接源_02物料!$V931)&lt;&gt;0)),1,0)</f>
        <v>0</v>
      </c>
      <c r="U2131" s="1" t="n">
        <f aca="false">N(U2130)+$T2131</f>
        <v>28</v>
      </c>
      <c r="V2131" s="1" t="n">
        <f aca="false">IF(AND($L2131=1,AND(对接源_02物料!$X931="自备筐",N(对接源_02物料!$V931)&lt;&gt;0)),1,0)</f>
        <v>0</v>
      </c>
      <c r="W2131" s="1" t="n">
        <f aca="false">N(W2130)+$V2131</f>
        <v>7</v>
      </c>
      <c r="X2131" s="1" t="n">
        <f aca="false">IF(AND($L2131=1,AND(对接源_02物料!$X931="自备筐",N(对接源_02物料!$T931)&lt;&gt;0)),1,0)</f>
        <v>0</v>
      </c>
      <c r="Y2131" s="1" t="n">
        <f aca="false">N(Y2130)+$X2131</f>
        <v>0</v>
      </c>
      <c r="Z2131" s="1" t="n">
        <f aca="false">IF(AND($M2131=1,对接源_02物料!$D931="原料入库"),1,0)</f>
        <v>0</v>
      </c>
      <c r="AA2131" s="1" t="n">
        <f aca="false">N(AA2130)+$Z2131</f>
        <v>30</v>
      </c>
      <c r="AB2131" s="1" t="n">
        <f aca="false">IF(AND($M2131=1,LEFT(对接源_02物料!$D931,4)="原料出库"),1,0)</f>
        <v>0</v>
      </c>
      <c r="AC2131" s="1" t="n">
        <f aca="false">N(AC2130)+$AB2131</f>
        <v>19</v>
      </c>
      <c r="AD2131" s="1" t="n">
        <f aca="false">IF(AND($M2131=1,LEFT(对接源_02物料!$D931,4)="成品出库"),1,0)</f>
        <v>0</v>
      </c>
      <c r="AE2131" s="1" t="n">
        <f aca="false">N(AE2130)+$AD2131</f>
        <v>38</v>
      </c>
      <c r="AF2131" s="1" t="n">
        <f aca="false">IF(AND($N2131=1,AND(LEFT(对接源_02物料!$D931,4)="包装物料",N(对接源_02物料!$K931)&lt;&gt;0)),1,0)</f>
        <v>0</v>
      </c>
      <c r="AG2131" s="1" t="n">
        <f aca="false">N(AG2130)+$AF2131</f>
        <v>6</v>
      </c>
      <c r="AH2131" s="1" t="n">
        <f aca="false">IF(AND($N2131=1,AND(LEFT(对接源_02物料!$D931,3)="周转筐",N(对接源_02物料!$K931)&lt;&gt;0)),1,0)</f>
        <v>0</v>
      </c>
      <c r="AI2131" s="1" t="n">
        <f aca="false">N(AI2130)+$AH2131</f>
        <v>0</v>
      </c>
      <c r="AJ2131" s="1" t="n">
        <v>0</v>
      </c>
      <c r="AK2131" s="1" t="n">
        <f aca="false">N(AK2130)+$AJ2131</f>
        <v>3672</v>
      </c>
    </row>
    <row r="2132" customFormat="false" ht="13.5" hidden="false" customHeight="false" outlineLevel="0" collapsed="false">
      <c r="A2132" s="1" t="str">
        <f aca="false">IF(对接源_02物料!$C932="","",对接源_02物料!$C932)</f>
        <v/>
      </c>
      <c r="B2132" s="1" t="n">
        <f aca="false">IF(A2132="",0,IF(MATCH(A2132,$A$4:$A$2403,0)=ROW()-3,1,0))</f>
        <v>0</v>
      </c>
      <c r="C2132" s="1" t="n">
        <f aca="false">N(C2131)+B2132</f>
        <v>17</v>
      </c>
      <c r="K2132" s="1" t="n">
        <f aca="false">IF(OR($K$1="",对接源_02物料!$C932="",对接源_02物料!$C932&lt;&gt;$K$1,对接源_02物料!$B932=""),0,IF(OR(N(对接源_02物料!$B932)&lt;$K$2,N(对接源_02物料!$B932)&gt;$K$3),0,1))</f>
        <v>0</v>
      </c>
      <c r="L2132" s="1" t="n">
        <f aca="false">IF(OR($L$1="",对接源_02物料!$C932="",对接源_02物料!$C932&lt;&gt;$L$1,对接源_02物料!$B932=""),0,IF(OR(N(对接源_02物料!$B932)&lt;$L$2,N(对接源_02物料!$B932)&gt;$L$3),0,1))</f>
        <v>0</v>
      </c>
      <c r="M2132" s="1" t="n">
        <f aca="false">IF(OR($M$1="",对接源_02物料!$C932="",对接源_02物料!$C932&lt;&gt;$M$1,对接源_02物料!$B932=""),0,IF(OR(N(对接源_02物料!$B932)&lt;$M$2,N(对接源_02物料!$B932)&gt;$M$3),0,1))</f>
        <v>0</v>
      </c>
      <c r="N2132" s="1" t="n">
        <f aca="false">IF(OR($N$1="",对接源_02物料!$C932="",对接源_02物料!$C932&lt;&gt;$N$1,对接源_02物料!$B932=""),0,IF(OR(N(对接源_02物料!$B932)&lt;$N$2,N(对接源_02物料!$B932)&gt;$N$3),0,1))</f>
        <v>0</v>
      </c>
      <c r="P2132" s="1" t="n">
        <f aca="false">IF(AND($K2132=1,AND(对接源_02物料!$X932="公司筐",N(对接源_02物料!$T932)&lt;&gt;0)),1,0)</f>
        <v>0</v>
      </c>
      <c r="Q2132" s="1" t="n">
        <f aca="false">N(Q2131)+$P2132</f>
        <v>13</v>
      </c>
      <c r="R2132" s="1" t="n">
        <f aca="false">IF(AND($K2132=1,AND(对接源_02物料!$X932="公司筐",N(对接源_02物料!$U932)&lt;&gt;0)),1,0)</f>
        <v>0</v>
      </c>
      <c r="S2132" s="1" t="n">
        <f aca="false">N(S2131)+$R2132</f>
        <v>5</v>
      </c>
      <c r="T2132" s="1" t="n">
        <f aca="false">IF(AND($K2132=1,AND(对接源_02物料!$X932="公司筐",N(对接源_02物料!$V932)&lt;&gt;0)),1,0)</f>
        <v>0</v>
      </c>
      <c r="U2132" s="1" t="n">
        <f aca="false">N(U2131)+$T2132</f>
        <v>28</v>
      </c>
      <c r="V2132" s="1" t="n">
        <f aca="false">IF(AND($L2132=1,AND(对接源_02物料!$X932="自备筐",N(对接源_02物料!$V932)&lt;&gt;0)),1,0)</f>
        <v>0</v>
      </c>
      <c r="W2132" s="1" t="n">
        <f aca="false">N(W2131)+$V2132</f>
        <v>7</v>
      </c>
      <c r="X2132" s="1" t="n">
        <f aca="false">IF(AND($L2132=1,AND(对接源_02物料!$X932="自备筐",N(对接源_02物料!$T932)&lt;&gt;0)),1,0)</f>
        <v>0</v>
      </c>
      <c r="Y2132" s="1" t="n">
        <f aca="false">N(Y2131)+$X2132</f>
        <v>0</v>
      </c>
      <c r="Z2132" s="1" t="n">
        <f aca="false">IF(AND($M2132=1,对接源_02物料!$D932="原料入库"),1,0)</f>
        <v>0</v>
      </c>
      <c r="AA2132" s="1" t="n">
        <f aca="false">N(AA2131)+$Z2132</f>
        <v>30</v>
      </c>
      <c r="AB2132" s="1" t="n">
        <f aca="false">IF(AND($M2132=1,LEFT(对接源_02物料!$D932,4)="原料出库"),1,0)</f>
        <v>0</v>
      </c>
      <c r="AC2132" s="1" t="n">
        <f aca="false">N(AC2131)+$AB2132</f>
        <v>19</v>
      </c>
      <c r="AD2132" s="1" t="n">
        <f aca="false">IF(AND($M2132=1,LEFT(对接源_02物料!$D932,4)="成品出库"),1,0)</f>
        <v>0</v>
      </c>
      <c r="AE2132" s="1" t="n">
        <f aca="false">N(AE2131)+$AD2132</f>
        <v>38</v>
      </c>
      <c r="AF2132" s="1" t="n">
        <f aca="false">IF(AND($N2132=1,AND(LEFT(对接源_02物料!$D932,4)="包装物料",N(对接源_02物料!$K932)&lt;&gt;0)),1,0)</f>
        <v>0</v>
      </c>
      <c r="AG2132" s="1" t="n">
        <f aca="false">N(AG2131)+$AF2132</f>
        <v>6</v>
      </c>
      <c r="AH2132" s="1" t="n">
        <f aca="false">IF(AND($N2132=1,AND(LEFT(对接源_02物料!$D932,3)="周转筐",N(对接源_02物料!$K932)&lt;&gt;0)),1,0)</f>
        <v>0</v>
      </c>
      <c r="AI2132" s="1" t="n">
        <f aca="false">N(AI2131)+$AH2132</f>
        <v>0</v>
      </c>
      <c r="AJ2132" s="1" t="n">
        <v>0</v>
      </c>
      <c r="AK2132" s="1" t="n">
        <f aca="false">N(AK2131)+$AJ2132</f>
        <v>3672</v>
      </c>
    </row>
    <row r="2133" customFormat="false" ht="13.5" hidden="false" customHeight="false" outlineLevel="0" collapsed="false">
      <c r="A2133" s="1" t="str">
        <f aca="false">IF(对接源_02物料!$C933="","",对接源_02物料!$C933)</f>
        <v/>
      </c>
      <c r="B2133" s="1" t="n">
        <f aca="false">IF(A2133="",0,IF(MATCH(A2133,$A$4:$A$2403,0)=ROW()-3,1,0))</f>
        <v>0</v>
      </c>
      <c r="C2133" s="1" t="n">
        <f aca="false">N(C2132)+B2133</f>
        <v>17</v>
      </c>
      <c r="K2133" s="1" t="n">
        <f aca="false">IF(OR($K$1="",对接源_02物料!$C933="",对接源_02物料!$C933&lt;&gt;$K$1,对接源_02物料!$B933=""),0,IF(OR(N(对接源_02物料!$B933)&lt;$K$2,N(对接源_02物料!$B933)&gt;$K$3),0,1))</f>
        <v>0</v>
      </c>
      <c r="L2133" s="1" t="n">
        <f aca="false">IF(OR($L$1="",对接源_02物料!$C933="",对接源_02物料!$C933&lt;&gt;$L$1,对接源_02物料!$B933=""),0,IF(OR(N(对接源_02物料!$B933)&lt;$L$2,N(对接源_02物料!$B933)&gt;$L$3),0,1))</f>
        <v>0</v>
      </c>
      <c r="M2133" s="1" t="n">
        <f aca="false">IF(OR($M$1="",对接源_02物料!$C933="",对接源_02物料!$C933&lt;&gt;$M$1,对接源_02物料!$B933=""),0,IF(OR(N(对接源_02物料!$B933)&lt;$M$2,N(对接源_02物料!$B933)&gt;$M$3),0,1))</f>
        <v>0</v>
      </c>
      <c r="N2133" s="1" t="n">
        <f aca="false">IF(OR($N$1="",对接源_02物料!$C933="",对接源_02物料!$C933&lt;&gt;$N$1,对接源_02物料!$B933=""),0,IF(OR(N(对接源_02物料!$B933)&lt;$N$2,N(对接源_02物料!$B933)&gt;$N$3),0,1))</f>
        <v>0</v>
      </c>
      <c r="P2133" s="1" t="n">
        <f aca="false">IF(AND($K2133=1,AND(对接源_02物料!$X933="公司筐",N(对接源_02物料!$T933)&lt;&gt;0)),1,0)</f>
        <v>0</v>
      </c>
      <c r="Q2133" s="1" t="n">
        <f aca="false">N(Q2132)+$P2133</f>
        <v>13</v>
      </c>
      <c r="R2133" s="1" t="n">
        <f aca="false">IF(AND($K2133=1,AND(对接源_02物料!$X933="公司筐",N(对接源_02物料!$U933)&lt;&gt;0)),1,0)</f>
        <v>0</v>
      </c>
      <c r="S2133" s="1" t="n">
        <f aca="false">N(S2132)+$R2133</f>
        <v>5</v>
      </c>
      <c r="T2133" s="1" t="n">
        <f aca="false">IF(AND($K2133=1,AND(对接源_02物料!$X933="公司筐",N(对接源_02物料!$V933)&lt;&gt;0)),1,0)</f>
        <v>0</v>
      </c>
      <c r="U2133" s="1" t="n">
        <f aca="false">N(U2132)+$T2133</f>
        <v>28</v>
      </c>
      <c r="V2133" s="1" t="n">
        <f aca="false">IF(AND($L2133=1,AND(对接源_02物料!$X933="自备筐",N(对接源_02物料!$V933)&lt;&gt;0)),1,0)</f>
        <v>0</v>
      </c>
      <c r="W2133" s="1" t="n">
        <f aca="false">N(W2132)+$V2133</f>
        <v>7</v>
      </c>
      <c r="X2133" s="1" t="n">
        <f aca="false">IF(AND($L2133=1,AND(对接源_02物料!$X933="自备筐",N(对接源_02物料!$T933)&lt;&gt;0)),1,0)</f>
        <v>0</v>
      </c>
      <c r="Y2133" s="1" t="n">
        <f aca="false">N(Y2132)+$X2133</f>
        <v>0</v>
      </c>
      <c r="Z2133" s="1" t="n">
        <f aca="false">IF(AND($M2133=1,对接源_02物料!$D933="原料入库"),1,0)</f>
        <v>0</v>
      </c>
      <c r="AA2133" s="1" t="n">
        <f aca="false">N(AA2132)+$Z2133</f>
        <v>30</v>
      </c>
      <c r="AB2133" s="1" t="n">
        <f aca="false">IF(AND($M2133=1,LEFT(对接源_02物料!$D933,4)="原料出库"),1,0)</f>
        <v>0</v>
      </c>
      <c r="AC2133" s="1" t="n">
        <f aca="false">N(AC2132)+$AB2133</f>
        <v>19</v>
      </c>
      <c r="AD2133" s="1" t="n">
        <f aca="false">IF(AND($M2133=1,LEFT(对接源_02物料!$D933,4)="成品出库"),1,0)</f>
        <v>0</v>
      </c>
      <c r="AE2133" s="1" t="n">
        <f aca="false">N(AE2132)+$AD2133</f>
        <v>38</v>
      </c>
      <c r="AF2133" s="1" t="n">
        <f aca="false">IF(AND($N2133=1,AND(LEFT(对接源_02物料!$D933,4)="包装物料",N(对接源_02物料!$K933)&lt;&gt;0)),1,0)</f>
        <v>0</v>
      </c>
      <c r="AG2133" s="1" t="n">
        <f aca="false">N(AG2132)+$AF2133</f>
        <v>6</v>
      </c>
      <c r="AH2133" s="1" t="n">
        <f aca="false">IF(AND($N2133=1,AND(LEFT(对接源_02物料!$D933,3)="周转筐",N(对接源_02物料!$K933)&lt;&gt;0)),1,0)</f>
        <v>0</v>
      </c>
      <c r="AI2133" s="1" t="n">
        <f aca="false">N(AI2132)+$AH2133</f>
        <v>0</v>
      </c>
      <c r="AJ2133" s="1" t="n">
        <v>0</v>
      </c>
      <c r="AK2133" s="1" t="n">
        <f aca="false">N(AK2132)+$AJ2133</f>
        <v>3672</v>
      </c>
    </row>
    <row r="2134" customFormat="false" ht="13.5" hidden="false" customHeight="false" outlineLevel="0" collapsed="false">
      <c r="A2134" s="1" t="str">
        <f aca="false">IF(对接源_02物料!$C934="","",对接源_02物料!$C934)</f>
        <v/>
      </c>
      <c r="B2134" s="1" t="n">
        <f aca="false">IF(A2134="",0,IF(MATCH(A2134,$A$4:$A$2403,0)=ROW()-3,1,0))</f>
        <v>0</v>
      </c>
      <c r="C2134" s="1" t="n">
        <f aca="false">N(C2133)+B2134</f>
        <v>17</v>
      </c>
      <c r="K2134" s="1" t="n">
        <f aca="false">IF(OR($K$1="",对接源_02物料!$C934="",对接源_02物料!$C934&lt;&gt;$K$1,对接源_02物料!$B934=""),0,IF(OR(N(对接源_02物料!$B934)&lt;$K$2,N(对接源_02物料!$B934)&gt;$K$3),0,1))</f>
        <v>0</v>
      </c>
      <c r="L2134" s="1" t="n">
        <f aca="false">IF(OR($L$1="",对接源_02物料!$C934="",对接源_02物料!$C934&lt;&gt;$L$1,对接源_02物料!$B934=""),0,IF(OR(N(对接源_02物料!$B934)&lt;$L$2,N(对接源_02物料!$B934)&gt;$L$3),0,1))</f>
        <v>0</v>
      </c>
      <c r="M2134" s="1" t="n">
        <f aca="false">IF(OR($M$1="",对接源_02物料!$C934="",对接源_02物料!$C934&lt;&gt;$M$1,对接源_02物料!$B934=""),0,IF(OR(N(对接源_02物料!$B934)&lt;$M$2,N(对接源_02物料!$B934)&gt;$M$3),0,1))</f>
        <v>0</v>
      </c>
      <c r="N2134" s="1" t="n">
        <f aca="false">IF(OR($N$1="",对接源_02物料!$C934="",对接源_02物料!$C934&lt;&gt;$N$1,对接源_02物料!$B934=""),0,IF(OR(N(对接源_02物料!$B934)&lt;$N$2,N(对接源_02物料!$B934)&gt;$N$3),0,1))</f>
        <v>0</v>
      </c>
      <c r="P2134" s="1" t="n">
        <f aca="false">IF(AND($K2134=1,AND(对接源_02物料!$X934="公司筐",N(对接源_02物料!$T934)&lt;&gt;0)),1,0)</f>
        <v>0</v>
      </c>
      <c r="Q2134" s="1" t="n">
        <f aca="false">N(Q2133)+$P2134</f>
        <v>13</v>
      </c>
      <c r="R2134" s="1" t="n">
        <f aca="false">IF(AND($K2134=1,AND(对接源_02物料!$X934="公司筐",N(对接源_02物料!$U934)&lt;&gt;0)),1,0)</f>
        <v>0</v>
      </c>
      <c r="S2134" s="1" t="n">
        <f aca="false">N(S2133)+$R2134</f>
        <v>5</v>
      </c>
      <c r="T2134" s="1" t="n">
        <f aca="false">IF(AND($K2134=1,AND(对接源_02物料!$X934="公司筐",N(对接源_02物料!$V934)&lt;&gt;0)),1,0)</f>
        <v>0</v>
      </c>
      <c r="U2134" s="1" t="n">
        <f aca="false">N(U2133)+$T2134</f>
        <v>28</v>
      </c>
      <c r="V2134" s="1" t="n">
        <f aca="false">IF(AND($L2134=1,AND(对接源_02物料!$X934="自备筐",N(对接源_02物料!$V934)&lt;&gt;0)),1,0)</f>
        <v>0</v>
      </c>
      <c r="W2134" s="1" t="n">
        <f aca="false">N(W2133)+$V2134</f>
        <v>7</v>
      </c>
      <c r="X2134" s="1" t="n">
        <f aca="false">IF(AND($L2134=1,AND(对接源_02物料!$X934="自备筐",N(对接源_02物料!$T934)&lt;&gt;0)),1,0)</f>
        <v>0</v>
      </c>
      <c r="Y2134" s="1" t="n">
        <f aca="false">N(Y2133)+$X2134</f>
        <v>0</v>
      </c>
      <c r="Z2134" s="1" t="n">
        <f aca="false">IF(AND($M2134=1,对接源_02物料!$D934="原料入库"),1,0)</f>
        <v>0</v>
      </c>
      <c r="AA2134" s="1" t="n">
        <f aca="false">N(AA2133)+$Z2134</f>
        <v>30</v>
      </c>
      <c r="AB2134" s="1" t="n">
        <f aca="false">IF(AND($M2134=1,LEFT(对接源_02物料!$D934,4)="原料出库"),1,0)</f>
        <v>0</v>
      </c>
      <c r="AC2134" s="1" t="n">
        <f aca="false">N(AC2133)+$AB2134</f>
        <v>19</v>
      </c>
      <c r="AD2134" s="1" t="n">
        <f aca="false">IF(AND($M2134=1,LEFT(对接源_02物料!$D934,4)="成品出库"),1,0)</f>
        <v>0</v>
      </c>
      <c r="AE2134" s="1" t="n">
        <f aca="false">N(AE2133)+$AD2134</f>
        <v>38</v>
      </c>
      <c r="AF2134" s="1" t="n">
        <f aca="false">IF(AND($N2134=1,AND(LEFT(对接源_02物料!$D934,4)="包装物料",N(对接源_02物料!$K934)&lt;&gt;0)),1,0)</f>
        <v>0</v>
      </c>
      <c r="AG2134" s="1" t="n">
        <f aca="false">N(AG2133)+$AF2134</f>
        <v>6</v>
      </c>
      <c r="AH2134" s="1" t="n">
        <f aca="false">IF(AND($N2134=1,AND(LEFT(对接源_02物料!$D934,3)="周转筐",N(对接源_02物料!$K934)&lt;&gt;0)),1,0)</f>
        <v>0</v>
      </c>
      <c r="AI2134" s="1" t="n">
        <f aca="false">N(AI2133)+$AH2134</f>
        <v>0</v>
      </c>
      <c r="AJ2134" s="1" t="n">
        <v>0</v>
      </c>
      <c r="AK2134" s="1" t="n">
        <f aca="false">N(AK2133)+$AJ2134</f>
        <v>3672</v>
      </c>
    </row>
    <row r="2135" customFormat="false" ht="13.5" hidden="false" customHeight="false" outlineLevel="0" collapsed="false">
      <c r="A2135" s="1" t="str">
        <f aca="false">IF(对接源_02物料!$C935="","",对接源_02物料!$C935)</f>
        <v/>
      </c>
      <c r="B2135" s="1" t="n">
        <f aca="false">IF(A2135="",0,IF(MATCH(A2135,$A$4:$A$2403,0)=ROW()-3,1,0))</f>
        <v>0</v>
      </c>
      <c r="C2135" s="1" t="n">
        <f aca="false">N(C2134)+B2135</f>
        <v>17</v>
      </c>
      <c r="K2135" s="1" t="n">
        <f aca="false">IF(OR($K$1="",对接源_02物料!$C935="",对接源_02物料!$C935&lt;&gt;$K$1,对接源_02物料!$B935=""),0,IF(OR(N(对接源_02物料!$B935)&lt;$K$2,N(对接源_02物料!$B935)&gt;$K$3),0,1))</f>
        <v>0</v>
      </c>
      <c r="L2135" s="1" t="n">
        <f aca="false">IF(OR($L$1="",对接源_02物料!$C935="",对接源_02物料!$C935&lt;&gt;$L$1,对接源_02物料!$B935=""),0,IF(OR(N(对接源_02物料!$B935)&lt;$L$2,N(对接源_02物料!$B935)&gt;$L$3),0,1))</f>
        <v>0</v>
      </c>
      <c r="M2135" s="1" t="n">
        <f aca="false">IF(OR($M$1="",对接源_02物料!$C935="",对接源_02物料!$C935&lt;&gt;$M$1,对接源_02物料!$B935=""),0,IF(OR(N(对接源_02物料!$B935)&lt;$M$2,N(对接源_02物料!$B935)&gt;$M$3),0,1))</f>
        <v>0</v>
      </c>
      <c r="N2135" s="1" t="n">
        <f aca="false">IF(OR($N$1="",对接源_02物料!$C935="",对接源_02物料!$C935&lt;&gt;$N$1,对接源_02物料!$B935=""),0,IF(OR(N(对接源_02物料!$B935)&lt;$N$2,N(对接源_02物料!$B935)&gt;$N$3),0,1))</f>
        <v>0</v>
      </c>
      <c r="P2135" s="1" t="n">
        <f aca="false">IF(AND($K2135=1,AND(对接源_02物料!$X935="公司筐",N(对接源_02物料!$T935)&lt;&gt;0)),1,0)</f>
        <v>0</v>
      </c>
      <c r="Q2135" s="1" t="n">
        <f aca="false">N(Q2134)+$P2135</f>
        <v>13</v>
      </c>
      <c r="R2135" s="1" t="n">
        <f aca="false">IF(AND($K2135=1,AND(对接源_02物料!$X935="公司筐",N(对接源_02物料!$U935)&lt;&gt;0)),1,0)</f>
        <v>0</v>
      </c>
      <c r="S2135" s="1" t="n">
        <f aca="false">N(S2134)+$R2135</f>
        <v>5</v>
      </c>
      <c r="T2135" s="1" t="n">
        <f aca="false">IF(AND($K2135=1,AND(对接源_02物料!$X935="公司筐",N(对接源_02物料!$V935)&lt;&gt;0)),1,0)</f>
        <v>0</v>
      </c>
      <c r="U2135" s="1" t="n">
        <f aca="false">N(U2134)+$T2135</f>
        <v>28</v>
      </c>
      <c r="V2135" s="1" t="n">
        <f aca="false">IF(AND($L2135=1,AND(对接源_02物料!$X935="自备筐",N(对接源_02物料!$V935)&lt;&gt;0)),1,0)</f>
        <v>0</v>
      </c>
      <c r="W2135" s="1" t="n">
        <f aca="false">N(W2134)+$V2135</f>
        <v>7</v>
      </c>
      <c r="X2135" s="1" t="n">
        <f aca="false">IF(AND($L2135=1,AND(对接源_02物料!$X935="自备筐",N(对接源_02物料!$T935)&lt;&gt;0)),1,0)</f>
        <v>0</v>
      </c>
      <c r="Y2135" s="1" t="n">
        <f aca="false">N(Y2134)+$X2135</f>
        <v>0</v>
      </c>
      <c r="Z2135" s="1" t="n">
        <f aca="false">IF(AND($M2135=1,对接源_02物料!$D935="原料入库"),1,0)</f>
        <v>0</v>
      </c>
      <c r="AA2135" s="1" t="n">
        <f aca="false">N(AA2134)+$Z2135</f>
        <v>30</v>
      </c>
      <c r="AB2135" s="1" t="n">
        <f aca="false">IF(AND($M2135=1,LEFT(对接源_02物料!$D935,4)="原料出库"),1,0)</f>
        <v>0</v>
      </c>
      <c r="AC2135" s="1" t="n">
        <f aca="false">N(AC2134)+$AB2135</f>
        <v>19</v>
      </c>
      <c r="AD2135" s="1" t="n">
        <f aca="false">IF(AND($M2135=1,LEFT(对接源_02物料!$D935,4)="成品出库"),1,0)</f>
        <v>0</v>
      </c>
      <c r="AE2135" s="1" t="n">
        <f aca="false">N(AE2134)+$AD2135</f>
        <v>38</v>
      </c>
      <c r="AF2135" s="1" t="n">
        <f aca="false">IF(AND($N2135=1,AND(LEFT(对接源_02物料!$D935,4)="包装物料",N(对接源_02物料!$K935)&lt;&gt;0)),1,0)</f>
        <v>0</v>
      </c>
      <c r="AG2135" s="1" t="n">
        <f aca="false">N(AG2134)+$AF2135</f>
        <v>6</v>
      </c>
      <c r="AH2135" s="1" t="n">
        <f aca="false">IF(AND($N2135=1,AND(LEFT(对接源_02物料!$D935,3)="周转筐",N(对接源_02物料!$K935)&lt;&gt;0)),1,0)</f>
        <v>0</v>
      </c>
      <c r="AI2135" s="1" t="n">
        <f aca="false">N(AI2134)+$AH2135</f>
        <v>0</v>
      </c>
      <c r="AJ2135" s="1" t="n">
        <v>0</v>
      </c>
      <c r="AK2135" s="1" t="n">
        <f aca="false">N(AK2134)+$AJ2135</f>
        <v>3672</v>
      </c>
    </row>
    <row r="2136" customFormat="false" ht="13.5" hidden="false" customHeight="false" outlineLevel="0" collapsed="false">
      <c r="A2136" s="1" t="str">
        <f aca="false">IF(对接源_02物料!$C936="","",对接源_02物料!$C936)</f>
        <v/>
      </c>
      <c r="B2136" s="1" t="n">
        <f aca="false">IF(A2136="",0,IF(MATCH(A2136,$A$4:$A$2403,0)=ROW()-3,1,0))</f>
        <v>0</v>
      </c>
      <c r="C2136" s="1" t="n">
        <f aca="false">N(C2135)+B2136</f>
        <v>17</v>
      </c>
      <c r="K2136" s="1" t="n">
        <f aca="false">IF(OR($K$1="",对接源_02物料!$C936="",对接源_02物料!$C936&lt;&gt;$K$1,对接源_02物料!$B936=""),0,IF(OR(N(对接源_02物料!$B936)&lt;$K$2,N(对接源_02物料!$B936)&gt;$K$3),0,1))</f>
        <v>0</v>
      </c>
      <c r="L2136" s="1" t="n">
        <f aca="false">IF(OR($L$1="",对接源_02物料!$C936="",对接源_02物料!$C936&lt;&gt;$L$1,对接源_02物料!$B936=""),0,IF(OR(N(对接源_02物料!$B936)&lt;$L$2,N(对接源_02物料!$B936)&gt;$L$3),0,1))</f>
        <v>0</v>
      </c>
      <c r="M2136" s="1" t="n">
        <f aca="false">IF(OR($M$1="",对接源_02物料!$C936="",对接源_02物料!$C936&lt;&gt;$M$1,对接源_02物料!$B936=""),0,IF(OR(N(对接源_02物料!$B936)&lt;$M$2,N(对接源_02物料!$B936)&gt;$M$3),0,1))</f>
        <v>0</v>
      </c>
      <c r="N2136" s="1" t="n">
        <f aca="false">IF(OR($N$1="",对接源_02物料!$C936="",对接源_02物料!$C936&lt;&gt;$N$1,对接源_02物料!$B936=""),0,IF(OR(N(对接源_02物料!$B936)&lt;$N$2,N(对接源_02物料!$B936)&gt;$N$3),0,1))</f>
        <v>0</v>
      </c>
      <c r="P2136" s="1" t="n">
        <f aca="false">IF(AND($K2136=1,AND(对接源_02物料!$X936="公司筐",N(对接源_02物料!$T936)&lt;&gt;0)),1,0)</f>
        <v>0</v>
      </c>
      <c r="Q2136" s="1" t="n">
        <f aca="false">N(Q2135)+$P2136</f>
        <v>13</v>
      </c>
      <c r="R2136" s="1" t="n">
        <f aca="false">IF(AND($K2136=1,AND(对接源_02物料!$X936="公司筐",N(对接源_02物料!$U936)&lt;&gt;0)),1,0)</f>
        <v>0</v>
      </c>
      <c r="S2136" s="1" t="n">
        <f aca="false">N(S2135)+$R2136</f>
        <v>5</v>
      </c>
      <c r="T2136" s="1" t="n">
        <f aca="false">IF(AND($K2136=1,AND(对接源_02物料!$X936="公司筐",N(对接源_02物料!$V936)&lt;&gt;0)),1,0)</f>
        <v>0</v>
      </c>
      <c r="U2136" s="1" t="n">
        <f aca="false">N(U2135)+$T2136</f>
        <v>28</v>
      </c>
      <c r="V2136" s="1" t="n">
        <f aca="false">IF(AND($L2136=1,AND(对接源_02物料!$X936="自备筐",N(对接源_02物料!$V936)&lt;&gt;0)),1,0)</f>
        <v>0</v>
      </c>
      <c r="W2136" s="1" t="n">
        <f aca="false">N(W2135)+$V2136</f>
        <v>7</v>
      </c>
      <c r="X2136" s="1" t="n">
        <f aca="false">IF(AND($L2136=1,AND(对接源_02物料!$X936="自备筐",N(对接源_02物料!$T936)&lt;&gt;0)),1,0)</f>
        <v>0</v>
      </c>
      <c r="Y2136" s="1" t="n">
        <f aca="false">N(Y2135)+$X2136</f>
        <v>0</v>
      </c>
      <c r="Z2136" s="1" t="n">
        <f aca="false">IF(AND($M2136=1,对接源_02物料!$D936="原料入库"),1,0)</f>
        <v>0</v>
      </c>
      <c r="AA2136" s="1" t="n">
        <f aca="false">N(AA2135)+$Z2136</f>
        <v>30</v>
      </c>
      <c r="AB2136" s="1" t="n">
        <f aca="false">IF(AND($M2136=1,LEFT(对接源_02物料!$D936,4)="原料出库"),1,0)</f>
        <v>0</v>
      </c>
      <c r="AC2136" s="1" t="n">
        <f aca="false">N(AC2135)+$AB2136</f>
        <v>19</v>
      </c>
      <c r="AD2136" s="1" t="n">
        <f aca="false">IF(AND($M2136=1,LEFT(对接源_02物料!$D936,4)="成品出库"),1,0)</f>
        <v>0</v>
      </c>
      <c r="AE2136" s="1" t="n">
        <f aca="false">N(AE2135)+$AD2136</f>
        <v>38</v>
      </c>
      <c r="AF2136" s="1" t="n">
        <f aca="false">IF(AND($N2136=1,AND(LEFT(对接源_02物料!$D936,4)="包装物料",N(对接源_02物料!$K936)&lt;&gt;0)),1,0)</f>
        <v>0</v>
      </c>
      <c r="AG2136" s="1" t="n">
        <f aca="false">N(AG2135)+$AF2136</f>
        <v>6</v>
      </c>
      <c r="AH2136" s="1" t="n">
        <f aca="false">IF(AND($N2136=1,AND(LEFT(对接源_02物料!$D936,3)="周转筐",N(对接源_02物料!$K936)&lt;&gt;0)),1,0)</f>
        <v>0</v>
      </c>
      <c r="AI2136" s="1" t="n">
        <f aca="false">N(AI2135)+$AH2136</f>
        <v>0</v>
      </c>
      <c r="AJ2136" s="1" t="n">
        <v>0</v>
      </c>
      <c r="AK2136" s="1" t="n">
        <f aca="false">N(AK2135)+$AJ2136</f>
        <v>3672</v>
      </c>
    </row>
    <row r="2137" customFormat="false" ht="13.5" hidden="false" customHeight="false" outlineLevel="0" collapsed="false">
      <c r="A2137" s="1" t="str">
        <f aca="false">IF(对接源_02物料!$C937="","",对接源_02物料!$C937)</f>
        <v/>
      </c>
      <c r="B2137" s="1" t="n">
        <f aca="false">IF(A2137="",0,IF(MATCH(A2137,$A$4:$A$2403,0)=ROW()-3,1,0))</f>
        <v>0</v>
      </c>
      <c r="C2137" s="1" t="n">
        <f aca="false">N(C2136)+B2137</f>
        <v>17</v>
      </c>
      <c r="K2137" s="1" t="n">
        <f aca="false">IF(OR($K$1="",对接源_02物料!$C937="",对接源_02物料!$C937&lt;&gt;$K$1,对接源_02物料!$B937=""),0,IF(OR(N(对接源_02物料!$B937)&lt;$K$2,N(对接源_02物料!$B937)&gt;$K$3),0,1))</f>
        <v>0</v>
      </c>
      <c r="L2137" s="1" t="n">
        <f aca="false">IF(OR($L$1="",对接源_02物料!$C937="",对接源_02物料!$C937&lt;&gt;$L$1,对接源_02物料!$B937=""),0,IF(OR(N(对接源_02物料!$B937)&lt;$L$2,N(对接源_02物料!$B937)&gt;$L$3),0,1))</f>
        <v>0</v>
      </c>
      <c r="M2137" s="1" t="n">
        <f aca="false">IF(OR($M$1="",对接源_02物料!$C937="",对接源_02物料!$C937&lt;&gt;$M$1,对接源_02物料!$B937=""),0,IF(OR(N(对接源_02物料!$B937)&lt;$M$2,N(对接源_02物料!$B937)&gt;$M$3),0,1))</f>
        <v>0</v>
      </c>
      <c r="N2137" s="1" t="n">
        <f aca="false">IF(OR($N$1="",对接源_02物料!$C937="",对接源_02物料!$C937&lt;&gt;$N$1,对接源_02物料!$B937=""),0,IF(OR(N(对接源_02物料!$B937)&lt;$N$2,N(对接源_02物料!$B937)&gt;$N$3),0,1))</f>
        <v>0</v>
      </c>
      <c r="P2137" s="1" t="n">
        <f aca="false">IF(AND($K2137=1,AND(对接源_02物料!$X937="公司筐",N(对接源_02物料!$T937)&lt;&gt;0)),1,0)</f>
        <v>0</v>
      </c>
      <c r="Q2137" s="1" t="n">
        <f aca="false">N(Q2136)+$P2137</f>
        <v>13</v>
      </c>
      <c r="R2137" s="1" t="n">
        <f aca="false">IF(AND($K2137=1,AND(对接源_02物料!$X937="公司筐",N(对接源_02物料!$U937)&lt;&gt;0)),1,0)</f>
        <v>0</v>
      </c>
      <c r="S2137" s="1" t="n">
        <f aca="false">N(S2136)+$R2137</f>
        <v>5</v>
      </c>
      <c r="T2137" s="1" t="n">
        <f aca="false">IF(AND($K2137=1,AND(对接源_02物料!$X937="公司筐",N(对接源_02物料!$V937)&lt;&gt;0)),1,0)</f>
        <v>0</v>
      </c>
      <c r="U2137" s="1" t="n">
        <f aca="false">N(U2136)+$T2137</f>
        <v>28</v>
      </c>
      <c r="V2137" s="1" t="n">
        <f aca="false">IF(AND($L2137=1,AND(对接源_02物料!$X937="自备筐",N(对接源_02物料!$V937)&lt;&gt;0)),1,0)</f>
        <v>0</v>
      </c>
      <c r="W2137" s="1" t="n">
        <f aca="false">N(W2136)+$V2137</f>
        <v>7</v>
      </c>
      <c r="X2137" s="1" t="n">
        <f aca="false">IF(AND($L2137=1,AND(对接源_02物料!$X937="自备筐",N(对接源_02物料!$T937)&lt;&gt;0)),1,0)</f>
        <v>0</v>
      </c>
      <c r="Y2137" s="1" t="n">
        <f aca="false">N(Y2136)+$X2137</f>
        <v>0</v>
      </c>
      <c r="Z2137" s="1" t="n">
        <f aca="false">IF(AND($M2137=1,对接源_02物料!$D937="原料入库"),1,0)</f>
        <v>0</v>
      </c>
      <c r="AA2137" s="1" t="n">
        <f aca="false">N(AA2136)+$Z2137</f>
        <v>30</v>
      </c>
      <c r="AB2137" s="1" t="n">
        <f aca="false">IF(AND($M2137=1,LEFT(对接源_02物料!$D937,4)="原料出库"),1,0)</f>
        <v>0</v>
      </c>
      <c r="AC2137" s="1" t="n">
        <f aca="false">N(AC2136)+$AB2137</f>
        <v>19</v>
      </c>
      <c r="AD2137" s="1" t="n">
        <f aca="false">IF(AND($M2137=1,LEFT(对接源_02物料!$D937,4)="成品出库"),1,0)</f>
        <v>0</v>
      </c>
      <c r="AE2137" s="1" t="n">
        <f aca="false">N(AE2136)+$AD2137</f>
        <v>38</v>
      </c>
      <c r="AF2137" s="1" t="n">
        <f aca="false">IF(AND($N2137=1,AND(LEFT(对接源_02物料!$D937,4)="包装物料",N(对接源_02物料!$K937)&lt;&gt;0)),1,0)</f>
        <v>0</v>
      </c>
      <c r="AG2137" s="1" t="n">
        <f aca="false">N(AG2136)+$AF2137</f>
        <v>6</v>
      </c>
      <c r="AH2137" s="1" t="n">
        <f aca="false">IF(AND($N2137=1,AND(LEFT(对接源_02物料!$D937,3)="周转筐",N(对接源_02物料!$K937)&lt;&gt;0)),1,0)</f>
        <v>0</v>
      </c>
      <c r="AI2137" s="1" t="n">
        <f aca="false">N(AI2136)+$AH2137</f>
        <v>0</v>
      </c>
      <c r="AJ2137" s="1" t="n">
        <v>0</v>
      </c>
      <c r="AK2137" s="1" t="n">
        <f aca="false">N(AK2136)+$AJ2137</f>
        <v>3672</v>
      </c>
    </row>
    <row r="2138" customFormat="false" ht="13.5" hidden="false" customHeight="false" outlineLevel="0" collapsed="false">
      <c r="A2138" s="1" t="str">
        <f aca="false">IF(对接源_02物料!$C938="","",对接源_02物料!$C938)</f>
        <v/>
      </c>
      <c r="B2138" s="1" t="n">
        <f aca="false">IF(A2138="",0,IF(MATCH(A2138,$A$4:$A$2403,0)=ROW()-3,1,0))</f>
        <v>0</v>
      </c>
      <c r="C2138" s="1" t="n">
        <f aca="false">N(C2137)+B2138</f>
        <v>17</v>
      </c>
      <c r="K2138" s="1" t="n">
        <f aca="false">IF(OR($K$1="",对接源_02物料!$C938="",对接源_02物料!$C938&lt;&gt;$K$1,对接源_02物料!$B938=""),0,IF(OR(N(对接源_02物料!$B938)&lt;$K$2,N(对接源_02物料!$B938)&gt;$K$3),0,1))</f>
        <v>0</v>
      </c>
      <c r="L2138" s="1" t="n">
        <f aca="false">IF(OR($L$1="",对接源_02物料!$C938="",对接源_02物料!$C938&lt;&gt;$L$1,对接源_02物料!$B938=""),0,IF(OR(N(对接源_02物料!$B938)&lt;$L$2,N(对接源_02物料!$B938)&gt;$L$3),0,1))</f>
        <v>0</v>
      </c>
      <c r="M2138" s="1" t="n">
        <f aca="false">IF(OR($M$1="",对接源_02物料!$C938="",对接源_02物料!$C938&lt;&gt;$M$1,对接源_02物料!$B938=""),0,IF(OR(N(对接源_02物料!$B938)&lt;$M$2,N(对接源_02物料!$B938)&gt;$M$3),0,1))</f>
        <v>0</v>
      </c>
      <c r="N2138" s="1" t="n">
        <f aca="false">IF(OR($N$1="",对接源_02物料!$C938="",对接源_02物料!$C938&lt;&gt;$N$1,对接源_02物料!$B938=""),0,IF(OR(N(对接源_02物料!$B938)&lt;$N$2,N(对接源_02物料!$B938)&gt;$N$3),0,1))</f>
        <v>0</v>
      </c>
      <c r="P2138" s="1" t="n">
        <f aca="false">IF(AND($K2138=1,AND(对接源_02物料!$X938="公司筐",N(对接源_02物料!$T938)&lt;&gt;0)),1,0)</f>
        <v>0</v>
      </c>
      <c r="Q2138" s="1" t="n">
        <f aca="false">N(Q2137)+$P2138</f>
        <v>13</v>
      </c>
      <c r="R2138" s="1" t="n">
        <f aca="false">IF(AND($K2138=1,AND(对接源_02物料!$X938="公司筐",N(对接源_02物料!$U938)&lt;&gt;0)),1,0)</f>
        <v>0</v>
      </c>
      <c r="S2138" s="1" t="n">
        <f aca="false">N(S2137)+$R2138</f>
        <v>5</v>
      </c>
      <c r="T2138" s="1" t="n">
        <f aca="false">IF(AND($K2138=1,AND(对接源_02物料!$X938="公司筐",N(对接源_02物料!$V938)&lt;&gt;0)),1,0)</f>
        <v>0</v>
      </c>
      <c r="U2138" s="1" t="n">
        <f aca="false">N(U2137)+$T2138</f>
        <v>28</v>
      </c>
      <c r="V2138" s="1" t="n">
        <f aca="false">IF(AND($L2138=1,AND(对接源_02物料!$X938="自备筐",N(对接源_02物料!$V938)&lt;&gt;0)),1,0)</f>
        <v>0</v>
      </c>
      <c r="W2138" s="1" t="n">
        <f aca="false">N(W2137)+$V2138</f>
        <v>7</v>
      </c>
      <c r="X2138" s="1" t="n">
        <f aca="false">IF(AND($L2138=1,AND(对接源_02物料!$X938="自备筐",N(对接源_02物料!$T938)&lt;&gt;0)),1,0)</f>
        <v>0</v>
      </c>
      <c r="Y2138" s="1" t="n">
        <f aca="false">N(Y2137)+$X2138</f>
        <v>0</v>
      </c>
      <c r="Z2138" s="1" t="n">
        <f aca="false">IF(AND($M2138=1,对接源_02物料!$D938="原料入库"),1,0)</f>
        <v>0</v>
      </c>
      <c r="AA2138" s="1" t="n">
        <f aca="false">N(AA2137)+$Z2138</f>
        <v>30</v>
      </c>
      <c r="AB2138" s="1" t="n">
        <f aca="false">IF(AND($M2138=1,LEFT(对接源_02物料!$D938,4)="原料出库"),1,0)</f>
        <v>0</v>
      </c>
      <c r="AC2138" s="1" t="n">
        <f aca="false">N(AC2137)+$AB2138</f>
        <v>19</v>
      </c>
      <c r="AD2138" s="1" t="n">
        <f aca="false">IF(AND($M2138=1,LEFT(对接源_02物料!$D938,4)="成品出库"),1,0)</f>
        <v>0</v>
      </c>
      <c r="AE2138" s="1" t="n">
        <f aca="false">N(AE2137)+$AD2138</f>
        <v>38</v>
      </c>
      <c r="AF2138" s="1" t="n">
        <f aca="false">IF(AND($N2138=1,AND(LEFT(对接源_02物料!$D938,4)="包装物料",N(对接源_02物料!$K938)&lt;&gt;0)),1,0)</f>
        <v>0</v>
      </c>
      <c r="AG2138" s="1" t="n">
        <f aca="false">N(AG2137)+$AF2138</f>
        <v>6</v>
      </c>
      <c r="AH2138" s="1" t="n">
        <f aca="false">IF(AND($N2138=1,AND(LEFT(对接源_02物料!$D938,3)="周转筐",N(对接源_02物料!$K938)&lt;&gt;0)),1,0)</f>
        <v>0</v>
      </c>
      <c r="AI2138" s="1" t="n">
        <f aca="false">N(AI2137)+$AH2138</f>
        <v>0</v>
      </c>
      <c r="AJ2138" s="1" t="n">
        <v>0</v>
      </c>
      <c r="AK2138" s="1" t="n">
        <f aca="false">N(AK2137)+$AJ2138</f>
        <v>3672</v>
      </c>
    </row>
    <row r="2139" customFormat="false" ht="13.5" hidden="false" customHeight="false" outlineLevel="0" collapsed="false">
      <c r="A2139" s="1" t="str">
        <f aca="false">IF(对接源_02物料!$C939="","",对接源_02物料!$C939)</f>
        <v/>
      </c>
      <c r="B2139" s="1" t="n">
        <f aca="false">IF(A2139="",0,IF(MATCH(A2139,$A$4:$A$2403,0)=ROW()-3,1,0))</f>
        <v>0</v>
      </c>
      <c r="C2139" s="1" t="n">
        <f aca="false">N(C2138)+B2139</f>
        <v>17</v>
      </c>
      <c r="K2139" s="1" t="n">
        <f aca="false">IF(OR($K$1="",对接源_02物料!$C939="",对接源_02物料!$C939&lt;&gt;$K$1,对接源_02物料!$B939=""),0,IF(OR(N(对接源_02物料!$B939)&lt;$K$2,N(对接源_02物料!$B939)&gt;$K$3),0,1))</f>
        <v>0</v>
      </c>
      <c r="L2139" s="1" t="n">
        <f aca="false">IF(OR($L$1="",对接源_02物料!$C939="",对接源_02物料!$C939&lt;&gt;$L$1,对接源_02物料!$B939=""),0,IF(OR(N(对接源_02物料!$B939)&lt;$L$2,N(对接源_02物料!$B939)&gt;$L$3),0,1))</f>
        <v>0</v>
      </c>
      <c r="M2139" s="1" t="n">
        <f aca="false">IF(OR($M$1="",对接源_02物料!$C939="",对接源_02物料!$C939&lt;&gt;$M$1,对接源_02物料!$B939=""),0,IF(OR(N(对接源_02物料!$B939)&lt;$M$2,N(对接源_02物料!$B939)&gt;$M$3),0,1))</f>
        <v>0</v>
      </c>
      <c r="N2139" s="1" t="n">
        <f aca="false">IF(OR($N$1="",对接源_02物料!$C939="",对接源_02物料!$C939&lt;&gt;$N$1,对接源_02物料!$B939=""),0,IF(OR(N(对接源_02物料!$B939)&lt;$N$2,N(对接源_02物料!$B939)&gt;$N$3),0,1))</f>
        <v>0</v>
      </c>
      <c r="P2139" s="1" t="n">
        <f aca="false">IF(AND($K2139=1,AND(对接源_02物料!$X939="公司筐",N(对接源_02物料!$T939)&lt;&gt;0)),1,0)</f>
        <v>0</v>
      </c>
      <c r="Q2139" s="1" t="n">
        <f aca="false">N(Q2138)+$P2139</f>
        <v>13</v>
      </c>
      <c r="R2139" s="1" t="n">
        <f aca="false">IF(AND($K2139=1,AND(对接源_02物料!$X939="公司筐",N(对接源_02物料!$U939)&lt;&gt;0)),1,0)</f>
        <v>0</v>
      </c>
      <c r="S2139" s="1" t="n">
        <f aca="false">N(S2138)+$R2139</f>
        <v>5</v>
      </c>
      <c r="T2139" s="1" t="n">
        <f aca="false">IF(AND($K2139=1,AND(对接源_02物料!$X939="公司筐",N(对接源_02物料!$V939)&lt;&gt;0)),1,0)</f>
        <v>0</v>
      </c>
      <c r="U2139" s="1" t="n">
        <f aca="false">N(U2138)+$T2139</f>
        <v>28</v>
      </c>
      <c r="V2139" s="1" t="n">
        <f aca="false">IF(AND($L2139=1,AND(对接源_02物料!$X939="自备筐",N(对接源_02物料!$V939)&lt;&gt;0)),1,0)</f>
        <v>0</v>
      </c>
      <c r="W2139" s="1" t="n">
        <f aca="false">N(W2138)+$V2139</f>
        <v>7</v>
      </c>
      <c r="X2139" s="1" t="n">
        <f aca="false">IF(AND($L2139=1,AND(对接源_02物料!$X939="自备筐",N(对接源_02物料!$T939)&lt;&gt;0)),1,0)</f>
        <v>0</v>
      </c>
      <c r="Y2139" s="1" t="n">
        <f aca="false">N(Y2138)+$X2139</f>
        <v>0</v>
      </c>
      <c r="Z2139" s="1" t="n">
        <f aca="false">IF(AND($M2139=1,对接源_02物料!$D939="原料入库"),1,0)</f>
        <v>0</v>
      </c>
      <c r="AA2139" s="1" t="n">
        <f aca="false">N(AA2138)+$Z2139</f>
        <v>30</v>
      </c>
      <c r="AB2139" s="1" t="n">
        <f aca="false">IF(AND($M2139=1,LEFT(对接源_02物料!$D939,4)="原料出库"),1,0)</f>
        <v>0</v>
      </c>
      <c r="AC2139" s="1" t="n">
        <f aca="false">N(AC2138)+$AB2139</f>
        <v>19</v>
      </c>
      <c r="AD2139" s="1" t="n">
        <f aca="false">IF(AND($M2139=1,LEFT(对接源_02物料!$D939,4)="成品出库"),1,0)</f>
        <v>0</v>
      </c>
      <c r="AE2139" s="1" t="n">
        <f aca="false">N(AE2138)+$AD2139</f>
        <v>38</v>
      </c>
      <c r="AF2139" s="1" t="n">
        <f aca="false">IF(AND($N2139=1,AND(LEFT(对接源_02物料!$D939,4)="包装物料",N(对接源_02物料!$K939)&lt;&gt;0)),1,0)</f>
        <v>0</v>
      </c>
      <c r="AG2139" s="1" t="n">
        <f aca="false">N(AG2138)+$AF2139</f>
        <v>6</v>
      </c>
      <c r="AH2139" s="1" t="n">
        <f aca="false">IF(AND($N2139=1,AND(LEFT(对接源_02物料!$D939,3)="周转筐",N(对接源_02物料!$K939)&lt;&gt;0)),1,0)</f>
        <v>0</v>
      </c>
      <c r="AI2139" s="1" t="n">
        <f aca="false">N(AI2138)+$AH2139</f>
        <v>0</v>
      </c>
      <c r="AJ2139" s="1" t="n">
        <v>0</v>
      </c>
      <c r="AK2139" s="1" t="n">
        <f aca="false">N(AK2138)+$AJ2139</f>
        <v>3672</v>
      </c>
    </row>
    <row r="2140" customFormat="false" ht="13.5" hidden="false" customHeight="false" outlineLevel="0" collapsed="false">
      <c r="A2140" s="1" t="str">
        <f aca="false">IF(对接源_02物料!$C940="","",对接源_02物料!$C940)</f>
        <v/>
      </c>
      <c r="B2140" s="1" t="n">
        <f aca="false">IF(A2140="",0,IF(MATCH(A2140,$A$4:$A$2403,0)=ROW()-3,1,0))</f>
        <v>0</v>
      </c>
      <c r="C2140" s="1" t="n">
        <f aca="false">N(C2139)+B2140</f>
        <v>17</v>
      </c>
      <c r="K2140" s="1" t="n">
        <f aca="false">IF(OR($K$1="",对接源_02物料!$C940="",对接源_02物料!$C940&lt;&gt;$K$1,对接源_02物料!$B940=""),0,IF(OR(N(对接源_02物料!$B940)&lt;$K$2,N(对接源_02物料!$B940)&gt;$K$3),0,1))</f>
        <v>0</v>
      </c>
      <c r="L2140" s="1" t="n">
        <f aca="false">IF(OR($L$1="",对接源_02物料!$C940="",对接源_02物料!$C940&lt;&gt;$L$1,对接源_02物料!$B940=""),0,IF(OR(N(对接源_02物料!$B940)&lt;$L$2,N(对接源_02物料!$B940)&gt;$L$3),0,1))</f>
        <v>0</v>
      </c>
      <c r="M2140" s="1" t="n">
        <f aca="false">IF(OR($M$1="",对接源_02物料!$C940="",对接源_02物料!$C940&lt;&gt;$M$1,对接源_02物料!$B940=""),0,IF(OR(N(对接源_02物料!$B940)&lt;$M$2,N(对接源_02物料!$B940)&gt;$M$3),0,1))</f>
        <v>0</v>
      </c>
      <c r="N2140" s="1" t="n">
        <f aca="false">IF(OR($N$1="",对接源_02物料!$C940="",对接源_02物料!$C940&lt;&gt;$N$1,对接源_02物料!$B940=""),0,IF(OR(N(对接源_02物料!$B940)&lt;$N$2,N(对接源_02物料!$B940)&gt;$N$3),0,1))</f>
        <v>0</v>
      </c>
      <c r="P2140" s="1" t="n">
        <f aca="false">IF(AND($K2140=1,AND(对接源_02物料!$X940="公司筐",N(对接源_02物料!$T940)&lt;&gt;0)),1,0)</f>
        <v>0</v>
      </c>
      <c r="Q2140" s="1" t="n">
        <f aca="false">N(Q2139)+$P2140</f>
        <v>13</v>
      </c>
      <c r="R2140" s="1" t="n">
        <f aca="false">IF(AND($K2140=1,AND(对接源_02物料!$X940="公司筐",N(对接源_02物料!$U940)&lt;&gt;0)),1,0)</f>
        <v>0</v>
      </c>
      <c r="S2140" s="1" t="n">
        <f aca="false">N(S2139)+$R2140</f>
        <v>5</v>
      </c>
      <c r="T2140" s="1" t="n">
        <f aca="false">IF(AND($K2140=1,AND(对接源_02物料!$X940="公司筐",N(对接源_02物料!$V940)&lt;&gt;0)),1,0)</f>
        <v>0</v>
      </c>
      <c r="U2140" s="1" t="n">
        <f aca="false">N(U2139)+$T2140</f>
        <v>28</v>
      </c>
      <c r="V2140" s="1" t="n">
        <f aca="false">IF(AND($L2140=1,AND(对接源_02物料!$X940="自备筐",N(对接源_02物料!$V940)&lt;&gt;0)),1,0)</f>
        <v>0</v>
      </c>
      <c r="W2140" s="1" t="n">
        <f aca="false">N(W2139)+$V2140</f>
        <v>7</v>
      </c>
      <c r="X2140" s="1" t="n">
        <f aca="false">IF(AND($L2140=1,AND(对接源_02物料!$X940="自备筐",N(对接源_02物料!$T940)&lt;&gt;0)),1,0)</f>
        <v>0</v>
      </c>
      <c r="Y2140" s="1" t="n">
        <f aca="false">N(Y2139)+$X2140</f>
        <v>0</v>
      </c>
      <c r="Z2140" s="1" t="n">
        <f aca="false">IF(AND($M2140=1,对接源_02物料!$D940="原料入库"),1,0)</f>
        <v>0</v>
      </c>
      <c r="AA2140" s="1" t="n">
        <f aca="false">N(AA2139)+$Z2140</f>
        <v>30</v>
      </c>
      <c r="AB2140" s="1" t="n">
        <f aca="false">IF(AND($M2140=1,LEFT(对接源_02物料!$D940,4)="原料出库"),1,0)</f>
        <v>0</v>
      </c>
      <c r="AC2140" s="1" t="n">
        <f aca="false">N(AC2139)+$AB2140</f>
        <v>19</v>
      </c>
      <c r="AD2140" s="1" t="n">
        <f aca="false">IF(AND($M2140=1,LEFT(对接源_02物料!$D940,4)="成品出库"),1,0)</f>
        <v>0</v>
      </c>
      <c r="AE2140" s="1" t="n">
        <f aca="false">N(AE2139)+$AD2140</f>
        <v>38</v>
      </c>
      <c r="AF2140" s="1" t="n">
        <f aca="false">IF(AND($N2140=1,AND(LEFT(对接源_02物料!$D940,4)="包装物料",N(对接源_02物料!$K940)&lt;&gt;0)),1,0)</f>
        <v>0</v>
      </c>
      <c r="AG2140" s="1" t="n">
        <f aca="false">N(AG2139)+$AF2140</f>
        <v>6</v>
      </c>
      <c r="AH2140" s="1" t="n">
        <f aca="false">IF(AND($N2140=1,AND(LEFT(对接源_02物料!$D940,3)="周转筐",N(对接源_02物料!$K940)&lt;&gt;0)),1,0)</f>
        <v>0</v>
      </c>
      <c r="AI2140" s="1" t="n">
        <f aca="false">N(AI2139)+$AH2140</f>
        <v>0</v>
      </c>
      <c r="AJ2140" s="1" t="n">
        <v>0</v>
      </c>
      <c r="AK2140" s="1" t="n">
        <f aca="false">N(AK2139)+$AJ2140</f>
        <v>3672</v>
      </c>
    </row>
    <row r="2141" customFormat="false" ht="13.5" hidden="false" customHeight="false" outlineLevel="0" collapsed="false">
      <c r="A2141" s="1" t="str">
        <f aca="false">IF(对接源_02物料!$C941="","",对接源_02物料!$C941)</f>
        <v/>
      </c>
      <c r="B2141" s="1" t="n">
        <f aca="false">IF(A2141="",0,IF(MATCH(A2141,$A$4:$A$2403,0)=ROW()-3,1,0))</f>
        <v>0</v>
      </c>
      <c r="C2141" s="1" t="n">
        <f aca="false">N(C2140)+B2141</f>
        <v>17</v>
      </c>
      <c r="K2141" s="1" t="n">
        <f aca="false">IF(OR($K$1="",对接源_02物料!$C941="",对接源_02物料!$C941&lt;&gt;$K$1,对接源_02物料!$B941=""),0,IF(OR(N(对接源_02物料!$B941)&lt;$K$2,N(对接源_02物料!$B941)&gt;$K$3),0,1))</f>
        <v>0</v>
      </c>
      <c r="L2141" s="1" t="n">
        <f aca="false">IF(OR($L$1="",对接源_02物料!$C941="",对接源_02物料!$C941&lt;&gt;$L$1,对接源_02物料!$B941=""),0,IF(OR(N(对接源_02物料!$B941)&lt;$L$2,N(对接源_02物料!$B941)&gt;$L$3),0,1))</f>
        <v>0</v>
      </c>
      <c r="M2141" s="1" t="n">
        <f aca="false">IF(OR($M$1="",对接源_02物料!$C941="",对接源_02物料!$C941&lt;&gt;$M$1,对接源_02物料!$B941=""),0,IF(OR(N(对接源_02物料!$B941)&lt;$M$2,N(对接源_02物料!$B941)&gt;$M$3),0,1))</f>
        <v>0</v>
      </c>
      <c r="N2141" s="1" t="n">
        <f aca="false">IF(OR($N$1="",对接源_02物料!$C941="",对接源_02物料!$C941&lt;&gt;$N$1,对接源_02物料!$B941=""),0,IF(OR(N(对接源_02物料!$B941)&lt;$N$2,N(对接源_02物料!$B941)&gt;$N$3),0,1))</f>
        <v>0</v>
      </c>
      <c r="P2141" s="1" t="n">
        <f aca="false">IF(AND($K2141=1,AND(对接源_02物料!$X941="公司筐",N(对接源_02物料!$T941)&lt;&gt;0)),1,0)</f>
        <v>0</v>
      </c>
      <c r="Q2141" s="1" t="n">
        <f aca="false">N(Q2140)+$P2141</f>
        <v>13</v>
      </c>
      <c r="R2141" s="1" t="n">
        <f aca="false">IF(AND($K2141=1,AND(对接源_02物料!$X941="公司筐",N(对接源_02物料!$U941)&lt;&gt;0)),1,0)</f>
        <v>0</v>
      </c>
      <c r="S2141" s="1" t="n">
        <f aca="false">N(S2140)+$R2141</f>
        <v>5</v>
      </c>
      <c r="T2141" s="1" t="n">
        <f aca="false">IF(AND($K2141=1,AND(对接源_02物料!$X941="公司筐",N(对接源_02物料!$V941)&lt;&gt;0)),1,0)</f>
        <v>0</v>
      </c>
      <c r="U2141" s="1" t="n">
        <f aca="false">N(U2140)+$T2141</f>
        <v>28</v>
      </c>
      <c r="V2141" s="1" t="n">
        <f aca="false">IF(AND($L2141=1,AND(对接源_02物料!$X941="自备筐",N(对接源_02物料!$V941)&lt;&gt;0)),1,0)</f>
        <v>0</v>
      </c>
      <c r="W2141" s="1" t="n">
        <f aca="false">N(W2140)+$V2141</f>
        <v>7</v>
      </c>
      <c r="X2141" s="1" t="n">
        <f aca="false">IF(AND($L2141=1,AND(对接源_02物料!$X941="自备筐",N(对接源_02物料!$T941)&lt;&gt;0)),1,0)</f>
        <v>0</v>
      </c>
      <c r="Y2141" s="1" t="n">
        <f aca="false">N(Y2140)+$X2141</f>
        <v>0</v>
      </c>
      <c r="Z2141" s="1" t="n">
        <f aca="false">IF(AND($M2141=1,对接源_02物料!$D941="原料入库"),1,0)</f>
        <v>0</v>
      </c>
      <c r="AA2141" s="1" t="n">
        <f aca="false">N(AA2140)+$Z2141</f>
        <v>30</v>
      </c>
      <c r="AB2141" s="1" t="n">
        <f aca="false">IF(AND($M2141=1,LEFT(对接源_02物料!$D941,4)="原料出库"),1,0)</f>
        <v>0</v>
      </c>
      <c r="AC2141" s="1" t="n">
        <f aca="false">N(AC2140)+$AB2141</f>
        <v>19</v>
      </c>
      <c r="AD2141" s="1" t="n">
        <f aca="false">IF(AND($M2141=1,LEFT(对接源_02物料!$D941,4)="成品出库"),1,0)</f>
        <v>0</v>
      </c>
      <c r="AE2141" s="1" t="n">
        <f aca="false">N(AE2140)+$AD2141</f>
        <v>38</v>
      </c>
      <c r="AF2141" s="1" t="n">
        <f aca="false">IF(AND($N2141=1,AND(LEFT(对接源_02物料!$D941,4)="包装物料",N(对接源_02物料!$K941)&lt;&gt;0)),1,0)</f>
        <v>0</v>
      </c>
      <c r="AG2141" s="1" t="n">
        <f aca="false">N(AG2140)+$AF2141</f>
        <v>6</v>
      </c>
      <c r="AH2141" s="1" t="n">
        <f aca="false">IF(AND($N2141=1,AND(LEFT(对接源_02物料!$D941,3)="周转筐",N(对接源_02物料!$K941)&lt;&gt;0)),1,0)</f>
        <v>0</v>
      </c>
      <c r="AI2141" s="1" t="n">
        <f aca="false">N(AI2140)+$AH2141</f>
        <v>0</v>
      </c>
      <c r="AJ2141" s="1" t="n">
        <v>0</v>
      </c>
      <c r="AK2141" s="1" t="n">
        <f aca="false">N(AK2140)+$AJ2141</f>
        <v>3672</v>
      </c>
    </row>
    <row r="2142" customFormat="false" ht="13.5" hidden="false" customHeight="false" outlineLevel="0" collapsed="false">
      <c r="A2142" s="1" t="str">
        <f aca="false">IF(对接源_02物料!$C942="","",对接源_02物料!$C942)</f>
        <v/>
      </c>
      <c r="B2142" s="1" t="n">
        <f aca="false">IF(A2142="",0,IF(MATCH(A2142,$A$4:$A$2403,0)=ROW()-3,1,0))</f>
        <v>0</v>
      </c>
      <c r="C2142" s="1" t="n">
        <f aca="false">N(C2141)+B2142</f>
        <v>17</v>
      </c>
      <c r="K2142" s="1" t="n">
        <f aca="false">IF(OR($K$1="",对接源_02物料!$C942="",对接源_02物料!$C942&lt;&gt;$K$1,对接源_02物料!$B942=""),0,IF(OR(N(对接源_02物料!$B942)&lt;$K$2,N(对接源_02物料!$B942)&gt;$K$3),0,1))</f>
        <v>0</v>
      </c>
      <c r="L2142" s="1" t="n">
        <f aca="false">IF(OR($L$1="",对接源_02物料!$C942="",对接源_02物料!$C942&lt;&gt;$L$1,对接源_02物料!$B942=""),0,IF(OR(N(对接源_02物料!$B942)&lt;$L$2,N(对接源_02物料!$B942)&gt;$L$3),0,1))</f>
        <v>0</v>
      </c>
      <c r="M2142" s="1" t="n">
        <f aca="false">IF(OR($M$1="",对接源_02物料!$C942="",对接源_02物料!$C942&lt;&gt;$M$1,对接源_02物料!$B942=""),0,IF(OR(N(对接源_02物料!$B942)&lt;$M$2,N(对接源_02物料!$B942)&gt;$M$3),0,1))</f>
        <v>0</v>
      </c>
      <c r="N2142" s="1" t="n">
        <f aca="false">IF(OR($N$1="",对接源_02物料!$C942="",对接源_02物料!$C942&lt;&gt;$N$1,对接源_02物料!$B942=""),0,IF(OR(N(对接源_02物料!$B942)&lt;$N$2,N(对接源_02物料!$B942)&gt;$N$3),0,1))</f>
        <v>0</v>
      </c>
      <c r="P2142" s="1" t="n">
        <f aca="false">IF(AND($K2142=1,AND(对接源_02物料!$X942="公司筐",N(对接源_02物料!$T942)&lt;&gt;0)),1,0)</f>
        <v>0</v>
      </c>
      <c r="Q2142" s="1" t="n">
        <f aca="false">N(Q2141)+$P2142</f>
        <v>13</v>
      </c>
      <c r="R2142" s="1" t="n">
        <f aca="false">IF(AND($K2142=1,AND(对接源_02物料!$X942="公司筐",N(对接源_02物料!$U942)&lt;&gt;0)),1,0)</f>
        <v>0</v>
      </c>
      <c r="S2142" s="1" t="n">
        <f aca="false">N(S2141)+$R2142</f>
        <v>5</v>
      </c>
      <c r="T2142" s="1" t="n">
        <f aca="false">IF(AND($K2142=1,AND(对接源_02物料!$X942="公司筐",N(对接源_02物料!$V942)&lt;&gt;0)),1,0)</f>
        <v>0</v>
      </c>
      <c r="U2142" s="1" t="n">
        <f aca="false">N(U2141)+$T2142</f>
        <v>28</v>
      </c>
      <c r="V2142" s="1" t="n">
        <f aca="false">IF(AND($L2142=1,AND(对接源_02物料!$X942="自备筐",N(对接源_02物料!$V942)&lt;&gt;0)),1,0)</f>
        <v>0</v>
      </c>
      <c r="W2142" s="1" t="n">
        <f aca="false">N(W2141)+$V2142</f>
        <v>7</v>
      </c>
      <c r="X2142" s="1" t="n">
        <f aca="false">IF(AND($L2142=1,AND(对接源_02物料!$X942="自备筐",N(对接源_02物料!$T942)&lt;&gt;0)),1,0)</f>
        <v>0</v>
      </c>
      <c r="Y2142" s="1" t="n">
        <f aca="false">N(Y2141)+$X2142</f>
        <v>0</v>
      </c>
      <c r="Z2142" s="1" t="n">
        <f aca="false">IF(AND($M2142=1,对接源_02物料!$D942="原料入库"),1,0)</f>
        <v>0</v>
      </c>
      <c r="AA2142" s="1" t="n">
        <f aca="false">N(AA2141)+$Z2142</f>
        <v>30</v>
      </c>
      <c r="AB2142" s="1" t="n">
        <f aca="false">IF(AND($M2142=1,LEFT(对接源_02物料!$D942,4)="原料出库"),1,0)</f>
        <v>0</v>
      </c>
      <c r="AC2142" s="1" t="n">
        <f aca="false">N(AC2141)+$AB2142</f>
        <v>19</v>
      </c>
      <c r="AD2142" s="1" t="n">
        <f aca="false">IF(AND($M2142=1,LEFT(对接源_02物料!$D942,4)="成品出库"),1,0)</f>
        <v>0</v>
      </c>
      <c r="AE2142" s="1" t="n">
        <f aca="false">N(AE2141)+$AD2142</f>
        <v>38</v>
      </c>
      <c r="AF2142" s="1" t="n">
        <f aca="false">IF(AND($N2142=1,AND(LEFT(对接源_02物料!$D942,4)="包装物料",N(对接源_02物料!$K942)&lt;&gt;0)),1,0)</f>
        <v>0</v>
      </c>
      <c r="AG2142" s="1" t="n">
        <f aca="false">N(AG2141)+$AF2142</f>
        <v>6</v>
      </c>
      <c r="AH2142" s="1" t="n">
        <f aca="false">IF(AND($N2142=1,AND(LEFT(对接源_02物料!$D942,3)="周转筐",N(对接源_02物料!$K942)&lt;&gt;0)),1,0)</f>
        <v>0</v>
      </c>
      <c r="AI2142" s="1" t="n">
        <f aca="false">N(AI2141)+$AH2142</f>
        <v>0</v>
      </c>
      <c r="AJ2142" s="1" t="n">
        <v>0</v>
      </c>
      <c r="AK2142" s="1" t="n">
        <f aca="false">N(AK2141)+$AJ2142</f>
        <v>3672</v>
      </c>
    </row>
    <row r="2143" customFormat="false" ht="13.5" hidden="false" customHeight="false" outlineLevel="0" collapsed="false">
      <c r="A2143" s="1" t="str">
        <f aca="false">IF(对接源_02物料!$C943="","",对接源_02物料!$C943)</f>
        <v/>
      </c>
      <c r="B2143" s="1" t="n">
        <f aca="false">IF(A2143="",0,IF(MATCH(A2143,$A$4:$A$2403,0)=ROW()-3,1,0))</f>
        <v>0</v>
      </c>
      <c r="C2143" s="1" t="n">
        <f aca="false">N(C2142)+B2143</f>
        <v>17</v>
      </c>
      <c r="K2143" s="1" t="n">
        <f aca="false">IF(OR($K$1="",对接源_02物料!$C943="",对接源_02物料!$C943&lt;&gt;$K$1,对接源_02物料!$B943=""),0,IF(OR(N(对接源_02物料!$B943)&lt;$K$2,N(对接源_02物料!$B943)&gt;$K$3),0,1))</f>
        <v>0</v>
      </c>
      <c r="L2143" s="1" t="n">
        <f aca="false">IF(OR($L$1="",对接源_02物料!$C943="",对接源_02物料!$C943&lt;&gt;$L$1,对接源_02物料!$B943=""),0,IF(OR(N(对接源_02物料!$B943)&lt;$L$2,N(对接源_02物料!$B943)&gt;$L$3),0,1))</f>
        <v>0</v>
      </c>
      <c r="M2143" s="1" t="n">
        <f aca="false">IF(OR($M$1="",对接源_02物料!$C943="",对接源_02物料!$C943&lt;&gt;$M$1,对接源_02物料!$B943=""),0,IF(OR(N(对接源_02物料!$B943)&lt;$M$2,N(对接源_02物料!$B943)&gt;$M$3),0,1))</f>
        <v>0</v>
      </c>
      <c r="N2143" s="1" t="n">
        <f aca="false">IF(OR($N$1="",对接源_02物料!$C943="",对接源_02物料!$C943&lt;&gt;$N$1,对接源_02物料!$B943=""),0,IF(OR(N(对接源_02物料!$B943)&lt;$N$2,N(对接源_02物料!$B943)&gt;$N$3),0,1))</f>
        <v>0</v>
      </c>
      <c r="P2143" s="1" t="n">
        <f aca="false">IF(AND($K2143=1,AND(对接源_02物料!$X943="公司筐",N(对接源_02物料!$T943)&lt;&gt;0)),1,0)</f>
        <v>0</v>
      </c>
      <c r="Q2143" s="1" t="n">
        <f aca="false">N(Q2142)+$P2143</f>
        <v>13</v>
      </c>
      <c r="R2143" s="1" t="n">
        <f aca="false">IF(AND($K2143=1,AND(对接源_02物料!$X943="公司筐",N(对接源_02物料!$U943)&lt;&gt;0)),1,0)</f>
        <v>0</v>
      </c>
      <c r="S2143" s="1" t="n">
        <f aca="false">N(S2142)+$R2143</f>
        <v>5</v>
      </c>
      <c r="T2143" s="1" t="n">
        <f aca="false">IF(AND($K2143=1,AND(对接源_02物料!$X943="公司筐",N(对接源_02物料!$V943)&lt;&gt;0)),1,0)</f>
        <v>0</v>
      </c>
      <c r="U2143" s="1" t="n">
        <f aca="false">N(U2142)+$T2143</f>
        <v>28</v>
      </c>
      <c r="V2143" s="1" t="n">
        <f aca="false">IF(AND($L2143=1,AND(对接源_02物料!$X943="自备筐",N(对接源_02物料!$V943)&lt;&gt;0)),1,0)</f>
        <v>0</v>
      </c>
      <c r="W2143" s="1" t="n">
        <f aca="false">N(W2142)+$V2143</f>
        <v>7</v>
      </c>
      <c r="X2143" s="1" t="n">
        <f aca="false">IF(AND($L2143=1,AND(对接源_02物料!$X943="自备筐",N(对接源_02物料!$T943)&lt;&gt;0)),1,0)</f>
        <v>0</v>
      </c>
      <c r="Y2143" s="1" t="n">
        <f aca="false">N(Y2142)+$X2143</f>
        <v>0</v>
      </c>
      <c r="Z2143" s="1" t="n">
        <f aca="false">IF(AND($M2143=1,对接源_02物料!$D943="原料入库"),1,0)</f>
        <v>0</v>
      </c>
      <c r="AA2143" s="1" t="n">
        <f aca="false">N(AA2142)+$Z2143</f>
        <v>30</v>
      </c>
      <c r="AB2143" s="1" t="n">
        <f aca="false">IF(AND($M2143=1,LEFT(对接源_02物料!$D943,4)="原料出库"),1,0)</f>
        <v>0</v>
      </c>
      <c r="AC2143" s="1" t="n">
        <f aca="false">N(AC2142)+$AB2143</f>
        <v>19</v>
      </c>
      <c r="AD2143" s="1" t="n">
        <f aca="false">IF(AND($M2143=1,LEFT(对接源_02物料!$D943,4)="成品出库"),1,0)</f>
        <v>0</v>
      </c>
      <c r="AE2143" s="1" t="n">
        <f aca="false">N(AE2142)+$AD2143</f>
        <v>38</v>
      </c>
      <c r="AF2143" s="1" t="n">
        <f aca="false">IF(AND($N2143=1,AND(LEFT(对接源_02物料!$D943,4)="包装物料",N(对接源_02物料!$K943)&lt;&gt;0)),1,0)</f>
        <v>0</v>
      </c>
      <c r="AG2143" s="1" t="n">
        <f aca="false">N(AG2142)+$AF2143</f>
        <v>6</v>
      </c>
      <c r="AH2143" s="1" t="n">
        <f aca="false">IF(AND($N2143=1,AND(LEFT(对接源_02物料!$D943,3)="周转筐",N(对接源_02物料!$K943)&lt;&gt;0)),1,0)</f>
        <v>0</v>
      </c>
      <c r="AI2143" s="1" t="n">
        <f aca="false">N(AI2142)+$AH2143</f>
        <v>0</v>
      </c>
      <c r="AJ2143" s="1" t="n">
        <v>0</v>
      </c>
      <c r="AK2143" s="1" t="n">
        <f aca="false">N(AK2142)+$AJ2143</f>
        <v>3672</v>
      </c>
    </row>
    <row r="2144" customFormat="false" ht="13.5" hidden="false" customHeight="false" outlineLevel="0" collapsed="false">
      <c r="A2144" s="1" t="str">
        <f aca="false">IF(对接源_02物料!$C944="","",对接源_02物料!$C944)</f>
        <v/>
      </c>
      <c r="B2144" s="1" t="n">
        <f aca="false">IF(A2144="",0,IF(MATCH(A2144,$A$4:$A$2403,0)=ROW()-3,1,0))</f>
        <v>0</v>
      </c>
      <c r="C2144" s="1" t="n">
        <f aca="false">N(C2143)+B2144</f>
        <v>17</v>
      </c>
      <c r="K2144" s="1" t="n">
        <f aca="false">IF(OR($K$1="",对接源_02物料!$C944="",对接源_02物料!$C944&lt;&gt;$K$1,对接源_02物料!$B944=""),0,IF(OR(N(对接源_02物料!$B944)&lt;$K$2,N(对接源_02物料!$B944)&gt;$K$3),0,1))</f>
        <v>0</v>
      </c>
      <c r="L2144" s="1" t="n">
        <f aca="false">IF(OR($L$1="",对接源_02物料!$C944="",对接源_02物料!$C944&lt;&gt;$L$1,对接源_02物料!$B944=""),0,IF(OR(N(对接源_02物料!$B944)&lt;$L$2,N(对接源_02物料!$B944)&gt;$L$3),0,1))</f>
        <v>0</v>
      </c>
      <c r="M2144" s="1" t="n">
        <f aca="false">IF(OR($M$1="",对接源_02物料!$C944="",对接源_02物料!$C944&lt;&gt;$M$1,对接源_02物料!$B944=""),0,IF(OR(N(对接源_02物料!$B944)&lt;$M$2,N(对接源_02物料!$B944)&gt;$M$3),0,1))</f>
        <v>0</v>
      </c>
      <c r="N2144" s="1" t="n">
        <f aca="false">IF(OR($N$1="",对接源_02物料!$C944="",对接源_02物料!$C944&lt;&gt;$N$1,对接源_02物料!$B944=""),0,IF(OR(N(对接源_02物料!$B944)&lt;$N$2,N(对接源_02物料!$B944)&gt;$N$3),0,1))</f>
        <v>0</v>
      </c>
      <c r="P2144" s="1" t="n">
        <f aca="false">IF(AND($K2144=1,AND(对接源_02物料!$X944="公司筐",N(对接源_02物料!$T944)&lt;&gt;0)),1,0)</f>
        <v>0</v>
      </c>
      <c r="Q2144" s="1" t="n">
        <f aca="false">N(Q2143)+$P2144</f>
        <v>13</v>
      </c>
      <c r="R2144" s="1" t="n">
        <f aca="false">IF(AND($K2144=1,AND(对接源_02物料!$X944="公司筐",N(对接源_02物料!$U944)&lt;&gt;0)),1,0)</f>
        <v>0</v>
      </c>
      <c r="S2144" s="1" t="n">
        <f aca="false">N(S2143)+$R2144</f>
        <v>5</v>
      </c>
      <c r="T2144" s="1" t="n">
        <f aca="false">IF(AND($K2144=1,AND(对接源_02物料!$X944="公司筐",N(对接源_02物料!$V944)&lt;&gt;0)),1,0)</f>
        <v>0</v>
      </c>
      <c r="U2144" s="1" t="n">
        <f aca="false">N(U2143)+$T2144</f>
        <v>28</v>
      </c>
      <c r="V2144" s="1" t="n">
        <f aca="false">IF(AND($L2144=1,AND(对接源_02物料!$X944="自备筐",N(对接源_02物料!$V944)&lt;&gt;0)),1,0)</f>
        <v>0</v>
      </c>
      <c r="W2144" s="1" t="n">
        <f aca="false">N(W2143)+$V2144</f>
        <v>7</v>
      </c>
      <c r="X2144" s="1" t="n">
        <f aca="false">IF(AND($L2144=1,AND(对接源_02物料!$X944="自备筐",N(对接源_02物料!$T944)&lt;&gt;0)),1,0)</f>
        <v>0</v>
      </c>
      <c r="Y2144" s="1" t="n">
        <f aca="false">N(Y2143)+$X2144</f>
        <v>0</v>
      </c>
      <c r="Z2144" s="1" t="n">
        <f aca="false">IF(AND($M2144=1,对接源_02物料!$D944="原料入库"),1,0)</f>
        <v>0</v>
      </c>
      <c r="AA2144" s="1" t="n">
        <f aca="false">N(AA2143)+$Z2144</f>
        <v>30</v>
      </c>
      <c r="AB2144" s="1" t="n">
        <f aca="false">IF(AND($M2144=1,LEFT(对接源_02物料!$D944,4)="原料出库"),1,0)</f>
        <v>0</v>
      </c>
      <c r="AC2144" s="1" t="n">
        <f aca="false">N(AC2143)+$AB2144</f>
        <v>19</v>
      </c>
      <c r="AD2144" s="1" t="n">
        <f aca="false">IF(AND($M2144=1,LEFT(对接源_02物料!$D944,4)="成品出库"),1,0)</f>
        <v>0</v>
      </c>
      <c r="AE2144" s="1" t="n">
        <f aca="false">N(AE2143)+$AD2144</f>
        <v>38</v>
      </c>
      <c r="AF2144" s="1" t="n">
        <f aca="false">IF(AND($N2144=1,AND(LEFT(对接源_02物料!$D944,4)="包装物料",N(对接源_02物料!$K944)&lt;&gt;0)),1,0)</f>
        <v>0</v>
      </c>
      <c r="AG2144" s="1" t="n">
        <f aca="false">N(AG2143)+$AF2144</f>
        <v>6</v>
      </c>
      <c r="AH2144" s="1" t="n">
        <f aca="false">IF(AND($N2144=1,AND(LEFT(对接源_02物料!$D944,3)="周转筐",N(对接源_02物料!$K944)&lt;&gt;0)),1,0)</f>
        <v>0</v>
      </c>
      <c r="AI2144" s="1" t="n">
        <f aca="false">N(AI2143)+$AH2144</f>
        <v>0</v>
      </c>
      <c r="AJ2144" s="1" t="n">
        <v>0</v>
      </c>
      <c r="AK2144" s="1" t="n">
        <f aca="false">N(AK2143)+$AJ2144</f>
        <v>3672</v>
      </c>
    </row>
    <row r="2145" customFormat="false" ht="13.5" hidden="false" customHeight="false" outlineLevel="0" collapsed="false">
      <c r="A2145" s="1" t="str">
        <f aca="false">IF(对接源_02物料!$C945="","",对接源_02物料!$C945)</f>
        <v/>
      </c>
      <c r="B2145" s="1" t="n">
        <f aca="false">IF(A2145="",0,IF(MATCH(A2145,$A$4:$A$2403,0)=ROW()-3,1,0))</f>
        <v>0</v>
      </c>
      <c r="C2145" s="1" t="n">
        <f aca="false">N(C2144)+B2145</f>
        <v>17</v>
      </c>
      <c r="K2145" s="1" t="n">
        <f aca="false">IF(OR($K$1="",对接源_02物料!$C945="",对接源_02物料!$C945&lt;&gt;$K$1,对接源_02物料!$B945=""),0,IF(OR(N(对接源_02物料!$B945)&lt;$K$2,N(对接源_02物料!$B945)&gt;$K$3),0,1))</f>
        <v>0</v>
      </c>
      <c r="L2145" s="1" t="n">
        <f aca="false">IF(OR($L$1="",对接源_02物料!$C945="",对接源_02物料!$C945&lt;&gt;$L$1,对接源_02物料!$B945=""),0,IF(OR(N(对接源_02物料!$B945)&lt;$L$2,N(对接源_02物料!$B945)&gt;$L$3),0,1))</f>
        <v>0</v>
      </c>
      <c r="M2145" s="1" t="n">
        <f aca="false">IF(OR($M$1="",对接源_02物料!$C945="",对接源_02物料!$C945&lt;&gt;$M$1,对接源_02物料!$B945=""),0,IF(OR(N(对接源_02物料!$B945)&lt;$M$2,N(对接源_02物料!$B945)&gt;$M$3),0,1))</f>
        <v>0</v>
      </c>
      <c r="N2145" s="1" t="n">
        <f aca="false">IF(OR($N$1="",对接源_02物料!$C945="",对接源_02物料!$C945&lt;&gt;$N$1,对接源_02物料!$B945=""),0,IF(OR(N(对接源_02物料!$B945)&lt;$N$2,N(对接源_02物料!$B945)&gt;$N$3),0,1))</f>
        <v>0</v>
      </c>
      <c r="P2145" s="1" t="n">
        <f aca="false">IF(AND($K2145=1,AND(对接源_02物料!$X945="公司筐",N(对接源_02物料!$T945)&lt;&gt;0)),1,0)</f>
        <v>0</v>
      </c>
      <c r="Q2145" s="1" t="n">
        <f aca="false">N(Q2144)+$P2145</f>
        <v>13</v>
      </c>
      <c r="R2145" s="1" t="n">
        <f aca="false">IF(AND($K2145=1,AND(对接源_02物料!$X945="公司筐",N(对接源_02物料!$U945)&lt;&gt;0)),1,0)</f>
        <v>0</v>
      </c>
      <c r="S2145" s="1" t="n">
        <f aca="false">N(S2144)+$R2145</f>
        <v>5</v>
      </c>
      <c r="T2145" s="1" t="n">
        <f aca="false">IF(AND($K2145=1,AND(对接源_02物料!$X945="公司筐",N(对接源_02物料!$V945)&lt;&gt;0)),1,0)</f>
        <v>0</v>
      </c>
      <c r="U2145" s="1" t="n">
        <f aca="false">N(U2144)+$T2145</f>
        <v>28</v>
      </c>
      <c r="V2145" s="1" t="n">
        <f aca="false">IF(AND($L2145=1,AND(对接源_02物料!$X945="自备筐",N(对接源_02物料!$V945)&lt;&gt;0)),1,0)</f>
        <v>0</v>
      </c>
      <c r="W2145" s="1" t="n">
        <f aca="false">N(W2144)+$V2145</f>
        <v>7</v>
      </c>
      <c r="X2145" s="1" t="n">
        <f aca="false">IF(AND($L2145=1,AND(对接源_02物料!$X945="自备筐",N(对接源_02物料!$T945)&lt;&gt;0)),1,0)</f>
        <v>0</v>
      </c>
      <c r="Y2145" s="1" t="n">
        <f aca="false">N(Y2144)+$X2145</f>
        <v>0</v>
      </c>
      <c r="Z2145" s="1" t="n">
        <f aca="false">IF(AND($M2145=1,对接源_02物料!$D945="原料入库"),1,0)</f>
        <v>0</v>
      </c>
      <c r="AA2145" s="1" t="n">
        <f aca="false">N(AA2144)+$Z2145</f>
        <v>30</v>
      </c>
      <c r="AB2145" s="1" t="n">
        <f aca="false">IF(AND($M2145=1,LEFT(对接源_02物料!$D945,4)="原料出库"),1,0)</f>
        <v>0</v>
      </c>
      <c r="AC2145" s="1" t="n">
        <f aca="false">N(AC2144)+$AB2145</f>
        <v>19</v>
      </c>
      <c r="AD2145" s="1" t="n">
        <f aca="false">IF(AND($M2145=1,LEFT(对接源_02物料!$D945,4)="成品出库"),1,0)</f>
        <v>0</v>
      </c>
      <c r="AE2145" s="1" t="n">
        <f aca="false">N(AE2144)+$AD2145</f>
        <v>38</v>
      </c>
      <c r="AF2145" s="1" t="n">
        <f aca="false">IF(AND($N2145=1,AND(LEFT(对接源_02物料!$D945,4)="包装物料",N(对接源_02物料!$K945)&lt;&gt;0)),1,0)</f>
        <v>0</v>
      </c>
      <c r="AG2145" s="1" t="n">
        <f aca="false">N(AG2144)+$AF2145</f>
        <v>6</v>
      </c>
      <c r="AH2145" s="1" t="n">
        <f aca="false">IF(AND($N2145=1,AND(LEFT(对接源_02物料!$D945,3)="周转筐",N(对接源_02物料!$K945)&lt;&gt;0)),1,0)</f>
        <v>0</v>
      </c>
      <c r="AI2145" s="1" t="n">
        <f aca="false">N(AI2144)+$AH2145</f>
        <v>0</v>
      </c>
      <c r="AJ2145" s="1" t="n">
        <v>0</v>
      </c>
      <c r="AK2145" s="1" t="n">
        <f aca="false">N(AK2144)+$AJ2145</f>
        <v>3672</v>
      </c>
    </row>
    <row r="2146" customFormat="false" ht="13.5" hidden="false" customHeight="false" outlineLevel="0" collapsed="false">
      <c r="A2146" s="1" t="str">
        <f aca="false">IF(对接源_02物料!$C946="","",对接源_02物料!$C946)</f>
        <v/>
      </c>
      <c r="B2146" s="1" t="n">
        <f aca="false">IF(A2146="",0,IF(MATCH(A2146,$A$4:$A$2403,0)=ROW()-3,1,0))</f>
        <v>0</v>
      </c>
      <c r="C2146" s="1" t="n">
        <f aca="false">N(C2145)+B2146</f>
        <v>17</v>
      </c>
      <c r="K2146" s="1" t="n">
        <f aca="false">IF(OR($K$1="",对接源_02物料!$C946="",对接源_02物料!$C946&lt;&gt;$K$1,对接源_02物料!$B946=""),0,IF(OR(N(对接源_02物料!$B946)&lt;$K$2,N(对接源_02物料!$B946)&gt;$K$3),0,1))</f>
        <v>0</v>
      </c>
      <c r="L2146" s="1" t="n">
        <f aca="false">IF(OR($L$1="",对接源_02物料!$C946="",对接源_02物料!$C946&lt;&gt;$L$1,对接源_02物料!$B946=""),0,IF(OR(N(对接源_02物料!$B946)&lt;$L$2,N(对接源_02物料!$B946)&gt;$L$3),0,1))</f>
        <v>0</v>
      </c>
      <c r="M2146" s="1" t="n">
        <f aca="false">IF(OR($M$1="",对接源_02物料!$C946="",对接源_02物料!$C946&lt;&gt;$M$1,对接源_02物料!$B946=""),0,IF(OR(N(对接源_02物料!$B946)&lt;$M$2,N(对接源_02物料!$B946)&gt;$M$3),0,1))</f>
        <v>0</v>
      </c>
      <c r="N2146" s="1" t="n">
        <f aca="false">IF(OR($N$1="",对接源_02物料!$C946="",对接源_02物料!$C946&lt;&gt;$N$1,对接源_02物料!$B946=""),0,IF(OR(N(对接源_02物料!$B946)&lt;$N$2,N(对接源_02物料!$B946)&gt;$N$3),0,1))</f>
        <v>0</v>
      </c>
      <c r="P2146" s="1" t="n">
        <f aca="false">IF(AND($K2146=1,AND(对接源_02物料!$X946="公司筐",N(对接源_02物料!$T946)&lt;&gt;0)),1,0)</f>
        <v>0</v>
      </c>
      <c r="Q2146" s="1" t="n">
        <f aca="false">N(Q2145)+$P2146</f>
        <v>13</v>
      </c>
      <c r="R2146" s="1" t="n">
        <f aca="false">IF(AND($K2146=1,AND(对接源_02物料!$X946="公司筐",N(对接源_02物料!$U946)&lt;&gt;0)),1,0)</f>
        <v>0</v>
      </c>
      <c r="S2146" s="1" t="n">
        <f aca="false">N(S2145)+$R2146</f>
        <v>5</v>
      </c>
      <c r="T2146" s="1" t="n">
        <f aca="false">IF(AND($K2146=1,AND(对接源_02物料!$X946="公司筐",N(对接源_02物料!$V946)&lt;&gt;0)),1,0)</f>
        <v>0</v>
      </c>
      <c r="U2146" s="1" t="n">
        <f aca="false">N(U2145)+$T2146</f>
        <v>28</v>
      </c>
      <c r="V2146" s="1" t="n">
        <f aca="false">IF(AND($L2146=1,AND(对接源_02物料!$X946="自备筐",N(对接源_02物料!$V946)&lt;&gt;0)),1,0)</f>
        <v>0</v>
      </c>
      <c r="W2146" s="1" t="n">
        <f aca="false">N(W2145)+$V2146</f>
        <v>7</v>
      </c>
      <c r="X2146" s="1" t="n">
        <f aca="false">IF(AND($L2146=1,AND(对接源_02物料!$X946="自备筐",N(对接源_02物料!$T946)&lt;&gt;0)),1,0)</f>
        <v>0</v>
      </c>
      <c r="Y2146" s="1" t="n">
        <f aca="false">N(Y2145)+$X2146</f>
        <v>0</v>
      </c>
      <c r="Z2146" s="1" t="n">
        <f aca="false">IF(AND($M2146=1,对接源_02物料!$D946="原料入库"),1,0)</f>
        <v>0</v>
      </c>
      <c r="AA2146" s="1" t="n">
        <f aca="false">N(AA2145)+$Z2146</f>
        <v>30</v>
      </c>
      <c r="AB2146" s="1" t="n">
        <f aca="false">IF(AND($M2146=1,LEFT(对接源_02物料!$D946,4)="原料出库"),1,0)</f>
        <v>0</v>
      </c>
      <c r="AC2146" s="1" t="n">
        <f aca="false">N(AC2145)+$AB2146</f>
        <v>19</v>
      </c>
      <c r="AD2146" s="1" t="n">
        <f aca="false">IF(AND($M2146=1,LEFT(对接源_02物料!$D946,4)="成品出库"),1,0)</f>
        <v>0</v>
      </c>
      <c r="AE2146" s="1" t="n">
        <f aca="false">N(AE2145)+$AD2146</f>
        <v>38</v>
      </c>
      <c r="AF2146" s="1" t="n">
        <f aca="false">IF(AND($N2146=1,AND(LEFT(对接源_02物料!$D946,4)="包装物料",N(对接源_02物料!$K946)&lt;&gt;0)),1,0)</f>
        <v>0</v>
      </c>
      <c r="AG2146" s="1" t="n">
        <f aca="false">N(AG2145)+$AF2146</f>
        <v>6</v>
      </c>
      <c r="AH2146" s="1" t="n">
        <f aca="false">IF(AND($N2146=1,AND(LEFT(对接源_02物料!$D946,3)="周转筐",N(对接源_02物料!$K946)&lt;&gt;0)),1,0)</f>
        <v>0</v>
      </c>
      <c r="AI2146" s="1" t="n">
        <f aca="false">N(AI2145)+$AH2146</f>
        <v>0</v>
      </c>
      <c r="AJ2146" s="1" t="n">
        <v>0</v>
      </c>
      <c r="AK2146" s="1" t="n">
        <f aca="false">N(AK2145)+$AJ2146</f>
        <v>3672</v>
      </c>
    </row>
    <row r="2147" customFormat="false" ht="13.5" hidden="false" customHeight="false" outlineLevel="0" collapsed="false">
      <c r="A2147" s="1" t="str">
        <f aca="false">IF(对接源_02物料!$C947="","",对接源_02物料!$C947)</f>
        <v/>
      </c>
      <c r="B2147" s="1" t="n">
        <f aca="false">IF(A2147="",0,IF(MATCH(A2147,$A$4:$A$2403,0)=ROW()-3,1,0))</f>
        <v>0</v>
      </c>
      <c r="C2147" s="1" t="n">
        <f aca="false">N(C2146)+B2147</f>
        <v>17</v>
      </c>
      <c r="K2147" s="1" t="n">
        <f aca="false">IF(OR($K$1="",对接源_02物料!$C947="",对接源_02物料!$C947&lt;&gt;$K$1,对接源_02物料!$B947=""),0,IF(OR(N(对接源_02物料!$B947)&lt;$K$2,N(对接源_02物料!$B947)&gt;$K$3),0,1))</f>
        <v>0</v>
      </c>
      <c r="L2147" s="1" t="n">
        <f aca="false">IF(OR($L$1="",对接源_02物料!$C947="",对接源_02物料!$C947&lt;&gt;$L$1,对接源_02物料!$B947=""),0,IF(OR(N(对接源_02物料!$B947)&lt;$L$2,N(对接源_02物料!$B947)&gt;$L$3),0,1))</f>
        <v>0</v>
      </c>
      <c r="M2147" s="1" t="n">
        <f aca="false">IF(OR($M$1="",对接源_02物料!$C947="",对接源_02物料!$C947&lt;&gt;$M$1,对接源_02物料!$B947=""),0,IF(OR(N(对接源_02物料!$B947)&lt;$M$2,N(对接源_02物料!$B947)&gt;$M$3),0,1))</f>
        <v>0</v>
      </c>
      <c r="N2147" s="1" t="n">
        <f aca="false">IF(OR($N$1="",对接源_02物料!$C947="",对接源_02物料!$C947&lt;&gt;$N$1,对接源_02物料!$B947=""),0,IF(OR(N(对接源_02物料!$B947)&lt;$N$2,N(对接源_02物料!$B947)&gt;$N$3),0,1))</f>
        <v>0</v>
      </c>
      <c r="P2147" s="1" t="n">
        <f aca="false">IF(AND($K2147=1,AND(对接源_02物料!$X947="公司筐",N(对接源_02物料!$T947)&lt;&gt;0)),1,0)</f>
        <v>0</v>
      </c>
      <c r="Q2147" s="1" t="n">
        <f aca="false">N(Q2146)+$P2147</f>
        <v>13</v>
      </c>
      <c r="R2147" s="1" t="n">
        <f aca="false">IF(AND($K2147=1,AND(对接源_02物料!$X947="公司筐",N(对接源_02物料!$U947)&lt;&gt;0)),1,0)</f>
        <v>0</v>
      </c>
      <c r="S2147" s="1" t="n">
        <f aca="false">N(S2146)+$R2147</f>
        <v>5</v>
      </c>
      <c r="T2147" s="1" t="n">
        <f aca="false">IF(AND($K2147=1,AND(对接源_02物料!$X947="公司筐",N(对接源_02物料!$V947)&lt;&gt;0)),1,0)</f>
        <v>0</v>
      </c>
      <c r="U2147" s="1" t="n">
        <f aca="false">N(U2146)+$T2147</f>
        <v>28</v>
      </c>
      <c r="V2147" s="1" t="n">
        <f aca="false">IF(AND($L2147=1,AND(对接源_02物料!$X947="自备筐",N(对接源_02物料!$V947)&lt;&gt;0)),1,0)</f>
        <v>0</v>
      </c>
      <c r="W2147" s="1" t="n">
        <f aca="false">N(W2146)+$V2147</f>
        <v>7</v>
      </c>
      <c r="X2147" s="1" t="n">
        <f aca="false">IF(AND($L2147=1,AND(对接源_02物料!$X947="自备筐",N(对接源_02物料!$T947)&lt;&gt;0)),1,0)</f>
        <v>0</v>
      </c>
      <c r="Y2147" s="1" t="n">
        <f aca="false">N(Y2146)+$X2147</f>
        <v>0</v>
      </c>
      <c r="Z2147" s="1" t="n">
        <f aca="false">IF(AND($M2147=1,对接源_02物料!$D947="原料入库"),1,0)</f>
        <v>0</v>
      </c>
      <c r="AA2147" s="1" t="n">
        <f aca="false">N(AA2146)+$Z2147</f>
        <v>30</v>
      </c>
      <c r="AB2147" s="1" t="n">
        <f aca="false">IF(AND($M2147=1,LEFT(对接源_02物料!$D947,4)="原料出库"),1,0)</f>
        <v>0</v>
      </c>
      <c r="AC2147" s="1" t="n">
        <f aca="false">N(AC2146)+$AB2147</f>
        <v>19</v>
      </c>
      <c r="AD2147" s="1" t="n">
        <f aca="false">IF(AND($M2147=1,LEFT(对接源_02物料!$D947,4)="成品出库"),1,0)</f>
        <v>0</v>
      </c>
      <c r="AE2147" s="1" t="n">
        <f aca="false">N(AE2146)+$AD2147</f>
        <v>38</v>
      </c>
      <c r="AF2147" s="1" t="n">
        <f aca="false">IF(AND($N2147=1,AND(LEFT(对接源_02物料!$D947,4)="包装物料",N(对接源_02物料!$K947)&lt;&gt;0)),1,0)</f>
        <v>0</v>
      </c>
      <c r="AG2147" s="1" t="n">
        <f aca="false">N(AG2146)+$AF2147</f>
        <v>6</v>
      </c>
      <c r="AH2147" s="1" t="n">
        <f aca="false">IF(AND($N2147=1,AND(LEFT(对接源_02物料!$D947,3)="周转筐",N(对接源_02物料!$K947)&lt;&gt;0)),1,0)</f>
        <v>0</v>
      </c>
      <c r="AI2147" s="1" t="n">
        <f aca="false">N(AI2146)+$AH2147</f>
        <v>0</v>
      </c>
      <c r="AJ2147" s="1" t="n">
        <v>0</v>
      </c>
      <c r="AK2147" s="1" t="n">
        <f aca="false">N(AK2146)+$AJ2147</f>
        <v>3672</v>
      </c>
    </row>
    <row r="2148" customFormat="false" ht="13.5" hidden="false" customHeight="false" outlineLevel="0" collapsed="false">
      <c r="A2148" s="1" t="str">
        <f aca="false">IF(对接源_02物料!$C948="","",对接源_02物料!$C948)</f>
        <v/>
      </c>
      <c r="B2148" s="1" t="n">
        <f aca="false">IF(A2148="",0,IF(MATCH(A2148,$A$4:$A$2403,0)=ROW()-3,1,0))</f>
        <v>0</v>
      </c>
      <c r="C2148" s="1" t="n">
        <f aca="false">N(C2147)+B2148</f>
        <v>17</v>
      </c>
      <c r="K2148" s="1" t="n">
        <f aca="false">IF(OR($K$1="",对接源_02物料!$C948="",对接源_02物料!$C948&lt;&gt;$K$1,对接源_02物料!$B948=""),0,IF(OR(N(对接源_02物料!$B948)&lt;$K$2,N(对接源_02物料!$B948)&gt;$K$3),0,1))</f>
        <v>0</v>
      </c>
      <c r="L2148" s="1" t="n">
        <f aca="false">IF(OR($L$1="",对接源_02物料!$C948="",对接源_02物料!$C948&lt;&gt;$L$1,对接源_02物料!$B948=""),0,IF(OR(N(对接源_02物料!$B948)&lt;$L$2,N(对接源_02物料!$B948)&gt;$L$3),0,1))</f>
        <v>0</v>
      </c>
      <c r="M2148" s="1" t="n">
        <f aca="false">IF(OR($M$1="",对接源_02物料!$C948="",对接源_02物料!$C948&lt;&gt;$M$1,对接源_02物料!$B948=""),0,IF(OR(N(对接源_02物料!$B948)&lt;$M$2,N(对接源_02物料!$B948)&gt;$M$3),0,1))</f>
        <v>0</v>
      </c>
      <c r="N2148" s="1" t="n">
        <f aca="false">IF(OR($N$1="",对接源_02物料!$C948="",对接源_02物料!$C948&lt;&gt;$N$1,对接源_02物料!$B948=""),0,IF(OR(N(对接源_02物料!$B948)&lt;$N$2,N(对接源_02物料!$B948)&gt;$N$3),0,1))</f>
        <v>0</v>
      </c>
      <c r="P2148" s="1" t="n">
        <f aca="false">IF(AND($K2148=1,AND(对接源_02物料!$X948="公司筐",N(对接源_02物料!$T948)&lt;&gt;0)),1,0)</f>
        <v>0</v>
      </c>
      <c r="Q2148" s="1" t="n">
        <f aca="false">N(Q2147)+$P2148</f>
        <v>13</v>
      </c>
      <c r="R2148" s="1" t="n">
        <f aca="false">IF(AND($K2148=1,AND(对接源_02物料!$X948="公司筐",N(对接源_02物料!$U948)&lt;&gt;0)),1,0)</f>
        <v>0</v>
      </c>
      <c r="S2148" s="1" t="n">
        <f aca="false">N(S2147)+$R2148</f>
        <v>5</v>
      </c>
      <c r="T2148" s="1" t="n">
        <f aca="false">IF(AND($K2148=1,AND(对接源_02物料!$X948="公司筐",N(对接源_02物料!$V948)&lt;&gt;0)),1,0)</f>
        <v>0</v>
      </c>
      <c r="U2148" s="1" t="n">
        <f aca="false">N(U2147)+$T2148</f>
        <v>28</v>
      </c>
      <c r="V2148" s="1" t="n">
        <f aca="false">IF(AND($L2148=1,AND(对接源_02物料!$X948="自备筐",N(对接源_02物料!$V948)&lt;&gt;0)),1,0)</f>
        <v>0</v>
      </c>
      <c r="W2148" s="1" t="n">
        <f aca="false">N(W2147)+$V2148</f>
        <v>7</v>
      </c>
      <c r="X2148" s="1" t="n">
        <f aca="false">IF(AND($L2148=1,AND(对接源_02物料!$X948="自备筐",N(对接源_02物料!$T948)&lt;&gt;0)),1,0)</f>
        <v>0</v>
      </c>
      <c r="Y2148" s="1" t="n">
        <f aca="false">N(Y2147)+$X2148</f>
        <v>0</v>
      </c>
      <c r="Z2148" s="1" t="n">
        <f aca="false">IF(AND($M2148=1,对接源_02物料!$D948="原料入库"),1,0)</f>
        <v>0</v>
      </c>
      <c r="AA2148" s="1" t="n">
        <f aca="false">N(AA2147)+$Z2148</f>
        <v>30</v>
      </c>
      <c r="AB2148" s="1" t="n">
        <f aca="false">IF(AND($M2148=1,LEFT(对接源_02物料!$D948,4)="原料出库"),1,0)</f>
        <v>0</v>
      </c>
      <c r="AC2148" s="1" t="n">
        <f aca="false">N(AC2147)+$AB2148</f>
        <v>19</v>
      </c>
      <c r="AD2148" s="1" t="n">
        <f aca="false">IF(AND($M2148=1,LEFT(对接源_02物料!$D948,4)="成品出库"),1,0)</f>
        <v>0</v>
      </c>
      <c r="AE2148" s="1" t="n">
        <f aca="false">N(AE2147)+$AD2148</f>
        <v>38</v>
      </c>
      <c r="AF2148" s="1" t="n">
        <f aca="false">IF(AND($N2148=1,AND(LEFT(对接源_02物料!$D948,4)="包装物料",N(对接源_02物料!$K948)&lt;&gt;0)),1,0)</f>
        <v>0</v>
      </c>
      <c r="AG2148" s="1" t="n">
        <f aca="false">N(AG2147)+$AF2148</f>
        <v>6</v>
      </c>
      <c r="AH2148" s="1" t="n">
        <f aca="false">IF(AND($N2148=1,AND(LEFT(对接源_02物料!$D948,3)="周转筐",N(对接源_02物料!$K948)&lt;&gt;0)),1,0)</f>
        <v>0</v>
      </c>
      <c r="AI2148" s="1" t="n">
        <f aca="false">N(AI2147)+$AH2148</f>
        <v>0</v>
      </c>
      <c r="AJ2148" s="1" t="n">
        <v>0</v>
      </c>
      <c r="AK2148" s="1" t="n">
        <f aca="false">N(AK2147)+$AJ2148</f>
        <v>3672</v>
      </c>
    </row>
    <row r="2149" customFormat="false" ht="13.5" hidden="false" customHeight="false" outlineLevel="0" collapsed="false">
      <c r="A2149" s="1" t="str">
        <f aca="false">IF(对接源_02物料!$C949="","",对接源_02物料!$C949)</f>
        <v/>
      </c>
      <c r="B2149" s="1" t="n">
        <f aca="false">IF(A2149="",0,IF(MATCH(A2149,$A$4:$A$2403,0)=ROW()-3,1,0))</f>
        <v>0</v>
      </c>
      <c r="C2149" s="1" t="n">
        <f aca="false">N(C2148)+B2149</f>
        <v>17</v>
      </c>
      <c r="K2149" s="1" t="n">
        <f aca="false">IF(OR($K$1="",对接源_02物料!$C949="",对接源_02物料!$C949&lt;&gt;$K$1,对接源_02物料!$B949=""),0,IF(OR(N(对接源_02物料!$B949)&lt;$K$2,N(对接源_02物料!$B949)&gt;$K$3),0,1))</f>
        <v>0</v>
      </c>
      <c r="L2149" s="1" t="n">
        <f aca="false">IF(OR($L$1="",对接源_02物料!$C949="",对接源_02物料!$C949&lt;&gt;$L$1,对接源_02物料!$B949=""),0,IF(OR(N(对接源_02物料!$B949)&lt;$L$2,N(对接源_02物料!$B949)&gt;$L$3),0,1))</f>
        <v>0</v>
      </c>
      <c r="M2149" s="1" t="n">
        <f aca="false">IF(OR($M$1="",对接源_02物料!$C949="",对接源_02物料!$C949&lt;&gt;$M$1,对接源_02物料!$B949=""),0,IF(OR(N(对接源_02物料!$B949)&lt;$M$2,N(对接源_02物料!$B949)&gt;$M$3),0,1))</f>
        <v>0</v>
      </c>
      <c r="N2149" s="1" t="n">
        <f aca="false">IF(OR($N$1="",对接源_02物料!$C949="",对接源_02物料!$C949&lt;&gt;$N$1,对接源_02物料!$B949=""),0,IF(OR(N(对接源_02物料!$B949)&lt;$N$2,N(对接源_02物料!$B949)&gt;$N$3),0,1))</f>
        <v>0</v>
      </c>
      <c r="P2149" s="1" t="n">
        <f aca="false">IF(AND($K2149=1,AND(对接源_02物料!$X949="公司筐",N(对接源_02物料!$T949)&lt;&gt;0)),1,0)</f>
        <v>0</v>
      </c>
      <c r="Q2149" s="1" t="n">
        <f aca="false">N(Q2148)+$P2149</f>
        <v>13</v>
      </c>
      <c r="R2149" s="1" t="n">
        <f aca="false">IF(AND($K2149=1,AND(对接源_02物料!$X949="公司筐",N(对接源_02物料!$U949)&lt;&gt;0)),1,0)</f>
        <v>0</v>
      </c>
      <c r="S2149" s="1" t="n">
        <f aca="false">N(S2148)+$R2149</f>
        <v>5</v>
      </c>
      <c r="T2149" s="1" t="n">
        <f aca="false">IF(AND($K2149=1,AND(对接源_02物料!$X949="公司筐",N(对接源_02物料!$V949)&lt;&gt;0)),1,0)</f>
        <v>0</v>
      </c>
      <c r="U2149" s="1" t="n">
        <f aca="false">N(U2148)+$T2149</f>
        <v>28</v>
      </c>
      <c r="V2149" s="1" t="n">
        <f aca="false">IF(AND($L2149=1,AND(对接源_02物料!$X949="自备筐",N(对接源_02物料!$V949)&lt;&gt;0)),1,0)</f>
        <v>0</v>
      </c>
      <c r="W2149" s="1" t="n">
        <f aca="false">N(W2148)+$V2149</f>
        <v>7</v>
      </c>
      <c r="X2149" s="1" t="n">
        <f aca="false">IF(AND($L2149=1,AND(对接源_02物料!$X949="自备筐",N(对接源_02物料!$T949)&lt;&gt;0)),1,0)</f>
        <v>0</v>
      </c>
      <c r="Y2149" s="1" t="n">
        <f aca="false">N(Y2148)+$X2149</f>
        <v>0</v>
      </c>
      <c r="Z2149" s="1" t="n">
        <f aca="false">IF(AND($M2149=1,对接源_02物料!$D949="原料入库"),1,0)</f>
        <v>0</v>
      </c>
      <c r="AA2149" s="1" t="n">
        <f aca="false">N(AA2148)+$Z2149</f>
        <v>30</v>
      </c>
      <c r="AB2149" s="1" t="n">
        <f aca="false">IF(AND($M2149=1,LEFT(对接源_02物料!$D949,4)="原料出库"),1,0)</f>
        <v>0</v>
      </c>
      <c r="AC2149" s="1" t="n">
        <f aca="false">N(AC2148)+$AB2149</f>
        <v>19</v>
      </c>
      <c r="AD2149" s="1" t="n">
        <f aca="false">IF(AND($M2149=1,LEFT(对接源_02物料!$D949,4)="成品出库"),1,0)</f>
        <v>0</v>
      </c>
      <c r="AE2149" s="1" t="n">
        <f aca="false">N(AE2148)+$AD2149</f>
        <v>38</v>
      </c>
      <c r="AF2149" s="1" t="n">
        <f aca="false">IF(AND($N2149=1,AND(LEFT(对接源_02物料!$D949,4)="包装物料",N(对接源_02物料!$K949)&lt;&gt;0)),1,0)</f>
        <v>0</v>
      </c>
      <c r="AG2149" s="1" t="n">
        <f aca="false">N(AG2148)+$AF2149</f>
        <v>6</v>
      </c>
      <c r="AH2149" s="1" t="n">
        <f aca="false">IF(AND($N2149=1,AND(LEFT(对接源_02物料!$D949,3)="周转筐",N(对接源_02物料!$K949)&lt;&gt;0)),1,0)</f>
        <v>0</v>
      </c>
      <c r="AI2149" s="1" t="n">
        <f aca="false">N(AI2148)+$AH2149</f>
        <v>0</v>
      </c>
      <c r="AJ2149" s="1" t="n">
        <v>0</v>
      </c>
      <c r="AK2149" s="1" t="n">
        <f aca="false">N(AK2148)+$AJ2149</f>
        <v>3672</v>
      </c>
    </row>
    <row r="2150" customFormat="false" ht="13.5" hidden="false" customHeight="false" outlineLevel="0" collapsed="false">
      <c r="A2150" s="1" t="str">
        <f aca="false">IF(对接源_02物料!$C950="","",对接源_02物料!$C950)</f>
        <v/>
      </c>
      <c r="B2150" s="1" t="n">
        <f aca="false">IF(A2150="",0,IF(MATCH(A2150,$A$4:$A$2403,0)=ROW()-3,1,0))</f>
        <v>0</v>
      </c>
      <c r="C2150" s="1" t="n">
        <f aca="false">N(C2149)+B2150</f>
        <v>17</v>
      </c>
      <c r="K2150" s="1" t="n">
        <f aca="false">IF(OR($K$1="",对接源_02物料!$C950="",对接源_02物料!$C950&lt;&gt;$K$1,对接源_02物料!$B950=""),0,IF(OR(N(对接源_02物料!$B950)&lt;$K$2,N(对接源_02物料!$B950)&gt;$K$3),0,1))</f>
        <v>0</v>
      </c>
      <c r="L2150" s="1" t="n">
        <f aca="false">IF(OR($L$1="",对接源_02物料!$C950="",对接源_02物料!$C950&lt;&gt;$L$1,对接源_02物料!$B950=""),0,IF(OR(N(对接源_02物料!$B950)&lt;$L$2,N(对接源_02物料!$B950)&gt;$L$3),0,1))</f>
        <v>0</v>
      </c>
      <c r="M2150" s="1" t="n">
        <f aca="false">IF(OR($M$1="",对接源_02物料!$C950="",对接源_02物料!$C950&lt;&gt;$M$1,对接源_02物料!$B950=""),0,IF(OR(N(对接源_02物料!$B950)&lt;$M$2,N(对接源_02物料!$B950)&gt;$M$3),0,1))</f>
        <v>0</v>
      </c>
      <c r="N2150" s="1" t="n">
        <f aca="false">IF(OR($N$1="",对接源_02物料!$C950="",对接源_02物料!$C950&lt;&gt;$N$1,对接源_02物料!$B950=""),0,IF(OR(N(对接源_02物料!$B950)&lt;$N$2,N(对接源_02物料!$B950)&gt;$N$3),0,1))</f>
        <v>0</v>
      </c>
      <c r="P2150" s="1" t="n">
        <f aca="false">IF(AND($K2150=1,AND(对接源_02物料!$X950="公司筐",N(对接源_02物料!$T950)&lt;&gt;0)),1,0)</f>
        <v>0</v>
      </c>
      <c r="Q2150" s="1" t="n">
        <f aca="false">N(Q2149)+$P2150</f>
        <v>13</v>
      </c>
      <c r="R2150" s="1" t="n">
        <f aca="false">IF(AND($K2150=1,AND(对接源_02物料!$X950="公司筐",N(对接源_02物料!$U950)&lt;&gt;0)),1,0)</f>
        <v>0</v>
      </c>
      <c r="S2150" s="1" t="n">
        <f aca="false">N(S2149)+$R2150</f>
        <v>5</v>
      </c>
      <c r="T2150" s="1" t="n">
        <f aca="false">IF(AND($K2150=1,AND(对接源_02物料!$X950="公司筐",N(对接源_02物料!$V950)&lt;&gt;0)),1,0)</f>
        <v>0</v>
      </c>
      <c r="U2150" s="1" t="n">
        <f aca="false">N(U2149)+$T2150</f>
        <v>28</v>
      </c>
      <c r="V2150" s="1" t="n">
        <f aca="false">IF(AND($L2150=1,AND(对接源_02物料!$X950="自备筐",N(对接源_02物料!$V950)&lt;&gt;0)),1,0)</f>
        <v>0</v>
      </c>
      <c r="W2150" s="1" t="n">
        <f aca="false">N(W2149)+$V2150</f>
        <v>7</v>
      </c>
      <c r="X2150" s="1" t="n">
        <f aca="false">IF(AND($L2150=1,AND(对接源_02物料!$X950="自备筐",N(对接源_02物料!$T950)&lt;&gt;0)),1,0)</f>
        <v>0</v>
      </c>
      <c r="Y2150" s="1" t="n">
        <f aca="false">N(Y2149)+$X2150</f>
        <v>0</v>
      </c>
      <c r="Z2150" s="1" t="n">
        <f aca="false">IF(AND($M2150=1,对接源_02物料!$D950="原料入库"),1,0)</f>
        <v>0</v>
      </c>
      <c r="AA2150" s="1" t="n">
        <f aca="false">N(AA2149)+$Z2150</f>
        <v>30</v>
      </c>
      <c r="AB2150" s="1" t="n">
        <f aca="false">IF(AND($M2150=1,LEFT(对接源_02物料!$D950,4)="原料出库"),1,0)</f>
        <v>0</v>
      </c>
      <c r="AC2150" s="1" t="n">
        <f aca="false">N(AC2149)+$AB2150</f>
        <v>19</v>
      </c>
      <c r="AD2150" s="1" t="n">
        <f aca="false">IF(AND($M2150=1,LEFT(对接源_02物料!$D950,4)="成品出库"),1,0)</f>
        <v>0</v>
      </c>
      <c r="AE2150" s="1" t="n">
        <f aca="false">N(AE2149)+$AD2150</f>
        <v>38</v>
      </c>
      <c r="AF2150" s="1" t="n">
        <f aca="false">IF(AND($N2150=1,AND(LEFT(对接源_02物料!$D950,4)="包装物料",N(对接源_02物料!$K950)&lt;&gt;0)),1,0)</f>
        <v>0</v>
      </c>
      <c r="AG2150" s="1" t="n">
        <f aca="false">N(AG2149)+$AF2150</f>
        <v>6</v>
      </c>
      <c r="AH2150" s="1" t="n">
        <f aca="false">IF(AND($N2150=1,AND(LEFT(对接源_02物料!$D950,3)="周转筐",N(对接源_02物料!$K950)&lt;&gt;0)),1,0)</f>
        <v>0</v>
      </c>
      <c r="AI2150" s="1" t="n">
        <f aca="false">N(AI2149)+$AH2150</f>
        <v>0</v>
      </c>
      <c r="AJ2150" s="1" t="n">
        <v>0</v>
      </c>
      <c r="AK2150" s="1" t="n">
        <f aca="false">N(AK2149)+$AJ2150</f>
        <v>3672</v>
      </c>
    </row>
    <row r="2151" customFormat="false" ht="13.5" hidden="false" customHeight="false" outlineLevel="0" collapsed="false">
      <c r="A2151" s="1" t="str">
        <f aca="false">IF(对接源_02物料!$C951="","",对接源_02物料!$C951)</f>
        <v/>
      </c>
      <c r="B2151" s="1" t="n">
        <f aca="false">IF(A2151="",0,IF(MATCH(A2151,$A$4:$A$2403,0)=ROW()-3,1,0))</f>
        <v>0</v>
      </c>
      <c r="C2151" s="1" t="n">
        <f aca="false">N(C2150)+B2151</f>
        <v>17</v>
      </c>
      <c r="K2151" s="1" t="n">
        <f aca="false">IF(OR($K$1="",对接源_02物料!$C951="",对接源_02物料!$C951&lt;&gt;$K$1,对接源_02物料!$B951=""),0,IF(OR(N(对接源_02物料!$B951)&lt;$K$2,N(对接源_02物料!$B951)&gt;$K$3),0,1))</f>
        <v>0</v>
      </c>
      <c r="L2151" s="1" t="n">
        <f aca="false">IF(OR($L$1="",对接源_02物料!$C951="",对接源_02物料!$C951&lt;&gt;$L$1,对接源_02物料!$B951=""),0,IF(OR(N(对接源_02物料!$B951)&lt;$L$2,N(对接源_02物料!$B951)&gt;$L$3),0,1))</f>
        <v>0</v>
      </c>
      <c r="M2151" s="1" t="n">
        <f aca="false">IF(OR($M$1="",对接源_02物料!$C951="",对接源_02物料!$C951&lt;&gt;$M$1,对接源_02物料!$B951=""),0,IF(OR(N(对接源_02物料!$B951)&lt;$M$2,N(对接源_02物料!$B951)&gt;$M$3),0,1))</f>
        <v>0</v>
      </c>
      <c r="N2151" s="1" t="n">
        <f aca="false">IF(OR($N$1="",对接源_02物料!$C951="",对接源_02物料!$C951&lt;&gt;$N$1,对接源_02物料!$B951=""),0,IF(OR(N(对接源_02物料!$B951)&lt;$N$2,N(对接源_02物料!$B951)&gt;$N$3),0,1))</f>
        <v>0</v>
      </c>
      <c r="P2151" s="1" t="n">
        <f aca="false">IF(AND($K2151=1,AND(对接源_02物料!$X951="公司筐",N(对接源_02物料!$T951)&lt;&gt;0)),1,0)</f>
        <v>0</v>
      </c>
      <c r="Q2151" s="1" t="n">
        <f aca="false">N(Q2150)+$P2151</f>
        <v>13</v>
      </c>
      <c r="R2151" s="1" t="n">
        <f aca="false">IF(AND($K2151=1,AND(对接源_02物料!$X951="公司筐",N(对接源_02物料!$U951)&lt;&gt;0)),1,0)</f>
        <v>0</v>
      </c>
      <c r="S2151" s="1" t="n">
        <f aca="false">N(S2150)+$R2151</f>
        <v>5</v>
      </c>
      <c r="T2151" s="1" t="n">
        <f aca="false">IF(AND($K2151=1,AND(对接源_02物料!$X951="公司筐",N(对接源_02物料!$V951)&lt;&gt;0)),1,0)</f>
        <v>0</v>
      </c>
      <c r="U2151" s="1" t="n">
        <f aca="false">N(U2150)+$T2151</f>
        <v>28</v>
      </c>
      <c r="V2151" s="1" t="n">
        <f aca="false">IF(AND($L2151=1,AND(对接源_02物料!$X951="自备筐",N(对接源_02物料!$V951)&lt;&gt;0)),1,0)</f>
        <v>0</v>
      </c>
      <c r="W2151" s="1" t="n">
        <f aca="false">N(W2150)+$V2151</f>
        <v>7</v>
      </c>
      <c r="X2151" s="1" t="n">
        <f aca="false">IF(AND($L2151=1,AND(对接源_02物料!$X951="自备筐",N(对接源_02物料!$T951)&lt;&gt;0)),1,0)</f>
        <v>0</v>
      </c>
      <c r="Y2151" s="1" t="n">
        <f aca="false">N(Y2150)+$X2151</f>
        <v>0</v>
      </c>
      <c r="Z2151" s="1" t="n">
        <f aca="false">IF(AND($M2151=1,对接源_02物料!$D951="原料入库"),1,0)</f>
        <v>0</v>
      </c>
      <c r="AA2151" s="1" t="n">
        <f aca="false">N(AA2150)+$Z2151</f>
        <v>30</v>
      </c>
      <c r="AB2151" s="1" t="n">
        <f aca="false">IF(AND($M2151=1,LEFT(对接源_02物料!$D951,4)="原料出库"),1,0)</f>
        <v>0</v>
      </c>
      <c r="AC2151" s="1" t="n">
        <f aca="false">N(AC2150)+$AB2151</f>
        <v>19</v>
      </c>
      <c r="AD2151" s="1" t="n">
        <f aca="false">IF(AND($M2151=1,LEFT(对接源_02物料!$D951,4)="成品出库"),1,0)</f>
        <v>0</v>
      </c>
      <c r="AE2151" s="1" t="n">
        <f aca="false">N(AE2150)+$AD2151</f>
        <v>38</v>
      </c>
      <c r="AF2151" s="1" t="n">
        <f aca="false">IF(AND($N2151=1,AND(LEFT(对接源_02物料!$D951,4)="包装物料",N(对接源_02物料!$K951)&lt;&gt;0)),1,0)</f>
        <v>0</v>
      </c>
      <c r="AG2151" s="1" t="n">
        <f aca="false">N(AG2150)+$AF2151</f>
        <v>6</v>
      </c>
      <c r="AH2151" s="1" t="n">
        <f aca="false">IF(AND($N2151=1,AND(LEFT(对接源_02物料!$D951,3)="周转筐",N(对接源_02物料!$K951)&lt;&gt;0)),1,0)</f>
        <v>0</v>
      </c>
      <c r="AI2151" s="1" t="n">
        <f aca="false">N(AI2150)+$AH2151</f>
        <v>0</v>
      </c>
      <c r="AJ2151" s="1" t="n">
        <v>0</v>
      </c>
      <c r="AK2151" s="1" t="n">
        <f aca="false">N(AK2150)+$AJ2151</f>
        <v>3672</v>
      </c>
    </row>
    <row r="2152" customFormat="false" ht="13.5" hidden="false" customHeight="false" outlineLevel="0" collapsed="false">
      <c r="A2152" s="1" t="str">
        <f aca="false">IF(对接源_02物料!$C952="","",对接源_02物料!$C952)</f>
        <v/>
      </c>
      <c r="B2152" s="1" t="n">
        <f aca="false">IF(A2152="",0,IF(MATCH(A2152,$A$4:$A$2403,0)=ROW()-3,1,0))</f>
        <v>0</v>
      </c>
      <c r="C2152" s="1" t="n">
        <f aca="false">N(C2151)+B2152</f>
        <v>17</v>
      </c>
      <c r="K2152" s="1" t="n">
        <f aca="false">IF(OR($K$1="",对接源_02物料!$C952="",对接源_02物料!$C952&lt;&gt;$K$1,对接源_02物料!$B952=""),0,IF(OR(N(对接源_02物料!$B952)&lt;$K$2,N(对接源_02物料!$B952)&gt;$K$3),0,1))</f>
        <v>0</v>
      </c>
      <c r="L2152" s="1" t="n">
        <f aca="false">IF(OR($L$1="",对接源_02物料!$C952="",对接源_02物料!$C952&lt;&gt;$L$1,对接源_02物料!$B952=""),0,IF(OR(N(对接源_02物料!$B952)&lt;$L$2,N(对接源_02物料!$B952)&gt;$L$3),0,1))</f>
        <v>0</v>
      </c>
      <c r="M2152" s="1" t="n">
        <f aca="false">IF(OR($M$1="",对接源_02物料!$C952="",对接源_02物料!$C952&lt;&gt;$M$1,对接源_02物料!$B952=""),0,IF(OR(N(对接源_02物料!$B952)&lt;$M$2,N(对接源_02物料!$B952)&gt;$M$3),0,1))</f>
        <v>0</v>
      </c>
      <c r="N2152" s="1" t="n">
        <f aca="false">IF(OR($N$1="",对接源_02物料!$C952="",对接源_02物料!$C952&lt;&gt;$N$1,对接源_02物料!$B952=""),0,IF(OR(N(对接源_02物料!$B952)&lt;$N$2,N(对接源_02物料!$B952)&gt;$N$3),0,1))</f>
        <v>0</v>
      </c>
      <c r="P2152" s="1" t="n">
        <f aca="false">IF(AND($K2152=1,AND(对接源_02物料!$X952="公司筐",N(对接源_02物料!$T952)&lt;&gt;0)),1,0)</f>
        <v>0</v>
      </c>
      <c r="Q2152" s="1" t="n">
        <f aca="false">N(Q2151)+$P2152</f>
        <v>13</v>
      </c>
      <c r="R2152" s="1" t="n">
        <f aca="false">IF(AND($K2152=1,AND(对接源_02物料!$X952="公司筐",N(对接源_02物料!$U952)&lt;&gt;0)),1,0)</f>
        <v>0</v>
      </c>
      <c r="S2152" s="1" t="n">
        <f aca="false">N(S2151)+$R2152</f>
        <v>5</v>
      </c>
      <c r="T2152" s="1" t="n">
        <f aca="false">IF(AND($K2152=1,AND(对接源_02物料!$X952="公司筐",N(对接源_02物料!$V952)&lt;&gt;0)),1,0)</f>
        <v>0</v>
      </c>
      <c r="U2152" s="1" t="n">
        <f aca="false">N(U2151)+$T2152</f>
        <v>28</v>
      </c>
      <c r="V2152" s="1" t="n">
        <f aca="false">IF(AND($L2152=1,AND(对接源_02物料!$X952="自备筐",N(对接源_02物料!$V952)&lt;&gt;0)),1,0)</f>
        <v>0</v>
      </c>
      <c r="W2152" s="1" t="n">
        <f aca="false">N(W2151)+$V2152</f>
        <v>7</v>
      </c>
      <c r="X2152" s="1" t="n">
        <f aca="false">IF(AND($L2152=1,AND(对接源_02物料!$X952="自备筐",N(对接源_02物料!$T952)&lt;&gt;0)),1,0)</f>
        <v>0</v>
      </c>
      <c r="Y2152" s="1" t="n">
        <f aca="false">N(Y2151)+$X2152</f>
        <v>0</v>
      </c>
      <c r="Z2152" s="1" t="n">
        <f aca="false">IF(AND($M2152=1,对接源_02物料!$D952="原料入库"),1,0)</f>
        <v>0</v>
      </c>
      <c r="AA2152" s="1" t="n">
        <f aca="false">N(AA2151)+$Z2152</f>
        <v>30</v>
      </c>
      <c r="AB2152" s="1" t="n">
        <f aca="false">IF(AND($M2152=1,LEFT(对接源_02物料!$D952,4)="原料出库"),1,0)</f>
        <v>0</v>
      </c>
      <c r="AC2152" s="1" t="n">
        <f aca="false">N(AC2151)+$AB2152</f>
        <v>19</v>
      </c>
      <c r="AD2152" s="1" t="n">
        <f aca="false">IF(AND($M2152=1,LEFT(对接源_02物料!$D952,4)="成品出库"),1,0)</f>
        <v>0</v>
      </c>
      <c r="AE2152" s="1" t="n">
        <f aca="false">N(AE2151)+$AD2152</f>
        <v>38</v>
      </c>
      <c r="AF2152" s="1" t="n">
        <f aca="false">IF(AND($N2152=1,AND(LEFT(对接源_02物料!$D952,4)="包装物料",N(对接源_02物料!$K952)&lt;&gt;0)),1,0)</f>
        <v>0</v>
      </c>
      <c r="AG2152" s="1" t="n">
        <f aca="false">N(AG2151)+$AF2152</f>
        <v>6</v>
      </c>
      <c r="AH2152" s="1" t="n">
        <f aca="false">IF(AND($N2152=1,AND(LEFT(对接源_02物料!$D952,3)="周转筐",N(对接源_02物料!$K952)&lt;&gt;0)),1,0)</f>
        <v>0</v>
      </c>
      <c r="AI2152" s="1" t="n">
        <f aca="false">N(AI2151)+$AH2152</f>
        <v>0</v>
      </c>
      <c r="AJ2152" s="1" t="n">
        <v>0</v>
      </c>
      <c r="AK2152" s="1" t="n">
        <f aca="false">N(AK2151)+$AJ2152</f>
        <v>3672</v>
      </c>
    </row>
    <row r="2153" customFormat="false" ht="13.5" hidden="false" customHeight="false" outlineLevel="0" collapsed="false">
      <c r="A2153" s="1" t="str">
        <f aca="false">IF(对接源_02物料!$C953="","",对接源_02物料!$C953)</f>
        <v/>
      </c>
      <c r="B2153" s="1" t="n">
        <f aca="false">IF(A2153="",0,IF(MATCH(A2153,$A$4:$A$2403,0)=ROW()-3,1,0))</f>
        <v>0</v>
      </c>
      <c r="C2153" s="1" t="n">
        <f aca="false">N(C2152)+B2153</f>
        <v>17</v>
      </c>
      <c r="K2153" s="1" t="n">
        <f aca="false">IF(OR($K$1="",对接源_02物料!$C953="",对接源_02物料!$C953&lt;&gt;$K$1,对接源_02物料!$B953=""),0,IF(OR(N(对接源_02物料!$B953)&lt;$K$2,N(对接源_02物料!$B953)&gt;$K$3),0,1))</f>
        <v>0</v>
      </c>
      <c r="L2153" s="1" t="n">
        <f aca="false">IF(OR($L$1="",对接源_02物料!$C953="",对接源_02物料!$C953&lt;&gt;$L$1,对接源_02物料!$B953=""),0,IF(OR(N(对接源_02物料!$B953)&lt;$L$2,N(对接源_02物料!$B953)&gt;$L$3),0,1))</f>
        <v>0</v>
      </c>
      <c r="M2153" s="1" t="n">
        <f aca="false">IF(OR($M$1="",对接源_02物料!$C953="",对接源_02物料!$C953&lt;&gt;$M$1,对接源_02物料!$B953=""),0,IF(OR(N(对接源_02物料!$B953)&lt;$M$2,N(对接源_02物料!$B953)&gt;$M$3),0,1))</f>
        <v>0</v>
      </c>
      <c r="N2153" s="1" t="n">
        <f aca="false">IF(OR($N$1="",对接源_02物料!$C953="",对接源_02物料!$C953&lt;&gt;$N$1,对接源_02物料!$B953=""),0,IF(OR(N(对接源_02物料!$B953)&lt;$N$2,N(对接源_02物料!$B953)&gt;$N$3),0,1))</f>
        <v>0</v>
      </c>
      <c r="P2153" s="1" t="n">
        <f aca="false">IF(AND($K2153=1,AND(对接源_02物料!$X953="公司筐",N(对接源_02物料!$T953)&lt;&gt;0)),1,0)</f>
        <v>0</v>
      </c>
      <c r="Q2153" s="1" t="n">
        <f aca="false">N(Q2152)+$P2153</f>
        <v>13</v>
      </c>
      <c r="R2153" s="1" t="n">
        <f aca="false">IF(AND($K2153=1,AND(对接源_02物料!$X953="公司筐",N(对接源_02物料!$U953)&lt;&gt;0)),1,0)</f>
        <v>0</v>
      </c>
      <c r="S2153" s="1" t="n">
        <f aca="false">N(S2152)+$R2153</f>
        <v>5</v>
      </c>
      <c r="T2153" s="1" t="n">
        <f aca="false">IF(AND($K2153=1,AND(对接源_02物料!$X953="公司筐",N(对接源_02物料!$V953)&lt;&gt;0)),1,0)</f>
        <v>0</v>
      </c>
      <c r="U2153" s="1" t="n">
        <f aca="false">N(U2152)+$T2153</f>
        <v>28</v>
      </c>
      <c r="V2153" s="1" t="n">
        <f aca="false">IF(AND($L2153=1,AND(对接源_02物料!$X953="自备筐",N(对接源_02物料!$V953)&lt;&gt;0)),1,0)</f>
        <v>0</v>
      </c>
      <c r="W2153" s="1" t="n">
        <f aca="false">N(W2152)+$V2153</f>
        <v>7</v>
      </c>
      <c r="X2153" s="1" t="n">
        <f aca="false">IF(AND($L2153=1,AND(对接源_02物料!$X953="自备筐",N(对接源_02物料!$T953)&lt;&gt;0)),1,0)</f>
        <v>0</v>
      </c>
      <c r="Y2153" s="1" t="n">
        <f aca="false">N(Y2152)+$X2153</f>
        <v>0</v>
      </c>
      <c r="Z2153" s="1" t="n">
        <f aca="false">IF(AND($M2153=1,对接源_02物料!$D953="原料入库"),1,0)</f>
        <v>0</v>
      </c>
      <c r="AA2153" s="1" t="n">
        <f aca="false">N(AA2152)+$Z2153</f>
        <v>30</v>
      </c>
      <c r="AB2153" s="1" t="n">
        <f aca="false">IF(AND($M2153=1,LEFT(对接源_02物料!$D953,4)="原料出库"),1,0)</f>
        <v>0</v>
      </c>
      <c r="AC2153" s="1" t="n">
        <f aca="false">N(AC2152)+$AB2153</f>
        <v>19</v>
      </c>
      <c r="AD2153" s="1" t="n">
        <f aca="false">IF(AND($M2153=1,LEFT(对接源_02物料!$D953,4)="成品出库"),1,0)</f>
        <v>0</v>
      </c>
      <c r="AE2153" s="1" t="n">
        <f aca="false">N(AE2152)+$AD2153</f>
        <v>38</v>
      </c>
      <c r="AF2153" s="1" t="n">
        <f aca="false">IF(AND($N2153=1,AND(LEFT(对接源_02物料!$D953,4)="包装物料",N(对接源_02物料!$K953)&lt;&gt;0)),1,0)</f>
        <v>0</v>
      </c>
      <c r="AG2153" s="1" t="n">
        <f aca="false">N(AG2152)+$AF2153</f>
        <v>6</v>
      </c>
      <c r="AH2153" s="1" t="n">
        <f aca="false">IF(AND($N2153=1,AND(LEFT(对接源_02物料!$D953,3)="周转筐",N(对接源_02物料!$K953)&lt;&gt;0)),1,0)</f>
        <v>0</v>
      </c>
      <c r="AI2153" s="1" t="n">
        <f aca="false">N(AI2152)+$AH2153</f>
        <v>0</v>
      </c>
      <c r="AJ2153" s="1" t="n">
        <v>0</v>
      </c>
      <c r="AK2153" s="1" t="n">
        <f aca="false">N(AK2152)+$AJ2153</f>
        <v>3672</v>
      </c>
    </row>
    <row r="2154" customFormat="false" ht="13.5" hidden="false" customHeight="false" outlineLevel="0" collapsed="false">
      <c r="A2154" s="1" t="str">
        <f aca="false">IF(对接源_02物料!$C954="","",对接源_02物料!$C954)</f>
        <v/>
      </c>
      <c r="B2154" s="1" t="n">
        <f aca="false">IF(A2154="",0,IF(MATCH(A2154,$A$4:$A$2403,0)=ROW()-3,1,0))</f>
        <v>0</v>
      </c>
      <c r="C2154" s="1" t="n">
        <f aca="false">N(C2153)+B2154</f>
        <v>17</v>
      </c>
      <c r="K2154" s="1" t="n">
        <f aca="false">IF(OR($K$1="",对接源_02物料!$C954="",对接源_02物料!$C954&lt;&gt;$K$1,对接源_02物料!$B954=""),0,IF(OR(N(对接源_02物料!$B954)&lt;$K$2,N(对接源_02物料!$B954)&gt;$K$3),0,1))</f>
        <v>0</v>
      </c>
      <c r="L2154" s="1" t="n">
        <f aca="false">IF(OR($L$1="",对接源_02物料!$C954="",对接源_02物料!$C954&lt;&gt;$L$1,对接源_02物料!$B954=""),0,IF(OR(N(对接源_02物料!$B954)&lt;$L$2,N(对接源_02物料!$B954)&gt;$L$3),0,1))</f>
        <v>0</v>
      </c>
      <c r="M2154" s="1" t="n">
        <f aca="false">IF(OR($M$1="",对接源_02物料!$C954="",对接源_02物料!$C954&lt;&gt;$M$1,对接源_02物料!$B954=""),0,IF(OR(N(对接源_02物料!$B954)&lt;$M$2,N(对接源_02物料!$B954)&gt;$M$3),0,1))</f>
        <v>0</v>
      </c>
      <c r="N2154" s="1" t="n">
        <f aca="false">IF(OR($N$1="",对接源_02物料!$C954="",对接源_02物料!$C954&lt;&gt;$N$1,对接源_02物料!$B954=""),0,IF(OR(N(对接源_02物料!$B954)&lt;$N$2,N(对接源_02物料!$B954)&gt;$N$3),0,1))</f>
        <v>0</v>
      </c>
      <c r="P2154" s="1" t="n">
        <f aca="false">IF(AND($K2154=1,AND(对接源_02物料!$X954="公司筐",N(对接源_02物料!$T954)&lt;&gt;0)),1,0)</f>
        <v>0</v>
      </c>
      <c r="Q2154" s="1" t="n">
        <f aca="false">N(Q2153)+$P2154</f>
        <v>13</v>
      </c>
      <c r="R2154" s="1" t="n">
        <f aca="false">IF(AND($K2154=1,AND(对接源_02物料!$X954="公司筐",N(对接源_02物料!$U954)&lt;&gt;0)),1,0)</f>
        <v>0</v>
      </c>
      <c r="S2154" s="1" t="n">
        <f aca="false">N(S2153)+$R2154</f>
        <v>5</v>
      </c>
      <c r="T2154" s="1" t="n">
        <f aca="false">IF(AND($K2154=1,AND(对接源_02物料!$X954="公司筐",N(对接源_02物料!$V954)&lt;&gt;0)),1,0)</f>
        <v>0</v>
      </c>
      <c r="U2154" s="1" t="n">
        <f aca="false">N(U2153)+$T2154</f>
        <v>28</v>
      </c>
      <c r="V2154" s="1" t="n">
        <f aca="false">IF(AND($L2154=1,AND(对接源_02物料!$X954="自备筐",N(对接源_02物料!$V954)&lt;&gt;0)),1,0)</f>
        <v>0</v>
      </c>
      <c r="W2154" s="1" t="n">
        <f aca="false">N(W2153)+$V2154</f>
        <v>7</v>
      </c>
      <c r="X2154" s="1" t="n">
        <f aca="false">IF(AND($L2154=1,AND(对接源_02物料!$X954="自备筐",N(对接源_02物料!$T954)&lt;&gt;0)),1,0)</f>
        <v>0</v>
      </c>
      <c r="Y2154" s="1" t="n">
        <f aca="false">N(Y2153)+$X2154</f>
        <v>0</v>
      </c>
      <c r="Z2154" s="1" t="n">
        <f aca="false">IF(AND($M2154=1,对接源_02物料!$D954="原料入库"),1,0)</f>
        <v>0</v>
      </c>
      <c r="AA2154" s="1" t="n">
        <f aca="false">N(AA2153)+$Z2154</f>
        <v>30</v>
      </c>
      <c r="AB2154" s="1" t="n">
        <f aca="false">IF(AND($M2154=1,LEFT(对接源_02物料!$D954,4)="原料出库"),1,0)</f>
        <v>0</v>
      </c>
      <c r="AC2154" s="1" t="n">
        <f aca="false">N(AC2153)+$AB2154</f>
        <v>19</v>
      </c>
      <c r="AD2154" s="1" t="n">
        <f aca="false">IF(AND($M2154=1,LEFT(对接源_02物料!$D954,4)="成品出库"),1,0)</f>
        <v>0</v>
      </c>
      <c r="AE2154" s="1" t="n">
        <f aca="false">N(AE2153)+$AD2154</f>
        <v>38</v>
      </c>
      <c r="AF2154" s="1" t="n">
        <f aca="false">IF(AND($N2154=1,AND(LEFT(对接源_02物料!$D954,4)="包装物料",N(对接源_02物料!$K954)&lt;&gt;0)),1,0)</f>
        <v>0</v>
      </c>
      <c r="AG2154" s="1" t="n">
        <f aca="false">N(AG2153)+$AF2154</f>
        <v>6</v>
      </c>
      <c r="AH2154" s="1" t="n">
        <f aca="false">IF(AND($N2154=1,AND(LEFT(对接源_02物料!$D954,3)="周转筐",N(对接源_02物料!$K954)&lt;&gt;0)),1,0)</f>
        <v>0</v>
      </c>
      <c r="AI2154" s="1" t="n">
        <f aca="false">N(AI2153)+$AH2154</f>
        <v>0</v>
      </c>
      <c r="AJ2154" s="1" t="n">
        <v>0</v>
      </c>
      <c r="AK2154" s="1" t="n">
        <f aca="false">N(AK2153)+$AJ2154</f>
        <v>3672</v>
      </c>
    </row>
    <row r="2155" customFormat="false" ht="13.5" hidden="false" customHeight="false" outlineLevel="0" collapsed="false">
      <c r="A2155" s="1" t="str">
        <f aca="false">IF(对接源_02物料!$C955="","",对接源_02物料!$C955)</f>
        <v/>
      </c>
      <c r="B2155" s="1" t="n">
        <f aca="false">IF(A2155="",0,IF(MATCH(A2155,$A$4:$A$2403,0)=ROW()-3,1,0))</f>
        <v>0</v>
      </c>
      <c r="C2155" s="1" t="n">
        <f aca="false">N(C2154)+B2155</f>
        <v>17</v>
      </c>
      <c r="K2155" s="1" t="n">
        <f aca="false">IF(OR($K$1="",对接源_02物料!$C955="",对接源_02物料!$C955&lt;&gt;$K$1,对接源_02物料!$B955=""),0,IF(OR(N(对接源_02物料!$B955)&lt;$K$2,N(对接源_02物料!$B955)&gt;$K$3),0,1))</f>
        <v>0</v>
      </c>
      <c r="L2155" s="1" t="n">
        <f aca="false">IF(OR($L$1="",对接源_02物料!$C955="",对接源_02物料!$C955&lt;&gt;$L$1,对接源_02物料!$B955=""),0,IF(OR(N(对接源_02物料!$B955)&lt;$L$2,N(对接源_02物料!$B955)&gt;$L$3),0,1))</f>
        <v>0</v>
      </c>
      <c r="M2155" s="1" t="n">
        <f aca="false">IF(OR($M$1="",对接源_02物料!$C955="",对接源_02物料!$C955&lt;&gt;$M$1,对接源_02物料!$B955=""),0,IF(OR(N(对接源_02物料!$B955)&lt;$M$2,N(对接源_02物料!$B955)&gt;$M$3),0,1))</f>
        <v>0</v>
      </c>
      <c r="N2155" s="1" t="n">
        <f aca="false">IF(OR($N$1="",对接源_02物料!$C955="",对接源_02物料!$C955&lt;&gt;$N$1,对接源_02物料!$B955=""),0,IF(OR(N(对接源_02物料!$B955)&lt;$N$2,N(对接源_02物料!$B955)&gt;$N$3),0,1))</f>
        <v>0</v>
      </c>
      <c r="P2155" s="1" t="n">
        <f aca="false">IF(AND($K2155=1,AND(对接源_02物料!$X955="公司筐",N(对接源_02物料!$T955)&lt;&gt;0)),1,0)</f>
        <v>0</v>
      </c>
      <c r="Q2155" s="1" t="n">
        <f aca="false">N(Q2154)+$P2155</f>
        <v>13</v>
      </c>
      <c r="R2155" s="1" t="n">
        <f aca="false">IF(AND($K2155=1,AND(对接源_02物料!$X955="公司筐",N(对接源_02物料!$U955)&lt;&gt;0)),1,0)</f>
        <v>0</v>
      </c>
      <c r="S2155" s="1" t="n">
        <f aca="false">N(S2154)+$R2155</f>
        <v>5</v>
      </c>
      <c r="T2155" s="1" t="n">
        <f aca="false">IF(AND($K2155=1,AND(对接源_02物料!$X955="公司筐",N(对接源_02物料!$V955)&lt;&gt;0)),1,0)</f>
        <v>0</v>
      </c>
      <c r="U2155" s="1" t="n">
        <f aca="false">N(U2154)+$T2155</f>
        <v>28</v>
      </c>
      <c r="V2155" s="1" t="n">
        <f aca="false">IF(AND($L2155=1,AND(对接源_02物料!$X955="自备筐",N(对接源_02物料!$V955)&lt;&gt;0)),1,0)</f>
        <v>0</v>
      </c>
      <c r="W2155" s="1" t="n">
        <f aca="false">N(W2154)+$V2155</f>
        <v>7</v>
      </c>
      <c r="X2155" s="1" t="n">
        <f aca="false">IF(AND($L2155=1,AND(对接源_02物料!$X955="自备筐",N(对接源_02物料!$T955)&lt;&gt;0)),1,0)</f>
        <v>0</v>
      </c>
      <c r="Y2155" s="1" t="n">
        <f aca="false">N(Y2154)+$X2155</f>
        <v>0</v>
      </c>
      <c r="Z2155" s="1" t="n">
        <f aca="false">IF(AND($M2155=1,对接源_02物料!$D955="原料入库"),1,0)</f>
        <v>0</v>
      </c>
      <c r="AA2155" s="1" t="n">
        <f aca="false">N(AA2154)+$Z2155</f>
        <v>30</v>
      </c>
      <c r="AB2155" s="1" t="n">
        <f aca="false">IF(AND($M2155=1,LEFT(对接源_02物料!$D955,4)="原料出库"),1,0)</f>
        <v>0</v>
      </c>
      <c r="AC2155" s="1" t="n">
        <f aca="false">N(AC2154)+$AB2155</f>
        <v>19</v>
      </c>
      <c r="AD2155" s="1" t="n">
        <f aca="false">IF(AND($M2155=1,LEFT(对接源_02物料!$D955,4)="成品出库"),1,0)</f>
        <v>0</v>
      </c>
      <c r="AE2155" s="1" t="n">
        <f aca="false">N(AE2154)+$AD2155</f>
        <v>38</v>
      </c>
      <c r="AF2155" s="1" t="n">
        <f aca="false">IF(AND($N2155=1,AND(LEFT(对接源_02物料!$D955,4)="包装物料",N(对接源_02物料!$K955)&lt;&gt;0)),1,0)</f>
        <v>0</v>
      </c>
      <c r="AG2155" s="1" t="n">
        <f aca="false">N(AG2154)+$AF2155</f>
        <v>6</v>
      </c>
      <c r="AH2155" s="1" t="n">
        <f aca="false">IF(AND($N2155=1,AND(LEFT(对接源_02物料!$D955,3)="周转筐",N(对接源_02物料!$K955)&lt;&gt;0)),1,0)</f>
        <v>0</v>
      </c>
      <c r="AI2155" s="1" t="n">
        <f aca="false">N(AI2154)+$AH2155</f>
        <v>0</v>
      </c>
      <c r="AJ2155" s="1" t="n">
        <v>0</v>
      </c>
      <c r="AK2155" s="1" t="n">
        <f aca="false">N(AK2154)+$AJ2155</f>
        <v>3672</v>
      </c>
    </row>
    <row r="2156" customFormat="false" ht="13.5" hidden="false" customHeight="false" outlineLevel="0" collapsed="false">
      <c r="A2156" s="1" t="str">
        <f aca="false">IF(对接源_02物料!$C956="","",对接源_02物料!$C956)</f>
        <v/>
      </c>
      <c r="B2156" s="1" t="n">
        <f aca="false">IF(A2156="",0,IF(MATCH(A2156,$A$4:$A$2403,0)=ROW()-3,1,0))</f>
        <v>0</v>
      </c>
      <c r="C2156" s="1" t="n">
        <f aca="false">N(C2155)+B2156</f>
        <v>17</v>
      </c>
      <c r="K2156" s="1" t="n">
        <f aca="false">IF(OR($K$1="",对接源_02物料!$C956="",对接源_02物料!$C956&lt;&gt;$K$1,对接源_02物料!$B956=""),0,IF(OR(N(对接源_02物料!$B956)&lt;$K$2,N(对接源_02物料!$B956)&gt;$K$3),0,1))</f>
        <v>0</v>
      </c>
      <c r="L2156" s="1" t="n">
        <f aca="false">IF(OR($L$1="",对接源_02物料!$C956="",对接源_02物料!$C956&lt;&gt;$L$1,对接源_02物料!$B956=""),0,IF(OR(N(对接源_02物料!$B956)&lt;$L$2,N(对接源_02物料!$B956)&gt;$L$3),0,1))</f>
        <v>0</v>
      </c>
      <c r="M2156" s="1" t="n">
        <f aca="false">IF(OR($M$1="",对接源_02物料!$C956="",对接源_02物料!$C956&lt;&gt;$M$1,对接源_02物料!$B956=""),0,IF(OR(N(对接源_02物料!$B956)&lt;$M$2,N(对接源_02物料!$B956)&gt;$M$3),0,1))</f>
        <v>0</v>
      </c>
      <c r="N2156" s="1" t="n">
        <f aca="false">IF(OR($N$1="",对接源_02物料!$C956="",对接源_02物料!$C956&lt;&gt;$N$1,对接源_02物料!$B956=""),0,IF(OR(N(对接源_02物料!$B956)&lt;$N$2,N(对接源_02物料!$B956)&gt;$N$3),0,1))</f>
        <v>0</v>
      </c>
      <c r="P2156" s="1" t="n">
        <f aca="false">IF(AND($K2156=1,AND(对接源_02物料!$X956="公司筐",N(对接源_02物料!$T956)&lt;&gt;0)),1,0)</f>
        <v>0</v>
      </c>
      <c r="Q2156" s="1" t="n">
        <f aca="false">N(Q2155)+$P2156</f>
        <v>13</v>
      </c>
      <c r="R2156" s="1" t="n">
        <f aca="false">IF(AND($K2156=1,AND(对接源_02物料!$X956="公司筐",N(对接源_02物料!$U956)&lt;&gt;0)),1,0)</f>
        <v>0</v>
      </c>
      <c r="S2156" s="1" t="n">
        <f aca="false">N(S2155)+$R2156</f>
        <v>5</v>
      </c>
      <c r="T2156" s="1" t="n">
        <f aca="false">IF(AND($K2156=1,AND(对接源_02物料!$X956="公司筐",N(对接源_02物料!$V956)&lt;&gt;0)),1,0)</f>
        <v>0</v>
      </c>
      <c r="U2156" s="1" t="n">
        <f aca="false">N(U2155)+$T2156</f>
        <v>28</v>
      </c>
      <c r="V2156" s="1" t="n">
        <f aca="false">IF(AND($L2156=1,AND(对接源_02物料!$X956="自备筐",N(对接源_02物料!$V956)&lt;&gt;0)),1,0)</f>
        <v>0</v>
      </c>
      <c r="W2156" s="1" t="n">
        <f aca="false">N(W2155)+$V2156</f>
        <v>7</v>
      </c>
      <c r="X2156" s="1" t="n">
        <f aca="false">IF(AND($L2156=1,AND(对接源_02物料!$X956="自备筐",N(对接源_02物料!$T956)&lt;&gt;0)),1,0)</f>
        <v>0</v>
      </c>
      <c r="Y2156" s="1" t="n">
        <f aca="false">N(Y2155)+$X2156</f>
        <v>0</v>
      </c>
      <c r="Z2156" s="1" t="n">
        <f aca="false">IF(AND($M2156=1,对接源_02物料!$D956="原料入库"),1,0)</f>
        <v>0</v>
      </c>
      <c r="AA2156" s="1" t="n">
        <f aca="false">N(AA2155)+$Z2156</f>
        <v>30</v>
      </c>
      <c r="AB2156" s="1" t="n">
        <f aca="false">IF(AND($M2156=1,LEFT(对接源_02物料!$D956,4)="原料出库"),1,0)</f>
        <v>0</v>
      </c>
      <c r="AC2156" s="1" t="n">
        <f aca="false">N(AC2155)+$AB2156</f>
        <v>19</v>
      </c>
      <c r="AD2156" s="1" t="n">
        <f aca="false">IF(AND($M2156=1,LEFT(对接源_02物料!$D956,4)="成品出库"),1,0)</f>
        <v>0</v>
      </c>
      <c r="AE2156" s="1" t="n">
        <f aca="false">N(AE2155)+$AD2156</f>
        <v>38</v>
      </c>
      <c r="AF2156" s="1" t="n">
        <f aca="false">IF(AND($N2156=1,AND(LEFT(对接源_02物料!$D956,4)="包装物料",N(对接源_02物料!$K956)&lt;&gt;0)),1,0)</f>
        <v>0</v>
      </c>
      <c r="AG2156" s="1" t="n">
        <f aca="false">N(AG2155)+$AF2156</f>
        <v>6</v>
      </c>
      <c r="AH2156" s="1" t="n">
        <f aca="false">IF(AND($N2156=1,AND(LEFT(对接源_02物料!$D956,3)="周转筐",N(对接源_02物料!$K956)&lt;&gt;0)),1,0)</f>
        <v>0</v>
      </c>
      <c r="AI2156" s="1" t="n">
        <f aca="false">N(AI2155)+$AH2156</f>
        <v>0</v>
      </c>
      <c r="AJ2156" s="1" t="n">
        <v>0</v>
      </c>
      <c r="AK2156" s="1" t="n">
        <f aca="false">N(AK2155)+$AJ2156</f>
        <v>3672</v>
      </c>
    </row>
    <row r="2157" customFormat="false" ht="13.5" hidden="false" customHeight="false" outlineLevel="0" collapsed="false">
      <c r="A2157" s="1" t="str">
        <f aca="false">IF(对接源_02物料!$C957="","",对接源_02物料!$C957)</f>
        <v/>
      </c>
      <c r="B2157" s="1" t="n">
        <f aca="false">IF(A2157="",0,IF(MATCH(A2157,$A$4:$A$2403,0)=ROW()-3,1,0))</f>
        <v>0</v>
      </c>
      <c r="C2157" s="1" t="n">
        <f aca="false">N(C2156)+B2157</f>
        <v>17</v>
      </c>
      <c r="K2157" s="1" t="n">
        <f aca="false">IF(OR($K$1="",对接源_02物料!$C957="",对接源_02物料!$C957&lt;&gt;$K$1,对接源_02物料!$B957=""),0,IF(OR(N(对接源_02物料!$B957)&lt;$K$2,N(对接源_02物料!$B957)&gt;$K$3),0,1))</f>
        <v>0</v>
      </c>
      <c r="L2157" s="1" t="n">
        <f aca="false">IF(OR($L$1="",对接源_02物料!$C957="",对接源_02物料!$C957&lt;&gt;$L$1,对接源_02物料!$B957=""),0,IF(OR(N(对接源_02物料!$B957)&lt;$L$2,N(对接源_02物料!$B957)&gt;$L$3),0,1))</f>
        <v>0</v>
      </c>
      <c r="M2157" s="1" t="n">
        <f aca="false">IF(OR($M$1="",对接源_02物料!$C957="",对接源_02物料!$C957&lt;&gt;$M$1,对接源_02物料!$B957=""),0,IF(OR(N(对接源_02物料!$B957)&lt;$M$2,N(对接源_02物料!$B957)&gt;$M$3),0,1))</f>
        <v>0</v>
      </c>
      <c r="N2157" s="1" t="n">
        <f aca="false">IF(OR($N$1="",对接源_02物料!$C957="",对接源_02物料!$C957&lt;&gt;$N$1,对接源_02物料!$B957=""),0,IF(OR(N(对接源_02物料!$B957)&lt;$N$2,N(对接源_02物料!$B957)&gt;$N$3),0,1))</f>
        <v>0</v>
      </c>
      <c r="P2157" s="1" t="n">
        <f aca="false">IF(AND($K2157=1,AND(对接源_02物料!$X957="公司筐",N(对接源_02物料!$T957)&lt;&gt;0)),1,0)</f>
        <v>0</v>
      </c>
      <c r="Q2157" s="1" t="n">
        <f aca="false">N(Q2156)+$P2157</f>
        <v>13</v>
      </c>
      <c r="R2157" s="1" t="n">
        <f aca="false">IF(AND($K2157=1,AND(对接源_02物料!$X957="公司筐",N(对接源_02物料!$U957)&lt;&gt;0)),1,0)</f>
        <v>0</v>
      </c>
      <c r="S2157" s="1" t="n">
        <f aca="false">N(S2156)+$R2157</f>
        <v>5</v>
      </c>
      <c r="T2157" s="1" t="n">
        <f aca="false">IF(AND($K2157=1,AND(对接源_02物料!$X957="公司筐",N(对接源_02物料!$V957)&lt;&gt;0)),1,0)</f>
        <v>0</v>
      </c>
      <c r="U2157" s="1" t="n">
        <f aca="false">N(U2156)+$T2157</f>
        <v>28</v>
      </c>
      <c r="V2157" s="1" t="n">
        <f aca="false">IF(AND($L2157=1,AND(对接源_02物料!$X957="自备筐",N(对接源_02物料!$V957)&lt;&gt;0)),1,0)</f>
        <v>0</v>
      </c>
      <c r="W2157" s="1" t="n">
        <f aca="false">N(W2156)+$V2157</f>
        <v>7</v>
      </c>
      <c r="X2157" s="1" t="n">
        <f aca="false">IF(AND($L2157=1,AND(对接源_02物料!$X957="自备筐",N(对接源_02物料!$T957)&lt;&gt;0)),1,0)</f>
        <v>0</v>
      </c>
      <c r="Y2157" s="1" t="n">
        <f aca="false">N(Y2156)+$X2157</f>
        <v>0</v>
      </c>
      <c r="Z2157" s="1" t="n">
        <f aca="false">IF(AND($M2157=1,对接源_02物料!$D957="原料入库"),1,0)</f>
        <v>0</v>
      </c>
      <c r="AA2157" s="1" t="n">
        <f aca="false">N(AA2156)+$Z2157</f>
        <v>30</v>
      </c>
      <c r="AB2157" s="1" t="n">
        <f aca="false">IF(AND($M2157=1,LEFT(对接源_02物料!$D957,4)="原料出库"),1,0)</f>
        <v>0</v>
      </c>
      <c r="AC2157" s="1" t="n">
        <f aca="false">N(AC2156)+$AB2157</f>
        <v>19</v>
      </c>
      <c r="AD2157" s="1" t="n">
        <f aca="false">IF(AND($M2157=1,LEFT(对接源_02物料!$D957,4)="成品出库"),1,0)</f>
        <v>0</v>
      </c>
      <c r="AE2157" s="1" t="n">
        <f aca="false">N(AE2156)+$AD2157</f>
        <v>38</v>
      </c>
      <c r="AF2157" s="1" t="n">
        <f aca="false">IF(AND($N2157=1,AND(LEFT(对接源_02物料!$D957,4)="包装物料",N(对接源_02物料!$K957)&lt;&gt;0)),1,0)</f>
        <v>0</v>
      </c>
      <c r="AG2157" s="1" t="n">
        <f aca="false">N(AG2156)+$AF2157</f>
        <v>6</v>
      </c>
      <c r="AH2157" s="1" t="n">
        <f aca="false">IF(AND($N2157=1,AND(LEFT(对接源_02物料!$D957,3)="周转筐",N(对接源_02物料!$K957)&lt;&gt;0)),1,0)</f>
        <v>0</v>
      </c>
      <c r="AI2157" s="1" t="n">
        <f aca="false">N(AI2156)+$AH2157</f>
        <v>0</v>
      </c>
      <c r="AJ2157" s="1" t="n">
        <v>0</v>
      </c>
      <c r="AK2157" s="1" t="n">
        <f aca="false">N(AK2156)+$AJ2157</f>
        <v>3672</v>
      </c>
    </row>
    <row r="2158" customFormat="false" ht="13.5" hidden="false" customHeight="false" outlineLevel="0" collapsed="false">
      <c r="A2158" s="1" t="str">
        <f aca="false">IF(对接源_02物料!$C958="","",对接源_02物料!$C958)</f>
        <v/>
      </c>
      <c r="B2158" s="1" t="n">
        <f aca="false">IF(A2158="",0,IF(MATCH(A2158,$A$4:$A$2403,0)=ROW()-3,1,0))</f>
        <v>0</v>
      </c>
      <c r="C2158" s="1" t="n">
        <f aca="false">N(C2157)+B2158</f>
        <v>17</v>
      </c>
      <c r="K2158" s="1" t="n">
        <f aca="false">IF(OR($K$1="",对接源_02物料!$C958="",对接源_02物料!$C958&lt;&gt;$K$1,对接源_02物料!$B958=""),0,IF(OR(N(对接源_02物料!$B958)&lt;$K$2,N(对接源_02物料!$B958)&gt;$K$3),0,1))</f>
        <v>0</v>
      </c>
      <c r="L2158" s="1" t="n">
        <f aca="false">IF(OR($L$1="",对接源_02物料!$C958="",对接源_02物料!$C958&lt;&gt;$L$1,对接源_02物料!$B958=""),0,IF(OR(N(对接源_02物料!$B958)&lt;$L$2,N(对接源_02物料!$B958)&gt;$L$3),0,1))</f>
        <v>0</v>
      </c>
      <c r="M2158" s="1" t="n">
        <f aca="false">IF(OR($M$1="",对接源_02物料!$C958="",对接源_02物料!$C958&lt;&gt;$M$1,对接源_02物料!$B958=""),0,IF(OR(N(对接源_02物料!$B958)&lt;$M$2,N(对接源_02物料!$B958)&gt;$M$3),0,1))</f>
        <v>0</v>
      </c>
      <c r="N2158" s="1" t="n">
        <f aca="false">IF(OR($N$1="",对接源_02物料!$C958="",对接源_02物料!$C958&lt;&gt;$N$1,对接源_02物料!$B958=""),0,IF(OR(N(对接源_02物料!$B958)&lt;$N$2,N(对接源_02物料!$B958)&gt;$N$3),0,1))</f>
        <v>0</v>
      </c>
      <c r="P2158" s="1" t="n">
        <f aca="false">IF(AND($K2158=1,AND(对接源_02物料!$X958="公司筐",N(对接源_02物料!$T958)&lt;&gt;0)),1,0)</f>
        <v>0</v>
      </c>
      <c r="Q2158" s="1" t="n">
        <f aca="false">N(Q2157)+$P2158</f>
        <v>13</v>
      </c>
      <c r="R2158" s="1" t="n">
        <f aca="false">IF(AND($K2158=1,AND(对接源_02物料!$X958="公司筐",N(对接源_02物料!$U958)&lt;&gt;0)),1,0)</f>
        <v>0</v>
      </c>
      <c r="S2158" s="1" t="n">
        <f aca="false">N(S2157)+$R2158</f>
        <v>5</v>
      </c>
      <c r="T2158" s="1" t="n">
        <f aca="false">IF(AND($K2158=1,AND(对接源_02物料!$X958="公司筐",N(对接源_02物料!$V958)&lt;&gt;0)),1,0)</f>
        <v>0</v>
      </c>
      <c r="U2158" s="1" t="n">
        <f aca="false">N(U2157)+$T2158</f>
        <v>28</v>
      </c>
      <c r="V2158" s="1" t="n">
        <f aca="false">IF(AND($L2158=1,AND(对接源_02物料!$X958="自备筐",N(对接源_02物料!$V958)&lt;&gt;0)),1,0)</f>
        <v>0</v>
      </c>
      <c r="W2158" s="1" t="n">
        <f aca="false">N(W2157)+$V2158</f>
        <v>7</v>
      </c>
      <c r="X2158" s="1" t="n">
        <f aca="false">IF(AND($L2158=1,AND(对接源_02物料!$X958="自备筐",N(对接源_02物料!$T958)&lt;&gt;0)),1,0)</f>
        <v>0</v>
      </c>
      <c r="Y2158" s="1" t="n">
        <f aca="false">N(Y2157)+$X2158</f>
        <v>0</v>
      </c>
      <c r="Z2158" s="1" t="n">
        <f aca="false">IF(AND($M2158=1,对接源_02物料!$D958="原料入库"),1,0)</f>
        <v>0</v>
      </c>
      <c r="AA2158" s="1" t="n">
        <f aca="false">N(AA2157)+$Z2158</f>
        <v>30</v>
      </c>
      <c r="AB2158" s="1" t="n">
        <f aca="false">IF(AND($M2158=1,LEFT(对接源_02物料!$D958,4)="原料出库"),1,0)</f>
        <v>0</v>
      </c>
      <c r="AC2158" s="1" t="n">
        <f aca="false">N(AC2157)+$AB2158</f>
        <v>19</v>
      </c>
      <c r="AD2158" s="1" t="n">
        <f aca="false">IF(AND($M2158=1,LEFT(对接源_02物料!$D958,4)="成品出库"),1,0)</f>
        <v>0</v>
      </c>
      <c r="AE2158" s="1" t="n">
        <f aca="false">N(AE2157)+$AD2158</f>
        <v>38</v>
      </c>
      <c r="AF2158" s="1" t="n">
        <f aca="false">IF(AND($N2158=1,AND(LEFT(对接源_02物料!$D958,4)="包装物料",N(对接源_02物料!$K958)&lt;&gt;0)),1,0)</f>
        <v>0</v>
      </c>
      <c r="AG2158" s="1" t="n">
        <f aca="false">N(AG2157)+$AF2158</f>
        <v>6</v>
      </c>
      <c r="AH2158" s="1" t="n">
        <f aca="false">IF(AND($N2158=1,AND(LEFT(对接源_02物料!$D958,3)="周转筐",N(对接源_02物料!$K958)&lt;&gt;0)),1,0)</f>
        <v>0</v>
      </c>
      <c r="AI2158" s="1" t="n">
        <f aca="false">N(AI2157)+$AH2158</f>
        <v>0</v>
      </c>
      <c r="AJ2158" s="1" t="n">
        <v>0</v>
      </c>
      <c r="AK2158" s="1" t="n">
        <f aca="false">N(AK2157)+$AJ2158</f>
        <v>3672</v>
      </c>
    </row>
    <row r="2159" customFormat="false" ht="13.5" hidden="false" customHeight="false" outlineLevel="0" collapsed="false">
      <c r="A2159" s="1" t="str">
        <f aca="false">IF(对接源_02物料!$C959="","",对接源_02物料!$C959)</f>
        <v/>
      </c>
      <c r="B2159" s="1" t="n">
        <f aca="false">IF(A2159="",0,IF(MATCH(A2159,$A$4:$A$2403,0)=ROW()-3,1,0))</f>
        <v>0</v>
      </c>
      <c r="C2159" s="1" t="n">
        <f aca="false">N(C2158)+B2159</f>
        <v>17</v>
      </c>
      <c r="K2159" s="1" t="n">
        <f aca="false">IF(OR($K$1="",对接源_02物料!$C959="",对接源_02物料!$C959&lt;&gt;$K$1,对接源_02物料!$B959=""),0,IF(OR(N(对接源_02物料!$B959)&lt;$K$2,N(对接源_02物料!$B959)&gt;$K$3),0,1))</f>
        <v>0</v>
      </c>
      <c r="L2159" s="1" t="n">
        <f aca="false">IF(OR($L$1="",对接源_02物料!$C959="",对接源_02物料!$C959&lt;&gt;$L$1,对接源_02物料!$B959=""),0,IF(OR(N(对接源_02物料!$B959)&lt;$L$2,N(对接源_02物料!$B959)&gt;$L$3),0,1))</f>
        <v>0</v>
      </c>
      <c r="M2159" s="1" t="n">
        <f aca="false">IF(OR($M$1="",对接源_02物料!$C959="",对接源_02物料!$C959&lt;&gt;$M$1,对接源_02物料!$B959=""),0,IF(OR(N(对接源_02物料!$B959)&lt;$M$2,N(对接源_02物料!$B959)&gt;$M$3),0,1))</f>
        <v>0</v>
      </c>
      <c r="N2159" s="1" t="n">
        <f aca="false">IF(OR($N$1="",对接源_02物料!$C959="",对接源_02物料!$C959&lt;&gt;$N$1,对接源_02物料!$B959=""),0,IF(OR(N(对接源_02物料!$B959)&lt;$N$2,N(对接源_02物料!$B959)&gt;$N$3),0,1))</f>
        <v>0</v>
      </c>
      <c r="P2159" s="1" t="n">
        <f aca="false">IF(AND($K2159=1,AND(对接源_02物料!$X959="公司筐",N(对接源_02物料!$T959)&lt;&gt;0)),1,0)</f>
        <v>0</v>
      </c>
      <c r="Q2159" s="1" t="n">
        <f aca="false">N(Q2158)+$P2159</f>
        <v>13</v>
      </c>
      <c r="R2159" s="1" t="n">
        <f aca="false">IF(AND($K2159=1,AND(对接源_02物料!$X959="公司筐",N(对接源_02物料!$U959)&lt;&gt;0)),1,0)</f>
        <v>0</v>
      </c>
      <c r="S2159" s="1" t="n">
        <f aca="false">N(S2158)+$R2159</f>
        <v>5</v>
      </c>
      <c r="T2159" s="1" t="n">
        <f aca="false">IF(AND($K2159=1,AND(对接源_02物料!$X959="公司筐",N(对接源_02物料!$V959)&lt;&gt;0)),1,0)</f>
        <v>0</v>
      </c>
      <c r="U2159" s="1" t="n">
        <f aca="false">N(U2158)+$T2159</f>
        <v>28</v>
      </c>
      <c r="V2159" s="1" t="n">
        <f aca="false">IF(AND($L2159=1,AND(对接源_02物料!$X959="自备筐",N(对接源_02物料!$V959)&lt;&gt;0)),1,0)</f>
        <v>0</v>
      </c>
      <c r="W2159" s="1" t="n">
        <f aca="false">N(W2158)+$V2159</f>
        <v>7</v>
      </c>
      <c r="X2159" s="1" t="n">
        <f aca="false">IF(AND($L2159=1,AND(对接源_02物料!$X959="自备筐",N(对接源_02物料!$T959)&lt;&gt;0)),1,0)</f>
        <v>0</v>
      </c>
      <c r="Y2159" s="1" t="n">
        <f aca="false">N(Y2158)+$X2159</f>
        <v>0</v>
      </c>
      <c r="Z2159" s="1" t="n">
        <f aca="false">IF(AND($M2159=1,对接源_02物料!$D959="原料入库"),1,0)</f>
        <v>0</v>
      </c>
      <c r="AA2159" s="1" t="n">
        <f aca="false">N(AA2158)+$Z2159</f>
        <v>30</v>
      </c>
      <c r="AB2159" s="1" t="n">
        <f aca="false">IF(AND($M2159=1,LEFT(对接源_02物料!$D959,4)="原料出库"),1,0)</f>
        <v>0</v>
      </c>
      <c r="AC2159" s="1" t="n">
        <f aca="false">N(AC2158)+$AB2159</f>
        <v>19</v>
      </c>
      <c r="AD2159" s="1" t="n">
        <f aca="false">IF(AND($M2159=1,LEFT(对接源_02物料!$D959,4)="成品出库"),1,0)</f>
        <v>0</v>
      </c>
      <c r="AE2159" s="1" t="n">
        <f aca="false">N(AE2158)+$AD2159</f>
        <v>38</v>
      </c>
      <c r="AF2159" s="1" t="n">
        <f aca="false">IF(AND($N2159=1,AND(LEFT(对接源_02物料!$D959,4)="包装物料",N(对接源_02物料!$K959)&lt;&gt;0)),1,0)</f>
        <v>0</v>
      </c>
      <c r="AG2159" s="1" t="n">
        <f aca="false">N(AG2158)+$AF2159</f>
        <v>6</v>
      </c>
      <c r="AH2159" s="1" t="n">
        <f aca="false">IF(AND($N2159=1,AND(LEFT(对接源_02物料!$D959,3)="周转筐",N(对接源_02物料!$K959)&lt;&gt;0)),1,0)</f>
        <v>0</v>
      </c>
      <c r="AI2159" s="1" t="n">
        <f aca="false">N(AI2158)+$AH2159</f>
        <v>0</v>
      </c>
      <c r="AJ2159" s="1" t="n">
        <v>0</v>
      </c>
      <c r="AK2159" s="1" t="n">
        <f aca="false">N(AK2158)+$AJ2159</f>
        <v>3672</v>
      </c>
    </row>
    <row r="2160" customFormat="false" ht="13.5" hidden="false" customHeight="false" outlineLevel="0" collapsed="false">
      <c r="A2160" s="1" t="str">
        <f aca="false">IF(对接源_02物料!$C960="","",对接源_02物料!$C960)</f>
        <v/>
      </c>
      <c r="B2160" s="1" t="n">
        <f aca="false">IF(A2160="",0,IF(MATCH(A2160,$A$4:$A$2403,0)=ROW()-3,1,0))</f>
        <v>0</v>
      </c>
      <c r="C2160" s="1" t="n">
        <f aca="false">N(C2159)+B2160</f>
        <v>17</v>
      </c>
      <c r="K2160" s="1" t="n">
        <f aca="false">IF(OR($K$1="",对接源_02物料!$C960="",对接源_02物料!$C960&lt;&gt;$K$1,对接源_02物料!$B960=""),0,IF(OR(N(对接源_02物料!$B960)&lt;$K$2,N(对接源_02物料!$B960)&gt;$K$3),0,1))</f>
        <v>0</v>
      </c>
      <c r="L2160" s="1" t="n">
        <f aca="false">IF(OR($L$1="",对接源_02物料!$C960="",对接源_02物料!$C960&lt;&gt;$L$1,对接源_02物料!$B960=""),0,IF(OR(N(对接源_02物料!$B960)&lt;$L$2,N(对接源_02物料!$B960)&gt;$L$3),0,1))</f>
        <v>0</v>
      </c>
      <c r="M2160" s="1" t="n">
        <f aca="false">IF(OR($M$1="",对接源_02物料!$C960="",对接源_02物料!$C960&lt;&gt;$M$1,对接源_02物料!$B960=""),0,IF(OR(N(对接源_02物料!$B960)&lt;$M$2,N(对接源_02物料!$B960)&gt;$M$3),0,1))</f>
        <v>0</v>
      </c>
      <c r="N2160" s="1" t="n">
        <f aca="false">IF(OR($N$1="",对接源_02物料!$C960="",对接源_02物料!$C960&lt;&gt;$N$1,对接源_02物料!$B960=""),0,IF(OR(N(对接源_02物料!$B960)&lt;$N$2,N(对接源_02物料!$B960)&gt;$N$3),0,1))</f>
        <v>0</v>
      </c>
      <c r="P2160" s="1" t="n">
        <f aca="false">IF(AND($K2160=1,AND(对接源_02物料!$X960="公司筐",N(对接源_02物料!$T960)&lt;&gt;0)),1,0)</f>
        <v>0</v>
      </c>
      <c r="Q2160" s="1" t="n">
        <f aca="false">N(Q2159)+$P2160</f>
        <v>13</v>
      </c>
      <c r="R2160" s="1" t="n">
        <f aca="false">IF(AND($K2160=1,AND(对接源_02物料!$X960="公司筐",N(对接源_02物料!$U960)&lt;&gt;0)),1,0)</f>
        <v>0</v>
      </c>
      <c r="S2160" s="1" t="n">
        <f aca="false">N(S2159)+$R2160</f>
        <v>5</v>
      </c>
      <c r="T2160" s="1" t="n">
        <f aca="false">IF(AND($K2160=1,AND(对接源_02物料!$X960="公司筐",N(对接源_02物料!$V960)&lt;&gt;0)),1,0)</f>
        <v>0</v>
      </c>
      <c r="U2160" s="1" t="n">
        <f aca="false">N(U2159)+$T2160</f>
        <v>28</v>
      </c>
      <c r="V2160" s="1" t="n">
        <f aca="false">IF(AND($L2160=1,AND(对接源_02物料!$X960="自备筐",N(对接源_02物料!$V960)&lt;&gt;0)),1,0)</f>
        <v>0</v>
      </c>
      <c r="W2160" s="1" t="n">
        <f aca="false">N(W2159)+$V2160</f>
        <v>7</v>
      </c>
      <c r="X2160" s="1" t="n">
        <f aca="false">IF(AND($L2160=1,AND(对接源_02物料!$X960="自备筐",N(对接源_02物料!$T960)&lt;&gt;0)),1,0)</f>
        <v>0</v>
      </c>
      <c r="Y2160" s="1" t="n">
        <f aca="false">N(Y2159)+$X2160</f>
        <v>0</v>
      </c>
      <c r="Z2160" s="1" t="n">
        <f aca="false">IF(AND($M2160=1,对接源_02物料!$D960="原料入库"),1,0)</f>
        <v>0</v>
      </c>
      <c r="AA2160" s="1" t="n">
        <f aca="false">N(AA2159)+$Z2160</f>
        <v>30</v>
      </c>
      <c r="AB2160" s="1" t="n">
        <f aca="false">IF(AND($M2160=1,LEFT(对接源_02物料!$D960,4)="原料出库"),1,0)</f>
        <v>0</v>
      </c>
      <c r="AC2160" s="1" t="n">
        <f aca="false">N(AC2159)+$AB2160</f>
        <v>19</v>
      </c>
      <c r="AD2160" s="1" t="n">
        <f aca="false">IF(AND($M2160=1,LEFT(对接源_02物料!$D960,4)="成品出库"),1,0)</f>
        <v>0</v>
      </c>
      <c r="AE2160" s="1" t="n">
        <f aca="false">N(AE2159)+$AD2160</f>
        <v>38</v>
      </c>
      <c r="AF2160" s="1" t="n">
        <f aca="false">IF(AND($N2160=1,AND(LEFT(对接源_02物料!$D960,4)="包装物料",N(对接源_02物料!$K960)&lt;&gt;0)),1,0)</f>
        <v>0</v>
      </c>
      <c r="AG2160" s="1" t="n">
        <f aca="false">N(AG2159)+$AF2160</f>
        <v>6</v>
      </c>
      <c r="AH2160" s="1" t="n">
        <f aca="false">IF(AND($N2160=1,AND(LEFT(对接源_02物料!$D960,3)="周转筐",N(对接源_02物料!$K960)&lt;&gt;0)),1,0)</f>
        <v>0</v>
      </c>
      <c r="AI2160" s="1" t="n">
        <f aca="false">N(AI2159)+$AH2160</f>
        <v>0</v>
      </c>
      <c r="AJ2160" s="1" t="n">
        <v>0</v>
      </c>
      <c r="AK2160" s="1" t="n">
        <f aca="false">N(AK2159)+$AJ2160</f>
        <v>3672</v>
      </c>
    </row>
    <row r="2161" customFormat="false" ht="13.5" hidden="false" customHeight="false" outlineLevel="0" collapsed="false">
      <c r="A2161" s="1" t="str">
        <f aca="false">IF(对接源_02物料!$C961="","",对接源_02物料!$C961)</f>
        <v/>
      </c>
      <c r="B2161" s="1" t="n">
        <f aca="false">IF(A2161="",0,IF(MATCH(A2161,$A$4:$A$2403,0)=ROW()-3,1,0))</f>
        <v>0</v>
      </c>
      <c r="C2161" s="1" t="n">
        <f aca="false">N(C2160)+B2161</f>
        <v>17</v>
      </c>
      <c r="K2161" s="1" t="n">
        <f aca="false">IF(OR($K$1="",对接源_02物料!$C961="",对接源_02物料!$C961&lt;&gt;$K$1,对接源_02物料!$B961=""),0,IF(OR(N(对接源_02物料!$B961)&lt;$K$2,N(对接源_02物料!$B961)&gt;$K$3),0,1))</f>
        <v>0</v>
      </c>
      <c r="L2161" s="1" t="n">
        <f aca="false">IF(OR($L$1="",对接源_02物料!$C961="",对接源_02物料!$C961&lt;&gt;$L$1,对接源_02物料!$B961=""),0,IF(OR(N(对接源_02物料!$B961)&lt;$L$2,N(对接源_02物料!$B961)&gt;$L$3),0,1))</f>
        <v>0</v>
      </c>
      <c r="M2161" s="1" t="n">
        <f aca="false">IF(OR($M$1="",对接源_02物料!$C961="",对接源_02物料!$C961&lt;&gt;$M$1,对接源_02物料!$B961=""),0,IF(OR(N(对接源_02物料!$B961)&lt;$M$2,N(对接源_02物料!$B961)&gt;$M$3),0,1))</f>
        <v>0</v>
      </c>
      <c r="N2161" s="1" t="n">
        <f aca="false">IF(OR($N$1="",对接源_02物料!$C961="",对接源_02物料!$C961&lt;&gt;$N$1,对接源_02物料!$B961=""),0,IF(OR(N(对接源_02物料!$B961)&lt;$N$2,N(对接源_02物料!$B961)&gt;$N$3),0,1))</f>
        <v>0</v>
      </c>
      <c r="P2161" s="1" t="n">
        <f aca="false">IF(AND($K2161=1,AND(对接源_02物料!$X961="公司筐",N(对接源_02物料!$T961)&lt;&gt;0)),1,0)</f>
        <v>0</v>
      </c>
      <c r="Q2161" s="1" t="n">
        <f aca="false">N(Q2160)+$P2161</f>
        <v>13</v>
      </c>
      <c r="R2161" s="1" t="n">
        <f aca="false">IF(AND($K2161=1,AND(对接源_02物料!$X961="公司筐",N(对接源_02物料!$U961)&lt;&gt;0)),1,0)</f>
        <v>0</v>
      </c>
      <c r="S2161" s="1" t="n">
        <f aca="false">N(S2160)+$R2161</f>
        <v>5</v>
      </c>
      <c r="T2161" s="1" t="n">
        <f aca="false">IF(AND($K2161=1,AND(对接源_02物料!$X961="公司筐",N(对接源_02物料!$V961)&lt;&gt;0)),1,0)</f>
        <v>0</v>
      </c>
      <c r="U2161" s="1" t="n">
        <f aca="false">N(U2160)+$T2161</f>
        <v>28</v>
      </c>
      <c r="V2161" s="1" t="n">
        <f aca="false">IF(AND($L2161=1,AND(对接源_02物料!$X961="自备筐",N(对接源_02物料!$V961)&lt;&gt;0)),1,0)</f>
        <v>0</v>
      </c>
      <c r="W2161" s="1" t="n">
        <f aca="false">N(W2160)+$V2161</f>
        <v>7</v>
      </c>
      <c r="X2161" s="1" t="n">
        <f aca="false">IF(AND($L2161=1,AND(对接源_02物料!$X961="自备筐",N(对接源_02物料!$T961)&lt;&gt;0)),1,0)</f>
        <v>0</v>
      </c>
      <c r="Y2161" s="1" t="n">
        <f aca="false">N(Y2160)+$X2161</f>
        <v>0</v>
      </c>
      <c r="Z2161" s="1" t="n">
        <f aca="false">IF(AND($M2161=1,对接源_02物料!$D961="原料入库"),1,0)</f>
        <v>0</v>
      </c>
      <c r="AA2161" s="1" t="n">
        <f aca="false">N(AA2160)+$Z2161</f>
        <v>30</v>
      </c>
      <c r="AB2161" s="1" t="n">
        <f aca="false">IF(AND($M2161=1,LEFT(对接源_02物料!$D961,4)="原料出库"),1,0)</f>
        <v>0</v>
      </c>
      <c r="AC2161" s="1" t="n">
        <f aca="false">N(AC2160)+$AB2161</f>
        <v>19</v>
      </c>
      <c r="AD2161" s="1" t="n">
        <f aca="false">IF(AND($M2161=1,LEFT(对接源_02物料!$D961,4)="成品出库"),1,0)</f>
        <v>0</v>
      </c>
      <c r="AE2161" s="1" t="n">
        <f aca="false">N(AE2160)+$AD2161</f>
        <v>38</v>
      </c>
      <c r="AF2161" s="1" t="n">
        <f aca="false">IF(AND($N2161=1,AND(LEFT(对接源_02物料!$D961,4)="包装物料",N(对接源_02物料!$K961)&lt;&gt;0)),1,0)</f>
        <v>0</v>
      </c>
      <c r="AG2161" s="1" t="n">
        <f aca="false">N(AG2160)+$AF2161</f>
        <v>6</v>
      </c>
      <c r="AH2161" s="1" t="n">
        <f aca="false">IF(AND($N2161=1,AND(LEFT(对接源_02物料!$D961,3)="周转筐",N(对接源_02物料!$K961)&lt;&gt;0)),1,0)</f>
        <v>0</v>
      </c>
      <c r="AI2161" s="1" t="n">
        <f aca="false">N(AI2160)+$AH2161</f>
        <v>0</v>
      </c>
      <c r="AJ2161" s="1" t="n">
        <v>0</v>
      </c>
      <c r="AK2161" s="1" t="n">
        <f aca="false">N(AK2160)+$AJ2161</f>
        <v>3672</v>
      </c>
    </row>
    <row r="2162" customFormat="false" ht="13.5" hidden="false" customHeight="false" outlineLevel="0" collapsed="false">
      <c r="A2162" s="1" t="str">
        <f aca="false">IF(对接源_02物料!$C962="","",对接源_02物料!$C962)</f>
        <v/>
      </c>
      <c r="B2162" s="1" t="n">
        <f aca="false">IF(A2162="",0,IF(MATCH(A2162,$A$4:$A$2403,0)=ROW()-3,1,0))</f>
        <v>0</v>
      </c>
      <c r="C2162" s="1" t="n">
        <f aca="false">N(C2161)+B2162</f>
        <v>17</v>
      </c>
      <c r="K2162" s="1" t="n">
        <f aca="false">IF(OR($K$1="",对接源_02物料!$C962="",对接源_02物料!$C962&lt;&gt;$K$1,对接源_02物料!$B962=""),0,IF(OR(N(对接源_02物料!$B962)&lt;$K$2,N(对接源_02物料!$B962)&gt;$K$3),0,1))</f>
        <v>0</v>
      </c>
      <c r="L2162" s="1" t="n">
        <f aca="false">IF(OR($L$1="",对接源_02物料!$C962="",对接源_02物料!$C962&lt;&gt;$L$1,对接源_02物料!$B962=""),0,IF(OR(N(对接源_02物料!$B962)&lt;$L$2,N(对接源_02物料!$B962)&gt;$L$3),0,1))</f>
        <v>0</v>
      </c>
      <c r="M2162" s="1" t="n">
        <f aca="false">IF(OR($M$1="",对接源_02物料!$C962="",对接源_02物料!$C962&lt;&gt;$M$1,对接源_02物料!$B962=""),0,IF(OR(N(对接源_02物料!$B962)&lt;$M$2,N(对接源_02物料!$B962)&gt;$M$3),0,1))</f>
        <v>0</v>
      </c>
      <c r="N2162" s="1" t="n">
        <f aca="false">IF(OR($N$1="",对接源_02物料!$C962="",对接源_02物料!$C962&lt;&gt;$N$1,对接源_02物料!$B962=""),0,IF(OR(N(对接源_02物料!$B962)&lt;$N$2,N(对接源_02物料!$B962)&gt;$N$3),0,1))</f>
        <v>0</v>
      </c>
      <c r="P2162" s="1" t="n">
        <f aca="false">IF(AND($K2162=1,AND(对接源_02物料!$X962="公司筐",N(对接源_02物料!$T962)&lt;&gt;0)),1,0)</f>
        <v>0</v>
      </c>
      <c r="Q2162" s="1" t="n">
        <f aca="false">N(Q2161)+$P2162</f>
        <v>13</v>
      </c>
      <c r="R2162" s="1" t="n">
        <f aca="false">IF(AND($K2162=1,AND(对接源_02物料!$X962="公司筐",N(对接源_02物料!$U962)&lt;&gt;0)),1,0)</f>
        <v>0</v>
      </c>
      <c r="S2162" s="1" t="n">
        <f aca="false">N(S2161)+$R2162</f>
        <v>5</v>
      </c>
      <c r="T2162" s="1" t="n">
        <f aca="false">IF(AND($K2162=1,AND(对接源_02物料!$X962="公司筐",N(对接源_02物料!$V962)&lt;&gt;0)),1,0)</f>
        <v>0</v>
      </c>
      <c r="U2162" s="1" t="n">
        <f aca="false">N(U2161)+$T2162</f>
        <v>28</v>
      </c>
      <c r="V2162" s="1" t="n">
        <f aca="false">IF(AND($L2162=1,AND(对接源_02物料!$X962="自备筐",N(对接源_02物料!$V962)&lt;&gt;0)),1,0)</f>
        <v>0</v>
      </c>
      <c r="W2162" s="1" t="n">
        <f aca="false">N(W2161)+$V2162</f>
        <v>7</v>
      </c>
      <c r="X2162" s="1" t="n">
        <f aca="false">IF(AND($L2162=1,AND(对接源_02物料!$X962="自备筐",N(对接源_02物料!$T962)&lt;&gt;0)),1,0)</f>
        <v>0</v>
      </c>
      <c r="Y2162" s="1" t="n">
        <f aca="false">N(Y2161)+$X2162</f>
        <v>0</v>
      </c>
      <c r="Z2162" s="1" t="n">
        <f aca="false">IF(AND($M2162=1,对接源_02物料!$D962="原料入库"),1,0)</f>
        <v>0</v>
      </c>
      <c r="AA2162" s="1" t="n">
        <f aca="false">N(AA2161)+$Z2162</f>
        <v>30</v>
      </c>
      <c r="AB2162" s="1" t="n">
        <f aca="false">IF(AND($M2162=1,LEFT(对接源_02物料!$D962,4)="原料出库"),1,0)</f>
        <v>0</v>
      </c>
      <c r="AC2162" s="1" t="n">
        <f aca="false">N(AC2161)+$AB2162</f>
        <v>19</v>
      </c>
      <c r="AD2162" s="1" t="n">
        <f aca="false">IF(AND($M2162=1,LEFT(对接源_02物料!$D962,4)="成品出库"),1,0)</f>
        <v>0</v>
      </c>
      <c r="AE2162" s="1" t="n">
        <f aca="false">N(AE2161)+$AD2162</f>
        <v>38</v>
      </c>
      <c r="AF2162" s="1" t="n">
        <f aca="false">IF(AND($N2162=1,AND(LEFT(对接源_02物料!$D962,4)="包装物料",N(对接源_02物料!$K962)&lt;&gt;0)),1,0)</f>
        <v>0</v>
      </c>
      <c r="AG2162" s="1" t="n">
        <f aca="false">N(AG2161)+$AF2162</f>
        <v>6</v>
      </c>
      <c r="AH2162" s="1" t="n">
        <f aca="false">IF(AND($N2162=1,AND(LEFT(对接源_02物料!$D962,3)="周转筐",N(对接源_02物料!$K962)&lt;&gt;0)),1,0)</f>
        <v>0</v>
      </c>
      <c r="AI2162" s="1" t="n">
        <f aca="false">N(AI2161)+$AH2162</f>
        <v>0</v>
      </c>
      <c r="AJ2162" s="1" t="n">
        <v>0</v>
      </c>
      <c r="AK2162" s="1" t="n">
        <f aca="false">N(AK2161)+$AJ2162</f>
        <v>3672</v>
      </c>
    </row>
    <row r="2163" customFormat="false" ht="13.5" hidden="false" customHeight="false" outlineLevel="0" collapsed="false">
      <c r="A2163" s="1" t="str">
        <f aca="false">IF(对接源_02物料!$C963="","",对接源_02物料!$C963)</f>
        <v/>
      </c>
      <c r="B2163" s="1" t="n">
        <f aca="false">IF(A2163="",0,IF(MATCH(A2163,$A$4:$A$2403,0)=ROW()-3,1,0))</f>
        <v>0</v>
      </c>
      <c r="C2163" s="1" t="n">
        <f aca="false">N(C2162)+B2163</f>
        <v>17</v>
      </c>
      <c r="K2163" s="1" t="n">
        <f aca="false">IF(OR($K$1="",对接源_02物料!$C963="",对接源_02物料!$C963&lt;&gt;$K$1,对接源_02物料!$B963=""),0,IF(OR(N(对接源_02物料!$B963)&lt;$K$2,N(对接源_02物料!$B963)&gt;$K$3),0,1))</f>
        <v>0</v>
      </c>
      <c r="L2163" s="1" t="n">
        <f aca="false">IF(OR($L$1="",对接源_02物料!$C963="",对接源_02物料!$C963&lt;&gt;$L$1,对接源_02物料!$B963=""),0,IF(OR(N(对接源_02物料!$B963)&lt;$L$2,N(对接源_02物料!$B963)&gt;$L$3),0,1))</f>
        <v>0</v>
      </c>
      <c r="M2163" s="1" t="n">
        <f aca="false">IF(OR($M$1="",对接源_02物料!$C963="",对接源_02物料!$C963&lt;&gt;$M$1,对接源_02物料!$B963=""),0,IF(OR(N(对接源_02物料!$B963)&lt;$M$2,N(对接源_02物料!$B963)&gt;$M$3),0,1))</f>
        <v>0</v>
      </c>
      <c r="N2163" s="1" t="n">
        <f aca="false">IF(OR($N$1="",对接源_02物料!$C963="",对接源_02物料!$C963&lt;&gt;$N$1,对接源_02物料!$B963=""),0,IF(OR(N(对接源_02物料!$B963)&lt;$N$2,N(对接源_02物料!$B963)&gt;$N$3),0,1))</f>
        <v>0</v>
      </c>
      <c r="P2163" s="1" t="n">
        <f aca="false">IF(AND($K2163=1,AND(对接源_02物料!$X963="公司筐",N(对接源_02物料!$T963)&lt;&gt;0)),1,0)</f>
        <v>0</v>
      </c>
      <c r="Q2163" s="1" t="n">
        <f aca="false">N(Q2162)+$P2163</f>
        <v>13</v>
      </c>
      <c r="R2163" s="1" t="n">
        <f aca="false">IF(AND($K2163=1,AND(对接源_02物料!$X963="公司筐",N(对接源_02物料!$U963)&lt;&gt;0)),1,0)</f>
        <v>0</v>
      </c>
      <c r="S2163" s="1" t="n">
        <f aca="false">N(S2162)+$R2163</f>
        <v>5</v>
      </c>
      <c r="T2163" s="1" t="n">
        <f aca="false">IF(AND($K2163=1,AND(对接源_02物料!$X963="公司筐",N(对接源_02物料!$V963)&lt;&gt;0)),1,0)</f>
        <v>0</v>
      </c>
      <c r="U2163" s="1" t="n">
        <f aca="false">N(U2162)+$T2163</f>
        <v>28</v>
      </c>
      <c r="V2163" s="1" t="n">
        <f aca="false">IF(AND($L2163=1,AND(对接源_02物料!$X963="自备筐",N(对接源_02物料!$V963)&lt;&gt;0)),1,0)</f>
        <v>0</v>
      </c>
      <c r="W2163" s="1" t="n">
        <f aca="false">N(W2162)+$V2163</f>
        <v>7</v>
      </c>
      <c r="X2163" s="1" t="n">
        <f aca="false">IF(AND($L2163=1,AND(对接源_02物料!$X963="自备筐",N(对接源_02物料!$T963)&lt;&gt;0)),1,0)</f>
        <v>0</v>
      </c>
      <c r="Y2163" s="1" t="n">
        <f aca="false">N(Y2162)+$X2163</f>
        <v>0</v>
      </c>
      <c r="Z2163" s="1" t="n">
        <f aca="false">IF(AND($M2163=1,对接源_02物料!$D963="原料入库"),1,0)</f>
        <v>0</v>
      </c>
      <c r="AA2163" s="1" t="n">
        <f aca="false">N(AA2162)+$Z2163</f>
        <v>30</v>
      </c>
      <c r="AB2163" s="1" t="n">
        <f aca="false">IF(AND($M2163=1,LEFT(对接源_02物料!$D963,4)="原料出库"),1,0)</f>
        <v>0</v>
      </c>
      <c r="AC2163" s="1" t="n">
        <f aca="false">N(AC2162)+$AB2163</f>
        <v>19</v>
      </c>
      <c r="AD2163" s="1" t="n">
        <f aca="false">IF(AND($M2163=1,LEFT(对接源_02物料!$D963,4)="成品出库"),1,0)</f>
        <v>0</v>
      </c>
      <c r="AE2163" s="1" t="n">
        <f aca="false">N(AE2162)+$AD2163</f>
        <v>38</v>
      </c>
      <c r="AF2163" s="1" t="n">
        <f aca="false">IF(AND($N2163=1,AND(LEFT(对接源_02物料!$D963,4)="包装物料",N(对接源_02物料!$K963)&lt;&gt;0)),1,0)</f>
        <v>0</v>
      </c>
      <c r="AG2163" s="1" t="n">
        <f aca="false">N(AG2162)+$AF2163</f>
        <v>6</v>
      </c>
      <c r="AH2163" s="1" t="n">
        <f aca="false">IF(AND($N2163=1,AND(LEFT(对接源_02物料!$D963,3)="周转筐",N(对接源_02物料!$K963)&lt;&gt;0)),1,0)</f>
        <v>0</v>
      </c>
      <c r="AI2163" s="1" t="n">
        <f aca="false">N(AI2162)+$AH2163</f>
        <v>0</v>
      </c>
      <c r="AJ2163" s="1" t="n">
        <v>0</v>
      </c>
      <c r="AK2163" s="1" t="n">
        <f aca="false">N(AK2162)+$AJ2163</f>
        <v>3672</v>
      </c>
    </row>
    <row r="2164" customFormat="false" ht="13.5" hidden="false" customHeight="false" outlineLevel="0" collapsed="false">
      <c r="A2164" s="1" t="str">
        <f aca="false">IF(对接源_02物料!$C964="","",对接源_02物料!$C964)</f>
        <v/>
      </c>
      <c r="B2164" s="1" t="n">
        <f aca="false">IF(A2164="",0,IF(MATCH(A2164,$A$4:$A$2403,0)=ROW()-3,1,0))</f>
        <v>0</v>
      </c>
      <c r="C2164" s="1" t="n">
        <f aca="false">N(C2163)+B2164</f>
        <v>17</v>
      </c>
      <c r="K2164" s="1" t="n">
        <f aca="false">IF(OR($K$1="",对接源_02物料!$C964="",对接源_02物料!$C964&lt;&gt;$K$1,对接源_02物料!$B964=""),0,IF(OR(N(对接源_02物料!$B964)&lt;$K$2,N(对接源_02物料!$B964)&gt;$K$3),0,1))</f>
        <v>0</v>
      </c>
      <c r="L2164" s="1" t="n">
        <f aca="false">IF(OR($L$1="",对接源_02物料!$C964="",对接源_02物料!$C964&lt;&gt;$L$1,对接源_02物料!$B964=""),0,IF(OR(N(对接源_02物料!$B964)&lt;$L$2,N(对接源_02物料!$B964)&gt;$L$3),0,1))</f>
        <v>0</v>
      </c>
      <c r="M2164" s="1" t="n">
        <f aca="false">IF(OR($M$1="",对接源_02物料!$C964="",对接源_02物料!$C964&lt;&gt;$M$1,对接源_02物料!$B964=""),0,IF(OR(N(对接源_02物料!$B964)&lt;$M$2,N(对接源_02物料!$B964)&gt;$M$3),0,1))</f>
        <v>0</v>
      </c>
      <c r="N2164" s="1" t="n">
        <f aca="false">IF(OR($N$1="",对接源_02物料!$C964="",对接源_02物料!$C964&lt;&gt;$N$1,对接源_02物料!$B964=""),0,IF(OR(N(对接源_02物料!$B964)&lt;$N$2,N(对接源_02物料!$B964)&gt;$N$3),0,1))</f>
        <v>0</v>
      </c>
      <c r="P2164" s="1" t="n">
        <f aca="false">IF(AND($K2164=1,AND(对接源_02物料!$X964="公司筐",N(对接源_02物料!$T964)&lt;&gt;0)),1,0)</f>
        <v>0</v>
      </c>
      <c r="Q2164" s="1" t="n">
        <f aca="false">N(Q2163)+$P2164</f>
        <v>13</v>
      </c>
      <c r="R2164" s="1" t="n">
        <f aca="false">IF(AND($K2164=1,AND(对接源_02物料!$X964="公司筐",N(对接源_02物料!$U964)&lt;&gt;0)),1,0)</f>
        <v>0</v>
      </c>
      <c r="S2164" s="1" t="n">
        <f aca="false">N(S2163)+$R2164</f>
        <v>5</v>
      </c>
      <c r="T2164" s="1" t="n">
        <f aca="false">IF(AND($K2164=1,AND(对接源_02物料!$X964="公司筐",N(对接源_02物料!$V964)&lt;&gt;0)),1,0)</f>
        <v>0</v>
      </c>
      <c r="U2164" s="1" t="n">
        <f aca="false">N(U2163)+$T2164</f>
        <v>28</v>
      </c>
      <c r="V2164" s="1" t="n">
        <f aca="false">IF(AND($L2164=1,AND(对接源_02物料!$X964="自备筐",N(对接源_02物料!$V964)&lt;&gt;0)),1,0)</f>
        <v>0</v>
      </c>
      <c r="W2164" s="1" t="n">
        <f aca="false">N(W2163)+$V2164</f>
        <v>7</v>
      </c>
      <c r="X2164" s="1" t="n">
        <f aca="false">IF(AND($L2164=1,AND(对接源_02物料!$X964="自备筐",N(对接源_02物料!$T964)&lt;&gt;0)),1,0)</f>
        <v>0</v>
      </c>
      <c r="Y2164" s="1" t="n">
        <f aca="false">N(Y2163)+$X2164</f>
        <v>0</v>
      </c>
      <c r="Z2164" s="1" t="n">
        <f aca="false">IF(AND($M2164=1,对接源_02物料!$D964="原料入库"),1,0)</f>
        <v>0</v>
      </c>
      <c r="AA2164" s="1" t="n">
        <f aca="false">N(AA2163)+$Z2164</f>
        <v>30</v>
      </c>
      <c r="AB2164" s="1" t="n">
        <f aca="false">IF(AND($M2164=1,LEFT(对接源_02物料!$D964,4)="原料出库"),1,0)</f>
        <v>0</v>
      </c>
      <c r="AC2164" s="1" t="n">
        <f aca="false">N(AC2163)+$AB2164</f>
        <v>19</v>
      </c>
      <c r="AD2164" s="1" t="n">
        <f aca="false">IF(AND($M2164=1,LEFT(对接源_02物料!$D964,4)="成品出库"),1,0)</f>
        <v>0</v>
      </c>
      <c r="AE2164" s="1" t="n">
        <f aca="false">N(AE2163)+$AD2164</f>
        <v>38</v>
      </c>
      <c r="AF2164" s="1" t="n">
        <f aca="false">IF(AND($N2164=1,AND(LEFT(对接源_02物料!$D964,4)="包装物料",N(对接源_02物料!$K964)&lt;&gt;0)),1,0)</f>
        <v>0</v>
      </c>
      <c r="AG2164" s="1" t="n">
        <f aca="false">N(AG2163)+$AF2164</f>
        <v>6</v>
      </c>
      <c r="AH2164" s="1" t="n">
        <f aca="false">IF(AND($N2164=1,AND(LEFT(对接源_02物料!$D964,3)="周转筐",N(对接源_02物料!$K964)&lt;&gt;0)),1,0)</f>
        <v>0</v>
      </c>
      <c r="AI2164" s="1" t="n">
        <f aca="false">N(AI2163)+$AH2164</f>
        <v>0</v>
      </c>
      <c r="AJ2164" s="1" t="n">
        <v>0</v>
      </c>
      <c r="AK2164" s="1" t="n">
        <f aca="false">N(AK2163)+$AJ2164</f>
        <v>3672</v>
      </c>
    </row>
    <row r="2165" customFormat="false" ht="13.5" hidden="false" customHeight="false" outlineLevel="0" collapsed="false">
      <c r="A2165" s="1" t="str">
        <f aca="false">IF(对接源_02物料!$C965="","",对接源_02物料!$C965)</f>
        <v/>
      </c>
      <c r="B2165" s="1" t="n">
        <f aca="false">IF(A2165="",0,IF(MATCH(A2165,$A$4:$A$2403,0)=ROW()-3,1,0))</f>
        <v>0</v>
      </c>
      <c r="C2165" s="1" t="n">
        <f aca="false">N(C2164)+B2165</f>
        <v>17</v>
      </c>
      <c r="K2165" s="1" t="n">
        <f aca="false">IF(OR($K$1="",对接源_02物料!$C965="",对接源_02物料!$C965&lt;&gt;$K$1,对接源_02物料!$B965=""),0,IF(OR(N(对接源_02物料!$B965)&lt;$K$2,N(对接源_02物料!$B965)&gt;$K$3),0,1))</f>
        <v>0</v>
      </c>
      <c r="L2165" s="1" t="n">
        <f aca="false">IF(OR($L$1="",对接源_02物料!$C965="",对接源_02物料!$C965&lt;&gt;$L$1,对接源_02物料!$B965=""),0,IF(OR(N(对接源_02物料!$B965)&lt;$L$2,N(对接源_02物料!$B965)&gt;$L$3),0,1))</f>
        <v>0</v>
      </c>
      <c r="M2165" s="1" t="n">
        <f aca="false">IF(OR($M$1="",对接源_02物料!$C965="",对接源_02物料!$C965&lt;&gt;$M$1,对接源_02物料!$B965=""),0,IF(OR(N(对接源_02物料!$B965)&lt;$M$2,N(对接源_02物料!$B965)&gt;$M$3),0,1))</f>
        <v>0</v>
      </c>
      <c r="N2165" s="1" t="n">
        <f aca="false">IF(OR($N$1="",对接源_02物料!$C965="",对接源_02物料!$C965&lt;&gt;$N$1,对接源_02物料!$B965=""),0,IF(OR(N(对接源_02物料!$B965)&lt;$N$2,N(对接源_02物料!$B965)&gt;$N$3),0,1))</f>
        <v>0</v>
      </c>
      <c r="P2165" s="1" t="n">
        <f aca="false">IF(AND($K2165=1,AND(对接源_02物料!$X965="公司筐",N(对接源_02物料!$T965)&lt;&gt;0)),1,0)</f>
        <v>0</v>
      </c>
      <c r="Q2165" s="1" t="n">
        <f aca="false">N(Q2164)+$P2165</f>
        <v>13</v>
      </c>
      <c r="R2165" s="1" t="n">
        <f aca="false">IF(AND($K2165=1,AND(对接源_02物料!$X965="公司筐",N(对接源_02物料!$U965)&lt;&gt;0)),1,0)</f>
        <v>0</v>
      </c>
      <c r="S2165" s="1" t="n">
        <f aca="false">N(S2164)+$R2165</f>
        <v>5</v>
      </c>
      <c r="T2165" s="1" t="n">
        <f aca="false">IF(AND($K2165=1,AND(对接源_02物料!$X965="公司筐",N(对接源_02物料!$V965)&lt;&gt;0)),1,0)</f>
        <v>0</v>
      </c>
      <c r="U2165" s="1" t="n">
        <f aca="false">N(U2164)+$T2165</f>
        <v>28</v>
      </c>
      <c r="V2165" s="1" t="n">
        <f aca="false">IF(AND($L2165=1,AND(对接源_02物料!$X965="自备筐",N(对接源_02物料!$V965)&lt;&gt;0)),1,0)</f>
        <v>0</v>
      </c>
      <c r="W2165" s="1" t="n">
        <f aca="false">N(W2164)+$V2165</f>
        <v>7</v>
      </c>
      <c r="X2165" s="1" t="n">
        <f aca="false">IF(AND($L2165=1,AND(对接源_02物料!$X965="自备筐",N(对接源_02物料!$T965)&lt;&gt;0)),1,0)</f>
        <v>0</v>
      </c>
      <c r="Y2165" s="1" t="n">
        <f aca="false">N(Y2164)+$X2165</f>
        <v>0</v>
      </c>
      <c r="Z2165" s="1" t="n">
        <f aca="false">IF(AND($M2165=1,对接源_02物料!$D965="原料入库"),1,0)</f>
        <v>0</v>
      </c>
      <c r="AA2165" s="1" t="n">
        <f aca="false">N(AA2164)+$Z2165</f>
        <v>30</v>
      </c>
      <c r="AB2165" s="1" t="n">
        <f aca="false">IF(AND($M2165=1,LEFT(对接源_02物料!$D965,4)="原料出库"),1,0)</f>
        <v>0</v>
      </c>
      <c r="AC2165" s="1" t="n">
        <f aca="false">N(AC2164)+$AB2165</f>
        <v>19</v>
      </c>
      <c r="AD2165" s="1" t="n">
        <f aca="false">IF(AND($M2165=1,LEFT(对接源_02物料!$D965,4)="成品出库"),1,0)</f>
        <v>0</v>
      </c>
      <c r="AE2165" s="1" t="n">
        <f aca="false">N(AE2164)+$AD2165</f>
        <v>38</v>
      </c>
      <c r="AF2165" s="1" t="n">
        <f aca="false">IF(AND($N2165=1,AND(LEFT(对接源_02物料!$D965,4)="包装物料",N(对接源_02物料!$K965)&lt;&gt;0)),1,0)</f>
        <v>0</v>
      </c>
      <c r="AG2165" s="1" t="n">
        <f aca="false">N(AG2164)+$AF2165</f>
        <v>6</v>
      </c>
      <c r="AH2165" s="1" t="n">
        <f aca="false">IF(AND($N2165=1,AND(LEFT(对接源_02物料!$D965,3)="周转筐",N(对接源_02物料!$K965)&lt;&gt;0)),1,0)</f>
        <v>0</v>
      </c>
      <c r="AI2165" s="1" t="n">
        <f aca="false">N(AI2164)+$AH2165</f>
        <v>0</v>
      </c>
      <c r="AJ2165" s="1" t="n">
        <v>0</v>
      </c>
      <c r="AK2165" s="1" t="n">
        <f aca="false">N(AK2164)+$AJ2165</f>
        <v>3672</v>
      </c>
    </row>
    <row r="2166" customFormat="false" ht="13.5" hidden="false" customHeight="false" outlineLevel="0" collapsed="false">
      <c r="A2166" s="1" t="str">
        <f aca="false">IF(对接源_02物料!$C966="","",对接源_02物料!$C966)</f>
        <v/>
      </c>
      <c r="B2166" s="1" t="n">
        <f aca="false">IF(A2166="",0,IF(MATCH(A2166,$A$4:$A$2403,0)=ROW()-3,1,0))</f>
        <v>0</v>
      </c>
      <c r="C2166" s="1" t="n">
        <f aca="false">N(C2165)+B2166</f>
        <v>17</v>
      </c>
      <c r="K2166" s="1" t="n">
        <f aca="false">IF(OR($K$1="",对接源_02物料!$C966="",对接源_02物料!$C966&lt;&gt;$K$1,对接源_02物料!$B966=""),0,IF(OR(N(对接源_02物料!$B966)&lt;$K$2,N(对接源_02物料!$B966)&gt;$K$3),0,1))</f>
        <v>0</v>
      </c>
      <c r="L2166" s="1" t="n">
        <f aca="false">IF(OR($L$1="",对接源_02物料!$C966="",对接源_02物料!$C966&lt;&gt;$L$1,对接源_02物料!$B966=""),0,IF(OR(N(对接源_02物料!$B966)&lt;$L$2,N(对接源_02物料!$B966)&gt;$L$3),0,1))</f>
        <v>0</v>
      </c>
      <c r="M2166" s="1" t="n">
        <f aca="false">IF(OR($M$1="",对接源_02物料!$C966="",对接源_02物料!$C966&lt;&gt;$M$1,对接源_02物料!$B966=""),0,IF(OR(N(对接源_02物料!$B966)&lt;$M$2,N(对接源_02物料!$B966)&gt;$M$3),0,1))</f>
        <v>0</v>
      </c>
      <c r="N2166" s="1" t="n">
        <f aca="false">IF(OR($N$1="",对接源_02物料!$C966="",对接源_02物料!$C966&lt;&gt;$N$1,对接源_02物料!$B966=""),0,IF(OR(N(对接源_02物料!$B966)&lt;$N$2,N(对接源_02物料!$B966)&gt;$N$3),0,1))</f>
        <v>0</v>
      </c>
      <c r="P2166" s="1" t="n">
        <f aca="false">IF(AND($K2166=1,AND(对接源_02物料!$X966="公司筐",N(对接源_02物料!$T966)&lt;&gt;0)),1,0)</f>
        <v>0</v>
      </c>
      <c r="Q2166" s="1" t="n">
        <f aca="false">N(Q2165)+$P2166</f>
        <v>13</v>
      </c>
      <c r="R2166" s="1" t="n">
        <f aca="false">IF(AND($K2166=1,AND(对接源_02物料!$X966="公司筐",N(对接源_02物料!$U966)&lt;&gt;0)),1,0)</f>
        <v>0</v>
      </c>
      <c r="S2166" s="1" t="n">
        <f aca="false">N(S2165)+$R2166</f>
        <v>5</v>
      </c>
      <c r="T2166" s="1" t="n">
        <f aca="false">IF(AND($K2166=1,AND(对接源_02物料!$X966="公司筐",N(对接源_02物料!$V966)&lt;&gt;0)),1,0)</f>
        <v>0</v>
      </c>
      <c r="U2166" s="1" t="n">
        <f aca="false">N(U2165)+$T2166</f>
        <v>28</v>
      </c>
      <c r="V2166" s="1" t="n">
        <f aca="false">IF(AND($L2166=1,AND(对接源_02物料!$X966="自备筐",N(对接源_02物料!$V966)&lt;&gt;0)),1,0)</f>
        <v>0</v>
      </c>
      <c r="W2166" s="1" t="n">
        <f aca="false">N(W2165)+$V2166</f>
        <v>7</v>
      </c>
      <c r="X2166" s="1" t="n">
        <f aca="false">IF(AND($L2166=1,AND(对接源_02物料!$X966="自备筐",N(对接源_02物料!$T966)&lt;&gt;0)),1,0)</f>
        <v>0</v>
      </c>
      <c r="Y2166" s="1" t="n">
        <f aca="false">N(Y2165)+$X2166</f>
        <v>0</v>
      </c>
      <c r="Z2166" s="1" t="n">
        <f aca="false">IF(AND($M2166=1,对接源_02物料!$D966="原料入库"),1,0)</f>
        <v>0</v>
      </c>
      <c r="AA2166" s="1" t="n">
        <f aca="false">N(AA2165)+$Z2166</f>
        <v>30</v>
      </c>
      <c r="AB2166" s="1" t="n">
        <f aca="false">IF(AND($M2166=1,LEFT(对接源_02物料!$D966,4)="原料出库"),1,0)</f>
        <v>0</v>
      </c>
      <c r="AC2166" s="1" t="n">
        <f aca="false">N(AC2165)+$AB2166</f>
        <v>19</v>
      </c>
      <c r="AD2166" s="1" t="n">
        <f aca="false">IF(AND($M2166=1,LEFT(对接源_02物料!$D966,4)="成品出库"),1,0)</f>
        <v>0</v>
      </c>
      <c r="AE2166" s="1" t="n">
        <f aca="false">N(AE2165)+$AD2166</f>
        <v>38</v>
      </c>
      <c r="AF2166" s="1" t="n">
        <f aca="false">IF(AND($N2166=1,AND(LEFT(对接源_02物料!$D966,4)="包装物料",N(对接源_02物料!$K966)&lt;&gt;0)),1,0)</f>
        <v>0</v>
      </c>
      <c r="AG2166" s="1" t="n">
        <f aca="false">N(AG2165)+$AF2166</f>
        <v>6</v>
      </c>
      <c r="AH2166" s="1" t="n">
        <f aca="false">IF(AND($N2166=1,AND(LEFT(对接源_02物料!$D966,3)="周转筐",N(对接源_02物料!$K966)&lt;&gt;0)),1,0)</f>
        <v>0</v>
      </c>
      <c r="AI2166" s="1" t="n">
        <f aca="false">N(AI2165)+$AH2166</f>
        <v>0</v>
      </c>
      <c r="AJ2166" s="1" t="n">
        <v>0</v>
      </c>
      <c r="AK2166" s="1" t="n">
        <f aca="false">N(AK2165)+$AJ2166</f>
        <v>3672</v>
      </c>
    </row>
    <row r="2167" customFormat="false" ht="13.5" hidden="false" customHeight="false" outlineLevel="0" collapsed="false">
      <c r="A2167" s="1" t="str">
        <f aca="false">IF(对接源_02物料!$C967="","",对接源_02物料!$C967)</f>
        <v/>
      </c>
      <c r="B2167" s="1" t="n">
        <f aca="false">IF(A2167="",0,IF(MATCH(A2167,$A$4:$A$2403,0)=ROW()-3,1,0))</f>
        <v>0</v>
      </c>
      <c r="C2167" s="1" t="n">
        <f aca="false">N(C2166)+B2167</f>
        <v>17</v>
      </c>
      <c r="K2167" s="1" t="n">
        <f aca="false">IF(OR($K$1="",对接源_02物料!$C967="",对接源_02物料!$C967&lt;&gt;$K$1,对接源_02物料!$B967=""),0,IF(OR(N(对接源_02物料!$B967)&lt;$K$2,N(对接源_02物料!$B967)&gt;$K$3),0,1))</f>
        <v>0</v>
      </c>
      <c r="L2167" s="1" t="n">
        <f aca="false">IF(OR($L$1="",对接源_02物料!$C967="",对接源_02物料!$C967&lt;&gt;$L$1,对接源_02物料!$B967=""),0,IF(OR(N(对接源_02物料!$B967)&lt;$L$2,N(对接源_02物料!$B967)&gt;$L$3),0,1))</f>
        <v>0</v>
      </c>
      <c r="M2167" s="1" t="n">
        <f aca="false">IF(OR($M$1="",对接源_02物料!$C967="",对接源_02物料!$C967&lt;&gt;$M$1,对接源_02物料!$B967=""),0,IF(OR(N(对接源_02物料!$B967)&lt;$M$2,N(对接源_02物料!$B967)&gt;$M$3),0,1))</f>
        <v>0</v>
      </c>
      <c r="N2167" s="1" t="n">
        <f aca="false">IF(OR($N$1="",对接源_02物料!$C967="",对接源_02物料!$C967&lt;&gt;$N$1,对接源_02物料!$B967=""),0,IF(OR(N(对接源_02物料!$B967)&lt;$N$2,N(对接源_02物料!$B967)&gt;$N$3),0,1))</f>
        <v>0</v>
      </c>
      <c r="P2167" s="1" t="n">
        <f aca="false">IF(AND($K2167=1,AND(对接源_02物料!$X967="公司筐",N(对接源_02物料!$T967)&lt;&gt;0)),1,0)</f>
        <v>0</v>
      </c>
      <c r="Q2167" s="1" t="n">
        <f aca="false">N(Q2166)+$P2167</f>
        <v>13</v>
      </c>
      <c r="R2167" s="1" t="n">
        <f aca="false">IF(AND($K2167=1,AND(对接源_02物料!$X967="公司筐",N(对接源_02物料!$U967)&lt;&gt;0)),1,0)</f>
        <v>0</v>
      </c>
      <c r="S2167" s="1" t="n">
        <f aca="false">N(S2166)+$R2167</f>
        <v>5</v>
      </c>
      <c r="T2167" s="1" t="n">
        <f aca="false">IF(AND($K2167=1,AND(对接源_02物料!$X967="公司筐",N(对接源_02物料!$V967)&lt;&gt;0)),1,0)</f>
        <v>0</v>
      </c>
      <c r="U2167" s="1" t="n">
        <f aca="false">N(U2166)+$T2167</f>
        <v>28</v>
      </c>
      <c r="V2167" s="1" t="n">
        <f aca="false">IF(AND($L2167=1,AND(对接源_02物料!$X967="自备筐",N(对接源_02物料!$V967)&lt;&gt;0)),1,0)</f>
        <v>0</v>
      </c>
      <c r="W2167" s="1" t="n">
        <f aca="false">N(W2166)+$V2167</f>
        <v>7</v>
      </c>
      <c r="X2167" s="1" t="n">
        <f aca="false">IF(AND($L2167=1,AND(对接源_02物料!$X967="自备筐",N(对接源_02物料!$T967)&lt;&gt;0)),1,0)</f>
        <v>0</v>
      </c>
      <c r="Y2167" s="1" t="n">
        <f aca="false">N(Y2166)+$X2167</f>
        <v>0</v>
      </c>
      <c r="Z2167" s="1" t="n">
        <f aca="false">IF(AND($M2167=1,对接源_02物料!$D967="原料入库"),1,0)</f>
        <v>0</v>
      </c>
      <c r="AA2167" s="1" t="n">
        <f aca="false">N(AA2166)+$Z2167</f>
        <v>30</v>
      </c>
      <c r="AB2167" s="1" t="n">
        <f aca="false">IF(AND($M2167=1,LEFT(对接源_02物料!$D967,4)="原料出库"),1,0)</f>
        <v>0</v>
      </c>
      <c r="AC2167" s="1" t="n">
        <f aca="false">N(AC2166)+$AB2167</f>
        <v>19</v>
      </c>
      <c r="AD2167" s="1" t="n">
        <f aca="false">IF(AND($M2167=1,LEFT(对接源_02物料!$D967,4)="成品出库"),1,0)</f>
        <v>0</v>
      </c>
      <c r="AE2167" s="1" t="n">
        <f aca="false">N(AE2166)+$AD2167</f>
        <v>38</v>
      </c>
      <c r="AF2167" s="1" t="n">
        <f aca="false">IF(AND($N2167=1,AND(LEFT(对接源_02物料!$D967,4)="包装物料",N(对接源_02物料!$K967)&lt;&gt;0)),1,0)</f>
        <v>0</v>
      </c>
      <c r="AG2167" s="1" t="n">
        <f aca="false">N(AG2166)+$AF2167</f>
        <v>6</v>
      </c>
      <c r="AH2167" s="1" t="n">
        <f aca="false">IF(AND($N2167=1,AND(LEFT(对接源_02物料!$D967,3)="周转筐",N(对接源_02物料!$K967)&lt;&gt;0)),1,0)</f>
        <v>0</v>
      </c>
      <c r="AI2167" s="1" t="n">
        <f aca="false">N(AI2166)+$AH2167</f>
        <v>0</v>
      </c>
      <c r="AJ2167" s="1" t="n">
        <v>0</v>
      </c>
      <c r="AK2167" s="1" t="n">
        <f aca="false">N(AK2166)+$AJ2167</f>
        <v>3672</v>
      </c>
    </row>
    <row r="2168" customFormat="false" ht="13.5" hidden="false" customHeight="false" outlineLevel="0" collapsed="false">
      <c r="A2168" s="1" t="str">
        <f aca="false">IF(对接源_02物料!$C968="","",对接源_02物料!$C968)</f>
        <v/>
      </c>
      <c r="B2168" s="1" t="n">
        <f aca="false">IF(A2168="",0,IF(MATCH(A2168,$A$4:$A$2403,0)=ROW()-3,1,0))</f>
        <v>0</v>
      </c>
      <c r="C2168" s="1" t="n">
        <f aca="false">N(C2167)+B2168</f>
        <v>17</v>
      </c>
      <c r="K2168" s="1" t="n">
        <f aca="false">IF(OR($K$1="",对接源_02物料!$C968="",对接源_02物料!$C968&lt;&gt;$K$1,对接源_02物料!$B968=""),0,IF(OR(N(对接源_02物料!$B968)&lt;$K$2,N(对接源_02物料!$B968)&gt;$K$3),0,1))</f>
        <v>0</v>
      </c>
      <c r="L2168" s="1" t="n">
        <f aca="false">IF(OR($L$1="",对接源_02物料!$C968="",对接源_02物料!$C968&lt;&gt;$L$1,对接源_02物料!$B968=""),0,IF(OR(N(对接源_02物料!$B968)&lt;$L$2,N(对接源_02物料!$B968)&gt;$L$3),0,1))</f>
        <v>0</v>
      </c>
      <c r="M2168" s="1" t="n">
        <f aca="false">IF(OR($M$1="",对接源_02物料!$C968="",对接源_02物料!$C968&lt;&gt;$M$1,对接源_02物料!$B968=""),0,IF(OR(N(对接源_02物料!$B968)&lt;$M$2,N(对接源_02物料!$B968)&gt;$M$3),0,1))</f>
        <v>0</v>
      </c>
      <c r="N2168" s="1" t="n">
        <f aca="false">IF(OR($N$1="",对接源_02物料!$C968="",对接源_02物料!$C968&lt;&gt;$N$1,对接源_02物料!$B968=""),0,IF(OR(N(对接源_02物料!$B968)&lt;$N$2,N(对接源_02物料!$B968)&gt;$N$3),0,1))</f>
        <v>0</v>
      </c>
      <c r="P2168" s="1" t="n">
        <f aca="false">IF(AND($K2168=1,AND(对接源_02物料!$X968="公司筐",N(对接源_02物料!$T968)&lt;&gt;0)),1,0)</f>
        <v>0</v>
      </c>
      <c r="Q2168" s="1" t="n">
        <f aca="false">N(Q2167)+$P2168</f>
        <v>13</v>
      </c>
      <c r="R2168" s="1" t="n">
        <f aca="false">IF(AND($K2168=1,AND(对接源_02物料!$X968="公司筐",N(对接源_02物料!$U968)&lt;&gt;0)),1,0)</f>
        <v>0</v>
      </c>
      <c r="S2168" s="1" t="n">
        <f aca="false">N(S2167)+$R2168</f>
        <v>5</v>
      </c>
      <c r="T2168" s="1" t="n">
        <f aca="false">IF(AND($K2168=1,AND(对接源_02物料!$X968="公司筐",N(对接源_02物料!$V968)&lt;&gt;0)),1,0)</f>
        <v>0</v>
      </c>
      <c r="U2168" s="1" t="n">
        <f aca="false">N(U2167)+$T2168</f>
        <v>28</v>
      </c>
      <c r="V2168" s="1" t="n">
        <f aca="false">IF(AND($L2168=1,AND(对接源_02物料!$X968="自备筐",N(对接源_02物料!$V968)&lt;&gt;0)),1,0)</f>
        <v>0</v>
      </c>
      <c r="W2168" s="1" t="n">
        <f aca="false">N(W2167)+$V2168</f>
        <v>7</v>
      </c>
      <c r="X2168" s="1" t="n">
        <f aca="false">IF(AND($L2168=1,AND(对接源_02物料!$X968="自备筐",N(对接源_02物料!$T968)&lt;&gt;0)),1,0)</f>
        <v>0</v>
      </c>
      <c r="Y2168" s="1" t="n">
        <f aca="false">N(Y2167)+$X2168</f>
        <v>0</v>
      </c>
      <c r="Z2168" s="1" t="n">
        <f aca="false">IF(AND($M2168=1,对接源_02物料!$D968="原料入库"),1,0)</f>
        <v>0</v>
      </c>
      <c r="AA2168" s="1" t="n">
        <f aca="false">N(AA2167)+$Z2168</f>
        <v>30</v>
      </c>
      <c r="AB2168" s="1" t="n">
        <f aca="false">IF(AND($M2168=1,LEFT(对接源_02物料!$D968,4)="原料出库"),1,0)</f>
        <v>0</v>
      </c>
      <c r="AC2168" s="1" t="n">
        <f aca="false">N(AC2167)+$AB2168</f>
        <v>19</v>
      </c>
      <c r="AD2168" s="1" t="n">
        <f aca="false">IF(AND($M2168=1,LEFT(对接源_02物料!$D968,4)="成品出库"),1,0)</f>
        <v>0</v>
      </c>
      <c r="AE2168" s="1" t="n">
        <f aca="false">N(AE2167)+$AD2168</f>
        <v>38</v>
      </c>
      <c r="AF2168" s="1" t="n">
        <f aca="false">IF(AND($N2168=1,AND(LEFT(对接源_02物料!$D968,4)="包装物料",N(对接源_02物料!$K968)&lt;&gt;0)),1,0)</f>
        <v>0</v>
      </c>
      <c r="AG2168" s="1" t="n">
        <f aca="false">N(AG2167)+$AF2168</f>
        <v>6</v>
      </c>
      <c r="AH2168" s="1" t="n">
        <f aca="false">IF(AND($N2168=1,AND(LEFT(对接源_02物料!$D968,3)="周转筐",N(对接源_02物料!$K968)&lt;&gt;0)),1,0)</f>
        <v>0</v>
      </c>
      <c r="AI2168" s="1" t="n">
        <f aca="false">N(AI2167)+$AH2168</f>
        <v>0</v>
      </c>
      <c r="AJ2168" s="1" t="n">
        <v>0</v>
      </c>
      <c r="AK2168" s="1" t="n">
        <f aca="false">N(AK2167)+$AJ2168</f>
        <v>3672</v>
      </c>
    </row>
    <row r="2169" customFormat="false" ht="13.5" hidden="false" customHeight="false" outlineLevel="0" collapsed="false">
      <c r="A2169" s="1" t="str">
        <f aca="false">IF(对接源_02物料!$C969="","",对接源_02物料!$C969)</f>
        <v/>
      </c>
      <c r="B2169" s="1" t="n">
        <f aca="false">IF(A2169="",0,IF(MATCH(A2169,$A$4:$A$2403,0)=ROW()-3,1,0))</f>
        <v>0</v>
      </c>
      <c r="C2169" s="1" t="n">
        <f aca="false">N(C2168)+B2169</f>
        <v>17</v>
      </c>
      <c r="K2169" s="1" t="n">
        <f aca="false">IF(OR($K$1="",对接源_02物料!$C969="",对接源_02物料!$C969&lt;&gt;$K$1,对接源_02物料!$B969=""),0,IF(OR(N(对接源_02物料!$B969)&lt;$K$2,N(对接源_02物料!$B969)&gt;$K$3),0,1))</f>
        <v>0</v>
      </c>
      <c r="L2169" s="1" t="n">
        <f aca="false">IF(OR($L$1="",对接源_02物料!$C969="",对接源_02物料!$C969&lt;&gt;$L$1,对接源_02物料!$B969=""),0,IF(OR(N(对接源_02物料!$B969)&lt;$L$2,N(对接源_02物料!$B969)&gt;$L$3),0,1))</f>
        <v>0</v>
      </c>
      <c r="M2169" s="1" t="n">
        <f aca="false">IF(OR($M$1="",对接源_02物料!$C969="",对接源_02物料!$C969&lt;&gt;$M$1,对接源_02物料!$B969=""),0,IF(OR(N(对接源_02物料!$B969)&lt;$M$2,N(对接源_02物料!$B969)&gt;$M$3),0,1))</f>
        <v>0</v>
      </c>
      <c r="N2169" s="1" t="n">
        <f aca="false">IF(OR($N$1="",对接源_02物料!$C969="",对接源_02物料!$C969&lt;&gt;$N$1,对接源_02物料!$B969=""),0,IF(OR(N(对接源_02物料!$B969)&lt;$N$2,N(对接源_02物料!$B969)&gt;$N$3),0,1))</f>
        <v>0</v>
      </c>
      <c r="P2169" s="1" t="n">
        <f aca="false">IF(AND($K2169=1,AND(对接源_02物料!$X969="公司筐",N(对接源_02物料!$T969)&lt;&gt;0)),1,0)</f>
        <v>0</v>
      </c>
      <c r="Q2169" s="1" t="n">
        <f aca="false">N(Q2168)+$P2169</f>
        <v>13</v>
      </c>
      <c r="R2169" s="1" t="n">
        <f aca="false">IF(AND($K2169=1,AND(对接源_02物料!$X969="公司筐",N(对接源_02物料!$U969)&lt;&gt;0)),1,0)</f>
        <v>0</v>
      </c>
      <c r="S2169" s="1" t="n">
        <f aca="false">N(S2168)+$R2169</f>
        <v>5</v>
      </c>
      <c r="T2169" s="1" t="n">
        <f aca="false">IF(AND($K2169=1,AND(对接源_02物料!$X969="公司筐",N(对接源_02物料!$V969)&lt;&gt;0)),1,0)</f>
        <v>0</v>
      </c>
      <c r="U2169" s="1" t="n">
        <f aca="false">N(U2168)+$T2169</f>
        <v>28</v>
      </c>
      <c r="V2169" s="1" t="n">
        <f aca="false">IF(AND($L2169=1,AND(对接源_02物料!$X969="自备筐",N(对接源_02物料!$V969)&lt;&gt;0)),1,0)</f>
        <v>0</v>
      </c>
      <c r="W2169" s="1" t="n">
        <f aca="false">N(W2168)+$V2169</f>
        <v>7</v>
      </c>
      <c r="X2169" s="1" t="n">
        <f aca="false">IF(AND($L2169=1,AND(对接源_02物料!$X969="自备筐",N(对接源_02物料!$T969)&lt;&gt;0)),1,0)</f>
        <v>0</v>
      </c>
      <c r="Y2169" s="1" t="n">
        <f aca="false">N(Y2168)+$X2169</f>
        <v>0</v>
      </c>
      <c r="Z2169" s="1" t="n">
        <f aca="false">IF(AND($M2169=1,对接源_02物料!$D969="原料入库"),1,0)</f>
        <v>0</v>
      </c>
      <c r="AA2169" s="1" t="n">
        <f aca="false">N(AA2168)+$Z2169</f>
        <v>30</v>
      </c>
      <c r="AB2169" s="1" t="n">
        <f aca="false">IF(AND($M2169=1,LEFT(对接源_02物料!$D969,4)="原料出库"),1,0)</f>
        <v>0</v>
      </c>
      <c r="AC2169" s="1" t="n">
        <f aca="false">N(AC2168)+$AB2169</f>
        <v>19</v>
      </c>
      <c r="AD2169" s="1" t="n">
        <f aca="false">IF(AND($M2169=1,LEFT(对接源_02物料!$D969,4)="成品出库"),1,0)</f>
        <v>0</v>
      </c>
      <c r="AE2169" s="1" t="n">
        <f aca="false">N(AE2168)+$AD2169</f>
        <v>38</v>
      </c>
      <c r="AF2169" s="1" t="n">
        <f aca="false">IF(AND($N2169=1,AND(LEFT(对接源_02物料!$D969,4)="包装物料",N(对接源_02物料!$K969)&lt;&gt;0)),1,0)</f>
        <v>0</v>
      </c>
      <c r="AG2169" s="1" t="n">
        <f aca="false">N(AG2168)+$AF2169</f>
        <v>6</v>
      </c>
      <c r="AH2169" s="1" t="n">
        <f aca="false">IF(AND($N2169=1,AND(LEFT(对接源_02物料!$D969,3)="周转筐",N(对接源_02物料!$K969)&lt;&gt;0)),1,0)</f>
        <v>0</v>
      </c>
      <c r="AI2169" s="1" t="n">
        <f aca="false">N(AI2168)+$AH2169</f>
        <v>0</v>
      </c>
      <c r="AJ2169" s="1" t="n">
        <v>0</v>
      </c>
      <c r="AK2169" s="1" t="n">
        <f aca="false">N(AK2168)+$AJ2169</f>
        <v>3672</v>
      </c>
    </row>
    <row r="2170" customFormat="false" ht="13.5" hidden="false" customHeight="false" outlineLevel="0" collapsed="false">
      <c r="A2170" s="1" t="str">
        <f aca="false">IF(对接源_02物料!$C970="","",对接源_02物料!$C970)</f>
        <v/>
      </c>
      <c r="B2170" s="1" t="n">
        <f aca="false">IF(A2170="",0,IF(MATCH(A2170,$A$4:$A$2403,0)=ROW()-3,1,0))</f>
        <v>0</v>
      </c>
      <c r="C2170" s="1" t="n">
        <f aca="false">N(C2169)+B2170</f>
        <v>17</v>
      </c>
      <c r="K2170" s="1" t="n">
        <f aca="false">IF(OR($K$1="",对接源_02物料!$C970="",对接源_02物料!$C970&lt;&gt;$K$1,对接源_02物料!$B970=""),0,IF(OR(N(对接源_02物料!$B970)&lt;$K$2,N(对接源_02物料!$B970)&gt;$K$3),0,1))</f>
        <v>0</v>
      </c>
      <c r="L2170" s="1" t="n">
        <f aca="false">IF(OR($L$1="",对接源_02物料!$C970="",对接源_02物料!$C970&lt;&gt;$L$1,对接源_02物料!$B970=""),0,IF(OR(N(对接源_02物料!$B970)&lt;$L$2,N(对接源_02物料!$B970)&gt;$L$3),0,1))</f>
        <v>0</v>
      </c>
      <c r="M2170" s="1" t="n">
        <f aca="false">IF(OR($M$1="",对接源_02物料!$C970="",对接源_02物料!$C970&lt;&gt;$M$1,对接源_02物料!$B970=""),0,IF(OR(N(对接源_02物料!$B970)&lt;$M$2,N(对接源_02物料!$B970)&gt;$M$3),0,1))</f>
        <v>0</v>
      </c>
      <c r="N2170" s="1" t="n">
        <f aca="false">IF(OR($N$1="",对接源_02物料!$C970="",对接源_02物料!$C970&lt;&gt;$N$1,对接源_02物料!$B970=""),0,IF(OR(N(对接源_02物料!$B970)&lt;$N$2,N(对接源_02物料!$B970)&gt;$N$3),0,1))</f>
        <v>0</v>
      </c>
      <c r="P2170" s="1" t="n">
        <f aca="false">IF(AND($K2170=1,AND(对接源_02物料!$X970="公司筐",N(对接源_02物料!$T970)&lt;&gt;0)),1,0)</f>
        <v>0</v>
      </c>
      <c r="Q2170" s="1" t="n">
        <f aca="false">N(Q2169)+$P2170</f>
        <v>13</v>
      </c>
      <c r="R2170" s="1" t="n">
        <f aca="false">IF(AND($K2170=1,AND(对接源_02物料!$X970="公司筐",N(对接源_02物料!$U970)&lt;&gt;0)),1,0)</f>
        <v>0</v>
      </c>
      <c r="S2170" s="1" t="n">
        <f aca="false">N(S2169)+$R2170</f>
        <v>5</v>
      </c>
      <c r="T2170" s="1" t="n">
        <f aca="false">IF(AND($K2170=1,AND(对接源_02物料!$X970="公司筐",N(对接源_02物料!$V970)&lt;&gt;0)),1,0)</f>
        <v>0</v>
      </c>
      <c r="U2170" s="1" t="n">
        <f aca="false">N(U2169)+$T2170</f>
        <v>28</v>
      </c>
      <c r="V2170" s="1" t="n">
        <f aca="false">IF(AND($L2170=1,AND(对接源_02物料!$X970="自备筐",N(对接源_02物料!$V970)&lt;&gt;0)),1,0)</f>
        <v>0</v>
      </c>
      <c r="W2170" s="1" t="n">
        <f aca="false">N(W2169)+$V2170</f>
        <v>7</v>
      </c>
      <c r="X2170" s="1" t="n">
        <f aca="false">IF(AND($L2170=1,AND(对接源_02物料!$X970="自备筐",N(对接源_02物料!$T970)&lt;&gt;0)),1,0)</f>
        <v>0</v>
      </c>
      <c r="Y2170" s="1" t="n">
        <f aca="false">N(Y2169)+$X2170</f>
        <v>0</v>
      </c>
      <c r="Z2170" s="1" t="n">
        <f aca="false">IF(AND($M2170=1,对接源_02物料!$D970="原料入库"),1,0)</f>
        <v>0</v>
      </c>
      <c r="AA2170" s="1" t="n">
        <f aca="false">N(AA2169)+$Z2170</f>
        <v>30</v>
      </c>
      <c r="AB2170" s="1" t="n">
        <f aca="false">IF(AND($M2170=1,LEFT(对接源_02物料!$D970,4)="原料出库"),1,0)</f>
        <v>0</v>
      </c>
      <c r="AC2170" s="1" t="n">
        <f aca="false">N(AC2169)+$AB2170</f>
        <v>19</v>
      </c>
      <c r="AD2170" s="1" t="n">
        <f aca="false">IF(AND($M2170=1,LEFT(对接源_02物料!$D970,4)="成品出库"),1,0)</f>
        <v>0</v>
      </c>
      <c r="AE2170" s="1" t="n">
        <f aca="false">N(AE2169)+$AD2170</f>
        <v>38</v>
      </c>
      <c r="AF2170" s="1" t="n">
        <f aca="false">IF(AND($N2170=1,AND(LEFT(对接源_02物料!$D970,4)="包装物料",N(对接源_02物料!$K970)&lt;&gt;0)),1,0)</f>
        <v>0</v>
      </c>
      <c r="AG2170" s="1" t="n">
        <f aca="false">N(AG2169)+$AF2170</f>
        <v>6</v>
      </c>
      <c r="AH2170" s="1" t="n">
        <f aca="false">IF(AND($N2170=1,AND(LEFT(对接源_02物料!$D970,3)="周转筐",N(对接源_02物料!$K970)&lt;&gt;0)),1,0)</f>
        <v>0</v>
      </c>
      <c r="AI2170" s="1" t="n">
        <f aca="false">N(AI2169)+$AH2170</f>
        <v>0</v>
      </c>
      <c r="AJ2170" s="1" t="n">
        <v>0</v>
      </c>
      <c r="AK2170" s="1" t="n">
        <f aca="false">N(AK2169)+$AJ2170</f>
        <v>3672</v>
      </c>
    </row>
    <row r="2171" customFormat="false" ht="13.5" hidden="false" customHeight="false" outlineLevel="0" collapsed="false">
      <c r="A2171" s="1" t="str">
        <f aca="false">IF(对接源_02物料!$C971="","",对接源_02物料!$C971)</f>
        <v/>
      </c>
      <c r="B2171" s="1" t="n">
        <f aca="false">IF(A2171="",0,IF(MATCH(A2171,$A$4:$A$2403,0)=ROW()-3,1,0))</f>
        <v>0</v>
      </c>
      <c r="C2171" s="1" t="n">
        <f aca="false">N(C2170)+B2171</f>
        <v>17</v>
      </c>
      <c r="K2171" s="1" t="n">
        <f aca="false">IF(OR($K$1="",对接源_02物料!$C971="",对接源_02物料!$C971&lt;&gt;$K$1,对接源_02物料!$B971=""),0,IF(OR(N(对接源_02物料!$B971)&lt;$K$2,N(对接源_02物料!$B971)&gt;$K$3),0,1))</f>
        <v>0</v>
      </c>
      <c r="L2171" s="1" t="n">
        <f aca="false">IF(OR($L$1="",对接源_02物料!$C971="",对接源_02物料!$C971&lt;&gt;$L$1,对接源_02物料!$B971=""),0,IF(OR(N(对接源_02物料!$B971)&lt;$L$2,N(对接源_02物料!$B971)&gt;$L$3),0,1))</f>
        <v>0</v>
      </c>
      <c r="M2171" s="1" t="n">
        <f aca="false">IF(OR($M$1="",对接源_02物料!$C971="",对接源_02物料!$C971&lt;&gt;$M$1,对接源_02物料!$B971=""),0,IF(OR(N(对接源_02物料!$B971)&lt;$M$2,N(对接源_02物料!$B971)&gt;$M$3),0,1))</f>
        <v>0</v>
      </c>
      <c r="N2171" s="1" t="n">
        <f aca="false">IF(OR($N$1="",对接源_02物料!$C971="",对接源_02物料!$C971&lt;&gt;$N$1,对接源_02物料!$B971=""),0,IF(OR(N(对接源_02物料!$B971)&lt;$N$2,N(对接源_02物料!$B971)&gt;$N$3),0,1))</f>
        <v>0</v>
      </c>
      <c r="P2171" s="1" t="n">
        <f aca="false">IF(AND($K2171=1,AND(对接源_02物料!$X971="公司筐",N(对接源_02物料!$T971)&lt;&gt;0)),1,0)</f>
        <v>0</v>
      </c>
      <c r="Q2171" s="1" t="n">
        <f aca="false">N(Q2170)+$P2171</f>
        <v>13</v>
      </c>
      <c r="R2171" s="1" t="n">
        <f aca="false">IF(AND($K2171=1,AND(对接源_02物料!$X971="公司筐",N(对接源_02物料!$U971)&lt;&gt;0)),1,0)</f>
        <v>0</v>
      </c>
      <c r="S2171" s="1" t="n">
        <f aca="false">N(S2170)+$R2171</f>
        <v>5</v>
      </c>
      <c r="T2171" s="1" t="n">
        <f aca="false">IF(AND($K2171=1,AND(对接源_02物料!$X971="公司筐",N(对接源_02物料!$V971)&lt;&gt;0)),1,0)</f>
        <v>0</v>
      </c>
      <c r="U2171" s="1" t="n">
        <f aca="false">N(U2170)+$T2171</f>
        <v>28</v>
      </c>
      <c r="V2171" s="1" t="n">
        <f aca="false">IF(AND($L2171=1,AND(对接源_02物料!$X971="自备筐",N(对接源_02物料!$V971)&lt;&gt;0)),1,0)</f>
        <v>0</v>
      </c>
      <c r="W2171" s="1" t="n">
        <f aca="false">N(W2170)+$V2171</f>
        <v>7</v>
      </c>
      <c r="X2171" s="1" t="n">
        <f aca="false">IF(AND($L2171=1,AND(对接源_02物料!$X971="自备筐",N(对接源_02物料!$T971)&lt;&gt;0)),1,0)</f>
        <v>0</v>
      </c>
      <c r="Y2171" s="1" t="n">
        <f aca="false">N(Y2170)+$X2171</f>
        <v>0</v>
      </c>
      <c r="Z2171" s="1" t="n">
        <f aca="false">IF(AND($M2171=1,对接源_02物料!$D971="原料入库"),1,0)</f>
        <v>0</v>
      </c>
      <c r="AA2171" s="1" t="n">
        <f aca="false">N(AA2170)+$Z2171</f>
        <v>30</v>
      </c>
      <c r="AB2171" s="1" t="n">
        <f aca="false">IF(AND($M2171=1,LEFT(对接源_02物料!$D971,4)="原料出库"),1,0)</f>
        <v>0</v>
      </c>
      <c r="AC2171" s="1" t="n">
        <f aca="false">N(AC2170)+$AB2171</f>
        <v>19</v>
      </c>
      <c r="AD2171" s="1" t="n">
        <f aca="false">IF(AND($M2171=1,LEFT(对接源_02物料!$D971,4)="成品出库"),1,0)</f>
        <v>0</v>
      </c>
      <c r="AE2171" s="1" t="n">
        <f aca="false">N(AE2170)+$AD2171</f>
        <v>38</v>
      </c>
      <c r="AF2171" s="1" t="n">
        <f aca="false">IF(AND($N2171=1,AND(LEFT(对接源_02物料!$D971,4)="包装物料",N(对接源_02物料!$K971)&lt;&gt;0)),1,0)</f>
        <v>0</v>
      </c>
      <c r="AG2171" s="1" t="n">
        <f aca="false">N(AG2170)+$AF2171</f>
        <v>6</v>
      </c>
      <c r="AH2171" s="1" t="n">
        <f aca="false">IF(AND($N2171=1,AND(LEFT(对接源_02物料!$D971,3)="周转筐",N(对接源_02物料!$K971)&lt;&gt;0)),1,0)</f>
        <v>0</v>
      </c>
      <c r="AI2171" s="1" t="n">
        <f aca="false">N(AI2170)+$AH2171</f>
        <v>0</v>
      </c>
      <c r="AJ2171" s="1" t="n">
        <v>0</v>
      </c>
      <c r="AK2171" s="1" t="n">
        <f aca="false">N(AK2170)+$AJ2171</f>
        <v>3672</v>
      </c>
    </row>
    <row r="2172" customFormat="false" ht="13.5" hidden="false" customHeight="false" outlineLevel="0" collapsed="false">
      <c r="A2172" s="1" t="str">
        <f aca="false">IF(对接源_02物料!$C972="","",对接源_02物料!$C972)</f>
        <v/>
      </c>
      <c r="B2172" s="1" t="n">
        <f aca="false">IF(A2172="",0,IF(MATCH(A2172,$A$4:$A$2403,0)=ROW()-3,1,0))</f>
        <v>0</v>
      </c>
      <c r="C2172" s="1" t="n">
        <f aca="false">N(C2171)+B2172</f>
        <v>17</v>
      </c>
      <c r="K2172" s="1" t="n">
        <f aca="false">IF(OR($K$1="",对接源_02物料!$C972="",对接源_02物料!$C972&lt;&gt;$K$1,对接源_02物料!$B972=""),0,IF(OR(N(对接源_02物料!$B972)&lt;$K$2,N(对接源_02物料!$B972)&gt;$K$3),0,1))</f>
        <v>0</v>
      </c>
      <c r="L2172" s="1" t="n">
        <f aca="false">IF(OR($L$1="",对接源_02物料!$C972="",对接源_02物料!$C972&lt;&gt;$L$1,对接源_02物料!$B972=""),0,IF(OR(N(对接源_02物料!$B972)&lt;$L$2,N(对接源_02物料!$B972)&gt;$L$3),0,1))</f>
        <v>0</v>
      </c>
      <c r="M2172" s="1" t="n">
        <f aca="false">IF(OR($M$1="",对接源_02物料!$C972="",对接源_02物料!$C972&lt;&gt;$M$1,对接源_02物料!$B972=""),0,IF(OR(N(对接源_02物料!$B972)&lt;$M$2,N(对接源_02物料!$B972)&gt;$M$3),0,1))</f>
        <v>0</v>
      </c>
      <c r="N2172" s="1" t="n">
        <f aca="false">IF(OR($N$1="",对接源_02物料!$C972="",对接源_02物料!$C972&lt;&gt;$N$1,对接源_02物料!$B972=""),0,IF(OR(N(对接源_02物料!$B972)&lt;$N$2,N(对接源_02物料!$B972)&gt;$N$3),0,1))</f>
        <v>0</v>
      </c>
      <c r="P2172" s="1" t="n">
        <f aca="false">IF(AND($K2172=1,AND(对接源_02物料!$X972="公司筐",N(对接源_02物料!$T972)&lt;&gt;0)),1,0)</f>
        <v>0</v>
      </c>
      <c r="Q2172" s="1" t="n">
        <f aca="false">N(Q2171)+$P2172</f>
        <v>13</v>
      </c>
      <c r="R2172" s="1" t="n">
        <f aca="false">IF(AND($K2172=1,AND(对接源_02物料!$X972="公司筐",N(对接源_02物料!$U972)&lt;&gt;0)),1,0)</f>
        <v>0</v>
      </c>
      <c r="S2172" s="1" t="n">
        <f aca="false">N(S2171)+$R2172</f>
        <v>5</v>
      </c>
      <c r="T2172" s="1" t="n">
        <f aca="false">IF(AND($K2172=1,AND(对接源_02物料!$X972="公司筐",N(对接源_02物料!$V972)&lt;&gt;0)),1,0)</f>
        <v>0</v>
      </c>
      <c r="U2172" s="1" t="n">
        <f aca="false">N(U2171)+$T2172</f>
        <v>28</v>
      </c>
      <c r="V2172" s="1" t="n">
        <f aca="false">IF(AND($L2172=1,AND(对接源_02物料!$X972="自备筐",N(对接源_02物料!$V972)&lt;&gt;0)),1,0)</f>
        <v>0</v>
      </c>
      <c r="W2172" s="1" t="n">
        <f aca="false">N(W2171)+$V2172</f>
        <v>7</v>
      </c>
      <c r="X2172" s="1" t="n">
        <f aca="false">IF(AND($L2172=1,AND(对接源_02物料!$X972="自备筐",N(对接源_02物料!$T972)&lt;&gt;0)),1,0)</f>
        <v>0</v>
      </c>
      <c r="Y2172" s="1" t="n">
        <f aca="false">N(Y2171)+$X2172</f>
        <v>0</v>
      </c>
      <c r="Z2172" s="1" t="n">
        <f aca="false">IF(AND($M2172=1,对接源_02物料!$D972="原料入库"),1,0)</f>
        <v>0</v>
      </c>
      <c r="AA2172" s="1" t="n">
        <f aca="false">N(AA2171)+$Z2172</f>
        <v>30</v>
      </c>
      <c r="AB2172" s="1" t="n">
        <f aca="false">IF(AND($M2172=1,LEFT(对接源_02物料!$D972,4)="原料出库"),1,0)</f>
        <v>0</v>
      </c>
      <c r="AC2172" s="1" t="n">
        <f aca="false">N(AC2171)+$AB2172</f>
        <v>19</v>
      </c>
      <c r="AD2172" s="1" t="n">
        <f aca="false">IF(AND($M2172=1,LEFT(对接源_02物料!$D972,4)="成品出库"),1,0)</f>
        <v>0</v>
      </c>
      <c r="AE2172" s="1" t="n">
        <f aca="false">N(AE2171)+$AD2172</f>
        <v>38</v>
      </c>
      <c r="AF2172" s="1" t="n">
        <f aca="false">IF(AND($N2172=1,AND(LEFT(对接源_02物料!$D972,4)="包装物料",N(对接源_02物料!$K972)&lt;&gt;0)),1,0)</f>
        <v>0</v>
      </c>
      <c r="AG2172" s="1" t="n">
        <f aca="false">N(AG2171)+$AF2172</f>
        <v>6</v>
      </c>
      <c r="AH2172" s="1" t="n">
        <f aca="false">IF(AND($N2172=1,AND(LEFT(对接源_02物料!$D972,3)="周转筐",N(对接源_02物料!$K972)&lt;&gt;0)),1,0)</f>
        <v>0</v>
      </c>
      <c r="AI2172" s="1" t="n">
        <f aca="false">N(AI2171)+$AH2172</f>
        <v>0</v>
      </c>
      <c r="AJ2172" s="1" t="n">
        <v>0</v>
      </c>
      <c r="AK2172" s="1" t="n">
        <f aca="false">N(AK2171)+$AJ2172</f>
        <v>3672</v>
      </c>
    </row>
    <row r="2173" customFormat="false" ht="13.5" hidden="false" customHeight="false" outlineLevel="0" collapsed="false">
      <c r="A2173" s="1" t="str">
        <f aca="false">IF(对接源_02物料!$C973="","",对接源_02物料!$C973)</f>
        <v/>
      </c>
      <c r="B2173" s="1" t="n">
        <f aca="false">IF(A2173="",0,IF(MATCH(A2173,$A$4:$A$2403,0)=ROW()-3,1,0))</f>
        <v>0</v>
      </c>
      <c r="C2173" s="1" t="n">
        <f aca="false">N(C2172)+B2173</f>
        <v>17</v>
      </c>
      <c r="K2173" s="1" t="n">
        <f aca="false">IF(OR($K$1="",对接源_02物料!$C973="",对接源_02物料!$C973&lt;&gt;$K$1,对接源_02物料!$B973=""),0,IF(OR(N(对接源_02物料!$B973)&lt;$K$2,N(对接源_02物料!$B973)&gt;$K$3),0,1))</f>
        <v>0</v>
      </c>
      <c r="L2173" s="1" t="n">
        <f aca="false">IF(OR($L$1="",对接源_02物料!$C973="",对接源_02物料!$C973&lt;&gt;$L$1,对接源_02物料!$B973=""),0,IF(OR(N(对接源_02物料!$B973)&lt;$L$2,N(对接源_02物料!$B973)&gt;$L$3),0,1))</f>
        <v>0</v>
      </c>
      <c r="M2173" s="1" t="n">
        <f aca="false">IF(OR($M$1="",对接源_02物料!$C973="",对接源_02物料!$C973&lt;&gt;$M$1,对接源_02物料!$B973=""),0,IF(OR(N(对接源_02物料!$B973)&lt;$M$2,N(对接源_02物料!$B973)&gt;$M$3),0,1))</f>
        <v>0</v>
      </c>
      <c r="N2173" s="1" t="n">
        <f aca="false">IF(OR($N$1="",对接源_02物料!$C973="",对接源_02物料!$C973&lt;&gt;$N$1,对接源_02物料!$B973=""),0,IF(OR(N(对接源_02物料!$B973)&lt;$N$2,N(对接源_02物料!$B973)&gt;$N$3),0,1))</f>
        <v>0</v>
      </c>
      <c r="P2173" s="1" t="n">
        <f aca="false">IF(AND($K2173=1,AND(对接源_02物料!$X973="公司筐",N(对接源_02物料!$T973)&lt;&gt;0)),1,0)</f>
        <v>0</v>
      </c>
      <c r="Q2173" s="1" t="n">
        <f aca="false">N(Q2172)+$P2173</f>
        <v>13</v>
      </c>
      <c r="R2173" s="1" t="n">
        <f aca="false">IF(AND($K2173=1,AND(对接源_02物料!$X973="公司筐",N(对接源_02物料!$U973)&lt;&gt;0)),1,0)</f>
        <v>0</v>
      </c>
      <c r="S2173" s="1" t="n">
        <f aca="false">N(S2172)+$R2173</f>
        <v>5</v>
      </c>
      <c r="T2173" s="1" t="n">
        <f aca="false">IF(AND($K2173=1,AND(对接源_02物料!$X973="公司筐",N(对接源_02物料!$V973)&lt;&gt;0)),1,0)</f>
        <v>0</v>
      </c>
      <c r="U2173" s="1" t="n">
        <f aca="false">N(U2172)+$T2173</f>
        <v>28</v>
      </c>
      <c r="V2173" s="1" t="n">
        <f aca="false">IF(AND($L2173=1,AND(对接源_02物料!$X973="自备筐",N(对接源_02物料!$V973)&lt;&gt;0)),1,0)</f>
        <v>0</v>
      </c>
      <c r="W2173" s="1" t="n">
        <f aca="false">N(W2172)+$V2173</f>
        <v>7</v>
      </c>
      <c r="X2173" s="1" t="n">
        <f aca="false">IF(AND($L2173=1,AND(对接源_02物料!$X973="自备筐",N(对接源_02物料!$T973)&lt;&gt;0)),1,0)</f>
        <v>0</v>
      </c>
      <c r="Y2173" s="1" t="n">
        <f aca="false">N(Y2172)+$X2173</f>
        <v>0</v>
      </c>
      <c r="Z2173" s="1" t="n">
        <f aca="false">IF(AND($M2173=1,对接源_02物料!$D973="原料入库"),1,0)</f>
        <v>0</v>
      </c>
      <c r="AA2173" s="1" t="n">
        <f aca="false">N(AA2172)+$Z2173</f>
        <v>30</v>
      </c>
      <c r="AB2173" s="1" t="n">
        <f aca="false">IF(AND($M2173=1,LEFT(对接源_02物料!$D973,4)="原料出库"),1,0)</f>
        <v>0</v>
      </c>
      <c r="AC2173" s="1" t="n">
        <f aca="false">N(AC2172)+$AB2173</f>
        <v>19</v>
      </c>
      <c r="AD2173" s="1" t="n">
        <f aca="false">IF(AND($M2173=1,LEFT(对接源_02物料!$D973,4)="成品出库"),1,0)</f>
        <v>0</v>
      </c>
      <c r="AE2173" s="1" t="n">
        <f aca="false">N(AE2172)+$AD2173</f>
        <v>38</v>
      </c>
      <c r="AF2173" s="1" t="n">
        <f aca="false">IF(AND($N2173=1,AND(LEFT(对接源_02物料!$D973,4)="包装物料",N(对接源_02物料!$K973)&lt;&gt;0)),1,0)</f>
        <v>0</v>
      </c>
      <c r="AG2173" s="1" t="n">
        <f aca="false">N(AG2172)+$AF2173</f>
        <v>6</v>
      </c>
      <c r="AH2173" s="1" t="n">
        <f aca="false">IF(AND($N2173=1,AND(LEFT(对接源_02物料!$D973,3)="周转筐",N(对接源_02物料!$K973)&lt;&gt;0)),1,0)</f>
        <v>0</v>
      </c>
      <c r="AI2173" s="1" t="n">
        <f aca="false">N(AI2172)+$AH2173</f>
        <v>0</v>
      </c>
      <c r="AJ2173" s="1" t="n">
        <v>0</v>
      </c>
      <c r="AK2173" s="1" t="n">
        <f aca="false">N(AK2172)+$AJ2173</f>
        <v>3672</v>
      </c>
    </row>
    <row r="2174" customFormat="false" ht="13.5" hidden="false" customHeight="false" outlineLevel="0" collapsed="false">
      <c r="A2174" s="1" t="str">
        <f aca="false">IF(对接源_02物料!$C974="","",对接源_02物料!$C974)</f>
        <v/>
      </c>
      <c r="B2174" s="1" t="n">
        <f aca="false">IF(A2174="",0,IF(MATCH(A2174,$A$4:$A$2403,0)=ROW()-3,1,0))</f>
        <v>0</v>
      </c>
      <c r="C2174" s="1" t="n">
        <f aca="false">N(C2173)+B2174</f>
        <v>17</v>
      </c>
      <c r="K2174" s="1" t="n">
        <f aca="false">IF(OR($K$1="",对接源_02物料!$C974="",对接源_02物料!$C974&lt;&gt;$K$1,对接源_02物料!$B974=""),0,IF(OR(N(对接源_02物料!$B974)&lt;$K$2,N(对接源_02物料!$B974)&gt;$K$3),0,1))</f>
        <v>0</v>
      </c>
      <c r="L2174" s="1" t="n">
        <f aca="false">IF(OR($L$1="",对接源_02物料!$C974="",对接源_02物料!$C974&lt;&gt;$L$1,对接源_02物料!$B974=""),0,IF(OR(N(对接源_02物料!$B974)&lt;$L$2,N(对接源_02物料!$B974)&gt;$L$3),0,1))</f>
        <v>0</v>
      </c>
      <c r="M2174" s="1" t="n">
        <f aca="false">IF(OR($M$1="",对接源_02物料!$C974="",对接源_02物料!$C974&lt;&gt;$M$1,对接源_02物料!$B974=""),0,IF(OR(N(对接源_02物料!$B974)&lt;$M$2,N(对接源_02物料!$B974)&gt;$M$3),0,1))</f>
        <v>0</v>
      </c>
      <c r="N2174" s="1" t="n">
        <f aca="false">IF(OR($N$1="",对接源_02物料!$C974="",对接源_02物料!$C974&lt;&gt;$N$1,对接源_02物料!$B974=""),0,IF(OR(N(对接源_02物料!$B974)&lt;$N$2,N(对接源_02物料!$B974)&gt;$N$3),0,1))</f>
        <v>0</v>
      </c>
      <c r="P2174" s="1" t="n">
        <f aca="false">IF(AND($K2174=1,AND(对接源_02物料!$X974="公司筐",N(对接源_02物料!$T974)&lt;&gt;0)),1,0)</f>
        <v>0</v>
      </c>
      <c r="Q2174" s="1" t="n">
        <f aca="false">N(Q2173)+$P2174</f>
        <v>13</v>
      </c>
      <c r="R2174" s="1" t="n">
        <f aca="false">IF(AND($K2174=1,AND(对接源_02物料!$X974="公司筐",N(对接源_02物料!$U974)&lt;&gt;0)),1,0)</f>
        <v>0</v>
      </c>
      <c r="S2174" s="1" t="n">
        <f aca="false">N(S2173)+$R2174</f>
        <v>5</v>
      </c>
      <c r="T2174" s="1" t="n">
        <f aca="false">IF(AND($K2174=1,AND(对接源_02物料!$X974="公司筐",N(对接源_02物料!$V974)&lt;&gt;0)),1,0)</f>
        <v>0</v>
      </c>
      <c r="U2174" s="1" t="n">
        <f aca="false">N(U2173)+$T2174</f>
        <v>28</v>
      </c>
      <c r="V2174" s="1" t="n">
        <f aca="false">IF(AND($L2174=1,AND(对接源_02物料!$X974="自备筐",N(对接源_02物料!$V974)&lt;&gt;0)),1,0)</f>
        <v>0</v>
      </c>
      <c r="W2174" s="1" t="n">
        <f aca="false">N(W2173)+$V2174</f>
        <v>7</v>
      </c>
      <c r="X2174" s="1" t="n">
        <f aca="false">IF(AND($L2174=1,AND(对接源_02物料!$X974="自备筐",N(对接源_02物料!$T974)&lt;&gt;0)),1,0)</f>
        <v>0</v>
      </c>
      <c r="Y2174" s="1" t="n">
        <f aca="false">N(Y2173)+$X2174</f>
        <v>0</v>
      </c>
      <c r="Z2174" s="1" t="n">
        <f aca="false">IF(AND($M2174=1,对接源_02物料!$D974="原料入库"),1,0)</f>
        <v>0</v>
      </c>
      <c r="AA2174" s="1" t="n">
        <f aca="false">N(AA2173)+$Z2174</f>
        <v>30</v>
      </c>
      <c r="AB2174" s="1" t="n">
        <f aca="false">IF(AND($M2174=1,LEFT(对接源_02物料!$D974,4)="原料出库"),1,0)</f>
        <v>0</v>
      </c>
      <c r="AC2174" s="1" t="n">
        <f aca="false">N(AC2173)+$AB2174</f>
        <v>19</v>
      </c>
      <c r="AD2174" s="1" t="n">
        <f aca="false">IF(AND($M2174=1,LEFT(对接源_02物料!$D974,4)="成品出库"),1,0)</f>
        <v>0</v>
      </c>
      <c r="AE2174" s="1" t="n">
        <f aca="false">N(AE2173)+$AD2174</f>
        <v>38</v>
      </c>
      <c r="AF2174" s="1" t="n">
        <f aca="false">IF(AND($N2174=1,AND(LEFT(对接源_02物料!$D974,4)="包装物料",N(对接源_02物料!$K974)&lt;&gt;0)),1,0)</f>
        <v>0</v>
      </c>
      <c r="AG2174" s="1" t="n">
        <f aca="false">N(AG2173)+$AF2174</f>
        <v>6</v>
      </c>
      <c r="AH2174" s="1" t="n">
        <f aca="false">IF(AND($N2174=1,AND(LEFT(对接源_02物料!$D974,3)="周转筐",N(对接源_02物料!$K974)&lt;&gt;0)),1,0)</f>
        <v>0</v>
      </c>
      <c r="AI2174" s="1" t="n">
        <f aca="false">N(AI2173)+$AH2174</f>
        <v>0</v>
      </c>
      <c r="AJ2174" s="1" t="n">
        <v>0</v>
      </c>
      <c r="AK2174" s="1" t="n">
        <f aca="false">N(AK2173)+$AJ2174</f>
        <v>3672</v>
      </c>
    </row>
    <row r="2175" customFormat="false" ht="13.5" hidden="false" customHeight="false" outlineLevel="0" collapsed="false">
      <c r="A2175" s="1" t="str">
        <f aca="false">IF(对接源_02物料!$C975="","",对接源_02物料!$C975)</f>
        <v/>
      </c>
      <c r="B2175" s="1" t="n">
        <f aca="false">IF(A2175="",0,IF(MATCH(A2175,$A$4:$A$2403,0)=ROW()-3,1,0))</f>
        <v>0</v>
      </c>
      <c r="C2175" s="1" t="n">
        <f aca="false">N(C2174)+B2175</f>
        <v>17</v>
      </c>
      <c r="K2175" s="1" t="n">
        <f aca="false">IF(OR($K$1="",对接源_02物料!$C975="",对接源_02物料!$C975&lt;&gt;$K$1,对接源_02物料!$B975=""),0,IF(OR(N(对接源_02物料!$B975)&lt;$K$2,N(对接源_02物料!$B975)&gt;$K$3),0,1))</f>
        <v>0</v>
      </c>
      <c r="L2175" s="1" t="n">
        <f aca="false">IF(OR($L$1="",对接源_02物料!$C975="",对接源_02物料!$C975&lt;&gt;$L$1,对接源_02物料!$B975=""),0,IF(OR(N(对接源_02物料!$B975)&lt;$L$2,N(对接源_02物料!$B975)&gt;$L$3),0,1))</f>
        <v>0</v>
      </c>
      <c r="M2175" s="1" t="n">
        <f aca="false">IF(OR($M$1="",对接源_02物料!$C975="",对接源_02物料!$C975&lt;&gt;$M$1,对接源_02物料!$B975=""),0,IF(OR(N(对接源_02物料!$B975)&lt;$M$2,N(对接源_02物料!$B975)&gt;$M$3),0,1))</f>
        <v>0</v>
      </c>
      <c r="N2175" s="1" t="n">
        <f aca="false">IF(OR($N$1="",对接源_02物料!$C975="",对接源_02物料!$C975&lt;&gt;$N$1,对接源_02物料!$B975=""),0,IF(OR(N(对接源_02物料!$B975)&lt;$N$2,N(对接源_02物料!$B975)&gt;$N$3),0,1))</f>
        <v>0</v>
      </c>
      <c r="P2175" s="1" t="n">
        <f aca="false">IF(AND($K2175=1,AND(对接源_02物料!$X975="公司筐",N(对接源_02物料!$T975)&lt;&gt;0)),1,0)</f>
        <v>0</v>
      </c>
      <c r="Q2175" s="1" t="n">
        <f aca="false">N(Q2174)+$P2175</f>
        <v>13</v>
      </c>
      <c r="R2175" s="1" t="n">
        <f aca="false">IF(AND($K2175=1,AND(对接源_02物料!$X975="公司筐",N(对接源_02物料!$U975)&lt;&gt;0)),1,0)</f>
        <v>0</v>
      </c>
      <c r="S2175" s="1" t="n">
        <f aca="false">N(S2174)+$R2175</f>
        <v>5</v>
      </c>
      <c r="T2175" s="1" t="n">
        <f aca="false">IF(AND($K2175=1,AND(对接源_02物料!$X975="公司筐",N(对接源_02物料!$V975)&lt;&gt;0)),1,0)</f>
        <v>0</v>
      </c>
      <c r="U2175" s="1" t="n">
        <f aca="false">N(U2174)+$T2175</f>
        <v>28</v>
      </c>
      <c r="V2175" s="1" t="n">
        <f aca="false">IF(AND($L2175=1,AND(对接源_02物料!$X975="自备筐",N(对接源_02物料!$V975)&lt;&gt;0)),1,0)</f>
        <v>0</v>
      </c>
      <c r="W2175" s="1" t="n">
        <f aca="false">N(W2174)+$V2175</f>
        <v>7</v>
      </c>
      <c r="X2175" s="1" t="n">
        <f aca="false">IF(AND($L2175=1,AND(对接源_02物料!$X975="自备筐",N(对接源_02物料!$T975)&lt;&gt;0)),1,0)</f>
        <v>0</v>
      </c>
      <c r="Y2175" s="1" t="n">
        <f aca="false">N(Y2174)+$X2175</f>
        <v>0</v>
      </c>
      <c r="Z2175" s="1" t="n">
        <f aca="false">IF(AND($M2175=1,对接源_02物料!$D975="原料入库"),1,0)</f>
        <v>0</v>
      </c>
      <c r="AA2175" s="1" t="n">
        <f aca="false">N(AA2174)+$Z2175</f>
        <v>30</v>
      </c>
      <c r="AB2175" s="1" t="n">
        <f aca="false">IF(AND($M2175=1,LEFT(对接源_02物料!$D975,4)="原料出库"),1,0)</f>
        <v>0</v>
      </c>
      <c r="AC2175" s="1" t="n">
        <f aca="false">N(AC2174)+$AB2175</f>
        <v>19</v>
      </c>
      <c r="AD2175" s="1" t="n">
        <f aca="false">IF(AND($M2175=1,LEFT(对接源_02物料!$D975,4)="成品出库"),1,0)</f>
        <v>0</v>
      </c>
      <c r="AE2175" s="1" t="n">
        <f aca="false">N(AE2174)+$AD2175</f>
        <v>38</v>
      </c>
      <c r="AF2175" s="1" t="n">
        <f aca="false">IF(AND($N2175=1,AND(LEFT(对接源_02物料!$D975,4)="包装物料",N(对接源_02物料!$K975)&lt;&gt;0)),1,0)</f>
        <v>0</v>
      </c>
      <c r="AG2175" s="1" t="n">
        <f aca="false">N(AG2174)+$AF2175</f>
        <v>6</v>
      </c>
      <c r="AH2175" s="1" t="n">
        <f aca="false">IF(AND($N2175=1,AND(LEFT(对接源_02物料!$D975,3)="周转筐",N(对接源_02物料!$K975)&lt;&gt;0)),1,0)</f>
        <v>0</v>
      </c>
      <c r="AI2175" s="1" t="n">
        <f aca="false">N(AI2174)+$AH2175</f>
        <v>0</v>
      </c>
      <c r="AJ2175" s="1" t="n">
        <v>0</v>
      </c>
      <c r="AK2175" s="1" t="n">
        <f aca="false">N(AK2174)+$AJ2175</f>
        <v>3672</v>
      </c>
    </row>
    <row r="2176" customFormat="false" ht="13.5" hidden="false" customHeight="false" outlineLevel="0" collapsed="false">
      <c r="A2176" s="1" t="str">
        <f aca="false">IF(对接源_02物料!$C976="","",对接源_02物料!$C976)</f>
        <v/>
      </c>
      <c r="B2176" s="1" t="n">
        <f aca="false">IF(A2176="",0,IF(MATCH(A2176,$A$4:$A$2403,0)=ROW()-3,1,0))</f>
        <v>0</v>
      </c>
      <c r="C2176" s="1" t="n">
        <f aca="false">N(C2175)+B2176</f>
        <v>17</v>
      </c>
      <c r="K2176" s="1" t="n">
        <f aca="false">IF(OR($K$1="",对接源_02物料!$C976="",对接源_02物料!$C976&lt;&gt;$K$1,对接源_02物料!$B976=""),0,IF(OR(N(对接源_02物料!$B976)&lt;$K$2,N(对接源_02物料!$B976)&gt;$K$3),0,1))</f>
        <v>0</v>
      </c>
      <c r="L2176" s="1" t="n">
        <f aca="false">IF(OR($L$1="",对接源_02物料!$C976="",对接源_02物料!$C976&lt;&gt;$L$1,对接源_02物料!$B976=""),0,IF(OR(N(对接源_02物料!$B976)&lt;$L$2,N(对接源_02物料!$B976)&gt;$L$3),0,1))</f>
        <v>0</v>
      </c>
      <c r="M2176" s="1" t="n">
        <f aca="false">IF(OR($M$1="",对接源_02物料!$C976="",对接源_02物料!$C976&lt;&gt;$M$1,对接源_02物料!$B976=""),0,IF(OR(N(对接源_02物料!$B976)&lt;$M$2,N(对接源_02物料!$B976)&gt;$M$3),0,1))</f>
        <v>0</v>
      </c>
      <c r="N2176" s="1" t="n">
        <f aca="false">IF(OR($N$1="",对接源_02物料!$C976="",对接源_02物料!$C976&lt;&gt;$N$1,对接源_02物料!$B976=""),0,IF(OR(N(对接源_02物料!$B976)&lt;$N$2,N(对接源_02物料!$B976)&gt;$N$3),0,1))</f>
        <v>0</v>
      </c>
      <c r="P2176" s="1" t="n">
        <f aca="false">IF(AND($K2176=1,AND(对接源_02物料!$X976="公司筐",N(对接源_02物料!$T976)&lt;&gt;0)),1,0)</f>
        <v>0</v>
      </c>
      <c r="Q2176" s="1" t="n">
        <f aca="false">N(Q2175)+$P2176</f>
        <v>13</v>
      </c>
      <c r="R2176" s="1" t="n">
        <f aca="false">IF(AND($K2176=1,AND(对接源_02物料!$X976="公司筐",N(对接源_02物料!$U976)&lt;&gt;0)),1,0)</f>
        <v>0</v>
      </c>
      <c r="S2176" s="1" t="n">
        <f aca="false">N(S2175)+$R2176</f>
        <v>5</v>
      </c>
      <c r="T2176" s="1" t="n">
        <f aca="false">IF(AND($K2176=1,AND(对接源_02物料!$X976="公司筐",N(对接源_02物料!$V976)&lt;&gt;0)),1,0)</f>
        <v>0</v>
      </c>
      <c r="U2176" s="1" t="n">
        <f aca="false">N(U2175)+$T2176</f>
        <v>28</v>
      </c>
      <c r="V2176" s="1" t="n">
        <f aca="false">IF(AND($L2176=1,AND(对接源_02物料!$X976="自备筐",N(对接源_02物料!$V976)&lt;&gt;0)),1,0)</f>
        <v>0</v>
      </c>
      <c r="W2176" s="1" t="n">
        <f aca="false">N(W2175)+$V2176</f>
        <v>7</v>
      </c>
      <c r="X2176" s="1" t="n">
        <f aca="false">IF(AND($L2176=1,AND(对接源_02物料!$X976="自备筐",N(对接源_02物料!$T976)&lt;&gt;0)),1,0)</f>
        <v>0</v>
      </c>
      <c r="Y2176" s="1" t="n">
        <f aca="false">N(Y2175)+$X2176</f>
        <v>0</v>
      </c>
      <c r="Z2176" s="1" t="n">
        <f aca="false">IF(AND($M2176=1,对接源_02物料!$D976="原料入库"),1,0)</f>
        <v>0</v>
      </c>
      <c r="AA2176" s="1" t="n">
        <f aca="false">N(AA2175)+$Z2176</f>
        <v>30</v>
      </c>
      <c r="AB2176" s="1" t="n">
        <f aca="false">IF(AND($M2176=1,LEFT(对接源_02物料!$D976,4)="原料出库"),1,0)</f>
        <v>0</v>
      </c>
      <c r="AC2176" s="1" t="n">
        <f aca="false">N(AC2175)+$AB2176</f>
        <v>19</v>
      </c>
      <c r="AD2176" s="1" t="n">
        <f aca="false">IF(AND($M2176=1,LEFT(对接源_02物料!$D976,4)="成品出库"),1,0)</f>
        <v>0</v>
      </c>
      <c r="AE2176" s="1" t="n">
        <f aca="false">N(AE2175)+$AD2176</f>
        <v>38</v>
      </c>
      <c r="AF2176" s="1" t="n">
        <f aca="false">IF(AND($N2176=1,AND(LEFT(对接源_02物料!$D976,4)="包装物料",N(对接源_02物料!$K976)&lt;&gt;0)),1,0)</f>
        <v>0</v>
      </c>
      <c r="AG2176" s="1" t="n">
        <f aca="false">N(AG2175)+$AF2176</f>
        <v>6</v>
      </c>
      <c r="AH2176" s="1" t="n">
        <f aca="false">IF(AND($N2176=1,AND(LEFT(对接源_02物料!$D976,3)="周转筐",N(对接源_02物料!$K976)&lt;&gt;0)),1,0)</f>
        <v>0</v>
      </c>
      <c r="AI2176" s="1" t="n">
        <f aca="false">N(AI2175)+$AH2176</f>
        <v>0</v>
      </c>
      <c r="AJ2176" s="1" t="n">
        <v>0</v>
      </c>
      <c r="AK2176" s="1" t="n">
        <f aca="false">N(AK2175)+$AJ2176</f>
        <v>3672</v>
      </c>
    </row>
    <row r="2177" customFormat="false" ht="13.5" hidden="false" customHeight="false" outlineLevel="0" collapsed="false">
      <c r="A2177" s="1" t="str">
        <f aca="false">IF(对接源_02物料!$C977="","",对接源_02物料!$C977)</f>
        <v/>
      </c>
      <c r="B2177" s="1" t="n">
        <f aca="false">IF(A2177="",0,IF(MATCH(A2177,$A$4:$A$2403,0)=ROW()-3,1,0))</f>
        <v>0</v>
      </c>
      <c r="C2177" s="1" t="n">
        <f aca="false">N(C2176)+B2177</f>
        <v>17</v>
      </c>
      <c r="K2177" s="1" t="n">
        <f aca="false">IF(OR($K$1="",对接源_02物料!$C977="",对接源_02物料!$C977&lt;&gt;$K$1,对接源_02物料!$B977=""),0,IF(OR(N(对接源_02物料!$B977)&lt;$K$2,N(对接源_02物料!$B977)&gt;$K$3),0,1))</f>
        <v>0</v>
      </c>
      <c r="L2177" s="1" t="n">
        <f aca="false">IF(OR($L$1="",对接源_02物料!$C977="",对接源_02物料!$C977&lt;&gt;$L$1,对接源_02物料!$B977=""),0,IF(OR(N(对接源_02物料!$B977)&lt;$L$2,N(对接源_02物料!$B977)&gt;$L$3),0,1))</f>
        <v>0</v>
      </c>
      <c r="M2177" s="1" t="n">
        <f aca="false">IF(OR($M$1="",对接源_02物料!$C977="",对接源_02物料!$C977&lt;&gt;$M$1,对接源_02物料!$B977=""),0,IF(OR(N(对接源_02物料!$B977)&lt;$M$2,N(对接源_02物料!$B977)&gt;$M$3),0,1))</f>
        <v>0</v>
      </c>
      <c r="N2177" s="1" t="n">
        <f aca="false">IF(OR($N$1="",对接源_02物料!$C977="",对接源_02物料!$C977&lt;&gt;$N$1,对接源_02物料!$B977=""),0,IF(OR(N(对接源_02物料!$B977)&lt;$N$2,N(对接源_02物料!$B977)&gt;$N$3),0,1))</f>
        <v>0</v>
      </c>
      <c r="P2177" s="1" t="n">
        <f aca="false">IF(AND($K2177=1,AND(对接源_02物料!$X977="公司筐",N(对接源_02物料!$T977)&lt;&gt;0)),1,0)</f>
        <v>0</v>
      </c>
      <c r="Q2177" s="1" t="n">
        <f aca="false">N(Q2176)+$P2177</f>
        <v>13</v>
      </c>
      <c r="R2177" s="1" t="n">
        <f aca="false">IF(AND($K2177=1,AND(对接源_02物料!$X977="公司筐",N(对接源_02物料!$U977)&lt;&gt;0)),1,0)</f>
        <v>0</v>
      </c>
      <c r="S2177" s="1" t="n">
        <f aca="false">N(S2176)+$R2177</f>
        <v>5</v>
      </c>
      <c r="T2177" s="1" t="n">
        <f aca="false">IF(AND($K2177=1,AND(对接源_02物料!$X977="公司筐",N(对接源_02物料!$V977)&lt;&gt;0)),1,0)</f>
        <v>0</v>
      </c>
      <c r="U2177" s="1" t="n">
        <f aca="false">N(U2176)+$T2177</f>
        <v>28</v>
      </c>
      <c r="V2177" s="1" t="n">
        <f aca="false">IF(AND($L2177=1,AND(对接源_02物料!$X977="自备筐",N(对接源_02物料!$V977)&lt;&gt;0)),1,0)</f>
        <v>0</v>
      </c>
      <c r="W2177" s="1" t="n">
        <f aca="false">N(W2176)+$V2177</f>
        <v>7</v>
      </c>
      <c r="X2177" s="1" t="n">
        <f aca="false">IF(AND($L2177=1,AND(对接源_02物料!$X977="自备筐",N(对接源_02物料!$T977)&lt;&gt;0)),1,0)</f>
        <v>0</v>
      </c>
      <c r="Y2177" s="1" t="n">
        <f aca="false">N(Y2176)+$X2177</f>
        <v>0</v>
      </c>
      <c r="Z2177" s="1" t="n">
        <f aca="false">IF(AND($M2177=1,对接源_02物料!$D977="原料入库"),1,0)</f>
        <v>0</v>
      </c>
      <c r="AA2177" s="1" t="n">
        <f aca="false">N(AA2176)+$Z2177</f>
        <v>30</v>
      </c>
      <c r="AB2177" s="1" t="n">
        <f aca="false">IF(AND($M2177=1,LEFT(对接源_02物料!$D977,4)="原料出库"),1,0)</f>
        <v>0</v>
      </c>
      <c r="AC2177" s="1" t="n">
        <f aca="false">N(AC2176)+$AB2177</f>
        <v>19</v>
      </c>
      <c r="AD2177" s="1" t="n">
        <f aca="false">IF(AND($M2177=1,LEFT(对接源_02物料!$D977,4)="成品出库"),1,0)</f>
        <v>0</v>
      </c>
      <c r="AE2177" s="1" t="n">
        <f aca="false">N(AE2176)+$AD2177</f>
        <v>38</v>
      </c>
      <c r="AF2177" s="1" t="n">
        <f aca="false">IF(AND($N2177=1,AND(LEFT(对接源_02物料!$D977,4)="包装物料",N(对接源_02物料!$K977)&lt;&gt;0)),1,0)</f>
        <v>0</v>
      </c>
      <c r="AG2177" s="1" t="n">
        <f aca="false">N(AG2176)+$AF2177</f>
        <v>6</v>
      </c>
      <c r="AH2177" s="1" t="n">
        <f aca="false">IF(AND($N2177=1,AND(LEFT(对接源_02物料!$D977,3)="周转筐",N(对接源_02物料!$K977)&lt;&gt;0)),1,0)</f>
        <v>0</v>
      </c>
      <c r="AI2177" s="1" t="n">
        <f aca="false">N(AI2176)+$AH2177</f>
        <v>0</v>
      </c>
      <c r="AJ2177" s="1" t="n">
        <v>0</v>
      </c>
      <c r="AK2177" s="1" t="n">
        <f aca="false">N(AK2176)+$AJ2177</f>
        <v>3672</v>
      </c>
    </row>
    <row r="2178" customFormat="false" ht="13.5" hidden="false" customHeight="false" outlineLevel="0" collapsed="false">
      <c r="A2178" s="1" t="str">
        <f aca="false">IF(对接源_02物料!$C978="","",对接源_02物料!$C978)</f>
        <v/>
      </c>
      <c r="B2178" s="1" t="n">
        <f aca="false">IF(A2178="",0,IF(MATCH(A2178,$A$4:$A$2403,0)=ROW()-3,1,0))</f>
        <v>0</v>
      </c>
      <c r="C2178" s="1" t="n">
        <f aca="false">N(C2177)+B2178</f>
        <v>17</v>
      </c>
      <c r="K2178" s="1" t="n">
        <f aca="false">IF(OR($K$1="",对接源_02物料!$C978="",对接源_02物料!$C978&lt;&gt;$K$1,对接源_02物料!$B978=""),0,IF(OR(N(对接源_02物料!$B978)&lt;$K$2,N(对接源_02物料!$B978)&gt;$K$3),0,1))</f>
        <v>0</v>
      </c>
      <c r="L2178" s="1" t="n">
        <f aca="false">IF(OR($L$1="",对接源_02物料!$C978="",对接源_02物料!$C978&lt;&gt;$L$1,对接源_02物料!$B978=""),0,IF(OR(N(对接源_02物料!$B978)&lt;$L$2,N(对接源_02物料!$B978)&gt;$L$3),0,1))</f>
        <v>0</v>
      </c>
      <c r="M2178" s="1" t="n">
        <f aca="false">IF(OR($M$1="",对接源_02物料!$C978="",对接源_02物料!$C978&lt;&gt;$M$1,对接源_02物料!$B978=""),0,IF(OR(N(对接源_02物料!$B978)&lt;$M$2,N(对接源_02物料!$B978)&gt;$M$3),0,1))</f>
        <v>0</v>
      </c>
      <c r="N2178" s="1" t="n">
        <f aca="false">IF(OR($N$1="",对接源_02物料!$C978="",对接源_02物料!$C978&lt;&gt;$N$1,对接源_02物料!$B978=""),0,IF(OR(N(对接源_02物料!$B978)&lt;$N$2,N(对接源_02物料!$B978)&gt;$N$3),0,1))</f>
        <v>0</v>
      </c>
      <c r="P2178" s="1" t="n">
        <f aca="false">IF(AND($K2178=1,AND(对接源_02物料!$X978="公司筐",N(对接源_02物料!$T978)&lt;&gt;0)),1,0)</f>
        <v>0</v>
      </c>
      <c r="Q2178" s="1" t="n">
        <f aca="false">N(Q2177)+$P2178</f>
        <v>13</v>
      </c>
      <c r="R2178" s="1" t="n">
        <f aca="false">IF(AND($K2178=1,AND(对接源_02物料!$X978="公司筐",N(对接源_02物料!$U978)&lt;&gt;0)),1,0)</f>
        <v>0</v>
      </c>
      <c r="S2178" s="1" t="n">
        <f aca="false">N(S2177)+$R2178</f>
        <v>5</v>
      </c>
      <c r="T2178" s="1" t="n">
        <f aca="false">IF(AND($K2178=1,AND(对接源_02物料!$X978="公司筐",N(对接源_02物料!$V978)&lt;&gt;0)),1,0)</f>
        <v>0</v>
      </c>
      <c r="U2178" s="1" t="n">
        <f aca="false">N(U2177)+$T2178</f>
        <v>28</v>
      </c>
      <c r="V2178" s="1" t="n">
        <f aca="false">IF(AND($L2178=1,AND(对接源_02物料!$X978="自备筐",N(对接源_02物料!$V978)&lt;&gt;0)),1,0)</f>
        <v>0</v>
      </c>
      <c r="W2178" s="1" t="n">
        <f aca="false">N(W2177)+$V2178</f>
        <v>7</v>
      </c>
      <c r="X2178" s="1" t="n">
        <f aca="false">IF(AND($L2178=1,AND(对接源_02物料!$X978="自备筐",N(对接源_02物料!$T978)&lt;&gt;0)),1,0)</f>
        <v>0</v>
      </c>
      <c r="Y2178" s="1" t="n">
        <f aca="false">N(Y2177)+$X2178</f>
        <v>0</v>
      </c>
      <c r="Z2178" s="1" t="n">
        <f aca="false">IF(AND($M2178=1,对接源_02物料!$D978="原料入库"),1,0)</f>
        <v>0</v>
      </c>
      <c r="AA2178" s="1" t="n">
        <f aca="false">N(AA2177)+$Z2178</f>
        <v>30</v>
      </c>
      <c r="AB2178" s="1" t="n">
        <f aca="false">IF(AND($M2178=1,LEFT(对接源_02物料!$D978,4)="原料出库"),1,0)</f>
        <v>0</v>
      </c>
      <c r="AC2178" s="1" t="n">
        <f aca="false">N(AC2177)+$AB2178</f>
        <v>19</v>
      </c>
      <c r="AD2178" s="1" t="n">
        <f aca="false">IF(AND($M2178=1,LEFT(对接源_02物料!$D978,4)="成品出库"),1,0)</f>
        <v>0</v>
      </c>
      <c r="AE2178" s="1" t="n">
        <f aca="false">N(AE2177)+$AD2178</f>
        <v>38</v>
      </c>
      <c r="AF2178" s="1" t="n">
        <f aca="false">IF(AND($N2178=1,AND(LEFT(对接源_02物料!$D978,4)="包装物料",N(对接源_02物料!$K978)&lt;&gt;0)),1,0)</f>
        <v>0</v>
      </c>
      <c r="AG2178" s="1" t="n">
        <f aca="false">N(AG2177)+$AF2178</f>
        <v>6</v>
      </c>
      <c r="AH2178" s="1" t="n">
        <f aca="false">IF(AND($N2178=1,AND(LEFT(对接源_02物料!$D978,3)="周转筐",N(对接源_02物料!$K978)&lt;&gt;0)),1,0)</f>
        <v>0</v>
      </c>
      <c r="AI2178" s="1" t="n">
        <f aca="false">N(AI2177)+$AH2178</f>
        <v>0</v>
      </c>
      <c r="AJ2178" s="1" t="n">
        <v>0</v>
      </c>
      <c r="AK2178" s="1" t="n">
        <f aca="false">N(AK2177)+$AJ2178</f>
        <v>3672</v>
      </c>
    </row>
    <row r="2179" customFormat="false" ht="13.5" hidden="false" customHeight="false" outlineLevel="0" collapsed="false">
      <c r="A2179" s="1" t="str">
        <f aca="false">IF(对接源_02物料!$C979="","",对接源_02物料!$C979)</f>
        <v/>
      </c>
      <c r="B2179" s="1" t="n">
        <f aca="false">IF(A2179="",0,IF(MATCH(A2179,$A$4:$A$2403,0)=ROW()-3,1,0))</f>
        <v>0</v>
      </c>
      <c r="C2179" s="1" t="n">
        <f aca="false">N(C2178)+B2179</f>
        <v>17</v>
      </c>
      <c r="K2179" s="1" t="n">
        <f aca="false">IF(OR($K$1="",对接源_02物料!$C979="",对接源_02物料!$C979&lt;&gt;$K$1,对接源_02物料!$B979=""),0,IF(OR(N(对接源_02物料!$B979)&lt;$K$2,N(对接源_02物料!$B979)&gt;$K$3),0,1))</f>
        <v>0</v>
      </c>
      <c r="L2179" s="1" t="n">
        <f aca="false">IF(OR($L$1="",对接源_02物料!$C979="",对接源_02物料!$C979&lt;&gt;$L$1,对接源_02物料!$B979=""),0,IF(OR(N(对接源_02物料!$B979)&lt;$L$2,N(对接源_02物料!$B979)&gt;$L$3),0,1))</f>
        <v>0</v>
      </c>
      <c r="M2179" s="1" t="n">
        <f aca="false">IF(OR($M$1="",对接源_02物料!$C979="",对接源_02物料!$C979&lt;&gt;$M$1,对接源_02物料!$B979=""),0,IF(OR(N(对接源_02物料!$B979)&lt;$M$2,N(对接源_02物料!$B979)&gt;$M$3),0,1))</f>
        <v>0</v>
      </c>
      <c r="N2179" s="1" t="n">
        <f aca="false">IF(OR($N$1="",对接源_02物料!$C979="",对接源_02物料!$C979&lt;&gt;$N$1,对接源_02物料!$B979=""),0,IF(OR(N(对接源_02物料!$B979)&lt;$N$2,N(对接源_02物料!$B979)&gt;$N$3),0,1))</f>
        <v>0</v>
      </c>
      <c r="P2179" s="1" t="n">
        <f aca="false">IF(AND($K2179=1,AND(对接源_02物料!$X979="公司筐",N(对接源_02物料!$T979)&lt;&gt;0)),1,0)</f>
        <v>0</v>
      </c>
      <c r="Q2179" s="1" t="n">
        <f aca="false">N(Q2178)+$P2179</f>
        <v>13</v>
      </c>
      <c r="R2179" s="1" t="n">
        <f aca="false">IF(AND($K2179=1,AND(对接源_02物料!$X979="公司筐",N(对接源_02物料!$U979)&lt;&gt;0)),1,0)</f>
        <v>0</v>
      </c>
      <c r="S2179" s="1" t="n">
        <f aca="false">N(S2178)+$R2179</f>
        <v>5</v>
      </c>
      <c r="T2179" s="1" t="n">
        <f aca="false">IF(AND($K2179=1,AND(对接源_02物料!$X979="公司筐",N(对接源_02物料!$V979)&lt;&gt;0)),1,0)</f>
        <v>0</v>
      </c>
      <c r="U2179" s="1" t="n">
        <f aca="false">N(U2178)+$T2179</f>
        <v>28</v>
      </c>
      <c r="V2179" s="1" t="n">
        <f aca="false">IF(AND($L2179=1,AND(对接源_02物料!$X979="自备筐",N(对接源_02物料!$V979)&lt;&gt;0)),1,0)</f>
        <v>0</v>
      </c>
      <c r="W2179" s="1" t="n">
        <f aca="false">N(W2178)+$V2179</f>
        <v>7</v>
      </c>
      <c r="X2179" s="1" t="n">
        <f aca="false">IF(AND($L2179=1,AND(对接源_02物料!$X979="自备筐",N(对接源_02物料!$T979)&lt;&gt;0)),1,0)</f>
        <v>0</v>
      </c>
      <c r="Y2179" s="1" t="n">
        <f aca="false">N(Y2178)+$X2179</f>
        <v>0</v>
      </c>
      <c r="Z2179" s="1" t="n">
        <f aca="false">IF(AND($M2179=1,对接源_02物料!$D979="原料入库"),1,0)</f>
        <v>0</v>
      </c>
      <c r="AA2179" s="1" t="n">
        <f aca="false">N(AA2178)+$Z2179</f>
        <v>30</v>
      </c>
      <c r="AB2179" s="1" t="n">
        <f aca="false">IF(AND($M2179=1,LEFT(对接源_02物料!$D979,4)="原料出库"),1,0)</f>
        <v>0</v>
      </c>
      <c r="AC2179" s="1" t="n">
        <f aca="false">N(AC2178)+$AB2179</f>
        <v>19</v>
      </c>
      <c r="AD2179" s="1" t="n">
        <f aca="false">IF(AND($M2179=1,LEFT(对接源_02物料!$D979,4)="成品出库"),1,0)</f>
        <v>0</v>
      </c>
      <c r="AE2179" s="1" t="n">
        <f aca="false">N(AE2178)+$AD2179</f>
        <v>38</v>
      </c>
      <c r="AF2179" s="1" t="n">
        <f aca="false">IF(AND($N2179=1,AND(LEFT(对接源_02物料!$D979,4)="包装物料",N(对接源_02物料!$K979)&lt;&gt;0)),1,0)</f>
        <v>0</v>
      </c>
      <c r="AG2179" s="1" t="n">
        <f aca="false">N(AG2178)+$AF2179</f>
        <v>6</v>
      </c>
      <c r="AH2179" s="1" t="n">
        <f aca="false">IF(AND($N2179=1,AND(LEFT(对接源_02物料!$D979,3)="周转筐",N(对接源_02物料!$K979)&lt;&gt;0)),1,0)</f>
        <v>0</v>
      </c>
      <c r="AI2179" s="1" t="n">
        <f aca="false">N(AI2178)+$AH2179</f>
        <v>0</v>
      </c>
      <c r="AJ2179" s="1" t="n">
        <v>0</v>
      </c>
      <c r="AK2179" s="1" t="n">
        <f aca="false">N(AK2178)+$AJ2179</f>
        <v>3672</v>
      </c>
    </row>
    <row r="2180" customFormat="false" ht="13.5" hidden="false" customHeight="false" outlineLevel="0" collapsed="false">
      <c r="A2180" s="1" t="str">
        <f aca="false">IF(对接源_02物料!$C980="","",对接源_02物料!$C980)</f>
        <v/>
      </c>
      <c r="B2180" s="1" t="n">
        <f aca="false">IF(A2180="",0,IF(MATCH(A2180,$A$4:$A$2403,0)=ROW()-3,1,0))</f>
        <v>0</v>
      </c>
      <c r="C2180" s="1" t="n">
        <f aca="false">N(C2179)+B2180</f>
        <v>17</v>
      </c>
      <c r="K2180" s="1" t="n">
        <f aca="false">IF(OR($K$1="",对接源_02物料!$C980="",对接源_02物料!$C980&lt;&gt;$K$1,对接源_02物料!$B980=""),0,IF(OR(N(对接源_02物料!$B980)&lt;$K$2,N(对接源_02物料!$B980)&gt;$K$3),0,1))</f>
        <v>0</v>
      </c>
      <c r="L2180" s="1" t="n">
        <f aca="false">IF(OR($L$1="",对接源_02物料!$C980="",对接源_02物料!$C980&lt;&gt;$L$1,对接源_02物料!$B980=""),0,IF(OR(N(对接源_02物料!$B980)&lt;$L$2,N(对接源_02物料!$B980)&gt;$L$3),0,1))</f>
        <v>0</v>
      </c>
      <c r="M2180" s="1" t="n">
        <f aca="false">IF(OR($M$1="",对接源_02物料!$C980="",对接源_02物料!$C980&lt;&gt;$M$1,对接源_02物料!$B980=""),0,IF(OR(N(对接源_02物料!$B980)&lt;$M$2,N(对接源_02物料!$B980)&gt;$M$3),0,1))</f>
        <v>0</v>
      </c>
      <c r="N2180" s="1" t="n">
        <f aca="false">IF(OR($N$1="",对接源_02物料!$C980="",对接源_02物料!$C980&lt;&gt;$N$1,对接源_02物料!$B980=""),0,IF(OR(N(对接源_02物料!$B980)&lt;$N$2,N(对接源_02物料!$B980)&gt;$N$3),0,1))</f>
        <v>0</v>
      </c>
      <c r="P2180" s="1" t="n">
        <f aca="false">IF(AND($K2180=1,AND(对接源_02物料!$X980="公司筐",N(对接源_02物料!$T980)&lt;&gt;0)),1,0)</f>
        <v>0</v>
      </c>
      <c r="Q2180" s="1" t="n">
        <f aca="false">N(Q2179)+$P2180</f>
        <v>13</v>
      </c>
      <c r="R2180" s="1" t="n">
        <f aca="false">IF(AND($K2180=1,AND(对接源_02物料!$X980="公司筐",N(对接源_02物料!$U980)&lt;&gt;0)),1,0)</f>
        <v>0</v>
      </c>
      <c r="S2180" s="1" t="n">
        <f aca="false">N(S2179)+$R2180</f>
        <v>5</v>
      </c>
      <c r="T2180" s="1" t="n">
        <f aca="false">IF(AND($K2180=1,AND(对接源_02物料!$X980="公司筐",N(对接源_02物料!$V980)&lt;&gt;0)),1,0)</f>
        <v>0</v>
      </c>
      <c r="U2180" s="1" t="n">
        <f aca="false">N(U2179)+$T2180</f>
        <v>28</v>
      </c>
      <c r="V2180" s="1" t="n">
        <f aca="false">IF(AND($L2180=1,AND(对接源_02物料!$X980="自备筐",N(对接源_02物料!$V980)&lt;&gt;0)),1,0)</f>
        <v>0</v>
      </c>
      <c r="W2180" s="1" t="n">
        <f aca="false">N(W2179)+$V2180</f>
        <v>7</v>
      </c>
      <c r="X2180" s="1" t="n">
        <f aca="false">IF(AND($L2180=1,AND(对接源_02物料!$X980="自备筐",N(对接源_02物料!$T980)&lt;&gt;0)),1,0)</f>
        <v>0</v>
      </c>
      <c r="Y2180" s="1" t="n">
        <f aca="false">N(Y2179)+$X2180</f>
        <v>0</v>
      </c>
      <c r="Z2180" s="1" t="n">
        <f aca="false">IF(AND($M2180=1,对接源_02物料!$D980="原料入库"),1,0)</f>
        <v>0</v>
      </c>
      <c r="AA2180" s="1" t="n">
        <f aca="false">N(AA2179)+$Z2180</f>
        <v>30</v>
      </c>
      <c r="AB2180" s="1" t="n">
        <f aca="false">IF(AND($M2180=1,LEFT(对接源_02物料!$D980,4)="原料出库"),1,0)</f>
        <v>0</v>
      </c>
      <c r="AC2180" s="1" t="n">
        <f aca="false">N(AC2179)+$AB2180</f>
        <v>19</v>
      </c>
      <c r="AD2180" s="1" t="n">
        <f aca="false">IF(AND($M2180=1,LEFT(对接源_02物料!$D980,4)="成品出库"),1,0)</f>
        <v>0</v>
      </c>
      <c r="AE2180" s="1" t="n">
        <f aca="false">N(AE2179)+$AD2180</f>
        <v>38</v>
      </c>
      <c r="AF2180" s="1" t="n">
        <f aca="false">IF(AND($N2180=1,AND(LEFT(对接源_02物料!$D980,4)="包装物料",N(对接源_02物料!$K980)&lt;&gt;0)),1,0)</f>
        <v>0</v>
      </c>
      <c r="AG2180" s="1" t="n">
        <f aca="false">N(AG2179)+$AF2180</f>
        <v>6</v>
      </c>
      <c r="AH2180" s="1" t="n">
        <f aca="false">IF(AND($N2180=1,AND(LEFT(对接源_02物料!$D980,3)="周转筐",N(对接源_02物料!$K980)&lt;&gt;0)),1,0)</f>
        <v>0</v>
      </c>
      <c r="AI2180" s="1" t="n">
        <f aca="false">N(AI2179)+$AH2180</f>
        <v>0</v>
      </c>
      <c r="AJ2180" s="1" t="n">
        <v>0</v>
      </c>
      <c r="AK2180" s="1" t="n">
        <f aca="false">N(AK2179)+$AJ2180</f>
        <v>3672</v>
      </c>
    </row>
    <row r="2181" customFormat="false" ht="13.5" hidden="false" customHeight="false" outlineLevel="0" collapsed="false">
      <c r="A2181" s="1" t="str">
        <f aca="false">IF(对接源_02物料!$C981="","",对接源_02物料!$C981)</f>
        <v/>
      </c>
      <c r="B2181" s="1" t="n">
        <f aca="false">IF(A2181="",0,IF(MATCH(A2181,$A$4:$A$2403,0)=ROW()-3,1,0))</f>
        <v>0</v>
      </c>
      <c r="C2181" s="1" t="n">
        <f aca="false">N(C2180)+B2181</f>
        <v>17</v>
      </c>
      <c r="K2181" s="1" t="n">
        <f aca="false">IF(OR($K$1="",对接源_02物料!$C981="",对接源_02物料!$C981&lt;&gt;$K$1,对接源_02物料!$B981=""),0,IF(OR(N(对接源_02物料!$B981)&lt;$K$2,N(对接源_02物料!$B981)&gt;$K$3),0,1))</f>
        <v>0</v>
      </c>
      <c r="L2181" s="1" t="n">
        <f aca="false">IF(OR($L$1="",对接源_02物料!$C981="",对接源_02物料!$C981&lt;&gt;$L$1,对接源_02物料!$B981=""),0,IF(OR(N(对接源_02物料!$B981)&lt;$L$2,N(对接源_02物料!$B981)&gt;$L$3),0,1))</f>
        <v>0</v>
      </c>
      <c r="M2181" s="1" t="n">
        <f aca="false">IF(OR($M$1="",对接源_02物料!$C981="",对接源_02物料!$C981&lt;&gt;$M$1,对接源_02物料!$B981=""),0,IF(OR(N(对接源_02物料!$B981)&lt;$M$2,N(对接源_02物料!$B981)&gt;$M$3),0,1))</f>
        <v>0</v>
      </c>
      <c r="N2181" s="1" t="n">
        <f aca="false">IF(OR($N$1="",对接源_02物料!$C981="",对接源_02物料!$C981&lt;&gt;$N$1,对接源_02物料!$B981=""),0,IF(OR(N(对接源_02物料!$B981)&lt;$N$2,N(对接源_02物料!$B981)&gt;$N$3),0,1))</f>
        <v>0</v>
      </c>
      <c r="P2181" s="1" t="n">
        <f aca="false">IF(AND($K2181=1,AND(对接源_02物料!$X981="公司筐",N(对接源_02物料!$T981)&lt;&gt;0)),1,0)</f>
        <v>0</v>
      </c>
      <c r="Q2181" s="1" t="n">
        <f aca="false">N(Q2180)+$P2181</f>
        <v>13</v>
      </c>
      <c r="R2181" s="1" t="n">
        <f aca="false">IF(AND($K2181=1,AND(对接源_02物料!$X981="公司筐",N(对接源_02物料!$U981)&lt;&gt;0)),1,0)</f>
        <v>0</v>
      </c>
      <c r="S2181" s="1" t="n">
        <f aca="false">N(S2180)+$R2181</f>
        <v>5</v>
      </c>
      <c r="T2181" s="1" t="n">
        <f aca="false">IF(AND($K2181=1,AND(对接源_02物料!$X981="公司筐",N(对接源_02物料!$V981)&lt;&gt;0)),1,0)</f>
        <v>0</v>
      </c>
      <c r="U2181" s="1" t="n">
        <f aca="false">N(U2180)+$T2181</f>
        <v>28</v>
      </c>
      <c r="V2181" s="1" t="n">
        <f aca="false">IF(AND($L2181=1,AND(对接源_02物料!$X981="自备筐",N(对接源_02物料!$V981)&lt;&gt;0)),1,0)</f>
        <v>0</v>
      </c>
      <c r="W2181" s="1" t="n">
        <f aca="false">N(W2180)+$V2181</f>
        <v>7</v>
      </c>
      <c r="X2181" s="1" t="n">
        <f aca="false">IF(AND($L2181=1,AND(对接源_02物料!$X981="自备筐",N(对接源_02物料!$T981)&lt;&gt;0)),1,0)</f>
        <v>0</v>
      </c>
      <c r="Y2181" s="1" t="n">
        <f aca="false">N(Y2180)+$X2181</f>
        <v>0</v>
      </c>
      <c r="Z2181" s="1" t="n">
        <f aca="false">IF(AND($M2181=1,对接源_02物料!$D981="原料入库"),1,0)</f>
        <v>0</v>
      </c>
      <c r="AA2181" s="1" t="n">
        <f aca="false">N(AA2180)+$Z2181</f>
        <v>30</v>
      </c>
      <c r="AB2181" s="1" t="n">
        <f aca="false">IF(AND($M2181=1,LEFT(对接源_02物料!$D981,4)="原料出库"),1,0)</f>
        <v>0</v>
      </c>
      <c r="AC2181" s="1" t="n">
        <f aca="false">N(AC2180)+$AB2181</f>
        <v>19</v>
      </c>
      <c r="AD2181" s="1" t="n">
        <f aca="false">IF(AND($M2181=1,LEFT(对接源_02物料!$D981,4)="成品出库"),1,0)</f>
        <v>0</v>
      </c>
      <c r="AE2181" s="1" t="n">
        <f aca="false">N(AE2180)+$AD2181</f>
        <v>38</v>
      </c>
      <c r="AF2181" s="1" t="n">
        <f aca="false">IF(AND($N2181=1,AND(LEFT(对接源_02物料!$D981,4)="包装物料",N(对接源_02物料!$K981)&lt;&gt;0)),1,0)</f>
        <v>0</v>
      </c>
      <c r="AG2181" s="1" t="n">
        <f aca="false">N(AG2180)+$AF2181</f>
        <v>6</v>
      </c>
      <c r="AH2181" s="1" t="n">
        <f aca="false">IF(AND($N2181=1,AND(LEFT(对接源_02物料!$D981,3)="周转筐",N(对接源_02物料!$K981)&lt;&gt;0)),1,0)</f>
        <v>0</v>
      </c>
      <c r="AI2181" s="1" t="n">
        <f aca="false">N(AI2180)+$AH2181</f>
        <v>0</v>
      </c>
      <c r="AJ2181" s="1" t="n">
        <v>0</v>
      </c>
      <c r="AK2181" s="1" t="n">
        <f aca="false">N(AK2180)+$AJ2181</f>
        <v>3672</v>
      </c>
    </row>
    <row r="2182" customFormat="false" ht="13.5" hidden="false" customHeight="false" outlineLevel="0" collapsed="false">
      <c r="A2182" s="1" t="str">
        <f aca="false">IF(对接源_02物料!$C982="","",对接源_02物料!$C982)</f>
        <v/>
      </c>
      <c r="B2182" s="1" t="n">
        <f aca="false">IF(A2182="",0,IF(MATCH(A2182,$A$4:$A$2403,0)=ROW()-3,1,0))</f>
        <v>0</v>
      </c>
      <c r="C2182" s="1" t="n">
        <f aca="false">N(C2181)+B2182</f>
        <v>17</v>
      </c>
      <c r="K2182" s="1" t="n">
        <f aca="false">IF(OR($K$1="",对接源_02物料!$C982="",对接源_02物料!$C982&lt;&gt;$K$1,对接源_02物料!$B982=""),0,IF(OR(N(对接源_02物料!$B982)&lt;$K$2,N(对接源_02物料!$B982)&gt;$K$3),0,1))</f>
        <v>0</v>
      </c>
      <c r="L2182" s="1" t="n">
        <f aca="false">IF(OR($L$1="",对接源_02物料!$C982="",对接源_02物料!$C982&lt;&gt;$L$1,对接源_02物料!$B982=""),0,IF(OR(N(对接源_02物料!$B982)&lt;$L$2,N(对接源_02物料!$B982)&gt;$L$3),0,1))</f>
        <v>0</v>
      </c>
      <c r="M2182" s="1" t="n">
        <f aca="false">IF(OR($M$1="",对接源_02物料!$C982="",对接源_02物料!$C982&lt;&gt;$M$1,对接源_02物料!$B982=""),0,IF(OR(N(对接源_02物料!$B982)&lt;$M$2,N(对接源_02物料!$B982)&gt;$M$3),0,1))</f>
        <v>0</v>
      </c>
      <c r="N2182" s="1" t="n">
        <f aca="false">IF(OR($N$1="",对接源_02物料!$C982="",对接源_02物料!$C982&lt;&gt;$N$1,对接源_02物料!$B982=""),0,IF(OR(N(对接源_02物料!$B982)&lt;$N$2,N(对接源_02物料!$B982)&gt;$N$3),0,1))</f>
        <v>0</v>
      </c>
      <c r="P2182" s="1" t="n">
        <f aca="false">IF(AND($K2182=1,AND(对接源_02物料!$X982="公司筐",N(对接源_02物料!$T982)&lt;&gt;0)),1,0)</f>
        <v>0</v>
      </c>
      <c r="Q2182" s="1" t="n">
        <f aca="false">N(Q2181)+$P2182</f>
        <v>13</v>
      </c>
      <c r="R2182" s="1" t="n">
        <f aca="false">IF(AND($K2182=1,AND(对接源_02物料!$X982="公司筐",N(对接源_02物料!$U982)&lt;&gt;0)),1,0)</f>
        <v>0</v>
      </c>
      <c r="S2182" s="1" t="n">
        <f aca="false">N(S2181)+$R2182</f>
        <v>5</v>
      </c>
      <c r="T2182" s="1" t="n">
        <f aca="false">IF(AND($K2182=1,AND(对接源_02物料!$X982="公司筐",N(对接源_02物料!$V982)&lt;&gt;0)),1,0)</f>
        <v>0</v>
      </c>
      <c r="U2182" s="1" t="n">
        <f aca="false">N(U2181)+$T2182</f>
        <v>28</v>
      </c>
      <c r="V2182" s="1" t="n">
        <f aca="false">IF(AND($L2182=1,AND(对接源_02物料!$X982="自备筐",N(对接源_02物料!$V982)&lt;&gt;0)),1,0)</f>
        <v>0</v>
      </c>
      <c r="W2182" s="1" t="n">
        <f aca="false">N(W2181)+$V2182</f>
        <v>7</v>
      </c>
      <c r="X2182" s="1" t="n">
        <f aca="false">IF(AND($L2182=1,AND(对接源_02物料!$X982="自备筐",N(对接源_02物料!$T982)&lt;&gt;0)),1,0)</f>
        <v>0</v>
      </c>
      <c r="Y2182" s="1" t="n">
        <f aca="false">N(Y2181)+$X2182</f>
        <v>0</v>
      </c>
      <c r="Z2182" s="1" t="n">
        <f aca="false">IF(AND($M2182=1,对接源_02物料!$D982="原料入库"),1,0)</f>
        <v>0</v>
      </c>
      <c r="AA2182" s="1" t="n">
        <f aca="false">N(AA2181)+$Z2182</f>
        <v>30</v>
      </c>
      <c r="AB2182" s="1" t="n">
        <f aca="false">IF(AND($M2182=1,LEFT(对接源_02物料!$D982,4)="原料出库"),1,0)</f>
        <v>0</v>
      </c>
      <c r="AC2182" s="1" t="n">
        <f aca="false">N(AC2181)+$AB2182</f>
        <v>19</v>
      </c>
      <c r="AD2182" s="1" t="n">
        <f aca="false">IF(AND($M2182=1,LEFT(对接源_02物料!$D982,4)="成品出库"),1,0)</f>
        <v>0</v>
      </c>
      <c r="AE2182" s="1" t="n">
        <f aca="false">N(AE2181)+$AD2182</f>
        <v>38</v>
      </c>
      <c r="AF2182" s="1" t="n">
        <f aca="false">IF(AND($N2182=1,AND(LEFT(对接源_02物料!$D982,4)="包装物料",N(对接源_02物料!$K982)&lt;&gt;0)),1,0)</f>
        <v>0</v>
      </c>
      <c r="AG2182" s="1" t="n">
        <f aca="false">N(AG2181)+$AF2182</f>
        <v>6</v>
      </c>
      <c r="AH2182" s="1" t="n">
        <f aca="false">IF(AND($N2182=1,AND(LEFT(对接源_02物料!$D982,3)="周转筐",N(对接源_02物料!$K982)&lt;&gt;0)),1,0)</f>
        <v>0</v>
      </c>
      <c r="AI2182" s="1" t="n">
        <f aca="false">N(AI2181)+$AH2182</f>
        <v>0</v>
      </c>
      <c r="AJ2182" s="1" t="n">
        <v>0</v>
      </c>
      <c r="AK2182" s="1" t="n">
        <f aca="false">N(AK2181)+$AJ2182</f>
        <v>3672</v>
      </c>
    </row>
    <row r="2183" customFormat="false" ht="13.5" hidden="false" customHeight="false" outlineLevel="0" collapsed="false">
      <c r="A2183" s="1" t="str">
        <f aca="false">IF(对接源_02物料!$C983="","",对接源_02物料!$C983)</f>
        <v/>
      </c>
      <c r="B2183" s="1" t="n">
        <f aca="false">IF(A2183="",0,IF(MATCH(A2183,$A$4:$A$2403,0)=ROW()-3,1,0))</f>
        <v>0</v>
      </c>
      <c r="C2183" s="1" t="n">
        <f aca="false">N(C2182)+B2183</f>
        <v>17</v>
      </c>
      <c r="K2183" s="1" t="n">
        <f aca="false">IF(OR($K$1="",对接源_02物料!$C983="",对接源_02物料!$C983&lt;&gt;$K$1,对接源_02物料!$B983=""),0,IF(OR(N(对接源_02物料!$B983)&lt;$K$2,N(对接源_02物料!$B983)&gt;$K$3),0,1))</f>
        <v>0</v>
      </c>
      <c r="L2183" s="1" t="n">
        <f aca="false">IF(OR($L$1="",对接源_02物料!$C983="",对接源_02物料!$C983&lt;&gt;$L$1,对接源_02物料!$B983=""),0,IF(OR(N(对接源_02物料!$B983)&lt;$L$2,N(对接源_02物料!$B983)&gt;$L$3),0,1))</f>
        <v>0</v>
      </c>
      <c r="M2183" s="1" t="n">
        <f aca="false">IF(OR($M$1="",对接源_02物料!$C983="",对接源_02物料!$C983&lt;&gt;$M$1,对接源_02物料!$B983=""),0,IF(OR(N(对接源_02物料!$B983)&lt;$M$2,N(对接源_02物料!$B983)&gt;$M$3),0,1))</f>
        <v>0</v>
      </c>
      <c r="N2183" s="1" t="n">
        <f aca="false">IF(OR($N$1="",对接源_02物料!$C983="",对接源_02物料!$C983&lt;&gt;$N$1,对接源_02物料!$B983=""),0,IF(OR(N(对接源_02物料!$B983)&lt;$N$2,N(对接源_02物料!$B983)&gt;$N$3),0,1))</f>
        <v>0</v>
      </c>
      <c r="P2183" s="1" t="n">
        <f aca="false">IF(AND($K2183=1,AND(对接源_02物料!$X983="公司筐",N(对接源_02物料!$T983)&lt;&gt;0)),1,0)</f>
        <v>0</v>
      </c>
      <c r="Q2183" s="1" t="n">
        <f aca="false">N(Q2182)+$P2183</f>
        <v>13</v>
      </c>
      <c r="R2183" s="1" t="n">
        <f aca="false">IF(AND($K2183=1,AND(对接源_02物料!$X983="公司筐",N(对接源_02物料!$U983)&lt;&gt;0)),1,0)</f>
        <v>0</v>
      </c>
      <c r="S2183" s="1" t="n">
        <f aca="false">N(S2182)+$R2183</f>
        <v>5</v>
      </c>
      <c r="T2183" s="1" t="n">
        <f aca="false">IF(AND($K2183=1,AND(对接源_02物料!$X983="公司筐",N(对接源_02物料!$V983)&lt;&gt;0)),1,0)</f>
        <v>0</v>
      </c>
      <c r="U2183" s="1" t="n">
        <f aca="false">N(U2182)+$T2183</f>
        <v>28</v>
      </c>
      <c r="V2183" s="1" t="n">
        <f aca="false">IF(AND($L2183=1,AND(对接源_02物料!$X983="自备筐",N(对接源_02物料!$V983)&lt;&gt;0)),1,0)</f>
        <v>0</v>
      </c>
      <c r="W2183" s="1" t="n">
        <f aca="false">N(W2182)+$V2183</f>
        <v>7</v>
      </c>
      <c r="X2183" s="1" t="n">
        <f aca="false">IF(AND($L2183=1,AND(对接源_02物料!$X983="自备筐",N(对接源_02物料!$T983)&lt;&gt;0)),1,0)</f>
        <v>0</v>
      </c>
      <c r="Y2183" s="1" t="n">
        <f aca="false">N(Y2182)+$X2183</f>
        <v>0</v>
      </c>
      <c r="Z2183" s="1" t="n">
        <f aca="false">IF(AND($M2183=1,对接源_02物料!$D983="原料入库"),1,0)</f>
        <v>0</v>
      </c>
      <c r="AA2183" s="1" t="n">
        <f aca="false">N(AA2182)+$Z2183</f>
        <v>30</v>
      </c>
      <c r="AB2183" s="1" t="n">
        <f aca="false">IF(AND($M2183=1,LEFT(对接源_02物料!$D983,4)="原料出库"),1,0)</f>
        <v>0</v>
      </c>
      <c r="AC2183" s="1" t="n">
        <f aca="false">N(AC2182)+$AB2183</f>
        <v>19</v>
      </c>
      <c r="AD2183" s="1" t="n">
        <f aca="false">IF(AND($M2183=1,LEFT(对接源_02物料!$D983,4)="成品出库"),1,0)</f>
        <v>0</v>
      </c>
      <c r="AE2183" s="1" t="n">
        <f aca="false">N(AE2182)+$AD2183</f>
        <v>38</v>
      </c>
      <c r="AF2183" s="1" t="n">
        <f aca="false">IF(AND($N2183=1,AND(LEFT(对接源_02物料!$D983,4)="包装物料",N(对接源_02物料!$K983)&lt;&gt;0)),1,0)</f>
        <v>0</v>
      </c>
      <c r="AG2183" s="1" t="n">
        <f aca="false">N(AG2182)+$AF2183</f>
        <v>6</v>
      </c>
      <c r="AH2183" s="1" t="n">
        <f aca="false">IF(AND($N2183=1,AND(LEFT(对接源_02物料!$D983,3)="周转筐",N(对接源_02物料!$K983)&lt;&gt;0)),1,0)</f>
        <v>0</v>
      </c>
      <c r="AI2183" s="1" t="n">
        <f aca="false">N(AI2182)+$AH2183</f>
        <v>0</v>
      </c>
      <c r="AJ2183" s="1" t="n">
        <v>0</v>
      </c>
      <c r="AK2183" s="1" t="n">
        <f aca="false">N(AK2182)+$AJ2183</f>
        <v>3672</v>
      </c>
    </row>
    <row r="2184" customFormat="false" ht="13.5" hidden="false" customHeight="false" outlineLevel="0" collapsed="false">
      <c r="A2184" s="1" t="str">
        <f aca="false">IF(对接源_02物料!$C984="","",对接源_02物料!$C984)</f>
        <v/>
      </c>
      <c r="B2184" s="1" t="n">
        <f aca="false">IF(A2184="",0,IF(MATCH(A2184,$A$4:$A$2403,0)=ROW()-3,1,0))</f>
        <v>0</v>
      </c>
      <c r="C2184" s="1" t="n">
        <f aca="false">N(C2183)+B2184</f>
        <v>17</v>
      </c>
      <c r="K2184" s="1" t="n">
        <f aca="false">IF(OR($K$1="",对接源_02物料!$C984="",对接源_02物料!$C984&lt;&gt;$K$1,对接源_02物料!$B984=""),0,IF(OR(N(对接源_02物料!$B984)&lt;$K$2,N(对接源_02物料!$B984)&gt;$K$3),0,1))</f>
        <v>0</v>
      </c>
      <c r="L2184" s="1" t="n">
        <f aca="false">IF(OR($L$1="",对接源_02物料!$C984="",对接源_02物料!$C984&lt;&gt;$L$1,对接源_02物料!$B984=""),0,IF(OR(N(对接源_02物料!$B984)&lt;$L$2,N(对接源_02物料!$B984)&gt;$L$3),0,1))</f>
        <v>0</v>
      </c>
      <c r="M2184" s="1" t="n">
        <f aca="false">IF(OR($M$1="",对接源_02物料!$C984="",对接源_02物料!$C984&lt;&gt;$M$1,对接源_02物料!$B984=""),0,IF(OR(N(对接源_02物料!$B984)&lt;$M$2,N(对接源_02物料!$B984)&gt;$M$3),0,1))</f>
        <v>0</v>
      </c>
      <c r="N2184" s="1" t="n">
        <f aca="false">IF(OR($N$1="",对接源_02物料!$C984="",对接源_02物料!$C984&lt;&gt;$N$1,对接源_02物料!$B984=""),0,IF(OR(N(对接源_02物料!$B984)&lt;$N$2,N(对接源_02物料!$B984)&gt;$N$3),0,1))</f>
        <v>0</v>
      </c>
      <c r="P2184" s="1" t="n">
        <f aca="false">IF(AND($K2184=1,AND(对接源_02物料!$X984="公司筐",N(对接源_02物料!$T984)&lt;&gt;0)),1,0)</f>
        <v>0</v>
      </c>
      <c r="Q2184" s="1" t="n">
        <f aca="false">N(Q2183)+$P2184</f>
        <v>13</v>
      </c>
      <c r="R2184" s="1" t="n">
        <f aca="false">IF(AND($K2184=1,AND(对接源_02物料!$X984="公司筐",N(对接源_02物料!$U984)&lt;&gt;0)),1,0)</f>
        <v>0</v>
      </c>
      <c r="S2184" s="1" t="n">
        <f aca="false">N(S2183)+$R2184</f>
        <v>5</v>
      </c>
      <c r="T2184" s="1" t="n">
        <f aca="false">IF(AND($K2184=1,AND(对接源_02物料!$X984="公司筐",N(对接源_02物料!$V984)&lt;&gt;0)),1,0)</f>
        <v>0</v>
      </c>
      <c r="U2184" s="1" t="n">
        <f aca="false">N(U2183)+$T2184</f>
        <v>28</v>
      </c>
      <c r="V2184" s="1" t="n">
        <f aca="false">IF(AND($L2184=1,AND(对接源_02物料!$X984="自备筐",N(对接源_02物料!$V984)&lt;&gt;0)),1,0)</f>
        <v>0</v>
      </c>
      <c r="W2184" s="1" t="n">
        <f aca="false">N(W2183)+$V2184</f>
        <v>7</v>
      </c>
      <c r="X2184" s="1" t="n">
        <f aca="false">IF(AND($L2184=1,AND(对接源_02物料!$X984="自备筐",N(对接源_02物料!$T984)&lt;&gt;0)),1,0)</f>
        <v>0</v>
      </c>
      <c r="Y2184" s="1" t="n">
        <f aca="false">N(Y2183)+$X2184</f>
        <v>0</v>
      </c>
      <c r="Z2184" s="1" t="n">
        <f aca="false">IF(AND($M2184=1,对接源_02物料!$D984="原料入库"),1,0)</f>
        <v>0</v>
      </c>
      <c r="AA2184" s="1" t="n">
        <f aca="false">N(AA2183)+$Z2184</f>
        <v>30</v>
      </c>
      <c r="AB2184" s="1" t="n">
        <f aca="false">IF(AND($M2184=1,LEFT(对接源_02物料!$D984,4)="原料出库"),1,0)</f>
        <v>0</v>
      </c>
      <c r="AC2184" s="1" t="n">
        <f aca="false">N(AC2183)+$AB2184</f>
        <v>19</v>
      </c>
      <c r="AD2184" s="1" t="n">
        <f aca="false">IF(AND($M2184=1,LEFT(对接源_02物料!$D984,4)="成品出库"),1,0)</f>
        <v>0</v>
      </c>
      <c r="AE2184" s="1" t="n">
        <f aca="false">N(AE2183)+$AD2184</f>
        <v>38</v>
      </c>
      <c r="AF2184" s="1" t="n">
        <f aca="false">IF(AND($N2184=1,AND(LEFT(对接源_02物料!$D984,4)="包装物料",N(对接源_02物料!$K984)&lt;&gt;0)),1,0)</f>
        <v>0</v>
      </c>
      <c r="AG2184" s="1" t="n">
        <f aca="false">N(AG2183)+$AF2184</f>
        <v>6</v>
      </c>
      <c r="AH2184" s="1" t="n">
        <f aca="false">IF(AND($N2184=1,AND(LEFT(对接源_02物料!$D984,3)="周转筐",N(对接源_02物料!$K984)&lt;&gt;0)),1,0)</f>
        <v>0</v>
      </c>
      <c r="AI2184" s="1" t="n">
        <f aca="false">N(AI2183)+$AH2184</f>
        <v>0</v>
      </c>
      <c r="AJ2184" s="1" t="n">
        <v>0</v>
      </c>
      <c r="AK2184" s="1" t="n">
        <f aca="false">N(AK2183)+$AJ2184</f>
        <v>3672</v>
      </c>
    </row>
    <row r="2185" customFormat="false" ht="13.5" hidden="false" customHeight="false" outlineLevel="0" collapsed="false">
      <c r="A2185" s="1" t="str">
        <f aca="false">IF(对接源_02物料!$C985="","",对接源_02物料!$C985)</f>
        <v/>
      </c>
      <c r="B2185" s="1" t="n">
        <f aca="false">IF(A2185="",0,IF(MATCH(A2185,$A$4:$A$2403,0)=ROW()-3,1,0))</f>
        <v>0</v>
      </c>
      <c r="C2185" s="1" t="n">
        <f aca="false">N(C2184)+B2185</f>
        <v>17</v>
      </c>
      <c r="K2185" s="1" t="n">
        <f aca="false">IF(OR($K$1="",对接源_02物料!$C985="",对接源_02物料!$C985&lt;&gt;$K$1,对接源_02物料!$B985=""),0,IF(OR(N(对接源_02物料!$B985)&lt;$K$2,N(对接源_02物料!$B985)&gt;$K$3),0,1))</f>
        <v>0</v>
      </c>
      <c r="L2185" s="1" t="n">
        <f aca="false">IF(OR($L$1="",对接源_02物料!$C985="",对接源_02物料!$C985&lt;&gt;$L$1,对接源_02物料!$B985=""),0,IF(OR(N(对接源_02物料!$B985)&lt;$L$2,N(对接源_02物料!$B985)&gt;$L$3),0,1))</f>
        <v>0</v>
      </c>
      <c r="M2185" s="1" t="n">
        <f aca="false">IF(OR($M$1="",对接源_02物料!$C985="",对接源_02物料!$C985&lt;&gt;$M$1,对接源_02物料!$B985=""),0,IF(OR(N(对接源_02物料!$B985)&lt;$M$2,N(对接源_02物料!$B985)&gt;$M$3),0,1))</f>
        <v>0</v>
      </c>
      <c r="N2185" s="1" t="n">
        <f aca="false">IF(OR($N$1="",对接源_02物料!$C985="",对接源_02物料!$C985&lt;&gt;$N$1,对接源_02物料!$B985=""),0,IF(OR(N(对接源_02物料!$B985)&lt;$N$2,N(对接源_02物料!$B985)&gt;$N$3),0,1))</f>
        <v>0</v>
      </c>
      <c r="P2185" s="1" t="n">
        <f aca="false">IF(AND($K2185=1,AND(对接源_02物料!$X985="公司筐",N(对接源_02物料!$T985)&lt;&gt;0)),1,0)</f>
        <v>0</v>
      </c>
      <c r="Q2185" s="1" t="n">
        <f aca="false">N(Q2184)+$P2185</f>
        <v>13</v>
      </c>
      <c r="R2185" s="1" t="n">
        <f aca="false">IF(AND($K2185=1,AND(对接源_02物料!$X985="公司筐",N(对接源_02物料!$U985)&lt;&gt;0)),1,0)</f>
        <v>0</v>
      </c>
      <c r="S2185" s="1" t="n">
        <f aca="false">N(S2184)+$R2185</f>
        <v>5</v>
      </c>
      <c r="T2185" s="1" t="n">
        <f aca="false">IF(AND($K2185=1,AND(对接源_02物料!$X985="公司筐",N(对接源_02物料!$V985)&lt;&gt;0)),1,0)</f>
        <v>0</v>
      </c>
      <c r="U2185" s="1" t="n">
        <f aca="false">N(U2184)+$T2185</f>
        <v>28</v>
      </c>
      <c r="V2185" s="1" t="n">
        <f aca="false">IF(AND($L2185=1,AND(对接源_02物料!$X985="自备筐",N(对接源_02物料!$V985)&lt;&gt;0)),1,0)</f>
        <v>0</v>
      </c>
      <c r="W2185" s="1" t="n">
        <f aca="false">N(W2184)+$V2185</f>
        <v>7</v>
      </c>
      <c r="X2185" s="1" t="n">
        <f aca="false">IF(AND($L2185=1,AND(对接源_02物料!$X985="自备筐",N(对接源_02物料!$T985)&lt;&gt;0)),1,0)</f>
        <v>0</v>
      </c>
      <c r="Y2185" s="1" t="n">
        <f aca="false">N(Y2184)+$X2185</f>
        <v>0</v>
      </c>
      <c r="Z2185" s="1" t="n">
        <f aca="false">IF(AND($M2185=1,对接源_02物料!$D985="原料入库"),1,0)</f>
        <v>0</v>
      </c>
      <c r="AA2185" s="1" t="n">
        <f aca="false">N(AA2184)+$Z2185</f>
        <v>30</v>
      </c>
      <c r="AB2185" s="1" t="n">
        <f aca="false">IF(AND($M2185=1,LEFT(对接源_02物料!$D985,4)="原料出库"),1,0)</f>
        <v>0</v>
      </c>
      <c r="AC2185" s="1" t="n">
        <f aca="false">N(AC2184)+$AB2185</f>
        <v>19</v>
      </c>
      <c r="AD2185" s="1" t="n">
        <f aca="false">IF(AND($M2185=1,LEFT(对接源_02物料!$D985,4)="成品出库"),1,0)</f>
        <v>0</v>
      </c>
      <c r="AE2185" s="1" t="n">
        <f aca="false">N(AE2184)+$AD2185</f>
        <v>38</v>
      </c>
      <c r="AF2185" s="1" t="n">
        <f aca="false">IF(AND($N2185=1,AND(LEFT(对接源_02物料!$D985,4)="包装物料",N(对接源_02物料!$K985)&lt;&gt;0)),1,0)</f>
        <v>0</v>
      </c>
      <c r="AG2185" s="1" t="n">
        <f aca="false">N(AG2184)+$AF2185</f>
        <v>6</v>
      </c>
      <c r="AH2185" s="1" t="n">
        <f aca="false">IF(AND($N2185=1,AND(LEFT(对接源_02物料!$D985,3)="周转筐",N(对接源_02物料!$K985)&lt;&gt;0)),1,0)</f>
        <v>0</v>
      </c>
      <c r="AI2185" s="1" t="n">
        <f aca="false">N(AI2184)+$AH2185</f>
        <v>0</v>
      </c>
      <c r="AJ2185" s="1" t="n">
        <v>0</v>
      </c>
      <c r="AK2185" s="1" t="n">
        <f aca="false">N(AK2184)+$AJ2185</f>
        <v>3672</v>
      </c>
    </row>
    <row r="2186" customFormat="false" ht="13.5" hidden="false" customHeight="false" outlineLevel="0" collapsed="false">
      <c r="A2186" s="1" t="str">
        <f aca="false">IF(对接源_02物料!$C986="","",对接源_02物料!$C986)</f>
        <v/>
      </c>
      <c r="B2186" s="1" t="n">
        <f aca="false">IF(A2186="",0,IF(MATCH(A2186,$A$4:$A$2403,0)=ROW()-3,1,0))</f>
        <v>0</v>
      </c>
      <c r="C2186" s="1" t="n">
        <f aca="false">N(C2185)+B2186</f>
        <v>17</v>
      </c>
      <c r="K2186" s="1" t="n">
        <f aca="false">IF(OR($K$1="",对接源_02物料!$C986="",对接源_02物料!$C986&lt;&gt;$K$1,对接源_02物料!$B986=""),0,IF(OR(N(对接源_02物料!$B986)&lt;$K$2,N(对接源_02物料!$B986)&gt;$K$3),0,1))</f>
        <v>0</v>
      </c>
      <c r="L2186" s="1" t="n">
        <f aca="false">IF(OR($L$1="",对接源_02物料!$C986="",对接源_02物料!$C986&lt;&gt;$L$1,对接源_02物料!$B986=""),0,IF(OR(N(对接源_02物料!$B986)&lt;$L$2,N(对接源_02物料!$B986)&gt;$L$3),0,1))</f>
        <v>0</v>
      </c>
      <c r="M2186" s="1" t="n">
        <f aca="false">IF(OR($M$1="",对接源_02物料!$C986="",对接源_02物料!$C986&lt;&gt;$M$1,对接源_02物料!$B986=""),0,IF(OR(N(对接源_02物料!$B986)&lt;$M$2,N(对接源_02物料!$B986)&gt;$M$3),0,1))</f>
        <v>0</v>
      </c>
      <c r="N2186" s="1" t="n">
        <f aca="false">IF(OR($N$1="",对接源_02物料!$C986="",对接源_02物料!$C986&lt;&gt;$N$1,对接源_02物料!$B986=""),0,IF(OR(N(对接源_02物料!$B986)&lt;$N$2,N(对接源_02物料!$B986)&gt;$N$3),0,1))</f>
        <v>0</v>
      </c>
      <c r="P2186" s="1" t="n">
        <f aca="false">IF(AND($K2186=1,AND(对接源_02物料!$X986="公司筐",N(对接源_02物料!$T986)&lt;&gt;0)),1,0)</f>
        <v>0</v>
      </c>
      <c r="Q2186" s="1" t="n">
        <f aca="false">N(Q2185)+$P2186</f>
        <v>13</v>
      </c>
      <c r="R2186" s="1" t="n">
        <f aca="false">IF(AND($K2186=1,AND(对接源_02物料!$X986="公司筐",N(对接源_02物料!$U986)&lt;&gt;0)),1,0)</f>
        <v>0</v>
      </c>
      <c r="S2186" s="1" t="n">
        <f aca="false">N(S2185)+$R2186</f>
        <v>5</v>
      </c>
      <c r="T2186" s="1" t="n">
        <f aca="false">IF(AND($K2186=1,AND(对接源_02物料!$X986="公司筐",N(对接源_02物料!$V986)&lt;&gt;0)),1,0)</f>
        <v>0</v>
      </c>
      <c r="U2186" s="1" t="n">
        <f aca="false">N(U2185)+$T2186</f>
        <v>28</v>
      </c>
      <c r="V2186" s="1" t="n">
        <f aca="false">IF(AND($L2186=1,AND(对接源_02物料!$X986="自备筐",N(对接源_02物料!$V986)&lt;&gt;0)),1,0)</f>
        <v>0</v>
      </c>
      <c r="W2186" s="1" t="n">
        <f aca="false">N(W2185)+$V2186</f>
        <v>7</v>
      </c>
      <c r="X2186" s="1" t="n">
        <f aca="false">IF(AND($L2186=1,AND(对接源_02物料!$X986="自备筐",N(对接源_02物料!$T986)&lt;&gt;0)),1,0)</f>
        <v>0</v>
      </c>
      <c r="Y2186" s="1" t="n">
        <f aca="false">N(Y2185)+$X2186</f>
        <v>0</v>
      </c>
      <c r="Z2186" s="1" t="n">
        <f aca="false">IF(AND($M2186=1,对接源_02物料!$D986="原料入库"),1,0)</f>
        <v>0</v>
      </c>
      <c r="AA2186" s="1" t="n">
        <f aca="false">N(AA2185)+$Z2186</f>
        <v>30</v>
      </c>
      <c r="AB2186" s="1" t="n">
        <f aca="false">IF(AND($M2186=1,LEFT(对接源_02物料!$D986,4)="原料出库"),1,0)</f>
        <v>0</v>
      </c>
      <c r="AC2186" s="1" t="n">
        <f aca="false">N(AC2185)+$AB2186</f>
        <v>19</v>
      </c>
      <c r="AD2186" s="1" t="n">
        <f aca="false">IF(AND($M2186=1,LEFT(对接源_02物料!$D986,4)="成品出库"),1,0)</f>
        <v>0</v>
      </c>
      <c r="AE2186" s="1" t="n">
        <f aca="false">N(AE2185)+$AD2186</f>
        <v>38</v>
      </c>
      <c r="AF2186" s="1" t="n">
        <f aca="false">IF(AND($N2186=1,AND(LEFT(对接源_02物料!$D986,4)="包装物料",N(对接源_02物料!$K986)&lt;&gt;0)),1,0)</f>
        <v>0</v>
      </c>
      <c r="AG2186" s="1" t="n">
        <f aca="false">N(AG2185)+$AF2186</f>
        <v>6</v>
      </c>
      <c r="AH2186" s="1" t="n">
        <f aca="false">IF(AND($N2186=1,AND(LEFT(对接源_02物料!$D986,3)="周转筐",N(对接源_02物料!$K986)&lt;&gt;0)),1,0)</f>
        <v>0</v>
      </c>
      <c r="AI2186" s="1" t="n">
        <f aca="false">N(AI2185)+$AH2186</f>
        <v>0</v>
      </c>
      <c r="AJ2186" s="1" t="n">
        <v>0</v>
      </c>
      <c r="AK2186" s="1" t="n">
        <f aca="false">N(AK2185)+$AJ2186</f>
        <v>3672</v>
      </c>
    </row>
    <row r="2187" customFormat="false" ht="13.5" hidden="false" customHeight="false" outlineLevel="0" collapsed="false">
      <c r="A2187" s="1" t="str">
        <f aca="false">IF(对接源_02物料!$C987="","",对接源_02物料!$C987)</f>
        <v/>
      </c>
      <c r="B2187" s="1" t="n">
        <f aca="false">IF(A2187="",0,IF(MATCH(A2187,$A$4:$A$2403,0)=ROW()-3,1,0))</f>
        <v>0</v>
      </c>
      <c r="C2187" s="1" t="n">
        <f aca="false">N(C2186)+B2187</f>
        <v>17</v>
      </c>
      <c r="K2187" s="1" t="n">
        <f aca="false">IF(OR($K$1="",对接源_02物料!$C987="",对接源_02物料!$C987&lt;&gt;$K$1,对接源_02物料!$B987=""),0,IF(OR(N(对接源_02物料!$B987)&lt;$K$2,N(对接源_02物料!$B987)&gt;$K$3),0,1))</f>
        <v>0</v>
      </c>
      <c r="L2187" s="1" t="n">
        <f aca="false">IF(OR($L$1="",对接源_02物料!$C987="",对接源_02物料!$C987&lt;&gt;$L$1,对接源_02物料!$B987=""),0,IF(OR(N(对接源_02物料!$B987)&lt;$L$2,N(对接源_02物料!$B987)&gt;$L$3),0,1))</f>
        <v>0</v>
      </c>
      <c r="M2187" s="1" t="n">
        <f aca="false">IF(OR($M$1="",对接源_02物料!$C987="",对接源_02物料!$C987&lt;&gt;$M$1,对接源_02物料!$B987=""),0,IF(OR(N(对接源_02物料!$B987)&lt;$M$2,N(对接源_02物料!$B987)&gt;$M$3),0,1))</f>
        <v>0</v>
      </c>
      <c r="N2187" s="1" t="n">
        <f aca="false">IF(OR($N$1="",对接源_02物料!$C987="",对接源_02物料!$C987&lt;&gt;$N$1,对接源_02物料!$B987=""),0,IF(OR(N(对接源_02物料!$B987)&lt;$N$2,N(对接源_02物料!$B987)&gt;$N$3),0,1))</f>
        <v>0</v>
      </c>
      <c r="P2187" s="1" t="n">
        <f aca="false">IF(AND($K2187=1,AND(对接源_02物料!$X987="公司筐",N(对接源_02物料!$T987)&lt;&gt;0)),1,0)</f>
        <v>0</v>
      </c>
      <c r="Q2187" s="1" t="n">
        <f aca="false">N(Q2186)+$P2187</f>
        <v>13</v>
      </c>
      <c r="R2187" s="1" t="n">
        <f aca="false">IF(AND($K2187=1,AND(对接源_02物料!$X987="公司筐",N(对接源_02物料!$U987)&lt;&gt;0)),1,0)</f>
        <v>0</v>
      </c>
      <c r="S2187" s="1" t="n">
        <f aca="false">N(S2186)+$R2187</f>
        <v>5</v>
      </c>
      <c r="T2187" s="1" t="n">
        <f aca="false">IF(AND($K2187=1,AND(对接源_02物料!$X987="公司筐",N(对接源_02物料!$V987)&lt;&gt;0)),1,0)</f>
        <v>0</v>
      </c>
      <c r="U2187" s="1" t="n">
        <f aca="false">N(U2186)+$T2187</f>
        <v>28</v>
      </c>
      <c r="V2187" s="1" t="n">
        <f aca="false">IF(AND($L2187=1,AND(对接源_02物料!$X987="自备筐",N(对接源_02物料!$V987)&lt;&gt;0)),1,0)</f>
        <v>0</v>
      </c>
      <c r="W2187" s="1" t="n">
        <f aca="false">N(W2186)+$V2187</f>
        <v>7</v>
      </c>
      <c r="X2187" s="1" t="n">
        <f aca="false">IF(AND($L2187=1,AND(对接源_02物料!$X987="自备筐",N(对接源_02物料!$T987)&lt;&gt;0)),1,0)</f>
        <v>0</v>
      </c>
      <c r="Y2187" s="1" t="n">
        <f aca="false">N(Y2186)+$X2187</f>
        <v>0</v>
      </c>
      <c r="Z2187" s="1" t="n">
        <f aca="false">IF(AND($M2187=1,对接源_02物料!$D987="原料入库"),1,0)</f>
        <v>0</v>
      </c>
      <c r="AA2187" s="1" t="n">
        <f aca="false">N(AA2186)+$Z2187</f>
        <v>30</v>
      </c>
      <c r="AB2187" s="1" t="n">
        <f aca="false">IF(AND($M2187=1,LEFT(对接源_02物料!$D987,4)="原料出库"),1,0)</f>
        <v>0</v>
      </c>
      <c r="AC2187" s="1" t="n">
        <f aca="false">N(AC2186)+$AB2187</f>
        <v>19</v>
      </c>
      <c r="AD2187" s="1" t="n">
        <f aca="false">IF(AND($M2187=1,LEFT(对接源_02物料!$D987,4)="成品出库"),1,0)</f>
        <v>0</v>
      </c>
      <c r="AE2187" s="1" t="n">
        <f aca="false">N(AE2186)+$AD2187</f>
        <v>38</v>
      </c>
      <c r="AF2187" s="1" t="n">
        <f aca="false">IF(AND($N2187=1,AND(LEFT(对接源_02物料!$D987,4)="包装物料",N(对接源_02物料!$K987)&lt;&gt;0)),1,0)</f>
        <v>0</v>
      </c>
      <c r="AG2187" s="1" t="n">
        <f aca="false">N(AG2186)+$AF2187</f>
        <v>6</v>
      </c>
      <c r="AH2187" s="1" t="n">
        <f aca="false">IF(AND($N2187=1,AND(LEFT(对接源_02物料!$D987,3)="周转筐",N(对接源_02物料!$K987)&lt;&gt;0)),1,0)</f>
        <v>0</v>
      </c>
      <c r="AI2187" s="1" t="n">
        <f aca="false">N(AI2186)+$AH2187</f>
        <v>0</v>
      </c>
      <c r="AJ2187" s="1" t="n">
        <v>0</v>
      </c>
      <c r="AK2187" s="1" t="n">
        <f aca="false">N(AK2186)+$AJ2187</f>
        <v>3672</v>
      </c>
    </row>
    <row r="2188" customFormat="false" ht="13.5" hidden="false" customHeight="false" outlineLevel="0" collapsed="false">
      <c r="A2188" s="1" t="str">
        <f aca="false">IF(对接源_02物料!$C988="","",对接源_02物料!$C988)</f>
        <v/>
      </c>
      <c r="B2188" s="1" t="n">
        <f aca="false">IF(A2188="",0,IF(MATCH(A2188,$A$4:$A$2403,0)=ROW()-3,1,0))</f>
        <v>0</v>
      </c>
      <c r="C2188" s="1" t="n">
        <f aca="false">N(C2187)+B2188</f>
        <v>17</v>
      </c>
      <c r="K2188" s="1" t="n">
        <f aca="false">IF(OR($K$1="",对接源_02物料!$C988="",对接源_02物料!$C988&lt;&gt;$K$1,对接源_02物料!$B988=""),0,IF(OR(N(对接源_02物料!$B988)&lt;$K$2,N(对接源_02物料!$B988)&gt;$K$3),0,1))</f>
        <v>0</v>
      </c>
      <c r="L2188" s="1" t="n">
        <f aca="false">IF(OR($L$1="",对接源_02物料!$C988="",对接源_02物料!$C988&lt;&gt;$L$1,对接源_02物料!$B988=""),0,IF(OR(N(对接源_02物料!$B988)&lt;$L$2,N(对接源_02物料!$B988)&gt;$L$3),0,1))</f>
        <v>0</v>
      </c>
      <c r="M2188" s="1" t="n">
        <f aca="false">IF(OR($M$1="",对接源_02物料!$C988="",对接源_02物料!$C988&lt;&gt;$M$1,对接源_02物料!$B988=""),0,IF(OR(N(对接源_02物料!$B988)&lt;$M$2,N(对接源_02物料!$B988)&gt;$M$3),0,1))</f>
        <v>0</v>
      </c>
      <c r="N2188" s="1" t="n">
        <f aca="false">IF(OR($N$1="",对接源_02物料!$C988="",对接源_02物料!$C988&lt;&gt;$N$1,对接源_02物料!$B988=""),0,IF(OR(N(对接源_02物料!$B988)&lt;$N$2,N(对接源_02物料!$B988)&gt;$N$3),0,1))</f>
        <v>0</v>
      </c>
      <c r="P2188" s="1" t="n">
        <f aca="false">IF(AND($K2188=1,AND(对接源_02物料!$X988="公司筐",N(对接源_02物料!$T988)&lt;&gt;0)),1,0)</f>
        <v>0</v>
      </c>
      <c r="Q2188" s="1" t="n">
        <f aca="false">N(Q2187)+$P2188</f>
        <v>13</v>
      </c>
      <c r="R2188" s="1" t="n">
        <f aca="false">IF(AND($K2188=1,AND(对接源_02物料!$X988="公司筐",N(对接源_02物料!$U988)&lt;&gt;0)),1,0)</f>
        <v>0</v>
      </c>
      <c r="S2188" s="1" t="n">
        <f aca="false">N(S2187)+$R2188</f>
        <v>5</v>
      </c>
      <c r="T2188" s="1" t="n">
        <f aca="false">IF(AND($K2188=1,AND(对接源_02物料!$X988="公司筐",N(对接源_02物料!$V988)&lt;&gt;0)),1,0)</f>
        <v>0</v>
      </c>
      <c r="U2188" s="1" t="n">
        <f aca="false">N(U2187)+$T2188</f>
        <v>28</v>
      </c>
      <c r="V2188" s="1" t="n">
        <f aca="false">IF(AND($L2188=1,AND(对接源_02物料!$X988="自备筐",N(对接源_02物料!$V988)&lt;&gt;0)),1,0)</f>
        <v>0</v>
      </c>
      <c r="W2188" s="1" t="n">
        <f aca="false">N(W2187)+$V2188</f>
        <v>7</v>
      </c>
      <c r="X2188" s="1" t="n">
        <f aca="false">IF(AND($L2188=1,AND(对接源_02物料!$X988="自备筐",N(对接源_02物料!$T988)&lt;&gt;0)),1,0)</f>
        <v>0</v>
      </c>
      <c r="Y2188" s="1" t="n">
        <f aca="false">N(Y2187)+$X2188</f>
        <v>0</v>
      </c>
      <c r="Z2188" s="1" t="n">
        <f aca="false">IF(AND($M2188=1,对接源_02物料!$D988="原料入库"),1,0)</f>
        <v>0</v>
      </c>
      <c r="AA2188" s="1" t="n">
        <f aca="false">N(AA2187)+$Z2188</f>
        <v>30</v>
      </c>
      <c r="AB2188" s="1" t="n">
        <f aca="false">IF(AND($M2188=1,LEFT(对接源_02物料!$D988,4)="原料出库"),1,0)</f>
        <v>0</v>
      </c>
      <c r="AC2188" s="1" t="n">
        <f aca="false">N(AC2187)+$AB2188</f>
        <v>19</v>
      </c>
      <c r="AD2188" s="1" t="n">
        <f aca="false">IF(AND($M2188=1,LEFT(对接源_02物料!$D988,4)="成品出库"),1,0)</f>
        <v>0</v>
      </c>
      <c r="AE2188" s="1" t="n">
        <f aca="false">N(AE2187)+$AD2188</f>
        <v>38</v>
      </c>
      <c r="AF2188" s="1" t="n">
        <f aca="false">IF(AND($N2188=1,AND(LEFT(对接源_02物料!$D988,4)="包装物料",N(对接源_02物料!$K988)&lt;&gt;0)),1,0)</f>
        <v>0</v>
      </c>
      <c r="AG2188" s="1" t="n">
        <f aca="false">N(AG2187)+$AF2188</f>
        <v>6</v>
      </c>
      <c r="AH2188" s="1" t="n">
        <f aca="false">IF(AND($N2188=1,AND(LEFT(对接源_02物料!$D988,3)="周转筐",N(对接源_02物料!$K988)&lt;&gt;0)),1,0)</f>
        <v>0</v>
      </c>
      <c r="AI2188" s="1" t="n">
        <f aca="false">N(AI2187)+$AH2188</f>
        <v>0</v>
      </c>
      <c r="AJ2188" s="1" t="n">
        <v>0</v>
      </c>
      <c r="AK2188" s="1" t="n">
        <f aca="false">N(AK2187)+$AJ2188</f>
        <v>3672</v>
      </c>
    </row>
    <row r="2189" customFormat="false" ht="13.5" hidden="false" customHeight="false" outlineLevel="0" collapsed="false">
      <c r="A2189" s="1" t="str">
        <f aca="false">IF(对接源_02物料!$C989="","",对接源_02物料!$C989)</f>
        <v/>
      </c>
      <c r="B2189" s="1" t="n">
        <f aca="false">IF(A2189="",0,IF(MATCH(A2189,$A$4:$A$2403,0)=ROW()-3,1,0))</f>
        <v>0</v>
      </c>
      <c r="C2189" s="1" t="n">
        <f aca="false">N(C2188)+B2189</f>
        <v>17</v>
      </c>
      <c r="K2189" s="1" t="n">
        <f aca="false">IF(OR($K$1="",对接源_02物料!$C989="",对接源_02物料!$C989&lt;&gt;$K$1,对接源_02物料!$B989=""),0,IF(OR(N(对接源_02物料!$B989)&lt;$K$2,N(对接源_02物料!$B989)&gt;$K$3),0,1))</f>
        <v>0</v>
      </c>
      <c r="L2189" s="1" t="n">
        <f aca="false">IF(OR($L$1="",对接源_02物料!$C989="",对接源_02物料!$C989&lt;&gt;$L$1,对接源_02物料!$B989=""),0,IF(OR(N(对接源_02物料!$B989)&lt;$L$2,N(对接源_02物料!$B989)&gt;$L$3),0,1))</f>
        <v>0</v>
      </c>
      <c r="M2189" s="1" t="n">
        <f aca="false">IF(OR($M$1="",对接源_02物料!$C989="",对接源_02物料!$C989&lt;&gt;$M$1,对接源_02物料!$B989=""),0,IF(OR(N(对接源_02物料!$B989)&lt;$M$2,N(对接源_02物料!$B989)&gt;$M$3),0,1))</f>
        <v>0</v>
      </c>
      <c r="N2189" s="1" t="n">
        <f aca="false">IF(OR($N$1="",对接源_02物料!$C989="",对接源_02物料!$C989&lt;&gt;$N$1,对接源_02物料!$B989=""),0,IF(OR(N(对接源_02物料!$B989)&lt;$N$2,N(对接源_02物料!$B989)&gt;$N$3),0,1))</f>
        <v>0</v>
      </c>
      <c r="P2189" s="1" t="n">
        <f aca="false">IF(AND($K2189=1,AND(对接源_02物料!$X989="公司筐",N(对接源_02物料!$T989)&lt;&gt;0)),1,0)</f>
        <v>0</v>
      </c>
      <c r="Q2189" s="1" t="n">
        <f aca="false">N(Q2188)+$P2189</f>
        <v>13</v>
      </c>
      <c r="R2189" s="1" t="n">
        <f aca="false">IF(AND($K2189=1,AND(对接源_02物料!$X989="公司筐",N(对接源_02物料!$U989)&lt;&gt;0)),1,0)</f>
        <v>0</v>
      </c>
      <c r="S2189" s="1" t="n">
        <f aca="false">N(S2188)+$R2189</f>
        <v>5</v>
      </c>
      <c r="T2189" s="1" t="n">
        <f aca="false">IF(AND($K2189=1,AND(对接源_02物料!$X989="公司筐",N(对接源_02物料!$V989)&lt;&gt;0)),1,0)</f>
        <v>0</v>
      </c>
      <c r="U2189" s="1" t="n">
        <f aca="false">N(U2188)+$T2189</f>
        <v>28</v>
      </c>
      <c r="V2189" s="1" t="n">
        <f aca="false">IF(AND($L2189=1,AND(对接源_02物料!$X989="自备筐",N(对接源_02物料!$V989)&lt;&gt;0)),1,0)</f>
        <v>0</v>
      </c>
      <c r="W2189" s="1" t="n">
        <f aca="false">N(W2188)+$V2189</f>
        <v>7</v>
      </c>
      <c r="X2189" s="1" t="n">
        <f aca="false">IF(AND($L2189=1,AND(对接源_02物料!$X989="自备筐",N(对接源_02物料!$T989)&lt;&gt;0)),1,0)</f>
        <v>0</v>
      </c>
      <c r="Y2189" s="1" t="n">
        <f aca="false">N(Y2188)+$X2189</f>
        <v>0</v>
      </c>
      <c r="Z2189" s="1" t="n">
        <f aca="false">IF(AND($M2189=1,对接源_02物料!$D989="原料入库"),1,0)</f>
        <v>0</v>
      </c>
      <c r="AA2189" s="1" t="n">
        <f aca="false">N(AA2188)+$Z2189</f>
        <v>30</v>
      </c>
      <c r="AB2189" s="1" t="n">
        <f aca="false">IF(AND($M2189=1,LEFT(对接源_02物料!$D989,4)="原料出库"),1,0)</f>
        <v>0</v>
      </c>
      <c r="AC2189" s="1" t="n">
        <f aca="false">N(AC2188)+$AB2189</f>
        <v>19</v>
      </c>
      <c r="AD2189" s="1" t="n">
        <f aca="false">IF(AND($M2189=1,LEFT(对接源_02物料!$D989,4)="成品出库"),1,0)</f>
        <v>0</v>
      </c>
      <c r="AE2189" s="1" t="n">
        <f aca="false">N(AE2188)+$AD2189</f>
        <v>38</v>
      </c>
      <c r="AF2189" s="1" t="n">
        <f aca="false">IF(AND($N2189=1,AND(LEFT(对接源_02物料!$D989,4)="包装物料",N(对接源_02物料!$K989)&lt;&gt;0)),1,0)</f>
        <v>0</v>
      </c>
      <c r="AG2189" s="1" t="n">
        <f aca="false">N(AG2188)+$AF2189</f>
        <v>6</v>
      </c>
      <c r="AH2189" s="1" t="n">
        <f aca="false">IF(AND($N2189=1,AND(LEFT(对接源_02物料!$D989,3)="周转筐",N(对接源_02物料!$K989)&lt;&gt;0)),1,0)</f>
        <v>0</v>
      </c>
      <c r="AI2189" s="1" t="n">
        <f aca="false">N(AI2188)+$AH2189</f>
        <v>0</v>
      </c>
      <c r="AJ2189" s="1" t="n">
        <v>0</v>
      </c>
      <c r="AK2189" s="1" t="n">
        <f aca="false">N(AK2188)+$AJ2189</f>
        <v>3672</v>
      </c>
    </row>
    <row r="2190" customFormat="false" ht="13.5" hidden="false" customHeight="false" outlineLevel="0" collapsed="false">
      <c r="A2190" s="1" t="str">
        <f aca="false">IF(对接源_02物料!$C990="","",对接源_02物料!$C990)</f>
        <v/>
      </c>
      <c r="B2190" s="1" t="n">
        <f aca="false">IF(A2190="",0,IF(MATCH(A2190,$A$4:$A$2403,0)=ROW()-3,1,0))</f>
        <v>0</v>
      </c>
      <c r="C2190" s="1" t="n">
        <f aca="false">N(C2189)+B2190</f>
        <v>17</v>
      </c>
      <c r="K2190" s="1" t="n">
        <f aca="false">IF(OR($K$1="",对接源_02物料!$C990="",对接源_02物料!$C990&lt;&gt;$K$1,对接源_02物料!$B990=""),0,IF(OR(N(对接源_02物料!$B990)&lt;$K$2,N(对接源_02物料!$B990)&gt;$K$3),0,1))</f>
        <v>0</v>
      </c>
      <c r="L2190" s="1" t="n">
        <f aca="false">IF(OR($L$1="",对接源_02物料!$C990="",对接源_02物料!$C990&lt;&gt;$L$1,对接源_02物料!$B990=""),0,IF(OR(N(对接源_02物料!$B990)&lt;$L$2,N(对接源_02物料!$B990)&gt;$L$3),0,1))</f>
        <v>0</v>
      </c>
      <c r="M2190" s="1" t="n">
        <f aca="false">IF(OR($M$1="",对接源_02物料!$C990="",对接源_02物料!$C990&lt;&gt;$M$1,对接源_02物料!$B990=""),0,IF(OR(N(对接源_02物料!$B990)&lt;$M$2,N(对接源_02物料!$B990)&gt;$M$3),0,1))</f>
        <v>0</v>
      </c>
      <c r="N2190" s="1" t="n">
        <f aca="false">IF(OR($N$1="",对接源_02物料!$C990="",对接源_02物料!$C990&lt;&gt;$N$1,对接源_02物料!$B990=""),0,IF(OR(N(对接源_02物料!$B990)&lt;$N$2,N(对接源_02物料!$B990)&gt;$N$3),0,1))</f>
        <v>0</v>
      </c>
      <c r="P2190" s="1" t="n">
        <f aca="false">IF(AND($K2190=1,AND(对接源_02物料!$X990="公司筐",N(对接源_02物料!$T990)&lt;&gt;0)),1,0)</f>
        <v>0</v>
      </c>
      <c r="Q2190" s="1" t="n">
        <f aca="false">N(Q2189)+$P2190</f>
        <v>13</v>
      </c>
      <c r="R2190" s="1" t="n">
        <f aca="false">IF(AND($K2190=1,AND(对接源_02物料!$X990="公司筐",N(对接源_02物料!$U990)&lt;&gt;0)),1,0)</f>
        <v>0</v>
      </c>
      <c r="S2190" s="1" t="n">
        <f aca="false">N(S2189)+$R2190</f>
        <v>5</v>
      </c>
      <c r="T2190" s="1" t="n">
        <f aca="false">IF(AND($K2190=1,AND(对接源_02物料!$X990="公司筐",N(对接源_02物料!$V990)&lt;&gt;0)),1,0)</f>
        <v>0</v>
      </c>
      <c r="U2190" s="1" t="n">
        <f aca="false">N(U2189)+$T2190</f>
        <v>28</v>
      </c>
      <c r="V2190" s="1" t="n">
        <f aca="false">IF(AND($L2190=1,AND(对接源_02物料!$X990="自备筐",N(对接源_02物料!$V990)&lt;&gt;0)),1,0)</f>
        <v>0</v>
      </c>
      <c r="W2190" s="1" t="n">
        <f aca="false">N(W2189)+$V2190</f>
        <v>7</v>
      </c>
      <c r="X2190" s="1" t="n">
        <f aca="false">IF(AND($L2190=1,AND(对接源_02物料!$X990="自备筐",N(对接源_02物料!$T990)&lt;&gt;0)),1,0)</f>
        <v>0</v>
      </c>
      <c r="Y2190" s="1" t="n">
        <f aca="false">N(Y2189)+$X2190</f>
        <v>0</v>
      </c>
      <c r="Z2190" s="1" t="n">
        <f aca="false">IF(AND($M2190=1,对接源_02物料!$D990="原料入库"),1,0)</f>
        <v>0</v>
      </c>
      <c r="AA2190" s="1" t="n">
        <f aca="false">N(AA2189)+$Z2190</f>
        <v>30</v>
      </c>
      <c r="AB2190" s="1" t="n">
        <f aca="false">IF(AND($M2190=1,LEFT(对接源_02物料!$D990,4)="原料出库"),1,0)</f>
        <v>0</v>
      </c>
      <c r="AC2190" s="1" t="n">
        <f aca="false">N(AC2189)+$AB2190</f>
        <v>19</v>
      </c>
      <c r="AD2190" s="1" t="n">
        <f aca="false">IF(AND($M2190=1,LEFT(对接源_02物料!$D990,4)="成品出库"),1,0)</f>
        <v>0</v>
      </c>
      <c r="AE2190" s="1" t="n">
        <f aca="false">N(AE2189)+$AD2190</f>
        <v>38</v>
      </c>
      <c r="AF2190" s="1" t="n">
        <f aca="false">IF(AND($N2190=1,AND(LEFT(对接源_02物料!$D990,4)="包装物料",N(对接源_02物料!$K990)&lt;&gt;0)),1,0)</f>
        <v>0</v>
      </c>
      <c r="AG2190" s="1" t="n">
        <f aca="false">N(AG2189)+$AF2190</f>
        <v>6</v>
      </c>
      <c r="AH2190" s="1" t="n">
        <f aca="false">IF(AND($N2190=1,AND(LEFT(对接源_02物料!$D990,3)="周转筐",N(对接源_02物料!$K990)&lt;&gt;0)),1,0)</f>
        <v>0</v>
      </c>
      <c r="AI2190" s="1" t="n">
        <f aca="false">N(AI2189)+$AH2190</f>
        <v>0</v>
      </c>
      <c r="AJ2190" s="1" t="n">
        <v>0</v>
      </c>
      <c r="AK2190" s="1" t="n">
        <f aca="false">N(AK2189)+$AJ2190</f>
        <v>3672</v>
      </c>
    </row>
    <row r="2191" customFormat="false" ht="13.5" hidden="false" customHeight="false" outlineLevel="0" collapsed="false">
      <c r="A2191" s="1" t="str">
        <f aca="false">IF(对接源_02物料!$C991="","",对接源_02物料!$C991)</f>
        <v/>
      </c>
      <c r="B2191" s="1" t="n">
        <f aca="false">IF(A2191="",0,IF(MATCH(A2191,$A$4:$A$2403,0)=ROW()-3,1,0))</f>
        <v>0</v>
      </c>
      <c r="C2191" s="1" t="n">
        <f aca="false">N(C2190)+B2191</f>
        <v>17</v>
      </c>
      <c r="K2191" s="1" t="n">
        <f aca="false">IF(OR($K$1="",对接源_02物料!$C991="",对接源_02物料!$C991&lt;&gt;$K$1,对接源_02物料!$B991=""),0,IF(OR(N(对接源_02物料!$B991)&lt;$K$2,N(对接源_02物料!$B991)&gt;$K$3),0,1))</f>
        <v>0</v>
      </c>
      <c r="L2191" s="1" t="n">
        <f aca="false">IF(OR($L$1="",对接源_02物料!$C991="",对接源_02物料!$C991&lt;&gt;$L$1,对接源_02物料!$B991=""),0,IF(OR(N(对接源_02物料!$B991)&lt;$L$2,N(对接源_02物料!$B991)&gt;$L$3),0,1))</f>
        <v>0</v>
      </c>
      <c r="M2191" s="1" t="n">
        <f aca="false">IF(OR($M$1="",对接源_02物料!$C991="",对接源_02物料!$C991&lt;&gt;$M$1,对接源_02物料!$B991=""),0,IF(OR(N(对接源_02物料!$B991)&lt;$M$2,N(对接源_02物料!$B991)&gt;$M$3),0,1))</f>
        <v>0</v>
      </c>
      <c r="N2191" s="1" t="n">
        <f aca="false">IF(OR($N$1="",对接源_02物料!$C991="",对接源_02物料!$C991&lt;&gt;$N$1,对接源_02物料!$B991=""),0,IF(OR(N(对接源_02物料!$B991)&lt;$N$2,N(对接源_02物料!$B991)&gt;$N$3),0,1))</f>
        <v>0</v>
      </c>
      <c r="P2191" s="1" t="n">
        <f aca="false">IF(AND($K2191=1,AND(对接源_02物料!$X991="公司筐",N(对接源_02物料!$T991)&lt;&gt;0)),1,0)</f>
        <v>0</v>
      </c>
      <c r="Q2191" s="1" t="n">
        <f aca="false">N(Q2190)+$P2191</f>
        <v>13</v>
      </c>
      <c r="R2191" s="1" t="n">
        <f aca="false">IF(AND($K2191=1,AND(对接源_02物料!$X991="公司筐",N(对接源_02物料!$U991)&lt;&gt;0)),1,0)</f>
        <v>0</v>
      </c>
      <c r="S2191" s="1" t="n">
        <f aca="false">N(S2190)+$R2191</f>
        <v>5</v>
      </c>
      <c r="T2191" s="1" t="n">
        <f aca="false">IF(AND($K2191=1,AND(对接源_02物料!$X991="公司筐",N(对接源_02物料!$V991)&lt;&gt;0)),1,0)</f>
        <v>0</v>
      </c>
      <c r="U2191" s="1" t="n">
        <f aca="false">N(U2190)+$T2191</f>
        <v>28</v>
      </c>
      <c r="V2191" s="1" t="n">
        <f aca="false">IF(AND($L2191=1,AND(对接源_02物料!$X991="自备筐",N(对接源_02物料!$V991)&lt;&gt;0)),1,0)</f>
        <v>0</v>
      </c>
      <c r="W2191" s="1" t="n">
        <f aca="false">N(W2190)+$V2191</f>
        <v>7</v>
      </c>
      <c r="X2191" s="1" t="n">
        <f aca="false">IF(AND($L2191=1,AND(对接源_02物料!$X991="自备筐",N(对接源_02物料!$T991)&lt;&gt;0)),1,0)</f>
        <v>0</v>
      </c>
      <c r="Y2191" s="1" t="n">
        <f aca="false">N(Y2190)+$X2191</f>
        <v>0</v>
      </c>
      <c r="Z2191" s="1" t="n">
        <f aca="false">IF(AND($M2191=1,对接源_02物料!$D991="原料入库"),1,0)</f>
        <v>0</v>
      </c>
      <c r="AA2191" s="1" t="n">
        <f aca="false">N(AA2190)+$Z2191</f>
        <v>30</v>
      </c>
      <c r="AB2191" s="1" t="n">
        <f aca="false">IF(AND($M2191=1,LEFT(对接源_02物料!$D991,4)="原料出库"),1,0)</f>
        <v>0</v>
      </c>
      <c r="AC2191" s="1" t="n">
        <f aca="false">N(AC2190)+$AB2191</f>
        <v>19</v>
      </c>
      <c r="AD2191" s="1" t="n">
        <f aca="false">IF(AND($M2191=1,LEFT(对接源_02物料!$D991,4)="成品出库"),1,0)</f>
        <v>0</v>
      </c>
      <c r="AE2191" s="1" t="n">
        <f aca="false">N(AE2190)+$AD2191</f>
        <v>38</v>
      </c>
      <c r="AF2191" s="1" t="n">
        <f aca="false">IF(AND($N2191=1,AND(LEFT(对接源_02物料!$D991,4)="包装物料",N(对接源_02物料!$K991)&lt;&gt;0)),1,0)</f>
        <v>0</v>
      </c>
      <c r="AG2191" s="1" t="n">
        <f aca="false">N(AG2190)+$AF2191</f>
        <v>6</v>
      </c>
      <c r="AH2191" s="1" t="n">
        <f aca="false">IF(AND($N2191=1,AND(LEFT(对接源_02物料!$D991,3)="周转筐",N(对接源_02物料!$K991)&lt;&gt;0)),1,0)</f>
        <v>0</v>
      </c>
      <c r="AI2191" s="1" t="n">
        <f aca="false">N(AI2190)+$AH2191</f>
        <v>0</v>
      </c>
      <c r="AJ2191" s="1" t="n">
        <v>0</v>
      </c>
      <c r="AK2191" s="1" t="n">
        <f aca="false">N(AK2190)+$AJ2191</f>
        <v>3672</v>
      </c>
    </row>
    <row r="2192" customFormat="false" ht="13.5" hidden="false" customHeight="false" outlineLevel="0" collapsed="false">
      <c r="A2192" s="1" t="str">
        <f aca="false">IF(对接源_02物料!$C992="","",对接源_02物料!$C992)</f>
        <v/>
      </c>
      <c r="B2192" s="1" t="n">
        <f aca="false">IF(A2192="",0,IF(MATCH(A2192,$A$4:$A$2403,0)=ROW()-3,1,0))</f>
        <v>0</v>
      </c>
      <c r="C2192" s="1" t="n">
        <f aca="false">N(C2191)+B2192</f>
        <v>17</v>
      </c>
      <c r="K2192" s="1" t="n">
        <f aca="false">IF(OR($K$1="",对接源_02物料!$C992="",对接源_02物料!$C992&lt;&gt;$K$1,对接源_02物料!$B992=""),0,IF(OR(N(对接源_02物料!$B992)&lt;$K$2,N(对接源_02物料!$B992)&gt;$K$3),0,1))</f>
        <v>0</v>
      </c>
      <c r="L2192" s="1" t="n">
        <f aca="false">IF(OR($L$1="",对接源_02物料!$C992="",对接源_02物料!$C992&lt;&gt;$L$1,对接源_02物料!$B992=""),0,IF(OR(N(对接源_02物料!$B992)&lt;$L$2,N(对接源_02物料!$B992)&gt;$L$3),0,1))</f>
        <v>0</v>
      </c>
      <c r="M2192" s="1" t="n">
        <f aca="false">IF(OR($M$1="",对接源_02物料!$C992="",对接源_02物料!$C992&lt;&gt;$M$1,对接源_02物料!$B992=""),0,IF(OR(N(对接源_02物料!$B992)&lt;$M$2,N(对接源_02物料!$B992)&gt;$M$3),0,1))</f>
        <v>0</v>
      </c>
      <c r="N2192" s="1" t="n">
        <f aca="false">IF(OR($N$1="",对接源_02物料!$C992="",对接源_02物料!$C992&lt;&gt;$N$1,对接源_02物料!$B992=""),0,IF(OR(N(对接源_02物料!$B992)&lt;$N$2,N(对接源_02物料!$B992)&gt;$N$3),0,1))</f>
        <v>0</v>
      </c>
      <c r="P2192" s="1" t="n">
        <f aca="false">IF(AND($K2192=1,AND(对接源_02物料!$X992="公司筐",N(对接源_02物料!$T992)&lt;&gt;0)),1,0)</f>
        <v>0</v>
      </c>
      <c r="Q2192" s="1" t="n">
        <f aca="false">N(Q2191)+$P2192</f>
        <v>13</v>
      </c>
      <c r="R2192" s="1" t="n">
        <f aca="false">IF(AND($K2192=1,AND(对接源_02物料!$X992="公司筐",N(对接源_02物料!$U992)&lt;&gt;0)),1,0)</f>
        <v>0</v>
      </c>
      <c r="S2192" s="1" t="n">
        <f aca="false">N(S2191)+$R2192</f>
        <v>5</v>
      </c>
      <c r="T2192" s="1" t="n">
        <f aca="false">IF(AND($K2192=1,AND(对接源_02物料!$X992="公司筐",N(对接源_02物料!$V992)&lt;&gt;0)),1,0)</f>
        <v>0</v>
      </c>
      <c r="U2192" s="1" t="n">
        <f aca="false">N(U2191)+$T2192</f>
        <v>28</v>
      </c>
      <c r="V2192" s="1" t="n">
        <f aca="false">IF(AND($L2192=1,AND(对接源_02物料!$X992="自备筐",N(对接源_02物料!$V992)&lt;&gt;0)),1,0)</f>
        <v>0</v>
      </c>
      <c r="W2192" s="1" t="n">
        <f aca="false">N(W2191)+$V2192</f>
        <v>7</v>
      </c>
      <c r="X2192" s="1" t="n">
        <f aca="false">IF(AND($L2192=1,AND(对接源_02物料!$X992="自备筐",N(对接源_02物料!$T992)&lt;&gt;0)),1,0)</f>
        <v>0</v>
      </c>
      <c r="Y2192" s="1" t="n">
        <f aca="false">N(Y2191)+$X2192</f>
        <v>0</v>
      </c>
      <c r="Z2192" s="1" t="n">
        <f aca="false">IF(AND($M2192=1,对接源_02物料!$D992="原料入库"),1,0)</f>
        <v>0</v>
      </c>
      <c r="AA2192" s="1" t="n">
        <f aca="false">N(AA2191)+$Z2192</f>
        <v>30</v>
      </c>
      <c r="AB2192" s="1" t="n">
        <f aca="false">IF(AND($M2192=1,LEFT(对接源_02物料!$D992,4)="原料出库"),1,0)</f>
        <v>0</v>
      </c>
      <c r="AC2192" s="1" t="n">
        <f aca="false">N(AC2191)+$AB2192</f>
        <v>19</v>
      </c>
      <c r="AD2192" s="1" t="n">
        <f aca="false">IF(AND($M2192=1,LEFT(对接源_02物料!$D992,4)="成品出库"),1,0)</f>
        <v>0</v>
      </c>
      <c r="AE2192" s="1" t="n">
        <f aca="false">N(AE2191)+$AD2192</f>
        <v>38</v>
      </c>
      <c r="AF2192" s="1" t="n">
        <f aca="false">IF(AND($N2192=1,AND(LEFT(对接源_02物料!$D992,4)="包装物料",N(对接源_02物料!$K992)&lt;&gt;0)),1,0)</f>
        <v>0</v>
      </c>
      <c r="AG2192" s="1" t="n">
        <f aca="false">N(AG2191)+$AF2192</f>
        <v>6</v>
      </c>
      <c r="AH2192" s="1" t="n">
        <f aca="false">IF(AND($N2192=1,AND(LEFT(对接源_02物料!$D992,3)="周转筐",N(对接源_02物料!$K992)&lt;&gt;0)),1,0)</f>
        <v>0</v>
      </c>
      <c r="AI2192" s="1" t="n">
        <f aca="false">N(AI2191)+$AH2192</f>
        <v>0</v>
      </c>
      <c r="AJ2192" s="1" t="n">
        <v>0</v>
      </c>
      <c r="AK2192" s="1" t="n">
        <f aca="false">N(AK2191)+$AJ2192</f>
        <v>3672</v>
      </c>
    </row>
    <row r="2193" customFormat="false" ht="13.5" hidden="false" customHeight="false" outlineLevel="0" collapsed="false">
      <c r="A2193" s="1" t="str">
        <f aca="false">IF(对接源_02物料!$C993="","",对接源_02物料!$C993)</f>
        <v/>
      </c>
      <c r="B2193" s="1" t="n">
        <f aca="false">IF(A2193="",0,IF(MATCH(A2193,$A$4:$A$2403,0)=ROW()-3,1,0))</f>
        <v>0</v>
      </c>
      <c r="C2193" s="1" t="n">
        <f aca="false">N(C2192)+B2193</f>
        <v>17</v>
      </c>
      <c r="K2193" s="1" t="n">
        <f aca="false">IF(OR($K$1="",对接源_02物料!$C993="",对接源_02物料!$C993&lt;&gt;$K$1,对接源_02物料!$B993=""),0,IF(OR(N(对接源_02物料!$B993)&lt;$K$2,N(对接源_02物料!$B993)&gt;$K$3),0,1))</f>
        <v>0</v>
      </c>
      <c r="L2193" s="1" t="n">
        <f aca="false">IF(OR($L$1="",对接源_02物料!$C993="",对接源_02物料!$C993&lt;&gt;$L$1,对接源_02物料!$B993=""),0,IF(OR(N(对接源_02物料!$B993)&lt;$L$2,N(对接源_02物料!$B993)&gt;$L$3),0,1))</f>
        <v>0</v>
      </c>
      <c r="M2193" s="1" t="n">
        <f aca="false">IF(OR($M$1="",对接源_02物料!$C993="",对接源_02物料!$C993&lt;&gt;$M$1,对接源_02物料!$B993=""),0,IF(OR(N(对接源_02物料!$B993)&lt;$M$2,N(对接源_02物料!$B993)&gt;$M$3),0,1))</f>
        <v>0</v>
      </c>
      <c r="N2193" s="1" t="n">
        <f aca="false">IF(OR($N$1="",对接源_02物料!$C993="",对接源_02物料!$C993&lt;&gt;$N$1,对接源_02物料!$B993=""),0,IF(OR(N(对接源_02物料!$B993)&lt;$N$2,N(对接源_02物料!$B993)&gt;$N$3),0,1))</f>
        <v>0</v>
      </c>
      <c r="P2193" s="1" t="n">
        <f aca="false">IF(AND($K2193=1,AND(对接源_02物料!$X993="公司筐",N(对接源_02物料!$T993)&lt;&gt;0)),1,0)</f>
        <v>0</v>
      </c>
      <c r="Q2193" s="1" t="n">
        <f aca="false">N(Q2192)+$P2193</f>
        <v>13</v>
      </c>
      <c r="R2193" s="1" t="n">
        <f aca="false">IF(AND($K2193=1,AND(对接源_02物料!$X993="公司筐",N(对接源_02物料!$U993)&lt;&gt;0)),1,0)</f>
        <v>0</v>
      </c>
      <c r="S2193" s="1" t="n">
        <f aca="false">N(S2192)+$R2193</f>
        <v>5</v>
      </c>
      <c r="T2193" s="1" t="n">
        <f aca="false">IF(AND($K2193=1,AND(对接源_02物料!$X993="公司筐",N(对接源_02物料!$V993)&lt;&gt;0)),1,0)</f>
        <v>0</v>
      </c>
      <c r="U2193" s="1" t="n">
        <f aca="false">N(U2192)+$T2193</f>
        <v>28</v>
      </c>
      <c r="V2193" s="1" t="n">
        <f aca="false">IF(AND($L2193=1,AND(对接源_02物料!$X993="自备筐",N(对接源_02物料!$V993)&lt;&gt;0)),1,0)</f>
        <v>0</v>
      </c>
      <c r="W2193" s="1" t="n">
        <f aca="false">N(W2192)+$V2193</f>
        <v>7</v>
      </c>
      <c r="X2193" s="1" t="n">
        <f aca="false">IF(AND($L2193=1,AND(对接源_02物料!$X993="自备筐",N(对接源_02物料!$T993)&lt;&gt;0)),1,0)</f>
        <v>0</v>
      </c>
      <c r="Y2193" s="1" t="n">
        <f aca="false">N(Y2192)+$X2193</f>
        <v>0</v>
      </c>
      <c r="Z2193" s="1" t="n">
        <f aca="false">IF(AND($M2193=1,对接源_02物料!$D993="原料入库"),1,0)</f>
        <v>0</v>
      </c>
      <c r="AA2193" s="1" t="n">
        <f aca="false">N(AA2192)+$Z2193</f>
        <v>30</v>
      </c>
      <c r="AB2193" s="1" t="n">
        <f aca="false">IF(AND($M2193=1,LEFT(对接源_02物料!$D993,4)="原料出库"),1,0)</f>
        <v>0</v>
      </c>
      <c r="AC2193" s="1" t="n">
        <f aca="false">N(AC2192)+$AB2193</f>
        <v>19</v>
      </c>
      <c r="AD2193" s="1" t="n">
        <f aca="false">IF(AND($M2193=1,LEFT(对接源_02物料!$D993,4)="成品出库"),1,0)</f>
        <v>0</v>
      </c>
      <c r="AE2193" s="1" t="n">
        <f aca="false">N(AE2192)+$AD2193</f>
        <v>38</v>
      </c>
      <c r="AF2193" s="1" t="n">
        <f aca="false">IF(AND($N2193=1,AND(LEFT(对接源_02物料!$D993,4)="包装物料",N(对接源_02物料!$K993)&lt;&gt;0)),1,0)</f>
        <v>0</v>
      </c>
      <c r="AG2193" s="1" t="n">
        <f aca="false">N(AG2192)+$AF2193</f>
        <v>6</v>
      </c>
      <c r="AH2193" s="1" t="n">
        <f aca="false">IF(AND($N2193=1,AND(LEFT(对接源_02物料!$D993,3)="周转筐",N(对接源_02物料!$K993)&lt;&gt;0)),1,0)</f>
        <v>0</v>
      </c>
      <c r="AI2193" s="1" t="n">
        <f aca="false">N(AI2192)+$AH2193</f>
        <v>0</v>
      </c>
      <c r="AJ2193" s="1" t="n">
        <v>0</v>
      </c>
      <c r="AK2193" s="1" t="n">
        <f aca="false">N(AK2192)+$AJ2193</f>
        <v>3672</v>
      </c>
    </row>
    <row r="2194" customFormat="false" ht="13.5" hidden="false" customHeight="false" outlineLevel="0" collapsed="false">
      <c r="A2194" s="1" t="str">
        <f aca="false">IF(对接源_02物料!$C994="","",对接源_02物料!$C994)</f>
        <v/>
      </c>
      <c r="B2194" s="1" t="n">
        <f aca="false">IF(A2194="",0,IF(MATCH(A2194,$A$4:$A$2403,0)=ROW()-3,1,0))</f>
        <v>0</v>
      </c>
      <c r="C2194" s="1" t="n">
        <f aca="false">N(C2193)+B2194</f>
        <v>17</v>
      </c>
      <c r="K2194" s="1" t="n">
        <f aca="false">IF(OR($K$1="",对接源_02物料!$C994="",对接源_02物料!$C994&lt;&gt;$K$1,对接源_02物料!$B994=""),0,IF(OR(N(对接源_02物料!$B994)&lt;$K$2,N(对接源_02物料!$B994)&gt;$K$3),0,1))</f>
        <v>0</v>
      </c>
      <c r="L2194" s="1" t="n">
        <f aca="false">IF(OR($L$1="",对接源_02物料!$C994="",对接源_02物料!$C994&lt;&gt;$L$1,对接源_02物料!$B994=""),0,IF(OR(N(对接源_02物料!$B994)&lt;$L$2,N(对接源_02物料!$B994)&gt;$L$3),0,1))</f>
        <v>0</v>
      </c>
      <c r="M2194" s="1" t="n">
        <f aca="false">IF(OR($M$1="",对接源_02物料!$C994="",对接源_02物料!$C994&lt;&gt;$M$1,对接源_02物料!$B994=""),0,IF(OR(N(对接源_02物料!$B994)&lt;$M$2,N(对接源_02物料!$B994)&gt;$M$3),0,1))</f>
        <v>0</v>
      </c>
      <c r="N2194" s="1" t="n">
        <f aca="false">IF(OR($N$1="",对接源_02物料!$C994="",对接源_02物料!$C994&lt;&gt;$N$1,对接源_02物料!$B994=""),0,IF(OR(N(对接源_02物料!$B994)&lt;$N$2,N(对接源_02物料!$B994)&gt;$N$3),0,1))</f>
        <v>0</v>
      </c>
      <c r="P2194" s="1" t="n">
        <f aca="false">IF(AND($K2194=1,AND(对接源_02物料!$X994="公司筐",N(对接源_02物料!$T994)&lt;&gt;0)),1,0)</f>
        <v>0</v>
      </c>
      <c r="Q2194" s="1" t="n">
        <f aca="false">N(Q2193)+$P2194</f>
        <v>13</v>
      </c>
      <c r="R2194" s="1" t="n">
        <f aca="false">IF(AND($K2194=1,AND(对接源_02物料!$X994="公司筐",N(对接源_02物料!$U994)&lt;&gt;0)),1,0)</f>
        <v>0</v>
      </c>
      <c r="S2194" s="1" t="n">
        <f aca="false">N(S2193)+$R2194</f>
        <v>5</v>
      </c>
      <c r="T2194" s="1" t="n">
        <f aca="false">IF(AND($K2194=1,AND(对接源_02物料!$X994="公司筐",N(对接源_02物料!$V994)&lt;&gt;0)),1,0)</f>
        <v>0</v>
      </c>
      <c r="U2194" s="1" t="n">
        <f aca="false">N(U2193)+$T2194</f>
        <v>28</v>
      </c>
      <c r="V2194" s="1" t="n">
        <f aca="false">IF(AND($L2194=1,AND(对接源_02物料!$X994="自备筐",N(对接源_02物料!$V994)&lt;&gt;0)),1,0)</f>
        <v>0</v>
      </c>
      <c r="W2194" s="1" t="n">
        <f aca="false">N(W2193)+$V2194</f>
        <v>7</v>
      </c>
      <c r="X2194" s="1" t="n">
        <f aca="false">IF(AND($L2194=1,AND(对接源_02物料!$X994="自备筐",N(对接源_02物料!$T994)&lt;&gt;0)),1,0)</f>
        <v>0</v>
      </c>
      <c r="Y2194" s="1" t="n">
        <f aca="false">N(Y2193)+$X2194</f>
        <v>0</v>
      </c>
      <c r="Z2194" s="1" t="n">
        <f aca="false">IF(AND($M2194=1,对接源_02物料!$D994="原料入库"),1,0)</f>
        <v>0</v>
      </c>
      <c r="AA2194" s="1" t="n">
        <f aca="false">N(AA2193)+$Z2194</f>
        <v>30</v>
      </c>
      <c r="AB2194" s="1" t="n">
        <f aca="false">IF(AND($M2194=1,LEFT(对接源_02物料!$D994,4)="原料出库"),1,0)</f>
        <v>0</v>
      </c>
      <c r="AC2194" s="1" t="n">
        <f aca="false">N(AC2193)+$AB2194</f>
        <v>19</v>
      </c>
      <c r="AD2194" s="1" t="n">
        <f aca="false">IF(AND($M2194=1,LEFT(对接源_02物料!$D994,4)="成品出库"),1,0)</f>
        <v>0</v>
      </c>
      <c r="AE2194" s="1" t="n">
        <f aca="false">N(AE2193)+$AD2194</f>
        <v>38</v>
      </c>
      <c r="AF2194" s="1" t="n">
        <f aca="false">IF(AND($N2194=1,AND(LEFT(对接源_02物料!$D994,4)="包装物料",N(对接源_02物料!$K994)&lt;&gt;0)),1,0)</f>
        <v>0</v>
      </c>
      <c r="AG2194" s="1" t="n">
        <f aca="false">N(AG2193)+$AF2194</f>
        <v>6</v>
      </c>
      <c r="AH2194" s="1" t="n">
        <f aca="false">IF(AND($N2194=1,AND(LEFT(对接源_02物料!$D994,3)="周转筐",N(对接源_02物料!$K994)&lt;&gt;0)),1,0)</f>
        <v>0</v>
      </c>
      <c r="AI2194" s="1" t="n">
        <f aca="false">N(AI2193)+$AH2194</f>
        <v>0</v>
      </c>
      <c r="AJ2194" s="1" t="n">
        <v>0</v>
      </c>
      <c r="AK2194" s="1" t="n">
        <f aca="false">N(AK2193)+$AJ2194</f>
        <v>3672</v>
      </c>
    </row>
    <row r="2195" customFormat="false" ht="13.5" hidden="false" customHeight="false" outlineLevel="0" collapsed="false">
      <c r="A2195" s="1" t="str">
        <f aca="false">IF(对接源_02物料!$C995="","",对接源_02物料!$C995)</f>
        <v/>
      </c>
      <c r="B2195" s="1" t="n">
        <f aca="false">IF(A2195="",0,IF(MATCH(A2195,$A$4:$A$2403,0)=ROW()-3,1,0))</f>
        <v>0</v>
      </c>
      <c r="C2195" s="1" t="n">
        <f aca="false">N(C2194)+B2195</f>
        <v>17</v>
      </c>
      <c r="K2195" s="1" t="n">
        <f aca="false">IF(OR($K$1="",对接源_02物料!$C995="",对接源_02物料!$C995&lt;&gt;$K$1,对接源_02物料!$B995=""),0,IF(OR(N(对接源_02物料!$B995)&lt;$K$2,N(对接源_02物料!$B995)&gt;$K$3),0,1))</f>
        <v>0</v>
      </c>
      <c r="L2195" s="1" t="n">
        <f aca="false">IF(OR($L$1="",对接源_02物料!$C995="",对接源_02物料!$C995&lt;&gt;$L$1,对接源_02物料!$B995=""),0,IF(OR(N(对接源_02物料!$B995)&lt;$L$2,N(对接源_02物料!$B995)&gt;$L$3),0,1))</f>
        <v>0</v>
      </c>
      <c r="M2195" s="1" t="n">
        <f aca="false">IF(OR($M$1="",对接源_02物料!$C995="",对接源_02物料!$C995&lt;&gt;$M$1,对接源_02物料!$B995=""),0,IF(OR(N(对接源_02物料!$B995)&lt;$M$2,N(对接源_02物料!$B995)&gt;$M$3),0,1))</f>
        <v>0</v>
      </c>
      <c r="N2195" s="1" t="n">
        <f aca="false">IF(OR($N$1="",对接源_02物料!$C995="",对接源_02物料!$C995&lt;&gt;$N$1,对接源_02物料!$B995=""),0,IF(OR(N(对接源_02物料!$B995)&lt;$N$2,N(对接源_02物料!$B995)&gt;$N$3),0,1))</f>
        <v>0</v>
      </c>
      <c r="P2195" s="1" t="n">
        <f aca="false">IF(AND($K2195=1,AND(对接源_02物料!$X995="公司筐",N(对接源_02物料!$T995)&lt;&gt;0)),1,0)</f>
        <v>0</v>
      </c>
      <c r="Q2195" s="1" t="n">
        <f aca="false">N(Q2194)+$P2195</f>
        <v>13</v>
      </c>
      <c r="R2195" s="1" t="n">
        <f aca="false">IF(AND($K2195=1,AND(对接源_02物料!$X995="公司筐",N(对接源_02物料!$U995)&lt;&gt;0)),1,0)</f>
        <v>0</v>
      </c>
      <c r="S2195" s="1" t="n">
        <f aca="false">N(S2194)+$R2195</f>
        <v>5</v>
      </c>
      <c r="T2195" s="1" t="n">
        <f aca="false">IF(AND($K2195=1,AND(对接源_02物料!$X995="公司筐",N(对接源_02物料!$V995)&lt;&gt;0)),1,0)</f>
        <v>0</v>
      </c>
      <c r="U2195" s="1" t="n">
        <f aca="false">N(U2194)+$T2195</f>
        <v>28</v>
      </c>
      <c r="V2195" s="1" t="n">
        <f aca="false">IF(AND($L2195=1,AND(对接源_02物料!$X995="自备筐",N(对接源_02物料!$V995)&lt;&gt;0)),1,0)</f>
        <v>0</v>
      </c>
      <c r="W2195" s="1" t="n">
        <f aca="false">N(W2194)+$V2195</f>
        <v>7</v>
      </c>
      <c r="X2195" s="1" t="n">
        <f aca="false">IF(AND($L2195=1,AND(对接源_02物料!$X995="自备筐",N(对接源_02物料!$T995)&lt;&gt;0)),1,0)</f>
        <v>0</v>
      </c>
      <c r="Y2195" s="1" t="n">
        <f aca="false">N(Y2194)+$X2195</f>
        <v>0</v>
      </c>
      <c r="Z2195" s="1" t="n">
        <f aca="false">IF(AND($M2195=1,对接源_02物料!$D995="原料入库"),1,0)</f>
        <v>0</v>
      </c>
      <c r="AA2195" s="1" t="n">
        <f aca="false">N(AA2194)+$Z2195</f>
        <v>30</v>
      </c>
      <c r="AB2195" s="1" t="n">
        <f aca="false">IF(AND($M2195=1,LEFT(对接源_02物料!$D995,4)="原料出库"),1,0)</f>
        <v>0</v>
      </c>
      <c r="AC2195" s="1" t="n">
        <f aca="false">N(AC2194)+$AB2195</f>
        <v>19</v>
      </c>
      <c r="AD2195" s="1" t="n">
        <f aca="false">IF(AND($M2195=1,LEFT(对接源_02物料!$D995,4)="成品出库"),1,0)</f>
        <v>0</v>
      </c>
      <c r="AE2195" s="1" t="n">
        <f aca="false">N(AE2194)+$AD2195</f>
        <v>38</v>
      </c>
      <c r="AF2195" s="1" t="n">
        <f aca="false">IF(AND($N2195=1,AND(LEFT(对接源_02物料!$D995,4)="包装物料",N(对接源_02物料!$K995)&lt;&gt;0)),1,0)</f>
        <v>0</v>
      </c>
      <c r="AG2195" s="1" t="n">
        <f aca="false">N(AG2194)+$AF2195</f>
        <v>6</v>
      </c>
      <c r="AH2195" s="1" t="n">
        <f aca="false">IF(AND($N2195=1,AND(LEFT(对接源_02物料!$D995,3)="周转筐",N(对接源_02物料!$K995)&lt;&gt;0)),1,0)</f>
        <v>0</v>
      </c>
      <c r="AI2195" s="1" t="n">
        <f aca="false">N(AI2194)+$AH2195</f>
        <v>0</v>
      </c>
      <c r="AJ2195" s="1" t="n">
        <v>0</v>
      </c>
      <c r="AK2195" s="1" t="n">
        <f aca="false">N(AK2194)+$AJ2195</f>
        <v>3672</v>
      </c>
    </row>
    <row r="2196" customFormat="false" ht="13.5" hidden="false" customHeight="false" outlineLevel="0" collapsed="false">
      <c r="A2196" s="1" t="str">
        <f aca="false">IF(对接源_02物料!$C996="","",对接源_02物料!$C996)</f>
        <v/>
      </c>
      <c r="B2196" s="1" t="n">
        <f aca="false">IF(A2196="",0,IF(MATCH(A2196,$A$4:$A$2403,0)=ROW()-3,1,0))</f>
        <v>0</v>
      </c>
      <c r="C2196" s="1" t="n">
        <f aca="false">N(C2195)+B2196</f>
        <v>17</v>
      </c>
      <c r="K2196" s="1" t="n">
        <f aca="false">IF(OR($K$1="",对接源_02物料!$C996="",对接源_02物料!$C996&lt;&gt;$K$1,对接源_02物料!$B996=""),0,IF(OR(N(对接源_02物料!$B996)&lt;$K$2,N(对接源_02物料!$B996)&gt;$K$3),0,1))</f>
        <v>0</v>
      </c>
      <c r="L2196" s="1" t="n">
        <f aca="false">IF(OR($L$1="",对接源_02物料!$C996="",对接源_02物料!$C996&lt;&gt;$L$1,对接源_02物料!$B996=""),0,IF(OR(N(对接源_02物料!$B996)&lt;$L$2,N(对接源_02物料!$B996)&gt;$L$3),0,1))</f>
        <v>0</v>
      </c>
      <c r="M2196" s="1" t="n">
        <f aca="false">IF(OR($M$1="",对接源_02物料!$C996="",对接源_02物料!$C996&lt;&gt;$M$1,对接源_02物料!$B996=""),0,IF(OR(N(对接源_02物料!$B996)&lt;$M$2,N(对接源_02物料!$B996)&gt;$M$3),0,1))</f>
        <v>0</v>
      </c>
      <c r="N2196" s="1" t="n">
        <f aca="false">IF(OR($N$1="",对接源_02物料!$C996="",对接源_02物料!$C996&lt;&gt;$N$1,对接源_02物料!$B996=""),0,IF(OR(N(对接源_02物料!$B996)&lt;$N$2,N(对接源_02物料!$B996)&gt;$N$3),0,1))</f>
        <v>0</v>
      </c>
      <c r="P2196" s="1" t="n">
        <f aca="false">IF(AND($K2196=1,AND(对接源_02物料!$X996="公司筐",N(对接源_02物料!$T996)&lt;&gt;0)),1,0)</f>
        <v>0</v>
      </c>
      <c r="Q2196" s="1" t="n">
        <f aca="false">N(Q2195)+$P2196</f>
        <v>13</v>
      </c>
      <c r="R2196" s="1" t="n">
        <f aca="false">IF(AND($K2196=1,AND(对接源_02物料!$X996="公司筐",N(对接源_02物料!$U996)&lt;&gt;0)),1,0)</f>
        <v>0</v>
      </c>
      <c r="S2196" s="1" t="n">
        <f aca="false">N(S2195)+$R2196</f>
        <v>5</v>
      </c>
      <c r="T2196" s="1" t="n">
        <f aca="false">IF(AND($K2196=1,AND(对接源_02物料!$X996="公司筐",N(对接源_02物料!$V996)&lt;&gt;0)),1,0)</f>
        <v>0</v>
      </c>
      <c r="U2196" s="1" t="n">
        <f aca="false">N(U2195)+$T2196</f>
        <v>28</v>
      </c>
      <c r="V2196" s="1" t="n">
        <f aca="false">IF(AND($L2196=1,AND(对接源_02物料!$X996="自备筐",N(对接源_02物料!$V996)&lt;&gt;0)),1,0)</f>
        <v>0</v>
      </c>
      <c r="W2196" s="1" t="n">
        <f aca="false">N(W2195)+$V2196</f>
        <v>7</v>
      </c>
      <c r="X2196" s="1" t="n">
        <f aca="false">IF(AND($L2196=1,AND(对接源_02物料!$X996="自备筐",N(对接源_02物料!$T996)&lt;&gt;0)),1,0)</f>
        <v>0</v>
      </c>
      <c r="Y2196" s="1" t="n">
        <f aca="false">N(Y2195)+$X2196</f>
        <v>0</v>
      </c>
      <c r="Z2196" s="1" t="n">
        <f aca="false">IF(AND($M2196=1,对接源_02物料!$D996="原料入库"),1,0)</f>
        <v>0</v>
      </c>
      <c r="AA2196" s="1" t="n">
        <f aca="false">N(AA2195)+$Z2196</f>
        <v>30</v>
      </c>
      <c r="AB2196" s="1" t="n">
        <f aca="false">IF(AND($M2196=1,LEFT(对接源_02物料!$D996,4)="原料出库"),1,0)</f>
        <v>0</v>
      </c>
      <c r="AC2196" s="1" t="n">
        <f aca="false">N(AC2195)+$AB2196</f>
        <v>19</v>
      </c>
      <c r="AD2196" s="1" t="n">
        <f aca="false">IF(AND($M2196=1,LEFT(对接源_02物料!$D996,4)="成品出库"),1,0)</f>
        <v>0</v>
      </c>
      <c r="AE2196" s="1" t="n">
        <f aca="false">N(AE2195)+$AD2196</f>
        <v>38</v>
      </c>
      <c r="AF2196" s="1" t="n">
        <f aca="false">IF(AND($N2196=1,AND(LEFT(对接源_02物料!$D996,4)="包装物料",N(对接源_02物料!$K996)&lt;&gt;0)),1,0)</f>
        <v>0</v>
      </c>
      <c r="AG2196" s="1" t="n">
        <f aca="false">N(AG2195)+$AF2196</f>
        <v>6</v>
      </c>
      <c r="AH2196" s="1" t="n">
        <f aca="false">IF(AND($N2196=1,AND(LEFT(对接源_02物料!$D996,3)="周转筐",N(对接源_02物料!$K996)&lt;&gt;0)),1,0)</f>
        <v>0</v>
      </c>
      <c r="AI2196" s="1" t="n">
        <f aca="false">N(AI2195)+$AH2196</f>
        <v>0</v>
      </c>
      <c r="AJ2196" s="1" t="n">
        <v>0</v>
      </c>
      <c r="AK2196" s="1" t="n">
        <f aca="false">N(AK2195)+$AJ2196</f>
        <v>3672</v>
      </c>
    </row>
    <row r="2197" customFormat="false" ht="13.5" hidden="false" customHeight="false" outlineLevel="0" collapsed="false">
      <c r="A2197" s="1" t="str">
        <f aca="false">IF(对接源_02物料!$C997="","",对接源_02物料!$C997)</f>
        <v/>
      </c>
      <c r="B2197" s="1" t="n">
        <f aca="false">IF(A2197="",0,IF(MATCH(A2197,$A$4:$A$2403,0)=ROW()-3,1,0))</f>
        <v>0</v>
      </c>
      <c r="C2197" s="1" t="n">
        <f aca="false">N(C2196)+B2197</f>
        <v>17</v>
      </c>
      <c r="K2197" s="1" t="n">
        <f aca="false">IF(OR($K$1="",对接源_02物料!$C997="",对接源_02物料!$C997&lt;&gt;$K$1,对接源_02物料!$B997=""),0,IF(OR(N(对接源_02物料!$B997)&lt;$K$2,N(对接源_02物料!$B997)&gt;$K$3),0,1))</f>
        <v>0</v>
      </c>
      <c r="L2197" s="1" t="n">
        <f aca="false">IF(OR($L$1="",对接源_02物料!$C997="",对接源_02物料!$C997&lt;&gt;$L$1,对接源_02物料!$B997=""),0,IF(OR(N(对接源_02物料!$B997)&lt;$L$2,N(对接源_02物料!$B997)&gt;$L$3),0,1))</f>
        <v>0</v>
      </c>
      <c r="M2197" s="1" t="n">
        <f aca="false">IF(OR($M$1="",对接源_02物料!$C997="",对接源_02物料!$C997&lt;&gt;$M$1,对接源_02物料!$B997=""),0,IF(OR(N(对接源_02物料!$B997)&lt;$M$2,N(对接源_02物料!$B997)&gt;$M$3),0,1))</f>
        <v>0</v>
      </c>
      <c r="N2197" s="1" t="n">
        <f aca="false">IF(OR($N$1="",对接源_02物料!$C997="",对接源_02物料!$C997&lt;&gt;$N$1,对接源_02物料!$B997=""),0,IF(OR(N(对接源_02物料!$B997)&lt;$N$2,N(对接源_02物料!$B997)&gt;$N$3),0,1))</f>
        <v>0</v>
      </c>
      <c r="P2197" s="1" t="n">
        <f aca="false">IF(AND($K2197=1,AND(对接源_02物料!$X997="公司筐",N(对接源_02物料!$T997)&lt;&gt;0)),1,0)</f>
        <v>0</v>
      </c>
      <c r="Q2197" s="1" t="n">
        <f aca="false">N(Q2196)+$P2197</f>
        <v>13</v>
      </c>
      <c r="R2197" s="1" t="n">
        <f aca="false">IF(AND($K2197=1,AND(对接源_02物料!$X997="公司筐",N(对接源_02物料!$U997)&lt;&gt;0)),1,0)</f>
        <v>0</v>
      </c>
      <c r="S2197" s="1" t="n">
        <f aca="false">N(S2196)+$R2197</f>
        <v>5</v>
      </c>
      <c r="T2197" s="1" t="n">
        <f aca="false">IF(AND($K2197=1,AND(对接源_02物料!$X997="公司筐",N(对接源_02物料!$V997)&lt;&gt;0)),1,0)</f>
        <v>0</v>
      </c>
      <c r="U2197" s="1" t="n">
        <f aca="false">N(U2196)+$T2197</f>
        <v>28</v>
      </c>
      <c r="V2197" s="1" t="n">
        <f aca="false">IF(AND($L2197=1,AND(对接源_02物料!$X997="自备筐",N(对接源_02物料!$V997)&lt;&gt;0)),1,0)</f>
        <v>0</v>
      </c>
      <c r="W2197" s="1" t="n">
        <f aca="false">N(W2196)+$V2197</f>
        <v>7</v>
      </c>
      <c r="X2197" s="1" t="n">
        <f aca="false">IF(AND($L2197=1,AND(对接源_02物料!$X997="自备筐",N(对接源_02物料!$T997)&lt;&gt;0)),1,0)</f>
        <v>0</v>
      </c>
      <c r="Y2197" s="1" t="n">
        <f aca="false">N(Y2196)+$X2197</f>
        <v>0</v>
      </c>
      <c r="Z2197" s="1" t="n">
        <f aca="false">IF(AND($M2197=1,对接源_02物料!$D997="原料入库"),1,0)</f>
        <v>0</v>
      </c>
      <c r="AA2197" s="1" t="n">
        <f aca="false">N(AA2196)+$Z2197</f>
        <v>30</v>
      </c>
      <c r="AB2197" s="1" t="n">
        <f aca="false">IF(AND($M2197=1,LEFT(对接源_02物料!$D997,4)="原料出库"),1,0)</f>
        <v>0</v>
      </c>
      <c r="AC2197" s="1" t="n">
        <f aca="false">N(AC2196)+$AB2197</f>
        <v>19</v>
      </c>
      <c r="AD2197" s="1" t="n">
        <f aca="false">IF(AND($M2197=1,LEFT(对接源_02物料!$D997,4)="成品出库"),1,0)</f>
        <v>0</v>
      </c>
      <c r="AE2197" s="1" t="n">
        <f aca="false">N(AE2196)+$AD2197</f>
        <v>38</v>
      </c>
      <c r="AF2197" s="1" t="n">
        <f aca="false">IF(AND($N2197=1,AND(LEFT(对接源_02物料!$D997,4)="包装物料",N(对接源_02物料!$K997)&lt;&gt;0)),1,0)</f>
        <v>0</v>
      </c>
      <c r="AG2197" s="1" t="n">
        <f aca="false">N(AG2196)+$AF2197</f>
        <v>6</v>
      </c>
      <c r="AH2197" s="1" t="n">
        <f aca="false">IF(AND($N2197=1,AND(LEFT(对接源_02物料!$D997,3)="周转筐",N(对接源_02物料!$K997)&lt;&gt;0)),1,0)</f>
        <v>0</v>
      </c>
      <c r="AI2197" s="1" t="n">
        <f aca="false">N(AI2196)+$AH2197</f>
        <v>0</v>
      </c>
      <c r="AJ2197" s="1" t="n">
        <v>0</v>
      </c>
      <c r="AK2197" s="1" t="n">
        <f aca="false">N(AK2196)+$AJ2197</f>
        <v>3672</v>
      </c>
    </row>
    <row r="2198" customFormat="false" ht="13.5" hidden="false" customHeight="false" outlineLevel="0" collapsed="false">
      <c r="A2198" s="1" t="str">
        <f aca="false">IF(对接源_02物料!$C998="","",对接源_02物料!$C998)</f>
        <v/>
      </c>
      <c r="B2198" s="1" t="n">
        <f aca="false">IF(A2198="",0,IF(MATCH(A2198,$A$4:$A$2403,0)=ROW()-3,1,0))</f>
        <v>0</v>
      </c>
      <c r="C2198" s="1" t="n">
        <f aca="false">N(C2197)+B2198</f>
        <v>17</v>
      </c>
      <c r="K2198" s="1" t="n">
        <f aca="false">IF(OR($K$1="",对接源_02物料!$C998="",对接源_02物料!$C998&lt;&gt;$K$1,对接源_02物料!$B998=""),0,IF(OR(N(对接源_02物料!$B998)&lt;$K$2,N(对接源_02物料!$B998)&gt;$K$3),0,1))</f>
        <v>0</v>
      </c>
      <c r="L2198" s="1" t="n">
        <f aca="false">IF(OR($L$1="",对接源_02物料!$C998="",对接源_02物料!$C998&lt;&gt;$L$1,对接源_02物料!$B998=""),0,IF(OR(N(对接源_02物料!$B998)&lt;$L$2,N(对接源_02物料!$B998)&gt;$L$3),0,1))</f>
        <v>0</v>
      </c>
      <c r="M2198" s="1" t="n">
        <f aca="false">IF(OR($M$1="",对接源_02物料!$C998="",对接源_02物料!$C998&lt;&gt;$M$1,对接源_02物料!$B998=""),0,IF(OR(N(对接源_02物料!$B998)&lt;$M$2,N(对接源_02物料!$B998)&gt;$M$3),0,1))</f>
        <v>0</v>
      </c>
      <c r="N2198" s="1" t="n">
        <f aca="false">IF(OR($N$1="",对接源_02物料!$C998="",对接源_02物料!$C998&lt;&gt;$N$1,对接源_02物料!$B998=""),0,IF(OR(N(对接源_02物料!$B998)&lt;$N$2,N(对接源_02物料!$B998)&gt;$N$3),0,1))</f>
        <v>0</v>
      </c>
      <c r="P2198" s="1" t="n">
        <f aca="false">IF(AND($K2198=1,AND(对接源_02物料!$X998="公司筐",N(对接源_02物料!$T998)&lt;&gt;0)),1,0)</f>
        <v>0</v>
      </c>
      <c r="Q2198" s="1" t="n">
        <f aca="false">N(Q2197)+$P2198</f>
        <v>13</v>
      </c>
      <c r="R2198" s="1" t="n">
        <f aca="false">IF(AND($K2198=1,AND(对接源_02物料!$X998="公司筐",N(对接源_02物料!$U998)&lt;&gt;0)),1,0)</f>
        <v>0</v>
      </c>
      <c r="S2198" s="1" t="n">
        <f aca="false">N(S2197)+$R2198</f>
        <v>5</v>
      </c>
      <c r="T2198" s="1" t="n">
        <f aca="false">IF(AND($K2198=1,AND(对接源_02物料!$X998="公司筐",N(对接源_02物料!$V998)&lt;&gt;0)),1,0)</f>
        <v>0</v>
      </c>
      <c r="U2198" s="1" t="n">
        <f aca="false">N(U2197)+$T2198</f>
        <v>28</v>
      </c>
      <c r="V2198" s="1" t="n">
        <f aca="false">IF(AND($L2198=1,AND(对接源_02物料!$X998="自备筐",N(对接源_02物料!$V998)&lt;&gt;0)),1,0)</f>
        <v>0</v>
      </c>
      <c r="W2198" s="1" t="n">
        <f aca="false">N(W2197)+$V2198</f>
        <v>7</v>
      </c>
      <c r="X2198" s="1" t="n">
        <f aca="false">IF(AND($L2198=1,AND(对接源_02物料!$X998="自备筐",N(对接源_02物料!$T998)&lt;&gt;0)),1,0)</f>
        <v>0</v>
      </c>
      <c r="Y2198" s="1" t="n">
        <f aca="false">N(Y2197)+$X2198</f>
        <v>0</v>
      </c>
      <c r="Z2198" s="1" t="n">
        <f aca="false">IF(AND($M2198=1,对接源_02物料!$D998="原料入库"),1,0)</f>
        <v>0</v>
      </c>
      <c r="AA2198" s="1" t="n">
        <f aca="false">N(AA2197)+$Z2198</f>
        <v>30</v>
      </c>
      <c r="AB2198" s="1" t="n">
        <f aca="false">IF(AND($M2198=1,LEFT(对接源_02物料!$D998,4)="原料出库"),1,0)</f>
        <v>0</v>
      </c>
      <c r="AC2198" s="1" t="n">
        <f aca="false">N(AC2197)+$AB2198</f>
        <v>19</v>
      </c>
      <c r="AD2198" s="1" t="n">
        <f aca="false">IF(AND($M2198=1,LEFT(对接源_02物料!$D998,4)="成品出库"),1,0)</f>
        <v>0</v>
      </c>
      <c r="AE2198" s="1" t="n">
        <f aca="false">N(AE2197)+$AD2198</f>
        <v>38</v>
      </c>
      <c r="AF2198" s="1" t="n">
        <f aca="false">IF(AND($N2198=1,AND(LEFT(对接源_02物料!$D998,4)="包装物料",N(对接源_02物料!$K998)&lt;&gt;0)),1,0)</f>
        <v>0</v>
      </c>
      <c r="AG2198" s="1" t="n">
        <f aca="false">N(AG2197)+$AF2198</f>
        <v>6</v>
      </c>
      <c r="AH2198" s="1" t="n">
        <f aca="false">IF(AND($N2198=1,AND(LEFT(对接源_02物料!$D998,3)="周转筐",N(对接源_02物料!$K998)&lt;&gt;0)),1,0)</f>
        <v>0</v>
      </c>
      <c r="AI2198" s="1" t="n">
        <f aca="false">N(AI2197)+$AH2198</f>
        <v>0</v>
      </c>
      <c r="AJ2198" s="1" t="n">
        <v>0</v>
      </c>
      <c r="AK2198" s="1" t="n">
        <f aca="false">N(AK2197)+$AJ2198</f>
        <v>3672</v>
      </c>
    </row>
    <row r="2199" customFormat="false" ht="13.5" hidden="false" customHeight="false" outlineLevel="0" collapsed="false">
      <c r="A2199" s="1" t="str">
        <f aca="false">IF(对接源_02物料!$C999="","",对接源_02物料!$C999)</f>
        <v/>
      </c>
      <c r="B2199" s="1" t="n">
        <f aca="false">IF(A2199="",0,IF(MATCH(A2199,$A$4:$A$2403,0)=ROW()-3,1,0))</f>
        <v>0</v>
      </c>
      <c r="C2199" s="1" t="n">
        <f aca="false">N(C2198)+B2199</f>
        <v>17</v>
      </c>
      <c r="K2199" s="1" t="n">
        <f aca="false">IF(OR($K$1="",对接源_02物料!$C999="",对接源_02物料!$C999&lt;&gt;$K$1,对接源_02物料!$B999=""),0,IF(OR(N(对接源_02物料!$B999)&lt;$K$2,N(对接源_02物料!$B999)&gt;$K$3),0,1))</f>
        <v>0</v>
      </c>
      <c r="L2199" s="1" t="n">
        <f aca="false">IF(OR($L$1="",对接源_02物料!$C999="",对接源_02物料!$C999&lt;&gt;$L$1,对接源_02物料!$B999=""),0,IF(OR(N(对接源_02物料!$B999)&lt;$L$2,N(对接源_02物料!$B999)&gt;$L$3),0,1))</f>
        <v>0</v>
      </c>
      <c r="M2199" s="1" t="n">
        <f aca="false">IF(OR($M$1="",对接源_02物料!$C999="",对接源_02物料!$C999&lt;&gt;$M$1,对接源_02物料!$B999=""),0,IF(OR(N(对接源_02物料!$B999)&lt;$M$2,N(对接源_02物料!$B999)&gt;$M$3),0,1))</f>
        <v>0</v>
      </c>
      <c r="N2199" s="1" t="n">
        <f aca="false">IF(OR($N$1="",对接源_02物料!$C999="",对接源_02物料!$C999&lt;&gt;$N$1,对接源_02物料!$B999=""),0,IF(OR(N(对接源_02物料!$B999)&lt;$N$2,N(对接源_02物料!$B999)&gt;$N$3),0,1))</f>
        <v>0</v>
      </c>
      <c r="P2199" s="1" t="n">
        <f aca="false">IF(AND($K2199=1,AND(对接源_02物料!$X999="公司筐",N(对接源_02物料!$T999)&lt;&gt;0)),1,0)</f>
        <v>0</v>
      </c>
      <c r="Q2199" s="1" t="n">
        <f aca="false">N(Q2198)+$P2199</f>
        <v>13</v>
      </c>
      <c r="R2199" s="1" t="n">
        <f aca="false">IF(AND($K2199=1,AND(对接源_02物料!$X999="公司筐",N(对接源_02物料!$U999)&lt;&gt;0)),1,0)</f>
        <v>0</v>
      </c>
      <c r="S2199" s="1" t="n">
        <f aca="false">N(S2198)+$R2199</f>
        <v>5</v>
      </c>
      <c r="T2199" s="1" t="n">
        <f aca="false">IF(AND($K2199=1,AND(对接源_02物料!$X999="公司筐",N(对接源_02物料!$V999)&lt;&gt;0)),1,0)</f>
        <v>0</v>
      </c>
      <c r="U2199" s="1" t="n">
        <f aca="false">N(U2198)+$T2199</f>
        <v>28</v>
      </c>
      <c r="V2199" s="1" t="n">
        <f aca="false">IF(AND($L2199=1,AND(对接源_02物料!$X999="自备筐",N(对接源_02物料!$V999)&lt;&gt;0)),1,0)</f>
        <v>0</v>
      </c>
      <c r="W2199" s="1" t="n">
        <f aca="false">N(W2198)+$V2199</f>
        <v>7</v>
      </c>
      <c r="X2199" s="1" t="n">
        <f aca="false">IF(AND($L2199=1,AND(对接源_02物料!$X999="自备筐",N(对接源_02物料!$T999)&lt;&gt;0)),1,0)</f>
        <v>0</v>
      </c>
      <c r="Y2199" s="1" t="n">
        <f aca="false">N(Y2198)+$X2199</f>
        <v>0</v>
      </c>
      <c r="Z2199" s="1" t="n">
        <f aca="false">IF(AND($M2199=1,对接源_02物料!$D999="原料入库"),1,0)</f>
        <v>0</v>
      </c>
      <c r="AA2199" s="1" t="n">
        <f aca="false">N(AA2198)+$Z2199</f>
        <v>30</v>
      </c>
      <c r="AB2199" s="1" t="n">
        <f aca="false">IF(AND($M2199=1,LEFT(对接源_02物料!$D999,4)="原料出库"),1,0)</f>
        <v>0</v>
      </c>
      <c r="AC2199" s="1" t="n">
        <f aca="false">N(AC2198)+$AB2199</f>
        <v>19</v>
      </c>
      <c r="AD2199" s="1" t="n">
        <f aca="false">IF(AND($M2199=1,LEFT(对接源_02物料!$D999,4)="成品出库"),1,0)</f>
        <v>0</v>
      </c>
      <c r="AE2199" s="1" t="n">
        <f aca="false">N(AE2198)+$AD2199</f>
        <v>38</v>
      </c>
      <c r="AF2199" s="1" t="n">
        <f aca="false">IF(AND($N2199=1,AND(LEFT(对接源_02物料!$D999,4)="包装物料",N(对接源_02物料!$K999)&lt;&gt;0)),1,0)</f>
        <v>0</v>
      </c>
      <c r="AG2199" s="1" t="n">
        <f aca="false">N(AG2198)+$AF2199</f>
        <v>6</v>
      </c>
      <c r="AH2199" s="1" t="n">
        <f aca="false">IF(AND($N2199=1,AND(LEFT(对接源_02物料!$D999,3)="周转筐",N(对接源_02物料!$K999)&lt;&gt;0)),1,0)</f>
        <v>0</v>
      </c>
      <c r="AI2199" s="1" t="n">
        <f aca="false">N(AI2198)+$AH2199</f>
        <v>0</v>
      </c>
      <c r="AJ2199" s="1" t="n">
        <v>0</v>
      </c>
      <c r="AK2199" s="1" t="n">
        <f aca="false">N(AK2198)+$AJ2199</f>
        <v>3672</v>
      </c>
    </row>
    <row r="2200" customFormat="false" ht="13.5" hidden="false" customHeight="false" outlineLevel="0" collapsed="false">
      <c r="A2200" s="1" t="str">
        <f aca="false">IF(对接源_02物料!$C1000="","",对接源_02物料!$C1000)</f>
        <v/>
      </c>
      <c r="B2200" s="1" t="n">
        <f aca="false">IF(A2200="",0,IF(MATCH(A2200,$A$4:$A$2403,0)=ROW()-3,1,0))</f>
        <v>0</v>
      </c>
      <c r="C2200" s="1" t="n">
        <f aca="false">N(C2199)+B2200</f>
        <v>17</v>
      </c>
      <c r="K2200" s="1" t="n">
        <f aca="false">IF(OR($K$1="",对接源_02物料!$C1000="",对接源_02物料!$C1000&lt;&gt;$K$1,对接源_02物料!$B1000=""),0,IF(OR(N(对接源_02物料!$B1000)&lt;$K$2,N(对接源_02物料!$B1000)&gt;$K$3),0,1))</f>
        <v>0</v>
      </c>
      <c r="L2200" s="1" t="n">
        <f aca="false">IF(OR($L$1="",对接源_02物料!$C1000="",对接源_02物料!$C1000&lt;&gt;$L$1,对接源_02物料!$B1000=""),0,IF(OR(N(对接源_02物料!$B1000)&lt;$L$2,N(对接源_02物料!$B1000)&gt;$L$3),0,1))</f>
        <v>0</v>
      </c>
      <c r="M2200" s="1" t="n">
        <f aca="false">IF(OR($M$1="",对接源_02物料!$C1000="",对接源_02物料!$C1000&lt;&gt;$M$1,对接源_02物料!$B1000=""),0,IF(OR(N(对接源_02物料!$B1000)&lt;$M$2,N(对接源_02物料!$B1000)&gt;$M$3),0,1))</f>
        <v>0</v>
      </c>
      <c r="N2200" s="1" t="n">
        <f aca="false">IF(OR($N$1="",对接源_02物料!$C1000="",对接源_02物料!$C1000&lt;&gt;$N$1,对接源_02物料!$B1000=""),0,IF(OR(N(对接源_02物料!$B1000)&lt;$N$2,N(对接源_02物料!$B1000)&gt;$N$3),0,1))</f>
        <v>0</v>
      </c>
      <c r="P2200" s="1" t="n">
        <f aca="false">IF(AND($K2200=1,AND(对接源_02物料!$X1000="公司筐",N(对接源_02物料!$T1000)&lt;&gt;0)),1,0)</f>
        <v>0</v>
      </c>
      <c r="Q2200" s="1" t="n">
        <f aca="false">N(Q2199)+$P2200</f>
        <v>13</v>
      </c>
      <c r="R2200" s="1" t="n">
        <f aca="false">IF(AND($K2200=1,AND(对接源_02物料!$X1000="公司筐",N(对接源_02物料!$U1000)&lt;&gt;0)),1,0)</f>
        <v>0</v>
      </c>
      <c r="S2200" s="1" t="n">
        <f aca="false">N(S2199)+$R2200</f>
        <v>5</v>
      </c>
      <c r="T2200" s="1" t="n">
        <f aca="false">IF(AND($K2200=1,AND(对接源_02物料!$X1000="公司筐",N(对接源_02物料!$V1000)&lt;&gt;0)),1,0)</f>
        <v>0</v>
      </c>
      <c r="U2200" s="1" t="n">
        <f aca="false">N(U2199)+$T2200</f>
        <v>28</v>
      </c>
      <c r="V2200" s="1" t="n">
        <f aca="false">IF(AND($L2200=1,AND(对接源_02物料!$X1000="自备筐",N(对接源_02物料!$V1000)&lt;&gt;0)),1,0)</f>
        <v>0</v>
      </c>
      <c r="W2200" s="1" t="n">
        <f aca="false">N(W2199)+$V2200</f>
        <v>7</v>
      </c>
      <c r="X2200" s="1" t="n">
        <f aca="false">IF(AND($L2200=1,AND(对接源_02物料!$X1000="自备筐",N(对接源_02物料!$T1000)&lt;&gt;0)),1,0)</f>
        <v>0</v>
      </c>
      <c r="Y2200" s="1" t="n">
        <f aca="false">N(Y2199)+$X2200</f>
        <v>0</v>
      </c>
      <c r="Z2200" s="1" t="n">
        <f aca="false">IF(AND($M2200=1,对接源_02物料!$D1000="原料入库"),1,0)</f>
        <v>0</v>
      </c>
      <c r="AA2200" s="1" t="n">
        <f aca="false">N(AA2199)+$Z2200</f>
        <v>30</v>
      </c>
      <c r="AB2200" s="1" t="n">
        <f aca="false">IF(AND($M2200=1,LEFT(对接源_02物料!$D1000,4)="原料出库"),1,0)</f>
        <v>0</v>
      </c>
      <c r="AC2200" s="1" t="n">
        <f aca="false">N(AC2199)+$AB2200</f>
        <v>19</v>
      </c>
      <c r="AD2200" s="1" t="n">
        <f aca="false">IF(AND($M2200=1,LEFT(对接源_02物料!$D1000,4)="成品出库"),1,0)</f>
        <v>0</v>
      </c>
      <c r="AE2200" s="1" t="n">
        <f aca="false">N(AE2199)+$AD2200</f>
        <v>38</v>
      </c>
      <c r="AF2200" s="1" t="n">
        <f aca="false">IF(AND($N2200=1,AND(LEFT(对接源_02物料!$D1000,4)="包装物料",N(对接源_02物料!$K1000)&lt;&gt;0)),1,0)</f>
        <v>0</v>
      </c>
      <c r="AG2200" s="1" t="n">
        <f aca="false">N(AG2199)+$AF2200</f>
        <v>6</v>
      </c>
      <c r="AH2200" s="1" t="n">
        <f aca="false">IF(AND($N2200=1,AND(LEFT(对接源_02物料!$D1000,3)="周转筐",N(对接源_02物料!$K1000)&lt;&gt;0)),1,0)</f>
        <v>0</v>
      </c>
      <c r="AI2200" s="1" t="n">
        <f aca="false">N(AI2199)+$AH2200</f>
        <v>0</v>
      </c>
      <c r="AJ2200" s="1" t="n">
        <v>0</v>
      </c>
      <c r="AK2200" s="1" t="n">
        <f aca="false">N(AK2199)+$AJ2200</f>
        <v>3672</v>
      </c>
    </row>
    <row r="2201" customFormat="false" ht="13.5" hidden="false" customHeight="false" outlineLevel="0" collapsed="false">
      <c r="A2201" s="1" t="str">
        <f aca="false">IF(对接源_02物料!$C1001="","",对接源_02物料!$C1001)</f>
        <v/>
      </c>
      <c r="B2201" s="1" t="n">
        <f aca="false">IF(A2201="",0,IF(MATCH(A2201,$A$4:$A$2403,0)=ROW()-3,1,0))</f>
        <v>0</v>
      </c>
      <c r="C2201" s="1" t="n">
        <f aca="false">N(C2200)+B2201</f>
        <v>17</v>
      </c>
      <c r="K2201" s="1" t="n">
        <f aca="false">IF(OR($K$1="",对接源_02物料!$C1001="",对接源_02物料!$C1001&lt;&gt;$K$1,对接源_02物料!$B1001=""),0,IF(OR(N(对接源_02物料!$B1001)&lt;$K$2,N(对接源_02物料!$B1001)&gt;$K$3),0,1))</f>
        <v>0</v>
      </c>
      <c r="L2201" s="1" t="n">
        <f aca="false">IF(OR($L$1="",对接源_02物料!$C1001="",对接源_02物料!$C1001&lt;&gt;$L$1,对接源_02物料!$B1001=""),0,IF(OR(N(对接源_02物料!$B1001)&lt;$L$2,N(对接源_02物料!$B1001)&gt;$L$3),0,1))</f>
        <v>0</v>
      </c>
      <c r="M2201" s="1" t="n">
        <f aca="false">IF(OR($M$1="",对接源_02物料!$C1001="",对接源_02物料!$C1001&lt;&gt;$M$1,对接源_02物料!$B1001=""),0,IF(OR(N(对接源_02物料!$B1001)&lt;$M$2,N(对接源_02物料!$B1001)&gt;$M$3),0,1))</f>
        <v>0</v>
      </c>
      <c r="N2201" s="1" t="n">
        <f aca="false">IF(OR($N$1="",对接源_02物料!$C1001="",对接源_02物料!$C1001&lt;&gt;$N$1,对接源_02物料!$B1001=""),0,IF(OR(N(对接源_02物料!$B1001)&lt;$N$2,N(对接源_02物料!$B1001)&gt;$N$3),0,1))</f>
        <v>0</v>
      </c>
      <c r="P2201" s="1" t="n">
        <f aca="false">IF(AND($K2201=1,AND(对接源_02物料!$X1001="公司筐",N(对接源_02物料!$T1001)&lt;&gt;0)),1,0)</f>
        <v>0</v>
      </c>
      <c r="Q2201" s="1" t="n">
        <f aca="false">N(Q2200)+$P2201</f>
        <v>13</v>
      </c>
      <c r="R2201" s="1" t="n">
        <f aca="false">IF(AND($K2201=1,AND(对接源_02物料!$X1001="公司筐",N(对接源_02物料!$U1001)&lt;&gt;0)),1,0)</f>
        <v>0</v>
      </c>
      <c r="S2201" s="1" t="n">
        <f aca="false">N(S2200)+$R2201</f>
        <v>5</v>
      </c>
      <c r="T2201" s="1" t="n">
        <f aca="false">IF(AND($K2201=1,AND(对接源_02物料!$X1001="公司筐",N(对接源_02物料!$V1001)&lt;&gt;0)),1,0)</f>
        <v>0</v>
      </c>
      <c r="U2201" s="1" t="n">
        <f aca="false">N(U2200)+$T2201</f>
        <v>28</v>
      </c>
      <c r="V2201" s="1" t="n">
        <f aca="false">IF(AND($L2201=1,AND(对接源_02物料!$X1001="自备筐",N(对接源_02物料!$V1001)&lt;&gt;0)),1,0)</f>
        <v>0</v>
      </c>
      <c r="W2201" s="1" t="n">
        <f aca="false">N(W2200)+$V2201</f>
        <v>7</v>
      </c>
      <c r="X2201" s="1" t="n">
        <f aca="false">IF(AND($L2201=1,AND(对接源_02物料!$X1001="自备筐",N(对接源_02物料!$T1001)&lt;&gt;0)),1,0)</f>
        <v>0</v>
      </c>
      <c r="Y2201" s="1" t="n">
        <f aca="false">N(Y2200)+$X2201</f>
        <v>0</v>
      </c>
      <c r="Z2201" s="1" t="n">
        <f aca="false">IF(AND($M2201=1,对接源_02物料!$D1001="原料入库"),1,0)</f>
        <v>0</v>
      </c>
      <c r="AA2201" s="1" t="n">
        <f aca="false">N(AA2200)+$Z2201</f>
        <v>30</v>
      </c>
      <c r="AB2201" s="1" t="n">
        <f aca="false">IF(AND($M2201=1,LEFT(对接源_02物料!$D1001,4)="原料出库"),1,0)</f>
        <v>0</v>
      </c>
      <c r="AC2201" s="1" t="n">
        <f aca="false">N(AC2200)+$AB2201</f>
        <v>19</v>
      </c>
      <c r="AD2201" s="1" t="n">
        <f aca="false">IF(AND($M2201=1,LEFT(对接源_02物料!$D1001,4)="成品出库"),1,0)</f>
        <v>0</v>
      </c>
      <c r="AE2201" s="1" t="n">
        <f aca="false">N(AE2200)+$AD2201</f>
        <v>38</v>
      </c>
      <c r="AF2201" s="1" t="n">
        <f aca="false">IF(AND($N2201=1,AND(LEFT(对接源_02物料!$D1001,4)="包装物料",N(对接源_02物料!$K1001)&lt;&gt;0)),1,0)</f>
        <v>0</v>
      </c>
      <c r="AG2201" s="1" t="n">
        <f aca="false">N(AG2200)+$AF2201</f>
        <v>6</v>
      </c>
      <c r="AH2201" s="1" t="n">
        <f aca="false">IF(AND($N2201=1,AND(LEFT(对接源_02物料!$D1001,3)="周转筐",N(对接源_02物料!$K1001)&lt;&gt;0)),1,0)</f>
        <v>0</v>
      </c>
      <c r="AI2201" s="1" t="n">
        <f aca="false">N(AI2200)+$AH2201</f>
        <v>0</v>
      </c>
      <c r="AJ2201" s="1" t="n">
        <v>0</v>
      </c>
      <c r="AK2201" s="1" t="n">
        <f aca="false">N(AK2200)+$AJ2201</f>
        <v>3672</v>
      </c>
    </row>
    <row r="2202" customFormat="false" ht="13.5" hidden="false" customHeight="false" outlineLevel="0" collapsed="false">
      <c r="A2202" s="1" t="str">
        <f aca="false">IF(对接源_02物料!$C1002="","",对接源_02物料!$C1002)</f>
        <v/>
      </c>
      <c r="B2202" s="1" t="n">
        <f aca="false">IF(A2202="",0,IF(MATCH(A2202,$A$4:$A$2403,0)=ROW()-3,1,0))</f>
        <v>0</v>
      </c>
      <c r="C2202" s="1" t="n">
        <f aca="false">N(C2201)+B2202</f>
        <v>17</v>
      </c>
      <c r="K2202" s="1" t="n">
        <f aca="false">IF(OR($K$1="",对接源_02物料!$C1002="",对接源_02物料!$C1002&lt;&gt;$K$1,对接源_02物料!$B1002=""),0,IF(OR(N(对接源_02物料!$B1002)&lt;$K$2,N(对接源_02物料!$B1002)&gt;$K$3),0,1))</f>
        <v>0</v>
      </c>
      <c r="L2202" s="1" t="n">
        <f aca="false">IF(OR($L$1="",对接源_02物料!$C1002="",对接源_02物料!$C1002&lt;&gt;$L$1,对接源_02物料!$B1002=""),0,IF(OR(N(对接源_02物料!$B1002)&lt;$L$2,N(对接源_02物料!$B1002)&gt;$L$3),0,1))</f>
        <v>0</v>
      </c>
      <c r="M2202" s="1" t="n">
        <f aca="false">IF(OR($M$1="",对接源_02物料!$C1002="",对接源_02物料!$C1002&lt;&gt;$M$1,对接源_02物料!$B1002=""),0,IF(OR(N(对接源_02物料!$B1002)&lt;$M$2,N(对接源_02物料!$B1002)&gt;$M$3),0,1))</f>
        <v>0</v>
      </c>
      <c r="N2202" s="1" t="n">
        <f aca="false">IF(OR($N$1="",对接源_02物料!$C1002="",对接源_02物料!$C1002&lt;&gt;$N$1,对接源_02物料!$B1002=""),0,IF(OR(N(对接源_02物料!$B1002)&lt;$N$2,N(对接源_02物料!$B1002)&gt;$N$3),0,1))</f>
        <v>0</v>
      </c>
      <c r="P2202" s="1" t="n">
        <f aca="false">IF(AND($K2202=1,AND(对接源_02物料!$X1002="公司筐",N(对接源_02物料!$T1002)&lt;&gt;0)),1,0)</f>
        <v>0</v>
      </c>
      <c r="Q2202" s="1" t="n">
        <f aca="false">N(Q2201)+$P2202</f>
        <v>13</v>
      </c>
      <c r="R2202" s="1" t="n">
        <f aca="false">IF(AND($K2202=1,AND(对接源_02物料!$X1002="公司筐",N(对接源_02物料!$U1002)&lt;&gt;0)),1,0)</f>
        <v>0</v>
      </c>
      <c r="S2202" s="1" t="n">
        <f aca="false">N(S2201)+$R2202</f>
        <v>5</v>
      </c>
      <c r="T2202" s="1" t="n">
        <f aca="false">IF(AND($K2202=1,AND(对接源_02物料!$X1002="公司筐",N(对接源_02物料!$V1002)&lt;&gt;0)),1,0)</f>
        <v>0</v>
      </c>
      <c r="U2202" s="1" t="n">
        <f aca="false">N(U2201)+$T2202</f>
        <v>28</v>
      </c>
      <c r="V2202" s="1" t="n">
        <f aca="false">IF(AND($L2202=1,AND(对接源_02物料!$X1002="自备筐",N(对接源_02物料!$V1002)&lt;&gt;0)),1,0)</f>
        <v>0</v>
      </c>
      <c r="W2202" s="1" t="n">
        <f aca="false">N(W2201)+$V2202</f>
        <v>7</v>
      </c>
      <c r="X2202" s="1" t="n">
        <f aca="false">IF(AND($L2202=1,AND(对接源_02物料!$X1002="自备筐",N(对接源_02物料!$T1002)&lt;&gt;0)),1,0)</f>
        <v>0</v>
      </c>
      <c r="Y2202" s="1" t="n">
        <f aca="false">N(Y2201)+$X2202</f>
        <v>0</v>
      </c>
      <c r="Z2202" s="1" t="n">
        <f aca="false">IF(AND($M2202=1,对接源_02物料!$D1002="原料入库"),1,0)</f>
        <v>0</v>
      </c>
      <c r="AA2202" s="1" t="n">
        <f aca="false">N(AA2201)+$Z2202</f>
        <v>30</v>
      </c>
      <c r="AB2202" s="1" t="n">
        <f aca="false">IF(AND($M2202=1,LEFT(对接源_02物料!$D1002,4)="原料出库"),1,0)</f>
        <v>0</v>
      </c>
      <c r="AC2202" s="1" t="n">
        <f aca="false">N(AC2201)+$AB2202</f>
        <v>19</v>
      </c>
      <c r="AD2202" s="1" t="n">
        <f aca="false">IF(AND($M2202=1,LEFT(对接源_02物料!$D1002,4)="成品出库"),1,0)</f>
        <v>0</v>
      </c>
      <c r="AE2202" s="1" t="n">
        <f aca="false">N(AE2201)+$AD2202</f>
        <v>38</v>
      </c>
      <c r="AF2202" s="1" t="n">
        <f aca="false">IF(AND($N2202=1,AND(LEFT(对接源_02物料!$D1002,4)="包装物料",N(对接源_02物料!$K1002)&lt;&gt;0)),1,0)</f>
        <v>0</v>
      </c>
      <c r="AG2202" s="1" t="n">
        <f aca="false">N(AG2201)+$AF2202</f>
        <v>6</v>
      </c>
      <c r="AH2202" s="1" t="n">
        <f aca="false">IF(AND($N2202=1,AND(LEFT(对接源_02物料!$D1002,3)="周转筐",N(对接源_02物料!$K1002)&lt;&gt;0)),1,0)</f>
        <v>0</v>
      </c>
      <c r="AI2202" s="1" t="n">
        <f aca="false">N(AI2201)+$AH2202</f>
        <v>0</v>
      </c>
      <c r="AJ2202" s="1" t="n">
        <v>0</v>
      </c>
      <c r="AK2202" s="1" t="n">
        <f aca="false">N(AK2201)+$AJ2202</f>
        <v>3672</v>
      </c>
    </row>
    <row r="2203" customFormat="false" ht="13.5" hidden="false" customHeight="false" outlineLevel="0" collapsed="false">
      <c r="A2203" s="1" t="str">
        <f aca="false">IF(对接源_02物料!$C1003="","",对接源_02物料!$C1003)</f>
        <v/>
      </c>
      <c r="B2203" s="1" t="n">
        <f aca="false">IF(A2203="",0,IF(MATCH(A2203,$A$4:$A$2403,0)=ROW()-3,1,0))</f>
        <v>0</v>
      </c>
      <c r="C2203" s="1" t="n">
        <f aca="false">N(C2202)+B2203</f>
        <v>17</v>
      </c>
      <c r="K2203" s="1" t="n">
        <f aca="false">IF(OR($K$1="",对接源_02物料!$C1003="",对接源_02物料!$C1003&lt;&gt;$K$1,对接源_02物料!$B1003=""),0,IF(OR(N(对接源_02物料!$B1003)&lt;$K$2,N(对接源_02物料!$B1003)&gt;$K$3),0,1))</f>
        <v>0</v>
      </c>
      <c r="L2203" s="1" t="n">
        <f aca="false">IF(OR($L$1="",对接源_02物料!$C1003="",对接源_02物料!$C1003&lt;&gt;$L$1,对接源_02物料!$B1003=""),0,IF(OR(N(对接源_02物料!$B1003)&lt;$L$2,N(对接源_02物料!$B1003)&gt;$L$3),0,1))</f>
        <v>0</v>
      </c>
      <c r="M2203" s="1" t="n">
        <f aca="false">IF(OR($M$1="",对接源_02物料!$C1003="",对接源_02物料!$C1003&lt;&gt;$M$1,对接源_02物料!$B1003=""),0,IF(OR(N(对接源_02物料!$B1003)&lt;$M$2,N(对接源_02物料!$B1003)&gt;$M$3),0,1))</f>
        <v>0</v>
      </c>
      <c r="N2203" s="1" t="n">
        <f aca="false">IF(OR($N$1="",对接源_02物料!$C1003="",对接源_02物料!$C1003&lt;&gt;$N$1,对接源_02物料!$B1003=""),0,IF(OR(N(对接源_02物料!$B1003)&lt;$N$2,N(对接源_02物料!$B1003)&gt;$N$3),0,1))</f>
        <v>0</v>
      </c>
      <c r="P2203" s="1" t="n">
        <f aca="false">IF(AND($K2203=1,AND(对接源_02物料!$X1003="公司筐",N(对接源_02物料!$T1003)&lt;&gt;0)),1,0)</f>
        <v>0</v>
      </c>
      <c r="Q2203" s="1" t="n">
        <f aca="false">N(Q2202)+$P2203</f>
        <v>13</v>
      </c>
      <c r="R2203" s="1" t="n">
        <f aca="false">IF(AND($K2203=1,AND(对接源_02物料!$X1003="公司筐",N(对接源_02物料!$U1003)&lt;&gt;0)),1,0)</f>
        <v>0</v>
      </c>
      <c r="S2203" s="1" t="n">
        <f aca="false">N(S2202)+$R2203</f>
        <v>5</v>
      </c>
      <c r="T2203" s="1" t="n">
        <f aca="false">IF(AND($K2203=1,AND(对接源_02物料!$X1003="公司筐",N(对接源_02物料!$V1003)&lt;&gt;0)),1,0)</f>
        <v>0</v>
      </c>
      <c r="U2203" s="1" t="n">
        <f aca="false">N(U2202)+$T2203</f>
        <v>28</v>
      </c>
      <c r="V2203" s="1" t="n">
        <f aca="false">IF(AND($L2203=1,AND(对接源_02物料!$X1003="自备筐",N(对接源_02物料!$V1003)&lt;&gt;0)),1,0)</f>
        <v>0</v>
      </c>
      <c r="W2203" s="1" t="n">
        <f aca="false">N(W2202)+$V2203</f>
        <v>7</v>
      </c>
      <c r="X2203" s="1" t="n">
        <f aca="false">IF(AND($L2203=1,AND(对接源_02物料!$X1003="自备筐",N(对接源_02物料!$T1003)&lt;&gt;0)),1,0)</f>
        <v>0</v>
      </c>
      <c r="Y2203" s="1" t="n">
        <f aca="false">N(Y2202)+$X2203</f>
        <v>0</v>
      </c>
      <c r="Z2203" s="1" t="n">
        <f aca="false">IF(AND($M2203=1,对接源_02物料!$D1003="原料入库"),1,0)</f>
        <v>0</v>
      </c>
      <c r="AA2203" s="1" t="n">
        <f aca="false">N(AA2202)+$Z2203</f>
        <v>30</v>
      </c>
      <c r="AB2203" s="1" t="n">
        <f aca="false">IF(AND($M2203=1,LEFT(对接源_02物料!$D1003,4)="原料出库"),1,0)</f>
        <v>0</v>
      </c>
      <c r="AC2203" s="1" t="n">
        <f aca="false">N(AC2202)+$AB2203</f>
        <v>19</v>
      </c>
      <c r="AD2203" s="1" t="n">
        <f aca="false">IF(AND($M2203=1,LEFT(对接源_02物料!$D1003,4)="成品出库"),1,0)</f>
        <v>0</v>
      </c>
      <c r="AE2203" s="1" t="n">
        <f aca="false">N(AE2202)+$AD2203</f>
        <v>38</v>
      </c>
      <c r="AF2203" s="1" t="n">
        <f aca="false">IF(AND($N2203=1,AND(LEFT(对接源_02物料!$D1003,4)="包装物料",N(对接源_02物料!$K1003)&lt;&gt;0)),1,0)</f>
        <v>0</v>
      </c>
      <c r="AG2203" s="1" t="n">
        <f aca="false">N(AG2202)+$AF2203</f>
        <v>6</v>
      </c>
      <c r="AH2203" s="1" t="n">
        <f aca="false">IF(AND($N2203=1,AND(LEFT(对接源_02物料!$D1003,3)="周转筐",N(对接源_02物料!$K1003)&lt;&gt;0)),1,0)</f>
        <v>0</v>
      </c>
      <c r="AI2203" s="1" t="n">
        <f aca="false">N(AI2202)+$AH2203</f>
        <v>0</v>
      </c>
      <c r="AJ2203" s="1" t="n">
        <v>0</v>
      </c>
      <c r="AK2203" s="1" t="n">
        <f aca="false">N(AK2202)+$AJ2203</f>
        <v>3672</v>
      </c>
    </row>
    <row r="2204" customFormat="false" ht="13.5" hidden="false" customHeight="false" outlineLevel="0" collapsed="false">
      <c r="A2204" s="1" t="str">
        <f aca="false">IF(对接源_02物料!$C1004="","",对接源_02物料!$C1004)</f>
        <v/>
      </c>
      <c r="B2204" s="1" t="n">
        <f aca="false">IF(A2204="",0,IF(MATCH(A2204,$A$4:$A$2403,0)=ROW()-3,1,0))</f>
        <v>0</v>
      </c>
      <c r="C2204" s="1" t="n">
        <f aca="false">N(C2203)+B2204</f>
        <v>17</v>
      </c>
      <c r="K2204" s="1" t="n">
        <f aca="false">IF(OR($K$1="",对接源_02物料!$C1004="",对接源_02物料!$C1004&lt;&gt;$K$1,对接源_02物料!$B1004=""),0,IF(OR(N(对接源_02物料!$B1004)&lt;$K$2,N(对接源_02物料!$B1004)&gt;$K$3),0,1))</f>
        <v>0</v>
      </c>
      <c r="L2204" s="1" t="n">
        <f aca="false">IF(OR($L$1="",对接源_02物料!$C1004="",对接源_02物料!$C1004&lt;&gt;$L$1,对接源_02物料!$B1004=""),0,IF(OR(N(对接源_02物料!$B1004)&lt;$L$2,N(对接源_02物料!$B1004)&gt;$L$3),0,1))</f>
        <v>0</v>
      </c>
      <c r="M2204" s="1" t="n">
        <f aca="false">IF(OR($M$1="",对接源_02物料!$C1004="",对接源_02物料!$C1004&lt;&gt;$M$1,对接源_02物料!$B1004=""),0,IF(OR(N(对接源_02物料!$B1004)&lt;$M$2,N(对接源_02物料!$B1004)&gt;$M$3),0,1))</f>
        <v>0</v>
      </c>
      <c r="N2204" s="1" t="n">
        <f aca="false">IF(OR($N$1="",对接源_02物料!$C1004="",对接源_02物料!$C1004&lt;&gt;$N$1,对接源_02物料!$B1004=""),0,IF(OR(N(对接源_02物料!$B1004)&lt;$N$2,N(对接源_02物料!$B1004)&gt;$N$3),0,1))</f>
        <v>0</v>
      </c>
      <c r="P2204" s="1" t="n">
        <f aca="false">IF(AND($K2204=1,AND(对接源_02物料!$X1004="公司筐",N(对接源_02物料!$T1004)&lt;&gt;0)),1,0)</f>
        <v>0</v>
      </c>
      <c r="Q2204" s="1" t="n">
        <f aca="false">N(Q2203)+$P2204</f>
        <v>13</v>
      </c>
      <c r="R2204" s="1" t="n">
        <f aca="false">IF(AND($K2204=1,AND(对接源_02物料!$X1004="公司筐",N(对接源_02物料!$U1004)&lt;&gt;0)),1,0)</f>
        <v>0</v>
      </c>
      <c r="S2204" s="1" t="n">
        <f aca="false">N(S2203)+$R2204</f>
        <v>5</v>
      </c>
      <c r="T2204" s="1" t="n">
        <f aca="false">IF(AND($K2204=1,AND(对接源_02物料!$X1004="公司筐",N(对接源_02物料!$V1004)&lt;&gt;0)),1,0)</f>
        <v>0</v>
      </c>
      <c r="U2204" s="1" t="n">
        <f aca="false">N(U2203)+$T2204</f>
        <v>28</v>
      </c>
      <c r="V2204" s="1" t="n">
        <f aca="false">IF(AND($L2204=1,AND(对接源_02物料!$X1004="自备筐",N(对接源_02物料!$V1004)&lt;&gt;0)),1,0)</f>
        <v>0</v>
      </c>
      <c r="W2204" s="1" t="n">
        <f aca="false">N(W2203)+$V2204</f>
        <v>7</v>
      </c>
      <c r="X2204" s="1" t="n">
        <f aca="false">IF(AND($L2204=1,AND(对接源_02物料!$X1004="自备筐",N(对接源_02物料!$T1004)&lt;&gt;0)),1,0)</f>
        <v>0</v>
      </c>
      <c r="Y2204" s="1" t="n">
        <f aca="false">N(Y2203)+$X2204</f>
        <v>0</v>
      </c>
      <c r="Z2204" s="1" t="n">
        <f aca="false">IF(AND($M2204=1,对接源_02物料!$D1004="原料入库"),1,0)</f>
        <v>0</v>
      </c>
      <c r="AA2204" s="1" t="n">
        <f aca="false">N(AA2203)+$Z2204</f>
        <v>30</v>
      </c>
      <c r="AB2204" s="1" t="n">
        <f aca="false">IF(AND($M2204=1,LEFT(对接源_02物料!$D1004,4)="原料出库"),1,0)</f>
        <v>0</v>
      </c>
      <c r="AC2204" s="1" t="n">
        <f aca="false">N(AC2203)+$AB2204</f>
        <v>19</v>
      </c>
      <c r="AD2204" s="1" t="n">
        <f aca="false">IF(AND($M2204=1,LEFT(对接源_02物料!$D1004,4)="成品出库"),1,0)</f>
        <v>0</v>
      </c>
      <c r="AE2204" s="1" t="n">
        <f aca="false">N(AE2203)+$AD2204</f>
        <v>38</v>
      </c>
      <c r="AF2204" s="1" t="n">
        <f aca="false">IF(AND($N2204=1,AND(LEFT(对接源_02物料!$D1004,4)="包装物料",N(对接源_02物料!$K1004)&lt;&gt;0)),1,0)</f>
        <v>0</v>
      </c>
      <c r="AG2204" s="1" t="n">
        <f aca="false">N(AG2203)+$AF2204</f>
        <v>6</v>
      </c>
      <c r="AH2204" s="1" t="n">
        <f aca="false">IF(AND($N2204=1,AND(LEFT(对接源_02物料!$D1004,3)="周转筐",N(对接源_02物料!$K1004)&lt;&gt;0)),1,0)</f>
        <v>0</v>
      </c>
      <c r="AI2204" s="1" t="n">
        <f aca="false">N(AI2203)+$AH2204</f>
        <v>0</v>
      </c>
      <c r="AJ2204" s="1" t="n">
        <v>0</v>
      </c>
      <c r="AK2204" s="1" t="n">
        <f aca="false">N(AK2203)+$AJ2204</f>
        <v>3672</v>
      </c>
    </row>
    <row r="2205" customFormat="false" ht="13.5" hidden="false" customHeight="false" outlineLevel="0" collapsed="false">
      <c r="A2205" s="1" t="str">
        <f aca="false">IF(对接源_02物料!$C1005="","",对接源_02物料!$C1005)</f>
        <v/>
      </c>
      <c r="B2205" s="1" t="n">
        <f aca="false">IF(A2205="",0,IF(MATCH(A2205,$A$4:$A$2403,0)=ROW()-3,1,0))</f>
        <v>0</v>
      </c>
      <c r="C2205" s="1" t="n">
        <f aca="false">N(C2204)+B2205</f>
        <v>17</v>
      </c>
      <c r="K2205" s="1" t="n">
        <f aca="false">IF(OR($K$1="",对接源_02物料!$C1005="",对接源_02物料!$C1005&lt;&gt;$K$1,对接源_02物料!$B1005=""),0,IF(OR(N(对接源_02物料!$B1005)&lt;$K$2,N(对接源_02物料!$B1005)&gt;$K$3),0,1))</f>
        <v>0</v>
      </c>
      <c r="L2205" s="1" t="n">
        <f aca="false">IF(OR($L$1="",对接源_02物料!$C1005="",对接源_02物料!$C1005&lt;&gt;$L$1,对接源_02物料!$B1005=""),0,IF(OR(N(对接源_02物料!$B1005)&lt;$L$2,N(对接源_02物料!$B1005)&gt;$L$3),0,1))</f>
        <v>0</v>
      </c>
      <c r="M2205" s="1" t="n">
        <f aca="false">IF(OR($M$1="",对接源_02物料!$C1005="",对接源_02物料!$C1005&lt;&gt;$M$1,对接源_02物料!$B1005=""),0,IF(OR(N(对接源_02物料!$B1005)&lt;$M$2,N(对接源_02物料!$B1005)&gt;$M$3),0,1))</f>
        <v>0</v>
      </c>
      <c r="N2205" s="1" t="n">
        <f aca="false">IF(OR($N$1="",对接源_02物料!$C1005="",对接源_02物料!$C1005&lt;&gt;$N$1,对接源_02物料!$B1005=""),0,IF(OR(N(对接源_02物料!$B1005)&lt;$N$2,N(对接源_02物料!$B1005)&gt;$N$3),0,1))</f>
        <v>0</v>
      </c>
      <c r="P2205" s="1" t="n">
        <f aca="false">IF(AND($K2205=1,AND(对接源_02物料!$X1005="公司筐",N(对接源_02物料!$T1005)&lt;&gt;0)),1,0)</f>
        <v>0</v>
      </c>
      <c r="Q2205" s="1" t="n">
        <f aca="false">N(Q2204)+$P2205</f>
        <v>13</v>
      </c>
      <c r="R2205" s="1" t="n">
        <f aca="false">IF(AND($K2205=1,AND(对接源_02物料!$X1005="公司筐",N(对接源_02物料!$U1005)&lt;&gt;0)),1,0)</f>
        <v>0</v>
      </c>
      <c r="S2205" s="1" t="n">
        <f aca="false">N(S2204)+$R2205</f>
        <v>5</v>
      </c>
      <c r="T2205" s="1" t="n">
        <f aca="false">IF(AND($K2205=1,AND(对接源_02物料!$X1005="公司筐",N(对接源_02物料!$V1005)&lt;&gt;0)),1,0)</f>
        <v>0</v>
      </c>
      <c r="U2205" s="1" t="n">
        <f aca="false">N(U2204)+$T2205</f>
        <v>28</v>
      </c>
      <c r="V2205" s="1" t="n">
        <f aca="false">IF(AND($L2205=1,AND(对接源_02物料!$X1005="自备筐",N(对接源_02物料!$V1005)&lt;&gt;0)),1,0)</f>
        <v>0</v>
      </c>
      <c r="W2205" s="1" t="n">
        <f aca="false">N(W2204)+$V2205</f>
        <v>7</v>
      </c>
      <c r="X2205" s="1" t="n">
        <f aca="false">IF(AND($L2205=1,AND(对接源_02物料!$X1005="自备筐",N(对接源_02物料!$T1005)&lt;&gt;0)),1,0)</f>
        <v>0</v>
      </c>
      <c r="Y2205" s="1" t="n">
        <f aca="false">N(Y2204)+$X2205</f>
        <v>0</v>
      </c>
      <c r="Z2205" s="1" t="n">
        <f aca="false">IF(AND($M2205=1,对接源_02物料!$D1005="原料入库"),1,0)</f>
        <v>0</v>
      </c>
      <c r="AA2205" s="1" t="n">
        <f aca="false">N(AA2204)+$Z2205</f>
        <v>30</v>
      </c>
      <c r="AB2205" s="1" t="n">
        <f aca="false">IF(AND($M2205=1,LEFT(对接源_02物料!$D1005,4)="原料出库"),1,0)</f>
        <v>0</v>
      </c>
      <c r="AC2205" s="1" t="n">
        <f aca="false">N(AC2204)+$AB2205</f>
        <v>19</v>
      </c>
      <c r="AD2205" s="1" t="n">
        <f aca="false">IF(AND($M2205=1,LEFT(对接源_02物料!$D1005,4)="成品出库"),1,0)</f>
        <v>0</v>
      </c>
      <c r="AE2205" s="1" t="n">
        <f aca="false">N(AE2204)+$AD2205</f>
        <v>38</v>
      </c>
      <c r="AF2205" s="1" t="n">
        <f aca="false">IF(AND($N2205=1,AND(LEFT(对接源_02物料!$D1005,4)="包装物料",N(对接源_02物料!$K1005)&lt;&gt;0)),1,0)</f>
        <v>0</v>
      </c>
      <c r="AG2205" s="1" t="n">
        <f aca="false">N(AG2204)+$AF2205</f>
        <v>6</v>
      </c>
      <c r="AH2205" s="1" t="n">
        <f aca="false">IF(AND($N2205=1,AND(LEFT(对接源_02物料!$D1005,3)="周转筐",N(对接源_02物料!$K1005)&lt;&gt;0)),1,0)</f>
        <v>0</v>
      </c>
      <c r="AI2205" s="1" t="n">
        <f aca="false">N(AI2204)+$AH2205</f>
        <v>0</v>
      </c>
      <c r="AJ2205" s="1" t="n">
        <v>0</v>
      </c>
      <c r="AK2205" s="1" t="n">
        <f aca="false">N(AK2204)+$AJ2205</f>
        <v>3672</v>
      </c>
    </row>
    <row r="2206" customFormat="false" ht="13.5" hidden="false" customHeight="false" outlineLevel="0" collapsed="false">
      <c r="A2206" s="1" t="str">
        <f aca="false">IF(对接源_02物料!$C1006="","",对接源_02物料!$C1006)</f>
        <v/>
      </c>
      <c r="B2206" s="1" t="n">
        <f aca="false">IF(A2206="",0,IF(MATCH(A2206,$A$4:$A$2403,0)=ROW()-3,1,0))</f>
        <v>0</v>
      </c>
      <c r="C2206" s="1" t="n">
        <f aca="false">N(C2205)+B2206</f>
        <v>17</v>
      </c>
      <c r="K2206" s="1" t="n">
        <f aca="false">IF(OR($K$1="",对接源_02物料!$C1006="",对接源_02物料!$C1006&lt;&gt;$K$1,对接源_02物料!$B1006=""),0,IF(OR(N(对接源_02物料!$B1006)&lt;$K$2,N(对接源_02物料!$B1006)&gt;$K$3),0,1))</f>
        <v>0</v>
      </c>
      <c r="L2206" s="1" t="n">
        <f aca="false">IF(OR($L$1="",对接源_02物料!$C1006="",对接源_02物料!$C1006&lt;&gt;$L$1,对接源_02物料!$B1006=""),0,IF(OR(N(对接源_02物料!$B1006)&lt;$L$2,N(对接源_02物料!$B1006)&gt;$L$3),0,1))</f>
        <v>0</v>
      </c>
      <c r="M2206" s="1" t="n">
        <f aca="false">IF(OR($M$1="",对接源_02物料!$C1006="",对接源_02物料!$C1006&lt;&gt;$M$1,对接源_02物料!$B1006=""),0,IF(OR(N(对接源_02物料!$B1006)&lt;$M$2,N(对接源_02物料!$B1006)&gt;$M$3),0,1))</f>
        <v>0</v>
      </c>
      <c r="N2206" s="1" t="n">
        <f aca="false">IF(OR($N$1="",对接源_02物料!$C1006="",对接源_02物料!$C1006&lt;&gt;$N$1,对接源_02物料!$B1006=""),0,IF(OR(N(对接源_02物料!$B1006)&lt;$N$2,N(对接源_02物料!$B1006)&gt;$N$3),0,1))</f>
        <v>0</v>
      </c>
      <c r="P2206" s="1" t="n">
        <f aca="false">IF(AND($K2206=1,AND(对接源_02物料!$X1006="公司筐",N(对接源_02物料!$T1006)&lt;&gt;0)),1,0)</f>
        <v>0</v>
      </c>
      <c r="Q2206" s="1" t="n">
        <f aca="false">N(Q2205)+$P2206</f>
        <v>13</v>
      </c>
      <c r="R2206" s="1" t="n">
        <f aca="false">IF(AND($K2206=1,AND(对接源_02物料!$X1006="公司筐",N(对接源_02物料!$U1006)&lt;&gt;0)),1,0)</f>
        <v>0</v>
      </c>
      <c r="S2206" s="1" t="n">
        <f aca="false">N(S2205)+$R2206</f>
        <v>5</v>
      </c>
      <c r="T2206" s="1" t="n">
        <f aca="false">IF(AND($K2206=1,AND(对接源_02物料!$X1006="公司筐",N(对接源_02物料!$V1006)&lt;&gt;0)),1,0)</f>
        <v>0</v>
      </c>
      <c r="U2206" s="1" t="n">
        <f aca="false">N(U2205)+$T2206</f>
        <v>28</v>
      </c>
      <c r="V2206" s="1" t="n">
        <f aca="false">IF(AND($L2206=1,AND(对接源_02物料!$X1006="自备筐",N(对接源_02物料!$V1006)&lt;&gt;0)),1,0)</f>
        <v>0</v>
      </c>
      <c r="W2206" s="1" t="n">
        <f aca="false">N(W2205)+$V2206</f>
        <v>7</v>
      </c>
      <c r="X2206" s="1" t="n">
        <f aca="false">IF(AND($L2206=1,AND(对接源_02物料!$X1006="自备筐",N(对接源_02物料!$T1006)&lt;&gt;0)),1,0)</f>
        <v>0</v>
      </c>
      <c r="Y2206" s="1" t="n">
        <f aca="false">N(Y2205)+$X2206</f>
        <v>0</v>
      </c>
      <c r="Z2206" s="1" t="n">
        <f aca="false">IF(AND($M2206=1,对接源_02物料!$D1006="原料入库"),1,0)</f>
        <v>0</v>
      </c>
      <c r="AA2206" s="1" t="n">
        <f aca="false">N(AA2205)+$Z2206</f>
        <v>30</v>
      </c>
      <c r="AB2206" s="1" t="n">
        <f aca="false">IF(AND($M2206=1,LEFT(对接源_02物料!$D1006,4)="原料出库"),1,0)</f>
        <v>0</v>
      </c>
      <c r="AC2206" s="1" t="n">
        <f aca="false">N(AC2205)+$AB2206</f>
        <v>19</v>
      </c>
      <c r="AD2206" s="1" t="n">
        <f aca="false">IF(AND($M2206=1,LEFT(对接源_02物料!$D1006,4)="成品出库"),1,0)</f>
        <v>0</v>
      </c>
      <c r="AE2206" s="1" t="n">
        <f aca="false">N(AE2205)+$AD2206</f>
        <v>38</v>
      </c>
      <c r="AF2206" s="1" t="n">
        <f aca="false">IF(AND($N2206=1,AND(LEFT(对接源_02物料!$D1006,4)="包装物料",N(对接源_02物料!$K1006)&lt;&gt;0)),1,0)</f>
        <v>0</v>
      </c>
      <c r="AG2206" s="1" t="n">
        <f aca="false">N(AG2205)+$AF2206</f>
        <v>6</v>
      </c>
      <c r="AH2206" s="1" t="n">
        <f aca="false">IF(AND($N2206=1,AND(LEFT(对接源_02物料!$D1006,3)="周转筐",N(对接源_02物料!$K1006)&lt;&gt;0)),1,0)</f>
        <v>0</v>
      </c>
      <c r="AI2206" s="1" t="n">
        <f aca="false">N(AI2205)+$AH2206</f>
        <v>0</v>
      </c>
      <c r="AJ2206" s="1" t="n">
        <v>0</v>
      </c>
      <c r="AK2206" s="1" t="n">
        <f aca="false">N(AK2205)+$AJ2206</f>
        <v>3672</v>
      </c>
    </row>
    <row r="2207" customFormat="false" ht="13.5" hidden="false" customHeight="false" outlineLevel="0" collapsed="false">
      <c r="A2207" s="1" t="str">
        <f aca="false">IF(对接源_02物料!$C1007="","",对接源_02物料!$C1007)</f>
        <v/>
      </c>
      <c r="B2207" s="1" t="n">
        <f aca="false">IF(A2207="",0,IF(MATCH(A2207,$A$4:$A$2403,0)=ROW()-3,1,0))</f>
        <v>0</v>
      </c>
      <c r="C2207" s="1" t="n">
        <f aca="false">N(C2206)+B2207</f>
        <v>17</v>
      </c>
      <c r="K2207" s="1" t="n">
        <f aca="false">IF(OR($K$1="",对接源_02物料!$C1007="",对接源_02物料!$C1007&lt;&gt;$K$1,对接源_02物料!$B1007=""),0,IF(OR(N(对接源_02物料!$B1007)&lt;$K$2,N(对接源_02物料!$B1007)&gt;$K$3),0,1))</f>
        <v>0</v>
      </c>
      <c r="L2207" s="1" t="n">
        <f aca="false">IF(OR($L$1="",对接源_02物料!$C1007="",对接源_02物料!$C1007&lt;&gt;$L$1,对接源_02物料!$B1007=""),0,IF(OR(N(对接源_02物料!$B1007)&lt;$L$2,N(对接源_02物料!$B1007)&gt;$L$3),0,1))</f>
        <v>0</v>
      </c>
      <c r="M2207" s="1" t="n">
        <f aca="false">IF(OR($M$1="",对接源_02物料!$C1007="",对接源_02物料!$C1007&lt;&gt;$M$1,对接源_02物料!$B1007=""),0,IF(OR(N(对接源_02物料!$B1007)&lt;$M$2,N(对接源_02物料!$B1007)&gt;$M$3),0,1))</f>
        <v>0</v>
      </c>
      <c r="N2207" s="1" t="n">
        <f aca="false">IF(OR($N$1="",对接源_02物料!$C1007="",对接源_02物料!$C1007&lt;&gt;$N$1,对接源_02物料!$B1007=""),0,IF(OR(N(对接源_02物料!$B1007)&lt;$N$2,N(对接源_02物料!$B1007)&gt;$N$3),0,1))</f>
        <v>0</v>
      </c>
      <c r="P2207" s="1" t="n">
        <f aca="false">IF(AND($K2207=1,AND(对接源_02物料!$X1007="公司筐",N(对接源_02物料!$T1007)&lt;&gt;0)),1,0)</f>
        <v>0</v>
      </c>
      <c r="Q2207" s="1" t="n">
        <f aca="false">N(Q2206)+$P2207</f>
        <v>13</v>
      </c>
      <c r="R2207" s="1" t="n">
        <f aca="false">IF(AND($K2207=1,AND(对接源_02物料!$X1007="公司筐",N(对接源_02物料!$U1007)&lt;&gt;0)),1,0)</f>
        <v>0</v>
      </c>
      <c r="S2207" s="1" t="n">
        <f aca="false">N(S2206)+$R2207</f>
        <v>5</v>
      </c>
      <c r="T2207" s="1" t="n">
        <f aca="false">IF(AND($K2207=1,AND(对接源_02物料!$X1007="公司筐",N(对接源_02物料!$V1007)&lt;&gt;0)),1,0)</f>
        <v>0</v>
      </c>
      <c r="U2207" s="1" t="n">
        <f aca="false">N(U2206)+$T2207</f>
        <v>28</v>
      </c>
      <c r="V2207" s="1" t="n">
        <f aca="false">IF(AND($L2207=1,AND(对接源_02物料!$X1007="自备筐",N(对接源_02物料!$V1007)&lt;&gt;0)),1,0)</f>
        <v>0</v>
      </c>
      <c r="W2207" s="1" t="n">
        <f aca="false">N(W2206)+$V2207</f>
        <v>7</v>
      </c>
      <c r="X2207" s="1" t="n">
        <f aca="false">IF(AND($L2207=1,AND(对接源_02物料!$X1007="自备筐",N(对接源_02物料!$T1007)&lt;&gt;0)),1,0)</f>
        <v>0</v>
      </c>
      <c r="Y2207" s="1" t="n">
        <f aca="false">N(Y2206)+$X2207</f>
        <v>0</v>
      </c>
      <c r="Z2207" s="1" t="n">
        <f aca="false">IF(AND($M2207=1,对接源_02物料!$D1007="原料入库"),1,0)</f>
        <v>0</v>
      </c>
      <c r="AA2207" s="1" t="n">
        <f aca="false">N(AA2206)+$Z2207</f>
        <v>30</v>
      </c>
      <c r="AB2207" s="1" t="n">
        <f aca="false">IF(AND($M2207=1,LEFT(对接源_02物料!$D1007,4)="原料出库"),1,0)</f>
        <v>0</v>
      </c>
      <c r="AC2207" s="1" t="n">
        <f aca="false">N(AC2206)+$AB2207</f>
        <v>19</v>
      </c>
      <c r="AD2207" s="1" t="n">
        <f aca="false">IF(AND($M2207=1,LEFT(对接源_02物料!$D1007,4)="成品出库"),1,0)</f>
        <v>0</v>
      </c>
      <c r="AE2207" s="1" t="n">
        <f aca="false">N(AE2206)+$AD2207</f>
        <v>38</v>
      </c>
      <c r="AF2207" s="1" t="n">
        <f aca="false">IF(AND($N2207=1,AND(LEFT(对接源_02物料!$D1007,4)="包装物料",N(对接源_02物料!$K1007)&lt;&gt;0)),1,0)</f>
        <v>0</v>
      </c>
      <c r="AG2207" s="1" t="n">
        <f aca="false">N(AG2206)+$AF2207</f>
        <v>6</v>
      </c>
      <c r="AH2207" s="1" t="n">
        <f aca="false">IF(AND($N2207=1,AND(LEFT(对接源_02物料!$D1007,3)="周转筐",N(对接源_02物料!$K1007)&lt;&gt;0)),1,0)</f>
        <v>0</v>
      </c>
      <c r="AI2207" s="1" t="n">
        <f aca="false">N(AI2206)+$AH2207</f>
        <v>0</v>
      </c>
      <c r="AJ2207" s="1" t="n">
        <v>0</v>
      </c>
      <c r="AK2207" s="1" t="n">
        <f aca="false">N(AK2206)+$AJ2207</f>
        <v>3672</v>
      </c>
    </row>
    <row r="2208" customFormat="false" ht="13.5" hidden="false" customHeight="false" outlineLevel="0" collapsed="false">
      <c r="A2208" s="1" t="str">
        <f aca="false">IF(对接源_02物料!$C1008="","",对接源_02物料!$C1008)</f>
        <v/>
      </c>
      <c r="B2208" s="1" t="n">
        <f aca="false">IF(A2208="",0,IF(MATCH(A2208,$A$4:$A$2403,0)=ROW()-3,1,0))</f>
        <v>0</v>
      </c>
      <c r="C2208" s="1" t="n">
        <f aca="false">N(C2207)+B2208</f>
        <v>17</v>
      </c>
      <c r="K2208" s="1" t="n">
        <f aca="false">IF(OR($K$1="",对接源_02物料!$C1008="",对接源_02物料!$C1008&lt;&gt;$K$1,对接源_02物料!$B1008=""),0,IF(OR(N(对接源_02物料!$B1008)&lt;$K$2,N(对接源_02物料!$B1008)&gt;$K$3),0,1))</f>
        <v>0</v>
      </c>
      <c r="L2208" s="1" t="n">
        <f aca="false">IF(OR($L$1="",对接源_02物料!$C1008="",对接源_02物料!$C1008&lt;&gt;$L$1,对接源_02物料!$B1008=""),0,IF(OR(N(对接源_02物料!$B1008)&lt;$L$2,N(对接源_02物料!$B1008)&gt;$L$3),0,1))</f>
        <v>0</v>
      </c>
      <c r="M2208" s="1" t="n">
        <f aca="false">IF(OR($M$1="",对接源_02物料!$C1008="",对接源_02物料!$C1008&lt;&gt;$M$1,对接源_02物料!$B1008=""),0,IF(OR(N(对接源_02物料!$B1008)&lt;$M$2,N(对接源_02物料!$B1008)&gt;$M$3),0,1))</f>
        <v>0</v>
      </c>
      <c r="N2208" s="1" t="n">
        <f aca="false">IF(OR($N$1="",对接源_02物料!$C1008="",对接源_02物料!$C1008&lt;&gt;$N$1,对接源_02物料!$B1008=""),0,IF(OR(N(对接源_02物料!$B1008)&lt;$N$2,N(对接源_02物料!$B1008)&gt;$N$3),0,1))</f>
        <v>0</v>
      </c>
      <c r="P2208" s="1" t="n">
        <f aca="false">IF(AND($K2208=1,AND(对接源_02物料!$X1008="公司筐",N(对接源_02物料!$T1008)&lt;&gt;0)),1,0)</f>
        <v>0</v>
      </c>
      <c r="Q2208" s="1" t="n">
        <f aca="false">N(Q2207)+$P2208</f>
        <v>13</v>
      </c>
      <c r="R2208" s="1" t="n">
        <f aca="false">IF(AND($K2208=1,AND(对接源_02物料!$X1008="公司筐",N(对接源_02物料!$U1008)&lt;&gt;0)),1,0)</f>
        <v>0</v>
      </c>
      <c r="S2208" s="1" t="n">
        <f aca="false">N(S2207)+$R2208</f>
        <v>5</v>
      </c>
      <c r="T2208" s="1" t="n">
        <f aca="false">IF(AND($K2208=1,AND(对接源_02物料!$X1008="公司筐",N(对接源_02物料!$V1008)&lt;&gt;0)),1,0)</f>
        <v>0</v>
      </c>
      <c r="U2208" s="1" t="n">
        <f aca="false">N(U2207)+$T2208</f>
        <v>28</v>
      </c>
      <c r="V2208" s="1" t="n">
        <f aca="false">IF(AND($L2208=1,AND(对接源_02物料!$X1008="自备筐",N(对接源_02物料!$V1008)&lt;&gt;0)),1,0)</f>
        <v>0</v>
      </c>
      <c r="W2208" s="1" t="n">
        <f aca="false">N(W2207)+$V2208</f>
        <v>7</v>
      </c>
      <c r="X2208" s="1" t="n">
        <f aca="false">IF(AND($L2208=1,AND(对接源_02物料!$X1008="自备筐",N(对接源_02物料!$T1008)&lt;&gt;0)),1,0)</f>
        <v>0</v>
      </c>
      <c r="Y2208" s="1" t="n">
        <f aca="false">N(Y2207)+$X2208</f>
        <v>0</v>
      </c>
      <c r="Z2208" s="1" t="n">
        <f aca="false">IF(AND($M2208=1,对接源_02物料!$D1008="原料入库"),1,0)</f>
        <v>0</v>
      </c>
      <c r="AA2208" s="1" t="n">
        <f aca="false">N(AA2207)+$Z2208</f>
        <v>30</v>
      </c>
      <c r="AB2208" s="1" t="n">
        <f aca="false">IF(AND($M2208=1,LEFT(对接源_02物料!$D1008,4)="原料出库"),1,0)</f>
        <v>0</v>
      </c>
      <c r="AC2208" s="1" t="n">
        <f aca="false">N(AC2207)+$AB2208</f>
        <v>19</v>
      </c>
      <c r="AD2208" s="1" t="n">
        <f aca="false">IF(AND($M2208=1,LEFT(对接源_02物料!$D1008,4)="成品出库"),1,0)</f>
        <v>0</v>
      </c>
      <c r="AE2208" s="1" t="n">
        <f aca="false">N(AE2207)+$AD2208</f>
        <v>38</v>
      </c>
      <c r="AF2208" s="1" t="n">
        <f aca="false">IF(AND($N2208=1,AND(LEFT(对接源_02物料!$D1008,4)="包装物料",N(对接源_02物料!$K1008)&lt;&gt;0)),1,0)</f>
        <v>0</v>
      </c>
      <c r="AG2208" s="1" t="n">
        <f aca="false">N(AG2207)+$AF2208</f>
        <v>6</v>
      </c>
      <c r="AH2208" s="1" t="n">
        <f aca="false">IF(AND($N2208=1,AND(LEFT(对接源_02物料!$D1008,3)="周转筐",N(对接源_02物料!$K1008)&lt;&gt;0)),1,0)</f>
        <v>0</v>
      </c>
      <c r="AI2208" s="1" t="n">
        <f aca="false">N(AI2207)+$AH2208</f>
        <v>0</v>
      </c>
      <c r="AJ2208" s="1" t="n">
        <v>0</v>
      </c>
      <c r="AK2208" s="1" t="n">
        <f aca="false">N(AK2207)+$AJ2208</f>
        <v>3672</v>
      </c>
    </row>
    <row r="2209" customFormat="false" ht="13.5" hidden="false" customHeight="false" outlineLevel="0" collapsed="false">
      <c r="A2209" s="1" t="str">
        <f aca="false">IF(对接源_02物料!$C1009="","",对接源_02物料!$C1009)</f>
        <v/>
      </c>
      <c r="B2209" s="1" t="n">
        <f aca="false">IF(A2209="",0,IF(MATCH(A2209,$A$4:$A$2403,0)=ROW()-3,1,0))</f>
        <v>0</v>
      </c>
      <c r="C2209" s="1" t="n">
        <f aca="false">N(C2208)+B2209</f>
        <v>17</v>
      </c>
      <c r="K2209" s="1" t="n">
        <f aca="false">IF(OR($K$1="",对接源_02物料!$C1009="",对接源_02物料!$C1009&lt;&gt;$K$1,对接源_02物料!$B1009=""),0,IF(OR(N(对接源_02物料!$B1009)&lt;$K$2,N(对接源_02物料!$B1009)&gt;$K$3),0,1))</f>
        <v>0</v>
      </c>
      <c r="L2209" s="1" t="n">
        <f aca="false">IF(OR($L$1="",对接源_02物料!$C1009="",对接源_02物料!$C1009&lt;&gt;$L$1,对接源_02物料!$B1009=""),0,IF(OR(N(对接源_02物料!$B1009)&lt;$L$2,N(对接源_02物料!$B1009)&gt;$L$3),0,1))</f>
        <v>0</v>
      </c>
      <c r="M2209" s="1" t="n">
        <f aca="false">IF(OR($M$1="",对接源_02物料!$C1009="",对接源_02物料!$C1009&lt;&gt;$M$1,对接源_02物料!$B1009=""),0,IF(OR(N(对接源_02物料!$B1009)&lt;$M$2,N(对接源_02物料!$B1009)&gt;$M$3),0,1))</f>
        <v>0</v>
      </c>
      <c r="N2209" s="1" t="n">
        <f aca="false">IF(OR($N$1="",对接源_02物料!$C1009="",对接源_02物料!$C1009&lt;&gt;$N$1,对接源_02物料!$B1009=""),0,IF(OR(N(对接源_02物料!$B1009)&lt;$N$2,N(对接源_02物料!$B1009)&gt;$N$3),0,1))</f>
        <v>0</v>
      </c>
      <c r="P2209" s="1" t="n">
        <f aca="false">IF(AND($K2209=1,AND(对接源_02物料!$X1009="公司筐",N(对接源_02物料!$T1009)&lt;&gt;0)),1,0)</f>
        <v>0</v>
      </c>
      <c r="Q2209" s="1" t="n">
        <f aca="false">N(Q2208)+$P2209</f>
        <v>13</v>
      </c>
      <c r="R2209" s="1" t="n">
        <f aca="false">IF(AND($K2209=1,AND(对接源_02物料!$X1009="公司筐",N(对接源_02物料!$U1009)&lt;&gt;0)),1,0)</f>
        <v>0</v>
      </c>
      <c r="S2209" s="1" t="n">
        <f aca="false">N(S2208)+$R2209</f>
        <v>5</v>
      </c>
      <c r="T2209" s="1" t="n">
        <f aca="false">IF(AND($K2209=1,AND(对接源_02物料!$X1009="公司筐",N(对接源_02物料!$V1009)&lt;&gt;0)),1,0)</f>
        <v>0</v>
      </c>
      <c r="U2209" s="1" t="n">
        <f aca="false">N(U2208)+$T2209</f>
        <v>28</v>
      </c>
      <c r="V2209" s="1" t="n">
        <f aca="false">IF(AND($L2209=1,AND(对接源_02物料!$X1009="自备筐",N(对接源_02物料!$V1009)&lt;&gt;0)),1,0)</f>
        <v>0</v>
      </c>
      <c r="W2209" s="1" t="n">
        <f aca="false">N(W2208)+$V2209</f>
        <v>7</v>
      </c>
      <c r="X2209" s="1" t="n">
        <f aca="false">IF(AND($L2209=1,AND(对接源_02物料!$X1009="自备筐",N(对接源_02物料!$T1009)&lt;&gt;0)),1,0)</f>
        <v>0</v>
      </c>
      <c r="Y2209" s="1" t="n">
        <f aca="false">N(Y2208)+$X2209</f>
        <v>0</v>
      </c>
      <c r="Z2209" s="1" t="n">
        <f aca="false">IF(AND($M2209=1,对接源_02物料!$D1009="原料入库"),1,0)</f>
        <v>0</v>
      </c>
      <c r="AA2209" s="1" t="n">
        <f aca="false">N(AA2208)+$Z2209</f>
        <v>30</v>
      </c>
      <c r="AB2209" s="1" t="n">
        <f aca="false">IF(AND($M2209=1,LEFT(对接源_02物料!$D1009,4)="原料出库"),1,0)</f>
        <v>0</v>
      </c>
      <c r="AC2209" s="1" t="n">
        <f aca="false">N(AC2208)+$AB2209</f>
        <v>19</v>
      </c>
      <c r="AD2209" s="1" t="n">
        <f aca="false">IF(AND($M2209=1,LEFT(对接源_02物料!$D1009,4)="成品出库"),1,0)</f>
        <v>0</v>
      </c>
      <c r="AE2209" s="1" t="n">
        <f aca="false">N(AE2208)+$AD2209</f>
        <v>38</v>
      </c>
      <c r="AF2209" s="1" t="n">
        <f aca="false">IF(AND($N2209=1,AND(LEFT(对接源_02物料!$D1009,4)="包装物料",N(对接源_02物料!$K1009)&lt;&gt;0)),1,0)</f>
        <v>0</v>
      </c>
      <c r="AG2209" s="1" t="n">
        <f aca="false">N(AG2208)+$AF2209</f>
        <v>6</v>
      </c>
      <c r="AH2209" s="1" t="n">
        <f aca="false">IF(AND($N2209=1,AND(LEFT(对接源_02物料!$D1009,3)="周转筐",N(对接源_02物料!$K1009)&lt;&gt;0)),1,0)</f>
        <v>0</v>
      </c>
      <c r="AI2209" s="1" t="n">
        <f aca="false">N(AI2208)+$AH2209</f>
        <v>0</v>
      </c>
      <c r="AJ2209" s="1" t="n">
        <v>0</v>
      </c>
      <c r="AK2209" s="1" t="n">
        <f aca="false">N(AK2208)+$AJ2209</f>
        <v>3672</v>
      </c>
    </row>
    <row r="2210" customFormat="false" ht="13.5" hidden="false" customHeight="false" outlineLevel="0" collapsed="false">
      <c r="A2210" s="1" t="str">
        <f aca="false">IF(对接源_02物料!$C1010="","",对接源_02物料!$C1010)</f>
        <v/>
      </c>
      <c r="B2210" s="1" t="n">
        <f aca="false">IF(A2210="",0,IF(MATCH(A2210,$A$4:$A$2403,0)=ROW()-3,1,0))</f>
        <v>0</v>
      </c>
      <c r="C2210" s="1" t="n">
        <f aca="false">N(C2209)+B2210</f>
        <v>17</v>
      </c>
      <c r="K2210" s="1" t="n">
        <f aca="false">IF(OR($K$1="",对接源_02物料!$C1010="",对接源_02物料!$C1010&lt;&gt;$K$1,对接源_02物料!$B1010=""),0,IF(OR(N(对接源_02物料!$B1010)&lt;$K$2,N(对接源_02物料!$B1010)&gt;$K$3),0,1))</f>
        <v>0</v>
      </c>
      <c r="L2210" s="1" t="n">
        <f aca="false">IF(OR($L$1="",对接源_02物料!$C1010="",对接源_02物料!$C1010&lt;&gt;$L$1,对接源_02物料!$B1010=""),0,IF(OR(N(对接源_02物料!$B1010)&lt;$L$2,N(对接源_02物料!$B1010)&gt;$L$3),0,1))</f>
        <v>0</v>
      </c>
      <c r="M2210" s="1" t="n">
        <f aca="false">IF(OR($M$1="",对接源_02物料!$C1010="",对接源_02物料!$C1010&lt;&gt;$M$1,对接源_02物料!$B1010=""),0,IF(OR(N(对接源_02物料!$B1010)&lt;$M$2,N(对接源_02物料!$B1010)&gt;$M$3),0,1))</f>
        <v>0</v>
      </c>
      <c r="N2210" s="1" t="n">
        <f aca="false">IF(OR($N$1="",对接源_02物料!$C1010="",对接源_02物料!$C1010&lt;&gt;$N$1,对接源_02物料!$B1010=""),0,IF(OR(N(对接源_02物料!$B1010)&lt;$N$2,N(对接源_02物料!$B1010)&gt;$N$3),0,1))</f>
        <v>0</v>
      </c>
      <c r="P2210" s="1" t="n">
        <f aca="false">IF(AND($K2210=1,AND(对接源_02物料!$X1010="公司筐",N(对接源_02物料!$T1010)&lt;&gt;0)),1,0)</f>
        <v>0</v>
      </c>
      <c r="Q2210" s="1" t="n">
        <f aca="false">N(Q2209)+$P2210</f>
        <v>13</v>
      </c>
      <c r="R2210" s="1" t="n">
        <f aca="false">IF(AND($K2210=1,AND(对接源_02物料!$X1010="公司筐",N(对接源_02物料!$U1010)&lt;&gt;0)),1,0)</f>
        <v>0</v>
      </c>
      <c r="S2210" s="1" t="n">
        <f aca="false">N(S2209)+$R2210</f>
        <v>5</v>
      </c>
      <c r="T2210" s="1" t="n">
        <f aca="false">IF(AND($K2210=1,AND(对接源_02物料!$X1010="公司筐",N(对接源_02物料!$V1010)&lt;&gt;0)),1,0)</f>
        <v>0</v>
      </c>
      <c r="U2210" s="1" t="n">
        <f aca="false">N(U2209)+$T2210</f>
        <v>28</v>
      </c>
      <c r="V2210" s="1" t="n">
        <f aca="false">IF(AND($L2210=1,AND(对接源_02物料!$X1010="自备筐",N(对接源_02物料!$V1010)&lt;&gt;0)),1,0)</f>
        <v>0</v>
      </c>
      <c r="W2210" s="1" t="n">
        <f aca="false">N(W2209)+$V2210</f>
        <v>7</v>
      </c>
      <c r="X2210" s="1" t="n">
        <f aca="false">IF(AND($L2210=1,AND(对接源_02物料!$X1010="自备筐",N(对接源_02物料!$T1010)&lt;&gt;0)),1,0)</f>
        <v>0</v>
      </c>
      <c r="Y2210" s="1" t="n">
        <f aca="false">N(Y2209)+$X2210</f>
        <v>0</v>
      </c>
      <c r="Z2210" s="1" t="n">
        <f aca="false">IF(AND($M2210=1,对接源_02物料!$D1010="原料入库"),1,0)</f>
        <v>0</v>
      </c>
      <c r="AA2210" s="1" t="n">
        <f aca="false">N(AA2209)+$Z2210</f>
        <v>30</v>
      </c>
      <c r="AB2210" s="1" t="n">
        <f aca="false">IF(AND($M2210=1,LEFT(对接源_02物料!$D1010,4)="原料出库"),1,0)</f>
        <v>0</v>
      </c>
      <c r="AC2210" s="1" t="n">
        <f aca="false">N(AC2209)+$AB2210</f>
        <v>19</v>
      </c>
      <c r="AD2210" s="1" t="n">
        <f aca="false">IF(AND($M2210=1,LEFT(对接源_02物料!$D1010,4)="成品出库"),1,0)</f>
        <v>0</v>
      </c>
      <c r="AE2210" s="1" t="n">
        <f aca="false">N(AE2209)+$AD2210</f>
        <v>38</v>
      </c>
      <c r="AF2210" s="1" t="n">
        <f aca="false">IF(AND($N2210=1,AND(LEFT(对接源_02物料!$D1010,4)="包装物料",N(对接源_02物料!$K1010)&lt;&gt;0)),1,0)</f>
        <v>0</v>
      </c>
      <c r="AG2210" s="1" t="n">
        <f aca="false">N(AG2209)+$AF2210</f>
        <v>6</v>
      </c>
      <c r="AH2210" s="1" t="n">
        <f aca="false">IF(AND($N2210=1,AND(LEFT(对接源_02物料!$D1010,3)="周转筐",N(对接源_02物料!$K1010)&lt;&gt;0)),1,0)</f>
        <v>0</v>
      </c>
      <c r="AI2210" s="1" t="n">
        <f aca="false">N(AI2209)+$AH2210</f>
        <v>0</v>
      </c>
      <c r="AJ2210" s="1" t="n">
        <v>0</v>
      </c>
      <c r="AK2210" s="1" t="n">
        <f aca="false">N(AK2209)+$AJ2210</f>
        <v>3672</v>
      </c>
    </row>
    <row r="2211" customFormat="false" ht="13.5" hidden="false" customHeight="false" outlineLevel="0" collapsed="false">
      <c r="A2211" s="1" t="str">
        <f aca="false">IF(对接源_02物料!$C1011="","",对接源_02物料!$C1011)</f>
        <v/>
      </c>
      <c r="B2211" s="1" t="n">
        <f aca="false">IF(A2211="",0,IF(MATCH(A2211,$A$4:$A$2403,0)=ROW()-3,1,0))</f>
        <v>0</v>
      </c>
      <c r="C2211" s="1" t="n">
        <f aca="false">N(C2210)+B2211</f>
        <v>17</v>
      </c>
      <c r="K2211" s="1" t="n">
        <f aca="false">IF(OR($K$1="",对接源_02物料!$C1011="",对接源_02物料!$C1011&lt;&gt;$K$1,对接源_02物料!$B1011=""),0,IF(OR(N(对接源_02物料!$B1011)&lt;$K$2,N(对接源_02物料!$B1011)&gt;$K$3),0,1))</f>
        <v>0</v>
      </c>
      <c r="L2211" s="1" t="n">
        <f aca="false">IF(OR($L$1="",对接源_02物料!$C1011="",对接源_02物料!$C1011&lt;&gt;$L$1,对接源_02物料!$B1011=""),0,IF(OR(N(对接源_02物料!$B1011)&lt;$L$2,N(对接源_02物料!$B1011)&gt;$L$3),0,1))</f>
        <v>0</v>
      </c>
      <c r="M2211" s="1" t="n">
        <f aca="false">IF(OR($M$1="",对接源_02物料!$C1011="",对接源_02物料!$C1011&lt;&gt;$M$1,对接源_02物料!$B1011=""),0,IF(OR(N(对接源_02物料!$B1011)&lt;$M$2,N(对接源_02物料!$B1011)&gt;$M$3),0,1))</f>
        <v>0</v>
      </c>
      <c r="N2211" s="1" t="n">
        <f aca="false">IF(OR($N$1="",对接源_02物料!$C1011="",对接源_02物料!$C1011&lt;&gt;$N$1,对接源_02物料!$B1011=""),0,IF(OR(N(对接源_02物料!$B1011)&lt;$N$2,N(对接源_02物料!$B1011)&gt;$N$3),0,1))</f>
        <v>0</v>
      </c>
      <c r="P2211" s="1" t="n">
        <f aca="false">IF(AND($K2211=1,AND(对接源_02物料!$X1011="公司筐",N(对接源_02物料!$T1011)&lt;&gt;0)),1,0)</f>
        <v>0</v>
      </c>
      <c r="Q2211" s="1" t="n">
        <f aca="false">N(Q2210)+$P2211</f>
        <v>13</v>
      </c>
      <c r="R2211" s="1" t="n">
        <f aca="false">IF(AND($K2211=1,AND(对接源_02物料!$X1011="公司筐",N(对接源_02物料!$U1011)&lt;&gt;0)),1,0)</f>
        <v>0</v>
      </c>
      <c r="S2211" s="1" t="n">
        <f aca="false">N(S2210)+$R2211</f>
        <v>5</v>
      </c>
      <c r="T2211" s="1" t="n">
        <f aca="false">IF(AND($K2211=1,AND(对接源_02物料!$X1011="公司筐",N(对接源_02物料!$V1011)&lt;&gt;0)),1,0)</f>
        <v>0</v>
      </c>
      <c r="U2211" s="1" t="n">
        <f aca="false">N(U2210)+$T2211</f>
        <v>28</v>
      </c>
      <c r="V2211" s="1" t="n">
        <f aca="false">IF(AND($L2211=1,AND(对接源_02物料!$X1011="自备筐",N(对接源_02物料!$V1011)&lt;&gt;0)),1,0)</f>
        <v>0</v>
      </c>
      <c r="W2211" s="1" t="n">
        <f aca="false">N(W2210)+$V2211</f>
        <v>7</v>
      </c>
      <c r="X2211" s="1" t="n">
        <f aca="false">IF(AND($L2211=1,AND(对接源_02物料!$X1011="自备筐",N(对接源_02物料!$T1011)&lt;&gt;0)),1,0)</f>
        <v>0</v>
      </c>
      <c r="Y2211" s="1" t="n">
        <f aca="false">N(Y2210)+$X2211</f>
        <v>0</v>
      </c>
      <c r="Z2211" s="1" t="n">
        <f aca="false">IF(AND($M2211=1,对接源_02物料!$D1011="原料入库"),1,0)</f>
        <v>0</v>
      </c>
      <c r="AA2211" s="1" t="n">
        <f aca="false">N(AA2210)+$Z2211</f>
        <v>30</v>
      </c>
      <c r="AB2211" s="1" t="n">
        <f aca="false">IF(AND($M2211=1,LEFT(对接源_02物料!$D1011,4)="原料出库"),1,0)</f>
        <v>0</v>
      </c>
      <c r="AC2211" s="1" t="n">
        <f aca="false">N(AC2210)+$AB2211</f>
        <v>19</v>
      </c>
      <c r="AD2211" s="1" t="n">
        <f aca="false">IF(AND($M2211=1,LEFT(对接源_02物料!$D1011,4)="成品出库"),1,0)</f>
        <v>0</v>
      </c>
      <c r="AE2211" s="1" t="n">
        <f aca="false">N(AE2210)+$AD2211</f>
        <v>38</v>
      </c>
      <c r="AF2211" s="1" t="n">
        <f aca="false">IF(AND($N2211=1,AND(LEFT(对接源_02物料!$D1011,4)="包装物料",N(对接源_02物料!$K1011)&lt;&gt;0)),1,0)</f>
        <v>0</v>
      </c>
      <c r="AG2211" s="1" t="n">
        <f aca="false">N(AG2210)+$AF2211</f>
        <v>6</v>
      </c>
      <c r="AH2211" s="1" t="n">
        <f aca="false">IF(AND($N2211=1,AND(LEFT(对接源_02物料!$D1011,3)="周转筐",N(对接源_02物料!$K1011)&lt;&gt;0)),1,0)</f>
        <v>0</v>
      </c>
      <c r="AI2211" s="1" t="n">
        <f aca="false">N(AI2210)+$AH2211</f>
        <v>0</v>
      </c>
      <c r="AJ2211" s="1" t="n">
        <v>0</v>
      </c>
      <c r="AK2211" s="1" t="n">
        <f aca="false">N(AK2210)+$AJ2211</f>
        <v>3672</v>
      </c>
    </row>
    <row r="2212" customFormat="false" ht="13.5" hidden="false" customHeight="false" outlineLevel="0" collapsed="false">
      <c r="A2212" s="1" t="str">
        <f aca="false">IF(对接源_02物料!$C1012="","",对接源_02物料!$C1012)</f>
        <v/>
      </c>
      <c r="B2212" s="1" t="n">
        <f aca="false">IF(A2212="",0,IF(MATCH(A2212,$A$4:$A$2403,0)=ROW()-3,1,0))</f>
        <v>0</v>
      </c>
      <c r="C2212" s="1" t="n">
        <f aca="false">N(C2211)+B2212</f>
        <v>17</v>
      </c>
      <c r="K2212" s="1" t="n">
        <f aca="false">IF(OR($K$1="",对接源_02物料!$C1012="",对接源_02物料!$C1012&lt;&gt;$K$1,对接源_02物料!$B1012=""),0,IF(OR(N(对接源_02物料!$B1012)&lt;$K$2,N(对接源_02物料!$B1012)&gt;$K$3),0,1))</f>
        <v>0</v>
      </c>
      <c r="L2212" s="1" t="n">
        <f aca="false">IF(OR($L$1="",对接源_02物料!$C1012="",对接源_02物料!$C1012&lt;&gt;$L$1,对接源_02物料!$B1012=""),0,IF(OR(N(对接源_02物料!$B1012)&lt;$L$2,N(对接源_02物料!$B1012)&gt;$L$3),0,1))</f>
        <v>0</v>
      </c>
      <c r="M2212" s="1" t="n">
        <f aca="false">IF(OR($M$1="",对接源_02物料!$C1012="",对接源_02物料!$C1012&lt;&gt;$M$1,对接源_02物料!$B1012=""),0,IF(OR(N(对接源_02物料!$B1012)&lt;$M$2,N(对接源_02物料!$B1012)&gt;$M$3),0,1))</f>
        <v>0</v>
      </c>
      <c r="N2212" s="1" t="n">
        <f aca="false">IF(OR($N$1="",对接源_02物料!$C1012="",对接源_02物料!$C1012&lt;&gt;$N$1,对接源_02物料!$B1012=""),0,IF(OR(N(对接源_02物料!$B1012)&lt;$N$2,N(对接源_02物料!$B1012)&gt;$N$3),0,1))</f>
        <v>0</v>
      </c>
      <c r="P2212" s="1" t="n">
        <f aca="false">IF(AND($K2212=1,AND(对接源_02物料!$X1012="公司筐",N(对接源_02物料!$T1012)&lt;&gt;0)),1,0)</f>
        <v>0</v>
      </c>
      <c r="Q2212" s="1" t="n">
        <f aca="false">N(Q2211)+$P2212</f>
        <v>13</v>
      </c>
      <c r="R2212" s="1" t="n">
        <f aca="false">IF(AND($K2212=1,AND(对接源_02物料!$X1012="公司筐",N(对接源_02物料!$U1012)&lt;&gt;0)),1,0)</f>
        <v>0</v>
      </c>
      <c r="S2212" s="1" t="n">
        <f aca="false">N(S2211)+$R2212</f>
        <v>5</v>
      </c>
      <c r="T2212" s="1" t="n">
        <f aca="false">IF(AND($K2212=1,AND(对接源_02物料!$X1012="公司筐",N(对接源_02物料!$V1012)&lt;&gt;0)),1,0)</f>
        <v>0</v>
      </c>
      <c r="U2212" s="1" t="n">
        <f aca="false">N(U2211)+$T2212</f>
        <v>28</v>
      </c>
      <c r="V2212" s="1" t="n">
        <f aca="false">IF(AND($L2212=1,AND(对接源_02物料!$X1012="自备筐",N(对接源_02物料!$V1012)&lt;&gt;0)),1,0)</f>
        <v>0</v>
      </c>
      <c r="W2212" s="1" t="n">
        <f aca="false">N(W2211)+$V2212</f>
        <v>7</v>
      </c>
      <c r="X2212" s="1" t="n">
        <f aca="false">IF(AND($L2212=1,AND(对接源_02物料!$X1012="自备筐",N(对接源_02物料!$T1012)&lt;&gt;0)),1,0)</f>
        <v>0</v>
      </c>
      <c r="Y2212" s="1" t="n">
        <f aca="false">N(Y2211)+$X2212</f>
        <v>0</v>
      </c>
      <c r="Z2212" s="1" t="n">
        <f aca="false">IF(AND($M2212=1,对接源_02物料!$D1012="原料入库"),1,0)</f>
        <v>0</v>
      </c>
      <c r="AA2212" s="1" t="n">
        <f aca="false">N(AA2211)+$Z2212</f>
        <v>30</v>
      </c>
      <c r="AB2212" s="1" t="n">
        <f aca="false">IF(AND($M2212=1,LEFT(对接源_02物料!$D1012,4)="原料出库"),1,0)</f>
        <v>0</v>
      </c>
      <c r="AC2212" s="1" t="n">
        <f aca="false">N(AC2211)+$AB2212</f>
        <v>19</v>
      </c>
      <c r="AD2212" s="1" t="n">
        <f aca="false">IF(AND($M2212=1,LEFT(对接源_02物料!$D1012,4)="成品出库"),1,0)</f>
        <v>0</v>
      </c>
      <c r="AE2212" s="1" t="n">
        <f aca="false">N(AE2211)+$AD2212</f>
        <v>38</v>
      </c>
      <c r="AF2212" s="1" t="n">
        <f aca="false">IF(AND($N2212=1,AND(LEFT(对接源_02物料!$D1012,4)="包装物料",N(对接源_02物料!$K1012)&lt;&gt;0)),1,0)</f>
        <v>0</v>
      </c>
      <c r="AG2212" s="1" t="n">
        <f aca="false">N(AG2211)+$AF2212</f>
        <v>6</v>
      </c>
      <c r="AH2212" s="1" t="n">
        <f aca="false">IF(AND($N2212=1,AND(LEFT(对接源_02物料!$D1012,3)="周转筐",N(对接源_02物料!$K1012)&lt;&gt;0)),1,0)</f>
        <v>0</v>
      </c>
      <c r="AI2212" s="1" t="n">
        <f aca="false">N(AI2211)+$AH2212</f>
        <v>0</v>
      </c>
      <c r="AJ2212" s="1" t="n">
        <v>0</v>
      </c>
      <c r="AK2212" s="1" t="n">
        <f aca="false">N(AK2211)+$AJ2212</f>
        <v>3672</v>
      </c>
    </row>
    <row r="2213" customFormat="false" ht="13.5" hidden="false" customHeight="false" outlineLevel="0" collapsed="false">
      <c r="A2213" s="1" t="str">
        <f aca="false">IF(对接源_02物料!$C1013="","",对接源_02物料!$C1013)</f>
        <v/>
      </c>
      <c r="B2213" s="1" t="n">
        <f aca="false">IF(A2213="",0,IF(MATCH(A2213,$A$4:$A$2403,0)=ROW()-3,1,0))</f>
        <v>0</v>
      </c>
      <c r="C2213" s="1" t="n">
        <f aca="false">N(C2212)+B2213</f>
        <v>17</v>
      </c>
      <c r="K2213" s="1" t="n">
        <f aca="false">IF(OR($K$1="",对接源_02物料!$C1013="",对接源_02物料!$C1013&lt;&gt;$K$1,对接源_02物料!$B1013=""),0,IF(OR(N(对接源_02物料!$B1013)&lt;$K$2,N(对接源_02物料!$B1013)&gt;$K$3),0,1))</f>
        <v>0</v>
      </c>
      <c r="L2213" s="1" t="n">
        <f aca="false">IF(OR($L$1="",对接源_02物料!$C1013="",对接源_02物料!$C1013&lt;&gt;$L$1,对接源_02物料!$B1013=""),0,IF(OR(N(对接源_02物料!$B1013)&lt;$L$2,N(对接源_02物料!$B1013)&gt;$L$3),0,1))</f>
        <v>0</v>
      </c>
      <c r="M2213" s="1" t="n">
        <f aca="false">IF(OR($M$1="",对接源_02物料!$C1013="",对接源_02物料!$C1013&lt;&gt;$M$1,对接源_02物料!$B1013=""),0,IF(OR(N(对接源_02物料!$B1013)&lt;$M$2,N(对接源_02物料!$B1013)&gt;$M$3),0,1))</f>
        <v>0</v>
      </c>
      <c r="N2213" s="1" t="n">
        <f aca="false">IF(OR($N$1="",对接源_02物料!$C1013="",对接源_02物料!$C1013&lt;&gt;$N$1,对接源_02物料!$B1013=""),0,IF(OR(N(对接源_02物料!$B1013)&lt;$N$2,N(对接源_02物料!$B1013)&gt;$N$3),0,1))</f>
        <v>0</v>
      </c>
      <c r="P2213" s="1" t="n">
        <f aca="false">IF(AND($K2213=1,AND(对接源_02物料!$X1013="公司筐",N(对接源_02物料!$T1013)&lt;&gt;0)),1,0)</f>
        <v>0</v>
      </c>
      <c r="Q2213" s="1" t="n">
        <f aca="false">N(Q2212)+$P2213</f>
        <v>13</v>
      </c>
      <c r="R2213" s="1" t="n">
        <f aca="false">IF(AND($K2213=1,AND(对接源_02物料!$X1013="公司筐",N(对接源_02物料!$U1013)&lt;&gt;0)),1,0)</f>
        <v>0</v>
      </c>
      <c r="S2213" s="1" t="n">
        <f aca="false">N(S2212)+$R2213</f>
        <v>5</v>
      </c>
      <c r="T2213" s="1" t="n">
        <f aca="false">IF(AND($K2213=1,AND(对接源_02物料!$X1013="公司筐",N(对接源_02物料!$V1013)&lt;&gt;0)),1,0)</f>
        <v>0</v>
      </c>
      <c r="U2213" s="1" t="n">
        <f aca="false">N(U2212)+$T2213</f>
        <v>28</v>
      </c>
      <c r="V2213" s="1" t="n">
        <f aca="false">IF(AND($L2213=1,AND(对接源_02物料!$X1013="自备筐",N(对接源_02物料!$V1013)&lt;&gt;0)),1,0)</f>
        <v>0</v>
      </c>
      <c r="W2213" s="1" t="n">
        <f aca="false">N(W2212)+$V2213</f>
        <v>7</v>
      </c>
      <c r="X2213" s="1" t="n">
        <f aca="false">IF(AND($L2213=1,AND(对接源_02物料!$X1013="自备筐",N(对接源_02物料!$T1013)&lt;&gt;0)),1,0)</f>
        <v>0</v>
      </c>
      <c r="Y2213" s="1" t="n">
        <f aca="false">N(Y2212)+$X2213</f>
        <v>0</v>
      </c>
      <c r="Z2213" s="1" t="n">
        <f aca="false">IF(AND($M2213=1,对接源_02物料!$D1013="原料入库"),1,0)</f>
        <v>0</v>
      </c>
      <c r="AA2213" s="1" t="n">
        <f aca="false">N(AA2212)+$Z2213</f>
        <v>30</v>
      </c>
      <c r="AB2213" s="1" t="n">
        <f aca="false">IF(AND($M2213=1,LEFT(对接源_02物料!$D1013,4)="原料出库"),1,0)</f>
        <v>0</v>
      </c>
      <c r="AC2213" s="1" t="n">
        <f aca="false">N(AC2212)+$AB2213</f>
        <v>19</v>
      </c>
      <c r="AD2213" s="1" t="n">
        <f aca="false">IF(AND($M2213=1,LEFT(对接源_02物料!$D1013,4)="成品出库"),1,0)</f>
        <v>0</v>
      </c>
      <c r="AE2213" s="1" t="n">
        <f aca="false">N(AE2212)+$AD2213</f>
        <v>38</v>
      </c>
      <c r="AF2213" s="1" t="n">
        <f aca="false">IF(AND($N2213=1,AND(LEFT(对接源_02物料!$D1013,4)="包装物料",N(对接源_02物料!$K1013)&lt;&gt;0)),1,0)</f>
        <v>0</v>
      </c>
      <c r="AG2213" s="1" t="n">
        <f aca="false">N(AG2212)+$AF2213</f>
        <v>6</v>
      </c>
      <c r="AH2213" s="1" t="n">
        <f aca="false">IF(AND($N2213=1,AND(LEFT(对接源_02物料!$D1013,3)="周转筐",N(对接源_02物料!$K1013)&lt;&gt;0)),1,0)</f>
        <v>0</v>
      </c>
      <c r="AI2213" s="1" t="n">
        <f aca="false">N(AI2212)+$AH2213</f>
        <v>0</v>
      </c>
      <c r="AJ2213" s="1" t="n">
        <v>0</v>
      </c>
      <c r="AK2213" s="1" t="n">
        <f aca="false">N(AK2212)+$AJ2213</f>
        <v>3672</v>
      </c>
    </row>
    <row r="2214" customFormat="false" ht="13.5" hidden="false" customHeight="false" outlineLevel="0" collapsed="false">
      <c r="A2214" s="1" t="str">
        <f aca="false">IF(对接源_02物料!$C1014="","",对接源_02物料!$C1014)</f>
        <v/>
      </c>
      <c r="B2214" s="1" t="n">
        <f aca="false">IF(A2214="",0,IF(MATCH(A2214,$A$4:$A$2403,0)=ROW()-3,1,0))</f>
        <v>0</v>
      </c>
      <c r="C2214" s="1" t="n">
        <f aca="false">N(C2213)+B2214</f>
        <v>17</v>
      </c>
      <c r="K2214" s="1" t="n">
        <f aca="false">IF(OR($K$1="",对接源_02物料!$C1014="",对接源_02物料!$C1014&lt;&gt;$K$1,对接源_02物料!$B1014=""),0,IF(OR(N(对接源_02物料!$B1014)&lt;$K$2,N(对接源_02物料!$B1014)&gt;$K$3),0,1))</f>
        <v>0</v>
      </c>
      <c r="L2214" s="1" t="n">
        <f aca="false">IF(OR($L$1="",对接源_02物料!$C1014="",对接源_02物料!$C1014&lt;&gt;$L$1,对接源_02物料!$B1014=""),0,IF(OR(N(对接源_02物料!$B1014)&lt;$L$2,N(对接源_02物料!$B1014)&gt;$L$3),0,1))</f>
        <v>0</v>
      </c>
      <c r="M2214" s="1" t="n">
        <f aca="false">IF(OR($M$1="",对接源_02物料!$C1014="",对接源_02物料!$C1014&lt;&gt;$M$1,对接源_02物料!$B1014=""),0,IF(OR(N(对接源_02物料!$B1014)&lt;$M$2,N(对接源_02物料!$B1014)&gt;$M$3),0,1))</f>
        <v>0</v>
      </c>
      <c r="N2214" s="1" t="n">
        <f aca="false">IF(OR($N$1="",对接源_02物料!$C1014="",对接源_02物料!$C1014&lt;&gt;$N$1,对接源_02物料!$B1014=""),0,IF(OR(N(对接源_02物料!$B1014)&lt;$N$2,N(对接源_02物料!$B1014)&gt;$N$3),0,1))</f>
        <v>0</v>
      </c>
      <c r="P2214" s="1" t="n">
        <f aca="false">IF(AND($K2214=1,AND(对接源_02物料!$X1014="公司筐",N(对接源_02物料!$T1014)&lt;&gt;0)),1,0)</f>
        <v>0</v>
      </c>
      <c r="Q2214" s="1" t="n">
        <f aca="false">N(Q2213)+$P2214</f>
        <v>13</v>
      </c>
      <c r="R2214" s="1" t="n">
        <f aca="false">IF(AND($K2214=1,AND(对接源_02物料!$X1014="公司筐",N(对接源_02物料!$U1014)&lt;&gt;0)),1,0)</f>
        <v>0</v>
      </c>
      <c r="S2214" s="1" t="n">
        <f aca="false">N(S2213)+$R2214</f>
        <v>5</v>
      </c>
      <c r="T2214" s="1" t="n">
        <f aca="false">IF(AND($K2214=1,AND(对接源_02物料!$X1014="公司筐",N(对接源_02物料!$V1014)&lt;&gt;0)),1,0)</f>
        <v>0</v>
      </c>
      <c r="U2214" s="1" t="n">
        <f aca="false">N(U2213)+$T2214</f>
        <v>28</v>
      </c>
      <c r="V2214" s="1" t="n">
        <f aca="false">IF(AND($L2214=1,AND(对接源_02物料!$X1014="自备筐",N(对接源_02物料!$V1014)&lt;&gt;0)),1,0)</f>
        <v>0</v>
      </c>
      <c r="W2214" s="1" t="n">
        <f aca="false">N(W2213)+$V2214</f>
        <v>7</v>
      </c>
      <c r="X2214" s="1" t="n">
        <f aca="false">IF(AND($L2214=1,AND(对接源_02物料!$X1014="自备筐",N(对接源_02物料!$T1014)&lt;&gt;0)),1,0)</f>
        <v>0</v>
      </c>
      <c r="Y2214" s="1" t="n">
        <f aca="false">N(Y2213)+$X2214</f>
        <v>0</v>
      </c>
      <c r="Z2214" s="1" t="n">
        <f aca="false">IF(AND($M2214=1,对接源_02物料!$D1014="原料入库"),1,0)</f>
        <v>0</v>
      </c>
      <c r="AA2214" s="1" t="n">
        <f aca="false">N(AA2213)+$Z2214</f>
        <v>30</v>
      </c>
      <c r="AB2214" s="1" t="n">
        <f aca="false">IF(AND($M2214=1,LEFT(对接源_02物料!$D1014,4)="原料出库"),1,0)</f>
        <v>0</v>
      </c>
      <c r="AC2214" s="1" t="n">
        <f aca="false">N(AC2213)+$AB2214</f>
        <v>19</v>
      </c>
      <c r="AD2214" s="1" t="n">
        <f aca="false">IF(AND($M2214=1,LEFT(对接源_02物料!$D1014,4)="成品出库"),1,0)</f>
        <v>0</v>
      </c>
      <c r="AE2214" s="1" t="n">
        <f aca="false">N(AE2213)+$AD2214</f>
        <v>38</v>
      </c>
      <c r="AF2214" s="1" t="n">
        <f aca="false">IF(AND($N2214=1,AND(LEFT(对接源_02物料!$D1014,4)="包装物料",N(对接源_02物料!$K1014)&lt;&gt;0)),1,0)</f>
        <v>0</v>
      </c>
      <c r="AG2214" s="1" t="n">
        <f aca="false">N(AG2213)+$AF2214</f>
        <v>6</v>
      </c>
      <c r="AH2214" s="1" t="n">
        <f aca="false">IF(AND($N2214=1,AND(LEFT(对接源_02物料!$D1014,3)="周转筐",N(对接源_02物料!$K1014)&lt;&gt;0)),1,0)</f>
        <v>0</v>
      </c>
      <c r="AI2214" s="1" t="n">
        <f aca="false">N(AI2213)+$AH2214</f>
        <v>0</v>
      </c>
      <c r="AJ2214" s="1" t="n">
        <v>0</v>
      </c>
      <c r="AK2214" s="1" t="n">
        <f aca="false">N(AK2213)+$AJ2214</f>
        <v>3672</v>
      </c>
    </row>
    <row r="2215" customFormat="false" ht="13.5" hidden="false" customHeight="false" outlineLevel="0" collapsed="false">
      <c r="A2215" s="1" t="str">
        <f aca="false">IF(对接源_02物料!$C1015="","",对接源_02物料!$C1015)</f>
        <v/>
      </c>
      <c r="B2215" s="1" t="n">
        <f aca="false">IF(A2215="",0,IF(MATCH(A2215,$A$4:$A$2403,0)=ROW()-3,1,0))</f>
        <v>0</v>
      </c>
      <c r="C2215" s="1" t="n">
        <f aca="false">N(C2214)+B2215</f>
        <v>17</v>
      </c>
      <c r="K2215" s="1" t="n">
        <f aca="false">IF(OR($K$1="",对接源_02物料!$C1015="",对接源_02物料!$C1015&lt;&gt;$K$1,对接源_02物料!$B1015=""),0,IF(OR(N(对接源_02物料!$B1015)&lt;$K$2,N(对接源_02物料!$B1015)&gt;$K$3),0,1))</f>
        <v>0</v>
      </c>
      <c r="L2215" s="1" t="n">
        <f aca="false">IF(OR($L$1="",对接源_02物料!$C1015="",对接源_02物料!$C1015&lt;&gt;$L$1,对接源_02物料!$B1015=""),0,IF(OR(N(对接源_02物料!$B1015)&lt;$L$2,N(对接源_02物料!$B1015)&gt;$L$3),0,1))</f>
        <v>0</v>
      </c>
      <c r="M2215" s="1" t="n">
        <f aca="false">IF(OR($M$1="",对接源_02物料!$C1015="",对接源_02物料!$C1015&lt;&gt;$M$1,对接源_02物料!$B1015=""),0,IF(OR(N(对接源_02物料!$B1015)&lt;$M$2,N(对接源_02物料!$B1015)&gt;$M$3),0,1))</f>
        <v>0</v>
      </c>
      <c r="N2215" s="1" t="n">
        <f aca="false">IF(OR($N$1="",对接源_02物料!$C1015="",对接源_02物料!$C1015&lt;&gt;$N$1,对接源_02物料!$B1015=""),0,IF(OR(N(对接源_02物料!$B1015)&lt;$N$2,N(对接源_02物料!$B1015)&gt;$N$3),0,1))</f>
        <v>0</v>
      </c>
      <c r="P2215" s="1" t="n">
        <f aca="false">IF(AND($K2215=1,AND(对接源_02物料!$X1015="公司筐",N(对接源_02物料!$T1015)&lt;&gt;0)),1,0)</f>
        <v>0</v>
      </c>
      <c r="Q2215" s="1" t="n">
        <f aca="false">N(Q2214)+$P2215</f>
        <v>13</v>
      </c>
      <c r="R2215" s="1" t="n">
        <f aca="false">IF(AND($K2215=1,AND(对接源_02物料!$X1015="公司筐",N(对接源_02物料!$U1015)&lt;&gt;0)),1,0)</f>
        <v>0</v>
      </c>
      <c r="S2215" s="1" t="n">
        <f aca="false">N(S2214)+$R2215</f>
        <v>5</v>
      </c>
      <c r="T2215" s="1" t="n">
        <f aca="false">IF(AND($K2215=1,AND(对接源_02物料!$X1015="公司筐",N(对接源_02物料!$V1015)&lt;&gt;0)),1,0)</f>
        <v>0</v>
      </c>
      <c r="U2215" s="1" t="n">
        <f aca="false">N(U2214)+$T2215</f>
        <v>28</v>
      </c>
      <c r="V2215" s="1" t="n">
        <f aca="false">IF(AND($L2215=1,AND(对接源_02物料!$X1015="自备筐",N(对接源_02物料!$V1015)&lt;&gt;0)),1,0)</f>
        <v>0</v>
      </c>
      <c r="W2215" s="1" t="n">
        <f aca="false">N(W2214)+$V2215</f>
        <v>7</v>
      </c>
      <c r="X2215" s="1" t="n">
        <f aca="false">IF(AND($L2215=1,AND(对接源_02物料!$X1015="自备筐",N(对接源_02物料!$T1015)&lt;&gt;0)),1,0)</f>
        <v>0</v>
      </c>
      <c r="Y2215" s="1" t="n">
        <f aca="false">N(Y2214)+$X2215</f>
        <v>0</v>
      </c>
      <c r="Z2215" s="1" t="n">
        <f aca="false">IF(AND($M2215=1,对接源_02物料!$D1015="原料入库"),1,0)</f>
        <v>0</v>
      </c>
      <c r="AA2215" s="1" t="n">
        <f aca="false">N(AA2214)+$Z2215</f>
        <v>30</v>
      </c>
      <c r="AB2215" s="1" t="n">
        <f aca="false">IF(AND($M2215=1,LEFT(对接源_02物料!$D1015,4)="原料出库"),1,0)</f>
        <v>0</v>
      </c>
      <c r="AC2215" s="1" t="n">
        <f aca="false">N(AC2214)+$AB2215</f>
        <v>19</v>
      </c>
      <c r="AD2215" s="1" t="n">
        <f aca="false">IF(AND($M2215=1,LEFT(对接源_02物料!$D1015,4)="成品出库"),1,0)</f>
        <v>0</v>
      </c>
      <c r="AE2215" s="1" t="n">
        <f aca="false">N(AE2214)+$AD2215</f>
        <v>38</v>
      </c>
      <c r="AF2215" s="1" t="n">
        <f aca="false">IF(AND($N2215=1,AND(LEFT(对接源_02物料!$D1015,4)="包装物料",N(对接源_02物料!$K1015)&lt;&gt;0)),1,0)</f>
        <v>0</v>
      </c>
      <c r="AG2215" s="1" t="n">
        <f aca="false">N(AG2214)+$AF2215</f>
        <v>6</v>
      </c>
      <c r="AH2215" s="1" t="n">
        <f aca="false">IF(AND($N2215=1,AND(LEFT(对接源_02物料!$D1015,3)="周转筐",N(对接源_02物料!$K1015)&lt;&gt;0)),1,0)</f>
        <v>0</v>
      </c>
      <c r="AI2215" s="1" t="n">
        <f aca="false">N(AI2214)+$AH2215</f>
        <v>0</v>
      </c>
      <c r="AJ2215" s="1" t="n">
        <v>0</v>
      </c>
      <c r="AK2215" s="1" t="n">
        <f aca="false">N(AK2214)+$AJ2215</f>
        <v>3672</v>
      </c>
    </row>
    <row r="2216" customFormat="false" ht="13.5" hidden="false" customHeight="false" outlineLevel="0" collapsed="false">
      <c r="A2216" s="1" t="str">
        <f aca="false">IF(对接源_02物料!$C1016="","",对接源_02物料!$C1016)</f>
        <v/>
      </c>
      <c r="B2216" s="1" t="n">
        <f aca="false">IF(A2216="",0,IF(MATCH(A2216,$A$4:$A$2403,0)=ROW()-3,1,0))</f>
        <v>0</v>
      </c>
      <c r="C2216" s="1" t="n">
        <f aca="false">N(C2215)+B2216</f>
        <v>17</v>
      </c>
      <c r="K2216" s="1" t="n">
        <f aca="false">IF(OR($K$1="",对接源_02物料!$C1016="",对接源_02物料!$C1016&lt;&gt;$K$1,对接源_02物料!$B1016=""),0,IF(OR(N(对接源_02物料!$B1016)&lt;$K$2,N(对接源_02物料!$B1016)&gt;$K$3),0,1))</f>
        <v>0</v>
      </c>
      <c r="L2216" s="1" t="n">
        <f aca="false">IF(OR($L$1="",对接源_02物料!$C1016="",对接源_02物料!$C1016&lt;&gt;$L$1,对接源_02物料!$B1016=""),0,IF(OR(N(对接源_02物料!$B1016)&lt;$L$2,N(对接源_02物料!$B1016)&gt;$L$3),0,1))</f>
        <v>0</v>
      </c>
      <c r="M2216" s="1" t="n">
        <f aca="false">IF(OR($M$1="",对接源_02物料!$C1016="",对接源_02物料!$C1016&lt;&gt;$M$1,对接源_02物料!$B1016=""),0,IF(OR(N(对接源_02物料!$B1016)&lt;$M$2,N(对接源_02物料!$B1016)&gt;$M$3),0,1))</f>
        <v>0</v>
      </c>
      <c r="N2216" s="1" t="n">
        <f aca="false">IF(OR($N$1="",对接源_02物料!$C1016="",对接源_02物料!$C1016&lt;&gt;$N$1,对接源_02物料!$B1016=""),0,IF(OR(N(对接源_02物料!$B1016)&lt;$N$2,N(对接源_02物料!$B1016)&gt;$N$3),0,1))</f>
        <v>0</v>
      </c>
      <c r="P2216" s="1" t="n">
        <f aca="false">IF(AND($K2216=1,AND(对接源_02物料!$X1016="公司筐",N(对接源_02物料!$T1016)&lt;&gt;0)),1,0)</f>
        <v>0</v>
      </c>
      <c r="Q2216" s="1" t="n">
        <f aca="false">N(Q2215)+$P2216</f>
        <v>13</v>
      </c>
      <c r="R2216" s="1" t="n">
        <f aca="false">IF(AND($K2216=1,AND(对接源_02物料!$X1016="公司筐",N(对接源_02物料!$U1016)&lt;&gt;0)),1,0)</f>
        <v>0</v>
      </c>
      <c r="S2216" s="1" t="n">
        <f aca="false">N(S2215)+$R2216</f>
        <v>5</v>
      </c>
      <c r="T2216" s="1" t="n">
        <f aca="false">IF(AND($K2216=1,AND(对接源_02物料!$X1016="公司筐",N(对接源_02物料!$V1016)&lt;&gt;0)),1,0)</f>
        <v>0</v>
      </c>
      <c r="U2216" s="1" t="n">
        <f aca="false">N(U2215)+$T2216</f>
        <v>28</v>
      </c>
      <c r="V2216" s="1" t="n">
        <f aca="false">IF(AND($L2216=1,AND(对接源_02物料!$X1016="自备筐",N(对接源_02物料!$V1016)&lt;&gt;0)),1,0)</f>
        <v>0</v>
      </c>
      <c r="W2216" s="1" t="n">
        <f aca="false">N(W2215)+$V2216</f>
        <v>7</v>
      </c>
      <c r="X2216" s="1" t="n">
        <f aca="false">IF(AND($L2216=1,AND(对接源_02物料!$X1016="自备筐",N(对接源_02物料!$T1016)&lt;&gt;0)),1,0)</f>
        <v>0</v>
      </c>
      <c r="Y2216" s="1" t="n">
        <f aca="false">N(Y2215)+$X2216</f>
        <v>0</v>
      </c>
      <c r="Z2216" s="1" t="n">
        <f aca="false">IF(AND($M2216=1,对接源_02物料!$D1016="原料入库"),1,0)</f>
        <v>0</v>
      </c>
      <c r="AA2216" s="1" t="n">
        <f aca="false">N(AA2215)+$Z2216</f>
        <v>30</v>
      </c>
      <c r="AB2216" s="1" t="n">
        <f aca="false">IF(AND($M2216=1,LEFT(对接源_02物料!$D1016,4)="原料出库"),1,0)</f>
        <v>0</v>
      </c>
      <c r="AC2216" s="1" t="n">
        <f aca="false">N(AC2215)+$AB2216</f>
        <v>19</v>
      </c>
      <c r="AD2216" s="1" t="n">
        <f aca="false">IF(AND($M2216=1,LEFT(对接源_02物料!$D1016,4)="成品出库"),1,0)</f>
        <v>0</v>
      </c>
      <c r="AE2216" s="1" t="n">
        <f aca="false">N(AE2215)+$AD2216</f>
        <v>38</v>
      </c>
      <c r="AF2216" s="1" t="n">
        <f aca="false">IF(AND($N2216=1,AND(LEFT(对接源_02物料!$D1016,4)="包装物料",N(对接源_02物料!$K1016)&lt;&gt;0)),1,0)</f>
        <v>0</v>
      </c>
      <c r="AG2216" s="1" t="n">
        <f aca="false">N(AG2215)+$AF2216</f>
        <v>6</v>
      </c>
      <c r="AH2216" s="1" t="n">
        <f aca="false">IF(AND($N2216=1,AND(LEFT(对接源_02物料!$D1016,3)="周转筐",N(对接源_02物料!$K1016)&lt;&gt;0)),1,0)</f>
        <v>0</v>
      </c>
      <c r="AI2216" s="1" t="n">
        <f aca="false">N(AI2215)+$AH2216</f>
        <v>0</v>
      </c>
      <c r="AJ2216" s="1" t="n">
        <v>0</v>
      </c>
      <c r="AK2216" s="1" t="n">
        <f aca="false">N(AK2215)+$AJ2216</f>
        <v>3672</v>
      </c>
    </row>
    <row r="2217" customFormat="false" ht="13.5" hidden="false" customHeight="false" outlineLevel="0" collapsed="false">
      <c r="A2217" s="1" t="str">
        <f aca="false">IF(对接源_02物料!$C1017="","",对接源_02物料!$C1017)</f>
        <v/>
      </c>
      <c r="B2217" s="1" t="n">
        <f aca="false">IF(A2217="",0,IF(MATCH(A2217,$A$4:$A$2403,0)=ROW()-3,1,0))</f>
        <v>0</v>
      </c>
      <c r="C2217" s="1" t="n">
        <f aca="false">N(C2216)+B2217</f>
        <v>17</v>
      </c>
      <c r="K2217" s="1" t="n">
        <f aca="false">IF(OR($K$1="",对接源_02物料!$C1017="",对接源_02物料!$C1017&lt;&gt;$K$1,对接源_02物料!$B1017=""),0,IF(OR(N(对接源_02物料!$B1017)&lt;$K$2,N(对接源_02物料!$B1017)&gt;$K$3),0,1))</f>
        <v>0</v>
      </c>
      <c r="L2217" s="1" t="n">
        <f aca="false">IF(OR($L$1="",对接源_02物料!$C1017="",对接源_02物料!$C1017&lt;&gt;$L$1,对接源_02物料!$B1017=""),0,IF(OR(N(对接源_02物料!$B1017)&lt;$L$2,N(对接源_02物料!$B1017)&gt;$L$3),0,1))</f>
        <v>0</v>
      </c>
      <c r="M2217" s="1" t="n">
        <f aca="false">IF(OR($M$1="",对接源_02物料!$C1017="",对接源_02物料!$C1017&lt;&gt;$M$1,对接源_02物料!$B1017=""),0,IF(OR(N(对接源_02物料!$B1017)&lt;$M$2,N(对接源_02物料!$B1017)&gt;$M$3),0,1))</f>
        <v>0</v>
      </c>
      <c r="N2217" s="1" t="n">
        <f aca="false">IF(OR($N$1="",对接源_02物料!$C1017="",对接源_02物料!$C1017&lt;&gt;$N$1,对接源_02物料!$B1017=""),0,IF(OR(N(对接源_02物料!$B1017)&lt;$N$2,N(对接源_02物料!$B1017)&gt;$N$3),0,1))</f>
        <v>0</v>
      </c>
      <c r="P2217" s="1" t="n">
        <f aca="false">IF(AND($K2217=1,AND(对接源_02物料!$X1017="公司筐",N(对接源_02物料!$T1017)&lt;&gt;0)),1,0)</f>
        <v>0</v>
      </c>
      <c r="Q2217" s="1" t="n">
        <f aca="false">N(Q2216)+$P2217</f>
        <v>13</v>
      </c>
      <c r="R2217" s="1" t="n">
        <f aca="false">IF(AND($K2217=1,AND(对接源_02物料!$X1017="公司筐",N(对接源_02物料!$U1017)&lt;&gt;0)),1,0)</f>
        <v>0</v>
      </c>
      <c r="S2217" s="1" t="n">
        <f aca="false">N(S2216)+$R2217</f>
        <v>5</v>
      </c>
      <c r="T2217" s="1" t="n">
        <f aca="false">IF(AND($K2217=1,AND(对接源_02物料!$X1017="公司筐",N(对接源_02物料!$V1017)&lt;&gt;0)),1,0)</f>
        <v>0</v>
      </c>
      <c r="U2217" s="1" t="n">
        <f aca="false">N(U2216)+$T2217</f>
        <v>28</v>
      </c>
      <c r="V2217" s="1" t="n">
        <f aca="false">IF(AND($L2217=1,AND(对接源_02物料!$X1017="自备筐",N(对接源_02物料!$V1017)&lt;&gt;0)),1,0)</f>
        <v>0</v>
      </c>
      <c r="W2217" s="1" t="n">
        <f aca="false">N(W2216)+$V2217</f>
        <v>7</v>
      </c>
      <c r="X2217" s="1" t="n">
        <f aca="false">IF(AND($L2217=1,AND(对接源_02物料!$X1017="自备筐",N(对接源_02物料!$T1017)&lt;&gt;0)),1,0)</f>
        <v>0</v>
      </c>
      <c r="Y2217" s="1" t="n">
        <f aca="false">N(Y2216)+$X2217</f>
        <v>0</v>
      </c>
      <c r="Z2217" s="1" t="n">
        <f aca="false">IF(AND($M2217=1,对接源_02物料!$D1017="原料入库"),1,0)</f>
        <v>0</v>
      </c>
      <c r="AA2217" s="1" t="n">
        <f aca="false">N(AA2216)+$Z2217</f>
        <v>30</v>
      </c>
      <c r="AB2217" s="1" t="n">
        <f aca="false">IF(AND($M2217=1,LEFT(对接源_02物料!$D1017,4)="原料出库"),1,0)</f>
        <v>0</v>
      </c>
      <c r="AC2217" s="1" t="n">
        <f aca="false">N(AC2216)+$AB2217</f>
        <v>19</v>
      </c>
      <c r="AD2217" s="1" t="n">
        <f aca="false">IF(AND($M2217=1,LEFT(对接源_02物料!$D1017,4)="成品出库"),1,0)</f>
        <v>0</v>
      </c>
      <c r="AE2217" s="1" t="n">
        <f aca="false">N(AE2216)+$AD2217</f>
        <v>38</v>
      </c>
      <c r="AF2217" s="1" t="n">
        <f aca="false">IF(AND($N2217=1,AND(LEFT(对接源_02物料!$D1017,4)="包装物料",N(对接源_02物料!$K1017)&lt;&gt;0)),1,0)</f>
        <v>0</v>
      </c>
      <c r="AG2217" s="1" t="n">
        <f aca="false">N(AG2216)+$AF2217</f>
        <v>6</v>
      </c>
      <c r="AH2217" s="1" t="n">
        <f aca="false">IF(AND($N2217=1,AND(LEFT(对接源_02物料!$D1017,3)="周转筐",N(对接源_02物料!$K1017)&lt;&gt;0)),1,0)</f>
        <v>0</v>
      </c>
      <c r="AI2217" s="1" t="n">
        <f aca="false">N(AI2216)+$AH2217</f>
        <v>0</v>
      </c>
      <c r="AJ2217" s="1" t="n">
        <v>0</v>
      </c>
      <c r="AK2217" s="1" t="n">
        <f aca="false">N(AK2216)+$AJ2217</f>
        <v>3672</v>
      </c>
    </row>
    <row r="2218" customFormat="false" ht="13.5" hidden="false" customHeight="false" outlineLevel="0" collapsed="false">
      <c r="A2218" s="1" t="str">
        <f aca="false">IF(对接源_02物料!$C1018="","",对接源_02物料!$C1018)</f>
        <v/>
      </c>
      <c r="B2218" s="1" t="n">
        <f aca="false">IF(A2218="",0,IF(MATCH(A2218,$A$4:$A$2403,0)=ROW()-3,1,0))</f>
        <v>0</v>
      </c>
      <c r="C2218" s="1" t="n">
        <f aca="false">N(C2217)+B2218</f>
        <v>17</v>
      </c>
      <c r="K2218" s="1" t="n">
        <f aca="false">IF(OR($K$1="",对接源_02物料!$C1018="",对接源_02物料!$C1018&lt;&gt;$K$1,对接源_02物料!$B1018=""),0,IF(OR(N(对接源_02物料!$B1018)&lt;$K$2,N(对接源_02物料!$B1018)&gt;$K$3),0,1))</f>
        <v>0</v>
      </c>
      <c r="L2218" s="1" t="n">
        <f aca="false">IF(OR($L$1="",对接源_02物料!$C1018="",对接源_02物料!$C1018&lt;&gt;$L$1,对接源_02物料!$B1018=""),0,IF(OR(N(对接源_02物料!$B1018)&lt;$L$2,N(对接源_02物料!$B1018)&gt;$L$3),0,1))</f>
        <v>0</v>
      </c>
      <c r="M2218" s="1" t="n">
        <f aca="false">IF(OR($M$1="",对接源_02物料!$C1018="",对接源_02物料!$C1018&lt;&gt;$M$1,对接源_02物料!$B1018=""),0,IF(OR(N(对接源_02物料!$B1018)&lt;$M$2,N(对接源_02物料!$B1018)&gt;$M$3),0,1))</f>
        <v>0</v>
      </c>
      <c r="N2218" s="1" t="n">
        <f aca="false">IF(OR($N$1="",对接源_02物料!$C1018="",对接源_02物料!$C1018&lt;&gt;$N$1,对接源_02物料!$B1018=""),0,IF(OR(N(对接源_02物料!$B1018)&lt;$N$2,N(对接源_02物料!$B1018)&gt;$N$3),0,1))</f>
        <v>0</v>
      </c>
      <c r="P2218" s="1" t="n">
        <f aca="false">IF(AND($K2218=1,AND(对接源_02物料!$X1018="公司筐",N(对接源_02物料!$T1018)&lt;&gt;0)),1,0)</f>
        <v>0</v>
      </c>
      <c r="Q2218" s="1" t="n">
        <f aca="false">N(Q2217)+$P2218</f>
        <v>13</v>
      </c>
      <c r="R2218" s="1" t="n">
        <f aca="false">IF(AND($K2218=1,AND(对接源_02物料!$X1018="公司筐",N(对接源_02物料!$U1018)&lt;&gt;0)),1,0)</f>
        <v>0</v>
      </c>
      <c r="S2218" s="1" t="n">
        <f aca="false">N(S2217)+$R2218</f>
        <v>5</v>
      </c>
      <c r="T2218" s="1" t="n">
        <f aca="false">IF(AND($K2218=1,AND(对接源_02物料!$X1018="公司筐",N(对接源_02物料!$V1018)&lt;&gt;0)),1,0)</f>
        <v>0</v>
      </c>
      <c r="U2218" s="1" t="n">
        <f aca="false">N(U2217)+$T2218</f>
        <v>28</v>
      </c>
      <c r="V2218" s="1" t="n">
        <f aca="false">IF(AND($L2218=1,AND(对接源_02物料!$X1018="自备筐",N(对接源_02物料!$V1018)&lt;&gt;0)),1,0)</f>
        <v>0</v>
      </c>
      <c r="W2218" s="1" t="n">
        <f aca="false">N(W2217)+$V2218</f>
        <v>7</v>
      </c>
      <c r="X2218" s="1" t="n">
        <f aca="false">IF(AND($L2218=1,AND(对接源_02物料!$X1018="自备筐",N(对接源_02物料!$T1018)&lt;&gt;0)),1,0)</f>
        <v>0</v>
      </c>
      <c r="Y2218" s="1" t="n">
        <f aca="false">N(Y2217)+$X2218</f>
        <v>0</v>
      </c>
      <c r="Z2218" s="1" t="n">
        <f aca="false">IF(AND($M2218=1,对接源_02物料!$D1018="原料入库"),1,0)</f>
        <v>0</v>
      </c>
      <c r="AA2218" s="1" t="n">
        <f aca="false">N(AA2217)+$Z2218</f>
        <v>30</v>
      </c>
      <c r="AB2218" s="1" t="n">
        <f aca="false">IF(AND($M2218=1,LEFT(对接源_02物料!$D1018,4)="原料出库"),1,0)</f>
        <v>0</v>
      </c>
      <c r="AC2218" s="1" t="n">
        <f aca="false">N(AC2217)+$AB2218</f>
        <v>19</v>
      </c>
      <c r="AD2218" s="1" t="n">
        <f aca="false">IF(AND($M2218=1,LEFT(对接源_02物料!$D1018,4)="成品出库"),1,0)</f>
        <v>0</v>
      </c>
      <c r="AE2218" s="1" t="n">
        <f aca="false">N(AE2217)+$AD2218</f>
        <v>38</v>
      </c>
      <c r="AF2218" s="1" t="n">
        <f aca="false">IF(AND($N2218=1,AND(LEFT(对接源_02物料!$D1018,4)="包装物料",N(对接源_02物料!$K1018)&lt;&gt;0)),1,0)</f>
        <v>0</v>
      </c>
      <c r="AG2218" s="1" t="n">
        <f aca="false">N(AG2217)+$AF2218</f>
        <v>6</v>
      </c>
      <c r="AH2218" s="1" t="n">
        <f aca="false">IF(AND($N2218=1,AND(LEFT(对接源_02物料!$D1018,3)="周转筐",N(对接源_02物料!$K1018)&lt;&gt;0)),1,0)</f>
        <v>0</v>
      </c>
      <c r="AI2218" s="1" t="n">
        <f aca="false">N(AI2217)+$AH2218</f>
        <v>0</v>
      </c>
      <c r="AJ2218" s="1" t="n">
        <v>0</v>
      </c>
      <c r="AK2218" s="1" t="n">
        <f aca="false">N(AK2217)+$AJ2218</f>
        <v>3672</v>
      </c>
    </row>
    <row r="2219" customFormat="false" ht="13.5" hidden="false" customHeight="false" outlineLevel="0" collapsed="false">
      <c r="A2219" s="1" t="str">
        <f aca="false">IF(对接源_02物料!$C1019="","",对接源_02物料!$C1019)</f>
        <v/>
      </c>
      <c r="B2219" s="1" t="n">
        <f aca="false">IF(A2219="",0,IF(MATCH(A2219,$A$4:$A$2403,0)=ROW()-3,1,0))</f>
        <v>0</v>
      </c>
      <c r="C2219" s="1" t="n">
        <f aca="false">N(C2218)+B2219</f>
        <v>17</v>
      </c>
      <c r="K2219" s="1" t="n">
        <f aca="false">IF(OR($K$1="",对接源_02物料!$C1019="",对接源_02物料!$C1019&lt;&gt;$K$1,对接源_02物料!$B1019=""),0,IF(OR(N(对接源_02物料!$B1019)&lt;$K$2,N(对接源_02物料!$B1019)&gt;$K$3),0,1))</f>
        <v>0</v>
      </c>
      <c r="L2219" s="1" t="n">
        <f aca="false">IF(OR($L$1="",对接源_02物料!$C1019="",对接源_02物料!$C1019&lt;&gt;$L$1,对接源_02物料!$B1019=""),0,IF(OR(N(对接源_02物料!$B1019)&lt;$L$2,N(对接源_02物料!$B1019)&gt;$L$3),0,1))</f>
        <v>0</v>
      </c>
      <c r="M2219" s="1" t="n">
        <f aca="false">IF(OR($M$1="",对接源_02物料!$C1019="",对接源_02物料!$C1019&lt;&gt;$M$1,对接源_02物料!$B1019=""),0,IF(OR(N(对接源_02物料!$B1019)&lt;$M$2,N(对接源_02物料!$B1019)&gt;$M$3),0,1))</f>
        <v>0</v>
      </c>
      <c r="N2219" s="1" t="n">
        <f aca="false">IF(OR($N$1="",对接源_02物料!$C1019="",对接源_02物料!$C1019&lt;&gt;$N$1,对接源_02物料!$B1019=""),0,IF(OR(N(对接源_02物料!$B1019)&lt;$N$2,N(对接源_02物料!$B1019)&gt;$N$3),0,1))</f>
        <v>0</v>
      </c>
      <c r="P2219" s="1" t="n">
        <f aca="false">IF(AND($K2219=1,AND(对接源_02物料!$X1019="公司筐",N(对接源_02物料!$T1019)&lt;&gt;0)),1,0)</f>
        <v>0</v>
      </c>
      <c r="Q2219" s="1" t="n">
        <f aca="false">N(Q2218)+$P2219</f>
        <v>13</v>
      </c>
      <c r="R2219" s="1" t="n">
        <f aca="false">IF(AND($K2219=1,AND(对接源_02物料!$X1019="公司筐",N(对接源_02物料!$U1019)&lt;&gt;0)),1,0)</f>
        <v>0</v>
      </c>
      <c r="S2219" s="1" t="n">
        <f aca="false">N(S2218)+$R2219</f>
        <v>5</v>
      </c>
      <c r="T2219" s="1" t="n">
        <f aca="false">IF(AND($K2219=1,AND(对接源_02物料!$X1019="公司筐",N(对接源_02物料!$V1019)&lt;&gt;0)),1,0)</f>
        <v>0</v>
      </c>
      <c r="U2219" s="1" t="n">
        <f aca="false">N(U2218)+$T2219</f>
        <v>28</v>
      </c>
      <c r="V2219" s="1" t="n">
        <f aca="false">IF(AND($L2219=1,AND(对接源_02物料!$X1019="自备筐",N(对接源_02物料!$V1019)&lt;&gt;0)),1,0)</f>
        <v>0</v>
      </c>
      <c r="W2219" s="1" t="n">
        <f aca="false">N(W2218)+$V2219</f>
        <v>7</v>
      </c>
      <c r="X2219" s="1" t="n">
        <f aca="false">IF(AND($L2219=1,AND(对接源_02物料!$X1019="自备筐",N(对接源_02物料!$T1019)&lt;&gt;0)),1,0)</f>
        <v>0</v>
      </c>
      <c r="Y2219" s="1" t="n">
        <f aca="false">N(Y2218)+$X2219</f>
        <v>0</v>
      </c>
      <c r="Z2219" s="1" t="n">
        <f aca="false">IF(AND($M2219=1,对接源_02物料!$D1019="原料入库"),1,0)</f>
        <v>0</v>
      </c>
      <c r="AA2219" s="1" t="n">
        <f aca="false">N(AA2218)+$Z2219</f>
        <v>30</v>
      </c>
      <c r="AB2219" s="1" t="n">
        <f aca="false">IF(AND($M2219=1,LEFT(对接源_02物料!$D1019,4)="原料出库"),1,0)</f>
        <v>0</v>
      </c>
      <c r="AC2219" s="1" t="n">
        <f aca="false">N(AC2218)+$AB2219</f>
        <v>19</v>
      </c>
      <c r="AD2219" s="1" t="n">
        <f aca="false">IF(AND($M2219=1,LEFT(对接源_02物料!$D1019,4)="成品出库"),1,0)</f>
        <v>0</v>
      </c>
      <c r="AE2219" s="1" t="n">
        <f aca="false">N(AE2218)+$AD2219</f>
        <v>38</v>
      </c>
      <c r="AF2219" s="1" t="n">
        <f aca="false">IF(AND($N2219=1,AND(LEFT(对接源_02物料!$D1019,4)="包装物料",N(对接源_02物料!$K1019)&lt;&gt;0)),1,0)</f>
        <v>0</v>
      </c>
      <c r="AG2219" s="1" t="n">
        <f aca="false">N(AG2218)+$AF2219</f>
        <v>6</v>
      </c>
      <c r="AH2219" s="1" t="n">
        <f aca="false">IF(AND($N2219=1,AND(LEFT(对接源_02物料!$D1019,3)="周转筐",N(对接源_02物料!$K1019)&lt;&gt;0)),1,0)</f>
        <v>0</v>
      </c>
      <c r="AI2219" s="1" t="n">
        <f aca="false">N(AI2218)+$AH2219</f>
        <v>0</v>
      </c>
      <c r="AJ2219" s="1" t="n">
        <v>0</v>
      </c>
      <c r="AK2219" s="1" t="n">
        <f aca="false">N(AK2218)+$AJ2219</f>
        <v>3672</v>
      </c>
    </row>
    <row r="2220" customFormat="false" ht="13.5" hidden="false" customHeight="false" outlineLevel="0" collapsed="false">
      <c r="A2220" s="1" t="str">
        <f aca="false">IF(对接源_02物料!$C1020="","",对接源_02物料!$C1020)</f>
        <v/>
      </c>
      <c r="B2220" s="1" t="n">
        <f aca="false">IF(A2220="",0,IF(MATCH(A2220,$A$4:$A$2403,0)=ROW()-3,1,0))</f>
        <v>0</v>
      </c>
      <c r="C2220" s="1" t="n">
        <f aca="false">N(C2219)+B2220</f>
        <v>17</v>
      </c>
      <c r="K2220" s="1" t="n">
        <f aca="false">IF(OR($K$1="",对接源_02物料!$C1020="",对接源_02物料!$C1020&lt;&gt;$K$1,对接源_02物料!$B1020=""),0,IF(OR(N(对接源_02物料!$B1020)&lt;$K$2,N(对接源_02物料!$B1020)&gt;$K$3),0,1))</f>
        <v>0</v>
      </c>
      <c r="L2220" s="1" t="n">
        <f aca="false">IF(OR($L$1="",对接源_02物料!$C1020="",对接源_02物料!$C1020&lt;&gt;$L$1,对接源_02物料!$B1020=""),0,IF(OR(N(对接源_02物料!$B1020)&lt;$L$2,N(对接源_02物料!$B1020)&gt;$L$3),0,1))</f>
        <v>0</v>
      </c>
      <c r="M2220" s="1" t="n">
        <f aca="false">IF(OR($M$1="",对接源_02物料!$C1020="",对接源_02物料!$C1020&lt;&gt;$M$1,对接源_02物料!$B1020=""),0,IF(OR(N(对接源_02物料!$B1020)&lt;$M$2,N(对接源_02物料!$B1020)&gt;$M$3),0,1))</f>
        <v>0</v>
      </c>
      <c r="N2220" s="1" t="n">
        <f aca="false">IF(OR($N$1="",对接源_02物料!$C1020="",对接源_02物料!$C1020&lt;&gt;$N$1,对接源_02物料!$B1020=""),0,IF(OR(N(对接源_02物料!$B1020)&lt;$N$2,N(对接源_02物料!$B1020)&gt;$N$3),0,1))</f>
        <v>0</v>
      </c>
      <c r="P2220" s="1" t="n">
        <f aca="false">IF(AND($K2220=1,AND(对接源_02物料!$X1020="公司筐",N(对接源_02物料!$T1020)&lt;&gt;0)),1,0)</f>
        <v>0</v>
      </c>
      <c r="Q2220" s="1" t="n">
        <f aca="false">N(Q2219)+$P2220</f>
        <v>13</v>
      </c>
      <c r="R2220" s="1" t="n">
        <f aca="false">IF(AND($K2220=1,AND(对接源_02物料!$X1020="公司筐",N(对接源_02物料!$U1020)&lt;&gt;0)),1,0)</f>
        <v>0</v>
      </c>
      <c r="S2220" s="1" t="n">
        <f aca="false">N(S2219)+$R2220</f>
        <v>5</v>
      </c>
      <c r="T2220" s="1" t="n">
        <f aca="false">IF(AND($K2220=1,AND(对接源_02物料!$X1020="公司筐",N(对接源_02物料!$V1020)&lt;&gt;0)),1,0)</f>
        <v>0</v>
      </c>
      <c r="U2220" s="1" t="n">
        <f aca="false">N(U2219)+$T2220</f>
        <v>28</v>
      </c>
      <c r="V2220" s="1" t="n">
        <f aca="false">IF(AND($L2220=1,AND(对接源_02物料!$X1020="自备筐",N(对接源_02物料!$V1020)&lt;&gt;0)),1,0)</f>
        <v>0</v>
      </c>
      <c r="W2220" s="1" t="n">
        <f aca="false">N(W2219)+$V2220</f>
        <v>7</v>
      </c>
      <c r="X2220" s="1" t="n">
        <f aca="false">IF(AND($L2220=1,AND(对接源_02物料!$X1020="自备筐",N(对接源_02物料!$T1020)&lt;&gt;0)),1,0)</f>
        <v>0</v>
      </c>
      <c r="Y2220" s="1" t="n">
        <f aca="false">N(Y2219)+$X2220</f>
        <v>0</v>
      </c>
      <c r="Z2220" s="1" t="n">
        <f aca="false">IF(AND($M2220=1,对接源_02物料!$D1020="原料入库"),1,0)</f>
        <v>0</v>
      </c>
      <c r="AA2220" s="1" t="n">
        <f aca="false">N(AA2219)+$Z2220</f>
        <v>30</v>
      </c>
      <c r="AB2220" s="1" t="n">
        <f aca="false">IF(AND($M2220=1,LEFT(对接源_02物料!$D1020,4)="原料出库"),1,0)</f>
        <v>0</v>
      </c>
      <c r="AC2220" s="1" t="n">
        <f aca="false">N(AC2219)+$AB2220</f>
        <v>19</v>
      </c>
      <c r="AD2220" s="1" t="n">
        <f aca="false">IF(AND($M2220=1,LEFT(对接源_02物料!$D1020,4)="成品出库"),1,0)</f>
        <v>0</v>
      </c>
      <c r="AE2220" s="1" t="n">
        <f aca="false">N(AE2219)+$AD2220</f>
        <v>38</v>
      </c>
      <c r="AF2220" s="1" t="n">
        <f aca="false">IF(AND($N2220=1,AND(LEFT(对接源_02物料!$D1020,4)="包装物料",N(对接源_02物料!$K1020)&lt;&gt;0)),1,0)</f>
        <v>0</v>
      </c>
      <c r="AG2220" s="1" t="n">
        <f aca="false">N(AG2219)+$AF2220</f>
        <v>6</v>
      </c>
      <c r="AH2220" s="1" t="n">
        <f aca="false">IF(AND($N2220=1,AND(LEFT(对接源_02物料!$D1020,3)="周转筐",N(对接源_02物料!$K1020)&lt;&gt;0)),1,0)</f>
        <v>0</v>
      </c>
      <c r="AI2220" s="1" t="n">
        <f aca="false">N(AI2219)+$AH2220</f>
        <v>0</v>
      </c>
      <c r="AJ2220" s="1" t="n">
        <v>0</v>
      </c>
      <c r="AK2220" s="1" t="n">
        <f aca="false">N(AK2219)+$AJ2220</f>
        <v>3672</v>
      </c>
    </row>
    <row r="2221" customFormat="false" ht="13.5" hidden="false" customHeight="false" outlineLevel="0" collapsed="false">
      <c r="A2221" s="1" t="str">
        <f aca="false">IF(对接源_02物料!$C1021="","",对接源_02物料!$C1021)</f>
        <v/>
      </c>
      <c r="B2221" s="1" t="n">
        <f aca="false">IF(A2221="",0,IF(MATCH(A2221,$A$4:$A$2403,0)=ROW()-3,1,0))</f>
        <v>0</v>
      </c>
      <c r="C2221" s="1" t="n">
        <f aca="false">N(C2220)+B2221</f>
        <v>17</v>
      </c>
      <c r="K2221" s="1" t="n">
        <f aca="false">IF(OR($K$1="",对接源_02物料!$C1021="",对接源_02物料!$C1021&lt;&gt;$K$1,对接源_02物料!$B1021=""),0,IF(OR(N(对接源_02物料!$B1021)&lt;$K$2,N(对接源_02物料!$B1021)&gt;$K$3),0,1))</f>
        <v>0</v>
      </c>
      <c r="L2221" s="1" t="n">
        <f aca="false">IF(OR($L$1="",对接源_02物料!$C1021="",对接源_02物料!$C1021&lt;&gt;$L$1,对接源_02物料!$B1021=""),0,IF(OR(N(对接源_02物料!$B1021)&lt;$L$2,N(对接源_02物料!$B1021)&gt;$L$3),0,1))</f>
        <v>0</v>
      </c>
      <c r="M2221" s="1" t="n">
        <f aca="false">IF(OR($M$1="",对接源_02物料!$C1021="",对接源_02物料!$C1021&lt;&gt;$M$1,对接源_02物料!$B1021=""),0,IF(OR(N(对接源_02物料!$B1021)&lt;$M$2,N(对接源_02物料!$B1021)&gt;$M$3),0,1))</f>
        <v>0</v>
      </c>
      <c r="N2221" s="1" t="n">
        <f aca="false">IF(OR($N$1="",对接源_02物料!$C1021="",对接源_02物料!$C1021&lt;&gt;$N$1,对接源_02物料!$B1021=""),0,IF(OR(N(对接源_02物料!$B1021)&lt;$N$2,N(对接源_02物料!$B1021)&gt;$N$3),0,1))</f>
        <v>0</v>
      </c>
      <c r="P2221" s="1" t="n">
        <f aca="false">IF(AND($K2221=1,AND(对接源_02物料!$X1021="公司筐",N(对接源_02物料!$T1021)&lt;&gt;0)),1,0)</f>
        <v>0</v>
      </c>
      <c r="Q2221" s="1" t="n">
        <f aca="false">N(Q2220)+$P2221</f>
        <v>13</v>
      </c>
      <c r="R2221" s="1" t="n">
        <f aca="false">IF(AND($K2221=1,AND(对接源_02物料!$X1021="公司筐",N(对接源_02物料!$U1021)&lt;&gt;0)),1,0)</f>
        <v>0</v>
      </c>
      <c r="S2221" s="1" t="n">
        <f aca="false">N(S2220)+$R2221</f>
        <v>5</v>
      </c>
      <c r="T2221" s="1" t="n">
        <f aca="false">IF(AND($K2221=1,AND(对接源_02物料!$X1021="公司筐",N(对接源_02物料!$V1021)&lt;&gt;0)),1,0)</f>
        <v>0</v>
      </c>
      <c r="U2221" s="1" t="n">
        <f aca="false">N(U2220)+$T2221</f>
        <v>28</v>
      </c>
      <c r="V2221" s="1" t="n">
        <f aca="false">IF(AND($L2221=1,AND(对接源_02物料!$X1021="自备筐",N(对接源_02物料!$V1021)&lt;&gt;0)),1,0)</f>
        <v>0</v>
      </c>
      <c r="W2221" s="1" t="n">
        <f aca="false">N(W2220)+$V2221</f>
        <v>7</v>
      </c>
      <c r="X2221" s="1" t="n">
        <f aca="false">IF(AND($L2221=1,AND(对接源_02物料!$X1021="自备筐",N(对接源_02物料!$T1021)&lt;&gt;0)),1,0)</f>
        <v>0</v>
      </c>
      <c r="Y2221" s="1" t="n">
        <f aca="false">N(Y2220)+$X2221</f>
        <v>0</v>
      </c>
      <c r="Z2221" s="1" t="n">
        <f aca="false">IF(AND($M2221=1,对接源_02物料!$D1021="原料入库"),1,0)</f>
        <v>0</v>
      </c>
      <c r="AA2221" s="1" t="n">
        <f aca="false">N(AA2220)+$Z2221</f>
        <v>30</v>
      </c>
      <c r="AB2221" s="1" t="n">
        <f aca="false">IF(AND($M2221=1,LEFT(对接源_02物料!$D1021,4)="原料出库"),1,0)</f>
        <v>0</v>
      </c>
      <c r="AC2221" s="1" t="n">
        <f aca="false">N(AC2220)+$AB2221</f>
        <v>19</v>
      </c>
      <c r="AD2221" s="1" t="n">
        <f aca="false">IF(AND($M2221=1,LEFT(对接源_02物料!$D1021,4)="成品出库"),1,0)</f>
        <v>0</v>
      </c>
      <c r="AE2221" s="1" t="n">
        <f aca="false">N(AE2220)+$AD2221</f>
        <v>38</v>
      </c>
      <c r="AF2221" s="1" t="n">
        <f aca="false">IF(AND($N2221=1,AND(LEFT(对接源_02物料!$D1021,4)="包装物料",N(对接源_02物料!$K1021)&lt;&gt;0)),1,0)</f>
        <v>0</v>
      </c>
      <c r="AG2221" s="1" t="n">
        <f aca="false">N(AG2220)+$AF2221</f>
        <v>6</v>
      </c>
      <c r="AH2221" s="1" t="n">
        <f aca="false">IF(AND($N2221=1,AND(LEFT(对接源_02物料!$D1021,3)="周转筐",N(对接源_02物料!$K1021)&lt;&gt;0)),1,0)</f>
        <v>0</v>
      </c>
      <c r="AI2221" s="1" t="n">
        <f aca="false">N(AI2220)+$AH2221</f>
        <v>0</v>
      </c>
      <c r="AJ2221" s="1" t="n">
        <v>0</v>
      </c>
      <c r="AK2221" s="1" t="n">
        <f aca="false">N(AK2220)+$AJ2221</f>
        <v>3672</v>
      </c>
    </row>
    <row r="2222" customFormat="false" ht="13.5" hidden="false" customHeight="false" outlineLevel="0" collapsed="false">
      <c r="A2222" s="1" t="str">
        <f aca="false">IF(对接源_02物料!$C1022="","",对接源_02物料!$C1022)</f>
        <v/>
      </c>
      <c r="B2222" s="1" t="n">
        <f aca="false">IF(A2222="",0,IF(MATCH(A2222,$A$4:$A$2403,0)=ROW()-3,1,0))</f>
        <v>0</v>
      </c>
      <c r="C2222" s="1" t="n">
        <f aca="false">N(C2221)+B2222</f>
        <v>17</v>
      </c>
      <c r="K2222" s="1" t="n">
        <f aca="false">IF(OR($K$1="",对接源_02物料!$C1022="",对接源_02物料!$C1022&lt;&gt;$K$1,对接源_02物料!$B1022=""),0,IF(OR(N(对接源_02物料!$B1022)&lt;$K$2,N(对接源_02物料!$B1022)&gt;$K$3),0,1))</f>
        <v>0</v>
      </c>
      <c r="L2222" s="1" t="n">
        <f aca="false">IF(OR($L$1="",对接源_02物料!$C1022="",对接源_02物料!$C1022&lt;&gt;$L$1,对接源_02物料!$B1022=""),0,IF(OR(N(对接源_02物料!$B1022)&lt;$L$2,N(对接源_02物料!$B1022)&gt;$L$3),0,1))</f>
        <v>0</v>
      </c>
      <c r="M2222" s="1" t="n">
        <f aca="false">IF(OR($M$1="",对接源_02物料!$C1022="",对接源_02物料!$C1022&lt;&gt;$M$1,对接源_02物料!$B1022=""),0,IF(OR(N(对接源_02物料!$B1022)&lt;$M$2,N(对接源_02物料!$B1022)&gt;$M$3),0,1))</f>
        <v>0</v>
      </c>
      <c r="N2222" s="1" t="n">
        <f aca="false">IF(OR($N$1="",对接源_02物料!$C1022="",对接源_02物料!$C1022&lt;&gt;$N$1,对接源_02物料!$B1022=""),0,IF(OR(N(对接源_02物料!$B1022)&lt;$N$2,N(对接源_02物料!$B1022)&gt;$N$3),0,1))</f>
        <v>0</v>
      </c>
      <c r="P2222" s="1" t="n">
        <f aca="false">IF(AND($K2222=1,AND(对接源_02物料!$X1022="公司筐",N(对接源_02物料!$T1022)&lt;&gt;0)),1,0)</f>
        <v>0</v>
      </c>
      <c r="Q2222" s="1" t="n">
        <f aca="false">N(Q2221)+$P2222</f>
        <v>13</v>
      </c>
      <c r="R2222" s="1" t="n">
        <f aca="false">IF(AND($K2222=1,AND(对接源_02物料!$X1022="公司筐",N(对接源_02物料!$U1022)&lt;&gt;0)),1,0)</f>
        <v>0</v>
      </c>
      <c r="S2222" s="1" t="n">
        <f aca="false">N(S2221)+$R2222</f>
        <v>5</v>
      </c>
      <c r="T2222" s="1" t="n">
        <f aca="false">IF(AND($K2222=1,AND(对接源_02物料!$X1022="公司筐",N(对接源_02物料!$V1022)&lt;&gt;0)),1,0)</f>
        <v>0</v>
      </c>
      <c r="U2222" s="1" t="n">
        <f aca="false">N(U2221)+$T2222</f>
        <v>28</v>
      </c>
      <c r="V2222" s="1" t="n">
        <f aca="false">IF(AND($L2222=1,AND(对接源_02物料!$X1022="自备筐",N(对接源_02物料!$V1022)&lt;&gt;0)),1,0)</f>
        <v>0</v>
      </c>
      <c r="W2222" s="1" t="n">
        <f aca="false">N(W2221)+$V2222</f>
        <v>7</v>
      </c>
      <c r="X2222" s="1" t="n">
        <f aca="false">IF(AND($L2222=1,AND(对接源_02物料!$X1022="自备筐",N(对接源_02物料!$T1022)&lt;&gt;0)),1,0)</f>
        <v>0</v>
      </c>
      <c r="Y2222" s="1" t="n">
        <f aca="false">N(Y2221)+$X2222</f>
        <v>0</v>
      </c>
      <c r="Z2222" s="1" t="n">
        <f aca="false">IF(AND($M2222=1,对接源_02物料!$D1022="原料入库"),1,0)</f>
        <v>0</v>
      </c>
      <c r="AA2222" s="1" t="n">
        <f aca="false">N(AA2221)+$Z2222</f>
        <v>30</v>
      </c>
      <c r="AB2222" s="1" t="n">
        <f aca="false">IF(AND($M2222=1,LEFT(对接源_02物料!$D1022,4)="原料出库"),1,0)</f>
        <v>0</v>
      </c>
      <c r="AC2222" s="1" t="n">
        <f aca="false">N(AC2221)+$AB2222</f>
        <v>19</v>
      </c>
      <c r="AD2222" s="1" t="n">
        <f aca="false">IF(AND($M2222=1,LEFT(对接源_02物料!$D1022,4)="成品出库"),1,0)</f>
        <v>0</v>
      </c>
      <c r="AE2222" s="1" t="n">
        <f aca="false">N(AE2221)+$AD2222</f>
        <v>38</v>
      </c>
      <c r="AF2222" s="1" t="n">
        <f aca="false">IF(AND($N2222=1,AND(LEFT(对接源_02物料!$D1022,4)="包装物料",N(对接源_02物料!$K1022)&lt;&gt;0)),1,0)</f>
        <v>0</v>
      </c>
      <c r="AG2222" s="1" t="n">
        <f aca="false">N(AG2221)+$AF2222</f>
        <v>6</v>
      </c>
      <c r="AH2222" s="1" t="n">
        <f aca="false">IF(AND($N2222=1,AND(LEFT(对接源_02物料!$D1022,3)="周转筐",N(对接源_02物料!$K1022)&lt;&gt;0)),1,0)</f>
        <v>0</v>
      </c>
      <c r="AI2222" s="1" t="n">
        <f aca="false">N(AI2221)+$AH2222</f>
        <v>0</v>
      </c>
      <c r="AJ2222" s="1" t="n">
        <v>0</v>
      </c>
      <c r="AK2222" s="1" t="n">
        <f aca="false">N(AK2221)+$AJ2222</f>
        <v>3672</v>
      </c>
    </row>
    <row r="2223" customFormat="false" ht="13.5" hidden="false" customHeight="false" outlineLevel="0" collapsed="false">
      <c r="A2223" s="1" t="str">
        <f aca="false">IF(对接源_02物料!$C1023="","",对接源_02物料!$C1023)</f>
        <v/>
      </c>
      <c r="B2223" s="1" t="n">
        <f aca="false">IF(A2223="",0,IF(MATCH(A2223,$A$4:$A$2403,0)=ROW()-3,1,0))</f>
        <v>0</v>
      </c>
      <c r="C2223" s="1" t="n">
        <f aca="false">N(C2222)+B2223</f>
        <v>17</v>
      </c>
      <c r="K2223" s="1" t="n">
        <f aca="false">IF(OR($K$1="",对接源_02物料!$C1023="",对接源_02物料!$C1023&lt;&gt;$K$1,对接源_02物料!$B1023=""),0,IF(OR(N(对接源_02物料!$B1023)&lt;$K$2,N(对接源_02物料!$B1023)&gt;$K$3),0,1))</f>
        <v>0</v>
      </c>
      <c r="L2223" s="1" t="n">
        <f aca="false">IF(OR($L$1="",对接源_02物料!$C1023="",对接源_02物料!$C1023&lt;&gt;$L$1,对接源_02物料!$B1023=""),0,IF(OR(N(对接源_02物料!$B1023)&lt;$L$2,N(对接源_02物料!$B1023)&gt;$L$3),0,1))</f>
        <v>0</v>
      </c>
      <c r="M2223" s="1" t="n">
        <f aca="false">IF(OR($M$1="",对接源_02物料!$C1023="",对接源_02物料!$C1023&lt;&gt;$M$1,对接源_02物料!$B1023=""),0,IF(OR(N(对接源_02物料!$B1023)&lt;$M$2,N(对接源_02物料!$B1023)&gt;$M$3),0,1))</f>
        <v>0</v>
      </c>
      <c r="N2223" s="1" t="n">
        <f aca="false">IF(OR($N$1="",对接源_02物料!$C1023="",对接源_02物料!$C1023&lt;&gt;$N$1,对接源_02物料!$B1023=""),0,IF(OR(N(对接源_02物料!$B1023)&lt;$N$2,N(对接源_02物料!$B1023)&gt;$N$3),0,1))</f>
        <v>0</v>
      </c>
      <c r="P2223" s="1" t="n">
        <f aca="false">IF(AND($K2223=1,AND(对接源_02物料!$X1023="公司筐",N(对接源_02物料!$T1023)&lt;&gt;0)),1,0)</f>
        <v>0</v>
      </c>
      <c r="Q2223" s="1" t="n">
        <f aca="false">N(Q2222)+$P2223</f>
        <v>13</v>
      </c>
      <c r="R2223" s="1" t="n">
        <f aca="false">IF(AND($K2223=1,AND(对接源_02物料!$X1023="公司筐",N(对接源_02物料!$U1023)&lt;&gt;0)),1,0)</f>
        <v>0</v>
      </c>
      <c r="S2223" s="1" t="n">
        <f aca="false">N(S2222)+$R2223</f>
        <v>5</v>
      </c>
      <c r="T2223" s="1" t="n">
        <f aca="false">IF(AND($K2223=1,AND(对接源_02物料!$X1023="公司筐",N(对接源_02物料!$V1023)&lt;&gt;0)),1,0)</f>
        <v>0</v>
      </c>
      <c r="U2223" s="1" t="n">
        <f aca="false">N(U2222)+$T2223</f>
        <v>28</v>
      </c>
      <c r="V2223" s="1" t="n">
        <f aca="false">IF(AND($L2223=1,AND(对接源_02物料!$X1023="自备筐",N(对接源_02物料!$V1023)&lt;&gt;0)),1,0)</f>
        <v>0</v>
      </c>
      <c r="W2223" s="1" t="n">
        <f aca="false">N(W2222)+$V2223</f>
        <v>7</v>
      </c>
      <c r="X2223" s="1" t="n">
        <f aca="false">IF(AND($L2223=1,AND(对接源_02物料!$X1023="自备筐",N(对接源_02物料!$T1023)&lt;&gt;0)),1,0)</f>
        <v>0</v>
      </c>
      <c r="Y2223" s="1" t="n">
        <f aca="false">N(Y2222)+$X2223</f>
        <v>0</v>
      </c>
      <c r="Z2223" s="1" t="n">
        <f aca="false">IF(AND($M2223=1,对接源_02物料!$D1023="原料入库"),1,0)</f>
        <v>0</v>
      </c>
      <c r="AA2223" s="1" t="n">
        <f aca="false">N(AA2222)+$Z2223</f>
        <v>30</v>
      </c>
      <c r="AB2223" s="1" t="n">
        <f aca="false">IF(AND($M2223=1,LEFT(对接源_02物料!$D1023,4)="原料出库"),1,0)</f>
        <v>0</v>
      </c>
      <c r="AC2223" s="1" t="n">
        <f aca="false">N(AC2222)+$AB2223</f>
        <v>19</v>
      </c>
      <c r="AD2223" s="1" t="n">
        <f aca="false">IF(AND($M2223=1,LEFT(对接源_02物料!$D1023,4)="成品出库"),1,0)</f>
        <v>0</v>
      </c>
      <c r="AE2223" s="1" t="n">
        <f aca="false">N(AE2222)+$AD2223</f>
        <v>38</v>
      </c>
      <c r="AF2223" s="1" t="n">
        <f aca="false">IF(AND($N2223=1,AND(LEFT(对接源_02物料!$D1023,4)="包装物料",N(对接源_02物料!$K1023)&lt;&gt;0)),1,0)</f>
        <v>0</v>
      </c>
      <c r="AG2223" s="1" t="n">
        <f aca="false">N(AG2222)+$AF2223</f>
        <v>6</v>
      </c>
      <c r="AH2223" s="1" t="n">
        <f aca="false">IF(AND($N2223=1,AND(LEFT(对接源_02物料!$D1023,3)="周转筐",N(对接源_02物料!$K1023)&lt;&gt;0)),1,0)</f>
        <v>0</v>
      </c>
      <c r="AI2223" s="1" t="n">
        <f aca="false">N(AI2222)+$AH2223</f>
        <v>0</v>
      </c>
      <c r="AJ2223" s="1" t="n">
        <v>0</v>
      </c>
      <c r="AK2223" s="1" t="n">
        <f aca="false">N(AK2222)+$AJ2223</f>
        <v>3672</v>
      </c>
    </row>
    <row r="2224" customFormat="false" ht="13.5" hidden="false" customHeight="false" outlineLevel="0" collapsed="false">
      <c r="A2224" s="1" t="str">
        <f aca="false">IF(对接源_02物料!$C1024="","",对接源_02物料!$C1024)</f>
        <v/>
      </c>
      <c r="B2224" s="1" t="n">
        <f aca="false">IF(A2224="",0,IF(MATCH(A2224,$A$4:$A$2403,0)=ROW()-3,1,0))</f>
        <v>0</v>
      </c>
      <c r="C2224" s="1" t="n">
        <f aca="false">N(C2223)+B2224</f>
        <v>17</v>
      </c>
      <c r="K2224" s="1" t="n">
        <f aca="false">IF(OR($K$1="",对接源_02物料!$C1024="",对接源_02物料!$C1024&lt;&gt;$K$1,对接源_02物料!$B1024=""),0,IF(OR(N(对接源_02物料!$B1024)&lt;$K$2,N(对接源_02物料!$B1024)&gt;$K$3),0,1))</f>
        <v>0</v>
      </c>
      <c r="L2224" s="1" t="n">
        <f aca="false">IF(OR($L$1="",对接源_02物料!$C1024="",对接源_02物料!$C1024&lt;&gt;$L$1,对接源_02物料!$B1024=""),0,IF(OR(N(对接源_02物料!$B1024)&lt;$L$2,N(对接源_02物料!$B1024)&gt;$L$3),0,1))</f>
        <v>0</v>
      </c>
      <c r="M2224" s="1" t="n">
        <f aca="false">IF(OR($M$1="",对接源_02物料!$C1024="",对接源_02物料!$C1024&lt;&gt;$M$1,对接源_02物料!$B1024=""),0,IF(OR(N(对接源_02物料!$B1024)&lt;$M$2,N(对接源_02物料!$B1024)&gt;$M$3),0,1))</f>
        <v>0</v>
      </c>
      <c r="N2224" s="1" t="n">
        <f aca="false">IF(OR($N$1="",对接源_02物料!$C1024="",对接源_02物料!$C1024&lt;&gt;$N$1,对接源_02物料!$B1024=""),0,IF(OR(N(对接源_02物料!$B1024)&lt;$N$2,N(对接源_02物料!$B1024)&gt;$N$3),0,1))</f>
        <v>0</v>
      </c>
      <c r="P2224" s="1" t="n">
        <f aca="false">IF(AND($K2224=1,AND(对接源_02物料!$X1024="公司筐",N(对接源_02物料!$T1024)&lt;&gt;0)),1,0)</f>
        <v>0</v>
      </c>
      <c r="Q2224" s="1" t="n">
        <f aca="false">N(Q2223)+$P2224</f>
        <v>13</v>
      </c>
      <c r="R2224" s="1" t="n">
        <f aca="false">IF(AND($K2224=1,AND(对接源_02物料!$X1024="公司筐",N(对接源_02物料!$U1024)&lt;&gt;0)),1,0)</f>
        <v>0</v>
      </c>
      <c r="S2224" s="1" t="n">
        <f aca="false">N(S2223)+$R2224</f>
        <v>5</v>
      </c>
      <c r="T2224" s="1" t="n">
        <f aca="false">IF(AND($K2224=1,AND(对接源_02物料!$X1024="公司筐",N(对接源_02物料!$V1024)&lt;&gt;0)),1,0)</f>
        <v>0</v>
      </c>
      <c r="U2224" s="1" t="n">
        <f aca="false">N(U2223)+$T2224</f>
        <v>28</v>
      </c>
      <c r="V2224" s="1" t="n">
        <f aca="false">IF(AND($L2224=1,AND(对接源_02物料!$X1024="自备筐",N(对接源_02物料!$V1024)&lt;&gt;0)),1,0)</f>
        <v>0</v>
      </c>
      <c r="W2224" s="1" t="n">
        <f aca="false">N(W2223)+$V2224</f>
        <v>7</v>
      </c>
      <c r="X2224" s="1" t="n">
        <f aca="false">IF(AND($L2224=1,AND(对接源_02物料!$X1024="自备筐",N(对接源_02物料!$T1024)&lt;&gt;0)),1,0)</f>
        <v>0</v>
      </c>
      <c r="Y2224" s="1" t="n">
        <f aca="false">N(Y2223)+$X2224</f>
        <v>0</v>
      </c>
      <c r="Z2224" s="1" t="n">
        <f aca="false">IF(AND($M2224=1,对接源_02物料!$D1024="原料入库"),1,0)</f>
        <v>0</v>
      </c>
      <c r="AA2224" s="1" t="n">
        <f aca="false">N(AA2223)+$Z2224</f>
        <v>30</v>
      </c>
      <c r="AB2224" s="1" t="n">
        <f aca="false">IF(AND($M2224=1,LEFT(对接源_02物料!$D1024,4)="原料出库"),1,0)</f>
        <v>0</v>
      </c>
      <c r="AC2224" s="1" t="n">
        <f aca="false">N(AC2223)+$AB2224</f>
        <v>19</v>
      </c>
      <c r="AD2224" s="1" t="n">
        <f aca="false">IF(AND($M2224=1,LEFT(对接源_02物料!$D1024,4)="成品出库"),1,0)</f>
        <v>0</v>
      </c>
      <c r="AE2224" s="1" t="n">
        <f aca="false">N(AE2223)+$AD2224</f>
        <v>38</v>
      </c>
      <c r="AF2224" s="1" t="n">
        <f aca="false">IF(AND($N2224=1,AND(LEFT(对接源_02物料!$D1024,4)="包装物料",N(对接源_02物料!$K1024)&lt;&gt;0)),1,0)</f>
        <v>0</v>
      </c>
      <c r="AG2224" s="1" t="n">
        <f aca="false">N(AG2223)+$AF2224</f>
        <v>6</v>
      </c>
      <c r="AH2224" s="1" t="n">
        <f aca="false">IF(AND($N2224=1,AND(LEFT(对接源_02物料!$D1024,3)="周转筐",N(对接源_02物料!$K1024)&lt;&gt;0)),1,0)</f>
        <v>0</v>
      </c>
      <c r="AI2224" s="1" t="n">
        <f aca="false">N(AI2223)+$AH2224</f>
        <v>0</v>
      </c>
      <c r="AJ2224" s="1" t="n">
        <v>0</v>
      </c>
      <c r="AK2224" s="1" t="n">
        <f aca="false">N(AK2223)+$AJ2224</f>
        <v>3672</v>
      </c>
    </row>
    <row r="2225" customFormat="false" ht="13.5" hidden="false" customHeight="false" outlineLevel="0" collapsed="false">
      <c r="A2225" s="1" t="str">
        <f aca="false">IF(对接源_02物料!$C1025="","",对接源_02物料!$C1025)</f>
        <v/>
      </c>
      <c r="B2225" s="1" t="n">
        <f aca="false">IF(A2225="",0,IF(MATCH(A2225,$A$4:$A$2403,0)=ROW()-3,1,0))</f>
        <v>0</v>
      </c>
      <c r="C2225" s="1" t="n">
        <f aca="false">N(C2224)+B2225</f>
        <v>17</v>
      </c>
      <c r="K2225" s="1" t="n">
        <f aca="false">IF(OR($K$1="",对接源_02物料!$C1025="",对接源_02物料!$C1025&lt;&gt;$K$1,对接源_02物料!$B1025=""),0,IF(OR(N(对接源_02物料!$B1025)&lt;$K$2,N(对接源_02物料!$B1025)&gt;$K$3),0,1))</f>
        <v>0</v>
      </c>
      <c r="L2225" s="1" t="n">
        <f aca="false">IF(OR($L$1="",对接源_02物料!$C1025="",对接源_02物料!$C1025&lt;&gt;$L$1,对接源_02物料!$B1025=""),0,IF(OR(N(对接源_02物料!$B1025)&lt;$L$2,N(对接源_02物料!$B1025)&gt;$L$3),0,1))</f>
        <v>0</v>
      </c>
      <c r="M2225" s="1" t="n">
        <f aca="false">IF(OR($M$1="",对接源_02物料!$C1025="",对接源_02物料!$C1025&lt;&gt;$M$1,对接源_02物料!$B1025=""),0,IF(OR(N(对接源_02物料!$B1025)&lt;$M$2,N(对接源_02物料!$B1025)&gt;$M$3),0,1))</f>
        <v>0</v>
      </c>
      <c r="N2225" s="1" t="n">
        <f aca="false">IF(OR($N$1="",对接源_02物料!$C1025="",对接源_02物料!$C1025&lt;&gt;$N$1,对接源_02物料!$B1025=""),0,IF(OR(N(对接源_02物料!$B1025)&lt;$N$2,N(对接源_02物料!$B1025)&gt;$N$3),0,1))</f>
        <v>0</v>
      </c>
      <c r="P2225" s="1" t="n">
        <f aca="false">IF(AND($K2225=1,AND(对接源_02物料!$X1025="公司筐",N(对接源_02物料!$T1025)&lt;&gt;0)),1,0)</f>
        <v>0</v>
      </c>
      <c r="Q2225" s="1" t="n">
        <f aca="false">N(Q2224)+$P2225</f>
        <v>13</v>
      </c>
      <c r="R2225" s="1" t="n">
        <f aca="false">IF(AND($K2225=1,AND(对接源_02物料!$X1025="公司筐",N(对接源_02物料!$U1025)&lt;&gt;0)),1,0)</f>
        <v>0</v>
      </c>
      <c r="S2225" s="1" t="n">
        <f aca="false">N(S2224)+$R2225</f>
        <v>5</v>
      </c>
      <c r="T2225" s="1" t="n">
        <f aca="false">IF(AND($K2225=1,AND(对接源_02物料!$X1025="公司筐",N(对接源_02物料!$V1025)&lt;&gt;0)),1,0)</f>
        <v>0</v>
      </c>
      <c r="U2225" s="1" t="n">
        <f aca="false">N(U2224)+$T2225</f>
        <v>28</v>
      </c>
      <c r="V2225" s="1" t="n">
        <f aca="false">IF(AND($L2225=1,AND(对接源_02物料!$X1025="自备筐",N(对接源_02物料!$V1025)&lt;&gt;0)),1,0)</f>
        <v>0</v>
      </c>
      <c r="W2225" s="1" t="n">
        <f aca="false">N(W2224)+$V2225</f>
        <v>7</v>
      </c>
      <c r="X2225" s="1" t="n">
        <f aca="false">IF(AND($L2225=1,AND(对接源_02物料!$X1025="自备筐",N(对接源_02物料!$T1025)&lt;&gt;0)),1,0)</f>
        <v>0</v>
      </c>
      <c r="Y2225" s="1" t="n">
        <f aca="false">N(Y2224)+$X2225</f>
        <v>0</v>
      </c>
      <c r="Z2225" s="1" t="n">
        <f aca="false">IF(AND($M2225=1,对接源_02物料!$D1025="原料入库"),1,0)</f>
        <v>0</v>
      </c>
      <c r="AA2225" s="1" t="n">
        <f aca="false">N(AA2224)+$Z2225</f>
        <v>30</v>
      </c>
      <c r="AB2225" s="1" t="n">
        <f aca="false">IF(AND($M2225=1,LEFT(对接源_02物料!$D1025,4)="原料出库"),1,0)</f>
        <v>0</v>
      </c>
      <c r="AC2225" s="1" t="n">
        <f aca="false">N(AC2224)+$AB2225</f>
        <v>19</v>
      </c>
      <c r="AD2225" s="1" t="n">
        <f aca="false">IF(AND($M2225=1,LEFT(对接源_02物料!$D1025,4)="成品出库"),1,0)</f>
        <v>0</v>
      </c>
      <c r="AE2225" s="1" t="n">
        <f aca="false">N(AE2224)+$AD2225</f>
        <v>38</v>
      </c>
      <c r="AF2225" s="1" t="n">
        <f aca="false">IF(AND($N2225=1,AND(LEFT(对接源_02物料!$D1025,4)="包装物料",N(对接源_02物料!$K1025)&lt;&gt;0)),1,0)</f>
        <v>0</v>
      </c>
      <c r="AG2225" s="1" t="n">
        <f aca="false">N(AG2224)+$AF2225</f>
        <v>6</v>
      </c>
      <c r="AH2225" s="1" t="n">
        <f aca="false">IF(AND($N2225=1,AND(LEFT(对接源_02物料!$D1025,3)="周转筐",N(对接源_02物料!$K1025)&lt;&gt;0)),1,0)</f>
        <v>0</v>
      </c>
      <c r="AI2225" s="1" t="n">
        <f aca="false">N(AI2224)+$AH2225</f>
        <v>0</v>
      </c>
      <c r="AJ2225" s="1" t="n">
        <v>0</v>
      </c>
      <c r="AK2225" s="1" t="n">
        <f aca="false">N(AK2224)+$AJ2225</f>
        <v>3672</v>
      </c>
    </row>
    <row r="2226" customFormat="false" ht="13.5" hidden="false" customHeight="false" outlineLevel="0" collapsed="false">
      <c r="A2226" s="1" t="str">
        <f aca="false">IF(对接源_02物料!$C1026="","",对接源_02物料!$C1026)</f>
        <v/>
      </c>
      <c r="B2226" s="1" t="n">
        <f aca="false">IF(A2226="",0,IF(MATCH(A2226,$A$4:$A$2403,0)=ROW()-3,1,0))</f>
        <v>0</v>
      </c>
      <c r="C2226" s="1" t="n">
        <f aca="false">N(C2225)+B2226</f>
        <v>17</v>
      </c>
      <c r="K2226" s="1" t="n">
        <f aca="false">IF(OR($K$1="",对接源_02物料!$C1026="",对接源_02物料!$C1026&lt;&gt;$K$1,对接源_02物料!$B1026=""),0,IF(OR(N(对接源_02物料!$B1026)&lt;$K$2,N(对接源_02物料!$B1026)&gt;$K$3),0,1))</f>
        <v>0</v>
      </c>
      <c r="L2226" s="1" t="n">
        <f aca="false">IF(OR($L$1="",对接源_02物料!$C1026="",对接源_02物料!$C1026&lt;&gt;$L$1,对接源_02物料!$B1026=""),0,IF(OR(N(对接源_02物料!$B1026)&lt;$L$2,N(对接源_02物料!$B1026)&gt;$L$3),0,1))</f>
        <v>0</v>
      </c>
      <c r="M2226" s="1" t="n">
        <f aca="false">IF(OR($M$1="",对接源_02物料!$C1026="",对接源_02物料!$C1026&lt;&gt;$M$1,对接源_02物料!$B1026=""),0,IF(OR(N(对接源_02物料!$B1026)&lt;$M$2,N(对接源_02物料!$B1026)&gt;$M$3),0,1))</f>
        <v>0</v>
      </c>
      <c r="N2226" s="1" t="n">
        <f aca="false">IF(OR($N$1="",对接源_02物料!$C1026="",对接源_02物料!$C1026&lt;&gt;$N$1,对接源_02物料!$B1026=""),0,IF(OR(N(对接源_02物料!$B1026)&lt;$N$2,N(对接源_02物料!$B1026)&gt;$N$3),0,1))</f>
        <v>0</v>
      </c>
      <c r="P2226" s="1" t="n">
        <f aca="false">IF(AND($K2226=1,AND(对接源_02物料!$X1026="公司筐",N(对接源_02物料!$T1026)&lt;&gt;0)),1,0)</f>
        <v>0</v>
      </c>
      <c r="Q2226" s="1" t="n">
        <f aca="false">N(Q2225)+$P2226</f>
        <v>13</v>
      </c>
      <c r="R2226" s="1" t="n">
        <f aca="false">IF(AND($K2226=1,AND(对接源_02物料!$X1026="公司筐",N(对接源_02物料!$U1026)&lt;&gt;0)),1,0)</f>
        <v>0</v>
      </c>
      <c r="S2226" s="1" t="n">
        <f aca="false">N(S2225)+$R2226</f>
        <v>5</v>
      </c>
      <c r="T2226" s="1" t="n">
        <f aca="false">IF(AND($K2226=1,AND(对接源_02物料!$X1026="公司筐",N(对接源_02物料!$V1026)&lt;&gt;0)),1,0)</f>
        <v>0</v>
      </c>
      <c r="U2226" s="1" t="n">
        <f aca="false">N(U2225)+$T2226</f>
        <v>28</v>
      </c>
      <c r="V2226" s="1" t="n">
        <f aca="false">IF(AND($L2226=1,AND(对接源_02物料!$X1026="自备筐",N(对接源_02物料!$V1026)&lt;&gt;0)),1,0)</f>
        <v>0</v>
      </c>
      <c r="W2226" s="1" t="n">
        <f aca="false">N(W2225)+$V2226</f>
        <v>7</v>
      </c>
      <c r="X2226" s="1" t="n">
        <f aca="false">IF(AND($L2226=1,AND(对接源_02物料!$X1026="自备筐",N(对接源_02物料!$T1026)&lt;&gt;0)),1,0)</f>
        <v>0</v>
      </c>
      <c r="Y2226" s="1" t="n">
        <f aca="false">N(Y2225)+$X2226</f>
        <v>0</v>
      </c>
      <c r="Z2226" s="1" t="n">
        <f aca="false">IF(AND($M2226=1,对接源_02物料!$D1026="原料入库"),1,0)</f>
        <v>0</v>
      </c>
      <c r="AA2226" s="1" t="n">
        <f aca="false">N(AA2225)+$Z2226</f>
        <v>30</v>
      </c>
      <c r="AB2226" s="1" t="n">
        <f aca="false">IF(AND($M2226=1,LEFT(对接源_02物料!$D1026,4)="原料出库"),1,0)</f>
        <v>0</v>
      </c>
      <c r="AC2226" s="1" t="n">
        <f aca="false">N(AC2225)+$AB2226</f>
        <v>19</v>
      </c>
      <c r="AD2226" s="1" t="n">
        <f aca="false">IF(AND($M2226=1,LEFT(对接源_02物料!$D1026,4)="成品出库"),1,0)</f>
        <v>0</v>
      </c>
      <c r="AE2226" s="1" t="n">
        <f aca="false">N(AE2225)+$AD2226</f>
        <v>38</v>
      </c>
      <c r="AF2226" s="1" t="n">
        <f aca="false">IF(AND($N2226=1,AND(LEFT(对接源_02物料!$D1026,4)="包装物料",N(对接源_02物料!$K1026)&lt;&gt;0)),1,0)</f>
        <v>0</v>
      </c>
      <c r="AG2226" s="1" t="n">
        <f aca="false">N(AG2225)+$AF2226</f>
        <v>6</v>
      </c>
      <c r="AH2226" s="1" t="n">
        <f aca="false">IF(AND($N2226=1,AND(LEFT(对接源_02物料!$D1026,3)="周转筐",N(对接源_02物料!$K1026)&lt;&gt;0)),1,0)</f>
        <v>0</v>
      </c>
      <c r="AI2226" s="1" t="n">
        <f aca="false">N(AI2225)+$AH2226</f>
        <v>0</v>
      </c>
      <c r="AJ2226" s="1" t="n">
        <v>0</v>
      </c>
      <c r="AK2226" s="1" t="n">
        <f aca="false">N(AK2225)+$AJ2226</f>
        <v>3672</v>
      </c>
    </row>
    <row r="2227" customFormat="false" ht="13.5" hidden="false" customHeight="false" outlineLevel="0" collapsed="false">
      <c r="A2227" s="1" t="str">
        <f aca="false">IF(对接源_02物料!$C1027="","",对接源_02物料!$C1027)</f>
        <v/>
      </c>
      <c r="B2227" s="1" t="n">
        <f aca="false">IF(A2227="",0,IF(MATCH(A2227,$A$4:$A$2403,0)=ROW()-3,1,0))</f>
        <v>0</v>
      </c>
      <c r="C2227" s="1" t="n">
        <f aca="false">N(C2226)+B2227</f>
        <v>17</v>
      </c>
      <c r="K2227" s="1" t="n">
        <f aca="false">IF(OR($K$1="",对接源_02物料!$C1027="",对接源_02物料!$C1027&lt;&gt;$K$1,对接源_02物料!$B1027=""),0,IF(OR(N(对接源_02物料!$B1027)&lt;$K$2,N(对接源_02物料!$B1027)&gt;$K$3),0,1))</f>
        <v>0</v>
      </c>
      <c r="L2227" s="1" t="n">
        <f aca="false">IF(OR($L$1="",对接源_02物料!$C1027="",对接源_02物料!$C1027&lt;&gt;$L$1,对接源_02物料!$B1027=""),0,IF(OR(N(对接源_02物料!$B1027)&lt;$L$2,N(对接源_02物料!$B1027)&gt;$L$3),0,1))</f>
        <v>0</v>
      </c>
      <c r="M2227" s="1" t="n">
        <f aca="false">IF(OR($M$1="",对接源_02物料!$C1027="",对接源_02物料!$C1027&lt;&gt;$M$1,对接源_02物料!$B1027=""),0,IF(OR(N(对接源_02物料!$B1027)&lt;$M$2,N(对接源_02物料!$B1027)&gt;$M$3),0,1))</f>
        <v>0</v>
      </c>
      <c r="N2227" s="1" t="n">
        <f aca="false">IF(OR($N$1="",对接源_02物料!$C1027="",对接源_02物料!$C1027&lt;&gt;$N$1,对接源_02物料!$B1027=""),0,IF(OR(N(对接源_02物料!$B1027)&lt;$N$2,N(对接源_02物料!$B1027)&gt;$N$3),0,1))</f>
        <v>0</v>
      </c>
      <c r="P2227" s="1" t="n">
        <f aca="false">IF(AND($K2227=1,AND(对接源_02物料!$X1027="公司筐",N(对接源_02物料!$T1027)&lt;&gt;0)),1,0)</f>
        <v>0</v>
      </c>
      <c r="Q2227" s="1" t="n">
        <f aca="false">N(Q2226)+$P2227</f>
        <v>13</v>
      </c>
      <c r="R2227" s="1" t="n">
        <f aca="false">IF(AND($K2227=1,AND(对接源_02物料!$X1027="公司筐",N(对接源_02物料!$U1027)&lt;&gt;0)),1,0)</f>
        <v>0</v>
      </c>
      <c r="S2227" s="1" t="n">
        <f aca="false">N(S2226)+$R2227</f>
        <v>5</v>
      </c>
      <c r="T2227" s="1" t="n">
        <f aca="false">IF(AND($K2227=1,AND(对接源_02物料!$X1027="公司筐",N(对接源_02物料!$V1027)&lt;&gt;0)),1,0)</f>
        <v>0</v>
      </c>
      <c r="U2227" s="1" t="n">
        <f aca="false">N(U2226)+$T2227</f>
        <v>28</v>
      </c>
      <c r="V2227" s="1" t="n">
        <f aca="false">IF(AND($L2227=1,AND(对接源_02物料!$X1027="自备筐",N(对接源_02物料!$V1027)&lt;&gt;0)),1,0)</f>
        <v>0</v>
      </c>
      <c r="W2227" s="1" t="n">
        <f aca="false">N(W2226)+$V2227</f>
        <v>7</v>
      </c>
      <c r="X2227" s="1" t="n">
        <f aca="false">IF(AND($L2227=1,AND(对接源_02物料!$X1027="自备筐",N(对接源_02物料!$T1027)&lt;&gt;0)),1,0)</f>
        <v>0</v>
      </c>
      <c r="Y2227" s="1" t="n">
        <f aca="false">N(Y2226)+$X2227</f>
        <v>0</v>
      </c>
      <c r="Z2227" s="1" t="n">
        <f aca="false">IF(AND($M2227=1,对接源_02物料!$D1027="原料入库"),1,0)</f>
        <v>0</v>
      </c>
      <c r="AA2227" s="1" t="n">
        <f aca="false">N(AA2226)+$Z2227</f>
        <v>30</v>
      </c>
      <c r="AB2227" s="1" t="n">
        <f aca="false">IF(AND($M2227=1,LEFT(对接源_02物料!$D1027,4)="原料出库"),1,0)</f>
        <v>0</v>
      </c>
      <c r="AC2227" s="1" t="n">
        <f aca="false">N(AC2226)+$AB2227</f>
        <v>19</v>
      </c>
      <c r="AD2227" s="1" t="n">
        <f aca="false">IF(AND($M2227=1,LEFT(对接源_02物料!$D1027,4)="成品出库"),1,0)</f>
        <v>0</v>
      </c>
      <c r="AE2227" s="1" t="n">
        <f aca="false">N(AE2226)+$AD2227</f>
        <v>38</v>
      </c>
      <c r="AF2227" s="1" t="n">
        <f aca="false">IF(AND($N2227=1,AND(LEFT(对接源_02物料!$D1027,4)="包装物料",N(对接源_02物料!$K1027)&lt;&gt;0)),1,0)</f>
        <v>0</v>
      </c>
      <c r="AG2227" s="1" t="n">
        <f aca="false">N(AG2226)+$AF2227</f>
        <v>6</v>
      </c>
      <c r="AH2227" s="1" t="n">
        <f aca="false">IF(AND($N2227=1,AND(LEFT(对接源_02物料!$D1027,3)="周转筐",N(对接源_02物料!$K1027)&lt;&gt;0)),1,0)</f>
        <v>0</v>
      </c>
      <c r="AI2227" s="1" t="n">
        <f aca="false">N(AI2226)+$AH2227</f>
        <v>0</v>
      </c>
      <c r="AJ2227" s="1" t="n">
        <v>0</v>
      </c>
      <c r="AK2227" s="1" t="n">
        <f aca="false">N(AK2226)+$AJ2227</f>
        <v>3672</v>
      </c>
    </row>
    <row r="2228" customFormat="false" ht="13.5" hidden="false" customHeight="false" outlineLevel="0" collapsed="false">
      <c r="A2228" s="1" t="str">
        <f aca="false">IF(对接源_02物料!$C1028="","",对接源_02物料!$C1028)</f>
        <v/>
      </c>
      <c r="B2228" s="1" t="n">
        <f aca="false">IF(A2228="",0,IF(MATCH(A2228,$A$4:$A$2403,0)=ROW()-3,1,0))</f>
        <v>0</v>
      </c>
      <c r="C2228" s="1" t="n">
        <f aca="false">N(C2227)+B2228</f>
        <v>17</v>
      </c>
      <c r="K2228" s="1" t="n">
        <f aca="false">IF(OR($K$1="",对接源_02物料!$C1028="",对接源_02物料!$C1028&lt;&gt;$K$1,对接源_02物料!$B1028=""),0,IF(OR(N(对接源_02物料!$B1028)&lt;$K$2,N(对接源_02物料!$B1028)&gt;$K$3),0,1))</f>
        <v>0</v>
      </c>
      <c r="L2228" s="1" t="n">
        <f aca="false">IF(OR($L$1="",对接源_02物料!$C1028="",对接源_02物料!$C1028&lt;&gt;$L$1,对接源_02物料!$B1028=""),0,IF(OR(N(对接源_02物料!$B1028)&lt;$L$2,N(对接源_02物料!$B1028)&gt;$L$3),0,1))</f>
        <v>0</v>
      </c>
      <c r="M2228" s="1" t="n">
        <f aca="false">IF(OR($M$1="",对接源_02物料!$C1028="",对接源_02物料!$C1028&lt;&gt;$M$1,对接源_02物料!$B1028=""),0,IF(OR(N(对接源_02物料!$B1028)&lt;$M$2,N(对接源_02物料!$B1028)&gt;$M$3),0,1))</f>
        <v>0</v>
      </c>
      <c r="N2228" s="1" t="n">
        <f aca="false">IF(OR($N$1="",对接源_02物料!$C1028="",对接源_02物料!$C1028&lt;&gt;$N$1,对接源_02物料!$B1028=""),0,IF(OR(N(对接源_02物料!$B1028)&lt;$N$2,N(对接源_02物料!$B1028)&gt;$N$3),0,1))</f>
        <v>0</v>
      </c>
      <c r="P2228" s="1" t="n">
        <f aca="false">IF(AND($K2228=1,AND(对接源_02物料!$X1028="公司筐",N(对接源_02物料!$T1028)&lt;&gt;0)),1,0)</f>
        <v>0</v>
      </c>
      <c r="Q2228" s="1" t="n">
        <f aca="false">N(Q2227)+$P2228</f>
        <v>13</v>
      </c>
      <c r="R2228" s="1" t="n">
        <f aca="false">IF(AND($K2228=1,AND(对接源_02物料!$X1028="公司筐",N(对接源_02物料!$U1028)&lt;&gt;0)),1,0)</f>
        <v>0</v>
      </c>
      <c r="S2228" s="1" t="n">
        <f aca="false">N(S2227)+$R2228</f>
        <v>5</v>
      </c>
      <c r="T2228" s="1" t="n">
        <f aca="false">IF(AND($K2228=1,AND(对接源_02物料!$X1028="公司筐",N(对接源_02物料!$V1028)&lt;&gt;0)),1,0)</f>
        <v>0</v>
      </c>
      <c r="U2228" s="1" t="n">
        <f aca="false">N(U2227)+$T2228</f>
        <v>28</v>
      </c>
      <c r="V2228" s="1" t="n">
        <f aca="false">IF(AND($L2228=1,AND(对接源_02物料!$X1028="自备筐",N(对接源_02物料!$V1028)&lt;&gt;0)),1,0)</f>
        <v>0</v>
      </c>
      <c r="W2228" s="1" t="n">
        <f aca="false">N(W2227)+$V2228</f>
        <v>7</v>
      </c>
      <c r="X2228" s="1" t="n">
        <f aca="false">IF(AND($L2228=1,AND(对接源_02物料!$X1028="自备筐",N(对接源_02物料!$T1028)&lt;&gt;0)),1,0)</f>
        <v>0</v>
      </c>
      <c r="Y2228" s="1" t="n">
        <f aca="false">N(Y2227)+$X2228</f>
        <v>0</v>
      </c>
      <c r="Z2228" s="1" t="n">
        <f aca="false">IF(AND($M2228=1,对接源_02物料!$D1028="原料入库"),1,0)</f>
        <v>0</v>
      </c>
      <c r="AA2228" s="1" t="n">
        <f aca="false">N(AA2227)+$Z2228</f>
        <v>30</v>
      </c>
      <c r="AB2228" s="1" t="n">
        <f aca="false">IF(AND($M2228=1,LEFT(对接源_02物料!$D1028,4)="原料出库"),1,0)</f>
        <v>0</v>
      </c>
      <c r="AC2228" s="1" t="n">
        <f aca="false">N(AC2227)+$AB2228</f>
        <v>19</v>
      </c>
      <c r="AD2228" s="1" t="n">
        <f aca="false">IF(AND($M2228=1,LEFT(对接源_02物料!$D1028,4)="成品出库"),1,0)</f>
        <v>0</v>
      </c>
      <c r="AE2228" s="1" t="n">
        <f aca="false">N(AE2227)+$AD2228</f>
        <v>38</v>
      </c>
      <c r="AF2228" s="1" t="n">
        <f aca="false">IF(AND($N2228=1,AND(LEFT(对接源_02物料!$D1028,4)="包装物料",N(对接源_02物料!$K1028)&lt;&gt;0)),1,0)</f>
        <v>0</v>
      </c>
      <c r="AG2228" s="1" t="n">
        <f aca="false">N(AG2227)+$AF2228</f>
        <v>6</v>
      </c>
      <c r="AH2228" s="1" t="n">
        <f aca="false">IF(AND($N2228=1,AND(LEFT(对接源_02物料!$D1028,3)="周转筐",N(对接源_02物料!$K1028)&lt;&gt;0)),1,0)</f>
        <v>0</v>
      </c>
      <c r="AI2228" s="1" t="n">
        <f aca="false">N(AI2227)+$AH2228</f>
        <v>0</v>
      </c>
      <c r="AJ2228" s="1" t="n">
        <v>0</v>
      </c>
      <c r="AK2228" s="1" t="n">
        <f aca="false">N(AK2227)+$AJ2228</f>
        <v>3672</v>
      </c>
    </row>
    <row r="2229" customFormat="false" ht="13.5" hidden="false" customHeight="false" outlineLevel="0" collapsed="false">
      <c r="A2229" s="1" t="str">
        <f aca="false">IF(对接源_02物料!$C1029="","",对接源_02物料!$C1029)</f>
        <v/>
      </c>
      <c r="B2229" s="1" t="n">
        <f aca="false">IF(A2229="",0,IF(MATCH(A2229,$A$4:$A$2403,0)=ROW()-3,1,0))</f>
        <v>0</v>
      </c>
      <c r="C2229" s="1" t="n">
        <f aca="false">N(C2228)+B2229</f>
        <v>17</v>
      </c>
      <c r="K2229" s="1" t="n">
        <f aca="false">IF(OR($K$1="",对接源_02物料!$C1029="",对接源_02物料!$C1029&lt;&gt;$K$1,对接源_02物料!$B1029=""),0,IF(OR(N(对接源_02物料!$B1029)&lt;$K$2,N(对接源_02物料!$B1029)&gt;$K$3),0,1))</f>
        <v>0</v>
      </c>
      <c r="L2229" s="1" t="n">
        <f aca="false">IF(OR($L$1="",对接源_02物料!$C1029="",对接源_02物料!$C1029&lt;&gt;$L$1,对接源_02物料!$B1029=""),0,IF(OR(N(对接源_02物料!$B1029)&lt;$L$2,N(对接源_02物料!$B1029)&gt;$L$3),0,1))</f>
        <v>0</v>
      </c>
      <c r="M2229" s="1" t="n">
        <f aca="false">IF(OR($M$1="",对接源_02物料!$C1029="",对接源_02物料!$C1029&lt;&gt;$M$1,对接源_02物料!$B1029=""),0,IF(OR(N(对接源_02物料!$B1029)&lt;$M$2,N(对接源_02物料!$B1029)&gt;$M$3),0,1))</f>
        <v>0</v>
      </c>
      <c r="N2229" s="1" t="n">
        <f aca="false">IF(OR($N$1="",对接源_02物料!$C1029="",对接源_02物料!$C1029&lt;&gt;$N$1,对接源_02物料!$B1029=""),0,IF(OR(N(对接源_02物料!$B1029)&lt;$N$2,N(对接源_02物料!$B1029)&gt;$N$3),0,1))</f>
        <v>0</v>
      </c>
      <c r="P2229" s="1" t="n">
        <f aca="false">IF(AND($K2229=1,AND(对接源_02物料!$X1029="公司筐",N(对接源_02物料!$T1029)&lt;&gt;0)),1,0)</f>
        <v>0</v>
      </c>
      <c r="Q2229" s="1" t="n">
        <f aca="false">N(Q2228)+$P2229</f>
        <v>13</v>
      </c>
      <c r="R2229" s="1" t="n">
        <f aca="false">IF(AND($K2229=1,AND(对接源_02物料!$X1029="公司筐",N(对接源_02物料!$U1029)&lt;&gt;0)),1,0)</f>
        <v>0</v>
      </c>
      <c r="S2229" s="1" t="n">
        <f aca="false">N(S2228)+$R2229</f>
        <v>5</v>
      </c>
      <c r="T2229" s="1" t="n">
        <f aca="false">IF(AND($K2229=1,AND(对接源_02物料!$X1029="公司筐",N(对接源_02物料!$V1029)&lt;&gt;0)),1,0)</f>
        <v>0</v>
      </c>
      <c r="U2229" s="1" t="n">
        <f aca="false">N(U2228)+$T2229</f>
        <v>28</v>
      </c>
      <c r="V2229" s="1" t="n">
        <f aca="false">IF(AND($L2229=1,AND(对接源_02物料!$X1029="自备筐",N(对接源_02物料!$V1029)&lt;&gt;0)),1,0)</f>
        <v>0</v>
      </c>
      <c r="W2229" s="1" t="n">
        <f aca="false">N(W2228)+$V2229</f>
        <v>7</v>
      </c>
      <c r="X2229" s="1" t="n">
        <f aca="false">IF(AND($L2229=1,AND(对接源_02物料!$X1029="自备筐",N(对接源_02物料!$T1029)&lt;&gt;0)),1,0)</f>
        <v>0</v>
      </c>
      <c r="Y2229" s="1" t="n">
        <f aca="false">N(Y2228)+$X2229</f>
        <v>0</v>
      </c>
      <c r="Z2229" s="1" t="n">
        <f aca="false">IF(AND($M2229=1,对接源_02物料!$D1029="原料入库"),1,0)</f>
        <v>0</v>
      </c>
      <c r="AA2229" s="1" t="n">
        <f aca="false">N(AA2228)+$Z2229</f>
        <v>30</v>
      </c>
      <c r="AB2229" s="1" t="n">
        <f aca="false">IF(AND($M2229=1,LEFT(对接源_02物料!$D1029,4)="原料出库"),1,0)</f>
        <v>0</v>
      </c>
      <c r="AC2229" s="1" t="n">
        <f aca="false">N(AC2228)+$AB2229</f>
        <v>19</v>
      </c>
      <c r="AD2229" s="1" t="n">
        <f aca="false">IF(AND($M2229=1,LEFT(对接源_02物料!$D1029,4)="成品出库"),1,0)</f>
        <v>0</v>
      </c>
      <c r="AE2229" s="1" t="n">
        <f aca="false">N(AE2228)+$AD2229</f>
        <v>38</v>
      </c>
      <c r="AF2229" s="1" t="n">
        <f aca="false">IF(AND($N2229=1,AND(LEFT(对接源_02物料!$D1029,4)="包装物料",N(对接源_02物料!$K1029)&lt;&gt;0)),1,0)</f>
        <v>0</v>
      </c>
      <c r="AG2229" s="1" t="n">
        <f aca="false">N(AG2228)+$AF2229</f>
        <v>6</v>
      </c>
      <c r="AH2229" s="1" t="n">
        <f aca="false">IF(AND($N2229=1,AND(LEFT(对接源_02物料!$D1029,3)="周转筐",N(对接源_02物料!$K1029)&lt;&gt;0)),1,0)</f>
        <v>0</v>
      </c>
      <c r="AI2229" s="1" t="n">
        <f aca="false">N(AI2228)+$AH2229</f>
        <v>0</v>
      </c>
      <c r="AJ2229" s="1" t="n">
        <v>0</v>
      </c>
      <c r="AK2229" s="1" t="n">
        <f aca="false">N(AK2228)+$AJ2229</f>
        <v>3672</v>
      </c>
    </row>
    <row r="2230" customFormat="false" ht="13.5" hidden="false" customHeight="false" outlineLevel="0" collapsed="false">
      <c r="A2230" s="1" t="str">
        <f aca="false">IF(对接源_02物料!$C1030="","",对接源_02物料!$C1030)</f>
        <v/>
      </c>
      <c r="B2230" s="1" t="n">
        <f aca="false">IF(A2230="",0,IF(MATCH(A2230,$A$4:$A$2403,0)=ROW()-3,1,0))</f>
        <v>0</v>
      </c>
      <c r="C2230" s="1" t="n">
        <f aca="false">N(C2229)+B2230</f>
        <v>17</v>
      </c>
      <c r="K2230" s="1" t="n">
        <f aca="false">IF(OR($K$1="",对接源_02物料!$C1030="",对接源_02物料!$C1030&lt;&gt;$K$1,对接源_02物料!$B1030=""),0,IF(OR(N(对接源_02物料!$B1030)&lt;$K$2,N(对接源_02物料!$B1030)&gt;$K$3),0,1))</f>
        <v>0</v>
      </c>
      <c r="L2230" s="1" t="n">
        <f aca="false">IF(OR($L$1="",对接源_02物料!$C1030="",对接源_02物料!$C1030&lt;&gt;$L$1,对接源_02物料!$B1030=""),0,IF(OR(N(对接源_02物料!$B1030)&lt;$L$2,N(对接源_02物料!$B1030)&gt;$L$3),0,1))</f>
        <v>0</v>
      </c>
      <c r="M2230" s="1" t="n">
        <f aca="false">IF(OR($M$1="",对接源_02物料!$C1030="",对接源_02物料!$C1030&lt;&gt;$M$1,对接源_02物料!$B1030=""),0,IF(OR(N(对接源_02物料!$B1030)&lt;$M$2,N(对接源_02物料!$B1030)&gt;$M$3),0,1))</f>
        <v>0</v>
      </c>
      <c r="N2230" s="1" t="n">
        <f aca="false">IF(OR($N$1="",对接源_02物料!$C1030="",对接源_02物料!$C1030&lt;&gt;$N$1,对接源_02物料!$B1030=""),0,IF(OR(N(对接源_02物料!$B1030)&lt;$N$2,N(对接源_02物料!$B1030)&gt;$N$3),0,1))</f>
        <v>0</v>
      </c>
      <c r="P2230" s="1" t="n">
        <f aca="false">IF(AND($K2230=1,AND(对接源_02物料!$X1030="公司筐",N(对接源_02物料!$T1030)&lt;&gt;0)),1,0)</f>
        <v>0</v>
      </c>
      <c r="Q2230" s="1" t="n">
        <f aca="false">N(Q2229)+$P2230</f>
        <v>13</v>
      </c>
      <c r="R2230" s="1" t="n">
        <f aca="false">IF(AND($K2230=1,AND(对接源_02物料!$X1030="公司筐",N(对接源_02物料!$U1030)&lt;&gt;0)),1,0)</f>
        <v>0</v>
      </c>
      <c r="S2230" s="1" t="n">
        <f aca="false">N(S2229)+$R2230</f>
        <v>5</v>
      </c>
      <c r="T2230" s="1" t="n">
        <f aca="false">IF(AND($K2230=1,AND(对接源_02物料!$X1030="公司筐",N(对接源_02物料!$V1030)&lt;&gt;0)),1,0)</f>
        <v>0</v>
      </c>
      <c r="U2230" s="1" t="n">
        <f aca="false">N(U2229)+$T2230</f>
        <v>28</v>
      </c>
      <c r="V2230" s="1" t="n">
        <f aca="false">IF(AND($L2230=1,AND(对接源_02物料!$X1030="自备筐",N(对接源_02物料!$V1030)&lt;&gt;0)),1,0)</f>
        <v>0</v>
      </c>
      <c r="W2230" s="1" t="n">
        <f aca="false">N(W2229)+$V2230</f>
        <v>7</v>
      </c>
      <c r="X2230" s="1" t="n">
        <f aca="false">IF(AND($L2230=1,AND(对接源_02物料!$X1030="自备筐",N(对接源_02物料!$T1030)&lt;&gt;0)),1,0)</f>
        <v>0</v>
      </c>
      <c r="Y2230" s="1" t="n">
        <f aca="false">N(Y2229)+$X2230</f>
        <v>0</v>
      </c>
      <c r="Z2230" s="1" t="n">
        <f aca="false">IF(AND($M2230=1,对接源_02物料!$D1030="原料入库"),1,0)</f>
        <v>0</v>
      </c>
      <c r="AA2230" s="1" t="n">
        <f aca="false">N(AA2229)+$Z2230</f>
        <v>30</v>
      </c>
      <c r="AB2230" s="1" t="n">
        <f aca="false">IF(AND($M2230=1,LEFT(对接源_02物料!$D1030,4)="原料出库"),1,0)</f>
        <v>0</v>
      </c>
      <c r="AC2230" s="1" t="n">
        <f aca="false">N(AC2229)+$AB2230</f>
        <v>19</v>
      </c>
      <c r="AD2230" s="1" t="n">
        <f aca="false">IF(AND($M2230=1,LEFT(对接源_02物料!$D1030,4)="成品出库"),1,0)</f>
        <v>0</v>
      </c>
      <c r="AE2230" s="1" t="n">
        <f aca="false">N(AE2229)+$AD2230</f>
        <v>38</v>
      </c>
      <c r="AF2230" s="1" t="n">
        <f aca="false">IF(AND($N2230=1,AND(LEFT(对接源_02物料!$D1030,4)="包装物料",N(对接源_02物料!$K1030)&lt;&gt;0)),1,0)</f>
        <v>0</v>
      </c>
      <c r="AG2230" s="1" t="n">
        <f aca="false">N(AG2229)+$AF2230</f>
        <v>6</v>
      </c>
      <c r="AH2230" s="1" t="n">
        <f aca="false">IF(AND($N2230=1,AND(LEFT(对接源_02物料!$D1030,3)="周转筐",N(对接源_02物料!$K1030)&lt;&gt;0)),1,0)</f>
        <v>0</v>
      </c>
      <c r="AI2230" s="1" t="n">
        <f aca="false">N(AI2229)+$AH2230</f>
        <v>0</v>
      </c>
      <c r="AJ2230" s="1" t="n">
        <v>0</v>
      </c>
      <c r="AK2230" s="1" t="n">
        <f aca="false">N(AK2229)+$AJ2230</f>
        <v>3672</v>
      </c>
    </row>
    <row r="2231" customFormat="false" ht="13.5" hidden="false" customHeight="false" outlineLevel="0" collapsed="false">
      <c r="A2231" s="1" t="str">
        <f aca="false">IF(对接源_02物料!$C1031="","",对接源_02物料!$C1031)</f>
        <v/>
      </c>
      <c r="B2231" s="1" t="n">
        <f aca="false">IF(A2231="",0,IF(MATCH(A2231,$A$4:$A$2403,0)=ROW()-3,1,0))</f>
        <v>0</v>
      </c>
      <c r="C2231" s="1" t="n">
        <f aca="false">N(C2230)+B2231</f>
        <v>17</v>
      </c>
      <c r="K2231" s="1" t="n">
        <f aca="false">IF(OR($K$1="",对接源_02物料!$C1031="",对接源_02物料!$C1031&lt;&gt;$K$1,对接源_02物料!$B1031=""),0,IF(OR(N(对接源_02物料!$B1031)&lt;$K$2,N(对接源_02物料!$B1031)&gt;$K$3),0,1))</f>
        <v>0</v>
      </c>
      <c r="L2231" s="1" t="n">
        <f aca="false">IF(OR($L$1="",对接源_02物料!$C1031="",对接源_02物料!$C1031&lt;&gt;$L$1,对接源_02物料!$B1031=""),0,IF(OR(N(对接源_02物料!$B1031)&lt;$L$2,N(对接源_02物料!$B1031)&gt;$L$3),0,1))</f>
        <v>0</v>
      </c>
      <c r="M2231" s="1" t="n">
        <f aca="false">IF(OR($M$1="",对接源_02物料!$C1031="",对接源_02物料!$C1031&lt;&gt;$M$1,对接源_02物料!$B1031=""),0,IF(OR(N(对接源_02物料!$B1031)&lt;$M$2,N(对接源_02物料!$B1031)&gt;$M$3),0,1))</f>
        <v>0</v>
      </c>
      <c r="N2231" s="1" t="n">
        <f aca="false">IF(OR($N$1="",对接源_02物料!$C1031="",对接源_02物料!$C1031&lt;&gt;$N$1,对接源_02物料!$B1031=""),0,IF(OR(N(对接源_02物料!$B1031)&lt;$N$2,N(对接源_02物料!$B1031)&gt;$N$3),0,1))</f>
        <v>0</v>
      </c>
      <c r="P2231" s="1" t="n">
        <f aca="false">IF(AND($K2231=1,AND(对接源_02物料!$X1031="公司筐",N(对接源_02物料!$T1031)&lt;&gt;0)),1,0)</f>
        <v>0</v>
      </c>
      <c r="Q2231" s="1" t="n">
        <f aca="false">N(Q2230)+$P2231</f>
        <v>13</v>
      </c>
      <c r="R2231" s="1" t="n">
        <f aca="false">IF(AND($K2231=1,AND(对接源_02物料!$X1031="公司筐",N(对接源_02物料!$U1031)&lt;&gt;0)),1,0)</f>
        <v>0</v>
      </c>
      <c r="S2231" s="1" t="n">
        <f aca="false">N(S2230)+$R2231</f>
        <v>5</v>
      </c>
      <c r="T2231" s="1" t="n">
        <f aca="false">IF(AND($K2231=1,AND(对接源_02物料!$X1031="公司筐",N(对接源_02物料!$V1031)&lt;&gt;0)),1,0)</f>
        <v>0</v>
      </c>
      <c r="U2231" s="1" t="n">
        <f aca="false">N(U2230)+$T2231</f>
        <v>28</v>
      </c>
      <c r="V2231" s="1" t="n">
        <f aca="false">IF(AND($L2231=1,AND(对接源_02物料!$X1031="自备筐",N(对接源_02物料!$V1031)&lt;&gt;0)),1,0)</f>
        <v>0</v>
      </c>
      <c r="W2231" s="1" t="n">
        <f aca="false">N(W2230)+$V2231</f>
        <v>7</v>
      </c>
      <c r="X2231" s="1" t="n">
        <f aca="false">IF(AND($L2231=1,AND(对接源_02物料!$X1031="自备筐",N(对接源_02物料!$T1031)&lt;&gt;0)),1,0)</f>
        <v>0</v>
      </c>
      <c r="Y2231" s="1" t="n">
        <f aca="false">N(Y2230)+$X2231</f>
        <v>0</v>
      </c>
      <c r="Z2231" s="1" t="n">
        <f aca="false">IF(AND($M2231=1,对接源_02物料!$D1031="原料入库"),1,0)</f>
        <v>0</v>
      </c>
      <c r="AA2231" s="1" t="n">
        <f aca="false">N(AA2230)+$Z2231</f>
        <v>30</v>
      </c>
      <c r="AB2231" s="1" t="n">
        <f aca="false">IF(AND($M2231=1,LEFT(对接源_02物料!$D1031,4)="原料出库"),1,0)</f>
        <v>0</v>
      </c>
      <c r="AC2231" s="1" t="n">
        <f aca="false">N(AC2230)+$AB2231</f>
        <v>19</v>
      </c>
      <c r="AD2231" s="1" t="n">
        <f aca="false">IF(AND($M2231=1,LEFT(对接源_02物料!$D1031,4)="成品出库"),1,0)</f>
        <v>0</v>
      </c>
      <c r="AE2231" s="1" t="n">
        <f aca="false">N(AE2230)+$AD2231</f>
        <v>38</v>
      </c>
      <c r="AF2231" s="1" t="n">
        <f aca="false">IF(AND($N2231=1,AND(LEFT(对接源_02物料!$D1031,4)="包装物料",N(对接源_02物料!$K1031)&lt;&gt;0)),1,0)</f>
        <v>0</v>
      </c>
      <c r="AG2231" s="1" t="n">
        <f aca="false">N(AG2230)+$AF2231</f>
        <v>6</v>
      </c>
      <c r="AH2231" s="1" t="n">
        <f aca="false">IF(AND($N2231=1,AND(LEFT(对接源_02物料!$D1031,3)="周转筐",N(对接源_02物料!$K1031)&lt;&gt;0)),1,0)</f>
        <v>0</v>
      </c>
      <c r="AI2231" s="1" t="n">
        <f aca="false">N(AI2230)+$AH2231</f>
        <v>0</v>
      </c>
      <c r="AJ2231" s="1" t="n">
        <v>0</v>
      </c>
      <c r="AK2231" s="1" t="n">
        <f aca="false">N(AK2230)+$AJ2231</f>
        <v>3672</v>
      </c>
    </row>
    <row r="2232" customFormat="false" ht="13.5" hidden="false" customHeight="false" outlineLevel="0" collapsed="false">
      <c r="A2232" s="1" t="str">
        <f aca="false">IF(对接源_02物料!$C1032="","",对接源_02物料!$C1032)</f>
        <v/>
      </c>
      <c r="B2232" s="1" t="n">
        <f aca="false">IF(A2232="",0,IF(MATCH(A2232,$A$4:$A$2403,0)=ROW()-3,1,0))</f>
        <v>0</v>
      </c>
      <c r="C2232" s="1" t="n">
        <f aca="false">N(C2231)+B2232</f>
        <v>17</v>
      </c>
      <c r="K2232" s="1" t="n">
        <f aca="false">IF(OR($K$1="",对接源_02物料!$C1032="",对接源_02物料!$C1032&lt;&gt;$K$1,对接源_02物料!$B1032=""),0,IF(OR(N(对接源_02物料!$B1032)&lt;$K$2,N(对接源_02物料!$B1032)&gt;$K$3),0,1))</f>
        <v>0</v>
      </c>
      <c r="L2232" s="1" t="n">
        <f aca="false">IF(OR($L$1="",对接源_02物料!$C1032="",对接源_02物料!$C1032&lt;&gt;$L$1,对接源_02物料!$B1032=""),0,IF(OR(N(对接源_02物料!$B1032)&lt;$L$2,N(对接源_02物料!$B1032)&gt;$L$3),0,1))</f>
        <v>0</v>
      </c>
      <c r="M2232" s="1" t="n">
        <f aca="false">IF(OR($M$1="",对接源_02物料!$C1032="",对接源_02物料!$C1032&lt;&gt;$M$1,对接源_02物料!$B1032=""),0,IF(OR(N(对接源_02物料!$B1032)&lt;$M$2,N(对接源_02物料!$B1032)&gt;$M$3),0,1))</f>
        <v>0</v>
      </c>
      <c r="N2232" s="1" t="n">
        <f aca="false">IF(OR($N$1="",对接源_02物料!$C1032="",对接源_02物料!$C1032&lt;&gt;$N$1,对接源_02物料!$B1032=""),0,IF(OR(N(对接源_02物料!$B1032)&lt;$N$2,N(对接源_02物料!$B1032)&gt;$N$3),0,1))</f>
        <v>0</v>
      </c>
      <c r="P2232" s="1" t="n">
        <f aca="false">IF(AND($K2232=1,AND(对接源_02物料!$X1032="公司筐",N(对接源_02物料!$T1032)&lt;&gt;0)),1,0)</f>
        <v>0</v>
      </c>
      <c r="Q2232" s="1" t="n">
        <f aca="false">N(Q2231)+$P2232</f>
        <v>13</v>
      </c>
      <c r="R2232" s="1" t="n">
        <f aca="false">IF(AND($K2232=1,AND(对接源_02物料!$X1032="公司筐",N(对接源_02物料!$U1032)&lt;&gt;0)),1,0)</f>
        <v>0</v>
      </c>
      <c r="S2232" s="1" t="n">
        <f aca="false">N(S2231)+$R2232</f>
        <v>5</v>
      </c>
      <c r="T2232" s="1" t="n">
        <f aca="false">IF(AND($K2232=1,AND(对接源_02物料!$X1032="公司筐",N(对接源_02物料!$V1032)&lt;&gt;0)),1,0)</f>
        <v>0</v>
      </c>
      <c r="U2232" s="1" t="n">
        <f aca="false">N(U2231)+$T2232</f>
        <v>28</v>
      </c>
      <c r="V2232" s="1" t="n">
        <f aca="false">IF(AND($L2232=1,AND(对接源_02物料!$X1032="自备筐",N(对接源_02物料!$V1032)&lt;&gt;0)),1,0)</f>
        <v>0</v>
      </c>
      <c r="W2232" s="1" t="n">
        <f aca="false">N(W2231)+$V2232</f>
        <v>7</v>
      </c>
      <c r="X2232" s="1" t="n">
        <f aca="false">IF(AND($L2232=1,AND(对接源_02物料!$X1032="自备筐",N(对接源_02物料!$T1032)&lt;&gt;0)),1,0)</f>
        <v>0</v>
      </c>
      <c r="Y2232" s="1" t="n">
        <f aca="false">N(Y2231)+$X2232</f>
        <v>0</v>
      </c>
      <c r="Z2232" s="1" t="n">
        <f aca="false">IF(AND($M2232=1,对接源_02物料!$D1032="原料入库"),1,0)</f>
        <v>0</v>
      </c>
      <c r="AA2232" s="1" t="n">
        <f aca="false">N(AA2231)+$Z2232</f>
        <v>30</v>
      </c>
      <c r="AB2232" s="1" t="n">
        <f aca="false">IF(AND($M2232=1,LEFT(对接源_02物料!$D1032,4)="原料出库"),1,0)</f>
        <v>0</v>
      </c>
      <c r="AC2232" s="1" t="n">
        <f aca="false">N(AC2231)+$AB2232</f>
        <v>19</v>
      </c>
      <c r="AD2232" s="1" t="n">
        <f aca="false">IF(AND($M2232=1,LEFT(对接源_02物料!$D1032,4)="成品出库"),1,0)</f>
        <v>0</v>
      </c>
      <c r="AE2232" s="1" t="n">
        <f aca="false">N(AE2231)+$AD2232</f>
        <v>38</v>
      </c>
      <c r="AF2232" s="1" t="n">
        <f aca="false">IF(AND($N2232=1,AND(LEFT(对接源_02物料!$D1032,4)="包装物料",N(对接源_02物料!$K1032)&lt;&gt;0)),1,0)</f>
        <v>0</v>
      </c>
      <c r="AG2232" s="1" t="n">
        <f aca="false">N(AG2231)+$AF2232</f>
        <v>6</v>
      </c>
      <c r="AH2232" s="1" t="n">
        <f aca="false">IF(AND($N2232=1,AND(LEFT(对接源_02物料!$D1032,3)="周转筐",N(对接源_02物料!$K1032)&lt;&gt;0)),1,0)</f>
        <v>0</v>
      </c>
      <c r="AI2232" s="1" t="n">
        <f aca="false">N(AI2231)+$AH2232</f>
        <v>0</v>
      </c>
      <c r="AJ2232" s="1" t="n">
        <v>0</v>
      </c>
      <c r="AK2232" s="1" t="n">
        <f aca="false">N(AK2231)+$AJ2232</f>
        <v>3672</v>
      </c>
    </row>
    <row r="2233" customFormat="false" ht="13.5" hidden="false" customHeight="false" outlineLevel="0" collapsed="false">
      <c r="A2233" s="1" t="str">
        <f aca="false">IF(对接源_02物料!$C1033="","",对接源_02物料!$C1033)</f>
        <v/>
      </c>
      <c r="B2233" s="1" t="n">
        <f aca="false">IF(A2233="",0,IF(MATCH(A2233,$A$4:$A$2403,0)=ROW()-3,1,0))</f>
        <v>0</v>
      </c>
      <c r="C2233" s="1" t="n">
        <f aca="false">N(C2232)+B2233</f>
        <v>17</v>
      </c>
      <c r="K2233" s="1" t="n">
        <f aca="false">IF(OR($K$1="",对接源_02物料!$C1033="",对接源_02物料!$C1033&lt;&gt;$K$1,对接源_02物料!$B1033=""),0,IF(OR(N(对接源_02物料!$B1033)&lt;$K$2,N(对接源_02物料!$B1033)&gt;$K$3),0,1))</f>
        <v>0</v>
      </c>
      <c r="L2233" s="1" t="n">
        <f aca="false">IF(OR($L$1="",对接源_02物料!$C1033="",对接源_02物料!$C1033&lt;&gt;$L$1,对接源_02物料!$B1033=""),0,IF(OR(N(对接源_02物料!$B1033)&lt;$L$2,N(对接源_02物料!$B1033)&gt;$L$3),0,1))</f>
        <v>0</v>
      </c>
      <c r="M2233" s="1" t="n">
        <f aca="false">IF(OR($M$1="",对接源_02物料!$C1033="",对接源_02物料!$C1033&lt;&gt;$M$1,对接源_02物料!$B1033=""),0,IF(OR(N(对接源_02物料!$B1033)&lt;$M$2,N(对接源_02物料!$B1033)&gt;$M$3),0,1))</f>
        <v>0</v>
      </c>
      <c r="N2233" s="1" t="n">
        <f aca="false">IF(OR($N$1="",对接源_02物料!$C1033="",对接源_02物料!$C1033&lt;&gt;$N$1,对接源_02物料!$B1033=""),0,IF(OR(N(对接源_02物料!$B1033)&lt;$N$2,N(对接源_02物料!$B1033)&gt;$N$3),0,1))</f>
        <v>0</v>
      </c>
      <c r="P2233" s="1" t="n">
        <f aca="false">IF(AND($K2233=1,AND(对接源_02物料!$X1033="公司筐",N(对接源_02物料!$T1033)&lt;&gt;0)),1,0)</f>
        <v>0</v>
      </c>
      <c r="Q2233" s="1" t="n">
        <f aca="false">N(Q2232)+$P2233</f>
        <v>13</v>
      </c>
      <c r="R2233" s="1" t="n">
        <f aca="false">IF(AND($K2233=1,AND(对接源_02物料!$X1033="公司筐",N(对接源_02物料!$U1033)&lt;&gt;0)),1,0)</f>
        <v>0</v>
      </c>
      <c r="S2233" s="1" t="n">
        <f aca="false">N(S2232)+$R2233</f>
        <v>5</v>
      </c>
      <c r="T2233" s="1" t="n">
        <f aca="false">IF(AND($K2233=1,AND(对接源_02物料!$X1033="公司筐",N(对接源_02物料!$V1033)&lt;&gt;0)),1,0)</f>
        <v>0</v>
      </c>
      <c r="U2233" s="1" t="n">
        <f aca="false">N(U2232)+$T2233</f>
        <v>28</v>
      </c>
      <c r="V2233" s="1" t="n">
        <f aca="false">IF(AND($L2233=1,AND(对接源_02物料!$X1033="自备筐",N(对接源_02物料!$V1033)&lt;&gt;0)),1,0)</f>
        <v>0</v>
      </c>
      <c r="W2233" s="1" t="n">
        <f aca="false">N(W2232)+$V2233</f>
        <v>7</v>
      </c>
      <c r="X2233" s="1" t="n">
        <f aca="false">IF(AND($L2233=1,AND(对接源_02物料!$X1033="自备筐",N(对接源_02物料!$T1033)&lt;&gt;0)),1,0)</f>
        <v>0</v>
      </c>
      <c r="Y2233" s="1" t="n">
        <f aca="false">N(Y2232)+$X2233</f>
        <v>0</v>
      </c>
      <c r="Z2233" s="1" t="n">
        <f aca="false">IF(AND($M2233=1,对接源_02物料!$D1033="原料入库"),1,0)</f>
        <v>0</v>
      </c>
      <c r="AA2233" s="1" t="n">
        <f aca="false">N(AA2232)+$Z2233</f>
        <v>30</v>
      </c>
      <c r="AB2233" s="1" t="n">
        <f aca="false">IF(AND($M2233=1,LEFT(对接源_02物料!$D1033,4)="原料出库"),1,0)</f>
        <v>0</v>
      </c>
      <c r="AC2233" s="1" t="n">
        <f aca="false">N(AC2232)+$AB2233</f>
        <v>19</v>
      </c>
      <c r="AD2233" s="1" t="n">
        <f aca="false">IF(AND($M2233=1,LEFT(对接源_02物料!$D1033,4)="成品出库"),1,0)</f>
        <v>0</v>
      </c>
      <c r="AE2233" s="1" t="n">
        <f aca="false">N(AE2232)+$AD2233</f>
        <v>38</v>
      </c>
      <c r="AF2233" s="1" t="n">
        <f aca="false">IF(AND($N2233=1,AND(LEFT(对接源_02物料!$D1033,4)="包装物料",N(对接源_02物料!$K1033)&lt;&gt;0)),1,0)</f>
        <v>0</v>
      </c>
      <c r="AG2233" s="1" t="n">
        <f aca="false">N(AG2232)+$AF2233</f>
        <v>6</v>
      </c>
      <c r="AH2233" s="1" t="n">
        <f aca="false">IF(AND($N2233=1,AND(LEFT(对接源_02物料!$D1033,3)="周转筐",N(对接源_02物料!$K1033)&lt;&gt;0)),1,0)</f>
        <v>0</v>
      </c>
      <c r="AI2233" s="1" t="n">
        <f aca="false">N(AI2232)+$AH2233</f>
        <v>0</v>
      </c>
      <c r="AJ2233" s="1" t="n">
        <v>0</v>
      </c>
      <c r="AK2233" s="1" t="n">
        <f aca="false">N(AK2232)+$AJ2233</f>
        <v>3672</v>
      </c>
    </row>
    <row r="2234" customFormat="false" ht="13.5" hidden="false" customHeight="false" outlineLevel="0" collapsed="false">
      <c r="A2234" s="1" t="str">
        <f aca="false">IF(对接源_02物料!$C1034="","",对接源_02物料!$C1034)</f>
        <v/>
      </c>
      <c r="B2234" s="1" t="n">
        <f aca="false">IF(A2234="",0,IF(MATCH(A2234,$A$4:$A$2403,0)=ROW()-3,1,0))</f>
        <v>0</v>
      </c>
      <c r="C2234" s="1" t="n">
        <f aca="false">N(C2233)+B2234</f>
        <v>17</v>
      </c>
      <c r="K2234" s="1" t="n">
        <f aca="false">IF(OR($K$1="",对接源_02物料!$C1034="",对接源_02物料!$C1034&lt;&gt;$K$1,对接源_02物料!$B1034=""),0,IF(OR(N(对接源_02物料!$B1034)&lt;$K$2,N(对接源_02物料!$B1034)&gt;$K$3),0,1))</f>
        <v>0</v>
      </c>
      <c r="L2234" s="1" t="n">
        <f aca="false">IF(OR($L$1="",对接源_02物料!$C1034="",对接源_02物料!$C1034&lt;&gt;$L$1,对接源_02物料!$B1034=""),0,IF(OR(N(对接源_02物料!$B1034)&lt;$L$2,N(对接源_02物料!$B1034)&gt;$L$3),0,1))</f>
        <v>0</v>
      </c>
      <c r="M2234" s="1" t="n">
        <f aca="false">IF(OR($M$1="",对接源_02物料!$C1034="",对接源_02物料!$C1034&lt;&gt;$M$1,对接源_02物料!$B1034=""),0,IF(OR(N(对接源_02物料!$B1034)&lt;$M$2,N(对接源_02物料!$B1034)&gt;$M$3),0,1))</f>
        <v>0</v>
      </c>
      <c r="N2234" s="1" t="n">
        <f aca="false">IF(OR($N$1="",对接源_02物料!$C1034="",对接源_02物料!$C1034&lt;&gt;$N$1,对接源_02物料!$B1034=""),0,IF(OR(N(对接源_02物料!$B1034)&lt;$N$2,N(对接源_02物料!$B1034)&gt;$N$3),0,1))</f>
        <v>0</v>
      </c>
      <c r="P2234" s="1" t="n">
        <f aca="false">IF(AND($K2234=1,AND(对接源_02物料!$X1034="公司筐",N(对接源_02物料!$T1034)&lt;&gt;0)),1,0)</f>
        <v>0</v>
      </c>
      <c r="Q2234" s="1" t="n">
        <f aca="false">N(Q2233)+$P2234</f>
        <v>13</v>
      </c>
      <c r="R2234" s="1" t="n">
        <f aca="false">IF(AND($K2234=1,AND(对接源_02物料!$X1034="公司筐",N(对接源_02物料!$U1034)&lt;&gt;0)),1,0)</f>
        <v>0</v>
      </c>
      <c r="S2234" s="1" t="n">
        <f aca="false">N(S2233)+$R2234</f>
        <v>5</v>
      </c>
      <c r="T2234" s="1" t="n">
        <f aca="false">IF(AND($K2234=1,AND(对接源_02物料!$X1034="公司筐",N(对接源_02物料!$V1034)&lt;&gt;0)),1,0)</f>
        <v>0</v>
      </c>
      <c r="U2234" s="1" t="n">
        <f aca="false">N(U2233)+$T2234</f>
        <v>28</v>
      </c>
      <c r="V2234" s="1" t="n">
        <f aca="false">IF(AND($L2234=1,AND(对接源_02物料!$X1034="自备筐",N(对接源_02物料!$V1034)&lt;&gt;0)),1,0)</f>
        <v>0</v>
      </c>
      <c r="W2234" s="1" t="n">
        <f aca="false">N(W2233)+$V2234</f>
        <v>7</v>
      </c>
      <c r="X2234" s="1" t="n">
        <f aca="false">IF(AND($L2234=1,AND(对接源_02物料!$X1034="自备筐",N(对接源_02物料!$T1034)&lt;&gt;0)),1,0)</f>
        <v>0</v>
      </c>
      <c r="Y2234" s="1" t="n">
        <f aca="false">N(Y2233)+$X2234</f>
        <v>0</v>
      </c>
      <c r="Z2234" s="1" t="n">
        <f aca="false">IF(AND($M2234=1,对接源_02物料!$D1034="原料入库"),1,0)</f>
        <v>0</v>
      </c>
      <c r="AA2234" s="1" t="n">
        <f aca="false">N(AA2233)+$Z2234</f>
        <v>30</v>
      </c>
      <c r="AB2234" s="1" t="n">
        <f aca="false">IF(AND($M2234=1,LEFT(对接源_02物料!$D1034,4)="原料出库"),1,0)</f>
        <v>0</v>
      </c>
      <c r="AC2234" s="1" t="n">
        <f aca="false">N(AC2233)+$AB2234</f>
        <v>19</v>
      </c>
      <c r="AD2234" s="1" t="n">
        <f aca="false">IF(AND($M2234=1,LEFT(对接源_02物料!$D1034,4)="成品出库"),1,0)</f>
        <v>0</v>
      </c>
      <c r="AE2234" s="1" t="n">
        <f aca="false">N(AE2233)+$AD2234</f>
        <v>38</v>
      </c>
      <c r="AF2234" s="1" t="n">
        <f aca="false">IF(AND($N2234=1,AND(LEFT(对接源_02物料!$D1034,4)="包装物料",N(对接源_02物料!$K1034)&lt;&gt;0)),1,0)</f>
        <v>0</v>
      </c>
      <c r="AG2234" s="1" t="n">
        <f aca="false">N(AG2233)+$AF2234</f>
        <v>6</v>
      </c>
      <c r="AH2234" s="1" t="n">
        <f aca="false">IF(AND($N2234=1,AND(LEFT(对接源_02物料!$D1034,3)="周转筐",N(对接源_02物料!$K1034)&lt;&gt;0)),1,0)</f>
        <v>0</v>
      </c>
      <c r="AI2234" s="1" t="n">
        <f aca="false">N(AI2233)+$AH2234</f>
        <v>0</v>
      </c>
      <c r="AJ2234" s="1" t="n">
        <v>0</v>
      </c>
      <c r="AK2234" s="1" t="n">
        <f aca="false">N(AK2233)+$AJ2234</f>
        <v>3672</v>
      </c>
    </row>
    <row r="2235" customFormat="false" ht="13.5" hidden="false" customHeight="false" outlineLevel="0" collapsed="false">
      <c r="A2235" s="1" t="str">
        <f aca="false">IF(对接源_02物料!$C1035="","",对接源_02物料!$C1035)</f>
        <v/>
      </c>
      <c r="B2235" s="1" t="n">
        <f aca="false">IF(A2235="",0,IF(MATCH(A2235,$A$4:$A$2403,0)=ROW()-3,1,0))</f>
        <v>0</v>
      </c>
      <c r="C2235" s="1" t="n">
        <f aca="false">N(C2234)+B2235</f>
        <v>17</v>
      </c>
      <c r="K2235" s="1" t="n">
        <f aca="false">IF(OR($K$1="",对接源_02物料!$C1035="",对接源_02物料!$C1035&lt;&gt;$K$1,对接源_02物料!$B1035=""),0,IF(OR(N(对接源_02物料!$B1035)&lt;$K$2,N(对接源_02物料!$B1035)&gt;$K$3),0,1))</f>
        <v>0</v>
      </c>
      <c r="L2235" s="1" t="n">
        <f aca="false">IF(OR($L$1="",对接源_02物料!$C1035="",对接源_02物料!$C1035&lt;&gt;$L$1,对接源_02物料!$B1035=""),0,IF(OR(N(对接源_02物料!$B1035)&lt;$L$2,N(对接源_02物料!$B1035)&gt;$L$3),0,1))</f>
        <v>0</v>
      </c>
      <c r="M2235" s="1" t="n">
        <f aca="false">IF(OR($M$1="",对接源_02物料!$C1035="",对接源_02物料!$C1035&lt;&gt;$M$1,对接源_02物料!$B1035=""),0,IF(OR(N(对接源_02物料!$B1035)&lt;$M$2,N(对接源_02物料!$B1035)&gt;$M$3),0,1))</f>
        <v>0</v>
      </c>
      <c r="N2235" s="1" t="n">
        <f aca="false">IF(OR($N$1="",对接源_02物料!$C1035="",对接源_02物料!$C1035&lt;&gt;$N$1,对接源_02物料!$B1035=""),0,IF(OR(N(对接源_02物料!$B1035)&lt;$N$2,N(对接源_02物料!$B1035)&gt;$N$3),0,1))</f>
        <v>0</v>
      </c>
      <c r="P2235" s="1" t="n">
        <f aca="false">IF(AND($K2235=1,AND(对接源_02物料!$X1035="公司筐",N(对接源_02物料!$T1035)&lt;&gt;0)),1,0)</f>
        <v>0</v>
      </c>
      <c r="Q2235" s="1" t="n">
        <f aca="false">N(Q2234)+$P2235</f>
        <v>13</v>
      </c>
      <c r="R2235" s="1" t="n">
        <f aca="false">IF(AND($K2235=1,AND(对接源_02物料!$X1035="公司筐",N(对接源_02物料!$U1035)&lt;&gt;0)),1,0)</f>
        <v>0</v>
      </c>
      <c r="S2235" s="1" t="n">
        <f aca="false">N(S2234)+$R2235</f>
        <v>5</v>
      </c>
      <c r="T2235" s="1" t="n">
        <f aca="false">IF(AND($K2235=1,AND(对接源_02物料!$X1035="公司筐",N(对接源_02物料!$V1035)&lt;&gt;0)),1,0)</f>
        <v>0</v>
      </c>
      <c r="U2235" s="1" t="n">
        <f aca="false">N(U2234)+$T2235</f>
        <v>28</v>
      </c>
      <c r="V2235" s="1" t="n">
        <f aca="false">IF(AND($L2235=1,AND(对接源_02物料!$X1035="自备筐",N(对接源_02物料!$V1035)&lt;&gt;0)),1,0)</f>
        <v>0</v>
      </c>
      <c r="W2235" s="1" t="n">
        <f aca="false">N(W2234)+$V2235</f>
        <v>7</v>
      </c>
      <c r="X2235" s="1" t="n">
        <f aca="false">IF(AND($L2235=1,AND(对接源_02物料!$X1035="自备筐",N(对接源_02物料!$T1035)&lt;&gt;0)),1,0)</f>
        <v>0</v>
      </c>
      <c r="Y2235" s="1" t="n">
        <f aca="false">N(Y2234)+$X2235</f>
        <v>0</v>
      </c>
      <c r="Z2235" s="1" t="n">
        <f aca="false">IF(AND($M2235=1,对接源_02物料!$D1035="原料入库"),1,0)</f>
        <v>0</v>
      </c>
      <c r="AA2235" s="1" t="n">
        <f aca="false">N(AA2234)+$Z2235</f>
        <v>30</v>
      </c>
      <c r="AB2235" s="1" t="n">
        <f aca="false">IF(AND($M2235=1,LEFT(对接源_02物料!$D1035,4)="原料出库"),1,0)</f>
        <v>0</v>
      </c>
      <c r="AC2235" s="1" t="n">
        <f aca="false">N(AC2234)+$AB2235</f>
        <v>19</v>
      </c>
      <c r="AD2235" s="1" t="n">
        <f aca="false">IF(AND($M2235=1,LEFT(对接源_02物料!$D1035,4)="成品出库"),1,0)</f>
        <v>0</v>
      </c>
      <c r="AE2235" s="1" t="n">
        <f aca="false">N(AE2234)+$AD2235</f>
        <v>38</v>
      </c>
      <c r="AF2235" s="1" t="n">
        <f aca="false">IF(AND($N2235=1,AND(LEFT(对接源_02物料!$D1035,4)="包装物料",N(对接源_02物料!$K1035)&lt;&gt;0)),1,0)</f>
        <v>0</v>
      </c>
      <c r="AG2235" s="1" t="n">
        <f aca="false">N(AG2234)+$AF2235</f>
        <v>6</v>
      </c>
      <c r="AH2235" s="1" t="n">
        <f aca="false">IF(AND($N2235=1,AND(LEFT(对接源_02物料!$D1035,3)="周转筐",N(对接源_02物料!$K1035)&lt;&gt;0)),1,0)</f>
        <v>0</v>
      </c>
      <c r="AI2235" s="1" t="n">
        <f aca="false">N(AI2234)+$AH2235</f>
        <v>0</v>
      </c>
      <c r="AJ2235" s="1" t="n">
        <v>0</v>
      </c>
      <c r="AK2235" s="1" t="n">
        <f aca="false">N(AK2234)+$AJ2235</f>
        <v>3672</v>
      </c>
    </row>
    <row r="2236" customFormat="false" ht="13.5" hidden="false" customHeight="false" outlineLevel="0" collapsed="false">
      <c r="A2236" s="1" t="str">
        <f aca="false">IF(对接源_02物料!$C1036="","",对接源_02物料!$C1036)</f>
        <v/>
      </c>
      <c r="B2236" s="1" t="n">
        <f aca="false">IF(A2236="",0,IF(MATCH(A2236,$A$4:$A$2403,0)=ROW()-3,1,0))</f>
        <v>0</v>
      </c>
      <c r="C2236" s="1" t="n">
        <f aca="false">N(C2235)+B2236</f>
        <v>17</v>
      </c>
      <c r="K2236" s="1" t="n">
        <f aca="false">IF(OR($K$1="",对接源_02物料!$C1036="",对接源_02物料!$C1036&lt;&gt;$K$1,对接源_02物料!$B1036=""),0,IF(OR(N(对接源_02物料!$B1036)&lt;$K$2,N(对接源_02物料!$B1036)&gt;$K$3),0,1))</f>
        <v>0</v>
      </c>
      <c r="L2236" s="1" t="n">
        <f aca="false">IF(OR($L$1="",对接源_02物料!$C1036="",对接源_02物料!$C1036&lt;&gt;$L$1,对接源_02物料!$B1036=""),0,IF(OR(N(对接源_02物料!$B1036)&lt;$L$2,N(对接源_02物料!$B1036)&gt;$L$3),0,1))</f>
        <v>0</v>
      </c>
      <c r="M2236" s="1" t="n">
        <f aca="false">IF(OR($M$1="",对接源_02物料!$C1036="",对接源_02物料!$C1036&lt;&gt;$M$1,对接源_02物料!$B1036=""),0,IF(OR(N(对接源_02物料!$B1036)&lt;$M$2,N(对接源_02物料!$B1036)&gt;$M$3),0,1))</f>
        <v>0</v>
      </c>
      <c r="N2236" s="1" t="n">
        <f aca="false">IF(OR($N$1="",对接源_02物料!$C1036="",对接源_02物料!$C1036&lt;&gt;$N$1,对接源_02物料!$B1036=""),0,IF(OR(N(对接源_02物料!$B1036)&lt;$N$2,N(对接源_02物料!$B1036)&gt;$N$3),0,1))</f>
        <v>0</v>
      </c>
      <c r="P2236" s="1" t="n">
        <f aca="false">IF(AND($K2236=1,AND(对接源_02物料!$X1036="公司筐",N(对接源_02物料!$T1036)&lt;&gt;0)),1,0)</f>
        <v>0</v>
      </c>
      <c r="Q2236" s="1" t="n">
        <f aca="false">N(Q2235)+$P2236</f>
        <v>13</v>
      </c>
      <c r="R2236" s="1" t="n">
        <f aca="false">IF(AND($K2236=1,AND(对接源_02物料!$X1036="公司筐",N(对接源_02物料!$U1036)&lt;&gt;0)),1,0)</f>
        <v>0</v>
      </c>
      <c r="S2236" s="1" t="n">
        <f aca="false">N(S2235)+$R2236</f>
        <v>5</v>
      </c>
      <c r="T2236" s="1" t="n">
        <f aca="false">IF(AND($K2236=1,AND(对接源_02物料!$X1036="公司筐",N(对接源_02物料!$V1036)&lt;&gt;0)),1,0)</f>
        <v>0</v>
      </c>
      <c r="U2236" s="1" t="n">
        <f aca="false">N(U2235)+$T2236</f>
        <v>28</v>
      </c>
      <c r="V2236" s="1" t="n">
        <f aca="false">IF(AND($L2236=1,AND(对接源_02物料!$X1036="自备筐",N(对接源_02物料!$V1036)&lt;&gt;0)),1,0)</f>
        <v>0</v>
      </c>
      <c r="W2236" s="1" t="n">
        <f aca="false">N(W2235)+$V2236</f>
        <v>7</v>
      </c>
      <c r="X2236" s="1" t="n">
        <f aca="false">IF(AND($L2236=1,AND(对接源_02物料!$X1036="自备筐",N(对接源_02物料!$T1036)&lt;&gt;0)),1,0)</f>
        <v>0</v>
      </c>
      <c r="Y2236" s="1" t="n">
        <f aca="false">N(Y2235)+$X2236</f>
        <v>0</v>
      </c>
      <c r="Z2236" s="1" t="n">
        <f aca="false">IF(AND($M2236=1,对接源_02物料!$D1036="原料入库"),1,0)</f>
        <v>0</v>
      </c>
      <c r="AA2236" s="1" t="n">
        <f aca="false">N(AA2235)+$Z2236</f>
        <v>30</v>
      </c>
      <c r="AB2236" s="1" t="n">
        <f aca="false">IF(AND($M2236=1,LEFT(对接源_02物料!$D1036,4)="原料出库"),1,0)</f>
        <v>0</v>
      </c>
      <c r="AC2236" s="1" t="n">
        <f aca="false">N(AC2235)+$AB2236</f>
        <v>19</v>
      </c>
      <c r="AD2236" s="1" t="n">
        <f aca="false">IF(AND($M2236=1,LEFT(对接源_02物料!$D1036,4)="成品出库"),1,0)</f>
        <v>0</v>
      </c>
      <c r="AE2236" s="1" t="n">
        <f aca="false">N(AE2235)+$AD2236</f>
        <v>38</v>
      </c>
      <c r="AF2236" s="1" t="n">
        <f aca="false">IF(AND($N2236=1,AND(LEFT(对接源_02物料!$D1036,4)="包装物料",N(对接源_02物料!$K1036)&lt;&gt;0)),1,0)</f>
        <v>0</v>
      </c>
      <c r="AG2236" s="1" t="n">
        <f aca="false">N(AG2235)+$AF2236</f>
        <v>6</v>
      </c>
      <c r="AH2236" s="1" t="n">
        <f aca="false">IF(AND($N2236=1,AND(LEFT(对接源_02物料!$D1036,3)="周转筐",N(对接源_02物料!$K1036)&lt;&gt;0)),1,0)</f>
        <v>0</v>
      </c>
      <c r="AI2236" s="1" t="n">
        <f aca="false">N(AI2235)+$AH2236</f>
        <v>0</v>
      </c>
      <c r="AJ2236" s="1" t="n">
        <v>0</v>
      </c>
      <c r="AK2236" s="1" t="n">
        <f aca="false">N(AK2235)+$AJ2236</f>
        <v>3672</v>
      </c>
    </row>
    <row r="2237" customFormat="false" ht="13.5" hidden="false" customHeight="false" outlineLevel="0" collapsed="false">
      <c r="A2237" s="1" t="str">
        <f aca="false">IF(对接源_02物料!$C1037="","",对接源_02物料!$C1037)</f>
        <v/>
      </c>
      <c r="B2237" s="1" t="n">
        <f aca="false">IF(A2237="",0,IF(MATCH(A2237,$A$4:$A$2403,0)=ROW()-3,1,0))</f>
        <v>0</v>
      </c>
      <c r="C2237" s="1" t="n">
        <f aca="false">N(C2236)+B2237</f>
        <v>17</v>
      </c>
      <c r="K2237" s="1" t="n">
        <f aca="false">IF(OR($K$1="",对接源_02物料!$C1037="",对接源_02物料!$C1037&lt;&gt;$K$1,对接源_02物料!$B1037=""),0,IF(OR(N(对接源_02物料!$B1037)&lt;$K$2,N(对接源_02物料!$B1037)&gt;$K$3),0,1))</f>
        <v>0</v>
      </c>
      <c r="L2237" s="1" t="n">
        <f aca="false">IF(OR($L$1="",对接源_02物料!$C1037="",对接源_02物料!$C1037&lt;&gt;$L$1,对接源_02物料!$B1037=""),0,IF(OR(N(对接源_02物料!$B1037)&lt;$L$2,N(对接源_02物料!$B1037)&gt;$L$3),0,1))</f>
        <v>0</v>
      </c>
      <c r="M2237" s="1" t="n">
        <f aca="false">IF(OR($M$1="",对接源_02物料!$C1037="",对接源_02物料!$C1037&lt;&gt;$M$1,对接源_02物料!$B1037=""),0,IF(OR(N(对接源_02物料!$B1037)&lt;$M$2,N(对接源_02物料!$B1037)&gt;$M$3),0,1))</f>
        <v>0</v>
      </c>
      <c r="N2237" s="1" t="n">
        <f aca="false">IF(OR($N$1="",对接源_02物料!$C1037="",对接源_02物料!$C1037&lt;&gt;$N$1,对接源_02物料!$B1037=""),0,IF(OR(N(对接源_02物料!$B1037)&lt;$N$2,N(对接源_02物料!$B1037)&gt;$N$3),0,1))</f>
        <v>0</v>
      </c>
      <c r="P2237" s="1" t="n">
        <f aca="false">IF(AND($K2237=1,AND(对接源_02物料!$X1037="公司筐",N(对接源_02物料!$T1037)&lt;&gt;0)),1,0)</f>
        <v>0</v>
      </c>
      <c r="Q2237" s="1" t="n">
        <f aca="false">N(Q2236)+$P2237</f>
        <v>13</v>
      </c>
      <c r="R2237" s="1" t="n">
        <f aca="false">IF(AND($K2237=1,AND(对接源_02物料!$X1037="公司筐",N(对接源_02物料!$U1037)&lt;&gt;0)),1,0)</f>
        <v>0</v>
      </c>
      <c r="S2237" s="1" t="n">
        <f aca="false">N(S2236)+$R2237</f>
        <v>5</v>
      </c>
      <c r="T2237" s="1" t="n">
        <f aca="false">IF(AND($K2237=1,AND(对接源_02物料!$X1037="公司筐",N(对接源_02物料!$V1037)&lt;&gt;0)),1,0)</f>
        <v>0</v>
      </c>
      <c r="U2237" s="1" t="n">
        <f aca="false">N(U2236)+$T2237</f>
        <v>28</v>
      </c>
      <c r="V2237" s="1" t="n">
        <f aca="false">IF(AND($L2237=1,AND(对接源_02物料!$X1037="自备筐",N(对接源_02物料!$V1037)&lt;&gt;0)),1,0)</f>
        <v>0</v>
      </c>
      <c r="W2237" s="1" t="n">
        <f aca="false">N(W2236)+$V2237</f>
        <v>7</v>
      </c>
      <c r="X2237" s="1" t="n">
        <f aca="false">IF(AND($L2237=1,AND(对接源_02物料!$X1037="自备筐",N(对接源_02物料!$T1037)&lt;&gt;0)),1,0)</f>
        <v>0</v>
      </c>
      <c r="Y2237" s="1" t="n">
        <f aca="false">N(Y2236)+$X2237</f>
        <v>0</v>
      </c>
      <c r="Z2237" s="1" t="n">
        <f aca="false">IF(AND($M2237=1,对接源_02物料!$D1037="原料入库"),1,0)</f>
        <v>0</v>
      </c>
      <c r="AA2237" s="1" t="n">
        <f aca="false">N(AA2236)+$Z2237</f>
        <v>30</v>
      </c>
      <c r="AB2237" s="1" t="n">
        <f aca="false">IF(AND($M2237=1,LEFT(对接源_02物料!$D1037,4)="原料出库"),1,0)</f>
        <v>0</v>
      </c>
      <c r="AC2237" s="1" t="n">
        <f aca="false">N(AC2236)+$AB2237</f>
        <v>19</v>
      </c>
      <c r="AD2237" s="1" t="n">
        <f aca="false">IF(AND($M2237=1,LEFT(对接源_02物料!$D1037,4)="成品出库"),1,0)</f>
        <v>0</v>
      </c>
      <c r="AE2237" s="1" t="n">
        <f aca="false">N(AE2236)+$AD2237</f>
        <v>38</v>
      </c>
      <c r="AF2237" s="1" t="n">
        <f aca="false">IF(AND($N2237=1,AND(LEFT(对接源_02物料!$D1037,4)="包装物料",N(对接源_02物料!$K1037)&lt;&gt;0)),1,0)</f>
        <v>0</v>
      </c>
      <c r="AG2237" s="1" t="n">
        <f aca="false">N(AG2236)+$AF2237</f>
        <v>6</v>
      </c>
      <c r="AH2237" s="1" t="n">
        <f aca="false">IF(AND($N2237=1,AND(LEFT(对接源_02物料!$D1037,3)="周转筐",N(对接源_02物料!$K1037)&lt;&gt;0)),1,0)</f>
        <v>0</v>
      </c>
      <c r="AI2237" s="1" t="n">
        <f aca="false">N(AI2236)+$AH2237</f>
        <v>0</v>
      </c>
      <c r="AJ2237" s="1" t="n">
        <v>0</v>
      </c>
      <c r="AK2237" s="1" t="n">
        <f aca="false">N(AK2236)+$AJ2237</f>
        <v>3672</v>
      </c>
    </row>
    <row r="2238" customFormat="false" ht="13.5" hidden="false" customHeight="false" outlineLevel="0" collapsed="false">
      <c r="A2238" s="1" t="str">
        <f aca="false">IF(对接源_02物料!$C1038="","",对接源_02物料!$C1038)</f>
        <v/>
      </c>
      <c r="B2238" s="1" t="n">
        <f aca="false">IF(A2238="",0,IF(MATCH(A2238,$A$4:$A$2403,0)=ROW()-3,1,0))</f>
        <v>0</v>
      </c>
      <c r="C2238" s="1" t="n">
        <f aca="false">N(C2237)+B2238</f>
        <v>17</v>
      </c>
      <c r="K2238" s="1" t="n">
        <f aca="false">IF(OR($K$1="",对接源_02物料!$C1038="",对接源_02物料!$C1038&lt;&gt;$K$1,对接源_02物料!$B1038=""),0,IF(OR(N(对接源_02物料!$B1038)&lt;$K$2,N(对接源_02物料!$B1038)&gt;$K$3),0,1))</f>
        <v>0</v>
      </c>
      <c r="L2238" s="1" t="n">
        <f aca="false">IF(OR($L$1="",对接源_02物料!$C1038="",对接源_02物料!$C1038&lt;&gt;$L$1,对接源_02物料!$B1038=""),0,IF(OR(N(对接源_02物料!$B1038)&lt;$L$2,N(对接源_02物料!$B1038)&gt;$L$3),0,1))</f>
        <v>0</v>
      </c>
      <c r="M2238" s="1" t="n">
        <f aca="false">IF(OR($M$1="",对接源_02物料!$C1038="",对接源_02物料!$C1038&lt;&gt;$M$1,对接源_02物料!$B1038=""),0,IF(OR(N(对接源_02物料!$B1038)&lt;$M$2,N(对接源_02物料!$B1038)&gt;$M$3),0,1))</f>
        <v>0</v>
      </c>
      <c r="N2238" s="1" t="n">
        <f aca="false">IF(OR($N$1="",对接源_02物料!$C1038="",对接源_02物料!$C1038&lt;&gt;$N$1,对接源_02物料!$B1038=""),0,IF(OR(N(对接源_02物料!$B1038)&lt;$N$2,N(对接源_02物料!$B1038)&gt;$N$3),0,1))</f>
        <v>0</v>
      </c>
      <c r="P2238" s="1" t="n">
        <f aca="false">IF(AND($K2238=1,AND(对接源_02物料!$X1038="公司筐",N(对接源_02物料!$T1038)&lt;&gt;0)),1,0)</f>
        <v>0</v>
      </c>
      <c r="Q2238" s="1" t="n">
        <f aca="false">N(Q2237)+$P2238</f>
        <v>13</v>
      </c>
      <c r="R2238" s="1" t="n">
        <f aca="false">IF(AND($K2238=1,AND(对接源_02物料!$X1038="公司筐",N(对接源_02物料!$U1038)&lt;&gt;0)),1,0)</f>
        <v>0</v>
      </c>
      <c r="S2238" s="1" t="n">
        <f aca="false">N(S2237)+$R2238</f>
        <v>5</v>
      </c>
      <c r="T2238" s="1" t="n">
        <f aca="false">IF(AND($K2238=1,AND(对接源_02物料!$X1038="公司筐",N(对接源_02物料!$V1038)&lt;&gt;0)),1,0)</f>
        <v>0</v>
      </c>
      <c r="U2238" s="1" t="n">
        <f aca="false">N(U2237)+$T2238</f>
        <v>28</v>
      </c>
      <c r="V2238" s="1" t="n">
        <f aca="false">IF(AND($L2238=1,AND(对接源_02物料!$X1038="自备筐",N(对接源_02物料!$V1038)&lt;&gt;0)),1,0)</f>
        <v>0</v>
      </c>
      <c r="W2238" s="1" t="n">
        <f aca="false">N(W2237)+$V2238</f>
        <v>7</v>
      </c>
      <c r="X2238" s="1" t="n">
        <f aca="false">IF(AND($L2238=1,AND(对接源_02物料!$X1038="自备筐",N(对接源_02物料!$T1038)&lt;&gt;0)),1,0)</f>
        <v>0</v>
      </c>
      <c r="Y2238" s="1" t="n">
        <f aca="false">N(Y2237)+$X2238</f>
        <v>0</v>
      </c>
      <c r="Z2238" s="1" t="n">
        <f aca="false">IF(AND($M2238=1,对接源_02物料!$D1038="原料入库"),1,0)</f>
        <v>0</v>
      </c>
      <c r="AA2238" s="1" t="n">
        <f aca="false">N(AA2237)+$Z2238</f>
        <v>30</v>
      </c>
      <c r="AB2238" s="1" t="n">
        <f aca="false">IF(AND($M2238=1,LEFT(对接源_02物料!$D1038,4)="原料出库"),1,0)</f>
        <v>0</v>
      </c>
      <c r="AC2238" s="1" t="n">
        <f aca="false">N(AC2237)+$AB2238</f>
        <v>19</v>
      </c>
      <c r="AD2238" s="1" t="n">
        <f aca="false">IF(AND($M2238=1,LEFT(对接源_02物料!$D1038,4)="成品出库"),1,0)</f>
        <v>0</v>
      </c>
      <c r="AE2238" s="1" t="n">
        <f aca="false">N(AE2237)+$AD2238</f>
        <v>38</v>
      </c>
      <c r="AF2238" s="1" t="n">
        <f aca="false">IF(AND($N2238=1,AND(LEFT(对接源_02物料!$D1038,4)="包装物料",N(对接源_02物料!$K1038)&lt;&gt;0)),1,0)</f>
        <v>0</v>
      </c>
      <c r="AG2238" s="1" t="n">
        <f aca="false">N(AG2237)+$AF2238</f>
        <v>6</v>
      </c>
      <c r="AH2238" s="1" t="n">
        <f aca="false">IF(AND($N2238=1,AND(LEFT(对接源_02物料!$D1038,3)="周转筐",N(对接源_02物料!$K1038)&lt;&gt;0)),1,0)</f>
        <v>0</v>
      </c>
      <c r="AI2238" s="1" t="n">
        <f aca="false">N(AI2237)+$AH2238</f>
        <v>0</v>
      </c>
      <c r="AJ2238" s="1" t="n">
        <v>0</v>
      </c>
      <c r="AK2238" s="1" t="n">
        <f aca="false">N(AK2237)+$AJ2238</f>
        <v>3672</v>
      </c>
    </row>
    <row r="2239" customFormat="false" ht="13.5" hidden="false" customHeight="false" outlineLevel="0" collapsed="false">
      <c r="A2239" s="1" t="str">
        <f aca="false">IF(对接源_02物料!$C1039="","",对接源_02物料!$C1039)</f>
        <v/>
      </c>
      <c r="B2239" s="1" t="n">
        <f aca="false">IF(A2239="",0,IF(MATCH(A2239,$A$4:$A$2403,0)=ROW()-3,1,0))</f>
        <v>0</v>
      </c>
      <c r="C2239" s="1" t="n">
        <f aca="false">N(C2238)+B2239</f>
        <v>17</v>
      </c>
      <c r="K2239" s="1" t="n">
        <f aca="false">IF(OR($K$1="",对接源_02物料!$C1039="",对接源_02物料!$C1039&lt;&gt;$K$1,对接源_02物料!$B1039=""),0,IF(OR(N(对接源_02物料!$B1039)&lt;$K$2,N(对接源_02物料!$B1039)&gt;$K$3),0,1))</f>
        <v>0</v>
      </c>
      <c r="L2239" s="1" t="n">
        <f aca="false">IF(OR($L$1="",对接源_02物料!$C1039="",对接源_02物料!$C1039&lt;&gt;$L$1,对接源_02物料!$B1039=""),0,IF(OR(N(对接源_02物料!$B1039)&lt;$L$2,N(对接源_02物料!$B1039)&gt;$L$3),0,1))</f>
        <v>0</v>
      </c>
      <c r="M2239" s="1" t="n">
        <f aca="false">IF(OR($M$1="",对接源_02物料!$C1039="",对接源_02物料!$C1039&lt;&gt;$M$1,对接源_02物料!$B1039=""),0,IF(OR(N(对接源_02物料!$B1039)&lt;$M$2,N(对接源_02物料!$B1039)&gt;$M$3),0,1))</f>
        <v>0</v>
      </c>
      <c r="N2239" s="1" t="n">
        <f aca="false">IF(OR($N$1="",对接源_02物料!$C1039="",对接源_02物料!$C1039&lt;&gt;$N$1,对接源_02物料!$B1039=""),0,IF(OR(N(对接源_02物料!$B1039)&lt;$N$2,N(对接源_02物料!$B1039)&gt;$N$3),0,1))</f>
        <v>0</v>
      </c>
      <c r="P2239" s="1" t="n">
        <f aca="false">IF(AND($K2239=1,AND(对接源_02物料!$X1039="公司筐",N(对接源_02物料!$T1039)&lt;&gt;0)),1,0)</f>
        <v>0</v>
      </c>
      <c r="Q2239" s="1" t="n">
        <f aca="false">N(Q2238)+$P2239</f>
        <v>13</v>
      </c>
      <c r="R2239" s="1" t="n">
        <f aca="false">IF(AND($K2239=1,AND(对接源_02物料!$X1039="公司筐",N(对接源_02物料!$U1039)&lt;&gt;0)),1,0)</f>
        <v>0</v>
      </c>
      <c r="S2239" s="1" t="n">
        <f aca="false">N(S2238)+$R2239</f>
        <v>5</v>
      </c>
      <c r="T2239" s="1" t="n">
        <f aca="false">IF(AND($K2239=1,AND(对接源_02物料!$X1039="公司筐",N(对接源_02物料!$V1039)&lt;&gt;0)),1,0)</f>
        <v>0</v>
      </c>
      <c r="U2239" s="1" t="n">
        <f aca="false">N(U2238)+$T2239</f>
        <v>28</v>
      </c>
      <c r="V2239" s="1" t="n">
        <f aca="false">IF(AND($L2239=1,AND(对接源_02物料!$X1039="自备筐",N(对接源_02物料!$V1039)&lt;&gt;0)),1,0)</f>
        <v>0</v>
      </c>
      <c r="W2239" s="1" t="n">
        <f aca="false">N(W2238)+$V2239</f>
        <v>7</v>
      </c>
      <c r="X2239" s="1" t="n">
        <f aca="false">IF(AND($L2239=1,AND(对接源_02物料!$X1039="自备筐",N(对接源_02物料!$T1039)&lt;&gt;0)),1,0)</f>
        <v>0</v>
      </c>
      <c r="Y2239" s="1" t="n">
        <f aca="false">N(Y2238)+$X2239</f>
        <v>0</v>
      </c>
      <c r="Z2239" s="1" t="n">
        <f aca="false">IF(AND($M2239=1,对接源_02物料!$D1039="原料入库"),1,0)</f>
        <v>0</v>
      </c>
      <c r="AA2239" s="1" t="n">
        <f aca="false">N(AA2238)+$Z2239</f>
        <v>30</v>
      </c>
      <c r="AB2239" s="1" t="n">
        <f aca="false">IF(AND($M2239=1,LEFT(对接源_02物料!$D1039,4)="原料出库"),1,0)</f>
        <v>0</v>
      </c>
      <c r="AC2239" s="1" t="n">
        <f aca="false">N(AC2238)+$AB2239</f>
        <v>19</v>
      </c>
      <c r="AD2239" s="1" t="n">
        <f aca="false">IF(AND($M2239=1,LEFT(对接源_02物料!$D1039,4)="成品出库"),1,0)</f>
        <v>0</v>
      </c>
      <c r="AE2239" s="1" t="n">
        <f aca="false">N(AE2238)+$AD2239</f>
        <v>38</v>
      </c>
      <c r="AF2239" s="1" t="n">
        <f aca="false">IF(AND($N2239=1,AND(LEFT(对接源_02物料!$D1039,4)="包装物料",N(对接源_02物料!$K1039)&lt;&gt;0)),1,0)</f>
        <v>0</v>
      </c>
      <c r="AG2239" s="1" t="n">
        <f aca="false">N(AG2238)+$AF2239</f>
        <v>6</v>
      </c>
      <c r="AH2239" s="1" t="n">
        <f aca="false">IF(AND($N2239=1,AND(LEFT(对接源_02物料!$D1039,3)="周转筐",N(对接源_02物料!$K1039)&lt;&gt;0)),1,0)</f>
        <v>0</v>
      </c>
      <c r="AI2239" s="1" t="n">
        <f aca="false">N(AI2238)+$AH2239</f>
        <v>0</v>
      </c>
      <c r="AJ2239" s="1" t="n">
        <v>0</v>
      </c>
      <c r="AK2239" s="1" t="n">
        <f aca="false">N(AK2238)+$AJ2239</f>
        <v>3672</v>
      </c>
    </row>
    <row r="2240" customFormat="false" ht="13.5" hidden="false" customHeight="false" outlineLevel="0" collapsed="false">
      <c r="A2240" s="1" t="str">
        <f aca="false">IF(对接源_02物料!$C1040="","",对接源_02物料!$C1040)</f>
        <v/>
      </c>
      <c r="B2240" s="1" t="n">
        <f aca="false">IF(A2240="",0,IF(MATCH(A2240,$A$4:$A$2403,0)=ROW()-3,1,0))</f>
        <v>0</v>
      </c>
      <c r="C2240" s="1" t="n">
        <f aca="false">N(C2239)+B2240</f>
        <v>17</v>
      </c>
      <c r="K2240" s="1" t="n">
        <f aca="false">IF(OR($K$1="",对接源_02物料!$C1040="",对接源_02物料!$C1040&lt;&gt;$K$1,对接源_02物料!$B1040=""),0,IF(OR(N(对接源_02物料!$B1040)&lt;$K$2,N(对接源_02物料!$B1040)&gt;$K$3),0,1))</f>
        <v>0</v>
      </c>
      <c r="L2240" s="1" t="n">
        <f aca="false">IF(OR($L$1="",对接源_02物料!$C1040="",对接源_02物料!$C1040&lt;&gt;$L$1,对接源_02物料!$B1040=""),0,IF(OR(N(对接源_02物料!$B1040)&lt;$L$2,N(对接源_02物料!$B1040)&gt;$L$3),0,1))</f>
        <v>0</v>
      </c>
      <c r="M2240" s="1" t="n">
        <f aca="false">IF(OR($M$1="",对接源_02物料!$C1040="",对接源_02物料!$C1040&lt;&gt;$M$1,对接源_02物料!$B1040=""),0,IF(OR(N(对接源_02物料!$B1040)&lt;$M$2,N(对接源_02物料!$B1040)&gt;$M$3),0,1))</f>
        <v>0</v>
      </c>
      <c r="N2240" s="1" t="n">
        <f aca="false">IF(OR($N$1="",对接源_02物料!$C1040="",对接源_02物料!$C1040&lt;&gt;$N$1,对接源_02物料!$B1040=""),0,IF(OR(N(对接源_02物料!$B1040)&lt;$N$2,N(对接源_02物料!$B1040)&gt;$N$3),0,1))</f>
        <v>0</v>
      </c>
      <c r="P2240" s="1" t="n">
        <f aca="false">IF(AND($K2240=1,AND(对接源_02物料!$X1040="公司筐",N(对接源_02物料!$T1040)&lt;&gt;0)),1,0)</f>
        <v>0</v>
      </c>
      <c r="Q2240" s="1" t="n">
        <f aca="false">N(Q2239)+$P2240</f>
        <v>13</v>
      </c>
      <c r="R2240" s="1" t="n">
        <f aca="false">IF(AND($K2240=1,AND(对接源_02物料!$X1040="公司筐",N(对接源_02物料!$U1040)&lt;&gt;0)),1,0)</f>
        <v>0</v>
      </c>
      <c r="S2240" s="1" t="n">
        <f aca="false">N(S2239)+$R2240</f>
        <v>5</v>
      </c>
      <c r="T2240" s="1" t="n">
        <f aca="false">IF(AND($K2240=1,AND(对接源_02物料!$X1040="公司筐",N(对接源_02物料!$V1040)&lt;&gt;0)),1,0)</f>
        <v>0</v>
      </c>
      <c r="U2240" s="1" t="n">
        <f aca="false">N(U2239)+$T2240</f>
        <v>28</v>
      </c>
      <c r="V2240" s="1" t="n">
        <f aca="false">IF(AND($L2240=1,AND(对接源_02物料!$X1040="自备筐",N(对接源_02物料!$V1040)&lt;&gt;0)),1,0)</f>
        <v>0</v>
      </c>
      <c r="W2240" s="1" t="n">
        <f aca="false">N(W2239)+$V2240</f>
        <v>7</v>
      </c>
      <c r="X2240" s="1" t="n">
        <f aca="false">IF(AND($L2240=1,AND(对接源_02物料!$X1040="自备筐",N(对接源_02物料!$T1040)&lt;&gt;0)),1,0)</f>
        <v>0</v>
      </c>
      <c r="Y2240" s="1" t="n">
        <f aca="false">N(Y2239)+$X2240</f>
        <v>0</v>
      </c>
      <c r="Z2240" s="1" t="n">
        <f aca="false">IF(AND($M2240=1,对接源_02物料!$D1040="原料入库"),1,0)</f>
        <v>0</v>
      </c>
      <c r="AA2240" s="1" t="n">
        <f aca="false">N(AA2239)+$Z2240</f>
        <v>30</v>
      </c>
      <c r="AB2240" s="1" t="n">
        <f aca="false">IF(AND($M2240=1,LEFT(对接源_02物料!$D1040,4)="原料出库"),1,0)</f>
        <v>0</v>
      </c>
      <c r="AC2240" s="1" t="n">
        <f aca="false">N(AC2239)+$AB2240</f>
        <v>19</v>
      </c>
      <c r="AD2240" s="1" t="n">
        <f aca="false">IF(AND($M2240=1,LEFT(对接源_02物料!$D1040,4)="成品出库"),1,0)</f>
        <v>0</v>
      </c>
      <c r="AE2240" s="1" t="n">
        <f aca="false">N(AE2239)+$AD2240</f>
        <v>38</v>
      </c>
      <c r="AF2240" s="1" t="n">
        <f aca="false">IF(AND($N2240=1,AND(LEFT(对接源_02物料!$D1040,4)="包装物料",N(对接源_02物料!$K1040)&lt;&gt;0)),1,0)</f>
        <v>0</v>
      </c>
      <c r="AG2240" s="1" t="n">
        <f aca="false">N(AG2239)+$AF2240</f>
        <v>6</v>
      </c>
      <c r="AH2240" s="1" t="n">
        <f aca="false">IF(AND($N2240=1,AND(LEFT(对接源_02物料!$D1040,3)="周转筐",N(对接源_02物料!$K1040)&lt;&gt;0)),1,0)</f>
        <v>0</v>
      </c>
      <c r="AI2240" s="1" t="n">
        <f aca="false">N(AI2239)+$AH2240</f>
        <v>0</v>
      </c>
      <c r="AJ2240" s="1" t="n">
        <v>0</v>
      </c>
      <c r="AK2240" s="1" t="n">
        <f aca="false">N(AK2239)+$AJ2240</f>
        <v>3672</v>
      </c>
    </row>
    <row r="2241" customFormat="false" ht="13.5" hidden="false" customHeight="false" outlineLevel="0" collapsed="false">
      <c r="A2241" s="1" t="str">
        <f aca="false">IF(对接源_02物料!$C1041="","",对接源_02物料!$C1041)</f>
        <v/>
      </c>
      <c r="B2241" s="1" t="n">
        <f aca="false">IF(A2241="",0,IF(MATCH(A2241,$A$4:$A$2403,0)=ROW()-3,1,0))</f>
        <v>0</v>
      </c>
      <c r="C2241" s="1" t="n">
        <f aca="false">N(C2240)+B2241</f>
        <v>17</v>
      </c>
      <c r="K2241" s="1" t="n">
        <f aca="false">IF(OR($K$1="",对接源_02物料!$C1041="",对接源_02物料!$C1041&lt;&gt;$K$1,对接源_02物料!$B1041=""),0,IF(OR(N(对接源_02物料!$B1041)&lt;$K$2,N(对接源_02物料!$B1041)&gt;$K$3),0,1))</f>
        <v>0</v>
      </c>
      <c r="L2241" s="1" t="n">
        <f aca="false">IF(OR($L$1="",对接源_02物料!$C1041="",对接源_02物料!$C1041&lt;&gt;$L$1,对接源_02物料!$B1041=""),0,IF(OR(N(对接源_02物料!$B1041)&lt;$L$2,N(对接源_02物料!$B1041)&gt;$L$3),0,1))</f>
        <v>0</v>
      </c>
      <c r="M2241" s="1" t="n">
        <f aca="false">IF(OR($M$1="",对接源_02物料!$C1041="",对接源_02物料!$C1041&lt;&gt;$M$1,对接源_02物料!$B1041=""),0,IF(OR(N(对接源_02物料!$B1041)&lt;$M$2,N(对接源_02物料!$B1041)&gt;$M$3),0,1))</f>
        <v>0</v>
      </c>
      <c r="N2241" s="1" t="n">
        <f aca="false">IF(OR($N$1="",对接源_02物料!$C1041="",对接源_02物料!$C1041&lt;&gt;$N$1,对接源_02物料!$B1041=""),0,IF(OR(N(对接源_02物料!$B1041)&lt;$N$2,N(对接源_02物料!$B1041)&gt;$N$3),0,1))</f>
        <v>0</v>
      </c>
      <c r="P2241" s="1" t="n">
        <f aca="false">IF(AND($K2241=1,AND(对接源_02物料!$X1041="公司筐",N(对接源_02物料!$T1041)&lt;&gt;0)),1,0)</f>
        <v>0</v>
      </c>
      <c r="Q2241" s="1" t="n">
        <f aca="false">N(Q2240)+$P2241</f>
        <v>13</v>
      </c>
      <c r="R2241" s="1" t="n">
        <f aca="false">IF(AND($K2241=1,AND(对接源_02物料!$X1041="公司筐",N(对接源_02物料!$U1041)&lt;&gt;0)),1,0)</f>
        <v>0</v>
      </c>
      <c r="S2241" s="1" t="n">
        <f aca="false">N(S2240)+$R2241</f>
        <v>5</v>
      </c>
      <c r="T2241" s="1" t="n">
        <f aca="false">IF(AND($K2241=1,AND(对接源_02物料!$X1041="公司筐",N(对接源_02物料!$V1041)&lt;&gt;0)),1,0)</f>
        <v>0</v>
      </c>
      <c r="U2241" s="1" t="n">
        <f aca="false">N(U2240)+$T2241</f>
        <v>28</v>
      </c>
      <c r="V2241" s="1" t="n">
        <f aca="false">IF(AND($L2241=1,AND(对接源_02物料!$X1041="自备筐",N(对接源_02物料!$V1041)&lt;&gt;0)),1,0)</f>
        <v>0</v>
      </c>
      <c r="W2241" s="1" t="n">
        <f aca="false">N(W2240)+$V2241</f>
        <v>7</v>
      </c>
      <c r="X2241" s="1" t="n">
        <f aca="false">IF(AND($L2241=1,AND(对接源_02物料!$X1041="自备筐",N(对接源_02物料!$T1041)&lt;&gt;0)),1,0)</f>
        <v>0</v>
      </c>
      <c r="Y2241" s="1" t="n">
        <f aca="false">N(Y2240)+$X2241</f>
        <v>0</v>
      </c>
      <c r="Z2241" s="1" t="n">
        <f aca="false">IF(AND($M2241=1,对接源_02物料!$D1041="原料入库"),1,0)</f>
        <v>0</v>
      </c>
      <c r="AA2241" s="1" t="n">
        <f aca="false">N(AA2240)+$Z2241</f>
        <v>30</v>
      </c>
      <c r="AB2241" s="1" t="n">
        <f aca="false">IF(AND($M2241=1,LEFT(对接源_02物料!$D1041,4)="原料出库"),1,0)</f>
        <v>0</v>
      </c>
      <c r="AC2241" s="1" t="n">
        <f aca="false">N(AC2240)+$AB2241</f>
        <v>19</v>
      </c>
      <c r="AD2241" s="1" t="n">
        <f aca="false">IF(AND($M2241=1,LEFT(对接源_02物料!$D1041,4)="成品出库"),1,0)</f>
        <v>0</v>
      </c>
      <c r="AE2241" s="1" t="n">
        <f aca="false">N(AE2240)+$AD2241</f>
        <v>38</v>
      </c>
      <c r="AF2241" s="1" t="n">
        <f aca="false">IF(AND($N2241=1,AND(LEFT(对接源_02物料!$D1041,4)="包装物料",N(对接源_02物料!$K1041)&lt;&gt;0)),1,0)</f>
        <v>0</v>
      </c>
      <c r="AG2241" s="1" t="n">
        <f aca="false">N(AG2240)+$AF2241</f>
        <v>6</v>
      </c>
      <c r="AH2241" s="1" t="n">
        <f aca="false">IF(AND($N2241=1,AND(LEFT(对接源_02物料!$D1041,3)="周转筐",N(对接源_02物料!$K1041)&lt;&gt;0)),1,0)</f>
        <v>0</v>
      </c>
      <c r="AI2241" s="1" t="n">
        <f aca="false">N(AI2240)+$AH2241</f>
        <v>0</v>
      </c>
      <c r="AJ2241" s="1" t="n">
        <v>0</v>
      </c>
      <c r="AK2241" s="1" t="n">
        <f aca="false">N(AK2240)+$AJ2241</f>
        <v>3672</v>
      </c>
    </row>
    <row r="2242" customFormat="false" ht="13.5" hidden="false" customHeight="false" outlineLevel="0" collapsed="false">
      <c r="A2242" s="1" t="str">
        <f aca="false">IF(对接源_02物料!$C1042="","",对接源_02物料!$C1042)</f>
        <v/>
      </c>
      <c r="B2242" s="1" t="n">
        <f aca="false">IF(A2242="",0,IF(MATCH(A2242,$A$4:$A$2403,0)=ROW()-3,1,0))</f>
        <v>0</v>
      </c>
      <c r="C2242" s="1" t="n">
        <f aca="false">N(C2241)+B2242</f>
        <v>17</v>
      </c>
      <c r="K2242" s="1" t="n">
        <f aca="false">IF(OR($K$1="",对接源_02物料!$C1042="",对接源_02物料!$C1042&lt;&gt;$K$1,对接源_02物料!$B1042=""),0,IF(OR(N(对接源_02物料!$B1042)&lt;$K$2,N(对接源_02物料!$B1042)&gt;$K$3),0,1))</f>
        <v>0</v>
      </c>
      <c r="L2242" s="1" t="n">
        <f aca="false">IF(OR($L$1="",对接源_02物料!$C1042="",对接源_02物料!$C1042&lt;&gt;$L$1,对接源_02物料!$B1042=""),0,IF(OR(N(对接源_02物料!$B1042)&lt;$L$2,N(对接源_02物料!$B1042)&gt;$L$3),0,1))</f>
        <v>0</v>
      </c>
      <c r="M2242" s="1" t="n">
        <f aca="false">IF(OR($M$1="",对接源_02物料!$C1042="",对接源_02物料!$C1042&lt;&gt;$M$1,对接源_02物料!$B1042=""),0,IF(OR(N(对接源_02物料!$B1042)&lt;$M$2,N(对接源_02物料!$B1042)&gt;$M$3),0,1))</f>
        <v>0</v>
      </c>
      <c r="N2242" s="1" t="n">
        <f aca="false">IF(OR($N$1="",对接源_02物料!$C1042="",对接源_02物料!$C1042&lt;&gt;$N$1,对接源_02物料!$B1042=""),0,IF(OR(N(对接源_02物料!$B1042)&lt;$N$2,N(对接源_02物料!$B1042)&gt;$N$3),0,1))</f>
        <v>0</v>
      </c>
      <c r="P2242" s="1" t="n">
        <f aca="false">IF(AND($K2242=1,AND(对接源_02物料!$X1042="公司筐",N(对接源_02物料!$T1042)&lt;&gt;0)),1,0)</f>
        <v>0</v>
      </c>
      <c r="Q2242" s="1" t="n">
        <f aca="false">N(Q2241)+$P2242</f>
        <v>13</v>
      </c>
      <c r="R2242" s="1" t="n">
        <f aca="false">IF(AND($K2242=1,AND(对接源_02物料!$X1042="公司筐",N(对接源_02物料!$U1042)&lt;&gt;0)),1,0)</f>
        <v>0</v>
      </c>
      <c r="S2242" s="1" t="n">
        <f aca="false">N(S2241)+$R2242</f>
        <v>5</v>
      </c>
      <c r="T2242" s="1" t="n">
        <f aca="false">IF(AND($K2242=1,AND(对接源_02物料!$X1042="公司筐",N(对接源_02物料!$V1042)&lt;&gt;0)),1,0)</f>
        <v>0</v>
      </c>
      <c r="U2242" s="1" t="n">
        <f aca="false">N(U2241)+$T2242</f>
        <v>28</v>
      </c>
      <c r="V2242" s="1" t="n">
        <f aca="false">IF(AND($L2242=1,AND(对接源_02物料!$X1042="自备筐",N(对接源_02物料!$V1042)&lt;&gt;0)),1,0)</f>
        <v>0</v>
      </c>
      <c r="W2242" s="1" t="n">
        <f aca="false">N(W2241)+$V2242</f>
        <v>7</v>
      </c>
      <c r="X2242" s="1" t="n">
        <f aca="false">IF(AND($L2242=1,AND(对接源_02物料!$X1042="自备筐",N(对接源_02物料!$T1042)&lt;&gt;0)),1,0)</f>
        <v>0</v>
      </c>
      <c r="Y2242" s="1" t="n">
        <f aca="false">N(Y2241)+$X2242</f>
        <v>0</v>
      </c>
      <c r="Z2242" s="1" t="n">
        <f aca="false">IF(AND($M2242=1,对接源_02物料!$D1042="原料入库"),1,0)</f>
        <v>0</v>
      </c>
      <c r="AA2242" s="1" t="n">
        <f aca="false">N(AA2241)+$Z2242</f>
        <v>30</v>
      </c>
      <c r="AB2242" s="1" t="n">
        <f aca="false">IF(AND($M2242=1,LEFT(对接源_02物料!$D1042,4)="原料出库"),1,0)</f>
        <v>0</v>
      </c>
      <c r="AC2242" s="1" t="n">
        <f aca="false">N(AC2241)+$AB2242</f>
        <v>19</v>
      </c>
      <c r="AD2242" s="1" t="n">
        <f aca="false">IF(AND($M2242=1,LEFT(对接源_02物料!$D1042,4)="成品出库"),1,0)</f>
        <v>0</v>
      </c>
      <c r="AE2242" s="1" t="n">
        <f aca="false">N(AE2241)+$AD2242</f>
        <v>38</v>
      </c>
      <c r="AF2242" s="1" t="n">
        <f aca="false">IF(AND($N2242=1,AND(LEFT(对接源_02物料!$D1042,4)="包装物料",N(对接源_02物料!$K1042)&lt;&gt;0)),1,0)</f>
        <v>0</v>
      </c>
      <c r="AG2242" s="1" t="n">
        <f aca="false">N(AG2241)+$AF2242</f>
        <v>6</v>
      </c>
      <c r="AH2242" s="1" t="n">
        <f aca="false">IF(AND($N2242=1,AND(LEFT(对接源_02物料!$D1042,3)="周转筐",N(对接源_02物料!$K1042)&lt;&gt;0)),1,0)</f>
        <v>0</v>
      </c>
      <c r="AI2242" s="1" t="n">
        <f aca="false">N(AI2241)+$AH2242</f>
        <v>0</v>
      </c>
      <c r="AJ2242" s="1" t="n">
        <v>0</v>
      </c>
      <c r="AK2242" s="1" t="n">
        <f aca="false">N(AK2241)+$AJ2242</f>
        <v>3672</v>
      </c>
    </row>
    <row r="2243" customFormat="false" ht="13.5" hidden="false" customHeight="false" outlineLevel="0" collapsed="false">
      <c r="A2243" s="1" t="str">
        <f aca="false">IF(对接源_02物料!$C1043="","",对接源_02物料!$C1043)</f>
        <v/>
      </c>
      <c r="B2243" s="1" t="n">
        <f aca="false">IF(A2243="",0,IF(MATCH(A2243,$A$4:$A$2403,0)=ROW()-3,1,0))</f>
        <v>0</v>
      </c>
      <c r="C2243" s="1" t="n">
        <f aca="false">N(C2242)+B2243</f>
        <v>17</v>
      </c>
      <c r="K2243" s="1" t="n">
        <f aca="false">IF(OR($K$1="",对接源_02物料!$C1043="",对接源_02物料!$C1043&lt;&gt;$K$1,对接源_02物料!$B1043=""),0,IF(OR(N(对接源_02物料!$B1043)&lt;$K$2,N(对接源_02物料!$B1043)&gt;$K$3),0,1))</f>
        <v>0</v>
      </c>
      <c r="L2243" s="1" t="n">
        <f aca="false">IF(OR($L$1="",对接源_02物料!$C1043="",对接源_02物料!$C1043&lt;&gt;$L$1,对接源_02物料!$B1043=""),0,IF(OR(N(对接源_02物料!$B1043)&lt;$L$2,N(对接源_02物料!$B1043)&gt;$L$3),0,1))</f>
        <v>0</v>
      </c>
      <c r="M2243" s="1" t="n">
        <f aca="false">IF(OR($M$1="",对接源_02物料!$C1043="",对接源_02物料!$C1043&lt;&gt;$M$1,对接源_02物料!$B1043=""),0,IF(OR(N(对接源_02物料!$B1043)&lt;$M$2,N(对接源_02物料!$B1043)&gt;$M$3),0,1))</f>
        <v>0</v>
      </c>
      <c r="N2243" s="1" t="n">
        <f aca="false">IF(OR($N$1="",对接源_02物料!$C1043="",对接源_02物料!$C1043&lt;&gt;$N$1,对接源_02物料!$B1043=""),0,IF(OR(N(对接源_02物料!$B1043)&lt;$N$2,N(对接源_02物料!$B1043)&gt;$N$3),0,1))</f>
        <v>0</v>
      </c>
      <c r="P2243" s="1" t="n">
        <f aca="false">IF(AND($K2243=1,AND(对接源_02物料!$X1043="公司筐",N(对接源_02物料!$T1043)&lt;&gt;0)),1,0)</f>
        <v>0</v>
      </c>
      <c r="Q2243" s="1" t="n">
        <f aca="false">N(Q2242)+$P2243</f>
        <v>13</v>
      </c>
      <c r="R2243" s="1" t="n">
        <f aca="false">IF(AND($K2243=1,AND(对接源_02物料!$X1043="公司筐",N(对接源_02物料!$U1043)&lt;&gt;0)),1,0)</f>
        <v>0</v>
      </c>
      <c r="S2243" s="1" t="n">
        <f aca="false">N(S2242)+$R2243</f>
        <v>5</v>
      </c>
      <c r="T2243" s="1" t="n">
        <f aca="false">IF(AND($K2243=1,AND(对接源_02物料!$X1043="公司筐",N(对接源_02物料!$V1043)&lt;&gt;0)),1,0)</f>
        <v>0</v>
      </c>
      <c r="U2243" s="1" t="n">
        <f aca="false">N(U2242)+$T2243</f>
        <v>28</v>
      </c>
      <c r="V2243" s="1" t="n">
        <f aca="false">IF(AND($L2243=1,AND(对接源_02物料!$X1043="自备筐",N(对接源_02物料!$V1043)&lt;&gt;0)),1,0)</f>
        <v>0</v>
      </c>
      <c r="W2243" s="1" t="n">
        <f aca="false">N(W2242)+$V2243</f>
        <v>7</v>
      </c>
      <c r="X2243" s="1" t="n">
        <f aca="false">IF(AND($L2243=1,AND(对接源_02物料!$X1043="自备筐",N(对接源_02物料!$T1043)&lt;&gt;0)),1,0)</f>
        <v>0</v>
      </c>
      <c r="Y2243" s="1" t="n">
        <f aca="false">N(Y2242)+$X2243</f>
        <v>0</v>
      </c>
      <c r="Z2243" s="1" t="n">
        <f aca="false">IF(AND($M2243=1,对接源_02物料!$D1043="原料入库"),1,0)</f>
        <v>0</v>
      </c>
      <c r="AA2243" s="1" t="n">
        <f aca="false">N(AA2242)+$Z2243</f>
        <v>30</v>
      </c>
      <c r="AB2243" s="1" t="n">
        <f aca="false">IF(AND($M2243=1,LEFT(对接源_02物料!$D1043,4)="原料出库"),1,0)</f>
        <v>0</v>
      </c>
      <c r="AC2243" s="1" t="n">
        <f aca="false">N(AC2242)+$AB2243</f>
        <v>19</v>
      </c>
      <c r="AD2243" s="1" t="n">
        <f aca="false">IF(AND($M2243=1,LEFT(对接源_02物料!$D1043,4)="成品出库"),1,0)</f>
        <v>0</v>
      </c>
      <c r="AE2243" s="1" t="n">
        <f aca="false">N(AE2242)+$AD2243</f>
        <v>38</v>
      </c>
      <c r="AF2243" s="1" t="n">
        <f aca="false">IF(AND($N2243=1,AND(LEFT(对接源_02物料!$D1043,4)="包装物料",N(对接源_02物料!$K1043)&lt;&gt;0)),1,0)</f>
        <v>0</v>
      </c>
      <c r="AG2243" s="1" t="n">
        <f aca="false">N(AG2242)+$AF2243</f>
        <v>6</v>
      </c>
      <c r="AH2243" s="1" t="n">
        <f aca="false">IF(AND($N2243=1,AND(LEFT(对接源_02物料!$D1043,3)="周转筐",N(对接源_02物料!$K1043)&lt;&gt;0)),1,0)</f>
        <v>0</v>
      </c>
      <c r="AI2243" s="1" t="n">
        <f aca="false">N(AI2242)+$AH2243</f>
        <v>0</v>
      </c>
      <c r="AJ2243" s="1" t="n">
        <v>0</v>
      </c>
      <c r="AK2243" s="1" t="n">
        <f aca="false">N(AK2242)+$AJ2243</f>
        <v>3672</v>
      </c>
    </row>
    <row r="2244" customFormat="false" ht="13.5" hidden="false" customHeight="false" outlineLevel="0" collapsed="false">
      <c r="A2244" s="1" t="str">
        <f aca="false">IF(对接源_02物料!$C1044="","",对接源_02物料!$C1044)</f>
        <v/>
      </c>
      <c r="B2244" s="1" t="n">
        <f aca="false">IF(A2244="",0,IF(MATCH(A2244,$A$4:$A$2403,0)=ROW()-3,1,0))</f>
        <v>0</v>
      </c>
      <c r="C2244" s="1" t="n">
        <f aca="false">N(C2243)+B2244</f>
        <v>17</v>
      </c>
      <c r="K2244" s="1" t="n">
        <f aca="false">IF(OR($K$1="",对接源_02物料!$C1044="",对接源_02物料!$C1044&lt;&gt;$K$1,对接源_02物料!$B1044=""),0,IF(OR(N(对接源_02物料!$B1044)&lt;$K$2,N(对接源_02物料!$B1044)&gt;$K$3),0,1))</f>
        <v>0</v>
      </c>
      <c r="L2244" s="1" t="n">
        <f aca="false">IF(OR($L$1="",对接源_02物料!$C1044="",对接源_02物料!$C1044&lt;&gt;$L$1,对接源_02物料!$B1044=""),0,IF(OR(N(对接源_02物料!$B1044)&lt;$L$2,N(对接源_02物料!$B1044)&gt;$L$3),0,1))</f>
        <v>0</v>
      </c>
      <c r="M2244" s="1" t="n">
        <f aca="false">IF(OR($M$1="",对接源_02物料!$C1044="",对接源_02物料!$C1044&lt;&gt;$M$1,对接源_02物料!$B1044=""),0,IF(OR(N(对接源_02物料!$B1044)&lt;$M$2,N(对接源_02物料!$B1044)&gt;$M$3),0,1))</f>
        <v>0</v>
      </c>
      <c r="N2244" s="1" t="n">
        <f aca="false">IF(OR($N$1="",对接源_02物料!$C1044="",对接源_02物料!$C1044&lt;&gt;$N$1,对接源_02物料!$B1044=""),0,IF(OR(N(对接源_02物料!$B1044)&lt;$N$2,N(对接源_02物料!$B1044)&gt;$N$3),0,1))</f>
        <v>0</v>
      </c>
      <c r="P2244" s="1" t="n">
        <f aca="false">IF(AND($K2244=1,AND(对接源_02物料!$X1044="公司筐",N(对接源_02物料!$T1044)&lt;&gt;0)),1,0)</f>
        <v>0</v>
      </c>
      <c r="Q2244" s="1" t="n">
        <f aca="false">N(Q2243)+$P2244</f>
        <v>13</v>
      </c>
      <c r="R2244" s="1" t="n">
        <f aca="false">IF(AND($K2244=1,AND(对接源_02物料!$X1044="公司筐",N(对接源_02物料!$U1044)&lt;&gt;0)),1,0)</f>
        <v>0</v>
      </c>
      <c r="S2244" s="1" t="n">
        <f aca="false">N(S2243)+$R2244</f>
        <v>5</v>
      </c>
      <c r="T2244" s="1" t="n">
        <f aca="false">IF(AND($K2244=1,AND(对接源_02物料!$X1044="公司筐",N(对接源_02物料!$V1044)&lt;&gt;0)),1,0)</f>
        <v>0</v>
      </c>
      <c r="U2244" s="1" t="n">
        <f aca="false">N(U2243)+$T2244</f>
        <v>28</v>
      </c>
      <c r="V2244" s="1" t="n">
        <f aca="false">IF(AND($L2244=1,AND(对接源_02物料!$X1044="自备筐",N(对接源_02物料!$V1044)&lt;&gt;0)),1,0)</f>
        <v>0</v>
      </c>
      <c r="W2244" s="1" t="n">
        <f aca="false">N(W2243)+$V2244</f>
        <v>7</v>
      </c>
      <c r="X2244" s="1" t="n">
        <f aca="false">IF(AND($L2244=1,AND(对接源_02物料!$X1044="自备筐",N(对接源_02物料!$T1044)&lt;&gt;0)),1,0)</f>
        <v>0</v>
      </c>
      <c r="Y2244" s="1" t="n">
        <f aca="false">N(Y2243)+$X2244</f>
        <v>0</v>
      </c>
      <c r="Z2244" s="1" t="n">
        <f aca="false">IF(AND($M2244=1,对接源_02物料!$D1044="原料入库"),1,0)</f>
        <v>0</v>
      </c>
      <c r="AA2244" s="1" t="n">
        <f aca="false">N(AA2243)+$Z2244</f>
        <v>30</v>
      </c>
      <c r="AB2244" s="1" t="n">
        <f aca="false">IF(AND($M2244=1,LEFT(对接源_02物料!$D1044,4)="原料出库"),1,0)</f>
        <v>0</v>
      </c>
      <c r="AC2244" s="1" t="n">
        <f aca="false">N(AC2243)+$AB2244</f>
        <v>19</v>
      </c>
      <c r="AD2244" s="1" t="n">
        <f aca="false">IF(AND($M2244=1,LEFT(对接源_02物料!$D1044,4)="成品出库"),1,0)</f>
        <v>0</v>
      </c>
      <c r="AE2244" s="1" t="n">
        <f aca="false">N(AE2243)+$AD2244</f>
        <v>38</v>
      </c>
      <c r="AF2244" s="1" t="n">
        <f aca="false">IF(AND($N2244=1,AND(LEFT(对接源_02物料!$D1044,4)="包装物料",N(对接源_02物料!$K1044)&lt;&gt;0)),1,0)</f>
        <v>0</v>
      </c>
      <c r="AG2244" s="1" t="n">
        <f aca="false">N(AG2243)+$AF2244</f>
        <v>6</v>
      </c>
      <c r="AH2244" s="1" t="n">
        <f aca="false">IF(AND($N2244=1,AND(LEFT(对接源_02物料!$D1044,3)="周转筐",N(对接源_02物料!$K1044)&lt;&gt;0)),1,0)</f>
        <v>0</v>
      </c>
      <c r="AI2244" s="1" t="n">
        <f aca="false">N(AI2243)+$AH2244</f>
        <v>0</v>
      </c>
      <c r="AJ2244" s="1" t="n">
        <v>0</v>
      </c>
      <c r="AK2244" s="1" t="n">
        <f aca="false">N(AK2243)+$AJ2244</f>
        <v>3672</v>
      </c>
    </row>
    <row r="2245" customFormat="false" ht="13.5" hidden="false" customHeight="false" outlineLevel="0" collapsed="false">
      <c r="A2245" s="1" t="str">
        <f aca="false">IF(对接源_02物料!$C1045="","",对接源_02物料!$C1045)</f>
        <v/>
      </c>
      <c r="B2245" s="1" t="n">
        <f aca="false">IF(A2245="",0,IF(MATCH(A2245,$A$4:$A$2403,0)=ROW()-3,1,0))</f>
        <v>0</v>
      </c>
      <c r="C2245" s="1" t="n">
        <f aca="false">N(C2244)+B2245</f>
        <v>17</v>
      </c>
      <c r="K2245" s="1" t="n">
        <f aca="false">IF(OR($K$1="",对接源_02物料!$C1045="",对接源_02物料!$C1045&lt;&gt;$K$1,对接源_02物料!$B1045=""),0,IF(OR(N(对接源_02物料!$B1045)&lt;$K$2,N(对接源_02物料!$B1045)&gt;$K$3),0,1))</f>
        <v>0</v>
      </c>
      <c r="L2245" s="1" t="n">
        <f aca="false">IF(OR($L$1="",对接源_02物料!$C1045="",对接源_02物料!$C1045&lt;&gt;$L$1,对接源_02物料!$B1045=""),0,IF(OR(N(对接源_02物料!$B1045)&lt;$L$2,N(对接源_02物料!$B1045)&gt;$L$3),0,1))</f>
        <v>0</v>
      </c>
      <c r="M2245" s="1" t="n">
        <f aca="false">IF(OR($M$1="",对接源_02物料!$C1045="",对接源_02物料!$C1045&lt;&gt;$M$1,对接源_02物料!$B1045=""),0,IF(OR(N(对接源_02物料!$B1045)&lt;$M$2,N(对接源_02物料!$B1045)&gt;$M$3),0,1))</f>
        <v>0</v>
      </c>
      <c r="N2245" s="1" t="n">
        <f aca="false">IF(OR($N$1="",对接源_02物料!$C1045="",对接源_02物料!$C1045&lt;&gt;$N$1,对接源_02物料!$B1045=""),0,IF(OR(N(对接源_02物料!$B1045)&lt;$N$2,N(对接源_02物料!$B1045)&gt;$N$3),0,1))</f>
        <v>0</v>
      </c>
      <c r="P2245" s="1" t="n">
        <f aca="false">IF(AND($K2245=1,AND(对接源_02物料!$X1045="公司筐",N(对接源_02物料!$T1045)&lt;&gt;0)),1,0)</f>
        <v>0</v>
      </c>
      <c r="Q2245" s="1" t="n">
        <f aca="false">N(Q2244)+$P2245</f>
        <v>13</v>
      </c>
      <c r="R2245" s="1" t="n">
        <f aca="false">IF(AND($K2245=1,AND(对接源_02物料!$X1045="公司筐",N(对接源_02物料!$U1045)&lt;&gt;0)),1,0)</f>
        <v>0</v>
      </c>
      <c r="S2245" s="1" t="n">
        <f aca="false">N(S2244)+$R2245</f>
        <v>5</v>
      </c>
      <c r="T2245" s="1" t="n">
        <f aca="false">IF(AND($K2245=1,AND(对接源_02物料!$X1045="公司筐",N(对接源_02物料!$V1045)&lt;&gt;0)),1,0)</f>
        <v>0</v>
      </c>
      <c r="U2245" s="1" t="n">
        <f aca="false">N(U2244)+$T2245</f>
        <v>28</v>
      </c>
      <c r="V2245" s="1" t="n">
        <f aca="false">IF(AND($L2245=1,AND(对接源_02物料!$X1045="自备筐",N(对接源_02物料!$V1045)&lt;&gt;0)),1,0)</f>
        <v>0</v>
      </c>
      <c r="W2245" s="1" t="n">
        <f aca="false">N(W2244)+$V2245</f>
        <v>7</v>
      </c>
      <c r="X2245" s="1" t="n">
        <f aca="false">IF(AND($L2245=1,AND(对接源_02物料!$X1045="自备筐",N(对接源_02物料!$T1045)&lt;&gt;0)),1,0)</f>
        <v>0</v>
      </c>
      <c r="Y2245" s="1" t="n">
        <f aca="false">N(Y2244)+$X2245</f>
        <v>0</v>
      </c>
      <c r="Z2245" s="1" t="n">
        <f aca="false">IF(AND($M2245=1,对接源_02物料!$D1045="原料入库"),1,0)</f>
        <v>0</v>
      </c>
      <c r="AA2245" s="1" t="n">
        <f aca="false">N(AA2244)+$Z2245</f>
        <v>30</v>
      </c>
      <c r="AB2245" s="1" t="n">
        <f aca="false">IF(AND($M2245=1,LEFT(对接源_02物料!$D1045,4)="原料出库"),1,0)</f>
        <v>0</v>
      </c>
      <c r="AC2245" s="1" t="n">
        <f aca="false">N(AC2244)+$AB2245</f>
        <v>19</v>
      </c>
      <c r="AD2245" s="1" t="n">
        <f aca="false">IF(AND($M2245=1,LEFT(对接源_02物料!$D1045,4)="成品出库"),1,0)</f>
        <v>0</v>
      </c>
      <c r="AE2245" s="1" t="n">
        <f aca="false">N(AE2244)+$AD2245</f>
        <v>38</v>
      </c>
      <c r="AF2245" s="1" t="n">
        <f aca="false">IF(AND($N2245=1,AND(LEFT(对接源_02物料!$D1045,4)="包装物料",N(对接源_02物料!$K1045)&lt;&gt;0)),1,0)</f>
        <v>0</v>
      </c>
      <c r="AG2245" s="1" t="n">
        <f aca="false">N(AG2244)+$AF2245</f>
        <v>6</v>
      </c>
      <c r="AH2245" s="1" t="n">
        <f aca="false">IF(AND($N2245=1,AND(LEFT(对接源_02物料!$D1045,3)="周转筐",N(对接源_02物料!$K1045)&lt;&gt;0)),1,0)</f>
        <v>0</v>
      </c>
      <c r="AI2245" s="1" t="n">
        <f aca="false">N(AI2244)+$AH2245</f>
        <v>0</v>
      </c>
      <c r="AJ2245" s="1" t="n">
        <v>0</v>
      </c>
      <c r="AK2245" s="1" t="n">
        <f aca="false">N(AK2244)+$AJ2245</f>
        <v>3672</v>
      </c>
    </row>
    <row r="2246" customFormat="false" ht="13.5" hidden="false" customHeight="false" outlineLevel="0" collapsed="false">
      <c r="A2246" s="1" t="str">
        <f aca="false">IF(对接源_02物料!$C1046="","",对接源_02物料!$C1046)</f>
        <v/>
      </c>
      <c r="B2246" s="1" t="n">
        <f aca="false">IF(A2246="",0,IF(MATCH(A2246,$A$4:$A$2403,0)=ROW()-3,1,0))</f>
        <v>0</v>
      </c>
      <c r="C2246" s="1" t="n">
        <f aca="false">N(C2245)+B2246</f>
        <v>17</v>
      </c>
      <c r="K2246" s="1" t="n">
        <f aca="false">IF(OR($K$1="",对接源_02物料!$C1046="",对接源_02物料!$C1046&lt;&gt;$K$1,对接源_02物料!$B1046=""),0,IF(OR(N(对接源_02物料!$B1046)&lt;$K$2,N(对接源_02物料!$B1046)&gt;$K$3),0,1))</f>
        <v>0</v>
      </c>
      <c r="L2246" s="1" t="n">
        <f aca="false">IF(OR($L$1="",对接源_02物料!$C1046="",对接源_02物料!$C1046&lt;&gt;$L$1,对接源_02物料!$B1046=""),0,IF(OR(N(对接源_02物料!$B1046)&lt;$L$2,N(对接源_02物料!$B1046)&gt;$L$3),0,1))</f>
        <v>0</v>
      </c>
      <c r="M2246" s="1" t="n">
        <f aca="false">IF(OR($M$1="",对接源_02物料!$C1046="",对接源_02物料!$C1046&lt;&gt;$M$1,对接源_02物料!$B1046=""),0,IF(OR(N(对接源_02物料!$B1046)&lt;$M$2,N(对接源_02物料!$B1046)&gt;$M$3),0,1))</f>
        <v>0</v>
      </c>
      <c r="N2246" s="1" t="n">
        <f aca="false">IF(OR($N$1="",对接源_02物料!$C1046="",对接源_02物料!$C1046&lt;&gt;$N$1,对接源_02物料!$B1046=""),0,IF(OR(N(对接源_02物料!$B1046)&lt;$N$2,N(对接源_02物料!$B1046)&gt;$N$3),0,1))</f>
        <v>0</v>
      </c>
      <c r="P2246" s="1" t="n">
        <f aca="false">IF(AND($K2246=1,AND(对接源_02物料!$X1046="公司筐",N(对接源_02物料!$T1046)&lt;&gt;0)),1,0)</f>
        <v>0</v>
      </c>
      <c r="Q2246" s="1" t="n">
        <f aca="false">N(Q2245)+$P2246</f>
        <v>13</v>
      </c>
      <c r="R2246" s="1" t="n">
        <f aca="false">IF(AND($K2246=1,AND(对接源_02物料!$X1046="公司筐",N(对接源_02物料!$U1046)&lt;&gt;0)),1,0)</f>
        <v>0</v>
      </c>
      <c r="S2246" s="1" t="n">
        <f aca="false">N(S2245)+$R2246</f>
        <v>5</v>
      </c>
      <c r="T2246" s="1" t="n">
        <f aca="false">IF(AND($K2246=1,AND(对接源_02物料!$X1046="公司筐",N(对接源_02物料!$V1046)&lt;&gt;0)),1,0)</f>
        <v>0</v>
      </c>
      <c r="U2246" s="1" t="n">
        <f aca="false">N(U2245)+$T2246</f>
        <v>28</v>
      </c>
      <c r="V2246" s="1" t="n">
        <f aca="false">IF(AND($L2246=1,AND(对接源_02物料!$X1046="自备筐",N(对接源_02物料!$V1046)&lt;&gt;0)),1,0)</f>
        <v>0</v>
      </c>
      <c r="W2246" s="1" t="n">
        <f aca="false">N(W2245)+$V2246</f>
        <v>7</v>
      </c>
      <c r="X2246" s="1" t="n">
        <f aca="false">IF(AND($L2246=1,AND(对接源_02物料!$X1046="自备筐",N(对接源_02物料!$T1046)&lt;&gt;0)),1,0)</f>
        <v>0</v>
      </c>
      <c r="Y2246" s="1" t="n">
        <f aca="false">N(Y2245)+$X2246</f>
        <v>0</v>
      </c>
      <c r="Z2246" s="1" t="n">
        <f aca="false">IF(AND($M2246=1,对接源_02物料!$D1046="原料入库"),1,0)</f>
        <v>0</v>
      </c>
      <c r="AA2246" s="1" t="n">
        <f aca="false">N(AA2245)+$Z2246</f>
        <v>30</v>
      </c>
      <c r="AB2246" s="1" t="n">
        <f aca="false">IF(AND($M2246=1,LEFT(对接源_02物料!$D1046,4)="原料出库"),1,0)</f>
        <v>0</v>
      </c>
      <c r="AC2246" s="1" t="n">
        <f aca="false">N(AC2245)+$AB2246</f>
        <v>19</v>
      </c>
      <c r="AD2246" s="1" t="n">
        <f aca="false">IF(AND($M2246=1,LEFT(对接源_02物料!$D1046,4)="成品出库"),1,0)</f>
        <v>0</v>
      </c>
      <c r="AE2246" s="1" t="n">
        <f aca="false">N(AE2245)+$AD2246</f>
        <v>38</v>
      </c>
      <c r="AF2246" s="1" t="n">
        <f aca="false">IF(AND($N2246=1,AND(LEFT(对接源_02物料!$D1046,4)="包装物料",N(对接源_02物料!$K1046)&lt;&gt;0)),1,0)</f>
        <v>0</v>
      </c>
      <c r="AG2246" s="1" t="n">
        <f aca="false">N(AG2245)+$AF2246</f>
        <v>6</v>
      </c>
      <c r="AH2246" s="1" t="n">
        <f aca="false">IF(AND($N2246=1,AND(LEFT(对接源_02物料!$D1046,3)="周转筐",N(对接源_02物料!$K1046)&lt;&gt;0)),1,0)</f>
        <v>0</v>
      </c>
      <c r="AI2246" s="1" t="n">
        <f aca="false">N(AI2245)+$AH2246</f>
        <v>0</v>
      </c>
      <c r="AJ2246" s="1" t="n">
        <v>0</v>
      </c>
      <c r="AK2246" s="1" t="n">
        <f aca="false">N(AK2245)+$AJ2246</f>
        <v>3672</v>
      </c>
    </row>
    <row r="2247" customFormat="false" ht="13.5" hidden="false" customHeight="false" outlineLevel="0" collapsed="false">
      <c r="A2247" s="1" t="str">
        <f aca="false">IF(对接源_02物料!$C1047="","",对接源_02物料!$C1047)</f>
        <v/>
      </c>
      <c r="B2247" s="1" t="n">
        <f aca="false">IF(A2247="",0,IF(MATCH(A2247,$A$4:$A$2403,0)=ROW()-3,1,0))</f>
        <v>0</v>
      </c>
      <c r="C2247" s="1" t="n">
        <f aca="false">N(C2246)+B2247</f>
        <v>17</v>
      </c>
      <c r="K2247" s="1" t="n">
        <f aca="false">IF(OR($K$1="",对接源_02物料!$C1047="",对接源_02物料!$C1047&lt;&gt;$K$1,对接源_02物料!$B1047=""),0,IF(OR(N(对接源_02物料!$B1047)&lt;$K$2,N(对接源_02物料!$B1047)&gt;$K$3),0,1))</f>
        <v>0</v>
      </c>
      <c r="L2247" s="1" t="n">
        <f aca="false">IF(OR($L$1="",对接源_02物料!$C1047="",对接源_02物料!$C1047&lt;&gt;$L$1,对接源_02物料!$B1047=""),0,IF(OR(N(对接源_02物料!$B1047)&lt;$L$2,N(对接源_02物料!$B1047)&gt;$L$3),0,1))</f>
        <v>0</v>
      </c>
      <c r="M2247" s="1" t="n">
        <f aca="false">IF(OR($M$1="",对接源_02物料!$C1047="",对接源_02物料!$C1047&lt;&gt;$M$1,对接源_02物料!$B1047=""),0,IF(OR(N(对接源_02物料!$B1047)&lt;$M$2,N(对接源_02物料!$B1047)&gt;$M$3),0,1))</f>
        <v>0</v>
      </c>
      <c r="N2247" s="1" t="n">
        <f aca="false">IF(OR($N$1="",对接源_02物料!$C1047="",对接源_02物料!$C1047&lt;&gt;$N$1,对接源_02物料!$B1047=""),0,IF(OR(N(对接源_02物料!$B1047)&lt;$N$2,N(对接源_02物料!$B1047)&gt;$N$3),0,1))</f>
        <v>0</v>
      </c>
      <c r="P2247" s="1" t="n">
        <f aca="false">IF(AND($K2247=1,AND(对接源_02物料!$X1047="公司筐",N(对接源_02物料!$T1047)&lt;&gt;0)),1,0)</f>
        <v>0</v>
      </c>
      <c r="Q2247" s="1" t="n">
        <f aca="false">N(Q2246)+$P2247</f>
        <v>13</v>
      </c>
      <c r="R2247" s="1" t="n">
        <f aca="false">IF(AND($K2247=1,AND(对接源_02物料!$X1047="公司筐",N(对接源_02物料!$U1047)&lt;&gt;0)),1,0)</f>
        <v>0</v>
      </c>
      <c r="S2247" s="1" t="n">
        <f aca="false">N(S2246)+$R2247</f>
        <v>5</v>
      </c>
      <c r="T2247" s="1" t="n">
        <f aca="false">IF(AND($K2247=1,AND(对接源_02物料!$X1047="公司筐",N(对接源_02物料!$V1047)&lt;&gt;0)),1,0)</f>
        <v>0</v>
      </c>
      <c r="U2247" s="1" t="n">
        <f aca="false">N(U2246)+$T2247</f>
        <v>28</v>
      </c>
      <c r="V2247" s="1" t="n">
        <f aca="false">IF(AND($L2247=1,AND(对接源_02物料!$X1047="自备筐",N(对接源_02物料!$V1047)&lt;&gt;0)),1,0)</f>
        <v>0</v>
      </c>
      <c r="W2247" s="1" t="n">
        <f aca="false">N(W2246)+$V2247</f>
        <v>7</v>
      </c>
      <c r="X2247" s="1" t="n">
        <f aca="false">IF(AND($L2247=1,AND(对接源_02物料!$X1047="自备筐",N(对接源_02物料!$T1047)&lt;&gt;0)),1,0)</f>
        <v>0</v>
      </c>
      <c r="Y2247" s="1" t="n">
        <f aca="false">N(Y2246)+$X2247</f>
        <v>0</v>
      </c>
      <c r="Z2247" s="1" t="n">
        <f aca="false">IF(AND($M2247=1,对接源_02物料!$D1047="原料入库"),1,0)</f>
        <v>0</v>
      </c>
      <c r="AA2247" s="1" t="n">
        <f aca="false">N(AA2246)+$Z2247</f>
        <v>30</v>
      </c>
      <c r="AB2247" s="1" t="n">
        <f aca="false">IF(AND($M2247=1,LEFT(对接源_02物料!$D1047,4)="原料出库"),1,0)</f>
        <v>0</v>
      </c>
      <c r="AC2247" s="1" t="n">
        <f aca="false">N(AC2246)+$AB2247</f>
        <v>19</v>
      </c>
      <c r="AD2247" s="1" t="n">
        <f aca="false">IF(AND($M2247=1,LEFT(对接源_02物料!$D1047,4)="成品出库"),1,0)</f>
        <v>0</v>
      </c>
      <c r="AE2247" s="1" t="n">
        <f aca="false">N(AE2246)+$AD2247</f>
        <v>38</v>
      </c>
      <c r="AF2247" s="1" t="n">
        <f aca="false">IF(AND($N2247=1,AND(LEFT(对接源_02物料!$D1047,4)="包装物料",N(对接源_02物料!$K1047)&lt;&gt;0)),1,0)</f>
        <v>0</v>
      </c>
      <c r="AG2247" s="1" t="n">
        <f aca="false">N(AG2246)+$AF2247</f>
        <v>6</v>
      </c>
      <c r="AH2247" s="1" t="n">
        <f aca="false">IF(AND($N2247=1,AND(LEFT(对接源_02物料!$D1047,3)="周转筐",N(对接源_02物料!$K1047)&lt;&gt;0)),1,0)</f>
        <v>0</v>
      </c>
      <c r="AI2247" s="1" t="n">
        <f aca="false">N(AI2246)+$AH2247</f>
        <v>0</v>
      </c>
      <c r="AJ2247" s="1" t="n">
        <v>0</v>
      </c>
      <c r="AK2247" s="1" t="n">
        <f aca="false">N(AK2246)+$AJ2247</f>
        <v>3672</v>
      </c>
    </row>
    <row r="2248" customFormat="false" ht="13.5" hidden="false" customHeight="false" outlineLevel="0" collapsed="false">
      <c r="A2248" s="1" t="str">
        <f aca="false">IF(对接源_02物料!$C1048="","",对接源_02物料!$C1048)</f>
        <v/>
      </c>
      <c r="B2248" s="1" t="n">
        <f aca="false">IF(A2248="",0,IF(MATCH(A2248,$A$4:$A$2403,0)=ROW()-3,1,0))</f>
        <v>0</v>
      </c>
      <c r="C2248" s="1" t="n">
        <f aca="false">N(C2247)+B2248</f>
        <v>17</v>
      </c>
      <c r="K2248" s="1" t="n">
        <f aca="false">IF(OR($K$1="",对接源_02物料!$C1048="",对接源_02物料!$C1048&lt;&gt;$K$1,对接源_02物料!$B1048=""),0,IF(OR(N(对接源_02物料!$B1048)&lt;$K$2,N(对接源_02物料!$B1048)&gt;$K$3),0,1))</f>
        <v>0</v>
      </c>
      <c r="L2248" s="1" t="n">
        <f aca="false">IF(OR($L$1="",对接源_02物料!$C1048="",对接源_02物料!$C1048&lt;&gt;$L$1,对接源_02物料!$B1048=""),0,IF(OR(N(对接源_02物料!$B1048)&lt;$L$2,N(对接源_02物料!$B1048)&gt;$L$3),0,1))</f>
        <v>0</v>
      </c>
      <c r="M2248" s="1" t="n">
        <f aca="false">IF(OR($M$1="",对接源_02物料!$C1048="",对接源_02物料!$C1048&lt;&gt;$M$1,对接源_02物料!$B1048=""),0,IF(OR(N(对接源_02物料!$B1048)&lt;$M$2,N(对接源_02物料!$B1048)&gt;$M$3),0,1))</f>
        <v>0</v>
      </c>
      <c r="N2248" s="1" t="n">
        <f aca="false">IF(OR($N$1="",对接源_02物料!$C1048="",对接源_02物料!$C1048&lt;&gt;$N$1,对接源_02物料!$B1048=""),0,IF(OR(N(对接源_02物料!$B1048)&lt;$N$2,N(对接源_02物料!$B1048)&gt;$N$3),0,1))</f>
        <v>0</v>
      </c>
      <c r="P2248" s="1" t="n">
        <f aca="false">IF(AND($K2248=1,AND(对接源_02物料!$X1048="公司筐",N(对接源_02物料!$T1048)&lt;&gt;0)),1,0)</f>
        <v>0</v>
      </c>
      <c r="Q2248" s="1" t="n">
        <f aca="false">N(Q2247)+$P2248</f>
        <v>13</v>
      </c>
      <c r="R2248" s="1" t="n">
        <f aca="false">IF(AND($K2248=1,AND(对接源_02物料!$X1048="公司筐",N(对接源_02物料!$U1048)&lt;&gt;0)),1,0)</f>
        <v>0</v>
      </c>
      <c r="S2248" s="1" t="n">
        <f aca="false">N(S2247)+$R2248</f>
        <v>5</v>
      </c>
      <c r="T2248" s="1" t="n">
        <f aca="false">IF(AND($K2248=1,AND(对接源_02物料!$X1048="公司筐",N(对接源_02物料!$V1048)&lt;&gt;0)),1,0)</f>
        <v>0</v>
      </c>
      <c r="U2248" s="1" t="n">
        <f aca="false">N(U2247)+$T2248</f>
        <v>28</v>
      </c>
      <c r="V2248" s="1" t="n">
        <f aca="false">IF(AND($L2248=1,AND(对接源_02物料!$X1048="自备筐",N(对接源_02物料!$V1048)&lt;&gt;0)),1,0)</f>
        <v>0</v>
      </c>
      <c r="W2248" s="1" t="n">
        <f aca="false">N(W2247)+$V2248</f>
        <v>7</v>
      </c>
      <c r="X2248" s="1" t="n">
        <f aca="false">IF(AND($L2248=1,AND(对接源_02物料!$X1048="自备筐",N(对接源_02物料!$T1048)&lt;&gt;0)),1,0)</f>
        <v>0</v>
      </c>
      <c r="Y2248" s="1" t="n">
        <f aca="false">N(Y2247)+$X2248</f>
        <v>0</v>
      </c>
      <c r="Z2248" s="1" t="n">
        <f aca="false">IF(AND($M2248=1,对接源_02物料!$D1048="原料入库"),1,0)</f>
        <v>0</v>
      </c>
      <c r="AA2248" s="1" t="n">
        <f aca="false">N(AA2247)+$Z2248</f>
        <v>30</v>
      </c>
      <c r="AB2248" s="1" t="n">
        <f aca="false">IF(AND($M2248=1,LEFT(对接源_02物料!$D1048,4)="原料出库"),1,0)</f>
        <v>0</v>
      </c>
      <c r="AC2248" s="1" t="n">
        <f aca="false">N(AC2247)+$AB2248</f>
        <v>19</v>
      </c>
      <c r="AD2248" s="1" t="n">
        <f aca="false">IF(AND($M2248=1,LEFT(对接源_02物料!$D1048,4)="成品出库"),1,0)</f>
        <v>0</v>
      </c>
      <c r="AE2248" s="1" t="n">
        <f aca="false">N(AE2247)+$AD2248</f>
        <v>38</v>
      </c>
      <c r="AF2248" s="1" t="n">
        <f aca="false">IF(AND($N2248=1,AND(LEFT(对接源_02物料!$D1048,4)="包装物料",N(对接源_02物料!$K1048)&lt;&gt;0)),1,0)</f>
        <v>0</v>
      </c>
      <c r="AG2248" s="1" t="n">
        <f aca="false">N(AG2247)+$AF2248</f>
        <v>6</v>
      </c>
      <c r="AH2248" s="1" t="n">
        <f aca="false">IF(AND($N2248=1,AND(LEFT(对接源_02物料!$D1048,3)="周转筐",N(对接源_02物料!$K1048)&lt;&gt;0)),1,0)</f>
        <v>0</v>
      </c>
      <c r="AI2248" s="1" t="n">
        <f aca="false">N(AI2247)+$AH2248</f>
        <v>0</v>
      </c>
      <c r="AJ2248" s="1" t="n">
        <v>0</v>
      </c>
      <c r="AK2248" s="1" t="n">
        <f aca="false">N(AK2247)+$AJ2248</f>
        <v>3672</v>
      </c>
    </row>
    <row r="2249" customFormat="false" ht="13.5" hidden="false" customHeight="false" outlineLevel="0" collapsed="false">
      <c r="A2249" s="1" t="str">
        <f aca="false">IF(对接源_02物料!$C1049="","",对接源_02物料!$C1049)</f>
        <v/>
      </c>
      <c r="B2249" s="1" t="n">
        <f aca="false">IF(A2249="",0,IF(MATCH(A2249,$A$4:$A$2403,0)=ROW()-3,1,0))</f>
        <v>0</v>
      </c>
      <c r="C2249" s="1" t="n">
        <f aca="false">N(C2248)+B2249</f>
        <v>17</v>
      </c>
      <c r="K2249" s="1" t="n">
        <f aca="false">IF(OR($K$1="",对接源_02物料!$C1049="",对接源_02物料!$C1049&lt;&gt;$K$1,对接源_02物料!$B1049=""),0,IF(OR(N(对接源_02物料!$B1049)&lt;$K$2,N(对接源_02物料!$B1049)&gt;$K$3),0,1))</f>
        <v>0</v>
      </c>
      <c r="L2249" s="1" t="n">
        <f aca="false">IF(OR($L$1="",对接源_02物料!$C1049="",对接源_02物料!$C1049&lt;&gt;$L$1,对接源_02物料!$B1049=""),0,IF(OR(N(对接源_02物料!$B1049)&lt;$L$2,N(对接源_02物料!$B1049)&gt;$L$3),0,1))</f>
        <v>0</v>
      </c>
      <c r="M2249" s="1" t="n">
        <f aca="false">IF(OR($M$1="",对接源_02物料!$C1049="",对接源_02物料!$C1049&lt;&gt;$M$1,对接源_02物料!$B1049=""),0,IF(OR(N(对接源_02物料!$B1049)&lt;$M$2,N(对接源_02物料!$B1049)&gt;$M$3),0,1))</f>
        <v>0</v>
      </c>
      <c r="N2249" s="1" t="n">
        <f aca="false">IF(OR($N$1="",对接源_02物料!$C1049="",对接源_02物料!$C1049&lt;&gt;$N$1,对接源_02物料!$B1049=""),0,IF(OR(N(对接源_02物料!$B1049)&lt;$N$2,N(对接源_02物料!$B1049)&gt;$N$3),0,1))</f>
        <v>0</v>
      </c>
      <c r="P2249" s="1" t="n">
        <f aca="false">IF(AND($K2249=1,AND(对接源_02物料!$X1049="公司筐",N(对接源_02物料!$T1049)&lt;&gt;0)),1,0)</f>
        <v>0</v>
      </c>
      <c r="Q2249" s="1" t="n">
        <f aca="false">N(Q2248)+$P2249</f>
        <v>13</v>
      </c>
      <c r="R2249" s="1" t="n">
        <f aca="false">IF(AND($K2249=1,AND(对接源_02物料!$X1049="公司筐",N(对接源_02物料!$U1049)&lt;&gt;0)),1,0)</f>
        <v>0</v>
      </c>
      <c r="S2249" s="1" t="n">
        <f aca="false">N(S2248)+$R2249</f>
        <v>5</v>
      </c>
      <c r="T2249" s="1" t="n">
        <f aca="false">IF(AND($K2249=1,AND(对接源_02物料!$X1049="公司筐",N(对接源_02物料!$V1049)&lt;&gt;0)),1,0)</f>
        <v>0</v>
      </c>
      <c r="U2249" s="1" t="n">
        <f aca="false">N(U2248)+$T2249</f>
        <v>28</v>
      </c>
      <c r="V2249" s="1" t="n">
        <f aca="false">IF(AND($L2249=1,AND(对接源_02物料!$X1049="自备筐",N(对接源_02物料!$V1049)&lt;&gt;0)),1,0)</f>
        <v>0</v>
      </c>
      <c r="W2249" s="1" t="n">
        <f aca="false">N(W2248)+$V2249</f>
        <v>7</v>
      </c>
      <c r="X2249" s="1" t="n">
        <f aca="false">IF(AND($L2249=1,AND(对接源_02物料!$X1049="自备筐",N(对接源_02物料!$T1049)&lt;&gt;0)),1,0)</f>
        <v>0</v>
      </c>
      <c r="Y2249" s="1" t="n">
        <f aca="false">N(Y2248)+$X2249</f>
        <v>0</v>
      </c>
      <c r="Z2249" s="1" t="n">
        <f aca="false">IF(AND($M2249=1,对接源_02物料!$D1049="原料入库"),1,0)</f>
        <v>0</v>
      </c>
      <c r="AA2249" s="1" t="n">
        <f aca="false">N(AA2248)+$Z2249</f>
        <v>30</v>
      </c>
      <c r="AB2249" s="1" t="n">
        <f aca="false">IF(AND($M2249=1,LEFT(对接源_02物料!$D1049,4)="原料出库"),1,0)</f>
        <v>0</v>
      </c>
      <c r="AC2249" s="1" t="n">
        <f aca="false">N(AC2248)+$AB2249</f>
        <v>19</v>
      </c>
      <c r="AD2249" s="1" t="n">
        <f aca="false">IF(AND($M2249=1,LEFT(对接源_02物料!$D1049,4)="成品出库"),1,0)</f>
        <v>0</v>
      </c>
      <c r="AE2249" s="1" t="n">
        <f aca="false">N(AE2248)+$AD2249</f>
        <v>38</v>
      </c>
      <c r="AF2249" s="1" t="n">
        <f aca="false">IF(AND($N2249=1,AND(LEFT(对接源_02物料!$D1049,4)="包装物料",N(对接源_02物料!$K1049)&lt;&gt;0)),1,0)</f>
        <v>0</v>
      </c>
      <c r="AG2249" s="1" t="n">
        <f aca="false">N(AG2248)+$AF2249</f>
        <v>6</v>
      </c>
      <c r="AH2249" s="1" t="n">
        <f aca="false">IF(AND($N2249=1,AND(LEFT(对接源_02物料!$D1049,3)="周转筐",N(对接源_02物料!$K1049)&lt;&gt;0)),1,0)</f>
        <v>0</v>
      </c>
      <c r="AI2249" s="1" t="n">
        <f aca="false">N(AI2248)+$AH2249</f>
        <v>0</v>
      </c>
      <c r="AJ2249" s="1" t="n">
        <v>0</v>
      </c>
      <c r="AK2249" s="1" t="n">
        <f aca="false">N(AK2248)+$AJ2249</f>
        <v>3672</v>
      </c>
    </row>
    <row r="2250" customFormat="false" ht="13.5" hidden="false" customHeight="false" outlineLevel="0" collapsed="false">
      <c r="A2250" s="1" t="str">
        <f aca="false">IF(对接源_02物料!$C1050="","",对接源_02物料!$C1050)</f>
        <v/>
      </c>
      <c r="B2250" s="1" t="n">
        <f aca="false">IF(A2250="",0,IF(MATCH(A2250,$A$4:$A$2403,0)=ROW()-3,1,0))</f>
        <v>0</v>
      </c>
      <c r="C2250" s="1" t="n">
        <f aca="false">N(C2249)+B2250</f>
        <v>17</v>
      </c>
      <c r="K2250" s="1" t="n">
        <f aca="false">IF(OR($K$1="",对接源_02物料!$C1050="",对接源_02物料!$C1050&lt;&gt;$K$1,对接源_02物料!$B1050=""),0,IF(OR(N(对接源_02物料!$B1050)&lt;$K$2,N(对接源_02物料!$B1050)&gt;$K$3),0,1))</f>
        <v>0</v>
      </c>
      <c r="L2250" s="1" t="n">
        <f aca="false">IF(OR($L$1="",对接源_02物料!$C1050="",对接源_02物料!$C1050&lt;&gt;$L$1,对接源_02物料!$B1050=""),0,IF(OR(N(对接源_02物料!$B1050)&lt;$L$2,N(对接源_02物料!$B1050)&gt;$L$3),0,1))</f>
        <v>0</v>
      </c>
      <c r="M2250" s="1" t="n">
        <f aca="false">IF(OR($M$1="",对接源_02物料!$C1050="",对接源_02物料!$C1050&lt;&gt;$M$1,对接源_02物料!$B1050=""),0,IF(OR(N(对接源_02物料!$B1050)&lt;$M$2,N(对接源_02物料!$B1050)&gt;$M$3),0,1))</f>
        <v>0</v>
      </c>
      <c r="N2250" s="1" t="n">
        <f aca="false">IF(OR($N$1="",对接源_02物料!$C1050="",对接源_02物料!$C1050&lt;&gt;$N$1,对接源_02物料!$B1050=""),0,IF(OR(N(对接源_02物料!$B1050)&lt;$N$2,N(对接源_02物料!$B1050)&gt;$N$3),0,1))</f>
        <v>0</v>
      </c>
      <c r="P2250" s="1" t="n">
        <f aca="false">IF(AND($K2250=1,AND(对接源_02物料!$X1050="公司筐",N(对接源_02物料!$T1050)&lt;&gt;0)),1,0)</f>
        <v>0</v>
      </c>
      <c r="Q2250" s="1" t="n">
        <f aca="false">N(Q2249)+$P2250</f>
        <v>13</v>
      </c>
      <c r="R2250" s="1" t="n">
        <f aca="false">IF(AND($K2250=1,AND(对接源_02物料!$X1050="公司筐",N(对接源_02物料!$U1050)&lt;&gt;0)),1,0)</f>
        <v>0</v>
      </c>
      <c r="S2250" s="1" t="n">
        <f aca="false">N(S2249)+$R2250</f>
        <v>5</v>
      </c>
      <c r="T2250" s="1" t="n">
        <f aca="false">IF(AND($K2250=1,AND(对接源_02物料!$X1050="公司筐",N(对接源_02物料!$V1050)&lt;&gt;0)),1,0)</f>
        <v>0</v>
      </c>
      <c r="U2250" s="1" t="n">
        <f aca="false">N(U2249)+$T2250</f>
        <v>28</v>
      </c>
      <c r="V2250" s="1" t="n">
        <f aca="false">IF(AND($L2250=1,AND(对接源_02物料!$X1050="自备筐",N(对接源_02物料!$V1050)&lt;&gt;0)),1,0)</f>
        <v>0</v>
      </c>
      <c r="W2250" s="1" t="n">
        <f aca="false">N(W2249)+$V2250</f>
        <v>7</v>
      </c>
      <c r="X2250" s="1" t="n">
        <f aca="false">IF(AND($L2250=1,AND(对接源_02物料!$X1050="自备筐",N(对接源_02物料!$T1050)&lt;&gt;0)),1,0)</f>
        <v>0</v>
      </c>
      <c r="Y2250" s="1" t="n">
        <f aca="false">N(Y2249)+$X2250</f>
        <v>0</v>
      </c>
      <c r="Z2250" s="1" t="n">
        <f aca="false">IF(AND($M2250=1,对接源_02物料!$D1050="原料入库"),1,0)</f>
        <v>0</v>
      </c>
      <c r="AA2250" s="1" t="n">
        <f aca="false">N(AA2249)+$Z2250</f>
        <v>30</v>
      </c>
      <c r="AB2250" s="1" t="n">
        <f aca="false">IF(AND($M2250=1,LEFT(对接源_02物料!$D1050,4)="原料出库"),1,0)</f>
        <v>0</v>
      </c>
      <c r="AC2250" s="1" t="n">
        <f aca="false">N(AC2249)+$AB2250</f>
        <v>19</v>
      </c>
      <c r="AD2250" s="1" t="n">
        <f aca="false">IF(AND($M2250=1,LEFT(对接源_02物料!$D1050,4)="成品出库"),1,0)</f>
        <v>0</v>
      </c>
      <c r="AE2250" s="1" t="n">
        <f aca="false">N(AE2249)+$AD2250</f>
        <v>38</v>
      </c>
      <c r="AF2250" s="1" t="n">
        <f aca="false">IF(AND($N2250=1,AND(LEFT(对接源_02物料!$D1050,4)="包装物料",N(对接源_02物料!$K1050)&lt;&gt;0)),1,0)</f>
        <v>0</v>
      </c>
      <c r="AG2250" s="1" t="n">
        <f aca="false">N(AG2249)+$AF2250</f>
        <v>6</v>
      </c>
      <c r="AH2250" s="1" t="n">
        <f aca="false">IF(AND($N2250=1,AND(LEFT(对接源_02物料!$D1050,3)="周转筐",N(对接源_02物料!$K1050)&lt;&gt;0)),1,0)</f>
        <v>0</v>
      </c>
      <c r="AI2250" s="1" t="n">
        <f aca="false">N(AI2249)+$AH2250</f>
        <v>0</v>
      </c>
      <c r="AJ2250" s="1" t="n">
        <v>0</v>
      </c>
      <c r="AK2250" s="1" t="n">
        <f aca="false">N(AK2249)+$AJ2250</f>
        <v>3672</v>
      </c>
    </row>
    <row r="2251" customFormat="false" ht="13.5" hidden="false" customHeight="false" outlineLevel="0" collapsed="false">
      <c r="A2251" s="1" t="str">
        <f aca="false">IF(对接源_02物料!$C1051="","",对接源_02物料!$C1051)</f>
        <v/>
      </c>
      <c r="B2251" s="1" t="n">
        <f aca="false">IF(A2251="",0,IF(MATCH(A2251,$A$4:$A$2403,0)=ROW()-3,1,0))</f>
        <v>0</v>
      </c>
      <c r="C2251" s="1" t="n">
        <f aca="false">N(C2250)+B2251</f>
        <v>17</v>
      </c>
      <c r="K2251" s="1" t="n">
        <f aca="false">IF(OR($K$1="",对接源_02物料!$C1051="",对接源_02物料!$C1051&lt;&gt;$K$1,对接源_02物料!$B1051=""),0,IF(OR(N(对接源_02物料!$B1051)&lt;$K$2,N(对接源_02物料!$B1051)&gt;$K$3),0,1))</f>
        <v>0</v>
      </c>
      <c r="L2251" s="1" t="n">
        <f aca="false">IF(OR($L$1="",对接源_02物料!$C1051="",对接源_02物料!$C1051&lt;&gt;$L$1,对接源_02物料!$B1051=""),0,IF(OR(N(对接源_02物料!$B1051)&lt;$L$2,N(对接源_02物料!$B1051)&gt;$L$3),0,1))</f>
        <v>0</v>
      </c>
      <c r="M2251" s="1" t="n">
        <f aca="false">IF(OR($M$1="",对接源_02物料!$C1051="",对接源_02物料!$C1051&lt;&gt;$M$1,对接源_02物料!$B1051=""),0,IF(OR(N(对接源_02物料!$B1051)&lt;$M$2,N(对接源_02物料!$B1051)&gt;$M$3),0,1))</f>
        <v>0</v>
      </c>
      <c r="N2251" s="1" t="n">
        <f aca="false">IF(OR($N$1="",对接源_02物料!$C1051="",对接源_02物料!$C1051&lt;&gt;$N$1,对接源_02物料!$B1051=""),0,IF(OR(N(对接源_02物料!$B1051)&lt;$N$2,N(对接源_02物料!$B1051)&gt;$N$3),0,1))</f>
        <v>0</v>
      </c>
      <c r="P2251" s="1" t="n">
        <f aca="false">IF(AND($K2251=1,AND(对接源_02物料!$X1051="公司筐",N(对接源_02物料!$T1051)&lt;&gt;0)),1,0)</f>
        <v>0</v>
      </c>
      <c r="Q2251" s="1" t="n">
        <f aca="false">N(Q2250)+$P2251</f>
        <v>13</v>
      </c>
      <c r="R2251" s="1" t="n">
        <f aca="false">IF(AND($K2251=1,AND(对接源_02物料!$X1051="公司筐",N(对接源_02物料!$U1051)&lt;&gt;0)),1,0)</f>
        <v>0</v>
      </c>
      <c r="S2251" s="1" t="n">
        <f aca="false">N(S2250)+$R2251</f>
        <v>5</v>
      </c>
      <c r="T2251" s="1" t="n">
        <f aca="false">IF(AND($K2251=1,AND(对接源_02物料!$X1051="公司筐",N(对接源_02物料!$V1051)&lt;&gt;0)),1,0)</f>
        <v>0</v>
      </c>
      <c r="U2251" s="1" t="n">
        <f aca="false">N(U2250)+$T2251</f>
        <v>28</v>
      </c>
      <c r="V2251" s="1" t="n">
        <f aca="false">IF(AND($L2251=1,AND(对接源_02物料!$X1051="自备筐",N(对接源_02物料!$V1051)&lt;&gt;0)),1,0)</f>
        <v>0</v>
      </c>
      <c r="W2251" s="1" t="n">
        <f aca="false">N(W2250)+$V2251</f>
        <v>7</v>
      </c>
      <c r="X2251" s="1" t="n">
        <f aca="false">IF(AND($L2251=1,AND(对接源_02物料!$X1051="自备筐",N(对接源_02物料!$T1051)&lt;&gt;0)),1,0)</f>
        <v>0</v>
      </c>
      <c r="Y2251" s="1" t="n">
        <f aca="false">N(Y2250)+$X2251</f>
        <v>0</v>
      </c>
      <c r="Z2251" s="1" t="n">
        <f aca="false">IF(AND($M2251=1,对接源_02物料!$D1051="原料入库"),1,0)</f>
        <v>0</v>
      </c>
      <c r="AA2251" s="1" t="n">
        <f aca="false">N(AA2250)+$Z2251</f>
        <v>30</v>
      </c>
      <c r="AB2251" s="1" t="n">
        <f aca="false">IF(AND($M2251=1,LEFT(对接源_02物料!$D1051,4)="原料出库"),1,0)</f>
        <v>0</v>
      </c>
      <c r="AC2251" s="1" t="n">
        <f aca="false">N(AC2250)+$AB2251</f>
        <v>19</v>
      </c>
      <c r="AD2251" s="1" t="n">
        <f aca="false">IF(AND($M2251=1,LEFT(对接源_02物料!$D1051,4)="成品出库"),1,0)</f>
        <v>0</v>
      </c>
      <c r="AE2251" s="1" t="n">
        <f aca="false">N(AE2250)+$AD2251</f>
        <v>38</v>
      </c>
      <c r="AF2251" s="1" t="n">
        <f aca="false">IF(AND($N2251=1,AND(LEFT(对接源_02物料!$D1051,4)="包装物料",N(对接源_02物料!$K1051)&lt;&gt;0)),1,0)</f>
        <v>0</v>
      </c>
      <c r="AG2251" s="1" t="n">
        <f aca="false">N(AG2250)+$AF2251</f>
        <v>6</v>
      </c>
      <c r="AH2251" s="1" t="n">
        <f aca="false">IF(AND($N2251=1,AND(LEFT(对接源_02物料!$D1051,3)="周转筐",N(对接源_02物料!$K1051)&lt;&gt;0)),1,0)</f>
        <v>0</v>
      </c>
      <c r="AI2251" s="1" t="n">
        <f aca="false">N(AI2250)+$AH2251</f>
        <v>0</v>
      </c>
      <c r="AJ2251" s="1" t="n">
        <v>0</v>
      </c>
      <c r="AK2251" s="1" t="n">
        <f aca="false">N(AK2250)+$AJ2251</f>
        <v>3672</v>
      </c>
    </row>
    <row r="2252" customFormat="false" ht="13.5" hidden="false" customHeight="false" outlineLevel="0" collapsed="false">
      <c r="A2252" s="1" t="str">
        <f aca="false">IF(对接源_02物料!$C1052="","",对接源_02物料!$C1052)</f>
        <v/>
      </c>
      <c r="B2252" s="1" t="n">
        <f aca="false">IF(A2252="",0,IF(MATCH(A2252,$A$4:$A$2403,0)=ROW()-3,1,0))</f>
        <v>0</v>
      </c>
      <c r="C2252" s="1" t="n">
        <f aca="false">N(C2251)+B2252</f>
        <v>17</v>
      </c>
      <c r="K2252" s="1" t="n">
        <f aca="false">IF(OR($K$1="",对接源_02物料!$C1052="",对接源_02物料!$C1052&lt;&gt;$K$1,对接源_02物料!$B1052=""),0,IF(OR(N(对接源_02物料!$B1052)&lt;$K$2,N(对接源_02物料!$B1052)&gt;$K$3),0,1))</f>
        <v>0</v>
      </c>
      <c r="L2252" s="1" t="n">
        <f aca="false">IF(OR($L$1="",对接源_02物料!$C1052="",对接源_02物料!$C1052&lt;&gt;$L$1,对接源_02物料!$B1052=""),0,IF(OR(N(对接源_02物料!$B1052)&lt;$L$2,N(对接源_02物料!$B1052)&gt;$L$3),0,1))</f>
        <v>0</v>
      </c>
      <c r="M2252" s="1" t="n">
        <f aca="false">IF(OR($M$1="",对接源_02物料!$C1052="",对接源_02物料!$C1052&lt;&gt;$M$1,对接源_02物料!$B1052=""),0,IF(OR(N(对接源_02物料!$B1052)&lt;$M$2,N(对接源_02物料!$B1052)&gt;$M$3),0,1))</f>
        <v>0</v>
      </c>
      <c r="N2252" s="1" t="n">
        <f aca="false">IF(OR($N$1="",对接源_02物料!$C1052="",对接源_02物料!$C1052&lt;&gt;$N$1,对接源_02物料!$B1052=""),0,IF(OR(N(对接源_02物料!$B1052)&lt;$N$2,N(对接源_02物料!$B1052)&gt;$N$3),0,1))</f>
        <v>0</v>
      </c>
      <c r="P2252" s="1" t="n">
        <f aca="false">IF(AND($K2252=1,AND(对接源_02物料!$X1052="公司筐",N(对接源_02物料!$T1052)&lt;&gt;0)),1,0)</f>
        <v>0</v>
      </c>
      <c r="Q2252" s="1" t="n">
        <f aca="false">N(Q2251)+$P2252</f>
        <v>13</v>
      </c>
      <c r="R2252" s="1" t="n">
        <f aca="false">IF(AND($K2252=1,AND(对接源_02物料!$X1052="公司筐",N(对接源_02物料!$U1052)&lt;&gt;0)),1,0)</f>
        <v>0</v>
      </c>
      <c r="S2252" s="1" t="n">
        <f aca="false">N(S2251)+$R2252</f>
        <v>5</v>
      </c>
      <c r="T2252" s="1" t="n">
        <f aca="false">IF(AND($K2252=1,AND(对接源_02物料!$X1052="公司筐",N(对接源_02物料!$V1052)&lt;&gt;0)),1,0)</f>
        <v>0</v>
      </c>
      <c r="U2252" s="1" t="n">
        <f aca="false">N(U2251)+$T2252</f>
        <v>28</v>
      </c>
      <c r="V2252" s="1" t="n">
        <f aca="false">IF(AND($L2252=1,AND(对接源_02物料!$X1052="自备筐",N(对接源_02物料!$V1052)&lt;&gt;0)),1,0)</f>
        <v>0</v>
      </c>
      <c r="W2252" s="1" t="n">
        <f aca="false">N(W2251)+$V2252</f>
        <v>7</v>
      </c>
      <c r="X2252" s="1" t="n">
        <f aca="false">IF(AND($L2252=1,AND(对接源_02物料!$X1052="自备筐",N(对接源_02物料!$T1052)&lt;&gt;0)),1,0)</f>
        <v>0</v>
      </c>
      <c r="Y2252" s="1" t="n">
        <f aca="false">N(Y2251)+$X2252</f>
        <v>0</v>
      </c>
      <c r="Z2252" s="1" t="n">
        <f aca="false">IF(AND($M2252=1,对接源_02物料!$D1052="原料入库"),1,0)</f>
        <v>0</v>
      </c>
      <c r="AA2252" s="1" t="n">
        <f aca="false">N(AA2251)+$Z2252</f>
        <v>30</v>
      </c>
      <c r="AB2252" s="1" t="n">
        <f aca="false">IF(AND($M2252=1,LEFT(对接源_02物料!$D1052,4)="原料出库"),1,0)</f>
        <v>0</v>
      </c>
      <c r="AC2252" s="1" t="n">
        <f aca="false">N(AC2251)+$AB2252</f>
        <v>19</v>
      </c>
      <c r="AD2252" s="1" t="n">
        <f aca="false">IF(AND($M2252=1,LEFT(对接源_02物料!$D1052,4)="成品出库"),1,0)</f>
        <v>0</v>
      </c>
      <c r="AE2252" s="1" t="n">
        <f aca="false">N(AE2251)+$AD2252</f>
        <v>38</v>
      </c>
      <c r="AF2252" s="1" t="n">
        <f aca="false">IF(AND($N2252=1,AND(LEFT(对接源_02物料!$D1052,4)="包装物料",N(对接源_02物料!$K1052)&lt;&gt;0)),1,0)</f>
        <v>0</v>
      </c>
      <c r="AG2252" s="1" t="n">
        <f aca="false">N(AG2251)+$AF2252</f>
        <v>6</v>
      </c>
      <c r="AH2252" s="1" t="n">
        <f aca="false">IF(AND($N2252=1,AND(LEFT(对接源_02物料!$D1052,3)="周转筐",N(对接源_02物料!$K1052)&lt;&gt;0)),1,0)</f>
        <v>0</v>
      </c>
      <c r="AI2252" s="1" t="n">
        <f aca="false">N(AI2251)+$AH2252</f>
        <v>0</v>
      </c>
      <c r="AJ2252" s="1" t="n">
        <v>0</v>
      </c>
      <c r="AK2252" s="1" t="n">
        <f aca="false">N(AK2251)+$AJ2252</f>
        <v>3672</v>
      </c>
    </row>
    <row r="2253" customFormat="false" ht="13.5" hidden="false" customHeight="false" outlineLevel="0" collapsed="false">
      <c r="A2253" s="1" t="str">
        <f aca="false">IF(对接源_02物料!$C1053="","",对接源_02物料!$C1053)</f>
        <v/>
      </c>
      <c r="B2253" s="1" t="n">
        <f aca="false">IF(A2253="",0,IF(MATCH(A2253,$A$4:$A$2403,0)=ROW()-3,1,0))</f>
        <v>0</v>
      </c>
      <c r="C2253" s="1" t="n">
        <f aca="false">N(C2252)+B2253</f>
        <v>17</v>
      </c>
      <c r="K2253" s="1" t="n">
        <f aca="false">IF(OR($K$1="",对接源_02物料!$C1053="",对接源_02物料!$C1053&lt;&gt;$K$1,对接源_02物料!$B1053=""),0,IF(OR(N(对接源_02物料!$B1053)&lt;$K$2,N(对接源_02物料!$B1053)&gt;$K$3),0,1))</f>
        <v>0</v>
      </c>
      <c r="L2253" s="1" t="n">
        <f aca="false">IF(OR($L$1="",对接源_02物料!$C1053="",对接源_02物料!$C1053&lt;&gt;$L$1,对接源_02物料!$B1053=""),0,IF(OR(N(对接源_02物料!$B1053)&lt;$L$2,N(对接源_02物料!$B1053)&gt;$L$3),0,1))</f>
        <v>0</v>
      </c>
      <c r="M2253" s="1" t="n">
        <f aca="false">IF(OR($M$1="",对接源_02物料!$C1053="",对接源_02物料!$C1053&lt;&gt;$M$1,对接源_02物料!$B1053=""),0,IF(OR(N(对接源_02物料!$B1053)&lt;$M$2,N(对接源_02物料!$B1053)&gt;$M$3),0,1))</f>
        <v>0</v>
      </c>
      <c r="N2253" s="1" t="n">
        <f aca="false">IF(OR($N$1="",对接源_02物料!$C1053="",对接源_02物料!$C1053&lt;&gt;$N$1,对接源_02物料!$B1053=""),0,IF(OR(N(对接源_02物料!$B1053)&lt;$N$2,N(对接源_02物料!$B1053)&gt;$N$3),0,1))</f>
        <v>0</v>
      </c>
      <c r="P2253" s="1" t="n">
        <f aca="false">IF(AND($K2253=1,AND(对接源_02物料!$X1053="公司筐",N(对接源_02物料!$T1053)&lt;&gt;0)),1,0)</f>
        <v>0</v>
      </c>
      <c r="Q2253" s="1" t="n">
        <f aca="false">N(Q2252)+$P2253</f>
        <v>13</v>
      </c>
      <c r="R2253" s="1" t="n">
        <f aca="false">IF(AND($K2253=1,AND(对接源_02物料!$X1053="公司筐",N(对接源_02物料!$U1053)&lt;&gt;0)),1,0)</f>
        <v>0</v>
      </c>
      <c r="S2253" s="1" t="n">
        <f aca="false">N(S2252)+$R2253</f>
        <v>5</v>
      </c>
      <c r="T2253" s="1" t="n">
        <f aca="false">IF(AND($K2253=1,AND(对接源_02物料!$X1053="公司筐",N(对接源_02物料!$V1053)&lt;&gt;0)),1,0)</f>
        <v>0</v>
      </c>
      <c r="U2253" s="1" t="n">
        <f aca="false">N(U2252)+$T2253</f>
        <v>28</v>
      </c>
      <c r="V2253" s="1" t="n">
        <f aca="false">IF(AND($L2253=1,AND(对接源_02物料!$X1053="自备筐",N(对接源_02物料!$V1053)&lt;&gt;0)),1,0)</f>
        <v>0</v>
      </c>
      <c r="W2253" s="1" t="n">
        <f aca="false">N(W2252)+$V2253</f>
        <v>7</v>
      </c>
      <c r="X2253" s="1" t="n">
        <f aca="false">IF(AND($L2253=1,AND(对接源_02物料!$X1053="自备筐",N(对接源_02物料!$T1053)&lt;&gt;0)),1,0)</f>
        <v>0</v>
      </c>
      <c r="Y2253" s="1" t="n">
        <f aca="false">N(Y2252)+$X2253</f>
        <v>0</v>
      </c>
      <c r="Z2253" s="1" t="n">
        <f aca="false">IF(AND($M2253=1,对接源_02物料!$D1053="原料入库"),1,0)</f>
        <v>0</v>
      </c>
      <c r="AA2253" s="1" t="n">
        <f aca="false">N(AA2252)+$Z2253</f>
        <v>30</v>
      </c>
      <c r="AB2253" s="1" t="n">
        <f aca="false">IF(AND($M2253=1,LEFT(对接源_02物料!$D1053,4)="原料出库"),1,0)</f>
        <v>0</v>
      </c>
      <c r="AC2253" s="1" t="n">
        <f aca="false">N(AC2252)+$AB2253</f>
        <v>19</v>
      </c>
      <c r="AD2253" s="1" t="n">
        <f aca="false">IF(AND($M2253=1,LEFT(对接源_02物料!$D1053,4)="成品出库"),1,0)</f>
        <v>0</v>
      </c>
      <c r="AE2253" s="1" t="n">
        <f aca="false">N(AE2252)+$AD2253</f>
        <v>38</v>
      </c>
      <c r="AF2253" s="1" t="n">
        <f aca="false">IF(AND($N2253=1,AND(LEFT(对接源_02物料!$D1053,4)="包装物料",N(对接源_02物料!$K1053)&lt;&gt;0)),1,0)</f>
        <v>0</v>
      </c>
      <c r="AG2253" s="1" t="n">
        <f aca="false">N(AG2252)+$AF2253</f>
        <v>6</v>
      </c>
      <c r="AH2253" s="1" t="n">
        <f aca="false">IF(AND($N2253=1,AND(LEFT(对接源_02物料!$D1053,3)="周转筐",N(对接源_02物料!$K1053)&lt;&gt;0)),1,0)</f>
        <v>0</v>
      </c>
      <c r="AI2253" s="1" t="n">
        <f aca="false">N(AI2252)+$AH2253</f>
        <v>0</v>
      </c>
      <c r="AJ2253" s="1" t="n">
        <v>0</v>
      </c>
      <c r="AK2253" s="1" t="n">
        <f aca="false">N(AK2252)+$AJ2253</f>
        <v>3672</v>
      </c>
    </row>
    <row r="2254" customFormat="false" ht="13.5" hidden="false" customHeight="false" outlineLevel="0" collapsed="false">
      <c r="A2254" s="1" t="str">
        <f aca="false">IF(对接源_02物料!$C1054="","",对接源_02物料!$C1054)</f>
        <v/>
      </c>
      <c r="B2254" s="1" t="n">
        <f aca="false">IF(A2254="",0,IF(MATCH(A2254,$A$4:$A$2403,0)=ROW()-3,1,0))</f>
        <v>0</v>
      </c>
      <c r="C2254" s="1" t="n">
        <f aca="false">N(C2253)+B2254</f>
        <v>17</v>
      </c>
      <c r="K2254" s="1" t="n">
        <f aca="false">IF(OR($K$1="",对接源_02物料!$C1054="",对接源_02物料!$C1054&lt;&gt;$K$1,对接源_02物料!$B1054=""),0,IF(OR(N(对接源_02物料!$B1054)&lt;$K$2,N(对接源_02物料!$B1054)&gt;$K$3),0,1))</f>
        <v>0</v>
      </c>
      <c r="L2254" s="1" t="n">
        <f aca="false">IF(OR($L$1="",对接源_02物料!$C1054="",对接源_02物料!$C1054&lt;&gt;$L$1,对接源_02物料!$B1054=""),0,IF(OR(N(对接源_02物料!$B1054)&lt;$L$2,N(对接源_02物料!$B1054)&gt;$L$3),0,1))</f>
        <v>0</v>
      </c>
      <c r="M2254" s="1" t="n">
        <f aca="false">IF(OR($M$1="",对接源_02物料!$C1054="",对接源_02物料!$C1054&lt;&gt;$M$1,对接源_02物料!$B1054=""),0,IF(OR(N(对接源_02物料!$B1054)&lt;$M$2,N(对接源_02物料!$B1054)&gt;$M$3),0,1))</f>
        <v>0</v>
      </c>
      <c r="N2254" s="1" t="n">
        <f aca="false">IF(OR($N$1="",对接源_02物料!$C1054="",对接源_02物料!$C1054&lt;&gt;$N$1,对接源_02物料!$B1054=""),0,IF(OR(N(对接源_02物料!$B1054)&lt;$N$2,N(对接源_02物料!$B1054)&gt;$N$3),0,1))</f>
        <v>0</v>
      </c>
      <c r="P2254" s="1" t="n">
        <f aca="false">IF(AND($K2254=1,AND(对接源_02物料!$X1054="公司筐",N(对接源_02物料!$T1054)&lt;&gt;0)),1,0)</f>
        <v>0</v>
      </c>
      <c r="Q2254" s="1" t="n">
        <f aca="false">N(Q2253)+$P2254</f>
        <v>13</v>
      </c>
      <c r="R2254" s="1" t="n">
        <f aca="false">IF(AND($K2254=1,AND(对接源_02物料!$X1054="公司筐",N(对接源_02物料!$U1054)&lt;&gt;0)),1,0)</f>
        <v>0</v>
      </c>
      <c r="S2254" s="1" t="n">
        <f aca="false">N(S2253)+$R2254</f>
        <v>5</v>
      </c>
      <c r="T2254" s="1" t="n">
        <f aca="false">IF(AND($K2254=1,AND(对接源_02物料!$X1054="公司筐",N(对接源_02物料!$V1054)&lt;&gt;0)),1,0)</f>
        <v>0</v>
      </c>
      <c r="U2254" s="1" t="n">
        <f aca="false">N(U2253)+$T2254</f>
        <v>28</v>
      </c>
      <c r="V2254" s="1" t="n">
        <f aca="false">IF(AND($L2254=1,AND(对接源_02物料!$X1054="自备筐",N(对接源_02物料!$V1054)&lt;&gt;0)),1,0)</f>
        <v>0</v>
      </c>
      <c r="W2254" s="1" t="n">
        <f aca="false">N(W2253)+$V2254</f>
        <v>7</v>
      </c>
      <c r="X2254" s="1" t="n">
        <f aca="false">IF(AND($L2254=1,AND(对接源_02物料!$X1054="自备筐",N(对接源_02物料!$T1054)&lt;&gt;0)),1,0)</f>
        <v>0</v>
      </c>
      <c r="Y2254" s="1" t="n">
        <f aca="false">N(Y2253)+$X2254</f>
        <v>0</v>
      </c>
      <c r="Z2254" s="1" t="n">
        <f aca="false">IF(AND($M2254=1,对接源_02物料!$D1054="原料入库"),1,0)</f>
        <v>0</v>
      </c>
      <c r="AA2254" s="1" t="n">
        <f aca="false">N(AA2253)+$Z2254</f>
        <v>30</v>
      </c>
      <c r="AB2254" s="1" t="n">
        <f aca="false">IF(AND($M2254=1,LEFT(对接源_02物料!$D1054,4)="原料出库"),1,0)</f>
        <v>0</v>
      </c>
      <c r="AC2254" s="1" t="n">
        <f aca="false">N(AC2253)+$AB2254</f>
        <v>19</v>
      </c>
      <c r="AD2254" s="1" t="n">
        <f aca="false">IF(AND($M2254=1,LEFT(对接源_02物料!$D1054,4)="成品出库"),1,0)</f>
        <v>0</v>
      </c>
      <c r="AE2254" s="1" t="n">
        <f aca="false">N(AE2253)+$AD2254</f>
        <v>38</v>
      </c>
      <c r="AF2254" s="1" t="n">
        <f aca="false">IF(AND($N2254=1,AND(LEFT(对接源_02物料!$D1054,4)="包装物料",N(对接源_02物料!$K1054)&lt;&gt;0)),1,0)</f>
        <v>0</v>
      </c>
      <c r="AG2254" s="1" t="n">
        <f aca="false">N(AG2253)+$AF2254</f>
        <v>6</v>
      </c>
      <c r="AH2254" s="1" t="n">
        <f aca="false">IF(AND($N2254=1,AND(LEFT(对接源_02物料!$D1054,3)="周转筐",N(对接源_02物料!$K1054)&lt;&gt;0)),1,0)</f>
        <v>0</v>
      </c>
      <c r="AI2254" s="1" t="n">
        <f aca="false">N(AI2253)+$AH2254</f>
        <v>0</v>
      </c>
      <c r="AJ2254" s="1" t="n">
        <v>0</v>
      </c>
      <c r="AK2254" s="1" t="n">
        <f aca="false">N(AK2253)+$AJ2254</f>
        <v>3672</v>
      </c>
    </row>
    <row r="2255" customFormat="false" ht="13.5" hidden="false" customHeight="false" outlineLevel="0" collapsed="false">
      <c r="A2255" s="1" t="str">
        <f aca="false">IF(对接源_02物料!$C1055="","",对接源_02物料!$C1055)</f>
        <v/>
      </c>
      <c r="B2255" s="1" t="n">
        <f aca="false">IF(A2255="",0,IF(MATCH(A2255,$A$4:$A$2403,0)=ROW()-3,1,0))</f>
        <v>0</v>
      </c>
      <c r="C2255" s="1" t="n">
        <f aca="false">N(C2254)+B2255</f>
        <v>17</v>
      </c>
      <c r="K2255" s="1" t="n">
        <f aca="false">IF(OR($K$1="",对接源_02物料!$C1055="",对接源_02物料!$C1055&lt;&gt;$K$1,对接源_02物料!$B1055=""),0,IF(OR(N(对接源_02物料!$B1055)&lt;$K$2,N(对接源_02物料!$B1055)&gt;$K$3),0,1))</f>
        <v>0</v>
      </c>
      <c r="L2255" s="1" t="n">
        <f aca="false">IF(OR($L$1="",对接源_02物料!$C1055="",对接源_02物料!$C1055&lt;&gt;$L$1,对接源_02物料!$B1055=""),0,IF(OR(N(对接源_02物料!$B1055)&lt;$L$2,N(对接源_02物料!$B1055)&gt;$L$3),0,1))</f>
        <v>0</v>
      </c>
      <c r="M2255" s="1" t="n">
        <f aca="false">IF(OR($M$1="",对接源_02物料!$C1055="",对接源_02物料!$C1055&lt;&gt;$M$1,对接源_02物料!$B1055=""),0,IF(OR(N(对接源_02物料!$B1055)&lt;$M$2,N(对接源_02物料!$B1055)&gt;$M$3),0,1))</f>
        <v>0</v>
      </c>
      <c r="N2255" s="1" t="n">
        <f aca="false">IF(OR($N$1="",对接源_02物料!$C1055="",对接源_02物料!$C1055&lt;&gt;$N$1,对接源_02物料!$B1055=""),0,IF(OR(N(对接源_02物料!$B1055)&lt;$N$2,N(对接源_02物料!$B1055)&gt;$N$3),0,1))</f>
        <v>0</v>
      </c>
      <c r="P2255" s="1" t="n">
        <f aca="false">IF(AND($K2255=1,AND(对接源_02物料!$X1055="公司筐",N(对接源_02物料!$T1055)&lt;&gt;0)),1,0)</f>
        <v>0</v>
      </c>
      <c r="Q2255" s="1" t="n">
        <f aca="false">N(Q2254)+$P2255</f>
        <v>13</v>
      </c>
      <c r="R2255" s="1" t="n">
        <f aca="false">IF(AND($K2255=1,AND(对接源_02物料!$X1055="公司筐",N(对接源_02物料!$U1055)&lt;&gt;0)),1,0)</f>
        <v>0</v>
      </c>
      <c r="S2255" s="1" t="n">
        <f aca="false">N(S2254)+$R2255</f>
        <v>5</v>
      </c>
      <c r="T2255" s="1" t="n">
        <f aca="false">IF(AND($K2255=1,AND(对接源_02物料!$X1055="公司筐",N(对接源_02物料!$V1055)&lt;&gt;0)),1,0)</f>
        <v>0</v>
      </c>
      <c r="U2255" s="1" t="n">
        <f aca="false">N(U2254)+$T2255</f>
        <v>28</v>
      </c>
      <c r="V2255" s="1" t="n">
        <f aca="false">IF(AND($L2255=1,AND(对接源_02物料!$X1055="自备筐",N(对接源_02物料!$V1055)&lt;&gt;0)),1,0)</f>
        <v>0</v>
      </c>
      <c r="W2255" s="1" t="n">
        <f aca="false">N(W2254)+$V2255</f>
        <v>7</v>
      </c>
      <c r="X2255" s="1" t="n">
        <f aca="false">IF(AND($L2255=1,AND(对接源_02物料!$X1055="自备筐",N(对接源_02物料!$T1055)&lt;&gt;0)),1,0)</f>
        <v>0</v>
      </c>
      <c r="Y2255" s="1" t="n">
        <f aca="false">N(Y2254)+$X2255</f>
        <v>0</v>
      </c>
      <c r="Z2255" s="1" t="n">
        <f aca="false">IF(AND($M2255=1,对接源_02物料!$D1055="原料入库"),1,0)</f>
        <v>0</v>
      </c>
      <c r="AA2255" s="1" t="n">
        <f aca="false">N(AA2254)+$Z2255</f>
        <v>30</v>
      </c>
      <c r="AB2255" s="1" t="n">
        <f aca="false">IF(AND($M2255=1,LEFT(对接源_02物料!$D1055,4)="原料出库"),1,0)</f>
        <v>0</v>
      </c>
      <c r="AC2255" s="1" t="n">
        <f aca="false">N(AC2254)+$AB2255</f>
        <v>19</v>
      </c>
      <c r="AD2255" s="1" t="n">
        <f aca="false">IF(AND($M2255=1,LEFT(对接源_02物料!$D1055,4)="成品出库"),1,0)</f>
        <v>0</v>
      </c>
      <c r="AE2255" s="1" t="n">
        <f aca="false">N(AE2254)+$AD2255</f>
        <v>38</v>
      </c>
      <c r="AF2255" s="1" t="n">
        <f aca="false">IF(AND($N2255=1,AND(LEFT(对接源_02物料!$D1055,4)="包装物料",N(对接源_02物料!$K1055)&lt;&gt;0)),1,0)</f>
        <v>0</v>
      </c>
      <c r="AG2255" s="1" t="n">
        <f aca="false">N(AG2254)+$AF2255</f>
        <v>6</v>
      </c>
      <c r="AH2255" s="1" t="n">
        <f aca="false">IF(AND($N2255=1,AND(LEFT(对接源_02物料!$D1055,3)="周转筐",N(对接源_02物料!$K1055)&lt;&gt;0)),1,0)</f>
        <v>0</v>
      </c>
      <c r="AI2255" s="1" t="n">
        <f aca="false">N(AI2254)+$AH2255</f>
        <v>0</v>
      </c>
      <c r="AJ2255" s="1" t="n">
        <v>0</v>
      </c>
      <c r="AK2255" s="1" t="n">
        <f aca="false">N(AK2254)+$AJ2255</f>
        <v>3672</v>
      </c>
    </row>
    <row r="2256" customFormat="false" ht="13.5" hidden="false" customHeight="false" outlineLevel="0" collapsed="false">
      <c r="A2256" s="1" t="str">
        <f aca="false">IF(对接源_02物料!$C1056="","",对接源_02物料!$C1056)</f>
        <v/>
      </c>
      <c r="B2256" s="1" t="n">
        <f aca="false">IF(A2256="",0,IF(MATCH(A2256,$A$4:$A$2403,0)=ROW()-3,1,0))</f>
        <v>0</v>
      </c>
      <c r="C2256" s="1" t="n">
        <f aca="false">N(C2255)+B2256</f>
        <v>17</v>
      </c>
      <c r="K2256" s="1" t="n">
        <f aca="false">IF(OR($K$1="",对接源_02物料!$C1056="",对接源_02物料!$C1056&lt;&gt;$K$1,对接源_02物料!$B1056=""),0,IF(OR(N(对接源_02物料!$B1056)&lt;$K$2,N(对接源_02物料!$B1056)&gt;$K$3),0,1))</f>
        <v>0</v>
      </c>
      <c r="L2256" s="1" t="n">
        <f aca="false">IF(OR($L$1="",对接源_02物料!$C1056="",对接源_02物料!$C1056&lt;&gt;$L$1,对接源_02物料!$B1056=""),0,IF(OR(N(对接源_02物料!$B1056)&lt;$L$2,N(对接源_02物料!$B1056)&gt;$L$3),0,1))</f>
        <v>0</v>
      </c>
      <c r="M2256" s="1" t="n">
        <f aca="false">IF(OR($M$1="",对接源_02物料!$C1056="",对接源_02物料!$C1056&lt;&gt;$M$1,对接源_02物料!$B1056=""),0,IF(OR(N(对接源_02物料!$B1056)&lt;$M$2,N(对接源_02物料!$B1056)&gt;$M$3),0,1))</f>
        <v>0</v>
      </c>
      <c r="N2256" s="1" t="n">
        <f aca="false">IF(OR($N$1="",对接源_02物料!$C1056="",对接源_02物料!$C1056&lt;&gt;$N$1,对接源_02物料!$B1056=""),0,IF(OR(N(对接源_02物料!$B1056)&lt;$N$2,N(对接源_02物料!$B1056)&gt;$N$3),0,1))</f>
        <v>0</v>
      </c>
      <c r="P2256" s="1" t="n">
        <f aca="false">IF(AND($K2256=1,AND(对接源_02物料!$X1056="公司筐",N(对接源_02物料!$T1056)&lt;&gt;0)),1,0)</f>
        <v>0</v>
      </c>
      <c r="Q2256" s="1" t="n">
        <f aca="false">N(Q2255)+$P2256</f>
        <v>13</v>
      </c>
      <c r="R2256" s="1" t="n">
        <f aca="false">IF(AND($K2256=1,AND(对接源_02物料!$X1056="公司筐",N(对接源_02物料!$U1056)&lt;&gt;0)),1,0)</f>
        <v>0</v>
      </c>
      <c r="S2256" s="1" t="n">
        <f aca="false">N(S2255)+$R2256</f>
        <v>5</v>
      </c>
      <c r="T2256" s="1" t="n">
        <f aca="false">IF(AND($K2256=1,AND(对接源_02物料!$X1056="公司筐",N(对接源_02物料!$V1056)&lt;&gt;0)),1,0)</f>
        <v>0</v>
      </c>
      <c r="U2256" s="1" t="n">
        <f aca="false">N(U2255)+$T2256</f>
        <v>28</v>
      </c>
      <c r="V2256" s="1" t="n">
        <f aca="false">IF(AND($L2256=1,AND(对接源_02物料!$X1056="自备筐",N(对接源_02物料!$V1056)&lt;&gt;0)),1,0)</f>
        <v>0</v>
      </c>
      <c r="W2256" s="1" t="n">
        <f aca="false">N(W2255)+$V2256</f>
        <v>7</v>
      </c>
      <c r="X2256" s="1" t="n">
        <f aca="false">IF(AND($L2256=1,AND(对接源_02物料!$X1056="自备筐",N(对接源_02物料!$T1056)&lt;&gt;0)),1,0)</f>
        <v>0</v>
      </c>
      <c r="Y2256" s="1" t="n">
        <f aca="false">N(Y2255)+$X2256</f>
        <v>0</v>
      </c>
      <c r="Z2256" s="1" t="n">
        <f aca="false">IF(AND($M2256=1,对接源_02物料!$D1056="原料入库"),1,0)</f>
        <v>0</v>
      </c>
      <c r="AA2256" s="1" t="n">
        <f aca="false">N(AA2255)+$Z2256</f>
        <v>30</v>
      </c>
      <c r="AB2256" s="1" t="n">
        <f aca="false">IF(AND($M2256=1,LEFT(对接源_02物料!$D1056,4)="原料出库"),1,0)</f>
        <v>0</v>
      </c>
      <c r="AC2256" s="1" t="n">
        <f aca="false">N(AC2255)+$AB2256</f>
        <v>19</v>
      </c>
      <c r="AD2256" s="1" t="n">
        <f aca="false">IF(AND($M2256=1,LEFT(对接源_02物料!$D1056,4)="成品出库"),1,0)</f>
        <v>0</v>
      </c>
      <c r="AE2256" s="1" t="n">
        <f aca="false">N(AE2255)+$AD2256</f>
        <v>38</v>
      </c>
      <c r="AF2256" s="1" t="n">
        <f aca="false">IF(AND($N2256=1,AND(LEFT(对接源_02物料!$D1056,4)="包装物料",N(对接源_02物料!$K1056)&lt;&gt;0)),1,0)</f>
        <v>0</v>
      </c>
      <c r="AG2256" s="1" t="n">
        <f aca="false">N(AG2255)+$AF2256</f>
        <v>6</v>
      </c>
      <c r="AH2256" s="1" t="n">
        <f aca="false">IF(AND($N2256=1,AND(LEFT(对接源_02物料!$D1056,3)="周转筐",N(对接源_02物料!$K1056)&lt;&gt;0)),1,0)</f>
        <v>0</v>
      </c>
      <c r="AI2256" s="1" t="n">
        <f aca="false">N(AI2255)+$AH2256</f>
        <v>0</v>
      </c>
      <c r="AJ2256" s="1" t="n">
        <v>0</v>
      </c>
      <c r="AK2256" s="1" t="n">
        <f aca="false">N(AK2255)+$AJ2256</f>
        <v>3672</v>
      </c>
    </row>
    <row r="2257" customFormat="false" ht="13.5" hidden="false" customHeight="false" outlineLevel="0" collapsed="false">
      <c r="A2257" s="1" t="str">
        <f aca="false">IF(对接源_02物料!$C1057="","",对接源_02物料!$C1057)</f>
        <v/>
      </c>
      <c r="B2257" s="1" t="n">
        <f aca="false">IF(A2257="",0,IF(MATCH(A2257,$A$4:$A$2403,0)=ROW()-3,1,0))</f>
        <v>0</v>
      </c>
      <c r="C2257" s="1" t="n">
        <f aca="false">N(C2256)+B2257</f>
        <v>17</v>
      </c>
      <c r="K2257" s="1" t="n">
        <f aca="false">IF(OR($K$1="",对接源_02物料!$C1057="",对接源_02物料!$C1057&lt;&gt;$K$1,对接源_02物料!$B1057=""),0,IF(OR(N(对接源_02物料!$B1057)&lt;$K$2,N(对接源_02物料!$B1057)&gt;$K$3),0,1))</f>
        <v>0</v>
      </c>
      <c r="L2257" s="1" t="n">
        <f aca="false">IF(OR($L$1="",对接源_02物料!$C1057="",对接源_02物料!$C1057&lt;&gt;$L$1,对接源_02物料!$B1057=""),0,IF(OR(N(对接源_02物料!$B1057)&lt;$L$2,N(对接源_02物料!$B1057)&gt;$L$3),0,1))</f>
        <v>0</v>
      </c>
      <c r="M2257" s="1" t="n">
        <f aca="false">IF(OR($M$1="",对接源_02物料!$C1057="",对接源_02物料!$C1057&lt;&gt;$M$1,对接源_02物料!$B1057=""),0,IF(OR(N(对接源_02物料!$B1057)&lt;$M$2,N(对接源_02物料!$B1057)&gt;$M$3),0,1))</f>
        <v>0</v>
      </c>
      <c r="N2257" s="1" t="n">
        <f aca="false">IF(OR($N$1="",对接源_02物料!$C1057="",对接源_02物料!$C1057&lt;&gt;$N$1,对接源_02物料!$B1057=""),0,IF(OR(N(对接源_02物料!$B1057)&lt;$N$2,N(对接源_02物料!$B1057)&gt;$N$3),0,1))</f>
        <v>0</v>
      </c>
      <c r="P2257" s="1" t="n">
        <f aca="false">IF(AND($K2257=1,AND(对接源_02物料!$X1057="公司筐",N(对接源_02物料!$T1057)&lt;&gt;0)),1,0)</f>
        <v>0</v>
      </c>
      <c r="Q2257" s="1" t="n">
        <f aca="false">N(Q2256)+$P2257</f>
        <v>13</v>
      </c>
      <c r="R2257" s="1" t="n">
        <f aca="false">IF(AND($K2257=1,AND(对接源_02物料!$X1057="公司筐",N(对接源_02物料!$U1057)&lt;&gt;0)),1,0)</f>
        <v>0</v>
      </c>
      <c r="S2257" s="1" t="n">
        <f aca="false">N(S2256)+$R2257</f>
        <v>5</v>
      </c>
      <c r="T2257" s="1" t="n">
        <f aca="false">IF(AND($K2257=1,AND(对接源_02物料!$X1057="公司筐",N(对接源_02物料!$V1057)&lt;&gt;0)),1,0)</f>
        <v>0</v>
      </c>
      <c r="U2257" s="1" t="n">
        <f aca="false">N(U2256)+$T2257</f>
        <v>28</v>
      </c>
      <c r="V2257" s="1" t="n">
        <f aca="false">IF(AND($L2257=1,AND(对接源_02物料!$X1057="自备筐",N(对接源_02物料!$V1057)&lt;&gt;0)),1,0)</f>
        <v>0</v>
      </c>
      <c r="W2257" s="1" t="n">
        <f aca="false">N(W2256)+$V2257</f>
        <v>7</v>
      </c>
      <c r="X2257" s="1" t="n">
        <f aca="false">IF(AND($L2257=1,AND(对接源_02物料!$X1057="自备筐",N(对接源_02物料!$T1057)&lt;&gt;0)),1,0)</f>
        <v>0</v>
      </c>
      <c r="Y2257" s="1" t="n">
        <f aca="false">N(Y2256)+$X2257</f>
        <v>0</v>
      </c>
      <c r="Z2257" s="1" t="n">
        <f aca="false">IF(AND($M2257=1,对接源_02物料!$D1057="原料入库"),1,0)</f>
        <v>0</v>
      </c>
      <c r="AA2257" s="1" t="n">
        <f aca="false">N(AA2256)+$Z2257</f>
        <v>30</v>
      </c>
      <c r="AB2257" s="1" t="n">
        <f aca="false">IF(AND($M2257=1,LEFT(对接源_02物料!$D1057,4)="原料出库"),1,0)</f>
        <v>0</v>
      </c>
      <c r="AC2257" s="1" t="n">
        <f aca="false">N(AC2256)+$AB2257</f>
        <v>19</v>
      </c>
      <c r="AD2257" s="1" t="n">
        <f aca="false">IF(AND($M2257=1,LEFT(对接源_02物料!$D1057,4)="成品出库"),1,0)</f>
        <v>0</v>
      </c>
      <c r="AE2257" s="1" t="n">
        <f aca="false">N(AE2256)+$AD2257</f>
        <v>38</v>
      </c>
      <c r="AF2257" s="1" t="n">
        <f aca="false">IF(AND($N2257=1,AND(LEFT(对接源_02物料!$D1057,4)="包装物料",N(对接源_02物料!$K1057)&lt;&gt;0)),1,0)</f>
        <v>0</v>
      </c>
      <c r="AG2257" s="1" t="n">
        <f aca="false">N(AG2256)+$AF2257</f>
        <v>6</v>
      </c>
      <c r="AH2257" s="1" t="n">
        <f aca="false">IF(AND($N2257=1,AND(LEFT(对接源_02物料!$D1057,3)="周转筐",N(对接源_02物料!$K1057)&lt;&gt;0)),1,0)</f>
        <v>0</v>
      </c>
      <c r="AI2257" s="1" t="n">
        <f aca="false">N(AI2256)+$AH2257</f>
        <v>0</v>
      </c>
      <c r="AJ2257" s="1" t="n">
        <v>0</v>
      </c>
      <c r="AK2257" s="1" t="n">
        <f aca="false">N(AK2256)+$AJ2257</f>
        <v>3672</v>
      </c>
    </row>
    <row r="2258" customFormat="false" ht="13.5" hidden="false" customHeight="false" outlineLevel="0" collapsed="false">
      <c r="A2258" s="1" t="str">
        <f aca="false">IF(对接源_02物料!$C1058="","",对接源_02物料!$C1058)</f>
        <v/>
      </c>
      <c r="B2258" s="1" t="n">
        <f aca="false">IF(A2258="",0,IF(MATCH(A2258,$A$4:$A$2403,0)=ROW()-3,1,0))</f>
        <v>0</v>
      </c>
      <c r="C2258" s="1" t="n">
        <f aca="false">N(C2257)+B2258</f>
        <v>17</v>
      </c>
      <c r="K2258" s="1" t="n">
        <f aca="false">IF(OR($K$1="",对接源_02物料!$C1058="",对接源_02物料!$C1058&lt;&gt;$K$1,对接源_02物料!$B1058=""),0,IF(OR(N(对接源_02物料!$B1058)&lt;$K$2,N(对接源_02物料!$B1058)&gt;$K$3),0,1))</f>
        <v>0</v>
      </c>
      <c r="L2258" s="1" t="n">
        <f aca="false">IF(OR($L$1="",对接源_02物料!$C1058="",对接源_02物料!$C1058&lt;&gt;$L$1,对接源_02物料!$B1058=""),0,IF(OR(N(对接源_02物料!$B1058)&lt;$L$2,N(对接源_02物料!$B1058)&gt;$L$3),0,1))</f>
        <v>0</v>
      </c>
      <c r="M2258" s="1" t="n">
        <f aca="false">IF(OR($M$1="",对接源_02物料!$C1058="",对接源_02物料!$C1058&lt;&gt;$M$1,对接源_02物料!$B1058=""),0,IF(OR(N(对接源_02物料!$B1058)&lt;$M$2,N(对接源_02物料!$B1058)&gt;$M$3),0,1))</f>
        <v>0</v>
      </c>
      <c r="N2258" s="1" t="n">
        <f aca="false">IF(OR($N$1="",对接源_02物料!$C1058="",对接源_02物料!$C1058&lt;&gt;$N$1,对接源_02物料!$B1058=""),0,IF(OR(N(对接源_02物料!$B1058)&lt;$N$2,N(对接源_02物料!$B1058)&gt;$N$3),0,1))</f>
        <v>0</v>
      </c>
      <c r="P2258" s="1" t="n">
        <f aca="false">IF(AND($K2258=1,AND(对接源_02物料!$X1058="公司筐",N(对接源_02物料!$T1058)&lt;&gt;0)),1,0)</f>
        <v>0</v>
      </c>
      <c r="Q2258" s="1" t="n">
        <f aca="false">N(Q2257)+$P2258</f>
        <v>13</v>
      </c>
      <c r="R2258" s="1" t="n">
        <f aca="false">IF(AND($K2258=1,AND(对接源_02物料!$X1058="公司筐",N(对接源_02物料!$U1058)&lt;&gt;0)),1,0)</f>
        <v>0</v>
      </c>
      <c r="S2258" s="1" t="n">
        <f aca="false">N(S2257)+$R2258</f>
        <v>5</v>
      </c>
      <c r="T2258" s="1" t="n">
        <f aca="false">IF(AND($K2258=1,AND(对接源_02物料!$X1058="公司筐",N(对接源_02物料!$V1058)&lt;&gt;0)),1,0)</f>
        <v>0</v>
      </c>
      <c r="U2258" s="1" t="n">
        <f aca="false">N(U2257)+$T2258</f>
        <v>28</v>
      </c>
      <c r="V2258" s="1" t="n">
        <f aca="false">IF(AND($L2258=1,AND(对接源_02物料!$X1058="自备筐",N(对接源_02物料!$V1058)&lt;&gt;0)),1,0)</f>
        <v>0</v>
      </c>
      <c r="W2258" s="1" t="n">
        <f aca="false">N(W2257)+$V2258</f>
        <v>7</v>
      </c>
      <c r="X2258" s="1" t="n">
        <f aca="false">IF(AND($L2258=1,AND(对接源_02物料!$X1058="自备筐",N(对接源_02物料!$T1058)&lt;&gt;0)),1,0)</f>
        <v>0</v>
      </c>
      <c r="Y2258" s="1" t="n">
        <f aca="false">N(Y2257)+$X2258</f>
        <v>0</v>
      </c>
      <c r="Z2258" s="1" t="n">
        <f aca="false">IF(AND($M2258=1,对接源_02物料!$D1058="原料入库"),1,0)</f>
        <v>0</v>
      </c>
      <c r="AA2258" s="1" t="n">
        <f aca="false">N(AA2257)+$Z2258</f>
        <v>30</v>
      </c>
      <c r="AB2258" s="1" t="n">
        <f aca="false">IF(AND($M2258=1,LEFT(对接源_02物料!$D1058,4)="原料出库"),1,0)</f>
        <v>0</v>
      </c>
      <c r="AC2258" s="1" t="n">
        <f aca="false">N(AC2257)+$AB2258</f>
        <v>19</v>
      </c>
      <c r="AD2258" s="1" t="n">
        <f aca="false">IF(AND($M2258=1,LEFT(对接源_02物料!$D1058,4)="成品出库"),1,0)</f>
        <v>0</v>
      </c>
      <c r="AE2258" s="1" t="n">
        <f aca="false">N(AE2257)+$AD2258</f>
        <v>38</v>
      </c>
      <c r="AF2258" s="1" t="n">
        <f aca="false">IF(AND($N2258=1,AND(LEFT(对接源_02物料!$D1058,4)="包装物料",N(对接源_02物料!$K1058)&lt;&gt;0)),1,0)</f>
        <v>0</v>
      </c>
      <c r="AG2258" s="1" t="n">
        <f aca="false">N(AG2257)+$AF2258</f>
        <v>6</v>
      </c>
      <c r="AH2258" s="1" t="n">
        <f aca="false">IF(AND($N2258=1,AND(LEFT(对接源_02物料!$D1058,3)="周转筐",N(对接源_02物料!$K1058)&lt;&gt;0)),1,0)</f>
        <v>0</v>
      </c>
      <c r="AI2258" s="1" t="n">
        <f aca="false">N(AI2257)+$AH2258</f>
        <v>0</v>
      </c>
      <c r="AJ2258" s="1" t="n">
        <v>0</v>
      </c>
      <c r="AK2258" s="1" t="n">
        <f aca="false">N(AK2257)+$AJ2258</f>
        <v>3672</v>
      </c>
    </row>
    <row r="2259" customFormat="false" ht="13.5" hidden="false" customHeight="false" outlineLevel="0" collapsed="false">
      <c r="A2259" s="1" t="str">
        <f aca="false">IF(对接源_02物料!$C1059="","",对接源_02物料!$C1059)</f>
        <v/>
      </c>
      <c r="B2259" s="1" t="n">
        <f aca="false">IF(A2259="",0,IF(MATCH(A2259,$A$4:$A$2403,0)=ROW()-3,1,0))</f>
        <v>0</v>
      </c>
      <c r="C2259" s="1" t="n">
        <f aca="false">N(C2258)+B2259</f>
        <v>17</v>
      </c>
      <c r="K2259" s="1" t="n">
        <f aca="false">IF(OR($K$1="",对接源_02物料!$C1059="",对接源_02物料!$C1059&lt;&gt;$K$1,对接源_02物料!$B1059=""),0,IF(OR(N(对接源_02物料!$B1059)&lt;$K$2,N(对接源_02物料!$B1059)&gt;$K$3),0,1))</f>
        <v>0</v>
      </c>
      <c r="L2259" s="1" t="n">
        <f aca="false">IF(OR($L$1="",对接源_02物料!$C1059="",对接源_02物料!$C1059&lt;&gt;$L$1,对接源_02物料!$B1059=""),0,IF(OR(N(对接源_02物料!$B1059)&lt;$L$2,N(对接源_02物料!$B1059)&gt;$L$3),0,1))</f>
        <v>0</v>
      </c>
      <c r="M2259" s="1" t="n">
        <f aca="false">IF(OR($M$1="",对接源_02物料!$C1059="",对接源_02物料!$C1059&lt;&gt;$M$1,对接源_02物料!$B1059=""),0,IF(OR(N(对接源_02物料!$B1059)&lt;$M$2,N(对接源_02物料!$B1059)&gt;$M$3),0,1))</f>
        <v>0</v>
      </c>
      <c r="N2259" s="1" t="n">
        <f aca="false">IF(OR($N$1="",对接源_02物料!$C1059="",对接源_02物料!$C1059&lt;&gt;$N$1,对接源_02物料!$B1059=""),0,IF(OR(N(对接源_02物料!$B1059)&lt;$N$2,N(对接源_02物料!$B1059)&gt;$N$3),0,1))</f>
        <v>0</v>
      </c>
      <c r="P2259" s="1" t="n">
        <f aca="false">IF(AND($K2259=1,AND(对接源_02物料!$X1059="公司筐",N(对接源_02物料!$T1059)&lt;&gt;0)),1,0)</f>
        <v>0</v>
      </c>
      <c r="Q2259" s="1" t="n">
        <f aca="false">N(Q2258)+$P2259</f>
        <v>13</v>
      </c>
      <c r="R2259" s="1" t="n">
        <f aca="false">IF(AND($K2259=1,AND(对接源_02物料!$X1059="公司筐",N(对接源_02物料!$U1059)&lt;&gt;0)),1,0)</f>
        <v>0</v>
      </c>
      <c r="S2259" s="1" t="n">
        <f aca="false">N(S2258)+$R2259</f>
        <v>5</v>
      </c>
      <c r="T2259" s="1" t="n">
        <f aca="false">IF(AND($K2259=1,AND(对接源_02物料!$X1059="公司筐",N(对接源_02物料!$V1059)&lt;&gt;0)),1,0)</f>
        <v>0</v>
      </c>
      <c r="U2259" s="1" t="n">
        <f aca="false">N(U2258)+$T2259</f>
        <v>28</v>
      </c>
      <c r="V2259" s="1" t="n">
        <f aca="false">IF(AND($L2259=1,AND(对接源_02物料!$X1059="自备筐",N(对接源_02物料!$V1059)&lt;&gt;0)),1,0)</f>
        <v>0</v>
      </c>
      <c r="W2259" s="1" t="n">
        <f aca="false">N(W2258)+$V2259</f>
        <v>7</v>
      </c>
      <c r="X2259" s="1" t="n">
        <f aca="false">IF(AND($L2259=1,AND(对接源_02物料!$X1059="自备筐",N(对接源_02物料!$T1059)&lt;&gt;0)),1,0)</f>
        <v>0</v>
      </c>
      <c r="Y2259" s="1" t="n">
        <f aca="false">N(Y2258)+$X2259</f>
        <v>0</v>
      </c>
      <c r="Z2259" s="1" t="n">
        <f aca="false">IF(AND($M2259=1,对接源_02物料!$D1059="原料入库"),1,0)</f>
        <v>0</v>
      </c>
      <c r="AA2259" s="1" t="n">
        <f aca="false">N(AA2258)+$Z2259</f>
        <v>30</v>
      </c>
      <c r="AB2259" s="1" t="n">
        <f aca="false">IF(AND($M2259=1,LEFT(对接源_02物料!$D1059,4)="原料出库"),1,0)</f>
        <v>0</v>
      </c>
      <c r="AC2259" s="1" t="n">
        <f aca="false">N(AC2258)+$AB2259</f>
        <v>19</v>
      </c>
      <c r="AD2259" s="1" t="n">
        <f aca="false">IF(AND($M2259=1,LEFT(对接源_02物料!$D1059,4)="成品出库"),1,0)</f>
        <v>0</v>
      </c>
      <c r="AE2259" s="1" t="n">
        <f aca="false">N(AE2258)+$AD2259</f>
        <v>38</v>
      </c>
      <c r="AF2259" s="1" t="n">
        <f aca="false">IF(AND($N2259=1,AND(LEFT(对接源_02物料!$D1059,4)="包装物料",N(对接源_02物料!$K1059)&lt;&gt;0)),1,0)</f>
        <v>0</v>
      </c>
      <c r="AG2259" s="1" t="n">
        <f aca="false">N(AG2258)+$AF2259</f>
        <v>6</v>
      </c>
      <c r="AH2259" s="1" t="n">
        <f aca="false">IF(AND($N2259=1,AND(LEFT(对接源_02物料!$D1059,3)="周转筐",N(对接源_02物料!$K1059)&lt;&gt;0)),1,0)</f>
        <v>0</v>
      </c>
      <c r="AI2259" s="1" t="n">
        <f aca="false">N(AI2258)+$AH2259</f>
        <v>0</v>
      </c>
      <c r="AJ2259" s="1" t="n">
        <v>0</v>
      </c>
      <c r="AK2259" s="1" t="n">
        <f aca="false">N(AK2258)+$AJ2259</f>
        <v>3672</v>
      </c>
    </row>
    <row r="2260" customFormat="false" ht="13.5" hidden="false" customHeight="false" outlineLevel="0" collapsed="false">
      <c r="A2260" s="1" t="str">
        <f aca="false">IF(对接源_02物料!$C1060="","",对接源_02物料!$C1060)</f>
        <v/>
      </c>
      <c r="B2260" s="1" t="n">
        <f aca="false">IF(A2260="",0,IF(MATCH(A2260,$A$4:$A$2403,0)=ROW()-3,1,0))</f>
        <v>0</v>
      </c>
      <c r="C2260" s="1" t="n">
        <f aca="false">N(C2259)+B2260</f>
        <v>17</v>
      </c>
      <c r="K2260" s="1" t="n">
        <f aca="false">IF(OR($K$1="",对接源_02物料!$C1060="",对接源_02物料!$C1060&lt;&gt;$K$1,对接源_02物料!$B1060=""),0,IF(OR(N(对接源_02物料!$B1060)&lt;$K$2,N(对接源_02物料!$B1060)&gt;$K$3),0,1))</f>
        <v>0</v>
      </c>
      <c r="L2260" s="1" t="n">
        <f aca="false">IF(OR($L$1="",对接源_02物料!$C1060="",对接源_02物料!$C1060&lt;&gt;$L$1,对接源_02物料!$B1060=""),0,IF(OR(N(对接源_02物料!$B1060)&lt;$L$2,N(对接源_02物料!$B1060)&gt;$L$3),0,1))</f>
        <v>0</v>
      </c>
      <c r="M2260" s="1" t="n">
        <f aca="false">IF(OR($M$1="",对接源_02物料!$C1060="",对接源_02物料!$C1060&lt;&gt;$M$1,对接源_02物料!$B1060=""),0,IF(OR(N(对接源_02物料!$B1060)&lt;$M$2,N(对接源_02物料!$B1060)&gt;$M$3),0,1))</f>
        <v>0</v>
      </c>
      <c r="N2260" s="1" t="n">
        <f aca="false">IF(OR($N$1="",对接源_02物料!$C1060="",对接源_02物料!$C1060&lt;&gt;$N$1,对接源_02物料!$B1060=""),0,IF(OR(N(对接源_02物料!$B1060)&lt;$N$2,N(对接源_02物料!$B1060)&gt;$N$3),0,1))</f>
        <v>0</v>
      </c>
      <c r="P2260" s="1" t="n">
        <f aca="false">IF(AND($K2260=1,AND(对接源_02物料!$X1060="公司筐",N(对接源_02物料!$T1060)&lt;&gt;0)),1,0)</f>
        <v>0</v>
      </c>
      <c r="Q2260" s="1" t="n">
        <f aca="false">N(Q2259)+$P2260</f>
        <v>13</v>
      </c>
      <c r="R2260" s="1" t="n">
        <f aca="false">IF(AND($K2260=1,AND(对接源_02物料!$X1060="公司筐",N(对接源_02物料!$U1060)&lt;&gt;0)),1,0)</f>
        <v>0</v>
      </c>
      <c r="S2260" s="1" t="n">
        <f aca="false">N(S2259)+$R2260</f>
        <v>5</v>
      </c>
      <c r="T2260" s="1" t="n">
        <f aca="false">IF(AND($K2260=1,AND(对接源_02物料!$X1060="公司筐",N(对接源_02物料!$V1060)&lt;&gt;0)),1,0)</f>
        <v>0</v>
      </c>
      <c r="U2260" s="1" t="n">
        <f aca="false">N(U2259)+$T2260</f>
        <v>28</v>
      </c>
      <c r="V2260" s="1" t="n">
        <f aca="false">IF(AND($L2260=1,AND(对接源_02物料!$X1060="自备筐",N(对接源_02物料!$V1060)&lt;&gt;0)),1,0)</f>
        <v>0</v>
      </c>
      <c r="W2260" s="1" t="n">
        <f aca="false">N(W2259)+$V2260</f>
        <v>7</v>
      </c>
      <c r="X2260" s="1" t="n">
        <f aca="false">IF(AND($L2260=1,AND(对接源_02物料!$X1060="自备筐",N(对接源_02物料!$T1060)&lt;&gt;0)),1,0)</f>
        <v>0</v>
      </c>
      <c r="Y2260" s="1" t="n">
        <f aca="false">N(Y2259)+$X2260</f>
        <v>0</v>
      </c>
      <c r="Z2260" s="1" t="n">
        <f aca="false">IF(AND($M2260=1,对接源_02物料!$D1060="原料入库"),1,0)</f>
        <v>0</v>
      </c>
      <c r="AA2260" s="1" t="n">
        <f aca="false">N(AA2259)+$Z2260</f>
        <v>30</v>
      </c>
      <c r="AB2260" s="1" t="n">
        <f aca="false">IF(AND($M2260=1,LEFT(对接源_02物料!$D1060,4)="原料出库"),1,0)</f>
        <v>0</v>
      </c>
      <c r="AC2260" s="1" t="n">
        <f aca="false">N(AC2259)+$AB2260</f>
        <v>19</v>
      </c>
      <c r="AD2260" s="1" t="n">
        <f aca="false">IF(AND($M2260=1,LEFT(对接源_02物料!$D1060,4)="成品出库"),1,0)</f>
        <v>0</v>
      </c>
      <c r="AE2260" s="1" t="n">
        <f aca="false">N(AE2259)+$AD2260</f>
        <v>38</v>
      </c>
      <c r="AF2260" s="1" t="n">
        <f aca="false">IF(AND($N2260=1,AND(LEFT(对接源_02物料!$D1060,4)="包装物料",N(对接源_02物料!$K1060)&lt;&gt;0)),1,0)</f>
        <v>0</v>
      </c>
      <c r="AG2260" s="1" t="n">
        <f aca="false">N(AG2259)+$AF2260</f>
        <v>6</v>
      </c>
      <c r="AH2260" s="1" t="n">
        <f aca="false">IF(AND($N2260=1,AND(LEFT(对接源_02物料!$D1060,3)="周转筐",N(对接源_02物料!$K1060)&lt;&gt;0)),1,0)</f>
        <v>0</v>
      </c>
      <c r="AI2260" s="1" t="n">
        <f aca="false">N(AI2259)+$AH2260</f>
        <v>0</v>
      </c>
      <c r="AJ2260" s="1" t="n">
        <v>0</v>
      </c>
      <c r="AK2260" s="1" t="n">
        <f aca="false">N(AK2259)+$AJ2260</f>
        <v>3672</v>
      </c>
    </row>
    <row r="2261" customFormat="false" ht="13.5" hidden="false" customHeight="false" outlineLevel="0" collapsed="false">
      <c r="A2261" s="1" t="str">
        <f aca="false">IF(对接源_02物料!$C1061="","",对接源_02物料!$C1061)</f>
        <v/>
      </c>
      <c r="B2261" s="1" t="n">
        <f aca="false">IF(A2261="",0,IF(MATCH(A2261,$A$4:$A$2403,0)=ROW()-3,1,0))</f>
        <v>0</v>
      </c>
      <c r="C2261" s="1" t="n">
        <f aca="false">N(C2260)+B2261</f>
        <v>17</v>
      </c>
      <c r="K2261" s="1" t="n">
        <f aca="false">IF(OR($K$1="",对接源_02物料!$C1061="",对接源_02物料!$C1061&lt;&gt;$K$1,对接源_02物料!$B1061=""),0,IF(OR(N(对接源_02物料!$B1061)&lt;$K$2,N(对接源_02物料!$B1061)&gt;$K$3),0,1))</f>
        <v>0</v>
      </c>
      <c r="L2261" s="1" t="n">
        <f aca="false">IF(OR($L$1="",对接源_02物料!$C1061="",对接源_02物料!$C1061&lt;&gt;$L$1,对接源_02物料!$B1061=""),0,IF(OR(N(对接源_02物料!$B1061)&lt;$L$2,N(对接源_02物料!$B1061)&gt;$L$3),0,1))</f>
        <v>0</v>
      </c>
      <c r="M2261" s="1" t="n">
        <f aca="false">IF(OR($M$1="",对接源_02物料!$C1061="",对接源_02物料!$C1061&lt;&gt;$M$1,对接源_02物料!$B1061=""),0,IF(OR(N(对接源_02物料!$B1061)&lt;$M$2,N(对接源_02物料!$B1061)&gt;$M$3),0,1))</f>
        <v>0</v>
      </c>
      <c r="N2261" s="1" t="n">
        <f aca="false">IF(OR($N$1="",对接源_02物料!$C1061="",对接源_02物料!$C1061&lt;&gt;$N$1,对接源_02物料!$B1061=""),0,IF(OR(N(对接源_02物料!$B1061)&lt;$N$2,N(对接源_02物料!$B1061)&gt;$N$3),0,1))</f>
        <v>0</v>
      </c>
      <c r="P2261" s="1" t="n">
        <f aca="false">IF(AND($K2261=1,AND(对接源_02物料!$X1061="公司筐",N(对接源_02物料!$T1061)&lt;&gt;0)),1,0)</f>
        <v>0</v>
      </c>
      <c r="Q2261" s="1" t="n">
        <f aca="false">N(Q2260)+$P2261</f>
        <v>13</v>
      </c>
      <c r="R2261" s="1" t="n">
        <f aca="false">IF(AND($K2261=1,AND(对接源_02物料!$X1061="公司筐",N(对接源_02物料!$U1061)&lt;&gt;0)),1,0)</f>
        <v>0</v>
      </c>
      <c r="S2261" s="1" t="n">
        <f aca="false">N(S2260)+$R2261</f>
        <v>5</v>
      </c>
      <c r="T2261" s="1" t="n">
        <f aca="false">IF(AND($K2261=1,AND(对接源_02物料!$X1061="公司筐",N(对接源_02物料!$V1061)&lt;&gt;0)),1,0)</f>
        <v>0</v>
      </c>
      <c r="U2261" s="1" t="n">
        <f aca="false">N(U2260)+$T2261</f>
        <v>28</v>
      </c>
      <c r="V2261" s="1" t="n">
        <f aca="false">IF(AND($L2261=1,AND(对接源_02物料!$X1061="自备筐",N(对接源_02物料!$V1061)&lt;&gt;0)),1,0)</f>
        <v>0</v>
      </c>
      <c r="W2261" s="1" t="n">
        <f aca="false">N(W2260)+$V2261</f>
        <v>7</v>
      </c>
      <c r="X2261" s="1" t="n">
        <f aca="false">IF(AND($L2261=1,AND(对接源_02物料!$X1061="自备筐",N(对接源_02物料!$T1061)&lt;&gt;0)),1,0)</f>
        <v>0</v>
      </c>
      <c r="Y2261" s="1" t="n">
        <f aca="false">N(Y2260)+$X2261</f>
        <v>0</v>
      </c>
      <c r="Z2261" s="1" t="n">
        <f aca="false">IF(AND($M2261=1,对接源_02物料!$D1061="原料入库"),1,0)</f>
        <v>0</v>
      </c>
      <c r="AA2261" s="1" t="n">
        <f aca="false">N(AA2260)+$Z2261</f>
        <v>30</v>
      </c>
      <c r="AB2261" s="1" t="n">
        <f aca="false">IF(AND($M2261=1,LEFT(对接源_02物料!$D1061,4)="原料出库"),1,0)</f>
        <v>0</v>
      </c>
      <c r="AC2261" s="1" t="n">
        <f aca="false">N(AC2260)+$AB2261</f>
        <v>19</v>
      </c>
      <c r="AD2261" s="1" t="n">
        <f aca="false">IF(AND($M2261=1,LEFT(对接源_02物料!$D1061,4)="成品出库"),1,0)</f>
        <v>0</v>
      </c>
      <c r="AE2261" s="1" t="n">
        <f aca="false">N(AE2260)+$AD2261</f>
        <v>38</v>
      </c>
      <c r="AF2261" s="1" t="n">
        <f aca="false">IF(AND($N2261=1,AND(LEFT(对接源_02物料!$D1061,4)="包装物料",N(对接源_02物料!$K1061)&lt;&gt;0)),1,0)</f>
        <v>0</v>
      </c>
      <c r="AG2261" s="1" t="n">
        <f aca="false">N(AG2260)+$AF2261</f>
        <v>6</v>
      </c>
      <c r="AH2261" s="1" t="n">
        <f aca="false">IF(AND($N2261=1,AND(LEFT(对接源_02物料!$D1061,3)="周转筐",N(对接源_02物料!$K1061)&lt;&gt;0)),1,0)</f>
        <v>0</v>
      </c>
      <c r="AI2261" s="1" t="n">
        <f aca="false">N(AI2260)+$AH2261</f>
        <v>0</v>
      </c>
      <c r="AJ2261" s="1" t="n">
        <v>0</v>
      </c>
      <c r="AK2261" s="1" t="n">
        <f aca="false">N(AK2260)+$AJ2261</f>
        <v>3672</v>
      </c>
    </row>
    <row r="2262" customFormat="false" ht="13.5" hidden="false" customHeight="false" outlineLevel="0" collapsed="false">
      <c r="A2262" s="1" t="str">
        <f aca="false">IF(对接源_02物料!$C1062="","",对接源_02物料!$C1062)</f>
        <v/>
      </c>
      <c r="B2262" s="1" t="n">
        <f aca="false">IF(A2262="",0,IF(MATCH(A2262,$A$4:$A$2403,0)=ROW()-3,1,0))</f>
        <v>0</v>
      </c>
      <c r="C2262" s="1" t="n">
        <f aca="false">N(C2261)+B2262</f>
        <v>17</v>
      </c>
      <c r="K2262" s="1" t="n">
        <f aca="false">IF(OR($K$1="",对接源_02物料!$C1062="",对接源_02物料!$C1062&lt;&gt;$K$1,对接源_02物料!$B1062=""),0,IF(OR(N(对接源_02物料!$B1062)&lt;$K$2,N(对接源_02物料!$B1062)&gt;$K$3),0,1))</f>
        <v>0</v>
      </c>
      <c r="L2262" s="1" t="n">
        <f aca="false">IF(OR($L$1="",对接源_02物料!$C1062="",对接源_02物料!$C1062&lt;&gt;$L$1,对接源_02物料!$B1062=""),0,IF(OR(N(对接源_02物料!$B1062)&lt;$L$2,N(对接源_02物料!$B1062)&gt;$L$3),0,1))</f>
        <v>0</v>
      </c>
      <c r="M2262" s="1" t="n">
        <f aca="false">IF(OR($M$1="",对接源_02物料!$C1062="",对接源_02物料!$C1062&lt;&gt;$M$1,对接源_02物料!$B1062=""),0,IF(OR(N(对接源_02物料!$B1062)&lt;$M$2,N(对接源_02物料!$B1062)&gt;$M$3),0,1))</f>
        <v>0</v>
      </c>
      <c r="N2262" s="1" t="n">
        <f aca="false">IF(OR($N$1="",对接源_02物料!$C1062="",对接源_02物料!$C1062&lt;&gt;$N$1,对接源_02物料!$B1062=""),0,IF(OR(N(对接源_02物料!$B1062)&lt;$N$2,N(对接源_02物料!$B1062)&gt;$N$3),0,1))</f>
        <v>0</v>
      </c>
      <c r="P2262" s="1" t="n">
        <f aca="false">IF(AND($K2262=1,AND(对接源_02物料!$X1062="公司筐",N(对接源_02物料!$T1062)&lt;&gt;0)),1,0)</f>
        <v>0</v>
      </c>
      <c r="Q2262" s="1" t="n">
        <f aca="false">N(Q2261)+$P2262</f>
        <v>13</v>
      </c>
      <c r="R2262" s="1" t="n">
        <f aca="false">IF(AND($K2262=1,AND(对接源_02物料!$X1062="公司筐",N(对接源_02物料!$U1062)&lt;&gt;0)),1,0)</f>
        <v>0</v>
      </c>
      <c r="S2262" s="1" t="n">
        <f aca="false">N(S2261)+$R2262</f>
        <v>5</v>
      </c>
      <c r="T2262" s="1" t="n">
        <f aca="false">IF(AND($K2262=1,AND(对接源_02物料!$X1062="公司筐",N(对接源_02物料!$V1062)&lt;&gt;0)),1,0)</f>
        <v>0</v>
      </c>
      <c r="U2262" s="1" t="n">
        <f aca="false">N(U2261)+$T2262</f>
        <v>28</v>
      </c>
      <c r="V2262" s="1" t="n">
        <f aca="false">IF(AND($L2262=1,AND(对接源_02物料!$X1062="自备筐",N(对接源_02物料!$V1062)&lt;&gt;0)),1,0)</f>
        <v>0</v>
      </c>
      <c r="W2262" s="1" t="n">
        <f aca="false">N(W2261)+$V2262</f>
        <v>7</v>
      </c>
      <c r="X2262" s="1" t="n">
        <f aca="false">IF(AND($L2262=1,AND(对接源_02物料!$X1062="自备筐",N(对接源_02物料!$T1062)&lt;&gt;0)),1,0)</f>
        <v>0</v>
      </c>
      <c r="Y2262" s="1" t="n">
        <f aca="false">N(Y2261)+$X2262</f>
        <v>0</v>
      </c>
      <c r="Z2262" s="1" t="n">
        <f aca="false">IF(AND($M2262=1,对接源_02物料!$D1062="原料入库"),1,0)</f>
        <v>0</v>
      </c>
      <c r="AA2262" s="1" t="n">
        <f aca="false">N(AA2261)+$Z2262</f>
        <v>30</v>
      </c>
      <c r="AB2262" s="1" t="n">
        <f aca="false">IF(AND($M2262=1,LEFT(对接源_02物料!$D1062,4)="原料出库"),1,0)</f>
        <v>0</v>
      </c>
      <c r="AC2262" s="1" t="n">
        <f aca="false">N(AC2261)+$AB2262</f>
        <v>19</v>
      </c>
      <c r="AD2262" s="1" t="n">
        <f aca="false">IF(AND($M2262=1,LEFT(对接源_02物料!$D1062,4)="成品出库"),1,0)</f>
        <v>0</v>
      </c>
      <c r="AE2262" s="1" t="n">
        <f aca="false">N(AE2261)+$AD2262</f>
        <v>38</v>
      </c>
      <c r="AF2262" s="1" t="n">
        <f aca="false">IF(AND($N2262=1,AND(LEFT(对接源_02物料!$D1062,4)="包装物料",N(对接源_02物料!$K1062)&lt;&gt;0)),1,0)</f>
        <v>0</v>
      </c>
      <c r="AG2262" s="1" t="n">
        <f aca="false">N(AG2261)+$AF2262</f>
        <v>6</v>
      </c>
      <c r="AH2262" s="1" t="n">
        <f aca="false">IF(AND($N2262=1,AND(LEFT(对接源_02物料!$D1062,3)="周转筐",N(对接源_02物料!$K1062)&lt;&gt;0)),1,0)</f>
        <v>0</v>
      </c>
      <c r="AI2262" s="1" t="n">
        <f aca="false">N(AI2261)+$AH2262</f>
        <v>0</v>
      </c>
      <c r="AJ2262" s="1" t="n">
        <v>0</v>
      </c>
      <c r="AK2262" s="1" t="n">
        <f aca="false">N(AK2261)+$AJ2262</f>
        <v>3672</v>
      </c>
    </row>
    <row r="2263" customFormat="false" ht="13.5" hidden="false" customHeight="false" outlineLevel="0" collapsed="false">
      <c r="A2263" s="1" t="str">
        <f aca="false">IF(对接源_02物料!$C1063="","",对接源_02物料!$C1063)</f>
        <v/>
      </c>
      <c r="B2263" s="1" t="n">
        <f aca="false">IF(A2263="",0,IF(MATCH(A2263,$A$4:$A$2403,0)=ROW()-3,1,0))</f>
        <v>0</v>
      </c>
      <c r="C2263" s="1" t="n">
        <f aca="false">N(C2262)+B2263</f>
        <v>17</v>
      </c>
      <c r="K2263" s="1" t="n">
        <f aca="false">IF(OR($K$1="",对接源_02物料!$C1063="",对接源_02物料!$C1063&lt;&gt;$K$1,对接源_02物料!$B1063=""),0,IF(OR(N(对接源_02物料!$B1063)&lt;$K$2,N(对接源_02物料!$B1063)&gt;$K$3),0,1))</f>
        <v>0</v>
      </c>
      <c r="L2263" s="1" t="n">
        <f aca="false">IF(OR($L$1="",对接源_02物料!$C1063="",对接源_02物料!$C1063&lt;&gt;$L$1,对接源_02物料!$B1063=""),0,IF(OR(N(对接源_02物料!$B1063)&lt;$L$2,N(对接源_02物料!$B1063)&gt;$L$3),0,1))</f>
        <v>0</v>
      </c>
      <c r="M2263" s="1" t="n">
        <f aca="false">IF(OR($M$1="",对接源_02物料!$C1063="",对接源_02物料!$C1063&lt;&gt;$M$1,对接源_02物料!$B1063=""),0,IF(OR(N(对接源_02物料!$B1063)&lt;$M$2,N(对接源_02物料!$B1063)&gt;$M$3),0,1))</f>
        <v>0</v>
      </c>
      <c r="N2263" s="1" t="n">
        <f aca="false">IF(OR($N$1="",对接源_02物料!$C1063="",对接源_02物料!$C1063&lt;&gt;$N$1,对接源_02物料!$B1063=""),0,IF(OR(N(对接源_02物料!$B1063)&lt;$N$2,N(对接源_02物料!$B1063)&gt;$N$3),0,1))</f>
        <v>0</v>
      </c>
      <c r="P2263" s="1" t="n">
        <f aca="false">IF(AND($K2263=1,AND(对接源_02物料!$X1063="公司筐",N(对接源_02物料!$T1063)&lt;&gt;0)),1,0)</f>
        <v>0</v>
      </c>
      <c r="Q2263" s="1" t="n">
        <f aca="false">N(Q2262)+$P2263</f>
        <v>13</v>
      </c>
      <c r="R2263" s="1" t="n">
        <f aca="false">IF(AND($K2263=1,AND(对接源_02物料!$X1063="公司筐",N(对接源_02物料!$U1063)&lt;&gt;0)),1,0)</f>
        <v>0</v>
      </c>
      <c r="S2263" s="1" t="n">
        <f aca="false">N(S2262)+$R2263</f>
        <v>5</v>
      </c>
      <c r="T2263" s="1" t="n">
        <f aca="false">IF(AND($K2263=1,AND(对接源_02物料!$X1063="公司筐",N(对接源_02物料!$V1063)&lt;&gt;0)),1,0)</f>
        <v>0</v>
      </c>
      <c r="U2263" s="1" t="n">
        <f aca="false">N(U2262)+$T2263</f>
        <v>28</v>
      </c>
      <c r="V2263" s="1" t="n">
        <f aca="false">IF(AND($L2263=1,AND(对接源_02物料!$X1063="自备筐",N(对接源_02物料!$V1063)&lt;&gt;0)),1,0)</f>
        <v>0</v>
      </c>
      <c r="W2263" s="1" t="n">
        <f aca="false">N(W2262)+$V2263</f>
        <v>7</v>
      </c>
      <c r="X2263" s="1" t="n">
        <f aca="false">IF(AND($L2263=1,AND(对接源_02物料!$X1063="自备筐",N(对接源_02物料!$T1063)&lt;&gt;0)),1,0)</f>
        <v>0</v>
      </c>
      <c r="Y2263" s="1" t="n">
        <f aca="false">N(Y2262)+$X2263</f>
        <v>0</v>
      </c>
      <c r="Z2263" s="1" t="n">
        <f aca="false">IF(AND($M2263=1,对接源_02物料!$D1063="原料入库"),1,0)</f>
        <v>0</v>
      </c>
      <c r="AA2263" s="1" t="n">
        <f aca="false">N(AA2262)+$Z2263</f>
        <v>30</v>
      </c>
      <c r="AB2263" s="1" t="n">
        <f aca="false">IF(AND($M2263=1,LEFT(对接源_02物料!$D1063,4)="原料出库"),1,0)</f>
        <v>0</v>
      </c>
      <c r="AC2263" s="1" t="n">
        <f aca="false">N(AC2262)+$AB2263</f>
        <v>19</v>
      </c>
      <c r="AD2263" s="1" t="n">
        <f aca="false">IF(AND($M2263=1,LEFT(对接源_02物料!$D1063,4)="成品出库"),1,0)</f>
        <v>0</v>
      </c>
      <c r="AE2263" s="1" t="n">
        <f aca="false">N(AE2262)+$AD2263</f>
        <v>38</v>
      </c>
      <c r="AF2263" s="1" t="n">
        <f aca="false">IF(AND($N2263=1,AND(LEFT(对接源_02物料!$D1063,4)="包装物料",N(对接源_02物料!$K1063)&lt;&gt;0)),1,0)</f>
        <v>0</v>
      </c>
      <c r="AG2263" s="1" t="n">
        <f aca="false">N(AG2262)+$AF2263</f>
        <v>6</v>
      </c>
      <c r="AH2263" s="1" t="n">
        <f aca="false">IF(AND($N2263=1,AND(LEFT(对接源_02物料!$D1063,3)="周转筐",N(对接源_02物料!$K1063)&lt;&gt;0)),1,0)</f>
        <v>0</v>
      </c>
      <c r="AI2263" s="1" t="n">
        <f aca="false">N(AI2262)+$AH2263</f>
        <v>0</v>
      </c>
      <c r="AJ2263" s="1" t="n">
        <v>0</v>
      </c>
      <c r="AK2263" s="1" t="n">
        <f aca="false">N(AK2262)+$AJ2263</f>
        <v>3672</v>
      </c>
    </row>
    <row r="2264" customFormat="false" ht="13.5" hidden="false" customHeight="false" outlineLevel="0" collapsed="false">
      <c r="A2264" s="1" t="str">
        <f aca="false">IF(对接源_02物料!$C1064="","",对接源_02物料!$C1064)</f>
        <v/>
      </c>
      <c r="B2264" s="1" t="n">
        <f aca="false">IF(A2264="",0,IF(MATCH(A2264,$A$4:$A$2403,0)=ROW()-3,1,0))</f>
        <v>0</v>
      </c>
      <c r="C2264" s="1" t="n">
        <f aca="false">N(C2263)+B2264</f>
        <v>17</v>
      </c>
      <c r="K2264" s="1" t="n">
        <f aca="false">IF(OR($K$1="",对接源_02物料!$C1064="",对接源_02物料!$C1064&lt;&gt;$K$1,对接源_02物料!$B1064=""),0,IF(OR(N(对接源_02物料!$B1064)&lt;$K$2,N(对接源_02物料!$B1064)&gt;$K$3),0,1))</f>
        <v>0</v>
      </c>
      <c r="L2264" s="1" t="n">
        <f aca="false">IF(OR($L$1="",对接源_02物料!$C1064="",对接源_02物料!$C1064&lt;&gt;$L$1,对接源_02物料!$B1064=""),0,IF(OR(N(对接源_02物料!$B1064)&lt;$L$2,N(对接源_02物料!$B1064)&gt;$L$3),0,1))</f>
        <v>0</v>
      </c>
      <c r="M2264" s="1" t="n">
        <f aca="false">IF(OR($M$1="",对接源_02物料!$C1064="",对接源_02物料!$C1064&lt;&gt;$M$1,对接源_02物料!$B1064=""),0,IF(OR(N(对接源_02物料!$B1064)&lt;$M$2,N(对接源_02物料!$B1064)&gt;$M$3),0,1))</f>
        <v>0</v>
      </c>
      <c r="N2264" s="1" t="n">
        <f aca="false">IF(OR($N$1="",对接源_02物料!$C1064="",对接源_02物料!$C1064&lt;&gt;$N$1,对接源_02物料!$B1064=""),0,IF(OR(N(对接源_02物料!$B1064)&lt;$N$2,N(对接源_02物料!$B1064)&gt;$N$3),0,1))</f>
        <v>0</v>
      </c>
      <c r="P2264" s="1" t="n">
        <f aca="false">IF(AND($K2264=1,AND(对接源_02物料!$X1064="公司筐",N(对接源_02物料!$T1064)&lt;&gt;0)),1,0)</f>
        <v>0</v>
      </c>
      <c r="Q2264" s="1" t="n">
        <f aca="false">N(Q2263)+$P2264</f>
        <v>13</v>
      </c>
      <c r="R2264" s="1" t="n">
        <f aca="false">IF(AND($K2264=1,AND(对接源_02物料!$X1064="公司筐",N(对接源_02物料!$U1064)&lt;&gt;0)),1,0)</f>
        <v>0</v>
      </c>
      <c r="S2264" s="1" t="n">
        <f aca="false">N(S2263)+$R2264</f>
        <v>5</v>
      </c>
      <c r="T2264" s="1" t="n">
        <f aca="false">IF(AND($K2264=1,AND(对接源_02物料!$X1064="公司筐",N(对接源_02物料!$V1064)&lt;&gt;0)),1,0)</f>
        <v>0</v>
      </c>
      <c r="U2264" s="1" t="n">
        <f aca="false">N(U2263)+$T2264</f>
        <v>28</v>
      </c>
      <c r="V2264" s="1" t="n">
        <f aca="false">IF(AND($L2264=1,AND(对接源_02物料!$X1064="自备筐",N(对接源_02物料!$V1064)&lt;&gt;0)),1,0)</f>
        <v>0</v>
      </c>
      <c r="W2264" s="1" t="n">
        <f aca="false">N(W2263)+$V2264</f>
        <v>7</v>
      </c>
      <c r="X2264" s="1" t="n">
        <f aca="false">IF(AND($L2264=1,AND(对接源_02物料!$X1064="自备筐",N(对接源_02物料!$T1064)&lt;&gt;0)),1,0)</f>
        <v>0</v>
      </c>
      <c r="Y2264" s="1" t="n">
        <f aca="false">N(Y2263)+$X2264</f>
        <v>0</v>
      </c>
      <c r="Z2264" s="1" t="n">
        <f aca="false">IF(AND($M2264=1,对接源_02物料!$D1064="原料入库"),1,0)</f>
        <v>0</v>
      </c>
      <c r="AA2264" s="1" t="n">
        <f aca="false">N(AA2263)+$Z2264</f>
        <v>30</v>
      </c>
      <c r="AB2264" s="1" t="n">
        <f aca="false">IF(AND($M2264=1,LEFT(对接源_02物料!$D1064,4)="原料出库"),1,0)</f>
        <v>0</v>
      </c>
      <c r="AC2264" s="1" t="n">
        <f aca="false">N(AC2263)+$AB2264</f>
        <v>19</v>
      </c>
      <c r="AD2264" s="1" t="n">
        <f aca="false">IF(AND($M2264=1,LEFT(对接源_02物料!$D1064,4)="成品出库"),1,0)</f>
        <v>0</v>
      </c>
      <c r="AE2264" s="1" t="n">
        <f aca="false">N(AE2263)+$AD2264</f>
        <v>38</v>
      </c>
      <c r="AF2264" s="1" t="n">
        <f aca="false">IF(AND($N2264=1,AND(LEFT(对接源_02物料!$D1064,4)="包装物料",N(对接源_02物料!$K1064)&lt;&gt;0)),1,0)</f>
        <v>0</v>
      </c>
      <c r="AG2264" s="1" t="n">
        <f aca="false">N(AG2263)+$AF2264</f>
        <v>6</v>
      </c>
      <c r="AH2264" s="1" t="n">
        <f aca="false">IF(AND($N2264=1,AND(LEFT(对接源_02物料!$D1064,3)="周转筐",N(对接源_02物料!$K1064)&lt;&gt;0)),1,0)</f>
        <v>0</v>
      </c>
      <c r="AI2264" s="1" t="n">
        <f aca="false">N(AI2263)+$AH2264</f>
        <v>0</v>
      </c>
      <c r="AJ2264" s="1" t="n">
        <v>0</v>
      </c>
      <c r="AK2264" s="1" t="n">
        <f aca="false">N(AK2263)+$AJ2264</f>
        <v>3672</v>
      </c>
    </row>
    <row r="2265" customFormat="false" ht="13.5" hidden="false" customHeight="false" outlineLevel="0" collapsed="false">
      <c r="A2265" s="1" t="str">
        <f aca="false">IF(对接源_02物料!$C1065="","",对接源_02物料!$C1065)</f>
        <v/>
      </c>
      <c r="B2265" s="1" t="n">
        <f aca="false">IF(A2265="",0,IF(MATCH(A2265,$A$4:$A$2403,0)=ROW()-3,1,0))</f>
        <v>0</v>
      </c>
      <c r="C2265" s="1" t="n">
        <f aca="false">N(C2264)+B2265</f>
        <v>17</v>
      </c>
      <c r="K2265" s="1" t="n">
        <f aca="false">IF(OR($K$1="",对接源_02物料!$C1065="",对接源_02物料!$C1065&lt;&gt;$K$1,对接源_02物料!$B1065=""),0,IF(OR(N(对接源_02物料!$B1065)&lt;$K$2,N(对接源_02物料!$B1065)&gt;$K$3),0,1))</f>
        <v>0</v>
      </c>
      <c r="L2265" s="1" t="n">
        <f aca="false">IF(OR($L$1="",对接源_02物料!$C1065="",对接源_02物料!$C1065&lt;&gt;$L$1,对接源_02物料!$B1065=""),0,IF(OR(N(对接源_02物料!$B1065)&lt;$L$2,N(对接源_02物料!$B1065)&gt;$L$3),0,1))</f>
        <v>0</v>
      </c>
      <c r="M2265" s="1" t="n">
        <f aca="false">IF(OR($M$1="",对接源_02物料!$C1065="",对接源_02物料!$C1065&lt;&gt;$M$1,对接源_02物料!$B1065=""),0,IF(OR(N(对接源_02物料!$B1065)&lt;$M$2,N(对接源_02物料!$B1065)&gt;$M$3),0,1))</f>
        <v>0</v>
      </c>
      <c r="N2265" s="1" t="n">
        <f aca="false">IF(OR($N$1="",对接源_02物料!$C1065="",对接源_02物料!$C1065&lt;&gt;$N$1,对接源_02物料!$B1065=""),0,IF(OR(N(对接源_02物料!$B1065)&lt;$N$2,N(对接源_02物料!$B1065)&gt;$N$3),0,1))</f>
        <v>0</v>
      </c>
      <c r="P2265" s="1" t="n">
        <f aca="false">IF(AND($K2265=1,AND(对接源_02物料!$X1065="公司筐",N(对接源_02物料!$T1065)&lt;&gt;0)),1,0)</f>
        <v>0</v>
      </c>
      <c r="Q2265" s="1" t="n">
        <f aca="false">N(Q2264)+$P2265</f>
        <v>13</v>
      </c>
      <c r="R2265" s="1" t="n">
        <f aca="false">IF(AND($K2265=1,AND(对接源_02物料!$X1065="公司筐",N(对接源_02物料!$U1065)&lt;&gt;0)),1,0)</f>
        <v>0</v>
      </c>
      <c r="S2265" s="1" t="n">
        <f aca="false">N(S2264)+$R2265</f>
        <v>5</v>
      </c>
      <c r="T2265" s="1" t="n">
        <f aca="false">IF(AND($K2265=1,AND(对接源_02物料!$X1065="公司筐",N(对接源_02物料!$V1065)&lt;&gt;0)),1,0)</f>
        <v>0</v>
      </c>
      <c r="U2265" s="1" t="n">
        <f aca="false">N(U2264)+$T2265</f>
        <v>28</v>
      </c>
      <c r="V2265" s="1" t="n">
        <f aca="false">IF(AND($L2265=1,AND(对接源_02物料!$X1065="自备筐",N(对接源_02物料!$V1065)&lt;&gt;0)),1,0)</f>
        <v>0</v>
      </c>
      <c r="W2265" s="1" t="n">
        <f aca="false">N(W2264)+$V2265</f>
        <v>7</v>
      </c>
      <c r="X2265" s="1" t="n">
        <f aca="false">IF(AND($L2265=1,AND(对接源_02物料!$X1065="自备筐",N(对接源_02物料!$T1065)&lt;&gt;0)),1,0)</f>
        <v>0</v>
      </c>
      <c r="Y2265" s="1" t="n">
        <f aca="false">N(Y2264)+$X2265</f>
        <v>0</v>
      </c>
      <c r="Z2265" s="1" t="n">
        <f aca="false">IF(AND($M2265=1,对接源_02物料!$D1065="原料入库"),1,0)</f>
        <v>0</v>
      </c>
      <c r="AA2265" s="1" t="n">
        <f aca="false">N(AA2264)+$Z2265</f>
        <v>30</v>
      </c>
      <c r="AB2265" s="1" t="n">
        <f aca="false">IF(AND($M2265=1,LEFT(对接源_02物料!$D1065,4)="原料出库"),1,0)</f>
        <v>0</v>
      </c>
      <c r="AC2265" s="1" t="n">
        <f aca="false">N(AC2264)+$AB2265</f>
        <v>19</v>
      </c>
      <c r="AD2265" s="1" t="n">
        <f aca="false">IF(AND($M2265=1,LEFT(对接源_02物料!$D1065,4)="成品出库"),1,0)</f>
        <v>0</v>
      </c>
      <c r="AE2265" s="1" t="n">
        <f aca="false">N(AE2264)+$AD2265</f>
        <v>38</v>
      </c>
      <c r="AF2265" s="1" t="n">
        <f aca="false">IF(AND($N2265=1,AND(LEFT(对接源_02物料!$D1065,4)="包装物料",N(对接源_02物料!$K1065)&lt;&gt;0)),1,0)</f>
        <v>0</v>
      </c>
      <c r="AG2265" s="1" t="n">
        <f aca="false">N(AG2264)+$AF2265</f>
        <v>6</v>
      </c>
      <c r="AH2265" s="1" t="n">
        <f aca="false">IF(AND($N2265=1,AND(LEFT(对接源_02物料!$D1065,3)="周转筐",N(对接源_02物料!$K1065)&lt;&gt;0)),1,0)</f>
        <v>0</v>
      </c>
      <c r="AI2265" s="1" t="n">
        <f aca="false">N(AI2264)+$AH2265</f>
        <v>0</v>
      </c>
      <c r="AJ2265" s="1" t="n">
        <v>0</v>
      </c>
      <c r="AK2265" s="1" t="n">
        <f aca="false">N(AK2264)+$AJ2265</f>
        <v>3672</v>
      </c>
    </row>
    <row r="2266" customFormat="false" ht="13.5" hidden="false" customHeight="false" outlineLevel="0" collapsed="false">
      <c r="A2266" s="1" t="str">
        <f aca="false">IF(对接源_02物料!$C1066="","",对接源_02物料!$C1066)</f>
        <v/>
      </c>
      <c r="B2266" s="1" t="n">
        <f aca="false">IF(A2266="",0,IF(MATCH(A2266,$A$4:$A$2403,0)=ROW()-3,1,0))</f>
        <v>0</v>
      </c>
      <c r="C2266" s="1" t="n">
        <f aca="false">N(C2265)+B2266</f>
        <v>17</v>
      </c>
      <c r="K2266" s="1" t="n">
        <f aca="false">IF(OR($K$1="",对接源_02物料!$C1066="",对接源_02物料!$C1066&lt;&gt;$K$1,对接源_02物料!$B1066=""),0,IF(OR(N(对接源_02物料!$B1066)&lt;$K$2,N(对接源_02物料!$B1066)&gt;$K$3),0,1))</f>
        <v>0</v>
      </c>
      <c r="L2266" s="1" t="n">
        <f aca="false">IF(OR($L$1="",对接源_02物料!$C1066="",对接源_02物料!$C1066&lt;&gt;$L$1,对接源_02物料!$B1066=""),0,IF(OR(N(对接源_02物料!$B1066)&lt;$L$2,N(对接源_02物料!$B1066)&gt;$L$3),0,1))</f>
        <v>0</v>
      </c>
      <c r="M2266" s="1" t="n">
        <f aca="false">IF(OR($M$1="",对接源_02物料!$C1066="",对接源_02物料!$C1066&lt;&gt;$M$1,对接源_02物料!$B1066=""),0,IF(OR(N(对接源_02物料!$B1066)&lt;$M$2,N(对接源_02物料!$B1066)&gt;$M$3),0,1))</f>
        <v>0</v>
      </c>
      <c r="N2266" s="1" t="n">
        <f aca="false">IF(OR($N$1="",对接源_02物料!$C1066="",对接源_02物料!$C1066&lt;&gt;$N$1,对接源_02物料!$B1066=""),0,IF(OR(N(对接源_02物料!$B1066)&lt;$N$2,N(对接源_02物料!$B1066)&gt;$N$3),0,1))</f>
        <v>0</v>
      </c>
      <c r="P2266" s="1" t="n">
        <f aca="false">IF(AND($K2266=1,AND(对接源_02物料!$X1066="公司筐",N(对接源_02物料!$T1066)&lt;&gt;0)),1,0)</f>
        <v>0</v>
      </c>
      <c r="Q2266" s="1" t="n">
        <f aca="false">N(Q2265)+$P2266</f>
        <v>13</v>
      </c>
      <c r="R2266" s="1" t="n">
        <f aca="false">IF(AND($K2266=1,AND(对接源_02物料!$X1066="公司筐",N(对接源_02物料!$U1066)&lt;&gt;0)),1,0)</f>
        <v>0</v>
      </c>
      <c r="S2266" s="1" t="n">
        <f aca="false">N(S2265)+$R2266</f>
        <v>5</v>
      </c>
      <c r="T2266" s="1" t="n">
        <f aca="false">IF(AND($K2266=1,AND(对接源_02物料!$X1066="公司筐",N(对接源_02物料!$V1066)&lt;&gt;0)),1,0)</f>
        <v>0</v>
      </c>
      <c r="U2266" s="1" t="n">
        <f aca="false">N(U2265)+$T2266</f>
        <v>28</v>
      </c>
      <c r="V2266" s="1" t="n">
        <f aca="false">IF(AND($L2266=1,AND(对接源_02物料!$X1066="自备筐",N(对接源_02物料!$V1066)&lt;&gt;0)),1,0)</f>
        <v>0</v>
      </c>
      <c r="W2266" s="1" t="n">
        <f aca="false">N(W2265)+$V2266</f>
        <v>7</v>
      </c>
      <c r="X2266" s="1" t="n">
        <f aca="false">IF(AND($L2266=1,AND(对接源_02物料!$X1066="自备筐",N(对接源_02物料!$T1066)&lt;&gt;0)),1,0)</f>
        <v>0</v>
      </c>
      <c r="Y2266" s="1" t="n">
        <f aca="false">N(Y2265)+$X2266</f>
        <v>0</v>
      </c>
      <c r="Z2266" s="1" t="n">
        <f aca="false">IF(AND($M2266=1,对接源_02物料!$D1066="原料入库"),1,0)</f>
        <v>0</v>
      </c>
      <c r="AA2266" s="1" t="n">
        <f aca="false">N(AA2265)+$Z2266</f>
        <v>30</v>
      </c>
      <c r="AB2266" s="1" t="n">
        <f aca="false">IF(AND($M2266=1,LEFT(对接源_02物料!$D1066,4)="原料出库"),1,0)</f>
        <v>0</v>
      </c>
      <c r="AC2266" s="1" t="n">
        <f aca="false">N(AC2265)+$AB2266</f>
        <v>19</v>
      </c>
      <c r="AD2266" s="1" t="n">
        <f aca="false">IF(AND($M2266=1,LEFT(对接源_02物料!$D1066,4)="成品出库"),1,0)</f>
        <v>0</v>
      </c>
      <c r="AE2266" s="1" t="n">
        <f aca="false">N(AE2265)+$AD2266</f>
        <v>38</v>
      </c>
      <c r="AF2266" s="1" t="n">
        <f aca="false">IF(AND($N2266=1,AND(LEFT(对接源_02物料!$D1066,4)="包装物料",N(对接源_02物料!$K1066)&lt;&gt;0)),1,0)</f>
        <v>0</v>
      </c>
      <c r="AG2266" s="1" t="n">
        <f aca="false">N(AG2265)+$AF2266</f>
        <v>6</v>
      </c>
      <c r="AH2266" s="1" t="n">
        <f aca="false">IF(AND($N2266=1,AND(LEFT(对接源_02物料!$D1066,3)="周转筐",N(对接源_02物料!$K1066)&lt;&gt;0)),1,0)</f>
        <v>0</v>
      </c>
      <c r="AI2266" s="1" t="n">
        <f aca="false">N(AI2265)+$AH2266</f>
        <v>0</v>
      </c>
      <c r="AJ2266" s="1" t="n">
        <v>0</v>
      </c>
      <c r="AK2266" s="1" t="n">
        <f aca="false">N(AK2265)+$AJ2266</f>
        <v>3672</v>
      </c>
    </row>
    <row r="2267" customFormat="false" ht="13.5" hidden="false" customHeight="false" outlineLevel="0" collapsed="false">
      <c r="A2267" s="1" t="str">
        <f aca="false">IF(对接源_02物料!$C1067="","",对接源_02物料!$C1067)</f>
        <v/>
      </c>
      <c r="B2267" s="1" t="n">
        <f aca="false">IF(A2267="",0,IF(MATCH(A2267,$A$4:$A$2403,0)=ROW()-3,1,0))</f>
        <v>0</v>
      </c>
      <c r="C2267" s="1" t="n">
        <f aca="false">N(C2266)+B2267</f>
        <v>17</v>
      </c>
      <c r="K2267" s="1" t="n">
        <f aca="false">IF(OR($K$1="",对接源_02物料!$C1067="",对接源_02物料!$C1067&lt;&gt;$K$1,对接源_02物料!$B1067=""),0,IF(OR(N(对接源_02物料!$B1067)&lt;$K$2,N(对接源_02物料!$B1067)&gt;$K$3),0,1))</f>
        <v>0</v>
      </c>
      <c r="L2267" s="1" t="n">
        <f aca="false">IF(OR($L$1="",对接源_02物料!$C1067="",对接源_02物料!$C1067&lt;&gt;$L$1,对接源_02物料!$B1067=""),0,IF(OR(N(对接源_02物料!$B1067)&lt;$L$2,N(对接源_02物料!$B1067)&gt;$L$3),0,1))</f>
        <v>0</v>
      </c>
      <c r="M2267" s="1" t="n">
        <f aca="false">IF(OR($M$1="",对接源_02物料!$C1067="",对接源_02物料!$C1067&lt;&gt;$M$1,对接源_02物料!$B1067=""),0,IF(OR(N(对接源_02物料!$B1067)&lt;$M$2,N(对接源_02物料!$B1067)&gt;$M$3),0,1))</f>
        <v>0</v>
      </c>
      <c r="N2267" s="1" t="n">
        <f aca="false">IF(OR($N$1="",对接源_02物料!$C1067="",对接源_02物料!$C1067&lt;&gt;$N$1,对接源_02物料!$B1067=""),0,IF(OR(N(对接源_02物料!$B1067)&lt;$N$2,N(对接源_02物料!$B1067)&gt;$N$3),0,1))</f>
        <v>0</v>
      </c>
      <c r="P2267" s="1" t="n">
        <f aca="false">IF(AND($K2267=1,AND(对接源_02物料!$X1067="公司筐",N(对接源_02物料!$T1067)&lt;&gt;0)),1,0)</f>
        <v>0</v>
      </c>
      <c r="Q2267" s="1" t="n">
        <f aca="false">N(Q2266)+$P2267</f>
        <v>13</v>
      </c>
      <c r="R2267" s="1" t="n">
        <f aca="false">IF(AND($K2267=1,AND(对接源_02物料!$X1067="公司筐",N(对接源_02物料!$U1067)&lt;&gt;0)),1,0)</f>
        <v>0</v>
      </c>
      <c r="S2267" s="1" t="n">
        <f aca="false">N(S2266)+$R2267</f>
        <v>5</v>
      </c>
      <c r="T2267" s="1" t="n">
        <f aca="false">IF(AND($K2267=1,AND(对接源_02物料!$X1067="公司筐",N(对接源_02物料!$V1067)&lt;&gt;0)),1,0)</f>
        <v>0</v>
      </c>
      <c r="U2267" s="1" t="n">
        <f aca="false">N(U2266)+$T2267</f>
        <v>28</v>
      </c>
      <c r="V2267" s="1" t="n">
        <f aca="false">IF(AND($L2267=1,AND(对接源_02物料!$X1067="自备筐",N(对接源_02物料!$V1067)&lt;&gt;0)),1,0)</f>
        <v>0</v>
      </c>
      <c r="W2267" s="1" t="n">
        <f aca="false">N(W2266)+$V2267</f>
        <v>7</v>
      </c>
      <c r="X2267" s="1" t="n">
        <f aca="false">IF(AND($L2267=1,AND(对接源_02物料!$X1067="自备筐",N(对接源_02物料!$T1067)&lt;&gt;0)),1,0)</f>
        <v>0</v>
      </c>
      <c r="Y2267" s="1" t="n">
        <f aca="false">N(Y2266)+$X2267</f>
        <v>0</v>
      </c>
      <c r="Z2267" s="1" t="n">
        <f aca="false">IF(AND($M2267=1,对接源_02物料!$D1067="原料入库"),1,0)</f>
        <v>0</v>
      </c>
      <c r="AA2267" s="1" t="n">
        <f aca="false">N(AA2266)+$Z2267</f>
        <v>30</v>
      </c>
      <c r="AB2267" s="1" t="n">
        <f aca="false">IF(AND($M2267=1,LEFT(对接源_02物料!$D1067,4)="原料出库"),1,0)</f>
        <v>0</v>
      </c>
      <c r="AC2267" s="1" t="n">
        <f aca="false">N(AC2266)+$AB2267</f>
        <v>19</v>
      </c>
      <c r="AD2267" s="1" t="n">
        <f aca="false">IF(AND($M2267=1,LEFT(对接源_02物料!$D1067,4)="成品出库"),1,0)</f>
        <v>0</v>
      </c>
      <c r="AE2267" s="1" t="n">
        <f aca="false">N(AE2266)+$AD2267</f>
        <v>38</v>
      </c>
      <c r="AF2267" s="1" t="n">
        <f aca="false">IF(AND($N2267=1,AND(LEFT(对接源_02物料!$D1067,4)="包装物料",N(对接源_02物料!$K1067)&lt;&gt;0)),1,0)</f>
        <v>0</v>
      </c>
      <c r="AG2267" s="1" t="n">
        <f aca="false">N(AG2266)+$AF2267</f>
        <v>6</v>
      </c>
      <c r="AH2267" s="1" t="n">
        <f aca="false">IF(AND($N2267=1,AND(LEFT(对接源_02物料!$D1067,3)="周转筐",N(对接源_02物料!$K1067)&lt;&gt;0)),1,0)</f>
        <v>0</v>
      </c>
      <c r="AI2267" s="1" t="n">
        <f aca="false">N(AI2266)+$AH2267</f>
        <v>0</v>
      </c>
      <c r="AJ2267" s="1" t="n">
        <v>0</v>
      </c>
      <c r="AK2267" s="1" t="n">
        <f aca="false">N(AK2266)+$AJ2267</f>
        <v>3672</v>
      </c>
    </row>
    <row r="2268" customFormat="false" ht="13.5" hidden="false" customHeight="false" outlineLevel="0" collapsed="false">
      <c r="A2268" s="1" t="str">
        <f aca="false">IF(对接源_02物料!$C1068="","",对接源_02物料!$C1068)</f>
        <v/>
      </c>
      <c r="B2268" s="1" t="n">
        <f aca="false">IF(A2268="",0,IF(MATCH(A2268,$A$4:$A$2403,0)=ROW()-3,1,0))</f>
        <v>0</v>
      </c>
      <c r="C2268" s="1" t="n">
        <f aca="false">N(C2267)+B2268</f>
        <v>17</v>
      </c>
      <c r="K2268" s="1" t="n">
        <f aca="false">IF(OR($K$1="",对接源_02物料!$C1068="",对接源_02物料!$C1068&lt;&gt;$K$1,对接源_02物料!$B1068=""),0,IF(OR(N(对接源_02物料!$B1068)&lt;$K$2,N(对接源_02物料!$B1068)&gt;$K$3),0,1))</f>
        <v>0</v>
      </c>
      <c r="L2268" s="1" t="n">
        <f aca="false">IF(OR($L$1="",对接源_02物料!$C1068="",对接源_02物料!$C1068&lt;&gt;$L$1,对接源_02物料!$B1068=""),0,IF(OR(N(对接源_02物料!$B1068)&lt;$L$2,N(对接源_02物料!$B1068)&gt;$L$3),0,1))</f>
        <v>0</v>
      </c>
      <c r="M2268" s="1" t="n">
        <f aca="false">IF(OR($M$1="",对接源_02物料!$C1068="",对接源_02物料!$C1068&lt;&gt;$M$1,对接源_02物料!$B1068=""),0,IF(OR(N(对接源_02物料!$B1068)&lt;$M$2,N(对接源_02物料!$B1068)&gt;$M$3),0,1))</f>
        <v>0</v>
      </c>
      <c r="N2268" s="1" t="n">
        <f aca="false">IF(OR($N$1="",对接源_02物料!$C1068="",对接源_02物料!$C1068&lt;&gt;$N$1,对接源_02物料!$B1068=""),0,IF(OR(N(对接源_02物料!$B1068)&lt;$N$2,N(对接源_02物料!$B1068)&gt;$N$3),0,1))</f>
        <v>0</v>
      </c>
      <c r="P2268" s="1" t="n">
        <f aca="false">IF(AND($K2268=1,AND(对接源_02物料!$X1068="公司筐",N(对接源_02物料!$T1068)&lt;&gt;0)),1,0)</f>
        <v>0</v>
      </c>
      <c r="Q2268" s="1" t="n">
        <f aca="false">N(Q2267)+$P2268</f>
        <v>13</v>
      </c>
      <c r="R2268" s="1" t="n">
        <f aca="false">IF(AND($K2268=1,AND(对接源_02物料!$X1068="公司筐",N(对接源_02物料!$U1068)&lt;&gt;0)),1,0)</f>
        <v>0</v>
      </c>
      <c r="S2268" s="1" t="n">
        <f aca="false">N(S2267)+$R2268</f>
        <v>5</v>
      </c>
      <c r="T2268" s="1" t="n">
        <f aca="false">IF(AND($K2268=1,AND(对接源_02物料!$X1068="公司筐",N(对接源_02物料!$V1068)&lt;&gt;0)),1,0)</f>
        <v>0</v>
      </c>
      <c r="U2268" s="1" t="n">
        <f aca="false">N(U2267)+$T2268</f>
        <v>28</v>
      </c>
      <c r="V2268" s="1" t="n">
        <f aca="false">IF(AND($L2268=1,AND(对接源_02物料!$X1068="自备筐",N(对接源_02物料!$V1068)&lt;&gt;0)),1,0)</f>
        <v>0</v>
      </c>
      <c r="W2268" s="1" t="n">
        <f aca="false">N(W2267)+$V2268</f>
        <v>7</v>
      </c>
      <c r="X2268" s="1" t="n">
        <f aca="false">IF(AND($L2268=1,AND(对接源_02物料!$X1068="自备筐",N(对接源_02物料!$T1068)&lt;&gt;0)),1,0)</f>
        <v>0</v>
      </c>
      <c r="Y2268" s="1" t="n">
        <f aca="false">N(Y2267)+$X2268</f>
        <v>0</v>
      </c>
      <c r="Z2268" s="1" t="n">
        <f aca="false">IF(AND($M2268=1,对接源_02物料!$D1068="原料入库"),1,0)</f>
        <v>0</v>
      </c>
      <c r="AA2268" s="1" t="n">
        <f aca="false">N(AA2267)+$Z2268</f>
        <v>30</v>
      </c>
      <c r="AB2268" s="1" t="n">
        <f aca="false">IF(AND($M2268=1,LEFT(对接源_02物料!$D1068,4)="原料出库"),1,0)</f>
        <v>0</v>
      </c>
      <c r="AC2268" s="1" t="n">
        <f aca="false">N(AC2267)+$AB2268</f>
        <v>19</v>
      </c>
      <c r="AD2268" s="1" t="n">
        <f aca="false">IF(AND($M2268=1,LEFT(对接源_02物料!$D1068,4)="成品出库"),1,0)</f>
        <v>0</v>
      </c>
      <c r="AE2268" s="1" t="n">
        <f aca="false">N(AE2267)+$AD2268</f>
        <v>38</v>
      </c>
      <c r="AF2268" s="1" t="n">
        <f aca="false">IF(AND($N2268=1,AND(LEFT(对接源_02物料!$D1068,4)="包装物料",N(对接源_02物料!$K1068)&lt;&gt;0)),1,0)</f>
        <v>0</v>
      </c>
      <c r="AG2268" s="1" t="n">
        <f aca="false">N(AG2267)+$AF2268</f>
        <v>6</v>
      </c>
      <c r="AH2268" s="1" t="n">
        <f aca="false">IF(AND($N2268=1,AND(LEFT(对接源_02物料!$D1068,3)="周转筐",N(对接源_02物料!$K1068)&lt;&gt;0)),1,0)</f>
        <v>0</v>
      </c>
      <c r="AI2268" s="1" t="n">
        <f aca="false">N(AI2267)+$AH2268</f>
        <v>0</v>
      </c>
      <c r="AJ2268" s="1" t="n">
        <v>0</v>
      </c>
      <c r="AK2268" s="1" t="n">
        <f aca="false">N(AK2267)+$AJ2268</f>
        <v>3672</v>
      </c>
    </row>
    <row r="2269" customFormat="false" ht="13.5" hidden="false" customHeight="false" outlineLevel="0" collapsed="false">
      <c r="A2269" s="1" t="str">
        <f aca="false">IF(对接源_02物料!$C1069="","",对接源_02物料!$C1069)</f>
        <v/>
      </c>
      <c r="B2269" s="1" t="n">
        <f aca="false">IF(A2269="",0,IF(MATCH(A2269,$A$4:$A$2403,0)=ROW()-3,1,0))</f>
        <v>0</v>
      </c>
      <c r="C2269" s="1" t="n">
        <f aca="false">N(C2268)+B2269</f>
        <v>17</v>
      </c>
      <c r="K2269" s="1" t="n">
        <f aca="false">IF(OR($K$1="",对接源_02物料!$C1069="",对接源_02物料!$C1069&lt;&gt;$K$1,对接源_02物料!$B1069=""),0,IF(OR(N(对接源_02物料!$B1069)&lt;$K$2,N(对接源_02物料!$B1069)&gt;$K$3),0,1))</f>
        <v>0</v>
      </c>
      <c r="L2269" s="1" t="n">
        <f aca="false">IF(OR($L$1="",对接源_02物料!$C1069="",对接源_02物料!$C1069&lt;&gt;$L$1,对接源_02物料!$B1069=""),0,IF(OR(N(对接源_02物料!$B1069)&lt;$L$2,N(对接源_02物料!$B1069)&gt;$L$3),0,1))</f>
        <v>0</v>
      </c>
      <c r="M2269" s="1" t="n">
        <f aca="false">IF(OR($M$1="",对接源_02物料!$C1069="",对接源_02物料!$C1069&lt;&gt;$M$1,对接源_02物料!$B1069=""),0,IF(OR(N(对接源_02物料!$B1069)&lt;$M$2,N(对接源_02物料!$B1069)&gt;$M$3),0,1))</f>
        <v>0</v>
      </c>
      <c r="N2269" s="1" t="n">
        <f aca="false">IF(OR($N$1="",对接源_02物料!$C1069="",对接源_02物料!$C1069&lt;&gt;$N$1,对接源_02物料!$B1069=""),0,IF(OR(N(对接源_02物料!$B1069)&lt;$N$2,N(对接源_02物料!$B1069)&gt;$N$3),0,1))</f>
        <v>0</v>
      </c>
      <c r="P2269" s="1" t="n">
        <f aca="false">IF(AND($K2269=1,AND(对接源_02物料!$X1069="公司筐",N(对接源_02物料!$T1069)&lt;&gt;0)),1,0)</f>
        <v>0</v>
      </c>
      <c r="Q2269" s="1" t="n">
        <f aca="false">N(Q2268)+$P2269</f>
        <v>13</v>
      </c>
      <c r="R2269" s="1" t="n">
        <f aca="false">IF(AND($K2269=1,AND(对接源_02物料!$X1069="公司筐",N(对接源_02物料!$U1069)&lt;&gt;0)),1,0)</f>
        <v>0</v>
      </c>
      <c r="S2269" s="1" t="n">
        <f aca="false">N(S2268)+$R2269</f>
        <v>5</v>
      </c>
      <c r="T2269" s="1" t="n">
        <f aca="false">IF(AND($K2269=1,AND(对接源_02物料!$X1069="公司筐",N(对接源_02物料!$V1069)&lt;&gt;0)),1,0)</f>
        <v>0</v>
      </c>
      <c r="U2269" s="1" t="n">
        <f aca="false">N(U2268)+$T2269</f>
        <v>28</v>
      </c>
      <c r="V2269" s="1" t="n">
        <f aca="false">IF(AND($L2269=1,AND(对接源_02物料!$X1069="自备筐",N(对接源_02物料!$V1069)&lt;&gt;0)),1,0)</f>
        <v>0</v>
      </c>
      <c r="W2269" s="1" t="n">
        <f aca="false">N(W2268)+$V2269</f>
        <v>7</v>
      </c>
      <c r="X2269" s="1" t="n">
        <f aca="false">IF(AND($L2269=1,AND(对接源_02物料!$X1069="自备筐",N(对接源_02物料!$T1069)&lt;&gt;0)),1,0)</f>
        <v>0</v>
      </c>
      <c r="Y2269" s="1" t="n">
        <f aca="false">N(Y2268)+$X2269</f>
        <v>0</v>
      </c>
      <c r="Z2269" s="1" t="n">
        <f aca="false">IF(AND($M2269=1,对接源_02物料!$D1069="原料入库"),1,0)</f>
        <v>0</v>
      </c>
      <c r="AA2269" s="1" t="n">
        <f aca="false">N(AA2268)+$Z2269</f>
        <v>30</v>
      </c>
      <c r="AB2269" s="1" t="n">
        <f aca="false">IF(AND($M2269=1,LEFT(对接源_02物料!$D1069,4)="原料出库"),1,0)</f>
        <v>0</v>
      </c>
      <c r="AC2269" s="1" t="n">
        <f aca="false">N(AC2268)+$AB2269</f>
        <v>19</v>
      </c>
      <c r="AD2269" s="1" t="n">
        <f aca="false">IF(AND($M2269=1,LEFT(对接源_02物料!$D1069,4)="成品出库"),1,0)</f>
        <v>0</v>
      </c>
      <c r="AE2269" s="1" t="n">
        <f aca="false">N(AE2268)+$AD2269</f>
        <v>38</v>
      </c>
      <c r="AF2269" s="1" t="n">
        <f aca="false">IF(AND($N2269=1,AND(LEFT(对接源_02物料!$D1069,4)="包装物料",N(对接源_02物料!$K1069)&lt;&gt;0)),1,0)</f>
        <v>0</v>
      </c>
      <c r="AG2269" s="1" t="n">
        <f aca="false">N(AG2268)+$AF2269</f>
        <v>6</v>
      </c>
      <c r="AH2269" s="1" t="n">
        <f aca="false">IF(AND($N2269=1,AND(LEFT(对接源_02物料!$D1069,3)="周转筐",N(对接源_02物料!$K1069)&lt;&gt;0)),1,0)</f>
        <v>0</v>
      </c>
      <c r="AI2269" s="1" t="n">
        <f aca="false">N(AI2268)+$AH2269</f>
        <v>0</v>
      </c>
      <c r="AJ2269" s="1" t="n">
        <v>0</v>
      </c>
      <c r="AK2269" s="1" t="n">
        <f aca="false">N(AK2268)+$AJ2269</f>
        <v>3672</v>
      </c>
    </row>
    <row r="2270" customFormat="false" ht="13.5" hidden="false" customHeight="false" outlineLevel="0" collapsed="false">
      <c r="A2270" s="1" t="str">
        <f aca="false">IF(对接源_02物料!$C1070="","",对接源_02物料!$C1070)</f>
        <v/>
      </c>
      <c r="B2270" s="1" t="n">
        <f aca="false">IF(A2270="",0,IF(MATCH(A2270,$A$4:$A$2403,0)=ROW()-3,1,0))</f>
        <v>0</v>
      </c>
      <c r="C2270" s="1" t="n">
        <f aca="false">N(C2269)+B2270</f>
        <v>17</v>
      </c>
      <c r="K2270" s="1" t="n">
        <f aca="false">IF(OR($K$1="",对接源_02物料!$C1070="",对接源_02物料!$C1070&lt;&gt;$K$1,对接源_02物料!$B1070=""),0,IF(OR(N(对接源_02物料!$B1070)&lt;$K$2,N(对接源_02物料!$B1070)&gt;$K$3),0,1))</f>
        <v>0</v>
      </c>
      <c r="L2270" s="1" t="n">
        <f aca="false">IF(OR($L$1="",对接源_02物料!$C1070="",对接源_02物料!$C1070&lt;&gt;$L$1,对接源_02物料!$B1070=""),0,IF(OR(N(对接源_02物料!$B1070)&lt;$L$2,N(对接源_02物料!$B1070)&gt;$L$3),0,1))</f>
        <v>0</v>
      </c>
      <c r="M2270" s="1" t="n">
        <f aca="false">IF(OR($M$1="",对接源_02物料!$C1070="",对接源_02物料!$C1070&lt;&gt;$M$1,对接源_02物料!$B1070=""),0,IF(OR(N(对接源_02物料!$B1070)&lt;$M$2,N(对接源_02物料!$B1070)&gt;$M$3),0,1))</f>
        <v>0</v>
      </c>
      <c r="N2270" s="1" t="n">
        <f aca="false">IF(OR($N$1="",对接源_02物料!$C1070="",对接源_02物料!$C1070&lt;&gt;$N$1,对接源_02物料!$B1070=""),0,IF(OR(N(对接源_02物料!$B1070)&lt;$N$2,N(对接源_02物料!$B1070)&gt;$N$3),0,1))</f>
        <v>0</v>
      </c>
      <c r="P2270" s="1" t="n">
        <f aca="false">IF(AND($K2270=1,AND(对接源_02物料!$X1070="公司筐",N(对接源_02物料!$T1070)&lt;&gt;0)),1,0)</f>
        <v>0</v>
      </c>
      <c r="Q2270" s="1" t="n">
        <f aca="false">N(Q2269)+$P2270</f>
        <v>13</v>
      </c>
      <c r="R2270" s="1" t="n">
        <f aca="false">IF(AND($K2270=1,AND(对接源_02物料!$X1070="公司筐",N(对接源_02物料!$U1070)&lt;&gt;0)),1,0)</f>
        <v>0</v>
      </c>
      <c r="S2270" s="1" t="n">
        <f aca="false">N(S2269)+$R2270</f>
        <v>5</v>
      </c>
      <c r="T2270" s="1" t="n">
        <f aca="false">IF(AND($K2270=1,AND(对接源_02物料!$X1070="公司筐",N(对接源_02物料!$V1070)&lt;&gt;0)),1,0)</f>
        <v>0</v>
      </c>
      <c r="U2270" s="1" t="n">
        <f aca="false">N(U2269)+$T2270</f>
        <v>28</v>
      </c>
      <c r="V2270" s="1" t="n">
        <f aca="false">IF(AND($L2270=1,AND(对接源_02物料!$X1070="自备筐",N(对接源_02物料!$V1070)&lt;&gt;0)),1,0)</f>
        <v>0</v>
      </c>
      <c r="W2270" s="1" t="n">
        <f aca="false">N(W2269)+$V2270</f>
        <v>7</v>
      </c>
      <c r="X2270" s="1" t="n">
        <f aca="false">IF(AND($L2270=1,AND(对接源_02物料!$X1070="自备筐",N(对接源_02物料!$T1070)&lt;&gt;0)),1,0)</f>
        <v>0</v>
      </c>
      <c r="Y2270" s="1" t="n">
        <f aca="false">N(Y2269)+$X2270</f>
        <v>0</v>
      </c>
      <c r="Z2270" s="1" t="n">
        <f aca="false">IF(AND($M2270=1,对接源_02物料!$D1070="原料入库"),1,0)</f>
        <v>0</v>
      </c>
      <c r="AA2270" s="1" t="n">
        <f aca="false">N(AA2269)+$Z2270</f>
        <v>30</v>
      </c>
      <c r="AB2270" s="1" t="n">
        <f aca="false">IF(AND($M2270=1,LEFT(对接源_02物料!$D1070,4)="原料出库"),1,0)</f>
        <v>0</v>
      </c>
      <c r="AC2270" s="1" t="n">
        <f aca="false">N(AC2269)+$AB2270</f>
        <v>19</v>
      </c>
      <c r="AD2270" s="1" t="n">
        <f aca="false">IF(AND($M2270=1,LEFT(对接源_02物料!$D1070,4)="成品出库"),1,0)</f>
        <v>0</v>
      </c>
      <c r="AE2270" s="1" t="n">
        <f aca="false">N(AE2269)+$AD2270</f>
        <v>38</v>
      </c>
      <c r="AF2270" s="1" t="n">
        <f aca="false">IF(AND($N2270=1,AND(LEFT(对接源_02物料!$D1070,4)="包装物料",N(对接源_02物料!$K1070)&lt;&gt;0)),1,0)</f>
        <v>0</v>
      </c>
      <c r="AG2270" s="1" t="n">
        <f aca="false">N(AG2269)+$AF2270</f>
        <v>6</v>
      </c>
      <c r="AH2270" s="1" t="n">
        <f aca="false">IF(AND($N2270=1,AND(LEFT(对接源_02物料!$D1070,3)="周转筐",N(对接源_02物料!$K1070)&lt;&gt;0)),1,0)</f>
        <v>0</v>
      </c>
      <c r="AI2270" s="1" t="n">
        <f aca="false">N(AI2269)+$AH2270</f>
        <v>0</v>
      </c>
      <c r="AJ2270" s="1" t="n">
        <v>0</v>
      </c>
      <c r="AK2270" s="1" t="n">
        <f aca="false">N(AK2269)+$AJ2270</f>
        <v>3672</v>
      </c>
    </row>
    <row r="2271" customFormat="false" ht="13.5" hidden="false" customHeight="false" outlineLevel="0" collapsed="false">
      <c r="A2271" s="1" t="str">
        <f aca="false">IF(对接源_02物料!$C1071="","",对接源_02物料!$C1071)</f>
        <v/>
      </c>
      <c r="B2271" s="1" t="n">
        <f aca="false">IF(A2271="",0,IF(MATCH(A2271,$A$4:$A$2403,0)=ROW()-3,1,0))</f>
        <v>0</v>
      </c>
      <c r="C2271" s="1" t="n">
        <f aca="false">N(C2270)+B2271</f>
        <v>17</v>
      </c>
      <c r="K2271" s="1" t="n">
        <f aca="false">IF(OR($K$1="",对接源_02物料!$C1071="",对接源_02物料!$C1071&lt;&gt;$K$1,对接源_02物料!$B1071=""),0,IF(OR(N(对接源_02物料!$B1071)&lt;$K$2,N(对接源_02物料!$B1071)&gt;$K$3),0,1))</f>
        <v>0</v>
      </c>
      <c r="L2271" s="1" t="n">
        <f aca="false">IF(OR($L$1="",对接源_02物料!$C1071="",对接源_02物料!$C1071&lt;&gt;$L$1,对接源_02物料!$B1071=""),0,IF(OR(N(对接源_02物料!$B1071)&lt;$L$2,N(对接源_02物料!$B1071)&gt;$L$3),0,1))</f>
        <v>0</v>
      </c>
      <c r="M2271" s="1" t="n">
        <f aca="false">IF(OR($M$1="",对接源_02物料!$C1071="",对接源_02物料!$C1071&lt;&gt;$M$1,对接源_02物料!$B1071=""),0,IF(OR(N(对接源_02物料!$B1071)&lt;$M$2,N(对接源_02物料!$B1071)&gt;$M$3),0,1))</f>
        <v>0</v>
      </c>
      <c r="N2271" s="1" t="n">
        <f aca="false">IF(OR($N$1="",对接源_02物料!$C1071="",对接源_02物料!$C1071&lt;&gt;$N$1,对接源_02物料!$B1071=""),0,IF(OR(N(对接源_02物料!$B1071)&lt;$N$2,N(对接源_02物料!$B1071)&gt;$N$3),0,1))</f>
        <v>0</v>
      </c>
      <c r="P2271" s="1" t="n">
        <f aca="false">IF(AND($K2271=1,AND(对接源_02物料!$X1071="公司筐",N(对接源_02物料!$T1071)&lt;&gt;0)),1,0)</f>
        <v>0</v>
      </c>
      <c r="Q2271" s="1" t="n">
        <f aca="false">N(Q2270)+$P2271</f>
        <v>13</v>
      </c>
      <c r="R2271" s="1" t="n">
        <f aca="false">IF(AND($K2271=1,AND(对接源_02物料!$X1071="公司筐",N(对接源_02物料!$U1071)&lt;&gt;0)),1,0)</f>
        <v>0</v>
      </c>
      <c r="S2271" s="1" t="n">
        <f aca="false">N(S2270)+$R2271</f>
        <v>5</v>
      </c>
      <c r="T2271" s="1" t="n">
        <f aca="false">IF(AND($K2271=1,AND(对接源_02物料!$X1071="公司筐",N(对接源_02物料!$V1071)&lt;&gt;0)),1,0)</f>
        <v>0</v>
      </c>
      <c r="U2271" s="1" t="n">
        <f aca="false">N(U2270)+$T2271</f>
        <v>28</v>
      </c>
      <c r="V2271" s="1" t="n">
        <f aca="false">IF(AND($L2271=1,AND(对接源_02物料!$X1071="自备筐",N(对接源_02物料!$V1071)&lt;&gt;0)),1,0)</f>
        <v>0</v>
      </c>
      <c r="W2271" s="1" t="n">
        <f aca="false">N(W2270)+$V2271</f>
        <v>7</v>
      </c>
      <c r="X2271" s="1" t="n">
        <f aca="false">IF(AND($L2271=1,AND(对接源_02物料!$X1071="自备筐",N(对接源_02物料!$T1071)&lt;&gt;0)),1,0)</f>
        <v>0</v>
      </c>
      <c r="Y2271" s="1" t="n">
        <f aca="false">N(Y2270)+$X2271</f>
        <v>0</v>
      </c>
      <c r="Z2271" s="1" t="n">
        <f aca="false">IF(AND($M2271=1,对接源_02物料!$D1071="原料入库"),1,0)</f>
        <v>0</v>
      </c>
      <c r="AA2271" s="1" t="n">
        <f aca="false">N(AA2270)+$Z2271</f>
        <v>30</v>
      </c>
      <c r="AB2271" s="1" t="n">
        <f aca="false">IF(AND($M2271=1,LEFT(对接源_02物料!$D1071,4)="原料出库"),1,0)</f>
        <v>0</v>
      </c>
      <c r="AC2271" s="1" t="n">
        <f aca="false">N(AC2270)+$AB2271</f>
        <v>19</v>
      </c>
      <c r="AD2271" s="1" t="n">
        <f aca="false">IF(AND($M2271=1,LEFT(对接源_02物料!$D1071,4)="成品出库"),1,0)</f>
        <v>0</v>
      </c>
      <c r="AE2271" s="1" t="n">
        <f aca="false">N(AE2270)+$AD2271</f>
        <v>38</v>
      </c>
      <c r="AF2271" s="1" t="n">
        <f aca="false">IF(AND($N2271=1,AND(LEFT(对接源_02物料!$D1071,4)="包装物料",N(对接源_02物料!$K1071)&lt;&gt;0)),1,0)</f>
        <v>0</v>
      </c>
      <c r="AG2271" s="1" t="n">
        <f aca="false">N(AG2270)+$AF2271</f>
        <v>6</v>
      </c>
      <c r="AH2271" s="1" t="n">
        <f aca="false">IF(AND($N2271=1,AND(LEFT(对接源_02物料!$D1071,3)="周转筐",N(对接源_02物料!$K1071)&lt;&gt;0)),1,0)</f>
        <v>0</v>
      </c>
      <c r="AI2271" s="1" t="n">
        <f aca="false">N(AI2270)+$AH2271</f>
        <v>0</v>
      </c>
      <c r="AJ2271" s="1" t="n">
        <v>0</v>
      </c>
      <c r="AK2271" s="1" t="n">
        <f aca="false">N(AK2270)+$AJ2271</f>
        <v>3672</v>
      </c>
    </row>
    <row r="2272" customFormat="false" ht="13.5" hidden="false" customHeight="false" outlineLevel="0" collapsed="false">
      <c r="A2272" s="1" t="str">
        <f aca="false">IF(对接源_02物料!$C1072="","",对接源_02物料!$C1072)</f>
        <v/>
      </c>
      <c r="B2272" s="1" t="n">
        <f aca="false">IF(A2272="",0,IF(MATCH(A2272,$A$4:$A$2403,0)=ROW()-3,1,0))</f>
        <v>0</v>
      </c>
      <c r="C2272" s="1" t="n">
        <f aca="false">N(C2271)+B2272</f>
        <v>17</v>
      </c>
      <c r="K2272" s="1" t="n">
        <f aca="false">IF(OR($K$1="",对接源_02物料!$C1072="",对接源_02物料!$C1072&lt;&gt;$K$1,对接源_02物料!$B1072=""),0,IF(OR(N(对接源_02物料!$B1072)&lt;$K$2,N(对接源_02物料!$B1072)&gt;$K$3),0,1))</f>
        <v>0</v>
      </c>
      <c r="L2272" s="1" t="n">
        <f aca="false">IF(OR($L$1="",对接源_02物料!$C1072="",对接源_02物料!$C1072&lt;&gt;$L$1,对接源_02物料!$B1072=""),0,IF(OR(N(对接源_02物料!$B1072)&lt;$L$2,N(对接源_02物料!$B1072)&gt;$L$3),0,1))</f>
        <v>0</v>
      </c>
      <c r="M2272" s="1" t="n">
        <f aca="false">IF(OR($M$1="",对接源_02物料!$C1072="",对接源_02物料!$C1072&lt;&gt;$M$1,对接源_02物料!$B1072=""),0,IF(OR(N(对接源_02物料!$B1072)&lt;$M$2,N(对接源_02物料!$B1072)&gt;$M$3),0,1))</f>
        <v>0</v>
      </c>
      <c r="N2272" s="1" t="n">
        <f aca="false">IF(OR($N$1="",对接源_02物料!$C1072="",对接源_02物料!$C1072&lt;&gt;$N$1,对接源_02物料!$B1072=""),0,IF(OR(N(对接源_02物料!$B1072)&lt;$N$2,N(对接源_02物料!$B1072)&gt;$N$3),0,1))</f>
        <v>0</v>
      </c>
      <c r="P2272" s="1" t="n">
        <f aca="false">IF(AND($K2272=1,AND(对接源_02物料!$X1072="公司筐",N(对接源_02物料!$T1072)&lt;&gt;0)),1,0)</f>
        <v>0</v>
      </c>
      <c r="Q2272" s="1" t="n">
        <f aca="false">N(Q2271)+$P2272</f>
        <v>13</v>
      </c>
      <c r="R2272" s="1" t="n">
        <f aca="false">IF(AND($K2272=1,AND(对接源_02物料!$X1072="公司筐",N(对接源_02物料!$U1072)&lt;&gt;0)),1,0)</f>
        <v>0</v>
      </c>
      <c r="S2272" s="1" t="n">
        <f aca="false">N(S2271)+$R2272</f>
        <v>5</v>
      </c>
      <c r="T2272" s="1" t="n">
        <f aca="false">IF(AND($K2272=1,AND(对接源_02物料!$X1072="公司筐",N(对接源_02物料!$V1072)&lt;&gt;0)),1,0)</f>
        <v>0</v>
      </c>
      <c r="U2272" s="1" t="n">
        <f aca="false">N(U2271)+$T2272</f>
        <v>28</v>
      </c>
      <c r="V2272" s="1" t="n">
        <f aca="false">IF(AND($L2272=1,AND(对接源_02物料!$X1072="自备筐",N(对接源_02物料!$V1072)&lt;&gt;0)),1,0)</f>
        <v>0</v>
      </c>
      <c r="W2272" s="1" t="n">
        <f aca="false">N(W2271)+$V2272</f>
        <v>7</v>
      </c>
      <c r="X2272" s="1" t="n">
        <f aca="false">IF(AND($L2272=1,AND(对接源_02物料!$X1072="自备筐",N(对接源_02物料!$T1072)&lt;&gt;0)),1,0)</f>
        <v>0</v>
      </c>
      <c r="Y2272" s="1" t="n">
        <f aca="false">N(Y2271)+$X2272</f>
        <v>0</v>
      </c>
      <c r="Z2272" s="1" t="n">
        <f aca="false">IF(AND($M2272=1,对接源_02物料!$D1072="原料入库"),1,0)</f>
        <v>0</v>
      </c>
      <c r="AA2272" s="1" t="n">
        <f aca="false">N(AA2271)+$Z2272</f>
        <v>30</v>
      </c>
      <c r="AB2272" s="1" t="n">
        <f aca="false">IF(AND($M2272=1,LEFT(对接源_02物料!$D1072,4)="原料出库"),1,0)</f>
        <v>0</v>
      </c>
      <c r="AC2272" s="1" t="n">
        <f aca="false">N(AC2271)+$AB2272</f>
        <v>19</v>
      </c>
      <c r="AD2272" s="1" t="n">
        <f aca="false">IF(AND($M2272=1,LEFT(对接源_02物料!$D1072,4)="成品出库"),1,0)</f>
        <v>0</v>
      </c>
      <c r="AE2272" s="1" t="n">
        <f aca="false">N(AE2271)+$AD2272</f>
        <v>38</v>
      </c>
      <c r="AF2272" s="1" t="n">
        <f aca="false">IF(AND($N2272=1,AND(LEFT(对接源_02物料!$D1072,4)="包装物料",N(对接源_02物料!$K1072)&lt;&gt;0)),1,0)</f>
        <v>0</v>
      </c>
      <c r="AG2272" s="1" t="n">
        <f aca="false">N(AG2271)+$AF2272</f>
        <v>6</v>
      </c>
      <c r="AH2272" s="1" t="n">
        <f aca="false">IF(AND($N2272=1,AND(LEFT(对接源_02物料!$D1072,3)="周转筐",N(对接源_02物料!$K1072)&lt;&gt;0)),1,0)</f>
        <v>0</v>
      </c>
      <c r="AI2272" s="1" t="n">
        <f aca="false">N(AI2271)+$AH2272</f>
        <v>0</v>
      </c>
      <c r="AJ2272" s="1" t="n">
        <v>0</v>
      </c>
      <c r="AK2272" s="1" t="n">
        <f aca="false">N(AK2271)+$AJ2272</f>
        <v>3672</v>
      </c>
    </row>
    <row r="2273" customFormat="false" ht="13.5" hidden="false" customHeight="false" outlineLevel="0" collapsed="false">
      <c r="A2273" s="1" t="str">
        <f aca="false">IF(对接源_02物料!$C1073="","",对接源_02物料!$C1073)</f>
        <v/>
      </c>
      <c r="B2273" s="1" t="n">
        <f aca="false">IF(A2273="",0,IF(MATCH(A2273,$A$4:$A$2403,0)=ROW()-3,1,0))</f>
        <v>0</v>
      </c>
      <c r="C2273" s="1" t="n">
        <f aca="false">N(C2272)+B2273</f>
        <v>17</v>
      </c>
      <c r="K2273" s="1" t="n">
        <f aca="false">IF(OR($K$1="",对接源_02物料!$C1073="",对接源_02物料!$C1073&lt;&gt;$K$1,对接源_02物料!$B1073=""),0,IF(OR(N(对接源_02物料!$B1073)&lt;$K$2,N(对接源_02物料!$B1073)&gt;$K$3),0,1))</f>
        <v>0</v>
      </c>
      <c r="L2273" s="1" t="n">
        <f aca="false">IF(OR($L$1="",对接源_02物料!$C1073="",对接源_02物料!$C1073&lt;&gt;$L$1,对接源_02物料!$B1073=""),0,IF(OR(N(对接源_02物料!$B1073)&lt;$L$2,N(对接源_02物料!$B1073)&gt;$L$3),0,1))</f>
        <v>0</v>
      </c>
      <c r="M2273" s="1" t="n">
        <f aca="false">IF(OR($M$1="",对接源_02物料!$C1073="",对接源_02物料!$C1073&lt;&gt;$M$1,对接源_02物料!$B1073=""),0,IF(OR(N(对接源_02物料!$B1073)&lt;$M$2,N(对接源_02物料!$B1073)&gt;$M$3),0,1))</f>
        <v>0</v>
      </c>
      <c r="N2273" s="1" t="n">
        <f aca="false">IF(OR($N$1="",对接源_02物料!$C1073="",对接源_02物料!$C1073&lt;&gt;$N$1,对接源_02物料!$B1073=""),0,IF(OR(N(对接源_02物料!$B1073)&lt;$N$2,N(对接源_02物料!$B1073)&gt;$N$3),0,1))</f>
        <v>0</v>
      </c>
      <c r="P2273" s="1" t="n">
        <f aca="false">IF(AND($K2273=1,AND(对接源_02物料!$X1073="公司筐",N(对接源_02物料!$T1073)&lt;&gt;0)),1,0)</f>
        <v>0</v>
      </c>
      <c r="Q2273" s="1" t="n">
        <f aca="false">N(Q2272)+$P2273</f>
        <v>13</v>
      </c>
      <c r="R2273" s="1" t="n">
        <f aca="false">IF(AND($K2273=1,AND(对接源_02物料!$X1073="公司筐",N(对接源_02物料!$U1073)&lt;&gt;0)),1,0)</f>
        <v>0</v>
      </c>
      <c r="S2273" s="1" t="n">
        <f aca="false">N(S2272)+$R2273</f>
        <v>5</v>
      </c>
      <c r="T2273" s="1" t="n">
        <f aca="false">IF(AND($K2273=1,AND(对接源_02物料!$X1073="公司筐",N(对接源_02物料!$V1073)&lt;&gt;0)),1,0)</f>
        <v>0</v>
      </c>
      <c r="U2273" s="1" t="n">
        <f aca="false">N(U2272)+$T2273</f>
        <v>28</v>
      </c>
      <c r="V2273" s="1" t="n">
        <f aca="false">IF(AND($L2273=1,AND(对接源_02物料!$X1073="自备筐",N(对接源_02物料!$V1073)&lt;&gt;0)),1,0)</f>
        <v>0</v>
      </c>
      <c r="W2273" s="1" t="n">
        <f aca="false">N(W2272)+$V2273</f>
        <v>7</v>
      </c>
      <c r="X2273" s="1" t="n">
        <f aca="false">IF(AND($L2273=1,AND(对接源_02物料!$X1073="自备筐",N(对接源_02物料!$T1073)&lt;&gt;0)),1,0)</f>
        <v>0</v>
      </c>
      <c r="Y2273" s="1" t="n">
        <f aca="false">N(Y2272)+$X2273</f>
        <v>0</v>
      </c>
      <c r="Z2273" s="1" t="n">
        <f aca="false">IF(AND($M2273=1,对接源_02物料!$D1073="原料入库"),1,0)</f>
        <v>0</v>
      </c>
      <c r="AA2273" s="1" t="n">
        <f aca="false">N(AA2272)+$Z2273</f>
        <v>30</v>
      </c>
      <c r="AB2273" s="1" t="n">
        <f aca="false">IF(AND($M2273=1,LEFT(对接源_02物料!$D1073,4)="原料出库"),1,0)</f>
        <v>0</v>
      </c>
      <c r="AC2273" s="1" t="n">
        <f aca="false">N(AC2272)+$AB2273</f>
        <v>19</v>
      </c>
      <c r="AD2273" s="1" t="n">
        <f aca="false">IF(AND($M2273=1,LEFT(对接源_02物料!$D1073,4)="成品出库"),1,0)</f>
        <v>0</v>
      </c>
      <c r="AE2273" s="1" t="n">
        <f aca="false">N(AE2272)+$AD2273</f>
        <v>38</v>
      </c>
      <c r="AF2273" s="1" t="n">
        <f aca="false">IF(AND($N2273=1,AND(LEFT(对接源_02物料!$D1073,4)="包装物料",N(对接源_02物料!$K1073)&lt;&gt;0)),1,0)</f>
        <v>0</v>
      </c>
      <c r="AG2273" s="1" t="n">
        <f aca="false">N(AG2272)+$AF2273</f>
        <v>6</v>
      </c>
      <c r="AH2273" s="1" t="n">
        <f aca="false">IF(AND($N2273=1,AND(LEFT(对接源_02物料!$D1073,3)="周转筐",N(对接源_02物料!$K1073)&lt;&gt;0)),1,0)</f>
        <v>0</v>
      </c>
      <c r="AI2273" s="1" t="n">
        <f aca="false">N(AI2272)+$AH2273</f>
        <v>0</v>
      </c>
      <c r="AJ2273" s="1" t="n">
        <v>0</v>
      </c>
      <c r="AK2273" s="1" t="n">
        <f aca="false">N(AK2272)+$AJ2273</f>
        <v>3672</v>
      </c>
    </row>
    <row r="2274" customFormat="false" ht="13.5" hidden="false" customHeight="false" outlineLevel="0" collapsed="false">
      <c r="A2274" s="1" t="str">
        <f aca="false">IF(对接源_02物料!$C1074="","",对接源_02物料!$C1074)</f>
        <v/>
      </c>
      <c r="B2274" s="1" t="n">
        <f aca="false">IF(A2274="",0,IF(MATCH(A2274,$A$4:$A$2403,0)=ROW()-3,1,0))</f>
        <v>0</v>
      </c>
      <c r="C2274" s="1" t="n">
        <f aca="false">N(C2273)+B2274</f>
        <v>17</v>
      </c>
      <c r="K2274" s="1" t="n">
        <f aca="false">IF(OR($K$1="",对接源_02物料!$C1074="",对接源_02物料!$C1074&lt;&gt;$K$1,对接源_02物料!$B1074=""),0,IF(OR(N(对接源_02物料!$B1074)&lt;$K$2,N(对接源_02物料!$B1074)&gt;$K$3),0,1))</f>
        <v>0</v>
      </c>
      <c r="L2274" s="1" t="n">
        <f aca="false">IF(OR($L$1="",对接源_02物料!$C1074="",对接源_02物料!$C1074&lt;&gt;$L$1,对接源_02物料!$B1074=""),0,IF(OR(N(对接源_02物料!$B1074)&lt;$L$2,N(对接源_02物料!$B1074)&gt;$L$3),0,1))</f>
        <v>0</v>
      </c>
      <c r="M2274" s="1" t="n">
        <f aca="false">IF(OR($M$1="",对接源_02物料!$C1074="",对接源_02物料!$C1074&lt;&gt;$M$1,对接源_02物料!$B1074=""),0,IF(OR(N(对接源_02物料!$B1074)&lt;$M$2,N(对接源_02物料!$B1074)&gt;$M$3),0,1))</f>
        <v>0</v>
      </c>
      <c r="N2274" s="1" t="n">
        <f aca="false">IF(OR($N$1="",对接源_02物料!$C1074="",对接源_02物料!$C1074&lt;&gt;$N$1,对接源_02物料!$B1074=""),0,IF(OR(N(对接源_02物料!$B1074)&lt;$N$2,N(对接源_02物料!$B1074)&gt;$N$3),0,1))</f>
        <v>0</v>
      </c>
      <c r="P2274" s="1" t="n">
        <f aca="false">IF(AND($K2274=1,AND(对接源_02物料!$X1074="公司筐",N(对接源_02物料!$T1074)&lt;&gt;0)),1,0)</f>
        <v>0</v>
      </c>
      <c r="Q2274" s="1" t="n">
        <f aca="false">N(Q2273)+$P2274</f>
        <v>13</v>
      </c>
      <c r="R2274" s="1" t="n">
        <f aca="false">IF(AND($K2274=1,AND(对接源_02物料!$X1074="公司筐",N(对接源_02物料!$U1074)&lt;&gt;0)),1,0)</f>
        <v>0</v>
      </c>
      <c r="S2274" s="1" t="n">
        <f aca="false">N(S2273)+$R2274</f>
        <v>5</v>
      </c>
      <c r="T2274" s="1" t="n">
        <f aca="false">IF(AND($K2274=1,AND(对接源_02物料!$X1074="公司筐",N(对接源_02物料!$V1074)&lt;&gt;0)),1,0)</f>
        <v>0</v>
      </c>
      <c r="U2274" s="1" t="n">
        <f aca="false">N(U2273)+$T2274</f>
        <v>28</v>
      </c>
      <c r="V2274" s="1" t="n">
        <f aca="false">IF(AND($L2274=1,AND(对接源_02物料!$X1074="自备筐",N(对接源_02物料!$V1074)&lt;&gt;0)),1,0)</f>
        <v>0</v>
      </c>
      <c r="W2274" s="1" t="n">
        <f aca="false">N(W2273)+$V2274</f>
        <v>7</v>
      </c>
      <c r="X2274" s="1" t="n">
        <f aca="false">IF(AND($L2274=1,AND(对接源_02物料!$X1074="自备筐",N(对接源_02物料!$T1074)&lt;&gt;0)),1,0)</f>
        <v>0</v>
      </c>
      <c r="Y2274" s="1" t="n">
        <f aca="false">N(Y2273)+$X2274</f>
        <v>0</v>
      </c>
      <c r="Z2274" s="1" t="n">
        <f aca="false">IF(AND($M2274=1,对接源_02物料!$D1074="原料入库"),1,0)</f>
        <v>0</v>
      </c>
      <c r="AA2274" s="1" t="n">
        <f aca="false">N(AA2273)+$Z2274</f>
        <v>30</v>
      </c>
      <c r="AB2274" s="1" t="n">
        <f aca="false">IF(AND($M2274=1,LEFT(对接源_02物料!$D1074,4)="原料出库"),1,0)</f>
        <v>0</v>
      </c>
      <c r="AC2274" s="1" t="n">
        <f aca="false">N(AC2273)+$AB2274</f>
        <v>19</v>
      </c>
      <c r="AD2274" s="1" t="n">
        <f aca="false">IF(AND($M2274=1,LEFT(对接源_02物料!$D1074,4)="成品出库"),1,0)</f>
        <v>0</v>
      </c>
      <c r="AE2274" s="1" t="n">
        <f aca="false">N(AE2273)+$AD2274</f>
        <v>38</v>
      </c>
      <c r="AF2274" s="1" t="n">
        <f aca="false">IF(AND($N2274=1,AND(LEFT(对接源_02物料!$D1074,4)="包装物料",N(对接源_02物料!$K1074)&lt;&gt;0)),1,0)</f>
        <v>0</v>
      </c>
      <c r="AG2274" s="1" t="n">
        <f aca="false">N(AG2273)+$AF2274</f>
        <v>6</v>
      </c>
      <c r="AH2274" s="1" t="n">
        <f aca="false">IF(AND($N2274=1,AND(LEFT(对接源_02物料!$D1074,3)="周转筐",N(对接源_02物料!$K1074)&lt;&gt;0)),1,0)</f>
        <v>0</v>
      </c>
      <c r="AI2274" s="1" t="n">
        <f aca="false">N(AI2273)+$AH2274</f>
        <v>0</v>
      </c>
      <c r="AJ2274" s="1" t="n">
        <v>0</v>
      </c>
      <c r="AK2274" s="1" t="n">
        <f aca="false">N(AK2273)+$AJ2274</f>
        <v>3672</v>
      </c>
    </row>
    <row r="2275" customFormat="false" ht="13.5" hidden="false" customHeight="false" outlineLevel="0" collapsed="false">
      <c r="A2275" s="1" t="str">
        <f aca="false">IF(对接源_02物料!$C1075="","",对接源_02物料!$C1075)</f>
        <v/>
      </c>
      <c r="B2275" s="1" t="n">
        <f aca="false">IF(A2275="",0,IF(MATCH(A2275,$A$4:$A$2403,0)=ROW()-3,1,0))</f>
        <v>0</v>
      </c>
      <c r="C2275" s="1" t="n">
        <f aca="false">N(C2274)+B2275</f>
        <v>17</v>
      </c>
      <c r="K2275" s="1" t="n">
        <f aca="false">IF(OR($K$1="",对接源_02物料!$C1075="",对接源_02物料!$C1075&lt;&gt;$K$1,对接源_02物料!$B1075=""),0,IF(OR(N(对接源_02物料!$B1075)&lt;$K$2,N(对接源_02物料!$B1075)&gt;$K$3),0,1))</f>
        <v>0</v>
      </c>
      <c r="L2275" s="1" t="n">
        <f aca="false">IF(OR($L$1="",对接源_02物料!$C1075="",对接源_02物料!$C1075&lt;&gt;$L$1,对接源_02物料!$B1075=""),0,IF(OR(N(对接源_02物料!$B1075)&lt;$L$2,N(对接源_02物料!$B1075)&gt;$L$3),0,1))</f>
        <v>0</v>
      </c>
      <c r="M2275" s="1" t="n">
        <f aca="false">IF(OR($M$1="",对接源_02物料!$C1075="",对接源_02物料!$C1075&lt;&gt;$M$1,对接源_02物料!$B1075=""),0,IF(OR(N(对接源_02物料!$B1075)&lt;$M$2,N(对接源_02物料!$B1075)&gt;$M$3),0,1))</f>
        <v>0</v>
      </c>
      <c r="N2275" s="1" t="n">
        <f aca="false">IF(OR($N$1="",对接源_02物料!$C1075="",对接源_02物料!$C1075&lt;&gt;$N$1,对接源_02物料!$B1075=""),0,IF(OR(N(对接源_02物料!$B1075)&lt;$N$2,N(对接源_02物料!$B1075)&gt;$N$3),0,1))</f>
        <v>0</v>
      </c>
      <c r="P2275" s="1" t="n">
        <f aca="false">IF(AND($K2275=1,AND(对接源_02物料!$X1075="公司筐",N(对接源_02物料!$T1075)&lt;&gt;0)),1,0)</f>
        <v>0</v>
      </c>
      <c r="Q2275" s="1" t="n">
        <f aca="false">N(Q2274)+$P2275</f>
        <v>13</v>
      </c>
      <c r="R2275" s="1" t="n">
        <f aca="false">IF(AND($K2275=1,AND(对接源_02物料!$X1075="公司筐",N(对接源_02物料!$U1075)&lt;&gt;0)),1,0)</f>
        <v>0</v>
      </c>
      <c r="S2275" s="1" t="n">
        <f aca="false">N(S2274)+$R2275</f>
        <v>5</v>
      </c>
      <c r="T2275" s="1" t="n">
        <f aca="false">IF(AND($K2275=1,AND(对接源_02物料!$X1075="公司筐",N(对接源_02物料!$V1075)&lt;&gt;0)),1,0)</f>
        <v>0</v>
      </c>
      <c r="U2275" s="1" t="n">
        <f aca="false">N(U2274)+$T2275</f>
        <v>28</v>
      </c>
      <c r="V2275" s="1" t="n">
        <f aca="false">IF(AND($L2275=1,AND(对接源_02物料!$X1075="自备筐",N(对接源_02物料!$V1075)&lt;&gt;0)),1,0)</f>
        <v>0</v>
      </c>
      <c r="W2275" s="1" t="n">
        <f aca="false">N(W2274)+$V2275</f>
        <v>7</v>
      </c>
      <c r="X2275" s="1" t="n">
        <f aca="false">IF(AND($L2275=1,AND(对接源_02物料!$X1075="自备筐",N(对接源_02物料!$T1075)&lt;&gt;0)),1,0)</f>
        <v>0</v>
      </c>
      <c r="Y2275" s="1" t="n">
        <f aca="false">N(Y2274)+$X2275</f>
        <v>0</v>
      </c>
      <c r="Z2275" s="1" t="n">
        <f aca="false">IF(AND($M2275=1,对接源_02物料!$D1075="原料入库"),1,0)</f>
        <v>0</v>
      </c>
      <c r="AA2275" s="1" t="n">
        <f aca="false">N(AA2274)+$Z2275</f>
        <v>30</v>
      </c>
      <c r="AB2275" s="1" t="n">
        <f aca="false">IF(AND($M2275=1,LEFT(对接源_02物料!$D1075,4)="原料出库"),1,0)</f>
        <v>0</v>
      </c>
      <c r="AC2275" s="1" t="n">
        <f aca="false">N(AC2274)+$AB2275</f>
        <v>19</v>
      </c>
      <c r="AD2275" s="1" t="n">
        <f aca="false">IF(AND($M2275=1,LEFT(对接源_02物料!$D1075,4)="成品出库"),1,0)</f>
        <v>0</v>
      </c>
      <c r="AE2275" s="1" t="n">
        <f aca="false">N(AE2274)+$AD2275</f>
        <v>38</v>
      </c>
      <c r="AF2275" s="1" t="n">
        <f aca="false">IF(AND($N2275=1,AND(LEFT(对接源_02物料!$D1075,4)="包装物料",N(对接源_02物料!$K1075)&lt;&gt;0)),1,0)</f>
        <v>0</v>
      </c>
      <c r="AG2275" s="1" t="n">
        <f aca="false">N(AG2274)+$AF2275</f>
        <v>6</v>
      </c>
      <c r="AH2275" s="1" t="n">
        <f aca="false">IF(AND($N2275=1,AND(LEFT(对接源_02物料!$D1075,3)="周转筐",N(对接源_02物料!$K1075)&lt;&gt;0)),1,0)</f>
        <v>0</v>
      </c>
      <c r="AI2275" s="1" t="n">
        <f aca="false">N(AI2274)+$AH2275</f>
        <v>0</v>
      </c>
      <c r="AJ2275" s="1" t="n">
        <v>0</v>
      </c>
      <c r="AK2275" s="1" t="n">
        <f aca="false">N(AK2274)+$AJ2275</f>
        <v>3672</v>
      </c>
    </row>
    <row r="2276" customFormat="false" ht="13.5" hidden="false" customHeight="false" outlineLevel="0" collapsed="false">
      <c r="A2276" s="1" t="str">
        <f aca="false">IF(对接源_02物料!$C1076="","",对接源_02物料!$C1076)</f>
        <v/>
      </c>
      <c r="B2276" s="1" t="n">
        <f aca="false">IF(A2276="",0,IF(MATCH(A2276,$A$4:$A$2403,0)=ROW()-3,1,0))</f>
        <v>0</v>
      </c>
      <c r="C2276" s="1" t="n">
        <f aca="false">N(C2275)+B2276</f>
        <v>17</v>
      </c>
      <c r="K2276" s="1" t="n">
        <f aca="false">IF(OR($K$1="",对接源_02物料!$C1076="",对接源_02物料!$C1076&lt;&gt;$K$1,对接源_02物料!$B1076=""),0,IF(OR(N(对接源_02物料!$B1076)&lt;$K$2,N(对接源_02物料!$B1076)&gt;$K$3),0,1))</f>
        <v>0</v>
      </c>
      <c r="L2276" s="1" t="n">
        <f aca="false">IF(OR($L$1="",对接源_02物料!$C1076="",对接源_02物料!$C1076&lt;&gt;$L$1,对接源_02物料!$B1076=""),0,IF(OR(N(对接源_02物料!$B1076)&lt;$L$2,N(对接源_02物料!$B1076)&gt;$L$3),0,1))</f>
        <v>0</v>
      </c>
      <c r="M2276" s="1" t="n">
        <f aca="false">IF(OR($M$1="",对接源_02物料!$C1076="",对接源_02物料!$C1076&lt;&gt;$M$1,对接源_02物料!$B1076=""),0,IF(OR(N(对接源_02物料!$B1076)&lt;$M$2,N(对接源_02物料!$B1076)&gt;$M$3),0,1))</f>
        <v>0</v>
      </c>
      <c r="N2276" s="1" t="n">
        <f aca="false">IF(OR($N$1="",对接源_02物料!$C1076="",对接源_02物料!$C1076&lt;&gt;$N$1,对接源_02物料!$B1076=""),0,IF(OR(N(对接源_02物料!$B1076)&lt;$N$2,N(对接源_02物料!$B1076)&gt;$N$3),0,1))</f>
        <v>0</v>
      </c>
      <c r="P2276" s="1" t="n">
        <f aca="false">IF(AND($K2276=1,AND(对接源_02物料!$X1076="公司筐",N(对接源_02物料!$T1076)&lt;&gt;0)),1,0)</f>
        <v>0</v>
      </c>
      <c r="Q2276" s="1" t="n">
        <f aca="false">N(Q2275)+$P2276</f>
        <v>13</v>
      </c>
      <c r="R2276" s="1" t="n">
        <f aca="false">IF(AND($K2276=1,AND(对接源_02物料!$X1076="公司筐",N(对接源_02物料!$U1076)&lt;&gt;0)),1,0)</f>
        <v>0</v>
      </c>
      <c r="S2276" s="1" t="n">
        <f aca="false">N(S2275)+$R2276</f>
        <v>5</v>
      </c>
      <c r="T2276" s="1" t="n">
        <f aca="false">IF(AND($K2276=1,AND(对接源_02物料!$X1076="公司筐",N(对接源_02物料!$V1076)&lt;&gt;0)),1,0)</f>
        <v>0</v>
      </c>
      <c r="U2276" s="1" t="n">
        <f aca="false">N(U2275)+$T2276</f>
        <v>28</v>
      </c>
      <c r="V2276" s="1" t="n">
        <f aca="false">IF(AND($L2276=1,AND(对接源_02物料!$X1076="自备筐",N(对接源_02物料!$V1076)&lt;&gt;0)),1,0)</f>
        <v>0</v>
      </c>
      <c r="W2276" s="1" t="n">
        <f aca="false">N(W2275)+$V2276</f>
        <v>7</v>
      </c>
      <c r="X2276" s="1" t="n">
        <f aca="false">IF(AND($L2276=1,AND(对接源_02物料!$X1076="自备筐",N(对接源_02物料!$T1076)&lt;&gt;0)),1,0)</f>
        <v>0</v>
      </c>
      <c r="Y2276" s="1" t="n">
        <f aca="false">N(Y2275)+$X2276</f>
        <v>0</v>
      </c>
      <c r="Z2276" s="1" t="n">
        <f aca="false">IF(AND($M2276=1,对接源_02物料!$D1076="原料入库"),1,0)</f>
        <v>0</v>
      </c>
      <c r="AA2276" s="1" t="n">
        <f aca="false">N(AA2275)+$Z2276</f>
        <v>30</v>
      </c>
      <c r="AB2276" s="1" t="n">
        <f aca="false">IF(AND($M2276=1,LEFT(对接源_02物料!$D1076,4)="原料出库"),1,0)</f>
        <v>0</v>
      </c>
      <c r="AC2276" s="1" t="n">
        <f aca="false">N(AC2275)+$AB2276</f>
        <v>19</v>
      </c>
      <c r="AD2276" s="1" t="n">
        <f aca="false">IF(AND($M2276=1,LEFT(对接源_02物料!$D1076,4)="成品出库"),1,0)</f>
        <v>0</v>
      </c>
      <c r="AE2276" s="1" t="n">
        <f aca="false">N(AE2275)+$AD2276</f>
        <v>38</v>
      </c>
      <c r="AF2276" s="1" t="n">
        <f aca="false">IF(AND($N2276=1,AND(LEFT(对接源_02物料!$D1076,4)="包装物料",N(对接源_02物料!$K1076)&lt;&gt;0)),1,0)</f>
        <v>0</v>
      </c>
      <c r="AG2276" s="1" t="n">
        <f aca="false">N(AG2275)+$AF2276</f>
        <v>6</v>
      </c>
      <c r="AH2276" s="1" t="n">
        <f aca="false">IF(AND($N2276=1,AND(LEFT(对接源_02物料!$D1076,3)="周转筐",N(对接源_02物料!$K1076)&lt;&gt;0)),1,0)</f>
        <v>0</v>
      </c>
      <c r="AI2276" s="1" t="n">
        <f aca="false">N(AI2275)+$AH2276</f>
        <v>0</v>
      </c>
      <c r="AJ2276" s="1" t="n">
        <v>0</v>
      </c>
      <c r="AK2276" s="1" t="n">
        <f aca="false">N(AK2275)+$AJ2276</f>
        <v>3672</v>
      </c>
    </row>
    <row r="2277" customFormat="false" ht="13.5" hidden="false" customHeight="false" outlineLevel="0" collapsed="false">
      <c r="A2277" s="1" t="str">
        <f aca="false">IF(对接源_02物料!$C1077="","",对接源_02物料!$C1077)</f>
        <v/>
      </c>
      <c r="B2277" s="1" t="n">
        <f aca="false">IF(A2277="",0,IF(MATCH(A2277,$A$4:$A$2403,0)=ROW()-3,1,0))</f>
        <v>0</v>
      </c>
      <c r="C2277" s="1" t="n">
        <f aca="false">N(C2276)+B2277</f>
        <v>17</v>
      </c>
      <c r="K2277" s="1" t="n">
        <f aca="false">IF(OR($K$1="",对接源_02物料!$C1077="",对接源_02物料!$C1077&lt;&gt;$K$1,对接源_02物料!$B1077=""),0,IF(OR(N(对接源_02物料!$B1077)&lt;$K$2,N(对接源_02物料!$B1077)&gt;$K$3),0,1))</f>
        <v>0</v>
      </c>
      <c r="L2277" s="1" t="n">
        <f aca="false">IF(OR($L$1="",对接源_02物料!$C1077="",对接源_02物料!$C1077&lt;&gt;$L$1,对接源_02物料!$B1077=""),0,IF(OR(N(对接源_02物料!$B1077)&lt;$L$2,N(对接源_02物料!$B1077)&gt;$L$3),0,1))</f>
        <v>0</v>
      </c>
      <c r="M2277" s="1" t="n">
        <f aca="false">IF(OR($M$1="",对接源_02物料!$C1077="",对接源_02物料!$C1077&lt;&gt;$M$1,对接源_02物料!$B1077=""),0,IF(OR(N(对接源_02物料!$B1077)&lt;$M$2,N(对接源_02物料!$B1077)&gt;$M$3),0,1))</f>
        <v>0</v>
      </c>
      <c r="N2277" s="1" t="n">
        <f aca="false">IF(OR($N$1="",对接源_02物料!$C1077="",对接源_02物料!$C1077&lt;&gt;$N$1,对接源_02物料!$B1077=""),0,IF(OR(N(对接源_02物料!$B1077)&lt;$N$2,N(对接源_02物料!$B1077)&gt;$N$3),0,1))</f>
        <v>0</v>
      </c>
      <c r="P2277" s="1" t="n">
        <f aca="false">IF(AND($K2277=1,AND(对接源_02物料!$X1077="公司筐",N(对接源_02物料!$T1077)&lt;&gt;0)),1,0)</f>
        <v>0</v>
      </c>
      <c r="Q2277" s="1" t="n">
        <f aca="false">N(Q2276)+$P2277</f>
        <v>13</v>
      </c>
      <c r="R2277" s="1" t="n">
        <f aca="false">IF(AND($K2277=1,AND(对接源_02物料!$X1077="公司筐",N(对接源_02物料!$U1077)&lt;&gt;0)),1,0)</f>
        <v>0</v>
      </c>
      <c r="S2277" s="1" t="n">
        <f aca="false">N(S2276)+$R2277</f>
        <v>5</v>
      </c>
      <c r="T2277" s="1" t="n">
        <f aca="false">IF(AND($K2277=1,AND(对接源_02物料!$X1077="公司筐",N(对接源_02物料!$V1077)&lt;&gt;0)),1,0)</f>
        <v>0</v>
      </c>
      <c r="U2277" s="1" t="n">
        <f aca="false">N(U2276)+$T2277</f>
        <v>28</v>
      </c>
      <c r="V2277" s="1" t="n">
        <f aca="false">IF(AND($L2277=1,AND(对接源_02物料!$X1077="自备筐",N(对接源_02物料!$V1077)&lt;&gt;0)),1,0)</f>
        <v>0</v>
      </c>
      <c r="W2277" s="1" t="n">
        <f aca="false">N(W2276)+$V2277</f>
        <v>7</v>
      </c>
      <c r="X2277" s="1" t="n">
        <f aca="false">IF(AND($L2277=1,AND(对接源_02物料!$X1077="自备筐",N(对接源_02物料!$T1077)&lt;&gt;0)),1,0)</f>
        <v>0</v>
      </c>
      <c r="Y2277" s="1" t="n">
        <f aca="false">N(Y2276)+$X2277</f>
        <v>0</v>
      </c>
      <c r="Z2277" s="1" t="n">
        <f aca="false">IF(AND($M2277=1,对接源_02物料!$D1077="原料入库"),1,0)</f>
        <v>0</v>
      </c>
      <c r="AA2277" s="1" t="n">
        <f aca="false">N(AA2276)+$Z2277</f>
        <v>30</v>
      </c>
      <c r="AB2277" s="1" t="n">
        <f aca="false">IF(AND($M2277=1,LEFT(对接源_02物料!$D1077,4)="原料出库"),1,0)</f>
        <v>0</v>
      </c>
      <c r="AC2277" s="1" t="n">
        <f aca="false">N(AC2276)+$AB2277</f>
        <v>19</v>
      </c>
      <c r="AD2277" s="1" t="n">
        <f aca="false">IF(AND($M2277=1,LEFT(对接源_02物料!$D1077,4)="成品出库"),1,0)</f>
        <v>0</v>
      </c>
      <c r="AE2277" s="1" t="n">
        <f aca="false">N(AE2276)+$AD2277</f>
        <v>38</v>
      </c>
      <c r="AF2277" s="1" t="n">
        <f aca="false">IF(AND($N2277=1,AND(LEFT(对接源_02物料!$D1077,4)="包装物料",N(对接源_02物料!$K1077)&lt;&gt;0)),1,0)</f>
        <v>0</v>
      </c>
      <c r="AG2277" s="1" t="n">
        <f aca="false">N(AG2276)+$AF2277</f>
        <v>6</v>
      </c>
      <c r="AH2277" s="1" t="n">
        <f aca="false">IF(AND($N2277=1,AND(LEFT(对接源_02物料!$D1077,3)="周转筐",N(对接源_02物料!$K1077)&lt;&gt;0)),1,0)</f>
        <v>0</v>
      </c>
      <c r="AI2277" s="1" t="n">
        <f aca="false">N(AI2276)+$AH2277</f>
        <v>0</v>
      </c>
      <c r="AJ2277" s="1" t="n">
        <v>0</v>
      </c>
      <c r="AK2277" s="1" t="n">
        <f aca="false">N(AK2276)+$AJ2277</f>
        <v>3672</v>
      </c>
    </row>
    <row r="2278" customFormat="false" ht="13.5" hidden="false" customHeight="false" outlineLevel="0" collapsed="false">
      <c r="A2278" s="1" t="str">
        <f aca="false">IF(对接源_02物料!$C1078="","",对接源_02物料!$C1078)</f>
        <v/>
      </c>
      <c r="B2278" s="1" t="n">
        <f aca="false">IF(A2278="",0,IF(MATCH(A2278,$A$4:$A$2403,0)=ROW()-3,1,0))</f>
        <v>0</v>
      </c>
      <c r="C2278" s="1" t="n">
        <f aca="false">N(C2277)+B2278</f>
        <v>17</v>
      </c>
      <c r="K2278" s="1" t="n">
        <f aca="false">IF(OR($K$1="",对接源_02物料!$C1078="",对接源_02物料!$C1078&lt;&gt;$K$1,对接源_02物料!$B1078=""),0,IF(OR(N(对接源_02物料!$B1078)&lt;$K$2,N(对接源_02物料!$B1078)&gt;$K$3),0,1))</f>
        <v>0</v>
      </c>
      <c r="L2278" s="1" t="n">
        <f aca="false">IF(OR($L$1="",对接源_02物料!$C1078="",对接源_02物料!$C1078&lt;&gt;$L$1,对接源_02物料!$B1078=""),0,IF(OR(N(对接源_02物料!$B1078)&lt;$L$2,N(对接源_02物料!$B1078)&gt;$L$3),0,1))</f>
        <v>0</v>
      </c>
      <c r="M2278" s="1" t="n">
        <f aca="false">IF(OR($M$1="",对接源_02物料!$C1078="",对接源_02物料!$C1078&lt;&gt;$M$1,对接源_02物料!$B1078=""),0,IF(OR(N(对接源_02物料!$B1078)&lt;$M$2,N(对接源_02物料!$B1078)&gt;$M$3),0,1))</f>
        <v>0</v>
      </c>
      <c r="N2278" s="1" t="n">
        <f aca="false">IF(OR($N$1="",对接源_02物料!$C1078="",对接源_02物料!$C1078&lt;&gt;$N$1,对接源_02物料!$B1078=""),0,IF(OR(N(对接源_02物料!$B1078)&lt;$N$2,N(对接源_02物料!$B1078)&gt;$N$3),0,1))</f>
        <v>0</v>
      </c>
      <c r="P2278" s="1" t="n">
        <f aca="false">IF(AND($K2278=1,AND(对接源_02物料!$X1078="公司筐",N(对接源_02物料!$T1078)&lt;&gt;0)),1,0)</f>
        <v>0</v>
      </c>
      <c r="Q2278" s="1" t="n">
        <f aca="false">N(Q2277)+$P2278</f>
        <v>13</v>
      </c>
      <c r="R2278" s="1" t="n">
        <f aca="false">IF(AND($K2278=1,AND(对接源_02物料!$X1078="公司筐",N(对接源_02物料!$U1078)&lt;&gt;0)),1,0)</f>
        <v>0</v>
      </c>
      <c r="S2278" s="1" t="n">
        <f aca="false">N(S2277)+$R2278</f>
        <v>5</v>
      </c>
      <c r="T2278" s="1" t="n">
        <f aca="false">IF(AND($K2278=1,AND(对接源_02物料!$X1078="公司筐",N(对接源_02物料!$V1078)&lt;&gt;0)),1,0)</f>
        <v>0</v>
      </c>
      <c r="U2278" s="1" t="n">
        <f aca="false">N(U2277)+$T2278</f>
        <v>28</v>
      </c>
      <c r="V2278" s="1" t="n">
        <f aca="false">IF(AND($L2278=1,AND(对接源_02物料!$X1078="自备筐",N(对接源_02物料!$V1078)&lt;&gt;0)),1,0)</f>
        <v>0</v>
      </c>
      <c r="W2278" s="1" t="n">
        <f aca="false">N(W2277)+$V2278</f>
        <v>7</v>
      </c>
      <c r="X2278" s="1" t="n">
        <f aca="false">IF(AND($L2278=1,AND(对接源_02物料!$X1078="自备筐",N(对接源_02物料!$T1078)&lt;&gt;0)),1,0)</f>
        <v>0</v>
      </c>
      <c r="Y2278" s="1" t="n">
        <f aca="false">N(Y2277)+$X2278</f>
        <v>0</v>
      </c>
      <c r="Z2278" s="1" t="n">
        <f aca="false">IF(AND($M2278=1,对接源_02物料!$D1078="原料入库"),1,0)</f>
        <v>0</v>
      </c>
      <c r="AA2278" s="1" t="n">
        <f aca="false">N(AA2277)+$Z2278</f>
        <v>30</v>
      </c>
      <c r="AB2278" s="1" t="n">
        <f aca="false">IF(AND($M2278=1,LEFT(对接源_02物料!$D1078,4)="原料出库"),1,0)</f>
        <v>0</v>
      </c>
      <c r="AC2278" s="1" t="n">
        <f aca="false">N(AC2277)+$AB2278</f>
        <v>19</v>
      </c>
      <c r="AD2278" s="1" t="n">
        <f aca="false">IF(AND($M2278=1,LEFT(对接源_02物料!$D1078,4)="成品出库"),1,0)</f>
        <v>0</v>
      </c>
      <c r="AE2278" s="1" t="n">
        <f aca="false">N(AE2277)+$AD2278</f>
        <v>38</v>
      </c>
      <c r="AF2278" s="1" t="n">
        <f aca="false">IF(AND($N2278=1,AND(LEFT(对接源_02物料!$D1078,4)="包装物料",N(对接源_02物料!$K1078)&lt;&gt;0)),1,0)</f>
        <v>0</v>
      </c>
      <c r="AG2278" s="1" t="n">
        <f aca="false">N(AG2277)+$AF2278</f>
        <v>6</v>
      </c>
      <c r="AH2278" s="1" t="n">
        <f aca="false">IF(AND($N2278=1,AND(LEFT(对接源_02物料!$D1078,3)="周转筐",N(对接源_02物料!$K1078)&lt;&gt;0)),1,0)</f>
        <v>0</v>
      </c>
      <c r="AI2278" s="1" t="n">
        <f aca="false">N(AI2277)+$AH2278</f>
        <v>0</v>
      </c>
      <c r="AJ2278" s="1" t="n">
        <v>0</v>
      </c>
      <c r="AK2278" s="1" t="n">
        <f aca="false">N(AK2277)+$AJ2278</f>
        <v>3672</v>
      </c>
    </row>
    <row r="2279" customFormat="false" ht="13.5" hidden="false" customHeight="false" outlineLevel="0" collapsed="false">
      <c r="A2279" s="1" t="str">
        <f aca="false">IF(对接源_02物料!$C1079="","",对接源_02物料!$C1079)</f>
        <v/>
      </c>
      <c r="B2279" s="1" t="n">
        <f aca="false">IF(A2279="",0,IF(MATCH(A2279,$A$4:$A$2403,0)=ROW()-3,1,0))</f>
        <v>0</v>
      </c>
      <c r="C2279" s="1" t="n">
        <f aca="false">N(C2278)+B2279</f>
        <v>17</v>
      </c>
      <c r="K2279" s="1" t="n">
        <f aca="false">IF(OR($K$1="",对接源_02物料!$C1079="",对接源_02物料!$C1079&lt;&gt;$K$1,对接源_02物料!$B1079=""),0,IF(OR(N(对接源_02物料!$B1079)&lt;$K$2,N(对接源_02物料!$B1079)&gt;$K$3),0,1))</f>
        <v>0</v>
      </c>
      <c r="L2279" s="1" t="n">
        <f aca="false">IF(OR($L$1="",对接源_02物料!$C1079="",对接源_02物料!$C1079&lt;&gt;$L$1,对接源_02物料!$B1079=""),0,IF(OR(N(对接源_02物料!$B1079)&lt;$L$2,N(对接源_02物料!$B1079)&gt;$L$3),0,1))</f>
        <v>0</v>
      </c>
      <c r="M2279" s="1" t="n">
        <f aca="false">IF(OR($M$1="",对接源_02物料!$C1079="",对接源_02物料!$C1079&lt;&gt;$M$1,对接源_02物料!$B1079=""),0,IF(OR(N(对接源_02物料!$B1079)&lt;$M$2,N(对接源_02物料!$B1079)&gt;$M$3),0,1))</f>
        <v>0</v>
      </c>
      <c r="N2279" s="1" t="n">
        <f aca="false">IF(OR($N$1="",对接源_02物料!$C1079="",对接源_02物料!$C1079&lt;&gt;$N$1,对接源_02物料!$B1079=""),0,IF(OR(N(对接源_02物料!$B1079)&lt;$N$2,N(对接源_02物料!$B1079)&gt;$N$3),0,1))</f>
        <v>0</v>
      </c>
      <c r="P2279" s="1" t="n">
        <f aca="false">IF(AND($K2279=1,AND(对接源_02物料!$X1079="公司筐",N(对接源_02物料!$T1079)&lt;&gt;0)),1,0)</f>
        <v>0</v>
      </c>
      <c r="Q2279" s="1" t="n">
        <f aca="false">N(Q2278)+$P2279</f>
        <v>13</v>
      </c>
      <c r="R2279" s="1" t="n">
        <f aca="false">IF(AND($K2279=1,AND(对接源_02物料!$X1079="公司筐",N(对接源_02物料!$U1079)&lt;&gt;0)),1,0)</f>
        <v>0</v>
      </c>
      <c r="S2279" s="1" t="n">
        <f aca="false">N(S2278)+$R2279</f>
        <v>5</v>
      </c>
      <c r="T2279" s="1" t="n">
        <f aca="false">IF(AND($K2279=1,AND(对接源_02物料!$X1079="公司筐",N(对接源_02物料!$V1079)&lt;&gt;0)),1,0)</f>
        <v>0</v>
      </c>
      <c r="U2279" s="1" t="n">
        <f aca="false">N(U2278)+$T2279</f>
        <v>28</v>
      </c>
      <c r="V2279" s="1" t="n">
        <f aca="false">IF(AND($L2279=1,AND(对接源_02物料!$X1079="自备筐",N(对接源_02物料!$V1079)&lt;&gt;0)),1,0)</f>
        <v>0</v>
      </c>
      <c r="W2279" s="1" t="n">
        <f aca="false">N(W2278)+$V2279</f>
        <v>7</v>
      </c>
      <c r="X2279" s="1" t="n">
        <f aca="false">IF(AND($L2279=1,AND(对接源_02物料!$X1079="自备筐",N(对接源_02物料!$T1079)&lt;&gt;0)),1,0)</f>
        <v>0</v>
      </c>
      <c r="Y2279" s="1" t="n">
        <f aca="false">N(Y2278)+$X2279</f>
        <v>0</v>
      </c>
      <c r="Z2279" s="1" t="n">
        <f aca="false">IF(AND($M2279=1,对接源_02物料!$D1079="原料入库"),1,0)</f>
        <v>0</v>
      </c>
      <c r="AA2279" s="1" t="n">
        <f aca="false">N(AA2278)+$Z2279</f>
        <v>30</v>
      </c>
      <c r="AB2279" s="1" t="n">
        <f aca="false">IF(AND($M2279=1,LEFT(对接源_02物料!$D1079,4)="原料出库"),1,0)</f>
        <v>0</v>
      </c>
      <c r="AC2279" s="1" t="n">
        <f aca="false">N(AC2278)+$AB2279</f>
        <v>19</v>
      </c>
      <c r="AD2279" s="1" t="n">
        <f aca="false">IF(AND($M2279=1,LEFT(对接源_02物料!$D1079,4)="成品出库"),1,0)</f>
        <v>0</v>
      </c>
      <c r="AE2279" s="1" t="n">
        <f aca="false">N(AE2278)+$AD2279</f>
        <v>38</v>
      </c>
      <c r="AF2279" s="1" t="n">
        <f aca="false">IF(AND($N2279=1,AND(LEFT(对接源_02物料!$D1079,4)="包装物料",N(对接源_02物料!$K1079)&lt;&gt;0)),1,0)</f>
        <v>0</v>
      </c>
      <c r="AG2279" s="1" t="n">
        <f aca="false">N(AG2278)+$AF2279</f>
        <v>6</v>
      </c>
      <c r="AH2279" s="1" t="n">
        <f aca="false">IF(AND($N2279=1,AND(LEFT(对接源_02物料!$D1079,3)="周转筐",N(对接源_02物料!$K1079)&lt;&gt;0)),1,0)</f>
        <v>0</v>
      </c>
      <c r="AI2279" s="1" t="n">
        <f aca="false">N(AI2278)+$AH2279</f>
        <v>0</v>
      </c>
      <c r="AJ2279" s="1" t="n">
        <v>0</v>
      </c>
      <c r="AK2279" s="1" t="n">
        <f aca="false">N(AK2278)+$AJ2279</f>
        <v>3672</v>
      </c>
    </row>
    <row r="2280" customFormat="false" ht="13.5" hidden="false" customHeight="false" outlineLevel="0" collapsed="false">
      <c r="A2280" s="1" t="str">
        <f aca="false">IF(对接源_02物料!$C1080="","",对接源_02物料!$C1080)</f>
        <v/>
      </c>
      <c r="B2280" s="1" t="n">
        <f aca="false">IF(A2280="",0,IF(MATCH(A2280,$A$4:$A$2403,0)=ROW()-3,1,0))</f>
        <v>0</v>
      </c>
      <c r="C2280" s="1" t="n">
        <f aca="false">N(C2279)+B2280</f>
        <v>17</v>
      </c>
      <c r="K2280" s="1" t="n">
        <f aca="false">IF(OR($K$1="",对接源_02物料!$C1080="",对接源_02物料!$C1080&lt;&gt;$K$1,对接源_02物料!$B1080=""),0,IF(OR(N(对接源_02物料!$B1080)&lt;$K$2,N(对接源_02物料!$B1080)&gt;$K$3),0,1))</f>
        <v>0</v>
      </c>
      <c r="L2280" s="1" t="n">
        <f aca="false">IF(OR($L$1="",对接源_02物料!$C1080="",对接源_02物料!$C1080&lt;&gt;$L$1,对接源_02物料!$B1080=""),0,IF(OR(N(对接源_02物料!$B1080)&lt;$L$2,N(对接源_02物料!$B1080)&gt;$L$3),0,1))</f>
        <v>0</v>
      </c>
      <c r="M2280" s="1" t="n">
        <f aca="false">IF(OR($M$1="",对接源_02物料!$C1080="",对接源_02物料!$C1080&lt;&gt;$M$1,对接源_02物料!$B1080=""),0,IF(OR(N(对接源_02物料!$B1080)&lt;$M$2,N(对接源_02物料!$B1080)&gt;$M$3),0,1))</f>
        <v>0</v>
      </c>
      <c r="N2280" s="1" t="n">
        <f aca="false">IF(OR($N$1="",对接源_02物料!$C1080="",对接源_02物料!$C1080&lt;&gt;$N$1,对接源_02物料!$B1080=""),0,IF(OR(N(对接源_02物料!$B1080)&lt;$N$2,N(对接源_02物料!$B1080)&gt;$N$3),0,1))</f>
        <v>0</v>
      </c>
      <c r="P2280" s="1" t="n">
        <f aca="false">IF(AND($K2280=1,AND(对接源_02物料!$X1080="公司筐",N(对接源_02物料!$T1080)&lt;&gt;0)),1,0)</f>
        <v>0</v>
      </c>
      <c r="Q2280" s="1" t="n">
        <f aca="false">N(Q2279)+$P2280</f>
        <v>13</v>
      </c>
      <c r="R2280" s="1" t="n">
        <f aca="false">IF(AND($K2280=1,AND(对接源_02物料!$X1080="公司筐",N(对接源_02物料!$U1080)&lt;&gt;0)),1,0)</f>
        <v>0</v>
      </c>
      <c r="S2280" s="1" t="n">
        <f aca="false">N(S2279)+$R2280</f>
        <v>5</v>
      </c>
      <c r="T2280" s="1" t="n">
        <f aca="false">IF(AND($K2280=1,AND(对接源_02物料!$X1080="公司筐",N(对接源_02物料!$V1080)&lt;&gt;0)),1,0)</f>
        <v>0</v>
      </c>
      <c r="U2280" s="1" t="n">
        <f aca="false">N(U2279)+$T2280</f>
        <v>28</v>
      </c>
      <c r="V2280" s="1" t="n">
        <f aca="false">IF(AND($L2280=1,AND(对接源_02物料!$X1080="自备筐",N(对接源_02物料!$V1080)&lt;&gt;0)),1,0)</f>
        <v>0</v>
      </c>
      <c r="W2280" s="1" t="n">
        <f aca="false">N(W2279)+$V2280</f>
        <v>7</v>
      </c>
      <c r="X2280" s="1" t="n">
        <f aca="false">IF(AND($L2280=1,AND(对接源_02物料!$X1080="自备筐",N(对接源_02物料!$T1080)&lt;&gt;0)),1,0)</f>
        <v>0</v>
      </c>
      <c r="Y2280" s="1" t="n">
        <f aca="false">N(Y2279)+$X2280</f>
        <v>0</v>
      </c>
      <c r="Z2280" s="1" t="n">
        <f aca="false">IF(AND($M2280=1,对接源_02物料!$D1080="原料入库"),1,0)</f>
        <v>0</v>
      </c>
      <c r="AA2280" s="1" t="n">
        <f aca="false">N(AA2279)+$Z2280</f>
        <v>30</v>
      </c>
      <c r="AB2280" s="1" t="n">
        <f aca="false">IF(AND($M2280=1,LEFT(对接源_02物料!$D1080,4)="原料出库"),1,0)</f>
        <v>0</v>
      </c>
      <c r="AC2280" s="1" t="n">
        <f aca="false">N(AC2279)+$AB2280</f>
        <v>19</v>
      </c>
      <c r="AD2280" s="1" t="n">
        <f aca="false">IF(AND($M2280=1,LEFT(对接源_02物料!$D1080,4)="成品出库"),1,0)</f>
        <v>0</v>
      </c>
      <c r="AE2280" s="1" t="n">
        <f aca="false">N(AE2279)+$AD2280</f>
        <v>38</v>
      </c>
      <c r="AF2280" s="1" t="n">
        <f aca="false">IF(AND($N2280=1,AND(LEFT(对接源_02物料!$D1080,4)="包装物料",N(对接源_02物料!$K1080)&lt;&gt;0)),1,0)</f>
        <v>0</v>
      </c>
      <c r="AG2280" s="1" t="n">
        <f aca="false">N(AG2279)+$AF2280</f>
        <v>6</v>
      </c>
      <c r="AH2280" s="1" t="n">
        <f aca="false">IF(AND($N2280=1,AND(LEFT(对接源_02物料!$D1080,3)="周转筐",N(对接源_02物料!$K1080)&lt;&gt;0)),1,0)</f>
        <v>0</v>
      </c>
      <c r="AI2280" s="1" t="n">
        <f aca="false">N(AI2279)+$AH2280</f>
        <v>0</v>
      </c>
      <c r="AJ2280" s="1" t="n">
        <v>0</v>
      </c>
      <c r="AK2280" s="1" t="n">
        <f aca="false">N(AK2279)+$AJ2280</f>
        <v>3672</v>
      </c>
    </row>
    <row r="2281" customFormat="false" ht="13.5" hidden="false" customHeight="false" outlineLevel="0" collapsed="false">
      <c r="A2281" s="1" t="str">
        <f aca="false">IF(对接源_02物料!$C1081="","",对接源_02物料!$C1081)</f>
        <v/>
      </c>
      <c r="B2281" s="1" t="n">
        <f aca="false">IF(A2281="",0,IF(MATCH(A2281,$A$4:$A$2403,0)=ROW()-3,1,0))</f>
        <v>0</v>
      </c>
      <c r="C2281" s="1" t="n">
        <f aca="false">N(C2280)+B2281</f>
        <v>17</v>
      </c>
      <c r="K2281" s="1" t="n">
        <f aca="false">IF(OR($K$1="",对接源_02物料!$C1081="",对接源_02物料!$C1081&lt;&gt;$K$1,对接源_02物料!$B1081=""),0,IF(OR(N(对接源_02物料!$B1081)&lt;$K$2,N(对接源_02物料!$B1081)&gt;$K$3),0,1))</f>
        <v>0</v>
      </c>
      <c r="L2281" s="1" t="n">
        <f aca="false">IF(OR($L$1="",对接源_02物料!$C1081="",对接源_02物料!$C1081&lt;&gt;$L$1,对接源_02物料!$B1081=""),0,IF(OR(N(对接源_02物料!$B1081)&lt;$L$2,N(对接源_02物料!$B1081)&gt;$L$3),0,1))</f>
        <v>0</v>
      </c>
      <c r="M2281" s="1" t="n">
        <f aca="false">IF(OR($M$1="",对接源_02物料!$C1081="",对接源_02物料!$C1081&lt;&gt;$M$1,对接源_02物料!$B1081=""),0,IF(OR(N(对接源_02物料!$B1081)&lt;$M$2,N(对接源_02物料!$B1081)&gt;$M$3),0,1))</f>
        <v>0</v>
      </c>
      <c r="N2281" s="1" t="n">
        <f aca="false">IF(OR($N$1="",对接源_02物料!$C1081="",对接源_02物料!$C1081&lt;&gt;$N$1,对接源_02物料!$B1081=""),0,IF(OR(N(对接源_02物料!$B1081)&lt;$N$2,N(对接源_02物料!$B1081)&gt;$N$3),0,1))</f>
        <v>0</v>
      </c>
      <c r="P2281" s="1" t="n">
        <f aca="false">IF(AND($K2281=1,AND(对接源_02物料!$X1081="公司筐",N(对接源_02物料!$T1081)&lt;&gt;0)),1,0)</f>
        <v>0</v>
      </c>
      <c r="Q2281" s="1" t="n">
        <f aca="false">N(Q2280)+$P2281</f>
        <v>13</v>
      </c>
      <c r="R2281" s="1" t="n">
        <f aca="false">IF(AND($K2281=1,AND(对接源_02物料!$X1081="公司筐",N(对接源_02物料!$U1081)&lt;&gt;0)),1,0)</f>
        <v>0</v>
      </c>
      <c r="S2281" s="1" t="n">
        <f aca="false">N(S2280)+$R2281</f>
        <v>5</v>
      </c>
      <c r="T2281" s="1" t="n">
        <f aca="false">IF(AND($K2281=1,AND(对接源_02物料!$X1081="公司筐",N(对接源_02物料!$V1081)&lt;&gt;0)),1,0)</f>
        <v>0</v>
      </c>
      <c r="U2281" s="1" t="n">
        <f aca="false">N(U2280)+$T2281</f>
        <v>28</v>
      </c>
      <c r="V2281" s="1" t="n">
        <f aca="false">IF(AND($L2281=1,AND(对接源_02物料!$X1081="自备筐",N(对接源_02物料!$V1081)&lt;&gt;0)),1,0)</f>
        <v>0</v>
      </c>
      <c r="W2281" s="1" t="n">
        <f aca="false">N(W2280)+$V2281</f>
        <v>7</v>
      </c>
      <c r="X2281" s="1" t="n">
        <f aca="false">IF(AND($L2281=1,AND(对接源_02物料!$X1081="自备筐",N(对接源_02物料!$T1081)&lt;&gt;0)),1,0)</f>
        <v>0</v>
      </c>
      <c r="Y2281" s="1" t="n">
        <f aca="false">N(Y2280)+$X2281</f>
        <v>0</v>
      </c>
      <c r="Z2281" s="1" t="n">
        <f aca="false">IF(AND($M2281=1,对接源_02物料!$D1081="原料入库"),1,0)</f>
        <v>0</v>
      </c>
      <c r="AA2281" s="1" t="n">
        <f aca="false">N(AA2280)+$Z2281</f>
        <v>30</v>
      </c>
      <c r="AB2281" s="1" t="n">
        <f aca="false">IF(AND($M2281=1,LEFT(对接源_02物料!$D1081,4)="原料出库"),1,0)</f>
        <v>0</v>
      </c>
      <c r="AC2281" s="1" t="n">
        <f aca="false">N(AC2280)+$AB2281</f>
        <v>19</v>
      </c>
      <c r="AD2281" s="1" t="n">
        <f aca="false">IF(AND($M2281=1,LEFT(对接源_02物料!$D1081,4)="成品出库"),1,0)</f>
        <v>0</v>
      </c>
      <c r="AE2281" s="1" t="n">
        <f aca="false">N(AE2280)+$AD2281</f>
        <v>38</v>
      </c>
      <c r="AF2281" s="1" t="n">
        <f aca="false">IF(AND($N2281=1,AND(LEFT(对接源_02物料!$D1081,4)="包装物料",N(对接源_02物料!$K1081)&lt;&gt;0)),1,0)</f>
        <v>0</v>
      </c>
      <c r="AG2281" s="1" t="n">
        <f aca="false">N(AG2280)+$AF2281</f>
        <v>6</v>
      </c>
      <c r="AH2281" s="1" t="n">
        <f aca="false">IF(AND($N2281=1,AND(LEFT(对接源_02物料!$D1081,3)="周转筐",N(对接源_02物料!$K1081)&lt;&gt;0)),1,0)</f>
        <v>0</v>
      </c>
      <c r="AI2281" s="1" t="n">
        <f aca="false">N(AI2280)+$AH2281</f>
        <v>0</v>
      </c>
      <c r="AJ2281" s="1" t="n">
        <v>0</v>
      </c>
      <c r="AK2281" s="1" t="n">
        <f aca="false">N(AK2280)+$AJ2281</f>
        <v>3672</v>
      </c>
    </row>
    <row r="2282" customFormat="false" ht="13.5" hidden="false" customHeight="false" outlineLevel="0" collapsed="false">
      <c r="A2282" s="1" t="str">
        <f aca="false">IF(对接源_02物料!$C1082="","",对接源_02物料!$C1082)</f>
        <v/>
      </c>
      <c r="B2282" s="1" t="n">
        <f aca="false">IF(A2282="",0,IF(MATCH(A2282,$A$4:$A$2403,0)=ROW()-3,1,0))</f>
        <v>0</v>
      </c>
      <c r="C2282" s="1" t="n">
        <f aca="false">N(C2281)+B2282</f>
        <v>17</v>
      </c>
      <c r="K2282" s="1" t="n">
        <f aca="false">IF(OR($K$1="",对接源_02物料!$C1082="",对接源_02物料!$C1082&lt;&gt;$K$1,对接源_02物料!$B1082=""),0,IF(OR(N(对接源_02物料!$B1082)&lt;$K$2,N(对接源_02物料!$B1082)&gt;$K$3),0,1))</f>
        <v>0</v>
      </c>
      <c r="L2282" s="1" t="n">
        <f aca="false">IF(OR($L$1="",对接源_02物料!$C1082="",对接源_02物料!$C1082&lt;&gt;$L$1,对接源_02物料!$B1082=""),0,IF(OR(N(对接源_02物料!$B1082)&lt;$L$2,N(对接源_02物料!$B1082)&gt;$L$3),0,1))</f>
        <v>0</v>
      </c>
      <c r="M2282" s="1" t="n">
        <f aca="false">IF(OR($M$1="",对接源_02物料!$C1082="",对接源_02物料!$C1082&lt;&gt;$M$1,对接源_02物料!$B1082=""),0,IF(OR(N(对接源_02物料!$B1082)&lt;$M$2,N(对接源_02物料!$B1082)&gt;$M$3),0,1))</f>
        <v>0</v>
      </c>
      <c r="N2282" s="1" t="n">
        <f aca="false">IF(OR($N$1="",对接源_02物料!$C1082="",对接源_02物料!$C1082&lt;&gt;$N$1,对接源_02物料!$B1082=""),0,IF(OR(N(对接源_02物料!$B1082)&lt;$N$2,N(对接源_02物料!$B1082)&gt;$N$3),0,1))</f>
        <v>0</v>
      </c>
      <c r="P2282" s="1" t="n">
        <f aca="false">IF(AND($K2282=1,AND(对接源_02物料!$X1082="公司筐",N(对接源_02物料!$T1082)&lt;&gt;0)),1,0)</f>
        <v>0</v>
      </c>
      <c r="Q2282" s="1" t="n">
        <f aca="false">N(Q2281)+$P2282</f>
        <v>13</v>
      </c>
      <c r="R2282" s="1" t="n">
        <f aca="false">IF(AND($K2282=1,AND(对接源_02物料!$X1082="公司筐",N(对接源_02物料!$U1082)&lt;&gt;0)),1,0)</f>
        <v>0</v>
      </c>
      <c r="S2282" s="1" t="n">
        <f aca="false">N(S2281)+$R2282</f>
        <v>5</v>
      </c>
      <c r="T2282" s="1" t="n">
        <f aca="false">IF(AND($K2282=1,AND(对接源_02物料!$X1082="公司筐",N(对接源_02物料!$V1082)&lt;&gt;0)),1,0)</f>
        <v>0</v>
      </c>
      <c r="U2282" s="1" t="n">
        <f aca="false">N(U2281)+$T2282</f>
        <v>28</v>
      </c>
      <c r="V2282" s="1" t="n">
        <f aca="false">IF(AND($L2282=1,AND(对接源_02物料!$X1082="自备筐",N(对接源_02物料!$V1082)&lt;&gt;0)),1,0)</f>
        <v>0</v>
      </c>
      <c r="W2282" s="1" t="n">
        <f aca="false">N(W2281)+$V2282</f>
        <v>7</v>
      </c>
      <c r="X2282" s="1" t="n">
        <f aca="false">IF(AND($L2282=1,AND(对接源_02物料!$X1082="自备筐",N(对接源_02物料!$T1082)&lt;&gt;0)),1,0)</f>
        <v>0</v>
      </c>
      <c r="Y2282" s="1" t="n">
        <f aca="false">N(Y2281)+$X2282</f>
        <v>0</v>
      </c>
      <c r="Z2282" s="1" t="n">
        <f aca="false">IF(AND($M2282=1,对接源_02物料!$D1082="原料入库"),1,0)</f>
        <v>0</v>
      </c>
      <c r="AA2282" s="1" t="n">
        <f aca="false">N(AA2281)+$Z2282</f>
        <v>30</v>
      </c>
      <c r="AB2282" s="1" t="n">
        <f aca="false">IF(AND($M2282=1,LEFT(对接源_02物料!$D1082,4)="原料出库"),1,0)</f>
        <v>0</v>
      </c>
      <c r="AC2282" s="1" t="n">
        <f aca="false">N(AC2281)+$AB2282</f>
        <v>19</v>
      </c>
      <c r="AD2282" s="1" t="n">
        <f aca="false">IF(AND($M2282=1,LEFT(对接源_02物料!$D1082,4)="成品出库"),1,0)</f>
        <v>0</v>
      </c>
      <c r="AE2282" s="1" t="n">
        <f aca="false">N(AE2281)+$AD2282</f>
        <v>38</v>
      </c>
      <c r="AF2282" s="1" t="n">
        <f aca="false">IF(AND($N2282=1,AND(LEFT(对接源_02物料!$D1082,4)="包装物料",N(对接源_02物料!$K1082)&lt;&gt;0)),1,0)</f>
        <v>0</v>
      </c>
      <c r="AG2282" s="1" t="n">
        <f aca="false">N(AG2281)+$AF2282</f>
        <v>6</v>
      </c>
      <c r="AH2282" s="1" t="n">
        <f aca="false">IF(AND($N2282=1,AND(LEFT(对接源_02物料!$D1082,3)="周转筐",N(对接源_02物料!$K1082)&lt;&gt;0)),1,0)</f>
        <v>0</v>
      </c>
      <c r="AI2282" s="1" t="n">
        <f aca="false">N(AI2281)+$AH2282</f>
        <v>0</v>
      </c>
      <c r="AJ2282" s="1" t="n">
        <v>0</v>
      </c>
      <c r="AK2282" s="1" t="n">
        <f aca="false">N(AK2281)+$AJ2282</f>
        <v>3672</v>
      </c>
    </row>
    <row r="2283" customFormat="false" ht="13.5" hidden="false" customHeight="false" outlineLevel="0" collapsed="false">
      <c r="A2283" s="1" t="str">
        <f aca="false">IF(对接源_02物料!$C1083="","",对接源_02物料!$C1083)</f>
        <v/>
      </c>
      <c r="B2283" s="1" t="n">
        <f aca="false">IF(A2283="",0,IF(MATCH(A2283,$A$4:$A$2403,0)=ROW()-3,1,0))</f>
        <v>0</v>
      </c>
      <c r="C2283" s="1" t="n">
        <f aca="false">N(C2282)+B2283</f>
        <v>17</v>
      </c>
      <c r="K2283" s="1" t="n">
        <f aca="false">IF(OR($K$1="",对接源_02物料!$C1083="",对接源_02物料!$C1083&lt;&gt;$K$1,对接源_02物料!$B1083=""),0,IF(OR(N(对接源_02物料!$B1083)&lt;$K$2,N(对接源_02物料!$B1083)&gt;$K$3),0,1))</f>
        <v>0</v>
      </c>
      <c r="L2283" s="1" t="n">
        <f aca="false">IF(OR($L$1="",对接源_02物料!$C1083="",对接源_02物料!$C1083&lt;&gt;$L$1,对接源_02物料!$B1083=""),0,IF(OR(N(对接源_02物料!$B1083)&lt;$L$2,N(对接源_02物料!$B1083)&gt;$L$3),0,1))</f>
        <v>0</v>
      </c>
      <c r="M2283" s="1" t="n">
        <f aca="false">IF(OR($M$1="",对接源_02物料!$C1083="",对接源_02物料!$C1083&lt;&gt;$M$1,对接源_02物料!$B1083=""),0,IF(OR(N(对接源_02物料!$B1083)&lt;$M$2,N(对接源_02物料!$B1083)&gt;$M$3),0,1))</f>
        <v>0</v>
      </c>
      <c r="N2283" s="1" t="n">
        <f aca="false">IF(OR($N$1="",对接源_02物料!$C1083="",对接源_02物料!$C1083&lt;&gt;$N$1,对接源_02物料!$B1083=""),0,IF(OR(N(对接源_02物料!$B1083)&lt;$N$2,N(对接源_02物料!$B1083)&gt;$N$3),0,1))</f>
        <v>0</v>
      </c>
      <c r="P2283" s="1" t="n">
        <f aca="false">IF(AND($K2283=1,AND(对接源_02物料!$X1083="公司筐",N(对接源_02物料!$T1083)&lt;&gt;0)),1,0)</f>
        <v>0</v>
      </c>
      <c r="Q2283" s="1" t="n">
        <f aca="false">N(Q2282)+$P2283</f>
        <v>13</v>
      </c>
      <c r="R2283" s="1" t="n">
        <f aca="false">IF(AND($K2283=1,AND(对接源_02物料!$X1083="公司筐",N(对接源_02物料!$U1083)&lt;&gt;0)),1,0)</f>
        <v>0</v>
      </c>
      <c r="S2283" s="1" t="n">
        <f aca="false">N(S2282)+$R2283</f>
        <v>5</v>
      </c>
      <c r="T2283" s="1" t="n">
        <f aca="false">IF(AND($K2283=1,AND(对接源_02物料!$X1083="公司筐",N(对接源_02物料!$V1083)&lt;&gt;0)),1,0)</f>
        <v>0</v>
      </c>
      <c r="U2283" s="1" t="n">
        <f aca="false">N(U2282)+$T2283</f>
        <v>28</v>
      </c>
      <c r="V2283" s="1" t="n">
        <f aca="false">IF(AND($L2283=1,AND(对接源_02物料!$X1083="自备筐",N(对接源_02物料!$V1083)&lt;&gt;0)),1,0)</f>
        <v>0</v>
      </c>
      <c r="W2283" s="1" t="n">
        <f aca="false">N(W2282)+$V2283</f>
        <v>7</v>
      </c>
      <c r="X2283" s="1" t="n">
        <f aca="false">IF(AND($L2283=1,AND(对接源_02物料!$X1083="自备筐",N(对接源_02物料!$T1083)&lt;&gt;0)),1,0)</f>
        <v>0</v>
      </c>
      <c r="Y2283" s="1" t="n">
        <f aca="false">N(Y2282)+$X2283</f>
        <v>0</v>
      </c>
      <c r="Z2283" s="1" t="n">
        <f aca="false">IF(AND($M2283=1,对接源_02物料!$D1083="原料入库"),1,0)</f>
        <v>0</v>
      </c>
      <c r="AA2283" s="1" t="n">
        <f aca="false">N(AA2282)+$Z2283</f>
        <v>30</v>
      </c>
      <c r="AB2283" s="1" t="n">
        <f aca="false">IF(AND($M2283=1,LEFT(对接源_02物料!$D1083,4)="原料出库"),1,0)</f>
        <v>0</v>
      </c>
      <c r="AC2283" s="1" t="n">
        <f aca="false">N(AC2282)+$AB2283</f>
        <v>19</v>
      </c>
      <c r="AD2283" s="1" t="n">
        <f aca="false">IF(AND($M2283=1,LEFT(对接源_02物料!$D1083,4)="成品出库"),1,0)</f>
        <v>0</v>
      </c>
      <c r="AE2283" s="1" t="n">
        <f aca="false">N(AE2282)+$AD2283</f>
        <v>38</v>
      </c>
      <c r="AF2283" s="1" t="n">
        <f aca="false">IF(AND($N2283=1,AND(LEFT(对接源_02物料!$D1083,4)="包装物料",N(对接源_02物料!$K1083)&lt;&gt;0)),1,0)</f>
        <v>0</v>
      </c>
      <c r="AG2283" s="1" t="n">
        <f aca="false">N(AG2282)+$AF2283</f>
        <v>6</v>
      </c>
      <c r="AH2283" s="1" t="n">
        <f aca="false">IF(AND($N2283=1,AND(LEFT(对接源_02物料!$D1083,3)="周转筐",N(对接源_02物料!$K1083)&lt;&gt;0)),1,0)</f>
        <v>0</v>
      </c>
      <c r="AI2283" s="1" t="n">
        <f aca="false">N(AI2282)+$AH2283</f>
        <v>0</v>
      </c>
      <c r="AJ2283" s="1" t="n">
        <v>0</v>
      </c>
      <c r="AK2283" s="1" t="n">
        <f aca="false">N(AK2282)+$AJ2283</f>
        <v>3672</v>
      </c>
    </row>
    <row r="2284" customFormat="false" ht="13.5" hidden="false" customHeight="false" outlineLevel="0" collapsed="false">
      <c r="A2284" s="1" t="str">
        <f aca="false">IF(对接源_02物料!$C1084="","",对接源_02物料!$C1084)</f>
        <v/>
      </c>
      <c r="B2284" s="1" t="n">
        <f aca="false">IF(A2284="",0,IF(MATCH(A2284,$A$4:$A$2403,0)=ROW()-3,1,0))</f>
        <v>0</v>
      </c>
      <c r="C2284" s="1" t="n">
        <f aca="false">N(C2283)+B2284</f>
        <v>17</v>
      </c>
      <c r="K2284" s="1" t="n">
        <f aca="false">IF(OR($K$1="",对接源_02物料!$C1084="",对接源_02物料!$C1084&lt;&gt;$K$1,对接源_02物料!$B1084=""),0,IF(OR(N(对接源_02物料!$B1084)&lt;$K$2,N(对接源_02物料!$B1084)&gt;$K$3),0,1))</f>
        <v>0</v>
      </c>
      <c r="L2284" s="1" t="n">
        <f aca="false">IF(OR($L$1="",对接源_02物料!$C1084="",对接源_02物料!$C1084&lt;&gt;$L$1,对接源_02物料!$B1084=""),0,IF(OR(N(对接源_02物料!$B1084)&lt;$L$2,N(对接源_02物料!$B1084)&gt;$L$3),0,1))</f>
        <v>0</v>
      </c>
      <c r="M2284" s="1" t="n">
        <f aca="false">IF(OR($M$1="",对接源_02物料!$C1084="",对接源_02物料!$C1084&lt;&gt;$M$1,对接源_02物料!$B1084=""),0,IF(OR(N(对接源_02物料!$B1084)&lt;$M$2,N(对接源_02物料!$B1084)&gt;$M$3),0,1))</f>
        <v>0</v>
      </c>
      <c r="N2284" s="1" t="n">
        <f aca="false">IF(OR($N$1="",对接源_02物料!$C1084="",对接源_02物料!$C1084&lt;&gt;$N$1,对接源_02物料!$B1084=""),0,IF(OR(N(对接源_02物料!$B1084)&lt;$N$2,N(对接源_02物料!$B1084)&gt;$N$3),0,1))</f>
        <v>0</v>
      </c>
      <c r="P2284" s="1" t="n">
        <f aca="false">IF(AND($K2284=1,AND(对接源_02物料!$X1084="公司筐",N(对接源_02物料!$T1084)&lt;&gt;0)),1,0)</f>
        <v>0</v>
      </c>
      <c r="Q2284" s="1" t="n">
        <f aca="false">N(Q2283)+$P2284</f>
        <v>13</v>
      </c>
      <c r="R2284" s="1" t="n">
        <f aca="false">IF(AND($K2284=1,AND(对接源_02物料!$X1084="公司筐",N(对接源_02物料!$U1084)&lt;&gt;0)),1,0)</f>
        <v>0</v>
      </c>
      <c r="S2284" s="1" t="n">
        <f aca="false">N(S2283)+$R2284</f>
        <v>5</v>
      </c>
      <c r="T2284" s="1" t="n">
        <f aca="false">IF(AND($K2284=1,AND(对接源_02物料!$X1084="公司筐",N(对接源_02物料!$V1084)&lt;&gt;0)),1,0)</f>
        <v>0</v>
      </c>
      <c r="U2284" s="1" t="n">
        <f aca="false">N(U2283)+$T2284</f>
        <v>28</v>
      </c>
      <c r="V2284" s="1" t="n">
        <f aca="false">IF(AND($L2284=1,AND(对接源_02物料!$X1084="自备筐",N(对接源_02物料!$V1084)&lt;&gt;0)),1,0)</f>
        <v>0</v>
      </c>
      <c r="W2284" s="1" t="n">
        <f aca="false">N(W2283)+$V2284</f>
        <v>7</v>
      </c>
      <c r="X2284" s="1" t="n">
        <f aca="false">IF(AND($L2284=1,AND(对接源_02物料!$X1084="自备筐",N(对接源_02物料!$T1084)&lt;&gt;0)),1,0)</f>
        <v>0</v>
      </c>
      <c r="Y2284" s="1" t="n">
        <f aca="false">N(Y2283)+$X2284</f>
        <v>0</v>
      </c>
      <c r="Z2284" s="1" t="n">
        <f aca="false">IF(AND($M2284=1,对接源_02物料!$D1084="原料入库"),1,0)</f>
        <v>0</v>
      </c>
      <c r="AA2284" s="1" t="n">
        <f aca="false">N(AA2283)+$Z2284</f>
        <v>30</v>
      </c>
      <c r="AB2284" s="1" t="n">
        <f aca="false">IF(AND($M2284=1,LEFT(对接源_02物料!$D1084,4)="原料出库"),1,0)</f>
        <v>0</v>
      </c>
      <c r="AC2284" s="1" t="n">
        <f aca="false">N(AC2283)+$AB2284</f>
        <v>19</v>
      </c>
      <c r="AD2284" s="1" t="n">
        <f aca="false">IF(AND($M2284=1,LEFT(对接源_02物料!$D1084,4)="成品出库"),1,0)</f>
        <v>0</v>
      </c>
      <c r="AE2284" s="1" t="n">
        <f aca="false">N(AE2283)+$AD2284</f>
        <v>38</v>
      </c>
      <c r="AF2284" s="1" t="n">
        <f aca="false">IF(AND($N2284=1,AND(LEFT(对接源_02物料!$D1084,4)="包装物料",N(对接源_02物料!$K1084)&lt;&gt;0)),1,0)</f>
        <v>0</v>
      </c>
      <c r="AG2284" s="1" t="n">
        <f aca="false">N(AG2283)+$AF2284</f>
        <v>6</v>
      </c>
      <c r="AH2284" s="1" t="n">
        <f aca="false">IF(AND($N2284=1,AND(LEFT(对接源_02物料!$D1084,3)="周转筐",N(对接源_02物料!$K1084)&lt;&gt;0)),1,0)</f>
        <v>0</v>
      </c>
      <c r="AI2284" s="1" t="n">
        <f aca="false">N(AI2283)+$AH2284</f>
        <v>0</v>
      </c>
      <c r="AJ2284" s="1" t="n">
        <v>0</v>
      </c>
      <c r="AK2284" s="1" t="n">
        <f aca="false">N(AK2283)+$AJ2284</f>
        <v>3672</v>
      </c>
    </row>
    <row r="2285" customFormat="false" ht="13.5" hidden="false" customHeight="false" outlineLevel="0" collapsed="false">
      <c r="A2285" s="1" t="str">
        <f aca="false">IF(对接源_02物料!$C1085="","",对接源_02物料!$C1085)</f>
        <v/>
      </c>
      <c r="B2285" s="1" t="n">
        <f aca="false">IF(A2285="",0,IF(MATCH(A2285,$A$4:$A$2403,0)=ROW()-3,1,0))</f>
        <v>0</v>
      </c>
      <c r="C2285" s="1" t="n">
        <f aca="false">N(C2284)+B2285</f>
        <v>17</v>
      </c>
      <c r="K2285" s="1" t="n">
        <f aca="false">IF(OR($K$1="",对接源_02物料!$C1085="",对接源_02物料!$C1085&lt;&gt;$K$1,对接源_02物料!$B1085=""),0,IF(OR(N(对接源_02物料!$B1085)&lt;$K$2,N(对接源_02物料!$B1085)&gt;$K$3),0,1))</f>
        <v>0</v>
      </c>
      <c r="L2285" s="1" t="n">
        <f aca="false">IF(OR($L$1="",对接源_02物料!$C1085="",对接源_02物料!$C1085&lt;&gt;$L$1,对接源_02物料!$B1085=""),0,IF(OR(N(对接源_02物料!$B1085)&lt;$L$2,N(对接源_02物料!$B1085)&gt;$L$3),0,1))</f>
        <v>0</v>
      </c>
      <c r="M2285" s="1" t="n">
        <f aca="false">IF(OR($M$1="",对接源_02物料!$C1085="",对接源_02物料!$C1085&lt;&gt;$M$1,对接源_02物料!$B1085=""),0,IF(OR(N(对接源_02物料!$B1085)&lt;$M$2,N(对接源_02物料!$B1085)&gt;$M$3),0,1))</f>
        <v>0</v>
      </c>
      <c r="N2285" s="1" t="n">
        <f aca="false">IF(OR($N$1="",对接源_02物料!$C1085="",对接源_02物料!$C1085&lt;&gt;$N$1,对接源_02物料!$B1085=""),0,IF(OR(N(对接源_02物料!$B1085)&lt;$N$2,N(对接源_02物料!$B1085)&gt;$N$3),0,1))</f>
        <v>0</v>
      </c>
      <c r="P2285" s="1" t="n">
        <f aca="false">IF(AND($K2285=1,AND(对接源_02物料!$X1085="公司筐",N(对接源_02物料!$T1085)&lt;&gt;0)),1,0)</f>
        <v>0</v>
      </c>
      <c r="Q2285" s="1" t="n">
        <f aca="false">N(Q2284)+$P2285</f>
        <v>13</v>
      </c>
      <c r="R2285" s="1" t="n">
        <f aca="false">IF(AND($K2285=1,AND(对接源_02物料!$X1085="公司筐",N(对接源_02物料!$U1085)&lt;&gt;0)),1,0)</f>
        <v>0</v>
      </c>
      <c r="S2285" s="1" t="n">
        <f aca="false">N(S2284)+$R2285</f>
        <v>5</v>
      </c>
      <c r="T2285" s="1" t="n">
        <f aca="false">IF(AND($K2285=1,AND(对接源_02物料!$X1085="公司筐",N(对接源_02物料!$V1085)&lt;&gt;0)),1,0)</f>
        <v>0</v>
      </c>
      <c r="U2285" s="1" t="n">
        <f aca="false">N(U2284)+$T2285</f>
        <v>28</v>
      </c>
      <c r="V2285" s="1" t="n">
        <f aca="false">IF(AND($L2285=1,AND(对接源_02物料!$X1085="自备筐",N(对接源_02物料!$V1085)&lt;&gt;0)),1,0)</f>
        <v>0</v>
      </c>
      <c r="W2285" s="1" t="n">
        <f aca="false">N(W2284)+$V2285</f>
        <v>7</v>
      </c>
      <c r="X2285" s="1" t="n">
        <f aca="false">IF(AND($L2285=1,AND(对接源_02物料!$X1085="自备筐",N(对接源_02物料!$T1085)&lt;&gt;0)),1,0)</f>
        <v>0</v>
      </c>
      <c r="Y2285" s="1" t="n">
        <f aca="false">N(Y2284)+$X2285</f>
        <v>0</v>
      </c>
      <c r="Z2285" s="1" t="n">
        <f aca="false">IF(AND($M2285=1,对接源_02物料!$D1085="原料入库"),1,0)</f>
        <v>0</v>
      </c>
      <c r="AA2285" s="1" t="n">
        <f aca="false">N(AA2284)+$Z2285</f>
        <v>30</v>
      </c>
      <c r="AB2285" s="1" t="n">
        <f aca="false">IF(AND($M2285=1,LEFT(对接源_02物料!$D1085,4)="原料出库"),1,0)</f>
        <v>0</v>
      </c>
      <c r="AC2285" s="1" t="n">
        <f aca="false">N(AC2284)+$AB2285</f>
        <v>19</v>
      </c>
      <c r="AD2285" s="1" t="n">
        <f aca="false">IF(AND($M2285=1,LEFT(对接源_02物料!$D1085,4)="成品出库"),1,0)</f>
        <v>0</v>
      </c>
      <c r="AE2285" s="1" t="n">
        <f aca="false">N(AE2284)+$AD2285</f>
        <v>38</v>
      </c>
      <c r="AF2285" s="1" t="n">
        <f aca="false">IF(AND($N2285=1,AND(LEFT(对接源_02物料!$D1085,4)="包装物料",N(对接源_02物料!$K1085)&lt;&gt;0)),1,0)</f>
        <v>0</v>
      </c>
      <c r="AG2285" s="1" t="n">
        <f aca="false">N(AG2284)+$AF2285</f>
        <v>6</v>
      </c>
      <c r="AH2285" s="1" t="n">
        <f aca="false">IF(AND($N2285=1,AND(LEFT(对接源_02物料!$D1085,3)="周转筐",N(对接源_02物料!$K1085)&lt;&gt;0)),1,0)</f>
        <v>0</v>
      </c>
      <c r="AI2285" s="1" t="n">
        <f aca="false">N(AI2284)+$AH2285</f>
        <v>0</v>
      </c>
      <c r="AJ2285" s="1" t="n">
        <v>0</v>
      </c>
      <c r="AK2285" s="1" t="n">
        <f aca="false">N(AK2284)+$AJ2285</f>
        <v>3672</v>
      </c>
    </row>
    <row r="2286" customFormat="false" ht="13.5" hidden="false" customHeight="false" outlineLevel="0" collapsed="false">
      <c r="A2286" s="1" t="str">
        <f aca="false">IF(对接源_02物料!$C1086="","",对接源_02物料!$C1086)</f>
        <v/>
      </c>
      <c r="B2286" s="1" t="n">
        <f aca="false">IF(A2286="",0,IF(MATCH(A2286,$A$4:$A$2403,0)=ROW()-3,1,0))</f>
        <v>0</v>
      </c>
      <c r="C2286" s="1" t="n">
        <f aca="false">N(C2285)+B2286</f>
        <v>17</v>
      </c>
      <c r="K2286" s="1" t="n">
        <f aca="false">IF(OR($K$1="",对接源_02物料!$C1086="",对接源_02物料!$C1086&lt;&gt;$K$1,对接源_02物料!$B1086=""),0,IF(OR(N(对接源_02物料!$B1086)&lt;$K$2,N(对接源_02物料!$B1086)&gt;$K$3),0,1))</f>
        <v>0</v>
      </c>
      <c r="L2286" s="1" t="n">
        <f aca="false">IF(OR($L$1="",对接源_02物料!$C1086="",对接源_02物料!$C1086&lt;&gt;$L$1,对接源_02物料!$B1086=""),0,IF(OR(N(对接源_02物料!$B1086)&lt;$L$2,N(对接源_02物料!$B1086)&gt;$L$3),0,1))</f>
        <v>0</v>
      </c>
      <c r="M2286" s="1" t="n">
        <f aca="false">IF(OR($M$1="",对接源_02物料!$C1086="",对接源_02物料!$C1086&lt;&gt;$M$1,对接源_02物料!$B1086=""),0,IF(OR(N(对接源_02物料!$B1086)&lt;$M$2,N(对接源_02物料!$B1086)&gt;$M$3),0,1))</f>
        <v>0</v>
      </c>
      <c r="N2286" s="1" t="n">
        <f aca="false">IF(OR($N$1="",对接源_02物料!$C1086="",对接源_02物料!$C1086&lt;&gt;$N$1,对接源_02物料!$B1086=""),0,IF(OR(N(对接源_02物料!$B1086)&lt;$N$2,N(对接源_02物料!$B1086)&gt;$N$3),0,1))</f>
        <v>0</v>
      </c>
      <c r="P2286" s="1" t="n">
        <f aca="false">IF(AND($K2286=1,AND(对接源_02物料!$X1086="公司筐",N(对接源_02物料!$T1086)&lt;&gt;0)),1,0)</f>
        <v>0</v>
      </c>
      <c r="Q2286" s="1" t="n">
        <f aca="false">N(Q2285)+$P2286</f>
        <v>13</v>
      </c>
      <c r="R2286" s="1" t="n">
        <f aca="false">IF(AND($K2286=1,AND(对接源_02物料!$X1086="公司筐",N(对接源_02物料!$U1086)&lt;&gt;0)),1,0)</f>
        <v>0</v>
      </c>
      <c r="S2286" s="1" t="n">
        <f aca="false">N(S2285)+$R2286</f>
        <v>5</v>
      </c>
      <c r="T2286" s="1" t="n">
        <f aca="false">IF(AND($K2286=1,AND(对接源_02物料!$X1086="公司筐",N(对接源_02物料!$V1086)&lt;&gt;0)),1,0)</f>
        <v>0</v>
      </c>
      <c r="U2286" s="1" t="n">
        <f aca="false">N(U2285)+$T2286</f>
        <v>28</v>
      </c>
      <c r="V2286" s="1" t="n">
        <f aca="false">IF(AND($L2286=1,AND(对接源_02物料!$X1086="自备筐",N(对接源_02物料!$V1086)&lt;&gt;0)),1,0)</f>
        <v>0</v>
      </c>
      <c r="W2286" s="1" t="n">
        <f aca="false">N(W2285)+$V2286</f>
        <v>7</v>
      </c>
      <c r="X2286" s="1" t="n">
        <f aca="false">IF(AND($L2286=1,AND(对接源_02物料!$X1086="自备筐",N(对接源_02物料!$T1086)&lt;&gt;0)),1,0)</f>
        <v>0</v>
      </c>
      <c r="Y2286" s="1" t="n">
        <f aca="false">N(Y2285)+$X2286</f>
        <v>0</v>
      </c>
      <c r="Z2286" s="1" t="n">
        <f aca="false">IF(AND($M2286=1,对接源_02物料!$D1086="原料入库"),1,0)</f>
        <v>0</v>
      </c>
      <c r="AA2286" s="1" t="n">
        <f aca="false">N(AA2285)+$Z2286</f>
        <v>30</v>
      </c>
      <c r="AB2286" s="1" t="n">
        <f aca="false">IF(AND($M2286=1,LEFT(对接源_02物料!$D1086,4)="原料出库"),1,0)</f>
        <v>0</v>
      </c>
      <c r="AC2286" s="1" t="n">
        <f aca="false">N(AC2285)+$AB2286</f>
        <v>19</v>
      </c>
      <c r="AD2286" s="1" t="n">
        <f aca="false">IF(AND($M2286=1,LEFT(对接源_02物料!$D1086,4)="成品出库"),1,0)</f>
        <v>0</v>
      </c>
      <c r="AE2286" s="1" t="n">
        <f aca="false">N(AE2285)+$AD2286</f>
        <v>38</v>
      </c>
      <c r="AF2286" s="1" t="n">
        <f aca="false">IF(AND($N2286=1,AND(LEFT(对接源_02物料!$D1086,4)="包装物料",N(对接源_02物料!$K1086)&lt;&gt;0)),1,0)</f>
        <v>0</v>
      </c>
      <c r="AG2286" s="1" t="n">
        <f aca="false">N(AG2285)+$AF2286</f>
        <v>6</v>
      </c>
      <c r="AH2286" s="1" t="n">
        <f aca="false">IF(AND($N2286=1,AND(LEFT(对接源_02物料!$D1086,3)="周转筐",N(对接源_02物料!$K1086)&lt;&gt;0)),1,0)</f>
        <v>0</v>
      </c>
      <c r="AI2286" s="1" t="n">
        <f aca="false">N(AI2285)+$AH2286</f>
        <v>0</v>
      </c>
      <c r="AJ2286" s="1" t="n">
        <v>0</v>
      </c>
      <c r="AK2286" s="1" t="n">
        <f aca="false">N(AK2285)+$AJ2286</f>
        <v>3672</v>
      </c>
    </row>
    <row r="2287" customFormat="false" ht="13.5" hidden="false" customHeight="false" outlineLevel="0" collapsed="false">
      <c r="A2287" s="1" t="str">
        <f aca="false">IF(对接源_02物料!$C1087="","",对接源_02物料!$C1087)</f>
        <v/>
      </c>
      <c r="B2287" s="1" t="n">
        <f aca="false">IF(A2287="",0,IF(MATCH(A2287,$A$4:$A$2403,0)=ROW()-3,1,0))</f>
        <v>0</v>
      </c>
      <c r="C2287" s="1" t="n">
        <f aca="false">N(C2286)+B2287</f>
        <v>17</v>
      </c>
      <c r="K2287" s="1" t="n">
        <f aca="false">IF(OR($K$1="",对接源_02物料!$C1087="",对接源_02物料!$C1087&lt;&gt;$K$1,对接源_02物料!$B1087=""),0,IF(OR(N(对接源_02物料!$B1087)&lt;$K$2,N(对接源_02物料!$B1087)&gt;$K$3),0,1))</f>
        <v>0</v>
      </c>
      <c r="L2287" s="1" t="n">
        <f aca="false">IF(OR($L$1="",对接源_02物料!$C1087="",对接源_02物料!$C1087&lt;&gt;$L$1,对接源_02物料!$B1087=""),0,IF(OR(N(对接源_02物料!$B1087)&lt;$L$2,N(对接源_02物料!$B1087)&gt;$L$3),0,1))</f>
        <v>0</v>
      </c>
      <c r="M2287" s="1" t="n">
        <f aca="false">IF(OR($M$1="",对接源_02物料!$C1087="",对接源_02物料!$C1087&lt;&gt;$M$1,对接源_02物料!$B1087=""),0,IF(OR(N(对接源_02物料!$B1087)&lt;$M$2,N(对接源_02物料!$B1087)&gt;$M$3),0,1))</f>
        <v>0</v>
      </c>
      <c r="N2287" s="1" t="n">
        <f aca="false">IF(OR($N$1="",对接源_02物料!$C1087="",对接源_02物料!$C1087&lt;&gt;$N$1,对接源_02物料!$B1087=""),0,IF(OR(N(对接源_02物料!$B1087)&lt;$N$2,N(对接源_02物料!$B1087)&gt;$N$3),0,1))</f>
        <v>0</v>
      </c>
      <c r="P2287" s="1" t="n">
        <f aca="false">IF(AND($K2287=1,AND(对接源_02物料!$X1087="公司筐",N(对接源_02物料!$T1087)&lt;&gt;0)),1,0)</f>
        <v>0</v>
      </c>
      <c r="Q2287" s="1" t="n">
        <f aca="false">N(Q2286)+$P2287</f>
        <v>13</v>
      </c>
      <c r="R2287" s="1" t="n">
        <f aca="false">IF(AND($K2287=1,AND(对接源_02物料!$X1087="公司筐",N(对接源_02物料!$U1087)&lt;&gt;0)),1,0)</f>
        <v>0</v>
      </c>
      <c r="S2287" s="1" t="n">
        <f aca="false">N(S2286)+$R2287</f>
        <v>5</v>
      </c>
      <c r="T2287" s="1" t="n">
        <f aca="false">IF(AND($K2287=1,AND(对接源_02物料!$X1087="公司筐",N(对接源_02物料!$V1087)&lt;&gt;0)),1,0)</f>
        <v>0</v>
      </c>
      <c r="U2287" s="1" t="n">
        <f aca="false">N(U2286)+$T2287</f>
        <v>28</v>
      </c>
      <c r="V2287" s="1" t="n">
        <f aca="false">IF(AND($L2287=1,AND(对接源_02物料!$X1087="自备筐",N(对接源_02物料!$V1087)&lt;&gt;0)),1,0)</f>
        <v>0</v>
      </c>
      <c r="W2287" s="1" t="n">
        <f aca="false">N(W2286)+$V2287</f>
        <v>7</v>
      </c>
      <c r="X2287" s="1" t="n">
        <f aca="false">IF(AND($L2287=1,AND(对接源_02物料!$X1087="自备筐",N(对接源_02物料!$T1087)&lt;&gt;0)),1,0)</f>
        <v>0</v>
      </c>
      <c r="Y2287" s="1" t="n">
        <f aca="false">N(Y2286)+$X2287</f>
        <v>0</v>
      </c>
      <c r="Z2287" s="1" t="n">
        <f aca="false">IF(AND($M2287=1,对接源_02物料!$D1087="原料入库"),1,0)</f>
        <v>0</v>
      </c>
      <c r="AA2287" s="1" t="n">
        <f aca="false">N(AA2286)+$Z2287</f>
        <v>30</v>
      </c>
      <c r="AB2287" s="1" t="n">
        <f aca="false">IF(AND($M2287=1,LEFT(对接源_02物料!$D1087,4)="原料出库"),1,0)</f>
        <v>0</v>
      </c>
      <c r="AC2287" s="1" t="n">
        <f aca="false">N(AC2286)+$AB2287</f>
        <v>19</v>
      </c>
      <c r="AD2287" s="1" t="n">
        <f aca="false">IF(AND($M2287=1,LEFT(对接源_02物料!$D1087,4)="成品出库"),1,0)</f>
        <v>0</v>
      </c>
      <c r="AE2287" s="1" t="n">
        <f aca="false">N(AE2286)+$AD2287</f>
        <v>38</v>
      </c>
      <c r="AF2287" s="1" t="n">
        <f aca="false">IF(AND($N2287=1,AND(LEFT(对接源_02物料!$D1087,4)="包装物料",N(对接源_02物料!$K1087)&lt;&gt;0)),1,0)</f>
        <v>0</v>
      </c>
      <c r="AG2287" s="1" t="n">
        <f aca="false">N(AG2286)+$AF2287</f>
        <v>6</v>
      </c>
      <c r="AH2287" s="1" t="n">
        <f aca="false">IF(AND($N2287=1,AND(LEFT(对接源_02物料!$D1087,3)="周转筐",N(对接源_02物料!$K1087)&lt;&gt;0)),1,0)</f>
        <v>0</v>
      </c>
      <c r="AI2287" s="1" t="n">
        <f aca="false">N(AI2286)+$AH2287</f>
        <v>0</v>
      </c>
      <c r="AJ2287" s="1" t="n">
        <v>0</v>
      </c>
      <c r="AK2287" s="1" t="n">
        <f aca="false">N(AK2286)+$AJ2287</f>
        <v>3672</v>
      </c>
    </row>
    <row r="2288" customFormat="false" ht="13.5" hidden="false" customHeight="false" outlineLevel="0" collapsed="false">
      <c r="A2288" s="1" t="str">
        <f aca="false">IF(对接源_02物料!$C1088="","",对接源_02物料!$C1088)</f>
        <v/>
      </c>
      <c r="B2288" s="1" t="n">
        <f aca="false">IF(A2288="",0,IF(MATCH(A2288,$A$4:$A$2403,0)=ROW()-3,1,0))</f>
        <v>0</v>
      </c>
      <c r="C2288" s="1" t="n">
        <f aca="false">N(C2287)+B2288</f>
        <v>17</v>
      </c>
      <c r="K2288" s="1" t="n">
        <f aca="false">IF(OR($K$1="",对接源_02物料!$C1088="",对接源_02物料!$C1088&lt;&gt;$K$1,对接源_02物料!$B1088=""),0,IF(OR(N(对接源_02物料!$B1088)&lt;$K$2,N(对接源_02物料!$B1088)&gt;$K$3),0,1))</f>
        <v>0</v>
      </c>
      <c r="L2288" s="1" t="n">
        <f aca="false">IF(OR($L$1="",对接源_02物料!$C1088="",对接源_02物料!$C1088&lt;&gt;$L$1,对接源_02物料!$B1088=""),0,IF(OR(N(对接源_02物料!$B1088)&lt;$L$2,N(对接源_02物料!$B1088)&gt;$L$3),0,1))</f>
        <v>0</v>
      </c>
      <c r="M2288" s="1" t="n">
        <f aca="false">IF(OR($M$1="",对接源_02物料!$C1088="",对接源_02物料!$C1088&lt;&gt;$M$1,对接源_02物料!$B1088=""),0,IF(OR(N(对接源_02物料!$B1088)&lt;$M$2,N(对接源_02物料!$B1088)&gt;$M$3),0,1))</f>
        <v>0</v>
      </c>
      <c r="N2288" s="1" t="n">
        <f aca="false">IF(OR($N$1="",对接源_02物料!$C1088="",对接源_02物料!$C1088&lt;&gt;$N$1,对接源_02物料!$B1088=""),0,IF(OR(N(对接源_02物料!$B1088)&lt;$N$2,N(对接源_02物料!$B1088)&gt;$N$3),0,1))</f>
        <v>0</v>
      </c>
      <c r="P2288" s="1" t="n">
        <f aca="false">IF(AND($K2288=1,AND(对接源_02物料!$X1088="公司筐",N(对接源_02物料!$T1088)&lt;&gt;0)),1,0)</f>
        <v>0</v>
      </c>
      <c r="Q2288" s="1" t="n">
        <f aca="false">N(Q2287)+$P2288</f>
        <v>13</v>
      </c>
      <c r="R2288" s="1" t="n">
        <f aca="false">IF(AND($K2288=1,AND(对接源_02物料!$X1088="公司筐",N(对接源_02物料!$U1088)&lt;&gt;0)),1,0)</f>
        <v>0</v>
      </c>
      <c r="S2288" s="1" t="n">
        <f aca="false">N(S2287)+$R2288</f>
        <v>5</v>
      </c>
      <c r="T2288" s="1" t="n">
        <f aca="false">IF(AND($K2288=1,AND(对接源_02物料!$X1088="公司筐",N(对接源_02物料!$V1088)&lt;&gt;0)),1,0)</f>
        <v>0</v>
      </c>
      <c r="U2288" s="1" t="n">
        <f aca="false">N(U2287)+$T2288</f>
        <v>28</v>
      </c>
      <c r="V2288" s="1" t="n">
        <f aca="false">IF(AND($L2288=1,AND(对接源_02物料!$X1088="自备筐",N(对接源_02物料!$V1088)&lt;&gt;0)),1,0)</f>
        <v>0</v>
      </c>
      <c r="W2288" s="1" t="n">
        <f aca="false">N(W2287)+$V2288</f>
        <v>7</v>
      </c>
      <c r="X2288" s="1" t="n">
        <f aca="false">IF(AND($L2288=1,AND(对接源_02物料!$X1088="自备筐",N(对接源_02物料!$T1088)&lt;&gt;0)),1,0)</f>
        <v>0</v>
      </c>
      <c r="Y2288" s="1" t="n">
        <f aca="false">N(Y2287)+$X2288</f>
        <v>0</v>
      </c>
      <c r="Z2288" s="1" t="n">
        <f aca="false">IF(AND($M2288=1,对接源_02物料!$D1088="原料入库"),1,0)</f>
        <v>0</v>
      </c>
      <c r="AA2288" s="1" t="n">
        <f aca="false">N(AA2287)+$Z2288</f>
        <v>30</v>
      </c>
      <c r="AB2288" s="1" t="n">
        <f aca="false">IF(AND($M2288=1,LEFT(对接源_02物料!$D1088,4)="原料出库"),1,0)</f>
        <v>0</v>
      </c>
      <c r="AC2288" s="1" t="n">
        <f aca="false">N(AC2287)+$AB2288</f>
        <v>19</v>
      </c>
      <c r="AD2288" s="1" t="n">
        <f aca="false">IF(AND($M2288=1,LEFT(对接源_02物料!$D1088,4)="成品出库"),1,0)</f>
        <v>0</v>
      </c>
      <c r="AE2288" s="1" t="n">
        <f aca="false">N(AE2287)+$AD2288</f>
        <v>38</v>
      </c>
      <c r="AF2288" s="1" t="n">
        <f aca="false">IF(AND($N2288=1,AND(LEFT(对接源_02物料!$D1088,4)="包装物料",N(对接源_02物料!$K1088)&lt;&gt;0)),1,0)</f>
        <v>0</v>
      </c>
      <c r="AG2288" s="1" t="n">
        <f aca="false">N(AG2287)+$AF2288</f>
        <v>6</v>
      </c>
      <c r="AH2288" s="1" t="n">
        <f aca="false">IF(AND($N2288=1,AND(LEFT(对接源_02物料!$D1088,3)="周转筐",N(对接源_02物料!$K1088)&lt;&gt;0)),1,0)</f>
        <v>0</v>
      </c>
      <c r="AI2288" s="1" t="n">
        <f aca="false">N(AI2287)+$AH2288</f>
        <v>0</v>
      </c>
      <c r="AJ2288" s="1" t="n">
        <v>0</v>
      </c>
      <c r="AK2288" s="1" t="n">
        <f aca="false">N(AK2287)+$AJ2288</f>
        <v>3672</v>
      </c>
    </row>
    <row r="2289" customFormat="false" ht="13.5" hidden="false" customHeight="false" outlineLevel="0" collapsed="false">
      <c r="A2289" s="1" t="str">
        <f aca="false">IF(对接源_02物料!$C1089="","",对接源_02物料!$C1089)</f>
        <v/>
      </c>
      <c r="B2289" s="1" t="n">
        <f aca="false">IF(A2289="",0,IF(MATCH(A2289,$A$4:$A$2403,0)=ROW()-3,1,0))</f>
        <v>0</v>
      </c>
      <c r="C2289" s="1" t="n">
        <f aca="false">N(C2288)+B2289</f>
        <v>17</v>
      </c>
      <c r="K2289" s="1" t="n">
        <f aca="false">IF(OR($K$1="",对接源_02物料!$C1089="",对接源_02物料!$C1089&lt;&gt;$K$1,对接源_02物料!$B1089=""),0,IF(OR(N(对接源_02物料!$B1089)&lt;$K$2,N(对接源_02物料!$B1089)&gt;$K$3),0,1))</f>
        <v>0</v>
      </c>
      <c r="L2289" s="1" t="n">
        <f aca="false">IF(OR($L$1="",对接源_02物料!$C1089="",对接源_02物料!$C1089&lt;&gt;$L$1,对接源_02物料!$B1089=""),0,IF(OR(N(对接源_02物料!$B1089)&lt;$L$2,N(对接源_02物料!$B1089)&gt;$L$3),0,1))</f>
        <v>0</v>
      </c>
      <c r="M2289" s="1" t="n">
        <f aca="false">IF(OR($M$1="",对接源_02物料!$C1089="",对接源_02物料!$C1089&lt;&gt;$M$1,对接源_02物料!$B1089=""),0,IF(OR(N(对接源_02物料!$B1089)&lt;$M$2,N(对接源_02物料!$B1089)&gt;$M$3),0,1))</f>
        <v>0</v>
      </c>
      <c r="N2289" s="1" t="n">
        <f aca="false">IF(OR($N$1="",对接源_02物料!$C1089="",对接源_02物料!$C1089&lt;&gt;$N$1,对接源_02物料!$B1089=""),0,IF(OR(N(对接源_02物料!$B1089)&lt;$N$2,N(对接源_02物料!$B1089)&gt;$N$3),0,1))</f>
        <v>0</v>
      </c>
      <c r="P2289" s="1" t="n">
        <f aca="false">IF(AND($K2289=1,AND(对接源_02物料!$X1089="公司筐",N(对接源_02物料!$T1089)&lt;&gt;0)),1,0)</f>
        <v>0</v>
      </c>
      <c r="Q2289" s="1" t="n">
        <f aca="false">N(Q2288)+$P2289</f>
        <v>13</v>
      </c>
      <c r="R2289" s="1" t="n">
        <f aca="false">IF(AND($K2289=1,AND(对接源_02物料!$X1089="公司筐",N(对接源_02物料!$U1089)&lt;&gt;0)),1,0)</f>
        <v>0</v>
      </c>
      <c r="S2289" s="1" t="n">
        <f aca="false">N(S2288)+$R2289</f>
        <v>5</v>
      </c>
      <c r="T2289" s="1" t="n">
        <f aca="false">IF(AND($K2289=1,AND(对接源_02物料!$X1089="公司筐",N(对接源_02物料!$V1089)&lt;&gt;0)),1,0)</f>
        <v>0</v>
      </c>
      <c r="U2289" s="1" t="n">
        <f aca="false">N(U2288)+$T2289</f>
        <v>28</v>
      </c>
      <c r="V2289" s="1" t="n">
        <f aca="false">IF(AND($L2289=1,AND(对接源_02物料!$X1089="自备筐",N(对接源_02物料!$V1089)&lt;&gt;0)),1,0)</f>
        <v>0</v>
      </c>
      <c r="W2289" s="1" t="n">
        <f aca="false">N(W2288)+$V2289</f>
        <v>7</v>
      </c>
      <c r="X2289" s="1" t="n">
        <f aca="false">IF(AND($L2289=1,AND(对接源_02物料!$X1089="自备筐",N(对接源_02物料!$T1089)&lt;&gt;0)),1,0)</f>
        <v>0</v>
      </c>
      <c r="Y2289" s="1" t="n">
        <f aca="false">N(Y2288)+$X2289</f>
        <v>0</v>
      </c>
      <c r="Z2289" s="1" t="n">
        <f aca="false">IF(AND($M2289=1,对接源_02物料!$D1089="原料入库"),1,0)</f>
        <v>0</v>
      </c>
      <c r="AA2289" s="1" t="n">
        <f aca="false">N(AA2288)+$Z2289</f>
        <v>30</v>
      </c>
      <c r="AB2289" s="1" t="n">
        <f aca="false">IF(AND($M2289=1,LEFT(对接源_02物料!$D1089,4)="原料出库"),1,0)</f>
        <v>0</v>
      </c>
      <c r="AC2289" s="1" t="n">
        <f aca="false">N(AC2288)+$AB2289</f>
        <v>19</v>
      </c>
      <c r="AD2289" s="1" t="n">
        <f aca="false">IF(AND($M2289=1,LEFT(对接源_02物料!$D1089,4)="成品出库"),1,0)</f>
        <v>0</v>
      </c>
      <c r="AE2289" s="1" t="n">
        <f aca="false">N(AE2288)+$AD2289</f>
        <v>38</v>
      </c>
      <c r="AF2289" s="1" t="n">
        <f aca="false">IF(AND($N2289=1,AND(LEFT(对接源_02物料!$D1089,4)="包装物料",N(对接源_02物料!$K1089)&lt;&gt;0)),1,0)</f>
        <v>0</v>
      </c>
      <c r="AG2289" s="1" t="n">
        <f aca="false">N(AG2288)+$AF2289</f>
        <v>6</v>
      </c>
      <c r="AH2289" s="1" t="n">
        <f aca="false">IF(AND($N2289=1,AND(LEFT(对接源_02物料!$D1089,3)="周转筐",N(对接源_02物料!$K1089)&lt;&gt;0)),1,0)</f>
        <v>0</v>
      </c>
      <c r="AI2289" s="1" t="n">
        <f aca="false">N(AI2288)+$AH2289</f>
        <v>0</v>
      </c>
      <c r="AJ2289" s="1" t="n">
        <v>0</v>
      </c>
      <c r="AK2289" s="1" t="n">
        <f aca="false">N(AK2288)+$AJ2289</f>
        <v>3672</v>
      </c>
    </row>
    <row r="2290" customFormat="false" ht="13.5" hidden="false" customHeight="false" outlineLevel="0" collapsed="false">
      <c r="A2290" s="1" t="str">
        <f aca="false">IF(对接源_02物料!$C1090="","",对接源_02物料!$C1090)</f>
        <v/>
      </c>
      <c r="B2290" s="1" t="n">
        <f aca="false">IF(A2290="",0,IF(MATCH(A2290,$A$4:$A$2403,0)=ROW()-3,1,0))</f>
        <v>0</v>
      </c>
      <c r="C2290" s="1" t="n">
        <f aca="false">N(C2289)+B2290</f>
        <v>17</v>
      </c>
      <c r="K2290" s="1" t="n">
        <f aca="false">IF(OR($K$1="",对接源_02物料!$C1090="",对接源_02物料!$C1090&lt;&gt;$K$1,对接源_02物料!$B1090=""),0,IF(OR(N(对接源_02物料!$B1090)&lt;$K$2,N(对接源_02物料!$B1090)&gt;$K$3),0,1))</f>
        <v>0</v>
      </c>
      <c r="L2290" s="1" t="n">
        <f aca="false">IF(OR($L$1="",对接源_02物料!$C1090="",对接源_02物料!$C1090&lt;&gt;$L$1,对接源_02物料!$B1090=""),0,IF(OR(N(对接源_02物料!$B1090)&lt;$L$2,N(对接源_02物料!$B1090)&gt;$L$3),0,1))</f>
        <v>0</v>
      </c>
      <c r="M2290" s="1" t="n">
        <f aca="false">IF(OR($M$1="",对接源_02物料!$C1090="",对接源_02物料!$C1090&lt;&gt;$M$1,对接源_02物料!$B1090=""),0,IF(OR(N(对接源_02物料!$B1090)&lt;$M$2,N(对接源_02物料!$B1090)&gt;$M$3),0,1))</f>
        <v>0</v>
      </c>
      <c r="N2290" s="1" t="n">
        <f aca="false">IF(OR($N$1="",对接源_02物料!$C1090="",对接源_02物料!$C1090&lt;&gt;$N$1,对接源_02物料!$B1090=""),0,IF(OR(N(对接源_02物料!$B1090)&lt;$N$2,N(对接源_02物料!$B1090)&gt;$N$3),0,1))</f>
        <v>0</v>
      </c>
      <c r="P2290" s="1" t="n">
        <f aca="false">IF(AND($K2290=1,AND(对接源_02物料!$X1090="公司筐",N(对接源_02物料!$T1090)&lt;&gt;0)),1,0)</f>
        <v>0</v>
      </c>
      <c r="Q2290" s="1" t="n">
        <f aca="false">N(Q2289)+$P2290</f>
        <v>13</v>
      </c>
      <c r="R2290" s="1" t="n">
        <f aca="false">IF(AND($K2290=1,AND(对接源_02物料!$X1090="公司筐",N(对接源_02物料!$U1090)&lt;&gt;0)),1,0)</f>
        <v>0</v>
      </c>
      <c r="S2290" s="1" t="n">
        <f aca="false">N(S2289)+$R2290</f>
        <v>5</v>
      </c>
      <c r="T2290" s="1" t="n">
        <f aca="false">IF(AND($K2290=1,AND(对接源_02物料!$X1090="公司筐",N(对接源_02物料!$V1090)&lt;&gt;0)),1,0)</f>
        <v>0</v>
      </c>
      <c r="U2290" s="1" t="n">
        <f aca="false">N(U2289)+$T2290</f>
        <v>28</v>
      </c>
      <c r="V2290" s="1" t="n">
        <f aca="false">IF(AND($L2290=1,AND(对接源_02物料!$X1090="自备筐",N(对接源_02物料!$V1090)&lt;&gt;0)),1,0)</f>
        <v>0</v>
      </c>
      <c r="W2290" s="1" t="n">
        <f aca="false">N(W2289)+$V2290</f>
        <v>7</v>
      </c>
      <c r="X2290" s="1" t="n">
        <f aca="false">IF(AND($L2290=1,AND(对接源_02物料!$X1090="自备筐",N(对接源_02物料!$T1090)&lt;&gt;0)),1,0)</f>
        <v>0</v>
      </c>
      <c r="Y2290" s="1" t="n">
        <f aca="false">N(Y2289)+$X2290</f>
        <v>0</v>
      </c>
      <c r="Z2290" s="1" t="n">
        <f aca="false">IF(AND($M2290=1,对接源_02物料!$D1090="原料入库"),1,0)</f>
        <v>0</v>
      </c>
      <c r="AA2290" s="1" t="n">
        <f aca="false">N(AA2289)+$Z2290</f>
        <v>30</v>
      </c>
      <c r="AB2290" s="1" t="n">
        <f aca="false">IF(AND($M2290=1,LEFT(对接源_02物料!$D1090,4)="原料出库"),1,0)</f>
        <v>0</v>
      </c>
      <c r="AC2290" s="1" t="n">
        <f aca="false">N(AC2289)+$AB2290</f>
        <v>19</v>
      </c>
      <c r="AD2290" s="1" t="n">
        <f aca="false">IF(AND($M2290=1,LEFT(对接源_02物料!$D1090,4)="成品出库"),1,0)</f>
        <v>0</v>
      </c>
      <c r="AE2290" s="1" t="n">
        <f aca="false">N(AE2289)+$AD2290</f>
        <v>38</v>
      </c>
      <c r="AF2290" s="1" t="n">
        <f aca="false">IF(AND($N2290=1,AND(LEFT(对接源_02物料!$D1090,4)="包装物料",N(对接源_02物料!$K1090)&lt;&gt;0)),1,0)</f>
        <v>0</v>
      </c>
      <c r="AG2290" s="1" t="n">
        <f aca="false">N(AG2289)+$AF2290</f>
        <v>6</v>
      </c>
      <c r="AH2290" s="1" t="n">
        <f aca="false">IF(AND($N2290=1,AND(LEFT(对接源_02物料!$D1090,3)="周转筐",N(对接源_02物料!$K1090)&lt;&gt;0)),1,0)</f>
        <v>0</v>
      </c>
      <c r="AI2290" s="1" t="n">
        <f aca="false">N(AI2289)+$AH2290</f>
        <v>0</v>
      </c>
      <c r="AJ2290" s="1" t="n">
        <v>0</v>
      </c>
      <c r="AK2290" s="1" t="n">
        <f aca="false">N(AK2289)+$AJ2290</f>
        <v>3672</v>
      </c>
    </row>
    <row r="2291" customFormat="false" ht="13.5" hidden="false" customHeight="false" outlineLevel="0" collapsed="false">
      <c r="A2291" s="1" t="str">
        <f aca="false">IF(对接源_02物料!$C1091="","",对接源_02物料!$C1091)</f>
        <v/>
      </c>
      <c r="B2291" s="1" t="n">
        <f aca="false">IF(A2291="",0,IF(MATCH(A2291,$A$4:$A$2403,0)=ROW()-3,1,0))</f>
        <v>0</v>
      </c>
      <c r="C2291" s="1" t="n">
        <f aca="false">N(C2290)+B2291</f>
        <v>17</v>
      </c>
      <c r="K2291" s="1" t="n">
        <f aca="false">IF(OR($K$1="",对接源_02物料!$C1091="",对接源_02物料!$C1091&lt;&gt;$K$1,对接源_02物料!$B1091=""),0,IF(OR(N(对接源_02物料!$B1091)&lt;$K$2,N(对接源_02物料!$B1091)&gt;$K$3),0,1))</f>
        <v>0</v>
      </c>
      <c r="L2291" s="1" t="n">
        <f aca="false">IF(OR($L$1="",对接源_02物料!$C1091="",对接源_02物料!$C1091&lt;&gt;$L$1,对接源_02物料!$B1091=""),0,IF(OR(N(对接源_02物料!$B1091)&lt;$L$2,N(对接源_02物料!$B1091)&gt;$L$3),0,1))</f>
        <v>0</v>
      </c>
      <c r="M2291" s="1" t="n">
        <f aca="false">IF(OR($M$1="",对接源_02物料!$C1091="",对接源_02物料!$C1091&lt;&gt;$M$1,对接源_02物料!$B1091=""),0,IF(OR(N(对接源_02物料!$B1091)&lt;$M$2,N(对接源_02物料!$B1091)&gt;$M$3),0,1))</f>
        <v>0</v>
      </c>
      <c r="N2291" s="1" t="n">
        <f aca="false">IF(OR($N$1="",对接源_02物料!$C1091="",对接源_02物料!$C1091&lt;&gt;$N$1,对接源_02物料!$B1091=""),0,IF(OR(N(对接源_02物料!$B1091)&lt;$N$2,N(对接源_02物料!$B1091)&gt;$N$3),0,1))</f>
        <v>0</v>
      </c>
      <c r="P2291" s="1" t="n">
        <f aca="false">IF(AND($K2291=1,AND(对接源_02物料!$X1091="公司筐",N(对接源_02物料!$T1091)&lt;&gt;0)),1,0)</f>
        <v>0</v>
      </c>
      <c r="Q2291" s="1" t="n">
        <f aca="false">N(Q2290)+$P2291</f>
        <v>13</v>
      </c>
      <c r="R2291" s="1" t="n">
        <f aca="false">IF(AND($K2291=1,AND(对接源_02物料!$X1091="公司筐",N(对接源_02物料!$U1091)&lt;&gt;0)),1,0)</f>
        <v>0</v>
      </c>
      <c r="S2291" s="1" t="n">
        <f aca="false">N(S2290)+$R2291</f>
        <v>5</v>
      </c>
      <c r="T2291" s="1" t="n">
        <f aca="false">IF(AND($K2291=1,AND(对接源_02物料!$X1091="公司筐",N(对接源_02物料!$V1091)&lt;&gt;0)),1,0)</f>
        <v>0</v>
      </c>
      <c r="U2291" s="1" t="n">
        <f aca="false">N(U2290)+$T2291</f>
        <v>28</v>
      </c>
      <c r="V2291" s="1" t="n">
        <f aca="false">IF(AND($L2291=1,AND(对接源_02物料!$X1091="自备筐",N(对接源_02物料!$V1091)&lt;&gt;0)),1,0)</f>
        <v>0</v>
      </c>
      <c r="W2291" s="1" t="n">
        <f aca="false">N(W2290)+$V2291</f>
        <v>7</v>
      </c>
      <c r="X2291" s="1" t="n">
        <f aca="false">IF(AND($L2291=1,AND(对接源_02物料!$X1091="自备筐",N(对接源_02物料!$T1091)&lt;&gt;0)),1,0)</f>
        <v>0</v>
      </c>
      <c r="Y2291" s="1" t="n">
        <f aca="false">N(Y2290)+$X2291</f>
        <v>0</v>
      </c>
      <c r="Z2291" s="1" t="n">
        <f aca="false">IF(AND($M2291=1,对接源_02物料!$D1091="原料入库"),1,0)</f>
        <v>0</v>
      </c>
      <c r="AA2291" s="1" t="n">
        <f aca="false">N(AA2290)+$Z2291</f>
        <v>30</v>
      </c>
      <c r="AB2291" s="1" t="n">
        <f aca="false">IF(AND($M2291=1,LEFT(对接源_02物料!$D1091,4)="原料出库"),1,0)</f>
        <v>0</v>
      </c>
      <c r="AC2291" s="1" t="n">
        <f aca="false">N(AC2290)+$AB2291</f>
        <v>19</v>
      </c>
      <c r="AD2291" s="1" t="n">
        <f aca="false">IF(AND($M2291=1,LEFT(对接源_02物料!$D1091,4)="成品出库"),1,0)</f>
        <v>0</v>
      </c>
      <c r="AE2291" s="1" t="n">
        <f aca="false">N(AE2290)+$AD2291</f>
        <v>38</v>
      </c>
      <c r="AF2291" s="1" t="n">
        <f aca="false">IF(AND($N2291=1,AND(LEFT(对接源_02物料!$D1091,4)="包装物料",N(对接源_02物料!$K1091)&lt;&gt;0)),1,0)</f>
        <v>0</v>
      </c>
      <c r="AG2291" s="1" t="n">
        <f aca="false">N(AG2290)+$AF2291</f>
        <v>6</v>
      </c>
      <c r="AH2291" s="1" t="n">
        <f aca="false">IF(AND($N2291=1,AND(LEFT(对接源_02物料!$D1091,3)="周转筐",N(对接源_02物料!$K1091)&lt;&gt;0)),1,0)</f>
        <v>0</v>
      </c>
      <c r="AI2291" s="1" t="n">
        <f aca="false">N(AI2290)+$AH2291</f>
        <v>0</v>
      </c>
      <c r="AJ2291" s="1" t="n">
        <v>0</v>
      </c>
      <c r="AK2291" s="1" t="n">
        <f aca="false">N(AK2290)+$AJ2291</f>
        <v>3672</v>
      </c>
    </row>
    <row r="2292" customFormat="false" ht="13.5" hidden="false" customHeight="false" outlineLevel="0" collapsed="false">
      <c r="A2292" s="1" t="str">
        <f aca="false">IF(对接源_02物料!$C1092="","",对接源_02物料!$C1092)</f>
        <v/>
      </c>
      <c r="B2292" s="1" t="n">
        <f aca="false">IF(A2292="",0,IF(MATCH(A2292,$A$4:$A$2403,0)=ROW()-3,1,0))</f>
        <v>0</v>
      </c>
      <c r="C2292" s="1" t="n">
        <f aca="false">N(C2291)+B2292</f>
        <v>17</v>
      </c>
      <c r="K2292" s="1" t="n">
        <f aca="false">IF(OR($K$1="",对接源_02物料!$C1092="",对接源_02物料!$C1092&lt;&gt;$K$1,对接源_02物料!$B1092=""),0,IF(OR(N(对接源_02物料!$B1092)&lt;$K$2,N(对接源_02物料!$B1092)&gt;$K$3),0,1))</f>
        <v>0</v>
      </c>
      <c r="L2292" s="1" t="n">
        <f aca="false">IF(OR($L$1="",对接源_02物料!$C1092="",对接源_02物料!$C1092&lt;&gt;$L$1,对接源_02物料!$B1092=""),0,IF(OR(N(对接源_02物料!$B1092)&lt;$L$2,N(对接源_02物料!$B1092)&gt;$L$3),0,1))</f>
        <v>0</v>
      </c>
      <c r="M2292" s="1" t="n">
        <f aca="false">IF(OR($M$1="",对接源_02物料!$C1092="",对接源_02物料!$C1092&lt;&gt;$M$1,对接源_02物料!$B1092=""),0,IF(OR(N(对接源_02物料!$B1092)&lt;$M$2,N(对接源_02物料!$B1092)&gt;$M$3),0,1))</f>
        <v>0</v>
      </c>
      <c r="N2292" s="1" t="n">
        <f aca="false">IF(OR($N$1="",对接源_02物料!$C1092="",对接源_02物料!$C1092&lt;&gt;$N$1,对接源_02物料!$B1092=""),0,IF(OR(N(对接源_02物料!$B1092)&lt;$N$2,N(对接源_02物料!$B1092)&gt;$N$3),0,1))</f>
        <v>0</v>
      </c>
      <c r="P2292" s="1" t="n">
        <f aca="false">IF(AND($K2292=1,AND(对接源_02物料!$X1092="公司筐",N(对接源_02物料!$T1092)&lt;&gt;0)),1,0)</f>
        <v>0</v>
      </c>
      <c r="Q2292" s="1" t="n">
        <f aca="false">N(Q2291)+$P2292</f>
        <v>13</v>
      </c>
      <c r="R2292" s="1" t="n">
        <f aca="false">IF(AND($K2292=1,AND(对接源_02物料!$X1092="公司筐",N(对接源_02物料!$U1092)&lt;&gt;0)),1,0)</f>
        <v>0</v>
      </c>
      <c r="S2292" s="1" t="n">
        <f aca="false">N(S2291)+$R2292</f>
        <v>5</v>
      </c>
      <c r="T2292" s="1" t="n">
        <f aca="false">IF(AND($K2292=1,AND(对接源_02物料!$X1092="公司筐",N(对接源_02物料!$V1092)&lt;&gt;0)),1,0)</f>
        <v>0</v>
      </c>
      <c r="U2292" s="1" t="n">
        <f aca="false">N(U2291)+$T2292</f>
        <v>28</v>
      </c>
      <c r="V2292" s="1" t="n">
        <f aca="false">IF(AND($L2292=1,AND(对接源_02物料!$X1092="自备筐",N(对接源_02物料!$V1092)&lt;&gt;0)),1,0)</f>
        <v>0</v>
      </c>
      <c r="W2292" s="1" t="n">
        <f aca="false">N(W2291)+$V2292</f>
        <v>7</v>
      </c>
      <c r="X2292" s="1" t="n">
        <f aca="false">IF(AND($L2292=1,AND(对接源_02物料!$X1092="自备筐",N(对接源_02物料!$T1092)&lt;&gt;0)),1,0)</f>
        <v>0</v>
      </c>
      <c r="Y2292" s="1" t="n">
        <f aca="false">N(Y2291)+$X2292</f>
        <v>0</v>
      </c>
      <c r="Z2292" s="1" t="n">
        <f aca="false">IF(AND($M2292=1,对接源_02物料!$D1092="原料入库"),1,0)</f>
        <v>0</v>
      </c>
      <c r="AA2292" s="1" t="n">
        <f aca="false">N(AA2291)+$Z2292</f>
        <v>30</v>
      </c>
      <c r="AB2292" s="1" t="n">
        <f aca="false">IF(AND($M2292=1,LEFT(对接源_02物料!$D1092,4)="原料出库"),1,0)</f>
        <v>0</v>
      </c>
      <c r="AC2292" s="1" t="n">
        <f aca="false">N(AC2291)+$AB2292</f>
        <v>19</v>
      </c>
      <c r="AD2292" s="1" t="n">
        <f aca="false">IF(AND($M2292=1,LEFT(对接源_02物料!$D1092,4)="成品出库"),1,0)</f>
        <v>0</v>
      </c>
      <c r="AE2292" s="1" t="n">
        <f aca="false">N(AE2291)+$AD2292</f>
        <v>38</v>
      </c>
      <c r="AF2292" s="1" t="n">
        <f aca="false">IF(AND($N2292=1,AND(LEFT(对接源_02物料!$D1092,4)="包装物料",N(对接源_02物料!$K1092)&lt;&gt;0)),1,0)</f>
        <v>0</v>
      </c>
      <c r="AG2292" s="1" t="n">
        <f aca="false">N(AG2291)+$AF2292</f>
        <v>6</v>
      </c>
      <c r="AH2292" s="1" t="n">
        <f aca="false">IF(AND($N2292=1,AND(LEFT(对接源_02物料!$D1092,3)="周转筐",N(对接源_02物料!$K1092)&lt;&gt;0)),1,0)</f>
        <v>0</v>
      </c>
      <c r="AI2292" s="1" t="n">
        <f aca="false">N(AI2291)+$AH2292</f>
        <v>0</v>
      </c>
      <c r="AJ2292" s="1" t="n">
        <v>0</v>
      </c>
      <c r="AK2292" s="1" t="n">
        <f aca="false">N(AK2291)+$AJ2292</f>
        <v>3672</v>
      </c>
    </row>
    <row r="2293" customFormat="false" ht="13.5" hidden="false" customHeight="false" outlineLevel="0" collapsed="false">
      <c r="A2293" s="1" t="str">
        <f aca="false">IF(对接源_02物料!$C1093="","",对接源_02物料!$C1093)</f>
        <v/>
      </c>
      <c r="B2293" s="1" t="n">
        <f aca="false">IF(A2293="",0,IF(MATCH(A2293,$A$4:$A$2403,0)=ROW()-3,1,0))</f>
        <v>0</v>
      </c>
      <c r="C2293" s="1" t="n">
        <f aca="false">N(C2292)+B2293</f>
        <v>17</v>
      </c>
      <c r="K2293" s="1" t="n">
        <f aca="false">IF(OR($K$1="",对接源_02物料!$C1093="",对接源_02物料!$C1093&lt;&gt;$K$1,对接源_02物料!$B1093=""),0,IF(OR(N(对接源_02物料!$B1093)&lt;$K$2,N(对接源_02物料!$B1093)&gt;$K$3),0,1))</f>
        <v>0</v>
      </c>
      <c r="L2293" s="1" t="n">
        <f aca="false">IF(OR($L$1="",对接源_02物料!$C1093="",对接源_02物料!$C1093&lt;&gt;$L$1,对接源_02物料!$B1093=""),0,IF(OR(N(对接源_02物料!$B1093)&lt;$L$2,N(对接源_02物料!$B1093)&gt;$L$3),0,1))</f>
        <v>0</v>
      </c>
      <c r="M2293" s="1" t="n">
        <f aca="false">IF(OR($M$1="",对接源_02物料!$C1093="",对接源_02物料!$C1093&lt;&gt;$M$1,对接源_02物料!$B1093=""),0,IF(OR(N(对接源_02物料!$B1093)&lt;$M$2,N(对接源_02物料!$B1093)&gt;$M$3),0,1))</f>
        <v>0</v>
      </c>
      <c r="N2293" s="1" t="n">
        <f aca="false">IF(OR($N$1="",对接源_02物料!$C1093="",对接源_02物料!$C1093&lt;&gt;$N$1,对接源_02物料!$B1093=""),0,IF(OR(N(对接源_02物料!$B1093)&lt;$N$2,N(对接源_02物料!$B1093)&gt;$N$3),0,1))</f>
        <v>0</v>
      </c>
      <c r="P2293" s="1" t="n">
        <f aca="false">IF(AND($K2293=1,AND(对接源_02物料!$X1093="公司筐",N(对接源_02物料!$T1093)&lt;&gt;0)),1,0)</f>
        <v>0</v>
      </c>
      <c r="Q2293" s="1" t="n">
        <f aca="false">N(Q2292)+$P2293</f>
        <v>13</v>
      </c>
      <c r="R2293" s="1" t="n">
        <f aca="false">IF(AND($K2293=1,AND(对接源_02物料!$X1093="公司筐",N(对接源_02物料!$U1093)&lt;&gt;0)),1,0)</f>
        <v>0</v>
      </c>
      <c r="S2293" s="1" t="n">
        <f aca="false">N(S2292)+$R2293</f>
        <v>5</v>
      </c>
      <c r="T2293" s="1" t="n">
        <f aca="false">IF(AND($K2293=1,AND(对接源_02物料!$X1093="公司筐",N(对接源_02物料!$V1093)&lt;&gt;0)),1,0)</f>
        <v>0</v>
      </c>
      <c r="U2293" s="1" t="n">
        <f aca="false">N(U2292)+$T2293</f>
        <v>28</v>
      </c>
      <c r="V2293" s="1" t="n">
        <f aca="false">IF(AND($L2293=1,AND(对接源_02物料!$X1093="自备筐",N(对接源_02物料!$V1093)&lt;&gt;0)),1,0)</f>
        <v>0</v>
      </c>
      <c r="W2293" s="1" t="n">
        <f aca="false">N(W2292)+$V2293</f>
        <v>7</v>
      </c>
      <c r="X2293" s="1" t="n">
        <f aca="false">IF(AND($L2293=1,AND(对接源_02物料!$X1093="自备筐",N(对接源_02物料!$T1093)&lt;&gt;0)),1,0)</f>
        <v>0</v>
      </c>
      <c r="Y2293" s="1" t="n">
        <f aca="false">N(Y2292)+$X2293</f>
        <v>0</v>
      </c>
      <c r="Z2293" s="1" t="n">
        <f aca="false">IF(AND($M2293=1,对接源_02物料!$D1093="原料入库"),1,0)</f>
        <v>0</v>
      </c>
      <c r="AA2293" s="1" t="n">
        <f aca="false">N(AA2292)+$Z2293</f>
        <v>30</v>
      </c>
      <c r="AB2293" s="1" t="n">
        <f aca="false">IF(AND($M2293=1,LEFT(对接源_02物料!$D1093,4)="原料出库"),1,0)</f>
        <v>0</v>
      </c>
      <c r="AC2293" s="1" t="n">
        <f aca="false">N(AC2292)+$AB2293</f>
        <v>19</v>
      </c>
      <c r="AD2293" s="1" t="n">
        <f aca="false">IF(AND($M2293=1,LEFT(对接源_02物料!$D1093,4)="成品出库"),1,0)</f>
        <v>0</v>
      </c>
      <c r="AE2293" s="1" t="n">
        <f aca="false">N(AE2292)+$AD2293</f>
        <v>38</v>
      </c>
      <c r="AF2293" s="1" t="n">
        <f aca="false">IF(AND($N2293=1,AND(LEFT(对接源_02物料!$D1093,4)="包装物料",N(对接源_02物料!$K1093)&lt;&gt;0)),1,0)</f>
        <v>0</v>
      </c>
      <c r="AG2293" s="1" t="n">
        <f aca="false">N(AG2292)+$AF2293</f>
        <v>6</v>
      </c>
      <c r="AH2293" s="1" t="n">
        <f aca="false">IF(AND($N2293=1,AND(LEFT(对接源_02物料!$D1093,3)="周转筐",N(对接源_02物料!$K1093)&lt;&gt;0)),1,0)</f>
        <v>0</v>
      </c>
      <c r="AI2293" s="1" t="n">
        <f aca="false">N(AI2292)+$AH2293</f>
        <v>0</v>
      </c>
      <c r="AJ2293" s="1" t="n">
        <v>0</v>
      </c>
      <c r="AK2293" s="1" t="n">
        <f aca="false">N(AK2292)+$AJ2293</f>
        <v>3672</v>
      </c>
    </row>
    <row r="2294" customFormat="false" ht="13.5" hidden="false" customHeight="false" outlineLevel="0" collapsed="false">
      <c r="A2294" s="1" t="str">
        <f aca="false">IF(对接源_02物料!$C1094="","",对接源_02物料!$C1094)</f>
        <v/>
      </c>
      <c r="B2294" s="1" t="n">
        <f aca="false">IF(A2294="",0,IF(MATCH(A2294,$A$4:$A$2403,0)=ROW()-3,1,0))</f>
        <v>0</v>
      </c>
      <c r="C2294" s="1" t="n">
        <f aca="false">N(C2293)+B2294</f>
        <v>17</v>
      </c>
      <c r="K2294" s="1" t="n">
        <f aca="false">IF(OR($K$1="",对接源_02物料!$C1094="",对接源_02物料!$C1094&lt;&gt;$K$1,对接源_02物料!$B1094=""),0,IF(OR(N(对接源_02物料!$B1094)&lt;$K$2,N(对接源_02物料!$B1094)&gt;$K$3),0,1))</f>
        <v>0</v>
      </c>
      <c r="L2294" s="1" t="n">
        <f aca="false">IF(OR($L$1="",对接源_02物料!$C1094="",对接源_02物料!$C1094&lt;&gt;$L$1,对接源_02物料!$B1094=""),0,IF(OR(N(对接源_02物料!$B1094)&lt;$L$2,N(对接源_02物料!$B1094)&gt;$L$3),0,1))</f>
        <v>0</v>
      </c>
      <c r="M2294" s="1" t="n">
        <f aca="false">IF(OR($M$1="",对接源_02物料!$C1094="",对接源_02物料!$C1094&lt;&gt;$M$1,对接源_02物料!$B1094=""),0,IF(OR(N(对接源_02物料!$B1094)&lt;$M$2,N(对接源_02物料!$B1094)&gt;$M$3),0,1))</f>
        <v>0</v>
      </c>
      <c r="N2294" s="1" t="n">
        <f aca="false">IF(OR($N$1="",对接源_02物料!$C1094="",对接源_02物料!$C1094&lt;&gt;$N$1,对接源_02物料!$B1094=""),0,IF(OR(N(对接源_02物料!$B1094)&lt;$N$2,N(对接源_02物料!$B1094)&gt;$N$3),0,1))</f>
        <v>0</v>
      </c>
      <c r="P2294" s="1" t="n">
        <f aca="false">IF(AND($K2294=1,AND(对接源_02物料!$X1094="公司筐",N(对接源_02物料!$T1094)&lt;&gt;0)),1,0)</f>
        <v>0</v>
      </c>
      <c r="Q2294" s="1" t="n">
        <f aca="false">N(Q2293)+$P2294</f>
        <v>13</v>
      </c>
      <c r="R2294" s="1" t="n">
        <f aca="false">IF(AND($K2294=1,AND(对接源_02物料!$X1094="公司筐",N(对接源_02物料!$U1094)&lt;&gt;0)),1,0)</f>
        <v>0</v>
      </c>
      <c r="S2294" s="1" t="n">
        <f aca="false">N(S2293)+$R2294</f>
        <v>5</v>
      </c>
      <c r="T2294" s="1" t="n">
        <f aca="false">IF(AND($K2294=1,AND(对接源_02物料!$X1094="公司筐",N(对接源_02物料!$V1094)&lt;&gt;0)),1,0)</f>
        <v>0</v>
      </c>
      <c r="U2294" s="1" t="n">
        <f aca="false">N(U2293)+$T2294</f>
        <v>28</v>
      </c>
      <c r="V2294" s="1" t="n">
        <f aca="false">IF(AND($L2294=1,AND(对接源_02物料!$X1094="自备筐",N(对接源_02物料!$V1094)&lt;&gt;0)),1,0)</f>
        <v>0</v>
      </c>
      <c r="W2294" s="1" t="n">
        <f aca="false">N(W2293)+$V2294</f>
        <v>7</v>
      </c>
      <c r="X2294" s="1" t="n">
        <f aca="false">IF(AND($L2294=1,AND(对接源_02物料!$X1094="自备筐",N(对接源_02物料!$T1094)&lt;&gt;0)),1,0)</f>
        <v>0</v>
      </c>
      <c r="Y2294" s="1" t="n">
        <f aca="false">N(Y2293)+$X2294</f>
        <v>0</v>
      </c>
      <c r="Z2294" s="1" t="n">
        <f aca="false">IF(AND($M2294=1,对接源_02物料!$D1094="原料入库"),1,0)</f>
        <v>0</v>
      </c>
      <c r="AA2294" s="1" t="n">
        <f aca="false">N(AA2293)+$Z2294</f>
        <v>30</v>
      </c>
      <c r="AB2294" s="1" t="n">
        <f aca="false">IF(AND($M2294=1,LEFT(对接源_02物料!$D1094,4)="原料出库"),1,0)</f>
        <v>0</v>
      </c>
      <c r="AC2294" s="1" t="n">
        <f aca="false">N(AC2293)+$AB2294</f>
        <v>19</v>
      </c>
      <c r="AD2294" s="1" t="n">
        <f aca="false">IF(AND($M2294=1,LEFT(对接源_02物料!$D1094,4)="成品出库"),1,0)</f>
        <v>0</v>
      </c>
      <c r="AE2294" s="1" t="n">
        <f aca="false">N(AE2293)+$AD2294</f>
        <v>38</v>
      </c>
      <c r="AF2294" s="1" t="n">
        <f aca="false">IF(AND($N2294=1,AND(LEFT(对接源_02物料!$D1094,4)="包装物料",N(对接源_02物料!$K1094)&lt;&gt;0)),1,0)</f>
        <v>0</v>
      </c>
      <c r="AG2294" s="1" t="n">
        <f aca="false">N(AG2293)+$AF2294</f>
        <v>6</v>
      </c>
      <c r="AH2294" s="1" t="n">
        <f aca="false">IF(AND($N2294=1,AND(LEFT(对接源_02物料!$D1094,3)="周转筐",N(对接源_02物料!$K1094)&lt;&gt;0)),1,0)</f>
        <v>0</v>
      </c>
      <c r="AI2294" s="1" t="n">
        <f aca="false">N(AI2293)+$AH2294</f>
        <v>0</v>
      </c>
      <c r="AJ2294" s="1" t="n">
        <v>0</v>
      </c>
      <c r="AK2294" s="1" t="n">
        <f aca="false">N(AK2293)+$AJ2294</f>
        <v>3672</v>
      </c>
    </row>
    <row r="2295" customFormat="false" ht="13.5" hidden="false" customHeight="false" outlineLevel="0" collapsed="false">
      <c r="A2295" s="1" t="str">
        <f aca="false">IF(对接源_02物料!$C1095="","",对接源_02物料!$C1095)</f>
        <v/>
      </c>
      <c r="B2295" s="1" t="n">
        <f aca="false">IF(A2295="",0,IF(MATCH(A2295,$A$4:$A$2403,0)=ROW()-3,1,0))</f>
        <v>0</v>
      </c>
      <c r="C2295" s="1" t="n">
        <f aca="false">N(C2294)+B2295</f>
        <v>17</v>
      </c>
      <c r="K2295" s="1" t="n">
        <f aca="false">IF(OR($K$1="",对接源_02物料!$C1095="",对接源_02物料!$C1095&lt;&gt;$K$1,对接源_02物料!$B1095=""),0,IF(OR(N(对接源_02物料!$B1095)&lt;$K$2,N(对接源_02物料!$B1095)&gt;$K$3),0,1))</f>
        <v>0</v>
      </c>
      <c r="L2295" s="1" t="n">
        <f aca="false">IF(OR($L$1="",对接源_02物料!$C1095="",对接源_02物料!$C1095&lt;&gt;$L$1,对接源_02物料!$B1095=""),0,IF(OR(N(对接源_02物料!$B1095)&lt;$L$2,N(对接源_02物料!$B1095)&gt;$L$3),0,1))</f>
        <v>0</v>
      </c>
      <c r="M2295" s="1" t="n">
        <f aca="false">IF(OR($M$1="",对接源_02物料!$C1095="",对接源_02物料!$C1095&lt;&gt;$M$1,对接源_02物料!$B1095=""),0,IF(OR(N(对接源_02物料!$B1095)&lt;$M$2,N(对接源_02物料!$B1095)&gt;$M$3),0,1))</f>
        <v>0</v>
      </c>
      <c r="N2295" s="1" t="n">
        <f aca="false">IF(OR($N$1="",对接源_02物料!$C1095="",对接源_02物料!$C1095&lt;&gt;$N$1,对接源_02物料!$B1095=""),0,IF(OR(N(对接源_02物料!$B1095)&lt;$N$2,N(对接源_02物料!$B1095)&gt;$N$3),0,1))</f>
        <v>0</v>
      </c>
      <c r="P2295" s="1" t="n">
        <f aca="false">IF(AND($K2295=1,AND(对接源_02物料!$X1095="公司筐",N(对接源_02物料!$T1095)&lt;&gt;0)),1,0)</f>
        <v>0</v>
      </c>
      <c r="Q2295" s="1" t="n">
        <f aca="false">N(Q2294)+$P2295</f>
        <v>13</v>
      </c>
      <c r="R2295" s="1" t="n">
        <f aca="false">IF(AND($K2295=1,AND(对接源_02物料!$X1095="公司筐",N(对接源_02物料!$U1095)&lt;&gt;0)),1,0)</f>
        <v>0</v>
      </c>
      <c r="S2295" s="1" t="n">
        <f aca="false">N(S2294)+$R2295</f>
        <v>5</v>
      </c>
      <c r="T2295" s="1" t="n">
        <f aca="false">IF(AND($K2295=1,AND(对接源_02物料!$X1095="公司筐",N(对接源_02物料!$V1095)&lt;&gt;0)),1,0)</f>
        <v>0</v>
      </c>
      <c r="U2295" s="1" t="n">
        <f aca="false">N(U2294)+$T2295</f>
        <v>28</v>
      </c>
      <c r="V2295" s="1" t="n">
        <f aca="false">IF(AND($L2295=1,AND(对接源_02物料!$X1095="自备筐",N(对接源_02物料!$V1095)&lt;&gt;0)),1,0)</f>
        <v>0</v>
      </c>
      <c r="W2295" s="1" t="n">
        <f aca="false">N(W2294)+$V2295</f>
        <v>7</v>
      </c>
      <c r="X2295" s="1" t="n">
        <f aca="false">IF(AND($L2295=1,AND(对接源_02物料!$X1095="自备筐",N(对接源_02物料!$T1095)&lt;&gt;0)),1,0)</f>
        <v>0</v>
      </c>
      <c r="Y2295" s="1" t="n">
        <f aca="false">N(Y2294)+$X2295</f>
        <v>0</v>
      </c>
      <c r="Z2295" s="1" t="n">
        <f aca="false">IF(AND($M2295=1,对接源_02物料!$D1095="原料入库"),1,0)</f>
        <v>0</v>
      </c>
      <c r="AA2295" s="1" t="n">
        <f aca="false">N(AA2294)+$Z2295</f>
        <v>30</v>
      </c>
      <c r="AB2295" s="1" t="n">
        <f aca="false">IF(AND($M2295=1,LEFT(对接源_02物料!$D1095,4)="原料出库"),1,0)</f>
        <v>0</v>
      </c>
      <c r="AC2295" s="1" t="n">
        <f aca="false">N(AC2294)+$AB2295</f>
        <v>19</v>
      </c>
      <c r="AD2295" s="1" t="n">
        <f aca="false">IF(AND($M2295=1,LEFT(对接源_02物料!$D1095,4)="成品出库"),1,0)</f>
        <v>0</v>
      </c>
      <c r="AE2295" s="1" t="n">
        <f aca="false">N(AE2294)+$AD2295</f>
        <v>38</v>
      </c>
      <c r="AF2295" s="1" t="n">
        <f aca="false">IF(AND($N2295=1,AND(LEFT(对接源_02物料!$D1095,4)="包装物料",N(对接源_02物料!$K1095)&lt;&gt;0)),1,0)</f>
        <v>0</v>
      </c>
      <c r="AG2295" s="1" t="n">
        <f aca="false">N(AG2294)+$AF2295</f>
        <v>6</v>
      </c>
      <c r="AH2295" s="1" t="n">
        <f aca="false">IF(AND($N2295=1,AND(LEFT(对接源_02物料!$D1095,3)="周转筐",N(对接源_02物料!$K1095)&lt;&gt;0)),1,0)</f>
        <v>0</v>
      </c>
      <c r="AI2295" s="1" t="n">
        <f aca="false">N(AI2294)+$AH2295</f>
        <v>0</v>
      </c>
      <c r="AJ2295" s="1" t="n">
        <v>0</v>
      </c>
      <c r="AK2295" s="1" t="n">
        <f aca="false">N(AK2294)+$AJ2295</f>
        <v>3672</v>
      </c>
    </row>
    <row r="2296" customFormat="false" ht="13.5" hidden="false" customHeight="false" outlineLevel="0" collapsed="false">
      <c r="A2296" s="1" t="str">
        <f aca="false">IF(对接源_02物料!$C1096="","",对接源_02物料!$C1096)</f>
        <v/>
      </c>
      <c r="B2296" s="1" t="n">
        <f aca="false">IF(A2296="",0,IF(MATCH(A2296,$A$4:$A$2403,0)=ROW()-3,1,0))</f>
        <v>0</v>
      </c>
      <c r="C2296" s="1" t="n">
        <f aca="false">N(C2295)+B2296</f>
        <v>17</v>
      </c>
      <c r="K2296" s="1" t="n">
        <f aca="false">IF(OR($K$1="",对接源_02物料!$C1096="",对接源_02物料!$C1096&lt;&gt;$K$1,对接源_02物料!$B1096=""),0,IF(OR(N(对接源_02物料!$B1096)&lt;$K$2,N(对接源_02物料!$B1096)&gt;$K$3),0,1))</f>
        <v>0</v>
      </c>
      <c r="L2296" s="1" t="n">
        <f aca="false">IF(OR($L$1="",对接源_02物料!$C1096="",对接源_02物料!$C1096&lt;&gt;$L$1,对接源_02物料!$B1096=""),0,IF(OR(N(对接源_02物料!$B1096)&lt;$L$2,N(对接源_02物料!$B1096)&gt;$L$3),0,1))</f>
        <v>0</v>
      </c>
      <c r="M2296" s="1" t="n">
        <f aca="false">IF(OR($M$1="",对接源_02物料!$C1096="",对接源_02物料!$C1096&lt;&gt;$M$1,对接源_02物料!$B1096=""),0,IF(OR(N(对接源_02物料!$B1096)&lt;$M$2,N(对接源_02物料!$B1096)&gt;$M$3),0,1))</f>
        <v>0</v>
      </c>
      <c r="N2296" s="1" t="n">
        <f aca="false">IF(OR($N$1="",对接源_02物料!$C1096="",对接源_02物料!$C1096&lt;&gt;$N$1,对接源_02物料!$B1096=""),0,IF(OR(N(对接源_02物料!$B1096)&lt;$N$2,N(对接源_02物料!$B1096)&gt;$N$3),0,1))</f>
        <v>0</v>
      </c>
      <c r="P2296" s="1" t="n">
        <f aca="false">IF(AND($K2296=1,AND(对接源_02物料!$X1096="公司筐",N(对接源_02物料!$T1096)&lt;&gt;0)),1,0)</f>
        <v>0</v>
      </c>
      <c r="Q2296" s="1" t="n">
        <f aca="false">N(Q2295)+$P2296</f>
        <v>13</v>
      </c>
      <c r="R2296" s="1" t="n">
        <f aca="false">IF(AND($K2296=1,AND(对接源_02物料!$X1096="公司筐",N(对接源_02物料!$U1096)&lt;&gt;0)),1,0)</f>
        <v>0</v>
      </c>
      <c r="S2296" s="1" t="n">
        <f aca="false">N(S2295)+$R2296</f>
        <v>5</v>
      </c>
      <c r="T2296" s="1" t="n">
        <f aca="false">IF(AND($K2296=1,AND(对接源_02物料!$X1096="公司筐",N(对接源_02物料!$V1096)&lt;&gt;0)),1,0)</f>
        <v>0</v>
      </c>
      <c r="U2296" s="1" t="n">
        <f aca="false">N(U2295)+$T2296</f>
        <v>28</v>
      </c>
      <c r="V2296" s="1" t="n">
        <f aca="false">IF(AND($L2296=1,AND(对接源_02物料!$X1096="自备筐",N(对接源_02物料!$V1096)&lt;&gt;0)),1,0)</f>
        <v>0</v>
      </c>
      <c r="W2296" s="1" t="n">
        <f aca="false">N(W2295)+$V2296</f>
        <v>7</v>
      </c>
      <c r="X2296" s="1" t="n">
        <f aca="false">IF(AND($L2296=1,AND(对接源_02物料!$X1096="自备筐",N(对接源_02物料!$T1096)&lt;&gt;0)),1,0)</f>
        <v>0</v>
      </c>
      <c r="Y2296" s="1" t="n">
        <f aca="false">N(Y2295)+$X2296</f>
        <v>0</v>
      </c>
      <c r="Z2296" s="1" t="n">
        <f aca="false">IF(AND($M2296=1,对接源_02物料!$D1096="原料入库"),1,0)</f>
        <v>0</v>
      </c>
      <c r="AA2296" s="1" t="n">
        <f aca="false">N(AA2295)+$Z2296</f>
        <v>30</v>
      </c>
      <c r="AB2296" s="1" t="n">
        <f aca="false">IF(AND($M2296=1,LEFT(对接源_02物料!$D1096,4)="原料出库"),1,0)</f>
        <v>0</v>
      </c>
      <c r="AC2296" s="1" t="n">
        <f aca="false">N(AC2295)+$AB2296</f>
        <v>19</v>
      </c>
      <c r="AD2296" s="1" t="n">
        <f aca="false">IF(AND($M2296=1,LEFT(对接源_02物料!$D1096,4)="成品出库"),1,0)</f>
        <v>0</v>
      </c>
      <c r="AE2296" s="1" t="n">
        <f aca="false">N(AE2295)+$AD2296</f>
        <v>38</v>
      </c>
      <c r="AF2296" s="1" t="n">
        <f aca="false">IF(AND($N2296=1,AND(LEFT(对接源_02物料!$D1096,4)="包装物料",N(对接源_02物料!$K1096)&lt;&gt;0)),1,0)</f>
        <v>0</v>
      </c>
      <c r="AG2296" s="1" t="n">
        <f aca="false">N(AG2295)+$AF2296</f>
        <v>6</v>
      </c>
      <c r="AH2296" s="1" t="n">
        <f aca="false">IF(AND($N2296=1,AND(LEFT(对接源_02物料!$D1096,3)="周转筐",N(对接源_02物料!$K1096)&lt;&gt;0)),1,0)</f>
        <v>0</v>
      </c>
      <c r="AI2296" s="1" t="n">
        <f aca="false">N(AI2295)+$AH2296</f>
        <v>0</v>
      </c>
      <c r="AJ2296" s="1" t="n">
        <v>0</v>
      </c>
      <c r="AK2296" s="1" t="n">
        <f aca="false">N(AK2295)+$AJ2296</f>
        <v>3672</v>
      </c>
    </row>
    <row r="2297" customFormat="false" ht="13.5" hidden="false" customHeight="false" outlineLevel="0" collapsed="false">
      <c r="A2297" s="1" t="str">
        <f aca="false">IF(对接源_02物料!$C1097="","",对接源_02物料!$C1097)</f>
        <v/>
      </c>
      <c r="B2297" s="1" t="n">
        <f aca="false">IF(A2297="",0,IF(MATCH(A2297,$A$4:$A$2403,0)=ROW()-3,1,0))</f>
        <v>0</v>
      </c>
      <c r="C2297" s="1" t="n">
        <f aca="false">N(C2296)+B2297</f>
        <v>17</v>
      </c>
      <c r="K2297" s="1" t="n">
        <f aca="false">IF(OR($K$1="",对接源_02物料!$C1097="",对接源_02物料!$C1097&lt;&gt;$K$1,对接源_02物料!$B1097=""),0,IF(OR(N(对接源_02物料!$B1097)&lt;$K$2,N(对接源_02物料!$B1097)&gt;$K$3),0,1))</f>
        <v>0</v>
      </c>
      <c r="L2297" s="1" t="n">
        <f aca="false">IF(OR($L$1="",对接源_02物料!$C1097="",对接源_02物料!$C1097&lt;&gt;$L$1,对接源_02物料!$B1097=""),0,IF(OR(N(对接源_02物料!$B1097)&lt;$L$2,N(对接源_02物料!$B1097)&gt;$L$3),0,1))</f>
        <v>0</v>
      </c>
      <c r="M2297" s="1" t="n">
        <f aca="false">IF(OR($M$1="",对接源_02物料!$C1097="",对接源_02物料!$C1097&lt;&gt;$M$1,对接源_02物料!$B1097=""),0,IF(OR(N(对接源_02物料!$B1097)&lt;$M$2,N(对接源_02物料!$B1097)&gt;$M$3),0,1))</f>
        <v>0</v>
      </c>
      <c r="N2297" s="1" t="n">
        <f aca="false">IF(OR($N$1="",对接源_02物料!$C1097="",对接源_02物料!$C1097&lt;&gt;$N$1,对接源_02物料!$B1097=""),0,IF(OR(N(对接源_02物料!$B1097)&lt;$N$2,N(对接源_02物料!$B1097)&gt;$N$3),0,1))</f>
        <v>0</v>
      </c>
      <c r="P2297" s="1" t="n">
        <f aca="false">IF(AND($K2297=1,AND(对接源_02物料!$X1097="公司筐",N(对接源_02物料!$T1097)&lt;&gt;0)),1,0)</f>
        <v>0</v>
      </c>
      <c r="Q2297" s="1" t="n">
        <f aca="false">N(Q2296)+$P2297</f>
        <v>13</v>
      </c>
      <c r="R2297" s="1" t="n">
        <f aca="false">IF(AND($K2297=1,AND(对接源_02物料!$X1097="公司筐",N(对接源_02物料!$U1097)&lt;&gt;0)),1,0)</f>
        <v>0</v>
      </c>
      <c r="S2297" s="1" t="n">
        <f aca="false">N(S2296)+$R2297</f>
        <v>5</v>
      </c>
      <c r="T2297" s="1" t="n">
        <f aca="false">IF(AND($K2297=1,AND(对接源_02物料!$X1097="公司筐",N(对接源_02物料!$V1097)&lt;&gt;0)),1,0)</f>
        <v>0</v>
      </c>
      <c r="U2297" s="1" t="n">
        <f aca="false">N(U2296)+$T2297</f>
        <v>28</v>
      </c>
      <c r="V2297" s="1" t="n">
        <f aca="false">IF(AND($L2297=1,AND(对接源_02物料!$X1097="自备筐",N(对接源_02物料!$V1097)&lt;&gt;0)),1,0)</f>
        <v>0</v>
      </c>
      <c r="W2297" s="1" t="n">
        <f aca="false">N(W2296)+$V2297</f>
        <v>7</v>
      </c>
      <c r="X2297" s="1" t="n">
        <f aca="false">IF(AND($L2297=1,AND(对接源_02物料!$X1097="自备筐",N(对接源_02物料!$T1097)&lt;&gt;0)),1,0)</f>
        <v>0</v>
      </c>
      <c r="Y2297" s="1" t="n">
        <f aca="false">N(Y2296)+$X2297</f>
        <v>0</v>
      </c>
      <c r="Z2297" s="1" t="n">
        <f aca="false">IF(AND($M2297=1,对接源_02物料!$D1097="原料入库"),1,0)</f>
        <v>0</v>
      </c>
      <c r="AA2297" s="1" t="n">
        <f aca="false">N(AA2296)+$Z2297</f>
        <v>30</v>
      </c>
      <c r="AB2297" s="1" t="n">
        <f aca="false">IF(AND($M2297=1,LEFT(对接源_02物料!$D1097,4)="原料出库"),1,0)</f>
        <v>0</v>
      </c>
      <c r="AC2297" s="1" t="n">
        <f aca="false">N(AC2296)+$AB2297</f>
        <v>19</v>
      </c>
      <c r="AD2297" s="1" t="n">
        <f aca="false">IF(AND($M2297=1,LEFT(对接源_02物料!$D1097,4)="成品出库"),1,0)</f>
        <v>0</v>
      </c>
      <c r="AE2297" s="1" t="n">
        <f aca="false">N(AE2296)+$AD2297</f>
        <v>38</v>
      </c>
      <c r="AF2297" s="1" t="n">
        <f aca="false">IF(AND($N2297=1,AND(LEFT(对接源_02物料!$D1097,4)="包装物料",N(对接源_02物料!$K1097)&lt;&gt;0)),1,0)</f>
        <v>0</v>
      </c>
      <c r="AG2297" s="1" t="n">
        <f aca="false">N(AG2296)+$AF2297</f>
        <v>6</v>
      </c>
      <c r="AH2297" s="1" t="n">
        <f aca="false">IF(AND($N2297=1,AND(LEFT(对接源_02物料!$D1097,3)="周转筐",N(对接源_02物料!$K1097)&lt;&gt;0)),1,0)</f>
        <v>0</v>
      </c>
      <c r="AI2297" s="1" t="n">
        <f aca="false">N(AI2296)+$AH2297</f>
        <v>0</v>
      </c>
      <c r="AJ2297" s="1" t="n">
        <v>0</v>
      </c>
      <c r="AK2297" s="1" t="n">
        <f aca="false">N(AK2296)+$AJ2297</f>
        <v>3672</v>
      </c>
    </row>
    <row r="2298" customFormat="false" ht="13.5" hidden="false" customHeight="false" outlineLevel="0" collapsed="false">
      <c r="A2298" s="1" t="str">
        <f aca="false">IF(对接源_02物料!$C1098="","",对接源_02物料!$C1098)</f>
        <v/>
      </c>
      <c r="B2298" s="1" t="n">
        <f aca="false">IF(A2298="",0,IF(MATCH(A2298,$A$4:$A$2403,0)=ROW()-3,1,0))</f>
        <v>0</v>
      </c>
      <c r="C2298" s="1" t="n">
        <f aca="false">N(C2297)+B2298</f>
        <v>17</v>
      </c>
      <c r="K2298" s="1" t="n">
        <f aca="false">IF(OR($K$1="",对接源_02物料!$C1098="",对接源_02物料!$C1098&lt;&gt;$K$1,对接源_02物料!$B1098=""),0,IF(OR(N(对接源_02物料!$B1098)&lt;$K$2,N(对接源_02物料!$B1098)&gt;$K$3),0,1))</f>
        <v>0</v>
      </c>
      <c r="L2298" s="1" t="n">
        <f aca="false">IF(OR($L$1="",对接源_02物料!$C1098="",对接源_02物料!$C1098&lt;&gt;$L$1,对接源_02物料!$B1098=""),0,IF(OR(N(对接源_02物料!$B1098)&lt;$L$2,N(对接源_02物料!$B1098)&gt;$L$3),0,1))</f>
        <v>0</v>
      </c>
      <c r="M2298" s="1" t="n">
        <f aca="false">IF(OR($M$1="",对接源_02物料!$C1098="",对接源_02物料!$C1098&lt;&gt;$M$1,对接源_02物料!$B1098=""),0,IF(OR(N(对接源_02物料!$B1098)&lt;$M$2,N(对接源_02物料!$B1098)&gt;$M$3),0,1))</f>
        <v>0</v>
      </c>
      <c r="N2298" s="1" t="n">
        <f aca="false">IF(OR($N$1="",对接源_02物料!$C1098="",对接源_02物料!$C1098&lt;&gt;$N$1,对接源_02物料!$B1098=""),0,IF(OR(N(对接源_02物料!$B1098)&lt;$N$2,N(对接源_02物料!$B1098)&gt;$N$3),0,1))</f>
        <v>0</v>
      </c>
      <c r="P2298" s="1" t="n">
        <f aca="false">IF(AND($K2298=1,AND(对接源_02物料!$X1098="公司筐",N(对接源_02物料!$T1098)&lt;&gt;0)),1,0)</f>
        <v>0</v>
      </c>
      <c r="Q2298" s="1" t="n">
        <f aca="false">N(Q2297)+$P2298</f>
        <v>13</v>
      </c>
      <c r="R2298" s="1" t="n">
        <f aca="false">IF(AND($K2298=1,AND(对接源_02物料!$X1098="公司筐",N(对接源_02物料!$U1098)&lt;&gt;0)),1,0)</f>
        <v>0</v>
      </c>
      <c r="S2298" s="1" t="n">
        <f aca="false">N(S2297)+$R2298</f>
        <v>5</v>
      </c>
      <c r="T2298" s="1" t="n">
        <f aca="false">IF(AND($K2298=1,AND(对接源_02物料!$X1098="公司筐",N(对接源_02物料!$V1098)&lt;&gt;0)),1,0)</f>
        <v>0</v>
      </c>
      <c r="U2298" s="1" t="n">
        <f aca="false">N(U2297)+$T2298</f>
        <v>28</v>
      </c>
      <c r="V2298" s="1" t="n">
        <f aca="false">IF(AND($L2298=1,AND(对接源_02物料!$X1098="自备筐",N(对接源_02物料!$V1098)&lt;&gt;0)),1,0)</f>
        <v>0</v>
      </c>
      <c r="W2298" s="1" t="n">
        <f aca="false">N(W2297)+$V2298</f>
        <v>7</v>
      </c>
      <c r="X2298" s="1" t="n">
        <f aca="false">IF(AND($L2298=1,AND(对接源_02物料!$X1098="自备筐",N(对接源_02物料!$T1098)&lt;&gt;0)),1,0)</f>
        <v>0</v>
      </c>
      <c r="Y2298" s="1" t="n">
        <f aca="false">N(Y2297)+$X2298</f>
        <v>0</v>
      </c>
      <c r="Z2298" s="1" t="n">
        <f aca="false">IF(AND($M2298=1,对接源_02物料!$D1098="原料入库"),1,0)</f>
        <v>0</v>
      </c>
      <c r="AA2298" s="1" t="n">
        <f aca="false">N(AA2297)+$Z2298</f>
        <v>30</v>
      </c>
      <c r="AB2298" s="1" t="n">
        <f aca="false">IF(AND($M2298=1,LEFT(对接源_02物料!$D1098,4)="原料出库"),1,0)</f>
        <v>0</v>
      </c>
      <c r="AC2298" s="1" t="n">
        <f aca="false">N(AC2297)+$AB2298</f>
        <v>19</v>
      </c>
      <c r="AD2298" s="1" t="n">
        <f aca="false">IF(AND($M2298=1,LEFT(对接源_02物料!$D1098,4)="成品出库"),1,0)</f>
        <v>0</v>
      </c>
      <c r="AE2298" s="1" t="n">
        <f aca="false">N(AE2297)+$AD2298</f>
        <v>38</v>
      </c>
      <c r="AF2298" s="1" t="n">
        <f aca="false">IF(AND($N2298=1,AND(LEFT(对接源_02物料!$D1098,4)="包装物料",N(对接源_02物料!$K1098)&lt;&gt;0)),1,0)</f>
        <v>0</v>
      </c>
      <c r="AG2298" s="1" t="n">
        <f aca="false">N(AG2297)+$AF2298</f>
        <v>6</v>
      </c>
      <c r="AH2298" s="1" t="n">
        <f aca="false">IF(AND($N2298=1,AND(LEFT(对接源_02物料!$D1098,3)="周转筐",N(对接源_02物料!$K1098)&lt;&gt;0)),1,0)</f>
        <v>0</v>
      </c>
      <c r="AI2298" s="1" t="n">
        <f aca="false">N(AI2297)+$AH2298</f>
        <v>0</v>
      </c>
      <c r="AJ2298" s="1" t="n">
        <v>0</v>
      </c>
      <c r="AK2298" s="1" t="n">
        <f aca="false">N(AK2297)+$AJ2298</f>
        <v>3672</v>
      </c>
    </row>
    <row r="2299" customFormat="false" ht="13.5" hidden="false" customHeight="false" outlineLevel="0" collapsed="false">
      <c r="A2299" s="1" t="str">
        <f aca="false">IF(对接源_02物料!$C1099="","",对接源_02物料!$C1099)</f>
        <v/>
      </c>
      <c r="B2299" s="1" t="n">
        <f aca="false">IF(A2299="",0,IF(MATCH(A2299,$A$4:$A$2403,0)=ROW()-3,1,0))</f>
        <v>0</v>
      </c>
      <c r="C2299" s="1" t="n">
        <f aca="false">N(C2298)+B2299</f>
        <v>17</v>
      </c>
      <c r="K2299" s="1" t="n">
        <f aca="false">IF(OR($K$1="",对接源_02物料!$C1099="",对接源_02物料!$C1099&lt;&gt;$K$1,对接源_02物料!$B1099=""),0,IF(OR(N(对接源_02物料!$B1099)&lt;$K$2,N(对接源_02物料!$B1099)&gt;$K$3),0,1))</f>
        <v>0</v>
      </c>
      <c r="L2299" s="1" t="n">
        <f aca="false">IF(OR($L$1="",对接源_02物料!$C1099="",对接源_02物料!$C1099&lt;&gt;$L$1,对接源_02物料!$B1099=""),0,IF(OR(N(对接源_02物料!$B1099)&lt;$L$2,N(对接源_02物料!$B1099)&gt;$L$3),0,1))</f>
        <v>0</v>
      </c>
      <c r="M2299" s="1" t="n">
        <f aca="false">IF(OR($M$1="",对接源_02物料!$C1099="",对接源_02物料!$C1099&lt;&gt;$M$1,对接源_02物料!$B1099=""),0,IF(OR(N(对接源_02物料!$B1099)&lt;$M$2,N(对接源_02物料!$B1099)&gt;$M$3),0,1))</f>
        <v>0</v>
      </c>
      <c r="N2299" s="1" t="n">
        <f aca="false">IF(OR($N$1="",对接源_02物料!$C1099="",对接源_02物料!$C1099&lt;&gt;$N$1,对接源_02物料!$B1099=""),0,IF(OR(N(对接源_02物料!$B1099)&lt;$N$2,N(对接源_02物料!$B1099)&gt;$N$3),0,1))</f>
        <v>0</v>
      </c>
      <c r="P2299" s="1" t="n">
        <f aca="false">IF(AND($K2299=1,AND(对接源_02物料!$X1099="公司筐",N(对接源_02物料!$T1099)&lt;&gt;0)),1,0)</f>
        <v>0</v>
      </c>
      <c r="Q2299" s="1" t="n">
        <f aca="false">N(Q2298)+$P2299</f>
        <v>13</v>
      </c>
      <c r="R2299" s="1" t="n">
        <f aca="false">IF(AND($K2299=1,AND(对接源_02物料!$X1099="公司筐",N(对接源_02物料!$U1099)&lt;&gt;0)),1,0)</f>
        <v>0</v>
      </c>
      <c r="S2299" s="1" t="n">
        <f aca="false">N(S2298)+$R2299</f>
        <v>5</v>
      </c>
      <c r="T2299" s="1" t="n">
        <f aca="false">IF(AND($K2299=1,AND(对接源_02物料!$X1099="公司筐",N(对接源_02物料!$V1099)&lt;&gt;0)),1,0)</f>
        <v>0</v>
      </c>
      <c r="U2299" s="1" t="n">
        <f aca="false">N(U2298)+$T2299</f>
        <v>28</v>
      </c>
      <c r="V2299" s="1" t="n">
        <f aca="false">IF(AND($L2299=1,AND(对接源_02物料!$X1099="自备筐",N(对接源_02物料!$V1099)&lt;&gt;0)),1,0)</f>
        <v>0</v>
      </c>
      <c r="W2299" s="1" t="n">
        <f aca="false">N(W2298)+$V2299</f>
        <v>7</v>
      </c>
      <c r="X2299" s="1" t="n">
        <f aca="false">IF(AND($L2299=1,AND(对接源_02物料!$X1099="自备筐",N(对接源_02物料!$T1099)&lt;&gt;0)),1,0)</f>
        <v>0</v>
      </c>
      <c r="Y2299" s="1" t="n">
        <f aca="false">N(Y2298)+$X2299</f>
        <v>0</v>
      </c>
      <c r="Z2299" s="1" t="n">
        <f aca="false">IF(AND($M2299=1,对接源_02物料!$D1099="原料入库"),1,0)</f>
        <v>0</v>
      </c>
      <c r="AA2299" s="1" t="n">
        <f aca="false">N(AA2298)+$Z2299</f>
        <v>30</v>
      </c>
      <c r="AB2299" s="1" t="n">
        <f aca="false">IF(AND($M2299=1,LEFT(对接源_02物料!$D1099,4)="原料出库"),1,0)</f>
        <v>0</v>
      </c>
      <c r="AC2299" s="1" t="n">
        <f aca="false">N(AC2298)+$AB2299</f>
        <v>19</v>
      </c>
      <c r="AD2299" s="1" t="n">
        <f aca="false">IF(AND($M2299=1,LEFT(对接源_02物料!$D1099,4)="成品出库"),1,0)</f>
        <v>0</v>
      </c>
      <c r="AE2299" s="1" t="n">
        <f aca="false">N(AE2298)+$AD2299</f>
        <v>38</v>
      </c>
      <c r="AF2299" s="1" t="n">
        <f aca="false">IF(AND($N2299=1,AND(LEFT(对接源_02物料!$D1099,4)="包装物料",N(对接源_02物料!$K1099)&lt;&gt;0)),1,0)</f>
        <v>0</v>
      </c>
      <c r="AG2299" s="1" t="n">
        <f aca="false">N(AG2298)+$AF2299</f>
        <v>6</v>
      </c>
      <c r="AH2299" s="1" t="n">
        <f aca="false">IF(AND($N2299=1,AND(LEFT(对接源_02物料!$D1099,3)="周转筐",N(对接源_02物料!$K1099)&lt;&gt;0)),1,0)</f>
        <v>0</v>
      </c>
      <c r="AI2299" s="1" t="n">
        <f aca="false">N(AI2298)+$AH2299</f>
        <v>0</v>
      </c>
      <c r="AJ2299" s="1" t="n">
        <v>0</v>
      </c>
      <c r="AK2299" s="1" t="n">
        <f aca="false">N(AK2298)+$AJ2299</f>
        <v>3672</v>
      </c>
    </row>
    <row r="2300" customFormat="false" ht="13.5" hidden="false" customHeight="false" outlineLevel="0" collapsed="false">
      <c r="A2300" s="1" t="str">
        <f aca="false">IF(对接源_02物料!$C1100="","",对接源_02物料!$C1100)</f>
        <v/>
      </c>
      <c r="B2300" s="1" t="n">
        <f aca="false">IF(A2300="",0,IF(MATCH(A2300,$A$4:$A$2403,0)=ROW()-3,1,0))</f>
        <v>0</v>
      </c>
      <c r="C2300" s="1" t="n">
        <f aca="false">N(C2299)+B2300</f>
        <v>17</v>
      </c>
      <c r="K2300" s="1" t="n">
        <f aca="false">IF(OR($K$1="",对接源_02物料!$C1100="",对接源_02物料!$C1100&lt;&gt;$K$1,对接源_02物料!$B1100=""),0,IF(OR(N(对接源_02物料!$B1100)&lt;$K$2,N(对接源_02物料!$B1100)&gt;$K$3),0,1))</f>
        <v>0</v>
      </c>
      <c r="L2300" s="1" t="n">
        <f aca="false">IF(OR($L$1="",对接源_02物料!$C1100="",对接源_02物料!$C1100&lt;&gt;$L$1,对接源_02物料!$B1100=""),0,IF(OR(N(对接源_02物料!$B1100)&lt;$L$2,N(对接源_02物料!$B1100)&gt;$L$3),0,1))</f>
        <v>0</v>
      </c>
      <c r="M2300" s="1" t="n">
        <f aca="false">IF(OR($M$1="",对接源_02物料!$C1100="",对接源_02物料!$C1100&lt;&gt;$M$1,对接源_02物料!$B1100=""),0,IF(OR(N(对接源_02物料!$B1100)&lt;$M$2,N(对接源_02物料!$B1100)&gt;$M$3),0,1))</f>
        <v>0</v>
      </c>
      <c r="N2300" s="1" t="n">
        <f aca="false">IF(OR($N$1="",对接源_02物料!$C1100="",对接源_02物料!$C1100&lt;&gt;$N$1,对接源_02物料!$B1100=""),0,IF(OR(N(对接源_02物料!$B1100)&lt;$N$2,N(对接源_02物料!$B1100)&gt;$N$3),0,1))</f>
        <v>0</v>
      </c>
      <c r="P2300" s="1" t="n">
        <f aca="false">IF(AND($K2300=1,AND(对接源_02物料!$X1100="公司筐",N(对接源_02物料!$T1100)&lt;&gt;0)),1,0)</f>
        <v>0</v>
      </c>
      <c r="Q2300" s="1" t="n">
        <f aca="false">N(Q2299)+$P2300</f>
        <v>13</v>
      </c>
      <c r="R2300" s="1" t="n">
        <f aca="false">IF(AND($K2300=1,AND(对接源_02物料!$X1100="公司筐",N(对接源_02物料!$U1100)&lt;&gt;0)),1,0)</f>
        <v>0</v>
      </c>
      <c r="S2300" s="1" t="n">
        <f aca="false">N(S2299)+$R2300</f>
        <v>5</v>
      </c>
      <c r="T2300" s="1" t="n">
        <f aca="false">IF(AND($K2300=1,AND(对接源_02物料!$X1100="公司筐",N(对接源_02物料!$V1100)&lt;&gt;0)),1,0)</f>
        <v>0</v>
      </c>
      <c r="U2300" s="1" t="n">
        <f aca="false">N(U2299)+$T2300</f>
        <v>28</v>
      </c>
      <c r="V2300" s="1" t="n">
        <f aca="false">IF(AND($L2300=1,AND(对接源_02物料!$X1100="自备筐",N(对接源_02物料!$V1100)&lt;&gt;0)),1,0)</f>
        <v>0</v>
      </c>
      <c r="W2300" s="1" t="n">
        <f aca="false">N(W2299)+$V2300</f>
        <v>7</v>
      </c>
      <c r="X2300" s="1" t="n">
        <f aca="false">IF(AND($L2300=1,AND(对接源_02物料!$X1100="自备筐",N(对接源_02物料!$T1100)&lt;&gt;0)),1,0)</f>
        <v>0</v>
      </c>
      <c r="Y2300" s="1" t="n">
        <f aca="false">N(Y2299)+$X2300</f>
        <v>0</v>
      </c>
      <c r="Z2300" s="1" t="n">
        <f aca="false">IF(AND($M2300=1,对接源_02物料!$D1100="原料入库"),1,0)</f>
        <v>0</v>
      </c>
      <c r="AA2300" s="1" t="n">
        <f aca="false">N(AA2299)+$Z2300</f>
        <v>30</v>
      </c>
      <c r="AB2300" s="1" t="n">
        <f aca="false">IF(AND($M2300=1,LEFT(对接源_02物料!$D1100,4)="原料出库"),1,0)</f>
        <v>0</v>
      </c>
      <c r="AC2300" s="1" t="n">
        <f aca="false">N(AC2299)+$AB2300</f>
        <v>19</v>
      </c>
      <c r="AD2300" s="1" t="n">
        <f aca="false">IF(AND($M2300=1,LEFT(对接源_02物料!$D1100,4)="成品出库"),1,0)</f>
        <v>0</v>
      </c>
      <c r="AE2300" s="1" t="n">
        <f aca="false">N(AE2299)+$AD2300</f>
        <v>38</v>
      </c>
      <c r="AF2300" s="1" t="n">
        <f aca="false">IF(AND($N2300=1,AND(LEFT(对接源_02物料!$D1100,4)="包装物料",N(对接源_02物料!$K1100)&lt;&gt;0)),1,0)</f>
        <v>0</v>
      </c>
      <c r="AG2300" s="1" t="n">
        <f aca="false">N(AG2299)+$AF2300</f>
        <v>6</v>
      </c>
      <c r="AH2300" s="1" t="n">
        <f aca="false">IF(AND($N2300=1,AND(LEFT(对接源_02物料!$D1100,3)="周转筐",N(对接源_02物料!$K1100)&lt;&gt;0)),1,0)</f>
        <v>0</v>
      </c>
      <c r="AI2300" s="1" t="n">
        <f aca="false">N(AI2299)+$AH2300</f>
        <v>0</v>
      </c>
      <c r="AJ2300" s="1" t="n">
        <v>0</v>
      </c>
      <c r="AK2300" s="1" t="n">
        <f aca="false">N(AK2299)+$AJ2300</f>
        <v>3672</v>
      </c>
    </row>
    <row r="2301" customFormat="false" ht="13.5" hidden="false" customHeight="false" outlineLevel="0" collapsed="false">
      <c r="A2301" s="1" t="str">
        <f aca="false">IF(对接源_02物料!$C1101="","",对接源_02物料!$C1101)</f>
        <v/>
      </c>
      <c r="B2301" s="1" t="n">
        <f aca="false">IF(A2301="",0,IF(MATCH(A2301,$A$4:$A$2403,0)=ROW()-3,1,0))</f>
        <v>0</v>
      </c>
      <c r="C2301" s="1" t="n">
        <f aca="false">N(C2300)+B2301</f>
        <v>17</v>
      </c>
      <c r="K2301" s="1" t="n">
        <f aca="false">IF(OR($K$1="",对接源_02物料!$C1101="",对接源_02物料!$C1101&lt;&gt;$K$1,对接源_02物料!$B1101=""),0,IF(OR(N(对接源_02物料!$B1101)&lt;$K$2,N(对接源_02物料!$B1101)&gt;$K$3),0,1))</f>
        <v>0</v>
      </c>
      <c r="L2301" s="1" t="n">
        <f aca="false">IF(OR($L$1="",对接源_02物料!$C1101="",对接源_02物料!$C1101&lt;&gt;$L$1,对接源_02物料!$B1101=""),0,IF(OR(N(对接源_02物料!$B1101)&lt;$L$2,N(对接源_02物料!$B1101)&gt;$L$3),0,1))</f>
        <v>0</v>
      </c>
      <c r="M2301" s="1" t="n">
        <f aca="false">IF(OR($M$1="",对接源_02物料!$C1101="",对接源_02物料!$C1101&lt;&gt;$M$1,对接源_02物料!$B1101=""),0,IF(OR(N(对接源_02物料!$B1101)&lt;$M$2,N(对接源_02物料!$B1101)&gt;$M$3),0,1))</f>
        <v>0</v>
      </c>
      <c r="N2301" s="1" t="n">
        <f aca="false">IF(OR($N$1="",对接源_02物料!$C1101="",对接源_02物料!$C1101&lt;&gt;$N$1,对接源_02物料!$B1101=""),0,IF(OR(N(对接源_02物料!$B1101)&lt;$N$2,N(对接源_02物料!$B1101)&gt;$N$3),0,1))</f>
        <v>0</v>
      </c>
      <c r="P2301" s="1" t="n">
        <f aca="false">IF(AND($K2301=1,AND(对接源_02物料!$X1101="公司筐",N(对接源_02物料!$T1101)&lt;&gt;0)),1,0)</f>
        <v>0</v>
      </c>
      <c r="Q2301" s="1" t="n">
        <f aca="false">N(Q2300)+$P2301</f>
        <v>13</v>
      </c>
      <c r="R2301" s="1" t="n">
        <f aca="false">IF(AND($K2301=1,AND(对接源_02物料!$X1101="公司筐",N(对接源_02物料!$U1101)&lt;&gt;0)),1,0)</f>
        <v>0</v>
      </c>
      <c r="S2301" s="1" t="n">
        <f aca="false">N(S2300)+$R2301</f>
        <v>5</v>
      </c>
      <c r="T2301" s="1" t="n">
        <f aca="false">IF(AND($K2301=1,AND(对接源_02物料!$X1101="公司筐",N(对接源_02物料!$V1101)&lt;&gt;0)),1,0)</f>
        <v>0</v>
      </c>
      <c r="U2301" s="1" t="n">
        <f aca="false">N(U2300)+$T2301</f>
        <v>28</v>
      </c>
      <c r="V2301" s="1" t="n">
        <f aca="false">IF(AND($L2301=1,AND(对接源_02物料!$X1101="自备筐",N(对接源_02物料!$V1101)&lt;&gt;0)),1,0)</f>
        <v>0</v>
      </c>
      <c r="W2301" s="1" t="n">
        <f aca="false">N(W2300)+$V2301</f>
        <v>7</v>
      </c>
      <c r="X2301" s="1" t="n">
        <f aca="false">IF(AND($L2301=1,AND(对接源_02物料!$X1101="自备筐",N(对接源_02物料!$T1101)&lt;&gt;0)),1,0)</f>
        <v>0</v>
      </c>
      <c r="Y2301" s="1" t="n">
        <f aca="false">N(Y2300)+$X2301</f>
        <v>0</v>
      </c>
      <c r="Z2301" s="1" t="n">
        <f aca="false">IF(AND($M2301=1,对接源_02物料!$D1101="原料入库"),1,0)</f>
        <v>0</v>
      </c>
      <c r="AA2301" s="1" t="n">
        <f aca="false">N(AA2300)+$Z2301</f>
        <v>30</v>
      </c>
      <c r="AB2301" s="1" t="n">
        <f aca="false">IF(AND($M2301=1,LEFT(对接源_02物料!$D1101,4)="原料出库"),1,0)</f>
        <v>0</v>
      </c>
      <c r="AC2301" s="1" t="n">
        <f aca="false">N(AC2300)+$AB2301</f>
        <v>19</v>
      </c>
      <c r="AD2301" s="1" t="n">
        <f aca="false">IF(AND($M2301=1,LEFT(对接源_02物料!$D1101,4)="成品出库"),1,0)</f>
        <v>0</v>
      </c>
      <c r="AE2301" s="1" t="n">
        <f aca="false">N(AE2300)+$AD2301</f>
        <v>38</v>
      </c>
      <c r="AF2301" s="1" t="n">
        <f aca="false">IF(AND($N2301=1,AND(LEFT(对接源_02物料!$D1101,4)="包装物料",N(对接源_02物料!$K1101)&lt;&gt;0)),1,0)</f>
        <v>0</v>
      </c>
      <c r="AG2301" s="1" t="n">
        <f aca="false">N(AG2300)+$AF2301</f>
        <v>6</v>
      </c>
      <c r="AH2301" s="1" t="n">
        <f aca="false">IF(AND($N2301=1,AND(LEFT(对接源_02物料!$D1101,3)="周转筐",N(对接源_02物料!$K1101)&lt;&gt;0)),1,0)</f>
        <v>0</v>
      </c>
      <c r="AI2301" s="1" t="n">
        <f aca="false">N(AI2300)+$AH2301</f>
        <v>0</v>
      </c>
      <c r="AJ2301" s="1" t="n">
        <v>0</v>
      </c>
      <c r="AK2301" s="1" t="n">
        <f aca="false">N(AK2300)+$AJ2301</f>
        <v>3672</v>
      </c>
    </row>
    <row r="2302" customFormat="false" ht="13.5" hidden="false" customHeight="false" outlineLevel="0" collapsed="false">
      <c r="A2302" s="1" t="str">
        <f aca="false">IF(对接源_02物料!$C1102="","",对接源_02物料!$C1102)</f>
        <v/>
      </c>
      <c r="B2302" s="1" t="n">
        <f aca="false">IF(A2302="",0,IF(MATCH(A2302,$A$4:$A$2403,0)=ROW()-3,1,0))</f>
        <v>0</v>
      </c>
      <c r="C2302" s="1" t="n">
        <f aca="false">N(C2301)+B2302</f>
        <v>17</v>
      </c>
      <c r="K2302" s="1" t="n">
        <f aca="false">IF(OR($K$1="",对接源_02物料!$C1102="",对接源_02物料!$C1102&lt;&gt;$K$1,对接源_02物料!$B1102=""),0,IF(OR(N(对接源_02物料!$B1102)&lt;$K$2,N(对接源_02物料!$B1102)&gt;$K$3),0,1))</f>
        <v>0</v>
      </c>
      <c r="L2302" s="1" t="n">
        <f aca="false">IF(OR($L$1="",对接源_02物料!$C1102="",对接源_02物料!$C1102&lt;&gt;$L$1,对接源_02物料!$B1102=""),0,IF(OR(N(对接源_02物料!$B1102)&lt;$L$2,N(对接源_02物料!$B1102)&gt;$L$3),0,1))</f>
        <v>0</v>
      </c>
      <c r="M2302" s="1" t="n">
        <f aca="false">IF(OR($M$1="",对接源_02物料!$C1102="",对接源_02物料!$C1102&lt;&gt;$M$1,对接源_02物料!$B1102=""),0,IF(OR(N(对接源_02物料!$B1102)&lt;$M$2,N(对接源_02物料!$B1102)&gt;$M$3),0,1))</f>
        <v>0</v>
      </c>
      <c r="N2302" s="1" t="n">
        <f aca="false">IF(OR($N$1="",对接源_02物料!$C1102="",对接源_02物料!$C1102&lt;&gt;$N$1,对接源_02物料!$B1102=""),0,IF(OR(N(对接源_02物料!$B1102)&lt;$N$2,N(对接源_02物料!$B1102)&gt;$N$3),0,1))</f>
        <v>0</v>
      </c>
      <c r="P2302" s="1" t="n">
        <f aca="false">IF(AND($K2302=1,AND(对接源_02物料!$X1102="公司筐",N(对接源_02物料!$T1102)&lt;&gt;0)),1,0)</f>
        <v>0</v>
      </c>
      <c r="Q2302" s="1" t="n">
        <f aca="false">N(Q2301)+$P2302</f>
        <v>13</v>
      </c>
      <c r="R2302" s="1" t="n">
        <f aca="false">IF(AND($K2302=1,AND(对接源_02物料!$X1102="公司筐",N(对接源_02物料!$U1102)&lt;&gt;0)),1,0)</f>
        <v>0</v>
      </c>
      <c r="S2302" s="1" t="n">
        <f aca="false">N(S2301)+$R2302</f>
        <v>5</v>
      </c>
      <c r="T2302" s="1" t="n">
        <f aca="false">IF(AND($K2302=1,AND(对接源_02物料!$X1102="公司筐",N(对接源_02物料!$V1102)&lt;&gt;0)),1,0)</f>
        <v>0</v>
      </c>
      <c r="U2302" s="1" t="n">
        <f aca="false">N(U2301)+$T2302</f>
        <v>28</v>
      </c>
      <c r="V2302" s="1" t="n">
        <f aca="false">IF(AND($L2302=1,AND(对接源_02物料!$X1102="自备筐",N(对接源_02物料!$V1102)&lt;&gt;0)),1,0)</f>
        <v>0</v>
      </c>
      <c r="W2302" s="1" t="n">
        <f aca="false">N(W2301)+$V2302</f>
        <v>7</v>
      </c>
      <c r="X2302" s="1" t="n">
        <f aca="false">IF(AND($L2302=1,AND(对接源_02物料!$X1102="自备筐",N(对接源_02物料!$T1102)&lt;&gt;0)),1,0)</f>
        <v>0</v>
      </c>
      <c r="Y2302" s="1" t="n">
        <f aca="false">N(Y2301)+$X2302</f>
        <v>0</v>
      </c>
      <c r="Z2302" s="1" t="n">
        <f aca="false">IF(AND($M2302=1,对接源_02物料!$D1102="原料入库"),1,0)</f>
        <v>0</v>
      </c>
      <c r="AA2302" s="1" t="n">
        <f aca="false">N(AA2301)+$Z2302</f>
        <v>30</v>
      </c>
      <c r="AB2302" s="1" t="n">
        <f aca="false">IF(AND($M2302=1,LEFT(对接源_02物料!$D1102,4)="原料出库"),1,0)</f>
        <v>0</v>
      </c>
      <c r="AC2302" s="1" t="n">
        <f aca="false">N(AC2301)+$AB2302</f>
        <v>19</v>
      </c>
      <c r="AD2302" s="1" t="n">
        <f aca="false">IF(AND($M2302=1,LEFT(对接源_02物料!$D1102,4)="成品出库"),1,0)</f>
        <v>0</v>
      </c>
      <c r="AE2302" s="1" t="n">
        <f aca="false">N(AE2301)+$AD2302</f>
        <v>38</v>
      </c>
      <c r="AF2302" s="1" t="n">
        <f aca="false">IF(AND($N2302=1,AND(LEFT(对接源_02物料!$D1102,4)="包装物料",N(对接源_02物料!$K1102)&lt;&gt;0)),1,0)</f>
        <v>0</v>
      </c>
      <c r="AG2302" s="1" t="n">
        <f aca="false">N(AG2301)+$AF2302</f>
        <v>6</v>
      </c>
      <c r="AH2302" s="1" t="n">
        <f aca="false">IF(AND($N2302=1,AND(LEFT(对接源_02物料!$D1102,3)="周转筐",N(对接源_02物料!$K1102)&lt;&gt;0)),1,0)</f>
        <v>0</v>
      </c>
      <c r="AI2302" s="1" t="n">
        <f aca="false">N(AI2301)+$AH2302</f>
        <v>0</v>
      </c>
      <c r="AJ2302" s="1" t="n">
        <v>0</v>
      </c>
      <c r="AK2302" s="1" t="n">
        <f aca="false">N(AK2301)+$AJ2302</f>
        <v>3672</v>
      </c>
    </row>
    <row r="2303" customFormat="false" ht="13.5" hidden="false" customHeight="false" outlineLevel="0" collapsed="false">
      <c r="A2303" s="1" t="str">
        <f aca="false">IF(对接源_02物料!$C1103="","",对接源_02物料!$C1103)</f>
        <v/>
      </c>
      <c r="B2303" s="1" t="n">
        <f aca="false">IF(A2303="",0,IF(MATCH(A2303,$A$4:$A$2403,0)=ROW()-3,1,0))</f>
        <v>0</v>
      </c>
      <c r="C2303" s="1" t="n">
        <f aca="false">N(C2302)+B2303</f>
        <v>17</v>
      </c>
      <c r="K2303" s="1" t="n">
        <f aca="false">IF(OR($K$1="",对接源_02物料!$C1103="",对接源_02物料!$C1103&lt;&gt;$K$1,对接源_02物料!$B1103=""),0,IF(OR(N(对接源_02物料!$B1103)&lt;$K$2,N(对接源_02物料!$B1103)&gt;$K$3),0,1))</f>
        <v>0</v>
      </c>
      <c r="L2303" s="1" t="n">
        <f aca="false">IF(OR($L$1="",对接源_02物料!$C1103="",对接源_02物料!$C1103&lt;&gt;$L$1,对接源_02物料!$B1103=""),0,IF(OR(N(对接源_02物料!$B1103)&lt;$L$2,N(对接源_02物料!$B1103)&gt;$L$3),0,1))</f>
        <v>0</v>
      </c>
      <c r="M2303" s="1" t="n">
        <f aca="false">IF(OR($M$1="",对接源_02物料!$C1103="",对接源_02物料!$C1103&lt;&gt;$M$1,对接源_02物料!$B1103=""),0,IF(OR(N(对接源_02物料!$B1103)&lt;$M$2,N(对接源_02物料!$B1103)&gt;$M$3),0,1))</f>
        <v>0</v>
      </c>
      <c r="N2303" s="1" t="n">
        <f aca="false">IF(OR($N$1="",对接源_02物料!$C1103="",对接源_02物料!$C1103&lt;&gt;$N$1,对接源_02物料!$B1103=""),0,IF(OR(N(对接源_02物料!$B1103)&lt;$N$2,N(对接源_02物料!$B1103)&gt;$N$3),0,1))</f>
        <v>0</v>
      </c>
      <c r="P2303" s="1" t="n">
        <f aca="false">IF(AND($K2303=1,AND(对接源_02物料!$X1103="公司筐",N(对接源_02物料!$T1103)&lt;&gt;0)),1,0)</f>
        <v>0</v>
      </c>
      <c r="Q2303" s="1" t="n">
        <f aca="false">N(Q2302)+$P2303</f>
        <v>13</v>
      </c>
      <c r="R2303" s="1" t="n">
        <f aca="false">IF(AND($K2303=1,AND(对接源_02物料!$X1103="公司筐",N(对接源_02物料!$U1103)&lt;&gt;0)),1,0)</f>
        <v>0</v>
      </c>
      <c r="S2303" s="1" t="n">
        <f aca="false">N(S2302)+$R2303</f>
        <v>5</v>
      </c>
      <c r="T2303" s="1" t="n">
        <f aca="false">IF(AND($K2303=1,AND(对接源_02物料!$X1103="公司筐",N(对接源_02物料!$V1103)&lt;&gt;0)),1,0)</f>
        <v>0</v>
      </c>
      <c r="U2303" s="1" t="n">
        <f aca="false">N(U2302)+$T2303</f>
        <v>28</v>
      </c>
      <c r="V2303" s="1" t="n">
        <f aca="false">IF(AND($L2303=1,AND(对接源_02物料!$X1103="自备筐",N(对接源_02物料!$V1103)&lt;&gt;0)),1,0)</f>
        <v>0</v>
      </c>
      <c r="W2303" s="1" t="n">
        <f aca="false">N(W2302)+$V2303</f>
        <v>7</v>
      </c>
      <c r="X2303" s="1" t="n">
        <f aca="false">IF(AND($L2303=1,AND(对接源_02物料!$X1103="自备筐",N(对接源_02物料!$T1103)&lt;&gt;0)),1,0)</f>
        <v>0</v>
      </c>
      <c r="Y2303" s="1" t="n">
        <f aca="false">N(Y2302)+$X2303</f>
        <v>0</v>
      </c>
      <c r="Z2303" s="1" t="n">
        <f aca="false">IF(AND($M2303=1,对接源_02物料!$D1103="原料入库"),1,0)</f>
        <v>0</v>
      </c>
      <c r="AA2303" s="1" t="n">
        <f aca="false">N(AA2302)+$Z2303</f>
        <v>30</v>
      </c>
      <c r="AB2303" s="1" t="n">
        <f aca="false">IF(AND($M2303=1,LEFT(对接源_02物料!$D1103,4)="原料出库"),1,0)</f>
        <v>0</v>
      </c>
      <c r="AC2303" s="1" t="n">
        <f aca="false">N(AC2302)+$AB2303</f>
        <v>19</v>
      </c>
      <c r="AD2303" s="1" t="n">
        <f aca="false">IF(AND($M2303=1,LEFT(对接源_02物料!$D1103,4)="成品出库"),1,0)</f>
        <v>0</v>
      </c>
      <c r="AE2303" s="1" t="n">
        <f aca="false">N(AE2302)+$AD2303</f>
        <v>38</v>
      </c>
      <c r="AF2303" s="1" t="n">
        <f aca="false">IF(AND($N2303=1,AND(LEFT(对接源_02物料!$D1103,4)="包装物料",N(对接源_02物料!$K1103)&lt;&gt;0)),1,0)</f>
        <v>0</v>
      </c>
      <c r="AG2303" s="1" t="n">
        <f aca="false">N(AG2302)+$AF2303</f>
        <v>6</v>
      </c>
      <c r="AH2303" s="1" t="n">
        <f aca="false">IF(AND($N2303=1,AND(LEFT(对接源_02物料!$D1103,3)="周转筐",N(对接源_02物料!$K1103)&lt;&gt;0)),1,0)</f>
        <v>0</v>
      </c>
      <c r="AI2303" s="1" t="n">
        <f aca="false">N(AI2302)+$AH2303</f>
        <v>0</v>
      </c>
      <c r="AJ2303" s="1" t="n">
        <v>0</v>
      </c>
      <c r="AK2303" s="1" t="n">
        <f aca="false">N(AK2302)+$AJ2303</f>
        <v>3672</v>
      </c>
    </row>
    <row r="2304" customFormat="false" ht="13.5" hidden="false" customHeight="false" outlineLevel="0" collapsed="false">
      <c r="A2304" s="1" t="str">
        <f aca="false">IF(对接源_02物料!$C1104="","",对接源_02物料!$C1104)</f>
        <v/>
      </c>
      <c r="B2304" s="1" t="n">
        <f aca="false">IF(A2304="",0,IF(MATCH(A2304,$A$4:$A$2403,0)=ROW()-3,1,0))</f>
        <v>0</v>
      </c>
      <c r="C2304" s="1" t="n">
        <f aca="false">N(C2303)+B2304</f>
        <v>17</v>
      </c>
      <c r="K2304" s="1" t="n">
        <f aca="false">IF(OR($K$1="",对接源_02物料!$C1104="",对接源_02物料!$C1104&lt;&gt;$K$1,对接源_02物料!$B1104=""),0,IF(OR(N(对接源_02物料!$B1104)&lt;$K$2,N(对接源_02物料!$B1104)&gt;$K$3),0,1))</f>
        <v>0</v>
      </c>
      <c r="L2304" s="1" t="n">
        <f aca="false">IF(OR($L$1="",对接源_02物料!$C1104="",对接源_02物料!$C1104&lt;&gt;$L$1,对接源_02物料!$B1104=""),0,IF(OR(N(对接源_02物料!$B1104)&lt;$L$2,N(对接源_02物料!$B1104)&gt;$L$3),0,1))</f>
        <v>0</v>
      </c>
      <c r="M2304" s="1" t="n">
        <f aca="false">IF(OR($M$1="",对接源_02物料!$C1104="",对接源_02物料!$C1104&lt;&gt;$M$1,对接源_02物料!$B1104=""),0,IF(OR(N(对接源_02物料!$B1104)&lt;$M$2,N(对接源_02物料!$B1104)&gt;$M$3),0,1))</f>
        <v>0</v>
      </c>
      <c r="N2304" s="1" t="n">
        <f aca="false">IF(OR($N$1="",对接源_02物料!$C1104="",对接源_02物料!$C1104&lt;&gt;$N$1,对接源_02物料!$B1104=""),0,IF(OR(N(对接源_02物料!$B1104)&lt;$N$2,N(对接源_02物料!$B1104)&gt;$N$3),0,1))</f>
        <v>0</v>
      </c>
      <c r="P2304" s="1" t="n">
        <f aca="false">IF(AND($K2304=1,AND(对接源_02物料!$X1104="公司筐",N(对接源_02物料!$T1104)&lt;&gt;0)),1,0)</f>
        <v>0</v>
      </c>
      <c r="Q2304" s="1" t="n">
        <f aca="false">N(Q2303)+$P2304</f>
        <v>13</v>
      </c>
      <c r="R2304" s="1" t="n">
        <f aca="false">IF(AND($K2304=1,AND(对接源_02物料!$X1104="公司筐",N(对接源_02物料!$U1104)&lt;&gt;0)),1,0)</f>
        <v>0</v>
      </c>
      <c r="S2304" s="1" t="n">
        <f aca="false">N(S2303)+$R2304</f>
        <v>5</v>
      </c>
      <c r="T2304" s="1" t="n">
        <f aca="false">IF(AND($K2304=1,AND(对接源_02物料!$X1104="公司筐",N(对接源_02物料!$V1104)&lt;&gt;0)),1,0)</f>
        <v>0</v>
      </c>
      <c r="U2304" s="1" t="n">
        <f aca="false">N(U2303)+$T2304</f>
        <v>28</v>
      </c>
      <c r="V2304" s="1" t="n">
        <f aca="false">IF(AND($L2304=1,AND(对接源_02物料!$X1104="自备筐",N(对接源_02物料!$V1104)&lt;&gt;0)),1,0)</f>
        <v>0</v>
      </c>
      <c r="W2304" s="1" t="n">
        <f aca="false">N(W2303)+$V2304</f>
        <v>7</v>
      </c>
      <c r="X2304" s="1" t="n">
        <f aca="false">IF(AND($L2304=1,AND(对接源_02物料!$X1104="自备筐",N(对接源_02物料!$T1104)&lt;&gt;0)),1,0)</f>
        <v>0</v>
      </c>
      <c r="Y2304" s="1" t="n">
        <f aca="false">N(Y2303)+$X2304</f>
        <v>0</v>
      </c>
      <c r="Z2304" s="1" t="n">
        <f aca="false">IF(AND($M2304=1,对接源_02物料!$D1104="原料入库"),1,0)</f>
        <v>0</v>
      </c>
      <c r="AA2304" s="1" t="n">
        <f aca="false">N(AA2303)+$Z2304</f>
        <v>30</v>
      </c>
      <c r="AB2304" s="1" t="n">
        <f aca="false">IF(AND($M2304=1,LEFT(对接源_02物料!$D1104,4)="原料出库"),1,0)</f>
        <v>0</v>
      </c>
      <c r="AC2304" s="1" t="n">
        <f aca="false">N(AC2303)+$AB2304</f>
        <v>19</v>
      </c>
      <c r="AD2304" s="1" t="n">
        <f aca="false">IF(AND($M2304=1,LEFT(对接源_02物料!$D1104,4)="成品出库"),1,0)</f>
        <v>0</v>
      </c>
      <c r="AE2304" s="1" t="n">
        <f aca="false">N(AE2303)+$AD2304</f>
        <v>38</v>
      </c>
      <c r="AF2304" s="1" t="n">
        <f aca="false">IF(AND($N2304=1,AND(LEFT(对接源_02物料!$D1104,4)="包装物料",N(对接源_02物料!$K1104)&lt;&gt;0)),1,0)</f>
        <v>0</v>
      </c>
      <c r="AG2304" s="1" t="n">
        <f aca="false">N(AG2303)+$AF2304</f>
        <v>6</v>
      </c>
      <c r="AH2304" s="1" t="n">
        <f aca="false">IF(AND($N2304=1,AND(LEFT(对接源_02物料!$D1104,3)="周转筐",N(对接源_02物料!$K1104)&lt;&gt;0)),1,0)</f>
        <v>0</v>
      </c>
      <c r="AI2304" s="1" t="n">
        <f aca="false">N(AI2303)+$AH2304</f>
        <v>0</v>
      </c>
      <c r="AJ2304" s="1" t="n">
        <v>0</v>
      </c>
      <c r="AK2304" s="1" t="n">
        <f aca="false">N(AK2303)+$AJ2304</f>
        <v>3672</v>
      </c>
    </row>
    <row r="2305" customFormat="false" ht="13.5" hidden="false" customHeight="false" outlineLevel="0" collapsed="false">
      <c r="A2305" s="1" t="str">
        <f aca="false">IF(对接源_02物料!$C1105="","",对接源_02物料!$C1105)</f>
        <v/>
      </c>
      <c r="B2305" s="1" t="n">
        <f aca="false">IF(A2305="",0,IF(MATCH(A2305,$A$4:$A$2403,0)=ROW()-3,1,0))</f>
        <v>0</v>
      </c>
      <c r="C2305" s="1" t="n">
        <f aca="false">N(C2304)+B2305</f>
        <v>17</v>
      </c>
      <c r="K2305" s="1" t="n">
        <f aca="false">IF(OR($K$1="",对接源_02物料!$C1105="",对接源_02物料!$C1105&lt;&gt;$K$1,对接源_02物料!$B1105=""),0,IF(OR(N(对接源_02物料!$B1105)&lt;$K$2,N(对接源_02物料!$B1105)&gt;$K$3),0,1))</f>
        <v>0</v>
      </c>
      <c r="L2305" s="1" t="n">
        <f aca="false">IF(OR($L$1="",对接源_02物料!$C1105="",对接源_02物料!$C1105&lt;&gt;$L$1,对接源_02物料!$B1105=""),0,IF(OR(N(对接源_02物料!$B1105)&lt;$L$2,N(对接源_02物料!$B1105)&gt;$L$3),0,1))</f>
        <v>0</v>
      </c>
      <c r="M2305" s="1" t="n">
        <f aca="false">IF(OR($M$1="",对接源_02物料!$C1105="",对接源_02物料!$C1105&lt;&gt;$M$1,对接源_02物料!$B1105=""),0,IF(OR(N(对接源_02物料!$B1105)&lt;$M$2,N(对接源_02物料!$B1105)&gt;$M$3),0,1))</f>
        <v>0</v>
      </c>
      <c r="N2305" s="1" t="n">
        <f aca="false">IF(OR($N$1="",对接源_02物料!$C1105="",对接源_02物料!$C1105&lt;&gt;$N$1,对接源_02物料!$B1105=""),0,IF(OR(N(对接源_02物料!$B1105)&lt;$N$2,N(对接源_02物料!$B1105)&gt;$N$3),0,1))</f>
        <v>0</v>
      </c>
      <c r="P2305" s="1" t="n">
        <f aca="false">IF(AND($K2305=1,AND(对接源_02物料!$X1105="公司筐",N(对接源_02物料!$T1105)&lt;&gt;0)),1,0)</f>
        <v>0</v>
      </c>
      <c r="Q2305" s="1" t="n">
        <f aca="false">N(Q2304)+$P2305</f>
        <v>13</v>
      </c>
      <c r="R2305" s="1" t="n">
        <f aca="false">IF(AND($K2305=1,AND(对接源_02物料!$X1105="公司筐",N(对接源_02物料!$U1105)&lt;&gt;0)),1,0)</f>
        <v>0</v>
      </c>
      <c r="S2305" s="1" t="n">
        <f aca="false">N(S2304)+$R2305</f>
        <v>5</v>
      </c>
      <c r="T2305" s="1" t="n">
        <f aca="false">IF(AND($K2305=1,AND(对接源_02物料!$X1105="公司筐",N(对接源_02物料!$V1105)&lt;&gt;0)),1,0)</f>
        <v>0</v>
      </c>
      <c r="U2305" s="1" t="n">
        <f aca="false">N(U2304)+$T2305</f>
        <v>28</v>
      </c>
      <c r="V2305" s="1" t="n">
        <f aca="false">IF(AND($L2305=1,AND(对接源_02物料!$X1105="自备筐",N(对接源_02物料!$V1105)&lt;&gt;0)),1,0)</f>
        <v>0</v>
      </c>
      <c r="W2305" s="1" t="n">
        <f aca="false">N(W2304)+$V2305</f>
        <v>7</v>
      </c>
      <c r="X2305" s="1" t="n">
        <f aca="false">IF(AND($L2305=1,AND(对接源_02物料!$X1105="自备筐",N(对接源_02物料!$T1105)&lt;&gt;0)),1,0)</f>
        <v>0</v>
      </c>
      <c r="Y2305" s="1" t="n">
        <f aca="false">N(Y2304)+$X2305</f>
        <v>0</v>
      </c>
      <c r="Z2305" s="1" t="n">
        <f aca="false">IF(AND($M2305=1,对接源_02物料!$D1105="原料入库"),1,0)</f>
        <v>0</v>
      </c>
      <c r="AA2305" s="1" t="n">
        <f aca="false">N(AA2304)+$Z2305</f>
        <v>30</v>
      </c>
      <c r="AB2305" s="1" t="n">
        <f aca="false">IF(AND($M2305=1,LEFT(对接源_02物料!$D1105,4)="原料出库"),1,0)</f>
        <v>0</v>
      </c>
      <c r="AC2305" s="1" t="n">
        <f aca="false">N(AC2304)+$AB2305</f>
        <v>19</v>
      </c>
      <c r="AD2305" s="1" t="n">
        <f aca="false">IF(AND($M2305=1,LEFT(对接源_02物料!$D1105,4)="成品出库"),1,0)</f>
        <v>0</v>
      </c>
      <c r="AE2305" s="1" t="n">
        <f aca="false">N(AE2304)+$AD2305</f>
        <v>38</v>
      </c>
      <c r="AF2305" s="1" t="n">
        <f aca="false">IF(AND($N2305=1,AND(LEFT(对接源_02物料!$D1105,4)="包装物料",N(对接源_02物料!$K1105)&lt;&gt;0)),1,0)</f>
        <v>0</v>
      </c>
      <c r="AG2305" s="1" t="n">
        <f aca="false">N(AG2304)+$AF2305</f>
        <v>6</v>
      </c>
      <c r="AH2305" s="1" t="n">
        <f aca="false">IF(AND($N2305=1,AND(LEFT(对接源_02物料!$D1105,3)="周转筐",N(对接源_02物料!$K1105)&lt;&gt;0)),1,0)</f>
        <v>0</v>
      </c>
      <c r="AI2305" s="1" t="n">
        <f aca="false">N(AI2304)+$AH2305</f>
        <v>0</v>
      </c>
      <c r="AJ2305" s="1" t="n">
        <v>0</v>
      </c>
      <c r="AK2305" s="1" t="n">
        <f aca="false">N(AK2304)+$AJ2305</f>
        <v>3672</v>
      </c>
    </row>
    <row r="2306" customFormat="false" ht="13.5" hidden="false" customHeight="false" outlineLevel="0" collapsed="false">
      <c r="A2306" s="1" t="str">
        <f aca="false">IF(对接源_02物料!$C1106="","",对接源_02物料!$C1106)</f>
        <v/>
      </c>
      <c r="B2306" s="1" t="n">
        <f aca="false">IF(A2306="",0,IF(MATCH(A2306,$A$4:$A$2403,0)=ROW()-3,1,0))</f>
        <v>0</v>
      </c>
      <c r="C2306" s="1" t="n">
        <f aca="false">N(C2305)+B2306</f>
        <v>17</v>
      </c>
      <c r="K2306" s="1" t="n">
        <f aca="false">IF(OR($K$1="",对接源_02物料!$C1106="",对接源_02物料!$C1106&lt;&gt;$K$1,对接源_02物料!$B1106=""),0,IF(OR(N(对接源_02物料!$B1106)&lt;$K$2,N(对接源_02物料!$B1106)&gt;$K$3),0,1))</f>
        <v>0</v>
      </c>
      <c r="L2306" s="1" t="n">
        <f aca="false">IF(OR($L$1="",对接源_02物料!$C1106="",对接源_02物料!$C1106&lt;&gt;$L$1,对接源_02物料!$B1106=""),0,IF(OR(N(对接源_02物料!$B1106)&lt;$L$2,N(对接源_02物料!$B1106)&gt;$L$3),0,1))</f>
        <v>0</v>
      </c>
      <c r="M2306" s="1" t="n">
        <f aca="false">IF(OR($M$1="",对接源_02物料!$C1106="",对接源_02物料!$C1106&lt;&gt;$M$1,对接源_02物料!$B1106=""),0,IF(OR(N(对接源_02物料!$B1106)&lt;$M$2,N(对接源_02物料!$B1106)&gt;$M$3),0,1))</f>
        <v>0</v>
      </c>
      <c r="N2306" s="1" t="n">
        <f aca="false">IF(OR($N$1="",对接源_02物料!$C1106="",对接源_02物料!$C1106&lt;&gt;$N$1,对接源_02物料!$B1106=""),0,IF(OR(N(对接源_02物料!$B1106)&lt;$N$2,N(对接源_02物料!$B1106)&gt;$N$3),0,1))</f>
        <v>0</v>
      </c>
      <c r="P2306" s="1" t="n">
        <f aca="false">IF(AND($K2306=1,AND(对接源_02物料!$X1106="公司筐",N(对接源_02物料!$T1106)&lt;&gt;0)),1,0)</f>
        <v>0</v>
      </c>
      <c r="Q2306" s="1" t="n">
        <f aca="false">N(Q2305)+$P2306</f>
        <v>13</v>
      </c>
      <c r="R2306" s="1" t="n">
        <f aca="false">IF(AND($K2306=1,AND(对接源_02物料!$X1106="公司筐",N(对接源_02物料!$U1106)&lt;&gt;0)),1,0)</f>
        <v>0</v>
      </c>
      <c r="S2306" s="1" t="n">
        <f aca="false">N(S2305)+$R2306</f>
        <v>5</v>
      </c>
      <c r="T2306" s="1" t="n">
        <f aca="false">IF(AND($K2306=1,AND(对接源_02物料!$X1106="公司筐",N(对接源_02物料!$V1106)&lt;&gt;0)),1,0)</f>
        <v>0</v>
      </c>
      <c r="U2306" s="1" t="n">
        <f aca="false">N(U2305)+$T2306</f>
        <v>28</v>
      </c>
      <c r="V2306" s="1" t="n">
        <f aca="false">IF(AND($L2306=1,AND(对接源_02物料!$X1106="自备筐",N(对接源_02物料!$V1106)&lt;&gt;0)),1,0)</f>
        <v>0</v>
      </c>
      <c r="W2306" s="1" t="n">
        <f aca="false">N(W2305)+$V2306</f>
        <v>7</v>
      </c>
      <c r="X2306" s="1" t="n">
        <f aca="false">IF(AND($L2306=1,AND(对接源_02物料!$X1106="自备筐",N(对接源_02物料!$T1106)&lt;&gt;0)),1,0)</f>
        <v>0</v>
      </c>
      <c r="Y2306" s="1" t="n">
        <f aca="false">N(Y2305)+$X2306</f>
        <v>0</v>
      </c>
      <c r="Z2306" s="1" t="n">
        <f aca="false">IF(AND($M2306=1,对接源_02物料!$D1106="原料入库"),1,0)</f>
        <v>0</v>
      </c>
      <c r="AA2306" s="1" t="n">
        <f aca="false">N(AA2305)+$Z2306</f>
        <v>30</v>
      </c>
      <c r="AB2306" s="1" t="n">
        <f aca="false">IF(AND($M2306=1,LEFT(对接源_02物料!$D1106,4)="原料出库"),1,0)</f>
        <v>0</v>
      </c>
      <c r="AC2306" s="1" t="n">
        <f aca="false">N(AC2305)+$AB2306</f>
        <v>19</v>
      </c>
      <c r="AD2306" s="1" t="n">
        <f aca="false">IF(AND($M2306=1,LEFT(对接源_02物料!$D1106,4)="成品出库"),1,0)</f>
        <v>0</v>
      </c>
      <c r="AE2306" s="1" t="n">
        <f aca="false">N(AE2305)+$AD2306</f>
        <v>38</v>
      </c>
      <c r="AF2306" s="1" t="n">
        <f aca="false">IF(AND($N2306=1,AND(LEFT(对接源_02物料!$D1106,4)="包装物料",N(对接源_02物料!$K1106)&lt;&gt;0)),1,0)</f>
        <v>0</v>
      </c>
      <c r="AG2306" s="1" t="n">
        <f aca="false">N(AG2305)+$AF2306</f>
        <v>6</v>
      </c>
      <c r="AH2306" s="1" t="n">
        <f aca="false">IF(AND($N2306=1,AND(LEFT(对接源_02物料!$D1106,3)="周转筐",N(对接源_02物料!$K1106)&lt;&gt;0)),1,0)</f>
        <v>0</v>
      </c>
      <c r="AI2306" s="1" t="n">
        <f aca="false">N(AI2305)+$AH2306</f>
        <v>0</v>
      </c>
      <c r="AJ2306" s="1" t="n">
        <v>0</v>
      </c>
      <c r="AK2306" s="1" t="n">
        <f aca="false">N(AK2305)+$AJ2306</f>
        <v>3672</v>
      </c>
    </row>
    <row r="2307" customFormat="false" ht="13.5" hidden="false" customHeight="false" outlineLevel="0" collapsed="false">
      <c r="A2307" s="1" t="str">
        <f aca="false">IF(对接源_02物料!$C1107="","",对接源_02物料!$C1107)</f>
        <v/>
      </c>
      <c r="B2307" s="1" t="n">
        <f aca="false">IF(A2307="",0,IF(MATCH(A2307,$A$4:$A$2403,0)=ROW()-3,1,0))</f>
        <v>0</v>
      </c>
      <c r="C2307" s="1" t="n">
        <f aca="false">N(C2306)+B2307</f>
        <v>17</v>
      </c>
      <c r="K2307" s="1" t="n">
        <f aca="false">IF(OR($K$1="",对接源_02物料!$C1107="",对接源_02物料!$C1107&lt;&gt;$K$1,对接源_02物料!$B1107=""),0,IF(OR(N(对接源_02物料!$B1107)&lt;$K$2,N(对接源_02物料!$B1107)&gt;$K$3),0,1))</f>
        <v>0</v>
      </c>
      <c r="L2307" s="1" t="n">
        <f aca="false">IF(OR($L$1="",对接源_02物料!$C1107="",对接源_02物料!$C1107&lt;&gt;$L$1,对接源_02物料!$B1107=""),0,IF(OR(N(对接源_02物料!$B1107)&lt;$L$2,N(对接源_02物料!$B1107)&gt;$L$3),0,1))</f>
        <v>0</v>
      </c>
      <c r="M2307" s="1" t="n">
        <f aca="false">IF(OR($M$1="",对接源_02物料!$C1107="",对接源_02物料!$C1107&lt;&gt;$M$1,对接源_02物料!$B1107=""),0,IF(OR(N(对接源_02物料!$B1107)&lt;$M$2,N(对接源_02物料!$B1107)&gt;$M$3),0,1))</f>
        <v>0</v>
      </c>
      <c r="N2307" s="1" t="n">
        <f aca="false">IF(OR($N$1="",对接源_02物料!$C1107="",对接源_02物料!$C1107&lt;&gt;$N$1,对接源_02物料!$B1107=""),0,IF(OR(N(对接源_02物料!$B1107)&lt;$N$2,N(对接源_02物料!$B1107)&gt;$N$3),0,1))</f>
        <v>0</v>
      </c>
      <c r="P2307" s="1" t="n">
        <f aca="false">IF(AND($K2307=1,AND(对接源_02物料!$X1107="公司筐",N(对接源_02物料!$T1107)&lt;&gt;0)),1,0)</f>
        <v>0</v>
      </c>
      <c r="Q2307" s="1" t="n">
        <f aca="false">N(Q2306)+$P2307</f>
        <v>13</v>
      </c>
      <c r="R2307" s="1" t="n">
        <f aca="false">IF(AND($K2307=1,AND(对接源_02物料!$X1107="公司筐",N(对接源_02物料!$U1107)&lt;&gt;0)),1,0)</f>
        <v>0</v>
      </c>
      <c r="S2307" s="1" t="n">
        <f aca="false">N(S2306)+$R2307</f>
        <v>5</v>
      </c>
      <c r="T2307" s="1" t="n">
        <f aca="false">IF(AND($K2307=1,AND(对接源_02物料!$X1107="公司筐",N(对接源_02物料!$V1107)&lt;&gt;0)),1,0)</f>
        <v>0</v>
      </c>
      <c r="U2307" s="1" t="n">
        <f aca="false">N(U2306)+$T2307</f>
        <v>28</v>
      </c>
      <c r="V2307" s="1" t="n">
        <f aca="false">IF(AND($L2307=1,AND(对接源_02物料!$X1107="自备筐",N(对接源_02物料!$V1107)&lt;&gt;0)),1,0)</f>
        <v>0</v>
      </c>
      <c r="W2307" s="1" t="n">
        <f aca="false">N(W2306)+$V2307</f>
        <v>7</v>
      </c>
      <c r="X2307" s="1" t="n">
        <f aca="false">IF(AND($L2307=1,AND(对接源_02物料!$X1107="自备筐",N(对接源_02物料!$T1107)&lt;&gt;0)),1,0)</f>
        <v>0</v>
      </c>
      <c r="Y2307" s="1" t="n">
        <f aca="false">N(Y2306)+$X2307</f>
        <v>0</v>
      </c>
      <c r="Z2307" s="1" t="n">
        <f aca="false">IF(AND($M2307=1,对接源_02物料!$D1107="原料入库"),1,0)</f>
        <v>0</v>
      </c>
      <c r="AA2307" s="1" t="n">
        <f aca="false">N(AA2306)+$Z2307</f>
        <v>30</v>
      </c>
      <c r="AB2307" s="1" t="n">
        <f aca="false">IF(AND($M2307=1,LEFT(对接源_02物料!$D1107,4)="原料出库"),1,0)</f>
        <v>0</v>
      </c>
      <c r="AC2307" s="1" t="n">
        <f aca="false">N(AC2306)+$AB2307</f>
        <v>19</v>
      </c>
      <c r="AD2307" s="1" t="n">
        <f aca="false">IF(AND($M2307=1,LEFT(对接源_02物料!$D1107,4)="成品出库"),1,0)</f>
        <v>0</v>
      </c>
      <c r="AE2307" s="1" t="n">
        <f aca="false">N(AE2306)+$AD2307</f>
        <v>38</v>
      </c>
      <c r="AF2307" s="1" t="n">
        <f aca="false">IF(AND($N2307=1,AND(LEFT(对接源_02物料!$D1107,4)="包装物料",N(对接源_02物料!$K1107)&lt;&gt;0)),1,0)</f>
        <v>0</v>
      </c>
      <c r="AG2307" s="1" t="n">
        <f aca="false">N(AG2306)+$AF2307</f>
        <v>6</v>
      </c>
      <c r="AH2307" s="1" t="n">
        <f aca="false">IF(AND($N2307=1,AND(LEFT(对接源_02物料!$D1107,3)="周转筐",N(对接源_02物料!$K1107)&lt;&gt;0)),1,0)</f>
        <v>0</v>
      </c>
      <c r="AI2307" s="1" t="n">
        <f aca="false">N(AI2306)+$AH2307</f>
        <v>0</v>
      </c>
      <c r="AJ2307" s="1" t="n">
        <v>0</v>
      </c>
      <c r="AK2307" s="1" t="n">
        <f aca="false">N(AK2306)+$AJ2307</f>
        <v>3672</v>
      </c>
    </row>
    <row r="2308" customFormat="false" ht="13.5" hidden="false" customHeight="false" outlineLevel="0" collapsed="false">
      <c r="A2308" s="1" t="str">
        <f aca="false">IF(对接源_02物料!$C1108="","",对接源_02物料!$C1108)</f>
        <v/>
      </c>
      <c r="B2308" s="1" t="n">
        <f aca="false">IF(A2308="",0,IF(MATCH(A2308,$A$4:$A$2403,0)=ROW()-3,1,0))</f>
        <v>0</v>
      </c>
      <c r="C2308" s="1" t="n">
        <f aca="false">N(C2307)+B2308</f>
        <v>17</v>
      </c>
      <c r="K2308" s="1" t="n">
        <f aca="false">IF(OR($K$1="",对接源_02物料!$C1108="",对接源_02物料!$C1108&lt;&gt;$K$1,对接源_02物料!$B1108=""),0,IF(OR(N(对接源_02物料!$B1108)&lt;$K$2,N(对接源_02物料!$B1108)&gt;$K$3),0,1))</f>
        <v>0</v>
      </c>
      <c r="L2308" s="1" t="n">
        <f aca="false">IF(OR($L$1="",对接源_02物料!$C1108="",对接源_02物料!$C1108&lt;&gt;$L$1,对接源_02物料!$B1108=""),0,IF(OR(N(对接源_02物料!$B1108)&lt;$L$2,N(对接源_02物料!$B1108)&gt;$L$3),0,1))</f>
        <v>0</v>
      </c>
      <c r="M2308" s="1" t="n">
        <f aca="false">IF(OR($M$1="",对接源_02物料!$C1108="",对接源_02物料!$C1108&lt;&gt;$M$1,对接源_02物料!$B1108=""),0,IF(OR(N(对接源_02物料!$B1108)&lt;$M$2,N(对接源_02物料!$B1108)&gt;$M$3),0,1))</f>
        <v>0</v>
      </c>
      <c r="N2308" s="1" t="n">
        <f aca="false">IF(OR($N$1="",对接源_02物料!$C1108="",对接源_02物料!$C1108&lt;&gt;$N$1,对接源_02物料!$B1108=""),0,IF(OR(N(对接源_02物料!$B1108)&lt;$N$2,N(对接源_02物料!$B1108)&gt;$N$3),0,1))</f>
        <v>0</v>
      </c>
      <c r="P2308" s="1" t="n">
        <f aca="false">IF(AND($K2308=1,AND(对接源_02物料!$X1108="公司筐",N(对接源_02物料!$T1108)&lt;&gt;0)),1,0)</f>
        <v>0</v>
      </c>
      <c r="Q2308" s="1" t="n">
        <f aca="false">N(Q2307)+$P2308</f>
        <v>13</v>
      </c>
      <c r="R2308" s="1" t="n">
        <f aca="false">IF(AND($K2308=1,AND(对接源_02物料!$X1108="公司筐",N(对接源_02物料!$U1108)&lt;&gt;0)),1,0)</f>
        <v>0</v>
      </c>
      <c r="S2308" s="1" t="n">
        <f aca="false">N(S2307)+$R2308</f>
        <v>5</v>
      </c>
      <c r="T2308" s="1" t="n">
        <f aca="false">IF(AND($K2308=1,AND(对接源_02物料!$X1108="公司筐",N(对接源_02物料!$V1108)&lt;&gt;0)),1,0)</f>
        <v>0</v>
      </c>
      <c r="U2308" s="1" t="n">
        <f aca="false">N(U2307)+$T2308</f>
        <v>28</v>
      </c>
      <c r="V2308" s="1" t="n">
        <f aca="false">IF(AND($L2308=1,AND(对接源_02物料!$X1108="自备筐",N(对接源_02物料!$V1108)&lt;&gt;0)),1,0)</f>
        <v>0</v>
      </c>
      <c r="W2308" s="1" t="n">
        <f aca="false">N(W2307)+$V2308</f>
        <v>7</v>
      </c>
      <c r="X2308" s="1" t="n">
        <f aca="false">IF(AND($L2308=1,AND(对接源_02物料!$X1108="自备筐",N(对接源_02物料!$T1108)&lt;&gt;0)),1,0)</f>
        <v>0</v>
      </c>
      <c r="Y2308" s="1" t="n">
        <f aca="false">N(Y2307)+$X2308</f>
        <v>0</v>
      </c>
      <c r="Z2308" s="1" t="n">
        <f aca="false">IF(AND($M2308=1,对接源_02物料!$D1108="原料入库"),1,0)</f>
        <v>0</v>
      </c>
      <c r="AA2308" s="1" t="n">
        <f aca="false">N(AA2307)+$Z2308</f>
        <v>30</v>
      </c>
      <c r="AB2308" s="1" t="n">
        <f aca="false">IF(AND($M2308=1,LEFT(对接源_02物料!$D1108,4)="原料出库"),1,0)</f>
        <v>0</v>
      </c>
      <c r="AC2308" s="1" t="n">
        <f aca="false">N(AC2307)+$AB2308</f>
        <v>19</v>
      </c>
      <c r="AD2308" s="1" t="n">
        <f aca="false">IF(AND($M2308=1,LEFT(对接源_02物料!$D1108,4)="成品出库"),1,0)</f>
        <v>0</v>
      </c>
      <c r="AE2308" s="1" t="n">
        <f aca="false">N(AE2307)+$AD2308</f>
        <v>38</v>
      </c>
      <c r="AF2308" s="1" t="n">
        <f aca="false">IF(AND($N2308=1,AND(LEFT(对接源_02物料!$D1108,4)="包装物料",N(对接源_02物料!$K1108)&lt;&gt;0)),1,0)</f>
        <v>0</v>
      </c>
      <c r="AG2308" s="1" t="n">
        <f aca="false">N(AG2307)+$AF2308</f>
        <v>6</v>
      </c>
      <c r="AH2308" s="1" t="n">
        <f aca="false">IF(AND($N2308=1,AND(LEFT(对接源_02物料!$D1108,3)="周转筐",N(对接源_02物料!$K1108)&lt;&gt;0)),1,0)</f>
        <v>0</v>
      </c>
      <c r="AI2308" s="1" t="n">
        <f aca="false">N(AI2307)+$AH2308</f>
        <v>0</v>
      </c>
      <c r="AJ2308" s="1" t="n">
        <v>0</v>
      </c>
      <c r="AK2308" s="1" t="n">
        <f aca="false">N(AK2307)+$AJ2308</f>
        <v>3672</v>
      </c>
    </row>
    <row r="2309" customFormat="false" ht="13.5" hidden="false" customHeight="false" outlineLevel="0" collapsed="false">
      <c r="A2309" s="1" t="str">
        <f aca="false">IF(对接源_02物料!$C1109="","",对接源_02物料!$C1109)</f>
        <v/>
      </c>
      <c r="B2309" s="1" t="n">
        <f aca="false">IF(A2309="",0,IF(MATCH(A2309,$A$4:$A$2403,0)=ROW()-3,1,0))</f>
        <v>0</v>
      </c>
      <c r="C2309" s="1" t="n">
        <f aca="false">N(C2308)+B2309</f>
        <v>17</v>
      </c>
      <c r="K2309" s="1" t="n">
        <f aca="false">IF(OR($K$1="",对接源_02物料!$C1109="",对接源_02物料!$C1109&lt;&gt;$K$1,对接源_02物料!$B1109=""),0,IF(OR(N(对接源_02物料!$B1109)&lt;$K$2,N(对接源_02物料!$B1109)&gt;$K$3),0,1))</f>
        <v>0</v>
      </c>
      <c r="L2309" s="1" t="n">
        <f aca="false">IF(OR($L$1="",对接源_02物料!$C1109="",对接源_02物料!$C1109&lt;&gt;$L$1,对接源_02物料!$B1109=""),0,IF(OR(N(对接源_02物料!$B1109)&lt;$L$2,N(对接源_02物料!$B1109)&gt;$L$3),0,1))</f>
        <v>0</v>
      </c>
      <c r="M2309" s="1" t="n">
        <f aca="false">IF(OR($M$1="",对接源_02物料!$C1109="",对接源_02物料!$C1109&lt;&gt;$M$1,对接源_02物料!$B1109=""),0,IF(OR(N(对接源_02物料!$B1109)&lt;$M$2,N(对接源_02物料!$B1109)&gt;$M$3),0,1))</f>
        <v>0</v>
      </c>
      <c r="N2309" s="1" t="n">
        <f aca="false">IF(OR($N$1="",对接源_02物料!$C1109="",对接源_02物料!$C1109&lt;&gt;$N$1,对接源_02物料!$B1109=""),0,IF(OR(N(对接源_02物料!$B1109)&lt;$N$2,N(对接源_02物料!$B1109)&gt;$N$3),0,1))</f>
        <v>0</v>
      </c>
      <c r="P2309" s="1" t="n">
        <f aca="false">IF(AND($K2309=1,AND(对接源_02物料!$X1109="公司筐",N(对接源_02物料!$T1109)&lt;&gt;0)),1,0)</f>
        <v>0</v>
      </c>
      <c r="Q2309" s="1" t="n">
        <f aca="false">N(Q2308)+$P2309</f>
        <v>13</v>
      </c>
      <c r="R2309" s="1" t="n">
        <f aca="false">IF(AND($K2309=1,AND(对接源_02物料!$X1109="公司筐",N(对接源_02物料!$U1109)&lt;&gt;0)),1,0)</f>
        <v>0</v>
      </c>
      <c r="S2309" s="1" t="n">
        <f aca="false">N(S2308)+$R2309</f>
        <v>5</v>
      </c>
      <c r="T2309" s="1" t="n">
        <f aca="false">IF(AND($K2309=1,AND(对接源_02物料!$X1109="公司筐",N(对接源_02物料!$V1109)&lt;&gt;0)),1,0)</f>
        <v>0</v>
      </c>
      <c r="U2309" s="1" t="n">
        <f aca="false">N(U2308)+$T2309</f>
        <v>28</v>
      </c>
      <c r="V2309" s="1" t="n">
        <f aca="false">IF(AND($L2309=1,AND(对接源_02物料!$X1109="自备筐",N(对接源_02物料!$V1109)&lt;&gt;0)),1,0)</f>
        <v>0</v>
      </c>
      <c r="W2309" s="1" t="n">
        <f aca="false">N(W2308)+$V2309</f>
        <v>7</v>
      </c>
      <c r="X2309" s="1" t="n">
        <f aca="false">IF(AND($L2309=1,AND(对接源_02物料!$X1109="自备筐",N(对接源_02物料!$T1109)&lt;&gt;0)),1,0)</f>
        <v>0</v>
      </c>
      <c r="Y2309" s="1" t="n">
        <f aca="false">N(Y2308)+$X2309</f>
        <v>0</v>
      </c>
      <c r="Z2309" s="1" t="n">
        <f aca="false">IF(AND($M2309=1,对接源_02物料!$D1109="原料入库"),1,0)</f>
        <v>0</v>
      </c>
      <c r="AA2309" s="1" t="n">
        <f aca="false">N(AA2308)+$Z2309</f>
        <v>30</v>
      </c>
      <c r="AB2309" s="1" t="n">
        <f aca="false">IF(AND($M2309=1,LEFT(对接源_02物料!$D1109,4)="原料出库"),1,0)</f>
        <v>0</v>
      </c>
      <c r="AC2309" s="1" t="n">
        <f aca="false">N(AC2308)+$AB2309</f>
        <v>19</v>
      </c>
      <c r="AD2309" s="1" t="n">
        <f aca="false">IF(AND($M2309=1,LEFT(对接源_02物料!$D1109,4)="成品出库"),1,0)</f>
        <v>0</v>
      </c>
      <c r="AE2309" s="1" t="n">
        <f aca="false">N(AE2308)+$AD2309</f>
        <v>38</v>
      </c>
      <c r="AF2309" s="1" t="n">
        <f aca="false">IF(AND($N2309=1,AND(LEFT(对接源_02物料!$D1109,4)="包装物料",N(对接源_02物料!$K1109)&lt;&gt;0)),1,0)</f>
        <v>0</v>
      </c>
      <c r="AG2309" s="1" t="n">
        <f aca="false">N(AG2308)+$AF2309</f>
        <v>6</v>
      </c>
      <c r="AH2309" s="1" t="n">
        <f aca="false">IF(AND($N2309=1,AND(LEFT(对接源_02物料!$D1109,3)="周转筐",N(对接源_02物料!$K1109)&lt;&gt;0)),1,0)</f>
        <v>0</v>
      </c>
      <c r="AI2309" s="1" t="n">
        <f aca="false">N(AI2308)+$AH2309</f>
        <v>0</v>
      </c>
      <c r="AJ2309" s="1" t="n">
        <v>0</v>
      </c>
      <c r="AK2309" s="1" t="n">
        <f aca="false">N(AK2308)+$AJ2309</f>
        <v>3672</v>
      </c>
    </row>
    <row r="2310" customFormat="false" ht="13.5" hidden="false" customHeight="false" outlineLevel="0" collapsed="false">
      <c r="A2310" s="1" t="str">
        <f aca="false">IF(对接源_02物料!$C1110="","",对接源_02物料!$C1110)</f>
        <v/>
      </c>
      <c r="B2310" s="1" t="n">
        <f aca="false">IF(A2310="",0,IF(MATCH(A2310,$A$4:$A$2403,0)=ROW()-3,1,0))</f>
        <v>0</v>
      </c>
      <c r="C2310" s="1" t="n">
        <f aca="false">N(C2309)+B2310</f>
        <v>17</v>
      </c>
      <c r="K2310" s="1" t="n">
        <f aca="false">IF(OR($K$1="",对接源_02物料!$C1110="",对接源_02物料!$C1110&lt;&gt;$K$1,对接源_02物料!$B1110=""),0,IF(OR(N(对接源_02物料!$B1110)&lt;$K$2,N(对接源_02物料!$B1110)&gt;$K$3),0,1))</f>
        <v>0</v>
      </c>
      <c r="L2310" s="1" t="n">
        <f aca="false">IF(OR($L$1="",对接源_02物料!$C1110="",对接源_02物料!$C1110&lt;&gt;$L$1,对接源_02物料!$B1110=""),0,IF(OR(N(对接源_02物料!$B1110)&lt;$L$2,N(对接源_02物料!$B1110)&gt;$L$3),0,1))</f>
        <v>0</v>
      </c>
      <c r="M2310" s="1" t="n">
        <f aca="false">IF(OR($M$1="",对接源_02物料!$C1110="",对接源_02物料!$C1110&lt;&gt;$M$1,对接源_02物料!$B1110=""),0,IF(OR(N(对接源_02物料!$B1110)&lt;$M$2,N(对接源_02物料!$B1110)&gt;$M$3),0,1))</f>
        <v>0</v>
      </c>
      <c r="N2310" s="1" t="n">
        <f aca="false">IF(OR($N$1="",对接源_02物料!$C1110="",对接源_02物料!$C1110&lt;&gt;$N$1,对接源_02物料!$B1110=""),0,IF(OR(N(对接源_02物料!$B1110)&lt;$N$2,N(对接源_02物料!$B1110)&gt;$N$3),0,1))</f>
        <v>0</v>
      </c>
      <c r="P2310" s="1" t="n">
        <f aca="false">IF(AND($K2310=1,AND(对接源_02物料!$X1110="公司筐",N(对接源_02物料!$T1110)&lt;&gt;0)),1,0)</f>
        <v>0</v>
      </c>
      <c r="Q2310" s="1" t="n">
        <f aca="false">N(Q2309)+$P2310</f>
        <v>13</v>
      </c>
      <c r="R2310" s="1" t="n">
        <f aca="false">IF(AND($K2310=1,AND(对接源_02物料!$X1110="公司筐",N(对接源_02物料!$U1110)&lt;&gt;0)),1,0)</f>
        <v>0</v>
      </c>
      <c r="S2310" s="1" t="n">
        <f aca="false">N(S2309)+$R2310</f>
        <v>5</v>
      </c>
      <c r="T2310" s="1" t="n">
        <f aca="false">IF(AND($K2310=1,AND(对接源_02物料!$X1110="公司筐",N(对接源_02物料!$V1110)&lt;&gt;0)),1,0)</f>
        <v>0</v>
      </c>
      <c r="U2310" s="1" t="n">
        <f aca="false">N(U2309)+$T2310</f>
        <v>28</v>
      </c>
      <c r="V2310" s="1" t="n">
        <f aca="false">IF(AND($L2310=1,AND(对接源_02物料!$X1110="自备筐",N(对接源_02物料!$V1110)&lt;&gt;0)),1,0)</f>
        <v>0</v>
      </c>
      <c r="W2310" s="1" t="n">
        <f aca="false">N(W2309)+$V2310</f>
        <v>7</v>
      </c>
      <c r="X2310" s="1" t="n">
        <f aca="false">IF(AND($L2310=1,AND(对接源_02物料!$X1110="自备筐",N(对接源_02物料!$T1110)&lt;&gt;0)),1,0)</f>
        <v>0</v>
      </c>
      <c r="Y2310" s="1" t="n">
        <f aca="false">N(Y2309)+$X2310</f>
        <v>0</v>
      </c>
      <c r="Z2310" s="1" t="n">
        <f aca="false">IF(AND($M2310=1,对接源_02物料!$D1110="原料入库"),1,0)</f>
        <v>0</v>
      </c>
      <c r="AA2310" s="1" t="n">
        <f aca="false">N(AA2309)+$Z2310</f>
        <v>30</v>
      </c>
      <c r="AB2310" s="1" t="n">
        <f aca="false">IF(AND($M2310=1,LEFT(对接源_02物料!$D1110,4)="原料出库"),1,0)</f>
        <v>0</v>
      </c>
      <c r="AC2310" s="1" t="n">
        <f aca="false">N(AC2309)+$AB2310</f>
        <v>19</v>
      </c>
      <c r="AD2310" s="1" t="n">
        <f aca="false">IF(AND($M2310=1,LEFT(对接源_02物料!$D1110,4)="成品出库"),1,0)</f>
        <v>0</v>
      </c>
      <c r="AE2310" s="1" t="n">
        <f aca="false">N(AE2309)+$AD2310</f>
        <v>38</v>
      </c>
      <c r="AF2310" s="1" t="n">
        <f aca="false">IF(AND($N2310=1,AND(LEFT(对接源_02物料!$D1110,4)="包装物料",N(对接源_02物料!$K1110)&lt;&gt;0)),1,0)</f>
        <v>0</v>
      </c>
      <c r="AG2310" s="1" t="n">
        <f aca="false">N(AG2309)+$AF2310</f>
        <v>6</v>
      </c>
      <c r="AH2310" s="1" t="n">
        <f aca="false">IF(AND($N2310=1,AND(LEFT(对接源_02物料!$D1110,3)="周转筐",N(对接源_02物料!$K1110)&lt;&gt;0)),1,0)</f>
        <v>0</v>
      </c>
      <c r="AI2310" s="1" t="n">
        <f aca="false">N(AI2309)+$AH2310</f>
        <v>0</v>
      </c>
      <c r="AJ2310" s="1" t="n">
        <v>0</v>
      </c>
      <c r="AK2310" s="1" t="n">
        <f aca="false">N(AK2309)+$AJ2310</f>
        <v>3672</v>
      </c>
    </row>
    <row r="2311" customFormat="false" ht="13.5" hidden="false" customHeight="false" outlineLevel="0" collapsed="false">
      <c r="A2311" s="1" t="str">
        <f aca="false">IF(对接源_02物料!$C1111="","",对接源_02物料!$C1111)</f>
        <v/>
      </c>
      <c r="B2311" s="1" t="n">
        <f aca="false">IF(A2311="",0,IF(MATCH(A2311,$A$4:$A$2403,0)=ROW()-3,1,0))</f>
        <v>0</v>
      </c>
      <c r="C2311" s="1" t="n">
        <f aca="false">N(C2310)+B2311</f>
        <v>17</v>
      </c>
      <c r="K2311" s="1" t="n">
        <f aca="false">IF(OR($K$1="",对接源_02物料!$C1111="",对接源_02物料!$C1111&lt;&gt;$K$1,对接源_02物料!$B1111=""),0,IF(OR(N(对接源_02物料!$B1111)&lt;$K$2,N(对接源_02物料!$B1111)&gt;$K$3),0,1))</f>
        <v>0</v>
      </c>
      <c r="L2311" s="1" t="n">
        <f aca="false">IF(OR($L$1="",对接源_02物料!$C1111="",对接源_02物料!$C1111&lt;&gt;$L$1,对接源_02物料!$B1111=""),0,IF(OR(N(对接源_02物料!$B1111)&lt;$L$2,N(对接源_02物料!$B1111)&gt;$L$3),0,1))</f>
        <v>0</v>
      </c>
      <c r="M2311" s="1" t="n">
        <f aca="false">IF(OR($M$1="",对接源_02物料!$C1111="",对接源_02物料!$C1111&lt;&gt;$M$1,对接源_02物料!$B1111=""),0,IF(OR(N(对接源_02物料!$B1111)&lt;$M$2,N(对接源_02物料!$B1111)&gt;$M$3),0,1))</f>
        <v>0</v>
      </c>
      <c r="N2311" s="1" t="n">
        <f aca="false">IF(OR($N$1="",对接源_02物料!$C1111="",对接源_02物料!$C1111&lt;&gt;$N$1,对接源_02物料!$B1111=""),0,IF(OR(N(对接源_02物料!$B1111)&lt;$N$2,N(对接源_02物料!$B1111)&gt;$N$3),0,1))</f>
        <v>0</v>
      </c>
      <c r="P2311" s="1" t="n">
        <f aca="false">IF(AND($K2311=1,AND(对接源_02物料!$X1111="公司筐",N(对接源_02物料!$T1111)&lt;&gt;0)),1,0)</f>
        <v>0</v>
      </c>
      <c r="Q2311" s="1" t="n">
        <f aca="false">N(Q2310)+$P2311</f>
        <v>13</v>
      </c>
      <c r="R2311" s="1" t="n">
        <f aca="false">IF(AND($K2311=1,AND(对接源_02物料!$X1111="公司筐",N(对接源_02物料!$U1111)&lt;&gt;0)),1,0)</f>
        <v>0</v>
      </c>
      <c r="S2311" s="1" t="n">
        <f aca="false">N(S2310)+$R2311</f>
        <v>5</v>
      </c>
      <c r="T2311" s="1" t="n">
        <f aca="false">IF(AND($K2311=1,AND(对接源_02物料!$X1111="公司筐",N(对接源_02物料!$V1111)&lt;&gt;0)),1,0)</f>
        <v>0</v>
      </c>
      <c r="U2311" s="1" t="n">
        <f aca="false">N(U2310)+$T2311</f>
        <v>28</v>
      </c>
      <c r="V2311" s="1" t="n">
        <f aca="false">IF(AND($L2311=1,AND(对接源_02物料!$X1111="自备筐",N(对接源_02物料!$V1111)&lt;&gt;0)),1,0)</f>
        <v>0</v>
      </c>
      <c r="W2311" s="1" t="n">
        <f aca="false">N(W2310)+$V2311</f>
        <v>7</v>
      </c>
      <c r="X2311" s="1" t="n">
        <f aca="false">IF(AND($L2311=1,AND(对接源_02物料!$X1111="自备筐",N(对接源_02物料!$T1111)&lt;&gt;0)),1,0)</f>
        <v>0</v>
      </c>
      <c r="Y2311" s="1" t="n">
        <f aca="false">N(Y2310)+$X2311</f>
        <v>0</v>
      </c>
      <c r="Z2311" s="1" t="n">
        <f aca="false">IF(AND($M2311=1,对接源_02物料!$D1111="原料入库"),1,0)</f>
        <v>0</v>
      </c>
      <c r="AA2311" s="1" t="n">
        <f aca="false">N(AA2310)+$Z2311</f>
        <v>30</v>
      </c>
      <c r="AB2311" s="1" t="n">
        <f aca="false">IF(AND($M2311=1,LEFT(对接源_02物料!$D1111,4)="原料出库"),1,0)</f>
        <v>0</v>
      </c>
      <c r="AC2311" s="1" t="n">
        <f aca="false">N(AC2310)+$AB2311</f>
        <v>19</v>
      </c>
      <c r="AD2311" s="1" t="n">
        <f aca="false">IF(AND($M2311=1,LEFT(对接源_02物料!$D1111,4)="成品出库"),1,0)</f>
        <v>0</v>
      </c>
      <c r="AE2311" s="1" t="n">
        <f aca="false">N(AE2310)+$AD2311</f>
        <v>38</v>
      </c>
      <c r="AF2311" s="1" t="n">
        <f aca="false">IF(AND($N2311=1,AND(LEFT(对接源_02物料!$D1111,4)="包装物料",N(对接源_02物料!$K1111)&lt;&gt;0)),1,0)</f>
        <v>0</v>
      </c>
      <c r="AG2311" s="1" t="n">
        <f aca="false">N(AG2310)+$AF2311</f>
        <v>6</v>
      </c>
      <c r="AH2311" s="1" t="n">
        <f aca="false">IF(AND($N2311=1,AND(LEFT(对接源_02物料!$D1111,3)="周转筐",N(对接源_02物料!$K1111)&lt;&gt;0)),1,0)</f>
        <v>0</v>
      </c>
      <c r="AI2311" s="1" t="n">
        <f aca="false">N(AI2310)+$AH2311</f>
        <v>0</v>
      </c>
      <c r="AJ2311" s="1" t="n">
        <v>0</v>
      </c>
      <c r="AK2311" s="1" t="n">
        <f aca="false">N(AK2310)+$AJ2311</f>
        <v>3672</v>
      </c>
    </row>
    <row r="2312" customFormat="false" ht="13.5" hidden="false" customHeight="false" outlineLevel="0" collapsed="false">
      <c r="A2312" s="1" t="str">
        <f aca="false">IF(对接源_02物料!$C1112="","",对接源_02物料!$C1112)</f>
        <v/>
      </c>
      <c r="B2312" s="1" t="n">
        <f aca="false">IF(A2312="",0,IF(MATCH(A2312,$A$4:$A$2403,0)=ROW()-3,1,0))</f>
        <v>0</v>
      </c>
      <c r="C2312" s="1" t="n">
        <f aca="false">N(C2311)+B2312</f>
        <v>17</v>
      </c>
      <c r="K2312" s="1" t="n">
        <f aca="false">IF(OR($K$1="",对接源_02物料!$C1112="",对接源_02物料!$C1112&lt;&gt;$K$1,对接源_02物料!$B1112=""),0,IF(OR(N(对接源_02物料!$B1112)&lt;$K$2,N(对接源_02物料!$B1112)&gt;$K$3),0,1))</f>
        <v>0</v>
      </c>
      <c r="L2312" s="1" t="n">
        <f aca="false">IF(OR($L$1="",对接源_02物料!$C1112="",对接源_02物料!$C1112&lt;&gt;$L$1,对接源_02物料!$B1112=""),0,IF(OR(N(对接源_02物料!$B1112)&lt;$L$2,N(对接源_02物料!$B1112)&gt;$L$3),0,1))</f>
        <v>0</v>
      </c>
      <c r="M2312" s="1" t="n">
        <f aca="false">IF(OR($M$1="",对接源_02物料!$C1112="",对接源_02物料!$C1112&lt;&gt;$M$1,对接源_02物料!$B1112=""),0,IF(OR(N(对接源_02物料!$B1112)&lt;$M$2,N(对接源_02物料!$B1112)&gt;$M$3),0,1))</f>
        <v>0</v>
      </c>
      <c r="N2312" s="1" t="n">
        <f aca="false">IF(OR($N$1="",对接源_02物料!$C1112="",对接源_02物料!$C1112&lt;&gt;$N$1,对接源_02物料!$B1112=""),0,IF(OR(N(对接源_02物料!$B1112)&lt;$N$2,N(对接源_02物料!$B1112)&gt;$N$3),0,1))</f>
        <v>0</v>
      </c>
      <c r="P2312" s="1" t="n">
        <f aca="false">IF(AND($K2312=1,AND(对接源_02物料!$X1112="公司筐",N(对接源_02物料!$T1112)&lt;&gt;0)),1,0)</f>
        <v>0</v>
      </c>
      <c r="Q2312" s="1" t="n">
        <f aca="false">N(Q2311)+$P2312</f>
        <v>13</v>
      </c>
      <c r="R2312" s="1" t="n">
        <f aca="false">IF(AND($K2312=1,AND(对接源_02物料!$X1112="公司筐",N(对接源_02物料!$U1112)&lt;&gt;0)),1,0)</f>
        <v>0</v>
      </c>
      <c r="S2312" s="1" t="n">
        <f aca="false">N(S2311)+$R2312</f>
        <v>5</v>
      </c>
      <c r="T2312" s="1" t="n">
        <f aca="false">IF(AND($K2312=1,AND(对接源_02物料!$X1112="公司筐",N(对接源_02物料!$V1112)&lt;&gt;0)),1,0)</f>
        <v>0</v>
      </c>
      <c r="U2312" s="1" t="n">
        <f aca="false">N(U2311)+$T2312</f>
        <v>28</v>
      </c>
      <c r="V2312" s="1" t="n">
        <f aca="false">IF(AND($L2312=1,AND(对接源_02物料!$X1112="自备筐",N(对接源_02物料!$V1112)&lt;&gt;0)),1,0)</f>
        <v>0</v>
      </c>
      <c r="W2312" s="1" t="n">
        <f aca="false">N(W2311)+$V2312</f>
        <v>7</v>
      </c>
      <c r="X2312" s="1" t="n">
        <f aca="false">IF(AND($L2312=1,AND(对接源_02物料!$X1112="自备筐",N(对接源_02物料!$T1112)&lt;&gt;0)),1,0)</f>
        <v>0</v>
      </c>
      <c r="Y2312" s="1" t="n">
        <f aca="false">N(Y2311)+$X2312</f>
        <v>0</v>
      </c>
      <c r="Z2312" s="1" t="n">
        <f aca="false">IF(AND($M2312=1,对接源_02物料!$D1112="原料入库"),1,0)</f>
        <v>0</v>
      </c>
      <c r="AA2312" s="1" t="n">
        <f aca="false">N(AA2311)+$Z2312</f>
        <v>30</v>
      </c>
      <c r="AB2312" s="1" t="n">
        <f aca="false">IF(AND($M2312=1,LEFT(对接源_02物料!$D1112,4)="原料出库"),1,0)</f>
        <v>0</v>
      </c>
      <c r="AC2312" s="1" t="n">
        <f aca="false">N(AC2311)+$AB2312</f>
        <v>19</v>
      </c>
      <c r="AD2312" s="1" t="n">
        <f aca="false">IF(AND($M2312=1,LEFT(对接源_02物料!$D1112,4)="成品出库"),1,0)</f>
        <v>0</v>
      </c>
      <c r="AE2312" s="1" t="n">
        <f aca="false">N(AE2311)+$AD2312</f>
        <v>38</v>
      </c>
      <c r="AF2312" s="1" t="n">
        <f aca="false">IF(AND($N2312=1,AND(LEFT(对接源_02物料!$D1112,4)="包装物料",N(对接源_02物料!$K1112)&lt;&gt;0)),1,0)</f>
        <v>0</v>
      </c>
      <c r="AG2312" s="1" t="n">
        <f aca="false">N(AG2311)+$AF2312</f>
        <v>6</v>
      </c>
      <c r="AH2312" s="1" t="n">
        <f aca="false">IF(AND($N2312=1,AND(LEFT(对接源_02物料!$D1112,3)="周转筐",N(对接源_02物料!$K1112)&lt;&gt;0)),1,0)</f>
        <v>0</v>
      </c>
      <c r="AI2312" s="1" t="n">
        <f aca="false">N(AI2311)+$AH2312</f>
        <v>0</v>
      </c>
      <c r="AJ2312" s="1" t="n">
        <v>0</v>
      </c>
      <c r="AK2312" s="1" t="n">
        <f aca="false">N(AK2311)+$AJ2312</f>
        <v>3672</v>
      </c>
    </row>
    <row r="2313" customFormat="false" ht="13.5" hidden="false" customHeight="false" outlineLevel="0" collapsed="false">
      <c r="A2313" s="1" t="str">
        <f aca="false">IF(对接源_02物料!$C1113="","",对接源_02物料!$C1113)</f>
        <v/>
      </c>
      <c r="B2313" s="1" t="n">
        <f aca="false">IF(A2313="",0,IF(MATCH(A2313,$A$4:$A$2403,0)=ROW()-3,1,0))</f>
        <v>0</v>
      </c>
      <c r="C2313" s="1" t="n">
        <f aca="false">N(C2312)+B2313</f>
        <v>17</v>
      </c>
      <c r="K2313" s="1" t="n">
        <f aca="false">IF(OR($K$1="",对接源_02物料!$C1113="",对接源_02物料!$C1113&lt;&gt;$K$1,对接源_02物料!$B1113=""),0,IF(OR(N(对接源_02物料!$B1113)&lt;$K$2,N(对接源_02物料!$B1113)&gt;$K$3),0,1))</f>
        <v>0</v>
      </c>
      <c r="L2313" s="1" t="n">
        <f aca="false">IF(OR($L$1="",对接源_02物料!$C1113="",对接源_02物料!$C1113&lt;&gt;$L$1,对接源_02物料!$B1113=""),0,IF(OR(N(对接源_02物料!$B1113)&lt;$L$2,N(对接源_02物料!$B1113)&gt;$L$3),0,1))</f>
        <v>0</v>
      </c>
      <c r="M2313" s="1" t="n">
        <f aca="false">IF(OR($M$1="",对接源_02物料!$C1113="",对接源_02物料!$C1113&lt;&gt;$M$1,对接源_02物料!$B1113=""),0,IF(OR(N(对接源_02物料!$B1113)&lt;$M$2,N(对接源_02物料!$B1113)&gt;$M$3),0,1))</f>
        <v>0</v>
      </c>
      <c r="N2313" s="1" t="n">
        <f aca="false">IF(OR($N$1="",对接源_02物料!$C1113="",对接源_02物料!$C1113&lt;&gt;$N$1,对接源_02物料!$B1113=""),0,IF(OR(N(对接源_02物料!$B1113)&lt;$N$2,N(对接源_02物料!$B1113)&gt;$N$3),0,1))</f>
        <v>0</v>
      </c>
      <c r="P2313" s="1" t="n">
        <f aca="false">IF(AND($K2313=1,AND(对接源_02物料!$X1113="公司筐",N(对接源_02物料!$T1113)&lt;&gt;0)),1,0)</f>
        <v>0</v>
      </c>
      <c r="Q2313" s="1" t="n">
        <f aca="false">N(Q2312)+$P2313</f>
        <v>13</v>
      </c>
      <c r="R2313" s="1" t="n">
        <f aca="false">IF(AND($K2313=1,AND(对接源_02物料!$X1113="公司筐",N(对接源_02物料!$U1113)&lt;&gt;0)),1,0)</f>
        <v>0</v>
      </c>
      <c r="S2313" s="1" t="n">
        <f aca="false">N(S2312)+$R2313</f>
        <v>5</v>
      </c>
      <c r="T2313" s="1" t="n">
        <f aca="false">IF(AND($K2313=1,AND(对接源_02物料!$X1113="公司筐",N(对接源_02物料!$V1113)&lt;&gt;0)),1,0)</f>
        <v>0</v>
      </c>
      <c r="U2313" s="1" t="n">
        <f aca="false">N(U2312)+$T2313</f>
        <v>28</v>
      </c>
      <c r="V2313" s="1" t="n">
        <f aca="false">IF(AND($L2313=1,AND(对接源_02物料!$X1113="自备筐",N(对接源_02物料!$V1113)&lt;&gt;0)),1,0)</f>
        <v>0</v>
      </c>
      <c r="W2313" s="1" t="n">
        <f aca="false">N(W2312)+$V2313</f>
        <v>7</v>
      </c>
      <c r="X2313" s="1" t="n">
        <f aca="false">IF(AND($L2313=1,AND(对接源_02物料!$X1113="自备筐",N(对接源_02物料!$T1113)&lt;&gt;0)),1,0)</f>
        <v>0</v>
      </c>
      <c r="Y2313" s="1" t="n">
        <f aca="false">N(Y2312)+$X2313</f>
        <v>0</v>
      </c>
      <c r="Z2313" s="1" t="n">
        <f aca="false">IF(AND($M2313=1,对接源_02物料!$D1113="原料入库"),1,0)</f>
        <v>0</v>
      </c>
      <c r="AA2313" s="1" t="n">
        <f aca="false">N(AA2312)+$Z2313</f>
        <v>30</v>
      </c>
      <c r="AB2313" s="1" t="n">
        <f aca="false">IF(AND($M2313=1,LEFT(对接源_02物料!$D1113,4)="原料出库"),1,0)</f>
        <v>0</v>
      </c>
      <c r="AC2313" s="1" t="n">
        <f aca="false">N(AC2312)+$AB2313</f>
        <v>19</v>
      </c>
      <c r="AD2313" s="1" t="n">
        <f aca="false">IF(AND($M2313=1,LEFT(对接源_02物料!$D1113,4)="成品出库"),1,0)</f>
        <v>0</v>
      </c>
      <c r="AE2313" s="1" t="n">
        <f aca="false">N(AE2312)+$AD2313</f>
        <v>38</v>
      </c>
      <c r="AF2313" s="1" t="n">
        <f aca="false">IF(AND($N2313=1,AND(LEFT(对接源_02物料!$D1113,4)="包装物料",N(对接源_02物料!$K1113)&lt;&gt;0)),1,0)</f>
        <v>0</v>
      </c>
      <c r="AG2313" s="1" t="n">
        <f aca="false">N(AG2312)+$AF2313</f>
        <v>6</v>
      </c>
      <c r="AH2313" s="1" t="n">
        <f aca="false">IF(AND($N2313=1,AND(LEFT(对接源_02物料!$D1113,3)="周转筐",N(对接源_02物料!$K1113)&lt;&gt;0)),1,0)</f>
        <v>0</v>
      </c>
      <c r="AI2313" s="1" t="n">
        <f aca="false">N(AI2312)+$AH2313</f>
        <v>0</v>
      </c>
      <c r="AJ2313" s="1" t="n">
        <v>0</v>
      </c>
      <c r="AK2313" s="1" t="n">
        <f aca="false">N(AK2312)+$AJ2313</f>
        <v>3672</v>
      </c>
    </row>
    <row r="2314" customFormat="false" ht="13.5" hidden="false" customHeight="false" outlineLevel="0" collapsed="false">
      <c r="A2314" s="1" t="str">
        <f aca="false">IF(对接源_02物料!$C1114="","",对接源_02物料!$C1114)</f>
        <v/>
      </c>
      <c r="B2314" s="1" t="n">
        <f aca="false">IF(A2314="",0,IF(MATCH(A2314,$A$4:$A$2403,0)=ROW()-3,1,0))</f>
        <v>0</v>
      </c>
      <c r="C2314" s="1" t="n">
        <f aca="false">N(C2313)+B2314</f>
        <v>17</v>
      </c>
      <c r="K2314" s="1" t="n">
        <f aca="false">IF(OR($K$1="",对接源_02物料!$C1114="",对接源_02物料!$C1114&lt;&gt;$K$1,对接源_02物料!$B1114=""),0,IF(OR(N(对接源_02物料!$B1114)&lt;$K$2,N(对接源_02物料!$B1114)&gt;$K$3),0,1))</f>
        <v>0</v>
      </c>
      <c r="L2314" s="1" t="n">
        <f aca="false">IF(OR($L$1="",对接源_02物料!$C1114="",对接源_02物料!$C1114&lt;&gt;$L$1,对接源_02物料!$B1114=""),0,IF(OR(N(对接源_02物料!$B1114)&lt;$L$2,N(对接源_02物料!$B1114)&gt;$L$3),0,1))</f>
        <v>0</v>
      </c>
      <c r="M2314" s="1" t="n">
        <f aca="false">IF(OR($M$1="",对接源_02物料!$C1114="",对接源_02物料!$C1114&lt;&gt;$M$1,对接源_02物料!$B1114=""),0,IF(OR(N(对接源_02物料!$B1114)&lt;$M$2,N(对接源_02物料!$B1114)&gt;$M$3),0,1))</f>
        <v>0</v>
      </c>
      <c r="N2314" s="1" t="n">
        <f aca="false">IF(OR($N$1="",对接源_02物料!$C1114="",对接源_02物料!$C1114&lt;&gt;$N$1,对接源_02物料!$B1114=""),0,IF(OR(N(对接源_02物料!$B1114)&lt;$N$2,N(对接源_02物料!$B1114)&gt;$N$3),0,1))</f>
        <v>0</v>
      </c>
      <c r="P2314" s="1" t="n">
        <f aca="false">IF(AND($K2314=1,AND(对接源_02物料!$X1114="公司筐",N(对接源_02物料!$T1114)&lt;&gt;0)),1,0)</f>
        <v>0</v>
      </c>
      <c r="Q2314" s="1" t="n">
        <f aca="false">N(Q2313)+$P2314</f>
        <v>13</v>
      </c>
      <c r="R2314" s="1" t="n">
        <f aca="false">IF(AND($K2314=1,AND(对接源_02物料!$X1114="公司筐",N(对接源_02物料!$U1114)&lt;&gt;0)),1,0)</f>
        <v>0</v>
      </c>
      <c r="S2314" s="1" t="n">
        <f aca="false">N(S2313)+$R2314</f>
        <v>5</v>
      </c>
      <c r="T2314" s="1" t="n">
        <f aca="false">IF(AND($K2314=1,AND(对接源_02物料!$X1114="公司筐",N(对接源_02物料!$V1114)&lt;&gt;0)),1,0)</f>
        <v>0</v>
      </c>
      <c r="U2314" s="1" t="n">
        <f aca="false">N(U2313)+$T2314</f>
        <v>28</v>
      </c>
      <c r="V2314" s="1" t="n">
        <f aca="false">IF(AND($L2314=1,AND(对接源_02物料!$X1114="自备筐",N(对接源_02物料!$V1114)&lt;&gt;0)),1,0)</f>
        <v>0</v>
      </c>
      <c r="W2314" s="1" t="n">
        <f aca="false">N(W2313)+$V2314</f>
        <v>7</v>
      </c>
      <c r="X2314" s="1" t="n">
        <f aca="false">IF(AND($L2314=1,AND(对接源_02物料!$X1114="自备筐",N(对接源_02物料!$T1114)&lt;&gt;0)),1,0)</f>
        <v>0</v>
      </c>
      <c r="Y2314" s="1" t="n">
        <f aca="false">N(Y2313)+$X2314</f>
        <v>0</v>
      </c>
      <c r="Z2314" s="1" t="n">
        <f aca="false">IF(AND($M2314=1,对接源_02物料!$D1114="原料入库"),1,0)</f>
        <v>0</v>
      </c>
      <c r="AA2314" s="1" t="n">
        <f aca="false">N(AA2313)+$Z2314</f>
        <v>30</v>
      </c>
      <c r="AB2314" s="1" t="n">
        <f aca="false">IF(AND($M2314=1,LEFT(对接源_02物料!$D1114,4)="原料出库"),1,0)</f>
        <v>0</v>
      </c>
      <c r="AC2314" s="1" t="n">
        <f aca="false">N(AC2313)+$AB2314</f>
        <v>19</v>
      </c>
      <c r="AD2314" s="1" t="n">
        <f aca="false">IF(AND($M2314=1,LEFT(对接源_02物料!$D1114,4)="成品出库"),1,0)</f>
        <v>0</v>
      </c>
      <c r="AE2314" s="1" t="n">
        <f aca="false">N(AE2313)+$AD2314</f>
        <v>38</v>
      </c>
      <c r="AF2314" s="1" t="n">
        <f aca="false">IF(AND($N2314=1,AND(LEFT(对接源_02物料!$D1114,4)="包装物料",N(对接源_02物料!$K1114)&lt;&gt;0)),1,0)</f>
        <v>0</v>
      </c>
      <c r="AG2314" s="1" t="n">
        <f aca="false">N(AG2313)+$AF2314</f>
        <v>6</v>
      </c>
      <c r="AH2314" s="1" t="n">
        <f aca="false">IF(AND($N2314=1,AND(LEFT(对接源_02物料!$D1114,3)="周转筐",N(对接源_02物料!$K1114)&lt;&gt;0)),1,0)</f>
        <v>0</v>
      </c>
      <c r="AI2314" s="1" t="n">
        <f aca="false">N(AI2313)+$AH2314</f>
        <v>0</v>
      </c>
      <c r="AJ2314" s="1" t="n">
        <v>0</v>
      </c>
      <c r="AK2314" s="1" t="n">
        <f aca="false">N(AK2313)+$AJ2314</f>
        <v>3672</v>
      </c>
    </row>
    <row r="2315" customFormat="false" ht="13.5" hidden="false" customHeight="false" outlineLevel="0" collapsed="false">
      <c r="A2315" s="1" t="str">
        <f aca="false">IF(对接源_02物料!$C1115="","",对接源_02物料!$C1115)</f>
        <v/>
      </c>
      <c r="B2315" s="1" t="n">
        <f aca="false">IF(A2315="",0,IF(MATCH(A2315,$A$4:$A$2403,0)=ROW()-3,1,0))</f>
        <v>0</v>
      </c>
      <c r="C2315" s="1" t="n">
        <f aca="false">N(C2314)+B2315</f>
        <v>17</v>
      </c>
      <c r="K2315" s="1" t="n">
        <f aca="false">IF(OR($K$1="",对接源_02物料!$C1115="",对接源_02物料!$C1115&lt;&gt;$K$1,对接源_02物料!$B1115=""),0,IF(OR(N(对接源_02物料!$B1115)&lt;$K$2,N(对接源_02物料!$B1115)&gt;$K$3),0,1))</f>
        <v>0</v>
      </c>
      <c r="L2315" s="1" t="n">
        <f aca="false">IF(OR($L$1="",对接源_02物料!$C1115="",对接源_02物料!$C1115&lt;&gt;$L$1,对接源_02物料!$B1115=""),0,IF(OR(N(对接源_02物料!$B1115)&lt;$L$2,N(对接源_02物料!$B1115)&gt;$L$3),0,1))</f>
        <v>0</v>
      </c>
      <c r="M2315" s="1" t="n">
        <f aca="false">IF(OR($M$1="",对接源_02物料!$C1115="",对接源_02物料!$C1115&lt;&gt;$M$1,对接源_02物料!$B1115=""),0,IF(OR(N(对接源_02物料!$B1115)&lt;$M$2,N(对接源_02物料!$B1115)&gt;$M$3),0,1))</f>
        <v>0</v>
      </c>
      <c r="N2315" s="1" t="n">
        <f aca="false">IF(OR($N$1="",对接源_02物料!$C1115="",对接源_02物料!$C1115&lt;&gt;$N$1,对接源_02物料!$B1115=""),0,IF(OR(N(对接源_02物料!$B1115)&lt;$N$2,N(对接源_02物料!$B1115)&gt;$N$3),0,1))</f>
        <v>0</v>
      </c>
      <c r="P2315" s="1" t="n">
        <f aca="false">IF(AND($K2315=1,AND(对接源_02物料!$X1115="公司筐",N(对接源_02物料!$T1115)&lt;&gt;0)),1,0)</f>
        <v>0</v>
      </c>
      <c r="Q2315" s="1" t="n">
        <f aca="false">N(Q2314)+$P2315</f>
        <v>13</v>
      </c>
      <c r="R2315" s="1" t="n">
        <f aca="false">IF(AND($K2315=1,AND(对接源_02物料!$X1115="公司筐",N(对接源_02物料!$U1115)&lt;&gt;0)),1,0)</f>
        <v>0</v>
      </c>
      <c r="S2315" s="1" t="n">
        <f aca="false">N(S2314)+$R2315</f>
        <v>5</v>
      </c>
      <c r="T2315" s="1" t="n">
        <f aca="false">IF(AND($K2315=1,AND(对接源_02物料!$X1115="公司筐",N(对接源_02物料!$V1115)&lt;&gt;0)),1,0)</f>
        <v>0</v>
      </c>
      <c r="U2315" s="1" t="n">
        <f aca="false">N(U2314)+$T2315</f>
        <v>28</v>
      </c>
      <c r="V2315" s="1" t="n">
        <f aca="false">IF(AND($L2315=1,AND(对接源_02物料!$X1115="自备筐",N(对接源_02物料!$V1115)&lt;&gt;0)),1,0)</f>
        <v>0</v>
      </c>
      <c r="W2315" s="1" t="n">
        <f aca="false">N(W2314)+$V2315</f>
        <v>7</v>
      </c>
      <c r="X2315" s="1" t="n">
        <f aca="false">IF(AND($L2315=1,AND(对接源_02物料!$X1115="自备筐",N(对接源_02物料!$T1115)&lt;&gt;0)),1,0)</f>
        <v>0</v>
      </c>
      <c r="Y2315" s="1" t="n">
        <f aca="false">N(Y2314)+$X2315</f>
        <v>0</v>
      </c>
      <c r="Z2315" s="1" t="n">
        <f aca="false">IF(AND($M2315=1,对接源_02物料!$D1115="原料入库"),1,0)</f>
        <v>0</v>
      </c>
      <c r="AA2315" s="1" t="n">
        <f aca="false">N(AA2314)+$Z2315</f>
        <v>30</v>
      </c>
      <c r="AB2315" s="1" t="n">
        <f aca="false">IF(AND($M2315=1,LEFT(对接源_02物料!$D1115,4)="原料出库"),1,0)</f>
        <v>0</v>
      </c>
      <c r="AC2315" s="1" t="n">
        <f aca="false">N(AC2314)+$AB2315</f>
        <v>19</v>
      </c>
      <c r="AD2315" s="1" t="n">
        <f aca="false">IF(AND($M2315=1,LEFT(对接源_02物料!$D1115,4)="成品出库"),1,0)</f>
        <v>0</v>
      </c>
      <c r="AE2315" s="1" t="n">
        <f aca="false">N(AE2314)+$AD2315</f>
        <v>38</v>
      </c>
      <c r="AF2315" s="1" t="n">
        <f aca="false">IF(AND($N2315=1,AND(LEFT(对接源_02物料!$D1115,4)="包装物料",N(对接源_02物料!$K1115)&lt;&gt;0)),1,0)</f>
        <v>0</v>
      </c>
      <c r="AG2315" s="1" t="n">
        <f aca="false">N(AG2314)+$AF2315</f>
        <v>6</v>
      </c>
      <c r="AH2315" s="1" t="n">
        <f aca="false">IF(AND($N2315=1,AND(LEFT(对接源_02物料!$D1115,3)="周转筐",N(对接源_02物料!$K1115)&lt;&gt;0)),1,0)</f>
        <v>0</v>
      </c>
      <c r="AI2315" s="1" t="n">
        <f aca="false">N(AI2314)+$AH2315</f>
        <v>0</v>
      </c>
      <c r="AJ2315" s="1" t="n">
        <v>0</v>
      </c>
      <c r="AK2315" s="1" t="n">
        <f aca="false">N(AK2314)+$AJ2315</f>
        <v>3672</v>
      </c>
    </row>
    <row r="2316" customFormat="false" ht="13.5" hidden="false" customHeight="false" outlineLevel="0" collapsed="false">
      <c r="A2316" s="1" t="str">
        <f aca="false">IF(对接源_02物料!$C1116="","",对接源_02物料!$C1116)</f>
        <v/>
      </c>
      <c r="B2316" s="1" t="n">
        <f aca="false">IF(A2316="",0,IF(MATCH(A2316,$A$4:$A$2403,0)=ROW()-3,1,0))</f>
        <v>0</v>
      </c>
      <c r="C2316" s="1" t="n">
        <f aca="false">N(C2315)+B2316</f>
        <v>17</v>
      </c>
      <c r="K2316" s="1" t="n">
        <f aca="false">IF(OR($K$1="",对接源_02物料!$C1116="",对接源_02物料!$C1116&lt;&gt;$K$1,对接源_02物料!$B1116=""),0,IF(OR(N(对接源_02物料!$B1116)&lt;$K$2,N(对接源_02物料!$B1116)&gt;$K$3),0,1))</f>
        <v>0</v>
      </c>
      <c r="L2316" s="1" t="n">
        <f aca="false">IF(OR($L$1="",对接源_02物料!$C1116="",对接源_02物料!$C1116&lt;&gt;$L$1,对接源_02物料!$B1116=""),0,IF(OR(N(对接源_02物料!$B1116)&lt;$L$2,N(对接源_02物料!$B1116)&gt;$L$3),0,1))</f>
        <v>0</v>
      </c>
      <c r="M2316" s="1" t="n">
        <f aca="false">IF(OR($M$1="",对接源_02物料!$C1116="",对接源_02物料!$C1116&lt;&gt;$M$1,对接源_02物料!$B1116=""),0,IF(OR(N(对接源_02物料!$B1116)&lt;$M$2,N(对接源_02物料!$B1116)&gt;$M$3),0,1))</f>
        <v>0</v>
      </c>
      <c r="N2316" s="1" t="n">
        <f aca="false">IF(OR($N$1="",对接源_02物料!$C1116="",对接源_02物料!$C1116&lt;&gt;$N$1,对接源_02物料!$B1116=""),0,IF(OR(N(对接源_02物料!$B1116)&lt;$N$2,N(对接源_02物料!$B1116)&gt;$N$3),0,1))</f>
        <v>0</v>
      </c>
      <c r="P2316" s="1" t="n">
        <f aca="false">IF(AND($K2316=1,AND(对接源_02物料!$X1116="公司筐",N(对接源_02物料!$T1116)&lt;&gt;0)),1,0)</f>
        <v>0</v>
      </c>
      <c r="Q2316" s="1" t="n">
        <f aca="false">N(Q2315)+$P2316</f>
        <v>13</v>
      </c>
      <c r="R2316" s="1" t="n">
        <f aca="false">IF(AND($K2316=1,AND(对接源_02物料!$X1116="公司筐",N(对接源_02物料!$U1116)&lt;&gt;0)),1,0)</f>
        <v>0</v>
      </c>
      <c r="S2316" s="1" t="n">
        <f aca="false">N(S2315)+$R2316</f>
        <v>5</v>
      </c>
      <c r="T2316" s="1" t="n">
        <f aca="false">IF(AND($K2316=1,AND(对接源_02物料!$X1116="公司筐",N(对接源_02物料!$V1116)&lt;&gt;0)),1,0)</f>
        <v>0</v>
      </c>
      <c r="U2316" s="1" t="n">
        <f aca="false">N(U2315)+$T2316</f>
        <v>28</v>
      </c>
      <c r="V2316" s="1" t="n">
        <f aca="false">IF(AND($L2316=1,AND(对接源_02物料!$X1116="自备筐",N(对接源_02物料!$V1116)&lt;&gt;0)),1,0)</f>
        <v>0</v>
      </c>
      <c r="W2316" s="1" t="n">
        <f aca="false">N(W2315)+$V2316</f>
        <v>7</v>
      </c>
      <c r="X2316" s="1" t="n">
        <f aca="false">IF(AND($L2316=1,AND(对接源_02物料!$X1116="自备筐",N(对接源_02物料!$T1116)&lt;&gt;0)),1,0)</f>
        <v>0</v>
      </c>
      <c r="Y2316" s="1" t="n">
        <f aca="false">N(Y2315)+$X2316</f>
        <v>0</v>
      </c>
      <c r="Z2316" s="1" t="n">
        <f aca="false">IF(AND($M2316=1,对接源_02物料!$D1116="原料入库"),1,0)</f>
        <v>0</v>
      </c>
      <c r="AA2316" s="1" t="n">
        <f aca="false">N(AA2315)+$Z2316</f>
        <v>30</v>
      </c>
      <c r="AB2316" s="1" t="n">
        <f aca="false">IF(AND($M2316=1,LEFT(对接源_02物料!$D1116,4)="原料出库"),1,0)</f>
        <v>0</v>
      </c>
      <c r="AC2316" s="1" t="n">
        <f aca="false">N(AC2315)+$AB2316</f>
        <v>19</v>
      </c>
      <c r="AD2316" s="1" t="n">
        <f aca="false">IF(AND($M2316=1,LEFT(对接源_02物料!$D1116,4)="成品出库"),1,0)</f>
        <v>0</v>
      </c>
      <c r="AE2316" s="1" t="n">
        <f aca="false">N(AE2315)+$AD2316</f>
        <v>38</v>
      </c>
      <c r="AF2316" s="1" t="n">
        <f aca="false">IF(AND($N2316=1,AND(LEFT(对接源_02物料!$D1116,4)="包装物料",N(对接源_02物料!$K1116)&lt;&gt;0)),1,0)</f>
        <v>0</v>
      </c>
      <c r="AG2316" s="1" t="n">
        <f aca="false">N(AG2315)+$AF2316</f>
        <v>6</v>
      </c>
      <c r="AH2316" s="1" t="n">
        <f aca="false">IF(AND($N2316=1,AND(LEFT(对接源_02物料!$D1116,3)="周转筐",N(对接源_02物料!$K1116)&lt;&gt;0)),1,0)</f>
        <v>0</v>
      </c>
      <c r="AI2316" s="1" t="n">
        <f aca="false">N(AI2315)+$AH2316</f>
        <v>0</v>
      </c>
      <c r="AJ2316" s="1" t="n">
        <v>0</v>
      </c>
      <c r="AK2316" s="1" t="n">
        <f aca="false">N(AK2315)+$AJ2316</f>
        <v>3672</v>
      </c>
    </row>
    <row r="2317" customFormat="false" ht="13.5" hidden="false" customHeight="false" outlineLevel="0" collapsed="false">
      <c r="A2317" s="1" t="str">
        <f aca="false">IF(对接源_02物料!$C1117="","",对接源_02物料!$C1117)</f>
        <v/>
      </c>
      <c r="B2317" s="1" t="n">
        <f aca="false">IF(A2317="",0,IF(MATCH(A2317,$A$4:$A$2403,0)=ROW()-3,1,0))</f>
        <v>0</v>
      </c>
      <c r="C2317" s="1" t="n">
        <f aca="false">N(C2316)+B2317</f>
        <v>17</v>
      </c>
      <c r="K2317" s="1" t="n">
        <f aca="false">IF(OR($K$1="",对接源_02物料!$C1117="",对接源_02物料!$C1117&lt;&gt;$K$1,对接源_02物料!$B1117=""),0,IF(OR(N(对接源_02物料!$B1117)&lt;$K$2,N(对接源_02物料!$B1117)&gt;$K$3),0,1))</f>
        <v>0</v>
      </c>
      <c r="L2317" s="1" t="n">
        <f aca="false">IF(OR($L$1="",对接源_02物料!$C1117="",对接源_02物料!$C1117&lt;&gt;$L$1,对接源_02物料!$B1117=""),0,IF(OR(N(对接源_02物料!$B1117)&lt;$L$2,N(对接源_02物料!$B1117)&gt;$L$3),0,1))</f>
        <v>0</v>
      </c>
      <c r="M2317" s="1" t="n">
        <f aca="false">IF(OR($M$1="",对接源_02物料!$C1117="",对接源_02物料!$C1117&lt;&gt;$M$1,对接源_02物料!$B1117=""),0,IF(OR(N(对接源_02物料!$B1117)&lt;$M$2,N(对接源_02物料!$B1117)&gt;$M$3),0,1))</f>
        <v>0</v>
      </c>
      <c r="N2317" s="1" t="n">
        <f aca="false">IF(OR($N$1="",对接源_02物料!$C1117="",对接源_02物料!$C1117&lt;&gt;$N$1,对接源_02物料!$B1117=""),0,IF(OR(N(对接源_02物料!$B1117)&lt;$N$2,N(对接源_02物料!$B1117)&gt;$N$3),0,1))</f>
        <v>0</v>
      </c>
      <c r="P2317" s="1" t="n">
        <f aca="false">IF(AND($K2317=1,AND(对接源_02物料!$X1117="公司筐",N(对接源_02物料!$T1117)&lt;&gt;0)),1,0)</f>
        <v>0</v>
      </c>
      <c r="Q2317" s="1" t="n">
        <f aca="false">N(Q2316)+$P2317</f>
        <v>13</v>
      </c>
      <c r="R2317" s="1" t="n">
        <f aca="false">IF(AND($K2317=1,AND(对接源_02物料!$X1117="公司筐",N(对接源_02物料!$U1117)&lt;&gt;0)),1,0)</f>
        <v>0</v>
      </c>
      <c r="S2317" s="1" t="n">
        <f aca="false">N(S2316)+$R2317</f>
        <v>5</v>
      </c>
      <c r="T2317" s="1" t="n">
        <f aca="false">IF(AND($K2317=1,AND(对接源_02物料!$X1117="公司筐",N(对接源_02物料!$V1117)&lt;&gt;0)),1,0)</f>
        <v>0</v>
      </c>
      <c r="U2317" s="1" t="n">
        <f aca="false">N(U2316)+$T2317</f>
        <v>28</v>
      </c>
      <c r="V2317" s="1" t="n">
        <f aca="false">IF(AND($L2317=1,AND(对接源_02物料!$X1117="自备筐",N(对接源_02物料!$V1117)&lt;&gt;0)),1,0)</f>
        <v>0</v>
      </c>
      <c r="W2317" s="1" t="n">
        <f aca="false">N(W2316)+$V2317</f>
        <v>7</v>
      </c>
      <c r="X2317" s="1" t="n">
        <f aca="false">IF(AND($L2317=1,AND(对接源_02物料!$X1117="自备筐",N(对接源_02物料!$T1117)&lt;&gt;0)),1,0)</f>
        <v>0</v>
      </c>
      <c r="Y2317" s="1" t="n">
        <f aca="false">N(Y2316)+$X2317</f>
        <v>0</v>
      </c>
      <c r="Z2317" s="1" t="n">
        <f aca="false">IF(AND($M2317=1,对接源_02物料!$D1117="原料入库"),1,0)</f>
        <v>0</v>
      </c>
      <c r="AA2317" s="1" t="n">
        <f aca="false">N(AA2316)+$Z2317</f>
        <v>30</v>
      </c>
      <c r="AB2317" s="1" t="n">
        <f aca="false">IF(AND($M2317=1,LEFT(对接源_02物料!$D1117,4)="原料出库"),1,0)</f>
        <v>0</v>
      </c>
      <c r="AC2317" s="1" t="n">
        <f aca="false">N(AC2316)+$AB2317</f>
        <v>19</v>
      </c>
      <c r="AD2317" s="1" t="n">
        <f aca="false">IF(AND($M2317=1,LEFT(对接源_02物料!$D1117,4)="成品出库"),1,0)</f>
        <v>0</v>
      </c>
      <c r="AE2317" s="1" t="n">
        <f aca="false">N(AE2316)+$AD2317</f>
        <v>38</v>
      </c>
      <c r="AF2317" s="1" t="n">
        <f aca="false">IF(AND($N2317=1,AND(LEFT(对接源_02物料!$D1117,4)="包装物料",N(对接源_02物料!$K1117)&lt;&gt;0)),1,0)</f>
        <v>0</v>
      </c>
      <c r="AG2317" s="1" t="n">
        <f aca="false">N(AG2316)+$AF2317</f>
        <v>6</v>
      </c>
      <c r="AH2317" s="1" t="n">
        <f aca="false">IF(AND($N2317=1,AND(LEFT(对接源_02物料!$D1117,3)="周转筐",N(对接源_02物料!$K1117)&lt;&gt;0)),1,0)</f>
        <v>0</v>
      </c>
      <c r="AI2317" s="1" t="n">
        <f aca="false">N(AI2316)+$AH2317</f>
        <v>0</v>
      </c>
      <c r="AJ2317" s="1" t="n">
        <v>0</v>
      </c>
      <c r="AK2317" s="1" t="n">
        <f aca="false">N(AK2316)+$AJ2317</f>
        <v>3672</v>
      </c>
    </row>
    <row r="2318" customFormat="false" ht="13.5" hidden="false" customHeight="false" outlineLevel="0" collapsed="false">
      <c r="A2318" s="1" t="str">
        <f aca="false">IF(对接源_02物料!$C1118="","",对接源_02物料!$C1118)</f>
        <v/>
      </c>
      <c r="B2318" s="1" t="n">
        <f aca="false">IF(A2318="",0,IF(MATCH(A2318,$A$4:$A$2403,0)=ROW()-3,1,0))</f>
        <v>0</v>
      </c>
      <c r="C2318" s="1" t="n">
        <f aca="false">N(C2317)+B2318</f>
        <v>17</v>
      </c>
      <c r="K2318" s="1" t="n">
        <f aca="false">IF(OR($K$1="",对接源_02物料!$C1118="",对接源_02物料!$C1118&lt;&gt;$K$1,对接源_02物料!$B1118=""),0,IF(OR(N(对接源_02物料!$B1118)&lt;$K$2,N(对接源_02物料!$B1118)&gt;$K$3),0,1))</f>
        <v>0</v>
      </c>
      <c r="L2318" s="1" t="n">
        <f aca="false">IF(OR($L$1="",对接源_02物料!$C1118="",对接源_02物料!$C1118&lt;&gt;$L$1,对接源_02物料!$B1118=""),0,IF(OR(N(对接源_02物料!$B1118)&lt;$L$2,N(对接源_02物料!$B1118)&gt;$L$3),0,1))</f>
        <v>0</v>
      </c>
      <c r="M2318" s="1" t="n">
        <f aca="false">IF(OR($M$1="",对接源_02物料!$C1118="",对接源_02物料!$C1118&lt;&gt;$M$1,对接源_02物料!$B1118=""),0,IF(OR(N(对接源_02物料!$B1118)&lt;$M$2,N(对接源_02物料!$B1118)&gt;$M$3),0,1))</f>
        <v>0</v>
      </c>
      <c r="N2318" s="1" t="n">
        <f aca="false">IF(OR($N$1="",对接源_02物料!$C1118="",对接源_02物料!$C1118&lt;&gt;$N$1,对接源_02物料!$B1118=""),0,IF(OR(N(对接源_02物料!$B1118)&lt;$N$2,N(对接源_02物料!$B1118)&gt;$N$3),0,1))</f>
        <v>0</v>
      </c>
      <c r="P2318" s="1" t="n">
        <f aca="false">IF(AND($K2318=1,AND(对接源_02物料!$X1118="公司筐",N(对接源_02物料!$T1118)&lt;&gt;0)),1,0)</f>
        <v>0</v>
      </c>
      <c r="Q2318" s="1" t="n">
        <f aca="false">N(Q2317)+$P2318</f>
        <v>13</v>
      </c>
      <c r="R2318" s="1" t="n">
        <f aca="false">IF(AND($K2318=1,AND(对接源_02物料!$X1118="公司筐",N(对接源_02物料!$U1118)&lt;&gt;0)),1,0)</f>
        <v>0</v>
      </c>
      <c r="S2318" s="1" t="n">
        <f aca="false">N(S2317)+$R2318</f>
        <v>5</v>
      </c>
      <c r="T2318" s="1" t="n">
        <f aca="false">IF(AND($K2318=1,AND(对接源_02物料!$X1118="公司筐",N(对接源_02物料!$V1118)&lt;&gt;0)),1,0)</f>
        <v>0</v>
      </c>
      <c r="U2318" s="1" t="n">
        <f aca="false">N(U2317)+$T2318</f>
        <v>28</v>
      </c>
      <c r="V2318" s="1" t="n">
        <f aca="false">IF(AND($L2318=1,AND(对接源_02物料!$X1118="自备筐",N(对接源_02物料!$V1118)&lt;&gt;0)),1,0)</f>
        <v>0</v>
      </c>
      <c r="W2318" s="1" t="n">
        <f aca="false">N(W2317)+$V2318</f>
        <v>7</v>
      </c>
      <c r="X2318" s="1" t="n">
        <f aca="false">IF(AND($L2318=1,AND(对接源_02物料!$X1118="自备筐",N(对接源_02物料!$T1118)&lt;&gt;0)),1,0)</f>
        <v>0</v>
      </c>
      <c r="Y2318" s="1" t="n">
        <f aca="false">N(Y2317)+$X2318</f>
        <v>0</v>
      </c>
      <c r="Z2318" s="1" t="n">
        <f aca="false">IF(AND($M2318=1,对接源_02物料!$D1118="原料入库"),1,0)</f>
        <v>0</v>
      </c>
      <c r="AA2318" s="1" t="n">
        <f aca="false">N(AA2317)+$Z2318</f>
        <v>30</v>
      </c>
      <c r="AB2318" s="1" t="n">
        <f aca="false">IF(AND($M2318=1,LEFT(对接源_02物料!$D1118,4)="原料出库"),1,0)</f>
        <v>0</v>
      </c>
      <c r="AC2318" s="1" t="n">
        <f aca="false">N(AC2317)+$AB2318</f>
        <v>19</v>
      </c>
      <c r="AD2318" s="1" t="n">
        <f aca="false">IF(AND($M2318=1,LEFT(对接源_02物料!$D1118,4)="成品出库"),1,0)</f>
        <v>0</v>
      </c>
      <c r="AE2318" s="1" t="n">
        <f aca="false">N(AE2317)+$AD2318</f>
        <v>38</v>
      </c>
      <c r="AF2318" s="1" t="n">
        <f aca="false">IF(AND($N2318=1,AND(LEFT(对接源_02物料!$D1118,4)="包装物料",N(对接源_02物料!$K1118)&lt;&gt;0)),1,0)</f>
        <v>0</v>
      </c>
      <c r="AG2318" s="1" t="n">
        <f aca="false">N(AG2317)+$AF2318</f>
        <v>6</v>
      </c>
      <c r="AH2318" s="1" t="n">
        <f aca="false">IF(AND($N2318=1,AND(LEFT(对接源_02物料!$D1118,3)="周转筐",N(对接源_02物料!$K1118)&lt;&gt;0)),1,0)</f>
        <v>0</v>
      </c>
      <c r="AI2318" s="1" t="n">
        <f aca="false">N(AI2317)+$AH2318</f>
        <v>0</v>
      </c>
      <c r="AJ2318" s="1" t="n">
        <v>0</v>
      </c>
      <c r="AK2318" s="1" t="n">
        <f aca="false">N(AK2317)+$AJ2318</f>
        <v>3672</v>
      </c>
    </row>
    <row r="2319" customFormat="false" ht="13.5" hidden="false" customHeight="false" outlineLevel="0" collapsed="false">
      <c r="A2319" s="1" t="str">
        <f aca="false">IF(对接源_02物料!$C1119="","",对接源_02物料!$C1119)</f>
        <v/>
      </c>
      <c r="B2319" s="1" t="n">
        <f aca="false">IF(A2319="",0,IF(MATCH(A2319,$A$4:$A$2403,0)=ROW()-3,1,0))</f>
        <v>0</v>
      </c>
      <c r="C2319" s="1" t="n">
        <f aca="false">N(C2318)+B2319</f>
        <v>17</v>
      </c>
      <c r="K2319" s="1" t="n">
        <f aca="false">IF(OR($K$1="",对接源_02物料!$C1119="",对接源_02物料!$C1119&lt;&gt;$K$1,对接源_02物料!$B1119=""),0,IF(OR(N(对接源_02物料!$B1119)&lt;$K$2,N(对接源_02物料!$B1119)&gt;$K$3),0,1))</f>
        <v>0</v>
      </c>
      <c r="L2319" s="1" t="n">
        <f aca="false">IF(OR($L$1="",对接源_02物料!$C1119="",对接源_02物料!$C1119&lt;&gt;$L$1,对接源_02物料!$B1119=""),0,IF(OR(N(对接源_02物料!$B1119)&lt;$L$2,N(对接源_02物料!$B1119)&gt;$L$3),0,1))</f>
        <v>0</v>
      </c>
      <c r="M2319" s="1" t="n">
        <f aca="false">IF(OR($M$1="",对接源_02物料!$C1119="",对接源_02物料!$C1119&lt;&gt;$M$1,对接源_02物料!$B1119=""),0,IF(OR(N(对接源_02物料!$B1119)&lt;$M$2,N(对接源_02物料!$B1119)&gt;$M$3),0,1))</f>
        <v>0</v>
      </c>
      <c r="N2319" s="1" t="n">
        <f aca="false">IF(OR($N$1="",对接源_02物料!$C1119="",对接源_02物料!$C1119&lt;&gt;$N$1,对接源_02物料!$B1119=""),0,IF(OR(N(对接源_02物料!$B1119)&lt;$N$2,N(对接源_02物料!$B1119)&gt;$N$3),0,1))</f>
        <v>0</v>
      </c>
      <c r="P2319" s="1" t="n">
        <f aca="false">IF(AND($K2319=1,AND(对接源_02物料!$X1119="公司筐",N(对接源_02物料!$T1119)&lt;&gt;0)),1,0)</f>
        <v>0</v>
      </c>
      <c r="Q2319" s="1" t="n">
        <f aca="false">N(Q2318)+$P2319</f>
        <v>13</v>
      </c>
      <c r="R2319" s="1" t="n">
        <f aca="false">IF(AND($K2319=1,AND(对接源_02物料!$X1119="公司筐",N(对接源_02物料!$U1119)&lt;&gt;0)),1,0)</f>
        <v>0</v>
      </c>
      <c r="S2319" s="1" t="n">
        <f aca="false">N(S2318)+$R2319</f>
        <v>5</v>
      </c>
      <c r="T2319" s="1" t="n">
        <f aca="false">IF(AND($K2319=1,AND(对接源_02物料!$X1119="公司筐",N(对接源_02物料!$V1119)&lt;&gt;0)),1,0)</f>
        <v>0</v>
      </c>
      <c r="U2319" s="1" t="n">
        <f aca="false">N(U2318)+$T2319</f>
        <v>28</v>
      </c>
      <c r="V2319" s="1" t="n">
        <f aca="false">IF(AND($L2319=1,AND(对接源_02物料!$X1119="自备筐",N(对接源_02物料!$V1119)&lt;&gt;0)),1,0)</f>
        <v>0</v>
      </c>
      <c r="W2319" s="1" t="n">
        <f aca="false">N(W2318)+$V2319</f>
        <v>7</v>
      </c>
      <c r="X2319" s="1" t="n">
        <f aca="false">IF(AND($L2319=1,AND(对接源_02物料!$X1119="自备筐",N(对接源_02物料!$T1119)&lt;&gt;0)),1,0)</f>
        <v>0</v>
      </c>
      <c r="Y2319" s="1" t="n">
        <f aca="false">N(Y2318)+$X2319</f>
        <v>0</v>
      </c>
      <c r="Z2319" s="1" t="n">
        <f aca="false">IF(AND($M2319=1,对接源_02物料!$D1119="原料入库"),1,0)</f>
        <v>0</v>
      </c>
      <c r="AA2319" s="1" t="n">
        <f aca="false">N(AA2318)+$Z2319</f>
        <v>30</v>
      </c>
      <c r="AB2319" s="1" t="n">
        <f aca="false">IF(AND($M2319=1,LEFT(对接源_02物料!$D1119,4)="原料出库"),1,0)</f>
        <v>0</v>
      </c>
      <c r="AC2319" s="1" t="n">
        <f aca="false">N(AC2318)+$AB2319</f>
        <v>19</v>
      </c>
      <c r="AD2319" s="1" t="n">
        <f aca="false">IF(AND($M2319=1,LEFT(对接源_02物料!$D1119,4)="成品出库"),1,0)</f>
        <v>0</v>
      </c>
      <c r="AE2319" s="1" t="n">
        <f aca="false">N(AE2318)+$AD2319</f>
        <v>38</v>
      </c>
      <c r="AF2319" s="1" t="n">
        <f aca="false">IF(AND($N2319=1,AND(LEFT(对接源_02物料!$D1119,4)="包装物料",N(对接源_02物料!$K1119)&lt;&gt;0)),1,0)</f>
        <v>0</v>
      </c>
      <c r="AG2319" s="1" t="n">
        <f aca="false">N(AG2318)+$AF2319</f>
        <v>6</v>
      </c>
      <c r="AH2319" s="1" t="n">
        <f aca="false">IF(AND($N2319=1,AND(LEFT(对接源_02物料!$D1119,3)="周转筐",N(对接源_02物料!$K1119)&lt;&gt;0)),1,0)</f>
        <v>0</v>
      </c>
      <c r="AI2319" s="1" t="n">
        <f aca="false">N(AI2318)+$AH2319</f>
        <v>0</v>
      </c>
      <c r="AJ2319" s="1" t="n">
        <v>0</v>
      </c>
      <c r="AK2319" s="1" t="n">
        <f aca="false">N(AK2318)+$AJ2319</f>
        <v>3672</v>
      </c>
    </row>
    <row r="2320" customFormat="false" ht="13.5" hidden="false" customHeight="false" outlineLevel="0" collapsed="false">
      <c r="A2320" s="1" t="str">
        <f aca="false">IF(对接源_02物料!$C1120="","",对接源_02物料!$C1120)</f>
        <v/>
      </c>
      <c r="B2320" s="1" t="n">
        <f aca="false">IF(A2320="",0,IF(MATCH(A2320,$A$4:$A$2403,0)=ROW()-3,1,0))</f>
        <v>0</v>
      </c>
      <c r="C2320" s="1" t="n">
        <f aca="false">N(C2319)+B2320</f>
        <v>17</v>
      </c>
      <c r="K2320" s="1" t="n">
        <f aca="false">IF(OR($K$1="",对接源_02物料!$C1120="",对接源_02物料!$C1120&lt;&gt;$K$1,对接源_02物料!$B1120=""),0,IF(OR(N(对接源_02物料!$B1120)&lt;$K$2,N(对接源_02物料!$B1120)&gt;$K$3),0,1))</f>
        <v>0</v>
      </c>
      <c r="L2320" s="1" t="n">
        <f aca="false">IF(OR($L$1="",对接源_02物料!$C1120="",对接源_02物料!$C1120&lt;&gt;$L$1,对接源_02物料!$B1120=""),0,IF(OR(N(对接源_02物料!$B1120)&lt;$L$2,N(对接源_02物料!$B1120)&gt;$L$3),0,1))</f>
        <v>0</v>
      </c>
      <c r="M2320" s="1" t="n">
        <f aca="false">IF(OR($M$1="",对接源_02物料!$C1120="",对接源_02物料!$C1120&lt;&gt;$M$1,对接源_02物料!$B1120=""),0,IF(OR(N(对接源_02物料!$B1120)&lt;$M$2,N(对接源_02物料!$B1120)&gt;$M$3),0,1))</f>
        <v>0</v>
      </c>
      <c r="N2320" s="1" t="n">
        <f aca="false">IF(OR($N$1="",对接源_02物料!$C1120="",对接源_02物料!$C1120&lt;&gt;$N$1,对接源_02物料!$B1120=""),0,IF(OR(N(对接源_02物料!$B1120)&lt;$N$2,N(对接源_02物料!$B1120)&gt;$N$3),0,1))</f>
        <v>0</v>
      </c>
      <c r="P2320" s="1" t="n">
        <f aca="false">IF(AND($K2320=1,AND(对接源_02物料!$X1120="公司筐",N(对接源_02物料!$T1120)&lt;&gt;0)),1,0)</f>
        <v>0</v>
      </c>
      <c r="Q2320" s="1" t="n">
        <f aca="false">N(Q2319)+$P2320</f>
        <v>13</v>
      </c>
      <c r="R2320" s="1" t="n">
        <f aca="false">IF(AND($K2320=1,AND(对接源_02物料!$X1120="公司筐",N(对接源_02物料!$U1120)&lt;&gt;0)),1,0)</f>
        <v>0</v>
      </c>
      <c r="S2320" s="1" t="n">
        <f aca="false">N(S2319)+$R2320</f>
        <v>5</v>
      </c>
      <c r="T2320" s="1" t="n">
        <f aca="false">IF(AND($K2320=1,AND(对接源_02物料!$X1120="公司筐",N(对接源_02物料!$V1120)&lt;&gt;0)),1,0)</f>
        <v>0</v>
      </c>
      <c r="U2320" s="1" t="n">
        <f aca="false">N(U2319)+$T2320</f>
        <v>28</v>
      </c>
      <c r="V2320" s="1" t="n">
        <f aca="false">IF(AND($L2320=1,AND(对接源_02物料!$X1120="自备筐",N(对接源_02物料!$V1120)&lt;&gt;0)),1,0)</f>
        <v>0</v>
      </c>
      <c r="W2320" s="1" t="n">
        <f aca="false">N(W2319)+$V2320</f>
        <v>7</v>
      </c>
      <c r="X2320" s="1" t="n">
        <f aca="false">IF(AND($L2320=1,AND(对接源_02物料!$X1120="自备筐",N(对接源_02物料!$T1120)&lt;&gt;0)),1,0)</f>
        <v>0</v>
      </c>
      <c r="Y2320" s="1" t="n">
        <f aca="false">N(Y2319)+$X2320</f>
        <v>0</v>
      </c>
      <c r="Z2320" s="1" t="n">
        <f aca="false">IF(AND($M2320=1,对接源_02物料!$D1120="原料入库"),1,0)</f>
        <v>0</v>
      </c>
      <c r="AA2320" s="1" t="n">
        <f aca="false">N(AA2319)+$Z2320</f>
        <v>30</v>
      </c>
      <c r="AB2320" s="1" t="n">
        <f aca="false">IF(AND($M2320=1,LEFT(对接源_02物料!$D1120,4)="原料出库"),1,0)</f>
        <v>0</v>
      </c>
      <c r="AC2320" s="1" t="n">
        <f aca="false">N(AC2319)+$AB2320</f>
        <v>19</v>
      </c>
      <c r="AD2320" s="1" t="n">
        <f aca="false">IF(AND($M2320=1,LEFT(对接源_02物料!$D1120,4)="成品出库"),1,0)</f>
        <v>0</v>
      </c>
      <c r="AE2320" s="1" t="n">
        <f aca="false">N(AE2319)+$AD2320</f>
        <v>38</v>
      </c>
      <c r="AF2320" s="1" t="n">
        <f aca="false">IF(AND($N2320=1,AND(LEFT(对接源_02物料!$D1120,4)="包装物料",N(对接源_02物料!$K1120)&lt;&gt;0)),1,0)</f>
        <v>0</v>
      </c>
      <c r="AG2320" s="1" t="n">
        <f aca="false">N(AG2319)+$AF2320</f>
        <v>6</v>
      </c>
      <c r="AH2320" s="1" t="n">
        <f aca="false">IF(AND($N2320=1,AND(LEFT(对接源_02物料!$D1120,3)="周转筐",N(对接源_02物料!$K1120)&lt;&gt;0)),1,0)</f>
        <v>0</v>
      </c>
      <c r="AI2320" s="1" t="n">
        <f aca="false">N(AI2319)+$AH2320</f>
        <v>0</v>
      </c>
      <c r="AJ2320" s="1" t="n">
        <v>0</v>
      </c>
      <c r="AK2320" s="1" t="n">
        <f aca="false">N(AK2319)+$AJ2320</f>
        <v>3672</v>
      </c>
    </row>
    <row r="2321" customFormat="false" ht="13.5" hidden="false" customHeight="false" outlineLevel="0" collapsed="false">
      <c r="A2321" s="1" t="str">
        <f aca="false">IF(对接源_02物料!$C1121="","",对接源_02物料!$C1121)</f>
        <v/>
      </c>
      <c r="B2321" s="1" t="n">
        <f aca="false">IF(A2321="",0,IF(MATCH(A2321,$A$4:$A$2403,0)=ROW()-3,1,0))</f>
        <v>0</v>
      </c>
      <c r="C2321" s="1" t="n">
        <f aca="false">N(C2320)+B2321</f>
        <v>17</v>
      </c>
      <c r="K2321" s="1" t="n">
        <f aca="false">IF(OR($K$1="",对接源_02物料!$C1121="",对接源_02物料!$C1121&lt;&gt;$K$1,对接源_02物料!$B1121=""),0,IF(OR(N(对接源_02物料!$B1121)&lt;$K$2,N(对接源_02物料!$B1121)&gt;$K$3),0,1))</f>
        <v>0</v>
      </c>
      <c r="L2321" s="1" t="n">
        <f aca="false">IF(OR($L$1="",对接源_02物料!$C1121="",对接源_02物料!$C1121&lt;&gt;$L$1,对接源_02物料!$B1121=""),0,IF(OR(N(对接源_02物料!$B1121)&lt;$L$2,N(对接源_02物料!$B1121)&gt;$L$3),0,1))</f>
        <v>0</v>
      </c>
      <c r="M2321" s="1" t="n">
        <f aca="false">IF(OR($M$1="",对接源_02物料!$C1121="",对接源_02物料!$C1121&lt;&gt;$M$1,对接源_02物料!$B1121=""),0,IF(OR(N(对接源_02物料!$B1121)&lt;$M$2,N(对接源_02物料!$B1121)&gt;$M$3),0,1))</f>
        <v>0</v>
      </c>
      <c r="N2321" s="1" t="n">
        <f aca="false">IF(OR($N$1="",对接源_02物料!$C1121="",对接源_02物料!$C1121&lt;&gt;$N$1,对接源_02物料!$B1121=""),0,IF(OR(N(对接源_02物料!$B1121)&lt;$N$2,N(对接源_02物料!$B1121)&gt;$N$3),0,1))</f>
        <v>0</v>
      </c>
      <c r="P2321" s="1" t="n">
        <f aca="false">IF(AND($K2321=1,AND(对接源_02物料!$X1121="公司筐",N(对接源_02物料!$T1121)&lt;&gt;0)),1,0)</f>
        <v>0</v>
      </c>
      <c r="Q2321" s="1" t="n">
        <f aca="false">N(Q2320)+$P2321</f>
        <v>13</v>
      </c>
      <c r="R2321" s="1" t="n">
        <f aca="false">IF(AND($K2321=1,AND(对接源_02物料!$X1121="公司筐",N(对接源_02物料!$U1121)&lt;&gt;0)),1,0)</f>
        <v>0</v>
      </c>
      <c r="S2321" s="1" t="n">
        <f aca="false">N(S2320)+$R2321</f>
        <v>5</v>
      </c>
      <c r="T2321" s="1" t="n">
        <f aca="false">IF(AND($K2321=1,AND(对接源_02物料!$X1121="公司筐",N(对接源_02物料!$V1121)&lt;&gt;0)),1,0)</f>
        <v>0</v>
      </c>
      <c r="U2321" s="1" t="n">
        <f aca="false">N(U2320)+$T2321</f>
        <v>28</v>
      </c>
      <c r="V2321" s="1" t="n">
        <f aca="false">IF(AND($L2321=1,AND(对接源_02物料!$X1121="自备筐",N(对接源_02物料!$V1121)&lt;&gt;0)),1,0)</f>
        <v>0</v>
      </c>
      <c r="W2321" s="1" t="n">
        <f aca="false">N(W2320)+$V2321</f>
        <v>7</v>
      </c>
      <c r="X2321" s="1" t="n">
        <f aca="false">IF(AND($L2321=1,AND(对接源_02物料!$X1121="自备筐",N(对接源_02物料!$T1121)&lt;&gt;0)),1,0)</f>
        <v>0</v>
      </c>
      <c r="Y2321" s="1" t="n">
        <f aca="false">N(Y2320)+$X2321</f>
        <v>0</v>
      </c>
      <c r="Z2321" s="1" t="n">
        <f aca="false">IF(AND($M2321=1,对接源_02物料!$D1121="原料入库"),1,0)</f>
        <v>0</v>
      </c>
      <c r="AA2321" s="1" t="n">
        <f aca="false">N(AA2320)+$Z2321</f>
        <v>30</v>
      </c>
      <c r="AB2321" s="1" t="n">
        <f aca="false">IF(AND($M2321=1,LEFT(对接源_02物料!$D1121,4)="原料出库"),1,0)</f>
        <v>0</v>
      </c>
      <c r="AC2321" s="1" t="n">
        <f aca="false">N(AC2320)+$AB2321</f>
        <v>19</v>
      </c>
      <c r="AD2321" s="1" t="n">
        <f aca="false">IF(AND($M2321=1,LEFT(对接源_02物料!$D1121,4)="成品出库"),1,0)</f>
        <v>0</v>
      </c>
      <c r="AE2321" s="1" t="n">
        <f aca="false">N(AE2320)+$AD2321</f>
        <v>38</v>
      </c>
      <c r="AF2321" s="1" t="n">
        <f aca="false">IF(AND($N2321=1,AND(LEFT(对接源_02物料!$D1121,4)="包装物料",N(对接源_02物料!$K1121)&lt;&gt;0)),1,0)</f>
        <v>0</v>
      </c>
      <c r="AG2321" s="1" t="n">
        <f aca="false">N(AG2320)+$AF2321</f>
        <v>6</v>
      </c>
      <c r="AH2321" s="1" t="n">
        <f aca="false">IF(AND($N2321=1,AND(LEFT(对接源_02物料!$D1121,3)="周转筐",N(对接源_02物料!$K1121)&lt;&gt;0)),1,0)</f>
        <v>0</v>
      </c>
      <c r="AI2321" s="1" t="n">
        <f aca="false">N(AI2320)+$AH2321</f>
        <v>0</v>
      </c>
      <c r="AJ2321" s="1" t="n">
        <v>0</v>
      </c>
      <c r="AK2321" s="1" t="n">
        <f aca="false">N(AK2320)+$AJ2321</f>
        <v>3672</v>
      </c>
    </row>
    <row r="2322" customFormat="false" ht="13.5" hidden="false" customHeight="false" outlineLevel="0" collapsed="false">
      <c r="A2322" s="1" t="str">
        <f aca="false">IF(对接源_02物料!$C1122="","",对接源_02物料!$C1122)</f>
        <v/>
      </c>
      <c r="B2322" s="1" t="n">
        <f aca="false">IF(A2322="",0,IF(MATCH(A2322,$A$4:$A$2403,0)=ROW()-3,1,0))</f>
        <v>0</v>
      </c>
      <c r="C2322" s="1" t="n">
        <f aca="false">N(C2321)+B2322</f>
        <v>17</v>
      </c>
      <c r="K2322" s="1" t="n">
        <f aca="false">IF(OR($K$1="",对接源_02物料!$C1122="",对接源_02物料!$C1122&lt;&gt;$K$1,对接源_02物料!$B1122=""),0,IF(OR(N(对接源_02物料!$B1122)&lt;$K$2,N(对接源_02物料!$B1122)&gt;$K$3),0,1))</f>
        <v>0</v>
      </c>
      <c r="L2322" s="1" t="n">
        <f aca="false">IF(OR($L$1="",对接源_02物料!$C1122="",对接源_02物料!$C1122&lt;&gt;$L$1,对接源_02物料!$B1122=""),0,IF(OR(N(对接源_02物料!$B1122)&lt;$L$2,N(对接源_02物料!$B1122)&gt;$L$3),0,1))</f>
        <v>0</v>
      </c>
      <c r="M2322" s="1" t="n">
        <f aca="false">IF(OR($M$1="",对接源_02物料!$C1122="",对接源_02物料!$C1122&lt;&gt;$M$1,对接源_02物料!$B1122=""),0,IF(OR(N(对接源_02物料!$B1122)&lt;$M$2,N(对接源_02物料!$B1122)&gt;$M$3),0,1))</f>
        <v>0</v>
      </c>
      <c r="N2322" s="1" t="n">
        <f aca="false">IF(OR($N$1="",对接源_02物料!$C1122="",对接源_02物料!$C1122&lt;&gt;$N$1,对接源_02物料!$B1122=""),0,IF(OR(N(对接源_02物料!$B1122)&lt;$N$2,N(对接源_02物料!$B1122)&gt;$N$3),0,1))</f>
        <v>0</v>
      </c>
      <c r="P2322" s="1" t="n">
        <f aca="false">IF(AND($K2322=1,AND(对接源_02物料!$X1122="公司筐",N(对接源_02物料!$T1122)&lt;&gt;0)),1,0)</f>
        <v>0</v>
      </c>
      <c r="Q2322" s="1" t="n">
        <f aca="false">N(Q2321)+$P2322</f>
        <v>13</v>
      </c>
      <c r="R2322" s="1" t="n">
        <f aca="false">IF(AND($K2322=1,AND(对接源_02物料!$X1122="公司筐",N(对接源_02物料!$U1122)&lt;&gt;0)),1,0)</f>
        <v>0</v>
      </c>
      <c r="S2322" s="1" t="n">
        <f aca="false">N(S2321)+$R2322</f>
        <v>5</v>
      </c>
      <c r="T2322" s="1" t="n">
        <f aca="false">IF(AND($K2322=1,AND(对接源_02物料!$X1122="公司筐",N(对接源_02物料!$V1122)&lt;&gt;0)),1,0)</f>
        <v>0</v>
      </c>
      <c r="U2322" s="1" t="n">
        <f aca="false">N(U2321)+$T2322</f>
        <v>28</v>
      </c>
      <c r="V2322" s="1" t="n">
        <f aca="false">IF(AND($L2322=1,AND(对接源_02物料!$X1122="自备筐",N(对接源_02物料!$V1122)&lt;&gt;0)),1,0)</f>
        <v>0</v>
      </c>
      <c r="W2322" s="1" t="n">
        <f aca="false">N(W2321)+$V2322</f>
        <v>7</v>
      </c>
      <c r="X2322" s="1" t="n">
        <f aca="false">IF(AND($L2322=1,AND(对接源_02物料!$X1122="自备筐",N(对接源_02物料!$T1122)&lt;&gt;0)),1,0)</f>
        <v>0</v>
      </c>
      <c r="Y2322" s="1" t="n">
        <f aca="false">N(Y2321)+$X2322</f>
        <v>0</v>
      </c>
      <c r="Z2322" s="1" t="n">
        <f aca="false">IF(AND($M2322=1,对接源_02物料!$D1122="原料入库"),1,0)</f>
        <v>0</v>
      </c>
      <c r="AA2322" s="1" t="n">
        <f aca="false">N(AA2321)+$Z2322</f>
        <v>30</v>
      </c>
      <c r="AB2322" s="1" t="n">
        <f aca="false">IF(AND($M2322=1,LEFT(对接源_02物料!$D1122,4)="原料出库"),1,0)</f>
        <v>0</v>
      </c>
      <c r="AC2322" s="1" t="n">
        <f aca="false">N(AC2321)+$AB2322</f>
        <v>19</v>
      </c>
      <c r="AD2322" s="1" t="n">
        <f aca="false">IF(AND($M2322=1,LEFT(对接源_02物料!$D1122,4)="成品出库"),1,0)</f>
        <v>0</v>
      </c>
      <c r="AE2322" s="1" t="n">
        <f aca="false">N(AE2321)+$AD2322</f>
        <v>38</v>
      </c>
      <c r="AF2322" s="1" t="n">
        <f aca="false">IF(AND($N2322=1,AND(LEFT(对接源_02物料!$D1122,4)="包装物料",N(对接源_02物料!$K1122)&lt;&gt;0)),1,0)</f>
        <v>0</v>
      </c>
      <c r="AG2322" s="1" t="n">
        <f aca="false">N(AG2321)+$AF2322</f>
        <v>6</v>
      </c>
      <c r="AH2322" s="1" t="n">
        <f aca="false">IF(AND($N2322=1,AND(LEFT(对接源_02物料!$D1122,3)="周转筐",N(对接源_02物料!$K1122)&lt;&gt;0)),1,0)</f>
        <v>0</v>
      </c>
      <c r="AI2322" s="1" t="n">
        <f aca="false">N(AI2321)+$AH2322</f>
        <v>0</v>
      </c>
      <c r="AJ2322" s="1" t="n">
        <v>0</v>
      </c>
      <c r="AK2322" s="1" t="n">
        <f aca="false">N(AK2321)+$AJ2322</f>
        <v>3672</v>
      </c>
    </row>
    <row r="2323" customFormat="false" ht="13.5" hidden="false" customHeight="false" outlineLevel="0" collapsed="false">
      <c r="A2323" s="1" t="str">
        <f aca="false">IF(对接源_02物料!$C1123="","",对接源_02物料!$C1123)</f>
        <v/>
      </c>
      <c r="B2323" s="1" t="n">
        <f aca="false">IF(A2323="",0,IF(MATCH(A2323,$A$4:$A$2403,0)=ROW()-3,1,0))</f>
        <v>0</v>
      </c>
      <c r="C2323" s="1" t="n">
        <f aca="false">N(C2322)+B2323</f>
        <v>17</v>
      </c>
      <c r="K2323" s="1" t="n">
        <f aca="false">IF(OR($K$1="",对接源_02物料!$C1123="",对接源_02物料!$C1123&lt;&gt;$K$1,对接源_02物料!$B1123=""),0,IF(OR(N(对接源_02物料!$B1123)&lt;$K$2,N(对接源_02物料!$B1123)&gt;$K$3),0,1))</f>
        <v>0</v>
      </c>
      <c r="L2323" s="1" t="n">
        <f aca="false">IF(OR($L$1="",对接源_02物料!$C1123="",对接源_02物料!$C1123&lt;&gt;$L$1,对接源_02物料!$B1123=""),0,IF(OR(N(对接源_02物料!$B1123)&lt;$L$2,N(对接源_02物料!$B1123)&gt;$L$3),0,1))</f>
        <v>0</v>
      </c>
      <c r="M2323" s="1" t="n">
        <f aca="false">IF(OR($M$1="",对接源_02物料!$C1123="",对接源_02物料!$C1123&lt;&gt;$M$1,对接源_02物料!$B1123=""),0,IF(OR(N(对接源_02物料!$B1123)&lt;$M$2,N(对接源_02物料!$B1123)&gt;$M$3),0,1))</f>
        <v>0</v>
      </c>
      <c r="N2323" s="1" t="n">
        <f aca="false">IF(OR($N$1="",对接源_02物料!$C1123="",对接源_02物料!$C1123&lt;&gt;$N$1,对接源_02物料!$B1123=""),0,IF(OR(N(对接源_02物料!$B1123)&lt;$N$2,N(对接源_02物料!$B1123)&gt;$N$3),0,1))</f>
        <v>0</v>
      </c>
      <c r="P2323" s="1" t="n">
        <f aca="false">IF(AND($K2323=1,AND(对接源_02物料!$X1123="公司筐",N(对接源_02物料!$T1123)&lt;&gt;0)),1,0)</f>
        <v>0</v>
      </c>
      <c r="Q2323" s="1" t="n">
        <f aca="false">N(Q2322)+$P2323</f>
        <v>13</v>
      </c>
      <c r="R2323" s="1" t="n">
        <f aca="false">IF(AND($K2323=1,AND(对接源_02物料!$X1123="公司筐",N(对接源_02物料!$U1123)&lt;&gt;0)),1,0)</f>
        <v>0</v>
      </c>
      <c r="S2323" s="1" t="n">
        <f aca="false">N(S2322)+$R2323</f>
        <v>5</v>
      </c>
      <c r="T2323" s="1" t="n">
        <f aca="false">IF(AND($K2323=1,AND(对接源_02物料!$X1123="公司筐",N(对接源_02物料!$V1123)&lt;&gt;0)),1,0)</f>
        <v>0</v>
      </c>
      <c r="U2323" s="1" t="n">
        <f aca="false">N(U2322)+$T2323</f>
        <v>28</v>
      </c>
      <c r="V2323" s="1" t="n">
        <f aca="false">IF(AND($L2323=1,AND(对接源_02物料!$X1123="自备筐",N(对接源_02物料!$V1123)&lt;&gt;0)),1,0)</f>
        <v>0</v>
      </c>
      <c r="W2323" s="1" t="n">
        <f aca="false">N(W2322)+$V2323</f>
        <v>7</v>
      </c>
      <c r="X2323" s="1" t="n">
        <f aca="false">IF(AND($L2323=1,AND(对接源_02物料!$X1123="自备筐",N(对接源_02物料!$T1123)&lt;&gt;0)),1,0)</f>
        <v>0</v>
      </c>
      <c r="Y2323" s="1" t="n">
        <f aca="false">N(Y2322)+$X2323</f>
        <v>0</v>
      </c>
      <c r="Z2323" s="1" t="n">
        <f aca="false">IF(AND($M2323=1,对接源_02物料!$D1123="原料入库"),1,0)</f>
        <v>0</v>
      </c>
      <c r="AA2323" s="1" t="n">
        <f aca="false">N(AA2322)+$Z2323</f>
        <v>30</v>
      </c>
      <c r="AB2323" s="1" t="n">
        <f aca="false">IF(AND($M2323=1,LEFT(对接源_02物料!$D1123,4)="原料出库"),1,0)</f>
        <v>0</v>
      </c>
      <c r="AC2323" s="1" t="n">
        <f aca="false">N(AC2322)+$AB2323</f>
        <v>19</v>
      </c>
      <c r="AD2323" s="1" t="n">
        <f aca="false">IF(AND($M2323=1,LEFT(对接源_02物料!$D1123,4)="成品出库"),1,0)</f>
        <v>0</v>
      </c>
      <c r="AE2323" s="1" t="n">
        <f aca="false">N(AE2322)+$AD2323</f>
        <v>38</v>
      </c>
      <c r="AF2323" s="1" t="n">
        <f aca="false">IF(AND($N2323=1,AND(LEFT(对接源_02物料!$D1123,4)="包装物料",N(对接源_02物料!$K1123)&lt;&gt;0)),1,0)</f>
        <v>0</v>
      </c>
      <c r="AG2323" s="1" t="n">
        <f aca="false">N(AG2322)+$AF2323</f>
        <v>6</v>
      </c>
      <c r="AH2323" s="1" t="n">
        <f aca="false">IF(AND($N2323=1,AND(LEFT(对接源_02物料!$D1123,3)="周转筐",N(对接源_02物料!$K1123)&lt;&gt;0)),1,0)</f>
        <v>0</v>
      </c>
      <c r="AI2323" s="1" t="n">
        <f aca="false">N(AI2322)+$AH2323</f>
        <v>0</v>
      </c>
      <c r="AJ2323" s="1" t="n">
        <v>0</v>
      </c>
      <c r="AK2323" s="1" t="n">
        <f aca="false">N(AK2322)+$AJ2323</f>
        <v>3672</v>
      </c>
    </row>
    <row r="2324" customFormat="false" ht="13.5" hidden="false" customHeight="false" outlineLevel="0" collapsed="false">
      <c r="A2324" s="1" t="str">
        <f aca="false">IF(对接源_02物料!$C1124="","",对接源_02物料!$C1124)</f>
        <v/>
      </c>
      <c r="B2324" s="1" t="n">
        <f aca="false">IF(A2324="",0,IF(MATCH(A2324,$A$4:$A$2403,0)=ROW()-3,1,0))</f>
        <v>0</v>
      </c>
      <c r="C2324" s="1" t="n">
        <f aca="false">N(C2323)+B2324</f>
        <v>17</v>
      </c>
      <c r="K2324" s="1" t="n">
        <f aca="false">IF(OR($K$1="",对接源_02物料!$C1124="",对接源_02物料!$C1124&lt;&gt;$K$1,对接源_02物料!$B1124=""),0,IF(OR(N(对接源_02物料!$B1124)&lt;$K$2,N(对接源_02物料!$B1124)&gt;$K$3),0,1))</f>
        <v>0</v>
      </c>
      <c r="L2324" s="1" t="n">
        <f aca="false">IF(OR($L$1="",对接源_02物料!$C1124="",对接源_02物料!$C1124&lt;&gt;$L$1,对接源_02物料!$B1124=""),0,IF(OR(N(对接源_02物料!$B1124)&lt;$L$2,N(对接源_02物料!$B1124)&gt;$L$3),0,1))</f>
        <v>0</v>
      </c>
      <c r="M2324" s="1" t="n">
        <f aca="false">IF(OR($M$1="",对接源_02物料!$C1124="",对接源_02物料!$C1124&lt;&gt;$M$1,对接源_02物料!$B1124=""),0,IF(OR(N(对接源_02物料!$B1124)&lt;$M$2,N(对接源_02物料!$B1124)&gt;$M$3),0,1))</f>
        <v>0</v>
      </c>
      <c r="N2324" s="1" t="n">
        <f aca="false">IF(OR($N$1="",对接源_02物料!$C1124="",对接源_02物料!$C1124&lt;&gt;$N$1,对接源_02物料!$B1124=""),0,IF(OR(N(对接源_02物料!$B1124)&lt;$N$2,N(对接源_02物料!$B1124)&gt;$N$3),0,1))</f>
        <v>0</v>
      </c>
      <c r="P2324" s="1" t="n">
        <f aca="false">IF(AND($K2324=1,AND(对接源_02物料!$X1124="公司筐",N(对接源_02物料!$T1124)&lt;&gt;0)),1,0)</f>
        <v>0</v>
      </c>
      <c r="Q2324" s="1" t="n">
        <f aca="false">N(Q2323)+$P2324</f>
        <v>13</v>
      </c>
      <c r="R2324" s="1" t="n">
        <f aca="false">IF(AND($K2324=1,AND(对接源_02物料!$X1124="公司筐",N(对接源_02物料!$U1124)&lt;&gt;0)),1,0)</f>
        <v>0</v>
      </c>
      <c r="S2324" s="1" t="n">
        <f aca="false">N(S2323)+$R2324</f>
        <v>5</v>
      </c>
      <c r="T2324" s="1" t="n">
        <f aca="false">IF(AND($K2324=1,AND(对接源_02物料!$X1124="公司筐",N(对接源_02物料!$V1124)&lt;&gt;0)),1,0)</f>
        <v>0</v>
      </c>
      <c r="U2324" s="1" t="n">
        <f aca="false">N(U2323)+$T2324</f>
        <v>28</v>
      </c>
      <c r="V2324" s="1" t="n">
        <f aca="false">IF(AND($L2324=1,AND(对接源_02物料!$X1124="自备筐",N(对接源_02物料!$V1124)&lt;&gt;0)),1,0)</f>
        <v>0</v>
      </c>
      <c r="W2324" s="1" t="n">
        <f aca="false">N(W2323)+$V2324</f>
        <v>7</v>
      </c>
      <c r="X2324" s="1" t="n">
        <f aca="false">IF(AND($L2324=1,AND(对接源_02物料!$X1124="自备筐",N(对接源_02物料!$T1124)&lt;&gt;0)),1,0)</f>
        <v>0</v>
      </c>
      <c r="Y2324" s="1" t="n">
        <f aca="false">N(Y2323)+$X2324</f>
        <v>0</v>
      </c>
      <c r="Z2324" s="1" t="n">
        <f aca="false">IF(AND($M2324=1,对接源_02物料!$D1124="原料入库"),1,0)</f>
        <v>0</v>
      </c>
      <c r="AA2324" s="1" t="n">
        <f aca="false">N(AA2323)+$Z2324</f>
        <v>30</v>
      </c>
      <c r="AB2324" s="1" t="n">
        <f aca="false">IF(AND($M2324=1,LEFT(对接源_02物料!$D1124,4)="原料出库"),1,0)</f>
        <v>0</v>
      </c>
      <c r="AC2324" s="1" t="n">
        <f aca="false">N(AC2323)+$AB2324</f>
        <v>19</v>
      </c>
      <c r="AD2324" s="1" t="n">
        <f aca="false">IF(AND($M2324=1,LEFT(对接源_02物料!$D1124,4)="成品出库"),1,0)</f>
        <v>0</v>
      </c>
      <c r="AE2324" s="1" t="n">
        <f aca="false">N(AE2323)+$AD2324</f>
        <v>38</v>
      </c>
      <c r="AF2324" s="1" t="n">
        <f aca="false">IF(AND($N2324=1,AND(LEFT(对接源_02物料!$D1124,4)="包装物料",N(对接源_02物料!$K1124)&lt;&gt;0)),1,0)</f>
        <v>0</v>
      </c>
      <c r="AG2324" s="1" t="n">
        <f aca="false">N(AG2323)+$AF2324</f>
        <v>6</v>
      </c>
      <c r="AH2324" s="1" t="n">
        <f aca="false">IF(AND($N2324=1,AND(LEFT(对接源_02物料!$D1124,3)="周转筐",N(对接源_02物料!$K1124)&lt;&gt;0)),1,0)</f>
        <v>0</v>
      </c>
      <c r="AI2324" s="1" t="n">
        <f aca="false">N(AI2323)+$AH2324</f>
        <v>0</v>
      </c>
      <c r="AJ2324" s="1" t="n">
        <v>0</v>
      </c>
      <c r="AK2324" s="1" t="n">
        <f aca="false">N(AK2323)+$AJ2324</f>
        <v>3672</v>
      </c>
    </row>
    <row r="2325" customFormat="false" ht="13.5" hidden="false" customHeight="false" outlineLevel="0" collapsed="false">
      <c r="A2325" s="1" t="str">
        <f aca="false">IF(对接源_02物料!$C1125="","",对接源_02物料!$C1125)</f>
        <v/>
      </c>
      <c r="B2325" s="1" t="n">
        <f aca="false">IF(A2325="",0,IF(MATCH(A2325,$A$4:$A$2403,0)=ROW()-3,1,0))</f>
        <v>0</v>
      </c>
      <c r="C2325" s="1" t="n">
        <f aca="false">N(C2324)+B2325</f>
        <v>17</v>
      </c>
      <c r="K2325" s="1" t="n">
        <f aca="false">IF(OR($K$1="",对接源_02物料!$C1125="",对接源_02物料!$C1125&lt;&gt;$K$1,对接源_02物料!$B1125=""),0,IF(OR(N(对接源_02物料!$B1125)&lt;$K$2,N(对接源_02物料!$B1125)&gt;$K$3),0,1))</f>
        <v>0</v>
      </c>
      <c r="L2325" s="1" t="n">
        <f aca="false">IF(OR($L$1="",对接源_02物料!$C1125="",对接源_02物料!$C1125&lt;&gt;$L$1,对接源_02物料!$B1125=""),0,IF(OR(N(对接源_02物料!$B1125)&lt;$L$2,N(对接源_02物料!$B1125)&gt;$L$3),0,1))</f>
        <v>0</v>
      </c>
      <c r="M2325" s="1" t="n">
        <f aca="false">IF(OR($M$1="",对接源_02物料!$C1125="",对接源_02物料!$C1125&lt;&gt;$M$1,对接源_02物料!$B1125=""),0,IF(OR(N(对接源_02物料!$B1125)&lt;$M$2,N(对接源_02物料!$B1125)&gt;$M$3),0,1))</f>
        <v>0</v>
      </c>
      <c r="N2325" s="1" t="n">
        <f aca="false">IF(OR($N$1="",对接源_02物料!$C1125="",对接源_02物料!$C1125&lt;&gt;$N$1,对接源_02物料!$B1125=""),0,IF(OR(N(对接源_02物料!$B1125)&lt;$N$2,N(对接源_02物料!$B1125)&gt;$N$3),0,1))</f>
        <v>0</v>
      </c>
      <c r="P2325" s="1" t="n">
        <f aca="false">IF(AND($K2325=1,AND(对接源_02物料!$X1125="公司筐",N(对接源_02物料!$T1125)&lt;&gt;0)),1,0)</f>
        <v>0</v>
      </c>
      <c r="Q2325" s="1" t="n">
        <f aca="false">N(Q2324)+$P2325</f>
        <v>13</v>
      </c>
      <c r="R2325" s="1" t="n">
        <f aca="false">IF(AND($K2325=1,AND(对接源_02物料!$X1125="公司筐",N(对接源_02物料!$U1125)&lt;&gt;0)),1,0)</f>
        <v>0</v>
      </c>
      <c r="S2325" s="1" t="n">
        <f aca="false">N(S2324)+$R2325</f>
        <v>5</v>
      </c>
      <c r="T2325" s="1" t="n">
        <f aca="false">IF(AND($K2325=1,AND(对接源_02物料!$X1125="公司筐",N(对接源_02物料!$V1125)&lt;&gt;0)),1,0)</f>
        <v>0</v>
      </c>
      <c r="U2325" s="1" t="n">
        <f aca="false">N(U2324)+$T2325</f>
        <v>28</v>
      </c>
      <c r="V2325" s="1" t="n">
        <f aca="false">IF(AND($L2325=1,AND(对接源_02物料!$X1125="自备筐",N(对接源_02物料!$V1125)&lt;&gt;0)),1,0)</f>
        <v>0</v>
      </c>
      <c r="W2325" s="1" t="n">
        <f aca="false">N(W2324)+$V2325</f>
        <v>7</v>
      </c>
      <c r="X2325" s="1" t="n">
        <f aca="false">IF(AND($L2325=1,AND(对接源_02物料!$X1125="自备筐",N(对接源_02物料!$T1125)&lt;&gt;0)),1,0)</f>
        <v>0</v>
      </c>
      <c r="Y2325" s="1" t="n">
        <f aca="false">N(Y2324)+$X2325</f>
        <v>0</v>
      </c>
      <c r="Z2325" s="1" t="n">
        <f aca="false">IF(AND($M2325=1,对接源_02物料!$D1125="原料入库"),1,0)</f>
        <v>0</v>
      </c>
      <c r="AA2325" s="1" t="n">
        <f aca="false">N(AA2324)+$Z2325</f>
        <v>30</v>
      </c>
      <c r="AB2325" s="1" t="n">
        <f aca="false">IF(AND($M2325=1,LEFT(对接源_02物料!$D1125,4)="原料出库"),1,0)</f>
        <v>0</v>
      </c>
      <c r="AC2325" s="1" t="n">
        <f aca="false">N(AC2324)+$AB2325</f>
        <v>19</v>
      </c>
      <c r="AD2325" s="1" t="n">
        <f aca="false">IF(AND($M2325=1,LEFT(对接源_02物料!$D1125,4)="成品出库"),1,0)</f>
        <v>0</v>
      </c>
      <c r="AE2325" s="1" t="n">
        <f aca="false">N(AE2324)+$AD2325</f>
        <v>38</v>
      </c>
      <c r="AF2325" s="1" t="n">
        <f aca="false">IF(AND($N2325=1,AND(LEFT(对接源_02物料!$D1125,4)="包装物料",N(对接源_02物料!$K1125)&lt;&gt;0)),1,0)</f>
        <v>0</v>
      </c>
      <c r="AG2325" s="1" t="n">
        <f aca="false">N(AG2324)+$AF2325</f>
        <v>6</v>
      </c>
      <c r="AH2325" s="1" t="n">
        <f aca="false">IF(AND($N2325=1,AND(LEFT(对接源_02物料!$D1125,3)="周转筐",N(对接源_02物料!$K1125)&lt;&gt;0)),1,0)</f>
        <v>0</v>
      </c>
      <c r="AI2325" s="1" t="n">
        <f aca="false">N(AI2324)+$AH2325</f>
        <v>0</v>
      </c>
      <c r="AJ2325" s="1" t="n">
        <v>0</v>
      </c>
      <c r="AK2325" s="1" t="n">
        <f aca="false">N(AK2324)+$AJ2325</f>
        <v>3672</v>
      </c>
    </row>
    <row r="2326" customFormat="false" ht="13.5" hidden="false" customHeight="false" outlineLevel="0" collapsed="false">
      <c r="A2326" s="1" t="str">
        <f aca="false">IF(对接源_02物料!$C1126="","",对接源_02物料!$C1126)</f>
        <v/>
      </c>
      <c r="B2326" s="1" t="n">
        <f aca="false">IF(A2326="",0,IF(MATCH(A2326,$A$4:$A$2403,0)=ROW()-3,1,0))</f>
        <v>0</v>
      </c>
      <c r="C2326" s="1" t="n">
        <f aca="false">N(C2325)+B2326</f>
        <v>17</v>
      </c>
      <c r="K2326" s="1" t="n">
        <f aca="false">IF(OR($K$1="",对接源_02物料!$C1126="",对接源_02物料!$C1126&lt;&gt;$K$1,对接源_02物料!$B1126=""),0,IF(OR(N(对接源_02物料!$B1126)&lt;$K$2,N(对接源_02物料!$B1126)&gt;$K$3),0,1))</f>
        <v>0</v>
      </c>
      <c r="L2326" s="1" t="n">
        <f aca="false">IF(OR($L$1="",对接源_02物料!$C1126="",对接源_02物料!$C1126&lt;&gt;$L$1,对接源_02物料!$B1126=""),0,IF(OR(N(对接源_02物料!$B1126)&lt;$L$2,N(对接源_02物料!$B1126)&gt;$L$3),0,1))</f>
        <v>0</v>
      </c>
      <c r="M2326" s="1" t="n">
        <f aca="false">IF(OR($M$1="",对接源_02物料!$C1126="",对接源_02物料!$C1126&lt;&gt;$M$1,对接源_02物料!$B1126=""),0,IF(OR(N(对接源_02物料!$B1126)&lt;$M$2,N(对接源_02物料!$B1126)&gt;$M$3),0,1))</f>
        <v>0</v>
      </c>
      <c r="N2326" s="1" t="n">
        <f aca="false">IF(OR($N$1="",对接源_02物料!$C1126="",对接源_02物料!$C1126&lt;&gt;$N$1,对接源_02物料!$B1126=""),0,IF(OR(N(对接源_02物料!$B1126)&lt;$N$2,N(对接源_02物料!$B1126)&gt;$N$3),0,1))</f>
        <v>0</v>
      </c>
      <c r="P2326" s="1" t="n">
        <f aca="false">IF(AND($K2326=1,AND(对接源_02物料!$X1126="公司筐",N(对接源_02物料!$T1126)&lt;&gt;0)),1,0)</f>
        <v>0</v>
      </c>
      <c r="Q2326" s="1" t="n">
        <f aca="false">N(Q2325)+$P2326</f>
        <v>13</v>
      </c>
      <c r="R2326" s="1" t="n">
        <f aca="false">IF(AND($K2326=1,AND(对接源_02物料!$X1126="公司筐",N(对接源_02物料!$U1126)&lt;&gt;0)),1,0)</f>
        <v>0</v>
      </c>
      <c r="S2326" s="1" t="n">
        <f aca="false">N(S2325)+$R2326</f>
        <v>5</v>
      </c>
      <c r="T2326" s="1" t="n">
        <f aca="false">IF(AND($K2326=1,AND(对接源_02物料!$X1126="公司筐",N(对接源_02物料!$V1126)&lt;&gt;0)),1,0)</f>
        <v>0</v>
      </c>
      <c r="U2326" s="1" t="n">
        <f aca="false">N(U2325)+$T2326</f>
        <v>28</v>
      </c>
      <c r="V2326" s="1" t="n">
        <f aca="false">IF(AND($L2326=1,AND(对接源_02物料!$X1126="自备筐",N(对接源_02物料!$V1126)&lt;&gt;0)),1,0)</f>
        <v>0</v>
      </c>
      <c r="W2326" s="1" t="n">
        <f aca="false">N(W2325)+$V2326</f>
        <v>7</v>
      </c>
      <c r="X2326" s="1" t="n">
        <f aca="false">IF(AND($L2326=1,AND(对接源_02物料!$X1126="自备筐",N(对接源_02物料!$T1126)&lt;&gt;0)),1,0)</f>
        <v>0</v>
      </c>
      <c r="Y2326" s="1" t="n">
        <f aca="false">N(Y2325)+$X2326</f>
        <v>0</v>
      </c>
      <c r="Z2326" s="1" t="n">
        <f aca="false">IF(AND($M2326=1,对接源_02物料!$D1126="原料入库"),1,0)</f>
        <v>0</v>
      </c>
      <c r="AA2326" s="1" t="n">
        <f aca="false">N(AA2325)+$Z2326</f>
        <v>30</v>
      </c>
      <c r="AB2326" s="1" t="n">
        <f aca="false">IF(AND($M2326=1,LEFT(对接源_02物料!$D1126,4)="原料出库"),1,0)</f>
        <v>0</v>
      </c>
      <c r="AC2326" s="1" t="n">
        <f aca="false">N(AC2325)+$AB2326</f>
        <v>19</v>
      </c>
      <c r="AD2326" s="1" t="n">
        <f aca="false">IF(AND($M2326=1,LEFT(对接源_02物料!$D1126,4)="成品出库"),1,0)</f>
        <v>0</v>
      </c>
      <c r="AE2326" s="1" t="n">
        <f aca="false">N(AE2325)+$AD2326</f>
        <v>38</v>
      </c>
      <c r="AF2326" s="1" t="n">
        <f aca="false">IF(AND($N2326=1,AND(LEFT(对接源_02物料!$D1126,4)="包装物料",N(对接源_02物料!$K1126)&lt;&gt;0)),1,0)</f>
        <v>0</v>
      </c>
      <c r="AG2326" s="1" t="n">
        <f aca="false">N(AG2325)+$AF2326</f>
        <v>6</v>
      </c>
      <c r="AH2326" s="1" t="n">
        <f aca="false">IF(AND($N2326=1,AND(LEFT(对接源_02物料!$D1126,3)="周转筐",N(对接源_02物料!$K1126)&lt;&gt;0)),1,0)</f>
        <v>0</v>
      </c>
      <c r="AI2326" s="1" t="n">
        <f aca="false">N(AI2325)+$AH2326</f>
        <v>0</v>
      </c>
      <c r="AJ2326" s="1" t="n">
        <v>0</v>
      </c>
      <c r="AK2326" s="1" t="n">
        <f aca="false">N(AK2325)+$AJ2326</f>
        <v>3672</v>
      </c>
    </row>
    <row r="2327" customFormat="false" ht="13.5" hidden="false" customHeight="false" outlineLevel="0" collapsed="false">
      <c r="A2327" s="1" t="str">
        <f aca="false">IF(对接源_02物料!$C1127="","",对接源_02物料!$C1127)</f>
        <v/>
      </c>
      <c r="B2327" s="1" t="n">
        <f aca="false">IF(A2327="",0,IF(MATCH(A2327,$A$4:$A$2403,0)=ROW()-3,1,0))</f>
        <v>0</v>
      </c>
      <c r="C2327" s="1" t="n">
        <f aca="false">N(C2326)+B2327</f>
        <v>17</v>
      </c>
      <c r="K2327" s="1" t="n">
        <f aca="false">IF(OR($K$1="",对接源_02物料!$C1127="",对接源_02物料!$C1127&lt;&gt;$K$1,对接源_02物料!$B1127=""),0,IF(OR(N(对接源_02物料!$B1127)&lt;$K$2,N(对接源_02物料!$B1127)&gt;$K$3),0,1))</f>
        <v>0</v>
      </c>
      <c r="L2327" s="1" t="n">
        <f aca="false">IF(OR($L$1="",对接源_02物料!$C1127="",对接源_02物料!$C1127&lt;&gt;$L$1,对接源_02物料!$B1127=""),0,IF(OR(N(对接源_02物料!$B1127)&lt;$L$2,N(对接源_02物料!$B1127)&gt;$L$3),0,1))</f>
        <v>0</v>
      </c>
      <c r="M2327" s="1" t="n">
        <f aca="false">IF(OR($M$1="",对接源_02物料!$C1127="",对接源_02物料!$C1127&lt;&gt;$M$1,对接源_02物料!$B1127=""),0,IF(OR(N(对接源_02物料!$B1127)&lt;$M$2,N(对接源_02物料!$B1127)&gt;$M$3),0,1))</f>
        <v>0</v>
      </c>
      <c r="N2327" s="1" t="n">
        <f aca="false">IF(OR($N$1="",对接源_02物料!$C1127="",对接源_02物料!$C1127&lt;&gt;$N$1,对接源_02物料!$B1127=""),0,IF(OR(N(对接源_02物料!$B1127)&lt;$N$2,N(对接源_02物料!$B1127)&gt;$N$3),0,1))</f>
        <v>0</v>
      </c>
      <c r="P2327" s="1" t="n">
        <f aca="false">IF(AND($K2327=1,AND(对接源_02物料!$X1127="公司筐",N(对接源_02物料!$T1127)&lt;&gt;0)),1,0)</f>
        <v>0</v>
      </c>
      <c r="Q2327" s="1" t="n">
        <f aca="false">N(Q2326)+$P2327</f>
        <v>13</v>
      </c>
      <c r="R2327" s="1" t="n">
        <f aca="false">IF(AND($K2327=1,AND(对接源_02物料!$X1127="公司筐",N(对接源_02物料!$U1127)&lt;&gt;0)),1,0)</f>
        <v>0</v>
      </c>
      <c r="S2327" s="1" t="n">
        <f aca="false">N(S2326)+$R2327</f>
        <v>5</v>
      </c>
      <c r="T2327" s="1" t="n">
        <f aca="false">IF(AND($K2327=1,AND(对接源_02物料!$X1127="公司筐",N(对接源_02物料!$V1127)&lt;&gt;0)),1,0)</f>
        <v>0</v>
      </c>
      <c r="U2327" s="1" t="n">
        <f aca="false">N(U2326)+$T2327</f>
        <v>28</v>
      </c>
      <c r="V2327" s="1" t="n">
        <f aca="false">IF(AND($L2327=1,AND(对接源_02物料!$X1127="自备筐",N(对接源_02物料!$V1127)&lt;&gt;0)),1,0)</f>
        <v>0</v>
      </c>
      <c r="W2327" s="1" t="n">
        <f aca="false">N(W2326)+$V2327</f>
        <v>7</v>
      </c>
      <c r="X2327" s="1" t="n">
        <f aca="false">IF(AND($L2327=1,AND(对接源_02物料!$X1127="自备筐",N(对接源_02物料!$T1127)&lt;&gt;0)),1,0)</f>
        <v>0</v>
      </c>
      <c r="Y2327" s="1" t="n">
        <f aca="false">N(Y2326)+$X2327</f>
        <v>0</v>
      </c>
      <c r="Z2327" s="1" t="n">
        <f aca="false">IF(AND($M2327=1,对接源_02物料!$D1127="原料入库"),1,0)</f>
        <v>0</v>
      </c>
      <c r="AA2327" s="1" t="n">
        <f aca="false">N(AA2326)+$Z2327</f>
        <v>30</v>
      </c>
      <c r="AB2327" s="1" t="n">
        <f aca="false">IF(AND($M2327=1,LEFT(对接源_02物料!$D1127,4)="原料出库"),1,0)</f>
        <v>0</v>
      </c>
      <c r="AC2327" s="1" t="n">
        <f aca="false">N(AC2326)+$AB2327</f>
        <v>19</v>
      </c>
      <c r="AD2327" s="1" t="n">
        <f aca="false">IF(AND($M2327=1,LEFT(对接源_02物料!$D1127,4)="成品出库"),1,0)</f>
        <v>0</v>
      </c>
      <c r="AE2327" s="1" t="n">
        <f aca="false">N(AE2326)+$AD2327</f>
        <v>38</v>
      </c>
      <c r="AF2327" s="1" t="n">
        <f aca="false">IF(AND($N2327=1,AND(LEFT(对接源_02物料!$D1127,4)="包装物料",N(对接源_02物料!$K1127)&lt;&gt;0)),1,0)</f>
        <v>0</v>
      </c>
      <c r="AG2327" s="1" t="n">
        <f aca="false">N(AG2326)+$AF2327</f>
        <v>6</v>
      </c>
      <c r="AH2327" s="1" t="n">
        <f aca="false">IF(AND($N2327=1,AND(LEFT(对接源_02物料!$D1127,3)="周转筐",N(对接源_02物料!$K1127)&lt;&gt;0)),1,0)</f>
        <v>0</v>
      </c>
      <c r="AI2327" s="1" t="n">
        <f aca="false">N(AI2326)+$AH2327</f>
        <v>0</v>
      </c>
      <c r="AJ2327" s="1" t="n">
        <v>0</v>
      </c>
      <c r="AK2327" s="1" t="n">
        <f aca="false">N(AK2326)+$AJ2327</f>
        <v>3672</v>
      </c>
    </row>
    <row r="2328" customFormat="false" ht="13.5" hidden="false" customHeight="false" outlineLevel="0" collapsed="false">
      <c r="A2328" s="1" t="str">
        <f aca="false">IF(对接源_02物料!$C1128="","",对接源_02物料!$C1128)</f>
        <v/>
      </c>
      <c r="B2328" s="1" t="n">
        <f aca="false">IF(A2328="",0,IF(MATCH(A2328,$A$4:$A$2403,0)=ROW()-3,1,0))</f>
        <v>0</v>
      </c>
      <c r="C2328" s="1" t="n">
        <f aca="false">N(C2327)+B2328</f>
        <v>17</v>
      </c>
      <c r="K2328" s="1" t="n">
        <f aca="false">IF(OR($K$1="",对接源_02物料!$C1128="",对接源_02物料!$C1128&lt;&gt;$K$1,对接源_02物料!$B1128=""),0,IF(OR(N(对接源_02物料!$B1128)&lt;$K$2,N(对接源_02物料!$B1128)&gt;$K$3),0,1))</f>
        <v>0</v>
      </c>
      <c r="L2328" s="1" t="n">
        <f aca="false">IF(OR($L$1="",对接源_02物料!$C1128="",对接源_02物料!$C1128&lt;&gt;$L$1,对接源_02物料!$B1128=""),0,IF(OR(N(对接源_02物料!$B1128)&lt;$L$2,N(对接源_02物料!$B1128)&gt;$L$3),0,1))</f>
        <v>0</v>
      </c>
      <c r="M2328" s="1" t="n">
        <f aca="false">IF(OR($M$1="",对接源_02物料!$C1128="",对接源_02物料!$C1128&lt;&gt;$M$1,对接源_02物料!$B1128=""),0,IF(OR(N(对接源_02物料!$B1128)&lt;$M$2,N(对接源_02物料!$B1128)&gt;$M$3),0,1))</f>
        <v>0</v>
      </c>
      <c r="N2328" s="1" t="n">
        <f aca="false">IF(OR($N$1="",对接源_02物料!$C1128="",对接源_02物料!$C1128&lt;&gt;$N$1,对接源_02物料!$B1128=""),0,IF(OR(N(对接源_02物料!$B1128)&lt;$N$2,N(对接源_02物料!$B1128)&gt;$N$3),0,1))</f>
        <v>0</v>
      </c>
      <c r="P2328" s="1" t="n">
        <f aca="false">IF(AND($K2328=1,AND(对接源_02物料!$X1128="公司筐",N(对接源_02物料!$T1128)&lt;&gt;0)),1,0)</f>
        <v>0</v>
      </c>
      <c r="Q2328" s="1" t="n">
        <f aca="false">N(Q2327)+$P2328</f>
        <v>13</v>
      </c>
      <c r="R2328" s="1" t="n">
        <f aca="false">IF(AND($K2328=1,AND(对接源_02物料!$X1128="公司筐",N(对接源_02物料!$U1128)&lt;&gt;0)),1,0)</f>
        <v>0</v>
      </c>
      <c r="S2328" s="1" t="n">
        <f aca="false">N(S2327)+$R2328</f>
        <v>5</v>
      </c>
      <c r="T2328" s="1" t="n">
        <f aca="false">IF(AND($K2328=1,AND(对接源_02物料!$X1128="公司筐",N(对接源_02物料!$V1128)&lt;&gt;0)),1,0)</f>
        <v>0</v>
      </c>
      <c r="U2328" s="1" t="n">
        <f aca="false">N(U2327)+$T2328</f>
        <v>28</v>
      </c>
      <c r="V2328" s="1" t="n">
        <f aca="false">IF(AND($L2328=1,AND(对接源_02物料!$X1128="自备筐",N(对接源_02物料!$V1128)&lt;&gt;0)),1,0)</f>
        <v>0</v>
      </c>
      <c r="W2328" s="1" t="n">
        <f aca="false">N(W2327)+$V2328</f>
        <v>7</v>
      </c>
      <c r="X2328" s="1" t="n">
        <f aca="false">IF(AND($L2328=1,AND(对接源_02物料!$X1128="自备筐",N(对接源_02物料!$T1128)&lt;&gt;0)),1,0)</f>
        <v>0</v>
      </c>
      <c r="Y2328" s="1" t="n">
        <f aca="false">N(Y2327)+$X2328</f>
        <v>0</v>
      </c>
      <c r="Z2328" s="1" t="n">
        <f aca="false">IF(AND($M2328=1,对接源_02物料!$D1128="原料入库"),1,0)</f>
        <v>0</v>
      </c>
      <c r="AA2328" s="1" t="n">
        <f aca="false">N(AA2327)+$Z2328</f>
        <v>30</v>
      </c>
      <c r="AB2328" s="1" t="n">
        <f aca="false">IF(AND($M2328=1,LEFT(对接源_02物料!$D1128,4)="原料出库"),1,0)</f>
        <v>0</v>
      </c>
      <c r="AC2328" s="1" t="n">
        <f aca="false">N(AC2327)+$AB2328</f>
        <v>19</v>
      </c>
      <c r="AD2328" s="1" t="n">
        <f aca="false">IF(AND($M2328=1,LEFT(对接源_02物料!$D1128,4)="成品出库"),1,0)</f>
        <v>0</v>
      </c>
      <c r="AE2328" s="1" t="n">
        <f aca="false">N(AE2327)+$AD2328</f>
        <v>38</v>
      </c>
      <c r="AF2328" s="1" t="n">
        <f aca="false">IF(AND($N2328=1,AND(LEFT(对接源_02物料!$D1128,4)="包装物料",N(对接源_02物料!$K1128)&lt;&gt;0)),1,0)</f>
        <v>0</v>
      </c>
      <c r="AG2328" s="1" t="n">
        <f aca="false">N(AG2327)+$AF2328</f>
        <v>6</v>
      </c>
      <c r="AH2328" s="1" t="n">
        <f aca="false">IF(AND($N2328=1,AND(LEFT(对接源_02物料!$D1128,3)="周转筐",N(对接源_02物料!$K1128)&lt;&gt;0)),1,0)</f>
        <v>0</v>
      </c>
      <c r="AI2328" s="1" t="n">
        <f aca="false">N(AI2327)+$AH2328</f>
        <v>0</v>
      </c>
      <c r="AJ2328" s="1" t="n">
        <v>0</v>
      </c>
      <c r="AK2328" s="1" t="n">
        <f aca="false">N(AK2327)+$AJ2328</f>
        <v>3672</v>
      </c>
    </row>
    <row r="2329" customFormat="false" ht="13.5" hidden="false" customHeight="false" outlineLevel="0" collapsed="false">
      <c r="A2329" s="1" t="str">
        <f aca="false">IF(对接源_02物料!$C1129="","",对接源_02物料!$C1129)</f>
        <v/>
      </c>
      <c r="B2329" s="1" t="n">
        <f aca="false">IF(A2329="",0,IF(MATCH(A2329,$A$4:$A$2403,0)=ROW()-3,1,0))</f>
        <v>0</v>
      </c>
      <c r="C2329" s="1" t="n">
        <f aca="false">N(C2328)+B2329</f>
        <v>17</v>
      </c>
      <c r="K2329" s="1" t="n">
        <f aca="false">IF(OR($K$1="",对接源_02物料!$C1129="",对接源_02物料!$C1129&lt;&gt;$K$1,对接源_02物料!$B1129=""),0,IF(OR(N(对接源_02物料!$B1129)&lt;$K$2,N(对接源_02物料!$B1129)&gt;$K$3),0,1))</f>
        <v>0</v>
      </c>
      <c r="L2329" s="1" t="n">
        <f aca="false">IF(OR($L$1="",对接源_02物料!$C1129="",对接源_02物料!$C1129&lt;&gt;$L$1,对接源_02物料!$B1129=""),0,IF(OR(N(对接源_02物料!$B1129)&lt;$L$2,N(对接源_02物料!$B1129)&gt;$L$3),0,1))</f>
        <v>0</v>
      </c>
      <c r="M2329" s="1" t="n">
        <f aca="false">IF(OR($M$1="",对接源_02物料!$C1129="",对接源_02物料!$C1129&lt;&gt;$M$1,对接源_02物料!$B1129=""),0,IF(OR(N(对接源_02物料!$B1129)&lt;$M$2,N(对接源_02物料!$B1129)&gt;$M$3),0,1))</f>
        <v>0</v>
      </c>
      <c r="N2329" s="1" t="n">
        <f aca="false">IF(OR($N$1="",对接源_02物料!$C1129="",对接源_02物料!$C1129&lt;&gt;$N$1,对接源_02物料!$B1129=""),0,IF(OR(N(对接源_02物料!$B1129)&lt;$N$2,N(对接源_02物料!$B1129)&gt;$N$3),0,1))</f>
        <v>0</v>
      </c>
      <c r="P2329" s="1" t="n">
        <f aca="false">IF(AND($K2329=1,AND(对接源_02物料!$X1129="公司筐",N(对接源_02物料!$T1129)&lt;&gt;0)),1,0)</f>
        <v>0</v>
      </c>
      <c r="Q2329" s="1" t="n">
        <f aca="false">N(Q2328)+$P2329</f>
        <v>13</v>
      </c>
      <c r="R2329" s="1" t="n">
        <f aca="false">IF(AND($K2329=1,AND(对接源_02物料!$X1129="公司筐",N(对接源_02物料!$U1129)&lt;&gt;0)),1,0)</f>
        <v>0</v>
      </c>
      <c r="S2329" s="1" t="n">
        <f aca="false">N(S2328)+$R2329</f>
        <v>5</v>
      </c>
      <c r="T2329" s="1" t="n">
        <f aca="false">IF(AND($K2329=1,AND(对接源_02物料!$X1129="公司筐",N(对接源_02物料!$V1129)&lt;&gt;0)),1,0)</f>
        <v>0</v>
      </c>
      <c r="U2329" s="1" t="n">
        <f aca="false">N(U2328)+$T2329</f>
        <v>28</v>
      </c>
      <c r="V2329" s="1" t="n">
        <f aca="false">IF(AND($L2329=1,AND(对接源_02物料!$X1129="自备筐",N(对接源_02物料!$V1129)&lt;&gt;0)),1,0)</f>
        <v>0</v>
      </c>
      <c r="W2329" s="1" t="n">
        <f aca="false">N(W2328)+$V2329</f>
        <v>7</v>
      </c>
      <c r="X2329" s="1" t="n">
        <f aca="false">IF(AND($L2329=1,AND(对接源_02物料!$X1129="自备筐",N(对接源_02物料!$T1129)&lt;&gt;0)),1,0)</f>
        <v>0</v>
      </c>
      <c r="Y2329" s="1" t="n">
        <f aca="false">N(Y2328)+$X2329</f>
        <v>0</v>
      </c>
      <c r="Z2329" s="1" t="n">
        <f aca="false">IF(AND($M2329=1,对接源_02物料!$D1129="原料入库"),1,0)</f>
        <v>0</v>
      </c>
      <c r="AA2329" s="1" t="n">
        <f aca="false">N(AA2328)+$Z2329</f>
        <v>30</v>
      </c>
      <c r="AB2329" s="1" t="n">
        <f aca="false">IF(AND($M2329=1,LEFT(对接源_02物料!$D1129,4)="原料出库"),1,0)</f>
        <v>0</v>
      </c>
      <c r="AC2329" s="1" t="n">
        <f aca="false">N(AC2328)+$AB2329</f>
        <v>19</v>
      </c>
      <c r="AD2329" s="1" t="n">
        <f aca="false">IF(AND($M2329=1,LEFT(对接源_02物料!$D1129,4)="成品出库"),1,0)</f>
        <v>0</v>
      </c>
      <c r="AE2329" s="1" t="n">
        <f aca="false">N(AE2328)+$AD2329</f>
        <v>38</v>
      </c>
      <c r="AF2329" s="1" t="n">
        <f aca="false">IF(AND($N2329=1,AND(LEFT(对接源_02物料!$D1129,4)="包装物料",N(对接源_02物料!$K1129)&lt;&gt;0)),1,0)</f>
        <v>0</v>
      </c>
      <c r="AG2329" s="1" t="n">
        <f aca="false">N(AG2328)+$AF2329</f>
        <v>6</v>
      </c>
      <c r="AH2329" s="1" t="n">
        <f aca="false">IF(AND($N2329=1,AND(LEFT(对接源_02物料!$D1129,3)="周转筐",N(对接源_02物料!$K1129)&lt;&gt;0)),1,0)</f>
        <v>0</v>
      </c>
      <c r="AI2329" s="1" t="n">
        <f aca="false">N(AI2328)+$AH2329</f>
        <v>0</v>
      </c>
      <c r="AJ2329" s="1" t="n">
        <v>0</v>
      </c>
      <c r="AK2329" s="1" t="n">
        <f aca="false">N(AK2328)+$AJ2329</f>
        <v>3672</v>
      </c>
    </row>
    <row r="2330" customFormat="false" ht="13.5" hidden="false" customHeight="false" outlineLevel="0" collapsed="false">
      <c r="A2330" s="1" t="str">
        <f aca="false">IF(对接源_02物料!$C1130="","",对接源_02物料!$C1130)</f>
        <v/>
      </c>
      <c r="B2330" s="1" t="n">
        <f aca="false">IF(A2330="",0,IF(MATCH(A2330,$A$4:$A$2403,0)=ROW()-3,1,0))</f>
        <v>0</v>
      </c>
      <c r="C2330" s="1" t="n">
        <f aca="false">N(C2329)+B2330</f>
        <v>17</v>
      </c>
      <c r="K2330" s="1" t="n">
        <f aca="false">IF(OR($K$1="",对接源_02物料!$C1130="",对接源_02物料!$C1130&lt;&gt;$K$1,对接源_02物料!$B1130=""),0,IF(OR(N(对接源_02物料!$B1130)&lt;$K$2,N(对接源_02物料!$B1130)&gt;$K$3),0,1))</f>
        <v>0</v>
      </c>
      <c r="L2330" s="1" t="n">
        <f aca="false">IF(OR($L$1="",对接源_02物料!$C1130="",对接源_02物料!$C1130&lt;&gt;$L$1,对接源_02物料!$B1130=""),0,IF(OR(N(对接源_02物料!$B1130)&lt;$L$2,N(对接源_02物料!$B1130)&gt;$L$3),0,1))</f>
        <v>0</v>
      </c>
      <c r="M2330" s="1" t="n">
        <f aca="false">IF(OR($M$1="",对接源_02物料!$C1130="",对接源_02物料!$C1130&lt;&gt;$M$1,对接源_02物料!$B1130=""),0,IF(OR(N(对接源_02物料!$B1130)&lt;$M$2,N(对接源_02物料!$B1130)&gt;$M$3),0,1))</f>
        <v>0</v>
      </c>
      <c r="N2330" s="1" t="n">
        <f aca="false">IF(OR($N$1="",对接源_02物料!$C1130="",对接源_02物料!$C1130&lt;&gt;$N$1,对接源_02物料!$B1130=""),0,IF(OR(N(对接源_02物料!$B1130)&lt;$N$2,N(对接源_02物料!$B1130)&gt;$N$3),0,1))</f>
        <v>0</v>
      </c>
      <c r="P2330" s="1" t="n">
        <f aca="false">IF(AND($K2330=1,AND(对接源_02物料!$X1130="公司筐",N(对接源_02物料!$T1130)&lt;&gt;0)),1,0)</f>
        <v>0</v>
      </c>
      <c r="Q2330" s="1" t="n">
        <f aca="false">N(Q2329)+$P2330</f>
        <v>13</v>
      </c>
      <c r="R2330" s="1" t="n">
        <f aca="false">IF(AND($K2330=1,AND(对接源_02物料!$X1130="公司筐",N(对接源_02物料!$U1130)&lt;&gt;0)),1,0)</f>
        <v>0</v>
      </c>
      <c r="S2330" s="1" t="n">
        <f aca="false">N(S2329)+$R2330</f>
        <v>5</v>
      </c>
      <c r="T2330" s="1" t="n">
        <f aca="false">IF(AND($K2330=1,AND(对接源_02物料!$X1130="公司筐",N(对接源_02物料!$V1130)&lt;&gt;0)),1,0)</f>
        <v>0</v>
      </c>
      <c r="U2330" s="1" t="n">
        <f aca="false">N(U2329)+$T2330</f>
        <v>28</v>
      </c>
      <c r="V2330" s="1" t="n">
        <f aca="false">IF(AND($L2330=1,AND(对接源_02物料!$X1130="自备筐",N(对接源_02物料!$V1130)&lt;&gt;0)),1,0)</f>
        <v>0</v>
      </c>
      <c r="W2330" s="1" t="n">
        <f aca="false">N(W2329)+$V2330</f>
        <v>7</v>
      </c>
      <c r="X2330" s="1" t="n">
        <f aca="false">IF(AND($L2330=1,AND(对接源_02物料!$X1130="自备筐",N(对接源_02物料!$T1130)&lt;&gt;0)),1,0)</f>
        <v>0</v>
      </c>
      <c r="Y2330" s="1" t="n">
        <f aca="false">N(Y2329)+$X2330</f>
        <v>0</v>
      </c>
      <c r="Z2330" s="1" t="n">
        <f aca="false">IF(AND($M2330=1,对接源_02物料!$D1130="原料入库"),1,0)</f>
        <v>0</v>
      </c>
      <c r="AA2330" s="1" t="n">
        <f aca="false">N(AA2329)+$Z2330</f>
        <v>30</v>
      </c>
      <c r="AB2330" s="1" t="n">
        <f aca="false">IF(AND($M2330=1,LEFT(对接源_02物料!$D1130,4)="原料出库"),1,0)</f>
        <v>0</v>
      </c>
      <c r="AC2330" s="1" t="n">
        <f aca="false">N(AC2329)+$AB2330</f>
        <v>19</v>
      </c>
      <c r="AD2330" s="1" t="n">
        <f aca="false">IF(AND($M2330=1,LEFT(对接源_02物料!$D1130,4)="成品出库"),1,0)</f>
        <v>0</v>
      </c>
      <c r="AE2330" s="1" t="n">
        <f aca="false">N(AE2329)+$AD2330</f>
        <v>38</v>
      </c>
      <c r="AF2330" s="1" t="n">
        <f aca="false">IF(AND($N2330=1,AND(LEFT(对接源_02物料!$D1130,4)="包装物料",N(对接源_02物料!$K1130)&lt;&gt;0)),1,0)</f>
        <v>0</v>
      </c>
      <c r="AG2330" s="1" t="n">
        <f aca="false">N(AG2329)+$AF2330</f>
        <v>6</v>
      </c>
      <c r="AH2330" s="1" t="n">
        <f aca="false">IF(AND($N2330=1,AND(LEFT(对接源_02物料!$D1130,3)="周转筐",N(对接源_02物料!$K1130)&lt;&gt;0)),1,0)</f>
        <v>0</v>
      </c>
      <c r="AI2330" s="1" t="n">
        <f aca="false">N(AI2329)+$AH2330</f>
        <v>0</v>
      </c>
      <c r="AJ2330" s="1" t="n">
        <v>0</v>
      </c>
      <c r="AK2330" s="1" t="n">
        <f aca="false">N(AK2329)+$AJ2330</f>
        <v>3672</v>
      </c>
    </row>
    <row r="2331" customFormat="false" ht="13.5" hidden="false" customHeight="false" outlineLevel="0" collapsed="false">
      <c r="A2331" s="1" t="str">
        <f aca="false">IF(对接源_02物料!$C1131="","",对接源_02物料!$C1131)</f>
        <v/>
      </c>
      <c r="B2331" s="1" t="n">
        <f aca="false">IF(A2331="",0,IF(MATCH(A2331,$A$4:$A$2403,0)=ROW()-3,1,0))</f>
        <v>0</v>
      </c>
      <c r="C2331" s="1" t="n">
        <f aca="false">N(C2330)+B2331</f>
        <v>17</v>
      </c>
      <c r="K2331" s="1" t="n">
        <f aca="false">IF(OR($K$1="",对接源_02物料!$C1131="",对接源_02物料!$C1131&lt;&gt;$K$1,对接源_02物料!$B1131=""),0,IF(OR(N(对接源_02物料!$B1131)&lt;$K$2,N(对接源_02物料!$B1131)&gt;$K$3),0,1))</f>
        <v>0</v>
      </c>
      <c r="L2331" s="1" t="n">
        <f aca="false">IF(OR($L$1="",对接源_02物料!$C1131="",对接源_02物料!$C1131&lt;&gt;$L$1,对接源_02物料!$B1131=""),0,IF(OR(N(对接源_02物料!$B1131)&lt;$L$2,N(对接源_02物料!$B1131)&gt;$L$3),0,1))</f>
        <v>0</v>
      </c>
      <c r="M2331" s="1" t="n">
        <f aca="false">IF(OR($M$1="",对接源_02物料!$C1131="",对接源_02物料!$C1131&lt;&gt;$M$1,对接源_02物料!$B1131=""),0,IF(OR(N(对接源_02物料!$B1131)&lt;$M$2,N(对接源_02物料!$B1131)&gt;$M$3),0,1))</f>
        <v>0</v>
      </c>
      <c r="N2331" s="1" t="n">
        <f aca="false">IF(OR($N$1="",对接源_02物料!$C1131="",对接源_02物料!$C1131&lt;&gt;$N$1,对接源_02物料!$B1131=""),0,IF(OR(N(对接源_02物料!$B1131)&lt;$N$2,N(对接源_02物料!$B1131)&gt;$N$3),0,1))</f>
        <v>0</v>
      </c>
      <c r="P2331" s="1" t="n">
        <f aca="false">IF(AND($K2331=1,AND(对接源_02物料!$X1131="公司筐",N(对接源_02物料!$T1131)&lt;&gt;0)),1,0)</f>
        <v>0</v>
      </c>
      <c r="Q2331" s="1" t="n">
        <f aca="false">N(Q2330)+$P2331</f>
        <v>13</v>
      </c>
      <c r="R2331" s="1" t="n">
        <f aca="false">IF(AND($K2331=1,AND(对接源_02物料!$X1131="公司筐",N(对接源_02物料!$U1131)&lt;&gt;0)),1,0)</f>
        <v>0</v>
      </c>
      <c r="S2331" s="1" t="n">
        <f aca="false">N(S2330)+$R2331</f>
        <v>5</v>
      </c>
      <c r="T2331" s="1" t="n">
        <f aca="false">IF(AND($K2331=1,AND(对接源_02物料!$X1131="公司筐",N(对接源_02物料!$V1131)&lt;&gt;0)),1,0)</f>
        <v>0</v>
      </c>
      <c r="U2331" s="1" t="n">
        <f aca="false">N(U2330)+$T2331</f>
        <v>28</v>
      </c>
      <c r="V2331" s="1" t="n">
        <f aca="false">IF(AND($L2331=1,AND(对接源_02物料!$X1131="自备筐",N(对接源_02物料!$V1131)&lt;&gt;0)),1,0)</f>
        <v>0</v>
      </c>
      <c r="W2331" s="1" t="n">
        <f aca="false">N(W2330)+$V2331</f>
        <v>7</v>
      </c>
      <c r="X2331" s="1" t="n">
        <f aca="false">IF(AND($L2331=1,AND(对接源_02物料!$X1131="自备筐",N(对接源_02物料!$T1131)&lt;&gt;0)),1,0)</f>
        <v>0</v>
      </c>
      <c r="Y2331" s="1" t="n">
        <f aca="false">N(Y2330)+$X2331</f>
        <v>0</v>
      </c>
      <c r="Z2331" s="1" t="n">
        <f aca="false">IF(AND($M2331=1,对接源_02物料!$D1131="原料入库"),1,0)</f>
        <v>0</v>
      </c>
      <c r="AA2331" s="1" t="n">
        <f aca="false">N(AA2330)+$Z2331</f>
        <v>30</v>
      </c>
      <c r="AB2331" s="1" t="n">
        <f aca="false">IF(AND($M2331=1,LEFT(对接源_02物料!$D1131,4)="原料出库"),1,0)</f>
        <v>0</v>
      </c>
      <c r="AC2331" s="1" t="n">
        <f aca="false">N(AC2330)+$AB2331</f>
        <v>19</v>
      </c>
      <c r="AD2331" s="1" t="n">
        <f aca="false">IF(AND($M2331=1,LEFT(对接源_02物料!$D1131,4)="成品出库"),1,0)</f>
        <v>0</v>
      </c>
      <c r="AE2331" s="1" t="n">
        <f aca="false">N(AE2330)+$AD2331</f>
        <v>38</v>
      </c>
      <c r="AF2331" s="1" t="n">
        <f aca="false">IF(AND($N2331=1,AND(LEFT(对接源_02物料!$D1131,4)="包装物料",N(对接源_02物料!$K1131)&lt;&gt;0)),1,0)</f>
        <v>0</v>
      </c>
      <c r="AG2331" s="1" t="n">
        <f aca="false">N(AG2330)+$AF2331</f>
        <v>6</v>
      </c>
      <c r="AH2331" s="1" t="n">
        <f aca="false">IF(AND($N2331=1,AND(LEFT(对接源_02物料!$D1131,3)="周转筐",N(对接源_02物料!$K1131)&lt;&gt;0)),1,0)</f>
        <v>0</v>
      </c>
      <c r="AI2331" s="1" t="n">
        <f aca="false">N(AI2330)+$AH2331</f>
        <v>0</v>
      </c>
      <c r="AJ2331" s="1" t="n">
        <v>0</v>
      </c>
      <c r="AK2331" s="1" t="n">
        <f aca="false">N(AK2330)+$AJ2331</f>
        <v>3672</v>
      </c>
    </row>
    <row r="2332" customFormat="false" ht="13.5" hidden="false" customHeight="false" outlineLevel="0" collapsed="false">
      <c r="A2332" s="1" t="str">
        <f aca="false">IF(对接源_02物料!$C1132="","",对接源_02物料!$C1132)</f>
        <v/>
      </c>
      <c r="B2332" s="1" t="n">
        <f aca="false">IF(A2332="",0,IF(MATCH(A2332,$A$4:$A$2403,0)=ROW()-3,1,0))</f>
        <v>0</v>
      </c>
      <c r="C2332" s="1" t="n">
        <f aca="false">N(C2331)+B2332</f>
        <v>17</v>
      </c>
      <c r="K2332" s="1" t="n">
        <f aca="false">IF(OR($K$1="",对接源_02物料!$C1132="",对接源_02物料!$C1132&lt;&gt;$K$1,对接源_02物料!$B1132=""),0,IF(OR(N(对接源_02物料!$B1132)&lt;$K$2,N(对接源_02物料!$B1132)&gt;$K$3),0,1))</f>
        <v>0</v>
      </c>
      <c r="L2332" s="1" t="n">
        <f aca="false">IF(OR($L$1="",对接源_02物料!$C1132="",对接源_02物料!$C1132&lt;&gt;$L$1,对接源_02物料!$B1132=""),0,IF(OR(N(对接源_02物料!$B1132)&lt;$L$2,N(对接源_02物料!$B1132)&gt;$L$3),0,1))</f>
        <v>0</v>
      </c>
      <c r="M2332" s="1" t="n">
        <f aca="false">IF(OR($M$1="",对接源_02物料!$C1132="",对接源_02物料!$C1132&lt;&gt;$M$1,对接源_02物料!$B1132=""),0,IF(OR(N(对接源_02物料!$B1132)&lt;$M$2,N(对接源_02物料!$B1132)&gt;$M$3),0,1))</f>
        <v>0</v>
      </c>
      <c r="N2332" s="1" t="n">
        <f aca="false">IF(OR($N$1="",对接源_02物料!$C1132="",对接源_02物料!$C1132&lt;&gt;$N$1,对接源_02物料!$B1132=""),0,IF(OR(N(对接源_02物料!$B1132)&lt;$N$2,N(对接源_02物料!$B1132)&gt;$N$3),0,1))</f>
        <v>0</v>
      </c>
      <c r="P2332" s="1" t="n">
        <f aca="false">IF(AND($K2332=1,AND(对接源_02物料!$X1132="公司筐",N(对接源_02物料!$T1132)&lt;&gt;0)),1,0)</f>
        <v>0</v>
      </c>
      <c r="Q2332" s="1" t="n">
        <f aca="false">N(Q2331)+$P2332</f>
        <v>13</v>
      </c>
      <c r="R2332" s="1" t="n">
        <f aca="false">IF(AND($K2332=1,AND(对接源_02物料!$X1132="公司筐",N(对接源_02物料!$U1132)&lt;&gt;0)),1,0)</f>
        <v>0</v>
      </c>
      <c r="S2332" s="1" t="n">
        <f aca="false">N(S2331)+$R2332</f>
        <v>5</v>
      </c>
      <c r="T2332" s="1" t="n">
        <f aca="false">IF(AND($K2332=1,AND(对接源_02物料!$X1132="公司筐",N(对接源_02物料!$V1132)&lt;&gt;0)),1,0)</f>
        <v>0</v>
      </c>
      <c r="U2332" s="1" t="n">
        <f aca="false">N(U2331)+$T2332</f>
        <v>28</v>
      </c>
      <c r="V2332" s="1" t="n">
        <f aca="false">IF(AND($L2332=1,AND(对接源_02物料!$X1132="自备筐",N(对接源_02物料!$V1132)&lt;&gt;0)),1,0)</f>
        <v>0</v>
      </c>
      <c r="W2332" s="1" t="n">
        <f aca="false">N(W2331)+$V2332</f>
        <v>7</v>
      </c>
      <c r="X2332" s="1" t="n">
        <f aca="false">IF(AND($L2332=1,AND(对接源_02物料!$X1132="自备筐",N(对接源_02物料!$T1132)&lt;&gt;0)),1,0)</f>
        <v>0</v>
      </c>
      <c r="Y2332" s="1" t="n">
        <f aca="false">N(Y2331)+$X2332</f>
        <v>0</v>
      </c>
      <c r="Z2332" s="1" t="n">
        <f aca="false">IF(AND($M2332=1,对接源_02物料!$D1132="原料入库"),1,0)</f>
        <v>0</v>
      </c>
      <c r="AA2332" s="1" t="n">
        <f aca="false">N(AA2331)+$Z2332</f>
        <v>30</v>
      </c>
      <c r="AB2332" s="1" t="n">
        <f aca="false">IF(AND($M2332=1,LEFT(对接源_02物料!$D1132,4)="原料出库"),1,0)</f>
        <v>0</v>
      </c>
      <c r="AC2332" s="1" t="n">
        <f aca="false">N(AC2331)+$AB2332</f>
        <v>19</v>
      </c>
      <c r="AD2332" s="1" t="n">
        <f aca="false">IF(AND($M2332=1,LEFT(对接源_02物料!$D1132,4)="成品出库"),1,0)</f>
        <v>0</v>
      </c>
      <c r="AE2332" s="1" t="n">
        <f aca="false">N(AE2331)+$AD2332</f>
        <v>38</v>
      </c>
      <c r="AF2332" s="1" t="n">
        <f aca="false">IF(AND($N2332=1,AND(LEFT(对接源_02物料!$D1132,4)="包装物料",N(对接源_02物料!$K1132)&lt;&gt;0)),1,0)</f>
        <v>0</v>
      </c>
      <c r="AG2332" s="1" t="n">
        <f aca="false">N(AG2331)+$AF2332</f>
        <v>6</v>
      </c>
      <c r="AH2332" s="1" t="n">
        <f aca="false">IF(AND($N2332=1,AND(LEFT(对接源_02物料!$D1132,3)="周转筐",N(对接源_02物料!$K1132)&lt;&gt;0)),1,0)</f>
        <v>0</v>
      </c>
      <c r="AI2332" s="1" t="n">
        <f aca="false">N(AI2331)+$AH2332</f>
        <v>0</v>
      </c>
      <c r="AJ2332" s="1" t="n">
        <v>0</v>
      </c>
      <c r="AK2332" s="1" t="n">
        <f aca="false">N(AK2331)+$AJ2332</f>
        <v>3672</v>
      </c>
    </row>
    <row r="2333" customFormat="false" ht="13.5" hidden="false" customHeight="false" outlineLevel="0" collapsed="false">
      <c r="A2333" s="1" t="str">
        <f aca="false">IF(对接源_02物料!$C1133="","",对接源_02物料!$C1133)</f>
        <v/>
      </c>
      <c r="B2333" s="1" t="n">
        <f aca="false">IF(A2333="",0,IF(MATCH(A2333,$A$4:$A$2403,0)=ROW()-3,1,0))</f>
        <v>0</v>
      </c>
      <c r="C2333" s="1" t="n">
        <f aca="false">N(C2332)+B2333</f>
        <v>17</v>
      </c>
      <c r="K2333" s="1" t="n">
        <f aca="false">IF(OR($K$1="",对接源_02物料!$C1133="",对接源_02物料!$C1133&lt;&gt;$K$1,对接源_02物料!$B1133=""),0,IF(OR(N(对接源_02物料!$B1133)&lt;$K$2,N(对接源_02物料!$B1133)&gt;$K$3),0,1))</f>
        <v>0</v>
      </c>
      <c r="L2333" s="1" t="n">
        <f aca="false">IF(OR($L$1="",对接源_02物料!$C1133="",对接源_02物料!$C1133&lt;&gt;$L$1,对接源_02物料!$B1133=""),0,IF(OR(N(对接源_02物料!$B1133)&lt;$L$2,N(对接源_02物料!$B1133)&gt;$L$3),0,1))</f>
        <v>0</v>
      </c>
      <c r="M2333" s="1" t="n">
        <f aca="false">IF(OR($M$1="",对接源_02物料!$C1133="",对接源_02物料!$C1133&lt;&gt;$M$1,对接源_02物料!$B1133=""),0,IF(OR(N(对接源_02物料!$B1133)&lt;$M$2,N(对接源_02物料!$B1133)&gt;$M$3),0,1))</f>
        <v>0</v>
      </c>
      <c r="N2333" s="1" t="n">
        <f aca="false">IF(OR($N$1="",对接源_02物料!$C1133="",对接源_02物料!$C1133&lt;&gt;$N$1,对接源_02物料!$B1133=""),0,IF(OR(N(对接源_02物料!$B1133)&lt;$N$2,N(对接源_02物料!$B1133)&gt;$N$3),0,1))</f>
        <v>0</v>
      </c>
      <c r="P2333" s="1" t="n">
        <f aca="false">IF(AND($K2333=1,AND(对接源_02物料!$X1133="公司筐",N(对接源_02物料!$T1133)&lt;&gt;0)),1,0)</f>
        <v>0</v>
      </c>
      <c r="Q2333" s="1" t="n">
        <f aca="false">N(Q2332)+$P2333</f>
        <v>13</v>
      </c>
      <c r="R2333" s="1" t="n">
        <f aca="false">IF(AND($K2333=1,AND(对接源_02物料!$X1133="公司筐",N(对接源_02物料!$U1133)&lt;&gt;0)),1,0)</f>
        <v>0</v>
      </c>
      <c r="S2333" s="1" t="n">
        <f aca="false">N(S2332)+$R2333</f>
        <v>5</v>
      </c>
      <c r="T2333" s="1" t="n">
        <f aca="false">IF(AND($K2333=1,AND(对接源_02物料!$X1133="公司筐",N(对接源_02物料!$V1133)&lt;&gt;0)),1,0)</f>
        <v>0</v>
      </c>
      <c r="U2333" s="1" t="n">
        <f aca="false">N(U2332)+$T2333</f>
        <v>28</v>
      </c>
      <c r="V2333" s="1" t="n">
        <f aca="false">IF(AND($L2333=1,AND(对接源_02物料!$X1133="自备筐",N(对接源_02物料!$V1133)&lt;&gt;0)),1,0)</f>
        <v>0</v>
      </c>
      <c r="W2333" s="1" t="n">
        <f aca="false">N(W2332)+$V2333</f>
        <v>7</v>
      </c>
      <c r="X2333" s="1" t="n">
        <f aca="false">IF(AND($L2333=1,AND(对接源_02物料!$X1133="自备筐",N(对接源_02物料!$T1133)&lt;&gt;0)),1,0)</f>
        <v>0</v>
      </c>
      <c r="Y2333" s="1" t="n">
        <f aca="false">N(Y2332)+$X2333</f>
        <v>0</v>
      </c>
      <c r="Z2333" s="1" t="n">
        <f aca="false">IF(AND($M2333=1,对接源_02物料!$D1133="原料入库"),1,0)</f>
        <v>0</v>
      </c>
      <c r="AA2333" s="1" t="n">
        <f aca="false">N(AA2332)+$Z2333</f>
        <v>30</v>
      </c>
      <c r="AB2333" s="1" t="n">
        <f aca="false">IF(AND($M2333=1,LEFT(对接源_02物料!$D1133,4)="原料出库"),1,0)</f>
        <v>0</v>
      </c>
      <c r="AC2333" s="1" t="n">
        <f aca="false">N(AC2332)+$AB2333</f>
        <v>19</v>
      </c>
      <c r="AD2333" s="1" t="n">
        <f aca="false">IF(AND($M2333=1,LEFT(对接源_02物料!$D1133,4)="成品出库"),1,0)</f>
        <v>0</v>
      </c>
      <c r="AE2333" s="1" t="n">
        <f aca="false">N(AE2332)+$AD2333</f>
        <v>38</v>
      </c>
      <c r="AF2333" s="1" t="n">
        <f aca="false">IF(AND($N2333=1,AND(LEFT(对接源_02物料!$D1133,4)="包装物料",N(对接源_02物料!$K1133)&lt;&gt;0)),1,0)</f>
        <v>0</v>
      </c>
      <c r="AG2333" s="1" t="n">
        <f aca="false">N(AG2332)+$AF2333</f>
        <v>6</v>
      </c>
      <c r="AH2333" s="1" t="n">
        <f aca="false">IF(AND($N2333=1,AND(LEFT(对接源_02物料!$D1133,3)="周转筐",N(对接源_02物料!$K1133)&lt;&gt;0)),1,0)</f>
        <v>0</v>
      </c>
      <c r="AI2333" s="1" t="n">
        <f aca="false">N(AI2332)+$AH2333</f>
        <v>0</v>
      </c>
      <c r="AJ2333" s="1" t="n">
        <v>0</v>
      </c>
      <c r="AK2333" s="1" t="n">
        <f aca="false">N(AK2332)+$AJ2333</f>
        <v>3672</v>
      </c>
    </row>
    <row r="2334" customFormat="false" ht="13.5" hidden="false" customHeight="false" outlineLevel="0" collapsed="false">
      <c r="A2334" s="1" t="str">
        <f aca="false">IF(对接源_02物料!$C1134="","",对接源_02物料!$C1134)</f>
        <v/>
      </c>
      <c r="B2334" s="1" t="n">
        <f aca="false">IF(A2334="",0,IF(MATCH(A2334,$A$4:$A$2403,0)=ROW()-3,1,0))</f>
        <v>0</v>
      </c>
      <c r="C2334" s="1" t="n">
        <f aca="false">N(C2333)+B2334</f>
        <v>17</v>
      </c>
      <c r="K2334" s="1" t="n">
        <f aca="false">IF(OR($K$1="",对接源_02物料!$C1134="",对接源_02物料!$C1134&lt;&gt;$K$1,对接源_02物料!$B1134=""),0,IF(OR(N(对接源_02物料!$B1134)&lt;$K$2,N(对接源_02物料!$B1134)&gt;$K$3),0,1))</f>
        <v>0</v>
      </c>
      <c r="L2334" s="1" t="n">
        <f aca="false">IF(OR($L$1="",对接源_02物料!$C1134="",对接源_02物料!$C1134&lt;&gt;$L$1,对接源_02物料!$B1134=""),0,IF(OR(N(对接源_02物料!$B1134)&lt;$L$2,N(对接源_02物料!$B1134)&gt;$L$3),0,1))</f>
        <v>0</v>
      </c>
      <c r="M2334" s="1" t="n">
        <f aca="false">IF(OR($M$1="",对接源_02物料!$C1134="",对接源_02物料!$C1134&lt;&gt;$M$1,对接源_02物料!$B1134=""),0,IF(OR(N(对接源_02物料!$B1134)&lt;$M$2,N(对接源_02物料!$B1134)&gt;$M$3),0,1))</f>
        <v>0</v>
      </c>
      <c r="N2334" s="1" t="n">
        <f aca="false">IF(OR($N$1="",对接源_02物料!$C1134="",对接源_02物料!$C1134&lt;&gt;$N$1,对接源_02物料!$B1134=""),0,IF(OR(N(对接源_02物料!$B1134)&lt;$N$2,N(对接源_02物料!$B1134)&gt;$N$3),0,1))</f>
        <v>0</v>
      </c>
      <c r="P2334" s="1" t="n">
        <f aca="false">IF(AND($K2334=1,AND(对接源_02物料!$X1134="公司筐",N(对接源_02物料!$T1134)&lt;&gt;0)),1,0)</f>
        <v>0</v>
      </c>
      <c r="Q2334" s="1" t="n">
        <f aca="false">N(Q2333)+$P2334</f>
        <v>13</v>
      </c>
      <c r="R2334" s="1" t="n">
        <f aca="false">IF(AND($K2334=1,AND(对接源_02物料!$X1134="公司筐",N(对接源_02物料!$U1134)&lt;&gt;0)),1,0)</f>
        <v>0</v>
      </c>
      <c r="S2334" s="1" t="n">
        <f aca="false">N(S2333)+$R2334</f>
        <v>5</v>
      </c>
      <c r="T2334" s="1" t="n">
        <f aca="false">IF(AND($K2334=1,AND(对接源_02物料!$X1134="公司筐",N(对接源_02物料!$V1134)&lt;&gt;0)),1,0)</f>
        <v>0</v>
      </c>
      <c r="U2334" s="1" t="n">
        <f aca="false">N(U2333)+$T2334</f>
        <v>28</v>
      </c>
      <c r="V2334" s="1" t="n">
        <f aca="false">IF(AND($L2334=1,AND(对接源_02物料!$X1134="自备筐",N(对接源_02物料!$V1134)&lt;&gt;0)),1,0)</f>
        <v>0</v>
      </c>
      <c r="W2334" s="1" t="n">
        <f aca="false">N(W2333)+$V2334</f>
        <v>7</v>
      </c>
      <c r="X2334" s="1" t="n">
        <f aca="false">IF(AND($L2334=1,AND(对接源_02物料!$X1134="自备筐",N(对接源_02物料!$T1134)&lt;&gt;0)),1,0)</f>
        <v>0</v>
      </c>
      <c r="Y2334" s="1" t="n">
        <f aca="false">N(Y2333)+$X2334</f>
        <v>0</v>
      </c>
      <c r="Z2334" s="1" t="n">
        <f aca="false">IF(AND($M2334=1,对接源_02物料!$D1134="原料入库"),1,0)</f>
        <v>0</v>
      </c>
      <c r="AA2334" s="1" t="n">
        <f aca="false">N(AA2333)+$Z2334</f>
        <v>30</v>
      </c>
      <c r="AB2334" s="1" t="n">
        <f aca="false">IF(AND($M2334=1,LEFT(对接源_02物料!$D1134,4)="原料出库"),1,0)</f>
        <v>0</v>
      </c>
      <c r="AC2334" s="1" t="n">
        <f aca="false">N(AC2333)+$AB2334</f>
        <v>19</v>
      </c>
      <c r="AD2334" s="1" t="n">
        <f aca="false">IF(AND($M2334=1,LEFT(对接源_02物料!$D1134,4)="成品出库"),1,0)</f>
        <v>0</v>
      </c>
      <c r="AE2334" s="1" t="n">
        <f aca="false">N(AE2333)+$AD2334</f>
        <v>38</v>
      </c>
      <c r="AF2334" s="1" t="n">
        <f aca="false">IF(AND($N2334=1,AND(LEFT(对接源_02物料!$D1134,4)="包装物料",N(对接源_02物料!$K1134)&lt;&gt;0)),1,0)</f>
        <v>0</v>
      </c>
      <c r="AG2334" s="1" t="n">
        <f aca="false">N(AG2333)+$AF2334</f>
        <v>6</v>
      </c>
      <c r="AH2334" s="1" t="n">
        <f aca="false">IF(AND($N2334=1,AND(LEFT(对接源_02物料!$D1134,3)="周转筐",N(对接源_02物料!$K1134)&lt;&gt;0)),1,0)</f>
        <v>0</v>
      </c>
      <c r="AI2334" s="1" t="n">
        <f aca="false">N(AI2333)+$AH2334</f>
        <v>0</v>
      </c>
      <c r="AJ2334" s="1" t="n">
        <v>0</v>
      </c>
      <c r="AK2334" s="1" t="n">
        <f aca="false">N(AK2333)+$AJ2334</f>
        <v>3672</v>
      </c>
    </row>
    <row r="2335" customFormat="false" ht="13.5" hidden="false" customHeight="false" outlineLevel="0" collapsed="false">
      <c r="A2335" s="1" t="str">
        <f aca="false">IF(对接源_02物料!$C1135="","",对接源_02物料!$C1135)</f>
        <v/>
      </c>
      <c r="B2335" s="1" t="n">
        <f aca="false">IF(A2335="",0,IF(MATCH(A2335,$A$4:$A$2403,0)=ROW()-3,1,0))</f>
        <v>0</v>
      </c>
      <c r="C2335" s="1" t="n">
        <f aca="false">N(C2334)+B2335</f>
        <v>17</v>
      </c>
      <c r="K2335" s="1" t="n">
        <f aca="false">IF(OR($K$1="",对接源_02物料!$C1135="",对接源_02物料!$C1135&lt;&gt;$K$1,对接源_02物料!$B1135=""),0,IF(OR(N(对接源_02物料!$B1135)&lt;$K$2,N(对接源_02物料!$B1135)&gt;$K$3),0,1))</f>
        <v>0</v>
      </c>
      <c r="L2335" s="1" t="n">
        <f aca="false">IF(OR($L$1="",对接源_02物料!$C1135="",对接源_02物料!$C1135&lt;&gt;$L$1,对接源_02物料!$B1135=""),0,IF(OR(N(对接源_02物料!$B1135)&lt;$L$2,N(对接源_02物料!$B1135)&gt;$L$3),0,1))</f>
        <v>0</v>
      </c>
      <c r="M2335" s="1" t="n">
        <f aca="false">IF(OR($M$1="",对接源_02物料!$C1135="",对接源_02物料!$C1135&lt;&gt;$M$1,对接源_02物料!$B1135=""),0,IF(OR(N(对接源_02物料!$B1135)&lt;$M$2,N(对接源_02物料!$B1135)&gt;$M$3),0,1))</f>
        <v>0</v>
      </c>
      <c r="N2335" s="1" t="n">
        <f aca="false">IF(OR($N$1="",对接源_02物料!$C1135="",对接源_02物料!$C1135&lt;&gt;$N$1,对接源_02物料!$B1135=""),0,IF(OR(N(对接源_02物料!$B1135)&lt;$N$2,N(对接源_02物料!$B1135)&gt;$N$3),0,1))</f>
        <v>0</v>
      </c>
      <c r="P2335" s="1" t="n">
        <f aca="false">IF(AND($K2335=1,AND(对接源_02物料!$X1135="公司筐",N(对接源_02物料!$T1135)&lt;&gt;0)),1,0)</f>
        <v>0</v>
      </c>
      <c r="Q2335" s="1" t="n">
        <f aca="false">N(Q2334)+$P2335</f>
        <v>13</v>
      </c>
      <c r="R2335" s="1" t="n">
        <f aca="false">IF(AND($K2335=1,AND(对接源_02物料!$X1135="公司筐",N(对接源_02物料!$U1135)&lt;&gt;0)),1,0)</f>
        <v>0</v>
      </c>
      <c r="S2335" s="1" t="n">
        <f aca="false">N(S2334)+$R2335</f>
        <v>5</v>
      </c>
      <c r="T2335" s="1" t="n">
        <f aca="false">IF(AND($K2335=1,AND(对接源_02物料!$X1135="公司筐",N(对接源_02物料!$V1135)&lt;&gt;0)),1,0)</f>
        <v>0</v>
      </c>
      <c r="U2335" s="1" t="n">
        <f aca="false">N(U2334)+$T2335</f>
        <v>28</v>
      </c>
      <c r="V2335" s="1" t="n">
        <f aca="false">IF(AND($L2335=1,AND(对接源_02物料!$X1135="自备筐",N(对接源_02物料!$V1135)&lt;&gt;0)),1,0)</f>
        <v>0</v>
      </c>
      <c r="W2335" s="1" t="n">
        <f aca="false">N(W2334)+$V2335</f>
        <v>7</v>
      </c>
      <c r="X2335" s="1" t="n">
        <f aca="false">IF(AND($L2335=1,AND(对接源_02物料!$X1135="自备筐",N(对接源_02物料!$T1135)&lt;&gt;0)),1,0)</f>
        <v>0</v>
      </c>
      <c r="Y2335" s="1" t="n">
        <f aca="false">N(Y2334)+$X2335</f>
        <v>0</v>
      </c>
      <c r="Z2335" s="1" t="n">
        <f aca="false">IF(AND($M2335=1,对接源_02物料!$D1135="原料入库"),1,0)</f>
        <v>0</v>
      </c>
      <c r="AA2335" s="1" t="n">
        <f aca="false">N(AA2334)+$Z2335</f>
        <v>30</v>
      </c>
      <c r="AB2335" s="1" t="n">
        <f aca="false">IF(AND($M2335=1,LEFT(对接源_02物料!$D1135,4)="原料出库"),1,0)</f>
        <v>0</v>
      </c>
      <c r="AC2335" s="1" t="n">
        <f aca="false">N(AC2334)+$AB2335</f>
        <v>19</v>
      </c>
      <c r="AD2335" s="1" t="n">
        <f aca="false">IF(AND($M2335=1,LEFT(对接源_02物料!$D1135,4)="成品出库"),1,0)</f>
        <v>0</v>
      </c>
      <c r="AE2335" s="1" t="n">
        <f aca="false">N(AE2334)+$AD2335</f>
        <v>38</v>
      </c>
      <c r="AF2335" s="1" t="n">
        <f aca="false">IF(AND($N2335=1,AND(LEFT(对接源_02物料!$D1135,4)="包装物料",N(对接源_02物料!$K1135)&lt;&gt;0)),1,0)</f>
        <v>0</v>
      </c>
      <c r="AG2335" s="1" t="n">
        <f aca="false">N(AG2334)+$AF2335</f>
        <v>6</v>
      </c>
      <c r="AH2335" s="1" t="n">
        <f aca="false">IF(AND($N2335=1,AND(LEFT(对接源_02物料!$D1135,3)="周转筐",N(对接源_02物料!$K1135)&lt;&gt;0)),1,0)</f>
        <v>0</v>
      </c>
      <c r="AI2335" s="1" t="n">
        <f aca="false">N(AI2334)+$AH2335</f>
        <v>0</v>
      </c>
      <c r="AJ2335" s="1" t="n">
        <v>0</v>
      </c>
      <c r="AK2335" s="1" t="n">
        <f aca="false">N(AK2334)+$AJ2335</f>
        <v>3672</v>
      </c>
    </row>
    <row r="2336" customFormat="false" ht="13.5" hidden="false" customHeight="false" outlineLevel="0" collapsed="false">
      <c r="A2336" s="1" t="str">
        <f aca="false">IF(对接源_02物料!$C1136="","",对接源_02物料!$C1136)</f>
        <v/>
      </c>
      <c r="B2336" s="1" t="n">
        <f aca="false">IF(A2336="",0,IF(MATCH(A2336,$A$4:$A$2403,0)=ROW()-3,1,0))</f>
        <v>0</v>
      </c>
      <c r="C2336" s="1" t="n">
        <f aca="false">N(C2335)+B2336</f>
        <v>17</v>
      </c>
      <c r="K2336" s="1" t="n">
        <f aca="false">IF(OR($K$1="",对接源_02物料!$C1136="",对接源_02物料!$C1136&lt;&gt;$K$1,对接源_02物料!$B1136=""),0,IF(OR(N(对接源_02物料!$B1136)&lt;$K$2,N(对接源_02物料!$B1136)&gt;$K$3),0,1))</f>
        <v>0</v>
      </c>
      <c r="L2336" s="1" t="n">
        <f aca="false">IF(OR($L$1="",对接源_02物料!$C1136="",对接源_02物料!$C1136&lt;&gt;$L$1,对接源_02物料!$B1136=""),0,IF(OR(N(对接源_02物料!$B1136)&lt;$L$2,N(对接源_02物料!$B1136)&gt;$L$3),0,1))</f>
        <v>0</v>
      </c>
      <c r="M2336" s="1" t="n">
        <f aca="false">IF(OR($M$1="",对接源_02物料!$C1136="",对接源_02物料!$C1136&lt;&gt;$M$1,对接源_02物料!$B1136=""),0,IF(OR(N(对接源_02物料!$B1136)&lt;$M$2,N(对接源_02物料!$B1136)&gt;$M$3),0,1))</f>
        <v>0</v>
      </c>
      <c r="N2336" s="1" t="n">
        <f aca="false">IF(OR($N$1="",对接源_02物料!$C1136="",对接源_02物料!$C1136&lt;&gt;$N$1,对接源_02物料!$B1136=""),0,IF(OR(N(对接源_02物料!$B1136)&lt;$N$2,N(对接源_02物料!$B1136)&gt;$N$3),0,1))</f>
        <v>0</v>
      </c>
      <c r="P2336" s="1" t="n">
        <f aca="false">IF(AND($K2336=1,AND(对接源_02物料!$X1136="公司筐",N(对接源_02物料!$T1136)&lt;&gt;0)),1,0)</f>
        <v>0</v>
      </c>
      <c r="Q2336" s="1" t="n">
        <f aca="false">N(Q2335)+$P2336</f>
        <v>13</v>
      </c>
      <c r="R2336" s="1" t="n">
        <f aca="false">IF(AND($K2336=1,AND(对接源_02物料!$X1136="公司筐",N(对接源_02物料!$U1136)&lt;&gt;0)),1,0)</f>
        <v>0</v>
      </c>
      <c r="S2336" s="1" t="n">
        <f aca="false">N(S2335)+$R2336</f>
        <v>5</v>
      </c>
      <c r="T2336" s="1" t="n">
        <f aca="false">IF(AND($K2336=1,AND(对接源_02物料!$X1136="公司筐",N(对接源_02物料!$V1136)&lt;&gt;0)),1,0)</f>
        <v>0</v>
      </c>
      <c r="U2336" s="1" t="n">
        <f aca="false">N(U2335)+$T2336</f>
        <v>28</v>
      </c>
      <c r="V2336" s="1" t="n">
        <f aca="false">IF(AND($L2336=1,AND(对接源_02物料!$X1136="自备筐",N(对接源_02物料!$V1136)&lt;&gt;0)),1,0)</f>
        <v>0</v>
      </c>
      <c r="W2336" s="1" t="n">
        <f aca="false">N(W2335)+$V2336</f>
        <v>7</v>
      </c>
      <c r="X2336" s="1" t="n">
        <f aca="false">IF(AND($L2336=1,AND(对接源_02物料!$X1136="自备筐",N(对接源_02物料!$T1136)&lt;&gt;0)),1,0)</f>
        <v>0</v>
      </c>
      <c r="Y2336" s="1" t="n">
        <f aca="false">N(Y2335)+$X2336</f>
        <v>0</v>
      </c>
      <c r="Z2336" s="1" t="n">
        <f aca="false">IF(AND($M2336=1,对接源_02物料!$D1136="原料入库"),1,0)</f>
        <v>0</v>
      </c>
      <c r="AA2336" s="1" t="n">
        <f aca="false">N(AA2335)+$Z2336</f>
        <v>30</v>
      </c>
      <c r="AB2336" s="1" t="n">
        <f aca="false">IF(AND($M2336=1,LEFT(对接源_02物料!$D1136,4)="原料出库"),1,0)</f>
        <v>0</v>
      </c>
      <c r="AC2336" s="1" t="n">
        <f aca="false">N(AC2335)+$AB2336</f>
        <v>19</v>
      </c>
      <c r="AD2336" s="1" t="n">
        <f aca="false">IF(AND($M2336=1,LEFT(对接源_02物料!$D1136,4)="成品出库"),1,0)</f>
        <v>0</v>
      </c>
      <c r="AE2336" s="1" t="n">
        <f aca="false">N(AE2335)+$AD2336</f>
        <v>38</v>
      </c>
      <c r="AF2336" s="1" t="n">
        <f aca="false">IF(AND($N2336=1,AND(LEFT(对接源_02物料!$D1136,4)="包装物料",N(对接源_02物料!$K1136)&lt;&gt;0)),1,0)</f>
        <v>0</v>
      </c>
      <c r="AG2336" s="1" t="n">
        <f aca="false">N(AG2335)+$AF2336</f>
        <v>6</v>
      </c>
      <c r="AH2336" s="1" t="n">
        <f aca="false">IF(AND($N2336=1,AND(LEFT(对接源_02物料!$D1136,3)="周转筐",N(对接源_02物料!$K1136)&lt;&gt;0)),1,0)</f>
        <v>0</v>
      </c>
      <c r="AI2336" s="1" t="n">
        <f aca="false">N(AI2335)+$AH2336</f>
        <v>0</v>
      </c>
      <c r="AJ2336" s="1" t="n">
        <v>0</v>
      </c>
      <c r="AK2336" s="1" t="n">
        <f aca="false">N(AK2335)+$AJ2336</f>
        <v>3672</v>
      </c>
    </row>
    <row r="2337" customFormat="false" ht="13.5" hidden="false" customHeight="false" outlineLevel="0" collapsed="false">
      <c r="A2337" s="1" t="str">
        <f aca="false">IF(对接源_02物料!$C1137="","",对接源_02物料!$C1137)</f>
        <v/>
      </c>
      <c r="B2337" s="1" t="n">
        <f aca="false">IF(A2337="",0,IF(MATCH(A2337,$A$4:$A$2403,0)=ROW()-3,1,0))</f>
        <v>0</v>
      </c>
      <c r="C2337" s="1" t="n">
        <f aca="false">N(C2336)+B2337</f>
        <v>17</v>
      </c>
      <c r="K2337" s="1" t="n">
        <f aca="false">IF(OR($K$1="",对接源_02物料!$C1137="",对接源_02物料!$C1137&lt;&gt;$K$1,对接源_02物料!$B1137=""),0,IF(OR(N(对接源_02物料!$B1137)&lt;$K$2,N(对接源_02物料!$B1137)&gt;$K$3),0,1))</f>
        <v>0</v>
      </c>
      <c r="L2337" s="1" t="n">
        <f aca="false">IF(OR($L$1="",对接源_02物料!$C1137="",对接源_02物料!$C1137&lt;&gt;$L$1,对接源_02物料!$B1137=""),0,IF(OR(N(对接源_02物料!$B1137)&lt;$L$2,N(对接源_02物料!$B1137)&gt;$L$3),0,1))</f>
        <v>0</v>
      </c>
      <c r="M2337" s="1" t="n">
        <f aca="false">IF(OR($M$1="",对接源_02物料!$C1137="",对接源_02物料!$C1137&lt;&gt;$M$1,对接源_02物料!$B1137=""),0,IF(OR(N(对接源_02物料!$B1137)&lt;$M$2,N(对接源_02物料!$B1137)&gt;$M$3),0,1))</f>
        <v>0</v>
      </c>
      <c r="N2337" s="1" t="n">
        <f aca="false">IF(OR($N$1="",对接源_02物料!$C1137="",对接源_02物料!$C1137&lt;&gt;$N$1,对接源_02物料!$B1137=""),0,IF(OR(N(对接源_02物料!$B1137)&lt;$N$2,N(对接源_02物料!$B1137)&gt;$N$3),0,1))</f>
        <v>0</v>
      </c>
      <c r="P2337" s="1" t="n">
        <f aca="false">IF(AND($K2337=1,AND(对接源_02物料!$X1137="公司筐",N(对接源_02物料!$T1137)&lt;&gt;0)),1,0)</f>
        <v>0</v>
      </c>
      <c r="Q2337" s="1" t="n">
        <f aca="false">N(Q2336)+$P2337</f>
        <v>13</v>
      </c>
      <c r="R2337" s="1" t="n">
        <f aca="false">IF(AND($K2337=1,AND(对接源_02物料!$X1137="公司筐",N(对接源_02物料!$U1137)&lt;&gt;0)),1,0)</f>
        <v>0</v>
      </c>
      <c r="S2337" s="1" t="n">
        <f aca="false">N(S2336)+$R2337</f>
        <v>5</v>
      </c>
      <c r="T2337" s="1" t="n">
        <f aca="false">IF(AND($K2337=1,AND(对接源_02物料!$X1137="公司筐",N(对接源_02物料!$V1137)&lt;&gt;0)),1,0)</f>
        <v>0</v>
      </c>
      <c r="U2337" s="1" t="n">
        <f aca="false">N(U2336)+$T2337</f>
        <v>28</v>
      </c>
      <c r="V2337" s="1" t="n">
        <f aca="false">IF(AND($L2337=1,AND(对接源_02物料!$X1137="自备筐",N(对接源_02物料!$V1137)&lt;&gt;0)),1,0)</f>
        <v>0</v>
      </c>
      <c r="W2337" s="1" t="n">
        <f aca="false">N(W2336)+$V2337</f>
        <v>7</v>
      </c>
      <c r="X2337" s="1" t="n">
        <f aca="false">IF(AND($L2337=1,AND(对接源_02物料!$X1137="自备筐",N(对接源_02物料!$T1137)&lt;&gt;0)),1,0)</f>
        <v>0</v>
      </c>
      <c r="Y2337" s="1" t="n">
        <f aca="false">N(Y2336)+$X2337</f>
        <v>0</v>
      </c>
      <c r="Z2337" s="1" t="n">
        <f aca="false">IF(AND($M2337=1,对接源_02物料!$D1137="原料入库"),1,0)</f>
        <v>0</v>
      </c>
      <c r="AA2337" s="1" t="n">
        <f aca="false">N(AA2336)+$Z2337</f>
        <v>30</v>
      </c>
      <c r="AB2337" s="1" t="n">
        <f aca="false">IF(AND($M2337=1,LEFT(对接源_02物料!$D1137,4)="原料出库"),1,0)</f>
        <v>0</v>
      </c>
      <c r="AC2337" s="1" t="n">
        <f aca="false">N(AC2336)+$AB2337</f>
        <v>19</v>
      </c>
      <c r="AD2337" s="1" t="n">
        <f aca="false">IF(AND($M2337=1,LEFT(对接源_02物料!$D1137,4)="成品出库"),1,0)</f>
        <v>0</v>
      </c>
      <c r="AE2337" s="1" t="n">
        <f aca="false">N(AE2336)+$AD2337</f>
        <v>38</v>
      </c>
      <c r="AF2337" s="1" t="n">
        <f aca="false">IF(AND($N2337=1,AND(LEFT(对接源_02物料!$D1137,4)="包装物料",N(对接源_02物料!$K1137)&lt;&gt;0)),1,0)</f>
        <v>0</v>
      </c>
      <c r="AG2337" s="1" t="n">
        <f aca="false">N(AG2336)+$AF2337</f>
        <v>6</v>
      </c>
      <c r="AH2337" s="1" t="n">
        <f aca="false">IF(AND($N2337=1,AND(LEFT(对接源_02物料!$D1137,3)="周转筐",N(对接源_02物料!$K1137)&lt;&gt;0)),1,0)</f>
        <v>0</v>
      </c>
      <c r="AI2337" s="1" t="n">
        <f aca="false">N(AI2336)+$AH2337</f>
        <v>0</v>
      </c>
      <c r="AJ2337" s="1" t="n">
        <v>0</v>
      </c>
      <c r="AK2337" s="1" t="n">
        <f aca="false">N(AK2336)+$AJ2337</f>
        <v>3672</v>
      </c>
    </row>
    <row r="2338" customFormat="false" ht="13.5" hidden="false" customHeight="false" outlineLevel="0" collapsed="false">
      <c r="A2338" s="1" t="str">
        <f aca="false">IF(对接源_02物料!$C1138="","",对接源_02物料!$C1138)</f>
        <v/>
      </c>
      <c r="B2338" s="1" t="n">
        <f aca="false">IF(A2338="",0,IF(MATCH(A2338,$A$4:$A$2403,0)=ROW()-3,1,0))</f>
        <v>0</v>
      </c>
      <c r="C2338" s="1" t="n">
        <f aca="false">N(C2337)+B2338</f>
        <v>17</v>
      </c>
      <c r="K2338" s="1" t="n">
        <f aca="false">IF(OR($K$1="",对接源_02物料!$C1138="",对接源_02物料!$C1138&lt;&gt;$K$1,对接源_02物料!$B1138=""),0,IF(OR(N(对接源_02物料!$B1138)&lt;$K$2,N(对接源_02物料!$B1138)&gt;$K$3),0,1))</f>
        <v>0</v>
      </c>
      <c r="L2338" s="1" t="n">
        <f aca="false">IF(OR($L$1="",对接源_02物料!$C1138="",对接源_02物料!$C1138&lt;&gt;$L$1,对接源_02物料!$B1138=""),0,IF(OR(N(对接源_02物料!$B1138)&lt;$L$2,N(对接源_02物料!$B1138)&gt;$L$3),0,1))</f>
        <v>0</v>
      </c>
      <c r="M2338" s="1" t="n">
        <f aca="false">IF(OR($M$1="",对接源_02物料!$C1138="",对接源_02物料!$C1138&lt;&gt;$M$1,对接源_02物料!$B1138=""),0,IF(OR(N(对接源_02物料!$B1138)&lt;$M$2,N(对接源_02物料!$B1138)&gt;$M$3),0,1))</f>
        <v>0</v>
      </c>
      <c r="N2338" s="1" t="n">
        <f aca="false">IF(OR($N$1="",对接源_02物料!$C1138="",对接源_02物料!$C1138&lt;&gt;$N$1,对接源_02物料!$B1138=""),0,IF(OR(N(对接源_02物料!$B1138)&lt;$N$2,N(对接源_02物料!$B1138)&gt;$N$3),0,1))</f>
        <v>0</v>
      </c>
      <c r="P2338" s="1" t="n">
        <f aca="false">IF(AND($K2338=1,AND(对接源_02物料!$X1138="公司筐",N(对接源_02物料!$T1138)&lt;&gt;0)),1,0)</f>
        <v>0</v>
      </c>
      <c r="Q2338" s="1" t="n">
        <f aca="false">N(Q2337)+$P2338</f>
        <v>13</v>
      </c>
      <c r="R2338" s="1" t="n">
        <f aca="false">IF(AND($K2338=1,AND(对接源_02物料!$X1138="公司筐",N(对接源_02物料!$U1138)&lt;&gt;0)),1,0)</f>
        <v>0</v>
      </c>
      <c r="S2338" s="1" t="n">
        <f aca="false">N(S2337)+$R2338</f>
        <v>5</v>
      </c>
      <c r="T2338" s="1" t="n">
        <f aca="false">IF(AND($K2338=1,AND(对接源_02物料!$X1138="公司筐",N(对接源_02物料!$V1138)&lt;&gt;0)),1,0)</f>
        <v>0</v>
      </c>
      <c r="U2338" s="1" t="n">
        <f aca="false">N(U2337)+$T2338</f>
        <v>28</v>
      </c>
      <c r="V2338" s="1" t="n">
        <f aca="false">IF(AND($L2338=1,AND(对接源_02物料!$X1138="自备筐",N(对接源_02物料!$V1138)&lt;&gt;0)),1,0)</f>
        <v>0</v>
      </c>
      <c r="W2338" s="1" t="n">
        <f aca="false">N(W2337)+$V2338</f>
        <v>7</v>
      </c>
      <c r="X2338" s="1" t="n">
        <f aca="false">IF(AND($L2338=1,AND(对接源_02物料!$X1138="自备筐",N(对接源_02物料!$T1138)&lt;&gt;0)),1,0)</f>
        <v>0</v>
      </c>
      <c r="Y2338" s="1" t="n">
        <f aca="false">N(Y2337)+$X2338</f>
        <v>0</v>
      </c>
      <c r="Z2338" s="1" t="n">
        <f aca="false">IF(AND($M2338=1,对接源_02物料!$D1138="原料入库"),1,0)</f>
        <v>0</v>
      </c>
      <c r="AA2338" s="1" t="n">
        <f aca="false">N(AA2337)+$Z2338</f>
        <v>30</v>
      </c>
      <c r="AB2338" s="1" t="n">
        <f aca="false">IF(AND($M2338=1,LEFT(对接源_02物料!$D1138,4)="原料出库"),1,0)</f>
        <v>0</v>
      </c>
      <c r="AC2338" s="1" t="n">
        <f aca="false">N(AC2337)+$AB2338</f>
        <v>19</v>
      </c>
      <c r="AD2338" s="1" t="n">
        <f aca="false">IF(AND($M2338=1,LEFT(对接源_02物料!$D1138,4)="成品出库"),1,0)</f>
        <v>0</v>
      </c>
      <c r="AE2338" s="1" t="n">
        <f aca="false">N(AE2337)+$AD2338</f>
        <v>38</v>
      </c>
      <c r="AF2338" s="1" t="n">
        <f aca="false">IF(AND($N2338=1,AND(LEFT(对接源_02物料!$D1138,4)="包装物料",N(对接源_02物料!$K1138)&lt;&gt;0)),1,0)</f>
        <v>0</v>
      </c>
      <c r="AG2338" s="1" t="n">
        <f aca="false">N(AG2337)+$AF2338</f>
        <v>6</v>
      </c>
      <c r="AH2338" s="1" t="n">
        <f aca="false">IF(AND($N2338=1,AND(LEFT(对接源_02物料!$D1138,3)="周转筐",N(对接源_02物料!$K1138)&lt;&gt;0)),1,0)</f>
        <v>0</v>
      </c>
      <c r="AI2338" s="1" t="n">
        <f aca="false">N(AI2337)+$AH2338</f>
        <v>0</v>
      </c>
      <c r="AJ2338" s="1" t="n">
        <v>0</v>
      </c>
      <c r="AK2338" s="1" t="n">
        <f aca="false">N(AK2337)+$AJ2338</f>
        <v>3672</v>
      </c>
    </row>
    <row r="2339" customFormat="false" ht="13.5" hidden="false" customHeight="false" outlineLevel="0" collapsed="false">
      <c r="A2339" s="1" t="str">
        <f aca="false">IF(对接源_02物料!$C1139="","",对接源_02物料!$C1139)</f>
        <v/>
      </c>
      <c r="B2339" s="1" t="n">
        <f aca="false">IF(A2339="",0,IF(MATCH(A2339,$A$4:$A$2403,0)=ROW()-3,1,0))</f>
        <v>0</v>
      </c>
      <c r="C2339" s="1" t="n">
        <f aca="false">N(C2338)+B2339</f>
        <v>17</v>
      </c>
      <c r="K2339" s="1" t="n">
        <f aca="false">IF(OR($K$1="",对接源_02物料!$C1139="",对接源_02物料!$C1139&lt;&gt;$K$1,对接源_02物料!$B1139=""),0,IF(OR(N(对接源_02物料!$B1139)&lt;$K$2,N(对接源_02物料!$B1139)&gt;$K$3),0,1))</f>
        <v>0</v>
      </c>
      <c r="L2339" s="1" t="n">
        <f aca="false">IF(OR($L$1="",对接源_02物料!$C1139="",对接源_02物料!$C1139&lt;&gt;$L$1,对接源_02物料!$B1139=""),0,IF(OR(N(对接源_02物料!$B1139)&lt;$L$2,N(对接源_02物料!$B1139)&gt;$L$3),0,1))</f>
        <v>0</v>
      </c>
      <c r="M2339" s="1" t="n">
        <f aca="false">IF(OR($M$1="",对接源_02物料!$C1139="",对接源_02物料!$C1139&lt;&gt;$M$1,对接源_02物料!$B1139=""),0,IF(OR(N(对接源_02物料!$B1139)&lt;$M$2,N(对接源_02物料!$B1139)&gt;$M$3),0,1))</f>
        <v>0</v>
      </c>
      <c r="N2339" s="1" t="n">
        <f aca="false">IF(OR($N$1="",对接源_02物料!$C1139="",对接源_02物料!$C1139&lt;&gt;$N$1,对接源_02物料!$B1139=""),0,IF(OR(N(对接源_02物料!$B1139)&lt;$N$2,N(对接源_02物料!$B1139)&gt;$N$3),0,1))</f>
        <v>0</v>
      </c>
      <c r="P2339" s="1" t="n">
        <f aca="false">IF(AND($K2339=1,AND(对接源_02物料!$X1139="公司筐",N(对接源_02物料!$T1139)&lt;&gt;0)),1,0)</f>
        <v>0</v>
      </c>
      <c r="Q2339" s="1" t="n">
        <f aca="false">N(Q2338)+$P2339</f>
        <v>13</v>
      </c>
      <c r="R2339" s="1" t="n">
        <f aca="false">IF(AND($K2339=1,AND(对接源_02物料!$X1139="公司筐",N(对接源_02物料!$U1139)&lt;&gt;0)),1,0)</f>
        <v>0</v>
      </c>
      <c r="S2339" s="1" t="n">
        <f aca="false">N(S2338)+$R2339</f>
        <v>5</v>
      </c>
      <c r="T2339" s="1" t="n">
        <f aca="false">IF(AND($K2339=1,AND(对接源_02物料!$X1139="公司筐",N(对接源_02物料!$V1139)&lt;&gt;0)),1,0)</f>
        <v>0</v>
      </c>
      <c r="U2339" s="1" t="n">
        <f aca="false">N(U2338)+$T2339</f>
        <v>28</v>
      </c>
      <c r="V2339" s="1" t="n">
        <f aca="false">IF(AND($L2339=1,AND(对接源_02物料!$X1139="自备筐",N(对接源_02物料!$V1139)&lt;&gt;0)),1,0)</f>
        <v>0</v>
      </c>
      <c r="W2339" s="1" t="n">
        <f aca="false">N(W2338)+$V2339</f>
        <v>7</v>
      </c>
      <c r="X2339" s="1" t="n">
        <f aca="false">IF(AND($L2339=1,AND(对接源_02物料!$X1139="自备筐",N(对接源_02物料!$T1139)&lt;&gt;0)),1,0)</f>
        <v>0</v>
      </c>
      <c r="Y2339" s="1" t="n">
        <f aca="false">N(Y2338)+$X2339</f>
        <v>0</v>
      </c>
      <c r="Z2339" s="1" t="n">
        <f aca="false">IF(AND($M2339=1,对接源_02物料!$D1139="原料入库"),1,0)</f>
        <v>0</v>
      </c>
      <c r="AA2339" s="1" t="n">
        <f aca="false">N(AA2338)+$Z2339</f>
        <v>30</v>
      </c>
      <c r="AB2339" s="1" t="n">
        <f aca="false">IF(AND($M2339=1,LEFT(对接源_02物料!$D1139,4)="原料出库"),1,0)</f>
        <v>0</v>
      </c>
      <c r="AC2339" s="1" t="n">
        <f aca="false">N(AC2338)+$AB2339</f>
        <v>19</v>
      </c>
      <c r="AD2339" s="1" t="n">
        <f aca="false">IF(AND($M2339=1,LEFT(对接源_02物料!$D1139,4)="成品出库"),1,0)</f>
        <v>0</v>
      </c>
      <c r="AE2339" s="1" t="n">
        <f aca="false">N(AE2338)+$AD2339</f>
        <v>38</v>
      </c>
      <c r="AF2339" s="1" t="n">
        <f aca="false">IF(AND($N2339=1,AND(LEFT(对接源_02物料!$D1139,4)="包装物料",N(对接源_02物料!$K1139)&lt;&gt;0)),1,0)</f>
        <v>0</v>
      </c>
      <c r="AG2339" s="1" t="n">
        <f aca="false">N(AG2338)+$AF2339</f>
        <v>6</v>
      </c>
      <c r="AH2339" s="1" t="n">
        <f aca="false">IF(AND($N2339=1,AND(LEFT(对接源_02物料!$D1139,3)="周转筐",N(对接源_02物料!$K1139)&lt;&gt;0)),1,0)</f>
        <v>0</v>
      </c>
      <c r="AI2339" s="1" t="n">
        <f aca="false">N(AI2338)+$AH2339</f>
        <v>0</v>
      </c>
      <c r="AJ2339" s="1" t="n">
        <v>0</v>
      </c>
      <c r="AK2339" s="1" t="n">
        <f aca="false">N(AK2338)+$AJ2339</f>
        <v>3672</v>
      </c>
    </row>
    <row r="2340" customFormat="false" ht="13.5" hidden="false" customHeight="false" outlineLevel="0" collapsed="false">
      <c r="A2340" s="1" t="str">
        <f aca="false">IF(对接源_02物料!$C1140="","",对接源_02物料!$C1140)</f>
        <v/>
      </c>
      <c r="B2340" s="1" t="n">
        <f aca="false">IF(A2340="",0,IF(MATCH(A2340,$A$4:$A$2403,0)=ROW()-3,1,0))</f>
        <v>0</v>
      </c>
      <c r="C2340" s="1" t="n">
        <f aca="false">N(C2339)+B2340</f>
        <v>17</v>
      </c>
      <c r="K2340" s="1" t="n">
        <f aca="false">IF(OR($K$1="",对接源_02物料!$C1140="",对接源_02物料!$C1140&lt;&gt;$K$1,对接源_02物料!$B1140=""),0,IF(OR(N(对接源_02物料!$B1140)&lt;$K$2,N(对接源_02物料!$B1140)&gt;$K$3),0,1))</f>
        <v>0</v>
      </c>
      <c r="L2340" s="1" t="n">
        <f aca="false">IF(OR($L$1="",对接源_02物料!$C1140="",对接源_02物料!$C1140&lt;&gt;$L$1,对接源_02物料!$B1140=""),0,IF(OR(N(对接源_02物料!$B1140)&lt;$L$2,N(对接源_02物料!$B1140)&gt;$L$3),0,1))</f>
        <v>0</v>
      </c>
      <c r="M2340" s="1" t="n">
        <f aca="false">IF(OR($M$1="",对接源_02物料!$C1140="",对接源_02物料!$C1140&lt;&gt;$M$1,对接源_02物料!$B1140=""),0,IF(OR(N(对接源_02物料!$B1140)&lt;$M$2,N(对接源_02物料!$B1140)&gt;$M$3),0,1))</f>
        <v>0</v>
      </c>
      <c r="N2340" s="1" t="n">
        <f aca="false">IF(OR($N$1="",对接源_02物料!$C1140="",对接源_02物料!$C1140&lt;&gt;$N$1,对接源_02物料!$B1140=""),0,IF(OR(N(对接源_02物料!$B1140)&lt;$N$2,N(对接源_02物料!$B1140)&gt;$N$3),0,1))</f>
        <v>0</v>
      </c>
      <c r="P2340" s="1" t="n">
        <f aca="false">IF(AND($K2340=1,AND(对接源_02物料!$X1140="公司筐",N(对接源_02物料!$T1140)&lt;&gt;0)),1,0)</f>
        <v>0</v>
      </c>
      <c r="Q2340" s="1" t="n">
        <f aca="false">N(Q2339)+$P2340</f>
        <v>13</v>
      </c>
      <c r="R2340" s="1" t="n">
        <f aca="false">IF(AND($K2340=1,AND(对接源_02物料!$X1140="公司筐",N(对接源_02物料!$U1140)&lt;&gt;0)),1,0)</f>
        <v>0</v>
      </c>
      <c r="S2340" s="1" t="n">
        <f aca="false">N(S2339)+$R2340</f>
        <v>5</v>
      </c>
      <c r="T2340" s="1" t="n">
        <f aca="false">IF(AND($K2340=1,AND(对接源_02物料!$X1140="公司筐",N(对接源_02物料!$V1140)&lt;&gt;0)),1,0)</f>
        <v>0</v>
      </c>
      <c r="U2340" s="1" t="n">
        <f aca="false">N(U2339)+$T2340</f>
        <v>28</v>
      </c>
      <c r="V2340" s="1" t="n">
        <f aca="false">IF(AND($L2340=1,AND(对接源_02物料!$X1140="自备筐",N(对接源_02物料!$V1140)&lt;&gt;0)),1,0)</f>
        <v>0</v>
      </c>
      <c r="W2340" s="1" t="n">
        <f aca="false">N(W2339)+$V2340</f>
        <v>7</v>
      </c>
      <c r="X2340" s="1" t="n">
        <f aca="false">IF(AND($L2340=1,AND(对接源_02物料!$X1140="自备筐",N(对接源_02物料!$T1140)&lt;&gt;0)),1,0)</f>
        <v>0</v>
      </c>
      <c r="Y2340" s="1" t="n">
        <f aca="false">N(Y2339)+$X2340</f>
        <v>0</v>
      </c>
      <c r="Z2340" s="1" t="n">
        <f aca="false">IF(AND($M2340=1,对接源_02物料!$D1140="原料入库"),1,0)</f>
        <v>0</v>
      </c>
      <c r="AA2340" s="1" t="n">
        <f aca="false">N(AA2339)+$Z2340</f>
        <v>30</v>
      </c>
      <c r="AB2340" s="1" t="n">
        <f aca="false">IF(AND($M2340=1,LEFT(对接源_02物料!$D1140,4)="原料出库"),1,0)</f>
        <v>0</v>
      </c>
      <c r="AC2340" s="1" t="n">
        <f aca="false">N(AC2339)+$AB2340</f>
        <v>19</v>
      </c>
      <c r="AD2340" s="1" t="n">
        <f aca="false">IF(AND($M2340=1,LEFT(对接源_02物料!$D1140,4)="成品出库"),1,0)</f>
        <v>0</v>
      </c>
      <c r="AE2340" s="1" t="n">
        <f aca="false">N(AE2339)+$AD2340</f>
        <v>38</v>
      </c>
      <c r="AF2340" s="1" t="n">
        <f aca="false">IF(AND($N2340=1,AND(LEFT(对接源_02物料!$D1140,4)="包装物料",N(对接源_02物料!$K1140)&lt;&gt;0)),1,0)</f>
        <v>0</v>
      </c>
      <c r="AG2340" s="1" t="n">
        <f aca="false">N(AG2339)+$AF2340</f>
        <v>6</v>
      </c>
      <c r="AH2340" s="1" t="n">
        <f aca="false">IF(AND($N2340=1,AND(LEFT(对接源_02物料!$D1140,3)="周转筐",N(对接源_02物料!$K1140)&lt;&gt;0)),1,0)</f>
        <v>0</v>
      </c>
      <c r="AI2340" s="1" t="n">
        <f aca="false">N(AI2339)+$AH2340</f>
        <v>0</v>
      </c>
      <c r="AJ2340" s="1" t="n">
        <v>0</v>
      </c>
      <c r="AK2340" s="1" t="n">
        <f aca="false">N(AK2339)+$AJ2340</f>
        <v>3672</v>
      </c>
    </row>
    <row r="2341" customFormat="false" ht="13.5" hidden="false" customHeight="false" outlineLevel="0" collapsed="false">
      <c r="A2341" s="1" t="str">
        <f aca="false">IF(对接源_02物料!$C1141="","",对接源_02物料!$C1141)</f>
        <v/>
      </c>
      <c r="B2341" s="1" t="n">
        <f aca="false">IF(A2341="",0,IF(MATCH(A2341,$A$4:$A$2403,0)=ROW()-3,1,0))</f>
        <v>0</v>
      </c>
      <c r="C2341" s="1" t="n">
        <f aca="false">N(C2340)+B2341</f>
        <v>17</v>
      </c>
      <c r="K2341" s="1" t="n">
        <f aca="false">IF(OR($K$1="",对接源_02物料!$C1141="",对接源_02物料!$C1141&lt;&gt;$K$1,对接源_02物料!$B1141=""),0,IF(OR(N(对接源_02物料!$B1141)&lt;$K$2,N(对接源_02物料!$B1141)&gt;$K$3),0,1))</f>
        <v>0</v>
      </c>
      <c r="L2341" s="1" t="n">
        <f aca="false">IF(OR($L$1="",对接源_02物料!$C1141="",对接源_02物料!$C1141&lt;&gt;$L$1,对接源_02物料!$B1141=""),0,IF(OR(N(对接源_02物料!$B1141)&lt;$L$2,N(对接源_02物料!$B1141)&gt;$L$3),0,1))</f>
        <v>0</v>
      </c>
      <c r="M2341" s="1" t="n">
        <f aca="false">IF(OR($M$1="",对接源_02物料!$C1141="",对接源_02物料!$C1141&lt;&gt;$M$1,对接源_02物料!$B1141=""),0,IF(OR(N(对接源_02物料!$B1141)&lt;$M$2,N(对接源_02物料!$B1141)&gt;$M$3),0,1))</f>
        <v>0</v>
      </c>
      <c r="N2341" s="1" t="n">
        <f aca="false">IF(OR($N$1="",对接源_02物料!$C1141="",对接源_02物料!$C1141&lt;&gt;$N$1,对接源_02物料!$B1141=""),0,IF(OR(N(对接源_02物料!$B1141)&lt;$N$2,N(对接源_02物料!$B1141)&gt;$N$3),0,1))</f>
        <v>0</v>
      </c>
      <c r="P2341" s="1" t="n">
        <f aca="false">IF(AND($K2341=1,AND(对接源_02物料!$X1141="公司筐",N(对接源_02物料!$T1141)&lt;&gt;0)),1,0)</f>
        <v>0</v>
      </c>
      <c r="Q2341" s="1" t="n">
        <f aca="false">N(Q2340)+$P2341</f>
        <v>13</v>
      </c>
      <c r="R2341" s="1" t="n">
        <f aca="false">IF(AND($K2341=1,AND(对接源_02物料!$X1141="公司筐",N(对接源_02物料!$U1141)&lt;&gt;0)),1,0)</f>
        <v>0</v>
      </c>
      <c r="S2341" s="1" t="n">
        <f aca="false">N(S2340)+$R2341</f>
        <v>5</v>
      </c>
      <c r="T2341" s="1" t="n">
        <f aca="false">IF(AND($K2341=1,AND(对接源_02物料!$X1141="公司筐",N(对接源_02物料!$V1141)&lt;&gt;0)),1,0)</f>
        <v>0</v>
      </c>
      <c r="U2341" s="1" t="n">
        <f aca="false">N(U2340)+$T2341</f>
        <v>28</v>
      </c>
      <c r="V2341" s="1" t="n">
        <f aca="false">IF(AND($L2341=1,AND(对接源_02物料!$X1141="自备筐",N(对接源_02物料!$V1141)&lt;&gt;0)),1,0)</f>
        <v>0</v>
      </c>
      <c r="W2341" s="1" t="n">
        <f aca="false">N(W2340)+$V2341</f>
        <v>7</v>
      </c>
      <c r="X2341" s="1" t="n">
        <f aca="false">IF(AND($L2341=1,AND(对接源_02物料!$X1141="自备筐",N(对接源_02物料!$T1141)&lt;&gt;0)),1,0)</f>
        <v>0</v>
      </c>
      <c r="Y2341" s="1" t="n">
        <f aca="false">N(Y2340)+$X2341</f>
        <v>0</v>
      </c>
      <c r="Z2341" s="1" t="n">
        <f aca="false">IF(AND($M2341=1,对接源_02物料!$D1141="原料入库"),1,0)</f>
        <v>0</v>
      </c>
      <c r="AA2341" s="1" t="n">
        <f aca="false">N(AA2340)+$Z2341</f>
        <v>30</v>
      </c>
      <c r="AB2341" s="1" t="n">
        <f aca="false">IF(AND($M2341=1,LEFT(对接源_02物料!$D1141,4)="原料出库"),1,0)</f>
        <v>0</v>
      </c>
      <c r="AC2341" s="1" t="n">
        <f aca="false">N(AC2340)+$AB2341</f>
        <v>19</v>
      </c>
      <c r="AD2341" s="1" t="n">
        <f aca="false">IF(AND($M2341=1,LEFT(对接源_02物料!$D1141,4)="成品出库"),1,0)</f>
        <v>0</v>
      </c>
      <c r="AE2341" s="1" t="n">
        <f aca="false">N(AE2340)+$AD2341</f>
        <v>38</v>
      </c>
      <c r="AF2341" s="1" t="n">
        <f aca="false">IF(AND($N2341=1,AND(LEFT(对接源_02物料!$D1141,4)="包装物料",N(对接源_02物料!$K1141)&lt;&gt;0)),1,0)</f>
        <v>0</v>
      </c>
      <c r="AG2341" s="1" t="n">
        <f aca="false">N(AG2340)+$AF2341</f>
        <v>6</v>
      </c>
      <c r="AH2341" s="1" t="n">
        <f aca="false">IF(AND($N2341=1,AND(LEFT(对接源_02物料!$D1141,3)="周转筐",N(对接源_02物料!$K1141)&lt;&gt;0)),1,0)</f>
        <v>0</v>
      </c>
      <c r="AI2341" s="1" t="n">
        <f aca="false">N(AI2340)+$AH2341</f>
        <v>0</v>
      </c>
      <c r="AJ2341" s="1" t="n">
        <v>0</v>
      </c>
      <c r="AK2341" s="1" t="n">
        <f aca="false">N(AK2340)+$AJ2341</f>
        <v>3672</v>
      </c>
    </row>
    <row r="2342" customFormat="false" ht="13.5" hidden="false" customHeight="false" outlineLevel="0" collapsed="false">
      <c r="A2342" s="1" t="str">
        <f aca="false">IF(对接源_02物料!$C1142="","",对接源_02物料!$C1142)</f>
        <v/>
      </c>
      <c r="B2342" s="1" t="n">
        <f aca="false">IF(A2342="",0,IF(MATCH(A2342,$A$4:$A$2403,0)=ROW()-3,1,0))</f>
        <v>0</v>
      </c>
      <c r="C2342" s="1" t="n">
        <f aca="false">N(C2341)+B2342</f>
        <v>17</v>
      </c>
      <c r="K2342" s="1" t="n">
        <f aca="false">IF(OR($K$1="",对接源_02物料!$C1142="",对接源_02物料!$C1142&lt;&gt;$K$1,对接源_02物料!$B1142=""),0,IF(OR(N(对接源_02物料!$B1142)&lt;$K$2,N(对接源_02物料!$B1142)&gt;$K$3),0,1))</f>
        <v>0</v>
      </c>
      <c r="L2342" s="1" t="n">
        <f aca="false">IF(OR($L$1="",对接源_02物料!$C1142="",对接源_02物料!$C1142&lt;&gt;$L$1,对接源_02物料!$B1142=""),0,IF(OR(N(对接源_02物料!$B1142)&lt;$L$2,N(对接源_02物料!$B1142)&gt;$L$3),0,1))</f>
        <v>0</v>
      </c>
      <c r="M2342" s="1" t="n">
        <f aca="false">IF(OR($M$1="",对接源_02物料!$C1142="",对接源_02物料!$C1142&lt;&gt;$M$1,对接源_02物料!$B1142=""),0,IF(OR(N(对接源_02物料!$B1142)&lt;$M$2,N(对接源_02物料!$B1142)&gt;$M$3),0,1))</f>
        <v>0</v>
      </c>
      <c r="N2342" s="1" t="n">
        <f aca="false">IF(OR($N$1="",对接源_02物料!$C1142="",对接源_02物料!$C1142&lt;&gt;$N$1,对接源_02物料!$B1142=""),0,IF(OR(N(对接源_02物料!$B1142)&lt;$N$2,N(对接源_02物料!$B1142)&gt;$N$3),0,1))</f>
        <v>0</v>
      </c>
      <c r="P2342" s="1" t="n">
        <f aca="false">IF(AND($K2342=1,AND(对接源_02物料!$X1142="公司筐",N(对接源_02物料!$T1142)&lt;&gt;0)),1,0)</f>
        <v>0</v>
      </c>
      <c r="Q2342" s="1" t="n">
        <f aca="false">N(Q2341)+$P2342</f>
        <v>13</v>
      </c>
      <c r="R2342" s="1" t="n">
        <f aca="false">IF(AND($K2342=1,AND(对接源_02物料!$X1142="公司筐",N(对接源_02物料!$U1142)&lt;&gt;0)),1,0)</f>
        <v>0</v>
      </c>
      <c r="S2342" s="1" t="n">
        <f aca="false">N(S2341)+$R2342</f>
        <v>5</v>
      </c>
      <c r="T2342" s="1" t="n">
        <f aca="false">IF(AND($K2342=1,AND(对接源_02物料!$X1142="公司筐",N(对接源_02物料!$V1142)&lt;&gt;0)),1,0)</f>
        <v>0</v>
      </c>
      <c r="U2342" s="1" t="n">
        <f aca="false">N(U2341)+$T2342</f>
        <v>28</v>
      </c>
      <c r="V2342" s="1" t="n">
        <f aca="false">IF(AND($L2342=1,AND(对接源_02物料!$X1142="自备筐",N(对接源_02物料!$V1142)&lt;&gt;0)),1,0)</f>
        <v>0</v>
      </c>
      <c r="W2342" s="1" t="n">
        <f aca="false">N(W2341)+$V2342</f>
        <v>7</v>
      </c>
      <c r="X2342" s="1" t="n">
        <f aca="false">IF(AND($L2342=1,AND(对接源_02物料!$X1142="自备筐",N(对接源_02物料!$T1142)&lt;&gt;0)),1,0)</f>
        <v>0</v>
      </c>
      <c r="Y2342" s="1" t="n">
        <f aca="false">N(Y2341)+$X2342</f>
        <v>0</v>
      </c>
      <c r="Z2342" s="1" t="n">
        <f aca="false">IF(AND($M2342=1,对接源_02物料!$D1142="原料入库"),1,0)</f>
        <v>0</v>
      </c>
      <c r="AA2342" s="1" t="n">
        <f aca="false">N(AA2341)+$Z2342</f>
        <v>30</v>
      </c>
      <c r="AB2342" s="1" t="n">
        <f aca="false">IF(AND($M2342=1,LEFT(对接源_02物料!$D1142,4)="原料出库"),1,0)</f>
        <v>0</v>
      </c>
      <c r="AC2342" s="1" t="n">
        <f aca="false">N(AC2341)+$AB2342</f>
        <v>19</v>
      </c>
      <c r="AD2342" s="1" t="n">
        <f aca="false">IF(AND($M2342=1,LEFT(对接源_02物料!$D1142,4)="成品出库"),1,0)</f>
        <v>0</v>
      </c>
      <c r="AE2342" s="1" t="n">
        <f aca="false">N(AE2341)+$AD2342</f>
        <v>38</v>
      </c>
      <c r="AF2342" s="1" t="n">
        <f aca="false">IF(AND($N2342=1,AND(LEFT(对接源_02物料!$D1142,4)="包装物料",N(对接源_02物料!$K1142)&lt;&gt;0)),1,0)</f>
        <v>0</v>
      </c>
      <c r="AG2342" s="1" t="n">
        <f aca="false">N(AG2341)+$AF2342</f>
        <v>6</v>
      </c>
      <c r="AH2342" s="1" t="n">
        <f aca="false">IF(AND($N2342=1,AND(LEFT(对接源_02物料!$D1142,3)="周转筐",N(对接源_02物料!$K1142)&lt;&gt;0)),1,0)</f>
        <v>0</v>
      </c>
      <c r="AI2342" s="1" t="n">
        <f aca="false">N(AI2341)+$AH2342</f>
        <v>0</v>
      </c>
      <c r="AJ2342" s="1" t="n">
        <v>0</v>
      </c>
      <c r="AK2342" s="1" t="n">
        <f aca="false">N(AK2341)+$AJ2342</f>
        <v>3672</v>
      </c>
    </row>
    <row r="2343" customFormat="false" ht="13.5" hidden="false" customHeight="false" outlineLevel="0" collapsed="false">
      <c r="A2343" s="1" t="str">
        <f aca="false">IF(对接源_02物料!$C1143="","",对接源_02物料!$C1143)</f>
        <v/>
      </c>
      <c r="B2343" s="1" t="n">
        <f aca="false">IF(A2343="",0,IF(MATCH(A2343,$A$4:$A$2403,0)=ROW()-3,1,0))</f>
        <v>0</v>
      </c>
      <c r="C2343" s="1" t="n">
        <f aca="false">N(C2342)+B2343</f>
        <v>17</v>
      </c>
      <c r="K2343" s="1" t="n">
        <f aca="false">IF(OR($K$1="",对接源_02物料!$C1143="",对接源_02物料!$C1143&lt;&gt;$K$1,对接源_02物料!$B1143=""),0,IF(OR(N(对接源_02物料!$B1143)&lt;$K$2,N(对接源_02物料!$B1143)&gt;$K$3),0,1))</f>
        <v>0</v>
      </c>
      <c r="L2343" s="1" t="n">
        <f aca="false">IF(OR($L$1="",对接源_02物料!$C1143="",对接源_02物料!$C1143&lt;&gt;$L$1,对接源_02物料!$B1143=""),0,IF(OR(N(对接源_02物料!$B1143)&lt;$L$2,N(对接源_02物料!$B1143)&gt;$L$3),0,1))</f>
        <v>0</v>
      </c>
      <c r="M2343" s="1" t="n">
        <f aca="false">IF(OR($M$1="",对接源_02物料!$C1143="",对接源_02物料!$C1143&lt;&gt;$M$1,对接源_02物料!$B1143=""),0,IF(OR(N(对接源_02物料!$B1143)&lt;$M$2,N(对接源_02物料!$B1143)&gt;$M$3),0,1))</f>
        <v>0</v>
      </c>
      <c r="N2343" s="1" t="n">
        <f aca="false">IF(OR($N$1="",对接源_02物料!$C1143="",对接源_02物料!$C1143&lt;&gt;$N$1,对接源_02物料!$B1143=""),0,IF(OR(N(对接源_02物料!$B1143)&lt;$N$2,N(对接源_02物料!$B1143)&gt;$N$3),0,1))</f>
        <v>0</v>
      </c>
      <c r="P2343" s="1" t="n">
        <f aca="false">IF(AND($K2343=1,AND(对接源_02物料!$X1143="公司筐",N(对接源_02物料!$T1143)&lt;&gt;0)),1,0)</f>
        <v>0</v>
      </c>
      <c r="Q2343" s="1" t="n">
        <f aca="false">N(Q2342)+$P2343</f>
        <v>13</v>
      </c>
      <c r="R2343" s="1" t="n">
        <f aca="false">IF(AND($K2343=1,AND(对接源_02物料!$X1143="公司筐",N(对接源_02物料!$U1143)&lt;&gt;0)),1,0)</f>
        <v>0</v>
      </c>
      <c r="S2343" s="1" t="n">
        <f aca="false">N(S2342)+$R2343</f>
        <v>5</v>
      </c>
      <c r="T2343" s="1" t="n">
        <f aca="false">IF(AND($K2343=1,AND(对接源_02物料!$X1143="公司筐",N(对接源_02物料!$V1143)&lt;&gt;0)),1,0)</f>
        <v>0</v>
      </c>
      <c r="U2343" s="1" t="n">
        <f aca="false">N(U2342)+$T2343</f>
        <v>28</v>
      </c>
      <c r="V2343" s="1" t="n">
        <f aca="false">IF(AND($L2343=1,AND(对接源_02物料!$X1143="自备筐",N(对接源_02物料!$V1143)&lt;&gt;0)),1,0)</f>
        <v>0</v>
      </c>
      <c r="W2343" s="1" t="n">
        <f aca="false">N(W2342)+$V2343</f>
        <v>7</v>
      </c>
      <c r="X2343" s="1" t="n">
        <f aca="false">IF(AND($L2343=1,AND(对接源_02物料!$X1143="自备筐",N(对接源_02物料!$T1143)&lt;&gt;0)),1,0)</f>
        <v>0</v>
      </c>
      <c r="Y2343" s="1" t="n">
        <f aca="false">N(Y2342)+$X2343</f>
        <v>0</v>
      </c>
      <c r="Z2343" s="1" t="n">
        <f aca="false">IF(AND($M2343=1,对接源_02物料!$D1143="原料入库"),1,0)</f>
        <v>0</v>
      </c>
      <c r="AA2343" s="1" t="n">
        <f aca="false">N(AA2342)+$Z2343</f>
        <v>30</v>
      </c>
      <c r="AB2343" s="1" t="n">
        <f aca="false">IF(AND($M2343=1,LEFT(对接源_02物料!$D1143,4)="原料出库"),1,0)</f>
        <v>0</v>
      </c>
      <c r="AC2343" s="1" t="n">
        <f aca="false">N(AC2342)+$AB2343</f>
        <v>19</v>
      </c>
      <c r="AD2343" s="1" t="n">
        <f aca="false">IF(AND($M2343=1,LEFT(对接源_02物料!$D1143,4)="成品出库"),1,0)</f>
        <v>0</v>
      </c>
      <c r="AE2343" s="1" t="n">
        <f aca="false">N(AE2342)+$AD2343</f>
        <v>38</v>
      </c>
      <c r="AF2343" s="1" t="n">
        <f aca="false">IF(AND($N2343=1,AND(LEFT(对接源_02物料!$D1143,4)="包装物料",N(对接源_02物料!$K1143)&lt;&gt;0)),1,0)</f>
        <v>0</v>
      </c>
      <c r="AG2343" s="1" t="n">
        <f aca="false">N(AG2342)+$AF2343</f>
        <v>6</v>
      </c>
      <c r="AH2343" s="1" t="n">
        <f aca="false">IF(AND($N2343=1,AND(LEFT(对接源_02物料!$D1143,3)="周转筐",N(对接源_02物料!$K1143)&lt;&gt;0)),1,0)</f>
        <v>0</v>
      </c>
      <c r="AI2343" s="1" t="n">
        <f aca="false">N(AI2342)+$AH2343</f>
        <v>0</v>
      </c>
      <c r="AJ2343" s="1" t="n">
        <v>0</v>
      </c>
      <c r="AK2343" s="1" t="n">
        <f aca="false">N(AK2342)+$AJ2343</f>
        <v>3672</v>
      </c>
    </row>
    <row r="2344" customFormat="false" ht="13.5" hidden="false" customHeight="false" outlineLevel="0" collapsed="false">
      <c r="A2344" s="1" t="str">
        <f aca="false">IF(对接源_02物料!$C1144="","",对接源_02物料!$C1144)</f>
        <v/>
      </c>
      <c r="B2344" s="1" t="n">
        <f aca="false">IF(A2344="",0,IF(MATCH(A2344,$A$4:$A$2403,0)=ROW()-3,1,0))</f>
        <v>0</v>
      </c>
      <c r="C2344" s="1" t="n">
        <f aca="false">N(C2343)+B2344</f>
        <v>17</v>
      </c>
      <c r="K2344" s="1" t="n">
        <f aca="false">IF(OR($K$1="",对接源_02物料!$C1144="",对接源_02物料!$C1144&lt;&gt;$K$1,对接源_02物料!$B1144=""),0,IF(OR(N(对接源_02物料!$B1144)&lt;$K$2,N(对接源_02物料!$B1144)&gt;$K$3),0,1))</f>
        <v>0</v>
      </c>
      <c r="L2344" s="1" t="n">
        <f aca="false">IF(OR($L$1="",对接源_02物料!$C1144="",对接源_02物料!$C1144&lt;&gt;$L$1,对接源_02物料!$B1144=""),0,IF(OR(N(对接源_02物料!$B1144)&lt;$L$2,N(对接源_02物料!$B1144)&gt;$L$3),0,1))</f>
        <v>0</v>
      </c>
      <c r="M2344" s="1" t="n">
        <f aca="false">IF(OR($M$1="",对接源_02物料!$C1144="",对接源_02物料!$C1144&lt;&gt;$M$1,对接源_02物料!$B1144=""),0,IF(OR(N(对接源_02物料!$B1144)&lt;$M$2,N(对接源_02物料!$B1144)&gt;$M$3),0,1))</f>
        <v>0</v>
      </c>
      <c r="N2344" s="1" t="n">
        <f aca="false">IF(OR($N$1="",对接源_02物料!$C1144="",对接源_02物料!$C1144&lt;&gt;$N$1,对接源_02物料!$B1144=""),0,IF(OR(N(对接源_02物料!$B1144)&lt;$N$2,N(对接源_02物料!$B1144)&gt;$N$3),0,1))</f>
        <v>0</v>
      </c>
      <c r="P2344" s="1" t="n">
        <f aca="false">IF(AND($K2344=1,AND(对接源_02物料!$X1144="公司筐",N(对接源_02物料!$T1144)&lt;&gt;0)),1,0)</f>
        <v>0</v>
      </c>
      <c r="Q2344" s="1" t="n">
        <f aca="false">N(Q2343)+$P2344</f>
        <v>13</v>
      </c>
      <c r="R2344" s="1" t="n">
        <f aca="false">IF(AND($K2344=1,AND(对接源_02物料!$X1144="公司筐",N(对接源_02物料!$U1144)&lt;&gt;0)),1,0)</f>
        <v>0</v>
      </c>
      <c r="S2344" s="1" t="n">
        <f aca="false">N(S2343)+$R2344</f>
        <v>5</v>
      </c>
      <c r="T2344" s="1" t="n">
        <f aca="false">IF(AND($K2344=1,AND(对接源_02物料!$X1144="公司筐",N(对接源_02物料!$V1144)&lt;&gt;0)),1,0)</f>
        <v>0</v>
      </c>
      <c r="U2344" s="1" t="n">
        <f aca="false">N(U2343)+$T2344</f>
        <v>28</v>
      </c>
      <c r="V2344" s="1" t="n">
        <f aca="false">IF(AND($L2344=1,AND(对接源_02物料!$X1144="自备筐",N(对接源_02物料!$V1144)&lt;&gt;0)),1,0)</f>
        <v>0</v>
      </c>
      <c r="W2344" s="1" t="n">
        <f aca="false">N(W2343)+$V2344</f>
        <v>7</v>
      </c>
      <c r="X2344" s="1" t="n">
        <f aca="false">IF(AND($L2344=1,AND(对接源_02物料!$X1144="自备筐",N(对接源_02物料!$T1144)&lt;&gt;0)),1,0)</f>
        <v>0</v>
      </c>
      <c r="Y2344" s="1" t="n">
        <f aca="false">N(Y2343)+$X2344</f>
        <v>0</v>
      </c>
      <c r="Z2344" s="1" t="n">
        <f aca="false">IF(AND($M2344=1,对接源_02物料!$D1144="原料入库"),1,0)</f>
        <v>0</v>
      </c>
      <c r="AA2344" s="1" t="n">
        <f aca="false">N(AA2343)+$Z2344</f>
        <v>30</v>
      </c>
      <c r="AB2344" s="1" t="n">
        <f aca="false">IF(AND($M2344=1,LEFT(对接源_02物料!$D1144,4)="原料出库"),1,0)</f>
        <v>0</v>
      </c>
      <c r="AC2344" s="1" t="n">
        <f aca="false">N(AC2343)+$AB2344</f>
        <v>19</v>
      </c>
      <c r="AD2344" s="1" t="n">
        <f aca="false">IF(AND($M2344=1,LEFT(对接源_02物料!$D1144,4)="成品出库"),1,0)</f>
        <v>0</v>
      </c>
      <c r="AE2344" s="1" t="n">
        <f aca="false">N(AE2343)+$AD2344</f>
        <v>38</v>
      </c>
      <c r="AF2344" s="1" t="n">
        <f aca="false">IF(AND($N2344=1,AND(LEFT(对接源_02物料!$D1144,4)="包装物料",N(对接源_02物料!$K1144)&lt;&gt;0)),1,0)</f>
        <v>0</v>
      </c>
      <c r="AG2344" s="1" t="n">
        <f aca="false">N(AG2343)+$AF2344</f>
        <v>6</v>
      </c>
      <c r="AH2344" s="1" t="n">
        <f aca="false">IF(AND($N2344=1,AND(LEFT(对接源_02物料!$D1144,3)="周转筐",N(对接源_02物料!$K1144)&lt;&gt;0)),1,0)</f>
        <v>0</v>
      </c>
      <c r="AI2344" s="1" t="n">
        <f aca="false">N(AI2343)+$AH2344</f>
        <v>0</v>
      </c>
      <c r="AJ2344" s="1" t="n">
        <v>0</v>
      </c>
      <c r="AK2344" s="1" t="n">
        <f aca="false">N(AK2343)+$AJ2344</f>
        <v>3672</v>
      </c>
    </row>
    <row r="2345" customFormat="false" ht="13.5" hidden="false" customHeight="false" outlineLevel="0" collapsed="false">
      <c r="A2345" s="1" t="str">
        <f aca="false">IF(对接源_02物料!$C1145="","",对接源_02物料!$C1145)</f>
        <v/>
      </c>
      <c r="B2345" s="1" t="n">
        <f aca="false">IF(A2345="",0,IF(MATCH(A2345,$A$4:$A$2403,0)=ROW()-3,1,0))</f>
        <v>0</v>
      </c>
      <c r="C2345" s="1" t="n">
        <f aca="false">N(C2344)+B2345</f>
        <v>17</v>
      </c>
      <c r="K2345" s="1" t="n">
        <f aca="false">IF(OR($K$1="",对接源_02物料!$C1145="",对接源_02物料!$C1145&lt;&gt;$K$1,对接源_02物料!$B1145=""),0,IF(OR(N(对接源_02物料!$B1145)&lt;$K$2,N(对接源_02物料!$B1145)&gt;$K$3),0,1))</f>
        <v>0</v>
      </c>
      <c r="L2345" s="1" t="n">
        <f aca="false">IF(OR($L$1="",对接源_02物料!$C1145="",对接源_02物料!$C1145&lt;&gt;$L$1,对接源_02物料!$B1145=""),0,IF(OR(N(对接源_02物料!$B1145)&lt;$L$2,N(对接源_02物料!$B1145)&gt;$L$3),0,1))</f>
        <v>0</v>
      </c>
      <c r="M2345" s="1" t="n">
        <f aca="false">IF(OR($M$1="",对接源_02物料!$C1145="",对接源_02物料!$C1145&lt;&gt;$M$1,对接源_02物料!$B1145=""),0,IF(OR(N(对接源_02物料!$B1145)&lt;$M$2,N(对接源_02物料!$B1145)&gt;$M$3),0,1))</f>
        <v>0</v>
      </c>
      <c r="N2345" s="1" t="n">
        <f aca="false">IF(OR($N$1="",对接源_02物料!$C1145="",对接源_02物料!$C1145&lt;&gt;$N$1,对接源_02物料!$B1145=""),0,IF(OR(N(对接源_02物料!$B1145)&lt;$N$2,N(对接源_02物料!$B1145)&gt;$N$3),0,1))</f>
        <v>0</v>
      </c>
      <c r="P2345" s="1" t="n">
        <f aca="false">IF(AND($K2345=1,AND(对接源_02物料!$X1145="公司筐",N(对接源_02物料!$T1145)&lt;&gt;0)),1,0)</f>
        <v>0</v>
      </c>
      <c r="Q2345" s="1" t="n">
        <f aca="false">N(Q2344)+$P2345</f>
        <v>13</v>
      </c>
      <c r="R2345" s="1" t="n">
        <f aca="false">IF(AND($K2345=1,AND(对接源_02物料!$X1145="公司筐",N(对接源_02物料!$U1145)&lt;&gt;0)),1,0)</f>
        <v>0</v>
      </c>
      <c r="S2345" s="1" t="n">
        <f aca="false">N(S2344)+$R2345</f>
        <v>5</v>
      </c>
      <c r="T2345" s="1" t="n">
        <f aca="false">IF(AND($K2345=1,AND(对接源_02物料!$X1145="公司筐",N(对接源_02物料!$V1145)&lt;&gt;0)),1,0)</f>
        <v>0</v>
      </c>
      <c r="U2345" s="1" t="n">
        <f aca="false">N(U2344)+$T2345</f>
        <v>28</v>
      </c>
      <c r="V2345" s="1" t="n">
        <f aca="false">IF(AND($L2345=1,AND(对接源_02物料!$X1145="自备筐",N(对接源_02物料!$V1145)&lt;&gt;0)),1,0)</f>
        <v>0</v>
      </c>
      <c r="W2345" s="1" t="n">
        <f aca="false">N(W2344)+$V2345</f>
        <v>7</v>
      </c>
      <c r="X2345" s="1" t="n">
        <f aca="false">IF(AND($L2345=1,AND(对接源_02物料!$X1145="自备筐",N(对接源_02物料!$T1145)&lt;&gt;0)),1,0)</f>
        <v>0</v>
      </c>
      <c r="Y2345" s="1" t="n">
        <f aca="false">N(Y2344)+$X2345</f>
        <v>0</v>
      </c>
      <c r="Z2345" s="1" t="n">
        <f aca="false">IF(AND($M2345=1,对接源_02物料!$D1145="原料入库"),1,0)</f>
        <v>0</v>
      </c>
      <c r="AA2345" s="1" t="n">
        <f aca="false">N(AA2344)+$Z2345</f>
        <v>30</v>
      </c>
      <c r="AB2345" s="1" t="n">
        <f aca="false">IF(AND($M2345=1,LEFT(对接源_02物料!$D1145,4)="原料出库"),1,0)</f>
        <v>0</v>
      </c>
      <c r="AC2345" s="1" t="n">
        <f aca="false">N(AC2344)+$AB2345</f>
        <v>19</v>
      </c>
      <c r="AD2345" s="1" t="n">
        <f aca="false">IF(AND($M2345=1,LEFT(对接源_02物料!$D1145,4)="成品出库"),1,0)</f>
        <v>0</v>
      </c>
      <c r="AE2345" s="1" t="n">
        <f aca="false">N(AE2344)+$AD2345</f>
        <v>38</v>
      </c>
      <c r="AF2345" s="1" t="n">
        <f aca="false">IF(AND($N2345=1,AND(LEFT(对接源_02物料!$D1145,4)="包装物料",N(对接源_02物料!$K1145)&lt;&gt;0)),1,0)</f>
        <v>0</v>
      </c>
      <c r="AG2345" s="1" t="n">
        <f aca="false">N(AG2344)+$AF2345</f>
        <v>6</v>
      </c>
      <c r="AH2345" s="1" t="n">
        <f aca="false">IF(AND($N2345=1,AND(LEFT(对接源_02物料!$D1145,3)="周转筐",N(对接源_02物料!$K1145)&lt;&gt;0)),1,0)</f>
        <v>0</v>
      </c>
      <c r="AI2345" s="1" t="n">
        <f aca="false">N(AI2344)+$AH2345</f>
        <v>0</v>
      </c>
      <c r="AJ2345" s="1" t="n">
        <v>0</v>
      </c>
      <c r="AK2345" s="1" t="n">
        <f aca="false">N(AK2344)+$AJ2345</f>
        <v>3672</v>
      </c>
    </row>
    <row r="2346" customFormat="false" ht="13.5" hidden="false" customHeight="false" outlineLevel="0" collapsed="false">
      <c r="A2346" s="1" t="str">
        <f aca="false">IF(对接源_02物料!$C1146="","",对接源_02物料!$C1146)</f>
        <v/>
      </c>
      <c r="B2346" s="1" t="n">
        <f aca="false">IF(A2346="",0,IF(MATCH(A2346,$A$4:$A$2403,0)=ROW()-3,1,0))</f>
        <v>0</v>
      </c>
      <c r="C2346" s="1" t="n">
        <f aca="false">N(C2345)+B2346</f>
        <v>17</v>
      </c>
      <c r="K2346" s="1" t="n">
        <f aca="false">IF(OR($K$1="",对接源_02物料!$C1146="",对接源_02物料!$C1146&lt;&gt;$K$1,对接源_02物料!$B1146=""),0,IF(OR(N(对接源_02物料!$B1146)&lt;$K$2,N(对接源_02物料!$B1146)&gt;$K$3),0,1))</f>
        <v>0</v>
      </c>
      <c r="L2346" s="1" t="n">
        <f aca="false">IF(OR($L$1="",对接源_02物料!$C1146="",对接源_02物料!$C1146&lt;&gt;$L$1,对接源_02物料!$B1146=""),0,IF(OR(N(对接源_02物料!$B1146)&lt;$L$2,N(对接源_02物料!$B1146)&gt;$L$3),0,1))</f>
        <v>0</v>
      </c>
      <c r="M2346" s="1" t="n">
        <f aca="false">IF(OR($M$1="",对接源_02物料!$C1146="",对接源_02物料!$C1146&lt;&gt;$M$1,对接源_02物料!$B1146=""),0,IF(OR(N(对接源_02物料!$B1146)&lt;$M$2,N(对接源_02物料!$B1146)&gt;$M$3),0,1))</f>
        <v>0</v>
      </c>
      <c r="N2346" s="1" t="n">
        <f aca="false">IF(OR($N$1="",对接源_02物料!$C1146="",对接源_02物料!$C1146&lt;&gt;$N$1,对接源_02物料!$B1146=""),0,IF(OR(N(对接源_02物料!$B1146)&lt;$N$2,N(对接源_02物料!$B1146)&gt;$N$3),0,1))</f>
        <v>0</v>
      </c>
      <c r="P2346" s="1" t="n">
        <f aca="false">IF(AND($K2346=1,AND(对接源_02物料!$X1146="公司筐",N(对接源_02物料!$T1146)&lt;&gt;0)),1,0)</f>
        <v>0</v>
      </c>
      <c r="Q2346" s="1" t="n">
        <f aca="false">N(Q2345)+$P2346</f>
        <v>13</v>
      </c>
      <c r="R2346" s="1" t="n">
        <f aca="false">IF(AND($K2346=1,AND(对接源_02物料!$X1146="公司筐",N(对接源_02物料!$U1146)&lt;&gt;0)),1,0)</f>
        <v>0</v>
      </c>
      <c r="S2346" s="1" t="n">
        <f aca="false">N(S2345)+$R2346</f>
        <v>5</v>
      </c>
      <c r="T2346" s="1" t="n">
        <f aca="false">IF(AND($K2346=1,AND(对接源_02物料!$X1146="公司筐",N(对接源_02物料!$V1146)&lt;&gt;0)),1,0)</f>
        <v>0</v>
      </c>
      <c r="U2346" s="1" t="n">
        <f aca="false">N(U2345)+$T2346</f>
        <v>28</v>
      </c>
      <c r="V2346" s="1" t="n">
        <f aca="false">IF(AND($L2346=1,AND(对接源_02物料!$X1146="自备筐",N(对接源_02物料!$V1146)&lt;&gt;0)),1,0)</f>
        <v>0</v>
      </c>
      <c r="W2346" s="1" t="n">
        <f aca="false">N(W2345)+$V2346</f>
        <v>7</v>
      </c>
      <c r="X2346" s="1" t="n">
        <f aca="false">IF(AND($L2346=1,AND(对接源_02物料!$X1146="自备筐",N(对接源_02物料!$T1146)&lt;&gt;0)),1,0)</f>
        <v>0</v>
      </c>
      <c r="Y2346" s="1" t="n">
        <f aca="false">N(Y2345)+$X2346</f>
        <v>0</v>
      </c>
      <c r="Z2346" s="1" t="n">
        <f aca="false">IF(AND($M2346=1,对接源_02物料!$D1146="原料入库"),1,0)</f>
        <v>0</v>
      </c>
      <c r="AA2346" s="1" t="n">
        <f aca="false">N(AA2345)+$Z2346</f>
        <v>30</v>
      </c>
      <c r="AB2346" s="1" t="n">
        <f aca="false">IF(AND($M2346=1,LEFT(对接源_02物料!$D1146,4)="原料出库"),1,0)</f>
        <v>0</v>
      </c>
      <c r="AC2346" s="1" t="n">
        <f aca="false">N(AC2345)+$AB2346</f>
        <v>19</v>
      </c>
      <c r="AD2346" s="1" t="n">
        <f aca="false">IF(AND($M2346=1,LEFT(对接源_02物料!$D1146,4)="成品出库"),1,0)</f>
        <v>0</v>
      </c>
      <c r="AE2346" s="1" t="n">
        <f aca="false">N(AE2345)+$AD2346</f>
        <v>38</v>
      </c>
      <c r="AF2346" s="1" t="n">
        <f aca="false">IF(AND($N2346=1,AND(LEFT(对接源_02物料!$D1146,4)="包装物料",N(对接源_02物料!$K1146)&lt;&gt;0)),1,0)</f>
        <v>0</v>
      </c>
      <c r="AG2346" s="1" t="n">
        <f aca="false">N(AG2345)+$AF2346</f>
        <v>6</v>
      </c>
      <c r="AH2346" s="1" t="n">
        <f aca="false">IF(AND($N2346=1,AND(LEFT(对接源_02物料!$D1146,3)="周转筐",N(对接源_02物料!$K1146)&lt;&gt;0)),1,0)</f>
        <v>0</v>
      </c>
      <c r="AI2346" s="1" t="n">
        <f aca="false">N(AI2345)+$AH2346</f>
        <v>0</v>
      </c>
      <c r="AJ2346" s="1" t="n">
        <v>0</v>
      </c>
      <c r="AK2346" s="1" t="n">
        <f aca="false">N(AK2345)+$AJ2346</f>
        <v>3672</v>
      </c>
    </row>
    <row r="2347" customFormat="false" ht="13.5" hidden="false" customHeight="false" outlineLevel="0" collapsed="false">
      <c r="A2347" s="1" t="str">
        <f aca="false">IF(对接源_02物料!$C1147="","",对接源_02物料!$C1147)</f>
        <v/>
      </c>
      <c r="B2347" s="1" t="n">
        <f aca="false">IF(A2347="",0,IF(MATCH(A2347,$A$4:$A$2403,0)=ROW()-3,1,0))</f>
        <v>0</v>
      </c>
      <c r="C2347" s="1" t="n">
        <f aca="false">N(C2346)+B2347</f>
        <v>17</v>
      </c>
      <c r="K2347" s="1" t="n">
        <f aca="false">IF(OR($K$1="",对接源_02物料!$C1147="",对接源_02物料!$C1147&lt;&gt;$K$1,对接源_02物料!$B1147=""),0,IF(OR(N(对接源_02物料!$B1147)&lt;$K$2,N(对接源_02物料!$B1147)&gt;$K$3),0,1))</f>
        <v>0</v>
      </c>
      <c r="L2347" s="1" t="n">
        <f aca="false">IF(OR($L$1="",对接源_02物料!$C1147="",对接源_02物料!$C1147&lt;&gt;$L$1,对接源_02物料!$B1147=""),0,IF(OR(N(对接源_02物料!$B1147)&lt;$L$2,N(对接源_02物料!$B1147)&gt;$L$3),0,1))</f>
        <v>0</v>
      </c>
      <c r="M2347" s="1" t="n">
        <f aca="false">IF(OR($M$1="",对接源_02物料!$C1147="",对接源_02物料!$C1147&lt;&gt;$M$1,对接源_02物料!$B1147=""),0,IF(OR(N(对接源_02物料!$B1147)&lt;$M$2,N(对接源_02物料!$B1147)&gt;$M$3),0,1))</f>
        <v>0</v>
      </c>
      <c r="N2347" s="1" t="n">
        <f aca="false">IF(OR($N$1="",对接源_02物料!$C1147="",对接源_02物料!$C1147&lt;&gt;$N$1,对接源_02物料!$B1147=""),0,IF(OR(N(对接源_02物料!$B1147)&lt;$N$2,N(对接源_02物料!$B1147)&gt;$N$3),0,1))</f>
        <v>0</v>
      </c>
      <c r="P2347" s="1" t="n">
        <f aca="false">IF(AND($K2347=1,AND(对接源_02物料!$X1147="公司筐",N(对接源_02物料!$T1147)&lt;&gt;0)),1,0)</f>
        <v>0</v>
      </c>
      <c r="Q2347" s="1" t="n">
        <f aca="false">N(Q2346)+$P2347</f>
        <v>13</v>
      </c>
      <c r="R2347" s="1" t="n">
        <f aca="false">IF(AND($K2347=1,AND(对接源_02物料!$X1147="公司筐",N(对接源_02物料!$U1147)&lt;&gt;0)),1,0)</f>
        <v>0</v>
      </c>
      <c r="S2347" s="1" t="n">
        <f aca="false">N(S2346)+$R2347</f>
        <v>5</v>
      </c>
      <c r="T2347" s="1" t="n">
        <f aca="false">IF(AND($K2347=1,AND(对接源_02物料!$X1147="公司筐",N(对接源_02物料!$V1147)&lt;&gt;0)),1,0)</f>
        <v>0</v>
      </c>
      <c r="U2347" s="1" t="n">
        <f aca="false">N(U2346)+$T2347</f>
        <v>28</v>
      </c>
      <c r="V2347" s="1" t="n">
        <f aca="false">IF(AND($L2347=1,AND(对接源_02物料!$X1147="自备筐",N(对接源_02物料!$V1147)&lt;&gt;0)),1,0)</f>
        <v>0</v>
      </c>
      <c r="W2347" s="1" t="n">
        <f aca="false">N(W2346)+$V2347</f>
        <v>7</v>
      </c>
      <c r="X2347" s="1" t="n">
        <f aca="false">IF(AND($L2347=1,AND(对接源_02物料!$X1147="自备筐",N(对接源_02物料!$T1147)&lt;&gt;0)),1,0)</f>
        <v>0</v>
      </c>
      <c r="Y2347" s="1" t="n">
        <f aca="false">N(Y2346)+$X2347</f>
        <v>0</v>
      </c>
      <c r="Z2347" s="1" t="n">
        <f aca="false">IF(AND($M2347=1,对接源_02物料!$D1147="原料入库"),1,0)</f>
        <v>0</v>
      </c>
      <c r="AA2347" s="1" t="n">
        <f aca="false">N(AA2346)+$Z2347</f>
        <v>30</v>
      </c>
      <c r="AB2347" s="1" t="n">
        <f aca="false">IF(AND($M2347=1,LEFT(对接源_02物料!$D1147,4)="原料出库"),1,0)</f>
        <v>0</v>
      </c>
      <c r="AC2347" s="1" t="n">
        <f aca="false">N(AC2346)+$AB2347</f>
        <v>19</v>
      </c>
      <c r="AD2347" s="1" t="n">
        <f aca="false">IF(AND($M2347=1,LEFT(对接源_02物料!$D1147,4)="成品出库"),1,0)</f>
        <v>0</v>
      </c>
      <c r="AE2347" s="1" t="n">
        <f aca="false">N(AE2346)+$AD2347</f>
        <v>38</v>
      </c>
      <c r="AF2347" s="1" t="n">
        <f aca="false">IF(AND($N2347=1,AND(LEFT(对接源_02物料!$D1147,4)="包装物料",N(对接源_02物料!$K1147)&lt;&gt;0)),1,0)</f>
        <v>0</v>
      </c>
      <c r="AG2347" s="1" t="n">
        <f aca="false">N(AG2346)+$AF2347</f>
        <v>6</v>
      </c>
      <c r="AH2347" s="1" t="n">
        <f aca="false">IF(AND($N2347=1,AND(LEFT(对接源_02物料!$D1147,3)="周转筐",N(对接源_02物料!$K1147)&lt;&gt;0)),1,0)</f>
        <v>0</v>
      </c>
      <c r="AI2347" s="1" t="n">
        <f aca="false">N(AI2346)+$AH2347</f>
        <v>0</v>
      </c>
      <c r="AJ2347" s="1" t="n">
        <v>0</v>
      </c>
      <c r="AK2347" s="1" t="n">
        <f aca="false">N(AK2346)+$AJ2347</f>
        <v>3672</v>
      </c>
    </row>
    <row r="2348" customFormat="false" ht="13.5" hidden="false" customHeight="false" outlineLevel="0" collapsed="false">
      <c r="A2348" s="1" t="str">
        <f aca="false">IF(对接源_02物料!$C1148="","",对接源_02物料!$C1148)</f>
        <v/>
      </c>
      <c r="B2348" s="1" t="n">
        <f aca="false">IF(A2348="",0,IF(MATCH(A2348,$A$4:$A$2403,0)=ROW()-3,1,0))</f>
        <v>0</v>
      </c>
      <c r="C2348" s="1" t="n">
        <f aca="false">N(C2347)+B2348</f>
        <v>17</v>
      </c>
      <c r="K2348" s="1" t="n">
        <f aca="false">IF(OR($K$1="",对接源_02物料!$C1148="",对接源_02物料!$C1148&lt;&gt;$K$1,对接源_02物料!$B1148=""),0,IF(OR(N(对接源_02物料!$B1148)&lt;$K$2,N(对接源_02物料!$B1148)&gt;$K$3),0,1))</f>
        <v>0</v>
      </c>
      <c r="L2348" s="1" t="n">
        <f aca="false">IF(OR($L$1="",对接源_02物料!$C1148="",对接源_02物料!$C1148&lt;&gt;$L$1,对接源_02物料!$B1148=""),0,IF(OR(N(对接源_02物料!$B1148)&lt;$L$2,N(对接源_02物料!$B1148)&gt;$L$3),0,1))</f>
        <v>0</v>
      </c>
      <c r="M2348" s="1" t="n">
        <f aca="false">IF(OR($M$1="",对接源_02物料!$C1148="",对接源_02物料!$C1148&lt;&gt;$M$1,对接源_02物料!$B1148=""),0,IF(OR(N(对接源_02物料!$B1148)&lt;$M$2,N(对接源_02物料!$B1148)&gt;$M$3),0,1))</f>
        <v>0</v>
      </c>
      <c r="N2348" s="1" t="n">
        <f aca="false">IF(OR($N$1="",对接源_02物料!$C1148="",对接源_02物料!$C1148&lt;&gt;$N$1,对接源_02物料!$B1148=""),0,IF(OR(N(对接源_02物料!$B1148)&lt;$N$2,N(对接源_02物料!$B1148)&gt;$N$3),0,1))</f>
        <v>0</v>
      </c>
      <c r="P2348" s="1" t="n">
        <f aca="false">IF(AND($K2348=1,AND(对接源_02物料!$X1148="公司筐",N(对接源_02物料!$T1148)&lt;&gt;0)),1,0)</f>
        <v>0</v>
      </c>
      <c r="Q2348" s="1" t="n">
        <f aca="false">N(Q2347)+$P2348</f>
        <v>13</v>
      </c>
      <c r="R2348" s="1" t="n">
        <f aca="false">IF(AND($K2348=1,AND(对接源_02物料!$X1148="公司筐",N(对接源_02物料!$U1148)&lt;&gt;0)),1,0)</f>
        <v>0</v>
      </c>
      <c r="S2348" s="1" t="n">
        <f aca="false">N(S2347)+$R2348</f>
        <v>5</v>
      </c>
      <c r="T2348" s="1" t="n">
        <f aca="false">IF(AND($K2348=1,AND(对接源_02物料!$X1148="公司筐",N(对接源_02物料!$V1148)&lt;&gt;0)),1,0)</f>
        <v>0</v>
      </c>
      <c r="U2348" s="1" t="n">
        <f aca="false">N(U2347)+$T2348</f>
        <v>28</v>
      </c>
      <c r="V2348" s="1" t="n">
        <f aca="false">IF(AND($L2348=1,AND(对接源_02物料!$X1148="自备筐",N(对接源_02物料!$V1148)&lt;&gt;0)),1,0)</f>
        <v>0</v>
      </c>
      <c r="W2348" s="1" t="n">
        <f aca="false">N(W2347)+$V2348</f>
        <v>7</v>
      </c>
      <c r="X2348" s="1" t="n">
        <f aca="false">IF(AND($L2348=1,AND(对接源_02物料!$X1148="自备筐",N(对接源_02物料!$T1148)&lt;&gt;0)),1,0)</f>
        <v>0</v>
      </c>
      <c r="Y2348" s="1" t="n">
        <f aca="false">N(Y2347)+$X2348</f>
        <v>0</v>
      </c>
      <c r="Z2348" s="1" t="n">
        <f aca="false">IF(AND($M2348=1,对接源_02物料!$D1148="原料入库"),1,0)</f>
        <v>0</v>
      </c>
      <c r="AA2348" s="1" t="n">
        <f aca="false">N(AA2347)+$Z2348</f>
        <v>30</v>
      </c>
      <c r="AB2348" s="1" t="n">
        <f aca="false">IF(AND($M2348=1,LEFT(对接源_02物料!$D1148,4)="原料出库"),1,0)</f>
        <v>0</v>
      </c>
      <c r="AC2348" s="1" t="n">
        <f aca="false">N(AC2347)+$AB2348</f>
        <v>19</v>
      </c>
      <c r="AD2348" s="1" t="n">
        <f aca="false">IF(AND($M2348=1,LEFT(对接源_02物料!$D1148,4)="成品出库"),1,0)</f>
        <v>0</v>
      </c>
      <c r="AE2348" s="1" t="n">
        <f aca="false">N(AE2347)+$AD2348</f>
        <v>38</v>
      </c>
      <c r="AF2348" s="1" t="n">
        <f aca="false">IF(AND($N2348=1,AND(LEFT(对接源_02物料!$D1148,4)="包装物料",N(对接源_02物料!$K1148)&lt;&gt;0)),1,0)</f>
        <v>0</v>
      </c>
      <c r="AG2348" s="1" t="n">
        <f aca="false">N(AG2347)+$AF2348</f>
        <v>6</v>
      </c>
      <c r="AH2348" s="1" t="n">
        <f aca="false">IF(AND($N2348=1,AND(LEFT(对接源_02物料!$D1148,3)="周转筐",N(对接源_02物料!$K1148)&lt;&gt;0)),1,0)</f>
        <v>0</v>
      </c>
      <c r="AI2348" s="1" t="n">
        <f aca="false">N(AI2347)+$AH2348</f>
        <v>0</v>
      </c>
      <c r="AJ2348" s="1" t="n">
        <v>0</v>
      </c>
      <c r="AK2348" s="1" t="n">
        <f aca="false">N(AK2347)+$AJ2348</f>
        <v>3672</v>
      </c>
    </row>
    <row r="2349" customFormat="false" ht="13.5" hidden="false" customHeight="false" outlineLevel="0" collapsed="false">
      <c r="A2349" s="1" t="str">
        <f aca="false">IF(对接源_02物料!$C1149="","",对接源_02物料!$C1149)</f>
        <v/>
      </c>
      <c r="B2349" s="1" t="n">
        <f aca="false">IF(A2349="",0,IF(MATCH(A2349,$A$4:$A$2403,0)=ROW()-3,1,0))</f>
        <v>0</v>
      </c>
      <c r="C2349" s="1" t="n">
        <f aca="false">N(C2348)+B2349</f>
        <v>17</v>
      </c>
      <c r="K2349" s="1" t="n">
        <f aca="false">IF(OR($K$1="",对接源_02物料!$C1149="",对接源_02物料!$C1149&lt;&gt;$K$1,对接源_02物料!$B1149=""),0,IF(OR(N(对接源_02物料!$B1149)&lt;$K$2,N(对接源_02物料!$B1149)&gt;$K$3),0,1))</f>
        <v>0</v>
      </c>
      <c r="L2349" s="1" t="n">
        <f aca="false">IF(OR($L$1="",对接源_02物料!$C1149="",对接源_02物料!$C1149&lt;&gt;$L$1,对接源_02物料!$B1149=""),0,IF(OR(N(对接源_02物料!$B1149)&lt;$L$2,N(对接源_02物料!$B1149)&gt;$L$3),0,1))</f>
        <v>0</v>
      </c>
      <c r="M2349" s="1" t="n">
        <f aca="false">IF(OR($M$1="",对接源_02物料!$C1149="",对接源_02物料!$C1149&lt;&gt;$M$1,对接源_02物料!$B1149=""),0,IF(OR(N(对接源_02物料!$B1149)&lt;$M$2,N(对接源_02物料!$B1149)&gt;$M$3),0,1))</f>
        <v>0</v>
      </c>
      <c r="N2349" s="1" t="n">
        <f aca="false">IF(OR($N$1="",对接源_02物料!$C1149="",对接源_02物料!$C1149&lt;&gt;$N$1,对接源_02物料!$B1149=""),0,IF(OR(N(对接源_02物料!$B1149)&lt;$N$2,N(对接源_02物料!$B1149)&gt;$N$3),0,1))</f>
        <v>0</v>
      </c>
      <c r="P2349" s="1" t="n">
        <f aca="false">IF(AND($K2349=1,AND(对接源_02物料!$X1149="公司筐",N(对接源_02物料!$T1149)&lt;&gt;0)),1,0)</f>
        <v>0</v>
      </c>
      <c r="Q2349" s="1" t="n">
        <f aca="false">N(Q2348)+$P2349</f>
        <v>13</v>
      </c>
      <c r="R2349" s="1" t="n">
        <f aca="false">IF(AND($K2349=1,AND(对接源_02物料!$X1149="公司筐",N(对接源_02物料!$U1149)&lt;&gt;0)),1,0)</f>
        <v>0</v>
      </c>
      <c r="S2349" s="1" t="n">
        <f aca="false">N(S2348)+$R2349</f>
        <v>5</v>
      </c>
      <c r="T2349" s="1" t="n">
        <f aca="false">IF(AND($K2349=1,AND(对接源_02物料!$X1149="公司筐",N(对接源_02物料!$V1149)&lt;&gt;0)),1,0)</f>
        <v>0</v>
      </c>
      <c r="U2349" s="1" t="n">
        <f aca="false">N(U2348)+$T2349</f>
        <v>28</v>
      </c>
      <c r="V2349" s="1" t="n">
        <f aca="false">IF(AND($L2349=1,AND(对接源_02物料!$X1149="自备筐",N(对接源_02物料!$V1149)&lt;&gt;0)),1,0)</f>
        <v>0</v>
      </c>
      <c r="W2349" s="1" t="n">
        <f aca="false">N(W2348)+$V2349</f>
        <v>7</v>
      </c>
      <c r="X2349" s="1" t="n">
        <f aca="false">IF(AND($L2349=1,AND(对接源_02物料!$X1149="自备筐",N(对接源_02物料!$T1149)&lt;&gt;0)),1,0)</f>
        <v>0</v>
      </c>
      <c r="Y2349" s="1" t="n">
        <f aca="false">N(Y2348)+$X2349</f>
        <v>0</v>
      </c>
      <c r="Z2349" s="1" t="n">
        <f aca="false">IF(AND($M2349=1,对接源_02物料!$D1149="原料入库"),1,0)</f>
        <v>0</v>
      </c>
      <c r="AA2349" s="1" t="n">
        <f aca="false">N(AA2348)+$Z2349</f>
        <v>30</v>
      </c>
      <c r="AB2349" s="1" t="n">
        <f aca="false">IF(AND($M2349=1,LEFT(对接源_02物料!$D1149,4)="原料出库"),1,0)</f>
        <v>0</v>
      </c>
      <c r="AC2349" s="1" t="n">
        <f aca="false">N(AC2348)+$AB2349</f>
        <v>19</v>
      </c>
      <c r="AD2349" s="1" t="n">
        <f aca="false">IF(AND($M2349=1,LEFT(对接源_02物料!$D1149,4)="成品出库"),1,0)</f>
        <v>0</v>
      </c>
      <c r="AE2349" s="1" t="n">
        <f aca="false">N(AE2348)+$AD2349</f>
        <v>38</v>
      </c>
      <c r="AF2349" s="1" t="n">
        <f aca="false">IF(AND($N2349=1,AND(LEFT(对接源_02物料!$D1149,4)="包装物料",N(对接源_02物料!$K1149)&lt;&gt;0)),1,0)</f>
        <v>0</v>
      </c>
      <c r="AG2349" s="1" t="n">
        <f aca="false">N(AG2348)+$AF2349</f>
        <v>6</v>
      </c>
      <c r="AH2349" s="1" t="n">
        <f aca="false">IF(AND($N2349=1,AND(LEFT(对接源_02物料!$D1149,3)="周转筐",N(对接源_02物料!$K1149)&lt;&gt;0)),1,0)</f>
        <v>0</v>
      </c>
      <c r="AI2349" s="1" t="n">
        <f aca="false">N(AI2348)+$AH2349</f>
        <v>0</v>
      </c>
      <c r="AJ2349" s="1" t="n">
        <v>0</v>
      </c>
      <c r="AK2349" s="1" t="n">
        <f aca="false">N(AK2348)+$AJ2349</f>
        <v>3672</v>
      </c>
    </row>
    <row r="2350" customFormat="false" ht="13.5" hidden="false" customHeight="false" outlineLevel="0" collapsed="false">
      <c r="A2350" s="1" t="str">
        <f aca="false">IF(对接源_02物料!$C1150="","",对接源_02物料!$C1150)</f>
        <v/>
      </c>
      <c r="B2350" s="1" t="n">
        <f aca="false">IF(A2350="",0,IF(MATCH(A2350,$A$4:$A$2403,0)=ROW()-3,1,0))</f>
        <v>0</v>
      </c>
      <c r="C2350" s="1" t="n">
        <f aca="false">N(C2349)+B2350</f>
        <v>17</v>
      </c>
      <c r="K2350" s="1" t="n">
        <f aca="false">IF(OR($K$1="",对接源_02物料!$C1150="",对接源_02物料!$C1150&lt;&gt;$K$1,对接源_02物料!$B1150=""),0,IF(OR(N(对接源_02物料!$B1150)&lt;$K$2,N(对接源_02物料!$B1150)&gt;$K$3),0,1))</f>
        <v>0</v>
      </c>
      <c r="L2350" s="1" t="n">
        <f aca="false">IF(OR($L$1="",对接源_02物料!$C1150="",对接源_02物料!$C1150&lt;&gt;$L$1,对接源_02物料!$B1150=""),0,IF(OR(N(对接源_02物料!$B1150)&lt;$L$2,N(对接源_02物料!$B1150)&gt;$L$3),0,1))</f>
        <v>0</v>
      </c>
      <c r="M2350" s="1" t="n">
        <f aca="false">IF(OR($M$1="",对接源_02物料!$C1150="",对接源_02物料!$C1150&lt;&gt;$M$1,对接源_02物料!$B1150=""),0,IF(OR(N(对接源_02物料!$B1150)&lt;$M$2,N(对接源_02物料!$B1150)&gt;$M$3),0,1))</f>
        <v>0</v>
      </c>
      <c r="N2350" s="1" t="n">
        <f aca="false">IF(OR($N$1="",对接源_02物料!$C1150="",对接源_02物料!$C1150&lt;&gt;$N$1,对接源_02物料!$B1150=""),0,IF(OR(N(对接源_02物料!$B1150)&lt;$N$2,N(对接源_02物料!$B1150)&gt;$N$3),0,1))</f>
        <v>0</v>
      </c>
      <c r="P2350" s="1" t="n">
        <f aca="false">IF(AND($K2350=1,AND(对接源_02物料!$X1150="公司筐",N(对接源_02物料!$T1150)&lt;&gt;0)),1,0)</f>
        <v>0</v>
      </c>
      <c r="Q2350" s="1" t="n">
        <f aca="false">N(Q2349)+$P2350</f>
        <v>13</v>
      </c>
      <c r="R2350" s="1" t="n">
        <f aca="false">IF(AND($K2350=1,AND(对接源_02物料!$X1150="公司筐",N(对接源_02物料!$U1150)&lt;&gt;0)),1,0)</f>
        <v>0</v>
      </c>
      <c r="S2350" s="1" t="n">
        <f aca="false">N(S2349)+$R2350</f>
        <v>5</v>
      </c>
      <c r="T2350" s="1" t="n">
        <f aca="false">IF(AND($K2350=1,AND(对接源_02物料!$X1150="公司筐",N(对接源_02物料!$V1150)&lt;&gt;0)),1,0)</f>
        <v>0</v>
      </c>
      <c r="U2350" s="1" t="n">
        <f aca="false">N(U2349)+$T2350</f>
        <v>28</v>
      </c>
      <c r="V2350" s="1" t="n">
        <f aca="false">IF(AND($L2350=1,AND(对接源_02物料!$X1150="自备筐",N(对接源_02物料!$V1150)&lt;&gt;0)),1,0)</f>
        <v>0</v>
      </c>
      <c r="W2350" s="1" t="n">
        <f aca="false">N(W2349)+$V2350</f>
        <v>7</v>
      </c>
      <c r="X2350" s="1" t="n">
        <f aca="false">IF(AND($L2350=1,AND(对接源_02物料!$X1150="自备筐",N(对接源_02物料!$T1150)&lt;&gt;0)),1,0)</f>
        <v>0</v>
      </c>
      <c r="Y2350" s="1" t="n">
        <f aca="false">N(Y2349)+$X2350</f>
        <v>0</v>
      </c>
      <c r="Z2350" s="1" t="n">
        <f aca="false">IF(AND($M2350=1,对接源_02物料!$D1150="原料入库"),1,0)</f>
        <v>0</v>
      </c>
      <c r="AA2350" s="1" t="n">
        <f aca="false">N(AA2349)+$Z2350</f>
        <v>30</v>
      </c>
      <c r="AB2350" s="1" t="n">
        <f aca="false">IF(AND($M2350=1,LEFT(对接源_02物料!$D1150,4)="原料出库"),1,0)</f>
        <v>0</v>
      </c>
      <c r="AC2350" s="1" t="n">
        <f aca="false">N(AC2349)+$AB2350</f>
        <v>19</v>
      </c>
      <c r="AD2350" s="1" t="n">
        <f aca="false">IF(AND($M2350=1,LEFT(对接源_02物料!$D1150,4)="成品出库"),1,0)</f>
        <v>0</v>
      </c>
      <c r="AE2350" s="1" t="n">
        <f aca="false">N(AE2349)+$AD2350</f>
        <v>38</v>
      </c>
      <c r="AF2350" s="1" t="n">
        <f aca="false">IF(AND($N2350=1,AND(LEFT(对接源_02物料!$D1150,4)="包装物料",N(对接源_02物料!$K1150)&lt;&gt;0)),1,0)</f>
        <v>0</v>
      </c>
      <c r="AG2350" s="1" t="n">
        <f aca="false">N(AG2349)+$AF2350</f>
        <v>6</v>
      </c>
      <c r="AH2350" s="1" t="n">
        <f aca="false">IF(AND($N2350=1,AND(LEFT(对接源_02物料!$D1150,3)="周转筐",N(对接源_02物料!$K1150)&lt;&gt;0)),1,0)</f>
        <v>0</v>
      </c>
      <c r="AI2350" s="1" t="n">
        <f aca="false">N(AI2349)+$AH2350</f>
        <v>0</v>
      </c>
      <c r="AJ2350" s="1" t="n">
        <v>0</v>
      </c>
      <c r="AK2350" s="1" t="n">
        <f aca="false">N(AK2349)+$AJ2350</f>
        <v>3672</v>
      </c>
    </row>
    <row r="2351" customFormat="false" ht="13.5" hidden="false" customHeight="false" outlineLevel="0" collapsed="false">
      <c r="A2351" s="1" t="str">
        <f aca="false">IF(对接源_02物料!$C1151="","",对接源_02物料!$C1151)</f>
        <v/>
      </c>
      <c r="B2351" s="1" t="n">
        <f aca="false">IF(A2351="",0,IF(MATCH(A2351,$A$4:$A$2403,0)=ROW()-3,1,0))</f>
        <v>0</v>
      </c>
      <c r="C2351" s="1" t="n">
        <f aca="false">N(C2350)+B2351</f>
        <v>17</v>
      </c>
      <c r="K2351" s="1" t="n">
        <f aca="false">IF(OR($K$1="",对接源_02物料!$C1151="",对接源_02物料!$C1151&lt;&gt;$K$1,对接源_02物料!$B1151=""),0,IF(OR(N(对接源_02物料!$B1151)&lt;$K$2,N(对接源_02物料!$B1151)&gt;$K$3),0,1))</f>
        <v>0</v>
      </c>
      <c r="L2351" s="1" t="n">
        <f aca="false">IF(OR($L$1="",对接源_02物料!$C1151="",对接源_02物料!$C1151&lt;&gt;$L$1,对接源_02物料!$B1151=""),0,IF(OR(N(对接源_02物料!$B1151)&lt;$L$2,N(对接源_02物料!$B1151)&gt;$L$3),0,1))</f>
        <v>0</v>
      </c>
      <c r="M2351" s="1" t="n">
        <f aca="false">IF(OR($M$1="",对接源_02物料!$C1151="",对接源_02物料!$C1151&lt;&gt;$M$1,对接源_02物料!$B1151=""),0,IF(OR(N(对接源_02物料!$B1151)&lt;$M$2,N(对接源_02物料!$B1151)&gt;$M$3),0,1))</f>
        <v>0</v>
      </c>
      <c r="N2351" s="1" t="n">
        <f aca="false">IF(OR($N$1="",对接源_02物料!$C1151="",对接源_02物料!$C1151&lt;&gt;$N$1,对接源_02物料!$B1151=""),0,IF(OR(N(对接源_02物料!$B1151)&lt;$N$2,N(对接源_02物料!$B1151)&gt;$N$3),0,1))</f>
        <v>0</v>
      </c>
      <c r="P2351" s="1" t="n">
        <f aca="false">IF(AND($K2351=1,AND(对接源_02物料!$X1151="公司筐",N(对接源_02物料!$T1151)&lt;&gt;0)),1,0)</f>
        <v>0</v>
      </c>
      <c r="Q2351" s="1" t="n">
        <f aca="false">N(Q2350)+$P2351</f>
        <v>13</v>
      </c>
      <c r="R2351" s="1" t="n">
        <f aca="false">IF(AND($K2351=1,AND(对接源_02物料!$X1151="公司筐",N(对接源_02物料!$U1151)&lt;&gt;0)),1,0)</f>
        <v>0</v>
      </c>
      <c r="S2351" s="1" t="n">
        <f aca="false">N(S2350)+$R2351</f>
        <v>5</v>
      </c>
      <c r="T2351" s="1" t="n">
        <f aca="false">IF(AND($K2351=1,AND(对接源_02物料!$X1151="公司筐",N(对接源_02物料!$V1151)&lt;&gt;0)),1,0)</f>
        <v>0</v>
      </c>
      <c r="U2351" s="1" t="n">
        <f aca="false">N(U2350)+$T2351</f>
        <v>28</v>
      </c>
      <c r="V2351" s="1" t="n">
        <f aca="false">IF(AND($L2351=1,AND(对接源_02物料!$X1151="自备筐",N(对接源_02物料!$V1151)&lt;&gt;0)),1,0)</f>
        <v>0</v>
      </c>
      <c r="W2351" s="1" t="n">
        <f aca="false">N(W2350)+$V2351</f>
        <v>7</v>
      </c>
      <c r="X2351" s="1" t="n">
        <f aca="false">IF(AND($L2351=1,AND(对接源_02物料!$X1151="自备筐",N(对接源_02物料!$T1151)&lt;&gt;0)),1,0)</f>
        <v>0</v>
      </c>
      <c r="Y2351" s="1" t="n">
        <f aca="false">N(Y2350)+$X2351</f>
        <v>0</v>
      </c>
      <c r="Z2351" s="1" t="n">
        <f aca="false">IF(AND($M2351=1,对接源_02物料!$D1151="原料入库"),1,0)</f>
        <v>0</v>
      </c>
      <c r="AA2351" s="1" t="n">
        <f aca="false">N(AA2350)+$Z2351</f>
        <v>30</v>
      </c>
      <c r="AB2351" s="1" t="n">
        <f aca="false">IF(AND($M2351=1,LEFT(对接源_02物料!$D1151,4)="原料出库"),1,0)</f>
        <v>0</v>
      </c>
      <c r="AC2351" s="1" t="n">
        <f aca="false">N(AC2350)+$AB2351</f>
        <v>19</v>
      </c>
      <c r="AD2351" s="1" t="n">
        <f aca="false">IF(AND($M2351=1,LEFT(对接源_02物料!$D1151,4)="成品出库"),1,0)</f>
        <v>0</v>
      </c>
      <c r="AE2351" s="1" t="n">
        <f aca="false">N(AE2350)+$AD2351</f>
        <v>38</v>
      </c>
      <c r="AF2351" s="1" t="n">
        <f aca="false">IF(AND($N2351=1,AND(LEFT(对接源_02物料!$D1151,4)="包装物料",N(对接源_02物料!$K1151)&lt;&gt;0)),1,0)</f>
        <v>0</v>
      </c>
      <c r="AG2351" s="1" t="n">
        <f aca="false">N(AG2350)+$AF2351</f>
        <v>6</v>
      </c>
      <c r="AH2351" s="1" t="n">
        <f aca="false">IF(AND($N2351=1,AND(LEFT(对接源_02物料!$D1151,3)="周转筐",N(对接源_02物料!$K1151)&lt;&gt;0)),1,0)</f>
        <v>0</v>
      </c>
      <c r="AI2351" s="1" t="n">
        <f aca="false">N(AI2350)+$AH2351</f>
        <v>0</v>
      </c>
      <c r="AJ2351" s="1" t="n">
        <v>0</v>
      </c>
      <c r="AK2351" s="1" t="n">
        <f aca="false">N(AK2350)+$AJ2351</f>
        <v>3672</v>
      </c>
    </row>
    <row r="2352" customFormat="false" ht="13.5" hidden="false" customHeight="false" outlineLevel="0" collapsed="false">
      <c r="A2352" s="1" t="str">
        <f aca="false">IF(对接源_02物料!$C1152="","",对接源_02物料!$C1152)</f>
        <v/>
      </c>
      <c r="B2352" s="1" t="n">
        <f aca="false">IF(A2352="",0,IF(MATCH(A2352,$A$4:$A$2403,0)=ROW()-3,1,0))</f>
        <v>0</v>
      </c>
      <c r="C2352" s="1" t="n">
        <f aca="false">N(C2351)+B2352</f>
        <v>17</v>
      </c>
      <c r="K2352" s="1" t="n">
        <f aca="false">IF(OR($K$1="",对接源_02物料!$C1152="",对接源_02物料!$C1152&lt;&gt;$K$1,对接源_02物料!$B1152=""),0,IF(OR(N(对接源_02物料!$B1152)&lt;$K$2,N(对接源_02物料!$B1152)&gt;$K$3),0,1))</f>
        <v>0</v>
      </c>
      <c r="L2352" s="1" t="n">
        <f aca="false">IF(OR($L$1="",对接源_02物料!$C1152="",对接源_02物料!$C1152&lt;&gt;$L$1,对接源_02物料!$B1152=""),0,IF(OR(N(对接源_02物料!$B1152)&lt;$L$2,N(对接源_02物料!$B1152)&gt;$L$3),0,1))</f>
        <v>0</v>
      </c>
      <c r="M2352" s="1" t="n">
        <f aca="false">IF(OR($M$1="",对接源_02物料!$C1152="",对接源_02物料!$C1152&lt;&gt;$M$1,对接源_02物料!$B1152=""),0,IF(OR(N(对接源_02物料!$B1152)&lt;$M$2,N(对接源_02物料!$B1152)&gt;$M$3),0,1))</f>
        <v>0</v>
      </c>
      <c r="N2352" s="1" t="n">
        <f aca="false">IF(OR($N$1="",对接源_02物料!$C1152="",对接源_02物料!$C1152&lt;&gt;$N$1,对接源_02物料!$B1152=""),0,IF(OR(N(对接源_02物料!$B1152)&lt;$N$2,N(对接源_02物料!$B1152)&gt;$N$3),0,1))</f>
        <v>0</v>
      </c>
      <c r="P2352" s="1" t="n">
        <f aca="false">IF(AND($K2352=1,AND(对接源_02物料!$X1152="公司筐",N(对接源_02物料!$T1152)&lt;&gt;0)),1,0)</f>
        <v>0</v>
      </c>
      <c r="Q2352" s="1" t="n">
        <f aca="false">N(Q2351)+$P2352</f>
        <v>13</v>
      </c>
      <c r="R2352" s="1" t="n">
        <f aca="false">IF(AND($K2352=1,AND(对接源_02物料!$X1152="公司筐",N(对接源_02物料!$U1152)&lt;&gt;0)),1,0)</f>
        <v>0</v>
      </c>
      <c r="S2352" s="1" t="n">
        <f aca="false">N(S2351)+$R2352</f>
        <v>5</v>
      </c>
      <c r="T2352" s="1" t="n">
        <f aca="false">IF(AND($K2352=1,AND(对接源_02物料!$X1152="公司筐",N(对接源_02物料!$V1152)&lt;&gt;0)),1,0)</f>
        <v>0</v>
      </c>
      <c r="U2352" s="1" t="n">
        <f aca="false">N(U2351)+$T2352</f>
        <v>28</v>
      </c>
      <c r="V2352" s="1" t="n">
        <f aca="false">IF(AND($L2352=1,AND(对接源_02物料!$X1152="自备筐",N(对接源_02物料!$V1152)&lt;&gt;0)),1,0)</f>
        <v>0</v>
      </c>
      <c r="W2352" s="1" t="n">
        <f aca="false">N(W2351)+$V2352</f>
        <v>7</v>
      </c>
      <c r="X2352" s="1" t="n">
        <f aca="false">IF(AND($L2352=1,AND(对接源_02物料!$X1152="自备筐",N(对接源_02物料!$T1152)&lt;&gt;0)),1,0)</f>
        <v>0</v>
      </c>
      <c r="Y2352" s="1" t="n">
        <f aca="false">N(Y2351)+$X2352</f>
        <v>0</v>
      </c>
      <c r="Z2352" s="1" t="n">
        <f aca="false">IF(AND($M2352=1,对接源_02物料!$D1152="原料入库"),1,0)</f>
        <v>0</v>
      </c>
      <c r="AA2352" s="1" t="n">
        <f aca="false">N(AA2351)+$Z2352</f>
        <v>30</v>
      </c>
      <c r="AB2352" s="1" t="n">
        <f aca="false">IF(AND($M2352=1,LEFT(对接源_02物料!$D1152,4)="原料出库"),1,0)</f>
        <v>0</v>
      </c>
      <c r="AC2352" s="1" t="n">
        <f aca="false">N(AC2351)+$AB2352</f>
        <v>19</v>
      </c>
      <c r="AD2352" s="1" t="n">
        <f aca="false">IF(AND($M2352=1,LEFT(对接源_02物料!$D1152,4)="成品出库"),1,0)</f>
        <v>0</v>
      </c>
      <c r="AE2352" s="1" t="n">
        <f aca="false">N(AE2351)+$AD2352</f>
        <v>38</v>
      </c>
      <c r="AF2352" s="1" t="n">
        <f aca="false">IF(AND($N2352=1,AND(LEFT(对接源_02物料!$D1152,4)="包装物料",N(对接源_02物料!$K1152)&lt;&gt;0)),1,0)</f>
        <v>0</v>
      </c>
      <c r="AG2352" s="1" t="n">
        <f aca="false">N(AG2351)+$AF2352</f>
        <v>6</v>
      </c>
      <c r="AH2352" s="1" t="n">
        <f aca="false">IF(AND($N2352=1,AND(LEFT(对接源_02物料!$D1152,3)="周转筐",N(对接源_02物料!$K1152)&lt;&gt;0)),1,0)</f>
        <v>0</v>
      </c>
      <c r="AI2352" s="1" t="n">
        <f aca="false">N(AI2351)+$AH2352</f>
        <v>0</v>
      </c>
      <c r="AJ2352" s="1" t="n">
        <v>0</v>
      </c>
      <c r="AK2352" s="1" t="n">
        <f aca="false">N(AK2351)+$AJ2352</f>
        <v>3672</v>
      </c>
    </row>
    <row r="2353" customFormat="false" ht="13.5" hidden="false" customHeight="false" outlineLevel="0" collapsed="false">
      <c r="A2353" s="1" t="str">
        <f aca="false">IF(对接源_02物料!$C1153="","",对接源_02物料!$C1153)</f>
        <v/>
      </c>
      <c r="B2353" s="1" t="n">
        <f aca="false">IF(A2353="",0,IF(MATCH(A2353,$A$4:$A$2403,0)=ROW()-3,1,0))</f>
        <v>0</v>
      </c>
      <c r="C2353" s="1" t="n">
        <f aca="false">N(C2352)+B2353</f>
        <v>17</v>
      </c>
      <c r="K2353" s="1" t="n">
        <f aca="false">IF(OR($K$1="",对接源_02物料!$C1153="",对接源_02物料!$C1153&lt;&gt;$K$1,对接源_02物料!$B1153=""),0,IF(OR(N(对接源_02物料!$B1153)&lt;$K$2,N(对接源_02物料!$B1153)&gt;$K$3),0,1))</f>
        <v>0</v>
      </c>
      <c r="L2353" s="1" t="n">
        <f aca="false">IF(OR($L$1="",对接源_02物料!$C1153="",对接源_02物料!$C1153&lt;&gt;$L$1,对接源_02物料!$B1153=""),0,IF(OR(N(对接源_02物料!$B1153)&lt;$L$2,N(对接源_02物料!$B1153)&gt;$L$3),0,1))</f>
        <v>0</v>
      </c>
      <c r="M2353" s="1" t="n">
        <f aca="false">IF(OR($M$1="",对接源_02物料!$C1153="",对接源_02物料!$C1153&lt;&gt;$M$1,对接源_02物料!$B1153=""),0,IF(OR(N(对接源_02物料!$B1153)&lt;$M$2,N(对接源_02物料!$B1153)&gt;$M$3),0,1))</f>
        <v>0</v>
      </c>
      <c r="N2353" s="1" t="n">
        <f aca="false">IF(OR($N$1="",对接源_02物料!$C1153="",对接源_02物料!$C1153&lt;&gt;$N$1,对接源_02物料!$B1153=""),0,IF(OR(N(对接源_02物料!$B1153)&lt;$N$2,N(对接源_02物料!$B1153)&gt;$N$3),0,1))</f>
        <v>0</v>
      </c>
      <c r="P2353" s="1" t="n">
        <f aca="false">IF(AND($K2353=1,AND(对接源_02物料!$X1153="公司筐",N(对接源_02物料!$T1153)&lt;&gt;0)),1,0)</f>
        <v>0</v>
      </c>
      <c r="Q2353" s="1" t="n">
        <f aca="false">N(Q2352)+$P2353</f>
        <v>13</v>
      </c>
      <c r="R2353" s="1" t="n">
        <f aca="false">IF(AND($K2353=1,AND(对接源_02物料!$X1153="公司筐",N(对接源_02物料!$U1153)&lt;&gt;0)),1,0)</f>
        <v>0</v>
      </c>
      <c r="S2353" s="1" t="n">
        <f aca="false">N(S2352)+$R2353</f>
        <v>5</v>
      </c>
      <c r="T2353" s="1" t="n">
        <f aca="false">IF(AND($K2353=1,AND(对接源_02物料!$X1153="公司筐",N(对接源_02物料!$V1153)&lt;&gt;0)),1,0)</f>
        <v>0</v>
      </c>
      <c r="U2353" s="1" t="n">
        <f aca="false">N(U2352)+$T2353</f>
        <v>28</v>
      </c>
      <c r="V2353" s="1" t="n">
        <f aca="false">IF(AND($L2353=1,AND(对接源_02物料!$X1153="自备筐",N(对接源_02物料!$V1153)&lt;&gt;0)),1,0)</f>
        <v>0</v>
      </c>
      <c r="W2353" s="1" t="n">
        <f aca="false">N(W2352)+$V2353</f>
        <v>7</v>
      </c>
      <c r="X2353" s="1" t="n">
        <f aca="false">IF(AND($L2353=1,AND(对接源_02物料!$X1153="自备筐",N(对接源_02物料!$T1153)&lt;&gt;0)),1,0)</f>
        <v>0</v>
      </c>
      <c r="Y2353" s="1" t="n">
        <f aca="false">N(Y2352)+$X2353</f>
        <v>0</v>
      </c>
      <c r="Z2353" s="1" t="n">
        <f aca="false">IF(AND($M2353=1,对接源_02物料!$D1153="原料入库"),1,0)</f>
        <v>0</v>
      </c>
      <c r="AA2353" s="1" t="n">
        <f aca="false">N(AA2352)+$Z2353</f>
        <v>30</v>
      </c>
      <c r="AB2353" s="1" t="n">
        <f aca="false">IF(AND($M2353=1,LEFT(对接源_02物料!$D1153,4)="原料出库"),1,0)</f>
        <v>0</v>
      </c>
      <c r="AC2353" s="1" t="n">
        <f aca="false">N(AC2352)+$AB2353</f>
        <v>19</v>
      </c>
      <c r="AD2353" s="1" t="n">
        <f aca="false">IF(AND($M2353=1,LEFT(对接源_02物料!$D1153,4)="成品出库"),1,0)</f>
        <v>0</v>
      </c>
      <c r="AE2353" s="1" t="n">
        <f aca="false">N(AE2352)+$AD2353</f>
        <v>38</v>
      </c>
      <c r="AF2353" s="1" t="n">
        <f aca="false">IF(AND($N2353=1,AND(LEFT(对接源_02物料!$D1153,4)="包装物料",N(对接源_02物料!$K1153)&lt;&gt;0)),1,0)</f>
        <v>0</v>
      </c>
      <c r="AG2353" s="1" t="n">
        <f aca="false">N(AG2352)+$AF2353</f>
        <v>6</v>
      </c>
      <c r="AH2353" s="1" t="n">
        <f aca="false">IF(AND($N2353=1,AND(LEFT(对接源_02物料!$D1153,3)="周转筐",N(对接源_02物料!$K1153)&lt;&gt;0)),1,0)</f>
        <v>0</v>
      </c>
      <c r="AI2353" s="1" t="n">
        <f aca="false">N(AI2352)+$AH2353</f>
        <v>0</v>
      </c>
      <c r="AJ2353" s="1" t="n">
        <v>0</v>
      </c>
      <c r="AK2353" s="1" t="n">
        <f aca="false">N(AK2352)+$AJ2353</f>
        <v>3672</v>
      </c>
    </row>
    <row r="2354" customFormat="false" ht="13.5" hidden="false" customHeight="false" outlineLevel="0" collapsed="false">
      <c r="A2354" s="1" t="str">
        <f aca="false">IF(对接源_02物料!$C1154="","",对接源_02物料!$C1154)</f>
        <v/>
      </c>
      <c r="B2354" s="1" t="n">
        <f aca="false">IF(A2354="",0,IF(MATCH(A2354,$A$4:$A$2403,0)=ROW()-3,1,0))</f>
        <v>0</v>
      </c>
      <c r="C2354" s="1" t="n">
        <f aca="false">N(C2353)+B2354</f>
        <v>17</v>
      </c>
      <c r="K2354" s="1" t="n">
        <f aca="false">IF(OR($K$1="",对接源_02物料!$C1154="",对接源_02物料!$C1154&lt;&gt;$K$1,对接源_02物料!$B1154=""),0,IF(OR(N(对接源_02物料!$B1154)&lt;$K$2,N(对接源_02物料!$B1154)&gt;$K$3),0,1))</f>
        <v>0</v>
      </c>
      <c r="L2354" s="1" t="n">
        <f aca="false">IF(OR($L$1="",对接源_02物料!$C1154="",对接源_02物料!$C1154&lt;&gt;$L$1,对接源_02物料!$B1154=""),0,IF(OR(N(对接源_02物料!$B1154)&lt;$L$2,N(对接源_02物料!$B1154)&gt;$L$3),0,1))</f>
        <v>0</v>
      </c>
      <c r="M2354" s="1" t="n">
        <f aca="false">IF(OR($M$1="",对接源_02物料!$C1154="",对接源_02物料!$C1154&lt;&gt;$M$1,对接源_02物料!$B1154=""),0,IF(OR(N(对接源_02物料!$B1154)&lt;$M$2,N(对接源_02物料!$B1154)&gt;$M$3),0,1))</f>
        <v>0</v>
      </c>
      <c r="N2354" s="1" t="n">
        <f aca="false">IF(OR($N$1="",对接源_02物料!$C1154="",对接源_02物料!$C1154&lt;&gt;$N$1,对接源_02物料!$B1154=""),0,IF(OR(N(对接源_02物料!$B1154)&lt;$N$2,N(对接源_02物料!$B1154)&gt;$N$3),0,1))</f>
        <v>0</v>
      </c>
      <c r="P2354" s="1" t="n">
        <f aca="false">IF(AND($K2354=1,AND(对接源_02物料!$X1154="公司筐",N(对接源_02物料!$T1154)&lt;&gt;0)),1,0)</f>
        <v>0</v>
      </c>
      <c r="Q2354" s="1" t="n">
        <f aca="false">N(Q2353)+$P2354</f>
        <v>13</v>
      </c>
      <c r="R2354" s="1" t="n">
        <f aca="false">IF(AND($K2354=1,AND(对接源_02物料!$X1154="公司筐",N(对接源_02物料!$U1154)&lt;&gt;0)),1,0)</f>
        <v>0</v>
      </c>
      <c r="S2354" s="1" t="n">
        <f aca="false">N(S2353)+$R2354</f>
        <v>5</v>
      </c>
      <c r="T2354" s="1" t="n">
        <f aca="false">IF(AND($K2354=1,AND(对接源_02物料!$X1154="公司筐",N(对接源_02物料!$V1154)&lt;&gt;0)),1,0)</f>
        <v>0</v>
      </c>
      <c r="U2354" s="1" t="n">
        <f aca="false">N(U2353)+$T2354</f>
        <v>28</v>
      </c>
      <c r="V2354" s="1" t="n">
        <f aca="false">IF(AND($L2354=1,AND(对接源_02物料!$X1154="自备筐",N(对接源_02物料!$V1154)&lt;&gt;0)),1,0)</f>
        <v>0</v>
      </c>
      <c r="W2354" s="1" t="n">
        <f aca="false">N(W2353)+$V2354</f>
        <v>7</v>
      </c>
      <c r="X2354" s="1" t="n">
        <f aca="false">IF(AND($L2354=1,AND(对接源_02物料!$X1154="自备筐",N(对接源_02物料!$T1154)&lt;&gt;0)),1,0)</f>
        <v>0</v>
      </c>
      <c r="Y2354" s="1" t="n">
        <f aca="false">N(Y2353)+$X2354</f>
        <v>0</v>
      </c>
      <c r="Z2354" s="1" t="n">
        <f aca="false">IF(AND($M2354=1,对接源_02物料!$D1154="原料入库"),1,0)</f>
        <v>0</v>
      </c>
      <c r="AA2354" s="1" t="n">
        <f aca="false">N(AA2353)+$Z2354</f>
        <v>30</v>
      </c>
      <c r="AB2354" s="1" t="n">
        <f aca="false">IF(AND($M2354=1,LEFT(对接源_02物料!$D1154,4)="原料出库"),1,0)</f>
        <v>0</v>
      </c>
      <c r="AC2354" s="1" t="n">
        <f aca="false">N(AC2353)+$AB2354</f>
        <v>19</v>
      </c>
      <c r="AD2354" s="1" t="n">
        <f aca="false">IF(AND($M2354=1,LEFT(对接源_02物料!$D1154,4)="成品出库"),1,0)</f>
        <v>0</v>
      </c>
      <c r="AE2354" s="1" t="n">
        <f aca="false">N(AE2353)+$AD2354</f>
        <v>38</v>
      </c>
      <c r="AF2354" s="1" t="n">
        <f aca="false">IF(AND($N2354=1,AND(LEFT(对接源_02物料!$D1154,4)="包装物料",N(对接源_02物料!$K1154)&lt;&gt;0)),1,0)</f>
        <v>0</v>
      </c>
      <c r="AG2354" s="1" t="n">
        <f aca="false">N(AG2353)+$AF2354</f>
        <v>6</v>
      </c>
      <c r="AH2354" s="1" t="n">
        <f aca="false">IF(AND($N2354=1,AND(LEFT(对接源_02物料!$D1154,3)="周转筐",N(对接源_02物料!$K1154)&lt;&gt;0)),1,0)</f>
        <v>0</v>
      </c>
      <c r="AI2354" s="1" t="n">
        <f aca="false">N(AI2353)+$AH2354</f>
        <v>0</v>
      </c>
      <c r="AJ2354" s="1" t="n">
        <v>0</v>
      </c>
      <c r="AK2354" s="1" t="n">
        <f aca="false">N(AK2353)+$AJ2354</f>
        <v>3672</v>
      </c>
    </row>
    <row r="2355" customFormat="false" ht="13.5" hidden="false" customHeight="false" outlineLevel="0" collapsed="false">
      <c r="A2355" s="1" t="str">
        <f aca="false">IF(对接源_02物料!$C1155="","",对接源_02物料!$C1155)</f>
        <v/>
      </c>
      <c r="B2355" s="1" t="n">
        <f aca="false">IF(A2355="",0,IF(MATCH(A2355,$A$4:$A$2403,0)=ROW()-3,1,0))</f>
        <v>0</v>
      </c>
      <c r="C2355" s="1" t="n">
        <f aca="false">N(C2354)+B2355</f>
        <v>17</v>
      </c>
      <c r="K2355" s="1" t="n">
        <f aca="false">IF(OR($K$1="",对接源_02物料!$C1155="",对接源_02物料!$C1155&lt;&gt;$K$1,对接源_02物料!$B1155=""),0,IF(OR(N(对接源_02物料!$B1155)&lt;$K$2,N(对接源_02物料!$B1155)&gt;$K$3),0,1))</f>
        <v>0</v>
      </c>
      <c r="L2355" s="1" t="n">
        <f aca="false">IF(OR($L$1="",对接源_02物料!$C1155="",对接源_02物料!$C1155&lt;&gt;$L$1,对接源_02物料!$B1155=""),0,IF(OR(N(对接源_02物料!$B1155)&lt;$L$2,N(对接源_02物料!$B1155)&gt;$L$3),0,1))</f>
        <v>0</v>
      </c>
      <c r="M2355" s="1" t="n">
        <f aca="false">IF(OR($M$1="",对接源_02物料!$C1155="",对接源_02物料!$C1155&lt;&gt;$M$1,对接源_02物料!$B1155=""),0,IF(OR(N(对接源_02物料!$B1155)&lt;$M$2,N(对接源_02物料!$B1155)&gt;$M$3),0,1))</f>
        <v>0</v>
      </c>
      <c r="N2355" s="1" t="n">
        <f aca="false">IF(OR($N$1="",对接源_02物料!$C1155="",对接源_02物料!$C1155&lt;&gt;$N$1,对接源_02物料!$B1155=""),0,IF(OR(N(对接源_02物料!$B1155)&lt;$N$2,N(对接源_02物料!$B1155)&gt;$N$3),0,1))</f>
        <v>0</v>
      </c>
      <c r="P2355" s="1" t="n">
        <f aca="false">IF(AND($K2355=1,AND(对接源_02物料!$X1155="公司筐",N(对接源_02物料!$T1155)&lt;&gt;0)),1,0)</f>
        <v>0</v>
      </c>
      <c r="Q2355" s="1" t="n">
        <f aca="false">N(Q2354)+$P2355</f>
        <v>13</v>
      </c>
      <c r="R2355" s="1" t="n">
        <f aca="false">IF(AND($K2355=1,AND(对接源_02物料!$X1155="公司筐",N(对接源_02物料!$U1155)&lt;&gt;0)),1,0)</f>
        <v>0</v>
      </c>
      <c r="S2355" s="1" t="n">
        <f aca="false">N(S2354)+$R2355</f>
        <v>5</v>
      </c>
      <c r="T2355" s="1" t="n">
        <f aca="false">IF(AND($K2355=1,AND(对接源_02物料!$X1155="公司筐",N(对接源_02物料!$V1155)&lt;&gt;0)),1,0)</f>
        <v>0</v>
      </c>
      <c r="U2355" s="1" t="n">
        <f aca="false">N(U2354)+$T2355</f>
        <v>28</v>
      </c>
      <c r="V2355" s="1" t="n">
        <f aca="false">IF(AND($L2355=1,AND(对接源_02物料!$X1155="自备筐",N(对接源_02物料!$V1155)&lt;&gt;0)),1,0)</f>
        <v>0</v>
      </c>
      <c r="W2355" s="1" t="n">
        <f aca="false">N(W2354)+$V2355</f>
        <v>7</v>
      </c>
      <c r="X2355" s="1" t="n">
        <f aca="false">IF(AND($L2355=1,AND(对接源_02物料!$X1155="自备筐",N(对接源_02物料!$T1155)&lt;&gt;0)),1,0)</f>
        <v>0</v>
      </c>
      <c r="Y2355" s="1" t="n">
        <f aca="false">N(Y2354)+$X2355</f>
        <v>0</v>
      </c>
      <c r="Z2355" s="1" t="n">
        <f aca="false">IF(AND($M2355=1,对接源_02物料!$D1155="原料入库"),1,0)</f>
        <v>0</v>
      </c>
      <c r="AA2355" s="1" t="n">
        <f aca="false">N(AA2354)+$Z2355</f>
        <v>30</v>
      </c>
      <c r="AB2355" s="1" t="n">
        <f aca="false">IF(AND($M2355=1,LEFT(对接源_02物料!$D1155,4)="原料出库"),1,0)</f>
        <v>0</v>
      </c>
      <c r="AC2355" s="1" t="n">
        <f aca="false">N(AC2354)+$AB2355</f>
        <v>19</v>
      </c>
      <c r="AD2355" s="1" t="n">
        <f aca="false">IF(AND($M2355=1,LEFT(对接源_02物料!$D1155,4)="成品出库"),1,0)</f>
        <v>0</v>
      </c>
      <c r="AE2355" s="1" t="n">
        <f aca="false">N(AE2354)+$AD2355</f>
        <v>38</v>
      </c>
      <c r="AF2355" s="1" t="n">
        <f aca="false">IF(AND($N2355=1,AND(LEFT(对接源_02物料!$D1155,4)="包装物料",N(对接源_02物料!$K1155)&lt;&gt;0)),1,0)</f>
        <v>0</v>
      </c>
      <c r="AG2355" s="1" t="n">
        <f aca="false">N(AG2354)+$AF2355</f>
        <v>6</v>
      </c>
      <c r="AH2355" s="1" t="n">
        <f aca="false">IF(AND($N2355=1,AND(LEFT(对接源_02物料!$D1155,3)="周转筐",N(对接源_02物料!$K1155)&lt;&gt;0)),1,0)</f>
        <v>0</v>
      </c>
      <c r="AI2355" s="1" t="n">
        <f aca="false">N(AI2354)+$AH2355</f>
        <v>0</v>
      </c>
      <c r="AJ2355" s="1" t="n">
        <v>0</v>
      </c>
      <c r="AK2355" s="1" t="n">
        <f aca="false">N(AK2354)+$AJ2355</f>
        <v>3672</v>
      </c>
    </row>
    <row r="2356" customFormat="false" ht="13.5" hidden="false" customHeight="false" outlineLevel="0" collapsed="false">
      <c r="A2356" s="1" t="str">
        <f aca="false">IF(对接源_02物料!$C1156="","",对接源_02物料!$C1156)</f>
        <v/>
      </c>
      <c r="B2356" s="1" t="n">
        <f aca="false">IF(A2356="",0,IF(MATCH(A2356,$A$4:$A$2403,0)=ROW()-3,1,0))</f>
        <v>0</v>
      </c>
      <c r="C2356" s="1" t="n">
        <f aca="false">N(C2355)+B2356</f>
        <v>17</v>
      </c>
      <c r="K2356" s="1" t="n">
        <f aca="false">IF(OR($K$1="",对接源_02物料!$C1156="",对接源_02物料!$C1156&lt;&gt;$K$1,对接源_02物料!$B1156=""),0,IF(OR(N(对接源_02物料!$B1156)&lt;$K$2,N(对接源_02物料!$B1156)&gt;$K$3),0,1))</f>
        <v>0</v>
      </c>
      <c r="L2356" s="1" t="n">
        <f aca="false">IF(OR($L$1="",对接源_02物料!$C1156="",对接源_02物料!$C1156&lt;&gt;$L$1,对接源_02物料!$B1156=""),0,IF(OR(N(对接源_02物料!$B1156)&lt;$L$2,N(对接源_02物料!$B1156)&gt;$L$3),0,1))</f>
        <v>0</v>
      </c>
      <c r="M2356" s="1" t="n">
        <f aca="false">IF(OR($M$1="",对接源_02物料!$C1156="",对接源_02物料!$C1156&lt;&gt;$M$1,对接源_02物料!$B1156=""),0,IF(OR(N(对接源_02物料!$B1156)&lt;$M$2,N(对接源_02物料!$B1156)&gt;$M$3),0,1))</f>
        <v>0</v>
      </c>
      <c r="N2356" s="1" t="n">
        <f aca="false">IF(OR($N$1="",对接源_02物料!$C1156="",对接源_02物料!$C1156&lt;&gt;$N$1,对接源_02物料!$B1156=""),0,IF(OR(N(对接源_02物料!$B1156)&lt;$N$2,N(对接源_02物料!$B1156)&gt;$N$3),0,1))</f>
        <v>0</v>
      </c>
      <c r="P2356" s="1" t="n">
        <f aca="false">IF(AND($K2356=1,AND(对接源_02物料!$X1156="公司筐",N(对接源_02物料!$T1156)&lt;&gt;0)),1,0)</f>
        <v>0</v>
      </c>
      <c r="Q2356" s="1" t="n">
        <f aca="false">N(Q2355)+$P2356</f>
        <v>13</v>
      </c>
      <c r="R2356" s="1" t="n">
        <f aca="false">IF(AND($K2356=1,AND(对接源_02物料!$X1156="公司筐",N(对接源_02物料!$U1156)&lt;&gt;0)),1,0)</f>
        <v>0</v>
      </c>
      <c r="S2356" s="1" t="n">
        <f aca="false">N(S2355)+$R2356</f>
        <v>5</v>
      </c>
      <c r="T2356" s="1" t="n">
        <f aca="false">IF(AND($K2356=1,AND(对接源_02物料!$X1156="公司筐",N(对接源_02物料!$V1156)&lt;&gt;0)),1,0)</f>
        <v>0</v>
      </c>
      <c r="U2356" s="1" t="n">
        <f aca="false">N(U2355)+$T2356</f>
        <v>28</v>
      </c>
      <c r="V2356" s="1" t="n">
        <f aca="false">IF(AND($L2356=1,AND(对接源_02物料!$X1156="自备筐",N(对接源_02物料!$V1156)&lt;&gt;0)),1,0)</f>
        <v>0</v>
      </c>
      <c r="W2356" s="1" t="n">
        <f aca="false">N(W2355)+$V2356</f>
        <v>7</v>
      </c>
      <c r="X2356" s="1" t="n">
        <f aca="false">IF(AND($L2356=1,AND(对接源_02物料!$X1156="自备筐",N(对接源_02物料!$T1156)&lt;&gt;0)),1,0)</f>
        <v>0</v>
      </c>
      <c r="Y2356" s="1" t="n">
        <f aca="false">N(Y2355)+$X2356</f>
        <v>0</v>
      </c>
      <c r="Z2356" s="1" t="n">
        <f aca="false">IF(AND($M2356=1,对接源_02物料!$D1156="原料入库"),1,0)</f>
        <v>0</v>
      </c>
      <c r="AA2356" s="1" t="n">
        <f aca="false">N(AA2355)+$Z2356</f>
        <v>30</v>
      </c>
      <c r="AB2356" s="1" t="n">
        <f aca="false">IF(AND($M2356=1,LEFT(对接源_02物料!$D1156,4)="原料出库"),1,0)</f>
        <v>0</v>
      </c>
      <c r="AC2356" s="1" t="n">
        <f aca="false">N(AC2355)+$AB2356</f>
        <v>19</v>
      </c>
      <c r="AD2356" s="1" t="n">
        <f aca="false">IF(AND($M2356=1,LEFT(对接源_02物料!$D1156,4)="成品出库"),1,0)</f>
        <v>0</v>
      </c>
      <c r="AE2356" s="1" t="n">
        <f aca="false">N(AE2355)+$AD2356</f>
        <v>38</v>
      </c>
      <c r="AF2356" s="1" t="n">
        <f aca="false">IF(AND($N2356=1,AND(LEFT(对接源_02物料!$D1156,4)="包装物料",N(对接源_02物料!$K1156)&lt;&gt;0)),1,0)</f>
        <v>0</v>
      </c>
      <c r="AG2356" s="1" t="n">
        <f aca="false">N(AG2355)+$AF2356</f>
        <v>6</v>
      </c>
      <c r="AH2356" s="1" t="n">
        <f aca="false">IF(AND($N2356=1,AND(LEFT(对接源_02物料!$D1156,3)="周转筐",N(对接源_02物料!$K1156)&lt;&gt;0)),1,0)</f>
        <v>0</v>
      </c>
      <c r="AI2356" s="1" t="n">
        <f aca="false">N(AI2355)+$AH2356</f>
        <v>0</v>
      </c>
      <c r="AJ2356" s="1" t="n">
        <v>0</v>
      </c>
      <c r="AK2356" s="1" t="n">
        <f aca="false">N(AK2355)+$AJ2356</f>
        <v>3672</v>
      </c>
    </row>
    <row r="2357" customFormat="false" ht="13.5" hidden="false" customHeight="false" outlineLevel="0" collapsed="false">
      <c r="A2357" s="1" t="str">
        <f aca="false">IF(对接源_02物料!$C1157="","",对接源_02物料!$C1157)</f>
        <v/>
      </c>
      <c r="B2357" s="1" t="n">
        <f aca="false">IF(A2357="",0,IF(MATCH(A2357,$A$4:$A$2403,0)=ROW()-3,1,0))</f>
        <v>0</v>
      </c>
      <c r="C2357" s="1" t="n">
        <f aca="false">N(C2356)+B2357</f>
        <v>17</v>
      </c>
      <c r="K2357" s="1" t="n">
        <f aca="false">IF(OR($K$1="",对接源_02物料!$C1157="",对接源_02物料!$C1157&lt;&gt;$K$1,对接源_02物料!$B1157=""),0,IF(OR(N(对接源_02物料!$B1157)&lt;$K$2,N(对接源_02物料!$B1157)&gt;$K$3),0,1))</f>
        <v>0</v>
      </c>
      <c r="L2357" s="1" t="n">
        <f aca="false">IF(OR($L$1="",对接源_02物料!$C1157="",对接源_02物料!$C1157&lt;&gt;$L$1,对接源_02物料!$B1157=""),0,IF(OR(N(对接源_02物料!$B1157)&lt;$L$2,N(对接源_02物料!$B1157)&gt;$L$3),0,1))</f>
        <v>0</v>
      </c>
      <c r="M2357" s="1" t="n">
        <f aca="false">IF(OR($M$1="",对接源_02物料!$C1157="",对接源_02物料!$C1157&lt;&gt;$M$1,对接源_02物料!$B1157=""),0,IF(OR(N(对接源_02物料!$B1157)&lt;$M$2,N(对接源_02物料!$B1157)&gt;$M$3),0,1))</f>
        <v>0</v>
      </c>
      <c r="N2357" s="1" t="n">
        <f aca="false">IF(OR($N$1="",对接源_02物料!$C1157="",对接源_02物料!$C1157&lt;&gt;$N$1,对接源_02物料!$B1157=""),0,IF(OR(N(对接源_02物料!$B1157)&lt;$N$2,N(对接源_02物料!$B1157)&gt;$N$3),0,1))</f>
        <v>0</v>
      </c>
      <c r="P2357" s="1" t="n">
        <f aca="false">IF(AND($K2357=1,AND(对接源_02物料!$X1157="公司筐",N(对接源_02物料!$T1157)&lt;&gt;0)),1,0)</f>
        <v>0</v>
      </c>
      <c r="Q2357" s="1" t="n">
        <f aca="false">N(Q2356)+$P2357</f>
        <v>13</v>
      </c>
      <c r="R2357" s="1" t="n">
        <f aca="false">IF(AND($K2357=1,AND(对接源_02物料!$X1157="公司筐",N(对接源_02物料!$U1157)&lt;&gt;0)),1,0)</f>
        <v>0</v>
      </c>
      <c r="S2357" s="1" t="n">
        <f aca="false">N(S2356)+$R2357</f>
        <v>5</v>
      </c>
      <c r="T2357" s="1" t="n">
        <f aca="false">IF(AND($K2357=1,AND(对接源_02物料!$X1157="公司筐",N(对接源_02物料!$V1157)&lt;&gt;0)),1,0)</f>
        <v>0</v>
      </c>
      <c r="U2357" s="1" t="n">
        <f aca="false">N(U2356)+$T2357</f>
        <v>28</v>
      </c>
      <c r="V2357" s="1" t="n">
        <f aca="false">IF(AND($L2357=1,AND(对接源_02物料!$X1157="自备筐",N(对接源_02物料!$V1157)&lt;&gt;0)),1,0)</f>
        <v>0</v>
      </c>
      <c r="W2357" s="1" t="n">
        <f aca="false">N(W2356)+$V2357</f>
        <v>7</v>
      </c>
      <c r="X2357" s="1" t="n">
        <f aca="false">IF(AND($L2357=1,AND(对接源_02物料!$X1157="自备筐",N(对接源_02物料!$T1157)&lt;&gt;0)),1,0)</f>
        <v>0</v>
      </c>
      <c r="Y2357" s="1" t="n">
        <f aca="false">N(Y2356)+$X2357</f>
        <v>0</v>
      </c>
      <c r="Z2357" s="1" t="n">
        <f aca="false">IF(AND($M2357=1,对接源_02物料!$D1157="原料入库"),1,0)</f>
        <v>0</v>
      </c>
      <c r="AA2357" s="1" t="n">
        <f aca="false">N(AA2356)+$Z2357</f>
        <v>30</v>
      </c>
      <c r="AB2357" s="1" t="n">
        <f aca="false">IF(AND($M2357=1,LEFT(对接源_02物料!$D1157,4)="原料出库"),1,0)</f>
        <v>0</v>
      </c>
      <c r="AC2357" s="1" t="n">
        <f aca="false">N(AC2356)+$AB2357</f>
        <v>19</v>
      </c>
      <c r="AD2357" s="1" t="n">
        <f aca="false">IF(AND($M2357=1,LEFT(对接源_02物料!$D1157,4)="成品出库"),1,0)</f>
        <v>0</v>
      </c>
      <c r="AE2357" s="1" t="n">
        <f aca="false">N(AE2356)+$AD2357</f>
        <v>38</v>
      </c>
      <c r="AF2357" s="1" t="n">
        <f aca="false">IF(AND($N2357=1,AND(LEFT(对接源_02物料!$D1157,4)="包装物料",N(对接源_02物料!$K1157)&lt;&gt;0)),1,0)</f>
        <v>0</v>
      </c>
      <c r="AG2357" s="1" t="n">
        <f aca="false">N(AG2356)+$AF2357</f>
        <v>6</v>
      </c>
      <c r="AH2357" s="1" t="n">
        <f aca="false">IF(AND($N2357=1,AND(LEFT(对接源_02物料!$D1157,3)="周转筐",N(对接源_02物料!$K1157)&lt;&gt;0)),1,0)</f>
        <v>0</v>
      </c>
      <c r="AI2357" s="1" t="n">
        <f aca="false">N(AI2356)+$AH2357</f>
        <v>0</v>
      </c>
      <c r="AJ2357" s="1" t="n">
        <v>0</v>
      </c>
      <c r="AK2357" s="1" t="n">
        <f aca="false">N(AK2356)+$AJ2357</f>
        <v>3672</v>
      </c>
    </row>
    <row r="2358" customFormat="false" ht="13.5" hidden="false" customHeight="false" outlineLevel="0" collapsed="false">
      <c r="A2358" s="1" t="str">
        <f aca="false">IF(对接源_02物料!$C1158="","",对接源_02物料!$C1158)</f>
        <v/>
      </c>
      <c r="B2358" s="1" t="n">
        <f aca="false">IF(A2358="",0,IF(MATCH(A2358,$A$4:$A$2403,0)=ROW()-3,1,0))</f>
        <v>0</v>
      </c>
      <c r="C2358" s="1" t="n">
        <f aca="false">N(C2357)+B2358</f>
        <v>17</v>
      </c>
      <c r="K2358" s="1" t="n">
        <f aca="false">IF(OR($K$1="",对接源_02物料!$C1158="",对接源_02物料!$C1158&lt;&gt;$K$1,对接源_02物料!$B1158=""),0,IF(OR(N(对接源_02物料!$B1158)&lt;$K$2,N(对接源_02物料!$B1158)&gt;$K$3),0,1))</f>
        <v>0</v>
      </c>
      <c r="L2358" s="1" t="n">
        <f aca="false">IF(OR($L$1="",对接源_02物料!$C1158="",对接源_02物料!$C1158&lt;&gt;$L$1,对接源_02物料!$B1158=""),0,IF(OR(N(对接源_02物料!$B1158)&lt;$L$2,N(对接源_02物料!$B1158)&gt;$L$3),0,1))</f>
        <v>0</v>
      </c>
      <c r="M2358" s="1" t="n">
        <f aca="false">IF(OR($M$1="",对接源_02物料!$C1158="",对接源_02物料!$C1158&lt;&gt;$M$1,对接源_02物料!$B1158=""),0,IF(OR(N(对接源_02物料!$B1158)&lt;$M$2,N(对接源_02物料!$B1158)&gt;$M$3),0,1))</f>
        <v>0</v>
      </c>
      <c r="N2358" s="1" t="n">
        <f aca="false">IF(OR($N$1="",对接源_02物料!$C1158="",对接源_02物料!$C1158&lt;&gt;$N$1,对接源_02物料!$B1158=""),0,IF(OR(N(对接源_02物料!$B1158)&lt;$N$2,N(对接源_02物料!$B1158)&gt;$N$3),0,1))</f>
        <v>0</v>
      </c>
      <c r="P2358" s="1" t="n">
        <f aca="false">IF(AND($K2358=1,AND(对接源_02物料!$X1158="公司筐",N(对接源_02物料!$T1158)&lt;&gt;0)),1,0)</f>
        <v>0</v>
      </c>
      <c r="Q2358" s="1" t="n">
        <f aca="false">N(Q2357)+$P2358</f>
        <v>13</v>
      </c>
      <c r="R2358" s="1" t="n">
        <f aca="false">IF(AND($K2358=1,AND(对接源_02物料!$X1158="公司筐",N(对接源_02物料!$U1158)&lt;&gt;0)),1,0)</f>
        <v>0</v>
      </c>
      <c r="S2358" s="1" t="n">
        <f aca="false">N(S2357)+$R2358</f>
        <v>5</v>
      </c>
      <c r="T2358" s="1" t="n">
        <f aca="false">IF(AND($K2358=1,AND(对接源_02物料!$X1158="公司筐",N(对接源_02物料!$V1158)&lt;&gt;0)),1,0)</f>
        <v>0</v>
      </c>
      <c r="U2358" s="1" t="n">
        <f aca="false">N(U2357)+$T2358</f>
        <v>28</v>
      </c>
      <c r="V2358" s="1" t="n">
        <f aca="false">IF(AND($L2358=1,AND(对接源_02物料!$X1158="自备筐",N(对接源_02物料!$V1158)&lt;&gt;0)),1,0)</f>
        <v>0</v>
      </c>
      <c r="W2358" s="1" t="n">
        <f aca="false">N(W2357)+$V2358</f>
        <v>7</v>
      </c>
      <c r="X2358" s="1" t="n">
        <f aca="false">IF(AND($L2358=1,AND(对接源_02物料!$X1158="自备筐",N(对接源_02物料!$T1158)&lt;&gt;0)),1,0)</f>
        <v>0</v>
      </c>
      <c r="Y2358" s="1" t="n">
        <f aca="false">N(Y2357)+$X2358</f>
        <v>0</v>
      </c>
      <c r="Z2358" s="1" t="n">
        <f aca="false">IF(AND($M2358=1,对接源_02物料!$D1158="原料入库"),1,0)</f>
        <v>0</v>
      </c>
      <c r="AA2358" s="1" t="n">
        <f aca="false">N(AA2357)+$Z2358</f>
        <v>30</v>
      </c>
      <c r="AB2358" s="1" t="n">
        <f aca="false">IF(AND($M2358=1,LEFT(对接源_02物料!$D1158,4)="原料出库"),1,0)</f>
        <v>0</v>
      </c>
      <c r="AC2358" s="1" t="n">
        <f aca="false">N(AC2357)+$AB2358</f>
        <v>19</v>
      </c>
      <c r="AD2358" s="1" t="n">
        <f aca="false">IF(AND($M2358=1,LEFT(对接源_02物料!$D1158,4)="成品出库"),1,0)</f>
        <v>0</v>
      </c>
      <c r="AE2358" s="1" t="n">
        <f aca="false">N(AE2357)+$AD2358</f>
        <v>38</v>
      </c>
      <c r="AF2358" s="1" t="n">
        <f aca="false">IF(AND($N2358=1,AND(LEFT(对接源_02物料!$D1158,4)="包装物料",N(对接源_02物料!$K1158)&lt;&gt;0)),1,0)</f>
        <v>0</v>
      </c>
      <c r="AG2358" s="1" t="n">
        <f aca="false">N(AG2357)+$AF2358</f>
        <v>6</v>
      </c>
      <c r="AH2358" s="1" t="n">
        <f aca="false">IF(AND($N2358=1,AND(LEFT(对接源_02物料!$D1158,3)="周转筐",N(对接源_02物料!$K1158)&lt;&gt;0)),1,0)</f>
        <v>0</v>
      </c>
      <c r="AI2358" s="1" t="n">
        <f aca="false">N(AI2357)+$AH2358</f>
        <v>0</v>
      </c>
      <c r="AJ2358" s="1" t="n">
        <v>0</v>
      </c>
      <c r="AK2358" s="1" t="n">
        <f aca="false">N(AK2357)+$AJ2358</f>
        <v>3672</v>
      </c>
    </row>
    <row r="2359" customFormat="false" ht="13.5" hidden="false" customHeight="false" outlineLevel="0" collapsed="false">
      <c r="A2359" s="1" t="str">
        <f aca="false">IF(对接源_02物料!$C1159="","",对接源_02物料!$C1159)</f>
        <v/>
      </c>
      <c r="B2359" s="1" t="n">
        <f aca="false">IF(A2359="",0,IF(MATCH(A2359,$A$4:$A$2403,0)=ROW()-3,1,0))</f>
        <v>0</v>
      </c>
      <c r="C2359" s="1" t="n">
        <f aca="false">N(C2358)+B2359</f>
        <v>17</v>
      </c>
      <c r="K2359" s="1" t="n">
        <f aca="false">IF(OR($K$1="",对接源_02物料!$C1159="",对接源_02物料!$C1159&lt;&gt;$K$1,对接源_02物料!$B1159=""),0,IF(OR(N(对接源_02物料!$B1159)&lt;$K$2,N(对接源_02物料!$B1159)&gt;$K$3),0,1))</f>
        <v>0</v>
      </c>
      <c r="L2359" s="1" t="n">
        <f aca="false">IF(OR($L$1="",对接源_02物料!$C1159="",对接源_02物料!$C1159&lt;&gt;$L$1,对接源_02物料!$B1159=""),0,IF(OR(N(对接源_02物料!$B1159)&lt;$L$2,N(对接源_02物料!$B1159)&gt;$L$3),0,1))</f>
        <v>0</v>
      </c>
      <c r="M2359" s="1" t="n">
        <f aca="false">IF(OR($M$1="",对接源_02物料!$C1159="",对接源_02物料!$C1159&lt;&gt;$M$1,对接源_02物料!$B1159=""),0,IF(OR(N(对接源_02物料!$B1159)&lt;$M$2,N(对接源_02物料!$B1159)&gt;$M$3),0,1))</f>
        <v>0</v>
      </c>
      <c r="N2359" s="1" t="n">
        <f aca="false">IF(OR($N$1="",对接源_02物料!$C1159="",对接源_02物料!$C1159&lt;&gt;$N$1,对接源_02物料!$B1159=""),0,IF(OR(N(对接源_02物料!$B1159)&lt;$N$2,N(对接源_02物料!$B1159)&gt;$N$3),0,1))</f>
        <v>0</v>
      </c>
      <c r="P2359" s="1" t="n">
        <f aca="false">IF(AND($K2359=1,AND(对接源_02物料!$X1159="公司筐",N(对接源_02物料!$T1159)&lt;&gt;0)),1,0)</f>
        <v>0</v>
      </c>
      <c r="Q2359" s="1" t="n">
        <f aca="false">N(Q2358)+$P2359</f>
        <v>13</v>
      </c>
      <c r="R2359" s="1" t="n">
        <f aca="false">IF(AND($K2359=1,AND(对接源_02物料!$X1159="公司筐",N(对接源_02物料!$U1159)&lt;&gt;0)),1,0)</f>
        <v>0</v>
      </c>
      <c r="S2359" s="1" t="n">
        <f aca="false">N(S2358)+$R2359</f>
        <v>5</v>
      </c>
      <c r="T2359" s="1" t="n">
        <f aca="false">IF(AND($K2359=1,AND(对接源_02物料!$X1159="公司筐",N(对接源_02物料!$V1159)&lt;&gt;0)),1,0)</f>
        <v>0</v>
      </c>
      <c r="U2359" s="1" t="n">
        <f aca="false">N(U2358)+$T2359</f>
        <v>28</v>
      </c>
      <c r="V2359" s="1" t="n">
        <f aca="false">IF(AND($L2359=1,AND(对接源_02物料!$X1159="自备筐",N(对接源_02物料!$V1159)&lt;&gt;0)),1,0)</f>
        <v>0</v>
      </c>
      <c r="W2359" s="1" t="n">
        <f aca="false">N(W2358)+$V2359</f>
        <v>7</v>
      </c>
      <c r="X2359" s="1" t="n">
        <f aca="false">IF(AND($L2359=1,AND(对接源_02物料!$X1159="自备筐",N(对接源_02物料!$T1159)&lt;&gt;0)),1,0)</f>
        <v>0</v>
      </c>
      <c r="Y2359" s="1" t="n">
        <f aca="false">N(Y2358)+$X2359</f>
        <v>0</v>
      </c>
      <c r="Z2359" s="1" t="n">
        <f aca="false">IF(AND($M2359=1,对接源_02物料!$D1159="原料入库"),1,0)</f>
        <v>0</v>
      </c>
      <c r="AA2359" s="1" t="n">
        <f aca="false">N(AA2358)+$Z2359</f>
        <v>30</v>
      </c>
      <c r="AB2359" s="1" t="n">
        <f aca="false">IF(AND($M2359=1,LEFT(对接源_02物料!$D1159,4)="原料出库"),1,0)</f>
        <v>0</v>
      </c>
      <c r="AC2359" s="1" t="n">
        <f aca="false">N(AC2358)+$AB2359</f>
        <v>19</v>
      </c>
      <c r="AD2359" s="1" t="n">
        <f aca="false">IF(AND($M2359=1,LEFT(对接源_02物料!$D1159,4)="成品出库"),1,0)</f>
        <v>0</v>
      </c>
      <c r="AE2359" s="1" t="n">
        <f aca="false">N(AE2358)+$AD2359</f>
        <v>38</v>
      </c>
      <c r="AF2359" s="1" t="n">
        <f aca="false">IF(AND($N2359=1,AND(LEFT(对接源_02物料!$D1159,4)="包装物料",N(对接源_02物料!$K1159)&lt;&gt;0)),1,0)</f>
        <v>0</v>
      </c>
      <c r="AG2359" s="1" t="n">
        <f aca="false">N(AG2358)+$AF2359</f>
        <v>6</v>
      </c>
      <c r="AH2359" s="1" t="n">
        <f aca="false">IF(AND($N2359=1,AND(LEFT(对接源_02物料!$D1159,3)="周转筐",N(对接源_02物料!$K1159)&lt;&gt;0)),1,0)</f>
        <v>0</v>
      </c>
      <c r="AI2359" s="1" t="n">
        <f aca="false">N(AI2358)+$AH2359</f>
        <v>0</v>
      </c>
      <c r="AJ2359" s="1" t="n">
        <v>0</v>
      </c>
      <c r="AK2359" s="1" t="n">
        <f aca="false">N(AK2358)+$AJ2359</f>
        <v>3672</v>
      </c>
    </row>
    <row r="2360" customFormat="false" ht="13.5" hidden="false" customHeight="false" outlineLevel="0" collapsed="false">
      <c r="A2360" s="1" t="str">
        <f aca="false">IF(对接源_02物料!$C1160="","",对接源_02物料!$C1160)</f>
        <v/>
      </c>
      <c r="B2360" s="1" t="n">
        <f aca="false">IF(A2360="",0,IF(MATCH(A2360,$A$4:$A$2403,0)=ROW()-3,1,0))</f>
        <v>0</v>
      </c>
      <c r="C2360" s="1" t="n">
        <f aca="false">N(C2359)+B2360</f>
        <v>17</v>
      </c>
      <c r="K2360" s="1" t="n">
        <f aca="false">IF(OR($K$1="",对接源_02物料!$C1160="",对接源_02物料!$C1160&lt;&gt;$K$1,对接源_02物料!$B1160=""),0,IF(OR(N(对接源_02物料!$B1160)&lt;$K$2,N(对接源_02物料!$B1160)&gt;$K$3),0,1))</f>
        <v>0</v>
      </c>
      <c r="L2360" s="1" t="n">
        <f aca="false">IF(OR($L$1="",对接源_02物料!$C1160="",对接源_02物料!$C1160&lt;&gt;$L$1,对接源_02物料!$B1160=""),0,IF(OR(N(对接源_02物料!$B1160)&lt;$L$2,N(对接源_02物料!$B1160)&gt;$L$3),0,1))</f>
        <v>0</v>
      </c>
      <c r="M2360" s="1" t="n">
        <f aca="false">IF(OR($M$1="",对接源_02物料!$C1160="",对接源_02物料!$C1160&lt;&gt;$M$1,对接源_02物料!$B1160=""),0,IF(OR(N(对接源_02物料!$B1160)&lt;$M$2,N(对接源_02物料!$B1160)&gt;$M$3),0,1))</f>
        <v>0</v>
      </c>
      <c r="N2360" s="1" t="n">
        <f aca="false">IF(OR($N$1="",对接源_02物料!$C1160="",对接源_02物料!$C1160&lt;&gt;$N$1,对接源_02物料!$B1160=""),0,IF(OR(N(对接源_02物料!$B1160)&lt;$N$2,N(对接源_02物料!$B1160)&gt;$N$3),0,1))</f>
        <v>0</v>
      </c>
      <c r="P2360" s="1" t="n">
        <f aca="false">IF(AND($K2360=1,AND(对接源_02物料!$X1160="公司筐",N(对接源_02物料!$T1160)&lt;&gt;0)),1,0)</f>
        <v>0</v>
      </c>
      <c r="Q2360" s="1" t="n">
        <f aca="false">N(Q2359)+$P2360</f>
        <v>13</v>
      </c>
      <c r="R2360" s="1" t="n">
        <f aca="false">IF(AND($K2360=1,AND(对接源_02物料!$X1160="公司筐",N(对接源_02物料!$U1160)&lt;&gt;0)),1,0)</f>
        <v>0</v>
      </c>
      <c r="S2360" s="1" t="n">
        <f aca="false">N(S2359)+$R2360</f>
        <v>5</v>
      </c>
      <c r="T2360" s="1" t="n">
        <f aca="false">IF(AND($K2360=1,AND(对接源_02物料!$X1160="公司筐",N(对接源_02物料!$V1160)&lt;&gt;0)),1,0)</f>
        <v>0</v>
      </c>
      <c r="U2360" s="1" t="n">
        <f aca="false">N(U2359)+$T2360</f>
        <v>28</v>
      </c>
      <c r="V2360" s="1" t="n">
        <f aca="false">IF(AND($L2360=1,AND(对接源_02物料!$X1160="自备筐",N(对接源_02物料!$V1160)&lt;&gt;0)),1,0)</f>
        <v>0</v>
      </c>
      <c r="W2360" s="1" t="n">
        <f aca="false">N(W2359)+$V2360</f>
        <v>7</v>
      </c>
      <c r="X2360" s="1" t="n">
        <f aca="false">IF(AND($L2360=1,AND(对接源_02物料!$X1160="自备筐",N(对接源_02物料!$T1160)&lt;&gt;0)),1,0)</f>
        <v>0</v>
      </c>
      <c r="Y2360" s="1" t="n">
        <f aca="false">N(Y2359)+$X2360</f>
        <v>0</v>
      </c>
      <c r="Z2360" s="1" t="n">
        <f aca="false">IF(AND($M2360=1,对接源_02物料!$D1160="原料入库"),1,0)</f>
        <v>0</v>
      </c>
      <c r="AA2360" s="1" t="n">
        <f aca="false">N(AA2359)+$Z2360</f>
        <v>30</v>
      </c>
      <c r="AB2360" s="1" t="n">
        <f aca="false">IF(AND($M2360=1,LEFT(对接源_02物料!$D1160,4)="原料出库"),1,0)</f>
        <v>0</v>
      </c>
      <c r="AC2360" s="1" t="n">
        <f aca="false">N(AC2359)+$AB2360</f>
        <v>19</v>
      </c>
      <c r="AD2360" s="1" t="n">
        <f aca="false">IF(AND($M2360=1,LEFT(对接源_02物料!$D1160,4)="成品出库"),1,0)</f>
        <v>0</v>
      </c>
      <c r="AE2360" s="1" t="n">
        <f aca="false">N(AE2359)+$AD2360</f>
        <v>38</v>
      </c>
      <c r="AF2360" s="1" t="n">
        <f aca="false">IF(AND($N2360=1,AND(LEFT(对接源_02物料!$D1160,4)="包装物料",N(对接源_02物料!$K1160)&lt;&gt;0)),1,0)</f>
        <v>0</v>
      </c>
      <c r="AG2360" s="1" t="n">
        <f aca="false">N(AG2359)+$AF2360</f>
        <v>6</v>
      </c>
      <c r="AH2360" s="1" t="n">
        <f aca="false">IF(AND($N2360=1,AND(LEFT(对接源_02物料!$D1160,3)="周转筐",N(对接源_02物料!$K1160)&lt;&gt;0)),1,0)</f>
        <v>0</v>
      </c>
      <c r="AI2360" s="1" t="n">
        <f aca="false">N(AI2359)+$AH2360</f>
        <v>0</v>
      </c>
      <c r="AJ2360" s="1" t="n">
        <v>0</v>
      </c>
      <c r="AK2360" s="1" t="n">
        <f aca="false">N(AK2359)+$AJ2360</f>
        <v>3672</v>
      </c>
    </row>
    <row r="2361" customFormat="false" ht="13.5" hidden="false" customHeight="false" outlineLevel="0" collapsed="false">
      <c r="A2361" s="1" t="str">
        <f aca="false">IF(对接源_02物料!$C1161="","",对接源_02物料!$C1161)</f>
        <v/>
      </c>
      <c r="B2361" s="1" t="n">
        <f aca="false">IF(A2361="",0,IF(MATCH(A2361,$A$4:$A$2403,0)=ROW()-3,1,0))</f>
        <v>0</v>
      </c>
      <c r="C2361" s="1" t="n">
        <f aca="false">N(C2360)+B2361</f>
        <v>17</v>
      </c>
      <c r="K2361" s="1" t="n">
        <f aca="false">IF(OR($K$1="",对接源_02物料!$C1161="",对接源_02物料!$C1161&lt;&gt;$K$1,对接源_02物料!$B1161=""),0,IF(OR(N(对接源_02物料!$B1161)&lt;$K$2,N(对接源_02物料!$B1161)&gt;$K$3),0,1))</f>
        <v>0</v>
      </c>
      <c r="L2361" s="1" t="n">
        <f aca="false">IF(OR($L$1="",对接源_02物料!$C1161="",对接源_02物料!$C1161&lt;&gt;$L$1,对接源_02物料!$B1161=""),0,IF(OR(N(对接源_02物料!$B1161)&lt;$L$2,N(对接源_02物料!$B1161)&gt;$L$3),0,1))</f>
        <v>0</v>
      </c>
      <c r="M2361" s="1" t="n">
        <f aca="false">IF(OR($M$1="",对接源_02物料!$C1161="",对接源_02物料!$C1161&lt;&gt;$M$1,对接源_02物料!$B1161=""),0,IF(OR(N(对接源_02物料!$B1161)&lt;$M$2,N(对接源_02物料!$B1161)&gt;$M$3),0,1))</f>
        <v>0</v>
      </c>
      <c r="N2361" s="1" t="n">
        <f aca="false">IF(OR($N$1="",对接源_02物料!$C1161="",对接源_02物料!$C1161&lt;&gt;$N$1,对接源_02物料!$B1161=""),0,IF(OR(N(对接源_02物料!$B1161)&lt;$N$2,N(对接源_02物料!$B1161)&gt;$N$3),0,1))</f>
        <v>0</v>
      </c>
      <c r="P2361" s="1" t="n">
        <f aca="false">IF(AND($K2361=1,AND(对接源_02物料!$X1161="公司筐",N(对接源_02物料!$T1161)&lt;&gt;0)),1,0)</f>
        <v>0</v>
      </c>
      <c r="Q2361" s="1" t="n">
        <f aca="false">N(Q2360)+$P2361</f>
        <v>13</v>
      </c>
      <c r="R2361" s="1" t="n">
        <f aca="false">IF(AND($K2361=1,AND(对接源_02物料!$X1161="公司筐",N(对接源_02物料!$U1161)&lt;&gt;0)),1,0)</f>
        <v>0</v>
      </c>
      <c r="S2361" s="1" t="n">
        <f aca="false">N(S2360)+$R2361</f>
        <v>5</v>
      </c>
      <c r="T2361" s="1" t="n">
        <f aca="false">IF(AND($K2361=1,AND(对接源_02物料!$X1161="公司筐",N(对接源_02物料!$V1161)&lt;&gt;0)),1,0)</f>
        <v>0</v>
      </c>
      <c r="U2361" s="1" t="n">
        <f aca="false">N(U2360)+$T2361</f>
        <v>28</v>
      </c>
      <c r="V2361" s="1" t="n">
        <f aca="false">IF(AND($L2361=1,AND(对接源_02物料!$X1161="自备筐",N(对接源_02物料!$V1161)&lt;&gt;0)),1,0)</f>
        <v>0</v>
      </c>
      <c r="W2361" s="1" t="n">
        <f aca="false">N(W2360)+$V2361</f>
        <v>7</v>
      </c>
      <c r="X2361" s="1" t="n">
        <f aca="false">IF(AND($L2361=1,AND(对接源_02物料!$X1161="自备筐",N(对接源_02物料!$T1161)&lt;&gt;0)),1,0)</f>
        <v>0</v>
      </c>
      <c r="Y2361" s="1" t="n">
        <f aca="false">N(Y2360)+$X2361</f>
        <v>0</v>
      </c>
      <c r="Z2361" s="1" t="n">
        <f aca="false">IF(AND($M2361=1,对接源_02物料!$D1161="原料入库"),1,0)</f>
        <v>0</v>
      </c>
      <c r="AA2361" s="1" t="n">
        <f aca="false">N(AA2360)+$Z2361</f>
        <v>30</v>
      </c>
      <c r="AB2361" s="1" t="n">
        <f aca="false">IF(AND($M2361=1,LEFT(对接源_02物料!$D1161,4)="原料出库"),1,0)</f>
        <v>0</v>
      </c>
      <c r="AC2361" s="1" t="n">
        <f aca="false">N(AC2360)+$AB2361</f>
        <v>19</v>
      </c>
      <c r="AD2361" s="1" t="n">
        <f aca="false">IF(AND($M2361=1,LEFT(对接源_02物料!$D1161,4)="成品出库"),1,0)</f>
        <v>0</v>
      </c>
      <c r="AE2361" s="1" t="n">
        <f aca="false">N(AE2360)+$AD2361</f>
        <v>38</v>
      </c>
      <c r="AF2361" s="1" t="n">
        <f aca="false">IF(AND($N2361=1,AND(LEFT(对接源_02物料!$D1161,4)="包装物料",N(对接源_02物料!$K1161)&lt;&gt;0)),1,0)</f>
        <v>0</v>
      </c>
      <c r="AG2361" s="1" t="n">
        <f aca="false">N(AG2360)+$AF2361</f>
        <v>6</v>
      </c>
      <c r="AH2361" s="1" t="n">
        <f aca="false">IF(AND($N2361=1,AND(LEFT(对接源_02物料!$D1161,3)="周转筐",N(对接源_02物料!$K1161)&lt;&gt;0)),1,0)</f>
        <v>0</v>
      </c>
      <c r="AI2361" s="1" t="n">
        <f aca="false">N(AI2360)+$AH2361</f>
        <v>0</v>
      </c>
      <c r="AJ2361" s="1" t="n">
        <v>0</v>
      </c>
      <c r="AK2361" s="1" t="n">
        <f aca="false">N(AK2360)+$AJ2361</f>
        <v>3672</v>
      </c>
    </row>
    <row r="2362" customFormat="false" ht="13.5" hidden="false" customHeight="false" outlineLevel="0" collapsed="false">
      <c r="A2362" s="1" t="str">
        <f aca="false">IF(对接源_02物料!$C1162="","",对接源_02物料!$C1162)</f>
        <v/>
      </c>
      <c r="B2362" s="1" t="n">
        <f aca="false">IF(A2362="",0,IF(MATCH(A2362,$A$4:$A$2403,0)=ROW()-3,1,0))</f>
        <v>0</v>
      </c>
      <c r="C2362" s="1" t="n">
        <f aca="false">N(C2361)+B2362</f>
        <v>17</v>
      </c>
      <c r="K2362" s="1" t="n">
        <f aca="false">IF(OR($K$1="",对接源_02物料!$C1162="",对接源_02物料!$C1162&lt;&gt;$K$1,对接源_02物料!$B1162=""),0,IF(OR(N(对接源_02物料!$B1162)&lt;$K$2,N(对接源_02物料!$B1162)&gt;$K$3),0,1))</f>
        <v>0</v>
      </c>
      <c r="L2362" s="1" t="n">
        <f aca="false">IF(OR($L$1="",对接源_02物料!$C1162="",对接源_02物料!$C1162&lt;&gt;$L$1,对接源_02物料!$B1162=""),0,IF(OR(N(对接源_02物料!$B1162)&lt;$L$2,N(对接源_02物料!$B1162)&gt;$L$3),0,1))</f>
        <v>0</v>
      </c>
      <c r="M2362" s="1" t="n">
        <f aca="false">IF(OR($M$1="",对接源_02物料!$C1162="",对接源_02物料!$C1162&lt;&gt;$M$1,对接源_02物料!$B1162=""),0,IF(OR(N(对接源_02物料!$B1162)&lt;$M$2,N(对接源_02物料!$B1162)&gt;$M$3),0,1))</f>
        <v>0</v>
      </c>
      <c r="N2362" s="1" t="n">
        <f aca="false">IF(OR($N$1="",对接源_02物料!$C1162="",对接源_02物料!$C1162&lt;&gt;$N$1,对接源_02物料!$B1162=""),0,IF(OR(N(对接源_02物料!$B1162)&lt;$N$2,N(对接源_02物料!$B1162)&gt;$N$3),0,1))</f>
        <v>0</v>
      </c>
      <c r="P2362" s="1" t="n">
        <f aca="false">IF(AND($K2362=1,AND(对接源_02物料!$X1162="公司筐",N(对接源_02物料!$T1162)&lt;&gt;0)),1,0)</f>
        <v>0</v>
      </c>
      <c r="Q2362" s="1" t="n">
        <f aca="false">N(Q2361)+$P2362</f>
        <v>13</v>
      </c>
      <c r="R2362" s="1" t="n">
        <f aca="false">IF(AND($K2362=1,AND(对接源_02物料!$X1162="公司筐",N(对接源_02物料!$U1162)&lt;&gt;0)),1,0)</f>
        <v>0</v>
      </c>
      <c r="S2362" s="1" t="n">
        <f aca="false">N(S2361)+$R2362</f>
        <v>5</v>
      </c>
      <c r="T2362" s="1" t="n">
        <f aca="false">IF(AND($K2362=1,AND(对接源_02物料!$X1162="公司筐",N(对接源_02物料!$V1162)&lt;&gt;0)),1,0)</f>
        <v>0</v>
      </c>
      <c r="U2362" s="1" t="n">
        <f aca="false">N(U2361)+$T2362</f>
        <v>28</v>
      </c>
      <c r="V2362" s="1" t="n">
        <f aca="false">IF(AND($L2362=1,AND(对接源_02物料!$X1162="自备筐",N(对接源_02物料!$V1162)&lt;&gt;0)),1,0)</f>
        <v>0</v>
      </c>
      <c r="W2362" s="1" t="n">
        <f aca="false">N(W2361)+$V2362</f>
        <v>7</v>
      </c>
      <c r="X2362" s="1" t="n">
        <f aca="false">IF(AND($L2362=1,AND(对接源_02物料!$X1162="自备筐",N(对接源_02物料!$T1162)&lt;&gt;0)),1,0)</f>
        <v>0</v>
      </c>
      <c r="Y2362" s="1" t="n">
        <f aca="false">N(Y2361)+$X2362</f>
        <v>0</v>
      </c>
      <c r="Z2362" s="1" t="n">
        <f aca="false">IF(AND($M2362=1,对接源_02物料!$D1162="原料入库"),1,0)</f>
        <v>0</v>
      </c>
      <c r="AA2362" s="1" t="n">
        <f aca="false">N(AA2361)+$Z2362</f>
        <v>30</v>
      </c>
      <c r="AB2362" s="1" t="n">
        <f aca="false">IF(AND($M2362=1,LEFT(对接源_02物料!$D1162,4)="原料出库"),1,0)</f>
        <v>0</v>
      </c>
      <c r="AC2362" s="1" t="n">
        <f aca="false">N(AC2361)+$AB2362</f>
        <v>19</v>
      </c>
      <c r="AD2362" s="1" t="n">
        <f aca="false">IF(AND($M2362=1,LEFT(对接源_02物料!$D1162,4)="成品出库"),1,0)</f>
        <v>0</v>
      </c>
      <c r="AE2362" s="1" t="n">
        <f aca="false">N(AE2361)+$AD2362</f>
        <v>38</v>
      </c>
      <c r="AF2362" s="1" t="n">
        <f aca="false">IF(AND($N2362=1,AND(LEFT(对接源_02物料!$D1162,4)="包装物料",N(对接源_02物料!$K1162)&lt;&gt;0)),1,0)</f>
        <v>0</v>
      </c>
      <c r="AG2362" s="1" t="n">
        <f aca="false">N(AG2361)+$AF2362</f>
        <v>6</v>
      </c>
      <c r="AH2362" s="1" t="n">
        <f aca="false">IF(AND($N2362=1,AND(LEFT(对接源_02物料!$D1162,3)="周转筐",N(对接源_02物料!$K1162)&lt;&gt;0)),1,0)</f>
        <v>0</v>
      </c>
      <c r="AI2362" s="1" t="n">
        <f aca="false">N(AI2361)+$AH2362</f>
        <v>0</v>
      </c>
      <c r="AJ2362" s="1" t="n">
        <v>0</v>
      </c>
      <c r="AK2362" s="1" t="n">
        <f aca="false">N(AK2361)+$AJ2362</f>
        <v>3672</v>
      </c>
    </row>
    <row r="2363" customFormat="false" ht="13.5" hidden="false" customHeight="false" outlineLevel="0" collapsed="false">
      <c r="A2363" s="1" t="str">
        <f aca="false">IF(对接源_02物料!$C1163="","",对接源_02物料!$C1163)</f>
        <v/>
      </c>
      <c r="B2363" s="1" t="n">
        <f aca="false">IF(A2363="",0,IF(MATCH(A2363,$A$4:$A$2403,0)=ROW()-3,1,0))</f>
        <v>0</v>
      </c>
      <c r="C2363" s="1" t="n">
        <f aca="false">N(C2362)+B2363</f>
        <v>17</v>
      </c>
      <c r="K2363" s="1" t="n">
        <f aca="false">IF(OR($K$1="",对接源_02物料!$C1163="",对接源_02物料!$C1163&lt;&gt;$K$1,对接源_02物料!$B1163=""),0,IF(OR(N(对接源_02物料!$B1163)&lt;$K$2,N(对接源_02物料!$B1163)&gt;$K$3),0,1))</f>
        <v>0</v>
      </c>
      <c r="L2363" s="1" t="n">
        <f aca="false">IF(OR($L$1="",对接源_02物料!$C1163="",对接源_02物料!$C1163&lt;&gt;$L$1,对接源_02物料!$B1163=""),0,IF(OR(N(对接源_02物料!$B1163)&lt;$L$2,N(对接源_02物料!$B1163)&gt;$L$3),0,1))</f>
        <v>0</v>
      </c>
      <c r="M2363" s="1" t="n">
        <f aca="false">IF(OR($M$1="",对接源_02物料!$C1163="",对接源_02物料!$C1163&lt;&gt;$M$1,对接源_02物料!$B1163=""),0,IF(OR(N(对接源_02物料!$B1163)&lt;$M$2,N(对接源_02物料!$B1163)&gt;$M$3),0,1))</f>
        <v>0</v>
      </c>
      <c r="N2363" s="1" t="n">
        <f aca="false">IF(OR($N$1="",对接源_02物料!$C1163="",对接源_02物料!$C1163&lt;&gt;$N$1,对接源_02物料!$B1163=""),0,IF(OR(N(对接源_02物料!$B1163)&lt;$N$2,N(对接源_02物料!$B1163)&gt;$N$3),0,1))</f>
        <v>0</v>
      </c>
      <c r="P2363" s="1" t="n">
        <f aca="false">IF(AND($K2363=1,AND(对接源_02物料!$X1163="公司筐",N(对接源_02物料!$T1163)&lt;&gt;0)),1,0)</f>
        <v>0</v>
      </c>
      <c r="Q2363" s="1" t="n">
        <f aca="false">N(Q2362)+$P2363</f>
        <v>13</v>
      </c>
      <c r="R2363" s="1" t="n">
        <f aca="false">IF(AND($K2363=1,AND(对接源_02物料!$X1163="公司筐",N(对接源_02物料!$U1163)&lt;&gt;0)),1,0)</f>
        <v>0</v>
      </c>
      <c r="S2363" s="1" t="n">
        <f aca="false">N(S2362)+$R2363</f>
        <v>5</v>
      </c>
      <c r="T2363" s="1" t="n">
        <f aca="false">IF(AND($K2363=1,AND(对接源_02物料!$X1163="公司筐",N(对接源_02物料!$V1163)&lt;&gt;0)),1,0)</f>
        <v>0</v>
      </c>
      <c r="U2363" s="1" t="n">
        <f aca="false">N(U2362)+$T2363</f>
        <v>28</v>
      </c>
      <c r="V2363" s="1" t="n">
        <f aca="false">IF(AND($L2363=1,AND(对接源_02物料!$X1163="自备筐",N(对接源_02物料!$V1163)&lt;&gt;0)),1,0)</f>
        <v>0</v>
      </c>
      <c r="W2363" s="1" t="n">
        <f aca="false">N(W2362)+$V2363</f>
        <v>7</v>
      </c>
      <c r="X2363" s="1" t="n">
        <f aca="false">IF(AND($L2363=1,AND(对接源_02物料!$X1163="自备筐",N(对接源_02物料!$T1163)&lt;&gt;0)),1,0)</f>
        <v>0</v>
      </c>
      <c r="Y2363" s="1" t="n">
        <f aca="false">N(Y2362)+$X2363</f>
        <v>0</v>
      </c>
      <c r="Z2363" s="1" t="n">
        <f aca="false">IF(AND($M2363=1,对接源_02物料!$D1163="原料入库"),1,0)</f>
        <v>0</v>
      </c>
      <c r="AA2363" s="1" t="n">
        <f aca="false">N(AA2362)+$Z2363</f>
        <v>30</v>
      </c>
      <c r="AB2363" s="1" t="n">
        <f aca="false">IF(AND($M2363=1,LEFT(对接源_02物料!$D1163,4)="原料出库"),1,0)</f>
        <v>0</v>
      </c>
      <c r="AC2363" s="1" t="n">
        <f aca="false">N(AC2362)+$AB2363</f>
        <v>19</v>
      </c>
      <c r="AD2363" s="1" t="n">
        <f aca="false">IF(AND($M2363=1,LEFT(对接源_02物料!$D1163,4)="成品出库"),1,0)</f>
        <v>0</v>
      </c>
      <c r="AE2363" s="1" t="n">
        <f aca="false">N(AE2362)+$AD2363</f>
        <v>38</v>
      </c>
      <c r="AF2363" s="1" t="n">
        <f aca="false">IF(AND($N2363=1,AND(LEFT(对接源_02物料!$D1163,4)="包装物料",N(对接源_02物料!$K1163)&lt;&gt;0)),1,0)</f>
        <v>0</v>
      </c>
      <c r="AG2363" s="1" t="n">
        <f aca="false">N(AG2362)+$AF2363</f>
        <v>6</v>
      </c>
      <c r="AH2363" s="1" t="n">
        <f aca="false">IF(AND($N2363=1,AND(LEFT(对接源_02物料!$D1163,3)="周转筐",N(对接源_02物料!$K1163)&lt;&gt;0)),1,0)</f>
        <v>0</v>
      </c>
      <c r="AI2363" s="1" t="n">
        <f aca="false">N(AI2362)+$AH2363</f>
        <v>0</v>
      </c>
      <c r="AJ2363" s="1" t="n">
        <v>0</v>
      </c>
      <c r="AK2363" s="1" t="n">
        <f aca="false">N(AK2362)+$AJ2363</f>
        <v>3672</v>
      </c>
    </row>
    <row r="2364" customFormat="false" ht="13.5" hidden="false" customHeight="false" outlineLevel="0" collapsed="false">
      <c r="A2364" s="1" t="str">
        <f aca="false">IF(对接源_02物料!$C1164="","",对接源_02物料!$C1164)</f>
        <v/>
      </c>
      <c r="B2364" s="1" t="n">
        <f aca="false">IF(A2364="",0,IF(MATCH(A2364,$A$4:$A$2403,0)=ROW()-3,1,0))</f>
        <v>0</v>
      </c>
      <c r="C2364" s="1" t="n">
        <f aca="false">N(C2363)+B2364</f>
        <v>17</v>
      </c>
      <c r="K2364" s="1" t="n">
        <f aca="false">IF(OR($K$1="",对接源_02物料!$C1164="",对接源_02物料!$C1164&lt;&gt;$K$1,对接源_02物料!$B1164=""),0,IF(OR(N(对接源_02物料!$B1164)&lt;$K$2,N(对接源_02物料!$B1164)&gt;$K$3),0,1))</f>
        <v>0</v>
      </c>
      <c r="L2364" s="1" t="n">
        <f aca="false">IF(OR($L$1="",对接源_02物料!$C1164="",对接源_02物料!$C1164&lt;&gt;$L$1,对接源_02物料!$B1164=""),0,IF(OR(N(对接源_02物料!$B1164)&lt;$L$2,N(对接源_02物料!$B1164)&gt;$L$3),0,1))</f>
        <v>0</v>
      </c>
      <c r="M2364" s="1" t="n">
        <f aca="false">IF(OR($M$1="",对接源_02物料!$C1164="",对接源_02物料!$C1164&lt;&gt;$M$1,对接源_02物料!$B1164=""),0,IF(OR(N(对接源_02物料!$B1164)&lt;$M$2,N(对接源_02物料!$B1164)&gt;$M$3),0,1))</f>
        <v>0</v>
      </c>
      <c r="N2364" s="1" t="n">
        <f aca="false">IF(OR($N$1="",对接源_02物料!$C1164="",对接源_02物料!$C1164&lt;&gt;$N$1,对接源_02物料!$B1164=""),0,IF(OR(N(对接源_02物料!$B1164)&lt;$N$2,N(对接源_02物料!$B1164)&gt;$N$3),0,1))</f>
        <v>0</v>
      </c>
      <c r="P2364" s="1" t="n">
        <f aca="false">IF(AND($K2364=1,AND(对接源_02物料!$X1164="公司筐",N(对接源_02物料!$T1164)&lt;&gt;0)),1,0)</f>
        <v>0</v>
      </c>
      <c r="Q2364" s="1" t="n">
        <f aca="false">N(Q2363)+$P2364</f>
        <v>13</v>
      </c>
      <c r="R2364" s="1" t="n">
        <f aca="false">IF(AND($K2364=1,AND(对接源_02物料!$X1164="公司筐",N(对接源_02物料!$U1164)&lt;&gt;0)),1,0)</f>
        <v>0</v>
      </c>
      <c r="S2364" s="1" t="n">
        <f aca="false">N(S2363)+$R2364</f>
        <v>5</v>
      </c>
      <c r="T2364" s="1" t="n">
        <f aca="false">IF(AND($K2364=1,AND(对接源_02物料!$X1164="公司筐",N(对接源_02物料!$V1164)&lt;&gt;0)),1,0)</f>
        <v>0</v>
      </c>
      <c r="U2364" s="1" t="n">
        <f aca="false">N(U2363)+$T2364</f>
        <v>28</v>
      </c>
      <c r="V2364" s="1" t="n">
        <f aca="false">IF(AND($L2364=1,AND(对接源_02物料!$X1164="自备筐",N(对接源_02物料!$V1164)&lt;&gt;0)),1,0)</f>
        <v>0</v>
      </c>
      <c r="W2364" s="1" t="n">
        <f aca="false">N(W2363)+$V2364</f>
        <v>7</v>
      </c>
      <c r="X2364" s="1" t="n">
        <f aca="false">IF(AND($L2364=1,AND(对接源_02物料!$X1164="自备筐",N(对接源_02物料!$T1164)&lt;&gt;0)),1,0)</f>
        <v>0</v>
      </c>
      <c r="Y2364" s="1" t="n">
        <f aca="false">N(Y2363)+$X2364</f>
        <v>0</v>
      </c>
      <c r="Z2364" s="1" t="n">
        <f aca="false">IF(AND($M2364=1,对接源_02物料!$D1164="原料入库"),1,0)</f>
        <v>0</v>
      </c>
      <c r="AA2364" s="1" t="n">
        <f aca="false">N(AA2363)+$Z2364</f>
        <v>30</v>
      </c>
      <c r="AB2364" s="1" t="n">
        <f aca="false">IF(AND($M2364=1,LEFT(对接源_02物料!$D1164,4)="原料出库"),1,0)</f>
        <v>0</v>
      </c>
      <c r="AC2364" s="1" t="n">
        <f aca="false">N(AC2363)+$AB2364</f>
        <v>19</v>
      </c>
      <c r="AD2364" s="1" t="n">
        <f aca="false">IF(AND($M2364=1,LEFT(对接源_02物料!$D1164,4)="成品出库"),1,0)</f>
        <v>0</v>
      </c>
      <c r="AE2364" s="1" t="n">
        <f aca="false">N(AE2363)+$AD2364</f>
        <v>38</v>
      </c>
      <c r="AF2364" s="1" t="n">
        <f aca="false">IF(AND($N2364=1,AND(LEFT(对接源_02物料!$D1164,4)="包装物料",N(对接源_02物料!$K1164)&lt;&gt;0)),1,0)</f>
        <v>0</v>
      </c>
      <c r="AG2364" s="1" t="n">
        <f aca="false">N(AG2363)+$AF2364</f>
        <v>6</v>
      </c>
      <c r="AH2364" s="1" t="n">
        <f aca="false">IF(AND($N2364=1,AND(LEFT(对接源_02物料!$D1164,3)="周转筐",N(对接源_02物料!$K1164)&lt;&gt;0)),1,0)</f>
        <v>0</v>
      </c>
      <c r="AI2364" s="1" t="n">
        <f aca="false">N(AI2363)+$AH2364</f>
        <v>0</v>
      </c>
      <c r="AJ2364" s="1" t="n">
        <v>0</v>
      </c>
      <c r="AK2364" s="1" t="n">
        <f aca="false">N(AK2363)+$AJ2364</f>
        <v>3672</v>
      </c>
    </row>
    <row r="2365" customFormat="false" ht="13.5" hidden="false" customHeight="false" outlineLevel="0" collapsed="false">
      <c r="A2365" s="1" t="str">
        <f aca="false">IF(对接源_02物料!$C1165="","",对接源_02物料!$C1165)</f>
        <v/>
      </c>
      <c r="B2365" s="1" t="n">
        <f aca="false">IF(A2365="",0,IF(MATCH(A2365,$A$4:$A$2403,0)=ROW()-3,1,0))</f>
        <v>0</v>
      </c>
      <c r="C2365" s="1" t="n">
        <f aca="false">N(C2364)+B2365</f>
        <v>17</v>
      </c>
      <c r="K2365" s="1" t="n">
        <f aca="false">IF(OR($K$1="",对接源_02物料!$C1165="",对接源_02物料!$C1165&lt;&gt;$K$1,对接源_02物料!$B1165=""),0,IF(OR(N(对接源_02物料!$B1165)&lt;$K$2,N(对接源_02物料!$B1165)&gt;$K$3),0,1))</f>
        <v>0</v>
      </c>
      <c r="L2365" s="1" t="n">
        <f aca="false">IF(OR($L$1="",对接源_02物料!$C1165="",对接源_02物料!$C1165&lt;&gt;$L$1,对接源_02物料!$B1165=""),0,IF(OR(N(对接源_02物料!$B1165)&lt;$L$2,N(对接源_02物料!$B1165)&gt;$L$3),0,1))</f>
        <v>0</v>
      </c>
      <c r="M2365" s="1" t="n">
        <f aca="false">IF(OR($M$1="",对接源_02物料!$C1165="",对接源_02物料!$C1165&lt;&gt;$M$1,对接源_02物料!$B1165=""),0,IF(OR(N(对接源_02物料!$B1165)&lt;$M$2,N(对接源_02物料!$B1165)&gt;$M$3),0,1))</f>
        <v>0</v>
      </c>
      <c r="N2365" s="1" t="n">
        <f aca="false">IF(OR($N$1="",对接源_02物料!$C1165="",对接源_02物料!$C1165&lt;&gt;$N$1,对接源_02物料!$B1165=""),0,IF(OR(N(对接源_02物料!$B1165)&lt;$N$2,N(对接源_02物料!$B1165)&gt;$N$3),0,1))</f>
        <v>0</v>
      </c>
      <c r="P2365" s="1" t="n">
        <f aca="false">IF(AND($K2365=1,AND(对接源_02物料!$X1165="公司筐",N(对接源_02物料!$T1165)&lt;&gt;0)),1,0)</f>
        <v>0</v>
      </c>
      <c r="Q2365" s="1" t="n">
        <f aca="false">N(Q2364)+$P2365</f>
        <v>13</v>
      </c>
      <c r="R2365" s="1" t="n">
        <f aca="false">IF(AND($K2365=1,AND(对接源_02物料!$X1165="公司筐",N(对接源_02物料!$U1165)&lt;&gt;0)),1,0)</f>
        <v>0</v>
      </c>
      <c r="S2365" s="1" t="n">
        <f aca="false">N(S2364)+$R2365</f>
        <v>5</v>
      </c>
      <c r="T2365" s="1" t="n">
        <f aca="false">IF(AND($K2365=1,AND(对接源_02物料!$X1165="公司筐",N(对接源_02物料!$V1165)&lt;&gt;0)),1,0)</f>
        <v>0</v>
      </c>
      <c r="U2365" s="1" t="n">
        <f aca="false">N(U2364)+$T2365</f>
        <v>28</v>
      </c>
      <c r="V2365" s="1" t="n">
        <f aca="false">IF(AND($L2365=1,AND(对接源_02物料!$X1165="自备筐",N(对接源_02物料!$V1165)&lt;&gt;0)),1,0)</f>
        <v>0</v>
      </c>
      <c r="W2365" s="1" t="n">
        <f aca="false">N(W2364)+$V2365</f>
        <v>7</v>
      </c>
      <c r="X2365" s="1" t="n">
        <f aca="false">IF(AND($L2365=1,AND(对接源_02物料!$X1165="自备筐",N(对接源_02物料!$T1165)&lt;&gt;0)),1,0)</f>
        <v>0</v>
      </c>
      <c r="Y2365" s="1" t="n">
        <f aca="false">N(Y2364)+$X2365</f>
        <v>0</v>
      </c>
      <c r="Z2365" s="1" t="n">
        <f aca="false">IF(AND($M2365=1,对接源_02物料!$D1165="原料入库"),1,0)</f>
        <v>0</v>
      </c>
      <c r="AA2365" s="1" t="n">
        <f aca="false">N(AA2364)+$Z2365</f>
        <v>30</v>
      </c>
      <c r="AB2365" s="1" t="n">
        <f aca="false">IF(AND($M2365=1,LEFT(对接源_02物料!$D1165,4)="原料出库"),1,0)</f>
        <v>0</v>
      </c>
      <c r="AC2365" s="1" t="n">
        <f aca="false">N(AC2364)+$AB2365</f>
        <v>19</v>
      </c>
      <c r="AD2365" s="1" t="n">
        <f aca="false">IF(AND($M2365=1,LEFT(对接源_02物料!$D1165,4)="成品出库"),1,0)</f>
        <v>0</v>
      </c>
      <c r="AE2365" s="1" t="n">
        <f aca="false">N(AE2364)+$AD2365</f>
        <v>38</v>
      </c>
      <c r="AF2365" s="1" t="n">
        <f aca="false">IF(AND($N2365=1,AND(LEFT(对接源_02物料!$D1165,4)="包装物料",N(对接源_02物料!$K1165)&lt;&gt;0)),1,0)</f>
        <v>0</v>
      </c>
      <c r="AG2365" s="1" t="n">
        <f aca="false">N(AG2364)+$AF2365</f>
        <v>6</v>
      </c>
      <c r="AH2365" s="1" t="n">
        <f aca="false">IF(AND($N2365=1,AND(LEFT(对接源_02物料!$D1165,3)="周转筐",N(对接源_02物料!$K1165)&lt;&gt;0)),1,0)</f>
        <v>0</v>
      </c>
      <c r="AI2365" s="1" t="n">
        <f aca="false">N(AI2364)+$AH2365</f>
        <v>0</v>
      </c>
      <c r="AJ2365" s="1" t="n">
        <v>0</v>
      </c>
      <c r="AK2365" s="1" t="n">
        <f aca="false">N(AK2364)+$AJ2365</f>
        <v>3672</v>
      </c>
    </row>
    <row r="2366" customFormat="false" ht="13.5" hidden="false" customHeight="false" outlineLevel="0" collapsed="false">
      <c r="A2366" s="1" t="str">
        <f aca="false">IF(对接源_02物料!$C1166="","",对接源_02物料!$C1166)</f>
        <v/>
      </c>
      <c r="B2366" s="1" t="n">
        <f aca="false">IF(A2366="",0,IF(MATCH(A2366,$A$4:$A$2403,0)=ROW()-3,1,0))</f>
        <v>0</v>
      </c>
      <c r="C2366" s="1" t="n">
        <f aca="false">N(C2365)+B2366</f>
        <v>17</v>
      </c>
      <c r="K2366" s="1" t="n">
        <f aca="false">IF(OR($K$1="",对接源_02物料!$C1166="",对接源_02物料!$C1166&lt;&gt;$K$1,对接源_02物料!$B1166=""),0,IF(OR(N(对接源_02物料!$B1166)&lt;$K$2,N(对接源_02物料!$B1166)&gt;$K$3),0,1))</f>
        <v>0</v>
      </c>
      <c r="L2366" s="1" t="n">
        <f aca="false">IF(OR($L$1="",对接源_02物料!$C1166="",对接源_02物料!$C1166&lt;&gt;$L$1,对接源_02物料!$B1166=""),0,IF(OR(N(对接源_02物料!$B1166)&lt;$L$2,N(对接源_02物料!$B1166)&gt;$L$3),0,1))</f>
        <v>0</v>
      </c>
      <c r="M2366" s="1" t="n">
        <f aca="false">IF(OR($M$1="",对接源_02物料!$C1166="",对接源_02物料!$C1166&lt;&gt;$M$1,对接源_02物料!$B1166=""),0,IF(OR(N(对接源_02物料!$B1166)&lt;$M$2,N(对接源_02物料!$B1166)&gt;$M$3),0,1))</f>
        <v>0</v>
      </c>
      <c r="N2366" s="1" t="n">
        <f aca="false">IF(OR($N$1="",对接源_02物料!$C1166="",对接源_02物料!$C1166&lt;&gt;$N$1,对接源_02物料!$B1166=""),0,IF(OR(N(对接源_02物料!$B1166)&lt;$N$2,N(对接源_02物料!$B1166)&gt;$N$3),0,1))</f>
        <v>0</v>
      </c>
      <c r="P2366" s="1" t="n">
        <f aca="false">IF(AND($K2366=1,AND(对接源_02物料!$X1166="公司筐",N(对接源_02物料!$T1166)&lt;&gt;0)),1,0)</f>
        <v>0</v>
      </c>
      <c r="Q2366" s="1" t="n">
        <f aca="false">N(Q2365)+$P2366</f>
        <v>13</v>
      </c>
      <c r="R2366" s="1" t="n">
        <f aca="false">IF(AND($K2366=1,AND(对接源_02物料!$X1166="公司筐",N(对接源_02物料!$U1166)&lt;&gt;0)),1,0)</f>
        <v>0</v>
      </c>
      <c r="S2366" s="1" t="n">
        <f aca="false">N(S2365)+$R2366</f>
        <v>5</v>
      </c>
      <c r="T2366" s="1" t="n">
        <f aca="false">IF(AND($K2366=1,AND(对接源_02物料!$X1166="公司筐",N(对接源_02物料!$V1166)&lt;&gt;0)),1,0)</f>
        <v>0</v>
      </c>
      <c r="U2366" s="1" t="n">
        <f aca="false">N(U2365)+$T2366</f>
        <v>28</v>
      </c>
      <c r="V2366" s="1" t="n">
        <f aca="false">IF(AND($L2366=1,AND(对接源_02物料!$X1166="自备筐",N(对接源_02物料!$V1166)&lt;&gt;0)),1,0)</f>
        <v>0</v>
      </c>
      <c r="W2366" s="1" t="n">
        <f aca="false">N(W2365)+$V2366</f>
        <v>7</v>
      </c>
      <c r="X2366" s="1" t="n">
        <f aca="false">IF(AND($L2366=1,AND(对接源_02物料!$X1166="自备筐",N(对接源_02物料!$T1166)&lt;&gt;0)),1,0)</f>
        <v>0</v>
      </c>
      <c r="Y2366" s="1" t="n">
        <f aca="false">N(Y2365)+$X2366</f>
        <v>0</v>
      </c>
      <c r="Z2366" s="1" t="n">
        <f aca="false">IF(AND($M2366=1,对接源_02物料!$D1166="原料入库"),1,0)</f>
        <v>0</v>
      </c>
      <c r="AA2366" s="1" t="n">
        <f aca="false">N(AA2365)+$Z2366</f>
        <v>30</v>
      </c>
      <c r="AB2366" s="1" t="n">
        <f aca="false">IF(AND($M2366=1,LEFT(对接源_02物料!$D1166,4)="原料出库"),1,0)</f>
        <v>0</v>
      </c>
      <c r="AC2366" s="1" t="n">
        <f aca="false">N(AC2365)+$AB2366</f>
        <v>19</v>
      </c>
      <c r="AD2366" s="1" t="n">
        <f aca="false">IF(AND($M2366=1,LEFT(对接源_02物料!$D1166,4)="成品出库"),1,0)</f>
        <v>0</v>
      </c>
      <c r="AE2366" s="1" t="n">
        <f aca="false">N(AE2365)+$AD2366</f>
        <v>38</v>
      </c>
      <c r="AF2366" s="1" t="n">
        <f aca="false">IF(AND($N2366=1,AND(LEFT(对接源_02物料!$D1166,4)="包装物料",N(对接源_02物料!$K1166)&lt;&gt;0)),1,0)</f>
        <v>0</v>
      </c>
      <c r="AG2366" s="1" t="n">
        <f aca="false">N(AG2365)+$AF2366</f>
        <v>6</v>
      </c>
      <c r="AH2366" s="1" t="n">
        <f aca="false">IF(AND($N2366=1,AND(LEFT(对接源_02物料!$D1166,3)="周转筐",N(对接源_02物料!$K1166)&lt;&gt;0)),1,0)</f>
        <v>0</v>
      </c>
      <c r="AI2366" s="1" t="n">
        <f aca="false">N(AI2365)+$AH2366</f>
        <v>0</v>
      </c>
      <c r="AJ2366" s="1" t="n">
        <v>0</v>
      </c>
      <c r="AK2366" s="1" t="n">
        <f aca="false">N(AK2365)+$AJ2366</f>
        <v>3672</v>
      </c>
    </row>
    <row r="2367" customFormat="false" ht="13.5" hidden="false" customHeight="false" outlineLevel="0" collapsed="false">
      <c r="A2367" s="1" t="str">
        <f aca="false">IF(对接源_02物料!$C1167="","",对接源_02物料!$C1167)</f>
        <v/>
      </c>
      <c r="B2367" s="1" t="n">
        <f aca="false">IF(A2367="",0,IF(MATCH(A2367,$A$4:$A$2403,0)=ROW()-3,1,0))</f>
        <v>0</v>
      </c>
      <c r="C2367" s="1" t="n">
        <f aca="false">N(C2366)+B2367</f>
        <v>17</v>
      </c>
      <c r="K2367" s="1" t="n">
        <f aca="false">IF(OR($K$1="",对接源_02物料!$C1167="",对接源_02物料!$C1167&lt;&gt;$K$1,对接源_02物料!$B1167=""),0,IF(OR(N(对接源_02物料!$B1167)&lt;$K$2,N(对接源_02物料!$B1167)&gt;$K$3),0,1))</f>
        <v>0</v>
      </c>
      <c r="L2367" s="1" t="n">
        <f aca="false">IF(OR($L$1="",对接源_02物料!$C1167="",对接源_02物料!$C1167&lt;&gt;$L$1,对接源_02物料!$B1167=""),0,IF(OR(N(对接源_02物料!$B1167)&lt;$L$2,N(对接源_02物料!$B1167)&gt;$L$3),0,1))</f>
        <v>0</v>
      </c>
      <c r="M2367" s="1" t="n">
        <f aca="false">IF(OR($M$1="",对接源_02物料!$C1167="",对接源_02物料!$C1167&lt;&gt;$M$1,对接源_02物料!$B1167=""),0,IF(OR(N(对接源_02物料!$B1167)&lt;$M$2,N(对接源_02物料!$B1167)&gt;$M$3),0,1))</f>
        <v>0</v>
      </c>
      <c r="N2367" s="1" t="n">
        <f aca="false">IF(OR($N$1="",对接源_02物料!$C1167="",对接源_02物料!$C1167&lt;&gt;$N$1,对接源_02物料!$B1167=""),0,IF(OR(N(对接源_02物料!$B1167)&lt;$N$2,N(对接源_02物料!$B1167)&gt;$N$3),0,1))</f>
        <v>0</v>
      </c>
      <c r="P2367" s="1" t="n">
        <f aca="false">IF(AND($K2367=1,AND(对接源_02物料!$X1167="公司筐",N(对接源_02物料!$T1167)&lt;&gt;0)),1,0)</f>
        <v>0</v>
      </c>
      <c r="Q2367" s="1" t="n">
        <f aca="false">N(Q2366)+$P2367</f>
        <v>13</v>
      </c>
      <c r="R2367" s="1" t="n">
        <f aca="false">IF(AND($K2367=1,AND(对接源_02物料!$X1167="公司筐",N(对接源_02物料!$U1167)&lt;&gt;0)),1,0)</f>
        <v>0</v>
      </c>
      <c r="S2367" s="1" t="n">
        <f aca="false">N(S2366)+$R2367</f>
        <v>5</v>
      </c>
      <c r="T2367" s="1" t="n">
        <f aca="false">IF(AND($K2367=1,AND(对接源_02物料!$X1167="公司筐",N(对接源_02物料!$V1167)&lt;&gt;0)),1,0)</f>
        <v>0</v>
      </c>
      <c r="U2367" s="1" t="n">
        <f aca="false">N(U2366)+$T2367</f>
        <v>28</v>
      </c>
      <c r="V2367" s="1" t="n">
        <f aca="false">IF(AND($L2367=1,AND(对接源_02物料!$X1167="自备筐",N(对接源_02物料!$V1167)&lt;&gt;0)),1,0)</f>
        <v>0</v>
      </c>
      <c r="W2367" s="1" t="n">
        <f aca="false">N(W2366)+$V2367</f>
        <v>7</v>
      </c>
      <c r="X2367" s="1" t="n">
        <f aca="false">IF(AND($L2367=1,AND(对接源_02物料!$X1167="自备筐",N(对接源_02物料!$T1167)&lt;&gt;0)),1,0)</f>
        <v>0</v>
      </c>
      <c r="Y2367" s="1" t="n">
        <f aca="false">N(Y2366)+$X2367</f>
        <v>0</v>
      </c>
      <c r="Z2367" s="1" t="n">
        <f aca="false">IF(AND($M2367=1,对接源_02物料!$D1167="原料入库"),1,0)</f>
        <v>0</v>
      </c>
      <c r="AA2367" s="1" t="n">
        <f aca="false">N(AA2366)+$Z2367</f>
        <v>30</v>
      </c>
      <c r="AB2367" s="1" t="n">
        <f aca="false">IF(AND($M2367=1,LEFT(对接源_02物料!$D1167,4)="原料出库"),1,0)</f>
        <v>0</v>
      </c>
      <c r="AC2367" s="1" t="n">
        <f aca="false">N(AC2366)+$AB2367</f>
        <v>19</v>
      </c>
      <c r="AD2367" s="1" t="n">
        <f aca="false">IF(AND($M2367=1,LEFT(对接源_02物料!$D1167,4)="成品出库"),1,0)</f>
        <v>0</v>
      </c>
      <c r="AE2367" s="1" t="n">
        <f aca="false">N(AE2366)+$AD2367</f>
        <v>38</v>
      </c>
      <c r="AF2367" s="1" t="n">
        <f aca="false">IF(AND($N2367=1,AND(LEFT(对接源_02物料!$D1167,4)="包装物料",N(对接源_02物料!$K1167)&lt;&gt;0)),1,0)</f>
        <v>0</v>
      </c>
      <c r="AG2367" s="1" t="n">
        <f aca="false">N(AG2366)+$AF2367</f>
        <v>6</v>
      </c>
      <c r="AH2367" s="1" t="n">
        <f aca="false">IF(AND($N2367=1,AND(LEFT(对接源_02物料!$D1167,3)="周转筐",N(对接源_02物料!$K1167)&lt;&gt;0)),1,0)</f>
        <v>0</v>
      </c>
      <c r="AI2367" s="1" t="n">
        <f aca="false">N(AI2366)+$AH2367</f>
        <v>0</v>
      </c>
      <c r="AJ2367" s="1" t="n">
        <v>0</v>
      </c>
      <c r="AK2367" s="1" t="n">
        <f aca="false">N(AK2366)+$AJ2367</f>
        <v>3672</v>
      </c>
    </row>
    <row r="2368" customFormat="false" ht="13.5" hidden="false" customHeight="false" outlineLevel="0" collapsed="false">
      <c r="A2368" s="1" t="str">
        <f aca="false">IF(对接源_02物料!$C1168="","",对接源_02物料!$C1168)</f>
        <v/>
      </c>
      <c r="B2368" s="1" t="n">
        <f aca="false">IF(A2368="",0,IF(MATCH(A2368,$A$4:$A$2403,0)=ROW()-3,1,0))</f>
        <v>0</v>
      </c>
      <c r="C2368" s="1" t="n">
        <f aca="false">N(C2367)+B2368</f>
        <v>17</v>
      </c>
      <c r="K2368" s="1" t="n">
        <f aca="false">IF(OR($K$1="",对接源_02物料!$C1168="",对接源_02物料!$C1168&lt;&gt;$K$1,对接源_02物料!$B1168=""),0,IF(OR(N(对接源_02物料!$B1168)&lt;$K$2,N(对接源_02物料!$B1168)&gt;$K$3),0,1))</f>
        <v>0</v>
      </c>
      <c r="L2368" s="1" t="n">
        <f aca="false">IF(OR($L$1="",对接源_02物料!$C1168="",对接源_02物料!$C1168&lt;&gt;$L$1,对接源_02物料!$B1168=""),0,IF(OR(N(对接源_02物料!$B1168)&lt;$L$2,N(对接源_02物料!$B1168)&gt;$L$3),0,1))</f>
        <v>0</v>
      </c>
      <c r="M2368" s="1" t="n">
        <f aca="false">IF(OR($M$1="",对接源_02物料!$C1168="",对接源_02物料!$C1168&lt;&gt;$M$1,对接源_02物料!$B1168=""),0,IF(OR(N(对接源_02物料!$B1168)&lt;$M$2,N(对接源_02物料!$B1168)&gt;$M$3),0,1))</f>
        <v>0</v>
      </c>
      <c r="N2368" s="1" t="n">
        <f aca="false">IF(OR($N$1="",对接源_02物料!$C1168="",对接源_02物料!$C1168&lt;&gt;$N$1,对接源_02物料!$B1168=""),0,IF(OR(N(对接源_02物料!$B1168)&lt;$N$2,N(对接源_02物料!$B1168)&gt;$N$3),0,1))</f>
        <v>0</v>
      </c>
      <c r="P2368" s="1" t="n">
        <f aca="false">IF(AND($K2368=1,AND(对接源_02物料!$X1168="公司筐",N(对接源_02物料!$T1168)&lt;&gt;0)),1,0)</f>
        <v>0</v>
      </c>
      <c r="Q2368" s="1" t="n">
        <f aca="false">N(Q2367)+$P2368</f>
        <v>13</v>
      </c>
      <c r="R2368" s="1" t="n">
        <f aca="false">IF(AND($K2368=1,AND(对接源_02物料!$X1168="公司筐",N(对接源_02物料!$U1168)&lt;&gt;0)),1,0)</f>
        <v>0</v>
      </c>
      <c r="S2368" s="1" t="n">
        <f aca="false">N(S2367)+$R2368</f>
        <v>5</v>
      </c>
      <c r="T2368" s="1" t="n">
        <f aca="false">IF(AND($K2368=1,AND(对接源_02物料!$X1168="公司筐",N(对接源_02物料!$V1168)&lt;&gt;0)),1,0)</f>
        <v>0</v>
      </c>
      <c r="U2368" s="1" t="n">
        <f aca="false">N(U2367)+$T2368</f>
        <v>28</v>
      </c>
      <c r="V2368" s="1" t="n">
        <f aca="false">IF(AND($L2368=1,AND(对接源_02物料!$X1168="自备筐",N(对接源_02物料!$V1168)&lt;&gt;0)),1,0)</f>
        <v>0</v>
      </c>
      <c r="W2368" s="1" t="n">
        <f aca="false">N(W2367)+$V2368</f>
        <v>7</v>
      </c>
      <c r="X2368" s="1" t="n">
        <f aca="false">IF(AND($L2368=1,AND(对接源_02物料!$X1168="自备筐",N(对接源_02物料!$T1168)&lt;&gt;0)),1,0)</f>
        <v>0</v>
      </c>
      <c r="Y2368" s="1" t="n">
        <f aca="false">N(Y2367)+$X2368</f>
        <v>0</v>
      </c>
      <c r="Z2368" s="1" t="n">
        <f aca="false">IF(AND($M2368=1,对接源_02物料!$D1168="原料入库"),1,0)</f>
        <v>0</v>
      </c>
      <c r="AA2368" s="1" t="n">
        <f aca="false">N(AA2367)+$Z2368</f>
        <v>30</v>
      </c>
      <c r="AB2368" s="1" t="n">
        <f aca="false">IF(AND($M2368=1,LEFT(对接源_02物料!$D1168,4)="原料出库"),1,0)</f>
        <v>0</v>
      </c>
      <c r="AC2368" s="1" t="n">
        <f aca="false">N(AC2367)+$AB2368</f>
        <v>19</v>
      </c>
      <c r="AD2368" s="1" t="n">
        <f aca="false">IF(AND($M2368=1,LEFT(对接源_02物料!$D1168,4)="成品出库"),1,0)</f>
        <v>0</v>
      </c>
      <c r="AE2368" s="1" t="n">
        <f aca="false">N(AE2367)+$AD2368</f>
        <v>38</v>
      </c>
      <c r="AF2368" s="1" t="n">
        <f aca="false">IF(AND($N2368=1,AND(LEFT(对接源_02物料!$D1168,4)="包装物料",N(对接源_02物料!$K1168)&lt;&gt;0)),1,0)</f>
        <v>0</v>
      </c>
      <c r="AG2368" s="1" t="n">
        <f aca="false">N(AG2367)+$AF2368</f>
        <v>6</v>
      </c>
      <c r="AH2368" s="1" t="n">
        <f aca="false">IF(AND($N2368=1,AND(LEFT(对接源_02物料!$D1168,3)="周转筐",N(对接源_02物料!$K1168)&lt;&gt;0)),1,0)</f>
        <v>0</v>
      </c>
      <c r="AI2368" s="1" t="n">
        <f aca="false">N(AI2367)+$AH2368</f>
        <v>0</v>
      </c>
      <c r="AJ2368" s="1" t="n">
        <v>0</v>
      </c>
      <c r="AK2368" s="1" t="n">
        <f aca="false">N(AK2367)+$AJ2368</f>
        <v>3672</v>
      </c>
    </row>
    <row r="2369" customFormat="false" ht="13.5" hidden="false" customHeight="false" outlineLevel="0" collapsed="false">
      <c r="A2369" s="1" t="str">
        <f aca="false">IF(对接源_02物料!$C1169="","",对接源_02物料!$C1169)</f>
        <v/>
      </c>
      <c r="B2369" s="1" t="n">
        <f aca="false">IF(A2369="",0,IF(MATCH(A2369,$A$4:$A$2403,0)=ROW()-3,1,0))</f>
        <v>0</v>
      </c>
      <c r="C2369" s="1" t="n">
        <f aca="false">N(C2368)+B2369</f>
        <v>17</v>
      </c>
      <c r="K2369" s="1" t="n">
        <f aca="false">IF(OR($K$1="",对接源_02物料!$C1169="",对接源_02物料!$C1169&lt;&gt;$K$1,对接源_02物料!$B1169=""),0,IF(OR(N(对接源_02物料!$B1169)&lt;$K$2,N(对接源_02物料!$B1169)&gt;$K$3),0,1))</f>
        <v>0</v>
      </c>
      <c r="L2369" s="1" t="n">
        <f aca="false">IF(OR($L$1="",对接源_02物料!$C1169="",对接源_02物料!$C1169&lt;&gt;$L$1,对接源_02物料!$B1169=""),0,IF(OR(N(对接源_02物料!$B1169)&lt;$L$2,N(对接源_02物料!$B1169)&gt;$L$3),0,1))</f>
        <v>0</v>
      </c>
      <c r="M2369" s="1" t="n">
        <f aca="false">IF(OR($M$1="",对接源_02物料!$C1169="",对接源_02物料!$C1169&lt;&gt;$M$1,对接源_02物料!$B1169=""),0,IF(OR(N(对接源_02物料!$B1169)&lt;$M$2,N(对接源_02物料!$B1169)&gt;$M$3),0,1))</f>
        <v>0</v>
      </c>
      <c r="N2369" s="1" t="n">
        <f aca="false">IF(OR($N$1="",对接源_02物料!$C1169="",对接源_02物料!$C1169&lt;&gt;$N$1,对接源_02物料!$B1169=""),0,IF(OR(N(对接源_02物料!$B1169)&lt;$N$2,N(对接源_02物料!$B1169)&gt;$N$3),0,1))</f>
        <v>0</v>
      </c>
      <c r="P2369" s="1" t="n">
        <f aca="false">IF(AND($K2369=1,AND(对接源_02物料!$X1169="公司筐",N(对接源_02物料!$T1169)&lt;&gt;0)),1,0)</f>
        <v>0</v>
      </c>
      <c r="Q2369" s="1" t="n">
        <f aca="false">N(Q2368)+$P2369</f>
        <v>13</v>
      </c>
      <c r="R2369" s="1" t="n">
        <f aca="false">IF(AND($K2369=1,AND(对接源_02物料!$X1169="公司筐",N(对接源_02物料!$U1169)&lt;&gt;0)),1,0)</f>
        <v>0</v>
      </c>
      <c r="S2369" s="1" t="n">
        <f aca="false">N(S2368)+$R2369</f>
        <v>5</v>
      </c>
      <c r="T2369" s="1" t="n">
        <f aca="false">IF(AND($K2369=1,AND(对接源_02物料!$X1169="公司筐",N(对接源_02物料!$V1169)&lt;&gt;0)),1,0)</f>
        <v>0</v>
      </c>
      <c r="U2369" s="1" t="n">
        <f aca="false">N(U2368)+$T2369</f>
        <v>28</v>
      </c>
      <c r="V2369" s="1" t="n">
        <f aca="false">IF(AND($L2369=1,AND(对接源_02物料!$X1169="自备筐",N(对接源_02物料!$V1169)&lt;&gt;0)),1,0)</f>
        <v>0</v>
      </c>
      <c r="W2369" s="1" t="n">
        <f aca="false">N(W2368)+$V2369</f>
        <v>7</v>
      </c>
      <c r="X2369" s="1" t="n">
        <f aca="false">IF(AND($L2369=1,AND(对接源_02物料!$X1169="自备筐",N(对接源_02物料!$T1169)&lt;&gt;0)),1,0)</f>
        <v>0</v>
      </c>
      <c r="Y2369" s="1" t="n">
        <f aca="false">N(Y2368)+$X2369</f>
        <v>0</v>
      </c>
      <c r="Z2369" s="1" t="n">
        <f aca="false">IF(AND($M2369=1,对接源_02物料!$D1169="原料入库"),1,0)</f>
        <v>0</v>
      </c>
      <c r="AA2369" s="1" t="n">
        <f aca="false">N(AA2368)+$Z2369</f>
        <v>30</v>
      </c>
      <c r="AB2369" s="1" t="n">
        <f aca="false">IF(AND($M2369=1,LEFT(对接源_02物料!$D1169,4)="原料出库"),1,0)</f>
        <v>0</v>
      </c>
      <c r="AC2369" s="1" t="n">
        <f aca="false">N(AC2368)+$AB2369</f>
        <v>19</v>
      </c>
      <c r="AD2369" s="1" t="n">
        <f aca="false">IF(AND($M2369=1,LEFT(对接源_02物料!$D1169,4)="成品出库"),1,0)</f>
        <v>0</v>
      </c>
      <c r="AE2369" s="1" t="n">
        <f aca="false">N(AE2368)+$AD2369</f>
        <v>38</v>
      </c>
      <c r="AF2369" s="1" t="n">
        <f aca="false">IF(AND($N2369=1,AND(LEFT(对接源_02物料!$D1169,4)="包装物料",N(对接源_02物料!$K1169)&lt;&gt;0)),1,0)</f>
        <v>0</v>
      </c>
      <c r="AG2369" s="1" t="n">
        <f aca="false">N(AG2368)+$AF2369</f>
        <v>6</v>
      </c>
      <c r="AH2369" s="1" t="n">
        <f aca="false">IF(AND($N2369=1,AND(LEFT(对接源_02物料!$D1169,3)="周转筐",N(对接源_02物料!$K1169)&lt;&gt;0)),1,0)</f>
        <v>0</v>
      </c>
      <c r="AI2369" s="1" t="n">
        <f aca="false">N(AI2368)+$AH2369</f>
        <v>0</v>
      </c>
      <c r="AJ2369" s="1" t="n">
        <v>0</v>
      </c>
      <c r="AK2369" s="1" t="n">
        <f aca="false">N(AK2368)+$AJ2369</f>
        <v>3672</v>
      </c>
    </row>
    <row r="2370" customFormat="false" ht="13.5" hidden="false" customHeight="false" outlineLevel="0" collapsed="false">
      <c r="A2370" s="1" t="str">
        <f aca="false">IF(对接源_02物料!$C1170="","",对接源_02物料!$C1170)</f>
        <v/>
      </c>
      <c r="B2370" s="1" t="n">
        <f aca="false">IF(A2370="",0,IF(MATCH(A2370,$A$4:$A$2403,0)=ROW()-3,1,0))</f>
        <v>0</v>
      </c>
      <c r="C2370" s="1" t="n">
        <f aca="false">N(C2369)+B2370</f>
        <v>17</v>
      </c>
      <c r="K2370" s="1" t="n">
        <f aca="false">IF(OR($K$1="",对接源_02物料!$C1170="",对接源_02物料!$C1170&lt;&gt;$K$1,对接源_02物料!$B1170=""),0,IF(OR(N(对接源_02物料!$B1170)&lt;$K$2,N(对接源_02物料!$B1170)&gt;$K$3),0,1))</f>
        <v>0</v>
      </c>
      <c r="L2370" s="1" t="n">
        <f aca="false">IF(OR($L$1="",对接源_02物料!$C1170="",对接源_02物料!$C1170&lt;&gt;$L$1,对接源_02物料!$B1170=""),0,IF(OR(N(对接源_02物料!$B1170)&lt;$L$2,N(对接源_02物料!$B1170)&gt;$L$3),0,1))</f>
        <v>0</v>
      </c>
      <c r="M2370" s="1" t="n">
        <f aca="false">IF(OR($M$1="",对接源_02物料!$C1170="",对接源_02物料!$C1170&lt;&gt;$M$1,对接源_02物料!$B1170=""),0,IF(OR(N(对接源_02物料!$B1170)&lt;$M$2,N(对接源_02物料!$B1170)&gt;$M$3),0,1))</f>
        <v>0</v>
      </c>
      <c r="N2370" s="1" t="n">
        <f aca="false">IF(OR($N$1="",对接源_02物料!$C1170="",对接源_02物料!$C1170&lt;&gt;$N$1,对接源_02物料!$B1170=""),0,IF(OR(N(对接源_02物料!$B1170)&lt;$N$2,N(对接源_02物料!$B1170)&gt;$N$3),0,1))</f>
        <v>0</v>
      </c>
      <c r="P2370" s="1" t="n">
        <f aca="false">IF(AND($K2370=1,AND(对接源_02物料!$X1170="公司筐",N(对接源_02物料!$T1170)&lt;&gt;0)),1,0)</f>
        <v>0</v>
      </c>
      <c r="Q2370" s="1" t="n">
        <f aca="false">N(Q2369)+$P2370</f>
        <v>13</v>
      </c>
      <c r="R2370" s="1" t="n">
        <f aca="false">IF(AND($K2370=1,AND(对接源_02物料!$X1170="公司筐",N(对接源_02物料!$U1170)&lt;&gt;0)),1,0)</f>
        <v>0</v>
      </c>
      <c r="S2370" s="1" t="n">
        <f aca="false">N(S2369)+$R2370</f>
        <v>5</v>
      </c>
      <c r="T2370" s="1" t="n">
        <f aca="false">IF(AND($K2370=1,AND(对接源_02物料!$X1170="公司筐",N(对接源_02物料!$V1170)&lt;&gt;0)),1,0)</f>
        <v>0</v>
      </c>
      <c r="U2370" s="1" t="n">
        <f aca="false">N(U2369)+$T2370</f>
        <v>28</v>
      </c>
      <c r="V2370" s="1" t="n">
        <f aca="false">IF(AND($L2370=1,AND(对接源_02物料!$X1170="自备筐",N(对接源_02物料!$V1170)&lt;&gt;0)),1,0)</f>
        <v>0</v>
      </c>
      <c r="W2370" s="1" t="n">
        <f aca="false">N(W2369)+$V2370</f>
        <v>7</v>
      </c>
      <c r="X2370" s="1" t="n">
        <f aca="false">IF(AND($L2370=1,AND(对接源_02物料!$X1170="自备筐",N(对接源_02物料!$T1170)&lt;&gt;0)),1,0)</f>
        <v>0</v>
      </c>
      <c r="Y2370" s="1" t="n">
        <f aca="false">N(Y2369)+$X2370</f>
        <v>0</v>
      </c>
      <c r="Z2370" s="1" t="n">
        <f aca="false">IF(AND($M2370=1,对接源_02物料!$D1170="原料入库"),1,0)</f>
        <v>0</v>
      </c>
      <c r="AA2370" s="1" t="n">
        <f aca="false">N(AA2369)+$Z2370</f>
        <v>30</v>
      </c>
      <c r="AB2370" s="1" t="n">
        <f aca="false">IF(AND($M2370=1,LEFT(对接源_02物料!$D1170,4)="原料出库"),1,0)</f>
        <v>0</v>
      </c>
      <c r="AC2370" s="1" t="n">
        <f aca="false">N(AC2369)+$AB2370</f>
        <v>19</v>
      </c>
      <c r="AD2370" s="1" t="n">
        <f aca="false">IF(AND($M2370=1,LEFT(对接源_02物料!$D1170,4)="成品出库"),1,0)</f>
        <v>0</v>
      </c>
      <c r="AE2370" s="1" t="n">
        <f aca="false">N(AE2369)+$AD2370</f>
        <v>38</v>
      </c>
      <c r="AF2370" s="1" t="n">
        <f aca="false">IF(AND($N2370=1,AND(LEFT(对接源_02物料!$D1170,4)="包装物料",N(对接源_02物料!$K1170)&lt;&gt;0)),1,0)</f>
        <v>0</v>
      </c>
      <c r="AG2370" s="1" t="n">
        <f aca="false">N(AG2369)+$AF2370</f>
        <v>6</v>
      </c>
      <c r="AH2370" s="1" t="n">
        <f aca="false">IF(AND($N2370=1,AND(LEFT(对接源_02物料!$D1170,3)="周转筐",N(对接源_02物料!$K1170)&lt;&gt;0)),1,0)</f>
        <v>0</v>
      </c>
      <c r="AI2370" s="1" t="n">
        <f aca="false">N(AI2369)+$AH2370</f>
        <v>0</v>
      </c>
      <c r="AJ2370" s="1" t="n">
        <v>0</v>
      </c>
      <c r="AK2370" s="1" t="n">
        <f aca="false">N(AK2369)+$AJ2370</f>
        <v>3672</v>
      </c>
    </row>
    <row r="2371" customFormat="false" ht="13.5" hidden="false" customHeight="false" outlineLevel="0" collapsed="false">
      <c r="A2371" s="1" t="str">
        <f aca="false">IF(对接源_02物料!$C1171="","",对接源_02物料!$C1171)</f>
        <v/>
      </c>
      <c r="B2371" s="1" t="n">
        <f aca="false">IF(A2371="",0,IF(MATCH(A2371,$A$4:$A$2403,0)=ROW()-3,1,0))</f>
        <v>0</v>
      </c>
      <c r="C2371" s="1" t="n">
        <f aca="false">N(C2370)+B2371</f>
        <v>17</v>
      </c>
      <c r="K2371" s="1" t="n">
        <f aca="false">IF(OR($K$1="",对接源_02物料!$C1171="",对接源_02物料!$C1171&lt;&gt;$K$1,对接源_02物料!$B1171=""),0,IF(OR(N(对接源_02物料!$B1171)&lt;$K$2,N(对接源_02物料!$B1171)&gt;$K$3),0,1))</f>
        <v>0</v>
      </c>
      <c r="L2371" s="1" t="n">
        <f aca="false">IF(OR($L$1="",对接源_02物料!$C1171="",对接源_02物料!$C1171&lt;&gt;$L$1,对接源_02物料!$B1171=""),0,IF(OR(N(对接源_02物料!$B1171)&lt;$L$2,N(对接源_02物料!$B1171)&gt;$L$3),0,1))</f>
        <v>0</v>
      </c>
      <c r="M2371" s="1" t="n">
        <f aca="false">IF(OR($M$1="",对接源_02物料!$C1171="",对接源_02物料!$C1171&lt;&gt;$M$1,对接源_02物料!$B1171=""),0,IF(OR(N(对接源_02物料!$B1171)&lt;$M$2,N(对接源_02物料!$B1171)&gt;$M$3),0,1))</f>
        <v>0</v>
      </c>
      <c r="N2371" s="1" t="n">
        <f aca="false">IF(OR($N$1="",对接源_02物料!$C1171="",对接源_02物料!$C1171&lt;&gt;$N$1,对接源_02物料!$B1171=""),0,IF(OR(N(对接源_02物料!$B1171)&lt;$N$2,N(对接源_02物料!$B1171)&gt;$N$3),0,1))</f>
        <v>0</v>
      </c>
      <c r="P2371" s="1" t="n">
        <f aca="false">IF(AND($K2371=1,AND(对接源_02物料!$X1171="公司筐",N(对接源_02物料!$T1171)&lt;&gt;0)),1,0)</f>
        <v>0</v>
      </c>
      <c r="Q2371" s="1" t="n">
        <f aca="false">N(Q2370)+$P2371</f>
        <v>13</v>
      </c>
      <c r="R2371" s="1" t="n">
        <f aca="false">IF(AND($K2371=1,AND(对接源_02物料!$X1171="公司筐",N(对接源_02物料!$U1171)&lt;&gt;0)),1,0)</f>
        <v>0</v>
      </c>
      <c r="S2371" s="1" t="n">
        <f aca="false">N(S2370)+$R2371</f>
        <v>5</v>
      </c>
      <c r="T2371" s="1" t="n">
        <f aca="false">IF(AND($K2371=1,AND(对接源_02物料!$X1171="公司筐",N(对接源_02物料!$V1171)&lt;&gt;0)),1,0)</f>
        <v>0</v>
      </c>
      <c r="U2371" s="1" t="n">
        <f aca="false">N(U2370)+$T2371</f>
        <v>28</v>
      </c>
      <c r="V2371" s="1" t="n">
        <f aca="false">IF(AND($L2371=1,AND(对接源_02物料!$X1171="自备筐",N(对接源_02物料!$V1171)&lt;&gt;0)),1,0)</f>
        <v>0</v>
      </c>
      <c r="W2371" s="1" t="n">
        <f aca="false">N(W2370)+$V2371</f>
        <v>7</v>
      </c>
      <c r="X2371" s="1" t="n">
        <f aca="false">IF(AND($L2371=1,AND(对接源_02物料!$X1171="自备筐",N(对接源_02物料!$T1171)&lt;&gt;0)),1,0)</f>
        <v>0</v>
      </c>
      <c r="Y2371" s="1" t="n">
        <f aca="false">N(Y2370)+$X2371</f>
        <v>0</v>
      </c>
      <c r="Z2371" s="1" t="n">
        <f aca="false">IF(AND($M2371=1,对接源_02物料!$D1171="原料入库"),1,0)</f>
        <v>0</v>
      </c>
      <c r="AA2371" s="1" t="n">
        <f aca="false">N(AA2370)+$Z2371</f>
        <v>30</v>
      </c>
      <c r="AB2371" s="1" t="n">
        <f aca="false">IF(AND($M2371=1,LEFT(对接源_02物料!$D1171,4)="原料出库"),1,0)</f>
        <v>0</v>
      </c>
      <c r="AC2371" s="1" t="n">
        <f aca="false">N(AC2370)+$AB2371</f>
        <v>19</v>
      </c>
      <c r="AD2371" s="1" t="n">
        <f aca="false">IF(AND($M2371=1,LEFT(对接源_02物料!$D1171,4)="成品出库"),1,0)</f>
        <v>0</v>
      </c>
      <c r="AE2371" s="1" t="n">
        <f aca="false">N(AE2370)+$AD2371</f>
        <v>38</v>
      </c>
      <c r="AF2371" s="1" t="n">
        <f aca="false">IF(AND($N2371=1,AND(LEFT(对接源_02物料!$D1171,4)="包装物料",N(对接源_02物料!$K1171)&lt;&gt;0)),1,0)</f>
        <v>0</v>
      </c>
      <c r="AG2371" s="1" t="n">
        <f aca="false">N(AG2370)+$AF2371</f>
        <v>6</v>
      </c>
      <c r="AH2371" s="1" t="n">
        <f aca="false">IF(AND($N2371=1,AND(LEFT(对接源_02物料!$D1171,3)="周转筐",N(对接源_02物料!$K1171)&lt;&gt;0)),1,0)</f>
        <v>0</v>
      </c>
      <c r="AI2371" s="1" t="n">
        <f aca="false">N(AI2370)+$AH2371</f>
        <v>0</v>
      </c>
      <c r="AJ2371" s="1" t="n">
        <v>0</v>
      </c>
      <c r="AK2371" s="1" t="n">
        <f aca="false">N(AK2370)+$AJ2371</f>
        <v>3672</v>
      </c>
    </row>
    <row r="2372" customFormat="false" ht="13.5" hidden="false" customHeight="false" outlineLevel="0" collapsed="false">
      <c r="A2372" s="1" t="str">
        <f aca="false">IF(对接源_02物料!$C1172="","",对接源_02物料!$C1172)</f>
        <v/>
      </c>
      <c r="B2372" s="1" t="n">
        <f aca="false">IF(A2372="",0,IF(MATCH(A2372,$A$4:$A$2403,0)=ROW()-3,1,0))</f>
        <v>0</v>
      </c>
      <c r="C2372" s="1" t="n">
        <f aca="false">N(C2371)+B2372</f>
        <v>17</v>
      </c>
      <c r="K2372" s="1" t="n">
        <f aca="false">IF(OR($K$1="",对接源_02物料!$C1172="",对接源_02物料!$C1172&lt;&gt;$K$1,对接源_02物料!$B1172=""),0,IF(OR(N(对接源_02物料!$B1172)&lt;$K$2,N(对接源_02物料!$B1172)&gt;$K$3),0,1))</f>
        <v>0</v>
      </c>
      <c r="L2372" s="1" t="n">
        <f aca="false">IF(OR($L$1="",对接源_02物料!$C1172="",对接源_02物料!$C1172&lt;&gt;$L$1,对接源_02物料!$B1172=""),0,IF(OR(N(对接源_02物料!$B1172)&lt;$L$2,N(对接源_02物料!$B1172)&gt;$L$3),0,1))</f>
        <v>0</v>
      </c>
      <c r="M2372" s="1" t="n">
        <f aca="false">IF(OR($M$1="",对接源_02物料!$C1172="",对接源_02物料!$C1172&lt;&gt;$M$1,对接源_02物料!$B1172=""),0,IF(OR(N(对接源_02物料!$B1172)&lt;$M$2,N(对接源_02物料!$B1172)&gt;$M$3),0,1))</f>
        <v>0</v>
      </c>
      <c r="N2372" s="1" t="n">
        <f aca="false">IF(OR($N$1="",对接源_02物料!$C1172="",对接源_02物料!$C1172&lt;&gt;$N$1,对接源_02物料!$B1172=""),0,IF(OR(N(对接源_02物料!$B1172)&lt;$N$2,N(对接源_02物料!$B1172)&gt;$N$3),0,1))</f>
        <v>0</v>
      </c>
      <c r="P2372" s="1" t="n">
        <f aca="false">IF(AND($K2372=1,AND(对接源_02物料!$X1172="公司筐",N(对接源_02物料!$T1172)&lt;&gt;0)),1,0)</f>
        <v>0</v>
      </c>
      <c r="Q2372" s="1" t="n">
        <f aca="false">N(Q2371)+$P2372</f>
        <v>13</v>
      </c>
      <c r="R2372" s="1" t="n">
        <f aca="false">IF(AND($K2372=1,AND(对接源_02物料!$X1172="公司筐",N(对接源_02物料!$U1172)&lt;&gt;0)),1,0)</f>
        <v>0</v>
      </c>
      <c r="S2372" s="1" t="n">
        <f aca="false">N(S2371)+$R2372</f>
        <v>5</v>
      </c>
      <c r="T2372" s="1" t="n">
        <f aca="false">IF(AND($K2372=1,AND(对接源_02物料!$X1172="公司筐",N(对接源_02物料!$V1172)&lt;&gt;0)),1,0)</f>
        <v>0</v>
      </c>
      <c r="U2372" s="1" t="n">
        <f aca="false">N(U2371)+$T2372</f>
        <v>28</v>
      </c>
      <c r="V2372" s="1" t="n">
        <f aca="false">IF(AND($L2372=1,AND(对接源_02物料!$X1172="自备筐",N(对接源_02物料!$V1172)&lt;&gt;0)),1,0)</f>
        <v>0</v>
      </c>
      <c r="W2372" s="1" t="n">
        <f aca="false">N(W2371)+$V2372</f>
        <v>7</v>
      </c>
      <c r="X2372" s="1" t="n">
        <f aca="false">IF(AND($L2372=1,AND(对接源_02物料!$X1172="自备筐",N(对接源_02物料!$T1172)&lt;&gt;0)),1,0)</f>
        <v>0</v>
      </c>
      <c r="Y2372" s="1" t="n">
        <f aca="false">N(Y2371)+$X2372</f>
        <v>0</v>
      </c>
      <c r="Z2372" s="1" t="n">
        <f aca="false">IF(AND($M2372=1,对接源_02物料!$D1172="原料入库"),1,0)</f>
        <v>0</v>
      </c>
      <c r="AA2372" s="1" t="n">
        <f aca="false">N(AA2371)+$Z2372</f>
        <v>30</v>
      </c>
      <c r="AB2372" s="1" t="n">
        <f aca="false">IF(AND($M2372=1,LEFT(对接源_02物料!$D1172,4)="原料出库"),1,0)</f>
        <v>0</v>
      </c>
      <c r="AC2372" s="1" t="n">
        <f aca="false">N(AC2371)+$AB2372</f>
        <v>19</v>
      </c>
      <c r="AD2372" s="1" t="n">
        <f aca="false">IF(AND($M2372=1,LEFT(对接源_02物料!$D1172,4)="成品出库"),1,0)</f>
        <v>0</v>
      </c>
      <c r="AE2372" s="1" t="n">
        <f aca="false">N(AE2371)+$AD2372</f>
        <v>38</v>
      </c>
      <c r="AF2372" s="1" t="n">
        <f aca="false">IF(AND($N2372=1,AND(LEFT(对接源_02物料!$D1172,4)="包装物料",N(对接源_02物料!$K1172)&lt;&gt;0)),1,0)</f>
        <v>0</v>
      </c>
      <c r="AG2372" s="1" t="n">
        <f aca="false">N(AG2371)+$AF2372</f>
        <v>6</v>
      </c>
      <c r="AH2372" s="1" t="n">
        <f aca="false">IF(AND($N2372=1,AND(LEFT(对接源_02物料!$D1172,3)="周转筐",N(对接源_02物料!$K1172)&lt;&gt;0)),1,0)</f>
        <v>0</v>
      </c>
      <c r="AI2372" s="1" t="n">
        <f aca="false">N(AI2371)+$AH2372</f>
        <v>0</v>
      </c>
      <c r="AJ2372" s="1" t="n">
        <v>0</v>
      </c>
      <c r="AK2372" s="1" t="n">
        <f aca="false">N(AK2371)+$AJ2372</f>
        <v>3672</v>
      </c>
    </row>
    <row r="2373" customFormat="false" ht="13.5" hidden="false" customHeight="false" outlineLevel="0" collapsed="false">
      <c r="A2373" s="1" t="str">
        <f aca="false">IF(对接源_02物料!$C1173="","",对接源_02物料!$C1173)</f>
        <v/>
      </c>
      <c r="B2373" s="1" t="n">
        <f aca="false">IF(A2373="",0,IF(MATCH(A2373,$A$4:$A$2403,0)=ROW()-3,1,0))</f>
        <v>0</v>
      </c>
      <c r="C2373" s="1" t="n">
        <f aca="false">N(C2372)+B2373</f>
        <v>17</v>
      </c>
      <c r="K2373" s="1" t="n">
        <f aca="false">IF(OR($K$1="",对接源_02物料!$C1173="",对接源_02物料!$C1173&lt;&gt;$K$1,对接源_02物料!$B1173=""),0,IF(OR(N(对接源_02物料!$B1173)&lt;$K$2,N(对接源_02物料!$B1173)&gt;$K$3),0,1))</f>
        <v>0</v>
      </c>
      <c r="L2373" s="1" t="n">
        <f aca="false">IF(OR($L$1="",对接源_02物料!$C1173="",对接源_02物料!$C1173&lt;&gt;$L$1,对接源_02物料!$B1173=""),0,IF(OR(N(对接源_02物料!$B1173)&lt;$L$2,N(对接源_02物料!$B1173)&gt;$L$3),0,1))</f>
        <v>0</v>
      </c>
      <c r="M2373" s="1" t="n">
        <f aca="false">IF(OR($M$1="",对接源_02物料!$C1173="",对接源_02物料!$C1173&lt;&gt;$M$1,对接源_02物料!$B1173=""),0,IF(OR(N(对接源_02物料!$B1173)&lt;$M$2,N(对接源_02物料!$B1173)&gt;$M$3),0,1))</f>
        <v>0</v>
      </c>
      <c r="N2373" s="1" t="n">
        <f aca="false">IF(OR($N$1="",对接源_02物料!$C1173="",对接源_02物料!$C1173&lt;&gt;$N$1,对接源_02物料!$B1173=""),0,IF(OR(N(对接源_02物料!$B1173)&lt;$N$2,N(对接源_02物料!$B1173)&gt;$N$3),0,1))</f>
        <v>0</v>
      </c>
      <c r="P2373" s="1" t="n">
        <f aca="false">IF(AND($K2373=1,AND(对接源_02物料!$X1173="公司筐",N(对接源_02物料!$T1173)&lt;&gt;0)),1,0)</f>
        <v>0</v>
      </c>
      <c r="Q2373" s="1" t="n">
        <f aca="false">N(Q2372)+$P2373</f>
        <v>13</v>
      </c>
      <c r="R2373" s="1" t="n">
        <f aca="false">IF(AND($K2373=1,AND(对接源_02物料!$X1173="公司筐",N(对接源_02物料!$U1173)&lt;&gt;0)),1,0)</f>
        <v>0</v>
      </c>
      <c r="S2373" s="1" t="n">
        <f aca="false">N(S2372)+$R2373</f>
        <v>5</v>
      </c>
      <c r="T2373" s="1" t="n">
        <f aca="false">IF(AND($K2373=1,AND(对接源_02物料!$X1173="公司筐",N(对接源_02物料!$V1173)&lt;&gt;0)),1,0)</f>
        <v>0</v>
      </c>
      <c r="U2373" s="1" t="n">
        <f aca="false">N(U2372)+$T2373</f>
        <v>28</v>
      </c>
      <c r="V2373" s="1" t="n">
        <f aca="false">IF(AND($L2373=1,AND(对接源_02物料!$X1173="自备筐",N(对接源_02物料!$V1173)&lt;&gt;0)),1,0)</f>
        <v>0</v>
      </c>
      <c r="W2373" s="1" t="n">
        <f aca="false">N(W2372)+$V2373</f>
        <v>7</v>
      </c>
      <c r="X2373" s="1" t="n">
        <f aca="false">IF(AND($L2373=1,AND(对接源_02物料!$X1173="自备筐",N(对接源_02物料!$T1173)&lt;&gt;0)),1,0)</f>
        <v>0</v>
      </c>
      <c r="Y2373" s="1" t="n">
        <f aca="false">N(Y2372)+$X2373</f>
        <v>0</v>
      </c>
      <c r="Z2373" s="1" t="n">
        <f aca="false">IF(AND($M2373=1,对接源_02物料!$D1173="原料入库"),1,0)</f>
        <v>0</v>
      </c>
      <c r="AA2373" s="1" t="n">
        <f aca="false">N(AA2372)+$Z2373</f>
        <v>30</v>
      </c>
      <c r="AB2373" s="1" t="n">
        <f aca="false">IF(AND($M2373=1,LEFT(对接源_02物料!$D1173,4)="原料出库"),1,0)</f>
        <v>0</v>
      </c>
      <c r="AC2373" s="1" t="n">
        <f aca="false">N(AC2372)+$AB2373</f>
        <v>19</v>
      </c>
      <c r="AD2373" s="1" t="n">
        <f aca="false">IF(AND($M2373=1,LEFT(对接源_02物料!$D1173,4)="成品出库"),1,0)</f>
        <v>0</v>
      </c>
      <c r="AE2373" s="1" t="n">
        <f aca="false">N(AE2372)+$AD2373</f>
        <v>38</v>
      </c>
      <c r="AF2373" s="1" t="n">
        <f aca="false">IF(AND($N2373=1,AND(LEFT(对接源_02物料!$D1173,4)="包装物料",N(对接源_02物料!$K1173)&lt;&gt;0)),1,0)</f>
        <v>0</v>
      </c>
      <c r="AG2373" s="1" t="n">
        <f aca="false">N(AG2372)+$AF2373</f>
        <v>6</v>
      </c>
      <c r="AH2373" s="1" t="n">
        <f aca="false">IF(AND($N2373=1,AND(LEFT(对接源_02物料!$D1173,3)="周转筐",N(对接源_02物料!$K1173)&lt;&gt;0)),1,0)</f>
        <v>0</v>
      </c>
      <c r="AI2373" s="1" t="n">
        <f aca="false">N(AI2372)+$AH2373</f>
        <v>0</v>
      </c>
      <c r="AJ2373" s="1" t="n">
        <v>0</v>
      </c>
      <c r="AK2373" s="1" t="n">
        <f aca="false">N(AK2372)+$AJ2373</f>
        <v>3672</v>
      </c>
    </row>
    <row r="2374" customFormat="false" ht="13.5" hidden="false" customHeight="false" outlineLevel="0" collapsed="false">
      <c r="A2374" s="1" t="str">
        <f aca="false">IF(对接源_02物料!$C1174="","",对接源_02物料!$C1174)</f>
        <v/>
      </c>
      <c r="B2374" s="1" t="n">
        <f aca="false">IF(A2374="",0,IF(MATCH(A2374,$A$4:$A$2403,0)=ROW()-3,1,0))</f>
        <v>0</v>
      </c>
      <c r="C2374" s="1" t="n">
        <f aca="false">N(C2373)+B2374</f>
        <v>17</v>
      </c>
      <c r="K2374" s="1" t="n">
        <f aca="false">IF(OR($K$1="",对接源_02物料!$C1174="",对接源_02物料!$C1174&lt;&gt;$K$1,对接源_02物料!$B1174=""),0,IF(OR(N(对接源_02物料!$B1174)&lt;$K$2,N(对接源_02物料!$B1174)&gt;$K$3),0,1))</f>
        <v>0</v>
      </c>
      <c r="L2374" s="1" t="n">
        <f aca="false">IF(OR($L$1="",对接源_02物料!$C1174="",对接源_02物料!$C1174&lt;&gt;$L$1,对接源_02物料!$B1174=""),0,IF(OR(N(对接源_02物料!$B1174)&lt;$L$2,N(对接源_02物料!$B1174)&gt;$L$3),0,1))</f>
        <v>0</v>
      </c>
      <c r="M2374" s="1" t="n">
        <f aca="false">IF(OR($M$1="",对接源_02物料!$C1174="",对接源_02物料!$C1174&lt;&gt;$M$1,对接源_02物料!$B1174=""),0,IF(OR(N(对接源_02物料!$B1174)&lt;$M$2,N(对接源_02物料!$B1174)&gt;$M$3),0,1))</f>
        <v>0</v>
      </c>
      <c r="N2374" s="1" t="n">
        <f aca="false">IF(OR($N$1="",对接源_02物料!$C1174="",对接源_02物料!$C1174&lt;&gt;$N$1,对接源_02物料!$B1174=""),0,IF(OR(N(对接源_02物料!$B1174)&lt;$N$2,N(对接源_02物料!$B1174)&gt;$N$3),0,1))</f>
        <v>0</v>
      </c>
      <c r="P2374" s="1" t="n">
        <f aca="false">IF(AND($K2374=1,AND(对接源_02物料!$X1174="公司筐",N(对接源_02物料!$T1174)&lt;&gt;0)),1,0)</f>
        <v>0</v>
      </c>
      <c r="Q2374" s="1" t="n">
        <f aca="false">N(Q2373)+$P2374</f>
        <v>13</v>
      </c>
      <c r="R2374" s="1" t="n">
        <f aca="false">IF(AND($K2374=1,AND(对接源_02物料!$X1174="公司筐",N(对接源_02物料!$U1174)&lt;&gt;0)),1,0)</f>
        <v>0</v>
      </c>
      <c r="S2374" s="1" t="n">
        <f aca="false">N(S2373)+$R2374</f>
        <v>5</v>
      </c>
      <c r="T2374" s="1" t="n">
        <f aca="false">IF(AND($K2374=1,AND(对接源_02物料!$X1174="公司筐",N(对接源_02物料!$V1174)&lt;&gt;0)),1,0)</f>
        <v>0</v>
      </c>
      <c r="U2374" s="1" t="n">
        <f aca="false">N(U2373)+$T2374</f>
        <v>28</v>
      </c>
      <c r="V2374" s="1" t="n">
        <f aca="false">IF(AND($L2374=1,AND(对接源_02物料!$X1174="自备筐",N(对接源_02物料!$V1174)&lt;&gt;0)),1,0)</f>
        <v>0</v>
      </c>
      <c r="W2374" s="1" t="n">
        <f aca="false">N(W2373)+$V2374</f>
        <v>7</v>
      </c>
      <c r="X2374" s="1" t="n">
        <f aca="false">IF(AND($L2374=1,AND(对接源_02物料!$X1174="自备筐",N(对接源_02物料!$T1174)&lt;&gt;0)),1,0)</f>
        <v>0</v>
      </c>
      <c r="Y2374" s="1" t="n">
        <f aca="false">N(Y2373)+$X2374</f>
        <v>0</v>
      </c>
      <c r="Z2374" s="1" t="n">
        <f aca="false">IF(AND($M2374=1,对接源_02物料!$D1174="原料入库"),1,0)</f>
        <v>0</v>
      </c>
      <c r="AA2374" s="1" t="n">
        <f aca="false">N(AA2373)+$Z2374</f>
        <v>30</v>
      </c>
      <c r="AB2374" s="1" t="n">
        <f aca="false">IF(AND($M2374=1,LEFT(对接源_02物料!$D1174,4)="原料出库"),1,0)</f>
        <v>0</v>
      </c>
      <c r="AC2374" s="1" t="n">
        <f aca="false">N(AC2373)+$AB2374</f>
        <v>19</v>
      </c>
      <c r="AD2374" s="1" t="n">
        <f aca="false">IF(AND($M2374=1,LEFT(对接源_02物料!$D1174,4)="成品出库"),1,0)</f>
        <v>0</v>
      </c>
      <c r="AE2374" s="1" t="n">
        <f aca="false">N(AE2373)+$AD2374</f>
        <v>38</v>
      </c>
      <c r="AF2374" s="1" t="n">
        <f aca="false">IF(AND($N2374=1,AND(LEFT(对接源_02物料!$D1174,4)="包装物料",N(对接源_02物料!$K1174)&lt;&gt;0)),1,0)</f>
        <v>0</v>
      </c>
      <c r="AG2374" s="1" t="n">
        <f aca="false">N(AG2373)+$AF2374</f>
        <v>6</v>
      </c>
      <c r="AH2374" s="1" t="n">
        <f aca="false">IF(AND($N2374=1,AND(LEFT(对接源_02物料!$D1174,3)="周转筐",N(对接源_02物料!$K1174)&lt;&gt;0)),1,0)</f>
        <v>0</v>
      </c>
      <c r="AI2374" s="1" t="n">
        <f aca="false">N(AI2373)+$AH2374</f>
        <v>0</v>
      </c>
      <c r="AJ2374" s="1" t="n">
        <v>0</v>
      </c>
      <c r="AK2374" s="1" t="n">
        <f aca="false">N(AK2373)+$AJ2374</f>
        <v>3672</v>
      </c>
    </row>
    <row r="2375" customFormat="false" ht="13.5" hidden="false" customHeight="false" outlineLevel="0" collapsed="false">
      <c r="A2375" s="1" t="str">
        <f aca="false">IF(对接源_02物料!$C1175="","",对接源_02物料!$C1175)</f>
        <v/>
      </c>
      <c r="B2375" s="1" t="n">
        <f aca="false">IF(A2375="",0,IF(MATCH(A2375,$A$4:$A$2403,0)=ROW()-3,1,0))</f>
        <v>0</v>
      </c>
      <c r="C2375" s="1" t="n">
        <f aca="false">N(C2374)+B2375</f>
        <v>17</v>
      </c>
      <c r="K2375" s="1" t="n">
        <f aca="false">IF(OR($K$1="",对接源_02物料!$C1175="",对接源_02物料!$C1175&lt;&gt;$K$1,对接源_02物料!$B1175=""),0,IF(OR(N(对接源_02物料!$B1175)&lt;$K$2,N(对接源_02物料!$B1175)&gt;$K$3),0,1))</f>
        <v>0</v>
      </c>
      <c r="L2375" s="1" t="n">
        <f aca="false">IF(OR($L$1="",对接源_02物料!$C1175="",对接源_02物料!$C1175&lt;&gt;$L$1,对接源_02物料!$B1175=""),0,IF(OR(N(对接源_02物料!$B1175)&lt;$L$2,N(对接源_02物料!$B1175)&gt;$L$3),0,1))</f>
        <v>0</v>
      </c>
      <c r="M2375" s="1" t="n">
        <f aca="false">IF(OR($M$1="",对接源_02物料!$C1175="",对接源_02物料!$C1175&lt;&gt;$M$1,对接源_02物料!$B1175=""),0,IF(OR(N(对接源_02物料!$B1175)&lt;$M$2,N(对接源_02物料!$B1175)&gt;$M$3),0,1))</f>
        <v>0</v>
      </c>
      <c r="N2375" s="1" t="n">
        <f aca="false">IF(OR($N$1="",对接源_02物料!$C1175="",对接源_02物料!$C1175&lt;&gt;$N$1,对接源_02物料!$B1175=""),0,IF(OR(N(对接源_02物料!$B1175)&lt;$N$2,N(对接源_02物料!$B1175)&gt;$N$3),0,1))</f>
        <v>0</v>
      </c>
      <c r="P2375" s="1" t="n">
        <f aca="false">IF(AND($K2375=1,AND(对接源_02物料!$X1175="公司筐",N(对接源_02物料!$T1175)&lt;&gt;0)),1,0)</f>
        <v>0</v>
      </c>
      <c r="Q2375" s="1" t="n">
        <f aca="false">N(Q2374)+$P2375</f>
        <v>13</v>
      </c>
      <c r="R2375" s="1" t="n">
        <f aca="false">IF(AND($K2375=1,AND(对接源_02物料!$X1175="公司筐",N(对接源_02物料!$U1175)&lt;&gt;0)),1,0)</f>
        <v>0</v>
      </c>
      <c r="S2375" s="1" t="n">
        <f aca="false">N(S2374)+$R2375</f>
        <v>5</v>
      </c>
      <c r="T2375" s="1" t="n">
        <f aca="false">IF(AND($K2375=1,AND(对接源_02物料!$X1175="公司筐",N(对接源_02物料!$V1175)&lt;&gt;0)),1,0)</f>
        <v>0</v>
      </c>
      <c r="U2375" s="1" t="n">
        <f aca="false">N(U2374)+$T2375</f>
        <v>28</v>
      </c>
      <c r="V2375" s="1" t="n">
        <f aca="false">IF(AND($L2375=1,AND(对接源_02物料!$X1175="自备筐",N(对接源_02物料!$V1175)&lt;&gt;0)),1,0)</f>
        <v>0</v>
      </c>
      <c r="W2375" s="1" t="n">
        <f aca="false">N(W2374)+$V2375</f>
        <v>7</v>
      </c>
      <c r="X2375" s="1" t="n">
        <f aca="false">IF(AND($L2375=1,AND(对接源_02物料!$X1175="自备筐",N(对接源_02物料!$T1175)&lt;&gt;0)),1,0)</f>
        <v>0</v>
      </c>
      <c r="Y2375" s="1" t="n">
        <f aca="false">N(Y2374)+$X2375</f>
        <v>0</v>
      </c>
      <c r="Z2375" s="1" t="n">
        <f aca="false">IF(AND($M2375=1,对接源_02物料!$D1175="原料入库"),1,0)</f>
        <v>0</v>
      </c>
      <c r="AA2375" s="1" t="n">
        <f aca="false">N(AA2374)+$Z2375</f>
        <v>30</v>
      </c>
      <c r="AB2375" s="1" t="n">
        <f aca="false">IF(AND($M2375=1,LEFT(对接源_02物料!$D1175,4)="原料出库"),1,0)</f>
        <v>0</v>
      </c>
      <c r="AC2375" s="1" t="n">
        <f aca="false">N(AC2374)+$AB2375</f>
        <v>19</v>
      </c>
      <c r="AD2375" s="1" t="n">
        <f aca="false">IF(AND($M2375=1,LEFT(对接源_02物料!$D1175,4)="成品出库"),1,0)</f>
        <v>0</v>
      </c>
      <c r="AE2375" s="1" t="n">
        <f aca="false">N(AE2374)+$AD2375</f>
        <v>38</v>
      </c>
      <c r="AF2375" s="1" t="n">
        <f aca="false">IF(AND($N2375=1,AND(LEFT(对接源_02物料!$D1175,4)="包装物料",N(对接源_02物料!$K1175)&lt;&gt;0)),1,0)</f>
        <v>0</v>
      </c>
      <c r="AG2375" s="1" t="n">
        <f aca="false">N(AG2374)+$AF2375</f>
        <v>6</v>
      </c>
      <c r="AH2375" s="1" t="n">
        <f aca="false">IF(AND($N2375=1,AND(LEFT(对接源_02物料!$D1175,3)="周转筐",N(对接源_02物料!$K1175)&lt;&gt;0)),1,0)</f>
        <v>0</v>
      </c>
      <c r="AI2375" s="1" t="n">
        <f aca="false">N(AI2374)+$AH2375</f>
        <v>0</v>
      </c>
      <c r="AJ2375" s="1" t="n">
        <v>0</v>
      </c>
      <c r="AK2375" s="1" t="n">
        <f aca="false">N(AK2374)+$AJ2375</f>
        <v>3672</v>
      </c>
    </row>
    <row r="2376" customFormat="false" ht="13.5" hidden="false" customHeight="false" outlineLevel="0" collapsed="false">
      <c r="A2376" s="1" t="str">
        <f aca="false">IF(对接源_02物料!$C1176="","",对接源_02物料!$C1176)</f>
        <v/>
      </c>
      <c r="B2376" s="1" t="n">
        <f aca="false">IF(A2376="",0,IF(MATCH(A2376,$A$4:$A$2403,0)=ROW()-3,1,0))</f>
        <v>0</v>
      </c>
      <c r="C2376" s="1" t="n">
        <f aca="false">N(C2375)+B2376</f>
        <v>17</v>
      </c>
      <c r="K2376" s="1" t="n">
        <f aca="false">IF(OR($K$1="",对接源_02物料!$C1176="",对接源_02物料!$C1176&lt;&gt;$K$1,对接源_02物料!$B1176=""),0,IF(OR(N(对接源_02物料!$B1176)&lt;$K$2,N(对接源_02物料!$B1176)&gt;$K$3),0,1))</f>
        <v>0</v>
      </c>
      <c r="L2376" s="1" t="n">
        <f aca="false">IF(OR($L$1="",对接源_02物料!$C1176="",对接源_02物料!$C1176&lt;&gt;$L$1,对接源_02物料!$B1176=""),0,IF(OR(N(对接源_02物料!$B1176)&lt;$L$2,N(对接源_02物料!$B1176)&gt;$L$3),0,1))</f>
        <v>0</v>
      </c>
      <c r="M2376" s="1" t="n">
        <f aca="false">IF(OR($M$1="",对接源_02物料!$C1176="",对接源_02物料!$C1176&lt;&gt;$M$1,对接源_02物料!$B1176=""),0,IF(OR(N(对接源_02物料!$B1176)&lt;$M$2,N(对接源_02物料!$B1176)&gt;$M$3),0,1))</f>
        <v>0</v>
      </c>
      <c r="N2376" s="1" t="n">
        <f aca="false">IF(OR($N$1="",对接源_02物料!$C1176="",对接源_02物料!$C1176&lt;&gt;$N$1,对接源_02物料!$B1176=""),0,IF(OR(N(对接源_02物料!$B1176)&lt;$N$2,N(对接源_02物料!$B1176)&gt;$N$3),0,1))</f>
        <v>0</v>
      </c>
      <c r="P2376" s="1" t="n">
        <f aca="false">IF(AND($K2376=1,AND(对接源_02物料!$X1176="公司筐",N(对接源_02物料!$T1176)&lt;&gt;0)),1,0)</f>
        <v>0</v>
      </c>
      <c r="Q2376" s="1" t="n">
        <f aca="false">N(Q2375)+$P2376</f>
        <v>13</v>
      </c>
      <c r="R2376" s="1" t="n">
        <f aca="false">IF(AND($K2376=1,AND(对接源_02物料!$X1176="公司筐",N(对接源_02物料!$U1176)&lt;&gt;0)),1,0)</f>
        <v>0</v>
      </c>
      <c r="S2376" s="1" t="n">
        <f aca="false">N(S2375)+$R2376</f>
        <v>5</v>
      </c>
      <c r="T2376" s="1" t="n">
        <f aca="false">IF(AND($K2376=1,AND(对接源_02物料!$X1176="公司筐",N(对接源_02物料!$V1176)&lt;&gt;0)),1,0)</f>
        <v>0</v>
      </c>
      <c r="U2376" s="1" t="n">
        <f aca="false">N(U2375)+$T2376</f>
        <v>28</v>
      </c>
      <c r="V2376" s="1" t="n">
        <f aca="false">IF(AND($L2376=1,AND(对接源_02物料!$X1176="自备筐",N(对接源_02物料!$V1176)&lt;&gt;0)),1,0)</f>
        <v>0</v>
      </c>
      <c r="W2376" s="1" t="n">
        <f aca="false">N(W2375)+$V2376</f>
        <v>7</v>
      </c>
      <c r="X2376" s="1" t="n">
        <f aca="false">IF(AND($L2376=1,AND(对接源_02物料!$X1176="自备筐",N(对接源_02物料!$T1176)&lt;&gt;0)),1,0)</f>
        <v>0</v>
      </c>
      <c r="Y2376" s="1" t="n">
        <f aca="false">N(Y2375)+$X2376</f>
        <v>0</v>
      </c>
      <c r="Z2376" s="1" t="n">
        <f aca="false">IF(AND($M2376=1,对接源_02物料!$D1176="原料入库"),1,0)</f>
        <v>0</v>
      </c>
      <c r="AA2376" s="1" t="n">
        <f aca="false">N(AA2375)+$Z2376</f>
        <v>30</v>
      </c>
      <c r="AB2376" s="1" t="n">
        <f aca="false">IF(AND($M2376=1,LEFT(对接源_02物料!$D1176,4)="原料出库"),1,0)</f>
        <v>0</v>
      </c>
      <c r="AC2376" s="1" t="n">
        <f aca="false">N(AC2375)+$AB2376</f>
        <v>19</v>
      </c>
      <c r="AD2376" s="1" t="n">
        <f aca="false">IF(AND($M2376=1,LEFT(对接源_02物料!$D1176,4)="成品出库"),1,0)</f>
        <v>0</v>
      </c>
      <c r="AE2376" s="1" t="n">
        <f aca="false">N(AE2375)+$AD2376</f>
        <v>38</v>
      </c>
      <c r="AF2376" s="1" t="n">
        <f aca="false">IF(AND($N2376=1,AND(LEFT(对接源_02物料!$D1176,4)="包装物料",N(对接源_02物料!$K1176)&lt;&gt;0)),1,0)</f>
        <v>0</v>
      </c>
      <c r="AG2376" s="1" t="n">
        <f aca="false">N(AG2375)+$AF2376</f>
        <v>6</v>
      </c>
      <c r="AH2376" s="1" t="n">
        <f aca="false">IF(AND($N2376=1,AND(LEFT(对接源_02物料!$D1176,3)="周转筐",N(对接源_02物料!$K1176)&lt;&gt;0)),1,0)</f>
        <v>0</v>
      </c>
      <c r="AI2376" s="1" t="n">
        <f aca="false">N(AI2375)+$AH2376</f>
        <v>0</v>
      </c>
      <c r="AJ2376" s="1" t="n">
        <v>0</v>
      </c>
      <c r="AK2376" s="1" t="n">
        <f aca="false">N(AK2375)+$AJ2376</f>
        <v>3672</v>
      </c>
    </row>
    <row r="2377" customFormat="false" ht="13.5" hidden="false" customHeight="false" outlineLevel="0" collapsed="false">
      <c r="A2377" s="1" t="str">
        <f aca="false">IF(对接源_02物料!$C1177="","",对接源_02物料!$C1177)</f>
        <v/>
      </c>
      <c r="B2377" s="1" t="n">
        <f aca="false">IF(A2377="",0,IF(MATCH(A2377,$A$4:$A$2403,0)=ROW()-3,1,0))</f>
        <v>0</v>
      </c>
      <c r="C2377" s="1" t="n">
        <f aca="false">N(C2376)+B2377</f>
        <v>17</v>
      </c>
      <c r="K2377" s="1" t="n">
        <f aca="false">IF(OR($K$1="",对接源_02物料!$C1177="",对接源_02物料!$C1177&lt;&gt;$K$1,对接源_02物料!$B1177=""),0,IF(OR(N(对接源_02物料!$B1177)&lt;$K$2,N(对接源_02物料!$B1177)&gt;$K$3),0,1))</f>
        <v>0</v>
      </c>
      <c r="L2377" s="1" t="n">
        <f aca="false">IF(OR($L$1="",对接源_02物料!$C1177="",对接源_02物料!$C1177&lt;&gt;$L$1,对接源_02物料!$B1177=""),0,IF(OR(N(对接源_02物料!$B1177)&lt;$L$2,N(对接源_02物料!$B1177)&gt;$L$3),0,1))</f>
        <v>0</v>
      </c>
      <c r="M2377" s="1" t="n">
        <f aca="false">IF(OR($M$1="",对接源_02物料!$C1177="",对接源_02物料!$C1177&lt;&gt;$M$1,对接源_02物料!$B1177=""),0,IF(OR(N(对接源_02物料!$B1177)&lt;$M$2,N(对接源_02物料!$B1177)&gt;$M$3),0,1))</f>
        <v>0</v>
      </c>
      <c r="N2377" s="1" t="n">
        <f aca="false">IF(OR($N$1="",对接源_02物料!$C1177="",对接源_02物料!$C1177&lt;&gt;$N$1,对接源_02物料!$B1177=""),0,IF(OR(N(对接源_02物料!$B1177)&lt;$N$2,N(对接源_02物料!$B1177)&gt;$N$3),0,1))</f>
        <v>0</v>
      </c>
      <c r="P2377" s="1" t="n">
        <f aca="false">IF(AND($K2377=1,AND(对接源_02物料!$X1177="公司筐",N(对接源_02物料!$T1177)&lt;&gt;0)),1,0)</f>
        <v>0</v>
      </c>
      <c r="Q2377" s="1" t="n">
        <f aca="false">N(Q2376)+$P2377</f>
        <v>13</v>
      </c>
      <c r="R2377" s="1" t="n">
        <f aca="false">IF(AND($K2377=1,AND(对接源_02物料!$X1177="公司筐",N(对接源_02物料!$U1177)&lt;&gt;0)),1,0)</f>
        <v>0</v>
      </c>
      <c r="S2377" s="1" t="n">
        <f aca="false">N(S2376)+$R2377</f>
        <v>5</v>
      </c>
      <c r="T2377" s="1" t="n">
        <f aca="false">IF(AND($K2377=1,AND(对接源_02物料!$X1177="公司筐",N(对接源_02物料!$V1177)&lt;&gt;0)),1,0)</f>
        <v>0</v>
      </c>
      <c r="U2377" s="1" t="n">
        <f aca="false">N(U2376)+$T2377</f>
        <v>28</v>
      </c>
      <c r="V2377" s="1" t="n">
        <f aca="false">IF(AND($L2377=1,AND(对接源_02物料!$X1177="自备筐",N(对接源_02物料!$V1177)&lt;&gt;0)),1,0)</f>
        <v>0</v>
      </c>
      <c r="W2377" s="1" t="n">
        <f aca="false">N(W2376)+$V2377</f>
        <v>7</v>
      </c>
      <c r="X2377" s="1" t="n">
        <f aca="false">IF(AND($L2377=1,AND(对接源_02物料!$X1177="自备筐",N(对接源_02物料!$T1177)&lt;&gt;0)),1,0)</f>
        <v>0</v>
      </c>
      <c r="Y2377" s="1" t="n">
        <f aca="false">N(Y2376)+$X2377</f>
        <v>0</v>
      </c>
      <c r="Z2377" s="1" t="n">
        <f aca="false">IF(AND($M2377=1,对接源_02物料!$D1177="原料入库"),1,0)</f>
        <v>0</v>
      </c>
      <c r="AA2377" s="1" t="n">
        <f aca="false">N(AA2376)+$Z2377</f>
        <v>30</v>
      </c>
      <c r="AB2377" s="1" t="n">
        <f aca="false">IF(AND($M2377=1,LEFT(对接源_02物料!$D1177,4)="原料出库"),1,0)</f>
        <v>0</v>
      </c>
      <c r="AC2377" s="1" t="n">
        <f aca="false">N(AC2376)+$AB2377</f>
        <v>19</v>
      </c>
      <c r="AD2377" s="1" t="n">
        <f aca="false">IF(AND($M2377=1,LEFT(对接源_02物料!$D1177,4)="成品出库"),1,0)</f>
        <v>0</v>
      </c>
      <c r="AE2377" s="1" t="n">
        <f aca="false">N(AE2376)+$AD2377</f>
        <v>38</v>
      </c>
      <c r="AF2377" s="1" t="n">
        <f aca="false">IF(AND($N2377=1,AND(LEFT(对接源_02物料!$D1177,4)="包装物料",N(对接源_02物料!$K1177)&lt;&gt;0)),1,0)</f>
        <v>0</v>
      </c>
      <c r="AG2377" s="1" t="n">
        <f aca="false">N(AG2376)+$AF2377</f>
        <v>6</v>
      </c>
      <c r="AH2377" s="1" t="n">
        <f aca="false">IF(AND($N2377=1,AND(LEFT(对接源_02物料!$D1177,3)="周转筐",N(对接源_02物料!$K1177)&lt;&gt;0)),1,0)</f>
        <v>0</v>
      </c>
      <c r="AI2377" s="1" t="n">
        <f aca="false">N(AI2376)+$AH2377</f>
        <v>0</v>
      </c>
      <c r="AJ2377" s="1" t="n">
        <v>0</v>
      </c>
      <c r="AK2377" s="1" t="n">
        <f aca="false">N(AK2376)+$AJ2377</f>
        <v>3672</v>
      </c>
    </row>
    <row r="2378" customFormat="false" ht="13.5" hidden="false" customHeight="false" outlineLevel="0" collapsed="false">
      <c r="A2378" s="1" t="str">
        <f aca="false">IF(对接源_02物料!$C1178="","",对接源_02物料!$C1178)</f>
        <v/>
      </c>
      <c r="B2378" s="1" t="n">
        <f aca="false">IF(A2378="",0,IF(MATCH(A2378,$A$4:$A$2403,0)=ROW()-3,1,0))</f>
        <v>0</v>
      </c>
      <c r="C2378" s="1" t="n">
        <f aca="false">N(C2377)+B2378</f>
        <v>17</v>
      </c>
      <c r="K2378" s="1" t="n">
        <f aca="false">IF(OR($K$1="",对接源_02物料!$C1178="",对接源_02物料!$C1178&lt;&gt;$K$1,对接源_02物料!$B1178=""),0,IF(OR(N(对接源_02物料!$B1178)&lt;$K$2,N(对接源_02物料!$B1178)&gt;$K$3),0,1))</f>
        <v>0</v>
      </c>
      <c r="L2378" s="1" t="n">
        <f aca="false">IF(OR($L$1="",对接源_02物料!$C1178="",对接源_02物料!$C1178&lt;&gt;$L$1,对接源_02物料!$B1178=""),0,IF(OR(N(对接源_02物料!$B1178)&lt;$L$2,N(对接源_02物料!$B1178)&gt;$L$3),0,1))</f>
        <v>0</v>
      </c>
      <c r="M2378" s="1" t="n">
        <f aca="false">IF(OR($M$1="",对接源_02物料!$C1178="",对接源_02物料!$C1178&lt;&gt;$M$1,对接源_02物料!$B1178=""),0,IF(OR(N(对接源_02物料!$B1178)&lt;$M$2,N(对接源_02物料!$B1178)&gt;$M$3),0,1))</f>
        <v>0</v>
      </c>
      <c r="N2378" s="1" t="n">
        <f aca="false">IF(OR($N$1="",对接源_02物料!$C1178="",对接源_02物料!$C1178&lt;&gt;$N$1,对接源_02物料!$B1178=""),0,IF(OR(N(对接源_02物料!$B1178)&lt;$N$2,N(对接源_02物料!$B1178)&gt;$N$3),0,1))</f>
        <v>0</v>
      </c>
      <c r="P2378" s="1" t="n">
        <f aca="false">IF(AND($K2378=1,AND(对接源_02物料!$X1178="公司筐",N(对接源_02物料!$T1178)&lt;&gt;0)),1,0)</f>
        <v>0</v>
      </c>
      <c r="Q2378" s="1" t="n">
        <f aca="false">N(Q2377)+$P2378</f>
        <v>13</v>
      </c>
      <c r="R2378" s="1" t="n">
        <f aca="false">IF(AND($K2378=1,AND(对接源_02物料!$X1178="公司筐",N(对接源_02物料!$U1178)&lt;&gt;0)),1,0)</f>
        <v>0</v>
      </c>
      <c r="S2378" s="1" t="n">
        <f aca="false">N(S2377)+$R2378</f>
        <v>5</v>
      </c>
      <c r="T2378" s="1" t="n">
        <f aca="false">IF(AND($K2378=1,AND(对接源_02物料!$X1178="公司筐",N(对接源_02物料!$V1178)&lt;&gt;0)),1,0)</f>
        <v>0</v>
      </c>
      <c r="U2378" s="1" t="n">
        <f aca="false">N(U2377)+$T2378</f>
        <v>28</v>
      </c>
      <c r="V2378" s="1" t="n">
        <f aca="false">IF(AND($L2378=1,AND(对接源_02物料!$X1178="自备筐",N(对接源_02物料!$V1178)&lt;&gt;0)),1,0)</f>
        <v>0</v>
      </c>
      <c r="W2378" s="1" t="n">
        <f aca="false">N(W2377)+$V2378</f>
        <v>7</v>
      </c>
      <c r="X2378" s="1" t="n">
        <f aca="false">IF(AND($L2378=1,AND(对接源_02物料!$X1178="自备筐",N(对接源_02物料!$T1178)&lt;&gt;0)),1,0)</f>
        <v>0</v>
      </c>
      <c r="Y2378" s="1" t="n">
        <f aca="false">N(Y2377)+$X2378</f>
        <v>0</v>
      </c>
      <c r="Z2378" s="1" t="n">
        <f aca="false">IF(AND($M2378=1,对接源_02物料!$D1178="原料入库"),1,0)</f>
        <v>0</v>
      </c>
      <c r="AA2378" s="1" t="n">
        <f aca="false">N(AA2377)+$Z2378</f>
        <v>30</v>
      </c>
      <c r="AB2378" s="1" t="n">
        <f aca="false">IF(AND($M2378=1,LEFT(对接源_02物料!$D1178,4)="原料出库"),1,0)</f>
        <v>0</v>
      </c>
      <c r="AC2378" s="1" t="n">
        <f aca="false">N(AC2377)+$AB2378</f>
        <v>19</v>
      </c>
      <c r="AD2378" s="1" t="n">
        <f aca="false">IF(AND($M2378=1,LEFT(对接源_02物料!$D1178,4)="成品出库"),1,0)</f>
        <v>0</v>
      </c>
      <c r="AE2378" s="1" t="n">
        <f aca="false">N(AE2377)+$AD2378</f>
        <v>38</v>
      </c>
      <c r="AF2378" s="1" t="n">
        <f aca="false">IF(AND($N2378=1,AND(LEFT(对接源_02物料!$D1178,4)="包装物料",N(对接源_02物料!$K1178)&lt;&gt;0)),1,0)</f>
        <v>0</v>
      </c>
      <c r="AG2378" s="1" t="n">
        <f aca="false">N(AG2377)+$AF2378</f>
        <v>6</v>
      </c>
      <c r="AH2378" s="1" t="n">
        <f aca="false">IF(AND($N2378=1,AND(LEFT(对接源_02物料!$D1178,3)="周转筐",N(对接源_02物料!$K1178)&lt;&gt;0)),1,0)</f>
        <v>0</v>
      </c>
      <c r="AI2378" s="1" t="n">
        <f aca="false">N(AI2377)+$AH2378</f>
        <v>0</v>
      </c>
      <c r="AJ2378" s="1" t="n">
        <v>0</v>
      </c>
      <c r="AK2378" s="1" t="n">
        <f aca="false">N(AK2377)+$AJ2378</f>
        <v>3672</v>
      </c>
    </row>
    <row r="2379" customFormat="false" ht="13.5" hidden="false" customHeight="false" outlineLevel="0" collapsed="false">
      <c r="A2379" s="1" t="str">
        <f aca="false">IF(对接源_02物料!$C1179="","",对接源_02物料!$C1179)</f>
        <v/>
      </c>
      <c r="B2379" s="1" t="n">
        <f aca="false">IF(A2379="",0,IF(MATCH(A2379,$A$4:$A$2403,0)=ROW()-3,1,0))</f>
        <v>0</v>
      </c>
      <c r="C2379" s="1" t="n">
        <f aca="false">N(C2378)+B2379</f>
        <v>17</v>
      </c>
      <c r="K2379" s="1" t="n">
        <f aca="false">IF(OR($K$1="",对接源_02物料!$C1179="",对接源_02物料!$C1179&lt;&gt;$K$1,对接源_02物料!$B1179=""),0,IF(OR(N(对接源_02物料!$B1179)&lt;$K$2,N(对接源_02物料!$B1179)&gt;$K$3),0,1))</f>
        <v>0</v>
      </c>
      <c r="L2379" s="1" t="n">
        <f aca="false">IF(OR($L$1="",对接源_02物料!$C1179="",对接源_02物料!$C1179&lt;&gt;$L$1,对接源_02物料!$B1179=""),0,IF(OR(N(对接源_02物料!$B1179)&lt;$L$2,N(对接源_02物料!$B1179)&gt;$L$3),0,1))</f>
        <v>0</v>
      </c>
      <c r="M2379" s="1" t="n">
        <f aca="false">IF(OR($M$1="",对接源_02物料!$C1179="",对接源_02物料!$C1179&lt;&gt;$M$1,对接源_02物料!$B1179=""),0,IF(OR(N(对接源_02物料!$B1179)&lt;$M$2,N(对接源_02物料!$B1179)&gt;$M$3),0,1))</f>
        <v>0</v>
      </c>
      <c r="N2379" s="1" t="n">
        <f aca="false">IF(OR($N$1="",对接源_02物料!$C1179="",对接源_02物料!$C1179&lt;&gt;$N$1,对接源_02物料!$B1179=""),0,IF(OR(N(对接源_02物料!$B1179)&lt;$N$2,N(对接源_02物料!$B1179)&gt;$N$3),0,1))</f>
        <v>0</v>
      </c>
      <c r="P2379" s="1" t="n">
        <f aca="false">IF(AND($K2379=1,AND(对接源_02物料!$X1179="公司筐",N(对接源_02物料!$T1179)&lt;&gt;0)),1,0)</f>
        <v>0</v>
      </c>
      <c r="Q2379" s="1" t="n">
        <f aca="false">N(Q2378)+$P2379</f>
        <v>13</v>
      </c>
      <c r="R2379" s="1" t="n">
        <f aca="false">IF(AND($K2379=1,AND(对接源_02物料!$X1179="公司筐",N(对接源_02物料!$U1179)&lt;&gt;0)),1,0)</f>
        <v>0</v>
      </c>
      <c r="S2379" s="1" t="n">
        <f aca="false">N(S2378)+$R2379</f>
        <v>5</v>
      </c>
      <c r="T2379" s="1" t="n">
        <f aca="false">IF(AND($K2379=1,AND(对接源_02物料!$X1179="公司筐",N(对接源_02物料!$V1179)&lt;&gt;0)),1,0)</f>
        <v>0</v>
      </c>
      <c r="U2379" s="1" t="n">
        <f aca="false">N(U2378)+$T2379</f>
        <v>28</v>
      </c>
      <c r="V2379" s="1" t="n">
        <f aca="false">IF(AND($L2379=1,AND(对接源_02物料!$X1179="自备筐",N(对接源_02物料!$V1179)&lt;&gt;0)),1,0)</f>
        <v>0</v>
      </c>
      <c r="W2379" s="1" t="n">
        <f aca="false">N(W2378)+$V2379</f>
        <v>7</v>
      </c>
      <c r="X2379" s="1" t="n">
        <f aca="false">IF(AND($L2379=1,AND(对接源_02物料!$X1179="自备筐",N(对接源_02物料!$T1179)&lt;&gt;0)),1,0)</f>
        <v>0</v>
      </c>
      <c r="Y2379" s="1" t="n">
        <f aca="false">N(Y2378)+$X2379</f>
        <v>0</v>
      </c>
      <c r="Z2379" s="1" t="n">
        <f aca="false">IF(AND($M2379=1,对接源_02物料!$D1179="原料入库"),1,0)</f>
        <v>0</v>
      </c>
      <c r="AA2379" s="1" t="n">
        <f aca="false">N(AA2378)+$Z2379</f>
        <v>30</v>
      </c>
      <c r="AB2379" s="1" t="n">
        <f aca="false">IF(AND($M2379=1,LEFT(对接源_02物料!$D1179,4)="原料出库"),1,0)</f>
        <v>0</v>
      </c>
      <c r="AC2379" s="1" t="n">
        <f aca="false">N(AC2378)+$AB2379</f>
        <v>19</v>
      </c>
      <c r="AD2379" s="1" t="n">
        <f aca="false">IF(AND($M2379=1,LEFT(对接源_02物料!$D1179,4)="成品出库"),1,0)</f>
        <v>0</v>
      </c>
      <c r="AE2379" s="1" t="n">
        <f aca="false">N(AE2378)+$AD2379</f>
        <v>38</v>
      </c>
      <c r="AF2379" s="1" t="n">
        <f aca="false">IF(AND($N2379=1,AND(LEFT(对接源_02物料!$D1179,4)="包装物料",N(对接源_02物料!$K1179)&lt;&gt;0)),1,0)</f>
        <v>0</v>
      </c>
      <c r="AG2379" s="1" t="n">
        <f aca="false">N(AG2378)+$AF2379</f>
        <v>6</v>
      </c>
      <c r="AH2379" s="1" t="n">
        <f aca="false">IF(AND($N2379=1,AND(LEFT(对接源_02物料!$D1179,3)="周转筐",N(对接源_02物料!$K1179)&lt;&gt;0)),1,0)</f>
        <v>0</v>
      </c>
      <c r="AI2379" s="1" t="n">
        <f aca="false">N(AI2378)+$AH2379</f>
        <v>0</v>
      </c>
      <c r="AJ2379" s="1" t="n">
        <v>0</v>
      </c>
      <c r="AK2379" s="1" t="n">
        <f aca="false">N(AK2378)+$AJ2379</f>
        <v>3672</v>
      </c>
    </row>
    <row r="2380" customFormat="false" ht="13.5" hidden="false" customHeight="false" outlineLevel="0" collapsed="false">
      <c r="A2380" s="1" t="str">
        <f aca="false">IF(对接源_02物料!$C1180="","",对接源_02物料!$C1180)</f>
        <v/>
      </c>
      <c r="B2380" s="1" t="n">
        <f aca="false">IF(A2380="",0,IF(MATCH(A2380,$A$4:$A$2403,0)=ROW()-3,1,0))</f>
        <v>0</v>
      </c>
      <c r="C2380" s="1" t="n">
        <f aca="false">N(C2379)+B2380</f>
        <v>17</v>
      </c>
      <c r="K2380" s="1" t="n">
        <f aca="false">IF(OR($K$1="",对接源_02物料!$C1180="",对接源_02物料!$C1180&lt;&gt;$K$1,对接源_02物料!$B1180=""),0,IF(OR(N(对接源_02物料!$B1180)&lt;$K$2,N(对接源_02物料!$B1180)&gt;$K$3),0,1))</f>
        <v>0</v>
      </c>
      <c r="L2380" s="1" t="n">
        <f aca="false">IF(OR($L$1="",对接源_02物料!$C1180="",对接源_02物料!$C1180&lt;&gt;$L$1,对接源_02物料!$B1180=""),0,IF(OR(N(对接源_02物料!$B1180)&lt;$L$2,N(对接源_02物料!$B1180)&gt;$L$3),0,1))</f>
        <v>0</v>
      </c>
      <c r="M2380" s="1" t="n">
        <f aca="false">IF(OR($M$1="",对接源_02物料!$C1180="",对接源_02物料!$C1180&lt;&gt;$M$1,对接源_02物料!$B1180=""),0,IF(OR(N(对接源_02物料!$B1180)&lt;$M$2,N(对接源_02物料!$B1180)&gt;$M$3),0,1))</f>
        <v>0</v>
      </c>
      <c r="N2380" s="1" t="n">
        <f aca="false">IF(OR($N$1="",对接源_02物料!$C1180="",对接源_02物料!$C1180&lt;&gt;$N$1,对接源_02物料!$B1180=""),0,IF(OR(N(对接源_02物料!$B1180)&lt;$N$2,N(对接源_02物料!$B1180)&gt;$N$3),0,1))</f>
        <v>0</v>
      </c>
      <c r="P2380" s="1" t="n">
        <f aca="false">IF(AND($K2380=1,AND(对接源_02物料!$X1180="公司筐",N(对接源_02物料!$T1180)&lt;&gt;0)),1,0)</f>
        <v>0</v>
      </c>
      <c r="Q2380" s="1" t="n">
        <f aca="false">N(Q2379)+$P2380</f>
        <v>13</v>
      </c>
      <c r="R2380" s="1" t="n">
        <f aca="false">IF(AND($K2380=1,AND(对接源_02物料!$X1180="公司筐",N(对接源_02物料!$U1180)&lt;&gt;0)),1,0)</f>
        <v>0</v>
      </c>
      <c r="S2380" s="1" t="n">
        <f aca="false">N(S2379)+$R2380</f>
        <v>5</v>
      </c>
      <c r="T2380" s="1" t="n">
        <f aca="false">IF(AND($K2380=1,AND(对接源_02物料!$X1180="公司筐",N(对接源_02物料!$V1180)&lt;&gt;0)),1,0)</f>
        <v>0</v>
      </c>
      <c r="U2380" s="1" t="n">
        <f aca="false">N(U2379)+$T2380</f>
        <v>28</v>
      </c>
      <c r="V2380" s="1" t="n">
        <f aca="false">IF(AND($L2380=1,AND(对接源_02物料!$X1180="自备筐",N(对接源_02物料!$V1180)&lt;&gt;0)),1,0)</f>
        <v>0</v>
      </c>
      <c r="W2380" s="1" t="n">
        <f aca="false">N(W2379)+$V2380</f>
        <v>7</v>
      </c>
      <c r="X2380" s="1" t="n">
        <f aca="false">IF(AND($L2380=1,AND(对接源_02物料!$X1180="自备筐",N(对接源_02物料!$T1180)&lt;&gt;0)),1,0)</f>
        <v>0</v>
      </c>
      <c r="Y2380" s="1" t="n">
        <f aca="false">N(Y2379)+$X2380</f>
        <v>0</v>
      </c>
      <c r="Z2380" s="1" t="n">
        <f aca="false">IF(AND($M2380=1,对接源_02物料!$D1180="原料入库"),1,0)</f>
        <v>0</v>
      </c>
      <c r="AA2380" s="1" t="n">
        <f aca="false">N(AA2379)+$Z2380</f>
        <v>30</v>
      </c>
      <c r="AB2380" s="1" t="n">
        <f aca="false">IF(AND($M2380=1,LEFT(对接源_02物料!$D1180,4)="原料出库"),1,0)</f>
        <v>0</v>
      </c>
      <c r="AC2380" s="1" t="n">
        <f aca="false">N(AC2379)+$AB2380</f>
        <v>19</v>
      </c>
      <c r="AD2380" s="1" t="n">
        <f aca="false">IF(AND($M2380=1,LEFT(对接源_02物料!$D1180,4)="成品出库"),1,0)</f>
        <v>0</v>
      </c>
      <c r="AE2380" s="1" t="n">
        <f aca="false">N(AE2379)+$AD2380</f>
        <v>38</v>
      </c>
      <c r="AF2380" s="1" t="n">
        <f aca="false">IF(AND($N2380=1,AND(LEFT(对接源_02物料!$D1180,4)="包装物料",N(对接源_02物料!$K1180)&lt;&gt;0)),1,0)</f>
        <v>0</v>
      </c>
      <c r="AG2380" s="1" t="n">
        <f aca="false">N(AG2379)+$AF2380</f>
        <v>6</v>
      </c>
      <c r="AH2380" s="1" t="n">
        <f aca="false">IF(AND($N2380=1,AND(LEFT(对接源_02物料!$D1180,3)="周转筐",N(对接源_02物料!$K1180)&lt;&gt;0)),1,0)</f>
        <v>0</v>
      </c>
      <c r="AI2380" s="1" t="n">
        <f aca="false">N(AI2379)+$AH2380</f>
        <v>0</v>
      </c>
      <c r="AJ2380" s="1" t="n">
        <v>0</v>
      </c>
      <c r="AK2380" s="1" t="n">
        <f aca="false">N(AK2379)+$AJ2380</f>
        <v>3672</v>
      </c>
    </row>
    <row r="2381" customFormat="false" ht="13.5" hidden="false" customHeight="false" outlineLevel="0" collapsed="false">
      <c r="A2381" s="1" t="str">
        <f aca="false">IF(对接源_02物料!$C1181="","",对接源_02物料!$C1181)</f>
        <v/>
      </c>
      <c r="B2381" s="1" t="n">
        <f aca="false">IF(A2381="",0,IF(MATCH(A2381,$A$4:$A$2403,0)=ROW()-3,1,0))</f>
        <v>0</v>
      </c>
      <c r="C2381" s="1" t="n">
        <f aca="false">N(C2380)+B2381</f>
        <v>17</v>
      </c>
      <c r="K2381" s="1" t="n">
        <f aca="false">IF(OR($K$1="",对接源_02物料!$C1181="",对接源_02物料!$C1181&lt;&gt;$K$1,对接源_02物料!$B1181=""),0,IF(OR(N(对接源_02物料!$B1181)&lt;$K$2,N(对接源_02物料!$B1181)&gt;$K$3),0,1))</f>
        <v>0</v>
      </c>
      <c r="L2381" s="1" t="n">
        <f aca="false">IF(OR($L$1="",对接源_02物料!$C1181="",对接源_02物料!$C1181&lt;&gt;$L$1,对接源_02物料!$B1181=""),0,IF(OR(N(对接源_02物料!$B1181)&lt;$L$2,N(对接源_02物料!$B1181)&gt;$L$3),0,1))</f>
        <v>0</v>
      </c>
      <c r="M2381" s="1" t="n">
        <f aca="false">IF(OR($M$1="",对接源_02物料!$C1181="",对接源_02物料!$C1181&lt;&gt;$M$1,对接源_02物料!$B1181=""),0,IF(OR(N(对接源_02物料!$B1181)&lt;$M$2,N(对接源_02物料!$B1181)&gt;$M$3),0,1))</f>
        <v>0</v>
      </c>
      <c r="N2381" s="1" t="n">
        <f aca="false">IF(OR($N$1="",对接源_02物料!$C1181="",对接源_02物料!$C1181&lt;&gt;$N$1,对接源_02物料!$B1181=""),0,IF(OR(N(对接源_02物料!$B1181)&lt;$N$2,N(对接源_02物料!$B1181)&gt;$N$3),0,1))</f>
        <v>0</v>
      </c>
      <c r="P2381" s="1" t="n">
        <f aca="false">IF(AND($K2381=1,AND(对接源_02物料!$X1181="公司筐",N(对接源_02物料!$T1181)&lt;&gt;0)),1,0)</f>
        <v>0</v>
      </c>
      <c r="Q2381" s="1" t="n">
        <f aca="false">N(Q2380)+$P2381</f>
        <v>13</v>
      </c>
      <c r="R2381" s="1" t="n">
        <f aca="false">IF(AND($K2381=1,AND(对接源_02物料!$X1181="公司筐",N(对接源_02物料!$U1181)&lt;&gt;0)),1,0)</f>
        <v>0</v>
      </c>
      <c r="S2381" s="1" t="n">
        <f aca="false">N(S2380)+$R2381</f>
        <v>5</v>
      </c>
      <c r="T2381" s="1" t="n">
        <f aca="false">IF(AND($K2381=1,AND(对接源_02物料!$X1181="公司筐",N(对接源_02物料!$V1181)&lt;&gt;0)),1,0)</f>
        <v>0</v>
      </c>
      <c r="U2381" s="1" t="n">
        <f aca="false">N(U2380)+$T2381</f>
        <v>28</v>
      </c>
      <c r="V2381" s="1" t="n">
        <f aca="false">IF(AND($L2381=1,AND(对接源_02物料!$X1181="自备筐",N(对接源_02物料!$V1181)&lt;&gt;0)),1,0)</f>
        <v>0</v>
      </c>
      <c r="W2381" s="1" t="n">
        <f aca="false">N(W2380)+$V2381</f>
        <v>7</v>
      </c>
      <c r="X2381" s="1" t="n">
        <f aca="false">IF(AND($L2381=1,AND(对接源_02物料!$X1181="自备筐",N(对接源_02物料!$T1181)&lt;&gt;0)),1,0)</f>
        <v>0</v>
      </c>
      <c r="Y2381" s="1" t="n">
        <f aca="false">N(Y2380)+$X2381</f>
        <v>0</v>
      </c>
      <c r="Z2381" s="1" t="n">
        <f aca="false">IF(AND($M2381=1,对接源_02物料!$D1181="原料入库"),1,0)</f>
        <v>0</v>
      </c>
      <c r="AA2381" s="1" t="n">
        <f aca="false">N(AA2380)+$Z2381</f>
        <v>30</v>
      </c>
      <c r="AB2381" s="1" t="n">
        <f aca="false">IF(AND($M2381=1,LEFT(对接源_02物料!$D1181,4)="原料出库"),1,0)</f>
        <v>0</v>
      </c>
      <c r="AC2381" s="1" t="n">
        <f aca="false">N(AC2380)+$AB2381</f>
        <v>19</v>
      </c>
      <c r="AD2381" s="1" t="n">
        <f aca="false">IF(AND($M2381=1,LEFT(对接源_02物料!$D1181,4)="成品出库"),1,0)</f>
        <v>0</v>
      </c>
      <c r="AE2381" s="1" t="n">
        <f aca="false">N(AE2380)+$AD2381</f>
        <v>38</v>
      </c>
      <c r="AF2381" s="1" t="n">
        <f aca="false">IF(AND($N2381=1,AND(LEFT(对接源_02物料!$D1181,4)="包装物料",N(对接源_02物料!$K1181)&lt;&gt;0)),1,0)</f>
        <v>0</v>
      </c>
      <c r="AG2381" s="1" t="n">
        <f aca="false">N(AG2380)+$AF2381</f>
        <v>6</v>
      </c>
      <c r="AH2381" s="1" t="n">
        <f aca="false">IF(AND($N2381=1,AND(LEFT(对接源_02物料!$D1181,3)="周转筐",N(对接源_02物料!$K1181)&lt;&gt;0)),1,0)</f>
        <v>0</v>
      </c>
      <c r="AI2381" s="1" t="n">
        <f aca="false">N(AI2380)+$AH2381</f>
        <v>0</v>
      </c>
      <c r="AJ2381" s="1" t="n">
        <v>0</v>
      </c>
      <c r="AK2381" s="1" t="n">
        <f aca="false">N(AK2380)+$AJ2381</f>
        <v>3672</v>
      </c>
    </row>
    <row r="2382" customFormat="false" ht="13.5" hidden="false" customHeight="false" outlineLevel="0" collapsed="false">
      <c r="A2382" s="1" t="str">
        <f aca="false">IF(对接源_02物料!$C1182="","",对接源_02物料!$C1182)</f>
        <v/>
      </c>
      <c r="B2382" s="1" t="n">
        <f aca="false">IF(A2382="",0,IF(MATCH(A2382,$A$4:$A$2403,0)=ROW()-3,1,0))</f>
        <v>0</v>
      </c>
      <c r="C2382" s="1" t="n">
        <f aca="false">N(C2381)+B2382</f>
        <v>17</v>
      </c>
      <c r="K2382" s="1" t="n">
        <f aca="false">IF(OR($K$1="",对接源_02物料!$C1182="",对接源_02物料!$C1182&lt;&gt;$K$1,对接源_02物料!$B1182=""),0,IF(OR(N(对接源_02物料!$B1182)&lt;$K$2,N(对接源_02物料!$B1182)&gt;$K$3),0,1))</f>
        <v>0</v>
      </c>
      <c r="L2382" s="1" t="n">
        <f aca="false">IF(OR($L$1="",对接源_02物料!$C1182="",对接源_02物料!$C1182&lt;&gt;$L$1,对接源_02物料!$B1182=""),0,IF(OR(N(对接源_02物料!$B1182)&lt;$L$2,N(对接源_02物料!$B1182)&gt;$L$3),0,1))</f>
        <v>0</v>
      </c>
      <c r="M2382" s="1" t="n">
        <f aca="false">IF(OR($M$1="",对接源_02物料!$C1182="",对接源_02物料!$C1182&lt;&gt;$M$1,对接源_02物料!$B1182=""),0,IF(OR(N(对接源_02物料!$B1182)&lt;$M$2,N(对接源_02物料!$B1182)&gt;$M$3),0,1))</f>
        <v>0</v>
      </c>
      <c r="N2382" s="1" t="n">
        <f aca="false">IF(OR($N$1="",对接源_02物料!$C1182="",对接源_02物料!$C1182&lt;&gt;$N$1,对接源_02物料!$B1182=""),0,IF(OR(N(对接源_02物料!$B1182)&lt;$N$2,N(对接源_02物料!$B1182)&gt;$N$3),0,1))</f>
        <v>0</v>
      </c>
      <c r="P2382" s="1" t="n">
        <f aca="false">IF(AND($K2382=1,AND(对接源_02物料!$X1182="公司筐",N(对接源_02物料!$T1182)&lt;&gt;0)),1,0)</f>
        <v>0</v>
      </c>
      <c r="Q2382" s="1" t="n">
        <f aca="false">N(Q2381)+$P2382</f>
        <v>13</v>
      </c>
      <c r="R2382" s="1" t="n">
        <f aca="false">IF(AND($K2382=1,AND(对接源_02物料!$X1182="公司筐",N(对接源_02物料!$U1182)&lt;&gt;0)),1,0)</f>
        <v>0</v>
      </c>
      <c r="S2382" s="1" t="n">
        <f aca="false">N(S2381)+$R2382</f>
        <v>5</v>
      </c>
      <c r="T2382" s="1" t="n">
        <f aca="false">IF(AND($K2382=1,AND(对接源_02物料!$X1182="公司筐",N(对接源_02物料!$V1182)&lt;&gt;0)),1,0)</f>
        <v>0</v>
      </c>
      <c r="U2382" s="1" t="n">
        <f aca="false">N(U2381)+$T2382</f>
        <v>28</v>
      </c>
      <c r="V2382" s="1" t="n">
        <f aca="false">IF(AND($L2382=1,AND(对接源_02物料!$X1182="自备筐",N(对接源_02物料!$V1182)&lt;&gt;0)),1,0)</f>
        <v>0</v>
      </c>
      <c r="W2382" s="1" t="n">
        <f aca="false">N(W2381)+$V2382</f>
        <v>7</v>
      </c>
      <c r="X2382" s="1" t="n">
        <f aca="false">IF(AND($L2382=1,AND(对接源_02物料!$X1182="自备筐",N(对接源_02物料!$T1182)&lt;&gt;0)),1,0)</f>
        <v>0</v>
      </c>
      <c r="Y2382" s="1" t="n">
        <f aca="false">N(Y2381)+$X2382</f>
        <v>0</v>
      </c>
      <c r="Z2382" s="1" t="n">
        <f aca="false">IF(AND($M2382=1,对接源_02物料!$D1182="原料入库"),1,0)</f>
        <v>0</v>
      </c>
      <c r="AA2382" s="1" t="n">
        <f aca="false">N(AA2381)+$Z2382</f>
        <v>30</v>
      </c>
      <c r="AB2382" s="1" t="n">
        <f aca="false">IF(AND($M2382=1,LEFT(对接源_02物料!$D1182,4)="原料出库"),1,0)</f>
        <v>0</v>
      </c>
      <c r="AC2382" s="1" t="n">
        <f aca="false">N(AC2381)+$AB2382</f>
        <v>19</v>
      </c>
      <c r="AD2382" s="1" t="n">
        <f aca="false">IF(AND($M2382=1,LEFT(对接源_02物料!$D1182,4)="成品出库"),1,0)</f>
        <v>0</v>
      </c>
      <c r="AE2382" s="1" t="n">
        <f aca="false">N(AE2381)+$AD2382</f>
        <v>38</v>
      </c>
      <c r="AF2382" s="1" t="n">
        <f aca="false">IF(AND($N2382=1,AND(LEFT(对接源_02物料!$D1182,4)="包装物料",N(对接源_02物料!$K1182)&lt;&gt;0)),1,0)</f>
        <v>0</v>
      </c>
      <c r="AG2382" s="1" t="n">
        <f aca="false">N(AG2381)+$AF2382</f>
        <v>6</v>
      </c>
      <c r="AH2382" s="1" t="n">
        <f aca="false">IF(AND($N2382=1,AND(LEFT(对接源_02物料!$D1182,3)="周转筐",N(对接源_02物料!$K1182)&lt;&gt;0)),1,0)</f>
        <v>0</v>
      </c>
      <c r="AI2382" s="1" t="n">
        <f aca="false">N(AI2381)+$AH2382</f>
        <v>0</v>
      </c>
      <c r="AJ2382" s="1" t="n">
        <v>0</v>
      </c>
      <c r="AK2382" s="1" t="n">
        <f aca="false">N(AK2381)+$AJ2382</f>
        <v>3672</v>
      </c>
    </row>
    <row r="2383" customFormat="false" ht="13.5" hidden="false" customHeight="false" outlineLevel="0" collapsed="false">
      <c r="A2383" s="1" t="str">
        <f aca="false">IF(对接源_02物料!$C1183="","",对接源_02物料!$C1183)</f>
        <v/>
      </c>
      <c r="B2383" s="1" t="n">
        <f aca="false">IF(A2383="",0,IF(MATCH(A2383,$A$4:$A$2403,0)=ROW()-3,1,0))</f>
        <v>0</v>
      </c>
      <c r="C2383" s="1" t="n">
        <f aca="false">N(C2382)+B2383</f>
        <v>17</v>
      </c>
      <c r="K2383" s="1" t="n">
        <f aca="false">IF(OR($K$1="",对接源_02物料!$C1183="",对接源_02物料!$C1183&lt;&gt;$K$1,对接源_02物料!$B1183=""),0,IF(OR(N(对接源_02物料!$B1183)&lt;$K$2,N(对接源_02物料!$B1183)&gt;$K$3),0,1))</f>
        <v>0</v>
      </c>
      <c r="L2383" s="1" t="n">
        <f aca="false">IF(OR($L$1="",对接源_02物料!$C1183="",对接源_02物料!$C1183&lt;&gt;$L$1,对接源_02物料!$B1183=""),0,IF(OR(N(对接源_02物料!$B1183)&lt;$L$2,N(对接源_02物料!$B1183)&gt;$L$3),0,1))</f>
        <v>0</v>
      </c>
      <c r="M2383" s="1" t="n">
        <f aca="false">IF(OR($M$1="",对接源_02物料!$C1183="",对接源_02物料!$C1183&lt;&gt;$M$1,对接源_02物料!$B1183=""),0,IF(OR(N(对接源_02物料!$B1183)&lt;$M$2,N(对接源_02物料!$B1183)&gt;$M$3),0,1))</f>
        <v>0</v>
      </c>
      <c r="N2383" s="1" t="n">
        <f aca="false">IF(OR($N$1="",对接源_02物料!$C1183="",对接源_02物料!$C1183&lt;&gt;$N$1,对接源_02物料!$B1183=""),0,IF(OR(N(对接源_02物料!$B1183)&lt;$N$2,N(对接源_02物料!$B1183)&gt;$N$3),0,1))</f>
        <v>0</v>
      </c>
      <c r="P2383" s="1" t="n">
        <f aca="false">IF(AND($K2383=1,AND(对接源_02物料!$X1183="公司筐",N(对接源_02物料!$T1183)&lt;&gt;0)),1,0)</f>
        <v>0</v>
      </c>
      <c r="Q2383" s="1" t="n">
        <f aca="false">N(Q2382)+$P2383</f>
        <v>13</v>
      </c>
      <c r="R2383" s="1" t="n">
        <f aca="false">IF(AND($K2383=1,AND(对接源_02物料!$X1183="公司筐",N(对接源_02物料!$U1183)&lt;&gt;0)),1,0)</f>
        <v>0</v>
      </c>
      <c r="S2383" s="1" t="n">
        <f aca="false">N(S2382)+$R2383</f>
        <v>5</v>
      </c>
      <c r="T2383" s="1" t="n">
        <f aca="false">IF(AND($K2383=1,AND(对接源_02物料!$X1183="公司筐",N(对接源_02物料!$V1183)&lt;&gt;0)),1,0)</f>
        <v>0</v>
      </c>
      <c r="U2383" s="1" t="n">
        <f aca="false">N(U2382)+$T2383</f>
        <v>28</v>
      </c>
      <c r="V2383" s="1" t="n">
        <f aca="false">IF(AND($L2383=1,AND(对接源_02物料!$X1183="自备筐",N(对接源_02物料!$V1183)&lt;&gt;0)),1,0)</f>
        <v>0</v>
      </c>
      <c r="W2383" s="1" t="n">
        <f aca="false">N(W2382)+$V2383</f>
        <v>7</v>
      </c>
      <c r="X2383" s="1" t="n">
        <f aca="false">IF(AND($L2383=1,AND(对接源_02物料!$X1183="自备筐",N(对接源_02物料!$T1183)&lt;&gt;0)),1,0)</f>
        <v>0</v>
      </c>
      <c r="Y2383" s="1" t="n">
        <f aca="false">N(Y2382)+$X2383</f>
        <v>0</v>
      </c>
      <c r="Z2383" s="1" t="n">
        <f aca="false">IF(AND($M2383=1,对接源_02物料!$D1183="原料入库"),1,0)</f>
        <v>0</v>
      </c>
      <c r="AA2383" s="1" t="n">
        <f aca="false">N(AA2382)+$Z2383</f>
        <v>30</v>
      </c>
      <c r="AB2383" s="1" t="n">
        <f aca="false">IF(AND($M2383=1,LEFT(对接源_02物料!$D1183,4)="原料出库"),1,0)</f>
        <v>0</v>
      </c>
      <c r="AC2383" s="1" t="n">
        <f aca="false">N(AC2382)+$AB2383</f>
        <v>19</v>
      </c>
      <c r="AD2383" s="1" t="n">
        <f aca="false">IF(AND($M2383=1,LEFT(对接源_02物料!$D1183,4)="成品出库"),1,0)</f>
        <v>0</v>
      </c>
      <c r="AE2383" s="1" t="n">
        <f aca="false">N(AE2382)+$AD2383</f>
        <v>38</v>
      </c>
      <c r="AF2383" s="1" t="n">
        <f aca="false">IF(AND($N2383=1,AND(LEFT(对接源_02物料!$D1183,4)="包装物料",N(对接源_02物料!$K1183)&lt;&gt;0)),1,0)</f>
        <v>0</v>
      </c>
      <c r="AG2383" s="1" t="n">
        <f aca="false">N(AG2382)+$AF2383</f>
        <v>6</v>
      </c>
      <c r="AH2383" s="1" t="n">
        <f aca="false">IF(AND($N2383=1,AND(LEFT(对接源_02物料!$D1183,3)="周转筐",N(对接源_02物料!$K1183)&lt;&gt;0)),1,0)</f>
        <v>0</v>
      </c>
      <c r="AI2383" s="1" t="n">
        <f aca="false">N(AI2382)+$AH2383</f>
        <v>0</v>
      </c>
      <c r="AJ2383" s="1" t="n">
        <v>0</v>
      </c>
      <c r="AK2383" s="1" t="n">
        <f aca="false">N(AK2382)+$AJ2383</f>
        <v>3672</v>
      </c>
    </row>
    <row r="2384" customFormat="false" ht="13.5" hidden="false" customHeight="false" outlineLevel="0" collapsed="false">
      <c r="A2384" s="1" t="str">
        <f aca="false">IF(对接源_02物料!$C1184="","",对接源_02物料!$C1184)</f>
        <v/>
      </c>
      <c r="B2384" s="1" t="n">
        <f aca="false">IF(A2384="",0,IF(MATCH(A2384,$A$4:$A$2403,0)=ROW()-3,1,0))</f>
        <v>0</v>
      </c>
      <c r="C2384" s="1" t="n">
        <f aca="false">N(C2383)+B2384</f>
        <v>17</v>
      </c>
      <c r="K2384" s="1" t="n">
        <f aca="false">IF(OR($K$1="",对接源_02物料!$C1184="",对接源_02物料!$C1184&lt;&gt;$K$1,对接源_02物料!$B1184=""),0,IF(OR(N(对接源_02物料!$B1184)&lt;$K$2,N(对接源_02物料!$B1184)&gt;$K$3),0,1))</f>
        <v>0</v>
      </c>
      <c r="L2384" s="1" t="n">
        <f aca="false">IF(OR($L$1="",对接源_02物料!$C1184="",对接源_02物料!$C1184&lt;&gt;$L$1,对接源_02物料!$B1184=""),0,IF(OR(N(对接源_02物料!$B1184)&lt;$L$2,N(对接源_02物料!$B1184)&gt;$L$3),0,1))</f>
        <v>0</v>
      </c>
      <c r="M2384" s="1" t="n">
        <f aca="false">IF(OR($M$1="",对接源_02物料!$C1184="",对接源_02物料!$C1184&lt;&gt;$M$1,对接源_02物料!$B1184=""),0,IF(OR(N(对接源_02物料!$B1184)&lt;$M$2,N(对接源_02物料!$B1184)&gt;$M$3),0,1))</f>
        <v>0</v>
      </c>
      <c r="N2384" s="1" t="n">
        <f aca="false">IF(OR($N$1="",对接源_02物料!$C1184="",对接源_02物料!$C1184&lt;&gt;$N$1,对接源_02物料!$B1184=""),0,IF(OR(N(对接源_02物料!$B1184)&lt;$N$2,N(对接源_02物料!$B1184)&gt;$N$3),0,1))</f>
        <v>0</v>
      </c>
      <c r="P2384" s="1" t="n">
        <f aca="false">IF(AND($K2384=1,AND(对接源_02物料!$X1184="公司筐",N(对接源_02物料!$T1184)&lt;&gt;0)),1,0)</f>
        <v>0</v>
      </c>
      <c r="Q2384" s="1" t="n">
        <f aca="false">N(Q2383)+$P2384</f>
        <v>13</v>
      </c>
      <c r="R2384" s="1" t="n">
        <f aca="false">IF(AND($K2384=1,AND(对接源_02物料!$X1184="公司筐",N(对接源_02物料!$U1184)&lt;&gt;0)),1,0)</f>
        <v>0</v>
      </c>
      <c r="S2384" s="1" t="n">
        <f aca="false">N(S2383)+$R2384</f>
        <v>5</v>
      </c>
      <c r="T2384" s="1" t="n">
        <f aca="false">IF(AND($K2384=1,AND(对接源_02物料!$X1184="公司筐",N(对接源_02物料!$V1184)&lt;&gt;0)),1,0)</f>
        <v>0</v>
      </c>
      <c r="U2384" s="1" t="n">
        <f aca="false">N(U2383)+$T2384</f>
        <v>28</v>
      </c>
      <c r="V2384" s="1" t="n">
        <f aca="false">IF(AND($L2384=1,AND(对接源_02物料!$X1184="自备筐",N(对接源_02物料!$V1184)&lt;&gt;0)),1,0)</f>
        <v>0</v>
      </c>
      <c r="W2384" s="1" t="n">
        <f aca="false">N(W2383)+$V2384</f>
        <v>7</v>
      </c>
      <c r="X2384" s="1" t="n">
        <f aca="false">IF(AND($L2384=1,AND(对接源_02物料!$X1184="自备筐",N(对接源_02物料!$T1184)&lt;&gt;0)),1,0)</f>
        <v>0</v>
      </c>
      <c r="Y2384" s="1" t="n">
        <f aca="false">N(Y2383)+$X2384</f>
        <v>0</v>
      </c>
      <c r="Z2384" s="1" t="n">
        <f aca="false">IF(AND($M2384=1,对接源_02物料!$D1184="原料入库"),1,0)</f>
        <v>0</v>
      </c>
      <c r="AA2384" s="1" t="n">
        <f aca="false">N(AA2383)+$Z2384</f>
        <v>30</v>
      </c>
      <c r="AB2384" s="1" t="n">
        <f aca="false">IF(AND($M2384=1,LEFT(对接源_02物料!$D1184,4)="原料出库"),1,0)</f>
        <v>0</v>
      </c>
      <c r="AC2384" s="1" t="n">
        <f aca="false">N(AC2383)+$AB2384</f>
        <v>19</v>
      </c>
      <c r="AD2384" s="1" t="n">
        <f aca="false">IF(AND($M2384=1,LEFT(对接源_02物料!$D1184,4)="成品出库"),1,0)</f>
        <v>0</v>
      </c>
      <c r="AE2384" s="1" t="n">
        <f aca="false">N(AE2383)+$AD2384</f>
        <v>38</v>
      </c>
      <c r="AF2384" s="1" t="n">
        <f aca="false">IF(AND($N2384=1,AND(LEFT(对接源_02物料!$D1184,4)="包装物料",N(对接源_02物料!$K1184)&lt;&gt;0)),1,0)</f>
        <v>0</v>
      </c>
      <c r="AG2384" s="1" t="n">
        <f aca="false">N(AG2383)+$AF2384</f>
        <v>6</v>
      </c>
      <c r="AH2384" s="1" t="n">
        <f aca="false">IF(AND($N2384=1,AND(LEFT(对接源_02物料!$D1184,3)="周转筐",N(对接源_02物料!$K1184)&lt;&gt;0)),1,0)</f>
        <v>0</v>
      </c>
      <c r="AI2384" s="1" t="n">
        <f aca="false">N(AI2383)+$AH2384</f>
        <v>0</v>
      </c>
      <c r="AJ2384" s="1" t="n">
        <v>0</v>
      </c>
      <c r="AK2384" s="1" t="n">
        <f aca="false">N(AK2383)+$AJ2384</f>
        <v>3672</v>
      </c>
    </row>
    <row r="2385" customFormat="false" ht="13.5" hidden="false" customHeight="false" outlineLevel="0" collapsed="false">
      <c r="A2385" s="1" t="str">
        <f aca="false">IF(对接源_02物料!$C1185="","",对接源_02物料!$C1185)</f>
        <v/>
      </c>
      <c r="B2385" s="1" t="n">
        <f aca="false">IF(A2385="",0,IF(MATCH(A2385,$A$4:$A$2403,0)=ROW()-3,1,0))</f>
        <v>0</v>
      </c>
      <c r="C2385" s="1" t="n">
        <f aca="false">N(C2384)+B2385</f>
        <v>17</v>
      </c>
      <c r="K2385" s="1" t="n">
        <f aca="false">IF(OR($K$1="",对接源_02物料!$C1185="",对接源_02物料!$C1185&lt;&gt;$K$1,对接源_02物料!$B1185=""),0,IF(OR(N(对接源_02物料!$B1185)&lt;$K$2,N(对接源_02物料!$B1185)&gt;$K$3),0,1))</f>
        <v>0</v>
      </c>
      <c r="L2385" s="1" t="n">
        <f aca="false">IF(OR($L$1="",对接源_02物料!$C1185="",对接源_02物料!$C1185&lt;&gt;$L$1,对接源_02物料!$B1185=""),0,IF(OR(N(对接源_02物料!$B1185)&lt;$L$2,N(对接源_02物料!$B1185)&gt;$L$3),0,1))</f>
        <v>0</v>
      </c>
      <c r="M2385" s="1" t="n">
        <f aca="false">IF(OR($M$1="",对接源_02物料!$C1185="",对接源_02物料!$C1185&lt;&gt;$M$1,对接源_02物料!$B1185=""),0,IF(OR(N(对接源_02物料!$B1185)&lt;$M$2,N(对接源_02物料!$B1185)&gt;$M$3),0,1))</f>
        <v>0</v>
      </c>
      <c r="N2385" s="1" t="n">
        <f aca="false">IF(OR($N$1="",对接源_02物料!$C1185="",对接源_02物料!$C1185&lt;&gt;$N$1,对接源_02物料!$B1185=""),0,IF(OR(N(对接源_02物料!$B1185)&lt;$N$2,N(对接源_02物料!$B1185)&gt;$N$3),0,1))</f>
        <v>0</v>
      </c>
      <c r="P2385" s="1" t="n">
        <f aca="false">IF(AND($K2385=1,AND(对接源_02物料!$X1185="公司筐",N(对接源_02物料!$T1185)&lt;&gt;0)),1,0)</f>
        <v>0</v>
      </c>
      <c r="Q2385" s="1" t="n">
        <f aca="false">N(Q2384)+$P2385</f>
        <v>13</v>
      </c>
      <c r="R2385" s="1" t="n">
        <f aca="false">IF(AND($K2385=1,AND(对接源_02物料!$X1185="公司筐",N(对接源_02物料!$U1185)&lt;&gt;0)),1,0)</f>
        <v>0</v>
      </c>
      <c r="S2385" s="1" t="n">
        <f aca="false">N(S2384)+$R2385</f>
        <v>5</v>
      </c>
      <c r="T2385" s="1" t="n">
        <f aca="false">IF(AND($K2385=1,AND(对接源_02物料!$X1185="公司筐",N(对接源_02物料!$V1185)&lt;&gt;0)),1,0)</f>
        <v>0</v>
      </c>
      <c r="U2385" s="1" t="n">
        <f aca="false">N(U2384)+$T2385</f>
        <v>28</v>
      </c>
      <c r="V2385" s="1" t="n">
        <f aca="false">IF(AND($L2385=1,AND(对接源_02物料!$X1185="自备筐",N(对接源_02物料!$V1185)&lt;&gt;0)),1,0)</f>
        <v>0</v>
      </c>
      <c r="W2385" s="1" t="n">
        <f aca="false">N(W2384)+$V2385</f>
        <v>7</v>
      </c>
      <c r="X2385" s="1" t="n">
        <f aca="false">IF(AND($L2385=1,AND(对接源_02物料!$X1185="自备筐",N(对接源_02物料!$T1185)&lt;&gt;0)),1,0)</f>
        <v>0</v>
      </c>
      <c r="Y2385" s="1" t="n">
        <f aca="false">N(Y2384)+$X2385</f>
        <v>0</v>
      </c>
      <c r="Z2385" s="1" t="n">
        <f aca="false">IF(AND($M2385=1,对接源_02物料!$D1185="原料入库"),1,0)</f>
        <v>0</v>
      </c>
      <c r="AA2385" s="1" t="n">
        <f aca="false">N(AA2384)+$Z2385</f>
        <v>30</v>
      </c>
      <c r="AB2385" s="1" t="n">
        <f aca="false">IF(AND($M2385=1,LEFT(对接源_02物料!$D1185,4)="原料出库"),1,0)</f>
        <v>0</v>
      </c>
      <c r="AC2385" s="1" t="n">
        <f aca="false">N(AC2384)+$AB2385</f>
        <v>19</v>
      </c>
      <c r="AD2385" s="1" t="n">
        <f aca="false">IF(AND($M2385=1,LEFT(对接源_02物料!$D1185,4)="成品出库"),1,0)</f>
        <v>0</v>
      </c>
      <c r="AE2385" s="1" t="n">
        <f aca="false">N(AE2384)+$AD2385</f>
        <v>38</v>
      </c>
      <c r="AF2385" s="1" t="n">
        <f aca="false">IF(AND($N2385=1,AND(LEFT(对接源_02物料!$D1185,4)="包装物料",N(对接源_02物料!$K1185)&lt;&gt;0)),1,0)</f>
        <v>0</v>
      </c>
      <c r="AG2385" s="1" t="n">
        <f aca="false">N(AG2384)+$AF2385</f>
        <v>6</v>
      </c>
      <c r="AH2385" s="1" t="n">
        <f aca="false">IF(AND($N2385=1,AND(LEFT(对接源_02物料!$D1185,3)="周转筐",N(对接源_02物料!$K1185)&lt;&gt;0)),1,0)</f>
        <v>0</v>
      </c>
      <c r="AI2385" s="1" t="n">
        <f aca="false">N(AI2384)+$AH2385</f>
        <v>0</v>
      </c>
      <c r="AJ2385" s="1" t="n">
        <v>0</v>
      </c>
      <c r="AK2385" s="1" t="n">
        <f aca="false">N(AK2384)+$AJ2385</f>
        <v>3672</v>
      </c>
    </row>
    <row r="2386" customFormat="false" ht="13.5" hidden="false" customHeight="false" outlineLevel="0" collapsed="false">
      <c r="A2386" s="1" t="str">
        <f aca="false">IF(对接源_02物料!$C1186="","",对接源_02物料!$C1186)</f>
        <v/>
      </c>
      <c r="B2386" s="1" t="n">
        <f aca="false">IF(A2386="",0,IF(MATCH(A2386,$A$4:$A$2403,0)=ROW()-3,1,0))</f>
        <v>0</v>
      </c>
      <c r="C2386" s="1" t="n">
        <f aca="false">N(C2385)+B2386</f>
        <v>17</v>
      </c>
      <c r="K2386" s="1" t="n">
        <f aca="false">IF(OR($K$1="",对接源_02物料!$C1186="",对接源_02物料!$C1186&lt;&gt;$K$1,对接源_02物料!$B1186=""),0,IF(OR(N(对接源_02物料!$B1186)&lt;$K$2,N(对接源_02物料!$B1186)&gt;$K$3),0,1))</f>
        <v>0</v>
      </c>
      <c r="L2386" s="1" t="n">
        <f aca="false">IF(OR($L$1="",对接源_02物料!$C1186="",对接源_02物料!$C1186&lt;&gt;$L$1,对接源_02物料!$B1186=""),0,IF(OR(N(对接源_02物料!$B1186)&lt;$L$2,N(对接源_02物料!$B1186)&gt;$L$3),0,1))</f>
        <v>0</v>
      </c>
      <c r="M2386" s="1" t="n">
        <f aca="false">IF(OR($M$1="",对接源_02物料!$C1186="",对接源_02物料!$C1186&lt;&gt;$M$1,对接源_02物料!$B1186=""),0,IF(OR(N(对接源_02物料!$B1186)&lt;$M$2,N(对接源_02物料!$B1186)&gt;$M$3),0,1))</f>
        <v>0</v>
      </c>
      <c r="N2386" s="1" t="n">
        <f aca="false">IF(OR($N$1="",对接源_02物料!$C1186="",对接源_02物料!$C1186&lt;&gt;$N$1,对接源_02物料!$B1186=""),0,IF(OR(N(对接源_02物料!$B1186)&lt;$N$2,N(对接源_02物料!$B1186)&gt;$N$3),0,1))</f>
        <v>0</v>
      </c>
      <c r="P2386" s="1" t="n">
        <f aca="false">IF(AND($K2386=1,AND(对接源_02物料!$X1186="公司筐",N(对接源_02物料!$T1186)&lt;&gt;0)),1,0)</f>
        <v>0</v>
      </c>
      <c r="Q2386" s="1" t="n">
        <f aca="false">N(Q2385)+$P2386</f>
        <v>13</v>
      </c>
      <c r="R2386" s="1" t="n">
        <f aca="false">IF(AND($K2386=1,AND(对接源_02物料!$X1186="公司筐",N(对接源_02物料!$U1186)&lt;&gt;0)),1,0)</f>
        <v>0</v>
      </c>
      <c r="S2386" s="1" t="n">
        <f aca="false">N(S2385)+$R2386</f>
        <v>5</v>
      </c>
      <c r="T2386" s="1" t="n">
        <f aca="false">IF(AND($K2386=1,AND(对接源_02物料!$X1186="公司筐",N(对接源_02物料!$V1186)&lt;&gt;0)),1,0)</f>
        <v>0</v>
      </c>
      <c r="U2386" s="1" t="n">
        <f aca="false">N(U2385)+$T2386</f>
        <v>28</v>
      </c>
      <c r="V2386" s="1" t="n">
        <f aca="false">IF(AND($L2386=1,AND(对接源_02物料!$X1186="自备筐",N(对接源_02物料!$V1186)&lt;&gt;0)),1,0)</f>
        <v>0</v>
      </c>
      <c r="W2386" s="1" t="n">
        <f aca="false">N(W2385)+$V2386</f>
        <v>7</v>
      </c>
      <c r="X2386" s="1" t="n">
        <f aca="false">IF(AND($L2386=1,AND(对接源_02物料!$X1186="自备筐",N(对接源_02物料!$T1186)&lt;&gt;0)),1,0)</f>
        <v>0</v>
      </c>
      <c r="Y2386" s="1" t="n">
        <f aca="false">N(Y2385)+$X2386</f>
        <v>0</v>
      </c>
      <c r="Z2386" s="1" t="n">
        <f aca="false">IF(AND($M2386=1,对接源_02物料!$D1186="原料入库"),1,0)</f>
        <v>0</v>
      </c>
      <c r="AA2386" s="1" t="n">
        <f aca="false">N(AA2385)+$Z2386</f>
        <v>30</v>
      </c>
      <c r="AB2386" s="1" t="n">
        <f aca="false">IF(AND($M2386=1,LEFT(对接源_02物料!$D1186,4)="原料出库"),1,0)</f>
        <v>0</v>
      </c>
      <c r="AC2386" s="1" t="n">
        <f aca="false">N(AC2385)+$AB2386</f>
        <v>19</v>
      </c>
      <c r="AD2386" s="1" t="n">
        <f aca="false">IF(AND($M2386=1,LEFT(对接源_02物料!$D1186,4)="成品出库"),1,0)</f>
        <v>0</v>
      </c>
      <c r="AE2386" s="1" t="n">
        <f aca="false">N(AE2385)+$AD2386</f>
        <v>38</v>
      </c>
      <c r="AF2386" s="1" t="n">
        <f aca="false">IF(AND($N2386=1,AND(LEFT(对接源_02物料!$D1186,4)="包装物料",N(对接源_02物料!$K1186)&lt;&gt;0)),1,0)</f>
        <v>0</v>
      </c>
      <c r="AG2386" s="1" t="n">
        <f aca="false">N(AG2385)+$AF2386</f>
        <v>6</v>
      </c>
      <c r="AH2386" s="1" t="n">
        <f aca="false">IF(AND($N2386=1,AND(LEFT(对接源_02物料!$D1186,3)="周转筐",N(对接源_02物料!$K1186)&lt;&gt;0)),1,0)</f>
        <v>0</v>
      </c>
      <c r="AI2386" s="1" t="n">
        <f aca="false">N(AI2385)+$AH2386</f>
        <v>0</v>
      </c>
      <c r="AJ2386" s="1" t="n">
        <v>0</v>
      </c>
      <c r="AK2386" s="1" t="n">
        <f aca="false">N(AK2385)+$AJ2386</f>
        <v>3672</v>
      </c>
    </row>
    <row r="2387" customFormat="false" ht="13.5" hidden="false" customHeight="false" outlineLevel="0" collapsed="false">
      <c r="A2387" s="1" t="str">
        <f aca="false">IF(对接源_02物料!$C1187="","",对接源_02物料!$C1187)</f>
        <v/>
      </c>
      <c r="B2387" s="1" t="n">
        <f aca="false">IF(A2387="",0,IF(MATCH(A2387,$A$4:$A$2403,0)=ROW()-3,1,0))</f>
        <v>0</v>
      </c>
      <c r="C2387" s="1" t="n">
        <f aca="false">N(C2386)+B2387</f>
        <v>17</v>
      </c>
      <c r="K2387" s="1" t="n">
        <f aca="false">IF(OR($K$1="",对接源_02物料!$C1187="",对接源_02物料!$C1187&lt;&gt;$K$1,对接源_02物料!$B1187=""),0,IF(OR(N(对接源_02物料!$B1187)&lt;$K$2,N(对接源_02物料!$B1187)&gt;$K$3),0,1))</f>
        <v>0</v>
      </c>
      <c r="L2387" s="1" t="n">
        <f aca="false">IF(OR($L$1="",对接源_02物料!$C1187="",对接源_02物料!$C1187&lt;&gt;$L$1,对接源_02物料!$B1187=""),0,IF(OR(N(对接源_02物料!$B1187)&lt;$L$2,N(对接源_02物料!$B1187)&gt;$L$3),0,1))</f>
        <v>0</v>
      </c>
      <c r="M2387" s="1" t="n">
        <f aca="false">IF(OR($M$1="",对接源_02物料!$C1187="",对接源_02物料!$C1187&lt;&gt;$M$1,对接源_02物料!$B1187=""),0,IF(OR(N(对接源_02物料!$B1187)&lt;$M$2,N(对接源_02物料!$B1187)&gt;$M$3),0,1))</f>
        <v>0</v>
      </c>
      <c r="N2387" s="1" t="n">
        <f aca="false">IF(OR($N$1="",对接源_02物料!$C1187="",对接源_02物料!$C1187&lt;&gt;$N$1,对接源_02物料!$B1187=""),0,IF(OR(N(对接源_02物料!$B1187)&lt;$N$2,N(对接源_02物料!$B1187)&gt;$N$3),0,1))</f>
        <v>0</v>
      </c>
      <c r="P2387" s="1" t="n">
        <f aca="false">IF(AND($K2387=1,AND(对接源_02物料!$X1187="公司筐",N(对接源_02物料!$T1187)&lt;&gt;0)),1,0)</f>
        <v>0</v>
      </c>
      <c r="Q2387" s="1" t="n">
        <f aca="false">N(Q2386)+$P2387</f>
        <v>13</v>
      </c>
      <c r="R2387" s="1" t="n">
        <f aca="false">IF(AND($K2387=1,AND(对接源_02物料!$X1187="公司筐",N(对接源_02物料!$U1187)&lt;&gt;0)),1,0)</f>
        <v>0</v>
      </c>
      <c r="S2387" s="1" t="n">
        <f aca="false">N(S2386)+$R2387</f>
        <v>5</v>
      </c>
      <c r="T2387" s="1" t="n">
        <f aca="false">IF(AND($K2387=1,AND(对接源_02物料!$X1187="公司筐",N(对接源_02物料!$V1187)&lt;&gt;0)),1,0)</f>
        <v>0</v>
      </c>
      <c r="U2387" s="1" t="n">
        <f aca="false">N(U2386)+$T2387</f>
        <v>28</v>
      </c>
      <c r="V2387" s="1" t="n">
        <f aca="false">IF(AND($L2387=1,AND(对接源_02物料!$X1187="自备筐",N(对接源_02物料!$V1187)&lt;&gt;0)),1,0)</f>
        <v>0</v>
      </c>
      <c r="W2387" s="1" t="n">
        <f aca="false">N(W2386)+$V2387</f>
        <v>7</v>
      </c>
      <c r="X2387" s="1" t="n">
        <f aca="false">IF(AND($L2387=1,AND(对接源_02物料!$X1187="自备筐",N(对接源_02物料!$T1187)&lt;&gt;0)),1,0)</f>
        <v>0</v>
      </c>
      <c r="Y2387" s="1" t="n">
        <f aca="false">N(Y2386)+$X2387</f>
        <v>0</v>
      </c>
      <c r="Z2387" s="1" t="n">
        <f aca="false">IF(AND($M2387=1,对接源_02物料!$D1187="原料入库"),1,0)</f>
        <v>0</v>
      </c>
      <c r="AA2387" s="1" t="n">
        <f aca="false">N(AA2386)+$Z2387</f>
        <v>30</v>
      </c>
      <c r="AB2387" s="1" t="n">
        <f aca="false">IF(AND($M2387=1,LEFT(对接源_02物料!$D1187,4)="原料出库"),1,0)</f>
        <v>0</v>
      </c>
      <c r="AC2387" s="1" t="n">
        <f aca="false">N(AC2386)+$AB2387</f>
        <v>19</v>
      </c>
      <c r="AD2387" s="1" t="n">
        <f aca="false">IF(AND($M2387=1,LEFT(对接源_02物料!$D1187,4)="成品出库"),1,0)</f>
        <v>0</v>
      </c>
      <c r="AE2387" s="1" t="n">
        <f aca="false">N(AE2386)+$AD2387</f>
        <v>38</v>
      </c>
      <c r="AF2387" s="1" t="n">
        <f aca="false">IF(AND($N2387=1,AND(LEFT(对接源_02物料!$D1187,4)="包装物料",N(对接源_02物料!$K1187)&lt;&gt;0)),1,0)</f>
        <v>0</v>
      </c>
      <c r="AG2387" s="1" t="n">
        <f aca="false">N(AG2386)+$AF2387</f>
        <v>6</v>
      </c>
      <c r="AH2387" s="1" t="n">
        <f aca="false">IF(AND($N2387=1,AND(LEFT(对接源_02物料!$D1187,3)="周转筐",N(对接源_02物料!$K1187)&lt;&gt;0)),1,0)</f>
        <v>0</v>
      </c>
      <c r="AI2387" s="1" t="n">
        <f aca="false">N(AI2386)+$AH2387</f>
        <v>0</v>
      </c>
      <c r="AJ2387" s="1" t="n">
        <v>0</v>
      </c>
      <c r="AK2387" s="1" t="n">
        <f aca="false">N(AK2386)+$AJ2387</f>
        <v>3672</v>
      </c>
    </row>
    <row r="2388" customFormat="false" ht="13.5" hidden="false" customHeight="false" outlineLevel="0" collapsed="false">
      <c r="A2388" s="1" t="str">
        <f aca="false">IF(对接源_02物料!$C1188="","",对接源_02物料!$C1188)</f>
        <v/>
      </c>
      <c r="B2388" s="1" t="n">
        <f aca="false">IF(A2388="",0,IF(MATCH(A2388,$A$4:$A$2403,0)=ROW()-3,1,0))</f>
        <v>0</v>
      </c>
      <c r="C2388" s="1" t="n">
        <f aca="false">N(C2387)+B2388</f>
        <v>17</v>
      </c>
      <c r="K2388" s="1" t="n">
        <f aca="false">IF(OR($K$1="",对接源_02物料!$C1188="",对接源_02物料!$C1188&lt;&gt;$K$1,对接源_02物料!$B1188=""),0,IF(OR(N(对接源_02物料!$B1188)&lt;$K$2,N(对接源_02物料!$B1188)&gt;$K$3),0,1))</f>
        <v>0</v>
      </c>
      <c r="L2388" s="1" t="n">
        <f aca="false">IF(OR($L$1="",对接源_02物料!$C1188="",对接源_02物料!$C1188&lt;&gt;$L$1,对接源_02物料!$B1188=""),0,IF(OR(N(对接源_02物料!$B1188)&lt;$L$2,N(对接源_02物料!$B1188)&gt;$L$3),0,1))</f>
        <v>0</v>
      </c>
      <c r="M2388" s="1" t="n">
        <f aca="false">IF(OR($M$1="",对接源_02物料!$C1188="",对接源_02物料!$C1188&lt;&gt;$M$1,对接源_02物料!$B1188=""),0,IF(OR(N(对接源_02物料!$B1188)&lt;$M$2,N(对接源_02物料!$B1188)&gt;$M$3),0,1))</f>
        <v>0</v>
      </c>
      <c r="N2388" s="1" t="n">
        <f aca="false">IF(OR($N$1="",对接源_02物料!$C1188="",对接源_02物料!$C1188&lt;&gt;$N$1,对接源_02物料!$B1188=""),0,IF(OR(N(对接源_02物料!$B1188)&lt;$N$2,N(对接源_02物料!$B1188)&gt;$N$3),0,1))</f>
        <v>0</v>
      </c>
      <c r="P2388" s="1" t="n">
        <f aca="false">IF(AND($K2388=1,AND(对接源_02物料!$X1188="公司筐",N(对接源_02物料!$T1188)&lt;&gt;0)),1,0)</f>
        <v>0</v>
      </c>
      <c r="Q2388" s="1" t="n">
        <f aca="false">N(Q2387)+$P2388</f>
        <v>13</v>
      </c>
      <c r="R2388" s="1" t="n">
        <f aca="false">IF(AND($K2388=1,AND(对接源_02物料!$X1188="公司筐",N(对接源_02物料!$U1188)&lt;&gt;0)),1,0)</f>
        <v>0</v>
      </c>
      <c r="S2388" s="1" t="n">
        <f aca="false">N(S2387)+$R2388</f>
        <v>5</v>
      </c>
      <c r="T2388" s="1" t="n">
        <f aca="false">IF(AND($K2388=1,AND(对接源_02物料!$X1188="公司筐",N(对接源_02物料!$V1188)&lt;&gt;0)),1,0)</f>
        <v>0</v>
      </c>
      <c r="U2388" s="1" t="n">
        <f aca="false">N(U2387)+$T2388</f>
        <v>28</v>
      </c>
      <c r="V2388" s="1" t="n">
        <f aca="false">IF(AND($L2388=1,AND(对接源_02物料!$X1188="自备筐",N(对接源_02物料!$V1188)&lt;&gt;0)),1,0)</f>
        <v>0</v>
      </c>
      <c r="W2388" s="1" t="n">
        <f aca="false">N(W2387)+$V2388</f>
        <v>7</v>
      </c>
      <c r="X2388" s="1" t="n">
        <f aca="false">IF(AND($L2388=1,AND(对接源_02物料!$X1188="自备筐",N(对接源_02物料!$T1188)&lt;&gt;0)),1,0)</f>
        <v>0</v>
      </c>
      <c r="Y2388" s="1" t="n">
        <f aca="false">N(Y2387)+$X2388</f>
        <v>0</v>
      </c>
      <c r="Z2388" s="1" t="n">
        <f aca="false">IF(AND($M2388=1,对接源_02物料!$D1188="原料入库"),1,0)</f>
        <v>0</v>
      </c>
      <c r="AA2388" s="1" t="n">
        <f aca="false">N(AA2387)+$Z2388</f>
        <v>30</v>
      </c>
      <c r="AB2388" s="1" t="n">
        <f aca="false">IF(AND($M2388=1,LEFT(对接源_02物料!$D1188,4)="原料出库"),1,0)</f>
        <v>0</v>
      </c>
      <c r="AC2388" s="1" t="n">
        <f aca="false">N(AC2387)+$AB2388</f>
        <v>19</v>
      </c>
      <c r="AD2388" s="1" t="n">
        <f aca="false">IF(AND($M2388=1,LEFT(对接源_02物料!$D1188,4)="成品出库"),1,0)</f>
        <v>0</v>
      </c>
      <c r="AE2388" s="1" t="n">
        <f aca="false">N(AE2387)+$AD2388</f>
        <v>38</v>
      </c>
      <c r="AF2388" s="1" t="n">
        <f aca="false">IF(AND($N2388=1,AND(LEFT(对接源_02物料!$D1188,4)="包装物料",N(对接源_02物料!$K1188)&lt;&gt;0)),1,0)</f>
        <v>0</v>
      </c>
      <c r="AG2388" s="1" t="n">
        <f aca="false">N(AG2387)+$AF2388</f>
        <v>6</v>
      </c>
      <c r="AH2388" s="1" t="n">
        <f aca="false">IF(AND($N2388=1,AND(LEFT(对接源_02物料!$D1188,3)="周转筐",N(对接源_02物料!$K1188)&lt;&gt;0)),1,0)</f>
        <v>0</v>
      </c>
      <c r="AI2388" s="1" t="n">
        <f aca="false">N(AI2387)+$AH2388</f>
        <v>0</v>
      </c>
      <c r="AJ2388" s="1" t="n">
        <v>0</v>
      </c>
      <c r="AK2388" s="1" t="n">
        <f aca="false">N(AK2387)+$AJ2388</f>
        <v>3672</v>
      </c>
    </row>
    <row r="2389" customFormat="false" ht="13.5" hidden="false" customHeight="false" outlineLevel="0" collapsed="false">
      <c r="A2389" s="1" t="str">
        <f aca="false">IF(对接源_02物料!$C1189="","",对接源_02物料!$C1189)</f>
        <v/>
      </c>
      <c r="B2389" s="1" t="n">
        <f aca="false">IF(A2389="",0,IF(MATCH(A2389,$A$4:$A$2403,0)=ROW()-3,1,0))</f>
        <v>0</v>
      </c>
      <c r="C2389" s="1" t="n">
        <f aca="false">N(C2388)+B2389</f>
        <v>17</v>
      </c>
      <c r="K2389" s="1" t="n">
        <f aca="false">IF(OR($K$1="",对接源_02物料!$C1189="",对接源_02物料!$C1189&lt;&gt;$K$1,对接源_02物料!$B1189=""),0,IF(OR(N(对接源_02物料!$B1189)&lt;$K$2,N(对接源_02物料!$B1189)&gt;$K$3),0,1))</f>
        <v>0</v>
      </c>
      <c r="L2389" s="1" t="n">
        <f aca="false">IF(OR($L$1="",对接源_02物料!$C1189="",对接源_02物料!$C1189&lt;&gt;$L$1,对接源_02物料!$B1189=""),0,IF(OR(N(对接源_02物料!$B1189)&lt;$L$2,N(对接源_02物料!$B1189)&gt;$L$3),0,1))</f>
        <v>0</v>
      </c>
      <c r="M2389" s="1" t="n">
        <f aca="false">IF(OR($M$1="",对接源_02物料!$C1189="",对接源_02物料!$C1189&lt;&gt;$M$1,对接源_02物料!$B1189=""),0,IF(OR(N(对接源_02物料!$B1189)&lt;$M$2,N(对接源_02物料!$B1189)&gt;$M$3),0,1))</f>
        <v>0</v>
      </c>
      <c r="N2389" s="1" t="n">
        <f aca="false">IF(OR($N$1="",对接源_02物料!$C1189="",对接源_02物料!$C1189&lt;&gt;$N$1,对接源_02物料!$B1189=""),0,IF(OR(N(对接源_02物料!$B1189)&lt;$N$2,N(对接源_02物料!$B1189)&gt;$N$3),0,1))</f>
        <v>0</v>
      </c>
      <c r="P2389" s="1" t="n">
        <f aca="false">IF(AND($K2389=1,AND(对接源_02物料!$X1189="公司筐",N(对接源_02物料!$T1189)&lt;&gt;0)),1,0)</f>
        <v>0</v>
      </c>
      <c r="Q2389" s="1" t="n">
        <f aca="false">N(Q2388)+$P2389</f>
        <v>13</v>
      </c>
      <c r="R2389" s="1" t="n">
        <f aca="false">IF(AND($K2389=1,AND(对接源_02物料!$X1189="公司筐",N(对接源_02物料!$U1189)&lt;&gt;0)),1,0)</f>
        <v>0</v>
      </c>
      <c r="S2389" s="1" t="n">
        <f aca="false">N(S2388)+$R2389</f>
        <v>5</v>
      </c>
      <c r="T2389" s="1" t="n">
        <f aca="false">IF(AND($K2389=1,AND(对接源_02物料!$X1189="公司筐",N(对接源_02物料!$V1189)&lt;&gt;0)),1,0)</f>
        <v>0</v>
      </c>
      <c r="U2389" s="1" t="n">
        <f aca="false">N(U2388)+$T2389</f>
        <v>28</v>
      </c>
      <c r="V2389" s="1" t="n">
        <f aca="false">IF(AND($L2389=1,AND(对接源_02物料!$X1189="自备筐",N(对接源_02物料!$V1189)&lt;&gt;0)),1,0)</f>
        <v>0</v>
      </c>
      <c r="W2389" s="1" t="n">
        <f aca="false">N(W2388)+$V2389</f>
        <v>7</v>
      </c>
      <c r="X2389" s="1" t="n">
        <f aca="false">IF(AND($L2389=1,AND(对接源_02物料!$X1189="自备筐",N(对接源_02物料!$T1189)&lt;&gt;0)),1,0)</f>
        <v>0</v>
      </c>
      <c r="Y2389" s="1" t="n">
        <f aca="false">N(Y2388)+$X2389</f>
        <v>0</v>
      </c>
      <c r="Z2389" s="1" t="n">
        <f aca="false">IF(AND($M2389=1,对接源_02物料!$D1189="原料入库"),1,0)</f>
        <v>0</v>
      </c>
      <c r="AA2389" s="1" t="n">
        <f aca="false">N(AA2388)+$Z2389</f>
        <v>30</v>
      </c>
      <c r="AB2389" s="1" t="n">
        <f aca="false">IF(AND($M2389=1,LEFT(对接源_02物料!$D1189,4)="原料出库"),1,0)</f>
        <v>0</v>
      </c>
      <c r="AC2389" s="1" t="n">
        <f aca="false">N(AC2388)+$AB2389</f>
        <v>19</v>
      </c>
      <c r="AD2389" s="1" t="n">
        <f aca="false">IF(AND($M2389=1,LEFT(对接源_02物料!$D1189,4)="成品出库"),1,0)</f>
        <v>0</v>
      </c>
      <c r="AE2389" s="1" t="n">
        <f aca="false">N(AE2388)+$AD2389</f>
        <v>38</v>
      </c>
      <c r="AF2389" s="1" t="n">
        <f aca="false">IF(AND($N2389=1,AND(LEFT(对接源_02物料!$D1189,4)="包装物料",N(对接源_02物料!$K1189)&lt;&gt;0)),1,0)</f>
        <v>0</v>
      </c>
      <c r="AG2389" s="1" t="n">
        <f aca="false">N(AG2388)+$AF2389</f>
        <v>6</v>
      </c>
      <c r="AH2389" s="1" t="n">
        <f aca="false">IF(AND($N2389=1,AND(LEFT(对接源_02物料!$D1189,3)="周转筐",N(对接源_02物料!$K1189)&lt;&gt;0)),1,0)</f>
        <v>0</v>
      </c>
      <c r="AI2389" s="1" t="n">
        <f aca="false">N(AI2388)+$AH2389</f>
        <v>0</v>
      </c>
      <c r="AJ2389" s="1" t="n">
        <v>0</v>
      </c>
      <c r="AK2389" s="1" t="n">
        <f aca="false">N(AK2388)+$AJ2389</f>
        <v>3672</v>
      </c>
    </row>
    <row r="2390" customFormat="false" ht="13.5" hidden="false" customHeight="false" outlineLevel="0" collapsed="false">
      <c r="A2390" s="1" t="str">
        <f aca="false">IF(对接源_02物料!$C1190="","",对接源_02物料!$C1190)</f>
        <v/>
      </c>
      <c r="B2390" s="1" t="n">
        <f aca="false">IF(A2390="",0,IF(MATCH(A2390,$A$4:$A$2403,0)=ROW()-3,1,0))</f>
        <v>0</v>
      </c>
      <c r="C2390" s="1" t="n">
        <f aca="false">N(C2389)+B2390</f>
        <v>17</v>
      </c>
      <c r="K2390" s="1" t="n">
        <f aca="false">IF(OR($K$1="",对接源_02物料!$C1190="",对接源_02物料!$C1190&lt;&gt;$K$1,对接源_02物料!$B1190=""),0,IF(OR(N(对接源_02物料!$B1190)&lt;$K$2,N(对接源_02物料!$B1190)&gt;$K$3),0,1))</f>
        <v>0</v>
      </c>
      <c r="L2390" s="1" t="n">
        <f aca="false">IF(OR($L$1="",对接源_02物料!$C1190="",对接源_02物料!$C1190&lt;&gt;$L$1,对接源_02物料!$B1190=""),0,IF(OR(N(对接源_02物料!$B1190)&lt;$L$2,N(对接源_02物料!$B1190)&gt;$L$3),0,1))</f>
        <v>0</v>
      </c>
      <c r="M2390" s="1" t="n">
        <f aca="false">IF(OR($M$1="",对接源_02物料!$C1190="",对接源_02物料!$C1190&lt;&gt;$M$1,对接源_02物料!$B1190=""),0,IF(OR(N(对接源_02物料!$B1190)&lt;$M$2,N(对接源_02物料!$B1190)&gt;$M$3),0,1))</f>
        <v>0</v>
      </c>
      <c r="N2390" s="1" t="n">
        <f aca="false">IF(OR($N$1="",对接源_02物料!$C1190="",对接源_02物料!$C1190&lt;&gt;$N$1,对接源_02物料!$B1190=""),0,IF(OR(N(对接源_02物料!$B1190)&lt;$N$2,N(对接源_02物料!$B1190)&gt;$N$3),0,1))</f>
        <v>0</v>
      </c>
      <c r="P2390" s="1" t="n">
        <f aca="false">IF(AND($K2390=1,AND(对接源_02物料!$X1190="公司筐",N(对接源_02物料!$T1190)&lt;&gt;0)),1,0)</f>
        <v>0</v>
      </c>
      <c r="Q2390" s="1" t="n">
        <f aca="false">N(Q2389)+$P2390</f>
        <v>13</v>
      </c>
      <c r="R2390" s="1" t="n">
        <f aca="false">IF(AND($K2390=1,AND(对接源_02物料!$X1190="公司筐",N(对接源_02物料!$U1190)&lt;&gt;0)),1,0)</f>
        <v>0</v>
      </c>
      <c r="S2390" s="1" t="n">
        <f aca="false">N(S2389)+$R2390</f>
        <v>5</v>
      </c>
      <c r="T2390" s="1" t="n">
        <f aca="false">IF(AND($K2390=1,AND(对接源_02物料!$X1190="公司筐",N(对接源_02物料!$V1190)&lt;&gt;0)),1,0)</f>
        <v>0</v>
      </c>
      <c r="U2390" s="1" t="n">
        <f aca="false">N(U2389)+$T2390</f>
        <v>28</v>
      </c>
      <c r="V2390" s="1" t="n">
        <f aca="false">IF(AND($L2390=1,AND(对接源_02物料!$X1190="自备筐",N(对接源_02物料!$V1190)&lt;&gt;0)),1,0)</f>
        <v>0</v>
      </c>
      <c r="W2390" s="1" t="n">
        <f aca="false">N(W2389)+$V2390</f>
        <v>7</v>
      </c>
      <c r="X2390" s="1" t="n">
        <f aca="false">IF(AND($L2390=1,AND(对接源_02物料!$X1190="自备筐",N(对接源_02物料!$T1190)&lt;&gt;0)),1,0)</f>
        <v>0</v>
      </c>
      <c r="Y2390" s="1" t="n">
        <f aca="false">N(Y2389)+$X2390</f>
        <v>0</v>
      </c>
      <c r="Z2390" s="1" t="n">
        <f aca="false">IF(AND($M2390=1,对接源_02物料!$D1190="原料入库"),1,0)</f>
        <v>0</v>
      </c>
      <c r="AA2390" s="1" t="n">
        <f aca="false">N(AA2389)+$Z2390</f>
        <v>30</v>
      </c>
      <c r="AB2390" s="1" t="n">
        <f aca="false">IF(AND($M2390=1,LEFT(对接源_02物料!$D1190,4)="原料出库"),1,0)</f>
        <v>0</v>
      </c>
      <c r="AC2390" s="1" t="n">
        <f aca="false">N(AC2389)+$AB2390</f>
        <v>19</v>
      </c>
      <c r="AD2390" s="1" t="n">
        <f aca="false">IF(AND($M2390=1,LEFT(对接源_02物料!$D1190,4)="成品出库"),1,0)</f>
        <v>0</v>
      </c>
      <c r="AE2390" s="1" t="n">
        <f aca="false">N(AE2389)+$AD2390</f>
        <v>38</v>
      </c>
      <c r="AF2390" s="1" t="n">
        <f aca="false">IF(AND($N2390=1,AND(LEFT(对接源_02物料!$D1190,4)="包装物料",N(对接源_02物料!$K1190)&lt;&gt;0)),1,0)</f>
        <v>0</v>
      </c>
      <c r="AG2390" s="1" t="n">
        <f aca="false">N(AG2389)+$AF2390</f>
        <v>6</v>
      </c>
      <c r="AH2390" s="1" t="n">
        <f aca="false">IF(AND($N2390=1,AND(LEFT(对接源_02物料!$D1190,3)="周转筐",N(对接源_02物料!$K1190)&lt;&gt;0)),1,0)</f>
        <v>0</v>
      </c>
      <c r="AI2390" s="1" t="n">
        <f aca="false">N(AI2389)+$AH2390</f>
        <v>0</v>
      </c>
      <c r="AJ2390" s="1" t="n">
        <v>0</v>
      </c>
      <c r="AK2390" s="1" t="n">
        <f aca="false">N(AK2389)+$AJ2390</f>
        <v>3672</v>
      </c>
    </row>
    <row r="2391" customFormat="false" ht="13.5" hidden="false" customHeight="false" outlineLevel="0" collapsed="false">
      <c r="A2391" s="1" t="str">
        <f aca="false">IF(对接源_02物料!$C1191="","",对接源_02物料!$C1191)</f>
        <v/>
      </c>
      <c r="B2391" s="1" t="n">
        <f aca="false">IF(A2391="",0,IF(MATCH(A2391,$A$4:$A$2403,0)=ROW()-3,1,0))</f>
        <v>0</v>
      </c>
      <c r="C2391" s="1" t="n">
        <f aca="false">N(C2390)+B2391</f>
        <v>17</v>
      </c>
      <c r="K2391" s="1" t="n">
        <f aca="false">IF(OR($K$1="",对接源_02物料!$C1191="",对接源_02物料!$C1191&lt;&gt;$K$1,对接源_02物料!$B1191=""),0,IF(OR(N(对接源_02物料!$B1191)&lt;$K$2,N(对接源_02物料!$B1191)&gt;$K$3),0,1))</f>
        <v>0</v>
      </c>
      <c r="L2391" s="1" t="n">
        <f aca="false">IF(OR($L$1="",对接源_02物料!$C1191="",对接源_02物料!$C1191&lt;&gt;$L$1,对接源_02物料!$B1191=""),0,IF(OR(N(对接源_02物料!$B1191)&lt;$L$2,N(对接源_02物料!$B1191)&gt;$L$3),0,1))</f>
        <v>0</v>
      </c>
      <c r="M2391" s="1" t="n">
        <f aca="false">IF(OR($M$1="",对接源_02物料!$C1191="",对接源_02物料!$C1191&lt;&gt;$M$1,对接源_02物料!$B1191=""),0,IF(OR(N(对接源_02物料!$B1191)&lt;$M$2,N(对接源_02物料!$B1191)&gt;$M$3),0,1))</f>
        <v>0</v>
      </c>
      <c r="N2391" s="1" t="n">
        <f aca="false">IF(OR($N$1="",对接源_02物料!$C1191="",对接源_02物料!$C1191&lt;&gt;$N$1,对接源_02物料!$B1191=""),0,IF(OR(N(对接源_02物料!$B1191)&lt;$N$2,N(对接源_02物料!$B1191)&gt;$N$3),0,1))</f>
        <v>0</v>
      </c>
      <c r="P2391" s="1" t="n">
        <f aca="false">IF(AND($K2391=1,AND(对接源_02物料!$X1191="公司筐",N(对接源_02物料!$T1191)&lt;&gt;0)),1,0)</f>
        <v>0</v>
      </c>
      <c r="Q2391" s="1" t="n">
        <f aca="false">N(Q2390)+$P2391</f>
        <v>13</v>
      </c>
      <c r="R2391" s="1" t="n">
        <f aca="false">IF(AND($K2391=1,AND(对接源_02物料!$X1191="公司筐",N(对接源_02物料!$U1191)&lt;&gt;0)),1,0)</f>
        <v>0</v>
      </c>
      <c r="S2391" s="1" t="n">
        <f aca="false">N(S2390)+$R2391</f>
        <v>5</v>
      </c>
      <c r="T2391" s="1" t="n">
        <f aca="false">IF(AND($K2391=1,AND(对接源_02物料!$X1191="公司筐",N(对接源_02物料!$V1191)&lt;&gt;0)),1,0)</f>
        <v>0</v>
      </c>
      <c r="U2391" s="1" t="n">
        <f aca="false">N(U2390)+$T2391</f>
        <v>28</v>
      </c>
      <c r="V2391" s="1" t="n">
        <f aca="false">IF(AND($L2391=1,AND(对接源_02物料!$X1191="自备筐",N(对接源_02物料!$V1191)&lt;&gt;0)),1,0)</f>
        <v>0</v>
      </c>
      <c r="W2391" s="1" t="n">
        <f aca="false">N(W2390)+$V2391</f>
        <v>7</v>
      </c>
      <c r="X2391" s="1" t="n">
        <f aca="false">IF(AND($L2391=1,AND(对接源_02物料!$X1191="自备筐",N(对接源_02物料!$T1191)&lt;&gt;0)),1,0)</f>
        <v>0</v>
      </c>
      <c r="Y2391" s="1" t="n">
        <f aca="false">N(Y2390)+$X2391</f>
        <v>0</v>
      </c>
      <c r="Z2391" s="1" t="n">
        <f aca="false">IF(AND($M2391=1,对接源_02物料!$D1191="原料入库"),1,0)</f>
        <v>0</v>
      </c>
      <c r="AA2391" s="1" t="n">
        <f aca="false">N(AA2390)+$Z2391</f>
        <v>30</v>
      </c>
      <c r="AB2391" s="1" t="n">
        <f aca="false">IF(AND($M2391=1,LEFT(对接源_02物料!$D1191,4)="原料出库"),1,0)</f>
        <v>0</v>
      </c>
      <c r="AC2391" s="1" t="n">
        <f aca="false">N(AC2390)+$AB2391</f>
        <v>19</v>
      </c>
      <c r="AD2391" s="1" t="n">
        <f aca="false">IF(AND($M2391=1,LEFT(对接源_02物料!$D1191,4)="成品出库"),1,0)</f>
        <v>0</v>
      </c>
      <c r="AE2391" s="1" t="n">
        <f aca="false">N(AE2390)+$AD2391</f>
        <v>38</v>
      </c>
      <c r="AF2391" s="1" t="n">
        <f aca="false">IF(AND($N2391=1,AND(LEFT(对接源_02物料!$D1191,4)="包装物料",N(对接源_02物料!$K1191)&lt;&gt;0)),1,0)</f>
        <v>0</v>
      </c>
      <c r="AG2391" s="1" t="n">
        <f aca="false">N(AG2390)+$AF2391</f>
        <v>6</v>
      </c>
      <c r="AH2391" s="1" t="n">
        <f aca="false">IF(AND($N2391=1,AND(LEFT(对接源_02物料!$D1191,3)="周转筐",N(对接源_02物料!$K1191)&lt;&gt;0)),1,0)</f>
        <v>0</v>
      </c>
      <c r="AI2391" s="1" t="n">
        <f aca="false">N(AI2390)+$AH2391</f>
        <v>0</v>
      </c>
      <c r="AJ2391" s="1" t="n">
        <v>0</v>
      </c>
      <c r="AK2391" s="1" t="n">
        <f aca="false">N(AK2390)+$AJ2391</f>
        <v>3672</v>
      </c>
    </row>
    <row r="2392" customFormat="false" ht="13.5" hidden="false" customHeight="false" outlineLevel="0" collapsed="false">
      <c r="A2392" s="1" t="str">
        <f aca="false">IF(对接源_02物料!$C1192="","",对接源_02物料!$C1192)</f>
        <v/>
      </c>
      <c r="B2392" s="1" t="n">
        <f aca="false">IF(A2392="",0,IF(MATCH(A2392,$A$4:$A$2403,0)=ROW()-3,1,0))</f>
        <v>0</v>
      </c>
      <c r="C2392" s="1" t="n">
        <f aca="false">N(C2391)+B2392</f>
        <v>17</v>
      </c>
      <c r="K2392" s="1" t="n">
        <f aca="false">IF(OR($K$1="",对接源_02物料!$C1192="",对接源_02物料!$C1192&lt;&gt;$K$1,对接源_02物料!$B1192=""),0,IF(OR(N(对接源_02物料!$B1192)&lt;$K$2,N(对接源_02物料!$B1192)&gt;$K$3),0,1))</f>
        <v>0</v>
      </c>
      <c r="L2392" s="1" t="n">
        <f aca="false">IF(OR($L$1="",对接源_02物料!$C1192="",对接源_02物料!$C1192&lt;&gt;$L$1,对接源_02物料!$B1192=""),0,IF(OR(N(对接源_02物料!$B1192)&lt;$L$2,N(对接源_02物料!$B1192)&gt;$L$3),0,1))</f>
        <v>0</v>
      </c>
      <c r="M2392" s="1" t="n">
        <f aca="false">IF(OR($M$1="",对接源_02物料!$C1192="",对接源_02物料!$C1192&lt;&gt;$M$1,对接源_02物料!$B1192=""),0,IF(OR(N(对接源_02物料!$B1192)&lt;$M$2,N(对接源_02物料!$B1192)&gt;$M$3),0,1))</f>
        <v>0</v>
      </c>
      <c r="N2392" s="1" t="n">
        <f aca="false">IF(OR($N$1="",对接源_02物料!$C1192="",对接源_02物料!$C1192&lt;&gt;$N$1,对接源_02物料!$B1192=""),0,IF(OR(N(对接源_02物料!$B1192)&lt;$N$2,N(对接源_02物料!$B1192)&gt;$N$3),0,1))</f>
        <v>0</v>
      </c>
      <c r="P2392" s="1" t="n">
        <f aca="false">IF(AND($K2392=1,AND(对接源_02物料!$X1192="公司筐",N(对接源_02物料!$T1192)&lt;&gt;0)),1,0)</f>
        <v>0</v>
      </c>
      <c r="Q2392" s="1" t="n">
        <f aca="false">N(Q2391)+$P2392</f>
        <v>13</v>
      </c>
      <c r="R2392" s="1" t="n">
        <f aca="false">IF(AND($K2392=1,AND(对接源_02物料!$X1192="公司筐",N(对接源_02物料!$U1192)&lt;&gt;0)),1,0)</f>
        <v>0</v>
      </c>
      <c r="S2392" s="1" t="n">
        <f aca="false">N(S2391)+$R2392</f>
        <v>5</v>
      </c>
      <c r="T2392" s="1" t="n">
        <f aca="false">IF(AND($K2392=1,AND(对接源_02物料!$X1192="公司筐",N(对接源_02物料!$V1192)&lt;&gt;0)),1,0)</f>
        <v>0</v>
      </c>
      <c r="U2392" s="1" t="n">
        <f aca="false">N(U2391)+$T2392</f>
        <v>28</v>
      </c>
      <c r="V2392" s="1" t="n">
        <f aca="false">IF(AND($L2392=1,AND(对接源_02物料!$X1192="自备筐",N(对接源_02物料!$V1192)&lt;&gt;0)),1,0)</f>
        <v>0</v>
      </c>
      <c r="W2392" s="1" t="n">
        <f aca="false">N(W2391)+$V2392</f>
        <v>7</v>
      </c>
      <c r="X2392" s="1" t="n">
        <f aca="false">IF(AND($L2392=1,AND(对接源_02物料!$X1192="自备筐",N(对接源_02物料!$T1192)&lt;&gt;0)),1,0)</f>
        <v>0</v>
      </c>
      <c r="Y2392" s="1" t="n">
        <f aca="false">N(Y2391)+$X2392</f>
        <v>0</v>
      </c>
      <c r="Z2392" s="1" t="n">
        <f aca="false">IF(AND($M2392=1,对接源_02物料!$D1192="原料入库"),1,0)</f>
        <v>0</v>
      </c>
      <c r="AA2392" s="1" t="n">
        <f aca="false">N(AA2391)+$Z2392</f>
        <v>30</v>
      </c>
      <c r="AB2392" s="1" t="n">
        <f aca="false">IF(AND($M2392=1,LEFT(对接源_02物料!$D1192,4)="原料出库"),1,0)</f>
        <v>0</v>
      </c>
      <c r="AC2392" s="1" t="n">
        <f aca="false">N(AC2391)+$AB2392</f>
        <v>19</v>
      </c>
      <c r="AD2392" s="1" t="n">
        <f aca="false">IF(AND($M2392=1,LEFT(对接源_02物料!$D1192,4)="成品出库"),1,0)</f>
        <v>0</v>
      </c>
      <c r="AE2392" s="1" t="n">
        <f aca="false">N(AE2391)+$AD2392</f>
        <v>38</v>
      </c>
      <c r="AF2392" s="1" t="n">
        <f aca="false">IF(AND($N2392=1,AND(LEFT(对接源_02物料!$D1192,4)="包装物料",N(对接源_02物料!$K1192)&lt;&gt;0)),1,0)</f>
        <v>0</v>
      </c>
      <c r="AG2392" s="1" t="n">
        <f aca="false">N(AG2391)+$AF2392</f>
        <v>6</v>
      </c>
      <c r="AH2392" s="1" t="n">
        <f aca="false">IF(AND($N2392=1,AND(LEFT(对接源_02物料!$D1192,3)="周转筐",N(对接源_02物料!$K1192)&lt;&gt;0)),1,0)</f>
        <v>0</v>
      </c>
      <c r="AI2392" s="1" t="n">
        <f aca="false">N(AI2391)+$AH2392</f>
        <v>0</v>
      </c>
      <c r="AJ2392" s="1" t="n">
        <v>0</v>
      </c>
      <c r="AK2392" s="1" t="n">
        <f aca="false">N(AK2391)+$AJ2392</f>
        <v>3672</v>
      </c>
    </row>
    <row r="2393" customFormat="false" ht="13.5" hidden="false" customHeight="false" outlineLevel="0" collapsed="false">
      <c r="A2393" s="1" t="str">
        <f aca="false">IF(对接源_02物料!$C1193="","",对接源_02物料!$C1193)</f>
        <v/>
      </c>
      <c r="B2393" s="1" t="n">
        <f aca="false">IF(A2393="",0,IF(MATCH(A2393,$A$4:$A$2403,0)=ROW()-3,1,0))</f>
        <v>0</v>
      </c>
      <c r="C2393" s="1" t="n">
        <f aca="false">N(C2392)+B2393</f>
        <v>17</v>
      </c>
      <c r="K2393" s="1" t="n">
        <f aca="false">IF(OR($K$1="",对接源_02物料!$C1193="",对接源_02物料!$C1193&lt;&gt;$K$1,对接源_02物料!$B1193=""),0,IF(OR(N(对接源_02物料!$B1193)&lt;$K$2,N(对接源_02物料!$B1193)&gt;$K$3),0,1))</f>
        <v>0</v>
      </c>
      <c r="L2393" s="1" t="n">
        <f aca="false">IF(OR($L$1="",对接源_02物料!$C1193="",对接源_02物料!$C1193&lt;&gt;$L$1,对接源_02物料!$B1193=""),0,IF(OR(N(对接源_02物料!$B1193)&lt;$L$2,N(对接源_02物料!$B1193)&gt;$L$3),0,1))</f>
        <v>0</v>
      </c>
      <c r="M2393" s="1" t="n">
        <f aca="false">IF(OR($M$1="",对接源_02物料!$C1193="",对接源_02物料!$C1193&lt;&gt;$M$1,对接源_02物料!$B1193=""),0,IF(OR(N(对接源_02物料!$B1193)&lt;$M$2,N(对接源_02物料!$B1193)&gt;$M$3),0,1))</f>
        <v>0</v>
      </c>
      <c r="N2393" s="1" t="n">
        <f aca="false">IF(OR($N$1="",对接源_02物料!$C1193="",对接源_02物料!$C1193&lt;&gt;$N$1,对接源_02物料!$B1193=""),0,IF(OR(N(对接源_02物料!$B1193)&lt;$N$2,N(对接源_02物料!$B1193)&gt;$N$3),0,1))</f>
        <v>0</v>
      </c>
      <c r="P2393" s="1" t="n">
        <f aca="false">IF(AND($K2393=1,AND(对接源_02物料!$X1193="公司筐",N(对接源_02物料!$T1193)&lt;&gt;0)),1,0)</f>
        <v>0</v>
      </c>
      <c r="Q2393" s="1" t="n">
        <f aca="false">N(Q2392)+$P2393</f>
        <v>13</v>
      </c>
      <c r="R2393" s="1" t="n">
        <f aca="false">IF(AND($K2393=1,AND(对接源_02物料!$X1193="公司筐",N(对接源_02物料!$U1193)&lt;&gt;0)),1,0)</f>
        <v>0</v>
      </c>
      <c r="S2393" s="1" t="n">
        <f aca="false">N(S2392)+$R2393</f>
        <v>5</v>
      </c>
      <c r="T2393" s="1" t="n">
        <f aca="false">IF(AND($K2393=1,AND(对接源_02物料!$X1193="公司筐",N(对接源_02物料!$V1193)&lt;&gt;0)),1,0)</f>
        <v>0</v>
      </c>
      <c r="U2393" s="1" t="n">
        <f aca="false">N(U2392)+$T2393</f>
        <v>28</v>
      </c>
      <c r="V2393" s="1" t="n">
        <f aca="false">IF(AND($L2393=1,AND(对接源_02物料!$X1193="自备筐",N(对接源_02物料!$V1193)&lt;&gt;0)),1,0)</f>
        <v>0</v>
      </c>
      <c r="W2393" s="1" t="n">
        <f aca="false">N(W2392)+$V2393</f>
        <v>7</v>
      </c>
      <c r="X2393" s="1" t="n">
        <f aca="false">IF(AND($L2393=1,AND(对接源_02物料!$X1193="自备筐",N(对接源_02物料!$T1193)&lt;&gt;0)),1,0)</f>
        <v>0</v>
      </c>
      <c r="Y2393" s="1" t="n">
        <f aca="false">N(Y2392)+$X2393</f>
        <v>0</v>
      </c>
      <c r="Z2393" s="1" t="n">
        <f aca="false">IF(AND($M2393=1,对接源_02物料!$D1193="原料入库"),1,0)</f>
        <v>0</v>
      </c>
      <c r="AA2393" s="1" t="n">
        <f aca="false">N(AA2392)+$Z2393</f>
        <v>30</v>
      </c>
      <c r="AB2393" s="1" t="n">
        <f aca="false">IF(AND($M2393=1,LEFT(对接源_02物料!$D1193,4)="原料出库"),1,0)</f>
        <v>0</v>
      </c>
      <c r="AC2393" s="1" t="n">
        <f aca="false">N(AC2392)+$AB2393</f>
        <v>19</v>
      </c>
      <c r="AD2393" s="1" t="n">
        <f aca="false">IF(AND($M2393=1,LEFT(对接源_02物料!$D1193,4)="成品出库"),1,0)</f>
        <v>0</v>
      </c>
      <c r="AE2393" s="1" t="n">
        <f aca="false">N(AE2392)+$AD2393</f>
        <v>38</v>
      </c>
      <c r="AF2393" s="1" t="n">
        <f aca="false">IF(AND($N2393=1,AND(LEFT(对接源_02物料!$D1193,4)="包装物料",N(对接源_02物料!$K1193)&lt;&gt;0)),1,0)</f>
        <v>0</v>
      </c>
      <c r="AG2393" s="1" t="n">
        <f aca="false">N(AG2392)+$AF2393</f>
        <v>6</v>
      </c>
      <c r="AH2393" s="1" t="n">
        <f aca="false">IF(AND($N2393=1,AND(LEFT(对接源_02物料!$D1193,3)="周转筐",N(对接源_02物料!$K1193)&lt;&gt;0)),1,0)</f>
        <v>0</v>
      </c>
      <c r="AI2393" s="1" t="n">
        <f aca="false">N(AI2392)+$AH2393</f>
        <v>0</v>
      </c>
      <c r="AJ2393" s="1" t="n">
        <v>0</v>
      </c>
      <c r="AK2393" s="1" t="n">
        <f aca="false">N(AK2392)+$AJ2393</f>
        <v>3672</v>
      </c>
    </row>
    <row r="2394" customFormat="false" ht="13.5" hidden="false" customHeight="false" outlineLevel="0" collapsed="false">
      <c r="A2394" s="1" t="str">
        <f aca="false">IF(对接源_02物料!$C1194="","",对接源_02物料!$C1194)</f>
        <v/>
      </c>
      <c r="B2394" s="1" t="n">
        <f aca="false">IF(A2394="",0,IF(MATCH(A2394,$A$4:$A$2403,0)=ROW()-3,1,0))</f>
        <v>0</v>
      </c>
      <c r="C2394" s="1" t="n">
        <f aca="false">N(C2393)+B2394</f>
        <v>17</v>
      </c>
      <c r="K2394" s="1" t="n">
        <f aca="false">IF(OR($K$1="",对接源_02物料!$C1194="",对接源_02物料!$C1194&lt;&gt;$K$1,对接源_02物料!$B1194=""),0,IF(OR(N(对接源_02物料!$B1194)&lt;$K$2,N(对接源_02物料!$B1194)&gt;$K$3),0,1))</f>
        <v>0</v>
      </c>
      <c r="L2394" s="1" t="n">
        <f aca="false">IF(OR($L$1="",对接源_02物料!$C1194="",对接源_02物料!$C1194&lt;&gt;$L$1,对接源_02物料!$B1194=""),0,IF(OR(N(对接源_02物料!$B1194)&lt;$L$2,N(对接源_02物料!$B1194)&gt;$L$3),0,1))</f>
        <v>0</v>
      </c>
      <c r="M2394" s="1" t="n">
        <f aca="false">IF(OR($M$1="",对接源_02物料!$C1194="",对接源_02物料!$C1194&lt;&gt;$M$1,对接源_02物料!$B1194=""),0,IF(OR(N(对接源_02物料!$B1194)&lt;$M$2,N(对接源_02物料!$B1194)&gt;$M$3),0,1))</f>
        <v>0</v>
      </c>
      <c r="N2394" s="1" t="n">
        <f aca="false">IF(OR($N$1="",对接源_02物料!$C1194="",对接源_02物料!$C1194&lt;&gt;$N$1,对接源_02物料!$B1194=""),0,IF(OR(N(对接源_02物料!$B1194)&lt;$N$2,N(对接源_02物料!$B1194)&gt;$N$3),0,1))</f>
        <v>0</v>
      </c>
      <c r="P2394" s="1" t="n">
        <f aca="false">IF(AND($K2394=1,AND(对接源_02物料!$X1194="公司筐",N(对接源_02物料!$T1194)&lt;&gt;0)),1,0)</f>
        <v>0</v>
      </c>
      <c r="Q2394" s="1" t="n">
        <f aca="false">N(Q2393)+$P2394</f>
        <v>13</v>
      </c>
      <c r="R2394" s="1" t="n">
        <f aca="false">IF(AND($K2394=1,AND(对接源_02物料!$X1194="公司筐",N(对接源_02物料!$U1194)&lt;&gt;0)),1,0)</f>
        <v>0</v>
      </c>
      <c r="S2394" s="1" t="n">
        <f aca="false">N(S2393)+$R2394</f>
        <v>5</v>
      </c>
      <c r="T2394" s="1" t="n">
        <f aca="false">IF(AND($K2394=1,AND(对接源_02物料!$X1194="公司筐",N(对接源_02物料!$V1194)&lt;&gt;0)),1,0)</f>
        <v>0</v>
      </c>
      <c r="U2394" s="1" t="n">
        <f aca="false">N(U2393)+$T2394</f>
        <v>28</v>
      </c>
      <c r="V2394" s="1" t="n">
        <f aca="false">IF(AND($L2394=1,AND(对接源_02物料!$X1194="自备筐",N(对接源_02物料!$V1194)&lt;&gt;0)),1,0)</f>
        <v>0</v>
      </c>
      <c r="W2394" s="1" t="n">
        <f aca="false">N(W2393)+$V2394</f>
        <v>7</v>
      </c>
      <c r="X2394" s="1" t="n">
        <f aca="false">IF(AND($L2394=1,AND(对接源_02物料!$X1194="自备筐",N(对接源_02物料!$T1194)&lt;&gt;0)),1,0)</f>
        <v>0</v>
      </c>
      <c r="Y2394" s="1" t="n">
        <f aca="false">N(Y2393)+$X2394</f>
        <v>0</v>
      </c>
      <c r="Z2394" s="1" t="n">
        <f aca="false">IF(AND($M2394=1,对接源_02物料!$D1194="原料入库"),1,0)</f>
        <v>0</v>
      </c>
      <c r="AA2394" s="1" t="n">
        <f aca="false">N(AA2393)+$Z2394</f>
        <v>30</v>
      </c>
      <c r="AB2394" s="1" t="n">
        <f aca="false">IF(AND($M2394=1,LEFT(对接源_02物料!$D1194,4)="原料出库"),1,0)</f>
        <v>0</v>
      </c>
      <c r="AC2394" s="1" t="n">
        <f aca="false">N(AC2393)+$AB2394</f>
        <v>19</v>
      </c>
      <c r="AD2394" s="1" t="n">
        <f aca="false">IF(AND($M2394=1,LEFT(对接源_02物料!$D1194,4)="成品出库"),1,0)</f>
        <v>0</v>
      </c>
      <c r="AE2394" s="1" t="n">
        <f aca="false">N(AE2393)+$AD2394</f>
        <v>38</v>
      </c>
      <c r="AF2394" s="1" t="n">
        <f aca="false">IF(AND($N2394=1,AND(LEFT(对接源_02物料!$D1194,4)="包装物料",N(对接源_02物料!$K1194)&lt;&gt;0)),1,0)</f>
        <v>0</v>
      </c>
      <c r="AG2394" s="1" t="n">
        <f aca="false">N(AG2393)+$AF2394</f>
        <v>6</v>
      </c>
      <c r="AH2394" s="1" t="n">
        <f aca="false">IF(AND($N2394=1,AND(LEFT(对接源_02物料!$D1194,3)="周转筐",N(对接源_02物料!$K1194)&lt;&gt;0)),1,0)</f>
        <v>0</v>
      </c>
      <c r="AI2394" s="1" t="n">
        <f aca="false">N(AI2393)+$AH2394</f>
        <v>0</v>
      </c>
      <c r="AJ2394" s="1" t="n">
        <v>0</v>
      </c>
      <c r="AK2394" s="1" t="n">
        <f aca="false">N(AK2393)+$AJ2394</f>
        <v>3672</v>
      </c>
    </row>
    <row r="2395" customFormat="false" ht="13.5" hidden="false" customHeight="false" outlineLevel="0" collapsed="false">
      <c r="A2395" s="1" t="str">
        <f aca="false">IF(对接源_02物料!$C1195="","",对接源_02物料!$C1195)</f>
        <v/>
      </c>
      <c r="B2395" s="1" t="n">
        <f aca="false">IF(A2395="",0,IF(MATCH(A2395,$A$4:$A$2403,0)=ROW()-3,1,0))</f>
        <v>0</v>
      </c>
      <c r="C2395" s="1" t="n">
        <f aca="false">N(C2394)+B2395</f>
        <v>17</v>
      </c>
      <c r="K2395" s="1" t="n">
        <f aca="false">IF(OR($K$1="",对接源_02物料!$C1195="",对接源_02物料!$C1195&lt;&gt;$K$1,对接源_02物料!$B1195=""),0,IF(OR(N(对接源_02物料!$B1195)&lt;$K$2,N(对接源_02物料!$B1195)&gt;$K$3),0,1))</f>
        <v>0</v>
      </c>
      <c r="L2395" s="1" t="n">
        <f aca="false">IF(OR($L$1="",对接源_02物料!$C1195="",对接源_02物料!$C1195&lt;&gt;$L$1,对接源_02物料!$B1195=""),0,IF(OR(N(对接源_02物料!$B1195)&lt;$L$2,N(对接源_02物料!$B1195)&gt;$L$3),0,1))</f>
        <v>0</v>
      </c>
      <c r="M2395" s="1" t="n">
        <f aca="false">IF(OR($M$1="",对接源_02物料!$C1195="",对接源_02物料!$C1195&lt;&gt;$M$1,对接源_02物料!$B1195=""),0,IF(OR(N(对接源_02物料!$B1195)&lt;$M$2,N(对接源_02物料!$B1195)&gt;$M$3),0,1))</f>
        <v>0</v>
      </c>
      <c r="N2395" s="1" t="n">
        <f aca="false">IF(OR($N$1="",对接源_02物料!$C1195="",对接源_02物料!$C1195&lt;&gt;$N$1,对接源_02物料!$B1195=""),0,IF(OR(N(对接源_02物料!$B1195)&lt;$N$2,N(对接源_02物料!$B1195)&gt;$N$3),0,1))</f>
        <v>0</v>
      </c>
      <c r="P2395" s="1" t="n">
        <f aca="false">IF(AND($K2395=1,AND(对接源_02物料!$X1195="公司筐",N(对接源_02物料!$T1195)&lt;&gt;0)),1,0)</f>
        <v>0</v>
      </c>
      <c r="Q2395" s="1" t="n">
        <f aca="false">N(Q2394)+$P2395</f>
        <v>13</v>
      </c>
      <c r="R2395" s="1" t="n">
        <f aca="false">IF(AND($K2395=1,AND(对接源_02物料!$X1195="公司筐",N(对接源_02物料!$U1195)&lt;&gt;0)),1,0)</f>
        <v>0</v>
      </c>
      <c r="S2395" s="1" t="n">
        <f aca="false">N(S2394)+$R2395</f>
        <v>5</v>
      </c>
      <c r="T2395" s="1" t="n">
        <f aca="false">IF(AND($K2395=1,AND(对接源_02物料!$X1195="公司筐",N(对接源_02物料!$V1195)&lt;&gt;0)),1,0)</f>
        <v>0</v>
      </c>
      <c r="U2395" s="1" t="n">
        <f aca="false">N(U2394)+$T2395</f>
        <v>28</v>
      </c>
      <c r="V2395" s="1" t="n">
        <f aca="false">IF(AND($L2395=1,AND(对接源_02物料!$X1195="自备筐",N(对接源_02物料!$V1195)&lt;&gt;0)),1,0)</f>
        <v>0</v>
      </c>
      <c r="W2395" s="1" t="n">
        <f aca="false">N(W2394)+$V2395</f>
        <v>7</v>
      </c>
      <c r="X2395" s="1" t="n">
        <f aca="false">IF(AND($L2395=1,AND(对接源_02物料!$X1195="自备筐",N(对接源_02物料!$T1195)&lt;&gt;0)),1,0)</f>
        <v>0</v>
      </c>
      <c r="Y2395" s="1" t="n">
        <f aca="false">N(Y2394)+$X2395</f>
        <v>0</v>
      </c>
      <c r="Z2395" s="1" t="n">
        <f aca="false">IF(AND($M2395=1,对接源_02物料!$D1195="原料入库"),1,0)</f>
        <v>0</v>
      </c>
      <c r="AA2395" s="1" t="n">
        <f aca="false">N(AA2394)+$Z2395</f>
        <v>30</v>
      </c>
      <c r="AB2395" s="1" t="n">
        <f aca="false">IF(AND($M2395=1,LEFT(对接源_02物料!$D1195,4)="原料出库"),1,0)</f>
        <v>0</v>
      </c>
      <c r="AC2395" s="1" t="n">
        <f aca="false">N(AC2394)+$AB2395</f>
        <v>19</v>
      </c>
      <c r="AD2395" s="1" t="n">
        <f aca="false">IF(AND($M2395=1,LEFT(对接源_02物料!$D1195,4)="成品出库"),1,0)</f>
        <v>0</v>
      </c>
      <c r="AE2395" s="1" t="n">
        <f aca="false">N(AE2394)+$AD2395</f>
        <v>38</v>
      </c>
      <c r="AF2395" s="1" t="n">
        <f aca="false">IF(AND($N2395=1,AND(LEFT(对接源_02物料!$D1195,4)="包装物料",N(对接源_02物料!$K1195)&lt;&gt;0)),1,0)</f>
        <v>0</v>
      </c>
      <c r="AG2395" s="1" t="n">
        <f aca="false">N(AG2394)+$AF2395</f>
        <v>6</v>
      </c>
      <c r="AH2395" s="1" t="n">
        <f aca="false">IF(AND($N2395=1,AND(LEFT(对接源_02物料!$D1195,3)="周转筐",N(对接源_02物料!$K1195)&lt;&gt;0)),1,0)</f>
        <v>0</v>
      </c>
      <c r="AI2395" s="1" t="n">
        <f aca="false">N(AI2394)+$AH2395</f>
        <v>0</v>
      </c>
      <c r="AJ2395" s="1" t="n">
        <v>0</v>
      </c>
      <c r="AK2395" s="1" t="n">
        <f aca="false">N(AK2394)+$AJ2395</f>
        <v>3672</v>
      </c>
    </row>
    <row r="2396" customFormat="false" ht="13.5" hidden="false" customHeight="false" outlineLevel="0" collapsed="false">
      <c r="A2396" s="1" t="str">
        <f aca="false">IF(对接源_02物料!$C1196="","",对接源_02物料!$C1196)</f>
        <v/>
      </c>
      <c r="B2396" s="1" t="n">
        <f aca="false">IF(A2396="",0,IF(MATCH(A2396,$A$4:$A$2403,0)=ROW()-3,1,0))</f>
        <v>0</v>
      </c>
      <c r="C2396" s="1" t="n">
        <f aca="false">N(C2395)+B2396</f>
        <v>17</v>
      </c>
      <c r="K2396" s="1" t="n">
        <f aca="false">IF(OR($K$1="",对接源_02物料!$C1196="",对接源_02物料!$C1196&lt;&gt;$K$1,对接源_02物料!$B1196=""),0,IF(OR(N(对接源_02物料!$B1196)&lt;$K$2,N(对接源_02物料!$B1196)&gt;$K$3),0,1))</f>
        <v>0</v>
      </c>
      <c r="L2396" s="1" t="n">
        <f aca="false">IF(OR($L$1="",对接源_02物料!$C1196="",对接源_02物料!$C1196&lt;&gt;$L$1,对接源_02物料!$B1196=""),0,IF(OR(N(对接源_02物料!$B1196)&lt;$L$2,N(对接源_02物料!$B1196)&gt;$L$3),0,1))</f>
        <v>0</v>
      </c>
      <c r="M2396" s="1" t="n">
        <f aca="false">IF(OR($M$1="",对接源_02物料!$C1196="",对接源_02物料!$C1196&lt;&gt;$M$1,对接源_02物料!$B1196=""),0,IF(OR(N(对接源_02物料!$B1196)&lt;$M$2,N(对接源_02物料!$B1196)&gt;$M$3),0,1))</f>
        <v>0</v>
      </c>
      <c r="N2396" s="1" t="n">
        <f aca="false">IF(OR($N$1="",对接源_02物料!$C1196="",对接源_02物料!$C1196&lt;&gt;$N$1,对接源_02物料!$B1196=""),0,IF(OR(N(对接源_02物料!$B1196)&lt;$N$2,N(对接源_02物料!$B1196)&gt;$N$3),0,1))</f>
        <v>0</v>
      </c>
      <c r="P2396" s="1" t="n">
        <f aca="false">IF(AND($K2396=1,AND(对接源_02物料!$X1196="公司筐",N(对接源_02物料!$T1196)&lt;&gt;0)),1,0)</f>
        <v>0</v>
      </c>
      <c r="Q2396" s="1" t="n">
        <f aca="false">N(Q2395)+$P2396</f>
        <v>13</v>
      </c>
      <c r="R2396" s="1" t="n">
        <f aca="false">IF(AND($K2396=1,AND(对接源_02物料!$X1196="公司筐",N(对接源_02物料!$U1196)&lt;&gt;0)),1,0)</f>
        <v>0</v>
      </c>
      <c r="S2396" s="1" t="n">
        <f aca="false">N(S2395)+$R2396</f>
        <v>5</v>
      </c>
      <c r="T2396" s="1" t="n">
        <f aca="false">IF(AND($K2396=1,AND(对接源_02物料!$X1196="公司筐",N(对接源_02物料!$V1196)&lt;&gt;0)),1,0)</f>
        <v>0</v>
      </c>
      <c r="U2396" s="1" t="n">
        <f aca="false">N(U2395)+$T2396</f>
        <v>28</v>
      </c>
      <c r="V2396" s="1" t="n">
        <f aca="false">IF(AND($L2396=1,AND(对接源_02物料!$X1196="自备筐",N(对接源_02物料!$V1196)&lt;&gt;0)),1,0)</f>
        <v>0</v>
      </c>
      <c r="W2396" s="1" t="n">
        <f aca="false">N(W2395)+$V2396</f>
        <v>7</v>
      </c>
      <c r="X2396" s="1" t="n">
        <f aca="false">IF(AND($L2396=1,AND(对接源_02物料!$X1196="自备筐",N(对接源_02物料!$T1196)&lt;&gt;0)),1,0)</f>
        <v>0</v>
      </c>
      <c r="Y2396" s="1" t="n">
        <f aca="false">N(Y2395)+$X2396</f>
        <v>0</v>
      </c>
      <c r="Z2396" s="1" t="n">
        <f aca="false">IF(AND($M2396=1,对接源_02物料!$D1196="原料入库"),1,0)</f>
        <v>0</v>
      </c>
      <c r="AA2396" s="1" t="n">
        <f aca="false">N(AA2395)+$Z2396</f>
        <v>30</v>
      </c>
      <c r="AB2396" s="1" t="n">
        <f aca="false">IF(AND($M2396=1,LEFT(对接源_02物料!$D1196,4)="原料出库"),1,0)</f>
        <v>0</v>
      </c>
      <c r="AC2396" s="1" t="n">
        <f aca="false">N(AC2395)+$AB2396</f>
        <v>19</v>
      </c>
      <c r="AD2396" s="1" t="n">
        <f aca="false">IF(AND($M2396=1,LEFT(对接源_02物料!$D1196,4)="成品出库"),1,0)</f>
        <v>0</v>
      </c>
      <c r="AE2396" s="1" t="n">
        <f aca="false">N(AE2395)+$AD2396</f>
        <v>38</v>
      </c>
      <c r="AF2396" s="1" t="n">
        <f aca="false">IF(AND($N2396=1,AND(LEFT(对接源_02物料!$D1196,4)="包装物料",N(对接源_02物料!$K1196)&lt;&gt;0)),1,0)</f>
        <v>0</v>
      </c>
      <c r="AG2396" s="1" t="n">
        <f aca="false">N(AG2395)+$AF2396</f>
        <v>6</v>
      </c>
      <c r="AH2396" s="1" t="n">
        <f aca="false">IF(AND($N2396=1,AND(LEFT(对接源_02物料!$D1196,3)="周转筐",N(对接源_02物料!$K1196)&lt;&gt;0)),1,0)</f>
        <v>0</v>
      </c>
      <c r="AI2396" s="1" t="n">
        <f aca="false">N(AI2395)+$AH2396</f>
        <v>0</v>
      </c>
      <c r="AJ2396" s="1" t="n">
        <v>0</v>
      </c>
      <c r="AK2396" s="1" t="n">
        <f aca="false">N(AK2395)+$AJ2396</f>
        <v>3672</v>
      </c>
    </row>
    <row r="2397" customFormat="false" ht="13.5" hidden="false" customHeight="false" outlineLevel="0" collapsed="false">
      <c r="A2397" s="1" t="str">
        <f aca="false">IF(对接源_02物料!$C1197="","",对接源_02物料!$C1197)</f>
        <v/>
      </c>
      <c r="B2397" s="1" t="n">
        <f aca="false">IF(A2397="",0,IF(MATCH(A2397,$A$4:$A$2403,0)=ROW()-3,1,0))</f>
        <v>0</v>
      </c>
      <c r="C2397" s="1" t="n">
        <f aca="false">N(C2396)+B2397</f>
        <v>17</v>
      </c>
      <c r="K2397" s="1" t="n">
        <f aca="false">IF(OR($K$1="",对接源_02物料!$C1197="",对接源_02物料!$C1197&lt;&gt;$K$1,对接源_02物料!$B1197=""),0,IF(OR(N(对接源_02物料!$B1197)&lt;$K$2,N(对接源_02物料!$B1197)&gt;$K$3),0,1))</f>
        <v>0</v>
      </c>
      <c r="L2397" s="1" t="n">
        <f aca="false">IF(OR($L$1="",对接源_02物料!$C1197="",对接源_02物料!$C1197&lt;&gt;$L$1,对接源_02物料!$B1197=""),0,IF(OR(N(对接源_02物料!$B1197)&lt;$L$2,N(对接源_02物料!$B1197)&gt;$L$3),0,1))</f>
        <v>0</v>
      </c>
      <c r="M2397" s="1" t="n">
        <f aca="false">IF(OR($M$1="",对接源_02物料!$C1197="",对接源_02物料!$C1197&lt;&gt;$M$1,对接源_02物料!$B1197=""),0,IF(OR(N(对接源_02物料!$B1197)&lt;$M$2,N(对接源_02物料!$B1197)&gt;$M$3),0,1))</f>
        <v>0</v>
      </c>
      <c r="N2397" s="1" t="n">
        <f aca="false">IF(OR($N$1="",对接源_02物料!$C1197="",对接源_02物料!$C1197&lt;&gt;$N$1,对接源_02物料!$B1197=""),0,IF(OR(N(对接源_02物料!$B1197)&lt;$N$2,N(对接源_02物料!$B1197)&gt;$N$3),0,1))</f>
        <v>0</v>
      </c>
      <c r="P2397" s="1" t="n">
        <f aca="false">IF(AND($K2397=1,AND(对接源_02物料!$X1197="公司筐",N(对接源_02物料!$T1197)&lt;&gt;0)),1,0)</f>
        <v>0</v>
      </c>
      <c r="Q2397" s="1" t="n">
        <f aca="false">N(Q2396)+$P2397</f>
        <v>13</v>
      </c>
      <c r="R2397" s="1" t="n">
        <f aca="false">IF(AND($K2397=1,AND(对接源_02物料!$X1197="公司筐",N(对接源_02物料!$U1197)&lt;&gt;0)),1,0)</f>
        <v>0</v>
      </c>
      <c r="S2397" s="1" t="n">
        <f aca="false">N(S2396)+$R2397</f>
        <v>5</v>
      </c>
      <c r="T2397" s="1" t="n">
        <f aca="false">IF(AND($K2397=1,AND(对接源_02物料!$X1197="公司筐",N(对接源_02物料!$V1197)&lt;&gt;0)),1,0)</f>
        <v>0</v>
      </c>
      <c r="U2397" s="1" t="n">
        <f aca="false">N(U2396)+$T2397</f>
        <v>28</v>
      </c>
      <c r="V2397" s="1" t="n">
        <f aca="false">IF(AND($L2397=1,AND(对接源_02物料!$X1197="自备筐",N(对接源_02物料!$V1197)&lt;&gt;0)),1,0)</f>
        <v>0</v>
      </c>
      <c r="W2397" s="1" t="n">
        <f aca="false">N(W2396)+$V2397</f>
        <v>7</v>
      </c>
      <c r="X2397" s="1" t="n">
        <f aca="false">IF(AND($L2397=1,AND(对接源_02物料!$X1197="自备筐",N(对接源_02物料!$T1197)&lt;&gt;0)),1,0)</f>
        <v>0</v>
      </c>
      <c r="Y2397" s="1" t="n">
        <f aca="false">N(Y2396)+$X2397</f>
        <v>0</v>
      </c>
      <c r="Z2397" s="1" t="n">
        <f aca="false">IF(AND($M2397=1,对接源_02物料!$D1197="原料入库"),1,0)</f>
        <v>0</v>
      </c>
      <c r="AA2397" s="1" t="n">
        <f aca="false">N(AA2396)+$Z2397</f>
        <v>30</v>
      </c>
      <c r="AB2397" s="1" t="n">
        <f aca="false">IF(AND($M2397=1,LEFT(对接源_02物料!$D1197,4)="原料出库"),1,0)</f>
        <v>0</v>
      </c>
      <c r="AC2397" s="1" t="n">
        <f aca="false">N(AC2396)+$AB2397</f>
        <v>19</v>
      </c>
      <c r="AD2397" s="1" t="n">
        <f aca="false">IF(AND($M2397=1,LEFT(对接源_02物料!$D1197,4)="成品出库"),1,0)</f>
        <v>0</v>
      </c>
      <c r="AE2397" s="1" t="n">
        <f aca="false">N(AE2396)+$AD2397</f>
        <v>38</v>
      </c>
      <c r="AF2397" s="1" t="n">
        <f aca="false">IF(AND($N2397=1,AND(LEFT(对接源_02物料!$D1197,4)="包装物料",N(对接源_02物料!$K1197)&lt;&gt;0)),1,0)</f>
        <v>0</v>
      </c>
      <c r="AG2397" s="1" t="n">
        <f aca="false">N(AG2396)+$AF2397</f>
        <v>6</v>
      </c>
      <c r="AH2397" s="1" t="n">
        <f aca="false">IF(AND($N2397=1,AND(LEFT(对接源_02物料!$D1197,3)="周转筐",N(对接源_02物料!$K1197)&lt;&gt;0)),1,0)</f>
        <v>0</v>
      </c>
      <c r="AI2397" s="1" t="n">
        <f aca="false">N(AI2396)+$AH2397</f>
        <v>0</v>
      </c>
      <c r="AJ2397" s="1" t="n">
        <v>0</v>
      </c>
      <c r="AK2397" s="1" t="n">
        <f aca="false">N(AK2396)+$AJ2397</f>
        <v>3672</v>
      </c>
    </row>
    <row r="2398" customFormat="false" ht="13.5" hidden="false" customHeight="false" outlineLevel="0" collapsed="false">
      <c r="A2398" s="1" t="str">
        <f aca="false">IF(对接源_02物料!$C1198="","",对接源_02物料!$C1198)</f>
        <v/>
      </c>
      <c r="B2398" s="1" t="n">
        <f aca="false">IF(A2398="",0,IF(MATCH(A2398,$A$4:$A$2403,0)=ROW()-3,1,0))</f>
        <v>0</v>
      </c>
      <c r="C2398" s="1" t="n">
        <f aca="false">N(C2397)+B2398</f>
        <v>17</v>
      </c>
      <c r="K2398" s="1" t="n">
        <f aca="false">IF(OR($K$1="",对接源_02物料!$C1198="",对接源_02物料!$C1198&lt;&gt;$K$1,对接源_02物料!$B1198=""),0,IF(OR(N(对接源_02物料!$B1198)&lt;$K$2,N(对接源_02物料!$B1198)&gt;$K$3),0,1))</f>
        <v>0</v>
      </c>
      <c r="L2398" s="1" t="n">
        <f aca="false">IF(OR($L$1="",对接源_02物料!$C1198="",对接源_02物料!$C1198&lt;&gt;$L$1,对接源_02物料!$B1198=""),0,IF(OR(N(对接源_02物料!$B1198)&lt;$L$2,N(对接源_02物料!$B1198)&gt;$L$3),0,1))</f>
        <v>0</v>
      </c>
      <c r="M2398" s="1" t="n">
        <f aca="false">IF(OR($M$1="",对接源_02物料!$C1198="",对接源_02物料!$C1198&lt;&gt;$M$1,对接源_02物料!$B1198=""),0,IF(OR(N(对接源_02物料!$B1198)&lt;$M$2,N(对接源_02物料!$B1198)&gt;$M$3),0,1))</f>
        <v>0</v>
      </c>
      <c r="N2398" s="1" t="n">
        <f aca="false">IF(OR($N$1="",对接源_02物料!$C1198="",对接源_02物料!$C1198&lt;&gt;$N$1,对接源_02物料!$B1198=""),0,IF(OR(N(对接源_02物料!$B1198)&lt;$N$2,N(对接源_02物料!$B1198)&gt;$N$3),0,1))</f>
        <v>0</v>
      </c>
      <c r="P2398" s="1" t="n">
        <f aca="false">IF(AND($K2398=1,AND(对接源_02物料!$X1198="公司筐",N(对接源_02物料!$T1198)&lt;&gt;0)),1,0)</f>
        <v>0</v>
      </c>
      <c r="Q2398" s="1" t="n">
        <f aca="false">N(Q2397)+$P2398</f>
        <v>13</v>
      </c>
      <c r="R2398" s="1" t="n">
        <f aca="false">IF(AND($K2398=1,AND(对接源_02物料!$X1198="公司筐",N(对接源_02物料!$U1198)&lt;&gt;0)),1,0)</f>
        <v>0</v>
      </c>
      <c r="S2398" s="1" t="n">
        <f aca="false">N(S2397)+$R2398</f>
        <v>5</v>
      </c>
      <c r="T2398" s="1" t="n">
        <f aca="false">IF(AND($K2398=1,AND(对接源_02物料!$X1198="公司筐",N(对接源_02物料!$V1198)&lt;&gt;0)),1,0)</f>
        <v>0</v>
      </c>
      <c r="U2398" s="1" t="n">
        <f aca="false">N(U2397)+$T2398</f>
        <v>28</v>
      </c>
      <c r="V2398" s="1" t="n">
        <f aca="false">IF(AND($L2398=1,AND(对接源_02物料!$X1198="自备筐",N(对接源_02物料!$V1198)&lt;&gt;0)),1,0)</f>
        <v>0</v>
      </c>
      <c r="W2398" s="1" t="n">
        <f aca="false">N(W2397)+$V2398</f>
        <v>7</v>
      </c>
      <c r="X2398" s="1" t="n">
        <f aca="false">IF(AND($L2398=1,AND(对接源_02物料!$X1198="自备筐",N(对接源_02物料!$T1198)&lt;&gt;0)),1,0)</f>
        <v>0</v>
      </c>
      <c r="Y2398" s="1" t="n">
        <f aca="false">N(Y2397)+$X2398</f>
        <v>0</v>
      </c>
      <c r="Z2398" s="1" t="n">
        <f aca="false">IF(AND($M2398=1,对接源_02物料!$D1198="原料入库"),1,0)</f>
        <v>0</v>
      </c>
      <c r="AA2398" s="1" t="n">
        <f aca="false">N(AA2397)+$Z2398</f>
        <v>30</v>
      </c>
      <c r="AB2398" s="1" t="n">
        <f aca="false">IF(AND($M2398=1,LEFT(对接源_02物料!$D1198,4)="原料出库"),1,0)</f>
        <v>0</v>
      </c>
      <c r="AC2398" s="1" t="n">
        <f aca="false">N(AC2397)+$AB2398</f>
        <v>19</v>
      </c>
      <c r="AD2398" s="1" t="n">
        <f aca="false">IF(AND($M2398=1,LEFT(对接源_02物料!$D1198,4)="成品出库"),1,0)</f>
        <v>0</v>
      </c>
      <c r="AE2398" s="1" t="n">
        <f aca="false">N(AE2397)+$AD2398</f>
        <v>38</v>
      </c>
      <c r="AF2398" s="1" t="n">
        <f aca="false">IF(AND($N2398=1,AND(LEFT(对接源_02物料!$D1198,4)="包装物料",N(对接源_02物料!$K1198)&lt;&gt;0)),1,0)</f>
        <v>0</v>
      </c>
      <c r="AG2398" s="1" t="n">
        <f aca="false">N(AG2397)+$AF2398</f>
        <v>6</v>
      </c>
      <c r="AH2398" s="1" t="n">
        <f aca="false">IF(AND($N2398=1,AND(LEFT(对接源_02物料!$D1198,3)="周转筐",N(对接源_02物料!$K1198)&lt;&gt;0)),1,0)</f>
        <v>0</v>
      </c>
      <c r="AI2398" s="1" t="n">
        <f aca="false">N(AI2397)+$AH2398</f>
        <v>0</v>
      </c>
      <c r="AJ2398" s="1" t="n">
        <v>0</v>
      </c>
      <c r="AK2398" s="1" t="n">
        <f aca="false">N(AK2397)+$AJ2398</f>
        <v>3672</v>
      </c>
    </row>
    <row r="2399" customFormat="false" ht="13.5" hidden="false" customHeight="false" outlineLevel="0" collapsed="false">
      <c r="A2399" s="1" t="str">
        <f aca="false">IF(对接源_02物料!$C1199="","",对接源_02物料!$C1199)</f>
        <v/>
      </c>
      <c r="B2399" s="1" t="n">
        <f aca="false">IF(A2399="",0,IF(MATCH(A2399,$A$4:$A$2403,0)=ROW()-3,1,0))</f>
        <v>0</v>
      </c>
      <c r="C2399" s="1" t="n">
        <f aca="false">N(C2398)+B2399</f>
        <v>17</v>
      </c>
      <c r="K2399" s="1" t="n">
        <f aca="false">IF(OR($K$1="",对接源_02物料!$C1199="",对接源_02物料!$C1199&lt;&gt;$K$1,对接源_02物料!$B1199=""),0,IF(OR(N(对接源_02物料!$B1199)&lt;$K$2,N(对接源_02物料!$B1199)&gt;$K$3),0,1))</f>
        <v>0</v>
      </c>
      <c r="L2399" s="1" t="n">
        <f aca="false">IF(OR($L$1="",对接源_02物料!$C1199="",对接源_02物料!$C1199&lt;&gt;$L$1,对接源_02物料!$B1199=""),0,IF(OR(N(对接源_02物料!$B1199)&lt;$L$2,N(对接源_02物料!$B1199)&gt;$L$3),0,1))</f>
        <v>0</v>
      </c>
      <c r="M2399" s="1" t="n">
        <f aca="false">IF(OR($M$1="",对接源_02物料!$C1199="",对接源_02物料!$C1199&lt;&gt;$M$1,对接源_02物料!$B1199=""),0,IF(OR(N(对接源_02物料!$B1199)&lt;$M$2,N(对接源_02物料!$B1199)&gt;$M$3),0,1))</f>
        <v>0</v>
      </c>
      <c r="N2399" s="1" t="n">
        <f aca="false">IF(OR($N$1="",对接源_02物料!$C1199="",对接源_02物料!$C1199&lt;&gt;$N$1,对接源_02物料!$B1199=""),0,IF(OR(N(对接源_02物料!$B1199)&lt;$N$2,N(对接源_02物料!$B1199)&gt;$N$3),0,1))</f>
        <v>0</v>
      </c>
      <c r="P2399" s="1" t="n">
        <f aca="false">IF(AND($K2399=1,AND(对接源_02物料!$X1199="公司筐",N(对接源_02物料!$T1199)&lt;&gt;0)),1,0)</f>
        <v>0</v>
      </c>
      <c r="Q2399" s="1" t="n">
        <f aca="false">N(Q2398)+$P2399</f>
        <v>13</v>
      </c>
      <c r="R2399" s="1" t="n">
        <f aca="false">IF(AND($K2399=1,AND(对接源_02物料!$X1199="公司筐",N(对接源_02物料!$U1199)&lt;&gt;0)),1,0)</f>
        <v>0</v>
      </c>
      <c r="S2399" s="1" t="n">
        <f aca="false">N(S2398)+$R2399</f>
        <v>5</v>
      </c>
      <c r="T2399" s="1" t="n">
        <f aca="false">IF(AND($K2399=1,AND(对接源_02物料!$X1199="公司筐",N(对接源_02物料!$V1199)&lt;&gt;0)),1,0)</f>
        <v>0</v>
      </c>
      <c r="U2399" s="1" t="n">
        <f aca="false">N(U2398)+$T2399</f>
        <v>28</v>
      </c>
      <c r="V2399" s="1" t="n">
        <f aca="false">IF(AND($L2399=1,AND(对接源_02物料!$X1199="自备筐",N(对接源_02物料!$V1199)&lt;&gt;0)),1,0)</f>
        <v>0</v>
      </c>
      <c r="W2399" s="1" t="n">
        <f aca="false">N(W2398)+$V2399</f>
        <v>7</v>
      </c>
      <c r="X2399" s="1" t="n">
        <f aca="false">IF(AND($L2399=1,AND(对接源_02物料!$X1199="自备筐",N(对接源_02物料!$T1199)&lt;&gt;0)),1,0)</f>
        <v>0</v>
      </c>
      <c r="Y2399" s="1" t="n">
        <f aca="false">N(Y2398)+$X2399</f>
        <v>0</v>
      </c>
      <c r="Z2399" s="1" t="n">
        <f aca="false">IF(AND($M2399=1,对接源_02物料!$D1199="原料入库"),1,0)</f>
        <v>0</v>
      </c>
      <c r="AA2399" s="1" t="n">
        <f aca="false">N(AA2398)+$Z2399</f>
        <v>30</v>
      </c>
      <c r="AB2399" s="1" t="n">
        <f aca="false">IF(AND($M2399=1,LEFT(对接源_02物料!$D1199,4)="原料出库"),1,0)</f>
        <v>0</v>
      </c>
      <c r="AC2399" s="1" t="n">
        <f aca="false">N(AC2398)+$AB2399</f>
        <v>19</v>
      </c>
      <c r="AD2399" s="1" t="n">
        <f aca="false">IF(AND($M2399=1,LEFT(对接源_02物料!$D1199,4)="成品出库"),1,0)</f>
        <v>0</v>
      </c>
      <c r="AE2399" s="1" t="n">
        <f aca="false">N(AE2398)+$AD2399</f>
        <v>38</v>
      </c>
      <c r="AF2399" s="1" t="n">
        <f aca="false">IF(AND($N2399=1,AND(LEFT(对接源_02物料!$D1199,4)="包装物料",N(对接源_02物料!$K1199)&lt;&gt;0)),1,0)</f>
        <v>0</v>
      </c>
      <c r="AG2399" s="1" t="n">
        <f aca="false">N(AG2398)+$AF2399</f>
        <v>6</v>
      </c>
      <c r="AH2399" s="1" t="n">
        <f aca="false">IF(AND($N2399=1,AND(LEFT(对接源_02物料!$D1199,3)="周转筐",N(对接源_02物料!$K1199)&lt;&gt;0)),1,0)</f>
        <v>0</v>
      </c>
      <c r="AI2399" s="1" t="n">
        <f aca="false">N(AI2398)+$AH2399</f>
        <v>0</v>
      </c>
      <c r="AJ2399" s="1" t="n">
        <v>0</v>
      </c>
      <c r="AK2399" s="1" t="n">
        <f aca="false">N(AK2398)+$AJ2399</f>
        <v>3672</v>
      </c>
    </row>
    <row r="2400" customFormat="false" ht="13.5" hidden="false" customHeight="false" outlineLevel="0" collapsed="false">
      <c r="A2400" s="1" t="str">
        <f aca="false">IF(对接源_02物料!$C1200="","",对接源_02物料!$C1200)</f>
        <v/>
      </c>
      <c r="B2400" s="1" t="n">
        <f aca="false">IF(A2400="",0,IF(MATCH(A2400,$A$4:$A$2403,0)=ROW()-3,1,0))</f>
        <v>0</v>
      </c>
      <c r="C2400" s="1" t="n">
        <f aca="false">N(C2399)+B2400</f>
        <v>17</v>
      </c>
      <c r="K2400" s="1" t="n">
        <f aca="false">IF(OR($K$1="",对接源_02物料!$C1200="",对接源_02物料!$C1200&lt;&gt;$K$1,对接源_02物料!$B1200=""),0,IF(OR(N(对接源_02物料!$B1200)&lt;$K$2,N(对接源_02物料!$B1200)&gt;$K$3),0,1))</f>
        <v>0</v>
      </c>
      <c r="L2400" s="1" t="n">
        <f aca="false">IF(OR($L$1="",对接源_02物料!$C1200="",对接源_02物料!$C1200&lt;&gt;$L$1,对接源_02物料!$B1200=""),0,IF(OR(N(对接源_02物料!$B1200)&lt;$L$2,N(对接源_02物料!$B1200)&gt;$L$3),0,1))</f>
        <v>0</v>
      </c>
      <c r="M2400" s="1" t="n">
        <f aca="false">IF(OR($M$1="",对接源_02物料!$C1200="",对接源_02物料!$C1200&lt;&gt;$M$1,对接源_02物料!$B1200=""),0,IF(OR(N(对接源_02物料!$B1200)&lt;$M$2,N(对接源_02物料!$B1200)&gt;$M$3),0,1))</f>
        <v>0</v>
      </c>
      <c r="N2400" s="1" t="n">
        <f aca="false">IF(OR($N$1="",对接源_02物料!$C1200="",对接源_02物料!$C1200&lt;&gt;$N$1,对接源_02物料!$B1200=""),0,IF(OR(N(对接源_02物料!$B1200)&lt;$N$2,N(对接源_02物料!$B1200)&gt;$N$3),0,1))</f>
        <v>0</v>
      </c>
      <c r="P2400" s="1" t="n">
        <f aca="false">IF(AND($K2400=1,AND(对接源_02物料!$X1200="公司筐",N(对接源_02物料!$T1200)&lt;&gt;0)),1,0)</f>
        <v>0</v>
      </c>
      <c r="Q2400" s="1" t="n">
        <f aca="false">N(Q2399)+$P2400</f>
        <v>13</v>
      </c>
      <c r="R2400" s="1" t="n">
        <f aca="false">IF(AND($K2400=1,AND(对接源_02物料!$X1200="公司筐",N(对接源_02物料!$U1200)&lt;&gt;0)),1,0)</f>
        <v>0</v>
      </c>
      <c r="S2400" s="1" t="n">
        <f aca="false">N(S2399)+$R2400</f>
        <v>5</v>
      </c>
      <c r="T2400" s="1" t="n">
        <f aca="false">IF(AND($K2400=1,AND(对接源_02物料!$X1200="公司筐",N(对接源_02物料!$V1200)&lt;&gt;0)),1,0)</f>
        <v>0</v>
      </c>
      <c r="U2400" s="1" t="n">
        <f aca="false">N(U2399)+$T2400</f>
        <v>28</v>
      </c>
      <c r="V2400" s="1" t="n">
        <f aca="false">IF(AND($L2400=1,AND(对接源_02物料!$X1200="自备筐",N(对接源_02物料!$V1200)&lt;&gt;0)),1,0)</f>
        <v>0</v>
      </c>
      <c r="W2400" s="1" t="n">
        <f aca="false">N(W2399)+$V2400</f>
        <v>7</v>
      </c>
      <c r="X2400" s="1" t="n">
        <f aca="false">IF(AND($L2400=1,AND(对接源_02物料!$X1200="自备筐",N(对接源_02物料!$T1200)&lt;&gt;0)),1,0)</f>
        <v>0</v>
      </c>
      <c r="Y2400" s="1" t="n">
        <f aca="false">N(Y2399)+$X2400</f>
        <v>0</v>
      </c>
      <c r="Z2400" s="1" t="n">
        <f aca="false">IF(AND($M2400=1,对接源_02物料!$D1200="原料入库"),1,0)</f>
        <v>0</v>
      </c>
      <c r="AA2400" s="1" t="n">
        <f aca="false">N(AA2399)+$Z2400</f>
        <v>30</v>
      </c>
      <c r="AB2400" s="1" t="n">
        <f aca="false">IF(AND($M2400=1,LEFT(对接源_02物料!$D1200,4)="原料出库"),1,0)</f>
        <v>0</v>
      </c>
      <c r="AC2400" s="1" t="n">
        <f aca="false">N(AC2399)+$AB2400</f>
        <v>19</v>
      </c>
      <c r="AD2400" s="1" t="n">
        <f aca="false">IF(AND($M2400=1,LEFT(对接源_02物料!$D1200,4)="成品出库"),1,0)</f>
        <v>0</v>
      </c>
      <c r="AE2400" s="1" t="n">
        <f aca="false">N(AE2399)+$AD2400</f>
        <v>38</v>
      </c>
      <c r="AF2400" s="1" t="n">
        <f aca="false">IF(AND($N2400=1,AND(LEFT(对接源_02物料!$D1200,4)="包装物料",N(对接源_02物料!$K1200)&lt;&gt;0)),1,0)</f>
        <v>0</v>
      </c>
      <c r="AG2400" s="1" t="n">
        <f aca="false">N(AG2399)+$AF2400</f>
        <v>6</v>
      </c>
      <c r="AH2400" s="1" t="n">
        <f aca="false">IF(AND($N2400=1,AND(LEFT(对接源_02物料!$D1200,3)="周转筐",N(对接源_02物料!$K1200)&lt;&gt;0)),1,0)</f>
        <v>0</v>
      </c>
      <c r="AI2400" s="1" t="n">
        <f aca="false">N(AI2399)+$AH2400</f>
        <v>0</v>
      </c>
      <c r="AJ2400" s="1" t="n">
        <v>0</v>
      </c>
      <c r="AK2400" s="1" t="n">
        <f aca="false">N(AK2399)+$AJ2400</f>
        <v>3672</v>
      </c>
    </row>
    <row r="2401" customFormat="false" ht="13.5" hidden="false" customHeight="false" outlineLevel="0" collapsed="false">
      <c r="A2401" s="1" t="str">
        <f aca="false">IF(对接源_02物料!$C1201="","",对接源_02物料!$C1201)</f>
        <v/>
      </c>
      <c r="B2401" s="1" t="n">
        <f aca="false">IF(A2401="",0,IF(MATCH(A2401,$A$4:$A$2403,0)=ROW()-3,1,0))</f>
        <v>0</v>
      </c>
      <c r="C2401" s="1" t="n">
        <f aca="false">N(C2400)+B2401</f>
        <v>17</v>
      </c>
      <c r="K2401" s="1" t="n">
        <f aca="false">IF(OR($K$1="",对接源_02物料!$C1201="",对接源_02物料!$C1201&lt;&gt;$K$1,对接源_02物料!$B1201=""),0,IF(OR(N(对接源_02物料!$B1201)&lt;$K$2,N(对接源_02物料!$B1201)&gt;$K$3),0,1))</f>
        <v>0</v>
      </c>
      <c r="L2401" s="1" t="n">
        <f aca="false">IF(OR($L$1="",对接源_02物料!$C1201="",对接源_02物料!$C1201&lt;&gt;$L$1,对接源_02物料!$B1201=""),0,IF(OR(N(对接源_02物料!$B1201)&lt;$L$2,N(对接源_02物料!$B1201)&gt;$L$3),0,1))</f>
        <v>0</v>
      </c>
      <c r="M2401" s="1" t="n">
        <f aca="false">IF(OR($M$1="",对接源_02物料!$C1201="",对接源_02物料!$C1201&lt;&gt;$M$1,对接源_02物料!$B1201=""),0,IF(OR(N(对接源_02物料!$B1201)&lt;$M$2,N(对接源_02物料!$B1201)&gt;$M$3),0,1))</f>
        <v>0</v>
      </c>
      <c r="N2401" s="1" t="n">
        <f aca="false">IF(OR($N$1="",对接源_02物料!$C1201="",对接源_02物料!$C1201&lt;&gt;$N$1,对接源_02物料!$B1201=""),0,IF(OR(N(对接源_02物料!$B1201)&lt;$N$2,N(对接源_02物料!$B1201)&gt;$N$3),0,1))</f>
        <v>0</v>
      </c>
      <c r="P2401" s="1" t="n">
        <f aca="false">IF(AND($K2401=1,AND(对接源_02物料!$X1201="公司筐",N(对接源_02物料!$T1201)&lt;&gt;0)),1,0)</f>
        <v>0</v>
      </c>
      <c r="Q2401" s="1" t="n">
        <f aca="false">N(Q2400)+$P2401</f>
        <v>13</v>
      </c>
      <c r="R2401" s="1" t="n">
        <f aca="false">IF(AND($K2401=1,AND(对接源_02物料!$X1201="公司筐",N(对接源_02物料!$U1201)&lt;&gt;0)),1,0)</f>
        <v>0</v>
      </c>
      <c r="S2401" s="1" t="n">
        <f aca="false">N(S2400)+$R2401</f>
        <v>5</v>
      </c>
      <c r="T2401" s="1" t="n">
        <f aca="false">IF(AND($K2401=1,AND(对接源_02物料!$X1201="公司筐",N(对接源_02物料!$V1201)&lt;&gt;0)),1,0)</f>
        <v>0</v>
      </c>
      <c r="U2401" s="1" t="n">
        <f aca="false">N(U2400)+$T2401</f>
        <v>28</v>
      </c>
      <c r="V2401" s="1" t="n">
        <f aca="false">IF(AND($L2401=1,AND(对接源_02物料!$X1201="自备筐",N(对接源_02物料!$V1201)&lt;&gt;0)),1,0)</f>
        <v>0</v>
      </c>
      <c r="W2401" s="1" t="n">
        <f aca="false">N(W2400)+$V2401</f>
        <v>7</v>
      </c>
      <c r="X2401" s="1" t="n">
        <f aca="false">IF(AND($L2401=1,AND(对接源_02物料!$X1201="自备筐",N(对接源_02物料!$T1201)&lt;&gt;0)),1,0)</f>
        <v>0</v>
      </c>
      <c r="Y2401" s="1" t="n">
        <f aca="false">N(Y2400)+$X2401</f>
        <v>0</v>
      </c>
      <c r="Z2401" s="1" t="n">
        <f aca="false">IF(AND($M2401=1,对接源_02物料!$D1201="原料入库"),1,0)</f>
        <v>0</v>
      </c>
      <c r="AA2401" s="1" t="n">
        <f aca="false">N(AA2400)+$Z2401</f>
        <v>30</v>
      </c>
      <c r="AB2401" s="1" t="n">
        <f aca="false">IF(AND($M2401=1,LEFT(对接源_02物料!$D1201,4)="原料出库"),1,0)</f>
        <v>0</v>
      </c>
      <c r="AC2401" s="1" t="n">
        <f aca="false">N(AC2400)+$AB2401</f>
        <v>19</v>
      </c>
      <c r="AD2401" s="1" t="n">
        <f aca="false">IF(AND($M2401=1,LEFT(对接源_02物料!$D1201,4)="成品出库"),1,0)</f>
        <v>0</v>
      </c>
      <c r="AE2401" s="1" t="n">
        <f aca="false">N(AE2400)+$AD2401</f>
        <v>38</v>
      </c>
      <c r="AF2401" s="1" t="n">
        <f aca="false">IF(AND($N2401=1,AND(LEFT(对接源_02物料!$D1201,4)="包装物料",N(对接源_02物料!$K1201)&lt;&gt;0)),1,0)</f>
        <v>0</v>
      </c>
      <c r="AG2401" s="1" t="n">
        <f aca="false">N(AG2400)+$AF2401</f>
        <v>6</v>
      </c>
      <c r="AH2401" s="1" t="n">
        <f aca="false">IF(AND($N2401=1,AND(LEFT(对接源_02物料!$D1201,3)="周转筐",N(对接源_02物料!$K1201)&lt;&gt;0)),1,0)</f>
        <v>0</v>
      </c>
      <c r="AI2401" s="1" t="n">
        <f aca="false">N(AI2400)+$AH2401</f>
        <v>0</v>
      </c>
      <c r="AJ2401" s="1" t="n">
        <v>0</v>
      </c>
      <c r="AK2401" s="1" t="n">
        <f aca="false">N(AK2400)+$AJ2401</f>
        <v>3672</v>
      </c>
    </row>
    <row r="2402" customFormat="false" ht="13.5" hidden="false" customHeight="false" outlineLevel="0" collapsed="false">
      <c r="A2402" s="1" t="str">
        <f aca="false">IF(对接源_02物料!$C1202="","",对接源_02物料!$C1202)</f>
        <v/>
      </c>
      <c r="B2402" s="1" t="n">
        <f aca="false">IF(A2402="",0,IF(MATCH(A2402,$A$4:$A$2403,0)=ROW()-3,1,0))</f>
        <v>0</v>
      </c>
      <c r="C2402" s="1" t="n">
        <f aca="false">N(C2401)+B2402</f>
        <v>17</v>
      </c>
      <c r="K2402" s="1" t="n">
        <f aca="false">IF(OR($K$1="",对接源_02物料!$C1202="",对接源_02物料!$C1202&lt;&gt;$K$1,对接源_02物料!$B1202=""),0,IF(OR(N(对接源_02物料!$B1202)&lt;$K$2,N(对接源_02物料!$B1202)&gt;$K$3),0,1))</f>
        <v>0</v>
      </c>
      <c r="L2402" s="1" t="n">
        <f aca="false">IF(OR($L$1="",对接源_02物料!$C1202="",对接源_02物料!$C1202&lt;&gt;$L$1,对接源_02物料!$B1202=""),0,IF(OR(N(对接源_02物料!$B1202)&lt;$L$2,N(对接源_02物料!$B1202)&gt;$L$3),0,1))</f>
        <v>0</v>
      </c>
      <c r="M2402" s="1" t="n">
        <f aca="false">IF(OR($M$1="",对接源_02物料!$C1202="",对接源_02物料!$C1202&lt;&gt;$M$1,对接源_02物料!$B1202=""),0,IF(OR(N(对接源_02物料!$B1202)&lt;$M$2,N(对接源_02物料!$B1202)&gt;$M$3),0,1))</f>
        <v>0</v>
      </c>
      <c r="N2402" s="1" t="n">
        <f aca="false">IF(OR($N$1="",对接源_02物料!$C1202="",对接源_02物料!$C1202&lt;&gt;$N$1,对接源_02物料!$B1202=""),0,IF(OR(N(对接源_02物料!$B1202)&lt;$N$2,N(对接源_02物料!$B1202)&gt;$N$3),0,1))</f>
        <v>0</v>
      </c>
      <c r="P2402" s="1" t="n">
        <f aca="false">IF(AND($K2402=1,AND(对接源_02物料!$X1202="公司筐",N(对接源_02物料!$T1202)&lt;&gt;0)),1,0)</f>
        <v>0</v>
      </c>
      <c r="Q2402" s="1" t="n">
        <f aca="false">N(Q2401)+$P2402</f>
        <v>13</v>
      </c>
      <c r="R2402" s="1" t="n">
        <f aca="false">IF(AND($K2402=1,AND(对接源_02物料!$X1202="公司筐",N(对接源_02物料!$U1202)&lt;&gt;0)),1,0)</f>
        <v>0</v>
      </c>
      <c r="S2402" s="1" t="n">
        <f aca="false">N(S2401)+$R2402</f>
        <v>5</v>
      </c>
      <c r="T2402" s="1" t="n">
        <f aca="false">IF(AND($K2402=1,AND(对接源_02物料!$X1202="公司筐",N(对接源_02物料!$V1202)&lt;&gt;0)),1,0)</f>
        <v>0</v>
      </c>
      <c r="U2402" s="1" t="n">
        <f aca="false">N(U2401)+$T2402</f>
        <v>28</v>
      </c>
      <c r="V2402" s="1" t="n">
        <f aca="false">IF(AND($L2402=1,AND(对接源_02物料!$X1202="自备筐",N(对接源_02物料!$V1202)&lt;&gt;0)),1,0)</f>
        <v>0</v>
      </c>
      <c r="W2402" s="1" t="n">
        <f aca="false">N(W2401)+$V2402</f>
        <v>7</v>
      </c>
      <c r="X2402" s="1" t="n">
        <f aca="false">IF(AND($L2402=1,AND(对接源_02物料!$X1202="自备筐",N(对接源_02物料!$T1202)&lt;&gt;0)),1,0)</f>
        <v>0</v>
      </c>
      <c r="Y2402" s="1" t="n">
        <f aca="false">N(Y2401)+$X2402</f>
        <v>0</v>
      </c>
      <c r="Z2402" s="1" t="n">
        <f aca="false">IF(AND($M2402=1,对接源_02物料!$D1202="原料入库"),1,0)</f>
        <v>0</v>
      </c>
      <c r="AA2402" s="1" t="n">
        <f aca="false">N(AA2401)+$Z2402</f>
        <v>30</v>
      </c>
      <c r="AB2402" s="1" t="n">
        <f aca="false">IF(AND($M2402=1,LEFT(对接源_02物料!$D1202,4)="原料出库"),1,0)</f>
        <v>0</v>
      </c>
      <c r="AC2402" s="1" t="n">
        <f aca="false">N(AC2401)+$AB2402</f>
        <v>19</v>
      </c>
      <c r="AD2402" s="1" t="n">
        <f aca="false">IF(AND($M2402=1,LEFT(对接源_02物料!$D1202,4)="成品出库"),1,0)</f>
        <v>0</v>
      </c>
      <c r="AE2402" s="1" t="n">
        <f aca="false">N(AE2401)+$AD2402</f>
        <v>38</v>
      </c>
      <c r="AF2402" s="1" t="n">
        <f aca="false">IF(AND($N2402=1,AND(LEFT(对接源_02物料!$D1202,4)="包装物料",N(对接源_02物料!$K1202)&lt;&gt;0)),1,0)</f>
        <v>0</v>
      </c>
      <c r="AG2402" s="1" t="n">
        <f aca="false">N(AG2401)+$AF2402</f>
        <v>6</v>
      </c>
      <c r="AH2402" s="1" t="n">
        <f aca="false">IF(AND($N2402=1,AND(LEFT(对接源_02物料!$D1202,3)="周转筐",N(对接源_02物料!$K1202)&lt;&gt;0)),1,0)</f>
        <v>0</v>
      </c>
      <c r="AI2402" s="1" t="n">
        <f aca="false">N(AI2401)+$AH2402</f>
        <v>0</v>
      </c>
      <c r="AJ2402" s="1" t="n">
        <v>0</v>
      </c>
      <c r="AK2402" s="1" t="n">
        <f aca="false">N(AK2401)+$AJ2402</f>
        <v>3672</v>
      </c>
    </row>
    <row r="2403" customFormat="false" ht="13.5" hidden="false" customHeight="false" outlineLevel="0" collapsed="false">
      <c r="A2403" s="1" t="str">
        <f aca="false">IF(对接源_02物料!$C1203="","",对接源_02物料!$C1203)</f>
        <v/>
      </c>
      <c r="B2403" s="1" t="n">
        <f aca="false">IF(A2403="",0,IF(MATCH(A2403,$A$4:$A$2403,0)=ROW()-3,1,0))</f>
        <v>0</v>
      </c>
      <c r="C2403" s="1" t="n">
        <f aca="false">N(C2402)+B2403</f>
        <v>17</v>
      </c>
      <c r="K2403" s="1" t="n">
        <f aca="false">IF(OR($K$1="",对接源_02物料!$C1203="",对接源_02物料!$C1203&lt;&gt;$K$1,对接源_02物料!$B1203=""),0,IF(OR(N(对接源_02物料!$B1203)&lt;$K$2,N(对接源_02物料!$B1203)&gt;$K$3),0,1))</f>
        <v>0</v>
      </c>
      <c r="L2403" s="1" t="n">
        <f aca="false">IF(OR($L$1="",对接源_02物料!$C1203="",对接源_02物料!$C1203&lt;&gt;$L$1,对接源_02物料!$B1203=""),0,IF(OR(N(对接源_02物料!$B1203)&lt;$L$2,N(对接源_02物料!$B1203)&gt;$L$3),0,1))</f>
        <v>0</v>
      </c>
      <c r="M2403" s="1" t="n">
        <f aca="false">IF(OR($M$1="",对接源_02物料!$C1203="",对接源_02物料!$C1203&lt;&gt;$M$1,对接源_02物料!$B1203=""),0,IF(OR(N(对接源_02物料!$B1203)&lt;$M$2,N(对接源_02物料!$B1203)&gt;$M$3),0,1))</f>
        <v>0</v>
      </c>
      <c r="N2403" s="1" t="n">
        <f aca="false">IF(OR($N$1="",对接源_02物料!$C1203="",对接源_02物料!$C1203&lt;&gt;$N$1,对接源_02物料!$B1203=""),0,IF(OR(N(对接源_02物料!$B1203)&lt;$N$2,N(对接源_02物料!$B1203)&gt;$N$3),0,1))</f>
        <v>0</v>
      </c>
      <c r="P2403" s="1" t="n">
        <f aca="false">IF(AND($K2403=1,AND(对接源_02物料!$X1203="公司筐",N(对接源_02物料!$T1203)&lt;&gt;0)),1,0)</f>
        <v>0</v>
      </c>
      <c r="Q2403" s="1" t="n">
        <f aca="false">N(Q2402)+$P2403</f>
        <v>13</v>
      </c>
      <c r="R2403" s="1" t="n">
        <f aca="false">IF(AND($K2403=1,AND(对接源_02物料!$X1203="公司筐",N(对接源_02物料!$U1203)&lt;&gt;0)),1,0)</f>
        <v>0</v>
      </c>
      <c r="S2403" s="1" t="n">
        <f aca="false">N(S2402)+$R2403</f>
        <v>5</v>
      </c>
      <c r="T2403" s="1" t="n">
        <f aca="false">IF(AND($K2403=1,AND(对接源_02物料!$X1203="公司筐",N(对接源_02物料!$V1203)&lt;&gt;0)),1,0)</f>
        <v>0</v>
      </c>
      <c r="U2403" s="1" t="n">
        <f aca="false">N(U2402)+$T2403</f>
        <v>28</v>
      </c>
      <c r="V2403" s="1" t="n">
        <f aca="false">IF(AND($L2403=1,AND(对接源_02物料!$X1203="自备筐",N(对接源_02物料!$V1203)&lt;&gt;0)),1,0)</f>
        <v>0</v>
      </c>
      <c r="W2403" s="1" t="n">
        <f aca="false">N(W2402)+$V2403</f>
        <v>7</v>
      </c>
      <c r="X2403" s="1" t="n">
        <f aca="false">IF(AND($L2403=1,AND(对接源_02物料!$X1203="自备筐",N(对接源_02物料!$T1203)&lt;&gt;0)),1,0)</f>
        <v>0</v>
      </c>
      <c r="Y2403" s="1" t="n">
        <f aca="false">N(Y2402)+$X2403</f>
        <v>0</v>
      </c>
      <c r="Z2403" s="1" t="n">
        <f aca="false">IF(AND($M2403=1,对接源_02物料!$D1203="原料入库"),1,0)</f>
        <v>0</v>
      </c>
      <c r="AA2403" s="1" t="n">
        <f aca="false">N(AA2402)+$Z2403</f>
        <v>30</v>
      </c>
      <c r="AB2403" s="1" t="n">
        <f aca="false">IF(AND($M2403=1,LEFT(对接源_02物料!$D1203,4)="原料出库"),1,0)</f>
        <v>0</v>
      </c>
      <c r="AC2403" s="1" t="n">
        <f aca="false">N(AC2402)+$AB2403</f>
        <v>19</v>
      </c>
      <c r="AD2403" s="1" t="n">
        <f aca="false">IF(AND($M2403=1,LEFT(对接源_02物料!$D1203,4)="成品出库"),1,0)</f>
        <v>0</v>
      </c>
      <c r="AE2403" s="1" t="n">
        <f aca="false">N(AE2402)+$AD2403</f>
        <v>38</v>
      </c>
      <c r="AF2403" s="1" t="n">
        <f aca="false">IF(AND($N2403=1,AND(LEFT(对接源_02物料!$D1203,4)="包装物料",N(对接源_02物料!$K1203)&lt;&gt;0)),1,0)</f>
        <v>0</v>
      </c>
      <c r="AG2403" s="1" t="n">
        <f aca="false">N(AG2402)+$AF2403</f>
        <v>6</v>
      </c>
      <c r="AH2403" s="1" t="n">
        <f aca="false">IF(AND($N2403=1,AND(LEFT(对接源_02物料!$D1203,3)="周转筐",N(对接源_02物料!$K1203)&lt;&gt;0)),1,0)</f>
        <v>0</v>
      </c>
      <c r="AI2403" s="1" t="n">
        <f aca="false">N(AI2402)+$AH2403</f>
        <v>0</v>
      </c>
      <c r="AJ2403" s="1" t="n">
        <v>0</v>
      </c>
      <c r="AK2403" s="1" t="n">
        <f aca="false">N(AK2402)+$AJ2403</f>
        <v>3672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2026-09-02T13:58:00Z</dcterms:created>
  <dc:creator>openpyxl</dc:creator>
  <dc:description/>
  <dc:language>en-US</dc:language>
  <cp:lastModifiedBy>X</cp:lastModifiedBy>
  <dcterms:modified xsi:type="dcterms:W3CDTF">2026-09-14T16:07:18Z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163178ABB66C4D918E9E09D95D89FB24_13</vt:lpwstr>
  </property>
  <property fmtid="{D5CDD505-2E9C-101B-9397-08002B2CF9AE}" pid="4" name="KSOProductBuildVer">
    <vt:lpwstr>2052-12.1.0.28505</vt:lpwstr>
  </property>
</Properties>
</file>